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tables/table6.xml" ContentType="application/vnd.openxmlformats-officedocument.spreadsheetml.table+xml"/>
  <Override PartName="/xl/comments3.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comments4.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drawings/drawing7.xml" ContentType="application/vnd.openxmlformats-officedocument.drawing+xml"/>
  <Override PartName="/xl/tables/table11.xml" ContentType="application/vnd.openxmlformats-officedocument.spreadsheetml.table+xml"/>
  <Override PartName="/xl/comments5.xml" ContentType="application/vnd.openxmlformats-officedocument.spreadsheetml.comments+xml"/>
  <Override PartName="/xl/drawings/drawing8.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9"/>
  <workbookPr codeName="ThisWorkbook" defaultThemeVersion="124226"/>
  <mc:AlternateContent xmlns:mc="http://schemas.openxmlformats.org/markup-compatibility/2006">
    <mc:Choice Requires="x15">
      <x15ac:absPath xmlns:x15ac="http://schemas.microsoft.com/office/spreadsheetml/2010/11/ac" url="Z:\Projet Télétravail\Campagne 2021-2022\"/>
    </mc:Choice>
  </mc:AlternateContent>
  <xr:revisionPtr revIDLastSave="0" documentId="8_{2ADF7228-6302-4253-8657-C6D550BE7EE1}" xr6:coauthVersionLast="36" xr6:coauthVersionMax="36" xr10:uidLastSave="{00000000-0000-0000-0000-000000000000}"/>
  <bookViews>
    <workbookView xWindow="0" yWindow="0" windowWidth="25200" windowHeight="11175" firstSheet="4" activeTab="10" xr2:uid="{00000000-000D-0000-FFFF-FFFF00000000}"/>
  </bookViews>
  <sheets>
    <sheet name="1- Suivi des DI &amp; avis n+1" sheetId="1" r:id="rId1"/>
    <sheet name="2- Traitement des DI" sheetId="2" r:id="rId2"/>
    <sheet name="3- Avis commission &amp; notif" sheetId="6" r:id="rId3"/>
    <sheet name="4- Equipement et formations" sheetId="10" r:id="rId4"/>
    <sheet name="5- Edition convention" sheetId="9" r:id="rId5"/>
    <sheet name="TW_BilanSocial3" sheetId="20" r:id="rId6"/>
    <sheet name="P_Données Bilan Social" sheetId="16" state="hidden" r:id="rId7"/>
    <sheet name="TW_BilanSocial 2" sheetId="18" state="hidden" r:id="rId8"/>
    <sheet name="6- Suivi télétravail" sheetId="11" r:id="rId9"/>
    <sheet name="7-TW supprimés" sheetId="24" r:id="rId10"/>
    <sheet name="Mail_Avis_Comm" sheetId="21" r:id="rId11"/>
    <sheet name="PARAM 2" sheetId="12" r:id="rId12"/>
    <sheet name="PARAM" sheetId="3" r:id="rId13"/>
  </sheets>
  <definedNames>
    <definedName name="_xlnm._FilterDatabase" localSheetId="0" hidden="1">'1- Suivi des DI &amp; avis n+1'!$A$2:$AD$32</definedName>
    <definedName name="_xlnm._FilterDatabase" localSheetId="1" hidden="1">'2- Traitement des DI'!$A$3:$CX$31</definedName>
    <definedName name="_xlnm._FilterDatabase" localSheetId="2" hidden="1">'3- Avis commission &amp; notif'!$A$2:$T$322</definedName>
    <definedName name="_xlnm._FilterDatabase" localSheetId="3" hidden="1">'4- Equipement et formations'!$A$2:$S$321</definedName>
    <definedName name="_xlnm._FilterDatabase" localSheetId="4" hidden="1">'5- Edition convention'!$A$2:$BU$320</definedName>
    <definedName name="_xlnm._FilterDatabase" localSheetId="8" hidden="1">'6- Suivi télétravail'!$A$2:$W$321</definedName>
    <definedName name="_xlnm._FilterDatabase" localSheetId="12" hidden="1">PARAM!$H$5:$H$37</definedName>
    <definedName name="_xlnm._FilterDatabase" localSheetId="5" hidden="1">TW_BilanSocial3!$A$2:$CC$360</definedName>
    <definedName name="Adresse_Envoi">PARAM!$F$16</definedName>
    <definedName name="Amplitude_max">PARAM!$F$8</definedName>
    <definedName name="ComDI" localSheetId="3">'4- Equipement et formations'!$A:$G</definedName>
    <definedName name="ComDI" localSheetId="8">'6- Suivi télétravail'!$A:$W</definedName>
    <definedName name="ComDI">'3- Avis commission &amp; notif'!$A:$T</definedName>
    <definedName name="Contrôle">PARAM!$A$38:$B$48</definedName>
    <definedName name="Date_com1">PARAM!$F$20</definedName>
    <definedName name="Date_commission2">PARAM!$F$21</definedName>
    <definedName name="Datebilan">PARAM!$F$11</definedName>
    <definedName name="Datebilan2">PARAM!$F$12</definedName>
    <definedName name="DateEdition">PARAM!$F$13</definedName>
    <definedName name="Dateeffet">PARAM!$F$9</definedName>
    <definedName name="DateFinadapt">PARAM!$F$10</definedName>
    <definedName name="Daterenduavis">PARAM!$F$7</definedName>
    <definedName name="Daterendudossier">PARAM!$F$6</definedName>
    <definedName name="Ech_Rendu_dossier">PARAM!$F$6</definedName>
    <definedName name="Entité">PARAM!$H$5:$H$35</definedName>
    <definedName name="Entite_convention">PARAM!$H$4:$I$35</definedName>
    <definedName name="Etatmailing1">PARAM!$N$5:$N$7</definedName>
    <definedName name="Etatmailing2">PARAM!$C$52:$C$55</definedName>
    <definedName name="EtatMailing3">PARAM!$N$33:$N$38</definedName>
    <definedName name="Hebdo_théorique">'PARAM 2'!$C$20:$C$26</definedName>
    <definedName name="_xlnm.Print_Titles" localSheetId="0">'1- Suivi des DI &amp; avis n+1'!$A:$D,'1- Suivi des DI &amp; avis n+1'!$1:$2</definedName>
    <definedName name="_xlnm.Print_Titles" localSheetId="1">'2- Traitement des DI'!$A:$C,'2- Traitement des DI'!$1:$3</definedName>
    <definedName name="_xlnm.Print_Titles" localSheetId="2">'3- Avis commission &amp; notif'!$1:$2</definedName>
    <definedName name="_xlnm.Print_Titles" localSheetId="8">'6- Suivi télétravail'!$1:$2</definedName>
    <definedName name="L_Grade">'PARAM 2'!$A$20:$A$37</definedName>
    <definedName name="ListeDI">'1- Suivi des DI &amp; avis n+1'!$A:$AC</definedName>
    <definedName name="ListeQuotité">PARAM!$A$5:$A$10</definedName>
    <definedName name="MotPasse">""</definedName>
    <definedName name="Nbjoursite">PARAM!$F$5</definedName>
    <definedName name="nom_campagne">PARAM!$F$14</definedName>
    <definedName name="Quotite">PARAM!$A$4:$C$8</definedName>
    <definedName name="Quotité">PARAM!$A$4:$B$7</definedName>
    <definedName name="QuotitéMin">PARAM!$A$4:$A$7</definedName>
    <definedName name="TraitementDI">'2- Traitement des DI'!$A:$CU</definedName>
    <definedName name="TypeTW">PARAM!$A$52:$B$55</definedName>
    <definedName name="_xlnm.Print_Area" localSheetId="1">'2- Traitement des DI'!$A:$CO</definedName>
  </definedNames>
  <calcPr calcId="191029" calcMode="manual"/>
  <fileRecoveryPr autoRecover="0"/>
</workbook>
</file>

<file path=xl/calcChain.xml><?xml version="1.0" encoding="utf-8"?>
<calcChain xmlns="http://schemas.openxmlformats.org/spreadsheetml/2006/main">
  <c r="B6" i="1" l="1"/>
  <c r="B4" i="1"/>
  <c r="B3" i="1"/>
  <c r="D357" i="20" l="1"/>
  <c r="D358" i="20"/>
  <c r="D359" i="20"/>
  <c r="D360" i="20"/>
  <c r="E357" i="20"/>
  <c r="E358" i="20"/>
  <c r="E359" i="20"/>
  <c r="E360" i="20"/>
  <c r="N357" i="20"/>
  <c r="N358" i="20"/>
  <c r="N359" i="20"/>
  <c r="N360" i="20"/>
  <c r="O357" i="20"/>
  <c r="O358" i="20"/>
  <c r="O359" i="20"/>
  <c r="O360" i="20"/>
  <c r="P357" i="20"/>
  <c r="P358" i="20"/>
  <c r="P359" i="20"/>
  <c r="P360" i="20"/>
  <c r="Q357" i="20"/>
  <c r="Q358" i="20"/>
  <c r="Q359" i="20"/>
  <c r="Q360" i="20"/>
  <c r="R357" i="20"/>
  <c r="R358" i="20"/>
  <c r="R359" i="20"/>
  <c r="R360" i="20"/>
  <c r="S357" i="20"/>
  <c r="S358" i="20"/>
  <c r="S359" i="20"/>
  <c r="S360" i="20"/>
  <c r="T357" i="20"/>
  <c r="T358" i="20"/>
  <c r="T359" i="20"/>
  <c r="T360" i="20"/>
  <c r="V357" i="20"/>
  <c r="V358" i="20"/>
  <c r="V359" i="20"/>
  <c r="V360" i="20"/>
  <c r="W357" i="20"/>
  <c r="W358" i="20"/>
  <c r="W359" i="20"/>
  <c r="W360" i="20"/>
  <c r="X357" i="20"/>
  <c r="X358" i="20"/>
  <c r="X359" i="20"/>
  <c r="X360" i="20"/>
  <c r="Y357" i="20"/>
  <c r="Y358" i="20"/>
  <c r="Y359" i="20"/>
  <c r="Y360" i="20"/>
  <c r="Z357" i="20"/>
  <c r="Z358" i="20"/>
  <c r="Z359" i="20"/>
  <c r="Z360" i="20"/>
  <c r="AA357" i="20"/>
  <c r="AA358" i="20"/>
  <c r="AA359" i="20"/>
  <c r="AA360" i="20"/>
  <c r="AB357" i="20"/>
  <c r="AB358" i="20"/>
  <c r="AB359" i="20"/>
  <c r="AB360" i="20"/>
  <c r="AD357" i="20"/>
  <c r="AD358" i="20"/>
  <c r="AD359" i="20"/>
  <c r="AD360" i="20"/>
  <c r="AE357" i="20"/>
  <c r="AE358" i="20"/>
  <c r="AE359" i="20"/>
  <c r="AE360" i="20"/>
  <c r="AH357" i="20"/>
  <c r="AH358" i="20"/>
  <c r="AH359" i="20"/>
  <c r="AH360" i="20"/>
  <c r="AI357" i="20"/>
  <c r="AI358" i="20"/>
  <c r="AI359" i="20"/>
  <c r="AI360" i="20"/>
  <c r="AJ357" i="20"/>
  <c r="AJ358" i="20"/>
  <c r="AJ359" i="20"/>
  <c r="AJ360" i="20"/>
  <c r="AK357" i="20"/>
  <c r="AK358" i="20"/>
  <c r="AK359" i="20"/>
  <c r="AK360" i="20"/>
  <c r="AL357" i="20"/>
  <c r="AL358" i="20"/>
  <c r="AL359" i="20"/>
  <c r="AL360" i="20"/>
  <c r="AM357" i="20"/>
  <c r="AM358" i="20"/>
  <c r="AM359" i="20"/>
  <c r="AM360" i="20"/>
  <c r="AO357" i="20"/>
  <c r="AO358" i="20"/>
  <c r="AO359" i="20"/>
  <c r="AO360" i="20"/>
  <c r="AP357" i="20"/>
  <c r="AP358" i="20"/>
  <c r="AP359" i="20"/>
  <c r="AP360" i="20"/>
  <c r="AQ357" i="20"/>
  <c r="AQ358" i="20"/>
  <c r="AQ359" i="20"/>
  <c r="AQ360" i="20"/>
  <c r="AR357" i="20"/>
  <c r="AR358" i="20"/>
  <c r="AR359" i="20"/>
  <c r="AR360" i="20"/>
  <c r="AS357" i="20"/>
  <c r="AS358" i="20"/>
  <c r="AS359" i="20"/>
  <c r="AS360" i="20"/>
  <c r="AT357" i="20"/>
  <c r="AT358" i="20"/>
  <c r="AT359" i="20"/>
  <c r="AT360" i="20"/>
  <c r="AV357" i="20"/>
  <c r="AV358" i="20"/>
  <c r="AV359" i="20"/>
  <c r="AV360" i="20"/>
  <c r="AW357" i="20"/>
  <c r="AW358" i="20"/>
  <c r="AW359" i="20"/>
  <c r="AW360" i="20"/>
  <c r="AX357" i="20"/>
  <c r="AX358" i="20"/>
  <c r="AX359" i="20"/>
  <c r="AX360" i="20"/>
  <c r="AY357" i="20"/>
  <c r="AY358" i="20"/>
  <c r="AY359" i="20"/>
  <c r="AY360" i="20"/>
  <c r="AZ357" i="20"/>
  <c r="AZ358" i="20"/>
  <c r="AZ359" i="20"/>
  <c r="AZ360" i="20"/>
  <c r="BA357" i="20"/>
  <c r="BA358" i="20"/>
  <c r="BA359" i="20"/>
  <c r="BA360" i="20"/>
  <c r="BC357" i="20"/>
  <c r="BC358" i="20"/>
  <c r="BC359" i="20"/>
  <c r="BC360" i="20"/>
  <c r="BD357" i="20"/>
  <c r="BD358" i="20"/>
  <c r="BD359" i="20"/>
  <c r="BD360" i="20"/>
  <c r="BE357" i="20"/>
  <c r="BE358" i="20"/>
  <c r="BE359" i="20"/>
  <c r="BE360" i="20"/>
  <c r="BF357" i="20"/>
  <c r="BF358" i="20"/>
  <c r="BF359" i="20"/>
  <c r="BF360" i="20"/>
  <c r="BG357" i="20"/>
  <c r="BG358" i="20"/>
  <c r="BG359" i="20"/>
  <c r="BG360" i="20"/>
  <c r="BH357" i="20"/>
  <c r="BH358" i="20"/>
  <c r="BH359" i="20"/>
  <c r="BH360" i="20"/>
  <c r="BJ357" i="20"/>
  <c r="BJ358" i="20"/>
  <c r="BJ359" i="20"/>
  <c r="BJ360" i="20"/>
  <c r="BK357" i="20"/>
  <c r="BK358" i="20"/>
  <c r="BK359" i="20"/>
  <c r="BK360" i="20"/>
  <c r="BL357" i="20"/>
  <c r="BL358" i="20"/>
  <c r="BL359" i="20"/>
  <c r="BL360" i="20"/>
  <c r="BM357" i="20"/>
  <c r="BM358" i="20"/>
  <c r="BM359" i="20"/>
  <c r="BM360" i="20"/>
  <c r="BN357" i="20"/>
  <c r="BN358" i="20"/>
  <c r="BN359" i="20"/>
  <c r="BN360" i="20"/>
  <c r="BO357" i="20"/>
  <c r="BO358" i="20"/>
  <c r="BO359" i="20"/>
  <c r="BO360" i="20"/>
  <c r="CB357" i="20"/>
  <c r="CB358" i="20"/>
  <c r="CB359" i="20"/>
  <c r="CB360" i="20"/>
  <c r="CC357" i="20"/>
  <c r="CC358" i="20"/>
  <c r="CC359" i="20"/>
  <c r="CC360" i="20"/>
  <c r="CE357" i="20"/>
  <c r="CE358" i="20"/>
  <c r="CE359" i="20"/>
  <c r="CE360" i="20"/>
  <c r="CG357" i="20"/>
  <c r="CG358" i="20"/>
  <c r="CG359" i="20"/>
  <c r="CG360" i="20"/>
  <c r="CI357" i="20"/>
  <c r="CI358" i="20"/>
  <c r="CI359" i="20"/>
  <c r="CI360" i="20"/>
  <c r="D352" i="20"/>
  <c r="D353" i="20"/>
  <c r="D354" i="20"/>
  <c r="D355" i="20"/>
  <c r="D356" i="20"/>
  <c r="E352" i="20"/>
  <c r="E353" i="20"/>
  <c r="E354" i="20"/>
  <c r="E355" i="20"/>
  <c r="E356" i="20"/>
  <c r="N352" i="20"/>
  <c r="N353" i="20"/>
  <c r="N354" i="20"/>
  <c r="N355" i="20"/>
  <c r="N356" i="20"/>
  <c r="O352" i="20"/>
  <c r="O353" i="20"/>
  <c r="O354" i="20"/>
  <c r="O355" i="20"/>
  <c r="O356" i="20"/>
  <c r="P352" i="20"/>
  <c r="P353" i="20"/>
  <c r="P354" i="20"/>
  <c r="P355" i="20"/>
  <c r="P356" i="20"/>
  <c r="Q352" i="20"/>
  <c r="Q353" i="20"/>
  <c r="Q354" i="20"/>
  <c r="Q355" i="20"/>
  <c r="Q356" i="20"/>
  <c r="R352" i="20"/>
  <c r="R353" i="20"/>
  <c r="R354" i="20"/>
  <c r="R355" i="20"/>
  <c r="R356" i="20"/>
  <c r="S352" i="20"/>
  <c r="S353" i="20"/>
  <c r="S354" i="20"/>
  <c r="S355" i="20"/>
  <c r="S356" i="20"/>
  <c r="T352" i="20"/>
  <c r="T353" i="20"/>
  <c r="T354" i="20"/>
  <c r="T355" i="20"/>
  <c r="T356" i="20"/>
  <c r="V352" i="20"/>
  <c r="V353" i="20"/>
  <c r="V354" i="20"/>
  <c r="V355" i="20"/>
  <c r="V356" i="20"/>
  <c r="W352" i="20"/>
  <c r="W353" i="20"/>
  <c r="W354" i="20"/>
  <c r="W355" i="20"/>
  <c r="W356" i="20"/>
  <c r="X352" i="20"/>
  <c r="X353" i="20"/>
  <c r="X354" i="20"/>
  <c r="X355" i="20"/>
  <c r="X356" i="20"/>
  <c r="Y352" i="20"/>
  <c r="Y353" i="20"/>
  <c r="Y354" i="20"/>
  <c r="Y355" i="20"/>
  <c r="Y356" i="20"/>
  <c r="Z352" i="20"/>
  <c r="Z353" i="20"/>
  <c r="Z354" i="20"/>
  <c r="Z355" i="20"/>
  <c r="Z356" i="20"/>
  <c r="AA352" i="20"/>
  <c r="AA353" i="20"/>
  <c r="AA354" i="20"/>
  <c r="AA355" i="20"/>
  <c r="AA356" i="20"/>
  <c r="AB352" i="20"/>
  <c r="AB353" i="20"/>
  <c r="AB354" i="20"/>
  <c r="AB355" i="20"/>
  <c r="AB356" i="20"/>
  <c r="AD352" i="20"/>
  <c r="AD353" i="20"/>
  <c r="AD354" i="20"/>
  <c r="AD355" i="20"/>
  <c r="AD356" i="20"/>
  <c r="AE352" i="20"/>
  <c r="AE353" i="20"/>
  <c r="AE354" i="20"/>
  <c r="AE355" i="20"/>
  <c r="AE356" i="20"/>
  <c r="AH352" i="20"/>
  <c r="AH353" i="20"/>
  <c r="AH354" i="20"/>
  <c r="AH355" i="20"/>
  <c r="AH356" i="20"/>
  <c r="AI352" i="20"/>
  <c r="AI353" i="20"/>
  <c r="AI354" i="20"/>
  <c r="AI355" i="20"/>
  <c r="AI356" i="20"/>
  <c r="AJ352" i="20"/>
  <c r="AJ353" i="20"/>
  <c r="AJ354" i="20"/>
  <c r="AJ355" i="20"/>
  <c r="AJ356" i="20"/>
  <c r="AK352" i="20"/>
  <c r="AK353" i="20"/>
  <c r="AK354" i="20"/>
  <c r="AK355" i="20"/>
  <c r="AK356" i="20"/>
  <c r="AL352" i="20"/>
  <c r="AL353" i="20"/>
  <c r="AL354" i="20"/>
  <c r="AL355" i="20"/>
  <c r="AL356" i="20"/>
  <c r="AM352" i="20"/>
  <c r="AM353" i="20"/>
  <c r="AM354" i="20"/>
  <c r="AM355" i="20"/>
  <c r="AM356" i="20"/>
  <c r="AO352" i="20"/>
  <c r="AO353" i="20"/>
  <c r="AO354" i="20"/>
  <c r="AO355" i="20"/>
  <c r="AO356" i="20"/>
  <c r="AP352" i="20"/>
  <c r="AP353" i="20"/>
  <c r="AP354" i="20"/>
  <c r="AP355" i="20"/>
  <c r="AP356" i="20"/>
  <c r="AQ352" i="20"/>
  <c r="AQ353" i="20"/>
  <c r="AQ354" i="20"/>
  <c r="AQ355" i="20"/>
  <c r="AQ356" i="20"/>
  <c r="AR352" i="20"/>
  <c r="AR353" i="20"/>
  <c r="AR354" i="20"/>
  <c r="AR355" i="20"/>
  <c r="AR356" i="20"/>
  <c r="AS352" i="20"/>
  <c r="AS353" i="20"/>
  <c r="AS354" i="20"/>
  <c r="AS355" i="20"/>
  <c r="AS356" i="20"/>
  <c r="AT352" i="20"/>
  <c r="AT353" i="20"/>
  <c r="AT354" i="20"/>
  <c r="AT355" i="20"/>
  <c r="AT356" i="20"/>
  <c r="AV352" i="20"/>
  <c r="AV353" i="20"/>
  <c r="AV354" i="20"/>
  <c r="AV355" i="20"/>
  <c r="AV356" i="20"/>
  <c r="AW352" i="20"/>
  <c r="AW353" i="20"/>
  <c r="AW354" i="20"/>
  <c r="AW355" i="20"/>
  <c r="AW356" i="20"/>
  <c r="AX352" i="20"/>
  <c r="AX353" i="20"/>
  <c r="AX354" i="20"/>
  <c r="AX355" i="20"/>
  <c r="AX356" i="20"/>
  <c r="AY352" i="20"/>
  <c r="AY353" i="20"/>
  <c r="AY354" i="20"/>
  <c r="AY355" i="20"/>
  <c r="AY356" i="20"/>
  <c r="AZ352" i="20"/>
  <c r="AZ353" i="20"/>
  <c r="AZ354" i="20"/>
  <c r="AZ355" i="20"/>
  <c r="AZ356" i="20"/>
  <c r="BA352" i="20"/>
  <c r="BA353" i="20"/>
  <c r="BA354" i="20"/>
  <c r="BA355" i="20"/>
  <c r="BA356" i="20"/>
  <c r="BC352" i="20"/>
  <c r="BC353" i="20"/>
  <c r="BC354" i="20"/>
  <c r="BC355" i="20"/>
  <c r="BC356" i="20"/>
  <c r="BD352" i="20"/>
  <c r="BD353" i="20"/>
  <c r="BD354" i="20"/>
  <c r="BD355" i="20"/>
  <c r="BD356" i="20"/>
  <c r="BE352" i="20"/>
  <c r="BE353" i="20"/>
  <c r="BE354" i="20"/>
  <c r="BE355" i="20"/>
  <c r="BE356" i="20"/>
  <c r="BF352" i="20"/>
  <c r="BF353" i="20"/>
  <c r="BF354" i="20"/>
  <c r="BF355" i="20"/>
  <c r="BF356" i="20"/>
  <c r="BG352" i="20"/>
  <c r="BG353" i="20"/>
  <c r="BG354" i="20"/>
  <c r="BG355" i="20"/>
  <c r="BG356" i="20"/>
  <c r="BH352" i="20"/>
  <c r="BH353" i="20"/>
  <c r="BH354" i="20"/>
  <c r="BH355" i="20"/>
  <c r="BH356" i="20"/>
  <c r="BJ352" i="20"/>
  <c r="BJ353" i="20"/>
  <c r="BJ354" i="20"/>
  <c r="BJ355" i="20"/>
  <c r="BJ356" i="20"/>
  <c r="BK352" i="20"/>
  <c r="BK353" i="20"/>
  <c r="BK354" i="20"/>
  <c r="BK355" i="20"/>
  <c r="BK356" i="20"/>
  <c r="BL352" i="20"/>
  <c r="BL353" i="20"/>
  <c r="BL354" i="20"/>
  <c r="BL355" i="20"/>
  <c r="BL356" i="20"/>
  <c r="BM352" i="20"/>
  <c r="BM353" i="20"/>
  <c r="BM354" i="20"/>
  <c r="BM355" i="20"/>
  <c r="BM356" i="20"/>
  <c r="BN352" i="20"/>
  <c r="BN353" i="20"/>
  <c r="BN354" i="20"/>
  <c r="BN355" i="20"/>
  <c r="BN356" i="20"/>
  <c r="BO352" i="20"/>
  <c r="BO353" i="20"/>
  <c r="BO354" i="20"/>
  <c r="BO355" i="20"/>
  <c r="BO356" i="20"/>
  <c r="CB352" i="20"/>
  <c r="CB353" i="20"/>
  <c r="CB354" i="20"/>
  <c r="CB355" i="20"/>
  <c r="CB356" i="20"/>
  <c r="CC352" i="20"/>
  <c r="CC353" i="20"/>
  <c r="CC354" i="20"/>
  <c r="CC355" i="20"/>
  <c r="CC356" i="20"/>
  <c r="CE352" i="20"/>
  <c r="CE353" i="20"/>
  <c r="CE354" i="20"/>
  <c r="CE355" i="20"/>
  <c r="CE356" i="20"/>
  <c r="CG352" i="20"/>
  <c r="CG353" i="20"/>
  <c r="CG354" i="20"/>
  <c r="CG355" i="20"/>
  <c r="CG356" i="20"/>
  <c r="CI352" i="20"/>
  <c r="CI353" i="20"/>
  <c r="CI354" i="20"/>
  <c r="CI355" i="20"/>
  <c r="CI356" i="20"/>
  <c r="D348" i="20"/>
  <c r="D349" i="20"/>
  <c r="D350" i="20"/>
  <c r="D351" i="20"/>
  <c r="E348" i="20"/>
  <c r="E349" i="20"/>
  <c r="E350" i="20"/>
  <c r="E351" i="20"/>
  <c r="N348" i="20"/>
  <c r="N349" i="20"/>
  <c r="N350" i="20"/>
  <c r="N351" i="20"/>
  <c r="O348" i="20"/>
  <c r="O349" i="20"/>
  <c r="O350" i="20"/>
  <c r="O351" i="20"/>
  <c r="P348" i="20"/>
  <c r="P349" i="20"/>
  <c r="P350" i="20"/>
  <c r="P351" i="20"/>
  <c r="Q348" i="20"/>
  <c r="Q349" i="20"/>
  <c r="Q350" i="20"/>
  <c r="Q351" i="20"/>
  <c r="R348" i="20"/>
  <c r="R349" i="20"/>
  <c r="R350" i="20"/>
  <c r="R351" i="20"/>
  <c r="S348" i="20"/>
  <c r="S349" i="20"/>
  <c r="S350" i="20"/>
  <c r="S351" i="20"/>
  <c r="T348" i="20"/>
  <c r="T349" i="20"/>
  <c r="T350" i="20"/>
  <c r="T351" i="20"/>
  <c r="V348" i="20"/>
  <c r="V349" i="20"/>
  <c r="V350" i="20"/>
  <c r="V351" i="20"/>
  <c r="W348" i="20"/>
  <c r="W349" i="20"/>
  <c r="W350" i="20"/>
  <c r="W351" i="20"/>
  <c r="X348" i="20"/>
  <c r="X349" i="20"/>
  <c r="X350" i="20"/>
  <c r="X351" i="20"/>
  <c r="Y348" i="20"/>
  <c r="Y349" i="20"/>
  <c r="Y350" i="20"/>
  <c r="Y351" i="20"/>
  <c r="Z348" i="20"/>
  <c r="Z349" i="20"/>
  <c r="Z350" i="20"/>
  <c r="Z351" i="20"/>
  <c r="AA348" i="20"/>
  <c r="AA349" i="20"/>
  <c r="AA350" i="20"/>
  <c r="AA351" i="20"/>
  <c r="AB348" i="20"/>
  <c r="AC348" i="20" s="1"/>
  <c r="AB349" i="20"/>
  <c r="AB350" i="20"/>
  <c r="AB351" i="20"/>
  <c r="AD348" i="20"/>
  <c r="AD349" i="20"/>
  <c r="AD350" i="20"/>
  <c r="AD351" i="20"/>
  <c r="AE348" i="20"/>
  <c r="AE349" i="20"/>
  <c r="AE350" i="20"/>
  <c r="AE351" i="20"/>
  <c r="AH348" i="20"/>
  <c r="AH349" i="20"/>
  <c r="AH350" i="20"/>
  <c r="AH351" i="20"/>
  <c r="AI348" i="20"/>
  <c r="AI349" i="20"/>
  <c r="AI350" i="20"/>
  <c r="AI351" i="20"/>
  <c r="AJ348" i="20"/>
  <c r="AJ349" i="20"/>
  <c r="AJ350" i="20"/>
  <c r="AJ351" i="20"/>
  <c r="AK348" i="20"/>
  <c r="AK349" i="20"/>
  <c r="AK350" i="20"/>
  <c r="AK351" i="20"/>
  <c r="AL348" i="20"/>
  <c r="AL349" i="20"/>
  <c r="AL350" i="20"/>
  <c r="AL351" i="20"/>
  <c r="AM348" i="20"/>
  <c r="AM349" i="20"/>
  <c r="AM350" i="20"/>
  <c r="AM351" i="20"/>
  <c r="AO348" i="20"/>
  <c r="AO349" i="20"/>
  <c r="AO350" i="20"/>
  <c r="AO351" i="20"/>
  <c r="AP348" i="20"/>
  <c r="AP349" i="20"/>
  <c r="AP350" i="20"/>
  <c r="AP351" i="20"/>
  <c r="AQ348" i="20"/>
  <c r="AQ349" i="20"/>
  <c r="AQ350" i="20"/>
  <c r="AQ351" i="20"/>
  <c r="AR348" i="20"/>
  <c r="AR349" i="20"/>
  <c r="AR350" i="20"/>
  <c r="AR351" i="20"/>
  <c r="AS348" i="20"/>
  <c r="AS349" i="20"/>
  <c r="AS350" i="20"/>
  <c r="AS351" i="20"/>
  <c r="AT348" i="20"/>
  <c r="AT349" i="20"/>
  <c r="AT350" i="20"/>
  <c r="AT351" i="20"/>
  <c r="AV348" i="20"/>
  <c r="AV349" i="20"/>
  <c r="AV350" i="20"/>
  <c r="AV351" i="20"/>
  <c r="AW348" i="20"/>
  <c r="AW349" i="20"/>
  <c r="AW350" i="20"/>
  <c r="AW351" i="20"/>
  <c r="AX348" i="20"/>
  <c r="AX349" i="20"/>
  <c r="AX350" i="20"/>
  <c r="AX351" i="20"/>
  <c r="AY348" i="20"/>
  <c r="AY349" i="20"/>
  <c r="AY350" i="20"/>
  <c r="AY351" i="20"/>
  <c r="AZ348" i="20"/>
  <c r="AZ349" i="20"/>
  <c r="AZ350" i="20"/>
  <c r="AZ351" i="20"/>
  <c r="BA348" i="20"/>
  <c r="BA349" i="20"/>
  <c r="BA350" i="20"/>
  <c r="BA351" i="20"/>
  <c r="BC348" i="20"/>
  <c r="BC349" i="20"/>
  <c r="BC350" i="20"/>
  <c r="BC351" i="20"/>
  <c r="BD348" i="20"/>
  <c r="BD349" i="20"/>
  <c r="BD350" i="20"/>
  <c r="BD351" i="20"/>
  <c r="BE348" i="20"/>
  <c r="BE349" i="20"/>
  <c r="BE350" i="20"/>
  <c r="BE351" i="20"/>
  <c r="BF348" i="20"/>
  <c r="BF349" i="20"/>
  <c r="BF350" i="20"/>
  <c r="BF351" i="20"/>
  <c r="BG348" i="20"/>
  <c r="BG349" i="20"/>
  <c r="BG350" i="20"/>
  <c r="BG351" i="20"/>
  <c r="BH348" i="20"/>
  <c r="BH349" i="20"/>
  <c r="BH350" i="20"/>
  <c r="BH351" i="20"/>
  <c r="BJ348" i="20"/>
  <c r="BJ349" i="20"/>
  <c r="BJ350" i="20"/>
  <c r="BJ351" i="20"/>
  <c r="BK348" i="20"/>
  <c r="BK349" i="20"/>
  <c r="BK350" i="20"/>
  <c r="BK351" i="20"/>
  <c r="BL348" i="20"/>
  <c r="BL349" i="20"/>
  <c r="BL350" i="20"/>
  <c r="BL351" i="20"/>
  <c r="BM348" i="20"/>
  <c r="BM349" i="20"/>
  <c r="BM350" i="20"/>
  <c r="BM351" i="20"/>
  <c r="BN348" i="20"/>
  <c r="BN349" i="20"/>
  <c r="BN350" i="20"/>
  <c r="BN351" i="20"/>
  <c r="BO348" i="20"/>
  <c r="BO349" i="20"/>
  <c r="BO350" i="20"/>
  <c r="BO351" i="20"/>
  <c r="CB348" i="20"/>
  <c r="CB349" i="20"/>
  <c r="CB350" i="20"/>
  <c r="CB351" i="20"/>
  <c r="CC348" i="20"/>
  <c r="CC349" i="20"/>
  <c r="CC350" i="20"/>
  <c r="CC351" i="20"/>
  <c r="CE348" i="20"/>
  <c r="CE349" i="20"/>
  <c r="CE350" i="20"/>
  <c r="CE351" i="20"/>
  <c r="CG348" i="20"/>
  <c r="CG349" i="20"/>
  <c r="CG350" i="20"/>
  <c r="CG351" i="20"/>
  <c r="CI348" i="20"/>
  <c r="CI349" i="20"/>
  <c r="CI350" i="20"/>
  <c r="CI351" i="20"/>
  <c r="AC350" i="20" l="1"/>
  <c r="AC358" i="20"/>
  <c r="AC349" i="20"/>
  <c r="AC354" i="20"/>
  <c r="AC359" i="20"/>
  <c r="AC360" i="20"/>
  <c r="AC353" i="20"/>
  <c r="AC356" i="20"/>
  <c r="AC352" i="20"/>
  <c r="AC351" i="20"/>
  <c r="AC355" i="20"/>
  <c r="AC357" i="20"/>
  <c r="B266" i="6"/>
  <c r="C266" i="6"/>
  <c r="J266" i="6" s="1"/>
  <c r="D266" i="6"/>
  <c r="E266" i="6"/>
  <c r="F266" i="6"/>
  <c r="G266" i="6"/>
  <c r="H266" i="6"/>
  <c r="I266" i="6"/>
  <c r="K266" i="6"/>
  <c r="L266" i="6"/>
  <c r="O266" i="6" l="1"/>
  <c r="X4" i="2" l="1"/>
  <c r="AF360" i="20" s="1"/>
  <c r="AF348" i="20"/>
  <c r="X20" i="2"/>
  <c r="BX230" i="9" l="1"/>
  <c r="H46" i="6" l="1"/>
  <c r="H147" i="6"/>
  <c r="F50" i="6" l="1"/>
  <c r="G50" i="6"/>
  <c r="H50" i="6"/>
  <c r="F51" i="6"/>
  <c r="G51" i="6"/>
  <c r="H51" i="6"/>
  <c r="F52" i="6"/>
  <c r="G52" i="6"/>
  <c r="H52" i="6"/>
  <c r="CJ350" i="20" s="1"/>
  <c r="F53" i="6"/>
  <c r="G53" i="6"/>
  <c r="H53" i="6"/>
  <c r="F236" i="6"/>
  <c r="G236" i="6"/>
  <c r="H236" i="6"/>
  <c r="G230" i="6"/>
  <c r="H230" i="6"/>
  <c r="F230" i="6"/>
  <c r="CK3" i="20" l="1"/>
  <c r="CF5" i="20"/>
  <c r="CF6" i="20"/>
  <c r="CF7" i="20"/>
  <c r="CF8" i="20"/>
  <c r="CF9" i="20"/>
  <c r="CF10" i="20"/>
  <c r="CF11" i="20"/>
  <c r="CF12" i="20"/>
  <c r="CF13" i="20"/>
  <c r="CF14" i="20"/>
  <c r="CF15" i="20"/>
  <c r="CF16" i="20"/>
  <c r="CF17" i="20"/>
  <c r="CF18" i="20"/>
  <c r="CF19" i="20"/>
  <c r="CF20" i="20"/>
  <c r="CF21" i="20"/>
  <c r="CF22" i="20"/>
  <c r="CF23" i="20"/>
  <c r="CF24" i="20"/>
  <c r="CF25" i="20"/>
  <c r="CF26" i="20"/>
  <c r="CF27" i="20"/>
  <c r="CF28" i="20"/>
  <c r="CF29" i="20"/>
  <c r="CF30" i="20"/>
  <c r="CF31" i="20"/>
  <c r="CF32" i="20"/>
  <c r="CF33" i="20"/>
  <c r="CF34" i="20"/>
  <c r="CF35" i="20"/>
  <c r="CF36" i="20"/>
  <c r="CF37" i="20"/>
  <c r="CF38" i="20"/>
  <c r="CF39" i="20"/>
  <c r="CF40" i="20"/>
  <c r="CF41" i="20"/>
  <c r="CF42" i="20"/>
  <c r="CF43" i="20"/>
  <c r="CF44" i="20"/>
  <c r="CF45" i="20"/>
  <c r="CF46" i="20"/>
  <c r="CF47" i="20"/>
  <c r="CF48" i="20"/>
  <c r="CF49" i="20"/>
  <c r="CF50" i="20"/>
  <c r="CF51" i="20"/>
  <c r="CF52" i="20"/>
  <c r="CF53" i="20"/>
  <c r="CF54" i="20"/>
  <c r="CF55" i="20"/>
  <c r="CF56" i="20"/>
  <c r="CF57" i="20"/>
  <c r="CF58" i="20"/>
  <c r="CF59" i="20"/>
  <c r="CF60" i="20"/>
  <c r="CF61" i="20"/>
  <c r="CF62" i="20"/>
  <c r="CF63" i="20"/>
  <c r="CF64" i="20"/>
  <c r="CF65" i="20"/>
  <c r="CF66" i="20"/>
  <c r="CF67" i="20"/>
  <c r="CF68" i="20"/>
  <c r="CF69" i="20"/>
  <c r="CF70" i="20"/>
  <c r="CF71" i="20"/>
  <c r="CF72" i="20"/>
  <c r="CF73" i="20"/>
  <c r="CF74" i="20"/>
  <c r="CF75" i="20"/>
  <c r="CF76" i="20"/>
  <c r="CF77" i="20"/>
  <c r="CF78" i="20"/>
  <c r="CF79" i="20"/>
  <c r="CF80" i="20"/>
  <c r="CF81" i="20"/>
  <c r="CF82" i="20"/>
  <c r="CF83" i="20"/>
  <c r="CF84" i="20"/>
  <c r="CF85" i="20"/>
  <c r="CF86" i="20"/>
  <c r="CF87" i="20"/>
  <c r="CF88" i="20"/>
  <c r="CF89" i="20"/>
  <c r="CF90" i="20"/>
  <c r="CF91" i="20"/>
  <c r="CF92" i="20"/>
  <c r="CF93" i="20"/>
  <c r="CF94" i="20"/>
  <c r="CF95" i="20"/>
  <c r="CF96" i="20"/>
  <c r="CF97" i="20"/>
  <c r="CF98" i="20"/>
  <c r="CF99" i="20"/>
  <c r="CF100" i="20"/>
  <c r="CF101" i="20"/>
  <c r="CF102" i="20"/>
  <c r="CF103" i="20"/>
  <c r="CF104" i="20"/>
  <c r="CF105" i="20"/>
  <c r="CF106" i="20"/>
  <c r="CF107" i="20"/>
  <c r="CF108" i="20"/>
  <c r="CF109" i="20"/>
  <c r="CF110" i="20"/>
  <c r="CF111" i="20"/>
  <c r="CF112" i="20"/>
  <c r="CF113" i="20"/>
  <c r="CF114" i="20"/>
  <c r="CF115" i="20"/>
  <c r="CF116" i="20"/>
  <c r="CF117" i="20"/>
  <c r="CF118" i="20"/>
  <c r="CF119" i="20"/>
  <c r="CF120" i="20"/>
  <c r="CF121" i="20"/>
  <c r="CF122" i="20"/>
  <c r="CF123" i="20"/>
  <c r="CF124" i="20"/>
  <c r="CF125" i="20"/>
  <c r="CF126" i="20"/>
  <c r="CF127" i="20"/>
  <c r="CF128" i="20"/>
  <c r="CF129" i="20"/>
  <c r="CF130" i="20"/>
  <c r="CF131" i="20"/>
  <c r="CF132" i="20"/>
  <c r="CF133" i="20"/>
  <c r="CF134" i="20"/>
  <c r="CF135" i="20"/>
  <c r="CF136" i="20"/>
  <c r="CF137" i="20"/>
  <c r="CF138" i="20"/>
  <c r="CF139" i="20"/>
  <c r="CF140" i="20"/>
  <c r="CF141" i="20"/>
  <c r="CF142" i="20"/>
  <c r="CF143" i="20"/>
  <c r="CF144" i="20"/>
  <c r="CF145" i="20"/>
  <c r="CF146" i="20"/>
  <c r="CF147" i="20"/>
  <c r="CF148" i="20"/>
  <c r="CF149" i="20"/>
  <c r="CF150" i="20"/>
  <c r="CF151" i="20"/>
  <c r="CF152" i="20"/>
  <c r="CF153" i="20"/>
  <c r="CF154" i="20"/>
  <c r="CF155" i="20"/>
  <c r="CF156" i="20"/>
  <c r="CF157" i="20"/>
  <c r="CF158" i="20"/>
  <c r="CF159" i="20"/>
  <c r="CF160" i="20"/>
  <c r="CF161" i="20"/>
  <c r="CF162" i="20"/>
  <c r="CF163" i="20"/>
  <c r="CF164" i="20"/>
  <c r="CF165" i="20"/>
  <c r="CF166" i="20"/>
  <c r="CF167" i="20"/>
  <c r="CF168" i="20"/>
  <c r="CF169" i="20"/>
  <c r="CF170" i="20"/>
  <c r="CF171" i="20"/>
  <c r="CF172" i="20"/>
  <c r="CF173" i="20"/>
  <c r="CF174" i="20"/>
  <c r="CF175" i="20"/>
  <c r="CF176" i="20"/>
  <c r="CF177" i="20"/>
  <c r="CF178" i="20"/>
  <c r="CF179" i="20"/>
  <c r="CF180" i="20"/>
  <c r="CF181" i="20"/>
  <c r="CF182" i="20"/>
  <c r="CF183" i="20"/>
  <c r="CF184" i="20"/>
  <c r="CF185" i="20"/>
  <c r="CF186" i="20"/>
  <c r="CF187" i="20"/>
  <c r="CF188" i="20"/>
  <c r="CF189" i="20"/>
  <c r="CF190" i="20"/>
  <c r="CF191" i="20"/>
  <c r="CF192" i="20"/>
  <c r="CF193" i="20"/>
  <c r="CF194" i="20"/>
  <c r="CF195" i="20"/>
  <c r="CF196" i="20"/>
  <c r="CF197" i="20"/>
  <c r="CF198" i="20"/>
  <c r="CF199" i="20"/>
  <c r="CF200" i="20"/>
  <c r="CF201" i="20"/>
  <c r="CF202" i="20"/>
  <c r="CF203" i="20"/>
  <c r="CF204" i="20"/>
  <c r="CF205" i="20"/>
  <c r="CF206" i="20"/>
  <c r="CF207" i="20"/>
  <c r="CF208" i="20"/>
  <c r="CF209" i="20"/>
  <c r="CF210" i="20"/>
  <c r="CF211" i="20"/>
  <c r="CF212" i="20"/>
  <c r="CF213" i="20"/>
  <c r="CF214" i="20"/>
  <c r="CF215" i="20"/>
  <c r="CF216" i="20"/>
  <c r="CF217" i="20"/>
  <c r="CF218" i="20"/>
  <c r="CF219" i="20"/>
  <c r="CF220" i="20"/>
  <c r="CF221" i="20"/>
  <c r="CF222" i="20"/>
  <c r="CF223" i="20"/>
  <c r="CF224" i="20"/>
  <c r="CF225" i="20"/>
  <c r="CF226" i="20"/>
  <c r="CF227" i="20"/>
  <c r="CF228" i="20"/>
  <c r="CF229" i="20"/>
  <c r="CF230" i="20"/>
  <c r="CF231" i="20"/>
  <c r="CF232" i="20"/>
  <c r="CF233" i="20"/>
  <c r="CF234" i="20"/>
  <c r="CF235" i="20"/>
  <c r="CF236" i="20"/>
  <c r="CF237" i="20"/>
  <c r="CF238" i="20"/>
  <c r="CF239" i="20"/>
  <c r="CF240" i="20"/>
  <c r="CF241" i="20"/>
  <c r="CF242" i="20"/>
  <c r="CF243" i="20"/>
  <c r="CF244" i="20"/>
  <c r="CF245" i="20"/>
  <c r="CF246" i="20"/>
  <c r="CF247" i="20"/>
  <c r="CF248" i="20"/>
  <c r="CF249" i="20"/>
  <c r="CF250" i="20"/>
  <c r="CF251" i="20"/>
  <c r="CF252" i="20"/>
  <c r="CF253" i="20"/>
  <c r="CF254" i="20"/>
  <c r="CF255" i="20"/>
  <c r="CF256" i="20"/>
  <c r="CF257" i="20"/>
  <c r="CF258" i="20"/>
  <c r="CF259" i="20"/>
  <c r="CF260" i="20"/>
  <c r="CF261" i="20"/>
  <c r="CF262" i="20"/>
  <c r="CF263" i="20"/>
  <c r="CF264" i="20"/>
  <c r="CF265" i="20"/>
  <c r="CF266" i="20"/>
  <c r="CF267" i="20"/>
  <c r="CF268" i="20"/>
  <c r="CF269" i="20"/>
  <c r="CF270" i="20"/>
  <c r="CF271" i="20"/>
  <c r="CF272" i="20"/>
  <c r="CF273" i="20"/>
  <c r="CF274" i="20"/>
  <c r="CF275" i="20"/>
  <c r="CF276" i="20"/>
  <c r="CF277" i="20"/>
  <c r="CF278" i="20"/>
  <c r="CF279" i="20"/>
  <c r="CF280" i="20"/>
  <c r="CF281" i="20"/>
  <c r="CF282" i="20"/>
  <c r="CF283" i="20"/>
  <c r="CF284" i="20"/>
  <c r="CF285" i="20"/>
  <c r="CF286" i="20"/>
  <c r="CF287" i="20"/>
  <c r="CF288" i="20"/>
  <c r="CF289" i="20"/>
  <c r="CF290" i="20"/>
  <c r="CF291" i="20"/>
  <c r="CF292" i="20"/>
  <c r="CF293" i="20"/>
  <c r="CF294" i="20"/>
  <c r="CF295" i="20"/>
  <c r="CF296" i="20"/>
  <c r="CF297" i="20"/>
  <c r="CF298" i="20"/>
  <c r="CF299" i="20"/>
  <c r="CF300" i="20"/>
  <c r="CF301" i="20"/>
  <c r="CF302" i="20"/>
  <c r="CF303" i="20"/>
  <c r="CF304" i="20"/>
  <c r="CF305" i="20"/>
  <c r="CF306" i="20"/>
  <c r="CF307" i="20"/>
  <c r="CF308" i="20"/>
  <c r="CF309" i="20"/>
  <c r="CF310" i="20"/>
  <c r="CF311" i="20"/>
  <c r="CF312" i="20"/>
  <c r="CF313" i="20"/>
  <c r="CF314" i="20"/>
  <c r="CF315" i="20"/>
  <c r="CF316" i="20"/>
  <c r="CF317" i="20"/>
  <c r="CF318" i="20"/>
  <c r="CF319" i="20"/>
  <c r="CF320" i="20"/>
  <c r="CF321" i="20"/>
  <c r="CF322" i="20"/>
  <c r="CF323" i="20"/>
  <c r="CF324" i="20"/>
  <c r="CF325" i="20"/>
  <c r="CF326" i="20"/>
  <c r="CF327" i="20"/>
  <c r="CF328" i="20"/>
  <c r="CF329" i="20"/>
  <c r="CF330" i="20"/>
  <c r="CF331" i="20"/>
  <c r="CF332" i="20"/>
  <c r="CF333" i="20"/>
  <c r="CF334" i="20"/>
  <c r="CF335" i="20"/>
  <c r="CF336" i="20"/>
  <c r="CF337" i="20"/>
  <c r="CF338" i="20"/>
  <c r="CF339" i="20"/>
  <c r="CF340" i="20"/>
  <c r="CF341" i="20"/>
  <c r="CF342" i="20"/>
  <c r="CF343" i="20"/>
  <c r="CF344" i="20"/>
  <c r="CF345" i="20"/>
  <c r="CF346" i="20"/>
  <c r="CF347" i="20"/>
  <c r="CB294" i="20"/>
  <c r="CC294" i="20"/>
  <c r="CB295" i="20"/>
  <c r="CC295" i="20"/>
  <c r="CB296" i="20"/>
  <c r="CC296" i="20"/>
  <c r="CB297" i="20"/>
  <c r="CC297" i="20"/>
  <c r="CB298" i="20"/>
  <c r="CC298" i="20"/>
  <c r="CB299" i="20"/>
  <c r="CC299" i="20"/>
  <c r="CB300" i="20"/>
  <c r="CC300" i="20"/>
  <c r="CB301" i="20"/>
  <c r="CC301" i="20"/>
  <c r="CB302" i="20"/>
  <c r="CC302" i="20"/>
  <c r="CB303" i="20"/>
  <c r="CC303" i="20"/>
  <c r="CB304" i="20"/>
  <c r="CC304" i="20"/>
  <c r="CB305" i="20"/>
  <c r="CC305" i="20"/>
  <c r="CB306" i="20"/>
  <c r="CC306" i="20"/>
  <c r="CB307" i="20"/>
  <c r="CC307" i="20"/>
  <c r="CB308" i="20"/>
  <c r="CC308" i="20"/>
  <c r="CB309" i="20"/>
  <c r="CC309" i="20"/>
  <c r="CB310" i="20"/>
  <c r="CC310" i="20"/>
  <c r="CB311" i="20"/>
  <c r="CC311" i="20"/>
  <c r="CB312" i="20"/>
  <c r="CC312" i="20"/>
  <c r="CB313" i="20"/>
  <c r="CC313" i="20"/>
  <c r="CB314" i="20"/>
  <c r="CC314" i="20"/>
  <c r="CB315" i="20"/>
  <c r="CC315" i="20"/>
  <c r="CB316" i="20"/>
  <c r="CC316" i="20"/>
  <c r="CB317" i="20"/>
  <c r="CC317" i="20"/>
  <c r="CB318" i="20"/>
  <c r="CC318" i="20"/>
  <c r="CB319" i="20"/>
  <c r="CC319" i="20"/>
  <c r="CB320" i="20"/>
  <c r="CC320" i="20"/>
  <c r="CB321" i="20"/>
  <c r="CC321" i="20"/>
  <c r="CB322" i="20"/>
  <c r="CC322" i="20"/>
  <c r="CB323" i="20"/>
  <c r="CC323" i="20"/>
  <c r="CB324" i="20"/>
  <c r="CC324" i="20"/>
  <c r="CB325" i="20"/>
  <c r="CC325" i="20"/>
  <c r="CB326" i="20"/>
  <c r="CC326" i="20"/>
  <c r="CB327" i="20"/>
  <c r="CC327" i="20"/>
  <c r="CB328" i="20"/>
  <c r="CC328" i="20"/>
  <c r="CB329" i="20"/>
  <c r="CC329" i="20"/>
  <c r="CB330" i="20"/>
  <c r="CC330" i="20"/>
  <c r="CB331" i="20"/>
  <c r="CC331" i="20"/>
  <c r="CB332" i="20"/>
  <c r="CC332" i="20"/>
  <c r="CB333" i="20"/>
  <c r="CC333" i="20"/>
  <c r="CB334" i="20"/>
  <c r="CC334" i="20"/>
  <c r="CB335" i="20"/>
  <c r="CC335" i="20"/>
  <c r="CB336" i="20"/>
  <c r="CC336" i="20"/>
  <c r="CB337" i="20"/>
  <c r="CC337" i="20"/>
  <c r="CB338" i="20"/>
  <c r="CC338" i="20"/>
  <c r="CB339" i="20"/>
  <c r="CC339" i="20"/>
  <c r="CB340" i="20"/>
  <c r="CC340" i="20"/>
  <c r="CB341" i="20"/>
  <c r="CC341" i="20"/>
  <c r="CB342" i="20"/>
  <c r="CC342" i="20"/>
  <c r="CB343" i="20"/>
  <c r="CC343" i="20"/>
  <c r="CB344" i="20"/>
  <c r="CC344" i="20"/>
  <c r="CB345" i="20"/>
  <c r="CC345" i="20"/>
  <c r="CB346" i="20"/>
  <c r="CC346" i="20"/>
  <c r="CB347" i="20"/>
  <c r="CC347" i="20"/>
  <c r="BZ294" i="20"/>
  <c r="CA294" i="20"/>
  <c r="BZ295" i="20"/>
  <c r="CA295" i="20"/>
  <c r="BZ296" i="20"/>
  <c r="CA296" i="20"/>
  <c r="BZ297" i="20"/>
  <c r="CA297" i="20"/>
  <c r="BZ298" i="20"/>
  <c r="CA298" i="20"/>
  <c r="BZ299" i="20"/>
  <c r="CA299" i="20"/>
  <c r="BZ300" i="20"/>
  <c r="CA300" i="20"/>
  <c r="BZ301" i="20"/>
  <c r="CA301" i="20"/>
  <c r="BZ302" i="20"/>
  <c r="CA302" i="20"/>
  <c r="BZ303" i="20"/>
  <c r="CA303" i="20"/>
  <c r="BZ304" i="20"/>
  <c r="CA304" i="20"/>
  <c r="BZ305" i="20"/>
  <c r="CA305" i="20"/>
  <c r="BZ306" i="20"/>
  <c r="CA306" i="20"/>
  <c r="BZ307" i="20"/>
  <c r="CA307" i="20"/>
  <c r="BZ308" i="20"/>
  <c r="CA308" i="20"/>
  <c r="BZ309" i="20"/>
  <c r="CA309" i="20"/>
  <c r="BZ310" i="20"/>
  <c r="CA310" i="20"/>
  <c r="BZ311" i="20"/>
  <c r="CA311" i="20"/>
  <c r="BZ312" i="20"/>
  <c r="CA312" i="20"/>
  <c r="BZ313" i="20"/>
  <c r="CA313" i="20"/>
  <c r="BZ314" i="20"/>
  <c r="CA314" i="20"/>
  <c r="BZ315" i="20"/>
  <c r="CA315" i="20"/>
  <c r="BZ316" i="20"/>
  <c r="CA316" i="20"/>
  <c r="BZ317" i="20"/>
  <c r="CA317" i="20"/>
  <c r="BZ318" i="20"/>
  <c r="CA318" i="20"/>
  <c r="BZ319" i="20"/>
  <c r="CA319" i="20"/>
  <c r="BZ320" i="20"/>
  <c r="CA320" i="20"/>
  <c r="BZ321" i="20"/>
  <c r="CA321" i="20"/>
  <c r="BZ322" i="20"/>
  <c r="CA322" i="20"/>
  <c r="BZ323" i="20"/>
  <c r="CA323" i="20"/>
  <c r="BZ324" i="20"/>
  <c r="CA324" i="20"/>
  <c r="BZ325" i="20"/>
  <c r="CA325" i="20"/>
  <c r="BZ326" i="20"/>
  <c r="CA326" i="20"/>
  <c r="BZ327" i="20"/>
  <c r="CA327" i="20"/>
  <c r="BZ328" i="20"/>
  <c r="CA328" i="20"/>
  <c r="BZ329" i="20"/>
  <c r="CA329" i="20"/>
  <c r="BZ330" i="20"/>
  <c r="CA330" i="20"/>
  <c r="BZ331" i="20"/>
  <c r="CA331" i="20"/>
  <c r="BZ332" i="20"/>
  <c r="CA332" i="20"/>
  <c r="BZ333" i="20"/>
  <c r="CA333" i="20"/>
  <c r="BZ334" i="20"/>
  <c r="CA334" i="20"/>
  <c r="BZ335" i="20"/>
  <c r="CA335" i="20"/>
  <c r="BZ336" i="20"/>
  <c r="CA336" i="20"/>
  <c r="BZ337" i="20"/>
  <c r="CA337" i="20"/>
  <c r="BZ338" i="20"/>
  <c r="CA338" i="20"/>
  <c r="BZ339" i="20"/>
  <c r="CA339" i="20"/>
  <c r="BZ340" i="20"/>
  <c r="CA340" i="20"/>
  <c r="BZ341" i="20"/>
  <c r="CA341" i="20"/>
  <c r="BZ342" i="20"/>
  <c r="CA342" i="20"/>
  <c r="BZ343" i="20"/>
  <c r="CA343" i="20"/>
  <c r="BZ344" i="20"/>
  <c r="CA344" i="20"/>
  <c r="BZ345" i="20"/>
  <c r="CA345" i="20"/>
  <c r="BZ346" i="20"/>
  <c r="CA346" i="20"/>
  <c r="BZ347" i="20"/>
  <c r="CA347" i="20"/>
  <c r="BY294" i="20"/>
  <c r="BY295" i="20"/>
  <c r="BY296" i="20"/>
  <c r="BY297" i="20"/>
  <c r="BY298" i="20"/>
  <c r="BY299" i="20"/>
  <c r="BY300" i="20"/>
  <c r="BY301" i="20"/>
  <c r="BY302" i="20"/>
  <c r="BY303" i="20"/>
  <c r="BY304" i="20"/>
  <c r="BY305" i="20"/>
  <c r="BY306" i="20"/>
  <c r="BY307" i="20"/>
  <c r="BY308" i="20"/>
  <c r="BY309" i="20"/>
  <c r="BY310" i="20"/>
  <c r="BY311" i="20"/>
  <c r="BY312" i="20"/>
  <c r="BY313" i="20"/>
  <c r="BY314" i="20"/>
  <c r="BY315" i="20"/>
  <c r="BY316" i="20"/>
  <c r="BY317" i="20"/>
  <c r="BY318" i="20"/>
  <c r="BY319" i="20"/>
  <c r="BY320" i="20"/>
  <c r="BY321" i="20"/>
  <c r="BY322" i="20"/>
  <c r="BY323" i="20"/>
  <c r="BY324" i="20"/>
  <c r="BY325" i="20"/>
  <c r="BY326" i="20"/>
  <c r="BY327" i="20"/>
  <c r="BY328" i="20"/>
  <c r="BY329" i="20"/>
  <c r="BY330" i="20"/>
  <c r="BY331" i="20"/>
  <c r="BY332" i="20"/>
  <c r="BY333" i="20"/>
  <c r="BY334" i="20"/>
  <c r="BY335" i="20"/>
  <c r="BY336" i="20"/>
  <c r="BY337" i="20"/>
  <c r="BY338" i="20"/>
  <c r="BY339" i="20"/>
  <c r="BY340" i="20"/>
  <c r="BY341" i="20"/>
  <c r="BY342" i="20"/>
  <c r="BY343" i="20"/>
  <c r="BY344" i="20"/>
  <c r="BY345" i="20"/>
  <c r="BY346" i="20"/>
  <c r="BY347" i="20"/>
  <c r="BX294" i="20"/>
  <c r="BX295" i="20"/>
  <c r="BX296" i="20"/>
  <c r="BX297" i="20"/>
  <c r="BX298" i="20"/>
  <c r="BX299" i="20"/>
  <c r="BX300" i="20"/>
  <c r="BX301" i="20"/>
  <c r="BX302" i="20"/>
  <c r="BX303" i="20"/>
  <c r="BX304" i="20"/>
  <c r="BX305" i="20"/>
  <c r="BX306" i="20"/>
  <c r="BX307" i="20"/>
  <c r="BX308" i="20"/>
  <c r="BX309" i="20"/>
  <c r="BX310" i="20"/>
  <c r="BX311" i="20"/>
  <c r="BX312" i="20"/>
  <c r="BX313" i="20"/>
  <c r="BX314" i="20"/>
  <c r="BX315" i="20"/>
  <c r="BX316" i="20"/>
  <c r="BX317" i="20"/>
  <c r="BX318" i="20"/>
  <c r="BX319" i="20"/>
  <c r="BX320" i="20"/>
  <c r="BX321" i="20"/>
  <c r="BX322" i="20"/>
  <c r="BX323" i="20"/>
  <c r="BX324" i="20"/>
  <c r="BX325" i="20"/>
  <c r="BX326" i="20"/>
  <c r="BX327" i="20"/>
  <c r="BX328" i="20"/>
  <c r="BX329" i="20"/>
  <c r="BX330" i="20"/>
  <c r="BX331" i="20"/>
  <c r="BX332" i="20"/>
  <c r="BX333" i="20"/>
  <c r="BX334" i="20"/>
  <c r="BX335" i="20"/>
  <c r="BX336" i="20"/>
  <c r="BX337" i="20"/>
  <c r="BX338" i="20"/>
  <c r="BX339" i="20"/>
  <c r="BX340" i="20"/>
  <c r="BX341" i="20"/>
  <c r="BX342" i="20"/>
  <c r="BX343" i="20"/>
  <c r="BX344" i="20"/>
  <c r="BX345" i="20"/>
  <c r="BX346" i="20"/>
  <c r="BX347" i="20"/>
  <c r="BW294" i="20"/>
  <c r="BW295" i="20"/>
  <c r="BW296" i="20"/>
  <c r="BW297" i="20"/>
  <c r="BW298" i="20"/>
  <c r="BW299" i="20"/>
  <c r="BW300" i="20"/>
  <c r="BW301" i="20"/>
  <c r="BW302" i="20"/>
  <c r="BW303" i="20"/>
  <c r="BW304" i="20"/>
  <c r="BW305" i="20"/>
  <c r="BW306" i="20"/>
  <c r="BW307" i="20"/>
  <c r="BW308" i="20"/>
  <c r="BW309" i="20"/>
  <c r="BW310" i="20"/>
  <c r="BW311" i="20"/>
  <c r="BW312" i="20"/>
  <c r="BW313" i="20"/>
  <c r="BW314" i="20"/>
  <c r="BW315" i="20"/>
  <c r="BW316" i="20"/>
  <c r="BW317" i="20"/>
  <c r="BW318" i="20"/>
  <c r="BW319" i="20"/>
  <c r="BW320" i="20"/>
  <c r="BW321" i="20"/>
  <c r="BW322" i="20"/>
  <c r="BW323" i="20"/>
  <c r="BW324" i="20"/>
  <c r="BW325" i="20"/>
  <c r="BW326" i="20"/>
  <c r="BW327" i="20"/>
  <c r="BW328" i="20"/>
  <c r="BW329" i="20"/>
  <c r="BW330" i="20"/>
  <c r="BW331" i="20"/>
  <c r="BW332" i="20"/>
  <c r="BW333" i="20"/>
  <c r="BW334" i="20"/>
  <c r="BW335" i="20"/>
  <c r="BW336" i="20"/>
  <c r="BW337" i="20"/>
  <c r="BW338" i="20"/>
  <c r="BW339" i="20"/>
  <c r="BW340" i="20"/>
  <c r="BW341" i="20"/>
  <c r="BW342" i="20"/>
  <c r="BW343" i="20"/>
  <c r="BW344" i="20"/>
  <c r="BW345" i="20"/>
  <c r="BW346" i="20"/>
  <c r="BW347" i="20"/>
  <c r="BU294" i="20"/>
  <c r="BV294" i="20"/>
  <c r="BU295" i="20"/>
  <c r="BV295" i="20"/>
  <c r="BU296" i="20"/>
  <c r="BV296" i="20"/>
  <c r="BU297" i="20"/>
  <c r="BV297" i="20"/>
  <c r="BU298" i="20"/>
  <c r="BV298" i="20"/>
  <c r="BU299" i="20"/>
  <c r="BV299" i="20"/>
  <c r="BU300" i="20"/>
  <c r="BV300" i="20"/>
  <c r="BU301" i="20"/>
  <c r="BV301" i="20"/>
  <c r="BU302" i="20"/>
  <c r="BV302" i="20"/>
  <c r="BU303" i="20"/>
  <c r="BV303" i="20"/>
  <c r="BU304" i="20"/>
  <c r="BV304" i="20"/>
  <c r="BU305" i="20"/>
  <c r="BV305" i="20"/>
  <c r="BU306" i="20"/>
  <c r="BV306" i="20"/>
  <c r="BU307" i="20"/>
  <c r="BV307" i="20"/>
  <c r="BU308" i="20"/>
  <c r="BV308" i="20"/>
  <c r="BU309" i="20"/>
  <c r="BV309" i="20"/>
  <c r="BU310" i="20"/>
  <c r="BV310" i="20"/>
  <c r="BU311" i="20"/>
  <c r="BV311" i="20"/>
  <c r="BU312" i="20"/>
  <c r="BV312" i="20"/>
  <c r="BU313" i="20"/>
  <c r="BV313" i="20"/>
  <c r="BU314" i="20"/>
  <c r="BV314" i="20"/>
  <c r="BU315" i="20"/>
  <c r="BV315" i="20"/>
  <c r="BU316" i="20"/>
  <c r="BV316" i="20"/>
  <c r="BU317" i="20"/>
  <c r="BV317" i="20"/>
  <c r="BU318" i="20"/>
  <c r="BV318" i="20"/>
  <c r="BU319" i="20"/>
  <c r="BV319" i="20"/>
  <c r="BU320" i="20"/>
  <c r="BV320" i="20"/>
  <c r="BU321" i="20"/>
  <c r="BV321" i="20"/>
  <c r="BU322" i="20"/>
  <c r="BV322" i="20"/>
  <c r="BU323" i="20"/>
  <c r="BV323" i="20"/>
  <c r="BU324" i="20"/>
  <c r="BV324" i="20"/>
  <c r="BU325" i="20"/>
  <c r="BV325" i="20"/>
  <c r="BU326" i="20"/>
  <c r="BV326" i="20"/>
  <c r="BU327" i="20"/>
  <c r="BV327" i="20"/>
  <c r="BU328" i="20"/>
  <c r="BV328" i="20"/>
  <c r="BU329" i="20"/>
  <c r="BV329" i="20"/>
  <c r="BU330" i="20"/>
  <c r="BV330" i="20"/>
  <c r="BU331" i="20"/>
  <c r="BV331" i="20"/>
  <c r="BU332" i="20"/>
  <c r="BV332" i="20"/>
  <c r="BU333" i="20"/>
  <c r="BV333" i="20"/>
  <c r="BU334" i="20"/>
  <c r="BV334" i="20"/>
  <c r="BU335" i="20"/>
  <c r="BV335" i="20"/>
  <c r="BU336" i="20"/>
  <c r="BV336" i="20"/>
  <c r="BU337" i="20"/>
  <c r="BV337" i="20"/>
  <c r="BU338" i="20"/>
  <c r="BV338" i="20"/>
  <c r="BU339" i="20"/>
  <c r="BV339" i="20"/>
  <c r="BU340" i="20"/>
  <c r="BV340" i="20"/>
  <c r="BU341" i="20"/>
  <c r="BV341" i="20"/>
  <c r="BU342" i="20"/>
  <c r="BV342" i="20"/>
  <c r="BU343" i="20"/>
  <c r="BV343" i="20"/>
  <c r="BU344" i="20"/>
  <c r="BV344" i="20"/>
  <c r="BU345" i="20"/>
  <c r="BV345" i="20"/>
  <c r="BU346" i="20"/>
  <c r="BV346" i="20"/>
  <c r="BU347" i="20"/>
  <c r="BV347" i="20"/>
  <c r="BT294" i="20"/>
  <c r="BT295" i="20"/>
  <c r="BT296" i="20"/>
  <c r="BT297" i="20"/>
  <c r="BT298" i="20"/>
  <c r="BT299" i="20"/>
  <c r="BT300" i="20"/>
  <c r="BT301" i="20"/>
  <c r="BT302" i="20"/>
  <c r="BT303" i="20"/>
  <c r="BT304" i="20"/>
  <c r="BT305" i="20"/>
  <c r="BT306" i="20"/>
  <c r="BT307" i="20"/>
  <c r="BT308" i="20"/>
  <c r="BT309" i="20"/>
  <c r="BT310" i="20"/>
  <c r="BT311" i="20"/>
  <c r="BT312" i="20"/>
  <c r="BT313" i="20"/>
  <c r="BT314" i="20"/>
  <c r="BT315" i="20"/>
  <c r="BT316" i="20"/>
  <c r="BT317" i="20"/>
  <c r="BT318" i="20"/>
  <c r="BT319" i="20"/>
  <c r="BT320" i="20"/>
  <c r="BT321" i="20"/>
  <c r="BT322" i="20"/>
  <c r="BT323" i="20"/>
  <c r="BT324" i="20"/>
  <c r="BT325" i="20"/>
  <c r="BT326" i="20"/>
  <c r="BT327" i="20"/>
  <c r="BT328" i="20"/>
  <c r="BT329" i="20"/>
  <c r="BT330" i="20"/>
  <c r="BT331" i="20"/>
  <c r="BT332" i="20"/>
  <c r="BT333" i="20"/>
  <c r="BT334" i="20"/>
  <c r="BT335" i="20"/>
  <c r="BT336" i="20"/>
  <c r="BT337" i="20"/>
  <c r="BT338" i="20"/>
  <c r="BT339" i="20"/>
  <c r="BT340" i="20"/>
  <c r="BT341" i="20"/>
  <c r="BT342" i="20"/>
  <c r="BT343" i="20"/>
  <c r="BT344" i="20"/>
  <c r="BT345" i="20"/>
  <c r="BT346" i="20"/>
  <c r="BT347" i="20"/>
  <c r="BJ294" i="20"/>
  <c r="BK294" i="20"/>
  <c r="BL294" i="20"/>
  <c r="BM294" i="20"/>
  <c r="BN294" i="20"/>
  <c r="BJ295" i="20"/>
  <c r="BK295" i="20"/>
  <c r="BL295" i="20"/>
  <c r="BM295" i="20"/>
  <c r="BN295" i="20"/>
  <c r="BJ296" i="20"/>
  <c r="BK296" i="20"/>
  <c r="BL296" i="20"/>
  <c r="BM296" i="20"/>
  <c r="BN296" i="20"/>
  <c r="BJ297" i="20"/>
  <c r="BK297" i="20"/>
  <c r="BL297" i="20"/>
  <c r="BM297" i="20"/>
  <c r="BN297" i="20"/>
  <c r="BJ298" i="20"/>
  <c r="BK298" i="20"/>
  <c r="BL298" i="20"/>
  <c r="BM298" i="20"/>
  <c r="BN298" i="20"/>
  <c r="BJ299" i="20"/>
  <c r="BK299" i="20"/>
  <c r="BL299" i="20"/>
  <c r="BM299" i="20"/>
  <c r="BN299" i="20"/>
  <c r="BJ300" i="20"/>
  <c r="BK300" i="20"/>
  <c r="BL300" i="20"/>
  <c r="BM300" i="20"/>
  <c r="BN300" i="20"/>
  <c r="BJ301" i="20"/>
  <c r="BK301" i="20"/>
  <c r="BL301" i="20"/>
  <c r="BM301" i="20"/>
  <c r="BN301" i="20"/>
  <c r="BJ302" i="20"/>
  <c r="BK302" i="20"/>
  <c r="BL302" i="20"/>
  <c r="BM302" i="20"/>
  <c r="BN302" i="20"/>
  <c r="BJ303" i="20"/>
  <c r="BK303" i="20"/>
  <c r="BL303" i="20"/>
  <c r="BM303" i="20"/>
  <c r="BN303" i="20"/>
  <c r="BJ304" i="20"/>
  <c r="BK304" i="20"/>
  <c r="BL304" i="20"/>
  <c r="BM304" i="20"/>
  <c r="BN304" i="20"/>
  <c r="BJ305" i="20"/>
  <c r="BK305" i="20"/>
  <c r="BL305" i="20"/>
  <c r="BM305" i="20"/>
  <c r="BN305" i="20"/>
  <c r="BJ306" i="20"/>
  <c r="BK306" i="20"/>
  <c r="BL306" i="20"/>
  <c r="BM306" i="20"/>
  <c r="BN306" i="20"/>
  <c r="BJ307" i="20"/>
  <c r="BK307" i="20"/>
  <c r="BL307" i="20"/>
  <c r="BM307" i="20"/>
  <c r="BN307" i="20"/>
  <c r="BJ308" i="20"/>
  <c r="BK308" i="20"/>
  <c r="BL308" i="20"/>
  <c r="BM308" i="20"/>
  <c r="BN308" i="20"/>
  <c r="BJ309" i="20"/>
  <c r="BK309" i="20"/>
  <c r="BL309" i="20"/>
  <c r="BM309" i="20"/>
  <c r="BN309" i="20"/>
  <c r="BJ310" i="20"/>
  <c r="BK310" i="20"/>
  <c r="BL310" i="20"/>
  <c r="BM310" i="20"/>
  <c r="BN310" i="20"/>
  <c r="BJ311" i="20"/>
  <c r="BK311" i="20"/>
  <c r="BL311" i="20"/>
  <c r="BM311" i="20"/>
  <c r="BN311" i="20"/>
  <c r="BJ312" i="20"/>
  <c r="BK312" i="20"/>
  <c r="BL312" i="20"/>
  <c r="BM312" i="20"/>
  <c r="BN312" i="20"/>
  <c r="BJ313" i="20"/>
  <c r="BK313" i="20"/>
  <c r="BL313" i="20"/>
  <c r="BM313" i="20"/>
  <c r="BN313" i="20"/>
  <c r="BJ314" i="20"/>
  <c r="BK314" i="20"/>
  <c r="BL314" i="20"/>
  <c r="BM314" i="20"/>
  <c r="BN314" i="20"/>
  <c r="BJ315" i="20"/>
  <c r="BK315" i="20"/>
  <c r="BL315" i="20"/>
  <c r="BM315" i="20"/>
  <c r="BN315" i="20"/>
  <c r="BJ316" i="20"/>
  <c r="BK316" i="20"/>
  <c r="BL316" i="20"/>
  <c r="BM316" i="20"/>
  <c r="BN316" i="20"/>
  <c r="BJ317" i="20"/>
  <c r="BK317" i="20"/>
  <c r="BL317" i="20"/>
  <c r="BM317" i="20"/>
  <c r="BN317" i="20"/>
  <c r="BJ318" i="20"/>
  <c r="BK318" i="20"/>
  <c r="BL318" i="20"/>
  <c r="BM318" i="20"/>
  <c r="BN318" i="20"/>
  <c r="BJ319" i="20"/>
  <c r="BK319" i="20"/>
  <c r="BL319" i="20"/>
  <c r="BM319" i="20"/>
  <c r="BN319" i="20"/>
  <c r="BJ320" i="20"/>
  <c r="BK320" i="20"/>
  <c r="BL320" i="20"/>
  <c r="BM320" i="20"/>
  <c r="BN320" i="20"/>
  <c r="BJ321" i="20"/>
  <c r="BK321" i="20"/>
  <c r="BL321" i="20"/>
  <c r="BM321" i="20"/>
  <c r="BN321" i="20"/>
  <c r="BJ322" i="20"/>
  <c r="BK322" i="20"/>
  <c r="BL322" i="20"/>
  <c r="BM322" i="20"/>
  <c r="BN322" i="20"/>
  <c r="BJ323" i="20"/>
  <c r="BK323" i="20"/>
  <c r="BL323" i="20"/>
  <c r="BM323" i="20"/>
  <c r="BN323" i="20"/>
  <c r="BJ324" i="20"/>
  <c r="BK324" i="20"/>
  <c r="BL324" i="20"/>
  <c r="BM324" i="20"/>
  <c r="BN324" i="20"/>
  <c r="BJ325" i="20"/>
  <c r="BK325" i="20"/>
  <c r="BL325" i="20"/>
  <c r="BM325" i="20"/>
  <c r="BN325" i="20"/>
  <c r="BJ326" i="20"/>
  <c r="BK326" i="20"/>
  <c r="BL326" i="20"/>
  <c r="BM326" i="20"/>
  <c r="BN326" i="20"/>
  <c r="BJ327" i="20"/>
  <c r="BK327" i="20"/>
  <c r="BL327" i="20"/>
  <c r="BM327" i="20"/>
  <c r="BN327" i="20"/>
  <c r="BJ328" i="20"/>
  <c r="BK328" i="20"/>
  <c r="BL328" i="20"/>
  <c r="BM328" i="20"/>
  <c r="BN328" i="20"/>
  <c r="BJ329" i="20"/>
  <c r="BK329" i="20"/>
  <c r="BL329" i="20"/>
  <c r="BM329" i="20"/>
  <c r="BN329" i="20"/>
  <c r="BJ330" i="20"/>
  <c r="BK330" i="20"/>
  <c r="BL330" i="20"/>
  <c r="BM330" i="20"/>
  <c r="BN330" i="20"/>
  <c r="BJ331" i="20"/>
  <c r="BK331" i="20"/>
  <c r="BL331" i="20"/>
  <c r="BM331" i="20"/>
  <c r="BN331" i="20"/>
  <c r="BJ332" i="20"/>
  <c r="BK332" i="20"/>
  <c r="BL332" i="20"/>
  <c r="BM332" i="20"/>
  <c r="BN332" i="20"/>
  <c r="BJ333" i="20"/>
  <c r="BK333" i="20"/>
  <c r="BL333" i="20"/>
  <c r="BM333" i="20"/>
  <c r="BN333" i="20"/>
  <c r="BJ334" i="20"/>
  <c r="BK334" i="20"/>
  <c r="BL334" i="20"/>
  <c r="BM334" i="20"/>
  <c r="BN334" i="20"/>
  <c r="BJ335" i="20"/>
  <c r="BK335" i="20"/>
  <c r="BL335" i="20"/>
  <c r="BM335" i="20"/>
  <c r="BN335" i="20"/>
  <c r="BJ336" i="20"/>
  <c r="BK336" i="20"/>
  <c r="BL336" i="20"/>
  <c r="BM336" i="20"/>
  <c r="BN336" i="20"/>
  <c r="BJ337" i="20"/>
  <c r="BK337" i="20"/>
  <c r="BL337" i="20"/>
  <c r="BM337" i="20"/>
  <c r="BN337" i="20"/>
  <c r="BJ338" i="20"/>
  <c r="BK338" i="20"/>
  <c r="BL338" i="20"/>
  <c r="BM338" i="20"/>
  <c r="BN338" i="20"/>
  <c r="BJ339" i="20"/>
  <c r="BK339" i="20"/>
  <c r="BL339" i="20"/>
  <c r="BM339" i="20"/>
  <c r="BN339" i="20"/>
  <c r="BJ340" i="20"/>
  <c r="BK340" i="20"/>
  <c r="BL340" i="20"/>
  <c r="BM340" i="20"/>
  <c r="BN340" i="20"/>
  <c r="BJ341" i="20"/>
  <c r="BK341" i="20"/>
  <c r="BL341" i="20"/>
  <c r="BM341" i="20"/>
  <c r="BN341" i="20"/>
  <c r="BJ342" i="20"/>
  <c r="BK342" i="20"/>
  <c r="BL342" i="20"/>
  <c r="BM342" i="20"/>
  <c r="BN342" i="20"/>
  <c r="BJ343" i="20"/>
  <c r="BK343" i="20"/>
  <c r="BL343" i="20"/>
  <c r="BM343" i="20"/>
  <c r="BN343" i="20"/>
  <c r="BJ344" i="20"/>
  <c r="BK344" i="20"/>
  <c r="BL344" i="20"/>
  <c r="BM344" i="20"/>
  <c r="BN344" i="20"/>
  <c r="BJ345" i="20"/>
  <c r="BK345" i="20"/>
  <c r="BL345" i="20"/>
  <c r="BM345" i="20"/>
  <c r="BN345" i="20"/>
  <c r="BJ346" i="20"/>
  <c r="BK346" i="20"/>
  <c r="BL346" i="20"/>
  <c r="BM346" i="20"/>
  <c r="BN346" i="20"/>
  <c r="BJ347" i="20"/>
  <c r="BK347" i="20"/>
  <c r="BL347" i="20"/>
  <c r="BM347" i="20"/>
  <c r="BN347" i="20"/>
  <c r="BC294" i="20"/>
  <c r="BD294" i="20"/>
  <c r="BE294" i="20"/>
  <c r="BF294" i="20"/>
  <c r="BG294" i="20"/>
  <c r="BI294" i="20"/>
  <c r="BC295" i="20"/>
  <c r="BD295" i="20"/>
  <c r="BE295" i="20"/>
  <c r="BF295" i="20"/>
  <c r="BG295" i="20"/>
  <c r="BI295" i="20"/>
  <c r="BC296" i="20"/>
  <c r="BD296" i="20"/>
  <c r="BE296" i="20"/>
  <c r="BF296" i="20"/>
  <c r="BG296" i="20"/>
  <c r="BI296" i="20"/>
  <c r="BC297" i="20"/>
  <c r="BD297" i="20"/>
  <c r="BE297" i="20"/>
  <c r="BF297" i="20"/>
  <c r="BG297" i="20"/>
  <c r="BI297" i="20"/>
  <c r="BC298" i="20"/>
  <c r="BD298" i="20"/>
  <c r="BE298" i="20"/>
  <c r="BF298" i="20"/>
  <c r="BG298" i="20"/>
  <c r="BI298" i="20"/>
  <c r="BC299" i="20"/>
  <c r="BD299" i="20"/>
  <c r="BE299" i="20"/>
  <c r="BF299" i="20"/>
  <c r="BG299" i="20"/>
  <c r="BI299" i="20"/>
  <c r="BC300" i="20"/>
  <c r="BD300" i="20"/>
  <c r="BE300" i="20"/>
  <c r="BF300" i="20"/>
  <c r="BG300" i="20"/>
  <c r="BI300" i="20"/>
  <c r="BC301" i="20"/>
  <c r="BD301" i="20"/>
  <c r="BE301" i="20"/>
  <c r="BF301" i="20"/>
  <c r="BG301" i="20"/>
  <c r="BI301" i="20"/>
  <c r="BC302" i="20"/>
  <c r="BD302" i="20"/>
  <c r="BE302" i="20"/>
  <c r="BF302" i="20"/>
  <c r="BG302" i="20"/>
  <c r="BI302" i="20"/>
  <c r="BC303" i="20"/>
  <c r="BD303" i="20"/>
  <c r="BE303" i="20"/>
  <c r="BF303" i="20"/>
  <c r="BG303" i="20"/>
  <c r="BI303" i="20"/>
  <c r="BC304" i="20"/>
  <c r="BD304" i="20"/>
  <c r="BE304" i="20"/>
  <c r="BF304" i="20"/>
  <c r="BG304" i="20"/>
  <c r="BI304" i="20"/>
  <c r="BC305" i="20"/>
  <c r="BD305" i="20"/>
  <c r="BE305" i="20"/>
  <c r="BF305" i="20"/>
  <c r="BG305" i="20"/>
  <c r="BI305" i="20"/>
  <c r="BC306" i="20"/>
  <c r="BD306" i="20"/>
  <c r="BE306" i="20"/>
  <c r="BF306" i="20"/>
  <c r="BG306" i="20"/>
  <c r="BI306" i="20"/>
  <c r="BC307" i="20"/>
  <c r="BD307" i="20"/>
  <c r="BE307" i="20"/>
  <c r="BF307" i="20"/>
  <c r="BG307" i="20"/>
  <c r="BI307" i="20"/>
  <c r="BC308" i="20"/>
  <c r="BD308" i="20"/>
  <c r="BE308" i="20"/>
  <c r="BF308" i="20"/>
  <c r="BG308" i="20"/>
  <c r="BI308" i="20"/>
  <c r="BC309" i="20"/>
  <c r="BD309" i="20"/>
  <c r="BE309" i="20"/>
  <c r="BF309" i="20"/>
  <c r="BG309" i="20"/>
  <c r="BI309" i="20"/>
  <c r="BC310" i="20"/>
  <c r="BD310" i="20"/>
  <c r="BE310" i="20"/>
  <c r="BF310" i="20"/>
  <c r="BG310" i="20"/>
  <c r="BI310" i="20"/>
  <c r="BC311" i="20"/>
  <c r="BD311" i="20"/>
  <c r="BE311" i="20"/>
  <c r="BF311" i="20"/>
  <c r="BG311" i="20"/>
  <c r="BI311" i="20"/>
  <c r="BC312" i="20"/>
  <c r="BD312" i="20"/>
  <c r="BE312" i="20"/>
  <c r="BF312" i="20"/>
  <c r="BG312" i="20"/>
  <c r="BI312" i="20"/>
  <c r="BC313" i="20"/>
  <c r="BD313" i="20"/>
  <c r="BE313" i="20"/>
  <c r="BF313" i="20"/>
  <c r="BG313" i="20"/>
  <c r="BI313" i="20"/>
  <c r="BC314" i="20"/>
  <c r="BD314" i="20"/>
  <c r="BE314" i="20"/>
  <c r="BF314" i="20"/>
  <c r="BG314" i="20"/>
  <c r="BI314" i="20"/>
  <c r="BC315" i="20"/>
  <c r="BD315" i="20"/>
  <c r="BE315" i="20"/>
  <c r="BF315" i="20"/>
  <c r="BG315" i="20"/>
  <c r="BI315" i="20"/>
  <c r="BC316" i="20"/>
  <c r="BD316" i="20"/>
  <c r="BE316" i="20"/>
  <c r="BF316" i="20"/>
  <c r="BG316" i="20"/>
  <c r="BI316" i="20"/>
  <c r="BC317" i="20"/>
  <c r="BD317" i="20"/>
  <c r="BE317" i="20"/>
  <c r="BF317" i="20"/>
  <c r="BG317" i="20"/>
  <c r="BI317" i="20"/>
  <c r="BC318" i="20"/>
  <c r="BD318" i="20"/>
  <c r="BE318" i="20"/>
  <c r="BF318" i="20"/>
  <c r="BG318" i="20"/>
  <c r="BI318" i="20"/>
  <c r="BC319" i="20"/>
  <c r="BD319" i="20"/>
  <c r="BE319" i="20"/>
  <c r="BF319" i="20"/>
  <c r="BG319" i="20"/>
  <c r="BI319" i="20"/>
  <c r="BC320" i="20"/>
  <c r="BD320" i="20"/>
  <c r="BE320" i="20"/>
  <c r="BF320" i="20"/>
  <c r="BG320" i="20"/>
  <c r="BI320" i="20"/>
  <c r="BC321" i="20"/>
  <c r="BD321" i="20"/>
  <c r="BE321" i="20"/>
  <c r="BF321" i="20"/>
  <c r="BG321" i="20"/>
  <c r="BI321" i="20"/>
  <c r="BC322" i="20"/>
  <c r="BD322" i="20"/>
  <c r="BE322" i="20"/>
  <c r="BF322" i="20"/>
  <c r="BG322" i="20"/>
  <c r="BI322" i="20"/>
  <c r="BC323" i="20"/>
  <c r="BD323" i="20"/>
  <c r="BE323" i="20"/>
  <c r="BF323" i="20"/>
  <c r="BG323" i="20"/>
  <c r="BI323" i="20"/>
  <c r="BC324" i="20"/>
  <c r="BD324" i="20"/>
  <c r="BE324" i="20"/>
  <c r="BF324" i="20"/>
  <c r="BG324" i="20"/>
  <c r="BI324" i="20"/>
  <c r="BC325" i="20"/>
  <c r="BD325" i="20"/>
  <c r="BE325" i="20"/>
  <c r="BF325" i="20"/>
  <c r="BG325" i="20"/>
  <c r="BI325" i="20"/>
  <c r="BC326" i="20"/>
  <c r="BD326" i="20"/>
  <c r="BE326" i="20"/>
  <c r="BF326" i="20"/>
  <c r="BG326" i="20"/>
  <c r="BI326" i="20"/>
  <c r="BC327" i="20"/>
  <c r="BD327" i="20"/>
  <c r="BE327" i="20"/>
  <c r="BF327" i="20"/>
  <c r="BG327" i="20"/>
  <c r="BI327" i="20"/>
  <c r="BC328" i="20"/>
  <c r="BD328" i="20"/>
  <c r="BE328" i="20"/>
  <c r="BF328" i="20"/>
  <c r="BG328" i="20"/>
  <c r="BI328" i="20"/>
  <c r="BC329" i="20"/>
  <c r="BD329" i="20"/>
  <c r="BE329" i="20"/>
  <c r="BF329" i="20"/>
  <c r="BG329" i="20"/>
  <c r="BI329" i="20"/>
  <c r="BC330" i="20"/>
  <c r="BD330" i="20"/>
  <c r="BE330" i="20"/>
  <c r="BF330" i="20"/>
  <c r="BG330" i="20"/>
  <c r="BI330" i="20"/>
  <c r="BC331" i="20"/>
  <c r="BD331" i="20"/>
  <c r="BE331" i="20"/>
  <c r="BF331" i="20"/>
  <c r="BG331" i="20"/>
  <c r="BI331" i="20"/>
  <c r="BC332" i="20"/>
  <c r="BD332" i="20"/>
  <c r="BE332" i="20"/>
  <c r="BF332" i="20"/>
  <c r="BG332" i="20"/>
  <c r="BI332" i="20"/>
  <c r="BC333" i="20"/>
  <c r="BD333" i="20"/>
  <c r="BE333" i="20"/>
  <c r="BF333" i="20"/>
  <c r="BG333" i="20"/>
  <c r="BI333" i="20"/>
  <c r="BC334" i="20"/>
  <c r="BD334" i="20"/>
  <c r="BE334" i="20"/>
  <c r="BF334" i="20"/>
  <c r="BG334" i="20"/>
  <c r="BI334" i="20"/>
  <c r="BC335" i="20"/>
  <c r="BD335" i="20"/>
  <c r="BE335" i="20"/>
  <c r="BF335" i="20"/>
  <c r="BG335" i="20"/>
  <c r="BI335" i="20"/>
  <c r="BC336" i="20"/>
  <c r="BD336" i="20"/>
  <c r="BE336" i="20"/>
  <c r="BF336" i="20"/>
  <c r="BG336" i="20"/>
  <c r="BI336" i="20"/>
  <c r="BC337" i="20"/>
  <c r="BD337" i="20"/>
  <c r="BE337" i="20"/>
  <c r="BF337" i="20"/>
  <c r="BG337" i="20"/>
  <c r="BI337" i="20"/>
  <c r="BC338" i="20"/>
  <c r="BD338" i="20"/>
  <c r="BE338" i="20"/>
  <c r="BF338" i="20"/>
  <c r="BG338" i="20"/>
  <c r="BI338" i="20"/>
  <c r="BC339" i="20"/>
  <c r="BD339" i="20"/>
  <c r="BE339" i="20"/>
  <c r="BF339" i="20"/>
  <c r="BG339" i="20"/>
  <c r="BI339" i="20"/>
  <c r="BC340" i="20"/>
  <c r="BD340" i="20"/>
  <c r="BE340" i="20"/>
  <c r="BF340" i="20"/>
  <c r="BG340" i="20"/>
  <c r="BI340" i="20"/>
  <c r="BC341" i="20"/>
  <c r="BD341" i="20"/>
  <c r="BE341" i="20"/>
  <c r="BF341" i="20"/>
  <c r="BG341" i="20"/>
  <c r="BI341" i="20"/>
  <c r="BC342" i="20"/>
  <c r="BD342" i="20"/>
  <c r="BE342" i="20"/>
  <c r="BF342" i="20"/>
  <c r="BG342" i="20"/>
  <c r="BI342" i="20"/>
  <c r="BC343" i="20"/>
  <c r="BD343" i="20"/>
  <c r="BE343" i="20"/>
  <c r="BF343" i="20"/>
  <c r="BG343" i="20"/>
  <c r="BI343" i="20"/>
  <c r="BC344" i="20"/>
  <c r="BD344" i="20"/>
  <c r="BE344" i="20"/>
  <c r="BF344" i="20"/>
  <c r="BG344" i="20"/>
  <c r="BI344" i="20"/>
  <c r="BC345" i="20"/>
  <c r="BD345" i="20"/>
  <c r="BE345" i="20"/>
  <c r="BF345" i="20"/>
  <c r="BG345" i="20"/>
  <c r="BI345" i="20"/>
  <c r="BC346" i="20"/>
  <c r="BD346" i="20"/>
  <c r="BE346" i="20"/>
  <c r="BF346" i="20"/>
  <c r="BG346" i="20"/>
  <c r="BI346" i="20"/>
  <c r="BC347" i="20"/>
  <c r="BD347" i="20"/>
  <c r="BE347" i="20"/>
  <c r="BF347" i="20"/>
  <c r="BG347" i="20"/>
  <c r="BI347" i="20"/>
  <c r="AV294" i="20"/>
  <c r="AW294" i="20"/>
  <c r="AX294" i="20"/>
  <c r="AY294" i="20"/>
  <c r="AZ294" i="20"/>
  <c r="BB294" i="20"/>
  <c r="AV295" i="20"/>
  <c r="AW295" i="20"/>
  <c r="AX295" i="20"/>
  <c r="AY295" i="20"/>
  <c r="AZ295" i="20"/>
  <c r="BB295" i="20"/>
  <c r="AV296" i="20"/>
  <c r="AW296" i="20"/>
  <c r="AX296" i="20"/>
  <c r="AY296" i="20"/>
  <c r="AZ296" i="20"/>
  <c r="BB296" i="20"/>
  <c r="AV297" i="20"/>
  <c r="AW297" i="20"/>
  <c r="AX297" i="20"/>
  <c r="AY297" i="20"/>
  <c r="AZ297" i="20"/>
  <c r="BB297" i="20"/>
  <c r="AV298" i="20"/>
  <c r="AW298" i="20"/>
  <c r="AX298" i="20"/>
  <c r="AY298" i="20"/>
  <c r="AZ298" i="20"/>
  <c r="BB298" i="20"/>
  <c r="AV299" i="20"/>
  <c r="AW299" i="20"/>
  <c r="AX299" i="20"/>
  <c r="AY299" i="20"/>
  <c r="AZ299" i="20"/>
  <c r="BB299" i="20"/>
  <c r="AV300" i="20"/>
  <c r="AW300" i="20"/>
  <c r="AX300" i="20"/>
  <c r="AY300" i="20"/>
  <c r="AZ300" i="20"/>
  <c r="BB300" i="20"/>
  <c r="AV301" i="20"/>
  <c r="AW301" i="20"/>
  <c r="AX301" i="20"/>
  <c r="AY301" i="20"/>
  <c r="AZ301" i="20"/>
  <c r="BB301" i="20"/>
  <c r="AV302" i="20"/>
  <c r="AW302" i="20"/>
  <c r="AX302" i="20"/>
  <c r="AY302" i="20"/>
  <c r="AZ302" i="20"/>
  <c r="BB302" i="20"/>
  <c r="AV303" i="20"/>
  <c r="AW303" i="20"/>
  <c r="AX303" i="20"/>
  <c r="AY303" i="20"/>
  <c r="AZ303" i="20"/>
  <c r="BB303" i="20"/>
  <c r="AV304" i="20"/>
  <c r="AW304" i="20"/>
  <c r="AX304" i="20"/>
  <c r="AY304" i="20"/>
  <c r="AZ304" i="20"/>
  <c r="BB304" i="20"/>
  <c r="AV305" i="20"/>
  <c r="AW305" i="20"/>
  <c r="AX305" i="20"/>
  <c r="AY305" i="20"/>
  <c r="AZ305" i="20"/>
  <c r="BB305" i="20"/>
  <c r="AV306" i="20"/>
  <c r="AW306" i="20"/>
  <c r="AX306" i="20"/>
  <c r="AY306" i="20"/>
  <c r="AZ306" i="20"/>
  <c r="BB306" i="20"/>
  <c r="AV307" i="20"/>
  <c r="AW307" i="20"/>
  <c r="AX307" i="20"/>
  <c r="AY307" i="20"/>
  <c r="AZ307" i="20"/>
  <c r="BB307" i="20"/>
  <c r="AV308" i="20"/>
  <c r="AW308" i="20"/>
  <c r="AX308" i="20"/>
  <c r="AY308" i="20"/>
  <c r="AZ308" i="20"/>
  <c r="BB308" i="20"/>
  <c r="AV309" i="20"/>
  <c r="AW309" i="20"/>
  <c r="AX309" i="20"/>
  <c r="AY309" i="20"/>
  <c r="AZ309" i="20"/>
  <c r="BB309" i="20"/>
  <c r="AV310" i="20"/>
  <c r="AW310" i="20"/>
  <c r="AX310" i="20"/>
  <c r="AY310" i="20"/>
  <c r="AZ310" i="20"/>
  <c r="BB310" i="20"/>
  <c r="AV311" i="20"/>
  <c r="AW311" i="20"/>
  <c r="AX311" i="20"/>
  <c r="AY311" i="20"/>
  <c r="AZ311" i="20"/>
  <c r="BB311" i="20"/>
  <c r="AV312" i="20"/>
  <c r="AW312" i="20"/>
  <c r="AX312" i="20"/>
  <c r="AY312" i="20"/>
  <c r="AZ312" i="20"/>
  <c r="BB312" i="20"/>
  <c r="AV313" i="20"/>
  <c r="AW313" i="20"/>
  <c r="AX313" i="20"/>
  <c r="AY313" i="20"/>
  <c r="AZ313" i="20"/>
  <c r="BB313" i="20"/>
  <c r="AV314" i="20"/>
  <c r="AW314" i="20"/>
  <c r="AX314" i="20"/>
  <c r="AY314" i="20"/>
  <c r="AZ314" i="20"/>
  <c r="BB314" i="20"/>
  <c r="AV315" i="20"/>
  <c r="AW315" i="20"/>
  <c r="AX315" i="20"/>
  <c r="AY315" i="20"/>
  <c r="AZ315" i="20"/>
  <c r="BB315" i="20"/>
  <c r="AV316" i="20"/>
  <c r="AW316" i="20"/>
  <c r="AX316" i="20"/>
  <c r="AY316" i="20"/>
  <c r="AZ316" i="20"/>
  <c r="BB316" i="20"/>
  <c r="AV317" i="20"/>
  <c r="AW317" i="20"/>
  <c r="AX317" i="20"/>
  <c r="AY317" i="20"/>
  <c r="AZ317" i="20"/>
  <c r="BB317" i="20"/>
  <c r="AV318" i="20"/>
  <c r="AW318" i="20"/>
  <c r="AX318" i="20"/>
  <c r="AY318" i="20"/>
  <c r="AZ318" i="20"/>
  <c r="BB318" i="20"/>
  <c r="AV319" i="20"/>
  <c r="AW319" i="20"/>
  <c r="AX319" i="20"/>
  <c r="AY319" i="20"/>
  <c r="AZ319" i="20"/>
  <c r="BB319" i="20"/>
  <c r="AV320" i="20"/>
  <c r="AW320" i="20"/>
  <c r="AX320" i="20"/>
  <c r="AY320" i="20"/>
  <c r="AZ320" i="20"/>
  <c r="BB320" i="20"/>
  <c r="AV321" i="20"/>
  <c r="AW321" i="20"/>
  <c r="AX321" i="20"/>
  <c r="AY321" i="20"/>
  <c r="AZ321" i="20"/>
  <c r="BB321" i="20"/>
  <c r="AV322" i="20"/>
  <c r="AW322" i="20"/>
  <c r="AX322" i="20"/>
  <c r="AY322" i="20"/>
  <c r="AZ322" i="20"/>
  <c r="BB322" i="20"/>
  <c r="AV323" i="20"/>
  <c r="AW323" i="20"/>
  <c r="AX323" i="20"/>
  <c r="AY323" i="20"/>
  <c r="AZ323" i="20"/>
  <c r="BB323" i="20"/>
  <c r="AV324" i="20"/>
  <c r="AW324" i="20"/>
  <c r="AX324" i="20"/>
  <c r="AY324" i="20"/>
  <c r="AZ324" i="20"/>
  <c r="BB324" i="20"/>
  <c r="AV325" i="20"/>
  <c r="AW325" i="20"/>
  <c r="AX325" i="20"/>
  <c r="AY325" i="20"/>
  <c r="AZ325" i="20"/>
  <c r="BB325" i="20"/>
  <c r="AV326" i="20"/>
  <c r="AW326" i="20"/>
  <c r="AX326" i="20"/>
  <c r="AY326" i="20"/>
  <c r="AZ326" i="20"/>
  <c r="BB326" i="20"/>
  <c r="AV327" i="20"/>
  <c r="AW327" i="20"/>
  <c r="AX327" i="20"/>
  <c r="AY327" i="20"/>
  <c r="AZ327" i="20"/>
  <c r="BB327" i="20"/>
  <c r="AV328" i="20"/>
  <c r="AW328" i="20"/>
  <c r="AX328" i="20"/>
  <c r="AY328" i="20"/>
  <c r="AZ328" i="20"/>
  <c r="BB328" i="20"/>
  <c r="AV329" i="20"/>
  <c r="AW329" i="20"/>
  <c r="AX329" i="20"/>
  <c r="AY329" i="20"/>
  <c r="AZ329" i="20"/>
  <c r="BB329" i="20"/>
  <c r="AV330" i="20"/>
  <c r="AW330" i="20"/>
  <c r="AX330" i="20"/>
  <c r="AY330" i="20"/>
  <c r="AZ330" i="20"/>
  <c r="BB330" i="20"/>
  <c r="AV331" i="20"/>
  <c r="AW331" i="20"/>
  <c r="AX331" i="20"/>
  <c r="AY331" i="20"/>
  <c r="AZ331" i="20"/>
  <c r="BB331" i="20"/>
  <c r="AV332" i="20"/>
  <c r="AW332" i="20"/>
  <c r="AX332" i="20"/>
  <c r="AY332" i="20"/>
  <c r="AZ332" i="20"/>
  <c r="BB332" i="20"/>
  <c r="AV333" i="20"/>
  <c r="AW333" i="20"/>
  <c r="AX333" i="20"/>
  <c r="AY333" i="20"/>
  <c r="AZ333" i="20"/>
  <c r="BB333" i="20"/>
  <c r="AV334" i="20"/>
  <c r="AW334" i="20"/>
  <c r="AX334" i="20"/>
  <c r="AY334" i="20"/>
  <c r="AZ334" i="20"/>
  <c r="BB334" i="20"/>
  <c r="AV335" i="20"/>
  <c r="AW335" i="20"/>
  <c r="AX335" i="20"/>
  <c r="AY335" i="20"/>
  <c r="AZ335" i="20"/>
  <c r="BB335" i="20"/>
  <c r="AV336" i="20"/>
  <c r="AW336" i="20"/>
  <c r="AX336" i="20"/>
  <c r="AY336" i="20"/>
  <c r="AZ336" i="20"/>
  <c r="BB336" i="20"/>
  <c r="AV337" i="20"/>
  <c r="AW337" i="20"/>
  <c r="AX337" i="20"/>
  <c r="AY337" i="20"/>
  <c r="AZ337" i="20"/>
  <c r="BB337" i="20"/>
  <c r="AV338" i="20"/>
  <c r="AW338" i="20"/>
  <c r="AX338" i="20"/>
  <c r="AY338" i="20"/>
  <c r="AZ338" i="20"/>
  <c r="BB338" i="20"/>
  <c r="AV339" i="20"/>
  <c r="AW339" i="20"/>
  <c r="AX339" i="20"/>
  <c r="AY339" i="20"/>
  <c r="AZ339" i="20"/>
  <c r="BB339" i="20"/>
  <c r="AV340" i="20"/>
  <c r="AW340" i="20"/>
  <c r="AX340" i="20"/>
  <c r="AY340" i="20"/>
  <c r="AZ340" i="20"/>
  <c r="BB340" i="20"/>
  <c r="AV341" i="20"/>
  <c r="AW341" i="20"/>
  <c r="AX341" i="20"/>
  <c r="AY341" i="20"/>
  <c r="AZ341" i="20"/>
  <c r="BB341" i="20"/>
  <c r="AV342" i="20"/>
  <c r="AW342" i="20"/>
  <c r="AX342" i="20"/>
  <c r="AY342" i="20"/>
  <c r="AZ342" i="20"/>
  <c r="BB342" i="20"/>
  <c r="AV343" i="20"/>
  <c r="AW343" i="20"/>
  <c r="AX343" i="20"/>
  <c r="AY343" i="20"/>
  <c r="AZ343" i="20"/>
  <c r="BB343" i="20"/>
  <c r="AV344" i="20"/>
  <c r="AW344" i="20"/>
  <c r="AX344" i="20"/>
  <c r="AY344" i="20"/>
  <c r="AZ344" i="20"/>
  <c r="BB344" i="20"/>
  <c r="AV345" i="20"/>
  <c r="AW345" i="20"/>
  <c r="AX345" i="20"/>
  <c r="AY345" i="20"/>
  <c r="AZ345" i="20"/>
  <c r="BB345" i="20"/>
  <c r="AV346" i="20"/>
  <c r="AW346" i="20"/>
  <c r="AX346" i="20"/>
  <c r="AY346" i="20"/>
  <c r="AZ346" i="20"/>
  <c r="BB346" i="20"/>
  <c r="AV347" i="20"/>
  <c r="AW347" i="20"/>
  <c r="AX347" i="20"/>
  <c r="AY347" i="20"/>
  <c r="AZ347" i="20"/>
  <c r="BB347" i="20"/>
  <c r="AO294" i="20"/>
  <c r="AP294" i="20"/>
  <c r="AQ294" i="20"/>
  <c r="AR294" i="20"/>
  <c r="AS294" i="20"/>
  <c r="AU294" i="20"/>
  <c r="AO295" i="20"/>
  <c r="AP295" i="20"/>
  <c r="AQ295" i="20"/>
  <c r="AR295" i="20"/>
  <c r="AS295" i="20"/>
  <c r="AU295" i="20"/>
  <c r="AO296" i="20"/>
  <c r="AP296" i="20"/>
  <c r="AQ296" i="20"/>
  <c r="AR296" i="20"/>
  <c r="AS296" i="20"/>
  <c r="AU296" i="20"/>
  <c r="AO297" i="20"/>
  <c r="AP297" i="20"/>
  <c r="AQ297" i="20"/>
  <c r="AR297" i="20"/>
  <c r="AS297" i="20"/>
  <c r="AU297" i="20"/>
  <c r="AO298" i="20"/>
  <c r="AP298" i="20"/>
  <c r="AQ298" i="20"/>
  <c r="AR298" i="20"/>
  <c r="AS298" i="20"/>
  <c r="AU298" i="20"/>
  <c r="AO299" i="20"/>
  <c r="AP299" i="20"/>
  <c r="AQ299" i="20"/>
  <c r="AR299" i="20"/>
  <c r="AS299" i="20"/>
  <c r="AU299" i="20"/>
  <c r="AO300" i="20"/>
  <c r="AP300" i="20"/>
  <c r="AQ300" i="20"/>
  <c r="AR300" i="20"/>
  <c r="AS300" i="20"/>
  <c r="AU300" i="20"/>
  <c r="AO301" i="20"/>
  <c r="AP301" i="20"/>
  <c r="AQ301" i="20"/>
  <c r="AR301" i="20"/>
  <c r="AS301" i="20"/>
  <c r="AU301" i="20"/>
  <c r="AO302" i="20"/>
  <c r="AP302" i="20"/>
  <c r="AQ302" i="20"/>
  <c r="AR302" i="20"/>
  <c r="AS302" i="20"/>
  <c r="AU302" i="20"/>
  <c r="AO303" i="20"/>
  <c r="AP303" i="20"/>
  <c r="AQ303" i="20"/>
  <c r="AR303" i="20"/>
  <c r="AS303" i="20"/>
  <c r="AU303" i="20"/>
  <c r="AO304" i="20"/>
  <c r="AP304" i="20"/>
  <c r="AQ304" i="20"/>
  <c r="AR304" i="20"/>
  <c r="AS304" i="20"/>
  <c r="AU304" i="20"/>
  <c r="AO305" i="20"/>
  <c r="AP305" i="20"/>
  <c r="AQ305" i="20"/>
  <c r="AR305" i="20"/>
  <c r="AS305" i="20"/>
  <c r="AU305" i="20"/>
  <c r="AO306" i="20"/>
  <c r="AP306" i="20"/>
  <c r="AQ306" i="20"/>
  <c r="AR306" i="20"/>
  <c r="AS306" i="20"/>
  <c r="AU306" i="20"/>
  <c r="AO307" i="20"/>
  <c r="AP307" i="20"/>
  <c r="AQ307" i="20"/>
  <c r="AR307" i="20"/>
  <c r="AS307" i="20"/>
  <c r="AU307" i="20"/>
  <c r="AO308" i="20"/>
  <c r="AP308" i="20"/>
  <c r="AQ308" i="20"/>
  <c r="AR308" i="20"/>
  <c r="AS308" i="20"/>
  <c r="AU308" i="20"/>
  <c r="AO309" i="20"/>
  <c r="AP309" i="20"/>
  <c r="AQ309" i="20"/>
  <c r="AR309" i="20"/>
  <c r="AS309" i="20"/>
  <c r="AU309" i="20"/>
  <c r="AO310" i="20"/>
  <c r="AP310" i="20"/>
  <c r="AQ310" i="20"/>
  <c r="AR310" i="20"/>
  <c r="AS310" i="20"/>
  <c r="AU310" i="20"/>
  <c r="AO311" i="20"/>
  <c r="AP311" i="20"/>
  <c r="AQ311" i="20"/>
  <c r="AR311" i="20"/>
  <c r="AS311" i="20"/>
  <c r="AU311" i="20"/>
  <c r="AO312" i="20"/>
  <c r="AP312" i="20"/>
  <c r="AQ312" i="20"/>
  <c r="AR312" i="20"/>
  <c r="AS312" i="20"/>
  <c r="AU312" i="20"/>
  <c r="AO313" i="20"/>
  <c r="AP313" i="20"/>
  <c r="AQ313" i="20"/>
  <c r="AR313" i="20"/>
  <c r="AS313" i="20"/>
  <c r="AU313" i="20"/>
  <c r="AO314" i="20"/>
  <c r="AP314" i="20"/>
  <c r="AQ314" i="20"/>
  <c r="AR314" i="20"/>
  <c r="AS314" i="20"/>
  <c r="AU314" i="20"/>
  <c r="AO315" i="20"/>
  <c r="AP315" i="20"/>
  <c r="AQ315" i="20"/>
  <c r="AR315" i="20"/>
  <c r="AS315" i="20"/>
  <c r="AU315" i="20"/>
  <c r="AO316" i="20"/>
  <c r="AP316" i="20"/>
  <c r="AQ316" i="20"/>
  <c r="AR316" i="20"/>
  <c r="AS316" i="20"/>
  <c r="AU316" i="20"/>
  <c r="AO317" i="20"/>
  <c r="AP317" i="20"/>
  <c r="AQ317" i="20"/>
  <c r="AR317" i="20"/>
  <c r="AS317" i="20"/>
  <c r="AU317" i="20"/>
  <c r="AO318" i="20"/>
  <c r="AP318" i="20"/>
  <c r="AQ318" i="20"/>
  <c r="AR318" i="20"/>
  <c r="AS318" i="20"/>
  <c r="AU318" i="20"/>
  <c r="AO319" i="20"/>
  <c r="AP319" i="20"/>
  <c r="AQ319" i="20"/>
  <c r="AR319" i="20"/>
  <c r="AS319" i="20"/>
  <c r="AU319" i="20"/>
  <c r="AO320" i="20"/>
  <c r="AP320" i="20"/>
  <c r="AQ320" i="20"/>
  <c r="AR320" i="20"/>
  <c r="AS320" i="20"/>
  <c r="AU320" i="20"/>
  <c r="AO321" i="20"/>
  <c r="AP321" i="20"/>
  <c r="AQ321" i="20"/>
  <c r="AR321" i="20"/>
  <c r="AS321" i="20"/>
  <c r="AU321" i="20"/>
  <c r="AO322" i="20"/>
  <c r="AP322" i="20"/>
  <c r="AQ322" i="20"/>
  <c r="AR322" i="20"/>
  <c r="AS322" i="20"/>
  <c r="AU322" i="20"/>
  <c r="AO323" i="20"/>
  <c r="AP323" i="20"/>
  <c r="AQ323" i="20"/>
  <c r="AR323" i="20"/>
  <c r="AS323" i="20"/>
  <c r="AU323" i="20"/>
  <c r="AO324" i="20"/>
  <c r="AP324" i="20"/>
  <c r="AQ324" i="20"/>
  <c r="AR324" i="20"/>
  <c r="AS324" i="20"/>
  <c r="AU324" i="20"/>
  <c r="AO325" i="20"/>
  <c r="AP325" i="20"/>
  <c r="AQ325" i="20"/>
  <c r="AR325" i="20"/>
  <c r="AS325" i="20"/>
  <c r="AU325" i="20"/>
  <c r="AO326" i="20"/>
  <c r="AP326" i="20"/>
  <c r="AQ326" i="20"/>
  <c r="AR326" i="20"/>
  <c r="AS326" i="20"/>
  <c r="AU326" i="20"/>
  <c r="AO327" i="20"/>
  <c r="AP327" i="20"/>
  <c r="AQ327" i="20"/>
  <c r="AR327" i="20"/>
  <c r="AS327" i="20"/>
  <c r="AU327" i="20"/>
  <c r="AO328" i="20"/>
  <c r="AP328" i="20"/>
  <c r="AQ328" i="20"/>
  <c r="AR328" i="20"/>
  <c r="AS328" i="20"/>
  <c r="AU328" i="20"/>
  <c r="AO329" i="20"/>
  <c r="AP329" i="20"/>
  <c r="AQ329" i="20"/>
  <c r="AR329" i="20"/>
  <c r="AS329" i="20"/>
  <c r="AU329" i="20"/>
  <c r="AO330" i="20"/>
  <c r="AP330" i="20"/>
  <c r="AQ330" i="20"/>
  <c r="AR330" i="20"/>
  <c r="AS330" i="20"/>
  <c r="AU330" i="20"/>
  <c r="AO331" i="20"/>
  <c r="AP331" i="20"/>
  <c r="AQ331" i="20"/>
  <c r="AR331" i="20"/>
  <c r="AS331" i="20"/>
  <c r="AU331" i="20"/>
  <c r="AO332" i="20"/>
  <c r="AP332" i="20"/>
  <c r="AQ332" i="20"/>
  <c r="AR332" i="20"/>
  <c r="AS332" i="20"/>
  <c r="AU332" i="20"/>
  <c r="AO333" i="20"/>
  <c r="AP333" i="20"/>
  <c r="AQ333" i="20"/>
  <c r="AR333" i="20"/>
  <c r="AS333" i="20"/>
  <c r="AU333" i="20"/>
  <c r="AO334" i="20"/>
  <c r="AP334" i="20"/>
  <c r="AQ334" i="20"/>
  <c r="AR334" i="20"/>
  <c r="AS334" i="20"/>
  <c r="AU334" i="20"/>
  <c r="AO335" i="20"/>
  <c r="AP335" i="20"/>
  <c r="AQ335" i="20"/>
  <c r="AR335" i="20"/>
  <c r="AS335" i="20"/>
  <c r="AU335" i="20"/>
  <c r="AO336" i="20"/>
  <c r="AP336" i="20"/>
  <c r="AQ336" i="20"/>
  <c r="AR336" i="20"/>
  <c r="AS336" i="20"/>
  <c r="AU336" i="20"/>
  <c r="AO337" i="20"/>
  <c r="AP337" i="20"/>
  <c r="AQ337" i="20"/>
  <c r="AR337" i="20"/>
  <c r="AS337" i="20"/>
  <c r="AU337" i="20"/>
  <c r="AO338" i="20"/>
  <c r="AP338" i="20"/>
  <c r="AQ338" i="20"/>
  <c r="AR338" i="20"/>
  <c r="AS338" i="20"/>
  <c r="AU338" i="20"/>
  <c r="AO339" i="20"/>
  <c r="AP339" i="20"/>
  <c r="AQ339" i="20"/>
  <c r="AR339" i="20"/>
  <c r="AS339" i="20"/>
  <c r="AU339" i="20"/>
  <c r="AO340" i="20"/>
  <c r="AP340" i="20"/>
  <c r="AQ340" i="20"/>
  <c r="AR340" i="20"/>
  <c r="AS340" i="20"/>
  <c r="AU340" i="20"/>
  <c r="AO341" i="20"/>
  <c r="AP341" i="20"/>
  <c r="AQ341" i="20"/>
  <c r="AR341" i="20"/>
  <c r="AS341" i="20"/>
  <c r="AU341" i="20"/>
  <c r="AO342" i="20"/>
  <c r="AP342" i="20"/>
  <c r="AQ342" i="20"/>
  <c r="AR342" i="20"/>
  <c r="AS342" i="20"/>
  <c r="AU342" i="20"/>
  <c r="AO343" i="20"/>
  <c r="AP343" i="20"/>
  <c r="AQ343" i="20"/>
  <c r="AR343" i="20"/>
  <c r="AS343" i="20"/>
  <c r="AU343" i="20"/>
  <c r="AO344" i="20"/>
  <c r="AP344" i="20"/>
  <c r="AQ344" i="20"/>
  <c r="AR344" i="20"/>
  <c r="AS344" i="20"/>
  <c r="AU344" i="20"/>
  <c r="AO345" i="20"/>
  <c r="AP345" i="20"/>
  <c r="AQ345" i="20"/>
  <c r="AR345" i="20"/>
  <c r="AS345" i="20"/>
  <c r="AU345" i="20"/>
  <c r="AO346" i="20"/>
  <c r="AP346" i="20"/>
  <c r="AQ346" i="20"/>
  <c r="AR346" i="20"/>
  <c r="AS346" i="20"/>
  <c r="AU346" i="20"/>
  <c r="AO347" i="20"/>
  <c r="AP347" i="20"/>
  <c r="AQ347" i="20"/>
  <c r="AR347" i="20"/>
  <c r="AS347" i="20"/>
  <c r="AU347" i="20"/>
  <c r="AH294" i="20"/>
  <c r="AI294" i="20"/>
  <c r="AJ294" i="20"/>
  <c r="AK294" i="20"/>
  <c r="AL294" i="20"/>
  <c r="AN294" i="20"/>
  <c r="AH295" i="20"/>
  <c r="AI295" i="20"/>
  <c r="AJ295" i="20"/>
  <c r="AK295" i="20"/>
  <c r="AL295" i="20"/>
  <c r="AN295" i="20"/>
  <c r="AH296" i="20"/>
  <c r="AI296" i="20"/>
  <c r="AJ296" i="20"/>
  <c r="AK296" i="20"/>
  <c r="AL296" i="20"/>
  <c r="AN296" i="20"/>
  <c r="AH297" i="20"/>
  <c r="AI297" i="20"/>
  <c r="AJ297" i="20"/>
  <c r="AK297" i="20"/>
  <c r="AL297" i="20"/>
  <c r="AN297" i="20"/>
  <c r="AH298" i="20"/>
  <c r="AI298" i="20"/>
  <c r="AJ298" i="20"/>
  <c r="AK298" i="20"/>
  <c r="AL298" i="20"/>
  <c r="AN298" i="20"/>
  <c r="AH299" i="20"/>
  <c r="AI299" i="20"/>
  <c r="AJ299" i="20"/>
  <c r="AK299" i="20"/>
  <c r="AL299" i="20"/>
  <c r="AN299" i="20"/>
  <c r="AH300" i="20"/>
  <c r="AI300" i="20"/>
  <c r="AJ300" i="20"/>
  <c r="AK300" i="20"/>
  <c r="AL300" i="20"/>
  <c r="AN300" i="20"/>
  <c r="AH301" i="20"/>
  <c r="AI301" i="20"/>
  <c r="AJ301" i="20"/>
  <c r="AK301" i="20"/>
  <c r="AL301" i="20"/>
  <c r="AN301" i="20"/>
  <c r="AH302" i="20"/>
  <c r="AI302" i="20"/>
  <c r="AJ302" i="20"/>
  <c r="AK302" i="20"/>
  <c r="AL302" i="20"/>
  <c r="AN302" i="20"/>
  <c r="AH303" i="20"/>
  <c r="AI303" i="20"/>
  <c r="AJ303" i="20"/>
  <c r="AK303" i="20"/>
  <c r="AL303" i="20"/>
  <c r="AN303" i="20"/>
  <c r="AH304" i="20"/>
  <c r="AI304" i="20"/>
  <c r="AJ304" i="20"/>
  <c r="AK304" i="20"/>
  <c r="AL304" i="20"/>
  <c r="AN304" i="20"/>
  <c r="AH305" i="20"/>
  <c r="AI305" i="20"/>
  <c r="AJ305" i="20"/>
  <c r="AK305" i="20"/>
  <c r="AL305" i="20"/>
  <c r="AN305" i="20"/>
  <c r="AH306" i="20"/>
  <c r="AI306" i="20"/>
  <c r="AJ306" i="20"/>
  <c r="AK306" i="20"/>
  <c r="AL306" i="20"/>
  <c r="AN306" i="20"/>
  <c r="AH307" i="20"/>
  <c r="AI307" i="20"/>
  <c r="AJ307" i="20"/>
  <c r="AK307" i="20"/>
  <c r="AL307" i="20"/>
  <c r="AN307" i="20"/>
  <c r="AH308" i="20"/>
  <c r="AI308" i="20"/>
  <c r="AJ308" i="20"/>
  <c r="AK308" i="20"/>
  <c r="AL308" i="20"/>
  <c r="AN308" i="20"/>
  <c r="AH309" i="20"/>
  <c r="AI309" i="20"/>
  <c r="AJ309" i="20"/>
  <c r="AK309" i="20"/>
  <c r="AL309" i="20"/>
  <c r="AN309" i="20"/>
  <c r="AH310" i="20"/>
  <c r="AI310" i="20"/>
  <c r="AJ310" i="20"/>
  <c r="AK310" i="20"/>
  <c r="AL310" i="20"/>
  <c r="AN310" i="20"/>
  <c r="AH311" i="20"/>
  <c r="AI311" i="20"/>
  <c r="AJ311" i="20"/>
  <c r="AK311" i="20"/>
  <c r="AL311" i="20"/>
  <c r="AN311" i="20"/>
  <c r="AH312" i="20"/>
  <c r="AI312" i="20"/>
  <c r="AJ312" i="20"/>
  <c r="AK312" i="20"/>
  <c r="AL312" i="20"/>
  <c r="AN312" i="20"/>
  <c r="AH313" i="20"/>
  <c r="AI313" i="20"/>
  <c r="AJ313" i="20"/>
  <c r="AK313" i="20"/>
  <c r="AL313" i="20"/>
  <c r="AN313" i="20"/>
  <c r="AH314" i="20"/>
  <c r="AI314" i="20"/>
  <c r="AJ314" i="20"/>
  <c r="AK314" i="20"/>
  <c r="AL314" i="20"/>
  <c r="AN314" i="20"/>
  <c r="AH315" i="20"/>
  <c r="AI315" i="20"/>
  <c r="AJ315" i="20"/>
  <c r="AK315" i="20"/>
  <c r="AL315" i="20"/>
  <c r="AN315" i="20"/>
  <c r="AH316" i="20"/>
  <c r="AI316" i="20"/>
  <c r="AJ316" i="20"/>
  <c r="AK316" i="20"/>
  <c r="AL316" i="20"/>
  <c r="AN316" i="20"/>
  <c r="AH317" i="20"/>
  <c r="AI317" i="20"/>
  <c r="AJ317" i="20"/>
  <c r="AK317" i="20"/>
  <c r="AL317" i="20"/>
  <c r="AN317" i="20"/>
  <c r="AH318" i="20"/>
  <c r="AI318" i="20"/>
  <c r="AJ318" i="20"/>
  <c r="AK318" i="20"/>
  <c r="AL318" i="20"/>
  <c r="AN318" i="20"/>
  <c r="AH319" i="20"/>
  <c r="AI319" i="20"/>
  <c r="AJ319" i="20"/>
  <c r="AK319" i="20"/>
  <c r="AL319" i="20"/>
  <c r="AN319" i="20"/>
  <c r="AH320" i="20"/>
  <c r="AI320" i="20"/>
  <c r="AJ320" i="20"/>
  <c r="AK320" i="20"/>
  <c r="AL320" i="20"/>
  <c r="AN320" i="20"/>
  <c r="AH321" i="20"/>
  <c r="AI321" i="20"/>
  <c r="AJ321" i="20"/>
  <c r="AK321" i="20"/>
  <c r="AL321" i="20"/>
  <c r="AN321" i="20"/>
  <c r="AH322" i="20"/>
  <c r="AI322" i="20"/>
  <c r="AJ322" i="20"/>
  <c r="AK322" i="20"/>
  <c r="AL322" i="20"/>
  <c r="AN322" i="20"/>
  <c r="AH323" i="20"/>
  <c r="AI323" i="20"/>
  <c r="AJ323" i="20"/>
  <c r="AK323" i="20"/>
  <c r="AL323" i="20"/>
  <c r="AN323" i="20"/>
  <c r="AH324" i="20"/>
  <c r="AI324" i="20"/>
  <c r="AJ324" i="20"/>
  <c r="AK324" i="20"/>
  <c r="AL324" i="20"/>
  <c r="AN324" i="20"/>
  <c r="AH325" i="20"/>
  <c r="AI325" i="20"/>
  <c r="AJ325" i="20"/>
  <c r="AK325" i="20"/>
  <c r="AL325" i="20"/>
  <c r="AN325" i="20"/>
  <c r="AH326" i="20"/>
  <c r="AI326" i="20"/>
  <c r="AJ326" i="20"/>
  <c r="AK326" i="20"/>
  <c r="AL326" i="20"/>
  <c r="AN326" i="20"/>
  <c r="AH327" i="20"/>
  <c r="AI327" i="20"/>
  <c r="AJ327" i="20"/>
  <c r="AK327" i="20"/>
  <c r="AL327" i="20"/>
  <c r="AN327" i="20"/>
  <c r="AH328" i="20"/>
  <c r="AI328" i="20"/>
  <c r="AJ328" i="20"/>
  <c r="AK328" i="20"/>
  <c r="AL328" i="20"/>
  <c r="AN328" i="20"/>
  <c r="AH329" i="20"/>
  <c r="AI329" i="20"/>
  <c r="AJ329" i="20"/>
  <c r="AK329" i="20"/>
  <c r="AL329" i="20"/>
  <c r="AN329" i="20"/>
  <c r="AH330" i="20"/>
  <c r="AI330" i="20"/>
  <c r="AJ330" i="20"/>
  <c r="AK330" i="20"/>
  <c r="AL330" i="20"/>
  <c r="AN330" i="20"/>
  <c r="AH331" i="20"/>
  <c r="AI331" i="20"/>
  <c r="AJ331" i="20"/>
  <c r="AK331" i="20"/>
  <c r="AL331" i="20"/>
  <c r="AN331" i="20"/>
  <c r="AH332" i="20"/>
  <c r="AI332" i="20"/>
  <c r="AJ332" i="20"/>
  <c r="AK332" i="20"/>
  <c r="AL332" i="20"/>
  <c r="AN332" i="20"/>
  <c r="AH333" i="20"/>
  <c r="AI333" i="20"/>
  <c r="AJ333" i="20"/>
  <c r="AK333" i="20"/>
  <c r="AL333" i="20"/>
  <c r="AN333" i="20"/>
  <c r="AH334" i="20"/>
  <c r="AI334" i="20"/>
  <c r="AJ334" i="20"/>
  <c r="AK334" i="20"/>
  <c r="AL334" i="20"/>
  <c r="AN334" i="20"/>
  <c r="AH335" i="20"/>
  <c r="AI335" i="20"/>
  <c r="AJ335" i="20"/>
  <c r="AK335" i="20"/>
  <c r="AL335" i="20"/>
  <c r="AN335" i="20"/>
  <c r="AH336" i="20"/>
  <c r="AI336" i="20"/>
  <c r="AJ336" i="20"/>
  <c r="AK336" i="20"/>
  <c r="AL336" i="20"/>
  <c r="AN336" i="20"/>
  <c r="AH337" i="20"/>
  <c r="AI337" i="20"/>
  <c r="AJ337" i="20"/>
  <c r="AK337" i="20"/>
  <c r="AL337" i="20"/>
  <c r="AN337" i="20"/>
  <c r="AH338" i="20"/>
  <c r="AI338" i="20"/>
  <c r="AJ338" i="20"/>
  <c r="AK338" i="20"/>
  <c r="AL338" i="20"/>
  <c r="AN338" i="20"/>
  <c r="AH339" i="20"/>
  <c r="AI339" i="20"/>
  <c r="AJ339" i="20"/>
  <c r="AK339" i="20"/>
  <c r="AL339" i="20"/>
  <c r="AN339" i="20"/>
  <c r="AH340" i="20"/>
  <c r="AI340" i="20"/>
  <c r="AJ340" i="20"/>
  <c r="AK340" i="20"/>
  <c r="AL340" i="20"/>
  <c r="AN340" i="20"/>
  <c r="AH341" i="20"/>
  <c r="AI341" i="20"/>
  <c r="AJ341" i="20"/>
  <c r="AK341" i="20"/>
  <c r="AL341" i="20"/>
  <c r="AN341" i="20"/>
  <c r="AH342" i="20"/>
  <c r="AI342" i="20"/>
  <c r="AJ342" i="20"/>
  <c r="AK342" i="20"/>
  <c r="AL342" i="20"/>
  <c r="AN342" i="20"/>
  <c r="AH343" i="20"/>
  <c r="AI343" i="20"/>
  <c r="AJ343" i="20"/>
  <c r="AK343" i="20"/>
  <c r="AL343" i="20"/>
  <c r="AN343" i="20"/>
  <c r="AH344" i="20"/>
  <c r="AI344" i="20"/>
  <c r="AJ344" i="20"/>
  <c r="AK344" i="20"/>
  <c r="AL344" i="20"/>
  <c r="AN344" i="20"/>
  <c r="AH345" i="20"/>
  <c r="AI345" i="20"/>
  <c r="AJ345" i="20"/>
  <c r="AK345" i="20"/>
  <c r="AL345" i="20"/>
  <c r="AN345" i="20"/>
  <c r="AH346" i="20"/>
  <c r="AI346" i="20"/>
  <c r="AJ346" i="20"/>
  <c r="AK346" i="20"/>
  <c r="AL346" i="20"/>
  <c r="AN346" i="20"/>
  <c r="AH347" i="20"/>
  <c r="AI347" i="20"/>
  <c r="AJ347" i="20"/>
  <c r="AK347" i="20"/>
  <c r="AL347" i="20"/>
  <c r="AN347" i="20"/>
  <c r="AG294" i="20"/>
  <c r="AG295" i="20"/>
  <c r="AG296" i="20"/>
  <c r="AG297" i="20"/>
  <c r="AG298" i="20"/>
  <c r="AG299" i="20"/>
  <c r="AG300" i="20"/>
  <c r="AG301" i="20"/>
  <c r="AG302" i="20"/>
  <c r="AG303" i="20"/>
  <c r="AG304" i="20"/>
  <c r="AG305" i="20"/>
  <c r="AG306" i="20"/>
  <c r="AG307" i="20"/>
  <c r="AG308" i="20"/>
  <c r="AG309" i="20"/>
  <c r="AG310" i="20"/>
  <c r="AG311" i="20"/>
  <c r="AG312" i="20"/>
  <c r="AG313" i="20"/>
  <c r="AG314" i="20"/>
  <c r="AG315" i="20"/>
  <c r="AG316" i="20"/>
  <c r="AG317" i="20"/>
  <c r="AG318" i="20"/>
  <c r="AG319" i="20"/>
  <c r="AG320" i="20"/>
  <c r="AG321" i="20"/>
  <c r="AG322" i="20"/>
  <c r="AG323" i="20"/>
  <c r="AG324" i="20"/>
  <c r="AG325" i="20"/>
  <c r="AG326" i="20"/>
  <c r="AG327" i="20"/>
  <c r="AG328" i="20"/>
  <c r="AG329" i="20"/>
  <c r="AG330" i="20"/>
  <c r="AG331" i="20"/>
  <c r="AG332" i="20"/>
  <c r="AG333" i="20"/>
  <c r="AG334" i="20"/>
  <c r="AG335" i="20"/>
  <c r="AG336" i="20"/>
  <c r="AG337" i="20"/>
  <c r="AG338" i="20"/>
  <c r="AG339" i="20"/>
  <c r="AG340" i="20"/>
  <c r="AG341" i="20"/>
  <c r="AG342" i="20"/>
  <c r="AG343" i="20"/>
  <c r="AG344" i="20"/>
  <c r="AG345" i="20"/>
  <c r="AG346" i="20"/>
  <c r="AG347" i="20"/>
  <c r="AB294" i="20"/>
  <c r="AB295" i="20"/>
  <c r="AB296" i="20"/>
  <c r="AB297" i="20"/>
  <c r="AB298" i="20"/>
  <c r="AB299" i="20"/>
  <c r="AB300" i="20"/>
  <c r="AB301" i="20"/>
  <c r="AB302" i="20"/>
  <c r="AB303" i="20"/>
  <c r="AB304" i="20"/>
  <c r="AB305" i="20"/>
  <c r="AB306" i="20"/>
  <c r="AB307" i="20"/>
  <c r="AB308" i="20"/>
  <c r="AB309" i="20"/>
  <c r="AB310" i="20"/>
  <c r="AB311" i="20"/>
  <c r="AB312" i="20"/>
  <c r="AB313" i="20"/>
  <c r="AB314" i="20"/>
  <c r="AB315" i="20"/>
  <c r="AB316" i="20"/>
  <c r="AB317" i="20"/>
  <c r="AB318" i="20"/>
  <c r="AB319" i="20"/>
  <c r="AB320" i="20"/>
  <c r="AB321" i="20"/>
  <c r="AB322" i="20"/>
  <c r="AB323" i="20"/>
  <c r="AB324" i="20"/>
  <c r="AB325" i="20"/>
  <c r="AB326" i="20"/>
  <c r="AB327" i="20"/>
  <c r="AB328" i="20"/>
  <c r="AB329" i="20"/>
  <c r="AB330" i="20"/>
  <c r="AB331" i="20"/>
  <c r="AB332" i="20"/>
  <c r="AB333" i="20"/>
  <c r="AB334" i="20"/>
  <c r="AB335" i="20"/>
  <c r="AB336" i="20"/>
  <c r="AB337" i="20"/>
  <c r="AB338" i="20"/>
  <c r="AB339" i="20"/>
  <c r="AB340" i="20"/>
  <c r="AB341" i="20"/>
  <c r="AB342" i="20"/>
  <c r="AB343" i="20"/>
  <c r="AB344" i="20"/>
  <c r="AB345" i="20"/>
  <c r="AB346" i="20"/>
  <c r="AB347" i="20"/>
  <c r="AA294" i="20"/>
  <c r="AA295" i="20"/>
  <c r="AA296" i="20"/>
  <c r="AA297" i="20"/>
  <c r="AA298" i="20"/>
  <c r="AA299" i="20"/>
  <c r="AA300" i="20"/>
  <c r="AA301" i="20"/>
  <c r="AA302" i="20"/>
  <c r="AA303" i="20"/>
  <c r="AA304" i="20"/>
  <c r="AA305" i="20"/>
  <c r="AA306" i="20"/>
  <c r="AA307" i="20"/>
  <c r="AA308" i="20"/>
  <c r="AA309" i="20"/>
  <c r="AA310" i="20"/>
  <c r="AA311" i="20"/>
  <c r="AA312" i="20"/>
  <c r="AA313" i="20"/>
  <c r="AA314" i="20"/>
  <c r="AA315" i="20"/>
  <c r="AA316" i="20"/>
  <c r="AA317" i="20"/>
  <c r="AA318" i="20"/>
  <c r="AA319" i="20"/>
  <c r="AA320" i="20"/>
  <c r="AA321" i="20"/>
  <c r="AA322" i="20"/>
  <c r="AA323" i="20"/>
  <c r="AA324" i="20"/>
  <c r="AA325" i="20"/>
  <c r="AA326" i="20"/>
  <c r="AA327" i="20"/>
  <c r="AA328" i="20"/>
  <c r="AA329" i="20"/>
  <c r="AA330" i="20"/>
  <c r="AA331" i="20"/>
  <c r="AA332" i="20"/>
  <c r="AA333" i="20"/>
  <c r="AA334" i="20"/>
  <c r="AA335" i="20"/>
  <c r="AA336" i="20"/>
  <c r="AA337" i="20"/>
  <c r="AA338" i="20"/>
  <c r="AA339" i="20"/>
  <c r="AA340" i="20"/>
  <c r="AA341" i="20"/>
  <c r="AA342" i="20"/>
  <c r="AA343" i="20"/>
  <c r="AA344" i="20"/>
  <c r="AA345" i="20"/>
  <c r="AA346" i="20"/>
  <c r="AA347" i="20"/>
  <c r="W294" i="20"/>
  <c r="W295" i="20"/>
  <c r="W296" i="20"/>
  <c r="W297" i="20"/>
  <c r="W298" i="20"/>
  <c r="W299" i="20"/>
  <c r="W300" i="20"/>
  <c r="W301" i="20"/>
  <c r="W302" i="20"/>
  <c r="W303" i="20"/>
  <c r="W304" i="20"/>
  <c r="W305" i="20"/>
  <c r="W306" i="20"/>
  <c r="W307" i="20"/>
  <c r="W308" i="20"/>
  <c r="W309" i="20"/>
  <c r="W310" i="20"/>
  <c r="W311" i="20"/>
  <c r="W312" i="20"/>
  <c r="W313" i="20"/>
  <c r="W314" i="20"/>
  <c r="W315" i="20"/>
  <c r="W316" i="20"/>
  <c r="W317" i="20"/>
  <c r="W318" i="20"/>
  <c r="W319" i="20"/>
  <c r="W320" i="20"/>
  <c r="W321" i="20"/>
  <c r="W322" i="20"/>
  <c r="W323" i="20"/>
  <c r="W324" i="20"/>
  <c r="W325" i="20"/>
  <c r="W326" i="20"/>
  <c r="W327" i="20"/>
  <c r="W328" i="20"/>
  <c r="W329" i="20"/>
  <c r="W330" i="20"/>
  <c r="W331" i="20"/>
  <c r="W332" i="20"/>
  <c r="W333" i="20"/>
  <c r="W334" i="20"/>
  <c r="W335" i="20"/>
  <c r="W336" i="20"/>
  <c r="W337" i="20"/>
  <c r="W338" i="20"/>
  <c r="W339" i="20"/>
  <c r="W340" i="20"/>
  <c r="W341" i="20"/>
  <c r="W342" i="20"/>
  <c r="W343" i="20"/>
  <c r="W344" i="20"/>
  <c r="W345" i="20"/>
  <c r="W346" i="20"/>
  <c r="W347"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BL5" i="20"/>
  <c r="BL6" i="20"/>
  <c r="BL7" i="20"/>
  <c r="BL8" i="20"/>
  <c r="BL9" i="20"/>
  <c r="BL10" i="20"/>
  <c r="BL11" i="20"/>
  <c r="BL12" i="20"/>
  <c r="BL13" i="20"/>
  <c r="BL14" i="20"/>
  <c r="BL15" i="20"/>
  <c r="BL16" i="20"/>
  <c r="BL17" i="20"/>
  <c r="BL18" i="20"/>
  <c r="BL19" i="20"/>
  <c r="BL20" i="20"/>
  <c r="BL21" i="20"/>
  <c r="BL22" i="20"/>
  <c r="BL23" i="20"/>
  <c r="BL24" i="20"/>
  <c r="BL25" i="20"/>
  <c r="BL26" i="20"/>
  <c r="BL27" i="20"/>
  <c r="BL28" i="20"/>
  <c r="BL29" i="20"/>
  <c r="BL30" i="20"/>
  <c r="BL31" i="20"/>
  <c r="BL32" i="20"/>
  <c r="BL33" i="20"/>
  <c r="BL34" i="20"/>
  <c r="BL35" i="20"/>
  <c r="BL36" i="20"/>
  <c r="BL37" i="20"/>
  <c r="BL38" i="20"/>
  <c r="BL39" i="20"/>
  <c r="BL40" i="20"/>
  <c r="BL41" i="20"/>
  <c r="BL42" i="20"/>
  <c r="BL43" i="20"/>
  <c r="BL44" i="20"/>
  <c r="BL45" i="20"/>
  <c r="BL46" i="20"/>
  <c r="BL47" i="20"/>
  <c r="BL48" i="20"/>
  <c r="BL49" i="20"/>
  <c r="BL50" i="20"/>
  <c r="BL51" i="20"/>
  <c r="BL52" i="20"/>
  <c r="BL53" i="20"/>
  <c r="BL54" i="20"/>
  <c r="BL55" i="20"/>
  <c r="BL56" i="20"/>
  <c r="BL57" i="20"/>
  <c r="BL58" i="20"/>
  <c r="BL59" i="20"/>
  <c r="BL60" i="20"/>
  <c r="BL61" i="20"/>
  <c r="BL62" i="20"/>
  <c r="BL63" i="20"/>
  <c r="BL64" i="20"/>
  <c r="BL65" i="20"/>
  <c r="BL66" i="20"/>
  <c r="BL67" i="20"/>
  <c r="BL68" i="20"/>
  <c r="BL69" i="20"/>
  <c r="BL70" i="20"/>
  <c r="BL71" i="20"/>
  <c r="BL72" i="20"/>
  <c r="BL73" i="20"/>
  <c r="BL74" i="20"/>
  <c r="BL75" i="20"/>
  <c r="BL76" i="20"/>
  <c r="BL77" i="20"/>
  <c r="BL78" i="20"/>
  <c r="BL79" i="20"/>
  <c r="BL80" i="20"/>
  <c r="BL81" i="20"/>
  <c r="BL82" i="20"/>
  <c r="BL83" i="20"/>
  <c r="BL84" i="20"/>
  <c r="BL85" i="20"/>
  <c r="BL86" i="20"/>
  <c r="BL87" i="20"/>
  <c r="BL88" i="20"/>
  <c r="BL89" i="20"/>
  <c r="BL90" i="20"/>
  <c r="BL91" i="20"/>
  <c r="BL92" i="20"/>
  <c r="BL93" i="20"/>
  <c r="BL94" i="20"/>
  <c r="BL95" i="20"/>
  <c r="BL96" i="20"/>
  <c r="BL97" i="20"/>
  <c r="BL98" i="20"/>
  <c r="BL99" i="20"/>
  <c r="BL100" i="20"/>
  <c r="BL101" i="20"/>
  <c r="BL102" i="20"/>
  <c r="BL103" i="20"/>
  <c r="BL104" i="20"/>
  <c r="BL105" i="20"/>
  <c r="BL106" i="20"/>
  <c r="BL107" i="20"/>
  <c r="BL108" i="20"/>
  <c r="BL109" i="20"/>
  <c r="BL110" i="20"/>
  <c r="BL111" i="20"/>
  <c r="BL112" i="20"/>
  <c r="BL113" i="20"/>
  <c r="BL114" i="20"/>
  <c r="BL115" i="20"/>
  <c r="BL116" i="20"/>
  <c r="BL117" i="20"/>
  <c r="BL118" i="20"/>
  <c r="BL119" i="20"/>
  <c r="BL120" i="20"/>
  <c r="BL121" i="20"/>
  <c r="BL122" i="20"/>
  <c r="BL123" i="20"/>
  <c r="BL124" i="20"/>
  <c r="BL125" i="20"/>
  <c r="BL126" i="20"/>
  <c r="BL127" i="20"/>
  <c r="BL128" i="20"/>
  <c r="BL129" i="20"/>
  <c r="BL130" i="20"/>
  <c r="BL131" i="20"/>
  <c r="BL132" i="20"/>
  <c r="BL133" i="20"/>
  <c r="BL134" i="20"/>
  <c r="BL135" i="20"/>
  <c r="BL136" i="20"/>
  <c r="BL137" i="20"/>
  <c r="BL138" i="20"/>
  <c r="BL139" i="20"/>
  <c r="BL140" i="20"/>
  <c r="BL141" i="20"/>
  <c r="BL142" i="20"/>
  <c r="BL143" i="20"/>
  <c r="BL144" i="20"/>
  <c r="BL145" i="20"/>
  <c r="BL146" i="20"/>
  <c r="BL147" i="20"/>
  <c r="BL148" i="20"/>
  <c r="BL149" i="20"/>
  <c r="BL150" i="20"/>
  <c r="BL151" i="20"/>
  <c r="BL152" i="20"/>
  <c r="BL153" i="20"/>
  <c r="BL154" i="20"/>
  <c r="BL155" i="20"/>
  <c r="BL156" i="20"/>
  <c r="BL157" i="20"/>
  <c r="BL158" i="20"/>
  <c r="BL159" i="20"/>
  <c r="BL160" i="20"/>
  <c r="BL161" i="20"/>
  <c r="BL162" i="20"/>
  <c r="BL163" i="20"/>
  <c r="BL164" i="20"/>
  <c r="BL165" i="20"/>
  <c r="BL166" i="20"/>
  <c r="BL167" i="20"/>
  <c r="BL168" i="20"/>
  <c r="BL169" i="20"/>
  <c r="BL170" i="20"/>
  <c r="BL171" i="20"/>
  <c r="BL172" i="20"/>
  <c r="BL173" i="20"/>
  <c r="BL174" i="20"/>
  <c r="BL175" i="20"/>
  <c r="BL176" i="20"/>
  <c r="BL177" i="20"/>
  <c r="BL178" i="20"/>
  <c r="BL179" i="20"/>
  <c r="BL180" i="20"/>
  <c r="BL181" i="20"/>
  <c r="BL182" i="20"/>
  <c r="BL183" i="20"/>
  <c r="BL184" i="20"/>
  <c r="BL185" i="20"/>
  <c r="BL186" i="20"/>
  <c r="BL187" i="20"/>
  <c r="BL188" i="20"/>
  <c r="BL189" i="20"/>
  <c r="BL190" i="20"/>
  <c r="BL191" i="20"/>
  <c r="BL192" i="20"/>
  <c r="BL193" i="20"/>
  <c r="BL194" i="20"/>
  <c r="BL195" i="20"/>
  <c r="BL196" i="20"/>
  <c r="BL197" i="20"/>
  <c r="BL198" i="20"/>
  <c r="BL199" i="20"/>
  <c r="BL200" i="20"/>
  <c r="BL201" i="20"/>
  <c r="BL202" i="20"/>
  <c r="BL203" i="20"/>
  <c r="BL204" i="20"/>
  <c r="BL205" i="20"/>
  <c r="BL206" i="20"/>
  <c r="BL207" i="20"/>
  <c r="BL208" i="20"/>
  <c r="BL209" i="20"/>
  <c r="BL210" i="20"/>
  <c r="BL211" i="20"/>
  <c r="BL212" i="20"/>
  <c r="BL213" i="20"/>
  <c r="BL214" i="20"/>
  <c r="BL215" i="20"/>
  <c r="BL216" i="20"/>
  <c r="BL217" i="20"/>
  <c r="BL218" i="20"/>
  <c r="BL219" i="20"/>
  <c r="BL220" i="20"/>
  <c r="BL221" i="20"/>
  <c r="BL222" i="20"/>
  <c r="BL223" i="20"/>
  <c r="BL224" i="20"/>
  <c r="BL225" i="20"/>
  <c r="BL226" i="20"/>
  <c r="BL227" i="20"/>
  <c r="BL228" i="20"/>
  <c r="BL229" i="20"/>
  <c r="BL230" i="20"/>
  <c r="BL231" i="20"/>
  <c r="BL232" i="20"/>
  <c r="BL233" i="20"/>
  <c r="BL234" i="20"/>
  <c r="BL235" i="20"/>
  <c r="BL236" i="20"/>
  <c r="BL237" i="20"/>
  <c r="BL238" i="20"/>
  <c r="BL239" i="20"/>
  <c r="BL240" i="20"/>
  <c r="BL241" i="20"/>
  <c r="BL242" i="20"/>
  <c r="BL243" i="20"/>
  <c r="BL244" i="20"/>
  <c r="BL245" i="20"/>
  <c r="BL246" i="20"/>
  <c r="BL247" i="20"/>
  <c r="BL248" i="20"/>
  <c r="BL249" i="20"/>
  <c r="BL250" i="20"/>
  <c r="BL251" i="20"/>
  <c r="BL252" i="20"/>
  <c r="BL253" i="20"/>
  <c r="BL254" i="20"/>
  <c r="BL255" i="20"/>
  <c r="BL256" i="20"/>
  <c r="BL257" i="20"/>
  <c r="BL258" i="20"/>
  <c r="BL259" i="20"/>
  <c r="BL260" i="20"/>
  <c r="BL261" i="20"/>
  <c r="BL262" i="20"/>
  <c r="BL263" i="20"/>
  <c r="BL264" i="20"/>
  <c r="BL265" i="20"/>
  <c r="BL266" i="20"/>
  <c r="BL267" i="20"/>
  <c r="BL268" i="20"/>
  <c r="BL269" i="20"/>
  <c r="BL270" i="20"/>
  <c r="BL271" i="20"/>
  <c r="BL272" i="20"/>
  <c r="BL273" i="20"/>
  <c r="BL274" i="20"/>
  <c r="BL275" i="20"/>
  <c r="BL276" i="20"/>
  <c r="BL277" i="20"/>
  <c r="BL278" i="20"/>
  <c r="BL279" i="20"/>
  <c r="BL280" i="20"/>
  <c r="BL281" i="20"/>
  <c r="BL282" i="20"/>
  <c r="BL283" i="20"/>
  <c r="BL284" i="20"/>
  <c r="BL285" i="20"/>
  <c r="BL286" i="20"/>
  <c r="BL287" i="20"/>
  <c r="BL288" i="20"/>
  <c r="BL289" i="20"/>
  <c r="BL290" i="20"/>
  <c r="BL291" i="20"/>
  <c r="BL292" i="20"/>
  <c r="BL293" i="20"/>
  <c r="E347" i="20"/>
  <c r="N347" i="20"/>
  <c r="O347" i="20"/>
  <c r="Q347" i="20"/>
  <c r="R347" i="20"/>
  <c r="S347" i="20"/>
  <c r="T347" i="20"/>
  <c r="V347" i="20"/>
  <c r="X347" i="20"/>
  <c r="Y347" i="20"/>
  <c r="Z347" i="20"/>
  <c r="AD347" i="20"/>
  <c r="AE347" i="20"/>
  <c r="CE347" i="20"/>
  <c r="CG347" i="20"/>
  <c r="CI347" i="20"/>
  <c r="E340" i="20"/>
  <c r="E341" i="20"/>
  <c r="E342" i="20"/>
  <c r="E343" i="20"/>
  <c r="E344" i="20"/>
  <c r="E345" i="20"/>
  <c r="E346" i="20"/>
  <c r="N340" i="20"/>
  <c r="N341" i="20"/>
  <c r="N342" i="20"/>
  <c r="N343" i="20"/>
  <c r="N344" i="20"/>
  <c r="N345" i="20"/>
  <c r="N346" i="20"/>
  <c r="O340" i="20"/>
  <c r="O341" i="20"/>
  <c r="O342" i="20"/>
  <c r="O343" i="20"/>
  <c r="O344" i="20"/>
  <c r="O345" i="20"/>
  <c r="O346" i="20"/>
  <c r="Q340" i="20"/>
  <c r="Q341" i="20"/>
  <c r="Q342" i="20"/>
  <c r="Q343" i="20"/>
  <c r="Q344" i="20"/>
  <c r="Q345" i="20"/>
  <c r="Q346" i="20"/>
  <c r="R340" i="20"/>
  <c r="R341" i="20"/>
  <c r="R342" i="20"/>
  <c r="R343" i="20"/>
  <c r="R344" i="20"/>
  <c r="R345" i="20"/>
  <c r="R346" i="20"/>
  <c r="S340" i="20"/>
  <c r="S341" i="20"/>
  <c r="S342" i="20"/>
  <c r="S343" i="20"/>
  <c r="S344" i="20"/>
  <c r="S345" i="20"/>
  <c r="S346" i="20"/>
  <c r="T340" i="20"/>
  <c r="T341" i="20"/>
  <c r="T342" i="20"/>
  <c r="T343" i="20"/>
  <c r="T344" i="20"/>
  <c r="T345" i="20"/>
  <c r="T346" i="20"/>
  <c r="V340" i="20"/>
  <c r="V341" i="20"/>
  <c r="V342" i="20"/>
  <c r="V343" i="20"/>
  <c r="V344" i="20"/>
  <c r="V345" i="20"/>
  <c r="V346" i="20"/>
  <c r="X340" i="20"/>
  <c r="X341" i="20"/>
  <c r="X342" i="20"/>
  <c r="X343" i="20"/>
  <c r="X344" i="20"/>
  <c r="X345" i="20"/>
  <c r="X346" i="20"/>
  <c r="Y340" i="20"/>
  <c r="Y341" i="20"/>
  <c r="Y342" i="20"/>
  <c r="Y343" i="20"/>
  <c r="Y344" i="20"/>
  <c r="Y345" i="20"/>
  <c r="Y346" i="20"/>
  <c r="Z340" i="20"/>
  <c r="Z341" i="20"/>
  <c r="Z342" i="20"/>
  <c r="Z343" i="20"/>
  <c r="Z344" i="20"/>
  <c r="Z345" i="20"/>
  <c r="Z346" i="20"/>
  <c r="AD340" i="20"/>
  <c r="AD341" i="20"/>
  <c r="AD342" i="20"/>
  <c r="AD343" i="20"/>
  <c r="AD344" i="20"/>
  <c r="AD345" i="20"/>
  <c r="AD346" i="20"/>
  <c r="AE340" i="20"/>
  <c r="AE341" i="20"/>
  <c r="AE342" i="20"/>
  <c r="AE343" i="20"/>
  <c r="AE344" i="20"/>
  <c r="AE345" i="20"/>
  <c r="AE346" i="20"/>
  <c r="CE340" i="20"/>
  <c r="CE341" i="20"/>
  <c r="CE342" i="20"/>
  <c r="CE343" i="20"/>
  <c r="CE344" i="20"/>
  <c r="CE345" i="20"/>
  <c r="CE346" i="20"/>
  <c r="CG340" i="20"/>
  <c r="CG341" i="20"/>
  <c r="CG342" i="20"/>
  <c r="CG343" i="20"/>
  <c r="CG344" i="20"/>
  <c r="CG345" i="20"/>
  <c r="CG346" i="20"/>
  <c r="CI340" i="20"/>
  <c r="CI341" i="20"/>
  <c r="CI342" i="20"/>
  <c r="CI343" i="20"/>
  <c r="CI344" i="20"/>
  <c r="CI345" i="20"/>
  <c r="CI346" i="20"/>
  <c r="E328" i="20"/>
  <c r="E329" i="20"/>
  <c r="E330" i="20"/>
  <c r="E331" i="20"/>
  <c r="E332" i="20"/>
  <c r="E333" i="20"/>
  <c r="E334" i="20"/>
  <c r="E335" i="20"/>
  <c r="E336" i="20"/>
  <c r="E337" i="20"/>
  <c r="E338" i="20"/>
  <c r="E339" i="20"/>
  <c r="N328" i="20"/>
  <c r="N329" i="20"/>
  <c r="N330" i="20"/>
  <c r="N331" i="20"/>
  <c r="N332" i="20"/>
  <c r="N333" i="20"/>
  <c r="N334" i="20"/>
  <c r="N335" i="20"/>
  <c r="N336" i="20"/>
  <c r="N337" i="20"/>
  <c r="N338" i="20"/>
  <c r="N339" i="20"/>
  <c r="O328" i="20"/>
  <c r="O329" i="20"/>
  <c r="O330" i="20"/>
  <c r="O331" i="20"/>
  <c r="O332" i="20"/>
  <c r="O333" i="20"/>
  <c r="O334" i="20"/>
  <c r="O335" i="20"/>
  <c r="O336" i="20"/>
  <c r="O337" i="20"/>
  <c r="O338" i="20"/>
  <c r="O339" i="20"/>
  <c r="Q328" i="20"/>
  <c r="Q329" i="20"/>
  <c r="Q330" i="20"/>
  <c r="Q331" i="20"/>
  <c r="Q332" i="20"/>
  <c r="Q333" i="20"/>
  <c r="Q334" i="20"/>
  <c r="Q335" i="20"/>
  <c r="Q336" i="20"/>
  <c r="Q337" i="20"/>
  <c r="Q338" i="20"/>
  <c r="Q339" i="20"/>
  <c r="R328" i="20"/>
  <c r="R329" i="20"/>
  <c r="R330" i="20"/>
  <c r="R331" i="20"/>
  <c r="R332" i="20"/>
  <c r="R333" i="20"/>
  <c r="R334" i="20"/>
  <c r="R335" i="20"/>
  <c r="R336" i="20"/>
  <c r="R337" i="20"/>
  <c r="R338" i="20"/>
  <c r="R339" i="20"/>
  <c r="S328" i="20"/>
  <c r="S329" i="20"/>
  <c r="S330" i="20"/>
  <c r="S331" i="20"/>
  <c r="S332" i="20"/>
  <c r="S333" i="20"/>
  <c r="S334" i="20"/>
  <c r="S335" i="20"/>
  <c r="S336" i="20"/>
  <c r="S337" i="20"/>
  <c r="S338" i="20"/>
  <c r="S339" i="20"/>
  <c r="T328" i="20"/>
  <c r="T329" i="20"/>
  <c r="T330" i="20"/>
  <c r="T331" i="20"/>
  <c r="T332" i="20"/>
  <c r="T333" i="20"/>
  <c r="T334" i="20"/>
  <c r="T335" i="20"/>
  <c r="T336" i="20"/>
  <c r="T337" i="20"/>
  <c r="T338" i="20"/>
  <c r="T339" i="20"/>
  <c r="V328" i="20"/>
  <c r="V329" i="20"/>
  <c r="V330" i="20"/>
  <c r="V331" i="20"/>
  <c r="V332" i="20"/>
  <c r="V333" i="20"/>
  <c r="V334" i="20"/>
  <c r="V335" i="20"/>
  <c r="V336" i="20"/>
  <c r="V337" i="20"/>
  <c r="V338" i="20"/>
  <c r="V339" i="20"/>
  <c r="X328" i="20"/>
  <c r="X329" i="20"/>
  <c r="X330" i="20"/>
  <c r="X331" i="20"/>
  <c r="X332" i="20"/>
  <c r="X333" i="20"/>
  <c r="X334" i="20"/>
  <c r="X335" i="20"/>
  <c r="X336" i="20"/>
  <c r="X337" i="20"/>
  <c r="X338" i="20"/>
  <c r="X339" i="20"/>
  <c r="Y328" i="20"/>
  <c r="Y329" i="20"/>
  <c r="Y330" i="20"/>
  <c r="Y331" i="20"/>
  <c r="Y332" i="20"/>
  <c r="Y333" i="20"/>
  <c r="Y334" i="20"/>
  <c r="Y335" i="20"/>
  <c r="Y336" i="20"/>
  <c r="Y337" i="20"/>
  <c r="Y338" i="20"/>
  <c r="Y339" i="20"/>
  <c r="Z328" i="20"/>
  <c r="Z329" i="20"/>
  <c r="Z330" i="20"/>
  <c r="Z331" i="20"/>
  <c r="Z332" i="20"/>
  <c r="Z333" i="20"/>
  <c r="Z334" i="20"/>
  <c r="Z335" i="20"/>
  <c r="Z336" i="20"/>
  <c r="Z337" i="20"/>
  <c r="Z338" i="20"/>
  <c r="Z339" i="20"/>
  <c r="AD328" i="20"/>
  <c r="AD329" i="20"/>
  <c r="AD330" i="20"/>
  <c r="AD331" i="20"/>
  <c r="AD332" i="20"/>
  <c r="AD333" i="20"/>
  <c r="AD334" i="20"/>
  <c r="AD335" i="20"/>
  <c r="AD336" i="20"/>
  <c r="AD337" i="20"/>
  <c r="AD338" i="20"/>
  <c r="AD339" i="20"/>
  <c r="AE328" i="20"/>
  <c r="AE329" i="20"/>
  <c r="AE330" i="20"/>
  <c r="AE331" i="20"/>
  <c r="AE332" i="20"/>
  <c r="AE333" i="20"/>
  <c r="AE334" i="20"/>
  <c r="AE335" i="20"/>
  <c r="AE336" i="20"/>
  <c r="AE337" i="20"/>
  <c r="AE338" i="20"/>
  <c r="AE339" i="20"/>
  <c r="CE328" i="20"/>
  <c r="CE329" i="20"/>
  <c r="CE330" i="20"/>
  <c r="CE331" i="20"/>
  <c r="CE332" i="20"/>
  <c r="CE333" i="20"/>
  <c r="CE334" i="20"/>
  <c r="CE335" i="20"/>
  <c r="CE336" i="20"/>
  <c r="CE337" i="20"/>
  <c r="CE338" i="20"/>
  <c r="CE339" i="20"/>
  <c r="CG328" i="20"/>
  <c r="CG329" i="20"/>
  <c r="CG330" i="20"/>
  <c r="CG331" i="20"/>
  <c r="CG332" i="20"/>
  <c r="CG333" i="20"/>
  <c r="CG334" i="20"/>
  <c r="CG335" i="20"/>
  <c r="CG336" i="20"/>
  <c r="CG337" i="20"/>
  <c r="CG338" i="20"/>
  <c r="CG339" i="20"/>
  <c r="CI328" i="20"/>
  <c r="CI329" i="20"/>
  <c r="CI330" i="20"/>
  <c r="CI331" i="20"/>
  <c r="CI332" i="20"/>
  <c r="CI333" i="20"/>
  <c r="CI334" i="20"/>
  <c r="CI335" i="20"/>
  <c r="CI336" i="20"/>
  <c r="CI337" i="20"/>
  <c r="CI338" i="20"/>
  <c r="CI339" i="20"/>
  <c r="E316" i="20"/>
  <c r="E317" i="20"/>
  <c r="E318" i="20"/>
  <c r="E319" i="20"/>
  <c r="E320" i="20"/>
  <c r="E321" i="20"/>
  <c r="E322" i="20"/>
  <c r="E323" i="20"/>
  <c r="E324" i="20"/>
  <c r="E325" i="20"/>
  <c r="E326" i="20"/>
  <c r="E327" i="20"/>
  <c r="N316" i="20"/>
  <c r="N317" i="20"/>
  <c r="N318" i="20"/>
  <c r="N319" i="20"/>
  <c r="N320" i="20"/>
  <c r="N321" i="20"/>
  <c r="N322" i="20"/>
  <c r="N323" i="20"/>
  <c r="N324" i="20"/>
  <c r="N325" i="20"/>
  <c r="N326" i="20"/>
  <c r="N327" i="20"/>
  <c r="O316" i="20"/>
  <c r="O317" i="20"/>
  <c r="O318" i="20"/>
  <c r="O319" i="20"/>
  <c r="O320" i="20"/>
  <c r="O321" i="20"/>
  <c r="O322" i="20"/>
  <c r="O323" i="20"/>
  <c r="O324" i="20"/>
  <c r="O325" i="20"/>
  <c r="O326" i="20"/>
  <c r="O327" i="20"/>
  <c r="Q316" i="20"/>
  <c r="Q317" i="20"/>
  <c r="Q318" i="20"/>
  <c r="Q319" i="20"/>
  <c r="Q320" i="20"/>
  <c r="Q321" i="20"/>
  <c r="Q322" i="20"/>
  <c r="Q323" i="20"/>
  <c r="Q324" i="20"/>
  <c r="Q325" i="20"/>
  <c r="Q326" i="20"/>
  <c r="Q327" i="20"/>
  <c r="R316" i="20"/>
  <c r="R317" i="20"/>
  <c r="R318" i="20"/>
  <c r="R319" i="20"/>
  <c r="R320" i="20"/>
  <c r="R321" i="20"/>
  <c r="R322" i="20"/>
  <c r="R323" i="20"/>
  <c r="R324" i="20"/>
  <c r="R325" i="20"/>
  <c r="R326" i="20"/>
  <c r="R327" i="20"/>
  <c r="S316" i="20"/>
  <c r="S317" i="20"/>
  <c r="S318" i="20"/>
  <c r="S319" i="20"/>
  <c r="S320" i="20"/>
  <c r="S321" i="20"/>
  <c r="S322" i="20"/>
  <c r="S323" i="20"/>
  <c r="S324" i="20"/>
  <c r="S325" i="20"/>
  <c r="S326" i="20"/>
  <c r="S327" i="20"/>
  <c r="T316" i="20"/>
  <c r="T317" i="20"/>
  <c r="T318" i="20"/>
  <c r="T319" i="20"/>
  <c r="T320" i="20"/>
  <c r="T321" i="20"/>
  <c r="T322" i="20"/>
  <c r="T323" i="20"/>
  <c r="T324" i="20"/>
  <c r="T325" i="20"/>
  <c r="T326" i="20"/>
  <c r="T327" i="20"/>
  <c r="V316" i="20"/>
  <c r="V317" i="20"/>
  <c r="V318" i="20"/>
  <c r="V319" i="20"/>
  <c r="V320" i="20"/>
  <c r="V321" i="20"/>
  <c r="V322" i="20"/>
  <c r="V323" i="20"/>
  <c r="V324" i="20"/>
  <c r="V325" i="20"/>
  <c r="V326" i="20"/>
  <c r="V327" i="20"/>
  <c r="X316" i="20"/>
  <c r="X317" i="20"/>
  <c r="X318" i="20"/>
  <c r="X319" i="20"/>
  <c r="X320" i="20"/>
  <c r="X321" i="20"/>
  <c r="X322" i="20"/>
  <c r="X323" i="20"/>
  <c r="X324" i="20"/>
  <c r="X325" i="20"/>
  <c r="X326" i="20"/>
  <c r="X327" i="20"/>
  <c r="Y316" i="20"/>
  <c r="Y317" i="20"/>
  <c r="Y318" i="20"/>
  <c r="Y319" i="20"/>
  <c r="Y320" i="20"/>
  <c r="Y321" i="20"/>
  <c r="Y322" i="20"/>
  <c r="Y323" i="20"/>
  <c r="Y324" i="20"/>
  <c r="Y325" i="20"/>
  <c r="Y326" i="20"/>
  <c r="Y327" i="20"/>
  <c r="Z316" i="20"/>
  <c r="Z317" i="20"/>
  <c r="Z318" i="20"/>
  <c r="Z319" i="20"/>
  <c r="Z320" i="20"/>
  <c r="Z321" i="20"/>
  <c r="Z322" i="20"/>
  <c r="Z323" i="20"/>
  <c r="Z324" i="20"/>
  <c r="Z325" i="20"/>
  <c r="Z326" i="20"/>
  <c r="Z327" i="20"/>
  <c r="AD316" i="20"/>
  <c r="AD317" i="20"/>
  <c r="AD318" i="20"/>
  <c r="AD319" i="20"/>
  <c r="AD320" i="20"/>
  <c r="AD321" i="20"/>
  <c r="AD322" i="20"/>
  <c r="AD323" i="20"/>
  <c r="AD324" i="20"/>
  <c r="AD325" i="20"/>
  <c r="AD326" i="20"/>
  <c r="AD327" i="20"/>
  <c r="AE316" i="20"/>
  <c r="AE317" i="20"/>
  <c r="AE318" i="20"/>
  <c r="AE319" i="20"/>
  <c r="AE320" i="20"/>
  <c r="AE321" i="20"/>
  <c r="AE322" i="20"/>
  <c r="AE323" i="20"/>
  <c r="AE324" i="20"/>
  <c r="AE325" i="20"/>
  <c r="AE326" i="20"/>
  <c r="AE327" i="20"/>
  <c r="CE316" i="20"/>
  <c r="CE317" i="20"/>
  <c r="CE318" i="20"/>
  <c r="CE319" i="20"/>
  <c r="CE320" i="20"/>
  <c r="CE321" i="20"/>
  <c r="CE322" i="20"/>
  <c r="CE323" i="20"/>
  <c r="CE324" i="20"/>
  <c r="CE325" i="20"/>
  <c r="CE326" i="20"/>
  <c r="CE327" i="20"/>
  <c r="CG316" i="20"/>
  <c r="CG317" i="20"/>
  <c r="CG318" i="20"/>
  <c r="CG319" i="20"/>
  <c r="CG320" i="20"/>
  <c r="CG321" i="20"/>
  <c r="CG322" i="20"/>
  <c r="CG323" i="20"/>
  <c r="CG324" i="20"/>
  <c r="CG325" i="20"/>
  <c r="CG326" i="20"/>
  <c r="CG327" i="20"/>
  <c r="CI316" i="20"/>
  <c r="CI317" i="20"/>
  <c r="CI318" i="20"/>
  <c r="CI319" i="20"/>
  <c r="CI320" i="20"/>
  <c r="CI321" i="20"/>
  <c r="CI322" i="20"/>
  <c r="CI323" i="20"/>
  <c r="CI324" i="20"/>
  <c r="CI325" i="20"/>
  <c r="CI326" i="20"/>
  <c r="CI327" i="20"/>
  <c r="E303" i="20"/>
  <c r="E304" i="20"/>
  <c r="E305" i="20"/>
  <c r="E306" i="20"/>
  <c r="E307" i="20"/>
  <c r="E308" i="20"/>
  <c r="E309" i="20"/>
  <c r="E310" i="20"/>
  <c r="E311" i="20"/>
  <c r="E312" i="20"/>
  <c r="E313" i="20"/>
  <c r="E314" i="20"/>
  <c r="E315" i="20"/>
  <c r="N303" i="20"/>
  <c r="N304" i="20"/>
  <c r="N305" i="20"/>
  <c r="N306" i="20"/>
  <c r="N307" i="20"/>
  <c r="N308" i="20"/>
  <c r="N309" i="20"/>
  <c r="N310" i="20"/>
  <c r="N311" i="20"/>
  <c r="N312" i="20"/>
  <c r="N313" i="20"/>
  <c r="N314" i="20"/>
  <c r="N315" i="20"/>
  <c r="O303" i="20"/>
  <c r="O304" i="20"/>
  <c r="O305" i="20"/>
  <c r="O306" i="20"/>
  <c r="O307" i="20"/>
  <c r="O308" i="20"/>
  <c r="O309" i="20"/>
  <c r="O310" i="20"/>
  <c r="O311" i="20"/>
  <c r="O312" i="20"/>
  <c r="O313" i="20"/>
  <c r="O314" i="20"/>
  <c r="O315" i="20"/>
  <c r="Q303" i="20"/>
  <c r="Q304" i="20"/>
  <c r="Q305" i="20"/>
  <c r="Q306" i="20"/>
  <c r="Q307" i="20"/>
  <c r="Q308" i="20"/>
  <c r="Q309" i="20"/>
  <c r="Q310" i="20"/>
  <c r="Q311" i="20"/>
  <c r="Q312" i="20"/>
  <c r="Q313" i="20"/>
  <c r="Q314" i="20"/>
  <c r="Q315" i="20"/>
  <c r="R303" i="20"/>
  <c r="R304" i="20"/>
  <c r="R305" i="20"/>
  <c r="R306" i="20"/>
  <c r="R307" i="20"/>
  <c r="R308" i="20"/>
  <c r="R309" i="20"/>
  <c r="R310" i="20"/>
  <c r="R311" i="20"/>
  <c r="R312" i="20"/>
  <c r="R313" i="20"/>
  <c r="R314" i="20"/>
  <c r="R315" i="20"/>
  <c r="S303" i="20"/>
  <c r="S304" i="20"/>
  <c r="S305" i="20"/>
  <c r="S306" i="20"/>
  <c r="S307" i="20"/>
  <c r="S308" i="20"/>
  <c r="S309" i="20"/>
  <c r="S310" i="20"/>
  <c r="S311" i="20"/>
  <c r="S312" i="20"/>
  <c r="S313" i="20"/>
  <c r="S314" i="20"/>
  <c r="S315" i="20"/>
  <c r="T303" i="20"/>
  <c r="T304" i="20"/>
  <c r="T305" i="20"/>
  <c r="T306" i="20"/>
  <c r="T307" i="20"/>
  <c r="T308" i="20"/>
  <c r="T309" i="20"/>
  <c r="T310" i="20"/>
  <c r="T311" i="20"/>
  <c r="T312" i="20"/>
  <c r="T313" i="20"/>
  <c r="T314" i="20"/>
  <c r="T315" i="20"/>
  <c r="V303" i="20"/>
  <c r="V304" i="20"/>
  <c r="V305" i="20"/>
  <c r="V306" i="20"/>
  <c r="V307" i="20"/>
  <c r="V308" i="20"/>
  <c r="V309" i="20"/>
  <c r="V310" i="20"/>
  <c r="V311" i="20"/>
  <c r="V312" i="20"/>
  <c r="V313" i="20"/>
  <c r="V314" i="20"/>
  <c r="V315" i="20"/>
  <c r="X303" i="20"/>
  <c r="X304" i="20"/>
  <c r="X305" i="20"/>
  <c r="X306" i="20"/>
  <c r="X307" i="20"/>
  <c r="X308" i="20"/>
  <c r="X309" i="20"/>
  <c r="X310" i="20"/>
  <c r="X311" i="20"/>
  <c r="X312" i="20"/>
  <c r="X313" i="20"/>
  <c r="X314" i="20"/>
  <c r="X315" i="20"/>
  <c r="Y303" i="20"/>
  <c r="Y304" i="20"/>
  <c r="Y305" i="20"/>
  <c r="Y306" i="20"/>
  <c r="Y307" i="20"/>
  <c r="Y308" i="20"/>
  <c r="Y309" i="20"/>
  <c r="Y310" i="20"/>
  <c r="Y311" i="20"/>
  <c r="Y312" i="20"/>
  <c r="Y313" i="20"/>
  <c r="Y314" i="20"/>
  <c r="Y315" i="20"/>
  <c r="Z303" i="20"/>
  <c r="Z304" i="20"/>
  <c r="Z305" i="20"/>
  <c r="Z306" i="20"/>
  <c r="Z307" i="20"/>
  <c r="Z308" i="20"/>
  <c r="Z309" i="20"/>
  <c r="Z310" i="20"/>
  <c r="Z311" i="20"/>
  <c r="Z312" i="20"/>
  <c r="Z313" i="20"/>
  <c r="Z314" i="20"/>
  <c r="Z315" i="20"/>
  <c r="AD303" i="20"/>
  <c r="AD304" i="20"/>
  <c r="AD305" i="20"/>
  <c r="AD306" i="20"/>
  <c r="AD307" i="20"/>
  <c r="AD308" i="20"/>
  <c r="AD309" i="20"/>
  <c r="AD310" i="20"/>
  <c r="AD311" i="20"/>
  <c r="AD312" i="20"/>
  <c r="AD313" i="20"/>
  <c r="AD314" i="20"/>
  <c r="AD315" i="20"/>
  <c r="AE303" i="20"/>
  <c r="AE304" i="20"/>
  <c r="AE305" i="20"/>
  <c r="AE306" i="20"/>
  <c r="AE307" i="20"/>
  <c r="AE308" i="20"/>
  <c r="AE309" i="20"/>
  <c r="AE310" i="20"/>
  <c r="AE311" i="20"/>
  <c r="AE312" i="20"/>
  <c r="AE313" i="20"/>
  <c r="AE314" i="20"/>
  <c r="AE315" i="20"/>
  <c r="CE303" i="20"/>
  <c r="CE304" i="20"/>
  <c r="CE305" i="20"/>
  <c r="CE306" i="20"/>
  <c r="CE307" i="20"/>
  <c r="CE308" i="20"/>
  <c r="CE309" i="20"/>
  <c r="CE310" i="20"/>
  <c r="CE311" i="20"/>
  <c r="CE312" i="20"/>
  <c r="CE313" i="20"/>
  <c r="CE314" i="20"/>
  <c r="CE315" i="20"/>
  <c r="CG303" i="20"/>
  <c r="CG304" i="20"/>
  <c r="CG305" i="20"/>
  <c r="CG306" i="20"/>
  <c r="CG307" i="20"/>
  <c r="CG308" i="20"/>
  <c r="CG309" i="20"/>
  <c r="CG310" i="20"/>
  <c r="CG311" i="20"/>
  <c r="CG312" i="20"/>
  <c r="CG313" i="20"/>
  <c r="CG314" i="20"/>
  <c r="CG315" i="20"/>
  <c r="CI303" i="20"/>
  <c r="CI304" i="20"/>
  <c r="CI305" i="20"/>
  <c r="CI306" i="20"/>
  <c r="CI307" i="20"/>
  <c r="CI308" i="20"/>
  <c r="CI309" i="20"/>
  <c r="CI310" i="20"/>
  <c r="CI311" i="20"/>
  <c r="CI312" i="20"/>
  <c r="CI313" i="20"/>
  <c r="CI314" i="20"/>
  <c r="CI315" i="20"/>
  <c r="E295" i="20"/>
  <c r="E296" i="20"/>
  <c r="E297" i="20"/>
  <c r="E298" i="20"/>
  <c r="E299" i="20"/>
  <c r="E300" i="20"/>
  <c r="E301" i="20"/>
  <c r="E302" i="20"/>
  <c r="N295" i="20"/>
  <c r="N296" i="20"/>
  <c r="N297" i="20"/>
  <c r="N298" i="20"/>
  <c r="N299" i="20"/>
  <c r="N300" i="20"/>
  <c r="N301" i="20"/>
  <c r="N302" i="20"/>
  <c r="O295" i="20"/>
  <c r="O296" i="20"/>
  <c r="O297" i="20"/>
  <c r="O298" i="20"/>
  <c r="O299" i="20"/>
  <c r="O300" i="20"/>
  <c r="O301" i="20"/>
  <c r="O302" i="20"/>
  <c r="Q295" i="20"/>
  <c r="Q296" i="20"/>
  <c r="Q297" i="20"/>
  <c r="Q298" i="20"/>
  <c r="Q299" i="20"/>
  <c r="Q300" i="20"/>
  <c r="Q301" i="20"/>
  <c r="Q302" i="20"/>
  <c r="R295" i="20"/>
  <c r="R296" i="20"/>
  <c r="R297" i="20"/>
  <c r="R298" i="20"/>
  <c r="R299" i="20"/>
  <c r="R300" i="20"/>
  <c r="R301" i="20"/>
  <c r="R302" i="20"/>
  <c r="S295" i="20"/>
  <c r="S296" i="20"/>
  <c r="S297" i="20"/>
  <c r="S298" i="20"/>
  <c r="S299" i="20"/>
  <c r="S300" i="20"/>
  <c r="S301" i="20"/>
  <c r="S302" i="20"/>
  <c r="T295" i="20"/>
  <c r="T296" i="20"/>
  <c r="T297" i="20"/>
  <c r="T298" i="20"/>
  <c r="T299" i="20"/>
  <c r="T300" i="20"/>
  <c r="T301" i="20"/>
  <c r="T302" i="20"/>
  <c r="V295" i="20"/>
  <c r="V296" i="20"/>
  <c r="V297" i="20"/>
  <c r="V298" i="20"/>
  <c r="V299" i="20"/>
  <c r="V300" i="20"/>
  <c r="V301" i="20"/>
  <c r="V302" i="20"/>
  <c r="X295" i="20"/>
  <c r="X296" i="20"/>
  <c r="X297" i="20"/>
  <c r="X298" i="20"/>
  <c r="X299" i="20"/>
  <c r="X300" i="20"/>
  <c r="X301" i="20"/>
  <c r="X302" i="20"/>
  <c r="Y295" i="20"/>
  <c r="Y296" i="20"/>
  <c r="Y297" i="20"/>
  <c r="Y298" i="20"/>
  <c r="Y299" i="20"/>
  <c r="Y300" i="20"/>
  <c r="Y301" i="20"/>
  <c r="Y302" i="20"/>
  <c r="Z295" i="20"/>
  <c r="Z296" i="20"/>
  <c r="Z297" i="20"/>
  <c r="Z298" i="20"/>
  <c r="Z299" i="20"/>
  <c r="Z300" i="20"/>
  <c r="Z301" i="20"/>
  <c r="Z302" i="20"/>
  <c r="AD295" i="20"/>
  <c r="AD296" i="20"/>
  <c r="AD297" i="20"/>
  <c r="AD298" i="20"/>
  <c r="AD299" i="20"/>
  <c r="AD300" i="20"/>
  <c r="AD301" i="20"/>
  <c r="AD302" i="20"/>
  <c r="AE295" i="20"/>
  <c r="AE296" i="20"/>
  <c r="AE297" i="20"/>
  <c r="AE298" i="20"/>
  <c r="AE299" i="20"/>
  <c r="AE300" i="20"/>
  <c r="AE301" i="20"/>
  <c r="AE302" i="20"/>
  <c r="CE295" i="20"/>
  <c r="CE296" i="20"/>
  <c r="CE297" i="20"/>
  <c r="CE298" i="20"/>
  <c r="CE299" i="20"/>
  <c r="CE300" i="20"/>
  <c r="CE301" i="20"/>
  <c r="CE302" i="20"/>
  <c r="CG295" i="20"/>
  <c r="CG296" i="20"/>
  <c r="CG297" i="20"/>
  <c r="CG298" i="20"/>
  <c r="CG299" i="20"/>
  <c r="CG300" i="20"/>
  <c r="CG301" i="20"/>
  <c r="CG302" i="20"/>
  <c r="CI295" i="20"/>
  <c r="CI296" i="20"/>
  <c r="CI297" i="20"/>
  <c r="CI298" i="20"/>
  <c r="CI299" i="20"/>
  <c r="CI300" i="20"/>
  <c r="CI301" i="20"/>
  <c r="CI302" i="20"/>
  <c r="E294" i="20"/>
  <c r="N294" i="20"/>
  <c r="O294" i="20"/>
  <c r="Q294" i="20"/>
  <c r="R294" i="20"/>
  <c r="S294" i="20"/>
  <c r="T294" i="20"/>
  <c r="V294" i="20"/>
  <c r="X294" i="20"/>
  <c r="Y294" i="20"/>
  <c r="Z294" i="20"/>
  <c r="AD294" i="20"/>
  <c r="AE294" i="20"/>
  <c r="CE294" i="20"/>
  <c r="CG294" i="20"/>
  <c r="CI294" i="20"/>
  <c r="CC21" i="9"/>
  <c r="CC43" i="9"/>
  <c r="CC3" i="9"/>
  <c r="CC4" i="9"/>
  <c r="CC294" i="9"/>
  <c r="CC295" i="9"/>
  <c r="CC296" i="9"/>
  <c r="CC297" i="9"/>
  <c r="CC298" i="9"/>
  <c r="CC299" i="9"/>
  <c r="CC300" i="9"/>
  <c r="CC301" i="9"/>
  <c r="CC302" i="9"/>
  <c r="CC303" i="9"/>
  <c r="CC304" i="9"/>
  <c r="CC305" i="9"/>
  <c r="CC306" i="9"/>
  <c r="CC307" i="9"/>
  <c r="CC308" i="9"/>
  <c r="CC309" i="9"/>
  <c r="CC310" i="9"/>
  <c r="CC311" i="9"/>
  <c r="CC312" i="9"/>
  <c r="CC313" i="9"/>
  <c r="CC314" i="9"/>
  <c r="CC315" i="9"/>
  <c r="CC316" i="9"/>
  <c r="CC317" i="9"/>
  <c r="CC318" i="9"/>
  <c r="CC319" i="9"/>
  <c r="CC320" i="9"/>
  <c r="CC5" i="9"/>
  <c r="CC6" i="9"/>
  <c r="CC7" i="9"/>
  <c r="CC8" i="9"/>
  <c r="CC9" i="9"/>
  <c r="CC10" i="9"/>
  <c r="CC11" i="9"/>
  <c r="CC12" i="9"/>
  <c r="CC13" i="9"/>
  <c r="CC14" i="9"/>
  <c r="CC15" i="9"/>
  <c r="CC16" i="9"/>
  <c r="CC17" i="9"/>
  <c r="CC18" i="9"/>
  <c r="CC19" i="9"/>
  <c r="CC20" i="9"/>
  <c r="CC22" i="9"/>
  <c r="CC23" i="9"/>
  <c r="CC24" i="9"/>
  <c r="CC25" i="9"/>
  <c r="CC26" i="9"/>
  <c r="CC27" i="9"/>
  <c r="CC28" i="9"/>
  <c r="CC29" i="9"/>
  <c r="CC30" i="9"/>
  <c r="CC31" i="9"/>
  <c r="CC32" i="9"/>
  <c r="CC33" i="9"/>
  <c r="CC34" i="9"/>
  <c r="CC35" i="9"/>
  <c r="CC36" i="9"/>
  <c r="CC37" i="9"/>
  <c r="CC38" i="9"/>
  <c r="CC39" i="9"/>
  <c r="CC40" i="9"/>
  <c r="CC41" i="9"/>
  <c r="CC42" i="9"/>
  <c r="CC44" i="9"/>
  <c r="CC45" i="9"/>
  <c r="CC46" i="9"/>
  <c r="CC47" i="9"/>
  <c r="CC48" i="9"/>
  <c r="CC49" i="9"/>
  <c r="CC50" i="9"/>
  <c r="CC51" i="9"/>
  <c r="CC52" i="9"/>
  <c r="CC53" i="9"/>
  <c r="CC54" i="9"/>
  <c r="CC55" i="9"/>
  <c r="CC56" i="9"/>
  <c r="CC57" i="9"/>
  <c r="CC58" i="9"/>
  <c r="CC59" i="9"/>
  <c r="CC60" i="9"/>
  <c r="CC61" i="9"/>
  <c r="CC62" i="9"/>
  <c r="CC63" i="9"/>
  <c r="CC64" i="9"/>
  <c r="CC65" i="9"/>
  <c r="CC66" i="9"/>
  <c r="CC67" i="9"/>
  <c r="CC68" i="9"/>
  <c r="CC69" i="9"/>
  <c r="CC70" i="9"/>
  <c r="CC71" i="9"/>
  <c r="CC72" i="9"/>
  <c r="CC73" i="9"/>
  <c r="CC74" i="9"/>
  <c r="CC75" i="9"/>
  <c r="CC76" i="9"/>
  <c r="CC77" i="9"/>
  <c r="CC78" i="9"/>
  <c r="CC79" i="9"/>
  <c r="CC80" i="9"/>
  <c r="CC81" i="9"/>
  <c r="CC82" i="9"/>
  <c r="CC83" i="9"/>
  <c r="CC84" i="9"/>
  <c r="CC85" i="9"/>
  <c r="CC86" i="9"/>
  <c r="CC87" i="9"/>
  <c r="CC88" i="9"/>
  <c r="CC89" i="9"/>
  <c r="CC90" i="9"/>
  <c r="CC91" i="9"/>
  <c r="CC92" i="9"/>
  <c r="CC93" i="9"/>
  <c r="CC94" i="9"/>
  <c r="CC95" i="9"/>
  <c r="CC96" i="9"/>
  <c r="CC97" i="9"/>
  <c r="CC98" i="9"/>
  <c r="CC99" i="9"/>
  <c r="CC100" i="9"/>
  <c r="CC101" i="9"/>
  <c r="CC102" i="9"/>
  <c r="CC103" i="9"/>
  <c r="CC104" i="9"/>
  <c r="CC105" i="9"/>
  <c r="CC106" i="9"/>
  <c r="CC107" i="9"/>
  <c r="CC108" i="9"/>
  <c r="CC109" i="9"/>
  <c r="CC110" i="9"/>
  <c r="CC111" i="9"/>
  <c r="CC112" i="9"/>
  <c r="CC113" i="9"/>
  <c r="CC114" i="9"/>
  <c r="CC115" i="9"/>
  <c r="CC116" i="9"/>
  <c r="CC117" i="9"/>
  <c r="CC118" i="9"/>
  <c r="CC119" i="9"/>
  <c r="CC120" i="9"/>
  <c r="CC121" i="9"/>
  <c r="CC122" i="9"/>
  <c r="CC123" i="9"/>
  <c r="CC124" i="9"/>
  <c r="CC125" i="9"/>
  <c r="CC126" i="9"/>
  <c r="CC127" i="9"/>
  <c r="CC128" i="9"/>
  <c r="CC129" i="9"/>
  <c r="CC130" i="9"/>
  <c r="CC131" i="9"/>
  <c r="CC132" i="9"/>
  <c r="CC133" i="9"/>
  <c r="CC134" i="9"/>
  <c r="CC135" i="9"/>
  <c r="CC136" i="9"/>
  <c r="CC137" i="9"/>
  <c r="CC138" i="9"/>
  <c r="CC139" i="9"/>
  <c r="CC140" i="9"/>
  <c r="CC141" i="9"/>
  <c r="CC142" i="9"/>
  <c r="CC143" i="9"/>
  <c r="CC144" i="9"/>
  <c r="CC145" i="9"/>
  <c r="CC146" i="9"/>
  <c r="CC147" i="9"/>
  <c r="CC148" i="9"/>
  <c r="CC149" i="9"/>
  <c r="CC150" i="9"/>
  <c r="CC151" i="9"/>
  <c r="CC152" i="9"/>
  <c r="CC153" i="9"/>
  <c r="CC154" i="9"/>
  <c r="CC156" i="9"/>
  <c r="CC157" i="9"/>
  <c r="CC158" i="9"/>
  <c r="CC159" i="9"/>
  <c r="CC160" i="9"/>
  <c r="CC161" i="9"/>
  <c r="CC162" i="9"/>
  <c r="CC163" i="9"/>
  <c r="CC164" i="9"/>
  <c r="CC165" i="9"/>
  <c r="CC166" i="9"/>
  <c r="CC167" i="9"/>
  <c r="CC168" i="9"/>
  <c r="CC169" i="9"/>
  <c r="CC170" i="9"/>
  <c r="CC171" i="9"/>
  <c r="CC172" i="9"/>
  <c r="CC173" i="9"/>
  <c r="CC174" i="9"/>
  <c r="CC175" i="9"/>
  <c r="CC176" i="9"/>
  <c r="CC177" i="9"/>
  <c r="CC178" i="9"/>
  <c r="CC179" i="9"/>
  <c r="CC180" i="9"/>
  <c r="CC181" i="9"/>
  <c r="CC182" i="9"/>
  <c r="CC183" i="9"/>
  <c r="CC184" i="9"/>
  <c r="CC186" i="9"/>
  <c r="CC187" i="9"/>
  <c r="CC188" i="9"/>
  <c r="CC189" i="9"/>
  <c r="CC190" i="9"/>
  <c r="CC191" i="9"/>
  <c r="CC192" i="9"/>
  <c r="CC193" i="9"/>
  <c r="CC194" i="9"/>
  <c r="CC195" i="9"/>
  <c r="CC196" i="9"/>
  <c r="CC197" i="9"/>
  <c r="CC198" i="9"/>
  <c r="CC199" i="9"/>
  <c r="CC200" i="9"/>
  <c r="CC201" i="9"/>
  <c r="CC202" i="9"/>
  <c r="CC203" i="9"/>
  <c r="CC204" i="9"/>
  <c r="CC205" i="9"/>
  <c r="CC206" i="9"/>
  <c r="CC207" i="9"/>
  <c r="CC208" i="9"/>
  <c r="CC209" i="9"/>
  <c r="CC210" i="9"/>
  <c r="CC211" i="9"/>
  <c r="CC212" i="9"/>
  <c r="CC213" i="9"/>
  <c r="CC214" i="9"/>
  <c r="CC215" i="9"/>
  <c r="CC216" i="9"/>
  <c r="CC217" i="9"/>
  <c r="CC218" i="9"/>
  <c r="CC219" i="9"/>
  <c r="CC220" i="9"/>
  <c r="CC221" i="9"/>
  <c r="CC222" i="9"/>
  <c r="CC223" i="9"/>
  <c r="CC224" i="9"/>
  <c r="CC225" i="9"/>
  <c r="CC226" i="9"/>
  <c r="CC227" i="9"/>
  <c r="CC229" i="9"/>
  <c r="CC230" i="9"/>
  <c r="CC231" i="9"/>
  <c r="CC232" i="9"/>
  <c r="CC233" i="9"/>
  <c r="CC234" i="9"/>
  <c r="CC235" i="9"/>
  <c r="CC236" i="9"/>
  <c r="CC237" i="9"/>
  <c r="CC238" i="9"/>
  <c r="CC239" i="9"/>
  <c r="CC240" i="9"/>
  <c r="CC241" i="9"/>
  <c r="CC242" i="9"/>
  <c r="CC243" i="9"/>
  <c r="CC244" i="9"/>
  <c r="CC245" i="9"/>
  <c r="CC246" i="9"/>
  <c r="CC247" i="9"/>
  <c r="CC248" i="9"/>
  <c r="CC249" i="9"/>
  <c r="CC250" i="9"/>
  <c r="CC251" i="9"/>
  <c r="CC252" i="9"/>
  <c r="CC253" i="9"/>
  <c r="CC254" i="9"/>
  <c r="CC255" i="9"/>
  <c r="CC256" i="9"/>
  <c r="CC257" i="9"/>
  <c r="CC259" i="9"/>
  <c r="CC258" i="9"/>
  <c r="CC260" i="9"/>
  <c r="CC261" i="9"/>
  <c r="CC262" i="9"/>
  <c r="CC263" i="9"/>
  <c r="CC264" i="9"/>
  <c r="CC265" i="9"/>
  <c r="CC266" i="9"/>
  <c r="CC267" i="9"/>
  <c r="CC268" i="9"/>
  <c r="CC269" i="9"/>
  <c r="CC270" i="9"/>
  <c r="CC271" i="9"/>
  <c r="CC272" i="9"/>
  <c r="CC273" i="9"/>
  <c r="CC274" i="9"/>
  <c r="CC275" i="9"/>
  <c r="CC276" i="9"/>
  <c r="CC277" i="9"/>
  <c r="CC278" i="9"/>
  <c r="CC279" i="9"/>
  <c r="CC280" i="9"/>
  <c r="CC281" i="9"/>
  <c r="CC282" i="9"/>
  <c r="CC283" i="9"/>
  <c r="CC284" i="9"/>
  <c r="CC285" i="9"/>
  <c r="CC286" i="9"/>
  <c r="CC287" i="9"/>
  <c r="CC288" i="9"/>
  <c r="CC289" i="9"/>
  <c r="CC290" i="9"/>
  <c r="CC291" i="9"/>
  <c r="CC292" i="9"/>
  <c r="CC293" i="9"/>
  <c r="CC185" i="9"/>
  <c r="CC155" i="9"/>
  <c r="CC228" i="9"/>
  <c r="D228" i="9"/>
  <c r="AC337" i="20" l="1"/>
  <c r="AC316" i="20"/>
  <c r="AC323" i="20"/>
  <c r="AC319" i="20"/>
  <c r="AC331" i="20"/>
  <c r="AC328" i="20"/>
  <c r="AC347" i="20"/>
  <c r="AC335" i="20"/>
  <c r="AC330" i="20"/>
  <c r="AC318" i="20"/>
  <c r="AC320" i="20"/>
  <c r="AC329" i="20"/>
  <c r="AC321" i="20"/>
  <c r="AC317" i="20"/>
  <c r="AC302" i="20"/>
  <c r="AC322" i="20"/>
  <c r="AC332" i="20"/>
  <c r="AC345" i="20"/>
  <c r="AC341" i="20"/>
  <c r="AC338" i="20"/>
  <c r="AC334" i="20"/>
  <c r="AC333" i="20"/>
  <c r="AC344" i="20"/>
  <c r="AC340" i="20"/>
  <c r="AC343" i="20"/>
  <c r="AC324" i="20"/>
  <c r="AC336" i="20"/>
  <c r="AC346" i="20"/>
  <c r="AC342" i="20"/>
  <c r="AC339" i="20"/>
  <c r="AC325" i="20"/>
  <c r="AC301" i="20"/>
  <c r="AC297" i="20"/>
  <c r="AC327" i="20"/>
  <c r="AC298" i="20"/>
  <c r="AC326" i="20"/>
  <c r="AC300" i="20"/>
  <c r="AC296" i="20"/>
  <c r="AC312" i="20"/>
  <c r="AC299" i="20"/>
  <c r="AC295" i="20"/>
  <c r="AC308" i="20"/>
  <c r="AC304" i="20"/>
  <c r="AC315" i="20"/>
  <c r="AC311" i="20"/>
  <c r="AC307" i="20"/>
  <c r="AC303" i="20"/>
  <c r="AC314" i="20"/>
  <c r="AC310" i="20"/>
  <c r="AC306" i="20"/>
  <c r="AC313" i="20"/>
  <c r="AC309" i="20"/>
  <c r="AC305" i="20"/>
  <c r="AC294" i="20"/>
  <c r="K217" i="6"/>
  <c r="K297" i="6"/>
  <c r="B184" i="11" l="1"/>
  <c r="H184" i="11" s="1"/>
  <c r="C184" i="11"/>
  <c r="D184" i="11"/>
  <c r="E184" i="11"/>
  <c r="F184" i="11"/>
  <c r="G184" i="11"/>
  <c r="P184" i="11"/>
  <c r="D185" i="9"/>
  <c r="E185" i="9"/>
  <c r="I185" i="9"/>
  <c r="J185" i="9"/>
  <c r="K185" i="9"/>
  <c r="L185" i="9"/>
  <c r="M185" i="9"/>
  <c r="O185" i="9"/>
  <c r="P185" i="9"/>
  <c r="Q185" i="9"/>
  <c r="R185" i="9"/>
  <c r="S185" i="9"/>
  <c r="T185" i="9"/>
  <c r="U185" i="9"/>
  <c r="W185" i="9"/>
  <c r="X185" i="9"/>
  <c r="Z185" i="9"/>
  <c r="AA185" i="9"/>
  <c r="AB185" i="9"/>
  <c r="AC185" i="9"/>
  <c r="AD185" i="9"/>
  <c r="AE185" i="9"/>
  <c r="AG185" i="9"/>
  <c r="AH185" i="9"/>
  <c r="AI185" i="9"/>
  <c r="AJ185" i="9"/>
  <c r="AK185" i="9"/>
  <c r="AL185" i="9"/>
  <c r="AN185" i="9"/>
  <c r="AO185" i="9"/>
  <c r="AP185" i="9"/>
  <c r="AQ185" i="9"/>
  <c r="AR185" i="9"/>
  <c r="AS185" i="9"/>
  <c r="AU185" i="9"/>
  <c r="AV185" i="9"/>
  <c r="AW185" i="9"/>
  <c r="AX185" i="9"/>
  <c r="AY185" i="9"/>
  <c r="AZ185" i="9"/>
  <c r="BB185" i="9"/>
  <c r="BC185" i="9"/>
  <c r="BD185" i="9"/>
  <c r="BE185" i="9"/>
  <c r="BF185" i="9"/>
  <c r="BG185" i="9"/>
  <c r="BL185" i="9"/>
  <c r="BM185" i="9"/>
  <c r="BN185" i="9"/>
  <c r="BO185" i="9"/>
  <c r="BP185" i="9"/>
  <c r="BQ185" i="9"/>
  <c r="BR185" i="9"/>
  <c r="BS185" i="9"/>
  <c r="BT185" i="9"/>
  <c r="BU185" i="9"/>
  <c r="BW185" i="9"/>
  <c r="BX185" i="9"/>
  <c r="BY185" i="9"/>
  <c r="BZ185" i="9"/>
  <c r="B185" i="10"/>
  <c r="C185" i="10"/>
  <c r="D185" i="10"/>
  <c r="E185" i="10"/>
  <c r="F185" i="10"/>
  <c r="G185" i="10"/>
  <c r="B185" i="6"/>
  <c r="C185" i="6"/>
  <c r="J185" i="6" s="1"/>
  <c r="D185" i="6"/>
  <c r="E185" i="6"/>
  <c r="F185" i="6"/>
  <c r="G185" i="6"/>
  <c r="H185" i="6"/>
  <c r="K185" i="6"/>
  <c r="L185" i="6"/>
  <c r="CA185" i="9" l="1"/>
  <c r="CJ359" i="20"/>
  <c r="BJ185" i="9"/>
  <c r="AG359" i="20"/>
  <c r="Q184" i="11"/>
  <c r="BH185" i="9"/>
  <c r="V185" i="9"/>
  <c r="S184" i="11"/>
  <c r="B152" i="11"/>
  <c r="H152" i="11" s="1"/>
  <c r="C152" i="11"/>
  <c r="D152" i="11"/>
  <c r="E152" i="11"/>
  <c r="F152" i="11"/>
  <c r="G152" i="11"/>
  <c r="P152" i="11"/>
  <c r="D155" i="9"/>
  <c r="E155" i="9"/>
  <c r="I155" i="9"/>
  <c r="J155" i="9"/>
  <c r="K155" i="9"/>
  <c r="L155" i="9"/>
  <c r="M155" i="9"/>
  <c r="O155" i="9"/>
  <c r="P155" i="9"/>
  <c r="Q155" i="9"/>
  <c r="R155" i="9"/>
  <c r="S155" i="9"/>
  <c r="T155" i="9"/>
  <c r="U155" i="9"/>
  <c r="W155" i="9"/>
  <c r="X155" i="9"/>
  <c r="Z155" i="9"/>
  <c r="AA155" i="9"/>
  <c r="AB155" i="9"/>
  <c r="AC155" i="9"/>
  <c r="AD155" i="9"/>
  <c r="AE155" i="9"/>
  <c r="AG155" i="9"/>
  <c r="AH155" i="9"/>
  <c r="AI155" i="9"/>
  <c r="AJ155" i="9"/>
  <c r="AK155" i="9"/>
  <c r="AL155" i="9"/>
  <c r="AN155" i="9"/>
  <c r="AO155" i="9"/>
  <c r="AP155" i="9"/>
  <c r="AQ155" i="9"/>
  <c r="AR155" i="9"/>
  <c r="AS155" i="9"/>
  <c r="AU155" i="9"/>
  <c r="AV155" i="9"/>
  <c r="AW155" i="9"/>
  <c r="AX155" i="9"/>
  <c r="AY155" i="9"/>
  <c r="AZ155" i="9"/>
  <c r="BB155" i="9"/>
  <c r="BC155" i="9"/>
  <c r="BD155" i="9"/>
  <c r="BE155" i="9"/>
  <c r="BF155" i="9"/>
  <c r="BG155" i="9"/>
  <c r="BL155" i="9"/>
  <c r="BM155" i="9"/>
  <c r="BN155" i="9"/>
  <c r="BO155" i="9"/>
  <c r="BP155" i="9"/>
  <c r="BQ155" i="9"/>
  <c r="BR155" i="9"/>
  <c r="BS155" i="9"/>
  <c r="BT155" i="9"/>
  <c r="BU155" i="9"/>
  <c r="BW155" i="9"/>
  <c r="BX155" i="9"/>
  <c r="BY155" i="9"/>
  <c r="BZ155" i="9"/>
  <c r="B154" i="10"/>
  <c r="C154" i="10"/>
  <c r="D154" i="10"/>
  <c r="E154" i="10"/>
  <c r="F154" i="10"/>
  <c r="G154" i="10"/>
  <c r="B154" i="6"/>
  <c r="C154" i="6"/>
  <c r="D154" i="6"/>
  <c r="E154" i="6"/>
  <c r="F154" i="6"/>
  <c r="G154" i="6"/>
  <c r="H154" i="6"/>
  <c r="K154" i="6"/>
  <c r="L154" i="6"/>
  <c r="B230" i="11"/>
  <c r="H230" i="11" s="1"/>
  <c r="C230" i="11"/>
  <c r="D230" i="11"/>
  <c r="E230" i="11"/>
  <c r="F230" i="11"/>
  <c r="G230" i="11"/>
  <c r="P230" i="11"/>
  <c r="E228" i="9"/>
  <c r="I228" i="9"/>
  <c r="J228" i="9"/>
  <c r="K228" i="9"/>
  <c r="L228" i="9"/>
  <c r="M228" i="9"/>
  <c r="O228" i="9"/>
  <c r="P228" i="9"/>
  <c r="Q228" i="9"/>
  <c r="R228" i="9"/>
  <c r="S228" i="9"/>
  <c r="T228" i="9"/>
  <c r="U228" i="9"/>
  <c r="W228" i="9"/>
  <c r="X228" i="9"/>
  <c r="Z228" i="9"/>
  <c r="AA228" i="9"/>
  <c r="AB228" i="9"/>
  <c r="AC228" i="9"/>
  <c r="AD228" i="9"/>
  <c r="AE228" i="9"/>
  <c r="AG228" i="9"/>
  <c r="AH228" i="9"/>
  <c r="AI228" i="9"/>
  <c r="AJ228" i="9"/>
  <c r="AK228" i="9"/>
  <c r="AL228" i="9"/>
  <c r="AN228" i="9"/>
  <c r="AO228" i="9"/>
  <c r="AP228" i="9"/>
  <c r="AQ228" i="9"/>
  <c r="AR228" i="9"/>
  <c r="AS228" i="9"/>
  <c r="AU228" i="9"/>
  <c r="AV228" i="9"/>
  <c r="AW228" i="9"/>
  <c r="AX228" i="9"/>
  <c r="AY228" i="9"/>
  <c r="AZ228" i="9"/>
  <c r="BB228" i="9"/>
  <c r="BC228" i="9"/>
  <c r="BD228" i="9"/>
  <c r="BE228" i="9"/>
  <c r="BF228" i="9"/>
  <c r="BG228" i="9"/>
  <c r="BL228" i="9"/>
  <c r="BM228" i="9"/>
  <c r="BN228" i="9"/>
  <c r="BO228" i="9"/>
  <c r="BP228" i="9"/>
  <c r="BQ228" i="9"/>
  <c r="BR228" i="9"/>
  <c r="BS228" i="9"/>
  <c r="BT228" i="9"/>
  <c r="BU228" i="9"/>
  <c r="BW228" i="9"/>
  <c r="BX228" i="9"/>
  <c r="BY228" i="9"/>
  <c r="BZ228" i="9"/>
  <c r="B227" i="10"/>
  <c r="C227" i="10"/>
  <c r="D227" i="10"/>
  <c r="E227" i="10"/>
  <c r="F227" i="10"/>
  <c r="G227" i="10"/>
  <c r="B227" i="6"/>
  <c r="C227" i="6"/>
  <c r="J227" i="6" s="1"/>
  <c r="D227" i="6"/>
  <c r="E227" i="6"/>
  <c r="F227" i="6"/>
  <c r="G227" i="6"/>
  <c r="H227" i="6"/>
  <c r="K227" i="6"/>
  <c r="L227" i="6"/>
  <c r="BA228" i="9" l="1"/>
  <c r="BI357" i="20"/>
  <c r="CA228" i="9"/>
  <c r="CJ357" i="20"/>
  <c r="AF185" i="9"/>
  <c r="AN359" i="20"/>
  <c r="AT185" i="9"/>
  <c r="BB359" i="20"/>
  <c r="BA185" i="9"/>
  <c r="BI359" i="20"/>
  <c r="CA155" i="9"/>
  <c r="CJ358" i="20"/>
  <c r="AM185" i="9"/>
  <c r="AU359" i="20"/>
  <c r="Y185" i="9"/>
  <c r="AF359" i="20"/>
  <c r="I185" i="6"/>
  <c r="O185" i="6" s="1"/>
  <c r="Q152" i="11"/>
  <c r="BR359" i="20"/>
  <c r="S152" i="11"/>
  <c r="J154" i="6"/>
  <c r="BH155" i="9"/>
  <c r="V155" i="9"/>
  <c r="Q230" i="11"/>
  <c r="V228" i="9"/>
  <c r="S230" i="11"/>
  <c r="BH228" i="9"/>
  <c r="BT359" i="20" l="1"/>
  <c r="BQ359" i="20"/>
  <c r="AF228" i="9"/>
  <c r="AN357" i="20"/>
  <c r="AT228" i="9"/>
  <c r="BB357" i="20"/>
  <c r="B185" i="9"/>
  <c r="F185" i="9" s="1"/>
  <c r="B359" i="20"/>
  <c r="BJ228" i="9"/>
  <c r="AG357" i="20"/>
  <c r="AM228" i="9"/>
  <c r="AU357" i="20"/>
  <c r="AT155" i="9"/>
  <c r="BB358" i="20"/>
  <c r="CB185" i="9"/>
  <c r="BP359" i="20"/>
  <c r="AF155" i="9"/>
  <c r="AN358" i="20"/>
  <c r="AM155" i="9"/>
  <c r="AU358" i="20"/>
  <c r="BA155" i="9"/>
  <c r="BI358" i="20"/>
  <c r="BJ155" i="9"/>
  <c r="AG358" i="20"/>
  <c r="BS359" i="20"/>
  <c r="Y155" i="9"/>
  <c r="AF358" i="20"/>
  <c r="Y228" i="9"/>
  <c r="AF357" i="20"/>
  <c r="I227" i="6"/>
  <c r="O227" i="6" s="1"/>
  <c r="I154" i="6"/>
  <c r="O154" i="6" s="1"/>
  <c r="B358" i="20" s="1"/>
  <c r="BW359" i="20"/>
  <c r="BU359" i="20"/>
  <c r="BI185" i="9"/>
  <c r="BV359" i="20"/>
  <c r="BK185" i="9"/>
  <c r="BR358" i="20"/>
  <c r="BR357" i="20"/>
  <c r="BZ312" i="9"/>
  <c r="BZ154" i="9"/>
  <c r="BZ36" i="9"/>
  <c r="BZ83" i="9"/>
  <c r="BZ264" i="9"/>
  <c r="BZ259" i="9"/>
  <c r="BZ301" i="9"/>
  <c r="BZ230" i="9"/>
  <c r="BZ288" i="9"/>
  <c r="BZ316" i="9"/>
  <c r="BZ29" i="9"/>
  <c r="BZ37" i="9"/>
  <c r="BZ90" i="9"/>
  <c r="BZ163" i="9"/>
  <c r="BZ294" i="9"/>
  <c r="BZ190" i="9"/>
  <c r="BZ226" i="9"/>
  <c r="BZ260" i="9"/>
  <c r="BZ23" i="9"/>
  <c r="BZ30" i="9"/>
  <c r="BZ84" i="9"/>
  <c r="BZ173" i="9"/>
  <c r="BZ239" i="9"/>
  <c r="BZ249" i="9"/>
  <c r="BZ271" i="9"/>
  <c r="BZ320" i="9"/>
  <c r="BZ64" i="9"/>
  <c r="BZ68" i="9"/>
  <c r="BZ92" i="9"/>
  <c r="BZ119" i="9"/>
  <c r="BZ149" i="9"/>
  <c r="BZ235" i="9"/>
  <c r="BZ278" i="9"/>
  <c r="BZ32" i="9"/>
  <c r="BZ35" i="9"/>
  <c r="BZ73" i="9"/>
  <c r="BZ79" i="9"/>
  <c r="BZ131" i="9"/>
  <c r="BZ225" i="9"/>
  <c r="BZ242" i="9"/>
  <c r="BZ8" i="9"/>
  <c r="BZ12" i="9"/>
  <c r="BZ16" i="9"/>
  <c r="BZ38" i="9"/>
  <c r="BZ81" i="9"/>
  <c r="BZ82" i="9"/>
  <c r="BZ88" i="9"/>
  <c r="BZ133" i="9"/>
  <c r="BZ137" i="9"/>
  <c r="BZ170" i="9"/>
  <c r="BZ201" i="9"/>
  <c r="BZ202" i="9"/>
  <c r="BZ211" i="9"/>
  <c r="BZ244" i="9"/>
  <c r="BZ261" i="9"/>
  <c r="BZ283" i="9"/>
  <c r="BZ285" i="9"/>
  <c r="BZ128" i="9"/>
  <c r="BZ159" i="9"/>
  <c r="BZ177" i="9"/>
  <c r="BZ240" i="9"/>
  <c r="BZ315" i="9"/>
  <c r="BZ33" i="9"/>
  <c r="BZ49" i="9"/>
  <c r="BZ62" i="9"/>
  <c r="BZ78" i="9"/>
  <c r="BZ166" i="9"/>
  <c r="BZ182" i="9"/>
  <c r="BZ186" i="9"/>
  <c r="BZ236" i="9"/>
  <c r="BZ290" i="9"/>
  <c r="BZ19" i="9"/>
  <c r="BZ147" i="9"/>
  <c r="BZ274" i="9"/>
  <c r="BZ115" i="9"/>
  <c r="BZ229" i="9"/>
  <c r="BZ302" i="9"/>
  <c r="BZ14" i="9"/>
  <c r="BZ67" i="9"/>
  <c r="BZ123" i="9"/>
  <c r="BZ180" i="9"/>
  <c r="BZ258" i="9"/>
  <c r="BZ291" i="9"/>
  <c r="BZ26" i="9"/>
  <c r="BZ91" i="9"/>
  <c r="BZ299" i="9"/>
  <c r="BZ303" i="9"/>
  <c r="BZ313" i="9"/>
  <c r="BZ318" i="9"/>
  <c r="BZ6" i="9"/>
  <c r="BZ15" i="9"/>
  <c r="BZ39" i="9"/>
  <c r="BZ42" i="9"/>
  <c r="BZ46" i="9"/>
  <c r="BZ58" i="9"/>
  <c r="BZ61" i="9"/>
  <c r="BZ77" i="9"/>
  <c r="BZ85" i="9"/>
  <c r="BZ100" i="9"/>
  <c r="BZ113" i="9"/>
  <c r="BZ125" i="9"/>
  <c r="BZ152" i="9"/>
  <c r="BZ156" i="9"/>
  <c r="BZ195" i="9"/>
  <c r="BZ204" i="9"/>
  <c r="BZ219" i="9"/>
  <c r="BZ265" i="9"/>
  <c r="BZ275" i="9"/>
  <c r="BZ65" i="9"/>
  <c r="BZ310" i="9"/>
  <c r="BZ51" i="9"/>
  <c r="BZ74" i="9"/>
  <c r="BZ101" i="9"/>
  <c r="BZ106" i="9"/>
  <c r="BZ110" i="9"/>
  <c r="BZ114" i="9"/>
  <c r="BZ130" i="9"/>
  <c r="BZ165" i="9"/>
  <c r="BZ172" i="9"/>
  <c r="BZ188" i="9"/>
  <c r="BZ205" i="9"/>
  <c r="BZ216" i="9"/>
  <c r="BZ217" i="9"/>
  <c r="BZ223" i="9"/>
  <c r="BZ220" i="9"/>
  <c r="BZ276" i="9"/>
  <c r="BZ189" i="9"/>
  <c r="BZ70" i="9"/>
  <c r="BZ99" i="9"/>
  <c r="BZ143" i="9"/>
  <c r="BZ150" i="9"/>
  <c r="BZ161" i="9"/>
  <c r="BZ208" i="9"/>
  <c r="BZ231" i="9"/>
  <c r="BZ251" i="9"/>
  <c r="BZ293" i="9"/>
  <c r="BZ314" i="9"/>
  <c r="BZ18" i="9"/>
  <c r="BZ27" i="9"/>
  <c r="BZ118" i="9"/>
  <c r="BZ145" i="9"/>
  <c r="BZ178" i="9"/>
  <c r="BZ269" i="9"/>
  <c r="BZ272" i="9"/>
  <c r="BZ72" i="9"/>
  <c r="BZ194" i="9"/>
  <c r="BZ234" i="9"/>
  <c r="BZ248" i="9"/>
  <c r="BZ48" i="9"/>
  <c r="BZ69" i="9"/>
  <c r="BZ86" i="9"/>
  <c r="BZ89" i="9"/>
  <c r="BZ167" i="9"/>
  <c r="BZ184" i="9"/>
  <c r="BZ238" i="9"/>
  <c r="BZ252" i="9"/>
  <c r="BZ266" i="9"/>
  <c r="BZ284" i="9"/>
  <c r="BZ256" i="9"/>
  <c r="BZ108" i="9"/>
  <c r="BZ191" i="9"/>
  <c r="BZ268" i="9"/>
  <c r="BZ126" i="9"/>
  <c r="BZ5" i="9"/>
  <c r="BZ59" i="9"/>
  <c r="BZ181" i="9"/>
  <c r="BZ198" i="9"/>
  <c r="BZ207" i="9"/>
  <c r="BZ237" i="9"/>
  <c r="BZ263" i="9"/>
  <c r="BZ308" i="9"/>
  <c r="BZ28" i="9"/>
  <c r="BZ31" i="9"/>
  <c r="BZ157" i="9"/>
  <c r="BZ273" i="9"/>
  <c r="BZ179" i="9"/>
  <c r="BZ183" i="9"/>
  <c r="BZ203" i="9"/>
  <c r="BZ50" i="9"/>
  <c r="BZ305" i="9"/>
  <c r="BZ307" i="9"/>
  <c r="BZ7" i="9"/>
  <c r="BZ45" i="9"/>
  <c r="BZ71" i="9"/>
  <c r="BZ96" i="9"/>
  <c r="BZ116" i="9"/>
  <c r="BZ158" i="9"/>
  <c r="BZ176" i="9"/>
  <c r="BZ243" i="9"/>
  <c r="BZ95" i="9"/>
  <c r="BZ112" i="9"/>
  <c r="BZ127" i="9"/>
  <c r="BZ279" i="9"/>
  <c r="BZ295" i="9"/>
  <c r="BZ144" i="9"/>
  <c r="BZ311" i="9"/>
  <c r="BZ25" i="9"/>
  <c r="BZ93" i="9"/>
  <c r="BZ146" i="9"/>
  <c r="BZ297" i="9"/>
  <c r="BZ304" i="9"/>
  <c r="BZ309" i="9"/>
  <c r="BZ317" i="9"/>
  <c r="BZ247" i="9"/>
  <c r="BZ9" i="9"/>
  <c r="BZ10" i="9"/>
  <c r="BZ11" i="9"/>
  <c r="BZ13" i="9"/>
  <c r="BZ21" i="9"/>
  <c r="BZ22" i="9"/>
  <c r="BZ41" i="9"/>
  <c r="BZ43" i="9"/>
  <c r="BZ44" i="9"/>
  <c r="BZ47" i="9"/>
  <c r="BZ52" i="9"/>
  <c r="BZ55" i="9"/>
  <c r="BZ60" i="9"/>
  <c r="BZ63" i="9"/>
  <c r="BZ75" i="9"/>
  <c r="BZ97" i="9"/>
  <c r="BZ102" i="9"/>
  <c r="BZ103" i="9"/>
  <c r="BZ104" i="9"/>
  <c r="BZ105" i="9"/>
  <c r="BZ3" i="9"/>
  <c r="BZ107" i="9"/>
  <c r="BZ111" i="9"/>
  <c r="BZ129" i="9"/>
  <c r="BZ132" i="9"/>
  <c r="BZ138" i="9"/>
  <c r="BZ139" i="9"/>
  <c r="BZ141" i="9"/>
  <c r="BZ142" i="9"/>
  <c r="BZ148" i="9"/>
  <c r="BZ151" i="9"/>
  <c r="BZ153" i="9"/>
  <c r="BZ162" i="9"/>
  <c r="BZ164" i="9"/>
  <c r="BZ169" i="9"/>
  <c r="BZ171" i="9"/>
  <c r="BZ175" i="9"/>
  <c r="BZ192" i="9"/>
  <c r="BZ193" i="9"/>
  <c r="BZ196" i="9"/>
  <c r="BZ197" i="9"/>
  <c r="BZ209" i="9"/>
  <c r="BZ210" i="9"/>
  <c r="BZ212" i="9"/>
  <c r="BZ218" i="9"/>
  <c r="BZ221" i="9"/>
  <c r="BZ224" i="9"/>
  <c r="BZ233" i="9"/>
  <c r="BZ241" i="9"/>
  <c r="BZ245" i="9"/>
  <c r="BZ250" i="9"/>
  <c r="BZ255" i="9"/>
  <c r="BZ262" i="9"/>
  <c r="BZ267" i="9"/>
  <c r="BZ270" i="9"/>
  <c r="BZ281" i="9"/>
  <c r="BZ286" i="9"/>
  <c r="BZ287" i="9"/>
  <c r="BZ282" i="9"/>
  <c r="BZ87" i="9"/>
  <c r="BZ215" i="9"/>
  <c r="BZ40" i="9"/>
  <c r="BZ213" i="9"/>
  <c r="BZ124" i="9"/>
  <c r="BZ53" i="9"/>
  <c r="BZ296" i="9"/>
  <c r="BZ4" i="9"/>
  <c r="BZ292" i="9"/>
  <c r="BZ122" i="9"/>
  <c r="BZ94" i="9"/>
  <c r="BZ298" i="9"/>
  <c r="BZ174" i="9"/>
  <c r="BZ160" i="9"/>
  <c r="BZ136" i="9"/>
  <c r="BZ20" i="9"/>
  <c r="BZ206" i="9"/>
  <c r="BZ117" i="9"/>
  <c r="BZ214" i="9"/>
  <c r="BZ56" i="9"/>
  <c r="BZ200" i="9"/>
  <c r="BZ34" i="9"/>
  <c r="BZ232" i="9"/>
  <c r="BZ121" i="9"/>
  <c r="BZ289" i="9"/>
  <c r="BZ134" i="9"/>
  <c r="BZ98" i="9"/>
  <c r="BZ135" i="9"/>
  <c r="BZ168" i="9"/>
  <c r="BZ254" i="9"/>
  <c r="BZ277" i="9"/>
  <c r="BZ257" i="9"/>
  <c r="BZ222" i="9"/>
  <c r="BZ17" i="9"/>
  <c r="BZ24" i="9"/>
  <c r="BZ319" i="9"/>
  <c r="BZ66" i="9"/>
  <c r="BZ76" i="9"/>
  <c r="BZ246" i="9"/>
  <c r="BZ306" i="9"/>
  <c r="BZ187" i="9"/>
  <c r="BZ253" i="9"/>
  <c r="BZ199" i="9"/>
  <c r="BZ109" i="9"/>
  <c r="BZ120" i="9"/>
  <c r="BZ140" i="9"/>
  <c r="BZ80" i="9"/>
  <c r="BZ57" i="9"/>
  <c r="BZ280" i="9"/>
  <c r="BZ227" i="9"/>
  <c r="BZ54" i="9"/>
  <c r="BZ300" i="9"/>
  <c r="CI3" i="20"/>
  <c r="CI4" i="20"/>
  <c r="CI5" i="20"/>
  <c r="CI6" i="20"/>
  <c r="CI7" i="20"/>
  <c r="CI8" i="20"/>
  <c r="CI9" i="20"/>
  <c r="CI10" i="20"/>
  <c r="CI11" i="20"/>
  <c r="CI12" i="20"/>
  <c r="CI13" i="20"/>
  <c r="CI14" i="20"/>
  <c r="CI15" i="20"/>
  <c r="CI16" i="20"/>
  <c r="CI17" i="20"/>
  <c r="CI18" i="20"/>
  <c r="CI19" i="20"/>
  <c r="CI20" i="20"/>
  <c r="CI21" i="20"/>
  <c r="CI22" i="20"/>
  <c r="CI23" i="20"/>
  <c r="CI24" i="20"/>
  <c r="CI25" i="20"/>
  <c r="CI26" i="20"/>
  <c r="CI27" i="20"/>
  <c r="CI28" i="20"/>
  <c r="CI29" i="20"/>
  <c r="CI30" i="20"/>
  <c r="CI31" i="20"/>
  <c r="CI32" i="20"/>
  <c r="CI33" i="20"/>
  <c r="CI34" i="20"/>
  <c r="CI35" i="20"/>
  <c r="CI36" i="20"/>
  <c r="CI37" i="20"/>
  <c r="CI38" i="20"/>
  <c r="CI39" i="20"/>
  <c r="CI40" i="20"/>
  <c r="CI41" i="20"/>
  <c r="CI42" i="20"/>
  <c r="CI43" i="20"/>
  <c r="CI44" i="20"/>
  <c r="CI45" i="20"/>
  <c r="CI46" i="20"/>
  <c r="CI47" i="20"/>
  <c r="CI48" i="20"/>
  <c r="CI49" i="20"/>
  <c r="CI50" i="20"/>
  <c r="CI51" i="20"/>
  <c r="CI52" i="20"/>
  <c r="CI53" i="20"/>
  <c r="CI54" i="20"/>
  <c r="CI55" i="20"/>
  <c r="CI56" i="20"/>
  <c r="CI57" i="20"/>
  <c r="CI58" i="20"/>
  <c r="CI59" i="20"/>
  <c r="CI60" i="20"/>
  <c r="CI61" i="20"/>
  <c r="CI62" i="20"/>
  <c r="CI63" i="20"/>
  <c r="CI64" i="20"/>
  <c r="CI65" i="20"/>
  <c r="CI66" i="20"/>
  <c r="CI67" i="20"/>
  <c r="CI68" i="20"/>
  <c r="CI69" i="20"/>
  <c r="CI70" i="20"/>
  <c r="CI71" i="20"/>
  <c r="CI72" i="20"/>
  <c r="CI73" i="20"/>
  <c r="CI74" i="20"/>
  <c r="CI75" i="20"/>
  <c r="CI76" i="20"/>
  <c r="CI77" i="20"/>
  <c r="CI78" i="20"/>
  <c r="CI79" i="20"/>
  <c r="CI80" i="20"/>
  <c r="CI81" i="20"/>
  <c r="CI82" i="20"/>
  <c r="CI83" i="20"/>
  <c r="CI84" i="20"/>
  <c r="CI85" i="20"/>
  <c r="CI86" i="20"/>
  <c r="CI87" i="20"/>
  <c r="CI88" i="20"/>
  <c r="CI89" i="20"/>
  <c r="CI90" i="20"/>
  <c r="CI91" i="20"/>
  <c r="CI92" i="20"/>
  <c r="CI93" i="20"/>
  <c r="CI94" i="20"/>
  <c r="CI95" i="20"/>
  <c r="CI96" i="20"/>
  <c r="CI97" i="20"/>
  <c r="CI98" i="20"/>
  <c r="CI99" i="20"/>
  <c r="CI100" i="20"/>
  <c r="CI101" i="20"/>
  <c r="CI102" i="20"/>
  <c r="CI103" i="20"/>
  <c r="CI104" i="20"/>
  <c r="CI105" i="20"/>
  <c r="CI106" i="20"/>
  <c r="CI107" i="20"/>
  <c r="CI108" i="20"/>
  <c r="CI109" i="20"/>
  <c r="CI110" i="20"/>
  <c r="CI111" i="20"/>
  <c r="CI112" i="20"/>
  <c r="CI113" i="20"/>
  <c r="CI114" i="20"/>
  <c r="CI115" i="20"/>
  <c r="CI116" i="20"/>
  <c r="CI117" i="20"/>
  <c r="CI118" i="20"/>
  <c r="CI119" i="20"/>
  <c r="CI120" i="20"/>
  <c r="CI121" i="20"/>
  <c r="CI122" i="20"/>
  <c r="CI123" i="20"/>
  <c r="CI124" i="20"/>
  <c r="CI125" i="20"/>
  <c r="CI126" i="20"/>
  <c r="CI127" i="20"/>
  <c r="CI128" i="20"/>
  <c r="CI129" i="20"/>
  <c r="CI130" i="20"/>
  <c r="CI131" i="20"/>
  <c r="CI132" i="20"/>
  <c r="CI133" i="20"/>
  <c r="CI134" i="20"/>
  <c r="CI135" i="20"/>
  <c r="CI136" i="20"/>
  <c r="CI137" i="20"/>
  <c r="CI138" i="20"/>
  <c r="CI139" i="20"/>
  <c r="CI140" i="20"/>
  <c r="CI141" i="20"/>
  <c r="CI142" i="20"/>
  <c r="CI143" i="20"/>
  <c r="CI144" i="20"/>
  <c r="CI145" i="20"/>
  <c r="CI146" i="20"/>
  <c r="CI147" i="20"/>
  <c r="CI148" i="20"/>
  <c r="CI149" i="20"/>
  <c r="CI150" i="20"/>
  <c r="CI151" i="20"/>
  <c r="CI152" i="20"/>
  <c r="CI153" i="20"/>
  <c r="CI154" i="20"/>
  <c r="CI155" i="20"/>
  <c r="CI156" i="20"/>
  <c r="CI157" i="20"/>
  <c r="CI158" i="20"/>
  <c r="CI159" i="20"/>
  <c r="CI160" i="20"/>
  <c r="CI161" i="20"/>
  <c r="CI162" i="20"/>
  <c r="CI163" i="20"/>
  <c r="CI164" i="20"/>
  <c r="CI165" i="20"/>
  <c r="CI166" i="20"/>
  <c r="CI167" i="20"/>
  <c r="CI168" i="20"/>
  <c r="CI169" i="20"/>
  <c r="CI170" i="20"/>
  <c r="CI171" i="20"/>
  <c r="CI172" i="20"/>
  <c r="CI173" i="20"/>
  <c r="CI174" i="20"/>
  <c r="CI175" i="20"/>
  <c r="CI176" i="20"/>
  <c r="CI177" i="20"/>
  <c r="CI178" i="20"/>
  <c r="CI179" i="20"/>
  <c r="CI180" i="20"/>
  <c r="CI181" i="20"/>
  <c r="CI182" i="20"/>
  <c r="CI183" i="20"/>
  <c r="CI184" i="20"/>
  <c r="CI185" i="20"/>
  <c r="CI186" i="20"/>
  <c r="CI187" i="20"/>
  <c r="CI188" i="20"/>
  <c r="CI189" i="20"/>
  <c r="CI190" i="20"/>
  <c r="CI191" i="20"/>
  <c r="CI192" i="20"/>
  <c r="CI193" i="20"/>
  <c r="CI194" i="20"/>
  <c r="CI195" i="20"/>
  <c r="CI196" i="20"/>
  <c r="CI197" i="20"/>
  <c r="CI198" i="20"/>
  <c r="CI199" i="20"/>
  <c r="CI200" i="20"/>
  <c r="CI201" i="20"/>
  <c r="CI202" i="20"/>
  <c r="CI203" i="20"/>
  <c r="CI204" i="20"/>
  <c r="CI205" i="20"/>
  <c r="CI206" i="20"/>
  <c r="CI207" i="20"/>
  <c r="CI208" i="20"/>
  <c r="CI209" i="20"/>
  <c r="CI210" i="20"/>
  <c r="CI211" i="20"/>
  <c r="CI212" i="20"/>
  <c r="CI213" i="20"/>
  <c r="CI214" i="20"/>
  <c r="CI215" i="20"/>
  <c r="CI216" i="20"/>
  <c r="CI217" i="20"/>
  <c r="CI218" i="20"/>
  <c r="CI219" i="20"/>
  <c r="CI220" i="20"/>
  <c r="CI221" i="20"/>
  <c r="CI222" i="20"/>
  <c r="CI223" i="20"/>
  <c r="CI224" i="20"/>
  <c r="CI225" i="20"/>
  <c r="CI226" i="20"/>
  <c r="CI227" i="20"/>
  <c r="CI228" i="20"/>
  <c r="CI229" i="20"/>
  <c r="CI230" i="20"/>
  <c r="CI231" i="20"/>
  <c r="CI232" i="20"/>
  <c r="CI233" i="20"/>
  <c r="CI234" i="20"/>
  <c r="CI235" i="20"/>
  <c r="CI236" i="20"/>
  <c r="CI237" i="20"/>
  <c r="CI238" i="20"/>
  <c r="CI239" i="20"/>
  <c r="CI240" i="20"/>
  <c r="CI241" i="20"/>
  <c r="CI242" i="20"/>
  <c r="CI243" i="20"/>
  <c r="CI244" i="20"/>
  <c r="CI245" i="20"/>
  <c r="CI246" i="20"/>
  <c r="CI247" i="20"/>
  <c r="CI248" i="20"/>
  <c r="CI249" i="20"/>
  <c r="CI250" i="20"/>
  <c r="CI251" i="20"/>
  <c r="CI252" i="20"/>
  <c r="CI253" i="20"/>
  <c r="CI254" i="20"/>
  <c r="CI255" i="20"/>
  <c r="CI256" i="20"/>
  <c r="CI257" i="20"/>
  <c r="CI258" i="20"/>
  <c r="CI259" i="20"/>
  <c r="CI260" i="20"/>
  <c r="CI261" i="20"/>
  <c r="CI262" i="20"/>
  <c r="CI263" i="20"/>
  <c r="CI264" i="20"/>
  <c r="CI265" i="20"/>
  <c r="CI266" i="20"/>
  <c r="CI267" i="20"/>
  <c r="CI268" i="20"/>
  <c r="CI269" i="20"/>
  <c r="CI270" i="20"/>
  <c r="CI271" i="20"/>
  <c r="CI272" i="20"/>
  <c r="CI273" i="20"/>
  <c r="CI274" i="20"/>
  <c r="CI275" i="20"/>
  <c r="CI276" i="20"/>
  <c r="CI277" i="20"/>
  <c r="CI278" i="20"/>
  <c r="CI279" i="20"/>
  <c r="CI280" i="20"/>
  <c r="CI281" i="20"/>
  <c r="CI282" i="20"/>
  <c r="CI283" i="20"/>
  <c r="CI284" i="20"/>
  <c r="CI285" i="20"/>
  <c r="CI286" i="20"/>
  <c r="CI287" i="20"/>
  <c r="CI288" i="20"/>
  <c r="CI289" i="20"/>
  <c r="CI290" i="20"/>
  <c r="CI291" i="20"/>
  <c r="CI292" i="20"/>
  <c r="CI293" i="20"/>
  <c r="G185" i="9" l="1"/>
  <c r="CD185" i="9"/>
  <c r="H185" i="9"/>
  <c r="BW358" i="20"/>
  <c r="BQ358" i="20"/>
  <c r="BQ357" i="20"/>
  <c r="BS357" i="20"/>
  <c r="F358" i="20"/>
  <c r="G358" i="20"/>
  <c r="H358" i="20"/>
  <c r="CK358" i="20"/>
  <c r="CB228" i="9"/>
  <c r="BP357" i="20"/>
  <c r="BS358" i="20"/>
  <c r="B228" i="9"/>
  <c r="CD228" i="9" s="1"/>
  <c r="B357" i="20"/>
  <c r="F359" i="20"/>
  <c r="G359" i="20"/>
  <c r="H359" i="20"/>
  <c r="CK359" i="20"/>
  <c r="CB155" i="9"/>
  <c r="BP358" i="20"/>
  <c r="G228" i="9"/>
  <c r="B155" i="9"/>
  <c r="BI155" i="9"/>
  <c r="BV358" i="20"/>
  <c r="BT358" i="20"/>
  <c r="BK155" i="9"/>
  <c r="BU358" i="20"/>
  <c r="BK228" i="9"/>
  <c r="BI228" i="9"/>
  <c r="BT357" i="20"/>
  <c r="BV357" i="20"/>
  <c r="BU357" i="20"/>
  <c r="BW357" i="20"/>
  <c r="D282" i="9"/>
  <c r="D87" i="9"/>
  <c r="D215" i="9"/>
  <c r="D40" i="9"/>
  <c r="D213" i="9"/>
  <c r="D124" i="9"/>
  <c r="D53" i="9"/>
  <c r="D296" i="9"/>
  <c r="D4" i="9"/>
  <c r="D292" i="9"/>
  <c r="D122" i="9"/>
  <c r="D94" i="9"/>
  <c r="D298" i="9"/>
  <c r="D174" i="9"/>
  <c r="D160" i="9"/>
  <c r="D136" i="9"/>
  <c r="D20" i="9"/>
  <c r="D206" i="9"/>
  <c r="D117" i="9"/>
  <c r="D214" i="9"/>
  <c r="D56" i="9"/>
  <c r="D200" i="9"/>
  <c r="D34" i="9"/>
  <c r="D232" i="9"/>
  <c r="D121" i="9"/>
  <c r="D289" i="9"/>
  <c r="D134" i="9"/>
  <c r="D98" i="9"/>
  <c r="D135" i="9"/>
  <c r="D168" i="9"/>
  <c r="D254" i="9"/>
  <c r="D277" i="9"/>
  <c r="D257" i="9"/>
  <c r="D222" i="9"/>
  <c r="D17" i="9"/>
  <c r="D24" i="9"/>
  <c r="D319" i="9"/>
  <c r="D66" i="9"/>
  <c r="D76" i="9"/>
  <c r="D246" i="9"/>
  <c r="D306" i="9"/>
  <c r="D187" i="9"/>
  <c r="D253" i="9"/>
  <c r="D199" i="9"/>
  <c r="D109" i="9"/>
  <c r="D120" i="9"/>
  <c r="D140" i="9"/>
  <c r="D80" i="9"/>
  <c r="D57" i="9"/>
  <c r="D280" i="9"/>
  <c r="D227" i="9"/>
  <c r="D54" i="9"/>
  <c r="D300" i="9"/>
  <c r="D312" i="9"/>
  <c r="BO4" i="2"/>
  <c r="BO5" i="2"/>
  <c r="BO6" i="2"/>
  <c r="BO7" i="2"/>
  <c r="BO8" i="2"/>
  <c r="BO9" i="2"/>
  <c r="BO10" i="2"/>
  <c r="BO11" i="2"/>
  <c r="BO12" i="2"/>
  <c r="BO13" i="2"/>
  <c r="BO14" i="2"/>
  <c r="BO15" i="2"/>
  <c r="BO16" i="2"/>
  <c r="BO17" i="2"/>
  <c r="BO18" i="2"/>
  <c r="BO19" i="2"/>
  <c r="BO20" i="2"/>
  <c r="BO21" i="2"/>
  <c r="BO22" i="2"/>
  <c r="BO23" i="2"/>
  <c r="BO24" i="2"/>
  <c r="BO25" i="2"/>
  <c r="BO26" i="2"/>
  <c r="BO27" i="2"/>
  <c r="BO28" i="2"/>
  <c r="BO29" i="2"/>
  <c r="BO30" i="2"/>
  <c r="BO31" i="2"/>
  <c r="F228" i="9" l="1"/>
  <c r="H228" i="9"/>
  <c r="CH359" i="20"/>
  <c r="CH358" i="20"/>
  <c r="F357" i="20"/>
  <c r="G357" i="20"/>
  <c r="H357" i="20"/>
  <c r="CK357" i="20"/>
  <c r="G155" i="9"/>
  <c r="CD155" i="9"/>
  <c r="F155" i="9"/>
  <c r="H155" i="9"/>
  <c r="B283" i="11"/>
  <c r="H283" i="11" s="1"/>
  <c r="C283" i="11"/>
  <c r="D283" i="11"/>
  <c r="E283" i="11"/>
  <c r="F283" i="11"/>
  <c r="G283" i="11"/>
  <c r="P283" i="11"/>
  <c r="E282" i="9"/>
  <c r="I282" i="9"/>
  <c r="J282" i="9"/>
  <c r="K282" i="9"/>
  <c r="L282" i="9"/>
  <c r="M282" i="9"/>
  <c r="O282" i="9"/>
  <c r="P282" i="9"/>
  <c r="Q282" i="9"/>
  <c r="R282" i="9"/>
  <c r="S282" i="9"/>
  <c r="T282" i="9"/>
  <c r="U282" i="9"/>
  <c r="W282" i="9"/>
  <c r="X282" i="9"/>
  <c r="Z282" i="9"/>
  <c r="AA282" i="9"/>
  <c r="AB282" i="9"/>
  <c r="AC282" i="9"/>
  <c r="AD282" i="9"/>
  <c r="AE282" i="9"/>
  <c r="AG282" i="9"/>
  <c r="AH282" i="9"/>
  <c r="AI282" i="9"/>
  <c r="AJ282" i="9"/>
  <c r="AK282" i="9"/>
  <c r="AL282" i="9"/>
  <c r="AN282" i="9"/>
  <c r="AO282" i="9"/>
  <c r="AP282" i="9"/>
  <c r="AQ282" i="9"/>
  <c r="AR282" i="9"/>
  <c r="AS282" i="9"/>
  <c r="AU282" i="9"/>
  <c r="AV282" i="9"/>
  <c r="AW282" i="9"/>
  <c r="AX282" i="9"/>
  <c r="AY282" i="9"/>
  <c r="AZ282" i="9"/>
  <c r="BB282" i="9"/>
  <c r="BC282" i="9"/>
  <c r="BD282" i="9"/>
  <c r="BE282" i="9"/>
  <c r="BF282" i="9"/>
  <c r="BG282" i="9"/>
  <c r="BL282" i="9"/>
  <c r="BM282" i="9"/>
  <c r="BN282" i="9"/>
  <c r="BO282" i="9"/>
  <c r="BP282" i="9"/>
  <c r="BQ282" i="9"/>
  <c r="BR282" i="9"/>
  <c r="BS282" i="9"/>
  <c r="BT282" i="9"/>
  <c r="BU282" i="9"/>
  <c r="BW282" i="9"/>
  <c r="BX282" i="9"/>
  <c r="BY282" i="9"/>
  <c r="B283" i="10"/>
  <c r="C283" i="10"/>
  <c r="D283" i="10"/>
  <c r="E283" i="10"/>
  <c r="F283" i="10"/>
  <c r="G283" i="10"/>
  <c r="B284" i="6"/>
  <c r="C284" i="6"/>
  <c r="J284" i="6" s="1"/>
  <c r="D284" i="6"/>
  <c r="E284" i="6"/>
  <c r="F284" i="6"/>
  <c r="G284" i="6"/>
  <c r="H284" i="6"/>
  <c r="K284" i="6"/>
  <c r="L284" i="6"/>
  <c r="AF356" i="20"/>
  <c r="B85" i="11"/>
  <c r="H85" i="11" s="1"/>
  <c r="C85" i="11"/>
  <c r="D85" i="11"/>
  <c r="E85" i="11"/>
  <c r="F85" i="11"/>
  <c r="G85" i="11"/>
  <c r="P85" i="11"/>
  <c r="E87" i="9"/>
  <c r="I87" i="9"/>
  <c r="J87" i="9"/>
  <c r="K87" i="9"/>
  <c r="L87" i="9"/>
  <c r="M87" i="9"/>
  <c r="O87" i="9"/>
  <c r="P87" i="9"/>
  <c r="Q87" i="9"/>
  <c r="R87" i="9"/>
  <c r="S87" i="9"/>
  <c r="T87" i="9"/>
  <c r="U87" i="9"/>
  <c r="W87" i="9"/>
  <c r="X87" i="9"/>
  <c r="Z87" i="9"/>
  <c r="AA87" i="9"/>
  <c r="AB87" i="9"/>
  <c r="AC87" i="9"/>
  <c r="AD87" i="9"/>
  <c r="AE87" i="9"/>
  <c r="AG87" i="9"/>
  <c r="AH87" i="9"/>
  <c r="AI87" i="9"/>
  <c r="AJ87" i="9"/>
  <c r="AK87" i="9"/>
  <c r="AL87" i="9"/>
  <c r="AN87" i="9"/>
  <c r="AO87" i="9"/>
  <c r="AP87" i="9"/>
  <c r="AQ87" i="9"/>
  <c r="AR87" i="9"/>
  <c r="AS87" i="9"/>
  <c r="AU87" i="9"/>
  <c r="AV87" i="9"/>
  <c r="AW87" i="9"/>
  <c r="AX87" i="9"/>
  <c r="AY87" i="9"/>
  <c r="AZ87" i="9"/>
  <c r="BB87" i="9"/>
  <c r="BC87" i="9"/>
  <c r="BD87" i="9"/>
  <c r="BE87" i="9"/>
  <c r="BF87" i="9"/>
  <c r="BG87" i="9"/>
  <c r="BL87" i="9"/>
  <c r="BM87" i="9"/>
  <c r="BN87" i="9"/>
  <c r="BO87" i="9"/>
  <c r="BP87" i="9"/>
  <c r="BQ87" i="9"/>
  <c r="BR87" i="9"/>
  <c r="BS87" i="9"/>
  <c r="BT87" i="9"/>
  <c r="BU87" i="9"/>
  <c r="BW87" i="9"/>
  <c r="BX87" i="9"/>
  <c r="BY87" i="9"/>
  <c r="B86" i="10"/>
  <c r="C86" i="10"/>
  <c r="D86" i="10"/>
  <c r="E86" i="10"/>
  <c r="F86" i="10"/>
  <c r="G86" i="10"/>
  <c r="B86" i="6"/>
  <c r="C86" i="6"/>
  <c r="J86" i="6" s="1"/>
  <c r="D86" i="6"/>
  <c r="E86" i="6"/>
  <c r="F86" i="6"/>
  <c r="G86" i="6"/>
  <c r="H86" i="6"/>
  <c r="K86" i="6"/>
  <c r="L86" i="6"/>
  <c r="CH357" i="20" l="1"/>
  <c r="BI282" i="9"/>
  <c r="BQ356" i="20"/>
  <c r="CA87" i="9"/>
  <c r="CJ355" i="20"/>
  <c r="CA282" i="9"/>
  <c r="CJ356" i="20"/>
  <c r="Y282" i="9"/>
  <c r="Q283" i="11"/>
  <c r="S283" i="11"/>
  <c r="V282" i="9"/>
  <c r="BV356" i="20"/>
  <c r="BH282" i="9"/>
  <c r="BS356" i="20"/>
  <c r="BU356" i="20"/>
  <c r="BT356" i="20"/>
  <c r="Q85" i="11"/>
  <c r="V87" i="9"/>
  <c r="S85" i="11"/>
  <c r="BH87" i="9"/>
  <c r="B218" i="11"/>
  <c r="C218" i="11"/>
  <c r="D218" i="11"/>
  <c r="E218" i="11"/>
  <c r="F218" i="11"/>
  <c r="G218" i="11"/>
  <c r="P218" i="11"/>
  <c r="E215" i="9"/>
  <c r="I215" i="9"/>
  <c r="J215" i="9"/>
  <c r="K215" i="9"/>
  <c r="L215" i="9"/>
  <c r="M215" i="9"/>
  <c r="O215" i="9"/>
  <c r="P215" i="9"/>
  <c r="Q215" i="9"/>
  <c r="R215" i="9"/>
  <c r="S215" i="9"/>
  <c r="T215" i="9"/>
  <c r="U215" i="9"/>
  <c r="W215" i="9"/>
  <c r="X215" i="9"/>
  <c r="Z215" i="9"/>
  <c r="AA215" i="9"/>
  <c r="AB215" i="9"/>
  <c r="AC215" i="9"/>
  <c r="AD215" i="9"/>
  <c r="AE215" i="9"/>
  <c r="AG215" i="9"/>
  <c r="AH215" i="9"/>
  <c r="AI215" i="9"/>
  <c r="AJ215" i="9"/>
  <c r="AK215" i="9"/>
  <c r="AL215" i="9"/>
  <c r="AN215" i="9"/>
  <c r="AO215" i="9"/>
  <c r="AP215" i="9"/>
  <c r="AQ215" i="9"/>
  <c r="AR215" i="9"/>
  <c r="AS215" i="9"/>
  <c r="AU215" i="9"/>
  <c r="AV215" i="9"/>
  <c r="AW215" i="9"/>
  <c r="AX215" i="9"/>
  <c r="AY215" i="9"/>
  <c r="AZ215" i="9"/>
  <c r="BB215" i="9"/>
  <c r="BC215" i="9"/>
  <c r="BD215" i="9"/>
  <c r="BE215" i="9"/>
  <c r="BF215" i="9"/>
  <c r="BG215" i="9"/>
  <c r="BL215" i="9"/>
  <c r="BM215" i="9"/>
  <c r="BN215" i="9"/>
  <c r="BO215" i="9"/>
  <c r="BP215" i="9"/>
  <c r="BQ215" i="9"/>
  <c r="BR215" i="9"/>
  <c r="BS215" i="9"/>
  <c r="BT215" i="9"/>
  <c r="BU215" i="9"/>
  <c r="BW215" i="9"/>
  <c r="BX215" i="9"/>
  <c r="BY215" i="9"/>
  <c r="B215" i="10"/>
  <c r="C215" i="10"/>
  <c r="D215" i="10"/>
  <c r="E215" i="10"/>
  <c r="F215" i="10"/>
  <c r="G215" i="10"/>
  <c r="B215" i="6"/>
  <c r="C215" i="6"/>
  <c r="J215" i="6" s="1"/>
  <c r="D215" i="6"/>
  <c r="E215" i="6"/>
  <c r="F215" i="6"/>
  <c r="G215" i="6"/>
  <c r="H215" i="6"/>
  <c r="K215" i="6"/>
  <c r="L215" i="6"/>
  <c r="AF354" i="20"/>
  <c r="B39" i="11"/>
  <c r="C39" i="11"/>
  <c r="D39" i="11"/>
  <c r="E39" i="11"/>
  <c r="F39" i="11"/>
  <c r="G39" i="11"/>
  <c r="P39" i="11"/>
  <c r="E40" i="9"/>
  <c r="I40" i="9"/>
  <c r="J40" i="9"/>
  <c r="K40" i="9"/>
  <c r="L40" i="9"/>
  <c r="M40" i="9"/>
  <c r="O40" i="9"/>
  <c r="P40" i="9"/>
  <c r="Q40" i="9"/>
  <c r="R40" i="9"/>
  <c r="S40" i="9"/>
  <c r="T40" i="9"/>
  <c r="U40" i="9"/>
  <c r="W40" i="9"/>
  <c r="X40" i="9"/>
  <c r="Z40" i="9"/>
  <c r="AA40" i="9"/>
  <c r="AB40" i="9"/>
  <c r="AC40" i="9"/>
  <c r="AD40" i="9"/>
  <c r="AE40" i="9"/>
  <c r="AG40" i="9"/>
  <c r="AH40" i="9"/>
  <c r="AI40" i="9"/>
  <c r="AJ40" i="9"/>
  <c r="AK40" i="9"/>
  <c r="AL40" i="9"/>
  <c r="AN40" i="9"/>
  <c r="AO40" i="9"/>
  <c r="AP40" i="9"/>
  <c r="AQ40" i="9"/>
  <c r="AR40" i="9"/>
  <c r="AS40" i="9"/>
  <c r="AU40" i="9"/>
  <c r="AV40" i="9"/>
  <c r="AW40" i="9"/>
  <c r="AX40" i="9"/>
  <c r="AY40" i="9"/>
  <c r="AZ40" i="9"/>
  <c r="BB40" i="9"/>
  <c r="BC40" i="9"/>
  <c r="BD40" i="9"/>
  <c r="BE40" i="9"/>
  <c r="BF40" i="9"/>
  <c r="BG40" i="9"/>
  <c r="BL40" i="9"/>
  <c r="BM40" i="9"/>
  <c r="BN40" i="9"/>
  <c r="BO40" i="9"/>
  <c r="BP40" i="9"/>
  <c r="BQ40" i="9"/>
  <c r="BR40" i="9"/>
  <c r="BS40" i="9"/>
  <c r="BT40" i="9"/>
  <c r="BU40" i="9"/>
  <c r="BW40" i="9"/>
  <c r="BX40" i="9"/>
  <c r="BY40" i="9"/>
  <c r="B39" i="10"/>
  <c r="C39" i="10"/>
  <c r="D39" i="10"/>
  <c r="E39" i="10"/>
  <c r="F39" i="10"/>
  <c r="G39" i="10"/>
  <c r="B39" i="6"/>
  <c r="C39" i="6"/>
  <c r="J39" i="6" s="1"/>
  <c r="D39" i="6"/>
  <c r="E39" i="6"/>
  <c r="F39" i="6"/>
  <c r="G39" i="6"/>
  <c r="H39" i="6"/>
  <c r="K39" i="6"/>
  <c r="L39" i="6"/>
  <c r="AF353" i="20"/>
  <c r="Y87" i="9" l="1"/>
  <c r="AF355" i="20"/>
  <c r="CA40" i="9"/>
  <c r="CJ353" i="20"/>
  <c r="BJ87" i="9"/>
  <c r="AG355" i="20"/>
  <c r="AM87" i="9"/>
  <c r="AU355" i="20"/>
  <c r="AF282" i="9"/>
  <c r="AN356" i="20"/>
  <c r="AM282" i="9"/>
  <c r="AU356" i="20"/>
  <c r="CB282" i="9"/>
  <c r="BP356" i="20"/>
  <c r="CA215" i="9"/>
  <c r="CJ354" i="20"/>
  <c r="AF87" i="9"/>
  <c r="AN355" i="20"/>
  <c r="BA282" i="9"/>
  <c r="BI356" i="20"/>
  <c r="BA87" i="9"/>
  <c r="BI355" i="20"/>
  <c r="AT87" i="9"/>
  <c r="BB355" i="20"/>
  <c r="BJ282" i="9"/>
  <c r="AG356" i="20"/>
  <c r="AT282" i="9"/>
  <c r="BB356" i="20"/>
  <c r="I284" i="6"/>
  <c r="O284" i="6" s="1"/>
  <c r="I215" i="6"/>
  <c r="O215" i="6" s="1"/>
  <c r="I86" i="6"/>
  <c r="O86" i="6" s="1"/>
  <c r="Y215" i="9"/>
  <c r="Y40" i="9"/>
  <c r="S218" i="11"/>
  <c r="Q218" i="11"/>
  <c r="BR355" i="20"/>
  <c r="S39" i="11"/>
  <c r="V215" i="9"/>
  <c r="AG354" i="20"/>
  <c r="BH215" i="9"/>
  <c r="H218" i="11"/>
  <c r="Q39" i="11"/>
  <c r="V40" i="9"/>
  <c r="BU353" i="20"/>
  <c r="H39" i="11"/>
  <c r="BV353" i="20"/>
  <c r="BH40" i="9"/>
  <c r="BS353" i="20"/>
  <c r="BT353" i="20"/>
  <c r="I39" i="6"/>
  <c r="O39" i="6" s="1"/>
  <c r="B353" i="20" s="1"/>
  <c r="B216" i="11"/>
  <c r="C216" i="11"/>
  <c r="D216" i="11"/>
  <c r="E216" i="11"/>
  <c r="F216" i="11"/>
  <c r="G216" i="11"/>
  <c r="P216" i="11"/>
  <c r="E213" i="9"/>
  <c r="I213" i="9"/>
  <c r="J213" i="9"/>
  <c r="K213" i="9"/>
  <c r="L213" i="9"/>
  <c r="M213" i="9"/>
  <c r="O213" i="9"/>
  <c r="P213" i="9"/>
  <c r="Q213" i="9"/>
  <c r="R213" i="9"/>
  <c r="S213" i="9"/>
  <c r="T213" i="9"/>
  <c r="U213" i="9"/>
  <c r="W213" i="9"/>
  <c r="X213" i="9"/>
  <c r="Z213" i="9"/>
  <c r="AA213" i="9"/>
  <c r="AB213" i="9"/>
  <c r="AC213" i="9"/>
  <c r="AD213" i="9"/>
  <c r="AE213" i="9"/>
  <c r="AG213" i="9"/>
  <c r="AH213" i="9"/>
  <c r="AI213" i="9"/>
  <c r="AJ213" i="9"/>
  <c r="AK213" i="9"/>
  <c r="AL213" i="9"/>
  <c r="AN213" i="9"/>
  <c r="AO213" i="9"/>
  <c r="AP213" i="9"/>
  <c r="AQ213" i="9"/>
  <c r="AR213" i="9"/>
  <c r="AS213" i="9"/>
  <c r="AU213" i="9"/>
  <c r="AV213" i="9"/>
  <c r="AW213" i="9"/>
  <c r="AX213" i="9"/>
  <c r="AY213" i="9"/>
  <c r="AZ213" i="9"/>
  <c r="BB213" i="9"/>
  <c r="BC213" i="9"/>
  <c r="BD213" i="9"/>
  <c r="BE213" i="9"/>
  <c r="BF213" i="9"/>
  <c r="BG213" i="9"/>
  <c r="BL213" i="9"/>
  <c r="BM213" i="9"/>
  <c r="BN213" i="9"/>
  <c r="BO213" i="9"/>
  <c r="BP213" i="9"/>
  <c r="BQ213" i="9"/>
  <c r="BR213" i="9"/>
  <c r="BS213" i="9"/>
  <c r="BT213" i="9"/>
  <c r="BU213" i="9"/>
  <c r="BW213" i="9"/>
  <c r="BX213" i="9"/>
  <c r="BY213" i="9"/>
  <c r="B213" i="10"/>
  <c r="C213" i="10"/>
  <c r="D213" i="10"/>
  <c r="E213" i="10"/>
  <c r="F213" i="10"/>
  <c r="G213" i="10"/>
  <c r="B213" i="6"/>
  <c r="C213" i="6"/>
  <c r="J213" i="6" s="1"/>
  <c r="D213" i="6"/>
  <c r="E213" i="6"/>
  <c r="F213" i="6"/>
  <c r="G213" i="6"/>
  <c r="H213" i="6"/>
  <c r="K213" i="6"/>
  <c r="L213" i="6"/>
  <c r="BI40" i="9" l="1"/>
  <c r="BQ353" i="20"/>
  <c r="BW355" i="20"/>
  <c r="BQ355" i="20"/>
  <c r="F353" i="20"/>
  <c r="G353" i="20"/>
  <c r="H353" i="20"/>
  <c r="CK353" i="20"/>
  <c r="AT40" i="9"/>
  <c r="BB353" i="20"/>
  <c r="BA40" i="9"/>
  <c r="BI353" i="20"/>
  <c r="BJ40" i="9"/>
  <c r="AG353" i="20"/>
  <c r="AM215" i="9"/>
  <c r="AU354" i="20"/>
  <c r="BS355" i="20"/>
  <c r="CA213" i="9"/>
  <c r="CJ352" i="20"/>
  <c r="AM40" i="9"/>
  <c r="AU353" i="20"/>
  <c r="AT215" i="9"/>
  <c r="BB354" i="20"/>
  <c r="B87" i="9"/>
  <c r="F87" i="9" s="1"/>
  <c r="B355" i="20"/>
  <c r="B282" i="9"/>
  <c r="H282" i="9" s="1"/>
  <c r="B356" i="20"/>
  <c r="AF40" i="9"/>
  <c r="AN353" i="20"/>
  <c r="BK282" i="9"/>
  <c r="BR356" i="20"/>
  <c r="BJ213" i="9"/>
  <c r="AG352" i="20"/>
  <c r="CB40" i="9"/>
  <c r="BP353" i="20"/>
  <c r="BA215" i="9"/>
  <c r="BI354" i="20"/>
  <c r="AF215" i="9"/>
  <c r="AN354" i="20"/>
  <c r="CB87" i="9"/>
  <c r="BP355" i="20"/>
  <c r="B215" i="9"/>
  <c r="CD215" i="9" s="1"/>
  <c r="B354" i="20"/>
  <c r="BU355" i="20"/>
  <c r="BK87" i="9"/>
  <c r="BI87" i="9"/>
  <c r="BV355" i="20"/>
  <c r="BT355" i="20"/>
  <c r="BW356" i="20"/>
  <c r="S216" i="11"/>
  <c r="BR354" i="20"/>
  <c r="BJ215" i="9"/>
  <c r="BW353" i="20"/>
  <c r="B40" i="9"/>
  <c r="V213" i="9"/>
  <c r="Q216" i="11"/>
  <c r="H216" i="11"/>
  <c r="BH213" i="9"/>
  <c r="B123" i="11"/>
  <c r="C123" i="11"/>
  <c r="D123" i="11"/>
  <c r="E123" i="11"/>
  <c r="F123" i="11"/>
  <c r="G123" i="11"/>
  <c r="P123" i="11"/>
  <c r="E124" i="9"/>
  <c r="I124" i="9"/>
  <c r="J124" i="9"/>
  <c r="K124" i="9"/>
  <c r="L124" i="9"/>
  <c r="M124" i="9"/>
  <c r="O124" i="9"/>
  <c r="P124" i="9"/>
  <c r="Q124" i="9"/>
  <c r="R124" i="9"/>
  <c r="S124" i="9"/>
  <c r="T124" i="9"/>
  <c r="U124" i="9"/>
  <c r="W124" i="9"/>
  <c r="X124" i="9"/>
  <c r="Z124" i="9"/>
  <c r="AA124" i="9"/>
  <c r="AB124" i="9"/>
  <c r="AC124" i="9"/>
  <c r="AD124" i="9"/>
  <c r="AE124" i="9"/>
  <c r="AG124" i="9"/>
  <c r="AH124" i="9"/>
  <c r="AI124" i="9"/>
  <c r="AJ124" i="9"/>
  <c r="AK124" i="9"/>
  <c r="AL124" i="9"/>
  <c r="AN124" i="9"/>
  <c r="AO124" i="9"/>
  <c r="AP124" i="9"/>
  <c r="AQ124" i="9"/>
  <c r="AR124" i="9"/>
  <c r="AS124" i="9"/>
  <c r="AU124" i="9"/>
  <c r="AV124" i="9"/>
  <c r="AW124" i="9"/>
  <c r="AX124" i="9"/>
  <c r="AY124" i="9"/>
  <c r="AZ124" i="9"/>
  <c r="BB124" i="9"/>
  <c r="BC124" i="9"/>
  <c r="BD124" i="9"/>
  <c r="BE124" i="9"/>
  <c r="BF124" i="9"/>
  <c r="BG124" i="9"/>
  <c r="BL124" i="9"/>
  <c r="BM124" i="9"/>
  <c r="BN124" i="9"/>
  <c r="BO124" i="9"/>
  <c r="BP124" i="9"/>
  <c r="BQ124" i="9"/>
  <c r="BR124" i="9"/>
  <c r="BS124" i="9"/>
  <c r="BT124" i="9"/>
  <c r="BU124" i="9"/>
  <c r="BW124" i="9"/>
  <c r="BX124" i="9"/>
  <c r="BY124" i="9"/>
  <c r="B124" i="10"/>
  <c r="C124" i="10"/>
  <c r="D124" i="10"/>
  <c r="E124" i="10"/>
  <c r="F124" i="10"/>
  <c r="G124" i="10"/>
  <c r="B124" i="6"/>
  <c r="C124" i="6"/>
  <c r="J124" i="6" s="1"/>
  <c r="D124" i="6"/>
  <c r="E124" i="6"/>
  <c r="F124" i="6"/>
  <c r="G124" i="6"/>
  <c r="H124" i="6"/>
  <c r="K124" i="6"/>
  <c r="L124" i="6"/>
  <c r="B51" i="11"/>
  <c r="H51" i="11" s="1"/>
  <c r="C51" i="11"/>
  <c r="D51" i="11"/>
  <c r="E51" i="11"/>
  <c r="F51" i="11"/>
  <c r="G51" i="11"/>
  <c r="P51" i="11"/>
  <c r="E53" i="9"/>
  <c r="I53" i="9"/>
  <c r="J53" i="9"/>
  <c r="K53" i="9"/>
  <c r="L53" i="9"/>
  <c r="M53" i="9"/>
  <c r="O53" i="9"/>
  <c r="P53" i="9"/>
  <c r="Q53" i="9"/>
  <c r="R53" i="9"/>
  <c r="S53" i="9"/>
  <c r="T53" i="9"/>
  <c r="U53" i="9"/>
  <c r="W53" i="9"/>
  <c r="X53" i="9"/>
  <c r="Z53" i="9"/>
  <c r="AA53" i="9"/>
  <c r="AB53" i="9"/>
  <c r="AC53" i="9"/>
  <c r="AD53" i="9"/>
  <c r="AE53" i="9"/>
  <c r="AG53" i="9"/>
  <c r="AH53" i="9"/>
  <c r="AI53" i="9"/>
  <c r="AJ53" i="9"/>
  <c r="AK53" i="9"/>
  <c r="AL53" i="9"/>
  <c r="AN53" i="9"/>
  <c r="AO53" i="9"/>
  <c r="AP53" i="9"/>
  <c r="AQ53" i="9"/>
  <c r="AR53" i="9"/>
  <c r="AS53" i="9"/>
  <c r="AU53" i="9"/>
  <c r="AV53" i="9"/>
  <c r="AW53" i="9"/>
  <c r="AX53" i="9"/>
  <c r="AY53" i="9"/>
  <c r="AZ53" i="9"/>
  <c r="BB53" i="9"/>
  <c r="BC53" i="9"/>
  <c r="BD53" i="9"/>
  <c r="BE53" i="9"/>
  <c r="BF53" i="9"/>
  <c r="BG53" i="9"/>
  <c r="BL53" i="9"/>
  <c r="BM53" i="9"/>
  <c r="BN53" i="9"/>
  <c r="BO53" i="9"/>
  <c r="BP53" i="9"/>
  <c r="BQ53" i="9"/>
  <c r="BR53" i="9"/>
  <c r="BS53" i="9"/>
  <c r="BT53" i="9"/>
  <c r="BU53" i="9"/>
  <c r="BW53" i="9"/>
  <c r="BX53" i="9"/>
  <c r="BY53" i="9"/>
  <c r="B52" i="10"/>
  <c r="C52" i="10"/>
  <c r="D52" i="10"/>
  <c r="E52" i="10"/>
  <c r="F52" i="10"/>
  <c r="G52" i="10"/>
  <c r="B52" i="6"/>
  <c r="C52" i="6"/>
  <c r="J52" i="6" s="1"/>
  <c r="D52" i="6"/>
  <c r="E52" i="6"/>
  <c r="CA53" i="9"/>
  <c r="K52" i="6"/>
  <c r="L52" i="6"/>
  <c r="B297" i="11"/>
  <c r="H297" i="11" s="1"/>
  <c r="C297" i="11"/>
  <c r="D297" i="11"/>
  <c r="E297" i="11"/>
  <c r="F297" i="11"/>
  <c r="G297" i="11"/>
  <c r="P297" i="11"/>
  <c r="E296" i="9"/>
  <c r="I296" i="9"/>
  <c r="J296" i="9"/>
  <c r="K296" i="9"/>
  <c r="L296" i="9"/>
  <c r="M296" i="9"/>
  <c r="O296" i="9"/>
  <c r="P296" i="9"/>
  <c r="Q296" i="9"/>
  <c r="R296" i="9"/>
  <c r="S296" i="9"/>
  <c r="T296" i="9"/>
  <c r="U296" i="9"/>
  <c r="W296" i="9"/>
  <c r="X296" i="9"/>
  <c r="Z296" i="9"/>
  <c r="AA296" i="9"/>
  <c r="AB296" i="9"/>
  <c r="AC296" i="9"/>
  <c r="AD296" i="9"/>
  <c r="AE296" i="9"/>
  <c r="AG296" i="9"/>
  <c r="AH296" i="9"/>
  <c r="AI296" i="9"/>
  <c r="AJ296" i="9"/>
  <c r="AK296" i="9"/>
  <c r="AL296" i="9"/>
  <c r="AN296" i="9"/>
  <c r="AO296" i="9"/>
  <c r="AP296" i="9"/>
  <c r="AQ296" i="9"/>
  <c r="AR296" i="9"/>
  <c r="AS296" i="9"/>
  <c r="AU296" i="9"/>
  <c r="AV296" i="9"/>
  <c r="AW296" i="9"/>
  <c r="AX296" i="9"/>
  <c r="AY296" i="9"/>
  <c r="AZ296" i="9"/>
  <c r="BB296" i="9"/>
  <c r="BC296" i="9"/>
  <c r="BD296" i="9"/>
  <c r="BE296" i="9"/>
  <c r="BF296" i="9"/>
  <c r="BG296" i="9"/>
  <c r="BL296" i="9"/>
  <c r="BM296" i="9"/>
  <c r="BN296" i="9"/>
  <c r="BO296" i="9"/>
  <c r="BP296" i="9"/>
  <c r="BQ296" i="9"/>
  <c r="BR296" i="9"/>
  <c r="BS296" i="9"/>
  <c r="BT296" i="9"/>
  <c r="BU296" i="9"/>
  <c r="BW296" i="9"/>
  <c r="BX296" i="9"/>
  <c r="BY296" i="9"/>
  <c r="B297" i="10"/>
  <c r="C297" i="10"/>
  <c r="D297" i="10"/>
  <c r="E297" i="10"/>
  <c r="F297" i="10"/>
  <c r="G297" i="10"/>
  <c r="B298" i="6"/>
  <c r="C298" i="6"/>
  <c r="J298" i="6" s="1"/>
  <c r="D298" i="6"/>
  <c r="E298" i="6"/>
  <c r="F298" i="6"/>
  <c r="G298" i="6"/>
  <c r="H298" i="6"/>
  <c r="K298" i="6"/>
  <c r="L298" i="6"/>
  <c r="D7" i="2"/>
  <c r="E7" i="2"/>
  <c r="F7" i="2"/>
  <c r="CZ7" i="2"/>
  <c r="CY7" i="2" s="1"/>
  <c r="B5" i="1"/>
  <c r="R5" i="1"/>
  <c r="V5" i="1"/>
  <c r="Y5" i="1"/>
  <c r="AE5" i="1"/>
  <c r="B4" i="11"/>
  <c r="C4" i="11"/>
  <c r="D4" i="11"/>
  <c r="E4" i="11"/>
  <c r="F4" i="11"/>
  <c r="G4" i="11"/>
  <c r="P4" i="11"/>
  <c r="E4" i="9"/>
  <c r="I4" i="9"/>
  <c r="J4" i="9"/>
  <c r="K4" i="9"/>
  <c r="L4" i="9"/>
  <c r="M4" i="9"/>
  <c r="O4" i="9"/>
  <c r="P4" i="9"/>
  <c r="Q4" i="9"/>
  <c r="R4" i="9"/>
  <c r="S4" i="9"/>
  <c r="T4" i="9"/>
  <c r="U4" i="9"/>
  <c r="W4" i="9"/>
  <c r="X4" i="9"/>
  <c r="Z4" i="9"/>
  <c r="AA4" i="9"/>
  <c r="AB4" i="9"/>
  <c r="AC4" i="9"/>
  <c r="AD4" i="9"/>
  <c r="AE4" i="9"/>
  <c r="AG4" i="9"/>
  <c r="AH4" i="9"/>
  <c r="AI4" i="9"/>
  <c r="AJ4" i="9"/>
  <c r="AK4" i="9"/>
  <c r="AL4" i="9"/>
  <c r="AN4" i="9"/>
  <c r="AO4" i="9"/>
  <c r="AP4" i="9"/>
  <c r="AQ4" i="9"/>
  <c r="AR4" i="9"/>
  <c r="AS4" i="9"/>
  <c r="AU4" i="9"/>
  <c r="AV4" i="9"/>
  <c r="AW4" i="9"/>
  <c r="AX4" i="9"/>
  <c r="AY4" i="9"/>
  <c r="AZ4" i="9"/>
  <c r="BB4" i="9"/>
  <c r="BC4" i="9"/>
  <c r="BD4" i="9"/>
  <c r="BE4" i="9"/>
  <c r="BF4" i="9"/>
  <c r="BG4" i="9"/>
  <c r="BL4" i="9"/>
  <c r="BM4" i="9"/>
  <c r="BN4" i="9"/>
  <c r="BO4" i="9"/>
  <c r="BP4" i="9"/>
  <c r="BQ4" i="9"/>
  <c r="BR4" i="9"/>
  <c r="BS4" i="9"/>
  <c r="BT4" i="9"/>
  <c r="BU4" i="9"/>
  <c r="BW4" i="9"/>
  <c r="BX4" i="9"/>
  <c r="BY4" i="9"/>
  <c r="B265" i="10"/>
  <c r="C265" i="10"/>
  <c r="D265" i="10"/>
  <c r="E265" i="10"/>
  <c r="F265" i="10"/>
  <c r="G265" i="10"/>
  <c r="B265" i="6"/>
  <c r="C265" i="6"/>
  <c r="J265" i="6" s="1"/>
  <c r="D265" i="6"/>
  <c r="E265" i="6"/>
  <c r="F265" i="6"/>
  <c r="G265" i="6"/>
  <c r="H265" i="6"/>
  <c r="K265" i="6"/>
  <c r="L265" i="6"/>
  <c r="Y4" i="9"/>
  <c r="B293" i="11"/>
  <c r="H293" i="11" s="1"/>
  <c r="C293" i="11"/>
  <c r="D293" i="11"/>
  <c r="E293" i="11"/>
  <c r="F293" i="11"/>
  <c r="G293" i="11"/>
  <c r="P293" i="11"/>
  <c r="E292" i="9"/>
  <c r="I292" i="9"/>
  <c r="J292" i="9"/>
  <c r="K292" i="9"/>
  <c r="L292" i="9"/>
  <c r="M292" i="9"/>
  <c r="O292" i="9"/>
  <c r="P292" i="9"/>
  <c r="Q292" i="9"/>
  <c r="R292" i="9"/>
  <c r="S292" i="9"/>
  <c r="T292" i="9"/>
  <c r="U292" i="9"/>
  <c r="W292" i="9"/>
  <c r="X292" i="9"/>
  <c r="Z292" i="9"/>
  <c r="AA292" i="9"/>
  <c r="AB292" i="9"/>
  <c r="AC292" i="9"/>
  <c r="AD292" i="9"/>
  <c r="AE292" i="9"/>
  <c r="AG292" i="9"/>
  <c r="AH292" i="9"/>
  <c r="AI292" i="9"/>
  <c r="AJ292" i="9"/>
  <c r="AK292" i="9"/>
  <c r="AL292" i="9"/>
  <c r="AN292" i="9"/>
  <c r="AO292" i="9"/>
  <c r="AP292" i="9"/>
  <c r="AQ292" i="9"/>
  <c r="AR292" i="9"/>
  <c r="AS292" i="9"/>
  <c r="AU292" i="9"/>
  <c r="AV292" i="9"/>
  <c r="AW292" i="9"/>
  <c r="AX292" i="9"/>
  <c r="AY292" i="9"/>
  <c r="AZ292" i="9"/>
  <c r="BB292" i="9"/>
  <c r="BC292" i="9"/>
  <c r="BD292" i="9"/>
  <c r="BE292" i="9"/>
  <c r="BF292" i="9"/>
  <c r="BG292" i="9"/>
  <c r="BL292" i="9"/>
  <c r="BM292" i="9"/>
  <c r="BN292" i="9"/>
  <c r="BO292" i="9"/>
  <c r="BP292" i="9"/>
  <c r="BQ292" i="9"/>
  <c r="BR292" i="9"/>
  <c r="BS292" i="9"/>
  <c r="BT292" i="9"/>
  <c r="BU292" i="9"/>
  <c r="BW292" i="9"/>
  <c r="BX292" i="9"/>
  <c r="BY292" i="9"/>
  <c r="B293" i="10"/>
  <c r="C293" i="10"/>
  <c r="D293" i="10"/>
  <c r="E293" i="10"/>
  <c r="F293" i="10"/>
  <c r="G293" i="10"/>
  <c r="B294" i="6"/>
  <c r="C294" i="6"/>
  <c r="D294" i="6"/>
  <c r="E294" i="6"/>
  <c r="F294" i="6"/>
  <c r="G294" i="6"/>
  <c r="H294" i="6"/>
  <c r="K294" i="6"/>
  <c r="L294" i="6"/>
  <c r="B121" i="11"/>
  <c r="C121" i="11"/>
  <c r="D121" i="11"/>
  <c r="E121" i="11"/>
  <c r="F121" i="11"/>
  <c r="G121" i="11"/>
  <c r="P121" i="11"/>
  <c r="E122" i="9"/>
  <c r="I122" i="9"/>
  <c r="J122" i="9"/>
  <c r="K122" i="9"/>
  <c r="L122" i="9"/>
  <c r="M122" i="9"/>
  <c r="O122" i="9"/>
  <c r="P122" i="9"/>
  <c r="Q122" i="9"/>
  <c r="R122" i="9"/>
  <c r="S122" i="9"/>
  <c r="T122" i="9"/>
  <c r="U122" i="9"/>
  <c r="W122" i="9"/>
  <c r="X122" i="9"/>
  <c r="Z122" i="9"/>
  <c r="AA122" i="9"/>
  <c r="AB122" i="9"/>
  <c r="AC122" i="9"/>
  <c r="AD122" i="9"/>
  <c r="AE122" i="9"/>
  <c r="AG122" i="9"/>
  <c r="AH122" i="9"/>
  <c r="AI122" i="9"/>
  <c r="AJ122" i="9"/>
  <c r="AK122" i="9"/>
  <c r="AL122" i="9"/>
  <c r="AN122" i="9"/>
  <c r="AO122" i="9"/>
  <c r="AP122" i="9"/>
  <c r="AQ122" i="9"/>
  <c r="AR122" i="9"/>
  <c r="AS122" i="9"/>
  <c r="AU122" i="9"/>
  <c r="AV122" i="9"/>
  <c r="AW122" i="9"/>
  <c r="AX122" i="9"/>
  <c r="AY122" i="9"/>
  <c r="AZ122" i="9"/>
  <c r="BB122" i="9"/>
  <c r="BC122" i="9"/>
  <c r="BD122" i="9"/>
  <c r="BE122" i="9"/>
  <c r="BF122" i="9"/>
  <c r="BG122" i="9"/>
  <c r="BL122" i="9"/>
  <c r="BM122" i="9"/>
  <c r="BN122" i="9"/>
  <c r="BO122" i="9"/>
  <c r="BP122" i="9"/>
  <c r="BQ122" i="9"/>
  <c r="BR122" i="9"/>
  <c r="BS122" i="9"/>
  <c r="BT122" i="9"/>
  <c r="BU122" i="9"/>
  <c r="BW122" i="9"/>
  <c r="BX122" i="9"/>
  <c r="BY122" i="9"/>
  <c r="B122" i="10"/>
  <c r="C122" i="10"/>
  <c r="D122" i="10"/>
  <c r="E122" i="10"/>
  <c r="F122" i="10"/>
  <c r="G122" i="10"/>
  <c r="B122" i="6"/>
  <c r="C122" i="6"/>
  <c r="J122" i="6" s="1"/>
  <c r="D122" i="6"/>
  <c r="E122" i="6"/>
  <c r="F122" i="6"/>
  <c r="G122" i="6"/>
  <c r="H122" i="6"/>
  <c r="K122" i="6"/>
  <c r="L122" i="6"/>
  <c r="B92" i="11"/>
  <c r="H92" i="11" s="1"/>
  <c r="C92" i="11"/>
  <c r="D92" i="11"/>
  <c r="E92" i="11"/>
  <c r="F92" i="11"/>
  <c r="G92" i="11"/>
  <c r="P92" i="11"/>
  <c r="E94" i="9"/>
  <c r="I94" i="9"/>
  <c r="J94" i="9"/>
  <c r="K94" i="9"/>
  <c r="L94" i="9"/>
  <c r="M94" i="9"/>
  <c r="O94" i="9"/>
  <c r="P94" i="9"/>
  <c r="Q94" i="9"/>
  <c r="R94" i="9"/>
  <c r="S94" i="9"/>
  <c r="T94" i="9"/>
  <c r="U94" i="9"/>
  <c r="W94" i="9"/>
  <c r="X94" i="9"/>
  <c r="Z94" i="9"/>
  <c r="AA94" i="9"/>
  <c r="AB94" i="9"/>
  <c r="AC94" i="9"/>
  <c r="AD94" i="9"/>
  <c r="AE94" i="9"/>
  <c r="AG94" i="9"/>
  <c r="AH94" i="9"/>
  <c r="AI94" i="9"/>
  <c r="AJ94" i="9"/>
  <c r="AK94" i="9"/>
  <c r="AL94" i="9"/>
  <c r="AN94" i="9"/>
  <c r="AO94" i="9"/>
  <c r="AP94" i="9"/>
  <c r="AQ94" i="9"/>
  <c r="AR94" i="9"/>
  <c r="AS94" i="9"/>
  <c r="AU94" i="9"/>
  <c r="AV94" i="9"/>
  <c r="AW94" i="9"/>
  <c r="AX94" i="9"/>
  <c r="AY94" i="9"/>
  <c r="AZ94" i="9"/>
  <c r="BB94" i="9"/>
  <c r="BC94" i="9"/>
  <c r="BD94" i="9"/>
  <c r="BE94" i="9"/>
  <c r="BF94" i="9"/>
  <c r="BG94" i="9"/>
  <c r="BL94" i="9"/>
  <c r="BM94" i="9"/>
  <c r="BN94" i="9"/>
  <c r="BO94" i="9"/>
  <c r="BP94" i="9"/>
  <c r="BQ94" i="9"/>
  <c r="BR94" i="9"/>
  <c r="BS94" i="9"/>
  <c r="BT94" i="9"/>
  <c r="BU94" i="9"/>
  <c r="BW94" i="9"/>
  <c r="BX94" i="9"/>
  <c r="BY94" i="9"/>
  <c r="B93" i="10"/>
  <c r="C93" i="10"/>
  <c r="D93" i="10"/>
  <c r="E93" i="10"/>
  <c r="F93" i="10"/>
  <c r="G93" i="10"/>
  <c r="B93" i="6"/>
  <c r="C93" i="6"/>
  <c r="J93" i="6" s="1"/>
  <c r="D93" i="6"/>
  <c r="E93" i="6"/>
  <c r="F93" i="6"/>
  <c r="G93" i="6"/>
  <c r="H93" i="6"/>
  <c r="K93" i="6"/>
  <c r="L93" i="6"/>
  <c r="H87" i="9" l="1"/>
  <c r="CD87" i="9"/>
  <c r="H215" i="9"/>
  <c r="G87" i="9"/>
  <c r="CD282" i="9"/>
  <c r="F215" i="9"/>
  <c r="F282" i="9"/>
  <c r="G215" i="9"/>
  <c r="G282" i="9"/>
  <c r="BI4" i="9"/>
  <c r="BQ348" i="20"/>
  <c r="BW354" i="20"/>
  <c r="BQ354" i="20"/>
  <c r="CH353" i="20"/>
  <c r="BS354" i="20"/>
  <c r="F356" i="20"/>
  <c r="G356" i="20"/>
  <c r="H356" i="20"/>
  <c r="CK356" i="20"/>
  <c r="CA4" i="9"/>
  <c r="CJ348" i="20"/>
  <c r="BA213" i="9"/>
  <c r="BI352" i="20"/>
  <c r="CB215" i="9"/>
  <c r="BP354" i="20"/>
  <c r="Y213" i="9"/>
  <c r="AF352" i="20"/>
  <c r="CA296" i="9"/>
  <c r="CJ349" i="20"/>
  <c r="CA124" i="9"/>
  <c r="CJ351" i="20"/>
  <c r="AF213" i="9"/>
  <c r="AN352" i="20"/>
  <c r="AM213" i="9"/>
  <c r="AU352" i="20"/>
  <c r="BK40" i="9"/>
  <c r="BR353" i="20"/>
  <c r="F354" i="20"/>
  <c r="G354" i="20"/>
  <c r="H354" i="20"/>
  <c r="CK354" i="20"/>
  <c r="F355" i="20"/>
  <c r="G355" i="20"/>
  <c r="H355" i="20"/>
  <c r="CK355" i="20"/>
  <c r="AT213" i="9"/>
  <c r="BB352" i="20"/>
  <c r="X7" i="2"/>
  <c r="G40" i="9"/>
  <c r="CD40" i="9"/>
  <c r="Y94" i="9"/>
  <c r="AF345" i="20"/>
  <c r="Y122" i="9"/>
  <c r="AF346" i="20"/>
  <c r="Y292" i="9"/>
  <c r="AF347" i="20"/>
  <c r="CA292" i="9"/>
  <c r="CJ347" i="20"/>
  <c r="BJ292" i="9"/>
  <c r="BR347" i="20"/>
  <c r="CA94" i="9"/>
  <c r="CJ345" i="20"/>
  <c r="BJ94" i="9"/>
  <c r="BR345" i="20"/>
  <c r="CA122" i="9"/>
  <c r="CJ346" i="20"/>
  <c r="I213" i="6"/>
  <c r="O213" i="6" s="1"/>
  <c r="BU354" i="20"/>
  <c r="BK215" i="9"/>
  <c r="BI215" i="9"/>
  <c r="BV354" i="20"/>
  <c r="BT354" i="20"/>
  <c r="F40" i="9"/>
  <c r="H40" i="9"/>
  <c r="BR352" i="20"/>
  <c r="Q293" i="11"/>
  <c r="S4" i="11"/>
  <c r="Q121" i="11"/>
  <c r="S121" i="11"/>
  <c r="S123" i="11"/>
  <c r="Q123" i="11"/>
  <c r="Q51" i="11"/>
  <c r="BH124" i="9"/>
  <c r="V124" i="9"/>
  <c r="Q297" i="11"/>
  <c r="Q4" i="11"/>
  <c r="H123" i="11"/>
  <c r="BH53" i="9"/>
  <c r="BN7" i="2"/>
  <c r="BZ7" i="2" s="1"/>
  <c r="V53" i="9"/>
  <c r="BL7" i="2"/>
  <c r="BH296" i="9" s="1"/>
  <c r="S51" i="11"/>
  <c r="V296" i="9"/>
  <c r="O265" i="6"/>
  <c r="B348" i="20" s="1"/>
  <c r="BE7" i="2"/>
  <c r="BH4" i="9"/>
  <c r="AX7" i="2"/>
  <c r="AQ7" i="2"/>
  <c r="P7" i="2"/>
  <c r="S297" i="11"/>
  <c r="BS348" i="20"/>
  <c r="BP7" i="2"/>
  <c r="CB7" i="2" s="1"/>
  <c r="AJ7" i="2"/>
  <c r="BV348" i="20"/>
  <c r="CA7" i="2"/>
  <c r="AC7" i="2"/>
  <c r="V4" i="9"/>
  <c r="BM7" i="2"/>
  <c r="BY7" i="2" s="1"/>
  <c r="BU348" i="20"/>
  <c r="H4" i="11"/>
  <c r="BT348" i="20"/>
  <c r="V292" i="9"/>
  <c r="J294" i="6"/>
  <c r="S293" i="11"/>
  <c r="V122" i="9"/>
  <c r="H121" i="11"/>
  <c r="AM346" i="20"/>
  <c r="Q92" i="11"/>
  <c r="V94" i="9"/>
  <c r="S92" i="11"/>
  <c r="B299" i="11"/>
  <c r="C299" i="11"/>
  <c r="D299" i="11"/>
  <c r="E299" i="11"/>
  <c r="F299" i="11"/>
  <c r="G299" i="11"/>
  <c r="P299" i="11"/>
  <c r="E298" i="9"/>
  <c r="I298" i="9"/>
  <c r="J298" i="9"/>
  <c r="K298" i="9"/>
  <c r="L298" i="9"/>
  <c r="M298" i="9"/>
  <c r="O298" i="9"/>
  <c r="P298" i="9"/>
  <c r="Q298" i="9"/>
  <c r="R298" i="9"/>
  <c r="S298" i="9"/>
  <c r="T298" i="9"/>
  <c r="U298" i="9"/>
  <c r="W298" i="9"/>
  <c r="X298" i="9"/>
  <c r="Z298" i="9"/>
  <c r="AA298" i="9"/>
  <c r="AB298" i="9"/>
  <c r="AC298" i="9"/>
  <c r="AD298" i="9"/>
  <c r="AE298" i="9"/>
  <c r="AG298" i="9"/>
  <c r="AH298" i="9"/>
  <c r="AI298" i="9"/>
  <c r="AJ298" i="9"/>
  <c r="AK298" i="9"/>
  <c r="AL298" i="9"/>
  <c r="AN298" i="9"/>
  <c r="AO298" i="9"/>
  <c r="AP298" i="9"/>
  <c r="AQ298" i="9"/>
  <c r="AR298" i="9"/>
  <c r="AS298" i="9"/>
  <c r="AU298" i="9"/>
  <c r="AV298" i="9"/>
  <c r="AW298" i="9"/>
  <c r="AX298" i="9"/>
  <c r="AY298" i="9"/>
  <c r="AZ298" i="9"/>
  <c r="BB298" i="9"/>
  <c r="BC298" i="9"/>
  <c r="BD298" i="9"/>
  <c r="BE298" i="9"/>
  <c r="BF298" i="9"/>
  <c r="BG298" i="9"/>
  <c r="BM298" i="9"/>
  <c r="BN298" i="9"/>
  <c r="BO298" i="9"/>
  <c r="BP298" i="9"/>
  <c r="BQ298" i="9"/>
  <c r="BR298" i="9"/>
  <c r="BS298" i="9"/>
  <c r="BT298" i="9"/>
  <c r="BU298" i="9"/>
  <c r="BW298" i="9"/>
  <c r="BX298" i="9"/>
  <c r="BY298" i="9"/>
  <c r="B299" i="10"/>
  <c r="C299" i="10"/>
  <c r="D299" i="10"/>
  <c r="E299" i="10"/>
  <c r="F299" i="10"/>
  <c r="G299" i="10"/>
  <c r="B300" i="6"/>
  <c r="C300" i="6"/>
  <c r="J300" i="6" s="1"/>
  <c r="D300" i="6"/>
  <c r="E300" i="6"/>
  <c r="F300" i="6"/>
  <c r="G300" i="6"/>
  <c r="H300" i="6"/>
  <c r="K300" i="6"/>
  <c r="L300" i="6"/>
  <c r="D9" i="2"/>
  <c r="E9" i="2"/>
  <c r="F9" i="2"/>
  <c r="CZ9" i="2"/>
  <c r="CY9" i="2" s="1"/>
  <c r="X9" i="2" s="1"/>
  <c r="B7" i="1"/>
  <c r="R7" i="1"/>
  <c r="V7" i="1"/>
  <c r="Y7" i="1"/>
  <c r="AE7" i="1"/>
  <c r="BQ352" i="20" l="1"/>
  <c r="CB4" i="9"/>
  <c r="BP348" i="20"/>
  <c r="AF53" i="9"/>
  <c r="AN350" i="20"/>
  <c r="AM53" i="9"/>
  <c r="AU350" i="20"/>
  <c r="AF124" i="9"/>
  <c r="AN351" i="20"/>
  <c r="CH356" i="20"/>
  <c r="AT4" i="9"/>
  <c r="BB348" i="20"/>
  <c r="BA4" i="9"/>
  <c r="BI348" i="20"/>
  <c r="AF296" i="9"/>
  <c r="AN349" i="20"/>
  <c r="BA296" i="9"/>
  <c r="BI349" i="20"/>
  <c r="B352" i="20"/>
  <c r="Y53" i="9"/>
  <c r="AF350" i="20"/>
  <c r="CH355" i="20"/>
  <c r="CH354" i="20"/>
  <c r="AF4" i="9"/>
  <c r="AN348" i="20"/>
  <c r="AM4" i="9"/>
  <c r="AU348" i="20"/>
  <c r="BJ296" i="9"/>
  <c r="AG349" i="20"/>
  <c r="AM296" i="9"/>
  <c r="AU349" i="20"/>
  <c r="G348" i="20"/>
  <c r="F348" i="20"/>
  <c r="H348" i="20"/>
  <c r="CK348" i="20"/>
  <c r="BJ53" i="9"/>
  <c r="AG350" i="20"/>
  <c r="AT53" i="9"/>
  <c r="BB350" i="20"/>
  <c r="BJ124" i="9"/>
  <c r="AG351" i="20"/>
  <c r="AT124" i="9"/>
  <c r="BB351" i="20"/>
  <c r="CB213" i="9"/>
  <c r="BP352" i="20"/>
  <c r="Y124" i="9"/>
  <c r="AF351" i="20"/>
  <c r="BJ4" i="9"/>
  <c r="AG348" i="20"/>
  <c r="AT296" i="9"/>
  <c r="BB349" i="20"/>
  <c r="BA53" i="9"/>
  <c r="BI350" i="20"/>
  <c r="AM124" i="9"/>
  <c r="AU351" i="20"/>
  <c r="BA124" i="9"/>
  <c r="BI351" i="20"/>
  <c r="BS352" i="20"/>
  <c r="Y296" i="9"/>
  <c r="AF349" i="20"/>
  <c r="B213" i="9"/>
  <c r="CD213" i="9" s="1"/>
  <c r="Y298" i="9"/>
  <c r="AF343" i="20"/>
  <c r="BA94" i="9"/>
  <c r="BH345" i="20"/>
  <c r="BH94" i="9"/>
  <c r="BO345" i="20"/>
  <c r="BJ122" i="9"/>
  <c r="BR346" i="20"/>
  <c r="BA122" i="9"/>
  <c r="BH346" i="20"/>
  <c r="BH122" i="9"/>
  <c r="BO346" i="20"/>
  <c r="BA292" i="9"/>
  <c r="BH347" i="20"/>
  <c r="CJ344" i="20"/>
  <c r="AF94" i="9"/>
  <c r="AM345" i="20"/>
  <c r="AM94" i="9"/>
  <c r="AT345" i="20"/>
  <c r="AT292" i="9"/>
  <c r="BA347" i="20"/>
  <c r="CA298" i="9"/>
  <c r="CJ343" i="20"/>
  <c r="BR344" i="20"/>
  <c r="AT94" i="9"/>
  <c r="BA345" i="20"/>
  <c r="AT122" i="9"/>
  <c r="BA346" i="20"/>
  <c r="AM122" i="9"/>
  <c r="AT346" i="20"/>
  <c r="AF292" i="9"/>
  <c r="AM347" i="20"/>
  <c r="BH292" i="9"/>
  <c r="BO347" i="20"/>
  <c r="AM292" i="9"/>
  <c r="AT347" i="20"/>
  <c r="I294" i="6"/>
  <c r="O294" i="6" s="1"/>
  <c r="B347" i="20" s="1"/>
  <c r="I124" i="6"/>
  <c r="O124" i="6" s="1"/>
  <c r="I122" i="6"/>
  <c r="O122" i="6" s="1"/>
  <c r="I93" i="6"/>
  <c r="O93" i="6" s="1"/>
  <c r="I52" i="6"/>
  <c r="O52" i="6" s="1"/>
  <c r="T5" i="1"/>
  <c r="I298" i="6"/>
  <c r="O298" i="6" s="1"/>
  <c r="BU352" i="20"/>
  <c r="BK213" i="9"/>
  <c r="BI213" i="9"/>
  <c r="BT352" i="20"/>
  <c r="BV352" i="20"/>
  <c r="BQ345" i="20"/>
  <c r="BQ346" i="20"/>
  <c r="Z7" i="2"/>
  <c r="Y7" i="2"/>
  <c r="AA7" i="2"/>
  <c r="BQ347" i="20"/>
  <c r="BW352" i="20"/>
  <c r="BR351" i="20"/>
  <c r="BR350" i="20"/>
  <c r="AB7" i="2"/>
  <c r="BR349" i="20" s="1"/>
  <c r="BW348" i="20"/>
  <c r="B4" i="9"/>
  <c r="BS347" i="20"/>
  <c r="AF122" i="9"/>
  <c r="BS346" i="20"/>
  <c r="BS345" i="20"/>
  <c r="S299" i="11"/>
  <c r="V298" i="9"/>
  <c r="Q299" i="11"/>
  <c r="BE9" i="2"/>
  <c r="H299" i="11"/>
  <c r="BM9" i="2"/>
  <c r="BY9" i="2" s="1"/>
  <c r="BL9" i="2"/>
  <c r="AX9" i="2"/>
  <c r="BN9" i="2"/>
  <c r="BZ9" i="2" s="1"/>
  <c r="AQ9" i="2"/>
  <c r="P9" i="2"/>
  <c r="BP9" i="2"/>
  <c r="CB9" i="2" s="1"/>
  <c r="AJ9" i="2"/>
  <c r="CA9" i="2"/>
  <c r="AC9" i="2"/>
  <c r="B172" i="11"/>
  <c r="C172" i="11"/>
  <c r="D172" i="11"/>
  <c r="E172" i="11"/>
  <c r="F172" i="11"/>
  <c r="G172" i="11"/>
  <c r="P172" i="11"/>
  <c r="E174" i="9"/>
  <c r="I174" i="9"/>
  <c r="J174" i="9"/>
  <c r="K174" i="9"/>
  <c r="L174" i="9"/>
  <c r="M174" i="9"/>
  <c r="O174" i="9"/>
  <c r="P174" i="9"/>
  <c r="Q174" i="9"/>
  <c r="R174" i="9"/>
  <c r="S174" i="9"/>
  <c r="T174" i="9"/>
  <c r="U174" i="9"/>
  <c r="W174" i="9"/>
  <c r="X174" i="9"/>
  <c r="Z174" i="9"/>
  <c r="AA174" i="9"/>
  <c r="AB174" i="9"/>
  <c r="AC174" i="9"/>
  <c r="AD174" i="9"/>
  <c r="AE174" i="9"/>
  <c r="AG174" i="9"/>
  <c r="AH174" i="9"/>
  <c r="AI174" i="9"/>
  <c r="AJ174" i="9"/>
  <c r="AK174" i="9"/>
  <c r="AL174" i="9"/>
  <c r="AN174" i="9"/>
  <c r="AO174" i="9"/>
  <c r="AP174" i="9"/>
  <c r="AQ174" i="9"/>
  <c r="AR174" i="9"/>
  <c r="AS174" i="9"/>
  <c r="AU174" i="9"/>
  <c r="AV174" i="9"/>
  <c r="AW174" i="9"/>
  <c r="AX174" i="9"/>
  <c r="AY174" i="9"/>
  <c r="AZ174" i="9"/>
  <c r="BB174" i="9"/>
  <c r="BC174" i="9"/>
  <c r="BD174" i="9"/>
  <c r="BE174" i="9"/>
  <c r="BF174" i="9"/>
  <c r="BG174" i="9"/>
  <c r="BL174" i="9"/>
  <c r="BM174" i="9"/>
  <c r="BN174" i="9"/>
  <c r="BO174" i="9"/>
  <c r="BP174" i="9"/>
  <c r="BQ174" i="9"/>
  <c r="BR174" i="9"/>
  <c r="BS174" i="9"/>
  <c r="BT174" i="9"/>
  <c r="BU174" i="9"/>
  <c r="BW174" i="9"/>
  <c r="BX174" i="9"/>
  <c r="BY174" i="9"/>
  <c r="B174" i="10"/>
  <c r="C174" i="10"/>
  <c r="D174" i="10"/>
  <c r="E174" i="10"/>
  <c r="F174" i="10"/>
  <c r="G174" i="10"/>
  <c r="B174" i="6"/>
  <c r="C174" i="6"/>
  <c r="J174" i="6" s="1"/>
  <c r="D174" i="6"/>
  <c r="E174" i="6"/>
  <c r="F174" i="6"/>
  <c r="G174" i="6"/>
  <c r="H174" i="6"/>
  <c r="K174" i="6"/>
  <c r="L174" i="6"/>
  <c r="B158" i="11"/>
  <c r="C158" i="11"/>
  <c r="D158" i="11"/>
  <c r="E158" i="11"/>
  <c r="F158" i="11"/>
  <c r="G158" i="11"/>
  <c r="P158" i="11"/>
  <c r="E160" i="9"/>
  <c r="I160" i="9"/>
  <c r="J160" i="9"/>
  <c r="K160" i="9"/>
  <c r="L160" i="9"/>
  <c r="M160" i="9"/>
  <c r="O160" i="9"/>
  <c r="P160" i="9"/>
  <c r="Q160" i="9"/>
  <c r="R160" i="9"/>
  <c r="S160" i="9"/>
  <c r="T160" i="9"/>
  <c r="U160" i="9"/>
  <c r="W160" i="9"/>
  <c r="X160" i="9"/>
  <c r="Z160" i="9"/>
  <c r="AA160" i="9"/>
  <c r="AB160" i="9"/>
  <c r="AC160" i="9"/>
  <c r="AD160" i="9"/>
  <c r="AE160" i="9"/>
  <c r="AG160" i="9"/>
  <c r="AH160" i="9"/>
  <c r="AI160" i="9"/>
  <c r="AJ160" i="9"/>
  <c r="AK160" i="9"/>
  <c r="AL160" i="9"/>
  <c r="AN160" i="9"/>
  <c r="AO160" i="9"/>
  <c r="AP160" i="9"/>
  <c r="AQ160" i="9"/>
  <c r="AR160" i="9"/>
  <c r="AS160" i="9"/>
  <c r="AU160" i="9"/>
  <c r="AV160" i="9"/>
  <c r="AW160" i="9"/>
  <c r="AX160" i="9"/>
  <c r="AY160" i="9"/>
  <c r="AZ160" i="9"/>
  <c r="BB160" i="9"/>
  <c r="BC160" i="9"/>
  <c r="BD160" i="9"/>
  <c r="BE160" i="9"/>
  <c r="BF160" i="9"/>
  <c r="BG160" i="9"/>
  <c r="BL160" i="9"/>
  <c r="BM160" i="9"/>
  <c r="BN160" i="9"/>
  <c r="BO160" i="9"/>
  <c r="BP160" i="9"/>
  <c r="BQ160" i="9"/>
  <c r="BR160" i="9"/>
  <c r="BS160" i="9"/>
  <c r="BT160" i="9"/>
  <c r="BU160" i="9"/>
  <c r="BW160" i="9"/>
  <c r="BX160" i="9"/>
  <c r="BY160" i="9"/>
  <c r="B160" i="10"/>
  <c r="C160" i="10"/>
  <c r="D160" i="10"/>
  <c r="E160" i="10"/>
  <c r="F160" i="10"/>
  <c r="G160" i="10"/>
  <c r="B160" i="6"/>
  <c r="C160" i="6"/>
  <c r="J160" i="6" s="1"/>
  <c r="D160" i="6"/>
  <c r="E160" i="6"/>
  <c r="F160" i="6"/>
  <c r="G160" i="6"/>
  <c r="H160" i="6"/>
  <c r="K160" i="6"/>
  <c r="L160" i="6"/>
  <c r="B135" i="11"/>
  <c r="C135" i="11"/>
  <c r="D135" i="11"/>
  <c r="E135" i="11"/>
  <c r="F135" i="11"/>
  <c r="G135" i="11"/>
  <c r="P135" i="11"/>
  <c r="E136" i="9"/>
  <c r="I136" i="9"/>
  <c r="J136" i="9"/>
  <c r="K136" i="9"/>
  <c r="L136" i="9"/>
  <c r="M136" i="9"/>
  <c r="O136" i="9"/>
  <c r="P136" i="9"/>
  <c r="Q136" i="9"/>
  <c r="R136" i="9"/>
  <c r="S136" i="9"/>
  <c r="T136" i="9"/>
  <c r="U136" i="9"/>
  <c r="W136" i="9"/>
  <c r="X136" i="9"/>
  <c r="Z136" i="9"/>
  <c r="AA136" i="9"/>
  <c r="AB136" i="9"/>
  <c r="AC136" i="9"/>
  <c r="AD136" i="9"/>
  <c r="AE136" i="9"/>
  <c r="AG136" i="9"/>
  <c r="AH136" i="9"/>
  <c r="AI136" i="9"/>
  <c r="AJ136" i="9"/>
  <c r="AK136" i="9"/>
  <c r="AL136" i="9"/>
  <c r="AN136" i="9"/>
  <c r="AO136" i="9"/>
  <c r="AP136" i="9"/>
  <c r="AQ136" i="9"/>
  <c r="AR136" i="9"/>
  <c r="AS136" i="9"/>
  <c r="AU136" i="9"/>
  <c r="AV136" i="9"/>
  <c r="AW136" i="9"/>
  <c r="AX136" i="9"/>
  <c r="AY136" i="9"/>
  <c r="AZ136" i="9"/>
  <c r="BB136" i="9"/>
  <c r="BC136" i="9"/>
  <c r="BD136" i="9"/>
  <c r="BE136" i="9"/>
  <c r="BF136" i="9"/>
  <c r="BG136" i="9"/>
  <c r="BL136" i="9"/>
  <c r="BM136" i="9"/>
  <c r="BN136" i="9"/>
  <c r="BO136" i="9"/>
  <c r="BP136" i="9"/>
  <c r="BQ136" i="9"/>
  <c r="BR136" i="9"/>
  <c r="BS136" i="9"/>
  <c r="BT136" i="9"/>
  <c r="BU136" i="9"/>
  <c r="BW136" i="9"/>
  <c r="BX136" i="9"/>
  <c r="BY136" i="9"/>
  <c r="B136" i="10"/>
  <c r="C136" i="10"/>
  <c r="D136" i="10"/>
  <c r="E136" i="10"/>
  <c r="F136" i="10"/>
  <c r="G136" i="10"/>
  <c r="B136" i="6"/>
  <c r="C136" i="6"/>
  <c r="J136" i="6" s="1"/>
  <c r="D136" i="6"/>
  <c r="E136" i="6"/>
  <c r="F136" i="6"/>
  <c r="G136" i="6"/>
  <c r="H136" i="6"/>
  <c r="K136" i="6"/>
  <c r="L136" i="6"/>
  <c r="B20" i="11"/>
  <c r="H20" i="11" s="1"/>
  <c r="C20" i="11"/>
  <c r="D20" i="11"/>
  <c r="E20" i="11"/>
  <c r="F20" i="11"/>
  <c r="G20" i="11"/>
  <c r="P20" i="11"/>
  <c r="E20" i="9"/>
  <c r="I20" i="9"/>
  <c r="J20" i="9"/>
  <c r="K20" i="9"/>
  <c r="L20" i="9"/>
  <c r="M20" i="9"/>
  <c r="O20" i="9"/>
  <c r="P20" i="9"/>
  <c r="Q20" i="9"/>
  <c r="R20" i="9"/>
  <c r="S20" i="9"/>
  <c r="T20" i="9"/>
  <c r="U20" i="9"/>
  <c r="W20" i="9"/>
  <c r="X20" i="9"/>
  <c r="Z20" i="9"/>
  <c r="AA20" i="9"/>
  <c r="AB20" i="9"/>
  <c r="AC20" i="9"/>
  <c r="AD20" i="9"/>
  <c r="AE20" i="9"/>
  <c r="AG20" i="9"/>
  <c r="AH20" i="9"/>
  <c r="AI20" i="9"/>
  <c r="AJ20" i="9"/>
  <c r="AK20" i="9"/>
  <c r="AL20" i="9"/>
  <c r="AN20" i="9"/>
  <c r="AO20" i="9"/>
  <c r="AP20" i="9"/>
  <c r="AQ20" i="9"/>
  <c r="AR20" i="9"/>
  <c r="AS20" i="9"/>
  <c r="AU20" i="9"/>
  <c r="AV20" i="9"/>
  <c r="AW20" i="9"/>
  <c r="AX20" i="9"/>
  <c r="AY20" i="9"/>
  <c r="AZ20" i="9"/>
  <c r="BB20" i="9"/>
  <c r="BC20" i="9"/>
  <c r="BD20" i="9"/>
  <c r="BE20" i="9"/>
  <c r="BF20" i="9"/>
  <c r="BG20" i="9"/>
  <c r="BL20" i="9"/>
  <c r="BM20" i="9"/>
  <c r="BN20" i="9"/>
  <c r="BO20" i="9"/>
  <c r="BP20" i="9"/>
  <c r="BQ20" i="9"/>
  <c r="BR20" i="9"/>
  <c r="BS20" i="9"/>
  <c r="BT20" i="9"/>
  <c r="BU20" i="9"/>
  <c r="BW20" i="9"/>
  <c r="BX20" i="9"/>
  <c r="BY20" i="9"/>
  <c r="B19" i="10"/>
  <c r="C19" i="10"/>
  <c r="D19" i="10"/>
  <c r="E19" i="10"/>
  <c r="F19" i="10"/>
  <c r="G19" i="10"/>
  <c r="B19" i="6"/>
  <c r="C19" i="6"/>
  <c r="D19" i="6"/>
  <c r="E19" i="6"/>
  <c r="F19" i="6"/>
  <c r="G19" i="6"/>
  <c r="H19" i="6"/>
  <c r="K19" i="6"/>
  <c r="L19" i="6"/>
  <c r="B209" i="11"/>
  <c r="H209" i="11" s="1"/>
  <c r="C209" i="11"/>
  <c r="D209" i="11"/>
  <c r="E209" i="11"/>
  <c r="F209" i="11"/>
  <c r="G209" i="11"/>
  <c r="P209" i="11"/>
  <c r="E206" i="9"/>
  <c r="I206" i="9"/>
  <c r="J206" i="9"/>
  <c r="K206" i="9"/>
  <c r="L206" i="9"/>
  <c r="M206" i="9"/>
  <c r="O206" i="9"/>
  <c r="P206" i="9"/>
  <c r="Q206" i="9"/>
  <c r="R206" i="9"/>
  <c r="S206" i="9"/>
  <c r="T206" i="9"/>
  <c r="U206" i="9"/>
  <c r="W206" i="9"/>
  <c r="X206" i="9"/>
  <c r="Z206" i="9"/>
  <c r="AA206" i="9"/>
  <c r="AB206" i="9"/>
  <c r="AC206" i="9"/>
  <c r="AD206" i="9"/>
  <c r="AE206" i="9"/>
  <c r="AG206" i="9"/>
  <c r="AH206" i="9"/>
  <c r="AI206" i="9"/>
  <c r="AJ206" i="9"/>
  <c r="AK206" i="9"/>
  <c r="AL206" i="9"/>
  <c r="AN206" i="9"/>
  <c r="AO206" i="9"/>
  <c r="AP206" i="9"/>
  <c r="AQ206" i="9"/>
  <c r="AR206" i="9"/>
  <c r="AS206" i="9"/>
  <c r="AU206" i="9"/>
  <c r="AV206" i="9"/>
  <c r="AW206" i="9"/>
  <c r="AX206" i="9"/>
  <c r="AY206" i="9"/>
  <c r="AZ206" i="9"/>
  <c r="BB206" i="9"/>
  <c r="BC206" i="9"/>
  <c r="BD206" i="9"/>
  <c r="BE206" i="9"/>
  <c r="BF206" i="9"/>
  <c r="BG206" i="9"/>
  <c r="BL206" i="9"/>
  <c r="BM206" i="9"/>
  <c r="BN206" i="9"/>
  <c r="BO206" i="9"/>
  <c r="BP206" i="9"/>
  <c r="BQ206" i="9"/>
  <c r="BR206" i="9"/>
  <c r="BS206" i="9"/>
  <c r="BT206" i="9"/>
  <c r="BU206" i="9"/>
  <c r="BW206" i="9"/>
  <c r="BX206" i="9"/>
  <c r="BY206" i="9"/>
  <c r="B206" i="10"/>
  <c r="C206" i="10"/>
  <c r="D206" i="10"/>
  <c r="E206" i="10"/>
  <c r="F206" i="10"/>
  <c r="G206" i="10"/>
  <c r="B206" i="6"/>
  <c r="C206" i="6"/>
  <c r="J206" i="6" s="1"/>
  <c r="D206" i="6"/>
  <c r="E206" i="6"/>
  <c r="F206" i="6"/>
  <c r="G206" i="6"/>
  <c r="H206" i="6"/>
  <c r="K206" i="6"/>
  <c r="L206" i="6"/>
  <c r="BQ337" i="20"/>
  <c r="B116" i="11"/>
  <c r="C116" i="11"/>
  <c r="D116" i="11"/>
  <c r="E116" i="11"/>
  <c r="F116" i="11"/>
  <c r="G116" i="11"/>
  <c r="P116" i="11"/>
  <c r="E117" i="9"/>
  <c r="I117" i="9"/>
  <c r="J117" i="9"/>
  <c r="K117" i="9"/>
  <c r="L117" i="9"/>
  <c r="M117" i="9"/>
  <c r="O117" i="9"/>
  <c r="P117" i="9"/>
  <c r="Q117" i="9"/>
  <c r="R117" i="9"/>
  <c r="S117" i="9"/>
  <c r="T117" i="9"/>
  <c r="U117" i="9"/>
  <c r="W117" i="9"/>
  <c r="X117" i="9"/>
  <c r="Z117" i="9"/>
  <c r="AA117" i="9"/>
  <c r="AB117" i="9"/>
  <c r="AC117" i="9"/>
  <c r="AD117" i="9"/>
  <c r="AE117" i="9"/>
  <c r="AG117" i="9"/>
  <c r="AH117" i="9"/>
  <c r="AI117" i="9"/>
  <c r="AJ117" i="9"/>
  <c r="AK117" i="9"/>
  <c r="AL117" i="9"/>
  <c r="AN117" i="9"/>
  <c r="AO117" i="9"/>
  <c r="AP117" i="9"/>
  <c r="AQ117" i="9"/>
  <c r="AR117" i="9"/>
  <c r="AS117" i="9"/>
  <c r="AU117" i="9"/>
  <c r="AV117" i="9"/>
  <c r="AW117" i="9"/>
  <c r="AX117" i="9"/>
  <c r="AY117" i="9"/>
  <c r="AZ117" i="9"/>
  <c r="BB117" i="9"/>
  <c r="BC117" i="9"/>
  <c r="BD117" i="9"/>
  <c r="BE117" i="9"/>
  <c r="BF117" i="9"/>
  <c r="BG117" i="9"/>
  <c r="BL117" i="9"/>
  <c r="BM117" i="9"/>
  <c r="BN117" i="9"/>
  <c r="BO117" i="9"/>
  <c r="BP117" i="9"/>
  <c r="BQ117" i="9"/>
  <c r="BR117" i="9"/>
  <c r="BS117" i="9"/>
  <c r="BT117" i="9"/>
  <c r="BU117" i="9"/>
  <c r="BW117" i="9"/>
  <c r="BX117" i="9"/>
  <c r="BY117" i="9"/>
  <c r="B117" i="10"/>
  <c r="C117" i="10"/>
  <c r="D117" i="10"/>
  <c r="E117" i="10"/>
  <c r="F117" i="10"/>
  <c r="G117" i="10"/>
  <c r="B117" i="6"/>
  <c r="C117" i="6"/>
  <c r="D117" i="6"/>
  <c r="E117" i="6"/>
  <c r="F117" i="6"/>
  <c r="G117" i="6"/>
  <c r="H117" i="6"/>
  <c r="K117" i="6"/>
  <c r="L117" i="6"/>
  <c r="B217" i="11"/>
  <c r="H217" i="11" s="1"/>
  <c r="C217" i="11"/>
  <c r="D217" i="11"/>
  <c r="E217" i="11"/>
  <c r="F217" i="11"/>
  <c r="G217" i="11"/>
  <c r="P217" i="11"/>
  <c r="E214" i="9"/>
  <c r="I214" i="9"/>
  <c r="J214" i="9"/>
  <c r="K214" i="9"/>
  <c r="L214" i="9"/>
  <c r="M214" i="9"/>
  <c r="O214" i="9"/>
  <c r="P214" i="9"/>
  <c r="Q214" i="9"/>
  <c r="R214" i="9"/>
  <c r="S214" i="9"/>
  <c r="T214" i="9"/>
  <c r="U214" i="9"/>
  <c r="W214" i="9"/>
  <c r="X214" i="9"/>
  <c r="Z214" i="9"/>
  <c r="AA214" i="9"/>
  <c r="AB214" i="9"/>
  <c r="AC214" i="9"/>
  <c r="AD214" i="9"/>
  <c r="AE214" i="9"/>
  <c r="AG214" i="9"/>
  <c r="AH214" i="9"/>
  <c r="AI214" i="9"/>
  <c r="AJ214" i="9"/>
  <c r="AK214" i="9"/>
  <c r="AL214" i="9"/>
  <c r="AN214" i="9"/>
  <c r="AO214" i="9"/>
  <c r="AP214" i="9"/>
  <c r="AQ214" i="9"/>
  <c r="AR214" i="9"/>
  <c r="AS214" i="9"/>
  <c r="AU214" i="9"/>
  <c r="AV214" i="9"/>
  <c r="AW214" i="9"/>
  <c r="AX214" i="9"/>
  <c r="AY214" i="9"/>
  <c r="AZ214" i="9"/>
  <c r="BB214" i="9"/>
  <c r="BC214" i="9"/>
  <c r="BD214" i="9"/>
  <c r="BE214" i="9"/>
  <c r="BF214" i="9"/>
  <c r="BG214" i="9"/>
  <c r="BL214" i="9"/>
  <c r="BM214" i="9"/>
  <c r="BN214" i="9"/>
  <c r="BO214" i="9"/>
  <c r="BP214" i="9"/>
  <c r="BQ214" i="9"/>
  <c r="BR214" i="9"/>
  <c r="BS214" i="9"/>
  <c r="BT214" i="9"/>
  <c r="BU214" i="9"/>
  <c r="BW214" i="9"/>
  <c r="BX214" i="9"/>
  <c r="BY214" i="9"/>
  <c r="B214" i="10"/>
  <c r="C214" i="10"/>
  <c r="D214" i="10"/>
  <c r="E214" i="10"/>
  <c r="F214" i="10"/>
  <c r="G214" i="10"/>
  <c r="B214" i="6"/>
  <c r="C214" i="6"/>
  <c r="J214" i="6" s="1"/>
  <c r="D214" i="6"/>
  <c r="E214" i="6"/>
  <c r="F214" i="6"/>
  <c r="G214" i="6"/>
  <c r="H214" i="6"/>
  <c r="K214" i="6"/>
  <c r="L214" i="6"/>
  <c r="B54" i="11"/>
  <c r="C54" i="11"/>
  <c r="D54" i="11"/>
  <c r="E54" i="11"/>
  <c r="F54" i="11"/>
  <c r="G54" i="11"/>
  <c r="P54" i="11"/>
  <c r="E56" i="9"/>
  <c r="I56" i="9"/>
  <c r="J56" i="9"/>
  <c r="K56" i="9"/>
  <c r="L56" i="9"/>
  <c r="M56" i="9"/>
  <c r="O56" i="9"/>
  <c r="P56" i="9"/>
  <c r="Q56" i="9"/>
  <c r="R56" i="9"/>
  <c r="S56" i="9"/>
  <c r="T56" i="9"/>
  <c r="U56" i="9"/>
  <c r="W56" i="9"/>
  <c r="X56" i="9"/>
  <c r="Z56" i="9"/>
  <c r="AA56" i="9"/>
  <c r="AB56" i="9"/>
  <c r="AC56" i="9"/>
  <c r="AD56" i="9"/>
  <c r="AE56" i="9"/>
  <c r="AG56" i="9"/>
  <c r="AH56" i="9"/>
  <c r="AI56" i="9"/>
  <c r="AJ56" i="9"/>
  <c r="AK56" i="9"/>
  <c r="AL56" i="9"/>
  <c r="AN56" i="9"/>
  <c r="AO56" i="9"/>
  <c r="AP56" i="9"/>
  <c r="AQ56" i="9"/>
  <c r="AR56" i="9"/>
  <c r="AS56" i="9"/>
  <c r="AU56" i="9"/>
  <c r="AV56" i="9"/>
  <c r="AW56" i="9"/>
  <c r="AX56" i="9"/>
  <c r="AY56" i="9"/>
  <c r="AZ56" i="9"/>
  <c r="BB56" i="9"/>
  <c r="BC56" i="9"/>
  <c r="BD56" i="9"/>
  <c r="BE56" i="9"/>
  <c r="BF56" i="9"/>
  <c r="BG56" i="9"/>
  <c r="BM56" i="9"/>
  <c r="BN56" i="9"/>
  <c r="BO56" i="9"/>
  <c r="BP56" i="9"/>
  <c r="BQ56" i="9"/>
  <c r="BR56" i="9"/>
  <c r="BS56" i="9"/>
  <c r="BT56" i="9"/>
  <c r="BU56" i="9"/>
  <c r="BW56" i="9"/>
  <c r="BX56" i="9"/>
  <c r="BY56" i="9"/>
  <c r="B55" i="10"/>
  <c r="C55" i="10"/>
  <c r="D55" i="10"/>
  <c r="E55" i="10"/>
  <c r="F55" i="10"/>
  <c r="G55" i="10"/>
  <c r="B55" i="6"/>
  <c r="C55" i="6"/>
  <c r="D55" i="6"/>
  <c r="E55" i="6"/>
  <c r="F55" i="6"/>
  <c r="G55" i="6"/>
  <c r="H55" i="6"/>
  <c r="K55" i="6"/>
  <c r="L55" i="6"/>
  <c r="B199" i="11"/>
  <c r="H199" i="11" s="1"/>
  <c r="C199" i="11"/>
  <c r="D199" i="11"/>
  <c r="E199" i="11"/>
  <c r="F199" i="11"/>
  <c r="G199" i="11"/>
  <c r="P199" i="11"/>
  <c r="E200" i="9"/>
  <c r="I200" i="9"/>
  <c r="J200" i="9"/>
  <c r="K200" i="9"/>
  <c r="L200" i="9"/>
  <c r="M200" i="9"/>
  <c r="O200" i="9"/>
  <c r="P200" i="9"/>
  <c r="Q200" i="9"/>
  <c r="R200" i="9"/>
  <c r="S200" i="9"/>
  <c r="T200" i="9"/>
  <c r="U200" i="9"/>
  <c r="W200" i="9"/>
  <c r="X200" i="9"/>
  <c r="Z200" i="9"/>
  <c r="AA200" i="9"/>
  <c r="AB200" i="9"/>
  <c r="AC200" i="9"/>
  <c r="AD200" i="9"/>
  <c r="AE200" i="9"/>
  <c r="AG200" i="9"/>
  <c r="AH200" i="9"/>
  <c r="AI200" i="9"/>
  <c r="AJ200" i="9"/>
  <c r="AK200" i="9"/>
  <c r="AL200" i="9"/>
  <c r="AN200" i="9"/>
  <c r="AO200" i="9"/>
  <c r="AP200" i="9"/>
  <c r="AQ200" i="9"/>
  <c r="AR200" i="9"/>
  <c r="AS200" i="9"/>
  <c r="AU200" i="9"/>
  <c r="AV200" i="9"/>
  <c r="AW200" i="9"/>
  <c r="AX200" i="9"/>
  <c r="AY200" i="9"/>
  <c r="AZ200" i="9"/>
  <c r="BB200" i="9"/>
  <c r="BC200" i="9"/>
  <c r="BD200" i="9"/>
  <c r="BE200" i="9"/>
  <c r="BF200" i="9"/>
  <c r="BG200" i="9"/>
  <c r="BL200" i="9"/>
  <c r="BM200" i="9"/>
  <c r="BN200" i="9"/>
  <c r="BO200" i="9"/>
  <c r="BP200" i="9"/>
  <c r="BQ200" i="9"/>
  <c r="BR200" i="9"/>
  <c r="BS200" i="9"/>
  <c r="BT200" i="9"/>
  <c r="BU200" i="9"/>
  <c r="BW200" i="9"/>
  <c r="BX200" i="9"/>
  <c r="BY200" i="9"/>
  <c r="B200" i="10"/>
  <c r="C200" i="10"/>
  <c r="D200" i="10"/>
  <c r="E200" i="10"/>
  <c r="F200" i="10"/>
  <c r="G200" i="10"/>
  <c r="B200" i="6"/>
  <c r="C200" i="6"/>
  <c r="J200" i="6" s="1"/>
  <c r="D200" i="6"/>
  <c r="E200" i="6"/>
  <c r="F200" i="6"/>
  <c r="G200" i="6"/>
  <c r="H200" i="6"/>
  <c r="K200" i="6"/>
  <c r="L200" i="6"/>
  <c r="B34" i="11"/>
  <c r="H34" i="11" s="1"/>
  <c r="C34" i="11"/>
  <c r="D34" i="11"/>
  <c r="E34" i="11"/>
  <c r="F34" i="11"/>
  <c r="G34" i="11"/>
  <c r="P34" i="11"/>
  <c r="E34" i="9"/>
  <c r="I34" i="9"/>
  <c r="J34" i="9"/>
  <c r="K34" i="9"/>
  <c r="L34" i="9"/>
  <c r="M34" i="9"/>
  <c r="O34" i="9"/>
  <c r="P34" i="9"/>
  <c r="Q34" i="9"/>
  <c r="R34" i="9"/>
  <c r="S34" i="9"/>
  <c r="T34" i="9"/>
  <c r="U34" i="9"/>
  <c r="W34" i="9"/>
  <c r="X34" i="9"/>
  <c r="Z34" i="9"/>
  <c r="AA34" i="9"/>
  <c r="AB34" i="9"/>
  <c r="AC34" i="9"/>
  <c r="AD34" i="9"/>
  <c r="AE34" i="9"/>
  <c r="AG34" i="9"/>
  <c r="AH34" i="9"/>
  <c r="AI34" i="9"/>
  <c r="AJ34" i="9"/>
  <c r="AK34" i="9"/>
  <c r="AL34" i="9"/>
  <c r="AN34" i="9"/>
  <c r="AO34" i="9"/>
  <c r="AP34" i="9"/>
  <c r="AQ34" i="9"/>
  <c r="AR34" i="9"/>
  <c r="AS34" i="9"/>
  <c r="AU34" i="9"/>
  <c r="AV34" i="9"/>
  <c r="AW34" i="9"/>
  <c r="AX34" i="9"/>
  <c r="AY34" i="9"/>
  <c r="AZ34" i="9"/>
  <c r="BB34" i="9"/>
  <c r="BC34" i="9"/>
  <c r="BD34" i="9"/>
  <c r="BE34" i="9"/>
  <c r="BF34" i="9"/>
  <c r="BG34" i="9"/>
  <c r="BL34" i="9"/>
  <c r="BM34" i="9"/>
  <c r="BN34" i="9"/>
  <c r="BO34" i="9"/>
  <c r="BP34" i="9"/>
  <c r="BQ34" i="9"/>
  <c r="BR34" i="9"/>
  <c r="BS34" i="9"/>
  <c r="BT34" i="9"/>
  <c r="BU34" i="9"/>
  <c r="BW34" i="9"/>
  <c r="BX34" i="9"/>
  <c r="BY34" i="9"/>
  <c r="B33" i="10"/>
  <c r="C33" i="10"/>
  <c r="D33" i="10"/>
  <c r="E33" i="10"/>
  <c r="F33" i="10"/>
  <c r="G33" i="10"/>
  <c r="B33" i="6"/>
  <c r="C33" i="6"/>
  <c r="D33" i="6"/>
  <c r="E33" i="6"/>
  <c r="F33" i="6"/>
  <c r="G33" i="6"/>
  <c r="H33" i="6"/>
  <c r="K33" i="6"/>
  <c r="L33" i="6"/>
  <c r="B234" i="11"/>
  <c r="C234" i="11"/>
  <c r="D234" i="11"/>
  <c r="E234" i="11"/>
  <c r="F234" i="11"/>
  <c r="G234" i="11"/>
  <c r="P234" i="11"/>
  <c r="E232" i="9"/>
  <c r="I232" i="9"/>
  <c r="J232" i="9"/>
  <c r="K232" i="9"/>
  <c r="L232" i="9"/>
  <c r="M232" i="9"/>
  <c r="O232" i="9"/>
  <c r="P232" i="9"/>
  <c r="Q232" i="9"/>
  <c r="R232" i="9"/>
  <c r="S232" i="9"/>
  <c r="T232" i="9"/>
  <c r="U232" i="9"/>
  <c r="W232" i="9"/>
  <c r="X232" i="9"/>
  <c r="Z232" i="9"/>
  <c r="AA232" i="9"/>
  <c r="AB232" i="9"/>
  <c r="AC232" i="9"/>
  <c r="AD232" i="9"/>
  <c r="AE232" i="9"/>
  <c r="AG232" i="9"/>
  <c r="AH232" i="9"/>
  <c r="AI232" i="9"/>
  <c r="AJ232" i="9"/>
  <c r="AK232" i="9"/>
  <c r="AL232" i="9"/>
  <c r="AN232" i="9"/>
  <c r="AO232" i="9"/>
  <c r="AP232" i="9"/>
  <c r="AQ232" i="9"/>
  <c r="AR232" i="9"/>
  <c r="AS232" i="9"/>
  <c r="AU232" i="9"/>
  <c r="AV232" i="9"/>
  <c r="AW232" i="9"/>
  <c r="AX232" i="9"/>
  <c r="AY232" i="9"/>
  <c r="AZ232" i="9"/>
  <c r="BB232" i="9"/>
  <c r="BC232" i="9"/>
  <c r="BD232" i="9"/>
  <c r="BE232" i="9"/>
  <c r="BF232" i="9"/>
  <c r="BG232" i="9"/>
  <c r="BL232" i="9"/>
  <c r="BM232" i="9"/>
  <c r="BN232" i="9"/>
  <c r="BO232" i="9"/>
  <c r="BP232" i="9"/>
  <c r="BQ232" i="9"/>
  <c r="BR232" i="9"/>
  <c r="BS232" i="9"/>
  <c r="BT232" i="9"/>
  <c r="BU232" i="9"/>
  <c r="BW232" i="9"/>
  <c r="BX232" i="9"/>
  <c r="BY232" i="9"/>
  <c r="B232" i="10"/>
  <c r="C232" i="10"/>
  <c r="D232" i="10"/>
  <c r="E232" i="10"/>
  <c r="F232" i="10"/>
  <c r="G232" i="10"/>
  <c r="B232" i="6"/>
  <c r="C232" i="6"/>
  <c r="J232" i="6" s="1"/>
  <c r="D232" i="6"/>
  <c r="E232" i="6"/>
  <c r="F232" i="6"/>
  <c r="G232" i="6"/>
  <c r="H232" i="6"/>
  <c r="K232" i="6"/>
  <c r="L232" i="6"/>
  <c r="B120" i="11"/>
  <c r="H120" i="11" s="1"/>
  <c r="C120" i="11"/>
  <c r="D120" i="11"/>
  <c r="E120" i="11"/>
  <c r="F120" i="11"/>
  <c r="G120" i="11"/>
  <c r="P120" i="11"/>
  <c r="E121" i="9"/>
  <c r="I121" i="9"/>
  <c r="J121" i="9"/>
  <c r="K121" i="9"/>
  <c r="L121" i="9"/>
  <c r="M121" i="9"/>
  <c r="O121" i="9"/>
  <c r="P121" i="9"/>
  <c r="Q121" i="9"/>
  <c r="R121" i="9"/>
  <c r="S121" i="9"/>
  <c r="T121" i="9"/>
  <c r="U121" i="9"/>
  <c r="W121" i="9"/>
  <c r="X121" i="9"/>
  <c r="Z121" i="9"/>
  <c r="AA121" i="9"/>
  <c r="AB121" i="9"/>
  <c r="AC121" i="9"/>
  <c r="AD121" i="9"/>
  <c r="AE121" i="9"/>
  <c r="AG121" i="9"/>
  <c r="AH121" i="9"/>
  <c r="AI121" i="9"/>
  <c r="AJ121" i="9"/>
  <c r="AK121" i="9"/>
  <c r="AL121" i="9"/>
  <c r="AN121" i="9"/>
  <c r="AO121" i="9"/>
  <c r="AP121" i="9"/>
  <c r="AQ121" i="9"/>
  <c r="AR121" i="9"/>
  <c r="AS121" i="9"/>
  <c r="AU121" i="9"/>
  <c r="AV121" i="9"/>
  <c r="AW121" i="9"/>
  <c r="AX121" i="9"/>
  <c r="AY121" i="9"/>
  <c r="AZ121" i="9"/>
  <c r="BB121" i="9"/>
  <c r="BC121" i="9"/>
  <c r="BD121" i="9"/>
  <c r="BE121" i="9"/>
  <c r="BF121" i="9"/>
  <c r="BG121" i="9"/>
  <c r="BL121" i="9"/>
  <c r="BM121" i="9"/>
  <c r="BN121" i="9"/>
  <c r="BO121" i="9"/>
  <c r="BP121" i="9"/>
  <c r="BQ121" i="9"/>
  <c r="BR121" i="9"/>
  <c r="BS121" i="9"/>
  <c r="BT121" i="9"/>
  <c r="BU121" i="9"/>
  <c r="BW121" i="9"/>
  <c r="BX121" i="9"/>
  <c r="BY121" i="9"/>
  <c r="B121" i="10"/>
  <c r="C121" i="10"/>
  <c r="D121" i="10"/>
  <c r="E121" i="10"/>
  <c r="F121" i="10"/>
  <c r="G121" i="10"/>
  <c r="B121" i="6"/>
  <c r="C121" i="6"/>
  <c r="D121" i="6"/>
  <c r="E121" i="6"/>
  <c r="F121" i="6"/>
  <c r="G121" i="6"/>
  <c r="H121" i="6"/>
  <c r="K121" i="6"/>
  <c r="L121" i="6"/>
  <c r="BW351" i="20" l="1"/>
  <c r="BQ351" i="20"/>
  <c r="BU7" i="2"/>
  <c r="CG7" i="2" s="1"/>
  <c r="BW349" i="20" s="1"/>
  <c r="BQ349" i="20"/>
  <c r="BW350" i="20"/>
  <c r="BQ350" i="20"/>
  <c r="CH348" i="20"/>
  <c r="CB296" i="9"/>
  <c r="BP349" i="20"/>
  <c r="BS350" i="20"/>
  <c r="B53" i="9"/>
  <c r="F53" i="9" s="1"/>
  <c r="B350" i="20"/>
  <c r="CK347" i="20"/>
  <c r="H347" i="20"/>
  <c r="F352" i="20"/>
  <c r="G352" i="20"/>
  <c r="H352" i="20"/>
  <c r="CK352" i="20"/>
  <c r="BK4" i="9"/>
  <c r="BR348" i="20"/>
  <c r="BQ7" i="2"/>
  <c r="CC7" i="2" s="1"/>
  <c r="BS349" i="20"/>
  <c r="CB53" i="9"/>
  <c r="BP350" i="20"/>
  <c r="BS351" i="20"/>
  <c r="B296" i="9"/>
  <c r="G296" i="9" s="1"/>
  <c r="B349" i="20"/>
  <c r="B124" i="9"/>
  <c r="CD124" i="9" s="1"/>
  <c r="B351" i="20"/>
  <c r="CB124" i="9"/>
  <c r="BP351" i="20"/>
  <c r="F213" i="9"/>
  <c r="G213" i="9"/>
  <c r="H213" i="9"/>
  <c r="G4" i="9"/>
  <c r="CD4" i="9"/>
  <c r="AF337" i="20"/>
  <c r="Y160" i="9"/>
  <c r="AF341" i="20"/>
  <c r="Y206" i="9"/>
  <c r="AF338" i="20"/>
  <c r="Y174" i="9"/>
  <c r="AF342" i="20"/>
  <c r="Y214" i="9"/>
  <c r="AF335" i="20"/>
  <c r="Y20" i="9"/>
  <c r="AF339" i="20"/>
  <c r="AF344" i="20"/>
  <c r="Y117" i="9"/>
  <c r="AF336" i="20"/>
  <c r="Y136" i="9"/>
  <c r="AF340" i="20"/>
  <c r="BJ232" i="9"/>
  <c r="BR331" i="20"/>
  <c r="CJ337" i="20"/>
  <c r="BJ136" i="9"/>
  <c r="BR340" i="20"/>
  <c r="CA160" i="9"/>
  <c r="CJ341" i="20"/>
  <c r="AM298" i="9"/>
  <c r="AT343" i="20"/>
  <c r="BA344" i="20"/>
  <c r="B344" i="20"/>
  <c r="CB122" i="9"/>
  <c r="BP346" i="20"/>
  <c r="B94" i="9"/>
  <c r="B345" i="20"/>
  <c r="CA34" i="9"/>
  <c r="CJ332" i="20"/>
  <c r="CA121" i="9"/>
  <c r="CJ329" i="20"/>
  <c r="CA200" i="9"/>
  <c r="CJ333" i="20"/>
  <c r="CA206" i="9"/>
  <c r="CJ338" i="20"/>
  <c r="BJ160" i="9"/>
  <c r="BR341" i="20"/>
  <c r="CA174" i="9"/>
  <c r="CJ342" i="20"/>
  <c r="AF298" i="9"/>
  <c r="AM343" i="20"/>
  <c r="BH344" i="20"/>
  <c r="CB94" i="9"/>
  <c r="BP345" i="20"/>
  <c r="CA56" i="9"/>
  <c r="CJ334" i="20"/>
  <c r="CA214" i="9"/>
  <c r="CJ335" i="20"/>
  <c r="CA20" i="9"/>
  <c r="CJ339" i="20"/>
  <c r="BJ174" i="9"/>
  <c r="BR342" i="20"/>
  <c r="AT298" i="9"/>
  <c r="BA343" i="20"/>
  <c r="BA298" i="9"/>
  <c r="BH343" i="20"/>
  <c r="AM344" i="20"/>
  <c r="CB292" i="9"/>
  <c r="BP347" i="20"/>
  <c r="B122" i="9"/>
  <c r="B346" i="20"/>
  <c r="P347" i="20"/>
  <c r="F347" i="20"/>
  <c r="G347" i="20"/>
  <c r="CJ330" i="20"/>
  <c r="CA232" i="9"/>
  <c r="CJ331" i="20"/>
  <c r="BJ214" i="9"/>
  <c r="BR335" i="20"/>
  <c r="CA117" i="9"/>
  <c r="CJ336" i="20"/>
  <c r="BJ20" i="9"/>
  <c r="BR339" i="20"/>
  <c r="CA136" i="9"/>
  <c r="CJ340" i="20"/>
  <c r="BJ298" i="9"/>
  <c r="BR343" i="20"/>
  <c r="BH298" i="9"/>
  <c r="BO343" i="20"/>
  <c r="AT344" i="20"/>
  <c r="BO344" i="20"/>
  <c r="W5" i="1"/>
  <c r="B292" i="9"/>
  <c r="CD292" i="9" s="1"/>
  <c r="G124" i="9"/>
  <c r="G53" i="9"/>
  <c r="H53" i="9"/>
  <c r="T7" i="1"/>
  <c r="I300" i="6"/>
  <c r="BK53" i="9"/>
  <c r="BI53" i="9"/>
  <c r="BV350" i="20"/>
  <c r="BT350" i="20"/>
  <c r="BU350" i="20"/>
  <c r="BK94" i="9"/>
  <c r="BI94" i="9"/>
  <c r="BI122" i="9"/>
  <c r="BK122" i="9"/>
  <c r="U5" i="1"/>
  <c r="BS7" i="2"/>
  <c r="CE7" i="2" s="1"/>
  <c r="BU349" i="20" s="1"/>
  <c r="BK296" i="9"/>
  <c r="BV7" i="2"/>
  <c r="CH7" i="2" s="1"/>
  <c r="BI296" i="9"/>
  <c r="BR7" i="2"/>
  <c r="CD7" i="2" s="1"/>
  <c r="BT349" i="20" s="1"/>
  <c r="BT7" i="2"/>
  <c r="CF7" i="2" s="1"/>
  <c r="BV349" i="20" s="1"/>
  <c r="BK292" i="9"/>
  <c r="BI292" i="9"/>
  <c r="BU351" i="20"/>
  <c r="BK124" i="9"/>
  <c r="BI124" i="9"/>
  <c r="BT351" i="20"/>
  <c r="BV351" i="20"/>
  <c r="Z9" i="2"/>
  <c r="BQ9" i="2" s="1"/>
  <c r="CC9" i="2" s="1"/>
  <c r="AA9" i="2"/>
  <c r="BQ343" i="20" s="1"/>
  <c r="Y9" i="2"/>
  <c r="F296" i="9"/>
  <c r="H296" i="9"/>
  <c r="F4" i="9"/>
  <c r="H4" i="9"/>
  <c r="BQ344" i="20"/>
  <c r="BS344" i="20"/>
  <c r="AB9" i="2"/>
  <c r="BS343" i="20" s="1"/>
  <c r="S158" i="11"/>
  <c r="V174" i="9"/>
  <c r="Q172" i="11"/>
  <c r="S135" i="11"/>
  <c r="H172" i="11"/>
  <c r="S172" i="11"/>
  <c r="Q158" i="11"/>
  <c r="V160" i="9"/>
  <c r="V136" i="9"/>
  <c r="H158" i="11"/>
  <c r="Q135" i="11"/>
  <c r="AM341" i="20"/>
  <c r="V20" i="9"/>
  <c r="J19" i="6"/>
  <c r="H135" i="11"/>
  <c r="Q20" i="11"/>
  <c r="S20" i="11"/>
  <c r="Q116" i="11"/>
  <c r="AM339" i="20"/>
  <c r="V206" i="9"/>
  <c r="Q209" i="11"/>
  <c r="B337" i="20"/>
  <c r="S209" i="11"/>
  <c r="Q217" i="11"/>
  <c r="J117" i="6"/>
  <c r="V214" i="9"/>
  <c r="V117" i="9"/>
  <c r="S116" i="11"/>
  <c r="H116" i="11"/>
  <c r="S234" i="11"/>
  <c r="S217" i="11"/>
  <c r="Q54" i="11"/>
  <c r="H54" i="11"/>
  <c r="Q199" i="11"/>
  <c r="V56" i="9"/>
  <c r="J55" i="6"/>
  <c r="S54" i="11"/>
  <c r="V200" i="9"/>
  <c r="Q34" i="11"/>
  <c r="S199" i="11"/>
  <c r="S34" i="11"/>
  <c r="J33" i="6"/>
  <c r="I33" i="6"/>
  <c r="V34" i="9"/>
  <c r="AM332" i="20"/>
  <c r="Q120" i="11"/>
  <c r="Q234" i="11"/>
  <c r="V232" i="9"/>
  <c r="H234" i="11"/>
  <c r="AM331" i="20"/>
  <c r="J121" i="6"/>
  <c r="V121" i="9"/>
  <c r="S120" i="11"/>
  <c r="B290" i="11"/>
  <c r="H290" i="11" s="1"/>
  <c r="C290" i="11"/>
  <c r="D290" i="11"/>
  <c r="E290" i="11"/>
  <c r="F290" i="11"/>
  <c r="G290" i="11"/>
  <c r="P290" i="11"/>
  <c r="E289" i="9"/>
  <c r="I289" i="9"/>
  <c r="J289" i="9"/>
  <c r="K289" i="9"/>
  <c r="L289" i="9"/>
  <c r="M289" i="9"/>
  <c r="O289" i="9"/>
  <c r="P289" i="9"/>
  <c r="Q289" i="9"/>
  <c r="R289" i="9"/>
  <c r="S289" i="9"/>
  <c r="T289" i="9"/>
  <c r="U289" i="9"/>
  <c r="W289" i="9"/>
  <c r="X289" i="9"/>
  <c r="Z289" i="9"/>
  <c r="AA289" i="9"/>
  <c r="AB289" i="9"/>
  <c r="AC289" i="9"/>
  <c r="AD289" i="9"/>
  <c r="AE289" i="9"/>
  <c r="AG289" i="9"/>
  <c r="AH289" i="9"/>
  <c r="AI289" i="9"/>
  <c r="AJ289" i="9"/>
  <c r="AK289" i="9"/>
  <c r="AL289" i="9"/>
  <c r="AN289" i="9"/>
  <c r="AO289" i="9"/>
  <c r="AP289" i="9"/>
  <c r="AQ289" i="9"/>
  <c r="AR289" i="9"/>
  <c r="AS289" i="9"/>
  <c r="AU289" i="9"/>
  <c r="AV289" i="9"/>
  <c r="AW289" i="9"/>
  <c r="AX289" i="9"/>
  <c r="AY289" i="9"/>
  <c r="AZ289" i="9"/>
  <c r="BB289" i="9"/>
  <c r="BC289" i="9"/>
  <c r="BD289" i="9"/>
  <c r="BE289" i="9"/>
  <c r="BF289" i="9"/>
  <c r="BG289" i="9"/>
  <c r="BL289" i="9"/>
  <c r="BM289" i="9"/>
  <c r="BN289" i="9"/>
  <c r="BO289" i="9"/>
  <c r="BP289" i="9"/>
  <c r="BQ289" i="9"/>
  <c r="BR289" i="9"/>
  <c r="BS289" i="9"/>
  <c r="BT289" i="9"/>
  <c r="BU289" i="9"/>
  <c r="BW289" i="9"/>
  <c r="BX289" i="9"/>
  <c r="BY289" i="9"/>
  <c r="B290" i="10"/>
  <c r="C290" i="10"/>
  <c r="D290" i="10"/>
  <c r="E290" i="10"/>
  <c r="F290" i="10"/>
  <c r="G290" i="10"/>
  <c r="B291" i="6"/>
  <c r="C291" i="6"/>
  <c r="J291" i="6" s="1"/>
  <c r="D291" i="6"/>
  <c r="E291" i="6"/>
  <c r="F291" i="6"/>
  <c r="G291" i="6"/>
  <c r="H291" i="6"/>
  <c r="K291" i="6"/>
  <c r="L291" i="6"/>
  <c r="F124" i="9" l="1"/>
  <c r="CD53" i="9"/>
  <c r="H124" i="9"/>
  <c r="CD296" i="9"/>
  <c r="CK346" i="20"/>
  <c r="H346" i="20"/>
  <c r="CK345" i="20"/>
  <c r="H345" i="20"/>
  <c r="CK344" i="20"/>
  <c r="H344" i="20"/>
  <c r="F351" i="20"/>
  <c r="G351" i="20"/>
  <c r="H351" i="20"/>
  <c r="CK351" i="20"/>
  <c r="CH352" i="20"/>
  <c r="CK337" i="20"/>
  <c r="H337" i="20"/>
  <c r="F350" i="20"/>
  <c r="G350" i="20"/>
  <c r="H350" i="20"/>
  <c r="CK350" i="20"/>
  <c r="F349" i="20"/>
  <c r="G349" i="20"/>
  <c r="H349" i="20"/>
  <c r="CK349" i="20"/>
  <c r="G122" i="9"/>
  <c r="CD122" i="9"/>
  <c r="G94" i="9"/>
  <c r="CD94" i="9"/>
  <c r="H122" i="9"/>
  <c r="H94" i="9"/>
  <c r="F94" i="9"/>
  <c r="F122" i="9"/>
  <c r="AF330" i="20"/>
  <c r="Y200" i="9"/>
  <c r="AF333" i="20"/>
  <c r="Y232" i="9"/>
  <c r="AF331" i="20"/>
  <c r="Y121" i="9"/>
  <c r="AF329" i="20"/>
  <c r="Y34" i="9"/>
  <c r="AF332" i="20"/>
  <c r="Y56" i="9"/>
  <c r="AF334" i="20"/>
  <c r="BA121" i="9"/>
  <c r="BH329" i="20"/>
  <c r="BH34" i="9"/>
  <c r="BO332" i="20"/>
  <c r="BJ200" i="9"/>
  <c r="BR333" i="20"/>
  <c r="AT200" i="9"/>
  <c r="BA333" i="20"/>
  <c r="BJ56" i="9"/>
  <c r="BR334" i="20"/>
  <c r="BA214" i="9"/>
  <c r="BH335" i="20"/>
  <c r="BJ206" i="9"/>
  <c r="BR338" i="20"/>
  <c r="AM206" i="9"/>
  <c r="AT338" i="20"/>
  <c r="AT160" i="9"/>
  <c r="BA341" i="20"/>
  <c r="BH160" i="9"/>
  <c r="BO341" i="20"/>
  <c r="BH174" i="9"/>
  <c r="BO342" i="20"/>
  <c r="BT9" i="2"/>
  <c r="CF9" i="2" s="1"/>
  <c r="CA289" i="9"/>
  <c r="CJ328" i="20"/>
  <c r="AT121" i="9"/>
  <c r="BA329" i="20"/>
  <c r="AM121" i="9"/>
  <c r="AT329" i="20"/>
  <c r="BR330" i="20"/>
  <c r="BO330" i="20"/>
  <c r="BA330" i="20"/>
  <c r="BH232" i="9"/>
  <c r="BO331" i="20"/>
  <c r="B330" i="20"/>
  <c r="AM34" i="9"/>
  <c r="AT332" i="20"/>
  <c r="BA200" i="9"/>
  <c r="BH333" i="20"/>
  <c r="AT56" i="9"/>
  <c r="BA334" i="20"/>
  <c r="BJ117" i="9"/>
  <c r="BR336" i="20"/>
  <c r="BA117" i="9"/>
  <c r="BH336" i="20"/>
  <c r="AM337" i="20"/>
  <c r="AT337" i="20"/>
  <c r="P337" i="20"/>
  <c r="G337" i="20"/>
  <c r="F337" i="20"/>
  <c r="BA20" i="9"/>
  <c r="BH339" i="20"/>
  <c r="BH206" i="9"/>
  <c r="BO338" i="20"/>
  <c r="AM160" i="9"/>
  <c r="AT341" i="20"/>
  <c r="AM20" i="9"/>
  <c r="AT339" i="20"/>
  <c r="BA174" i="9"/>
  <c r="BH342" i="20"/>
  <c r="BP344" i="20"/>
  <c r="AF121" i="9"/>
  <c r="AM329" i="20"/>
  <c r="BH121" i="9"/>
  <c r="BO329" i="20"/>
  <c r="AT330" i="20"/>
  <c r="AT232" i="9"/>
  <c r="BA331" i="20"/>
  <c r="BJ34" i="9"/>
  <c r="BR332" i="20"/>
  <c r="BA34" i="9"/>
  <c r="BH332" i="20"/>
  <c r="AT34" i="9"/>
  <c r="BA332" i="20"/>
  <c r="AF200" i="9"/>
  <c r="AM333" i="20"/>
  <c r="AM200" i="9"/>
  <c r="AT333" i="20"/>
  <c r="AF56" i="9"/>
  <c r="AM334" i="20"/>
  <c r="AM56" i="9"/>
  <c r="AT334" i="20"/>
  <c r="BH56" i="9"/>
  <c r="BO334" i="20"/>
  <c r="AM335" i="20"/>
  <c r="AM214" i="9"/>
  <c r="AT335" i="20"/>
  <c r="BH214" i="9"/>
  <c r="BO335" i="20"/>
  <c r="BH117" i="9"/>
  <c r="BO336" i="20"/>
  <c r="BP337" i="20"/>
  <c r="AT117" i="9"/>
  <c r="BA336" i="20"/>
  <c r="BA206" i="9"/>
  <c r="BH338" i="20"/>
  <c r="AF136" i="9"/>
  <c r="AM340" i="20"/>
  <c r="BA160" i="9"/>
  <c r="BH341" i="20"/>
  <c r="AM136" i="9"/>
  <c r="AT340" i="20"/>
  <c r="AF174" i="9"/>
  <c r="AM342" i="20"/>
  <c r="AM174" i="9"/>
  <c r="AT342" i="20"/>
  <c r="F346" i="20"/>
  <c r="G346" i="20"/>
  <c r="P346" i="20"/>
  <c r="P345" i="20"/>
  <c r="F345" i="20"/>
  <c r="G345" i="20"/>
  <c r="F344" i="20"/>
  <c r="P344" i="20"/>
  <c r="G344" i="20"/>
  <c r="BJ121" i="9"/>
  <c r="BR329" i="20"/>
  <c r="AM330" i="20"/>
  <c r="BH330" i="20"/>
  <c r="AM232" i="9"/>
  <c r="AT331" i="20"/>
  <c r="BA232" i="9"/>
  <c r="BH331" i="20"/>
  <c r="BH200" i="9"/>
  <c r="BO333" i="20"/>
  <c r="AT214" i="9"/>
  <c r="BA335" i="20"/>
  <c r="BA56" i="9"/>
  <c r="BH334" i="20"/>
  <c r="AF117" i="9"/>
  <c r="AM336" i="20"/>
  <c r="AM117" i="9"/>
  <c r="AT336" i="20"/>
  <c r="BR337" i="20"/>
  <c r="BA337" i="20"/>
  <c r="BH337" i="20"/>
  <c r="AF206" i="9"/>
  <c r="AM338" i="20"/>
  <c r="AT206" i="9"/>
  <c r="BA338" i="20"/>
  <c r="BO337" i="20"/>
  <c r="BA136" i="9"/>
  <c r="BH340" i="20"/>
  <c r="BH20" i="9"/>
  <c r="BO339" i="20"/>
  <c r="AT20" i="9"/>
  <c r="BA339" i="20"/>
  <c r="BH136" i="9"/>
  <c r="BO340" i="20"/>
  <c r="AT136" i="9"/>
  <c r="BA340" i="20"/>
  <c r="AT174" i="9"/>
  <c r="BA342" i="20"/>
  <c r="CB298" i="9"/>
  <c r="BP343" i="20"/>
  <c r="CH347" i="20"/>
  <c r="H292" i="9"/>
  <c r="F292" i="9"/>
  <c r="G292" i="9"/>
  <c r="I232" i="6"/>
  <c r="O232" i="6" s="1"/>
  <c r="I214" i="6"/>
  <c r="O214" i="6" s="1"/>
  <c r="I206" i="6"/>
  <c r="O206" i="6" s="1"/>
  <c r="I174" i="6"/>
  <c r="O174" i="6" s="1"/>
  <c r="I200" i="6"/>
  <c r="O200" i="6" s="1"/>
  <c r="I160" i="6"/>
  <c r="O160" i="6" s="1"/>
  <c r="I136" i="6"/>
  <c r="O136" i="6" s="1"/>
  <c r="I121" i="6"/>
  <c r="O121" i="6" s="1"/>
  <c r="B329" i="20" s="1"/>
  <c r="I117" i="6"/>
  <c r="O117" i="6" s="1"/>
  <c r="B336" i="20" s="1"/>
  <c r="I55" i="6"/>
  <c r="O55" i="6" s="1"/>
  <c r="B334" i="20" s="1"/>
  <c r="I19" i="6"/>
  <c r="BW7" i="2"/>
  <c r="BX7" i="2" s="1"/>
  <c r="U7" i="1"/>
  <c r="BU9" i="2"/>
  <c r="CG9" i="2" s="1"/>
  <c r="BS9" i="2"/>
  <c r="CE9" i="2" s="1"/>
  <c r="BI298" i="9"/>
  <c r="BR9" i="2"/>
  <c r="CD9" i="2" s="1"/>
  <c r="BK298" i="9"/>
  <c r="BV9" i="2"/>
  <c r="CH9" i="2" s="1"/>
  <c r="BQ342" i="20"/>
  <c r="BQ336" i="20"/>
  <c r="BQ338" i="20"/>
  <c r="BQ339" i="20"/>
  <c r="BQ340" i="20"/>
  <c r="BQ335" i="20"/>
  <c r="BQ341" i="20"/>
  <c r="BQ334" i="20"/>
  <c r="BQ333" i="20"/>
  <c r="BQ330" i="20"/>
  <c r="BQ331" i="20"/>
  <c r="BQ329" i="20"/>
  <c r="BS342" i="20"/>
  <c r="AF160" i="9"/>
  <c r="BS341" i="20"/>
  <c r="BS340" i="20"/>
  <c r="AF20" i="9"/>
  <c r="BS339" i="20"/>
  <c r="BS338" i="20"/>
  <c r="BS336" i="20"/>
  <c r="AF214" i="9"/>
  <c r="BS335" i="20"/>
  <c r="BS333" i="20"/>
  <c r="BS334" i="20"/>
  <c r="BQ332" i="20"/>
  <c r="AF34" i="9"/>
  <c r="BS332" i="20"/>
  <c r="AF232" i="9"/>
  <c r="BS331" i="20"/>
  <c r="BS330" i="20"/>
  <c r="BS329" i="20"/>
  <c r="Q290" i="11"/>
  <c r="V289" i="9"/>
  <c r="S290" i="11"/>
  <c r="B133" i="11"/>
  <c r="H133" i="11" s="1"/>
  <c r="C133" i="11"/>
  <c r="D133" i="11"/>
  <c r="E133" i="11"/>
  <c r="F133" i="11"/>
  <c r="G133" i="11"/>
  <c r="P133" i="11"/>
  <c r="E134" i="9"/>
  <c r="I134" i="9"/>
  <c r="J134" i="9"/>
  <c r="K134" i="9"/>
  <c r="L134" i="9"/>
  <c r="M134" i="9"/>
  <c r="O134" i="9"/>
  <c r="P134" i="9"/>
  <c r="Q134" i="9"/>
  <c r="R134" i="9"/>
  <c r="S134" i="9"/>
  <c r="T134" i="9"/>
  <c r="U134" i="9"/>
  <c r="W134" i="9"/>
  <c r="X134" i="9"/>
  <c r="Z134" i="9"/>
  <c r="AA134" i="9"/>
  <c r="AB134" i="9"/>
  <c r="AC134" i="9"/>
  <c r="AD134" i="9"/>
  <c r="AE134" i="9"/>
  <c r="AG134" i="9"/>
  <c r="AH134" i="9"/>
  <c r="AI134" i="9"/>
  <c r="AJ134" i="9"/>
  <c r="AK134" i="9"/>
  <c r="AL134" i="9"/>
  <c r="AN134" i="9"/>
  <c r="AO134" i="9"/>
  <c r="AP134" i="9"/>
  <c r="AQ134" i="9"/>
  <c r="AR134" i="9"/>
  <c r="AS134" i="9"/>
  <c r="AU134" i="9"/>
  <c r="AV134" i="9"/>
  <c r="AW134" i="9"/>
  <c r="AX134" i="9"/>
  <c r="AY134" i="9"/>
  <c r="AZ134" i="9"/>
  <c r="BB134" i="9"/>
  <c r="BC134" i="9"/>
  <c r="BD134" i="9"/>
  <c r="BE134" i="9"/>
  <c r="BF134" i="9"/>
  <c r="BG134" i="9"/>
  <c r="BL134" i="9"/>
  <c r="BM134" i="9"/>
  <c r="BN134" i="9"/>
  <c r="BO134" i="9"/>
  <c r="BP134" i="9"/>
  <c r="BQ134" i="9"/>
  <c r="BR134" i="9"/>
  <c r="BS134" i="9"/>
  <c r="BT134" i="9"/>
  <c r="BU134" i="9"/>
  <c r="BW134" i="9"/>
  <c r="BX134" i="9"/>
  <c r="BY134" i="9"/>
  <c r="B134" i="10"/>
  <c r="C134" i="10"/>
  <c r="D134" i="10"/>
  <c r="E134" i="10"/>
  <c r="F134" i="10"/>
  <c r="G134" i="10"/>
  <c r="B134" i="6"/>
  <c r="C134" i="6"/>
  <c r="J134" i="6" s="1"/>
  <c r="D134" i="6"/>
  <c r="E134" i="6"/>
  <c r="F134" i="6"/>
  <c r="G134" i="6"/>
  <c r="H134" i="6"/>
  <c r="K134" i="6"/>
  <c r="L134" i="6"/>
  <c r="B96" i="11"/>
  <c r="H96" i="11" s="1"/>
  <c r="C96" i="11"/>
  <c r="D96" i="11"/>
  <c r="E96" i="11"/>
  <c r="F96" i="11"/>
  <c r="G96" i="11"/>
  <c r="P96" i="11"/>
  <c r="E98" i="9"/>
  <c r="I98" i="9"/>
  <c r="J98" i="9"/>
  <c r="K98" i="9"/>
  <c r="L98" i="9"/>
  <c r="M98" i="9"/>
  <c r="O98" i="9"/>
  <c r="P98" i="9"/>
  <c r="Q98" i="9"/>
  <c r="R98" i="9"/>
  <c r="S98" i="9"/>
  <c r="T98" i="9"/>
  <c r="U98" i="9"/>
  <c r="W98" i="9"/>
  <c r="X98" i="9"/>
  <c r="Z98" i="9"/>
  <c r="AA98" i="9"/>
  <c r="AB98" i="9"/>
  <c r="AC98" i="9"/>
  <c r="AD98" i="9"/>
  <c r="AE98" i="9"/>
  <c r="AG98" i="9"/>
  <c r="AH98" i="9"/>
  <c r="AI98" i="9"/>
  <c r="AJ98" i="9"/>
  <c r="AK98" i="9"/>
  <c r="AL98" i="9"/>
  <c r="AN98" i="9"/>
  <c r="AO98" i="9"/>
  <c r="AP98" i="9"/>
  <c r="AQ98" i="9"/>
  <c r="AR98" i="9"/>
  <c r="AS98" i="9"/>
  <c r="AU98" i="9"/>
  <c r="AV98" i="9"/>
  <c r="AW98" i="9"/>
  <c r="AX98" i="9"/>
  <c r="AY98" i="9"/>
  <c r="AZ98" i="9"/>
  <c r="BB98" i="9"/>
  <c r="BC98" i="9"/>
  <c r="BD98" i="9"/>
  <c r="BE98" i="9"/>
  <c r="BF98" i="9"/>
  <c r="BG98" i="9"/>
  <c r="BL98" i="9"/>
  <c r="BM98" i="9"/>
  <c r="BN98" i="9"/>
  <c r="BO98" i="9"/>
  <c r="BP98" i="9"/>
  <c r="BQ98" i="9"/>
  <c r="BR98" i="9"/>
  <c r="BS98" i="9"/>
  <c r="BT98" i="9"/>
  <c r="BU98" i="9"/>
  <c r="BW98" i="9"/>
  <c r="BX98" i="9"/>
  <c r="BY98" i="9"/>
  <c r="B97" i="10"/>
  <c r="C97" i="10"/>
  <c r="D97" i="10"/>
  <c r="E97" i="10"/>
  <c r="F97" i="10"/>
  <c r="G97" i="10"/>
  <c r="B97" i="6"/>
  <c r="C97" i="6"/>
  <c r="D97" i="6"/>
  <c r="E97" i="6"/>
  <c r="F97" i="6"/>
  <c r="G97" i="6"/>
  <c r="H97" i="6"/>
  <c r="K97" i="6"/>
  <c r="L97" i="6"/>
  <c r="B134" i="11"/>
  <c r="H134" i="11" s="1"/>
  <c r="C134" i="11"/>
  <c r="D134" i="11"/>
  <c r="E134" i="11"/>
  <c r="F134" i="11"/>
  <c r="G134" i="11"/>
  <c r="P134" i="11"/>
  <c r="E135" i="9"/>
  <c r="I135" i="9"/>
  <c r="J135" i="9"/>
  <c r="K135" i="9"/>
  <c r="L135" i="9"/>
  <c r="M135" i="9"/>
  <c r="O135" i="9"/>
  <c r="P135" i="9"/>
  <c r="Q135" i="9"/>
  <c r="R135" i="9"/>
  <c r="S135" i="9"/>
  <c r="T135" i="9"/>
  <c r="U135" i="9"/>
  <c r="W135" i="9"/>
  <c r="X135" i="9"/>
  <c r="Z135" i="9"/>
  <c r="AA135" i="9"/>
  <c r="AB135" i="9"/>
  <c r="AC135" i="9"/>
  <c r="AD135" i="9"/>
  <c r="AE135" i="9"/>
  <c r="AG135" i="9"/>
  <c r="AH135" i="9"/>
  <c r="AI135" i="9"/>
  <c r="AJ135" i="9"/>
  <c r="AK135" i="9"/>
  <c r="AL135" i="9"/>
  <c r="AN135" i="9"/>
  <c r="AO135" i="9"/>
  <c r="AP135" i="9"/>
  <c r="AQ135" i="9"/>
  <c r="AR135" i="9"/>
  <c r="AS135" i="9"/>
  <c r="AU135" i="9"/>
  <c r="AV135" i="9"/>
  <c r="AW135" i="9"/>
  <c r="AX135" i="9"/>
  <c r="AY135" i="9"/>
  <c r="AZ135" i="9"/>
  <c r="BB135" i="9"/>
  <c r="BC135" i="9"/>
  <c r="BD135" i="9"/>
  <c r="BE135" i="9"/>
  <c r="BF135" i="9"/>
  <c r="BG135" i="9"/>
  <c r="BL135" i="9"/>
  <c r="BM135" i="9"/>
  <c r="BN135" i="9"/>
  <c r="BO135" i="9"/>
  <c r="BP135" i="9"/>
  <c r="BQ135" i="9"/>
  <c r="BR135" i="9"/>
  <c r="BS135" i="9"/>
  <c r="BT135" i="9"/>
  <c r="BU135" i="9"/>
  <c r="BW135" i="9"/>
  <c r="BX135" i="9"/>
  <c r="BY135" i="9"/>
  <c r="B135" i="10"/>
  <c r="C135" i="10"/>
  <c r="D135" i="10"/>
  <c r="E135" i="10"/>
  <c r="F135" i="10"/>
  <c r="G135" i="10"/>
  <c r="B135" i="6"/>
  <c r="C135" i="6"/>
  <c r="D135" i="6"/>
  <c r="E135" i="6"/>
  <c r="F135" i="6"/>
  <c r="G135" i="6"/>
  <c r="H135" i="6"/>
  <c r="K135" i="6"/>
  <c r="L135" i="6"/>
  <c r="B166" i="11"/>
  <c r="C166" i="11"/>
  <c r="D166" i="11"/>
  <c r="E166" i="11"/>
  <c r="F166" i="11"/>
  <c r="G166" i="11"/>
  <c r="P166" i="11"/>
  <c r="E168" i="9"/>
  <c r="I168" i="9"/>
  <c r="J168" i="9"/>
  <c r="K168" i="9"/>
  <c r="L168" i="9"/>
  <c r="M168" i="9"/>
  <c r="O168" i="9"/>
  <c r="P168" i="9"/>
  <c r="Q168" i="9"/>
  <c r="R168" i="9"/>
  <c r="S168" i="9"/>
  <c r="T168" i="9"/>
  <c r="U168" i="9"/>
  <c r="W168" i="9"/>
  <c r="X168" i="9"/>
  <c r="Z168" i="9"/>
  <c r="AA168" i="9"/>
  <c r="AB168" i="9"/>
  <c r="AC168" i="9"/>
  <c r="AD168" i="9"/>
  <c r="AE168" i="9"/>
  <c r="AG168" i="9"/>
  <c r="AH168" i="9"/>
  <c r="AI168" i="9"/>
  <c r="AJ168" i="9"/>
  <c r="AK168" i="9"/>
  <c r="AL168" i="9"/>
  <c r="AN168" i="9"/>
  <c r="AO168" i="9"/>
  <c r="AP168" i="9"/>
  <c r="AQ168" i="9"/>
  <c r="AR168" i="9"/>
  <c r="AS168" i="9"/>
  <c r="AU168" i="9"/>
  <c r="AV168" i="9"/>
  <c r="AW168" i="9"/>
  <c r="AX168" i="9"/>
  <c r="AY168" i="9"/>
  <c r="AZ168" i="9"/>
  <c r="BB168" i="9"/>
  <c r="BC168" i="9"/>
  <c r="BD168" i="9"/>
  <c r="BE168" i="9"/>
  <c r="BF168" i="9"/>
  <c r="BG168" i="9"/>
  <c r="BL168" i="9"/>
  <c r="BM168" i="9"/>
  <c r="BN168" i="9"/>
  <c r="BO168" i="9"/>
  <c r="BP168" i="9"/>
  <c r="BQ168" i="9"/>
  <c r="BR168" i="9"/>
  <c r="BS168" i="9"/>
  <c r="BT168" i="9"/>
  <c r="BU168" i="9"/>
  <c r="BW168" i="9"/>
  <c r="BX168" i="9"/>
  <c r="BY168" i="9"/>
  <c r="B168" i="10"/>
  <c r="C168" i="10"/>
  <c r="D168" i="10"/>
  <c r="E168" i="10"/>
  <c r="F168" i="10"/>
  <c r="G168" i="10"/>
  <c r="B168" i="6"/>
  <c r="C168" i="6"/>
  <c r="J168" i="6" s="1"/>
  <c r="D168" i="6"/>
  <c r="E168" i="6"/>
  <c r="F168" i="6"/>
  <c r="G168" i="6"/>
  <c r="H168" i="6"/>
  <c r="K168" i="6"/>
  <c r="L168" i="6"/>
  <c r="B255" i="11"/>
  <c r="C255" i="11"/>
  <c r="D255" i="11"/>
  <c r="E255" i="11"/>
  <c r="F255" i="11"/>
  <c r="G255" i="11"/>
  <c r="P255" i="11"/>
  <c r="E254" i="9"/>
  <c r="I254" i="9"/>
  <c r="J254" i="9"/>
  <c r="K254" i="9"/>
  <c r="L254" i="9"/>
  <c r="M254" i="9"/>
  <c r="O254" i="9"/>
  <c r="P254" i="9"/>
  <c r="Q254" i="9"/>
  <c r="R254" i="9"/>
  <c r="S254" i="9"/>
  <c r="T254" i="9"/>
  <c r="U254" i="9"/>
  <c r="W254" i="9"/>
  <c r="X254" i="9"/>
  <c r="Z254" i="9"/>
  <c r="AA254" i="9"/>
  <c r="AB254" i="9"/>
  <c r="AC254" i="9"/>
  <c r="AD254" i="9"/>
  <c r="AE254" i="9"/>
  <c r="AG254" i="9"/>
  <c r="AH254" i="9"/>
  <c r="AI254" i="9"/>
  <c r="AJ254" i="9"/>
  <c r="AK254" i="9"/>
  <c r="AL254" i="9"/>
  <c r="AN254" i="9"/>
  <c r="AO254" i="9"/>
  <c r="AP254" i="9"/>
  <c r="AQ254" i="9"/>
  <c r="AR254" i="9"/>
  <c r="AS254" i="9"/>
  <c r="AU254" i="9"/>
  <c r="AV254" i="9"/>
  <c r="AW254" i="9"/>
  <c r="AX254" i="9"/>
  <c r="AY254" i="9"/>
  <c r="AZ254" i="9"/>
  <c r="BB254" i="9"/>
  <c r="BC254" i="9"/>
  <c r="BD254" i="9"/>
  <c r="BE254" i="9"/>
  <c r="BF254" i="9"/>
  <c r="BG254" i="9"/>
  <c r="BL254" i="9"/>
  <c r="BM254" i="9"/>
  <c r="BN254" i="9"/>
  <c r="BO254" i="9"/>
  <c r="BP254" i="9"/>
  <c r="BQ254" i="9"/>
  <c r="BR254" i="9"/>
  <c r="BS254" i="9"/>
  <c r="BT254" i="9"/>
  <c r="BU254" i="9"/>
  <c r="BW254" i="9"/>
  <c r="BX254" i="9"/>
  <c r="BY254" i="9"/>
  <c r="B254" i="10"/>
  <c r="C254" i="10"/>
  <c r="D254" i="10"/>
  <c r="E254" i="10"/>
  <c r="F254" i="10"/>
  <c r="G254" i="10"/>
  <c r="B254" i="6"/>
  <c r="C254" i="6"/>
  <c r="J254" i="6" s="1"/>
  <c r="D254" i="6"/>
  <c r="E254" i="6"/>
  <c r="F254" i="6"/>
  <c r="G254" i="6"/>
  <c r="H254" i="6"/>
  <c r="K254" i="6"/>
  <c r="L254" i="6"/>
  <c r="B278" i="11"/>
  <c r="C278" i="11"/>
  <c r="D278" i="11"/>
  <c r="E278" i="11"/>
  <c r="F278" i="11"/>
  <c r="G278" i="11"/>
  <c r="P278" i="11"/>
  <c r="E277" i="9"/>
  <c r="I277" i="9"/>
  <c r="J277" i="9"/>
  <c r="K277" i="9"/>
  <c r="L277" i="9"/>
  <c r="M277" i="9"/>
  <c r="O277" i="9"/>
  <c r="P277" i="9"/>
  <c r="Q277" i="9"/>
  <c r="R277" i="9"/>
  <c r="S277" i="9"/>
  <c r="T277" i="9"/>
  <c r="U277" i="9"/>
  <c r="W277" i="9"/>
  <c r="X277" i="9"/>
  <c r="Z277" i="9"/>
  <c r="AA277" i="9"/>
  <c r="AB277" i="9"/>
  <c r="AC277" i="9"/>
  <c r="AD277" i="9"/>
  <c r="AE277" i="9"/>
  <c r="AG277" i="9"/>
  <c r="AH277" i="9"/>
  <c r="AI277" i="9"/>
  <c r="AJ277" i="9"/>
  <c r="AK277" i="9"/>
  <c r="AL277" i="9"/>
  <c r="AN277" i="9"/>
  <c r="AO277" i="9"/>
  <c r="AP277" i="9"/>
  <c r="AQ277" i="9"/>
  <c r="AR277" i="9"/>
  <c r="AS277" i="9"/>
  <c r="AU277" i="9"/>
  <c r="AV277" i="9"/>
  <c r="AW277" i="9"/>
  <c r="AX277" i="9"/>
  <c r="AY277" i="9"/>
  <c r="AZ277" i="9"/>
  <c r="BB277" i="9"/>
  <c r="BC277" i="9"/>
  <c r="BD277" i="9"/>
  <c r="BE277" i="9"/>
  <c r="BF277" i="9"/>
  <c r="BG277" i="9"/>
  <c r="BL277" i="9"/>
  <c r="BM277" i="9"/>
  <c r="BN277" i="9"/>
  <c r="BO277" i="9"/>
  <c r="BP277" i="9"/>
  <c r="BQ277" i="9"/>
  <c r="BR277" i="9"/>
  <c r="BS277" i="9"/>
  <c r="BT277" i="9"/>
  <c r="BU277" i="9"/>
  <c r="BW277" i="9"/>
  <c r="BX277" i="9"/>
  <c r="BY277" i="9"/>
  <c r="B278" i="10"/>
  <c r="C278" i="10"/>
  <c r="D278" i="10"/>
  <c r="E278" i="10"/>
  <c r="F278" i="10"/>
  <c r="G278" i="10"/>
  <c r="B279" i="6"/>
  <c r="C279" i="6"/>
  <c r="J279" i="6" s="1"/>
  <c r="D279" i="6"/>
  <c r="E279" i="6"/>
  <c r="F279" i="6"/>
  <c r="G279" i="6"/>
  <c r="H279" i="6"/>
  <c r="K279" i="6"/>
  <c r="L279" i="6"/>
  <c r="B258" i="11"/>
  <c r="H258" i="11" s="1"/>
  <c r="C258" i="11"/>
  <c r="D258" i="11"/>
  <c r="E258" i="11"/>
  <c r="F258" i="11"/>
  <c r="G258" i="11"/>
  <c r="P258" i="11"/>
  <c r="E257" i="9"/>
  <c r="I257" i="9"/>
  <c r="J257" i="9"/>
  <c r="K257" i="9"/>
  <c r="L257" i="9"/>
  <c r="M257" i="9"/>
  <c r="O257" i="9"/>
  <c r="P257" i="9"/>
  <c r="Q257" i="9"/>
  <c r="R257" i="9"/>
  <c r="S257" i="9"/>
  <c r="T257" i="9"/>
  <c r="U257" i="9"/>
  <c r="W257" i="9"/>
  <c r="X257" i="9"/>
  <c r="Z257" i="9"/>
  <c r="AA257" i="9"/>
  <c r="AB257" i="9"/>
  <c r="AC257" i="9"/>
  <c r="AD257" i="9"/>
  <c r="AE257" i="9"/>
  <c r="AG257" i="9"/>
  <c r="AH257" i="9"/>
  <c r="AI257" i="9"/>
  <c r="AJ257" i="9"/>
  <c r="AK257" i="9"/>
  <c r="AL257" i="9"/>
  <c r="AN257" i="9"/>
  <c r="AO257" i="9"/>
  <c r="AP257" i="9"/>
  <c r="AQ257" i="9"/>
  <c r="AR257" i="9"/>
  <c r="AS257" i="9"/>
  <c r="AU257" i="9"/>
  <c r="AV257" i="9"/>
  <c r="AW257" i="9"/>
  <c r="AX257" i="9"/>
  <c r="AY257" i="9"/>
  <c r="AZ257" i="9"/>
  <c r="BB257" i="9"/>
  <c r="BC257" i="9"/>
  <c r="BD257" i="9"/>
  <c r="BE257" i="9"/>
  <c r="BF257" i="9"/>
  <c r="BG257" i="9"/>
  <c r="BL257" i="9"/>
  <c r="BM257" i="9"/>
  <c r="BN257" i="9"/>
  <c r="BO257" i="9"/>
  <c r="BP257" i="9"/>
  <c r="BQ257" i="9"/>
  <c r="BR257" i="9"/>
  <c r="BS257" i="9"/>
  <c r="BT257" i="9"/>
  <c r="BU257" i="9"/>
  <c r="BW257" i="9"/>
  <c r="BX257" i="9"/>
  <c r="BY257" i="9"/>
  <c r="B257" i="10"/>
  <c r="C257" i="10"/>
  <c r="D257" i="10"/>
  <c r="E257" i="10"/>
  <c r="F257" i="10"/>
  <c r="G257" i="10"/>
  <c r="B257" i="6"/>
  <c r="C257" i="6"/>
  <c r="J257" i="6" s="1"/>
  <c r="D257" i="6"/>
  <c r="E257" i="6"/>
  <c r="F257" i="6"/>
  <c r="G257" i="6"/>
  <c r="H257" i="6"/>
  <c r="K257" i="6"/>
  <c r="L257" i="6"/>
  <c r="B225" i="11"/>
  <c r="H225" i="11" s="1"/>
  <c r="C225" i="11"/>
  <c r="D225" i="11"/>
  <c r="E225" i="11"/>
  <c r="F225" i="11"/>
  <c r="G225" i="11"/>
  <c r="P225" i="11"/>
  <c r="E222" i="9"/>
  <c r="I222" i="9"/>
  <c r="J222" i="9"/>
  <c r="K222" i="9"/>
  <c r="L222" i="9"/>
  <c r="M222" i="9"/>
  <c r="O222" i="9"/>
  <c r="P222" i="9"/>
  <c r="Q222" i="9"/>
  <c r="R222" i="9"/>
  <c r="S222" i="9"/>
  <c r="T222" i="9"/>
  <c r="U222" i="9"/>
  <c r="W222" i="9"/>
  <c r="X222" i="9"/>
  <c r="Z222" i="9"/>
  <c r="AA222" i="9"/>
  <c r="AB222" i="9"/>
  <c r="AC222" i="9"/>
  <c r="AD222" i="9"/>
  <c r="AE222" i="9"/>
  <c r="AG222" i="9"/>
  <c r="AH222" i="9"/>
  <c r="AI222" i="9"/>
  <c r="AJ222" i="9"/>
  <c r="AK222" i="9"/>
  <c r="AL222" i="9"/>
  <c r="AN222" i="9"/>
  <c r="AO222" i="9"/>
  <c r="AP222" i="9"/>
  <c r="AQ222" i="9"/>
  <c r="AR222" i="9"/>
  <c r="AS222" i="9"/>
  <c r="AU222" i="9"/>
  <c r="AV222" i="9"/>
  <c r="AW222" i="9"/>
  <c r="AX222" i="9"/>
  <c r="AY222" i="9"/>
  <c r="AZ222" i="9"/>
  <c r="BB222" i="9"/>
  <c r="BC222" i="9"/>
  <c r="BD222" i="9"/>
  <c r="BE222" i="9"/>
  <c r="BF222" i="9"/>
  <c r="BG222" i="9"/>
  <c r="BL222" i="9"/>
  <c r="BM222" i="9"/>
  <c r="BN222" i="9"/>
  <c r="BO222" i="9"/>
  <c r="BP222" i="9"/>
  <c r="BQ222" i="9"/>
  <c r="BR222" i="9"/>
  <c r="BS222" i="9"/>
  <c r="BT222" i="9"/>
  <c r="BU222" i="9"/>
  <c r="BW222" i="9"/>
  <c r="BX222" i="9"/>
  <c r="BY222" i="9"/>
  <c r="B222" i="10"/>
  <c r="C222" i="10"/>
  <c r="D222" i="10"/>
  <c r="E222" i="10"/>
  <c r="F222" i="10"/>
  <c r="G222" i="10"/>
  <c r="B222" i="6"/>
  <c r="C222" i="6"/>
  <c r="J222" i="6" s="1"/>
  <c r="D222" i="6"/>
  <c r="E222" i="6"/>
  <c r="F222" i="6"/>
  <c r="G222" i="6"/>
  <c r="H222" i="6"/>
  <c r="K222" i="6"/>
  <c r="L222" i="6"/>
  <c r="B17" i="11"/>
  <c r="H17" i="11" s="1"/>
  <c r="C17" i="11"/>
  <c r="D17" i="11"/>
  <c r="E17" i="11"/>
  <c r="F17" i="11"/>
  <c r="G17" i="11"/>
  <c r="P17" i="11"/>
  <c r="E17" i="9"/>
  <c r="I17" i="9"/>
  <c r="J17" i="9"/>
  <c r="K17" i="9"/>
  <c r="L17" i="9"/>
  <c r="M17" i="9"/>
  <c r="O17" i="9"/>
  <c r="P17" i="9"/>
  <c r="Q17" i="9"/>
  <c r="R17" i="9"/>
  <c r="S17" i="9"/>
  <c r="T17" i="9"/>
  <c r="U17" i="9"/>
  <c r="W17" i="9"/>
  <c r="X17" i="9"/>
  <c r="Z17" i="9"/>
  <c r="AA17" i="9"/>
  <c r="AB17" i="9"/>
  <c r="AC17" i="9"/>
  <c r="AD17" i="9"/>
  <c r="AE17" i="9"/>
  <c r="AG17" i="9"/>
  <c r="AH17" i="9"/>
  <c r="AI17" i="9"/>
  <c r="AJ17" i="9"/>
  <c r="AK17" i="9"/>
  <c r="AL17" i="9"/>
  <c r="AN17" i="9"/>
  <c r="AO17" i="9"/>
  <c r="AP17" i="9"/>
  <c r="AQ17" i="9"/>
  <c r="AR17" i="9"/>
  <c r="AS17" i="9"/>
  <c r="AU17" i="9"/>
  <c r="AV17" i="9"/>
  <c r="AW17" i="9"/>
  <c r="AX17" i="9"/>
  <c r="AY17" i="9"/>
  <c r="AZ17" i="9"/>
  <c r="BB17" i="9"/>
  <c r="BC17" i="9"/>
  <c r="BD17" i="9"/>
  <c r="BE17" i="9"/>
  <c r="BF17" i="9"/>
  <c r="BG17" i="9"/>
  <c r="BL17" i="9"/>
  <c r="BM17" i="9"/>
  <c r="BN17" i="9"/>
  <c r="BO17" i="9"/>
  <c r="BP17" i="9"/>
  <c r="BQ17" i="9"/>
  <c r="BR17" i="9"/>
  <c r="BS17" i="9"/>
  <c r="BT17" i="9"/>
  <c r="BU17" i="9"/>
  <c r="BW17" i="9"/>
  <c r="BX17" i="9"/>
  <c r="BY17" i="9"/>
  <c r="B16" i="10"/>
  <c r="C16" i="10"/>
  <c r="D16" i="10"/>
  <c r="E16" i="10"/>
  <c r="F16" i="10"/>
  <c r="G16" i="10"/>
  <c r="B16" i="6"/>
  <c r="C16" i="6"/>
  <c r="D16" i="6"/>
  <c r="E16" i="6"/>
  <c r="F16" i="6"/>
  <c r="G16" i="6"/>
  <c r="H16" i="6"/>
  <c r="K16" i="6"/>
  <c r="L16" i="6"/>
  <c r="B24" i="11"/>
  <c r="C24" i="11"/>
  <c r="D24" i="11"/>
  <c r="E24" i="11"/>
  <c r="F24" i="11"/>
  <c r="G24" i="11"/>
  <c r="P24" i="11"/>
  <c r="E24" i="9"/>
  <c r="I24" i="9"/>
  <c r="J24" i="9"/>
  <c r="K24" i="9"/>
  <c r="L24" i="9"/>
  <c r="M24" i="9"/>
  <c r="O24" i="9"/>
  <c r="P24" i="9"/>
  <c r="Q24" i="9"/>
  <c r="R24" i="9"/>
  <c r="S24" i="9"/>
  <c r="T24" i="9"/>
  <c r="U24" i="9"/>
  <c r="W24" i="9"/>
  <c r="X24" i="9"/>
  <c r="Z24" i="9"/>
  <c r="AA24" i="9"/>
  <c r="AB24" i="9"/>
  <c r="AC24" i="9"/>
  <c r="AD24" i="9"/>
  <c r="AE24" i="9"/>
  <c r="AG24" i="9"/>
  <c r="AH24" i="9"/>
  <c r="AI24" i="9"/>
  <c r="AJ24" i="9"/>
  <c r="AK24" i="9"/>
  <c r="AL24" i="9"/>
  <c r="AN24" i="9"/>
  <c r="AO24" i="9"/>
  <c r="AP24" i="9"/>
  <c r="AQ24" i="9"/>
  <c r="AR24" i="9"/>
  <c r="AS24" i="9"/>
  <c r="AU24" i="9"/>
  <c r="AV24" i="9"/>
  <c r="AW24" i="9"/>
  <c r="AX24" i="9"/>
  <c r="AY24" i="9"/>
  <c r="AZ24" i="9"/>
  <c r="BB24" i="9"/>
  <c r="BC24" i="9"/>
  <c r="BD24" i="9"/>
  <c r="BE24" i="9"/>
  <c r="BF24" i="9"/>
  <c r="BG24" i="9"/>
  <c r="BL24" i="9"/>
  <c r="BM24" i="9"/>
  <c r="BN24" i="9"/>
  <c r="BO24" i="9"/>
  <c r="BP24" i="9"/>
  <c r="BQ24" i="9"/>
  <c r="BR24" i="9"/>
  <c r="BS24" i="9"/>
  <c r="BT24" i="9"/>
  <c r="BU24" i="9"/>
  <c r="BW24" i="9"/>
  <c r="BX24" i="9"/>
  <c r="BY24" i="9"/>
  <c r="B23" i="10"/>
  <c r="C23" i="10"/>
  <c r="D23" i="10"/>
  <c r="E23" i="10"/>
  <c r="F23" i="10"/>
  <c r="G23" i="10"/>
  <c r="B23" i="6"/>
  <c r="C23" i="6"/>
  <c r="J23" i="6" s="1"/>
  <c r="D23" i="6"/>
  <c r="E23" i="6"/>
  <c r="F23" i="6"/>
  <c r="G23" i="6"/>
  <c r="H23" i="6"/>
  <c r="K23" i="6"/>
  <c r="L23" i="6"/>
  <c r="CH349" i="20" l="1"/>
  <c r="CH350" i="20"/>
  <c r="CH351" i="20"/>
  <c r="CK336" i="20"/>
  <c r="H336" i="20"/>
  <c r="CK334" i="20"/>
  <c r="H334" i="20"/>
  <c r="CK329" i="20"/>
  <c r="H329" i="20"/>
  <c r="CK330" i="20"/>
  <c r="H330" i="20"/>
  <c r="Y289" i="9"/>
  <c r="AF328" i="20"/>
  <c r="CH346" i="20"/>
  <c r="CH337" i="20"/>
  <c r="CA17" i="9"/>
  <c r="CJ319" i="20"/>
  <c r="CA222" i="9"/>
  <c r="CJ320" i="20"/>
  <c r="CA168" i="9"/>
  <c r="CJ324" i="20"/>
  <c r="BH289" i="9"/>
  <c r="BO328" i="20"/>
  <c r="CB121" i="9"/>
  <c r="BP329" i="20"/>
  <c r="CB200" i="9"/>
  <c r="BP333" i="20"/>
  <c r="CB56" i="9"/>
  <c r="BP334" i="20"/>
  <c r="CB160" i="9"/>
  <c r="BP341" i="20"/>
  <c r="CB206" i="9"/>
  <c r="BP338" i="20"/>
  <c r="CB117" i="9"/>
  <c r="BP336" i="20"/>
  <c r="P334" i="20"/>
  <c r="F334" i="20"/>
  <c r="G334" i="20"/>
  <c r="P329" i="20"/>
  <c r="F329" i="20"/>
  <c r="G329" i="20"/>
  <c r="B200" i="9"/>
  <c r="B333" i="20"/>
  <c r="B338" i="20"/>
  <c r="B331" i="20"/>
  <c r="CH344" i="20"/>
  <c r="CH345" i="20"/>
  <c r="P330" i="20"/>
  <c r="G330" i="20"/>
  <c r="F330" i="20"/>
  <c r="BJ24" i="9"/>
  <c r="BR318" i="20"/>
  <c r="CA257" i="9"/>
  <c r="CJ321" i="20"/>
  <c r="BJ168" i="9"/>
  <c r="BR324" i="20"/>
  <c r="CA135" i="9"/>
  <c r="CJ325" i="20"/>
  <c r="BJ289" i="9"/>
  <c r="BR328" i="20"/>
  <c r="AF289" i="9"/>
  <c r="AM328" i="20"/>
  <c r="AM289" i="9"/>
  <c r="AT328" i="20"/>
  <c r="BS337" i="20"/>
  <c r="CB232" i="9"/>
  <c r="BP331" i="20"/>
  <c r="BI20" i="9"/>
  <c r="CB214" i="9"/>
  <c r="BP335" i="20"/>
  <c r="CA277" i="9"/>
  <c r="CJ322" i="20"/>
  <c r="CA98" i="9"/>
  <c r="CJ326" i="20"/>
  <c r="AT289" i="9"/>
  <c r="BA328" i="20"/>
  <c r="BI232" i="9"/>
  <c r="BP330" i="20"/>
  <c r="CB136" i="9"/>
  <c r="BP340" i="20"/>
  <c r="CB20" i="9"/>
  <c r="BP339" i="20"/>
  <c r="CB174" i="9"/>
  <c r="BP342" i="20"/>
  <c r="P336" i="20"/>
  <c r="F336" i="20"/>
  <c r="G336" i="20"/>
  <c r="B340" i="20"/>
  <c r="B160" i="9"/>
  <c r="B341" i="20"/>
  <c r="B174" i="9"/>
  <c r="B342" i="20"/>
  <c r="B214" i="9"/>
  <c r="B335" i="20"/>
  <c r="CA24" i="9"/>
  <c r="CJ318" i="20"/>
  <c r="CA254" i="9"/>
  <c r="CJ323" i="20"/>
  <c r="CA134" i="9"/>
  <c r="CJ327" i="20"/>
  <c r="BA289" i="9"/>
  <c r="BH328" i="20"/>
  <c r="CB34" i="9"/>
  <c r="BP332" i="20"/>
  <c r="BI214" i="9"/>
  <c r="B232" i="9"/>
  <c r="B206" i="9"/>
  <c r="B136" i="9"/>
  <c r="F136" i="9" s="1"/>
  <c r="B117" i="9"/>
  <c r="CD117" i="9" s="1"/>
  <c r="B121" i="9"/>
  <c r="CD121" i="9" s="1"/>
  <c r="B56" i="9"/>
  <c r="CD56" i="9" s="1"/>
  <c r="I291" i="6"/>
  <c r="O291" i="6" s="1"/>
  <c r="BW9" i="2"/>
  <c r="BX9" i="2" s="1"/>
  <c r="BL298" i="9"/>
  <c r="BI174" i="9"/>
  <c r="BK174" i="9"/>
  <c r="BK117" i="9"/>
  <c r="BI117" i="9"/>
  <c r="BK206" i="9"/>
  <c r="BI206" i="9"/>
  <c r="BI136" i="9"/>
  <c r="BK20" i="9"/>
  <c r="BK136" i="9"/>
  <c r="BI160" i="9"/>
  <c r="BK214" i="9"/>
  <c r="BK160" i="9"/>
  <c r="BK56" i="9"/>
  <c r="BI56" i="9"/>
  <c r="BK200" i="9"/>
  <c r="BI200" i="9"/>
  <c r="BK232" i="9"/>
  <c r="BK121" i="9"/>
  <c r="BI121" i="9"/>
  <c r="BQ328" i="20"/>
  <c r="BK34" i="9"/>
  <c r="BI34" i="9"/>
  <c r="BS328" i="20"/>
  <c r="Q133" i="11"/>
  <c r="V134" i="9"/>
  <c r="Q96" i="11"/>
  <c r="S133" i="11"/>
  <c r="S96" i="11"/>
  <c r="V98" i="9"/>
  <c r="J97" i="6"/>
  <c r="Q134" i="11"/>
  <c r="S134" i="11"/>
  <c r="S166" i="11"/>
  <c r="V135" i="9"/>
  <c r="J135" i="6"/>
  <c r="Q255" i="11"/>
  <c r="S255" i="11"/>
  <c r="Q258" i="11"/>
  <c r="Q166" i="11"/>
  <c r="V168" i="9"/>
  <c r="H166" i="11"/>
  <c r="S278" i="11"/>
  <c r="V254" i="9"/>
  <c r="H255" i="11"/>
  <c r="Q278" i="11"/>
  <c r="V277" i="9"/>
  <c r="H278" i="11"/>
  <c r="S258" i="11"/>
  <c r="V257" i="9"/>
  <c r="Q225" i="11"/>
  <c r="S24" i="11"/>
  <c r="V222" i="9"/>
  <c r="S225" i="11"/>
  <c r="Q17" i="11"/>
  <c r="S17" i="11"/>
  <c r="V17" i="9"/>
  <c r="J16" i="6"/>
  <c r="AM319" i="20"/>
  <c r="V24" i="9"/>
  <c r="Q24" i="11"/>
  <c r="H24" i="11"/>
  <c r="I23" i="6"/>
  <c r="B320" i="11"/>
  <c r="C320" i="11"/>
  <c r="D320" i="11"/>
  <c r="E320" i="11"/>
  <c r="F320" i="11"/>
  <c r="G320" i="11"/>
  <c r="P320" i="11"/>
  <c r="E319" i="9"/>
  <c r="I319" i="9"/>
  <c r="J319" i="9"/>
  <c r="K319" i="9"/>
  <c r="L319" i="9"/>
  <c r="M319" i="9"/>
  <c r="O319" i="9"/>
  <c r="P319" i="9"/>
  <c r="Q319" i="9"/>
  <c r="R319" i="9"/>
  <c r="S319" i="9"/>
  <c r="T319" i="9"/>
  <c r="U319" i="9"/>
  <c r="W319" i="9"/>
  <c r="X319" i="9"/>
  <c r="Z319" i="9"/>
  <c r="AA319" i="9"/>
  <c r="AB319" i="9"/>
  <c r="AC319" i="9"/>
  <c r="AD319" i="9"/>
  <c r="AE319" i="9"/>
  <c r="AG319" i="9"/>
  <c r="AH319" i="9"/>
  <c r="AI319" i="9"/>
  <c r="AJ319" i="9"/>
  <c r="AK319" i="9"/>
  <c r="AL319" i="9"/>
  <c r="AN319" i="9"/>
  <c r="AO319" i="9"/>
  <c r="AP319" i="9"/>
  <c r="AQ319" i="9"/>
  <c r="AR319" i="9"/>
  <c r="AS319" i="9"/>
  <c r="AU319" i="9"/>
  <c r="AV319" i="9"/>
  <c r="AW319" i="9"/>
  <c r="AX319" i="9"/>
  <c r="AY319" i="9"/>
  <c r="AZ319" i="9"/>
  <c r="BB319" i="9"/>
  <c r="BC319" i="9"/>
  <c r="BD319" i="9"/>
  <c r="BE319" i="9"/>
  <c r="BF319" i="9"/>
  <c r="BG319" i="9"/>
  <c r="BL319" i="9"/>
  <c r="BM319" i="9"/>
  <c r="BN319" i="9"/>
  <c r="BO319" i="9"/>
  <c r="BP319" i="9"/>
  <c r="BQ319" i="9"/>
  <c r="BR319" i="9"/>
  <c r="BS319" i="9"/>
  <c r="BT319" i="9"/>
  <c r="BU319" i="9"/>
  <c r="BW319" i="9"/>
  <c r="BX319" i="9"/>
  <c r="BY319" i="9"/>
  <c r="B320" i="10"/>
  <c r="C320" i="10"/>
  <c r="D320" i="10"/>
  <c r="E320" i="10"/>
  <c r="F320" i="10"/>
  <c r="G320" i="10"/>
  <c r="B321" i="6"/>
  <c r="C321" i="6"/>
  <c r="J321" i="6" s="1"/>
  <c r="D321" i="6"/>
  <c r="E321" i="6"/>
  <c r="F321" i="6"/>
  <c r="G321" i="6"/>
  <c r="H321" i="6"/>
  <c r="K321" i="6"/>
  <c r="L321" i="6"/>
  <c r="D30" i="2"/>
  <c r="AJ30" i="2" s="1"/>
  <c r="E30" i="2"/>
  <c r="F30" i="2"/>
  <c r="CZ30" i="2"/>
  <c r="CY30" i="2" s="1"/>
  <c r="X30" i="2" s="1"/>
  <c r="B31" i="1"/>
  <c r="R31" i="1"/>
  <c r="V31" i="1"/>
  <c r="Y31" i="1"/>
  <c r="AE31" i="1"/>
  <c r="CK335" i="20" l="1"/>
  <c r="H335" i="20"/>
  <c r="CK341" i="20"/>
  <c r="H341" i="20"/>
  <c r="CK331" i="20"/>
  <c r="H331" i="20"/>
  <c r="CK333" i="20"/>
  <c r="H333" i="20"/>
  <c r="CK342" i="20"/>
  <c r="H342" i="20"/>
  <c r="CK340" i="20"/>
  <c r="H340" i="20"/>
  <c r="CK338" i="20"/>
  <c r="H338" i="20"/>
  <c r="G232" i="9"/>
  <c r="CD232" i="9"/>
  <c r="G136" i="9"/>
  <c r="CD136" i="9"/>
  <c r="G214" i="9"/>
  <c r="CD214" i="9"/>
  <c r="F160" i="9"/>
  <c r="CD160" i="9"/>
  <c r="G206" i="9"/>
  <c r="CD206" i="9"/>
  <c r="F174" i="9"/>
  <c r="CD174" i="9"/>
  <c r="H200" i="9"/>
  <c r="CD200" i="9"/>
  <c r="F214" i="9"/>
  <c r="G160" i="9"/>
  <c r="H214" i="9"/>
  <c r="G200" i="9"/>
  <c r="G174" i="9"/>
  <c r="CH336" i="20"/>
  <c r="H174" i="9"/>
  <c r="F200" i="9"/>
  <c r="H160" i="9"/>
  <c r="Y17" i="9"/>
  <c r="AF319" i="20"/>
  <c r="Y257" i="9"/>
  <c r="AF321" i="20"/>
  <c r="Y222" i="9"/>
  <c r="AF320" i="20"/>
  <c r="Y24" i="9"/>
  <c r="AF318" i="20"/>
  <c r="Y98" i="9"/>
  <c r="AF326" i="20"/>
  <c r="Y134" i="9"/>
  <c r="AF327" i="20"/>
  <c r="Y168" i="9"/>
  <c r="AF324" i="20"/>
  <c r="Y277" i="9"/>
  <c r="AF322" i="20"/>
  <c r="Y254" i="9"/>
  <c r="AF323" i="20"/>
  <c r="Y135" i="9"/>
  <c r="AF325" i="20"/>
  <c r="CH329" i="20"/>
  <c r="CH330" i="20"/>
  <c r="CA319" i="9"/>
  <c r="CJ317" i="20"/>
  <c r="AM24" i="9"/>
  <c r="AT318" i="20"/>
  <c r="BJ17" i="9"/>
  <c r="BR319" i="20"/>
  <c r="BA17" i="9"/>
  <c r="BH319" i="20"/>
  <c r="AT222" i="9"/>
  <c r="BA320" i="20"/>
  <c r="BJ257" i="9"/>
  <c r="BR321" i="20"/>
  <c r="BA257" i="9"/>
  <c r="BH321" i="20"/>
  <c r="AM277" i="9"/>
  <c r="AT322" i="20"/>
  <c r="AF135" i="9"/>
  <c r="AM325" i="20"/>
  <c r="AM135" i="9"/>
  <c r="AT325" i="20"/>
  <c r="AT135" i="9"/>
  <c r="BA325" i="20"/>
  <c r="AF98" i="9"/>
  <c r="AM326" i="20"/>
  <c r="BH134" i="9"/>
  <c r="BO327" i="20"/>
  <c r="G331" i="20"/>
  <c r="P331" i="20"/>
  <c r="F331" i="20"/>
  <c r="F333" i="20"/>
  <c r="P333" i="20"/>
  <c r="G333" i="20"/>
  <c r="AF24" i="9"/>
  <c r="AM318" i="20"/>
  <c r="AT24" i="9"/>
  <c r="BA318" i="20"/>
  <c r="AM17" i="9"/>
  <c r="AT319" i="20"/>
  <c r="BJ222" i="9"/>
  <c r="BR320" i="20"/>
  <c r="BA222" i="9"/>
  <c r="BH320" i="20"/>
  <c r="AT257" i="9"/>
  <c r="BA321" i="20"/>
  <c r="AF277" i="9"/>
  <c r="AM322" i="20"/>
  <c r="AT277" i="9"/>
  <c r="BA322" i="20"/>
  <c r="BJ254" i="9"/>
  <c r="BR323" i="20"/>
  <c r="BA254" i="9"/>
  <c r="BH323" i="20"/>
  <c r="BA168" i="9"/>
  <c r="BH324" i="20"/>
  <c r="BJ135" i="9"/>
  <c r="BR325" i="20"/>
  <c r="BH135" i="9"/>
  <c r="BO325" i="20"/>
  <c r="BJ134" i="9"/>
  <c r="BR327" i="20"/>
  <c r="AT134" i="9"/>
  <c r="BA327" i="20"/>
  <c r="P335" i="20"/>
  <c r="F335" i="20"/>
  <c r="G335" i="20"/>
  <c r="P341" i="20"/>
  <c r="F341" i="20"/>
  <c r="G341" i="20"/>
  <c r="BA24" i="9"/>
  <c r="BH318" i="20"/>
  <c r="BH17" i="9"/>
  <c r="BO319" i="20"/>
  <c r="AM222" i="9"/>
  <c r="AT320" i="20"/>
  <c r="AT17" i="9"/>
  <c r="BA319" i="20"/>
  <c r="AF257" i="9"/>
  <c r="AM321" i="20"/>
  <c r="AM257" i="9"/>
  <c r="AT321" i="20"/>
  <c r="BH257" i="9"/>
  <c r="BO321" i="20"/>
  <c r="BH277" i="9"/>
  <c r="BO322" i="20"/>
  <c r="AM254" i="9"/>
  <c r="AT323" i="20"/>
  <c r="AM168" i="9"/>
  <c r="AT324" i="20"/>
  <c r="BH168" i="9"/>
  <c r="BO324" i="20"/>
  <c r="BA135" i="9"/>
  <c r="BH325" i="20"/>
  <c r="BJ98" i="9"/>
  <c r="BR326" i="20"/>
  <c r="AT98" i="9"/>
  <c r="BA326" i="20"/>
  <c r="BH98" i="9"/>
  <c r="BO326" i="20"/>
  <c r="BA134" i="9"/>
  <c r="BH327" i="20"/>
  <c r="CB289" i="9"/>
  <c r="BP328" i="20"/>
  <c r="B289" i="9"/>
  <c r="H289" i="9" s="1"/>
  <c r="B328" i="20"/>
  <c r="P338" i="20"/>
  <c r="F338" i="20"/>
  <c r="G338" i="20"/>
  <c r="AF319" i="9"/>
  <c r="AM317" i="20"/>
  <c r="BH24" i="9"/>
  <c r="BO318" i="20"/>
  <c r="AF222" i="9"/>
  <c r="AM320" i="20"/>
  <c r="BH222" i="9"/>
  <c r="BO320" i="20"/>
  <c r="BJ277" i="9"/>
  <c r="BR322" i="20"/>
  <c r="BA277" i="9"/>
  <c r="BH322" i="20"/>
  <c r="AF254" i="9"/>
  <c r="AM323" i="20"/>
  <c r="AT254" i="9"/>
  <c r="BA323" i="20"/>
  <c r="BH254" i="9"/>
  <c r="BO323" i="20"/>
  <c r="AF168" i="9"/>
  <c r="AM324" i="20"/>
  <c r="AT168" i="9"/>
  <c r="BA324" i="20"/>
  <c r="AM98" i="9"/>
  <c r="AT326" i="20"/>
  <c r="BA98" i="9"/>
  <c r="BH326" i="20"/>
  <c r="AF134" i="9"/>
  <c r="AM327" i="20"/>
  <c r="AM134" i="9"/>
  <c r="AT327" i="20"/>
  <c r="P342" i="20"/>
  <c r="F342" i="20"/>
  <c r="G342" i="20"/>
  <c r="P340" i="20"/>
  <c r="G340" i="20"/>
  <c r="F340" i="20"/>
  <c r="CH334" i="20"/>
  <c r="F232" i="9"/>
  <c r="H232" i="9"/>
  <c r="F206" i="9"/>
  <c r="H206" i="9"/>
  <c r="H136" i="9"/>
  <c r="H121" i="9"/>
  <c r="F121" i="9"/>
  <c r="G121" i="9"/>
  <c r="H117" i="9"/>
  <c r="F117" i="9"/>
  <c r="G117" i="9"/>
  <c r="G56" i="9"/>
  <c r="F56" i="9"/>
  <c r="H56" i="9"/>
  <c r="I279" i="6"/>
  <c r="O279" i="6" s="1"/>
  <c r="I257" i="6"/>
  <c r="O257" i="6" s="1"/>
  <c r="I254" i="6"/>
  <c r="O254" i="6" s="1"/>
  <c r="I222" i="6"/>
  <c r="O222" i="6" s="1"/>
  <c r="I168" i="6"/>
  <c r="O168" i="6" s="1"/>
  <c r="I134" i="6"/>
  <c r="O134" i="6" s="1"/>
  <c r="I135" i="6"/>
  <c r="O135" i="6" s="1"/>
  <c r="B325" i="20" s="1"/>
  <c r="I97" i="6"/>
  <c r="O97" i="6" s="1"/>
  <c r="B326" i="20" s="1"/>
  <c r="I16" i="6"/>
  <c r="O16" i="6" s="1"/>
  <c r="B319" i="20" s="1"/>
  <c r="BK289" i="9"/>
  <c r="BI289" i="9"/>
  <c r="BQ327" i="20"/>
  <c r="BQ326" i="20"/>
  <c r="BQ325" i="20"/>
  <c r="BQ324" i="20"/>
  <c r="BQ319" i="20"/>
  <c r="BQ318" i="20"/>
  <c r="BQ320" i="20"/>
  <c r="BQ321" i="20"/>
  <c r="BQ322" i="20"/>
  <c r="BQ323" i="20"/>
  <c r="BL56" i="9"/>
  <c r="BS327" i="20"/>
  <c r="BS326" i="20"/>
  <c r="BS325" i="20"/>
  <c r="BS324" i="20"/>
  <c r="BS323" i="20"/>
  <c r="BS322" i="20"/>
  <c r="BS321" i="20"/>
  <c r="BS320" i="20"/>
  <c r="AF17" i="9"/>
  <c r="BS319" i="20"/>
  <c r="BS318" i="20"/>
  <c r="Q320" i="11"/>
  <c r="S320" i="11"/>
  <c r="H320" i="11"/>
  <c r="V319" i="9"/>
  <c r="BM30" i="2"/>
  <c r="BY30" i="2" s="1"/>
  <c r="BP30" i="2"/>
  <c r="CB30" i="2" s="1"/>
  <c r="CA30" i="2"/>
  <c r="AC30" i="2"/>
  <c r="BL30" i="2"/>
  <c r="BN30" i="2"/>
  <c r="BZ30" i="2" s="1"/>
  <c r="BE30" i="2"/>
  <c r="AX30" i="2"/>
  <c r="AQ30" i="2"/>
  <c r="P30" i="2"/>
  <c r="B64" i="11"/>
  <c r="H64" i="11" s="1"/>
  <c r="C64" i="11"/>
  <c r="D64" i="11"/>
  <c r="E64" i="11"/>
  <c r="F64" i="11"/>
  <c r="G64" i="11"/>
  <c r="P64" i="11"/>
  <c r="E66" i="9"/>
  <c r="I66" i="9"/>
  <c r="J66" i="9"/>
  <c r="K66" i="9"/>
  <c r="L66" i="9"/>
  <c r="M66" i="9"/>
  <c r="O66" i="9"/>
  <c r="P66" i="9"/>
  <c r="Q66" i="9"/>
  <c r="R66" i="9"/>
  <c r="S66" i="9"/>
  <c r="T66" i="9"/>
  <c r="U66" i="9"/>
  <c r="W66" i="9"/>
  <c r="X66" i="9"/>
  <c r="Z66" i="9"/>
  <c r="AA66" i="9"/>
  <c r="AB66" i="9"/>
  <c r="AC66" i="9"/>
  <c r="AD66" i="9"/>
  <c r="AE66" i="9"/>
  <c r="AG66" i="9"/>
  <c r="AH66" i="9"/>
  <c r="AI66" i="9"/>
  <c r="AJ66" i="9"/>
  <c r="AK66" i="9"/>
  <c r="AL66" i="9"/>
  <c r="AN66" i="9"/>
  <c r="AO66" i="9"/>
  <c r="AP66" i="9"/>
  <c r="AQ66" i="9"/>
  <c r="AR66" i="9"/>
  <c r="AS66" i="9"/>
  <c r="AU66" i="9"/>
  <c r="AV66" i="9"/>
  <c r="AW66" i="9"/>
  <c r="AX66" i="9"/>
  <c r="AY66" i="9"/>
  <c r="AZ66" i="9"/>
  <c r="BB66" i="9"/>
  <c r="BC66" i="9"/>
  <c r="BD66" i="9"/>
  <c r="BE66" i="9"/>
  <c r="BF66" i="9"/>
  <c r="BG66" i="9"/>
  <c r="BL66" i="9"/>
  <c r="BM66" i="9"/>
  <c r="BN66" i="9"/>
  <c r="BO66" i="9"/>
  <c r="BP66" i="9"/>
  <c r="BQ66" i="9"/>
  <c r="BR66" i="9"/>
  <c r="BS66" i="9"/>
  <c r="BT66" i="9"/>
  <c r="BU66" i="9"/>
  <c r="BW66" i="9"/>
  <c r="BX66" i="9"/>
  <c r="BY66" i="9"/>
  <c r="B65" i="10"/>
  <c r="C65" i="10"/>
  <c r="D65" i="10"/>
  <c r="E65" i="10"/>
  <c r="F65" i="10"/>
  <c r="G65" i="10"/>
  <c r="B65" i="6"/>
  <c r="C65" i="6"/>
  <c r="J65" i="6" s="1"/>
  <c r="D65" i="6"/>
  <c r="E65" i="6"/>
  <c r="F65" i="6"/>
  <c r="G65" i="6"/>
  <c r="H65" i="6"/>
  <c r="K65" i="6"/>
  <c r="L65" i="6"/>
  <c r="B74" i="11"/>
  <c r="H74" i="11" s="1"/>
  <c r="C74" i="11"/>
  <c r="D74" i="11"/>
  <c r="E74" i="11"/>
  <c r="F74" i="11"/>
  <c r="G74" i="11"/>
  <c r="P74" i="11"/>
  <c r="E76" i="9"/>
  <c r="I76" i="9"/>
  <c r="J76" i="9"/>
  <c r="K76" i="9"/>
  <c r="L76" i="9"/>
  <c r="M76" i="9"/>
  <c r="O76" i="9"/>
  <c r="P76" i="9"/>
  <c r="Q76" i="9"/>
  <c r="R76" i="9"/>
  <c r="S76" i="9"/>
  <c r="T76" i="9"/>
  <c r="U76" i="9"/>
  <c r="W76" i="9"/>
  <c r="X76" i="9"/>
  <c r="Z76" i="9"/>
  <c r="AA76" i="9"/>
  <c r="AB76" i="9"/>
  <c r="AC76" i="9"/>
  <c r="AD76" i="9"/>
  <c r="AE76" i="9"/>
  <c r="AG76" i="9"/>
  <c r="AH76" i="9"/>
  <c r="AI76" i="9"/>
  <c r="AJ76" i="9"/>
  <c r="AK76" i="9"/>
  <c r="AL76" i="9"/>
  <c r="AN76" i="9"/>
  <c r="AO76" i="9"/>
  <c r="AP76" i="9"/>
  <c r="AQ76" i="9"/>
  <c r="AR76" i="9"/>
  <c r="AS76" i="9"/>
  <c r="AU76" i="9"/>
  <c r="AV76" i="9"/>
  <c r="AW76" i="9"/>
  <c r="AX76" i="9"/>
  <c r="AY76" i="9"/>
  <c r="AZ76" i="9"/>
  <c r="BB76" i="9"/>
  <c r="BC76" i="9"/>
  <c r="BD76" i="9"/>
  <c r="BE76" i="9"/>
  <c r="BF76" i="9"/>
  <c r="BG76" i="9"/>
  <c r="BL76" i="9"/>
  <c r="BM76" i="9"/>
  <c r="BN76" i="9"/>
  <c r="BO76" i="9"/>
  <c r="BP76" i="9"/>
  <c r="BQ76" i="9"/>
  <c r="BR76" i="9"/>
  <c r="BS76" i="9"/>
  <c r="BT76" i="9"/>
  <c r="BU76" i="9"/>
  <c r="BW76" i="9"/>
  <c r="BX76" i="9"/>
  <c r="BY76" i="9"/>
  <c r="B75" i="10"/>
  <c r="C75" i="10"/>
  <c r="D75" i="10"/>
  <c r="E75" i="10"/>
  <c r="F75" i="10"/>
  <c r="G75" i="10"/>
  <c r="B75" i="6"/>
  <c r="C75" i="6"/>
  <c r="D75" i="6"/>
  <c r="E75" i="6"/>
  <c r="F75" i="6"/>
  <c r="G75" i="6"/>
  <c r="H75" i="6"/>
  <c r="K75" i="6"/>
  <c r="L75" i="6"/>
  <c r="B247" i="11"/>
  <c r="H247" i="11" s="1"/>
  <c r="C247" i="11"/>
  <c r="D247" i="11"/>
  <c r="E247" i="11"/>
  <c r="F247" i="11"/>
  <c r="G247" i="11"/>
  <c r="P247" i="11"/>
  <c r="E246" i="9"/>
  <c r="I246" i="9"/>
  <c r="J246" i="9"/>
  <c r="K246" i="9"/>
  <c r="L246" i="9"/>
  <c r="M246" i="9"/>
  <c r="O246" i="9"/>
  <c r="P246" i="9"/>
  <c r="Q246" i="9"/>
  <c r="R246" i="9"/>
  <c r="S246" i="9"/>
  <c r="T246" i="9"/>
  <c r="U246" i="9"/>
  <c r="W246" i="9"/>
  <c r="X246" i="9"/>
  <c r="Z246" i="9"/>
  <c r="AA246" i="9"/>
  <c r="AB246" i="9"/>
  <c r="AC246" i="9"/>
  <c r="AD246" i="9"/>
  <c r="AE246" i="9"/>
  <c r="AG246" i="9"/>
  <c r="AH246" i="9"/>
  <c r="AI246" i="9"/>
  <c r="AJ246" i="9"/>
  <c r="AK246" i="9"/>
  <c r="AL246" i="9"/>
  <c r="AN246" i="9"/>
  <c r="AO246" i="9"/>
  <c r="AP246" i="9"/>
  <c r="AQ246" i="9"/>
  <c r="AR246" i="9"/>
  <c r="AS246" i="9"/>
  <c r="AU246" i="9"/>
  <c r="AV246" i="9"/>
  <c r="AW246" i="9"/>
  <c r="AX246" i="9"/>
  <c r="AY246" i="9"/>
  <c r="AZ246" i="9"/>
  <c r="BB246" i="9"/>
  <c r="BC246" i="9"/>
  <c r="BD246" i="9"/>
  <c r="BE246" i="9"/>
  <c r="BF246" i="9"/>
  <c r="BG246" i="9"/>
  <c r="BL246" i="9"/>
  <c r="BM246" i="9"/>
  <c r="BN246" i="9"/>
  <c r="BO246" i="9"/>
  <c r="BP246" i="9"/>
  <c r="BQ246" i="9"/>
  <c r="BR246" i="9"/>
  <c r="BS246" i="9"/>
  <c r="BT246" i="9"/>
  <c r="BU246" i="9"/>
  <c r="BW246" i="9"/>
  <c r="BX246" i="9"/>
  <c r="BY246" i="9"/>
  <c r="B246" i="10"/>
  <c r="C246" i="10"/>
  <c r="D246" i="10"/>
  <c r="E246" i="10"/>
  <c r="F246" i="10"/>
  <c r="G246" i="10"/>
  <c r="B246" i="6"/>
  <c r="C246" i="6"/>
  <c r="D246" i="6"/>
  <c r="E246" i="6"/>
  <c r="F246" i="6"/>
  <c r="G246" i="6"/>
  <c r="H246" i="6"/>
  <c r="K246" i="6"/>
  <c r="L246" i="6"/>
  <c r="B307" i="11"/>
  <c r="H307" i="11" s="1"/>
  <c r="C307" i="11"/>
  <c r="D307" i="11"/>
  <c r="E307" i="11"/>
  <c r="F307" i="11"/>
  <c r="G307" i="11"/>
  <c r="P307" i="11"/>
  <c r="E306" i="9"/>
  <c r="I306" i="9"/>
  <c r="J306" i="9"/>
  <c r="K306" i="9"/>
  <c r="L306" i="9"/>
  <c r="M306" i="9"/>
  <c r="O306" i="9"/>
  <c r="P306" i="9"/>
  <c r="Q306" i="9"/>
  <c r="R306" i="9"/>
  <c r="S306" i="9"/>
  <c r="T306" i="9"/>
  <c r="U306" i="9"/>
  <c r="W306" i="9"/>
  <c r="X306" i="9"/>
  <c r="Z306" i="9"/>
  <c r="AA306" i="9"/>
  <c r="AB306" i="9"/>
  <c r="AC306" i="9"/>
  <c r="AD306" i="9"/>
  <c r="AE306" i="9"/>
  <c r="AG306" i="9"/>
  <c r="AH306" i="9"/>
  <c r="AI306" i="9"/>
  <c r="AJ306" i="9"/>
  <c r="AK306" i="9"/>
  <c r="AL306" i="9"/>
  <c r="AN306" i="9"/>
  <c r="AO306" i="9"/>
  <c r="AP306" i="9"/>
  <c r="AQ306" i="9"/>
  <c r="AR306" i="9"/>
  <c r="AS306" i="9"/>
  <c r="AU306" i="9"/>
  <c r="AV306" i="9"/>
  <c r="AW306" i="9"/>
  <c r="AX306" i="9"/>
  <c r="AY306" i="9"/>
  <c r="AZ306" i="9"/>
  <c r="BB306" i="9"/>
  <c r="BC306" i="9"/>
  <c r="BD306" i="9"/>
  <c r="BE306" i="9"/>
  <c r="BF306" i="9"/>
  <c r="BG306" i="9"/>
  <c r="BL306" i="9"/>
  <c r="BM306" i="9"/>
  <c r="BN306" i="9"/>
  <c r="BO306" i="9"/>
  <c r="BP306" i="9"/>
  <c r="BQ306" i="9"/>
  <c r="BR306" i="9"/>
  <c r="BS306" i="9"/>
  <c r="BT306" i="9"/>
  <c r="BU306" i="9"/>
  <c r="BW306" i="9"/>
  <c r="BX306" i="9"/>
  <c r="BY306" i="9"/>
  <c r="B307" i="10"/>
  <c r="C307" i="10"/>
  <c r="D307" i="10"/>
  <c r="E307" i="10"/>
  <c r="F307" i="10"/>
  <c r="G307" i="10"/>
  <c r="B308" i="6"/>
  <c r="C308" i="6"/>
  <c r="J308" i="6" s="1"/>
  <c r="D308" i="6"/>
  <c r="E308" i="6"/>
  <c r="F308" i="6"/>
  <c r="G308" i="6"/>
  <c r="H308" i="6"/>
  <c r="K308" i="6"/>
  <c r="L308" i="6"/>
  <c r="D17" i="2"/>
  <c r="P17" i="2" s="1"/>
  <c r="E17" i="2"/>
  <c r="F17" i="2"/>
  <c r="CZ17" i="2"/>
  <c r="CY17" i="2" s="1"/>
  <c r="X17" i="2" s="1"/>
  <c r="B15" i="1"/>
  <c r="R15" i="1"/>
  <c r="V15" i="1"/>
  <c r="Y15" i="1"/>
  <c r="AE15" i="1"/>
  <c r="B186" i="11"/>
  <c r="H186" i="11" s="1"/>
  <c r="C186" i="11"/>
  <c r="D186" i="11"/>
  <c r="E186" i="11"/>
  <c r="F186" i="11"/>
  <c r="G186" i="11"/>
  <c r="P186" i="11"/>
  <c r="E187" i="9"/>
  <c r="I187" i="9"/>
  <c r="J187" i="9"/>
  <c r="K187" i="9"/>
  <c r="L187" i="9"/>
  <c r="M187" i="9"/>
  <c r="O187" i="9"/>
  <c r="P187" i="9"/>
  <c r="Q187" i="9"/>
  <c r="R187" i="9"/>
  <c r="S187" i="9"/>
  <c r="T187" i="9"/>
  <c r="U187" i="9"/>
  <c r="W187" i="9"/>
  <c r="X187" i="9"/>
  <c r="Z187" i="9"/>
  <c r="AA187" i="9"/>
  <c r="AB187" i="9"/>
  <c r="AC187" i="9"/>
  <c r="AD187" i="9"/>
  <c r="AE187" i="9"/>
  <c r="AG187" i="9"/>
  <c r="AH187" i="9"/>
  <c r="AI187" i="9"/>
  <c r="AJ187" i="9"/>
  <c r="AK187" i="9"/>
  <c r="AL187" i="9"/>
  <c r="AN187" i="9"/>
  <c r="AO187" i="9"/>
  <c r="AP187" i="9"/>
  <c r="AQ187" i="9"/>
  <c r="AR187" i="9"/>
  <c r="AS187" i="9"/>
  <c r="AU187" i="9"/>
  <c r="AV187" i="9"/>
  <c r="AW187" i="9"/>
  <c r="AX187" i="9"/>
  <c r="AY187" i="9"/>
  <c r="AZ187" i="9"/>
  <c r="BB187" i="9"/>
  <c r="BC187" i="9"/>
  <c r="BD187" i="9"/>
  <c r="BE187" i="9"/>
  <c r="BF187" i="9"/>
  <c r="BG187" i="9"/>
  <c r="BL187" i="9"/>
  <c r="BM187" i="9"/>
  <c r="BN187" i="9"/>
  <c r="BO187" i="9"/>
  <c r="BP187" i="9"/>
  <c r="BQ187" i="9"/>
  <c r="BR187" i="9"/>
  <c r="BS187" i="9"/>
  <c r="BT187" i="9"/>
  <c r="BU187" i="9"/>
  <c r="BW187" i="9"/>
  <c r="BX187" i="9"/>
  <c r="BY187" i="9"/>
  <c r="B187" i="10"/>
  <c r="C187" i="10"/>
  <c r="D187" i="10"/>
  <c r="E187" i="10"/>
  <c r="F187" i="10"/>
  <c r="G187" i="10"/>
  <c r="B187" i="6"/>
  <c r="C187" i="6"/>
  <c r="D187" i="6"/>
  <c r="E187" i="6"/>
  <c r="F187" i="6"/>
  <c r="G187" i="6"/>
  <c r="H187" i="6"/>
  <c r="K187" i="6"/>
  <c r="L187" i="6"/>
  <c r="B254" i="11"/>
  <c r="C254" i="11"/>
  <c r="D254" i="11"/>
  <c r="E254" i="11"/>
  <c r="F254" i="11"/>
  <c r="G254" i="11"/>
  <c r="P254" i="11"/>
  <c r="E253" i="9"/>
  <c r="I253" i="9"/>
  <c r="J253" i="9"/>
  <c r="K253" i="9"/>
  <c r="L253" i="9"/>
  <c r="M253" i="9"/>
  <c r="O253" i="9"/>
  <c r="P253" i="9"/>
  <c r="Q253" i="9"/>
  <c r="R253" i="9"/>
  <c r="S253" i="9"/>
  <c r="T253" i="9"/>
  <c r="U253" i="9"/>
  <c r="W253" i="9"/>
  <c r="X253" i="9"/>
  <c r="Z253" i="9"/>
  <c r="AA253" i="9"/>
  <c r="AB253" i="9"/>
  <c r="AC253" i="9"/>
  <c r="AD253" i="9"/>
  <c r="AE253" i="9"/>
  <c r="AG253" i="9"/>
  <c r="AH253" i="9"/>
  <c r="AI253" i="9"/>
  <c r="AJ253" i="9"/>
  <c r="AK253" i="9"/>
  <c r="AL253" i="9"/>
  <c r="AN253" i="9"/>
  <c r="AO253" i="9"/>
  <c r="AP253" i="9"/>
  <c r="AQ253" i="9"/>
  <c r="AR253" i="9"/>
  <c r="AS253" i="9"/>
  <c r="AU253" i="9"/>
  <c r="AV253" i="9"/>
  <c r="AW253" i="9"/>
  <c r="AX253" i="9"/>
  <c r="AY253" i="9"/>
  <c r="AZ253" i="9"/>
  <c r="BB253" i="9"/>
  <c r="BC253" i="9"/>
  <c r="BD253" i="9"/>
  <c r="BE253" i="9"/>
  <c r="BF253" i="9"/>
  <c r="BG253" i="9"/>
  <c r="BL253" i="9"/>
  <c r="BM253" i="9"/>
  <c r="BN253" i="9"/>
  <c r="BO253" i="9"/>
  <c r="BP253" i="9"/>
  <c r="BQ253" i="9"/>
  <c r="BR253" i="9"/>
  <c r="BS253" i="9"/>
  <c r="BT253" i="9"/>
  <c r="BU253" i="9"/>
  <c r="BW253" i="9"/>
  <c r="BX253" i="9"/>
  <c r="BY253" i="9"/>
  <c r="B253" i="10"/>
  <c r="C253" i="10"/>
  <c r="D253" i="10"/>
  <c r="E253" i="10"/>
  <c r="F253" i="10"/>
  <c r="G253" i="10"/>
  <c r="B253" i="6"/>
  <c r="C253" i="6"/>
  <c r="J253" i="6" s="1"/>
  <c r="D253" i="6"/>
  <c r="E253" i="6"/>
  <c r="F253" i="6"/>
  <c r="G253" i="6"/>
  <c r="H253" i="6"/>
  <c r="K253" i="6"/>
  <c r="L253" i="6"/>
  <c r="B198" i="11"/>
  <c r="H198" i="11" s="1"/>
  <c r="C198" i="11"/>
  <c r="D198" i="11"/>
  <c r="E198" i="11"/>
  <c r="F198" i="11"/>
  <c r="G198" i="11"/>
  <c r="P198" i="11"/>
  <c r="E199" i="9"/>
  <c r="I199" i="9"/>
  <c r="J199" i="9"/>
  <c r="K199" i="9"/>
  <c r="L199" i="9"/>
  <c r="M199" i="9"/>
  <c r="O199" i="9"/>
  <c r="P199" i="9"/>
  <c r="Q199" i="9"/>
  <c r="R199" i="9"/>
  <c r="S199" i="9"/>
  <c r="T199" i="9"/>
  <c r="U199" i="9"/>
  <c r="W199" i="9"/>
  <c r="X199" i="9"/>
  <c r="Z199" i="9"/>
  <c r="AA199" i="9"/>
  <c r="AB199" i="9"/>
  <c r="AC199" i="9"/>
  <c r="AD199" i="9"/>
  <c r="AE199" i="9"/>
  <c r="AG199" i="9"/>
  <c r="AH199" i="9"/>
  <c r="AI199" i="9"/>
  <c r="AJ199" i="9"/>
  <c r="AK199" i="9"/>
  <c r="AL199" i="9"/>
  <c r="AN199" i="9"/>
  <c r="AO199" i="9"/>
  <c r="AP199" i="9"/>
  <c r="AQ199" i="9"/>
  <c r="AR199" i="9"/>
  <c r="AS199" i="9"/>
  <c r="AU199" i="9"/>
  <c r="AV199" i="9"/>
  <c r="AW199" i="9"/>
  <c r="AX199" i="9"/>
  <c r="AY199" i="9"/>
  <c r="AZ199" i="9"/>
  <c r="BB199" i="9"/>
  <c r="BC199" i="9"/>
  <c r="BD199" i="9"/>
  <c r="BE199" i="9"/>
  <c r="BF199" i="9"/>
  <c r="BG199" i="9"/>
  <c r="BL199" i="9"/>
  <c r="BM199" i="9"/>
  <c r="BN199" i="9"/>
  <c r="BO199" i="9"/>
  <c r="BP199" i="9"/>
  <c r="BQ199" i="9"/>
  <c r="BR199" i="9"/>
  <c r="BS199" i="9"/>
  <c r="BT199" i="9"/>
  <c r="BU199" i="9"/>
  <c r="BW199" i="9"/>
  <c r="BX199" i="9"/>
  <c r="BY199" i="9"/>
  <c r="B199" i="10"/>
  <c r="C199" i="10"/>
  <c r="D199" i="10"/>
  <c r="E199" i="10"/>
  <c r="F199" i="10"/>
  <c r="G199" i="10"/>
  <c r="B199" i="6"/>
  <c r="C199" i="6"/>
  <c r="J199" i="6" s="1"/>
  <c r="D199" i="6"/>
  <c r="E199" i="6"/>
  <c r="F199" i="6"/>
  <c r="G199" i="6"/>
  <c r="H199" i="6"/>
  <c r="K199" i="6"/>
  <c r="L199" i="6"/>
  <c r="B108" i="11"/>
  <c r="C108" i="11"/>
  <c r="D108" i="11"/>
  <c r="E108" i="11"/>
  <c r="F108" i="11"/>
  <c r="G108" i="11"/>
  <c r="P108" i="11"/>
  <c r="E109" i="9"/>
  <c r="I109" i="9"/>
  <c r="J109" i="9"/>
  <c r="K109" i="9"/>
  <c r="L109" i="9"/>
  <c r="M109" i="9"/>
  <c r="O109" i="9"/>
  <c r="P109" i="9"/>
  <c r="Q109" i="9"/>
  <c r="R109" i="9"/>
  <c r="S109" i="9"/>
  <c r="T109" i="9"/>
  <c r="U109" i="9"/>
  <c r="W109" i="9"/>
  <c r="X109" i="9"/>
  <c r="Z109" i="9"/>
  <c r="AA109" i="9"/>
  <c r="AB109" i="9"/>
  <c r="AC109" i="9"/>
  <c r="AD109" i="9"/>
  <c r="AE109" i="9"/>
  <c r="AG109" i="9"/>
  <c r="AH109" i="9"/>
  <c r="AI109" i="9"/>
  <c r="AJ109" i="9"/>
  <c r="AK109" i="9"/>
  <c r="AL109" i="9"/>
  <c r="AN109" i="9"/>
  <c r="AO109" i="9"/>
  <c r="AP109" i="9"/>
  <c r="AQ109" i="9"/>
  <c r="AR109" i="9"/>
  <c r="AS109" i="9"/>
  <c r="AU109" i="9"/>
  <c r="AV109" i="9"/>
  <c r="AW109" i="9"/>
  <c r="AX109" i="9"/>
  <c r="AY109" i="9"/>
  <c r="AZ109" i="9"/>
  <c r="BB109" i="9"/>
  <c r="BC109" i="9"/>
  <c r="BD109" i="9"/>
  <c r="BE109" i="9"/>
  <c r="BF109" i="9"/>
  <c r="BG109" i="9"/>
  <c r="BL109" i="9"/>
  <c r="BM109" i="9"/>
  <c r="BN109" i="9"/>
  <c r="BO109" i="9"/>
  <c r="BP109" i="9"/>
  <c r="BQ109" i="9"/>
  <c r="BR109" i="9"/>
  <c r="BS109" i="9"/>
  <c r="BT109" i="9"/>
  <c r="BU109" i="9"/>
  <c r="BW109" i="9"/>
  <c r="BX109" i="9"/>
  <c r="BY109" i="9"/>
  <c r="B109" i="10"/>
  <c r="C109" i="10"/>
  <c r="D109" i="10"/>
  <c r="E109" i="10"/>
  <c r="F109" i="10"/>
  <c r="G109" i="10"/>
  <c r="B109" i="6"/>
  <c r="C109" i="6"/>
  <c r="D109" i="6"/>
  <c r="E109" i="6"/>
  <c r="F109" i="6"/>
  <c r="G109" i="6"/>
  <c r="H109" i="6"/>
  <c r="K109" i="6"/>
  <c r="L109" i="6"/>
  <c r="B119" i="11"/>
  <c r="H119" i="11" s="1"/>
  <c r="C119" i="11"/>
  <c r="D119" i="11"/>
  <c r="E119" i="11"/>
  <c r="F119" i="11"/>
  <c r="G119" i="11"/>
  <c r="P119" i="11"/>
  <c r="E120" i="9"/>
  <c r="I120" i="9"/>
  <c r="J120" i="9"/>
  <c r="K120" i="9"/>
  <c r="L120" i="9"/>
  <c r="M120" i="9"/>
  <c r="O120" i="9"/>
  <c r="P120" i="9"/>
  <c r="Q120" i="9"/>
  <c r="R120" i="9"/>
  <c r="S120" i="9"/>
  <c r="T120" i="9"/>
  <c r="U120" i="9"/>
  <c r="W120" i="9"/>
  <c r="X120" i="9"/>
  <c r="Z120" i="9"/>
  <c r="AA120" i="9"/>
  <c r="AB120" i="9"/>
  <c r="AC120" i="9"/>
  <c r="AD120" i="9"/>
  <c r="AE120" i="9"/>
  <c r="AG120" i="9"/>
  <c r="AH120" i="9"/>
  <c r="AI120" i="9"/>
  <c r="AJ120" i="9"/>
  <c r="AK120" i="9"/>
  <c r="AL120" i="9"/>
  <c r="AN120" i="9"/>
  <c r="AO120" i="9"/>
  <c r="AP120" i="9"/>
  <c r="AQ120" i="9"/>
  <c r="AR120" i="9"/>
  <c r="AS120" i="9"/>
  <c r="AU120" i="9"/>
  <c r="AV120" i="9"/>
  <c r="AW120" i="9"/>
  <c r="AX120" i="9"/>
  <c r="AY120" i="9"/>
  <c r="AZ120" i="9"/>
  <c r="BB120" i="9"/>
  <c r="BC120" i="9"/>
  <c r="BD120" i="9"/>
  <c r="BE120" i="9"/>
  <c r="BF120" i="9"/>
  <c r="BG120" i="9"/>
  <c r="BL120" i="9"/>
  <c r="BM120" i="9"/>
  <c r="BN120" i="9"/>
  <c r="BO120" i="9"/>
  <c r="BP120" i="9"/>
  <c r="BQ120" i="9"/>
  <c r="BR120" i="9"/>
  <c r="BS120" i="9"/>
  <c r="BT120" i="9"/>
  <c r="BU120" i="9"/>
  <c r="BW120" i="9"/>
  <c r="BX120" i="9"/>
  <c r="BY120" i="9"/>
  <c r="B120" i="10"/>
  <c r="C120" i="10"/>
  <c r="D120" i="10"/>
  <c r="E120" i="10"/>
  <c r="F120" i="10"/>
  <c r="G120" i="10"/>
  <c r="B120" i="6"/>
  <c r="C120" i="6"/>
  <c r="J120" i="6" s="1"/>
  <c r="D120" i="6"/>
  <c r="E120" i="6"/>
  <c r="F120" i="6"/>
  <c r="G120" i="6"/>
  <c r="H120" i="6"/>
  <c r="K120" i="6"/>
  <c r="L120" i="6"/>
  <c r="B139" i="11"/>
  <c r="C139" i="11"/>
  <c r="D139" i="11"/>
  <c r="E139" i="11"/>
  <c r="F139" i="11"/>
  <c r="G139" i="11"/>
  <c r="P139" i="11"/>
  <c r="E140" i="9"/>
  <c r="I140" i="9"/>
  <c r="J140" i="9"/>
  <c r="K140" i="9"/>
  <c r="L140" i="9"/>
  <c r="M140" i="9"/>
  <c r="O140" i="9"/>
  <c r="P140" i="9"/>
  <c r="Q140" i="9"/>
  <c r="R140" i="9"/>
  <c r="S140" i="9"/>
  <c r="T140" i="9"/>
  <c r="U140" i="9"/>
  <c r="W140" i="9"/>
  <c r="X140" i="9"/>
  <c r="Z140" i="9"/>
  <c r="AA140" i="9"/>
  <c r="AB140" i="9"/>
  <c r="AC140" i="9"/>
  <c r="AD140" i="9"/>
  <c r="AE140" i="9"/>
  <c r="AG140" i="9"/>
  <c r="AH140" i="9"/>
  <c r="AI140" i="9"/>
  <c r="AJ140" i="9"/>
  <c r="AK140" i="9"/>
  <c r="AL140" i="9"/>
  <c r="AN140" i="9"/>
  <c r="AO140" i="9"/>
  <c r="AP140" i="9"/>
  <c r="AQ140" i="9"/>
  <c r="AR140" i="9"/>
  <c r="AS140" i="9"/>
  <c r="AU140" i="9"/>
  <c r="AV140" i="9"/>
  <c r="AW140" i="9"/>
  <c r="AX140" i="9"/>
  <c r="AY140" i="9"/>
  <c r="AZ140" i="9"/>
  <c r="BB140" i="9"/>
  <c r="BC140" i="9"/>
  <c r="BD140" i="9"/>
  <c r="BE140" i="9"/>
  <c r="BF140" i="9"/>
  <c r="BG140" i="9"/>
  <c r="BL140" i="9"/>
  <c r="BM140" i="9"/>
  <c r="BN140" i="9"/>
  <c r="BO140" i="9"/>
  <c r="BP140" i="9"/>
  <c r="BQ140" i="9"/>
  <c r="BR140" i="9"/>
  <c r="BS140" i="9"/>
  <c r="BT140" i="9"/>
  <c r="BU140" i="9"/>
  <c r="BW140" i="9"/>
  <c r="BX140" i="9"/>
  <c r="BY140" i="9"/>
  <c r="B140" i="10"/>
  <c r="C140" i="10"/>
  <c r="D140" i="10"/>
  <c r="E140" i="10"/>
  <c r="F140" i="10"/>
  <c r="G140" i="10"/>
  <c r="B140" i="6"/>
  <c r="C140" i="6"/>
  <c r="J140" i="6" s="1"/>
  <c r="D140" i="6"/>
  <c r="E140" i="6"/>
  <c r="F140" i="6"/>
  <c r="G140" i="6"/>
  <c r="H140" i="6"/>
  <c r="K140" i="6"/>
  <c r="L140" i="6"/>
  <c r="B78" i="11"/>
  <c r="H78" i="11" s="1"/>
  <c r="C78" i="11"/>
  <c r="D78" i="11"/>
  <c r="E78" i="11"/>
  <c r="F78" i="11"/>
  <c r="G78" i="11"/>
  <c r="P78" i="11"/>
  <c r="E80" i="9"/>
  <c r="I80" i="9"/>
  <c r="J80" i="9"/>
  <c r="K80" i="9"/>
  <c r="L80" i="9"/>
  <c r="M80" i="9"/>
  <c r="O80" i="9"/>
  <c r="P80" i="9"/>
  <c r="Q80" i="9"/>
  <c r="R80" i="9"/>
  <c r="S80" i="9"/>
  <c r="T80" i="9"/>
  <c r="U80" i="9"/>
  <c r="W80" i="9"/>
  <c r="X80" i="9"/>
  <c r="Z80" i="9"/>
  <c r="AA80" i="9"/>
  <c r="AB80" i="9"/>
  <c r="AC80" i="9"/>
  <c r="AD80" i="9"/>
  <c r="AE80" i="9"/>
  <c r="AG80" i="9"/>
  <c r="AH80" i="9"/>
  <c r="AI80" i="9"/>
  <c r="AJ80" i="9"/>
  <c r="AK80" i="9"/>
  <c r="AL80" i="9"/>
  <c r="AN80" i="9"/>
  <c r="AO80" i="9"/>
  <c r="AP80" i="9"/>
  <c r="AQ80" i="9"/>
  <c r="AR80" i="9"/>
  <c r="AS80" i="9"/>
  <c r="AU80" i="9"/>
  <c r="AV80" i="9"/>
  <c r="AW80" i="9"/>
  <c r="AX80" i="9"/>
  <c r="AY80" i="9"/>
  <c r="AZ80" i="9"/>
  <c r="BB80" i="9"/>
  <c r="BC80" i="9"/>
  <c r="BD80" i="9"/>
  <c r="BE80" i="9"/>
  <c r="BF80" i="9"/>
  <c r="BG80" i="9"/>
  <c r="BL80" i="9"/>
  <c r="BM80" i="9"/>
  <c r="BN80" i="9"/>
  <c r="BO80" i="9"/>
  <c r="BP80" i="9"/>
  <c r="BQ80" i="9"/>
  <c r="BR80" i="9"/>
  <c r="BS80" i="9"/>
  <c r="BT80" i="9"/>
  <c r="BU80" i="9"/>
  <c r="BW80" i="9"/>
  <c r="BX80" i="9"/>
  <c r="BY80" i="9"/>
  <c r="B79" i="10"/>
  <c r="C79" i="10"/>
  <c r="D79" i="10"/>
  <c r="E79" i="10"/>
  <c r="F79" i="10"/>
  <c r="G79" i="10"/>
  <c r="B79" i="6"/>
  <c r="C79" i="6"/>
  <c r="J79" i="6" s="1"/>
  <c r="D79" i="6"/>
  <c r="E79" i="6"/>
  <c r="F79" i="6"/>
  <c r="G79" i="6"/>
  <c r="H79" i="6"/>
  <c r="K79" i="6"/>
  <c r="L79" i="6"/>
  <c r="B55" i="11"/>
  <c r="C55" i="11"/>
  <c r="D55" i="11"/>
  <c r="E55" i="11"/>
  <c r="F55" i="11"/>
  <c r="G55" i="11"/>
  <c r="P55" i="11"/>
  <c r="E57" i="9"/>
  <c r="I57" i="9"/>
  <c r="J57" i="9"/>
  <c r="K57" i="9"/>
  <c r="L57" i="9"/>
  <c r="M57" i="9"/>
  <c r="O57" i="9"/>
  <c r="P57" i="9"/>
  <c r="Q57" i="9"/>
  <c r="R57" i="9"/>
  <c r="S57" i="9"/>
  <c r="T57" i="9"/>
  <c r="U57" i="9"/>
  <c r="W57" i="9"/>
  <c r="X57" i="9"/>
  <c r="Z57" i="9"/>
  <c r="AA57" i="9"/>
  <c r="AB57" i="9"/>
  <c r="AC57" i="9"/>
  <c r="AD57" i="9"/>
  <c r="AE57" i="9"/>
  <c r="AG57" i="9"/>
  <c r="AH57" i="9"/>
  <c r="AI57" i="9"/>
  <c r="AJ57" i="9"/>
  <c r="AK57" i="9"/>
  <c r="AL57" i="9"/>
  <c r="AN57" i="9"/>
  <c r="AO57" i="9"/>
  <c r="AP57" i="9"/>
  <c r="AQ57" i="9"/>
  <c r="AR57" i="9"/>
  <c r="AS57" i="9"/>
  <c r="AU57" i="9"/>
  <c r="AV57" i="9"/>
  <c r="AW57" i="9"/>
  <c r="AX57" i="9"/>
  <c r="AY57" i="9"/>
  <c r="AZ57" i="9"/>
  <c r="BB57" i="9"/>
  <c r="BC57" i="9"/>
  <c r="BD57" i="9"/>
  <c r="BE57" i="9"/>
  <c r="BF57" i="9"/>
  <c r="BG57" i="9"/>
  <c r="BL57" i="9"/>
  <c r="BM57" i="9"/>
  <c r="BN57" i="9"/>
  <c r="BO57" i="9"/>
  <c r="BP57" i="9"/>
  <c r="BQ57" i="9"/>
  <c r="BR57" i="9"/>
  <c r="BS57" i="9"/>
  <c r="BT57" i="9"/>
  <c r="BU57" i="9"/>
  <c r="BW57" i="9"/>
  <c r="BX57" i="9"/>
  <c r="BY57" i="9"/>
  <c r="B56" i="10"/>
  <c r="C56" i="10"/>
  <c r="D56" i="10"/>
  <c r="E56" i="10"/>
  <c r="F56" i="10"/>
  <c r="G56" i="10"/>
  <c r="B56" i="6"/>
  <c r="C56" i="6"/>
  <c r="J56" i="6" s="1"/>
  <c r="D56" i="6"/>
  <c r="E56" i="6"/>
  <c r="F56" i="6"/>
  <c r="G56" i="6"/>
  <c r="H56" i="6"/>
  <c r="K56" i="6"/>
  <c r="L56" i="6"/>
  <c r="B281" i="11"/>
  <c r="C281" i="11"/>
  <c r="D281" i="11"/>
  <c r="E281" i="11"/>
  <c r="F281" i="11"/>
  <c r="G281" i="11"/>
  <c r="P281" i="11"/>
  <c r="E280" i="9"/>
  <c r="I280" i="9"/>
  <c r="J280" i="9"/>
  <c r="K280" i="9"/>
  <c r="L280" i="9"/>
  <c r="M280" i="9"/>
  <c r="O280" i="9"/>
  <c r="P280" i="9"/>
  <c r="Q280" i="9"/>
  <c r="R280" i="9"/>
  <c r="S280" i="9"/>
  <c r="T280" i="9"/>
  <c r="U280" i="9"/>
  <c r="W280" i="9"/>
  <c r="X280" i="9"/>
  <c r="Z280" i="9"/>
  <c r="AA280" i="9"/>
  <c r="AB280" i="9"/>
  <c r="AC280" i="9"/>
  <c r="AD280" i="9"/>
  <c r="AE280" i="9"/>
  <c r="AG280" i="9"/>
  <c r="AH280" i="9"/>
  <c r="AI280" i="9"/>
  <c r="AJ280" i="9"/>
  <c r="AK280" i="9"/>
  <c r="AL280" i="9"/>
  <c r="AN280" i="9"/>
  <c r="AO280" i="9"/>
  <c r="AP280" i="9"/>
  <c r="AQ280" i="9"/>
  <c r="AR280" i="9"/>
  <c r="AS280" i="9"/>
  <c r="AU280" i="9"/>
  <c r="AV280" i="9"/>
  <c r="AW280" i="9"/>
  <c r="AX280" i="9"/>
  <c r="AY280" i="9"/>
  <c r="AZ280" i="9"/>
  <c r="BB280" i="9"/>
  <c r="BC280" i="9"/>
  <c r="BD280" i="9"/>
  <c r="BE280" i="9"/>
  <c r="BF280" i="9"/>
  <c r="BG280" i="9"/>
  <c r="BL280" i="9"/>
  <c r="BM280" i="9"/>
  <c r="BN280" i="9"/>
  <c r="BO280" i="9"/>
  <c r="BP280" i="9"/>
  <c r="BQ280" i="9"/>
  <c r="BR280" i="9"/>
  <c r="BS280" i="9"/>
  <c r="BT280" i="9"/>
  <c r="BU280" i="9"/>
  <c r="BW280" i="9"/>
  <c r="BX280" i="9"/>
  <c r="BY280" i="9"/>
  <c r="B281" i="10"/>
  <c r="C281" i="10"/>
  <c r="D281" i="10"/>
  <c r="E281" i="10"/>
  <c r="F281" i="10"/>
  <c r="G281" i="10"/>
  <c r="B282" i="6"/>
  <c r="C282" i="6"/>
  <c r="D282" i="6"/>
  <c r="E282" i="6"/>
  <c r="F282" i="6"/>
  <c r="G282" i="6"/>
  <c r="H282" i="6"/>
  <c r="K282" i="6"/>
  <c r="L282" i="6"/>
  <c r="B231" i="11"/>
  <c r="H231" i="11" s="1"/>
  <c r="C231" i="11"/>
  <c r="D231" i="11"/>
  <c r="E231" i="11"/>
  <c r="F231" i="11"/>
  <c r="G231" i="11"/>
  <c r="P231" i="11"/>
  <c r="E227" i="9"/>
  <c r="I227" i="9"/>
  <c r="J227" i="9"/>
  <c r="K227" i="9"/>
  <c r="L227" i="9"/>
  <c r="M227" i="9"/>
  <c r="O227" i="9"/>
  <c r="P227" i="9"/>
  <c r="Q227" i="9"/>
  <c r="R227" i="9"/>
  <c r="S227" i="9"/>
  <c r="T227" i="9"/>
  <c r="U227" i="9"/>
  <c r="W227" i="9"/>
  <c r="X227" i="9"/>
  <c r="Z227" i="9"/>
  <c r="AA227" i="9"/>
  <c r="AB227" i="9"/>
  <c r="AC227" i="9"/>
  <c r="AD227" i="9"/>
  <c r="AE227" i="9"/>
  <c r="AG227" i="9"/>
  <c r="AH227" i="9"/>
  <c r="AI227" i="9"/>
  <c r="AJ227" i="9"/>
  <c r="AK227" i="9"/>
  <c r="AL227" i="9"/>
  <c r="AN227" i="9"/>
  <c r="AO227" i="9"/>
  <c r="AP227" i="9"/>
  <c r="AQ227" i="9"/>
  <c r="AR227" i="9"/>
  <c r="AS227" i="9"/>
  <c r="AU227" i="9"/>
  <c r="AV227" i="9"/>
  <c r="AW227" i="9"/>
  <c r="AX227" i="9"/>
  <c r="AY227" i="9"/>
  <c r="AZ227" i="9"/>
  <c r="BB227" i="9"/>
  <c r="BC227" i="9"/>
  <c r="BD227" i="9"/>
  <c r="BE227" i="9"/>
  <c r="BF227" i="9"/>
  <c r="BG227" i="9"/>
  <c r="BL227" i="9"/>
  <c r="BM227" i="9"/>
  <c r="BN227" i="9"/>
  <c r="BO227" i="9"/>
  <c r="BP227" i="9"/>
  <c r="BQ227" i="9"/>
  <c r="BR227" i="9"/>
  <c r="BS227" i="9"/>
  <c r="BT227" i="9"/>
  <c r="BU227" i="9"/>
  <c r="BW227" i="9"/>
  <c r="BX227" i="9"/>
  <c r="BY227" i="9"/>
  <c r="B228" i="10"/>
  <c r="C228" i="10"/>
  <c r="D228" i="10"/>
  <c r="E228" i="10"/>
  <c r="F228" i="10"/>
  <c r="G228" i="10"/>
  <c r="B228" i="6"/>
  <c r="C228" i="6"/>
  <c r="J228" i="6" s="1"/>
  <c r="D228" i="6"/>
  <c r="E228" i="6"/>
  <c r="F228" i="6"/>
  <c r="G228" i="6"/>
  <c r="H228" i="6"/>
  <c r="K228" i="6"/>
  <c r="L228" i="6"/>
  <c r="B52" i="11"/>
  <c r="H52" i="11" s="1"/>
  <c r="C52" i="11"/>
  <c r="D52" i="11"/>
  <c r="E52" i="11"/>
  <c r="F52" i="11"/>
  <c r="G52" i="11"/>
  <c r="P52" i="11"/>
  <c r="E54" i="9"/>
  <c r="I54" i="9"/>
  <c r="J54" i="9"/>
  <c r="K54" i="9"/>
  <c r="L54" i="9"/>
  <c r="M54" i="9"/>
  <c r="O54" i="9"/>
  <c r="P54" i="9"/>
  <c r="Q54" i="9"/>
  <c r="R54" i="9"/>
  <c r="S54" i="9"/>
  <c r="T54" i="9"/>
  <c r="U54" i="9"/>
  <c r="W54" i="9"/>
  <c r="X54" i="9"/>
  <c r="Z54" i="9"/>
  <c r="AA54" i="9"/>
  <c r="AB54" i="9"/>
  <c r="AC54" i="9"/>
  <c r="AD54" i="9"/>
  <c r="AE54" i="9"/>
  <c r="AG54" i="9"/>
  <c r="AH54" i="9"/>
  <c r="AI54" i="9"/>
  <c r="AJ54" i="9"/>
  <c r="AK54" i="9"/>
  <c r="AL54" i="9"/>
  <c r="AN54" i="9"/>
  <c r="AO54" i="9"/>
  <c r="AP54" i="9"/>
  <c r="AQ54" i="9"/>
  <c r="AR54" i="9"/>
  <c r="AS54" i="9"/>
  <c r="AU54" i="9"/>
  <c r="AV54" i="9"/>
  <c r="AW54" i="9"/>
  <c r="AX54" i="9"/>
  <c r="AY54" i="9"/>
  <c r="AZ54" i="9"/>
  <c r="BB54" i="9"/>
  <c r="BC54" i="9"/>
  <c r="BD54" i="9"/>
  <c r="BE54" i="9"/>
  <c r="BF54" i="9"/>
  <c r="BG54" i="9"/>
  <c r="BL54" i="9"/>
  <c r="BM54" i="9"/>
  <c r="BN54" i="9"/>
  <c r="BO54" i="9"/>
  <c r="BP54" i="9"/>
  <c r="BQ54" i="9"/>
  <c r="BR54" i="9"/>
  <c r="BS54" i="9"/>
  <c r="BT54" i="9"/>
  <c r="BU54" i="9"/>
  <c r="BW54" i="9"/>
  <c r="BX54" i="9"/>
  <c r="BY54" i="9"/>
  <c r="B53" i="10"/>
  <c r="C53" i="10"/>
  <c r="D53" i="10"/>
  <c r="E53" i="10"/>
  <c r="F53" i="10"/>
  <c r="G53" i="10"/>
  <c r="B53" i="6"/>
  <c r="C53" i="6"/>
  <c r="D53" i="6"/>
  <c r="E53" i="6"/>
  <c r="K53" i="6"/>
  <c r="L53" i="6"/>
  <c r="B301" i="11"/>
  <c r="H301" i="11" s="1"/>
  <c r="C301" i="11"/>
  <c r="D301" i="11"/>
  <c r="E301" i="11"/>
  <c r="F301" i="11"/>
  <c r="G301" i="11"/>
  <c r="P301" i="11"/>
  <c r="E300" i="9"/>
  <c r="I300" i="9"/>
  <c r="J300" i="9"/>
  <c r="K300" i="9"/>
  <c r="L300" i="9"/>
  <c r="M300" i="9"/>
  <c r="O300" i="9"/>
  <c r="P300" i="9"/>
  <c r="Q300" i="9"/>
  <c r="R300" i="9"/>
  <c r="S300" i="9"/>
  <c r="T300" i="9"/>
  <c r="U300" i="9"/>
  <c r="W300" i="9"/>
  <c r="X300" i="9"/>
  <c r="Z300" i="9"/>
  <c r="AA300" i="9"/>
  <c r="AB300" i="9"/>
  <c r="AC300" i="9"/>
  <c r="AD300" i="9"/>
  <c r="AE300" i="9"/>
  <c r="AG300" i="9"/>
  <c r="AH300" i="9"/>
  <c r="AI300" i="9"/>
  <c r="AJ300" i="9"/>
  <c r="AK300" i="9"/>
  <c r="AL300" i="9"/>
  <c r="AN300" i="9"/>
  <c r="AO300" i="9"/>
  <c r="AP300" i="9"/>
  <c r="AQ300" i="9"/>
  <c r="AR300" i="9"/>
  <c r="AS300" i="9"/>
  <c r="AU300" i="9"/>
  <c r="AV300" i="9"/>
  <c r="AW300" i="9"/>
  <c r="AX300" i="9"/>
  <c r="AY300" i="9"/>
  <c r="AZ300" i="9"/>
  <c r="BB300" i="9"/>
  <c r="BC300" i="9"/>
  <c r="BD300" i="9"/>
  <c r="BE300" i="9"/>
  <c r="BF300" i="9"/>
  <c r="BG300" i="9"/>
  <c r="BL300" i="9"/>
  <c r="BM300" i="9"/>
  <c r="BN300" i="9"/>
  <c r="BO300" i="9"/>
  <c r="BP300" i="9"/>
  <c r="BQ300" i="9"/>
  <c r="BR300" i="9"/>
  <c r="BS300" i="9"/>
  <c r="BT300" i="9"/>
  <c r="BU300" i="9"/>
  <c r="BW300" i="9"/>
  <c r="BX300" i="9"/>
  <c r="BY300" i="9"/>
  <c r="B301" i="10"/>
  <c r="C301" i="10"/>
  <c r="D301" i="10"/>
  <c r="E301" i="10"/>
  <c r="F301" i="10"/>
  <c r="G301" i="10"/>
  <c r="B302" i="6"/>
  <c r="C302" i="6"/>
  <c r="J302" i="6" s="1"/>
  <c r="D302" i="6"/>
  <c r="E302" i="6"/>
  <c r="F302" i="6"/>
  <c r="G302" i="6"/>
  <c r="H302" i="6"/>
  <c r="K302" i="6"/>
  <c r="L302" i="6"/>
  <c r="D11" i="2"/>
  <c r="P11" i="2" s="1"/>
  <c r="E11" i="2"/>
  <c r="F11" i="2"/>
  <c r="CZ11" i="2"/>
  <c r="CY11" i="2" s="1"/>
  <c r="X11" i="2" s="1"/>
  <c r="B9" i="1"/>
  <c r="R9" i="1"/>
  <c r="V9" i="1"/>
  <c r="Y9" i="1"/>
  <c r="AE9" i="1"/>
  <c r="CK319" i="20" l="1"/>
  <c r="H319" i="20"/>
  <c r="CK325" i="20"/>
  <c r="H325" i="20"/>
  <c r="CK328" i="20"/>
  <c r="H328" i="20"/>
  <c r="CK326" i="20"/>
  <c r="H326" i="20"/>
  <c r="G289" i="9"/>
  <c r="CD289" i="9"/>
  <c r="F289" i="9"/>
  <c r="Y319" i="9"/>
  <c r="AF317" i="20"/>
  <c r="CH333" i="20"/>
  <c r="CH331" i="20"/>
  <c r="CA54" i="9"/>
  <c r="CJ302" i="20"/>
  <c r="CA227" i="9"/>
  <c r="CJ303" i="20"/>
  <c r="CA140" i="9"/>
  <c r="CJ307" i="20"/>
  <c r="CA253" i="9"/>
  <c r="CJ311" i="20"/>
  <c r="BJ246" i="9"/>
  <c r="BR314" i="20"/>
  <c r="CA76" i="9"/>
  <c r="CJ315" i="20"/>
  <c r="AM319" i="9"/>
  <c r="AT317" i="20"/>
  <c r="BH319" i="9"/>
  <c r="BO317" i="20"/>
  <c r="CB257" i="9"/>
  <c r="BP321" i="20"/>
  <c r="CB168" i="9"/>
  <c r="BP324" i="20"/>
  <c r="CH338" i="20"/>
  <c r="F328" i="20"/>
  <c r="P328" i="20"/>
  <c r="G328" i="20"/>
  <c r="AT227" i="9"/>
  <c r="BA303" i="20"/>
  <c r="CA280" i="9"/>
  <c r="CJ304" i="20"/>
  <c r="AT140" i="9"/>
  <c r="BA307" i="20"/>
  <c r="CA120" i="9"/>
  <c r="CJ308" i="20"/>
  <c r="AF253" i="9"/>
  <c r="AM311" i="20"/>
  <c r="CA187" i="9"/>
  <c r="CJ312" i="20"/>
  <c r="CA66" i="9"/>
  <c r="CJ316" i="20"/>
  <c r="AT319" i="9"/>
  <c r="BA317" i="20"/>
  <c r="BJ319" i="9"/>
  <c r="BR317" i="20"/>
  <c r="CB277" i="9"/>
  <c r="BP322" i="20"/>
  <c r="CB17" i="9"/>
  <c r="BP319" i="20"/>
  <c r="CB134" i="9"/>
  <c r="BP327" i="20"/>
  <c r="P319" i="20"/>
  <c r="F319" i="20"/>
  <c r="G319" i="20"/>
  <c r="F325" i="20"/>
  <c r="P325" i="20"/>
  <c r="G325" i="20"/>
  <c r="B324" i="20"/>
  <c r="B254" i="9"/>
  <c r="F254" i="9" s="1"/>
  <c r="B323" i="20"/>
  <c r="B277" i="9"/>
  <c r="G277" i="9" s="1"/>
  <c r="B322" i="20"/>
  <c r="CH340" i="20"/>
  <c r="CH342" i="20"/>
  <c r="CH341" i="20"/>
  <c r="CA300" i="9"/>
  <c r="CJ301" i="20"/>
  <c r="CA57" i="9"/>
  <c r="CJ305" i="20"/>
  <c r="CA109" i="9"/>
  <c r="CJ309" i="20"/>
  <c r="CA306" i="9"/>
  <c r="CJ313" i="20"/>
  <c r="BJ66" i="9"/>
  <c r="BR316" i="20"/>
  <c r="BA319" i="9"/>
  <c r="BH317" i="20"/>
  <c r="CB254" i="9"/>
  <c r="BP323" i="20"/>
  <c r="BI17" i="9"/>
  <c r="CH335" i="20"/>
  <c r="CA80" i="9"/>
  <c r="CJ306" i="20"/>
  <c r="CA199" i="9"/>
  <c r="CJ310" i="20"/>
  <c r="CA246" i="9"/>
  <c r="CJ314" i="20"/>
  <c r="CB222" i="9"/>
  <c r="BP320" i="20"/>
  <c r="CB24" i="9"/>
  <c r="BP318" i="20"/>
  <c r="CB135" i="9"/>
  <c r="BP325" i="20"/>
  <c r="CB98" i="9"/>
  <c r="BP326" i="20"/>
  <c r="P326" i="20"/>
  <c r="G326" i="20"/>
  <c r="F326" i="20"/>
  <c r="B134" i="9"/>
  <c r="B327" i="20"/>
  <c r="B222" i="9"/>
  <c r="F222" i="9" s="1"/>
  <c r="B320" i="20"/>
  <c r="B257" i="9"/>
  <c r="B321" i="20"/>
  <c r="B168" i="9"/>
  <c r="B17" i="9"/>
  <c r="CD17" i="9" s="1"/>
  <c r="B135" i="9"/>
  <c r="CD135" i="9" s="1"/>
  <c r="B98" i="9"/>
  <c r="CD98" i="9" s="1"/>
  <c r="I187" i="6"/>
  <c r="O187" i="6" s="1"/>
  <c r="B312" i="20" s="1"/>
  <c r="I120" i="6"/>
  <c r="O120" i="6" s="1"/>
  <c r="I109" i="6"/>
  <c r="O109" i="6" s="1"/>
  <c r="B309" i="20" s="1"/>
  <c r="I53" i="6"/>
  <c r="O53" i="6" s="1"/>
  <c r="B302" i="20" s="1"/>
  <c r="I56" i="6"/>
  <c r="O56" i="6" s="1"/>
  <c r="B305" i="20" s="1"/>
  <c r="I79" i="6"/>
  <c r="O79" i="6" s="1"/>
  <c r="B306" i="20" s="1"/>
  <c r="I75" i="6"/>
  <c r="O75" i="6" s="1"/>
  <c r="B315" i="20" s="1"/>
  <c r="T31" i="1"/>
  <c r="I321" i="6"/>
  <c r="T15" i="1"/>
  <c r="I308" i="6"/>
  <c r="T9" i="1"/>
  <c r="I302" i="6"/>
  <c r="BI134" i="9"/>
  <c r="BK134" i="9"/>
  <c r="BK98" i="9"/>
  <c r="BI98" i="9"/>
  <c r="BK135" i="9"/>
  <c r="BI135" i="9"/>
  <c r="BK168" i="9"/>
  <c r="BI168" i="9"/>
  <c r="BK17" i="9"/>
  <c r="BK24" i="9"/>
  <c r="BI24" i="9"/>
  <c r="BK222" i="9"/>
  <c r="BI222" i="9"/>
  <c r="BK257" i="9"/>
  <c r="BI257" i="9"/>
  <c r="BK277" i="9"/>
  <c r="BI277" i="9"/>
  <c r="BK254" i="9"/>
  <c r="BI254" i="9"/>
  <c r="Z30" i="2"/>
  <c r="BQ30" i="2" s="1"/>
  <c r="U31" i="1" s="1"/>
  <c r="AA30" i="2"/>
  <c r="BQ317" i="20" s="1"/>
  <c r="Y30" i="2"/>
  <c r="S139" i="11"/>
  <c r="Q64" i="11"/>
  <c r="Q78" i="11"/>
  <c r="AB30" i="2"/>
  <c r="BS317" i="20" s="1"/>
  <c r="Q307" i="11"/>
  <c r="S254" i="11"/>
  <c r="Q55" i="11"/>
  <c r="S108" i="11"/>
  <c r="Q198" i="11"/>
  <c r="Q186" i="11"/>
  <c r="Q108" i="11"/>
  <c r="Q301" i="11"/>
  <c r="S64" i="11"/>
  <c r="V66" i="9"/>
  <c r="BQ316" i="20"/>
  <c r="Q74" i="11"/>
  <c r="J75" i="6"/>
  <c r="S74" i="11"/>
  <c r="V76" i="9"/>
  <c r="BQ315" i="20"/>
  <c r="Q247" i="11"/>
  <c r="J246" i="6"/>
  <c r="S247" i="11"/>
  <c r="V246" i="9"/>
  <c r="S307" i="11"/>
  <c r="V306" i="9"/>
  <c r="CA17" i="2"/>
  <c r="BN17" i="2"/>
  <c r="BZ17" i="2" s="1"/>
  <c r="AC17" i="2"/>
  <c r="AJ17" i="2"/>
  <c r="BV17" i="2"/>
  <c r="CH17" i="2" s="1"/>
  <c r="BR17" i="2"/>
  <c r="CD17" i="2" s="1"/>
  <c r="BP17" i="2"/>
  <c r="CB17" i="2" s="1"/>
  <c r="BM17" i="2"/>
  <c r="BY17" i="2" s="1"/>
  <c r="AA17" i="2"/>
  <c r="BQ313" i="20" s="1"/>
  <c r="BT17" i="2"/>
  <c r="CF17" i="2" s="1"/>
  <c r="BL17" i="2"/>
  <c r="Z17" i="2"/>
  <c r="BS17" i="2"/>
  <c r="CE17" i="2" s="1"/>
  <c r="BE17" i="2"/>
  <c r="Y17" i="2"/>
  <c r="AX17" i="2"/>
  <c r="BQ17" i="2"/>
  <c r="AQ17" i="2"/>
  <c r="J187" i="6"/>
  <c r="S186" i="11"/>
  <c r="V187" i="9"/>
  <c r="Q254" i="11"/>
  <c r="H254" i="11"/>
  <c r="V253" i="9"/>
  <c r="S198" i="11"/>
  <c r="V199" i="9"/>
  <c r="J109" i="6"/>
  <c r="H108" i="11"/>
  <c r="V109" i="9"/>
  <c r="Q119" i="11"/>
  <c r="S119" i="11"/>
  <c r="V120" i="9"/>
  <c r="Q139" i="11"/>
  <c r="H139" i="11"/>
  <c r="V140" i="9"/>
  <c r="S78" i="11"/>
  <c r="BQ307" i="20"/>
  <c r="V80" i="9"/>
  <c r="S55" i="11"/>
  <c r="H55" i="11"/>
  <c r="V57" i="9"/>
  <c r="J282" i="6"/>
  <c r="S281" i="11"/>
  <c r="Q281" i="11"/>
  <c r="H281" i="11"/>
  <c r="V280" i="9"/>
  <c r="S231" i="11"/>
  <c r="Q231" i="11"/>
  <c r="V227" i="9"/>
  <c r="Q52" i="11"/>
  <c r="J53" i="6"/>
  <c r="S52" i="11"/>
  <c r="V54" i="9"/>
  <c r="V300" i="9"/>
  <c r="S301" i="11"/>
  <c r="BM11" i="2"/>
  <c r="BY11" i="2" s="1"/>
  <c r="AJ11" i="2"/>
  <c r="BP11" i="2"/>
  <c r="CB11" i="2" s="1"/>
  <c r="CA11" i="2"/>
  <c r="AC11" i="2"/>
  <c r="BN11" i="2"/>
  <c r="BZ11" i="2" s="1"/>
  <c r="BL11" i="2"/>
  <c r="BE11" i="2"/>
  <c r="AX11" i="2"/>
  <c r="AQ11" i="2"/>
  <c r="CK306" i="20" l="1"/>
  <c r="H306" i="20"/>
  <c r="CK302" i="20"/>
  <c r="H302" i="20"/>
  <c r="CK321" i="20"/>
  <c r="H321" i="20"/>
  <c r="CK327" i="20"/>
  <c r="H327" i="20"/>
  <c r="CK322" i="20"/>
  <c r="H322" i="20"/>
  <c r="CK324" i="20"/>
  <c r="H324" i="20"/>
  <c r="CK315" i="20"/>
  <c r="H315" i="20"/>
  <c r="CK305" i="20"/>
  <c r="H305" i="20"/>
  <c r="CK309" i="20"/>
  <c r="H309" i="20"/>
  <c r="CK312" i="20"/>
  <c r="H312" i="20"/>
  <c r="CK320" i="20"/>
  <c r="H320" i="20"/>
  <c r="CK323" i="20"/>
  <c r="H323" i="20"/>
  <c r="H254" i="9"/>
  <c r="H277" i="9"/>
  <c r="G257" i="9"/>
  <c r="CD257" i="9"/>
  <c r="H134" i="9"/>
  <c r="CD134" i="9"/>
  <c r="G254" i="9"/>
  <c r="CD254" i="9"/>
  <c r="G168" i="9"/>
  <c r="CD168" i="9"/>
  <c r="G222" i="9"/>
  <c r="CD222" i="9"/>
  <c r="F277" i="9"/>
  <c r="CD277" i="9"/>
  <c r="G134" i="9"/>
  <c r="H222" i="9"/>
  <c r="F257" i="9"/>
  <c r="H257" i="9"/>
  <c r="F134" i="9"/>
  <c r="Y306" i="9"/>
  <c r="AF313" i="20"/>
  <c r="Y199" i="9"/>
  <c r="AF310" i="20"/>
  <c r="Y253" i="9"/>
  <c r="AF311" i="20"/>
  <c r="Y66" i="9"/>
  <c r="AF316" i="20"/>
  <c r="Y109" i="9"/>
  <c r="AF309" i="20"/>
  <c r="Y80" i="9"/>
  <c r="AF306" i="20"/>
  <c r="Y140" i="9"/>
  <c r="AF307" i="20"/>
  <c r="Y187" i="9"/>
  <c r="AF312" i="20"/>
  <c r="Y57" i="9"/>
  <c r="AF305" i="20"/>
  <c r="Y54" i="9"/>
  <c r="AF302" i="20"/>
  <c r="Y227" i="9"/>
  <c r="AF303" i="20"/>
  <c r="Y120" i="9"/>
  <c r="AF308" i="20"/>
  <c r="Y246" i="9"/>
  <c r="AF314" i="20"/>
  <c r="Y76" i="9"/>
  <c r="AF315" i="20"/>
  <c r="Y300" i="9"/>
  <c r="AF301" i="20"/>
  <c r="Y280" i="9"/>
  <c r="AF304" i="20"/>
  <c r="CH325" i="20"/>
  <c r="BJ300" i="9"/>
  <c r="BR301" i="20"/>
  <c r="BJ54" i="9"/>
  <c r="BR302" i="20"/>
  <c r="BH280" i="9"/>
  <c r="BO304" i="20"/>
  <c r="AT80" i="9"/>
  <c r="BA306" i="20"/>
  <c r="AF80" i="9"/>
  <c r="AM306" i="20"/>
  <c r="BJ140" i="9"/>
  <c r="BR307" i="20"/>
  <c r="AM109" i="9"/>
  <c r="AT309" i="20"/>
  <c r="AF199" i="9"/>
  <c r="AM310" i="20"/>
  <c r="AM246" i="9"/>
  <c r="AT314" i="20"/>
  <c r="BH246" i="9"/>
  <c r="BO314" i="20"/>
  <c r="AT76" i="9"/>
  <c r="BA315" i="20"/>
  <c r="BI66" i="9"/>
  <c r="CB319" i="9"/>
  <c r="BP317" i="20"/>
  <c r="CJ300" i="20"/>
  <c r="BA300" i="9"/>
  <c r="BH301" i="20"/>
  <c r="BA54" i="9"/>
  <c r="BH302" i="20"/>
  <c r="AF54" i="9"/>
  <c r="AM302" i="20"/>
  <c r="BA227" i="9"/>
  <c r="BH303" i="20"/>
  <c r="AM280" i="9"/>
  <c r="AT304" i="20"/>
  <c r="AM57" i="9"/>
  <c r="AT305" i="20"/>
  <c r="BJ57" i="9"/>
  <c r="BR305" i="20"/>
  <c r="BA80" i="9"/>
  <c r="BH306" i="20"/>
  <c r="BI140" i="9"/>
  <c r="AM140" i="9"/>
  <c r="AT307" i="20"/>
  <c r="AT120" i="9"/>
  <c r="BA308" i="20"/>
  <c r="AF120" i="9"/>
  <c r="AM308" i="20"/>
  <c r="AT109" i="9"/>
  <c r="BA309" i="20"/>
  <c r="BJ109" i="9"/>
  <c r="BR309" i="20"/>
  <c r="BH199" i="9"/>
  <c r="BO310" i="20"/>
  <c r="BA199" i="9"/>
  <c r="BH310" i="20"/>
  <c r="AT199" i="9"/>
  <c r="BA310" i="20"/>
  <c r="AT253" i="9"/>
  <c r="BA311" i="20"/>
  <c r="BJ253" i="9"/>
  <c r="BR311" i="20"/>
  <c r="BA187" i="9"/>
  <c r="BH312" i="20"/>
  <c r="BJ187" i="9"/>
  <c r="BR312" i="20"/>
  <c r="BI306" i="9"/>
  <c r="AF246" i="9"/>
  <c r="AM314" i="20"/>
  <c r="AT246" i="9"/>
  <c r="BA314" i="20"/>
  <c r="BH76" i="9"/>
  <c r="BO315" i="20"/>
  <c r="AF66" i="9"/>
  <c r="AM316" i="20"/>
  <c r="BA66" i="9"/>
  <c r="BH316" i="20"/>
  <c r="F168" i="9"/>
  <c r="BU30" i="2"/>
  <c r="CG30" i="2" s="1"/>
  <c r="P315" i="20"/>
  <c r="G315" i="20"/>
  <c r="F315" i="20"/>
  <c r="F305" i="20"/>
  <c r="P305" i="20"/>
  <c r="G305" i="20"/>
  <c r="F309" i="20"/>
  <c r="P309" i="20"/>
  <c r="G309" i="20"/>
  <c r="P312" i="20"/>
  <c r="F312" i="20"/>
  <c r="G312" i="20"/>
  <c r="CH319" i="20"/>
  <c r="AT300" i="9"/>
  <c r="BA301" i="20"/>
  <c r="AT54" i="9"/>
  <c r="BA302" i="20"/>
  <c r="AM227" i="9"/>
  <c r="AT303" i="20"/>
  <c r="BH57" i="9"/>
  <c r="BO305" i="20"/>
  <c r="AM253" i="9"/>
  <c r="AT311" i="20"/>
  <c r="AM306" i="9"/>
  <c r="AT313" i="20"/>
  <c r="BA306" i="9"/>
  <c r="BH313" i="20"/>
  <c r="AM66" i="9"/>
  <c r="AT316" i="20"/>
  <c r="BH300" i="9"/>
  <c r="BO301" i="20"/>
  <c r="BH54" i="9"/>
  <c r="BO302" i="20"/>
  <c r="BH227" i="9"/>
  <c r="BO303" i="20"/>
  <c r="BJ227" i="9"/>
  <c r="BR303" i="20"/>
  <c r="AF280" i="9"/>
  <c r="AM304" i="20"/>
  <c r="AT280" i="9"/>
  <c r="BA304" i="20"/>
  <c r="AT57" i="9"/>
  <c r="BA305" i="20"/>
  <c r="AM80" i="9"/>
  <c r="AT306" i="20"/>
  <c r="BH80" i="9"/>
  <c r="BO306" i="20"/>
  <c r="CB140" i="9"/>
  <c r="BP307" i="20"/>
  <c r="AF140" i="9"/>
  <c r="AM307" i="20"/>
  <c r="BA120" i="9"/>
  <c r="BH308" i="20"/>
  <c r="BJ120" i="9"/>
  <c r="BR308" i="20"/>
  <c r="BA109" i="9"/>
  <c r="BH309" i="20"/>
  <c r="BA253" i="9"/>
  <c r="BH311" i="20"/>
  <c r="BH187" i="9"/>
  <c r="BO312" i="20"/>
  <c r="AF187" i="9"/>
  <c r="AM312" i="20"/>
  <c r="AT306" i="9"/>
  <c r="BA313" i="20"/>
  <c r="AF306" i="9"/>
  <c r="AM313" i="20"/>
  <c r="BA246" i="9"/>
  <c r="BH314" i="20"/>
  <c r="AM76" i="9"/>
  <c r="AT315" i="20"/>
  <c r="CB76" i="9"/>
  <c r="BP315" i="20"/>
  <c r="BI76" i="9"/>
  <c r="BJ76" i="9"/>
  <c r="BR315" i="20"/>
  <c r="AT66" i="9"/>
  <c r="BA316" i="20"/>
  <c r="CB66" i="9"/>
  <c r="BP316" i="20"/>
  <c r="BH66" i="9"/>
  <c r="BO316" i="20"/>
  <c r="H168" i="9"/>
  <c r="BJ280" i="9"/>
  <c r="BR304" i="20"/>
  <c r="F321" i="20"/>
  <c r="P321" i="20"/>
  <c r="G321" i="20"/>
  <c r="P327" i="20"/>
  <c r="G327" i="20"/>
  <c r="F327" i="20"/>
  <c r="CH326" i="20"/>
  <c r="P322" i="20"/>
  <c r="G322" i="20"/>
  <c r="F322" i="20"/>
  <c r="P324" i="20"/>
  <c r="F324" i="20"/>
  <c r="G324" i="20"/>
  <c r="AM300" i="9"/>
  <c r="AT301" i="20"/>
  <c r="AF300" i="9"/>
  <c r="AM301" i="20"/>
  <c r="AM54" i="9"/>
  <c r="AT302" i="20"/>
  <c r="AF227" i="9"/>
  <c r="AM303" i="20"/>
  <c r="BA280" i="9"/>
  <c r="BH304" i="20"/>
  <c r="BA57" i="9"/>
  <c r="BH305" i="20"/>
  <c r="AF57" i="9"/>
  <c r="AM305" i="20"/>
  <c r="BJ80" i="9"/>
  <c r="BR306" i="20"/>
  <c r="BA140" i="9"/>
  <c r="BH307" i="20"/>
  <c r="BH140" i="9"/>
  <c r="BO307" i="20"/>
  <c r="AM120" i="9"/>
  <c r="AT308" i="20"/>
  <c r="BH120" i="9"/>
  <c r="BO308" i="20"/>
  <c r="BH109" i="9"/>
  <c r="BO309" i="20"/>
  <c r="AF109" i="9"/>
  <c r="AM309" i="20"/>
  <c r="AM199" i="9"/>
  <c r="AT310" i="20"/>
  <c r="BJ199" i="9"/>
  <c r="BR310" i="20"/>
  <c r="BH253" i="9"/>
  <c r="BO311" i="20"/>
  <c r="AM187" i="9"/>
  <c r="AT312" i="20"/>
  <c r="AT187" i="9"/>
  <c r="BA312" i="20"/>
  <c r="CB306" i="9"/>
  <c r="BP313" i="20"/>
  <c r="BH306" i="9"/>
  <c r="BO313" i="20"/>
  <c r="BJ306" i="9"/>
  <c r="BR313" i="20"/>
  <c r="BA76" i="9"/>
  <c r="BH315" i="20"/>
  <c r="AF76" i="9"/>
  <c r="AM315" i="20"/>
  <c r="P306" i="20"/>
  <c r="G306" i="20"/>
  <c r="F306" i="20"/>
  <c r="P302" i="20"/>
  <c r="F302" i="20"/>
  <c r="G302" i="20"/>
  <c r="B120" i="9"/>
  <c r="F120" i="9" s="1"/>
  <c r="B308" i="20"/>
  <c r="P320" i="20"/>
  <c r="F320" i="20"/>
  <c r="G320" i="20"/>
  <c r="F323" i="20"/>
  <c r="G323" i="20"/>
  <c r="P323" i="20"/>
  <c r="CH328" i="20"/>
  <c r="B54" i="9"/>
  <c r="CD54" i="9" s="1"/>
  <c r="H17" i="9"/>
  <c r="F17" i="9"/>
  <c r="G17" i="9"/>
  <c r="B187" i="9"/>
  <c r="CD187" i="9" s="1"/>
  <c r="F135" i="9"/>
  <c r="G135" i="9"/>
  <c r="H135" i="9"/>
  <c r="B109" i="9"/>
  <c r="CD109" i="9" s="1"/>
  <c r="G98" i="9"/>
  <c r="F98" i="9"/>
  <c r="H98" i="9"/>
  <c r="B76" i="9"/>
  <c r="CD76" i="9" s="1"/>
  <c r="I282" i="6"/>
  <c r="O282" i="6" s="1"/>
  <c r="B304" i="20" s="1"/>
  <c r="I246" i="6"/>
  <c r="O246" i="6" s="1"/>
  <c r="B314" i="20" s="1"/>
  <c r="I253" i="6"/>
  <c r="O253" i="6" s="1"/>
  <c r="I228" i="6"/>
  <c r="O228" i="6" s="1"/>
  <c r="I199" i="6"/>
  <c r="O199" i="6" s="1"/>
  <c r="I140" i="6"/>
  <c r="O140" i="6" s="1"/>
  <c r="I65" i="6"/>
  <c r="O65" i="6" s="1"/>
  <c r="CC30" i="2"/>
  <c r="BK319" i="9"/>
  <c r="BV30" i="2"/>
  <c r="CH30" i="2" s="1"/>
  <c r="BS30" i="2"/>
  <c r="CE30" i="2" s="1"/>
  <c r="BI319" i="9"/>
  <c r="BR30" i="2"/>
  <c r="CD30" i="2" s="1"/>
  <c r="BT30" i="2"/>
  <c r="CF30" i="2" s="1"/>
  <c r="BQ303" i="20"/>
  <c r="BQ304" i="20"/>
  <c r="BQ305" i="20"/>
  <c r="BQ306" i="20"/>
  <c r="BQ308" i="20"/>
  <c r="BQ302" i="20"/>
  <c r="BQ309" i="20"/>
  <c r="BQ310" i="20"/>
  <c r="BQ311" i="20"/>
  <c r="BQ312" i="20"/>
  <c r="BQ314" i="20"/>
  <c r="AA11" i="2"/>
  <c r="BQ301" i="20" s="1"/>
  <c r="Z11" i="2"/>
  <c r="BQ11" i="2" s="1"/>
  <c r="CC11" i="2" s="1"/>
  <c r="Y11" i="2"/>
  <c r="BS314" i="20"/>
  <c r="BU17" i="2"/>
  <c r="CG17" i="2" s="1"/>
  <c r="AB17" i="2"/>
  <c r="CC17" i="2"/>
  <c r="U15" i="1"/>
  <c r="BS312" i="20"/>
  <c r="BS311" i="20"/>
  <c r="BS310" i="20"/>
  <c r="BS309" i="20"/>
  <c r="BS308" i="20"/>
  <c r="BS306" i="20"/>
  <c r="B80" i="9"/>
  <c r="CD80" i="9" s="1"/>
  <c r="B57" i="9"/>
  <c r="BS305" i="20"/>
  <c r="BS304" i="20"/>
  <c r="BS303" i="20"/>
  <c r="BS302" i="20"/>
  <c r="AB11" i="2"/>
  <c r="BS301" i="20" s="1"/>
  <c r="B300" i="20"/>
  <c r="BQ154" i="9"/>
  <c r="BQ36" i="9"/>
  <c r="BQ83" i="9"/>
  <c r="BQ264" i="9"/>
  <c r="BQ259" i="9"/>
  <c r="BQ301" i="9"/>
  <c r="BQ230" i="9"/>
  <c r="BQ288" i="9"/>
  <c r="BQ316" i="9"/>
  <c r="BQ29" i="9"/>
  <c r="BQ37" i="9"/>
  <c r="BQ90" i="9"/>
  <c r="BQ163" i="9"/>
  <c r="BQ294" i="9"/>
  <c r="BQ190" i="9"/>
  <c r="BQ226" i="9"/>
  <c r="BQ260" i="9"/>
  <c r="BQ23" i="9"/>
  <c r="BQ30" i="9"/>
  <c r="BQ84" i="9"/>
  <c r="BQ173" i="9"/>
  <c r="BQ239" i="9"/>
  <c r="BQ249" i="9"/>
  <c r="BQ271" i="9"/>
  <c r="BQ320" i="9"/>
  <c r="BQ64" i="9"/>
  <c r="BQ68" i="9"/>
  <c r="BQ92" i="9"/>
  <c r="BQ119" i="9"/>
  <c r="BQ149" i="9"/>
  <c r="BQ235" i="9"/>
  <c r="BQ278" i="9"/>
  <c r="BQ32" i="9"/>
  <c r="BQ35" i="9"/>
  <c r="BQ73" i="9"/>
  <c r="BQ79" i="9"/>
  <c r="BQ131" i="9"/>
  <c r="BQ225" i="9"/>
  <c r="BQ242" i="9"/>
  <c r="BQ8" i="9"/>
  <c r="BQ12" i="9"/>
  <c r="BQ16" i="9"/>
  <c r="BQ38" i="9"/>
  <c r="BQ81" i="9"/>
  <c r="BQ82" i="9"/>
  <c r="BQ88" i="9"/>
  <c r="BQ133" i="9"/>
  <c r="BQ137" i="9"/>
  <c r="BQ170" i="9"/>
  <c r="BQ201" i="9"/>
  <c r="BQ202" i="9"/>
  <c r="BQ211" i="9"/>
  <c r="BQ244" i="9"/>
  <c r="BQ261" i="9"/>
  <c r="BQ283" i="9"/>
  <c r="BQ285" i="9"/>
  <c r="BQ128" i="9"/>
  <c r="BQ159" i="9"/>
  <c r="BQ177" i="9"/>
  <c r="BQ240" i="9"/>
  <c r="BQ315" i="9"/>
  <c r="BQ33" i="9"/>
  <c r="BQ49" i="9"/>
  <c r="BQ62" i="9"/>
  <c r="BQ78" i="9"/>
  <c r="BQ166" i="9"/>
  <c r="BQ182" i="9"/>
  <c r="BQ186" i="9"/>
  <c r="BQ236" i="9"/>
  <c r="BQ290" i="9"/>
  <c r="BQ19" i="9"/>
  <c r="BQ147" i="9"/>
  <c r="BQ274" i="9"/>
  <c r="BQ115" i="9"/>
  <c r="BQ229" i="9"/>
  <c r="BQ302" i="9"/>
  <c r="BQ14" i="9"/>
  <c r="BQ67" i="9"/>
  <c r="BQ123" i="9"/>
  <c r="BQ180" i="9"/>
  <c r="BQ295" i="9"/>
  <c r="BQ297" i="9"/>
  <c r="BQ299" i="9"/>
  <c r="BQ303" i="9"/>
  <c r="BQ304" i="9"/>
  <c r="BQ305" i="9"/>
  <c r="BQ307" i="9"/>
  <c r="BQ308" i="9"/>
  <c r="BQ309" i="9"/>
  <c r="BQ310" i="9"/>
  <c r="BQ311" i="9"/>
  <c r="BQ313" i="9"/>
  <c r="BQ314" i="9"/>
  <c r="BQ317" i="9"/>
  <c r="BQ318" i="9"/>
  <c r="BQ247" i="9"/>
  <c r="BQ5" i="9"/>
  <c r="BQ6" i="9"/>
  <c r="BQ7" i="9"/>
  <c r="BQ9" i="9"/>
  <c r="BQ10" i="9"/>
  <c r="BQ11" i="9"/>
  <c r="BQ13" i="9"/>
  <c r="BQ15" i="9"/>
  <c r="BQ18" i="9"/>
  <c r="BQ21" i="9"/>
  <c r="BQ22" i="9"/>
  <c r="BQ25" i="9"/>
  <c r="BQ27" i="9"/>
  <c r="BQ28" i="9"/>
  <c r="BQ31" i="9"/>
  <c r="BQ39" i="9"/>
  <c r="BQ41" i="9"/>
  <c r="BQ42" i="9"/>
  <c r="BQ43" i="9"/>
  <c r="BQ44" i="9"/>
  <c r="BQ45" i="9"/>
  <c r="BQ46" i="9"/>
  <c r="BQ47" i="9"/>
  <c r="BQ48" i="9"/>
  <c r="BQ50" i="9"/>
  <c r="BQ51" i="9"/>
  <c r="BQ52" i="9"/>
  <c r="BQ55" i="9"/>
  <c r="BQ58" i="9"/>
  <c r="BQ59" i="9"/>
  <c r="BQ60" i="9"/>
  <c r="BQ61" i="9"/>
  <c r="BQ63" i="9"/>
  <c r="BQ65" i="9"/>
  <c r="BQ69" i="9"/>
  <c r="BQ70" i="9"/>
  <c r="BQ71" i="9"/>
  <c r="BQ72" i="9"/>
  <c r="BQ74" i="9"/>
  <c r="BQ75" i="9"/>
  <c r="BQ77" i="9"/>
  <c r="BQ85" i="9"/>
  <c r="BQ86" i="9"/>
  <c r="BQ89" i="9"/>
  <c r="BQ91" i="9"/>
  <c r="BQ93" i="9"/>
  <c r="BQ95" i="9"/>
  <c r="BQ96" i="9"/>
  <c r="BQ97" i="9"/>
  <c r="BQ99" i="9"/>
  <c r="BQ100" i="9"/>
  <c r="BQ101" i="9"/>
  <c r="BQ102" i="9"/>
  <c r="BQ103" i="9"/>
  <c r="BQ104" i="9"/>
  <c r="BQ105" i="9"/>
  <c r="BQ3" i="9"/>
  <c r="BQ106" i="9"/>
  <c r="BQ107" i="9"/>
  <c r="BQ108" i="9"/>
  <c r="BQ110" i="9"/>
  <c r="BQ111" i="9"/>
  <c r="BQ112" i="9"/>
  <c r="BQ113" i="9"/>
  <c r="BQ114" i="9"/>
  <c r="BQ116" i="9"/>
  <c r="BQ118" i="9"/>
  <c r="BQ125" i="9"/>
  <c r="BQ126" i="9"/>
  <c r="BQ127" i="9"/>
  <c r="BQ129" i="9"/>
  <c r="BQ130" i="9"/>
  <c r="BQ132" i="9"/>
  <c r="BQ138" i="9"/>
  <c r="BQ139" i="9"/>
  <c r="BQ141" i="9"/>
  <c r="BQ142" i="9"/>
  <c r="BQ143" i="9"/>
  <c r="BQ144" i="9"/>
  <c r="BQ145" i="9"/>
  <c r="BQ146" i="9"/>
  <c r="BQ148" i="9"/>
  <c r="BQ150" i="9"/>
  <c r="BQ151" i="9"/>
  <c r="BQ152" i="9"/>
  <c r="BQ153" i="9"/>
  <c r="BQ156" i="9"/>
  <c r="BQ157" i="9"/>
  <c r="BQ158" i="9"/>
  <c r="BQ161" i="9"/>
  <c r="BQ162" i="9"/>
  <c r="BQ164" i="9"/>
  <c r="BQ165" i="9"/>
  <c r="BQ167" i="9"/>
  <c r="BQ169" i="9"/>
  <c r="BQ273" i="9"/>
  <c r="BQ171" i="9"/>
  <c r="BQ172" i="9"/>
  <c r="BQ175" i="9"/>
  <c r="BQ176" i="9"/>
  <c r="BQ178" i="9"/>
  <c r="BQ179" i="9"/>
  <c r="BQ181" i="9"/>
  <c r="BQ183" i="9"/>
  <c r="BQ184" i="9"/>
  <c r="BQ188" i="9"/>
  <c r="BQ189" i="9"/>
  <c r="BQ191" i="9"/>
  <c r="BQ192" i="9"/>
  <c r="BQ193" i="9"/>
  <c r="BQ194" i="9"/>
  <c r="BQ195" i="9"/>
  <c r="BQ196" i="9"/>
  <c r="BQ197" i="9"/>
  <c r="BQ198" i="9"/>
  <c r="BQ203" i="9"/>
  <c r="BQ204" i="9"/>
  <c r="BQ205" i="9"/>
  <c r="BQ207" i="9"/>
  <c r="BQ208" i="9"/>
  <c r="BQ209" i="9"/>
  <c r="BQ210" i="9"/>
  <c r="BQ212" i="9"/>
  <c r="BQ216" i="9"/>
  <c r="BQ218" i="9"/>
  <c r="BQ217" i="9"/>
  <c r="BQ219" i="9"/>
  <c r="BQ220" i="9"/>
  <c r="BQ221" i="9"/>
  <c r="BQ223" i="9"/>
  <c r="BQ224" i="9"/>
  <c r="BQ231" i="9"/>
  <c r="BQ233" i="9"/>
  <c r="BQ234" i="9"/>
  <c r="BQ237" i="9"/>
  <c r="BQ238" i="9"/>
  <c r="BQ241" i="9"/>
  <c r="BQ243" i="9"/>
  <c r="BQ245" i="9"/>
  <c r="BQ248" i="9"/>
  <c r="BQ250" i="9"/>
  <c r="BQ251" i="9"/>
  <c r="BQ252" i="9"/>
  <c r="BQ255" i="9"/>
  <c r="BQ256" i="9"/>
  <c r="BQ258" i="9"/>
  <c r="BQ262" i="9"/>
  <c r="BQ263" i="9"/>
  <c r="BQ265" i="9"/>
  <c r="BQ266" i="9"/>
  <c r="BQ267" i="9"/>
  <c r="BQ268" i="9"/>
  <c r="BQ269" i="9"/>
  <c r="BQ270" i="9"/>
  <c r="BQ272" i="9"/>
  <c r="BQ275" i="9"/>
  <c r="BQ276" i="9"/>
  <c r="BQ279" i="9"/>
  <c r="BQ281" i="9"/>
  <c r="BQ284" i="9"/>
  <c r="BQ286" i="9"/>
  <c r="BQ287" i="9"/>
  <c r="BQ291" i="9"/>
  <c r="BQ293" i="9"/>
  <c r="BQ26" i="9"/>
  <c r="BQ312" i="9"/>
  <c r="BR154" i="9"/>
  <c r="BR36" i="9"/>
  <c r="BR83" i="9"/>
  <c r="BR264" i="9"/>
  <c r="BR259" i="9"/>
  <c r="BR301" i="9"/>
  <c r="BR230" i="9"/>
  <c r="BR288" i="9"/>
  <c r="BR316" i="9"/>
  <c r="BR29" i="9"/>
  <c r="BR37" i="9"/>
  <c r="BR90" i="9"/>
  <c r="BR163" i="9"/>
  <c r="BR294" i="9"/>
  <c r="BR190" i="9"/>
  <c r="BR226" i="9"/>
  <c r="BR260" i="9"/>
  <c r="BR23" i="9"/>
  <c r="BR30" i="9"/>
  <c r="BR84" i="9"/>
  <c r="BR173" i="9"/>
  <c r="BR239" i="9"/>
  <c r="BR249" i="9"/>
  <c r="BR271" i="9"/>
  <c r="BR320" i="9"/>
  <c r="BR64" i="9"/>
  <c r="BR68" i="9"/>
  <c r="BR92" i="9"/>
  <c r="BR119" i="9"/>
  <c r="BR149" i="9"/>
  <c r="BR235" i="9"/>
  <c r="BR278" i="9"/>
  <c r="BR32" i="9"/>
  <c r="BR35" i="9"/>
  <c r="BR73" i="9"/>
  <c r="BR79" i="9"/>
  <c r="BR131" i="9"/>
  <c r="BR225" i="9"/>
  <c r="BR242" i="9"/>
  <c r="BR8" i="9"/>
  <c r="BR12" i="9"/>
  <c r="BR16" i="9"/>
  <c r="BR38" i="9"/>
  <c r="BR81" i="9"/>
  <c r="BR82" i="9"/>
  <c r="BR88" i="9"/>
  <c r="BR133" i="9"/>
  <c r="BR137" i="9"/>
  <c r="BR170" i="9"/>
  <c r="BR201" i="9"/>
  <c r="BR202" i="9"/>
  <c r="BR211" i="9"/>
  <c r="BR244" i="9"/>
  <c r="BR261" i="9"/>
  <c r="BR283" i="9"/>
  <c r="BR285" i="9"/>
  <c r="BR128" i="9"/>
  <c r="BR159" i="9"/>
  <c r="BR177" i="9"/>
  <c r="BR240" i="9"/>
  <c r="BR315" i="9"/>
  <c r="BR33" i="9"/>
  <c r="BR49" i="9"/>
  <c r="BR62" i="9"/>
  <c r="BR78" i="9"/>
  <c r="BR166" i="9"/>
  <c r="BR182" i="9"/>
  <c r="BR186" i="9"/>
  <c r="BR236" i="9"/>
  <c r="BR290" i="9"/>
  <c r="BR19" i="9"/>
  <c r="BR147" i="9"/>
  <c r="BR274" i="9"/>
  <c r="BR115" i="9"/>
  <c r="BR229" i="9"/>
  <c r="BR302" i="9"/>
  <c r="BR14" i="9"/>
  <c r="BR67" i="9"/>
  <c r="BR123" i="9"/>
  <c r="BR180" i="9"/>
  <c r="BR295" i="9"/>
  <c r="BR297" i="9"/>
  <c r="BR299" i="9"/>
  <c r="BR303" i="9"/>
  <c r="BR304" i="9"/>
  <c r="BR305" i="9"/>
  <c r="BR307" i="9"/>
  <c r="BR308" i="9"/>
  <c r="BR309" i="9"/>
  <c r="BR310" i="9"/>
  <c r="BR311" i="9"/>
  <c r="BR313" i="9"/>
  <c r="BR314" i="9"/>
  <c r="BR317" i="9"/>
  <c r="BR318" i="9"/>
  <c r="BR247" i="9"/>
  <c r="BR5" i="9"/>
  <c r="BR6" i="9"/>
  <c r="BR7" i="9"/>
  <c r="BR9" i="9"/>
  <c r="BR10" i="9"/>
  <c r="BR11" i="9"/>
  <c r="BR13" i="9"/>
  <c r="BR15" i="9"/>
  <c r="BR18" i="9"/>
  <c r="BR21" i="9"/>
  <c r="BR22" i="9"/>
  <c r="BR25" i="9"/>
  <c r="BR27" i="9"/>
  <c r="BR28" i="9"/>
  <c r="BR31" i="9"/>
  <c r="BR39" i="9"/>
  <c r="BR41" i="9"/>
  <c r="BR42" i="9"/>
  <c r="BR43" i="9"/>
  <c r="BR44" i="9"/>
  <c r="BR45" i="9"/>
  <c r="BR46" i="9"/>
  <c r="BR47" i="9"/>
  <c r="BR48" i="9"/>
  <c r="BR50" i="9"/>
  <c r="BR51" i="9"/>
  <c r="BR52" i="9"/>
  <c r="BR55" i="9"/>
  <c r="BR58" i="9"/>
  <c r="BR59" i="9"/>
  <c r="BR60" i="9"/>
  <c r="BR61" i="9"/>
  <c r="BR63" i="9"/>
  <c r="BR65" i="9"/>
  <c r="BR69" i="9"/>
  <c r="BR70" i="9"/>
  <c r="BR71" i="9"/>
  <c r="BR72" i="9"/>
  <c r="BR74" i="9"/>
  <c r="BR75" i="9"/>
  <c r="BR77" i="9"/>
  <c r="BR85" i="9"/>
  <c r="BR86" i="9"/>
  <c r="BR89" i="9"/>
  <c r="BR91" i="9"/>
  <c r="BR93" i="9"/>
  <c r="BR95" i="9"/>
  <c r="BR96" i="9"/>
  <c r="BR97" i="9"/>
  <c r="BR99" i="9"/>
  <c r="BR100" i="9"/>
  <c r="BR101" i="9"/>
  <c r="BR102" i="9"/>
  <c r="BR103" i="9"/>
  <c r="BR104" i="9"/>
  <c r="BR105" i="9"/>
  <c r="BR3" i="9"/>
  <c r="BR106" i="9"/>
  <c r="BR107" i="9"/>
  <c r="BR108" i="9"/>
  <c r="BR110" i="9"/>
  <c r="BR111" i="9"/>
  <c r="BR112" i="9"/>
  <c r="BR113" i="9"/>
  <c r="BR114" i="9"/>
  <c r="BR116" i="9"/>
  <c r="BR118" i="9"/>
  <c r="BR125" i="9"/>
  <c r="BR126" i="9"/>
  <c r="BR127" i="9"/>
  <c r="BR129" i="9"/>
  <c r="BR130" i="9"/>
  <c r="BR132" i="9"/>
  <c r="BR138" i="9"/>
  <c r="BR139" i="9"/>
  <c r="BR141" i="9"/>
  <c r="BR142" i="9"/>
  <c r="BR143" i="9"/>
  <c r="BR144" i="9"/>
  <c r="BR145" i="9"/>
  <c r="BR146" i="9"/>
  <c r="BR148" i="9"/>
  <c r="BR150" i="9"/>
  <c r="BR151" i="9"/>
  <c r="BR152" i="9"/>
  <c r="BR153" i="9"/>
  <c r="BR156" i="9"/>
  <c r="BR157" i="9"/>
  <c r="BR158" i="9"/>
  <c r="BR161" i="9"/>
  <c r="BR162" i="9"/>
  <c r="BR164" i="9"/>
  <c r="BR165" i="9"/>
  <c r="BR167" i="9"/>
  <c r="BR169" i="9"/>
  <c r="BR273" i="9"/>
  <c r="BR171" i="9"/>
  <c r="BR172" i="9"/>
  <c r="BR175" i="9"/>
  <c r="BR176" i="9"/>
  <c r="BR178" i="9"/>
  <c r="BR179" i="9"/>
  <c r="BR181" i="9"/>
  <c r="BR183" i="9"/>
  <c r="BR184" i="9"/>
  <c r="BR188" i="9"/>
  <c r="BR189" i="9"/>
  <c r="BR191" i="9"/>
  <c r="BR192" i="9"/>
  <c r="BR193" i="9"/>
  <c r="BR194" i="9"/>
  <c r="BR195" i="9"/>
  <c r="BR196" i="9"/>
  <c r="BR197" i="9"/>
  <c r="BR198" i="9"/>
  <c r="BR203" i="9"/>
  <c r="BR204" i="9"/>
  <c r="BR205" i="9"/>
  <c r="BR207" i="9"/>
  <c r="BR208" i="9"/>
  <c r="BR209" i="9"/>
  <c r="BR210" i="9"/>
  <c r="BR212" i="9"/>
  <c r="BR216" i="9"/>
  <c r="BR218" i="9"/>
  <c r="BR217" i="9"/>
  <c r="BR219" i="9"/>
  <c r="BR220" i="9"/>
  <c r="BR221" i="9"/>
  <c r="BR223" i="9"/>
  <c r="BR224" i="9"/>
  <c r="BR231" i="9"/>
  <c r="BR233" i="9"/>
  <c r="BR234" i="9"/>
  <c r="BR237" i="9"/>
  <c r="BR238" i="9"/>
  <c r="BR241" i="9"/>
  <c r="BR243" i="9"/>
  <c r="BR245" i="9"/>
  <c r="BR248" i="9"/>
  <c r="BR250" i="9"/>
  <c r="BR251" i="9"/>
  <c r="BR252" i="9"/>
  <c r="BR255" i="9"/>
  <c r="BR256" i="9"/>
  <c r="BR258" i="9"/>
  <c r="BR262" i="9"/>
  <c r="BR263" i="9"/>
  <c r="BR265" i="9"/>
  <c r="BR266" i="9"/>
  <c r="BR267" i="9"/>
  <c r="BR268" i="9"/>
  <c r="BR269" i="9"/>
  <c r="BR270" i="9"/>
  <c r="BR272" i="9"/>
  <c r="BR275" i="9"/>
  <c r="BR276" i="9"/>
  <c r="BR279" i="9"/>
  <c r="BR281" i="9"/>
  <c r="BR284" i="9"/>
  <c r="BR286" i="9"/>
  <c r="BR287" i="9"/>
  <c r="BR291" i="9"/>
  <c r="BR293" i="9"/>
  <c r="BR26" i="9"/>
  <c r="BR312" i="9"/>
  <c r="BS154" i="9"/>
  <c r="BS36" i="9"/>
  <c r="BS83" i="9"/>
  <c r="BS264" i="9"/>
  <c r="BS259" i="9"/>
  <c r="BS301" i="9"/>
  <c r="BS230" i="9"/>
  <c r="BS288" i="9"/>
  <c r="BS316" i="9"/>
  <c r="BS29" i="9"/>
  <c r="BS37" i="9"/>
  <c r="BS90" i="9"/>
  <c r="BS163" i="9"/>
  <c r="BS294" i="9"/>
  <c r="BS190" i="9"/>
  <c r="BS226" i="9"/>
  <c r="BS260" i="9"/>
  <c r="BS23" i="9"/>
  <c r="BS30" i="9"/>
  <c r="BS84" i="9"/>
  <c r="BS173" i="9"/>
  <c r="BS239" i="9"/>
  <c r="BS249" i="9"/>
  <c r="BS271" i="9"/>
  <c r="BS320" i="9"/>
  <c r="BS64" i="9"/>
  <c r="BS68" i="9"/>
  <c r="BS92" i="9"/>
  <c r="BS119" i="9"/>
  <c r="BS149" i="9"/>
  <c r="BS235" i="9"/>
  <c r="BS278" i="9"/>
  <c r="BS32" i="9"/>
  <c r="BS35" i="9"/>
  <c r="BS73" i="9"/>
  <c r="BS79" i="9"/>
  <c r="BS131" i="9"/>
  <c r="BS225" i="9"/>
  <c r="BS242" i="9"/>
  <c r="BS8" i="9"/>
  <c r="BS12" i="9"/>
  <c r="BS16" i="9"/>
  <c r="BS38" i="9"/>
  <c r="BS81" i="9"/>
  <c r="BS82" i="9"/>
  <c r="BS88" i="9"/>
  <c r="BS133" i="9"/>
  <c r="BS137" i="9"/>
  <c r="BS170" i="9"/>
  <c r="BS201" i="9"/>
  <c r="BS202" i="9"/>
  <c r="BS211" i="9"/>
  <c r="BS244" i="9"/>
  <c r="BS261" i="9"/>
  <c r="BS283" i="9"/>
  <c r="BS285" i="9"/>
  <c r="BS128" i="9"/>
  <c r="BS159" i="9"/>
  <c r="BS177" i="9"/>
  <c r="BS240" i="9"/>
  <c r="BS315" i="9"/>
  <c r="BS33" i="9"/>
  <c r="BS49" i="9"/>
  <c r="BS62" i="9"/>
  <c r="BS78" i="9"/>
  <c r="BS166" i="9"/>
  <c r="BS182" i="9"/>
  <c r="BS186" i="9"/>
  <c r="BS236" i="9"/>
  <c r="BS290" i="9"/>
  <c r="BS19" i="9"/>
  <c r="BS147" i="9"/>
  <c r="BS274" i="9"/>
  <c r="BS115" i="9"/>
  <c r="BS229" i="9"/>
  <c r="BS302" i="9"/>
  <c r="BS14" i="9"/>
  <c r="BS67" i="9"/>
  <c r="BS123" i="9"/>
  <c r="BS180" i="9"/>
  <c r="BS295" i="9"/>
  <c r="BS297" i="9"/>
  <c r="BS299" i="9"/>
  <c r="BS303" i="9"/>
  <c r="BS304" i="9"/>
  <c r="BS305" i="9"/>
  <c r="BS307" i="9"/>
  <c r="BS308" i="9"/>
  <c r="BS309" i="9"/>
  <c r="BS310" i="9"/>
  <c r="BS311" i="9"/>
  <c r="BS313" i="9"/>
  <c r="BS314" i="9"/>
  <c r="BS317" i="9"/>
  <c r="BS318" i="9"/>
  <c r="BS247" i="9"/>
  <c r="BS5" i="9"/>
  <c r="BS6" i="9"/>
  <c r="BS7" i="9"/>
  <c r="BS9" i="9"/>
  <c r="BS10" i="9"/>
  <c r="BS11" i="9"/>
  <c r="BS13" i="9"/>
  <c r="BS15" i="9"/>
  <c r="BS18" i="9"/>
  <c r="BS21" i="9"/>
  <c r="BS22" i="9"/>
  <c r="BS25" i="9"/>
  <c r="BS27" i="9"/>
  <c r="BS28" i="9"/>
  <c r="BS31" i="9"/>
  <c r="BS39" i="9"/>
  <c r="BS41" i="9"/>
  <c r="BS42" i="9"/>
  <c r="BS43" i="9"/>
  <c r="BS44" i="9"/>
  <c r="BS45" i="9"/>
  <c r="BS46" i="9"/>
  <c r="BS47" i="9"/>
  <c r="BS48" i="9"/>
  <c r="BS50" i="9"/>
  <c r="BS51" i="9"/>
  <c r="BS52" i="9"/>
  <c r="BS55" i="9"/>
  <c r="BS58" i="9"/>
  <c r="BS59" i="9"/>
  <c r="BS60" i="9"/>
  <c r="BS61" i="9"/>
  <c r="BS63" i="9"/>
  <c r="BS65" i="9"/>
  <c r="BS69" i="9"/>
  <c r="BS70" i="9"/>
  <c r="BS71" i="9"/>
  <c r="BS72" i="9"/>
  <c r="BS74" i="9"/>
  <c r="BS75" i="9"/>
  <c r="BS77" i="9"/>
  <c r="BS85" i="9"/>
  <c r="BS86" i="9"/>
  <c r="BS89" i="9"/>
  <c r="BS91" i="9"/>
  <c r="BS93" i="9"/>
  <c r="BS95" i="9"/>
  <c r="BS96" i="9"/>
  <c r="BS97" i="9"/>
  <c r="BS99" i="9"/>
  <c r="BS100" i="9"/>
  <c r="BS101" i="9"/>
  <c r="BS102" i="9"/>
  <c r="BS103" i="9"/>
  <c r="BS104" i="9"/>
  <c r="BS105" i="9"/>
  <c r="BS3" i="9"/>
  <c r="BS106" i="9"/>
  <c r="BS107" i="9"/>
  <c r="BS108" i="9"/>
  <c r="BS110" i="9"/>
  <c r="BS111" i="9"/>
  <c r="BS112" i="9"/>
  <c r="BS113" i="9"/>
  <c r="BS114" i="9"/>
  <c r="BS116" i="9"/>
  <c r="BS118" i="9"/>
  <c r="BS125" i="9"/>
  <c r="BS126" i="9"/>
  <c r="BS127" i="9"/>
  <c r="BS129" i="9"/>
  <c r="BS130" i="9"/>
  <c r="BS132" i="9"/>
  <c r="BS138" i="9"/>
  <c r="BS139" i="9"/>
  <c r="BS141" i="9"/>
  <c r="BS142" i="9"/>
  <c r="BS143" i="9"/>
  <c r="BS144" i="9"/>
  <c r="BS145" i="9"/>
  <c r="BS146" i="9"/>
  <c r="BS148" i="9"/>
  <c r="BS150" i="9"/>
  <c r="BS151" i="9"/>
  <c r="BS152" i="9"/>
  <c r="BS153" i="9"/>
  <c r="BS156" i="9"/>
  <c r="BS157" i="9"/>
  <c r="BS158" i="9"/>
  <c r="BS161" i="9"/>
  <c r="BS162" i="9"/>
  <c r="BS164" i="9"/>
  <c r="BS165" i="9"/>
  <c r="BS167" i="9"/>
  <c r="BS169" i="9"/>
  <c r="BS273" i="9"/>
  <c r="BS171" i="9"/>
  <c r="BS172" i="9"/>
  <c r="BS175" i="9"/>
  <c r="BS176" i="9"/>
  <c r="BS178" i="9"/>
  <c r="BS179" i="9"/>
  <c r="BS181" i="9"/>
  <c r="BS183" i="9"/>
  <c r="BS184" i="9"/>
  <c r="BS188" i="9"/>
  <c r="BS189" i="9"/>
  <c r="BS191" i="9"/>
  <c r="BS192" i="9"/>
  <c r="BS193" i="9"/>
  <c r="BS194" i="9"/>
  <c r="BS195" i="9"/>
  <c r="BS196" i="9"/>
  <c r="BS197" i="9"/>
  <c r="BS198" i="9"/>
  <c r="BS203" i="9"/>
  <c r="BS204" i="9"/>
  <c r="BS205" i="9"/>
  <c r="BS207" i="9"/>
  <c r="BS208" i="9"/>
  <c r="BS209" i="9"/>
  <c r="BS210" i="9"/>
  <c r="BS212" i="9"/>
  <c r="BS216" i="9"/>
  <c r="BS218" i="9"/>
  <c r="BS217" i="9"/>
  <c r="BS219" i="9"/>
  <c r="BS220" i="9"/>
  <c r="BS221" i="9"/>
  <c r="BS223" i="9"/>
  <c r="BS224" i="9"/>
  <c r="BS231" i="9"/>
  <c r="BS233" i="9"/>
  <c r="BS234" i="9"/>
  <c r="BS237" i="9"/>
  <c r="BS238" i="9"/>
  <c r="BS241" i="9"/>
  <c r="BS243" i="9"/>
  <c r="BS245" i="9"/>
  <c r="BS248" i="9"/>
  <c r="BS250" i="9"/>
  <c r="BS251" i="9"/>
  <c r="BS252" i="9"/>
  <c r="BS255" i="9"/>
  <c r="BS256" i="9"/>
  <c r="BS258" i="9"/>
  <c r="BS262" i="9"/>
  <c r="BS263" i="9"/>
  <c r="BS265" i="9"/>
  <c r="BS266" i="9"/>
  <c r="BS267" i="9"/>
  <c r="BS268" i="9"/>
  <c r="BS269" i="9"/>
  <c r="BS270" i="9"/>
  <c r="BS272" i="9"/>
  <c r="BS275" i="9"/>
  <c r="BS276" i="9"/>
  <c r="BS279" i="9"/>
  <c r="BS281" i="9"/>
  <c r="BS284" i="9"/>
  <c r="BS286" i="9"/>
  <c r="BS287" i="9"/>
  <c r="BS291" i="9"/>
  <c r="BS293" i="9"/>
  <c r="BS26" i="9"/>
  <c r="BS312" i="9"/>
  <c r="BT154" i="9"/>
  <c r="BT36" i="9"/>
  <c r="BT83" i="9"/>
  <c r="BT264" i="9"/>
  <c r="BT259" i="9"/>
  <c r="BT301" i="9"/>
  <c r="BT230" i="9"/>
  <c r="BT288" i="9"/>
  <c r="BT316" i="9"/>
  <c r="BT29" i="9"/>
  <c r="BT37" i="9"/>
  <c r="BT90" i="9"/>
  <c r="BT163" i="9"/>
  <c r="BT294" i="9"/>
  <c r="BT190" i="9"/>
  <c r="BT226" i="9"/>
  <c r="BT260" i="9"/>
  <c r="BT23" i="9"/>
  <c r="BT30" i="9"/>
  <c r="BT84" i="9"/>
  <c r="BT173" i="9"/>
  <c r="BT239" i="9"/>
  <c r="BT249" i="9"/>
  <c r="BT271" i="9"/>
  <c r="BT320" i="9"/>
  <c r="BT64" i="9"/>
  <c r="BT68" i="9"/>
  <c r="BT92" i="9"/>
  <c r="BT119" i="9"/>
  <c r="BT149" i="9"/>
  <c r="BT235" i="9"/>
  <c r="BT278" i="9"/>
  <c r="BT32" i="9"/>
  <c r="BT35" i="9"/>
  <c r="BT73" i="9"/>
  <c r="BT79" i="9"/>
  <c r="BT131" i="9"/>
  <c r="BT225" i="9"/>
  <c r="BT242" i="9"/>
  <c r="BT8" i="9"/>
  <c r="BT12" i="9"/>
  <c r="BT16" i="9"/>
  <c r="BT38" i="9"/>
  <c r="BT81" i="9"/>
  <c r="BT82" i="9"/>
  <c r="BT88" i="9"/>
  <c r="BT133" i="9"/>
  <c r="BT137" i="9"/>
  <c r="BT170" i="9"/>
  <c r="BT201" i="9"/>
  <c r="BT202" i="9"/>
  <c r="BT211" i="9"/>
  <c r="BT244" i="9"/>
  <c r="BT261" i="9"/>
  <c r="BT283" i="9"/>
  <c r="BT285" i="9"/>
  <c r="BT128" i="9"/>
  <c r="BT159" i="9"/>
  <c r="BT177" i="9"/>
  <c r="BT240" i="9"/>
  <c r="BT315" i="9"/>
  <c r="BT33" i="9"/>
  <c r="BT49" i="9"/>
  <c r="BT62" i="9"/>
  <c r="BT78" i="9"/>
  <c r="BT166" i="9"/>
  <c r="BT182" i="9"/>
  <c r="BT186" i="9"/>
  <c r="BT236" i="9"/>
  <c r="BT290" i="9"/>
  <c r="BT19" i="9"/>
  <c r="BT147" i="9"/>
  <c r="BT274" i="9"/>
  <c r="BT115" i="9"/>
  <c r="BT229" i="9"/>
  <c r="BT302" i="9"/>
  <c r="BT14" i="9"/>
  <c r="BT67" i="9"/>
  <c r="BT123" i="9"/>
  <c r="BT180" i="9"/>
  <c r="BT295" i="9"/>
  <c r="BT297" i="9"/>
  <c r="BT299" i="9"/>
  <c r="BT303" i="9"/>
  <c r="BT304" i="9"/>
  <c r="BT305" i="9"/>
  <c r="BT307" i="9"/>
  <c r="BT308" i="9"/>
  <c r="BT309" i="9"/>
  <c r="BT310" i="9"/>
  <c r="BT311" i="9"/>
  <c r="BT313" i="9"/>
  <c r="BT314" i="9"/>
  <c r="BT317" i="9"/>
  <c r="BT318" i="9"/>
  <c r="BT247" i="9"/>
  <c r="BT5" i="9"/>
  <c r="BT6" i="9"/>
  <c r="BT7" i="9"/>
  <c r="BT9" i="9"/>
  <c r="BT10" i="9"/>
  <c r="BT11" i="9"/>
  <c r="BT13" i="9"/>
  <c r="BT15" i="9"/>
  <c r="BT18" i="9"/>
  <c r="BT21" i="9"/>
  <c r="BT22" i="9"/>
  <c r="BT25" i="9"/>
  <c r="BT27" i="9"/>
  <c r="BT28" i="9"/>
  <c r="BT31" i="9"/>
  <c r="BT39" i="9"/>
  <c r="BT41" i="9"/>
  <c r="BT42" i="9"/>
  <c r="BT43" i="9"/>
  <c r="BT44" i="9"/>
  <c r="BT45" i="9"/>
  <c r="BT46" i="9"/>
  <c r="BT47" i="9"/>
  <c r="BT48" i="9"/>
  <c r="BT50" i="9"/>
  <c r="BT51" i="9"/>
  <c r="BT52" i="9"/>
  <c r="BT55" i="9"/>
  <c r="BT58" i="9"/>
  <c r="BT59" i="9"/>
  <c r="BT60" i="9"/>
  <c r="BT61" i="9"/>
  <c r="BT63" i="9"/>
  <c r="BT65" i="9"/>
  <c r="BT69" i="9"/>
  <c r="BT70" i="9"/>
  <c r="BT71" i="9"/>
  <c r="BT72" i="9"/>
  <c r="BT74" i="9"/>
  <c r="BT75" i="9"/>
  <c r="BT77" i="9"/>
  <c r="BT85" i="9"/>
  <c r="BT86" i="9"/>
  <c r="BT89" i="9"/>
  <c r="BT91" i="9"/>
  <c r="BT93" i="9"/>
  <c r="BT95" i="9"/>
  <c r="BT96" i="9"/>
  <c r="BT97" i="9"/>
  <c r="BT99" i="9"/>
  <c r="BT100" i="9"/>
  <c r="BT101" i="9"/>
  <c r="BT102" i="9"/>
  <c r="BT103" i="9"/>
  <c r="BT104" i="9"/>
  <c r="BT105" i="9"/>
  <c r="BT3" i="9"/>
  <c r="BT106" i="9"/>
  <c r="BT107" i="9"/>
  <c r="BT108" i="9"/>
  <c r="BT110" i="9"/>
  <c r="BT111" i="9"/>
  <c r="BT112" i="9"/>
  <c r="BT113" i="9"/>
  <c r="BT114" i="9"/>
  <c r="BT116" i="9"/>
  <c r="BT118" i="9"/>
  <c r="BT125" i="9"/>
  <c r="BT126" i="9"/>
  <c r="BT127" i="9"/>
  <c r="BT129" i="9"/>
  <c r="BT130" i="9"/>
  <c r="BT132" i="9"/>
  <c r="BT138" i="9"/>
  <c r="BT139" i="9"/>
  <c r="BT141" i="9"/>
  <c r="BT142" i="9"/>
  <c r="BT143" i="9"/>
  <c r="BT144" i="9"/>
  <c r="BT145" i="9"/>
  <c r="BT146" i="9"/>
  <c r="BT148" i="9"/>
  <c r="BT150" i="9"/>
  <c r="BT151" i="9"/>
  <c r="BT152" i="9"/>
  <c r="BT153" i="9"/>
  <c r="BT156" i="9"/>
  <c r="BT157" i="9"/>
  <c r="BT158" i="9"/>
  <c r="BT161" i="9"/>
  <c r="BT162" i="9"/>
  <c r="BT164" i="9"/>
  <c r="BT165" i="9"/>
  <c r="BT167" i="9"/>
  <c r="BT169" i="9"/>
  <c r="BT273" i="9"/>
  <c r="BT171" i="9"/>
  <c r="BT172" i="9"/>
  <c r="BT175" i="9"/>
  <c r="BT176" i="9"/>
  <c r="BT178" i="9"/>
  <c r="BT179" i="9"/>
  <c r="BT181" i="9"/>
  <c r="BT183" i="9"/>
  <c r="BT184" i="9"/>
  <c r="BT188" i="9"/>
  <c r="BT189" i="9"/>
  <c r="BT191" i="9"/>
  <c r="BT192" i="9"/>
  <c r="BT193" i="9"/>
  <c r="BT194" i="9"/>
  <c r="BT195" i="9"/>
  <c r="BT196" i="9"/>
  <c r="BT197" i="9"/>
  <c r="BT198" i="9"/>
  <c r="BT203" i="9"/>
  <c r="BT204" i="9"/>
  <c r="BT205" i="9"/>
  <c r="BT207" i="9"/>
  <c r="BT208" i="9"/>
  <c r="BT209" i="9"/>
  <c r="BT210" i="9"/>
  <c r="BT212" i="9"/>
  <c r="BT216" i="9"/>
  <c r="BT218" i="9"/>
  <c r="BT217" i="9"/>
  <c r="BT219" i="9"/>
  <c r="BT220" i="9"/>
  <c r="BT221" i="9"/>
  <c r="BT223" i="9"/>
  <c r="BT224" i="9"/>
  <c r="BT231" i="9"/>
  <c r="BT233" i="9"/>
  <c r="BT234" i="9"/>
  <c r="BT237" i="9"/>
  <c r="BT238" i="9"/>
  <c r="BT241" i="9"/>
  <c r="BT243" i="9"/>
  <c r="BT245" i="9"/>
  <c r="BT248" i="9"/>
  <c r="BT250" i="9"/>
  <c r="BT251" i="9"/>
  <c r="BT252" i="9"/>
  <c r="BT255" i="9"/>
  <c r="BT256" i="9"/>
  <c r="BT258" i="9"/>
  <c r="BT262" i="9"/>
  <c r="BT263" i="9"/>
  <c r="BT265" i="9"/>
  <c r="BT266" i="9"/>
  <c r="BT267" i="9"/>
  <c r="BT268" i="9"/>
  <c r="BT269" i="9"/>
  <c r="BT270" i="9"/>
  <c r="BT272" i="9"/>
  <c r="BT275" i="9"/>
  <c r="BT276" i="9"/>
  <c r="BT279" i="9"/>
  <c r="BT281" i="9"/>
  <c r="BT284" i="9"/>
  <c r="BT286" i="9"/>
  <c r="BT287" i="9"/>
  <c r="BT291" i="9"/>
  <c r="BT293" i="9"/>
  <c r="BT26" i="9"/>
  <c r="BT312" i="9"/>
  <c r="BU154" i="9"/>
  <c r="BU36" i="9"/>
  <c r="BU83" i="9"/>
  <c r="BU264" i="9"/>
  <c r="BU259" i="9"/>
  <c r="BU301" i="9"/>
  <c r="BU230" i="9"/>
  <c r="BU288" i="9"/>
  <c r="BU316" i="9"/>
  <c r="BU29" i="9"/>
  <c r="BU37" i="9"/>
  <c r="BU90" i="9"/>
  <c r="BU163" i="9"/>
  <c r="BU294" i="9"/>
  <c r="BU190" i="9"/>
  <c r="BU226" i="9"/>
  <c r="BU260" i="9"/>
  <c r="BU23" i="9"/>
  <c r="BU30" i="9"/>
  <c r="BU84" i="9"/>
  <c r="BU173" i="9"/>
  <c r="BU239" i="9"/>
  <c r="BU249" i="9"/>
  <c r="BU271" i="9"/>
  <c r="BU320" i="9"/>
  <c r="BU64" i="9"/>
  <c r="BU68" i="9"/>
  <c r="BU92" i="9"/>
  <c r="BU119" i="9"/>
  <c r="BU149" i="9"/>
  <c r="BU235" i="9"/>
  <c r="BU278" i="9"/>
  <c r="BU32" i="9"/>
  <c r="BU35" i="9"/>
  <c r="BU73" i="9"/>
  <c r="BU79" i="9"/>
  <c r="BU131" i="9"/>
  <c r="BU225" i="9"/>
  <c r="BU242" i="9"/>
  <c r="BU8" i="9"/>
  <c r="BU12" i="9"/>
  <c r="BU16" i="9"/>
  <c r="BU38" i="9"/>
  <c r="BU81" i="9"/>
  <c r="BU82" i="9"/>
  <c r="BU88" i="9"/>
  <c r="BU133" i="9"/>
  <c r="BU137" i="9"/>
  <c r="BU170" i="9"/>
  <c r="BU201" i="9"/>
  <c r="BU202" i="9"/>
  <c r="BU211" i="9"/>
  <c r="BU244" i="9"/>
  <c r="BU261" i="9"/>
  <c r="BU283" i="9"/>
  <c r="BU285" i="9"/>
  <c r="BU128" i="9"/>
  <c r="BU159" i="9"/>
  <c r="BU177" i="9"/>
  <c r="BU240" i="9"/>
  <c r="BU315" i="9"/>
  <c r="BU33" i="9"/>
  <c r="BU49" i="9"/>
  <c r="BU62" i="9"/>
  <c r="BU78" i="9"/>
  <c r="BU166" i="9"/>
  <c r="BU182" i="9"/>
  <c r="BU186" i="9"/>
  <c r="BU236" i="9"/>
  <c r="BU290" i="9"/>
  <c r="BU19" i="9"/>
  <c r="BU147" i="9"/>
  <c r="BU274" i="9"/>
  <c r="BU115" i="9"/>
  <c r="BU229" i="9"/>
  <c r="BU302" i="9"/>
  <c r="BU14" i="9"/>
  <c r="BU67" i="9"/>
  <c r="BU123" i="9"/>
  <c r="BU180" i="9"/>
  <c r="BU295" i="9"/>
  <c r="BU297" i="9"/>
  <c r="BU299" i="9"/>
  <c r="BU303" i="9"/>
  <c r="BU304" i="9"/>
  <c r="BU305" i="9"/>
  <c r="BU307" i="9"/>
  <c r="BU308" i="9"/>
  <c r="BU309" i="9"/>
  <c r="BU310" i="9"/>
  <c r="BU311" i="9"/>
  <c r="BU313" i="9"/>
  <c r="BU314" i="9"/>
  <c r="BU317" i="9"/>
  <c r="BU318" i="9"/>
  <c r="BU247" i="9"/>
  <c r="BU5" i="9"/>
  <c r="BU6" i="9"/>
  <c r="BU7" i="9"/>
  <c r="BU9" i="9"/>
  <c r="BU10" i="9"/>
  <c r="BU11" i="9"/>
  <c r="BU13" i="9"/>
  <c r="BU15" i="9"/>
  <c r="BU18" i="9"/>
  <c r="BU21" i="9"/>
  <c r="BU22" i="9"/>
  <c r="BU25" i="9"/>
  <c r="BU27" i="9"/>
  <c r="BU28" i="9"/>
  <c r="BU31" i="9"/>
  <c r="BU39" i="9"/>
  <c r="BU41" i="9"/>
  <c r="BU42" i="9"/>
  <c r="BU43" i="9"/>
  <c r="BU44" i="9"/>
  <c r="BU45" i="9"/>
  <c r="BU46" i="9"/>
  <c r="BU47" i="9"/>
  <c r="BU48" i="9"/>
  <c r="BU50" i="9"/>
  <c r="BU51" i="9"/>
  <c r="BU52" i="9"/>
  <c r="BU55" i="9"/>
  <c r="BU58" i="9"/>
  <c r="BU59" i="9"/>
  <c r="BU60" i="9"/>
  <c r="BU61" i="9"/>
  <c r="BU63" i="9"/>
  <c r="BU65" i="9"/>
  <c r="BU69" i="9"/>
  <c r="BU70" i="9"/>
  <c r="BU71" i="9"/>
  <c r="BU72" i="9"/>
  <c r="BU74" i="9"/>
  <c r="BU75" i="9"/>
  <c r="BU77" i="9"/>
  <c r="BU85" i="9"/>
  <c r="BU86" i="9"/>
  <c r="BU89" i="9"/>
  <c r="BU91" i="9"/>
  <c r="BU93" i="9"/>
  <c r="BU95" i="9"/>
  <c r="BU96" i="9"/>
  <c r="BU97" i="9"/>
  <c r="BU99" i="9"/>
  <c r="BU100" i="9"/>
  <c r="BU101" i="9"/>
  <c r="BU102" i="9"/>
  <c r="BU103" i="9"/>
  <c r="BU104" i="9"/>
  <c r="BU105" i="9"/>
  <c r="BU3" i="9"/>
  <c r="BU106" i="9"/>
  <c r="BU107" i="9"/>
  <c r="BU108" i="9"/>
  <c r="BU110" i="9"/>
  <c r="BU111" i="9"/>
  <c r="BU112" i="9"/>
  <c r="BU113" i="9"/>
  <c r="BU114" i="9"/>
  <c r="BU116" i="9"/>
  <c r="BU118" i="9"/>
  <c r="BU125" i="9"/>
  <c r="BU126" i="9"/>
  <c r="BU127" i="9"/>
  <c r="BU129" i="9"/>
  <c r="BU130" i="9"/>
  <c r="BU132" i="9"/>
  <c r="BU138" i="9"/>
  <c r="BU139" i="9"/>
  <c r="BU141" i="9"/>
  <c r="BU142" i="9"/>
  <c r="BU143" i="9"/>
  <c r="BU144" i="9"/>
  <c r="BU145" i="9"/>
  <c r="BU146" i="9"/>
  <c r="BU148" i="9"/>
  <c r="BU150" i="9"/>
  <c r="BU151" i="9"/>
  <c r="BU152" i="9"/>
  <c r="BU153" i="9"/>
  <c r="BU156" i="9"/>
  <c r="BU157" i="9"/>
  <c r="BU158" i="9"/>
  <c r="BU161" i="9"/>
  <c r="BU162" i="9"/>
  <c r="BU164" i="9"/>
  <c r="BU165" i="9"/>
  <c r="BU167" i="9"/>
  <c r="BU169" i="9"/>
  <c r="BU273" i="9"/>
  <c r="BU171" i="9"/>
  <c r="BU172" i="9"/>
  <c r="BU175" i="9"/>
  <c r="BU176" i="9"/>
  <c r="BU178" i="9"/>
  <c r="BU179" i="9"/>
  <c r="BU181" i="9"/>
  <c r="BU183" i="9"/>
  <c r="BU184" i="9"/>
  <c r="BU188" i="9"/>
  <c r="BU189" i="9"/>
  <c r="BU191" i="9"/>
  <c r="BU192" i="9"/>
  <c r="BU193" i="9"/>
  <c r="BU194" i="9"/>
  <c r="BU195" i="9"/>
  <c r="BU196" i="9"/>
  <c r="BU197" i="9"/>
  <c r="BU198" i="9"/>
  <c r="BU203" i="9"/>
  <c r="BU204" i="9"/>
  <c r="BU205" i="9"/>
  <c r="BU207" i="9"/>
  <c r="BU208" i="9"/>
  <c r="BU209" i="9"/>
  <c r="BU210" i="9"/>
  <c r="BU212" i="9"/>
  <c r="BU216" i="9"/>
  <c r="BU218" i="9"/>
  <c r="BU217" i="9"/>
  <c r="BU219" i="9"/>
  <c r="BU220" i="9"/>
  <c r="BU221" i="9"/>
  <c r="BU223" i="9"/>
  <c r="BU224" i="9"/>
  <c r="BU231" i="9"/>
  <c r="BU233" i="9"/>
  <c r="BU234" i="9"/>
  <c r="BU237" i="9"/>
  <c r="BU238" i="9"/>
  <c r="BU241" i="9"/>
  <c r="BU243" i="9"/>
  <c r="BU245" i="9"/>
  <c r="BU248" i="9"/>
  <c r="BU250" i="9"/>
  <c r="BU251" i="9"/>
  <c r="BU252" i="9"/>
  <c r="BU255" i="9"/>
  <c r="BU256" i="9"/>
  <c r="BU258" i="9"/>
  <c r="BU262" i="9"/>
  <c r="BU263" i="9"/>
  <c r="BU265" i="9"/>
  <c r="BU266" i="9"/>
  <c r="BU267" i="9"/>
  <c r="BU268" i="9"/>
  <c r="BU269" i="9"/>
  <c r="BU270" i="9"/>
  <c r="BU272" i="9"/>
  <c r="BU275" i="9"/>
  <c r="BU276" i="9"/>
  <c r="BU279" i="9"/>
  <c r="BU281" i="9"/>
  <c r="BU284" i="9"/>
  <c r="BU286" i="9"/>
  <c r="BU287" i="9"/>
  <c r="BU291" i="9"/>
  <c r="BU293" i="9"/>
  <c r="BU26" i="9"/>
  <c r="BU312" i="9"/>
  <c r="BX154" i="9"/>
  <c r="BX36" i="9"/>
  <c r="BX83" i="9"/>
  <c r="BX264" i="9"/>
  <c r="BX259" i="9"/>
  <c r="BX301" i="9"/>
  <c r="BX288" i="9"/>
  <c r="BX316" i="9"/>
  <c r="BX29" i="9"/>
  <c r="BX37" i="9"/>
  <c r="BX90" i="9"/>
  <c r="BX163" i="9"/>
  <c r="BX294" i="9"/>
  <c r="BX190" i="9"/>
  <c r="BX226" i="9"/>
  <c r="BX260" i="9"/>
  <c r="BX23" i="9"/>
  <c r="BX30" i="9"/>
  <c r="BX84" i="9"/>
  <c r="BX173" i="9"/>
  <c r="BX239" i="9"/>
  <c r="BX249" i="9"/>
  <c r="BX271" i="9"/>
  <c r="BX320" i="9"/>
  <c r="BX64" i="9"/>
  <c r="BX68" i="9"/>
  <c r="BX92" i="9"/>
  <c r="BX119" i="9"/>
  <c r="BX149" i="9"/>
  <c r="BX235" i="9"/>
  <c r="BX278" i="9"/>
  <c r="BX32" i="9"/>
  <c r="BX35" i="9"/>
  <c r="BX73" i="9"/>
  <c r="BX79" i="9"/>
  <c r="BX131" i="9"/>
  <c r="BX225" i="9"/>
  <c r="BX242" i="9"/>
  <c r="BX8" i="9"/>
  <c r="BX12" i="9"/>
  <c r="BX16" i="9"/>
  <c r="BX38" i="9"/>
  <c r="BX81" i="9"/>
  <c r="BX82" i="9"/>
  <c r="BX88" i="9"/>
  <c r="BX133" i="9"/>
  <c r="BX137" i="9"/>
  <c r="BX170" i="9"/>
  <c r="BX201" i="9"/>
  <c r="BX202" i="9"/>
  <c r="BX211" i="9"/>
  <c r="BX244" i="9"/>
  <c r="BX261" i="9"/>
  <c r="BX283" i="9"/>
  <c r="BX285" i="9"/>
  <c r="BX128" i="9"/>
  <c r="BX159" i="9"/>
  <c r="BX177" i="9"/>
  <c r="BX240" i="9"/>
  <c r="BX315" i="9"/>
  <c r="BX33" i="9"/>
  <c r="BX49" i="9"/>
  <c r="BX62" i="9"/>
  <c r="BX78" i="9"/>
  <c r="BX166" i="9"/>
  <c r="BX182" i="9"/>
  <c r="BX186" i="9"/>
  <c r="BX236" i="9"/>
  <c r="BX290" i="9"/>
  <c r="BX19" i="9"/>
  <c r="BX147" i="9"/>
  <c r="BX274" i="9"/>
  <c r="BX115" i="9"/>
  <c r="BX229" i="9"/>
  <c r="BX302" i="9"/>
  <c r="BX14" i="9"/>
  <c r="BX67" i="9"/>
  <c r="BX123" i="9"/>
  <c r="BX180" i="9"/>
  <c r="BX295" i="9"/>
  <c r="BX297" i="9"/>
  <c r="BX299" i="9"/>
  <c r="BX303" i="9"/>
  <c r="BX304" i="9"/>
  <c r="BX305" i="9"/>
  <c r="BX307" i="9"/>
  <c r="BX308" i="9"/>
  <c r="BX309" i="9"/>
  <c r="BX310" i="9"/>
  <c r="BX311" i="9"/>
  <c r="BX313" i="9"/>
  <c r="BX314" i="9"/>
  <c r="BX317" i="9"/>
  <c r="BX318" i="9"/>
  <c r="BX247" i="9"/>
  <c r="BX5" i="9"/>
  <c r="BX6" i="9"/>
  <c r="BX7" i="9"/>
  <c r="BX9" i="9"/>
  <c r="BX10" i="9"/>
  <c r="BX11" i="9"/>
  <c r="BX13" i="9"/>
  <c r="BX15" i="9"/>
  <c r="BX18" i="9"/>
  <c r="BX21" i="9"/>
  <c r="BX22" i="9"/>
  <c r="BX25" i="9"/>
  <c r="BX27" i="9"/>
  <c r="BX28" i="9"/>
  <c r="BX31" i="9"/>
  <c r="BX39" i="9"/>
  <c r="BX41" i="9"/>
  <c r="BX42" i="9"/>
  <c r="BX43" i="9"/>
  <c r="BX44" i="9"/>
  <c r="BX45" i="9"/>
  <c r="BX46" i="9"/>
  <c r="BX47" i="9"/>
  <c r="BX48" i="9"/>
  <c r="BX50" i="9"/>
  <c r="BX51" i="9"/>
  <c r="BX52" i="9"/>
  <c r="BX55" i="9"/>
  <c r="BX58" i="9"/>
  <c r="BX59" i="9"/>
  <c r="BX60" i="9"/>
  <c r="BX61" i="9"/>
  <c r="BX63" i="9"/>
  <c r="BX65" i="9"/>
  <c r="BX69" i="9"/>
  <c r="BX70" i="9"/>
  <c r="BX71" i="9"/>
  <c r="BX72" i="9"/>
  <c r="BX74" i="9"/>
  <c r="BX75" i="9"/>
  <c r="BX77" i="9"/>
  <c r="BX85" i="9"/>
  <c r="BX86" i="9"/>
  <c r="BX89" i="9"/>
  <c r="BX91" i="9"/>
  <c r="BX93" i="9"/>
  <c r="BX95" i="9"/>
  <c r="BX96" i="9"/>
  <c r="BX97" i="9"/>
  <c r="BX99" i="9"/>
  <c r="BX100" i="9"/>
  <c r="BX101" i="9"/>
  <c r="BX102" i="9"/>
  <c r="BX103" i="9"/>
  <c r="BX104" i="9"/>
  <c r="BX105" i="9"/>
  <c r="BX3" i="9"/>
  <c r="BX106" i="9"/>
  <c r="BX107" i="9"/>
  <c r="BX108" i="9"/>
  <c r="BX110" i="9"/>
  <c r="BX111" i="9"/>
  <c r="BX112" i="9"/>
  <c r="BX113" i="9"/>
  <c r="BX114" i="9"/>
  <c r="BX116" i="9"/>
  <c r="BX118" i="9"/>
  <c r="BX125" i="9"/>
  <c r="BX126" i="9"/>
  <c r="BX127" i="9"/>
  <c r="BX129" i="9"/>
  <c r="BX130" i="9"/>
  <c r="BX132" i="9"/>
  <c r="BX138" i="9"/>
  <c r="BX139" i="9"/>
  <c r="BX141" i="9"/>
  <c r="BX142" i="9"/>
  <c r="BX143" i="9"/>
  <c r="BX144" i="9"/>
  <c r="BX145" i="9"/>
  <c r="BX146" i="9"/>
  <c r="BX148" i="9"/>
  <c r="BX150" i="9"/>
  <c r="BX151" i="9"/>
  <c r="BX152" i="9"/>
  <c r="BX153" i="9"/>
  <c r="BX156" i="9"/>
  <c r="BX157" i="9"/>
  <c r="BX158" i="9"/>
  <c r="BX161" i="9"/>
  <c r="BX162" i="9"/>
  <c r="BX164" i="9"/>
  <c r="BX165" i="9"/>
  <c r="BX167" i="9"/>
  <c r="BX169" i="9"/>
  <c r="BX273" i="9"/>
  <c r="BX171" i="9"/>
  <c r="BX172" i="9"/>
  <c r="BX175" i="9"/>
  <c r="BX176" i="9"/>
  <c r="BX178" i="9"/>
  <c r="BX179" i="9"/>
  <c r="BX181" i="9"/>
  <c r="BX183" i="9"/>
  <c r="BX184" i="9"/>
  <c r="BX188" i="9"/>
  <c r="BX189" i="9"/>
  <c r="BX191" i="9"/>
  <c r="BX192" i="9"/>
  <c r="BX193" i="9"/>
  <c r="BX194" i="9"/>
  <c r="BX195" i="9"/>
  <c r="BX196" i="9"/>
  <c r="BX197" i="9"/>
  <c r="BX198" i="9"/>
  <c r="BX203" i="9"/>
  <c r="BX204" i="9"/>
  <c r="BX205" i="9"/>
  <c r="BX207" i="9"/>
  <c r="BX208" i="9"/>
  <c r="BX209" i="9"/>
  <c r="BX210" i="9"/>
  <c r="BX212" i="9"/>
  <c r="BX216" i="9"/>
  <c r="BX218" i="9"/>
  <c r="BX217" i="9"/>
  <c r="BX219" i="9"/>
  <c r="BX220" i="9"/>
  <c r="BX221" i="9"/>
  <c r="BX223" i="9"/>
  <c r="BX224" i="9"/>
  <c r="BX231" i="9"/>
  <c r="BX233" i="9"/>
  <c r="BX234" i="9"/>
  <c r="BX237" i="9"/>
  <c r="BX238" i="9"/>
  <c r="BX241" i="9"/>
  <c r="BX243" i="9"/>
  <c r="BX245" i="9"/>
  <c r="BX248" i="9"/>
  <c r="BX250" i="9"/>
  <c r="BX251" i="9"/>
  <c r="BX252" i="9"/>
  <c r="BX255" i="9"/>
  <c r="BX256" i="9"/>
  <c r="BX258" i="9"/>
  <c r="BX262" i="9"/>
  <c r="BX263" i="9"/>
  <c r="BX265" i="9"/>
  <c r="BX266" i="9"/>
  <c r="BX267" i="9"/>
  <c r="BX268" i="9"/>
  <c r="BX269" i="9"/>
  <c r="BX270" i="9"/>
  <c r="BX272" i="9"/>
  <c r="BX275" i="9"/>
  <c r="BX276" i="9"/>
  <c r="BX279" i="9"/>
  <c r="BX281" i="9"/>
  <c r="BX284" i="9"/>
  <c r="BX286" i="9"/>
  <c r="BX287" i="9"/>
  <c r="BX291" i="9"/>
  <c r="BX293" i="9"/>
  <c r="BX26" i="9"/>
  <c r="BX312" i="9"/>
  <c r="BP26" i="9"/>
  <c r="D26" i="9"/>
  <c r="E26" i="9"/>
  <c r="I26" i="9"/>
  <c r="J26" i="9"/>
  <c r="K26" i="9"/>
  <c r="L26" i="9"/>
  <c r="M26" i="9"/>
  <c r="O26" i="9"/>
  <c r="P26" i="9"/>
  <c r="Q26" i="9"/>
  <c r="R26" i="9"/>
  <c r="S26" i="9"/>
  <c r="T26" i="9"/>
  <c r="U26" i="9"/>
  <c r="W26" i="9"/>
  <c r="X26" i="9"/>
  <c r="Z26" i="9"/>
  <c r="AA26" i="9"/>
  <c r="AB26" i="9"/>
  <c r="AC26" i="9"/>
  <c r="AD26" i="9"/>
  <c r="AE26" i="9"/>
  <c r="AG26" i="9"/>
  <c r="AH26" i="9"/>
  <c r="AI26" i="9"/>
  <c r="AJ26" i="9"/>
  <c r="AK26" i="9"/>
  <c r="AL26" i="9"/>
  <c r="AN26" i="9"/>
  <c r="AO26" i="9"/>
  <c r="AP26" i="9"/>
  <c r="AQ26" i="9"/>
  <c r="AR26" i="9"/>
  <c r="AS26" i="9"/>
  <c r="AU26" i="9"/>
  <c r="AV26" i="9"/>
  <c r="AW26" i="9"/>
  <c r="AX26" i="9"/>
  <c r="AY26" i="9"/>
  <c r="AZ26" i="9"/>
  <c r="BB26" i="9"/>
  <c r="BC26" i="9"/>
  <c r="BD26" i="9"/>
  <c r="BE26" i="9"/>
  <c r="BF26" i="9"/>
  <c r="BG26" i="9"/>
  <c r="BL26" i="9"/>
  <c r="BM26" i="9"/>
  <c r="BN26" i="9"/>
  <c r="BO26" i="9"/>
  <c r="BW26" i="9"/>
  <c r="BY26" i="9"/>
  <c r="CK314" i="20" l="1"/>
  <c r="H314" i="20"/>
  <c r="CK308" i="20"/>
  <c r="H308" i="20"/>
  <c r="CK300" i="20"/>
  <c r="H300" i="20"/>
  <c r="CK304" i="20"/>
  <c r="H304" i="20"/>
  <c r="G57" i="9"/>
  <c r="CD57" i="9"/>
  <c r="H120" i="9"/>
  <c r="CD120" i="9"/>
  <c r="G120" i="9"/>
  <c r="AF300" i="20"/>
  <c r="CH306" i="20"/>
  <c r="CH322" i="20"/>
  <c r="CH309" i="20"/>
  <c r="CH320" i="20"/>
  <c r="CH302" i="20"/>
  <c r="CH312" i="20"/>
  <c r="CH305" i="20"/>
  <c r="CH323" i="20"/>
  <c r="BA300" i="20"/>
  <c r="BO300" i="20"/>
  <c r="BK140" i="9"/>
  <c r="BS307" i="20"/>
  <c r="BK66" i="9"/>
  <c r="BS316" i="20"/>
  <c r="BU11" i="2"/>
  <c r="CG11" i="2" s="1"/>
  <c r="CB199" i="9"/>
  <c r="BP310" i="20"/>
  <c r="CB80" i="9"/>
  <c r="BP306" i="20"/>
  <c r="B140" i="9"/>
  <c r="B307" i="20"/>
  <c r="B199" i="9"/>
  <c r="B310" i="20"/>
  <c r="B311" i="20"/>
  <c r="F304" i="20"/>
  <c r="G304" i="20"/>
  <c r="P304" i="20"/>
  <c r="P308" i="20"/>
  <c r="F308" i="20"/>
  <c r="G308" i="20"/>
  <c r="BK76" i="9"/>
  <c r="BS315" i="20"/>
  <c r="BI187" i="9"/>
  <c r="CB109" i="9"/>
  <c r="BP309" i="20"/>
  <c r="CB54" i="9"/>
  <c r="BP302" i="20"/>
  <c r="CB120" i="9"/>
  <c r="BP308" i="20"/>
  <c r="CB57" i="9"/>
  <c r="BP305" i="20"/>
  <c r="CB280" i="9"/>
  <c r="BP304" i="20"/>
  <c r="CH327" i="20"/>
  <c r="CH315" i="20"/>
  <c r="BH300" i="20"/>
  <c r="BK306" i="9"/>
  <c r="BS313" i="20"/>
  <c r="CB300" i="9"/>
  <c r="BP301" i="20"/>
  <c r="CB187" i="9"/>
  <c r="BP312" i="20"/>
  <c r="BI57" i="9"/>
  <c r="BI280" i="9"/>
  <c r="B66" i="9"/>
  <c r="B316" i="20"/>
  <c r="B227" i="9"/>
  <c r="B303" i="20"/>
  <c r="P314" i="20"/>
  <c r="G314" i="20"/>
  <c r="F314" i="20"/>
  <c r="CH324" i="20"/>
  <c r="AT300" i="20"/>
  <c r="BR300" i="20"/>
  <c r="AM300" i="20"/>
  <c r="P300" i="20"/>
  <c r="G300" i="20"/>
  <c r="F300" i="20"/>
  <c r="CB246" i="9"/>
  <c r="BP314" i="20"/>
  <c r="CB253" i="9"/>
  <c r="BP311" i="20"/>
  <c r="CB227" i="9"/>
  <c r="BP303" i="20"/>
  <c r="CH321" i="20"/>
  <c r="B246" i="9"/>
  <c r="CD246" i="9" s="1"/>
  <c r="H54" i="9"/>
  <c r="F54" i="9"/>
  <c r="G54" i="9"/>
  <c r="H187" i="9"/>
  <c r="F187" i="9"/>
  <c r="G187" i="9"/>
  <c r="B253" i="9"/>
  <c r="B280" i="9"/>
  <c r="CD280" i="9" s="1"/>
  <c r="H109" i="9"/>
  <c r="G109" i="9"/>
  <c r="F109" i="9"/>
  <c r="H76" i="9"/>
  <c r="F76" i="9"/>
  <c r="G76" i="9"/>
  <c r="H80" i="9"/>
  <c r="G80" i="9"/>
  <c r="BW30" i="2"/>
  <c r="BX30" i="2" s="1"/>
  <c r="BK227" i="9"/>
  <c r="BI227" i="9"/>
  <c r="BK280" i="9"/>
  <c r="BK57" i="9"/>
  <c r="BK80" i="9"/>
  <c r="BI80" i="9"/>
  <c r="BK120" i="9"/>
  <c r="BI120" i="9"/>
  <c r="BI54" i="9"/>
  <c r="BK54" i="9"/>
  <c r="BK109" i="9"/>
  <c r="BI109" i="9"/>
  <c r="BK199" i="9"/>
  <c r="BI199" i="9"/>
  <c r="BK253" i="9"/>
  <c r="BI253" i="9"/>
  <c r="BK187" i="9"/>
  <c r="BK246" i="9"/>
  <c r="BI246" i="9"/>
  <c r="U9" i="1"/>
  <c r="BS11" i="2"/>
  <c r="CE11" i="2" s="1"/>
  <c r="BK300" i="9"/>
  <c r="BV11" i="2"/>
  <c r="CH11" i="2" s="1"/>
  <c r="BI300" i="9"/>
  <c r="BR11" i="2"/>
  <c r="CD11" i="2" s="1"/>
  <c r="BT11" i="2"/>
  <c r="CF11" i="2" s="1"/>
  <c r="BW17" i="2"/>
  <c r="BX17" i="2" s="1"/>
  <c r="F80" i="9"/>
  <c r="F57" i="9"/>
  <c r="H57" i="9"/>
  <c r="BQ300" i="20"/>
  <c r="BS300" i="20"/>
  <c r="V26" i="9"/>
  <c r="CK303" i="20" l="1"/>
  <c r="H303" i="20"/>
  <c r="CK310" i="20"/>
  <c r="H310" i="20"/>
  <c r="CK316" i="20"/>
  <c r="H316" i="20"/>
  <c r="CK311" i="20"/>
  <c r="H311" i="20"/>
  <c r="CK307" i="20"/>
  <c r="H307" i="20"/>
  <c r="H253" i="9"/>
  <c r="CD253" i="9"/>
  <c r="F227" i="9"/>
  <c r="CD227" i="9"/>
  <c r="F140" i="9"/>
  <c r="CD140" i="9"/>
  <c r="F66" i="9"/>
  <c r="CD66" i="9"/>
  <c r="H199" i="9"/>
  <c r="CD199" i="9"/>
  <c r="G140" i="9"/>
  <c r="G66" i="9"/>
  <c r="H140" i="9"/>
  <c r="G227" i="9"/>
  <c r="CH300" i="20"/>
  <c r="F199" i="9"/>
  <c r="H227" i="9"/>
  <c r="H66" i="9"/>
  <c r="G199" i="9"/>
  <c r="CH304" i="20"/>
  <c r="CH308" i="20"/>
  <c r="P310" i="20"/>
  <c r="G310" i="20"/>
  <c r="F310" i="20"/>
  <c r="P303" i="20"/>
  <c r="F303" i="20"/>
  <c r="G303" i="20"/>
  <c r="G311" i="20"/>
  <c r="P311" i="20"/>
  <c r="F311" i="20"/>
  <c r="F307" i="20"/>
  <c r="P307" i="20"/>
  <c r="G307" i="20"/>
  <c r="BP300" i="20"/>
  <c r="CH314" i="20"/>
  <c r="G316" i="20"/>
  <c r="P316" i="20"/>
  <c r="F316" i="20"/>
  <c r="F246" i="9"/>
  <c r="G246" i="9"/>
  <c r="H246" i="9"/>
  <c r="F253" i="9"/>
  <c r="G253" i="9"/>
  <c r="H280" i="9"/>
  <c r="F280" i="9"/>
  <c r="G280" i="9"/>
  <c r="BW11" i="2"/>
  <c r="BX11" i="2" s="1"/>
  <c r="D36" i="9"/>
  <c r="D83" i="9"/>
  <c r="D264" i="9"/>
  <c r="D259" i="9"/>
  <c r="D301" i="9"/>
  <c r="D230" i="9"/>
  <c r="D288" i="9"/>
  <c r="D316" i="9"/>
  <c r="D29" i="9"/>
  <c r="D37" i="9"/>
  <c r="D90" i="9"/>
  <c r="D163" i="9"/>
  <c r="D294" i="9"/>
  <c r="D190" i="9"/>
  <c r="D226" i="9"/>
  <c r="D260" i="9"/>
  <c r="D23" i="9"/>
  <c r="D30" i="9"/>
  <c r="D84" i="9"/>
  <c r="D173" i="9"/>
  <c r="D239" i="9"/>
  <c r="D249" i="9"/>
  <c r="D271" i="9"/>
  <c r="D320" i="9"/>
  <c r="D64" i="9"/>
  <c r="D68" i="9"/>
  <c r="D92" i="9"/>
  <c r="D119" i="9"/>
  <c r="D149" i="9"/>
  <c r="D235" i="9"/>
  <c r="D278" i="9"/>
  <c r="D32" i="9"/>
  <c r="D35" i="9"/>
  <c r="D73" i="9"/>
  <c r="D79" i="9"/>
  <c r="D131" i="9"/>
  <c r="D225" i="9"/>
  <c r="D242" i="9"/>
  <c r="D8" i="9"/>
  <c r="D12" i="9"/>
  <c r="D16" i="9"/>
  <c r="D38" i="9"/>
  <c r="D81" i="9"/>
  <c r="D82" i="9"/>
  <c r="D88" i="9"/>
  <c r="D133" i="9"/>
  <c r="D137" i="9"/>
  <c r="D170" i="9"/>
  <c r="D201" i="9"/>
  <c r="D202" i="9"/>
  <c r="D211" i="9"/>
  <c r="D244" i="9"/>
  <c r="D261" i="9"/>
  <c r="D283" i="9"/>
  <c r="D285" i="9"/>
  <c r="D128" i="9"/>
  <c r="D159" i="9"/>
  <c r="D177" i="9"/>
  <c r="D240" i="9"/>
  <c r="D315" i="9"/>
  <c r="D33" i="9"/>
  <c r="D49" i="9"/>
  <c r="D62" i="9"/>
  <c r="D78" i="9"/>
  <c r="D166" i="9"/>
  <c r="D182" i="9"/>
  <c r="D186" i="9"/>
  <c r="D236" i="9"/>
  <c r="D290" i="9"/>
  <c r="D19" i="9"/>
  <c r="D147" i="9"/>
  <c r="D274" i="9"/>
  <c r="D295" i="9"/>
  <c r="D297" i="9"/>
  <c r="D299" i="9"/>
  <c r="D302" i="9"/>
  <c r="D303" i="9"/>
  <c r="D304" i="9"/>
  <c r="D305" i="9"/>
  <c r="D307" i="9"/>
  <c r="D308" i="9"/>
  <c r="D309" i="9"/>
  <c r="D310" i="9"/>
  <c r="D311" i="9"/>
  <c r="D313" i="9"/>
  <c r="D314" i="9"/>
  <c r="D317" i="9"/>
  <c r="D318" i="9"/>
  <c r="D247" i="9"/>
  <c r="D5" i="9"/>
  <c r="D6" i="9"/>
  <c r="D7" i="9"/>
  <c r="D9" i="9"/>
  <c r="D10" i="9"/>
  <c r="D11" i="9"/>
  <c r="D13" i="9"/>
  <c r="D14" i="9"/>
  <c r="D15" i="9"/>
  <c r="D18" i="9"/>
  <c r="D21" i="9"/>
  <c r="D22" i="9"/>
  <c r="D25" i="9"/>
  <c r="D27" i="9"/>
  <c r="D28" i="9"/>
  <c r="D31" i="9"/>
  <c r="D39" i="9"/>
  <c r="D41" i="9"/>
  <c r="D42" i="9"/>
  <c r="D43" i="9"/>
  <c r="D44" i="9"/>
  <c r="D45" i="9"/>
  <c r="D46" i="9"/>
  <c r="D47" i="9"/>
  <c r="D48" i="9"/>
  <c r="D50" i="9"/>
  <c r="D51" i="9"/>
  <c r="D52" i="9"/>
  <c r="D55" i="9"/>
  <c r="D58" i="9"/>
  <c r="D59" i="9"/>
  <c r="D60" i="9"/>
  <c r="D61" i="9"/>
  <c r="D63" i="9"/>
  <c r="D65" i="9"/>
  <c r="D67" i="9"/>
  <c r="D69" i="9"/>
  <c r="D70" i="9"/>
  <c r="D71" i="9"/>
  <c r="D72" i="9"/>
  <c r="D74" i="9"/>
  <c r="D75" i="9"/>
  <c r="D77" i="9"/>
  <c r="D85" i="9"/>
  <c r="D86" i="9"/>
  <c r="D89" i="9"/>
  <c r="D91" i="9"/>
  <c r="D93" i="9"/>
  <c r="D95" i="9"/>
  <c r="D96" i="9"/>
  <c r="D97" i="9"/>
  <c r="D99" i="9"/>
  <c r="D100" i="9"/>
  <c r="D101" i="9"/>
  <c r="D102" i="9"/>
  <c r="D103" i="9"/>
  <c r="D104" i="9"/>
  <c r="D105" i="9"/>
  <c r="D3" i="9"/>
  <c r="D106" i="9"/>
  <c r="D107" i="9"/>
  <c r="D108" i="9"/>
  <c r="D110" i="9"/>
  <c r="D111" i="9"/>
  <c r="D112" i="9"/>
  <c r="D113" i="9"/>
  <c r="D114" i="9"/>
  <c r="D115" i="9"/>
  <c r="D116" i="9"/>
  <c r="D118" i="9"/>
  <c r="D123" i="9"/>
  <c r="D125" i="9"/>
  <c r="D126" i="9"/>
  <c r="D127" i="9"/>
  <c r="D129" i="9"/>
  <c r="D130" i="9"/>
  <c r="D132" i="9"/>
  <c r="D138" i="9"/>
  <c r="D139" i="9"/>
  <c r="D141" i="9"/>
  <c r="D142" i="9"/>
  <c r="D143" i="9"/>
  <c r="D144" i="9"/>
  <c r="D145" i="9"/>
  <c r="D146" i="9"/>
  <c r="D148" i="9"/>
  <c r="D150" i="9"/>
  <c r="D151" i="9"/>
  <c r="D152" i="9"/>
  <c r="D153" i="9"/>
  <c r="D156" i="9"/>
  <c r="D157" i="9"/>
  <c r="D158" i="9"/>
  <c r="D161" i="9"/>
  <c r="D162" i="9"/>
  <c r="D164" i="9"/>
  <c r="D165" i="9"/>
  <c r="D167" i="9"/>
  <c r="D169" i="9"/>
  <c r="D273" i="9"/>
  <c r="D171" i="9"/>
  <c r="D172" i="9"/>
  <c r="D175" i="9"/>
  <c r="D176" i="9"/>
  <c r="D178" i="9"/>
  <c r="D179" i="9"/>
  <c r="D180" i="9"/>
  <c r="D181" i="9"/>
  <c r="D183" i="9"/>
  <c r="D184" i="9"/>
  <c r="D188" i="9"/>
  <c r="D189" i="9"/>
  <c r="D191" i="9"/>
  <c r="D192" i="9"/>
  <c r="D193" i="9"/>
  <c r="D194" i="9"/>
  <c r="D195" i="9"/>
  <c r="D196" i="9"/>
  <c r="D197" i="9"/>
  <c r="D198" i="9"/>
  <c r="D203" i="9"/>
  <c r="D204" i="9"/>
  <c r="D205" i="9"/>
  <c r="D207" i="9"/>
  <c r="D208" i="9"/>
  <c r="D209" i="9"/>
  <c r="D210" i="9"/>
  <c r="D212" i="9"/>
  <c r="D216" i="9"/>
  <c r="D218" i="9"/>
  <c r="D217" i="9"/>
  <c r="D219" i="9"/>
  <c r="D220" i="9"/>
  <c r="D221" i="9"/>
  <c r="D223" i="9"/>
  <c r="D224" i="9"/>
  <c r="D229" i="9"/>
  <c r="D231" i="9"/>
  <c r="D233" i="9"/>
  <c r="D234" i="9"/>
  <c r="D237" i="9"/>
  <c r="D238" i="9"/>
  <c r="D241" i="9"/>
  <c r="D243" i="9"/>
  <c r="D245" i="9"/>
  <c r="D248" i="9"/>
  <c r="D250" i="9"/>
  <c r="D251" i="9"/>
  <c r="D252" i="9"/>
  <c r="D255" i="9"/>
  <c r="D256" i="9"/>
  <c r="D258" i="9"/>
  <c r="D262" i="9"/>
  <c r="D263" i="9"/>
  <c r="D265" i="9"/>
  <c r="D266" i="9"/>
  <c r="D267" i="9"/>
  <c r="D268" i="9"/>
  <c r="D269" i="9"/>
  <c r="D270" i="9"/>
  <c r="D272" i="9"/>
  <c r="D275" i="9"/>
  <c r="D276" i="9"/>
  <c r="D279" i="9"/>
  <c r="D281" i="9"/>
  <c r="D284" i="9"/>
  <c r="D286" i="9"/>
  <c r="D287" i="9"/>
  <c r="D291" i="9"/>
  <c r="D293" i="9"/>
  <c r="BK90" i="9"/>
  <c r="BY36" i="9"/>
  <c r="BY83" i="9"/>
  <c r="BY264" i="9"/>
  <c r="BY259" i="9"/>
  <c r="BY301" i="9"/>
  <c r="BY230" i="9"/>
  <c r="BY288" i="9"/>
  <c r="BY316" i="9"/>
  <c r="BY29" i="9"/>
  <c r="BY37" i="9"/>
  <c r="BY90" i="9"/>
  <c r="BY163" i="9"/>
  <c r="BY294" i="9"/>
  <c r="BY190" i="9"/>
  <c r="BY226" i="9"/>
  <c r="BY260" i="9"/>
  <c r="BY23" i="9"/>
  <c r="BY30" i="9"/>
  <c r="BY84" i="9"/>
  <c r="BY173" i="9"/>
  <c r="BY239" i="9"/>
  <c r="BY249" i="9"/>
  <c r="BY271" i="9"/>
  <c r="BY320" i="9"/>
  <c r="BY64" i="9"/>
  <c r="BY68" i="9"/>
  <c r="BY92" i="9"/>
  <c r="BY119" i="9"/>
  <c r="BY149" i="9"/>
  <c r="BY235" i="9"/>
  <c r="BY278" i="9"/>
  <c r="BY32" i="9"/>
  <c r="BY35" i="9"/>
  <c r="BY73" i="9"/>
  <c r="BY79" i="9"/>
  <c r="BY131" i="9"/>
  <c r="BY225" i="9"/>
  <c r="BY242" i="9"/>
  <c r="BY8" i="9"/>
  <c r="BY12" i="9"/>
  <c r="BY16" i="9"/>
  <c r="BY38" i="9"/>
  <c r="BY81" i="9"/>
  <c r="BY82" i="9"/>
  <c r="BY88" i="9"/>
  <c r="BY133" i="9"/>
  <c r="BY137" i="9"/>
  <c r="BY170" i="9"/>
  <c r="BY201" i="9"/>
  <c r="BY202" i="9"/>
  <c r="BY211" i="9"/>
  <c r="BY244" i="9"/>
  <c r="BY261" i="9"/>
  <c r="BY283" i="9"/>
  <c r="BY285" i="9"/>
  <c r="BY128" i="9"/>
  <c r="BY159" i="9"/>
  <c r="BY177" i="9"/>
  <c r="BY240" i="9"/>
  <c r="BY315" i="9"/>
  <c r="BY33" i="9"/>
  <c r="BY49" i="9"/>
  <c r="BY62" i="9"/>
  <c r="BY78" i="9"/>
  <c r="BY166" i="9"/>
  <c r="BY182" i="9"/>
  <c r="BY186" i="9"/>
  <c r="BY236" i="9"/>
  <c r="BY290" i="9"/>
  <c r="BY19" i="9"/>
  <c r="BY147" i="9"/>
  <c r="BY274" i="9"/>
  <c r="BY295" i="9"/>
  <c r="BY297" i="9"/>
  <c r="BY299" i="9"/>
  <c r="BY302" i="9"/>
  <c r="BY303" i="9"/>
  <c r="BY304" i="9"/>
  <c r="BY305" i="9"/>
  <c r="BY307" i="9"/>
  <c r="BY308" i="9"/>
  <c r="BY309" i="9"/>
  <c r="BY310" i="9"/>
  <c r="BY311" i="9"/>
  <c r="BY313" i="9"/>
  <c r="BY314" i="9"/>
  <c r="BY317" i="9"/>
  <c r="BY318" i="9"/>
  <c r="BY247" i="9"/>
  <c r="BY5" i="9"/>
  <c r="BY6" i="9"/>
  <c r="BY7" i="9"/>
  <c r="BY9" i="9"/>
  <c r="BY10" i="9"/>
  <c r="BY11" i="9"/>
  <c r="BY13" i="9"/>
  <c r="BY14" i="9"/>
  <c r="BY15" i="9"/>
  <c r="BY18" i="9"/>
  <c r="BY21" i="9"/>
  <c r="BY22" i="9"/>
  <c r="BY25" i="9"/>
  <c r="BY27" i="9"/>
  <c r="BY28" i="9"/>
  <c r="BY31" i="9"/>
  <c r="BY39" i="9"/>
  <c r="BY41" i="9"/>
  <c r="BY42" i="9"/>
  <c r="BY43" i="9"/>
  <c r="BY44" i="9"/>
  <c r="BY45" i="9"/>
  <c r="BY46" i="9"/>
  <c r="BY47" i="9"/>
  <c r="BY48" i="9"/>
  <c r="BY50" i="9"/>
  <c r="BY51" i="9"/>
  <c r="BY52" i="9"/>
  <c r="BY55" i="9"/>
  <c r="BY58" i="9"/>
  <c r="BY59" i="9"/>
  <c r="BY60" i="9"/>
  <c r="BY61" i="9"/>
  <c r="BY63" i="9"/>
  <c r="BY65" i="9"/>
  <c r="BY67" i="9"/>
  <c r="BY69" i="9"/>
  <c r="BY70" i="9"/>
  <c r="BY71" i="9"/>
  <c r="BY72" i="9"/>
  <c r="BY74" i="9"/>
  <c r="BY75" i="9"/>
  <c r="BY77" i="9"/>
  <c r="BY85" i="9"/>
  <c r="BY86" i="9"/>
  <c r="BY89" i="9"/>
  <c r="BY91" i="9"/>
  <c r="BY93" i="9"/>
  <c r="BY95" i="9"/>
  <c r="BY96" i="9"/>
  <c r="BY97" i="9"/>
  <c r="BY99" i="9"/>
  <c r="BY100" i="9"/>
  <c r="BY101" i="9"/>
  <c r="BY102" i="9"/>
  <c r="BY103" i="9"/>
  <c r="BY104" i="9"/>
  <c r="BY105" i="9"/>
  <c r="BY3" i="9"/>
  <c r="BY106" i="9"/>
  <c r="BY107" i="9"/>
  <c r="BY108" i="9"/>
  <c r="BY110" i="9"/>
  <c r="BY111" i="9"/>
  <c r="BY112" i="9"/>
  <c r="BY113" i="9"/>
  <c r="BY114" i="9"/>
  <c r="BY115" i="9"/>
  <c r="BY116" i="9"/>
  <c r="BY118" i="9"/>
  <c r="BY123" i="9"/>
  <c r="BY125" i="9"/>
  <c r="BY126" i="9"/>
  <c r="BY127" i="9"/>
  <c r="BY129" i="9"/>
  <c r="BY130" i="9"/>
  <c r="BY132" i="9"/>
  <c r="BY138" i="9"/>
  <c r="BY139" i="9"/>
  <c r="BY141" i="9"/>
  <c r="BY142" i="9"/>
  <c r="BY143" i="9"/>
  <c r="BY144" i="9"/>
  <c r="BY145" i="9"/>
  <c r="BY146" i="9"/>
  <c r="BY148" i="9"/>
  <c r="BY150" i="9"/>
  <c r="BY151" i="9"/>
  <c r="BY152" i="9"/>
  <c r="BY153" i="9"/>
  <c r="BY156" i="9"/>
  <c r="BY157" i="9"/>
  <c r="BY158" i="9"/>
  <c r="BY161" i="9"/>
  <c r="BY162" i="9"/>
  <c r="BY164" i="9"/>
  <c r="BY165" i="9"/>
  <c r="BY167" i="9"/>
  <c r="BY169" i="9"/>
  <c r="BY273" i="9"/>
  <c r="BY171" i="9"/>
  <c r="BY172" i="9"/>
  <c r="BY175" i="9"/>
  <c r="BY176" i="9"/>
  <c r="BY178" i="9"/>
  <c r="BY179" i="9"/>
  <c r="BY180" i="9"/>
  <c r="BY181" i="9"/>
  <c r="BY183" i="9"/>
  <c r="BY184" i="9"/>
  <c r="BY188" i="9"/>
  <c r="BY189" i="9"/>
  <c r="BY191" i="9"/>
  <c r="BY192" i="9"/>
  <c r="BY193" i="9"/>
  <c r="BY194" i="9"/>
  <c r="BY195" i="9"/>
  <c r="BY196" i="9"/>
  <c r="BY197" i="9"/>
  <c r="BY198" i="9"/>
  <c r="BY203" i="9"/>
  <c r="BY204" i="9"/>
  <c r="BY205" i="9"/>
  <c r="BY207" i="9"/>
  <c r="BY208" i="9"/>
  <c r="BY209" i="9"/>
  <c r="BY210" i="9"/>
  <c r="BY212" i="9"/>
  <c r="BY216" i="9"/>
  <c r="BY218" i="9"/>
  <c r="BY217" i="9"/>
  <c r="BY219" i="9"/>
  <c r="BY220" i="9"/>
  <c r="BY221" i="9"/>
  <c r="BY223" i="9"/>
  <c r="BY224" i="9"/>
  <c r="BY229" i="9"/>
  <c r="BY231" i="9"/>
  <c r="BY233" i="9"/>
  <c r="BY234" i="9"/>
  <c r="BY237" i="9"/>
  <c r="BY238" i="9"/>
  <c r="BY241" i="9"/>
  <c r="BY243" i="9"/>
  <c r="BY245" i="9"/>
  <c r="BY248" i="9"/>
  <c r="BY250" i="9"/>
  <c r="BY251" i="9"/>
  <c r="BY252" i="9"/>
  <c r="BY255" i="9"/>
  <c r="BY256" i="9"/>
  <c r="BY258" i="9"/>
  <c r="BY262" i="9"/>
  <c r="BY263" i="9"/>
  <c r="BY265" i="9"/>
  <c r="BY266" i="9"/>
  <c r="BY267" i="9"/>
  <c r="BY268" i="9"/>
  <c r="BY269" i="9"/>
  <c r="BY270" i="9"/>
  <c r="BY272" i="9"/>
  <c r="BY275" i="9"/>
  <c r="BY276" i="9"/>
  <c r="BY279" i="9"/>
  <c r="BY281" i="9"/>
  <c r="BY284" i="9"/>
  <c r="BY286" i="9"/>
  <c r="BY287" i="9"/>
  <c r="BY291" i="9"/>
  <c r="BY293" i="9"/>
  <c r="BY312" i="9"/>
  <c r="BY154" i="9"/>
  <c r="BP154" i="9"/>
  <c r="BP36" i="9"/>
  <c r="BP83" i="9"/>
  <c r="BP264" i="9"/>
  <c r="BP259" i="9"/>
  <c r="BP301" i="9"/>
  <c r="BP230" i="9"/>
  <c r="BP288" i="9"/>
  <c r="BP316" i="9"/>
  <c r="BP29" i="9"/>
  <c r="BP37" i="9"/>
  <c r="BP90" i="9"/>
  <c r="BP163" i="9"/>
  <c r="BP294" i="9"/>
  <c r="BP190" i="9"/>
  <c r="BP226" i="9"/>
  <c r="BP260" i="9"/>
  <c r="BP23" i="9"/>
  <c r="BP30" i="9"/>
  <c r="BP84" i="9"/>
  <c r="BP173" i="9"/>
  <c r="BP239" i="9"/>
  <c r="BP249" i="9"/>
  <c r="BP271" i="9"/>
  <c r="BP320" i="9"/>
  <c r="BP64" i="9"/>
  <c r="BP68" i="9"/>
  <c r="BP92" i="9"/>
  <c r="BP119" i="9"/>
  <c r="BP149" i="9"/>
  <c r="BP235" i="9"/>
  <c r="BP278" i="9"/>
  <c r="BP32" i="9"/>
  <c r="BP35" i="9"/>
  <c r="BP73" i="9"/>
  <c r="BP79" i="9"/>
  <c r="BP131" i="9"/>
  <c r="BP225" i="9"/>
  <c r="BP242" i="9"/>
  <c r="BP8" i="9"/>
  <c r="BP12" i="9"/>
  <c r="BP16" i="9"/>
  <c r="BP38" i="9"/>
  <c r="BP81" i="9"/>
  <c r="BP82" i="9"/>
  <c r="BP88" i="9"/>
  <c r="BP133" i="9"/>
  <c r="BP137" i="9"/>
  <c r="BP170" i="9"/>
  <c r="BP201" i="9"/>
  <c r="BP202" i="9"/>
  <c r="BP211" i="9"/>
  <c r="BP244" i="9"/>
  <c r="BP261" i="9"/>
  <c r="BP283" i="9"/>
  <c r="BP285" i="9"/>
  <c r="BP128" i="9"/>
  <c r="BP159" i="9"/>
  <c r="BP177" i="9"/>
  <c r="BP240" i="9"/>
  <c r="BP315" i="9"/>
  <c r="BP33" i="9"/>
  <c r="BP49" i="9"/>
  <c r="BP62" i="9"/>
  <c r="BP78" i="9"/>
  <c r="BP166" i="9"/>
  <c r="BP182" i="9"/>
  <c r="BP186" i="9"/>
  <c r="BP236" i="9"/>
  <c r="BP290" i="9"/>
  <c r="BP19" i="9"/>
  <c r="BP147" i="9"/>
  <c r="BP274" i="9"/>
  <c r="BP295" i="9"/>
  <c r="BP297" i="9"/>
  <c r="BP299" i="9"/>
  <c r="BP302" i="9"/>
  <c r="BP303" i="9"/>
  <c r="BP304" i="9"/>
  <c r="BP305" i="9"/>
  <c r="BP307" i="9"/>
  <c r="BP308" i="9"/>
  <c r="BP309" i="9"/>
  <c r="BP310" i="9"/>
  <c r="BP311" i="9"/>
  <c r="BP313" i="9"/>
  <c r="BP314" i="9"/>
  <c r="BP317" i="9"/>
  <c r="BP318" i="9"/>
  <c r="BP247" i="9"/>
  <c r="BP5" i="9"/>
  <c r="BP6" i="9"/>
  <c r="BP7" i="9"/>
  <c r="BP9" i="9"/>
  <c r="BP10" i="9"/>
  <c r="BP11" i="9"/>
  <c r="BP13" i="9"/>
  <c r="BP14" i="9"/>
  <c r="BP15" i="9"/>
  <c r="BP18" i="9"/>
  <c r="BP21" i="9"/>
  <c r="BP22" i="9"/>
  <c r="BP25" i="9"/>
  <c r="BP27" i="9"/>
  <c r="BP28" i="9"/>
  <c r="BP31" i="9"/>
  <c r="BP39" i="9"/>
  <c r="BP41" i="9"/>
  <c r="BP42" i="9"/>
  <c r="BP43" i="9"/>
  <c r="BP44" i="9"/>
  <c r="BP45" i="9"/>
  <c r="BP46" i="9"/>
  <c r="BP47" i="9"/>
  <c r="BP48" i="9"/>
  <c r="BP50" i="9"/>
  <c r="BP51" i="9"/>
  <c r="BP52" i="9"/>
  <c r="BP55" i="9"/>
  <c r="BP58" i="9"/>
  <c r="BP59" i="9"/>
  <c r="BP60" i="9"/>
  <c r="BP61" i="9"/>
  <c r="BP63" i="9"/>
  <c r="BP65" i="9"/>
  <c r="BP67" i="9"/>
  <c r="BP69" i="9"/>
  <c r="BP70" i="9"/>
  <c r="BP71" i="9"/>
  <c r="BP72" i="9"/>
  <c r="BP74" i="9"/>
  <c r="BP75" i="9"/>
  <c r="BP77" i="9"/>
  <c r="BP85" i="9"/>
  <c r="BP86" i="9"/>
  <c r="BP89" i="9"/>
  <c r="BP91" i="9"/>
  <c r="BP93" i="9"/>
  <c r="BP95" i="9"/>
  <c r="BP96" i="9"/>
  <c r="BP97" i="9"/>
  <c r="BP99" i="9"/>
  <c r="BP100" i="9"/>
  <c r="BP101" i="9"/>
  <c r="BP102" i="9"/>
  <c r="BP103" i="9"/>
  <c r="BP104" i="9"/>
  <c r="BP105" i="9"/>
  <c r="BP3" i="9"/>
  <c r="BP106" i="9"/>
  <c r="BP107" i="9"/>
  <c r="BP108" i="9"/>
  <c r="BP110" i="9"/>
  <c r="BP111" i="9"/>
  <c r="BP112" i="9"/>
  <c r="BP113" i="9"/>
  <c r="BP114" i="9"/>
  <c r="BP115" i="9"/>
  <c r="BP116" i="9"/>
  <c r="BP118" i="9"/>
  <c r="BP123" i="9"/>
  <c r="BP125" i="9"/>
  <c r="BP126" i="9"/>
  <c r="BP127" i="9"/>
  <c r="BP129" i="9"/>
  <c r="BP130" i="9"/>
  <c r="BP132" i="9"/>
  <c r="BP138" i="9"/>
  <c r="BP139" i="9"/>
  <c r="BP141" i="9"/>
  <c r="BP142" i="9"/>
  <c r="BP143" i="9"/>
  <c r="BP144" i="9"/>
  <c r="BP145" i="9"/>
  <c r="BP146" i="9"/>
  <c r="BP148" i="9"/>
  <c r="BP150" i="9"/>
  <c r="BP151" i="9"/>
  <c r="BP152" i="9"/>
  <c r="BP153" i="9"/>
  <c r="BP156" i="9"/>
  <c r="BP157" i="9"/>
  <c r="BP158" i="9"/>
  <c r="BP161" i="9"/>
  <c r="BP162" i="9"/>
  <c r="BP164" i="9"/>
  <c r="BP165" i="9"/>
  <c r="BP167" i="9"/>
  <c r="BP169" i="9"/>
  <c r="BP273" i="9"/>
  <c r="BP171" i="9"/>
  <c r="BP172" i="9"/>
  <c r="BP175" i="9"/>
  <c r="BP176" i="9"/>
  <c r="BP178" i="9"/>
  <c r="BP179" i="9"/>
  <c r="BP180" i="9"/>
  <c r="BP181" i="9"/>
  <c r="BP183" i="9"/>
  <c r="BP184" i="9"/>
  <c r="BP188" i="9"/>
  <c r="BP189" i="9"/>
  <c r="BP191" i="9"/>
  <c r="BP192" i="9"/>
  <c r="BP193" i="9"/>
  <c r="BP194" i="9"/>
  <c r="BP195" i="9"/>
  <c r="BP196" i="9"/>
  <c r="BP197" i="9"/>
  <c r="BP198" i="9"/>
  <c r="BP203" i="9"/>
  <c r="BP204" i="9"/>
  <c r="BP205" i="9"/>
  <c r="BP207" i="9"/>
  <c r="BP208" i="9"/>
  <c r="BP209" i="9"/>
  <c r="BP210" i="9"/>
  <c r="BP212" i="9"/>
  <c r="BP216" i="9"/>
  <c r="BP218" i="9"/>
  <c r="BP217" i="9"/>
  <c r="BP219" i="9"/>
  <c r="BP220" i="9"/>
  <c r="BP221" i="9"/>
  <c r="BP223" i="9"/>
  <c r="BP224" i="9"/>
  <c r="BP229" i="9"/>
  <c r="BP231" i="9"/>
  <c r="BP233" i="9"/>
  <c r="BP234" i="9"/>
  <c r="BP237" i="9"/>
  <c r="BP238" i="9"/>
  <c r="BP241" i="9"/>
  <c r="BP243" i="9"/>
  <c r="BP245" i="9"/>
  <c r="BP248" i="9"/>
  <c r="BP250" i="9"/>
  <c r="BP251" i="9"/>
  <c r="BP252" i="9"/>
  <c r="BP255" i="9"/>
  <c r="BP256" i="9"/>
  <c r="BP258" i="9"/>
  <c r="BP262" i="9"/>
  <c r="BP263" i="9"/>
  <c r="BP265" i="9"/>
  <c r="BP266" i="9"/>
  <c r="BP267" i="9"/>
  <c r="BP268" i="9"/>
  <c r="BP269" i="9"/>
  <c r="BP270" i="9"/>
  <c r="BP272" i="9"/>
  <c r="BP275" i="9"/>
  <c r="BP276" i="9"/>
  <c r="BP279" i="9"/>
  <c r="BP281" i="9"/>
  <c r="BP284" i="9"/>
  <c r="BP286" i="9"/>
  <c r="BP287" i="9"/>
  <c r="BP291" i="9"/>
  <c r="BP293" i="9"/>
  <c r="BP312" i="9"/>
  <c r="BO154" i="9"/>
  <c r="BO36" i="9"/>
  <c r="BO83" i="9"/>
  <c r="BO264" i="9"/>
  <c r="BO259" i="9"/>
  <c r="BO301" i="9"/>
  <c r="BO230" i="9"/>
  <c r="BO288" i="9"/>
  <c r="BO316" i="9"/>
  <c r="BO29" i="9"/>
  <c r="BO37" i="9"/>
  <c r="BO90" i="9"/>
  <c r="BO163" i="9"/>
  <c r="BO294" i="9"/>
  <c r="BO190" i="9"/>
  <c r="BO226" i="9"/>
  <c r="BO260" i="9"/>
  <c r="BO23" i="9"/>
  <c r="BO30" i="9"/>
  <c r="BO84" i="9"/>
  <c r="BO173" i="9"/>
  <c r="BO239" i="9"/>
  <c r="BO249" i="9"/>
  <c r="BO271" i="9"/>
  <c r="BO320" i="9"/>
  <c r="BO64" i="9"/>
  <c r="BO68" i="9"/>
  <c r="BO92" i="9"/>
  <c r="BO119" i="9"/>
  <c r="BO149" i="9"/>
  <c r="BO235" i="9"/>
  <c r="BO278" i="9"/>
  <c r="BO32" i="9"/>
  <c r="BO35" i="9"/>
  <c r="BO73" i="9"/>
  <c r="BO79" i="9"/>
  <c r="BO131" i="9"/>
  <c r="BO225" i="9"/>
  <c r="BO242" i="9"/>
  <c r="BO8" i="9"/>
  <c r="BO12" i="9"/>
  <c r="BO16" i="9"/>
  <c r="BO38" i="9"/>
  <c r="BO81" i="9"/>
  <c r="BO82" i="9"/>
  <c r="BO88" i="9"/>
  <c r="BO133" i="9"/>
  <c r="BO137" i="9"/>
  <c r="BO170" i="9"/>
  <c r="BO201" i="9"/>
  <c r="BO202" i="9"/>
  <c r="BO211" i="9"/>
  <c r="BO244" i="9"/>
  <c r="BO261" i="9"/>
  <c r="BO283" i="9"/>
  <c r="BO285" i="9"/>
  <c r="BO128" i="9"/>
  <c r="BO159" i="9"/>
  <c r="BO177" i="9"/>
  <c r="BO240" i="9"/>
  <c r="BO315" i="9"/>
  <c r="BO33" i="9"/>
  <c r="BO49" i="9"/>
  <c r="BO62" i="9"/>
  <c r="BO78" i="9"/>
  <c r="BO166" i="9"/>
  <c r="BO182" i="9"/>
  <c r="BO186" i="9"/>
  <c r="BO236" i="9"/>
  <c r="BO290" i="9"/>
  <c r="BO19" i="9"/>
  <c r="BO147" i="9"/>
  <c r="BO274" i="9"/>
  <c r="BO295" i="9"/>
  <c r="BO297" i="9"/>
  <c r="BO299" i="9"/>
  <c r="BO302" i="9"/>
  <c r="BO303" i="9"/>
  <c r="BO304" i="9"/>
  <c r="BO305" i="9"/>
  <c r="BO307" i="9"/>
  <c r="BO308" i="9"/>
  <c r="BO309" i="9"/>
  <c r="BO310" i="9"/>
  <c r="BO311" i="9"/>
  <c r="BO313" i="9"/>
  <c r="BO314" i="9"/>
  <c r="BO317" i="9"/>
  <c r="BO318" i="9"/>
  <c r="BO247" i="9"/>
  <c r="BO5" i="9"/>
  <c r="BO6" i="9"/>
  <c r="BO7" i="9"/>
  <c r="BO9" i="9"/>
  <c r="BO10" i="9"/>
  <c r="BO11" i="9"/>
  <c r="BO13" i="9"/>
  <c r="BO14" i="9"/>
  <c r="BO15" i="9"/>
  <c r="BO18" i="9"/>
  <c r="BO21" i="9"/>
  <c r="BO22" i="9"/>
  <c r="BO25" i="9"/>
  <c r="BO27" i="9"/>
  <c r="BO28" i="9"/>
  <c r="BO31" i="9"/>
  <c r="BO39" i="9"/>
  <c r="BO41" i="9"/>
  <c r="BO42" i="9"/>
  <c r="BO43" i="9"/>
  <c r="BO44" i="9"/>
  <c r="BO45" i="9"/>
  <c r="BO46" i="9"/>
  <c r="BO47" i="9"/>
  <c r="BO48" i="9"/>
  <c r="BO50" i="9"/>
  <c r="BO51" i="9"/>
  <c r="BO52" i="9"/>
  <c r="BO55" i="9"/>
  <c r="BO58" i="9"/>
  <c r="BO59" i="9"/>
  <c r="BO60" i="9"/>
  <c r="BO61" i="9"/>
  <c r="BO63" i="9"/>
  <c r="BO65" i="9"/>
  <c r="BO67" i="9"/>
  <c r="BO69" i="9"/>
  <c r="BO70" i="9"/>
  <c r="BO71" i="9"/>
  <c r="BO72" i="9"/>
  <c r="BO74" i="9"/>
  <c r="BO75" i="9"/>
  <c r="BO77" i="9"/>
  <c r="BO85" i="9"/>
  <c r="BO86" i="9"/>
  <c r="BO89" i="9"/>
  <c r="BO91" i="9"/>
  <c r="BO93" i="9"/>
  <c r="BO95" i="9"/>
  <c r="BO96" i="9"/>
  <c r="BO97" i="9"/>
  <c r="BO99" i="9"/>
  <c r="BO100" i="9"/>
  <c r="BO101" i="9"/>
  <c r="BO102" i="9"/>
  <c r="BO103" i="9"/>
  <c r="BO104" i="9"/>
  <c r="BO105" i="9"/>
  <c r="BO3" i="9"/>
  <c r="BO106" i="9"/>
  <c r="BO107" i="9"/>
  <c r="BO108" i="9"/>
  <c r="BO110" i="9"/>
  <c r="BO111" i="9"/>
  <c r="BO112" i="9"/>
  <c r="BO113" i="9"/>
  <c r="BO114" i="9"/>
  <c r="BO115" i="9"/>
  <c r="BO116" i="9"/>
  <c r="BO118" i="9"/>
  <c r="BO123" i="9"/>
  <c r="BO125" i="9"/>
  <c r="BO126" i="9"/>
  <c r="BO127" i="9"/>
  <c r="BO129" i="9"/>
  <c r="BO130" i="9"/>
  <c r="BO132" i="9"/>
  <c r="BO138" i="9"/>
  <c r="BO139" i="9"/>
  <c r="BO141" i="9"/>
  <c r="BO142" i="9"/>
  <c r="BO143" i="9"/>
  <c r="BO144" i="9"/>
  <c r="BO145" i="9"/>
  <c r="BO146" i="9"/>
  <c r="BO148" i="9"/>
  <c r="BO150" i="9"/>
  <c r="BO151" i="9"/>
  <c r="BO152" i="9"/>
  <c r="BO153" i="9"/>
  <c r="BO156" i="9"/>
  <c r="BO157" i="9"/>
  <c r="BO158" i="9"/>
  <c r="BO161" i="9"/>
  <c r="BO162" i="9"/>
  <c r="BO164" i="9"/>
  <c r="BO165" i="9"/>
  <c r="BO167" i="9"/>
  <c r="BO169" i="9"/>
  <c r="BO273" i="9"/>
  <c r="BO171" i="9"/>
  <c r="BO172" i="9"/>
  <c r="BO175" i="9"/>
  <c r="BO176" i="9"/>
  <c r="BO178" i="9"/>
  <c r="BO179" i="9"/>
  <c r="BO180" i="9"/>
  <c r="BO181" i="9"/>
  <c r="BO183" i="9"/>
  <c r="BO184" i="9"/>
  <c r="BO188" i="9"/>
  <c r="BO189" i="9"/>
  <c r="BO191" i="9"/>
  <c r="BO192" i="9"/>
  <c r="BO193" i="9"/>
  <c r="BO194" i="9"/>
  <c r="BO195" i="9"/>
  <c r="BO196" i="9"/>
  <c r="BO197" i="9"/>
  <c r="BO198" i="9"/>
  <c r="BO203" i="9"/>
  <c r="BO204" i="9"/>
  <c r="BO205" i="9"/>
  <c r="BO207" i="9"/>
  <c r="BO208" i="9"/>
  <c r="BO209" i="9"/>
  <c r="BO210" i="9"/>
  <c r="BO212" i="9"/>
  <c r="BO216" i="9"/>
  <c r="BO218" i="9"/>
  <c r="BO217" i="9"/>
  <c r="BO219" i="9"/>
  <c r="BO220" i="9"/>
  <c r="BO221" i="9"/>
  <c r="BO223" i="9"/>
  <c r="BO224" i="9"/>
  <c r="BO229" i="9"/>
  <c r="BO231" i="9"/>
  <c r="BO233" i="9"/>
  <c r="BO234" i="9"/>
  <c r="BO237" i="9"/>
  <c r="BO238" i="9"/>
  <c r="BO241" i="9"/>
  <c r="BO243" i="9"/>
  <c r="BO245" i="9"/>
  <c r="BO248" i="9"/>
  <c r="BO250" i="9"/>
  <c r="BO251" i="9"/>
  <c r="BO252" i="9"/>
  <c r="BO255" i="9"/>
  <c r="BO256" i="9"/>
  <c r="BO258" i="9"/>
  <c r="BO262" i="9"/>
  <c r="BO263" i="9"/>
  <c r="BO265" i="9"/>
  <c r="BO266" i="9"/>
  <c r="BO267" i="9"/>
  <c r="BO268" i="9"/>
  <c r="BO269" i="9"/>
  <c r="BO270" i="9"/>
  <c r="BO272" i="9"/>
  <c r="BO275" i="9"/>
  <c r="BO276" i="9"/>
  <c r="BO279" i="9"/>
  <c r="BO281" i="9"/>
  <c r="BO284" i="9"/>
  <c r="BO286" i="9"/>
  <c r="BO287" i="9"/>
  <c r="BO291" i="9"/>
  <c r="BO293" i="9"/>
  <c r="BO312" i="9"/>
  <c r="BN154" i="9"/>
  <c r="BN36" i="9"/>
  <c r="BN83" i="9"/>
  <c r="BN264" i="9"/>
  <c r="BN259" i="9"/>
  <c r="BN301" i="9"/>
  <c r="BN230" i="9"/>
  <c r="BN288" i="9"/>
  <c r="BN316" i="9"/>
  <c r="BN29" i="9"/>
  <c r="BN37" i="9"/>
  <c r="BN90" i="9"/>
  <c r="BN163" i="9"/>
  <c r="BN294" i="9"/>
  <c r="BN190" i="9"/>
  <c r="BN226" i="9"/>
  <c r="BN260" i="9"/>
  <c r="BN23" i="9"/>
  <c r="BN30" i="9"/>
  <c r="BN84" i="9"/>
  <c r="BN173" i="9"/>
  <c r="BN239" i="9"/>
  <c r="BN249" i="9"/>
  <c r="BN271" i="9"/>
  <c r="BN320" i="9"/>
  <c r="BN64" i="9"/>
  <c r="BN68" i="9"/>
  <c r="BN92" i="9"/>
  <c r="BN119" i="9"/>
  <c r="BN149" i="9"/>
  <c r="BN235" i="9"/>
  <c r="BN278" i="9"/>
  <c r="BN32" i="9"/>
  <c r="BN35" i="9"/>
  <c r="BN73" i="9"/>
  <c r="BN79" i="9"/>
  <c r="BN131" i="9"/>
  <c r="BN225" i="9"/>
  <c r="BN242" i="9"/>
  <c r="BN8" i="9"/>
  <c r="BN12" i="9"/>
  <c r="BN16" i="9"/>
  <c r="BN38" i="9"/>
  <c r="BN81" i="9"/>
  <c r="BN82" i="9"/>
  <c r="BN88" i="9"/>
  <c r="BN133" i="9"/>
  <c r="BN137" i="9"/>
  <c r="BN170" i="9"/>
  <c r="BN201" i="9"/>
  <c r="BN202" i="9"/>
  <c r="BN211" i="9"/>
  <c r="BN244" i="9"/>
  <c r="BN261" i="9"/>
  <c r="BN283" i="9"/>
  <c r="BN285" i="9"/>
  <c r="BN128" i="9"/>
  <c r="BN159" i="9"/>
  <c r="BN177" i="9"/>
  <c r="BN240" i="9"/>
  <c r="BN315" i="9"/>
  <c r="BN33" i="9"/>
  <c r="BN49" i="9"/>
  <c r="BN62" i="9"/>
  <c r="BN78" i="9"/>
  <c r="BN166" i="9"/>
  <c r="BN182" i="9"/>
  <c r="BN186" i="9"/>
  <c r="BN236" i="9"/>
  <c r="BN290" i="9"/>
  <c r="BN19" i="9"/>
  <c r="BN147" i="9"/>
  <c r="BN274" i="9"/>
  <c r="BN295" i="9"/>
  <c r="BN297" i="9"/>
  <c r="BN299" i="9"/>
  <c r="BN302" i="9"/>
  <c r="BN303" i="9"/>
  <c r="BN304" i="9"/>
  <c r="BN305" i="9"/>
  <c r="BN307" i="9"/>
  <c r="BN308" i="9"/>
  <c r="BN309" i="9"/>
  <c r="BN310" i="9"/>
  <c r="BN311" i="9"/>
  <c r="BN313" i="9"/>
  <c r="BN314" i="9"/>
  <c r="BN317" i="9"/>
  <c r="BN318" i="9"/>
  <c r="BN247" i="9"/>
  <c r="BN5" i="9"/>
  <c r="BN6" i="9"/>
  <c r="BN7" i="9"/>
  <c r="BN9" i="9"/>
  <c r="BN10" i="9"/>
  <c r="BN11" i="9"/>
  <c r="BN13" i="9"/>
  <c r="BN14" i="9"/>
  <c r="BN15" i="9"/>
  <c r="BN18" i="9"/>
  <c r="BN21" i="9"/>
  <c r="BN22" i="9"/>
  <c r="BN25" i="9"/>
  <c r="BN27" i="9"/>
  <c r="BN28" i="9"/>
  <c r="BN31" i="9"/>
  <c r="BN39" i="9"/>
  <c r="BN41" i="9"/>
  <c r="BN42" i="9"/>
  <c r="BN43" i="9"/>
  <c r="BN44" i="9"/>
  <c r="BN45" i="9"/>
  <c r="BN46" i="9"/>
  <c r="BN47" i="9"/>
  <c r="BN48" i="9"/>
  <c r="BN50" i="9"/>
  <c r="BN51" i="9"/>
  <c r="BN52" i="9"/>
  <c r="BN55" i="9"/>
  <c r="BN58" i="9"/>
  <c r="BN59" i="9"/>
  <c r="BN60" i="9"/>
  <c r="BN61" i="9"/>
  <c r="BN63" i="9"/>
  <c r="BN65" i="9"/>
  <c r="BN67" i="9"/>
  <c r="BN69" i="9"/>
  <c r="BN70" i="9"/>
  <c r="BN71" i="9"/>
  <c r="BN72" i="9"/>
  <c r="BN74" i="9"/>
  <c r="BN75" i="9"/>
  <c r="BN77" i="9"/>
  <c r="BN85" i="9"/>
  <c r="BN86" i="9"/>
  <c r="BN89" i="9"/>
  <c r="BN91" i="9"/>
  <c r="BN93" i="9"/>
  <c r="BN95" i="9"/>
  <c r="BN96" i="9"/>
  <c r="BN97" i="9"/>
  <c r="BN99" i="9"/>
  <c r="BN100" i="9"/>
  <c r="BN101" i="9"/>
  <c r="BN102" i="9"/>
  <c r="BN103" i="9"/>
  <c r="BN104" i="9"/>
  <c r="BN105" i="9"/>
  <c r="BN3" i="9"/>
  <c r="BN106" i="9"/>
  <c r="BN107" i="9"/>
  <c r="BN108" i="9"/>
  <c r="BN110" i="9"/>
  <c r="BN111" i="9"/>
  <c r="BN112" i="9"/>
  <c r="BN113" i="9"/>
  <c r="BN114" i="9"/>
  <c r="BN115" i="9"/>
  <c r="BN116" i="9"/>
  <c r="BN118" i="9"/>
  <c r="BN123" i="9"/>
  <c r="BN125" i="9"/>
  <c r="BN126" i="9"/>
  <c r="BN127" i="9"/>
  <c r="BN129" i="9"/>
  <c r="BN130" i="9"/>
  <c r="BN132" i="9"/>
  <c r="BN138" i="9"/>
  <c r="BN139" i="9"/>
  <c r="BN141" i="9"/>
  <c r="BN142" i="9"/>
  <c r="BN143" i="9"/>
  <c r="BN144" i="9"/>
  <c r="BN145" i="9"/>
  <c r="BN146" i="9"/>
  <c r="BN148" i="9"/>
  <c r="BN150" i="9"/>
  <c r="BN151" i="9"/>
  <c r="BN152" i="9"/>
  <c r="BN153" i="9"/>
  <c r="BN156" i="9"/>
  <c r="BN157" i="9"/>
  <c r="BN158" i="9"/>
  <c r="BN161" i="9"/>
  <c r="BN162" i="9"/>
  <c r="BN164" i="9"/>
  <c r="BN165" i="9"/>
  <c r="BN167" i="9"/>
  <c r="BN169" i="9"/>
  <c r="BN273" i="9"/>
  <c r="BN171" i="9"/>
  <c r="BN172" i="9"/>
  <c r="BN175" i="9"/>
  <c r="BN176" i="9"/>
  <c r="BN178" i="9"/>
  <c r="BN179" i="9"/>
  <c r="BN180" i="9"/>
  <c r="BN181" i="9"/>
  <c r="BN183" i="9"/>
  <c r="BN184" i="9"/>
  <c r="BN188" i="9"/>
  <c r="BN189" i="9"/>
  <c r="BN191" i="9"/>
  <c r="BN192" i="9"/>
  <c r="BN193" i="9"/>
  <c r="BN194" i="9"/>
  <c r="BN195" i="9"/>
  <c r="BN196" i="9"/>
  <c r="BN197" i="9"/>
  <c r="BN198" i="9"/>
  <c r="BN203" i="9"/>
  <c r="BN204" i="9"/>
  <c r="BN205" i="9"/>
  <c r="BN207" i="9"/>
  <c r="BN208" i="9"/>
  <c r="BN209" i="9"/>
  <c r="BN210" i="9"/>
  <c r="BN212" i="9"/>
  <c r="BN216" i="9"/>
  <c r="BN218" i="9"/>
  <c r="BN217" i="9"/>
  <c r="BN219" i="9"/>
  <c r="BN220" i="9"/>
  <c r="BN221" i="9"/>
  <c r="BN223" i="9"/>
  <c r="BN224" i="9"/>
  <c r="BN229" i="9"/>
  <c r="BN231" i="9"/>
  <c r="BN233" i="9"/>
  <c r="BN234" i="9"/>
  <c r="BN237" i="9"/>
  <c r="BN238" i="9"/>
  <c r="BN241" i="9"/>
  <c r="BN243" i="9"/>
  <c r="BN245" i="9"/>
  <c r="BN248" i="9"/>
  <c r="BN250" i="9"/>
  <c r="BN251" i="9"/>
  <c r="BN252" i="9"/>
  <c r="BN255" i="9"/>
  <c r="BN256" i="9"/>
  <c r="BN258" i="9"/>
  <c r="BN262" i="9"/>
  <c r="BN263" i="9"/>
  <c r="BN265" i="9"/>
  <c r="BN266" i="9"/>
  <c r="BN267" i="9"/>
  <c r="BN268" i="9"/>
  <c r="BN269" i="9"/>
  <c r="BN270" i="9"/>
  <c r="BN272" i="9"/>
  <c r="BN275" i="9"/>
  <c r="BN276" i="9"/>
  <c r="BN279" i="9"/>
  <c r="BN281" i="9"/>
  <c r="BN284" i="9"/>
  <c r="BN286" i="9"/>
  <c r="BN287" i="9"/>
  <c r="BN291" i="9"/>
  <c r="BN293" i="9"/>
  <c r="BN312" i="9"/>
  <c r="BM154" i="9"/>
  <c r="BM36" i="9"/>
  <c r="BM83" i="9"/>
  <c r="BM264" i="9"/>
  <c r="BM259" i="9"/>
  <c r="BM301" i="9"/>
  <c r="BM230" i="9"/>
  <c r="BM288" i="9"/>
  <c r="BM316" i="9"/>
  <c r="BM29" i="9"/>
  <c r="BM37" i="9"/>
  <c r="BM90" i="9"/>
  <c r="BM163" i="9"/>
  <c r="BM294" i="9"/>
  <c r="BM190" i="9"/>
  <c r="BM226" i="9"/>
  <c r="BM260" i="9"/>
  <c r="BM23" i="9"/>
  <c r="BM30" i="9"/>
  <c r="BM84" i="9"/>
  <c r="BM173" i="9"/>
  <c r="BM239" i="9"/>
  <c r="BM249" i="9"/>
  <c r="BM271" i="9"/>
  <c r="BM320" i="9"/>
  <c r="BM64" i="9"/>
  <c r="BM68" i="9"/>
  <c r="BM92" i="9"/>
  <c r="BM119" i="9"/>
  <c r="BM149" i="9"/>
  <c r="BM235" i="9"/>
  <c r="BM278" i="9"/>
  <c r="BM32" i="9"/>
  <c r="BM35" i="9"/>
  <c r="BM73" i="9"/>
  <c r="BM79" i="9"/>
  <c r="BM131" i="9"/>
  <c r="BM225" i="9"/>
  <c r="BM242" i="9"/>
  <c r="BM8" i="9"/>
  <c r="BM12" i="9"/>
  <c r="BM16" i="9"/>
  <c r="BM38" i="9"/>
  <c r="BM81" i="9"/>
  <c r="BM82" i="9"/>
  <c r="BM88" i="9"/>
  <c r="BM133" i="9"/>
  <c r="BM137" i="9"/>
  <c r="BM170" i="9"/>
  <c r="BM201" i="9"/>
  <c r="BM202" i="9"/>
  <c r="BM211" i="9"/>
  <c r="BM244" i="9"/>
  <c r="BM261" i="9"/>
  <c r="BM283" i="9"/>
  <c r="BM285" i="9"/>
  <c r="BM128" i="9"/>
  <c r="BM159" i="9"/>
  <c r="BM177" i="9"/>
  <c r="BM240" i="9"/>
  <c r="BM315" i="9"/>
  <c r="BM33" i="9"/>
  <c r="BM49" i="9"/>
  <c r="BM62" i="9"/>
  <c r="BM78" i="9"/>
  <c r="BM166" i="9"/>
  <c r="BM182" i="9"/>
  <c r="BM186" i="9"/>
  <c r="BM236" i="9"/>
  <c r="BM290" i="9"/>
  <c r="BM19" i="9"/>
  <c r="BM147" i="9"/>
  <c r="BM274" i="9"/>
  <c r="BM295" i="9"/>
  <c r="BM297" i="9"/>
  <c r="BM299" i="9"/>
  <c r="BM302" i="9"/>
  <c r="BM303" i="9"/>
  <c r="BM304" i="9"/>
  <c r="BM305" i="9"/>
  <c r="BM307" i="9"/>
  <c r="BM308" i="9"/>
  <c r="BM309" i="9"/>
  <c r="BM310" i="9"/>
  <c r="BM311" i="9"/>
  <c r="BM313" i="9"/>
  <c r="BM314" i="9"/>
  <c r="BM317" i="9"/>
  <c r="BM318" i="9"/>
  <c r="BM247" i="9"/>
  <c r="BM5" i="9"/>
  <c r="BM6" i="9"/>
  <c r="BM7" i="9"/>
  <c r="BM9" i="9"/>
  <c r="BM10" i="9"/>
  <c r="BM11" i="9"/>
  <c r="BM13" i="9"/>
  <c r="BM14" i="9"/>
  <c r="BM15" i="9"/>
  <c r="BM18" i="9"/>
  <c r="BM21" i="9"/>
  <c r="BM22" i="9"/>
  <c r="BM25" i="9"/>
  <c r="BM27" i="9"/>
  <c r="BM28" i="9"/>
  <c r="BM31" i="9"/>
  <c r="BM39" i="9"/>
  <c r="BM41" i="9"/>
  <c r="BM42" i="9"/>
  <c r="BM43" i="9"/>
  <c r="BM44" i="9"/>
  <c r="BM45" i="9"/>
  <c r="BM46" i="9"/>
  <c r="BM47" i="9"/>
  <c r="BM48" i="9"/>
  <c r="BM50" i="9"/>
  <c r="BM51" i="9"/>
  <c r="BM52" i="9"/>
  <c r="BM55" i="9"/>
  <c r="BM58" i="9"/>
  <c r="BM59" i="9"/>
  <c r="BM60" i="9"/>
  <c r="BM61" i="9"/>
  <c r="BM63" i="9"/>
  <c r="BM65" i="9"/>
  <c r="BM67" i="9"/>
  <c r="BM69" i="9"/>
  <c r="BM70" i="9"/>
  <c r="BM71" i="9"/>
  <c r="BM72" i="9"/>
  <c r="BM74" i="9"/>
  <c r="BM75" i="9"/>
  <c r="BM77" i="9"/>
  <c r="BM85" i="9"/>
  <c r="BM86" i="9"/>
  <c r="BM89" i="9"/>
  <c r="BM91" i="9"/>
  <c r="BM93" i="9"/>
  <c r="BM95" i="9"/>
  <c r="BM96" i="9"/>
  <c r="BM97" i="9"/>
  <c r="BM99" i="9"/>
  <c r="BM100" i="9"/>
  <c r="BM101" i="9"/>
  <c r="BM102" i="9"/>
  <c r="BM103" i="9"/>
  <c r="BM104" i="9"/>
  <c r="BM105" i="9"/>
  <c r="BM3" i="9"/>
  <c r="BM106" i="9"/>
  <c r="BM107" i="9"/>
  <c r="BM108" i="9"/>
  <c r="BM110" i="9"/>
  <c r="BM111" i="9"/>
  <c r="BM112" i="9"/>
  <c r="BM113" i="9"/>
  <c r="BM114" i="9"/>
  <c r="BM115" i="9"/>
  <c r="BM116" i="9"/>
  <c r="BM118" i="9"/>
  <c r="BM123" i="9"/>
  <c r="BM125" i="9"/>
  <c r="BM126" i="9"/>
  <c r="BM127" i="9"/>
  <c r="BM129" i="9"/>
  <c r="BM130" i="9"/>
  <c r="BM132" i="9"/>
  <c r="BM138" i="9"/>
  <c r="BM139" i="9"/>
  <c r="BM141" i="9"/>
  <c r="BM142" i="9"/>
  <c r="BM143" i="9"/>
  <c r="BM144" i="9"/>
  <c r="BM145" i="9"/>
  <c r="BM146" i="9"/>
  <c r="BM148" i="9"/>
  <c r="BM150" i="9"/>
  <c r="BM151" i="9"/>
  <c r="BM152" i="9"/>
  <c r="BM153" i="9"/>
  <c r="BM156" i="9"/>
  <c r="BM157" i="9"/>
  <c r="BM158" i="9"/>
  <c r="BM161" i="9"/>
  <c r="BM162" i="9"/>
  <c r="BM164" i="9"/>
  <c r="BM165" i="9"/>
  <c r="BM167" i="9"/>
  <c r="BM169" i="9"/>
  <c r="BM273" i="9"/>
  <c r="BM171" i="9"/>
  <c r="BM172" i="9"/>
  <c r="BM175" i="9"/>
  <c r="BM176" i="9"/>
  <c r="BM178" i="9"/>
  <c r="BM179" i="9"/>
  <c r="BM180" i="9"/>
  <c r="BM181" i="9"/>
  <c r="BM183" i="9"/>
  <c r="BM184" i="9"/>
  <c r="BM188" i="9"/>
  <c r="BM189" i="9"/>
  <c r="BM191" i="9"/>
  <c r="BM192" i="9"/>
  <c r="BM193" i="9"/>
  <c r="BM194" i="9"/>
  <c r="BM195" i="9"/>
  <c r="BM196" i="9"/>
  <c r="BM197" i="9"/>
  <c r="BM198" i="9"/>
  <c r="BM203" i="9"/>
  <c r="BM204" i="9"/>
  <c r="BM205" i="9"/>
  <c r="BM207" i="9"/>
  <c r="BM208" i="9"/>
  <c r="BM209" i="9"/>
  <c r="BM210" i="9"/>
  <c r="BM212" i="9"/>
  <c r="BM216" i="9"/>
  <c r="BM218" i="9"/>
  <c r="BM217" i="9"/>
  <c r="BM219" i="9"/>
  <c r="BM220" i="9"/>
  <c r="BM221" i="9"/>
  <c r="BM223" i="9"/>
  <c r="BM224" i="9"/>
  <c r="BM229" i="9"/>
  <c r="BM231" i="9"/>
  <c r="BM233" i="9"/>
  <c r="BM234" i="9"/>
  <c r="BM237" i="9"/>
  <c r="BM238" i="9"/>
  <c r="BM241" i="9"/>
  <c r="BM243" i="9"/>
  <c r="BM245" i="9"/>
  <c r="BM248" i="9"/>
  <c r="BM250" i="9"/>
  <c r="BM251" i="9"/>
  <c r="BM252" i="9"/>
  <c r="BM255" i="9"/>
  <c r="BM256" i="9"/>
  <c r="BM258" i="9"/>
  <c r="BM262" i="9"/>
  <c r="BM263" i="9"/>
  <c r="BM265" i="9"/>
  <c r="BM266" i="9"/>
  <c r="BM267" i="9"/>
  <c r="BM268" i="9"/>
  <c r="BM269" i="9"/>
  <c r="BM270" i="9"/>
  <c r="BM272" i="9"/>
  <c r="BM275" i="9"/>
  <c r="BM276" i="9"/>
  <c r="BM279" i="9"/>
  <c r="BM281" i="9"/>
  <c r="BM284" i="9"/>
  <c r="BM286" i="9"/>
  <c r="BM287" i="9"/>
  <c r="BM291" i="9"/>
  <c r="BM293" i="9"/>
  <c r="BM312" i="9"/>
  <c r="BL154" i="9"/>
  <c r="BL36" i="9"/>
  <c r="BL83" i="9"/>
  <c r="BL264" i="9"/>
  <c r="BL259" i="9"/>
  <c r="BL301" i="9"/>
  <c r="BL230" i="9"/>
  <c r="BL288" i="9"/>
  <c r="BL316" i="9"/>
  <c r="BL29" i="9"/>
  <c r="BL37" i="9"/>
  <c r="BL90" i="9"/>
  <c r="BL163" i="9"/>
  <c r="BL294" i="9"/>
  <c r="BL190" i="9"/>
  <c r="BL226" i="9"/>
  <c r="BL260" i="9"/>
  <c r="BL23" i="9"/>
  <c r="BL30" i="9"/>
  <c r="BL84" i="9"/>
  <c r="BL173" i="9"/>
  <c r="BL239" i="9"/>
  <c r="BL249" i="9"/>
  <c r="BL271" i="9"/>
  <c r="BL320" i="9"/>
  <c r="BL64" i="9"/>
  <c r="BL68" i="9"/>
  <c r="BL92" i="9"/>
  <c r="BL119" i="9"/>
  <c r="BL149" i="9"/>
  <c r="BL235" i="9"/>
  <c r="BL278" i="9"/>
  <c r="BL32" i="9"/>
  <c r="BL35" i="9"/>
  <c r="BL73" i="9"/>
  <c r="BL79" i="9"/>
  <c r="BL131" i="9"/>
  <c r="BL225" i="9"/>
  <c r="BL242" i="9"/>
  <c r="BL8" i="9"/>
  <c r="BL12" i="9"/>
  <c r="BL16" i="9"/>
  <c r="BL38" i="9"/>
  <c r="BL81" i="9"/>
  <c r="BL82" i="9"/>
  <c r="BL88" i="9"/>
  <c r="BL133" i="9"/>
  <c r="BL137" i="9"/>
  <c r="BL170" i="9"/>
  <c r="BL201" i="9"/>
  <c r="BL202" i="9"/>
  <c r="BL211" i="9"/>
  <c r="BL244" i="9"/>
  <c r="BL261" i="9"/>
  <c r="BL283" i="9"/>
  <c r="BL285" i="9"/>
  <c r="BL128" i="9"/>
  <c r="BL159" i="9"/>
  <c r="BL177" i="9"/>
  <c r="BL240" i="9"/>
  <c r="BL315" i="9"/>
  <c r="BL33" i="9"/>
  <c r="BL49" i="9"/>
  <c r="BL62" i="9"/>
  <c r="BL78" i="9"/>
  <c r="BL166" i="9"/>
  <c r="BL182" i="9"/>
  <c r="BL186" i="9"/>
  <c r="BL236" i="9"/>
  <c r="BL290" i="9"/>
  <c r="BL19" i="9"/>
  <c r="BL147" i="9"/>
  <c r="BL274" i="9"/>
  <c r="BL295" i="9"/>
  <c r="BL297" i="9"/>
  <c r="BL299" i="9"/>
  <c r="BL302" i="9"/>
  <c r="BL303" i="9"/>
  <c r="BL304" i="9"/>
  <c r="BL305" i="9"/>
  <c r="BL307" i="9"/>
  <c r="BL308" i="9"/>
  <c r="BL309" i="9"/>
  <c r="BL310" i="9"/>
  <c r="BL311" i="9"/>
  <c r="BL313" i="9"/>
  <c r="BL314" i="9"/>
  <c r="BL317" i="9"/>
  <c r="BL318" i="9"/>
  <c r="BL247" i="9"/>
  <c r="BL5" i="9"/>
  <c r="BL6" i="9"/>
  <c r="BL7" i="9"/>
  <c r="BL9" i="9"/>
  <c r="BL10" i="9"/>
  <c r="BL11" i="9"/>
  <c r="BL13" i="9"/>
  <c r="BL14" i="9"/>
  <c r="BL15" i="9"/>
  <c r="BL18" i="9"/>
  <c r="BL21" i="9"/>
  <c r="BL22" i="9"/>
  <c r="BL25" i="9"/>
  <c r="BL27" i="9"/>
  <c r="BL28" i="9"/>
  <c r="BL31" i="9"/>
  <c r="BL39" i="9"/>
  <c r="BL41" i="9"/>
  <c r="BL42" i="9"/>
  <c r="BL43" i="9"/>
  <c r="BL44" i="9"/>
  <c r="BL45" i="9"/>
  <c r="BL46" i="9"/>
  <c r="BL47" i="9"/>
  <c r="BL48" i="9"/>
  <c r="BL50" i="9"/>
  <c r="BL51" i="9"/>
  <c r="BL52" i="9"/>
  <c r="BL55" i="9"/>
  <c r="BL58" i="9"/>
  <c r="BL59" i="9"/>
  <c r="BL60" i="9"/>
  <c r="BL61" i="9"/>
  <c r="BL63" i="9"/>
  <c r="BL65" i="9"/>
  <c r="BL67" i="9"/>
  <c r="BL69" i="9"/>
  <c r="BL70" i="9"/>
  <c r="BL71" i="9"/>
  <c r="BL72" i="9"/>
  <c r="BL74" i="9"/>
  <c r="BL75" i="9"/>
  <c r="BL77" i="9"/>
  <c r="BL85" i="9"/>
  <c r="BL86" i="9"/>
  <c r="BL89" i="9"/>
  <c r="BL91" i="9"/>
  <c r="BL93" i="9"/>
  <c r="BL95" i="9"/>
  <c r="BL96" i="9"/>
  <c r="BL97" i="9"/>
  <c r="BL99" i="9"/>
  <c r="BL100" i="9"/>
  <c r="BL101" i="9"/>
  <c r="BL102" i="9"/>
  <c r="BL103" i="9"/>
  <c r="BL104" i="9"/>
  <c r="BL105" i="9"/>
  <c r="BL3" i="9"/>
  <c r="BL106" i="9"/>
  <c r="BL107" i="9"/>
  <c r="BL108" i="9"/>
  <c r="BL110" i="9"/>
  <c r="BL111" i="9"/>
  <c r="BL112" i="9"/>
  <c r="BL113" i="9"/>
  <c r="BL114" i="9"/>
  <c r="BL115" i="9"/>
  <c r="BL116" i="9"/>
  <c r="BL118" i="9"/>
  <c r="BL123" i="9"/>
  <c r="BL125" i="9"/>
  <c r="BL126" i="9"/>
  <c r="BL127" i="9"/>
  <c r="BL129" i="9"/>
  <c r="BL130" i="9"/>
  <c r="BL132" i="9"/>
  <c r="BL138" i="9"/>
  <c r="BL139" i="9"/>
  <c r="BL141" i="9"/>
  <c r="BL142" i="9"/>
  <c r="BL143" i="9"/>
  <c r="BL144" i="9"/>
  <c r="BL145" i="9"/>
  <c r="BL146" i="9"/>
  <c r="BL148" i="9"/>
  <c r="BL150" i="9"/>
  <c r="BL151" i="9"/>
  <c r="BL152" i="9"/>
  <c r="BL153" i="9"/>
  <c r="BL156" i="9"/>
  <c r="BL157" i="9"/>
  <c r="BL158" i="9"/>
  <c r="BL161" i="9"/>
  <c r="BL162" i="9"/>
  <c r="BL164" i="9"/>
  <c r="BL165" i="9"/>
  <c r="BL167" i="9"/>
  <c r="BL169" i="9"/>
  <c r="BL273" i="9"/>
  <c r="BL171" i="9"/>
  <c r="BL172" i="9"/>
  <c r="BL175" i="9"/>
  <c r="BL176" i="9"/>
  <c r="BL178" i="9"/>
  <c r="BL179" i="9"/>
  <c r="BL180" i="9"/>
  <c r="BL181" i="9"/>
  <c r="BL183" i="9"/>
  <c r="BL184" i="9"/>
  <c r="BL188" i="9"/>
  <c r="BL189" i="9"/>
  <c r="BL191" i="9"/>
  <c r="BL192" i="9"/>
  <c r="BL193" i="9"/>
  <c r="BL194" i="9"/>
  <c r="BL195" i="9"/>
  <c r="BL196" i="9"/>
  <c r="BL197" i="9"/>
  <c r="BL198" i="9"/>
  <c r="BL203" i="9"/>
  <c r="BL204" i="9"/>
  <c r="BL205" i="9"/>
  <c r="BL207" i="9"/>
  <c r="BL208" i="9"/>
  <c r="BL209" i="9"/>
  <c r="BL210" i="9"/>
  <c r="BL212" i="9"/>
  <c r="BL216" i="9"/>
  <c r="BL218" i="9"/>
  <c r="BL217" i="9"/>
  <c r="BL219" i="9"/>
  <c r="BL220" i="9"/>
  <c r="BL221" i="9"/>
  <c r="BL223" i="9"/>
  <c r="BL224" i="9"/>
  <c r="BL229" i="9"/>
  <c r="BL231" i="9"/>
  <c r="BL233" i="9"/>
  <c r="BL234" i="9"/>
  <c r="BL237" i="9"/>
  <c r="BL238" i="9"/>
  <c r="BL241" i="9"/>
  <c r="BL243" i="9"/>
  <c r="BL245" i="9"/>
  <c r="BL248" i="9"/>
  <c r="BL250" i="9"/>
  <c r="BL251" i="9"/>
  <c r="BL252" i="9"/>
  <c r="BL255" i="9"/>
  <c r="BL256" i="9"/>
  <c r="BL258" i="9"/>
  <c r="BL262" i="9"/>
  <c r="BL263" i="9"/>
  <c r="BL265" i="9"/>
  <c r="BL266" i="9"/>
  <c r="BL267" i="9"/>
  <c r="BL268" i="9"/>
  <c r="BL269" i="9"/>
  <c r="BL270" i="9"/>
  <c r="BL272" i="9"/>
  <c r="BL275" i="9"/>
  <c r="BL276" i="9"/>
  <c r="BL279" i="9"/>
  <c r="BL281" i="9"/>
  <c r="BL284" i="9"/>
  <c r="BL286" i="9"/>
  <c r="BL287" i="9"/>
  <c r="BL291" i="9"/>
  <c r="BL293" i="9"/>
  <c r="BL312" i="9"/>
  <c r="BG154" i="9"/>
  <c r="BG36" i="9"/>
  <c r="BG83" i="9"/>
  <c r="BG264" i="9"/>
  <c r="BG259" i="9"/>
  <c r="BG301" i="9"/>
  <c r="BG230" i="9"/>
  <c r="BG288" i="9"/>
  <c r="BG316" i="9"/>
  <c r="BG29" i="9"/>
  <c r="BG37" i="9"/>
  <c r="BG90" i="9"/>
  <c r="BG163" i="9"/>
  <c r="BG294" i="9"/>
  <c r="BG190" i="9"/>
  <c r="BG226" i="9"/>
  <c r="BG260" i="9"/>
  <c r="BG23" i="9"/>
  <c r="BG30" i="9"/>
  <c r="BG84" i="9"/>
  <c r="BG173" i="9"/>
  <c r="BG239" i="9"/>
  <c r="BG249" i="9"/>
  <c r="BG271" i="9"/>
  <c r="BG320" i="9"/>
  <c r="BG64" i="9"/>
  <c r="BG68" i="9"/>
  <c r="BG92" i="9"/>
  <c r="BG119" i="9"/>
  <c r="BG149" i="9"/>
  <c r="BG235" i="9"/>
  <c r="BG278" i="9"/>
  <c r="BG32" i="9"/>
  <c r="BG35" i="9"/>
  <c r="BG73" i="9"/>
  <c r="BG79" i="9"/>
  <c r="BG131" i="9"/>
  <c r="BG225" i="9"/>
  <c r="BG242" i="9"/>
  <c r="BG8" i="9"/>
  <c r="BG12" i="9"/>
  <c r="BG16" i="9"/>
  <c r="BG38" i="9"/>
  <c r="BG81" i="9"/>
  <c r="BG82" i="9"/>
  <c r="BG88" i="9"/>
  <c r="BG133" i="9"/>
  <c r="BG137" i="9"/>
  <c r="BG170" i="9"/>
  <c r="BG201" i="9"/>
  <c r="BG202" i="9"/>
  <c r="BG211" i="9"/>
  <c r="BG244" i="9"/>
  <c r="BG261" i="9"/>
  <c r="BG283" i="9"/>
  <c r="BG285" i="9"/>
  <c r="BG128" i="9"/>
  <c r="BG159" i="9"/>
  <c r="BG177" i="9"/>
  <c r="BG240" i="9"/>
  <c r="BG315" i="9"/>
  <c r="BG33" i="9"/>
  <c r="BG49" i="9"/>
  <c r="BG62" i="9"/>
  <c r="BG78" i="9"/>
  <c r="BG166" i="9"/>
  <c r="BG182" i="9"/>
  <c r="BG186" i="9"/>
  <c r="BG236" i="9"/>
  <c r="BG290" i="9"/>
  <c r="BG19" i="9"/>
  <c r="BG147" i="9"/>
  <c r="BG274" i="9"/>
  <c r="BG295" i="9"/>
  <c r="BG297" i="9"/>
  <c r="BG299" i="9"/>
  <c r="BG302" i="9"/>
  <c r="BG303" i="9"/>
  <c r="BG304" i="9"/>
  <c r="BG305" i="9"/>
  <c r="BG307" i="9"/>
  <c r="BG308" i="9"/>
  <c r="BG309" i="9"/>
  <c r="BG310" i="9"/>
  <c r="BG311" i="9"/>
  <c r="BG313" i="9"/>
  <c r="BG314" i="9"/>
  <c r="BG317" i="9"/>
  <c r="BG318" i="9"/>
  <c r="BG247" i="9"/>
  <c r="BG5" i="9"/>
  <c r="BG6" i="9"/>
  <c r="BG7" i="9"/>
  <c r="BG9" i="9"/>
  <c r="BG10" i="9"/>
  <c r="BG11" i="9"/>
  <c r="BG13" i="9"/>
  <c r="BG14" i="9"/>
  <c r="BG15" i="9"/>
  <c r="BG18" i="9"/>
  <c r="BG21" i="9"/>
  <c r="BG22" i="9"/>
  <c r="BG25" i="9"/>
  <c r="BG27" i="9"/>
  <c r="BG28" i="9"/>
  <c r="BG31" i="9"/>
  <c r="BG39" i="9"/>
  <c r="BG41" i="9"/>
  <c r="BG42" i="9"/>
  <c r="BG43" i="9"/>
  <c r="BG44" i="9"/>
  <c r="BG45" i="9"/>
  <c r="BG46" i="9"/>
  <c r="BG47" i="9"/>
  <c r="BG48" i="9"/>
  <c r="BG50" i="9"/>
  <c r="BG51" i="9"/>
  <c r="BG52" i="9"/>
  <c r="BG55" i="9"/>
  <c r="BG58" i="9"/>
  <c r="BG59" i="9"/>
  <c r="BG60" i="9"/>
  <c r="BG61" i="9"/>
  <c r="BG63" i="9"/>
  <c r="BG65" i="9"/>
  <c r="BG67" i="9"/>
  <c r="BG69" i="9"/>
  <c r="BG70" i="9"/>
  <c r="BG71" i="9"/>
  <c r="BG72" i="9"/>
  <c r="BG74" i="9"/>
  <c r="BG75" i="9"/>
  <c r="BG77" i="9"/>
  <c r="BG85" i="9"/>
  <c r="BG86" i="9"/>
  <c r="BG89" i="9"/>
  <c r="BG91" i="9"/>
  <c r="BG93" i="9"/>
  <c r="BG95" i="9"/>
  <c r="BG96" i="9"/>
  <c r="BG97" i="9"/>
  <c r="BG99" i="9"/>
  <c r="BG100" i="9"/>
  <c r="BG101" i="9"/>
  <c r="BG102" i="9"/>
  <c r="BG103" i="9"/>
  <c r="BG104" i="9"/>
  <c r="BG105" i="9"/>
  <c r="BG3" i="9"/>
  <c r="BG106" i="9"/>
  <c r="BG107" i="9"/>
  <c r="BG108" i="9"/>
  <c r="BG110" i="9"/>
  <c r="BG111" i="9"/>
  <c r="BG112" i="9"/>
  <c r="BG113" i="9"/>
  <c r="BG114" i="9"/>
  <c r="BG115" i="9"/>
  <c r="BG116" i="9"/>
  <c r="BG118" i="9"/>
  <c r="BG123" i="9"/>
  <c r="BG125" i="9"/>
  <c r="BG126" i="9"/>
  <c r="BG127" i="9"/>
  <c r="BG129" i="9"/>
  <c r="BG130" i="9"/>
  <c r="BG132" i="9"/>
  <c r="BG138" i="9"/>
  <c r="BG139" i="9"/>
  <c r="BG141" i="9"/>
  <c r="BG142" i="9"/>
  <c r="BG143" i="9"/>
  <c r="BG144" i="9"/>
  <c r="BG145" i="9"/>
  <c r="BG146" i="9"/>
  <c r="BG148" i="9"/>
  <c r="BG150" i="9"/>
  <c r="BG151" i="9"/>
  <c r="BG152" i="9"/>
  <c r="BG153" i="9"/>
  <c r="BG156" i="9"/>
  <c r="BG157" i="9"/>
  <c r="BG158" i="9"/>
  <c r="BG161" i="9"/>
  <c r="BG162" i="9"/>
  <c r="BG164" i="9"/>
  <c r="BG165" i="9"/>
  <c r="BG167" i="9"/>
  <c r="BG169" i="9"/>
  <c r="BG273" i="9"/>
  <c r="BG171" i="9"/>
  <c r="BG172" i="9"/>
  <c r="BG175" i="9"/>
  <c r="BG176" i="9"/>
  <c r="BG178" i="9"/>
  <c r="BG179" i="9"/>
  <c r="BG180" i="9"/>
  <c r="BG181" i="9"/>
  <c r="BG183" i="9"/>
  <c r="BG184" i="9"/>
  <c r="BG188" i="9"/>
  <c r="BG189" i="9"/>
  <c r="BG191" i="9"/>
  <c r="BG192" i="9"/>
  <c r="BG193" i="9"/>
  <c r="BG194" i="9"/>
  <c r="BG195" i="9"/>
  <c r="BG196" i="9"/>
  <c r="BG197" i="9"/>
  <c r="BG198" i="9"/>
  <c r="BG203" i="9"/>
  <c r="BG204" i="9"/>
  <c r="BG205" i="9"/>
  <c r="BG207" i="9"/>
  <c r="BG208" i="9"/>
  <c r="BG209" i="9"/>
  <c r="BG210" i="9"/>
  <c r="BG212" i="9"/>
  <c r="BG216" i="9"/>
  <c r="BG218" i="9"/>
  <c r="BG217" i="9"/>
  <c r="BG219" i="9"/>
  <c r="BG220" i="9"/>
  <c r="BG221" i="9"/>
  <c r="BG223" i="9"/>
  <c r="BG224" i="9"/>
  <c r="BG229" i="9"/>
  <c r="BG231" i="9"/>
  <c r="BG233" i="9"/>
  <c r="BG234" i="9"/>
  <c r="BG237" i="9"/>
  <c r="BG238" i="9"/>
  <c r="BG241" i="9"/>
  <c r="BG243" i="9"/>
  <c r="BG245" i="9"/>
  <c r="BG248" i="9"/>
  <c r="BG250" i="9"/>
  <c r="BG251" i="9"/>
  <c r="BG252" i="9"/>
  <c r="BG255" i="9"/>
  <c r="BG256" i="9"/>
  <c r="BG258" i="9"/>
  <c r="BG262" i="9"/>
  <c r="BG263" i="9"/>
  <c r="BG265" i="9"/>
  <c r="BG266" i="9"/>
  <c r="BG267" i="9"/>
  <c r="BG268" i="9"/>
  <c r="BG269" i="9"/>
  <c r="BG270" i="9"/>
  <c r="BG272" i="9"/>
  <c r="BG275" i="9"/>
  <c r="BG276" i="9"/>
  <c r="BG279" i="9"/>
  <c r="BG281" i="9"/>
  <c r="BG284" i="9"/>
  <c r="BG286" i="9"/>
  <c r="BG287" i="9"/>
  <c r="BG291" i="9"/>
  <c r="BG293" i="9"/>
  <c r="BG312" i="9"/>
  <c r="BF154" i="9"/>
  <c r="BF36" i="9"/>
  <c r="BF83" i="9"/>
  <c r="BF264" i="9"/>
  <c r="BF259" i="9"/>
  <c r="BF301" i="9"/>
  <c r="BF230" i="9"/>
  <c r="BF288" i="9"/>
  <c r="BF316" i="9"/>
  <c r="BF29" i="9"/>
  <c r="BF37" i="9"/>
  <c r="BF90" i="9"/>
  <c r="BF163" i="9"/>
  <c r="BF294" i="9"/>
  <c r="BF190" i="9"/>
  <c r="BF226" i="9"/>
  <c r="BF260" i="9"/>
  <c r="BF23" i="9"/>
  <c r="BF30" i="9"/>
  <c r="BF84" i="9"/>
  <c r="BF173" i="9"/>
  <c r="BF239" i="9"/>
  <c r="BF249" i="9"/>
  <c r="BF271" i="9"/>
  <c r="BF320" i="9"/>
  <c r="BF64" i="9"/>
  <c r="BF68" i="9"/>
  <c r="BF92" i="9"/>
  <c r="BF119" i="9"/>
  <c r="BF149" i="9"/>
  <c r="BF235" i="9"/>
  <c r="BF278" i="9"/>
  <c r="BF32" i="9"/>
  <c r="BF35" i="9"/>
  <c r="BF73" i="9"/>
  <c r="BF79" i="9"/>
  <c r="BF131" i="9"/>
  <c r="BF225" i="9"/>
  <c r="BF242" i="9"/>
  <c r="BF8" i="9"/>
  <c r="BF12" i="9"/>
  <c r="BF16" i="9"/>
  <c r="BF38" i="9"/>
  <c r="BF81" i="9"/>
  <c r="BF82" i="9"/>
  <c r="BF88" i="9"/>
  <c r="BF133" i="9"/>
  <c r="BF137" i="9"/>
  <c r="BF170" i="9"/>
  <c r="BF201" i="9"/>
  <c r="BF202" i="9"/>
  <c r="BF211" i="9"/>
  <c r="BF244" i="9"/>
  <c r="BF261" i="9"/>
  <c r="BF283" i="9"/>
  <c r="BF285" i="9"/>
  <c r="BF128" i="9"/>
  <c r="BF159" i="9"/>
  <c r="BF177" i="9"/>
  <c r="BF240" i="9"/>
  <c r="BF315" i="9"/>
  <c r="BF33" i="9"/>
  <c r="BF49" i="9"/>
  <c r="BF62" i="9"/>
  <c r="BF78" i="9"/>
  <c r="BF166" i="9"/>
  <c r="BF182" i="9"/>
  <c r="BF186" i="9"/>
  <c r="BF236" i="9"/>
  <c r="BF290" i="9"/>
  <c r="BF19" i="9"/>
  <c r="BF147" i="9"/>
  <c r="BF274" i="9"/>
  <c r="BF295" i="9"/>
  <c r="BF297" i="9"/>
  <c r="BF299" i="9"/>
  <c r="BF302" i="9"/>
  <c r="BF303" i="9"/>
  <c r="BF304" i="9"/>
  <c r="BF305" i="9"/>
  <c r="BF307" i="9"/>
  <c r="BF308" i="9"/>
  <c r="BF309" i="9"/>
  <c r="BF310" i="9"/>
  <c r="BF311" i="9"/>
  <c r="BF313" i="9"/>
  <c r="BF314" i="9"/>
  <c r="BF317" i="9"/>
  <c r="BF318" i="9"/>
  <c r="BF247" i="9"/>
  <c r="BF5" i="9"/>
  <c r="BF6" i="9"/>
  <c r="BF7" i="9"/>
  <c r="BF9" i="9"/>
  <c r="BF10" i="9"/>
  <c r="BF11" i="9"/>
  <c r="BF13" i="9"/>
  <c r="BF14" i="9"/>
  <c r="BF15" i="9"/>
  <c r="BF18" i="9"/>
  <c r="BF21" i="9"/>
  <c r="BF22" i="9"/>
  <c r="BF25" i="9"/>
  <c r="BF27" i="9"/>
  <c r="BF28" i="9"/>
  <c r="BF31" i="9"/>
  <c r="BF39" i="9"/>
  <c r="BF41" i="9"/>
  <c r="BF42" i="9"/>
  <c r="BF43" i="9"/>
  <c r="BF44" i="9"/>
  <c r="BF45" i="9"/>
  <c r="BF46" i="9"/>
  <c r="BF47" i="9"/>
  <c r="BF48" i="9"/>
  <c r="BF50" i="9"/>
  <c r="BF51" i="9"/>
  <c r="BF52" i="9"/>
  <c r="BF55" i="9"/>
  <c r="BF58" i="9"/>
  <c r="BF59" i="9"/>
  <c r="BF60" i="9"/>
  <c r="BF61" i="9"/>
  <c r="BF63" i="9"/>
  <c r="BF65" i="9"/>
  <c r="BF67" i="9"/>
  <c r="BF69" i="9"/>
  <c r="BF70" i="9"/>
  <c r="BF71" i="9"/>
  <c r="BF72" i="9"/>
  <c r="BF74" i="9"/>
  <c r="BF75" i="9"/>
  <c r="BF77" i="9"/>
  <c r="BF85" i="9"/>
  <c r="BF86" i="9"/>
  <c r="BF89" i="9"/>
  <c r="BF91" i="9"/>
  <c r="BF93" i="9"/>
  <c r="BF95" i="9"/>
  <c r="BF96" i="9"/>
  <c r="BF97" i="9"/>
  <c r="BF99" i="9"/>
  <c r="BF100" i="9"/>
  <c r="BF101" i="9"/>
  <c r="BF102" i="9"/>
  <c r="BF103" i="9"/>
  <c r="BF104" i="9"/>
  <c r="BF105" i="9"/>
  <c r="BF3" i="9"/>
  <c r="BF106" i="9"/>
  <c r="BF107" i="9"/>
  <c r="BF108" i="9"/>
  <c r="BF110" i="9"/>
  <c r="BF111" i="9"/>
  <c r="BF112" i="9"/>
  <c r="BF113" i="9"/>
  <c r="BF114" i="9"/>
  <c r="BF115" i="9"/>
  <c r="BF116" i="9"/>
  <c r="BF118" i="9"/>
  <c r="BF123" i="9"/>
  <c r="BF125" i="9"/>
  <c r="BF126" i="9"/>
  <c r="BF127" i="9"/>
  <c r="BF129" i="9"/>
  <c r="BF130" i="9"/>
  <c r="BF132" i="9"/>
  <c r="BF138" i="9"/>
  <c r="BF139" i="9"/>
  <c r="BF141" i="9"/>
  <c r="BF142" i="9"/>
  <c r="BF143" i="9"/>
  <c r="BF144" i="9"/>
  <c r="BF145" i="9"/>
  <c r="BF146" i="9"/>
  <c r="BF148" i="9"/>
  <c r="BF150" i="9"/>
  <c r="BF151" i="9"/>
  <c r="BF152" i="9"/>
  <c r="BF153" i="9"/>
  <c r="BF156" i="9"/>
  <c r="BF157" i="9"/>
  <c r="BF158" i="9"/>
  <c r="BF161" i="9"/>
  <c r="BF162" i="9"/>
  <c r="BF164" i="9"/>
  <c r="BF165" i="9"/>
  <c r="BF167" i="9"/>
  <c r="BF169" i="9"/>
  <c r="BF273" i="9"/>
  <c r="BF171" i="9"/>
  <c r="BF172" i="9"/>
  <c r="BF175" i="9"/>
  <c r="BF176" i="9"/>
  <c r="BF178" i="9"/>
  <c r="BF179" i="9"/>
  <c r="BF180" i="9"/>
  <c r="BF181" i="9"/>
  <c r="BF183" i="9"/>
  <c r="BF184" i="9"/>
  <c r="BF188" i="9"/>
  <c r="BF189" i="9"/>
  <c r="BF191" i="9"/>
  <c r="BF192" i="9"/>
  <c r="BF193" i="9"/>
  <c r="BF194" i="9"/>
  <c r="BF195" i="9"/>
  <c r="BF196" i="9"/>
  <c r="BF197" i="9"/>
  <c r="BF198" i="9"/>
  <c r="BF203" i="9"/>
  <c r="BF204" i="9"/>
  <c r="BF205" i="9"/>
  <c r="BF207" i="9"/>
  <c r="BF208" i="9"/>
  <c r="BF209" i="9"/>
  <c r="BF210" i="9"/>
  <c r="BF212" i="9"/>
  <c r="BF216" i="9"/>
  <c r="BF218" i="9"/>
  <c r="BF217" i="9"/>
  <c r="BF219" i="9"/>
  <c r="BF220" i="9"/>
  <c r="BF221" i="9"/>
  <c r="BF223" i="9"/>
  <c r="BF224" i="9"/>
  <c r="BF229" i="9"/>
  <c r="BF231" i="9"/>
  <c r="BF233" i="9"/>
  <c r="BF234" i="9"/>
  <c r="BF237" i="9"/>
  <c r="BF238" i="9"/>
  <c r="BF241" i="9"/>
  <c r="BF243" i="9"/>
  <c r="BF245" i="9"/>
  <c r="BF248" i="9"/>
  <c r="BF250" i="9"/>
  <c r="BF251" i="9"/>
  <c r="BF252" i="9"/>
  <c r="BF255" i="9"/>
  <c r="BF256" i="9"/>
  <c r="BF258" i="9"/>
  <c r="BF262" i="9"/>
  <c r="BF263" i="9"/>
  <c r="BF265" i="9"/>
  <c r="BF266" i="9"/>
  <c r="BF267" i="9"/>
  <c r="BF268" i="9"/>
  <c r="BF269" i="9"/>
  <c r="BF270" i="9"/>
  <c r="BF272" i="9"/>
  <c r="BF275" i="9"/>
  <c r="BF276" i="9"/>
  <c r="BF279" i="9"/>
  <c r="BF281" i="9"/>
  <c r="BF284" i="9"/>
  <c r="BF286" i="9"/>
  <c r="BF287" i="9"/>
  <c r="BF291" i="9"/>
  <c r="BF293" i="9"/>
  <c r="BF312" i="9"/>
  <c r="BE154" i="9"/>
  <c r="BE36" i="9"/>
  <c r="BE83" i="9"/>
  <c r="BE264" i="9"/>
  <c r="BE259" i="9"/>
  <c r="BE301" i="9"/>
  <c r="BE230" i="9"/>
  <c r="BE288" i="9"/>
  <c r="BE316" i="9"/>
  <c r="BE29" i="9"/>
  <c r="BE37" i="9"/>
  <c r="BE90" i="9"/>
  <c r="BE163" i="9"/>
  <c r="BE294" i="9"/>
  <c r="BE190" i="9"/>
  <c r="BE226" i="9"/>
  <c r="BE260" i="9"/>
  <c r="BE23" i="9"/>
  <c r="BE30" i="9"/>
  <c r="BE84" i="9"/>
  <c r="BE173" i="9"/>
  <c r="BE239" i="9"/>
  <c r="BE249" i="9"/>
  <c r="BE271" i="9"/>
  <c r="BE320" i="9"/>
  <c r="BE64" i="9"/>
  <c r="BE68" i="9"/>
  <c r="BE92" i="9"/>
  <c r="BE119" i="9"/>
  <c r="BE149" i="9"/>
  <c r="BE235" i="9"/>
  <c r="BE278" i="9"/>
  <c r="BE32" i="9"/>
  <c r="BE35" i="9"/>
  <c r="BE73" i="9"/>
  <c r="BE79" i="9"/>
  <c r="BE131" i="9"/>
  <c r="BE225" i="9"/>
  <c r="BE242" i="9"/>
  <c r="BE8" i="9"/>
  <c r="BE12" i="9"/>
  <c r="BE16" i="9"/>
  <c r="BE38" i="9"/>
  <c r="BE81" i="9"/>
  <c r="BE82" i="9"/>
  <c r="BE88" i="9"/>
  <c r="BE133" i="9"/>
  <c r="BE137" i="9"/>
  <c r="BE170" i="9"/>
  <c r="BE201" i="9"/>
  <c r="BE202" i="9"/>
  <c r="BE211" i="9"/>
  <c r="BE244" i="9"/>
  <c r="BE261" i="9"/>
  <c r="BE283" i="9"/>
  <c r="BE285" i="9"/>
  <c r="BE128" i="9"/>
  <c r="BE159" i="9"/>
  <c r="BE177" i="9"/>
  <c r="BE240" i="9"/>
  <c r="BE315" i="9"/>
  <c r="BE33" i="9"/>
  <c r="BE49" i="9"/>
  <c r="BE62" i="9"/>
  <c r="BE78" i="9"/>
  <c r="BE166" i="9"/>
  <c r="BE182" i="9"/>
  <c r="BE186" i="9"/>
  <c r="BE236" i="9"/>
  <c r="BE290" i="9"/>
  <c r="BE19" i="9"/>
  <c r="BE147" i="9"/>
  <c r="BE274" i="9"/>
  <c r="BE295" i="9"/>
  <c r="BE297" i="9"/>
  <c r="BE299" i="9"/>
  <c r="BE302" i="9"/>
  <c r="BE303" i="9"/>
  <c r="BE304" i="9"/>
  <c r="BE305" i="9"/>
  <c r="BE307" i="9"/>
  <c r="BE308" i="9"/>
  <c r="BE309" i="9"/>
  <c r="BE310" i="9"/>
  <c r="BE311" i="9"/>
  <c r="BE313" i="9"/>
  <c r="BE314" i="9"/>
  <c r="BE317" i="9"/>
  <c r="BE318" i="9"/>
  <c r="BE247" i="9"/>
  <c r="BE5" i="9"/>
  <c r="BE6" i="9"/>
  <c r="BE7" i="9"/>
  <c r="BE9" i="9"/>
  <c r="BE10" i="9"/>
  <c r="BE11" i="9"/>
  <c r="BE13" i="9"/>
  <c r="BE14" i="9"/>
  <c r="BE15" i="9"/>
  <c r="BE18" i="9"/>
  <c r="BE21" i="9"/>
  <c r="BE22" i="9"/>
  <c r="BE25" i="9"/>
  <c r="BE27" i="9"/>
  <c r="BE28" i="9"/>
  <c r="BE31" i="9"/>
  <c r="BE39" i="9"/>
  <c r="BE41" i="9"/>
  <c r="BE42" i="9"/>
  <c r="BE43" i="9"/>
  <c r="BE44" i="9"/>
  <c r="BE45" i="9"/>
  <c r="BE46" i="9"/>
  <c r="BE47" i="9"/>
  <c r="BE48" i="9"/>
  <c r="BE50" i="9"/>
  <c r="BE51" i="9"/>
  <c r="BE52" i="9"/>
  <c r="BE55" i="9"/>
  <c r="BE58" i="9"/>
  <c r="BE59" i="9"/>
  <c r="BE60" i="9"/>
  <c r="BE61" i="9"/>
  <c r="BE63" i="9"/>
  <c r="BE65" i="9"/>
  <c r="BE67" i="9"/>
  <c r="BE69" i="9"/>
  <c r="BE70" i="9"/>
  <c r="BE71" i="9"/>
  <c r="BE72" i="9"/>
  <c r="BE74" i="9"/>
  <c r="BE75" i="9"/>
  <c r="BE77" i="9"/>
  <c r="BE85" i="9"/>
  <c r="BE86" i="9"/>
  <c r="BE89" i="9"/>
  <c r="BE91" i="9"/>
  <c r="BE93" i="9"/>
  <c r="BE95" i="9"/>
  <c r="BE96" i="9"/>
  <c r="BE97" i="9"/>
  <c r="BE99" i="9"/>
  <c r="BE100" i="9"/>
  <c r="BE101" i="9"/>
  <c r="BE102" i="9"/>
  <c r="BE103" i="9"/>
  <c r="BE104" i="9"/>
  <c r="BE105" i="9"/>
  <c r="BE3" i="9"/>
  <c r="BE106" i="9"/>
  <c r="BE107" i="9"/>
  <c r="BE108" i="9"/>
  <c r="BE110" i="9"/>
  <c r="BE111" i="9"/>
  <c r="BE112" i="9"/>
  <c r="BE113" i="9"/>
  <c r="BE114" i="9"/>
  <c r="BE115" i="9"/>
  <c r="BE116" i="9"/>
  <c r="BE118" i="9"/>
  <c r="BE123" i="9"/>
  <c r="BE125" i="9"/>
  <c r="BE126" i="9"/>
  <c r="BE127" i="9"/>
  <c r="BE129" i="9"/>
  <c r="BE130" i="9"/>
  <c r="BE132" i="9"/>
  <c r="BE138" i="9"/>
  <c r="BE139" i="9"/>
  <c r="BE141" i="9"/>
  <c r="BE142" i="9"/>
  <c r="BE143" i="9"/>
  <c r="BE144" i="9"/>
  <c r="BE145" i="9"/>
  <c r="BE146" i="9"/>
  <c r="BE148" i="9"/>
  <c r="BE150" i="9"/>
  <c r="BE151" i="9"/>
  <c r="BE152" i="9"/>
  <c r="BE153" i="9"/>
  <c r="BE156" i="9"/>
  <c r="BE157" i="9"/>
  <c r="BE158" i="9"/>
  <c r="BE161" i="9"/>
  <c r="BE162" i="9"/>
  <c r="BE164" i="9"/>
  <c r="BE165" i="9"/>
  <c r="BE167" i="9"/>
  <c r="BE169" i="9"/>
  <c r="BE273" i="9"/>
  <c r="BE171" i="9"/>
  <c r="BE172" i="9"/>
  <c r="BE175" i="9"/>
  <c r="BE176" i="9"/>
  <c r="BE178" i="9"/>
  <c r="BE179" i="9"/>
  <c r="BE180" i="9"/>
  <c r="BE181" i="9"/>
  <c r="BE183" i="9"/>
  <c r="BE184" i="9"/>
  <c r="BE188" i="9"/>
  <c r="BE189" i="9"/>
  <c r="BE191" i="9"/>
  <c r="BE192" i="9"/>
  <c r="BE193" i="9"/>
  <c r="BE194" i="9"/>
  <c r="BE195" i="9"/>
  <c r="BE196" i="9"/>
  <c r="BE197" i="9"/>
  <c r="BE198" i="9"/>
  <c r="BE203" i="9"/>
  <c r="BE204" i="9"/>
  <c r="BE205" i="9"/>
  <c r="BE207" i="9"/>
  <c r="BE208" i="9"/>
  <c r="BE209" i="9"/>
  <c r="BE210" i="9"/>
  <c r="BE212" i="9"/>
  <c r="BE216" i="9"/>
  <c r="BE218" i="9"/>
  <c r="BE217" i="9"/>
  <c r="BE219" i="9"/>
  <c r="BE220" i="9"/>
  <c r="BE221" i="9"/>
  <c r="BE223" i="9"/>
  <c r="BE224" i="9"/>
  <c r="BE229" i="9"/>
  <c r="BE231" i="9"/>
  <c r="BE233" i="9"/>
  <c r="BE234" i="9"/>
  <c r="BE237" i="9"/>
  <c r="BE238" i="9"/>
  <c r="BE241" i="9"/>
  <c r="BE243" i="9"/>
  <c r="BE245" i="9"/>
  <c r="BE248" i="9"/>
  <c r="BE250" i="9"/>
  <c r="BE251" i="9"/>
  <c r="BE252" i="9"/>
  <c r="BE255" i="9"/>
  <c r="BE256" i="9"/>
  <c r="BE258" i="9"/>
  <c r="BE262" i="9"/>
  <c r="BE263" i="9"/>
  <c r="BE265" i="9"/>
  <c r="BE266" i="9"/>
  <c r="BE267" i="9"/>
  <c r="BE268" i="9"/>
  <c r="BE269" i="9"/>
  <c r="BE270" i="9"/>
  <c r="BE272" i="9"/>
  <c r="BE275" i="9"/>
  <c r="BE276" i="9"/>
  <c r="BE279" i="9"/>
  <c r="BE281" i="9"/>
  <c r="BE284" i="9"/>
  <c r="BE286" i="9"/>
  <c r="BE287" i="9"/>
  <c r="BE291" i="9"/>
  <c r="BE293" i="9"/>
  <c r="BE312" i="9"/>
  <c r="BD154" i="9"/>
  <c r="BD36" i="9"/>
  <c r="BD83" i="9"/>
  <c r="BD264" i="9"/>
  <c r="BD259" i="9"/>
  <c r="BD301" i="9"/>
  <c r="BD230" i="9"/>
  <c r="BD288" i="9"/>
  <c r="BD316" i="9"/>
  <c r="BD29" i="9"/>
  <c r="BD37" i="9"/>
  <c r="BD90" i="9"/>
  <c r="BD163" i="9"/>
  <c r="BD294" i="9"/>
  <c r="BD190" i="9"/>
  <c r="BD226" i="9"/>
  <c r="BD260" i="9"/>
  <c r="BD23" i="9"/>
  <c r="BD30" i="9"/>
  <c r="BD84" i="9"/>
  <c r="BD173" i="9"/>
  <c r="BD239" i="9"/>
  <c r="BD249" i="9"/>
  <c r="BD271" i="9"/>
  <c r="BD320" i="9"/>
  <c r="BD64" i="9"/>
  <c r="BD68" i="9"/>
  <c r="BD92" i="9"/>
  <c r="BD119" i="9"/>
  <c r="BD149" i="9"/>
  <c r="BD235" i="9"/>
  <c r="BD278" i="9"/>
  <c r="BD32" i="9"/>
  <c r="BD35" i="9"/>
  <c r="BD73" i="9"/>
  <c r="BD79" i="9"/>
  <c r="BD131" i="9"/>
  <c r="BD225" i="9"/>
  <c r="BD242" i="9"/>
  <c r="BD8" i="9"/>
  <c r="BD12" i="9"/>
  <c r="BD16" i="9"/>
  <c r="BD38" i="9"/>
  <c r="BD81" i="9"/>
  <c r="BD82" i="9"/>
  <c r="BD88" i="9"/>
  <c r="BD133" i="9"/>
  <c r="BD137" i="9"/>
  <c r="BD170" i="9"/>
  <c r="BD201" i="9"/>
  <c r="BD202" i="9"/>
  <c r="BD211" i="9"/>
  <c r="BD244" i="9"/>
  <c r="BD261" i="9"/>
  <c r="BD283" i="9"/>
  <c r="BD285" i="9"/>
  <c r="BD128" i="9"/>
  <c r="BD159" i="9"/>
  <c r="BD177" i="9"/>
  <c r="BD240" i="9"/>
  <c r="BD315" i="9"/>
  <c r="BD33" i="9"/>
  <c r="BD49" i="9"/>
  <c r="BD62" i="9"/>
  <c r="BD78" i="9"/>
  <c r="BD166" i="9"/>
  <c r="BD182" i="9"/>
  <c r="BD186" i="9"/>
  <c r="BD236" i="9"/>
  <c r="BD290" i="9"/>
  <c r="BD19" i="9"/>
  <c r="BD147" i="9"/>
  <c r="BD274" i="9"/>
  <c r="BD295" i="9"/>
  <c r="BD297" i="9"/>
  <c r="BD299" i="9"/>
  <c r="BD302" i="9"/>
  <c r="BD303" i="9"/>
  <c r="BD304" i="9"/>
  <c r="BD305" i="9"/>
  <c r="BD307" i="9"/>
  <c r="BD308" i="9"/>
  <c r="BD309" i="9"/>
  <c r="BD310" i="9"/>
  <c r="BD311" i="9"/>
  <c r="BD313" i="9"/>
  <c r="BD314" i="9"/>
  <c r="BD317" i="9"/>
  <c r="BD318" i="9"/>
  <c r="BD247" i="9"/>
  <c r="BD5" i="9"/>
  <c r="BD6" i="9"/>
  <c r="BD7" i="9"/>
  <c r="BD9" i="9"/>
  <c r="BD10" i="9"/>
  <c r="BD11" i="9"/>
  <c r="BD13" i="9"/>
  <c r="BD14" i="9"/>
  <c r="BD15" i="9"/>
  <c r="BD18" i="9"/>
  <c r="BD21" i="9"/>
  <c r="BD22" i="9"/>
  <c r="BD25" i="9"/>
  <c r="BD27" i="9"/>
  <c r="BD28" i="9"/>
  <c r="BD31" i="9"/>
  <c r="BD39" i="9"/>
  <c r="BD41" i="9"/>
  <c r="BD42" i="9"/>
  <c r="BD43" i="9"/>
  <c r="BD44" i="9"/>
  <c r="BD45" i="9"/>
  <c r="BD46" i="9"/>
  <c r="BD47" i="9"/>
  <c r="BD48" i="9"/>
  <c r="BD50" i="9"/>
  <c r="BD51" i="9"/>
  <c r="BD52" i="9"/>
  <c r="BD55" i="9"/>
  <c r="BD58" i="9"/>
  <c r="BD59" i="9"/>
  <c r="BD60" i="9"/>
  <c r="BD61" i="9"/>
  <c r="BD63" i="9"/>
  <c r="BD65" i="9"/>
  <c r="BD67" i="9"/>
  <c r="BD69" i="9"/>
  <c r="BD70" i="9"/>
  <c r="BD71" i="9"/>
  <c r="BD72" i="9"/>
  <c r="BD74" i="9"/>
  <c r="BD75" i="9"/>
  <c r="BD77" i="9"/>
  <c r="BD85" i="9"/>
  <c r="BD86" i="9"/>
  <c r="BD89" i="9"/>
  <c r="BD91" i="9"/>
  <c r="BD93" i="9"/>
  <c r="BD95" i="9"/>
  <c r="BD96" i="9"/>
  <c r="BD97" i="9"/>
  <c r="BD99" i="9"/>
  <c r="BD100" i="9"/>
  <c r="BD101" i="9"/>
  <c r="BD102" i="9"/>
  <c r="BD103" i="9"/>
  <c r="BD104" i="9"/>
  <c r="BD105" i="9"/>
  <c r="BD3" i="9"/>
  <c r="BD106" i="9"/>
  <c r="BD107" i="9"/>
  <c r="BD108" i="9"/>
  <c r="BD110" i="9"/>
  <c r="BD111" i="9"/>
  <c r="BD112" i="9"/>
  <c r="BD113" i="9"/>
  <c r="BD114" i="9"/>
  <c r="BD115" i="9"/>
  <c r="BD116" i="9"/>
  <c r="BD118" i="9"/>
  <c r="BD123" i="9"/>
  <c r="BD125" i="9"/>
  <c r="BD126" i="9"/>
  <c r="BD127" i="9"/>
  <c r="BD129" i="9"/>
  <c r="BD130" i="9"/>
  <c r="BD132" i="9"/>
  <c r="BD138" i="9"/>
  <c r="BD139" i="9"/>
  <c r="BD141" i="9"/>
  <c r="BD142" i="9"/>
  <c r="BD143" i="9"/>
  <c r="BD144" i="9"/>
  <c r="BD145" i="9"/>
  <c r="BD146" i="9"/>
  <c r="BD148" i="9"/>
  <c r="BD150" i="9"/>
  <c r="BD151" i="9"/>
  <c r="BD152" i="9"/>
  <c r="BD153" i="9"/>
  <c r="BD156" i="9"/>
  <c r="BD157" i="9"/>
  <c r="BD158" i="9"/>
  <c r="BD161" i="9"/>
  <c r="BD162" i="9"/>
  <c r="BD164" i="9"/>
  <c r="BD165" i="9"/>
  <c r="BD167" i="9"/>
  <c r="BD169" i="9"/>
  <c r="BD273" i="9"/>
  <c r="BD171" i="9"/>
  <c r="BD172" i="9"/>
  <c r="BD175" i="9"/>
  <c r="BD176" i="9"/>
  <c r="BD178" i="9"/>
  <c r="BD179" i="9"/>
  <c r="BD180" i="9"/>
  <c r="BD181" i="9"/>
  <c r="BD183" i="9"/>
  <c r="BD184" i="9"/>
  <c r="BD188" i="9"/>
  <c r="BD189" i="9"/>
  <c r="BD191" i="9"/>
  <c r="BD192" i="9"/>
  <c r="BD193" i="9"/>
  <c r="BD194" i="9"/>
  <c r="BD195" i="9"/>
  <c r="BD196" i="9"/>
  <c r="BD197" i="9"/>
  <c r="BD198" i="9"/>
  <c r="BD203" i="9"/>
  <c r="BD204" i="9"/>
  <c r="BD205" i="9"/>
  <c r="BD207" i="9"/>
  <c r="BD208" i="9"/>
  <c r="BD209" i="9"/>
  <c r="BD210" i="9"/>
  <c r="BD212" i="9"/>
  <c r="BD216" i="9"/>
  <c r="BD218" i="9"/>
  <c r="BD217" i="9"/>
  <c r="BD219" i="9"/>
  <c r="BD220" i="9"/>
  <c r="BD221" i="9"/>
  <c r="BD223" i="9"/>
  <c r="BD224" i="9"/>
  <c r="BD229" i="9"/>
  <c r="BD231" i="9"/>
  <c r="BD233" i="9"/>
  <c r="BD234" i="9"/>
  <c r="BD237" i="9"/>
  <c r="BD238" i="9"/>
  <c r="BD241" i="9"/>
  <c r="BD243" i="9"/>
  <c r="BD245" i="9"/>
  <c r="BD248" i="9"/>
  <c r="BD250" i="9"/>
  <c r="BD251" i="9"/>
  <c r="BD252" i="9"/>
  <c r="BD255" i="9"/>
  <c r="BD256" i="9"/>
  <c r="BD258" i="9"/>
  <c r="BD262" i="9"/>
  <c r="BD263" i="9"/>
  <c r="BD265" i="9"/>
  <c r="BD266" i="9"/>
  <c r="BD267" i="9"/>
  <c r="BD268" i="9"/>
  <c r="BD269" i="9"/>
  <c r="BD270" i="9"/>
  <c r="BD272" i="9"/>
  <c r="BD275" i="9"/>
  <c r="BD276" i="9"/>
  <c r="BD279" i="9"/>
  <c r="BD281" i="9"/>
  <c r="BD284" i="9"/>
  <c r="BD286" i="9"/>
  <c r="BD287" i="9"/>
  <c r="BD291" i="9"/>
  <c r="BD293" i="9"/>
  <c r="BD312" i="9"/>
  <c r="BC154" i="9"/>
  <c r="BC36" i="9"/>
  <c r="BC83" i="9"/>
  <c r="BC264" i="9"/>
  <c r="BC259" i="9"/>
  <c r="BC301" i="9"/>
  <c r="BC230" i="9"/>
  <c r="BC288" i="9"/>
  <c r="BC316" i="9"/>
  <c r="BC29" i="9"/>
  <c r="BC37" i="9"/>
  <c r="BC90" i="9"/>
  <c r="BC163" i="9"/>
  <c r="BC294" i="9"/>
  <c r="BC190" i="9"/>
  <c r="BC226" i="9"/>
  <c r="BC260" i="9"/>
  <c r="BC23" i="9"/>
  <c r="BC30" i="9"/>
  <c r="BC84" i="9"/>
  <c r="BC173" i="9"/>
  <c r="BC239" i="9"/>
  <c r="BC249" i="9"/>
  <c r="BC271" i="9"/>
  <c r="BC320" i="9"/>
  <c r="BC64" i="9"/>
  <c r="BC68" i="9"/>
  <c r="BC92" i="9"/>
  <c r="BC119" i="9"/>
  <c r="BC149" i="9"/>
  <c r="BC235" i="9"/>
  <c r="BC278" i="9"/>
  <c r="BC32" i="9"/>
  <c r="BC35" i="9"/>
  <c r="BC73" i="9"/>
  <c r="BC79" i="9"/>
  <c r="BC131" i="9"/>
  <c r="BC225" i="9"/>
  <c r="BC242" i="9"/>
  <c r="BC8" i="9"/>
  <c r="BC12" i="9"/>
  <c r="BC16" i="9"/>
  <c r="BC38" i="9"/>
  <c r="BC81" i="9"/>
  <c r="BC82" i="9"/>
  <c r="BC88" i="9"/>
  <c r="BC133" i="9"/>
  <c r="BC137" i="9"/>
  <c r="BC170" i="9"/>
  <c r="BC201" i="9"/>
  <c r="BC202" i="9"/>
  <c r="BC211" i="9"/>
  <c r="BC244" i="9"/>
  <c r="BC261" i="9"/>
  <c r="BC283" i="9"/>
  <c r="BC285" i="9"/>
  <c r="BC128" i="9"/>
  <c r="BC159" i="9"/>
  <c r="BC177" i="9"/>
  <c r="BC240" i="9"/>
  <c r="BC315" i="9"/>
  <c r="BC33" i="9"/>
  <c r="BC49" i="9"/>
  <c r="BC62" i="9"/>
  <c r="BC78" i="9"/>
  <c r="BC166" i="9"/>
  <c r="BC182" i="9"/>
  <c r="BC186" i="9"/>
  <c r="BC236" i="9"/>
  <c r="BC290" i="9"/>
  <c r="BC19" i="9"/>
  <c r="BC147" i="9"/>
  <c r="BC274" i="9"/>
  <c r="BC295" i="9"/>
  <c r="BC297" i="9"/>
  <c r="BC299" i="9"/>
  <c r="BC302" i="9"/>
  <c r="BC303" i="9"/>
  <c r="BC304" i="9"/>
  <c r="BC305" i="9"/>
  <c r="BC307" i="9"/>
  <c r="BC308" i="9"/>
  <c r="BC309" i="9"/>
  <c r="BC310" i="9"/>
  <c r="BC311" i="9"/>
  <c r="BC313" i="9"/>
  <c r="BC314" i="9"/>
  <c r="BC317" i="9"/>
  <c r="BC318" i="9"/>
  <c r="BC247" i="9"/>
  <c r="BC5" i="9"/>
  <c r="BC6" i="9"/>
  <c r="BC7" i="9"/>
  <c r="BC9" i="9"/>
  <c r="BC10" i="9"/>
  <c r="BC11" i="9"/>
  <c r="BC13" i="9"/>
  <c r="BC14" i="9"/>
  <c r="BC15" i="9"/>
  <c r="BC18" i="9"/>
  <c r="BC21" i="9"/>
  <c r="BC22" i="9"/>
  <c r="BC25" i="9"/>
  <c r="BC27" i="9"/>
  <c r="BC28" i="9"/>
  <c r="BC31" i="9"/>
  <c r="BC39" i="9"/>
  <c r="BC41" i="9"/>
  <c r="BC42" i="9"/>
  <c r="BC43" i="9"/>
  <c r="BC44" i="9"/>
  <c r="BC45" i="9"/>
  <c r="BC46" i="9"/>
  <c r="BC47" i="9"/>
  <c r="BC48" i="9"/>
  <c r="BC50" i="9"/>
  <c r="BC51" i="9"/>
  <c r="BC52" i="9"/>
  <c r="BC55" i="9"/>
  <c r="BC58" i="9"/>
  <c r="BC59" i="9"/>
  <c r="BC60" i="9"/>
  <c r="BC61" i="9"/>
  <c r="BC63" i="9"/>
  <c r="BC65" i="9"/>
  <c r="BC67" i="9"/>
  <c r="BC69" i="9"/>
  <c r="BC70" i="9"/>
  <c r="BC71" i="9"/>
  <c r="BC72" i="9"/>
  <c r="BC74" i="9"/>
  <c r="BC75" i="9"/>
  <c r="BC77" i="9"/>
  <c r="BC85" i="9"/>
  <c r="BC86" i="9"/>
  <c r="BC89" i="9"/>
  <c r="BC91" i="9"/>
  <c r="BC93" i="9"/>
  <c r="BC95" i="9"/>
  <c r="BC96" i="9"/>
  <c r="BC97" i="9"/>
  <c r="BC99" i="9"/>
  <c r="BC100" i="9"/>
  <c r="BC101" i="9"/>
  <c r="BC102" i="9"/>
  <c r="BC103" i="9"/>
  <c r="BC104" i="9"/>
  <c r="BC105" i="9"/>
  <c r="BC3" i="9"/>
  <c r="BC106" i="9"/>
  <c r="BC107" i="9"/>
  <c r="BC108" i="9"/>
  <c r="BC110" i="9"/>
  <c r="BC111" i="9"/>
  <c r="BC112" i="9"/>
  <c r="BC113" i="9"/>
  <c r="BC114" i="9"/>
  <c r="BC115" i="9"/>
  <c r="BC116" i="9"/>
  <c r="BC118" i="9"/>
  <c r="BC123" i="9"/>
  <c r="BC125" i="9"/>
  <c r="BC126" i="9"/>
  <c r="BC127" i="9"/>
  <c r="BC129" i="9"/>
  <c r="BC130" i="9"/>
  <c r="BC132" i="9"/>
  <c r="BC138" i="9"/>
  <c r="BC139" i="9"/>
  <c r="BC141" i="9"/>
  <c r="BC142" i="9"/>
  <c r="BC143" i="9"/>
  <c r="BC144" i="9"/>
  <c r="BC145" i="9"/>
  <c r="BC146" i="9"/>
  <c r="BC148" i="9"/>
  <c r="BC150" i="9"/>
  <c r="BC151" i="9"/>
  <c r="BC152" i="9"/>
  <c r="BC153" i="9"/>
  <c r="BC156" i="9"/>
  <c r="BC157" i="9"/>
  <c r="BC158" i="9"/>
  <c r="BC161" i="9"/>
  <c r="BC162" i="9"/>
  <c r="BC164" i="9"/>
  <c r="BC165" i="9"/>
  <c r="BC167" i="9"/>
  <c r="BC169" i="9"/>
  <c r="BC273" i="9"/>
  <c r="BC171" i="9"/>
  <c r="BC172" i="9"/>
  <c r="BC175" i="9"/>
  <c r="BC176" i="9"/>
  <c r="BC178" i="9"/>
  <c r="BC179" i="9"/>
  <c r="BC180" i="9"/>
  <c r="BC181" i="9"/>
  <c r="BC183" i="9"/>
  <c r="BC184" i="9"/>
  <c r="BC188" i="9"/>
  <c r="BC189" i="9"/>
  <c r="BC191" i="9"/>
  <c r="BC192" i="9"/>
  <c r="BC193" i="9"/>
  <c r="BC194" i="9"/>
  <c r="BC195" i="9"/>
  <c r="BC196" i="9"/>
  <c r="BC197" i="9"/>
  <c r="BC198" i="9"/>
  <c r="BC203" i="9"/>
  <c r="BC204" i="9"/>
  <c r="BC205" i="9"/>
  <c r="BC207" i="9"/>
  <c r="BC208" i="9"/>
  <c r="BC209" i="9"/>
  <c r="BC210" i="9"/>
  <c r="BC212" i="9"/>
  <c r="BC216" i="9"/>
  <c r="BC218" i="9"/>
  <c r="BC217" i="9"/>
  <c r="BC219" i="9"/>
  <c r="BC220" i="9"/>
  <c r="BC221" i="9"/>
  <c r="BC223" i="9"/>
  <c r="BC224" i="9"/>
  <c r="BC229" i="9"/>
  <c r="BC231" i="9"/>
  <c r="BC233" i="9"/>
  <c r="BC234" i="9"/>
  <c r="BC237" i="9"/>
  <c r="BC238" i="9"/>
  <c r="BC241" i="9"/>
  <c r="BC243" i="9"/>
  <c r="BC245" i="9"/>
  <c r="BC248" i="9"/>
  <c r="BC250" i="9"/>
  <c r="BC251" i="9"/>
  <c r="BC252" i="9"/>
  <c r="BC255" i="9"/>
  <c r="BC256" i="9"/>
  <c r="BC258" i="9"/>
  <c r="BC262" i="9"/>
  <c r="BC263" i="9"/>
  <c r="BC265" i="9"/>
  <c r="BC266" i="9"/>
  <c r="BC267" i="9"/>
  <c r="BC268" i="9"/>
  <c r="BC269" i="9"/>
  <c r="BC270" i="9"/>
  <c r="BC272" i="9"/>
  <c r="BC275" i="9"/>
  <c r="BC276" i="9"/>
  <c r="BC279" i="9"/>
  <c r="BC281" i="9"/>
  <c r="BC284" i="9"/>
  <c r="BC286" i="9"/>
  <c r="BC287" i="9"/>
  <c r="BC291" i="9"/>
  <c r="BC293" i="9"/>
  <c r="BC312" i="9"/>
  <c r="BB154" i="9"/>
  <c r="BB36" i="9"/>
  <c r="BB83" i="9"/>
  <c r="BB264" i="9"/>
  <c r="BB259" i="9"/>
  <c r="BB301" i="9"/>
  <c r="BB230" i="9"/>
  <c r="BB288" i="9"/>
  <c r="BB316" i="9"/>
  <c r="BB29" i="9"/>
  <c r="BB37" i="9"/>
  <c r="BB90" i="9"/>
  <c r="BB163" i="9"/>
  <c r="BB294" i="9"/>
  <c r="BB190" i="9"/>
  <c r="BB226" i="9"/>
  <c r="BB260" i="9"/>
  <c r="BB23" i="9"/>
  <c r="BB30" i="9"/>
  <c r="BB84" i="9"/>
  <c r="BB173" i="9"/>
  <c r="BB239" i="9"/>
  <c r="BB249" i="9"/>
  <c r="BB271" i="9"/>
  <c r="BB320" i="9"/>
  <c r="BB64" i="9"/>
  <c r="BB68" i="9"/>
  <c r="BB92" i="9"/>
  <c r="BB119" i="9"/>
  <c r="BB149" i="9"/>
  <c r="BB235" i="9"/>
  <c r="BB278" i="9"/>
  <c r="BB32" i="9"/>
  <c r="BB35" i="9"/>
  <c r="BB73" i="9"/>
  <c r="BB79" i="9"/>
  <c r="BB131" i="9"/>
  <c r="BB225" i="9"/>
  <c r="BB242" i="9"/>
  <c r="BB8" i="9"/>
  <c r="BB12" i="9"/>
  <c r="BB16" i="9"/>
  <c r="BB38" i="9"/>
  <c r="BB81" i="9"/>
  <c r="BB82" i="9"/>
  <c r="BB88" i="9"/>
  <c r="BB133" i="9"/>
  <c r="BB137" i="9"/>
  <c r="BB170" i="9"/>
  <c r="BB201" i="9"/>
  <c r="BB202" i="9"/>
  <c r="BB211" i="9"/>
  <c r="BB244" i="9"/>
  <c r="BB261" i="9"/>
  <c r="BB283" i="9"/>
  <c r="BB285" i="9"/>
  <c r="BB128" i="9"/>
  <c r="BB159" i="9"/>
  <c r="BB177" i="9"/>
  <c r="BB240" i="9"/>
  <c r="BB315" i="9"/>
  <c r="BB33" i="9"/>
  <c r="BB49" i="9"/>
  <c r="BB62" i="9"/>
  <c r="BB78" i="9"/>
  <c r="BB166" i="9"/>
  <c r="BB182" i="9"/>
  <c r="BB186" i="9"/>
  <c r="BB236" i="9"/>
  <c r="BB290" i="9"/>
  <c r="BB19" i="9"/>
  <c r="BB147" i="9"/>
  <c r="BB274" i="9"/>
  <c r="BB295" i="9"/>
  <c r="BB297" i="9"/>
  <c r="BB299" i="9"/>
  <c r="BB302" i="9"/>
  <c r="BB303" i="9"/>
  <c r="BB304" i="9"/>
  <c r="BB305" i="9"/>
  <c r="BB307" i="9"/>
  <c r="BB308" i="9"/>
  <c r="BB309" i="9"/>
  <c r="BB310" i="9"/>
  <c r="BB311" i="9"/>
  <c r="BB313" i="9"/>
  <c r="BB314" i="9"/>
  <c r="BB317" i="9"/>
  <c r="BB318" i="9"/>
  <c r="BB247" i="9"/>
  <c r="BB5" i="9"/>
  <c r="BB6" i="9"/>
  <c r="BB7" i="9"/>
  <c r="BB9" i="9"/>
  <c r="BB10" i="9"/>
  <c r="BB11" i="9"/>
  <c r="BB13" i="9"/>
  <c r="BB14" i="9"/>
  <c r="BB15" i="9"/>
  <c r="BB18" i="9"/>
  <c r="BB21" i="9"/>
  <c r="BB22" i="9"/>
  <c r="BB25" i="9"/>
  <c r="BB27" i="9"/>
  <c r="BB28" i="9"/>
  <c r="BB31" i="9"/>
  <c r="BB39" i="9"/>
  <c r="BB41" i="9"/>
  <c r="BB42" i="9"/>
  <c r="BB43" i="9"/>
  <c r="BB44" i="9"/>
  <c r="BB45" i="9"/>
  <c r="BB46" i="9"/>
  <c r="BB47" i="9"/>
  <c r="BB48" i="9"/>
  <c r="BB50" i="9"/>
  <c r="BB51" i="9"/>
  <c r="BB52" i="9"/>
  <c r="BB55" i="9"/>
  <c r="BB58" i="9"/>
  <c r="BB59" i="9"/>
  <c r="BB60" i="9"/>
  <c r="BB61" i="9"/>
  <c r="BB63" i="9"/>
  <c r="BB65" i="9"/>
  <c r="BB67" i="9"/>
  <c r="BB69" i="9"/>
  <c r="BB70" i="9"/>
  <c r="BB71" i="9"/>
  <c r="BB72" i="9"/>
  <c r="BB74" i="9"/>
  <c r="BB75" i="9"/>
  <c r="BB77" i="9"/>
  <c r="BB85" i="9"/>
  <c r="BB86" i="9"/>
  <c r="BB89" i="9"/>
  <c r="BB91" i="9"/>
  <c r="BB93" i="9"/>
  <c r="BB95" i="9"/>
  <c r="BB96" i="9"/>
  <c r="BB97" i="9"/>
  <c r="BB99" i="9"/>
  <c r="BB100" i="9"/>
  <c r="BB101" i="9"/>
  <c r="BB102" i="9"/>
  <c r="BB103" i="9"/>
  <c r="BB104" i="9"/>
  <c r="BB105" i="9"/>
  <c r="BB3" i="9"/>
  <c r="BB106" i="9"/>
  <c r="BB107" i="9"/>
  <c r="BB108" i="9"/>
  <c r="BB110" i="9"/>
  <c r="BB111" i="9"/>
  <c r="BB112" i="9"/>
  <c r="BB113" i="9"/>
  <c r="BB114" i="9"/>
  <c r="BB115" i="9"/>
  <c r="BB116" i="9"/>
  <c r="BB118" i="9"/>
  <c r="BB123" i="9"/>
  <c r="BB125" i="9"/>
  <c r="BB126" i="9"/>
  <c r="BB127" i="9"/>
  <c r="BB129" i="9"/>
  <c r="BB130" i="9"/>
  <c r="BB132" i="9"/>
  <c r="BB138" i="9"/>
  <c r="BB139" i="9"/>
  <c r="BB141" i="9"/>
  <c r="BB142" i="9"/>
  <c r="BB143" i="9"/>
  <c r="BB144" i="9"/>
  <c r="BB145" i="9"/>
  <c r="BB146" i="9"/>
  <c r="BB148" i="9"/>
  <c r="BB150" i="9"/>
  <c r="BB151" i="9"/>
  <c r="BB152" i="9"/>
  <c r="BB153" i="9"/>
  <c r="BB156" i="9"/>
  <c r="BB157" i="9"/>
  <c r="BB158" i="9"/>
  <c r="BB161" i="9"/>
  <c r="BB162" i="9"/>
  <c r="BB164" i="9"/>
  <c r="BB165" i="9"/>
  <c r="BB167" i="9"/>
  <c r="BB169" i="9"/>
  <c r="BB273" i="9"/>
  <c r="BB171" i="9"/>
  <c r="BB172" i="9"/>
  <c r="BB175" i="9"/>
  <c r="BB176" i="9"/>
  <c r="BB178" i="9"/>
  <c r="BB179" i="9"/>
  <c r="BB180" i="9"/>
  <c r="BB181" i="9"/>
  <c r="BB183" i="9"/>
  <c r="BB184" i="9"/>
  <c r="BB188" i="9"/>
  <c r="BB189" i="9"/>
  <c r="BB191" i="9"/>
  <c r="BB192" i="9"/>
  <c r="BB193" i="9"/>
  <c r="BB194" i="9"/>
  <c r="BB195" i="9"/>
  <c r="BB196" i="9"/>
  <c r="BB197" i="9"/>
  <c r="BB198" i="9"/>
  <c r="BB203" i="9"/>
  <c r="BB204" i="9"/>
  <c r="BB205" i="9"/>
  <c r="BB207" i="9"/>
  <c r="BB208" i="9"/>
  <c r="BB209" i="9"/>
  <c r="BB210" i="9"/>
  <c r="BB212" i="9"/>
  <c r="BB216" i="9"/>
  <c r="BB218" i="9"/>
  <c r="BB217" i="9"/>
  <c r="BB219" i="9"/>
  <c r="BB220" i="9"/>
  <c r="BB221" i="9"/>
  <c r="BB223" i="9"/>
  <c r="BB224" i="9"/>
  <c r="BB229" i="9"/>
  <c r="BB231" i="9"/>
  <c r="BB233" i="9"/>
  <c r="BB234" i="9"/>
  <c r="BB237" i="9"/>
  <c r="BB238" i="9"/>
  <c r="BB241" i="9"/>
  <c r="BB243" i="9"/>
  <c r="BB245" i="9"/>
  <c r="BB248" i="9"/>
  <c r="BB250" i="9"/>
  <c r="BB251" i="9"/>
  <c r="BB252" i="9"/>
  <c r="BB255" i="9"/>
  <c r="BB256" i="9"/>
  <c r="BB258" i="9"/>
  <c r="BB262" i="9"/>
  <c r="BB263" i="9"/>
  <c r="BB265" i="9"/>
  <c r="BB266" i="9"/>
  <c r="BB267" i="9"/>
  <c r="BB268" i="9"/>
  <c r="BB269" i="9"/>
  <c r="BB270" i="9"/>
  <c r="BB272" i="9"/>
  <c r="BB275" i="9"/>
  <c r="BB276" i="9"/>
  <c r="BB279" i="9"/>
  <c r="BB281" i="9"/>
  <c r="BB284" i="9"/>
  <c r="BB286" i="9"/>
  <c r="BB287" i="9"/>
  <c r="BB291" i="9"/>
  <c r="BB293" i="9"/>
  <c r="BB312" i="9"/>
  <c r="AZ154" i="9"/>
  <c r="AZ36" i="9"/>
  <c r="AZ83" i="9"/>
  <c r="AZ264" i="9"/>
  <c r="AZ259" i="9"/>
  <c r="AZ301" i="9"/>
  <c r="AZ230" i="9"/>
  <c r="AZ288" i="9"/>
  <c r="AZ316" i="9"/>
  <c r="AZ29" i="9"/>
  <c r="AZ37" i="9"/>
  <c r="AZ90" i="9"/>
  <c r="AZ163" i="9"/>
  <c r="AZ294" i="9"/>
  <c r="AZ190" i="9"/>
  <c r="AZ226" i="9"/>
  <c r="AZ260" i="9"/>
  <c r="AZ23" i="9"/>
  <c r="AZ30" i="9"/>
  <c r="AZ84" i="9"/>
  <c r="AZ173" i="9"/>
  <c r="AZ239" i="9"/>
  <c r="AZ249" i="9"/>
  <c r="AZ271" i="9"/>
  <c r="AZ320" i="9"/>
  <c r="AZ64" i="9"/>
  <c r="AZ68" i="9"/>
  <c r="AZ92" i="9"/>
  <c r="AZ119" i="9"/>
  <c r="AZ149" i="9"/>
  <c r="AZ235" i="9"/>
  <c r="AZ278" i="9"/>
  <c r="AZ32" i="9"/>
  <c r="AZ35" i="9"/>
  <c r="AZ73" i="9"/>
  <c r="AZ79" i="9"/>
  <c r="AZ131" i="9"/>
  <c r="AZ225" i="9"/>
  <c r="AZ242" i="9"/>
  <c r="AZ8" i="9"/>
  <c r="AZ12" i="9"/>
  <c r="AZ16" i="9"/>
  <c r="AZ38" i="9"/>
  <c r="AZ81" i="9"/>
  <c r="AZ82" i="9"/>
  <c r="AZ88" i="9"/>
  <c r="AZ133" i="9"/>
  <c r="AZ137" i="9"/>
  <c r="AZ170" i="9"/>
  <c r="AZ201" i="9"/>
  <c r="AZ202" i="9"/>
  <c r="AZ211" i="9"/>
  <c r="AZ244" i="9"/>
  <c r="AZ261" i="9"/>
  <c r="AZ283" i="9"/>
  <c r="AZ285" i="9"/>
  <c r="AZ128" i="9"/>
  <c r="AZ159" i="9"/>
  <c r="AZ177" i="9"/>
  <c r="AZ240" i="9"/>
  <c r="AZ315" i="9"/>
  <c r="AZ33" i="9"/>
  <c r="AZ49" i="9"/>
  <c r="AZ62" i="9"/>
  <c r="AZ78" i="9"/>
  <c r="AZ166" i="9"/>
  <c r="AZ182" i="9"/>
  <c r="AZ186" i="9"/>
  <c r="AZ236" i="9"/>
  <c r="AZ290" i="9"/>
  <c r="AZ19" i="9"/>
  <c r="AZ147" i="9"/>
  <c r="AZ274" i="9"/>
  <c r="AZ295" i="9"/>
  <c r="AZ297" i="9"/>
  <c r="AZ299" i="9"/>
  <c r="AZ302" i="9"/>
  <c r="AZ303" i="9"/>
  <c r="AZ304" i="9"/>
  <c r="AZ305" i="9"/>
  <c r="AZ307" i="9"/>
  <c r="AZ308" i="9"/>
  <c r="AZ309" i="9"/>
  <c r="AZ310" i="9"/>
  <c r="AZ311" i="9"/>
  <c r="AZ313" i="9"/>
  <c r="AZ314" i="9"/>
  <c r="AZ317" i="9"/>
  <c r="AZ318" i="9"/>
  <c r="AZ247" i="9"/>
  <c r="AZ5" i="9"/>
  <c r="AZ6" i="9"/>
  <c r="AZ7" i="9"/>
  <c r="AZ9" i="9"/>
  <c r="AZ10" i="9"/>
  <c r="AZ11" i="9"/>
  <c r="AZ13" i="9"/>
  <c r="AZ14" i="9"/>
  <c r="AZ15" i="9"/>
  <c r="AZ18" i="9"/>
  <c r="AZ21" i="9"/>
  <c r="AZ22" i="9"/>
  <c r="AZ25" i="9"/>
  <c r="AZ27" i="9"/>
  <c r="AZ28" i="9"/>
  <c r="AZ31" i="9"/>
  <c r="AZ39" i="9"/>
  <c r="AZ41" i="9"/>
  <c r="AZ42" i="9"/>
  <c r="AZ43" i="9"/>
  <c r="AZ44" i="9"/>
  <c r="AZ45" i="9"/>
  <c r="AZ46" i="9"/>
  <c r="AZ47" i="9"/>
  <c r="AZ48" i="9"/>
  <c r="AZ50" i="9"/>
  <c r="AZ51" i="9"/>
  <c r="AZ52" i="9"/>
  <c r="AZ55" i="9"/>
  <c r="AZ58" i="9"/>
  <c r="AZ59" i="9"/>
  <c r="AZ60" i="9"/>
  <c r="AZ61" i="9"/>
  <c r="AZ63" i="9"/>
  <c r="AZ65" i="9"/>
  <c r="AZ67" i="9"/>
  <c r="AZ69" i="9"/>
  <c r="AZ70" i="9"/>
  <c r="AZ71" i="9"/>
  <c r="AZ72" i="9"/>
  <c r="AZ74" i="9"/>
  <c r="AZ75" i="9"/>
  <c r="AZ77" i="9"/>
  <c r="AZ85" i="9"/>
  <c r="AZ86" i="9"/>
  <c r="AZ89" i="9"/>
  <c r="AZ91" i="9"/>
  <c r="AZ93" i="9"/>
  <c r="AZ95" i="9"/>
  <c r="AZ96" i="9"/>
  <c r="AZ97" i="9"/>
  <c r="AZ99" i="9"/>
  <c r="AZ100" i="9"/>
  <c r="AZ101" i="9"/>
  <c r="AZ102" i="9"/>
  <c r="AZ103" i="9"/>
  <c r="AZ104" i="9"/>
  <c r="AZ105" i="9"/>
  <c r="AZ3" i="9"/>
  <c r="AZ106" i="9"/>
  <c r="AZ107" i="9"/>
  <c r="AZ108" i="9"/>
  <c r="AZ110" i="9"/>
  <c r="AZ111" i="9"/>
  <c r="AZ112" i="9"/>
  <c r="AZ113" i="9"/>
  <c r="AZ114" i="9"/>
  <c r="AZ115" i="9"/>
  <c r="AZ116" i="9"/>
  <c r="AZ118" i="9"/>
  <c r="AZ123" i="9"/>
  <c r="AZ125" i="9"/>
  <c r="AZ126" i="9"/>
  <c r="AZ127" i="9"/>
  <c r="AZ129" i="9"/>
  <c r="AZ130" i="9"/>
  <c r="AZ132" i="9"/>
  <c r="AZ138" i="9"/>
  <c r="AZ139" i="9"/>
  <c r="AZ141" i="9"/>
  <c r="AZ142" i="9"/>
  <c r="AZ143" i="9"/>
  <c r="AZ144" i="9"/>
  <c r="AZ145" i="9"/>
  <c r="AZ146" i="9"/>
  <c r="AZ148" i="9"/>
  <c r="AZ150" i="9"/>
  <c r="AZ151" i="9"/>
  <c r="AZ152" i="9"/>
  <c r="AZ153" i="9"/>
  <c r="AZ156" i="9"/>
  <c r="AZ157" i="9"/>
  <c r="AZ158" i="9"/>
  <c r="AZ161" i="9"/>
  <c r="AZ162" i="9"/>
  <c r="AZ164" i="9"/>
  <c r="AZ165" i="9"/>
  <c r="AZ167" i="9"/>
  <c r="AZ169" i="9"/>
  <c r="AZ273" i="9"/>
  <c r="AZ171" i="9"/>
  <c r="AZ172" i="9"/>
  <c r="AZ175" i="9"/>
  <c r="AZ176" i="9"/>
  <c r="AZ178" i="9"/>
  <c r="AZ179" i="9"/>
  <c r="AZ180" i="9"/>
  <c r="AZ181" i="9"/>
  <c r="AZ183" i="9"/>
  <c r="AZ184" i="9"/>
  <c r="AZ188" i="9"/>
  <c r="AZ189" i="9"/>
  <c r="AZ191" i="9"/>
  <c r="AZ192" i="9"/>
  <c r="AZ193" i="9"/>
  <c r="AZ194" i="9"/>
  <c r="AZ195" i="9"/>
  <c r="AZ196" i="9"/>
  <c r="AZ197" i="9"/>
  <c r="AZ198" i="9"/>
  <c r="AZ203" i="9"/>
  <c r="AZ204" i="9"/>
  <c r="AZ205" i="9"/>
  <c r="AZ207" i="9"/>
  <c r="AZ208" i="9"/>
  <c r="AZ209" i="9"/>
  <c r="AZ210" i="9"/>
  <c r="AZ212" i="9"/>
  <c r="AZ216" i="9"/>
  <c r="AZ218" i="9"/>
  <c r="AZ217" i="9"/>
  <c r="AZ219" i="9"/>
  <c r="AZ220" i="9"/>
  <c r="AZ221" i="9"/>
  <c r="AZ223" i="9"/>
  <c r="AZ224" i="9"/>
  <c r="AZ229" i="9"/>
  <c r="AZ231" i="9"/>
  <c r="AZ233" i="9"/>
  <c r="AZ234" i="9"/>
  <c r="AZ237" i="9"/>
  <c r="AZ238" i="9"/>
  <c r="AZ241" i="9"/>
  <c r="AZ243" i="9"/>
  <c r="AZ245" i="9"/>
  <c r="AZ248" i="9"/>
  <c r="AZ250" i="9"/>
  <c r="AZ251" i="9"/>
  <c r="AZ252" i="9"/>
  <c r="AZ255" i="9"/>
  <c r="AZ256" i="9"/>
  <c r="AZ258" i="9"/>
  <c r="AZ262" i="9"/>
  <c r="AZ263" i="9"/>
  <c r="AZ265" i="9"/>
  <c r="AZ266" i="9"/>
  <c r="AZ267" i="9"/>
  <c r="AZ268" i="9"/>
  <c r="AZ269" i="9"/>
  <c r="AZ270" i="9"/>
  <c r="AZ272" i="9"/>
  <c r="AZ275" i="9"/>
  <c r="AZ276" i="9"/>
  <c r="AZ279" i="9"/>
  <c r="AZ281" i="9"/>
  <c r="AZ284" i="9"/>
  <c r="AZ286" i="9"/>
  <c r="AZ287" i="9"/>
  <c r="AZ291" i="9"/>
  <c r="AZ293" i="9"/>
  <c r="AZ312" i="9"/>
  <c r="AY154" i="9"/>
  <c r="AY36" i="9"/>
  <c r="AY83" i="9"/>
  <c r="AY264" i="9"/>
  <c r="AY259" i="9"/>
  <c r="AY301" i="9"/>
  <c r="AY230" i="9"/>
  <c r="AY288" i="9"/>
  <c r="AY316" i="9"/>
  <c r="AY29" i="9"/>
  <c r="AY37" i="9"/>
  <c r="AY90" i="9"/>
  <c r="AY163" i="9"/>
  <c r="AY294" i="9"/>
  <c r="AY190" i="9"/>
  <c r="AY226" i="9"/>
  <c r="AY260" i="9"/>
  <c r="AY23" i="9"/>
  <c r="AY30" i="9"/>
  <c r="AY84" i="9"/>
  <c r="AY173" i="9"/>
  <c r="AY239" i="9"/>
  <c r="AY249" i="9"/>
  <c r="AY271" i="9"/>
  <c r="AY320" i="9"/>
  <c r="AY64" i="9"/>
  <c r="AY68" i="9"/>
  <c r="AY92" i="9"/>
  <c r="AY119" i="9"/>
  <c r="AY149" i="9"/>
  <c r="AY235" i="9"/>
  <c r="AY278" i="9"/>
  <c r="AY32" i="9"/>
  <c r="AY35" i="9"/>
  <c r="AY73" i="9"/>
  <c r="AY79" i="9"/>
  <c r="AY131" i="9"/>
  <c r="AY225" i="9"/>
  <c r="AY242" i="9"/>
  <c r="AY8" i="9"/>
  <c r="AY12" i="9"/>
  <c r="AY16" i="9"/>
  <c r="AY38" i="9"/>
  <c r="AY81" i="9"/>
  <c r="AY82" i="9"/>
  <c r="AY88" i="9"/>
  <c r="AY133" i="9"/>
  <c r="AY137" i="9"/>
  <c r="AY170" i="9"/>
  <c r="AY201" i="9"/>
  <c r="AY202" i="9"/>
  <c r="AY211" i="9"/>
  <c r="AY244" i="9"/>
  <c r="AY261" i="9"/>
  <c r="AY283" i="9"/>
  <c r="AY285" i="9"/>
  <c r="AY128" i="9"/>
  <c r="AY159" i="9"/>
  <c r="AY177" i="9"/>
  <c r="AY240" i="9"/>
  <c r="AY315" i="9"/>
  <c r="AY33" i="9"/>
  <c r="AY49" i="9"/>
  <c r="AY62" i="9"/>
  <c r="AY78" i="9"/>
  <c r="AY166" i="9"/>
  <c r="AY182" i="9"/>
  <c r="AY186" i="9"/>
  <c r="AY236" i="9"/>
  <c r="AY290" i="9"/>
  <c r="AY19" i="9"/>
  <c r="AY147" i="9"/>
  <c r="AY274" i="9"/>
  <c r="AY295" i="9"/>
  <c r="AY297" i="9"/>
  <c r="AY299" i="9"/>
  <c r="AY302" i="9"/>
  <c r="AY303" i="9"/>
  <c r="AY304" i="9"/>
  <c r="AY305" i="9"/>
  <c r="AY307" i="9"/>
  <c r="AY308" i="9"/>
  <c r="AY309" i="9"/>
  <c r="AY310" i="9"/>
  <c r="AY311" i="9"/>
  <c r="AY313" i="9"/>
  <c r="AY314" i="9"/>
  <c r="AY317" i="9"/>
  <c r="AY318" i="9"/>
  <c r="AY247" i="9"/>
  <c r="AY5" i="9"/>
  <c r="AY6" i="9"/>
  <c r="AY7" i="9"/>
  <c r="AY9" i="9"/>
  <c r="AY10" i="9"/>
  <c r="AY11" i="9"/>
  <c r="AY13" i="9"/>
  <c r="AY14" i="9"/>
  <c r="AY15" i="9"/>
  <c r="AY18" i="9"/>
  <c r="AY21" i="9"/>
  <c r="AY22" i="9"/>
  <c r="AY25" i="9"/>
  <c r="AY27" i="9"/>
  <c r="AY28" i="9"/>
  <c r="AY31" i="9"/>
  <c r="AY39" i="9"/>
  <c r="AY41" i="9"/>
  <c r="AY42" i="9"/>
  <c r="AY43" i="9"/>
  <c r="AY44" i="9"/>
  <c r="AY45" i="9"/>
  <c r="AY46" i="9"/>
  <c r="AY47" i="9"/>
  <c r="AY48" i="9"/>
  <c r="AY50" i="9"/>
  <c r="AY51" i="9"/>
  <c r="AY52" i="9"/>
  <c r="AY55" i="9"/>
  <c r="AY58" i="9"/>
  <c r="AY59" i="9"/>
  <c r="AY60" i="9"/>
  <c r="AY61" i="9"/>
  <c r="AY63" i="9"/>
  <c r="AY65" i="9"/>
  <c r="AY67" i="9"/>
  <c r="AY69" i="9"/>
  <c r="AY70" i="9"/>
  <c r="AY71" i="9"/>
  <c r="AY72" i="9"/>
  <c r="AY74" i="9"/>
  <c r="AY75" i="9"/>
  <c r="AY77" i="9"/>
  <c r="AY85" i="9"/>
  <c r="AY86" i="9"/>
  <c r="AY89" i="9"/>
  <c r="AY91" i="9"/>
  <c r="AY93" i="9"/>
  <c r="AY95" i="9"/>
  <c r="AY96" i="9"/>
  <c r="AY97" i="9"/>
  <c r="AY99" i="9"/>
  <c r="AY100" i="9"/>
  <c r="AY101" i="9"/>
  <c r="AY102" i="9"/>
  <c r="AY103" i="9"/>
  <c r="AY104" i="9"/>
  <c r="AY105" i="9"/>
  <c r="AY3" i="9"/>
  <c r="AY106" i="9"/>
  <c r="AY107" i="9"/>
  <c r="AY108" i="9"/>
  <c r="AY110" i="9"/>
  <c r="AY111" i="9"/>
  <c r="AY112" i="9"/>
  <c r="AY113" i="9"/>
  <c r="AY114" i="9"/>
  <c r="AY115" i="9"/>
  <c r="AY116" i="9"/>
  <c r="AY118" i="9"/>
  <c r="AY123" i="9"/>
  <c r="AY125" i="9"/>
  <c r="AY126" i="9"/>
  <c r="AY127" i="9"/>
  <c r="AY129" i="9"/>
  <c r="AY130" i="9"/>
  <c r="AY132" i="9"/>
  <c r="AY138" i="9"/>
  <c r="AY139" i="9"/>
  <c r="AY141" i="9"/>
  <c r="AY142" i="9"/>
  <c r="AY143" i="9"/>
  <c r="AY144" i="9"/>
  <c r="AY145" i="9"/>
  <c r="AY146" i="9"/>
  <c r="AY148" i="9"/>
  <c r="AY150" i="9"/>
  <c r="AY151" i="9"/>
  <c r="AY152" i="9"/>
  <c r="AY153" i="9"/>
  <c r="AY156" i="9"/>
  <c r="AY157" i="9"/>
  <c r="AY158" i="9"/>
  <c r="AY161" i="9"/>
  <c r="AY162" i="9"/>
  <c r="AY164" i="9"/>
  <c r="AY165" i="9"/>
  <c r="AY167" i="9"/>
  <c r="AY169" i="9"/>
  <c r="AY273" i="9"/>
  <c r="AY171" i="9"/>
  <c r="AY172" i="9"/>
  <c r="AY175" i="9"/>
  <c r="AY176" i="9"/>
  <c r="AY178" i="9"/>
  <c r="AY179" i="9"/>
  <c r="AY180" i="9"/>
  <c r="AY181" i="9"/>
  <c r="AY183" i="9"/>
  <c r="AY184" i="9"/>
  <c r="AY188" i="9"/>
  <c r="AY189" i="9"/>
  <c r="AY191" i="9"/>
  <c r="AY192" i="9"/>
  <c r="AY193" i="9"/>
  <c r="AY194" i="9"/>
  <c r="AY195" i="9"/>
  <c r="AY196" i="9"/>
  <c r="AY197" i="9"/>
  <c r="AY198" i="9"/>
  <c r="AY203" i="9"/>
  <c r="AY204" i="9"/>
  <c r="AY205" i="9"/>
  <c r="AY207" i="9"/>
  <c r="AY208" i="9"/>
  <c r="AY209" i="9"/>
  <c r="AY210" i="9"/>
  <c r="AY212" i="9"/>
  <c r="AY216" i="9"/>
  <c r="AY218" i="9"/>
  <c r="AY217" i="9"/>
  <c r="AY219" i="9"/>
  <c r="AY220" i="9"/>
  <c r="AY221" i="9"/>
  <c r="AY223" i="9"/>
  <c r="AY224" i="9"/>
  <c r="AY229" i="9"/>
  <c r="AY231" i="9"/>
  <c r="AY233" i="9"/>
  <c r="AY234" i="9"/>
  <c r="AY237" i="9"/>
  <c r="AY238" i="9"/>
  <c r="AY241" i="9"/>
  <c r="AY243" i="9"/>
  <c r="AY245" i="9"/>
  <c r="AY248" i="9"/>
  <c r="AY250" i="9"/>
  <c r="AY251" i="9"/>
  <c r="AY252" i="9"/>
  <c r="AY255" i="9"/>
  <c r="AY256" i="9"/>
  <c r="AY258" i="9"/>
  <c r="AY262" i="9"/>
  <c r="AY263" i="9"/>
  <c r="AY265" i="9"/>
  <c r="AY266" i="9"/>
  <c r="AY267" i="9"/>
  <c r="AY268" i="9"/>
  <c r="AY269" i="9"/>
  <c r="AY270" i="9"/>
  <c r="AY272" i="9"/>
  <c r="AY275" i="9"/>
  <c r="AY276" i="9"/>
  <c r="AY279" i="9"/>
  <c r="AY281" i="9"/>
  <c r="AY284" i="9"/>
  <c r="AY286" i="9"/>
  <c r="AY287" i="9"/>
  <c r="AY291" i="9"/>
  <c r="AY293" i="9"/>
  <c r="AY312" i="9"/>
  <c r="AX154" i="9"/>
  <c r="AX36" i="9"/>
  <c r="AX83" i="9"/>
  <c r="AX264" i="9"/>
  <c r="AX259" i="9"/>
  <c r="AX301" i="9"/>
  <c r="AX230" i="9"/>
  <c r="AX288" i="9"/>
  <c r="AX316" i="9"/>
  <c r="AX29" i="9"/>
  <c r="AX37" i="9"/>
  <c r="AX90" i="9"/>
  <c r="AX163" i="9"/>
  <c r="AX294" i="9"/>
  <c r="AX190" i="9"/>
  <c r="AX226" i="9"/>
  <c r="AX260" i="9"/>
  <c r="AX23" i="9"/>
  <c r="AX30" i="9"/>
  <c r="AX84" i="9"/>
  <c r="AX173" i="9"/>
  <c r="AX239" i="9"/>
  <c r="AX249" i="9"/>
  <c r="AX271" i="9"/>
  <c r="AX320" i="9"/>
  <c r="AX64" i="9"/>
  <c r="AX68" i="9"/>
  <c r="AX92" i="9"/>
  <c r="AX119" i="9"/>
  <c r="AX149" i="9"/>
  <c r="AX235" i="9"/>
  <c r="AX278" i="9"/>
  <c r="AX32" i="9"/>
  <c r="AX35" i="9"/>
  <c r="AX73" i="9"/>
  <c r="AX79" i="9"/>
  <c r="AX131" i="9"/>
  <c r="AX225" i="9"/>
  <c r="AX242" i="9"/>
  <c r="AX8" i="9"/>
  <c r="AX12" i="9"/>
  <c r="AX16" i="9"/>
  <c r="AX38" i="9"/>
  <c r="AX81" i="9"/>
  <c r="AX82" i="9"/>
  <c r="AX88" i="9"/>
  <c r="AX133" i="9"/>
  <c r="AX137" i="9"/>
  <c r="AX170" i="9"/>
  <c r="AX201" i="9"/>
  <c r="AX202" i="9"/>
  <c r="AX211" i="9"/>
  <c r="AX244" i="9"/>
  <c r="AX261" i="9"/>
  <c r="AX283" i="9"/>
  <c r="AX285" i="9"/>
  <c r="AX128" i="9"/>
  <c r="AX159" i="9"/>
  <c r="AX177" i="9"/>
  <c r="AX240" i="9"/>
  <c r="AX315" i="9"/>
  <c r="AX33" i="9"/>
  <c r="AX49" i="9"/>
  <c r="AX62" i="9"/>
  <c r="AX78" i="9"/>
  <c r="AX166" i="9"/>
  <c r="AX182" i="9"/>
  <c r="AX186" i="9"/>
  <c r="AX236" i="9"/>
  <c r="AX290" i="9"/>
  <c r="AX19" i="9"/>
  <c r="AX147" i="9"/>
  <c r="AX274" i="9"/>
  <c r="AX295" i="9"/>
  <c r="AX297" i="9"/>
  <c r="AX299" i="9"/>
  <c r="AX302" i="9"/>
  <c r="AX303" i="9"/>
  <c r="AX304" i="9"/>
  <c r="AX305" i="9"/>
  <c r="AX307" i="9"/>
  <c r="AX308" i="9"/>
  <c r="AX309" i="9"/>
  <c r="AX310" i="9"/>
  <c r="AX311" i="9"/>
  <c r="AX313" i="9"/>
  <c r="AX314" i="9"/>
  <c r="AX317" i="9"/>
  <c r="AX318" i="9"/>
  <c r="AX247" i="9"/>
  <c r="AX5" i="9"/>
  <c r="AX6" i="9"/>
  <c r="AX7" i="9"/>
  <c r="AX9" i="9"/>
  <c r="AX10" i="9"/>
  <c r="AX11" i="9"/>
  <c r="AX13" i="9"/>
  <c r="AX14" i="9"/>
  <c r="AX15" i="9"/>
  <c r="AX18" i="9"/>
  <c r="AX21" i="9"/>
  <c r="AX22" i="9"/>
  <c r="AX25" i="9"/>
  <c r="AX27" i="9"/>
  <c r="AX28" i="9"/>
  <c r="AX31" i="9"/>
  <c r="AX39" i="9"/>
  <c r="AX41" i="9"/>
  <c r="AX42" i="9"/>
  <c r="AX43" i="9"/>
  <c r="AX44" i="9"/>
  <c r="AX45" i="9"/>
  <c r="AX46" i="9"/>
  <c r="AX47" i="9"/>
  <c r="AX48" i="9"/>
  <c r="AX50" i="9"/>
  <c r="AX51" i="9"/>
  <c r="AX52" i="9"/>
  <c r="AX55" i="9"/>
  <c r="AX58" i="9"/>
  <c r="AX59" i="9"/>
  <c r="AX60" i="9"/>
  <c r="AX61" i="9"/>
  <c r="AX63" i="9"/>
  <c r="AX65" i="9"/>
  <c r="AX67" i="9"/>
  <c r="AX69" i="9"/>
  <c r="AX70" i="9"/>
  <c r="AX71" i="9"/>
  <c r="AX72" i="9"/>
  <c r="AX74" i="9"/>
  <c r="AX75" i="9"/>
  <c r="AX77" i="9"/>
  <c r="AX85" i="9"/>
  <c r="AX86" i="9"/>
  <c r="AX89" i="9"/>
  <c r="AX91" i="9"/>
  <c r="AX93" i="9"/>
  <c r="AX95" i="9"/>
  <c r="AX96" i="9"/>
  <c r="AX97" i="9"/>
  <c r="AX99" i="9"/>
  <c r="AX100" i="9"/>
  <c r="AX101" i="9"/>
  <c r="AX102" i="9"/>
  <c r="AX103" i="9"/>
  <c r="AX104" i="9"/>
  <c r="AX105" i="9"/>
  <c r="AX3" i="9"/>
  <c r="AX106" i="9"/>
  <c r="AX107" i="9"/>
  <c r="AX108" i="9"/>
  <c r="AX110" i="9"/>
  <c r="AX111" i="9"/>
  <c r="AX112" i="9"/>
  <c r="AX113" i="9"/>
  <c r="AX114" i="9"/>
  <c r="AX115" i="9"/>
  <c r="AX116" i="9"/>
  <c r="AX118" i="9"/>
  <c r="AX123" i="9"/>
  <c r="AX125" i="9"/>
  <c r="AX126" i="9"/>
  <c r="AX127" i="9"/>
  <c r="AX129" i="9"/>
  <c r="AX130" i="9"/>
  <c r="AX132" i="9"/>
  <c r="AX138" i="9"/>
  <c r="AX139" i="9"/>
  <c r="AX141" i="9"/>
  <c r="AX142" i="9"/>
  <c r="AX143" i="9"/>
  <c r="AX144" i="9"/>
  <c r="AX145" i="9"/>
  <c r="AX146" i="9"/>
  <c r="AX148" i="9"/>
  <c r="AX150" i="9"/>
  <c r="AX151" i="9"/>
  <c r="AX152" i="9"/>
  <c r="AX153" i="9"/>
  <c r="AX156" i="9"/>
  <c r="AX157" i="9"/>
  <c r="AX158" i="9"/>
  <c r="AX161" i="9"/>
  <c r="AX162" i="9"/>
  <c r="AX164" i="9"/>
  <c r="AX165" i="9"/>
  <c r="AX167" i="9"/>
  <c r="AX169" i="9"/>
  <c r="AX273" i="9"/>
  <c r="AX171" i="9"/>
  <c r="AX172" i="9"/>
  <c r="AX175" i="9"/>
  <c r="AX176" i="9"/>
  <c r="AX178" i="9"/>
  <c r="AX179" i="9"/>
  <c r="AX180" i="9"/>
  <c r="AX181" i="9"/>
  <c r="AX183" i="9"/>
  <c r="AX184" i="9"/>
  <c r="AX188" i="9"/>
  <c r="AX189" i="9"/>
  <c r="AX191" i="9"/>
  <c r="AX192" i="9"/>
  <c r="AX193" i="9"/>
  <c r="AX194" i="9"/>
  <c r="AX195" i="9"/>
  <c r="AX196" i="9"/>
  <c r="AX197" i="9"/>
  <c r="AX198" i="9"/>
  <c r="AX203" i="9"/>
  <c r="AX204" i="9"/>
  <c r="AX205" i="9"/>
  <c r="AX207" i="9"/>
  <c r="AX208" i="9"/>
  <c r="AX209" i="9"/>
  <c r="AX210" i="9"/>
  <c r="AX212" i="9"/>
  <c r="AX216" i="9"/>
  <c r="AX218" i="9"/>
  <c r="AX217" i="9"/>
  <c r="AX219" i="9"/>
  <c r="AX220" i="9"/>
  <c r="AX221" i="9"/>
  <c r="AX223" i="9"/>
  <c r="AX224" i="9"/>
  <c r="AX229" i="9"/>
  <c r="AX231" i="9"/>
  <c r="AX233" i="9"/>
  <c r="AX234" i="9"/>
  <c r="AX237" i="9"/>
  <c r="AX238" i="9"/>
  <c r="AX241" i="9"/>
  <c r="AX243" i="9"/>
  <c r="AX245" i="9"/>
  <c r="AX248" i="9"/>
  <c r="AX250" i="9"/>
  <c r="AX251" i="9"/>
  <c r="AX252" i="9"/>
  <c r="AX255" i="9"/>
  <c r="AX256" i="9"/>
  <c r="AX258" i="9"/>
  <c r="AX262" i="9"/>
  <c r="AX263" i="9"/>
  <c r="AX265" i="9"/>
  <c r="AX266" i="9"/>
  <c r="AX267" i="9"/>
  <c r="AX268" i="9"/>
  <c r="AX269" i="9"/>
  <c r="AX270" i="9"/>
  <c r="AX272" i="9"/>
  <c r="AX275" i="9"/>
  <c r="AX276" i="9"/>
  <c r="AX279" i="9"/>
  <c r="AX281" i="9"/>
  <c r="AX284" i="9"/>
  <c r="AX286" i="9"/>
  <c r="AX287" i="9"/>
  <c r="AX291" i="9"/>
  <c r="AX293" i="9"/>
  <c r="AX312" i="9"/>
  <c r="AW154" i="9"/>
  <c r="AW36" i="9"/>
  <c r="AW83" i="9"/>
  <c r="AW264" i="9"/>
  <c r="AW259" i="9"/>
  <c r="AW301" i="9"/>
  <c r="AW230" i="9"/>
  <c r="AW288" i="9"/>
  <c r="AW316" i="9"/>
  <c r="AW29" i="9"/>
  <c r="AW37" i="9"/>
  <c r="AW90" i="9"/>
  <c r="AW163" i="9"/>
  <c r="AW294" i="9"/>
  <c r="AW190" i="9"/>
  <c r="AW226" i="9"/>
  <c r="AW260" i="9"/>
  <c r="AW23" i="9"/>
  <c r="AW30" i="9"/>
  <c r="AW84" i="9"/>
  <c r="AW173" i="9"/>
  <c r="AW239" i="9"/>
  <c r="AW249" i="9"/>
  <c r="AW271" i="9"/>
  <c r="AW320" i="9"/>
  <c r="AW64" i="9"/>
  <c r="AW68" i="9"/>
  <c r="AW92" i="9"/>
  <c r="AW119" i="9"/>
  <c r="AW149" i="9"/>
  <c r="AW235" i="9"/>
  <c r="AW278" i="9"/>
  <c r="AW32" i="9"/>
  <c r="AW35" i="9"/>
  <c r="AW73" i="9"/>
  <c r="AW79" i="9"/>
  <c r="AW131" i="9"/>
  <c r="AW225" i="9"/>
  <c r="AW242" i="9"/>
  <c r="AW8" i="9"/>
  <c r="AW12" i="9"/>
  <c r="AW16" i="9"/>
  <c r="AW38" i="9"/>
  <c r="AW81" i="9"/>
  <c r="AW82" i="9"/>
  <c r="AW88" i="9"/>
  <c r="AW133" i="9"/>
  <c r="AW137" i="9"/>
  <c r="AW170" i="9"/>
  <c r="AW201" i="9"/>
  <c r="AW202" i="9"/>
  <c r="AW211" i="9"/>
  <c r="AW244" i="9"/>
  <c r="AW261" i="9"/>
  <c r="AW283" i="9"/>
  <c r="AW285" i="9"/>
  <c r="AW128" i="9"/>
  <c r="AW159" i="9"/>
  <c r="AW177" i="9"/>
  <c r="AW240" i="9"/>
  <c r="AW315" i="9"/>
  <c r="AW33" i="9"/>
  <c r="AW49" i="9"/>
  <c r="AW62" i="9"/>
  <c r="AW78" i="9"/>
  <c r="AW166" i="9"/>
  <c r="AW182" i="9"/>
  <c r="AW186" i="9"/>
  <c r="AW236" i="9"/>
  <c r="AW290" i="9"/>
  <c r="AW19" i="9"/>
  <c r="AW147" i="9"/>
  <c r="AW274" i="9"/>
  <c r="AW295" i="9"/>
  <c r="AW297" i="9"/>
  <c r="AW299" i="9"/>
  <c r="AW302" i="9"/>
  <c r="AW303" i="9"/>
  <c r="AW304" i="9"/>
  <c r="AW305" i="9"/>
  <c r="AW307" i="9"/>
  <c r="AW308" i="9"/>
  <c r="AW309" i="9"/>
  <c r="AW310" i="9"/>
  <c r="AW311" i="9"/>
  <c r="AW313" i="9"/>
  <c r="AW314" i="9"/>
  <c r="AW317" i="9"/>
  <c r="AW318" i="9"/>
  <c r="AW247" i="9"/>
  <c r="AW5" i="9"/>
  <c r="AW6" i="9"/>
  <c r="AW7" i="9"/>
  <c r="AW9" i="9"/>
  <c r="AW10" i="9"/>
  <c r="AW11" i="9"/>
  <c r="AW13" i="9"/>
  <c r="AW14" i="9"/>
  <c r="AW15" i="9"/>
  <c r="AW18" i="9"/>
  <c r="AW21" i="9"/>
  <c r="AW22" i="9"/>
  <c r="AW25" i="9"/>
  <c r="AW27" i="9"/>
  <c r="AW28" i="9"/>
  <c r="AW31" i="9"/>
  <c r="AW39" i="9"/>
  <c r="AW41" i="9"/>
  <c r="AW42" i="9"/>
  <c r="AW43" i="9"/>
  <c r="AW44" i="9"/>
  <c r="AW45" i="9"/>
  <c r="AW46" i="9"/>
  <c r="AW47" i="9"/>
  <c r="AW48" i="9"/>
  <c r="AW50" i="9"/>
  <c r="AW51" i="9"/>
  <c r="AW52" i="9"/>
  <c r="AW55" i="9"/>
  <c r="AW58" i="9"/>
  <c r="AW59" i="9"/>
  <c r="AW60" i="9"/>
  <c r="AW61" i="9"/>
  <c r="AW63" i="9"/>
  <c r="AW65" i="9"/>
  <c r="AW67" i="9"/>
  <c r="AW69" i="9"/>
  <c r="AW70" i="9"/>
  <c r="AW71" i="9"/>
  <c r="AW72" i="9"/>
  <c r="AW74" i="9"/>
  <c r="AW75" i="9"/>
  <c r="AW77" i="9"/>
  <c r="AW85" i="9"/>
  <c r="AW86" i="9"/>
  <c r="AW89" i="9"/>
  <c r="AW91" i="9"/>
  <c r="AW93" i="9"/>
  <c r="AW95" i="9"/>
  <c r="AW96" i="9"/>
  <c r="AW97" i="9"/>
  <c r="AW99" i="9"/>
  <c r="AW100" i="9"/>
  <c r="AW101" i="9"/>
  <c r="AW102" i="9"/>
  <c r="AW103" i="9"/>
  <c r="AW104" i="9"/>
  <c r="AW105" i="9"/>
  <c r="AW3" i="9"/>
  <c r="AW106" i="9"/>
  <c r="AW107" i="9"/>
  <c r="AW108" i="9"/>
  <c r="AW110" i="9"/>
  <c r="AW111" i="9"/>
  <c r="AW112" i="9"/>
  <c r="AW113" i="9"/>
  <c r="AW114" i="9"/>
  <c r="AW115" i="9"/>
  <c r="AW116" i="9"/>
  <c r="AW118" i="9"/>
  <c r="AW123" i="9"/>
  <c r="AW125" i="9"/>
  <c r="AW126" i="9"/>
  <c r="AW127" i="9"/>
  <c r="AW129" i="9"/>
  <c r="AW130" i="9"/>
  <c r="AW132" i="9"/>
  <c r="AW138" i="9"/>
  <c r="AW139" i="9"/>
  <c r="AW141" i="9"/>
  <c r="AW142" i="9"/>
  <c r="AW143" i="9"/>
  <c r="AW144" i="9"/>
  <c r="AW145" i="9"/>
  <c r="AW146" i="9"/>
  <c r="AW148" i="9"/>
  <c r="AW150" i="9"/>
  <c r="AW151" i="9"/>
  <c r="AW152" i="9"/>
  <c r="AW153" i="9"/>
  <c r="AW156" i="9"/>
  <c r="AW157" i="9"/>
  <c r="AW158" i="9"/>
  <c r="AW161" i="9"/>
  <c r="AW162" i="9"/>
  <c r="AW164" i="9"/>
  <c r="AW165" i="9"/>
  <c r="AW167" i="9"/>
  <c r="AW169" i="9"/>
  <c r="AW273" i="9"/>
  <c r="AW171" i="9"/>
  <c r="AW172" i="9"/>
  <c r="AW175" i="9"/>
  <c r="AW176" i="9"/>
  <c r="AW178" i="9"/>
  <c r="AW179" i="9"/>
  <c r="AW180" i="9"/>
  <c r="AW181" i="9"/>
  <c r="AW183" i="9"/>
  <c r="AW184" i="9"/>
  <c r="AW188" i="9"/>
  <c r="AW189" i="9"/>
  <c r="AW191" i="9"/>
  <c r="AW192" i="9"/>
  <c r="AW193" i="9"/>
  <c r="AW194" i="9"/>
  <c r="AW195" i="9"/>
  <c r="AW196" i="9"/>
  <c r="AW197" i="9"/>
  <c r="AW198" i="9"/>
  <c r="AW203" i="9"/>
  <c r="AW204" i="9"/>
  <c r="AW205" i="9"/>
  <c r="AW207" i="9"/>
  <c r="AW208" i="9"/>
  <c r="AW209" i="9"/>
  <c r="AW210" i="9"/>
  <c r="AW212" i="9"/>
  <c r="AW216" i="9"/>
  <c r="AW218" i="9"/>
  <c r="AW217" i="9"/>
  <c r="AW219" i="9"/>
  <c r="AW220" i="9"/>
  <c r="AW221" i="9"/>
  <c r="AW223" i="9"/>
  <c r="AW224" i="9"/>
  <c r="AW229" i="9"/>
  <c r="AW231" i="9"/>
  <c r="AW233" i="9"/>
  <c r="AW234" i="9"/>
  <c r="AW237" i="9"/>
  <c r="AW238" i="9"/>
  <c r="AW241" i="9"/>
  <c r="AW243" i="9"/>
  <c r="AW245" i="9"/>
  <c r="AW248" i="9"/>
  <c r="AW250" i="9"/>
  <c r="AW251" i="9"/>
  <c r="AW252" i="9"/>
  <c r="AW255" i="9"/>
  <c r="AW256" i="9"/>
  <c r="AW258" i="9"/>
  <c r="AW262" i="9"/>
  <c r="AW263" i="9"/>
  <c r="AW265" i="9"/>
  <c r="AW266" i="9"/>
  <c r="AW267" i="9"/>
  <c r="AW268" i="9"/>
  <c r="AW269" i="9"/>
  <c r="AW270" i="9"/>
  <c r="AW272" i="9"/>
  <c r="AW275" i="9"/>
  <c r="AW276" i="9"/>
  <c r="AW279" i="9"/>
  <c r="AW281" i="9"/>
  <c r="AW284" i="9"/>
  <c r="AW286" i="9"/>
  <c r="AW287" i="9"/>
  <c r="AW291" i="9"/>
  <c r="AW293" i="9"/>
  <c r="AW312" i="9"/>
  <c r="AV154" i="9"/>
  <c r="AV36" i="9"/>
  <c r="AV83" i="9"/>
  <c r="AV264" i="9"/>
  <c r="AV259" i="9"/>
  <c r="AV301" i="9"/>
  <c r="AV230" i="9"/>
  <c r="AV288" i="9"/>
  <c r="AV316" i="9"/>
  <c r="AV29" i="9"/>
  <c r="AV37" i="9"/>
  <c r="AV90" i="9"/>
  <c r="AV163" i="9"/>
  <c r="AV294" i="9"/>
  <c r="AV190" i="9"/>
  <c r="AV226" i="9"/>
  <c r="AV260" i="9"/>
  <c r="AV23" i="9"/>
  <c r="AV30" i="9"/>
  <c r="AV84" i="9"/>
  <c r="AV173" i="9"/>
  <c r="AV239" i="9"/>
  <c r="AV249" i="9"/>
  <c r="AV271" i="9"/>
  <c r="AV320" i="9"/>
  <c r="AV64" i="9"/>
  <c r="AV68" i="9"/>
  <c r="AV92" i="9"/>
  <c r="AV119" i="9"/>
  <c r="AV149" i="9"/>
  <c r="AV235" i="9"/>
  <c r="AV278" i="9"/>
  <c r="AV32" i="9"/>
  <c r="AV35" i="9"/>
  <c r="AV73" i="9"/>
  <c r="AV79" i="9"/>
  <c r="AV131" i="9"/>
  <c r="AV225" i="9"/>
  <c r="AV242" i="9"/>
  <c r="AV8" i="9"/>
  <c r="AV12" i="9"/>
  <c r="AV16" i="9"/>
  <c r="AV38" i="9"/>
  <c r="AV81" i="9"/>
  <c r="AV82" i="9"/>
  <c r="AV88" i="9"/>
  <c r="AV133" i="9"/>
  <c r="AV137" i="9"/>
  <c r="AV170" i="9"/>
  <c r="AV201" i="9"/>
  <c r="AV202" i="9"/>
  <c r="AV211" i="9"/>
  <c r="AV244" i="9"/>
  <c r="AV261" i="9"/>
  <c r="AV283" i="9"/>
  <c r="AV285" i="9"/>
  <c r="AV128" i="9"/>
  <c r="AV159" i="9"/>
  <c r="AV177" i="9"/>
  <c r="AV240" i="9"/>
  <c r="AV315" i="9"/>
  <c r="AV33" i="9"/>
  <c r="AV49" i="9"/>
  <c r="AV62" i="9"/>
  <c r="AV78" i="9"/>
  <c r="AV166" i="9"/>
  <c r="AV182" i="9"/>
  <c r="AV186" i="9"/>
  <c r="AV236" i="9"/>
  <c r="AV290" i="9"/>
  <c r="AV19" i="9"/>
  <c r="AV147" i="9"/>
  <c r="AV274" i="9"/>
  <c r="AV295" i="9"/>
  <c r="AV297" i="9"/>
  <c r="AV299" i="9"/>
  <c r="AV302" i="9"/>
  <c r="AV303" i="9"/>
  <c r="AV304" i="9"/>
  <c r="AV305" i="9"/>
  <c r="AV307" i="9"/>
  <c r="AV308" i="9"/>
  <c r="AV309" i="9"/>
  <c r="AV310" i="9"/>
  <c r="AV311" i="9"/>
  <c r="AV313" i="9"/>
  <c r="AV314" i="9"/>
  <c r="AV317" i="9"/>
  <c r="AV318" i="9"/>
  <c r="AV247" i="9"/>
  <c r="AV5" i="9"/>
  <c r="AV6" i="9"/>
  <c r="AV7" i="9"/>
  <c r="AV9" i="9"/>
  <c r="AV10" i="9"/>
  <c r="AV11" i="9"/>
  <c r="AV13" i="9"/>
  <c r="AV14" i="9"/>
  <c r="AV15" i="9"/>
  <c r="AV18" i="9"/>
  <c r="AV21" i="9"/>
  <c r="AV22" i="9"/>
  <c r="AV25" i="9"/>
  <c r="AV27" i="9"/>
  <c r="AV28" i="9"/>
  <c r="AV31" i="9"/>
  <c r="AV39" i="9"/>
  <c r="AV41" i="9"/>
  <c r="AV42" i="9"/>
  <c r="AV43" i="9"/>
  <c r="AV44" i="9"/>
  <c r="AV45" i="9"/>
  <c r="AV46" i="9"/>
  <c r="AV47" i="9"/>
  <c r="AV48" i="9"/>
  <c r="AV50" i="9"/>
  <c r="AV51" i="9"/>
  <c r="AV52" i="9"/>
  <c r="AV55" i="9"/>
  <c r="AV58" i="9"/>
  <c r="AV59" i="9"/>
  <c r="AV60" i="9"/>
  <c r="AV61" i="9"/>
  <c r="AV63" i="9"/>
  <c r="AV65" i="9"/>
  <c r="AV67" i="9"/>
  <c r="AV69" i="9"/>
  <c r="AV70" i="9"/>
  <c r="AV71" i="9"/>
  <c r="AV72" i="9"/>
  <c r="AV74" i="9"/>
  <c r="AV75" i="9"/>
  <c r="AV77" i="9"/>
  <c r="AV85" i="9"/>
  <c r="AV86" i="9"/>
  <c r="AV89" i="9"/>
  <c r="AV91" i="9"/>
  <c r="AV93" i="9"/>
  <c r="AV95" i="9"/>
  <c r="AV96" i="9"/>
  <c r="AV97" i="9"/>
  <c r="AV99" i="9"/>
  <c r="AV100" i="9"/>
  <c r="AV101" i="9"/>
  <c r="AV102" i="9"/>
  <c r="AV103" i="9"/>
  <c r="AV104" i="9"/>
  <c r="AV105" i="9"/>
  <c r="AV3" i="9"/>
  <c r="AV106" i="9"/>
  <c r="AV107" i="9"/>
  <c r="AV108" i="9"/>
  <c r="AV110" i="9"/>
  <c r="AV111" i="9"/>
  <c r="AV112" i="9"/>
  <c r="AV113" i="9"/>
  <c r="AV114" i="9"/>
  <c r="AV115" i="9"/>
  <c r="AV116" i="9"/>
  <c r="AV118" i="9"/>
  <c r="AV123" i="9"/>
  <c r="AV125" i="9"/>
  <c r="AV126" i="9"/>
  <c r="AV127" i="9"/>
  <c r="AV129" i="9"/>
  <c r="AV130" i="9"/>
  <c r="AV132" i="9"/>
  <c r="AV138" i="9"/>
  <c r="AV139" i="9"/>
  <c r="AV141" i="9"/>
  <c r="AV142" i="9"/>
  <c r="AV143" i="9"/>
  <c r="AV144" i="9"/>
  <c r="AV145" i="9"/>
  <c r="AV146" i="9"/>
  <c r="AV148" i="9"/>
  <c r="AV150" i="9"/>
  <c r="AV151" i="9"/>
  <c r="AV152" i="9"/>
  <c r="AV153" i="9"/>
  <c r="AV156" i="9"/>
  <c r="AV157" i="9"/>
  <c r="AV158" i="9"/>
  <c r="AV161" i="9"/>
  <c r="AV162" i="9"/>
  <c r="AV164" i="9"/>
  <c r="AV165" i="9"/>
  <c r="AV167" i="9"/>
  <c r="AV169" i="9"/>
  <c r="AV273" i="9"/>
  <c r="AV171" i="9"/>
  <c r="AV172" i="9"/>
  <c r="AV175" i="9"/>
  <c r="AV176" i="9"/>
  <c r="AV178" i="9"/>
  <c r="AV179" i="9"/>
  <c r="AV180" i="9"/>
  <c r="AV181" i="9"/>
  <c r="AV183" i="9"/>
  <c r="AV184" i="9"/>
  <c r="AV188" i="9"/>
  <c r="AV189" i="9"/>
  <c r="AV191" i="9"/>
  <c r="AV192" i="9"/>
  <c r="AV193" i="9"/>
  <c r="AV194" i="9"/>
  <c r="AV195" i="9"/>
  <c r="AV196" i="9"/>
  <c r="AV197" i="9"/>
  <c r="AV198" i="9"/>
  <c r="AV203" i="9"/>
  <c r="AV204" i="9"/>
  <c r="AV205" i="9"/>
  <c r="AV207" i="9"/>
  <c r="AV208" i="9"/>
  <c r="AV209" i="9"/>
  <c r="AV210" i="9"/>
  <c r="AV212" i="9"/>
  <c r="AV216" i="9"/>
  <c r="AV218" i="9"/>
  <c r="AV217" i="9"/>
  <c r="AV219" i="9"/>
  <c r="AV220" i="9"/>
  <c r="AV221" i="9"/>
  <c r="AV223" i="9"/>
  <c r="AV224" i="9"/>
  <c r="AV229" i="9"/>
  <c r="AV231" i="9"/>
  <c r="AV233" i="9"/>
  <c r="AV234" i="9"/>
  <c r="AV237" i="9"/>
  <c r="AV238" i="9"/>
  <c r="AV241" i="9"/>
  <c r="AV243" i="9"/>
  <c r="AV245" i="9"/>
  <c r="AV248" i="9"/>
  <c r="AV250" i="9"/>
  <c r="AV251" i="9"/>
  <c r="AV252" i="9"/>
  <c r="AV255" i="9"/>
  <c r="AV256" i="9"/>
  <c r="AV258" i="9"/>
  <c r="AV262" i="9"/>
  <c r="AV263" i="9"/>
  <c r="AV265" i="9"/>
  <c r="AV266" i="9"/>
  <c r="AV267" i="9"/>
  <c r="AV268" i="9"/>
  <c r="AV269" i="9"/>
  <c r="AV270" i="9"/>
  <c r="AV272" i="9"/>
  <c r="AV275" i="9"/>
  <c r="AV276" i="9"/>
  <c r="AV279" i="9"/>
  <c r="AV281" i="9"/>
  <c r="AV284" i="9"/>
  <c r="AV286" i="9"/>
  <c r="AV287" i="9"/>
  <c r="AV291" i="9"/>
  <c r="AV293" i="9"/>
  <c r="AV312" i="9"/>
  <c r="AU154" i="9"/>
  <c r="AU36" i="9"/>
  <c r="AU83" i="9"/>
  <c r="AU264" i="9"/>
  <c r="AU259" i="9"/>
  <c r="AU301" i="9"/>
  <c r="AU230" i="9"/>
  <c r="AU288" i="9"/>
  <c r="AU316" i="9"/>
  <c r="AU29" i="9"/>
  <c r="AU37" i="9"/>
  <c r="AU90" i="9"/>
  <c r="AU163" i="9"/>
  <c r="AU294" i="9"/>
  <c r="AU190" i="9"/>
  <c r="AU226" i="9"/>
  <c r="AU260" i="9"/>
  <c r="AU23" i="9"/>
  <c r="AU30" i="9"/>
  <c r="AU84" i="9"/>
  <c r="AU173" i="9"/>
  <c r="AU239" i="9"/>
  <c r="AU249" i="9"/>
  <c r="AU271" i="9"/>
  <c r="AU320" i="9"/>
  <c r="AU64" i="9"/>
  <c r="AU68" i="9"/>
  <c r="AU92" i="9"/>
  <c r="AU119" i="9"/>
  <c r="AU149" i="9"/>
  <c r="AU235" i="9"/>
  <c r="AU278" i="9"/>
  <c r="AU32" i="9"/>
  <c r="AU35" i="9"/>
  <c r="AU73" i="9"/>
  <c r="AU79" i="9"/>
  <c r="AU131" i="9"/>
  <c r="AU225" i="9"/>
  <c r="AU242" i="9"/>
  <c r="AU8" i="9"/>
  <c r="AU12" i="9"/>
  <c r="AU16" i="9"/>
  <c r="AU38" i="9"/>
  <c r="AU81" i="9"/>
  <c r="AU82" i="9"/>
  <c r="AU88" i="9"/>
  <c r="AU133" i="9"/>
  <c r="AU137" i="9"/>
  <c r="AU170" i="9"/>
  <c r="AU201" i="9"/>
  <c r="AU202" i="9"/>
  <c r="AU211" i="9"/>
  <c r="AU244" i="9"/>
  <c r="AU261" i="9"/>
  <c r="AU283" i="9"/>
  <c r="AU285" i="9"/>
  <c r="AU128" i="9"/>
  <c r="AU159" i="9"/>
  <c r="AU177" i="9"/>
  <c r="AU240" i="9"/>
  <c r="AU315" i="9"/>
  <c r="AU33" i="9"/>
  <c r="AU49" i="9"/>
  <c r="AU62" i="9"/>
  <c r="AU78" i="9"/>
  <c r="AU166" i="9"/>
  <c r="AU182" i="9"/>
  <c r="AU186" i="9"/>
  <c r="AU236" i="9"/>
  <c r="AU290" i="9"/>
  <c r="AU19" i="9"/>
  <c r="AU147" i="9"/>
  <c r="AU274" i="9"/>
  <c r="AU295" i="9"/>
  <c r="AU297" i="9"/>
  <c r="AU299" i="9"/>
  <c r="AU302" i="9"/>
  <c r="AU303" i="9"/>
  <c r="AU304" i="9"/>
  <c r="AU305" i="9"/>
  <c r="AU307" i="9"/>
  <c r="AU308" i="9"/>
  <c r="AU309" i="9"/>
  <c r="AU310" i="9"/>
  <c r="AU311" i="9"/>
  <c r="AU313" i="9"/>
  <c r="AU314" i="9"/>
  <c r="AU317" i="9"/>
  <c r="AU318" i="9"/>
  <c r="AU247" i="9"/>
  <c r="AU5" i="9"/>
  <c r="AU6" i="9"/>
  <c r="AU7" i="9"/>
  <c r="AU9" i="9"/>
  <c r="AU10" i="9"/>
  <c r="AU11" i="9"/>
  <c r="AU13" i="9"/>
  <c r="AU14" i="9"/>
  <c r="AU15" i="9"/>
  <c r="AU18" i="9"/>
  <c r="AU21" i="9"/>
  <c r="AU22" i="9"/>
  <c r="AU25" i="9"/>
  <c r="AU27" i="9"/>
  <c r="AU28" i="9"/>
  <c r="AU31" i="9"/>
  <c r="AU39" i="9"/>
  <c r="AU41" i="9"/>
  <c r="AU42" i="9"/>
  <c r="AU43" i="9"/>
  <c r="AU44" i="9"/>
  <c r="AU45" i="9"/>
  <c r="AU46" i="9"/>
  <c r="AU47" i="9"/>
  <c r="AU48" i="9"/>
  <c r="AU50" i="9"/>
  <c r="AU51" i="9"/>
  <c r="AU52" i="9"/>
  <c r="AU55" i="9"/>
  <c r="AU58" i="9"/>
  <c r="AU59" i="9"/>
  <c r="AU60" i="9"/>
  <c r="AU61" i="9"/>
  <c r="AU63" i="9"/>
  <c r="AU65" i="9"/>
  <c r="AU67" i="9"/>
  <c r="AU69" i="9"/>
  <c r="AU70" i="9"/>
  <c r="AU71" i="9"/>
  <c r="AU72" i="9"/>
  <c r="AU74" i="9"/>
  <c r="AU75" i="9"/>
  <c r="AU77" i="9"/>
  <c r="AU85" i="9"/>
  <c r="AU86" i="9"/>
  <c r="AU89" i="9"/>
  <c r="AU91" i="9"/>
  <c r="AU93" i="9"/>
  <c r="AU95" i="9"/>
  <c r="AU96" i="9"/>
  <c r="AU97" i="9"/>
  <c r="AU99" i="9"/>
  <c r="AU100" i="9"/>
  <c r="AU101" i="9"/>
  <c r="AU102" i="9"/>
  <c r="AU103" i="9"/>
  <c r="AU104" i="9"/>
  <c r="AU105" i="9"/>
  <c r="AU3" i="9"/>
  <c r="AU106" i="9"/>
  <c r="AU107" i="9"/>
  <c r="AU108" i="9"/>
  <c r="AU110" i="9"/>
  <c r="AU111" i="9"/>
  <c r="AU112" i="9"/>
  <c r="AU113" i="9"/>
  <c r="AU114" i="9"/>
  <c r="AU115" i="9"/>
  <c r="AU116" i="9"/>
  <c r="AU118" i="9"/>
  <c r="AU123" i="9"/>
  <c r="AU125" i="9"/>
  <c r="AU126" i="9"/>
  <c r="AU127" i="9"/>
  <c r="AU129" i="9"/>
  <c r="AU130" i="9"/>
  <c r="AU132" i="9"/>
  <c r="AU138" i="9"/>
  <c r="AU139" i="9"/>
  <c r="AU141" i="9"/>
  <c r="AU142" i="9"/>
  <c r="AU143" i="9"/>
  <c r="AU144" i="9"/>
  <c r="AU145" i="9"/>
  <c r="AU146" i="9"/>
  <c r="AU148" i="9"/>
  <c r="AU150" i="9"/>
  <c r="AU151" i="9"/>
  <c r="AU152" i="9"/>
  <c r="AU153" i="9"/>
  <c r="AU156" i="9"/>
  <c r="AU157" i="9"/>
  <c r="AU158" i="9"/>
  <c r="AU161" i="9"/>
  <c r="AU162" i="9"/>
  <c r="AU164" i="9"/>
  <c r="AU165" i="9"/>
  <c r="AU167" i="9"/>
  <c r="AU169" i="9"/>
  <c r="AU273" i="9"/>
  <c r="AU171" i="9"/>
  <c r="AU172" i="9"/>
  <c r="AU175" i="9"/>
  <c r="AU176" i="9"/>
  <c r="AU178" i="9"/>
  <c r="AU179" i="9"/>
  <c r="AU180" i="9"/>
  <c r="AU181" i="9"/>
  <c r="AU183" i="9"/>
  <c r="AU184" i="9"/>
  <c r="AU188" i="9"/>
  <c r="AU189" i="9"/>
  <c r="AU191" i="9"/>
  <c r="AU192" i="9"/>
  <c r="AU193" i="9"/>
  <c r="AU194" i="9"/>
  <c r="AU195" i="9"/>
  <c r="AU196" i="9"/>
  <c r="AU197" i="9"/>
  <c r="AU198" i="9"/>
  <c r="AU203" i="9"/>
  <c r="AU204" i="9"/>
  <c r="AU205" i="9"/>
  <c r="AU207" i="9"/>
  <c r="AU208" i="9"/>
  <c r="AU209" i="9"/>
  <c r="AU210" i="9"/>
  <c r="AU212" i="9"/>
  <c r="AU216" i="9"/>
  <c r="AU218" i="9"/>
  <c r="AU217" i="9"/>
  <c r="AU219" i="9"/>
  <c r="AU220" i="9"/>
  <c r="AU221" i="9"/>
  <c r="AU223" i="9"/>
  <c r="AU224" i="9"/>
  <c r="AU229" i="9"/>
  <c r="AU231" i="9"/>
  <c r="AU233" i="9"/>
  <c r="AU234" i="9"/>
  <c r="AU237" i="9"/>
  <c r="AU238" i="9"/>
  <c r="AU241" i="9"/>
  <c r="AU243" i="9"/>
  <c r="AU245" i="9"/>
  <c r="AU248" i="9"/>
  <c r="AU250" i="9"/>
  <c r="AU251" i="9"/>
  <c r="AU252" i="9"/>
  <c r="AU255" i="9"/>
  <c r="AU256" i="9"/>
  <c r="AU258" i="9"/>
  <c r="AU262" i="9"/>
  <c r="AU263" i="9"/>
  <c r="AU265" i="9"/>
  <c r="AU266" i="9"/>
  <c r="AU267" i="9"/>
  <c r="AU268" i="9"/>
  <c r="AU269" i="9"/>
  <c r="AU270" i="9"/>
  <c r="AU272" i="9"/>
  <c r="AU275" i="9"/>
  <c r="AU276" i="9"/>
  <c r="AU279" i="9"/>
  <c r="AU281" i="9"/>
  <c r="AU284" i="9"/>
  <c r="AU286" i="9"/>
  <c r="AU287" i="9"/>
  <c r="AU291" i="9"/>
  <c r="AU293" i="9"/>
  <c r="AU312" i="9"/>
  <c r="AS154" i="9"/>
  <c r="AS36" i="9"/>
  <c r="AS83" i="9"/>
  <c r="AS264" i="9"/>
  <c r="AS259" i="9"/>
  <c r="AS301" i="9"/>
  <c r="AS230" i="9"/>
  <c r="AS288" i="9"/>
  <c r="AS316" i="9"/>
  <c r="AS29" i="9"/>
  <c r="AS37" i="9"/>
  <c r="AS90" i="9"/>
  <c r="AS163" i="9"/>
  <c r="AS294" i="9"/>
  <c r="AS190" i="9"/>
  <c r="AS226" i="9"/>
  <c r="AS260" i="9"/>
  <c r="AS23" i="9"/>
  <c r="AS30" i="9"/>
  <c r="AS84" i="9"/>
  <c r="AS173" i="9"/>
  <c r="AS239" i="9"/>
  <c r="AS249" i="9"/>
  <c r="AS271" i="9"/>
  <c r="AS320" i="9"/>
  <c r="AS64" i="9"/>
  <c r="AS68" i="9"/>
  <c r="AS92" i="9"/>
  <c r="AS119" i="9"/>
  <c r="AS149" i="9"/>
  <c r="AS235" i="9"/>
  <c r="AS278" i="9"/>
  <c r="AS32" i="9"/>
  <c r="AS35" i="9"/>
  <c r="AS73" i="9"/>
  <c r="AS79" i="9"/>
  <c r="AS131" i="9"/>
  <c r="AS225" i="9"/>
  <c r="AS242" i="9"/>
  <c r="AS8" i="9"/>
  <c r="AS12" i="9"/>
  <c r="AS16" i="9"/>
  <c r="AS38" i="9"/>
  <c r="AS81" i="9"/>
  <c r="AS82" i="9"/>
  <c r="AS88" i="9"/>
  <c r="AS133" i="9"/>
  <c r="AS137" i="9"/>
  <c r="AS170" i="9"/>
  <c r="AS201" i="9"/>
  <c r="AS202" i="9"/>
  <c r="AS211" i="9"/>
  <c r="AS244" i="9"/>
  <c r="AS261" i="9"/>
  <c r="AS283" i="9"/>
  <c r="AS285" i="9"/>
  <c r="AS128" i="9"/>
  <c r="AS159" i="9"/>
  <c r="AS177" i="9"/>
  <c r="AS240" i="9"/>
  <c r="AS315" i="9"/>
  <c r="AS33" i="9"/>
  <c r="AS49" i="9"/>
  <c r="AS62" i="9"/>
  <c r="AS78" i="9"/>
  <c r="AS166" i="9"/>
  <c r="AS182" i="9"/>
  <c r="AS186" i="9"/>
  <c r="AS236" i="9"/>
  <c r="AS290" i="9"/>
  <c r="AS19" i="9"/>
  <c r="AS147" i="9"/>
  <c r="AS274" i="9"/>
  <c r="AS295" i="9"/>
  <c r="AS297" i="9"/>
  <c r="AS299" i="9"/>
  <c r="AS302" i="9"/>
  <c r="AS303" i="9"/>
  <c r="AS304" i="9"/>
  <c r="AS305" i="9"/>
  <c r="AS307" i="9"/>
  <c r="AS308" i="9"/>
  <c r="AS309" i="9"/>
  <c r="AS310" i="9"/>
  <c r="AS311" i="9"/>
  <c r="AS313" i="9"/>
  <c r="AS314" i="9"/>
  <c r="AS317" i="9"/>
  <c r="AS318" i="9"/>
  <c r="AS247" i="9"/>
  <c r="AS5" i="9"/>
  <c r="AS6" i="9"/>
  <c r="AS7" i="9"/>
  <c r="AS9" i="9"/>
  <c r="AS10" i="9"/>
  <c r="AS11" i="9"/>
  <c r="AS13" i="9"/>
  <c r="AS14" i="9"/>
  <c r="AS15" i="9"/>
  <c r="AS18" i="9"/>
  <c r="AS21" i="9"/>
  <c r="AS22" i="9"/>
  <c r="AS25" i="9"/>
  <c r="AS27" i="9"/>
  <c r="AS28" i="9"/>
  <c r="AS31" i="9"/>
  <c r="AS39" i="9"/>
  <c r="AS41" i="9"/>
  <c r="AS42" i="9"/>
  <c r="AS43" i="9"/>
  <c r="AS44" i="9"/>
  <c r="AS45" i="9"/>
  <c r="AS46" i="9"/>
  <c r="AS47" i="9"/>
  <c r="AS48" i="9"/>
  <c r="AS50" i="9"/>
  <c r="AS51" i="9"/>
  <c r="AS52" i="9"/>
  <c r="AS55" i="9"/>
  <c r="AS58" i="9"/>
  <c r="AS59" i="9"/>
  <c r="AS60" i="9"/>
  <c r="AS61" i="9"/>
  <c r="AS63" i="9"/>
  <c r="AS65" i="9"/>
  <c r="AS67" i="9"/>
  <c r="AS69" i="9"/>
  <c r="AS70" i="9"/>
  <c r="AS71" i="9"/>
  <c r="AS72" i="9"/>
  <c r="AS74" i="9"/>
  <c r="AS75" i="9"/>
  <c r="AS77" i="9"/>
  <c r="AS85" i="9"/>
  <c r="AS86" i="9"/>
  <c r="AS89" i="9"/>
  <c r="AS91" i="9"/>
  <c r="AS93" i="9"/>
  <c r="AS95" i="9"/>
  <c r="AS96" i="9"/>
  <c r="AS97" i="9"/>
  <c r="AS99" i="9"/>
  <c r="AS100" i="9"/>
  <c r="AS101" i="9"/>
  <c r="AS102" i="9"/>
  <c r="AS103" i="9"/>
  <c r="AS104" i="9"/>
  <c r="AS105" i="9"/>
  <c r="AS3" i="9"/>
  <c r="AS106" i="9"/>
  <c r="AS107" i="9"/>
  <c r="AS108" i="9"/>
  <c r="AS110" i="9"/>
  <c r="AS111" i="9"/>
  <c r="AS112" i="9"/>
  <c r="AS113" i="9"/>
  <c r="AS114" i="9"/>
  <c r="AS115" i="9"/>
  <c r="AS116" i="9"/>
  <c r="AS118" i="9"/>
  <c r="AS123" i="9"/>
  <c r="AS125" i="9"/>
  <c r="AS126" i="9"/>
  <c r="AS127" i="9"/>
  <c r="AS129" i="9"/>
  <c r="AS130" i="9"/>
  <c r="AS132" i="9"/>
  <c r="AS138" i="9"/>
  <c r="AS139" i="9"/>
  <c r="AS141" i="9"/>
  <c r="AS142" i="9"/>
  <c r="AS143" i="9"/>
  <c r="AS144" i="9"/>
  <c r="AS145" i="9"/>
  <c r="AS146" i="9"/>
  <c r="AS148" i="9"/>
  <c r="AS150" i="9"/>
  <c r="AS151" i="9"/>
  <c r="AS152" i="9"/>
  <c r="AS153" i="9"/>
  <c r="AS156" i="9"/>
  <c r="AS157" i="9"/>
  <c r="AS158" i="9"/>
  <c r="AS161" i="9"/>
  <c r="AS162" i="9"/>
  <c r="AS164" i="9"/>
  <c r="AS165" i="9"/>
  <c r="AS167" i="9"/>
  <c r="AS169" i="9"/>
  <c r="AS273" i="9"/>
  <c r="AS171" i="9"/>
  <c r="AS172" i="9"/>
  <c r="AS175" i="9"/>
  <c r="AS176" i="9"/>
  <c r="AS178" i="9"/>
  <c r="AS179" i="9"/>
  <c r="AS180" i="9"/>
  <c r="AS181" i="9"/>
  <c r="AS183" i="9"/>
  <c r="AS184" i="9"/>
  <c r="AS188" i="9"/>
  <c r="AS189" i="9"/>
  <c r="AS191" i="9"/>
  <c r="AS192" i="9"/>
  <c r="AS193" i="9"/>
  <c r="AS194" i="9"/>
  <c r="AS195" i="9"/>
  <c r="AS196" i="9"/>
  <c r="AS197" i="9"/>
  <c r="AS198" i="9"/>
  <c r="AS203" i="9"/>
  <c r="AS204" i="9"/>
  <c r="AS205" i="9"/>
  <c r="AS207" i="9"/>
  <c r="AS208" i="9"/>
  <c r="AS209" i="9"/>
  <c r="AS210" i="9"/>
  <c r="AS212" i="9"/>
  <c r="AS216" i="9"/>
  <c r="AS218" i="9"/>
  <c r="AS217" i="9"/>
  <c r="AS219" i="9"/>
  <c r="AS220" i="9"/>
  <c r="AS221" i="9"/>
  <c r="AS223" i="9"/>
  <c r="AS224" i="9"/>
  <c r="AS229" i="9"/>
  <c r="AS231" i="9"/>
  <c r="AS233" i="9"/>
  <c r="AS234" i="9"/>
  <c r="AS237" i="9"/>
  <c r="AS238" i="9"/>
  <c r="AS241" i="9"/>
  <c r="AS243" i="9"/>
  <c r="AS245" i="9"/>
  <c r="AS248" i="9"/>
  <c r="AS250" i="9"/>
  <c r="AS251" i="9"/>
  <c r="AS252" i="9"/>
  <c r="AS255" i="9"/>
  <c r="AS256" i="9"/>
  <c r="AS258" i="9"/>
  <c r="AS262" i="9"/>
  <c r="AS263" i="9"/>
  <c r="AS265" i="9"/>
  <c r="AS266" i="9"/>
  <c r="AS267" i="9"/>
  <c r="AS268" i="9"/>
  <c r="AS269" i="9"/>
  <c r="AS270" i="9"/>
  <c r="AS272" i="9"/>
  <c r="AS275" i="9"/>
  <c r="AS276" i="9"/>
  <c r="AS279" i="9"/>
  <c r="AS281" i="9"/>
  <c r="AS284" i="9"/>
  <c r="AS286" i="9"/>
  <c r="AS287" i="9"/>
  <c r="AS291" i="9"/>
  <c r="AS293" i="9"/>
  <c r="AS312" i="9"/>
  <c r="AR154" i="9"/>
  <c r="AR36" i="9"/>
  <c r="AR83" i="9"/>
  <c r="AR264" i="9"/>
  <c r="AR259" i="9"/>
  <c r="AR301" i="9"/>
  <c r="AR230" i="9"/>
  <c r="AR288" i="9"/>
  <c r="AR316" i="9"/>
  <c r="AR29" i="9"/>
  <c r="AR37" i="9"/>
  <c r="AR90" i="9"/>
  <c r="AR163" i="9"/>
  <c r="AR294" i="9"/>
  <c r="AR190" i="9"/>
  <c r="AR226" i="9"/>
  <c r="AR260" i="9"/>
  <c r="AR23" i="9"/>
  <c r="AR30" i="9"/>
  <c r="AR84" i="9"/>
  <c r="AR173" i="9"/>
  <c r="AR239" i="9"/>
  <c r="AR249" i="9"/>
  <c r="AR271" i="9"/>
  <c r="AR320" i="9"/>
  <c r="AR64" i="9"/>
  <c r="AR68" i="9"/>
  <c r="AR92" i="9"/>
  <c r="AR119" i="9"/>
  <c r="AR149" i="9"/>
  <c r="AR235" i="9"/>
  <c r="AR278" i="9"/>
  <c r="AR32" i="9"/>
  <c r="AR35" i="9"/>
  <c r="AR73" i="9"/>
  <c r="AR79" i="9"/>
  <c r="AR131" i="9"/>
  <c r="AR225" i="9"/>
  <c r="AR242" i="9"/>
  <c r="AR8" i="9"/>
  <c r="AR12" i="9"/>
  <c r="AR16" i="9"/>
  <c r="AR38" i="9"/>
  <c r="AR81" i="9"/>
  <c r="AR82" i="9"/>
  <c r="AR88" i="9"/>
  <c r="AR133" i="9"/>
  <c r="AR137" i="9"/>
  <c r="AR170" i="9"/>
  <c r="AR201" i="9"/>
  <c r="AR202" i="9"/>
  <c r="AR211" i="9"/>
  <c r="AR244" i="9"/>
  <c r="AR261" i="9"/>
  <c r="AR283" i="9"/>
  <c r="AR285" i="9"/>
  <c r="AR128" i="9"/>
  <c r="AR159" i="9"/>
  <c r="AR177" i="9"/>
  <c r="AR240" i="9"/>
  <c r="AR315" i="9"/>
  <c r="AR33" i="9"/>
  <c r="AR49" i="9"/>
  <c r="AR62" i="9"/>
  <c r="AR78" i="9"/>
  <c r="AR166" i="9"/>
  <c r="AR182" i="9"/>
  <c r="AR186" i="9"/>
  <c r="AR236" i="9"/>
  <c r="AR290" i="9"/>
  <c r="AR19" i="9"/>
  <c r="AR147" i="9"/>
  <c r="AR274" i="9"/>
  <c r="AR295" i="9"/>
  <c r="AR297" i="9"/>
  <c r="AR299" i="9"/>
  <c r="AR302" i="9"/>
  <c r="AR303" i="9"/>
  <c r="AR304" i="9"/>
  <c r="AR305" i="9"/>
  <c r="AR307" i="9"/>
  <c r="AR308" i="9"/>
  <c r="AR309" i="9"/>
  <c r="AR310" i="9"/>
  <c r="AR311" i="9"/>
  <c r="AR313" i="9"/>
  <c r="AR314" i="9"/>
  <c r="AR317" i="9"/>
  <c r="AR318" i="9"/>
  <c r="AR247" i="9"/>
  <c r="AR5" i="9"/>
  <c r="AR6" i="9"/>
  <c r="AR7" i="9"/>
  <c r="AR9" i="9"/>
  <c r="AR10" i="9"/>
  <c r="AR11" i="9"/>
  <c r="AR13" i="9"/>
  <c r="AR14" i="9"/>
  <c r="AR15" i="9"/>
  <c r="AR18" i="9"/>
  <c r="AR21" i="9"/>
  <c r="AR22" i="9"/>
  <c r="AR25" i="9"/>
  <c r="AR27" i="9"/>
  <c r="AR28" i="9"/>
  <c r="AR31" i="9"/>
  <c r="AR39" i="9"/>
  <c r="AR41" i="9"/>
  <c r="AR42" i="9"/>
  <c r="AR43" i="9"/>
  <c r="AR44" i="9"/>
  <c r="AR45" i="9"/>
  <c r="AR46" i="9"/>
  <c r="AR47" i="9"/>
  <c r="AR48" i="9"/>
  <c r="AR50" i="9"/>
  <c r="AR51" i="9"/>
  <c r="AR52" i="9"/>
  <c r="AR55" i="9"/>
  <c r="AR58" i="9"/>
  <c r="AR59" i="9"/>
  <c r="AR60" i="9"/>
  <c r="AR61" i="9"/>
  <c r="AR63" i="9"/>
  <c r="AR65" i="9"/>
  <c r="AR67" i="9"/>
  <c r="AR69" i="9"/>
  <c r="AR70" i="9"/>
  <c r="AR71" i="9"/>
  <c r="AR72" i="9"/>
  <c r="AR74" i="9"/>
  <c r="AR75" i="9"/>
  <c r="AR77" i="9"/>
  <c r="AR85" i="9"/>
  <c r="AR86" i="9"/>
  <c r="AR89" i="9"/>
  <c r="AR91" i="9"/>
  <c r="AR93" i="9"/>
  <c r="AR95" i="9"/>
  <c r="AR96" i="9"/>
  <c r="AR97" i="9"/>
  <c r="AR99" i="9"/>
  <c r="AR100" i="9"/>
  <c r="AR101" i="9"/>
  <c r="AR102" i="9"/>
  <c r="AR103" i="9"/>
  <c r="AR104" i="9"/>
  <c r="AR105" i="9"/>
  <c r="AR3" i="9"/>
  <c r="AR106" i="9"/>
  <c r="AR107" i="9"/>
  <c r="AR108" i="9"/>
  <c r="AR110" i="9"/>
  <c r="AR111" i="9"/>
  <c r="AR112" i="9"/>
  <c r="AR113" i="9"/>
  <c r="AR114" i="9"/>
  <c r="AR115" i="9"/>
  <c r="AR116" i="9"/>
  <c r="AR118" i="9"/>
  <c r="AR123" i="9"/>
  <c r="AR125" i="9"/>
  <c r="AR126" i="9"/>
  <c r="AR127" i="9"/>
  <c r="AR129" i="9"/>
  <c r="AR130" i="9"/>
  <c r="AR132" i="9"/>
  <c r="AR138" i="9"/>
  <c r="AR139" i="9"/>
  <c r="AR141" i="9"/>
  <c r="AR142" i="9"/>
  <c r="AR143" i="9"/>
  <c r="AR144" i="9"/>
  <c r="AR145" i="9"/>
  <c r="AR146" i="9"/>
  <c r="AR148" i="9"/>
  <c r="AR150" i="9"/>
  <c r="AR151" i="9"/>
  <c r="AR152" i="9"/>
  <c r="AR153" i="9"/>
  <c r="AR156" i="9"/>
  <c r="AR157" i="9"/>
  <c r="AR158" i="9"/>
  <c r="AR161" i="9"/>
  <c r="AR162" i="9"/>
  <c r="AR164" i="9"/>
  <c r="AR165" i="9"/>
  <c r="AR167" i="9"/>
  <c r="AR169" i="9"/>
  <c r="AR273" i="9"/>
  <c r="AR171" i="9"/>
  <c r="AR172" i="9"/>
  <c r="AR175" i="9"/>
  <c r="AR176" i="9"/>
  <c r="AR178" i="9"/>
  <c r="AR179" i="9"/>
  <c r="AR180" i="9"/>
  <c r="AR181" i="9"/>
  <c r="AR183" i="9"/>
  <c r="AR184" i="9"/>
  <c r="AR188" i="9"/>
  <c r="AR189" i="9"/>
  <c r="AR191" i="9"/>
  <c r="AR192" i="9"/>
  <c r="AR193" i="9"/>
  <c r="AR194" i="9"/>
  <c r="AR195" i="9"/>
  <c r="AR196" i="9"/>
  <c r="AR197" i="9"/>
  <c r="AR198" i="9"/>
  <c r="AR203" i="9"/>
  <c r="AR204" i="9"/>
  <c r="AR205" i="9"/>
  <c r="AR207" i="9"/>
  <c r="AR208" i="9"/>
  <c r="AR209" i="9"/>
  <c r="AR210" i="9"/>
  <c r="AR212" i="9"/>
  <c r="AR216" i="9"/>
  <c r="AR218" i="9"/>
  <c r="AR217" i="9"/>
  <c r="AR219" i="9"/>
  <c r="AR220" i="9"/>
  <c r="AR221" i="9"/>
  <c r="AR223" i="9"/>
  <c r="AR224" i="9"/>
  <c r="AR229" i="9"/>
  <c r="AR231" i="9"/>
  <c r="AR233" i="9"/>
  <c r="AR234" i="9"/>
  <c r="AR237" i="9"/>
  <c r="AR238" i="9"/>
  <c r="AR241" i="9"/>
  <c r="AR243" i="9"/>
  <c r="AR245" i="9"/>
  <c r="AR248" i="9"/>
  <c r="AR250" i="9"/>
  <c r="AR251" i="9"/>
  <c r="AR252" i="9"/>
  <c r="AR255" i="9"/>
  <c r="AR256" i="9"/>
  <c r="AR258" i="9"/>
  <c r="AR262" i="9"/>
  <c r="AR263" i="9"/>
  <c r="AR265" i="9"/>
  <c r="AR266" i="9"/>
  <c r="AR267" i="9"/>
  <c r="AR268" i="9"/>
  <c r="AR269" i="9"/>
  <c r="AR270" i="9"/>
  <c r="AR272" i="9"/>
  <c r="AR275" i="9"/>
  <c r="AR276" i="9"/>
  <c r="AR279" i="9"/>
  <c r="AR281" i="9"/>
  <c r="AR284" i="9"/>
  <c r="AR286" i="9"/>
  <c r="AR287" i="9"/>
  <c r="AR291" i="9"/>
  <c r="AR293" i="9"/>
  <c r="AR312" i="9"/>
  <c r="AQ154" i="9"/>
  <c r="AQ36" i="9"/>
  <c r="AQ83" i="9"/>
  <c r="AQ264" i="9"/>
  <c r="AQ259" i="9"/>
  <c r="AQ301" i="9"/>
  <c r="AQ230" i="9"/>
  <c r="AQ288" i="9"/>
  <c r="AQ316" i="9"/>
  <c r="AQ29" i="9"/>
  <c r="AQ37" i="9"/>
  <c r="AQ90" i="9"/>
  <c r="AQ163" i="9"/>
  <c r="AQ294" i="9"/>
  <c r="AQ190" i="9"/>
  <c r="AQ226" i="9"/>
  <c r="AQ260" i="9"/>
  <c r="AQ23" i="9"/>
  <c r="AQ30" i="9"/>
  <c r="AQ84" i="9"/>
  <c r="AQ173" i="9"/>
  <c r="AQ239" i="9"/>
  <c r="AQ249" i="9"/>
  <c r="AQ271" i="9"/>
  <c r="AQ320" i="9"/>
  <c r="AQ64" i="9"/>
  <c r="AQ68" i="9"/>
  <c r="AQ92" i="9"/>
  <c r="AQ119" i="9"/>
  <c r="AQ149" i="9"/>
  <c r="AQ235" i="9"/>
  <c r="AQ278" i="9"/>
  <c r="AQ32" i="9"/>
  <c r="AQ35" i="9"/>
  <c r="AQ73" i="9"/>
  <c r="AQ79" i="9"/>
  <c r="AQ131" i="9"/>
  <c r="AQ225" i="9"/>
  <c r="AQ242" i="9"/>
  <c r="AQ8" i="9"/>
  <c r="AQ12" i="9"/>
  <c r="AQ16" i="9"/>
  <c r="AQ38" i="9"/>
  <c r="AQ81" i="9"/>
  <c r="AQ82" i="9"/>
  <c r="AQ88" i="9"/>
  <c r="AQ133" i="9"/>
  <c r="AQ137" i="9"/>
  <c r="AQ170" i="9"/>
  <c r="AQ201" i="9"/>
  <c r="AQ202" i="9"/>
  <c r="AQ211" i="9"/>
  <c r="AQ244" i="9"/>
  <c r="AQ261" i="9"/>
  <c r="AQ283" i="9"/>
  <c r="AQ285" i="9"/>
  <c r="AQ128" i="9"/>
  <c r="AQ159" i="9"/>
  <c r="AQ177" i="9"/>
  <c r="AQ240" i="9"/>
  <c r="AQ315" i="9"/>
  <c r="AQ33" i="9"/>
  <c r="AQ49" i="9"/>
  <c r="AQ62" i="9"/>
  <c r="AQ78" i="9"/>
  <c r="AQ166" i="9"/>
  <c r="AQ182" i="9"/>
  <c r="AQ186" i="9"/>
  <c r="AQ236" i="9"/>
  <c r="AQ290" i="9"/>
  <c r="AQ19" i="9"/>
  <c r="AQ147" i="9"/>
  <c r="AQ274" i="9"/>
  <c r="AQ295" i="9"/>
  <c r="AQ297" i="9"/>
  <c r="AQ299" i="9"/>
  <c r="AQ302" i="9"/>
  <c r="AQ303" i="9"/>
  <c r="AQ304" i="9"/>
  <c r="AQ305" i="9"/>
  <c r="AQ307" i="9"/>
  <c r="AQ308" i="9"/>
  <c r="AQ309" i="9"/>
  <c r="AQ310" i="9"/>
  <c r="AQ311" i="9"/>
  <c r="AQ313" i="9"/>
  <c r="AQ314" i="9"/>
  <c r="AQ317" i="9"/>
  <c r="AQ318" i="9"/>
  <c r="AQ247" i="9"/>
  <c r="AQ5" i="9"/>
  <c r="AQ6" i="9"/>
  <c r="AQ7" i="9"/>
  <c r="AQ9" i="9"/>
  <c r="AQ10" i="9"/>
  <c r="AQ11" i="9"/>
  <c r="AQ13" i="9"/>
  <c r="AQ14" i="9"/>
  <c r="AQ15" i="9"/>
  <c r="AQ18" i="9"/>
  <c r="AQ21" i="9"/>
  <c r="AQ22" i="9"/>
  <c r="AQ25" i="9"/>
  <c r="AQ27" i="9"/>
  <c r="AQ28" i="9"/>
  <c r="AQ31" i="9"/>
  <c r="AQ39" i="9"/>
  <c r="AQ41" i="9"/>
  <c r="AQ42" i="9"/>
  <c r="AQ43" i="9"/>
  <c r="AQ44" i="9"/>
  <c r="AQ45" i="9"/>
  <c r="AQ46" i="9"/>
  <c r="AQ47" i="9"/>
  <c r="AQ48" i="9"/>
  <c r="AQ50" i="9"/>
  <c r="AQ51" i="9"/>
  <c r="AQ52" i="9"/>
  <c r="AQ55" i="9"/>
  <c r="AQ58" i="9"/>
  <c r="AQ59" i="9"/>
  <c r="AQ60" i="9"/>
  <c r="AQ61" i="9"/>
  <c r="AQ63" i="9"/>
  <c r="AQ65" i="9"/>
  <c r="AQ67" i="9"/>
  <c r="AQ69" i="9"/>
  <c r="AQ70" i="9"/>
  <c r="AQ71" i="9"/>
  <c r="AQ72" i="9"/>
  <c r="AQ74" i="9"/>
  <c r="AQ75" i="9"/>
  <c r="AQ77" i="9"/>
  <c r="AQ85" i="9"/>
  <c r="AQ86" i="9"/>
  <c r="AQ89" i="9"/>
  <c r="AQ91" i="9"/>
  <c r="AQ93" i="9"/>
  <c r="AQ95" i="9"/>
  <c r="AQ96" i="9"/>
  <c r="AQ97" i="9"/>
  <c r="AQ99" i="9"/>
  <c r="AQ100" i="9"/>
  <c r="AQ101" i="9"/>
  <c r="AQ102" i="9"/>
  <c r="AQ103" i="9"/>
  <c r="AQ104" i="9"/>
  <c r="AQ105" i="9"/>
  <c r="AQ3" i="9"/>
  <c r="AQ106" i="9"/>
  <c r="AQ107" i="9"/>
  <c r="AQ108" i="9"/>
  <c r="AQ110" i="9"/>
  <c r="AQ111" i="9"/>
  <c r="AQ112" i="9"/>
  <c r="AQ113" i="9"/>
  <c r="AQ114" i="9"/>
  <c r="AQ115" i="9"/>
  <c r="AQ116" i="9"/>
  <c r="AQ118" i="9"/>
  <c r="AQ123" i="9"/>
  <c r="AQ125" i="9"/>
  <c r="AQ126" i="9"/>
  <c r="AQ127" i="9"/>
  <c r="AQ129" i="9"/>
  <c r="AQ130" i="9"/>
  <c r="AQ132" i="9"/>
  <c r="AQ138" i="9"/>
  <c r="AQ139" i="9"/>
  <c r="AQ141" i="9"/>
  <c r="AQ142" i="9"/>
  <c r="AQ143" i="9"/>
  <c r="AQ144" i="9"/>
  <c r="AQ145" i="9"/>
  <c r="AQ146" i="9"/>
  <c r="AQ148" i="9"/>
  <c r="AQ150" i="9"/>
  <c r="AQ151" i="9"/>
  <c r="AQ152" i="9"/>
  <c r="AQ153" i="9"/>
  <c r="AQ156" i="9"/>
  <c r="AQ157" i="9"/>
  <c r="AQ158" i="9"/>
  <c r="AQ161" i="9"/>
  <c r="AQ162" i="9"/>
  <c r="AQ164" i="9"/>
  <c r="AQ165" i="9"/>
  <c r="AQ167" i="9"/>
  <c r="AQ169" i="9"/>
  <c r="AQ273" i="9"/>
  <c r="AQ171" i="9"/>
  <c r="AQ172" i="9"/>
  <c r="AQ175" i="9"/>
  <c r="AQ176" i="9"/>
  <c r="AQ178" i="9"/>
  <c r="AQ179" i="9"/>
  <c r="AQ180" i="9"/>
  <c r="AQ181" i="9"/>
  <c r="AQ183" i="9"/>
  <c r="AQ184" i="9"/>
  <c r="AQ188" i="9"/>
  <c r="AQ189" i="9"/>
  <c r="AQ191" i="9"/>
  <c r="AQ192" i="9"/>
  <c r="AQ193" i="9"/>
  <c r="AQ194" i="9"/>
  <c r="AQ195" i="9"/>
  <c r="AQ196" i="9"/>
  <c r="AQ197" i="9"/>
  <c r="AQ198" i="9"/>
  <c r="AQ203" i="9"/>
  <c r="AQ204" i="9"/>
  <c r="AQ205" i="9"/>
  <c r="AQ207" i="9"/>
  <c r="AQ208" i="9"/>
  <c r="AQ209" i="9"/>
  <c r="AQ210" i="9"/>
  <c r="AQ212" i="9"/>
  <c r="AQ216" i="9"/>
  <c r="AQ218" i="9"/>
  <c r="AQ217" i="9"/>
  <c r="AQ219" i="9"/>
  <c r="AQ220" i="9"/>
  <c r="AQ221" i="9"/>
  <c r="AQ223" i="9"/>
  <c r="AQ224" i="9"/>
  <c r="AQ229" i="9"/>
  <c r="AQ231" i="9"/>
  <c r="AQ233" i="9"/>
  <c r="AQ234" i="9"/>
  <c r="AQ237" i="9"/>
  <c r="AQ238" i="9"/>
  <c r="AQ241" i="9"/>
  <c r="AQ243" i="9"/>
  <c r="AQ245" i="9"/>
  <c r="AQ248" i="9"/>
  <c r="AQ250" i="9"/>
  <c r="AQ251" i="9"/>
  <c r="AQ252" i="9"/>
  <c r="AQ255" i="9"/>
  <c r="AQ256" i="9"/>
  <c r="AQ258" i="9"/>
  <c r="AQ262" i="9"/>
  <c r="AQ263" i="9"/>
  <c r="AQ265" i="9"/>
  <c r="AQ266" i="9"/>
  <c r="AQ267" i="9"/>
  <c r="AQ268" i="9"/>
  <c r="AQ269" i="9"/>
  <c r="AQ270" i="9"/>
  <c r="AQ272" i="9"/>
  <c r="AQ275" i="9"/>
  <c r="AQ276" i="9"/>
  <c r="AQ279" i="9"/>
  <c r="AQ281" i="9"/>
  <c r="AQ284" i="9"/>
  <c r="AQ286" i="9"/>
  <c r="AQ287" i="9"/>
  <c r="AQ291" i="9"/>
  <c r="AQ293" i="9"/>
  <c r="AQ312" i="9"/>
  <c r="AP154" i="9"/>
  <c r="AP36" i="9"/>
  <c r="AP83" i="9"/>
  <c r="AP264" i="9"/>
  <c r="AP259" i="9"/>
  <c r="AP301" i="9"/>
  <c r="AP230" i="9"/>
  <c r="AP288" i="9"/>
  <c r="AP316" i="9"/>
  <c r="AP29" i="9"/>
  <c r="AP37" i="9"/>
  <c r="AP90" i="9"/>
  <c r="AP163" i="9"/>
  <c r="AP294" i="9"/>
  <c r="AP190" i="9"/>
  <c r="AP226" i="9"/>
  <c r="AP260" i="9"/>
  <c r="AP23" i="9"/>
  <c r="AP30" i="9"/>
  <c r="AP84" i="9"/>
  <c r="AP173" i="9"/>
  <c r="AP239" i="9"/>
  <c r="AP249" i="9"/>
  <c r="AP271" i="9"/>
  <c r="AP320" i="9"/>
  <c r="AP64" i="9"/>
  <c r="AP68" i="9"/>
  <c r="AP92" i="9"/>
  <c r="AP119" i="9"/>
  <c r="AP149" i="9"/>
  <c r="AP235" i="9"/>
  <c r="AP278" i="9"/>
  <c r="AP32" i="9"/>
  <c r="AP35" i="9"/>
  <c r="AP73" i="9"/>
  <c r="AP79" i="9"/>
  <c r="AP131" i="9"/>
  <c r="AP225" i="9"/>
  <c r="AP242" i="9"/>
  <c r="AP8" i="9"/>
  <c r="AP12" i="9"/>
  <c r="AP16" i="9"/>
  <c r="AP38" i="9"/>
  <c r="AP81" i="9"/>
  <c r="AP82" i="9"/>
  <c r="AP88" i="9"/>
  <c r="AP133" i="9"/>
  <c r="AP137" i="9"/>
  <c r="AP170" i="9"/>
  <c r="AP201" i="9"/>
  <c r="AP202" i="9"/>
  <c r="AP211" i="9"/>
  <c r="AP244" i="9"/>
  <c r="AP261" i="9"/>
  <c r="AP283" i="9"/>
  <c r="AP285" i="9"/>
  <c r="AP128" i="9"/>
  <c r="AP159" i="9"/>
  <c r="AP177" i="9"/>
  <c r="AP240" i="9"/>
  <c r="AP315" i="9"/>
  <c r="AP33" i="9"/>
  <c r="AP49" i="9"/>
  <c r="AP62" i="9"/>
  <c r="AP78" i="9"/>
  <c r="AP166" i="9"/>
  <c r="AP182" i="9"/>
  <c r="AP186" i="9"/>
  <c r="AP236" i="9"/>
  <c r="AP290" i="9"/>
  <c r="AP19" i="9"/>
  <c r="AP147" i="9"/>
  <c r="AP274" i="9"/>
  <c r="AP295" i="9"/>
  <c r="AP297" i="9"/>
  <c r="AP299" i="9"/>
  <c r="AP302" i="9"/>
  <c r="AP303" i="9"/>
  <c r="AP304" i="9"/>
  <c r="AP305" i="9"/>
  <c r="AP307" i="9"/>
  <c r="AP308" i="9"/>
  <c r="AP309" i="9"/>
  <c r="AP310" i="9"/>
  <c r="AP311" i="9"/>
  <c r="AP313" i="9"/>
  <c r="AP314" i="9"/>
  <c r="AP317" i="9"/>
  <c r="AP318" i="9"/>
  <c r="AP247" i="9"/>
  <c r="AP5" i="9"/>
  <c r="AP6" i="9"/>
  <c r="AP7" i="9"/>
  <c r="AP9" i="9"/>
  <c r="AP10" i="9"/>
  <c r="AP11" i="9"/>
  <c r="AP13" i="9"/>
  <c r="AP14" i="9"/>
  <c r="AP15" i="9"/>
  <c r="AP18" i="9"/>
  <c r="AP21" i="9"/>
  <c r="AP22" i="9"/>
  <c r="AP25" i="9"/>
  <c r="AP27" i="9"/>
  <c r="AP28" i="9"/>
  <c r="AP31" i="9"/>
  <c r="AP39" i="9"/>
  <c r="AP41" i="9"/>
  <c r="AP42" i="9"/>
  <c r="AP43" i="9"/>
  <c r="AP44" i="9"/>
  <c r="AP45" i="9"/>
  <c r="AP46" i="9"/>
  <c r="AP47" i="9"/>
  <c r="AP48" i="9"/>
  <c r="AP50" i="9"/>
  <c r="AP51" i="9"/>
  <c r="AP52" i="9"/>
  <c r="AP55" i="9"/>
  <c r="AP58" i="9"/>
  <c r="AP59" i="9"/>
  <c r="AP60" i="9"/>
  <c r="AP61" i="9"/>
  <c r="AP63" i="9"/>
  <c r="AP65" i="9"/>
  <c r="AP67" i="9"/>
  <c r="AP69" i="9"/>
  <c r="AP70" i="9"/>
  <c r="AP71" i="9"/>
  <c r="AP72" i="9"/>
  <c r="AP74" i="9"/>
  <c r="AP75" i="9"/>
  <c r="AP77" i="9"/>
  <c r="AP85" i="9"/>
  <c r="AP86" i="9"/>
  <c r="AP89" i="9"/>
  <c r="AP91" i="9"/>
  <c r="AP93" i="9"/>
  <c r="AP95" i="9"/>
  <c r="AP96" i="9"/>
  <c r="AP97" i="9"/>
  <c r="AP99" i="9"/>
  <c r="AP100" i="9"/>
  <c r="AP101" i="9"/>
  <c r="AP102" i="9"/>
  <c r="AP103" i="9"/>
  <c r="AP104" i="9"/>
  <c r="AP105" i="9"/>
  <c r="AP3" i="9"/>
  <c r="AP106" i="9"/>
  <c r="AP107" i="9"/>
  <c r="AP108" i="9"/>
  <c r="AP110" i="9"/>
  <c r="AP111" i="9"/>
  <c r="AP112" i="9"/>
  <c r="AP113" i="9"/>
  <c r="AP114" i="9"/>
  <c r="AP115" i="9"/>
  <c r="AP116" i="9"/>
  <c r="AP118" i="9"/>
  <c r="AP123" i="9"/>
  <c r="AP125" i="9"/>
  <c r="AP126" i="9"/>
  <c r="AP127" i="9"/>
  <c r="AP129" i="9"/>
  <c r="AP130" i="9"/>
  <c r="AP132" i="9"/>
  <c r="AP138" i="9"/>
  <c r="AP139" i="9"/>
  <c r="AP141" i="9"/>
  <c r="AP142" i="9"/>
  <c r="AP143" i="9"/>
  <c r="AP144" i="9"/>
  <c r="AP145" i="9"/>
  <c r="AP146" i="9"/>
  <c r="AP148" i="9"/>
  <c r="AP150" i="9"/>
  <c r="AP151" i="9"/>
  <c r="AP152" i="9"/>
  <c r="AP153" i="9"/>
  <c r="AP156" i="9"/>
  <c r="AP157" i="9"/>
  <c r="AP158" i="9"/>
  <c r="AP161" i="9"/>
  <c r="AP162" i="9"/>
  <c r="AP164" i="9"/>
  <c r="AP165" i="9"/>
  <c r="AP167" i="9"/>
  <c r="AP169" i="9"/>
  <c r="AP273" i="9"/>
  <c r="AP171" i="9"/>
  <c r="AP172" i="9"/>
  <c r="AP175" i="9"/>
  <c r="AP176" i="9"/>
  <c r="AP178" i="9"/>
  <c r="AP179" i="9"/>
  <c r="AP180" i="9"/>
  <c r="AP181" i="9"/>
  <c r="AP183" i="9"/>
  <c r="AP184" i="9"/>
  <c r="AP188" i="9"/>
  <c r="AP189" i="9"/>
  <c r="AP191" i="9"/>
  <c r="AP192" i="9"/>
  <c r="AP193" i="9"/>
  <c r="AP194" i="9"/>
  <c r="AP195" i="9"/>
  <c r="AP196" i="9"/>
  <c r="AP197" i="9"/>
  <c r="AP198" i="9"/>
  <c r="AP203" i="9"/>
  <c r="AP204" i="9"/>
  <c r="AP205" i="9"/>
  <c r="AP207" i="9"/>
  <c r="AP208" i="9"/>
  <c r="AP209" i="9"/>
  <c r="AP210" i="9"/>
  <c r="AP212" i="9"/>
  <c r="AP216" i="9"/>
  <c r="AP218" i="9"/>
  <c r="AP217" i="9"/>
  <c r="AP219" i="9"/>
  <c r="AP220" i="9"/>
  <c r="AP221" i="9"/>
  <c r="AP223" i="9"/>
  <c r="AP224" i="9"/>
  <c r="AP229" i="9"/>
  <c r="AP231" i="9"/>
  <c r="AP233" i="9"/>
  <c r="AP234" i="9"/>
  <c r="AP237" i="9"/>
  <c r="AP238" i="9"/>
  <c r="AP241" i="9"/>
  <c r="AP243" i="9"/>
  <c r="AP245" i="9"/>
  <c r="AP248" i="9"/>
  <c r="AP250" i="9"/>
  <c r="AP251" i="9"/>
  <c r="AP252" i="9"/>
  <c r="AP255" i="9"/>
  <c r="AP256" i="9"/>
  <c r="AP258" i="9"/>
  <c r="AP262" i="9"/>
  <c r="AP263" i="9"/>
  <c r="AP265" i="9"/>
  <c r="AP266" i="9"/>
  <c r="AP267" i="9"/>
  <c r="AP268" i="9"/>
  <c r="AP269" i="9"/>
  <c r="AP270" i="9"/>
  <c r="AP272" i="9"/>
  <c r="AP275" i="9"/>
  <c r="AP276" i="9"/>
  <c r="AP279" i="9"/>
  <c r="AP281" i="9"/>
  <c r="AP284" i="9"/>
  <c r="AP286" i="9"/>
  <c r="AP287" i="9"/>
  <c r="AP291" i="9"/>
  <c r="AP293" i="9"/>
  <c r="AP312" i="9"/>
  <c r="AO154" i="9"/>
  <c r="AO36" i="9"/>
  <c r="AO83" i="9"/>
  <c r="AO264" i="9"/>
  <c r="AO259" i="9"/>
  <c r="AO301" i="9"/>
  <c r="AO230" i="9"/>
  <c r="AO288" i="9"/>
  <c r="AO316" i="9"/>
  <c r="AO29" i="9"/>
  <c r="AO37" i="9"/>
  <c r="AO90" i="9"/>
  <c r="AO163" i="9"/>
  <c r="AO294" i="9"/>
  <c r="AO190" i="9"/>
  <c r="AO226" i="9"/>
  <c r="AO260" i="9"/>
  <c r="AO23" i="9"/>
  <c r="AO30" i="9"/>
  <c r="AO84" i="9"/>
  <c r="AO173" i="9"/>
  <c r="AO239" i="9"/>
  <c r="AO249" i="9"/>
  <c r="AO271" i="9"/>
  <c r="AO320" i="9"/>
  <c r="AO64" i="9"/>
  <c r="AO68" i="9"/>
  <c r="AO92" i="9"/>
  <c r="AO119" i="9"/>
  <c r="AO149" i="9"/>
  <c r="AO235" i="9"/>
  <c r="AO278" i="9"/>
  <c r="AO32" i="9"/>
  <c r="AO35" i="9"/>
  <c r="AO73" i="9"/>
  <c r="AO79" i="9"/>
  <c r="AO131" i="9"/>
  <c r="AO225" i="9"/>
  <c r="AO242" i="9"/>
  <c r="AO8" i="9"/>
  <c r="AO12" i="9"/>
  <c r="AO16" i="9"/>
  <c r="AO38" i="9"/>
  <c r="AO81" i="9"/>
  <c r="AO82" i="9"/>
  <c r="AO88" i="9"/>
  <c r="AO133" i="9"/>
  <c r="AO137" i="9"/>
  <c r="AO170" i="9"/>
  <c r="AO201" i="9"/>
  <c r="AO202" i="9"/>
  <c r="AO211" i="9"/>
  <c r="AO244" i="9"/>
  <c r="AO261" i="9"/>
  <c r="AO283" i="9"/>
  <c r="AO285" i="9"/>
  <c r="AO128" i="9"/>
  <c r="AO159" i="9"/>
  <c r="AO177" i="9"/>
  <c r="AO240" i="9"/>
  <c r="AO315" i="9"/>
  <c r="AO33" i="9"/>
  <c r="AO49" i="9"/>
  <c r="AO62" i="9"/>
  <c r="AO78" i="9"/>
  <c r="AO166" i="9"/>
  <c r="AO182" i="9"/>
  <c r="AO186" i="9"/>
  <c r="AO236" i="9"/>
  <c r="AO290" i="9"/>
  <c r="AO19" i="9"/>
  <c r="AO147" i="9"/>
  <c r="AO274" i="9"/>
  <c r="AO295" i="9"/>
  <c r="AO297" i="9"/>
  <c r="AO299" i="9"/>
  <c r="AO302" i="9"/>
  <c r="AO303" i="9"/>
  <c r="AO304" i="9"/>
  <c r="AO305" i="9"/>
  <c r="AO307" i="9"/>
  <c r="AO308" i="9"/>
  <c r="AO309" i="9"/>
  <c r="AO310" i="9"/>
  <c r="AO311" i="9"/>
  <c r="AO313" i="9"/>
  <c r="AO314" i="9"/>
  <c r="AO317" i="9"/>
  <c r="AO318" i="9"/>
  <c r="AO247" i="9"/>
  <c r="AO5" i="9"/>
  <c r="AO6" i="9"/>
  <c r="AO7" i="9"/>
  <c r="AO9" i="9"/>
  <c r="AO10" i="9"/>
  <c r="AO11" i="9"/>
  <c r="AO13" i="9"/>
  <c r="AO14" i="9"/>
  <c r="AO15" i="9"/>
  <c r="AO18" i="9"/>
  <c r="AO21" i="9"/>
  <c r="AO22" i="9"/>
  <c r="AO25" i="9"/>
  <c r="AO27" i="9"/>
  <c r="AO28" i="9"/>
  <c r="AO31" i="9"/>
  <c r="AO39" i="9"/>
  <c r="AO41" i="9"/>
  <c r="AO42" i="9"/>
  <c r="AO43" i="9"/>
  <c r="AO44" i="9"/>
  <c r="AO45" i="9"/>
  <c r="AO46" i="9"/>
  <c r="AO47" i="9"/>
  <c r="AO48" i="9"/>
  <c r="AO50" i="9"/>
  <c r="AO51" i="9"/>
  <c r="AO52" i="9"/>
  <c r="AO55" i="9"/>
  <c r="AO58" i="9"/>
  <c r="AO59" i="9"/>
  <c r="AO60" i="9"/>
  <c r="AO61" i="9"/>
  <c r="AO63" i="9"/>
  <c r="AO65" i="9"/>
  <c r="AO67" i="9"/>
  <c r="AO69" i="9"/>
  <c r="AO70" i="9"/>
  <c r="AO71" i="9"/>
  <c r="AO72" i="9"/>
  <c r="AO74" i="9"/>
  <c r="AO75" i="9"/>
  <c r="AO77" i="9"/>
  <c r="AO85" i="9"/>
  <c r="AO86" i="9"/>
  <c r="AO89" i="9"/>
  <c r="AO91" i="9"/>
  <c r="AO93" i="9"/>
  <c r="AO95" i="9"/>
  <c r="AO96" i="9"/>
  <c r="AO97" i="9"/>
  <c r="AO99" i="9"/>
  <c r="AO100" i="9"/>
  <c r="AO101" i="9"/>
  <c r="AO102" i="9"/>
  <c r="AO103" i="9"/>
  <c r="AO104" i="9"/>
  <c r="AO105" i="9"/>
  <c r="AO3" i="9"/>
  <c r="AO106" i="9"/>
  <c r="AO107" i="9"/>
  <c r="AO108" i="9"/>
  <c r="AO110" i="9"/>
  <c r="AO111" i="9"/>
  <c r="AO112" i="9"/>
  <c r="AO113" i="9"/>
  <c r="AO114" i="9"/>
  <c r="AO115" i="9"/>
  <c r="AO116" i="9"/>
  <c r="AO118" i="9"/>
  <c r="AO123" i="9"/>
  <c r="AO125" i="9"/>
  <c r="AO126" i="9"/>
  <c r="AO127" i="9"/>
  <c r="AO129" i="9"/>
  <c r="AO130" i="9"/>
  <c r="AO132" i="9"/>
  <c r="AO138" i="9"/>
  <c r="AO139" i="9"/>
  <c r="AO141" i="9"/>
  <c r="AO142" i="9"/>
  <c r="AO143" i="9"/>
  <c r="AO144" i="9"/>
  <c r="AO145" i="9"/>
  <c r="AO146" i="9"/>
  <c r="AO148" i="9"/>
  <c r="AO150" i="9"/>
  <c r="AO151" i="9"/>
  <c r="AO152" i="9"/>
  <c r="AO153" i="9"/>
  <c r="AO156" i="9"/>
  <c r="AO157" i="9"/>
  <c r="AO158" i="9"/>
  <c r="AO161" i="9"/>
  <c r="AO162" i="9"/>
  <c r="AO164" i="9"/>
  <c r="AO165" i="9"/>
  <c r="AO167" i="9"/>
  <c r="AO169" i="9"/>
  <c r="AO273" i="9"/>
  <c r="AO171" i="9"/>
  <c r="AO172" i="9"/>
  <c r="AO175" i="9"/>
  <c r="AO176" i="9"/>
  <c r="AO178" i="9"/>
  <c r="AO179" i="9"/>
  <c r="AO180" i="9"/>
  <c r="AO181" i="9"/>
  <c r="AO183" i="9"/>
  <c r="AO184" i="9"/>
  <c r="AO188" i="9"/>
  <c r="AO189" i="9"/>
  <c r="AO191" i="9"/>
  <c r="AO192" i="9"/>
  <c r="AO193" i="9"/>
  <c r="AO194" i="9"/>
  <c r="AO195" i="9"/>
  <c r="AO196" i="9"/>
  <c r="AO197" i="9"/>
  <c r="AO198" i="9"/>
  <c r="AO203" i="9"/>
  <c r="AO204" i="9"/>
  <c r="AO205" i="9"/>
  <c r="AO207" i="9"/>
  <c r="AO208" i="9"/>
  <c r="AO209" i="9"/>
  <c r="AO210" i="9"/>
  <c r="AO212" i="9"/>
  <c r="AO216" i="9"/>
  <c r="AO218" i="9"/>
  <c r="AO217" i="9"/>
  <c r="AO219" i="9"/>
  <c r="AO220" i="9"/>
  <c r="AO221" i="9"/>
  <c r="AO223" i="9"/>
  <c r="AO224" i="9"/>
  <c r="AO229" i="9"/>
  <c r="AO231" i="9"/>
  <c r="AO233" i="9"/>
  <c r="AO234" i="9"/>
  <c r="AO237" i="9"/>
  <c r="AO238" i="9"/>
  <c r="AO241" i="9"/>
  <c r="AO243" i="9"/>
  <c r="AO245" i="9"/>
  <c r="AO248" i="9"/>
  <c r="AO250" i="9"/>
  <c r="AO251" i="9"/>
  <c r="AO252" i="9"/>
  <c r="AO255" i="9"/>
  <c r="AO256" i="9"/>
  <c r="AO258" i="9"/>
  <c r="AO262" i="9"/>
  <c r="AO263" i="9"/>
  <c r="AO265" i="9"/>
  <c r="AO266" i="9"/>
  <c r="AO267" i="9"/>
  <c r="AO268" i="9"/>
  <c r="AO269" i="9"/>
  <c r="AO270" i="9"/>
  <c r="AO272" i="9"/>
  <c r="AO275" i="9"/>
  <c r="AO276" i="9"/>
  <c r="AO279" i="9"/>
  <c r="AO281" i="9"/>
  <c r="AO284" i="9"/>
  <c r="AO286" i="9"/>
  <c r="AO287" i="9"/>
  <c r="AO291" i="9"/>
  <c r="AO293" i="9"/>
  <c r="AO312" i="9"/>
  <c r="AN154" i="9"/>
  <c r="AN36" i="9"/>
  <c r="AN83" i="9"/>
  <c r="AN264" i="9"/>
  <c r="AN259" i="9"/>
  <c r="AN301" i="9"/>
  <c r="AN230" i="9"/>
  <c r="AN288" i="9"/>
  <c r="AN316" i="9"/>
  <c r="AN29" i="9"/>
  <c r="AN37" i="9"/>
  <c r="AN90" i="9"/>
  <c r="AN163" i="9"/>
  <c r="AN294" i="9"/>
  <c r="AN190" i="9"/>
  <c r="AN226" i="9"/>
  <c r="AN260" i="9"/>
  <c r="AN23" i="9"/>
  <c r="AN30" i="9"/>
  <c r="AN84" i="9"/>
  <c r="AN173" i="9"/>
  <c r="AN239" i="9"/>
  <c r="AN249" i="9"/>
  <c r="AN271" i="9"/>
  <c r="AN320" i="9"/>
  <c r="AN64" i="9"/>
  <c r="AN68" i="9"/>
  <c r="AN92" i="9"/>
  <c r="AN119" i="9"/>
  <c r="AN149" i="9"/>
  <c r="AN235" i="9"/>
  <c r="AN278" i="9"/>
  <c r="AN32" i="9"/>
  <c r="AN35" i="9"/>
  <c r="AN73" i="9"/>
  <c r="AN79" i="9"/>
  <c r="AN131" i="9"/>
  <c r="AN225" i="9"/>
  <c r="AN242" i="9"/>
  <c r="AN8" i="9"/>
  <c r="AN12" i="9"/>
  <c r="AN16" i="9"/>
  <c r="AN38" i="9"/>
  <c r="AN81" i="9"/>
  <c r="AN82" i="9"/>
  <c r="AN88" i="9"/>
  <c r="AN133" i="9"/>
  <c r="AN137" i="9"/>
  <c r="AN170" i="9"/>
  <c r="AN201" i="9"/>
  <c r="AN202" i="9"/>
  <c r="AN211" i="9"/>
  <c r="AN244" i="9"/>
  <c r="AN261" i="9"/>
  <c r="AN283" i="9"/>
  <c r="AN285" i="9"/>
  <c r="AN128" i="9"/>
  <c r="AN159" i="9"/>
  <c r="AN177" i="9"/>
  <c r="AN240" i="9"/>
  <c r="AN315" i="9"/>
  <c r="AN33" i="9"/>
  <c r="AN49" i="9"/>
  <c r="AN62" i="9"/>
  <c r="AN78" i="9"/>
  <c r="AN166" i="9"/>
  <c r="AN182" i="9"/>
  <c r="AN186" i="9"/>
  <c r="AN236" i="9"/>
  <c r="AN290" i="9"/>
  <c r="AN19" i="9"/>
  <c r="AN147" i="9"/>
  <c r="AN274" i="9"/>
  <c r="AN295" i="9"/>
  <c r="AN297" i="9"/>
  <c r="AN299" i="9"/>
  <c r="AN302" i="9"/>
  <c r="AN303" i="9"/>
  <c r="AN304" i="9"/>
  <c r="AN305" i="9"/>
  <c r="AN307" i="9"/>
  <c r="AN308" i="9"/>
  <c r="AN309" i="9"/>
  <c r="AN310" i="9"/>
  <c r="AN311" i="9"/>
  <c r="AN313" i="9"/>
  <c r="AN314" i="9"/>
  <c r="AN317" i="9"/>
  <c r="AN318" i="9"/>
  <c r="AN247" i="9"/>
  <c r="AN5" i="9"/>
  <c r="AN6" i="9"/>
  <c r="AN7" i="9"/>
  <c r="AN9" i="9"/>
  <c r="AN10" i="9"/>
  <c r="AN11" i="9"/>
  <c r="AN13" i="9"/>
  <c r="AN14" i="9"/>
  <c r="AN15" i="9"/>
  <c r="AN18" i="9"/>
  <c r="AN21" i="9"/>
  <c r="AN22" i="9"/>
  <c r="AN25" i="9"/>
  <c r="AN27" i="9"/>
  <c r="AN28" i="9"/>
  <c r="AN31" i="9"/>
  <c r="AN39" i="9"/>
  <c r="AN41" i="9"/>
  <c r="AN42" i="9"/>
  <c r="AN43" i="9"/>
  <c r="AN44" i="9"/>
  <c r="AN45" i="9"/>
  <c r="AN46" i="9"/>
  <c r="AN47" i="9"/>
  <c r="AN48" i="9"/>
  <c r="AN50" i="9"/>
  <c r="AN51" i="9"/>
  <c r="AN52" i="9"/>
  <c r="AN55" i="9"/>
  <c r="AN58" i="9"/>
  <c r="AN59" i="9"/>
  <c r="AN60" i="9"/>
  <c r="AN61" i="9"/>
  <c r="AN63" i="9"/>
  <c r="AN65" i="9"/>
  <c r="AN67" i="9"/>
  <c r="AN69" i="9"/>
  <c r="AN70" i="9"/>
  <c r="AN71" i="9"/>
  <c r="AN72" i="9"/>
  <c r="AN74" i="9"/>
  <c r="AN75" i="9"/>
  <c r="AN77" i="9"/>
  <c r="AN85" i="9"/>
  <c r="AN86" i="9"/>
  <c r="AN89" i="9"/>
  <c r="AN91" i="9"/>
  <c r="AN93" i="9"/>
  <c r="AN95" i="9"/>
  <c r="AN96" i="9"/>
  <c r="AN97" i="9"/>
  <c r="AN99" i="9"/>
  <c r="AN100" i="9"/>
  <c r="AN101" i="9"/>
  <c r="AN102" i="9"/>
  <c r="AN103" i="9"/>
  <c r="AN104" i="9"/>
  <c r="AN105" i="9"/>
  <c r="AN3" i="9"/>
  <c r="AN106" i="9"/>
  <c r="AN107" i="9"/>
  <c r="AN108" i="9"/>
  <c r="AN110" i="9"/>
  <c r="AN111" i="9"/>
  <c r="AN112" i="9"/>
  <c r="AN113" i="9"/>
  <c r="AN114" i="9"/>
  <c r="AN115" i="9"/>
  <c r="AN116" i="9"/>
  <c r="AN118" i="9"/>
  <c r="AN123" i="9"/>
  <c r="AN125" i="9"/>
  <c r="AN126" i="9"/>
  <c r="AN127" i="9"/>
  <c r="AN129" i="9"/>
  <c r="AN130" i="9"/>
  <c r="AN132" i="9"/>
  <c r="AN138" i="9"/>
  <c r="AN139" i="9"/>
  <c r="AN141" i="9"/>
  <c r="AN142" i="9"/>
  <c r="AN143" i="9"/>
  <c r="AN144" i="9"/>
  <c r="AN145" i="9"/>
  <c r="AN146" i="9"/>
  <c r="AN148" i="9"/>
  <c r="AN150" i="9"/>
  <c r="AN151" i="9"/>
  <c r="AN152" i="9"/>
  <c r="AN153" i="9"/>
  <c r="AN156" i="9"/>
  <c r="AN157" i="9"/>
  <c r="AN158" i="9"/>
  <c r="AN161" i="9"/>
  <c r="AN162" i="9"/>
  <c r="AN164" i="9"/>
  <c r="AN165" i="9"/>
  <c r="AN167" i="9"/>
  <c r="AN169" i="9"/>
  <c r="AN273" i="9"/>
  <c r="AN171" i="9"/>
  <c r="AN172" i="9"/>
  <c r="AN175" i="9"/>
  <c r="AN176" i="9"/>
  <c r="AN178" i="9"/>
  <c r="AN179" i="9"/>
  <c r="AN180" i="9"/>
  <c r="AN181" i="9"/>
  <c r="AN183" i="9"/>
  <c r="AN184" i="9"/>
  <c r="AN188" i="9"/>
  <c r="AN189" i="9"/>
  <c r="AN191" i="9"/>
  <c r="AN192" i="9"/>
  <c r="AN193" i="9"/>
  <c r="AN194" i="9"/>
  <c r="AN195" i="9"/>
  <c r="AN196" i="9"/>
  <c r="AN197" i="9"/>
  <c r="AN198" i="9"/>
  <c r="AN203" i="9"/>
  <c r="AN204" i="9"/>
  <c r="AN205" i="9"/>
  <c r="AN207" i="9"/>
  <c r="AN208" i="9"/>
  <c r="AN209" i="9"/>
  <c r="AN210" i="9"/>
  <c r="AN212" i="9"/>
  <c r="AN216" i="9"/>
  <c r="AN218" i="9"/>
  <c r="AN217" i="9"/>
  <c r="AN219" i="9"/>
  <c r="AN220" i="9"/>
  <c r="AN221" i="9"/>
  <c r="AN223" i="9"/>
  <c r="AN224" i="9"/>
  <c r="AN229" i="9"/>
  <c r="AN231" i="9"/>
  <c r="AN233" i="9"/>
  <c r="AN234" i="9"/>
  <c r="AN237" i="9"/>
  <c r="AN238" i="9"/>
  <c r="AN241" i="9"/>
  <c r="AN243" i="9"/>
  <c r="AN245" i="9"/>
  <c r="AN248" i="9"/>
  <c r="AN250" i="9"/>
  <c r="AN251" i="9"/>
  <c r="AN252" i="9"/>
  <c r="AN255" i="9"/>
  <c r="AN256" i="9"/>
  <c r="AN258" i="9"/>
  <c r="AN262" i="9"/>
  <c r="AN263" i="9"/>
  <c r="AN265" i="9"/>
  <c r="AN266" i="9"/>
  <c r="AN267" i="9"/>
  <c r="AN268" i="9"/>
  <c r="AN269" i="9"/>
  <c r="AN270" i="9"/>
  <c r="AN272" i="9"/>
  <c r="AN275" i="9"/>
  <c r="AN276" i="9"/>
  <c r="AN279" i="9"/>
  <c r="AN281" i="9"/>
  <c r="AN284" i="9"/>
  <c r="AN286" i="9"/>
  <c r="AN287" i="9"/>
  <c r="AN291" i="9"/>
  <c r="AN293" i="9"/>
  <c r="AN312" i="9"/>
  <c r="AL154" i="9"/>
  <c r="AL36" i="9"/>
  <c r="AL83" i="9"/>
  <c r="AL264" i="9"/>
  <c r="AL259" i="9"/>
  <c r="AL301" i="9"/>
  <c r="AL230" i="9"/>
  <c r="AL288" i="9"/>
  <c r="AL316" i="9"/>
  <c r="AL29" i="9"/>
  <c r="AL37" i="9"/>
  <c r="AL90" i="9"/>
  <c r="AL163" i="9"/>
  <c r="AL294" i="9"/>
  <c r="AL190" i="9"/>
  <c r="AL226" i="9"/>
  <c r="AL260" i="9"/>
  <c r="AL23" i="9"/>
  <c r="AL30" i="9"/>
  <c r="AL84" i="9"/>
  <c r="AL173" i="9"/>
  <c r="AL239" i="9"/>
  <c r="AL249" i="9"/>
  <c r="AL271" i="9"/>
  <c r="AL320" i="9"/>
  <c r="AL64" i="9"/>
  <c r="AL68" i="9"/>
  <c r="AL92" i="9"/>
  <c r="AL119" i="9"/>
  <c r="AL149" i="9"/>
  <c r="AL235" i="9"/>
  <c r="AL278" i="9"/>
  <c r="AL32" i="9"/>
  <c r="AL35" i="9"/>
  <c r="AL73" i="9"/>
  <c r="AL79" i="9"/>
  <c r="AL131" i="9"/>
  <c r="AL225" i="9"/>
  <c r="AL242" i="9"/>
  <c r="AL8" i="9"/>
  <c r="AL12" i="9"/>
  <c r="AL16" i="9"/>
  <c r="AL38" i="9"/>
  <c r="AL81" i="9"/>
  <c r="AL82" i="9"/>
  <c r="AL88" i="9"/>
  <c r="AL133" i="9"/>
  <c r="AL137" i="9"/>
  <c r="AL170" i="9"/>
  <c r="AL201" i="9"/>
  <c r="AL202" i="9"/>
  <c r="AL211" i="9"/>
  <c r="AL244" i="9"/>
  <c r="AL261" i="9"/>
  <c r="AL283" i="9"/>
  <c r="AL285" i="9"/>
  <c r="AL128" i="9"/>
  <c r="AL159" i="9"/>
  <c r="AL177" i="9"/>
  <c r="AL240" i="9"/>
  <c r="AL315" i="9"/>
  <c r="AL33" i="9"/>
  <c r="AL49" i="9"/>
  <c r="AL62" i="9"/>
  <c r="AL78" i="9"/>
  <c r="AL166" i="9"/>
  <c r="AL182" i="9"/>
  <c r="AL186" i="9"/>
  <c r="AL236" i="9"/>
  <c r="AL290" i="9"/>
  <c r="AL19" i="9"/>
  <c r="AL147" i="9"/>
  <c r="AL274" i="9"/>
  <c r="AL295" i="9"/>
  <c r="AL297" i="9"/>
  <c r="AL299" i="9"/>
  <c r="AL302" i="9"/>
  <c r="AL303" i="9"/>
  <c r="AL304" i="9"/>
  <c r="AL305" i="9"/>
  <c r="AL307" i="9"/>
  <c r="AL308" i="9"/>
  <c r="AL309" i="9"/>
  <c r="AL310" i="9"/>
  <c r="AL311" i="9"/>
  <c r="AL313" i="9"/>
  <c r="AL314" i="9"/>
  <c r="AL317" i="9"/>
  <c r="AL318" i="9"/>
  <c r="AL247" i="9"/>
  <c r="AL5" i="9"/>
  <c r="AL6" i="9"/>
  <c r="AL7" i="9"/>
  <c r="AL9" i="9"/>
  <c r="AL10" i="9"/>
  <c r="AL11" i="9"/>
  <c r="AL13" i="9"/>
  <c r="AL14" i="9"/>
  <c r="AL15" i="9"/>
  <c r="AL18" i="9"/>
  <c r="AL21" i="9"/>
  <c r="AL22" i="9"/>
  <c r="AL25" i="9"/>
  <c r="AL27" i="9"/>
  <c r="AL28" i="9"/>
  <c r="AL31" i="9"/>
  <c r="AL39" i="9"/>
  <c r="AL41" i="9"/>
  <c r="AL42" i="9"/>
  <c r="AL43" i="9"/>
  <c r="AL44" i="9"/>
  <c r="AL45" i="9"/>
  <c r="AL46" i="9"/>
  <c r="AL47" i="9"/>
  <c r="AL48" i="9"/>
  <c r="AL50" i="9"/>
  <c r="AL51" i="9"/>
  <c r="AL52" i="9"/>
  <c r="AL55" i="9"/>
  <c r="AL58" i="9"/>
  <c r="AL59" i="9"/>
  <c r="AL60" i="9"/>
  <c r="AL61" i="9"/>
  <c r="AL63" i="9"/>
  <c r="AL65" i="9"/>
  <c r="AL67" i="9"/>
  <c r="AL69" i="9"/>
  <c r="AL70" i="9"/>
  <c r="AL71" i="9"/>
  <c r="AL72" i="9"/>
  <c r="AL74" i="9"/>
  <c r="AL75" i="9"/>
  <c r="AL77" i="9"/>
  <c r="AL85" i="9"/>
  <c r="AL86" i="9"/>
  <c r="AL89" i="9"/>
  <c r="AL91" i="9"/>
  <c r="AL93" i="9"/>
  <c r="AL95" i="9"/>
  <c r="AL96" i="9"/>
  <c r="AL97" i="9"/>
  <c r="AL99" i="9"/>
  <c r="AL100" i="9"/>
  <c r="AL101" i="9"/>
  <c r="AL102" i="9"/>
  <c r="AL103" i="9"/>
  <c r="AL104" i="9"/>
  <c r="AL105" i="9"/>
  <c r="AL3" i="9"/>
  <c r="AL106" i="9"/>
  <c r="AL107" i="9"/>
  <c r="AL108" i="9"/>
  <c r="AL110" i="9"/>
  <c r="AL111" i="9"/>
  <c r="AL112" i="9"/>
  <c r="AL113" i="9"/>
  <c r="AL114" i="9"/>
  <c r="AL115" i="9"/>
  <c r="AL116" i="9"/>
  <c r="AL118" i="9"/>
  <c r="AL123" i="9"/>
  <c r="AL125" i="9"/>
  <c r="AL126" i="9"/>
  <c r="AL127" i="9"/>
  <c r="AL129" i="9"/>
  <c r="AL130" i="9"/>
  <c r="AL132" i="9"/>
  <c r="AL138" i="9"/>
  <c r="AL139" i="9"/>
  <c r="AL141" i="9"/>
  <c r="AL142" i="9"/>
  <c r="AL143" i="9"/>
  <c r="AL144" i="9"/>
  <c r="AL145" i="9"/>
  <c r="AL146" i="9"/>
  <c r="AL148" i="9"/>
  <c r="AL150" i="9"/>
  <c r="AL151" i="9"/>
  <c r="AL152" i="9"/>
  <c r="AL153" i="9"/>
  <c r="AL156" i="9"/>
  <c r="AL157" i="9"/>
  <c r="AL158" i="9"/>
  <c r="AL161" i="9"/>
  <c r="AL162" i="9"/>
  <c r="AL164" i="9"/>
  <c r="AL165" i="9"/>
  <c r="AL167" i="9"/>
  <c r="AL169" i="9"/>
  <c r="AL273" i="9"/>
  <c r="AL171" i="9"/>
  <c r="AL172" i="9"/>
  <c r="AL175" i="9"/>
  <c r="AL176" i="9"/>
  <c r="AL178" i="9"/>
  <c r="AL179" i="9"/>
  <c r="AL180" i="9"/>
  <c r="AL181" i="9"/>
  <c r="AL183" i="9"/>
  <c r="AL184" i="9"/>
  <c r="AL188" i="9"/>
  <c r="AL189" i="9"/>
  <c r="AL191" i="9"/>
  <c r="AL192" i="9"/>
  <c r="AL193" i="9"/>
  <c r="AL194" i="9"/>
  <c r="AL195" i="9"/>
  <c r="AL196" i="9"/>
  <c r="AL197" i="9"/>
  <c r="AL198" i="9"/>
  <c r="AL203" i="9"/>
  <c r="AL204" i="9"/>
  <c r="AL205" i="9"/>
  <c r="AL207" i="9"/>
  <c r="AL208" i="9"/>
  <c r="AL209" i="9"/>
  <c r="AL210" i="9"/>
  <c r="AL212" i="9"/>
  <c r="AL216" i="9"/>
  <c r="AL218" i="9"/>
  <c r="AL217" i="9"/>
  <c r="AL219" i="9"/>
  <c r="AL220" i="9"/>
  <c r="AL221" i="9"/>
  <c r="AL223" i="9"/>
  <c r="AL224" i="9"/>
  <c r="AL229" i="9"/>
  <c r="AL231" i="9"/>
  <c r="AL233" i="9"/>
  <c r="AL234" i="9"/>
  <c r="AL237" i="9"/>
  <c r="AL238" i="9"/>
  <c r="AL241" i="9"/>
  <c r="AL243" i="9"/>
  <c r="AL245" i="9"/>
  <c r="AL248" i="9"/>
  <c r="AL250" i="9"/>
  <c r="AL251" i="9"/>
  <c r="AL252" i="9"/>
  <c r="AL255" i="9"/>
  <c r="AL256" i="9"/>
  <c r="AL258" i="9"/>
  <c r="AL262" i="9"/>
  <c r="AL263" i="9"/>
  <c r="AL265" i="9"/>
  <c r="AL266" i="9"/>
  <c r="AL267" i="9"/>
  <c r="AL268" i="9"/>
  <c r="AL269" i="9"/>
  <c r="AL270" i="9"/>
  <c r="AL272" i="9"/>
  <c r="AL275" i="9"/>
  <c r="AL276" i="9"/>
  <c r="AL279" i="9"/>
  <c r="AL281" i="9"/>
  <c r="AL284" i="9"/>
  <c r="AL286" i="9"/>
  <c r="AL287" i="9"/>
  <c r="AL291" i="9"/>
  <c r="AL293" i="9"/>
  <c r="AL312" i="9"/>
  <c r="AK154" i="9"/>
  <c r="AK36" i="9"/>
  <c r="AK83" i="9"/>
  <c r="AK264" i="9"/>
  <c r="AK259" i="9"/>
  <c r="AK301" i="9"/>
  <c r="AK230" i="9"/>
  <c r="AK288" i="9"/>
  <c r="AK316" i="9"/>
  <c r="AK29" i="9"/>
  <c r="AK37" i="9"/>
  <c r="AK90" i="9"/>
  <c r="AK163" i="9"/>
  <c r="AK294" i="9"/>
  <c r="AK190" i="9"/>
  <c r="AK226" i="9"/>
  <c r="AK260" i="9"/>
  <c r="AK23" i="9"/>
  <c r="AK30" i="9"/>
  <c r="AK84" i="9"/>
  <c r="AK173" i="9"/>
  <c r="AK239" i="9"/>
  <c r="AK249" i="9"/>
  <c r="AK271" i="9"/>
  <c r="AK320" i="9"/>
  <c r="AK64" i="9"/>
  <c r="AK68" i="9"/>
  <c r="AK92" i="9"/>
  <c r="AK119" i="9"/>
  <c r="AK149" i="9"/>
  <c r="AK235" i="9"/>
  <c r="AK278" i="9"/>
  <c r="AK32" i="9"/>
  <c r="AK35" i="9"/>
  <c r="AK73" i="9"/>
  <c r="AK79" i="9"/>
  <c r="AK131" i="9"/>
  <c r="AK225" i="9"/>
  <c r="AK242" i="9"/>
  <c r="AK8" i="9"/>
  <c r="AK12" i="9"/>
  <c r="AK16" i="9"/>
  <c r="AK38" i="9"/>
  <c r="AK81" i="9"/>
  <c r="AK82" i="9"/>
  <c r="AK88" i="9"/>
  <c r="AK133" i="9"/>
  <c r="AK137" i="9"/>
  <c r="AK170" i="9"/>
  <c r="AK201" i="9"/>
  <c r="AK202" i="9"/>
  <c r="AK211" i="9"/>
  <c r="AK244" i="9"/>
  <c r="AK261" i="9"/>
  <c r="AK283" i="9"/>
  <c r="AK285" i="9"/>
  <c r="AK128" i="9"/>
  <c r="AK159" i="9"/>
  <c r="AK177" i="9"/>
  <c r="AK240" i="9"/>
  <c r="AK315" i="9"/>
  <c r="AK33" i="9"/>
  <c r="AK49" i="9"/>
  <c r="AK62" i="9"/>
  <c r="AK78" i="9"/>
  <c r="AK166" i="9"/>
  <c r="AK182" i="9"/>
  <c r="AK186" i="9"/>
  <c r="AK236" i="9"/>
  <c r="AK290" i="9"/>
  <c r="AK19" i="9"/>
  <c r="AK147" i="9"/>
  <c r="AK274" i="9"/>
  <c r="AK295" i="9"/>
  <c r="AK297" i="9"/>
  <c r="AK299" i="9"/>
  <c r="AK302" i="9"/>
  <c r="AK303" i="9"/>
  <c r="AK304" i="9"/>
  <c r="AK305" i="9"/>
  <c r="AK307" i="9"/>
  <c r="AK308" i="9"/>
  <c r="AK309" i="9"/>
  <c r="AK310" i="9"/>
  <c r="AK311" i="9"/>
  <c r="AK313" i="9"/>
  <c r="AK314" i="9"/>
  <c r="AK317" i="9"/>
  <c r="AK318" i="9"/>
  <c r="AK247" i="9"/>
  <c r="AK5" i="9"/>
  <c r="AK6" i="9"/>
  <c r="AK7" i="9"/>
  <c r="AK9" i="9"/>
  <c r="AK10" i="9"/>
  <c r="AK11" i="9"/>
  <c r="AK13" i="9"/>
  <c r="AK14" i="9"/>
  <c r="AK15" i="9"/>
  <c r="AK18" i="9"/>
  <c r="AK21" i="9"/>
  <c r="AK22" i="9"/>
  <c r="AK25" i="9"/>
  <c r="AK27" i="9"/>
  <c r="AK28" i="9"/>
  <c r="AK31" i="9"/>
  <c r="AK39" i="9"/>
  <c r="AK41" i="9"/>
  <c r="AK42" i="9"/>
  <c r="AK43" i="9"/>
  <c r="AK44" i="9"/>
  <c r="AK45" i="9"/>
  <c r="AK46" i="9"/>
  <c r="AK47" i="9"/>
  <c r="AK48" i="9"/>
  <c r="AK50" i="9"/>
  <c r="AK51" i="9"/>
  <c r="AK52" i="9"/>
  <c r="AK55" i="9"/>
  <c r="AK58" i="9"/>
  <c r="AK59" i="9"/>
  <c r="AK60" i="9"/>
  <c r="AK61" i="9"/>
  <c r="AK63" i="9"/>
  <c r="AK65" i="9"/>
  <c r="AK67" i="9"/>
  <c r="AK69" i="9"/>
  <c r="AK70" i="9"/>
  <c r="AK71" i="9"/>
  <c r="AK72" i="9"/>
  <c r="AK74" i="9"/>
  <c r="AK75" i="9"/>
  <c r="AK77" i="9"/>
  <c r="AK85" i="9"/>
  <c r="AK86" i="9"/>
  <c r="AK89" i="9"/>
  <c r="AK91" i="9"/>
  <c r="AK93" i="9"/>
  <c r="AK95" i="9"/>
  <c r="AK96" i="9"/>
  <c r="AK97" i="9"/>
  <c r="AK99" i="9"/>
  <c r="AK100" i="9"/>
  <c r="AK101" i="9"/>
  <c r="AK102" i="9"/>
  <c r="AK103" i="9"/>
  <c r="AK104" i="9"/>
  <c r="AK105" i="9"/>
  <c r="AK3" i="9"/>
  <c r="AK106" i="9"/>
  <c r="AK107" i="9"/>
  <c r="AK108" i="9"/>
  <c r="AK110" i="9"/>
  <c r="AK111" i="9"/>
  <c r="AK112" i="9"/>
  <c r="AK113" i="9"/>
  <c r="AK114" i="9"/>
  <c r="AK115" i="9"/>
  <c r="AK116" i="9"/>
  <c r="AK118" i="9"/>
  <c r="AK123" i="9"/>
  <c r="AK125" i="9"/>
  <c r="AK126" i="9"/>
  <c r="AK127" i="9"/>
  <c r="AK129" i="9"/>
  <c r="AK130" i="9"/>
  <c r="AK132" i="9"/>
  <c r="AK138" i="9"/>
  <c r="AK139" i="9"/>
  <c r="AK141" i="9"/>
  <c r="AK142" i="9"/>
  <c r="AK143" i="9"/>
  <c r="AK144" i="9"/>
  <c r="AK145" i="9"/>
  <c r="AK146" i="9"/>
  <c r="AK148" i="9"/>
  <c r="AK150" i="9"/>
  <c r="AK151" i="9"/>
  <c r="AK152" i="9"/>
  <c r="AK153" i="9"/>
  <c r="AK156" i="9"/>
  <c r="AK157" i="9"/>
  <c r="AK158" i="9"/>
  <c r="AK161" i="9"/>
  <c r="AK162" i="9"/>
  <c r="AK164" i="9"/>
  <c r="AK165" i="9"/>
  <c r="AK167" i="9"/>
  <c r="AK169" i="9"/>
  <c r="AK273" i="9"/>
  <c r="AK171" i="9"/>
  <c r="AK172" i="9"/>
  <c r="AK175" i="9"/>
  <c r="AK176" i="9"/>
  <c r="AK178" i="9"/>
  <c r="AK179" i="9"/>
  <c r="AK180" i="9"/>
  <c r="AK181" i="9"/>
  <c r="AK183" i="9"/>
  <c r="AK184" i="9"/>
  <c r="AK188" i="9"/>
  <c r="AK189" i="9"/>
  <c r="AK191" i="9"/>
  <c r="AK192" i="9"/>
  <c r="AK193" i="9"/>
  <c r="AK194" i="9"/>
  <c r="AK195" i="9"/>
  <c r="AK196" i="9"/>
  <c r="AK197" i="9"/>
  <c r="AK198" i="9"/>
  <c r="AK203" i="9"/>
  <c r="AK204" i="9"/>
  <c r="AK205" i="9"/>
  <c r="AK207" i="9"/>
  <c r="AK208" i="9"/>
  <c r="AK209" i="9"/>
  <c r="AK210" i="9"/>
  <c r="AK212" i="9"/>
  <c r="AK216" i="9"/>
  <c r="AK218" i="9"/>
  <c r="AK217" i="9"/>
  <c r="AK219" i="9"/>
  <c r="AK220" i="9"/>
  <c r="AK221" i="9"/>
  <c r="AK223" i="9"/>
  <c r="AK224" i="9"/>
  <c r="AK229" i="9"/>
  <c r="AK231" i="9"/>
  <c r="AK233" i="9"/>
  <c r="AK234" i="9"/>
  <c r="AK237" i="9"/>
  <c r="AK238" i="9"/>
  <c r="AK241" i="9"/>
  <c r="AK243" i="9"/>
  <c r="AK245" i="9"/>
  <c r="AK248" i="9"/>
  <c r="AK250" i="9"/>
  <c r="AK251" i="9"/>
  <c r="AK252" i="9"/>
  <c r="AK255" i="9"/>
  <c r="AK256" i="9"/>
  <c r="AK258" i="9"/>
  <c r="AK262" i="9"/>
  <c r="AK263" i="9"/>
  <c r="AK265" i="9"/>
  <c r="AK266" i="9"/>
  <c r="AK267" i="9"/>
  <c r="AK268" i="9"/>
  <c r="AK269" i="9"/>
  <c r="AK270" i="9"/>
  <c r="AK272" i="9"/>
  <c r="AK275" i="9"/>
  <c r="AK276" i="9"/>
  <c r="AK279" i="9"/>
  <c r="AK281" i="9"/>
  <c r="AK284" i="9"/>
  <c r="AK286" i="9"/>
  <c r="AK287" i="9"/>
  <c r="AK291" i="9"/>
  <c r="AK293" i="9"/>
  <c r="AK312" i="9"/>
  <c r="AJ154" i="9"/>
  <c r="AJ36" i="9"/>
  <c r="AJ83" i="9"/>
  <c r="AJ264" i="9"/>
  <c r="AJ259" i="9"/>
  <c r="AJ301" i="9"/>
  <c r="AJ230" i="9"/>
  <c r="AJ288" i="9"/>
  <c r="AJ316" i="9"/>
  <c r="AJ29" i="9"/>
  <c r="AJ37" i="9"/>
  <c r="AJ90" i="9"/>
  <c r="AJ163" i="9"/>
  <c r="AJ294" i="9"/>
  <c r="AJ190" i="9"/>
  <c r="AJ226" i="9"/>
  <c r="AJ260" i="9"/>
  <c r="AJ23" i="9"/>
  <c r="AJ30" i="9"/>
  <c r="AJ84" i="9"/>
  <c r="AJ173" i="9"/>
  <c r="AJ239" i="9"/>
  <c r="AJ249" i="9"/>
  <c r="AJ271" i="9"/>
  <c r="AJ320" i="9"/>
  <c r="AJ64" i="9"/>
  <c r="AJ68" i="9"/>
  <c r="AJ92" i="9"/>
  <c r="AJ119" i="9"/>
  <c r="AJ149" i="9"/>
  <c r="AJ235" i="9"/>
  <c r="AJ278" i="9"/>
  <c r="AJ32" i="9"/>
  <c r="AJ35" i="9"/>
  <c r="AJ73" i="9"/>
  <c r="AJ79" i="9"/>
  <c r="AJ131" i="9"/>
  <c r="AJ225" i="9"/>
  <c r="AJ242" i="9"/>
  <c r="AJ8" i="9"/>
  <c r="AJ12" i="9"/>
  <c r="AJ16" i="9"/>
  <c r="AJ38" i="9"/>
  <c r="AJ81" i="9"/>
  <c r="AJ82" i="9"/>
  <c r="AJ88" i="9"/>
  <c r="AJ133" i="9"/>
  <c r="AJ137" i="9"/>
  <c r="AJ170" i="9"/>
  <c r="AJ201" i="9"/>
  <c r="AJ202" i="9"/>
  <c r="AJ211" i="9"/>
  <c r="AJ244" i="9"/>
  <c r="AJ261" i="9"/>
  <c r="AJ283" i="9"/>
  <c r="AJ285" i="9"/>
  <c r="AJ128" i="9"/>
  <c r="AJ159" i="9"/>
  <c r="AJ177" i="9"/>
  <c r="AJ240" i="9"/>
  <c r="AJ315" i="9"/>
  <c r="AJ33" i="9"/>
  <c r="AJ49" i="9"/>
  <c r="AJ62" i="9"/>
  <c r="AJ78" i="9"/>
  <c r="AJ166" i="9"/>
  <c r="AJ182" i="9"/>
  <c r="AJ186" i="9"/>
  <c r="AJ236" i="9"/>
  <c r="AJ290" i="9"/>
  <c r="AJ19" i="9"/>
  <c r="AJ147" i="9"/>
  <c r="AJ274" i="9"/>
  <c r="AJ295" i="9"/>
  <c r="AJ297" i="9"/>
  <c r="AJ299" i="9"/>
  <c r="AJ302" i="9"/>
  <c r="AJ303" i="9"/>
  <c r="AJ304" i="9"/>
  <c r="AJ305" i="9"/>
  <c r="AJ307" i="9"/>
  <c r="AJ308" i="9"/>
  <c r="AJ309" i="9"/>
  <c r="AJ310" i="9"/>
  <c r="AJ311" i="9"/>
  <c r="AJ313" i="9"/>
  <c r="AJ314" i="9"/>
  <c r="AJ317" i="9"/>
  <c r="AJ318" i="9"/>
  <c r="AJ247" i="9"/>
  <c r="AJ5" i="9"/>
  <c r="AJ6" i="9"/>
  <c r="AJ7" i="9"/>
  <c r="AJ9" i="9"/>
  <c r="AJ10" i="9"/>
  <c r="AJ11" i="9"/>
  <c r="AJ13" i="9"/>
  <c r="AJ14" i="9"/>
  <c r="AJ15" i="9"/>
  <c r="AJ18" i="9"/>
  <c r="AJ21" i="9"/>
  <c r="AJ22" i="9"/>
  <c r="AJ25" i="9"/>
  <c r="AJ27" i="9"/>
  <c r="AJ28" i="9"/>
  <c r="AJ31" i="9"/>
  <c r="AJ39" i="9"/>
  <c r="AJ41" i="9"/>
  <c r="AJ42" i="9"/>
  <c r="AJ43" i="9"/>
  <c r="AJ44" i="9"/>
  <c r="AJ45" i="9"/>
  <c r="AJ46" i="9"/>
  <c r="AJ47" i="9"/>
  <c r="AJ48" i="9"/>
  <c r="AJ50" i="9"/>
  <c r="AJ51" i="9"/>
  <c r="AJ52" i="9"/>
  <c r="AJ55" i="9"/>
  <c r="AJ58" i="9"/>
  <c r="AJ59" i="9"/>
  <c r="AJ60" i="9"/>
  <c r="AJ61" i="9"/>
  <c r="AJ63" i="9"/>
  <c r="AJ65" i="9"/>
  <c r="AJ67" i="9"/>
  <c r="AJ69" i="9"/>
  <c r="AJ70" i="9"/>
  <c r="AJ71" i="9"/>
  <c r="AJ72" i="9"/>
  <c r="AJ74" i="9"/>
  <c r="AJ75" i="9"/>
  <c r="AJ77" i="9"/>
  <c r="AJ85" i="9"/>
  <c r="AJ86" i="9"/>
  <c r="AJ89" i="9"/>
  <c r="AJ91" i="9"/>
  <c r="AJ93" i="9"/>
  <c r="AJ95" i="9"/>
  <c r="AJ96" i="9"/>
  <c r="AJ97" i="9"/>
  <c r="AJ99" i="9"/>
  <c r="AJ100" i="9"/>
  <c r="AJ101" i="9"/>
  <c r="AJ102" i="9"/>
  <c r="AJ103" i="9"/>
  <c r="AJ104" i="9"/>
  <c r="AJ105" i="9"/>
  <c r="AJ3" i="9"/>
  <c r="AJ106" i="9"/>
  <c r="AJ107" i="9"/>
  <c r="AJ108" i="9"/>
  <c r="AJ110" i="9"/>
  <c r="AJ111" i="9"/>
  <c r="AJ112" i="9"/>
  <c r="AJ113" i="9"/>
  <c r="AJ114" i="9"/>
  <c r="AJ115" i="9"/>
  <c r="AJ116" i="9"/>
  <c r="AJ118" i="9"/>
  <c r="AJ123" i="9"/>
  <c r="AJ125" i="9"/>
  <c r="AJ126" i="9"/>
  <c r="AJ127" i="9"/>
  <c r="AJ129" i="9"/>
  <c r="AJ130" i="9"/>
  <c r="AJ132" i="9"/>
  <c r="AJ138" i="9"/>
  <c r="AJ139" i="9"/>
  <c r="AJ141" i="9"/>
  <c r="AJ142" i="9"/>
  <c r="AJ143" i="9"/>
  <c r="AJ144" i="9"/>
  <c r="AJ145" i="9"/>
  <c r="AJ146" i="9"/>
  <c r="AJ148" i="9"/>
  <c r="AJ150" i="9"/>
  <c r="AJ151" i="9"/>
  <c r="AJ152" i="9"/>
  <c r="AJ153" i="9"/>
  <c r="AJ156" i="9"/>
  <c r="AJ157" i="9"/>
  <c r="AJ158" i="9"/>
  <c r="AJ161" i="9"/>
  <c r="AJ162" i="9"/>
  <c r="AJ164" i="9"/>
  <c r="AJ165" i="9"/>
  <c r="AJ167" i="9"/>
  <c r="AJ169" i="9"/>
  <c r="AJ273" i="9"/>
  <c r="AJ171" i="9"/>
  <c r="AJ172" i="9"/>
  <c r="AJ175" i="9"/>
  <c r="AJ176" i="9"/>
  <c r="AJ178" i="9"/>
  <c r="AJ179" i="9"/>
  <c r="AJ180" i="9"/>
  <c r="AJ181" i="9"/>
  <c r="AJ183" i="9"/>
  <c r="AJ184" i="9"/>
  <c r="AJ188" i="9"/>
  <c r="AJ189" i="9"/>
  <c r="AJ191" i="9"/>
  <c r="AJ192" i="9"/>
  <c r="AJ193" i="9"/>
  <c r="AJ194" i="9"/>
  <c r="AJ195" i="9"/>
  <c r="AJ196" i="9"/>
  <c r="AJ197" i="9"/>
  <c r="AJ198" i="9"/>
  <c r="AJ203" i="9"/>
  <c r="AJ204" i="9"/>
  <c r="AJ205" i="9"/>
  <c r="AJ207" i="9"/>
  <c r="AJ208" i="9"/>
  <c r="AJ209" i="9"/>
  <c r="AJ210" i="9"/>
  <c r="AJ212" i="9"/>
  <c r="AJ216" i="9"/>
  <c r="AJ218" i="9"/>
  <c r="AJ217" i="9"/>
  <c r="AJ219" i="9"/>
  <c r="AJ220" i="9"/>
  <c r="AJ221" i="9"/>
  <c r="AJ223" i="9"/>
  <c r="AJ224" i="9"/>
  <c r="AJ229" i="9"/>
  <c r="AJ231" i="9"/>
  <c r="AJ233" i="9"/>
  <c r="AJ234" i="9"/>
  <c r="AJ237" i="9"/>
  <c r="AJ238" i="9"/>
  <c r="AJ241" i="9"/>
  <c r="AJ243" i="9"/>
  <c r="AJ245" i="9"/>
  <c r="AJ248" i="9"/>
  <c r="AJ250" i="9"/>
  <c r="AJ251" i="9"/>
  <c r="AJ252" i="9"/>
  <c r="AJ255" i="9"/>
  <c r="AJ256" i="9"/>
  <c r="AJ258" i="9"/>
  <c r="AJ262" i="9"/>
  <c r="AJ263" i="9"/>
  <c r="AJ265" i="9"/>
  <c r="AJ266" i="9"/>
  <c r="AJ267" i="9"/>
  <c r="AJ268" i="9"/>
  <c r="AJ269" i="9"/>
  <c r="AJ270" i="9"/>
  <c r="AJ272" i="9"/>
  <c r="AJ275" i="9"/>
  <c r="AJ276" i="9"/>
  <c r="AJ279" i="9"/>
  <c r="AJ281" i="9"/>
  <c r="AJ284" i="9"/>
  <c r="AJ286" i="9"/>
  <c r="AJ287" i="9"/>
  <c r="AJ291" i="9"/>
  <c r="AJ293" i="9"/>
  <c r="AJ312" i="9"/>
  <c r="AI154" i="9"/>
  <c r="AI36" i="9"/>
  <c r="AI83" i="9"/>
  <c r="AI264" i="9"/>
  <c r="AI259" i="9"/>
  <c r="AI301" i="9"/>
  <c r="AI230" i="9"/>
  <c r="AI288" i="9"/>
  <c r="AI316" i="9"/>
  <c r="AI29" i="9"/>
  <c r="AI37" i="9"/>
  <c r="AI90" i="9"/>
  <c r="AI163" i="9"/>
  <c r="AI294" i="9"/>
  <c r="AI190" i="9"/>
  <c r="AI226" i="9"/>
  <c r="AI260" i="9"/>
  <c r="AI23" i="9"/>
  <c r="AI30" i="9"/>
  <c r="AI84" i="9"/>
  <c r="AI173" i="9"/>
  <c r="AI239" i="9"/>
  <c r="AI249" i="9"/>
  <c r="AI271" i="9"/>
  <c r="AI320" i="9"/>
  <c r="AI64" i="9"/>
  <c r="AI68" i="9"/>
  <c r="AI92" i="9"/>
  <c r="AI119" i="9"/>
  <c r="AI149" i="9"/>
  <c r="AI235" i="9"/>
  <c r="AI278" i="9"/>
  <c r="AI32" i="9"/>
  <c r="AI35" i="9"/>
  <c r="AI73" i="9"/>
  <c r="AI79" i="9"/>
  <c r="AI131" i="9"/>
  <c r="AI225" i="9"/>
  <c r="AI242" i="9"/>
  <c r="AI8" i="9"/>
  <c r="AI12" i="9"/>
  <c r="AI16" i="9"/>
  <c r="AI38" i="9"/>
  <c r="AI81" i="9"/>
  <c r="AI82" i="9"/>
  <c r="AI88" i="9"/>
  <c r="AI133" i="9"/>
  <c r="AI137" i="9"/>
  <c r="AI170" i="9"/>
  <c r="AI201" i="9"/>
  <c r="AI202" i="9"/>
  <c r="AI211" i="9"/>
  <c r="AI244" i="9"/>
  <c r="AI261" i="9"/>
  <c r="AI283" i="9"/>
  <c r="AI285" i="9"/>
  <c r="AI128" i="9"/>
  <c r="AI159" i="9"/>
  <c r="AI177" i="9"/>
  <c r="AI240" i="9"/>
  <c r="AI315" i="9"/>
  <c r="AI33" i="9"/>
  <c r="AI49" i="9"/>
  <c r="AI62" i="9"/>
  <c r="AI78" i="9"/>
  <c r="AI166" i="9"/>
  <c r="AI182" i="9"/>
  <c r="AI186" i="9"/>
  <c r="AI236" i="9"/>
  <c r="AI290" i="9"/>
  <c r="AI19" i="9"/>
  <c r="AI147" i="9"/>
  <c r="AI274" i="9"/>
  <c r="AI295" i="9"/>
  <c r="AI297" i="9"/>
  <c r="AI299" i="9"/>
  <c r="AI302" i="9"/>
  <c r="AI303" i="9"/>
  <c r="AI304" i="9"/>
  <c r="AI305" i="9"/>
  <c r="AI307" i="9"/>
  <c r="AI308" i="9"/>
  <c r="AI309" i="9"/>
  <c r="AI310" i="9"/>
  <c r="AI311" i="9"/>
  <c r="AI313" i="9"/>
  <c r="AI314" i="9"/>
  <c r="AI317" i="9"/>
  <c r="AI318" i="9"/>
  <c r="AI247" i="9"/>
  <c r="AI5" i="9"/>
  <c r="AI6" i="9"/>
  <c r="AI7" i="9"/>
  <c r="AI9" i="9"/>
  <c r="AI10" i="9"/>
  <c r="AI11" i="9"/>
  <c r="AI13" i="9"/>
  <c r="AI14" i="9"/>
  <c r="AI15" i="9"/>
  <c r="AI18" i="9"/>
  <c r="AI21" i="9"/>
  <c r="AI22" i="9"/>
  <c r="AI25" i="9"/>
  <c r="AI27" i="9"/>
  <c r="AI28" i="9"/>
  <c r="AI31" i="9"/>
  <c r="AI39" i="9"/>
  <c r="AI41" i="9"/>
  <c r="AI42" i="9"/>
  <c r="AI43" i="9"/>
  <c r="AI44" i="9"/>
  <c r="AI45" i="9"/>
  <c r="AI46" i="9"/>
  <c r="AI47" i="9"/>
  <c r="AI48" i="9"/>
  <c r="AI50" i="9"/>
  <c r="AI51" i="9"/>
  <c r="AI52" i="9"/>
  <c r="AI55" i="9"/>
  <c r="AI58" i="9"/>
  <c r="AI59" i="9"/>
  <c r="AI60" i="9"/>
  <c r="AI61" i="9"/>
  <c r="AI63" i="9"/>
  <c r="AI65" i="9"/>
  <c r="AI67" i="9"/>
  <c r="AI69" i="9"/>
  <c r="AI70" i="9"/>
  <c r="AI71" i="9"/>
  <c r="AI72" i="9"/>
  <c r="AI74" i="9"/>
  <c r="AI75" i="9"/>
  <c r="AI77" i="9"/>
  <c r="AI85" i="9"/>
  <c r="AI86" i="9"/>
  <c r="AI89" i="9"/>
  <c r="AI91" i="9"/>
  <c r="AI93" i="9"/>
  <c r="AI95" i="9"/>
  <c r="AI96" i="9"/>
  <c r="AI97" i="9"/>
  <c r="AI99" i="9"/>
  <c r="AI100" i="9"/>
  <c r="AI101" i="9"/>
  <c r="AI102" i="9"/>
  <c r="AI103" i="9"/>
  <c r="AI104" i="9"/>
  <c r="AI105" i="9"/>
  <c r="AI3" i="9"/>
  <c r="AI106" i="9"/>
  <c r="AI107" i="9"/>
  <c r="AI108" i="9"/>
  <c r="AI110" i="9"/>
  <c r="AI111" i="9"/>
  <c r="AI112" i="9"/>
  <c r="AI113" i="9"/>
  <c r="AI114" i="9"/>
  <c r="AI115" i="9"/>
  <c r="AI116" i="9"/>
  <c r="AI118" i="9"/>
  <c r="AI123" i="9"/>
  <c r="AI125" i="9"/>
  <c r="AI126" i="9"/>
  <c r="AI127" i="9"/>
  <c r="AI129" i="9"/>
  <c r="AI130" i="9"/>
  <c r="AI132" i="9"/>
  <c r="AI138" i="9"/>
  <c r="AI139" i="9"/>
  <c r="AI141" i="9"/>
  <c r="AI142" i="9"/>
  <c r="AI143" i="9"/>
  <c r="AI144" i="9"/>
  <c r="AI145" i="9"/>
  <c r="AI146" i="9"/>
  <c r="AI148" i="9"/>
  <c r="AI150" i="9"/>
  <c r="AI151" i="9"/>
  <c r="AI152" i="9"/>
  <c r="AI153" i="9"/>
  <c r="AI156" i="9"/>
  <c r="AI157" i="9"/>
  <c r="AI158" i="9"/>
  <c r="AI161" i="9"/>
  <c r="AI162" i="9"/>
  <c r="AI164" i="9"/>
  <c r="AI165" i="9"/>
  <c r="AI167" i="9"/>
  <c r="AI169" i="9"/>
  <c r="AI273" i="9"/>
  <c r="AI171" i="9"/>
  <c r="AI172" i="9"/>
  <c r="AI175" i="9"/>
  <c r="AI176" i="9"/>
  <c r="AI178" i="9"/>
  <c r="AI179" i="9"/>
  <c r="AI180" i="9"/>
  <c r="AI181" i="9"/>
  <c r="AI183" i="9"/>
  <c r="AI184" i="9"/>
  <c r="AI188" i="9"/>
  <c r="AI189" i="9"/>
  <c r="AI191" i="9"/>
  <c r="AI192" i="9"/>
  <c r="AI193" i="9"/>
  <c r="AI194" i="9"/>
  <c r="AI195" i="9"/>
  <c r="AI196" i="9"/>
  <c r="AI197" i="9"/>
  <c r="AI198" i="9"/>
  <c r="AI203" i="9"/>
  <c r="AI204" i="9"/>
  <c r="AI205" i="9"/>
  <c r="AI207" i="9"/>
  <c r="AI208" i="9"/>
  <c r="AI209" i="9"/>
  <c r="AI210" i="9"/>
  <c r="AI212" i="9"/>
  <c r="AI216" i="9"/>
  <c r="AI218" i="9"/>
  <c r="AI217" i="9"/>
  <c r="AI219" i="9"/>
  <c r="AI220" i="9"/>
  <c r="AI221" i="9"/>
  <c r="AI223" i="9"/>
  <c r="AI224" i="9"/>
  <c r="AI229" i="9"/>
  <c r="AI231" i="9"/>
  <c r="AI233" i="9"/>
  <c r="AI234" i="9"/>
  <c r="AI237" i="9"/>
  <c r="AI238" i="9"/>
  <c r="AI241" i="9"/>
  <c r="AI243" i="9"/>
  <c r="AI245" i="9"/>
  <c r="AI248" i="9"/>
  <c r="AI250" i="9"/>
  <c r="AI251" i="9"/>
  <c r="AI252" i="9"/>
  <c r="AI255" i="9"/>
  <c r="AI256" i="9"/>
  <c r="AI258" i="9"/>
  <c r="AI262" i="9"/>
  <c r="AI263" i="9"/>
  <c r="AI265" i="9"/>
  <c r="AI266" i="9"/>
  <c r="AI267" i="9"/>
  <c r="AI268" i="9"/>
  <c r="AI269" i="9"/>
  <c r="AI270" i="9"/>
  <c r="AI272" i="9"/>
  <c r="AI275" i="9"/>
  <c r="AI276" i="9"/>
  <c r="AI279" i="9"/>
  <c r="AI281" i="9"/>
  <c r="AI284" i="9"/>
  <c r="AI286" i="9"/>
  <c r="AI287" i="9"/>
  <c r="AI291" i="9"/>
  <c r="AI293" i="9"/>
  <c r="AI312" i="9"/>
  <c r="AH154" i="9"/>
  <c r="AH36" i="9"/>
  <c r="AH83" i="9"/>
  <c r="AH264" i="9"/>
  <c r="AH259" i="9"/>
  <c r="AH301" i="9"/>
  <c r="AH230" i="9"/>
  <c r="AH288" i="9"/>
  <c r="AH316" i="9"/>
  <c r="AH29" i="9"/>
  <c r="AH37" i="9"/>
  <c r="AH90" i="9"/>
  <c r="AH163" i="9"/>
  <c r="AH294" i="9"/>
  <c r="AH190" i="9"/>
  <c r="AH226" i="9"/>
  <c r="AH260" i="9"/>
  <c r="AH23" i="9"/>
  <c r="AH30" i="9"/>
  <c r="AH84" i="9"/>
  <c r="AH173" i="9"/>
  <c r="AH239" i="9"/>
  <c r="AH249" i="9"/>
  <c r="AH271" i="9"/>
  <c r="AH320" i="9"/>
  <c r="AH64" i="9"/>
  <c r="AH68" i="9"/>
  <c r="AH92" i="9"/>
  <c r="AH119" i="9"/>
  <c r="AH149" i="9"/>
  <c r="AH235" i="9"/>
  <c r="AH278" i="9"/>
  <c r="AH32" i="9"/>
  <c r="AH35" i="9"/>
  <c r="AH73" i="9"/>
  <c r="AH79" i="9"/>
  <c r="AH131" i="9"/>
  <c r="AH225" i="9"/>
  <c r="AH242" i="9"/>
  <c r="AH8" i="9"/>
  <c r="AH12" i="9"/>
  <c r="AH16" i="9"/>
  <c r="AH38" i="9"/>
  <c r="AH81" i="9"/>
  <c r="AH82" i="9"/>
  <c r="AH88" i="9"/>
  <c r="AH133" i="9"/>
  <c r="AH137" i="9"/>
  <c r="AH170" i="9"/>
  <c r="AH201" i="9"/>
  <c r="AH202" i="9"/>
  <c r="AH211" i="9"/>
  <c r="AH244" i="9"/>
  <c r="AH261" i="9"/>
  <c r="AH283" i="9"/>
  <c r="AH285" i="9"/>
  <c r="AH128" i="9"/>
  <c r="AH159" i="9"/>
  <c r="AH177" i="9"/>
  <c r="AH240" i="9"/>
  <c r="AH315" i="9"/>
  <c r="AH33" i="9"/>
  <c r="AH49" i="9"/>
  <c r="AH62" i="9"/>
  <c r="AH78" i="9"/>
  <c r="AH166" i="9"/>
  <c r="AH182" i="9"/>
  <c r="AH186" i="9"/>
  <c r="AH236" i="9"/>
  <c r="AH290" i="9"/>
  <c r="AH19" i="9"/>
  <c r="AH147" i="9"/>
  <c r="AH274" i="9"/>
  <c r="AH295" i="9"/>
  <c r="AH297" i="9"/>
  <c r="AH299" i="9"/>
  <c r="AH302" i="9"/>
  <c r="AH303" i="9"/>
  <c r="AH304" i="9"/>
  <c r="AH305" i="9"/>
  <c r="AH307" i="9"/>
  <c r="AH308" i="9"/>
  <c r="AH309" i="9"/>
  <c r="AH310" i="9"/>
  <c r="AH311" i="9"/>
  <c r="AH313" i="9"/>
  <c r="AH314" i="9"/>
  <c r="AH317" i="9"/>
  <c r="AH318" i="9"/>
  <c r="AH247" i="9"/>
  <c r="AH5" i="9"/>
  <c r="AH6" i="9"/>
  <c r="AH7" i="9"/>
  <c r="AH9" i="9"/>
  <c r="AH10" i="9"/>
  <c r="AH11" i="9"/>
  <c r="AH13" i="9"/>
  <c r="AH14" i="9"/>
  <c r="AH15" i="9"/>
  <c r="AH18" i="9"/>
  <c r="AH21" i="9"/>
  <c r="AH22" i="9"/>
  <c r="AH25" i="9"/>
  <c r="AH27" i="9"/>
  <c r="AH28" i="9"/>
  <c r="AH31" i="9"/>
  <c r="AH39" i="9"/>
  <c r="AH41" i="9"/>
  <c r="AH42" i="9"/>
  <c r="AH43" i="9"/>
  <c r="AH44" i="9"/>
  <c r="AH45" i="9"/>
  <c r="AH46" i="9"/>
  <c r="AH47" i="9"/>
  <c r="AH48" i="9"/>
  <c r="AH50" i="9"/>
  <c r="AH51" i="9"/>
  <c r="AH52" i="9"/>
  <c r="AH55" i="9"/>
  <c r="AH58" i="9"/>
  <c r="AH59" i="9"/>
  <c r="AH60" i="9"/>
  <c r="AH61" i="9"/>
  <c r="AH63" i="9"/>
  <c r="AH65" i="9"/>
  <c r="AH67" i="9"/>
  <c r="AH69" i="9"/>
  <c r="AH70" i="9"/>
  <c r="AH71" i="9"/>
  <c r="AH72" i="9"/>
  <c r="AH74" i="9"/>
  <c r="AH75" i="9"/>
  <c r="AH77" i="9"/>
  <c r="AH85" i="9"/>
  <c r="AH86" i="9"/>
  <c r="AH89" i="9"/>
  <c r="AH91" i="9"/>
  <c r="AH93" i="9"/>
  <c r="AH95" i="9"/>
  <c r="AH96" i="9"/>
  <c r="AH97" i="9"/>
  <c r="AH99" i="9"/>
  <c r="AH100" i="9"/>
  <c r="AH101" i="9"/>
  <c r="AH102" i="9"/>
  <c r="AH103" i="9"/>
  <c r="AH104" i="9"/>
  <c r="AH105" i="9"/>
  <c r="AH3" i="9"/>
  <c r="AH106" i="9"/>
  <c r="AH107" i="9"/>
  <c r="AH108" i="9"/>
  <c r="AH110" i="9"/>
  <c r="AH111" i="9"/>
  <c r="AH112" i="9"/>
  <c r="AH113" i="9"/>
  <c r="AH114" i="9"/>
  <c r="AH115" i="9"/>
  <c r="AH116" i="9"/>
  <c r="AH118" i="9"/>
  <c r="AH123" i="9"/>
  <c r="AH125" i="9"/>
  <c r="AH126" i="9"/>
  <c r="AH127" i="9"/>
  <c r="AH129" i="9"/>
  <c r="AH130" i="9"/>
  <c r="AH132" i="9"/>
  <c r="AH138" i="9"/>
  <c r="AH139" i="9"/>
  <c r="AH141" i="9"/>
  <c r="AH142" i="9"/>
  <c r="AH143" i="9"/>
  <c r="AH144" i="9"/>
  <c r="AH145" i="9"/>
  <c r="AH146" i="9"/>
  <c r="AH148" i="9"/>
  <c r="AH150" i="9"/>
  <c r="AH151" i="9"/>
  <c r="AH152" i="9"/>
  <c r="AH153" i="9"/>
  <c r="AH156" i="9"/>
  <c r="AH157" i="9"/>
  <c r="AH158" i="9"/>
  <c r="AH161" i="9"/>
  <c r="AH162" i="9"/>
  <c r="AH164" i="9"/>
  <c r="AH165" i="9"/>
  <c r="AH167" i="9"/>
  <c r="AH169" i="9"/>
  <c r="AH273" i="9"/>
  <c r="AH171" i="9"/>
  <c r="AH172" i="9"/>
  <c r="AH175" i="9"/>
  <c r="AH176" i="9"/>
  <c r="AH178" i="9"/>
  <c r="AH179" i="9"/>
  <c r="AH180" i="9"/>
  <c r="AH181" i="9"/>
  <c r="AH183" i="9"/>
  <c r="AH184" i="9"/>
  <c r="AH188" i="9"/>
  <c r="AH189" i="9"/>
  <c r="AH191" i="9"/>
  <c r="AH192" i="9"/>
  <c r="AH193" i="9"/>
  <c r="AH194" i="9"/>
  <c r="AH195" i="9"/>
  <c r="AH196" i="9"/>
  <c r="AH197" i="9"/>
  <c r="AH198" i="9"/>
  <c r="AH203" i="9"/>
  <c r="AH204" i="9"/>
  <c r="AH205" i="9"/>
  <c r="AH207" i="9"/>
  <c r="AH208" i="9"/>
  <c r="AH209" i="9"/>
  <c r="AH210" i="9"/>
  <c r="AH212" i="9"/>
  <c r="AH216" i="9"/>
  <c r="AH218" i="9"/>
  <c r="AH217" i="9"/>
  <c r="AH219" i="9"/>
  <c r="AH220" i="9"/>
  <c r="AH221" i="9"/>
  <c r="AH223" i="9"/>
  <c r="AH224" i="9"/>
  <c r="AH229" i="9"/>
  <c r="AH231" i="9"/>
  <c r="AH233" i="9"/>
  <c r="AH234" i="9"/>
  <c r="AH237" i="9"/>
  <c r="AH238" i="9"/>
  <c r="AH241" i="9"/>
  <c r="AH243" i="9"/>
  <c r="AH245" i="9"/>
  <c r="AH248" i="9"/>
  <c r="AH250" i="9"/>
  <c r="AH251" i="9"/>
  <c r="AH252" i="9"/>
  <c r="AH255" i="9"/>
  <c r="AH256" i="9"/>
  <c r="AH258" i="9"/>
  <c r="AH262" i="9"/>
  <c r="AH263" i="9"/>
  <c r="AH265" i="9"/>
  <c r="AH266" i="9"/>
  <c r="AH267" i="9"/>
  <c r="AH268" i="9"/>
  <c r="AH269" i="9"/>
  <c r="AH270" i="9"/>
  <c r="AH272" i="9"/>
  <c r="AH275" i="9"/>
  <c r="AH276" i="9"/>
  <c r="AH279" i="9"/>
  <c r="AH281" i="9"/>
  <c r="AH284" i="9"/>
  <c r="AH286" i="9"/>
  <c r="AH287" i="9"/>
  <c r="AH291" i="9"/>
  <c r="AH293" i="9"/>
  <c r="AH312" i="9"/>
  <c r="AG154" i="9"/>
  <c r="AG36" i="9"/>
  <c r="AG83" i="9"/>
  <c r="AG264" i="9"/>
  <c r="AG259" i="9"/>
  <c r="AG301" i="9"/>
  <c r="AG230" i="9"/>
  <c r="AG288" i="9"/>
  <c r="AG316" i="9"/>
  <c r="AG29" i="9"/>
  <c r="AG37" i="9"/>
  <c r="AG90" i="9"/>
  <c r="AG163" i="9"/>
  <c r="AG294" i="9"/>
  <c r="AG190" i="9"/>
  <c r="AG226" i="9"/>
  <c r="AG260" i="9"/>
  <c r="AG23" i="9"/>
  <c r="AG30" i="9"/>
  <c r="AG84" i="9"/>
  <c r="AG173" i="9"/>
  <c r="AG239" i="9"/>
  <c r="AG249" i="9"/>
  <c r="AG271" i="9"/>
  <c r="AG320" i="9"/>
  <c r="AG64" i="9"/>
  <c r="AG68" i="9"/>
  <c r="AG92" i="9"/>
  <c r="AG119" i="9"/>
  <c r="AG149" i="9"/>
  <c r="AG235" i="9"/>
  <c r="AG278" i="9"/>
  <c r="AG32" i="9"/>
  <c r="AG35" i="9"/>
  <c r="AG73" i="9"/>
  <c r="AG79" i="9"/>
  <c r="AG131" i="9"/>
  <c r="AG225" i="9"/>
  <c r="AG242" i="9"/>
  <c r="AG8" i="9"/>
  <c r="AG12" i="9"/>
  <c r="AG16" i="9"/>
  <c r="AG38" i="9"/>
  <c r="AG81" i="9"/>
  <c r="AG82" i="9"/>
  <c r="AG88" i="9"/>
  <c r="AG133" i="9"/>
  <c r="AG137" i="9"/>
  <c r="AG170" i="9"/>
  <c r="AG201" i="9"/>
  <c r="AG202" i="9"/>
  <c r="AG211" i="9"/>
  <c r="AG244" i="9"/>
  <c r="AG261" i="9"/>
  <c r="AG283" i="9"/>
  <c r="AG285" i="9"/>
  <c r="AG128" i="9"/>
  <c r="AG159" i="9"/>
  <c r="AG177" i="9"/>
  <c r="AG240" i="9"/>
  <c r="AG315" i="9"/>
  <c r="AG33" i="9"/>
  <c r="AG49" i="9"/>
  <c r="AG62" i="9"/>
  <c r="AG78" i="9"/>
  <c r="AG166" i="9"/>
  <c r="AG182" i="9"/>
  <c r="AG186" i="9"/>
  <c r="AG236" i="9"/>
  <c r="AG290" i="9"/>
  <c r="AG19" i="9"/>
  <c r="AG147" i="9"/>
  <c r="AG274" i="9"/>
  <c r="AG295" i="9"/>
  <c r="AG297" i="9"/>
  <c r="AG299" i="9"/>
  <c r="AG302" i="9"/>
  <c r="AG303" i="9"/>
  <c r="AG304" i="9"/>
  <c r="AG305" i="9"/>
  <c r="AG307" i="9"/>
  <c r="AG308" i="9"/>
  <c r="AG309" i="9"/>
  <c r="AG310" i="9"/>
  <c r="AG311" i="9"/>
  <c r="AG313" i="9"/>
  <c r="AG314" i="9"/>
  <c r="AG317" i="9"/>
  <c r="AG318" i="9"/>
  <c r="AG247" i="9"/>
  <c r="AG5" i="9"/>
  <c r="AG6" i="9"/>
  <c r="AG7" i="9"/>
  <c r="AG9" i="9"/>
  <c r="AG10" i="9"/>
  <c r="AG11" i="9"/>
  <c r="AG13" i="9"/>
  <c r="AG14" i="9"/>
  <c r="AG15" i="9"/>
  <c r="AG18" i="9"/>
  <c r="AG21" i="9"/>
  <c r="AG22" i="9"/>
  <c r="AG25" i="9"/>
  <c r="AG27" i="9"/>
  <c r="AG28" i="9"/>
  <c r="AG31" i="9"/>
  <c r="AG39" i="9"/>
  <c r="AG41" i="9"/>
  <c r="AG42" i="9"/>
  <c r="AG43" i="9"/>
  <c r="AG44" i="9"/>
  <c r="AG45" i="9"/>
  <c r="AG46" i="9"/>
  <c r="AG47" i="9"/>
  <c r="AG48" i="9"/>
  <c r="AG50" i="9"/>
  <c r="AG51" i="9"/>
  <c r="AG52" i="9"/>
  <c r="AG55" i="9"/>
  <c r="AG58" i="9"/>
  <c r="AG59" i="9"/>
  <c r="AG60" i="9"/>
  <c r="AG61" i="9"/>
  <c r="AG63" i="9"/>
  <c r="AG65" i="9"/>
  <c r="AG67" i="9"/>
  <c r="AG69" i="9"/>
  <c r="AG70" i="9"/>
  <c r="AG71" i="9"/>
  <c r="AG72" i="9"/>
  <c r="AG74" i="9"/>
  <c r="AG75" i="9"/>
  <c r="AG77" i="9"/>
  <c r="AG85" i="9"/>
  <c r="AG86" i="9"/>
  <c r="AG89" i="9"/>
  <c r="AG91" i="9"/>
  <c r="AG93" i="9"/>
  <c r="AG95" i="9"/>
  <c r="AG96" i="9"/>
  <c r="AG97" i="9"/>
  <c r="AG99" i="9"/>
  <c r="AG100" i="9"/>
  <c r="AG101" i="9"/>
  <c r="AG102" i="9"/>
  <c r="AG103" i="9"/>
  <c r="AG104" i="9"/>
  <c r="AG105" i="9"/>
  <c r="AG3" i="9"/>
  <c r="AG106" i="9"/>
  <c r="AG107" i="9"/>
  <c r="AG108" i="9"/>
  <c r="AG110" i="9"/>
  <c r="AG111" i="9"/>
  <c r="AG112" i="9"/>
  <c r="AG113" i="9"/>
  <c r="AG114" i="9"/>
  <c r="AG115" i="9"/>
  <c r="AG116" i="9"/>
  <c r="AG118" i="9"/>
  <c r="AG123" i="9"/>
  <c r="AG125" i="9"/>
  <c r="AG126" i="9"/>
  <c r="AG127" i="9"/>
  <c r="AG129" i="9"/>
  <c r="AG130" i="9"/>
  <c r="AG132" i="9"/>
  <c r="AG138" i="9"/>
  <c r="AG139" i="9"/>
  <c r="AG141" i="9"/>
  <c r="AG142" i="9"/>
  <c r="AG143" i="9"/>
  <c r="AG144" i="9"/>
  <c r="AG145" i="9"/>
  <c r="AG146" i="9"/>
  <c r="AG148" i="9"/>
  <c r="AG150" i="9"/>
  <c r="AG151" i="9"/>
  <c r="AG152" i="9"/>
  <c r="AG153" i="9"/>
  <c r="AG156" i="9"/>
  <c r="AG157" i="9"/>
  <c r="AG158" i="9"/>
  <c r="AG161" i="9"/>
  <c r="AG162" i="9"/>
  <c r="AG164" i="9"/>
  <c r="AG165" i="9"/>
  <c r="AG167" i="9"/>
  <c r="AG169" i="9"/>
  <c r="AG273" i="9"/>
  <c r="AG171" i="9"/>
  <c r="AG172" i="9"/>
  <c r="AG175" i="9"/>
  <c r="AG176" i="9"/>
  <c r="AG178" i="9"/>
  <c r="AG179" i="9"/>
  <c r="AG180" i="9"/>
  <c r="AG181" i="9"/>
  <c r="AG183" i="9"/>
  <c r="AG184" i="9"/>
  <c r="AG188" i="9"/>
  <c r="AG189" i="9"/>
  <c r="AG191" i="9"/>
  <c r="AG192" i="9"/>
  <c r="AG193" i="9"/>
  <c r="AG194" i="9"/>
  <c r="AG195" i="9"/>
  <c r="AG196" i="9"/>
  <c r="AG197" i="9"/>
  <c r="AG198" i="9"/>
  <c r="AG203" i="9"/>
  <c r="AG204" i="9"/>
  <c r="AG205" i="9"/>
  <c r="AG207" i="9"/>
  <c r="AG208" i="9"/>
  <c r="AG209" i="9"/>
  <c r="AG210" i="9"/>
  <c r="AG212" i="9"/>
  <c r="AG216" i="9"/>
  <c r="AG218" i="9"/>
  <c r="AG217" i="9"/>
  <c r="AG219" i="9"/>
  <c r="AG220" i="9"/>
  <c r="AG221" i="9"/>
  <c r="AG223" i="9"/>
  <c r="AG224" i="9"/>
  <c r="AG229" i="9"/>
  <c r="AG231" i="9"/>
  <c r="AG233" i="9"/>
  <c r="AG234" i="9"/>
  <c r="AG237" i="9"/>
  <c r="AG238" i="9"/>
  <c r="AG241" i="9"/>
  <c r="AG243" i="9"/>
  <c r="AG245" i="9"/>
  <c r="AG248" i="9"/>
  <c r="AG250" i="9"/>
  <c r="AG251" i="9"/>
  <c r="AG252" i="9"/>
  <c r="AG255" i="9"/>
  <c r="AG256" i="9"/>
  <c r="AG258" i="9"/>
  <c r="AG262" i="9"/>
  <c r="AG263" i="9"/>
  <c r="AG265" i="9"/>
  <c r="AG266" i="9"/>
  <c r="AG267" i="9"/>
  <c r="AG268" i="9"/>
  <c r="AG269" i="9"/>
  <c r="AG270" i="9"/>
  <c r="AG272" i="9"/>
  <c r="AG275" i="9"/>
  <c r="AG276" i="9"/>
  <c r="AG279" i="9"/>
  <c r="AG281" i="9"/>
  <c r="AG284" i="9"/>
  <c r="AG286" i="9"/>
  <c r="AG287" i="9"/>
  <c r="AG291" i="9"/>
  <c r="AG293" i="9"/>
  <c r="AG312" i="9"/>
  <c r="AE154" i="9"/>
  <c r="AE36" i="9"/>
  <c r="AE83" i="9"/>
  <c r="AE264" i="9"/>
  <c r="AE259" i="9"/>
  <c r="AE301" i="9"/>
  <c r="AE230" i="9"/>
  <c r="AE288" i="9"/>
  <c r="AE316" i="9"/>
  <c r="AE29" i="9"/>
  <c r="AE37" i="9"/>
  <c r="AE90" i="9"/>
  <c r="AE163" i="9"/>
  <c r="AE294" i="9"/>
  <c r="AE190" i="9"/>
  <c r="AE226" i="9"/>
  <c r="AE260" i="9"/>
  <c r="AE23" i="9"/>
  <c r="AE30" i="9"/>
  <c r="AE84" i="9"/>
  <c r="AE173" i="9"/>
  <c r="AE239" i="9"/>
  <c r="AE249" i="9"/>
  <c r="AE271" i="9"/>
  <c r="AE320" i="9"/>
  <c r="AE64" i="9"/>
  <c r="AE68" i="9"/>
  <c r="AE92" i="9"/>
  <c r="AE119" i="9"/>
  <c r="AE149" i="9"/>
  <c r="AE235" i="9"/>
  <c r="AE278" i="9"/>
  <c r="AE32" i="9"/>
  <c r="AE35" i="9"/>
  <c r="AE73" i="9"/>
  <c r="AE79" i="9"/>
  <c r="AE131" i="9"/>
  <c r="AE225" i="9"/>
  <c r="AE242" i="9"/>
  <c r="AE8" i="9"/>
  <c r="AE12" i="9"/>
  <c r="AE16" i="9"/>
  <c r="AE38" i="9"/>
  <c r="AE81" i="9"/>
  <c r="AE82" i="9"/>
  <c r="AE88" i="9"/>
  <c r="AE133" i="9"/>
  <c r="AE137" i="9"/>
  <c r="AE170" i="9"/>
  <c r="AE201" i="9"/>
  <c r="AE202" i="9"/>
  <c r="AE211" i="9"/>
  <c r="AE244" i="9"/>
  <c r="AE261" i="9"/>
  <c r="AE283" i="9"/>
  <c r="AE285" i="9"/>
  <c r="AE128" i="9"/>
  <c r="AE159" i="9"/>
  <c r="AE177" i="9"/>
  <c r="AE240" i="9"/>
  <c r="AE315" i="9"/>
  <c r="AE33" i="9"/>
  <c r="AE49" i="9"/>
  <c r="AE62" i="9"/>
  <c r="AE78" i="9"/>
  <c r="AE166" i="9"/>
  <c r="AE182" i="9"/>
  <c r="AE186" i="9"/>
  <c r="AE236" i="9"/>
  <c r="AE290" i="9"/>
  <c r="AE19" i="9"/>
  <c r="AE147" i="9"/>
  <c r="AE274" i="9"/>
  <c r="AE295" i="9"/>
  <c r="AE297" i="9"/>
  <c r="AE299" i="9"/>
  <c r="AE302" i="9"/>
  <c r="AE303" i="9"/>
  <c r="AE304" i="9"/>
  <c r="AE305" i="9"/>
  <c r="AE307" i="9"/>
  <c r="AE308" i="9"/>
  <c r="AE309" i="9"/>
  <c r="AE310" i="9"/>
  <c r="AE311" i="9"/>
  <c r="AE313" i="9"/>
  <c r="AE314" i="9"/>
  <c r="AE317" i="9"/>
  <c r="AE318" i="9"/>
  <c r="AE247" i="9"/>
  <c r="AE5" i="9"/>
  <c r="AE6" i="9"/>
  <c r="AE7" i="9"/>
  <c r="AE9" i="9"/>
  <c r="AE10" i="9"/>
  <c r="AE11" i="9"/>
  <c r="AE13" i="9"/>
  <c r="AE14" i="9"/>
  <c r="AE15" i="9"/>
  <c r="AE18" i="9"/>
  <c r="AE21" i="9"/>
  <c r="AE22" i="9"/>
  <c r="AE25" i="9"/>
  <c r="AE27" i="9"/>
  <c r="AE28" i="9"/>
  <c r="AE31" i="9"/>
  <c r="AE39" i="9"/>
  <c r="AE41" i="9"/>
  <c r="AE42" i="9"/>
  <c r="AE43" i="9"/>
  <c r="AE44" i="9"/>
  <c r="AE45" i="9"/>
  <c r="AE46" i="9"/>
  <c r="AE47" i="9"/>
  <c r="AE48" i="9"/>
  <c r="AE50" i="9"/>
  <c r="AE51" i="9"/>
  <c r="AE52" i="9"/>
  <c r="AE55" i="9"/>
  <c r="AE58" i="9"/>
  <c r="AE59" i="9"/>
  <c r="AE60" i="9"/>
  <c r="AE61" i="9"/>
  <c r="AE63" i="9"/>
  <c r="AE65" i="9"/>
  <c r="AE67" i="9"/>
  <c r="AE69" i="9"/>
  <c r="AE70" i="9"/>
  <c r="AE71" i="9"/>
  <c r="AE72" i="9"/>
  <c r="AE74" i="9"/>
  <c r="AE75" i="9"/>
  <c r="AE77" i="9"/>
  <c r="AE85" i="9"/>
  <c r="AE86" i="9"/>
  <c r="AE89" i="9"/>
  <c r="AE91" i="9"/>
  <c r="AE93" i="9"/>
  <c r="AE95" i="9"/>
  <c r="AE96" i="9"/>
  <c r="AE97" i="9"/>
  <c r="AE99" i="9"/>
  <c r="AE100" i="9"/>
  <c r="AE101" i="9"/>
  <c r="AE102" i="9"/>
  <c r="AE103" i="9"/>
  <c r="AE104" i="9"/>
  <c r="AE105" i="9"/>
  <c r="AE3" i="9"/>
  <c r="AE106" i="9"/>
  <c r="AE107" i="9"/>
  <c r="AE108" i="9"/>
  <c r="AE110" i="9"/>
  <c r="AE111" i="9"/>
  <c r="AE112" i="9"/>
  <c r="AE113" i="9"/>
  <c r="AE114" i="9"/>
  <c r="AE115" i="9"/>
  <c r="AE116" i="9"/>
  <c r="AE118" i="9"/>
  <c r="AE123" i="9"/>
  <c r="AE125" i="9"/>
  <c r="AE126" i="9"/>
  <c r="AE127" i="9"/>
  <c r="AE129" i="9"/>
  <c r="AE130" i="9"/>
  <c r="AE132" i="9"/>
  <c r="AE138" i="9"/>
  <c r="AE139" i="9"/>
  <c r="AE141" i="9"/>
  <c r="AE142" i="9"/>
  <c r="AE143" i="9"/>
  <c r="AE144" i="9"/>
  <c r="AE145" i="9"/>
  <c r="AE146" i="9"/>
  <c r="AE148" i="9"/>
  <c r="AE150" i="9"/>
  <c r="AE151" i="9"/>
  <c r="AE152" i="9"/>
  <c r="AE153" i="9"/>
  <c r="AE156" i="9"/>
  <c r="AE157" i="9"/>
  <c r="AE158" i="9"/>
  <c r="AE161" i="9"/>
  <c r="AE162" i="9"/>
  <c r="AE164" i="9"/>
  <c r="AE165" i="9"/>
  <c r="AE167" i="9"/>
  <c r="AE169" i="9"/>
  <c r="AE273" i="9"/>
  <c r="AE171" i="9"/>
  <c r="AE172" i="9"/>
  <c r="AE175" i="9"/>
  <c r="AE176" i="9"/>
  <c r="AE178" i="9"/>
  <c r="AE179" i="9"/>
  <c r="AE180" i="9"/>
  <c r="AE181" i="9"/>
  <c r="AE183" i="9"/>
  <c r="AE184" i="9"/>
  <c r="AE188" i="9"/>
  <c r="AE189" i="9"/>
  <c r="AE191" i="9"/>
  <c r="AE192" i="9"/>
  <c r="AE193" i="9"/>
  <c r="AE194" i="9"/>
  <c r="AE195" i="9"/>
  <c r="AE196" i="9"/>
  <c r="AE197" i="9"/>
  <c r="AE198" i="9"/>
  <c r="AE203" i="9"/>
  <c r="AE204" i="9"/>
  <c r="AE205" i="9"/>
  <c r="AE207" i="9"/>
  <c r="AE208" i="9"/>
  <c r="AE209" i="9"/>
  <c r="AE210" i="9"/>
  <c r="AE212" i="9"/>
  <c r="AE216" i="9"/>
  <c r="AE218" i="9"/>
  <c r="AE217" i="9"/>
  <c r="AE219" i="9"/>
  <c r="AE220" i="9"/>
  <c r="AE221" i="9"/>
  <c r="AE223" i="9"/>
  <c r="AE224" i="9"/>
  <c r="AE229" i="9"/>
  <c r="AE231" i="9"/>
  <c r="AE233" i="9"/>
  <c r="AE234" i="9"/>
  <c r="AE237" i="9"/>
  <c r="AE238" i="9"/>
  <c r="AE241" i="9"/>
  <c r="AE243" i="9"/>
  <c r="AE245" i="9"/>
  <c r="AE248" i="9"/>
  <c r="AE250" i="9"/>
  <c r="AE251" i="9"/>
  <c r="AE252" i="9"/>
  <c r="AE255" i="9"/>
  <c r="AE256" i="9"/>
  <c r="AE258" i="9"/>
  <c r="AE262" i="9"/>
  <c r="AE263" i="9"/>
  <c r="AE265" i="9"/>
  <c r="AE266" i="9"/>
  <c r="AE267" i="9"/>
  <c r="AE268" i="9"/>
  <c r="AE269" i="9"/>
  <c r="AE270" i="9"/>
  <c r="AE272" i="9"/>
  <c r="AE275" i="9"/>
  <c r="AE276" i="9"/>
  <c r="AE279" i="9"/>
  <c r="AE281" i="9"/>
  <c r="AE284" i="9"/>
  <c r="AE286" i="9"/>
  <c r="AE287" i="9"/>
  <c r="AE291" i="9"/>
  <c r="AE293" i="9"/>
  <c r="AE312" i="9"/>
  <c r="AD154" i="9"/>
  <c r="AD36" i="9"/>
  <c r="AD83" i="9"/>
  <c r="AD264" i="9"/>
  <c r="AD259" i="9"/>
  <c r="AD301" i="9"/>
  <c r="AD230" i="9"/>
  <c r="AD288" i="9"/>
  <c r="AD316" i="9"/>
  <c r="AD29" i="9"/>
  <c r="AD37" i="9"/>
  <c r="AD90" i="9"/>
  <c r="AD163" i="9"/>
  <c r="AD294" i="9"/>
  <c r="AD190" i="9"/>
  <c r="AD226" i="9"/>
  <c r="AD260" i="9"/>
  <c r="AD23" i="9"/>
  <c r="AD30" i="9"/>
  <c r="AD84" i="9"/>
  <c r="AD173" i="9"/>
  <c r="AD239" i="9"/>
  <c r="AD249" i="9"/>
  <c r="AD271" i="9"/>
  <c r="AD320" i="9"/>
  <c r="AD64" i="9"/>
  <c r="AD68" i="9"/>
  <c r="AD92" i="9"/>
  <c r="AD119" i="9"/>
  <c r="AD149" i="9"/>
  <c r="AD235" i="9"/>
  <c r="AD278" i="9"/>
  <c r="AD32" i="9"/>
  <c r="AD35" i="9"/>
  <c r="AD73" i="9"/>
  <c r="AD79" i="9"/>
  <c r="AD131" i="9"/>
  <c r="AD225" i="9"/>
  <c r="AD242" i="9"/>
  <c r="AD8" i="9"/>
  <c r="AD12" i="9"/>
  <c r="AD16" i="9"/>
  <c r="AD38" i="9"/>
  <c r="AD81" i="9"/>
  <c r="AD82" i="9"/>
  <c r="AD88" i="9"/>
  <c r="AD133" i="9"/>
  <c r="AD137" i="9"/>
  <c r="AD170" i="9"/>
  <c r="AD201" i="9"/>
  <c r="AD202" i="9"/>
  <c r="AD211" i="9"/>
  <c r="AD244" i="9"/>
  <c r="AD261" i="9"/>
  <c r="AD283" i="9"/>
  <c r="AD285" i="9"/>
  <c r="AD128" i="9"/>
  <c r="AD159" i="9"/>
  <c r="AD177" i="9"/>
  <c r="AD240" i="9"/>
  <c r="AD315" i="9"/>
  <c r="AD33" i="9"/>
  <c r="AD49" i="9"/>
  <c r="AD62" i="9"/>
  <c r="AD78" i="9"/>
  <c r="AD166" i="9"/>
  <c r="AD182" i="9"/>
  <c r="AD186" i="9"/>
  <c r="AD236" i="9"/>
  <c r="AD290" i="9"/>
  <c r="AD19" i="9"/>
  <c r="AD147" i="9"/>
  <c r="AD274" i="9"/>
  <c r="AD295" i="9"/>
  <c r="AD297" i="9"/>
  <c r="AD299" i="9"/>
  <c r="AD302" i="9"/>
  <c r="AD303" i="9"/>
  <c r="AD304" i="9"/>
  <c r="AD305" i="9"/>
  <c r="AD307" i="9"/>
  <c r="AD308" i="9"/>
  <c r="AD309" i="9"/>
  <c r="AD310" i="9"/>
  <c r="AD311" i="9"/>
  <c r="AD313" i="9"/>
  <c r="AD314" i="9"/>
  <c r="AD317" i="9"/>
  <c r="AD318" i="9"/>
  <c r="AD247" i="9"/>
  <c r="AD5" i="9"/>
  <c r="AD6" i="9"/>
  <c r="AD7" i="9"/>
  <c r="AD9" i="9"/>
  <c r="AD10" i="9"/>
  <c r="AD11" i="9"/>
  <c r="AD13" i="9"/>
  <c r="AD14" i="9"/>
  <c r="AD15" i="9"/>
  <c r="AD18" i="9"/>
  <c r="AD21" i="9"/>
  <c r="AD22" i="9"/>
  <c r="AD25" i="9"/>
  <c r="AD27" i="9"/>
  <c r="AD28" i="9"/>
  <c r="AD31" i="9"/>
  <c r="AD39" i="9"/>
  <c r="AD41" i="9"/>
  <c r="AD42" i="9"/>
  <c r="AD43" i="9"/>
  <c r="AD44" i="9"/>
  <c r="AD45" i="9"/>
  <c r="AD46" i="9"/>
  <c r="AD47" i="9"/>
  <c r="AD48" i="9"/>
  <c r="AD50" i="9"/>
  <c r="AD51" i="9"/>
  <c r="AD52" i="9"/>
  <c r="AD55" i="9"/>
  <c r="AD58" i="9"/>
  <c r="AD59" i="9"/>
  <c r="AD60" i="9"/>
  <c r="AD61" i="9"/>
  <c r="AD63" i="9"/>
  <c r="AD65" i="9"/>
  <c r="AD67" i="9"/>
  <c r="AD69" i="9"/>
  <c r="AD70" i="9"/>
  <c r="AD71" i="9"/>
  <c r="AD72" i="9"/>
  <c r="AD74" i="9"/>
  <c r="AD75" i="9"/>
  <c r="AD77" i="9"/>
  <c r="AD85" i="9"/>
  <c r="AD86" i="9"/>
  <c r="AD89" i="9"/>
  <c r="AD91" i="9"/>
  <c r="AD93" i="9"/>
  <c r="AD95" i="9"/>
  <c r="AD96" i="9"/>
  <c r="AD97" i="9"/>
  <c r="AD99" i="9"/>
  <c r="AD100" i="9"/>
  <c r="AD101" i="9"/>
  <c r="AD102" i="9"/>
  <c r="AD103" i="9"/>
  <c r="AD104" i="9"/>
  <c r="AD105" i="9"/>
  <c r="AD3" i="9"/>
  <c r="AD106" i="9"/>
  <c r="AD107" i="9"/>
  <c r="AD108" i="9"/>
  <c r="AD110" i="9"/>
  <c r="AD111" i="9"/>
  <c r="AD112" i="9"/>
  <c r="AD113" i="9"/>
  <c r="AD114" i="9"/>
  <c r="AD115" i="9"/>
  <c r="AD116" i="9"/>
  <c r="AD118" i="9"/>
  <c r="AD123" i="9"/>
  <c r="AD125" i="9"/>
  <c r="AD126" i="9"/>
  <c r="AD127" i="9"/>
  <c r="AD129" i="9"/>
  <c r="AD130" i="9"/>
  <c r="AD132" i="9"/>
  <c r="AD138" i="9"/>
  <c r="AD139" i="9"/>
  <c r="AD141" i="9"/>
  <c r="AD142" i="9"/>
  <c r="AD143" i="9"/>
  <c r="AD144" i="9"/>
  <c r="AD145" i="9"/>
  <c r="AD146" i="9"/>
  <c r="AD148" i="9"/>
  <c r="AD150" i="9"/>
  <c r="AD151" i="9"/>
  <c r="AD152" i="9"/>
  <c r="AD153" i="9"/>
  <c r="AD156" i="9"/>
  <c r="AD157" i="9"/>
  <c r="AD158" i="9"/>
  <c r="AD161" i="9"/>
  <c r="AD162" i="9"/>
  <c r="AD164" i="9"/>
  <c r="AD165" i="9"/>
  <c r="AD167" i="9"/>
  <c r="AD169" i="9"/>
  <c r="AD273" i="9"/>
  <c r="AD171" i="9"/>
  <c r="AD172" i="9"/>
  <c r="AD175" i="9"/>
  <c r="AD176" i="9"/>
  <c r="AD178" i="9"/>
  <c r="AD179" i="9"/>
  <c r="AD180" i="9"/>
  <c r="AD181" i="9"/>
  <c r="AD183" i="9"/>
  <c r="AD184" i="9"/>
  <c r="AD188" i="9"/>
  <c r="AD189" i="9"/>
  <c r="AD191" i="9"/>
  <c r="AD192" i="9"/>
  <c r="AD193" i="9"/>
  <c r="AD194" i="9"/>
  <c r="AD195" i="9"/>
  <c r="AD196" i="9"/>
  <c r="AD197" i="9"/>
  <c r="AD198" i="9"/>
  <c r="AD203" i="9"/>
  <c r="AD204" i="9"/>
  <c r="AD205" i="9"/>
  <c r="AD207" i="9"/>
  <c r="AD208" i="9"/>
  <c r="AD209" i="9"/>
  <c r="AD210" i="9"/>
  <c r="AD212" i="9"/>
  <c r="AD216" i="9"/>
  <c r="AD218" i="9"/>
  <c r="AD217" i="9"/>
  <c r="AD219" i="9"/>
  <c r="AD220" i="9"/>
  <c r="AD221" i="9"/>
  <c r="AD223" i="9"/>
  <c r="AD224" i="9"/>
  <c r="AD229" i="9"/>
  <c r="AD231" i="9"/>
  <c r="AD233" i="9"/>
  <c r="AD234" i="9"/>
  <c r="AD237" i="9"/>
  <c r="AD238" i="9"/>
  <c r="AD241" i="9"/>
  <c r="AD243" i="9"/>
  <c r="AD245" i="9"/>
  <c r="AD248" i="9"/>
  <c r="AD250" i="9"/>
  <c r="AD251" i="9"/>
  <c r="AD252" i="9"/>
  <c r="AD255" i="9"/>
  <c r="AD256" i="9"/>
  <c r="AD258" i="9"/>
  <c r="AD262" i="9"/>
  <c r="AD263" i="9"/>
  <c r="AD265" i="9"/>
  <c r="AD266" i="9"/>
  <c r="AD267" i="9"/>
  <c r="AD268" i="9"/>
  <c r="AD269" i="9"/>
  <c r="AD270" i="9"/>
  <c r="AD272" i="9"/>
  <c r="AD275" i="9"/>
  <c r="AD276" i="9"/>
  <c r="AD279" i="9"/>
  <c r="AD281" i="9"/>
  <c r="AD284" i="9"/>
  <c r="AD286" i="9"/>
  <c r="AD287" i="9"/>
  <c r="AD291" i="9"/>
  <c r="AD293" i="9"/>
  <c r="AD312" i="9"/>
  <c r="AC154" i="9"/>
  <c r="AC36" i="9"/>
  <c r="AC83" i="9"/>
  <c r="AC264" i="9"/>
  <c r="AC259" i="9"/>
  <c r="AC301" i="9"/>
  <c r="AC230" i="9"/>
  <c r="AC288" i="9"/>
  <c r="AC316" i="9"/>
  <c r="AC29" i="9"/>
  <c r="AC37" i="9"/>
  <c r="AC90" i="9"/>
  <c r="AC163" i="9"/>
  <c r="AC294" i="9"/>
  <c r="AC190" i="9"/>
  <c r="AC226" i="9"/>
  <c r="AC260" i="9"/>
  <c r="AC23" i="9"/>
  <c r="AC30" i="9"/>
  <c r="AC84" i="9"/>
  <c r="AC173" i="9"/>
  <c r="AC239" i="9"/>
  <c r="AC249" i="9"/>
  <c r="AC271" i="9"/>
  <c r="AC320" i="9"/>
  <c r="AC64" i="9"/>
  <c r="AC68" i="9"/>
  <c r="AC92" i="9"/>
  <c r="AC119" i="9"/>
  <c r="AC149" i="9"/>
  <c r="AC235" i="9"/>
  <c r="AC278" i="9"/>
  <c r="AC32" i="9"/>
  <c r="AC35" i="9"/>
  <c r="AC73" i="9"/>
  <c r="AC79" i="9"/>
  <c r="AC131" i="9"/>
  <c r="AC225" i="9"/>
  <c r="AC242" i="9"/>
  <c r="AC8" i="9"/>
  <c r="AC12" i="9"/>
  <c r="AC16" i="9"/>
  <c r="AC38" i="9"/>
  <c r="AC81" i="9"/>
  <c r="AC82" i="9"/>
  <c r="AC88" i="9"/>
  <c r="AC133" i="9"/>
  <c r="AC137" i="9"/>
  <c r="AC170" i="9"/>
  <c r="AC201" i="9"/>
  <c r="AC202" i="9"/>
  <c r="AC211" i="9"/>
  <c r="AC244" i="9"/>
  <c r="AC261" i="9"/>
  <c r="AC283" i="9"/>
  <c r="AC285" i="9"/>
  <c r="AC128" i="9"/>
  <c r="AC159" i="9"/>
  <c r="AC177" i="9"/>
  <c r="AC240" i="9"/>
  <c r="AC315" i="9"/>
  <c r="AC33" i="9"/>
  <c r="AC49" i="9"/>
  <c r="AC62" i="9"/>
  <c r="AC78" i="9"/>
  <c r="AC166" i="9"/>
  <c r="AC182" i="9"/>
  <c r="AC186" i="9"/>
  <c r="AC236" i="9"/>
  <c r="AC290" i="9"/>
  <c r="AC19" i="9"/>
  <c r="AC147" i="9"/>
  <c r="AC274" i="9"/>
  <c r="AC295" i="9"/>
  <c r="AC297" i="9"/>
  <c r="AC299" i="9"/>
  <c r="AC302" i="9"/>
  <c r="AC303" i="9"/>
  <c r="AC304" i="9"/>
  <c r="AC305" i="9"/>
  <c r="AC307" i="9"/>
  <c r="AC308" i="9"/>
  <c r="AC309" i="9"/>
  <c r="AC310" i="9"/>
  <c r="AC311" i="9"/>
  <c r="AC313" i="9"/>
  <c r="AC314" i="9"/>
  <c r="AC317" i="9"/>
  <c r="AC318" i="9"/>
  <c r="AC247" i="9"/>
  <c r="AC5" i="9"/>
  <c r="AC6" i="9"/>
  <c r="AC7" i="9"/>
  <c r="AC9" i="9"/>
  <c r="AC10" i="9"/>
  <c r="AC11" i="9"/>
  <c r="AC13" i="9"/>
  <c r="AC14" i="9"/>
  <c r="AC15" i="9"/>
  <c r="AC18" i="9"/>
  <c r="AC21" i="9"/>
  <c r="AC22" i="9"/>
  <c r="AC25" i="9"/>
  <c r="AC27" i="9"/>
  <c r="AC28" i="9"/>
  <c r="AC31" i="9"/>
  <c r="AC39" i="9"/>
  <c r="AC41" i="9"/>
  <c r="AC42" i="9"/>
  <c r="AC43" i="9"/>
  <c r="AC44" i="9"/>
  <c r="AC45" i="9"/>
  <c r="AC46" i="9"/>
  <c r="AC47" i="9"/>
  <c r="AC48" i="9"/>
  <c r="AC50" i="9"/>
  <c r="AC51" i="9"/>
  <c r="AC52" i="9"/>
  <c r="AC55" i="9"/>
  <c r="AC58" i="9"/>
  <c r="AC59" i="9"/>
  <c r="AC60" i="9"/>
  <c r="AC61" i="9"/>
  <c r="AC63" i="9"/>
  <c r="AC65" i="9"/>
  <c r="AC67" i="9"/>
  <c r="AC69" i="9"/>
  <c r="AC70" i="9"/>
  <c r="AC71" i="9"/>
  <c r="AC72" i="9"/>
  <c r="AC74" i="9"/>
  <c r="AC75" i="9"/>
  <c r="AC77" i="9"/>
  <c r="AC85" i="9"/>
  <c r="AC86" i="9"/>
  <c r="AC89" i="9"/>
  <c r="AC91" i="9"/>
  <c r="AC93" i="9"/>
  <c r="AC95" i="9"/>
  <c r="AC96" i="9"/>
  <c r="AC97" i="9"/>
  <c r="AC99" i="9"/>
  <c r="AC100" i="9"/>
  <c r="AC101" i="9"/>
  <c r="AC102" i="9"/>
  <c r="AC103" i="9"/>
  <c r="AC104" i="9"/>
  <c r="AC105" i="9"/>
  <c r="AC3" i="9"/>
  <c r="AC106" i="9"/>
  <c r="AC107" i="9"/>
  <c r="AC108" i="9"/>
  <c r="AC110" i="9"/>
  <c r="AC111" i="9"/>
  <c r="AC112" i="9"/>
  <c r="AC113" i="9"/>
  <c r="AC114" i="9"/>
  <c r="AC115" i="9"/>
  <c r="AC116" i="9"/>
  <c r="AC118" i="9"/>
  <c r="AC123" i="9"/>
  <c r="AC125" i="9"/>
  <c r="AC126" i="9"/>
  <c r="AC127" i="9"/>
  <c r="AC129" i="9"/>
  <c r="AC130" i="9"/>
  <c r="AC132" i="9"/>
  <c r="AC138" i="9"/>
  <c r="AC139" i="9"/>
  <c r="AC141" i="9"/>
  <c r="AC142" i="9"/>
  <c r="AC143" i="9"/>
  <c r="AC144" i="9"/>
  <c r="AC145" i="9"/>
  <c r="AC146" i="9"/>
  <c r="AC148" i="9"/>
  <c r="AC150" i="9"/>
  <c r="AC151" i="9"/>
  <c r="AC152" i="9"/>
  <c r="AC153" i="9"/>
  <c r="AC156" i="9"/>
  <c r="AC157" i="9"/>
  <c r="AC158" i="9"/>
  <c r="AC161" i="9"/>
  <c r="AC162" i="9"/>
  <c r="AC164" i="9"/>
  <c r="AC165" i="9"/>
  <c r="AC167" i="9"/>
  <c r="AC169" i="9"/>
  <c r="AC273" i="9"/>
  <c r="AC171" i="9"/>
  <c r="AC172" i="9"/>
  <c r="AC175" i="9"/>
  <c r="AC176" i="9"/>
  <c r="AC178" i="9"/>
  <c r="AC179" i="9"/>
  <c r="AC180" i="9"/>
  <c r="AC181" i="9"/>
  <c r="AC183" i="9"/>
  <c r="AC184" i="9"/>
  <c r="AC188" i="9"/>
  <c r="AC189" i="9"/>
  <c r="AC191" i="9"/>
  <c r="AC192" i="9"/>
  <c r="AC193" i="9"/>
  <c r="AC194" i="9"/>
  <c r="AC195" i="9"/>
  <c r="AC196" i="9"/>
  <c r="AC197" i="9"/>
  <c r="AC198" i="9"/>
  <c r="AC203" i="9"/>
  <c r="AC204" i="9"/>
  <c r="AC205" i="9"/>
  <c r="AC207" i="9"/>
  <c r="AC208" i="9"/>
  <c r="AC209" i="9"/>
  <c r="AC210" i="9"/>
  <c r="AC212" i="9"/>
  <c r="AC216" i="9"/>
  <c r="AC218" i="9"/>
  <c r="AC217" i="9"/>
  <c r="AC219" i="9"/>
  <c r="AC220" i="9"/>
  <c r="AC221" i="9"/>
  <c r="AC223" i="9"/>
  <c r="AC224" i="9"/>
  <c r="AC229" i="9"/>
  <c r="AC231" i="9"/>
  <c r="AC233" i="9"/>
  <c r="AC234" i="9"/>
  <c r="AC237" i="9"/>
  <c r="AC238" i="9"/>
  <c r="AC241" i="9"/>
  <c r="AC243" i="9"/>
  <c r="AC245" i="9"/>
  <c r="AC248" i="9"/>
  <c r="AC250" i="9"/>
  <c r="AC251" i="9"/>
  <c r="AC252" i="9"/>
  <c r="AC255" i="9"/>
  <c r="AC256" i="9"/>
  <c r="AC258" i="9"/>
  <c r="AC262" i="9"/>
  <c r="AC263" i="9"/>
  <c r="AC265" i="9"/>
  <c r="AC266" i="9"/>
  <c r="AC267" i="9"/>
  <c r="AC268" i="9"/>
  <c r="AC269" i="9"/>
  <c r="AC270" i="9"/>
  <c r="AC272" i="9"/>
  <c r="AC275" i="9"/>
  <c r="AC276" i="9"/>
  <c r="AC279" i="9"/>
  <c r="AC281" i="9"/>
  <c r="AC284" i="9"/>
  <c r="AC286" i="9"/>
  <c r="AC287" i="9"/>
  <c r="AC291" i="9"/>
  <c r="AC293" i="9"/>
  <c r="AC312" i="9"/>
  <c r="AB154" i="9"/>
  <c r="AB36" i="9"/>
  <c r="AB83" i="9"/>
  <c r="AB264" i="9"/>
  <c r="AB259" i="9"/>
  <c r="AB301" i="9"/>
  <c r="AB230" i="9"/>
  <c r="AB288" i="9"/>
  <c r="AB316" i="9"/>
  <c r="AB29" i="9"/>
  <c r="AB37" i="9"/>
  <c r="AB90" i="9"/>
  <c r="AB163" i="9"/>
  <c r="AB294" i="9"/>
  <c r="AB190" i="9"/>
  <c r="AB226" i="9"/>
  <c r="AB260" i="9"/>
  <c r="AB23" i="9"/>
  <c r="AB30" i="9"/>
  <c r="AB84" i="9"/>
  <c r="AB173" i="9"/>
  <c r="AB239" i="9"/>
  <c r="AB249" i="9"/>
  <c r="AB271" i="9"/>
  <c r="AB320" i="9"/>
  <c r="AB64" i="9"/>
  <c r="AB68" i="9"/>
  <c r="AB92" i="9"/>
  <c r="AB119" i="9"/>
  <c r="AB149" i="9"/>
  <c r="AB235" i="9"/>
  <c r="AB278" i="9"/>
  <c r="AB32" i="9"/>
  <c r="AB35" i="9"/>
  <c r="AB73" i="9"/>
  <c r="AB79" i="9"/>
  <c r="AB131" i="9"/>
  <c r="AB225" i="9"/>
  <c r="AB242" i="9"/>
  <c r="AB8" i="9"/>
  <c r="AB12" i="9"/>
  <c r="AB16" i="9"/>
  <c r="AB38" i="9"/>
  <c r="AB81" i="9"/>
  <c r="AB82" i="9"/>
  <c r="AB88" i="9"/>
  <c r="AB133" i="9"/>
  <c r="AB137" i="9"/>
  <c r="AB170" i="9"/>
  <c r="AB201" i="9"/>
  <c r="AB202" i="9"/>
  <c r="AB211" i="9"/>
  <c r="AB244" i="9"/>
  <c r="AB261" i="9"/>
  <c r="AB283" i="9"/>
  <c r="AB285" i="9"/>
  <c r="AB128" i="9"/>
  <c r="AB159" i="9"/>
  <c r="AB177" i="9"/>
  <c r="AB240" i="9"/>
  <c r="AB315" i="9"/>
  <c r="AB33" i="9"/>
  <c r="AB49" i="9"/>
  <c r="AB62" i="9"/>
  <c r="AB78" i="9"/>
  <c r="AB166" i="9"/>
  <c r="AB182" i="9"/>
  <c r="AB186" i="9"/>
  <c r="AB236" i="9"/>
  <c r="AB290" i="9"/>
  <c r="AB19" i="9"/>
  <c r="AB147" i="9"/>
  <c r="AB274" i="9"/>
  <c r="AB295" i="9"/>
  <c r="AB297" i="9"/>
  <c r="AB299" i="9"/>
  <c r="AB302" i="9"/>
  <c r="AB303" i="9"/>
  <c r="AB304" i="9"/>
  <c r="AB305" i="9"/>
  <c r="AB307" i="9"/>
  <c r="AB308" i="9"/>
  <c r="AB309" i="9"/>
  <c r="AB310" i="9"/>
  <c r="AB311" i="9"/>
  <c r="AB313" i="9"/>
  <c r="AB314" i="9"/>
  <c r="AB317" i="9"/>
  <c r="AB318" i="9"/>
  <c r="AB247" i="9"/>
  <c r="AB5" i="9"/>
  <c r="AB6" i="9"/>
  <c r="AB7" i="9"/>
  <c r="AB9" i="9"/>
  <c r="AB10" i="9"/>
  <c r="AB11" i="9"/>
  <c r="AB13" i="9"/>
  <c r="AB14" i="9"/>
  <c r="AB15" i="9"/>
  <c r="AB18" i="9"/>
  <c r="AB21" i="9"/>
  <c r="AB22" i="9"/>
  <c r="AB25" i="9"/>
  <c r="AB27" i="9"/>
  <c r="AB28" i="9"/>
  <c r="AB31" i="9"/>
  <c r="AB39" i="9"/>
  <c r="AB41" i="9"/>
  <c r="AB42" i="9"/>
  <c r="AB43" i="9"/>
  <c r="AB44" i="9"/>
  <c r="AB45" i="9"/>
  <c r="AB46" i="9"/>
  <c r="AB47" i="9"/>
  <c r="AB48" i="9"/>
  <c r="AB50" i="9"/>
  <c r="AB51" i="9"/>
  <c r="AB52" i="9"/>
  <c r="AB55" i="9"/>
  <c r="AB58" i="9"/>
  <c r="AB59" i="9"/>
  <c r="AB60" i="9"/>
  <c r="AB61" i="9"/>
  <c r="AB63" i="9"/>
  <c r="AB65" i="9"/>
  <c r="AB67" i="9"/>
  <c r="AB69" i="9"/>
  <c r="AB70" i="9"/>
  <c r="AB71" i="9"/>
  <c r="AB72" i="9"/>
  <c r="AB74" i="9"/>
  <c r="AB75" i="9"/>
  <c r="AB77" i="9"/>
  <c r="AB85" i="9"/>
  <c r="AB86" i="9"/>
  <c r="AB89" i="9"/>
  <c r="AB91" i="9"/>
  <c r="AB93" i="9"/>
  <c r="AB95" i="9"/>
  <c r="AB96" i="9"/>
  <c r="AB97" i="9"/>
  <c r="AB99" i="9"/>
  <c r="AB100" i="9"/>
  <c r="AB101" i="9"/>
  <c r="AB102" i="9"/>
  <c r="AB103" i="9"/>
  <c r="AB104" i="9"/>
  <c r="AB105" i="9"/>
  <c r="AB3" i="9"/>
  <c r="AB106" i="9"/>
  <c r="AB107" i="9"/>
  <c r="AB108" i="9"/>
  <c r="AB110" i="9"/>
  <c r="AB111" i="9"/>
  <c r="AB112" i="9"/>
  <c r="AB113" i="9"/>
  <c r="AB114" i="9"/>
  <c r="AB115" i="9"/>
  <c r="AB116" i="9"/>
  <c r="AB118" i="9"/>
  <c r="AB123" i="9"/>
  <c r="AB125" i="9"/>
  <c r="AB126" i="9"/>
  <c r="AB127" i="9"/>
  <c r="AB129" i="9"/>
  <c r="AB130" i="9"/>
  <c r="AB132" i="9"/>
  <c r="AB138" i="9"/>
  <c r="AB139" i="9"/>
  <c r="AB141" i="9"/>
  <c r="AB142" i="9"/>
  <c r="AB143" i="9"/>
  <c r="AB144" i="9"/>
  <c r="AB145" i="9"/>
  <c r="AB146" i="9"/>
  <c r="AB148" i="9"/>
  <c r="AB150" i="9"/>
  <c r="AB151" i="9"/>
  <c r="AB152" i="9"/>
  <c r="AB153" i="9"/>
  <c r="AB156" i="9"/>
  <c r="AB157" i="9"/>
  <c r="AB158" i="9"/>
  <c r="AB161" i="9"/>
  <c r="AB162" i="9"/>
  <c r="AB164" i="9"/>
  <c r="AB165" i="9"/>
  <c r="AB167" i="9"/>
  <c r="AB169" i="9"/>
  <c r="AB273" i="9"/>
  <c r="AB171" i="9"/>
  <c r="AB172" i="9"/>
  <c r="AB175" i="9"/>
  <c r="AB176" i="9"/>
  <c r="AB178" i="9"/>
  <c r="AB179" i="9"/>
  <c r="AB180" i="9"/>
  <c r="AB181" i="9"/>
  <c r="AB183" i="9"/>
  <c r="AB184" i="9"/>
  <c r="AB188" i="9"/>
  <c r="AB189" i="9"/>
  <c r="AB191" i="9"/>
  <c r="AB192" i="9"/>
  <c r="AB193" i="9"/>
  <c r="AB194" i="9"/>
  <c r="AB195" i="9"/>
  <c r="AB196" i="9"/>
  <c r="AB197" i="9"/>
  <c r="AB198" i="9"/>
  <c r="AB203" i="9"/>
  <c r="AB204" i="9"/>
  <c r="AB205" i="9"/>
  <c r="AB207" i="9"/>
  <c r="AB208" i="9"/>
  <c r="AB209" i="9"/>
  <c r="AB210" i="9"/>
  <c r="AB212" i="9"/>
  <c r="AB216" i="9"/>
  <c r="AB218" i="9"/>
  <c r="AB217" i="9"/>
  <c r="AB219" i="9"/>
  <c r="AB220" i="9"/>
  <c r="AB221" i="9"/>
  <c r="AB223" i="9"/>
  <c r="AB224" i="9"/>
  <c r="AB229" i="9"/>
  <c r="AB231" i="9"/>
  <c r="AB233" i="9"/>
  <c r="AB234" i="9"/>
  <c r="AB237" i="9"/>
  <c r="AB238" i="9"/>
  <c r="AB241" i="9"/>
  <c r="AB243" i="9"/>
  <c r="AB245" i="9"/>
  <c r="AB248" i="9"/>
  <c r="AB250" i="9"/>
  <c r="AB251" i="9"/>
  <c r="AB252" i="9"/>
  <c r="AB255" i="9"/>
  <c r="AB256" i="9"/>
  <c r="AB258" i="9"/>
  <c r="AB262" i="9"/>
  <c r="AB263" i="9"/>
  <c r="AB265" i="9"/>
  <c r="AB266" i="9"/>
  <c r="AB267" i="9"/>
  <c r="AB268" i="9"/>
  <c r="AB269" i="9"/>
  <c r="AB270" i="9"/>
  <c r="AB272" i="9"/>
  <c r="AB275" i="9"/>
  <c r="AB276" i="9"/>
  <c r="AB279" i="9"/>
  <c r="AB281" i="9"/>
  <c r="AB284" i="9"/>
  <c r="AB286" i="9"/>
  <c r="AB287" i="9"/>
  <c r="AB291" i="9"/>
  <c r="AB293" i="9"/>
  <c r="AB312" i="9"/>
  <c r="AA154" i="9"/>
  <c r="AA36" i="9"/>
  <c r="AA83" i="9"/>
  <c r="AA264" i="9"/>
  <c r="AA259" i="9"/>
  <c r="AA301" i="9"/>
  <c r="AA230" i="9"/>
  <c r="AA288" i="9"/>
  <c r="AA316" i="9"/>
  <c r="AA29" i="9"/>
  <c r="AA37" i="9"/>
  <c r="AA90" i="9"/>
  <c r="AA163" i="9"/>
  <c r="AA294" i="9"/>
  <c r="AA190" i="9"/>
  <c r="AA226" i="9"/>
  <c r="AA260" i="9"/>
  <c r="AA23" i="9"/>
  <c r="AA30" i="9"/>
  <c r="AA84" i="9"/>
  <c r="AA173" i="9"/>
  <c r="AA239" i="9"/>
  <c r="AA249" i="9"/>
  <c r="AA271" i="9"/>
  <c r="AA320" i="9"/>
  <c r="AA64" i="9"/>
  <c r="AA68" i="9"/>
  <c r="AA92" i="9"/>
  <c r="AA119" i="9"/>
  <c r="AA149" i="9"/>
  <c r="AA235" i="9"/>
  <c r="AA278" i="9"/>
  <c r="AA32" i="9"/>
  <c r="AA35" i="9"/>
  <c r="AA73" i="9"/>
  <c r="AA79" i="9"/>
  <c r="AA131" i="9"/>
  <c r="AA225" i="9"/>
  <c r="AA242" i="9"/>
  <c r="AA8" i="9"/>
  <c r="AA12" i="9"/>
  <c r="AA16" i="9"/>
  <c r="AA38" i="9"/>
  <c r="AA81" i="9"/>
  <c r="AA82" i="9"/>
  <c r="AA88" i="9"/>
  <c r="AA133" i="9"/>
  <c r="AA137" i="9"/>
  <c r="AA170" i="9"/>
  <c r="AA201" i="9"/>
  <c r="AA202" i="9"/>
  <c r="AA211" i="9"/>
  <c r="AA244" i="9"/>
  <c r="AA261" i="9"/>
  <c r="AA283" i="9"/>
  <c r="AA285" i="9"/>
  <c r="AA128" i="9"/>
  <c r="AA159" i="9"/>
  <c r="AA177" i="9"/>
  <c r="AA240" i="9"/>
  <c r="AA315" i="9"/>
  <c r="AA33" i="9"/>
  <c r="AA49" i="9"/>
  <c r="AA62" i="9"/>
  <c r="AA78" i="9"/>
  <c r="AA166" i="9"/>
  <c r="AA182" i="9"/>
  <c r="AA186" i="9"/>
  <c r="AA236" i="9"/>
  <c r="AA290" i="9"/>
  <c r="AA19" i="9"/>
  <c r="AA147" i="9"/>
  <c r="AA274" i="9"/>
  <c r="AA295" i="9"/>
  <c r="AA297" i="9"/>
  <c r="AA299" i="9"/>
  <c r="AA302" i="9"/>
  <c r="AA303" i="9"/>
  <c r="AA304" i="9"/>
  <c r="AA305" i="9"/>
  <c r="AA307" i="9"/>
  <c r="AA308" i="9"/>
  <c r="AA309" i="9"/>
  <c r="AA310" i="9"/>
  <c r="AA311" i="9"/>
  <c r="AA313" i="9"/>
  <c r="AA314" i="9"/>
  <c r="AA317" i="9"/>
  <c r="AA318" i="9"/>
  <c r="AA247" i="9"/>
  <c r="AA5" i="9"/>
  <c r="AA6" i="9"/>
  <c r="AA7" i="9"/>
  <c r="AA9" i="9"/>
  <c r="AA10" i="9"/>
  <c r="AA11" i="9"/>
  <c r="AA13" i="9"/>
  <c r="AA14" i="9"/>
  <c r="AA15" i="9"/>
  <c r="AA18" i="9"/>
  <c r="AA21" i="9"/>
  <c r="AA22" i="9"/>
  <c r="AA25" i="9"/>
  <c r="AA27" i="9"/>
  <c r="AA28" i="9"/>
  <c r="AA31" i="9"/>
  <c r="AA39" i="9"/>
  <c r="AA41" i="9"/>
  <c r="AA42" i="9"/>
  <c r="AA43" i="9"/>
  <c r="AA44" i="9"/>
  <c r="AA45" i="9"/>
  <c r="AA46" i="9"/>
  <c r="AA47" i="9"/>
  <c r="AA48" i="9"/>
  <c r="AA50" i="9"/>
  <c r="AA51" i="9"/>
  <c r="AA52" i="9"/>
  <c r="AA55" i="9"/>
  <c r="AA58" i="9"/>
  <c r="AA59" i="9"/>
  <c r="AA60" i="9"/>
  <c r="AA61" i="9"/>
  <c r="AA63" i="9"/>
  <c r="AA65" i="9"/>
  <c r="AA67" i="9"/>
  <c r="AA69" i="9"/>
  <c r="AA70" i="9"/>
  <c r="AA71" i="9"/>
  <c r="AA72" i="9"/>
  <c r="AA74" i="9"/>
  <c r="AA75" i="9"/>
  <c r="AA77" i="9"/>
  <c r="AA85" i="9"/>
  <c r="AA86" i="9"/>
  <c r="AA89" i="9"/>
  <c r="AA91" i="9"/>
  <c r="AA93" i="9"/>
  <c r="AA95" i="9"/>
  <c r="AA96" i="9"/>
  <c r="AA97" i="9"/>
  <c r="AA99" i="9"/>
  <c r="AA100" i="9"/>
  <c r="AA101" i="9"/>
  <c r="AA102" i="9"/>
  <c r="AA103" i="9"/>
  <c r="AA104" i="9"/>
  <c r="AA105" i="9"/>
  <c r="AA3" i="9"/>
  <c r="AA106" i="9"/>
  <c r="AA107" i="9"/>
  <c r="AA108" i="9"/>
  <c r="AA110" i="9"/>
  <c r="AA111" i="9"/>
  <c r="AA112" i="9"/>
  <c r="AA113" i="9"/>
  <c r="AA114" i="9"/>
  <c r="AA115" i="9"/>
  <c r="AA116" i="9"/>
  <c r="AA118" i="9"/>
  <c r="AA123" i="9"/>
  <c r="AA125" i="9"/>
  <c r="AA126" i="9"/>
  <c r="AA127" i="9"/>
  <c r="AA129" i="9"/>
  <c r="AA130" i="9"/>
  <c r="AA132" i="9"/>
  <c r="AA138" i="9"/>
  <c r="AA139" i="9"/>
  <c r="AA141" i="9"/>
  <c r="AA142" i="9"/>
  <c r="AA143" i="9"/>
  <c r="AA144" i="9"/>
  <c r="AA145" i="9"/>
  <c r="AA146" i="9"/>
  <c r="AA148" i="9"/>
  <c r="AA150" i="9"/>
  <c r="AA151" i="9"/>
  <c r="AA152" i="9"/>
  <c r="AA153" i="9"/>
  <c r="AA156" i="9"/>
  <c r="AA157" i="9"/>
  <c r="AA158" i="9"/>
  <c r="AA161" i="9"/>
  <c r="AA162" i="9"/>
  <c r="AA164" i="9"/>
  <c r="AA165" i="9"/>
  <c r="AA167" i="9"/>
  <c r="AA169" i="9"/>
  <c r="AA273" i="9"/>
  <c r="AA171" i="9"/>
  <c r="AA172" i="9"/>
  <c r="AA175" i="9"/>
  <c r="AA176" i="9"/>
  <c r="AA178" i="9"/>
  <c r="AA179" i="9"/>
  <c r="AA180" i="9"/>
  <c r="AA181" i="9"/>
  <c r="AA183" i="9"/>
  <c r="AA184" i="9"/>
  <c r="AA188" i="9"/>
  <c r="AA189" i="9"/>
  <c r="AA191" i="9"/>
  <c r="AA192" i="9"/>
  <c r="AA193" i="9"/>
  <c r="AA194" i="9"/>
  <c r="AA195" i="9"/>
  <c r="AA196" i="9"/>
  <c r="AA197" i="9"/>
  <c r="AA198" i="9"/>
  <c r="AA203" i="9"/>
  <c r="AA204" i="9"/>
  <c r="AA205" i="9"/>
  <c r="AA207" i="9"/>
  <c r="AA208" i="9"/>
  <c r="AA209" i="9"/>
  <c r="AA210" i="9"/>
  <c r="AA212" i="9"/>
  <c r="AA216" i="9"/>
  <c r="AA218" i="9"/>
  <c r="AA217" i="9"/>
  <c r="AA219" i="9"/>
  <c r="AA220" i="9"/>
  <c r="AA221" i="9"/>
  <c r="AA223" i="9"/>
  <c r="AA224" i="9"/>
  <c r="AA229" i="9"/>
  <c r="AA231" i="9"/>
  <c r="AA233" i="9"/>
  <c r="AA234" i="9"/>
  <c r="AA237" i="9"/>
  <c r="AA238" i="9"/>
  <c r="AA241" i="9"/>
  <c r="AA243" i="9"/>
  <c r="AA245" i="9"/>
  <c r="AA248" i="9"/>
  <c r="AA250" i="9"/>
  <c r="AA251" i="9"/>
  <c r="AA252" i="9"/>
  <c r="AA255" i="9"/>
  <c r="AA256" i="9"/>
  <c r="AA258" i="9"/>
  <c r="AA262" i="9"/>
  <c r="AA263" i="9"/>
  <c r="AA265" i="9"/>
  <c r="AA266" i="9"/>
  <c r="AA267" i="9"/>
  <c r="AA268" i="9"/>
  <c r="AA269" i="9"/>
  <c r="AA270" i="9"/>
  <c r="AA272" i="9"/>
  <c r="AA275" i="9"/>
  <c r="AA276" i="9"/>
  <c r="AA279" i="9"/>
  <c r="AA281" i="9"/>
  <c r="AA284" i="9"/>
  <c r="AA286" i="9"/>
  <c r="AA287" i="9"/>
  <c r="AA291" i="9"/>
  <c r="AA293" i="9"/>
  <c r="AA312" i="9"/>
  <c r="Z154" i="9"/>
  <c r="Z36" i="9"/>
  <c r="Z83" i="9"/>
  <c r="Z264" i="9"/>
  <c r="Z259" i="9"/>
  <c r="Z301" i="9"/>
  <c r="Z230" i="9"/>
  <c r="Z288" i="9"/>
  <c r="Z316" i="9"/>
  <c r="Z29" i="9"/>
  <c r="Z37" i="9"/>
  <c r="Z90" i="9"/>
  <c r="Z163" i="9"/>
  <c r="Z294" i="9"/>
  <c r="Z190" i="9"/>
  <c r="Z226" i="9"/>
  <c r="Z260" i="9"/>
  <c r="Z23" i="9"/>
  <c r="Z30" i="9"/>
  <c r="Z84" i="9"/>
  <c r="Z173" i="9"/>
  <c r="Z239" i="9"/>
  <c r="Z249" i="9"/>
  <c r="Z271" i="9"/>
  <c r="Z320" i="9"/>
  <c r="Z64" i="9"/>
  <c r="Z68" i="9"/>
  <c r="Z92" i="9"/>
  <c r="Z119" i="9"/>
  <c r="Z149" i="9"/>
  <c r="Z235" i="9"/>
  <c r="Z278" i="9"/>
  <c r="Z32" i="9"/>
  <c r="Z35" i="9"/>
  <c r="Z73" i="9"/>
  <c r="Z79" i="9"/>
  <c r="Z131" i="9"/>
  <c r="Z225" i="9"/>
  <c r="Z242" i="9"/>
  <c r="Z8" i="9"/>
  <c r="Z12" i="9"/>
  <c r="Z16" i="9"/>
  <c r="Z38" i="9"/>
  <c r="Z81" i="9"/>
  <c r="Z82" i="9"/>
  <c r="Z88" i="9"/>
  <c r="Z133" i="9"/>
  <c r="Z137" i="9"/>
  <c r="Z170" i="9"/>
  <c r="Z201" i="9"/>
  <c r="Z202" i="9"/>
  <c r="Z211" i="9"/>
  <c r="Z244" i="9"/>
  <c r="Z261" i="9"/>
  <c r="Z283" i="9"/>
  <c r="Z285" i="9"/>
  <c r="Z128" i="9"/>
  <c r="Z159" i="9"/>
  <c r="Z177" i="9"/>
  <c r="Z240" i="9"/>
  <c r="Z315" i="9"/>
  <c r="Z33" i="9"/>
  <c r="Z49" i="9"/>
  <c r="Z62" i="9"/>
  <c r="Z78" i="9"/>
  <c r="Z166" i="9"/>
  <c r="Z182" i="9"/>
  <c r="Z186" i="9"/>
  <c r="Z236" i="9"/>
  <c r="Z290" i="9"/>
  <c r="Z19" i="9"/>
  <c r="Z147" i="9"/>
  <c r="Z274" i="9"/>
  <c r="Z295" i="9"/>
  <c r="Z297" i="9"/>
  <c r="Z299" i="9"/>
  <c r="Z302" i="9"/>
  <c r="Z303" i="9"/>
  <c r="Z304" i="9"/>
  <c r="Z305" i="9"/>
  <c r="Z307" i="9"/>
  <c r="Z308" i="9"/>
  <c r="Z309" i="9"/>
  <c r="Z310" i="9"/>
  <c r="Z311" i="9"/>
  <c r="Z313" i="9"/>
  <c r="Z314" i="9"/>
  <c r="Z317" i="9"/>
  <c r="Z318" i="9"/>
  <c r="Z247" i="9"/>
  <c r="Z5" i="9"/>
  <c r="Z6" i="9"/>
  <c r="Z7" i="9"/>
  <c r="Z9" i="9"/>
  <c r="Z10" i="9"/>
  <c r="Z11" i="9"/>
  <c r="Z13" i="9"/>
  <c r="Z14" i="9"/>
  <c r="Z15" i="9"/>
  <c r="Z18" i="9"/>
  <c r="Z21" i="9"/>
  <c r="Z22" i="9"/>
  <c r="Z25" i="9"/>
  <c r="Z27" i="9"/>
  <c r="Z28" i="9"/>
  <c r="Z31" i="9"/>
  <c r="Z39" i="9"/>
  <c r="Z41" i="9"/>
  <c r="Z42" i="9"/>
  <c r="Z43" i="9"/>
  <c r="Z44" i="9"/>
  <c r="Z45" i="9"/>
  <c r="Z46" i="9"/>
  <c r="Z47" i="9"/>
  <c r="Z48" i="9"/>
  <c r="Z50" i="9"/>
  <c r="Z51" i="9"/>
  <c r="Z52" i="9"/>
  <c r="Z55" i="9"/>
  <c r="Z58" i="9"/>
  <c r="Z59" i="9"/>
  <c r="Z60" i="9"/>
  <c r="Z61" i="9"/>
  <c r="Z63" i="9"/>
  <c r="Z65" i="9"/>
  <c r="Z67" i="9"/>
  <c r="Z69" i="9"/>
  <c r="Z70" i="9"/>
  <c r="Z71" i="9"/>
  <c r="Z72" i="9"/>
  <c r="Z74" i="9"/>
  <c r="Z75" i="9"/>
  <c r="Z77" i="9"/>
  <c r="Z85" i="9"/>
  <c r="Z86" i="9"/>
  <c r="Z89" i="9"/>
  <c r="Z91" i="9"/>
  <c r="Z93" i="9"/>
  <c r="Z95" i="9"/>
  <c r="Z96" i="9"/>
  <c r="Z97" i="9"/>
  <c r="Z99" i="9"/>
  <c r="Z100" i="9"/>
  <c r="Z101" i="9"/>
  <c r="Z102" i="9"/>
  <c r="Z103" i="9"/>
  <c r="Z104" i="9"/>
  <c r="Z105" i="9"/>
  <c r="Z3" i="9"/>
  <c r="Z106" i="9"/>
  <c r="Z107" i="9"/>
  <c r="Z108" i="9"/>
  <c r="Z110" i="9"/>
  <c r="Z111" i="9"/>
  <c r="Z112" i="9"/>
  <c r="Z113" i="9"/>
  <c r="Z114" i="9"/>
  <c r="Z115" i="9"/>
  <c r="Z116" i="9"/>
  <c r="Z118" i="9"/>
  <c r="Z123" i="9"/>
  <c r="Z125" i="9"/>
  <c r="Z126" i="9"/>
  <c r="Z127" i="9"/>
  <c r="Z129" i="9"/>
  <c r="Z130" i="9"/>
  <c r="Z132" i="9"/>
  <c r="Z138" i="9"/>
  <c r="Z139" i="9"/>
  <c r="Z141" i="9"/>
  <c r="Z142" i="9"/>
  <c r="Z143" i="9"/>
  <c r="Z144" i="9"/>
  <c r="Z145" i="9"/>
  <c r="Z146" i="9"/>
  <c r="Z148" i="9"/>
  <c r="Z150" i="9"/>
  <c r="Z151" i="9"/>
  <c r="Z152" i="9"/>
  <c r="Z153" i="9"/>
  <c r="Z156" i="9"/>
  <c r="Z157" i="9"/>
  <c r="Z158" i="9"/>
  <c r="Z161" i="9"/>
  <c r="Z162" i="9"/>
  <c r="Z164" i="9"/>
  <c r="Z165" i="9"/>
  <c r="Z167" i="9"/>
  <c r="Z169" i="9"/>
  <c r="Z273" i="9"/>
  <c r="Z171" i="9"/>
  <c r="Z172" i="9"/>
  <c r="Z175" i="9"/>
  <c r="Z176" i="9"/>
  <c r="Z178" i="9"/>
  <c r="Z179" i="9"/>
  <c r="Z180" i="9"/>
  <c r="Z181" i="9"/>
  <c r="Z183" i="9"/>
  <c r="Z184" i="9"/>
  <c r="Z188" i="9"/>
  <c r="Z189" i="9"/>
  <c r="Z191" i="9"/>
  <c r="Z192" i="9"/>
  <c r="Z193" i="9"/>
  <c r="Z194" i="9"/>
  <c r="Z195" i="9"/>
  <c r="Z196" i="9"/>
  <c r="Z197" i="9"/>
  <c r="Z198" i="9"/>
  <c r="Z203" i="9"/>
  <c r="Z204" i="9"/>
  <c r="Z205" i="9"/>
  <c r="Z207" i="9"/>
  <c r="Z208" i="9"/>
  <c r="Z209" i="9"/>
  <c r="Z210" i="9"/>
  <c r="Z212" i="9"/>
  <c r="Z216" i="9"/>
  <c r="Z218" i="9"/>
  <c r="Z217" i="9"/>
  <c r="Z219" i="9"/>
  <c r="Z220" i="9"/>
  <c r="Z221" i="9"/>
  <c r="Z223" i="9"/>
  <c r="Z224" i="9"/>
  <c r="Z229" i="9"/>
  <c r="Z231" i="9"/>
  <c r="Z233" i="9"/>
  <c r="Z234" i="9"/>
  <c r="Z237" i="9"/>
  <c r="Z238" i="9"/>
  <c r="Z241" i="9"/>
  <c r="Z243" i="9"/>
  <c r="Z245" i="9"/>
  <c r="Z248" i="9"/>
  <c r="Z250" i="9"/>
  <c r="Z251" i="9"/>
  <c r="Z252" i="9"/>
  <c r="Z255" i="9"/>
  <c r="Z256" i="9"/>
  <c r="Z258" i="9"/>
  <c r="Z262" i="9"/>
  <c r="Z263" i="9"/>
  <c r="Z265" i="9"/>
  <c r="Z266" i="9"/>
  <c r="Z267" i="9"/>
  <c r="Z268" i="9"/>
  <c r="Z269" i="9"/>
  <c r="Z270" i="9"/>
  <c r="Z272" i="9"/>
  <c r="Z275" i="9"/>
  <c r="Z276" i="9"/>
  <c r="Z279" i="9"/>
  <c r="Z281" i="9"/>
  <c r="Z284" i="9"/>
  <c r="Z286" i="9"/>
  <c r="Z287" i="9"/>
  <c r="Z291" i="9"/>
  <c r="Z293" i="9"/>
  <c r="Z312" i="9"/>
  <c r="X312" i="9"/>
  <c r="X154" i="9"/>
  <c r="X36" i="9"/>
  <c r="X83" i="9"/>
  <c r="X264" i="9"/>
  <c r="X259" i="9"/>
  <c r="X301" i="9"/>
  <c r="X230" i="9"/>
  <c r="X288" i="9"/>
  <c r="X316" i="9"/>
  <c r="X29" i="9"/>
  <c r="X37" i="9"/>
  <c r="X90" i="9"/>
  <c r="X163" i="9"/>
  <c r="X294" i="9"/>
  <c r="X190" i="9"/>
  <c r="X226" i="9"/>
  <c r="X260" i="9"/>
  <c r="X23" i="9"/>
  <c r="X30" i="9"/>
  <c r="X84" i="9"/>
  <c r="X173" i="9"/>
  <c r="X239" i="9"/>
  <c r="X249" i="9"/>
  <c r="X271" i="9"/>
  <c r="X320" i="9"/>
  <c r="X64" i="9"/>
  <c r="X68" i="9"/>
  <c r="X92" i="9"/>
  <c r="X119" i="9"/>
  <c r="X149" i="9"/>
  <c r="X235" i="9"/>
  <c r="X278" i="9"/>
  <c r="X32" i="9"/>
  <c r="X35" i="9"/>
  <c r="X73" i="9"/>
  <c r="X79" i="9"/>
  <c r="X131" i="9"/>
  <c r="X225" i="9"/>
  <c r="X242" i="9"/>
  <c r="X8" i="9"/>
  <c r="X12" i="9"/>
  <c r="X16" i="9"/>
  <c r="X38" i="9"/>
  <c r="X81" i="9"/>
  <c r="X82" i="9"/>
  <c r="X88" i="9"/>
  <c r="X133" i="9"/>
  <c r="X137" i="9"/>
  <c r="X170" i="9"/>
  <c r="X201" i="9"/>
  <c r="X202" i="9"/>
  <c r="X211" i="9"/>
  <c r="X244" i="9"/>
  <c r="X261" i="9"/>
  <c r="X283" i="9"/>
  <c r="X285" i="9"/>
  <c r="X128" i="9"/>
  <c r="X159" i="9"/>
  <c r="X177" i="9"/>
  <c r="X240" i="9"/>
  <c r="X315" i="9"/>
  <c r="X33" i="9"/>
  <c r="X49" i="9"/>
  <c r="X62" i="9"/>
  <c r="X78" i="9"/>
  <c r="X166" i="9"/>
  <c r="X182" i="9"/>
  <c r="X186" i="9"/>
  <c r="X236" i="9"/>
  <c r="X290" i="9"/>
  <c r="X19" i="9"/>
  <c r="X147" i="9"/>
  <c r="X274" i="9"/>
  <c r="X295" i="9"/>
  <c r="X297" i="9"/>
  <c r="X299" i="9"/>
  <c r="X302" i="9"/>
  <c r="X303" i="9"/>
  <c r="X304" i="9"/>
  <c r="X305" i="9"/>
  <c r="X307" i="9"/>
  <c r="X308" i="9"/>
  <c r="X309" i="9"/>
  <c r="X310" i="9"/>
  <c r="X311" i="9"/>
  <c r="X313" i="9"/>
  <c r="X314" i="9"/>
  <c r="X317" i="9"/>
  <c r="X318" i="9"/>
  <c r="X247" i="9"/>
  <c r="X5" i="9"/>
  <c r="X6" i="9"/>
  <c r="X7" i="9"/>
  <c r="X9" i="9"/>
  <c r="X10" i="9"/>
  <c r="X11" i="9"/>
  <c r="X13" i="9"/>
  <c r="X14" i="9"/>
  <c r="X15" i="9"/>
  <c r="X18" i="9"/>
  <c r="X21" i="9"/>
  <c r="X22" i="9"/>
  <c r="X25" i="9"/>
  <c r="X27" i="9"/>
  <c r="X28" i="9"/>
  <c r="X31" i="9"/>
  <c r="X39" i="9"/>
  <c r="X41" i="9"/>
  <c r="X42" i="9"/>
  <c r="X43" i="9"/>
  <c r="X44" i="9"/>
  <c r="X45" i="9"/>
  <c r="X46" i="9"/>
  <c r="X47" i="9"/>
  <c r="X48" i="9"/>
  <c r="X50" i="9"/>
  <c r="X51" i="9"/>
  <c r="X52" i="9"/>
  <c r="X55" i="9"/>
  <c r="X58" i="9"/>
  <c r="X59" i="9"/>
  <c r="X60" i="9"/>
  <c r="X61" i="9"/>
  <c r="X63" i="9"/>
  <c r="X65" i="9"/>
  <c r="X67" i="9"/>
  <c r="X69" i="9"/>
  <c r="X70" i="9"/>
  <c r="X71" i="9"/>
  <c r="X72" i="9"/>
  <c r="X74" i="9"/>
  <c r="X75" i="9"/>
  <c r="X77" i="9"/>
  <c r="X85" i="9"/>
  <c r="X86" i="9"/>
  <c r="X89" i="9"/>
  <c r="X91" i="9"/>
  <c r="X93" i="9"/>
  <c r="X95" i="9"/>
  <c r="X96" i="9"/>
  <c r="X97" i="9"/>
  <c r="X99" i="9"/>
  <c r="X100" i="9"/>
  <c r="X101" i="9"/>
  <c r="X102" i="9"/>
  <c r="X103" i="9"/>
  <c r="X104" i="9"/>
  <c r="X105" i="9"/>
  <c r="X3" i="9"/>
  <c r="X106" i="9"/>
  <c r="X107" i="9"/>
  <c r="X108" i="9"/>
  <c r="X110" i="9"/>
  <c r="X111" i="9"/>
  <c r="X112" i="9"/>
  <c r="X113" i="9"/>
  <c r="X114" i="9"/>
  <c r="X115" i="9"/>
  <c r="X116" i="9"/>
  <c r="X118" i="9"/>
  <c r="X123" i="9"/>
  <c r="X125" i="9"/>
  <c r="X126" i="9"/>
  <c r="X127" i="9"/>
  <c r="X129" i="9"/>
  <c r="X130" i="9"/>
  <c r="X132" i="9"/>
  <c r="X138" i="9"/>
  <c r="X139" i="9"/>
  <c r="X141" i="9"/>
  <c r="X142" i="9"/>
  <c r="X143" i="9"/>
  <c r="X144" i="9"/>
  <c r="X145" i="9"/>
  <c r="X146" i="9"/>
  <c r="X148" i="9"/>
  <c r="X150" i="9"/>
  <c r="X151" i="9"/>
  <c r="X152" i="9"/>
  <c r="X153" i="9"/>
  <c r="X156" i="9"/>
  <c r="X157" i="9"/>
  <c r="X158" i="9"/>
  <c r="X161" i="9"/>
  <c r="X162" i="9"/>
  <c r="X164" i="9"/>
  <c r="X165" i="9"/>
  <c r="X167" i="9"/>
  <c r="X169" i="9"/>
  <c r="X273" i="9"/>
  <c r="X171" i="9"/>
  <c r="X172" i="9"/>
  <c r="X175" i="9"/>
  <c r="X176" i="9"/>
  <c r="X178" i="9"/>
  <c r="X179" i="9"/>
  <c r="X180" i="9"/>
  <c r="X181" i="9"/>
  <c r="X183" i="9"/>
  <c r="X184" i="9"/>
  <c r="X188" i="9"/>
  <c r="X189" i="9"/>
  <c r="X191" i="9"/>
  <c r="X192" i="9"/>
  <c r="X193" i="9"/>
  <c r="X194" i="9"/>
  <c r="X195" i="9"/>
  <c r="X196" i="9"/>
  <c r="X197" i="9"/>
  <c r="X198" i="9"/>
  <c r="X203" i="9"/>
  <c r="X204" i="9"/>
  <c r="X205" i="9"/>
  <c r="X207" i="9"/>
  <c r="X208" i="9"/>
  <c r="X209" i="9"/>
  <c r="X210" i="9"/>
  <c r="X212" i="9"/>
  <c r="X216" i="9"/>
  <c r="X218" i="9"/>
  <c r="X217" i="9"/>
  <c r="X219" i="9"/>
  <c r="X220" i="9"/>
  <c r="X221" i="9"/>
  <c r="X223" i="9"/>
  <c r="X224" i="9"/>
  <c r="X229" i="9"/>
  <c r="X231" i="9"/>
  <c r="X233" i="9"/>
  <c r="X234" i="9"/>
  <c r="X237" i="9"/>
  <c r="X238" i="9"/>
  <c r="X241" i="9"/>
  <c r="X243" i="9"/>
  <c r="X245" i="9"/>
  <c r="X248" i="9"/>
  <c r="X250" i="9"/>
  <c r="X251" i="9"/>
  <c r="X252" i="9"/>
  <c r="X255" i="9"/>
  <c r="X256" i="9"/>
  <c r="X258" i="9"/>
  <c r="X262" i="9"/>
  <c r="X263" i="9"/>
  <c r="X265" i="9"/>
  <c r="X266" i="9"/>
  <c r="X267" i="9"/>
  <c r="X268" i="9"/>
  <c r="X269" i="9"/>
  <c r="X270" i="9"/>
  <c r="X272" i="9"/>
  <c r="X275" i="9"/>
  <c r="X276" i="9"/>
  <c r="X279" i="9"/>
  <c r="X281" i="9"/>
  <c r="X284" i="9"/>
  <c r="X286" i="9"/>
  <c r="X287" i="9"/>
  <c r="X291" i="9"/>
  <c r="X293" i="9"/>
  <c r="W154" i="9"/>
  <c r="W36" i="9"/>
  <c r="W83" i="9"/>
  <c r="W264" i="9"/>
  <c r="W259" i="9"/>
  <c r="W301" i="9"/>
  <c r="W230" i="9"/>
  <c r="W288" i="9"/>
  <c r="W316" i="9"/>
  <c r="W29" i="9"/>
  <c r="W37" i="9"/>
  <c r="W90" i="9"/>
  <c r="W163" i="9"/>
  <c r="W294" i="9"/>
  <c r="W190" i="9"/>
  <c r="W226" i="9"/>
  <c r="W260" i="9"/>
  <c r="W23" i="9"/>
  <c r="W30" i="9"/>
  <c r="W84" i="9"/>
  <c r="W173" i="9"/>
  <c r="W239" i="9"/>
  <c r="W249" i="9"/>
  <c r="W271" i="9"/>
  <c r="W320" i="9"/>
  <c r="W64" i="9"/>
  <c r="W68" i="9"/>
  <c r="W92" i="9"/>
  <c r="W119" i="9"/>
  <c r="W149" i="9"/>
  <c r="W235" i="9"/>
  <c r="W278" i="9"/>
  <c r="W32" i="9"/>
  <c r="W35" i="9"/>
  <c r="W73" i="9"/>
  <c r="W79" i="9"/>
  <c r="W131" i="9"/>
  <c r="W225" i="9"/>
  <c r="W242" i="9"/>
  <c r="W8" i="9"/>
  <c r="W12" i="9"/>
  <c r="W16" i="9"/>
  <c r="W38" i="9"/>
  <c r="W81" i="9"/>
  <c r="W82" i="9"/>
  <c r="W88" i="9"/>
  <c r="W133" i="9"/>
  <c r="W137" i="9"/>
  <c r="W170" i="9"/>
  <c r="W201" i="9"/>
  <c r="W202" i="9"/>
  <c r="W211" i="9"/>
  <c r="W244" i="9"/>
  <c r="W261" i="9"/>
  <c r="W283" i="9"/>
  <c r="W285" i="9"/>
  <c r="W128" i="9"/>
  <c r="W159" i="9"/>
  <c r="W177" i="9"/>
  <c r="W240" i="9"/>
  <c r="W315" i="9"/>
  <c r="W33" i="9"/>
  <c r="W49" i="9"/>
  <c r="W62" i="9"/>
  <c r="W78" i="9"/>
  <c r="W166" i="9"/>
  <c r="W182" i="9"/>
  <c r="W186" i="9"/>
  <c r="W236" i="9"/>
  <c r="W290" i="9"/>
  <c r="W19" i="9"/>
  <c r="W147" i="9"/>
  <c r="W274" i="9"/>
  <c r="W295" i="9"/>
  <c r="W297" i="9"/>
  <c r="W299" i="9"/>
  <c r="W302" i="9"/>
  <c r="W303" i="9"/>
  <c r="W304" i="9"/>
  <c r="W305" i="9"/>
  <c r="W307" i="9"/>
  <c r="W308" i="9"/>
  <c r="W309" i="9"/>
  <c r="W310" i="9"/>
  <c r="W311" i="9"/>
  <c r="W313" i="9"/>
  <c r="W314" i="9"/>
  <c r="W317" i="9"/>
  <c r="W318" i="9"/>
  <c r="W247" i="9"/>
  <c r="W5" i="9"/>
  <c r="W6" i="9"/>
  <c r="W7" i="9"/>
  <c r="W9" i="9"/>
  <c r="W10" i="9"/>
  <c r="W11" i="9"/>
  <c r="W13" i="9"/>
  <c r="W14" i="9"/>
  <c r="W15" i="9"/>
  <c r="W18" i="9"/>
  <c r="W21" i="9"/>
  <c r="W22" i="9"/>
  <c r="W25" i="9"/>
  <c r="W27" i="9"/>
  <c r="W28" i="9"/>
  <c r="W31" i="9"/>
  <c r="W39" i="9"/>
  <c r="W41" i="9"/>
  <c r="W42" i="9"/>
  <c r="W43" i="9"/>
  <c r="W44" i="9"/>
  <c r="W45" i="9"/>
  <c r="W46" i="9"/>
  <c r="W47" i="9"/>
  <c r="W48" i="9"/>
  <c r="W50" i="9"/>
  <c r="W51" i="9"/>
  <c r="W52" i="9"/>
  <c r="W55" i="9"/>
  <c r="W58" i="9"/>
  <c r="W59" i="9"/>
  <c r="W60" i="9"/>
  <c r="W61" i="9"/>
  <c r="W63" i="9"/>
  <c r="W65" i="9"/>
  <c r="W67" i="9"/>
  <c r="W69" i="9"/>
  <c r="W70" i="9"/>
  <c r="W71" i="9"/>
  <c r="W72" i="9"/>
  <c r="W74" i="9"/>
  <c r="W75" i="9"/>
  <c r="W77" i="9"/>
  <c r="W85" i="9"/>
  <c r="W86" i="9"/>
  <c r="W89" i="9"/>
  <c r="W91" i="9"/>
  <c r="W93" i="9"/>
  <c r="W95" i="9"/>
  <c r="W96" i="9"/>
  <c r="W97" i="9"/>
  <c r="W99" i="9"/>
  <c r="W100" i="9"/>
  <c r="W101" i="9"/>
  <c r="W102" i="9"/>
  <c r="W103" i="9"/>
  <c r="W104" i="9"/>
  <c r="W105" i="9"/>
  <c r="W3" i="9"/>
  <c r="W106" i="9"/>
  <c r="W107" i="9"/>
  <c r="W108" i="9"/>
  <c r="W110" i="9"/>
  <c r="W111" i="9"/>
  <c r="W112" i="9"/>
  <c r="W113" i="9"/>
  <c r="W114" i="9"/>
  <c r="W115" i="9"/>
  <c r="W116" i="9"/>
  <c r="W118" i="9"/>
  <c r="W123" i="9"/>
  <c r="W125" i="9"/>
  <c r="W126" i="9"/>
  <c r="W127" i="9"/>
  <c r="W129" i="9"/>
  <c r="W130" i="9"/>
  <c r="W132" i="9"/>
  <c r="W138" i="9"/>
  <c r="W139" i="9"/>
  <c r="W141" i="9"/>
  <c r="W142" i="9"/>
  <c r="W143" i="9"/>
  <c r="W144" i="9"/>
  <c r="W145" i="9"/>
  <c r="W146" i="9"/>
  <c r="W148" i="9"/>
  <c r="W150" i="9"/>
  <c r="W151" i="9"/>
  <c r="W152" i="9"/>
  <c r="W153" i="9"/>
  <c r="W156" i="9"/>
  <c r="W157" i="9"/>
  <c r="W158" i="9"/>
  <c r="W161" i="9"/>
  <c r="W162" i="9"/>
  <c r="W164" i="9"/>
  <c r="W165" i="9"/>
  <c r="W167" i="9"/>
  <c r="W169" i="9"/>
  <c r="W273" i="9"/>
  <c r="W171" i="9"/>
  <c r="W172" i="9"/>
  <c r="W175" i="9"/>
  <c r="W176" i="9"/>
  <c r="W178" i="9"/>
  <c r="W179" i="9"/>
  <c r="W180" i="9"/>
  <c r="W181" i="9"/>
  <c r="W183" i="9"/>
  <c r="W184" i="9"/>
  <c r="W188" i="9"/>
  <c r="W189" i="9"/>
  <c r="W191" i="9"/>
  <c r="W192" i="9"/>
  <c r="W193" i="9"/>
  <c r="W194" i="9"/>
  <c r="W195" i="9"/>
  <c r="W196" i="9"/>
  <c r="W197" i="9"/>
  <c r="W198" i="9"/>
  <c r="W203" i="9"/>
  <c r="W204" i="9"/>
  <c r="W205" i="9"/>
  <c r="W207" i="9"/>
  <c r="W208" i="9"/>
  <c r="W209" i="9"/>
  <c r="W210" i="9"/>
  <c r="W212" i="9"/>
  <c r="W216" i="9"/>
  <c r="W218" i="9"/>
  <c r="W217" i="9"/>
  <c r="W219" i="9"/>
  <c r="W220" i="9"/>
  <c r="W221" i="9"/>
  <c r="W223" i="9"/>
  <c r="W224" i="9"/>
  <c r="W229" i="9"/>
  <c r="W231" i="9"/>
  <c r="W233" i="9"/>
  <c r="W234" i="9"/>
  <c r="W237" i="9"/>
  <c r="W238" i="9"/>
  <c r="W241" i="9"/>
  <c r="W243" i="9"/>
  <c r="W245" i="9"/>
  <c r="W248" i="9"/>
  <c r="W250" i="9"/>
  <c r="W251" i="9"/>
  <c r="W252" i="9"/>
  <c r="W255" i="9"/>
  <c r="W256" i="9"/>
  <c r="W258" i="9"/>
  <c r="W262" i="9"/>
  <c r="W263" i="9"/>
  <c r="W265" i="9"/>
  <c r="W266" i="9"/>
  <c r="W267" i="9"/>
  <c r="W268" i="9"/>
  <c r="W269" i="9"/>
  <c r="W270" i="9"/>
  <c r="W272" i="9"/>
  <c r="W275" i="9"/>
  <c r="W276" i="9"/>
  <c r="W279" i="9"/>
  <c r="W281" i="9"/>
  <c r="W284" i="9"/>
  <c r="W286" i="9"/>
  <c r="W287" i="9"/>
  <c r="W291" i="9"/>
  <c r="W293" i="9"/>
  <c r="W312" i="9"/>
  <c r="U154" i="9"/>
  <c r="U36" i="9"/>
  <c r="U83" i="9"/>
  <c r="U264" i="9"/>
  <c r="U259" i="9"/>
  <c r="U301" i="9"/>
  <c r="U230" i="9"/>
  <c r="U288" i="9"/>
  <c r="U316" i="9"/>
  <c r="U29" i="9"/>
  <c r="U37" i="9"/>
  <c r="U90" i="9"/>
  <c r="U163" i="9"/>
  <c r="U294" i="9"/>
  <c r="U190" i="9"/>
  <c r="U226" i="9"/>
  <c r="U260" i="9"/>
  <c r="U23" i="9"/>
  <c r="U30" i="9"/>
  <c r="U84" i="9"/>
  <c r="U173" i="9"/>
  <c r="U239" i="9"/>
  <c r="U249" i="9"/>
  <c r="U271" i="9"/>
  <c r="U320" i="9"/>
  <c r="U64" i="9"/>
  <c r="U68" i="9"/>
  <c r="U92" i="9"/>
  <c r="U119" i="9"/>
  <c r="U149" i="9"/>
  <c r="U235" i="9"/>
  <c r="U278" i="9"/>
  <c r="U32" i="9"/>
  <c r="U35" i="9"/>
  <c r="U73" i="9"/>
  <c r="U79" i="9"/>
  <c r="U131" i="9"/>
  <c r="U225" i="9"/>
  <c r="U242" i="9"/>
  <c r="U8" i="9"/>
  <c r="U12" i="9"/>
  <c r="U16" i="9"/>
  <c r="U38" i="9"/>
  <c r="U81" i="9"/>
  <c r="U82" i="9"/>
  <c r="U88" i="9"/>
  <c r="U133" i="9"/>
  <c r="U137" i="9"/>
  <c r="U170" i="9"/>
  <c r="U201" i="9"/>
  <c r="U202" i="9"/>
  <c r="U211" i="9"/>
  <c r="U244" i="9"/>
  <c r="U261" i="9"/>
  <c r="U283" i="9"/>
  <c r="U285" i="9"/>
  <c r="U128" i="9"/>
  <c r="U159" i="9"/>
  <c r="U177" i="9"/>
  <c r="U240" i="9"/>
  <c r="U315" i="9"/>
  <c r="U33" i="9"/>
  <c r="U49" i="9"/>
  <c r="U62" i="9"/>
  <c r="U78" i="9"/>
  <c r="U166" i="9"/>
  <c r="U182" i="9"/>
  <c r="U186" i="9"/>
  <c r="U236" i="9"/>
  <c r="U290" i="9"/>
  <c r="U19" i="9"/>
  <c r="U147" i="9"/>
  <c r="U274" i="9"/>
  <c r="U295" i="9"/>
  <c r="U297" i="9"/>
  <c r="U299" i="9"/>
  <c r="U302" i="9"/>
  <c r="U303" i="9"/>
  <c r="U304" i="9"/>
  <c r="U305" i="9"/>
  <c r="U307" i="9"/>
  <c r="U308" i="9"/>
  <c r="U309" i="9"/>
  <c r="U310" i="9"/>
  <c r="U311" i="9"/>
  <c r="U313" i="9"/>
  <c r="U314" i="9"/>
  <c r="U317" i="9"/>
  <c r="U318" i="9"/>
  <c r="U247" i="9"/>
  <c r="U5" i="9"/>
  <c r="U6" i="9"/>
  <c r="U7" i="9"/>
  <c r="U9" i="9"/>
  <c r="U10" i="9"/>
  <c r="U11" i="9"/>
  <c r="U13" i="9"/>
  <c r="U14" i="9"/>
  <c r="U15" i="9"/>
  <c r="U18" i="9"/>
  <c r="U21" i="9"/>
  <c r="U22" i="9"/>
  <c r="U25" i="9"/>
  <c r="U27" i="9"/>
  <c r="U28" i="9"/>
  <c r="U31" i="9"/>
  <c r="U39" i="9"/>
  <c r="U41" i="9"/>
  <c r="U42" i="9"/>
  <c r="U43" i="9"/>
  <c r="U44" i="9"/>
  <c r="U45" i="9"/>
  <c r="U46" i="9"/>
  <c r="U47" i="9"/>
  <c r="U48" i="9"/>
  <c r="U50" i="9"/>
  <c r="U51" i="9"/>
  <c r="U52" i="9"/>
  <c r="U55" i="9"/>
  <c r="U58" i="9"/>
  <c r="U59" i="9"/>
  <c r="U60" i="9"/>
  <c r="U61" i="9"/>
  <c r="U63" i="9"/>
  <c r="U65" i="9"/>
  <c r="U67" i="9"/>
  <c r="U69" i="9"/>
  <c r="U70" i="9"/>
  <c r="U71" i="9"/>
  <c r="U72" i="9"/>
  <c r="U74" i="9"/>
  <c r="U75" i="9"/>
  <c r="U77" i="9"/>
  <c r="U85" i="9"/>
  <c r="U86" i="9"/>
  <c r="U89" i="9"/>
  <c r="U91" i="9"/>
  <c r="U93" i="9"/>
  <c r="U95" i="9"/>
  <c r="U96" i="9"/>
  <c r="U97" i="9"/>
  <c r="U99" i="9"/>
  <c r="U100" i="9"/>
  <c r="U101" i="9"/>
  <c r="U102" i="9"/>
  <c r="U103" i="9"/>
  <c r="U104" i="9"/>
  <c r="U105" i="9"/>
  <c r="U3" i="9"/>
  <c r="U106" i="9"/>
  <c r="U107" i="9"/>
  <c r="U108" i="9"/>
  <c r="U110" i="9"/>
  <c r="U111" i="9"/>
  <c r="U112" i="9"/>
  <c r="U113" i="9"/>
  <c r="U114" i="9"/>
  <c r="U115" i="9"/>
  <c r="U116" i="9"/>
  <c r="U118" i="9"/>
  <c r="U123" i="9"/>
  <c r="U125" i="9"/>
  <c r="U126" i="9"/>
  <c r="U127" i="9"/>
  <c r="U129" i="9"/>
  <c r="U130" i="9"/>
  <c r="U132" i="9"/>
  <c r="U138" i="9"/>
  <c r="U139" i="9"/>
  <c r="U141" i="9"/>
  <c r="U142" i="9"/>
  <c r="U143" i="9"/>
  <c r="U144" i="9"/>
  <c r="U145" i="9"/>
  <c r="U146" i="9"/>
  <c r="U148" i="9"/>
  <c r="U150" i="9"/>
  <c r="U151" i="9"/>
  <c r="U152" i="9"/>
  <c r="U153" i="9"/>
  <c r="U156" i="9"/>
  <c r="U157" i="9"/>
  <c r="U158" i="9"/>
  <c r="U161" i="9"/>
  <c r="U162" i="9"/>
  <c r="U164" i="9"/>
  <c r="U165" i="9"/>
  <c r="U167" i="9"/>
  <c r="U169" i="9"/>
  <c r="U273" i="9"/>
  <c r="U171" i="9"/>
  <c r="U172" i="9"/>
  <c r="U175" i="9"/>
  <c r="U176" i="9"/>
  <c r="U178" i="9"/>
  <c r="U179" i="9"/>
  <c r="U180" i="9"/>
  <c r="U181" i="9"/>
  <c r="U183" i="9"/>
  <c r="U184" i="9"/>
  <c r="U188" i="9"/>
  <c r="U189" i="9"/>
  <c r="U191" i="9"/>
  <c r="U192" i="9"/>
  <c r="U193" i="9"/>
  <c r="U194" i="9"/>
  <c r="U195" i="9"/>
  <c r="U196" i="9"/>
  <c r="U197" i="9"/>
  <c r="U198" i="9"/>
  <c r="U203" i="9"/>
  <c r="U204" i="9"/>
  <c r="U205" i="9"/>
  <c r="U207" i="9"/>
  <c r="U208" i="9"/>
  <c r="U209" i="9"/>
  <c r="U210" i="9"/>
  <c r="U212" i="9"/>
  <c r="U216" i="9"/>
  <c r="U218" i="9"/>
  <c r="U217" i="9"/>
  <c r="U219" i="9"/>
  <c r="U220" i="9"/>
  <c r="U221" i="9"/>
  <c r="U223" i="9"/>
  <c r="U224" i="9"/>
  <c r="U229" i="9"/>
  <c r="U231" i="9"/>
  <c r="U233" i="9"/>
  <c r="U234" i="9"/>
  <c r="U237" i="9"/>
  <c r="U238" i="9"/>
  <c r="U241" i="9"/>
  <c r="U243" i="9"/>
  <c r="U245" i="9"/>
  <c r="U248" i="9"/>
  <c r="U250" i="9"/>
  <c r="U251" i="9"/>
  <c r="U252" i="9"/>
  <c r="U255" i="9"/>
  <c r="U256" i="9"/>
  <c r="U258" i="9"/>
  <c r="U262" i="9"/>
  <c r="U263" i="9"/>
  <c r="U265" i="9"/>
  <c r="U266" i="9"/>
  <c r="U267" i="9"/>
  <c r="U268" i="9"/>
  <c r="U269" i="9"/>
  <c r="U270" i="9"/>
  <c r="U272" i="9"/>
  <c r="U275" i="9"/>
  <c r="U276" i="9"/>
  <c r="U279" i="9"/>
  <c r="U281" i="9"/>
  <c r="U284" i="9"/>
  <c r="U286" i="9"/>
  <c r="U287" i="9"/>
  <c r="U291" i="9"/>
  <c r="U293" i="9"/>
  <c r="U312" i="9"/>
  <c r="T154" i="9"/>
  <c r="T36" i="9"/>
  <c r="T83" i="9"/>
  <c r="T264" i="9"/>
  <c r="T259" i="9"/>
  <c r="T301" i="9"/>
  <c r="T230" i="9"/>
  <c r="T288" i="9"/>
  <c r="T316" i="9"/>
  <c r="T29" i="9"/>
  <c r="T37" i="9"/>
  <c r="T90" i="9"/>
  <c r="T163" i="9"/>
  <c r="T294" i="9"/>
  <c r="T190" i="9"/>
  <c r="T226" i="9"/>
  <c r="T260" i="9"/>
  <c r="T23" i="9"/>
  <c r="T30" i="9"/>
  <c r="T84" i="9"/>
  <c r="T173" i="9"/>
  <c r="T239" i="9"/>
  <c r="T249" i="9"/>
  <c r="T271" i="9"/>
  <c r="T320" i="9"/>
  <c r="T64" i="9"/>
  <c r="T68" i="9"/>
  <c r="T92" i="9"/>
  <c r="T119" i="9"/>
  <c r="T149" i="9"/>
  <c r="T235" i="9"/>
  <c r="T278" i="9"/>
  <c r="T32" i="9"/>
  <c r="T35" i="9"/>
  <c r="T73" i="9"/>
  <c r="T79" i="9"/>
  <c r="T131" i="9"/>
  <c r="T225" i="9"/>
  <c r="T242" i="9"/>
  <c r="T8" i="9"/>
  <c r="T12" i="9"/>
  <c r="T16" i="9"/>
  <c r="T38" i="9"/>
  <c r="T81" i="9"/>
  <c r="T82" i="9"/>
  <c r="T88" i="9"/>
  <c r="T133" i="9"/>
  <c r="T137" i="9"/>
  <c r="T170" i="9"/>
  <c r="T201" i="9"/>
  <c r="T202" i="9"/>
  <c r="T211" i="9"/>
  <c r="T244" i="9"/>
  <c r="T261" i="9"/>
  <c r="T283" i="9"/>
  <c r="T285" i="9"/>
  <c r="T128" i="9"/>
  <c r="T159" i="9"/>
  <c r="T177" i="9"/>
  <c r="T240" i="9"/>
  <c r="T315" i="9"/>
  <c r="T33" i="9"/>
  <c r="T49" i="9"/>
  <c r="T62" i="9"/>
  <c r="T78" i="9"/>
  <c r="T166" i="9"/>
  <c r="T182" i="9"/>
  <c r="T186" i="9"/>
  <c r="T236" i="9"/>
  <c r="T290" i="9"/>
  <c r="T19" i="9"/>
  <c r="T147" i="9"/>
  <c r="T274" i="9"/>
  <c r="T295" i="9"/>
  <c r="T297" i="9"/>
  <c r="T299" i="9"/>
  <c r="T302" i="9"/>
  <c r="T303" i="9"/>
  <c r="T304" i="9"/>
  <c r="T305" i="9"/>
  <c r="T307" i="9"/>
  <c r="T308" i="9"/>
  <c r="T309" i="9"/>
  <c r="T310" i="9"/>
  <c r="T311" i="9"/>
  <c r="T313" i="9"/>
  <c r="T314" i="9"/>
  <c r="T317" i="9"/>
  <c r="T318" i="9"/>
  <c r="T247" i="9"/>
  <c r="T5" i="9"/>
  <c r="T6" i="9"/>
  <c r="T7" i="9"/>
  <c r="T9" i="9"/>
  <c r="T10" i="9"/>
  <c r="T11" i="9"/>
  <c r="T13" i="9"/>
  <c r="T14" i="9"/>
  <c r="T15" i="9"/>
  <c r="T18" i="9"/>
  <c r="T21" i="9"/>
  <c r="T22" i="9"/>
  <c r="T25" i="9"/>
  <c r="T27" i="9"/>
  <c r="T28" i="9"/>
  <c r="T31" i="9"/>
  <c r="T39" i="9"/>
  <c r="T41" i="9"/>
  <c r="T42" i="9"/>
  <c r="T43" i="9"/>
  <c r="T44" i="9"/>
  <c r="T45" i="9"/>
  <c r="T46" i="9"/>
  <c r="T47" i="9"/>
  <c r="T48" i="9"/>
  <c r="T50" i="9"/>
  <c r="T51" i="9"/>
  <c r="T52" i="9"/>
  <c r="T55" i="9"/>
  <c r="T58" i="9"/>
  <c r="T59" i="9"/>
  <c r="T60" i="9"/>
  <c r="T61" i="9"/>
  <c r="T63" i="9"/>
  <c r="T65" i="9"/>
  <c r="T67" i="9"/>
  <c r="T69" i="9"/>
  <c r="T70" i="9"/>
  <c r="T71" i="9"/>
  <c r="T72" i="9"/>
  <c r="T74" i="9"/>
  <c r="T75" i="9"/>
  <c r="T77" i="9"/>
  <c r="T85" i="9"/>
  <c r="T86" i="9"/>
  <c r="T89" i="9"/>
  <c r="T91" i="9"/>
  <c r="T93" i="9"/>
  <c r="T95" i="9"/>
  <c r="T96" i="9"/>
  <c r="T97" i="9"/>
  <c r="T99" i="9"/>
  <c r="T100" i="9"/>
  <c r="T101" i="9"/>
  <c r="T102" i="9"/>
  <c r="T103" i="9"/>
  <c r="T104" i="9"/>
  <c r="T105" i="9"/>
  <c r="T3" i="9"/>
  <c r="T106" i="9"/>
  <c r="T107" i="9"/>
  <c r="T108" i="9"/>
  <c r="T110" i="9"/>
  <c r="T111" i="9"/>
  <c r="T112" i="9"/>
  <c r="T113" i="9"/>
  <c r="T114" i="9"/>
  <c r="T115" i="9"/>
  <c r="T116" i="9"/>
  <c r="T118" i="9"/>
  <c r="T123" i="9"/>
  <c r="T125" i="9"/>
  <c r="T126" i="9"/>
  <c r="T127" i="9"/>
  <c r="T129" i="9"/>
  <c r="T130" i="9"/>
  <c r="T132" i="9"/>
  <c r="T138" i="9"/>
  <c r="T139" i="9"/>
  <c r="T141" i="9"/>
  <c r="T142" i="9"/>
  <c r="T143" i="9"/>
  <c r="T144" i="9"/>
  <c r="T145" i="9"/>
  <c r="T146" i="9"/>
  <c r="T148" i="9"/>
  <c r="T150" i="9"/>
  <c r="T151" i="9"/>
  <c r="T152" i="9"/>
  <c r="T153" i="9"/>
  <c r="T156" i="9"/>
  <c r="T157" i="9"/>
  <c r="T158" i="9"/>
  <c r="T161" i="9"/>
  <c r="T162" i="9"/>
  <c r="T164" i="9"/>
  <c r="T165" i="9"/>
  <c r="T167" i="9"/>
  <c r="T169" i="9"/>
  <c r="T273" i="9"/>
  <c r="T171" i="9"/>
  <c r="T172" i="9"/>
  <c r="T175" i="9"/>
  <c r="T176" i="9"/>
  <c r="T178" i="9"/>
  <c r="T179" i="9"/>
  <c r="T180" i="9"/>
  <c r="T181" i="9"/>
  <c r="T183" i="9"/>
  <c r="T184" i="9"/>
  <c r="T188" i="9"/>
  <c r="T189" i="9"/>
  <c r="T191" i="9"/>
  <c r="T192" i="9"/>
  <c r="T193" i="9"/>
  <c r="T194" i="9"/>
  <c r="T195" i="9"/>
  <c r="T196" i="9"/>
  <c r="T197" i="9"/>
  <c r="T198" i="9"/>
  <c r="T203" i="9"/>
  <c r="T204" i="9"/>
  <c r="T205" i="9"/>
  <c r="T207" i="9"/>
  <c r="T208" i="9"/>
  <c r="T209" i="9"/>
  <c r="T210" i="9"/>
  <c r="T212" i="9"/>
  <c r="T216" i="9"/>
  <c r="T218" i="9"/>
  <c r="T217" i="9"/>
  <c r="T219" i="9"/>
  <c r="T220" i="9"/>
  <c r="T221" i="9"/>
  <c r="T223" i="9"/>
  <c r="T224" i="9"/>
  <c r="T229" i="9"/>
  <c r="T231" i="9"/>
  <c r="T233" i="9"/>
  <c r="T234" i="9"/>
  <c r="T237" i="9"/>
  <c r="T238" i="9"/>
  <c r="T241" i="9"/>
  <c r="T243" i="9"/>
  <c r="T245" i="9"/>
  <c r="T248" i="9"/>
  <c r="T250" i="9"/>
  <c r="T251" i="9"/>
  <c r="T252" i="9"/>
  <c r="T255" i="9"/>
  <c r="T256" i="9"/>
  <c r="T258" i="9"/>
  <c r="T262" i="9"/>
  <c r="T263" i="9"/>
  <c r="T265" i="9"/>
  <c r="T266" i="9"/>
  <c r="T267" i="9"/>
  <c r="T268" i="9"/>
  <c r="T269" i="9"/>
  <c r="T270" i="9"/>
  <c r="T272" i="9"/>
  <c r="T275" i="9"/>
  <c r="T276" i="9"/>
  <c r="T279" i="9"/>
  <c r="T281" i="9"/>
  <c r="T284" i="9"/>
  <c r="T286" i="9"/>
  <c r="T287" i="9"/>
  <c r="T291" i="9"/>
  <c r="T293" i="9"/>
  <c r="T312" i="9"/>
  <c r="S154" i="9"/>
  <c r="S36" i="9"/>
  <c r="S83" i="9"/>
  <c r="S264" i="9"/>
  <c r="S259" i="9"/>
  <c r="S301" i="9"/>
  <c r="S230" i="9"/>
  <c r="S288" i="9"/>
  <c r="S316" i="9"/>
  <c r="S29" i="9"/>
  <c r="S37" i="9"/>
  <c r="S90" i="9"/>
  <c r="S163" i="9"/>
  <c r="S294" i="9"/>
  <c r="S190" i="9"/>
  <c r="S226" i="9"/>
  <c r="S260" i="9"/>
  <c r="S23" i="9"/>
  <c r="S30" i="9"/>
  <c r="S84" i="9"/>
  <c r="S173" i="9"/>
  <c r="S239" i="9"/>
  <c r="S249" i="9"/>
  <c r="S271" i="9"/>
  <c r="S320" i="9"/>
  <c r="S64" i="9"/>
  <c r="S68" i="9"/>
  <c r="S92" i="9"/>
  <c r="S119" i="9"/>
  <c r="S149" i="9"/>
  <c r="S235" i="9"/>
  <c r="S278" i="9"/>
  <c r="S32" i="9"/>
  <c r="S35" i="9"/>
  <c r="S73" i="9"/>
  <c r="S79" i="9"/>
  <c r="S131" i="9"/>
  <c r="S225" i="9"/>
  <c r="S242" i="9"/>
  <c r="S8" i="9"/>
  <c r="S12" i="9"/>
  <c r="S16" i="9"/>
  <c r="S38" i="9"/>
  <c r="S81" i="9"/>
  <c r="S82" i="9"/>
  <c r="S88" i="9"/>
  <c r="S133" i="9"/>
  <c r="S137" i="9"/>
  <c r="S170" i="9"/>
  <c r="S201" i="9"/>
  <c r="S202" i="9"/>
  <c r="S211" i="9"/>
  <c r="S244" i="9"/>
  <c r="S261" i="9"/>
  <c r="S283" i="9"/>
  <c r="S285" i="9"/>
  <c r="S128" i="9"/>
  <c r="S159" i="9"/>
  <c r="S177" i="9"/>
  <c r="S240" i="9"/>
  <c r="S315" i="9"/>
  <c r="S33" i="9"/>
  <c r="S49" i="9"/>
  <c r="S62" i="9"/>
  <c r="S78" i="9"/>
  <c r="S166" i="9"/>
  <c r="S182" i="9"/>
  <c r="S186" i="9"/>
  <c r="S236" i="9"/>
  <c r="S290" i="9"/>
  <c r="S19" i="9"/>
  <c r="S147" i="9"/>
  <c r="S274" i="9"/>
  <c r="S295" i="9"/>
  <c r="S297" i="9"/>
  <c r="S299" i="9"/>
  <c r="S302" i="9"/>
  <c r="S303" i="9"/>
  <c r="S304" i="9"/>
  <c r="S305" i="9"/>
  <c r="S307" i="9"/>
  <c r="S308" i="9"/>
  <c r="S309" i="9"/>
  <c r="S310" i="9"/>
  <c r="S311" i="9"/>
  <c r="S313" i="9"/>
  <c r="S314" i="9"/>
  <c r="S317" i="9"/>
  <c r="S318" i="9"/>
  <c r="S247" i="9"/>
  <c r="S5" i="9"/>
  <c r="S6" i="9"/>
  <c r="S7" i="9"/>
  <c r="S9" i="9"/>
  <c r="S10" i="9"/>
  <c r="S11" i="9"/>
  <c r="S13" i="9"/>
  <c r="S14" i="9"/>
  <c r="S15" i="9"/>
  <c r="S18" i="9"/>
  <c r="S21" i="9"/>
  <c r="S22" i="9"/>
  <c r="S25" i="9"/>
  <c r="S27" i="9"/>
  <c r="S28" i="9"/>
  <c r="S31" i="9"/>
  <c r="S39" i="9"/>
  <c r="S41" i="9"/>
  <c r="S42" i="9"/>
  <c r="S43" i="9"/>
  <c r="S44" i="9"/>
  <c r="S45" i="9"/>
  <c r="S46" i="9"/>
  <c r="S47" i="9"/>
  <c r="S48" i="9"/>
  <c r="S50" i="9"/>
  <c r="S51" i="9"/>
  <c r="S52" i="9"/>
  <c r="S55" i="9"/>
  <c r="S58" i="9"/>
  <c r="S59" i="9"/>
  <c r="S60" i="9"/>
  <c r="S61" i="9"/>
  <c r="S63" i="9"/>
  <c r="S65" i="9"/>
  <c r="S67" i="9"/>
  <c r="S69" i="9"/>
  <c r="S70" i="9"/>
  <c r="S71" i="9"/>
  <c r="S72" i="9"/>
  <c r="S74" i="9"/>
  <c r="S75" i="9"/>
  <c r="S77" i="9"/>
  <c r="S85" i="9"/>
  <c r="S86" i="9"/>
  <c r="S89" i="9"/>
  <c r="S91" i="9"/>
  <c r="S93" i="9"/>
  <c r="S95" i="9"/>
  <c r="S96" i="9"/>
  <c r="S97" i="9"/>
  <c r="S99" i="9"/>
  <c r="S100" i="9"/>
  <c r="S101" i="9"/>
  <c r="S102" i="9"/>
  <c r="S103" i="9"/>
  <c r="S104" i="9"/>
  <c r="S105" i="9"/>
  <c r="S3" i="9"/>
  <c r="S106" i="9"/>
  <c r="S107" i="9"/>
  <c r="S108" i="9"/>
  <c r="S110" i="9"/>
  <c r="S111" i="9"/>
  <c r="S112" i="9"/>
  <c r="S113" i="9"/>
  <c r="S114" i="9"/>
  <c r="S115" i="9"/>
  <c r="S116" i="9"/>
  <c r="S118" i="9"/>
  <c r="S123" i="9"/>
  <c r="S125" i="9"/>
  <c r="S126" i="9"/>
  <c r="S127" i="9"/>
  <c r="S129" i="9"/>
  <c r="S130" i="9"/>
  <c r="S132" i="9"/>
  <c r="S138" i="9"/>
  <c r="S139" i="9"/>
  <c r="S141" i="9"/>
  <c r="S142" i="9"/>
  <c r="S143" i="9"/>
  <c r="S144" i="9"/>
  <c r="S145" i="9"/>
  <c r="S146" i="9"/>
  <c r="S148" i="9"/>
  <c r="S150" i="9"/>
  <c r="S151" i="9"/>
  <c r="S152" i="9"/>
  <c r="S153" i="9"/>
  <c r="S156" i="9"/>
  <c r="S157" i="9"/>
  <c r="S158" i="9"/>
  <c r="S161" i="9"/>
  <c r="S162" i="9"/>
  <c r="S164" i="9"/>
  <c r="S165" i="9"/>
  <c r="S167" i="9"/>
  <c r="S169" i="9"/>
  <c r="S273" i="9"/>
  <c r="S171" i="9"/>
  <c r="S172" i="9"/>
  <c r="S175" i="9"/>
  <c r="S176" i="9"/>
  <c r="S178" i="9"/>
  <c r="S179" i="9"/>
  <c r="S180" i="9"/>
  <c r="S181" i="9"/>
  <c r="S183" i="9"/>
  <c r="S184" i="9"/>
  <c r="S188" i="9"/>
  <c r="S189" i="9"/>
  <c r="S191" i="9"/>
  <c r="S192" i="9"/>
  <c r="S193" i="9"/>
  <c r="S194" i="9"/>
  <c r="S195" i="9"/>
  <c r="S196" i="9"/>
  <c r="S197" i="9"/>
  <c r="S198" i="9"/>
  <c r="S203" i="9"/>
  <c r="S204" i="9"/>
  <c r="S205" i="9"/>
  <c r="S207" i="9"/>
  <c r="S208" i="9"/>
  <c r="S209" i="9"/>
  <c r="S210" i="9"/>
  <c r="S212" i="9"/>
  <c r="S216" i="9"/>
  <c r="S218" i="9"/>
  <c r="S217" i="9"/>
  <c r="S219" i="9"/>
  <c r="S220" i="9"/>
  <c r="S221" i="9"/>
  <c r="S223" i="9"/>
  <c r="S224" i="9"/>
  <c r="S229" i="9"/>
  <c r="S231" i="9"/>
  <c r="S233" i="9"/>
  <c r="S234" i="9"/>
  <c r="S237" i="9"/>
  <c r="S238" i="9"/>
  <c r="S241" i="9"/>
  <c r="S243" i="9"/>
  <c r="S245" i="9"/>
  <c r="S248" i="9"/>
  <c r="S250" i="9"/>
  <c r="S251" i="9"/>
  <c r="S252" i="9"/>
  <c r="S255" i="9"/>
  <c r="S256" i="9"/>
  <c r="S258" i="9"/>
  <c r="S262" i="9"/>
  <c r="S263" i="9"/>
  <c r="S265" i="9"/>
  <c r="S266" i="9"/>
  <c r="S267" i="9"/>
  <c r="S268" i="9"/>
  <c r="S269" i="9"/>
  <c r="S270" i="9"/>
  <c r="S272" i="9"/>
  <c r="S275" i="9"/>
  <c r="S276" i="9"/>
  <c r="S279" i="9"/>
  <c r="S281" i="9"/>
  <c r="S284" i="9"/>
  <c r="S286" i="9"/>
  <c r="S287" i="9"/>
  <c r="S291" i="9"/>
  <c r="S293" i="9"/>
  <c r="S312" i="9"/>
  <c r="R154" i="9"/>
  <c r="R36" i="9"/>
  <c r="R83" i="9"/>
  <c r="R264" i="9"/>
  <c r="R259" i="9"/>
  <c r="R301" i="9"/>
  <c r="R230" i="9"/>
  <c r="R288" i="9"/>
  <c r="R316" i="9"/>
  <c r="R29" i="9"/>
  <c r="R37" i="9"/>
  <c r="R90" i="9"/>
  <c r="R163" i="9"/>
  <c r="R294" i="9"/>
  <c r="R190" i="9"/>
  <c r="R226" i="9"/>
  <c r="R260" i="9"/>
  <c r="R23" i="9"/>
  <c r="R30" i="9"/>
  <c r="R84" i="9"/>
  <c r="R173" i="9"/>
  <c r="R239" i="9"/>
  <c r="R249" i="9"/>
  <c r="R271" i="9"/>
  <c r="R320" i="9"/>
  <c r="R64" i="9"/>
  <c r="R68" i="9"/>
  <c r="R92" i="9"/>
  <c r="R119" i="9"/>
  <c r="R149" i="9"/>
  <c r="R235" i="9"/>
  <c r="R278" i="9"/>
  <c r="R32" i="9"/>
  <c r="R35" i="9"/>
  <c r="R73" i="9"/>
  <c r="R79" i="9"/>
  <c r="R131" i="9"/>
  <c r="R225" i="9"/>
  <c r="R242" i="9"/>
  <c r="R8" i="9"/>
  <c r="R12" i="9"/>
  <c r="R16" i="9"/>
  <c r="R38" i="9"/>
  <c r="R81" i="9"/>
  <c r="R82" i="9"/>
  <c r="R88" i="9"/>
  <c r="R133" i="9"/>
  <c r="R137" i="9"/>
  <c r="R170" i="9"/>
  <c r="R201" i="9"/>
  <c r="R202" i="9"/>
  <c r="R211" i="9"/>
  <c r="R244" i="9"/>
  <c r="R261" i="9"/>
  <c r="R283" i="9"/>
  <c r="R285" i="9"/>
  <c r="R128" i="9"/>
  <c r="R159" i="9"/>
  <c r="R177" i="9"/>
  <c r="R240" i="9"/>
  <c r="R315" i="9"/>
  <c r="R33" i="9"/>
  <c r="R49" i="9"/>
  <c r="R62" i="9"/>
  <c r="R78" i="9"/>
  <c r="R166" i="9"/>
  <c r="R182" i="9"/>
  <c r="R186" i="9"/>
  <c r="R236" i="9"/>
  <c r="R290" i="9"/>
  <c r="R19" i="9"/>
  <c r="R147" i="9"/>
  <c r="R274" i="9"/>
  <c r="R295" i="9"/>
  <c r="R297" i="9"/>
  <c r="R299" i="9"/>
  <c r="R302" i="9"/>
  <c r="R303" i="9"/>
  <c r="R304" i="9"/>
  <c r="R305" i="9"/>
  <c r="R307" i="9"/>
  <c r="R308" i="9"/>
  <c r="R309" i="9"/>
  <c r="R310" i="9"/>
  <c r="R311" i="9"/>
  <c r="R313" i="9"/>
  <c r="R314" i="9"/>
  <c r="R317" i="9"/>
  <c r="R318" i="9"/>
  <c r="R247" i="9"/>
  <c r="R5" i="9"/>
  <c r="R6" i="9"/>
  <c r="R7" i="9"/>
  <c r="R9" i="9"/>
  <c r="R10" i="9"/>
  <c r="R11" i="9"/>
  <c r="R13" i="9"/>
  <c r="R14" i="9"/>
  <c r="R15" i="9"/>
  <c r="R18" i="9"/>
  <c r="R21" i="9"/>
  <c r="R22" i="9"/>
  <c r="R25" i="9"/>
  <c r="R27" i="9"/>
  <c r="R28" i="9"/>
  <c r="R31" i="9"/>
  <c r="R39" i="9"/>
  <c r="R41" i="9"/>
  <c r="R42" i="9"/>
  <c r="R43" i="9"/>
  <c r="R44" i="9"/>
  <c r="R45" i="9"/>
  <c r="R46" i="9"/>
  <c r="R47" i="9"/>
  <c r="R48" i="9"/>
  <c r="R50" i="9"/>
  <c r="R51" i="9"/>
  <c r="R52" i="9"/>
  <c r="R55" i="9"/>
  <c r="R58" i="9"/>
  <c r="R59" i="9"/>
  <c r="R60" i="9"/>
  <c r="R61" i="9"/>
  <c r="R63" i="9"/>
  <c r="R65" i="9"/>
  <c r="R67" i="9"/>
  <c r="R69" i="9"/>
  <c r="R70" i="9"/>
  <c r="R71" i="9"/>
  <c r="R72" i="9"/>
  <c r="R74" i="9"/>
  <c r="R75" i="9"/>
  <c r="R77" i="9"/>
  <c r="R85" i="9"/>
  <c r="R86" i="9"/>
  <c r="R89" i="9"/>
  <c r="R91" i="9"/>
  <c r="R93" i="9"/>
  <c r="R95" i="9"/>
  <c r="R96" i="9"/>
  <c r="R97" i="9"/>
  <c r="R99" i="9"/>
  <c r="R100" i="9"/>
  <c r="R101" i="9"/>
  <c r="R102" i="9"/>
  <c r="R103" i="9"/>
  <c r="R104" i="9"/>
  <c r="R105" i="9"/>
  <c r="R3" i="9"/>
  <c r="R106" i="9"/>
  <c r="R107" i="9"/>
  <c r="R108" i="9"/>
  <c r="R110" i="9"/>
  <c r="R111" i="9"/>
  <c r="R112" i="9"/>
  <c r="R113" i="9"/>
  <c r="R114" i="9"/>
  <c r="R115" i="9"/>
  <c r="R116" i="9"/>
  <c r="R118" i="9"/>
  <c r="R123" i="9"/>
  <c r="R125" i="9"/>
  <c r="R126" i="9"/>
  <c r="R127" i="9"/>
  <c r="R129" i="9"/>
  <c r="R130" i="9"/>
  <c r="R132" i="9"/>
  <c r="R138" i="9"/>
  <c r="R139" i="9"/>
  <c r="R141" i="9"/>
  <c r="R142" i="9"/>
  <c r="R143" i="9"/>
  <c r="R144" i="9"/>
  <c r="R145" i="9"/>
  <c r="R146" i="9"/>
  <c r="R148" i="9"/>
  <c r="R150" i="9"/>
  <c r="R151" i="9"/>
  <c r="R152" i="9"/>
  <c r="R153" i="9"/>
  <c r="R156" i="9"/>
  <c r="R157" i="9"/>
  <c r="R158" i="9"/>
  <c r="R161" i="9"/>
  <c r="R162" i="9"/>
  <c r="R164" i="9"/>
  <c r="R165" i="9"/>
  <c r="R167" i="9"/>
  <c r="R169" i="9"/>
  <c r="R273" i="9"/>
  <c r="R171" i="9"/>
  <c r="R172" i="9"/>
  <c r="R175" i="9"/>
  <c r="R176" i="9"/>
  <c r="R178" i="9"/>
  <c r="R179" i="9"/>
  <c r="R180" i="9"/>
  <c r="R181" i="9"/>
  <c r="R183" i="9"/>
  <c r="R184" i="9"/>
  <c r="R188" i="9"/>
  <c r="R189" i="9"/>
  <c r="R191" i="9"/>
  <c r="R192" i="9"/>
  <c r="R193" i="9"/>
  <c r="R194" i="9"/>
  <c r="R195" i="9"/>
  <c r="R196" i="9"/>
  <c r="R197" i="9"/>
  <c r="R198" i="9"/>
  <c r="R203" i="9"/>
  <c r="R204" i="9"/>
  <c r="R205" i="9"/>
  <c r="R207" i="9"/>
  <c r="R208" i="9"/>
  <c r="R209" i="9"/>
  <c r="R210" i="9"/>
  <c r="R212" i="9"/>
  <c r="R216" i="9"/>
  <c r="R218" i="9"/>
  <c r="R217" i="9"/>
  <c r="R219" i="9"/>
  <c r="R220" i="9"/>
  <c r="R221" i="9"/>
  <c r="R223" i="9"/>
  <c r="R224" i="9"/>
  <c r="R229" i="9"/>
  <c r="R231" i="9"/>
  <c r="R233" i="9"/>
  <c r="R234" i="9"/>
  <c r="R237" i="9"/>
  <c r="R238" i="9"/>
  <c r="R241" i="9"/>
  <c r="R243" i="9"/>
  <c r="R245" i="9"/>
  <c r="R248" i="9"/>
  <c r="R250" i="9"/>
  <c r="R251" i="9"/>
  <c r="R252" i="9"/>
  <c r="R255" i="9"/>
  <c r="R256" i="9"/>
  <c r="R258" i="9"/>
  <c r="R262" i="9"/>
  <c r="R263" i="9"/>
  <c r="R265" i="9"/>
  <c r="R266" i="9"/>
  <c r="R267" i="9"/>
  <c r="R268" i="9"/>
  <c r="R269" i="9"/>
  <c r="R270" i="9"/>
  <c r="R272" i="9"/>
  <c r="R275" i="9"/>
  <c r="R276" i="9"/>
  <c r="R279" i="9"/>
  <c r="R281" i="9"/>
  <c r="R284" i="9"/>
  <c r="R286" i="9"/>
  <c r="R287" i="9"/>
  <c r="R291" i="9"/>
  <c r="R293" i="9"/>
  <c r="R312" i="9"/>
  <c r="Q154" i="9"/>
  <c r="Q36" i="9"/>
  <c r="Q83" i="9"/>
  <c r="Q264" i="9"/>
  <c r="Q259" i="9"/>
  <c r="Q301" i="9"/>
  <c r="Q230" i="9"/>
  <c r="Q288" i="9"/>
  <c r="Q316" i="9"/>
  <c r="Q29" i="9"/>
  <c r="Q37" i="9"/>
  <c r="Q90" i="9"/>
  <c r="Q163" i="9"/>
  <c r="Q294" i="9"/>
  <c r="Q190" i="9"/>
  <c r="Q226" i="9"/>
  <c r="Q260" i="9"/>
  <c r="Q23" i="9"/>
  <c r="Q30" i="9"/>
  <c r="Q84" i="9"/>
  <c r="Q173" i="9"/>
  <c r="Q239" i="9"/>
  <c r="Q249" i="9"/>
  <c r="Q271" i="9"/>
  <c r="Q320" i="9"/>
  <c r="Q64" i="9"/>
  <c r="Q68" i="9"/>
  <c r="Q92" i="9"/>
  <c r="Q119" i="9"/>
  <c r="Q149" i="9"/>
  <c r="Q235" i="9"/>
  <c r="Q278" i="9"/>
  <c r="Q32" i="9"/>
  <c r="Q35" i="9"/>
  <c r="Q73" i="9"/>
  <c r="Q79" i="9"/>
  <c r="Q131" i="9"/>
  <c r="Q225" i="9"/>
  <c r="Q242" i="9"/>
  <c r="Q8" i="9"/>
  <c r="Q12" i="9"/>
  <c r="Q16" i="9"/>
  <c r="Q38" i="9"/>
  <c r="Q81" i="9"/>
  <c r="Q82" i="9"/>
  <c r="Q88" i="9"/>
  <c r="Q133" i="9"/>
  <c r="Q137" i="9"/>
  <c r="Q170" i="9"/>
  <c r="Q201" i="9"/>
  <c r="Q202" i="9"/>
  <c r="Q211" i="9"/>
  <c r="Q244" i="9"/>
  <c r="Q261" i="9"/>
  <c r="Q283" i="9"/>
  <c r="Q285" i="9"/>
  <c r="Q128" i="9"/>
  <c r="Q159" i="9"/>
  <c r="Q177" i="9"/>
  <c r="Q240" i="9"/>
  <c r="Q315" i="9"/>
  <c r="Q33" i="9"/>
  <c r="Q49" i="9"/>
  <c r="Q62" i="9"/>
  <c r="Q78" i="9"/>
  <c r="Q166" i="9"/>
  <c r="Q182" i="9"/>
  <c r="Q186" i="9"/>
  <c r="Q236" i="9"/>
  <c r="Q290" i="9"/>
  <c r="Q19" i="9"/>
  <c r="Q147" i="9"/>
  <c r="Q274" i="9"/>
  <c r="Q295" i="9"/>
  <c r="Q297" i="9"/>
  <c r="Q299" i="9"/>
  <c r="Q302" i="9"/>
  <c r="Q303" i="9"/>
  <c r="Q304" i="9"/>
  <c r="Q305" i="9"/>
  <c r="Q307" i="9"/>
  <c r="Q308" i="9"/>
  <c r="Q309" i="9"/>
  <c r="Q310" i="9"/>
  <c r="Q311" i="9"/>
  <c r="Q313" i="9"/>
  <c r="Q314" i="9"/>
  <c r="Q317" i="9"/>
  <c r="Q318" i="9"/>
  <c r="Q247" i="9"/>
  <c r="Q5" i="9"/>
  <c r="Q6" i="9"/>
  <c r="Q7" i="9"/>
  <c r="Q9" i="9"/>
  <c r="Q10" i="9"/>
  <c r="Q11" i="9"/>
  <c r="Q13" i="9"/>
  <c r="Q14" i="9"/>
  <c r="Q15" i="9"/>
  <c r="Q18" i="9"/>
  <c r="Q21" i="9"/>
  <c r="Q22" i="9"/>
  <c r="Q25" i="9"/>
  <c r="Q27" i="9"/>
  <c r="Q28" i="9"/>
  <c r="Q31" i="9"/>
  <c r="Q39" i="9"/>
  <c r="Q41" i="9"/>
  <c r="Q42" i="9"/>
  <c r="Q43" i="9"/>
  <c r="Q44" i="9"/>
  <c r="Q45" i="9"/>
  <c r="Q46" i="9"/>
  <c r="Q47" i="9"/>
  <c r="Q48" i="9"/>
  <c r="Q50" i="9"/>
  <c r="Q51" i="9"/>
  <c r="Q52" i="9"/>
  <c r="Q55" i="9"/>
  <c r="Q58" i="9"/>
  <c r="Q59" i="9"/>
  <c r="Q60" i="9"/>
  <c r="Q61" i="9"/>
  <c r="Q63" i="9"/>
  <c r="Q65" i="9"/>
  <c r="Q67" i="9"/>
  <c r="Q69" i="9"/>
  <c r="Q70" i="9"/>
  <c r="Q71" i="9"/>
  <c r="Q72" i="9"/>
  <c r="Q74" i="9"/>
  <c r="Q75" i="9"/>
  <c r="Q77" i="9"/>
  <c r="Q85" i="9"/>
  <c r="Q86" i="9"/>
  <c r="Q89" i="9"/>
  <c r="Q91" i="9"/>
  <c r="Q93" i="9"/>
  <c r="Q95" i="9"/>
  <c r="Q96" i="9"/>
  <c r="Q97" i="9"/>
  <c r="Q99" i="9"/>
  <c r="Q100" i="9"/>
  <c r="Q101" i="9"/>
  <c r="Q102" i="9"/>
  <c r="Q103" i="9"/>
  <c r="Q104" i="9"/>
  <c r="Q105" i="9"/>
  <c r="Q3" i="9"/>
  <c r="Q106" i="9"/>
  <c r="Q107" i="9"/>
  <c r="Q108" i="9"/>
  <c r="Q110" i="9"/>
  <c r="Q111" i="9"/>
  <c r="Q112" i="9"/>
  <c r="Q113" i="9"/>
  <c r="Q114" i="9"/>
  <c r="Q115" i="9"/>
  <c r="Q116" i="9"/>
  <c r="Q118" i="9"/>
  <c r="Q123" i="9"/>
  <c r="Q125" i="9"/>
  <c r="Q126" i="9"/>
  <c r="Q127" i="9"/>
  <c r="Q129" i="9"/>
  <c r="Q130" i="9"/>
  <c r="Q132" i="9"/>
  <c r="Q138" i="9"/>
  <c r="Q139" i="9"/>
  <c r="Q141" i="9"/>
  <c r="Q142" i="9"/>
  <c r="Q143" i="9"/>
  <c r="Q144" i="9"/>
  <c r="Q145" i="9"/>
  <c r="Q146" i="9"/>
  <c r="Q148" i="9"/>
  <c r="Q150" i="9"/>
  <c r="Q151" i="9"/>
  <c r="Q152" i="9"/>
  <c r="Q153" i="9"/>
  <c r="Q156" i="9"/>
  <c r="Q157" i="9"/>
  <c r="Q158" i="9"/>
  <c r="Q161" i="9"/>
  <c r="Q162" i="9"/>
  <c r="Q164" i="9"/>
  <c r="Q165" i="9"/>
  <c r="Q167" i="9"/>
  <c r="Q169" i="9"/>
  <c r="Q273" i="9"/>
  <c r="Q171" i="9"/>
  <c r="Q172" i="9"/>
  <c r="Q175" i="9"/>
  <c r="Q176" i="9"/>
  <c r="Q178" i="9"/>
  <c r="Q179" i="9"/>
  <c r="Q180" i="9"/>
  <c r="Q181" i="9"/>
  <c r="Q183" i="9"/>
  <c r="Q184" i="9"/>
  <c r="Q188" i="9"/>
  <c r="Q189" i="9"/>
  <c r="Q191" i="9"/>
  <c r="Q192" i="9"/>
  <c r="Q193" i="9"/>
  <c r="Q194" i="9"/>
  <c r="Q195" i="9"/>
  <c r="Q196" i="9"/>
  <c r="Q197" i="9"/>
  <c r="Q198" i="9"/>
  <c r="Q203" i="9"/>
  <c r="Q204" i="9"/>
  <c r="Q205" i="9"/>
  <c r="Q207" i="9"/>
  <c r="Q208" i="9"/>
  <c r="Q209" i="9"/>
  <c r="Q210" i="9"/>
  <c r="Q212" i="9"/>
  <c r="Q216" i="9"/>
  <c r="Q218" i="9"/>
  <c r="Q217" i="9"/>
  <c r="Q219" i="9"/>
  <c r="Q220" i="9"/>
  <c r="Q221" i="9"/>
  <c r="Q223" i="9"/>
  <c r="Q224" i="9"/>
  <c r="Q229" i="9"/>
  <c r="Q231" i="9"/>
  <c r="Q233" i="9"/>
  <c r="Q234" i="9"/>
  <c r="Q237" i="9"/>
  <c r="Q238" i="9"/>
  <c r="Q241" i="9"/>
  <c r="Q243" i="9"/>
  <c r="Q245" i="9"/>
  <c r="Q248" i="9"/>
  <c r="Q250" i="9"/>
  <c r="Q251" i="9"/>
  <c r="Q252" i="9"/>
  <c r="Q255" i="9"/>
  <c r="Q256" i="9"/>
  <c r="Q258" i="9"/>
  <c r="Q262" i="9"/>
  <c r="Q263" i="9"/>
  <c r="Q265" i="9"/>
  <c r="Q266" i="9"/>
  <c r="Q267" i="9"/>
  <c r="Q268" i="9"/>
  <c r="Q269" i="9"/>
  <c r="Q270" i="9"/>
  <c r="Q272" i="9"/>
  <c r="Q275" i="9"/>
  <c r="Q276" i="9"/>
  <c r="Q279" i="9"/>
  <c r="Q281" i="9"/>
  <c r="Q284" i="9"/>
  <c r="Q286" i="9"/>
  <c r="Q287" i="9"/>
  <c r="Q291" i="9"/>
  <c r="Q293" i="9"/>
  <c r="Q312" i="9"/>
  <c r="P154" i="9"/>
  <c r="P36" i="9"/>
  <c r="P83" i="9"/>
  <c r="P264" i="9"/>
  <c r="P259" i="9"/>
  <c r="P301" i="9"/>
  <c r="P230" i="9"/>
  <c r="P288" i="9"/>
  <c r="P316" i="9"/>
  <c r="P29" i="9"/>
  <c r="P37" i="9"/>
  <c r="P90" i="9"/>
  <c r="P163" i="9"/>
  <c r="P294" i="9"/>
  <c r="P190" i="9"/>
  <c r="P226" i="9"/>
  <c r="P260" i="9"/>
  <c r="P23" i="9"/>
  <c r="P30" i="9"/>
  <c r="P84" i="9"/>
  <c r="P173" i="9"/>
  <c r="P239" i="9"/>
  <c r="P249" i="9"/>
  <c r="P271" i="9"/>
  <c r="P320" i="9"/>
  <c r="P64" i="9"/>
  <c r="P68" i="9"/>
  <c r="P92" i="9"/>
  <c r="P119" i="9"/>
  <c r="P149" i="9"/>
  <c r="P235" i="9"/>
  <c r="P278" i="9"/>
  <c r="P32" i="9"/>
  <c r="P35" i="9"/>
  <c r="P73" i="9"/>
  <c r="P79" i="9"/>
  <c r="P131" i="9"/>
  <c r="P225" i="9"/>
  <c r="P242" i="9"/>
  <c r="P8" i="9"/>
  <c r="P12" i="9"/>
  <c r="P16" i="9"/>
  <c r="P38" i="9"/>
  <c r="P81" i="9"/>
  <c r="P82" i="9"/>
  <c r="P88" i="9"/>
  <c r="P133" i="9"/>
  <c r="P137" i="9"/>
  <c r="P170" i="9"/>
  <c r="P201" i="9"/>
  <c r="P202" i="9"/>
  <c r="P211" i="9"/>
  <c r="P244" i="9"/>
  <c r="P261" i="9"/>
  <c r="P283" i="9"/>
  <c r="P285" i="9"/>
  <c r="P128" i="9"/>
  <c r="P159" i="9"/>
  <c r="P177" i="9"/>
  <c r="P240" i="9"/>
  <c r="P315" i="9"/>
  <c r="P33" i="9"/>
  <c r="P49" i="9"/>
  <c r="P62" i="9"/>
  <c r="P78" i="9"/>
  <c r="P166" i="9"/>
  <c r="P182" i="9"/>
  <c r="P186" i="9"/>
  <c r="P236" i="9"/>
  <c r="P290" i="9"/>
  <c r="P19" i="9"/>
  <c r="P147" i="9"/>
  <c r="P274" i="9"/>
  <c r="P295" i="9"/>
  <c r="P297" i="9"/>
  <c r="P299" i="9"/>
  <c r="P302" i="9"/>
  <c r="P303" i="9"/>
  <c r="P304" i="9"/>
  <c r="P305" i="9"/>
  <c r="P307" i="9"/>
  <c r="P308" i="9"/>
  <c r="P309" i="9"/>
  <c r="P310" i="9"/>
  <c r="P311" i="9"/>
  <c r="P313" i="9"/>
  <c r="P314" i="9"/>
  <c r="P317" i="9"/>
  <c r="P318" i="9"/>
  <c r="P247" i="9"/>
  <c r="P5" i="9"/>
  <c r="P6" i="9"/>
  <c r="P7" i="9"/>
  <c r="P9" i="9"/>
  <c r="P10" i="9"/>
  <c r="P11" i="9"/>
  <c r="P13" i="9"/>
  <c r="P14" i="9"/>
  <c r="P15" i="9"/>
  <c r="P18" i="9"/>
  <c r="P21" i="9"/>
  <c r="P22" i="9"/>
  <c r="P25" i="9"/>
  <c r="P27" i="9"/>
  <c r="P28" i="9"/>
  <c r="P31" i="9"/>
  <c r="P39" i="9"/>
  <c r="P41" i="9"/>
  <c r="P42" i="9"/>
  <c r="P43" i="9"/>
  <c r="P44" i="9"/>
  <c r="P45" i="9"/>
  <c r="P46" i="9"/>
  <c r="P47" i="9"/>
  <c r="P48" i="9"/>
  <c r="P50" i="9"/>
  <c r="P51" i="9"/>
  <c r="P52" i="9"/>
  <c r="P55" i="9"/>
  <c r="P58" i="9"/>
  <c r="P59" i="9"/>
  <c r="P60" i="9"/>
  <c r="P61" i="9"/>
  <c r="P63" i="9"/>
  <c r="P65" i="9"/>
  <c r="P67" i="9"/>
  <c r="P69" i="9"/>
  <c r="P70" i="9"/>
  <c r="P71" i="9"/>
  <c r="P72" i="9"/>
  <c r="P74" i="9"/>
  <c r="P75" i="9"/>
  <c r="P77" i="9"/>
  <c r="P85" i="9"/>
  <c r="P86" i="9"/>
  <c r="P89" i="9"/>
  <c r="P91" i="9"/>
  <c r="P93" i="9"/>
  <c r="P95" i="9"/>
  <c r="P96" i="9"/>
  <c r="P97" i="9"/>
  <c r="P99" i="9"/>
  <c r="P100" i="9"/>
  <c r="P101" i="9"/>
  <c r="P102" i="9"/>
  <c r="P103" i="9"/>
  <c r="P104" i="9"/>
  <c r="P105" i="9"/>
  <c r="P3" i="9"/>
  <c r="P106" i="9"/>
  <c r="P107" i="9"/>
  <c r="P108" i="9"/>
  <c r="P110" i="9"/>
  <c r="P111" i="9"/>
  <c r="P112" i="9"/>
  <c r="P113" i="9"/>
  <c r="P114" i="9"/>
  <c r="P115" i="9"/>
  <c r="P116" i="9"/>
  <c r="P118" i="9"/>
  <c r="P123" i="9"/>
  <c r="P125" i="9"/>
  <c r="P126" i="9"/>
  <c r="P127" i="9"/>
  <c r="P129" i="9"/>
  <c r="P130" i="9"/>
  <c r="P132" i="9"/>
  <c r="P138" i="9"/>
  <c r="P139" i="9"/>
  <c r="P141" i="9"/>
  <c r="P142" i="9"/>
  <c r="P143" i="9"/>
  <c r="P144" i="9"/>
  <c r="P145" i="9"/>
  <c r="P146" i="9"/>
  <c r="P148" i="9"/>
  <c r="P150" i="9"/>
  <c r="P151" i="9"/>
  <c r="P152" i="9"/>
  <c r="P153" i="9"/>
  <c r="P156" i="9"/>
  <c r="P157" i="9"/>
  <c r="P158" i="9"/>
  <c r="P161" i="9"/>
  <c r="P162" i="9"/>
  <c r="P164" i="9"/>
  <c r="P165" i="9"/>
  <c r="P167" i="9"/>
  <c r="P169" i="9"/>
  <c r="P273" i="9"/>
  <c r="P171" i="9"/>
  <c r="P172" i="9"/>
  <c r="P175" i="9"/>
  <c r="P176" i="9"/>
  <c r="P178" i="9"/>
  <c r="P179" i="9"/>
  <c r="P180" i="9"/>
  <c r="P181" i="9"/>
  <c r="P183" i="9"/>
  <c r="P184" i="9"/>
  <c r="P188" i="9"/>
  <c r="P189" i="9"/>
  <c r="P191" i="9"/>
  <c r="P192" i="9"/>
  <c r="P193" i="9"/>
  <c r="P194" i="9"/>
  <c r="P195" i="9"/>
  <c r="P196" i="9"/>
  <c r="P197" i="9"/>
  <c r="P198" i="9"/>
  <c r="P203" i="9"/>
  <c r="P204" i="9"/>
  <c r="P205" i="9"/>
  <c r="P207" i="9"/>
  <c r="P208" i="9"/>
  <c r="P209" i="9"/>
  <c r="P210" i="9"/>
  <c r="P212" i="9"/>
  <c r="P216" i="9"/>
  <c r="P218" i="9"/>
  <c r="P217" i="9"/>
  <c r="P219" i="9"/>
  <c r="P220" i="9"/>
  <c r="P221" i="9"/>
  <c r="P223" i="9"/>
  <c r="P224" i="9"/>
  <c r="P229" i="9"/>
  <c r="P231" i="9"/>
  <c r="P233" i="9"/>
  <c r="P234" i="9"/>
  <c r="P237" i="9"/>
  <c r="P238" i="9"/>
  <c r="P241" i="9"/>
  <c r="P243" i="9"/>
  <c r="P245" i="9"/>
  <c r="P248" i="9"/>
  <c r="P250" i="9"/>
  <c r="P251" i="9"/>
  <c r="P252" i="9"/>
  <c r="P255" i="9"/>
  <c r="P256" i="9"/>
  <c r="P258" i="9"/>
  <c r="P262" i="9"/>
  <c r="P263" i="9"/>
  <c r="P265" i="9"/>
  <c r="P266" i="9"/>
  <c r="P267" i="9"/>
  <c r="P268" i="9"/>
  <c r="P269" i="9"/>
  <c r="P270" i="9"/>
  <c r="P272" i="9"/>
  <c r="P275" i="9"/>
  <c r="P276" i="9"/>
  <c r="P279" i="9"/>
  <c r="P281" i="9"/>
  <c r="P284" i="9"/>
  <c r="P286" i="9"/>
  <c r="P287" i="9"/>
  <c r="P291" i="9"/>
  <c r="P293" i="9"/>
  <c r="P312" i="9"/>
  <c r="O154" i="9"/>
  <c r="O36" i="9"/>
  <c r="O83" i="9"/>
  <c r="O264" i="9"/>
  <c r="O259" i="9"/>
  <c r="O301" i="9"/>
  <c r="O230" i="9"/>
  <c r="O288" i="9"/>
  <c r="O316" i="9"/>
  <c r="O29" i="9"/>
  <c r="O37" i="9"/>
  <c r="O90" i="9"/>
  <c r="O163" i="9"/>
  <c r="O294" i="9"/>
  <c r="O190" i="9"/>
  <c r="O226" i="9"/>
  <c r="O260" i="9"/>
  <c r="O23" i="9"/>
  <c r="O30" i="9"/>
  <c r="O84" i="9"/>
  <c r="O173" i="9"/>
  <c r="O239" i="9"/>
  <c r="O249" i="9"/>
  <c r="O271" i="9"/>
  <c r="O320" i="9"/>
  <c r="O64" i="9"/>
  <c r="O68" i="9"/>
  <c r="O92" i="9"/>
  <c r="O119" i="9"/>
  <c r="O149" i="9"/>
  <c r="O235" i="9"/>
  <c r="O278" i="9"/>
  <c r="O32" i="9"/>
  <c r="O35" i="9"/>
  <c r="O73" i="9"/>
  <c r="O79" i="9"/>
  <c r="O131" i="9"/>
  <c r="O225" i="9"/>
  <c r="O242" i="9"/>
  <c r="O8" i="9"/>
  <c r="O12" i="9"/>
  <c r="O16" i="9"/>
  <c r="O38" i="9"/>
  <c r="O81" i="9"/>
  <c r="O82" i="9"/>
  <c r="O88" i="9"/>
  <c r="O133" i="9"/>
  <c r="O137" i="9"/>
  <c r="O170" i="9"/>
  <c r="O201" i="9"/>
  <c r="O202" i="9"/>
  <c r="O211" i="9"/>
  <c r="O244" i="9"/>
  <c r="O261" i="9"/>
  <c r="O283" i="9"/>
  <c r="O285" i="9"/>
  <c r="O128" i="9"/>
  <c r="O159" i="9"/>
  <c r="O177" i="9"/>
  <c r="O240" i="9"/>
  <c r="O315" i="9"/>
  <c r="O33" i="9"/>
  <c r="O49" i="9"/>
  <c r="O62" i="9"/>
  <c r="O78" i="9"/>
  <c r="O166" i="9"/>
  <c r="O182" i="9"/>
  <c r="O186" i="9"/>
  <c r="O236" i="9"/>
  <c r="O290" i="9"/>
  <c r="O19" i="9"/>
  <c r="O147" i="9"/>
  <c r="O274" i="9"/>
  <c r="O295" i="9"/>
  <c r="O297" i="9"/>
  <c r="O299" i="9"/>
  <c r="O302" i="9"/>
  <c r="O303" i="9"/>
  <c r="O304" i="9"/>
  <c r="O305" i="9"/>
  <c r="O307" i="9"/>
  <c r="O308" i="9"/>
  <c r="O309" i="9"/>
  <c r="O310" i="9"/>
  <c r="O311" i="9"/>
  <c r="O313" i="9"/>
  <c r="O314" i="9"/>
  <c r="O317" i="9"/>
  <c r="O318" i="9"/>
  <c r="O247" i="9"/>
  <c r="O5" i="9"/>
  <c r="O6" i="9"/>
  <c r="O7" i="9"/>
  <c r="O9" i="9"/>
  <c r="O10" i="9"/>
  <c r="O11" i="9"/>
  <c r="O13" i="9"/>
  <c r="O14" i="9"/>
  <c r="O15" i="9"/>
  <c r="O18" i="9"/>
  <c r="O21" i="9"/>
  <c r="O22" i="9"/>
  <c r="O25" i="9"/>
  <c r="O27" i="9"/>
  <c r="O28" i="9"/>
  <c r="O31" i="9"/>
  <c r="O39" i="9"/>
  <c r="O41" i="9"/>
  <c r="O42" i="9"/>
  <c r="O43" i="9"/>
  <c r="O44" i="9"/>
  <c r="O45" i="9"/>
  <c r="O46" i="9"/>
  <c r="O47" i="9"/>
  <c r="O48" i="9"/>
  <c r="O50" i="9"/>
  <c r="O51" i="9"/>
  <c r="O52" i="9"/>
  <c r="O55" i="9"/>
  <c r="O58" i="9"/>
  <c r="O59" i="9"/>
  <c r="O60" i="9"/>
  <c r="O61" i="9"/>
  <c r="O63" i="9"/>
  <c r="O65" i="9"/>
  <c r="O67" i="9"/>
  <c r="O69" i="9"/>
  <c r="O70" i="9"/>
  <c r="O71" i="9"/>
  <c r="O72" i="9"/>
  <c r="O74" i="9"/>
  <c r="O75" i="9"/>
  <c r="O77" i="9"/>
  <c r="O85" i="9"/>
  <c r="O86" i="9"/>
  <c r="O89" i="9"/>
  <c r="O91" i="9"/>
  <c r="O93" i="9"/>
  <c r="O95" i="9"/>
  <c r="O96" i="9"/>
  <c r="O97" i="9"/>
  <c r="O99" i="9"/>
  <c r="O100" i="9"/>
  <c r="O101" i="9"/>
  <c r="O102" i="9"/>
  <c r="O103" i="9"/>
  <c r="O104" i="9"/>
  <c r="O105" i="9"/>
  <c r="O3" i="9"/>
  <c r="O106" i="9"/>
  <c r="O107" i="9"/>
  <c r="O108" i="9"/>
  <c r="O110" i="9"/>
  <c r="O111" i="9"/>
  <c r="O112" i="9"/>
  <c r="O113" i="9"/>
  <c r="O114" i="9"/>
  <c r="O115" i="9"/>
  <c r="O116" i="9"/>
  <c r="O118" i="9"/>
  <c r="O123" i="9"/>
  <c r="O125" i="9"/>
  <c r="O126" i="9"/>
  <c r="O127" i="9"/>
  <c r="O129" i="9"/>
  <c r="O130" i="9"/>
  <c r="O132" i="9"/>
  <c r="O138" i="9"/>
  <c r="O139" i="9"/>
  <c r="O141" i="9"/>
  <c r="O142" i="9"/>
  <c r="O143" i="9"/>
  <c r="O144" i="9"/>
  <c r="O145" i="9"/>
  <c r="O146" i="9"/>
  <c r="O148" i="9"/>
  <c r="O150" i="9"/>
  <c r="O151" i="9"/>
  <c r="O152" i="9"/>
  <c r="O153" i="9"/>
  <c r="O156" i="9"/>
  <c r="O157" i="9"/>
  <c r="O158" i="9"/>
  <c r="O161" i="9"/>
  <c r="O162" i="9"/>
  <c r="O164" i="9"/>
  <c r="O165" i="9"/>
  <c r="O167" i="9"/>
  <c r="O169" i="9"/>
  <c r="O273" i="9"/>
  <c r="O171" i="9"/>
  <c r="O172" i="9"/>
  <c r="O175" i="9"/>
  <c r="O176" i="9"/>
  <c r="O178" i="9"/>
  <c r="O179" i="9"/>
  <c r="O180" i="9"/>
  <c r="O181" i="9"/>
  <c r="O183" i="9"/>
  <c r="O184" i="9"/>
  <c r="O188" i="9"/>
  <c r="O189" i="9"/>
  <c r="O191" i="9"/>
  <c r="O192" i="9"/>
  <c r="O193" i="9"/>
  <c r="O194" i="9"/>
  <c r="O195" i="9"/>
  <c r="O196" i="9"/>
  <c r="O197" i="9"/>
  <c r="O198" i="9"/>
  <c r="O203" i="9"/>
  <c r="O204" i="9"/>
  <c r="O205" i="9"/>
  <c r="O207" i="9"/>
  <c r="O208" i="9"/>
  <c r="O209" i="9"/>
  <c r="O210" i="9"/>
  <c r="O212" i="9"/>
  <c r="O216" i="9"/>
  <c r="O218" i="9"/>
  <c r="O217" i="9"/>
  <c r="O219" i="9"/>
  <c r="O220" i="9"/>
  <c r="O221" i="9"/>
  <c r="O223" i="9"/>
  <c r="O224" i="9"/>
  <c r="O229" i="9"/>
  <c r="O231" i="9"/>
  <c r="O233" i="9"/>
  <c r="O234" i="9"/>
  <c r="O237" i="9"/>
  <c r="O238" i="9"/>
  <c r="O241" i="9"/>
  <c r="O243" i="9"/>
  <c r="O245" i="9"/>
  <c r="O248" i="9"/>
  <c r="O250" i="9"/>
  <c r="O251" i="9"/>
  <c r="O252" i="9"/>
  <c r="O255" i="9"/>
  <c r="O256" i="9"/>
  <c r="O258" i="9"/>
  <c r="O262" i="9"/>
  <c r="O263" i="9"/>
  <c r="O265" i="9"/>
  <c r="O266" i="9"/>
  <c r="O267" i="9"/>
  <c r="O268" i="9"/>
  <c r="O269" i="9"/>
  <c r="O270" i="9"/>
  <c r="O272" i="9"/>
  <c r="O275" i="9"/>
  <c r="O276" i="9"/>
  <c r="O279" i="9"/>
  <c r="O281" i="9"/>
  <c r="O284" i="9"/>
  <c r="O286" i="9"/>
  <c r="O287" i="9"/>
  <c r="O291" i="9"/>
  <c r="O293" i="9"/>
  <c r="O312" i="9"/>
  <c r="I154" i="9"/>
  <c r="I36" i="9"/>
  <c r="I83" i="9"/>
  <c r="I264" i="9"/>
  <c r="I259" i="9"/>
  <c r="I301" i="9"/>
  <c r="I230" i="9"/>
  <c r="I288" i="9"/>
  <c r="I316" i="9"/>
  <c r="I29" i="9"/>
  <c r="I37" i="9"/>
  <c r="I90" i="9"/>
  <c r="I163" i="9"/>
  <c r="I294" i="9"/>
  <c r="I190" i="9"/>
  <c r="I226" i="9"/>
  <c r="I260" i="9"/>
  <c r="I23" i="9"/>
  <c r="I30" i="9"/>
  <c r="I84" i="9"/>
  <c r="I173" i="9"/>
  <c r="I239" i="9"/>
  <c r="I249" i="9"/>
  <c r="I271" i="9"/>
  <c r="I320" i="9"/>
  <c r="I64" i="9"/>
  <c r="I68" i="9"/>
  <c r="I92" i="9"/>
  <c r="I119" i="9"/>
  <c r="I149" i="9"/>
  <c r="I235" i="9"/>
  <c r="I278" i="9"/>
  <c r="I32" i="9"/>
  <c r="I35" i="9"/>
  <c r="I73" i="9"/>
  <c r="I79" i="9"/>
  <c r="I131" i="9"/>
  <c r="I225" i="9"/>
  <c r="I242" i="9"/>
  <c r="I8" i="9"/>
  <c r="I12" i="9"/>
  <c r="I16" i="9"/>
  <c r="I38" i="9"/>
  <c r="I81" i="9"/>
  <c r="I82" i="9"/>
  <c r="I88" i="9"/>
  <c r="I133" i="9"/>
  <c r="I137" i="9"/>
  <c r="I170" i="9"/>
  <c r="I201" i="9"/>
  <c r="I202" i="9"/>
  <c r="I211" i="9"/>
  <c r="I244" i="9"/>
  <c r="I261" i="9"/>
  <c r="I283" i="9"/>
  <c r="I285" i="9"/>
  <c r="I128" i="9"/>
  <c r="I159" i="9"/>
  <c r="I177" i="9"/>
  <c r="I240" i="9"/>
  <c r="I315" i="9"/>
  <c r="I33" i="9"/>
  <c r="I49" i="9"/>
  <c r="I62" i="9"/>
  <c r="I78" i="9"/>
  <c r="I166" i="9"/>
  <c r="I182" i="9"/>
  <c r="I186" i="9"/>
  <c r="I236" i="9"/>
  <c r="I290" i="9"/>
  <c r="I19" i="9"/>
  <c r="I147" i="9"/>
  <c r="I274" i="9"/>
  <c r="I295" i="9"/>
  <c r="I297" i="9"/>
  <c r="I299" i="9"/>
  <c r="I302" i="9"/>
  <c r="I303" i="9"/>
  <c r="I304" i="9"/>
  <c r="I305" i="9"/>
  <c r="I307" i="9"/>
  <c r="I308" i="9"/>
  <c r="I309" i="9"/>
  <c r="I310" i="9"/>
  <c r="I311" i="9"/>
  <c r="I313" i="9"/>
  <c r="I314" i="9"/>
  <c r="I317" i="9"/>
  <c r="I318" i="9"/>
  <c r="I247" i="9"/>
  <c r="I5" i="9"/>
  <c r="I6" i="9"/>
  <c r="I7" i="9"/>
  <c r="I9" i="9"/>
  <c r="I10" i="9"/>
  <c r="I11" i="9"/>
  <c r="I13" i="9"/>
  <c r="I14" i="9"/>
  <c r="I15" i="9"/>
  <c r="I18" i="9"/>
  <c r="I21" i="9"/>
  <c r="I22" i="9"/>
  <c r="I25" i="9"/>
  <c r="I27" i="9"/>
  <c r="I28" i="9"/>
  <c r="I31" i="9"/>
  <c r="I39" i="9"/>
  <c r="I41" i="9"/>
  <c r="I42" i="9"/>
  <c r="I43" i="9"/>
  <c r="I44" i="9"/>
  <c r="I45" i="9"/>
  <c r="I46" i="9"/>
  <c r="I47" i="9"/>
  <c r="I48" i="9"/>
  <c r="I50" i="9"/>
  <c r="I51" i="9"/>
  <c r="I52" i="9"/>
  <c r="I55" i="9"/>
  <c r="I58" i="9"/>
  <c r="I59" i="9"/>
  <c r="I60" i="9"/>
  <c r="I61" i="9"/>
  <c r="I63" i="9"/>
  <c r="I65" i="9"/>
  <c r="I67" i="9"/>
  <c r="I69" i="9"/>
  <c r="I70" i="9"/>
  <c r="I71" i="9"/>
  <c r="I72" i="9"/>
  <c r="I74" i="9"/>
  <c r="I75" i="9"/>
  <c r="I77" i="9"/>
  <c r="I85" i="9"/>
  <c r="I86" i="9"/>
  <c r="I89" i="9"/>
  <c r="I91" i="9"/>
  <c r="I93" i="9"/>
  <c r="I95" i="9"/>
  <c r="I96" i="9"/>
  <c r="I97" i="9"/>
  <c r="I99" i="9"/>
  <c r="I100" i="9"/>
  <c r="I101" i="9"/>
  <c r="I102" i="9"/>
  <c r="I103" i="9"/>
  <c r="I104" i="9"/>
  <c r="I105" i="9"/>
  <c r="I3" i="9"/>
  <c r="I106" i="9"/>
  <c r="I107" i="9"/>
  <c r="I108" i="9"/>
  <c r="I110" i="9"/>
  <c r="I111" i="9"/>
  <c r="I112" i="9"/>
  <c r="I113" i="9"/>
  <c r="I114" i="9"/>
  <c r="I115" i="9"/>
  <c r="I116" i="9"/>
  <c r="I118" i="9"/>
  <c r="I123" i="9"/>
  <c r="I125" i="9"/>
  <c r="I126" i="9"/>
  <c r="I127" i="9"/>
  <c r="I129" i="9"/>
  <c r="I130" i="9"/>
  <c r="I132" i="9"/>
  <c r="I138" i="9"/>
  <c r="I139" i="9"/>
  <c r="I141" i="9"/>
  <c r="I142" i="9"/>
  <c r="I143" i="9"/>
  <c r="I144" i="9"/>
  <c r="I145" i="9"/>
  <c r="I146" i="9"/>
  <c r="I148" i="9"/>
  <c r="I150" i="9"/>
  <c r="I151" i="9"/>
  <c r="I152" i="9"/>
  <c r="I153" i="9"/>
  <c r="I156" i="9"/>
  <c r="I157" i="9"/>
  <c r="I158" i="9"/>
  <c r="I161" i="9"/>
  <c r="I162" i="9"/>
  <c r="I164" i="9"/>
  <c r="I165" i="9"/>
  <c r="I167" i="9"/>
  <c r="I169" i="9"/>
  <c r="I273" i="9"/>
  <c r="I171" i="9"/>
  <c r="I172" i="9"/>
  <c r="I175" i="9"/>
  <c r="I176" i="9"/>
  <c r="I178" i="9"/>
  <c r="I179" i="9"/>
  <c r="I180" i="9"/>
  <c r="I181" i="9"/>
  <c r="I183" i="9"/>
  <c r="I184" i="9"/>
  <c r="I188" i="9"/>
  <c r="I189" i="9"/>
  <c r="I191" i="9"/>
  <c r="I192" i="9"/>
  <c r="I193" i="9"/>
  <c r="I194" i="9"/>
  <c r="I195" i="9"/>
  <c r="I196" i="9"/>
  <c r="I197" i="9"/>
  <c r="I198" i="9"/>
  <c r="I203" i="9"/>
  <c r="I204" i="9"/>
  <c r="I205" i="9"/>
  <c r="I207" i="9"/>
  <c r="I208" i="9"/>
  <c r="I209" i="9"/>
  <c r="I210" i="9"/>
  <c r="I212" i="9"/>
  <c r="I216" i="9"/>
  <c r="I218" i="9"/>
  <c r="I217" i="9"/>
  <c r="I219" i="9"/>
  <c r="I220" i="9"/>
  <c r="I221" i="9"/>
  <c r="I223" i="9"/>
  <c r="I224" i="9"/>
  <c r="I229" i="9"/>
  <c r="I231" i="9"/>
  <c r="I233" i="9"/>
  <c r="I234" i="9"/>
  <c r="I237" i="9"/>
  <c r="I238" i="9"/>
  <c r="I241" i="9"/>
  <c r="I243" i="9"/>
  <c r="I245" i="9"/>
  <c r="I248" i="9"/>
  <c r="I250" i="9"/>
  <c r="I251" i="9"/>
  <c r="I252" i="9"/>
  <c r="I255" i="9"/>
  <c r="I256" i="9"/>
  <c r="I258" i="9"/>
  <c r="I262" i="9"/>
  <c r="I263" i="9"/>
  <c r="I265" i="9"/>
  <c r="I266" i="9"/>
  <c r="I267" i="9"/>
  <c r="I268" i="9"/>
  <c r="I269" i="9"/>
  <c r="I270" i="9"/>
  <c r="I272" i="9"/>
  <c r="I275" i="9"/>
  <c r="I276" i="9"/>
  <c r="I279" i="9"/>
  <c r="I281" i="9"/>
  <c r="I284" i="9"/>
  <c r="I286" i="9"/>
  <c r="I287" i="9"/>
  <c r="I291" i="9"/>
  <c r="I293" i="9"/>
  <c r="J154" i="9"/>
  <c r="J36" i="9"/>
  <c r="J83" i="9"/>
  <c r="J264" i="9"/>
  <c r="J259" i="9"/>
  <c r="J301" i="9"/>
  <c r="J230" i="9"/>
  <c r="J288" i="9"/>
  <c r="J316" i="9"/>
  <c r="J29" i="9"/>
  <c r="J37" i="9"/>
  <c r="J90" i="9"/>
  <c r="J163" i="9"/>
  <c r="J294" i="9"/>
  <c r="J190" i="9"/>
  <c r="J226" i="9"/>
  <c r="J260" i="9"/>
  <c r="J23" i="9"/>
  <c r="J30" i="9"/>
  <c r="J84" i="9"/>
  <c r="J173" i="9"/>
  <c r="J239" i="9"/>
  <c r="J249" i="9"/>
  <c r="J271" i="9"/>
  <c r="J320" i="9"/>
  <c r="J64" i="9"/>
  <c r="J68" i="9"/>
  <c r="J92" i="9"/>
  <c r="J119" i="9"/>
  <c r="J149" i="9"/>
  <c r="J235" i="9"/>
  <c r="J278" i="9"/>
  <c r="J32" i="9"/>
  <c r="J35" i="9"/>
  <c r="J73" i="9"/>
  <c r="J79" i="9"/>
  <c r="J131" i="9"/>
  <c r="J225" i="9"/>
  <c r="J242" i="9"/>
  <c r="J8" i="9"/>
  <c r="J12" i="9"/>
  <c r="J16" i="9"/>
  <c r="J38" i="9"/>
  <c r="J81" i="9"/>
  <c r="J82" i="9"/>
  <c r="J88" i="9"/>
  <c r="J133" i="9"/>
  <c r="J137" i="9"/>
  <c r="J170" i="9"/>
  <c r="J201" i="9"/>
  <c r="J202" i="9"/>
  <c r="J211" i="9"/>
  <c r="J244" i="9"/>
  <c r="J261" i="9"/>
  <c r="J283" i="9"/>
  <c r="J285" i="9"/>
  <c r="J128" i="9"/>
  <c r="J159" i="9"/>
  <c r="J177" i="9"/>
  <c r="J240" i="9"/>
  <c r="J315" i="9"/>
  <c r="J33" i="9"/>
  <c r="J49" i="9"/>
  <c r="J62" i="9"/>
  <c r="J78" i="9"/>
  <c r="J166" i="9"/>
  <c r="J182" i="9"/>
  <c r="J186" i="9"/>
  <c r="J236" i="9"/>
  <c r="J290" i="9"/>
  <c r="J19" i="9"/>
  <c r="J147" i="9"/>
  <c r="J274" i="9"/>
  <c r="J295" i="9"/>
  <c r="J297" i="9"/>
  <c r="J299" i="9"/>
  <c r="J302" i="9"/>
  <c r="J303" i="9"/>
  <c r="J304" i="9"/>
  <c r="J305" i="9"/>
  <c r="J307" i="9"/>
  <c r="J308" i="9"/>
  <c r="J309" i="9"/>
  <c r="J310" i="9"/>
  <c r="J311" i="9"/>
  <c r="J313" i="9"/>
  <c r="J314" i="9"/>
  <c r="J317" i="9"/>
  <c r="J318" i="9"/>
  <c r="J247" i="9"/>
  <c r="J5" i="9"/>
  <c r="J6" i="9"/>
  <c r="J7" i="9"/>
  <c r="J9" i="9"/>
  <c r="J10" i="9"/>
  <c r="J11" i="9"/>
  <c r="J13" i="9"/>
  <c r="J14" i="9"/>
  <c r="J15" i="9"/>
  <c r="J18" i="9"/>
  <c r="J21" i="9"/>
  <c r="J22" i="9"/>
  <c r="J25" i="9"/>
  <c r="J27" i="9"/>
  <c r="J28" i="9"/>
  <c r="J31" i="9"/>
  <c r="J39" i="9"/>
  <c r="J41" i="9"/>
  <c r="J42" i="9"/>
  <c r="J43" i="9"/>
  <c r="J44" i="9"/>
  <c r="J45" i="9"/>
  <c r="J46" i="9"/>
  <c r="J47" i="9"/>
  <c r="J48" i="9"/>
  <c r="J50" i="9"/>
  <c r="J51" i="9"/>
  <c r="J52" i="9"/>
  <c r="J55" i="9"/>
  <c r="J58" i="9"/>
  <c r="J59" i="9"/>
  <c r="J60" i="9"/>
  <c r="J61" i="9"/>
  <c r="J63" i="9"/>
  <c r="J65" i="9"/>
  <c r="J67" i="9"/>
  <c r="J69" i="9"/>
  <c r="J70" i="9"/>
  <c r="J71" i="9"/>
  <c r="J72" i="9"/>
  <c r="J74" i="9"/>
  <c r="J75" i="9"/>
  <c r="J77" i="9"/>
  <c r="J85" i="9"/>
  <c r="J86" i="9"/>
  <c r="J89" i="9"/>
  <c r="J91" i="9"/>
  <c r="J93" i="9"/>
  <c r="J95" i="9"/>
  <c r="J96" i="9"/>
  <c r="J97" i="9"/>
  <c r="J99" i="9"/>
  <c r="J100" i="9"/>
  <c r="J101" i="9"/>
  <c r="J102" i="9"/>
  <c r="J103" i="9"/>
  <c r="J104" i="9"/>
  <c r="J105" i="9"/>
  <c r="J3" i="9"/>
  <c r="J106" i="9"/>
  <c r="J107" i="9"/>
  <c r="J108" i="9"/>
  <c r="J110" i="9"/>
  <c r="J111" i="9"/>
  <c r="J112" i="9"/>
  <c r="J113" i="9"/>
  <c r="J114" i="9"/>
  <c r="J115" i="9"/>
  <c r="J116" i="9"/>
  <c r="J118" i="9"/>
  <c r="J123" i="9"/>
  <c r="J125" i="9"/>
  <c r="J126" i="9"/>
  <c r="J127" i="9"/>
  <c r="J129" i="9"/>
  <c r="J130" i="9"/>
  <c r="J132" i="9"/>
  <c r="J138" i="9"/>
  <c r="J139" i="9"/>
  <c r="J141" i="9"/>
  <c r="J142" i="9"/>
  <c r="J143" i="9"/>
  <c r="J144" i="9"/>
  <c r="J145" i="9"/>
  <c r="J146" i="9"/>
  <c r="J148" i="9"/>
  <c r="J150" i="9"/>
  <c r="J151" i="9"/>
  <c r="J152" i="9"/>
  <c r="J153" i="9"/>
  <c r="J156" i="9"/>
  <c r="J157" i="9"/>
  <c r="J158" i="9"/>
  <c r="J161" i="9"/>
  <c r="J162" i="9"/>
  <c r="J164" i="9"/>
  <c r="J165" i="9"/>
  <c r="J167" i="9"/>
  <c r="J169" i="9"/>
  <c r="J273" i="9"/>
  <c r="J171" i="9"/>
  <c r="J172" i="9"/>
  <c r="J175" i="9"/>
  <c r="J176" i="9"/>
  <c r="J178" i="9"/>
  <c r="J179" i="9"/>
  <c r="J180" i="9"/>
  <c r="J181" i="9"/>
  <c r="J183" i="9"/>
  <c r="J184" i="9"/>
  <c r="J188" i="9"/>
  <c r="J189" i="9"/>
  <c r="J191" i="9"/>
  <c r="J192" i="9"/>
  <c r="J193" i="9"/>
  <c r="J194" i="9"/>
  <c r="J195" i="9"/>
  <c r="J196" i="9"/>
  <c r="J197" i="9"/>
  <c r="J198" i="9"/>
  <c r="J203" i="9"/>
  <c r="J204" i="9"/>
  <c r="J205" i="9"/>
  <c r="J207" i="9"/>
  <c r="J208" i="9"/>
  <c r="J209" i="9"/>
  <c r="J210" i="9"/>
  <c r="J212" i="9"/>
  <c r="J216" i="9"/>
  <c r="J218" i="9"/>
  <c r="J217" i="9"/>
  <c r="J219" i="9"/>
  <c r="J220" i="9"/>
  <c r="J221" i="9"/>
  <c r="J223" i="9"/>
  <c r="J224" i="9"/>
  <c r="J229" i="9"/>
  <c r="J231" i="9"/>
  <c r="J233" i="9"/>
  <c r="J234" i="9"/>
  <c r="J237" i="9"/>
  <c r="J238" i="9"/>
  <c r="J241" i="9"/>
  <c r="J243" i="9"/>
  <c r="J245" i="9"/>
  <c r="J248" i="9"/>
  <c r="J250" i="9"/>
  <c r="J251" i="9"/>
  <c r="J252" i="9"/>
  <c r="J255" i="9"/>
  <c r="J256" i="9"/>
  <c r="J258" i="9"/>
  <c r="J262" i="9"/>
  <c r="J263" i="9"/>
  <c r="J265" i="9"/>
  <c r="J266" i="9"/>
  <c r="J267" i="9"/>
  <c r="J268" i="9"/>
  <c r="J269" i="9"/>
  <c r="J270" i="9"/>
  <c r="J272" i="9"/>
  <c r="J275" i="9"/>
  <c r="J276" i="9"/>
  <c r="J279" i="9"/>
  <c r="J281" i="9"/>
  <c r="J284" i="9"/>
  <c r="J286" i="9"/>
  <c r="J287" i="9"/>
  <c r="J291" i="9"/>
  <c r="J293" i="9"/>
  <c r="K154" i="9"/>
  <c r="K36" i="9"/>
  <c r="K83" i="9"/>
  <c r="K264" i="9"/>
  <c r="K259" i="9"/>
  <c r="K301" i="9"/>
  <c r="K230" i="9"/>
  <c r="K288" i="9"/>
  <c r="K316" i="9"/>
  <c r="K29" i="9"/>
  <c r="K37" i="9"/>
  <c r="K90" i="9"/>
  <c r="K163" i="9"/>
  <c r="K294" i="9"/>
  <c r="K190" i="9"/>
  <c r="K226" i="9"/>
  <c r="K260" i="9"/>
  <c r="K23" i="9"/>
  <c r="K30" i="9"/>
  <c r="K84" i="9"/>
  <c r="K173" i="9"/>
  <c r="K239" i="9"/>
  <c r="K249" i="9"/>
  <c r="K271" i="9"/>
  <c r="K320" i="9"/>
  <c r="K64" i="9"/>
  <c r="K68" i="9"/>
  <c r="K92" i="9"/>
  <c r="K119" i="9"/>
  <c r="K149" i="9"/>
  <c r="K235" i="9"/>
  <c r="K278" i="9"/>
  <c r="K32" i="9"/>
  <c r="K35" i="9"/>
  <c r="K73" i="9"/>
  <c r="K79" i="9"/>
  <c r="K131" i="9"/>
  <c r="K225" i="9"/>
  <c r="K242" i="9"/>
  <c r="K8" i="9"/>
  <c r="K12" i="9"/>
  <c r="K16" i="9"/>
  <c r="K38" i="9"/>
  <c r="K81" i="9"/>
  <c r="K82" i="9"/>
  <c r="K88" i="9"/>
  <c r="K133" i="9"/>
  <c r="K137" i="9"/>
  <c r="K170" i="9"/>
  <c r="K201" i="9"/>
  <c r="K202" i="9"/>
  <c r="K211" i="9"/>
  <c r="K244" i="9"/>
  <c r="K261" i="9"/>
  <c r="K283" i="9"/>
  <c r="K285" i="9"/>
  <c r="K128" i="9"/>
  <c r="K159" i="9"/>
  <c r="K177" i="9"/>
  <c r="K240" i="9"/>
  <c r="K315" i="9"/>
  <c r="K33" i="9"/>
  <c r="K49" i="9"/>
  <c r="K62" i="9"/>
  <c r="K78" i="9"/>
  <c r="K166" i="9"/>
  <c r="K182" i="9"/>
  <c r="K186" i="9"/>
  <c r="K236" i="9"/>
  <c r="K290" i="9"/>
  <c r="K19" i="9"/>
  <c r="K147" i="9"/>
  <c r="K274" i="9"/>
  <c r="K295" i="9"/>
  <c r="K297" i="9"/>
  <c r="K299" i="9"/>
  <c r="K302" i="9"/>
  <c r="K303" i="9"/>
  <c r="K304" i="9"/>
  <c r="K305" i="9"/>
  <c r="K307" i="9"/>
  <c r="K308" i="9"/>
  <c r="K309" i="9"/>
  <c r="K310" i="9"/>
  <c r="K311" i="9"/>
  <c r="K313" i="9"/>
  <c r="K314" i="9"/>
  <c r="K317" i="9"/>
  <c r="K318" i="9"/>
  <c r="K247" i="9"/>
  <c r="K5" i="9"/>
  <c r="K6" i="9"/>
  <c r="K7" i="9"/>
  <c r="K9" i="9"/>
  <c r="K10" i="9"/>
  <c r="K11" i="9"/>
  <c r="K13" i="9"/>
  <c r="K14" i="9"/>
  <c r="K15" i="9"/>
  <c r="K18" i="9"/>
  <c r="K21" i="9"/>
  <c r="K22" i="9"/>
  <c r="K25" i="9"/>
  <c r="K27" i="9"/>
  <c r="K28" i="9"/>
  <c r="K31" i="9"/>
  <c r="K39" i="9"/>
  <c r="K41" i="9"/>
  <c r="K42" i="9"/>
  <c r="K43" i="9"/>
  <c r="K44" i="9"/>
  <c r="K45" i="9"/>
  <c r="K46" i="9"/>
  <c r="K47" i="9"/>
  <c r="K48" i="9"/>
  <c r="K50" i="9"/>
  <c r="K51" i="9"/>
  <c r="K52" i="9"/>
  <c r="K55" i="9"/>
  <c r="K58" i="9"/>
  <c r="K59" i="9"/>
  <c r="K60" i="9"/>
  <c r="K61" i="9"/>
  <c r="K63" i="9"/>
  <c r="K65" i="9"/>
  <c r="K67" i="9"/>
  <c r="K69" i="9"/>
  <c r="K70" i="9"/>
  <c r="K71" i="9"/>
  <c r="K72" i="9"/>
  <c r="K74" i="9"/>
  <c r="K75" i="9"/>
  <c r="K77" i="9"/>
  <c r="K85" i="9"/>
  <c r="K86" i="9"/>
  <c r="K89" i="9"/>
  <c r="K91" i="9"/>
  <c r="K93" i="9"/>
  <c r="K95" i="9"/>
  <c r="K96" i="9"/>
  <c r="K97" i="9"/>
  <c r="K99" i="9"/>
  <c r="K100" i="9"/>
  <c r="K101" i="9"/>
  <c r="K102" i="9"/>
  <c r="K103" i="9"/>
  <c r="K104" i="9"/>
  <c r="K105" i="9"/>
  <c r="K3" i="9"/>
  <c r="K106" i="9"/>
  <c r="K107" i="9"/>
  <c r="K108" i="9"/>
  <c r="K110" i="9"/>
  <c r="K111" i="9"/>
  <c r="K112" i="9"/>
  <c r="K113" i="9"/>
  <c r="K114" i="9"/>
  <c r="K115" i="9"/>
  <c r="K116" i="9"/>
  <c r="K118" i="9"/>
  <c r="K123" i="9"/>
  <c r="K125" i="9"/>
  <c r="K126" i="9"/>
  <c r="K127" i="9"/>
  <c r="K129" i="9"/>
  <c r="K130" i="9"/>
  <c r="K132" i="9"/>
  <c r="K138" i="9"/>
  <c r="K139" i="9"/>
  <c r="K141" i="9"/>
  <c r="K142" i="9"/>
  <c r="K143" i="9"/>
  <c r="K144" i="9"/>
  <c r="K145" i="9"/>
  <c r="K146" i="9"/>
  <c r="K148" i="9"/>
  <c r="K150" i="9"/>
  <c r="K151" i="9"/>
  <c r="K152" i="9"/>
  <c r="K153" i="9"/>
  <c r="K156" i="9"/>
  <c r="K157" i="9"/>
  <c r="K158" i="9"/>
  <c r="K161" i="9"/>
  <c r="K162" i="9"/>
  <c r="K164" i="9"/>
  <c r="K165" i="9"/>
  <c r="K167" i="9"/>
  <c r="K169" i="9"/>
  <c r="K273" i="9"/>
  <c r="K171" i="9"/>
  <c r="K172" i="9"/>
  <c r="K175" i="9"/>
  <c r="K176" i="9"/>
  <c r="K178" i="9"/>
  <c r="K179" i="9"/>
  <c r="K180" i="9"/>
  <c r="K181" i="9"/>
  <c r="K183" i="9"/>
  <c r="K184" i="9"/>
  <c r="K188" i="9"/>
  <c r="K189" i="9"/>
  <c r="K191" i="9"/>
  <c r="K192" i="9"/>
  <c r="K193" i="9"/>
  <c r="K194" i="9"/>
  <c r="K195" i="9"/>
  <c r="K196" i="9"/>
  <c r="K197" i="9"/>
  <c r="K198" i="9"/>
  <c r="K203" i="9"/>
  <c r="K204" i="9"/>
  <c r="K205" i="9"/>
  <c r="K207" i="9"/>
  <c r="K208" i="9"/>
  <c r="K209" i="9"/>
  <c r="K210" i="9"/>
  <c r="K212" i="9"/>
  <c r="K216" i="9"/>
  <c r="K218" i="9"/>
  <c r="K217" i="9"/>
  <c r="K219" i="9"/>
  <c r="K220" i="9"/>
  <c r="K221" i="9"/>
  <c r="K223" i="9"/>
  <c r="K224" i="9"/>
  <c r="K229" i="9"/>
  <c r="K231" i="9"/>
  <c r="K233" i="9"/>
  <c r="K234" i="9"/>
  <c r="K237" i="9"/>
  <c r="K238" i="9"/>
  <c r="K241" i="9"/>
  <c r="K243" i="9"/>
  <c r="K245" i="9"/>
  <c r="K248" i="9"/>
  <c r="K250" i="9"/>
  <c r="K251" i="9"/>
  <c r="K252" i="9"/>
  <c r="K255" i="9"/>
  <c r="K256" i="9"/>
  <c r="K258" i="9"/>
  <c r="K262" i="9"/>
  <c r="K263" i="9"/>
  <c r="K265" i="9"/>
  <c r="K266" i="9"/>
  <c r="K267" i="9"/>
  <c r="K268" i="9"/>
  <c r="K269" i="9"/>
  <c r="K270" i="9"/>
  <c r="K272" i="9"/>
  <c r="K275" i="9"/>
  <c r="K276" i="9"/>
  <c r="K279" i="9"/>
  <c r="K281" i="9"/>
  <c r="K284" i="9"/>
  <c r="K286" i="9"/>
  <c r="K287" i="9"/>
  <c r="K291" i="9"/>
  <c r="K293" i="9"/>
  <c r="L154" i="9"/>
  <c r="L36" i="9"/>
  <c r="L83" i="9"/>
  <c r="L264" i="9"/>
  <c r="L259" i="9"/>
  <c r="L301" i="9"/>
  <c r="L230" i="9"/>
  <c r="L288" i="9"/>
  <c r="L316" i="9"/>
  <c r="L29" i="9"/>
  <c r="L37" i="9"/>
  <c r="L90" i="9"/>
  <c r="L163" i="9"/>
  <c r="L294" i="9"/>
  <c r="L190" i="9"/>
  <c r="L226" i="9"/>
  <c r="L260" i="9"/>
  <c r="L23" i="9"/>
  <c r="L30" i="9"/>
  <c r="L84" i="9"/>
  <c r="L173" i="9"/>
  <c r="L239" i="9"/>
  <c r="L249" i="9"/>
  <c r="L271" i="9"/>
  <c r="L320" i="9"/>
  <c r="L64" i="9"/>
  <c r="L68" i="9"/>
  <c r="L92" i="9"/>
  <c r="L119" i="9"/>
  <c r="L149" i="9"/>
  <c r="L235" i="9"/>
  <c r="L278" i="9"/>
  <c r="L32" i="9"/>
  <c r="L35" i="9"/>
  <c r="L73" i="9"/>
  <c r="L79" i="9"/>
  <c r="L131" i="9"/>
  <c r="L225" i="9"/>
  <c r="L242" i="9"/>
  <c r="L8" i="9"/>
  <c r="L12" i="9"/>
  <c r="L16" i="9"/>
  <c r="L38" i="9"/>
  <c r="L81" i="9"/>
  <c r="L82" i="9"/>
  <c r="L88" i="9"/>
  <c r="L133" i="9"/>
  <c r="L137" i="9"/>
  <c r="L170" i="9"/>
  <c r="L201" i="9"/>
  <c r="L202" i="9"/>
  <c r="L211" i="9"/>
  <c r="L244" i="9"/>
  <c r="L261" i="9"/>
  <c r="L283" i="9"/>
  <c r="L285" i="9"/>
  <c r="L128" i="9"/>
  <c r="L159" i="9"/>
  <c r="L177" i="9"/>
  <c r="L240" i="9"/>
  <c r="L315" i="9"/>
  <c r="L33" i="9"/>
  <c r="L49" i="9"/>
  <c r="L62" i="9"/>
  <c r="L78" i="9"/>
  <c r="L166" i="9"/>
  <c r="L182" i="9"/>
  <c r="L186" i="9"/>
  <c r="L236" i="9"/>
  <c r="L290" i="9"/>
  <c r="L19" i="9"/>
  <c r="L147" i="9"/>
  <c r="L274" i="9"/>
  <c r="L295" i="9"/>
  <c r="L297" i="9"/>
  <c r="L299" i="9"/>
  <c r="L302" i="9"/>
  <c r="L303" i="9"/>
  <c r="L304" i="9"/>
  <c r="L305" i="9"/>
  <c r="L307" i="9"/>
  <c r="L308" i="9"/>
  <c r="L309" i="9"/>
  <c r="L310" i="9"/>
  <c r="L311" i="9"/>
  <c r="L313" i="9"/>
  <c r="L314" i="9"/>
  <c r="L317" i="9"/>
  <c r="L318" i="9"/>
  <c r="L247" i="9"/>
  <c r="L5" i="9"/>
  <c r="L6" i="9"/>
  <c r="L7" i="9"/>
  <c r="L9" i="9"/>
  <c r="L10" i="9"/>
  <c r="L11" i="9"/>
  <c r="L13" i="9"/>
  <c r="L14" i="9"/>
  <c r="L15" i="9"/>
  <c r="L18" i="9"/>
  <c r="L21" i="9"/>
  <c r="L22" i="9"/>
  <c r="L25" i="9"/>
  <c r="L27" i="9"/>
  <c r="L28" i="9"/>
  <c r="L31" i="9"/>
  <c r="L39" i="9"/>
  <c r="L41" i="9"/>
  <c r="L42" i="9"/>
  <c r="L43" i="9"/>
  <c r="L44" i="9"/>
  <c r="L45" i="9"/>
  <c r="L46" i="9"/>
  <c r="L47" i="9"/>
  <c r="L48" i="9"/>
  <c r="L50" i="9"/>
  <c r="L51" i="9"/>
  <c r="L52" i="9"/>
  <c r="L55" i="9"/>
  <c r="L58" i="9"/>
  <c r="L59" i="9"/>
  <c r="L60" i="9"/>
  <c r="L61" i="9"/>
  <c r="L63" i="9"/>
  <c r="L65" i="9"/>
  <c r="L67" i="9"/>
  <c r="L69" i="9"/>
  <c r="L70" i="9"/>
  <c r="L71" i="9"/>
  <c r="L72" i="9"/>
  <c r="L74" i="9"/>
  <c r="L75" i="9"/>
  <c r="L77" i="9"/>
  <c r="L85" i="9"/>
  <c r="L86" i="9"/>
  <c r="L89" i="9"/>
  <c r="L91" i="9"/>
  <c r="L93" i="9"/>
  <c r="L95" i="9"/>
  <c r="L96" i="9"/>
  <c r="L97" i="9"/>
  <c r="L99" i="9"/>
  <c r="L100" i="9"/>
  <c r="L101" i="9"/>
  <c r="L102" i="9"/>
  <c r="L103" i="9"/>
  <c r="L104" i="9"/>
  <c r="L105" i="9"/>
  <c r="L3" i="9"/>
  <c r="L106" i="9"/>
  <c r="L107" i="9"/>
  <c r="L108" i="9"/>
  <c r="L110" i="9"/>
  <c r="L111" i="9"/>
  <c r="L112" i="9"/>
  <c r="L113" i="9"/>
  <c r="L114" i="9"/>
  <c r="L115" i="9"/>
  <c r="L116" i="9"/>
  <c r="L118" i="9"/>
  <c r="L123" i="9"/>
  <c r="L125" i="9"/>
  <c r="L126" i="9"/>
  <c r="L127" i="9"/>
  <c r="L129" i="9"/>
  <c r="L130" i="9"/>
  <c r="L132" i="9"/>
  <c r="L138" i="9"/>
  <c r="L139" i="9"/>
  <c r="L141" i="9"/>
  <c r="L142" i="9"/>
  <c r="L143" i="9"/>
  <c r="L144" i="9"/>
  <c r="L145" i="9"/>
  <c r="L146" i="9"/>
  <c r="L148" i="9"/>
  <c r="L150" i="9"/>
  <c r="L151" i="9"/>
  <c r="L152" i="9"/>
  <c r="L153" i="9"/>
  <c r="L156" i="9"/>
  <c r="L157" i="9"/>
  <c r="L158" i="9"/>
  <c r="L161" i="9"/>
  <c r="L162" i="9"/>
  <c r="L164" i="9"/>
  <c r="L165" i="9"/>
  <c r="L167" i="9"/>
  <c r="L169" i="9"/>
  <c r="L273" i="9"/>
  <c r="L171" i="9"/>
  <c r="L172" i="9"/>
  <c r="L175" i="9"/>
  <c r="L176" i="9"/>
  <c r="L178" i="9"/>
  <c r="L179" i="9"/>
  <c r="L180" i="9"/>
  <c r="L181" i="9"/>
  <c r="L183" i="9"/>
  <c r="L184" i="9"/>
  <c r="L188" i="9"/>
  <c r="L189" i="9"/>
  <c r="L191" i="9"/>
  <c r="L192" i="9"/>
  <c r="L193" i="9"/>
  <c r="L194" i="9"/>
  <c r="L195" i="9"/>
  <c r="L196" i="9"/>
  <c r="L197" i="9"/>
  <c r="L198" i="9"/>
  <c r="L203" i="9"/>
  <c r="L204" i="9"/>
  <c r="L205" i="9"/>
  <c r="L207" i="9"/>
  <c r="L208" i="9"/>
  <c r="L209" i="9"/>
  <c r="L210" i="9"/>
  <c r="L212" i="9"/>
  <c r="L216" i="9"/>
  <c r="L218" i="9"/>
  <c r="L217" i="9"/>
  <c r="L219" i="9"/>
  <c r="L220" i="9"/>
  <c r="L221" i="9"/>
  <c r="L223" i="9"/>
  <c r="L224" i="9"/>
  <c r="L229" i="9"/>
  <c r="L231" i="9"/>
  <c r="L233" i="9"/>
  <c r="L234" i="9"/>
  <c r="L237" i="9"/>
  <c r="L238" i="9"/>
  <c r="L241" i="9"/>
  <c r="L243" i="9"/>
  <c r="L245" i="9"/>
  <c r="L248" i="9"/>
  <c r="L250" i="9"/>
  <c r="L251" i="9"/>
  <c r="L252" i="9"/>
  <c r="L255" i="9"/>
  <c r="L256" i="9"/>
  <c r="L258" i="9"/>
  <c r="L262" i="9"/>
  <c r="L263" i="9"/>
  <c r="L265" i="9"/>
  <c r="L266" i="9"/>
  <c r="L267" i="9"/>
  <c r="L268" i="9"/>
  <c r="L269" i="9"/>
  <c r="L270" i="9"/>
  <c r="L272" i="9"/>
  <c r="L275" i="9"/>
  <c r="L276" i="9"/>
  <c r="L279" i="9"/>
  <c r="L281" i="9"/>
  <c r="L284" i="9"/>
  <c r="L286" i="9"/>
  <c r="L287" i="9"/>
  <c r="L291" i="9"/>
  <c r="L293" i="9"/>
  <c r="L312" i="9"/>
  <c r="K312" i="9"/>
  <c r="J312" i="9"/>
  <c r="I312" i="9"/>
  <c r="B313" i="11"/>
  <c r="H313" i="11" s="1"/>
  <c r="C313" i="11"/>
  <c r="D313" i="11"/>
  <c r="E313" i="11"/>
  <c r="F313" i="11"/>
  <c r="G313" i="11"/>
  <c r="P313" i="11"/>
  <c r="E312" i="9"/>
  <c r="M312" i="9"/>
  <c r="BW312" i="9"/>
  <c r="B313" i="10"/>
  <c r="C313" i="10"/>
  <c r="D313" i="10"/>
  <c r="E313" i="10"/>
  <c r="F313" i="10"/>
  <c r="G313" i="10"/>
  <c r="B314" i="6"/>
  <c r="C314" i="6"/>
  <c r="D314" i="6"/>
  <c r="E314" i="6"/>
  <c r="F314" i="6"/>
  <c r="G314" i="6"/>
  <c r="H314" i="6"/>
  <c r="K314" i="6"/>
  <c r="L314" i="6"/>
  <c r="D23" i="2"/>
  <c r="P23" i="2" s="1"/>
  <c r="E23" i="2"/>
  <c r="F23" i="2"/>
  <c r="CZ23" i="2"/>
  <c r="CY23" i="2" s="1"/>
  <c r="X23" i="2" s="1"/>
  <c r="B24" i="1"/>
  <c r="R24" i="1"/>
  <c r="V24" i="1"/>
  <c r="Y24" i="1"/>
  <c r="AE24" i="1"/>
  <c r="CH307" i="20" l="1"/>
  <c r="CH310" i="20"/>
  <c r="CH303" i="20"/>
  <c r="CA312" i="9"/>
  <c r="CJ299" i="20"/>
  <c r="CH316" i="20"/>
  <c r="CH311" i="20"/>
  <c r="T24" i="1"/>
  <c r="I314" i="6"/>
  <c r="Q313" i="11"/>
  <c r="BL23" i="2"/>
  <c r="S313" i="11"/>
  <c r="J314" i="6"/>
  <c r="AX23" i="2"/>
  <c r="CA23" i="2"/>
  <c r="AJ23" i="2"/>
  <c r="BN23" i="2"/>
  <c r="BZ23" i="2" s="1"/>
  <c r="AC23" i="2"/>
  <c r="BP23" i="2"/>
  <c r="CB23" i="2" s="1"/>
  <c r="BE23" i="2"/>
  <c r="BM23" i="2"/>
  <c r="BY23" i="2" s="1"/>
  <c r="AQ23" i="2"/>
  <c r="B36" i="11"/>
  <c r="C36" i="11"/>
  <c r="D36" i="11"/>
  <c r="E36" i="11"/>
  <c r="F36" i="11"/>
  <c r="G36" i="11"/>
  <c r="P36" i="11"/>
  <c r="E36" i="9"/>
  <c r="M36" i="9"/>
  <c r="BW36" i="9"/>
  <c r="B35" i="10"/>
  <c r="C35" i="10"/>
  <c r="D35" i="10"/>
  <c r="E35" i="10"/>
  <c r="F35" i="10"/>
  <c r="G35" i="10"/>
  <c r="B35" i="6"/>
  <c r="C35" i="6"/>
  <c r="D35" i="6"/>
  <c r="E35" i="6"/>
  <c r="F35" i="6"/>
  <c r="G35" i="6"/>
  <c r="H35" i="6"/>
  <c r="K35" i="6"/>
  <c r="L35" i="6"/>
  <c r="B81" i="11"/>
  <c r="H81" i="11" s="1"/>
  <c r="C81" i="11"/>
  <c r="D81" i="11"/>
  <c r="E81" i="11"/>
  <c r="F81" i="11"/>
  <c r="G81" i="11"/>
  <c r="P81" i="11"/>
  <c r="E83" i="9"/>
  <c r="M83" i="9"/>
  <c r="BW83" i="9"/>
  <c r="B82" i="10"/>
  <c r="C82" i="10"/>
  <c r="D82" i="10"/>
  <c r="E82" i="10"/>
  <c r="F82" i="10"/>
  <c r="G82" i="10"/>
  <c r="B82" i="6"/>
  <c r="C82" i="6"/>
  <c r="D82" i="6"/>
  <c r="E82" i="6"/>
  <c r="F82" i="6"/>
  <c r="G82" i="6"/>
  <c r="H82" i="6"/>
  <c r="K82" i="6"/>
  <c r="L82" i="6"/>
  <c r="B265" i="11"/>
  <c r="H265" i="11" s="1"/>
  <c r="C265" i="11"/>
  <c r="D265" i="11"/>
  <c r="E265" i="11"/>
  <c r="F265" i="11"/>
  <c r="G265" i="11"/>
  <c r="P265" i="11"/>
  <c r="E264" i="9"/>
  <c r="M264" i="9"/>
  <c r="BW264" i="9"/>
  <c r="B264" i="10"/>
  <c r="C264" i="10"/>
  <c r="D264" i="10"/>
  <c r="E264" i="10"/>
  <c r="F264" i="10"/>
  <c r="G264" i="10"/>
  <c r="B264" i="6"/>
  <c r="C264" i="6"/>
  <c r="J264" i="6" s="1"/>
  <c r="D264" i="6"/>
  <c r="E264" i="6"/>
  <c r="F264" i="6"/>
  <c r="G264" i="6"/>
  <c r="H264" i="6"/>
  <c r="K264" i="6"/>
  <c r="L264" i="6"/>
  <c r="Y312" i="9" l="1"/>
  <c r="AF299" i="20"/>
  <c r="Y36" i="9"/>
  <c r="AF298" i="20"/>
  <c r="CA36" i="9"/>
  <c r="CJ298" i="20"/>
  <c r="AM312" i="9"/>
  <c r="AT299" i="20"/>
  <c r="BJ312" i="9"/>
  <c r="BR299" i="20"/>
  <c r="AT312" i="9"/>
  <c r="BA299" i="20"/>
  <c r="CA264" i="9"/>
  <c r="CJ296" i="20"/>
  <c r="BJ36" i="9"/>
  <c r="BR298" i="20"/>
  <c r="BA312" i="9"/>
  <c r="BH299" i="20"/>
  <c r="AF312" i="9"/>
  <c r="AM299" i="20"/>
  <c r="BJ83" i="9"/>
  <c r="BR297" i="20"/>
  <c r="CA83" i="9"/>
  <c r="CJ297" i="20"/>
  <c r="BH312" i="9"/>
  <c r="BO299" i="20"/>
  <c r="Y23" i="2"/>
  <c r="Z23" i="2"/>
  <c r="BQ23" i="2" s="1"/>
  <c r="CC23" i="2" s="1"/>
  <c r="AA23" i="2"/>
  <c r="BQ299" i="20" s="1"/>
  <c r="AB23" i="2"/>
  <c r="BS299" i="20" s="1"/>
  <c r="Q36" i="11"/>
  <c r="S36" i="11"/>
  <c r="J35" i="6"/>
  <c r="H36" i="11"/>
  <c r="V36" i="9"/>
  <c r="I35" i="6"/>
  <c r="O35" i="6" s="1"/>
  <c r="B298" i="20" s="1"/>
  <c r="Q265" i="11"/>
  <c r="J82" i="6"/>
  <c r="Q81" i="11"/>
  <c r="S81" i="11"/>
  <c r="V83" i="9"/>
  <c r="S265" i="11"/>
  <c r="V264" i="9"/>
  <c r="BW259" i="9"/>
  <c r="BW301" i="9"/>
  <c r="BW230" i="9"/>
  <c r="BW288" i="9"/>
  <c r="BW316" i="9"/>
  <c r="BW29" i="9"/>
  <c r="BW37" i="9"/>
  <c r="BW90" i="9"/>
  <c r="BW163" i="9"/>
  <c r="BW294" i="9"/>
  <c r="BW190" i="9"/>
  <c r="BW226" i="9"/>
  <c r="BW260" i="9"/>
  <c r="BW23" i="9"/>
  <c r="BW30" i="9"/>
  <c r="BW84" i="9"/>
  <c r="BW173" i="9"/>
  <c r="BW239" i="9"/>
  <c r="BW249" i="9"/>
  <c r="BW271" i="9"/>
  <c r="BW320" i="9"/>
  <c r="BW64" i="9"/>
  <c r="BW68" i="9"/>
  <c r="BW92" i="9"/>
  <c r="BW119" i="9"/>
  <c r="BW149" i="9"/>
  <c r="BW235" i="9"/>
  <c r="BW278" i="9"/>
  <c r="BW32" i="9"/>
  <c r="BW35" i="9"/>
  <c r="BW73" i="9"/>
  <c r="BW79" i="9"/>
  <c r="BW131" i="9"/>
  <c r="BW225" i="9"/>
  <c r="BW242" i="9"/>
  <c r="BW295" i="9"/>
  <c r="BW297" i="9"/>
  <c r="BW299" i="9"/>
  <c r="BW302" i="9"/>
  <c r="BW303" i="9"/>
  <c r="BW304" i="9"/>
  <c r="BW305" i="9"/>
  <c r="BW307" i="9"/>
  <c r="BW308" i="9"/>
  <c r="BW309" i="9"/>
  <c r="BW310" i="9"/>
  <c r="BW311" i="9"/>
  <c r="BW313" i="9"/>
  <c r="BW314" i="9"/>
  <c r="BW315" i="9"/>
  <c r="BW317" i="9"/>
  <c r="BW318" i="9"/>
  <c r="BW247" i="9"/>
  <c r="BW5" i="9"/>
  <c r="BW6" i="9"/>
  <c r="BW7" i="9"/>
  <c r="BW8" i="9"/>
  <c r="BW9" i="9"/>
  <c r="BW10" i="9"/>
  <c r="BW11" i="9"/>
  <c r="BW12" i="9"/>
  <c r="BW13" i="9"/>
  <c r="BW14" i="9"/>
  <c r="BW15" i="9"/>
  <c r="BW16" i="9"/>
  <c r="BW18" i="9"/>
  <c r="BW19" i="9"/>
  <c r="BW21" i="9"/>
  <c r="BW22" i="9"/>
  <c r="BW25" i="9"/>
  <c r="BW27" i="9"/>
  <c r="BW28" i="9"/>
  <c r="BW31" i="9"/>
  <c r="BW33" i="9"/>
  <c r="BW38" i="9"/>
  <c r="BW39" i="9"/>
  <c r="BW41" i="9"/>
  <c r="BW42" i="9"/>
  <c r="BW43" i="9"/>
  <c r="BW44" i="9"/>
  <c r="BW45" i="9"/>
  <c r="BW46" i="9"/>
  <c r="BW47" i="9"/>
  <c r="BW48" i="9"/>
  <c r="BW49" i="9"/>
  <c r="BW50" i="9"/>
  <c r="BW51" i="9"/>
  <c r="BW52" i="9"/>
  <c r="BW55" i="9"/>
  <c r="BW58" i="9"/>
  <c r="BW59" i="9"/>
  <c r="BW60" i="9"/>
  <c r="BW61" i="9"/>
  <c r="BW62" i="9"/>
  <c r="BW63" i="9"/>
  <c r="BW65" i="9"/>
  <c r="BW67" i="9"/>
  <c r="BW69" i="9"/>
  <c r="BW70" i="9"/>
  <c r="BW71" i="9"/>
  <c r="BW72" i="9"/>
  <c r="BW74" i="9"/>
  <c r="BW75" i="9"/>
  <c r="BW77" i="9"/>
  <c r="BW78" i="9"/>
  <c r="BW81" i="9"/>
  <c r="BW82" i="9"/>
  <c r="BW85" i="9"/>
  <c r="BW86" i="9"/>
  <c r="BW88" i="9"/>
  <c r="BW89" i="9"/>
  <c r="BW91" i="9"/>
  <c r="BW93" i="9"/>
  <c r="BW95" i="9"/>
  <c r="BW96" i="9"/>
  <c r="BW97" i="9"/>
  <c r="BW99" i="9"/>
  <c r="BW100" i="9"/>
  <c r="BW101" i="9"/>
  <c r="BW102" i="9"/>
  <c r="BW103" i="9"/>
  <c r="BW104" i="9"/>
  <c r="BW105" i="9"/>
  <c r="BW3" i="9"/>
  <c r="BW106" i="9"/>
  <c r="BW107" i="9"/>
  <c r="BW108" i="9"/>
  <c r="BW110" i="9"/>
  <c r="BW111" i="9"/>
  <c r="BW112" i="9"/>
  <c r="BW113" i="9"/>
  <c r="BW114" i="9"/>
  <c r="BW115" i="9"/>
  <c r="BW116" i="9"/>
  <c r="BW118" i="9"/>
  <c r="BW123" i="9"/>
  <c r="BW125" i="9"/>
  <c r="BW126" i="9"/>
  <c r="BW127" i="9"/>
  <c r="BW128" i="9"/>
  <c r="BW129" i="9"/>
  <c r="BW130" i="9"/>
  <c r="BW132" i="9"/>
  <c r="BW133" i="9"/>
  <c r="BW137" i="9"/>
  <c r="BW138" i="9"/>
  <c r="BW139" i="9"/>
  <c r="BW141" i="9"/>
  <c r="BW142" i="9"/>
  <c r="BW143" i="9"/>
  <c r="BW144" i="9"/>
  <c r="BW145" i="9"/>
  <c r="BW146" i="9"/>
  <c r="BW147" i="9"/>
  <c r="BW148" i="9"/>
  <c r="BW150" i="9"/>
  <c r="BW151" i="9"/>
  <c r="BW152" i="9"/>
  <c r="BW153" i="9"/>
  <c r="BW156" i="9"/>
  <c r="BW157" i="9"/>
  <c r="BW158" i="9"/>
  <c r="BW159" i="9"/>
  <c r="BW161" i="9"/>
  <c r="BW162" i="9"/>
  <c r="BW164" i="9"/>
  <c r="BW165" i="9"/>
  <c r="BW166" i="9"/>
  <c r="BW167" i="9"/>
  <c r="BW169" i="9"/>
  <c r="BW273" i="9"/>
  <c r="BW170" i="9"/>
  <c r="BW171" i="9"/>
  <c r="BW172" i="9"/>
  <c r="BW175" i="9"/>
  <c r="BW176" i="9"/>
  <c r="BW177" i="9"/>
  <c r="BW178" i="9"/>
  <c r="BW179" i="9"/>
  <c r="BW180" i="9"/>
  <c r="BW181" i="9"/>
  <c r="BW182" i="9"/>
  <c r="BW183" i="9"/>
  <c r="BW184" i="9"/>
  <c r="BW186" i="9"/>
  <c r="BW188" i="9"/>
  <c r="BW189" i="9"/>
  <c r="BW191" i="9"/>
  <c r="BW192" i="9"/>
  <c r="BW193" i="9"/>
  <c r="BW194" i="9"/>
  <c r="BW195" i="9"/>
  <c r="BW196" i="9"/>
  <c r="BW197" i="9"/>
  <c r="BW198" i="9"/>
  <c r="BW201" i="9"/>
  <c r="BW202" i="9"/>
  <c r="BW203" i="9"/>
  <c r="BW204" i="9"/>
  <c r="BW205" i="9"/>
  <c r="BW207" i="9"/>
  <c r="BW208" i="9"/>
  <c r="BW209" i="9"/>
  <c r="BW210" i="9"/>
  <c r="BW211" i="9"/>
  <c r="BW212" i="9"/>
  <c r="BW216" i="9"/>
  <c r="BW218" i="9"/>
  <c r="BW217" i="9"/>
  <c r="BW219" i="9"/>
  <c r="BW220" i="9"/>
  <c r="BW221" i="9"/>
  <c r="BW223" i="9"/>
  <c r="BW224" i="9"/>
  <c r="BW229" i="9"/>
  <c r="BW231" i="9"/>
  <c r="BW233" i="9"/>
  <c r="BW234" i="9"/>
  <c r="BW236" i="9"/>
  <c r="BW237" i="9"/>
  <c r="BW238" i="9"/>
  <c r="BW240" i="9"/>
  <c r="BW241" i="9"/>
  <c r="BW243" i="9"/>
  <c r="BW244" i="9"/>
  <c r="BW245" i="9"/>
  <c r="BW248" i="9"/>
  <c r="BW250" i="9"/>
  <c r="BW251" i="9"/>
  <c r="BW252" i="9"/>
  <c r="BW255" i="9"/>
  <c r="BW256" i="9"/>
  <c r="BW258" i="9"/>
  <c r="BW261" i="9"/>
  <c r="BW262" i="9"/>
  <c r="BW263" i="9"/>
  <c r="BW265" i="9"/>
  <c r="BW266" i="9"/>
  <c r="BW267" i="9"/>
  <c r="BW268" i="9"/>
  <c r="BW269" i="9"/>
  <c r="BW270" i="9"/>
  <c r="BW272" i="9"/>
  <c r="BW274" i="9"/>
  <c r="BW275" i="9"/>
  <c r="BW276" i="9"/>
  <c r="BW279" i="9"/>
  <c r="BW281" i="9"/>
  <c r="BW283" i="9"/>
  <c r="BW284" i="9"/>
  <c r="BW285" i="9"/>
  <c r="BW286" i="9"/>
  <c r="BW287" i="9"/>
  <c r="BW290" i="9"/>
  <c r="BW291" i="9"/>
  <c r="BW293" i="9"/>
  <c r="CK298" i="20" l="1"/>
  <c r="H298" i="20"/>
  <c r="Y264" i="9"/>
  <c r="AF296" i="20"/>
  <c r="Y83" i="9"/>
  <c r="AF297" i="20"/>
  <c r="AT264" i="9"/>
  <c r="BA296" i="20"/>
  <c r="AM36" i="9"/>
  <c r="AT298" i="20"/>
  <c r="CB312" i="9"/>
  <c r="BP299" i="20"/>
  <c r="BA264" i="9"/>
  <c r="BH296" i="20"/>
  <c r="BH83" i="9"/>
  <c r="BO297" i="20"/>
  <c r="AT36" i="9"/>
  <c r="BA298" i="20"/>
  <c r="AF36" i="9"/>
  <c r="AM298" i="20"/>
  <c r="AF83" i="9"/>
  <c r="AM297" i="20"/>
  <c r="AT83" i="9"/>
  <c r="BA297" i="20"/>
  <c r="BH264" i="9"/>
  <c r="BO296" i="20"/>
  <c r="BA83" i="9"/>
  <c r="BH297" i="20"/>
  <c r="BA36" i="9"/>
  <c r="BH298" i="20"/>
  <c r="BU23" i="2"/>
  <c r="CG23" i="2" s="1"/>
  <c r="AF264" i="9"/>
  <c r="AM296" i="20"/>
  <c r="AM264" i="9"/>
  <c r="AT296" i="20"/>
  <c r="BJ264" i="9"/>
  <c r="BR296" i="20"/>
  <c r="AM83" i="9"/>
  <c r="AT297" i="20"/>
  <c r="P298" i="20"/>
  <c r="G298" i="20"/>
  <c r="F298" i="20"/>
  <c r="BH36" i="9"/>
  <c r="BO298" i="20"/>
  <c r="B36" i="9"/>
  <c r="CD36" i="9" s="1"/>
  <c r="I264" i="6"/>
  <c r="O264" i="6" s="1"/>
  <c r="I82" i="6"/>
  <c r="O82" i="6" s="1"/>
  <c r="B297" i="20" s="1"/>
  <c r="BQ298" i="20"/>
  <c r="U24" i="1"/>
  <c r="BK312" i="9"/>
  <c r="BV23" i="2"/>
  <c r="CH23" i="2" s="1"/>
  <c r="BI312" i="9"/>
  <c r="BT23" i="2"/>
  <c r="CF23" i="2" s="1"/>
  <c r="BR23" i="2"/>
  <c r="CD23" i="2" s="1"/>
  <c r="BS23" i="2"/>
  <c r="CE23" i="2" s="1"/>
  <c r="BQ297" i="20"/>
  <c r="BS298" i="20"/>
  <c r="BQ296" i="20"/>
  <c r="V209" i="9"/>
  <c r="V157" i="9"/>
  <c r="V138" i="9"/>
  <c r="V58" i="9"/>
  <c r="V311" i="9"/>
  <c r="V225" i="9"/>
  <c r="V250" i="9"/>
  <c r="V171" i="9"/>
  <c r="V99" i="9"/>
  <c r="V12" i="9"/>
  <c r="V259" i="9"/>
  <c r="V184" i="9"/>
  <c r="V110" i="9"/>
  <c r="V27" i="9"/>
  <c r="V190" i="9"/>
  <c r="V231" i="9"/>
  <c r="V78" i="9"/>
  <c r="V283" i="9"/>
  <c r="V270" i="9"/>
  <c r="V261" i="9"/>
  <c r="V191" i="9"/>
  <c r="V181" i="9"/>
  <c r="V165" i="9"/>
  <c r="V145" i="9"/>
  <c r="V114" i="9"/>
  <c r="V106" i="9"/>
  <c r="V88" i="9"/>
  <c r="V65" i="9"/>
  <c r="V21" i="9"/>
  <c r="V247" i="9"/>
  <c r="V303" i="9"/>
  <c r="V84" i="9"/>
  <c r="V90" i="9"/>
  <c r="V281" i="9"/>
  <c r="V269" i="9"/>
  <c r="V258" i="9"/>
  <c r="V248" i="9"/>
  <c r="V238" i="9"/>
  <c r="V224" i="9"/>
  <c r="V216" i="9"/>
  <c r="V205" i="9"/>
  <c r="V198" i="9"/>
  <c r="V189" i="9"/>
  <c r="V144" i="9"/>
  <c r="V63" i="9"/>
  <c r="V302" i="9"/>
  <c r="V284" i="9"/>
  <c r="V201" i="9"/>
  <c r="V128" i="9"/>
  <c r="V46" i="9"/>
  <c r="V119" i="9"/>
  <c r="V265" i="9"/>
  <c r="V45" i="9"/>
  <c r="V92" i="9"/>
  <c r="V290" i="9"/>
  <c r="V276" i="9"/>
  <c r="V267" i="9"/>
  <c r="V255" i="9"/>
  <c r="V244" i="9"/>
  <c r="V236" i="9"/>
  <c r="V221" i="9"/>
  <c r="V212" i="9"/>
  <c r="V196" i="9"/>
  <c r="V178" i="9"/>
  <c r="V273" i="9"/>
  <c r="V161" i="9"/>
  <c r="V150" i="9"/>
  <c r="V142" i="9"/>
  <c r="V133" i="9"/>
  <c r="V125" i="9"/>
  <c r="V104" i="9"/>
  <c r="V96" i="9"/>
  <c r="V82" i="9"/>
  <c r="V72" i="9"/>
  <c r="V61" i="9"/>
  <c r="V42" i="9"/>
  <c r="V31" i="9"/>
  <c r="V16" i="9"/>
  <c r="V9" i="9"/>
  <c r="V315" i="9"/>
  <c r="V309" i="9"/>
  <c r="V297" i="9"/>
  <c r="V32" i="9"/>
  <c r="V320" i="9"/>
  <c r="V260" i="9"/>
  <c r="V29" i="9"/>
  <c r="V293" i="9"/>
  <c r="V207" i="9"/>
  <c r="V153" i="9"/>
  <c r="V137" i="9"/>
  <c r="V75" i="9"/>
  <c r="V52" i="9"/>
  <c r="V79" i="9"/>
  <c r="V286" i="9"/>
  <c r="V219" i="9"/>
  <c r="V176" i="9"/>
  <c r="V158" i="9"/>
  <c r="V139" i="9"/>
  <c r="V118" i="9"/>
  <c r="V102" i="9"/>
  <c r="V70" i="9"/>
  <c r="V48" i="9"/>
  <c r="V242" i="9"/>
  <c r="V235" i="9"/>
  <c r="V274" i="9"/>
  <c r="V116" i="9"/>
  <c r="V239" i="9"/>
  <c r="V233" i="9"/>
  <c r="V210" i="9"/>
  <c r="V194" i="9"/>
  <c r="V147" i="9"/>
  <c r="V130" i="9"/>
  <c r="V93" i="9"/>
  <c r="V59" i="9"/>
  <c r="V39" i="9"/>
  <c r="V15" i="9"/>
  <c r="V7" i="9"/>
  <c r="V313" i="9"/>
  <c r="V307" i="9"/>
  <c r="V249" i="9"/>
  <c r="V288" i="9"/>
  <c r="V193" i="9"/>
  <c r="V285" i="9"/>
  <c r="V263" i="9"/>
  <c r="V252" i="9"/>
  <c r="V241" i="9"/>
  <c r="V217" i="9"/>
  <c r="V202" i="9"/>
  <c r="V183" i="9"/>
  <c r="V175" i="9"/>
  <c r="V167" i="9"/>
  <c r="V146" i="9"/>
  <c r="V129" i="9"/>
  <c r="V108" i="9"/>
  <c r="V101" i="9"/>
  <c r="V91" i="9"/>
  <c r="V69" i="9"/>
  <c r="V47" i="9"/>
  <c r="V25" i="9"/>
  <c r="V14" i="9"/>
  <c r="V6" i="9"/>
  <c r="V305" i="9"/>
  <c r="V149" i="9"/>
  <c r="V294" i="9"/>
  <c r="V230" i="9"/>
  <c r="V180" i="9"/>
  <c r="V164" i="9"/>
  <c r="V152" i="9"/>
  <c r="V127" i="9"/>
  <c r="V113" i="9"/>
  <c r="V3" i="9"/>
  <c r="V86" i="9"/>
  <c r="V74" i="9"/>
  <c r="V51" i="9"/>
  <c r="V44" i="9"/>
  <c r="V33" i="9"/>
  <c r="V19" i="9"/>
  <c r="V11" i="9"/>
  <c r="V318" i="9"/>
  <c r="V310" i="9"/>
  <c r="V73" i="9"/>
  <c r="V68" i="9"/>
  <c r="V30" i="9"/>
  <c r="V262" i="9"/>
  <c r="V240" i="9"/>
  <c r="V182" i="9"/>
  <c r="V166" i="9"/>
  <c r="V107" i="9"/>
  <c r="V89" i="9"/>
  <c r="V22" i="9"/>
  <c r="V5" i="9"/>
  <c r="V163" i="9"/>
  <c r="V272" i="9"/>
  <c r="V251" i="9"/>
  <c r="V229" i="9"/>
  <c r="V218" i="9"/>
  <c r="V208" i="9"/>
  <c r="V192" i="9"/>
  <c r="V172" i="9"/>
  <c r="V156" i="9"/>
  <c r="V115" i="9"/>
  <c r="V100" i="9"/>
  <c r="V77" i="9"/>
  <c r="V67" i="9"/>
  <c r="V55" i="9"/>
  <c r="V38" i="9"/>
  <c r="V13" i="9"/>
  <c r="V304" i="9"/>
  <c r="V131" i="9"/>
  <c r="V173" i="9"/>
  <c r="V301" i="9"/>
  <c r="V291" i="9"/>
  <c r="V279" i="9"/>
  <c r="V268" i="9"/>
  <c r="V256" i="9"/>
  <c r="V245" i="9"/>
  <c r="V237" i="9"/>
  <c r="V223" i="9"/>
  <c r="V204" i="9"/>
  <c r="V197" i="9"/>
  <c r="V188" i="9"/>
  <c r="V179" i="9"/>
  <c r="V170" i="9"/>
  <c r="V162" i="9"/>
  <c r="V151" i="9"/>
  <c r="V143" i="9"/>
  <c r="V126" i="9"/>
  <c r="V112" i="9"/>
  <c r="V105" i="9"/>
  <c r="V97" i="9"/>
  <c r="V85" i="9"/>
  <c r="V62" i="9"/>
  <c r="V50" i="9"/>
  <c r="V43" i="9"/>
  <c r="V18" i="9"/>
  <c r="V10" i="9"/>
  <c r="V317" i="9"/>
  <c r="V299" i="9"/>
  <c r="V35" i="9"/>
  <c r="V64" i="9"/>
  <c r="V23" i="9"/>
  <c r="V37" i="9"/>
  <c r="V287" i="9"/>
  <c r="V275" i="9"/>
  <c r="V266" i="9"/>
  <c r="V243" i="9"/>
  <c r="V234" i="9"/>
  <c r="V220" i="9"/>
  <c r="V211" i="9"/>
  <c r="V203" i="9"/>
  <c r="V195" i="9"/>
  <c r="V186" i="9"/>
  <c r="V177" i="9"/>
  <c r="V169" i="9"/>
  <c r="V159" i="9"/>
  <c r="V148" i="9"/>
  <c r="V141" i="9"/>
  <c r="V132" i="9"/>
  <c r="V123" i="9"/>
  <c r="V111" i="9"/>
  <c r="V103" i="9"/>
  <c r="V95" i="9"/>
  <c r="V81" i="9"/>
  <c r="V71" i="9"/>
  <c r="V60" i="9"/>
  <c r="V49" i="9"/>
  <c r="V41" i="9"/>
  <c r="V28" i="9"/>
  <c r="V8" i="9"/>
  <c r="V314" i="9"/>
  <c r="V308" i="9"/>
  <c r="V295" i="9"/>
  <c r="V278" i="9"/>
  <c r="V271" i="9"/>
  <c r="V226" i="9"/>
  <c r="V316" i="9"/>
  <c r="B259" i="11"/>
  <c r="H259" i="11" s="1"/>
  <c r="C259" i="11"/>
  <c r="D259" i="11"/>
  <c r="E259" i="11"/>
  <c r="F259" i="11"/>
  <c r="G259" i="11"/>
  <c r="P259" i="11"/>
  <c r="E259" i="9"/>
  <c r="M259" i="9"/>
  <c r="B258" i="10"/>
  <c r="C258" i="10"/>
  <c r="D258" i="10"/>
  <c r="E258" i="10"/>
  <c r="F258" i="10"/>
  <c r="G258" i="10"/>
  <c r="B258" i="6"/>
  <c r="C258" i="6"/>
  <c r="D258" i="6"/>
  <c r="E258" i="6"/>
  <c r="F258" i="6"/>
  <c r="G258" i="6"/>
  <c r="H258" i="6"/>
  <c r="K258" i="6"/>
  <c r="L258" i="6"/>
  <c r="CK297" i="20" l="1"/>
  <c r="H297" i="20"/>
  <c r="CH298" i="20"/>
  <c r="BI83" i="9"/>
  <c r="B264" i="9"/>
  <c r="G264" i="9" s="1"/>
  <c r="B296" i="20"/>
  <c r="CA259" i="9"/>
  <c r="CJ295" i="20"/>
  <c r="BK264" i="9"/>
  <c r="BS296" i="20"/>
  <c r="BK83" i="9"/>
  <c r="BS297" i="20"/>
  <c r="CB36" i="9"/>
  <c r="BP298" i="20"/>
  <c r="P297" i="20"/>
  <c r="F297" i="20"/>
  <c r="G297" i="20"/>
  <c r="CB83" i="9"/>
  <c r="BP297" i="20"/>
  <c r="CB264" i="9"/>
  <c r="BP296" i="20"/>
  <c r="BI36" i="9"/>
  <c r="H36" i="9"/>
  <c r="G36" i="9"/>
  <c r="F36" i="9"/>
  <c r="B83" i="9"/>
  <c r="CD83" i="9" s="1"/>
  <c r="I258" i="6"/>
  <c r="O258" i="6" s="1"/>
  <c r="B295" i="20" s="1"/>
  <c r="BK36" i="9"/>
  <c r="BW23" i="2"/>
  <c r="BX23" i="2" s="1"/>
  <c r="BI264" i="9"/>
  <c r="Q259" i="11"/>
  <c r="J258" i="6"/>
  <c r="S259" i="11"/>
  <c r="CK296" i="20" l="1"/>
  <c r="H296" i="20"/>
  <c r="CK295" i="20"/>
  <c r="H295" i="20"/>
  <c r="F264" i="9"/>
  <c r="H264" i="9"/>
  <c r="CD264" i="9"/>
  <c r="Y259" i="9"/>
  <c r="AF295" i="20"/>
  <c r="AF259" i="9"/>
  <c r="AM295" i="20"/>
  <c r="F296" i="20"/>
  <c r="P296" i="20"/>
  <c r="G296" i="20"/>
  <c r="AM259" i="9"/>
  <c r="AT295" i="20"/>
  <c r="BJ259" i="9"/>
  <c r="BR295" i="20"/>
  <c r="AT259" i="9"/>
  <c r="BA295" i="20"/>
  <c r="BA259" i="9"/>
  <c r="BH295" i="20"/>
  <c r="BH259" i="9"/>
  <c r="BO295" i="20"/>
  <c r="G295" i="20"/>
  <c r="P295" i="20"/>
  <c r="F295" i="20"/>
  <c r="CH297" i="20"/>
  <c r="B259" i="9"/>
  <c r="CD259" i="9" s="1"/>
  <c r="F83" i="9"/>
  <c r="G83" i="9"/>
  <c r="H83" i="9"/>
  <c r="BQ295" i="20"/>
  <c r="CH296" i="20" l="1"/>
  <c r="CH295" i="20"/>
  <c r="BI259" i="9"/>
  <c r="CB259" i="9"/>
  <c r="BP295" i="20"/>
  <c r="BK259" i="9"/>
  <c r="BS295" i="20"/>
  <c r="H259" i="9"/>
  <c r="G259" i="9"/>
  <c r="F259" i="9"/>
  <c r="B302" i="11"/>
  <c r="C302" i="11"/>
  <c r="D302" i="11"/>
  <c r="E302" i="11"/>
  <c r="F302" i="11"/>
  <c r="G302" i="11"/>
  <c r="P302" i="11"/>
  <c r="E301" i="9"/>
  <c r="M301" i="9"/>
  <c r="B302" i="10"/>
  <c r="C302" i="10"/>
  <c r="D302" i="10"/>
  <c r="E302" i="10"/>
  <c r="F302" i="10"/>
  <c r="G302" i="10"/>
  <c r="B303" i="6"/>
  <c r="C303" i="6"/>
  <c r="D303" i="6"/>
  <c r="E303" i="6"/>
  <c r="F303" i="6"/>
  <c r="G303" i="6"/>
  <c r="H303" i="6"/>
  <c r="K303" i="6"/>
  <c r="L303" i="6"/>
  <c r="D12" i="2"/>
  <c r="P12" i="2" s="1"/>
  <c r="E12" i="2"/>
  <c r="F12" i="2"/>
  <c r="CZ12" i="2"/>
  <c r="CY12" i="2" s="1"/>
  <c r="X12" i="2" s="1"/>
  <c r="B10" i="1"/>
  <c r="R10" i="1"/>
  <c r="V10" i="1"/>
  <c r="Y10" i="1"/>
  <c r="AE10" i="1"/>
  <c r="CA301" i="9" l="1"/>
  <c r="CJ294" i="20"/>
  <c r="T10" i="1"/>
  <c r="I303" i="6"/>
  <c r="J303" i="6"/>
  <c r="H302" i="11"/>
  <c r="S302" i="11"/>
  <c r="Q302" i="11"/>
  <c r="BN12" i="2"/>
  <c r="BZ12" i="2" s="1"/>
  <c r="AJ12" i="2"/>
  <c r="AC12" i="2"/>
  <c r="BP12" i="2"/>
  <c r="CB12" i="2" s="1"/>
  <c r="CA12" i="2"/>
  <c r="BM12" i="2"/>
  <c r="BY12" i="2" s="1"/>
  <c r="BL12" i="2"/>
  <c r="BE12" i="2"/>
  <c r="AX12" i="2"/>
  <c r="AQ12" i="2"/>
  <c r="G295" i="11"/>
  <c r="F295" i="11"/>
  <c r="E295" i="11"/>
  <c r="C295" i="11"/>
  <c r="B295" i="11"/>
  <c r="BW154" i="9"/>
  <c r="D154" i="9"/>
  <c r="G3" i="10"/>
  <c r="G295" i="10"/>
  <c r="G296" i="10"/>
  <c r="G298" i="10"/>
  <c r="G300" i="10"/>
  <c r="G303" i="10"/>
  <c r="G304" i="10"/>
  <c r="G305" i="10"/>
  <c r="G306" i="10"/>
  <c r="G308" i="10"/>
  <c r="G309" i="10"/>
  <c r="G310" i="10"/>
  <c r="G311" i="10"/>
  <c r="G312" i="10"/>
  <c r="G314" i="10"/>
  <c r="G315" i="10"/>
  <c r="G316" i="10"/>
  <c r="G317" i="10"/>
  <c r="G318" i="10"/>
  <c r="G319" i="10"/>
  <c r="G247" i="10"/>
  <c r="G321" i="10"/>
  <c r="G4" i="10"/>
  <c r="G5" i="10"/>
  <c r="G6" i="10"/>
  <c r="G7" i="10"/>
  <c r="G8" i="10"/>
  <c r="G9" i="10"/>
  <c r="G10" i="10"/>
  <c r="G11" i="10"/>
  <c r="G12" i="10"/>
  <c r="G13" i="10"/>
  <c r="G14" i="10"/>
  <c r="G15" i="10"/>
  <c r="G17" i="10"/>
  <c r="G18" i="10"/>
  <c r="G20" i="10"/>
  <c r="G21" i="10"/>
  <c r="G22" i="10"/>
  <c r="G24" i="10"/>
  <c r="G25" i="10"/>
  <c r="G26" i="10"/>
  <c r="G27" i="10"/>
  <c r="G28" i="10"/>
  <c r="G29" i="10"/>
  <c r="G30" i="10"/>
  <c r="G31" i="10"/>
  <c r="G32" i="10"/>
  <c r="G34" i="10"/>
  <c r="G36" i="10"/>
  <c r="G37" i="10"/>
  <c r="G38" i="10"/>
  <c r="G40" i="10"/>
  <c r="G41" i="10"/>
  <c r="G42" i="10"/>
  <c r="G43" i="10"/>
  <c r="G44" i="10"/>
  <c r="G45" i="10"/>
  <c r="G46" i="10"/>
  <c r="G47" i="10"/>
  <c r="G48" i="10"/>
  <c r="G49" i="10"/>
  <c r="G50" i="10"/>
  <c r="G51" i="10"/>
  <c r="G54" i="10"/>
  <c r="G57" i="10"/>
  <c r="G58" i="10"/>
  <c r="G59" i="10"/>
  <c r="G60" i="10"/>
  <c r="G61" i="10"/>
  <c r="G62" i="10"/>
  <c r="G63" i="10"/>
  <c r="G64" i="10"/>
  <c r="G66" i="10"/>
  <c r="G67" i="10"/>
  <c r="G68" i="10"/>
  <c r="G69" i="10"/>
  <c r="G70" i="10"/>
  <c r="G71" i="10"/>
  <c r="G72" i="10"/>
  <c r="G73" i="10"/>
  <c r="G74" i="10"/>
  <c r="G76" i="10"/>
  <c r="G77" i="10"/>
  <c r="G78" i="10"/>
  <c r="G80" i="10"/>
  <c r="G81" i="10"/>
  <c r="G83" i="10"/>
  <c r="G84" i="10"/>
  <c r="G85" i="10"/>
  <c r="G87" i="10"/>
  <c r="G88" i="10"/>
  <c r="G89" i="10"/>
  <c r="G90" i="10"/>
  <c r="G91" i="10"/>
  <c r="G92" i="10"/>
  <c r="G94" i="10"/>
  <c r="G95" i="10"/>
  <c r="G96" i="10"/>
  <c r="G98" i="10"/>
  <c r="G99" i="10"/>
  <c r="G100" i="10"/>
  <c r="G101" i="10"/>
  <c r="G102" i="10"/>
  <c r="G103" i="10"/>
  <c r="G104" i="10"/>
  <c r="G105" i="10"/>
  <c r="G106" i="10"/>
  <c r="G107" i="10"/>
  <c r="G108" i="10"/>
  <c r="G110" i="10"/>
  <c r="G111" i="10"/>
  <c r="G112" i="10"/>
  <c r="G113" i="10"/>
  <c r="G114" i="10"/>
  <c r="G115" i="10"/>
  <c r="G116" i="10"/>
  <c r="G118" i="10"/>
  <c r="G119" i="10"/>
  <c r="G123" i="10"/>
  <c r="G125" i="10"/>
  <c r="G126" i="10"/>
  <c r="G127" i="10"/>
  <c r="G128" i="10"/>
  <c r="G129" i="10"/>
  <c r="G130" i="10"/>
  <c r="G131" i="10"/>
  <c r="G132" i="10"/>
  <c r="G133" i="10"/>
  <c r="G137" i="10"/>
  <c r="G138" i="10"/>
  <c r="G139" i="10"/>
  <c r="G141" i="10"/>
  <c r="G142" i="10"/>
  <c r="G143" i="10"/>
  <c r="G144" i="10"/>
  <c r="G145" i="10"/>
  <c r="G146" i="10"/>
  <c r="G147" i="10"/>
  <c r="G148" i="10"/>
  <c r="G149" i="10"/>
  <c r="G150" i="10"/>
  <c r="G151" i="10"/>
  <c r="G152" i="10"/>
  <c r="G153" i="10"/>
  <c r="G155" i="10"/>
  <c r="G156" i="10"/>
  <c r="G157" i="10"/>
  <c r="G158" i="10"/>
  <c r="G159" i="10"/>
  <c r="G161" i="10"/>
  <c r="G162" i="10"/>
  <c r="G163" i="10"/>
  <c r="G164" i="10"/>
  <c r="G165" i="10"/>
  <c r="G166" i="10"/>
  <c r="G167" i="10"/>
  <c r="G169" i="10"/>
  <c r="G274" i="10"/>
  <c r="G170" i="10"/>
  <c r="G171" i="10"/>
  <c r="G172" i="10"/>
  <c r="G173" i="10"/>
  <c r="G175" i="10"/>
  <c r="G176" i="10"/>
  <c r="G177" i="10"/>
  <c r="G178" i="10"/>
  <c r="G179" i="10"/>
  <c r="G180" i="10"/>
  <c r="G181" i="10"/>
  <c r="G182" i="10"/>
  <c r="G183" i="10"/>
  <c r="G184" i="10"/>
  <c r="G186" i="10"/>
  <c r="G188" i="10"/>
  <c r="G189" i="10"/>
  <c r="G190" i="10"/>
  <c r="G191" i="10"/>
  <c r="G192" i="10"/>
  <c r="G193" i="10"/>
  <c r="G194" i="10"/>
  <c r="G195" i="10"/>
  <c r="G196" i="10"/>
  <c r="G197" i="10"/>
  <c r="G198" i="10"/>
  <c r="G201" i="10"/>
  <c r="G202" i="10"/>
  <c r="G203" i="10"/>
  <c r="G204" i="10"/>
  <c r="G205" i="10"/>
  <c r="G207" i="10"/>
  <c r="G208" i="10"/>
  <c r="G209" i="10"/>
  <c r="G210" i="10"/>
  <c r="G211" i="10"/>
  <c r="G212" i="10"/>
  <c r="G216" i="10"/>
  <c r="G217" i="10"/>
  <c r="G218" i="10"/>
  <c r="G219" i="10"/>
  <c r="G220" i="10"/>
  <c r="G221" i="10"/>
  <c r="G223" i="10"/>
  <c r="G224" i="10"/>
  <c r="G225" i="10"/>
  <c r="G226" i="10"/>
  <c r="G229" i="10"/>
  <c r="G230" i="10"/>
  <c r="G231" i="10"/>
  <c r="G233" i="10"/>
  <c r="G234" i="10"/>
  <c r="G235" i="10"/>
  <c r="G236" i="10"/>
  <c r="G237" i="10"/>
  <c r="G238" i="10"/>
  <c r="G239" i="10"/>
  <c r="G240" i="10"/>
  <c r="G241" i="10"/>
  <c r="G242" i="10"/>
  <c r="G243" i="10"/>
  <c r="G244" i="10"/>
  <c r="G245" i="10"/>
  <c r="G248" i="10"/>
  <c r="G249" i="10"/>
  <c r="G250" i="10"/>
  <c r="G251" i="10"/>
  <c r="G252" i="10"/>
  <c r="G255" i="10"/>
  <c r="G256" i="10"/>
  <c r="G259" i="10"/>
  <c r="G260" i="10"/>
  <c r="G261" i="10"/>
  <c r="G262" i="10"/>
  <c r="G263" i="10"/>
  <c r="G266" i="10"/>
  <c r="G267" i="10"/>
  <c r="G268" i="10"/>
  <c r="G269" i="10"/>
  <c r="G270" i="10"/>
  <c r="G271" i="10"/>
  <c r="G272" i="10"/>
  <c r="G273" i="10"/>
  <c r="G275" i="10"/>
  <c r="G276" i="10"/>
  <c r="G277" i="10"/>
  <c r="G279" i="10"/>
  <c r="G280" i="10"/>
  <c r="G282" i="10"/>
  <c r="G284" i="10"/>
  <c r="G285" i="10"/>
  <c r="G286" i="10"/>
  <c r="G287" i="10"/>
  <c r="G288" i="10"/>
  <c r="G289" i="10"/>
  <c r="G291" i="10"/>
  <c r="G292" i="10"/>
  <c r="G294" i="10"/>
  <c r="F3" i="10"/>
  <c r="F295" i="10"/>
  <c r="F296" i="10"/>
  <c r="F298" i="10"/>
  <c r="F300" i="10"/>
  <c r="F303" i="10"/>
  <c r="F304" i="10"/>
  <c r="F305" i="10"/>
  <c r="F306" i="10"/>
  <c r="F308" i="10"/>
  <c r="F309" i="10"/>
  <c r="F310" i="10"/>
  <c r="F311" i="10"/>
  <c r="F312" i="10"/>
  <c r="F314" i="10"/>
  <c r="F315" i="10"/>
  <c r="F316" i="10"/>
  <c r="F317" i="10"/>
  <c r="F318" i="10"/>
  <c r="F319" i="10"/>
  <c r="F247" i="10"/>
  <c r="F321" i="10"/>
  <c r="F4" i="10"/>
  <c r="F5" i="10"/>
  <c r="F6" i="10"/>
  <c r="F7" i="10"/>
  <c r="F8" i="10"/>
  <c r="F9" i="10"/>
  <c r="F10" i="10"/>
  <c r="F11" i="10"/>
  <c r="F12" i="10"/>
  <c r="F13" i="10"/>
  <c r="F14" i="10"/>
  <c r="F15" i="10"/>
  <c r="F17" i="10"/>
  <c r="F18" i="10"/>
  <c r="F20" i="10"/>
  <c r="F21" i="10"/>
  <c r="F22" i="10"/>
  <c r="F24" i="10"/>
  <c r="F25" i="10"/>
  <c r="F26" i="10"/>
  <c r="F27" i="10"/>
  <c r="F28" i="10"/>
  <c r="F29" i="10"/>
  <c r="F30" i="10"/>
  <c r="F31" i="10"/>
  <c r="F32" i="10"/>
  <c r="F34" i="10"/>
  <c r="F36" i="10"/>
  <c r="F37" i="10"/>
  <c r="F38" i="10"/>
  <c r="F40" i="10"/>
  <c r="F41" i="10"/>
  <c r="F42" i="10"/>
  <c r="F43" i="10"/>
  <c r="F44" i="10"/>
  <c r="F45" i="10"/>
  <c r="F46" i="10"/>
  <c r="F47" i="10"/>
  <c r="F48" i="10"/>
  <c r="F49" i="10"/>
  <c r="F50" i="10"/>
  <c r="F51" i="10"/>
  <c r="F54" i="10"/>
  <c r="F57" i="10"/>
  <c r="F58" i="10"/>
  <c r="F59" i="10"/>
  <c r="F60" i="10"/>
  <c r="F61" i="10"/>
  <c r="F62" i="10"/>
  <c r="F63" i="10"/>
  <c r="F64" i="10"/>
  <c r="F66" i="10"/>
  <c r="F67" i="10"/>
  <c r="F68" i="10"/>
  <c r="F69" i="10"/>
  <c r="F70" i="10"/>
  <c r="F71" i="10"/>
  <c r="F72" i="10"/>
  <c r="F73" i="10"/>
  <c r="F74" i="10"/>
  <c r="F76" i="10"/>
  <c r="F77" i="10"/>
  <c r="F78" i="10"/>
  <c r="F80" i="10"/>
  <c r="F81" i="10"/>
  <c r="F83" i="10"/>
  <c r="F84" i="10"/>
  <c r="F85" i="10"/>
  <c r="F87" i="10"/>
  <c r="F88" i="10"/>
  <c r="F89" i="10"/>
  <c r="F90" i="10"/>
  <c r="F91" i="10"/>
  <c r="F92" i="10"/>
  <c r="F94" i="10"/>
  <c r="F95" i="10"/>
  <c r="F96" i="10"/>
  <c r="F98" i="10"/>
  <c r="F99" i="10"/>
  <c r="F100" i="10"/>
  <c r="F101" i="10"/>
  <c r="F102" i="10"/>
  <c r="F103" i="10"/>
  <c r="F104" i="10"/>
  <c r="F105" i="10"/>
  <c r="F106" i="10"/>
  <c r="F107" i="10"/>
  <c r="F108" i="10"/>
  <c r="F110" i="10"/>
  <c r="F111" i="10"/>
  <c r="F112" i="10"/>
  <c r="F113" i="10"/>
  <c r="F114" i="10"/>
  <c r="F115" i="10"/>
  <c r="F116" i="10"/>
  <c r="F118" i="10"/>
  <c r="F119" i="10"/>
  <c r="F123" i="10"/>
  <c r="F125" i="10"/>
  <c r="F126" i="10"/>
  <c r="F127" i="10"/>
  <c r="F128" i="10"/>
  <c r="F129" i="10"/>
  <c r="F130" i="10"/>
  <c r="F131" i="10"/>
  <c r="F132" i="10"/>
  <c r="F133" i="10"/>
  <c r="F137" i="10"/>
  <c r="F138" i="10"/>
  <c r="F139" i="10"/>
  <c r="F141" i="10"/>
  <c r="F142" i="10"/>
  <c r="F143" i="10"/>
  <c r="F144" i="10"/>
  <c r="F145" i="10"/>
  <c r="F146" i="10"/>
  <c r="F147" i="10"/>
  <c r="F148" i="10"/>
  <c r="F149" i="10"/>
  <c r="F150" i="10"/>
  <c r="F151" i="10"/>
  <c r="F152" i="10"/>
  <c r="F153" i="10"/>
  <c r="F155" i="10"/>
  <c r="F156" i="10"/>
  <c r="F157" i="10"/>
  <c r="F158" i="10"/>
  <c r="F159" i="10"/>
  <c r="F161" i="10"/>
  <c r="F162" i="10"/>
  <c r="F163" i="10"/>
  <c r="F164" i="10"/>
  <c r="F165" i="10"/>
  <c r="F166" i="10"/>
  <c r="F167" i="10"/>
  <c r="F169" i="10"/>
  <c r="F274" i="10"/>
  <c r="F170" i="10"/>
  <c r="F171" i="10"/>
  <c r="F172" i="10"/>
  <c r="F173" i="10"/>
  <c r="F175" i="10"/>
  <c r="F176" i="10"/>
  <c r="F177" i="10"/>
  <c r="F178" i="10"/>
  <c r="F179" i="10"/>
  <c r="F180" i="10"/>
  <c r="F181" i="10"/>
  <c r="F182" i="10"/>
  <c r="F183" i="10"/>
  <c r="F184" i="10"/>
  <c r="F186" i="10"/>
  <c r="F188" i="10"/>
  <c r="F189" i="10"/>
  <c r="F190" i="10"/>
  <c r="F191" i="10"/>
  <c r="F192" i="10"/>
  <c r="F193" i="10"/>
  <c r="F194" i="10"/>
  <c r="F195" i="10"/>
  <c r="F196" i="10"/>
  <c r="F197" i="10"/>
  <c r="F198" i="10"/>
  <c r="F201" i="10"/>
  <c r="F202" i="10"/>
  <c r="F203" i="10"/>
  <c r="F204" i="10"/>
  <c r="F205" i="10"/>
  <c r="F207" i="10"/>
  <c r="F208" i="10"/>
  <c r="F209" i="10"/>
  <c r="F210" i="10"/>
  <c r="F211" i="10"/>
  <c r="F212" i="10"/>
  <c r="F216" i="10"/>
  <c r="F217" i="10"/>
  <c r="F218" i="10"/>
  <c r="F219" i="10"/>
  <c r="F220" i="10"/>
  <c r="F221" i="10"/>
  <c r="F223" i="10"/>
  <c r="F224" i="10"/>
  <c r="F225" i="10"/>
  <c r="F226" i="10"/>
  <c r="F229" i="10"/>
  <c r="F230" i="10"/>
  <c r="F231" i="10"/>
  <c r="F233" i="10"/>
  <c r="F234" i="10"/>
  <c r="F235" i="10"/>
  <c r="F236" i="10"/>
  <c r="F237" i="10"/>
  <c r="F238" i="10"/>
  <c r="F239" i="10"/>
  <c r="F240" i="10"/>
  <c r="F241" i="10"/>
  <c r="F242" i="10"/>
  <c r="F243" i="10"/>
  <c r="F244" i="10"/>
  <c r="F245" i="10"/>
  <c r="F248" i="10"/>
  <c r="F249" i="10"/>
  <c r="F250" i="10"/>
  <c r="F251" i="10"/>
  <c r="F252" i="10"/>
  <c r="F255" i="10"/>
  <c r="F256" i="10"/>
  <c r="F259" i="10"/>
  <c r="F260" i="10"/>
  <c r="F261" i="10"/>
  <c r="F262" i="10"/>
  <c r="F263" i="10"/>
  <c r="F266" i="10"/>
  <c r="F267" i="10"/>
  <c r="F268" i="10"/>
  <c r="F269" i="10"/>
  <c r="F270" i="10"/>
  <c r="F271" i="10"/>
  <c r="F272" i="10"/>
  <c r="F273" i="10"/>
  <c r="F275" i="10"/>
  <c r="F276" i="10"/>
  <c r="F277" i="10"/>
  <c r="F279" i="10"/>
  <c r="F280" i="10"/>
  <c r="F282" i="10"/>
  <c r="F284" i="10"/>
  <c r="F285" i="10"/>
  <c r="F286" i="10"/>
  <c r="F287" i="10"/>
  <c r="F288" i="10"/>
  <c r="F289" i="10"/>
  <c r="F291" i="10"/>
  <c r="F292" i="10"/>
  <c r="F294" i="10"/>
  <c r="E3" i="10"/>
  <c r="E295" i="10"/>
  <c r="E296" i="10"/>
  <c r="E298" i="10"/>
  <c r="E300" i="10"/>
  <c r="E303" i="10"/>
  <c r="E304" i="10"/>
  <c r="E305" i="10"/>
  <c r="E306" i="10"/>
  <c r="E308" i="10"/>
  <c r="E309" i="10"/>
  <c r="E310" i="10"/>
  <c r="E311" i="10"/>
  <c r="E312" i="10"/>
  <c r="E314" i="10"/>
  <c r="E315" i="10"/>
  <c r="E316" i="10"/>
  <c r="E317" i="10"/>
  <c r="E318" i="10"/>
  <c r="E319" i="10"/>
  <c r="E247" i="10"/>
  <c r="E321" i="10"/>
  <c r="E4" i="10"/>
  <c r="E5" i="10"/>
  <c r="E6" i="10"/>
  <c r="E7" i="10"/>
  <c r="E8" i="10"/>
  <c r="E9" i="10"/>
  <c r="E10" i="10"/>
  <c r="E11" i="10"/>
  <c r="E12" i="10"/>
  <c r="E13" i="10"/>
  <c r="E14" i="10"/>
  <c r="E15" i="10"/>
  <c r="E17" i="10"/>
  <c r="E18" i="10"/>
  <c r="E20" i="10"/>
  <c r="E21" i="10"/>
  <c r="E22" i="10"/>
  <c r="E24" i="10"/>
  <c r="E25" i="10"/>
  <c r="E26" i="10"/>
  <c r="E27" i="10"/>
  <c r="E28" i="10"/>
  <c r="E29" i="10"/>
  <c r="E30" i="10"/>
  <c r="E31" i="10"/>
  <c r="E32" i="10"/>
  <c r="E34" i="10"/>
  <c r="E36" i="10"/>
  <c r="E37" i="10"/>
  <c r="E38" i="10"/>
  <c r="E40" i="10"/>
  <c r="E41" i="10"/>
  <c r="E42" i="10"/>
  <c r="E43" i="10"/>
  <c r="E44" i="10"/>
  <c r="E45" i="10"/>
  <c r="E46" i="10"/>
  <c r="E47" i="10"/>
  <c r="E48" i="10"/>
  <c r="E49" i="10"/>
  <c r="E50" i="10"/>
  <c r="E51" i="10"/>
  <c r="E54" i="10"/>
  <c r="E57" i="10"/>
  <c r="E58" i="10"/>
  <c r="E59" i="10"/>
  <c r="E60" i="10"/>
  <c r="E61" i="10"/>
  <c r="E62" i="10"/>
  <c r="E63" i="10"/>
  <c r="E64" i="10"/>
  <c r="E66" i="10"/>
  <c r="E67" i="10"/>
  <c r="E68" i="10"/>
  <c r="E69" i="10"/>
  <c r="E70" i="10"/>
  <c r="E71" i="10"/>
  <c r="E72" i="10"/>
  <c r="E73" i="10"/>
  <c r="E74" i="10"/>
  <c r="E76" i="10"/>
  <c r="E77" i="10"/>
  <c r="E78" i="10"/>
  <c r="E80" i="10"/>
  <c r="E81" i="10"/>
  <c r="E83" i="10"/>
  <c r="E84" i="10"/>
  <c r="E85" i="10"/>
  <c r="E87" i="10"/>
  <c r="E88" i="10"/>
  <c r="E89" i="10"/>
  <c r="E90" i="10"/>
  <c r="E91" i="10"/>
  <c r="E92" i="10"/>
  <c r="E94" i="10"/>
  <c r="E95" i="10"/>
  <c r="E96" i="10"/>
  <c r="E98" i="10"/>
  <c r="E99" i="10"/>
  <c r="E100" i="10"/>
  <c r="E101" i="10"/>
  <c r="E102" i="10"/>
  <c r="E103" i="10"/>
  <c r="E104" i="10"/>
  <c r="E105" i="10"/>
  <c r="E106" i="10"/>
  <c r="E107" i="10"/>
  <c r="E108" i="10"/>
  <c r="E110" i="10"/>
  <c r="E111" i="10"/>
  <c r="E112" i="10"/>
  <c r="E113" i="10"/>
  <c r="E114" i="10"/>
  <c r="E115" i="10"/>
  <c r="E116" i="10"/>
  <c r="E118" i="10"/>
  <c r="E119" i="10"/>
  <c r="E123" i="10"/>
  <c r="E125" i="10"/>
  <c r="E126" i="10"/>
  <c r="E127" i="10"/>
  <c r="E128" i="10"/>
  <c r="E129" i="10"/>
  <c r="E130" i="10"/>
  <c r="E131" i="10"/>
  <c r="E132" i="10"/>
  <c r="E133" i="10"/>
  <c r="E137" i="10"/>
  <c r="E138" i="10"/>
  <c r="E139" i="10"/>
  <c r="E141" i="10"/>
  <c r="E142" i="10"/>
  <c r="E143" i="10"/>
  <c r="E144" i="10"/>
  <c r="E145" i="10"/>
  <c r="E146" i="10"/>
  <c r="E147" i="10"/>
  <c r="E148" i="10"/>
  <c r="E149" i="10"/>
  <c r="E150" i="10"/>
  <c r="E151" i="10"/>
  <c r="E152" i="10"/>
  <c r="E153" i="10"/>
  <c r="E155" i="10"/>
  <c r="E156" i="10"/>
  <c r="E157" i="10"/>
  <c r="E158" i="10"/>
  <c r="E159" i="10"/>
  <c r="E161" i="10"/>
  <c r="E162" i="10"/>
  <c r="E163" i="10"/>
  <c r="E164" i="10"/>
  <c r="E165" i="10"/>
  <c r="E166" i="10"/>
  <c r="E167" i="10"/>
  <c r="E169" i="10"/>
  <c r="E274" i="10"/>
  <c r="E170" i="10"/>
  <c r="E171" i="10"/>
  <c r="E172" i="10"/>
  <c r="E173" i="10"/>
  <c r="E175" i="10"/>
  <c r="E176" i="10"/>
  <c r="E177" i="10"/>
  <c r="E178" i="10"/>
  <c r="E179" i="10"/>
  <c r="E180" i="10"/>
  <c r="E181" i="10"/>
  <c r="E182" i="10"/>
  <c r="E183" i="10"/>
  <c r="E184" i="10"/>
  <c r="E186" i="10"/>
  <c r="E188" i="10"/>
  <c r="E189" i="10"/>
  <c r="E190" i="10"/>
  <c r="E191" i="10"/>
  <c r="E192" i="10"/>
  <c r="E193" i="10"/>
  <c r="E194" i="10"/>
  <c r="E195" i="10"/>
  <c r="E196" i="10"/>
  <c r="E197" i="10"/>
  <c r="E198" i="10"/>
  <c r="E201" i="10"/>
  <c r="E202" i="10"/>
  <c r="E203" i="10"/>
  <c r="E204" i="10"/>
  <c r="E205" i="10"/>
  <c r="E207" i="10"/>
  <c r="E208" i="10"/>
  <c r="E209" i="10"/>
  <c r="E210" i="10"/>
  <c r="E211" i="10"/>
  <c r="E212" i="10"/>
  <c r="E216" i="10"/>
  <c r="E217" i="10"/>
  <c r="E218" i="10"/>
  <c r="E219" i="10"/>
  <c r="E220" i="10"/>
  <c r="E221" i="10"/>
  <c r="E223" i="10"/>
  <c r="E224" i="10"/>
  <c r="E225" i="10"/>
  <c r="E226" i="10"/>
  <c r="E229" i="10"/>
  <c r="E230" i="10"/>
  <c r="E231" i="10"/>
  <c r="E233" i="10"/>
  <c r="E234" i="10"/>
  <c r="E235" i="10"/>
  <c r="E236" i="10"/>
  <c r="E237" i="10"/>
  <c r="E238" i="10"/>
  <c r="E239" i="10"/>
  <c r="E240" i="10"/>
  <c r="E241" i="10"/>
  <c r="E242" i="10"/>
  <c r="E243" i="10"/>
  <c r="E244" i="10"/>
  <c r="E245" i="10"/>
  <c r="E248" i="10"/>
  <c r="E249" i="10"/>
  <c r="E250" i="10"/>
  <c r="E251" i="10"/>
  <c r="E252" i="10"/>
  <c r="E255" i="10"/>
  <c r="E256" i="10"/>
  <c r="E259" i="10"/>
  <c r="E260" i="10"/>
  <c r="E261" i="10"/>
  <c r="E262" i="10"/>
  <c r="E263" i="10"/>
  <c r="E266" i="10"/>
  <c r="E267" i="10"/>
  <c r="E268" i="10"/>
  <c r="E269" i="10"/>
  <c r="E270" i="10"/>
  <c r="E271" i="10"/>
  <c r="E272" i="10"/>
  <c r="E273" i="10"/>
  <c r="E275" i="10"/>
  <c r="E276" i="10"/>
  <c r="E277" i="10"/>
  <c r="E279" i="10"/>
  <c r="E280" i="10"/>
  <c r="E282" i="10"/>
  <c r="E284" i="10"/>
  <c r="E285" i="10"/>
  <c r="E286" i="10"/>
  <c r="E287" i="10"/>
  <c r="E288" i="10"/>
  <c r="E289" i="10"/>
  <c r="E291" i="10"/>
  <c r="E292" i="10"/>
  <c r="E294" i="10"/>
  <c r="D3" i="10"/>
  <c r="D295" i="10"/>
  <c r="D296" i="10"/>
  <c r="D298" i="10"/>
  <c r="D300" i="10"/>
  <c r="D303" i="10"/>
  <c r="D304" i="10"/>
  <c r="D305" i="10"/>
  <c r="D306" i="10"/>
  <c r="D308" i="10"/>
  <c r="D309" i="10"/>
  <c r="D310" i="10"/>
  <c r="D311" i="10"/>
  <c r="D312" i="10"/>
  <c r="D314" i="10"/>
  <c r="D315" i="10"/>
  <c r="D316" i="10"/>
  <c r="D317" i="10"/>
  <c r="D318" i="10"/>
  <c r="D319" i="10"/>
  <c r="D247" i="10"/>
  <c r="D321" i="10"/>
  <c r="D4" i="10"/>
  <c r="D5" i="10"/>
  <c r="D6" i="10"/>
  <c r="D7" i="10"/>
  <c r="D8" i="10"/>
  <c r="D9" i="10"/>
  <c r="D10" i="10"/>
  <c r="D11" i="10"/>
  <c r="D12" i="10"/>
  <c r="D13" i="10"/>
  <c r="D14" i="10"/>
  <c r="D15" i="10"/>
  <c r="D17" i="10"/>
  <c r="D18" i="10"/>
  <c r="D20" i="10"/>
  <c r="D21" i="10"/>
  <c r="D22" i="10"/>
  <c r="D24" i="10"/>
  <c r="D25" i="10"/>
  <c r="D26" i="10"/>
  <c r="D27" i="10"/>
  <c r="D28" i="10"/>
  <c r="D29" i="10"/>
  <c r="D30" i="10"/>
  <c r="D31" i="10"/>
  <c r="D32" i="10"/>
  <c r="D34" i="10"/>
  <c r="D36" i="10"/>
  <c r="D37" i="10"/>
  <c r="D38" i="10"/>
  <c r="D40" i="10"/>
  <c r="D41" i="10"/>
  <c r="D42" i="10"/>
  <c r="D43" i="10"/>
  <c r="D44" i="10"/>
  <c r="D45" i="10"/>
  <c r="D46" i="10"/>
  <c r="D47" i="10"/>
  <c r="D48" i="10"/>
  <c r="D49" i="10"/>
  <c r="D50" i="10"/>
  <c r="D51" i="10"/>
  <c r="D54" i="10"/>
  <c r="D57" i="10"/>
  <c r="D58" i="10"/>
  <c r="D59" i="10"/>
  <c r="D60" i="10"/>
  <c r="D61" i="10"/>
  <c r="D62" i="10"/>
  <c r="D63" i="10"/>
  <c r="D64" i="10"/>
  <c r="D66" i="10"/>
  <c r="D67" i="10"/>
  <c r="D68" i="10"/>
  <c r="D69" i="10"/>
  <c r="D70" i="10"/>
  <c r="D71" i="10"/>
  <c r="D72" i="10"/>
  <c r="D73" i="10"/>
  <c r="D74" i="10"/>
  <c r="D76" i="10"/>
  <c r="D77" i="10"/>
  <c r="D78" i="10"/>
  <c r="D80" i="10"/>
  <c r="D81" i="10"/>
  <c r="D83" i="10"/>
  <c r="D84" i="10"/>
  <c r="D85" i="10"/>
  <c r="D87" i="10"/>
  <c r="D88" i="10"/>
  <c r="D89" i="10"/>
  <c r="D90" i="10"/>
  <c r="D91" i="10"/>
  <c r="D92" i="10"/>
  <c r="D94" i="10"/>
  <c r="D95" i="10"/>
  <c r="D96" i="10"/>
  <c r="D98" i="10"/>
  <c r="D99" i="10"/>
  <c r="D100" i="10"/>
  <c r="D101" i="10"/>
  <c r="D102" i="10"/>
  <c r="D103" i="10"/>
  <c r="D104" i="10"/>
  <c r="D105" i="10"/>
  <c r="D106" i="10"/>
  <c r="D107" i="10"/>
  <c r="D108" i="10"/>
  <c r="D110" i="10"/>
  <c r="D111" i="10"/>
  <c r="D112" i="10"/>
  <c r="D113" i="10"/>
  <c r="D114" i="10"/>
  <c r="D115" i="10"/>
  <c r="D116" i="10"/>
  <c r="D118" i="10"/>
  <c r="D119" i="10"/>
  <c r="D123" i="10"/>
  <c r="D125" i="10"/>
  <c r="D126" i="10"/>
  <c r="D127" i="10"/>
  <c r="D128" i="10"/>
  <c r="D129" i="10"/>
  <c r="D130" i="10"/>
  <c r="D131" i="10"/>
  <c r="D132" i="10"/>
  <c r="D133" i="10"/>
  <c r="D137" i="10"/>
  <c r="D138" i="10"/>
  <c r="D139" i="10"/>
  <c r="D141" i="10"/>
  <c r="D142" i="10"/>
  <c r="D143" i="10"/>
  <c r="D144" i="10"/>
  <c r="D145" i="10"/>
  <c r="D146" i="10"/>
  <c r="D147" i="10"/>
  <c r="D148" i="10"/>
  <c r="D149" i="10"/>
  <c r="D150" i="10"/>
  <c r="D151" i="10"/>
  <c r="D152" i="10"/>
  <c r="D153" i="10"/>
  <c r="D155" i="10"/>
  <c r="D156" i="10"/>
  <c r="D157" i="10"/>
  <c r="D158" i="10"/>
  <c r="D159" i="10"/>
  <c r="D161" i="10"/>
  <c r="D162" i="10"/>
  <c r="D163" i="10"/>
  <c r="D164" i="10"/>
  <c r="D165" i="10"/>
  <c r="D166" i="10"/>
  <c r="D167" i="10"/>
  <c r="D169" i="10"/>
  <c r="D274" i="10"/>
  <c r="D170" i="10"/>
  <c r="D171" i="10"/>
  <c r="D172" i="10"/>
  <c r="D173" i="10"/>
  <c r="D175" i="10"/>
  <c r="D176" i="10"/>
  <c r="D177" i="10"/>
  <c r="D178" i="10"/>
  <c r="D179" i="10"/>
  <c r="D180" i="10"/>
  <c r="D181" i="10"/>
  <c r="D182" i="10"/>
  <c r="D183" i="10"/>
  <c r="D184" i="10"/>
  <c r="D186" i="10"/>
  <c r="D188" i="10"/>
  <c r="D189" i="10"/>
  <c r="D190" i="10"/>
  <c r="D191" i="10"/>
  <c r="D192" i="10"/>
  <c r="D193" i="10"/>
  <c r="D194" i="10"/>
  <c r="D195" i="10"/>
  <c r="D196" i="10"/>
  <c r="D197" i="10"/>
  <c r="D198" i="10"/>
  <c r="D201" i="10"/>
  <c r="D202" i="10"/>
  <c r="D203" i="10"/>
  <c r="D204" i="10"/>
  <c r="D205" i="10"/>
  <c r="D207" i="10"/>
  <c r="D208" i="10"/>
  <c r="D209" i="10"/>
  <c r="D210" i="10"/>
  <c r="D211" i="10"/>
  <c r="D212" i="10"/>
  <c r="D216" i="10"/>
  <c r="D217" i="10"/>
  <c r="D218" i="10"/>
  <c r="D219" i="10"/>
  <c r="D220" i="10"/>
  <c r="D221" i="10"/>
  <c r="D223" i="10"/>
  <c r="D224" i="10"/>
  <c r="D225" i="10"/>
  <c r="D226" i="10"/>
  <c r="D229" i="10"/>
  <c r="D230" i="10"/>
  <c r="D231" i="10"/>
  <c r="D233" i="10"/>
  <c r="D234" i="10"/>
  <c r="D235" i="10"/>
  <c r="D236" i="10"/>
  <c r="D237" i="10"/>
  <c r="D238" i="10"/>
  <c r="D239" i="10"/>
  <c r="D240" i="10"/>
  <c r="D241" i="10"/>
  <c r="D242" i="10"/>
  <c r="D243" i="10"/>
  <c r="D244" i="10"/>
  <c r="D245" i="10"/>
  <c r="D248" i="10"/>
  <c r="D249" i="10"/>
  <c r="D250" i="10"/>
  <c r="D251" i="10"/>
  <c r="D252" i="10"/>
  <c r="D255" i="10"/>
  <c r="D256" i="10"/>
  <c r="D259" i="10"/>
  <c r="D260" i="10"/>
  <c r="D261" i="10"/>
  <c r="D262" i="10"/>
  <c r="D263" i="10"/>
  <c r="D266" i="10"/>
  <c r="D267" i="10"/>
  <c r="D268" i="10"/>
  <c r="D269" i="10"/>
  <c r="D270" i="10"/>
  <c r="D271" i="10"/>
  <c r="D272" i="10"/>
  <c r="D273" i="10"/>
  <c r="D275" i="10"/>
  <c r="D276" i="10"/>
  <c r="D277" i="10"/>
  <c r="D279" i="10"/>
  <c r="D280" i="10"/>
  <c r="D282" i="10"/>
  <c r="D284" i="10"/>
  <c r="D285" i="10"/>
  <c r="D286" i="10"/>
  <c r="D287" i="10"/>
  <c r="D288" i="10"/>
  <c r="D289" i="10"/>
  <c r="D291" i="10"/>
  <c r="D292" i="10"/>
  <c r="D294" i="10"/>
  <c r="C3" i="10"/>
  <c r="C295" i="10"/>
  <c r="C296" i="10"/>
  <c r="C298" i="10"/>
  <c r="C300" i="10"/>
  <c r="C303" i="10"/>
  <c r="C304" i="10"/>
  <c r="C305" i="10"/>
  <c r="C306" i="10"/>
  <c r="C308" i="10"/>
  <c r="C309" i="10"/>
  <c r="C310" i="10"/>
  <c r="C311" i="10"/>
  <c r="C312" i="10"/>
  <c r="C314" i="10"/>
  <c r="C315" i="10"/>
  <c r="C316" i="10"/>
  <c r="C317" i="10"/>
  <c r="C318" i="10"/>
  <c r="C319" i="10"/>
  <c r="C247" i="10"/>
  <c r="C321" i="10"/>
  <c r="C4" i="10"/>
  <c r="C5" i="10"/>
  <c r="C6" i="10"/>
  <c r="C7" i="10"/>
  <c r="C8" i="10"/>
  <c r="C9" i="10"/>
  <c r="C10" i="10"/>
  <c r="C11" i="10"/>
  <c r="C12" i="10"/>
  <c r="C13" i="10"/>
  <c r="C14" i="10"/>
  <c r="C15" i="10"/>
  <c r="C17" i="10"/>
  <c r="C18" i="10"/>
  <c r="C20" i="10"/>
  <c r="C21" i="10"/>
  <c r="C22" i="10"/>
  <c r="C24" i="10"/>
  <c r="C25" i="10"/>
  <c r="C26" i="10"/>
  <c r="C27" i="10"/>
  <c r="C28" i="10"/>
  <c r="C29" i="10"/>
  <c r="C30" i="10"/>
  <c r="C31" i="10"/>
  <c r="C32" i="10"/>
  <c r="C34" i="10"/>
  <c r="C36" i="10"/>
  <c r="C37" i="10"/>
  <c r="C38" i="10"/>
  <c r="C40" i="10"/>
  <c r="C41" i="10"/>
  <c r="C42" i="10"/>
  <c r="C43" i="10"/>
  <c r="C44" i="10"/>
  <c r="C45" i="10"/>
  <c r="C46" i="10"/>
  <c r="C47" i="10"/>
  <c r="C48" i="10"/>
  <c r="C49" i="10"/>
  <c r="C50" i="10"/>
  <c r="C51" i="10"/>
  <c r="C54" i="10"/>
  <c r="C57" i="10"/>
  <c r="C58" i="10"/>
  <c r="C59" i="10"/>
  <c r="C60" i="10"/>
  <c r="C61" i="10"/>
  <c r="C62" i="10"/>
  <c r="C63" i="10"/>
  <c r="C64" i="10"/>
  <c r="C66" i="10"/>
  <c r="C67" i="10"/>
  <c r="C68" i="10"/>
  <c r="C69" i="10"/>
  <c r="C70" i="10"/>
  <c r="C71" i="10"/>
  <c r="C72" i="10"/>
  <c r="C73" i="10"/>
  <c r="C74" i="10"/>
  <c r="C76" i="10"/>
  <c r="C77" i="10"/>
  <c r="C78" i="10"/>
  <c r="C80" i="10"/>
  <c r="C81" i="10"/>
  <c r="C83" i="10"/>
  <c r="C84" i="10"/>
  <c r="C85" i="10"/>
  <c r="C87" i="10"/>
  <c r="C88" i="10"/>
  <c r="C89" i="10"/>
  <c r="C90" i="10"/>
  <c r="C91" i="10"/>
  <c r="C92" i="10"/>
  <c r="C94" i="10"/>
  <c r="C95" i="10"/>
  <c r="C96" i="10"/>
  <c r="C98" i="10"/>
  <c r="C99" i="10"/>
  <c r="C100" i="10"/>
  <c r="C101" i="10"/>
  <c r="C102" i="10"/>
  <c r="C103" i="10"/>
  <c r="C104" i="10"/>
  <c r="C105" i="10"/>
  <c r="C106" i="10"/>
  <c r="C107" i="10"/>
  <c r="C108" i="10"/>
  <c r="C110" i="10"/>
  <c r="C111" i="10"/>
  <c r="C112" i="10"/>
  <c r="C113" i="10"/>
  <c r="C114" i="10"/>
  <c r="C115" i="10"/>
  <c r="C116" i="10"/>
  <c r="C118" i="10"/>
  <c r="C119" i="10"/>
  <c r="C123" i="10"/>
  <c r="C125" i="10"/>
  <c r="C126" i="10"/>
  <c r="C127" i="10"/>
  <c r="C128" i="10"/>
  <c r="C129" i="10"/>
  <c r="C130" i="10"/>
  <c r="C131" i="10"/>
  <c r="C132" i="10"/>
  <c r="C133" i="10"/>
  <c r="C137" i="10"/>
  <c r="C138" i="10"/>
  <c r="C139" i="10"/>
  <c r="C141" i="10"/>
  <c r="C142" i="10"/>
  <c r="C143" i="10"/>
  <c r="C144" i="10"/>
  <c r="C145" i="10"/>
  <c r="C146" i="10"/>
  <c r="C147" i="10"/>
  <c r="C148" i="10"/>
  <c r="C149" i="10"/>
  <c r="C150" i="10"/>
  <c r="C151" i="10"/>
  <c r="C152" i="10"/>
  <c r="C153" i="10"/>
  <c r="C155" i="10"/>
  <c r="C156" i="10"/>
  <c r="C157" i="10"/>
  <c r="C158" i="10"/>
  <c r="C159" i="10"/>
  <c r="C161" i="10"/>
  <c r="C162" i="10"/>
  <c r="C163" i="10"/>
  <c r="C164" i="10"/>
  <c r="C165" i="10"/>
  <c r="C166" i="10"/>
  <c r="C167" i="10"/>
  <c r="C169" i="10"/>
  <c r="C274" i="10"/>
  <c r="C170" i="10"/>
  <c r="C171" i="10"/>
  <c r="C172" i="10"/>
  <c r="C173" i="10"/>
  <c r="C175" i="10"/>
  <c r="C176" i="10"/>
  <c r="C177" i="10"/>
  <c r="C178" i="10"/>
  <c r="C179" i="10"/>
  <c r="C180" i="10"/>
  <c r="C181" i="10"/>
  <c r="C182" i="10"/>
  <c r="C183" i="10"/>
  <c r="C184" i="10"/>
  <c r="C186" i="10"/>
  <c r="C188" i="10"/>
  <c r="C189" i="10"/>
  <c r="C190" i="10"/>
  <c r="C191" i="10"/>
  <c r="C192" i="10"/>
  <c r="C193" i="10"/>
  <c r="C194" i="10"/>
  <c r="C195" i="10"/>
  <c r="C196" i="10"/>
  <c r="C197" i="10"/>
  <c r="C198" i="10"/>
  <c r="C201" i="10"/>
  <c r="C202" i="10"/>
  <c r="C203" i="10"/>
  <c r="C204" i="10"/>
  <c r="C205" i="10"/>
  <c r="C207" i="10"/>
  <c r="C208" i="10"/>
  <c r="C209" i="10"/>
  <c r="C210" i="10"/>
  <c r="C211" i="10"/>
  <c r="C212" i="10"/>
  <c r="C216" i="10"/>
  <c r="C217" i="10"/>
  <c r="C218" i="10"/>
  <c r="C219" i="10"/>
  <c r="C220" i="10"/>
  <c r="C221" i="10"/>
  <c r="C223" i="10"/>
  <c r="C224" i="10"/>
  <c r="C225" i="10"/>
  <c r="C226" i="10"/>
  <c r="C229" i="10"/>
  <c r="C230" i="10"/>
  <c r="C231" i="10"/>
  <c r="C233" i="10"/>
  <c r="C234" i="10"/>
  <c r="C235" i="10"/>
  <c r="C236" i="10"/>
  <c r="C237" i="10"/>
  <c r="C238" i="10"/>
  <c r="C239" i="10"/>
  <c r="C240" i="10"/>
  <c r="C241" i="10"/>
  <c r="C242" i="10"/>
  <c r="C243" i="10"/>
  <c r="C244" i="10"/>
  <c r="C245" i="10"/>
  <c r="C248" i="10"/>
  <c r="C249" i="10"/>
  <c r="C250" i="10"/>
  <c r="C251" i="10"/>
  <c r="C252" i="10"/>
  <c r="C255" i="10"/>
  <c r="C256" i="10"/>
  <c r="C259" i="10"/>
  <c r="C260" i="10"/>
  <c r="C261" i="10"/>
  <c r="C262" i="10"/>
  <c r="C263" i="10"/>
  <c r="C266" i="10"/>
  <c r="C267" i="10"/>
  <c r="C268" i="10"/>
  <c r="C269" i="10"/>
  <c r="C270" i="10"/>
  <c r="C271" i="10"/>
  <c r="C272" i="10"/>
  <c r="C273" i="10"/>
  <c r="C275" i="10"/>
  <c r="C276" i="10"/>
  <c r="C277" i="10"/>
  <c r="C279" i="10"/>
  <c r="C280" i="10"/>
  <c r="C282" i="10"/>
  <c r="C284" i="10"/>
  <c r="C285" i="10"/>
  <c r="C286" i="10"/>
  <c r="C287" i="10"/>
  <c r="C288" i="10"/>
  <c r="C289" i="10"/>
  <c r="C291" i="10"/>
  <c r="C292" i="10"/>
  <c r="C294" i="10"/>
  <c r="B3" i="10"/>
  <c r="B295" i="10"/>
  <c r="B296" i="10"/>
  <c r="B298" i="10"/>
  <c r="B300" i="10"/>
  <c r="B303" i="10"/>
  <c r="B304" i="10"/>
  <c r="B305" i="10"/>
  <c r="B306" i="10"/>
  <c r="B308" i="10"/>
  <c r="B309" i="10"/>
  <c r="B310" i="10"/>
  <c r="B311" i="10"/>
  <c r="B312" i="10"/>
  <c r="B314" i="10"/>
  <c r="B315" i="10"/>
  <c r="B316" i="10"/>
  <c r="B317" i="10"/>
  <c r="B318" i="10"/>
  <c r="B319" i="10"/>
  <c r="B247" i="10"/>
  <c r="B321" i="10"/>
  <c r="B4" i="10"/>
  <c r="B5" i="10"/>
  <c r="B6" i="10"/>
  <c r="B7" i="10"/>
  <c r="B8" i="10"/>
  <c r="B9" i="10"/>
  <c r="B10" i="10"/>
  <c r="B11" i="10"/>
  <c r="B12" i="10"/>
  <c r="B13" i="10"/>
  <c r="B14" i="10"/>
  <c r="B15" i="10"/>
  <c r="B17" i="10"/>
  <c r="B18" i="10"/>
  <c r="B20" i="10"/>
  <c r="B21" i="10"/>
  <c r="B22" i="10"/>
  <c r="B24" i="10"/>
  <c r="B25" i="10"/>
  <c r="B26" i="10"/>
  <c r="B27" i="10"/>
  <c r="B28" i="10"/>
  <c r="B29" i="10"/>
  <c r="B30" i="10"/>
  <c r="B31" i="10"/>
  <c r="B32" i="10"/>
  <c r="B34" i="10"/>
  <c r="B36" i="10"/>
  <c r="B37" i="10"/>
  <c r="B38" i="10"/>
  <c r="B40" i="10"/>
  <c r="B41" i="10"/>
  <c r="B42" i="10"/>
  <c r="B43" i="10"/>
  <c r="B44" i="10"/>
  <c r="B45" i="10"/>
  <c r="B46" i="10"/>
  <c r="B47" i="10"/>
  <c r="B48" i="10"/>
  <c r="B49" i="10"/>
  <c r="B50" i="10"/>
  <c r="B51" i="10"/>
  <c r="B54" i="10"/>
  <c r="B57" i="10"/>
  <c r="B58" i="10"/>
  <c r="B59" i="10"/>
  <c r="B60" i="10"/>
  <c r="B61" i="10"/>
  <c r="B62" i="10"/>
  <c r="B63" i="10"/>
  <c r="B64" i="10"/>
  <c r="B66" i="10"/>
  <c r="B67" i="10"/>
  <c r="B68" i="10"/>
  <c r="B69" i="10"/>
  <c r="B70" i="10"/>
  <c r="B71" i="10"/>
  <c r="B72" i="10"/>
  <c r="B73" i="10"/>
  <c r="B74" i="10"/>
  <c r="B76" i="10"/>
  <c r="B77" i="10"/>
  <c r="B78" i="10"/>
  <c r="B80" i="10"/>
  <c r="B81" i="10"/>
  <c r="B83" i="10"/>
  <c r="B84" i="10"/>
  <c r="B85" i="10"/>
  <c r="B87" i="10"/>
  <c r="B88" i="10"/>
  <c r="B89" i="10"/>
  <c r="B90" i="10"/>
  <c r="B91" i="10"/>
  <c r="B92" i="10"/>
  <c r="B94" i="10"/>
  <c r="B95" i="10"/>
  <c r="B96" i="10"/>
  <c r="B98" i="10"/>
  <c r="B99" i="10"/>
  <c r="B100" i="10"/>
  <c r="B101" i="10"/>
  <c r="B102" i="10"/>
  <c r="B103" i="10"/>
  <c r="B104" i="10"/>
  <c r="B105" i="10"/>
  <c r="B106" i="10"/>
  <c r="B107" i="10"/>
  <c r="B108" i="10"/>
  <c r="B110" i="10"/>
  <c r="B111" i="10"/>
  <c r="B112" i="10"/>
  <c r="B113" i="10"/>
  <c r="B114" i="10"/>
  <c r="B115" i="10"/>
  <c r="B116" i="10"/>
  <c r="B118" i="10"/>
  <c r="B119" i="10"/>
  <c r="B123" i="10"/>
  <c r="B125" i="10"/>
  <c r="B126" i="10"/>
  <c r="B127" i="10"/>
  <c r="B128" i="10"/>
  <c r="B129" i="10"/>
  <c r="B130" i="10"/>
  <c r="B131" i="10"/>
  <c r="B132" i="10"/>
  <c r="B133" i="10"/>
  <c r="B137" i="10"/>
  <c r="B138" i="10"/>
  <c r="B139" i="10"/>
  <c r="B141" i="10"/>
  <c r="B142" i="10"/>
  <c r="B143" i="10"/>
  <c r="B144" i="10"/>
  <c r="B145" i="10"/>
  <c r="B146" i="10"/>
  <c r="B147" i="10"/>
  <c r="B148" i="10"/>
  <c r="B149" i="10"/>
  <c r="B150" i="10"/>
  <c r="B151" i="10"/>
  <c r="B152" i="10"/>
  <c r="B153" i="10"/>
  <c r="B155" i="10"/>
  <c r="B156" i="10"/>
  <c r="B157" i="10"/>
  <c r="B158" i="10"/>
  <c r="B159" i="10"/>
  <c r="B161" i="10"/>
  <c r="B162" i="10"/>
  <c r="B163" i="10"/>
  <c r="B164" i="10"/>
  <c r="B165" i="10"/>
  <c r="B166" i="10"/>
  <c r="B167" i="10"/>
  <c r="B169" i="10"/>
  <c r="B274" i="10"/>
  <c r="B170" i="10"/>
  <c r="B171" i="10"/>
  <c r="B172" i="10"/>
  <c r="B173" i="10"/>
  <c r="B175" i="10"/>
  <c r="B176" i="10"/>
  <c r="B177" i="10"/>
  <c r="B178" i="10"/>
  <c r="B179" i="10"/>
  <c r="B180" i="10"/>
  <c r="B181" i="10"/>
  <c r="B182" i="10"/>
  <c r="B183" i="10"/>
  <c r="B184" i="10"/>
  <c r="B186" i="10"/>
  <c r="B188" i="10"/>
  <c r="B189" i="10"/>
  <c r="B190" i="10"/>
  <c r="B191" i="10"/>
  <c r="B192" i="10"/>
  <c r="B193" i="10"/>
  <c r="B194" i="10"/>
  <c r="B195" i="10"/>
  <c r="B196" i="10"/>
  <c r="B197" i="10"/>
  <c r="B198" i="10"/>
  <c r="B201" i="10"/>
  <c r="B202" i="10"/>
  <c r="B203" i="10"/>
  <c r="B204" i="10"/>
  <c r="B205" i="10"/>
  <c r="B207" i="10"/>
  <c r="B208" i="10"/>
  <c r="B209" i="10"/>
  <c r="B210" i="10"/>
  <c r="B211" i="10"/>
  <c r="B212" i="10"/>
  <c r="B216" i="10"/>
  <c r="B217" i="10"/>
  <c r="B218" i="10"/>
  <c r="B219" i="10"/>
  <c r="B220" i="10"/>
  <c r="B221" i="10"/>
  <c r="B223" i="10"/>
  <c r="B224" i="10"/>
  <c r="B225" i="10"/>
  <c r="B226" i="10"/>
  <c r="B229" i="10"/>
  <c r="B230" i="10"/>
  <c r="B231" i="10"/>
  <c r="B233" i="10"/>
  <c r="B234" i="10"/>
  <c r="B235" i="10"/>
  <c r="B236" i="10"/>
  <c r="B237" i="10"/>
  <c r="B238" i="10"/>
  <c r="B239" i="10"/>
  <c r="B240" i="10"/>
  <c r="B241" i="10"/>
  <c r="B242" i="10"/>
  <c r="B243" i="10"/>
  <c r="B244" i="10"/>
  <c r="B245" i="10"/>
  <c r="B248" i="10"/>
  <c r="B249" i="10"/>
  <c r="B250" i="10"/>
  <c r="B251" i="10"/>
  <c r="B252" i="10"/>
  <c r="B255" i="10"/>
  <c r="B256" i="10"/>
  <c r="B259" i="10"/>
  <c r="B260" i="10"/>
  <c r="B261" i="10"/>
  <c r="B262" i="10"/>
  <c r="B263" i="10"/>
  <c r="B266" i="10"/>
  <c r="B267" i="10"/>
  <c r="B268" i="10"/>
  <c r="B269" i="10"/>
  <c r="B270" i="10"/>
  <c r="B271" i="10"/>
  <c r="B272" i="10"/>
  <c r="B273" i="10"/>
  <c r="B275" i="10"/>
  <c r="B276" i="10"/>
  <c r="B277" i="10"/>
  <c r="B279" i="10"/>
  <c r="B280" i="10"/>
  <c r="B282" i="10"/>
  <c r="B284" i="10"/>
  <c r="B285" i="10"/>
  <c r="B286" i="10"/>
  <c r="B287" i="10"/>
  <c r="B288" i="10"/>
  <c r="B289" i="10"/>
  <c r="B291" i="10"/>
  <c r="B292" i="10"/>
  <c r="B294" i="10"/>
  <c r="H296" i="6"/>
  <c r="G296" i="6"/>
  <c r="F296" i="6"/>
  <c r="F4" i="2"/>
  <c r="F5" i="2"/>
  <c r="F6" i="2"/>
  <c r="F8" i="2"/>
  <c r="F10" i="2"/>
  <c r="F13" i="2"/>
  <c r="F14" i="2"/>
  <c r="F15" i="2"/>
  <c r="F16" i="2"/>
  <c r="F18" i="2"/>
  <c r="F19" i="2"/>
  <c r="F20" i="2"/>
  <c r="F21" i="2"/>
  <c r="F22" i="2"/>
  <c r="F24" i="2"/>
  <c r="F25" i="2"/>
  <c r="F26" i="2"/>
  <c r="F27" i="2"/>
  <c r="F28" i="2"/>
  <c r="F29" i="2"/>
  <c r="F31" i="2"/>
  <c r="C297" i="6"/>
  <c r="C299" i="6"/>
  <c r="C301" i="6"/>
  <c r="C304" i="6"/>
  <c r="C305" i="6"/>
  <c r="C306" i="6"/>
  <c r="C307" i="6"/>
  <c r="C309" i="6"/>
  <c r="C310" i="6"/>
  <c r="C311" i="6"/>
  <c r="C312" i="6"/>
  <c r="C313" i="6"/>
  <c r="C315" i="6"/>
  <c r="C316" i="6"/>
  <c r="C317" i="6"/>
  <c r="C318" i="6"/>
  <c r="C319" i="6"/>
  <c r="C320" i="6"/>
  <c r="C247" i="6"/>
  <c r="C322" i="6"/>
  <c r="C4" i="6"/>
  <c r="C5" i="6"/>
  <c r="C6" i="6"/>
  <c r="C7" i="6"/>
  <c r="C8" i="6"/>
  <c r="C9" i="6"/>
  <c r="C10" i="6"/>
  <c r="C11" i="6"/>
  <c r="C12" i="6"/>
  <c r="C13" i="6"/>
  <c r="C14" i="6"/>
  <c r="C17" i="6"/>
  <c r="C18" i="6"/>
  <c r="C20" i="6"/>
  <c r="C21" i="6"/>
  <c r="C22" i="6"/>
  <c r="C24" i="6"/>
  <c r="C25" i="6"/>
  <c r="C26" i="6"/>
  <c r="C27" i="6"/>
  <c r="C28" i="6"/>
  <c r="C29" i="6"/>
  <c r="C30" i="6"/>
  <c r="C31" i="6"/>
  <c r="C32" i="6"/>
  <c r="C34" i="6"/>
  <c r="C36" i="6"/>
  <c r="C38" i="6"/>
  <c r="C40" i="6"/>
  <c r="C41" i="6"/>
  <c r="C42" i="6"/>
  <c r="C43" i="6"/>
  <c r="C44" i="6"/>
  <c r="C45" i="6"/>
  <c r="C46" i="6"/>
  <c r="C47" i="6"/>
  <c r="C48" i="6"/>
  <c r="C49" i="6"/>
  <c r="C51" i="6"/>
  <c r="C54" i="6"/>
  <c r="C57" i="6"/>
  <c r="C58" i="6"/>
  <c r="C59" i="6"/>
  <c r="C60" i="6"/>
  <c r="C61" i="6"/>
  <c r="C62" i="6"/>
  <c r="C63" i="6"/>
  <c r="C64" i="6"/>
  <c r="C66" i="6"/>
  <c r="C67" i="6"/>
  <c r="C68" i="6"/>
  <c r="C69" i="6"/>
  <c r="C70" i="6"/>
  <c r="C71" i="6"/>
  <c r="C72" i="6"/>
  <c r="C73" i="6"/>
  <c r="C74" i="6"/>
  <c r="C76" i="6"/>
  <c r="C77" i="6"/>
  <c r="C78" i="6"/>
  <c r="C80" i="6"/>
  <c r="C81" i="6"/>
  <c r="C83" i="6"/>
  <c r="C84" i="6"/>
  <c r="C85" i="6"/>
  <c r="C87" i="6"/>
  <c r="C88" i="6"/>
  <c r="C89" i="6"/>
  <c r="C90" i="6"/>
  <c r="C91" i="6"/>
  <c r="C92" i="6"/>
  <c r="C94" i="6"/>
  <c r="C95" i="6"/>
  <c r="C96" i="6"/>
  <c r="C98" i="6"/>
  <c r="C99" i="6"/>
  <c r="C100" i="6"/>
  <c r="C101" i="6"/>
  <c r="C102" i="6"/>
  <c r="C103" i="6"/>
  <c r="C104" i="6"/>
  <c r="C105" i="6"/>
  <c r="C106" i="6"/>
  <c r="C107" i="6"/>
  <c r="C108" i="6"/>
  <c r="C110" i="6"/>
  <c r="C111" i="6"/>
  <c r="C112" i="6"/>
  <c r="C113" i="6"/>
  <c r="C114" i="6"/>
  <c r="C115" i="6"/>
  <c r="C116" i="6"/>
  <c r="C118" i="6"/>
  <c r="C119" i="6"/>
  <c r="C123" i="6"/>
  <c r="C125" i="6"/>
  <c r="C126" i="6"/>
  <c r="C127" i="6"/>
  <c r="C128" i="6"/>
  <c r="C129" i="6"/>
  <c r="C130" i="6"/>
  <c r="C131" i="6"/>
  <c r="C132" i="6"/>
  <c r="C133" i="6"/>
  <c r="C137" i="6"/>
  <c r="C138" i="6"/>
  <c r="C139" i="6"/>
  <c r="C141" i="6"/>
  <c r="C142" i="6"/>
  <c r="C143" i="6"/>
  <c r="C144" i="6"/>
  <c r="C145" i="6"/>
  <c r="C146" i="6"/>
  <c r="C148" i="6"/>
  <c r="C149" i="6"/>
  <c r="C150" i="6"/>
  <c r="C151" i="6"/>
  <c r="C152" i="6"/>
  <c r="C153" i="6"/>
  <c r="C155" i="6"/>
  <c r="C156" i="6"/>
  <c r="C157" i="6"/>
  <c r="C158" i="6"/>
  <c r="C159" i="6"/>
  <c r="C161" i="6"/>
  <c r="C162" i="6"/>
  <c r="C163" i="6"/>
  <c r="C164" i="6"/>
  <c r="C165" i="6"/>
  <c r="C166" i="6"/>
  <c r="C167" i="6"/>
  <c r="C169" i="6"/>
  <c r="C275" i="6"/>
  <c r="C170" i="6"/>
  <c r="C171" i="6"/>
  <c r="C172" i="6"/>
  <c r="C173" i="6"/>
  <c r="C175" i="6"/>
  <c r="C176" i="6"/>
  <c r="C177" i="6"/>
  <c r="C178" i="6"/>
  <c r="C179" i="6"/>
  <c r="C180" i="6"/>
  <c r="C15" i="6"/>
  <c r="C50" i="6"/>
  <c r="C181" i="6"/>
  <c r="C182" i="6"/>
  <c r="C183" i="6"/>
  <c r="C184" i="6"/>
  <c r="C186" i="6"/>
  <c r="C188" i="6"/>
  <c r="C189" i="6"/>
  <c r="C190" i="6"/>
  <c r="C191" i="6"/>
  <c r="C192" i="6"/>
  <c r="C193" i="6"/>
  <c r="C194" i="6"/>
  <c r="C195" i="6"/>
  <c r="C196" i="6"/>
  <c r="C197" i="6"/>
  <c r="C198" i="6"/>
  <c r="C201" i="6"/>
  <c r="C202" i="6"/>
  <c r="C37" i="6"/>
  <c r="C147" i="6"/>
  <c r="C230" i="6"/>
  <c r="C236" i="6"/>
  <c r="C203" i="6"/>
  <c r="C204" i="6"/>
  <c r="C205" i="6"/>
  <c r="C207" i="6"/>
  <c r="C208" i="6"/>
  <c r="C209" i="6"/>
  <c r="C210" i="6"/>
  <c r="C211" i="6"/>
  <c r="C212" i="6"/>
  <c r="C216" i="6"/>
  <c r="C217" i="6"/>
  <c r="C218" i="6"/>
  <c r="C219" i="6"/>
  <c r="C220" i="6"/>
  <c r="C221" i="6"/>
  <c r="C223" i="6"/>
  <c r="C224" i="6"/>
  <c r="C225" i="6"/>
  <c r="C226" i="6"/>
  <c r="C229" i="6"/>
  <c r="C231" i="6"/>
  <c r="C233" i="6"/>
  <c r="C234" i="6"/>
  <c r="C235" i="6"/>
  <c r="C237" i="6"/>
  <c r="C238" i="6"/>
  <c r="C239" i="6"/>
  <c r="C240" i="6"/>
  <c r="C241" i="6"/>
  <c r="C242" i="6"/>
  <c r="C243" i="6"/>
  <c r="C244" i="6"/>
  <c r="C245" i="6"/>
  <c r="C248" i="6"/>
  <c r="C249" i="6"/>
  <c r="C250" i="6"/>
  <c r="C251" i="6"/>
  <c r="C252" i="6"/>
  <c r="C255" i="6"/>
  <c r="C256" i="6"/>
  <c r="C259" i="6"/>
  <c r="C260" i="6"/>
  <c r="C261" i="6"/>
  <c r="C262" i="6"/>
  <c r="C263" i="6"/>
  <c r="C267" i="6"/>
  <c r="C268" i="6"/>
  <c r="C269" i="6"/>
  <c r="C270" i="6"/>
  <c r="C271" i="6"/>
  <c r="C272" i="6"/>
  <c r="C273" i="6"/>
  <c r="C274" i="6"/>
  <c r="C276" i="6"/>
  <c r="C277" i="6"/>
  <c r="C278" i="6"/>
  <c r="C280" i="6"/>
  <c r="C281" i="6"/>
  <c r="C283" i="6"/>
  <c r="C285" i="6"/>
  <c r="C286" i="6"/>
  <c r="C287" i="6"/>
  <c r="C288" i="6"/>
  <c r="C289" i="6"/>
  <c r="C290" i="6"/>
  <c r="C292" i="6"/>
  <c r="C293" i="6"/>
  <c r="C295" i="6"/>
  <c r="D297" i="6"/>
  <c r="D299" i="6"/>
  <c r="D301" i="6"/>
  <c r="D304" i="6"/>
  <c r="D305" i="6"/>
  <c r="D306" i="6"/>
  <c r="D307" i="6"/>
  <c r="D309" i="6"/>
  <c r="D310" i="6"/>
  <c r="D311" i="6"/>
  <c r="D312" i="6"/>
  <c r="D313" i="6"/>
  <c r="D315" i="6"/>
  <c r="D316" i="6"/>
  <c r="D317" i="6"/>
  <c r="D318" i="6"/>
  <c r="D319" i="6"/>
  <c r="D320" i="6"/>
  <c r="D247" i="6"/>
  <c r="D322" i="6"/>
  <c r="D4" i="6"/>
  <c r="D5" i="6"/>
  <c r="D6" i="6"/>
  <c r="D7" i="6"/>
  <c r="D8" i="6"/>
  <c r="D9" i="6"/>
  <c r="D10" i="6"/>
  <c r="D11" i="6"/>
  <c r="D12" i="6"/>
  <c r="D13" i="6"/>
  <c r="D14" i="6"/>
  <c r="D17" i="6"/>
  <c r="D18" i="6"/>
  <c r="D20" i="6"/>
  <c r="D21" i="6"/>
  <c r="D22" i="6"/>
  <c r="D24" i="6"/>
  <c r="D25" i="6"/>
  <c r="D26" i="6"/>
  <c r="D27" i="6"/>
  <c r="D28" i="6"/>
  <c r="D29" i="6"/>
  <c r="D30" i="6"/>
  <c r="D31" i="6"/>
  <c r="D32" i="6"/>
  <c r="D34" i="6"/>
  <c r="D36" i="6"/>
  <c r="D38" i="6"/>
  <c r="D40" i="6"/>
  <c r="D41" i="6"/>
  <c r="D42" i="6"/>
  <c r="D43" i="6"/>
  <c r="D44" i="6"/>
  <c r="D45" i="6"/>
  <c r="D46" i="6"/>
  <c r="D47" i="6"/>
  <c r="D48" i="6"/>
  <c r="D49" i="6"/>
  <c r="D51" i="6"/>
  <c r="D54" i="6"/>
  <c r="D57" i="6"/>
  <c r="D58" i="6"/>
  <c r="D59" i="6"/>
  <c r="D60" i="6"/>
  <c r="D61" i="6"/>
  <c r="D62" i="6"/>
  <c r="D63" i="6"/>
  <c r="D64" i="6"/>
  <c r="D66" i="6"/>
  <c r="D67" i="6"/>
  <c r="D68" i="6"/>
  <c r="D69" i="6"/>
  <c r="D70" i="6"/>
  <c r="D71" i="6"/>
  <c r="D72" i="6"/>
  <c r="D73" i="6"/>
  <c r="D74" i="6"/>
  <c r="D76" i="6"/>
  <c r="D77" i="6"/>
  <c r="D78" i="6"/>
  <c r="D80" i="6"/>
  <c r="D81" i="6"/>
  <c r="D83" i="6"/>
  <c r="D84" i="6"/>
  <c r="D85" i="6"/>
  <c r="D87" i="6"/>
  <c r="D88" i="6"/>
  <c r="D89" i="6"/>
  <c r="D90" i="6"/>
  <c r="D91" i="6"/>
  <c r="D92" i="6"/>
  <c r="D94" i="6"/>
  <c r="D95" i="6"/>
  <c r="D96" i="6"/>
  <c r="D98" i="6"/>
  <c r="D99" i="6"/>
  <c r="D100" i="6"/>
  <c r="D101" i="6"/>
  <c r="D102" i="6"/>
  <c r="D103" i="6"/>
  <c r="D104" i="6"/>
  <c r="D105" i="6"/>
  <c r="D106" i="6"/>
  <c r="D107" i="6"/>
  <c r="D108" i="6"/>
  <c r="D110" i="6"/>
  <c r="D111" i="6"/>
  <c r="D112" i="6"/>
  <c r="D113" i="6"/>
  <c r="D114" i="6"/>
  <c r="D115" i="6"/>
  <c r="D116" i="6"/>
  <c r="D118" i="6"/>
  <c r="D119" i="6"/>
  <c r="D123" i="6"/>
  <c r="D125" i="6"/>
  <c r="D126" i="6"/>
  <c r="D127" i="6"/>
  <c r="D128" i="6"/>
  <c r="D129" i="6"/>
  <c r="D130" i="6"/>
  <c r="D131" i="6"/>
  <c r="D132" i="6"/>
  <c r="D133" i="6"/>
  <c r="D137" i="6"/>
  <c r="D138" i="6"/>
  <c r="D139" i="6"/>
  <c r="D141" i="6"/>
  <c r="D142" i="6"/>
  <c r="D143" i="6"/>
  <c r="D144" i="6"/>
  <c r="D145" i="6"/>
  <c r="D146" i="6"/>
  <c r="D148" i="6"/>
  <c r="D149" i="6"/>
  <c r="D150" i="6"/>
  <c r="D151" i="6"/>
  <c r="D152" i="6"/>
  <c r="D153" i="6"/>
  <c r="D155" i="6"/>
  <c r="D156" i="6"/>
  <c r="D157" i="6"/>
  <c r="D158" i="6"/>
  <c r="D159" i="6"/>
  <c r="D161" i="6"/>
  <c r="D162" i="6"/>
  <c r="D163" i="6"/>
  <c r="D164" i="6"/>
  <c r="D165" i="6"/>
  <c r="D166" i="6"/>
  <c r="D167" i="6"/>
  <c r="D169" i="6"/>
  <c r="D275" i="6"/>
  <c r="D170" i="6"/>
  <c r="D171" i="6"/>
  <c r="D172" i="6"/>
  <c r="D173" i="6"/>
  <c r="D175" i="6"/>
  <c r="D176" i="6"/>
  <c r="D177" i="6"/>
  <c r="D178" i="6"/>
  <c r="D179" i="6"/>
  <c r="D180" i="6"/>
  <c r="D15" i="6"/>
  <c r="D50" i="6"/>
  <c r="D181" i="6"/>
  <c r="D182" i="6"/>
  <c r="D183" i="6"/>
  <c r="D184" i="6"/>
  <c r="D186" i="6"/>
  <c r="D188" i="6"/>
  <c r="D189" i="6"/>
  <c r="D190" i="6"/>
  <c r="D191" i="6"/>
  <c r="D192" i="6"/>
  <c r="D193" i="6"/>
  <c r="D194" i="6"/>
  <c r="D195" i="6"/>
  <c r="D196" i="6"/>
  <c r="D197" i="6"/>
  <c r="D198" i="6"/>
  <c r="D201" i="6"/>
  <c r="D202" i="6"/>
  <c r="D37" i="6"/>
  <c r="D147" i="6"/>
  <c r="D230" i="6"/>
  <c r="D236" i="6"/>
  <c r="D203" i="6"/>
  <c r="D204" i="6"/>
  <c r="D205" i="6"/>
  <c r="D207" i="6"/>
  <c r="D208" i="6"/>
  <c r="D209" i="6"/>
  <c r="D210" i="6"/>
  <c r="D211" i="6"/>
  <c r="D212" i="6"/>
  <c r="D216" i="6"/>
  <c r="D217" i="6"/>
  <c r="D218" i="6"/>
  <c r="D219" i="6"/>
  <c r="D220" i="6"/>
  <c r="D221" i="6"/>
  <c r="D223" i="6"/>
  <c r="D224" i="6"/>
  <c r="D225" i="6"/>
  <c r="D226" i="6"/>
  <c r="D229" i="6"/>
  <c r="D231" i="6"/>
  <c r="D233" i="6"/>
  <c r="D234" i="6"/>
  <c r="D235" i="6"/>
  <c r="D237" i="6"/>
  <c r="D238" i="6"/>
  <c r="D239" i="6"/>
  <c r="D240" i="6"/>
  <c r="D241" i="6"/>
  <c r="D242" i="6"/>
  <c r="D243" i="6"/>
  <c r="D244" i="6"/>
  <c r="D245" i="6"/>
  <c r="D248" i="6"/>
  <c r="D249" i="6"/>
  <c r="D250" i="6"/>
  <c r="D251" i="6"/>
  <c r="D252" i="6"/>
  <c r="D255" i="6"/>
  <c r="D256" i="6"/>
  <c r="D259" i="6"/>
  <c r="D260" i="6"/>
  <c r="D261" i="6"/>
  <c r="D262" i="6"/>
  <c r="D263" i="6"/>
  <c r="D267" i="6"/>
  <c r="D268" i="6"/>
  <c r="D269" i="6"/>
  <c r="D270" i="6"/>
  <c r="D271" i="6"/>
  <c r="D272" i="6"/>
  <c r="D273" i="6"/>
  <c r="D274" i="6"/>
  <c r="D276" i="6"/>
  <c r="D277" i="6"/>
  <c r="D278" i="6"/>
  <c r="D280" i="6"/>
  <c r="D281" i="6"/>
  <c r="D283" i="6"/>
  <c r="D285" i="6"/>
  <c r="D286" i="6"/>
  <c r="D287" i="6"/>
  <c r="D288" i="6"/>
  <c r="D289" i="6"/>
  <c r="D290" i="6"/>
  <c r="D292" i="6"/>
  <c r="D293" i="6"/>
  <c r="D295" i="6"/>
  <c r="E297" i="6"/>
  <c r="E299" i="6"/>
  <c r="E301" i="6"/>
  <c r="E304" i="6"/>
  <c r="E305" i="6"/>
  <c r="E306" i="6"/>
  <c r="E307" i="6"/>
  <c r="E309" i="6"/>
  <c r="E310" i="6"/>
  <c r="E311" i="6"/>
  <c r="E312" i="6"/>
  <c r="E313" i="6"/>
  <c r="E315" i="6"/>
  <c r="E316" i="6"/>
  <c r="E317" i="6"/>
  <c r="E318" i="6"/>
  <c r="E319" i="6"/>
  <c r="E320" i="6"/>
  <c r="E247" i="6"/>
  <c r="E322" i="6"/>
  <c r="E4" i="6"/>
  <c r="E5" i="6"/>
  <c r="E6" i="6"/>
  <c r="E7" i="6"/>
  <c r="E8" i="6"/>
  <c r="E9" i="6"/>
  <c r="E10" i="6"/>
  <c r="E11" i="6"/>
  <c r="E12" i="6"/>
  <c r="E13" i="6"/>
  <c r="E14" i="6"/>
  <c r="E17" i="6"/>
  <c r="E18" i="6"/>
  <c r="E20" i="6"/>
  <c r="E21" i="6"/>
  <c r="E22" i="6"/>
  <c r="E24" i="6"/>
  <c r="E25" i="6"/>
  <c r="E26" i="6"/>
  <c r="E27" i="6"/>
  <c r="E28" i="6"/>
  <c r="E29" i="6"/>
  <c r="E30" i="6"/>
  <c r="E31" i="6"/>
  <c r="E32" i="6"/>
  <c r="E34" i="6"/>
  <c r="E36" i="6"/>
  <c r="E38" i="6"/>
  <c r="E40" i="6"/>
  <c r="E41" i="6"/>
  <c r="E42" i="6"/>
  <c r="E43" i="6"/>
  <c r="E44" i="6"/>
  <c r="E45" i="6"/>
  <c r="E46" i="6"/>
  <c r="E47" i="6"/>
  <c r="E48" i="6"/>
  <c r="E49" i="6"/>
  <c r="E51" i="6"/>
  <c r="E54" i="6"/>
  <c r="E57" i="6"/>
  <c r="E58" i="6"/>
  <c r="E59" i="6"/>
  <c r="E60" i="6"/>
  <c r="E61" i="6"/>
  <c r="E62" i="6"/>
  <c r="E63" i="6"/>
  <c r="E64" i="6"/>
  <c r="E66" i="6"/>
  <c r="E67" i="6"/>
  <c r="E68" i="6"/>
  <c r="E69" i="6"/>
  <c r="E70" i="6"/>
  <c r="E71" i="6"/>
  <c r="E72" i="6"/>
  <c r="E73" i="6"/>
  <c r="E74" i="6"/>
  <c r="E76" i="6"/>
  <c r="E77" i="6"/>
  <c r="E78" i="6"/>
  <c r="E80" i="6"/>
  <c r="E81" i="6"/>
  <c r="E83" i="6"/>
  <c r="E84" i="6"/>
  <c r="E85" i="6"/>
  <c r="E87" i="6"/>
  <c r="E88" i="6"/>
  <c r="E89" i="6"/>
  <c r="E90" i="6"/>
  <c r="E91" i="6"/>
  <c r="E92" i="6"/>
  <c r="E94" i="6"/>
  <c r="E95" i="6"/>
  <c r="E96" i="6"/>
  <c r="E98" i="6"/>
  <c r="E99" i="6"/>
  <c r="E100" i="6"/>
  <c r="E101" i="6"/>
  <c r="E102" i="6"/>
  <c r="E103" i="6"/>
  <c r="E104" i="6"/>
  <c r="E105" i="6"/>
  <c r="E106" i="6"/>
  <c r="E107" i="6"/>
  <c r="E108" i="6"/>
  <c r="E110" i="6"/>
  <c r="E111" i="6"/>
  <c r="E112" i="6"/>
  <c r="E113" i="6"/>
  <c r="E114" i="6"/>
  <c r="E115" i="6"/>
  <c r="E116" i="6"/>
  <c r="E118" i="6"/>
  <c r="E119" i="6"/>
  <c r="E123" i="6"/>
  <c r="E125" i="6"/>
  <c r="E126" i="6"/>
  <c r="E127" i="6"/>
  <c r="E128" i="6"/>
  <c r="E129" i="6"/>
  <c r="E130" i="6"/>
  <c r="E131" i="6"/>
  <c r="E132" i="6"/>
  <c r="E133" i="6"/>
  <c r="E137" i="6"/>
  <c r="E138" i="6"/>
  <c r="E139" i="6"/>
  <c r="E141" i="6"/>
  <c r="E142" i="6"/>
  <c r="E143" i="6"/>
  <c r="E144" i="6"/>
  <c r="E145" i="6"/>
  <c r="E146" i="6"/>
  <c r="E148" i="6"/>
  <c r="E149" i="6"/>
  <c r="E150" i="6"/>
  <c r="E151" i="6"/>
  <c r="E152" i="6"/>
  <c r="E153" i="6"/>
  <c r="E155" i="6"/>
  <c r="E156" i="6"/>
  <c r="E157" i="6"/>
  <c r="E158" i="6"/>
  <c r="E159" i="6"/>
  <c r="E161" i="6"/>
  <c r="E162" i="6"/>
  <c r="E163" i="6"/>
  <c r="E164" i="6"/>
  <c r="E165" i="6"/>
  <c r="E166" i="6"/>
  <c r="E167" i="6"/>
  <c r="E169" i="6"/>
  <c r="E275" i="6"/>
  <c r="E170" i="6"/>
  <c r="E171" i="6"/>
  <c r="E172" i="6"/>
  <c r="E173" i="6"/>
  <c r="E175" i="6"/>
  <c r="E176" i="6"/>
  <c r="E177" i="6"/>
  <c r="E178" i="6"/>
  <c r="E179" i="6"/>
  <c r="E180" i="6"/>
  <c r="E15" i="6"/>
  <c r="E50" i="6"/>
  <c r="E181" i="6"/>
  <c r="E182" i="6"/>
  <c r="E183" i="6"/>
  <c r="E184" i="6"/>
  <c r="E186" i="6"/>
  <c r="E188" i="6"/>
  <c r="E189" i="6"/>
  <c r="E190" i="6"/>
  <c r="E191" i="6"/>
  <c r="E192" i="6"/>
  <c r="E193" i="6"/>
  <c r="E194" i="6"/>
  <c r="E195" i="6"/>
  <c r="E196" i="6"/>
  <c r="E197" i="6"/>
  <c r="E198" i="6"/>
  <c r="E201" i="6"/>
  <c r="E202" i="6"/>
  <c r="E37" i="6"/>
  <c r="E147" i="6"/>
  <c r="E230" i="6"/>
  <c r="E236" i="6"/>
  <c r="E203" i="6"/>
  <c r="E204" i="6"/>
  <c r="E205" i="6"/>
  <c r="E207" i="6"/>
  <c r="E208" i="6"/>
  <c r="E209" i="6"/>
  <c r="E210" i="6"/>
  <c r="E211" i="6"/>
  <c r="E212" i="6"/>
  <c r="E216" i="6"/>
  <c r="E217" i="6"/>
  <c r="E218" i="6"/>
  <c r="E219" i="6"/>
  <c r="E220" i="6"/>
  <c r="E221" i="6"/>
  <c r="E223" i="6"/>
  <c r="E224" i="6"/>
  <c r="E225" i="6"/>
  <c r="E226" i="6"/>
  <c r="E229" i="6"/>
  <c r="E231" i="6"/>
  <c r="E233" i="6"/>
  <c r="E234" i="6"/>
  <c r="E235" i="6"/>
  <c r="E237" i="6"/>
  <c r="E238" i="6"/>
  <c r="E239" i="6"/>
  <c r="E240" i="6"/>
  <c r="E241" i="6"/>
  <c r="E242" i="6"/>
  <c r="E243" i="6"/>
  <c r="E244" i="6"/>
  <c r="E245" i="6"/>
  <c r="E248" i="6"/>
  <c r="E249" i="6"/>
  <c r="E250" i="6"/>
  <c r="E251" i="6"/>
  <c r="E252" i="6"/>
  <c r="E255" i="6"/>
  <c r="E256" i="6"/>
  <c r="E259" i="6"/>
  <c r="E260" i="6"/>
  <c r="E261" i="6"/>
  <c r="E262" i="6"/>
  <c r="E263" i="6"/>
  <c r="E267" i="6"/>
  <c r="E268" i="6"/>
  <c r="E269" i="6"/>
  <c r="E270" i="6"/>
  <c r="E271" i="6"/>
  <c r="E272" i="6"/>
  <c r="E273" i="6"/>
  <c r="E274" i="6"/>
  <c r="E276" i="6"/>
  <c r="E277" i="6"/>
  <c r="E278" i="6"/>
  <c r="E280" i="6"/>
  <c r="E281" i="6"/>
  <c r="E283" i="6"/>
  <c r="E285" i="6"/>
  <c r="E286" i="6"/>
  <c r="E287" i="6"/>
  <c r="E288" i="6"/>
  <c r="E289" i="6"/>
  <c r="E290" i="6"/>
  <c r="E292" i="6"/>
  <c r="E293" i="6"/>
  <c r="E295" i="6"/>
  <c r="E296" i="6"/>
  <c r="D296" i="6"/>
  <c r="C296" i="6"/>
  <c r="E4" i="2"/>
  <c r="E5" i="2"/>
  <c r="E6" i="2"/>
  <c r="E8" i="2"/>
  <c r="E10" i="2"/>
  <c r="E13" i="2"/>
  <c r="E14" i="2"/>
  <c r="E15" i="2"/>
  <c r="E16" i="2"/>
  <c r="E18" i="2"/>
  <c r="E19" i="2"/>
  <c r="E20" i="2"/>
  <c r="E21" i="2"/>
  <c r="E22" i="2"/>
  <c r="E24" i="2"/>
  <c r="E25" i="2"/>
  <c r="E26" i="2"/>
  <c r="E27" i="2"/>
  <c r="E28" i="2"/>
  <c r="E29" i="2"/>
  <c r="E31" i="2"/>
  <c r="D4" i="2"/>
  <c r="D5" i="2"/>
  <c r="D6" i="2"/>
  <c r="D8" i="2"/>
  <c r="D10" i="2"/>
  <c r="D13" i="2"/>
  <c r="D14" i="2"/>
  <c r="D15" i="2"/>
  <c r="D16" i="2"/>
  <c r="D18" i="2"/>
  <c r="D19" i="2"/>
  <c r="D20" i="2"/>
  <c r="D21" i="2"/>
  <c r="D22" i="2"/>
  <c r="D24" i="2"/>
  <c r="D25" i="2"/>
  <c r="D26" i="2"/>
  <c r="D27" i="2"/>
  <c r="D28" i="2"/>
  <c r="D29" i="2"/>
  <c r="D31" i="2"/>
  <c r="Y301" i="9" l="1"/>
  <c r="AF294" i="20"/>
  <c r="BA301" i="9"/>
  <c r="BH294" i="20"/>
  <c r="BH301" i="9"/>
  <c r="BO294" i="20"/>
  <c r="BJ301" i="9"/>
  <c r="BR294" i="20"/>
  <c r="AM301" i="9"/>
  <c r="AT294" i="20"/>
  <c r="AF301" i="9"/>
  <c r="AM294" i="20"/>
  <c r="AT301" i="9"/>
  <c r="BA294" i="20"/>
  <c r="CJ110" i="20"/>
  <c r="CA294" i="9"/>
  <c r="AA12" i="2"/>
  <c r="BQ294" i="20" s="1"/>
  <c r="Y12" i="2"/>
  <c r="Z12" i="2"/>
  <c r="AB12" i="2"/>
  <c r="H3" i="6"/>
  <c r="CJ360" i="20" s="1"/>
  <c r="H297" i="6"/>
  <c r="H299" i="6"/>
  <c r="H301" i="6"/>
  <c r="H304" i="6"/>
  <c r="H305" i="6"/>
  <c r="H306" i="6"/>
  <c r="H307" i="6"/>
  <c r="H309" i="6"/>
  <c r="H310" i="6"/>
  <c r="H311" i="6"/>
  <c r="H312" i="6"/>
  <c r="H313" i="6"/>
  <c r="H315" i="6"/>
  <c r="H316" i="6"/>
  <c r="H317" i="6"/>
  <c r="H318" i="6"/>
  <c r="H319" i="6"/>
  <c r="H320" i="6"/>
  <c r="H247" i="6"/>
  <c r="H322" i="6"/>
  <c r="H4" i="6"/>
  <c r="H5" i="6"/>
  <c r="H6" i="6"/>
  <c r="H7" i="6"/>
  <c r="H8" i="6"/>
  <c r="H9" i="6"/>
  <c r="H10" i="6"/>
  <c r="H11" i="6"/>
  <c r="H12" i="6"/>
  <c r="H13" i="6"/>
  <c r="H14" i="6"/>
  <c r="H17" i="6"/>
  <c r="H18" i="6"/>
  <c r="H20" i="6"/>
  <c r="H21" i="6"/>
  <c r="H22" i="6"/>
  <c r="H24" i="6"/>
  <c r="H25" i="6"/>
  <c r="CA26" i="9" s="1"/>
  <c r="H26" i="6"/>
  <c r="H27" i="6"/>
  <c r="H28" i="6"/>
  <c r="H29" i="6"/>
  <c r="H30" i="6"/>
  <c r="H31" i="6"/>
  <c r="H32" i="6"/>
  <c r="H34" i="6"/>
  <c r="H36" i="6"/>
  <c r="H38" i="6"/>
  <c r="H40" i="6"/>
  <c r="H41" i="6"/>
  <c r="H42" i="6"/>
  <c r="H43" i="6"/>
  <c r="H44" i="6"/>
  <c r="H45" i="6"/>
  <c r="H47" i="6"/>
  <c r="H48" i="6"/>
  <c r="H49" i="6"/>
  <c r="H54" i="6"/>
  <c r="H57" i="6"/>
  <c r="H58" i="6"/>
  <c r="H59" i="6"/>
  <c r="H60" i="6"/>
  <c r="H61" i="6"/>
  <c r="H62" i="6"/>
  <c r="H63" i="6"/>
  <c r="H64" i="6"/>
  <c r="H66" i="6"/>
  <c r="H67" i="6"/>
  <c r="H68" i="6"/>
  <c r="H69" i="6"/>
  <c r="H70" i="6"/>
  <c r="H71" i="6"/>
  <c r="H72" i="6"/>
  <c r="H73" i="6"/>
  <c r="H74" i="6"/>
  <c r="H76" i="6"/>
  <c r="H77" i="6"/>
  <c r="H78" i="6"/>
  <c r="H80" i="6"/>
  <c r="H81" i="6"/>
  <c r="H83" i="6"/>
  <c r="H84" i="6"/>
  <c r="H85" i="6"/>
  <c r="H87" i="6"/>
  <c r="H88" i="6"/>
  <c r="H89" i="6"/>
  <c r="H90" i="6"/>
  <c r="H91" i="6"/>
  <c r="H92" i="6"/>
  <c r="H94" i="6"/>
  <c r="H95" i="6"/>
  <c r="H96" i="6"/>
  <c r="H98" i="6"/>
  <c r="H99" i="6"/>
  <c r="H100" i="6"/>
  <c r="H101" i="6"/>
  <c r="H102" i="6"/>
  <c r="H103" i="6"/>
  <c r="H104" i="6"/>
  <c r="H105" i="6"/>
  <c r="H106" i="6"/>
  <c r="H107" i="6"/>
  <c r="H108" i="6"/>
  <c r="H110" i="6"/>
  <c r="H111" i="6"/>
  <c r="H112" i="6"/>
  <c r="H113" i="6"/>
  <c r="H114" i="6"/>
  <c r="H115" i="6"/>
  <c r="H116" i="6"/>
  <c r="H118" i="6"/>
  <c r="H119" i="6"/>
  <c r="H123" i="6"/>
  <c r="H125" i="6"/>
  <c r="H126" i="6"/>
  <c r="H127" i="6"/>
  <c r="H128" i="6"/>
  <c r="H129" i="6"/>
  <c r="H130" i="6"/>
  <c r="H131" i="6"/>
  <c r="H132" i="6"/>
  <c r="H133" i="6"/>
  <c r="H137" i="6"/>
  <c r="H138" i="6"/>
  <c r="H139" i="6"/>
  <c r="H141" i="6"/>
  <c r="H142" i="6"/>
  <c r="H143" i="6"/>
  <c r="H144" i="6"/>
  <c r="H145" i="6"/>
  <c r="H146" i="6"/>
  <c r="H148" i="6"/>
  <c r="H149" i="6"/>
  <c r="H150" i="6"/>
  <c r="H151" i="6"/>
  <c r="H152" i="6"/>
  <c r="H153" i="6"/>
  <c r="H155" i="6"/>
  <c r="H156" i="6"/>
  <c r="H157" i="6"/>
  <c r="H158" i="6"/>
  <c r="H159" i="6"/>
  <c r="H161" i="6"/>
  <c r="H162" i="6"/>
  <c r="H163" i="6"/>
  <c r="H164" i="6"/>
  <c r="H165" i="6"/>
  <c r="H166" i="6"/>
  <c r="H167" i="6"/>
  <c r="H169" i="6"/>
  <c r="H275" i="6"/>
  <c r="H170" i="6"/>
  <c r="H171" i="6"/>
  <c r="H172" i="6"/>
  <c r="H173" i="6"/>
  <c r="H175" i="6"/>
  <c r="H176" i="6"/>
  <c r="H177" i="6"/>
  <c r="H178" i="6"/>
  <c r="H179" i="6"/>
  <c r="H180" i="6"/>
  <c r="H15" i="6"/>
  <c r="H181" i="6"/>
  <c r="H182" i="6"/>
  <c r="H183" i="6"/>
  <c r="H184" i="6"/>
  <c r="H186" i="6"/>
  <c r="H188" i="6"/>
  <c r="H189" i="6"/>
  <c r="H190" i="6"/>
  <c r="H191" i="6"/>
  <c r="H192" i="6"/>
  <c r="H193" i="6"/>
  <c r="H194" i="6"/>
  <c r="H195" i="6"/>
  <c r="H196" i="6"/>
  <c r="H197" i="6"/>
  <c r="H198" i="6"/>
  <c r="H201" i="6"/>
  <c r="H202" i="6"/>
  <c r="H37" i="6"/>
  <c r="H203" i="6"/>
  <c r="H204" i="6"/>
  <c r="H205" i="6"/>
  <c r="H207" i="6"/>
  <c r="H208" i="6"/>
  <c r="H209" i="6"/>
  <c r="H210" i="6"/>
  <c r="H211" i="6"/>
  <c r="H212" i="6"/>
  <c r="H216" i="6"/>
  <c r="H217" i="6"/>
  <c r="H218" i="6"/>
  <c r="H219" i="6"/>
  <c r="H220" i="6"/>
  <c r="H221" i="6"/>
  <c r="H223" i="6"/>
  <c r="H224" i="6"/>
  <c r="H225" i="6"/>
  <c r="H226" i="6"/>
  <c r="H229" i="6"/>
  <c r="H231" i="6"/>
  <c r="H233" i="6"/>
  <c r="H234" i="6"/>
  <c r="H235" i="6"/>
  <c r="H237" i="6"/>
  <c r="H238" i="6"/>
  <c r="H239" i="6"/>
  <c r="H240" i="6"/>
  <c r="H241" i="6"/>
  <c r="H242" i="6"/>
  <c r="H243" i="6"/>
  <c r="H244" i="6"/>
  <c r="H245" i="6"/>
  <c r="H248" i="6"/>
  <c r="H249" i="6"/>
  <c r="H250" i="6"/>
  <c r="H251" i="6"/>
  <c r="H252" i="6"/>
  <c r="H255" i="6"/>
  <c r="H256" i="6"/>
  <c r="H259" i="6"/>
  <c r="H260" i="6"/>
  <c r="H261" i="6"/>
  <c r="H262" i="6"/>
  <c r="H263" i="6"/>
  <c r="H267" i="6"/>
  <c r="H268" i="6"/>
  <c r="H269" i="6"/>
  <c r="H270" i="6"/>
  <c r="H271" i="6"/>
  <c r="H272" i="6"/>
  <c r="H273" i="6"/>
  <c r="H274" i="6"/>
  <c r="H276" i="6"/>
  <c r="H277" i="6"/>
  <c r="H278" i="6"/>
  <c r="H280" i="6"/>
  <c r="H281" i="6"/>
  <c r="H283" i="6"/>
  <c r="H285" i="6"/>
  <c r="H286" i="6"/>
  <c r="H287" i="6"/>
  <c r="H288" i="6"/>
  <c r="H289" i="6"/>
  <c r="H290" i="6"/>
  <c r="H292" i="6"/>
  <c r="H293" i="6"/>
  <c r="H295" i="6"/>
  <c r="G3" i="6"/>
  <c r="G297" i="6"/>
  <c r="G299" i="6"/>
  <c r="G301" i="6"/>
  <c r="G304" i="6"/>
  <c r="G305" i="6"/>
  <c r="G306" i="6"/>
  <c r="G307" i="6"/>
  <c r="G309" i="6"/>
  <c r="G310" i="6"/>
  <c r="G311" i="6"/>
  <c r="G312" i="6"/>
  <c r="G313" i="6"/>
  <c r="G315" i="6"/>
  <c r="G316" i="6"/>
  <c r="G317" i="6"/>
  <c r="G318" i="6"/>
  <c r="G319" i="6"/>
  <c r="G320" i="6"/>
  <c r="G247" i="6"/>
  <c r="G322" i="6"/>
  <c r="G4" i="6"/>
  <c r="G5" i="6"/>
  <c r="G6" i="6"/>
  <c r="G7" i="6"/>
  <c r="G8" i="6"/>
  <c r="G9" i="6"/>
  <c r="G10" i="6"/>
  <c r="G11" i="6"/>
  <c r="G12" i="6"/>
  <c r="G13" i="6"/>
  <c r="G14" i="6"/>
  <c r="G17" i="6"/>
  <c r="G18" i="6"/>
  <c r="G20" i="6"/>
  <c r="G21" i="6"/>
  <c r="G22" i="6"/>
  <c r="G24" i="6"/>
  <c r="G25" i="6"/>
  <c r="G26" i="6"/>
  <c r="G27" i="6"/>
  <c r="G28" i="6"/>
  <c r="G29" i="6"/>
  <c r="G30" i="6"/>
  <c r="G31" i="6"/>
  <c r="G32" i="6"/>
  <c r="G34" i="6"/>
  <c r="G36" i="6"/>
  <c r="G38" i="6"/>
  <c r="G40" i="6"/>
  <c r="G41" i="6"/>
  <c r="G42" i="6"/>
  <c r="G43" i="6"/>
  <c r="G44" i="6"/>
  <c r="G45" i="6"/>
  <c r="G46" i="6"/>
  <c r="G47" i="6"/>
  <c r="G48" i="6"/>
  <c r="G49" i="6"/>
  <c r="G54" i="6"/>
  <c r="G57" i="6"/>
  <c r="G58" i="6"/>
  <c r="G59" i="6"/>
  <c r="G60" i="6"/>
  <c r="G61" i="6"/>
  <c r="G62" i="6"/>
  <c r="G63" i="6"/>
  <c r="G64" i="6"/>
  <c r="G66" i="6"/>
  <c r="G67" i="6"/>
  <c r="G68" i="6"/>
  <c r="G69" i="6"/>
  <c r="G70" i="6"/>
  <c r="G71" i="6"/>
  <c r="G72" i="6"/>
  <c r="G73" i="6"/>
  <c r="G74" i="6"/>
  <c r="G76" i="6"/>
  <c r="G77" i="6"/>
  <c r="G78" i="6"/>
  <c r="G80" i="6"/>
  <c r="G81" i="6"/>
  <c r="G83" i="6"/>
  <c r="G84" i="6"/>
  <c r="G85" i="6"/>
  <c r="G87" i="6"/>
  <c r="G88" i="6"/>
  <c r="G89" i="6"/>
  <c r="G90" i="6"/>
  <c r="G91" i="6"/>
  <c r="G92" i="6"/>
  <c r="G94" i="6"/>
  <c r="G95" i="6"/>
  <c r="G96" i="6"/>
  <c r="G98" i="6"/>
  <c r="G99" i="6"/>
  <c r="G100" i="6"/>
  <c r="G101" i="6"/>
  <c r="G102" i="6"/>
  <c r="G103" i="6"/>
  <c r="G104" i="6"/>
  <c r="G105" i="6"/>
  <c r="G106" i="6"/>
  <c r="G107" i="6"/>
  <c r="G108" i="6"/>
  <c r="G110" i="6"/>
  <c r="G111" i="6"/>
  <c r="G112" i="6"/>
  <c r="G113" i="6"/>
  <c r="G114" i="6"/>
  <c r="G115" i="6"/>
  <c r="G116" i="6"/>
  <c r="G118" i="6"/>
  <c r="G119" i="6"/>
  <c r="G123" i="6"/>
  <c r="G125" i="6"/>
  <c r="G126" i="6"/>
  <c r="G127" i="6"/>
  <c r="G128" i="6"/>
  <c r="G129" i="6"/>
  <c r="G130" i="6"/>
  <c r="G131" i="6"/>
  <c r="G132" i="6"/>
  <c r="G133" i="6"/>
  <c r="G137" i="6"/>
  <c r="G138" i="6"/>
  <c r="G139" i="6"/>
  <c r="G141" i="6"/>
  <c r="G142" i="6"/>
  <c r="G143" i="6"/>
  <c r="G144" i="6"/>
  <c r="G145" i="6"/>
  <c r="G146" i="6"/>
  <c r="G148" i="6"/>
  <c r="G149" i="6"/>
  <c r="G150" i="6"/>
  <c r="G151" i="6"/>
  <c r="G152" i="6"/>
  <c r="G153" i="6"/>
  <c r="G155" i="6"/>
  <c r="G156" i="6"/>
  <c r="G157" i="6"/>
  <c r="G158" i="6"/>
  <c r="G159" i="6"/>
  <c r="G161" i="6"/>
  <c r="G162" i="6"/>
  <c r="G163" i="6"/>
  <c r="G164" i="6"/>
  <c r="G165" i="6"/>
  <c r="G166" i="6"/>
  <c r="G167" i="6"/>
  <c r="G169" i="6"/>
  <c r="G275" i="6"/>
  <c r="G170" i="6"/>
  <c r="G171" i="6"/>
  <c r="G172" i="6"/>
  <c r="G173" i="6"/>
  <c r="G175" i="6"/>
  <c r="G176" i="6"/>
  <c r="G177" i="6"/>
  <c r="G178" i="6"/>
  <c r="G179" i="6"/>
  <c r="G180" i="6"/>
  <c r="G15" i="6"/>
  <c r="G181" i="6"/>
  <c r="G182" i="6"/>
  <c r="G183" i="6"/>
  <c r="G184" i="6"/>
  <c r="G186" i="6"/>
  <c r="G188" i="6"/>
  <c r="G189" i="6"/>
  <c r="G190" i="6"/>
  <c r="G191" i="6"/>
  <c r="G192" i="6"/>
  <c r="G193" i="6"/>
  <c r="G194" i="6"/>
  <c r="G195" i="6"/>
  <c r="G196" i="6"/>
  <c r="G197" i="6"/>
  <c r="G198" i="6"/>
  <c r="G201" i="6"/>
  <c r="G202" i="6"/>
  <c r="G37" i="6"/>
  <c r="G203" i="6"/>
  <c r="G204" i="6"/>
  <c r="G205" i="6"/>
  <c r="G207" i="6"/>
  <c r="G208" i="6"/>
  <c r="G209" i="6"/>
  <c r="G210" i="6"/>
  <c r="G211" i="6"/>
  <c r="G212" i="6"/>
  <c r="G216" i="6"/>
  <c r="G217" i="6"/>
  <c r="G218" i="6"/>
  <c r="G219" i="6"/>
  <c r="G220" i="6"/>
  <c r="G221" i="6"/>
  <c r="G223" i="6"/>
  <c r="G224" i="6"/>
  <c r="G225" i="6"/>
  <c r="G226" i="6"/>
  <c r="G229" i="6"/>
  <c r="G231" i="6"/>
  <c r="G233" i="6"/>
  <c r="G234" i="6"/>
  <c r="G235" i="6"/>
  <c r="G237" i="6"/>
  <c r="G238" i="6"/>
  <c r="G239" i="6"/>
  <c r="G240" i="6"/>
  <c r="G241" i="6"/>
  <c r="G242" i="6"/>
  <c r="G243" i="6"/>
  <c r="G244" i="6"/>
  <c r="G245" i="6"/>
  <c r="G248" i="6"/>
  <c r="G249" i="6"/>
  <c r="G250" i="6"/>
  <c r="G251" i="6"/>
  <c r="G252" i="6"/>
  <c r="G255" i="6"/>
  <c r="G256" i="6"/>
  <c r="G259" i="6"/>
  <c r="G260" i="6"/>
  <c r="G261" i="6"/>
  <c r="G262" i="6"/>
  <c r="G263" i="6"/>
  <c r="G267" i="6"/>
  <c r="G268" i="6"/>
  <c r="G269" i="6"/>
  <c r="G270" i="6"/>
  <c r="G271" i="6"/>
  <c r="G272" i="6"/>
  <c r="G273" i="6"/>
  <c r="G274" i="6"/>
  <c r="G276" i="6"/>
  <c r="G277" i="6"/>
  <c r="G278" i="6"/>
  <c r="G280" i="6"/>
  <c r="G281" i="6"/>
  <c r="G283" i="6"/>
  <c r="G285" i="6"/>
  <c r="G286" i="6"/>
  <c r="G287" i="6"/>
  <c r="G288" i="6"/>
  <c r="G289" i="6"/>
  <c r="G290" i="6"/>
  <c r="G292" i="6"/>
  <c r="G293" i="6"/>
  <c r="G295" i="6"/>
  <c r="F3" i="6"/>
  <c r="F297" i="6"/>
  <c r="F299" i="6"/>
  <c r="F301" i="6"/>
  <c r="F304" i="6"/>
  <c r="F305" i="6"/>
  <c r="F306" i="6"/>
  <c r="F307" i="6"/>
  <c r="F309" i="6"/>
  <c r="F310" i="6"/>
  <c r="F311" i="6"/>
  <c r="F312" i="6"/>
  <c r="F313" i="6"/>
  <c r="F315" i="6"/>
  <c r="F316" i="6"/>
  <c r="F317" i="6"/>
  <c r="F318" i="6"/>
  <c r="F319" i="6"/>
  <c r="F320" i="6"/>
  <c r="F247" i="6"/>
  <c r="F322" i="6"/>
  <c r="F4" i="6"/>
  <c r="F5" i="6"/>
  <c r="F6" i="6"/>
  <c r="F7" i="6"/>
  <c r="F8" i="6"/>
  <c r="F9" i="6"/>
  <c r="F10" i="6"/>
  <c r="F11" i="6"/>
  <c r="F12" i="6"/>
  <c r="F13" i="6"/>
  <c r="F14" i="6"/>
  <c r="F17" i="6"/>
  <c r="F18" i="6"/>
  <c r="F20" i="6"/>
  <c r="F21" i="6"/>
  <c r="F22" i="6"/>
  <c r="F24" i="6"/>
  <c r="F25" i="6"/>
  <c r="F26" i="6"/>
  <c r="F27" i="6"/>
  <c r="F28" i="6"/>
  <c r="F29" i="6"/>
  <c r="F30" i="6"/>
  <c r="F31" i="6"/>
  <c r="F32" i="6"/>
  <c r="F34" i="6"/>
  <c r="F36" i="6"/>
  <c r="F38" i="6"/>
  <c r="F40" i="6"/>
  <c r="F41" i="6"/>
  <c r="F42" i="6"/>
  <c r="F43" i="6"/>
  <c r="F44" i="6"/>
  <c r="F45" i="6"/>
  <c r="F46" i="6"/>
  <c r="F47" i="6"/>
  <c r="F48" i="6"/>
  <c r="F49" i="6"/>
  <c r="F54" i="6"/>
  <c r="F57" i="6"/>
  <c r="F58" i="6"/>
  <c r="F59" i="6"/>
  <c r="F60" i="6"/>
  <c r="F61" i="6"/>
  <c r="F62" i="6"/>
  <c r="F63" i="6"/>
  <c r="F64" i="6"/>
  <c r="F66" i="6"/>
  <c r="F67" i="6"/>
  <c r="F68" i="6"/>
  <c r="F69" i="6"/>
  <c r="F70" i="6"/>
  <c r="F71" i="6"/>
  <c r="F72" i="6"/>
  <c r="F73" i="6"/>
  <c r="F74" i="6"/>
  <c r="F76" i="6"/>
  <c r="F77" i="6"/>
  <c r="F78" i="6"/>
  <c r="F80" i="6"/>
  <c r="F81" i="6"/>
  <c r="F83" i="6"/>
  <c r="F84" i="6"/>
  <c r="F85" i="6"/>
  <c r="F87" i="6"/>
  <c r="F88" i="6"/>
  <c r="F89" i="6"/>
  <c r="F90" i="6"/>
  <c r="F91" i="6"/>
  <c r="F92" i="6"/>
  <c r="F94" i="6"/>
  <c r="F95" i="6"/>
  <c r="F96" i="6"/>
  <c r="F98" i="6"/>
  <c r="F99" i="6"/>
  <c r="F100" i="6"/>
  <c r="F101" i="6"/>
  <c r="F102" i="6"/>
  <c r="F103" i="6"/>
  <c r="F104" i="6"/>
  <c r="F105" i="6"/>
  <c r="F106" i="6"/>
  <c r="F107" i="6"/>
  <c r="F108" i="6"/>
  <c r="F110" i="6"/>
  <c r="F111" i="6"/>
  <c r="F112" i="6"/>
  <c r="F113" i="6"/>
  <c r="F114" i="6"/>
  <c r="F115" i="6"/>
  <c r="F116" i="6"/>
  <c r="F118" i="6"/>
  <c r="F119" i="6"/>
  <c r="F123" i="6"/>
  <c r="F125" i="6"/>
  <c r="F126" i="6"/>
  <c r="F127" i="6"/>
  <c r="F128" i="6"/>
  <c r="F129" i="6"/>
  <c r="F130" i="6"/>
  <c r="F131" i="6"/>
  <c r="F132" i="6"/>
  <c r="F133" i="6"/>
  <c r="F137" i="6"/>
  <c r="F138" i="6"/>
  <c r="F139" i="6"/>
  <c r="F141" i="6"/>
  <c r="F142" i="6"/>
  <c r="F143" i="6"/>
  <c r="F144" i="6"/>
  <c r="F145" i="6"/>
  <c r="F146" i="6"/>
  <c r="F148" i="6"/>
  <c r="F149" i="6"/>
  <c r="F150" i="6"/>
  <c r="F151" i="6"/>
  <c r="F152" i="6"/>
  <c r="F153" i="6"/>
  <c r="F155" i="6"/>
  <c r="F156" i="6"/>
  <c r="F157" i="6"/>
  <c r="F158" i="6"/>
  <c r="F159" i="6"/>
  <c r="F161" i="6"/>
  <c r="F162" i="6"/>
  <c r="F163" i="6"/>
  <c r="F164" i="6"/>
  <c r="F165" i="6"/>
  <c r="F166" i="6"/>
  <c r="F167" i="6"/>
  <c r="F169" i="6"/>
  <c r="F275" i="6"/>
  <c r="F170" i="6"/>
  <c r="F171" i="6"/>
  <c r="F172" i="6"/>
  <c r="F173" i="6"/>
  <c r="F175" i="6"/>
  <c r="F176" i="6"/>
  <c r="F177" i="6"/>
  <c r="F178" i="6"/>
  <c r="F179" i="6"/>
  <c r="F180" i="6"/>
  <c r="F15" i="6"/>
  <c r="F181" i="6"/>
  <c r="F182" i="6"/>
  <c r="F183" i="6"/>
  <c r="F184" i="6"/>
  <c r="F186" i="6"/>
  <c r="F188" i="6"/>
  <c r="F189" i="6"/>
  <c r="F190" i="6"/>
  <c r="F191" i="6"/>
  <c r="F192" i="6"/>
  <c r="F193" i="6"/>
  <c r="F194" i="6"/>
  <c r="F195" i="6"/>
  <c r="F196" i="6"/>
  <c r="F197" i="6"/>
  <c r="F198" i="6"/>
  <c r="F201" i="6"/>
  <c r="F202" i="6"/>
  <c r="F37" i="6"/>
  <c r="F203" i="6"/>
  <c r="F204" i="6"/>
  <c r="F205" i="6"/>
  <c r="F207" i="6"/>
  <c r="F208" i="6"/>
  <c r="F209" i="6"/>
  <c r="F210" i="6"/>
  <c r="F211" i="6"/>
  <c r="F212" i="6"/>
  <c r="F216" i="6"/>
  <c r="F217" i="6"/>
  <c r="F218" i="6"/>
  <c r="F219" i="6"/>
  <c r="F220" i="6"/>
  <c r="F221" i="6"/>
  <c r="F223" i="6"/>
  <c r="F224" i="6"/>
  <c r="F225" i="6"/>
  <c r="F226" i="6"/>
  <c r="F229" i="6"/>
  <c r="F231" i="6"/>
  <c r="F233" i="6"/>
  <c r="F234" i="6"/>
  <c r="F235" i="6"/>
  <c r="F237" i="6"/>
  <c r="F238" i="6"/>
  <c r="F239" i="6"/>
  <c r="F240" i="6"/>
  <c r="F241" i="6"/>
  <c r="F242" i="6"/>
  <c r="F243" i="6"/>
  <c r="F244" i="6"/>
  <c r="F245" i="6"/>
  <c r="F248" i="6"/>
  <c r="F249" i="6"/>
  <c r="F250" i="6"/>
  <c r="F251" i="6"/>
  <c r="F252" i="6"/>
  <c r="F255" i="6"/>
  <c r="F256" i="6"/>
  <c r="F259" i="6"/>
  <c r="F260" i="6"/>
  <c r="F261" i="6"/>
  <c r="F262" i="6"/>
  <c r="F263" i="6"/>
  <c r="F267" i="6"/>
  <c r="F268" i="6"/>
  <c r="F269" i="6"/>
  <c r="F270" i="6"/>
  <c r="F271" i="6"/>
  <c r="F272" i="6"/>
  <c r="F273" i="6"/>
  <c r="F274" i="6"/>
  <c r="F276" i="6"/>
  <c r="F277" i="6"/>
  <c r="F278" i="6"/>
  <c r="F280" i="6"/>
  <c r="F281" i="6"/>
  <c r="F283" i="6"/>
  <c r="F285" i="6"/>
  <c r="F286" i="6"/>
  <c r="F287" i="6"/>
  <c r="F288" i="6"/>
  <c r="F289" i="6"/>
  <c r="F290" i="6"/>
  <c r="F292" i="6"/>
  <c r="F293" i="6"/>
  <c r="F295" i="6"/>
  <c r="E3" i="6"/>
  <c r="D3" i="6"/>
  <c r="BI301" i="9" l="1"/>
  <c r="BK301" i="9"/>
  <c r="BS294" i="20"/>
  <c r="CB301" i="9"/>
  <c r="BP294" i="20"/>
  <c r="CJ220" i="20"/>
  <c r="CJ178" i="20"/>
  <c r="CA290" i="9"/>
  <c r="CJ53" i="20"/>
  <c r="CA285" i="9"/>
  <c r="CJ56" i="20"/>
  <c r="CA279" i="9"/>
  <c r="CJ202" i="20"/>
  <c r="CJ226" i="20"/>
  <c r="CA270" i="9"/>
  <c r="CJ183" i="20"/>
  <c r="CA266" i="9"/>
  <c r="CJ107" i="20"/>
  <c r="CA261" i="9"/>
  <c r="CJ277" i="20"/>
  <c r="CA255" i="9"/>
  <c r="CJ88" i="20"/>
  <c r="CA251" i="9"/>
  <c r="CJ111" i="20"/>
  <c r="CA245" i="9"/>
  <c r="CJ152" i="20"/>
  <c r="CA242" i="9"/>
  <c r="CJ287" i="20"/>
  <c r="CJ210" i="20"/>
  <c r="CA234" i="9"/>
  <c r="CJ118" i="20"/>
  <c r="CJ132" i="20"/>
  <c r="CA223" i="9"/>
  <c r="CJ106" i="20"/>
  <c r="CJ194" i="20"/>
  <c r="CJ146" i="20"/>
  <c r="CA209" i="9"/>
  <c r="CJ113" i="20"/>
  <c r="CA204" i="9"/>
  <c r="CJ125" i="20"/>
  <c r="CA202" i="9"/>
  <c r="CJ77" i="20"/>
  <c r="CA197" i="9"/>
  <c r="CJ222" i="20"/>
  <c r="CA193" i="9"/>
  <c r="CJ78" i="20"/>
  <c r="CA189" i="9"/>
  <c r="CJ108" i="20"/>
  <c r="CA184" i="9"/>
  <c r="CJ10" i="20"/>
  <c r="CA16" i="9"/>
  <c r="CJ253" i="20"/>
  <c r="CA177" i="9"/>
  <c r="CJ104" i="20"/>
  <c r="CA172" i="9"/>
  <c r="CJ61" i="20"/>
  <c r="CA273" i="9"/>
  <c r="CJ278" i="20"/>
  <c r="CA166" i="9"/>
  <c r="CJ288" i="20"/>
  <c r="CA162" i="9"/>
  <c r="CJ44" i="20"/>
  <c r="CA157" i="9"/>
  <c r="CJ214" i="20"/>
  <c r="CA152" i="9"/>
  <c r="CJ91" i="20"/>
  <c r="CA148" i="9"/>
  <c r="CJ199" i="20"/>
  <c r="CA144" i="9"/>
  <c r="CJ82" i="20"/>
  <c r="CA139" i="9"/>
  <c r="CJ144" i="20"/>
  <c r="CJ80" i="20"/>
  <c r="CA131" i="9"/>
  <c r="CJ229" i="20"/>
  <c r="CJ32" i="20"/>
  <c r="CA123" i="9"/>
  <c r="CJ131" i="20"/>
  <c r="CA115" i="9"/>
  <c r="CJ128" i="20"/>
  <c r="CJ219" i="20"/>
  <c r="CA107" i="9"/>
  <c r="CJ165" i="20"/>
  <c r="CA104" i="9"/>
  <c r="CJ57" i="20"/>
  <c r="CA100" i="9"/>
  <c r="CJ251" i="20"/>
  <c r="CA96" i="9"/>
  <c r="CJ117" i="20"/>
  <c r="CA91" i="9"/>
  <c r="CJ225" i="20"/>
  <c r="CA86" i="9"/>
  <c r="CJ163" i="20"/>
  <c r="CA82" i="9"/>
  <c r="CJ122" i="20"/>
  <c r="CA77" i="9"/>
  <c r="CJ96" i="20"/>
  <c r="CA73" i="9"/>
  <c r="CJ230" i="20"/>
  <c r="CA69" i="9"/>
  <c r="CJ293" i="20"/>
  <c r="CA64" i="9"/>
  <c r="CJ154" i="20"/>
  <c r="CA60" i="9"/>
  <c r="CJ134" i="20"/>
  <c r="CA52" i="9"/>
  <c r="CJ25" i="20"/>
  <c r="CA48" i="9"/>
  <c r="CJ250" i="20"/>
  <c r="CA44" i="9"/>
  <c r="CJ208" i="20"/>
  <c r="CA41" i="9"/>
  <c r="CJ74" i="20"/>
  <c r="CA37" i="9"/>
  <c r="CJ35" i="20"/>
  <c r="CA32" i="9"/>
  <c r="CJ176" i="20"/>
  <c r="CA28" i="9"/>
  <c r="CJ39" i="20"/>
  <c r="CA23" i="9"/>
  <c r="CJ153" i="20"/>
  <c r="CA18" i="9"/>
  <c r="CJ238" i="20"/>
  <c r="CA13" i="9"/>
  <c r="CJ216" i="20"/>
  <c r="CA9" i="9"/>
  <c r="CJ281" i="20"/>
  <c r="CA5" i="9"/>
  <c r="CJ137" i="20"/>
  <c r="CA317" i="9"/>
  <c r="CJ83" i="20"/>
  <c r="CA313" i="9"/>
  <c r="CJ262" i="20"/>
  <c r="CA310" i="9"/>
  <c r="CJ248" i="20"/>
  <c r="CA307" i="9"/>
  <c r="CJ237" i="20"/>
  <c r="CA302" i="9"/>
  <c r="CJ126" i="20"/>
  <c r="CA293" i="9"/>
  <c r="CJ169" i="20"/>
  <c r="CA288" i="9"/>
  <c r="CJ217" i="20"/>
  <c r="CA284" i="9"/>
  <c r="CJ123" i="20"/>
  <c r="CA278" i="9"/>
  <c r="CJ119" i="20"/>
  <c r="CA274" i="9"/>
  <c r="CJ33" i="20"/>
  <c r="CA269" i="9"/>
  <c r="CJ28" i="20"/>
  <c r="CA265" i="9"/>
  <c r="CJ105" i="20"/>
  <c r="CA260" i="9"/>
  <c r="CJ66" i="20"/>
  <c r="CJ141" i="20"/>
  <c r="CA250" i="9"/>
  <c r="CJ138" i="20"/>
  <c r="CA244" i="9"/>
  <c r="CJ174" i="20"/>
  <c r="CA241" i="9"/>
  <c r="CJ109" i="20"/>
  <c r="CA238" i="9"/>
  <c r="CJ271" i="20"/>
  <c r="CA233" i="9"/>
  <c r="CJ46" i="20"/>
  <c r="CA226" i="9"/>
  <c r="CJ142" i="20"/>
  <c r="CA221" i="9"/>
  <c r="CJ139" i="20"/>
  <c r="CA218" i="9"/>
  <c r="CJ201" i="20"/>
  <c r="CA212" i="9"/>
  <c r="CJ36" i="20"/>
  <c r="CA208" i="9"/>
  <c r="CJ29" i="20"/>
  <c r="CJ168" i="20"/>
  <c r="CA201" i="9"/>
  <c r="CJ239" i="20"/>
  <c r="CA196" i="9"/>
  <c r="CJ100" i="20"/>
  <c r="CA192" i="9"/>
  <c r="CJ38" i="20"/>
  <c r="CA188" i="9"/>
  <c r="CJ279" i="20"/>
  <c r="CA183" i="9"/>
  <c r="CJ292" i="20"/>
  <c r="CA180" i="9"/>
  <c r="CJ227" i="20"/>
  <c r="CA176" i="9"/>
  <c r="CJ147" i="20"/>
  <c r="CA171" i="9"/>
  <c r="CJ241" i="20"/>
  <c r="CA169" i="9"/>
  <c r="CJ185" i="20"/>
  <c r="CA165" i="9"/>
  <c r="CJ193" i="20"/>
  <c r="CA161" i="9"/>
  <c r="CJ90" i="20"/>
  <c r="CA156" i="9"/>
  <c r="CJ276" i="20"/>
  <c r="CA151" i="9"/>
  <c r="CJ115" i="20"/>
  <c r="CA146" i="9"/>
  <c r="CJ244" i="20"/>
  <c r="CA143" i="9"/>
  <c r="CJ166" i="20"/>
  <c r="CA138" i="9"/>
  <c r="CJ49" i="20"/>
  <c r="CJ16" i="20"/>
  <c r="CA130" i="9"/>
  <c r="CJ218" i="20"/>
  <c r="CA125" i="9"/>
  <c r="CJ257" i="20"/>
  <c r="CA119" i="9"/>
  <c r="CJ68" i="20"/>
  <c r="CA114" i="9"/>
  <c r="CJ145" i="20"/>
  <c r="CA111" i="9"/>
  <c r="CJ112" i="20"/>
  <c r="CA106" i="9"/>
  <c r="CJ212" i="20"/>
  <c r="CA103" i="9"/>
  <c r="CJ93" i="20"/>
  <c r="CA99" i="9"/>
  <c r="CJ167" i="20"/>
  <c r="CA95" i="9"/>
  <c r="CJ175" i="20"/>
  <c r="CA90" i="9"/>
  <c r="CJ31" i="20"/>
  <c r="CA85" i="9"/>
  <c r="CJ161" i="20"/>
  <c r="CA79" i="9"/>
  <c r="CJ247" i="20"/>
  <c r="CA75" i="9"/>
  <c r="CJ263" i="20"/>
  <c r="CA72" i="9"/>
  <c r="CJ27" i="20"/>
  <c r="CA68" i="9"/>
  <c r="CJ282" i="20"/>
  <c r="CA63" i="9"/>
  <c r="CJ103" i="20"/>
  <c r="CA59" i="9"/>
  <c r="CJ243" i="20"/>
  <c r="CA50" i="9"/>
  <c r="CJ67" i="20"/>
  <c r="CA47" i="9"/>
  <c r="CJ285" i="20"/>
  <c r="CJ129" i="20"/>
  <c r="CA39" i="9"/>
  <c r="CJ261" i="20"/>
  <c r="CA35" i="9"/>
  <c r="CJ260" i="20"/>
  <c r="CA31" i="9"/>
  <c r="CJ190" i="20"/>
  <c r="CA27" i="9"/>
  <c r="CJ69" i="20"/>
  <c r="CA22" i="9"/>
  <c r="CJ62" i="20"/>
  <c r="CJ92" i="20"/>
  <c r="CA12" i="9"/>
  <c r="CJ173" i="20"/>
  <c r="CA8" i="9"/>
  <c r="CJ79" i="20"/>
  <c r="CA320" i="9"/>
  <c r="CJ181" i="20"/>
  <c r="CA316" i="9"/>
  <c r="CJ30" i="20"/>
  <c r="CJ162" i="20"/>
  <c r="CJ60" i="20"/>
  <c r="CA305" i="9"/>
  <c r="CJ15" i="20"/>
  <c r="CA299" i="9"/>
  <c r="CJ156" i="20"/>
  <c r="CJ135" i="20"/>
  <c r="CA287" i="9"/>
  <c r="CJ195" i="20"/>
  <c r="CA283" i="9"/>
  <c r="CJ186" i="20"/>
  <c r="CA276" i="9"/>
  <c r="CJ235" i="20"/>
  <c r="CA272" i="9"/>
  <c r="CJ256" i="20"/>
  <c r="CA268" i="9"/>
  <c r="CJ252" i="20"/>
  <c r="CA263" i="9"/>
  <c r="CJ23" i="20"/>
  <c r="CA258" i="9"/>
  <c r="CJ236" i="20"/>
  <c r="CJ249" i="20"/>
  <c r="CA249" i="9"/>
  <c r="CJ17" i="20"/>
  <c r="CA243" i="9"/>
  <c r="CJ157" i="20"/>
  <c r="CA240" i="9"/>
  <c r="CJ101" i="20"/>
  <c r="CA237" i="9"/>
  <c r="CJ40" i="20"/>
  <c r="CA231" i="9"/>
  <c r="CJ246" i="20"/>
  <c r="CA225" i="9"/>
  <c r="CJ158" i="20"/>
  <c r="CA220" i="9"/>
  <c r="CJ213" i="20"/>
  <c r="CA217" i="9"/>
  <c r="CJ211" i="20"/>
  <c r="CA211" i="9"/>
  <c r="CJ182" i="20"/>
  <c r="CA207" i="9"/>
  <c r="CJ41" i="20"/>
  <c r="CA203" i="9"/>
  <c r="CJ255" i="20"/>
  <c r="CJ245" i="20"/>
  <c r="CA195" i="9"/>
  <c r="CJ184" i="20"/>
  <c r="CA191" i="9"/>
  <c r="CJ274" i="20"/>
  <c r="CJ273" i="20"/>
  <c r="CA182" i="9"/>
  <c r="CJ198" i="20"/>
  <c r="CA179" i="9"/>
  <c r="CJ290" i="20"/>
  <c r="CA175" i="9"/>
  <c r="CJ149" i="20"/>
  <c r="CJ275" i="20"/>
  <c r="CJ270" i="20"/>
  <c r="CA164" i="9"/>
  <c r="CJ85" i="20"/>
  <c r="CA159" i="9"/>
  <c r="CJ13" i="20"/>
  <c r="CA154" i="9"/>
  <c r="CJ124" i="20"/>
  <c r="CA150" i="9"/>
  <c r="CJ127" i="20"/>
  <c r="CJ45" i="20"/>
  <c r="CA142" i="9"/>
  <c r="CJ18" i="20"/>
  <c r="CJ164" i="20"/>
  <c r="CA133" i="9"/>
  <c r="CJ51" i="20"/>
  <c r="CA129" i="9"/>
  <c r="CJ266" i="20"/>
  <c r="CA126" i="9"/>
  <c r="CJ130" i="20"/>
  <c r="CA118" i="9"/>
  <c r="CJ98" i="20"/>
  <c r="CA113" i="9"/>
  <c r="CJ151" i="20"/>
  <c r="CA110" i="9"/>
  <c r="CJ204" i="20"/>
  <c r="CA3" i="9"/>
  <c r="CJ86" i="20"/>
  <c r="CA102" i="9"/>
  <c r="CJ94" i="20"/>
  <c r="CJ54" i="20"/>
  <c r="CA93" i="9"/>
  <c r="CJ63" i="20"/>
  <c r="CA89" i="9"/>
  <c r="CJ192" i="20"/>
  <c r="CA84" i="9"/>
  <c r="CJ159" i="20"/>
  <c r="CJ223" i="20"/>
  <c r="CA74" i="9"/>
  <c r="CJ258" i="20"/>
  <c r="CA71" i="9"/>
  <c r="CJ99" i="20"/>
  <c r="CA67" i="9"/>
  <c r="CJ42" i="20"/>
  <c r="CA62" i="9"/>
  <c r="CJ197" i="20"/>
  <c r="CA58" i="9"/>
  <c r="CJ200" i="20"/>
  <c r="CJ72" i="20"/>
  <c r="CA46" i="9"/>
  <c r="CJ234" i="20"/>
  <c r="CA43" i="9"/>
  <c r="CJ89" i="20"/>
  <c r="CJ133" i="20"/>
  <c r="CA33" i="9"/>
  <c r="CJ59" i="20"/>
  <c r="CA30" i="9"/>
  <c r="CJ205" i="20"/>
  <c r="CA21" i="9"/>
  <c r="CJ97" i="20"/>
  <c r="CA15" i="9"/>
  <c r="CJ188" i="20"/>
  <c r="CA11" i="9"/>
  <c r="CJ254" i="20"/>
  <c r="CA7" i="9"/>
  <c r="CJ177" i="20"/>
  <c r="CA247" i="9"/>
  <c r="CJ155" i="20"/>
  <c r="CA315" i="9"/>
  <c r="CJ81" i="20"/>
  <c r="CA311" i="9"/>
  <c r="CJ291" i="20"/>
  <c r="CA309" i="9"/>
  <c r="CJ179" i="20"/>
  <c r="CA304" i="9"/>
  <c r="CJ224" i="20"/>
  <c r="CA297" i="9"/>
  <c r="CJ233" i="20"/>
  <c r="CA291" i="9"/>
  <c r="CJ265" i="20"/>
  <c r="CA286" i="9"/>
  <c r="CJ203" i="20"/>
  <c r="CA281" i="9"/>
  <c r="CJ114" i="20"/>
  <c r="CA275" i="9"/>
  <c r="CJ76" i="20"/>
  <c r="CA271" i="9"/>
  <c r="CJ120" i="20"/>
  <c r="CA267" i="9"/>
  <c r="CJ272" i="20"/>
  <c r="CA262" i="9"/>
  <c r="CJ43" i="20"/>
  <c r="CA256" i="9"/>
  <c r="CJ206" i="20"/>
  <c r="CA252" i="9"/>
  <c r="CJ52" i="20"/>
  <c r="CA248" i="9"/>
  <c r="CJ48" i="20"/>
  <c r="CJ47" i="20"/>
  <c r="CA239" i="9"/>
  <c r="CJ34" i="20"/>
  <c r="CA235" i="9"/>
  <c r="CJ242" i="20"/>
  <c r="CA229" i="9"/>
  <c r="CJ21" i="20"/>
  <c r="CA224" i="9"/>
  <c r="CJ170" i="20"/>
  <c r="CA219" i="9"/>
  <c r="CJ22" i="20"/>
  <c r="CA216" i="9"/>
  <c r="CJ172" i="20"/>
  <c r="CA210" i="9"/>
  <c r="CJ19" i="20"/>
  <c r="CA205" i="9"/>
  <c r="CJ9" i="20"/>
  <c r="CA38" i="9"/>
  <c r="CJ259" i="20"/>
  <c r="CA198" i="9"/>
  <c r="CJ228" i="20"/>
  <c r="CA194" i="9"/>
  <c r="CJ284" i="20"/>
  <c r="CA190" i="9"/>
  <c r="CJ55" i="20"/>
  <c r="CA186" i="9"/>
  <c r="CJ102" i="20"/>
  <c r="CA181" i="9"/>
  <c r="CJ84" i="20"/>
  <c r="CA178" i="9"/>
  <c r="CJ70" i="20"/>
  <c r="CA173" i="9"/>
  <c r="CJ37" i="20"/>
  <c r="CA170" i="9"/>
  <c r="CJ136" i="20"/>
  <c r="CA167" i="9"/>
  <c r="CJ12" i="20"/>
  <c r="CA163" i="9"/>
  <c r="CJ180" i="20"/>
  <c r="CA158" i="9"/>
  <c r="CJ189" i="20"/>
  <c r="CA153" i="9"/>
  <c r="CJ14" i="20"/>
  <c r="CA149" i="9"/>
  <c r="CJ50" i="20"/>
  <c r="CA145" i="9"/>
  <c r="CJ207" i="20"/>
  <c r="CA141" i="9"/>
  <c r="CJ20" i="20"/>
  <c r="CA137" i="9"/>
  <c r="CJ75" i="20"/>
  <c r="CA132" i="9"/>
  <c r="CJ58" i="20"/>
  <c r="CA128" i="9"/>
  <c r="CJ268" i="20"/>
  <c r="CA127" i="9"/>
  <c r="CJ150" i="20"/>
  <c r="CA116" i="9"/>
  <c r="CJ232" i="20"/>
  <c r="CA112" i="9"/>
  <c r="CJ191" i="20"/>
  <c r="CA108" i="9"/>
  <c r="CJ209" i="20"/>
  <c r="CA105" i="9"/>
  <c r="CJ221" i="20"/>
  <c r="CA101" i="9"/>
  <c r="CJ269" i="20"/>
  <c r="CA97" i="9"/>
  <c r="CJ11" i="20"/>
  <c r="CA92" i="9"/>
  <c r="CJ286" i="20"/>
  <c r="CA88" i="9"/>
  <c r="CJ121" i="20"/>
  <c r="CA81" i="9"/>
  <c r="CJ116" i="20"/>
  <c r="CA78" i="9"/>
  <c r="CJ64" i="20"/>
  <c r="CJ231" i="20"/>
  <c r="CA70" i="9"/>
  <c r="CJ289" i="20"/>
  <c r="CA65" i="9"/>
  <c r="CJ160" i="20"/>
  <c r="CA61" i="9"/>
  <c r="CJ264" i="20"/>
  <c r="CA55" i="9"/>
  <c r="CJ280" i="20"/>
  <c r="CA49" i="9"/>
  <c r="CJ87" i="20"/>
  <c r="CA45" i="9"/>
  <c r="CJ148" i="20"/>
  <c r="CA42" i="9"/>
  <c r="CJ196" i="20"/>
  <c r="CJ240" i="20"/>
  <c r="CJ187" i="20"/>
  <c r="CA29" i="9"/>
  <c r="CJ171" i="20"/>
  <c r="CA25" i="9"/>
  <c r="CJ26" i="20"/>
  <c r="CA19" i="9"/>
  <c r="CJ73" i="20"/>
  <c r="CA14" i="9"/>
  <c r="CJ143" i="20"/>
  <c r="CA10" i="9"/>
  <c r="CJ71" i="20"/>
  <c r="CA6" i="9"/>
  <c r="CJ215" i="20"/>
  <c r="CA318" i="9"/>
  <c r="CJ283" i="20"/>
  <c r="CA314" i="9"/>
  <c r="CJ95" i="20"/>
  <c r="CJ140" i="20"/>
  <c r="CA308" i="9"/>
  <c r="CJ65" i="20"/>
  <c r="CA303" i="9"/>
  <c r="CJ267" i="20"/>
  <c r="CA295" i="9"/>
  <c r="CJ3" i="20"/>
  <c r="CJ24" i="20"/>
  <c r="BV12" i="2"/>
  <c r="CH12" i="2" s="1"/>
  <c r="BQ12" i="2"/>
  <c r="BS12" i="2"/>
  <c r="CE12" i="2" s="1"/>
  <c r="BU12" i="2"/>
  <c r="CG12" i="2" s="1"/>
  <c r="BT12" i="2"/>
  <c r="CF12" i="2" s="1"/>
  <c r="BR12" i="2"/>
  <c r="CD12" i="2" s="1"/>
  <c r="G3" i="11"/>
  <c r="G300" i="11"/>
  <c r="G306" i="11"/>
  <c r="G309" i="11"/>
  <c r="G321" i="11"/>
  <c r="G5" i="11"/>
  <c r="G12" i="11"/>
  <c r="G15" i="11"/>
  <c r="G16" i="11"/>
  <c r="G18" i="11"/>
  <c r="G22" i="11"/>
  <c r="G31" i="11"/>
  <c r="G33" i="11"/>
  <c r="G35" i="11"/>
  <c r="G42" i="11"/>
  <c r="G46" i="11"/>
  <c r="G47" i="11"/>
  <c r="G58" i="11"/>
  <c r="G59" i="11"/>
  <c r="G69" i="11"/>
  <c r="G70" i="11"/>
  <c r="G79" i="11"/>
  <c r="G82" i="11"/>
  <c r="G105" i="11"/>
  <c r="G109" i="11"/>
  <c r="G112" i="11"/>
  <c r="G113" i="11"/>
  <c r="G118" i="11"/>
  <c r="G127" i="11"/>
  <c r="G129" i="11"/>
  <c r="G132" i="11"/>
  <c r="G140" i="11"/>
  <c r="G145" i="11"/>
  <c r="G146" i="11"/>
  <c r="G147" i="11"/>
  <c r="G151" i="11"/>
  <c r="G154" i="11"/>
  <c r="G163" i="11"/>
  <c r="G164" i="11"/>
  <c r="G169" i="11"/>
  <c r="G170" i="11"/>
  <c r="G180" i="11"/>
  <c r="G189" i="11"/>
  <c r="G192" i="11"/>
  <c r="G195" i="11"/>
  <c r="G197" i="11"/>
  <c r="G200" i="11"/>
  <c r="G201" i="11"/>
  <c r="G210" i="11"/>
  <c r="G219" i="11"/>
  <c r="G223" i="11"/>
  <c r="G227" i="11"/>
  <c r="G232" i="11"/>
  <c r="G235" i="11"/>
  <c r="G242" i="11"/>
  <c r="G243" i="11"/>
  <c r="G244" i="11"/>
  <c r="G260" i="11"/>
  <c r="G264" i="11"/>
  <c r="G270" i="11"/>
  <c r="G276" i="11"/>
  <c r="G279" i="11"/>
  <c r="G286" i="11"/>
  <c r="G287" i="11"/>
  <c r="G294" i="11"/>
  <c r="G296" i="11"/>
  <c r="G298" i="11"/>
  <c r="G303" i="11"/>
  <c r="G304" i="11"/>
  <c r="G305" i="11"/>
  <c r="G308" i="11"/>
  <c r="G310" i="11"/>
  <c r="G311" i="11"/>
  <c r="G312" i="11"/>
  <c r="G314" i="11"/>
  <c r="G315" i="11"/>
  <c r="G316" i="11"/>
  <c r="G317" i="11"/>
  <c r="G318" i="11"/>
  <c r="G319" i="11"/>
  <c r="G248" i="11"/>
  <c r="G6" i="11"/>
  <c r="G7" i="11"/>
  <c r="G8" i="11"/>
  <c r="G9" i="11"/>
  <c r="G10" i="11"/>
  <c r="G11" i="11"/>
  <c r="G13" i="11"/>
  <c r="G14" i="11"/>
  <c r="G19" i="11"/>
  <c r="G21" i="11"/>
  <c r="G23" i="11"/>
  <c r="G25" i="11"/>
  <c r="G26" i="11"/>
  <c r="G27" i="11"/>
  <c r="G28" i="11"/>
  <c r="G29" i="11"/>
  <c r="G30" i="11"/>
  <c r="G32" i="11"/>
  <c r="G37" i="11"/>
  <c r="G38" i="11"/>
  <c r="G40" i="11"/>
  <c r="G41" i="11"/>
  <c r="G43" i="11"/>
  <c r="G44" i="11"/>
  <c r="G45" i="11"/>
  <c r="G48" i="11"/>
  <c r="G49" i="11"/>
  <c r="G50" i="11"/>
  <c r="G53" i="11"/>
  <c r="G56" i="11"/>
  <c r="G57" i="11"/>
  <c r="G60" i="11"/>
  <c r="G61" i="11"/>
  <c r="G62" i="11"/>
  <c r="G65" i="11"/>
  <c r="G66" i="11"/>
  <c r="G67" i="11"/>
  <c r="G68" i="11"/>
  <c r="G71" i="11"/>
  <c r="G72" i="11"/>
  <c r="G73" i="11"/>
  <c r="G75" i="11"/>
  <c r="G76" i="11"/>
  <c r="G77" i="11"/>
  <c r="G80" i="11"/>
  <c r="G83" i="11"/>
  <c r="G84" i="11"/>
  <c r="G86" i="11"/>
  <c r="G87" i="11"/>
  <c r="G88" i="11"/>
  <c r="G89" i="11"/>
  <c r="G90" i="11"/>
  <c r="G91" i="11"/>
  <c r="G93" i="11"/>
  <c r="G94" i="11"/>
  <c r="G95" i="11"/>
  <c r="G97" i="11"/>
  <c r="G98" i="11"/>
  <c r="G99" i="11"/>
  <c r="G100" i="11"/>
  <c r="G101" i="11"/>
  <c r="G103" i="11"/>
  <c r="G104" i="11"/>
  <c r="G106" i="11"/>
  <c r="G107" i="11"/>
  <c r="G110" i="11"/>
  <c r="G111" i="11"/>
  <c r="G114" i="11"/>
  <c r="G115" i="11"/>
  <c r="G117" i="11"/>
  <c r="G122" i="11"/>
  <c r="G124" i="11"/>
  <c r="G125" i="11"/>
  <c r="G126" i="11"/>
  <c r="G128" i="11"/>
  <c r="G130" i="11"/>
  <c r="G131" i="11"/>
  <c r="G136" i="11"/>
  <c r="G137" i="11"/>
  <c r="G138" i="11"/>
  <c r="G141" i="11"/>
  <c r="G142" i="11"/>
  <c r="G143" i="11"/>
  <c r="G144" i="11"/>
  <c r="G148" i="11"/>
  <c r="G149" i="11"/>
  <c r="G150" i="11"/>
  <c r="G153" i="11"/>
  <c r="G155" i="11"/>
  <c r="G156" i="11"/>
  <c r="G157" i="11"/>
  <c r="G159" i="11"/>
  <c r="G160" i="11"/>
  <c r="G161" i="11"/>
  <c r="G162" i="11"/>
  <c r="G165" i="11"/>
  <c r="G167" i="11"/>
  <c r="G274" i="11"/>
  <c r="G168" i="11"/>
  <c r="G171" i="11"/>
  <c r="G173" i="11"/>
  <c r="G174" i="11"/>
  <c r="G175" i="11"/>
  <c r="G176" i="11"/>
  <c r="G177" i="11"/>
  <c r="G178" i="11"/>
  <c r="G181" i="11"/>
  <c r="G182" i="11"/>
  <c r="G183" i="11"/>
  <c r="G185" i="11"/>
  <c r="G187" i="11"/>
  <c r="G188" i="11"/>
  <c r="G190" i="11"/>
  <c r="G191" i="11"/>
  <c r="G193" i="11"/>
  <c r="G194" i="11"/>
  <c r="G196" i="11"/>
  <c r="G206" i="11"/>
  <c r="G207" i="11"/>
  <c r="G208" i="11"/>
  <c r="G211" i="11"/>
  <c r="G212" i="11"/>
  <c r="G213" i="11"/>
  <c r="G214" i="11"/>
  <c r="G215" i="11"/>
  <c r="G220" i="11"/>
  <c r="G221" i="11"/>
  <c r="G222" i="11"/>
  <c r="G224" i="11"/>
  <c r="G226" i="11"/>
  <c r="G228" i="11"/>
  <c r="G229" i="11"/>
  <c r="G233" i="11"/>
  <c r="G236" i="11"/>
  <c r="G237" i="11"/>
  <c r="G238" i="11"/>
  <c r="G239" i="11"/>
  <c r="G240" i="11"/>
  <c r="G241" i="11"/>
  <c r="G245" i="11"/>
  <c r="G246" i="11"/>
  <c r="G249" i="11"/>
  <c r="G250" i="11"/>
  <c r="G251" i="11"/>
  <c r="G252" i="11"/>
  <c r="G253" i="11"/>
  <c r="G256" i="11"/>
  <c r="G257" i="11"/>
  <c r="G261" i="11"/>
  <c r="G262" i="11"/>
  <c r="G263" i="11"/>
  <c r="G266" i="11"/>
  <c r="G267" i="11"/>
  <c r="G268" i="11"/>
  <c r="G269" i="11"/>
  <c r="G271" i="11"/>
  <c r="G272" i="11"/>
  <c r="G273" i="11"/>
  <c r="G275" i="11"/>
  <c r="G277" i="11"/>
  <c r="G280" i="11"/>
  <c r="G282" i="11"/>
  <c r="G284" i="11"/>
  <c r="G285" i="11"/>
  <c r="G288" i="11"/>
  <c r="G289" i="11"/>
  <c r="G291" i="11"/>
  <c r="G292" i="11"/>
  <c r="G63" i="11"/>
  <c r="G102" i="11"/>
  <c r="F3" i="11"/>
  <c r="F300" i="11"/>
  <c r="F306" i="11"/>
  <c r="F309" i="11"/>
  <c r="F321" i="11"/>
  <c r="F5" i="11"/>
  <c r="F12" i="11"/>
  <c r="F15" i="11"/>
  <c r="F16" i="11"/>
  <c r="F18" i="11"/>
  <c r="F22" i="11"/>
  <c r="F31" i="11"/>
  <c r="F33" i="11"/>
  <c r="F35" i="11"/>
  <c r="F42" i="11"/>
  <c r="F46" i="11"/>
  <c r="F47" i="11"/>
  <c r="F58" i="11"/>
  <c r="F59" i="11"/>
  <c r="F69" i="11"/>
  <c r="F70" i="11"/>
  <c r="F79" i="11"/>
  <c r="F82" i="11"/>
  <c r="F105" i="11"/>
  <c r="F109" i="11"/>
  <c r="F112" i="11"/>
  <c r="F113" i="11"/>
  <c r="F118" i="11"/>
  <c r="F127" i="11"/>
  <c r="F129" i="11"/>
  <c r="F132" i="11"/>
  <c r="F140" i="11"/>
  <c r="F145" i="11"/>
  <c r="F146" i="11"/>
  <c r="F147" i="11"/>
  <c r="F151" i="11"/>
  <c r="F154" i="11"/>
  <c r="F163" i="11"/>
  <c r="F164" i="11"/>
  <c r="F169" i="11"/>
  <c r="F170" i="11"/>
  <c r="F180" i="11"/>
  <c r="F189" i="11"/>
  <c r="F192" i="11"/>
  <c r="F195" i="11"/>
  <c r="F197" i="11"/>
  <c r="F200" i="11"/>
  <c r="F201" i="11"/>
  <c r="F210" i="11"/>
  <c r="F219" i="11"/>
  <c r="F223" i="11"/>
  <c r="F227" i="11"/>
  <c r="F232" i="11"/>
  <c r="F235" i="11"/>
  <c r="F242" i="11"/>
  <c r="F243" i="11"/>
  <c r="F244" i="11"/>
  <c r="F260" i="11"/>
  <c r="F264" i="11"/>
  <c r="F270" i="11"/>
  <c r="F276" i="11"/>
  <c r="F279" i="11"/>
  <c r="F286" i="11"/>
  <c r="F287" i="11"/>
  <c r="F294" i="11"/>
  <c r="F296" i="11"/>
  <c r="F298" i="11"/>
  <c r="F303" i="11"/>
  <c r="F304" i="11"/>
  <c r="F305" i="11"/>
  <c r="F308" i="11"/>
  <c r="F310" i="11"/>
  <c r="F311" i="11"/>
  <c r="F312" i="11"/>
  <c r="F314" i="11"/>
  <c r="F315" i="11"/>
  <c r="F316" i="11"/>
  <c r="F317" i="11"/>
  <c r="F318" i="11"/>
  <c r="F319" i="11"/>
  <c r="F248" i="11"/>
  <c r="F6" i="11"/>
  <c r="F7" i="11"/>
  <c r="F8" i="11"/>
  <c r="F9" i="11"/>
  <c r="F10" i="11"/>
  <c r="F11" i="11"/>
  <c r="F13" i="11"/>
  <c r="F14" i="11"/>
  <c r="F19" i="11"/>
  <c r="F21" i="11"/>
  <c r="F23" i="11"/>
  <c r="F25" i="11"/>
  <c r="F26" i="11"/>
  <c r="F27" i="11"/>
  <c r="F28" i="11"/>
  <c r="F29" i="11"/>
  <c r="F30" i="11"/>
  <c r="F32" i="11"/>
  <c r="F37" i="11"/>
  <c r="F38" i="11"/>
  <c r="F40" i="11"/>
  <c r="F41" i="11"/>
  <c r="F43" i="11"/>
  <c r="F44" i="11"/>
  <c r="F45" i="11"/>
  <c r="F48" i="11"/>
  <c r="F49" i="11"/>
  <c r="F50" i="11"/>
  <c r="F53" i="11"/>
  <c r="F56" i="11"/>
  <c r="F57" i="11"/>
  <c r="F60" i="11"/>
  <c r="F61" i="11"/>
  <c r="F62" i="11"/>
  <c r="F65" i="11"/>
  <c r="F66" i="11"/>
  <c r="F67" i="11"/>
  <c r="F68" i="11"/>
  <c r="F71" i="11"/>
  <c r="F72" i="11"/>
  <c r="F73" i="11"/>
  <c r="F75" i="11"/>
  <c r="F76" i="11"/>
  <c r="F77" i="11"/>
  <c r="F80" i="11"/>
  <c r="F83" i="11"/>
  <c r="F84" i="11"/>
  <c r="F86" i="11"/>
  <c r="F87" i="11"/>
  <c r="F88" i="11"/>
  <c r="F89" i="11"/>
  <c r="F90" i="11"/>
  <c r="F91" i="11"/>
  <c r="F93" i="11"/>
  <c r="F94" i="11"/>
  <c r="F95" i="11"/>
  <c r="F97" i="11"/>
  <c r="F98" i="11"/>
  <c r="F99" i="11"/>
  <c r="F100" i="11"/>
  <c r="F101" i="11"/>
  <c r="F103" i="11"/>
  <c r="F104" i="11"/>
  <c r="F106" i="11"/>
  <c r="F107" i="11"/>
  <c r="F110" i="11"/>
  <c r="F111" i="11"/>
  <c r="F114" i="11"/>
  <c r="F115" i="11"/>
  <c r="F117" i="11"/>
  <c r="F122" i="11"/>
  <c r="F124" i="11"/>
  <c r="F125" i="11"/>
  <c r="F126" i="11"/>
  <c r="F128" i="11"/>
  <c r="F130" i="11"/>
  <c r="F131" i="11"/>
  <c r="F136" i="11"/>
  <c r="F137" i="11"/>
  <c r="F138" i="11"/>
  <c r="F141" i="11"/>
  <c r="F142" i="11"/>
  <c r="F143" i="11"/>
  <c r="F144" i="11"/>
  <c r="F148" i="11"/>
  <c r="F149" i="11"/>
  <c r="F150" i="11"/>
  <c r="F153" i="11"/>
  <c r="F155" i="11"/>
  <c r="F156" i="11"/>
  <c r="F157" i="11"/>
  <c r="F159" i="11"/>
  <c r="F160" i="11"/>
  <c r="F161" i="11"/>
  <c r="F162" i="11"/>
  <c r="F165" i="11"/>
  <c r="F167" i="11"/>
  <c r="F274" i="11"/>
  <c r="F168" i="11"/>
  <c r="F171" i="11"/>
  <c r="F173" i="11"/>
  <c r="F174" i="11"/>
  <c r="F175" i="11"/>
  <c r="F176" i="11"/>
  <c r="F177" i="11"/>
  <c r="F178" i="11"/>
  <c r="F181" i="11"/>
  <c r="F182" i="11"/>
  <c r="F183" i="11"/>
  <c r="F185" i="11"/>
  <c r="F187" i="11"/>
  <c r="F188" i="11"/>
  <c r="F190" i="11"/>
  <c r="F191" i="11"/>
  <c r="F193" i="11"/>
  <c r="F194" i="11"/>
  <c r="F196" i="11"/>
  <c r="F206" i="11"/>
  <c r="F207" i="11"/>
  <c r="F208" i="11"/>
  <c r="F211" i="11"/>
  <c r="F212" i="11"/>
  <c r="F213" i="11"/>
  <c r="F214" i="11"/>
  <c r="F215" i="11"/>
  <c r="F220" i="11"/>
  <c r="F221" i="11"/>
  <c r="F222" i="11"/>
  <c r="F224" i="11"/>
  <c r="F226" i="11"/>
  <c r="F228" i="11"/>
  <c r="F229" i="11"/>
  <c r="F233" i="11"/>
  <c r="F236" i="11"/>
  <c r="F237" i="11"/>
  <c r="F238" i="11"/>
  <c r="F239" i="11"/>
  <c r="F240" i="11"/>
  <c r="F241" i="11"/>
  <c r="F245" i="11"/>
  <c r="F246" i="11"/>
  <c r="F249" i="11"/>
  <c r="F250" i="11"/>
  <c r="F251" i="11"/>
  <c r="F252" i="11"/>
  <c r="F253" i="11"/>
  <c r="F256" i="11"/>
  <c r="F257" i="11"/>
  <c r="F261" i="11"/>
  <c r="F262" i="11"/>
  <c r="F263" i="11"/>
  <c r="F266" i="11"/>
  <c r="F267" i="11"/>
  <c r="F268" i="11"/>
  <c r="F269" i="11"/>
  <c r="F271" i="11"/>
  <c r="F272" i="11"/>
  <c r="F273" i="11"/>
  <c r="F275" i="11"/>
  <c r="F277" i="11"/>
  <c r="F280" i="11"/>
  <c r="F282" i="11"/>
  <c r="F284" i="11"/>
  <c r="F285" i="11"/>
  <c r="F288" i="11"/>
  <c r="F289" i="11"/>
  <c r="F291" i="11"/>
  <c r="F292" i="11"/>
  <c r="F63" i="11"/>
  <c r="F102" i="11"/>
  <c r="E3" i="11"/>
  <c r="E300" i="11"/>
  <c r="E306" i="11"/>
  <c r="E309" i="11"/>
  <c r="E321" i="11"/>
  <c r="E5" i="11"/>
  <c r="E12" i="11"/>
  <c r="E15" i="11"/>
  <c r="E16" i="11"/>
  <c r="E18" i="11"/>
  <c r="E22" i="11"/>
  <c r="E31" i="11"/>
  <c r="E33" i="11"/>
  <c r="E35" i="11"/>
  <c r="E42" i="11"/>
  <c r="E46" i="11"/>
  <c r="E47" i="11"/>
  <c r="E58" i="11"/>
  <c r="E59" i="11"/>
  <c r="E69" i="11"/>
  <c r="E70" i="11"/>
  <c r="E79" i="11"/>
  <c r="E82" i="11"/>
  <c r="E105" i="11"/>
  <c r="E109" i="11"/>
  <c r="E112" i="11"/>
  <c r="E113" i="11"/>
  <c r="E118" i="11"/>
  <c r="E127" i="11"/>
  <c r="E129" i="11"/>
  <c r="E132" i="11"/>
  <c r="E140" i="11"/>
  <c r="E145" i="11"/>
  <c r="E146" i="11"/>
  <c r="E147" i="11"/>
  <c r="E151" i="11"/>
  <c r="E154" i="11"/>
  <c r="E163" i="11"/>
  <c r="E164" i="11"/>
  <c r="E169" i="11"/>
  <c r="E170" i="11"/>
  <c r="E180" i="11"/>
  <c r="E189" i="11"/>
  <c r="E192" i="11"/>
  <c r="E195" i="11"/>
  <c r="E197" i="11"/>
  <c r="E200" i="11"/>
  <c r="E201" i="11"/>
  <c r="E210" i="11"/>
  <c r="E219" i="11"/>
  <c r="E223" i="11"/>
  <c r="E227" i="11"/>
  <c r="E232" i="11"/>
  <c r="E235" i="11"/>
  <c r="E242" i="11"/>
  <c r="E243" i="11"/>
  <c r="E244" i="11"/>
  <c r="E260" i="11"/>
  <c r="E264" i="11"/>
  <c r="E270" i="11"/>
  <c r="E276" i="11"/>
  <c r="E279" i="11"/>
  <c r="E286" i="11"/>
  <c r="E287" i="11"/>
  <c r="E294" i="11"/>
  <c r="E296" i="11"/>
  <c r="E298" i="11"/>
  <c r="E303" i="11"/>
  <c r="E304" i="11"/>
  <c r="E305" i="11"/>
  <c r="E308" i="11"/>
  <c r="E310" i="11"/>
  <c r="E311" i="11"/>
  <c r="E312" i="11"/>
  <c r="E314" i="11"/>
  <c r="E315" i="11"/>
  <c r="E316" i="11"/>
  <c r="E317" i="11"/>
  <c r="E318" i="11"/>
  <c r="E319" i="11"/>
  <c r="E248" i="11"/>
  <c r="E6" i="11"/>
  <c r="E7" i="11"/>
  <c r="E8" i="11"/>
  <c r="E9" i="11"/>
  <c r="E10" i="11"/>
  <c r="E11" i="11"/>
  <c r="E13" i="11"/>
  <c r="E14" i="11"/>
  <c r="E19" i="11"/>
  <c r="E21" i="11"/>
  <c r="E23" i="11"/>
  <c r="E25" i="11"/>
  <c r="E26" i="11"/>
  <c r="E27" i="11"/>
  <c r="E28" i="11"/>
  <c r="E29" i="11"/>
  <c r="E30" i="11"/>
  <c r="E32" i="11"/>
  <c r="E37" i="11"/>
  <c r="E38" i="11"/>
  <c r="E40" i="11"/>
  <c r="E41" i="11"/>
  <c r="E43" i="11"/>
  <c r="E44" i="11"/>
  <c r="E45" i="11"/>
  <c r="E48" i="11"/>
  <c r="E49" i="11"/>
  <c r="E50" i="11"/>
  <c r="E53" i="11"/>
  <c r="E56" i="11"/>
  <c r="E57" i="11"/>
  <c r="E60" i="11"/>
  <c r="E61" i="11"/>
  <c r="E62" i="11"/>
  <c r="E65" i="11"/>
  <c r="E66" i="11"/>
  <c r="E67" i="11"/>
  <c r="E68" i="11"/>
  <c r="E71" i="11"/>
  <c r="E72" i="11"/>
  <c r="E73" i="11"/>
  <c r="E75" i="11"/>
  <c r="E76" i="11"/>
  <c r="E77" i="11"/>
  <c r="E80" i="11"/>
  <c r="E83" i="11"/>
  <c r="E84" i="11"/>
  <c r="E86" i="11"/>
  <c r="E87" i="11"/>
  <c r="E88" i="11"/>
  <c r="E89" i="11"/>
  <c r="E90" i="11"/>
  <c r="E91" i="11"/>
  <c r="E93" i="11"/>
  <c r="E94" i="11"/>
  <c r="E95" i="11"/>
  <c r="E97" i="11"/>
  <c r="E98" i="11"/>
  <c r="E99" i="11"/>
  <c r="E100" i="11"/>
  <c r="E101" i="11"/>
  <c r="E103" i="11"/>
  <c r="E104" i="11"/>
  <c r="E106" i="11"/>
  <c r="E107" i="11"/>
  <c r="E110" i="11"/>
  <c r="E111" i="11"/>
  <c r="E114" i="11"/>
  <c r="E115" i="11"/>
  <c r="E117" i="11"/>
  <c r="E122" i="11"/>
  <c r="E124" i="11"/>
  <c r="E125" i="11"/>
  <c r="E126" i="11"/>
  <c r="E128" i="11"/>
  <c r="E130" i="11"/>
  <c r="E131" i="11"/>
  <c r="E136" i="11"/>
  <c r="E137" i="11"/>
  <c r="E138" i="11"/>
  <c r="E141" i="11"/>
  <c r="E142" i="11"/>
  <c r="E143" i="11"/>
  <c r="E144" i="11"/>
  <c r="E148" i="11"/>
  <c r="E149" i="11"/>
  <c r="E150" i="11"/>
  <c r="E153" i="11"/>
  <c r="E155" i="11"/>
  <c r="E156" i="11"/>
  <c r="E157" i="11"/>
  <c r="E159" i="11"/>
  <c r="E160" i="11"/>
  <c r="E161" i="11"/>
  <c r="E162" i="11"/>
  <c r="E165" i="11"/>
  <c r="E167" i="11"/>
  <c r="E274" i="11"/>
  <c r="E168" i="11"/>
  <c r="E171" i="11"/>
  <c r="E173" i="11"/>
  <c r="E174" i="11"/>
  <c r="E175" i="11"/>
  <c r="E176" i="11"/>
  <c r="E177" i="11"/>
  <c r="E178" i="11"/>
  <c r="E181" i="11"/>
  <c r="E182" i="11"/>
  <c r="E183" i="11"/>
  <c r="E185" i="11"/>
  <c r="E187" i="11"/>
  <c r="E188" i="11"/>
  <c r="E190" i="11"/>
  <c r="E191" i="11"/>
  <c r="E193" i="11"/>
  <c r="E194" i="11"/>
  <c r="E196" i="11"/>
  <c r="E206" i="11"/>
  <c r="E207" i="11"/>
  <c r="E208" i="11"/>
  <c r="E211" i="11"/>
  <c r="E212" i="11"/>
  <c r="E213" i="11"/>
  <c r="E214" i="11"/>
  <c r="E215" i="11"/>
  <c r="E220" i="11"/>
  <c r="E221" i="11"/>
  <c r="E222" i="11"/>
  <c r="E224" i="11"/>
  <c r="E226" i="11"/>
  <c r="E228" i="11"/>
  <c r="E229" i="11"/>
  <c r="E233" i="11"/>
  <c r="E236" i="11"/>
  <c r="E237" i="11"/>
  <c r="E238" i="11"/>
  <c r="E239" i="11"/>
  <c r="E240" i="11"/>
  <c r="E241" i="11"/>
  <c r="E245" i="11"/>
  <c r="E246" i="11"/>
  <c r="E249" i="11"/>
  <c r="E250" i="11"/>
  <c r="E251" i="11"/>
  <c r="E252" i="11"/>
  <c r="E253" i="11"/>
  <c r="E256" i="11"/>
  <c r="E257" i="11"/>
  <c r="E261" i="11"/>
  <c r="E262" i="11"/>
  <c r="E263" i="11"/>
  <c r="E266" i="11"/>
  <c r="E267" i="11"/>
  <c r="E268" i="11"/>
  <c r="E269" i="11"/>
  <c r="E271" i="11"/>
  <c r="E272" i="11"/>
  <c r="E273" i="11"/>
  <c r="E275" i="11"/>
  <c r="E277" i="11"/>
  <c r="E280" i="11"/>
  <c r="E282" i="11"/>
  <c r="E284" i="11"/>
  <c r="E285" i="11"/>
  <c r="E288" i="11"/>
  <c r="E289" i="11"/>
  <c r="E291" i="11"/>
  <c r="E292" i="11"/>
  <c r="E63" i="11"/>
  <c r="E102" i="11"/>
  <c r="D3" i="11"/>
  <c r="D300" i="11"/>
  <c r="D306" i="11"/>
  <c r="D309" i="11"/>
  <c r="D321" i="11"/>
  <c r="D5" i="11"/>
  <c r="D12" i="11"/>
  <c r="D15" i="11"/>
  <c r="D16" i="11"/>
  <c r="D18" i="11"/>
  <c r="D22" i="11"/>
  <c r="D31" i="11"/>
  <c r="D33" i="11"/>
  <c r="D35" i="11"/>
  <c r="D42" i="11"/>
  <c r="D46" i="11"/>
  <c r="D47" i="11"/>
  <c r="D58" i="11"/>
  <c r="D59" i="11"/>
  <c r="D69" i="11"/>
  <c r="D70" i="11"/>
  <c r="D79" i="11"/>
  <c r="D82" i="11"/>
  <c r="D105" i="11"/>
  <c r="D109" i="11"/>
  <c r="D112" i="11"/>
  <c r="D113" i="11"/>
  <c r="D118" i="11"/>
  <c r="D127" i="11"/>
  <c r="D129" i="11"/>
  <c r="D132" i="11"/>
  <c r="D140" i="11"/>
  <c r="D145" i="11"/>
  <c r="D146" i="11"/>
  <c r="D147" i="11"/>
  <c r="D151" i="11"/>
  <c r="D154" i="11"/>
  <c r="D163" i="11"/>
  <c r="D164" i="11"/>
  <c r="D169" i="11"/>
  <c r="D170" i="11"/>
  <c r="D180" i="11"/>
  <c r="D189" i="11"/>
  <c r="D192" i="11"/>
  <c r="D195" i="11"/>
  <c r="D197" i="11"/>
  <c r="D200" i="11"/>
  <c r="D201" i="11"/>
  <c r="D210" i="11"/>
  <c r="D219" i="11"/>
  <c r="D223" i="11"/>
  <c r="D227" i="11"/>
  <c r="D232" i="11"/>
  <c r="D235" i="11"/>
  <c r="D242" i="11"/>
  <c r="D243" i="11"/>
  <c r="D244" i="11"/>
  <c r="D260" i="11"/>
  <c r="D264" i="11"/>
  <c r="D270" i="11"/>
  <c r="D276" i="11"/>
  <c r="D279" i="11"/>
  <c r="D286" i="11"/>
  <c r="D287" i="11"/>
  <c r="D294" i="11"/>
  <c r="D295" i="11"/>
  <c r="D296" i="11"/>
  <c r="D298" i="11"/>
  <c r="D303" i="11"/>
  <c r="D304" i="11"/>
  <c r="D305" i="11"/>
  <c r="D308" i="11"/>
  <c r="D310" i="11"/>
  <c r="D311" i="11"/>
  <c r="D312" i="11"/>
  <c r="D314" i="11"/>
  <c r="D315" i="11"/>
  <c r="D316" i="11"/>
  <c r="D317" i="11"/>
  <c r="D318" i="11"/>
  <c r="D319" i="11"/>
  <c r="D248" i="11"/>
  <c r="D6" i="11"/>
  <c r="D7" i="11"/>
  <c r="D8" i="11"/>
  <c r="D9" i="11"/>
  <c r="D10" i="11"/>
  <c r="D11" i="11"/>
  <c r="D13" i="11"/>
  <c r="D14" i="11"/>
  <c r="D19" i="11"/>
  <c r="D21" i="11"/>
  <c r="D23" i="11"/>
  <c r="D25" i="11"/>
  <c r="D26" i="11"/>
  <c r="D27" i="11"/>
  <c r="D28" i="11"/>
  <c r="D29" i="11"/>
  <c r="D30" i="11"/>
  <c r="D32" i="11"/>
  <c r="D37" i="11"/>
  <c r="D38" i="11"/>
  <c r="D40" i="11"/>
  <c r="D41" i="11"/>
  <c r="D43" i="11"/>
  <c r="D44" i="11"/>
  <c r="D45" i="11"/>
  <c r="D48" i="11"/>
  <c r="D49" i="11"/>
  <c r="D50" i="11"/>
  <c r="D53" i="11"/>
  <c r="D56" i="11"/>
  <c r="D57" i="11"/>
  <c r="D60" i="11"/>
  <c r="D61" i="11"/>
  <c r="D62" i="11"/>
  <c r="D65" i="11"/>
  <c r="D66" i="11"/>
  <c r="D67" i="11"/>
  <c r="D68" i="11"/>
  <c r="D71" i="11"/>
  <c r="D72" i="11"/>
  <c r="D73" i="11"/>
  <c r="D75" i="11"/>
  <c r="D76" i="11"/>
  <c r="D77" i="11"/>
  <c r="D80" i="11"/>
  <c r="D83" i="11"/>
  <c r="D84" i="11"/>
  <c r="D86" i="11"/>
  <c r="D87" i="11"/>
  <c r="D88" i="11"/>
  <c r="D89" i="11"/>
  <c r="D90" i="11"/>
  <c r="D91" i="11"/>
  <c r="D93" i="11"/>
  <c r="D94" i="11"/>
  <c r="D95" i="11"/>
  <c r="D97" i="11"/>
  <c r="D98" i="11"/>
  <c r="D99" i="11"/>
  <c r="D100" i="11"/>
  <c r="D101" i="11"/>
  <c r="D103" i="11"/>
  <c r="D104" i="11"/>
  <c r="D106" i="11"/>
  <c r="D107" i="11"/>
  <c r="D110" i="11"/>
  <c r="D111" i="11"/>
  <c r="D114" i="11"/>
  <c r="D115" i="11"/>
  <c r="D117" i="11"/>
  <c r="D122" i="11"/>
  <c r="D124" i="11"/>
  <c r="D125" i="11"/>
  <c r="D126" i="11"/>
  <c r="D128" i="11"/>
  <c r="D130" i="11"/>
  <c r="D131" i="11"/>
  <c r="D136" i="11"/>
  <c r="D137" i="11"/>
  <c r="D138" i="11"/>
  <c r="D141" i="11"/>
  <c r="D142" i="11"/>
  <c r="D143" i="11"/>
  <c r="D144" i="11"/>
  <c r="D148" i="11"/>
  <c r="D149" i="11"/>
  <c r="D150" i="11"/>
  <c r="D153" i="11"/>
  <c r="D155" i="11"/>
  <c r="D156" i="11"/>
  <c r="D157" i="11"/>
  <c r="D159" i="11"/>
  <c r="D160" i="11"/>
  <c r="D161" i="11"/>
  <c r="D162" i="11"/>
  <c r="D165" i="11"/>
  <c r="D167" i="11"/>
  <c r="D274" i="11"/>
  <c r="D168" i="11"/>
  <c r="D171" i="11"/>
  <c r="D173" i="11"/>
  <c r="D174" i="11"/>
  <c r="D175" i="11"/>
  <c r="D176" i="11"/>
  <c r="D177" i="11"/>
  <c r="D178" i="11"/>
  <c r="D181" i="11"/>
  <c r="D182" i="11"/>
  <c r="D183" i="11"/>
  <c r="D185" i="11"/>
  <c r="D187" i="11"/>
  <c r="D188" i="11"/>
  <c r="D190" i="11"/>
  <c r="D191" i="11"/>
  <c r="D193" i="11"/>
  <c r="D194" i="11"/>
  <c r="D196" i="11"/>
  <c r="D206" i="11"/>
  <c r="D207" i="11"/>
  <c r="D208" i="11"/>
  <c r="D211" i="11"/>
  <c r="D212" i="11"/>
  <c r="D213" i="11"/>
  <c r="D214" i="11"/>
  <c r="D215" i="11"/>
  <c r="D220" i="11"/>
  <c r="D221" i="11"/>
  <c r="D222" i="11"/>
  <c r="D224" i="11"/>
  <c r="D226" i="11"/>
  <c r="D228" i="11"/>
  <c r="D229" i="11"/>
  <c r="D233" i="11"/>
  <c r="D236" i="11"/>
  <c r="D237" i="11"/>
  <c r="D238" i="11"/>
  <c r="D239" i="11"/>
  <c r="D240" i="11"/>
  <c r="D241" i="11"/>
  <c r="D245" i="11"/>
  <c r="D246" i="11"/>
  <c r="D249" i="11"/>
  <c r="D250" i="11"/>
  <c r="D251" i="11"/>
  <c r="D252" i="11"/>
  <c r="D253" i="11"/>
  <c r="D256" i="11"/>
  <c r="D257" i="11"/>
  <c r="D261" i="11"/>
  <c r="D262" i="11"/>
  <c r="D263" i="11"/>
  <c r="D266" i="11"/>
  <c r="D267" i="11"/>
  <c r="D268" i="11"/>
  <c r="D269" i="11"/>
  <c r="D271" i="11"/>
  <c r="D272" i="11"/>
  <c r="D273" i="11"/>
  <c r="D275" i="11"/>
  <c r="D277" i="11"/>
  <c r="D280" i="11"/>
  <c r="D282" i="11"/>
  <c r="D284" i="11"/>
  <c r="D285" i="11"/>
  <c r="D288" i="11"/>
  <c r="D289" i="11"/>
  <c r="D291" i="11"/>
  <c r="D292" i="11"/>
  <c r="D63" i="11"/>
  <c r="D102" i="11"/>
  <c r="C3" i="11"/>
  <c r="C300" i="11"/>
  <c r="C306" i="11"/>
  <c r="C309" i="11"/>
  <c r="C321" i="11"/>
  <c r="C5" i="11"/>
  <c r="C12" i="11"/>
  <c r="C15" i="11"/>
  <c r="C16" i="11"/>
  <c r="C18" i="11"/>
  <c r="C22" i="11"/>
  <c r="C31" i="11"/>
  <c r="C33" i="11"/>
  <c r="C35" i="11"/>
  <c r="C42" i="11"/>
  <c r="C46" i="11"/>
  <c r="C47" i="11"/>
  <c r="C58" i="11"/>
  <c r="C59" i="11"/>
  <c r="C69" i="11"/>
  <c r="C70" i="11"/>
  <c r="C79" i="11"/>
  <c r="C82" i="11"/>
  <c r="C105" i="11"/>
  <c r="C109" i="11"/>
  <c r="C112" i="11"/>
  <c r="C113" i="11"/>
  <c r="C118" i="11"/>
  <c r="C127" i="11"/>
  <c r="C129" i="11"/>
  <c r="C132" i="11"/>
  <c r="C140" i="11"/>
  <c r="C145" i="11"/>
  <c r="C146" i="11"/>
  <c r="C147" i="11"/>
  <c r="C151" i="11"/>
  <c r="C154" i="11"/>
  <c r="C163" i="11"/>
  <c r="C164" i="11"/>
  <c r="C169" i="11"/>
  <c r="C170" i="11"/>
  <c r="C180" i="11"/>
  <c r="C189" i="11"/>
  <c r="C192" i="11"/>
  <c r="C195" i="11"/>
  <c r="C197" i="11"/>
  <c r="C200" i="11"/>
  <c r="C201" i="11"/>
  <c r="C210" i="11"/>
  <c r="C219" i="11"/>
  <c r="C223" i="11"/>
  <c r="C227" i="11"/>
  <c r="C232" i="11"/>
  <c r="C235" i="11"/>
  <c r="C242" i="11"/>
  <c r="C243" i="11"/>
  <c r="C244" i="11"/>
  <c r="C260" i="11"/>
  <c r="C264" i="11"/>
  <c r="C270" i="11"/>
  <c r="C276" i="11"/>
  <c r="C279" i="11"/>
  <c r="C286" i="11"/>
  <c r="C287" i="11"/>
  <c r="C294" i="11"/>
  <c r="C296" i="11"/>
  <c r="C298" i="11"/>
  <c r="C303" i="11"/>
  <c r="C304" i="11"/>
  <c r="C305" i="11"/>
  <c r="C308" i="11"/>
  <c r="C310" i="11"/>
  <c r="C311" i="11"/>
  <c r="C312" i="11"/>
  <c r="C314" i="11"/>
  <c r="C315" i="11"/>
  <c r="C316" i="11"/>
  <c r="C317" i="11"/>
  <c r="C318" i="11"/>
  <c r="C319" i="11"/>
  <c r="C248" i="11"/>
  <c r="C6" i="11"/>
  <c r="C7" i="11"/>
  <c r="C8" i="11"/>
  <c r="C9" i="11"/>
  <c r="C10" i="11"/>
  <c r="C11" i="11"/>
  <c r="C13" i="11"/>
  <c r="C14" i="11"/>
  <c r="C19" i="11"/>
  <c r="C21" i="11"/>
  <c r="C23" i="11"/>
  <c r="C25" i="11"/>
  <c r="C26" i="11"/>
  <c r="C27" i="11"/>
  <c r="C28" i="11"/>
  <c r="C29" i="11"/>
  <c r="C30" i="11"/>
  <c r="C32" i="11"/>
  <c r="C37" i="11"/>
  <c r="C38" i="11"/>
  <c r="C40" i="11"/>
  <c r="C41" i="11"/>
  <c r="C43" i="11"/>
  <c r="C44" i="11"/>
  <c r="C45" i="11"/>
  <c r="C48" i="11"/>
  <c r="C49" i="11"/>
  <c r="C50" i="11"/>
  <c r="C53" i="11"/>
  <c r="C56" i="11"/>
  <c r="C57" i="11"/>
  <c r="C60" i="11"/>
  <c r="C61" i="11"/>
  <c r="C62" i="11"/>
  <c r="C65" i="11"/>
  <c r="C66" i="11"/>
  <c r="C67" i="11"/>
  <c r="C68" i="11"/>
  <c r="C71" i="11"/>
  <c r="C72" i="11"/>
  <c r="C73" i="11"/>
  <c r="C75" i="11"/>
  <c r="C76" i="11"/>
  <c r="C77" i="11"/>
  <c r="C80" i="11"/>
  <c r="C83" i="11"/>
  <c r="C84" i="11"/>
  <c r="C86" i="11"/>
  <c r="C87" i="11"/>
  <c r="C88" i="11"/>
  <c r="C89" i="11"/>
  <c r="C90" i="11"/>
  <c r="C91" i="11"/>
  <c r="C93" i="11"/>
  <c r="C94" i="11"/>
  <c r="C95" i="11"/>
  <c r="C97" i="11"/>
  <c r="C98" i="11"/>
  <c r="C99" i="11"/>
  <c r="C100" i="11"/>
  <c r="C101" i="11"/>
  <c r="C103" i="11"/>
  <c r="C104" i="11"/>
  <c r="C106" i="11"/>
  <c r="C107" i="11"/>
  <c r="C110" i="11"/>
  <c r="C111" i="11"/>
  <c r="C114" i="11"/>
  <c r="C115" i="11"/>
  <c r="C117" i="11"/>
  <c r="C122" i="11"/>
  <c r="C124" i="11"/>
  <c r="C125" i="11"/>
  <c r="C126" i="11"/>
  <c r="C128" i="11"/>
  <c r="C130" i="11"/>
  <c r="C131" i="11"/>
  <c r="C136" i="11"/>
  <c r="C137" i="11"/>
  <c r="C138" i="11"/>
  <c r="C141" i="11"/>
  <c r="C142" i="11"/>
  <c r="C143" i="11"/>
  <c r="C144" i="11"/>
  <c r="C148" i="11"/>
  <c r="C149" i="11"/>
  <c r="C150" i="11"/>
  <c r="C153" i="11"/>
  <c r="C155" i="11"/>
  <c r="C156" i="11"/>
  <c r="C157" i="11"/>
  <c r="C159" i="11"/>
  <c r="C160" i="11"/>
  <c r="C161" i="11"/>
  <c r="C162" i="11"/>
  <c r="C165" i="11"/>
  <c r="C167" i="11"/>
  <c r="C274" i="11"/>
  <c r="C168" i="11"/>
  <c r="C171" i="11"/>
  <c r="C173" i="11"/>
  <c r="C174" i="11"/>
  <c r="C175" i="11"/>
  <c r="C176" i="11"/>
  <c r="C177" i="11"/>
  <c r="C178" i="11"/>
  <c r="C181" i="11"/>
  <c r="C182" i="11"/>
  <c r="C183" i="11"/>
  <c r="C185" i="11"/>
  <c r="C187" i="11"/>
  <c r="C188" i="11"/>
  <c r="C190" i="11"/>
  <c r="C191" i="11"/>
  <c r="C193" i="11"/>
  <c r="C194" i="11"/>
  <c r="C196" i="11"/>
  <c r="C206" i="11"/>
  <c r="C207" i="11"/>
  <c r="C208" i="11"/>
  <c r="C211" i="11"/>
  <c r="C212" i="11"/>
  <c r="C213" i="11"/>
  <c r="C214" i="11"/>
  <c r="C215" i="11"/>
  <c r="C220" i="11"/>
  <c r="C221" i="11"/>
  <c r="C222" i="11"/>
  <c r="C224" i="11"/>
  <c r="C226" i="11"/>
  <c r="C228" i="11"/>
  <c r="C229" i="11"/>
  <c r="C233" i="11"/>
  <c r="C236" i="11"/>
  <c r="C237" i="11"/>
  <c r="C238" i="11"/>
  <c r="C239" i="11"/>
  <c r="C240" i="11"/>
  <c r="C241" i="11"/>
  <c r="C245" i="11"/>
  <c r="C246" i="11"/>
  <c r="C249" i="11"/>
  <c r="C250" i="11"/>
  <c r="C251" i="11"/>
  <c r="C252" i="11"/>
  <c r="C253" i="11"/>
  <c r="C256" i="11"/>
  <c r="C257" i="11"/>
  <c r="C261" i="11"/>
  <c r="C262" i="11"/>
  <c r="C263" i="11"/>
  <c r="C266" i="11"/>
  <c r="C267" i="11"/>
  <c r="C268" i="11"/>
  <c r="C269" i="11"/>
  <c r="C271" i="11"/>
  <c r="C272" i="11"/>
  <c r="C273" i="11"/>
  <c r="C275" i="11"/>
  <c r="C277" i="11"/>
  <c r="C280" i="11"/>
  <c r="C282" i="11"/>
  <c r="C284" i="11"/>
  <c r="C285" i="11"/>
  <c r="C288" i="11"/>
  <c r="C289" i="11"/>
  <c r="C291" i="11"/>
  <c r="C292" i="11"/>
  <c r="C63" i="11"/>
  <c r="C102" i="11"/>
  <c r="B3" i="11"/>
  <c r="B300" i="11"/>
  <c r="B306" i="11"/>
  <c r="B309" i="11"/>
  <c r="B321" i="11"/>
  <c r="B5" i="11"/>
  <c r="B12" i="11"/>
  <c r="B15" i="11"/>
  <c r="B16" i="11"/>
  <c r="B18" i="11"/>
  <c r="B22" i="11"/>
  <c r="B31" i="11"/>
  <c r="B33" i="11"/>
  <c r="B35" i="11"/>
  <c r="B42" i="11"/>
  <c r="B46" i="11"/>
  <c r="B47" i="11"/>
  <c r="B58" i="11"/>
  <c r="B59" i="11"/>
  <c r="B69" i="11"/>
  <c r="B70" i="11"/>
  <c r="B79" i="11"/>
  <c r="B82" i="11"/>
  <c r="B105" i="11"/>
  <c r="B109" i="11"/>
  <c r="B112" i="11"/>
  <c r="B113" i="11"/>
  <c r="B118" i="11"/>
  <c r="B127" i="11"/>
  <c r="B129" i="11"/>
  <c r="B132" i="11"/>
  <c r="B140" i="11"/>
  <c r="B145" i="11"/>
  <c r="B146" i="11"/>
  <c r="B147" i="11"/>
  <c r="B151" i="11"/>
  <c r="B154" i="11"/>
  <c r="B163" i="11"/>
  <c r="B164" i="11"/>
  <c r="B169" i="11"/>
  <c r="B170" i="11"/>
  <c r="B180" i="11"/>
  <c r="B189" i="11"/>
  <c r="B192" i="11"/>
  <c r="B195" i="11"/>
  <c r="B197" i="11"/>
  <c r="B200" i="11"/>
  <c r="B201" i="11"/>
  <c r="B210" i="11"/>
  <c r="B219" i="11"/>
  <c r="B223" i="11"/>
  <c r="B227" i="11"/>
  <c r="B232" i="11"/>
  <c r="B235" i="11"/>
  <c r="B242" i="11"/>
  <c r="B243" i="11"/>
  <c r="B244" i="11"/>
  <c r="B260" i="11"/>
  <c r="B264" i="11"/>
  <c r="B270" i="11"/>
  <c r="B276" i="11"/>
  <c r="B279" i="11"/>
  <c r="B286" i="11"/>
  <c r="B287" i="11"/>
  <c r="B294" i="11"/>
  <c r="B296" i="11"/>
  <c r="B298" i="11"/>
  <c r="B303" i="11"/>
  <c r="B304" i="11"/>
  <c r="B305" i="11"/>
  <c r="B308" i="11"/>
  <c r="B310" i="11"/>
  <c r="B311" i="11"/>
  <c r="B312" i="11"/>
  <c r="B314" i="11"/>
  <c r="B315" i="11"/>
  <c r="B316" i="11"/>
  <c r="B317" i="11"/>
  <c r="B318" i="11"/>
  <c r="B319" i="11"/>
  <c r="B248" i="11"/>
  <c r="B6" i="11"/>
  <c r="B7" i="11"/>
  <c r="B8" i="11"/>
  <c r="B9" i="11"/>
  <c r="B10" i="11"/>
  <c r="B11" i="11"/>
  <c r="B13" i="11"/>
  <c r="B14" i="11"/>
  <c r="B19" i="11"/>
  <c r="B21" i="11"/>
  <c r="B23" i="11"/>
  <c r="B25" i="11"/>
  <c r="B26" i="11"/>
  <c r="B27" i="11"/>
  <c r="B28" i="11"/>
  <c r="B29" i="11"/>
  <c r="B30" i="11"/>
  <c r="B32" i="11"/>
  <c r="B37" i="11"/>
  <c r="B38" i="11"/>
  <c r="B40" i="11"/>
  <c r="B41" i="11"/>
  <c r="B43" i="11"/>
  <c r="B44" i="11"/>
  <c r="B45" i="11"/>
  <c r="B48" i="11"/>
  <c r="B49" i="11"/>
  <c r="B50" i="11"/>
  <c r="B53" i="11"/>
  <c r="B56" i="11"/>
  <c r="B57" i="11"/>
  <c r="B60" i="11"/>
  <c r="B61" i="11"/>
  <c r="B62" i="11"/>
  <c r="B65" i="11"/>
  <c r="B66" i="11"/>
  <c r="B67" i="11"/>
  <c r="B68" i="11"/>
  <c r="B71" i="11"/>
  <c r="B72" i="11"/>
  <c r="B73" i="11"/>
  <c r="B75" i="11"/>
  <c r="B76" i="11"/>
  <c r="B77" i="11"/>
  <c r="B80" i="11"/>
  <c r="B83" i="11"/>
  <c r="B84" i="11"/>
  <c r="B86" i="11"/>
  <c r="B87" i="11"/>
  <c r="B88" i="11"/>
  <c r="B89" i="11"/>
  <c r="B90" i="11"/>
  <c r="B91" i="11"/>
  <c r="B93" i="11"/>
  <c r="B94" i="11"/>
  <c r="B95" i="11"/>
  <c r="B97" i="11"/>
  <c r="B98" i="11"/>
  <c r="B99" i="11"/>
  <c r="B100" i="11"/>
  <c r="B101" i="11"/>
  <c r="B103" i="11"/>
  <c r="B104" i="11"/>
  <c r="B106" i="11"/>
  <c r="B107" i="11"/>
  <c r="B110" i="11"/>
  <c r="B111" i="11"/>
  <c r="B114" i="11"/>
  <c r="B115" i="11"/>
  <c r="B117" i="11"/>
  <c r="B122" i="11"/>
  <c r="B124" i="11"/>
  <c r="B125" i="11"/>
  <c r="B126" i="11"/>
  <c r="B128" i="11"/>
  <c r="B130" i="11"/>
  <c r="B131" i="11"/>
  <c r="B136" i="11"/>
  <c r="B137" i="11"/>
  <c r="B138" i="11"/>
  <c r="B141" i="11"/>
  <c r="B142" i="11"/>
  <c r="B143" i="11"/>
  <c r="B144" i="11"/>
  <c r="B148" i="11"/>
  <c r="B149" i="11"/>
  <c r="B150" i="11"/>
  <c r="B153" i="11"/>
  <c r="B155" i="11"/>
  <c r="B156" i="11"/>
  <c r="B157" i="11"/>
  <c r="B159" i="11"/>
  <c r="B160" i="11"/>
  <c r="B161" i="11"/>
  <c r="B162" i="11"/>
  <c r="B165" i="11"/>
  <c r="B167" i="11"/>
  <c r="B274" i="11"/>
  <c r="B168" i="11"/>
  <c r="B171" i="11"/>
  <c r="B173" i="11"/>
  <c r="B174" i="11"/>
  <c r="B175" i="11"/>
  <c r="B176" i="11"/>
  <c r="B177" i="11"/>
  <c r="B178" i="11"/>
  <c r="B181" i="11"/>
  <c r="B182" i="11"/>
  <c r="B183" i="11"/>
  <c r="B185" i="11"/>
  <c r="B187" i="11"/>
  <c r="B188" i="11"/>
  <c r="B190" i="11"/>
  <c r="B191" i="11"/>
  <c r="B193" i="11"/>
  <c r="B194" i="11"/>
  <c r="B196" i="11"/>
  <c r="B206" i="11"/>
  <c r="B207" i="11"/>
  <c r="B208" i="11"/>
  <c r="B211" i="11"/>
  <c r="B212" i="11"/>
  <c r="B213" i="11"/>
  <c r="B214" i="11"/>
  <c r="B215" i="11"/>
  <c r="B220" i="11"/>
  <c r="B221" i="11"/>
  <c r="B222" i="11"/>
  <c r="B224" i="11"/>
  <c r="B226" i="11"/>
  <c r="B228" i="11"/>
  <c r="B229" i="11"/>
  <c r="B233" i="11"/>
  <c r="B236" i="11"/>
  <c r="B237" i="11"/>
  <c r="B238" i="11"/>
  <c r="B239" i="11"/>
  <c r="B240" i="11"/>
  <c r="B241" i="11"/>
  <c r="B245" i="11"/>
  <c r="B246" i="11"/>
  <c r="B249" i="11"/>
  <c r="B250" i="11"/>
  <c r="B251" i="11"/>
  <c r="B252" i="11"/>
  <c r="B253" i="11"/>
  <c r="B256" i="11"/>
  <c r="B257" i="11"/>
  <c r="B261" i="11"/>
  <c r="B262" i="11"/>
  <c r="B263" i="11"/>
  <c r="B266" i="11"/>
  <c r="B267" i="11"/>
  <c r="B268" i="11"/>
  <c r="B269" i="11"/>
  <c r="B271" i="11"/>
  <c r="B272" i="11"/>
  <c r="B273" i="11"/>
  <c r="B275" i="11"/>
  <c r="B277" i="11"/>
  <c r="B280" i="11"/>
  <c r="B282" i="11"/>
  <c r="B284" i="11"/>
  <c r="B285" i="11"/>
  <c r="B288" i="11"/>
  <c r="B289" i="11"/>
  <c r="B291" i="11"/>
  <c r="B292" i="11"/>
  <c r="B63" i="11"/>
  <c r="B102" i="11"/>
  <c r="C3" i="6"/>
  <c r="CC12" i="2" l="1"/>
  <c r="U10" i="1"/>
  <c r="BW12" i="2"/>
  <c r="B8" i="1"/>
  <c r="B11" i="1"/>
  <c r="B12" i="1"/>
  <c r="B13" i="1"/>
  <c r="B14" i="1"/>
  <c r="B16" i="1"/>
  <c r="B17" i="1"/>
  <c r="B18" i="1"/>
  <c r="B19" i="1"/>
  <c r="B20" i="1"/>
  <c r="B21" i="1"/>
  <c r="B22" i="1"/>
  <c r="B23" i="1"/>
  <c r="B25" i="1"/>
  <c r="B26" i="1"/>
  <c r="B27" i="1"/>
  <c r="B28" i="1"/>
  <c r="B29" i="1"/>
  <c r="B30" i="1"/>
  <c r="B32" i="1"/>
  <c r="L299" i="6"/>
  <c r="L301" i="6"/>
  <c r="L304" i="6"/>
  <c r="L305" i="6"/>
  <c r="L306" i="6"/>
  <c r="L307" i="6"/>
  <c r="L309" i="6"/>
  <c r="L310" i="6"/>
  <c r="L311" i="6"/>
  <c r="L312" i="6"/>
  <c r="L313" i="6"/>
  <c r="L315" i="6"/>
  <c r="L316" i="6"/>
  <c r="L317" i="6"/>
  <c r="L318" i="6"/>
  <c r="L319" i="6"/>
  <c r="L320" i="6"/>
  <c r="L247" i="6"/>
  <c r="L322" i="6"/>
  <c r="L4" i="6"/>
  <c r="L5" i="6"/>
  <c r="L6" i="6"/>
  <c r="L7" i="6"/>
  <c r="L8" i="6"/>
  <c r="L9" i="6"/>
  <c r="L10" i="6"/>
  <c r="L11" i="6"/>
  <c r="L12" i="6"/>
  <c r="L13" i="6"/>
  <c r="L14" i="6"/>
  <c r="L15" i="6"/>
  <c r="L17" i="6"/>
  <c r="L18" i="6"/>
  <c r="L20" i="6"/>
  <c r="L21" i="6"/>
  <c r="L22" i="6"/>
  <c r="L24" i="6"/>
  <c r="L25" i="6"/>
  <c r="L26" i="6"/>
  <c r="L27" i="6"/>
  <c r="L28" i="6"/>
  <c r="L29" i="6"/>
  <c r="L30" i="6"/>
  <c r="L31" i="6"/>
  <c r="L32" i="6"/>
  <c r="L34" i="6"/>
  <c r="L36" i="6"/>
  <c r="L37" i="6"/>
  <c r="L38" i="6"/>
  <c r="L40" i="6"/>
  <c r="L41" i="6"/>
  <c r="L42" i="6"/>
  <c r="L43" i="6"/>
  <c r="L44" i="6"/>
  <c r="L45" i="6"/>
  <c r="L46" i="6"/>
  <c r="L47" i="6"/>
  <c r="L48" i="6"/>
  <c r="L49" i="6"/>
  <c r="L50" i="6"/>
  <c r="L51" i="6"/>
  <c r="L54" i="6"/>
  <c r="L57" i="6"/>
  <c r="L58" i="6"/>
  <c r="L59" i="6"/>
  <c r="L60" i="6"/>
  <c r="L61" i="6"/>
  <c r="L62" i="6"/>
  <c r="L63" i="6"/>
  <c r="L64" i="6"/>
  <c r="L66" i="6"/>
  <c r="L67" i="6"/>
  <c r="L68" i="6"/>
  <c r="L69" i="6"/>
  <c r="L70" i="6"/>
  <c r="L71" i="6"/>
  <c r="L72" i="6"/>
  <c r="L73" i="6"/>
  <c r="L74" i="6"/>
  <c r="L76" i="6"/>
  <c r="L77" i="6"/>
  <c r="L78" i="6"/>
  <c r="L81" i="6"/>
  <c r="L80" i="6"/>
  <c r="L83" i="6"/>
  <c r="L84" i="6"/>
  <c r="L85" i="6"/>
  <c r="L87" i="6"/>
  <c r="L88" i="6"/>
  <c r="L89" i="6"/>
  <c r="L90" i="6"/>
  <c r="L91" i="6"/>
  <c r="L92" i="6"/>
  <c r="L94" i="6"/>
  <c r="L95" i="6"/>
  <c r="L96" i="6"/>
  <c r="L98" i="6"/>
  <c r="L99" i="6"/>
  <c r="L100" i="6"/>
  <c r="L101" i="6"/>
  <c r="L102" i="6"/>
  <c r="L103" i="6"/>
  <c r="L104" i="6"/>
  <c r="L105" i="6"/>
  <c r="L106" i="6"/>
  <c r="L107" i="6"/>
  <c r="L108" i="6"/>
  <c r="L110" i="6"/>
  <c r="L111" i="6"/>
  <c r="L112" i="6"/>
  <c r="L113" i="6"/>
  <c r="L114" i="6"/>
  <c r="L115" i="6"/>
  <c r="L116" i="6"/>
  <c r="L118" i="6"/>
  <c r="L119" i="6"/>
  <c r="L123" i="6"/>
  <c r="L125" i="6"/>
  <c r="L126" i="6"/>
  <c r="L127" i="6"/>
  <c r="L128" i="6"/>
  <c r="L129" i="6"/>
  <c r="L130" i="6"/>
  <c r="L131" i="6"/>
  <c r="L132" i="6"/>
  <c r="L133" i="6"/>
  <c r="L137" i="6"/>
  <c r="L138" i="6"/>
  <c r="L139" i="6"/>
  <c r="L141" i="6"/>
  <c r="L142" i="6"/>
  <c r="L143" i="6"/>
  <c r="L144" i="6"/>
  <c r="L145" i="6"/>
  <c r="L146" i="6"/>
  <c r="L147" i="6"/>
  <c r="L148" i="6"/>
  <c r="L149" i="6"/>
  <c r="L150" i="6"/>
  <c r="L151" i="6"/>
  <c r="L152" i="6"/>
  <c r="L153" i="6"/>
  <c r="L155" i="6"/>
  <c r="L156" i="6"/>
  <c r="L157" i="6"/>
  <c r="L158" i="6"/>
  <c r="L159" i="6"/>
  <c r="L161" i="6"/>
  <c r="L162" i="6"/>
  <c r="L163" i="6"/>
  <c r="L164" i="6"/>
  <c r="L165" i="6"/>
  <c r="L166" i="6"/>
  <c r="L167" i="6"/>
  <c r="L169" i="6"/>
  <c r="L275" i="6"/>
  <c r="L170" i="6"/>
  <c r="L171" i="6"/>
  <c r="L172" i="6"/>
  <c r="L173" i="6"/>
  <c r="L175" i="6"/>
  <c r="L176" i="6"/>
  <c r="L177" i="6"/>
  <c r="L178" i="6"/>
  <c r="L179" i="6"/>
  <c r="L180" i="6"/>
  <c r="L181" i="6"/>
  <c r="L182" i="6"/>
  <c r="L183" i="6"/>
  <c r="L184" i="6"/>
  <c r="L186" i="6"/>
  <c r="L188" i="6"/>
  <c r="L189" i="6"/>
  <c r="L190" i="6"/>
  <c r="L191" i="6"/>
  <c r="L192" i="6"/>
  <c r="L193" i="6"/>
  <c r="L194" i="6"/>
  <c r="L195" i="6"/>
  <c r="L196" i="6"/>
  <c r="L197" i="6"/>
  <c r="L198" i="6"/>
  <c r="L201" i="6"/>
  <c r="L202" i="6"/>
  <c r="L203" i="6"/>
  <c r="L204" i="6"/>
  <c r="L205" i="6"/>
  <c r="L207" i="6"/>
  <c r="L208" i="6"/>
  <c r="L209" i="6"/>
  <c r="L210" i="6"/>
  <c r="L211" i="6"/>
  <c r="L212" i="6"/>
  <c r="L216" i="6"/>
  <c r="L217" i="6"/>
  <c r="L218" i="6"/>
  <c r="L219" i="6"/>
  <c r="L220" i="6"/>
  <c r="L221" i="6"/>
  <c r="L223" i="6"/>
  <c r="L224" i="6"/>
  <c r="L225" i="6"/>
  <c r="L226" i="6"/>
  <c r="L229" i="6"/>
  <c r="L230" i="6"/>
  <c r="L231" i="6"/>
  <c r="L233" i="6"/>
  <c r="L234" i="6"/>
  <c r="L235" i="6"/>
  <c r="L236" i="6"/>
  <c r="L237" i="6"/>
  <c r="L238" i="6"/>
  <c r="L239" i="6"/>
  <c r="L240" i="6"/>
  <c r="L241" i="6"/>
  <c r="L242" i="6"/>
  <c r="L243" i="6"/>
  <c r="L244" i="6"/>
  <c r="L245" i="6"/>
  <c r="L248" i="6"/>
  <c r="L249" i="6"/>
  <c r="L250" i="6"/>
  <c r="L251" i="6"/>
  <c r="L252" i="6"/>
  <c r="L255" i="6"/>
  <c r="L256" i="6"/>
  <c r="L259" i="6"/>
  <c r="L260" i="6"/>
  <c r="L261" i="6"/>
  <c r="L262" i="6"/>
  <c r="L263" i="6"/>
  <c r="L267" i="6"/>
  <c r="L268" i="6"/>
  <c r="L270" i="6"/>
  <c r="L271" i="6"/>
  <c r="L272" i="6"/>
  <c r="L273" i="6"/>
  <c r="L274" i="6"/>
  <c r="L276" i="6"/>
  <c r="L277" i="6"/>
  <c r="L278" i="6"/>
  <c r="L280" i="6"/>
  <c r="L281" i="6"/>
  <c r="L283" i="6"/>
  <c r="L285" i="6"/>
  <c r="L286" i="6"/>
  <c r="L287" i="6"/>
  <c r="L288" i="6"/>
  <c r="L289" i="6"/>
  <c r="L290" i="6"/>
  <c r="L292" i="6"/>
  <c r="L293" i="6"/>
  <c r="L295" i="6"/>
  <c r="L296" i="6"/>
  <c r="K3" i="6"/>
  <c r="K296" i="6"/>
  <c r="K299" i="6"/>
  <c r="K301" i="6"/>
  <c r="K304" i="6"/>
  <c r="K305" i="6"/>
  <c r="K306" i="6"/>
  <c r="K307" i="6"/>
  <c r="K309" i="6"/>
  <c r="K310" i="6"/>
  <c r="K311" i="6"/>
  <c r="K312" i="6"/>
  <c r="K313" i="6"/>
  <c r="K315" i="6"/>
  <c r="K316" i="6"/>
  <c r="K317" i="6"/>
  <c r="K318" i="6"/>
  <c r="K319" i="6"/>
  <c r="K320" i="6"/>
  <c r="K247" i="6"/>
  <c r="K322" i="6"/>
  <c r="K4" i="6"/>
  <c r="K5" i="6"/>
  <c r="K6" i="6"/>
  <c r="K7" i="6"/>
  <c r="K8" i="6"/>
  <c r="K9" i="6"/>
  <c r="K10" i="6"/>
  <c r="K11" i="6"/>
  <c r="K12" i="6"/>
  <c r="K13" i="6"/>
  <c r="K14" i="6"/>
  <c r="K15" i="6"/>
  <c r="K17" i="6"/>
  <c r="K18" i="6"/>
  <c r="K20" i="6"/>
  <c r="K21" i="6"/>
  <c r="K22" i="6"/>
  <c r="K24" i="6"/>
  <c r="K25" i="6"/>
  <c r="K26" i="6"/>
  <c r="K27" i="6"/>
  <c r="K28" i="6"/>
  <c r="K29" i="6"/>
  <c r="K30" i="6"/>
  <c r="K31" i="6"/>
  <c r="K32" i="6"/>
  <c r="K34" i="6"/>
  <c r="K36" i="6"/>
  <c r="K37" i="6"/>
  <c r="K38" i="6"/>
  <c r="K40" i="6"/>
  <c r="K41" i="6"/>
  <c r="K42" i="6"/>
  <c r="K43" i="6"/>
  <c r="K44" i="6"/>
  <c r="K45" i="6"/>
  <c r="K46" i="6"/>
  <c r="K47" i="6"/>
  <c r="K48" i="6"/>
  <c r="K49" i="6"/>
  <c r="K50" i="6"/>
  <c r="K51" i="6"/>
  <c r="K54" i="6"/>
  <c r="K57" i="6"/>
  <c r="K58" i="6"/>
  <c r="K59" i="6"/>
  <c r="K60" i="6"/>
  <c r="K61" i="6"/>
  <c r="K62" i="6"/>
  <c r="K63" i="6"/>
  <c r="K64" i="6"/>
  <c r="K66" i="6"/>
  <c r="K67" i="6"/>
  <c r="K68" i="6"/>
  <c r="K69" i="6"/>
  <c r="K70" i="6"/>
  <c r="K71" i="6"/>
  <c r="K72" i="6"/>
  <c r="K73" i="6"/>
  <c r="K74" i="6"/>
  <c r="K76" i="6"/>
  <c r="K77" i="6"/>
  <c r="K78" i="6"/>
  <c r="K81" i="6"/>
  <c r="K80" i="6"/>
  <c r="K83" i="6"/>
  <c r="K84" i="6"/>
  <c r="K85" i="6"/>
  <c r="K87" i="6"/>
  <c r="K88" i="6"/>
  <c r="K89" i="6"/>
  <c r="K90" i="6"/>
  <c r="K91" i="6"/>
  <c r="K92" i="6"/>
  <c r="K94" i="6"/>
  <c r="K95" i="6"/>
  <c r="K96" i="6"/>
  <c r="K98" i="6"/>
  <c r="K99" i="6"/>
  <c r="K100" i="6"/>
  <c r="K101" i="6"/>
  <c r="K102" i="6"/>
  <c r="K103" i="6"/>
  <c r="K104" i="6"/>
  <c r="K105" i="6"/>
  <c r="K106" i="6"/>
  <c r="K107" i="6"/>
  <c r="K108" i="6"/>
  <c r="K110" i="6"/>
  <c r="K111" i="6"/>
  <c r="K112" i="6"/>
  <c r="K113" i="6"/>
  <c r="K114" i="6"/>
  <c r="K115" i="6"/>
  <c r="K116" i="6"/>
  <c r="K118" i="6"/>
  <c r="K119" i="6"/>
  <c r="K123" i="6"/>
  <c r="K125" i="6"/>
  <c r="K126" i="6"/>
  <c r="K127" i="6"/>
  <c r="K128" i="6"/>
  <c r="K129" i="6"/>
  <c r="K130" i="6"/>
  <c r="K131" i="6"/>
  <c r="K132" i="6"/>
  <c r="K133" i="6"/>
  <c r="K137" i="6"/>
  <c r="K138" i="6"/>
  <c r="K139" i="6"/>
  <c r="K141" i="6"/>
  <c r="K142" i="6"/>
  <c r="K143" i="6"/>
  <c r="K144" i="6"/>
  <c r="K145" i="6"/>
  <c r="K146" i="6"/>
  <c r="K147" i="6"/>
  <c r="K148" i="6"/>
  <c r="K149" i="6"/>
  <c r="K150" i="6"/>
  <c r="K151" i="6"/>
  <c r="K152" i="6"/>
  <c r="K153" i="6"/>
  <c r="K155" i="6"/>
  <c r="K156" i="6"/>
  <c r="K157" i="6"/>
  <c r="K158" i="6"/>
  <c r="K159" i="6"/>
  <c r="K161" i="6"/>
  <c r="K162" i="6"/>
  <c r="K163" i="6"/>
  <c r="K164" i="6"/>
  <c r="K165" i="6"/>
  <c r="K166" i="6"/>
  <c r="K167" i="6"/>
  <c r="K169" i="6"/>
  <c r="K275" i="6"/>
  <c r="K170" i="6"/>
  <c r="K171" i="6"/>
  <c r="K172" i="6"/>
  <c r="K173" i="6"/>
  <c r="K175" i="6"/>
  <c r="K176" i="6"/>
  <c r="K177" i="6"/>
  <c r="K178" i="6"/>
  <c r="K179" i="6"/>
  <c r="K180" i="6"/>
  <c r="K181" i="6"/>
  <c r="K182" i="6"/>
  <c r="K183" i="6"/>
  <c r="K184" i="6"/>
  <c r="K186" i="6"/>
  <c r="K188" i="6"/>
  <c r="K189" i="6"/>
  <c r="K190" i="6"/>
  <c r="K191" i="6"/>
  <c r="K192" i="6"/>
  <c r="K193" i="6"/>
  <c r="K194" i="6"/>
  <c r="K195" i="6"/>
  <c r="K196" i="6"/>
  <c r="K197" i="6"/>
  <c r="K198" i="6"/>
  <c r="K201" i="6"/>
  <c r="K202" i="6"/>
  <c r="K203" i="6"/>
  <c r="K204" i="6"/>
  <c r="K205" i="6"/>
  <c r="K207" i="6"/>
  <c r="K208" i="6"/>
  <c r="K209" i="6"/>
  <c r="K210" i="6"/>
  <c r="K211" i="6"/>
  <c r="K212" i="6"/>
  <c r="K216" i="6"/>
  <c r="K218" i="6"/>
  <c r="K219" i="6"/>
  <c r="K220" i="6"/>
  <c r="K221" i="6"/>
  <c r="K223" i="6"/>
  <c r="K224" i="6"/>
  <c r="K225" i="6"/>
  <c r="K226" i="6"/>
  <c r="K229" i="6"/>
  <c r="K230" i="6"/>
  <c r="K231" i="6"/>
  <c r="K233" i="6"/>
  <c r="K234" i="6"/>
  <c r="K235" i="6"/>
  <c r="K236" i="6"/>
  <c r="K237" i="6"/>
  <c r="K238" i="6"/>
  <c r="K239" i="6"/>
  <c r="K240" i="6"/>
  <c r="K241" i="6"/>
  <c r="K242" i="6"/>
  <c r="K243" i="6"/>
  <c r="K244" i="6"/>
  <c r="K245" i="6"/>
  <c r="K248" i="6"/>
  <c r="K249" i="6"/>
  <c r="K250" i="6"/>
  <c r="K251" i="6"/>
  <c r="K252" i="6"/>
  <c r="K255" i="6"/>
  <c r="K256" i="6"/>
  <c r="K259" i="6"/>
  <c r="K260" i="6"/>
  <c r="K261" i="6"/>
  <c r="K262" i="6"/>
  <c r="K263" i="6"/>
  <c r="K267" i="6"/>
  <c r="K268" i="6"/>
  <c r="K269" i="6"/>
  <c r="K270" i="6"/>
  <c r="K271" i="6"/>
  <c r="K272" i="6"/>
  <c r="K273" i="6"/>
  <c r="K274" i="6"/>
  <c r="K276" i="6"/>
  <c r="K277" i="6"/>
  <c r="K278" i="6"/>
  <c r="K280" i="6"/>
  <c r="K281" i="6"/>
  <c r="K283" i="6"/>
  <c r="K285" i="6"/>
  <c r="K286" i="6"/>
  <c r="K287" i="6"/>
  <c r="K288" i="6"/>
  <c r="K289" i="6"/>
  <c r="K290" i="6"/>
  <c r="K292" i="6"/>
  <c r="K293" i="6"/>
  <c r="K295" i="6"/>
  <c r="B3" i="6"/>
  <c r="B296" i="6"/>
  <c r="B297" i="6"/>
  <c r="B299" i="6"/>
  <c r="B301" i="6"/>
  <c r="B304" i="6"/>
  <c r="B305" i="6"/>
  <c r="B306" i="6"/>
  <c r="B307" i="6"/>
  <c r="B309" i="6"/>
  <c r="B310" i="6"/>
  <c r="B311" i="6"/>
  <c r="B312" i="6"/>
  <c r="B313" i="6"/>
  <c r="B315" i="6"/>
  <c r="B316" i="6"/>
  <c r="B317" i="6"/>
  <c r="B318" i="6"/>
  <c r="B319" i="6"/>
  <c r="B320" i="6"/>
  <c r="B247" i="6"/>
  <c r="B322" i="6"/>
  <c r="B4" i="6"/>
  <c r="B5" i="6"/>
  <c r="B6" i="6"/>
  <c r="B7" i="6"/>
  <c r="B8" i="6"/>
  <c r="B9" i="6"/>
  <c r="B10" i="6"/>
  <c r="B11" i="6"/>
  <c r="B12" i="6"/>
  <c r="B13" i="6"/>
  <c r="B14" i="6"/>
  <c r="B15" i="6"/>
  <c r="B17" i="6"/>
  <c r="B18" i="6"/>
  <c r="B20" i="6"/>
  <c r="B21" i="6"/>
  <c r="B22" i="6"/>
  <c r="B24" i="6"/>
  <c r="B25" i="6"/>
  <c r="B26" i="6"/>
  <c r="B27" i="6"/>
  <c r="B28" i="6"/>
  <c r="B29" i="6"/>
  <c r="B30" i="6"/>
  <c r="B31" i="6"/>
  <c r="B32" i="6"/>
  <c r="B34" i="6"/>
  <c r="B36" i="6"/>
  <c r="B37" i="6"/>
  <c r="B38" i="6"/>
  <c r="B40" i="6"/>
  <c r="B41" i="6"/>
  <c r="B42" i="6"/>
  <c r="B43" i="6"/>
  <c r="B44" i="6"/>
  <c r="B45" i="6"/>
  <c r="B46" i="6"/>
  <c r="B47" i="6"/>
  <c r="B48" i="6"/>
  <c r="B49" i="6"/>
  <c r="B50" i="6"/>
  <c r="B51" i="6"/>
  <c r="B54" i="6"/>
  <c r="B57" i="6"/>
  <c r="B58" i="6"/>
  <c r="B59" i="6"/>
  <c r="B60" i="6"/>
  <c r="B61" i="6"/>
  <c r="B62" i="6"/>
  <c r="B63" i="6"/>
  <c r="B64" i="6"/>
  <c r="B66" i="6"/>
  <c r="B67" i="6"/>
  <c r="B68" i="6"/>
  <c r="B69" i="6"/>
  <c r="B70" i="6"/>
  <c r="B71" i="6"/>
  <c r="B72" i="6"/>
  <c r="B73" i="6"/>
  <c r="B74" i="6"/>
  <c r="B76" i="6"/>
  <c r="B77" i="6"/>
  <c r="B78" i="6"/>
  <c r="B81" i="6"/>
  <c r="B80" i="6"/>
  <c r="B83" i="6"/>
  <c r="B84" i="6"/>
  <c r="B85" i="6"/>
  <c r="B87" i="6"/>
  <c r="B88" i="6"/>
  <c r="B89" i="6"/>
  <c r="B90" i="6"/>
  <c r="B91" i="6"/>
  <c r="B92" i="6"/>
  <c r="B94" i="6"/>
  <c r="B95" i="6"/>
  <c r="B96" i="6"/>
  <c r="B98" i="6"/>
  <c r="B99" i="6"/>
  <c r="B100" i="6"/>
  <c r="B101" i="6"/>
  <c r="B102" i="6"/>
  <c r="B103" i="6"/>
  <c r="B104" i="6"/>
  <c r="B105" i="6"/>
  <c r="B106" i="6"/>
  <c r="B107" i="6"/>
  <c r="B108" i="6"/>
  <c r="B110" i="6"/>
  <c r="B111" i="6"/>
  <c r="B112" i="6"/>
  <c r="B113" i="6"/>
  <c r="B114" i="6"/>
  <c r="B115" i="6"/>
  <c r="B116" i="6"/>
  <c r="B118" i="6"/>
  <c r="B119" i="6"/>
  <c r="B123" i="6"/>
  <c r="B125" i="6"/>
  <c r="B126" i="6"/>
  <c r="B127" i="6"/>
  <c r="B128" i="6"/>
  <c r="B129" i="6"/>
  <c r="B130" i="6"/>
  <c r="B131" i="6"/>
  <c r="B132" i="6"/>
  <c r="B133" i="6"/>
  <c r="B137" i="6"/>
  <c r="B138" i="6"/>
  <c r="B139" i="6"/>
  <c r="B141" i="6"/>
  <c r="B142" i="6"/>
  <c r="B143" i="6"/>
  <c r="B144" i="6"/>
  <c r="B145" i="6"/>
  <c r="B146" i="6"/>
  <c r="B147" i="6"/>
  <c r="B148" i="6"/>
  <c r="B149" i="6"/>
  <c r="B150" i="6"/>
  <c r="B151" i="6"/>
  <c r="B152" i="6"/>
  <c r="B153" i="6"/>
  <c r="B155" i="6"/>
  <c r="B156" i="6"/>
  <c r="B157" i="6"/>
  <c r="B158" i="6"/>
  <c r="B159" i="6"/>
  <c r="B161" i="6"/>
  <c r="B162" i="6"/>
  <c r="B163" i="6"/>
  <c r="B164" i="6"/>
  <c r="B165" i="6"/>
  <c r="B166" i="6"/>
  <c r="B167" i="6"/>
  <c r="B169" i="6"/>
  <c r="B275" i="6"/>
  <c r="B170" i="6"/>
  <c r="B171" i="6"/>
  <c r="B172" i="6"/>
  <c r="B173" i="6"/>
  <c r="B175" i="6"/>
  <c r="B176" i="6"/>
  <c r="B177" i="6"/>
  <c r="B178" i="6"/>
  <c r="B179" i="6"/>
  <c r="B180" i="6"/>
  <c r="B181" i="6"/>
  <c r="B182" i="6"/>
  <c r="B183" i="6"/>
  <c r="B184" i="6"/>
  <c r="B186" i="6"/>
  <c r="B188" i="6"/>
  <c r="B189" i="6"/>
  <c r="B190" i="6"/>
  <c r="B191" i="6"/>
  <c r="B192" i="6"/>
  <c r="B193" i="6"/>
  <c r="B194" i="6"/>
  <c r="B195" i="6"/>
  <c r="B196" i="6"/>
  <c r="B197" i="6"/>
  <c r="B198" i="6"/>
  <c r="B201" i="6"/>
  <c r="B202" i="6"/>
  <c r="B203" i="6"/>
  <c r="B204" i="6"/>
  <c r="B205" i="6"/>
  <c r="B207" i="6"/>
  <c r="B208" i="6"/>
  <c r="B209" i="6"/>
  <c r="B210" i="6"/>
  <c r="B211" i="6"/>
  <c r="B212" i="6"/>
  <c r="B216" i="6"/>
  <c r="B217" i="6"/>
  <c r="B218" i="6"/>
  <c r="B219" i="6"/>
  <c r="B220" i="6"/>
  <c r="B221" i="6"/>
  <c r="B223" i="6"/>
  <c r="B224" i="6"/>
  <c r="B225" i="6"/>
  <c r="B226" i="6"/>
  <c r="B229" i="6"/>
  <c r="B230" i="6"/>
  <c r="B231" i="6"/>
  <c r="B233" i="6"/>
  <c r="B234" i="6"/>
  <c r="B235" i="6"/>
  <c r="B236" i="6"/>
  <c r="B237" i="6"/>
  <c r="B238" i="6"/>
  <c r="B239" i="6"/>
  <c r="B240" i="6"/>
  <c r="B241" i="6"/>
  <c r="B242" i="6"/>
  <c r="B243" i="6"/>
  <c r="B244" i="6"/>
  <c r="B245" i="6"/>
  <c r="B248" i="6"/>
  <c r="B249" i="6"/>
  <c r="B250" i="6"/>
  <c r="B251" i="6"/>
  <c r="B252" i="6"/>
  <c r="B255" i="6"/>
  <c r="B256" i="6"/>
  <c r="B259" i="6"/>
  <c r="B260" i="6"/>
  <c r="B261" i="6"/>
  <c r="B262" i="6"/>
  <c r="B263" i="6"/>
  <c r="B267" i="6"/>
  <c r="B268" i="6"/>
  <c r="B269" i="6"/>
  <c r="B270" i="6"/>
  <c r="B271" i="6"/>
  <c r="B272" i="6"/>
  <c r="B273" i="6"/>
  <c r="B274" i="6"/>
  <c r="B276" i="6"/>
  <c r="B277" i="6"/>
  <c r="B278" i="6"/>
  <c r="B280" i="6"/>
  <c r="B281" i="6"/>
  <c r="B283" i="6"/>
  <c r="B285" i="6"/>
  <c r="B286" i="6"/>
  <c r="B287" i="6"/>
  <c r="B288" i="6"/>
  <c r="B289" i="6"/>
  <c r="B290" i="6"/>
  <c r="B292" i="6"/>
  <c r="B293" i="6"/>
  <c r="B295" i="6"/>
  <c r="BX12" i="2" l="1"/>
  <c r="O3" i="20" l="1"/>
  <c r="O4" i="20"/>
  <c r="O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CH3" i="20" l="1"/>
  <c r="CG293" i="20"/>
  <c r="CE293" i="20"/>
  <c r="CC293" i="20"/>
  <c r="CB293" i="20"/>
  <c r="CA293" i="20"/>
  <c r="BZ293" i="20"/>
  <c r="BY293" i="20"/>
  <c r="BX293" i="20"/>
  <c r="BW293" i="20"/>
  <c r="BV293" i="20"/>
  <c r="BU293" i="20"/>
  <c r="BT293" i="20"/>
  <c r="BN293" i="20"/>
  <c r="BM293" i="20"/>
  <c r="BK293" i="20"/>
  <c r="BJ293" i="20"/>
  <c r="BI293" i="20"/>
  <c r="BG293" i="20"/>
  <c r="BF293" i="20"/>
  <c r="BE293" i="20"/>
  <c r="BD293" i="20"/>
  <c r="BC293" i="20"/>
  <c r="BB293" i="20"/>
  <c r="AZ293" i="20"/>
  <c r="AY293" i="20"/>
  <c r="AX293" i="20"/>
  <c r="AW293" i="20"/>
  <c r="AV293" i="20"/>
  <c r="AU293" i="20"/>
  <c r="AS293" i="20"/>
  <c r="AR293" i="20"/>
  <c r="AQ293" i="20"/>
  <c r="AP293" i="20"/>
  <c r="AO293" i="20"/>
  <c r="AN293" i="20"/>
  <c r="AL293" i="20"/>
  <c r="AK293" i="20"/>
  <c r="AJ293" i="20"/>
  <c r="AI293" i="20"/>
  <c r="AH293" i="20"/>
  <c r="AG293" i="20"/>
  <c r="AE293" i="20"/>
  <c r="AD293" i="20"/>
  <c r="AB293" i="20"/>
  <c r="AA293" i="20"/>
  <c r="Z293" i="20"/>
  <c r="Y293" i="20"/>
  <c r="X293" i="20"/>
  <c r="W293" i="20"/>
  <c r="V293" i="20"/>
  <c r="T293" i="20"/>
  <c r="S293" i="20"/>
  <c r="R293" i="20"/>
  <c r="Q293" i="20"/>
  <c r="E293" i="20"/>
  <c r="D293" i="20"/>
  <c r="CG292" i="20"/>
  <c r="CE292" i="20"/>
  <c r="CC292" i="20"/>
  <c r="CB292" i="20"/>
  <c r="CA292" i="20"/>
  <c r="BZ292" i="20"/>
  <c r="BY292" i="20"/>
  <c r="BX292" i="20"/>
  <c r="BW292" i="20"/>
  <c r="BV292" i="20"/>
  <c r="BU292" i="20"/>
  <c r="BT292" i="20"/>
  <c r="BN292" i="20"/>
  <c r="BM292" i="20"/>
  <c r="BK292" i="20"/>
  <c r="BJ292" i="20"/>
  <c r="BI292" i="20"/>
  <c r="BG292" i="20"/>
  <c r="BF292" i="20"/>
  <c r="BE292" i="20"/>
  <c r="BD292" i="20"/>
  <c r="BC292" i="20"/>
  <c r="BB292" i="20"/>
  <c r="AZ292" i="20"/>
  <c r="AY292" i="20"/>
  <c r="AX292" i="20"/>
  <c r="AW292" i="20"/>
  <c r="AV292" i="20"/>
  <c r="AU292" i="20"/>
  <c r="AS292" i="20"/>
  <c r="AR292" i="20"/>
  <c r="AQ292" i="20"/>
  <c r="AP292" i="20"/>
  <c r="AO292" i="20"/>
  <c r="AN292" i="20"/>
  <c r="AL292" i="20"/>
  <c r="AK292" i="20"/>
  <c r="AJ292" i="20"/>
  <c r="AI292" i="20"/>
  <c r="AH292" i="20"/>
  <c r="AG292" i="20"/>
  <c r="AE292" i="20"/>
  <c r="AD292" i="20"/>
  <c r="AB292" i="20"/>
  <c r="AA292" i="20"/>
  <c r="Z292" i="20"/>
  <c r="Y292" i="20"/>
  <c r="X292" i="20"/>
  <c r="W292" i="20"/>
  <c r="V292" i="20"/>
  <c r="T292" i="20"/>
  <c r="S292" i="20"/>
  <c r="R292" i="20"/>
  <c r="Q292" i="20"/>
  <c r="E292" i="20"/>
  <c r="D292" i="20"/>
  <c r="CG291" i="20"/>
  <c r="CE291" i="20"/>
  <c r="CC291" i="20"/>
  <c r="CB291" i="20"/>
  <c r="CA291" i="20"/>
  <c r="BZ291" i="20"/>
  <c r="BY291" i="20"/>
  <c r="BX291" i="20"/>
  <c r="BW291" i="20"/>
  <c r="BV291" i="20"/>
  <c r="BU291" i="20"/>
  <c r="BT291" i="20"/>
  <c r="BN291" i="20"/>
  <c r="BM291" i="20"/>
  <c r="BK291" i="20"/>
  <c r="BJ291" i="20"/>
  <c r="BI291" i="20"/>
  <c r="BG291" i="20"/>
  <c r="BF291" i="20"/>
  <c r="BE291" i="20"/>
  <c r="BD291" i="20"/>
  <c r="BC291" i="20"/>
  <c r="BB291" i="20"/>
  <c r="AZ291" i="20"/>
  <c r="AY291" i="20"/>
  <c r="AX291" i="20"/>
  <c r="AW291" i="20"/>
  <c r="AV291" i="20"/>
  <c r="AU291" i="20"/>
  <c r="AS291" i="20"/>
  <c r="AR291" i="20"/>
  <c r="AQ291" i="20"/>
  <c r="AP291" i="20"/>
  <c r="AO291" i="20"/>
  <c r="AN291" i="20"/>
  <c r="AL291" i="20"/>
  <c r="AK291" i="20"/>
  <c r="AJ291" i="20"/>
  <c r="AI291" i="20"/>
  <c r="AH291" i="20"/>
  <c r="AG291" i="20"/>
  <c r="AE291" i="20"/>
  <c r="AD291" i="20"/>
  <c r="AB291" i="20"/>
  <c r="AA291" i="20"/>
  <c r="Z291" i="20"/>
  <c r="Y291" i="20"/>
  <c r="X291" i="20"/>
  <c r="W291" i="20"/>
  <c r="V291" i="20"/>
  <c r="T291" i="20"/>
  <c r="S291" i="20"/>
  <c r="R291" i="20"/>
  <c r="Q291" i="20"/>
  <c r="E291" i="20"/>
  <c r="D291" i="20"/>
  <c r="CG290" i="20"/>
  <c r="CE290" i="20"/>
  <c r="CC290" i="20"/>
  <c r="CB290" i="20"/>
  <c r="CA290" i="20"/>
  <c r="BZ290" i="20"/>
  <c r="BY290" i="20"/>
  <c r="BX290" i="20"/>
  <c r="BW290" i="20"/>
  <c r="BV290" i="20"/>
  <c r="BU290" i="20"/>
  <c r="BT290" i="20"/>
  <c r="BN290" i="20"/>
  <c r="BM290" i="20"/>
  <c r="BK290" i="20"/>
  <c r="BJ290" i="20"/>
  <c r="BI290" i="20"/>
  <c r="BG290" i="20"/>
  <c r="BF290" i="20"/>
  <c r="BE290" i="20"/>
  <c r="BD290" i="20"/>
  <c r="BC290" i="20"/>
  <c r="BB290" i="20"/>
  <c r="AZ290" i="20"/>
  <c r="AY290" i="20"/>
  <c r="AX290" i="20"/>
  <c r="AW290" i="20"/>
  <c r="AV290" i="20"/>
  <c r="AU290" i="20"/>
  <c r="AS290" i="20"/>
  <c r="AR290" i="20"/>
  <c r="AQ290" i="20"/>
  <c r="AP290" i="20"/>
  <c r="AO290" i="20"/>
  <c r="AN290" i="20"/>
  <c r="AL290" i="20"/>
  <c r="AK290" i="20"/>
  <c r="AJ290" i="20"/>
  <c r="AI290" i="20"/>
  <c r="AH290" i="20"/>
  <c r="AG290" i="20"/>
  <c r="AE290" i="20"/>
  <c r="AD290" i="20"/>
  <c r="AB290" i="20"/>
  <c r="AA290" i="20"/>
  <c r="Z290" i="20"/>
  <c r="Y290" i="20"/>
  <c r="X290" i="20"/>
  <c r="W290" i="20"/>
  <c r="V290" i="20"/>
  <c r="T290" i="20"/>
  <c r="S290" i="20"/>
  <c r="R290" i="20"/>
  <c r="Q290" i="20"/>
  <c r="E290" i="20"/>
  <c r="D290" i="20"/>
  <c r="CG289" i="20"/>
  <c r="CE289" i="20"/>
  <c r="CC289" i="20"/>
  <c r="CB289" i="20"/>
  <c r="CA289" i="20"/>
  <c r="BZ289" i="20"/>
  <c r="BY289" i="20"/>
  <c r="BX289" i="20"/>
  <c r="BW289" i="20"/>
  <c r="BV289" i="20"/>
  <c r="BU289" i="20"/>
  <c r="BT289" i="20"/>
  <c r="BN289" i="20"/>
  <c r="BM289" i="20"/>
  <c r="BK289" i="20"/>
  <c r="BJ289" i="20"/>
  <c r="BI289" i="20"/>
  <c r="BG289" i="20"/>
  <c r="BF289" i="20"/>
  <c r="BE289" i="20"/>
  <c r="BD289" i="20"/>
  <c r="BC289" i="20"/>
  <c r="BB289" i="20"/>
  <c r="AZ289" i="20"/>
  <c r="AY289" i="20"/>
  <c r="AX289" i="20"/>
  <c r="AW289" i="20"/>
  <c r="AV289" i="20"/>
  <c r="AU289" i="20"/>
  <c r="AS289" i="20"/>
  <c r="AR289" i="20"/>
  <c r="AQ289" i="20"/>
  <c r="AP289" i="20"/>
  <c r="AO289" i="20"/>
  <c r="AN289" i="20"/>
  <c r="AL289" i="20"/>
  <c r="AK289" i="20"/>
  <c r="AJ289" i="20"/>
  <c r="AI289" i="20"/>
  <c r="AH289" i="20"/>
  <c r="AG289" i="20"/>
  <c r="AE289" i="20"/>
  <c r="AD289" i="20"/>
  <c r="AB289" i="20"/>
  <c r="AA289" i="20"/>
  <c r="Z289" i="20"/>
  <c r="Y289" i="20"/>
  <c r="X289" i="20"/>
  <c r="W289" i="20"/>
  <c r="V289" i="20"/>
  <c r="T289" i="20"/>
  <c r="S289" i="20"/>
  <c r="R289" i="20"/>
  <c r="Q289" i="20"/>
  <c r="E289" i="20"/>
  <c r="D289" i="20"/>
  <c r="CG288" i="20"/>
  <c r="CE288" i="20"/>
  <c r="CC288" i="20"/>
  <c r="CB288" i="20"/>
  <c r="CA288" i="20"/>
  <c r="BZ288" i="20"/>
  <c r="BY288" i="20"/>
  <c r="BX288" i="20"/>
  <c r="BW288" i="20"/>
  <c r="BV288" i="20"/>
  <c r="BU288" i="20"/>
  <c r="BT288" i="20"/>
  <c r="BN288" i="20"/>
  <c r="BM288" i="20"/>
  <c r="BK288" i="20"/>
  <c r="BJ288" i="20"/>
  <c r="BI288" i="20"/>
  <c r="BG288" i="20"/>
  <c r="BF288" i="20"/>
  <c r="BE288" i="20"/>
  <c r="BD288" i="20"/>
  <c r="BC288" i="20"/>
  <c r="BB288" i="20"/>
  <c r="AZ288" i="20"/>
  <c r="AY288" i="20"/>
  <c r="AX288" i="20"/>
  <c r="AW288" i="20"/>
  <c r="AV288" i="20"/>
  <c r="AU288" i="20"/>
  <c r="AS288" i="20"/>
  <c r="AR288" i="20"/>
  <c r="AQ288" i="20"/>
  <c r="AP288" i="20"/>
  <c r="AO288" i="20"/>
  <c r="AN288" i="20"/>
  <c r="AL288" i="20"/>
  <c r="AK288" i="20"/>
  <c r="AJ288" i="20"/>
  <c r="AI288" i="20"/>
  <c r="AH288" i="20"/>
  <c r="AG288" i="20"/>
  <c r="AE288" i="20"/>
  <c r="AD288" i="20"/>
  <c r="AB288" i="20"/>
  <c r="AA288" i="20"/>
  <c r="Z288" i="20"/>
  <c r="Y288" i="20"/>
  <c r="X288" i="20"/>
  <c r="W288" i="20"/>
  <c r="V288" i="20"/>
  <c r="T288" i="20"/>
  <c r="S288" i="20"/>
  <c r="R288" i="20"/>
  <c r="Q288" i="20"/>
  <c r="E288" i="20"/>
  <c r="D288" i="20"/>
  <c r="CG287" i="20"/>
  <c r="CE287" i="20"/>
  <c r="CC287" i="20"/>
  <c r="CB287" i="20"/>
  <c r="CA287" i="20"/>
  <c r="BZ287" i="20"/>
  <c r="BY287" i="20"/>
  <c r="BX287" i="20"/>
  <c r="BW287" i="20"/>
  <c r="BV287" i="20"/>
  <c r="BU287" i="20"/>
  <c r="BT287" i="20"/>
  <c r="BN287" i="20"/>
  <c r="BM287" i="20"/>
  <c r="BK287" i="20"/>
  <c r="BJ287" i="20"/>
  <c r="BI287" i="20"/>
  <c r="BG287" i="20"/>
  <c r="BF287" i="20"/>
  <c r="BE287" i="20"/>
  <c r="BD287" i="20"/>
  <c r="BC287" i="20"/>
  <c r="BB287" i="20"/>
  <c r="AZ287" i="20"/>
  <c r="AY287" i="20"/>
  <c r="AX287" i="20"/>
  <c r="AW287" i="20"/>
  <c r="AV287" i="20"/>
  <c r="AU287" i="20"/>
  <c r="AS287" i="20"/>
  <c r="AR287" i="20"/>
  <c r="AQ287" i="20"/>
  <c r="AP287" i="20"/>
  <c r="AO287" i="20"/>
  <c r="AN287" i="20"/>
  <c r="AL287" i="20"/>
  <c r="AK287" i="20"/>
  <c r="AJ287" i="20"/>
  <c r="AI287" i="20"/>
  <c r="AH287" i="20"/>
  <c r="AG287" i="20"/>
  <c r="AE287" i="20"/>
  <c r="AD287" i="20"/>
  <c r="AB287" i="20"/>
  <c r="AA287" i="20"/>
  <c r="Z287" i="20"/>
  <c r="Y287" i="20"/>
  <c r="X287" i="20"/>
  <c r="W287" i="20"/>
  <c r="V287" i="20"/>
  <c r="T287" i="20"/>
  <c r="S287" i="20"/>
  <c r="R287" i="20"/>
  <c r="Q287" i="20"/>
  <c r="E287" i="20"/>
  <c r="D287" i="20"/>
  <c r="CG286" i="20"/>
  <c r="CE286" i="20"/>
  <c r="CC286" i="20"/>
  <c r="CB286" i="20"/>
  <c r="CA286" i="20"/>
  <c r="BZ286" i="20"/>
  <c r="BY286" i="20"/>
  <c r="BX286" i="20"/>
  <c r="BW286" i="20"/>
  <c r="BV286" i="20"/>
  <c r="BU286" i="20"/>
  <c r="BT286" i="20"/>
  <c r="BN286" i="20"/>
  <c r="BM286" i="20"/>
  <c r="BK286" i="20"/>
  <c r="BJ286" i="20"/>
  <c r="BI286" i="20"/>
  <c r="BG286" i="20"/>
  <c r="BF286" i="20"/>
  <c r="BE286" i="20"/>
  <c r="BD286" i="20"/>
  <c r="BC286" i="20"/>
  <c r="BB286" i="20"/>
  <c r="AZ286" i="20"/>
  <c r="AY286" i="20"/>
  <c r="AX286" i="20"/>
  <c r="AW286" i="20"/>
  <c r="AV286" i="20"/>
  <c r="AU286" i="20"/>
  <c r="AS286" i="20"/>
  <c r="AR286" i="20"/>
  <c r="AQ286" i="20"/>
  <c r="AP286" i="20"/>
  <c r="AO286" i="20"/>
  <c r="AN286" i="20"/>
  <c r="AL286" i="20"/>
  <c r="AK286" i="20"/>
  <c r="AJ286" i="20"/>
  <c r="AI286" i="20"/>
  <c r="AH286" i="20"/>
  <c r="AG286" i="20"/>
  <c r="AE286" i="20"/>
  <c r="AD286" i="20"/>
  <c r="AB286" i="20"/>
  <c r="AA286" i="20"/>
  <c r="Z286" i="20"/>
  <c r="Y286" i="20"/>
  <c r="X286" i="20"/>
  <c r="W286" i="20"/>
  <c r="V286" i="20"/>
  <c r="T286" i="20"/>
  <c r="S286" i="20"/>
  <c r="R286" i="20"/>
  <c r="Q286" i="20"/>
  <c r="E286" i="20"/>
  <c r="D286" i="20"/>
  <c r="CG285" i="20"/>
  <c r="CE285" i="20"/>
  <c r="CC285" i="20"/>
  <c r="CB285" i="20"/>
  <c r="CA285" i="20"/>
  <c r="BZ285" i="20"/>
  <c r="BY285" i="20"/>
  <c r="BX285" i="20"/>
  <c r="BW285" i="20"/>
  <c r="BV285" i="20"/>
  <c r="BU285" i="20"/>
  <c r="BT285" i="20"/>
  <c r="BN285" i="20"/>
  <c r="BM285" i="20"/>
  <c r="BK285" i="20"/>
  <c r="BJ285" i="20"/>
  <c r="BI285" i="20"/>
  <c r="BG285" i="20"/>
  <c r="BF285" i="20"/>
  <c r="BE285" i="20"/>
  <c r="BD285" i="20"/>
  <c r="BC285" i="20"/>
  <c r="BB285" i="20"/>
  <c r="AZ285" i="20"/>
  <c r="AY285" i="20"/>
  <c r="AX285" i="20"/>
  <c r="AW285" i="20"/>
  <c r="AV285" i="20"/>
  <c r="AU285" i="20"/>
  <c r="AS285" i="20"/>
  <c r="AR285" i="20"/>
  <c r="AQ285" i="20"/>
  <c r="AP285" i="20"/>
  <c r="AO285" i="20"/>
  <c r="AN285" i="20"/>
  <c r="AL285" i="20"/>
  <c r="AK285" i="20"/>
  <c r="AJ285" i="20"/>
  <c r="AI285" i="20"/>
  <c r="AH285" i="20"/>
  <c r="AG285" i="20"/>
  <c r="AE285" i="20"/>
  <c r="AD285" i="20"/>
  <c r="AB285" i="20"/>
  <c r="AA285" i="20"/>
  <c r="Z285" i="20"/>
  <c r="Y285" i="20"/>
  <c r="X285" i="20"/>
  <c r="W285" i="20"/>
  <c r="V285" i="20"/>
  <c r="T285" i="20"/>
  <c r="S285" i="20"/>
  <c r="R285" i="20"/>
  <c r="Q285" i="20"/>
  <c r="E285" i="20"/>
  <c r="D285" i="20"/>
  <c r="CG284" i="20"/>
  <c r="CE284" i="20"/>
  <c r="CC284" i="20"/>
  <c r="CB284" i="20"/>
  <c r="CA284" i="20"/>
  <c r="BZ284" i="20"/>
  <c r="BY284" i="20"/>
  <c r="BX284" i="20"/>
  <c r="BW284" i="20"/>
  <c r="BV284" i="20"/>
  <c r="BU284" i="20"/>
  <c r="BT284" i="20"/>
  <c r="BN284" i="20"/>
  <c r="BM284" i="20"/>
  <c r="BK284" i="20"/>
  <c r="BJ284" i="20"/>
  <c r="BI284" i="20"/>
  <c r="BG284" i="20"/>
  <c r="BF284" i="20"/>
  <c r="BE284" i="20"/>
  <c r="BD284" i="20"/>
  <c r="BC284" i="20"/>
  <c r="BB284" i="20"/>
  <c r="AZ284" i="20"/>
  <c r="AY284" i="20"/>
  <c r="AX284" i="20"/>
  <c r="AW284" i="20"/>
  <c r="AV284" i="20"/>
  <c r="AU284" i="20"/>
  <c r="AS284" i="20"/>
  <c r="AR284" i="20"/>
  <c r="AQ284" i="20"/>
  <c r="AP284" i="20"/>
  <c r="AO284" i="20"/>
  <c r="AN284" i="20"/>
  <c r="AL284" i="20"/>
  <c r="AK284" i="20"/>
  <c r="AJ284" i="20"/>
  <c r="AI284" i="20"/>
  <c r="AH284" i="20"/>
  <c r="AG284" i="20"/>
  <c r="AE284" i="20"/>
  <c r="AD284" i="20"/>
  <c r="AB284" i="20"/>
  <c r="AA284" i="20"/>
  <c r="Z284" i="20"/>
  <c r="Y284" i="20"/>
  <c r="X284" i="20"/>
  <c r="W284" i="20"/>
  <c r="V284" i="20"/>
  <c r="T284" i="20"/>
  <c r="S284" i="20"/>
  <c r="R284" i="20"/>
  <c r="Q284" i="20"/>
  <c r="E284" i="20"/>
  <c r="D284" i="20"/>
  <c r="CG283" i="20"/>
  <c r="CE283" i="20"/>
  <c r="CC283" i="20"/>
  <c r="CB283" i="20"/>
  <c r="CA283" i="20"/>
  <c r="BZ283" i="20"/>
  <c r="BY283" i="20"/>
  <c r="BX283" i="20"/>
  <c r="BW283" i="20"/>
  <c r="BV283" i="20"/>
  <c r="BU283" i="20"/>
  <c r="BT283" i="20"/>
  <c r="BN283" i="20"/>
  <c r="BM283" i="20"/>
  <c r="BK283" i="20"/>
  <c r="BJ283" i="20"/>
  <c r="BI283" i="20"/>
  <c r="BG283" i="20"/>
  <c r="BF283" i="20"/>
  <c r="BE283" i="20"/>
  <c r="BD283" i="20"/>
  <c r="BC283" i="20"/>
  <c r="BB283" i="20"/>
  <c r="AZ283" i="20"/>
  <c r="AY283" i="20"/>
  <c r="AX283" i="20"/>
  <c r="AW283" i="20"/>
  <c r="AV283" i="20"/>
  <c r="AU283" i="20"/>
  <c r="AS283" i="20"/>
  <c r="AR283" i="20"/>
  <c r="AQ283" i="20"/>
  <c r="AP283" i="20"/>
  <c r="AO283" i="20"/>
  <c r="AN283" i="20"/>
  <c r="AL283" i="20"/>
  <c r="AK283" i="20"/>
  <c r="AJ283" i="20"/>
  <c r="AI283" i="20"/>
  <c r="AH283" i="20"/>
  <c r="AG283" i="20"/>
  <c r="AE283" i="20"/>
  <c r="AD283" i="20"/>
  <c r="AB283" i="20"/>
  <c r="AA283" i="20"/>
  <c r="Z283" i="20"/>
  <c r="Y283" i="20"/>
  <c r="X283" i="20"/>
  <c r="W283" i="20"/>
  <c r="V283" i="20"/>
  <c r="T283" i="20"/>
  <c r="S283" i="20"/>
  <c r="R283" i="20"/>
  <c r="Q283" i="20"/>
  <c r="E283" i="20"/>
  <c r="D283" i="20"/>
  <c r="CG282" i="20"/>
  <c r="CE282" i="20"/>
  <c r="CC282" i="20"/>
  <c r="CB282" i="20"/>
  <c r="CA282" i="20"/>
  <c r="BZ282" i="20"/>
  <c r="BY282" i="20"/>
  <c r="BX282" i="20"/>
  <c r="BW282" i="20"/>
  <c r="BV282" i="20"/>
  <c r="BU282" i="20"/>
  <c r="BT282" i="20"/>
  <c r="BN282" i="20"/>
  <c r="BM282" i="20"/>
  <c r="BK282" i="20"/>
  <c r="BJ282" i="20"/>
  <c r="BI282" i="20"/>
  <c r="BG282" i="20"/>
  <c r="BF282" i="20"/>
  <c r="BE282" i="20"/>
  <c r="BD282" i="20"/>
  <c r="BC282" i="20"/>
  <c r="BB282" i="20"/>
  <c r="AZ282" i="20"/>
  <c r="AY282" i="20"/>
  <c r="AX282" i="20"/>
  <c r="AW282" i="20"/>
  <c r="AV282" i="20"/>
  <c r="AU282" i="20"/>
  <c r="AS282" i="20"/>
  <c r="AR282" i="20"/>
  <c r="AQ282" i="20"/>
  <c r="AP282" i="20"/>
  <c r="AO282" i="20"/>
  <c r="AN282" i="20"/>
  <c r="AL282" i="20"/>
  <c r="AK282" i="20"/>
  <c r="AJ282" i="20"/>
  <c r="AI282" i="20"/>
  <c r="AH282" i="20"/>
  <c r="AG282" i="20"/>
  <c r="AE282" i="20"/>
  <c r="AD282" i="20"/>
  <c r="AB282" i="20"/>
  <c r="AA282" i="20"/>
  <c r="Z282" i="20"/>
  <c r="Y282" i="20"/>
  <c r="X282" i="20"/>
  <c r="W282" i="20"/>
  <c r="V282" i="20"/>
  <c r="T282" i="20"/>
  <c r="S282" i="20"/>
  <c r="R282" i="20"/>
  <c r="Q282" i="20"/>
  <c r="E282" i="20"/>
  <c r="D282" i="20"/>
  <c r="CG281" i="20"/>
  <c r="CE281" i="20"/>
  <c r="CC281" i="20"/>
  <c r="CB281" i="20"/>
  <c r="CA281" i="20"/>
  <c r="BZ281" i="20"/>
  <c r="BY281" i="20"/>
  <c r="BX281" i="20"/>
  <c r="BW281" i="20"/>
  <c r="BV281" i="20"/>
  <c r="BU281" i="20"/>
  <c r="BT281" i="20"/>
  <c r="BN281" i="20"/>
  <c r="BM281" i="20"/>
  <c r="BK281" i="20"/>
  <c r="BJ281" i="20"/>
  <c r="BI281" i="20"/>
  <c r="BG281" i="20"/>
  <c r="BF281" i="20"/>
  <c r="BE281" i="20"/>
  <c r="BD281" i="20"/>
  <c r="BC281" i="20"/>
  <c r="BB281" i="20"/>
  <c r="AZ281" i="20"/>
  <c r="AY281" i="20"/>
  <c r="AX281" i="20"/>
  <c r="AW281" i="20"/>
  <c r="AV281" i="20"/>
  <c r="AU281" i="20"/>
  <c r="AS281" i="20"/>
  <c r="AR281" i="20"/>
  <c r="AQ281" i="20"/>
  <c r="AP281" i="20"/>
  <c r="AO281" i="20"/>
  <c r="AN281" i="20"/>
  <c r="AL281" i="20"/>
  <c r="AK281" i="20"/>
  <c r="AJ281" i="20"/>
  <c r="AI281" i="20"/>
  <c r="AH281" i="20"/>
  <c r="AG281" i="20"/>
  <c r="AE281" i="20"/>
  <c r="AD281" i="20"/>
  <c r="AB281" i="20"/>
  <c r="AA281" i="20"/>
  <c r="Z281" i="20"/>
  <c r="Y281" i="20"/>
  <c r="X281" i="20"/>
  <c r="W281" i="20"/>
  <c r="V281" i="20"/>
  <c r="T281" i="20"/>
  <c r="S281" i="20"/>
  <c r="R281" i="20"/>
  <c r="Q281" i="20"/>
  <c r="E281" i="20"/>
  <c r="D281" i="20"/>
  <c r="CG280" i="20"/>
  <c r="CE280" i="20"/>
  <c r="CC280" i="20"/>
  <c r="CB280" i="20"/>
  <c r="CA280" i="20"/>
  <c r="BZ280" i="20"/>
  <c r="BY280" i="20"/>
  <c r="BX280" i="20"/>
  <c r="BW280" i="20"/>
  <c r="BV280" i="20"/>
  <c r="BU280" i="20"/>
  <c r="BT280" i="20"/>
  <c r="BN280" i="20"/>
  <c r="BM280" i="20"/>
  <c r="BK280" i="20"/>
  <c r="BJ280" i="20"/>
  <c r="BI280" i="20"/>
  <c r="BG280" i="20"/>
  <c r="BF280" i="20"/>
  <c r="BE280" i="20"/>
  <c r="BD280" i="20"/>
  <c r="BC280" i="20"/>
  <c r="BB280" i="20"/>
  <c r="AZ280" i="20"/>
  <c r="AY280" i="20"/>
  <c r="AX280" i="20"/>
  <c r="AW280" i="20"/>
  <c r="AV280" i="20"/>
  <c r="AU280" i="20"/>
  <c r="AS280" i="20"/>
  <c r="AR280" i="20"/>
  <c r="AQ280" i="20"/>
  <c r="AP280" i="20"/>
  <c r="AO280" i="20"/>
  <c r="AN280" i="20"/>
  <c r="AL280" i="20"/>
  <c r="AK280" i="20"/>
  <c r="AJ280" i="20"/>
  <c r="AI280" i="20"/>
  <c r="AH280" i="20"/>
  <c r="AG280" i="20"/>
  <c r="AE280" i="20"/>
  <c r="AD280" i="20"/>
  <c r="AB280" i="20"/>
  <c r="AA280" i="20"/>
  <c r="Z280" i="20"/>
  <c r="Y280" i="20"/>
  <c r="X280" i="20"/>
  <c r="W280" i="20"/>
  <c r="V280" i="20"/>
  <c r="T280" i="20"/>
  <c r="S280" i="20"/>
  <c r="R280" i="20"/>
  <c r="Q280" i="20"/>
  <c r="E280" i="20"/>
  <c r="D280" i="20"/>
  <c r="CG279" i="20"/>
  <c r="CE279" i="20"/>
  <c r="CC279" i="20"/>
  <c r="CB279" i="20"/>
  <c r="CA279" i="20"/>
  <c r="BZ279" i="20"/>
  <c r="BY279" i="20"/>
  <c r="BX279" i="20"/>
  <c r="BW279" i="20"/>
  <c r="BV279" i="20"/>
  <c r="BU279" i="20"/>
  <c r="BT279" i="20"/>
  <c r="BN279" i="20"/>
  <c r="BM279" i="20"/>
  <c r="BK279" i="20"/>
  <c r="BJ279" i="20"/>
  <c r="BI279" i="20"/>
  <c r="BG279" i="20"/>
  <c r="BF279" i="20"/>
  <c r="BE279" i="20"/>
  <c r="BD279" i="20"/>
  <c r="BC279" i="20"/>
  <c r="BB279" i="20"/>
  <c r="AZ279" i="20"/>
  <c r="AY279" i="20"/>
  <c r="AX279" i="20"/>
  <c r="AW279" i="20"/>
  <c r="AV279" i="20"/>
  <c r="AU279" i="20"/>
  <c r="AS279" i="20"/>
  <c r="AR279" i="20"/>
  <c r="AQ279" i="20"/>
  <c r="AP279" i="20"/>
  <c r="AO279" i="20"/>
  <c r="AN279" i="20"/>
  <c r="AL279" i="20"/>
  <c r="AK279" i="20"/>
  <c r="AJ279" i="20"/>
  <c r="AI279" i="20"/>
  <c r="AH279" i="20"/>
  <c r="AG279" i="20"/>
  <c r="AE279" i="20"/>
  <c r="AD279" i="20"/>
  <c r="AB279" i="20"/>
  <c r="AA279" i="20"/>
  <c r="Z279" i="20"/>
  <c r="Y279" i="20"/>
  <c r="X279" i="20"/>
  <c r="W279" i="20"/>
  <c r="V279" i="20"/>
  <c r="T279" i="20"/>
  <c r="S279" i="20"/>
  <c r="R279" i="20"/>
  <c r="Q279" i="20"/>
  <c r="E279" i="20"/>
  <c r="D279" i="20"/>
  <c r="CG278" i="20"/>
  <c r="CE278" i="20"/>
  <c r="CC278" i="20"/>
  <c r="CB278" i="20"/>
  <c r="CA278" i="20"/>
  <c r="BZ278" i="20"/>
  <c r="BY278" i="20"/>
  <c r="BX278" i="20"/>
  <c r="BW278" i="20"/>
  <c r="BV278" i="20"/>
  <c r="BU278" i="20"/>
  <c r="BT278" i="20"/>
  <c r="BN278" i="20"/>
  <c r="BM278" i="20"/>
  <c r="BK278" i="20"/>
  <c r="BJ278" i="20"/>
  <c r="BI278" i="20"/>
  <c r="BG278" i="20"/>
  <c r="BF278" i="20"/>
  <c r="BE278" i="20"/>
  <c r="BD278" i="20"/>
  <c r="BC278" i="20"/>
  <c r="BB278" i="20"/>
  <c r="AZ278" i="20"/>
  <c r="AY278" i="20"/>
  <c r="AX278" i="20"/>
  <c r="AW278" i="20"/>
  <c r="AV278" i="20"/>
  <c r="AU278" i="20"/>
  <c r="AS278" i="20"/>
  <c r="AR278" i="20"/>
  <c r="AQ278" i="20"/>
  <c r="AP278" i="20"/>
  <c r="AO278" i="20"/>
  <c r="AN278" i="20"/>
  <c r="AL278" i="20"/>
  <c r="AK278" i="20"/>
  <c r="AJ278" i="20"/>
  <c r="AI278" i="20"/>
  <c r="AH278" i="20"/>
  <c r="AG278" i="20"/>
  <c r="AE278" i="20"/>
  <c r="AD278" i="20"/>
  <c r="AB278" i="20"/>
  <c r="AA278" i="20"/>
  <c r="Z278" i="20"/>
  <c r="Y278" i="20"/>
  <c r="X278" i="20"/>
  <c r="W278" i="20"/>
  <c r="V278" i="20"/>
  <c r="T278" i="20"/>
  <c r="S278" i="20"/>
  <c r="R278" i="20"/>
  <c r="Q278" i="20"/>
  <c r="E278" i="20"/>
  <c r="D278" i="20"/>
  <c r="CG277" i="20"/>
  <c r="CE277" i="20"/>
  <c r="CC277" i="20"/>
  <c r="CB277" i="20"/>
  <c r="CA277" i="20"/>
  <c r="BZ277" i="20"/>
  <c r="BY277" i="20"/>
  <c r="BX277" i="20"/>
  <c r="BW277" i="20"/>
  <c r="BV277" i="20"/>
  <c r="BU277" i="20"/>
  <c r="BT277" i="20"/>
  <c r="BN277" i="20"/>
  <c r="BM277" i="20"/>
  <c r="BK277" i="20"/>
  <c r="BJ277" i="20"/>
  <c r="BI277" i="20"/>
  <c r="BG277" i="20"/>
  <c r="BF277" i="20"/>
  <c r="BE277" i="20"/>
  <c r="BD277" i="20"/>
  <c r="BC277" i="20"/>
  <c r="BB277" i="20"/>
  <c r="AZ277" i="20"/>
  <c r="AY277" i="20"/>
  <c r="AX277" i="20"/>
  <c r="AW277" i="20"/>
  <c r="AV277" i="20"/>
  <c r="AU277" i="20"/>
  <c r="AS277" i="20"/>
  <c r="AR277" i="20"/>
  <c r="AQ277" i="20"/>
  <c r="AP277" i="20"/>
  <c r="AO277" i="20"/>
  <c r="AN277" i="20"/>
  <c r="AL277" i="20"/>
  <c r="AK277" i="20"/>
  <c r="AJ277" i="20"/>
  <c r="AI277" i="20"/>
  <c r="AH277" i="20"/>
  <c r="AG277" i="20"/>
  <c r="AE277" i="20"/>
  <c r="AD277" i="20"/>
  <c r="AB277" i="20"/>
  <c r="AA277" i="20"/>
  <c r="Z277" i="20"/>
  <c r="Y277" i="20"/>
  <c r="X277" i="20"/>
  <c r="W277" i="20"/>
  <c r="V277" i="20"/>
  <c r="T277" i="20"/>
  <c r="S277" i="20"/>
  <c r="R277" i="20"/>
  <c r="Q277" i="20"/>
  <c r="E277" i="20"/>
  <c r="D277" i="20"/>
  <c r="CG276" i="20"/>
  <c r="CE276" i="20"/>
  <c r="CC276" i="20"/>
  <c r="CB276" i="20"/>
  <c r="CA276" i="20"/>
  <c r="BZ276" i="20"/>
  <c r="BY276" i="20"/>
  <c r="BX276" i="20"/>
  <c r="BW276" i="20"/>
  <c r="BV276" i="20"/>
  <c r="BU276" i="20"/>
  <c r="BT276" i="20"/>
  <c r="BN276" i="20"/>
  <c r="BM276" i="20"/>
  <c r="BK276" i="20"/>
  <c r="BJ276" i="20"/>
  <c r="BI276" i="20"/>
  <c r="BG276" i="20"/>
  <c r="BF276" i="20"/>
  <c r="BE276" i="20"/>
  <c r="BD276" i="20"/>
  <c r="BC276" i="20"/>
  <c r="BB276" i="20"/>
  <c r="AZ276" i="20"/>
  <c r="AY276" i="20"/>
  <c r="AX276" i="20"/>
  <c r="AW276" i="20"/>
  <c r="AV276" i="20"/>
  <c r="AU276" i="20"/>
  <c r="AS276" i="20"/>
  <c r="AR276" i="20"/>
  <c r="AQ276" i="20"/>
  <c r="AP276" i="20"/>
  <c r="AO276" i="20"/>
  <c r="AN276" i="20"/>
  <c r="AL276" i="20"/>
  <c r="AK276" i="20"/>
  <c r="AJ276" i="20"/>
  <c r="AI276" i="20"/>
  <c r="AH276" i="20"/>
  <c r="AG276" i="20"/>
  <c r="AE276" i="20"/>
  <c r="AD276" i="20"/>
  <c r="AB276" i="20"/>
  <c r="AA276" i="20"/>
  <c r="Z276" i="20"/>
  <c r="Y276" i="20"/>
  <c r="X276" i="20"/>
  <c r="W276" i="20"/>
  <c r="V276" i="20"/>
  <c r="T276" i="20"/>
  <c r="S276" i="20"/>
  <c r="R276" i="20"/>
  <c r="Q276" i="20"/>
  <c r="E276" i="20"/>
  <c r="D276" i="20"/>
  <c r="CG275" i="20"/>
  <c r="CE275" i="20"/>
  <c r="CC275" i="20"/>
  <c r="CB275" i="20"/>
  <c r="CA275" i="20"/>
  <c r="BZ275" i="20"/>
  <c r="BY275" i="20"/>
  <c r="BX275" i="20"/>
  <c r="BW275" i="20"/>
  <c r="BV275" i="20"/>
  <c r="BU275" i="20"/>
  <c r="BT275" i="20"/>
  <c r="BN275" i="20"/>
  <c r="BM275" i="20"/>
  <c r="BK275" i="20"/>
  <c r="BJ275" i="20"/>
  <c r="BI275" i="20"/>
  <c r="BG275" i="20"/>
  <c r="BF275" i="20"/>
  <c r="BE275" i="20"/>
  <c r="BD275" i="20"/>
  <c r="BC275" i="20"/>
  <c r="BB275" i="20"/>
  <c r="AZ275" i="20"/>
  <c r="AY275" i="20"/>
  <c r="AX275" i="20"/>
  <c r="AW275" i="20"/>
  <c r="AV275" i="20"/>
  <c r="AU275" i="20"/>
  <c r="AS275" i="20"/>
  <c r="AR275" i="20"/>
  <c r="AQ275" i="20"/>
  <c r="AP275" i="20"/>
  <c r="AO275" i="20"/>
  <c r="AN275" i="20"/>
  <c r="AL275" i="20"/>
  <c r="AK275" i="20"/>
  <c r="AJ275" i="20"/>
  <c r="AI275" i="20"/>
  <c r="AH275" i="20"/>
  <c r="AG275" i="20"/>
  <c r="AE275" i="20"/>
  <c r="AD275" i="20"/>
  <c r="AB275" i="20"/>
  <c r="AA275" i="20"/>
  <c r="Z275" i="20"/>
  <c r="Y275" i="20"/>
  <c r="X275" i="20"/>
  <c r="W275" i="20"/>
  <c r="V275" i="20"/>
  <c r="T275" i="20"/>
  <c r="S275" i="20"/>
  <c r="R275" i="20"/>
  <c r="Q275" i="20"/>
  <c r="E275" i="20"/>
  <c r="D275" i="20"/>
  <c r="CG274" i="20"/>
  <c r="CE274" i="20"/>
  <c r="CC274" i="20"/>
  <c r="CB274" i="20"/>
  <c r="CA274" i="20"/>
  <c r="BZ274" i="20"/>
  <c r="BY274" i="20"/>
  <c r="BX274" i="20"/>
  <c r="BW274" i="20"/>
  <c r="BV274" i="20"/>
  <c r="BU274" i="20"/>
  <c r="BT274" i="20"/>
  <c r="BN274" i="20"/>
  <c r="BM274" i="20"/>
  <c r="BK274" i="20"/>
  <c r="BJ274" i="20"/>
  <c r="BI274" i="20"/>
  <c r="BG274" i="20"/>
  <c r="BF274" i="20"/>
  <c r="BE274" i="20"/>
  <c r="BD274" i="20"/>
  <c r="BC274" i="20"/>
  <c r="BB274" i="20"/>
  <c r="AZ274" i="20"/>
  <c r="AY274" i="20"/>
  <c r="AX274" i="20"/>
  <c r="AW274" i="20"/>
  <c r="AV274" i="20"/>
  <c r="AU274" i="20"/>
  <c r="AS274" i="20"/>
  <c r="AR274" i="20"/>
  <c r="AQ274" i="20"/>
  <c r="AP274" i="20"/>
  <c r="AO274" i="20"/>
  <c r="AN274" i="20"/>
  <c r="AL274" i="20"/>
  <c r="AK274" i="20"/>
  <c r="AJ274" i="20"/>
  <c r="AI274" i="20"/>
  <c r="AH274" i="20"/>
  <c r="AG274" i="20"/>
  <c r="AE274" i="20"/>
  <c r="AD274" i="20"/>
  <c r="AB274" i="20"/>
  <c r="AA274" i="20"/>
  <c r="Z274" i="20"/>
  <c r="Y274" i="20"/>
  <c r="X274" i="20"/>
  <c r="W274" i="20"/>
  <c r="V274" i="20"/>
  <c r="T274" i="20"/>
  <c r="S274" i="20"/>
  <c r="R274" i="20"/>
  <c r="Q274" i="20"/>
  <c r="E274" i="20"/>
  <c r="D274" i="20"/>
  <c r="CG273" i="20"/>
  <c r="CE273" i="20"/>
  <c r="CC273" i="20"/>
  <c r="CB273" i="20"/>
  <c r="CA273" i="20"/>
  <c r="BZ273" i="20"/>
  <c r="BY273" i="20"/>
  <c r="BX273" i="20"/>
  <c r="BW273" i="20"/>
  <c r="BV273" i="20"/>
  <c r="BU273" i="20"/>
  <c r="BT273" i="20"/>
  <c r="BN273" i="20"/>
  <c r="BM273" i="20"/>
  <c r="BK273" i="20"/>
  <c r="BJ273" i="20"/>
  <c r="BI273" i="20"/>
  <c r="BG273" i="20"/>
  <c r="BF273" i="20"/>
  <c r="BE273" i="20"/>
  <c r="BD273" i="20"/>
  <c r="BC273" i="20"/>
  <c r="BB273" i="20"/>
  <c r="AZ273" i="20"/>
  <c r="AY273" i="20"/>
  <c r="AX273" i="20"/>
  <c r="AW273" i="20"/>
  <c r="AV273" i="20"/>
  <c r="AU273" i="20"/>
  <c r="AS273" i="20"/>
  <c r="AR273" i="20"/>
  <c r="AQ273" i="20"/>
  <c r="AP273" i="20"/>
  <c r="AO273" i="20"/>
  <c r="AN273" i="20"/>
  <c r="AL273" i="20"/>
  <c r="AK273" i="20"/>
  <c r="AJ273" i="20"/>
  <c r="AI273" i="20"/>
  <c r="AH273" i="20"/>
  <c r="AG273" i="20"/>
  <c r="AE273" i="20"/>
  <c r="AD273" i="20"/>
  <c r="AB273" i="20"/>
  <c r="AA273" i="20"/>
  <c r="Z273" i="20"/>
  <c r="Y273" i="20"/>
  <c r="X273" i="20"/>
  <c r="W273" i="20"/>
  <c r="V273" i="20"/>
  <c r="T273" i="20"/>
  <c r="S273" i="20"/>
  <c r="R273" i="20"/>
  <c r="Q273" i="20"/>
  <c r="E273" i="20"/>
  <c r="D273" i="20"/>
  <c r="CG272" i="20"/>
  <c r="CE272" i="20"/>
  <c r="CC272" i="20"/>
  <c r="CB272" i="20"/>
  <c r="CA272" i="20"/>
  <c r="BZ272" i="20"/>
  <c r="BY272" i="20"/>
  <c r="BX272" i="20"/>
  <c r="BW272" i="20"/>
  <c r="BV272" i="20"/>
  <c r="BU272" i="20"/>
  <c r="BT272" i="20"/>
  <c r="BN272" i="20"/>
  <c r="BM272" i="20"/>
  <c r="BK272" i="20"/>
  <c r="BJ272" i="20"/>
  <c r="BI272" i="20"/>
  <c r="BG272" i="20"/>
  <c r="BF272" i="20"/>
  <c r="BE272" i="20"/>
  <c r="BD272" i="20"/>
  <c r="BC272" i="20"/>
  <c r="BB272" i="20"/>
  <c r="AZ272" i="20"/>
  <c r="AY272" i="20"/>
  <c r="AX272" i="20"/>
  <c r="AW272" i="20"/>
  <c r="AV272" i="20"/>
  <c r="AU272" i="20"/>
  <c r="AS272" i="20"/>
  <c r="AR272" i="20"/>
  <c r="AQ272" i="20"/>
  <c r="AP272" i="20"/>
  <c r="AO272" i="20"/>
  <c r="AN272" i="20"/>
  <c r="AL272" i="20"/>
  <c r="AK272" i="20"/>
  <c r="AJ272" i="20"/>
  <c r="AI272" i="20"/>
  <c r="AH272" i="20"/>
  <c r="AG272" i="20"/>
  <c r="AE272" i="20"/>
  <c r="AD272" i="20"/>
  <c r="AB272" i="20"/>
  <c r="AA272" i="20"/>
  <c r="Z272" i="20"/>
  <c r="Y272" i="20"/>
  <c r="X272" i="20"/>
  <c r="W272" i="20"/>
  <c r="V272" i="20"/>
  <c r="T272" i="20"/>
  <c r="S272" i="20"/>
  <c r="R272" i="20"/>
  <c r="Q272" i="20"/>
  <c r="E272" i="20"/>
  <c r="D272" i="20"/>
  <c r="CG271" i="20"/>
  <c r="CE271" i="20"/>
  <c r="CC271" i="20"/>
  <c r="CB271" i="20"/>
  <c r="CA271" i="20"/>
  <c r="BZ271" i="20"/>
  <c r="BY271" i="20"/>
  <c r="BX271" i="20"/>
  <c r="BW271" i="20"/>
  <c r="BV271" i="20"/>
  <c r="BU271" i="20"/>
  <c r="BT271" i="20"/>
  <c r="BN271" i="20"/>
  <c r="BM271" i="20"/>
  <c r="BK271" i="20"/>
  <c r="BJ271" i="20"/>
  <c r="BI271" i="20"/>
  <c r="BG271" i="20"/>
  <c r="BF271" i="20"/>
  <c r="BE271" i="20"/>
  <c r="BD271" i="20"/>
  <c r="BC271" i="20"/>
  <c r="BB271" i="20"/>
  <c r="AZ271" i="20"/>
  <c r="AY271" i="20"/>
  <c r="AX271" i="20"/>
  <c r="AW271" i="20"/>
  <c r="AV271" i="20"/>
  <c r="AU271" i="20"/>
  <c r="AS271" i="20"/>
  <c r="AR271" i="20"/>
  <c r="AQ271" i="20"/>
  <c r="AP271" i="20"/>
  <c r="AO271" i="20"/>
  <c r="AN271" i="20"/>
  <c r="AL271" i="20"/>
  <c r="AK271" i="20"/>
  <c r="AJ271" i="20"/>
  <c r="AI271" i="20"/>
  <c r="AH271" i="20"/>
  <c r="AG271" i="20"/>
  <c r="AE271" i="20"/>
  <c r="AD271" i="20"/>
  <c r="AB271" i="20"/>
  <c r="AA271" i="20"/>
  <c r="Z271" i="20"/>
  <c r="Y271" i="20"/>
  <c r="X271" i="20"/>
  <c r="W271" i="20"/>
  <c r="V271" i="20"/>
  <c r="T271" i="20"/>
  <c r="S271" i="20"/>
  <c r="R271" i="20"/>
  <c r="Q271" i="20"/>
  <c r="E271" i="20"/>
  <c r="D271" i="20"/>
  <c r="CG270" i="20"/>
  <c r="CE270" i="20"/>
  <c r="CC270" i="20"/>
  <c r="CB270" i="20"/>
  <c r="CA270" i="20"/>
  <c r="BZ270" i="20"/>
  <c r="BY270" i="20"/>
  <c r="BX270" i="20"/>
  <c r="BW270" i="20"/>
  <c r="BV270" i="20"/>
  <c r="BU270" i="20"/>
  <c r="BT270" i="20"/>
  <c r="BN270" i="20"/>
  <c r="BM270" i="20"/>
  <c r="BK270" i="20"/>
  <c r="BJ270" i="20"/>
  <c r="BI270" i="20"/>
  <c r="BG270" i="20"/>
  <c r="BF270" i="20"/>
  <c r="BE270" i="20"/>
  <c r="BD270" i="20"/>
  <c r="BC270" i="20"/>
  <c r="BB270" i="20"/>
  <c r="AZ270" i="20"/>
  <c r="AY270" i="20"/>
  <c r="AX270" i="20"/>
  <c r="AW270" i="20"/>
  <c r="AV270" i="20"/>
  <c r="AU270" i="20"/>
  <c r="AS270" i="20"/>
  <c r="AR270" i="20"/>
  <c r="AQ270" i="20"/>
  <c r="AP270" i="20"/>
  <c r="AO270" i="20"/>
  <c r="AN270" i="20"/>
  <c r="AL270" i="20"/>
  <c r="AK270" i="20"/>
  <c r="AJ270" i="20"/>
  <c r="AI270" i="20"/>
  <c r="AH270" i="20"/>
  <c r="AG270" i="20"/>
  <c r="AE270" i="20"/>
  <c r="AD270" i="20"/>
  <c r="AB270" i="20"/>
  <c r="AA270" i="20"/>
  <c r="Z270" i="20"/>
  <c r="Y270" i="20"/>
  <c r="X270" i="20"/>
  <c r="W270" i="20"/>
  <c r="V270" i="20"/>
  <c r="T270" i="20"/>
  <c r="S270" i="20"/>
  <c r="R270" i="20"/>
  <c r="Q270" i="20"/>
  <c r="E270" i="20"/>
  <c r="D270" i="20"/>
  <c r="CG269" i="20"/>
  <c r="CE269" i="20"/>
  <c r="CC269" i="20"/>
  <c r="CB269" i="20"/>
  <c r="CA269" i="20"/>
  <c r="BZ269" i="20"/>
  <c r="BY269" i="20"/>
  <c r="BX269" i="20"/>
  <c r="BW269" i="20"/>
  <c r="BV269" i="20"/>
  <c r="BU269" i="20"/>
  <c r="BT269" i="20"/>
  <c r="BN269" i="20"/>
  <c r="BM269" i="20"/>
  <c r="BK269" i="20"/>
  <c r="BJ269" i="20"/>
  <c r="BI269" i="20"/>
  <c r="BG269" i="20"/>
  <c r="BF269" i="20"/>
  <c r="BE269" i="20"/>
  <c r="BD269" i="20"/>
  <c r="BC269" i="20"/>
  <c r="BB269" i="20"/>
  <c r="AZ269" i="20"/>
  <c r="AY269" i="20"/>
  <c r="AX269" i="20"/>
  <c r="AW269" i="20"/>
  <c r="AV269" i="20"/>
  <c r="AU269" i="20"/>
  <c r="AS269" i="20"/>
  <c r="AR269" i="20"/>
  <c r="AQ269" i="20"/>
  <c r="AP269" i="20"/>
  <c r="AO269" i="20"/>
  <c r="AN269" i="20"/>
  <c r="AL269" i="20"/>
  <c r="AK269" i="20"/>
  <c r="AJ269" i="20"/>
  <c r="AI269" i="20"/>
  <c r="AH269" i="20"/>
  <c r="AG269" i="20"/>
  <c r="AE269" i="20"/>
  <c r="AD269" i="20"/>
  <c r="AB269" i="20"/>
  <c r="AA269" i="20"/>
  <c r="Z269" i="20"/>
  <c r="Y269" i="20"/>
  <c r="X269" i="20"/>
  <c r="W269" i="20"/>
  <c r="V269" i="20"/>
  <c r="T269" i="20"/>
  <c r="S269" i="20"/>
  <c r="R269" i="20"/>
  <c r="Q269" i="20"/>
  <c r="E269" i="20"/>
  <c r="D269" i="20"/>
  <c r="CG268" i="20"/>
  <c r="CE268" i="20"/>
  <c r="CC268" i="20"/>
  <c r="CB268" i="20"/>
  <c r="CA268" i="20"/>
  <c r="BZ268" i="20"/>
  <c r="BY268" i="20"/>
  <c r="BX268" i="20"/>
  <c r="BW268" i="20"/>
  <c r="BV268" i="20"/>
  <c r="BU268" i="20"/>
  <c r="BT268" i="20"/>
  <c r="BN268" i="20"/>
  <c r="BM268" i="20"/>
  <c r="BK268" i="20"/>
  <c r="BJ268" i="20"/>
  <c r="BI268" i="20"/>
  <c r="BG268" i="20"/>
  <c r="BF268" i="20"/>
  <c r="BE268" i="20"/>
  <c r="BD268" i="20"/>
  <c r="BC268" i="20"/>
  <c r="BB268" i="20"/>
  <c r="AZ268" i="20"/>
  <c r="AY268" i="20"/>
  <c r="AX268" i="20"/>
  <c r="AW268" i="20"/>
  <c r="AV268" i="20"/>
  <c r="AU268" i="20"/>
  <c r="AS268" i="20"/>
  <c r="AR268" i="20"/>
  <c r="AQ268" i="20"/>
  <c r="AP268" i="20"/>
  <c r="AO268" i="20"/>
  <c r="AN268" i="20"/>
  <c r="AL268" i="20"/>
  <c r="AK268" i="20"/>
  <c r="AJ268" i="20"/>
  <c r="AI268" i="20"/>
  <c r="AH268" i="20"/>
  <c r="AG268" i="20"/>
  <c r="AE268" i="20"/>
  <c r="AD268" i="20"/>
  <c r="AB268" i="20"/>
  <c r="AA268" i="20"/>
  <c r="Z268" i="20"/>
  <c r="Y268" i="20"/>
  <c r="X268" i="20"/>
  <c r="W268" i="20"/>
  <c r="V268" i="20"/>
  <c r="T268" i="20"/>
  <c r="S268" i="20"/>
  <c r="R268" i="20"/>
  <c r="Q268" i="20"/>
  <c r="E268" i="20"/>
  <c r="D268" i="20"/>
  <c r="CG267" i="20"/>
  <c r="CE267" i="20"/>
  <c r="CC267" i="20"/>
  <c r="CB267" i="20"/>
  <c r="CA267" i="20"/>
  <c r="BZ267" i="20"/>
  <c r="BY267" i="20"/>
  <c r="BX267" i="20"/>
  <c r="BW267" i="20"/>
  <c r="BV267" i="20"/>
  <c r="BU267" i="20"/>
  <c r="BT267" i="20"/>
  <c r="BN267" i="20"/>
  <c r="BM267" i="20"/>
  <c r="BK267" i="20"/>
  <c r="BJ267" i="20"/>
  <c r="BI267" i="20"/>
  <c r="BG267" i="20"/>
  <c r="BF267" i="20"/>
  <c r="BE267" i="20"/>
  <c r="BD267" i="20"/>
  <c r="BC267" i="20"/>
  <c r="BB267" i="20"/>
  <c r="AZ267" i="20"/>
  <c r="AY267" i="20"/>
  <c r="AX267" i="20"/>
  <c r="AW267" i="20"/>
  <c r="AV267" i="20"/>
  <c r="AU267" i="20"/>
  <c r="AS267" i="20"/>
  <c r="AR267" i="20"/>
  <c r="AQ267" i="20"/>
  <c r="AP267" i="20"/>
  <c r="AO267" i="20"/>
  <c r="AN267" i="20"/>
  <c r="AL267" i="20"/>
  <c r="AK267" i="20"/>
  <c r="AJ267" i="20"/>
  <c r="AI267" i="20"/>
  <c r="AH267" i="20"/>
  <c r="AG267" i="20"/>
  <c r="AE267" i="20"/>
  <c r="AD267" i="20"/>
  <c r="AB267" i="20"/>
  <c r="AA267" i="20"/>
  <c r="Z267" i="20"/>
  <c r="Y267" i="20"/>
  <c r="X267" i="20"/>
  <c r="W267" i="20"/>
  <c r="V267" i="20"/>
  <c r="T267" i="20"/>
  <c r="S267" i="20"/>
  <c r="R267" i="20"/>
  <c r="Q267" i="20"/>
  <c r="E267" i="20"/>
  <c r="D267" i="20"/>
  <c r="CG266" i="20"/>
  <c r="CE266" i="20"/>
  <c r="CC266" i="20"/>
  <c r="CB266" i="20"/>
  <c r="CA266" i="20"/>
  <c r="BZ266" i="20"/>
  <c r="BY266" i="20"/>
  <c r="BX266" i="20"/>
  <c r="BW266" i="20"/>
  <c r="BV266" i="20"/>
  <c r="BU266" i="20"/>
  <c r="BT266" i="20"/>
  <c r="BN266" i="20"/>
  <c r="BM266" i="20"/>
  <c r="BK266" i="20"/>
  <c r="BJ266" i="20"/>
  <c r="BI266" i="20"/>
  <c r="BG266" i="20"/>
  <c r="BF266" i="20"/>
  <c r="BE266" i="20"/>
  <c r="BD266" i="20"/>
  <c r="BC266" i="20"/>
  <c r="BB266" i="20"/>
  <c r="AZ266" i="20"/>
  <c r="AY266" i="20"/>
  <c r="AX266" i="20"/>
  <c r="AW266" i="20"/>
  <c r="AV266" i="20"/>
  <c r="AU266" i="20"/>
  <c r="AS266" i="20"/>
  <c r="AR266" i="20"/>
  <c r="AQ266" i="20"/>
  <c r="AP266" i="20"/>
  <c r="AO266" i="20"/>
  <c r="AN266" i="20"/>
  <c r="AL266" i="20"/>
  <c r="AK266" i="20"/>
  <c r="AJ266" i="20"/>
  <c r="AI266" i="20"/>
  <c r="AH266" i="20"/>
  <c r="AG266" i="20"/>
  <c r="AE266" i="20"/>
  <c r="AD266" i="20"/>
  <c r="AB266" i="20"/>
  <c r="AA266" i="20"/>
  <c r="Z266" i="20"/>
  <c r="Y266" i="20"/>
  <c r="X266" i="20"/>
  <c r="W266" i="20"/>
  <c r="V266" i="20"/>
  <c r="T266" i="20"/>
  <c r="S266" i="20"/>
  <c r="R266" i="20"/>
  <c r="Q266" i="20"/>
  <c r="E266" i="20"/>
  <c r="D266" i="20"/>
  <c r="CG265" i="20"/>
  <c r="CE265" i="20"/>
  <c r="CC265" i="20"/>
  <c r="CB265" i="20"/>
  <c r="CA265" i="20"/>
  <c r="BZ265" i="20"/>
  <c r="BY265" i="20"/>
  <c r="BX265" i="20"/>
  <c r="BW265" i="20"/>
  <c r="BV265" i="20"/>
  <c r="BU265" i="20"/>
  <c r="BT265" i="20"/>
  <c r="BN265" i="20"/>
  <c r="BM265" i="20"/>
  <c r="BK265" i="20"/>
  <c r="BJ265" i="20"/>
  <c r="BI265" i="20"/>
  <c r="BG265" i="20"/>
  <c r="BF265" i="20"/>
  <c r="BE265" i="20"/>
  <c r="BD265" i="20"/>
  <c r="BC265" i="20"/>
  <c r="BB265" i="20"/>
  <c r="AZ265" i="20"/>
  <c r="AY265" i="20"/>
  <c r="AX265" i="20"/>
  <c r="AW265" i="20"/>
  <c r="AV265" i="20"/>
  <c r="AU265" i="20"/>
  <c r="AS265" i="20"/>
  <c r="AR265" i="20"/>
  <c r="AQ265" i="20"/>
  <c r="AP265" i="20"/>
  <c r="AO265" i="20"/>
  <c r="AN265" i="20"/>
  <c r="AL265" i="20"/>
  <c r="AK265" i="20"/>
  <c r="AJ265" i="20"/>
  <c r="AI265" i="20"/>
  <c r="AH265" i="20"/>
  <c r="AG265" i="20"/>
  <c r="AE265" i="20"/>
  <c r="AD265" i="20"/>
  <c r="AB265" i="20"/>
  <c r="AA265" i="20"/>
  <c r="Z265" i="20"/>
  <c r="Y265" i="20"/>
  <c r="X265" i="20"/>
  <c r="W265" i="20"/>
  <c r="V265" i="20"/>
  <c r="T265" i="20"/>
  <c r="S265" i="20"/>
  <c r="R265" i="20"/>
  <c r="Q265" i="20"/>
  <c r="E265" i="20"/>
  <c r="D265" i="20"/>
  <c r="CG264" i="20"/>
  <c r="CE264" i="20"/>
  <c r="CC264" i="20"/>
  <c r="CB264" i="20"/>
  <c r="CA264" i="20"/>
  <c r="BZ264" i="20"/>
  <c r="BY264" i="20"/>
  <c r="BX264" i="20"/>
  <c r="BW264" i="20"/>
  <c r="BV264" i="20"/>
  <c r="BU264" i="20"/>
  <c r="BT264" i="20"/>
  <c r="BN264" i="20"/>
  <c r="BM264" i="20"/>
  <c r="BK264" i="20"/>
  <c r="BJ264" i="20"/>
  <c r="BI264" i="20"/>
  <c r="BG264" i="20"/>
  <c r="BF264" i="20"/>
  <c r="BE264" i="20"/>
  <c r="BD264" i="20"/>
  <c r="BC264" i="20"/>
  <c r="BB264" i="20"/>
  <c r="AZ264" i="20"/>
  <c r="AY264" i="20"/>
  <c r="AX264" i="20"/>
  <c r="AW264" i="20"/>
  <c r="AV264" i="20"/>
  <c r="AU264" i="20"/>
  <c r="AS264" i="20"/>
  <c r="AR264" i="20"/>
  <c r="AQ264" i="20"/>
  <c r="AP264" i="20"/>
  <c r="AO264" i="20"/>
  <c r="AN264" i="20"/>
  <c r="AL264" i="20"/>
  <c r="AK264" i="20"/>
  <c r="AJ264" i="20"/>
  <c r="AI264" i="20"/>
  <c r="AH264" i="20"/>
  <c r="AG264" i="20"/>
  <c r="AE264" i="20"/>
  <c r="AD264" i="20"/>
  <c r="AB264" i="20"/>
  <c r="AA264" i="20"/>
  <c r="Z264" i="20"/>
  <c r="Y264" i="20"/>
  <c r="X264" i="20"/>
  <c r="W264" i="20"/>
  <c r="V264" i="20"/>
  <c r="T264" i="20"/>
  <c r="S264" i="20"/>
  <c r="R264" i="20"/>
  <c r="Q264" i="20"/>
  <c r="E264" i="20"/>
  <c r="D264" i="20"/>
  <c r="CG263" i="20"/>
  <c r="CE263" i="20"/>
  <c r="CC263" i="20"/>
  <c r="CB263" i="20"/>
  <c r="CA263" i="20"/>
  <c r="BZ263" i="20"/>
  <c r="BY263" i="20"/>
  <c r="BX263" i="20"/>
  <c r="BW263" i="20"/>
  <c r="BV263" i="20"/>
  <c r="BU263" i="20"/>
  <c r="BT263" i="20"/>
  <c r="BN263" i="20"/>
  <c r="BM263" i="20"/>
  <c r="BK263" i="20"/>
  <c r="BJ263" i="20"/>
  <c r="BI263" i="20"/>
  <c r="BG263" i="20"/>
  <c r="BF263" i="20"/>
  <c r="BE263" i="20"/>
  <c r="BD263" i="20"/>
  <c r="BC263" i="20"/>
  <c r="BB263" i="20"/>
  <c r="AZ263" i="20"/>
  <c r="AY263" i="20"/>
  <c r="AX263" i="20"/>
  <c r="AW263" i="20"/>
  <c r="AV263" i="20"/>
  <c r="AU263" i="20"/>
  <c r="AS263" i="20"/>
  <c r="AR263" i="20"/>
  <c r="AQ263" i="20"/>
  <c r="AP263" i="20"/>
  <c r="AO263" i="20"/>
  <c r="AN263" i="20"/>
  <c r="AL263" i="20"/>
  <c r="AK263" i="20"/>
  <c r="AJ263" i="20"/>
  <c r="AI263" i="20"/>
  <c r="AH263" i="20"/>
  <c r="AG263" i="20"/>
  <c r="AE263" i="20"/>
  <c r="AD263" i="20"/>
  <c r="AB263" i="20"/>
  <c r="AA263" i="20"/>
  <c r="Z263" i="20"/>
  <c r="Y263" i="20"/>
  <c r="X263" i="20"/>
  <c r="W263" i="20"/>
  <c r="V263" i="20"/>
  <c r="T263" i="20"/>
  <c r="S263" i="20"/>
  <c r="R263" i="20"/>
  <c r="Q263" i="20"/>
  <c r="E263" i="20"/>
  <c r="D263" i="20"/>
  <c r="CG262" i="20"/>
  <c r="CE262" i="20"/>
  <c r="CC262" i="20"/>
  <c r="CB262" i="20"/>
  <c r="CA262" i="20"/>
  <c r="BZ262" i="20"/>
  <c r="BY262" i="20"/>
  <c r="BX262" i="20"/>
  <c r="BW262" i="20"/>
  <c r="BV262" i="20"/>
  <c r="BU262" i="20"/>
  <c r="BT262" i="20"/>
  <c r="BN262" i="20"/>
  <c r="BM262" i="20"/>
  <c r="BK262" i="20"/>
  <c r="BJ262" i="20"/>
  <c r="BI262" i="20"/>
  <c r="BG262" i="20"/>
  <c r="BF262" i="20"/>
  <c r="BE262" i="20"/>
  <c r="BD262" i="20"/>
  <c r="BC262" i="20"/>
  <c r="BB262" i="20"/>
  <c r="AZ262" i="20"/>
  <c r="AY262" i="20"/>
  <c r="AX262" i="20"/>
  <c r="AW262" i="20"/>
  <c r="AV262" i="20"/>
  <c r="AU262" i="20"/>
  <c r="AS262" i="20"/>
  <c r="AR262" i="20"/>
  <c r="AQ262" i="20"/>
  <c r="AP262" i="20"/>
  <c r="AO262" i="20"/>
  <c r="AN262" i="20"/>
  <c r="AL262" i="20"/>
  <c r="AK262" i="20"/>
  <c r="AJ262" i="20"/>
  <c r="AI262" i="20"/>
  <c r="AH262" i="20"/>
  <c r="AG262" i="20"/>
  <c r="AE262" i="20"/>
  <c r="AD262" i="20"/>
  <c r="AB262" i="20"/>
  <c r="AA262" i="20"/>
  <c r="Z262" i="20"/>
  <c r="Y262" i="20"/>
  <c r="X262" i="20"/>
  <c r="W262" i="20"/>
  <c r="V262" i="20"/>
  <c r="T262" i="20"/>
  <c r="S262" i="20"/>
  <c r="R262" i="20"/>
  <c r="Q262" i="20"/>
  <c r="E262" i="20"/>
  <c r="D262" i="20"/>
  <c r="CG261" i="20"/>
  <c r="CE261" i="20"/>
  <c r="CC261" i="20"/>
  <c r="CB261" i="20"/>
  <c r="CA261" i="20"/>
  <c r="BZ261" i="20"/>
  <c r="BY261" i="20"/>
  <c r="BX261" i="20"/>
  <c r="BW261" i="20"/>
  <c r="BV261" i="20"/>
  <c r="BU261" i="20"/>
  <c r="BT261" i="20"/>
  <c r="BN261" i="20"/>
  <c r="BM261" i="20"/>
  <c r="BK261" i="20"/>
  <c r="BJ261" i="20"/>
  <c r="BI261" i="20"/>
  <c r="BG261" i="20"/>
  <c r="BF261" i="20"/>
  <c r="BE261" i="20"/>
  <c r="BD261" i="20"/>
  <c r="BC261" i="20"/>
  <c r="BB261" i="20"/>
  <c r="AZ261" i="20"/>
  <c r="AY261" i="20"/>
  <c r="AX261" i="20"/>
  <c r="AW261" i="20"/>
  <c r="AV261" i="20"/>
  <c r="AU261" i="20"/>
  <c r="AS261" i="20"/>
  <c r="AR261" i="20"/>
  <c r="AQ261" i="20"/>
  <c r="AP261" i="20"/>
  <c r="AO261" i="20"/>
  <c r="AN261" i="20"/>
  <c r="AL261" i="20"/>
  <c r="AK261" i="20"/>
  <c r="AJ261" i="20"/>
  <c r="AI261" i="20"/>
  <c r="AH261" i="20"/>
  <c r="AG261" i="20"/>
  <c r="AE261" i="20"/>
  <c r="AD261" i="20"/>
  <c r="AB261" i="20"/>
  <c r="AA261" i="20"/>
  <c r="Z261" i="20"/>
  <c r="Y261" i="20"/>
  <c r="X261" i="20"/>
  <c r="W261" i="20"/>
  <c r="V261" i="20"/>
  <c r="T261" i="20"/>
  <c r="S261" i="20"/>
  <c r="R261" i="20"/>
  <c r="Q261" i="20"/>
  <c r="E261" i="20"/>
  <c r="D261" i="20"/>
  <c r="CG260" i="20"/>
  <c r="CE260" i="20"/>
  <c r="CC260" i="20"/>
  <c r="CB260" i="20"/>
  <c r="CA260" i="20"/>
  <c r="BZ260" i="20"/>
  <c r="BY260" i="20"/>
  <c r="BX260" i="20"/>
  <c r="BW260" i="20"/>
  <c r="BV260" i="20"/>
  <c r="BU260" i="20"/>
  <c r="BT260" i="20"/>
  <c r="BN260" i="20"/>
  <c r="BM260" i="20"/>
  <c r="BK260" i="20"/>
  <c r="BJ260" i="20"/>
  <c r="BI260" i="20"/>
  <c r="BG260" i="20"/>
  <c r="BF260" i="20"/>
  <c r="BE260" i="20"/>
  <c r="BD260" i="20"/>
  <c r="BC260" i="20"/>
  <c r="BB260" i="20"/>
  <c r="AZ260" i="20"/>
  <c r="AY260" i="20"/>
  <c r="AX260" i="20"/>
  <c r="AW260" i="20"/>
  <c r="AV260" i="20"/>
  <c r="AU260" i="20"/>
  <c r="AS260" i="20"/>
  <c r="AR260" i="20"/>
  <c r="AQ260" i="20"/>
  <c r="AP260" i="20"/>
  <c r="AO260" i="20"/>
  <c r="AN260" i="20"/>
  <c r="AL260" i="20"/>
  <c r="AK260" i="20"/>
  <c r="AJ260" i="20"/>
  <c r="AI260" i="20"/>
  <c r="AH260" i="20"/>
  <c r="AG260" i="20"/>
  <c r="AE260" i="20"/>
  <c r="AD260" i="20"/>
  <c r="AB260" i="20"/>
  <c r="AA260" i="20"/>
  <c r="Z260" i="20"/>
  <c r="Y260" i="20"/>
  <c r="X260" i="20"/>
  <c r="W260" i="20"/>
  <c r="V260" i="20"/>
  <c r="T260" i="20"/>
  <c r="S260" i="20"/>
  <c r="R260" i="20"/>
  <c r="Q260" i="20"/>
  <c r="E260" i="20"/>
  <c r="D260" i="20"/>
  <c r="CG259" i="20"/>
  <c r="CE259" i="20"/>
  <c r="CC259" i="20"/>
  <c r="CB259" i="20"/>
  <c r="CA259" i="20"/>
  <c r="BZ259" i="20"/>
  <c r="BY259" i="20"/>
  <c r="BX259" i="20"/>
  <c r="BW259" i="20"/>
  <c r="BV259" i="20"/>
  <c r="BU259" i="20"/>
  <c r="BT259" i="20"/>
  <c r="BN259" i="20"/>
  <c r="BM259" i="20"/>
  <c r="BK259" i="20"/>
  <c r="BJ259" i="20"/>
  <c r="BI259" i="20"/>
  <c r="BG259" i="20"/>
  <c r="BF259" i="20"/>
  <c r="BE259" i="20"/>
  <c r="BD259" i="20"/>
  <c r="BC259" i="20"/>
  <c r="BB259" i="20"/>
  <c r="AZ259" i="20"/>
  <c r="AY259" i="20"/>
  <c r="AX259" i="20"/>
  <c r="AW259" i="20"/>
  <c r="AV259" i="20"/>
  <c r="AU259" i="20"/>
  <c r="AS259" i="20"/>
  <c r="AR259" i="20"/>
  <c r="AQ259" i="20"/>
  <c r="AP259" i="20"/>
  <c r="AO259" i="20"/>
  <c r="AN259" i="20"/>
  <c r="AL259" i="20"/>
  <c r="AK259" i="20"/>
  <c r="AJ259" i="20"/>
  <c r="AI259" i="20"/>
  <c r="AH259" i="20"/>
  <c r="AG259" i="20"/>
  <c r="AE259" i="20"/>
  <c r="AD259" i="20"/>
  <c r="AB259" i="20"/>
  <c r="AA259" i="20"/>
  <c r="Z259" i="20"/>
  <c r="Y259" i="20"/>
  <c r="X259" i="20"/>
  <c r="W259" i="20"/>
  <c r="V259" i="20"/>
  <c r="T259" i="20"/>
  <c r="S259" i="20"/>
  <c r="R259" i="20"/>
  <c r="Q259" i="20"/>
  <c r="E259" i="20"/>
  <c r="D259" i="20"/>
  <c r="CG258" i="20"/>
  <c r="CE258" i="20"/>
  <c r="CC258" i="20"/>
  <c r="CB258" i="20"/>
  <c r="CA258" i="20"/>
  <c r="BZ258" i="20"/>
  <c r="BY258" i="20"/>
  <c r="BX258" i="20"/>
  <c r="BW258" i="20"/>
  <c r="BV258" i="20"/>
  <c r="BU258" i="20"/>
  <c r="BT258" i="20"/>
  <c r="BN258" i="20"/>
  <c r="BM258" i="20"/>
  <c r="BK258" i="20"/>
  <c r="BJ258" i="20"/>
  <c r="BI258" i="20"/>
  <c r="BG258" i="20"/>
  <c r="BF258" i="20"/>
  <c r="BE258" i="20"/>
  <c r="BD258" i="20"/>
  <c r="BC258" i="20"/>
  <c r="BB258" i="20"/>
  <c r="AZ258" i="20"/>
  <c r="AY258" i="20"/>
  <c r="AX258" i="20"/>
  <c r="AW258" i="20"/>
  <c r="AV258" i="20"/>
  <c r="AU258" i="20"/>
  <c r="AS258" i="20"/>
  <c r="AR258" i="20"/>
  <c r="AQ258" i="20"/>
  <c r="AP258" i="20"/>
  <c r="AO258" i="20"/>
  <c r="AN258" i="20"/>
  <c r="AL258" i="20"/>
  <c r="AK258" i="20"/>
  <c r="AJ258" i="20"/>
  <c r="AI258" i="20"/>
  <c r="AH258" i="20"/>
  <c r="AG258" i="20"/>
  <c r="AE258" i="20"/>
  <c r="AD258" i="20"/>
  <c r="AB258" i="20"/>
  <c r="AA258" i="20"/>
  <c r="Z258" i="20"/>
  <c r="Y258" i="20"/>
  <c r="X258" i="20"/>
  <c r="W258" i="20"/>
  <c r="V258" i="20"/>
  <c r="T258" i="20"/>
  <c r="S258" i="20"/>
  <c r="R258" i="20"/>
  <c r="Q258" i="20"/>
  <c r="E258" i="20"/>
  <c r="D258" i="20"/>
  <c r="CG257" i="20"/>
  <c r="CE257" i="20"/>
  <c r="CC257" i="20"/>
  <c r="CB257" i="20"/>
  <c r="CA257" i="20"/>
  <c r="BZ257" i="20"/>
  <c r="BY257" i="20"/>
  <c r="BX257" i="20"/>
  <c r="BW257" i="20"/>
  <c r="BV257" i="20"/>
  <c r="BU257" i="20"/>
  <c r="BT257" i="20"/>
  <c r="BN257" i="20"/>
  <c r="BM257" i="20"/>
  <c r="BK257" i="20"/>
  <c r="BJ257" i="20"/>
  <c r="BI257" i="20"/>
  <c r="BG257" i="20"/>
  <c r="BF257" i="20"/>
  <c r="BE257" i="20"/>
  <c r="BD257" i="20"/>
  <c r="BC257" i="20"/>
  <c r="BB257" i="20"/>
  <c r="AZ257" i="20"/>
  <c r="AY257" i="20"/>
  <c r="AX257" i="20"/>
  <c r="AW257" i="20"/>
  <c r="AV257" i="20"/>
  <c r="AU257" i="20"/>
  <c r="AS257" i="20"/>
  <c r="AR257" i="20"/>
  <c r="AQ257" i="20"/>
  <c r="AP257" i="20"/>
  <c r="AO257" i="20"/>
  <c r="AN257" i="20"/>
  <c r="AL257" i="20"/>
  <c r="AK257" i="20"/>
  <c r="AJ257" i="20"/>
  <c r="AI257" i="20"/>
  <c r="AH257" i="20"/>
  <c r="AG257" i="20"/>
  <c r="AE257" i="20"/>
  <c r="AD257" i="20"/>
  <c r="AB257" i="20"/>
  <c r="AA257" i="20"/>
  <c r="Z257" i="20"/>
  <c r="Y257" i="20"/>
  <c r="X257" i="20"/>
  <c r="W257" i="20"/>
  <c r="V257" i="20"/>
  <c r="T257" i="20"/>
  <c r="S257" i="20"/>
  <c r="R257" i="20"/>
  <c r="Q257" i="20"/>
  <c r="E257" i="20"/>
  <c r="D257" i="20"/>
  <c r="CG256" i="20"/>
  <c r="CE256" i="20"/>
  <c r="CC256" i="20"/>
  <c r="CB256" i="20"/>
  <c r="CA256" i="20"/>
  <c r="BZ256" i="20"/>
  <c r="BY256" i="20"/>
  <c r="BX256" i="20"/>
  <c r="BW256" i="20"/>
  <c r="BV256" i="20"/>
  <c r="BU256" i="20"/>
  <c r="BT256" i="20"/>
  <c r="BN256" i="20"/>
  <c r="BM256" i="20"/>
  <c r="BK256" i="20"/>
  <c r="BJ256" i="20"/>
  <c r="BI256" i="20"/>
  <c r="BG256" i="20"/>
  <c r="BF256" i="20"/>
  <c r="BE256" i="20"/>
  <c r="BD256" i="20"/>
  <c r="BC256" i="20"/>
  <c r="BB256" i="20"/>
  <c r="AZ256" i="20"/>
  <c r="AY256" i="20"/>
  <c r="AX256" i="20"/>
  <c r="AW256" i="20"/>
  <c r="AV256" i="20"/>
  <c r="AU256" i="20"/>
  <c r="AS256" i="20"/>
  <c r="AR256" i="20"/>
  <c r="AQ256" i="20"/>
  <c r="AP256" i="20"/>
  <c r="AO256" i="20"/>
  <c r="AN256" i="20"/>
  <c r="AL256" i="20"/>
  <c r="AK256" i="20"/>
  <c r="AJ256" i="20"/>
  <c r="AI256" i="20"/>
  <c r="AH256" i="20"/>
  <c r="AG256" i="20"/>
  <c r="AE256" i="20"/>
  <c r="AD256" i="20"/>
  <c r="AB256" i="20"/>
  <c r="AA256" i="20"/>
  <c r="Z256" i="20"/>
  <c r="Y256" i="20"/>
  <c r="X256" i="20"/>
  <c r="W256" i="20"/>
  <c r="V256" i="20"/>
  <c r="T256" i="20"/>
  <c r="S256" i="20"/>
  <c r="R256" i="20"/>
  <c r="Q256" i="20"/>
  <c r="E256" i="20"/>
  <c r="D256" i="20"/>
  <c r="CG255" i="20"/>
  <c r="CE255" i="20"/>
  <c r="CC255" i="20"/>
  <c r="CB255" i="20"/>
  <c r="CA255" i="20"/>
  <c r="BZ255" i="20"/>
  <c r="BY255" i="20"/>
  <c r="BX255" i="20"/>
  <c r="BW255" i="20"/>
  <c r="BV255" i="20"/>
  <c r="BU255" i="20"/>
  <c r="BT255" i="20"/>
  <c r="BN255" i="20"/>
  <c r="BM255" i="20"/>
  <c r="BK255" i="20"/>
  <c r="BJ255" i="20"/>
  <c r="BI255" i="20"/>
  <c r="BG255" i="20"/>
  <c r="BF255" i="20"/>
  <c r="BE255" i="20"/>
  <c r="BD255" i="20"/>
  <c r="BC255" i="20"/>
  <c r="BB255" i="20"/>
  <c r="AZ255" i="20"/>
  <c r="AY255" i="20"/>
  <c r="AX255" i="20"/>
  <c r="AW255" i="20"/>
  <c r="AV255" i="20"/>
  <c r="AU255" i="20"/>
  <c r="AS255" i="20"/>
  <c r="AR255" i="20"/>
  <c r="AQ255" i="20"/>
  <c r="AP255" i="20"/>
  <c r="AO255" i="20"/>
  <c r="AN255" i="20"/>
  <c r="AL255" i="20"/>
  <c r="AK255" i="20"/>
  <c r="AJ255" i="20"/>
  <c r="AI255" i="20"/>
  <c r="AH255" i="20"/>
  <c r="AG255" i="20"/>
  <c r="AE255" i="20"/>
  <c r="AD255" i="20"/>
  <c r="AB255" i="20"/>
  <c r="AA255" i="20"/>
  <c r="Z255" i="20"/>
  <c r="Y255" i="20"/>
  <c r="X255" i="20"/>
  <c r="W255" i="20"/>
  <c r="V255" i="20"/>
  <c r="T255" i="20"/>
  <c r="S255" i="20"/>
  <c r="R255" i="20"/>
  <c r="Q255" i="20"/>
  <c r="E255" i="20"/>
  <c r="D255" i="20"/>
  <c r="CG254" i="20"/>
  <c r="CE254" i="20"/>
  <c r="CC254" i="20"/>
  <c r="CB254" i="20"/>
  <c r="CA254" i="20"/>
  <c r="BZ254" i="20"/>
  <c r="BY254" i="20"/>
  <c r="BX254" i="20"/>
  <c r="BW254" i="20"/>
  <c r="BV254" i="20"/>
  <c r="BU254" i="20"/>
  <c r="BT254" i="20"/>
  <c r="BN254" i="20"/>
  <c r="BM254" i="20"/>
  <c r="BK254" i="20"/>
  <c r="BJ254" i="20"/>
  <c r="BI254" i="20"/>
  <c r="BG254" i="20"/>
  <c r="BF254" i="20"/>
  <c r="BE254" i="20"/>
  <c r="BD254" i="20"/>
  <c r="BC254" i="20"/>
  <c r="BB254" i="20"/>
  <c r="AZ254" i="20"/>
  <c r="AY254" i="20"/>
  <c r="AX254" i="20"/>
  <c r="AW254" i="20"/>
  <c r="AV254" i="20"/>
  <c r="AU254" i="20"/>
  <c r="AS254" i="20"/>
  <c r="AR254" i="20"/>
  <c r="AQ254" i="20"/>
  <c r="AP254" i="20"/>
  <c r="AO254" i="20"/>
  <c r="AN254" i="20"/>
  <c r="AL254" i="20"/>
  <c r="AK254" i="20"/>
  <c r="AJ254" i="20"/>
  <c r="AI254" i="20"/>
  <c r="AH254" i="20"/>
  <c r="AG254" i="20"/>
  <c r="AE254" i="20"/>
  <c r="AD254" i="20"/>
  <c r="AB254" i="20"/>
  <c r="AA254" i="20"/>
  <c r="Z254" i="20"/>
  <c r="Y254" i="20"/>
  <c r="X254" i="20"/>
  <c r="W254" i="20"/>
  <c r="V254" i="20"/>
  <c r="T254" i="20"/>
  <c r="S254" i="20"/>
  <c r="R254" i="20"/>
  <c r="Q254" i="20"/>
  <c r="E254" i="20"/>
  <c r="D254" i="20"/>
  <c r="CG253" i="20"/>
  <c r="CE253" i="20"/>
  <c r="CC253" i="20"/>
  <c r="CB253" i="20"/>
  <c r="CA253" i="20"/>
  <c r="BZ253" i="20"/>
  <c r="BY253" i="20"/>
  <c r="BX253" i="20"/>
  <c r="BW253" i="20"/>
  <c r="BV253" i="20"/>
  <c r="BU253" i="20"/>
  <c r="BT253" i="20"/>
  <c r="BN253" i="20"/>
  <c r="BM253" i="20"/>
  <c r="BK253" i="20"/>
  <c r="BJ253" i="20"/>
  <c r="BI253" i="20"/>
  <c r="BG253" i="20"/>
  <c r="BF253" i="20"/>
  <c r="BE253" i="20"/>
  <c r="BD253" i="20"/>
  <c r="BC253" i="20"/>
  <c r="BB253" i="20"/>
  <c r="AZ253" i="20"/>
  <c r="AY253" i="20"/>
  <c r="AX253" i="20"/>
  <c r="AW253" i="20"/>
  <c r="AV253" i="20"/>
  <c r="AU253" i="20"/>
  <c r="AS253" i="20"/>
  <c r="AR253" i="20"/>
  <c r="AQ253" i="20"/>
  <c r="AP253" i="20"/>
  <c r="AO253" i="20"/>
  <c r="AN253" i="20"/>
  <c r="AL253" i="20"/>
  <c r="AK253" i="20"/>
  <c r="AJ253" i="20"/>
  <c r="AI253" i="20"/>
  <c r="AH253" i="20"/>
  <c r="AG253" i="20"/>
  <c r="AE253" i="20"/>
  <c r="AD253" i="20"/>
  <c r="AB253" i="20"/>
  <c r="AA253" i="20"/>
  <c r="Z253" i="20"/>
  <c r="Y253" i="20"/>
  <c r="X253" i="20"/>
  <c r="W253" i="20"/>
  <c r="V253" i="20"/>
  <c r="T253" i="20"/>
  <c r="S253" i="20"/>
  <c r="R253" i="20"/>
  <c r="Q253" i="20"/>
  <c r="E253" i="20"/>
  <c r="D253" i="20"/>
  <c r="CG252" i="20"/>
  <c r="CE252" i="20"/>
  <c r="CC252" i="20"/>
  <c r="CB252" i="20"/>
  <c r="CA252" i="20"/>
  <c r="BZ252" i="20"/>
  <c r="BY252" i="20"/>
  <c r="BX252" i="20"/>
  <c r="BW252" i="20"/>
  <c r="BV252" i="20"/>
  <c r="BU252" i="20"/>
  <c r="BT252" i="20"/>
  <c r="BN252" i="20"/>
  <c r="BM252" i="20"/>
  <c r="BK252" i="20"/>
  <c r="BJ252" i="20"/>
  <c r="BI252" i="20"/>
  <c r="BG252" i="20"/>
  <c r="BF252" i="20"/>
  <c r="BE252" i="20"/>
  <c r="BD252" i="20"/>
  <c r="BC252" i="20"/>
  <c r="BB252" i="20"/>
  <c r="AZ252" i="20"/>
  <c r="AY252" i="20"/>
  <c r="AX252" i="20"/>
  <c r="AW252" i="20"/>
  <c r="AV252" i="20"/>
  <c r="AU252" i="20"/>
  <c r="AS252" i="20"/>
  <c r="AR252" i="20"/>
  <c r="AQ252" i="20"/>
  <c r="AP252" i="20"/>
  <c r="AO252" i="20"/>
  <c r="AN252" i="20"/>
  <c r="AL252" i="20"/>
  <c r="AK252" i="20"/>
  <c r="AJ252" i="20"/>
  <c r="AI252" i="20"/>
  <c r="AH252" i="20"/>
  <c r="AG252" i="20"/>
  <c r="AE252" i="20"/>
  <c r="AD252" i="20"/>
  <c r="AB252" i="20"/>
  <c r="AA252" i="20"/>
  <c r="Z252" i="20"/>
  <c r="Y252" i="20"/>
  <c r="X252" i="20"/>
  <c r="W252" i="20"/>
  <c r="V252" i="20"/>
  <c r="T252" i="20"/>
  <c r="S252" i="20"/>
  <c r="R252" i="20"/>
  <c r="Q252" i="20"/>
  <c r="E252" i="20"/>
  <c r="D252" i="20"/>
  <c r="CG251" i="20"/>
  <c r="CE251" i="20"/>
  <c r="CC251" i="20"/>
  <c r="CB251" i="20"/>
  <c r="CA251" i="20"/>
  <c r="BZ251" i="20"/>
  <c r="BY251" i="20"/>
  <c r="BX251" i="20"/>
  <c r="BW251" i="20"/>
  <c r="BV251" i="20"/>
  <c r="BU251" i="20"/>
  <c r="BT251" i="20"/>
  <c r="BN251" i="20"/>
  <c r="BM251" i="20"/>
  <c r="BK251" i="20"/>
  <c r="BJ251" i="20"/>
  <c r="BI251" i="20"/>
  <c r="BG251" i="20"/>
  <c r="BF251" i="20"/>
  <c r="BE251" i="20"/>
  <c r="BD251" i="20"/>
  <c r="BC251" i="20"/>
  <c r="BB251" i="20"/>
  <c r="AZ251" i="20"/>
  <c r="AY251" i="20"/>
  <c r="AX251" i="20"/>
  <c r="AW251" i="20"/>
  <c r="AV251" i="20"/>
  <c r="AU251" i="20"/>
  <c r="AS251" i="20"/>
  <c r="AR251" i="20"/>
  <c r="AQ251" i="20"/>
  <c r="AP251" i="20"/>
  <c r="AO251" i="20"/>
  <c r="AN251" i="20"/>
  <c r="AL251" i="20"/>
  <c r="AK251" i="20"/>
  <c r="AJ251" i="20"/>
  <c r="AI251" i="20"/>
  <c r="AH251" i="20"/>
  <c r="AG251" i="20"/>
  <c r="AE251" i="20"/>
  <c r="AD251" i="20"/>
  <c r="AB251" i="20"/>
  <c r="AA251" i="20"/>
  <c r="Z251" i="20"/>
  <c r="Y251" i="20"/>
  <c r="X251" i="20"/>
  <c r="W251" i="20"/>
  <c r="V251" i="20"/>
  <c r="T251" i="20"/>
  <c r="S251" i="20"/>
  <c r="R251" i="20"/>
  <c r="Q251" i="20"/>
  <c r="E251" i="20"/>
  <c r="D251" i="20"/>
  <c r="CG250" i="20"/>
  <c r="CE250" i="20"/>
  <c r="CC250" i="20"/>
  <c r="CB250" i="20"/>
  <c r="CA250" i="20"/>
  <c r="BZ250" i="20"/>
  <c r="BY250" i="20"/>
  <c r="BX250" i="20"/>
  <c r="BW250" i="20"/>
  <c r="BV250" i="20"/>
  <c r="BU250" i="20"/>
  <c r="BT250" i="20"/>
  <c r="BN250" i="20"/>
  <c r="BM250" i="20"/>
  <c r="BK250" i="20"/>
  <c r="BJ250" i="20"/>
  <c r="BI250" i="20"/>
  <c r="BG250" i="20"/>
  <c r="BF250" i="20"/>
  <c r="BE250" i="20"/>
  <c r="BD250" i="20"/>
  <c r="BC250" i="20"/>
  <c r="BB250" i="20"/>
  <c r="AZ250" i="20"/>
  <c r="AY250" i="20"/>
  <c r="AX250" i="20"/>
  <c r="AW250" i="20"/>
  <c r="AV250" i="20"/>
  <c r="AU250" i="20"/>
  <c r="AS250" i="20"/>
  <c r="AR250" i="20"/>
  <c r="AQ250" i="20"/>
  <c r="AP250" i="20"/>
  <c r="AO250" i="20"/>
  <c r="AN250" i="20"/>
  <c r="AL250" i="20"/>
  <c r="AK250" i="20"/>
  <c r="AJ250" i="20"/>
  <c r="AI250" i="20"/>
  <c r="AH250" i="20"/>
  <c r="AG250" i="20"/>
  <c r="AE250" i="20"/>
  <c r="AD250" i="20"/>
  <c r="AB250" i="20"/>
  <c r="AA250" i="20"/>
  <c r="Z250" i="20"/>
  <c r="Y250" i="20"/>
  <c r="X250" i="20"/>
  <c r="W250" i="20"/>
  <c r="V250" i="20"/>
  <c r="T250" i="20"/>
  <c r="S250" i="20"/>
  <c r="R250" i="20"/>
  <c r="Q250" i="20"/>
  <c r="E250" i="20"/>
  <c r="D250" i="20"/>
  <c r="CG249" i="20"/>
  <c r="CE249" i="20"/>
  <c r="CC249" i="20"/>
  <c r="CB249" i="20"/>
  <c r="CA249" i="20"/>
  <c r="BZ249" i="20"/>
  <c r="BY249" i="20"/>
  <c r="BX249" i="20"/>
  <c r="BW249" i="20"/>
  <c r="BV249" i="20"/>
  <c r="BU249" i="20"/>
  <c r="BT249" i="20"/>
  <c r="BN249" i="20"/>
  <c r="BM249" i="20"/>
  <c r="BK249" i="20"/>
  <c r="BJ249" i="20"/>
  <c r="BI249" i="20"/>
  <c r="BG249" i="20"/>
  <c r="BF249" i="20"/>
  <c r="BE249" i="20"/>
  <c r="BD249" i="20"/>
  <c r="BC249" i="20"/>
  <c r="BB249" i="20"/>
  <c r="AZ249" i="20"/>
  <c r="AY249" i="20"/>
  <c r="AX249" i="20"/>
  <c r="AW249" i="20"/>
  <c r="AV249" i="20"/>
  <c r="AU249" i="20"/>
  <c r="AS249" i="20"/>
  <c r="AR249" i="20"/>
  <c r="AQ249" i="20"/>
  <c r="AP249" i="20"/>
  <c r="AO249" i="20"/>
  <c r="AN249" i="20"/>
  <c r="AL249" i="20"/>
  <c r="AK249" i="20"/>
  <c r="AJ249" i="20"/>
  <c r="AI249" i="20"/>
  <c r="AH249" i="20"/>
  <c r="AG249" i="20"/>
  <c r="AE249" i="20"/>
  <c r="AD249" i="20"/>
  <c r="AB249" i="20"/>
  <c r="AA249" i="20"/>
  <c r="Z249" i="20"/>
  <c r="Y249" i="20"/>
  <c r="X249" i="20"/>
  <c r="W249" i="20"/>
  <c r="V249" i="20"/>
  <c r="T249" i="20"/>
  <c r="S249" i="20"/>
  <c r="R249" i="20"/>
  <c r="Q249" i="20"/>
  <c r="E249" i="20"/>
  <c r="D249" i="20"/>
  <c r="CG248" i="20"/>
  <c r="CE248" i="20"/>
  <c r="CC248" i="20"/>
  <c r="CB248" i="20"/>
  <c r="CA248" i="20"/>
  <c r="BZ248" i="20"/>
  <c r="BY248" i="20"/>
  <c r="BX248" i="20"/>
  <c r="BW248" i="20"/>
  <c r="BV248" i="20"/>
  <c r="BU248" i="20"/>
  <c r="BT248" i="20"/>
  <c r="BN248" i="20"/>
  <c r="BM248" i="20"/>
  <c r="BK248" i="20"/>
  <c r="BJ248" i="20"/>
  <c r="BI248" i="20"/>
  <c r="BG248" i="20"/>
  <c r="BF248" i="20"/>
  <c r="BE248" i="20"/>
  <c r="BD248" i="20"/>
  <c r="BC248" i="20"/>
  <c r="BB248" i="20"/>
  <c r="AZ248" i="20"/>
  <c r="AY248" i="20"/>
  <c r="AX248" i="20"/>
  <c r="AW248" i="20"/>
  <c r="AV248" i="20"/>
  <c r="AU248" i="20"/>
  <c r="AS248" i="20"/>
  <c r="AR248" i="20"/>
  <c r="AQ248" i="20"/>
  <c r="AP248" i="20"/>
  <c r="AO248" i="20"/>
  <c r="AN248" i="20"/>
  <c r="AL248" i="20"/>
  <c r="AK248" i="20"/>
  <c r="AJ248" i="20"/>
  <c r="AI248" i="20"/>
  <c r="AH248" i="20"/>
  <c r="AG248" i="20"/>
  <c r="AE248" i="20"/>
  <c r="AD248" i="20"/>
  <c r="AB248" i="20"/>
  <c r="AA248" i="20"/>
  <c r="Z248" i="20"/>
  <c r="Y248" i="20"/>
  <c r="X248" i="20"/>
  <c r="W248" i="20"/>
  <c r="V248" i="20"/>
  <c r="T248" i="20"/>
  <c r="S248" i="20"/>
  <c r="R248" i="20"/>
  <c r="Q248" i="20"/>
  <c r="E248" i="20"/>
  <c r="D248" i="20"/>
  <c r="CG247" i="20"/>
  <c r="CE247" i="20"/>
  <c r="CC247" i="20"/>
  <c r="CB247" i="20"/>
  <c r="CA247" i="20"/>
  <c r="BZ247" i="20"/>
  <c r="BY247" i="20"/>
  <c r="BX247" i="20"/>
  <c r="BW247" i="20"/>
  <c r="BV247" i="20"/>
  <c r="BU247" i="20"/>
  <c r="BT247" i="20"/>
  <c r="BN247" i="20"/>
  <c r="BM247" i="20"/>
  <c r="BK247" i="20"/>
  <c r="BJ247" i="20"/>
  <c r="BI247" i="20"/>
  <c r="BG247" i="20"/>
  <c r="BF247" i="20"/>
  <c r="BE247" i="20"/>
  <c r="BD247" i="20"/>
  <c r="BC247" i="20"/>
  <c r="BB247" i="20"/>
  <c r="AZ247" i="20"/>
  <c r="AY247" i="20"/>
  <c r="AX247" i="20"/>
  <c r="AW247" i="20"/>
  <c r="AV247" i="20"/>
  <c r="AU247" i="20"/>
  <c r="AS247" i="20"/>
  <c r="AR247" i="20"/>
  <c r="AQ247" i="20"/>
  <c r="AP247" i="20"/>
  <c r="AO247" i="20"/>
  <c r="AN247" i="20"/>
  <c r="AL247" i="20"/>
  <c r="AK247" i="20"/>
  <c r="AJ247" i="20"/>
  <c r="AI247" i="20"/>
  <c r="AH247" i="20"/>
  <c r="AG247" i="20"/>
  <c r="AE247" i="20"/>
  <c r="AD247" i="20"/>
  <c r="AB247" i="20"/>
  <c r="AA247" i="20"/>
  <c r="Z247" i="20"/>
  <c r="Y247" i="20"/>
  <c r="X247" i="20"/>
  <c r="W247" i="20"/>
  <c r="V247" i="20"/>
  <c r="T247" i="20"/>
  <c r="S247" i="20"/>
  <c r="R247" i="20"/>
  <c r="Q247" i="20"/>
  <c r="E247" i="20"/>
  <c r="D247" i="20"/>
  <c r="CG246" i="20"/>
  <c r="CE246" i="20"/>
  <c r="CC246" i="20"/>
  <c r="CB246" i="20"/>
  <c r="CA246" i="20"/>
  <c r="BZ246" i="20"/>
  <c r="BY246" i="20"/>
  <c r="BX246" i="20"/>
  <c r="BW246" i="20"/>
  <c r="BV246" i="20"/>
  <c r="BU246" i="20"/>
  <c r="BT246" i="20"/>
  <c r="BN246" i="20"/>
  <c r="BM246" i="20"/>
  <c r="BK246" i="20"/>
  <c r="BJ246" i="20"/>
  <c r="BI246" i="20"/>
  <c r="BG246" i="20"/>
  <c r="BF246" i="20"/>
  <c r="BE246" i="20"/>
  <c r="BD246" i="20"/>
  <c r="BC246" i="20"/>
  <c r="BB246" i="20"/>
  <c r="AZ246" i="20"/>
  <c r="AY246" i="20"/>
  <c r="AX246" i="20"/>
  <c r="AW246" i="20"/>
  <c r="AV246" i="20"/>
  <c r="AU246" i="20"/>
  <c r="AS246" i="20"/>
  <c r="AR246" i="20"/>
  <c r="AQ246" i="20"/>
  <c r="AP246" i="20"/>
  <c r="AO246" i="20"/>
  <c r="AN246" i="20"/>
  <c r="AL246" i="20"/>
  <c r="AK246" i="20"/>
  <c r="AJ246" i="20"/>
  <c r="AI246" i="20"/>
  <c r="AH246" i="20"/>
  <c r="AG246" i="20"/>
  <c r="AE246" i="20"/>
  <c r="AD246" i="20"/>
  <c r="AB246" i="20"/>
  <c r="AA246" i="20"/>
  <c r="Z246" i="20"/>
  <c r="Y246" i="20"/>
  <c r="X246" i="20"/>
  <c r="W246" i="20"/>
  <c r="V246" i="20"/>
  <c r="T246" i="20"/>
  <c r="S246" i="20"/>
  <c r="R246" i="20"/>
  <c r="Q246" i="20"/>
  <c r="E246" i="20"/>
  <c r="D246" i="20"/>
  <c r="CG245" i="20"/>
  <c r="CE245" i="20"/>
  <c r="CC245" i="20"/>
  <c r="CB245" i="20"/>
  <c r="CA245" i="20"/>
  <c r="BZ245" i="20"/>
  <c r="BY245" i="20"/>
  <c r="BX245" i="20"/>
  <c r="BW245" i="20"/>
  <c r="BV245" i="20"/>
  <c r="BU245" i="20"/>
  <c r="BT245" i="20"/>
  <c r="BN245" i="20"/>
  <c r="BM245" i="20"/>
  <c r="BK245" i="20"/>
  <c r="BJ245" i="20"/>
  <c r="BI245" i="20"/>
  <c r="BG245" i="20"/>
  <c r="BF245" i="20"/>
  <c r="BE245" i="20"/>
  <c r="BD245" i="20"/>
  <c r="BC245" i="20"/>
  <c r="BB245" i="20"/>
  <c r="AZ245" i="20"/>
  <c r="AY245" i="20"/>
  <c r="AX245" i="20"/>
  <c r="AW245" i="20"/>
  <c r="AV245" i="20"/>
  <c r="AU245" i="20"/>
  <c r="AS245" i="20"/>
  <c r="AR245" i="20"/>
  <c r="AQ245" i="20"/>
  <c r="AP245" i="20"/>
  <c r="AO245" i="20"/>
  <c r="AN245" i="20"/>
  <c r="AL245" i="20"/>
  <c r="AK245" i="20"/>
  <c r="AJ245" i="20"/>
  <c r="AI245" i="20"/>
  <c r="AH245" i="20"/>
  <c r="AG245" i="20"/>
  <c r="AE245" i="20"/>
  <c r="AD245" i="20"/>
  <c r="AB245" i="20"/>
  <c r="AA245" i="20"/>
  <c r="Z245" i="20"/>
  <c r="Y245" i="20"/>
  <c r="X245" i="20"/>
  <c r="W245" i="20"/>
  <c r="V245" i="20"/>
  <c r="T245" i="20"/>
  <c r="S245" i="20"/>
  <c r="R245" i="20"/>
  <c r="Q245" i="20"/>
  <c r="E245" i="20"/>
  <c r="D245" i="20"/>
  <c r="CG244" i="20"/>
  <c r="CE244" i="20"/>
  <c r="CC244" i="20"/>
  <c r="CB244" i="20"/>
  <c r="CA244" i="20"/>
  <c r="BZ244" i="20"/>
  <c r="BY244" i="20"/>
  <c r="BX244" i="20"/>
  <c r="BW244" i="20"/>
  <c r="BV244" i="20"/>
  <c r="BU244" i="20"/>
  <c r="BT244" i="20"/>
  <c r="BN244" i="20"/>
  <c r="BM244" i="20"/>
  <c r="BK244" i="20"/>
  <c r="BJ244" i="20"/>
  <c r="BI244" i="20"/>
  <c r="BG244" i="20"/>
  <c r="BF244" i="20"/>
  <c r="BE244" i="20"/>
  <c r="BD244" i="20"/>
  <c r="BC244" i="20"/>
  <c r="BB244" i="20"/>
  <c r="AZ244" i="20"/>
  <c r="AY244" i="20"/>
  <c r="AX244" i="20"/>
  <c r="AW244" i="20"/>
  <c r="AV244" i="20"/>
  <c r="AU244" i="20"/>
  <c r="AS244" i="20"/>
  <c r="AR244" i="20"/>
  <c r="AQ244" i="20"/>
  <c r="AP244" i="20"/>
  <c r="AO244" i="20"/>
  <c r="AN244" i="20"/>
  <c r="AL244" i="20"/>
  <c r="AK244" i="20"/>
  <c r="AJ244" i="20"/>
  <c r="AI244" i="20"/>
  <c r="AH244" i="20"/>
  <c r="AG244" i="20"/>
  <c r="AE244" i="20"/>
  <c r="AD244" i="20"/>
  <c r="AB244" i="20"/>
  <c r="AA244" i="20"/>
  <c r="Z244" i="20"/>
  <c r="Y244" i="20"/>
  <c r="X244" i="20"/>
  <c r="W244" i="20"/>
  <c r="V244" i="20"/>
  <c r="T244" i="20"/>
  <c r="S244" i="20"/>
  <c r="R244" i="20"/>
  <c r="Q244" i="20"/>
  <c r="E244" i="20"/>
  <c r="D244" i="20"/>
  <c r="CG243" i="20"/>
  <c r="CE243" i="20"/>
  <c r="CC243" i="20"/>
  <c r="CB243" i="20"/>
  <c r="CA243" i="20"/>
  <c r="BZ243" i="20"/>
  <c r="BY243" i="20"/>
  <c r="BX243" i="20"/>
  <c r="BW243" i="20"/>
  <c r="BV243" i="20"/>
  <c r="BU243" i="20"/>
  <c r="BT243" i="20"/>
  <c r="BN243" i="20"/>
  <c r="BM243" i="20"/>
  <c r="BK243" i="20"/>
  <c r="BJ243" i="20"/>
  <c r="BI243" i="20"/>
  <c r="BG243" i="20"/>
  <c r="BF243" i="20"/>
  <c r="BE243" i="20"/>
  <c r="BD243" i="20"/>
  <c r="BC243" i="20"/>
  <c r="BB243" i="20"/>
  <c r="AZ243" i="20"/>
  <c r="AY243" i="20"/>
  <c r="AX243" i="20"/>
  <c r="AW243" i="20"/>
  <c r="AV243" i="20"/>
  <c r="AU243" i="20"/>
  <c r="AS243" i="20"/>
  <c r="AR243" i="20"/>
  <c r="AQ243" i="20"/>
  <c r="AP243" i="20"/>
  <c r="AO243" i="20"/>
  <c r="AN243" i="20"/>
  <c r="AL243" i="20"/>
  <c r="AK243" i="20"/>
  <c r="AJ243" i="20"/>
  <c r="AI243" i="20"/>
  <c r="AH243" i="20"/>
  <c r="AG243" i="20"/>
  <c r="AE243" i="20"/>
  <c r="AD243" i="20"/>
  <c r="AB243" i="20"/>
  <c r="AA243" i="20"/>
  <c r="Z243" i="20"/>
  <c r="Y243" i="20"/>
  <c r="X243" i="20"/>
  <c r="W243" i="20"/>
  <c r="V243" i="20"/>
  <c r="T243" i="20"/>
  <c r="S243" i="20"/>
  <c r="R243" i="20"/>
  <c r="Q243" i="20"/>
  <c r="E243" i="20"/>
  <c r="D243" i="20"/>
  <c r="CG242" i="20"/>
  <c r="CE242" i="20"/>
  <c r="CC242" i="20"/>
  <c r="CB242" i="20"/>
  <c r="CA242" i="20"/>
  <c r="BZ242" i="20"/>
  <c r="BY242" i="20"/>
  <c r="BX242" i="20"/>
  <c r="BW242" i="20"/>
  <c r="BV242" i="20"/>
  <c r="BU242" i="20"/>
  <c r="BT242" i="20"/>
  <c r="BN242" i="20"/>
  <c r="BM242" i="20"/>
  <c r="BK242" i="20"/>
  <c r="BJ242" i="20"/>
  <c r="BI242" i="20"/>
  <c r="BG242" i="20"/>
  <c r="BF242" i="20"/>
  <c r="BE242" i="20"/>
  <c r="BD242" i="20"/>
  <c r="BC242" i="20"/>
  <c r="BB242" i="20"/>
  <c r="AZ242" i="20"/>
  <c r="AY242" i="20"/>
  <c r="AX242" i="20"/>
  <c r="AW242" i="20"/>
  <c r="AV242" i="20"/>
  <c r="AU242" i="20"/>
  <c r="AS242" i="20"/>
  <c r="AR242" i="20"/>
  <c r="AQ242" i="20"/>
  <c r="AP242" i="20"/>
  <c r="AO242" i="20"/>
  <c r="AN242" i="20"/>
  <c r="AL242" i="20"/>
  <c r="AK242" i="20"/>
  <c r="AJ242" i="20"/>
  <c r="AI242" i="20"/>
  <c r="AH242" i="20"/>
  <c r="AG242" i="20"/>
  <c r="AE242" i="20"/>
  <c r="AD242" i="20"/>
  <c r="AB242" i="20"/>
  <c r="AA242" i="20"/>
  <c r="Z242" i="20"/>
  <c r="Y242" i="20"/>
  <c r="X242" i="20"/>
  <c r="W242" i="20"/>
  <c r="V242" i="20"/>
  <c r="T242" i="20"/>
  <c r="S242" i="20"/>
  <c r="R242" i="20"/>
  <c r="Q242" i="20"/>
  <c r="E242" i="20"/>
  <c r="D242" i="20"/>
  <c r="CG241" i="20"/>
  <c r="CE241" i="20"/>
  <c r="CC241" i="20"/>
  <c r="CB241" i="20"/>
  <c r="CA241" i="20"/>
  <c r="BZ241" i="20"/>
  <c r="BY241" i="20"/>
  <c r="BX241" i="20"/>
  <c r="BW241" i="20"/>
  <c r="BV241" i="20"/>
  <c r="BU241" i="20"/>
  <c r="BT241" i="20"/>
  <c r="BN241" i="20"/>
  <c r="BM241" i="20"/>
  <c r="BK241" i="20"/>
  <c r="BJ241" i="20"/>
  <c r="BI241" i="20"/>
  <c r="BG241" i="20"/>
  <c r="BF241" i="20"/>
  <c r="BE241" i="20"/>
  <c r="BD241" i="20"/>
  <c r="BC241" i="20"/>
  <c r="BB241" i="20"/>
  <c r="AZ241" i="20"/>
  <c r="AY241" i="20"/>
  <c r="AX241" i="20"/>
  <c r="AW241" i="20"/>
  <c r="AV241" i="20"/>
  <c r="AU241" i="20"/>
  <c r="AS241" i="20"/>
  <c r="AR241" i="20"/>
  <c r="AQ241" i="20"/>
  <c r="AP241" i="20"/>
  <c r="AO241" i="20"/>
  <c r="AN241" i="20"/>
  <c r="AL241" i="20"/>
  <c r="AK241" i="20"/>
  <c r="AJ241" i="20"/>
  <c r="AI241" i="20"/>
  <c r="AH241" i="20"/>
  <c r="AG241" i="20"/>
  <c r="AE241" i="20"/>
  <c r="AD241" i="20"/>
  <c r="AB241" i="20"/>
  <c r="AA241" i="20"/>
  <c r="Z241" i="20"/>
  <c r="Y241" i="20"/>
  <c r="X241" i="20"/>
  <c r="W241" i="20"/>
  <c r="V241" i="20"/>
  <c r="T241" i="20"/>
  <c r="S241" i="20"/>
  <c r="R241" i="20"/>
  <c r="Q241" i="20"/>
  <c r="E241" i="20"/>
  <c r="D241" i="20"/>
  <c r="CG240" i="20"/>
  <c r="CE240" i="20"/>
  <c r="CC240" i="20"/>
  <c r="CB240" i="20"/>
  <c r="CA240" i="20"/>
  <c r="BZ240" i="20"/>
  <c r="BY240" i="20"/>
  <c r="BX240" i="20"/>
  <c r="BW240" i="20"/>
  <c r="BV240" i="20"/>
  <c r="BU240" i="20"/>
  <c r="BT240" i="20"/>
  <c r="BN240" i="20"/>
  <c r="BM240" i="20"/>
  <c r="BK240" i="20"/>
  <c r="BJ240" i="20"/>
  <c r="BI240" i="20"/>
  <c r="BG240" i="20"/>
  <c r="BF240" i="20"/>
  <c r="BE240" i="20"/>
  <c r="BD240" i="20"/>
  <c r="BC240" i="20"/>
  <c r="BB240" i="20"/>
  <c r="AZ240" i="20"/>
  <c r="AY240" i="20"/>
  <c r="AX240" i="20"/>
  <c r="AW240" i="20"/>
  <c r="AV240" i="20"/>
  <c r="AU240" i="20"/>
  <c r="AS240" i="20"/>
  <c r="AR240" i="20"/>
  <c r="AQ240" i="20"/>
  <c r="AP240" i="20"/>
  <c r="AO240" i="20"/>
  <c r="AN240" i="20"/>
  <c r="AL240" i="20"/>
  <c r="AK240" i="20"/>
  <c r="AJ240" i="20"/>
  <c r="AI240" i="20"/>
  <c r="AH240" i="20"/>
  <c r="AG240" i="20"/>
  <c r="AE240" i="20"/>
  <c r="AD240" i="20"/>
  <c r="AB240" i="20"/>
  <c r="AA240" i="20"/>
  <c r="Z240" i="20"/>
  <c r="Y240" i="20"/>
  <c r="X240" i="20"/>
  <c r="W240" i="20"/>
  <c r="V240" i="20"/>
  <c r="T240" i="20"/>
  <c r="S240" i="20"/>
  <c r="R240" i="20"/>
  <c r="Q240" i="20"/>
  <c r="E240" i="20"/>
  <c r="D240" i="20"/>
  <c r="CG239" i="20"/>
  <c r="CE239" i="20"/>
  <c r="CC239" i="20"/>
  <c r="CB239" i="20"/>
  <c r="CA239" i="20"/>
  <c r="BZ239" i="20"/>
  <c r="BY239" i="20"/>
  <c r="BX239" i="20"/>
  <c r="BW239" i="20"/>
  <c r="BV239" i="20"/>
  <c r="BU239" i="20"/>
  <c r="BT239" i="20"/>
  <c r="BN239" i="20"/>
  <c r="BM239" i="20"/>
  <c r="BK239" i="20"/>
  <c r="BJ239" i="20"/>
  <c r="BI239" i="20"/>
  <c r="BG239" i="20"/>
  <c r="BF239" i="20"/>
  <c r="BE239" i="20"/>
  <c r="BD239" i="20"/>
  <c r="BC239" i="20"/>
  <c r="BB239" i="20"/>
  <c r="AZ239" i="20"/>
  <c r="AY239" i="20"/>
  <c r="AX239" i="20"/>
  <c r="AW239" i="20"/>
  <c r="AV239" i="20"/>
  <c r="AU239" i="20"/>
  <c r="AS239" i="20"/>
  <c r="AR239" i="20"/>
  <c r="AQ239" i="20"/>
  <c r="AP239" i="20"/>
  <c r="AO239" i="20"/>
  <c r="AN239" i="20"/>
  <c r="AL239" i="20"/>
  <c r="AK239" i="20"/>
  <c r="AJ239" i="20"/>
  <c r="AI239" i="20"/>
  <c r="AH239" i="20"/>
  <c r="AG239" i="20"/>
  <c r="AE239" i="20"/>
  <c r="AD239" i="20"/>
  <c r="AB239" i="20"/>
  <c r="AA239" i="20"/>
  <c r="Z239" i="20"/>
  <c r="Y239" i="20"/>
  <c r="X239" i="20"/>
  <c r="W239" i="20"/>
  <c r="V239" i="20"/>
  <c r="T239" i="20"/>
  <c r="S239" i="20"/>
  <c r="R239" i="20"/>
  <c r="Q239" i="20"/>
  <c r="E239" i="20"/>
  <c r="D239" i="20"/>
  <c r="CG238" i="20"/>
  <c r="CE238" i="20"/>
  <c r="CC238" i="20"/>
  <c r="CB238" i="20"/>
  <c r="CA238" i="20"/>
  <c r="BZ238" i="20"/>
  <c r="BY238" i="20"/>
  <c r="BX238" i="20"/>
  <c r="BW238" i="20"/>
  <c r="BV238" i="20"/>
  <c r="BU238" i="20"/>
  <c r="BT238" i="20"/>
  <c r="BN238" i="20"/>
  <c r="BM238" i="20"/>
  <c r="BK238" i="20"/>
  <c r="BJ238" i="20"/>
  <c r="BI238" i="20"/>
  <c r="BG238" i="20"/>
  <c r="BF238" i="20"/>
  <c r="BE238" i="20"/>
  <c r="BD238" i="20"/>
  <c r="BC238" i="20"/>
  <c r="BB238" i="20"/>
  <c r="AZ238" i="20"/>
  <c r="AY238" i="20"/>
  <c r="AX238" i="20"/>
  <c r="AW238" i="20"/>
  <c r="AV238" i="20"/>
  <c r="AU238" i="20"/>
  <c r="AS238" i="20"/>
  <c r="AR238" i="20"/>
  <c r="AQ238" i="20"/>
  <c r="AP238" i="20"/>
  <c r="AO238" i="20"/>
  <c r="AN238" i="20"/>
  <c r="AL238" i="20"/>
  <c r="AK238" i="20"/>
  <c r="AJ238" i="20"/>
  <c r="AI238" i="20"/>
  <c r="AH238" i="20"/>
  <c r="AG238" i="20"/>
  <c r="AE238" i="20"/>
  <c r="AD238" i="20"/>
  <c r="AB238" i="20"/>
  <c r="AA238" i="20"/>
  <c r="Z238" i="20"/>
  <c r="Y238" i="20"/>
  <c r="X238" i="20"/>
  <c r="W238" i="20"/>
  <c r="V238" i="20"/>
  <c r="T238" i="20"/>
  <c r="S238" i="20"/>
  <c r="R238" i="20"/>
  <c r="Q238" i="20"/>
  <c r="E238" i="20"/>
  <c r="D238" i="20"/>
  <c r="CG237" i="20"/>
  <c r="CE237" i="20"/>
  <c r="CC237" i="20"/>
  <c r="CB237" i="20"/>
  <c r="CA237" i="20"/>
  <c r="BZ237" i="20"/>
  <c r="BY237" i="20"/>
  <c r="BX237" i="20"/>
  <c r="BW237" i="20"/>
  <c r="BV237" i="20"/>
  <c r="BU237" i="20"/>
  <c r="BT237" i="20"/>
  <c r="BN237" i="20"/>
  <c r="BM237" i="20"/>
  <c r="BK237" i="20"/>
  <c r="BJ237" i="20"/>
  <c r="BI237" i="20"/>
  <c r="BG237" i="20"/>
  <c r="BF237" i="20"/>
  <c r="BE237" i="20"/>
  <c r="BD237" i="20"/>
  <c r="BC237" i="20"/>
  <c r="BB237" i="20"/>
  <c r="AZ237" i="20"/>
  <c r="AY237" i="20"/>
  <c r="AX237" i="20"/>
  <c r="AW237" i="20"/>
  <c r="AV237" i="20"/>
  <c r="AU237" i="20"/>
  <c r="AS237" i="20"/>
  <c r="AR237" i="20"/>
  <c r="AQ237" i="20"/>
  <c r="AP237" i="20"/>
  <c r="AO237" i="20"/>
  <c r="AN237" i="20"/>
  <c r="AL237" i="20"/>
  <c r="AK237" i="20"/>
  <c r="AJ237" i="20"/>
  <c r="AI237" i="20"/>
  <c r="AH237" i="20"/>
  <c r="AG237" i="20"/>
  <c r="AE237" i="20"/>
  <c r="AD237" i="20"/>
  <c r="AB237" i="20"/>
  <c r="AA237" i="20"/>
  <c r="Z237" i="20"/>
  <c r="Y237" i="20"/>
  <c r="X237" i="20"/>
  <c r="W237" i="20"/>
  <c r="V237" i="20"/>
  <c r="T237" i="20"/>
  <c r="S237" i="20"/>
  <c r="R237" i="20"/>
  <c r="Q237" i="20"/>
  <c r="E237" i="20"/>
  <c r="D237" i="20"/>
  <c r="CG236" i="20"/>
  <c r="CE236" i="20"/>
  <c r="CC236" i="20"/>
  <c r="CB236" i="20"/>
  <c r="CA236" i="20"/>
  <c r="BZ236" i="20"/>
  <c r="BY236" i="20"/>
  <c r="BX236" i="20"/>
  <c r="BW236" i="20"/>
  <c r="BV236" i="20"/>
  <c r="BU236" i="20"/>
  <c r="BT236" i="20"/>
  <c r="BN236" i="20"/>
  <c r="BM236" i="20"/>
  <c r="BK236" i="20"/>
  <c r="BJ236" i="20"/>
  <c r="BI236" i="20"/>
  <c r="BG236" i="20"/>
  <c r="BF236" i="20"/>
  <c r="BE236" i="20"/>
  <c r="BD236" i="20"/>
  <c r="BC236" i="20"/>
  <c r="BB236" i="20"/>
  <c r="AZ236" i="20"/>
  <c r="AY236" i="20"/>
  <c r="AX236" i="20"/>
  <c r="AW236" i="20"/>
  <c r="AV236" i="20"/>
  <c r="AU236" i="20"/>
  <c r="AS236" i="20"/>
  <c r="AR236" i="20"/>
  <c r="AQ236" i="20"/>
  <c r="AP236" i="20"/>
  <c r="AO236" i="20"/>
  <c r="AN236" i="20"/>
  <c r="AL236" i="20"/>
  <c r="AK236" i="20"/>
  <c r="AJ236" i="20"/>
  <c r="AI236" i="20"/>
  <c r="AH236" i="20"/>
  <c r="AG236" i="20"/>
  <c r="AE236" i="20"/>
  <c r="AD236" i="20"/>
  <c r="AB236" i="20"/>
  <c r="AA236" i="20"/>
  <c r="Z236" i="20"/>
  <c r="Y236" i="20"/>
  <c r="X236" i="20"/>
  <c r="W236" i="20"/>
  <c r="V236" i="20"/>
  <c r="T236" i="20"/>
  <c r="S236" i="20"/>
  <c r="R236" i="20"/>
  <c r="Q236" i="20"/>
  <c r="E236" i="20"/>
  <c r="D236" i="20"/>
  <c r="CG235" i="20"/>
  <c r="CE235" i="20"/>
  <c r="CC235" i="20"/>
  <c r="CB235" i="20"/>
  <c r="CA235" i="20"/>
  <c r="BZ235" i="20"/>
  <c r="BY235" i="20"/>
  <c r="BX235" i="20"/>
  <c r="BW235" i="20"/>
  <c r="BV235" i="20"/>
  <c r="BU235" i="20"/>
  <c r="BT235" i="20"/>
  <c r="BN235" i="20"/>
  <c r="BM235" i="20"/>
  <c r="BK235" i="20"/>
  <c r="BJ235" i="20"/>
  <c r="BI235" i="20"/>
  <c r="BG235" i="20"/>
  <c r="BF235" i="20"/>
  <c r="BE235" i="20"/>
  <c r="BD235" i="20"/>
  <c r="BC235" i="20"/>
  <c r="BB235" i="20"/>
  <c r="AZ235" i="20"/>
  <c r="AY235" i="20"/>
  <c r="AX235" i="20"/>
  <c r="AW235" i="20"/>
  <c r="AV235" i="20"/>
  <c r="AU235" i="20"/>
  <c r="AS235" i="20"/>
  <c r="AR235" i="20"/>
  <c r="AQ235" i="20"/>
  <c r="AP235" i="20"/>
  <c r="AO235" i="20"/>
  <c r="AN235" i="20"/>
  <c r="AL235" i="20"/>
  <c r="AK235" i="20"/>
  <c r="AJ235" i="20"/>
  <c r="AI235" i="20"/>
  <c r="AH235" i="20"/>
  <c r="AG235" i="20"/>
  <c r="AE235" i="20"/>
  <c r="AD235" i="20"/>
  <c r="AB235" i="20"/>
  <c r="AA235" i="20"/>
  <c r="Z235" i="20"/>
  <c r="Y235" i="20"/>
  <c r="X235" i="20"/>
  <c r="W235" i="20"/>
  <c r="V235" i="20"/>
  <c r="T235" i="20"/>
  <c r="S235" i="20"/>
  <c r="R235" i="20"/>
  <c r="Q235" i="20"/>
  <c r="E235" i="20"/>
  <c r="D235" i="20"/>
  <c r="CG234" i="20"/>
  <c r="CE234" i="20"/>
  <c r="CC234" i="20"/>
  <c r="CB234" i="20"/>
  <c r="CA234" i="20"/>
  <c r="BZ234" i="20"/>
  <c r="BY234" i="20"/>
  <c r="BX234" i="20"/>
  <c r="BW234" i="20"/>
  <c r="BV234" i="20"/>
  <c r="BU234" i="20"/>
  <c r="BT234" i="20"/>
  <c r="BN234" i="20"/>
  <c r="BM234" i="20"/>
  <c r="BK234" i="20"/>
  <c r="BJ234" i="20"/>
  <c r="BI234" i="20"/>
  <c r="BG234" i="20"/>
  <c r="BF234" i="20"/>
  <c r="BE234" i="20"/>
  <c r="BD234" i="20"/>
  <c r="BC234" i="20"/>
  <c r="BB234" i="20"/>
  <c r="AZ234" i="20"/>
  <c r="AY234" i="20"/>
  <c r="AX234" i="20"/>
  <c r="AW234" i="20"/>
  <c r="AV234" i="20"/>
  <c r="AU234" i="20"/>
  <c r="AS234" i="20"/>
  <c r="AR234" i="20"/>
  <c r="AQ234" i="20"/>
  <c r="AP234" i="20"/>
  <c r="AO234" i="20"/>
  <c r="AN234" i="20"/>
  <c r="AL234" i="20"/>
  <c r="AK234" i="20"/>
  <c r="AJ234" i="20"/>
  <c r="AI234" i="20"/>
  <c r="AH234" i="20"/>
  <c r="AG234" i="20"/>
  <c r="AE234" i="20"/>
  <c r="AD234" i="20"/>
  <c r="AB234" i="20"/>
  <c r="AA234" i="20"/>
  <c r="Z234" i="20"/>
  <c r="Y234" i="20"/>
  <c r="X234" i="20"/>
  <c r="W234" i="20"/>
  <c r="V234" i="20"/>
  <c r="T234" i="20"/>
  <c r="S234" i="20"/>
  <c r="R234" i="20"/>
  <c r="Q234" i="20"/>
  <c r="E234" i="20"/>
  <c r="D234" i="20"/>
  <c r="CG233" i="20"/>
  <c r="CE233" i="20"/>
  <c r="CC233" i="20"/>
  <c r="CB233" i="20"/>
  <c r="CA233" i="20"/>
  <c r="BZ233" i="20"/>
  <c r="BY233" i="20"/>
  <c r="BX233" i="20"/>
  <c r="BW233" i="20"/>
  <c r="BV233" i="20"/>
  <c r="BU233" i="20"/>
  <c r="BT233" i="20"/>
  <c r="BN233" i="20"/>
  <c r="BM233" i="20"/>
  <c r="BK233" i="20"/>
  <c r="BJ233" i="20"/>
  <c r="BI233" i="20"/>
  <c r="BG233" i="20"/>
  <c r="BF233" i="20"/>
  <c r="BE233" i="20"/>
  <c r="BD233" i="20"/>
  <c r="BC233" i="20"/>
  <c r="BB233" i="20"/>
  <c r="AZ233" i="20"/>
  <c r="AY233" i="20"/>
  <c r="AX233" i="20"/>
  <c r="AW233" i="20"/>
  <c r="AV233" i="20"/>
  <c r="AU233" i="20"/>
  <c r="AS233" i="20"/>
  <c r="AR233" i="20"/>
  <c r="AQ233" i="20"/>
  <c r="AP233" i="20"/>
  <c r="AO233" i="20"/>
  <c r="AN233" i="20"/>
  <c r="AL233" i="20"/>
  <c r="AK233" i="20"/>
  <c r="AJ233" i="20"/>
  <c r="AI233" i="20"/>
  <c r="AH233" i="20"/>
  <c r="AG233" i="20"/>
  <c r="AE233" i="20"/>
  <c r="AD233" i="20"/>
  <c r="AB233" i="20"/>
  <c r="AA233" i="20"/>
  <c r="Z233" i="20"/>
  <c r="Y233" i="20"/>
  <c r="X233" i="20"/>
  <c r="W233" i="20"/>
  <c r="V233" i="20"/>
  <c r="T233" i="20"/>
  <c r="S233" i="20"/>
  <c r="R233" i="20"/>
  <c r="Q233" i="20"/>
  <c r="E233" i="20"/>
  <c r="D233" i="20"/>
  <c r="CG232" i="20"/>
  <c r="CE232" i="20"/>
  <c r="CC232" i="20"/>
  <c r="CB232" i="20"/>
  <c r="CA232" i="20"/>
  <c r="BZ232" i="20"/>
  <c r="BY232" i="20"/>
  <c r="BX232" i="20"/>
  <c r="BW232" i="20"/>
  <c r="BV232" i="20"/>
  <c r="BU232" i="20"/>
  <c r="BT232" i="20"/>
  <c r="BN232" i="20"/>
  <c r="BM232" i="20"/>
  <c r="BK232" i="20"/>
  <c r="BJ232" i="20"/>
  <c r="BI232" i="20"/>
  <c r="BG232" i="20"/>
  <c r="BF232" i="20"/>
  <c r="BE232" i="20"/>
  <c r="BD232" i="20"/>
  <c r="BC232" i="20"/>
  <c r="BB232" i="20"/>
  <c r="AZ232" i="20"/>
  <c r="AY232" i="20"/>
  <c r="AX232" i="20"/>
  <c r="AW232" i="20"/>
  <c r="AV232" i="20"/>
  <c r="AU232" i="20"/>
  <c r="AS232" i="20"/>
  <c r="AR232" i="20"/>
  <c r="AQ232" i="20"/>
  <c r="AP232" i="20"/>
  <c r="AO232" i="20"/>
  <c r="AN232" i="20"/>
  <c r="AL232" i="20"/>
  <c r="AK232" i="20"/>
  <c r="AJ232" i="20"/>
  <c r="AI232" i="20"/>
  <c r="AH232" i="20"/>
  <c r="AG232" i="20"/>
  <c r="AE232" i="20"/>
  <c r="AD232" i="20"/>
  <c r="AB232" i="20"/>
  <c r="AA232" i="20"/>
  <c r="Z232" i="20"/>
  <c r="Y232" i="20"/>
  <c r="X232" i="20"/>
  <c r="W232" i="20"/>
  <c r="V232" i="20"/>
  <c r="T232" i="20"/>
  <c r="S232" i="20"/>
  <c r="R232" i="20"/>
  <c r="Q232" i="20"/>
  <c r="E232" i="20"/>
  <c r="D232" i="20"/>
  <c r="CG231" i="20"/>
  <c r="CE231" i="20"/>
  <c r="CC231" i="20"/>
  <c r="CB231" i="20"/>
  <c r="CA231" i="20"/>
  <c r="BZ231" i="20"/>
  <c r="BY231" i="20"/>
  <c r="BX231" i="20"/>
  <c r="BW231" i="20"/>
  <c r="BV231" i="20"/>
  <c r="BU231" i="20"/>
  <c r="BT231" i="20"/>
  <c r="BN231" i="20"/>
  <c r="BM231" i="20"/>
  <c r="BK231" i="20"/>
  <c r="BJ231" i="20"/>
  <c r="BI231" i="20"/>
  <c r="BG231" i="20"/>
  <c r="BF231" i="20"/>
  <c r="BE231" i="20"/>
  <c r="BD231" i="20"/>
  <c r="BC231" i="20"/>
  <c r="BB231" i="20"/>
  <c r="AZ231" i="20"/>
  <c r="AY231" i="20"/>
  <c r="AX231" i="20"/>
  <c r="AW231" i="20"/>
  <c r="AV231" i="20"/>
  <c r="AU231" i="20"/>
  <c r="AS231" i="20"/>
  <c r="AR231" i="20"/>
  <c r="AQ231" i="20"/>
  <c r="AP231" i="20"/>
  <c r="AO231" i="20"/>
  <c r="AN231" i="20"/>
  <c r="AL231" i="20"/>
  <c r="AK231" i="20"/>
  <c r="AJ231" i="20"/>
  <c r="AI231" i="20"/>
  <c r="AH231" i="20"/>
  <c r="AG231" i="20"/>
  <c r="AE231" i="20"/>
  <c r="AD231" i="20"/>
  <c r="AB231" i="20"/>
  <c r="AA231" i="20"/>
  <c r="Z231" i="20"/>
  <c r="Y231" i="20"/>
  <c r="X231" i="20"/>
  <c r="W231" i="20"/>
  <c r="V231" i="20"/>
  <c r="T231" i="20"/>
  <c r="S231" i="20"/>
  <c r="R231" i="20"/>
  <c r="Q231" i="20"/>
  <c r="E231" i="20"/>
  <c r="D231" i="20"/>
  <c r="CG230" i="20"/>
  <c r="CE230" i="20"/>
  <c r="CC230" i="20"/>
  <c r="CB230" i="20"/>
  <c r="CA230" i="20"/>
  <c r="BZ230" i="20"/>
  <c r="BY230" i="20"/>
  <c r="BX230" i="20"/>
  <c r="BW230" i="20"/>
  <c r="BV230" i="20"/>
  <c r="BU230" i="20"/>
  <c r="BT230" i="20"/>
  <c r="BN230" i="20"/>
  <c r="BM230" i="20"/>
  <c r="BK230" i="20"/>
  <c r="BJ230" i="20"/>
  <c r="BI230" i="20"/>
  <c r="BG230" i="20"/>
  <c r="BF230" i="20"/>
  <c r="BE230" i="20"/>
  <c r="BD230" i="20"/>
  <c r="BC230" i="20"/>
  <c r="BB230" i="20"/>
  <c r="AZ230" i="20"/>
  <c r="AY230" i="20"/>
  <c r="AX230" i="20"/>
  <c r="AW230" i="20"/>
  <c r="AV230" i="20"/>
  <c r="AU230" i="20"/>
  <c r="AS230" i="20"/>
  <c r="AR230" i="20"/>
  <c r="AQ230" i="20"/>
  <c r="AP230" i="20"/>
  <c r="AO230" i="20"/>
  <c r="AN230" i="20"/>
  <c r="AL230" i="20"/>
  <c r="AK230" i="20"/>
  <c r="AJ230" i="20"/>
  <c r="AI230" i="20"/>
  <c r="AH230" i="20"/>
  <c r="AG230" i="20"/>
  <c r="AE230" i="20"/>
  <c r="AD230" i="20"/>
  <c r="AB230" i="20"/>
  <c r="AA230" i="20"/>
  <c r="Z230" i="20"/>
  <c r="Y230" i="20"/>
  <c r="X230" i="20"/>
  <c r="W230" i="20"/>
  <c r="V230" i="20"/>
  <c r="T230" i="20"/>
  <c r="S230" i="20"/>
  <c r="R230" i="20"/>
  <c r="Q230" i="20"/>
  <c r="E230" i="20"/>
  <c r="D230" i="20"/>
  <c r="CG229" i="20"/>
  <c r="CE229" i="20"/>
  <c r="CC229" i="20"/>
  <c r="CB229" i="20"/>
  <c r="CA229" i="20"/>
  <c r="BZ229" i="20"/>
  <c r="BY229" i="20"/>
  <c r="BX229" i="20"/>
  <c r="BW229" i="20"/>
  <c r="BV229" i="20"/>
  <c r="BU229" i="20"/>
  <c r="BT229" i="20"/>
  <c r="BN229" i="20"/>
  <c r="BM229" i="20"/>
  <c r="BK229" i="20"/>
  <c r="BJ229" i="20"/>
  <c r="BI229" i="20"/>
  <c r="BG229" i="20"/>
  <c r="BF229" i="20"/>
  <c r="BE229" i="20"/>
  <c r="BD229" i="20"/>
  <c r="BC229" i="20"/>
  <c r="BB229" i="20"/>
  <c r="AZ229" i="20"/>
  <c r="AY229" i="20"/>
  <c r="AX229" i="20"/>
  <c r="AW229" i="20"/>
  <c r="AV229" i="20"/>
  <c r="AU229" i="20"/>
  <c r="AS229" i="20"/>
  <c r="AR229" i="20"/>
  <c r="AQ229" i="20"/>
  <c r="AP229" i="20"/>
  <c r="AO229" i="20"/>
  <c r="AN229" i="20"/>
  <c r="AL229" i="20"/>
  <c r="AK229" i="20"/>
  <c r="AJ229" i="20"/>
  <c r="AI229" i="20"/>
  <c r="AH229" i="20"/>
  <c r="AG229" i="20"/>
  <c r="AE229" i="20"/>
  <c r="AD229" i="20"/>
  <c r="AB229" i="20"/>
  <c r="AA229" i="20"/>
  <c r="Z229" i="20"/>
  <c r="Y229" i="20"/>
  <c r="X229" i="20"/>
  <c r="W229" i="20"/>
  <c r="V229" i="20"/>
  <c r="T229" i="20"/>
  <c r="S229" i="20"/>
  <c r="R229" i="20"/>
  <c r="Q229" i="20"/>
  <c r="E229" i="20"/>
  <c r="D229" i="20"/>
  <c r="CG228" i="20"/>
  <c r="CE228" i="20"/>
  <c r="CC228" i="20"/>
  <c r="CB228" i="20"/>
  <c r="CA228" i="20"/>
  <c r="BZ228" i="20"/>
  <c r="BY228" i="20"/>
  <c r="BX228" i="20"/>
  <c r="BW228" i="20"/>
  <c r="BV228" i="20"/>
  <c r="BU228" i="20"/>
  <c r="BT228" i="20"/>
  <c r="BN228" i="20"/>
  <c r="BM228" i="20"/>
  <c r="BK228" i="20"/>
  <c r="BJ228" i="20"/>
  <c r="BI228" i="20"/>
  <c r="BG228" i="20"/>
  <c r="BF228" i="20"/>
  <c r="BE228" i="20"/>
  <c r="BD228" i="20"/>
  <c r="BC228" i="20"/>
  <c r="BB228" i="20"/>
  <c r="AZ228" i="20"/>
  <c r="AY228" i="20"/>
  <c r="AX228" i="20"/>
  <c r="AW228" i="20"/>
  <c r="AV228" i="20"/>
  <c r="AU228" i="20"/>
  <c r="AS228" i="20"/>
  <c r="AR228" i="20"/>
  <c r="AQ228" i="20"/>
  <c r="AP228" i="20"/>
  <c r="AO228" i="20"/>
  <c r="AN228" i="20"/>
  <c r="AL228" i="20"/>
  <c r="AK228" i="20"/>
  <c r="AJ228" i="20"/>
  <c r="AI228" i="20"/>
  <c r="AH228" i="20"/>
  <c r="AG228" i="20"/>
  <c r="AE228" i="20"/>
  <c r="AD228" i="20"/>
  <c r="AB228" i="20"/>
  <c r="AA228" i="20"/>
  <c r="Z228" i="20"/>
  <c r="Y228" i="20"/>
  <c r="X228" i="20"/>
  <c r="W228" i="20"/>
  <c r="V228" i="20"/>
  <c r="T228" i="20"/>
  <c r="S228" i="20"/>
  <c r="R228" i="20"/>
  <c r="Q228" i="20"/>
  <c r="E228" i="20"/>
  <c r="D228" i="20"/>
  <c r="CG227" i="20"/>
  <c r="CE227" i="20"/>
  <c r="CC227" i="20"/>
  <c r="CB227" i="20"/>
  <c r="CA227" i="20"/>
  <c r="BZ227" i="20"/>
  <c r="BY227" i="20"/>
  <c r="BX227" i="20"/>
  <c r="BW227" i="20"/>
  <c r="BV227" i="20"/>
  <c r="BU227" i="20"/>
  <c r="BT227" i="20"/>
  <c r="BN227" i="20"/>
  <c r="BM227" i="20"/>
  <c r="BK227" i="20"/>
  <c r="BJ227" i="20"/>
  <c r="BI227" i="20"/>
  <c r="BG227" i="20"/>
  <c r="BF227" i="20"/>
  <c r="BE227" i="20"/>
  <c r="BD227" i="20"/>
  <c r="BC227" i="20"/>
  <c r="BB227" i="20"/>
  <c r="AZ227" i="20"/>
  <c r="AY227" i="20"/>
  <c r="AX227" i="20"/>
  <c r="AW227" i="20"/>
  <c r="AV227" i="20"/>
  <c r="AU227" i="20"/>
  <c r="AS227" i="20"/>
  <c r="AR227" i="20"/>
  <c r="AQ227" i="20"/>
  <c r="AP227" i="20"/>
  <c r="AO227" i="20"/>
  <c r="AN227" i="20"/>
  <c r="AL227" i="20"/>
  <c r="AK227" i="20"/>
  <c r="AJ227" i="20"/>
  <c r="AI227" i="20"/>
  <c r="AH227" i="20"/>
  <c r="AG227" i="20"/>
  <c r="AE227" i="20"/>
  <c r="AD227" i="20"/>
  <c r="AB227" i="20"/>
  <c r="AA227" i="20"/>
  <c r="Z227" i="20"/>
  <c r="Y227" i="20"/>
  <c r="X227" i="20"/>
  <c r="W227" i="20"/>
  <c r="V227" i="20"/>
  <c r="T227" i="20"/>
  <c r="S227" i="20"/>
  <c r="R227" i="20"/>
  <c r="Q227" i="20"/>
  <c r="E227" i="20"/>
  <c r="D227" i="20"/>
  <c r="CG226" i="20"/>
  <c r="CE226" i="20"/>
  <c r="CC226" i="20"/>
  <c r="CB226" i="20"/>
  <c r="CA226" i="20"/>
  <c r="BZ226" i="20"/>
  <c r="BY226" i="20"/>
  <c r="BX226" i="20"/>
  <c r="BW226" i="20"/>
  <c r="BV226" i="20"/>
  <c r="BU226" i="20"/>
  <c r="BT226" i="20"/>
  <c r="BN226" i="20"/>
  <c r="BM226" i="20"/>
  <c r="BK226" i="20"/>
  <c r="BJ226" i="20"/>
  <c r="BI226" i="20"/>
  <c r="BG226" i="20"/>
  <c r="BF226" i="20"/>
  <c r="BE226" i="20"/>
  <c r="BD226" i="20"/>
  <c r="BC226" i="20"/>
  <c r="BB226" i="20"/>
  <c r="AZ226" i="20"/>
  <c r="AY226" i="20"/>
  <c r="AX226" i="20"/>
  <c r="AW226" i="20"/>
  <c r="AV226" i="20"/>
  <c r="AU226" i="20"/>
  <c r="AS226" i="20"/>
  <c r="AR226" i="20"/>
  <c r="AQ226" i="20"/>
  <c r="AP226" i="20"/>
  <c r="AO226" i="20"/>
  <c r="AN226" i="20"/>
  <c r="AL226" i="20"/>
  <c r="AK226" i="20"/>
  <c r="AJ226" i="20"/>
  <c r="AI226" i="20"/>
  <c r="AH226" i="20"/>
  <c r="AG226" i="20"/>
  <c r="AE226" i="20"/>
  <c r="AD226" i="20"/>
  <c r="AB226" i="20"/>
  <c r="AA226" i="20"/>
  <c r="Z226" i="20"/>
  <c r="Y226" i="20"/>
  <c r="X226" i="20"/>
  <c r="W226" i="20"/>
  <c r="V226" i="20"/>
  <c r="T226" i="20"/>
  <c r="S226" i="20"/>
  <c r="R226" i="20"/>
  <c r="Q226" i="20"/>
  <c r="E226" i="20"/>
  <c r="D226" i="20"/>
  <c r="CG225" i="20"/>
  <c r="CE225" i="20"/>
  <c r="CC225" i="20"/>
  <c r="CB225" i="20"/>
  <c r="CA225" i="20"/>
  <c r="BZ225" i="20"/>
  <c r="BY225" i="20"/>
  <c r="BX225" i="20"/>
  <c r="BW225" i="20"/>
  <c r="BV225" i="20"/>
  <c r="BU225" i="20"/>
  <c r="BT225" i="20"/>
  <c r="BN225" i="20"/>
  <c r="BM225" i="20"/>
  <c r="BK225" i="20"/>
  <c r="BJ225" i="20"/>
  <c r="BI225" i="20"/>
  <c r="BG225" i="20"/>
  <c r="BF225" i="20"/>
  <c r="BE225" i="20"/>
  <c r="BD225" i="20"/>
  <c r="BC225" i="20"/>
  <c r="BB225" i="20"/>
  <c r="AZ225" i="20"/>
  <c r="AY225" i="20"/>
  <c r="AX225" i="20"/>
  <c r="AW225" i="20"/>
  <c r="AV225" i="20"/>
  <c r="AU225" i="20"/>
  <c r="AS225" i="20"/>
  <c r="AR225" i="20"/>
  <c r="AQ225" i="20"/>
  <c r="AP225" i="20"/>
  <c r="AO225" i="20"/>
  <c r="AN225" i="20"/>
  <c r="AL225" i="20"/>
  <c r="AK225" i="20"/>
  <c r="AJ225" i="20"/>
  <c r="AI225" i="20"/>
  <c r="AH225" i="20"/>
  <c r="AG225" i="20"/>
  <c r="AE225" i="20"/>
  <c r="AD225" i="20"/>
  <c r="AB225" i="20"/>
  <c r="AA225" i="20"/>
  <c r="Z225" i="20"/>
  <c r="Y225" i="20"/>
  <c r="X225" i="20"/>
  <c r="W225" i="20"/>
  <c r="V225" i="20"/>
  <c r="T225" i="20"/>
  <c r="S225" i="20"/>
  <c r="R225" i="20"/>
  <c r="Q225" i="20"/>
  <c r="E225" i="20"/>
  <c r="D225" i="20"/>
  <c r="CG224" i="20"/>
  <c r="CE224" i="20"/>
  <c r="CC224" i="20"/>
  <c r="CB224" i="20"/>
  <c r="CA224" i="20"/>
  <c r="BZ224" i="20"/>
  <c r="BY224" i="20"/>
  <c r="BX224" i="20"/>
  <c r="BW224" i="20"/>
  <c r="BV224" i="20"/>
  <c r="BU224" i="20"/>
  <c r="BT224" i="20"/>
  <c r="BN224" i="20"/>
  <c r="BM224" i="20"/>
  <c r="BK224" i="20"/>
  <c r="BJ224" i="20"/>
  <c r="BI224" i="20"/>
  <c r="BG224" i="20"/>
  <c r="BF224" i="20"/>
  <c r="BE224" i="20"/>
  <c r="BD224" i="20"/>
  <c r="BC224" i="20"/>
  <c r="BB224" i="20"/>
  <c r="AZ224" i="20"/>
  <c r="AY224" i="20"/>
  <c r="AX224" i="20"/>
  <c r="AW224" i="20"/>
  <c r="AV224" i="20"/>
  <c r="AU224" i="20"/>
  <c r="AS224" i="20"/>
  <c r="AR224" i="20"/>
  <c r="AQ224" i="20"/>
  <c r="AP224" i="20"/>
  <c r="AO224" i="20"/>
  <c r="AN224" i="20"/>
  <c r="AL224" i="20"/>
  <c r="AK224" i="20"/>
  <c r="AJ224" i="20"/>
  <c r="AI224" i="20"/>
  <c r="AH224" i="20"/>
  <c r="AG224" i="20"/>
  <c r="AE224" i="20"/>
  <c r="AD224" i="20"/>
  <c r="AB224" i="20"/>
  <c r="AA224" i="20"/>
  <c r="Z224" i="20"/>
  <c r="Y224" i="20"/>
  <c r="X224" i="20"/>
  <c r="W224" i="20"/>
  <c r="V224" i="20"/>
  <c r="T224" i="20"/>
  <c r="S224" i="20"/>
  <c r="R224" i="20"/>
  <c r="Q224" i="20"/>
  <c r="E224" i="20"/>
  <c r="D224" i="20"/>
  <c r="CG223" i="20"/>
  <c r="CE223" i="20"/>
  <c r="CC223" i="20"/>
  <c r="CB223" i="20"/>
  <c r="CA223" i="20"/>
  <c r="BZ223" i="20"/>
  <c r="BY223" i="20"/>
  <c r="BX223" i="20"/>
  <c r="BW223" i="20"/>
  <c r="BV223" i="20"/>
  <c r="BU223" i="20"/>
  <c r="BT223" i="20"/>
  <c r="BN223" i="20"/>
  <c r="BM223" i="20"/>
  <c r="BK223" i="20"/>
  <c r="BJ223" i="20"/>
  <c r="BI223" i="20"/>
  <c r="BG223" i="20"/>
  <c r="BF223" i="20"/>
  <c r="BE223" i="20"/>
  <c r="BD223" i="20"/>
  <c r="BC223" i="20"/>
  <c r="BB223" i="20"/>
  <c r="AZ223" i="20"/>
  <c r="AY223" i="20"/>
  <c r="AX223" i="20"/>
  <c r="AW223" i="20"/>
  <c r="AV223" i="20"/>
  <c r="AU223" i="20"/>
  <c r="AS223" i="20"/>
  <c r="AR223" i="20"/>
  <c r="AQ223" i="20"/>
  <c r="AP223" i="20"/>
  <c r="AO223" i="20"/>
  <c r="AN223" i="20"/>
  <c r="AL223" i="20"/>
  <c r="AK223" i="20"/>
  <c r="AJ223" i="20"/>
  <c r="AI223" i="20"/>
  <c r="AH223" i="20"/>
  <c r="AG223" i="20"/>
  <c r="AE223" i="20"/>
  <c r="AD223" i="20"/>
  <c r="AB223" i="20"/>
  <c r="AA223" i="20"/>
  <c r="Z223" i="20"/>
  <c r="Y223" i="20"/>
  <c r="X223" i="20"/>
  <c r="W223" i="20"/>
  <c r="V223" i="20"/>
  <c r="T223" i="20"/>
  <c r="S223" i="20"/>
  <c r="R223" i="20"/>
  <c r="Q223" i="20"/>
  <c r="E223" i="20"/>
  <c r="D223" i="20"/>
  <c r="CG222" i="20"/>
  <c r="CE222" i="20"/>
  <c r="CC222" i="20"/>
  <c r="CB222" i="20"/>
  <c r="CA222" i="20"/>
  <c r="BZ222" i="20"/>
  <c r="BY222" i="20"/>
  <c r="BX222" i="20"/>
  <c r="BW222" i="20"/>
  <c r="BV222" i="20"/>
  <c r="BU222" i="20"/>
  <c r="BT222" i="20"/>
  <c r="BN222" i="20"/>
  <c r="BM222" i="20"/>
  <c r="BK222" i="20"/>
  <c r="BJ222" i="20"/>
  <c r="BI222" i="20"/>
  <c r="BG222" i="20"/>
  <c r="BF222" i="20"/>
  <c r="BE222" i="20"/>
  <c r="BD222" i="20"/>
  <c r="BC222" i="20"/>
  <c r="BB222" i="20"/>
  <c r="AZ222" i="20"/>
  <c r="AY222" i="20"/>
  <c r="AX222" i="20"/>
  <c r="AW222" i="20"/>
  <c r="AV222" i="20"/>
  <c r="AU222" i="20"/>
  <c r="AS222" i="20"/>
  <c r="AR222" i="20"/>
  <c r="AQ222" i="20"/>
  <c r="AP222" i="20"/>
  <c r="AO222" i="20"/>
  <c r="AN222" i="20"/>
  <c r="AL222" i="20"/>
  <c r="AK222" i="20"/>
  <c r="AJ222" i="20"/>
  <c r="AI222" i="20"/>
  <c r="AH222" i="20"/>
  <c r="AG222" i="20"/>
  <c r="AE222" i="20"/>
  <c r="AD222" i="20"/>
  <c r="AB222" i="20"/>
  <c r="AA222" i="20"/>
  <c r="Z222" i="20"/>
  <c r="Y222" i="20"/>
  <c r="X222" i="20"/>
  <c r="W222" i="20"/>
  <c r="V222" i="20"/>
  <c r="T222" i="20"/>
  <c r="S222" i="20"/>
  <c r="R222" i="20"/>
  <c r="Q222" i="20"/>
  <c r="E222" i="20"/>
  <c r="D222" i="20"/>
  <c r="CG221" i="20"/>
  <c r="CE221" i="20"/>
  <c r="CC221" i="20"/>
  <c r="CB221" i="20"/>
  <c r="CA221" i="20"/>
  <c r="BZ221" i="20"/>
  <c r="BY221" i="20"/>
  <c r="BX221" i="20"/>
  <c r="BW221" i="20"/>
  <c r="BV221" i="20"/>
  <c r="BU221" i="20"/>
  <c r="BT221" i="20"/>
  <c r="BN221" i="20"/>
  <c r="BM221" i="20"/>
  <c r="BK221" i="20"/>
  <c r="BJ221" i="20"/>
  <c r="BI221" i="20"/>
  <c r="BG221" i="20"/>
  <c r="BF221" i="20"/>
  <c r="BE221" i="20"/>
  <c r="BD221" i="20"/>
  <c r="BC221" i="20"/>
  <c r="BB221" i="20"/>
  <c r="AZ221" i="20"/>
  <c r="AY221" i="20"/>
  <c r="AX221" i="20"/>
  <c r="AW221" i="20"/>
  <c r="AV221" i="20"/>
  <c r="AU221" i="20"/>
  <c r="AS221" i="20"/>
  <c r="AR221" i="20"/>
  <c r="AQ221" i="20"/>
  <c r="AP221" i="20"/>
  <c r="AO221" i="20"/>
  <c r="AN221" i="20"/>
  <c r="AL221" i="20"/>
  <c r="AK221" i="20"/>
  <c r="AJ221" i="20"/>
  <c r="AI221" i="20"/>
  <c r="AH221" i="20"/>
  <c r="AG221" i="20"/>
  <c r="AE221" i="20"/>
  <c r="AD221" i="20"/>
  <c r="AB221" i="20"/>
  <c r="AA221" i="20"/>
  <c r="Z221" i="20"/>
  <c r="Y221" i="20"/>
  <c r="X221" i="20"/>
  <c r="W221" i="20"/>
  <c r="V221" i="20"/>
  <c r="T221" i="20"/>
  <c r="S221" i="20"/>
  <c r="R221" i="20"/>
  <c r="Q221" i="20"/>
  <c r="E221" i="20"/>
  <c r="D221" i="20"/>
  <c r="CG220" i="20"/>
  <c r="CE220" i="20"/>
  <c r="CC220" i="20"/>
  <c r="CB220" i="20"/>
  <c r="CA220" i="20"/>
  <c r="BZ220" i="20"/>
  <c r="BY220" i="20"/>
  <c r="BX220" i="20"/>
  <c r="BW220" i="20"/>
  <c r="BV220" i="20"/>
  <c r="BU220" i="20"/>
  <c r="BT220" i="20"/>
  <c r="BN220" i="20"/>
  <c r="BM220" i="20"/>
  <c r="BK220" i="20"/>
  <c r="BJ220" i="20"/>
  <c r="BI220" i="20"/>
  <c r="BG220" i="20"/>
  <c r="BF220" i="20"/>
  <c r="BE220" i="20"/>
  <c r="BD220" i="20"/>
  <c r="BC220" i="20"/>
  <c r="BB220" i="20"/>
  <c r="AZ220" i="20"/>
  <c r="AY220" i="20"/>
  <c r="AX220" i="20"/>
  <c r="AW220" i="20"/>
  <c r="AV220" i="20"/>
  <c r="AU220" i="20"/>
  <c r="AS220" i="20"/>
  <c r="AR220" i="20"/>
  <c r="AQ220" i="20"/>
  <c r="AP220" i="20"/>
  <c r="AO220" i="20"/>
  <c r="AN220" i="20"/>
  <c r="AL220" i="20"/>
  <c r="AK220" i="20"/>
  <c r="AJ220" i="20"/>
  <c r="AI220" i="20"/>
  <c r="AH220" i="20"/>
  <c r="AG220" i="20"/>
  <c r="AE220" i="20"/>
  <c r="AD220" i="20"/>
  <c r="AB220" i="20"/>
  <c r="AA220" i="20"/>
  <c r="Z220" i="20"/>
  <c r="Y220" i="20"/>
  <c r="X220" i="20"/>
  <c r="W220" i="20"/>
  <c r="V220" i="20"/>
  <c r="T220" i="20"/>
  <c r="S220" i="20"/>
  <c r="R220" i="20"/>
  <c r="Q220" i="20"/>
  <c r="E220" i="20"/>
  <c r="D220" i="20"/>
  <c r="CG219" i="20"/>
  <c r="CE219" i="20"/>
  <c r="CC219" i="20"/>
  <c r="CB219" i="20"/>
  <c r="CA219" i="20"/>
  <c r="BZ219" i="20"/>
  <c r="BY219" i="20"/>
  <c r="BX219" i="20"/>
  <c r="BW219" i="20"/>
  <c r="BV219" i="20"/>
  <c r="BU219" i="20"/>
  <c r="BT219" i="20"/>
  <c r="BN219" i="20"/>
  <c r="BM219" i="20"/>
  <c r="BK219" i="20"/>
  <c r="BJ219" i="20"/>
  <c r="BI219" i="20"/>
  <c r="BG219" i="20"/>
  <c r="BF219" i="20"/>
  <c r="BE219" i="20"/>
  <c r="BD219" i="20"/>
  <c r="BC219" i="20"/>
  <c r="BB219" i="20"/>
  <c r="AZ219" i="20"/>
  <c r="AY219" i="20"/>
  <c r="AX219" i="20"/>
  <c r="AW219" i="20"/>
  <c r="AV219" i="20"/>
  <c r="AU219" i="20"/>
  <c r="AS219" i="20"/>
  <c r="AR219" i="20"/>
  <c r="AQ219" i="20"/>
  <c r="AP219" i="20"/>
  <c r="AO219" i="20"/>
  <c r="AN219" i="20"/>
  <c r="AL219" i="20"/>
  <c r="AK219" i="20"/>
  <c r="AJ219" i="20"/>
  <c r="AI219" i="20"/>
  <c r="AH219" i="20"/>
  <c r="AG219" i="20"/>
  <c r="AE219" i="20"/>
  <c r="AD219" i="20"/>
  <c r="AB219" i="20"/>
  <c r="AA219" i="20"/>
  <c r="Z219" i="20"/>
  <c r="Y219" i="20"/>
  <c r="X219" i="20"/>
  <c r="W219" i="20"/>
  <c r="V219" i="20"/>
  <c r="T219" i="20"/>
  <c r="S219" i="20"/>
  <c r="R219" i="20"/>
  <c r="Q219" i="20"/>
  <c r="E219" i="20"/>
  <c r="D219" i="20"/>
  <c r="CG218" i="20"/>
  <c r="CE218" i="20"/>
  <c r="CC218" i="20"/>
  <c r="CB218" i="20"/>
  <c r="CA218" i="20"/>
  <c r="BZ218" i="20"/>
  <c r="BY218" i="20"/>
  <c r="BX218" i="20"/>
  <c r="BW218" i="20"/>
  <c r="BV218" i="20"/>
  <c r="BU218" i="20"/>
  <c r="BT218" i="20"/>
  <c r="BN218" i="20"/>
  <c r="BM218" i="20"/>
  <c r="BK218" i="20"/>
  <c r="BJ218" i="20"/>
  <c r="BI218" i="20"/>
  <c r="BG218" i="20"/>
  <c r="BF218" i="20"/>
  <c r="BE218" i="20"/>
  <c r="BD218" i="20"/>
  <c r="BC218" i="20"/>
  <c r="BB218" i="20"/>
  <c r="AZ218" i="20"/>
  <c r="AY218" i="20"/>
  <c r="AX218" i="20"/>
  <c r="AW218" i="20"/>
  <c r="AV218" i="20"/>
  <c r="AU218" i="20"/>
  <c r="AS218" i="20"/>
  <c r="AR218" i="20"/>
  <c r="AQ218" i="20"/>
  <c r="AP218" i="20"/>
  <c r="AO218" i="20"/>
  <c r="AN218" i="20"/>
  <c r="AL218" i="20"/>
  <c r="AK218" i="20"/>
  <c r="AJ218" i="20"/>
  <c r="AI218" i="20"/>
  <c r="AH218" i="20"/>
  <c r="AG218" i="20"/>
  <c r="AE218" i="20"/>
  <c r="AD218" i="20"/>
  <c r="AB218" i="20"/>
  <c r="AA218" i="20"/>
  <c r="Z218" i="20"/>
  <c r="Y218" i="20"/>
  <c r="X218" i="20"/>
  <c r="W218" i="20"/>
  <c r="V218" i="20"/>
  <c r="T218" i="20"/>
  <c r="S218" i="20"/>
  <c r="R218" i="20"/>
  <c r="Q218" i="20"/>
  <c r="E218" i="20"/>
  <c r="D218" i="20"/>
  <c r="CG217" i="20"/>
  <c r="CE217" i="20"/>
  <c r="CC217" i="20"/>
  <c r="CB217" i="20"/>
  <c r="CA217" i="20"/>
  <c r="BZ217" i="20"/>
  <c r="BY217" i="20"/>
  <c r="BX217" i="20"/>
  <c r="BW217" i="20"/>
  <c r="BV217" i="20"/>
  <c r="BU217" i="20"/>
  <c r="BT217" i="20"/>
  <c r="BN217" i="20"/>
  <c r="BM217" i="20"/>
  <c r="BK217" i="20"/>
  <c r="BJ217" i="20"/>
  <c r="BI217" i="20"/>
  <c r="BG217" i="20"/>
  <c r="BF217" i="20"/>
  <c r="BE217" i="20"/>
  <c r="BD217" i="20"/>
  <c r="BC217" i="20"/>
  <c r="BB217" i="20"/>
  <c r="AZ217" i="20"/>
  <c r="AY217" i="20"/>
  <c r="AX217" i="20"/>
  <c r="AW217" i="20"/>
  <c r="AV217" i="20"/>
  <c r="AU217" i="20"/>
  <c r="AS217" i="20"/>
  <c r="AR217" i="20"/>
  <c r="AQ217" i="20"/>
  <c r="AP217" i="20"/>
  <c r="AO217" i="20"/>
  <c r="AN217" i="20"/>
  <c r="AL217" i="20"/>
  <c r="AK217" i="20"/>
  <c r="AJ217" i="20"/>
  <c r="AI217" i="20"/>
  <c r="AH217" i="20"/>
  <c r="AG217" i="20"/>
  <c r="AE217" i="20"/>
  <c r="AD217" i="20"/>
  <c r="AB217" i="20"/>
  <c r="AA217" i="20"/>
  <c r="Z217" i="20"/>
  <c r="Y217" i="20"/>
  <c r="X217" i="20"/>
  <c r="W217" i="20"/>
  <c r="V217" i="20"/>
  <c r="T217" i="20"/>
  <c r="S217" i="20"/>
  <c r="R217" i="20"/>
  <c r="Q217" i="20"/>
  <c r="E217" i="20"/>
  <c r="D217" i="20"/>
  <c r="CG216" i="20"/>
  <c r="CE216" i="20"/>
  <c r="CC216" i="20"/>
  <c r="CB216" i="20"/>
  <c r="CA216" i="20"/>
  <c r="BZ216" i="20"/>
  <c r="BY216" i="20"/>
  <c r="BX216" i="20"/>
  <c r="BW216" i="20"/>
  <c r="BV216" i="20"/>
  <c r="BU216" i="20"/>
  <c r="BT216" i="20"/>
  <c r="BN216" i="20"/>
  <c r="BM216" i="20"/>
  <c r="BK216" i="20"/>
  <c r="BJ216" i="20"/>
  <c r="BI216" i="20"/>
  <c r="BG216" i="20"/>
  <c r="BF216" i="20"/>
  <c r="BE216" i="20"/>
  <c r="BD216" i="20"/>
  <c r="BC216" i="20"/>
  <c r="BB216" i="20"/>
  <c r="AZ216" i="20"/>
  <c r="AY216" i="20"/>
  <c r="AX216" i="20"/>
  <c r="AW216" i="20"/>
  <c r="AV216" i="20"/>
  <c r="AU216" i="20"/>
  <c r="AS216" i="20"/>
  <c r="AR216" i="20"/>
  <c r="AQ216" i="20"/>
  <c r="AP216" i="20"/>
  <c r="AO216" i="20"/>
  <c r="AN216" i="20"/>
  <c r="AL216" i="20"/>
  <c r="AK216" i="20"/>
  <c r="AJ216" i="20"/>
  <c r="AI216" i="20"/>
  <c r="AH216" i="20"/>
  <c r="AG216" i="20"/>
  <c r="AE216" i="20"/>
  <c r="AD216" i="20"/>
  <c r="AB216" i="20"/>
  <c r="AA216" i="20"/>
  <c r="Z216" i="20"/>
  <c r="Y216" i="20"/>
  <c r="X216" i="20"/>
  <c r="W216" i="20"/>
  <c r="V216" i="20"/>
  <c r="T216" i="20"/>
  <c r="S216" i="20"/>
  <c r="R216" i="20"/>
  <c r="Q216" i="20"/>
  <c r="E216" i="20"/>
  <c r="D216" i="20"/>
  <c r="CG215" i="20"/>
  <c r="CE215" i="20"/>
  <c r="CC215" i="20"/>
  <c r="CB215" i="20"/>
  <c r="CA215" i="20"/>
  <c r="BZ215" i="20"/>
  <c r="BY215" i="20"/>
  <c r="BX215" i="20"/>
  <c r="BW215" i="20"/>
  <c r="BV215" i="20"/>
  <c r="BU215" i="20"/>
  <c r="BT215" i="20"/>
  <c r="BN215" i="20"/>
  <c r="BM215" i="20"/>
  <c r="BK215" i="20"/>
  <c r="BJ215" i="20"/>
  <c r="BI215" i="20"/>
  <c r="BG215" i="20"/>
  <c r="BF215" i="20"/>
  <c r="BE215" i="20"/>
  <c r="BD215" i="20"/>
  <c r="BC215" i="20"/>
  <c r="BB215" i="20"/>
  <c r="AZ215" i="20"/>
  <c r="AY215" i="20"/>
  <c r="AX215" i="20"/>
  <c r="AW215" i="20"/>
  <c r="AV215" i="20"/>
  <c r="AU215" i="20"/>
  <c r="AS215" i="20"/>
  <c r="AR215" i="20"/>
  <c r="AQ215" i="20"/>
  <c r="AP215" i="20"/>
  <c r="AO215" i="20"/>
  <c r="AN215" i="20"/>
  <c r="AL215" i="20"/>
  <c r="AK215" i="20"/>
  <c r="AJ215" i="20"/>
  <c r="AI215" i="20"/>
  <c r="AH215" i="20"/>
  <c r="AG215" i="20"/>
  <c r="AE215" i="20"/>
  <c r="AD215" i="20"/>
  <c r="AB215" i="20"/>
  <c r="AA215" i="20"/>
  <c r="Z215" i="20"/>
  <c r="Y215" i="20"/>
  <c r="X215" i="20"/>
  <c r="W215" i="20"/>
  <c r="V215" i="20"/>
  <c r="T215" i="20"/>
  <c r="S215" i="20"/>
  <c r="R215" i="20"/>
  <c r="Q215" i="20"/>
  <c r="E215" i="20"/>
  <c r="D215" i="20"/>
  <c r="CG214" i="20"/>
  <c r="CE214" i="20"/>
  <c r="CC214" i="20"/>
  <c r="CB214" i="20"/>
  <c r="CA214" i="20"/>
  <c r="BZ214" i="20"/>
  <c r="BY214" i="20"/>
  <c r="BX214" i="20"/>
  <c r="BW214" i="20"/>
  <c r="BV214" i="20"/>
  <c r="BU214" i="20"/>
  <c r="BT214" i="20"/>
  <c r="BN214" i="20"/>
  <c r="BM214" i="20"/>
  <c r="BK214" i="20"/>
  <c r="BJ214" i="20"/>
  <c r="BI214" i="20"/>
  <c r="BG214" i="20"/>
  <c r="BF214" i="20"/>
  <c r="BE214" i="20"/>
  <c r="BD214" i="20"/>
  <c r="BC214" i="20"/>
  <c r="BB214" i="20"/>
  <c r="AZ214" i="20"/>
  <c r="AY214" i="20"/>
  <c r="AX214" i="20"/>
  <c r="AW214" i="20"/>
  <c r="AV214" i="20"/>
  <c r="AU214" i="20"/>
  <c r="AS214" i="20"/>
  <c r="AR214" i="20"/>
  <c r="AQ214" i="20"/>
  <c r="AP214" i="20"/>
  <c r="AO214" i="20"/>
  <c r="AN214" i="20"/>
  <c r="AL214" i="20"/>
  <c r="AK214" i="20"/>
  <c r="AJ214" i="20"/>
  <c r="AI214" i="20"/>
  <c r="AH214" i="20"/>
  <c r="AG214" i="20"/>
  <c r="AE214" i="20"/>
  <c r="AD214" i="20"/>
  <c r="AB214" i="20"/>
  <c r="AA214" i="20"/>
  <c r="Z214" i="20"/>
  <c r="Y214" i="20"/>
  <c r="X214" i="20"/>
  <c r="W214" i="20"/>
  <c r="V214" i="20"/>
  <c r="T214" i="20"/>
  <c r="S214" i="20"/>
  <c r="R214" i="20"/>
  <c r="Q214" i="20"/>
  <c r="E214" i="20"/>
  <c r="D214" i="20"/>
  <c r="CG213" i="20"/>
  <c r="CE213" i="20"/>
  <c r="CC213" i="20"/>
  <c r="CB213" i="20"/>
  <c r="CA213" i="20"/>
  <c r="BZ213" i="20"/>
  <c r="BY213" i="20"/>
  <c r="BX213" i="20"/>
  <c r="BW213" i="20"/>
  <c r="BV213" i="20"/>
  <c r="BU213" i="20"/>
  <c r="BT213" i="20"/>
  <c r="BN213" i="20"/>
  <c r="BM213" i="20"/>
  <c r="BK213" i="20"/>
  <c r="BJ213" i="20"/>
  <c r="BI213" i="20"/>
  <c r="BG213" i="20"/>
  <c r="BF213" i="20"/>
  <c r="BE213" i="20"/>
  <c r="BD213" i="20"/>
  <c r="BC213" i="20"/>
  <c r="BB213" i="20"/>
  <c r="AZ213" i="20"/>
  <c r="AY213" i="20"/>
  <c r="AX213" i="20"/>
  <c r="AW213" i="20"/>
  <c r="AV213" i="20"/>
  <c r="AU213" i="20"/>
  <c r="AS213" i="20"/>
  <c r="AR213" i="20"/>
  <c r="AQ213" i="20"/>
  <c r="AP213" i="20"/>
  <c r="AO213" i="20"/>
  <c r="AN213" i="20"/>
  <c r="AL213" i="20"/>
  <c r="AK213" i="20"/>
  <c r="AJ213" i="20"/>
  <c r="AI213" i="20"/>
  <c r="AH213" i="20"/>
  <c r="AG213" i="20"/>
  <c r="AE213" i="20"/>
  <c r="AD213" i="20"/>
  <c r="AB213" i="20"/>
  <c r="AA213" i="20"/>
  <c r="Z213" i="20"/>
  <c r="Y213" i="20"/>
  <c r="X213" i="20"/>
  <c r="W213" i="20"/>
  <c r="V213" i="20"/>
  <c r="T213" i="20"/>
  <c r="S213" i="20"/>
  <c r="R213" i="20"/>
  <c r="Q213" i="20"/>
  <c r="E213" i="20"/>
  <c r="D213" i="20"/>
  <c r="CG212" i="20"/>
  <c r="CE212" i="20"/>
  <c r="CC212" i="20"/>
  <c r="CB212" i="20"/>
  <c r="CA212" i="20"/>
  <c r="BZ212" i="20"/>
  <c r="BY212" i="20"/>
  <c r="BX212" i="20"/>
  <c r="BW212" i="20"/>
  <c r="BV212" i="20"/>
  <c r="BU212" i="20"/>
  <c r="BT212" i="20"/>
  <c r="BN212" i="20"/>
  <c r="BM212" i="20"/>
  <c r="BK212" i="20"/>
  <c r="BJ212" i="20"/>
  <c r="BI212" i="20"/>
  <c r="BG212" i="20"/>
  <c r="BF212" i="20"/>
  <c r="BE212" i="20"/>
  <c r="BD212" i="20"/>
  <c r="BC212" i="20"/>
  <c r="BB212" i="20"/>
  <c r="AZ212" i="20"/>
  <c r="AY212" i="20"/>
  <c r="AX212" i="20"/>
  <c r="AW212" i="20"/>
  <c r="AV212" i="20"/>
  <c r="AU212" i="20"/>
  <c r="AS212" i="20"/>
  <c r="AR212" i="20"/>
  <c r="AQ212" i="20"/>
  <c r="AP212" i="20"/>
  <c r="AO212" i="20"/>
  <c r="AN212" i="20"/>
  <c r="AL212" i="20"/>
  <c r="AK212" i="20"/>
  <c r="AJ212" i="20"/>
  <c r="AI212" i="20"/>
  <c r="AH212" i="20"/>
  <c r="AG212" i="20"/>
  <c r="AE212" i="20"/>
  <c r="AD212" i="20"/>
  <c r="AB212" i="20"/>
  <c r="AA212" i="20"/>
  <c r="Z212" i="20"/>
  <c r="Y212" i="20"/>
  <c r="X212" i="20"/>
  <c r="W212" i="20"/>
  <c r="V212" i="20"/>
  <c r="T212" i="20"/>
  <c r="S212" i="20"/>
  <c r="R212" i="20"/>
  <c r="Q212" i="20"/>
  <c r="E212" i="20"/>
  <c r="D212" i="20"/>
  <c r="CG211" i="20"/>
  <c r="CE211" i="20"/>
  <c r="CC211" i="20"/>
  <c r="CB211" i="20"/>
  <c r="CA211" i="20"/>
  <c r="BZ211" i="20"/>
  <c r="BY211" i="20"/>
  <c r="BX211" i="20"/>
  <c r="BW211" i="20"/>
  <c r="BV211" i="20"/>
  <c r="BU211" i="20"/>
  <c r="BT211" i="20"/>
  <c r="BN211" i="20"/>
  <c r="BM211" i="20"/>
  <c r="BK211" i="20"/>
  <c r="BJ211" i="20"/>
  <c r="BI211" i="20"/>
  <c r="BG211" i="20"/>
  <c r="BF211" i="20"/>
  <c r="BE211" i="20"/>
  <c r="BD211" i="20"/>
  <c r="BC211" i="20"/>
  <c r="BB211" i="20"/>
  <c r="AZ211" i="20"/>
  <c r="AY211" i="20"/>
  <c r="AX211" i="20"/>
  <c r="AW211" i="20"/>
  <c r="AV211" i="20"/>
  <c r="AU211" i="20"/>
  <c r="AS211" i="20"/>
  <c r="AR211" i="20"/>
  <c r="AQ211" i="20"/>
  <c r="AP211" i="20"/>
  <c r="AO211" i="20"/>
  <c r="AN211" i="20"/>
  <c r="AL211" i="20"/>
  <c r="AK211" i="20"/>
  <c r="AJ211" i="20"/>
  <c r="AI211" i="20"/>
  <c r="AH211" i="20"/>
  <c r="AG211" i="20"/>
  <c r="AE211" i="20"/>
  <c r="AD211" i="20"/>
  <c r="AB211" i="20"/>
  <c r="AA211" i="20"/>
  <c r="Z211" i="20"/>
  <c r="Y211" i="20"/>
  <c r="X211" i="20"/>
  <c r="W211" i="20"/>
  <c r="V211" i="20"/>
  <c r="T211" i="20"/>
  <c r="S211" i="20"/>
  <c r="R211" i="20"/>
  <c r="Q211" i="20"/>
  <c r="E211" i="20"/>
  <c r="D211" i="20"/>
  <c r="CG210" i="20"/>
  <c r="CE210" i="20"/>
  <c r="CC210" i="20"/>
  <c r="CB210" i="20"/>
  <c r="CA210" i="20"/>
  <c r="BZ210" i="20"/>
  <c r="BY210" i="20"/>
  <c r="BX210" i="20"/>
  <c r="BW210" i="20"/>
  <c r="BV210" i="20"/>
  <c r="BU210" i="20"/>
  <c r="BT210" i="20"/>
  <c r="BN210" i="20"/>
  <c r="BM210" i="20"/>
  <c r="BK210" i="20"/>
  <c r="BJ210" i="20"/>
  <c r="BI210" i="20"/>
  <c r="BG210" i="20"/>
  <c r="BF210" i="20"/>
  <c r="BE210" i="20"/>
  <c r="BD210" i="20"/>
  <c r="BC210" i="20"/>
  <c r="BB210" i="20"/>
  <c r="AZ210" i="20"/>
  <c r="AY210" i="20"/>
  <c r="AX210" i="20"/>
  <c r="AW210" i="20"/>
  <c r="AV210" i="20"/>
  <c r="AU210" i="20"/>
  <c r="AS210" i="20"/>
  <c r="AR210" i="20"/>
  <c r="AQ210" i="20"/>
  <c r="AP210" i="20"/>
  <c r="AO210" i="20"/>
  <c r="AN210" i="20"/>
  <c r="AL210" i="20"/>
  <c r="AK210" i="20"/>
  <c r="AJ210" i="20"/>
  <c r="AI210" i="20"/>
  <c r="AH210" i="20"/>
  <c r="AG210" i="20"/>
  <c r="AE210" i="20"/>
  <c r="AD210" i="20"/>
  <c r="AB210" i="20"/>
  <c r="AA210" i="20"/>
  <c r="Z210" i="20"/>
  <c r="Y210" i="20"/>
  <c r="X210" i="20"/>
  <c r="W210" i="20"/>
  <c r="V210" i="20"/>
  <c r="T210" i="20"/>
  <c r="S210" i="20"/>
  <c r="R210" i="20"/>
  <c r="Q210" i="20"/>
  <c r="E210" i="20"/>
  <c r="D210" i="20"/>
  <c r="CG209" i="20"/>
  <c r="CE209" i="20"/>
  <c r="CC209" i="20"/>
  <c r="CB209" i="20"/>
  <c r="CA209" i="20"/>
  <c r="BZ209" i="20"/>
  <c r="BY209" i="20"/>
  <c r="BX209" i="20"/>
  <c r="BW209" i="20"/>
  <c r="BV209" i="20"/>
  <c r="BU209" i="20"/>
  <c r="BT209" i="20"/>
  <c r="BN209" i="20"/>
  <c r="BM209" i="20"/>
  <c r="BK209" i="20"/>
  <c r="BJ209" i="20"/>
  <c r="BI209" i="20"/>
  <c r="BG209" i="20"/>
  <c r="BF209" i="20"/>
  <c r="BE209" i="20"/>
  <c r="BD209" i="20"/>
  <c r="BC209" i="20"/>
  <c r="BB209" i="20"/>
  <c r="AZ209" i="20"/>
  <c r="AY209" i="20"/>
  <c r="AX209" i="20"/>
  <c r="AW209" i="20"/>
  <c r="AV209" i="20"/>
  <c r="AU209" i="20"/>
  <c r="AS209" i="20"/>
  <c r="AR209" i="20"/>
  <c r="AQ209" i="20"/>
  <c r="AP209" i="20"/>
  <c r="AO209" i="20"/>
  <c r="AN209" i="20"/>
  <c r="AL209" i="20"/>
  <c r="AK209" i="20"/>
  <c r="AJ209" i="20"/>
  <c r="AI209" i="20"/>
  <c r="AH209" i="20"/>
  <c r="AG209" i="20"/>
  <c r="AE209" i="20"/>
  <c r="AD209" i="20"/>
  <c r="AB209" i="20"/>
  <c r="AA209" i="20"/>
  <c r="Z209" i="20"/>
  <c r="Y209" i="20"/>
  <c r="X209" i="20"/>
  <c r="W209" i="20"/>
  <c r="V209" i="20"/>
  <c r="T209" i="20"/>
  <c r="S209" i="20"/>
  <c r="R209" i="20"/>
  <c r="Q209" i="20"/>
  <c r="E209" i="20"/>
  <c r="D209" i="20"/>
  <c r="CG208" i="20"/>
  <c r="CE208" i="20"/>
  <c r="CC208" i="20"/>
  <c r="CB208" i="20"/>
  <c r="CA208" i="20"/>
  <c r="BZ208" i="20"/>
  <c r="BY208" i="20"/>
  <c r="BX208" i="20"/>
  <c r="BW208" i="20"/>
  <c r="BV208" i="20"/>
  <c r="BU208" i="20"/>
  <c r="BT208" i="20"/>
  <c r="BN208" i="20"/>
  <c r="BM208" i="20"/>
  <c r="BK208" i="20"/>
  <c r="BJ208" i="20"/>
  <c r="BI208" i="20"/>
  <c r="BG208" i="20"/>
  <c r="BF208" i="20"/>
  <c r="BE208" i="20"/>
  <c r="BD208" i="20"/>
  <c r="BC208" i="20"/>
  <c r="BB208" i="20"/>
  <c r="AZ208" i="20"/>
  <c r="AY208" i="20"/>
  <c r="AX208" i="20"/>
  <c r="AW208" i="20"/>
  <c r="AV208" i="20"/>
  <c r="AU208" i="20"/>
  <c r="AS208" i="20"/>
  <c r="AR208" i="20"/>
  <c r="AQ208" i="20"/>
  <c r="AP208" i="20"/>
  <c r="AO208" i="20"/>
  <c r="AN208" i="20"/>
  <c r="AL208" i="20"/>
  <c r="AK208" i="20"/>
  <c r="AJ208" i="20"/>
  <c r="AI208" i="20"/>
  <c r="AH208" i="20"/>
  <c r="AG208" i="20"/>
  <c r="AE208" i="20"/>
  <c r="AD208" i="20"/>
  <c r="AB208" i="20"/>
  <c r="AA208" i="20"/>
  <c r="Z208" i="20"/>
  <c r="Y208" i="20"/>
  <c r="X208" i="20"/>
  <c r="W208" i="20"/>
  <c r="V208" i="20"/>
  <c r="T208" i="20"/>
  <c r="S208" i="20"/>
  <c r="R208" i="20"/>
  <c r="Q208" i="20"/>
  <c r="E208" i="20"/>
  <c r="D208" i="20"/>
  <c r="CG207" i="20"/>
  <c r="CE207" i="20"/>
  <c r="CC207" i="20"/>
  <c r="CB207" i="20"/>
  <c r="CA207" i="20"/>
  <c r="BZ207" i="20"/>
  <c r="BY207" i="20"/>
  <c r="BX207" i="20"/>
  <c r="BW207" i="20"/>
  <c r="BV207" i="20"/>
  <c r="BU207" i="20"/>
  <c r="BT207" i="20"/>
  <c r="BN207" i="20"/>
  <c r="BM207" i="20"/>
  <c r="BK207" i="20"/>
  <c r="BJ207" i="20"/>
  <c r="BI207" i="20"/>
  <c r="BG207" i="20"/>
  <c r="BF207" i="20"/>
  <c r="BE207" i="20"/>
  <c r="BD207" i="20"/>
  <c r="BC207" i="20"/>
  <c r="BB207" i="20"/>
  <c r="AZ207" i="20"/>
  <c r="AY207" i="20"/>
  <c r="AX207" i="20"/>
  <c r="AW207" i="20"/>
  <c r="AV207" i="20"/>
  <c r="AU207" i="20"/>
  <c r="AS207" i="20"/>
  <c r="AR207" i="20"/>
  <c r="AQ207" i="20"/>
  <c r="AP207" i="20"/>
  <c r="AO207" i="20"/>
  <c r="AN207" i="20"/>
  <c r="AL207" i="20"/>
  <c r="AK207" i="20"/>
  <c r="AJ207" i="20"/>
  <c r="AI207" i="20"/>
  <c r="AH207" i="20"/>
  <c r="AG207" i="20"/>
  <c r="AE207" i="20"/>
  <c r="AD207" i="20"/>
  <c r="AB207" i="20"/>
  <c r="AA207" i="20"/>
  <c r="Z207" i="20"/>
  <c r="Y207" i="20"/>
  <c r="X207" i="20"/>
  <c r="W207" i="20"/>
  <c r="V207" i="20"/>
  <c r="T207" i="20"/>
  <c r="S207" i="20"/>
  <c r="R207" i="20"/>
  <c r="Q207" i="20"/>
  <c r="E207" i="20"/>
  <c r="D207" i="20"/>
  <c r="CG206" i="20"/>
  <c r="CE206" i="20"/>
  <c r="CC206" i="20"/>
  <c r="CB206" i="20"/>
  <c r="CA206" i="20"/>
  <c r="BZ206" i="20"/>
  <c r="BY206" i="20"/>
  <c r="BX206" i="20"/>
  <c r="BW206" i="20"/>
  <c r="BV206" i="20"/>
  <c r="BU206" i="20"/>
  <c r="BT206" i="20"/>
  <c r="BN206" i="20"/>
  <c r="BM206" i="20"/>
  <c r="BK206" i="20"/>
  <c r="BJ206" i="20"/>
  <c r="BI206" i="20"/>
  <c r="BG206" i="20"/>
  <c r="BF206" i="20"/>
  <c r="BE206" i="20"/>
  <c r="BD206" i="20"/>
  <c r="BC206" i="20"/>
  <c r="BB206" i="20"/>
  <c r="AZ206" i="20"/>
  <c r="AY206" i="20"/>
  <c r="AX206" i="20"/>
  <c r="AW206" i="20"/>
  <c r="AV206" i="20"/>
  <c r="AU206" i="20"/>
  <c r="AS206" i="20"/>
  <c r="AR206" i="20"/>
  <c r="AQ206" i="20"/>
  <c r="AP206" i="20"/>
  <c r="AO206" i="20"/>
  <c r="AN206" i="20"/>
  <c r="AL206" i="20"/>
  <c r="AK206" i="20"/>
  <c r="AJ206" i="20"/>
  <c r="AI206" i="20"/>
  <c r="AH206" i="20"/>
  <c r="AG206" i="20"/>
  <c r="AE206" i="20"/>
  <c r="AD206" i="20"/>
  <c r="AB206" i="20"/>
  <c r="AA206" i="20"/>
  <c r="Z206" i="20"/>
  <c r="Y206" i="20"/>
  <c r="X206" i="20"/>
  <c r="W206" i="20"/>
  <c r="V206" i="20"/>
  <c r="T206" i="20"/>
  <c r="S206" i="20"/>
  <c r="R206" i="20"/>
  <c r="Q206" i="20"/>
  <c r="E206" i="20"/>
  <c r="D206" i="20"/>
  <c r="CG205" i="20"/>
  <c r="CE205" i="20"/>
  <c r="CC205" i="20"/>
  <c r="CB205" i="20"/>
  <c r="CA205" i="20"/>
  <c r="BZ205" i="20"/>
  <c r="BY205" i="20"/>
  <c r="BX205" i="20"/>
  <c r="BW205" i="20"/>
  <c r="BV205" i="20"/>
  <c r="BU205" i="20"/>
  <c r="BT205" i="20"/>
  <c r="BN205" i="20"/>
  <c r="BM205" i="20"/>
  <c r="BK205" i="20"/>
  <c r="BJ205" i="20"/>
  <c r="BI205" i="20"/>
  <c r="BG205" i="20"/>
  <c r="BF205" i="20"/>
  <c r="BE205" i="20"/>
  <c r="BD205" i="20"/>
  <c r="BC205" i="20"/>
  <c r="BB205" i="20"/>
  <c r="AZ205" i="20"/>
  <c r="AY205" i="20"/>
  <c r="AX205" i="20"/>
  <c r="AW205" i="20"/>
  <c r="AV205" i="20"/>
  <c r="AU205" i="20"/>
  <c r="AS205" i="20"/>
  <c r="AR205" i="20"/>
  <c r="AQ205" i="20"/>
  <c r="AP205" i="20"/>
  <c r="AO205" i="20"/>
  <c r="AN205" i="20"/>
  <c r="AL205" i="20"/>
  <c r="AK205" i="20"/>
  <c r="AJ205" i="20"/>
  <c r="AI205" i="20"/>
  <c r="AH205" i="20"/>
  <c r="AG205" i="20"/>
  <c r="AE205" i="20"/>
  <c r="AD205" i="20"/>
  <c r="AB205" i="20"/>
  <c r="AA205" i="20"/>
  <c r="Z205" i="20"/>
  <c r="Y205" i="20"/>
  <c r="X205" i="20"/>
  <c r="W205" i="20"/>
  <c r="V205" i="20"/>
  <c r="T205" i="20"/>
  <c r="S205" i="20"/>
  <c r="R205" i="20"/>
  <c r="Q205" i="20"/>
  <c r="E205" i="20"/>
  <c r="D205" i="20"/>
  <c r="CG204" i="20"/>
  <c r="CE204" i="20"/>
  <c r="CC204" i="20"/>
  <c r="CB204" i="20"/>
  <c r="CA204" i="20"/>
  <c r="BZ204" i="20"/>
  <c r="BY204" i="20"/>
  <c r="BX204" i="20"/>
  <c r="BW204" i="20"/>
  <c r="BV204" i="20"/>
  <c r="BU204" i="20"/>
  <c r="BT204" i="20"/>
  <c r="BN204" i="20"/>
  <c r="BM204" i="20"/>
  <c r="BK204" i="20"/>
  <c r="BJ204" i="20"/>
  <c r="BI204" i="20"/>
  <c r="BG204" i="20"/>
  <c r="BF204" i="20"/>
  <c r="BE204" i="20"/>
  <c r="BD204" i="20"/>
  <c r="BC204" i="20"/>
  <c r="BB204" i="20"/>
  <c r="AZ204" i="20"/>
  <c r="AY204" i="20"/>
  <c r="AX204" i="20"/>
  <c r="AW204" i="20"/>
  <c r="AV204" i="20"/>
  <c r="AU204" i="20"/>
  <c r="AS204" i="20"/>
  <c r="AR204" i="20"/>
  <c r="AQ204" i="20"/>
  <c r="AP204" i="20"/>
  <c r="AO204" i="20"/>
  <c r="AN204" i="20"/>
  <c r="AL204" i="20"/>
  <c r="AK204" i="20"/>
  <c r="AJ204" i="20"/>
  <c r="AI204" i="20"/>
  <c r="AH204" i="20"/>
  <c r="AG204" i="20"/>
  <c r="AE204" i="20"/>
  <c r="AD204" i="20"/>
  <c r="AB204" i="20"/>
  <c r="AA204" i="20"/>
  <c r="Z204" i="20"/>
  <c r="Y204" i="20"/>
  <c r="X204" i="20"/>
  <c r="W204" i="20"/>
  <c r="V204" i="20"/>
  <c r="T204" i="20"/>
  <c r="S204" i="20"/>
  <c r="R204" i="20"/>
  <c r="Q204" i="20"/>
  <c r="E204" i="20"/>
  <c r="D204" i="20"/>
  <c r="CG203" i="20"/>
  <c r="CE203" i="20"/>
  <c r="CC203" i="20"/>
  <c r="CB203" i="20"/>
  <c r="CA203" i="20"/>
  <c r="BZ203" i="20"/>
  <c r="BY203" i="20"/>
  <c r="BX203" i="20"/>
  <c r="BW203" i="20"/>
  <c r="BV203" i="20"/>
  <c r="BU203" i="20"/>
  <c r="BT203" i="20"/>
  <c r="BN203" i="20"/>
  <c r="BM203" i="20"/>
  <c r="BK203" i="20"/>
  <c r="BJ203" i="20"/>
  <c r="BI203" i="20"/>
  <c r="BG203" i="20"/>
  <c r="BF203" i="20"/>
  <c r="BE203" i="20"/>
  <c r="BD203" i="20"/>
  <c r="BC203" i="20"/>
  <c r="BB203" i="20"/>
  <c r="AZ203" i="20"/>
  <c r="AY203" i="20"/>
  <c r="AX203" i="20"/>
  <c r="AW203" i="20"/>
  <c r="AV203" i="20"/>
  <c r="AU203" i="20"/>
  <c r="AS203" i="20"/>
  <c r="AR203" i="20"/>
  <c r="AQ203" i="20"/>
  <c r="AP203" i="20"/>
  <c r="AO203" i="20"/>
  <c r="AN203" i="20"/>
  <c r="AL203" i="20"/>
  <c r="AK203" i="20"/>
  <c r="AJ203" i="20"/>
  <c r="AI203" i="20"/>
  <c r="AH203" i="20"/>
  <c r="AG203" i="20"/>
  <c r="AE203" i="20"/>
  <c r="AD203" i="20"/>
  <c r="AB203" i="20"/>
  <c r="AA203" i="20"/>
  <c r="Z203" i="20"/>
  <c r="Y203" i="20"/>
  <c r="X203" i="20"/>
  <c r="W203" i="20"/>
  <c r="V203" i="20"/>
  <c r="T203" i="20"/>
  <c r="S203" i="20"/>
  <c r="R203" i="20"/>
  <c r="Q203" i="20"/>
  <c r="E203" i="20"/>
  <c r="D203" i="20"/>
  <c r="CG202" i="20"/>
  <c r="CE202" i="20"/>
  <c r="CC202" i="20"/>
  <c r="CB202" i="20"/>
  <c r="CA202" i="20"/>
  <c r="BZ202" i="20"/>
  <c r="BY202" i="20"/>
  <c r="BX202" i="20"/>
  <c r="BW202" i="20"/>
  <c r="BV202" i="20"/>
  <c r="BU202" i="20"/>
  <c r="BT202" i="20"/>
  <c r="BN202" i="20"/>
  <c r="BM202" i="20"/>
  <c r="BK202" i="20"/>
  <c r="BJ202" i="20"/>
  <c r="BI202" i="20"/>
  <c r="BG202" i="20"/>
  <c r="BF202" i="20"/>
  <c r="BE202" i="20"/>
  <c r="BD202" i="20"/>
  <c r="BC202" i="20"/>
  <c r="BB202" i="20"/>
  <c r="AZ202" i="20"/>
  <c r="AY202" i="20"/>
  <c r="AX202" i="20"/>
  <c r="AW202" i="20"/>
  <c r="AV202" i="20"/>
  <c r="AU202" i="20"/>
  <c r="AS202" i="20"/>
  <c r="AR202" i="20"/>
  <c r="AQ202" i="20"/>
  <c r="AP202" i="20"/>
  <c r="AO202" i="20"/>
  <c r="AN202" i="20"/>
  <c r="AL202" i="20"/>
  <c r="AK202" i="20"/>
  <c r="AJ202" i="20"/>
  <c r="AI202" i="20"/>
  <c r="AH202" i="20"/>
  <c r="AG202" i="20"/>
  <c r="AE202" i="20"/>
  <c r="AD202" i="20"/>
  <c r="AB202" i="20"/>
  <c r="AA202" i="20"/>
  <c r="Z202" i="20"/>
  <c r="Y202" i="20"/>
  <c r="X202" i="20"/>
  <c r="W202" i="20"/>
  <c r="V202" i="20"/>
  <c r="T202" i="20"/>
  <c r="S202" i="20"/>
  <c r="R202" i="20"/>
  <c r="Q202" i="20"/>
  <c r="E202" i="20"/>
  <c r="D202" i="20"/>
  <c r="CG201" i="20"/>
  <c r="CE201" i="20"/>
  <c r="CC201" i="20"/>
  <c r="CB201" i="20"/>
  <c r="CA201" i="20"/>
  <c r="BZ201" i="20"/>
  <c r="BY201" i="20"/>
  <c r="BX201" i="20"/>
  <c r="BW201" i="20"/>
  <c r="BV201" i="20"/>
  <c r="BU201" i="20"/>
  <c r="BT201" i="20"/>
  <c r="BN201" i="20"/>
  <c r="BM201" i="20"/>
  <c r="BK201" i="20"/>
  <c r="BJ201" i="20"/>
  <c r="BI201" i="20"/>
  <c r="BG201" i="20"/>
  <c r="BF201" i="20"/>
  <c r="BE201" i="20"/>
  <c r="BD201" i="20"/>
  <c r="BC201" i="20"/>
  <c r="BB201" i="20"/>
  <c r="AZ201" i="20"/>
  <c r="AY201" i="20"/>
  <c r="AX201" i="20"/>
  <c r="AW201" i="20"/>
  <c r="AV201" i="20"/>
  <c r="AU201" i="20"/>
  <c r="AS201" i="20"/>
  <c r="AR201" i="20"/>
  <c r="AQ201" i="20"/>
  <c r="AP201" i="20"/>
  <c r="AO201" i="20"/>
  <c r="AN201" i="20"/>
  <c r="AL201" i="20"/>
  <c r="AK201" i="20"/>
  <c r="AJ201" i="20"/>
  <c r="AI201" i="20"/>
  <c r="AH201" i="20"/>
  <c r="AG201" i="20"/>
  <c r="AE201" i="20"/>
  <c r="AD201" i="20"/>
  <c r="AB201" i="20"/>
  <c r="AA201" i="20"/>
  <c r="Z201" i="20"/>
  <c r="Y201" i="20"/>
  <c r="X201" i="20"/>
  <c r="W201" i="20"/>
  <c r="V201" i="20"/>
  <c r="T201" i="20"/>
  <c r="S201" i="20"/>
  <c r="R201" i="20"/>
  <c r="Q201" i="20"/>
  <c r="E201" i="20"/>
  <c r="D201" i="20"/>
  <c r="CG200" i="20"/>
  <c r="CE200" i="20"/>
  <c r="CC200" i="20"/>
  <c r="CB200" i="20"/>
  <c r="CA200" i="20"/>
  <c r="BZ200" i="20"/>
  <c r="BY200" i="20"/>
  <c r="BX200" i="20"/>
  <c r="BW200" i="20"/>
  <c r="BV200" i="20"/>
  <c r="BU200" i="20"/>
  <c r="BT200" i="20"/>
  <c r="BN200" i="20"/>
  <c r="BM200" i="20"/>
  <c r="BK200" i="20"/>
  <c r="BJ200" i="20"/>
  <c r="BI200" i="20"/>
  <c r="BG200" i="20"/>
  <c r="BF200" i="20"/>
  <c r="BE200" i="20"/>
  <c r="BD200" i="20"/>
  <c r="BC200" i="20"/>
  <c r="BB200" i="20"/>
  <c r="AZ200" i="20"/>
  <c r="AY200" i="20"/>
  <c r="AX200" i="20"/>
  <c r="AW200" i="20"/>
  <c r="AV200" i="20"/>
  <c r="AU200" i="20"/>
  <c r="AS200" i="20"/>
  <c r="AR200" i="20"/>
  <c r="AQ200" i="20"/>
  <c r="AP200" i="20"/>
  <c r="AO200" i="20"/>
  <c r="AN200" i="20"/>
  <c r="AL200" i="20"/>
  <c r="AK200" i="20"/>
  <c r="AJ200" i="20"/>
  <c r="AI200" i="20"/>
  <c r="AH200" i="20"/>
  <c r="AG200" i="20"/>
  <c r="AE200" i="20"/>
  <c r="AD200" i="20"/>
  <c r="AB200" i="20"/>
  <c r="AA200" i="20"/>
  <c r="Z200" i="20"/>
  <c r="Y200" i="20"/>
  <c r="X200" i="20"/>
  <c r="W200" i="20"/>
  <c r="V200" i="20"/>
  <c r="T200" i="20"/>
  <c r="S200" i="20"/>
  <c r="R200" i="20"/>
  <c r="Q200" i="20"/>
  <c r="E200" i="20"/>
  <c r="D200" i="20"/>
  <c r="CG199" i="20"/>
  <c r="CE199" i="20"/>
  <c r="CC199" i="20"/>
  <c r="CB199" i="20"/>
  <c r="CA199" i="20"/>
  <c r="BZ199" i="20"/>
  <c r="BY199" i="20"/>
  <c r="BX199" i="20"/>
  <c r="BW199" i="20"/>
  <c r="BV199" i="20"/>
  <c r="BU199" i="20"/>
  <c r="BT199" i="20"/>
  <c r="BN199" i="20"/>
  <c r="BM199" i="20"/>
  <c r="BK199" i="20"/>
  <c r="BJ199" i="20"/>
  <c r="BI199" i="20"/>
  <c r="BG199" i="20"/>
  <c r="BF199" i="20"/>
  <c r="BE199" i="20"/>
  <c r="BD199" i="20"/>
  <c r="BC199" i="20"/>
  <c r="BB199" i="20"/>
  <c r="AZ199" i="20"/>
  <c r="AY199" i="20"/>
  <c r="AX199" i="20"/>
  <c r="AW199" i="20"/>
  <c r="AV199" i="20"/>
  <c r="AU199" i="20"/>
  <c r="AS199" i="20"/>
  <c r="AR199" i="20"/>
  <c r="AQ199" i="20"/>
  <c r="AP199" i="20"/>
  <c r="AO199" i="20"/>
  <c r="AN199" i="20"/>
  <c r="AL199" i="20"/>
  <c r="AK199" i="20"/>
  <c r="AJ199" i="20"/>
  <c r="AI199" i="20"/>
  <c r="AH199" i="20"/>
  <c r="AG199" i="20"/>
  <c r="AE199" i="20"/>
  <c r="AD199" i="20"/>
  <c r="AB199" i="20"/>
  <c r="AA199" i="20"/>
  <c r="Z199" i="20"/>
  <c r="Y199" i="20"/>
  <c r="X199" i="20"/>
  <c r="W199" i="20"/>
  <c r="V199" i="20"/>
  <c r="T199" i="20"/>
  <c r="S199" i="20"/>
  <c r="R199" i="20"/>
  <c r="Q199" i="20"/>
  <c r="E199" i="20"/>
  <c r="D199" i="20"/>
  <c r="CG198" i="20"/>
  <c r="CE198" i="20"/>
  <c r="CC198" i="20"/>
  <c r="CB198" i="20"/>
  <c r="CA198" i="20"/>
  <c r="BZ198" i="20"/>
  <c r="BY198" i="20"/>
  <c r="BX198" i="20"/>
  <c r="BW198" i="20"/>
  <c r="BV198" i="20"/>
  <c r="BU198" i="20"/>
  <c r="BT198" i="20"/>
  <c r="BN198" i="20"/>
  <c r="BM198" i="20"/>
  <c r="BK198" i="20"/>
  <c r="BJ198" i="20"/>
  <c r="BI198" i="20"/>
  <c r="BG198" i="20"/>
  <c r="BF198" i="20"/>
  <c r="BE198" i="20"/>
  <c r="BD198" i="20"/>
  <c r="BC198" i="20"/>
  <c r="BB198" i="20"/>
  <c r="AZ198" i="20"/>
  <c r="AY198" i="20"/>
  <c r="AX198" i="20"/>
  <c r="AW198" i="20"/>
  <c r="AV198" i="20"/>
  <c r="AU198" i="20"/>
  <c r="AS198" i="20"/>
  <c r="AR198" i="20"/>
  <c r="AQ198" i="20"/>
  <c r="AP198" i="20"/>
  <c r="AO198" i="20"/>
  <c r="AN198" i="20"/>
  <c r="AL198" i="20"/>
  <c r="AK198" i="20"/>
  <c r="AJ198" i="20"/>
  <c r="AI198" i="20"/>
  <c r="AH198" i="20"/>
  <c r="AG198" i="20"/>
  <c r="AE198" i="20"/>
  <c r="AD198" i="20"/>
  <c r="AB198" i="20"/>
  <c r="AA198" i="20"/>
  <c r="Z198" i="20"/>
  <c r="Y198" i="20"/>
  <c r="X198" i="20"/>
  <c r="W198" i="20"/>
  <c r="V198" i="20"/>
  <c r="T198" i="20"/>
  <c r="S198" i="20"/>
  <c r="R198" i="20"/>
  <c r="Q198" i="20"/>
  <c r="E198" i="20"/>
  <c r="D198" i="20"/>
  <c r="CG197" i="20"/>
  <c r="CE197" i="20"/>
  <c r="CC197" i="20"/>
  <c r="CB197" i="20"/>
  <c r="CA197" i="20"/>
  <c r="BZ197" i="20"/>
  <c r="BY197" i="20"/>
  <c r="BX197" i="20"/>
  <c r="BW197" i="20"/>
  <c r="BV197" i="20"/>
  <c r="BU197" i="20"/>
  <c r="BT197" i="20"/>
  <c r="BN197" i="20"/>
  <c r="BM197" i="20"/>
  <c r="BK197" i="20"/>
  <c r="BJ197" i="20"/>
  <c r="BI197" i="20"/>
  <c r="BG197" i="20"/>
  <c r="BF197" i="20"/>
  <c r="BE197" i="20"/>
  <c r="BD197" i="20"/>
  <c r="BC197" i="20"/>
  <c r="BB197" i="20"/>
  <c r="AZ197" i="20"/>
  <c r="AY197" i="20"/>
  <c r="AX197" i="20"/>
  <c r="AW197" i="20"/>
  <c r="AV197" i="20"/>
  <c r="AU197" i="20"/>
  <c r="AS197" i="20"/>
  <c r="AR197" i="20"/>
  <c r="AQ197" i="20"/>
  <c r="AP197" i="20"/>
  <c r="AO197" i="20"/>
  <c r="AN197" i="20"/>
  <c r="AL197" i="20"/>
  <c r="AK197" i="20"/>
  <c r="AJ197" i="20"/>
  <c r="AI197" i="20"/>
  <c r="AH197" i="20"/>
  <c r="AG197" i="20"/>
  <c r="AE197" i="20"/>
  <c r="AD197" i="20"/>
  <c r="AB197" i="20"/>
  <c r="AA197" i="20"/>
  <c r="Z197" i="20"/>
  <c r="Y197" i="20"/>
  <c r="X197" i="20"/>
  <c r="W197" i="20"/>
  <c r="V197" i="20"/>
  <c r="T197" i="20"/>
  <c r="S197" i="20"/>
  <c r="R197" i="20"/>
  <c r="Q197" i="20"/>
  <c r="E197" i="20"/>
  <c r="D197" i="20"/>
  <c r="CG196" i="20"/>
  <c r="CE196" i="20"/>
  <c r="CC196" i="20"/>
  <c r="CB196" i="20"/>
  <c r="CA196" i="20"/>
  <c r="BZ196" i="20"/>
  <c r="BY196" i="20"/>
  <c r="BX196" i="20"/>
  <c r="BW196" i="20"/>
  <c r="BV196" i="20"/>
  <c r="BU196" i="20"/>
  <c r="BT196" i="20"/>
  <c r="BN196" i="20"/>
  <c r="BM196" i="20"/>
  <c r="BK196" i="20"/>
  <c r="BJ196" i="20"/>
  <c r="BI196" i="20"/>
  <c r="BG196" i="20"/>
  <c r="BF196" i="20"/>
  <c r="BE196" i="20"/>
  <c r="BD196" i="20"/>
  <c r="BC196" i="20"/>
  <c r="BB196" i="20"/>
  <c r="AZ196" i="20"/>
  <c r="AY196" i="20"/>
  <c r="AX196" i="20"/>
  <c r="AW196" i="20"/>
  <c r="AV196" i="20"/>
  <c r="AU196" i="20"/>
  <c r="AS196" i="20"/>
  <c r="AR196" i="20"/>
  <c r="AQ196" i="20"/>
  <c r="AP196" i="20"/>
  <c r="AO196" i="20"/>
  <c r="AN196" i="20"/>
  <c r="AL196" i="20"/>
  <c r="AK196" i="20"/>
  <c r="AJ196" i="20"/>
  <c r="AI196" i="20"/>
  <c r="AH196" i="20"/>
  <c r="AG196" i="20"/>
  <c r="AE196" i="20"/>
  <c r="AD196" i="20"/>
  <c r="AB196" i="20"/>
  <c r="AA196" i="20"/>
  <c r="Z196" i="20"/>
  <c r="Y196" i="20"/>
  <c r="X196" i="20"/>
  <c r="W196" i="20"/>
  <c r="V196" i="20"/>
  <c r="T196" i="20"/>
  <c r="S196" i="20"/>
  <c r="R196" i="20"/>
  <c r="Q196" i="20"/>
  <c r="E196" i="20"/>
  <c r="D196" i="20"/>
  <c r="CG195" i="20"/>
  <c r="CE195" i="20"/>
  <c r="CC195" i="20"/>
  <c r="CB195" i="20"/>
  <c r="CA195" i="20"/>
  <c r="BZ195" i="20"/>
  <c r="BY195" i="20"/>
  <c r="BX195" i="20"/>
  <c r="BW195" i="20"/>
  <c r="BV195" i="20"/>
  <c r="BU195" i="20"/>
  <c r="BT195" i="20"/>
  <c r="BN195" i="20"/>
  <c r="BM195" i="20"/>
  <c r="BK195" i="20"/>
  <c r="BJ195" i="20"/>
  <c r="BI195" i="20"/>
  <c r="BG195" i="20"/>
  <c r="BF195" i="20"/>
  <c r="BE195" i="20"/>
  <c r="BD195" i="20"/>
  <c r="BC195" i="20"/>
  <c r="BB195" i="20"/>
  <c r="AZ195" i="20"/>
  <c r="AY195" i="20"/>
  <c r="AX195" i="20"/>
  <c r="AW195" i="20"/>
  <c r="AV195" i="20"/>
  <c r="AU195" i="20"/>
  <c r="AS195" i="20"/>
  <c r="AR195" i="20"/>
  <c r="AQ195" i="20"/>
  <c r="AP195" i="20"/>
  <c r="AO195" i="20"/>
  <c r="AN195" i="20"/>
  <c r="AL195" i="20"/>
  <c r="AK195" i="20"/>
  <c r="AJ195" i="20"/>
  <c r="AI195" i="20"/>
  <c r="AH195" i="20"/>
  <c r="AG195" i="20"/>
  <c r="AE195" i="20"/>
  <c r="AD195" i="20"/>
  <c r="AB195" i="20"/>
  <c r="AA195" i="20"/>
  <c r="Z195" i="20"/>
  <c r="Y195" i="20"/>
  <c r="X195" i="20"/>
  <c r="W195" i="20"/>
  <c r="V195" i="20"/>
  <c r="T195" i="20"/>
  <c r="S195" i="20"/>
  <c r="R195" i="20"/>
  <c r="Q195" i="20"/>
  <c r="E195" i="20"/>
  <c r="D195" i="20"/>
  <c r="CG194" i="20"/>
  <c r="CE194" i="20"/>
  <c r="CC194" i="20"/>
  <c r="CB194" i="20"/>
  <c r="CA194" i="20"/>
  <c r="BZ194" i="20"/>
  <c r="BY194" i="20"/>
  <c r="BX194" i="20"/>
  <c r="BW194" i="20"/>
  <c r="BV194" i="20"/>
  <c r="BU194" i="20"/>
  <c r="BT194" i="20"/>
  <c r="BN194" i="20"/>
  <c r="BM194" i="20"/>
  <c r="BK194" i="20"/>
  <c r="BJ194" i="20"/>
  <c r="BI194" i="20"/>
  <c r="BG194" i="20"/>
  <c r="BF194" i="20"/>
  <c r="BE194" i="20"/>
  <c r="BD194" i="20"/>
  <c r="BC194" i="20"/>
  <c r="BB194" i="20"/>
  <c r="AZ194" i="20"/>
  <c r="AY194" i="20"/>
  <c r="AX194" i="20"/>
  <c r="AW194" i="20"/>
  <c r="AV194" i="20"/>
  <c r="AU194" i="20"/>
  <c r="AS194" i="20"/>
  <c r="AR194" i="20"/>
  <c r="AQ194" i="20"/>
  <c r="AP194" i="20"/>
  <c r="AO194" i="20"/>
  <c r="AN194" i="20"/>
  <c r="AL194" i="20"/>
  <c r="AK194" i="20"/>
  <c r="AJ194" i="20"/>
  <c r="AI194" i="20"/>
  <c r="AH194" i="20"/>
  <c r="AG194" i="20"/>
  <c r="AE194" i="20"/>
  <c r="AD194" i="20"/>
  <c r="AB194" i="20"/>
  <c r="AA194" i="20"/>
  <c r="Z194" i="20"/>
  <c r="Y194" i="20"/>
  <c r="X194" i="20"/>
  <c r="W194" i="20"/>
  <c r="V194" i="20"/>
  <c r="T194" i="20"/>
  <c r="S194" i="20"/>
  <c r="R194" i="20"/>
  <c r="Q194" i="20"/>
  <c r="E194" i="20"/>
  <c r="D194" i="20"/>
  <c r="CG193" i="20"/>
  <c r="CE193" i="20"/>
  <c r="CC193" i="20"/>
  <c r="CB193" i="20"/>
  <c r="CA193" i="20"/>
  <c r="BZ193" i="20"/>
  <c r="BY193" i="20"/>
  <c r="BX193" i="20"/>
  <c r="BW193" i="20"/>
  <c r="BV193" i="20"/>
  <c r="BU193" i="20"/>
  <c r="BT193" i="20"/>
  <c r="BN193" i="20"/>
  <c r="BM193" i="20"/>
  <c r="BK193" i="20"/>
  <c r="BJ193" i="20"/>
  <c r="BI193" i="20"/>
  <c r="BG193" i="20"/>
  <c r="BF193" i="20"/>
  <c r="BE193" i="20"/>
  <c r="BD193" i="20"/>
  <c r="BC193" i="20"/>
  <c r="BB193" i="20"/>
  <c r="AZ193" i="20"/>
  <c r="AY193" i="20"/>
  <c r="AX193" i="20"/>
  <c r="AW193" i="20"/>
  <c r="AV193" i="20"/>
  <c r="AU193" i="20"/>
  <c r="AS193" i="20"/>
  <c r="AR193" i="20"/>
  <c r="AQ193" i="20"/>
  <c r="AP193" i="20"/>
  <c r="AO193" i="20"/>
  <c r="AN193" i="20"/>
  <c r="AL193" i="20"/>
  <c r="AK193" i="20"/>
  <c r="AJ193" i="20"/>
  <c r="AI193" i="20"/>
  <c r="AH193" i="20"/>
  <c r="AG193" i="20"/>
  <c r="AE193" i="20"/>
  <c r="AD193" i="20"/>
  <c r="AB193" i="20"/>
  <c r="AA193" i="20"/>
  <c r="Z193" i="20"/>
  <c r="Y193" i="20"/>
  <c r="X193" i="20"/>
  <c r="W193" i="20"/>
  <c r="V193" i="20"/>
  <c r="T193" i="20"/>
  <c r="S193" i="20"/>
  <c r="R193" i="20"/>
  <c r="Q193" i="20"/>
  <c r="E193" i="20"/>
  <c r="D193" i="20"/>
  <c r="CG192" i="20"/>
  <c r="CE192" i="20"/>
  <c r="CC192" i="20"/>
  <c r="CB192" i="20"/>
  <c r="CA192" i="20"/>
  <c r="BZ192" i="20"/>
  <c r="BY192" i="20"/>
  <c r="BX192" i="20"/>
  <c r="BW192" i="20"/>
  <c r="BV192" i="20"/>
  <c r="BU192" i="20"/>
  <c r="BT192" i="20"/>
  <c r="BN192" i="20"/>
  <c r="BM192" i="20"/>
  <c r="BK192" i="20"/>
  <c r="BJ192" i="20"/>
  <c r="BI192" i="20"/>
  <c r="BG192" i="20"/>
  <c r="BF192" i="20"/>
  <c r="BE192" i="20"/>
  <c r="BD192" i="20"/>
  <c r="BC192" i="20"/>
  <c r="BB192" i="20"/>
  <c r="AZ192" i="20"/>
  <c r="AY192" i="20"/>
  <c r="AX192" i="20"/>
  <c r="AW192" i="20"/>
  <c r="AV192" i="20"/>
  <c r="AU192" i="20"/>
  <c r="AS192" i="20"/>
  <c r="AR192" i="20"/>
  <c r="AQ192" i="20"/>
  <c r="AP192" i="20"/>
  <c r="AO192" i="20"/>
  <c r="AN192" i="20"/>
  <c r="AL192" i="20"/>
  <c r="AK192" i="20"/>
  <c r="AJ192" i="20"/>
  <c r="AI192" i="20"/>
  <c r="AH192" i="20"/>
  <c r="AG192" i="20"/>
  <c r="AE192" i="20"/>
  <c r="AD192" i="20"/>
  <c r="AB192" i="20"/>
  <c r="AA192" i="20"/>
  <c r="Z192" i="20"/>
  <c r="Y192" i="20"/>
  <c r="X192" i="20"/>
  <c r="W192" i="20"/>
  <c r="V192" i="20"/>
  <c r="T192" i="20"/>
  <c r="S192" i="20"/>
  <c r="R192" i="20"/>
  <c r="Q192" i="20"/>
  <c r="E192" i="20"/>
  <c r="D192" i="20"/>
  <c r="CG191" i="20"/>
  <c r="CE191" i="20"/>
  <c r="CC191" i="20"/>
  <c r="CB191" i="20"/>
  <c r="CA191" i="20"/>
  <c r="BZ191" i="20"/>
  <c r="BY191" i="20"/>
  <c r="BX191" i="20"/>
  <c r="BW191" i="20"/>
  <c r="BV191" i="20"/>
  <c r="BU191" i="20"/>
  <c r="BT191" i="20"/>
  <c r="BN191" i="20"/>
  <c r="BM191" i="20"/>
  <c r="BK191" i="20"/>
  <c r="BJ191" i="20"/>
  <c r="BI191" i="20"/>
  <c r="BG191" i="20"/>
  <c r="BF191" i="20"/>
  <c r="BE191" i="20"/>
  <c r="BD191" i="20"/>
  <c r="BC191" i="20"/>
  <c r="BB191" i="20"/>
  <c r="AZ191" i="20"/>
  <c r="AY191" i="20"/>
  <c r="AX191" i="20"/>
  <c r="AW191" i="20"/>
  <c r="AV191" i="20"/>
  <c r="AU191" i="20"/>
  <c r="AS191" i="20"/>
  <c r="AR191" i="20"/>
  <c r="AQ191" i="20"/>
  <c r="AP191" i="20"/>
  <c r="AO191" i="20"/>
  <c r="AN191" i="20"/>
  <c r="AL191" i="20"/>
  <c r="AK191" i="20"/>
  <c r="AJ191" i="20"/>
  <c r="AI191" i="20"/>
  <c r="AH191" i="20"/>
  <c r="AG191" i="20"/>
  <c r="AE191" i="20"/>
  <c r="AD191" i="20"/>
  <c r="AB191" i="20"/>
  <c r="AA191" i="20"/>
  <c r="Z191" i="20"/>
  <c r="Y191" i="20"/>
  <c r="X191" i="20"/>
  <c r="W191" i="20"/>
  <c r="V191" i="20"/>
  <c r="T191" i="20"/>
  <c r="S191" i="20"/>
  <c r="R191" i="20"/>
  <c r="Q191" i="20"/>
  <c r="E191" i="20"/>
  <c r="D191" i="20"/>
  <c r="CG190" i="20"/>
  <c r="CE190" i="20"/>
  <c r="CC190" i="20"/>
  <c r="CB190" i="20"/>
  <c r="CA190" i="20"/>
  <c r="BZ190" i="20"/>
  <c r="BY190" i="20"/>
  <c r="BX190" i="20"/>
  <c r="BW190" i="20"/>
  <c r="BV190" i="20"/>
  <c r="BU190" i="20"/>
  <c r="BT190" i="20"/>
  <c r="BN190" i="20"/>
  <c r="BM190" i="20"/>
  <c r="BK190" i="20"/>
  <c r="BJ190" i="20"/>
  <c r="BI190" i="20"/>
  <c r="BG190" i="20"/>
  <c r="BF190" i="20"/>
  <c r="BE190" i="20"/>
  <c r="BD190" i="20"/>
  <c r="BC190" i="20"/>
  <c r="BB190" i="20"/>
  <c r="AZ190" i="20"/>
  <c r="AY190" i="20"/>
  <c r="AX190" i="20"/>
  <c r="AW190" i="20"/>
  <c r="AV190" i="20"/>
  <c r="AU190" i="20"/>
  <c r="AS190" i="20"/>
  <c r="AR190" i="20"/>
  <c r="AQ190" i="20"/>
  <c r="AP190" i="20"/>
  <c r="AO190" i="20"/>
  <c r="AN190" i="20"/>
  <c r="AL190" i="20"/>
  <c r="AK190" i="20"/>
  <c r="AJ190" i="20"/>
  <c r="AI190" i="20"/>
  <c r="AH190" i="20"/>
  <c r="AG190" i="20"/>
  <c r="AE190" i="20"/>
  <c r="AD190" i="20"/>
  <c r="AB190" i="20"/>
  <c r="AA190" i="20"/>
  <c r="Z190" i="20"/>
  <c r="Y190" i="20"/>
  <c r="X190" i="20"/>
  <c r="W190" i="20"/>
  <c r="V190" i="20"/>
  <c r="T190" i="20"/>
  <c r="S190" i="20"/>
  <c r="R190" i="20"/>
  <c r="Q190" i="20"/>
  <c r="E190" i="20"/>
  <c r="D190" i="20"/>
  <c r="CG189" i="20"/>
  <c r="CE189" i="20"/>
  <c r="CC189" i="20"/>
  <c r="CB189" i="20"/>
  <c r="CA189" i="20"/>
  <c r="BZ189" i="20"/>
  <c r="BY189" i="20"/>
  <c r="BX189" i="20"/>
  <c r="BW189" i="20"/>
  <c r="BV189" i="20"/>
  <c r="BU189" i="20"/>
  <c r="BT189" i="20"/>
  <c r="BN189" i="20"/>
  <c r="BM189" i="20"/>
  <c r="BK189" i="20"/>
  <c r="BJ189" i="20"/>
  <c r="BI189" i="20"/>
  <c r="BG189" i="20"/>
  <c r="BF189" i="20"/>
  <c r="BE189" i="20"/>
  <c r="BD189" i="20"/>
  <c r="BC189" i="20"/>
  <c r="BB189" i="20"/>
  <c r="AZ189" i="20"/>
  <c r="AY189" i="20"/>
  <c r="AX189" i="20"/>
  <c r="AW189" i="20"/>
  <c r="AV189" i="20"/>
  <c r="AU189" i="20"/>
  <c r="AS189" i="20"/>
  <c r="AR189" i="20"/>
  <c r="AQ189" i="20"/>
  <c r="AP189" i="20"/>
  <c r="AO189" i="20"/>
  <c r="AN189" i="20"/>
  <c r="AL189" i="20"/>
  <c r="AK189" i="20"/>
  <c r="AJ189" i="20"/>
  <c r="AI189" i="20"/>
  <c r="AH189" i="20"/>
  <c r="AG189" i="20"/>
  <c r="AE189" i="20"/>
  <c r="AD189" i="20"/>
  <c r="AB189" i="20"/>
  <c r="AA189" i="20"/>
  <c r="Z189" i="20"/>
  <c r="Y189" i="20"/>
  <c r="X189" i="20"/>
  <c r="W189" i="20"/>
  <c r="V189" i="20"/>
  <c r="T189" i="20"/>
  <c r="S189" i="20"/>
  <c r="R189" i="20"/>
  <c r="Q189" i="20"/>
  <c r="E189" i="20"/>
  <c r="D189" i="20"/>
  <c r="CG188" i="20"/>
  <c r="CE188" i="20"/>
  <c r="CC188" i="20"/>
  <c r="CB188" i="20"/>
  <c r="CA188" i="20"/>
  <c r="BZ188" i="20"/>
  <c r="BY188" i="20"/>
  <c r="BX188" i="20"/>
  <c r="BW188" i="20"/>
  <c r="BV188" i="20"/>
  <c r="BU188" i="20"/>
  <c r="BT188" i="20"/>
  <c r="BN188" i="20"/>
  <c r="BM188" i="20"/>
  <c r="BK188" i="20"/>
  <c r="BJ188" i="20"/>
  <c r="BI188" i="20"/>
  <c r="BG188" i="20"/>
  <c r="BF188" i="20"/>
  <c r="BE188" i="20"/>
  <c r="BD188" i="20"/>
  <c r="BC188" i="20"/>
  <c r="BB188" i="20"/>
  <c r="AZ188" i="20"/>
  <c r="AY188" i="20"/>
  <c r="AX188" i="20"/>
  <c r="AW188" i="20"/>
  <c r="AV188" i="20"/>
  <c r="AU188" i="20"/>
  <c r="AS188" i="20"/>
  <c r="AR188" i="20"/>
  <c r="AQ188" i="20"/>
  <c r="AP188" i="20"/>
  <c r="AO188" i="20"/>
  <c r="AN188" i="20"/>
  <c r="AL188" i="20"/>
  <c r="AK188" i="20"/>
  <c r="AJ188" i="20"/>
  <c r="AI188" i="20"/>
  <c r="AH188" i="20"/>
  <c r="AG188" i="20"/>
  <c r="AE188" i="20"/>
  <c r="AD188" i="20"/>
  <c r="AB188" i="20"/>
  <c r="AA188" i="20"/>
  <c r="Z188" i="20"/>
  <c r="Y188" i="20"/>
  <c r="X188" i="20"/>
  <c r="W188" i="20"/>
  <c r="V188" i="20"/>
  <c r="T188" i="20"/>
  <c r="S188" i="20"/>
  <c r="R188" i="20"/>
  <c r="Q188" i="20"/>
  <c r="E188" i="20"/>
  <c r="D188" i="20"/>
  <c r="CG187" i="20"/>
  <c r="CE187" i="20"/>
  <c r="CC187" i="20"/>
  <c r="CB187" i="20"/>
  <c r="CA187" i="20"/>
  <c r="BZ187" i="20"/>
  <c r="BY187" i="20"/>
  <c r="BX187" i="20"/>
  <c r="BW187" i="20"/>
  <c r="BV187" i="20"/>
  <c r="BU187" i="20"/>
  <c r="BT187" i="20"/>
  <c r="BN187" i="20"/>
  <c r="BM187" i="20"/>
  <c r="BK187" i="20"/>
  <c r="BJ187" i="20"/>
  <c r="BI187" i="20"/>
  <c r="BG187" i="20"/>
  <c r="BF187" i="20"/>
  <c r="BE187" i="20"/>
  <c r="BD187" i="20"/>
  <c r="BC187" i="20"/>
  <c r="BB187" i="20"/>
  <c r="AZ187" i="20"/>
  <c r="AY187" i="20"/>
  <c r="AX187" i="20"/>
  <c r="AW187" i="20"/>
  <c r="AV187" i="20"/>
  <c r="AU187" i="20"/>
  <c r="AS187" i="20"/>
  <c r="AR187" i="20"/>
  <c r="AQ187" i="20"/>
  <c r="AP187" i="20"/>
  <c r="AO187" i="20"/>
  <c r="AN187" i="20"/>
  <c r="AL187" i="20"/>
  <c r="AK187" i="20"/>
  <c r="AJ187" i="20"/>
  <c r="AI187" i="20"/>
  <c r="AH187" i="20"/>
  <c r="AG187" i="20"/>
  <c r="AE187" i="20"/>
  <c r="AD187" i="20"/>
  <c r="AB187" i="20"/>
  <c r="AA187" i="20"/>
  <c r="Z187" i="20"/>
  <c r="Y187" i="20"/>
  <c r="X187" i="20"/>
  <c r="W187" i="20"/>
  <c r="V187" i="20"/>
  <c r="T187" i="20"/>
  <c r="S187" i="20"/>
  <c r="R187" i="20"/>
  <c r="Q187" i="20"/>
  <c r="E187" i="20"/>
  <c r="D187" i="20"/>
  <c r="CG186" i="20"/>
  <c r="CE186" i="20"/>
  <c r="CC186" i="20"/>
  <c r="CB186" i="20"/>
  <c r="CA186" i="20"/>
  <c r="BZ186" i="20"/>
  <c r="BY186" i="20"/>
  <c r="BX186" i="20"/>
  <c r="BW186" i="20"/>
  <c r="BV186" i="20"/>
  <c r="BU186" i="20"/>
  <c r="BT186" i="20"/>
  <c r="BN186" i="20"/>
  <c r="BM186" i="20"/>
  <c r="BK186" i="20"/>
  <c r="BJ186" i="20"/>
  <c r="BI186" i="20"/>
  <c r="BG186" i="20"/>
  <c r="BF186" i="20"/>
  <c r="BE186" i="20"/>
  <c r="BD186" i="20"/>
  <c r="BC186" i="20"/>
  <c r="BB186" i="20"/>
  <c r="AZ186" i="20"/>
  <c r="AY186" i="20"/>
  <c r="AX186" i="20"/>
  <c r="AW186" i="20"/>
  <c r="AV186" i="20"/>
  <c r="AU186" i="20"/>
  <c r="AS186" i="20"/>
  <c r="AR186" i="20"/>
  <c r="AQ186" i="20"/>
  <c r="AP186" i="20"/>
  <c r="AO186" i="20"/>
  <c r="AN186" i="20"/>
  <c r="AL186" i="20"/>
  <c r="AK186" i="20"/>
  <c r="AJ186" i="20"/>
  <c r="AI186" i="20"/>
  <c r="AH186" i="20"/>
  <c r="AG186" i="20"/>
  <c r="AE186" i="20"/>
  <c r="AD186" i="20"/>
  <c r="AB186" i="20"/>
  <c r="AA186" i="20"/>
  <c r="Z186" i="20"/>
  <c r="Y186" i="20"/>
  <c r="X186" i="20"/>
  <c r="W186" i="20"/>
  <c r="V186" i="20"/>
  <c r="T186" i="20"/>
  <c r="S186" i="20"/>
  <c r="R186" i="20"/>
  <c r="Q186" i="20"/>
  <c r="E186" i="20"/>
  <c r="D186" i="20"/>
  <c r="CG185" i="20"/>
  <c r="CE185" i="20"/>
  <c r="CC185" i="20"/>
  <c r="CB185" i="20"/>
  <c r="CA185" i="20"/>
  <c r="BZ185" i="20"/>
  <c r="BY185" i="20"/>
  <c r="BX185" i="20"/>
  <c r="BW185" i="20"/>
  <c r="BV185" i="20"/>
  <c r="BU185" i="20"/>
  <c r="BT185" i="20"/>
  <c r="BN185" i="20"/>
  <c r="BM185" i="20"/>
  <c r="BK185" i="20"/>
  <c r="BJ185" i="20"/>
  <c r="BI185" i="20"/>
  <c r="BG185" i="20"/>
  <c r="BF185" i="20"/>
  <c r="BE185" i="20"/>
  <c r="BD185" i="20"/>
  <c r="BC185" i="20"/>
  <c r="BB185" i="20"/>
  <c r="AZ185" i="20"/>
  <c r="AY185" i="20"/>
  <c r="AX185" i="20"/>
  <c r="AW185" i="20"/>
  <c r="AV185" i="20"/>
  <c r="AU185" i="20"/>
  <c r="AS185" i="20"/>
  <c r="AR185" i="20"/>
  <c r="AQ185" i="20"/>
  <c r="AP185" i="20"/>
  <c r="AO185" i="20"/>
  <c r="AN185" i="20"/>
  <c r="AL185" i="20"/>
  <c r="AK185" i="20"/>
  <c r="AJ185" i="20"/>
  <c r="AI185" i="20"/>
  <c r="AH185" i="20"/>
  <c r="AG185" i="20"/>
  <c r="AE185" i="20"/>
  <c r="AD185" i="20"/>
  <c r="AB185" i="20"/>
  <c r="AA185" i="20"/>
  <c r="Z185" i="20"/>
  <c r="Y185" i="20"/>
  <c r="X185" i="20"/>
  <c r="W185" i="20"/>
  <c r="V185" i="20"/>
  <c r="T185" i="20"/>
  <c r="S185" i="20"/>
  <c r="R185" i="20"/>
  <c r="Q185" i="20"/>
  <c r="E185" i="20"/>
  <c r="D185" i="20"/>
  <c r="CG184" i="20"/>
  <c r="CE184" i="20"/>
  <c r="CC184" i="20"/>
  <c r="CB184" i="20"/>
  <c r="CA184" i="20"/>
  <c r="BZ184" i="20"/>
  <c r="BY184" i="20"/>
  <c r="BX184" i="20"/>
  <c r="BW184" i="20"/>
  <c r="BV184" i="20"/>
  <c r="BU184" i="20"/>
  <c r="BT184" i="20"/>
  <c r="BN184" i="20"/>
  <c r="BM184" i="20"/>
  <c r="BK184" i="20"/>
  <c r="BJ184" i="20"/>
  <c r="BI184" i="20"/>
  <c r="BG184" i="20"/>
  <c r="BF184" i="20"/>
  <c r="BE184" i="20"/>
  <c r="BD184" i="20"/>
  <c r="BC184" i="20"/>
  <c r="BB184" i="20"/>
  <c r="AZ184" i="20"/>
  <c r="AY184" i="20"/>
  <c r="AX184" i="20"/>
  <c r="AW184" i="20"/>
  <c r="AV184" i="20"/>
  <c r="AU184" i="20"/>
  <c r="AS184" i="20"/>
  <c r="AR184" i="20"/>
  <c r="AQ184" i="20"/>
  <c r="AP184" i="20"/>
  <c r="AO184" i="20"/>
  <c r="AN184" i="20"/>
  <c r="AL184" i="20"/>
  <c r="AK184" i="20"/>
  <c r="AJ184" i="20"/>
  <c r="AI184" i="20"/>
  <c r="AH184" i="20"/>
  <c r="AG184" i="20"/>
  <c r="AE184" i="20"/>
  <c r="AD184" i="20"/>
  <c r="AB184" i="20"/>
  <c r="AA184" i="20"/>
  <c r="Z184" i="20"/>
  <c r="Y184" i="20"/>
  <c r="X184" i="20"/>
  <c r="W184" i="20"/>
  <c r="V184" i="20"/>
  <c r="T184" i="20"/>
  <c r="S184" i="20"/>
  <c r="R184" i="20"/>
  <c r="Q184" i="20"/>
  <c r="E184" i="20"/>
  <c r="D184" i="20"/>
  <c r="CG183" i="20"/>
  <c r="CE183" i="20"/>
  <c r="CC183" i="20"/>
  <c r="CB183" i="20"/>
  <c r="CA183" i="20"/>
  <c r="BZ183" i="20"/>
  <c r="BY183" i="20"/>
  <c r="BX183" i="20"/>
  <c r="BW183" i="20"/>
  <c r="BV183" i="20"/>
  <c r="BU183" i="20"/>
  <c r="BT183" i="20"/>
  <c r="BN183" i="20"/>
  <c r="BM183" i="20"/>
  <c r="BK183" i="20"/>
  <c r="BJ183" i="20"/>
  <c r="BI183" i="20"/>
  <c r="BG183" i="20"/>
  <c r="BF183" i="20"/>
  <c r="BE183" i="20"/>
  <c r="BD183" i="20"/>
  <c r="BC183" i="20"/>
  <c r="BB183" i="20"/>
  <c r="AZ183" i="20"/>
  <c r="AY183" i="20"/>
  <c r="AX183" i="20"/>
  <c r="AW183" i="20"/>
  <c r="AV183" i="20"/>
  <c r="AU183" i="20"/>
  <c r="AS183" i="20"/>
  <c r="AR183" i="20"/>
  <c r="AQ183" i="20"/>
  <c r="AP183" i="20"/>
  <c r="AO183" i="20"/>
  <c r="AN183" i="20"/>
  <c r="AL183" i="20"/>
  <c r="AK183" i="20"/>
  <c r="AJ183" i="20"/>
  <c r="AI183" i="20"/>
  <c r="AH183" i="20"/>
  <c r="AG183" i="20"/>
  <c r="AE183" i="20"/>
  <c r="AD183" i="20"/>
  <c r="AB183" i="20"/>
  <c r="AA183" i="20"/>
  <c r="Z183" i="20"/>
  <c r="Y183" i="20"/>
  <c r="X183" i="20"/>
  <c r="W183" i="20"/>
  <c r="V183" i="20"/>
  <c r="T183" i="20"/>
  <c r="S183" i="20"/>
  <c r="R183" i="20"/>
  <c r="Q183" i="20"/>
  <c r="E183" i="20"/>
  <c r="D183" i="20"/>
  <c r="CG182" i="20"/>
  <c r="CE182" i="20"/>
  <c r="CC182" i="20"/>
  <c r="CB182" i="20"/>
  <c r="CA182" i="20"/>
  <c r="BZ182" i="20"/>
  <c r="BY182" i="20"/>
  <c r="BX182" i="20"/>
  <c r="BW182" i="20"/>
  <c r="BV182" i="20"/>
  <c r="BU182" i="20"/>
  <c r="BT182" i="20"/>
  <c r="BN182" i="20"/>
  <c r="BM182" i="20"/>
  <c r="BK182" i="20"/>
  <c r="BJ182" i="20"/>
  <c r="BI182" i="20"/>
  <c r="BG182" i="20"/>
  <c r="BF182" i="20"/>
  <c r="BE182" i="20"/>
  <c r="BD182" i="20"/>
  <c r="BC182" i="20"/>
  <c r="BB182" i="20"/>
  <c r="AZ182" i="20"/>
  <c r="AY182" i="20"/>
  <c r="AX182" i="20"/>
  <c r="AW182" i="20"/>
  <c r="AV182" i="20"/>
  <c r="AU182" i="20"/>
  <c r="AS182" i="20"/>
  <c r="AR182" i="20"/>
  <c r="AQ182" i="20"/>
  <c r="AP182" i="20"/>
  <c r="AO182" i="20"/>
  <c r="AN182" i="20"/>
  <c r="AL182" i="20"/>
  <c r="AK182" i="20"/>
  <c r="AJ182" i="20"/>
  <c r="AI182" i="20"/>
  <c r="AH182" i="20"/>
  <c r="AG182" i="20"/>
  <c r="AE182" i="20"/>
  <c r="AD182" i="20"/>
  <c r="AB182" i="20"/>
  <c r="AA182" i="20"/>
  <c r="Z182" i="20"/>
  <c r="Y182" i="20"/>
  <c r="X182" i="20"/>
  <c r="W182" i="20"/>
  <c r="V182" i="20"/>
  <c r="T182" i="20"/>
  <c r="S182" i="20"/>
  <c r="R182" i="20"/>
  <c r="Q182" i="20"/>
  <c r="E182" i="20"/>
  <c r="D182" i="20"/>
  <c r="CG181" i="20"/>
  <c r="CE181" i="20"/>
  <c r="CC181" i="20"/>
  <c r="CB181" i="20"/>
  <c r="CA181" i="20"/>
  <c r="BZ181" i="20"/>
  <c r="BY181" i="20"/>
  <c r="BX181" i="20"/>
  <c r="BW181" i="20"/>
  <c r="BV181" i="20"/>
  <c r="BU181" i="20"/>
  <c r="BT181" i="20"/>
  <c r="BN181" i="20"/>
  <c r="BM181" i="20"/>
  <c r="BK181" i="20"/>
  <c r="BJ181" i="20"/>
  <c r="BI181" i="20"/>
  <c r="BG181" i="20"/>
  <c r="BF181" i="20"/>
  <c r="BE181" i="20"/>
  <c r="BD181" i="20"/>
  <c r="BC181" i="20"/>
  <c r="BB181" i="20"/>
  <c r="AZ181" i="20"/>
  <c r="AY181" i="20"/>
  <c r="AX181" i="20"/>
  <c r="AW181" i="20"/>
  <c r="AV181" i="20"/>
  <c r="AU181" i="20"/>
  <c r="AS181" i="20"/>
  <c r="AR181" i="20"/>
  <c r="AQ181" i="20"/>
  <c r="AP181" i="20"/>
  <c r="AO181" i="20"/>
  <c r="AN181" i="20"/>
  <c r="AL181" i="20"/>
  <c r="AK181" i="20"/>
  <c r="AJ181" i="20"/>
  <c r="AI181" i="20"/>
  <c r="AH181" i="20"/>
  <c r="AG181" i="20"/>
  <c r="AE181" i="20"/>
  <c r="AD181" i="20"/>
  <c r="AB181" i="20"/>
  <c r="AA181" i="20"/>
  <c r="Z181" i="20"/>
  <c r="Y181" i="20"/>
  <c r="X181" i="20"/>
  <c r="W181" i="20"/>
  <c r="V181" i="20"/>
  <c r="T181" i="20"/>
  <c r="S181" i="20"/>
  <c r="R181" i="20"/>
  <c r="Q181" i="20"/>
  <c r="E181" i="20"/>
  <c r="D181" i="20"/>
  <c r="CG180" i="20"/>
  <c r="CE180" i="20"/>
  <c r="CC180" i="20"/>
  <c r="CB180" i="20"/>
  <c r="CA180" i="20"/>
  <c r="BZ180" i="20"/>
  <c r="BY180" i="20"/>
  <c r="BX180" i="20"/>
  <c r="BW180" i="20"/>
  <c r="BV180" i="20"/>
  <c r="BU180" i="20"/>
  <c r="BT180" i="20"/>
  <c r="BN180" i="20"/>
  <c r="BM180" i="20"/>
  <c r="BK180" i="20"/>
  <c r="BJ180" i="20"/>
  <c r="BI180" i="20"/>
  <c r="BG180" i="20"/>
  <c r="BF180" i="20"/>
  <c r="BE180" i="20"/>
  <c r="BD180" i="20"/>
  <c r="BC180" i="20"/>
  <c r="BB180" i="20"/>
  <c r="AZ180" i="20"/>
  <c r="AY180" i="20"/>
  <c r="AX180" i="20"/>
  <c r="AW180" i="20"/>
  <c r="AV180" i="20"/>
  <c r="AU180" i="20"/>
  <c r="AS180" i="20"/>
  <c r="AR180" i="20"/>
  <c r="AQ180" i="20"/>
  <c r="AP180" i="20"/>
  <c r="AO180" i="20"/>
  <c r="AN180" i="20"/>
  <c r="AL180" i="20"/>
  <c r="AK180" i="20"/>
  <c r="AJ180" i="20"/>
  <c r="AI180" i="20"/>
  <c r="AH180" i="20"/>
  <c r="AG180" i="20"/>
  <c r="AE180" i="20"/>
  <c r="AD180" i="20"/>
  <c r="AB180" i="20"/>
  <c r="AA180" i="20"/>
  <c r="Z180" i="20"/>
  <c r="Y180" i="20"/>
  <c r="X180" i="20"/>
  <c r="W180" i="20"/>
  <c r="V180" i="20"/>
  <c r="T180" i="20"/>
  <c r="S180" i="20"/>
  <c r="R180" i="20"/>
  <c r="Q180" i="20"/>
  <c r="E180" i="20"/>
  <c r="D180" i="20"/>
  <c r="CG179" i="20"/>
  <c r="CE179" i="20"/>
  <c r="CC179" i="20"/>
  <c r="CB179" i="20"/>
  <c r="CA179" i="20"/>
  <c r="BZ179" i="20"/>
  <c r="BY179" i="20"/>
  <c r="BX179" i="20"/>
  <c r="BW179" i="20"/>
  <c r="BV179" i="20"/>
  <c r="BU179" i="20"/>
  <c r="BT179" i="20"/>
  <c r="BN179" i="20"/>
  <c r="BM179" i="20"/>
  <c r="BK179" i="20"/>
  <c r="BJ179" i="20"/>
  <c r="BI179" i="20"/>
  <c r="BG179" i="20"/>
  <c r="BF179" i="20"/>
  <c r="BE179" i="20"/>
  <c r="BD179" i="20"/>
  <c r="BC179" i="20"/>
  <c r="BB179" i="20"/>
  <c r="AZ179" i="20"/>
  <c r="AY179" i="20"/>
  <c r="AX179" i="20"/>
  <c r="AW179" i="20"/>
  <c r="AV179" i="20"/>
  <c r="AU179" i="20"/>
  <c r="AS179" i="20"/>
  <c r="AR179" i="20"/>
  <c r="AQ179" i="20"/>
  <c r="AP179" i="20"/>
  <c r="AO179" i="20"/>
  <c r="AN179" i="20"/>
  <c r="AL179" i="20"/>
  <c r="AK179" i="20"/>
  <c r="AJ179" i="20"/>
  <c r="AI179" i="20"/>
  <c r="AH179" i="20"/>
  <c r="AG179" i="20"/>
  <c r="AE179" i="20"/>
  <c r="AD179" i="20"/>
  <c r="AB179" i="20"/>
  <c r="AA179" i="20"/>
  <c r="Z179" i="20"/>
  <c r="Y179" i="20"/>
  <c r="X179" i="20"/>
  <c r="W179" i="20"/>
  <c r="V179" i="20"/>
  <c r="T179" i="20"/>
  <c r="S179" i="20"/>
  <c r="R179" i="20"/>
  <c r="Q179" i="20"/>
  <c r="E179" i="20"/>
  <c r="D179" i="20"/>
  <c r="CG178" i="20"/>
  <c r="CE178" i="20"/>
  <c r="CC178" i="20"/>
  <c r="CB178" i="20"/>
  <c r="CA178" i="20"/>
  <c r="BZ178" i="20"/>
  <c r="BY178" i="20"/>
  <c r="BX178" i="20"/>
  <c r="BW178" i="20"/>
  <c r="BV178" i="20"/>
  <c r="BU178" i="20"/>
  <c r="BT178" i="20"/>
  <c r="BN178" i="20"/>
  <c r="BM178" i="20"/>
  <c r="BK178" i="20"/>
  <c r="BJ178" i="20"/>
  <c r="BI178" i="20"/>
  <c r="BG178" i="20"/>
  <c r="BF178" i="20"/>
  <c r="BE178" i="20"/>
  <c r="BD178" i="20"/>
  <c r="BC178" i="20"/>
  <c r="BB178" i="20"/>
  <c r="AZ178" i="20"/>
  <c r="AY178" i="20"/>
  <c r="AX178" i="20"/>
  <c r="AW178" i="20"/>
  <c r="AV178" i="20"/>
  <c r="AU178" i="20"/>
  <c r="AS178" i="20"/>
  <c r="AR178" i="20"/>
  <c r="AQ178" i="20"/>
  <c r="AP178" i="20"/>
  <c r="AO178" i="20"/>
  <c r="AN178" i="20"/>
  <c r="AL178" i="20"/>
  <c r="AK178" i="20"/>
  <c r="AJ178" i="20"/>
  <c r="AI178" i="20"/>
  <c r="AH178" i="20"/>
  <c r="AG178" i="20"/>
  <c r="AE178" i="20"/>
  <c r="AD178" i="20"/>
  <c r="AB178" i="20"/>
  <c r="AA178" i="20"/>
  <c r="Z178" i="20"/>
  <c r="Y178" i="20"/>
  <c r="X178" i="20"/>
  <c r="W178" i="20"/>
  <c r="V178" i="20"/>
  <c r="T178" i="20"/>
  <c r="S178" i="20"/>
  <c r="R178" i="20"/>
  <c r="Q178" i="20"/>
  <c r="E178" i="20"/>
  <c r="D178" i="20"/>
  <c r="CG177" i="20"/>
  <c r="CE177" i="20"/>
  <c r="CC177" i="20"/>
  <c r="CB177" i="20"/>
  <c r="CA177" i="20"/>
  <c r="BZ177" i="20"/>
  <c r="BY177" i="20"/>
  <c r="BX177" i="20"/>
  <c r="BW177" i="20"/>
  <c r="BV177" i="20"/>
  <c r="BU177" i="20"/>
  <c r="BT177" i="20"/>
  <c r="BN177" i="20"/>
  <c r="BM177" i="20"/>
  <c r="BK177" i="20"/>
  <c r="BJ177" i="20"/>
  <c r="BI177" i="20"/>
  <c r="BG177" i="20"/>
  <c r="BF177" i="20"/>
  <c r="BE177" i="20"/>
  <c r="BD177" i="20"/>
  <c r="BC177" i="20"/>
  <c r="BB177" i="20"/>
  <c r="AZ177" i="20"/>
  <c r="AY177" i="20"/>
  <c r="AX177" i="20"/>
  <c r="AW177" i="20"/>
  <c r="AV177" i="20"/>
  <c r="AU177" i="20"/>
  <c r="AS177" i="20"/>
  <c r="AR177" i="20"/>
  <c r="AQ177" i="20"/>
  <c r="AP177" i="20"/>
  <c r="AO177" i="20"/>
  <c r="AN177" i="20"/>
  <c r="AL177" i="20"/>
  <c r="AK177" i="20"/>
  <c r="AJ177" i="20"/>
  <c r="AI177" i="20"/>
  <c r="AH177" i="20"/>
  <c r="AG177" i="20"/>
  <c r="AE177" i="20"/>
  <c r="AD177" i="20"/>
  <c r="AB177" i="20"/>
  <c r="AA177" i="20"/>
  <c r="Z177" i="20"/>
  <c r="Y177" i="20"/>
  <c r="X177" i="20"/>
  <c r="W177" i="20"/>
  <c r="V177" i="20"/>
  <c r="T177" i="20"/>
  <c r="S177" i="20"/>
  <c r="R177" i="20"/>
  <c r="Q177" i="20"/>
  <c r="E177" i="20"/>
  <c r="D177" i="20"/>
  <c r="CG176" i="20"/>
  <c r="CE176" i="20"/>
  <c r="CC176" i="20"/>
  <c r="CB176" i="20"/>
  <c r="CA176" i="20"/>
  <c r="BZ176" i="20"/>
  <c r="BY176" i="20"/>
  <c r="BX176" i="20"/>
  <c r="BW176" i="20"/>
  <c r="BV176" i="20"/>
  <c r="BU176" i="20"/>
  <c r="BT176" i="20"/>
  <c r="BN176" i="20"/>
  <c r="BM176" i="20"/>
  <c r="BK176" i="20"/>
  <c r="BJ176" i="20"/>
  <c r="BI176" i="20"/>
  <c r="BG176" i="20"/>
  <c r="BF176" i="20"/>
  <c r="BE176" i="20"/>
  <c r="BD176" i="20"/>
  <c r="BC176" i="20"/>
  <c r="BB176" i="20"/>
  <c r="AZ176" i="20"/>
  <c r="AY176" i="20"/>
  <c r="AX176" i="20"/>
  <c r="AW176" i="20"/>
  <c r="AV176" i="20"/>
  <c r="AU176" i="20"/>
  <c r="AS176" i="20"/>
  <c r="AR176" i="20"/>
  <c r="AQ176" i="20"/>
  <c r="AP176" i="20"/>
  <c r="AO176" i="20"/>
  <c r="AN176" i="20"/>
  <c r="AL176" i="20"/>
  <c r="AK176" i="20"/>
  <c r="AJ176" i="20"/>
  <c r="AI176" i="20"/>
  <c r="AH176" i="20"/>
  <c r="AG176" i="20"/>
  <c r="AE176" i="20"/>
  <c r="AD176" i="20"/>
  <c r="AB176" i="20"/>
  <c r="AA176" i="20"/>
  <c r="Z176" i="20"/>
  <c r="Y176" i="20"/>
  <c r="X176" i="20"/>
  <c r="W176" i="20"/>
  <c r="V176" i="20"/>
  <c r="T176" i="20"/>
  <c r="S176" i="20"/>
  <c r="R176" i="20"/>
  <c r="Q176" i="20"/>
  <c r="E176" i="20"/>
  <c r="D176" i="20"/>
  <c r="CG175" i="20"/>
  <c r="CE175" i="20"/>
  <c r="CC175" i="20"/>
  <c r="CB175" i="20"/>
  <c r="CA175" i="20"/>
  <c r="BZ175" i="20"/>
  <c r="BY175" i="20"/>
  <c r="BX175" i="20"/>
  <c r="BW175" i="20"/>
  <c r="BV175" i="20"/>
  <c r="BU175" i="20"/>
  <c r="BT175" i="20"/>
  <c r="BN175" i="20"/>
  <c r="BM175" i="20"/>
  <c r="BK175" i="20"/>
  <c r="BJ175" i="20"/>
  <c r="BI175" i="20"/>
  <c r="BG175" i="20"/>
  <c r="BF175" i="20"/>
  <c r="BE175" i="20"/>
  <c r="BD175" i="20"/>
  <c r="BC175" i="20"/>
  <c r="BB175" i="20"/>
  <c r="AZ175" i="20"/>
  <c r="AY175" i="20"/>
  <c r="AX175" i="20"/>
  <c r="AW175" i="20"/>
  <c r="AV175" i="20"/>
  <c r="AU175" i="20"/>
  <c r="AS175" i="20"/>
  <c r="AR175" i="20"/>
  <c r="AQ175" i="20"/>
  <c r="AP175" i="20"/>
  <c r="AO175" i="20"/>
  <c r="AN175" i="20"/>
  <c r="AL175" i="20"/>
  <c r="AK175" i="20"/>
  <c r="AJ175" i="20"/>
  <c r="AI175" i="20"/>
  <c r="AH175" i="20"/>
  <c r="AG175" i="20"/>
  <c r="AE175" i="20"/>
  <c r="AD175" i="20"/>
  <c r="AB175" i="20"/>
  <c r="AA175" i="20"/>
  <c r="Z175" i="20"/>
  <c r="Y175" i="20"/>
  <c r="X175" i="20"/>
  <c r="W175" i="20"/>
  <c r="V175" i="20"/>
  <c r="T175" i="20"/>
  <c r="S175" i="20"/>
  <c r="R175" i="20"/>
  <c r="Q175" i="20"/>
  <c r="E175" i="20"/>
  <c r="D175" i="20"/>
  <c r="CG174" i="20"/>
  <c r="CE174" i="20"/>
  <c r="CC174" i="20"/>
  <c r="CB174" i="20"/>
  <c r="CA174" i="20"/>
  <c r="BZ174" i="20"/>
  <c r="BY174" i="20"/>
  <c r="BX174" i="20"/>
  <c r="BW174" i="20"/>
  <c r="BV174" i="20"/>
  <c r="BU174" i="20"/>
  <c r="BT174" i="20"/>
  <c r="BN174" i="20"/>
  <c r="BM174" i="20"/>
  <c r="BK174" i="20"/>
  <c r="BJ174" i="20"/>
  <c r="BI174" i="20"/>
  <c r="BG174" i="20"/>
  <c r="BF174" i="20"/>
  <c r="BE174" i="20"/>
  <c r="BD174" i="20"/>
  <c r="BC174" i="20"/>
  <c r="BB174" i="20"/>
  <c r="AZ174" i="20"/>
  <c r="AY174" i="20"/>
  <c r="AX174" i="20"/>
  <c r="AW174" i="20"/>
  <c r="AV174" i="20"/>
  <c r="AU174" i="20"/>
  <c r="AS174" i="20"/>
  <c r="AR174" i="20"/>
  <c r="AQ174" i="20"/>
  <c r="AP174" i="20"/>
  <c r="AO174" i="20"/>
  <c r="AN174" i="20"/>
  <c r="AL174" i="20"/>
  <c r="AK174" i="20"/>
  <c r="AJ174" i="20"/>
  <c r="AI174" i="20"/>
  <c r="AH174" i="20"/>
  <c r="AG174" i="20"/>
  <c r="AE174" i="20"/>
  <c r="AD174" i="20"/>
  <c r="AB174" i="20"/>
  <c r="AA174" i="20"/>
  <c r="Z174" i="20"/>
  <c r="Y174" i="20"/>
  <c r="X174" i="20"/>
  <c r="W174" i="20"/>
  <c r="V174" i="20"/>
  <c r="T174" i="20"/>
  <c r="S174" i="20"/>
  <c r="R174" i="20"/>
  <c r="Q174" i="20"/>
  <c r="E174" i="20"/>
  <c r="D174" i="20"/>
  <c r="CG173" i="20"/>
  <c r="CE173" i="20"/>
  <c r="CC173" i="20"/>
  <c r="CB173" i="20"/>
  <c r="CA173" i="20"/>
  <c r="BZ173" i="20"/>
  <c r="BY173" i="20"/>
  <c r="BX173" i="20"/>
  <c r="BW173" i="20"/>
  <c r="BV173" i="20"/>
  <c r="BU173" i="20"/>
  <c r="BT173" i="20"/>
  <c r="BN173" i="20"/>
  <c r="BM173" i="20"/>
  <c r="BK173" i="20"/>
  <c r="BJ173" i="20"/>
  <c r="BI173" i="20"/>
  <c r="BG173" i="20"/>
  <c r="BF173" i="20"/>
  <c r="BE173" i="20"/>
  <c r="BD173" i="20"/>
  <c r="BC173" i="20"/>
  <c r="BB173" i="20"/>
  <c r="AZ173" i="20"/>
  <c r="AY173" i="20"/>
  <c r="AX173" i="20"/>
  <c r="AW173" i="20"/>
  <c r="AV173" i="20"/>
  <c r="AU173" i="20"/>
  <c r="AS173" i="20"/>
  <c r="AR173" i="20"/>
  <c r="AQ173" i="20"/>
  <c r="AP173" i="20"/>
  <c r="AO173" i="20"/>
  <c r="AN173" i="20"/>
  <c r="AL173" i="20"/>
  <c r="AK173" i="20"/>
  <c r="AJ173" i="20"/>
  <c r="AI173" i="20"/>
  <c r="AH173" i="20"/>
  <c r="AG173" i="20"/>
  <c r="AE173" i="20"/>
  <c r="AD173" i="20"/>
  <c r="AB173" i="20"/>
  <c r="AA173" i="20"/>
  <c r="Z173" i="20"/>
  <c r="Y173" i="20"/>
  <c r="X173" i="20"/>
  <c r="W173" i="20"/>
  <c r="V173" i="20"/>
  <c r="T173" i="20"/>
  <c r="S173" i="20"/>
  <c r="R173" i="20"/>
  <c r="Q173" i="20"/>
  <c r="E173" i="20"/>
  <c r="D173" i="20"/>
  <c r="CG172" i="20"/>
  <c r="CE172" i="20"/>
  <c r="CC172" i="20"/>
  <c r="CB172" i="20"/>
  <c r="CA172" i="20"/>
  <c r="BZ172" i="20"/>
  <c r="BY172" i="20"/>
  <c r="BX172" i="20"/>
  <c r="BW172" i="20"/>
  <c r="BV172" i="20"/>
  <c r="BU172" i="20"/>
  <c r="BT172" i="20"/>
  <c r="BN172" i="20"/>
  <c r="BM172" i="20"/>
  <c r="BK172" i="20"/>
  <c r="BJ172" i="20"/>
  <c r="BI172" i="20"/>
  <c r="BG172" i="20"/>
  <c r="BF172" i="20"/>
  <c r="BE172" i="20"/>
  <c r="BD172" i="20"/>
  <c r="BC172" i="20"/>
  <c r="BB172" i="20"/>
  <c r="AZ172" i="20"/>
  <c r="AY172" i="20"/>
  <c r="AX172" i="20"/>
  <c r="AW172" i="20"/>
  <c r="AV172" i="20"/>
  <c r="AU172" i="20"/>
  <c r="AS172" i="20"/>
  <c r="AR172" i="20"/>
  <c r="AQ172" i="20"/>
  <c r="AP172" i="20"/>
  <c r="AO172" i="20"/>
  <c r="AN172" i="20"/>
  <c r="AL172" i="20"/>
  <c r="AK172" i="20"/>
  <c r="AJ172" i="20"/>
  <c r="AI172" i="20"/>
  <c r="AH172" i="20"/>
  <c r="AG172" i="20"/>
  <c r="AE172" i="20"/>
  <c r="AD172" i="20"/>
  <c r="AB172" i="20"/>
  <c r="AA172" i="20"/>
  <c r="Z172" i="20"/>
  <c r="Y172" i="20"/>
  <c r="X172" i="20"/>
  <c r="W172" i="20"/>
  <c r="V172" i="20"/>
  <c r="T172" i="20"/>
  <c r="S172" i="20"/>
  <c r="R172" i="20"/>
  <c r="Q172" i="20"/>
  <c r="E172" i="20"/>
  <c r="D172" i="20"/>
  <c r="CG171" i="20"/>
  <c r="CE171" i="20"/>
  <c r="CC171" i="20"/>
  <c r="CB171" i="20"/>
  <c r="CA171" i="20"/>
  <c r="BZ171" i="20"/>
  <c r="BY171" i="20"/>
  <c r="BX171" i="20"/>
  <c r="BW171" i="20"/>
  <c r="BV171" i="20"/>
  <c r="BU171" i="20"/>
  <c r="BT171" i="20"/>
  <c r="BN171" i="20"/>
  <c r="BM171" i="20"/>
  <c r="BK171" i="20"/>
  <c r="BJ171" i="20"/>
  <c r="BI171" i="20"/>
  <c r="BG171" i="20"/>
  <c r="BF171" i="20"/>
  <c r="BE171" i="20"/>
  <c r="BD171" i="20"/>
  <c r="BC171" i="20"/>
  <c r="BB171" i="20"/>
  <c r="AZ171" i="20"/>
  <c r="AY171" i="20"/>
  <c r="AX171" i="20"/>
  <c r="AW171" i="20"/>
  <c r="AV171" i="20"/>
  <c r="AU171" i="20"/>
  <c r="AS171" i="20"/>
  <c r="AR171" i="20"/>
  <c r="AQ171" i="20"/>
  <c r="AP171" i="20"/>
  <c r="AO171" i="20"/>
  <c r="AN171" i="20"/>
  <c r="AL171" i="20"/>
  <c r="AK171" i="20"/>
  <c r="AJ171" i="20"/>
  <c r="AI171" i="20"/>
  <c r="AH171" i="20"/>
  <c r="AG171" i="20"/>
  <c r="AE171" i="20"/>
  <c r="AD171" i="20"/>
  <c r="AB171" i="20"/>
  <c r="AA171" i="20"/>
  <c r="Z171" i="20"/>
  <c r="Y171" i="20"/>
  <c r="X171" i="20"/>
  <c r="W171" i="20"/>
  <c r="V171" i="20"/>
  <c r="T171" i="20"/>
  <c r="S171" i="20"/>
  <c r="R171" i="20"/>
  <c r="Q171" i="20"/>
  <c r="E171" i="20"/>
  <c r="D171" i="20"/>
  <c r="CG170" i="20"/>
  <c r="CE170" i="20"/>
  <c r="CC170" i="20"/>
  <c r="CB170" i="20"/>
  <c r="CA170" i="20"/>
  <c r="BZ170" i="20"/>
  <c r="BY170" i="20"/>
  <c r="BX170" i="20"/>
  <c r="BW170" i="20"/>
  <c r="BV170" i="20"/>
  <c r="BU170" i="20"/>
  <c r="BT170" i="20"/>
  <c r="BN170" i="20"/>
  <c r="BM170" i="20"/>
  <c r="BK170" i="20"/>
  <c r="BJ170" i="20"/>
  <c r="BI170" i="20"/>
  <c r="BG170" i="20"/>
  <c r="BF170" i="20"/>
  <c r="BE170" i="20"/>
  <c r="BD170" i="20"/>
  <c r="BC170" i="20"/>
  <c r="BB170" i="20"/>
  <c r="AZ170" i="20"/>
  <c r="AY170" i="20"/>
  <c r="AX170" i="20"/>
  <c r="AW170" i="20"/>
  <c r="AV170" i="20"/>
  <c r="AU170" i="20"/>
  <c r="AS170" i="20"/>
  <c r="AR170" i="20"/>
  <c r="AQ170" i="20"/>
  <c r="AP170" i="20"/>
  <c r="AO170" i="20"/>
  <c r="AN170" i="20"/>
  <c r="AL170" i="20"/>
  <c r="AK170" i="20"/>
  <c r="AJ170" i="20"/>
  <c r="AI170" i="20"/>
  <c r="AH170" i="20"/>
  <c r="AG170" i="20"/>
  <c r="AE170" i="20"/>
  <c r="AD170" i="20"/>
  <c r="AB170" i="20"/>
  <c r="AA170" i="20"/>
  <c r="Z170" i="20"/>
  <c r="Y170" i="20"/>
  <c r="X170" i="20"/>
  <c r="W170" i="20"/>
  <c r="V170" i="20"/>
  <c r="T170" i="20"/>
  <c r="S170" i="20"/>
  <c r="R170" i="20"/>
  <c r="Q170" i="20"/>
  <c r="E170" i="20"/>
  <c r="D170" i="20"/>
  <c r="CG169" i="20"/>
  <c r="CE169" i="20"/>
  <c r="CC169" i="20"/>
  <c r="CB169" i="20"/>
  <c r="CA169" i="20"/>
  <c r="BZ169" i="20"/>
  <c r="BY169" i="20"/>
  <c r="BX169" i="20"/>
  <c r="BW169" i="20"/>
  <c r="BV169" i="20"/>
  <c r="BU169" i="20"/>
  <c r="BT169" i="20"/>
  <c r="BN169" i="20"/>
  <c r="BM169" i="20"/>
  <c r="BK169" i="20"/>
  <c r="BJ169" i="20"/>
  <c r="BI169" i="20"/>
  <c r="BG169" i="20"/>
  <c r="BF169" i="20"/>
  <c r="BE169" i="20"/>
  <c r="BD169" i="20"/>
  <c r="BC169" i="20"/>
  <c r="BB169" i="20"/>
  <c r="AZ169" i="20"/>
  <c r="AY169" i="20"/>
  <c r="AX169" i="20"/>
  <c r="AW169" i="20"/>
  <c r="AV169" i="20"/>
  <c r="AU169" i="20"/>
  <c r="AS169" i="20"/>
  <c r="AR169" i="20"/>
  <c r="AQ169" i="20"/>
  <c r="AP169" i="20"/>
  <c r="AO169" i="20"/>
  <c r="AN169" i="20"/>
  <c r="AL169" i="20"/>
  <c r="AK169" i="20"/>
  <c r="AJ169" i="20"/>
  <c r="AI169" i="20"/>
  <c r="AH169" i="20"/>
  <c r="AG169" i="20"/>
  <c r="AE169" i="20"/>
  <c r="AD169" i="20"/>
  <c r="AB169" i="20"/>
  <c r="AA169" i="20"/>
  <c r="Z169" i="20"/>
  <c r="Y169" i="20"/>
  <c r="X169" i="20"/>
  <c r="W169" i="20"/>
  <c r="V169" i="20"/>
  <c r="T169" i="20"/>
  <c r="S169" i="20"/>
  <c r="R169" i="20"/>
  <c r="Q169" i="20"/>
  <c r="E169" i="20"/>
  <c r="D169" i="20"/>
  <c r="CG168" i="20"/>
  <c r="CE168" i="20"/>
  <c r="CC168" i="20"/>
  <c r="CB168" i="20"/>
  <c r="CA168" i="20"/>
  <c r="BZ168" i="20"/>
  <c r="BY168" i="20"/>
  <c r="BX168" i="20"/>
  <c r="BW168" i="20"/>
  <c r="BV168" i="20"/>
  <c r="BU168" i="20"/>
  <c r="BT168" i="20"/>
  <c r="BN168" i="20"/>
  <c r="BM168" i="20"/>
  <c r="BK168" i="20"/>
  <c r="BJ168" i="20"/>
  <c r="BI168" i="20"/>
  <c r="BG168" i="20"/>
  <c r="BF168" i="20"/>
  <c r="BE168" i="20"/>
  <c r="BD168" i="20"/>
  <c r="BC168" i="20"/>
  <c r="BB168" i="20"/>
  <c r="AZ168" i="20"/>
  <c r="AY168" i="20"/>
  <c r="AX168" i="20"/>
  <c r="AW168" i="20"/>
  <c r="AV168" i="20"/>
  <c r="AU168" i="20"/>
  <c r="AS168" i="20"/>
  <c r="AR168" i="20"/>
  <c r="AQ168" i="20"/>
  <c r="AP168" i="20"/>
  <c r="AO168" i="20"/>
  <c r="AN168" i="20"/>
  <c r="AL168" i="20"/>
  <c r="AK168" i="20"/>
  <c r="AJ168" i="20"/>
  <c r="AI168" i="20"/>
  <c r="AH168" i="20"/>
  <c r="AG168" i="20"/>
  <c r="AE168" i="20"/>
  <c r="AD168" i="20"/>
  <c r="AB168" i="20"/>
  <c r="AA168" i="20"/>
  <c r="Z168" i="20"/>
  <c r="Y168" i="20"/>
  <c r="X168" i="20"/>
  <c r="W168" i="20"/>
  <c r="V168" i="20"/>
  <c r="T168" i="20"/>
  <c r="S168" i="20"/>
  <c r="R168" i="20"/>
  <c r="Q168" i="20"/>
  <c r="E168" i="20"/>
  <c r="D168" i="20"/>
  <c r="CG167" i="20"/>
  <c r="CE167" i="20"/>
  <c r="CC167" i="20"/>
  <c r="CB167" i="20"/>
  <c r="CA167" i="20"/>
  <c r="BZ167" i="20"/>
  <c r="BY167" i="20"/>
  <c r="BX167" i="20"/>
  <c r="BW167" i="20"/>
  <c r="BV167" i="20"/>
  <c r="BU167" i="20"/>
  <c r="BT167" i="20"/>
  <c r="BN167" i="20"/>
  <c r="BM167" i="20"/>
  <c r="BK167" i="20"/>
  <c r="BJ167" i="20"/>
  <c r="BI167" i="20"/>
  <c r="BG167" i="20"/>
  <c r="BF167" i="20"/>
  <c r="BE167" i="20"/>
  <c r="BD167" i="20"/>
  <c r="BC167" i="20"/>
  <c r="BB167" i="20"/>
  <c r="AZ167" i="20"/>
  <c r="AY167" i="20"/>
  <c r="AX167" i="20"/>
  <c r="AW167" i="20"/>
  <c r="AV167" i="20"/>
  <c r="AU167" i="20"/>
  <c r="AS167" i="20"/>
  <c r="AR167" i="20"/>
  <c r="AQ167" i="20"/>
  <c r="AP167" i="20"/>
  <c r="AO167" i="20"/>
  <c r="AN167" i="20"/>
  <c r="AL167" i="20"/>
  <c r="AK167" i="20"/>
  <c r="AJ167" i="20"/>
  <c r="AI167" i="20"/>
  <c r="AH167" i="20"/>
  <c r="AG167" i="20"/>
  <c r="AE167" i="20"/>
  <c r="AD167" i="20"/>
  <c r="AB167" i="20"/>
  <c r="AA167" i="20"/>
  <c r="Z167" i="20"/>
  <c r="Y167" i="20"/>
  <c r="X167" i="20"/>
  <c r="W167" i="20"/>
  <c r="V167" i="20"/>
  <c r="T167" i="20"/>
  <c r="S167" i="20"/>
  <c r="R167" i="20"/>
  <c r="Q167" i="20"/>
  <c r="E167" i="20"/>
  <c r="D167" i="20"/>
  <c r="CG166" i="20"/>
  <c r="CE166" i="20"/>
  <c r="CC166" i="20"/>
  <c r="CB166" i="20"/>
  <c r="CA166" i="20"/>
  <c r="BZ166" i="20"/>
  <c r="BY166" i="20"/>
  <c r="BX166" i="20"/>
  <c r="BW166" i="20"/>
  <c r="BV166" i="20"/>
  <c r="BU166" i="20"/>
  <c r="BT166" i="20"/>
  <c r="BN166" i="20"/>
  <c r="BM166" i="20"/>
  <c r="BK166" i="20"/>
  <c r="BJ166" i="20"/>
  <c r="BI166" i="20"/>
  <c r="BG166" i="20"/>
  <c r="BF166" i="20"/>
  <c r="BE166" i="20"/>
  <c r="BD166" i="20"/>
  <c r="BC166" i="20"/>
  <c r="BB166" i="20"/>
  <c r="AZ166" i="20"/>
  <c r="AY166" i="20"/>
  <c r="AX166" i="20"/>
  <c r="AW166" i="20"/>
  <c r="AV166" i="20"/>
  <c r="AU166" i="20"/>
  <c r="AS166" i="20"/>
  <c r="AR166" i="20"/>
  <c r="AQ166" i="20"/>
  <c r="AP166" i="20"/>
  <c r="AO166" i="20"/>
  <c r="AN166" i="20"/>
  <c r="AL166" i="20"/>
  <c r="AK166" i="20"/>
  <c r="AJ166" i="20"/>
  <c r="AI166" i="20"/>
  <c r="AH166" i="20"/>
  <c r="AG166" i="20"/>
  <c r="AE166" i="20"/>
  <c r="AD166" i="20"/>
  <c r="AB166" i="20"/>
  <c r="AA166" i="20"/>
  <c r="Z166" i="20"/>
  <c r="Y166" i="20"/>
  <c r="X166" i="20"/>
  <c r="W166" i="20"/>
  <c r="V166" i="20"/>
  <c r="T166" i="20"/>
  <c r="S166" i="20"/>
  <c r="R166" i="20"/>
  <c r="Q166" i="20"/>
  <c r="E166" i="20"/>
  <c r="D166" i="20"/>
  <c r="CG165" i="20"/>
  <c r="CE165" i="20"/>
  <c r="CC165" i="20"/>
  <c r="CB165" i="20"/>
  <c r="CA165" i="20"/>
  <c r="BZ165" i="20"/>
  <c r="BY165" i="20"/>
  <c r="BX165" i="20"/>
  <c r="BW165" i="20"/>
  <c r="BV165" i="20"/>
  <c r="BU165" i="20"/>
  <c r="BT165" i="20"/>
  <c r="BN165" i="20"/>
  <c r="BM165" i="20"/>
  <c r="BK165" i="20"/>
  <c r="BJ165" i="20"/>
  <c r="BI165" i="20"/>
  <c r="BG165" i="20"/>
  <c r="BF165" i="20"/>
  <c r="BE165" i="20"/>
  <c r="BD165" i="20"/>
  <c r="BC165" i="20"/>
  <c r="BB165" i="20"/>
  <c r="AZ165" i="20"/>
  <c r="AY165" i="20"/>
  <c r="AX165" i="20"/>
  <c r="AW165" i="20"/>
  <c r="AV165" i="20"/>
  <c r="AU165" i="20"/>
  <c r="AS165" i="20"/>
  <c r="AR165" i="20"/>
  <c r="AQ165" i="20"/>
  <c r="AP165" i="20"/>
  <c r="AO165" i="20"/>
  <c r="AN165" i="20"/>
  <c r="AL165" i="20"/>
  <c r="AK165" i="20"/>
  <c r="AJ165" i="20"/>
  <c r="AI165" i="20"/>
  <c r="AH165" i="20"/>
  <c r="AG165" i="20"/>
  <c r="AE165" i="20"/>
  <c r="AD165" i="20"/>
  <c r="AB165" i="20"/>
  <c r="AA165" i="20"/>
  <c r="Z165" i="20"/>
  <c r="Y165" i="20"/>
  <c r="X165" i="20"/>
  <c r="W165" i="20"/>
  <c r="V165" i="20"/>
  <c r="T165" i="20"/>
  <c r="S165" i="20"/>
  <c r="R165" i="20"/>
  <c r="Q165" i="20"/>
  <c r="E165" i="20"/>
  <c r="D165" i="20"/>
  <c r="CG164" i="20"/>
  <c r="CE164" i="20"/>
  <c r="CC164" i="20"/>
  <c r="CB164" i="20"/>
  <c r="CA164" i="20"/>
  <c r="BZ164" i="20"/>
  <c r="BY164" i="20"/>
  <c r="BX164" i="20"/>
  <c r="BW164" i="20"/>
  <c r="BV164" i="20"/>
  <c r="BU164" i="20"/>
  <c r="BT164" i="20"/>
  <c r="BN164" i="20"/>
  <c r="BM164" i="20"/>
  <c r="BK164" i="20"/>
  <c r="BJ164" i="20"/>
  <c r="BI164" i="20"/>
  <c r="BG164" i="20"/>
  <c r="BF164" i="20"/>
  <c r="BE164" i="20"/>
  <c r="BD164" i="20"/>
  <c r="BC164" i="20"/>
  <c r="BB164" i="20"/>
  <c r="AZ164" i="20"/>
  <c r="AY164" i="20"/>
  <c r="AX164" i="20"/>
  <c r="AW164" i="20"/>
  <c r="AV164" i="20"/>
  <c r="AU164" i="20"/>
  <c r="AS164" i="20"/>
  <c r="AR164" i="20"/>
  <c r="AQ164" i="20"/>
  <c r="AP164" i="20"/>
  <c r="AO164" i="20"/>
  <c r="AN164" i="20"/>
  <c r="AL164" i="20"/>
  <c r="AK164" i="20"/>
  <c r="AJ164" i="20"/>
  <c r="AI164" i="20"/>
  <c r="AH164" i="20"/>
  <c r="AG164" i="20"/>
  <c r="AE164" i="20"/>
  <c r="AD164" i="20"/>
  <c r="AB164" i="20"/>
  <c r="AA164" i="20"/>
  <c r="Z164" i="20"/>
  <c r="Y164" i="20"/>
  <c r="X164" i="20"/>
  <c r="W164" i="20"/>
  <c r="V164" i="20"/>
  <c r="T164" i="20"/>
  <c r="S164" i="20"/>
  <c r="R164" i="20"/>
  <c r="Q164" i="20"/>
  <c r="E164" i="20"/>
  <c r="D164" i="20"/>
  <c r="CG163" i="20"/>
  <c r="CE163" i="20"/>
  <c r="CC163" i="20"/>
  <c r="CB163" i="20"/>
  <c r="CA163" i="20"/>
  <c r="BZ163" i="20"/>
  <c r="BY163" i="20"/>
  <c r="BX163" i="20"/>
  <c r="BW163" i="20"/>
  <c r="BV163" i="20"/>
  <c r="BU163" i="20"/>
  <c r="BT163" i="20"/>
  <c r="BN163" i="20"/>
  <c r="BM163" i="20"/>
  <c r="BK163" i="20"/>
  <c r="BJ163" i="20"/>
  <c r="BI163" i="20"/>
  <c r="BG163" i="20"/>
  <c r="BF163" i="20"/>
  <c r="BE163" i="20"/>
  <c r="BD163" i="20"/>
  <c r="BC163" i="20"/>
  <c r="BB163" i="20"/>
  <c r="AZ163" i="20"/>
  <c r="AY163" i="20"/>
  <c r="AX163" i="20"/>
  <c r="AW163" i="20"/>
  <c r="AV163" i="20"/>
  <c r="AU163" i="20"/>
  <c r="AS163" i="20"/>
  <c r="AR163" i="20"/>
  <c r="AQ163" i="20"/>
  <c r="AP163" i="20"/>
  <c r="AO163" i="20"/>
  <c r="AN163" i="20"/>
  <c r="AL163" i="20"/>
  <c r="AK163" i="20"/>
  <c r="AJ163" i="20"/>
  <c r="AI163" i="20"/>
  <c r="AH163" i="20"/>
  <c r="AG163" i="20"/>
  <c r="AE163" i="20"/>
  <c r="AD163" i="20"/>
  <c r="AB163" i="20"/>
  <c r="AA163" i="20"/>
  <c r="Z163" i="20"/>
  <c r="Y163" i="20"/>
  <c r="X163" i="20"/>
  <c r="W163" i="20"/>
  <c r="V163" i="20"/>
  <c r="T163" i="20"/>
  <c r="S163" i="20"/>
  <c r="R163" i="20"/>
  <c r="Q163" i="20"/>
  <c r="E163" i="20"/>
  <c r="D163" i="20"/>
  <c r="CG162" i="20"/>
  <c r="CE162" i="20"/>
  <c r="CC162" i="20"/>
  <c r="CB162" i="20"/>
  <c r="CA162" i="20"/>
  <c r="BZ162" i="20"/>
  <c r="BY162" i="20"/>
  <c r="BX162" i="20"/>
  <c r="BW162" i="20"/>
  <c r="BV162" i="20"/>
  <c r="BU162" i="20"/>
  <c r="BT162" i="20"/>
  <c r="BN162" i="20"/>
  <c r="BM162" i="20"/>
  <c r="BK162" i="20"/>
  <c r="BJ162" i="20"/>
  <c r="BI162" i="20"/>
  <c r="BG162" i="20"/>
  <c r="BF162" i="20"/>
  <c r="BE162" i="20"/>
  <c r="BD162" i="20"/>
  <c r="BC162" i="20"/>
  <c r="BB162" i="20"/>
  <c r="AZ162" i="20"/>
  <c r="AY162" i="20"/>
  <c r="AX162" i="20"/>
  <c r="AW162" i="20"/>
  <c r="AV162" i="20"/>
  <c r="AU162" i="20"/>
  <c r="AS162" i="20"/>
  <c r="AR162" i="20"/>
  <c r="AQ162" i="20"/>
  <c r="AP162" i="20"/>
  <c r="AO162" i="20"/>
  <c r="AN162" i="20"/>
  <c r="AL162" i="20"/>
  <c r="AK162" i="20"/>
  <c r="AJ162" i="20"/>
  <c r="AI162" i="20"/>
  <c r="AH162" i="20"/>
  <c r="AG162" i="20"/>
  <c r="AE162" i="20"/>
  <c r="AD162" i="20"/>
  <c r="AB162" i="20"/>
  <c r="AA162" i="20"/>
  <c r="Z162" i="20"/>
  <c r="Y162" i="20"/>
  <c r="X162" i="20"/>
  <c r="W162" i="20"/>
  <c r="V162" i="20"/>
  <c r="T162" i="20"/>
  <c r="S162" i="20"/>
  <c r="R162" i="20"/>
  <c r="Q162" i="20"/>
  <c r="E162" i="20"/>
  <c r="D162" i="20"/>
  <c r="CG161" i="20"/>
  <c r="CE161" i="20"/>
  <c r="CC161" i="20"/>
  <c r="CB161" i="20"/>
  <c r="CA161" i="20"/>
  <c r="BZ161" i="20"/>
  <c r="BY161" i="20"/>
  <c r="BX161" i="20"/>
  <c r="BW161" i="20"/>
  <c r="BV161" i="20"/>
  <c r="BU161" i="20"/>
  <c r="BT161" i="20"/>
  <c r="BN161" i="20"/>
  <c r="BM161" i="20"/>
  <c r="BK161" i="20"/>
  <c r="BJ161" i="20"/>
  <c r="BI161" i="20"/>
  <c r="BG161" i="20"/>
  <c r="BF161" i="20"/>
  <c r="BE161" i="20"/>
  <c r="BD161" i="20"/>
  <c r="BC161" i="20"/>
  <c r="BB161" i="20"/>
  <c r="AZ161" i="20"/>
  <c r="AY161" i="20"/>
  <c r="AX161" i="20"/>
  <c r="AW161" i="20"/>
  <c r="AV161" i="20"/>
  <c r="AU161" i="20"/>
  <c r="AS161" i="20"/>
  <c r="AR161" i="20"/>
  <c r="AQ161" i="20"/>
  <c r="AP161" i="20"/>
  <c r="AO161" i="20"/>
  <c r="AN161" i="20"/>
  <c r="AL161" i="20"/>
  <c r="AK161" i="20"/>
  <c r="AJ161" i="20"/>
  <c r="AI161" i="20"/>
  <c r="AH161" i="20"/>
  <c r="AG161" i="20"/>
  <c r="AE161" i="20"/>
  <c r="AD161" i="20"/>
  <c r="AB161" i="20"/>
  <c r="AA161" i="20"/>
  <c r="Z161" i="20"/>
  <c r="Y161" i="20"/>
  <c r="X161" i="20"/>
  <c r="W161" i="20"/>
  <c r="V161" i="20"/>
  <c r="T161" i="20"/>
  <c r="S161" i="20"/>
  <c r="R161" i="20"/>
  <c r="Q161" i="20"/>
  <c r="E161" i="20"/>
  <c r="D161" i="20"/>
  <c r="CG160" i="20"/>
  <c r="CE160" i="20"/>
  <c r="CC160" i="20"/>
  <c r="CB160" i="20"/>
  <c r="CA160" i="20"/>
  <c r="BZ160" i="20"/>
  <c r="BY160" i="20"/>
  <c r="BX160" i="20"/>
  <c r="BW160" i="20"/>
  <c r="BV160" i="20"/>
  <c r="BU160" i="20"/>
  <c r="BT160" i="20"/>
  <c r="BN160" i="20"/>
  <c r="BM160" i="20"/>
  <c r="BK160" i="20"/>
  <c r="BJ160" i="20"/>
  <c r="BI160" i="20"/>
  <c r="BG160" i="20"/>
  <c r="BF160" i="20"/>
  <c r="BE160" i="20"/>
  <c r="BD160" i="20"/>
  <c r="BC160" i="20"/>
  <c r="BB160" i="20"/>
  <c r="AZ160" i="20"/>
  <c r="AY160" i="20"/>
  <c r="AX160" i="20"/>
  <c r="AW160" i="20"/>
  <c r="AV160" i="20"/>
  <c r="AU160" i="20"/>
  <c r="AS160" i="20"/>
  <c r="AR160" i="20"/>
  <c r="AQ160" i="20"/>
  <c r="AP160" i="20"/>
  <c r="AO160" i="20"/>
  <c r="AN160" i="20"/>
  <c r="AL160" i="20"/>
  <c r="AK160" i="20"/>
  <c r="AJ160" i="20"/>
  <c r="AI160" i="20"/>
  <c r="AH160" i="20"/>
  <c r="AG160" i="20"/>
  <c r="AE160" i="20"/>
  <c r="AD160" i="20"/>
  <c r="AB160" i="20"/>
  <c r="AA160" i="20"/>
  <c r="Z160" i="20"/>
  <c r="Y160" i="20"/>
  <c r="X160" i="20"/>
  <c r="W160" i="20"/>
  <c r="V160" i="20"/>
  <c r="T160" i="20"/>
  <c r="S160" i="20"/>
  <c r="R160" i="20"/>
  <c r="Q160" i="20"/>
  <c r="E160" i="20"/>
  <c r="D160" i="20"/>
  <c r="CG159" i="20"/>
  <c r="CE159" i="20"/>
  <c r="CC159" i="20"/>
  <c r="CB159" i="20"/>
  <c r="CA159" i="20"/>
  <c r="BZ159" i="20"/>
  <c r="BY159" i="20"/>
  <c r="BX159" i="20"/>
  <c r="BW159" i="20"/>
  <c r="BV159" i="20"/>
  <c r="BU159" i="20"/>
  <c r="BT159" i="20"/>
  <c r="BN159" i="20"/>
  <c r="BM159" i="20"/>
  <c r="BK159" i="20"/>
  <c r="BJ159" i="20"/>
  <c r="BI159" i="20"/>
  <c r="BG159" i="20"/>
  <c r="BF159" i="20"/>
  <c r="BE159" i="20"/>
  <c r="BD159" i="20"/>
  <c r="BC159" i="20"/>
  <c r="BB159" i="20"/>
  <c r="AZ159" i="20"/>
  <c r="AY159" i="20"/>
  <c r="AX159" i="20"/>
  <c r="AW159" i="20"/>
  <c r="AV159" i="20"/>
  <c r="AU159" i="20"/>
  <c r="AS159" i="20"/>
  <c r="AR159" i="20"/>
  <c r="AQ159" i="20"/>
  <c r="AP159" i="20"/>
  <c r="AO159" i="20"/>
  <c r="AN159" i="20"/>
  <c r="AL159" i="20"/>
  <c r="AK159" i="20"/>
  <c r="AJ159" i="20"/>
  <c r="AI159" i="20"/>
  <c r="AH159" i="20"/>
  <c r="AG159" i="20"/>
  <c r="AE159" i="20"/>
  <c r="AD159" i="20"/>
  <c r="AB159" i="20"/>
  <c r="AA159" i="20"/>
  <c r="Z159" i="20"/>
  <c r="Y159" i="20"/>
  <c r="X159" i="20"/>
  <c r="W159" i="20"/>
  <c r="V159" i="20"/>
  <c r="T159" i="20"/>
  <c r="S159" i="20"/>
  <c r="R159" i="20"/>
  <c r="Q159" i="20"/>
  <c r="E159" i="20"/>
  <c r="D159" i="20"/>
  <c r="CG158" i="20"/>
  <c r="CE158" i="20"/>
  <c r="CC158" i="20"/>
  <c r="CB158" i="20"/>
  <c r="CA158" i="20"/>
  <c r="BZ158" i="20"/>
  <c r="BY158" i="20"/>
  <c r="BX158" i="20"/>
  <c r="BW158" i="20"/>
  <c r="BV158" i="20"/>
  <c r="BU158" i="20"/>
  <c r="BT158" i="20"/>
  <c r="BN158" i="20"/>
  <c r="BM158" i="20"/>
  <c r="BK158" i="20"/>
  <c r="BJ158" i="20"/>
  <c r="BI158" i="20"/>
  <c r="BG158" i="20"/>
  <c r="BF158" i="20"/>
  <c r="BE158" i="20"/>
  <c r="BD158" i="20"/>
  <c r="BC158" i="20"/>
  <c r="BB158" i="20"/>
  <c r="AZ158" i="20"/>
  <c r="AY158" i="20"/>
  <c r="AX158" i="20"/>
  <c r="AW158" i="20"/>
  <c r="AV158" i="20"/>
  <c r="AU158" i="20"/>
  <c r="AS158" i="20"/>
  <c r="AR158" i="20"/>
  <c r="AQ158" i="20"/>
  <c r="AP158" i="20"/>
  <c r="AO158" i="20"/>
  <c r="AN158" i="20"/>
  <c r="AL158" i="20"/>
  <c r="AK158" i="20"/>
  <c r="AJ158" i="20"/>
  <c r="AI158" i="20"/>
  <c r="AH158" i="20"/>
  <c r="AG158" i="20"/>
  <c r="AE158" i="20"/>
  <c r="AD158" i="20"/>
  <c r="AB158" i="20"/>
  <c r="AA158" i="20"/>
  <c r="Z158" i="20"/>
  <c r="Y158" i="20"/>
  <c r="X158" i="20"/>
  <c r="W158" i="20"/>
  <c r="V158" i="20"/>
  <c r="T158" i="20"/>
  <c r="S158" i="20"/>
  <c r="R158" i="20"/>
  <c r="Q158" i="20"/>
  <c r="E158" i="20"/>
  <c r="D158" i="20"/>
  <c r="CG157" i="20"/>
  <c r="CE157" i="20"/>
  <c r="CC157" i="20"/>
  <c r="CB157" i="20"/>
  <c r="CA157" i="20"/>
  <c r="BZ157" i="20"/>
  <c r="BY157" i="20"/>
  <c r="BX157" i="20"/>
  <c r="BW157" i="20"/>
  <c r="BV157" i="20"/>
  <c r="BU157" i="20"/>
  <c r="BT157" i="20"/>
  <c r="BN157" i="20"/>
  <c r="BM157" i="20"/>
  <c r="BK157" i="20"/>
  <c r="BJ157" i="20"/>
  <c r="BI157" i="20"/>
  <c r="BG157" i="20"/>
  <c r="BF157" i="20"/>
  <c r="BE157" i="20"/>
  <c r="BD157" i="20"/>
  <c r="BC157" i="20"/>
  <c r="BB157" i="20"/>
  <c r="AZ157" i="20"/>
  <c r="AY157" i="20"/>
  <c r="AX157" i="20"/>
  <c r="AW157" i="20"/>
  <c r="AV157" i="20"/>
  <c r="AU157" i="20"/>
  <c r="AS157" i="20"/>
  <c r="AR157" i="20"/>
  <c r="AQ157" i="20"/>
  <c r="AP157" i="20"/>
  <c r="AO157" i="20"/>
  <c r="AN157" i="20"/>
  <c r="AL157" i="20"/>
  <c r="AK157" i="20"/>
  <c r="AJ157" i="20"/>
  <c r="AI157" i="20"/>
  <c r="AH157" i="20"/>
  <c r="AG157" i="20"/>
  <c r="AE157" i="20"/>
  <c r="AD157" i="20"/>
  <c r="AB157" i="20"/>
  <c r="AA157" i="20"/>
  <c r="Z157" i="20"/>
  <c r="Y157" i="20"/>
  <c r="X157" i="20"/>
  <c r="W157" i="20"/>
  <c r="V157" i="20"/>
  <c r="T157" i="20"/>
  <c r="S157" i="20"/>
  <c r="R157" i="20"/>
  <c r="Q157" i="20"/>
  <c r="E157" i="20"/>
  <c r="D157" i="20"/>
  <c r="CG156" i="20"/>
  <c r="CE156" i="20"/>
  <c r="CC156" i="20"/>
  <c r="CB156" i="20"/>
  <c r="CA156" i="20"/>
  <c r="BZ156" i="20"/>
  <c r="BY156" i="20"/>
  <c r="BX156" i="20"/>
  <c r="BW156" i="20"/>
  <c r="BV156" i="20"/>
  <c r="BU156" i="20"/>
  <c r="BT156" i="20"/>
  <c r="BN156" i="20"/>
  <c r="BM156" i="20"/>
  <c r="BK156" i="20"/>
  <c r="BJ156" i="20"/>
  <c r="BI156" i="20"/>
  <c r="BG156" i="20"/>
  <c r="BF156" i="20"/>
  <c r="BE156" i="20"/>
  <c r="BD156" i="20"/>
  <c r="BC156" i="20"/>
  <c r="BB156" i="20"/>
  <c r="AZ156" i="20"/>
  <c r="AY156" i="20"/>
  <c r="AX156" i="20"/>
  <c r="AW156" i="20"/>
  <c r="AV156" i="20"/>
  <c r="AU156" i="20"/>
  <c r="AS156" i="20"/>
  <c r="AR156" i="20"/>
  <c r="AQ156" i="20"/>
  <c r="AP156" i="20"/>
  <c r="AO156" i="20"/>
  <c r="AN156" i="20"/>
  <c r="AL156" i="20"/>
  <c r="AK156" i="20"/>
  <c r="AJ156" i="20"/>
  <c r="AI156" i="20"/>
  <c r="AH156" i="20"/>
  <c r="AG156" i="20"/>
  <c r="AE156" i="20"/>
  <c r="AD156" i="20"/>
  <c r="AB156" i="20"/>
  <c r="AA156" i="20"/>
  <c r="Z156" i="20"/>
  <c r="Y156" i="20"/>
  <c r="X156" i="20"/>
  <c r="W156" i="20"/>
  <c r="V156" i="20"/>
  <c r="T156" i="20"/>
  <c r="S156" i="20"/>
  <c r="R156" i="20"/>
  <c r="Q156" i="20"/>
  <c r="E156" i="20"/>
  <c r="D156" i="20"/>
  <c r="CG155" i="20"/>
  <c r="CE155" i="20"/>
  <c r="CC155" i="20"/>
  <c r="CB155" i="20"/>
  <c r="CA155" i="20"/>
  <c r="BZ155" i="20"/>
  <c r="BY155" i="20"/>
  <c r="BX155" i="20"/>
  <c r="BW155" i="20"/>
  <c r="BV155" i="20"/>
  <c r="BU155" i="20"/>
  <c r="BT155" i="20"/>
  <c r="BN155" i="20"/>
  <c r="BM155" i="20"/>
  <c r="BK155" i="20"/>
  <c r="BJ155" i="20"/>
  <c r="BI155" i="20"/>
  <c r="BG155" i="20"/>
  <c r="BF155" i="20"/>
  <c r="BE155" i="20"/>
  <c r="BD155" i="20"/>
  <c r="BC155" i="20"/>
  <c r="BB155" i="20"/>
  <c r="AZ155" i="20"/>
  <c r="AY155" i="20"/>
  <c r="AX155" i="20"/>
  <c r="AW155" i="20"/>
  <c r="AV155" i="20"/>
  <c r="AU155" i="20"/>
  <c r="AS155" i="20"/>
  <c r="AR155" i="20"/>
  <c r="AQ155" i="20"/>
  <c r="AP155" i="20"/>
  <c r="AO155" i="20"/>
  <c r="AN155" i="20"/>
  <c r="AL155" i="20"/>
  <c r="AK155" i="20"/>
  <c r="AJ155" i="20"/>
  <c r="AI155" i="20"/>
  <c r="AH155" i="20"/>
  <c r="AG155" i="20"/>
  <c r="AE155" i="20"/>
  <c r="AD155" i="20"/>
  <c r="AB155" i="20"/>
  <c r="AA155" i="20"/>
  <c r="Z155" i="20"/>
  <c r="Y155" i="20"/>
  <c r="X155" i="20"/>
  <c r="W155" i="20"/>
  <c r="V155" i="20"/>
  <c r="T155" i="20"/>
  <c r="S155" i="20"/>
  <c r="R155" i="20"/>
  <c r="Q155" i="20"/>
  <c r="E155" i="20"/>
  <c r="D155" i="20"/>
  <c r="CG154" i="20"/>
  <c r="CE154" i="20"/>
  <c r="CC154" i="20"/>
  <c r="CB154" i="20"/>
  <c r="CA154" i="20"/>
  <c r="BZ154" i="20"/>
  <c r="BY154" i="20"/>
  <c r="BX154" i="20"/>
  <c r="BW154" i="20"/>
  <c r="BV154" i="20"/>
  <c r="BU154" i="20"/>
  <c r="BT154" i="20"/>
  <c r="BN154" i="20"/>
  <c r="BM154" i="20"/>
  <c r="BK154" i="20"/>
  <c r="BJ154" i="20"/>
  <c r="BI154" i="20"/>
  <c r="BG154" i="20"/>
  <c r="BF154" i="20"/>
  <c r="BE154" i="20"/>
  <c r="BD154" i="20"/>
  <c r="BC154" i="20"/>
  <c r="BB154" i="20"/>
  <c r="AZ154" i="20"/>
  <c r="AY154" i="20"/>
  <c r="AX154" i="20"/>
  <c r="AW154" i="20"/>
  <c r="AV154" i="20"/>
  <c r="AU154" i="20"/>
  <c r="AS154" i="20"/>
  <c r="AR154" i="20"/>
  <c r="AQ154" i="20"/>
  <c r="AP154" i="20"/>
  <c r="AO154" i="20"/>
  <c r="AN154" i="20"/>
  <c r="AL154" i="20"/>
  <c r="AK154" i="20"/>
  <c r="AJ154" i="20"/>
  <c r="AI154" i="20"/>
  <c r="AH154" i="20"/>
  <c r="AG154" i="20"/>
  <c r="AE154" i="20"/>
  <c r="AD154" i="20"/>
  <c r="AB154" i="20"/>
  <c r="AA154" i="20"/>
  <c r="Z154" i="20"/>
  <c r="Y154" i="20"/>
  <c r="X154" i="20"/>
  <c r="W154" i="20"/>
  <c r="V154" i="20"/>
  <c r="T154" i="20"/>
  <c r="S154" i="20"/>
  <c r="R154" i="20"/>
  <c r="Q154" i="20"/>
  <c r="E154" i="20"/>
  <c r="D154" i="20"/>
  <c r="CG153" i="20"/>
  <c r="CE153" i="20"/>
  <c r="CC153" i="20"/>
  <c r="CB153" i="20"/>
  <c r="CA153" i="20"/>
  <c r="BZ153" i="20"/>
  <c r="BY153" i="20"/>
  <c r="BX153" i="20"/>
  <c r="BW153" i="20"/>
  <c r="BV153" i="20"/>
  <c r="BU153" i="20"/>
  <c r="BT153" i="20"/>
  <c r="BN153" i="20"/>
  <c r="BM153" i="20"/>
  <c r="BK153" i="20"/>
  <c r="BJ153" i="20"/>
  <c r="BI153" i="20"/>
  <c r="BG153" i="20"/>
  <c r="BF153" i="20"/>
  <c r="BE153" i="20"/>
  <c r="BD153" i="20"/>
  <c r="BC153" i="20"/>
  <c r="BB153" i="20"/>
  <c r="AZ153" i="20"/>
  <c r="AY153" i="20"/>
  <c r="AX153" i="20"/>
  <c r="AW153" i="20"/>
  <c r="AV153" i="20"/>
  <c r="AU153" i="20"/>
  <c r="AS153" i="20"/>
  <c r="AR153" i="20"/>
  <c r="AQ153" i="20"/>
  <c r="AP153" i="20"/>
  <c r="AO153" i="20"/>
  <c r="AN153" i="20"/>
  <c r="AL153" i="20"/>
  <c r="AK153" i="20"/>
  <c r="AJ153" i="20"/>
  <c r="AI153" i="20"/>
  <c r="AH153" i="20"/>
  <c r="AG153" i="20"/>
  <c r="AE153" i="20"/>
  <c r="AD153" i="20"/>
  <c r="AB153" i="20"/>
  <c r="AA153" i="20"/>
  <c r="Z153" i="20"/>
  <c r="Y153" i="20"/>
  <c r="X153" i="20"/>
  <c r="W153" i="20"/>
  <c r="V153" i="20"/>
  <c r="T153" i="20"/>
  <c r="S153" i="20"/>
  <c r="R153" i="20"/>
  <c r="Q153" i="20"/>
  <c r="E153" i="20"/>
  <c r="D153" i="20"/>
  <c r="CG152" i="20"/>
  <c r="CE152" i="20"/>
  <c r="CC152" i="20"/>
  <c r="CB152" i="20"/>
  <c r="CA152" i="20"/>
  <c r="BZ152" i="20"/>
  <c r="BY152" i="20"/>
  <c r="BX152" i="20"/>
  <c r="BW152" i="20"/>
  <c r="BV152" i="20"/>
  <c r="BU152" i="20"/>
  <c r="BT152" i="20"/>
  <c r="BN152" i="20"/>
  <c r="BM152" i="20"/>
  <c r="BK152" i="20"/>
  <c r="BJ152" i="20"/>
  <c r="BI152" i="20"/>
  <c r="BG152" i="20"/>
  <c r="BF152" i="20"/>
  <c r="BE152" i="20"/>
  <c r="BD152" i="20"/>
  <c r="BC152" i="20"/>
  <c r="BB152" i="20"/>
  <c r="AZ152" i="20"/>
  <c r="AY152" i="20"/>
  <c r="AX152" i="20"/>
  <c r="AW152" i="20"/>
  <c r="AV152" i="20"/>
  <c r="AU152" i="20"/>
  <c r="AS152" i="20"/>
  <c r="AR152" i="20"/>
  <c r="AQ152" i="20"/>
  <c r="AP152" i="20"/>
  <c r="AO152" i="20"/>
  <c r="AN152" i="20"/>
  <c r="AL152" i="20"/>
  <c r="AK152" i="20"/>
  <c r="AJ152" i="20"/>
  <c r="AI152" i="20"/>
  <c r="AH152" i="20"/>
  <c r="AG152" i="20"/>
  <c r="AE152" i="20"/>
  <c r="AD152" i="20"/>
  <c r="AB152" i="20"/>
  <c r="AA152" i="20"/>
  <c r="Z152" i="20"/>
  <c r="Y152" i="20"/>
  <c r="X152" i="20"/>
  <c r="W152" i="20"/>
  <c r="V152" i="20"/>
  <c r="T152" i="20"/>
  <c r="S152" i="20"/>
  <c r="R152" i="20"/>
  <c r="Q152" i="20"/>
  <c r="E152" i="20"/>
  <c r="D152" i="20"/>
  <c r="CG151" i="20"/>
  <c r="CE151" i="20"/>
  <c r="CC151" i="20"/>
  <c r="CB151" i="20"/>
  <c r="CA151" i="20"/>
  <c r="BZ151" i="20"/>
  <c r="BY151" i="20"/>
  <c r="BX151" i="20"/>
  <c r="BW151" i="20"/>
  <c r="BV151" i="20"/>
  <c r="BU151" i="20"/>
  <c r="BT151" i="20"/>
  <c r="BN151" i="20"/>
  <c r="BM151" i="20"/>
  <c r="BK151" i="20"/>
  <c r="BJ151" i="20"/>
  <c r="BI151" i="20"/>
  <c r="BG151" i="20"/>
  <c r="BF151" i="20"/>
  <c r="BE151" i="20"/>
  <c r="BD151" i="20"/>
  <c r="BC151" i="20"/>
  <c r="BB151" i="20"/>
  <c r="AZ151" i="20"/>
  <c r="AY151" i="20"/>
  <c r="AX151" i="20"/>
  <c r="AW151" i="20"/>
  <c r="AV151" i="20"/>
  <c r="AU151" i="20"/>
  <c r="AS151" i="20"/>
  <c r="AR151" i="20"/>
  <c r="AQ151" i="20"/>
  <c r="AP151" i="20"/>
  <c r="AO151" i="20"/>
  <c r="AN151" i="20"/>
  <c r="AL151" i="20"/>
  <c r="AK151" i="20"/>
  <c r="AJ151" i="20"/>
  <c r="AI151" i="20"/>
  <c r="AH151" i="20"/>
  <c r="AG151" i="20"/>
  <c r="AE151" i="20"/>
  <c r="AD151" i="20"/>
  <c r="AB151" i="20"/>
  <c r="AA151" i="20"/>
  <c r="Z151" i="20"/>
  <c r="Y151" i="20"/>
  <c r="X151" i="20"/>
  <c r="W151" i="20"/>
  <c r="V151" i="20"/>
  <c r="T151" i="20"/>
  <c r="S151" i="20"/>
  <c r="R151" i="20"/>
  <c r="Q151" i="20"/>
  <c r="E151" i="20"/>
  <c r="D151" i="20"/>
  <c r="CG150" i="20"/>
  <c r="CE150" i="20"/>
  <c r="CC150" i="20"/>
  <c r="CB150" i="20"/>
  <c r="CA150" i="20"/>
  <c r="BZ150" i="20"/>
  <c r="BY150" i="20"/>
  <c r="BX150" i="20"/>
  <c r="BW150" i="20"/>
  <c r="BV150" i="20"/>
  <c r="BU150" i="20"/>
  <c r="BT150" i="20"/>
  <c r="BN150" i="20"/>
  <c r="BM150" i="20"/>
  <c r="BK150" i="20"/>
  <c r="BJ150" i="20"/>
  <c r="BI150" i="20"/>
  <c r="BG150" i="20"/>
  <c r="BF150" i="20"/>
  <c r="BE150" i="20"/>
  <c r="BD150" i="20"/>
  <c r="BC150" i="20"/>
  <c r="BB150" i="20"/>
  <c r="AZ150" i="20"/>
  <c r="AY150" i="20"/>
  <c r="AX150" i="20"/>
  <c r="AW150" i="20"/>
  <c r="AV150" i="20"/>
  <c r="AU150" i="20"/>
  <c r="AS150" i="20"/>
  <c r="AR150" i="20"/>
  <c r="AQ150" i="20"/>
  <c r="AP150" i="20"/>
  <c r="AO150" i="20"/>
  <c r="AN150" i="20"/>
  <c r="AL150" i="20"/>
  <c r="AK150" i="20"/>
  <c r="AJ150" i="20"/>
  <c r="AI150" i="20"/>
  <c r="AH150" i="20"/>
  <c r="AG150" i="20"/>
  <c r="AE150" i="20"/>
  <c r="AD150" i="20"/>
  <c r="AB150" i="20"/>
  <c r="AA150" i="20"/>
  <c r="Z150" i="20"/>
  <c r="Y150" i="20"/>
  <c r="X150" i="20"/>
  <c r="W150" i="20"/>
  <c r="V150" i="20"/>
  <c r="T150" i="20"/>
  <c r="S150" i="20"/>
  <c r="R150" i="20"/>
  <c r="Q150" i="20"/>
  <c r="E150" i="20"/>
  <c r="D150" i="20"/>
  <c r="CG149" i="20"/>
  <c r="CE149" i="20"/>
  <c r="CC149" i="20"/>
  <c r="CB149" i="20"/>
  <c r="CA149" i="20"/>
  <c r="BZ149" i="20"/>
  <c r="BY149" i="20"/>
  <c r="BX149" i="20"/>
  <c r="BW149" i="20"/>
  <c r="BV149" i="20"/>
  <c r="BU149" i="20"/>
  <c r="BT149" i="20"/>
  <c r="BN149" i="20"/>
  <c r="BM149" i="20"/>
  <c r="BK149" i="20"/>
  <c r="BJ149" i="20"/>
  <c r="BI149" i="20"/>
  <c r="BG149" i="20"/>
  <c r="BF149" i="20"/>
  <c r="BE149" i="20"/>
  <c r="BD149" i="20"/>
  <c r="BC149" i="20"/>
  <c r="BB149" i="20"/>
  <c r="AZ149" i="20"/>
  <c r="AY149" i="20"/>
  <c r="AX149" i="20"/>
  <c r="AW149" i="20"/>
  <c r="AV149" i="20"/>
  <c r="AU149" i="20"/>
  <c r="AS149" i="20"/>
  <c r="AR149" i="20"/>
  <c r="AQ149" i="20"/>
  <c r="AP149" i="20"/>
  <c r="AO149" i="20"/>
  <c r="AN149" i="20"/>
  <c r="AL149" i="20"/>
  <c r="AK149" i="20"/>
  <c r="AJ149" i="20"/>
  <c r="AI149" i="20"/>
  <c r="AH149" i="20"/>
  <c r="AG149" i="20"/>
  <c r="AE149" i="20"/>
  <c r="AD149" i="20"/>
  <c r="AB149" i="20"/>
  <c r="AA149" i="20"/>
  <c r="Z149" i="20"/>
  <c r="Y149" i="20"/>
  <c r="X149" i="20"/>
  <c r="W149" i="20"/>
  <c r="V149" i="20"/>
  <c r="T149" i="20"/>
  <c r="S149" i="20"/>
  <c r="R149" i="20"/>
  <c r="Q149" i="20"/>
  <c r="E149" i="20"/>
  <c r="D149" i="20"/>
  <c r="CG148" i="20"/>
  <c r="CE148" i="20"/>
  <c r="CC148" i="20"/>
  <c r="CB148" i="20"/>
  <c r="CA148" i="20"/>
  <c r="BZ148" i="20"/>
  <c r="BY148" i="20"/>
  <c r="BX148" i="20"/>
  <c r="BW148" i="20"/>
  <c r="BV148" i="20"/>
  <c r="BU148" i="20"/>
  <c r="BT148" i="20"/>
  <c r="BN148" i="20"/>
  <c r="BM148" i="20"/>
  <c r="BK148" i="20"/>
  <c r="BJ148" i="20"/>
  <c r="BI148" i="20"/>
  <c r="BG148" i="20"/>
  <c r="BF148" i="20"/>
  <c r="BE148" i="20"/>
  <c r="BD148" i="20"/>
  <c r="BC148" i="20"/>
  <c r="BB148" i="20"/>
  <c r="AZ148" i="20"/>
  <c r="AY148" i="20"/>
  <c r="AX148" i="20"/>
  <c r="AW148" i="20"/>
  <c r="AV148" i="20"/>
  <c r="AU148" i="20"/>
  <c r="AS148" i="20"/>
  <c r="AR148" i="20"/>
  <c r="AQ148" i="20"/>
  <c r="AP148" i="20"/>
  <c r="AO148" i="20"/>
  <c r="AN148" i="20"/>
  <c r="AL148" i="20"/>
  <c r="AK148" i="20"/>
  <c r="AJ148" i="20"/>
  <c r="AI148" i="20"/>
  <c r="AH148" i="20"/>
  <c r="AG148" i="20"/>
  <c r="AE148" i="20"/>
  <c r="AD148" i="20"/>
  <c r="AB148" i="20"/>
  <c r="AA148" i="20"/>
  <c r="Z148" i="20"/>
  <c r="Y148" i="20"/>
  <c r="X148" i="20"/>
  <c r="W148" i="20"/>
  <c r="V148" i="20"/>
  <c r="T148" i="20"/>
  <c r="S148" i="20"/>
  <c r="R148" i="20"/>
  <c r="Q148" i="20"/>
  <c r="E148" i="20"/>
  <c r="D148" i="20"/>
  <c r="CG147" i="20"/>
  <c r="CE147" i="20"/>
  <c r="CC147" i="20"/>
  <c r="CB147" i="20"/>
  <c r="CA147" i="20"/>
  <c r="BZ147" i="20"/>
  <c r="BY147" i="20"/>
  <c r="BX147" i="20"/>
  <c r="BW147" i="20"/>
  <c r="BV147" i="20"/>
  <c r="BU147" i="20"/>
  <c r="BT147" i="20"/>
  <c r="BN147" i="20"/>
  <c r="BM147" i="20"/>
  <c r="BK147" i="20"/>
  <c r="BJ147" i="20"/>
  <c r="BI147" i="20"/>
  <c r="BG147" i="20"/>
  <c r="BF147" i="20"/>
  <c r="BE147" i="20"/>
  <c r="BD147" i="20"/>
  <c r="BC147" i="20"/>
  <c r="BB147" i="20"/>
  <c r="AZ147" i="20"/>
  <c r="AY147" i="20"/>
  <c r="AX147" i="20"/>
  <c r="AW147" i="20"/>
  <c r="AV147" i="20"/>
  <c r="AU147" i="20"/>
  <c r="AS147" i="20"/>
  <c r="AR147" i="20"/>
  <c r="AQ147" i="20"/>
  <c r="AP147" i="20"/>
  <c r="AO147" i="20"/>
  <c r="AN147" i="20"/>
  <c r="AL147" i="20"/>
  <c r="AK147" i="20"/>
  <c r="AJ147" i="20"/>
  <c r="AI147" i="20"/>
  <c r="AH147" i="20"/>
  <c r="AG147" i="20"/>
  <c r="AE147" i="20"/>
  <c r="AD147" i="20"/>
  <c r="AB147" i="20"/>
  <c r="AA147" i="20"/>
  <c r="Z147" i="20"/>
  <c r="Y147" i="20"/>
  <c r="X147" i="20"/>
  <c r="W147" i="20"/>
  <c r="V147" i="20"/>
  <c r="T147" i="20"/>
  <c r="S147" i="20"/>
  <c r="R147" i="20"/>
  <c r="Q147" i="20"/>
  <c r="E147" i="20"/>
  <c r="D147" i="20"/>
  <c r="CG146" i="20"/>
  <c r="CE146" i="20"/>
  <c r="CC146" i="20"/>
  <c r="CB146" i="20"/>
  <c r="CA146" i="20"/>
  <c r="BZ146" i="20"/>
  <c r="BY146" i="20"/>
  <c r="BX146" i="20"/>
  <c r="BW146" i="20"/>
  <c r="BV146" i="20"/>
  <c r="BU146" i="20"/>
  <c r="BT146" i="20"/>
  <c r="BN146" i="20"/>
  <c r="BM146" i="20"/>
  <c r="BK146" i="20"/>
  <c r="BJ146" i="20"/>
  <c r="BI146" i="20"/>
  <c r="BG146" i="20"/>
  <c r="BF146" i="20"/>
  <c r="BE146" i="20"/>
  <c r="BD146" i="20"/>
  <c r="BC146" i="20"/>
  <c r="BB146" i="20"/>
  <c r="AZ146" i="20"/>
  <c r="AY146" i="20"/>
  <c r="AX146" i="20"/>
  <c r="AW146" i="20"/>
  <c r="AV146" i="20"/>
  <c r="AU146" i="20"/>
  <c r="AS146" i="20"/>
  <c r="AR146" i="20"/>
  <c r="AQ146" i="20"/>
  <c r="AP146" i="20"/>
  <c r="AO146" i="20"/>
  <c r="AN146" i="20"/>
  <c r="AL146" i="20"/>
  <c r="AK146" i="20"/>
  <c r="AJ146" i="20"/>
  <c r="AI146" i="20"/>
  <c r="AH146" i="20"/>
  <c r="AG146" i="20"/>
  <c r="AE146" i="20"/>
  <c r="AD146" i="20"/>
  <c r="AB146" i="20"/>
  <c r="AA146" i="20"/>
  <c r="Z146" i="20"/>
  <c r="Y146" i="20"/>
  <c r="X146" i="20"/>
  <c r="W146" i="20"/>
  <c r="V146" i="20"/>
  <c r="T146" i="20"/>
  <c r="S146" i="20"/>
  <c r="R146" i="20"/>
  <c r="Q146" i="20"/>
  <c r="E146" i="20"/>
  <c r="D146" i="20"/>
  <c r="CG145" i="20"/>
  <c r="CE145" i="20"/>
  <c r="CC145" i="20"/>
  <c r="CB145" i="20"/>
  <c r="CA145" i="20"/>
  <c r="BZ145" i="20"/>
  <c r="BY145" i="20"/>
  <c r="BX145" i="20"/>
  <c r="BW145" i="20"/>
  <c r="BV145" i="20"/>
  <c r="BU145" i="20"/>
  <c r="BT145" i="20"/>
  <c r="BN145" i="20"/>
  <c r="BM145" i="20"/>
  <c r="BK145" i="20"/>
  <c r="BJ145" i="20"/>
  <c r="BI145" i="20"/>
  <c r="BG145" i="20"/>
  <c r="BF145" i="20"/>
  <c r="BE145" i="20"/>
  <c r="BD145" i="20"/>
  <c r="BC145" i="20"/>
  <c r="BB145" i="20"/>
  <c r="AZ145" i="20"/>
  <c r="AY145" i="20"/>
  <c r="AX145" i="20"/>
  <c r="AW145" i="20"/>
  <c r="AV145" i="20"/>
  <c r="AU145" i="20"/>
  <c r="AS145" i="20"/>
  <c r="AR145" i="20"/>
  <c r="AQ145" i="20"/>
  <c r="AP145" i="20"/>
  <c r="AO145" i="20"/>
  <c r="AN145" i="20"/>
  <c r="AL145" i="20"/>
  <c r="AK145" i="20"/>
  <c r="AJ145" i="20"/>
  <c r="AI145" i="20"/>
  <c r="AH145" i="20"/>
  <c r="AG145" i="20"/>
  <c r="AE145" i="20"/>
  <c r="AD145" i="20"/>
  <c r="AB145" i="20"/>
  <c r="AA145" i="20"/>
  <c r="Z145" i="20"/>
  <c r="Y145" i="20"/>
  <c r="X145" i="20"/>
  <c r="W145" i="20"/>
  <c r="V145" i="20"/>
  <c r="T145" i="20"/>
  <c r="S145" i="20"/>
  <c r="R145" i="20"/>
  <c r="Q145" i="20"/>
  <c r="E145" i="20"/>
  <c r="D145" i="20"/>
  <c r="CG144" i="20"/>
  <c r="CE144" i="20"/>
  <c r="CC144" i="20"/>
  <c r="CB144" i="20"/>
  <c r="CA144" i="20"/>
  <c r="BZ144" i="20"/>
  <c r="BY144" i="20"/>
  <c r="BX144" i="20"/>
  <c r="BW144" i="20"/>
  <c r="BV144" i="20"/>
  <c r="BU144" i="20"/>
  <c r="BT144" i="20"/>
  <c r="BN144" i="20"/>
  <c r="BM144" i="20"/>
  <c r="BK144" i="20"/>
  <c r="BJ144" i="20"/>
  <c r="BI144" i="20"/>
  <c r="BG144" i="20"/>
  <c r="BF144" i="20"/>
  <c r="BE144" i="20"/>
  <c r="BD144" i="20"/>
  <c r="BC144" i="20"/>
  <c r="BB144" i="20"/>
  <c r="AZ144" i="20"/>
  <c r="AY144" i="20"/>
  <c r="AX144" i="20"/>
  <c r="AW144" i="20"/>
  <c r="AV144" i="20"/>
  <c r="AU144" i="20"/>
  <c r="AS144" i="20"/>
  <c r="AR144" i="20"/>
  <c r="AQ144" i="20"/>
  <c r="AP144" i="20"/>
  <c r="AO144" i="20"/>
  <c r="AN144" i="20"/>
  <c r="AL144" i="20"/>
  <c r="AK144" i="20"/>
  <c r="AJ144" i="20"/>
  <c r="AI144" i="20"/>
  <c r="AH144" i="20"/>
  <c r="AG144" i="20"/>
  <c r="AE144" i="20"/>
  <c r="AD144" i="20"/>
  <c r="AB144" i="20"/>
  <c r="AA144" i="20"/>
  <c r="Z144" i="20"/>
  <c r="Y144" i="20"/>
  <c r="X144" i="20"/>
  <c r="W144" i="20"/>
  <c r="V144" i="20"/>
  <c r="T144" i="20"/>
  <c r="S144" i="20"/>
  <c r="R144" i="20"/>
  <c r="Q144" i="20"/>
  <c r="E144" i="20"/>
  <c r="D144" i="20"/>
  <c r="CG143" i="20"/>
  <c r="CE143" i="20"/>
  <c r="CC143" i="20"/>
  <c r="CB143" i="20"/>
  <c r="CA143" i="20"/>
  <c r="BZ143" i="20"/>
  <c r="BY143" i="20"/>
  <c r="BX143" i="20"/>
  <c r="BW143" i="20"/>
  <c r="BV143" i="20"/>
  <c r="BU143" i="20"/>
  <c r="BT143" i="20"/>
  <c r="BN143" i="20"/>
  <c r="BM143" i="20"/>
  <c r="BK143" i="20"/>
  <c r="BJ143" i="20"/>
  <c r="BI143" i="20"/>
  <c r="BG143" i="20"/>
  <c r="BF143" i="20"/>
  <c r="BE143" i="20"/>
  <c r="BD143" i="20"/>
  <c r="BC143" i="20"/>
  <c r="BB143" i="20"/>
  <c r="AZ143" i="20"/>
  <c r="AY143" i="20"/>
  <c r="AX143" i="20"/>
  <c r="AW143" i="20"/>
  <c r="AV143" i="20"/>
  <c r="AU143" i="20"/>
  <c r="AS143" i="20"/>
  <c r="AR143" i="20"/>
  <c r="AQ143" i="20"/>
  <c r="AP143" i="20"/>
  <c r="AO143" i="20"/>
  <c r="AN143" i="20"/>
  <c r="AL143" i="20"/>
  <c r="AK143" i="20"/>
  <c r="AJ143" i="20"/>
  <c r="AI143" i="20"/>
  <c r="AH143" i="20"/>
  <c r="AG143" i="20"/>
  <c r="AE143" i="20"/>
  <c r="AD143" i="20"/>
  <c r="AB143" i="20"/>
  <c r="AA143" i="20"/>
  <c r="Z143" i="20"/>
  <c r="Y143" i="20"/>
  <c r="X143" i="20"/>
  <c r="W143" i="20"/>
  <c r="V143" i="20"/>
  <c r="T143" i="20"/>
  <c r="S143" i="20"/>
  <c r="R143" i="20"/>
  <c r="Q143" i="20"/>
  <c r="E143" i="20"/>
  <c r="D143" i="20"/>
  <c r="CG142" i="20"/>
  <c r="CE142" i="20"/>
  <c r="CC142" i="20"/>
  <c r="CB142" i="20"/>
  <c r="CA142" i="20"/>
  <c r="BZ142" i="20"/>
  <c r="BY142" i="20"/>
  <c r="BX142" i="20"/>
  <c r="BW142" i="20"/>
  <c r="BV142" i="20"/>
  <c r="BU142" i="20"/>
  <c r="BT142" i="20"/>
  <c r="BN142" i="20"/>
  <c r="BM142" i="20"/>
  <c r="BK142" i="20"/>
  <c r="BJ142" i="20"/>
  <c r="BI142" i="20"/>
  <c r="BG142" i="20"/>
  <c r="BF142" i="20"/>
  <c r="BE142" i="20"/>
  <c r="BD142" i="20"/>
  <c r="BC142" i="20"/>
  <c r="BB142" i="20"/>
  <c r="AZ142" i="20"/>
  <c r="AY142" i="20"/>
  <c r="AX142" i="20"/>
  <c r="AW142" i="20"/>
  <c r="AV142" i="20"/>
  <c r="AU142" i="20"/>
  <c r="AS142" i="20"/>
  <c r="AR142" i="20"/>
  <c r="AQ142" i="20"/>
  <c r="AP142" i="20"/>
  <c r="AO142" i="20"/>
  <c r="AN142" i="20"/>
  <c r="AL142" i="20"/>
  <c r="AK142" i="20"/>
  <c r="AJ142" i="20"/>
  <c r="AI142" i="20"/>
  <c r="AH142" i="20"/>
  <c r="AG142" i="20"/>
  <c r="AE142" i="20"/>
  <c r="AD142" i="20"/>
  <c r="AB142" i="20"/>
  <c r="AA142" i="20"/>
  <c r="Z142" i="20"/>
  <c r="Y142" i="20"/>
  <c r="X142" i="20"/>
  <c r="W142" i="20"/>
  <c r="V142" i="20"/>
  <c r="T142" i="20"/>
  <c r="S142" i="20"/>
  <c r="R142" i="20"/>
  <c r="Q142" i="20"/>
  <c r="E142" i="20"/>
  <c r="D142" i="20"/>
  <c r="CG141" i="20"/>
  <c r="CE141" i="20"/>
  <c r="CC141" i="20"/>
  <c r="CB141" i="20"/>
  <c r="CA141" i="20"/>
  <c r="BZ141" i="20"/>
  <c r="BY141" i="20"/>
  <c r="BX141" i="20"/>
  <c r="BW141" i="20"/>
  <c r="BV141" i="20"/>
  <c r="BU141" i="20"/>
  <c r="BT141" i="20"/>
  <c r="BN141" i="20"/>
  <c r="BM141" i="20"/>
  <c r="BK141" i="20"/>
  <c r="BJ141" i="20"/>
  <c r="BI141" i="20"/>
  <c r="BG141" i="20"/>
  <c r="BF141" i="20"/>
  <c r="BE141" i="20"/>
  <c r="BD141" i="20"/>
  <c r="BC141" i="20"/>
  <c r="BB141" i="20"/>
  <c r="AZ141" i="20"/>
  <c r="AY141" i="20"/>
  <c r="AX141" i="20"/>
  <c r="AW141" i="20"/>
  <c r="AV141" i="20"/>
  <c r="AU141" i="20"/>
  <c r="AS141" i="20"/>
  <c r="AR141" i="20"/>
  <c r="AQ141" i="20"/>
  <c r="AP141" i="20"/>
  <c r="AO141" i="20"/>
  <c r="AN141" i="20"/>
  <c r="AL141" i="20"/>
  <c r="AK141" i="20"/>
  <c r="AJ141" i="20"/>
  <c r="AI141" i="20"/>
  <c r="AH141" i="20"/>
  <c r="AG141" i="20"/>
  <c r="AE141" i="20"/>
  <c r="AD141" i="20"/>
  <c r="AB141" i="20"/>
  <c r="AA141" i="20"/>
  <c r="Z141" i="20"/>
  <c r="Y141" i="20"/>
  <c r="X141" i="20"/>
  <c r="W141" i="20"/>
  <c r="V141" i="20"/>
  <c r="T141" i="20"/>
  <c r="S141" i="20"/>
  <c r="R141" i="20"/>
  <c r="Q141" i="20"/>
  <c r="E141" i="20"/>
  <c r="D141" i="20"/>
  <c r="CG140" i="20"/>
  <c r="CE140" i="20"/>
  <c r="CC140" i="20"/>
  <c r="CB140" i="20"/>
  <c r="CA140" i="20"/>
  <c r="BZ140" i="20"/>
  <c r="BY140" i="20"/>
  <c r="BX140" i="20"/>
  <c r="BW140" i="20"/>
  <c r="BV140" i="20"/>
  <c r="BU140" i="20"/>
  <c r="BT140" i="20"/>
  <c r="BN140" i="20"/>
  <c r="BM140" i="20"/>
  <c r="BK140" i="20"/>
  <c r="BJ140" i="20"/>
  <c r="BI140" i="20"/>
  <c r="BG140" i="20"/>
  <c r="BF140" i="20"/>
  <c r="BE140" i="20"/>
  <c r="BD140" i="20"/>
  <c r="BC140" i="20"/>
  <c r="BB140" i="20"/>
  <c r="AZ140" i="20"/>
  <c r="AY140" i="20"/>
  <c r="AX140" i="20"/>
  <c r="AW140" i="20"/>
  <c r="AV140" i="20"/>
  <c r="AU140" i="20"/>
  <c r="AS140" i="20"/>
  <c r="AR140" i="20"/>
  <c r="AQ140" i="20"/>
  <c r="AP140" i="20"/>
  <c r="AO140" i="20"/>
  <c r="AN140" i="20"/>
  <c r="AL140" i="20"/>
  <c r="AK140" i="20"/>
  <c r="AJ140" i="20"/>
  <c r="AI140" i="20"/>
  <c r="AH140" i="20"/>
  <c r="AG140" i="20"/>
  <c r="AE140" i="20"/>
  <c r="AD140" i="20"/>
  <c r="AB140" i="20"/>
  <c r="AA140" i="20"/>
  <c r="Z140" i="20"/>
  <c r="Y140" i="20"/>
  <c r="X140" i="20"/>
  <c r="W140" i="20"/>
  <c r="V140" i="20"/>
  <c r="T140" i="20"/>
  <c r="S140" i="20"/>
  <c r="R140" i="20"/>
  <c r="Q140" i="20"/>
  <c r="E140" i="20"/>
  <c r="D140" i="20"/>
  <c r="CG139" i="20"/>
  <c r="CE139" i="20"/>
  <c r="CC139" i="20"/>
  <c r="CB139" i="20"/>
  <c r="CA139" i="20"/>
  <c r="BZ139" i="20"/>
  <c r="BY139" i="20"/>
  <c r="BX139" i="20"/>
  <c r="BW139" i="20"/>
  <c r="BV139" i="20"/>
  <c r="BU139" i="20"/>
  <c r="BT139" i="20"/>
  <c r="BN139" i="20"/>
  <c r="BM139" i="20"/>
  <c r="BK139" i="20"/>
  <c r="BJ139" i="20"/>
  <c r="BI139" i="20"/>
  <c r="BG139" i="20"/>
  <c r="BF139" i="20"/>
  <c r="BE139" i="20"/>
  <c r="BD139" i="20"/>
  <c r="BC139" i="20"/>
  <c r="BB139" i="20"/>
  <c r="AZ139" i="20"/>
  <c r="AY139" i="20"/>
  <c r="AX139" i="20"/>
  <c r="AW139" i="20"/>
  <c r="AV139" i="20"/>
  <c r="AU139" i="20"/>
  <c r="AS139" i="20"/>
  <c r="AR139" i="20"/>
  <c r="AQ139" i="20"/>
  <c r="AP139" i="20"/>
  <c r="AO139" i="20"/>
  <c r="AN139" i="20"/>
  <c r="AL139" i="20"/>
  <c r="AK139" i="20"/>
  <c r="AJ139" i="20"/>
  <c r="AI139" i="20"/>
  <c r="AH139" i="20"/>
  <c r="AG139" i="20"/>
  <c r="AE139" i="20"/>
  <c r="AD139" i="20"/>
  <c r="AB139" i="20"/>
  <c r="AA139" i="20"/>
  <c r="Z139" i="20"/>
  <c r="Y139" i="20"/>
  <c r="X139" i="20"/>
  <c r="W139" i="20"/>
  <c r="V139" i="20"/>
  <c r="T139" i="20"/>
  <c r="S139" i="20"/>
  <c r="R139" i="20"/>
  <c r="Q139" i="20"/>
  <c r="E139" i="20"/>
  <c r="D139" i="20"/>
  <c r="CG138" i="20"/>
  <c r="CE138" i="20"/>
  <c r="CC138" i="20"/>
  <c r="CB138" i="20"/>
  <c r="CA138" i="20"/>
  <c r="BZ138" i="20"/>
  <c r="BY138" i="20"/>
  <c r="BX138" i="20"/>
  <c r="BW138" i="20"/>
  <c r="BV138" i="20"/>
  <c r="BU138" i="20"/>
  <c r="BT138" i="20"/>
  <c r="BN138" i="20"/>
  <c r="BM138" i="20"/>
  <c r="BK138" i="20"/>
  <c r="BJ138" i="20"/>
  <c r="BI138" i="20"/>
  <c r="BG138" i="20"/>
  <c r="BF138" i="20"/>
  <c r="BE138" i="20"/>
  <c r="BD138" i="20"/>
  <c r="BC138" i="20"/>
  <c r="BB138" i="20"/>
  <c r="AZ138" i="20"/>
  <c r="AY138" i="20"/>
  <c r="AX138" i="20"/>
  <c r="AW138" i="20"/>
  <c r="AV138" i="20"/>
  <c r="AU138" i="20"/>
  <c r="AS138" i="20"/>
  <c r="AR138" i="20"/>
  <c r="AQ138" i="20"/>
  <c r="AP138" i="20"/>
  <c r="AO138" i="20"/>
  <c r="AN138" i="20"/>
  <c r="AL138" i="20"/>
  <c r="AK138" i="20"/>
  <c r="AJ138" i="20"/>
  <c r="AI138" i="20"/>
  <c r="AH138" i="20"/>
  <c r="AG138" i="20"/>
  <c r="AE138" i="20"/>
  <c r="AD138" i="20"/>
  <c r="AB138" i="20"/>
  <c r="AA138" i="20"/>
  <c r="Z138" i="20"/>
  <c r="Y138" i="20"/>
  <c r="X138" i="20"/>
  <c r="W138" i="20"/>
  <c r="V138" i="20"/>
  <c r="T138" i="20"/>
  <c r="S138" i="20"/>
  <c r="R138" i="20"/>
  <c r="Q138" i="20"/>
  <c r="E138" i="20"/>
  <c r="D138" i="20"/>
  <c r="CG137" i="20"/>
  <c r="CE137" i="20"/>
  <c r="CC137" i="20"/>
  <c r="CB137" i="20"/>
  <c r="CA137" i="20"/>
  <c r="BZ137" i="20"/>
  <c r="BY137" i="20"/>
  <c r="BX137" i="20"/>
  <c r="BW137" i="20"/>
  <c r="BV137" i="20"/>
  <c r="BU137" i="20"/>
  <c r="BT137" i="20"/>
  <c r="BN137" i="20"/>
  <c r="BM137" i="20"/>
  <c r="BK137" i="20"/>
  <c r="BJ137" i="20"/>
  <c r="BI137" i="20"/>
  <c r="BG137" i="20"/>
  <c r="BF137" i="20"/>
  <c r="BE137" i="20"/>
  <c r="BD137" i="20"/>
  <c r="BC137" i="20"/>
  <c r="BB137" i="20"/>
  <c r="AZ137" i="20"/>
  <c r="AY137" i="20"/>
  <c r="AX137" i="20"/>
  <c r="AW137" i="20"/>
  <c r="AV137" i="20"/>
  <c r="AU137" i="20"/>
  <c r="AS137" i="20"/>
  <c r="AR137" i="20"/>
  <c r="AQ137" i="20"/>
  <c r="AP137" i="20"/>
  <c r="AO137" i="20"/>
  <c r="AN137" i="20"/>
  <c r="AL137" i="20"/>
  <c r="AK137" i="20"/>
  <c r="AJ137" i="20"/>
  <c r="AI137" i="20"/>
  <c r="AH137" i="20"/>
  <c r="AG137" i="20"/>
  <c r="AE137" i="20"/>
  <c r="AD137" i="20"/>
  <c r="AB137" i="20"/>
  <c r="AA137" i="20"/>
  <c r="Z137" i="20"/>
  <c r="Y137" i="20"/>
  <c r="X137" i="20"/>
  <c r="W137" i="20"/>
  <c r="V137" i="20"/>
  <c r="T137" i="20"/>
  <c r="S137" i="20"/>
  <c r="R137" i="20"/>
  <c r="Q137" i="20"/>
  <c r="E137" i="20"/>
  <c r="D137" i="20"/>
  <c r="CG136" i="20"/>
  <c r="CE136" i="20"/>
  <c r="CC136" i="20"/>
  <c r="CB136" i="20"/>
  <c r="CA136" i="20"/>
  <c r="BZ136" i="20"/>
  <c r="BY136" i="20"/>
  <c r="BX136" i="20"/>
  <c r="BW136" i="20"/>
  <c r="BV136" i="20"/>
  <c r="BU136" i="20"/>
  <c r="BT136" i="20"/>
  <c r="BN136" i="20"/>
  <c r="BM136" i="20"/>
  <c r="BK136" i="20"/>
  <c r="BJ136" i="20"/>
  <c r="BI136" i="20"/>
  <c r="BG136" i="20"/>
  <c r="BF136" i="20"/>
  <c r="BE136" i="20"/>
  <c r="BD136" i="20"/>
  <c r="BC136" i="20"/>
  <c r="BB136" i="20"/>
  <c r="AZ136" i="20"/>
  <c r="AY136" i="20"/>
  <c r="AX136" i="20"/>
  <c r="AW136" i="20"/>
  <c r="AV136" i="20"/>
  <c r="AU136" i="20"/>
  <c r="AS136" i="20"/>
  <c r="AR136" i="20"/>
  <c r="AQ136" i="20"/>
  <c r="AP136" i="20"/>
  <c r="AO136" i="20"/>
  <c r="AN136" i="20"/>
  <c r="AL136" i="20"/>
  <c r="AK136" i="20"/>
  <c r="AJ136" i="20"/>
  <c r="AI136" i="20"/>
  <c r="AH136" i="20"/>
  <c r="AG136" i="20"/>
  <c r="AE136" i="20"/>
  <c r="AD136" i="20"/>
  <c r="AB136" i="20"/>
  <c r="AA136" i="20"/>
  <c r="Z136" i="20"/>
  <c r="Y136" i="20"/>
  <c r="X136" i="20"/>
  <c r="W136" i="20"/>
  <c r="V136" i="20"/>
  <c r="T136" i="20"/>
  <c r="S136" i="20"/>
  <c r="R136" i="20"/>
  <c r="Q136" i="20"/>
  <c r="E136" i="20"/>
  <c r="D136" i="20"/>
  <c r="CG135" i="20"/>
  <c r="CE135" i="20"/>
  <c r="CC135" i="20"/>
  <c r="CB135" i="20"/>
  <c r="CA135" i="20"/>
  <c r="BZ135" i="20"/>
  <c r="BY135" i="20"/>
  <c r="BX135" i="20"/>
  <c r="BW135" i="20"/>
  <c r="BV135" i="20"/>
  <c r="BU135" i="20"/>
  <c r="BT135" i="20"/>
  <c r="BN135" i="20"/>
  <c r="BM135" i="20"/>
  <c r="BK135" i="20"/>
  <c r="BJ135" i="20"/>
  <c r="BI135" i="20"/>
  <c r="BG135" i="20"/>
  <c r="BF135" i="20"/>
  <c r="BE135" i="20"/>
  <c r="BD135" i="20"/>
  <c r="BC135" i="20"/>
  <c r="BB135" i="20"/>
  <c r="AZ135" i="20"/>
  <c r="AY135" i="20"/>
  <c r="AX135" i="20"/>
  <c r="AW135" i="20"/>
  <c r="AV135" i="20"/>
  <c r="AU135" i="20"/>
  <c r="AS135" i="20"/>
  <c r="AR135" i="20"/>
  <c r="AQ135" i="20"/>
  <c r="AP135" i="20"/>
  <c r="AO135" i="20"/>
  <c r="AN135" i="20"/>
  <c r="AL135" i="20"/>
  <c r="AK135" i="20"/>
  <c r="AJ135" i="20"/>
  <c r="AI135" i="20"/>
  <c r="AH135" i="20"/>
  <c r="AG135" i="20"/>
  <c r="AE135" i="20"/>
  <c r="AD135" i="20"/>
  <c r="AB135" i="20"/>
  <c r="AA135" i="20"/>
  <c r="Z135" i="20"/>
  <c r="Y135" i="20"/>
  <c r="X135" i="20"/>
  <c r="W135" i="20"/>
  <c r="V135" i="20"/>
  <c r="T135" i="20"/>
  <c r="S135" i="20"/>
  <c r="R135" i="20"/>
  <c r="Q135" i="20"/>
  <c r="E135" i="20"/>
  <c r="D135" i="20"/>
  <c r="CG134" i="20"/>
  <c r="CE134" i="20"/>
  <c r="CC134" i="20"/>
  <c r="CB134" i="20"/>
  <c r="CA134" i="20"/>
  <c r="BZ134" i="20"/>
  <c r="BY134" i="20"/>
  <c r="BX134" i="20"/>
  <c r="BW134" i="20"/>
  <c r="BV134" i="20"/>
  <c r="BU134" i="20"/>
  <c r="BT134" i="20"/>
  <c r="BN134" i="20"/>
  <c r="BM134" i="20"/>
  <c r="BK134" i="20"/>
  <c r="BJ134" i="20"/>
  <c r="BI134" i="20"/>
  <c r="BG134" i="20"/>
  <c r="BF134" i="20"/>
  <c r="BE134" i="20"/>
  <c r="BD134" i="20"/>
  <c r="BC134" i="20"/>
  <c r="BB134" i="20"/>
  <c r="AZ134" i="20"/>
  <c r="AY134" i="20"/>
  <c r="AX134" i="20"/>
  <c r="AW134" i="20"/>
  <c r="AV134" i="20"/>
  <c r="AU134" i="20"/>
  <c r="AS134" i="20"/>
  <c r="AR134" i="20"/>
  <c r="AQ134" i="20"/>
  <c r="AP134" i="20"/>
  <c r="AO134" i="20"/>
  <c r="AN134" i="20"/>
  <c r="AL134" i="20"/>
  <c r="AK134" i="20"/>
  <c r="AJ134" i="20"/>
  <c r="AI134" i="20"/>
  <c r="AH134" i="20"/>
  <c r="AG134" i="20"/>
  <c r="AE134" i="20"/>
  <c r="AD134" i="20"/>
  <c r="AB134" i="20"/>
  <c r="AA134" i="20"/>
  <c r="Z134" i="20"/>
  <c r="Y134" i="20"/>
  <c r="X134" i="20"/>
  <c r="W134" i="20"/>
  <c r="V134" i="20"/>
  <c r="T134" i="20"/>
  <c r="S134" i="20"/>
  <c r="R134" i="20"/>
  <c r="Q134" i="20"/>
  <c r="E134" i="20"/>
  <c r="D134" i="20"/>
  <c r="CG133" i="20"/>
  <c r="CE133" i="20"/>
  <c r="CC133" i="20"/>
  <c r="CB133" i="20"/>
  <c r="CA133" i="20"/>
  <c r="BZ133" i="20"/>
  <c r="BY133" i="20"/>
  <c r="BX133" i="20"/>
  <c r="BW133" i="20"/>
  <c r="BV133" i="20"/>
  <c r="BU133" i="20"/>
  <c r="BT133" i="20"/>
  <c r="BN133" i="20"/>
  <c r="BM133" i="20"/>
  <c r="BK133" i="20"/>
  <c r="BJ133" i="20"/>
  <c r="BI133" i="20"/>
  <c r="BG133" i="20"/>
  <c r="BF133" i="20"/>
  <c r="BE133" i="20"/>
  <c r="BD133" i="20"/>
  <c r="BC133" i="20"/>
  <c r="BB133" i="20"/>
  <c r="AZ133" i="20"/>
  <c r="AY133" i="20"/>
  <c r="AX133" i="20"/>
  <c r="AW133" i="20"/>
  <c r="AV133" i="20"/>
  <c r="AU133" i="20"/>
  <c r="AS133" i="20"/>
  <c r="AR133" i="20"/>
  <c r="AQ133" i="20"/>
  <c r="AP133" i="20"/>
  <c r="AO133" i="20"/>
  <c r="AN133" i="20"/>
  <c r="AL133" i="20"/>
  <c r="AK133" i="20"/>
  <c r="AJ133" i="20"/>
  <c r="AI133" i="20"/>
  <c r="AH133" i="20"/>
  <c r="AG133" i="20"/>
  <c r="AE133" i="20"/>
  <c r="AD133" i="20"/>
  <c r="AB133" i="20"/>
  <c r="AA133" i="20"/>
  <c r="Z133" i="20"/>
  <c r="Y133" i="20"/>
  <c r="X133" i="20"/>
  <c r="W133" i="20"/>
  <c r="V133" i="20"/>
  <c r="T133" i="20"/>
  <c r="S133" i="20"/>
  <c r="R133" i="20"/>
  <c r="Q133" i="20"/>
  <c r="E133" i="20"/>
  <c r="D133" i="20"/>
  <c r="CG132" i="20"/>
  <c r="CE132" i="20"/>
  <c r="CC132" i="20"/>
  <c r="CB132" i="20"/>
  <c r="CA132" i="20"/>
  <c r="BZ132" i="20"/>
  <c r="BY132" i="20"/>
  <c r="BX132" i="20"/>
  <c r="BW132" i="20"/>
  <c r="BV132" i="20"/>
  <c r="BU132" i="20"/>
  <c r="BT132" i="20"/>
  <c r="BN132" i="20"/>
  <c r="BM132" i="20"/>
  <c r="BK132" i="20"/>
  <c r="BJ132" i="20"/>
  <c r="BI132" i="20"/>
  <c r="BG132" i="20"/>
  <c r="BF132" i="20"/>
  <c r="BE132" i="20"/>
  <c r="BD132" i="20"/>
  <c r="BC132" i="20"/>
  <c r="BB132" i="20"/>
  <c r="AZ132" i="20"/>
  <c r="AY132" i="20"/>
  <c r="AX132" i="20"/>
  <c r="AW132" i="20"/>
  <c r="AV132" i="20"/>
  <c r="AU132" i="20"/>
  <c r="AS132" i="20"/>
  <c r="AR132" i="20"/>
  <c r="AQ132" i="20"/>
  <c r="AP132" i="20"/>
  <c r="AO132" i="20"/>
  <c r="AN132" i="20"/>
  <c r="AL132" i="20"/>
  <c r="AK132" i="20"/>
  <c r="AJ132" i="20"/>
  <c r="AI132" i="20"/>
  <c r="AH132" i="20"/>
  <c r="AG132" i="20"/>
  <c r="AE132" i="20"/>
  <c r="AD132" i="20"/>
  <c r="AB132" i="20"/>
  <c r="AA132" i="20"/>
  <c r="Z132" i="20"/>
  <c r="Y132" i="20"/>
  <c r="X132" i="20"/>
  <c r="W132" i="20"/>
  <c r="V132" i="20"/>
  <c r="T132" i="20"/>
  <c r="S132" i="20"/>
  <c r="R132" i="20"/>
  <c r="Q132" i="20"/>
  <c r="E132" i="20"/>
  <c r="D132" i="20"/>
  <c r="CG131" i="20"/>
  <c r="CE131" i="20"/>
  <c r="CC131" i="20"/>
  <c r="CB131" i="20"/>
  <c r="CA131" i="20"/>
  <c r="BZ131" i="20"/>
  <c r="BY131" i="20"/>
  <c r="BX131" i="20"/>
  <c r="BW131" i="20"/>
  <c r="BV131" i="20"/>
  <c r="BU131" i="20"/>
  <c r="BT131" i="20"/>
  <c r="BN131" i="20"/>
  <c r="BM131" i="20"/>
  <c r="BK131" i="20"/>
  <c r="BJ131" i="20"/>
  <c r="BI131" i="20"/>
  <c r="BG131" i="20"/>
  <c r="BF131" i="20"/>
  <c r="BE131" i="20"/>
  <c r="BD131" i="20"/>
  <c r="BC131" i="20"/>
  <c r="BB131" i="20"/>
  <c r="AZ131" i="20"/>
  <c r="AY131" i="20"/>
  <c r="AX131" i="20"/>
  <c r="AW131" i="20"/>
  <c r="AV131" i="20"/>
  <c r="AU131" i="20"/>
  <c r="AS131" i="20"/>
  <c r="AR131" i="20"/>
  <c r="AQ131" i="20"/>
  <c r="AP131" i="20"/>
  <c r="AO131" i="20"/>
  <c r="AN131" i="20"/>
  <c r="AL131" i="20"/>
  <c r="AK131" i="20"/>
  <c r="AJ131" i="20"/>
  <c r="AI131" i="20"/>
  <c r="AH131" i="20"/>
  <c r="AG131" i="20"/>
  <c r="AE131" i="20"/>
  <c r="AD131" i="20"/>
  <c r="AB131" i="20"/>
  <c r="AA131" i="20"/>
  <c r="Z131" i="20"/>
  <c r="Y131" i="20"/>
  <c r="X131" i="20"/>
  <c r="W131" i="20"/>
  <c r="V131" i="20"/>
  <c r="T131" i="20"/>
  <c r="S131" i="20"/>
  <c r="R131" i="20"/>
  <c r="Q131" i="20"/>
  <c r="E131" i="20"/>
  <c r="D131" i="20"/>
  <c r="CG130" i="20"/>
  <c r="CE130" i="20"/>
  <c r="CC130" i="20"/>
  <c r="CB130" i="20"/>
  <c r="CA130" i="20"/>
  <c r="BZ130" i="20"/>
  <c r="BY130" i="20"/>
  <c r="BX130" i="20"/>
  <c r="BW130" i="20"/>
  <c r="BV130" i="20"/>
  <c r="BU130" i="20"/>
  <c r="BT130" i="20"/>
  <c r="BN130" i="20"/>
  <c r="BM130" i="20"/>
  <c r="BK130" i="20"/>
  <c r="BJ130" i="20"/>
  <c r="BI130" i="20"/>
  <c r="BG130" i="20"/>
  <c r="BF130" i="20"/>
  <c r="BE130" i="20"/>
  <c r="BD130" i="20"/>
  <c r="BC130" i="20"/>
  <c r="BB130" i="20"/>
  <c r="AZ130" i="20"/>
  <c r="AY130" i="20"/>
  <c r="AX130" i="20"/>
  <c r="AW130" i="20"/>
  <c r="AV130" i="20"/>
  <c r="AU130" i="20"/>
  <c r="AS130" i="20"/>
  <c r="AR130" i="20"/>
  <c r="AQ130" i="20"/>
  <c r="AP130" i="20"/>
  <c r="AO130" i="20"/>
  <c r="AN130" i="20"/>
  <c r="AL130" i="20"/>
  <c r="AK130" i="20"/>
  <c r="AJ130" i="20"/>
  <c r="AI130" i="20"/>
  <c r="AH130" i="20"/>
  <c r="AG130" i="20"/>
  <c r="AE130" i="20"/>
  <c r="AD130" i="20"/>
  <c r="AB130" i="20"/>
  <c r="AA130" i="20"/>
  <c r="Z130" i="20"/>
  <c r="Y130" i="20"/>
  <c r="X130" i="20"/>
  <c r="W130" i="20"/>
  <c r="V130" i="20"/>
  <c r="T130" i="20"/>
  <c r="S130" i="20"/>
  <c r="R130" i="20"/>
  <c r="Q130" i="20"/>
  <c r="E130" i="20"/>
  <c r="D130" i="20"/>
  <c r="CG129" i="20"/>
  <c r="CE129" i="20"/>
  <c r="CC129" i="20"/>
  <c r="CB129" i="20"/>
  <c r="CA129" i="20"/>
  <c r="BZ129" i="20"/>
  <c r="BY129" i="20"/>
  <c r="BX129" i="20"/>
  <c r="BW129" i="20"/>
  <c r="BV129" i="20"/>
  <c r="BU129" i="20"/>
  <c r="BT129" i="20"/>
  <c r="BN129" i="20"/>
  <c r="BM129" i="20"/>
  <c r="BK129" i="20"/>
  <c r="BJ129" i="20"/>
  <c r="BI129" i="20"/>
  <c r="BG129" i="20"/>
  <c r="BF129" i="20"/>
  <c r="BE129" i="20"/>
  <c r="BD129" i="20"/>
  <c r="BC129" i="20"/>
  <c r="BB129" i="20"/>
  <c r="AZ129" i="20"/>
  <c r="AY129" i="20"/>
  <c r="AX129" i="20"/>
  <c r="AW129" i="20"/>
  <c r="AV129" i="20"/>
  <c r="AU129" i="20"/>
  <c r="AS129" i="20"/>
  <c r="AR129" i="20"/>
  <c r="AQ129" i="20"/>
  <c r="AP129" i="20"/>
  <c r="AO129" i="20"/>
  <c r="AN129" i="20"/>
  <c r="AL129" i="20"/>
  <c r="AK129" i="20"/>
  <c r="AJ129" i="20"/>
  <c r="AI129" i="20"/>
  <c r="AH129" i="20"/>
  <c r="AG129" i="20"/>
  <c r="AE129" i="20"/>
  <c r="AD129" i="20"/>
  <c r="AB129" i="20"/>
  <c r="AA129" i="20"/>
  <c r="Z129" i="20"/>
  <c r="Y129" i="20"/>
  <c r="X129" i="20"/>
  <c r="W129" i="20"/>
  <c r="V129" i="20"/>
  <c r="T129" i="20"/>
  <c r="S129" i="20"/>
  <c r="R129" i="20"/>
  <c r="Q129" i="20"/>
  <c r="E129" i="20"/>
  <c r="D129" i="20"/>
  <c r="CG128" i="20"/>
  <c r="CE128" i="20"/>
  <c r="CC128" i="20"/>
  <c r="CB128" i="20"/>
  <c r="CA128" i="20"/>
  <c r="BZ128" i="20"/>
  <c r="BY128" i="20"/>
  <c r="BX128" i="20"/>
  <c r="BW128" i="20"/>
  <c r="BV128" i="20"/>
  <c r="BU128" i="20"/>
  <c r="BT128" i="20"/>
  <c r="BN128" i="20"/>
  <c r="BM128" i="20"/>
  <c r="BK128" i="20"/>
  <c r="BJ128" i="20"/>
  <c r="BI128" i="20"/>
  <c r="BG128" i="20"/>
  <c r="BF128" i="20"/>
  <c r="BE128" i="20"/>
  <c r="BD128" i="20"/>
  <c r="BC128" i="20"/>
  <c r="BB128" i="20"/>
  <c r="AZ128" i="20"/>
  <c r="AY128" i="20"/>
  <c r="AX128" i="20"/>
  <c r="AW128" i="20"/>
  <c r="AV128" i="20"/>
  <c r="AU128" i="20"/>
  <c r="AS128" i="20"/>
  <c r="AR128" i="20"/>
  <c r="AQ128" i="20"/>
  <c r="AP128" i="20"/>
  <c r="AO128" i="20"/>
  <c r="AN128" i="20"/>
  <c r="AL128" i="20"/>
  <c r="AK128" i="20"/>
  <c r="AJ128" i="20"/>
  <c r="AI128" i="20"/>
  <c r="AH128" i="20"/>
  <c r="AG128" i="20"/>
  <c r="AE128" i="20"/>
  <c r="AD128" i="20"/>
  <c r="AB128" i="20"/>
  <c r="AA128" i="20"/>
  <c r="Z128" i="20"/>
  <c r="Y128" i="20"/>
  <c r="X128" i="20"/>
  <c r="W128" i="20"/>
  <c r="V128" i="20"/>
  <c r="T128" i="20"/>
  <c r="S128" i="20"/>
  <c r="R128" i="20"/>
  <c r="Q128" i="20"/>
  <c r="E128" i="20"/>
  <c r="D128" i="20"/>
  <c r="CG127" i="20"/>
  <c r="CE127" i="20"/>
  <c r="CC127" i="20"/>
  <c r="CB127" i="20"/>
  <c r="CA127" i="20"/>
  <c r="BZ127" i="20"/>
  <c r="BY127" i="20"/>
  <c r="BX127" i="20"/>
  <c r="BW127" i="20"/>
  <c r="BV127" i="20"/>
  <c r="BU127" i="20"/>
  <c r="BT127" i="20"/>
  <c r="BN127" i="20"/>
  <c r="BM127" i="20"/>
  <c r="BK127" i="20"/>
  <c r="BJ127" i="20"/>
  <c r="BI127" i="20"/>
  <c r="BG127" i="20"/>
  <c r="BF127" i="20"/>
  <c r="BE127" i="20"/>
  <c r="BD127" i="20"/>
  <c r="BC127" i="20"/>
  <c r="BB127" i="20"/>
  <c r="AZ127" i="20"/>
  <c r="AY127" i="20"/>
  <c r="AX127" i="20"/>
  <c r="AW127" i="20"/>
  <c r="AV127" i="20"/>
  <c r="AU127" i="20"/>
  <c r="AS127" i="20"/>
  <c r="AR127" i="20"/>
  <c r="AQ127" i="20"/>
  <c r="AP127" i="20"/>
  <c r="AO127" i="20"/>
  <c r="AN127" i="20"/>
  <c r="AL127" i="20"/>
  <c r="AK127" i="20"/>
  <c r="AJ127" i="20"/>
  <c r="AI127" i="20"/>
  <c r="AH127" i="20"/>
  <c r="AG127" i="20"/>
  <c r="AE127" i="20"/>
  <c r="AD127" i="20"/>
  <c r="AB127" i="20"/>
  <c r="AA127" i="20"/>
  <c r="Z127" i="20"/>
  <c r="Y127" i="20"/>
  <c r="X127" i="20"/>
  <c r="W127" i="20"/>
  <c r="V127" i="20"/>
  <c r="T127" i="20"/>
  <c r="S127" i="20"/>
  <c r="R127" i="20"/>
  <c r="Q127" i="20"/>
  <c r="E127" i="20"/>
  <c r="D127" i="20"/>
  <c r="CG126" i="20"/>
  <c r="CE126" i="20"/>
  <c r="CC126" i="20"/>
  <c r="CB126" i="20"/>
  <c r="CA126" i="20"/>
  <c r="BZ126" i="20"/>
  <c r="BY126" i="20"/>
  <c r="BX126" i="20"/>
  <c r="BW126" i="20"/>
  <c r="BV126" i="20"/>
  <c r="BU126" i="20"/>
  <c r="BT126" i="20"/>
  <c r="BN126" i="20"/>
  <c r="BM126" i="20"/>
  <c r="BK126" i="20"/>
  <c r="BJ126" i="20"/>
  <c r="BI126" i="20"/>
  <c r="BG126" i="20"/>
  <c r="BF126" i="20"/>
  <c r="BE126" i="20"/>
  <c r="BD126" i="20"/>
  <c r="BC126" i="20"/>
  <c r="BB126" i="20"/>
  <c r="AZ126" i="20"/>
  <c r="AY126" i="20"/>
  <c r="AX126" i="20"/>
  <c r="AW126" i="20"/>
  <c r="AV126" i="20"/>
  <c r="AU126" i="20"/>
  <c r="AS126" i="20"/>
  <c r="AR126" i="20"/>
  <c r="AQ126" i="20"/>
  <c r="AP126" i="20"/>
  <c r="AO126" i="20"/>
  <c r="AN126" i="20"/>
  <c r="AL126" i="20"/>
  <c r="AK126" i="20"/>
  <c r="AJ126" i="20"/>
  <c r="AI126" i="20"/>
  <c r="AH126" i="20"/>
  <c r="AG126" i="20"/>
  <c r="AE126" i="20"/>
  <c r="AD126" i="20"/>
  <c r="AB126" i="20"/>
  <c r="AA126" i="20"/>
  <c r="Z126" i="20"/>
  <c r="Y126" i="20"/>
  <c r="X126" i="20"/>
  <c r="W126" i="20"/>
  <c r="V126" i="20"/>
  <c r="T126" i="20"/>
  <c r="S126" i="20"/>
  <c r="R126" i="20"/>
  <c r="Q126" i="20"/>
  <c r="E126" i="20"/>
  <c r="D126" i="20"/>
  <c r="CG125" i="20"/>
  <c r="CE125" i="20"/>
  <c r="CC125" i="20"/>
  <c r="CB125" i="20"/>
  <c r="CA125" i="20"/>
  <c r="BZ125" i="20"/>
  <c r="BY125" i="20"/>
  <c r="BX125" i="20"/>
  <c r="BW125" i="20"/>
  <c r="BV125" i="20"/>
  <c r="BU125" i="20"/>
  <c r="BT125" i="20"/>
  <c r="BN125" i="20"/>
  <c r="BM125" i="20"/>
  <c r="BK125" i="20"/>
  <c r="BJ125" i="20"/>
  <c r="BI125" i="20"/>
  <c r="BG125" i="20"/>
  <c r="BF125" i="20"/>
  <c r="BE125" i="20"/>
  <c r="BD125" i="20"/>
  <c r="BC125" i="20"/>
  <c r="BB125" i="20"/>
  <c r="AZ125" i="20"/>
  <c r="AY125" i="20"/>
  <c r="AX125" i="20"/>
  <c r="AW125" i="20"/>
  <c r="AV125" i="20"/>
  <c r="AU125" i="20"/>
  <c r="AS125" i="20"/>
  <c r="AR125" i="20"/>
  <c r="AQ125" i="20"/>
  <c r="AP125" i="20"/>
  <c r="AO125" i="20"/>
  <c r="AN125" i="20"/>
  <c r="AL125" i="20"/>
  <c r="AK125" i="20"/>
  <c r="AJ125" i="20"/>
  <c r="AI125" i="20"/>
  <c r="AH125" i="20"/>
  <c r="AG125" i="20"/>
  <c r="AE125" i="20"/>
  <c r="AD125" i="20"/>
  <c r="AB125" i="20"/>
  <c r="AA125" i="20"/>
  <c r="Z125" i="20"/>
  <c r="Y125" i="20"/>
  <c r="X125" i="20"/>
  <c r="W125" i="20"/>
  <c r="V125" i="20"/>
  <c r="T125" i="20"/>
  <c r="S125" i="20"/>
  <c r="R125" i="20"/>
  <c r="Q125" i="20"/>
  <c r="E125" i="20"/>
  <c r="D125" i="20"/>
  <c r="CG124" i="20"/>
  <c r="CE124" i="20"/>
  <c r="CC124" i="20"/>
  <c r="CB124" i="20"/>
  <c r="CA124" i="20"/>
  <c r="BZ124" i="20"/>
  <c r="BY124" i="20"/>
  <c r="BX124" i="20"/>
  <c r="BW124" i="20"/>
  <c r="BV124" i="20"/>
  <c r="BU124" i="20"/>
  <c r="BT124" i="20"/>
  <c r="BN124" i="20"/>
  <c r="BM124" i="20"/>
  <c r="BK124" i="20"/>
  <c r="BJ124" i="20"/>
  <c r="BI124" i="20"/>
  <c r="BG124" i="20"/>
  <c r="BF124" i="20"/>
  <c r="BE124" i="20"/>
  <c r="BD124" i="20"/>
  <c r="BC124" i="20"/>
  <c r="BB124" i="20"/>
  <c r="AZ124" i="20"/>
  <c r="AY124" i="20"/>
  <c r="AX124" i="20"/>
  <c r="AW124" i="20"/>
  <c r="AV124" i="20"/>
  <c r="AU124" i="20"/>
  <c r="AS124" i="20"/>
  <c r="AR124" i="20"/>
  <c r="AQ124" i="20"/>
  <c r="AP124" i="20"/>
  <c r="AO124" i="20"/>
  <c r="AN124" i="20"/>
  <c r="AL124" i="20"/>
  <c r="AK124" i="20"/>
  <c r="AJ124" i="20"/>
  <c r="AI124" i="20"/>
  <c r="AH124" i="20"/>
  <c r="AG124" i="20"/>
  <c r="AE124" i="20"/>
  <c r="AD124" i="20"/>
  <c r="AB124" i="20"/>
  <c r="AA124" i="20"/>
  <c r="Z124" i="20"/>
  <c r="Y124" i="20"/>
  <c r="X124" i="20"/>
  <c r="W124" i="20"/>
  <c r="V124" i="20"/>
  <c r="T124" i="20"/>
  <c r="S124" i="20"/>
  <c r="R124" i="20"/>
  <c r="Q124" i="20"/>
  <c r="E124" i="20"/>
  <c r="D124" i="20"/>
  <c r="CG123" i="20"/>
  <c r="CE123" i="20"/>
  <c r="CC123" i="20"/>
  <c r="CB123" i="20"/>
  <c r="CA123" i="20"/>
  <c r="BZ123" i="20"/>
  <c r="BY123" i="20"/>
  <c r="BX123" i="20"/>
  <c r="BW123" i="20"/>
  <c r="BV123" i="20"/>
  <c r="BU123" i="20"/>
  <c r="BT123" i="20"/>
  <c r="BN123" i="20"/>
  <c r="BM123" i="20"/>
  <c r="BK123" i="20"/>
  <c r="BJ123" i="20"/>
  <c r="BI123" i="20"/>
  <c r="BG123" i="20"/>
  <c r="BF123" i="20"/>
  <c r="BE123" i="20"/>
  <c r="BD123" i="20"/>
  <c r="BC123" i="20"/>
  <c r="BB123" i="20"/>
  <c r="AZ123" i="20"/>
  <c r="AY123" i="20"/>
  <c r="AX123" i="20"/>
  <c r="AW123" i="20"/>
  <c r="AV123" i="20"/>
  <c r="AU123" i="20"/>
  <c r="AS123" i="20"/>
  <c r="AR123" i="20"/>
  <c r="AQ123" i="20"/>
  <c r="AP123" i="20"/>
  <c r="AO123" i="20"/>
  <c r="AN123" i="20"/>
  <c r="AL123" i="20"/>
  <c r="AK123" i="20"/>
  <c r="AJ123" i="20"/>
  <c r="AI123" i="20"/>
  <c r="AH123" i="20"/>
  <c r="AG123" i="20"/>
  <c r="AE123" i="20"/>
  <c r="AD123" i="20"/>
  <c r="AB123" i="20"/>
  <c r="AA123" i="20"/>
  <c r="Z123" i="20"/>
  <c r="Y123" i="20"/>
  <c r="X123" i="20"/>
  <c r="W123" i="20"/>
  <c r="V123" i="20"/>
  <c r="T123" i="20"/>
  <c r="S123" i="20"/>
  <c r="R123" i="20"/>
  <c r="Q123" i="20"/>
  <c r="E123" i="20"/>
  <c r="D123" i="20"/>
  <c r="CG122" i="20"/>
  <c r="CE122" i="20"/>
  <c r="CC122" i="20"/>
  <c r="CB122" i="20"/>
  <c r="CA122" i="20"/>
  <c r="BZ122" i="20"/>
  <c r="BY122" i="20"/>
  <c r="BX122" i="20"/>
  <c r="BW122" i="20"/>
  <c r="BV122" i="20"/>
  <c r="BU122" i="20"/>
  <c r="BT122" i="20"/>
  <c r="BN122" i="20"/>
  <c r="BM122" i="20"/>
  <c r="BK122" i="20"/>
  <c r="BJ122" i="20"/>
  <c r="BI122" i="20"/>
  <c r="BG122" i="20"/>
  <c r="BF122" i="20"/>
  <c r="BE122" i="20"/>
  <c r="BD122" i="20"/>
  <c r="BC122" i="20"/>
  <c r="BB122" i="20"/>
  <c r="AZ122" i="20"/>
  <c r="AY122" i="20"/>
  <c r="AX122" i="20"/>
  <c r="AW122" i="20"/>
  <c r="AV122" i="20"/>
  <c r="AU122" i="20"/>
  <c r="AS122" i="20"/>
  <c r="AR122" i="20"/>
  <c r="AQ122" i="20"/>
  <c r="AP122" i="20"/>
  <c r="AO122" i="20"/>
  <c r="AN122" i="20"/>
  <c r="AL122" i="20"/>
  <c r="AK122" i="20"/>
  <c r="AJ122" i="20"/>
  <c r="AI122" i="20"/>
  <c r="AH122" i="20"/>
  <c r="AG122" i="20"/>
  <c r="AE122" i="20"/>
  <c r="AD122" i="20"/>
  <c r="AB122" i="20"/>
  <c r="AA122" i="20"/>
  <c r="Z122" i="20"/>
  <c r="Y122" i="20"/>
  <c r="X122" i="20"/>
  <c r="W122" i="20"/>
  <c r="V122" i="20"/>
  <c r="T122" i="20"/>
  <c r="S122" i="20"/>
  <c r="R122" i="20"/>
  <c r="Q122" i="20"/>
  <c r="E122" i="20"/>
  <c r="D122" i="20"/>
  <c r="CG121" i="20"/>
  <c r="CE121" i="20"/>
  <c r="CC121" i="20"/>
  <c r="CB121" i="20"/>
  <c r="CA121" i="20"/>
  <c r="BZ121" i="20"/>
  <c r="BY121" i="20"/>
  <c r="BX121" i="20"/>
  <c r="BW121" i="20"/>
  <c r="BV121" i="20"/>
  <c r="BU121" i="20"/>
  <c r="BT121" i="20"/>
  <c r="BN121" i="20"/>
  <c r="BM121" i="20"/>
  <c r="BK121" i="20"/>
  <c r="BJ121" i="20"/>
  <c r="BI121" i="20"/>
  <c r="BG121" i="20"/>
  <c r="BF121" i="20"/>
  <c r="BE121" i="20"/>
  <c r="BD121" i="20"/>
  <c r="BC121" i="20"/>
  <c r="BB121" i="20"/>
  <c r="AZ121" i="20"/>
  <c r="AY121" i="20"/>
  <c r="AX121" i="20"/>
  <c r="AW121" i="20"/>
  <c r="AV121" i="20"/>
  <c r="AU121" i="20"/>
  <c r="AS121" i="20"/>
  <c r="AR121" i="20"/>
  <c r="AQ121" i="20"/>
  <c r="AP121" i="20"/>
  <c r="AO121" i="20"/>
  <c r="AN121" i="20"/>
  <c r="AL121" i="20"/>
  <c r="AK121" i="20"/>
  <c r="AJ121" i="20"/>
  <c r="AI121" i="20"/>
  <c r="AH121" i="20"/>
  <c r="AG121" i="20"/>
  <c r="AE121" i="20"/>
  <c r="AD121" i="20"/>
  <c r="AB121" i="20"/>
  <c r="AA121" i="20"/>
  <c r="Z121" i="20"/>
  <c r="Y121" i="20"/>
  <c r="X121" i="20"/>
  <c r="W121" i="20"/>
  <c r="V121" i="20"/>
  <c r="T121" i="20"/>
  <c r="S121" i="20"/>
  <c r="R121" i="20"/>
  <c r="Q121" i="20"/>
  <c r="E121" i="20"/>
  <c r="D121" i="20"/>
  <c r="CG120" i="20"/>
  <c r="CE120" i="20"/>
  <c r="CC120" i="20"/>
  <c r="CB120" i="20"/>
  <c r="CA120" i="20"/>
  <c r="BZ120" i="20"/>
  <c r="BY120" i="20"/>
  <c r="BX120" i="20"/>
  <c r="BW120" i="20"/>
  <c r="BV120" i="20"/>
  <c r="BU120" i="20"/>
  <c r="BT120" i="20"/>
  <c r="BN120" i="20"/>
  <c r="BM120" i="20"/>
  <c r="BK120" i="20"/>
  <c r="BJ120" i="20"/>
  <c r="BI120" i="20"/>
  <c r="BG120" i="20"/>
  <c r="BF120" i="20"/>
  <c r="BE120" i="20"/>
  <c r="BD120" i="20"/>
  <c r="BC120" i="20"/>
  <c r="BB120" i="20"/>
  <c r="AZ120" i="20"/>
  <c r="AY120" i="20"/>
  <c r="AX120" i="20"/>
  <c r="AW120" i="20"/>
  <c r="AV120" i="20"/>
  <c r="AU120" i="20"/>
  <c r="AS120" i="20"/>
  <c r="AR120" i="20"/>
  <c r="AQ120" i="20"/>
  <c r="AP120" i="20"/>
  <c r="AO120" i="20"/>
  <c r="AN120" i="20"/>
  <c r="AL120" i="20"/>
  <c r="AK120" i="20"/>
  <c r="AJ120" i="20"/>
  <c r="AI120" i="20"/>
  <c r="AH120" i="20"/>
  <c r="AG120" i="20"/>
  <c r="AE120" i="20"/>
  <c r="AD120" i="20"/>
  <c r="AB120" i="20"/>
  <c r="AA120" i="20"/>
  <c r="Z120" i="20"/>
  <c r="Y120" i="20"/>
  <c r="X120" i="20"/>
  <c r="W120" i="20"/>
  <c r="V120" i="20"/>
  <c r="T120" i="20"/>
  <c r="S120" i="20"/>
  <c r="R120" i="20"/>
  <c r="Q120" i="20"/>
  <c r="E120" i="20"/>
  <c r="D120" i="20"/>
  <c r="CG119" i="20"/>
  <c r="CE119" i="20"/>
  <c r="CC119" i="20"/>
  <c r="CB119" i="20"/>
  <c r="CA119" i="20"/>
  <c r="BZ119" i="20"/>
  <c r="BY119" i="20"/>
  <c r="BX119" i="20"/>
  <c r="BW119" i="20"/>
  <c r="BV119" i="20"/>
  <c r="BU119" i="20"/>
  <c r="BT119" i="20"/>
  <c r="BN119" i="20"/>
  <c r="BM119" i="20"/>
  <c r="BK119" i="20"/>
  <c r="BJ119" i="20"/>
  <c r="BI119" i="20"/>
  <c r="BG119" i="20"/>
  <c r="BF119" i="20"/>
  <c r="BE119" i="20"/>
  <c r="BD119" i="20"/>
  <c r="BC119" i="20"/>
  <c r="BB119" i="20"/>
  <c r="AZ119" i="20"/>
  <c r="AY119" i="20"/>
  <c r="AX119" i="20"/>
  <c r="AW119" i="20"/>
  <c r="AV119" i="20"/>
  <c r="AU119" i="20"/>
  <c r="AS119" i="20"/>
  <c r="AR119" i="20"/>
  <c r="AQ119" i="20"/>
  <c r="AP119" i="20"/>
  <c r="AO119" i="20"/>
  <c r="AN119" i="20"/>
  <c r="AL119" i="20"/>
  <c r="AK119" i="20"/>
  <c r="AJ119" i="20"/>
  <c r="AI119" i="20"/>
  <c r="AH119" i="20"/>
  <c r="AG119" i="20"/>
  <c r="AE119" i="20"/>
  <c r="AD119" i="20"/>
  <c r="AB119" i="20"/>
  <c r="AA119" i="20"/>
  <c r="Z119" i="20"/>
  <c r="Y119" i="20"/>
  <c r="X119" i="20"/>
  <c r="W119" i="20"/>
  <c r="V119" i="20"/>
  <c r="T119" i="20"/>
  <c r="S119" i="20"/>
  <c r="R119" i="20"/>
  <c r="Q119" i="20"/>
  <c r="E119" i="20"/>
  <c r="D119" i="20"/>
  <c r="CG118" i="20"/>
  <c r="CE118" i="20"/>
  <c r="CC118" i="20"/>
  <c r="CB118" i="20"/>
  <c r="CA118" i="20"/>
  <c r="BZ118" i="20"/>
  <c r="BY118" i="20"/>
  <c r="BX118" i="20"/>
  <c r="BW118" i="20"/>
  <c r="BV118" i="20"/>
  <c r="BU118" i="20"/>
  <c r="BT118" i="20"/>
  <c r="BN118" i="20"/>
  <c r="BM118" i="20"/>
  <c r="BK118" i="20"/>
  <c r="BJ118" i="20"/>
  <c r="BI118" i="20"/>
  <c r="BG118" i="20"/>
  <c r="BF118" i="20"/>
  <c r="BE118" i="20"/>
  <c r="BD118" i="20"/>
  <c r="BC118" i="20"/>
  <c r="BB118" i="20"/>
  <c r="AZ118" i="20"/>
  <c r="AY118" i="20"/>
  <c r="AX118" i="20"/>
  <c r="AW118" i="20"/>
  <c r="AV118" i="20"/>
  <c r="AU118" i="20"/>
  <c r="AS118" i="20"/>
  <c r="AR118" i="20"/>
  <c r="AQ118" i="20"/>
  <c r="AP118" i="20"/>
  <c r="AO118" i="20"/>
  <c r="AN118" i="20"/>
  <c r="AL118" i="20"/>
  <c r="AK118" i="20"/>
  <c r="AJ118" i="20"/>
  <c r="AI118" i="20"/>
  <c r="AH118" i="20"/>
  <c r="AG118" i="20"/>
  <c r="AE118" i="20"/>
  <c r="AD118" i="20"/>
  <c r="AB118" i="20"/>
  <c r="AA118" i="20"/>
  <c r="Z118" i="20"/>
  <c r="Y118" i="20"/>
  <c r="X118" i="20"/>
  <c r="W118" i="20"/>
  <c r="V118" i="20"/>
  <c r="T118" i="20"/>
  <c r="S118" i="20"/>
  <c r="R118" i="20"/>
  <c r="Q118" i="20"/>
  <c r="E118" i="20"/>
  <c r="D118" i="20"/>
  <c r="CG117" i="20"/>
  <c r="CE117" i="20"/>
  <c r="CC117" i="20"/>
  <c r="CB117" i="20"/>
  <c r="CA117" i="20"/>
  <c r="BZ117" i="20"/>
  <c r="BY117" i="20"/>
  <c r="BX117" i="20"/>
  <c r="BW117" i="20"/>
  <c r="BV117" i="20"/>
  <c r="BU117" i="20"/>
  <c r="BT117" i="20"/>
  <c r="BN117" i="20"/>
  <c r="BM117" i="20"/>
  <c r="BK117" i="20"/>
  <c r="BJ117" i="20"/>
  <c r="BI117" i="20"/>
  <c r="BG117" i="20"/>
  <c r="BF117" i="20"/>
  <c r="BE117" i="20"/>
  <c r="BD117" i="20"/>
  <c r="BC117" i="20"/>
  <c r="BB117" i="20"/>
  <c r="AZ117" i="20"/>
  <c r="AY117" i="20"/>
  <c r="AX117" i="20"/>
  <c r="AW117" i="20"/>
  <c r="AV117" i="20"/>
  <c r="AU117" i="20"/>
  <c r="AS117" i="20"/>
  <c r="AR117" i="20"/>
  <c r="AQ117" i="20"/>
  <c r="AP117" i="20"/>
  <c r="AO117" i="20"/>
  <c r="AN117" i="20"/>
  <c r="AL117" i="20"/>
  <c r="AK117" i="20"/>
  <c r="AJ117" i="20"/>
  <c r="AI117" i="20"/>
  <c r="AH117" i="20"/>
  <c r="AG117" i="20"/>
  <c r="AE117" i="20"/>
  <c r="AD117" i="20"/>
  <c r="AB117" i="20"/>
  <c r="AA117" i="20"/>
  <c r="Z117" i="20"/>
  <c r="Y117" i="20"/>
  <c r="X117" i="20"/>
  <c r="W117" i="20"/>
  <c r="V117" i="20"/>
  <c r="T117" i="20"/>
  <c r="S117" i="20"/>
  <c r="R117" i="20"/>
  <c r="Q117" i="20"/>
  <c r="E117" i="20"/>
  <c r="D117" i="20"/>
  <c r="CG116" i="20"/>
  <c r="CE116" i="20"/>
  <c r="CC116" i="20"/>
  <c r="CB116" i="20"/>
  <c r="CA116" i="20"/>
  <c r="BZ116" i="20"/>
  <c r="BY116" i="20"/>
  <c r="BX116" i="20"/>
  <c r="BW116" i="20"/>
  <c r="BV116" i="20"/>
  <c r="BU116" i="20"/>
  <c r="BT116" i="20"/>
  <c r="BN116" i="20"/>
  <c r="BM116" i="20"/>
  <c r="BK116" i="20"/>
  <c r="BJ116" i="20"/>
  <c r="BI116" i="20"/>
  <c r="BG116" i="20"/>
  <c r="BF116" i="20"/>
  <c r="BE116" i="20"/>
  <c r="BD116" i="20"/>
  <c r="BC116" i="20"/>
  <c r="BB116" i="20"/>
  <c r="AZ116" i="20"/>
  <c r="AY116" i="20"/>
  <c r="AX116" i="20"/>
  <c r="AW116" i="20"/>
  <c r="AV116" i="20"/>
  <c r="AU116" i="20"/>
  <c r="AS116" i="20"/>
  <c r="AR116" i="20"/>
  <c r="AQ116" i="20"/>
  <c r="AP116" i="20"/>
  <c r="AO116" i="20"/>
  <c r="AN116" i="20"/>
  <c r="AL116" i="20"/>
  <c r="AK116" i="20"/>
  <c r="AJ116" i="20"/>
  <c r="AI116" i="20"/>
  <c r="AH116" i="20"/>
  <c r="AG116" i="20"/>
  <c r="AE116" i="20"/>
  <c r="AD116" i="20"/>
  <c r="AB116" i="20"/>
  <c r="AA116" i="20"/>
  <c r="Z116" i="20"/>
  <c r="Y116" i="20"/>
  <c r="X116" i="20"/>
  <c r="W116" i="20"/>
  <c r="V116" i="20"/>
  <c r="T116" i="20"/>
  <c r="S116" i="20"/>
  <c r="R116" i="20"/>
  <c r="Q116" i="20"/>
  <c r="E116" i="20"/>
  <c r="D116" i="20"/>
  <c r="CG115" i="20"/>
  <c r="CE115" i="20"/>
  <c r="CC115" i="20"/>
  <c r="CB115" i="20"/>
  <c r="CA115" i="20"/>
  <c r="BZ115" i="20"/>
  <c r="BY115" i="20"/>
  <c r="BX115" i="20"/>
  <c r="BW115" i="20"/>
  <c r="BV115" i="20"/>
  <c r="BU115" i="20"/>
  <c r="BT115" i="20"/>
  <c r="BN115" i="20"/>
  <c r="BM115" i="20"/>
  <c r="BK115" i="20"/>
  <c r="BJ115" i="20"/>
  <c r="BI115" i="20"/>
  <c r="BG115" i="20"/>
  <c r="BF115" i="20"/>
  <c r="BE115" i="20"/>
  <c r="BD115" i="20"/>
  <c r="BC115" i="20"/>
  <c r="BB115" i="20"/>
  <c r="AZ115" i="20"/>
  <c r="AY115" i="20"/>
  <c r="AX115" i="20"/>
  <c r="AW115" i="20"/>
  <c r="AV115" i="20"/>
  <c r="AU115" i="20"/>
  <c r="AS115" i="20"/>
  <c r="AR115" i="20"/>
  <c r="AQ115" i="20"/>
  <c r="AP115" i="20"/>
  <c r="AO115" i="20"/>
  <c r="AN115" i="20"/>
  <c r="AL115" i="20"/>
  <c r="AK115" i="20"/>
  <c r="AJ115" i="20"/>
  <c r="AI115" i="20"/>
  <c r="AH115" i="20"/>
  <c r="AG115" i="20"/>
  <c r="AE115" i="20"/>
  <c r="AD115" i="20"/>
  <c r="AB115" i="20"/>
  <c r="AA115" i="20"/>
  <c r="Z115" i="20"/>
  <c r="Y115" i="20"/>
  <c r="X115" i="20"/>
  <c r="W115" i="20"/>
  <c r="V115" i="20"/>
  <c r="T115" i="20"/>
  <c r="S115" i="20"/>
  <c r="R115" i="20"/>
  <c r="Q115" i="20"/>
  <c r="E115" i="20"/>
  <c r="D115" i="20"/>
  <c r="CG114" i="20"/>
  <c r="CE114" i="20"/>
  <c r="CC114" i="20"/>
  <c r="CB114" i="20"/>
  <c r="CA114" i="20"/>
  <c r="BZ114" i="20"/>
  <c r="BY114" i="20"/>
  <c r="BX114" i="20"/>
  <c r="BW114" i="20"/>
  <c r="BV114" i="20"/>
  <c r="BU114" i="20"/>
  <c r="BT114" i="20"/>
  <c r="BN114" i="20"/>
  <c r="BM114" i="20"/>
  <c r="BK114" i="20"/>
  <c r="BJ114" i="20"/>
  <c r="BI114" i="20"/>
  <c r="BG114" i="20"/>
  <c r="BF114" i="20"/>
  <c r="BE114" i="20"/>
  <c r="BD114" i="20"/>
  <c r="BC114" i="20"/>
  <c r="BB114" i="20"/>
  <c r="AZ114" i="20"/>
  <c r="AY114" i="20"/>
  <c r="AX114" i="20"/>
  <c r="AW114" i="20"/>
  <c r="AV114" i="20"/>
  <c r="AU114" i="20"/>
  <c r="AS114" i="20"/>
  <c r="AR114" i="20"/>
  <c r="AQ114" i="20"/>
  <c r="AP114" i="20"/>
  <c r="AO114" i="20"/>
  <c r="AN114" i="20"/>
  <c r="AL114" i="20"/>
  <c r="AK114" i="20"/>
  <c r="AJ114" i="20"/>
  <c r="AI114" i="20"/>
  <c r="AH114" i="20"/>
  <c r="AG114" i="20"/>
  <c r="AE114" i="20"/>
  <c r="AD114" i="20"/>
  <c r="AB114" i="20"/>
  <c r="AA114" i="20"/>
  <c r="Z114" i="20"/>
  <c r="Y114" i="20"/>
  <c r="X114" i="20"/>
  <c r="W114" i="20"/>
  <c r="V114" i="20"/>
  <c r="T114" i="20"/>
  <c r="S114" i="20"/>
  <c r="R114" i="20"/>
  <c r="Q114" i="20"/>
  <c r="E114" i="20"/>
  <c r="D114" i="20"/>
  <c r="CG113" i="20"/>
  <c r="CE113" i="20"/>
  <c r="CC113" i="20"/>
  <c r="CB113" i="20"/>
  <c r="CA113" i="20"/>
  <c r="BZ113" i="20"/>
  <c r="BY113" i="20"/>
  <c r="BX113" i="20"/>
  <c r="BW113" i="20"/>
  <c r="BV113" i="20"/>
  <c r="BU113" i="20"/>
  <c r="BT113" i="20"/>
  <c r="BN113" i="20"/>
  <c r="BM113" i="20"/>
  <c r="BK113" i="20"/>
  <c r="BJ113" i="20"/>
  <c r="BI113" i="20"/>
  <c r="BG113" i="20"/>
  <c r="BF113" i="20"/>
  <c r="BE113" i="20"/>
  <c r="BD113" i="20"/>
  <c r="BC113" i="20"/>
  <c r="BB113" i="20"/>
  <c r="AZ113" i="20"/>
  <c r="AY113" i="20"/>
  <c r="AX113" i="20"/>
  <c r="AW113" i="20"/>
  <c r="AV113" i="20"/>
  <c r="AU113" i="20"/>
  <c r="AS113" i="20"/>
  <c r="AR113" i="20"/>
  <c r="AQ113" i="20"/>
  <c r="AP113" i="20"/>
  <c r="AO113" i="20"/>
  <c r="AN113" i="20"/>
  <c r="AL113" i="20"/>
  <c r="AK113" i="20"/>
  <c r="AJ113" i="20"/>
  <c r="AI113" i="20"/>
  <c r="AH113" i="20"/>
  <c r="AG113" i="20"/>
  <c r="AE113" i="20"/>
  <c r="AD113" i="20"/>
  <c r="AB113" i="20"/>
  <c r="AA113" i="20"/>
  <c r="Z113" i="20"/>
  <c r="Y113" i="20"/>
  <c r="X113" i="20"/>
  <c r="W113" i="20"/>
  <c r="V113" i="20"/>
  <c r="T113" i="20"/>
  <c r="S113" i="20"/>
  <c r="R113" i="20"/>
  <c r="Q113" i="20"/>
  <c r="E113" i="20"/>
  <c r="D113" i="20"/>
  <c r="CG112" i="20"/>
  <c r="CE112" i="20"/>
  <c r="CC112" i="20"/>
  <c r="CB112" i="20"/>
  <c r="CA112" i="20"/>
  <c r="BZ112" i="20"/>
  <c r="BY112" i="20"/>
  <c r="BX112" i="20"/>
  <c r="BW112" i="20"/>
  <c r="BV112" i="20"/>
  <c r="BU112" i="20"/>
  <c r="BT112" i="20"/>
  <c r="BN112" i="20"/>
  <c r="BM112" i="20"/>
  <c r="BK112" i="20"/>
  <c r="BJ112" i="20"/>
  <c r="BI112" i="20"/>
  <c r="BG112" i="20"/>
  <c r="BF112" i="20"/>
  <c r="BE112" i="20"/>
  <c r="BD112" i="20"/>
  <c r="BC112" i="20"/>
  <c r="BB112" i="20"/>
  <c r="AZ112" i="20"/>
  <c r="AY112" i="20"/>
  <c r="AX112" i="20"/>
  <c r="AW112" i="20"/>
  <c r="AV112" i="20"/>
  <c r="AU112" i="20"/>
  <c r="AS112" i="20"/>
  <c r="AR112" i="20"/>
  <c r="AQ112" i="20"/>
  <c r="AP112" i="20"/>
  <c r="AO112" i="20"/>
  <c r="AN112" i="20"/>
  <c r="AL112" i="20"/>
  <c r="AK112" i="20"/>
  <c r="AJ112" i="20"/>
  <c r="AI112" i="20"/>
  <c r="AH112" i="20"/>
  <c r="AG112" i="20"/>
  <c r="AE112" i="20"/>
  <c r="AD112" i="20"/>
  <c r="AB112" i="20"/>
  <c r="AA112" i="20"/>
  <c r="Z112" i="20"/>
  <c r="Y112" i="20"/>
  <c r="X112" i="20"/>
  <c r="W112" i="20"/>
  <c r="V112" i="20"/>
  <c r="T112" i="20"/>
  <c r="S112" i="20"/>
  <c r="R112" i="20"/>
  <c r="Q112" i="20"/>
  <c r="E112" i="20"/>
  <c r="D112" i="20"/>
  <c r="CG111" i="20"/>
  <c r="CE111" i="20"/>
  <c r="CC111" i="20"/>
  <c r="CB111" i="20"/>
  <c r="CA111" i="20"/>
  <c r="BZ111" i="20"/>
  <c r="BY111" i="20"/>
  <c r="BX111" i="20"/>
  <c r="BW111" i="20"/>
  <c r="BV111" i="20"/>
  <c r="BU111" i="20"/>
  <c r="BT111" i="20"/>
  <c r="BN111" i="20"/>
  <c r="BM111" i="20"/>
  <c r="BK111" i="20"/>
  <c r="BJ111" i="20"/>
  <c r="BI111" i="20"/>
  <c r="BG111" i="20"/>
  <c r="BF111" i="20"/>
  <c r="BE111" i="20"/>
  <c r="BD111" i="20"/>
  <c r="BC111" i="20"/>
  <c r="BB111" i="20"/>
  <c r="AZ111" i="20"/>
  <c r="AY111" i="20"/>
  <c r="AX111" i="20"/>
  <c r="AW111" i="20"/>
  <c r="AV111" i="20"/>
  <c r="AU111" i="20"/>
  <c r="AS111" i="20"/>
  <c r="AR111" i="20"/>
  <c r="AQ111" i="20"/>
  <c r="AP111" i="20"/>
  <c r="AO111" i="20"/>
  <c r="AN111" i="20"/>
  <c r="AL111" i="20"/>
  <c r="AK111" i="20"/>
  <c r="AJ111" i="20"/>
  <c r="AI111" i="20"/>
  <c r="AH111" i="20"/>
  <c r="AG111" i="20"/>
  <c r="AE111" i="20"/>
  <c r="AD111" i="20"/>
  <c r="AB111" i="20"/>
  <c r="AA111" i="20"/>
  <c r="Z111" i="20"/>
  <c r="Y111" i="20"/>
  <c r="X111" i="20"/>
  <c r="W111" i="20"/>
  <c r="V111" i="20"/>
  <c r="T111" i="20"/>
  <c r="S111" i="20"/>
  <c r="R111" i="20"/>
  <c r="Q111" i="20"/>
  <c r="E111" i="20"/>
  <c r="D111" i="20"/>
  <c r="CG110" i="20"/>
  <c r="CE110" i="20"/>
  <c r="CC110" i="20"/>
  <c r="CB110" i="20"/>
  <c r="CA110" i="20"/>
  <c r="BZ110" i="20"/>
  <c r="BY110" i="20"/>
  <c r="BX110" i="20"/>
  <c r="BW110" i="20"/>
  <c r="BV110" i="20"/>
  <c r="BU110" i="20"/>
  <c r="BT110" i="20"/>
  <c r="BN110" i="20"/>
  <c r="BM110" i="20"/>
  <c r="BK110" i="20"/>
  <c r="BJ110" i="20"/>
  <c r="BI110" i="20"/>
  <c r="BG110" i="20"/>
  <c r="BF110" i="20"/>
  <c r="BE110" i="20"/>
  <c r="BD110" i="20"/>
  <c r="BC110" i="20"/>
  <c r="BB110" i="20"/>
  <c r="AZ110" i="20"/>
  <c r="AY110" i="20"/>
  <c r="AX110" i="20"/>
  <c r="AW110" i="20"/>
  <c r="AV110" i="20"/>
  <c r="AU110" i="20"/>
  <c r="AS110" i="20"/>
  <c r="AR110" i="20"/>
  <c r="AQ110" i="20"/>
  <c r="AP110" i="20"/>
  <c r="AO110" i="20"/>
  <c r="AN110" i="20"/>
  <c r="AL110" i="20"/>
  <c r="AK110" i="20"/>
  <c r="AJ110" i="20"/>
  <c r="AI110" i="20"/>
  <c r="AH110" i="20"/>
  <c r="AG110" i="20"/>
  <c r="AE110" i="20"/>
  <c r="AD110" i="20"/>
  <c r="AB110" i="20"/>
  <c r="AA110" i="20"/>
  <c r="Z110" i="20"/>
  <c r="Y110" i="20"/>
  <c r="X110" i="20"/>
  <c r="W110" i="20"/>
  <c r="V110" i="20"/>
  <c r="T110" i="20"/>
  <c r="S110" i="20"/>
  <c r="R110" i="20"/>
  <c r="Q110" i="20"/>
  <c r="E110" i="20"/>
  <c r="D110" i="20"/>
  <c r="CG109" i="20"/>
  <c r="CE109" i="20"/>
  <c r="CC109" i="20"/>
  <c r="CB109" i="20"/>
  <c r="CA109" i="20"/>
  <c r="BZ109" i="20"/>
  <c r="BY109" i="20"/>
  <c r="BX109" i="20"/>
  <c r="BW109" i="20"/>
  <c r="BV109" i="20"/>
  <c r="BU109" i="20"/>
  <c r="BT109" i="20"/>
  <c r="BN109" i="20"/>
  <c r="BM109" i="20"/>
  <c r="BK109" i="20"/>
  <c r="BJ109" i="20"/>
  <c r="BI109" i="20"/>
  <c r="BG109" i="20"/>
  <c r="BF109" i="20"/>
  <c r="BE109" i="20"/>
  <c r="BD109" i="20"/>
  <c r="BC109" i="20"/>
  <c r="BB109" i="20"/>
  <c r="AZ109" i="20"/>
  <c r="AY109" i="20"/>
  <c r="AX109" i="20"/>
  <c r="AW109" i="20"/>
  <c r="AV109" i="20"/>
  <c r="AU109" i="20"/>
  <c r="AS109" i="20"/>
  <c r="AR109" i="20"/>
  <c r="AQ109" i="20"/>
  <c r="AP109" i="20"/>
  <c r="AO109" i="20"/>
  <c r="AN109" i="20"/>
  <c r="AL109" i="20"/>
  <c r="AK109" i="20"/>
  <c r="AJ109" i="20"/>
  <c r="AI109" i="20"/>
  <c r="AH109" i="20"/>
  <c r="AG109" i="20"/>
  <c r="AE109" i="20"/>
  <c r="AD109" i="20"/>
  <c r="AB109" i="20"/>
  <c r="AA109" i="20"/>
  <c r="Z109" i="20"/>
  <c r="Y109" i="20"/>
  <c r="X109" i="20"/>
  <c r="W109" i="20"/>
  <c r="V109" i="20"/>
  <c r="T109" i="20"/>
  <c r="S109" i="20"/>
  <c r="R109" i="20"/>
  <c r="Q109" i="20"/>
  <c r="E109" i="20"/>
  <c r="D109" i="20"/>
  <c r="CG108" i="20"/>
  <c r="CE108" i="20"/>
  <c r="CC108" i="20"/>
  <c r="CB108" i="20"/>
  <c r="CA108" i="20"/>
  <c r="BZ108" i="20"/>
  <c r="BY108" i="20"/>
  <c r="BX108" i="20"/>
  <c r="BW108" i="20"/>
  <c r="BV108" i="20"/>
  <c r="BU108" i="20"/>
  <c r="BT108" i="20"/>
  <c r="BN108" i="20"/>
  <c r="BM108" i="20"/>
  <c r="BK108" i="20"/>
  <c r="BJ108" i="20"/>
  <c r="BI108" i="20"/>
  <c r="BG108" i="20"/>
  <c r="BF108" i="20"/>
  <c r="BE108" i="20"/>
  <c r="BD108" i="20"/>
  <c r="BC108" i="20"/>
  <c r="BB108" i="20"/>
  <c r="AZ108" i="20"/>
  <c r="AY108" i="20"/>
  <c r="AX108" i="20"/>
  <c r="AW108" i="20"/>
  <c r="AV108" i="20"/>
  <c r="AU108" i="20"/>
  <c r="AS108" i="20"/>
  <c r="AR108" i="20"/>
  <c r="AQ108" i="20"/>
  <c r="AP108" i="20"/>
  <c r="AO108" i="20"/>
  <c r="AN108" i="20"/>
  <c r="AL108" i="20"/>
  <c r="AK108" i="20"/>
  <c r="AJ108" i="20"/>
  <c r="AI108" i="20"/>
  <c r="AH108" i="20"/>
  <c r="AG108" i="20"/>
  <c r="AE108" i="20"/>
  <c r="AD108" i="20"/>
  <c r="AB108" i="20"/>
  <c r="AA108" i="20"/>
  <c r="Z108" i="20"/>
  <c r="Y108" i="20"/>
  <c r="X108" i="20"/>
  <c r="W108" i="20"/>
  <c r="V108" i="20"/>
  <c r="T108" i="20"/>
  <c r="S108" i="20"/>
  <c r="R108" i="20"/>
  <c r="Q108" i="20"/>
  <c r="E108" i="20"/>
  <c r="D108" i="20"/>
  <c r="CG107" i="20"/>
  <c r="CE107" i="20"/>
  <c r="CC107" i="20"/>
  <c r="CB107" i="20"/>
  <c r="CA107" i="20"/>
  <c r="BZ107" i="20"/>
  <c r="BY107" i="20"/>
  <c r="BX107" i="20"/>
  <c r="BW107" i="20"/>
  <c r="BV107" i="20"/>
  <c r="BU107" i="20"/>
  <c r="BT107" i="20"/>
  <c r="BN107" i="20"/>
  <c r="BM107" i="20"/>
  <c r="BK107" i="20"/>
  <c r="BJ107" i="20"/>
  <c r="BI107" i="20"/>
  <c r="BG107" i="20"/>
  <c r="BF107" i="20"/>
  <c r="BE107" i="20"/>
  <c r="BD107" i="20"/>
  <c r="BC107" i="20"/>
  <c r="BB107" i="20"/>
  <c r="AZ107" i="20"/>
  <c r="AY107" i="20"/>
  <c r="AX107" i="20"/>
  <c r="AW107" i="20"/>
  <c r="AV107" i="20"/>
  <c r="AU107" i="20"/>
  <c r="AS107" i="20"/>
  <c r="AR107" i="20"/>
  <c r="AQ107" i="20"/>
  <c r="AP107" i="20"/>
  <c r="AO107" i="20"/>
  <c r="AN107" i="20"/>
  <c r="AL107" i="20"/>
  <c r="AK107" i="20"/>
  <c r="AJ107" i="20"/>
  <c r="AI107" i="20"/>
  <c r="AH107" i="20"/>
  <c r="AG107" i="20"/>
  <c r="AE107" i="20"/>
  <c r="AD107" i="20"/>
  <c r="AB107" i="20"/>
  <c r="AA107" i="20"/>
  <c r="Z107" i="20"/>
  <c r="Y107" i="20"/>
  <c r="X107" i="20"/>
  <c r="W107" i="20"/>
  <c r="V107" i="20"/>
  <c r="T107" i="20"/>
  <c r="S107" i="20"/>
  <c r="R107" i="20"/>
  <c r="Q107" i="20"/>
  <c r="E107" i="20"/>
  <c r="D107" i="20"/>
  <c r="CG106" i="20"/>
  <c r="CE106" i="20"/>
  <c r="CC106" i="20"/>
  <c r="CB106" i="20"/>
  <c r="CA106" i="20"/>
  <c r="BZ106" i="20"/>
  <c r="BY106" i="20"/>
  <c r="BX106" i="20"/>
  <c r="BW106" i="20"/>
  <c r="BV106" i="20"/>
  <c r="BU106" i="20"/>
  <c r="BT106" i="20"/>
  <c r="BN106" i="20"/>
  <c r="BM106" i="20"/>
  <c r="BK106" i="20"/>
  <c r="BJ106" i="20"/>
  <c r="BI106" i="20"/>
  <c r="BG106" i="20"/>
  <c r="BF106" i="20"/>
  <c r="BE106" i="20"/>
  <c r="BD106" i="20"/>
  <c r="BC106" i="20"/>
  <c r="BB106" i="20"/>
  <c r="AZ106" i="20"/>
  <c r="AY106" i="20"/>
  <c r="AX106" i="20"/>
  <c r="AW106" i="20"/>
  <c r="AV106" i="20"/>
  <c r="AU106" i="20"/>
  <c r="AS106" i="20"/>
  <c r="AR106" i="20"/>
  <c r="AQ106" i="20"/>
  <c r="AP106" i="20"/>
  <c r="AO106" i="20"/>
  <c r="AN106" i="20"/>
  <c r="AL106" i="20"/>
  <c r="AK106" i="20"/>
  <c r="AJ106" i="20"/>
  <c r="AI106" i="20"/>
  <c r="AH106" i="20"/>
  <c r="AG106" i="20"/>
  <c r="AE106" i="20"/>
  <c r="AD106" i="20"/>
  <c r="AB106" i="20"/>
  <c r="AA106" i="20"/>
  <c r="Z106" i="20"/>
  <c r="Y106" i="20"/>
  <c r="X106" i="20"/>
  <c r="W106" i="20"/>
  <c r="V106" i="20"/>
  <c r="T106" i="20"/>
  <c r="S106" i="20"/>
  <c r="R106" i="20"/>
  <c r="Q106" i="20"/>
  <c r="E106" i="20"/>
  <c r="D106" i="20"/>
  <c r="CG105" i="20"/>
  <c r="CE105" i="20"/>
  <c r="CC105" i="20"/>
  <c r="CB105" i="20"/>
  <c r="CA105" i="20"/>
  <c r="BZ105" i="20"/>
  <c r="BY105" i="20"/>
  <c r="BX105" i="20"/>
  <c r="BW105" i="20"/>
  <c r="BV105" i="20"/>
  <c r="BU105" i="20"/>
  <c r="BT105" i="20"/>
  <c r="BN105" i="20"/>
  <c r="BM105" i="20"/>
  <c r="BK105" i="20"/>
  <c r="BJ105" i="20"/>
  <c r="BI105" i="20"/>
  <c r="BG105" i="20"/>
  <c r="BF105" i="20"/>
  <c r="BE105" i="20"/>
  <c r="BD105" i="20"/>
  <c r="BC105" i="20"/>
  <c r="BB105" i="20"/>
  <c r="AZ105" i="20"/>
  <c r="AY105" i="20"/>
  <c r="AX105" i="20"/>
  <c r="AW105" i="20"/>
  <c r="AV105" i="20"/>
  <c r="AU105" i="20"/>
  <c r="AS105" i="20"/>
  <c r="AR105" i="20"/>
  <c r="AQ105" i="20"/>
  <c r="AP105" i="20"/>
  <c r="AO105" i="20"/>
  <c r="AN105" i="20"/>
  <c r="AL105" i="20"/>
  <c r="AK105" i="20"/>
  <c r="AJ105" i="20"/>
  <c r="AI105" i="20"/>
  <c r="AH105" i="20"/>
  <c r="AG105" i="20"/>
  <c r="AE105" i="20"/>
  <c r="AD105" i="20"/>
  <c r="AB105" i="20"/>
  <c r="AA105" i="20"/>
  <c r="Z105" i="20"/>
  <c r="Y105" i="20"/>
  <c r="X105" i="20"/>
  <c r="W105" i="20"/>
  <c r="V105" i="20"/>
  <c r="T105" i="20"/>
  <c r="S105" i="20"/>
  <c r="R105" i="20"/>
  <c r="Q105" i="20"/>
  <c r="E105" i="20"/>
  <c r="D105" i="20"/>
  <c r="CG104" i="20"/>
  <c r="CE104" i="20"/>
  <c r="CC104" i="20"/>
  <c r="CB104" i="20"/>
  <c r="CA104" i="20"/>
  <c r="BZ104" i="20"/>
  <c r="BY104" i="20"/>
  <c r="BX104" i="20"/>
  <c r="BW104" i="20"/>
  <c r="BV104" i="20"/>
  <c r="BU104" i="20"/>
  <c r="BT104" i="20"/>
  <c r="BN104" i="20"/>
  <c r="BM104" i="20"/>
  <c r="BK104" i="20"/>
  <c r="BJ104" i="20"/>
  <c r="BI104" i="20"/>
  <c r="BG104" i="20"/>
  <c r="BF104" i="20"/>
  <c r="BE104" i="20"/>
  <c r="BD104" i="20"/>
  <c r="BC104" i="20"/>
  <c r="BB104" i="20"/>
  <c r="AZ104" i="20"/>
  <c r="AY104" i="20"/>
  <c r="AX104" i="20"/>
  <c r="AW104" i="20"/>
  <c r="AV104" i="20"/>
  <c r="AU104" i="20"/>
  <c r="AS104" i="20"/>
  <c r="AR104" i="20"/>
  <c r="AQ104" i="20"/>
  <c r="AP104" i="20"/>
  <c r="AO104" i="20"/>
  <c r="AN104" i="20"/>
  <c r="AL104" i="20"/>
  <c r="AK104" i="20"/>
  <c r="AJ104" i="20"/>
  <c r="AI104" i="20"/>
  <c r="AH104" i="20"/>
  <c r="AG104" i="20"/>
  <c r="AE104" i="20"/>
  <c r="AD104" i="20"/>
  <c r="AB104" i="20"/>
  <c r="AA104" i="20"/>
  <c r="Z104" i="20"/>
  <c r="Y104" i="20"/>
  <c r="X104" i="20"/>
  <c r="W104" i="20"/>
  <c r="V104" i="20"/>
  <c r="T104" i="20"/>
  <c r="S104" i="20"/>
  <c r="R104" i="20"/>
  <c r="Q104" i="20"/>
  <c r="E104" i="20"/>
  <c r="D104" i="20"/>
  <c r="CG103" i="20"/>
  <c r="CE103" i="20"/>
  <c r="CC103" i="20"/>
  <c r="CB103" i="20"/>
  <c r="CA103" i="20"/>
  <c r="BZ103" i="20"/>
  <c r="BY103" i="20"/>
  <c r="BX103" i="20"/>
  <c r="BW103" i="20"/>
  <c r="BV103" i="20"/>
  <c r="BU103" i="20"/>
  <c r="BT103" i="20"/>
  <c r="BN103" i="20"/>
  <c r="BM103" i="20"/>
  <c r="BK103" i="20"/>
  <c r="BJ103" i="20"/>
  <c r="BI103" i="20"/>
  <c r="BG103" i="20"/>
  <c r="BF103" i="20"/>
  <c r="BE103" i="20"/>
  <c r="BD103" i="20"/>
  <c r="BC103" i="20"/>
  <c r="BB103" i="20"/>
  <c r="AZ103" i="20"/>
  <c r="AY103" i="20"/>
  <c r="AX103" i="20"/>
  <c r="AW103" i="20"/>
  <c r="AV103" i="20"/>
  <c r="AU103" i="20"/>
  <c r="AS103" i="20"/>
  <c r="AR103" i="20"/>
  <c r="AQ103" i="20"/>
  <c r="AP103" i="20"/>
  <c r="AO103" i="20"/>
  <c r="AN103" i="20"/>
  <c r="AL103" i="20"/>
  <c r="AK103" i="20"/>
  <c r="AJ103" i="20"/>
  <c r="AI103" i="20"/>
  <c r="AH103" i="20"/>
  <c r="AG103" i="20"/>
  <c r="AE103" i="20"/>
  <c r="AD103" i="20"/>
  <c r="AB103" i="20"/>
  <c r="AA103" i="20"/>
  <c r="Z103" i="20"/>
  <c r="Y103" i="20"/>
  <c r="X103" i="20"/>
  <c r="W103" i="20"/>
  <c r="V103" i="20"/>
  <c r="T103" i="20"/>
  <c r="S103" i="20"/>
  <c r="R103" i="20"/>
  <c r="Q103" i="20"/>
  <c r="E103" i="20"/>
  <c r="D103" i="20"/>
  <c r="CG102" i="20"/>
  <c r="CE102" i="20"/>
  <c r="CC102" i="20"/>
  <c r="CB102" i="20"/>
  <c r="CA102" i="20"/>
  <c r="BZ102" i="20"/>
  <c r="BY102" i="20"/>
  <c r="BX102" i="20"/>
  <c r="BW102" i="20"/>
  <c r="BV102" i="20"/>
  <c r="BU102" i="20"/>
  <c r="BT102" i="20"/>
  <c r="BN102" i="20"/>
  <c r="BM102" i="20"/>
  <c r="BK102" i="20"/>
  <c r="BJ102" i="20"/>
  <c r="BI102" i="20"/>
  <c r="BG102" i="20"/>
  <c r="BF102" i="20"/>
  <c r="BE102" i="20"/>
  <c r="BD102" i="20"/>
  <c r="BC102" i="20"/>
  <c r="BB102" i="20"/>
  <c r="AZ102" i="20"/>
  <c r="AY102" i="20"/>
  <c r="AX102" i="20"/>
  <c r="AW102" i="20"/>
  <c r="AV102" i="20"/>
  <c r="AU102" i="20"/>
  <c r="AS102" i="20"/>
  <c r="AR102" i="20"/>
  <c r="AQ102" i="20"/>
  <c r="AP102" i="20"/>
  <c r="AO102" i="20"/>
  <c r="AN102" i="20"/>
  <c r="AL102" i="20"/>
  <c r="AK102" i="20"/>
  <c r="AJ102" i="20"/>
  <c r="AI102" i="20"/>
  <c r="AH102" i="20"/>
  <c r="AG102" i="20"/>
  <c r="AE102" i="20"/>
  <c r="AD102" i="20"/>
  <c r="AB102" i="20"/>
  <c r="AA102" i="20"/>
  <c r="Z102" i="20"/>
  <c r="Y102" i="20"/>
  <c r="X102" i="20"/>
  <c r="W102" i="20"/>
  <c r="V102" i="20"/>
  <c r="T102" i="20"/>
  <c r="S102" i="20"/>
  <c r="R102" i="20"/>
  <c r="Q102" i="20"/>
  <c r="E102" i="20"/>
  <c r="D102" i="20"/>
  <c r="CG101" i="20"/>
  <c r="CE101" i="20"/>
  <c r="CC101" i="20"/>
  <c r="CB101" i="20"/>
  <c r="CA101" i="20"/>
  <c r="BZ101" i="20"/>
  <c r="BY101" i="20"/>
  <c r="BX101" i="20"/>
  <c r="BW101" i="20"/>
  <c r="BV101" i="20"/>
  <c r="BU101" i="20"/>
  <c r="BT101" i="20"/>
  <c r="BN101" i="20"/>
  <c r="BM101" i="20"/>
  <c r="BK101" i="20"/>
  <c r="BJ101" i="20"/>
  <c r="BI101" i="20"/>
  <c r="BG101" i="20"/>
  <c r="BF101" i="20"/>
  <c r="BE101" i="20"/>
  <c r="BD101" i="20"/>
  <c r="BC101" i="20"/>
  <c r="BB101" i="20"/>
  <c r="AZ101" i="20"/>
  <c r="AY101" i="20"/>
  <c r="AX101" i="20"/>
  <c r="AW101" i="20"/>
  <c r="AV101" i="20"/>
  <c r="AU101" i="20"/>
  <c r="AS101" i="20"/>
  <c r="AR101" i="20"/>
  <c r="AQ101" i="20"/>
  <c r="AP101" i="20"/>
  <c r="AO101" i="20"/>
  <c r="AN101" i="20"/>
  <c r="AL101" i="20"/>
  <c r="AK101" i="20"/>
  <c r="AJ101" i="20"/>
  <c r="AI101" i="20"/>
  <c r="AH101" i="20"/>
  <c r="AG101" i="20"/>
  <c r="AE101" i="20"/>
  <c r="AD101" i="20"/>
  <c r="AB101" i="20"/>
  <c r="AA101" i="20"/>
  <c r="Z101" i="20"/>
  <c r="Y101" i="20"/>
  <c r="X101" i="20"/>
  <c r="W101" i="20"/>
  <c r="V101" i="20"/>
  <c r="T101" i="20"/>
  <c r="S101" i="20"/>
  <c r="R101" i="20"/>
  <c r="Q101" i="20"/>
  <c r="E101" i="20"/>
  <c r="D101" i="20"/>
  <c r="CG100" i="20"/>
  <c r="CE100" i="20"/>
  <c r="CC100" i="20"/>
  <c r="CB100" i="20"/>
  <c r="CA100" i="20"/>
  <c r="BZ100" i="20"/>
  <c r="BY100" i="20"/>
  <c r="BX100" i="20"/>
  <c r="BW100" i="20"/>
  <c r="BV100" i="20"/>
  <c r="BU100" i="20"/>
  <c r="BT100" i="20"/>
  <c r="BN100" i="20"/>
  <c r="BM100" i="20"/>
  <c r="BK100" i="20"/>
  <c r="BJ100" i="20"/>
  <c r="BI100" i="20"/>
  <c r="BG100" i="20"/>
  <c r="BF100" i="20"/>
  <c r="BE100" i="20"/>
  <c r="BD100" i="20"/>
  <c r="BC100" i="20"/>
  <c r="BB100" i="20"/>
  <c r="AZ100" i="20"/>
  <c r="AY100" i="20"/>
  <c r="AX100" i="20"/>
  <c r="AW100" i="20"/>
  <c r="AV100" i="20"/>
  <c r="AU100" i="20"/>
  <c r="AS100" i="20"/>
  <c r="AR100" i="20"/>
  <c r="AQ100" i="20"/>
  <c r="AP100" i="20"/>
  <c r="AO100" i="20"/>
  <c r="AN100" i="20"/>
  <c r="AL100" i="20"/>
  <c r="AK100" i="20"/>
  <c r="AJ100" i="20"/>
  <c r="AI100" i="20"/>
  <c r="AH100" i="20"/>
  <c r="AG100" i="20"/>
  <c r="AE100" i="20"/>
  <c r="AD100" i="20"/>
  <c r="AB100" i="20"/>
  <c r="AA100" i="20"/>
  <c r="Z100" i="20"/>
  <c r="Y100" i="20"/>
  <c r="X100" i="20"/>
  <c r="W100" i="20"/>
  <c r="V100" i="20"/>
  <c r="T100" i="20"/>
  <c r="S100" i="20"/>
  <c r="R100" i="20"/>
  <c r="Q100" i="20"/>
  <c r="E100" i="20"/>
  <c r="D100" i="20"/>
  <c r="CG99" i="20"/>
  <c r="CE99" i="20"/>
  <c r="CC99" i="20"/>
  <c r="CB99" i="20"/>
  <c r="CA99" i="20"/>
  <c r="BZ99" i="20"/>
  <c r="BY99" i="20"/>
  <c r="BX99" i="20"/>
  <c r="BW99" i="20"/>
  <c r="BV99" i="20"/>
  <c r="BU99" i="20"/>
  <c r="BT99" i="20"/>
  <c r="BN99" i="20"/>
  <c r="BM99" i="20"/>
  <c r="BK99" i="20"/>
  <c r="BJ99" i="20"/>
  <c r="BI99" i="20"/>
  <c r="BG99" i="20"/>
  <c r="BF99" i="20"/>
  <c r="BE99" i="20"/>
  <c r="BD99" i="20"/>
  <c r="BC99" i="20"/>
  <c r="BB99" i="20"/>
  <c r="AZ99" i="20"/>
  <c r="AY99" i="20"/>
  <c r="AX99" i="20"/>
  <c r="AW99" i="20"/>
  <c r="AV99" i="20"/>
  <c r="AU99" i="20"/>
  <c r="AS99" i="20"/>
  <c r="AR99" i="20"/>
  <c r="AQ99" i="20"/>
  <c r="AP99" i="20"/>
  <c r="AO99" i="20"/>
  <c r="AN99" i="20"/>
  <c r="AL99" i="20"/>
  <c r="AK99" i="20"/>
  <c r="AJ99" i="20"/>
  <c r="AI99" i="20"/>
  <c r="AH99" i="20"/>
  <c r="AG99" i="20"/>
  <c r="AE99" i="20"/>
  <c r="AD99" i="20"/>
  <c r="AB99" i="20"/>
  <c r="AA99" i="20"/>
  <c r="Z99" i="20"/>
  <c r="Y99" i="20"/>
  <c r="X99" i="20"/>
  <c r="W99" i="20"/>
  <c r="V99" i="20"/>
  <c r="T99" i="20"/>
  <c r="S99" i="20"/>
  <c r="R99" i="20"/>
  <c r="Q99" i="20"/>
  <c r="E99" i="20"/>
  <c r="D99" i="20"/>
  <c r="CG98" i="20"/>
  <c r="CE98" i="20"/>
  <c r="CC98" i="20"/>
  <c r="CB98" i="20"/>
  <c r="CA98" i="20"/>
  <c r="BZ98" i="20"/>
  <c r="BY98" i="20"/>
  <c r="BX98" i="20"/>
  <c r="BW98" i="20"/>
  <c r="BV98" i="20"/>
  <c r="BU98" i="20"/>
  <c r="BT98" i="20"/>
  <c r="BN98" i="20"/>
  <c r="BM98" i="20"/>
  <c r="BK98" i="20"/>
  <c r="BJ98" i="20"/>
  <c r="BI98" i="20"/>
  <c r="BG98" i="20"/>
  <c r="BF98" i="20"/>
  <c r="BE98" i="20"/>
  <c r="BD98" i="20"/>
  <c r="BC98" i="20"/>
  <c r="BB98" i="20"/>
  <c r="AZ98" i="20"/>
  <c r="AY98" i="20"/>
  <c r="AX98" i="20"/>
  <c r="AW98" i="20"/>
  <c r="AV98" i="20"/>
  <c r="AU98" i="20"/>
  <c r="AS98" i="20"/>
  <c r="AR98" i="20"/>
  <c r="AQ98" i="20"/>
  <c r="AP98" i="20"/>
  <c r="AO98" i="20"/>
  <c r="AN98" i="20"/>
  <c r="AL98" i="20"/>
  <c r="AK98" i="20"/>
  <c r="AJ98" i="20"/>
  <c r="AI98" i="20"/>
  <c r="AH98" i="20"/>
  <c r="AG98" i="20"/>
  <c r="AE98" i="20"/>
  <c r="AD98" i="20"/>
  <c r="AB98" i="20"/>
  <c r="AA98" i="20"/>
  <c r="Z98" i="20"/>
  <c r="Y98" i="20"/>
  <c r="X98" i="20"/>
  <c r="W98" i="20"/>
  <c r="V98" i="20"/>
  <c r="T98" i="20"/>
  <c r="S98" i="20"/>
  <c r="R98" i="20"/>
  <c r="Q98" i="20"/>
  <c r="E98" i="20"/>
  <c r="D98" i="20"/>
  <c r="CG97" i="20"/>
  <c r="CE97" i="20"/>
  <c r="CC97" i="20"/>
  <c r="CB97" i="20"/>
  <c r="CA97" i="20"/>
  <c r="BZ97" i="20"/>
  <c r="BY97" i="20"/>
  <c r="BX97" i="20"/>
  <c r="BW97" i="20"/>
  <c r="BV97" i="20"/>
  <c r="BU97" i="20"/>
  <c r="BT97" i="20"/>
  <c r="BN97" i="20"/>
  <c r="BM97" i="20"/>
  <c r="BK97" i="20"/>
  <c r="BJ97" i="20"/>
  <c r="BI97" i="20"/>
  <c r="BG97" i="20"/>
  <c r="BF97" i="20"/>
  <c r="BE97" i="20"/>
  <c r="BD97" i="20"/>
  <c r="BC97" i="20"/>
  <c r="BB97" i="20"/>
  <c r="AZ97" i="20"/>
  <c r="AY97" i="20"/>
  <c r="AX97" i="20"/>
  <c r="AW97" i="20"/>
  <c r="AV97" i="20"/>
  <c r="AU97" i="20"/>
  <c r="AS97" i="20"/>
  <c r="AR97" i="20"/>
  <c r="AQ97" i="20"/>
  <c r="AP97" i="20"/>
  <c r="AO97" i="20"/>
  <c r="AN97" i="20"/>
  <c r="AL97" i="20"/>
  <c r="AK97" i="20"/>
  <c r="AJ97" i="20"/>
  <c r="AI97" i="20"/>
  <c r="AH97" i="20"/>
  <c r="AG97" i="20"/>
  <c r="AE97" i="20"/>
  <c r="AD97" i="20"/>
  <c r="AB97" i="20"/>
  <c r="AA97" i="20"/>
  <c r="Z97" i="20"/>
  <c r="Y97" i="20"/>
  <c r="X97" i="20"/>
  <c r="W97" i="20"/>
  <c r="V97" i="20"/>
  <c r="T97" i="20"/>
  <c r="S97" i="20"/>
  <c r="R97" i="20"/>
  <c r="Q97" i="20"/>
  <c r="E97" i="20"/>
  <c r="D97" i="20"/>
  <c r="CG96" i="20"/>
  <c r="CE96" i="20"/>
  <c r="CC96" i="20"/>
  <c r="CB96" i="20"/>
  <c r="CA96" i="20"/>
  <c r="BZ96" i="20"/>
  <c r="BY96" i="20"/>
  <c r="BX96" i="20"/>
  <c r="BW96" i="20"/>
  <c r="BV96" i="20"/>
  <c r="BU96" i="20"/>
  <c r="BT96" i="20"/>
  <c r="BN96" i="20"/>
  <c r="BM96" i="20"/>
  <c r="BK96" i="20"/>
  <c r="BJ96" i="20"/>
  <c r="BI96" i="20"/>
  <c r="BG96" i="20"/>
  <c r="BF96" i="20"/>
  <c r="BE96" i="20"/>
  <c r="BD96" i="20"/>
  <c r="BC96" i="20"/>
  <c r="BB96" i="20"/>
  <c r="AZ96" i="20"/>
  <c r="AY96" i="20"/>
  <c r="AX96" i="20"/>
  <c r="AW96" i="20"/>
  <c r="AV96" i="20"/>
  <c r="AU96" i="20"/>
  <c r="AS96" i="20"/>
  <c r="AR96" i="20"/>
  <c r="AQ96" i="20"/>
  <c r="AP96" i="20"/>
  <c r="AO96" i="20"/>
  <c r="AN96" i="20"/>
  <c r="AL96" i="20"/>
  <c r="AK96" i="20"/>
  <c r="AJ96" i="20"/>
  <c r="AI96" i="20"/>
  <c r="AH96" i="20"/>
  <c r="AG96" i="20"/>
  <c r="AE96" i="20"/>
  <c r="AD96" i="20"/>
  <c r="AB96" i="20"/>
  <c r="AA96" i="20"/>
  <c r="Z96" i="20"/>
  <c r="Y96" i="20"/>
  <c r="X96" i="20"/>
  <c r="W96" i="20"/>
  <c r="V96" i="20"/>
  <c r="T96" i="20"/>
  <c r="S96" i="20"/>
  <c r="R96" i="20"/>
  <c r="Q96" i="20"/>
  <c r="E96" i="20"/>
  <c r="D96" i="20"/>
  <c r="CG95" i="20"/>
  <c r="CE95" i="20"/>
  <c r="CC95" i="20"/>
  <c r="CB95" i="20"/>
  <c r="CA95" i="20"/>
  <c r="BZ95" i="20"/>
  <c r="BY95" i="20"/>
  <c r="BX95" i="20"/>
  <c r="BW95" i="20"/>
  <c r="BV95" i="20"/>
  <c r="BU95" i="20"/>
  <c r="BT95" i="20"/>
  <c r="BN95" i="20"/>
  <c r="BM95" i="20"/>
  <c r="BK95" i="20"/>
  <c r="BJ95" i="20"/>
  <c r="BI95" i="20"/>
  <c r="BG95" i="20"/>
  <c r="BF95" i="20"/>
  <c r="BE95" i="20"/>
  <c r="BD95" i="20"/>
  <c r="BC95" i="20"/>
  <c r="BB95" i="20"/>
  <c r="AZ95" i="20"/>
  <c r="AY95" i="20"/>
  <c r="AX95" i="20"/>
  <c r="AW95" i="20"/>
  <c r="AV95" i="20"/>
  <c r="AU95" i="20"/>
  <c r="AS95" i="20"/>
  <c r="AR95" i="20"/>
  <c r="AQ95" i="20"/>
  <c r="AP95" i="20"/>
  <c r="AO95" i="20"/>
  <c r="AN95" i="20"/>
  <c r="AL95" i="20"/>
  <c r="AK95" i="20"/>
  <c r="AJ95" i="20"/>
  <c r="AI95" i="20"/>
  <c r="AH95" i="20"/>
  <c r="AG95" i="20"/>
  <c r="AE95" i="20"/>
  <c r="AD95" i="20"/>
  <c r="AB95" i="20"/>
  <c r="AA95" i="20"/>
  <c r="Z95" i="20"/>
  <c r="Y95" i="20"/>
  <c r="X95" i="20"/>
  <c r="W95" i="20"/>
  <c r="V95" i="20"/>
  <c r="T95" i="20"/>
  <c r="S95" i="20"/>
  <c r="R95" i="20"/>
  <c r="Q95" i="20"/>
  <c r="E95" i="20"/>
  <c r="D95" i="20"/>
  <c r="CG94" i="20"/>
  <c r="CE94" i="20"/>
  <c r="CC94" i="20"/>
  <c r="CB94" i="20"/>
  <c r="CA94" i="20"/>
  <c r="BZ94" i="20"/>
  <c r="BY94" i="20"/>
  <c r="BX94" i="20"/>
  <c r="BW94" i="20"/>
  <c r="BV94" i="20"/>
  <c r="BU94" i="20"/>
  <c r="BT94" i="20"/>
  <c r="BN94" i="20"/>
  <c r="BM94" i="20"/>
  <c r="BK94" i="20"/>
  <c r="BJ94" i="20"/>
  <c r="BI94" i="20"/>
  <c r="BG94" i="20"/>
  <c r="BF94" i="20"/>
  <c r="BE94" i="20"/>
  <c r="BD94" i="20"/>
  <c r="BC94" i="20"/>
  <c r="BB94" i="20"/>
  <c r="AZ94" i="20"/>
  <c r="AY94" i="20"/>
  <c r="AX94" i="20"/>
  <c r="AW94" i="20"/>
  <c r="AV94" i="20"/>
  <c r="AU94" i="20"/>
  <c r="AS94" i="20"/>
  <c r="AR94" i="20"/>
  <c r="AQ94" i="20"/>
  <c r="AP94" i="20"/>
  <c r="AO94" i="20"/>
  <c r="AN94" i="20"/>
  <c r="AL94" i="20"/>
  <c r="AK94" i="20"/>
  <c r="AJ94" i="20"/>
  <c r="AI94" i="20"/>
  <c r="AH94" i="20"/>
  <c r="AG94" i="20"/>
  <c r="AE94" i="20"/>
  <c r="AD94" i="20"/>
  <c r="AB94" i="20"/>
  <c r="AA94" i="20"/>
  <c r="Z94" i="20"/>
  <c r="Y94" i="20"/>
  <c r="X94" i="20"/>
  <c r="W94" i="20"/>
  <c r="V94" i="20"/>
  <c r="T94" i="20"/>
  <c r="S94" i="20"/>
  <c r="R94" i="20"/>
  <c r="Q94" i="20"/>
  <c r="E94" i="20"/>
  <c r="D94" i="20"/>
  <c r="CG93" i="20"/>
  <c r="CE93" i="20"/>
  <c r="CC93" i="20"/>
  <c r="CB93" i="20"/>
  <c r="CA93" i="20"/>
  <c r="BZ93" i="20"/>
  <c r="BY93" i="20"/>
  <c r="BX93" i="20"/>
  <c r="BW93" i="20"/>
  <c r="BV93" i="20"/>
  <c r="BU93" i="20"/>
  <c r="BT93" i="20"/>
  <c r="BN93" i="20"/>
  <c r="BM93" i="20"/>
  <c r="BK93" i="20"/>
  <c r="BJ93" i="20"/>
  <c r="BI93" i="20"/>
  <c r="BG93" i="20"/>
  <c r="BF93" i="20"/>
  <c r="BE93" i="20"/>
  <c r="BD93" i="20"/>
  <c r="BC93" i="20"/>
  <c r="BB93" i="20"/>
  <c r="AZ93" i="20"/>
  <c r="AY93" i="20"/>
  <c r="AX93" i="20"/>
  <c r="AW93" i="20"/>
  <c r="AV93" i="20"/>
  <c r="AU93" i="20"/>
  <c r="AS93" i="20"/>
  <c r="AR93" i="20"/>
  <c r="AQ93" i="20"/>
  <c r="AP93" i="20"/>
  <c r="AO93" i="20"/>
  <c r="AN93" i="20"/>
  <c r="AL93" i="20"/>
  <c r="AK93" i="20"/>
  <c r="AJ93" i="20"/>
  <c r="AI93" i="20"/>
  <c r="AH93" i="20"/>
  <c r="AG93" i="20"/>
  <c r="AE93" i="20"/>
  <c r="AD93" i="20"/>
  <c r="AB93" i="20"/>
  <c r="AA93" i="20"/>
  <c r="Z93" i="20"/>
  <c r="Y93" i="20"/>
  <c r="X93" i="20"/>
  <c r="W93" i="20"/>
  <c r="V93" i="20"/>
  <c r="T93" i="20"/>
  <c r="S93" i="20"/>
  <c r="R93" i="20"/>
  <c r="Q93" i="20"/>
  <c r="E93" i="20"/>
  <c r="D93" i="20"/>
  <c r="CG92" i="20"/>
  <c r="CE92" i="20"/>
  <c r="CC92" i="20"/>
  <c r="CB92" i="20"/>
  <c r="CA92" i="20"/>
  <c r="BZ92" i="20"/>
  <c r="BY92" i="20"/>
  <c r="BX92" i="20"/>
  <c r="BW92" i="20"/>
  <c r="BV92" i="20"/>
  <c r="BU92" i="20"/>
  <c r="BT92" i="20"/>
  <c r="BN92" i="20"/>
  <c r="BM92" i="20"/>
  <c r="BK92" i="20"/>
  <c r="BJ92" i="20"/>
  <c r="BI92" i="20"/>
  <c r="BG92" i="20"/>
  <c r="BF92" i="20"/>
  <c r="BE92" i="20"/>
  <c r="BD92" i="20"/>
  <c r="BC92" i="20"/>
  <c r="BB92" i="20"/>
  <c r="AZ92" i="20"/>
  <c r="AY92" i="20"/>
  <c r="AX92" i="20"/>
  <c r="AW92" i="20"/>
  <c r="AV92" i="20"/>
  <c r="AU92" i="20"/>
  <c r="AS92" i="20"/>
  <c r="AR92" i="20"/>
  <c r="AQ92" i="20"/>
  <c r="AP92" i="20"/>
  <c r="AO92" i="20"/>
  <c r="AN92" i="20"/>
  <c r="AL92" i="20"/>
  <c r="AK92" i="20"/>
  <c r="AJ92" i="20"/>
  <c r="AI92" i="20"/>
  <c r="AH92" i="20"/>
  <c r="AG92" i="20"/>
  <c r="AE92" i="20"/>
  <c r="AD92" i="20"/>
  <c r="AB92" i="20"/>
  <c r="AA92" i="20"/>
  <c r="Z92" i="20"/>
  <c r="Y92" i="20"/>
  <c r="X92" i="20"/>
  <c r="W92" i="20"/>
  <c r="V92" i="20"/>
  <c r="T92" i="20"/>
  <c r="S92" i="20"/>
  <c r="R92" i="20"/>
  <c r="Q92" i="20"/>
  <c r="E92" i="20"/>
  <c r="D92" i="20"/>
  <c r="CG91" i="20"/>
  <c r="CE91" i="20"/>
  <c r="CC91" i="20"/>
  <c r="CB91" i="20"/>
  <c r="CA91" i="20"/>
  <c r="BZ91" i="20"/>
  <c r="BY91" i="20"/>
  <c r="BX91" i="20"/>
  <c r="BW91" i="20"/>
  <c r="BV91" i="20"/>
  <c r="BU91" i="20"/>
  <c r="BT91" i="20"/>
  <c r="BN91" i="20"/>
  <c r="BM91" i="20"/>
  <c r="BK91" i="20"/>
  <c r="BJ91" i="20"/>
  <c r="BI91" i="20"/>
  <c r="BG91" i="20"/>
  <c r="BF91" i="20"/>
  <c r="BE91" i="20"/>
  <c r="BD91" i="20"/>
  <c r="BC91" i="20"/>
  <c r="BB91" i="20"/>
  <c r="AZ91" i="20"/>
  <c r="AY91" i="20"/>
  <c r="AX91" i="20"/>
  <c r="AW91" i="20"/>
  <c r="AV91" i="20"/>
  <c r="AU91" i="20"/>
  <c r="AS91" i="20"/>
  <c r="AR91" i="20"/>
  <c r="AQ91" i="20"/>
  <c r="AP91" i="20"/>
  <c r="AO91" i="20"/>
  <c r="AN91" i="20"/>
  <c r="AL91" i="20"/>
  <c r="AK91" i="20"/>
  <c r="AJ91" i="20"/>
  <c r="AI91" i="20"/>
  <c r="AH91" i="20"/>
  <c r="AG91" i="20"/>
  <c r="AE91" i="20"/>
  <c r="AD91" i="20"/>
  <c r="AB91" i="20"/>
  <c r="AA91" i="20"/>
  <c r="Z91" i="20"/>
  <c r="Y91" i="20"/>
  <c r="X91" i="20"/>
  <c r="W91" i="20"/>
  <c r="V91" i="20"/>
  <c r="T91" i="20"/>
  <c r="S91" i="20"/>
  <c r="R91" i="20"/>
  <c r="Q91" i="20"/>
  <c r="E91" i="20"/>
  <c r="D91" i="20"/>
  <c r="CG90" i="20"/>
  <c r="CE90" i="20"/>
  <c r="CC90" i="20"/>
  <c r="CB90" i="20"/>
  <c r="CA90" i="20"/>
  <c r="BZ90" i="20"/>
  <c r="BY90" i="20"/>
  <c r="BX90" i="20"/>
  <c r="BW90" i="20"/>
  <c r="BV90" i="20"/>
  <c r="BU90" i="20"/>
  <c r="BT90" i="20"/>
  <c r="BN90" i="20"/>
  <c r="BM90" i="20"/>
  <c r="BK90" i="20"/>
  <c r="BJ90" i="20"/>
  <c r="BI90" i="20"/>
  <c r="BG90" i="20"/>
  <c r="BF90" i="20"/>
  <c r="BE90" i="20"/>
  <c r="BD90" i="20"/>
  <c r="BC90" i="20"/>
  <c r="BB90" i="20"/>
  <c r="AZ90" i="20"/>
  <c r="AY90" i="20"/>
  <c r="AX90" i="20"/>
  <c r="AW90" i="20"/>
  <c r="AV90" i="20"/>
  <c r="AU90" i="20"/>
  <c r="AS90" i="20"/>
  <c r="AR90" i="20"/>
  <c r="AQ90" i="20"/>
  <c r="AP90" i="20"/>
  <c r="AO90" i="20"/>
  <c r="AN90" i="20"/>
  <c r="AL90" i="20"/>
  <c r="AK90" i="20"/>
  <c r="AJ90" i="20"/>
  <c r="AI90" i="20"/>
  <c r="AH90" i="20"/>
  <c r="AG90" i="20"/>
  <c r="AE90" i="20"/>
  <c r="AD90" i="20"/>
  <c r="AB90" i="20"/>
  <c r="AA90" i="20"/>
  <c r="Z90" i="20"/>
  <c r="Y90" i="20"/>
  <c r="X90" i="20"/>
  <c r="W90" i="20"/>
  <c r="V90" i="20"/>
  <c r="T90" i="20"/>
  <c r="S90" i="20"/>
  <c r="R90" i="20"/>
  <c r="Q90" i="20"/>
  <c r="E90" i="20"/>
  <c r="D90" i="20"/>
  <c r="CG89" i="20"/>
  <c r="CE89" i="20"/>
  <c r="CC89" i="20"/>
  <c r="CB89" i="20"/>
  <c r="CA89" i="20"/>
  <c r="BZ89" i="20"/>
  <c r="BY89" i="20"/>
  <c r="BX89" i="20"/>
  <c r="BW89" i="20"/>
  <c r="BV89" i="20"/>
  <c r="BU89" i="20"/>
  <c r="BT89" i="20"/>
  <c r="BN89" i="20"/>
  <c r="BM89" i="20"/>
  <c r="BK89" i="20"/>
  <c r="BJ89" i="20"/>
  <c r="BI89" i="20"/>
  <c r="BG89" i="20"/>
  <c r="BF89" i="20"/>
  <c r="BE89" i="20"/>
  <c r="BD89" i="20"/>
  <c r="BC89" i="20"/>
  <c r="BB89" i="20"/>
  <c r="AZ89" i="20"/>
  <c r="AY89" i="20"/>
  <c r="AX89" i="20"/>
  <c r="AW89" i="20"/>
  <c r="AV89" i="20"/>
  <c r="AU89" i="20"/>
  <c r="AS89" i="20"/>
  <c r="AR89" i="20"/>
  <c r="AQ89" i="20"/>
  <c r="AP89" i="20"/>
  <c r="AO89" i="20"/>
  <c r="AN89" i="20"/>
  <c r="AL89" i="20"/>
  <c r="AK89" i="20"/>
  <c r="AJ89" i="20"/>
  <c r="AI89" i="20"/>
  <c r="AH89" i="20"/>
  <c r="AG89" i="20"/>
  <c r="AE89" i="20"/>
  <c r="AD89" i="20"/>
  <c r="AB89" i="20"/>
  <c r="AA89" i="20"/>
  <c r="Z89" i="20"/>
  <c r="Y89" i="20"/>
  <c r="X89" i="20"/>
  <c r="W89" i="20"/>
  <c r="V89" i="20"/>
  <c r="T89" i="20"/>
  <c r="S89" i="20"/>
  <c r="R89" i="20"/>
  <c r="Q89" i="20"/>
  <c r="E89" i="20"/>
  <c r="D89" i="20"/>
  <c r="CG88" i="20"/>
  <c r="CE88" i="20"/>
  <c r="CC88" i="20"/>
  <c r="CB88" i="20"/>
  <c r="CA88" i="20"/>
  <c r="BZ88" i="20"/>
  <c r="BY88" i="20"/>
  <c r="BX88" i="20"/>
  <c r="BW88" i="20"/>
  <c r="BV88" i="20"/>
  <c r="BU88" i="20"/>
  <c r="BT88" i="20"/>
  <c r="BN88" i="20"/>
  <c r="BM88" i="20"/>
  <c r="BK88" i="20"/>
  <c r="BJ88" i="20"/>
  <c r="BI88" i="20"/>
  <c r="BG88" i="20"/>
  <c r="BF88" i="20"/>
  <c r="BE88" i="20"/>
  <c r="BD88" i="20"/>
  <c r="BC88" i="20"/>
  <c r="BB88" i="20"/>
  <c r="AZ88" i="20"/>
  <c r="AY88" i="20"/>
  <c r="AX88" i="20"/>
  <c r="AW88" i="20"/>
  <c r="AV88" i="20"/>
  <c r="AU88" i="20"/>
  <c r="AS88" i="20"/>
  <c r="AR88" i="20"/>
  <c r="AQ88" i="20"/>
  <c r="AP88" i="20"/>
  <c r="AO88" i="20"/>
  <c r="AN88" i="20"/>
  <c r="AL88" i="20"/>
  <c r="AK88" i="20"/>
  <c r="AJ88" i="20"/>
  <c r="AI88" i="20"/>
  <c r="AH88" i="20"/>
  <c r="AG88" i="20"/>
  <c r="AE88" i="20"/>
  <c r="AD88" i="20"/>
  <c r="AB88" i="20"/>
  <c r="AA88" i="20"/>
  <c r="Z88" i="20"/>
  <c r="Y88" i="20"/>
  <c r="X88" i="20"/>
  <c r="W88" i="20"/>
  <c r="V88" i="20"/>
  <c r="T88" i="20"/>
  <c r="S88" i="20"/>
  <c r="R88" i="20"/>
  <c r="Q88" i="20"/>
  <c r="E88" i="20"/>
  <c r="D88" i="20"/>
  <c r="CG87" i="20"/>
  <c r="CE87" i="20"/>
  <c r="CC87" i="20"/>
  <c r="CB87" i="20"/>
  <c r="CA87" i="20"/>
  <c r="BZ87" i="20"/>
  <c r="BY87" i="20"/>
  <c r="BX87" i="20"/>
  <c r="BW87" i="20"/>
  <c r="BV87" i="20"/>
  <c r="BU87" i="20"/>
  <c r="BT87" i="20"/>
  <c r="BN87" i="20"/>
  <c r="BM87" i="20"/>
  <c r="BK87" i="20"/>
  <c r="BJ87" i="20"/>
  <c r="BI87" i="20"/>
  <c r="BG87" i="20"/>
  <c r="BF87" i="20"/>
  <c r="BE87" i="20"/>
  <c r="BD87" i="20"/>
  <c r="BC87" i="20"/>
  <c r="BB87" i="20"/>
  <c r="AZ87" i="20"/>
  <c r="AY87" i="20"/>
  <c r="AX87" i="20"/>
  <c r="AW87" i="20"/>
  <c r="AV87" i="20"/>
  <c r="AU87" i="20"/>
  <c r="AS87" i="20"/>
  <c r="AR87" i="20"/>
  <c r="AQ87" i="20"/>
  <c r="AP87" i="20"/>
  <c r="AO87" i="20"/>
  <c r="AN87" i="20"/>
  <c r="AL87" i="20"/>
  <c r="AK87" i="20"/>
  <c r="AJ87" i="20"/>
  <c r="AI87" i="20"/>
  <c r="AH87" i="20"/>
  <c r="AG87" i="20"/>
  <c r="AE87" i="20"/>
  <c r="AD87" i="20"/>
  <c r="AB87" i="20"/>
  <c r="AA87" i="20"/>
  <c r="Z87" i="20"/>
  <c r="Y87" i="20"/>
  <c r="X87" i="20"/>
  <c r="W87" i="20"/>
  <c r="V87" i="20"/>
  <c r="T87" i="20"/>
  <c r="S87" i="20"/>
  <c r="R87" i="20"/>
  <c r="Q87" i="20"/>
  <c r="E87" i="20"/>
  <c r="D87" i="20"/>
  <c r="CG86" i="20"/>
  <c r="CE86" i="20"/>
  <c r="CC86" i="20"/>
  <c r="CB86" i="20"/>
  <c r="CA86" i="20"/>
  <c r="BZ86" i="20"/>
  <c r="BY86" i="20"/>
  <c r="BX86" i="20"/>
  <c r="BW86" i="20"/>
  <c r="BV86" i="20"/>
  <c r="BU86" i="20"/>
  <c r="BT86" i="20"/>
  <c r="BN86" i="20"/>
  <c r="BM86" i="20"/>
  <c r="BK86" i="20"/>
  <c r="BJ86" i="20"/>
  <c r="BI86" i="20"/>
  <c r="BG86" i="20"/>
  <c r="BF86" i="20"/>
  <c r="BE86" i="20"/>
  <c r="BD86" i="20"/>
  <c r="BC86" i="20"/>
  <c r="BB86" i="20"/>
  <c r="AZ86" i="20"/>
  <c r="AY86" i="20"/>
  <c r="AX86" i="20"/>
  <c r="AW86" i="20"/>
  <c r="AV86" i="20"/>
  <c r="AU86" i="20"/>
  <c r="AS86" i="20"/>
  <c r="AR86" i="20"/>
  <c r="AQ86" i="20"/>
  <c r="AP86" i="20"/>
  <c r="AO86" i="20"/>
  <c r="AN86" i="20"/>
  <c r="AL86" i="20"/>
  <c r="AK86" i="20"/>
  <c r="AJ86" i="20"/>
  <c r="AI86" i="20"/>
  <c r="AH86" i="20"/>
  <c r="AG86" i="20"/>
  <c r="AE86" i="20"/>
  <c r="AD86" i="20"/>
  <c r="AB86" i="20"/>
  <c r="AA86" i="20"/>
  <c r="Z86" i="20"/>
  <c r="Y86" i="20"/>
  <c r="X86" i="20"/>
  <c r="W86" i="20"/>
  <c r="V86" i="20"/>
  <c r="T86" i="20"/>
  <c r="S86" i="20"/>
  <c r="R86" i="20"/>
  <c r="Q86" i="20"/>
  <c r="E86" i="20"/>
  <c r="D86" i="20"/>
  <c r="CG85" i="20"/>
  <c r="CE85" i="20"/>
  <c r="CC85" i="20"/>
  <c r="CB85" i="20"/>
  <c r="CA85" i="20"/>
  <c r="BZ85" i="20"/>
  <c r="BY85" i="20"/>
  <c r="BX85" i="20"/>
  <c r="BW85" i="20"/>
  <c r="BV85" i="20"/>
  <c r="BU85" i="20"/>
  <c r="BT85" i="20"/>
  <c r="BN85" i="20"/>
  <c r="BM85" i="20"/>
  <c r="BK85" i="20"/>
  <c r="BJ85" i="20"/>
  <c r="BI85" i="20"/>
  <c r="BG85" i="20"/>
  <c r="BF85" i="20"/>
  <c r="BE85" i="20"/>
  <c r="BD85" i="20"/>
  <c r="BC85" i="20"/>
  <c r="BB85" i="20"/>
  <c r="AZ85" i="20"/>
  <c r="AY85" i="20"/>
  <c r="AX85" i="20"/>
  <c r="AW85" i="20"/>
  <c r="AV85" i="20"/>
  <c r="AU85" i="20"/>
  <c r="AS85" i="20"/>
  <c r="AR85" i="20"/>
  <c r="AQ85" i="20"/>
  <c r="AP85" i="20"/>
  <c r="AO85" i="20"/>
  <c r="AN85" i="20"/>
  <c r="AL85" i="20"/>
  <c r="AK85" i="20"/>
  <c r="AJ85" i="20"/>
  <c r="AI85" i="20"/>
  <c r="AH85" i="20"/>
  <c r="AG85" i="20"/>
  <c r="AE85" i="20"/>
  <c r="AD85" i="20"/>
  <c r="AB85" i="20"/>
  <c r="AA85" i="20"/>
  <c r="Z85" i="20"/>
  <c r="Y85" i="20"/>
  <c r="X85" i="20"/>
  <c r="W85" i="20"/>
  <c r="V85" i="20"/>
  <c r="T85" i="20"/>
  <c r="S85" i="20"/>
  <c r="R85" i="20"/>
  <c r="Q85" i="20"/>
  <c r="E85" i="20"/>
  <c r="D85" i="20"/>
  <c r="CG84" i="20"/>
  <c r="CE84" i="20"/>
  <c r="CC84" i="20"/>
  <c r="CB84" i="20"/>
  <c r="CA84" i="20"/>
  <c r="BZ84" i="20"/>
  <c r="BY84" i="20"/>
  <c r="BX84" i="20"/>
  <c r="BW84" i="20"/>
  <c r="BV84" i="20"/>
  <c r="BU84" i="20"/>
  <c r="BT84" i="20"/>
  <c r="BN84" i="20"/>
  <c r="BM84" i="20"/>
  <c r="BK84" i="20"/>
  <c r="BJ84" i="20"/>
  <c r="BI84" i="20"/>
  <c r="BG84" i="20"/>
  <c r="BF84" i="20"/>
  <c r="BE84" i="20"/>
  <c r="BD84" i="20"/>
  <c r="BC84" i="20"/>
  <c r="BB84" i="20"/>
  <c r="AZ84" i="20"/>
  <c r="AY84" i="20"/>
  <c r="AX84" i="20"/>
  <c r="AW84" i="20"/>
  <c r="AV84" i="20"/>
  <c r="AU84" i="20"/>
  <c r="AS84" i="20"/>
  <c r="AR84" i="20"/>
  <c r="AQ84" i="20"/>
  <c r="AP84" i="20"/>
  <c r="AO84" i="20"/>
  <c r="AN84" i="20"/>
  <c r="AL84" i="20"/>
  <c r="AK84" i="20"/>
  <c r="AJ84" i="20"/>
  <c r="AI84" i="20"/>
  <c r="AH84" i="20"/>
  <c r="AG84" i="20"/>
  <c r="AE84" i="20"/>
  <c r="AD84" i="20"/>
  <c r="AB84" i="20"/>
  <c r="AA84" i="20"/>
  <c r="Z84" i="20"/>
  <c r="Y84" i="20"/>
  <c r="X84" i="20"/>
  <c r="W84" i="20"/>
  <c r="V84" i="20"/>
  <c r="T84" i="20"/>
  <c r="S84" i="20"/>
  <c r="R84" i="20"/>
  <c r="Q84" i="20"/>
  <c r="E84" i="20"/>
  <c r="D84" i="20"/>
  <c r="CG83" i="20"/>
  <c r="CE83" i="20"/>
  <c r="CC83" i="20"/>
  <c r="CB83" i="20"/>
  <c r="CA83" i="20"/>
  <c r="BZ83" i="20"/>
  <c r="BY83" i="20"/>
  <c r="BX83" i="20"/>
  <c r="BW83" i="20"/>
  <c r="BV83" i="20"/>
  <c r="BU83" i="20"/>
  <c r="BT83" i="20"/>
  <c r="BN83" i="20"/>
  <c r="BM83" i="20"/>
  <c r="BK83" i="20"/>
  <c r="BJ83" i="20"/>
  <c r="BI83" i="20"/>
  <c r="BG83" i="20"/>
  <c r="BF83" i="20"/>
  <c r="BE83" i="20"/>
  <c r="BD83" i="20"/>
  <c r="BC83" i="20"/>
  <c r="BB83" i="20"/>
  <c r="AZ83" i="20"/>
  <c r="AY83" i="20"/>
  <c r="AX83" i="20"/>
  <c r="AW83" i="20"/>
  <c r="AV83" i="20"/>
  <c r="AU83" i="20"/>
  <c r="AS83" i="20"/>
  <c r="AR83" i="20"/>
  <c r="AQ83" i="20"/>
  <c r="AP83" i="20"/>
  <c r="AO83" i="20"/>
  <c r="AN83" i="20"/>
  <c r="AL83" i="20"/>
  <c r="AK83" i="20"/>
  <c r="AJ83" i="20"/>
  <c r="AI83" i="20"/>
  <c r="AH83" i="20"/>
  <c r="AG83" i="20"/>
  <c r="AE83" i="20"/>
  <c r="AD83" i="20"/>
  <c r="AB83" i="20"/>
  <c r="AA83" i="20"/>
  <c r="Z83" i="20"/>
  <c r="Y83" i="20"/>
  <c r="X83" i="20"/>
  <c r="W83" i="20"/>
  <c r="V83" i="20"/>
  <c r="T83" i="20"/>
  <c r="S83" i="20"/>
  <c r="R83" i="20"/>
  <c r="Q83" i="20"/>
  <c r="E83" i="20"/>
  <c r="D83" i="20"/>
  <c r="CG82" i="20"/>
  <c r="CE82" i="20"/>
  <c r="CC82" i="20"/>
  <c r="CB82" i="20"/>
  <c r="CA82" i="20"/>
  <c r="BZ82" i="20"/>
  <c r="BY82" i="20"/>
  <c r="BX82" i="20"/>
  <c r="BW82" i="20"/>
  <c r="BV82" i="20"/>
  <c r="BU82" i="20"/>
  <c r="BT82" i="20"/>
  <c r="BN82" i="20"/>
  <c r="BM82" i="20"/>
  <c r="BK82" i="20"/>
  <c r="BJ82" i="20"/>
  <c r="BI82" i="20"/>
  <c r="BG82" i="20"/>
  <c r="BF82" i="20"/>
  <c r="BE82" i="20"/>
  <c r="BD82" i="20"/>
  <c r="BC82" i="20"/>
  <c r="BB82" i="20"/>
  <c r="AZ82" i="20"/>
  <c r="AY82" i="20"/>
  <c r="AX82" i="20"/>
  <c r="AW82" i="20"/>
  <c r="AV82" i="20"/>
  <c r="AU82" i="20"/>
  <c r="AS82" i="20"/>
  <c r="AR82" i="20"/>
  <c r="AQ82" i="20"/>
  <c r="AP82" i="20"/>
  <c r="AO82" i="20"/>
  <c r="AN82" i="20"/>
  <c r="AL82" i="20"/>
  <c r="AK82" i="20"/>
  <c r="AJ82" i="20"/>
  <c r="AI82" i="20"/>
  <c r="AH82" i="20"/>
  <c r="AG82" i="20"/>
  <c r="AE82" i="20"/>
  <c r="AD82" i="20"/>
  <c r="AB82" i="20"/>
  <c r="AA82" i="20"/>
  <c r="Z82" i="20"/>
  <c r="Y82" i="20"/>
  <c r="X82" i="20"/>
  <c r="W82" i="20"/>
  <c r="V82" i="20"/>
  <c r="T82" i="20"/>
  <c r="S82" i="20"/>
  <c r="R82" i="20"/>
  <c r="Q82" i="20"/>
  <c r="E82" i="20"/>
  <c r="D82" i="20"/>
  <c r="CG81" i="20"/>
  <c r="CE81" i="20"/>
  <c r="CC81" i="20"/>
  <c r="CB81" i="20"/>
  <c r="CA81" i="20"/>
  <c r="BZ81" i="20"/>
  <c r="BY81" i="20"/>
  <c r="BX81" i="20"/>
  <c r="BW81" i="20"/>
  <c r="BV81" i="20"/>
  <c r="BU81" i="20"/>
  <c r="BT81" i="20"/>
  <c r="BN81" i="20"/>
  <c r="BM81" i="20"/>
  <c r="BK81" i="20"/>
  <c r="BJ81" i="20"/>
  <c r="BI81" i="20"/>
  <c r="BG81" i="20"/>
  <c r="BF81" i="20"/>
  <c r="BE81" i="20"/>
  <c r="BD81" i="20"/>
  <c r="BC81" i="20"/>
  <c r="BB81" i="20"/>
  <c r="AZ81" i="20"/>
  <c r="AY81" i="20"/>
  <c r="AX81" i="20"/>
  <c r="AW81" i="20"/>
  <c r="AV81" i="20"/>
  <c r="AU81" i="20"/>
  <c r="AS81" i="20"/>
  <c r="AR81" i="20"/>
  <c r="AQ81" i="20"/>
  <c r="AP81" i="20"/>
  <c r="AO81" i="20"/>
  <c r="AN81" i="20"/>
  <c r="AL81" i="20"/>
  <c r="AK81" i="20"/>
  <c r="AJ81" i="20"/>
  <c r="AI81" i="20"/>
  <c r="AH81" i="20"/>
  <c r="AG81" i="20"/>
  <c r="AE81" i="20"/>
  <c r="AD81" i="20"/>
  <c r="AB81" i="20"/>
  <c r="AA81" i="20"/>
  <c r="Z81" i="20"/>
  <c r="Y81" i="20"/>
  <c r="X81" i="20"/>
  <c r="W81" i="20"/>
  <c r="V81" i="20"/>
  <c r="T81" i="20"/>
  <c r="S81" i="20"/>
  <c r="R81" i="20"/>
  <c r="Q81" i="20"/>
  <c r="E81" i="20"/>
  <c r="D81" i="20"/>
  <c r="CG80" i="20"/>
  <c r="CE80" i="20"/>
  <c r="CC80" i="20"/>
  <c r="CB80" i="20"/>
  <c r="CA80" i="20"/>
  <c r="BZ80" i="20"/>
  <c r="BY80" i="20"/>
  <c r="BX80" i="20"/>
  <c r="BW80" i="20"/>
  <c r="BV80" i="20"/>
  <c r="BU80" i="20"/>
  <c r="BT80" i="20"/>
  <c r="BN80" i="20"/>
  <c r="BM80" i="20"/>
  <c r="BK80" i="20"/>
  <c r="BJ80" i="20"/>
  <c r="BI80" i="20"/>
  <c r="BG80" i="20"/>
  <c r="BF80" i="20"/>
  <c r="BE80" i="20"/>
  <c r="BD80" i="20"/>
  <c r="BC80" i="20"/>
  <c r="BB80" i="20"/>
  <c r="AZ80" i="20"/>
  <c r="AY80" i="20"/>
  <c r="AX80" i="20"/>
  <c r="AW80" i="20"/>
  <c r="AV80" i="20"/>
  <c r="AU80" i="20"/>
  <c r="AS80" i="20"/>
  <c r="AR80" i="20"/>
  <c r="AQ80" i="20"/>
  <c r="AP80" i="20"/>
  <c r="AO80" i="20"/>
  <c r="AN80" i="20"/>
  <c r="AL80" i="20"/>
  <c r="AK80" i="20"/>
  <c r="AJ80" i="20"/>
  <c r="AI80" i="20"/>
  <c r="AH80" i="20"/>
  <c r="AG80" i="20"/>
  <c r="AE80" i="20"/>
  <c r="AD80" i="20"/>
  <c r="AB80" i="20"/>
  <c r="AA80" i="20"/>
  <c r="Z80" i="20"/>
  <c r="Y80" i="20"/>
  <c r="X80" i="20"/>
  <c r="W80" i="20"/>
  <c r="V80" i="20"/>
  <c r="T80" i="20"/>
  <c r="S80" i="20"/>
  <c r="R80" i="20"/>
  <c r="Q80" i="20"/>
  <c r="E80" i="20"/>
  <c r="D80" i="20"/>
  <c r="CG79" i="20"/>
  <c r="CE79" i="20"/>
  <c r="CC79" i="20"/>
  <c r="CB79" i="20"/>
  <c r="CA79" i="20"/>
  <c r="BZ79" i="20"/>
  <c r="BY79" i="20"/>
  <c r="BX79" i="20"/>
  <c r="BW79" i="20"/>
  <c r="BV79" i="20"/>
  <c r="BU79" i="20"/>
  <c r="BT79" i="20"/>
  <c r="BN79" i="20"/>
  <c r="BM79" i="20"/>
  <c r="BK79" i="20"/>
  <c r="BJ79" i="20"/>
  <c r="BI79" i="20"/>
  <c r="BG79" i="20"/>
  <c r="BF79" i="20"/>
  <c r="BE79" i="20"/>
  <c r="BD79" i="20"/>
  <c r="BC79" i="20"/>
  <c r="BB79" i="20"/>
  <c r="AZ79" i="20"/>
  <c r="AY79" i="20"/>
  <c r="AX79" i="20"/>
  <c r="AW79" i="20"/>
  <c r="AV79" i="20"/>
  <c r="AU79" i="20"/>
  <c r="AS79" i="20"/>
  <c r="AR79" i="20"/>
  <c r="AQ79" i="20"/>
  <c r="AP79" i="20"/>
  <c r="AO79" i="20"/>
  <c r="AN79" i="20"/>
  <c r="AL79" i="20"/>
  <c r="AK79" i="20"/>
  <c r="AJ79" i="20"/>
  <c r="AI79" i="20"/>
  <c r="AH79" i="20"/>
  <c r="AG79" i="20"/>
  <c r="AE79" i="20"/>
  <c r="AD79" i="20"/>
  <c r="AB79" i="20"/>
  <c r="AA79" i="20"/>
  <c r="Z79" i="20"/>
  <c r="Y79" i="20"/>
  <c r="X79" i="20"/>
  <c r="W79" i="20"/>
  <c r="V79" i="20"/>
  <c r="T79" i="20"/>
  <c r="S79" i="20"/>
  <c r="R79" i="20"/>
  <c r="Q79" i="20"/>
  <c r="E79" i="20"/>
  <c r="D79" i="20"/>
  <c r="CG78" i="20"/>
  <c r="CE78" i="20"/>
  <c r="CC78" i="20"/>
  <c r="CB78" i="20"/>
  <c r="CA78" i="20"/>
  <c r="BZ78" i="20"/>
  <c r="BY78" i="20"/>
  <c r="BX78" i="20"/>
  <c r="BW78" i="20"/>
  <c r="BV78" i="20"/>
  <c r="BU78" i="20"/>
  <c r="BT78" i="20"/>
  <c r="BN78" i="20"/>
  <c r="BM78" i="20"/>
  <c r="BK78" i="20"/>
  <c r="BJ78" i="20"/>
  <c r="BI78" i="20"/>
  <c r="BG78" i="20"/>
  <c r="BF78" i="20"/>
  <c r="BE78" i="20"/>
  <c r="BD78" i="20"/>
  <c r="BC78" i="20"/>
  <c r="BB78" i="20"/>
  <c r="AZ78" i="20"/>
  <c r="AY78" i="20"/>
  <c r="AX78" i="20"/>
  <c r="AW78" i="20"/>
  <c r="AV78" i="20"/>
  <c r="AU78" i="20"/>
  <c r="AS78" i="20"/>
  <c r="AR78" i="20"/>
  <c r="AQ78" i="20"/>
  <c r="AP78" i="20"/>
  <c r="AO78" i="20"/>
  <c r="AN78" i="20"/>
  <c r="AL78" i="20"/>
  <c r="AK78" i="20"/>
  <c r="AJ78" i="20"/>
  <c r="AI78" i="20"/>
  <c r="AH78" i="20"/>
  <c r="AG78" i="20"/>
  <c r="AE78" i="20"/>
  <c r="AD78" i="20"/>
  <c r="AB78" i="20"/>
  <c r="AA78" i="20"/>
  <c r="Z78" i="20"/>
  <c r="Y78" i="20"/>
  <c r="X78" i="20"/>
  <c r="W78" i="20"/>
  <c r="V78" i="20"/>
  <c r="T78" i="20"/>
  <c r="S78" i="20"/>
  <c r="R78" i="20"/>
  <c r="Q78" i="20"/>
  <c r="E78" i="20"/>
  <c r="D78" i="20"/>
  <c r="CG77" i="20"/>
  <c r="CE77" i="20"/>
  <c r="CC77" i="20"/>
  <c r="CB77" i="20"/>
  <c r="CA77" i="20"/>
  <c r="BZ77" i="20"/>
  <c r="BY77" i="20"/>
  <c r="BX77" i="20"/>
  <c r="BW77" i="20"/>
  <c r="BV77" i="20"/>
  <c r="BU77" i="20"/>
  <c r="BT77" i="20"/>
  <c r="BN77" i="20"/>
  <c r="BM77" i="20"/>
  <c r="BK77" i="20"/>
  <c r="BJ77" i="20"/>
  <c r="BI77" i="20"/>
  <c r="BG77" i="20"/>
  <c r="BF77" i="20"/>
  <c r="BE77" i="20"/>
  <c r="BD77" i="20"/>
  <c r="BC77" i="20"/>
  <c r="BB77" i="20"/>
  <c r="AZ77" i="20"/>
  <c r="AY77" i="20"/>
  <c r="AX77" i="20"/>
  <c r="AW77" i="20"/>
  <c r="AV77" i="20"/>
  <c r="AU77" i="20"/>
  <c r="AS77" i="20"/>
  <c r="AR77" i="20"/>
  <c r="AQ77" i="20"/>
  <c r="AP77" i="20"/>
  <c r="AO77" i="20"/>
  <c r="AN77" i="20"/>
  <c r="AL77" i="20"/>
  <c r="AK77" i="20"/>
  <c r="AJ77" i="20"/>
  <c r="AI77" i="20"/>
  <c r="AH77" i="20"/>
  <c r="AG77" i="20"/>
  <c r="AE77" i="20"/>
  <c r="AD77" i="20"/>
  <c r="AB77" i="20"/>
  <c r="AA77" i="20"/>
  <c r="Z77" i="20"/>
  <c r="Y77" i="20"/>
  <c r="X77" i="20"/>
  <c r="W77" i="20"/>
  <c r="V77" i="20"/>
  <c r="T77" i="20"/>
  <c r="S77" i="20"/>
  <c r="R77" i="20"/>
  <c r="Q77" i="20"/>
  <c r="E77" i="20"/>
  <c r="D77" i="20"/>
  <c r="CG76" i="20"/>
  <c r="CE76" i="20"/>
  <c r="CC76" i="20"/>
  <c r="CB76" i="20"/>
  <c r="CA76" i="20"/>
  <c r="BZ76" i="20"/>
  <c r="BY76" i="20"/>
  <c r="BX76" i="20"/>
  <c r="BW76" i="20"/>
  <c r="BV76" i="20"/>
  <c r="BU76" i="20"/>
  <c r="BT76" i="20"/>
  <c r="BN76" i="20"/>
  <c r="BM76" i="20"/>
  <c r="BK76" i="20"/>
  <c r="BJ76" i="20"/>
  <c r="BI76" i="20"/>
  <c r="BG76" i="20"/>
  <c r="BF76" i="20"/>
  <c r="BE76" i="20"/>
  <c r="BD76" i="20"/>
  <c r="BC76" i="20"/>
  <c r="BB76" i="20"/>
  <c r="AZ76" i="20"/>
  <c r="AY76" i="20"/>
  <c r="AX76" i="20"/>
  <c r="AW76" i="20"/>
  <c r="AV76" i="20"/>
  <c r="AU76" i="20"/>
  <c r="AS76" i="20"/>
  <c r="AR76" i="20"/>
  <c r="AQ76" i="20"/>
  <c r="AP76" i="20"/>
  <c r="AO76" i="20"/>
  <c r="AN76" i="20"/>
  <c r="AL76" i="20"/>
  <c r="AK76" i="20"/>
  <c r="AJ76" i="20"/>
  <c r="AI76" i="20"/>
  <c r="AH76" i="20"/>
  <c r="AG76" i="20"/>
  <c r="AE76" i="20"/>
  <c r="AD76" i="20"/>
  <c r="AB76" i="20"/>
  <c r="AA76" i="20"/>
  <c r="Z76" i="20"/>
  <c r="Y76" i="20"/>
  <c r="X76" i="20"/>
  <c r="W76" i="20"/>
  <c r="V76" i="20"/>
  <c r="T76" i="20"/>
  <c r="S76" i="20"/>
  <c r="R76" i="20"/>
  <c r="Q76" i="20"/>
  <c r="E76" i="20"/>
  <c r="D76" i="20"/>
  <c r="CG75" i="20"/>
  <c r="CE75" i="20"/>
  <c r="CC75" i="20"/>
  <c r="CB75" i="20"/>
  <c r="CA75" i="20"/>
  <c r="BZ75" i="20"/>
  <c r="BY75" i="20"/>
  <c r="BX75" i="20"/>
  <c r="BW75" i="20"/>
  <c r="BV75" i="20"/>
  <c r="BU75" i="20"/>
  <c r="BT75" i="20"/>
  <c r="BN75" i="20"/>
  <c r="BM75" i="20"/>
  <c r="BK75" i="20"/>
  <c r="BJ75" i="20"/>
  <c r="BI75" i="20"/>
  <c r="BG75" i="20"/>
  <c r="BF75" i="20"/>
  <c r="BE75" i="20"/>
  <c r="BD75" i="20"/>
  <c r="BC75" i="20"/>
  <c r="BB75" i="20"/>
  <c r="AZ75" i="20"/>
  <c r="AY75" i="20"/>
  <c r="AX75" i="20"/>
  <c r="AW75" i="20"/>
  <c r="AV75" i="20"/>
  <c r="AU75" i="20"/>
  <c r="AS75" i="20"/>
  <c r="AR75" i="20"/>
  <c r="AQ75" i="20"/>
  <c r="AP75" i="20"/>
  <c r="AO75" i="20"/>
  <c r="AN75" i="20"/>
  <c r="AL75" i="20"/>
  <c r="AK75" i="20"/>
  <c r="AJ75" i="20"/>
  <c r="AI75" i="20"/>
  <c r="AH75" i="20"/>
  <c r="AG75" i="20"/>
  <c r="AE75" i="20"/>
  <c r="AD75" i="20"/>
  <c r="AB75" i="20"/>
  <c r="AA75" i="20"/>
  <c r="Z75" i="20"/>
  <c r="Y75" i="20"/>
  <c r="X75" i="20"/>
  <c r="W75" i="20"/>
  <c r="V75" i="20"/>
  <c r="T75" i="20"/>
  <c r="S75" i="20"/>
  <c r="R75" i="20"/>
  <c r="Q75" i="20"/>
  <c r="E75" i="20"/>
  <c r="D75" i="20"/>
  <c r="CG74" i="20"/>
  <c r="CE74" i="20"/>
  <c r="CC74" i="20"/>
  <c r="CB74" i="20"/>
  <c r="CA74" i="20"/>
  <c r="BZ74" i="20"/>
  <c r="BY74" i="20"/>
  <c r="BX74" i="20"/>
  <c r="BW74" i="20"/>
  <c r="BV74" i="20"/>
  <c r="BU74" i="20"/>
  <c r="BT74" i="20"/>
  <c r="BN74" i="20"/>
  <c r="BM74" i="20"/>
  <c r="BK74" i="20"/>
  <c r="BJ74" i="20"/>
  <c r="BI74" i="20"/>
  <c r="BG74" i="20"/>
  <c r="BF74" i="20"/>
  <c r="BE74" i="20"/>
  <c r="BD74" i="20"/>
  <c r="BC74" i="20"/>
  <c r="BB74" i="20"/>
  <c r="AZ74" i="20"/>
  <c r="AY74" i="20"/>
  <c r="AX74" i="20"/>
  <c r="AW74" i="20"/>
  <c r="AV74" i="20"/>
  <c r="AU74" i="20"/>
  <c r="AS74" i="20"/>
  <c r="AR74" i="20"/>
  <c r="AQ74" i="20"/>
  <c r="AP74" i="20"/>
  <c r="AO74" i="20"/>
  <c r="AN74" i="20"/>
  <c r="AL74" i="20"/>
  <c r="AK74" i="20"/>
  <c r="AJ74" i="20"/>
  <c r="AI74" i="20"/>
  <c r="AH74" i="20"/>
  <c r="AG74" i="20"/>
  <c r="AE74" i="20"/>
  <c r="AD74" i="20"/>
  <c r="AB74" i="20"/>
  <c r="AA74" i="20"/>
  <c r="Z74" i="20"/>
  <c r="Y74" i="20"/>
  <c r="X74" i="20"/>
  <c r="W74" i="20"/>
  <c r="V74" i="20"/>
  <c r="T74" i="20"/>
  <c r="S74" i="20"/>
  <c r="R74" i="20"/>
  <c r="Q74" i="20"/>
  <c r="E74" i="20"/>
  <c r="D74" i="20"/>
  <c r="CG73" i="20"/>
  <c r="CE73" i="20"/>
  <c r="CC73" i="20"/>
  <c r="CB73" i="20"/>
  <c r="CA73" i="20"/>
  <c r="BZ73" i="20"/>
  <c r="BY73" i="20"/>
  <c r="BX73" i="20"/>
  <c r="BW73" i="20"/>
  <c r="BV73" i="20"/>
  <c r="BU73" i="20"/>
  <c r="BT73" i="20"/>
  <c r="BN73" i="20"/>
  <c r="BM73" i="20"/>
  <c r="BK73" i="20"/>
  <c r="BJ73" i="20"/>
  <c r="BI73" i="20"/>
  <c r="BG73" i="20"/>
  <c r="BF73" i="20"/>
  <c r="BE73" i="20"/>
  <c r="BD73" i="20"/>
  <c r="BC73" i="20"/>
  <c r="BB73" i="20"/>
  <c r="AZ73" i="20"/>
  <c r="AY73" i="20"/>
  <c r="AX73" i="20"/>
  <c r="AW73" i="20"/>
  <c r="AV73" i="20"/>
  <c r="AU73" i="20"/>
  <c r="AS73" i="20"/>
  <c r="AR73" i="20"/>
  <c r="AQ73" i="20"/>
  <c r="AP73" i="20"/>
  <c r="AO73" i="20"/>
  <c r="AN73" i="20"/>
  <c r="AL73" i="20"/>
  <c r="AK73" i="20"/>
  <c r="AJ73" i="20"/>
  <c r="AI73" i="20"/>
  <c r="AH73" i="20"/>
  <c r="AG73" i="20"/>
  <c r="AE73" i="20"/>
  <c r="AD73" i="20"/>
  <c r="AB73" i="20"/>
  <c r="AA73" i="20"/>
  <c r="Z73" i="20"/>
  <c r="Y73" i="20"/>
  <c r="X73" i="20"/>
  <c r="W73" i="20"/>
  <c r="V73" i="20"/>
  <c r="T73" i="20"/>
  <c r="S73" i="20"/>
  <c r="R73" i="20"/>
  <c r="Q73" i="20"/>
  <c r="E73" i="20"/>
  <c r="D73" i="20"/>
  <c r="CG72" i="20"/>
  <c r="CE72" i="20"/>
  <c r="CC72" i="20"/>
  <c r="CB72" i="20"/>
  <c r="CA72" i="20"/>
  <c r="BZ72" i="20"/>
  <c r="BY72" i="20"/>
  <c r="BX72" i="20"/>
  <c r="BW72" i="20"/>
  <c r="BV72" i="20"/>
  <c r="BU72" i="20"/>
  <c r="BT72" i="20"/>
  <c r="BN72" i="20"/>
  <c r="BM72" i="20"/>
  <c r="BK72" i="20"/>
  <c r="BJ72" i="20"/>
  <c r="BI72" i="20"/>
  <c r="BG72" i="20"/>
  <c r="BF72" i="20"/>
  <c r="BE72" i="20"/>
  <c r="BD72" i="20"/>
  <c r="BC72" i="20"/>
  <c r="BB72" i="20"/>
  <c r="AZ72" i="20"/>
  <c r="AY72" i="20"/>
  <c r="AX72" i="20"/>
  <c r="AW72" i="20"/>
  <c r="AV72" i="20"/>
  <c r="AU72" i="20"/>
  <c r="AS72" i="20"/>
  <c r="AR72" i="20"/>
  <c r="AQ72" i="20"/>
  <c r="AP72" i="20"/>
  <c r="AO72" i="20"/>
  <c r="AN72" i="20"/>
  <c r="AL72" i="20"/>
  <c r="AK72" i="20"/>
  <c r="AJ72" i="20"/>
  <c r="AI72" i="20"/>
  <c r="AH72" i="20"/>
  <c r="AG72" i="20"/>
  <c r="AE72" i="20"/>
  <c r="AD72" i="20"/>
  <c r="AB72" i="20"/>
  <c r="AA72" i="20"/>
  <c r="Z72" i="20"/>
  <c r="Y72" i="20"/>
  <c r="X72" i="20"/>
  <c r="W72" i="20"/>
  <c r="V72" i="20"/>
  <c r="T72" i="20"/>
  <c r="S72" i="20"/>
  <c r="R72" i="20"/>
  <c r="Q72" i="20"/>
  <c r="E72" i="20"/>
  <c r="D72" i="20"/>
  <c r="CG71" i="20"/>
  <c r="CE71" i="20"/>
  <c r="CC71" i="20"/>
  <c r="CB71" i="20"/>
  <c r="CA71" i="20"/>
  <c r="BZ71" i="20"/>
  <c r="BY71" i="20"/>
  <c r="BX71" i="20"/>
  <c r="BW71" i="20"/>
  <c r="BV71" i="20"/>
  <c r="BU71" i="20"/>
  <c r="BT71" i="20"/>
  <c r="BN71" i="20"/>
  <c r="BM71" i="20"/>
  <c r="BK71" i="20"/>
  <c r="BJ71" i="20"/>
  <c r="BI71" i="20"/>
  <c r="BG71" i="20"/>
  <c r="BF71" i="20"/>
  <c r="BE71" i="20"/>
  <c r="BD71" i="20"/>
  <c r="BC71" i="20"/>
  <c r="BB71" i="20"/>
  <c r="AZ71" i="20"/>
  <c r="AY71" i="20"/>
  <c r="AX71" i="20"/>
  <c r="AW71" i="20"/>
  <c r="AV71" i="20"/>
  <c r="AU71" i="20"/>
  <c r="AS71" i="20"/>
  <c r="AR71" i="20"/>
  <c r="AQ71" i="20"/>
  <c r="AP71" i="20"/>
  <c r="AO71" i="20"/>
  <c r="AN71" i="20"/>
  <c r="AL71" i="20"/>
  <c r="AK71" i="20"/>
  <c r="AJ71" i="20"/>
  <c r="AI71" i="20"/>
  <c r="AH71" i="20"/>
  <c r="AG71" i="20"/>
  <c r="AE71" i="20"/>
  <c r="AD71" i="20"/>
  <c r="AB71" i="20"/>
  <c r="AA71" i="20"/>
  <c r="Z71" i="20"/>
  <c r="Y71" i="20"/>
  <c r="X71" i="20"/>
  <c r="W71" i="20"/>
  <c r="V71" i="20"/>
  <c r="T71" i="20"/>
  <c r="S71" i="20"/>
  <c r="R71" i="20"/>
  <c r="Q71" i="20"/>
  <c r="E71" i="20"/>
  <c r="D71" i="20"/>
  <c r="CG70" i="20"/>
  <c r="CE70" i="20"/>
  <c r="CC70" i="20"/>
  <c r="CB70" i="20"/>
  <c r="CA70" i="20"/>
  <c r="BZ70" i="20"/>
  <c r="BY70" i="20"/>
  <c r="BX70" i="20"/>
  <c r="BW70" i="20"/>
  <c r="BV70" i="20"/>
  <c r="BU70" i="20"/>
  <c r="BT70" i="20"/>
  <c r="BN70" i="20"/>
  <c r="BM70" i="20"/>
  <c r="BK70" i="20"/>
  <c r="BJ70" i="20"/>
  <c r="BI70" i="20"/>
  <c r="BG70" i="20"/>
  <c r="BF70" i="20"/>
  <c r="BE70" i="20"/>
  <c r="BD70" i="20"/>
  <c r="BC70" i="20"/>
  <c r="BB70" i="20"/>
  <c r="AZ70" i="20"/>
  <c r="AY70" i="20"/>
  <c r="AX70" i="20"/>
  <c r="AW70" i="20"/>
  <c r="AV70" i="20"/>
  <c r="AU70" i="20"/>
  <c r="AS70" i="20"/>
  <c r="AR70" i="20"/>
  <c r="AQ70" i="20"/>
  <c r="AP70" i="20"/>
  <c r="AO70" i="20"/>
  <c r="AN70" i="20"/>
  <c r="AL70" i="20"/>
  <c r="AK70" i="20"/>
  <c r="AJ70" i="20"/>
  <c r="AI70" i="20"/>
  <c r="AH70" i="20"/>
  <c r="AG70" i="20"/>
  <c r="AE70" i="20"/>
  <c r="AD70" i="20"/>
  <c r="AB70" i="20"/>
  <c r="AA70" i="20"/>
  <c r="Z70" i="20"/>
  <c r="Y70" i="20"/>
  <c r="X70" i="20"/>
  <c r="W70" i="20"/>
  <c r="V70" i="20"/>
  <c r="T70" i="20"/>
  <c r="S70" i="20"/>
  <c r="R70" i="20"/>
  <c r="Q70" i="20"/>
  <c r="E70" i="20"/>
  <c r="D70" i="20"/>
  <c r="CG69" i="20"/>
  <c r="CE69" i="20"/>
  <c r="CC69" i="20"/>
  <c r="CB69" i="20"/>
  <c r="CA69" i="20"/>
  <c r="BZ69" i="20"/>
  <c r="BY69" i="20"/>
  <c r="BX69" i="20"/>
  <c r="BW69" i="20"/>
  <c r="BV69" i="20"/>
  <c r="BU69" i="20"/>
  <c r="BT69" i="20"/>
  <c r="BN69" i="20"/>
  <c r="BM69" i="20"/>
  <c r="BK69" i="20"/>
  <c r="BJ69" i="20"/>
  <c r="BI69" i="20"/>
  <c r="BG69" i="20"/>
  <c r="BF69" i="20"/>
  <c r="BE69" i="20"/>
  <c r="BD69" i="20"/>
  <c r="BC69" i="20"/>
  <c r="BB69" i="20"/>
  <c r="AZ69" i="20"/>
  <c r="AY69" i="20"/>
  <c r="AX69" i="20"/>
  <c r="AW69" i="20"/>
  <c r="AV69" i="20"/>
  <c r="AU69" i="20"/>
  <c r="AS69" i="20"/>
  <c r="AR69" i="20"/>
  <c r="AQ69" i="20"/>
  <c r="AP69" i="20"/>
  <c r="AO69" i="20"/>
  <c r="AN69" i="20"/>
  <c r="AL69" i="20"/>
  <c r="AK69" i="20"/>
  <c r="AJ69" i="20"/>
  <c r="AI69" i="20"/>
  <c r="AH69" i="20"/>
  <c r="AG69" i="20"/>
  <c r="AE69" i="20"/>
  <c r="AD69" i="20"/>
  <c r="AB69" i="20"/>
  <c r="AA69" i="20"/>
  <c r="Z69" i="20"/>
  <c r="Y69" i="20"/>
  <c r="X69" i="20"/>
  <c r="W69" i="20"/>
  <c r="V69" i="20"/>
  <c r="T69" i="20"/>
  <c r="S69" i="20"/>
  <c r="R69" i="20"/>
  <c r="Q69" i="20"/>
  <c r="E69" i="20"/>
  <c r="D69" i="20"/>
  <c r="CG68" i="20"/>
  <c r="CE68" i="20"/>
  <c r="CC68" i="20"/>
  <c r="CB68" i="20"/>
  <c r="CA68" i="20"/>
  <c r="BZ68" i="20"/>
  <c r="BY68" i="20"/>
  <c r="BX68" i="20"/>
  <c r="BW68" i="20"/>
  <c r="BV68" i="20"/>
  <c r="BU68" i="20"/>
  <c r="BT68" i="20"/>
  <c r="BN68" i="20"/>
  <c r="BM68" i="20"/>
  <c r="BK68" i="20"/>
  <c r="BJ68" i="20"/>
  <c r="BI68" i="20"/>
  <c r="BG68" i="20"/>
  <c r="BF68" i="20"/>
  <c r="BE68" i="20"/>
  <c r="BD68" i="20"/>
  <c r="BC68" i="20"/>
  <c r="BB68" i="20"/>
  <c r="AZ68" i="20"/>
  <c r="AY68" i="20"/>
  <c r="AX68" i="20"/>
  <c r="AW68" i="20"/>
  <c r="AV68" i="20"/>
  <c r="AU68" i="20"/>
  <c r="AS68" i="20"/>
  <c r="AR68" i="20"/>
  <c r="AQ68" i="20"/>
  <c r="AP68" i="20"/>
  <c r="AO68" i="20"/>
  <c r="AN68" i="20"/>
  <c r="AL68" i="20"/>
  <c r="AK68" i="20"/>
  <c r="AJ68" i="20"/>
  <c r="AI68" i="20"/>
  <c r="AH68" i="20"/>
  <c r="AG68" i="20"/>
  <c r="AE68" i="20"/>
  <c r="AD68" i="20"/>
  <c r="AB68" i="20"/>
  <c r="AA68" i="20"/>
  <c r="Z68" i="20"/>
  <c r="Y68" i="20"/>
  <c r="X68" i="20"/>
  <c r="W68" i="20"/>
  <c r="V68" i="20"/>
  <c r="T68" i="20"/>
  <c r="S68" i="20"/>
  <c r="R68" i="20"/>
  <c r="Q68" i="20"/>
  <c r="E68" i="20"/>
  <c r="D68" i="20"/>
  <c r="CG67" i="20"/>
  <c r="CE67" i="20"/>
  <c r="CC67" i="20"/>
  <c r="CB67" i="20"/>
  <c r="CA67" i="20"/>
  <c r="BZ67" i="20"/>
  <c r="BY67" i="20"/>
  <c r="BX67" i="20"/>
  <c r="BW67" i="20"/>
  <c r="BV67" i="20"/>
  <c r="BU67" i="20"/>
  <c r="BT67" i="20"/>
  <c r="BN67" i="20"/>
  <c r="BM67" i="20"/>
  <c r="BK67" i="20"/>
  <c r="BJ67" i="20"/>
  <c r="BI67" i="20"/>
  <c r="BG67" i="20"/>
  <c r="BF67" i="20"/>
  <c r="BE67" i="20"/>
  <c r="BD67" i="20"/>
  <c r="BC67" i="20"/>
  <c r="BB67" i="20"/>
  <c r="AZ67" i="20"/>
  <c r="AY67" i="20"/>
  <c r="AX67" i="20"/>
  <c r="AW67" i="20"/>
  <c r="AV67" i="20"/>
  <c r="AU67" i="20"/>
  <c r="AS67" i="20"/>
  <c r="AR67" i="20"/>
  <c r="AQ67" i="20"/>
  <c r="AP67" i="20"/>
  <c r="AO67" i="20"/>
  <c r="AN67" i="20"/>
  <c r="AL67" i="20"/>
  <c r="AK67" i="20"/>
  <c r="AJ67" i="20"/>
  <c r="AI67" i="20"/>
  <c r="AH67" i="20"/>
  <c r="AG67" i="20"/>
  <c r="AE67" i="20"/>
  <c r="AD67" i="20"/>
  <c r="AB67" i="20"/>
  <c r="AA67" i="20"/>
  <c r="Z67" i="20"/>
  <c r="Y67" i="20"/>
  <c r="X67" i="20"/>
  <c r="W67" i="20"/>
  <c r="V67" i="20"/>
  <c r="T67" i="20"/>
  <c r="S67" i="20"/>
  <c r="R67" i="20"/>
  <c r="Q67" i="20"/>
  <c r="E67" i="20"/>
  <c r="D67" i="20"/>
  <c r="CG66" i="20"/>
  <c r="CE66" i="20"/>
  <c r="CC66" i="20"/>
  <c r="CB66" i="20"/>
  <c r="CA66" i="20"/>
  <c r="BZ66" i="20"/>
  <c r="BY66" i="20"/>
  <c r="BX66" i="20"/>
  <c r="BW66" i="20"/>
  <c r="BV66" i="20"/>
  <c r="BU66" i="20"/>
  <c r="BT66" i="20"/>
  <c r="BN66" i="20"/>
  <c r="BM66" i="20"/>
  <c r="BK66" i="20"/>
  <c r="BJ66" i="20"/>
  <c r="BI66" i="20"/>
  <c r="BG66" i="20"/>
  <c r="BF66" i="20"/>
  <c r="BE66" i="20"/>
  <c r="BD66" i="20"/>
  <c r="BC66" i="20"/>
  <c r="BB66" i="20"/>
  <c r="AZ66" i="20"/>
  <c r="AY66" i="20"/>
  <c r="AX66" i="20"/>
  <c r="AW66" i="20"/>
  <c r="AV66" i="20"/>
  <c r="AU66" i="20"/>
  <c r="AS66" i="20"/>
  <c r="AR66" i="20"/>
  <c r="AQ66" i="20"/>
  <c r="AP66" i="20"/>
  <c r="AO66" i="20"/>
  <c r="AN66" i="20"/>
  <c r="AL66" i="20"/>
  <c r="AK66" i="20"/>
  <c r="AJ66" i="20"/>
  <c r="AI66" i="20"/>
  <c r="AH66" i="20"/>
  <c r="AG66" i="20"/>
  <c r="AE66" i="20"/>
  <c r="AD66" i="20"/>
  <c r="AB66" i="20"/>
  <c r="AA66" i="20"/>
  <c r="Z66" i="20"/>
  <c r="Y66" i="20"/>
  <c r="X66" i="20"/>
  <c r="W66" i="20"/>
  <c r="V66" i="20"/>
  <c r="T66" i="20"/>
  <c r="S66" i="20"/>
  <c r="R66" i="20"/>
  <c r="Q66" i="20"/>
  <c r="E66" i="20"/>
  <c r="D66" i="20"/>
  <c r="CG65" i="20"/>
  <c r="CE65" i="20"/>
  <c r="CC65" i="20"/>
  <c r="CB65" i="20"/>
  <c r="CA65" i="20"/>
  <c r="BZ65" i="20"/>
  <c r="BY65" i="20"/>
  <c r="BX65" i="20"/>
  <c r="BW65" i="20"/>
  <c r="BV65" i="20"/>
  <c r="BU65" i="20"/>
  <c r="BT65" i="20"/>
  <c r="BN65" i="20"/>
  <c r="BM65" i="20"/>
  <c r="BK65" i="20"/>
  <c r="BJ65" i="20"/>
  <c r="BI65" i="20"/>
  <c r="BG65" i="20"/>
  <c r="BF65" i="20"/>
  <c r="BE65" i="20"/>
  <c r="BD65" i="20"/>
  <c r="BC65" i="20"/>
  <c r="BB65" i="20"/>
  <c r="AZ65" i="20"/>
  <c r="AY65" i="20"/>
  <c r="AX65" i="20"/>
  <c r="AW65" i="20"/>
  <c r="AV65" i="20"/>
  <c r="AU65" i="20"/>
  <c r="AS65" i="20"/>
  <c r="AR65" i="20"/>
  <c r="AQ65" i="20"/>
  <c r="AP65" i="20"/>
  <c r="AO65" i="20"/>
  <c r="AN65" i="20"/>
  <c r="AL65" i="20"/>
  <c r="AK65" i="20"/>
  <c r="AJ65" i="20"/>
  <c r="AI65" i="20"/>
  <c r="AH65" i="20"/>
  <c r="AG65" i="20"/>
  <c r="AE65" i="20"/>
  <c r="AD65" i="20"/>
  <c r="AB65" i="20"/>
  <c r="AA65" i="20"/>
  <c r="Z65" i="20"/>
  <c r="Y65" i="20"/>
  <c r="X65" i="20"/>
  <c r="W65" i="20"/>
  <c r="V65" i="20"/>
  <c r="T65" i="20"/>
  <c r="S65" i="20"/>
  <c r="R65" i="20"/>
  <c r="Q65" i="20"/>
  <c r="E65" i="20"/>
  <c r="D65" i="20"/>
  <c r="CG64" i="20"/>
  <c r="CE64" i="20"/>
  <c r="CC64" i="20"/>
  <c r="CB64" i="20"/>
  <c r="CA64" i="20"/>
  <c r="BZ64" i="20"/>
  <c r="BY64" i="20"/>
  <c r="BX64" i="20"/>
  <c r="BW64" i="20"/>
  <c r="BV64" i="20"/>
  <c r="BU64" i="20"/>
  <c r="BT64" i="20"/>
  <c r="BN64" i="20"/>
  <c r="BM64" i="20"/>
  <c r="BK64" i="20"/>
  <c r="BJ64" i="20"/>
  <c r="BI64" i="20"/>
  <c r="BG64" i="20"/>
  <c r="BF64" i="20"/>
  <c r="BE64" i="20"/>
  <c r="BD64" i="20"/>
  <c r="BC64" i="20"/>
  <c r="BB64" i="20"/>
  <c r="AZ64" i="20"/>
  <c r="AY64" i="20"/>
  <c r="AX64" i="20"/>
  <c r="AW64" i="20"/>
  <c r="AV64" i="20"/>
  <c r="AU64" i="20"/>
  <c r="AS64" i="20"/>
  <c r="AR64" i="20"/>
  <c r="AQ64" i="20"/>
  <c r="AP64" i="20"/>
  <c r="AO64" i="20"/>
  <c r="AN64" i="20"/>
  <c r="AL64" i="20"/>
  <c r="AK64" i="20"/>
  <c r="AJ64" i="20"/>
  <c r="AI64" i="20"/>
  <c r="AH64" i="20"/>
  <c r="AG64" i="20"/>
  <c r="AE64" i="20"/>
  <c r="AD64" i="20"/>
  <c r="AB64" i="20"/>
  <c r="AA64" i="20"/>
  <c r="Z64" i="20"/>
  <c r="Y64" i="20"/>
  <c r="X64" i="20"/>
  <c r="W64" i="20"/>
  <c r="V64" i="20"/>
  <c r="T64" i="20"/>
  <c r="S64" i="20"/>
  <c r="R64" i="20"/>
  <c r="Q64" i="20"/>
  <c r="E64" i="20"/>
  <c r="D64" i="20"/>
  <c r="CG63" i="20"/>
  <c r="CE63" i="20"/>
  <c r="CC63" i="20"/>
  <c r="CB63" i="20"/>
  <c r="CA63" i="20"/>
  <c r="BZ63" i="20"/>
  <c r="BY63" i="20"/>
  <c r="BX63" i="20"/>
  <c r="BW63" i="20"/>
  <c r="BV63" i="20"/>
  <c r="BU63" i="20"/>
  <c r="BT63" i="20"/>
  <c r="BN63" i="20"/>
  <c r="BM63" i="20"/>
  <c r="BK63" i="20"/>
  <c r="BJ63" i="20"/>
  <c r="BI63" i="20"/>
  <c r="BG63" i="20"/>
  <c r="BF63" i="20"/>
  <c r="BE63" i="20"/>
  <c r="BD63" i="20"/>
  <c r="BC63" i="20"/>
  <c r="BB63" i="20"/>
  <c r="AZ63" i="20"/>
  <c r="AY63" i="20"/>
  <c r="AX63" i="20"/>
  <c r="AW63" i="20"/>
  <c r="AV63" i="20"/>
  <c r="AU63" i="20"/>
  <c r="AS63" i="20"/>
  <c r="AR63" i="20"/>
  <c r="AQ63" i="20"/>
  <c r="AP63" i="20"/>
  <c r="AO63" i="20"/>
  <c r="AN63" i="20"/>
  <c r="AL63" i="20"/>
  <c r="AK63" i="20"/>
  <c r="AJ63" i="20"/>
  <c r="AI63" i="20"/>
  <c r="AH63" i="20"/>
  <c r="AG63" i="20"/>
  <c r="AE63" i="20"/>
  <c r="AD63" i="20"/>
  <c r="AB63" i="20"/>
  <c r="AA63" i="20"/>
  <c r="Z63" i="20"/>
  <c r="Y63" i="20"/>
  <c r="X63" i="20"/>
  <c r="W63" i="20"/>
  <c r="V63" i="20"/>
  <c r="T63" i="20"/>
  <c r="S63" i="20"/>
  <c r="R63" i="20"/>
  <c r="Q63" i="20"/>
  <c r="E63" i="20"/>
  <c r="D63" i="20"/>
  <c r="CG62" i="20"/>
  <c r="CE62" i="20"/>
  <c r="CC62" i="20"/>
  <c r="CB62" i="20"/>
  <c r="CA62" i="20"/>
  <c r="BZ62" i="20"/>
  <c r="BY62" i="20"/>
  <c r="BX62" i="20"/>
  <c r="BW62" i="20"/>
  <c r="BV62" i="20"/>
  <c r="BU62" i="20"/>
  <c r="BT62" i="20"/>
  <c r="BN62" i="20"/>
  <c r="BM62" i="20"/>
  <c r="BK62" i="20"/>
  <c r="BJ62" i="20"/>
  <c r="BI62" i="20"/>
  <c r="BG62" i="20"/>
  <c r="BF62" i="20"/>
  <c r="BE62" i="20"/>
  <c r="BD62" i="20"/>
  <c r="BC62" i="20"/>
  <c r="BB62" i="20"/>
  <c r="AZ62" i="20"/>
  <c r="AY62" i="20"/>
  <c r="AX62" i="20"/>
  <c r="AW62" i="20"/>
  <c r="AV62" i="20"/>
  <c r="AU62" i="20"/>
  <c r="AS62" i="20"/>
  <c r="AR62" i="20"/>
  <c r="AQ62" i="20"/>
  <c r="AP62" i="20"/>
  <c r="AO62" i="20"/>
  <c r="AN62" i="20"/>
  <c r="AL62" i="20"/>
  <c r="AK62" i="20"/>
  <c r="AJ62" i="20"/>
  <c r="AI62" i="20"/>
  <c r="AH62" i="20"/>
  <c r="AG62" i="20"/>
  <c r="AE62" i="20"/>
  <c r="AD62" i="20"/>
  <c r="AB62" i="20"/>
  <c r="AA62" i="20"/>
  <c r="Z62" i="20"/>
  <c r="Y62" i="20"/>
  <c r="X62" i="20"/>
  <c r="W62" i="20"/>
  <c r="V62" i="20"/>
  <c r="T62" i="20"/>
  <c r="S62" i="20"/>
  <c r="R62" i="20"/>
  <c r="Q62" i="20"/>
  <c r="E62" i="20"/>
  <c r="D62" i="20"/>
  <c r="CG61" i="20"/>
  <c r="CE61" i="20"/>
  <c r="CC61" i="20"/>
  <c r="CB61" i="20"/>
  <c r="CA61" i="20"/>
  <c r="BZ61" i="20"/>
  <c r="BY61" i="20"/>
  <c r="BX61" i="20"/>
  <c r="BW61" i="20"/>
  <c r="BV61" i="20"/>
  <c r="BU61" i="20"/>
  <c r="BT61" i="20"/>
  <c r="BN61" i="20"/>
  <c r="BM61" i="20"/>
  <c r="BK61" i="20"/>
  <c r="BJ61" i="20"/>
  <c r="BI61" i="20"/>
  <c r="BG61" i="20"/>
  <c r="BF61" i="20"/>
  <c r="BE61" i="20"/>
  <c r="BD61" i="20"/>
  <c r="BC61" i="20"/>
  <c r="BB61" i="20"/>
  <c r="AZ61" i="20"/>
  <c r="AY61" i="20"/>
  <c r="AX61" i="20"/>
  <c r="AW61" i="20"/>
  <c r="AV61" i="20"/>
  <c r="AU61" i="20"/>
  <c r="AS61" i="20"/>
  <c r="AR61" i="20"/>
  <c r="AQ61" i="20"/>
  <c r="AP61" i="20"/>
  <c r="AO61" i="20"/>
  <c r="AN61" i="20"/>
  <c r="AL61" i="20"/>
  <c r="AK61" i="20"/>
  <c r="AJ61" i="20"/>
  <c r="AI61" i="20"/>
  <c r="AH61" i="20"/>
  <c r="AG61" i="20"/>
  <c r="AE61" i="20"/>
  <c r="AD61" i="20"/>
  <c r="AB61" i="20"/>
  <c r="AA61" i="20"/>
  <c r="Z61" i="20"/>
  <c r="Y61" i="20"/>
  <c r="X61" i="20"/>
  <c r="W61" i="20"/>
  <c r="V61" i="20"/>
  <c r="T61" i="20"/>
  <c r="S61" i="20"/>
  <c r="R61" i="20"/>
  <c r="Q61" i="20"/>
  <c r="E61" i="20"/>
  <c r="D61" i="20"/>
  <c r="CG60" i="20"/>
  <c r="CE60" i="20"/>
  <c r="CC60" i="20"/>
  <c r="CB60" i="20"/>
  <c r="CA60" i="20"/>
  <c r="BZ60" i="20"/>
  <c r="BY60" i="20"/>
  <c r="BX60" i="20"/>
  <c r="BW60" i="20"/>
  <c r="BV60" i="20"/>
  <c r="BU60" i="20"/>
  <c r="BT60" i="20"/>
  <c r="BN60" i="20"/>
  <c r="BM60" i="20"/>
  <c r="BK60" i="20"/>
  <c r="BJ60" i="20"/>
  <c r="BI60" i="20"/>
  <c r="BG60" i="20"/>
  <c r="BF60" i="20"/>
  <c r="BE60" i="20"/>
  <c r="BD60" i="20"/>
  <c r="BC60" i="20"/>
  <c r="BB60" i="20"/>
  <c r="AZ60" i="20"/>
  <c r="AY60" i="20"/>
  <c r="AX60" i="20"/>
  <c r="AW60" i="20"/>
  <c r="AV60" i="20"/>
  <c r="AU60" i="20"/>
  <c r="AS60" i="20"/>
  <c r="AR60" i="20"/>
  <c r="AQ60" i="20"/>
  <c r="AP60" i="20"/>
  <c r="AO60" i="20"/>
  <c r="AN60" i="20"/>
  <c r="AL60" i="20"/>
  <c r="AK60" i="20"/>
  <c r="AJ60" i="20"/>
  <c r="AI60" i="20"/>
  <c r="AH60" i="20"/>
  <c r="AG60" i="20"/>
  <c r="AE60" i="20"/>
  <c r="AD60" i="20"/>
  <c r="AB60" i="20"/>
  <c r="AA60" i="20"/>
  <c r="Z60" i="20"/>
  <c r="Y60" i="20"/>
  <c r="X60" i="20"/>
  <c r="W60" i="20"/>
  <c r="V60" i="20"/>
  <c r="T60" i="20"/>
  <c r="S60" i="20"/>
  <c r="R60" i="20"/>
  <c r="Q60" i="20"/>
  <c r="E60" i="20"/>
  <c r="D60" i="20"/>
  <c r="CG59" i="20"/>
  <c r="CE59" i="20"/>
  <c r="CC59" i="20"/>
  <c r="CB59" i="20"/>
  <c r="CA59" i="20"/>
  <c r="BZ59" i="20"/>
  <c r="BY59" i="20"/>
  <c r="BX59" i="20"/>
  <c r="BW59" i="20"/>
  <c r="BV59" i="20"/>
  <c r="BU59" i="20"/>
  <c r="BT59" i="20"/>
  <c r="BN59" i="20"/>
  <c r="BM59" i="20"/>
  <c r="BK59" i="20"/>
  <c r="BJ59" i="20"/>
  <c r="BI59" i="20"/>
  <c r="BG59" i="20"/>
  <c r="BF59" i="20"/>
  <c r="BE59" i="20"/>
  <c r="BD59" i="20"/>
  <c r="BC59" i="20"/>
  <c r="BB59" i="20"/>
  <c r="AZ59" i="20"/>
  <c r="AY59" i="20"/>
  <c r="AX59" i="20"/>
  <c r="AW59" i="20"/>
  <c r="AV59" i="20"/>
  <c r="AU59" i="20"/>
  <c r="AS59" i="20"/>
  <c r="AR59" i="20"/>
  <c r="AQ59" i="20"/>
  <c r="AP59" i="20"/>
  <c r="AO59" i="20"/>
  <c r="AN59" i="20"/>
  <c r="AL59" i="20"/>
  <c r="AK59" i="20"/>
  <c r="AJ59" i="20"/>
  <c r="AI59" i="20"/>
  <c r="AH59" i="20"/>
  <c r="AG59" i="20"/>
  <c r="AE59" i="20"/>
  <c r="AD59" i="20"/>
  <c r="AB59" i="20"/>
  <c r="AA59" i="20"/>
  <c r="Z59" i="20"/>
  <c r="Y59" i="20"/>
  <c r="X59" i="20"/>
  <c r="W59" i="20"/>
  <c r="V59" i="20"/>
  <c r="T59" i="20"/>
  <c r="S59" i="20"/>
  <c r="R59" i="20"/>
  <c r="Q59" i="20"/>
  <c r="E59" i="20"/>
  <c r="D59" i="20"/>
  <c r="CG58" i="20"/>
  <c r="CE58" i="20"/>
  <c r="CC58" i="20"/>
  <c r="CB58" i="20"/>
  <c r="CA58" i="20"/>
  <c r="BZ58" i="20"/>
  <c r="BY58" i="20"/>
  <c r="BX58" i="20"/>
  <c r="BW58" i="20"/>
  <c r="BV58" i="20"/>
  <c r="BU58" i="20"/>
  <c r="BT58" i="20"/>
  <c r="BN58" i="20"/>
  <c r="BM58" i="20"/>
  <c r="BK58" i="20"/>
  <c r="BJ58" i="20"/>
  <c r="BI58" i="20"/>
  <c r="BG58" i="20"/>
  <c r="BF58" i="20"/>
  <c r="BE58" i="20"/>
  <c r="BD58" i="20"/>
  <c r="BC58" i="20"/>
  <c r="BB58" i="20"/>
  <c r="AZ58" i="20"/>
  <c r="AY58" i="20"/>
  <c r="AX58" i="20"/>
  <c r="AW58" i="20"/>
  <c r="AV58" i="20"/>
  <c r="AU58" i="20"/>
  <c r="AS58" i="20"/>
  <c r="AR58" i="20"/>
  <c r="AQ58" i="20"/>
  <c r="AP58" i="20"/>
  <c r="AO58" i="20"/>
  <c r="AN58" i="20"/>
  <c r="AL58" i="20"/>
  <c r="AK58" i="20"/>
  <c r="AJ58" i="20"/>
  <c r="AI58" i="20"/>
  <c r="AH58" i="20"/>
  <c r="AG58" i="20"/>
  <c r="AE58" i="20"/>
  <c r="AD58" i="20"/>
  <c r="AB58" i="20"/>
  <c r="AA58" i="20"/>
  <c r="Z58" i="20"/>
  <c r="Y58" i="20"/>
  <c r="X58" i="20"/>
  <c r="W58" i="20"/>
  <c r="V58" i="20"/>
  <c r="T58" i="20"/>
  <c r="S58" i="20"/>
  <c r="R58" i="20"/>
  <c r="Q58" i="20"/>
  <c r="E58" i="20"/>
  <c r="D58" i="20"/>
  <c r="CG57" i="20"/>
  <c r="CE57" i="20"/>
  <c r="CC57" i="20"/>
  <c r="CB57" i="20"/>
  <c r="CA57" i="20"/>
  <c r="BZ57" i="20"/>
  <c r="BY57" i="20"/>
  <c r="BX57" i="20"/>
  <c r="BW57" i="20"/>
  <c r="BV57" i="20"/>
  <c r="BU57" i="20"/>
  <c r="BT57" i="20"/>
  <c r="BN57" i="20"/>
  <c r="BM57" i="20"/>
  <c r="BK57" i="20"/>
  <c r="BJ57" i="20"/>
  <c r="BI57" i="20"/>
  <c r="BG57" i="20"/>
  <c r="BF57" i="20"/>
  <c r="BE57" i="20"/>
  <c r="BD57" i="20"/>
  <c r="BC57" i="20"/>
  <c r="BB57" i="20"/>
  <c r="AZ57" i="20"/>
  <c r="AY57" i="20"/>
  <c r="AX57" i="20"/>
  <c r="AW57" i="20"/>
  <c r="AV57" i="20"/>
  <c r="AU57" i="20"/>
  <c r="AS57" i="20"/>
  <c r="AR57" i="20"/>
  <c r="AQ57" i="20"/>
  <c r="AP57" i="20"/>
  <c r="AO57" i="20"/>
  <c r="AN57" i="20"/>
  <c r="AL57" i="20"/>
  <c r="AK57" i="20"/>
  <c r="AJ57" i="20"/>
  <c r="AI57" i="20"/>
  <c r="AH57" i="20"/>
  <c r="AG57" i="20"/>
  <c r="AE57" i="20"/>
  <c r="AD57" i="20"/>
  <c r="AB57" i="20"/>
  <c r="AA57" i="20"/>
  <c r="Z57" i="20"/>
  <c r="Y57" i="20"/>
  <c r="X57" i="20"/>
  <c r="W57" i="20"/>
  <c r="V57" i="20"/>
  <c r="T57" i="20"/>
  <c r="S57" i="20"/>
  <c r="R57" i="20"/>
  <c r="Q57" i="20"/>
  <c r="E57" i="20"/>
  <c r="D57" i="20"/>
  <c r="CG56" i="20"/>
  <c r="CE56" i="20"/>
  <c r="CC56" i="20"/>
  <c r="CB56" i="20"/>
  <c r="CA56" i="20"/>
  <c r="BZ56" i="20"/>
  <c r="BY56" i="20"/>
  <c r="BX56" i="20"/>
  <c r="BW56" i="20"/>
  <c r="BV56" i="20"/>
  <c r="BU56" i="20"/>
  <c r="BT56" i="20"/>
  <c r="BN56" i="20"/>
  <c r="BM56" i="20"/>
  <c r="BK56" i="20"/>
  <c r="BJ56" i="20"/>
  <c r="BI56" i="20"/>
  <c r="BG56" i="20"/>
  <c r="BF56" i="20"/>
  <c r="BE56" i="20"/>
  <c r="BD56" i="20"/>
  <c r="BC56" i="20"/>
  <c r="BB56" i="20"/>
  <c r="AZ56" i="20"/>
  <c r="AY56" i="20"/>
  <c r="AX56" i="20"/>
  <c r="AW56" i="20"/>
  <c r="AV56" i="20"/>
  <c r="AU56" i="20"/>
  <c r="AS56" i="20"/>
  <c r="AR56" i="20"/>
  <c r="AQ56" i="20"/>
  <c r="AP56" i="20"/>
  <c r="AO56" i="20"/>
  <c r="AN56" i="20"/>
  <c r="AL56" i="20"/>
  <c r="AK56" i="20"/>
  <c r="AJ56" i="20"/>
  <c r="AI56" i="20"/>
  <c r="AH56" i="20"/>
  <c r="AG56" i="20"/>
  <c r="AE56" i="20"/>
  <c r="AD56" i="20"/>
  <c r="AB56" i="20"/>
  <c r="AA56" i="20"/>
  <c r="Z56" i="20"/>
  <c r="Y56" i="20"/>
  <c r="X56" i="20"/>
  <c r="W56" i="20"/>
  <c r="V56" i="20"/>
  <c r="T56" i="20"/>
  <c r="S56" i="20"/>
  <c r="R56" i="20"/>
  <c r="Q56" i="20"/>
  <c r="E56" i="20"/>
  <c r="D56" i="20"/>
  <c r="CG55" i="20"/>
  <c r="CE55" i="20"/>
  <c r="CC55" i="20"/>
  <c r="CB55" i="20"/>
  <c r="CA55" i="20"/>
  <c r="BZ55" i="20"/>
  <c r="BY55" i="20"/>
  <c r="BX55" i="20"/>
  <c r="BW55" i="20"/>
  <c r="BV55" i="20"/>
  <c r="BU55" i="20"/>
  <c r="BT55" i="20"/>
  <c r="BN55" i="20"/>
  <c r="BM55" i="20"/>
  <c r="BK55" i="20"/>
  <c r="BJ55" i="20"/>
  <c r="BI55" i="20"/>
  <c r="BG55" i="20"/>
  <c r="BF55" i="20"/>
  <c r="BE55" i="20"/>
  <c r="BD55" i="20"/>
  <c r="BC55" i="20"/>
  <c r="BB55" i="20"/>
  <c r="AZ55" i="20"/>
  <c r="AY55" i="20"/>
  <c r="AX55" i="20"/>
  <c r="AW55" i="20"/>
  <c r="AV55" i="20"/>
  <c r="AU55" i="20"/>
  <c r="AS55" i="20"/>
  <c r="AR55" i="20"/>
  <c r="AQ55" i="20"/>
  <c r="AP55" i="20"/>
  <c r="AO55" i="20"/>
  <c r="AN55" i="20"/>
  <c r="AL55" i="20"/>
  <c r="AK55" i="20"/>
  <c r="AJ55" i="20"/>
  <c r="AI55" i="20"/>
  <c r="AH55" i="20"/>
  <c r="AG55" i="20"/>
  <c r="AE55" i="20"/>
  <c r="AD55" i="20"/>
  <c r="AB55" i="20"/>
  <c r="AA55" i="20"/>
  <c r="Z55" i="20"/>
  <c r="Y55" i="20"/>
  <c r="X55" i="20"/>
  <c r="W55" i="20"/>
  <c r="V55" i="20"/>
  <c r="T55" i="20"/>
  <c r="S55" i="20"/>
  <c r="R55" i="20"/>
  <c r="Q55" i="20"/>
  <c r="E55" i="20"/>
  <c r="D55" i="20"/>
  <c r="CG54" i="20"/>
  <c r="CE54" i="20"/>
  <c r="CC54" i="20"/>
  <c r="CB54" i="20"/>
  <c r="CA54" i="20"/>
  <c r="BZ54" i="20"/>
  <c r="BY54" i="20"/>
  <c r="BX54" i="20"/>
  <c r="BW54" i="20"/>
  <c r="BV54" i="20"/>
  <c r="BU54" i="20"/>
  <c r="BT54" i="20"/>
  <c r="BN54" i="20"/>
  <c r="BM54" i="20"/>
  <c r="BK54" i="20"/>
  <c r="BJ54" i="20"/>
  <c r="BI54" i="20"/>
  <c r="BG54" i="20"/>
  <c r="BF54" i="20"/>
  <c r="BE54" i="20"/>
  <c r="BD54" i="20"/>
  <c r="BC54" i="20"/>
  <c r="BB54" i="20"/>
  <c r="AZ54" i="20"/>
  <c r="AY54" i="20"/>
  <c r="AX54" i="20"/>
  <c r="AW54" i="20"/>
  <c r="AV54" i="20"/>
  <c r="AU54" i="20"/>
  <c r="AS54" i="20"/>
  <c r="AR54" i="20"/>
  <c r="AQ54" i="20"/>
  <c r="AP54" i="20"/>
  <c r="AO54" i="20"/>
  <c r="AN54" i="20"/>
  <c r="AL54" i="20"/>
  <c r="AK54" i="20"/>
  <c r="AJ54" i="20"/>
  <c r="AI54" i="20"/>
  <c r="AH54" i="20"/>
  <c r="AG54" i="20"/>
  <c r="AE54" i="20"/>
  <c r="AD54" i="20"/>
  <c r="AB54" i="20"/>
  <c r="AA54" i="20"/>
  <c r="Z54" i="20"/>
  <c r="Y54" i="20"/>
  <c r="X54" i="20"/>
  <c r="W54" i="20"/>
  <c r="V54" i="20"/>
  <c r="T54" i="20"/>
  <c r="S54" i="20"/>
  <c r="R54" i="20"/>
  <c r="Q54" i="20"/>
  <c r="E54" i="20"/>
  <c r="D54" i="20"/>
  <c r="CG53" i="20"/>
  <c r="CE53" i="20"/>
  <c r="CC53" i="20"/>
  <c r="CB53" i="20"/>
  <c r="CA53" i="20"/>
  <c r="BZ53" i="20"/>
  <c r="BY53" i="20"/>
  <c r="BX53" i="20"/>
  <c r="BW53" i="20"/>
  <c r="BV53" i="20"/>
  <c r="BU53" i="20"/>
  <c r="BT53" i="20"/>
  <c r="BN53" i="20"/>
  <c r="BM53" i="20"/>
  <c r="BK53" i="20"/>
  <c r="BJ53" i="20"/>
  <c r="BI53" i="20"/>
  <c r="BG53" i="20"/>
  <c r="BF53" i="20"/>
  <c r="BE53" i="20"/>
  <c r="BD53" i="20"/>
  <c r="BC53" i="20"/>
  <c r="BB53" i="20"/>
  <c r="AZ53" i="20"/>
  <c r="AY53" i="20"/>
  <c r="AX53" i="20"/>
  <c r="AW53" i="20"/>
  <c r="AV53" i="20"/>
  <c r="AU53" i="20"/>
  <c r="AS53" i="20"/>
  <c r="AR53" i="20"/>
  <c r="AQ53" i="20"/>
  <c r="AP53" i="20"/>
  <c r="AO53" i="20"/>
  <c r="AN53" i="20"/>
  <c r="AL53" i="20"/>
  <c r="AK53" i="20"/>
  <c r="AJ53" i="20"/>
  <c r="AI53" i="20"/>
  <c r="AH53" i="20"/>
  <c r="AG53" i="20"/>
  <c r="AE53" i="20"/>
  <c r="AD53" i="20"/>
  <c r="AB53" i="20"/>
  <c r="AA53" i="20"/>
  <c r="Z53" i="20"/>
  <c r="Y53" i="20"/>
  <c r="X53" i="20"/>
  <c r="W53" i="20"/>
  <c r="V53" i="20"/>
  <c r="T53" i="20"/>
  <c r="S53" i="20"/>
  <c r="R53" i="20"/>
  <c r="Q53" i="20"/>
  <c r="E53" i="20"/>
  <c r="D53" i="20"/>
  <c r="CG52" i="20"/>
  <c r="CE52" i="20"/>
  <c r="CC52" i="20"/>
  <c r="CB52" i="20"/>
  <c r="CA52" i="20"/>
  <c r="BZ52" i="20"/>
  <c r="BY52" i="20"/>
  <c r="BX52" i="20"/>
  <c r="BW52" i="20"/>
  <c r="BV52" i="20"/>
  <c r="BU52" i="20"/>
  <c r="BT52" i="20"/>
  <c r="BN52" i="20"/>
  <c r="BM52" i="20"/>
  <c r="BK52" i="20"/>
  <c r="BJ52" i="20"/>
  <c r="BI52" i="20"/>
  <c r="BG52" i="20"/>
  <c r="BF52" i="20"/>
  <c r="BE52" i="20"/>
  <c r="BD52" i="20"/>
  <c r="BC52" i="20"/>
  <c r="BB52" i="20"/>
  <c r="AZ52" i="20"/>
  <c r="AY52" i="20"/>
  <c r="AX52" i="20"/>
  <c r="AW52" i="20"/>
  <c r="AV52" i="20"/>
  <c r="AU52" i="20"/>
  <c r="AS52" i="20"/>
  <c r="AR52" i="20"/>
  <c r="AQ52" i="20"/>
  <c r="AP52" i="20"/>
  <c r="AO52" i="20"/>
  <c r="AN52" i="20"/>
  <c r="AL52" i="20"/>
  <c r="AK52" i="20"/>
  <c r="AJ52" i="20"/>
  <c r="AI52" i="20"/>
  <c r="AH52" i="20"/>
  <c r="AG52" i="20"/>
  <c r="AE52" i="20"/>
  <c r="AD52" i="20"/>
  <c r="AB52" i="20"/>
  <c r="AA52" i="20"/>
  <c r="Z52" i="20"/>
  <c r="Y52" i="20"/>
  <c r="X52" i="20"/>
  <c r="W52" i="20"/>
  <c r="V52" i="20"/>
  <c r="T52" i="20"/>
  <c r="S52" i="20"/>
  <c r="R52" i="20"/>
  <c r="Q52" i="20"/>
  <c r="E52" i="20"/>
  <c r="D52" i="20"/>
  <c r="CG51" i="20"/>
  <c r="CE51" i="20"/>
  <c r="CC51" i="20"/>
  <c r="CB51" i="20"/>
  <c r="CA51" i="20"/>
  <c r="BZ51" i="20"/>
  <c r="BY51" i="20"/>
  <c r="BX51" i="20"/>
  <c r="BW51" i="20"/>
  <c r="BV51" i="20"/>
  <c r="BU51" i="20"/>
  <c r="BT51" i="20"/>
  <c r="BN51" i="20"/>
  <c r="BM51" i="20"/>
  <c r="BK51" i="20"/>
  <c r="BJ51" i="20"/>
  <c r="BI51" i="20"/>
  <c r="BG51" i="20"/>
  <c r="BF51" i="20"/>
  <c r="BE51" i="20"/>
  <c r="BD51" i="20"/>
  <c r="BC51" i="20"/>
  <c r="BB51" i="20"/>
  <c r="AZ51" i="20"/>
  <c r="AY51" i="20"/>
  <c r="AX51" i="20"/>
  <c r="AW51" i="20"/>
  <c r="AV51" i="20"/>
  <c r="AU51" i="20"/>
  <c r="AS51" i="20"/>
  <c r="AR51" i="20"/>
  <c r="AQ51" i="20"/>
  <c r="AP51" i="20"/>
  <c r="AO51" i="20"/>
  <c r="AN51" i="20"/>
  <c r="AL51" i="20"/>
  <c r="AK51" i="20"/>
  <c r="AJ51" i="20"/>
  <c r="AI51" i="20"/>
  <c r="AH51" i="20"/>
  <c r="AG51" i="20"/>
  <c r="AE51" i="20"/>
  <c r="AD51" i="20"/>
  <c r="AB51" i="20"/>
  <c r="AA51" i="20"/>
  <c r="Z51" i="20"/>
  <c r="Y51" i="20"/>
  <c r="X51" i="20"/>
  <c r="W51" i="20"/>
  <c r="V51" i="20"/>
  <c r="T51" i="20"/>
  <c r="S51" i="20"/>
  <c r="R51" i="20"/>
  <c r="Q51" i="20"/>
  <c r="E51" i="20"/>
  <c r="D51" i="20"/>
  <c r="CG50" i="20"/>
  <c r="CE50" i="20"/>
  <c r="CC50" i="20"/>
  <c r="CB50" i="20"/>
  <c r="CA50" i="20"/>
  <c r="BZ50" i="20"/>
  <c r="BY50" i="20"/>
  <c r="BX50" i="20"/>
  <c r="BW50" i="20"/>
  <c r="BV50" i="20"/>
  <c r="BU50" i="20"/>
  <c r="BT50" i="20"/>
  <c r="BN50" i="20"/>
  <c r="BM50" i="20"/>
  <c r="BK50" i="20"/>
  <c r="BJ50" i="20"/>
  <c r="BI50" i="20"/>
  <c r="BG50" i="20"/>
  <c r="BF50" i="20"/>
  <c r="BE50" i="20"/>
  <c r="BD50" i="20"/>
  <c r="BC50" i="20"/>
  <c r="BB50" i="20"/>
  <c r="AZ50" i="20"/>
  <c r="AY50" i="20"/>
  <c r="AX50" i="20"/>
  <c r="AW50" i="20"/>
  <c r="AV50" i="20"/>
  <c r="AU50" i="20"/>
  <c r="AS50" i="20"/>
  <c r="AR50" i="20"/>
  <c r="AQ50" i="20"/>
  <c r="AP50" i="20"/>
  <c r="AO50" i="20"/>
  <c r="AN50" i="20"/>
  <c r="AL50" i="20"/>
  <c r="AK50" i="20"/>
  <c r="AJ50" i="20"/>
  <c r="AI50" i="20"/>
  <c r="AH50" i="20"/>
  <c r="AG50" i="20"/>
  <c r="AE50" i="20"/>
  <c r="AD50" i="20"/>
  <c r="AB50" i="20"/>
  <c r="AA50" i="20"/>
  <c r="Z50" i="20"/>
  <c r="Y50" i="20"/>
  <c r="X50" i="20"/>
  <c r="W50" i="20"/>
  <c r="V50" i="20"/>
  <c r="T50" i="20"/>
  <c r="S50" i="20"/>
  <c r="R50" i="20"/>
  <c r="Q50" i="20"/>
  <c r="E50" i="20"/>
  <c r="D50" i="20"/>
  <c r="CG49" i="20"/>
  <c r="CE49" i="20"/>
  <c r="CC49" i="20"/>
  <c r="CB49" i="20"/>
  <c r="CA49" i="20"/>
  <c r="BZ49" i="20"/>
  <c r="BY49" i="20"/>
  <c r="BX49" i="20"/>
  <c r="BW49" i="20"/>
  <c r="BV49" i="20"/>
  <c r="BU49" i="20"/>
  <c r="BT49" i="20"/>
  <c r="BN49" i="20"/>
  <c r="BM49" i="20"/>
  <c r="BK49" i="20"/>
  <c r="BJ49" i="20"/>
  <c r="BI49" i="20"/>
  <c r="BG49" i="20"/>
  <c r="BF49" i="20"/>
  <c r="BE49" i="20"/>
  <c r="BD49" i="20"/>
  <c r="BC49" i="20"/>
  <c r="BB49" i="20"/>
  <c r="AZ49" i="20"/>
  <c r="AY49" i="20"/>
  <c r="AX49" i="20"/>
  <c r="AW49" i="20"/>
  <c r="AV49" i="20"/>
  <c r="AU49" i="20"/>
  <c r="AS49" i="20"/>
  <c r="AR49" i="20"/>
  <c r="AQ49" i="20"/>
  <c r="AP49" i="20"/>
  <c r="AO49" i="20"/>
  <c r="AN49" i="20"/>
  <c r="AL49" i="20"/>
  <c r="AK49" i="20"/>
  <c r="AJ49" i="20"/>
  <c r="AI49" i="20"/>
  <c r="AH49" i="20"/>
  <c r="AG49" i="20"/>
  <c r="AE49" i="20"/>
  <c r="AD49" i="20"/>
  <c r="AB49" i="20"/>
  <c r="AA49" i="20"/>
  <c r="Z49" i="20"/>
  <c r="Y49" i="20"/>
  <c r="X49" i="20"/>
  <c r="W49" i="20"/>
  <c r="V49" i="20"/>
  <c r="T49" i="20"/>
  <c r="S49" i="20"/>
  <c r="R49" i="20"/>
  <c r="Q49" i="20"/>
  <c r="E49" i="20"/>
  <c r="D49" i="20"/>
  <c r="CG48" i="20"/>
  <c r="CE48" i="20"/>
  <c r="CC48" i="20"/>
  <c r="CB48" i="20"/>
  <c r="CA48" i="20"/>
  <c r="BZ48" i="20"/>
  <c r="BY48" i="20"/>
  <c r="BX48" i="20"/>
  <c r="BW48" i="20"/>
  <c r="BV48" i="20"/>
  <c r="BU48" i="20"/>
  <c r="BT48" i="20"/>
  <c r="BN48" i="20"/>
  <c r="BM48" i="20"/>
  <c r="BK48" i="20"/>
  <c r="BJ48" i="20"/>
  <c r="BI48" i="20"/>
  <c r="BG48" i="20"/>
  <c r="BF48" i="20"/>
  <c r="BE48" i="20"/>
  <c r="BD48" i="20"/>
  <c r="BC48" i="20"/>
  <c r="BB48" i="20"/>
  <c r="AZ48" i="20"/>
  <c r="AY48" i="20"/>
  <c r="AX48" i="20"/>
  <c r="AW48" i="20"/>
  <c r="AV48" i="20"/>
  <c r="AU48" i="20"/>
  <c r="AS48" i="20"/>
  <c r="AR48" i="20"/>
  <c r="AQ48" i="20"/>
  <c r="AP48" i="20"/>
  <c r="AO48" i="20"/>
  <c r="AN48" i="20"/>
  <c r="AL48" i="20"/>
  <c r="AK48" i="20"/>
  <c r="AJ48" i="20"/>
  <c r="AI48" i="20"/>
  <c r="AH48" i="20"/>
  <c r="AG48" i="20"/>
  <c r="AE48" i="20"/>
  <c r="AD48" i="20"/>
  <c r="AB48" i="20"/>
  <c r="AA48" i="20"/>
  <c r="Z48" i="20"/>
  <c r="Y48" i="20"/>
  <c r="X48" i="20"/>
  <c r="W48" i="20"/>
  <c r="V48" i="20"/>
  <c r="T48" i="20"/>
  <c r="S48" i="20"/>
  <c r="R48" i="20"/>
  <c r="Q48" i="20"/>
  <c r="E48" i="20"/>
  <c r="D48" i="20"/>
  <c r="CG47" i="20"/>
  <c r="CE47" i="20"/>
  <c r="CC47" i="20"/>
  <c r="CB47" i="20"/>
  <c r="CA47" i="20"/>
  <c r="BZ47" i="20"/>
  <c r="BY47" i="20"/>
  <c r="BX47" i="20"/>
  <c r="BW47" i="20"/>
  <c r="BV47" i="20"/>
  <c r="BU47" i="20"/>
  <c r="BT47" i="20"/>
  <c r="BN47" i="20"/>
  <c r="BM47" i="20"/>
  <c r="BK47" i="20"/>
  <c r="BJ47" i="20"/>
  <c r="BI47" i="20"/>
  <c r="BG47" i="20"/>
  <c r="BF47" i="20"/>
  <c r="BE47" i="20"/>
  <c r="BD47" i="20"/>
  <c r="BC47" i="20"/>
  <c r="BB47" i="20"/>
  <c r="AZ47" i="20"/>
  <c r="AY47" i="20"/>
  <c r="AX47" i="20"/>
  <c r="AW47" i="20"/>
  <c r="AV47" i="20"/>
  <c r="AU47" i="20"/>
  <c r="AS47" i="20"/>
  <c r="AR47" i="20"/>
  <c r="AQ47" i="20"/>
  <c r="AP47" i="20"/>
  <c r="AO47" i="20"/>
  <c r="AN47" i="20"/>
  <c r="AL47" i="20"/>
  <c r="AK47" i="20"/>
  <c r="AJ47" i="20"/>
  <c r="AI47" i="20"/>
  <c r="AH47" i="20"/>
  <c r="AG47" i="20"/>
  <c r="AE47" i="20"/>
  <c r="AD47" i="20"/>
  <c r="AB47" i="20"/>
  <c r="AA47" i="20"/>
  <c r="Z47" i="20"/>
  <c r="Y47" i="20"/>
  <c r="X47" i="20"/>
  <c r="W47" i="20"/>
  <c r="V47" i="20"/>
  <c r="T47" i="20"/>
  <c r="S47" i="20"/>
  <c r="R47" i="20"/>
  <c r="Q47" i="20"/>
  <c r="E47" i="20"/>
  <c r="D47" i="20"/>
  <c r="CG46" i="20"/>
  <c r="CE46" i="20"/>
  <c r="CC46" i="20"/>
  <c r="CB46" i="20"/>
  <c r="CA46" i="20"/>
  <c r="BZ46" i="20"/>
  <c r="BY46" i="20"/>
  <c r="BX46" i="20"/>
  <c r="BW46" i="20"/>
  <c r="BV46" i="20"/>
  <c r="BU46" i="20"/>
  <c r="BT46" i="20"/>
  <c r="BN46" i="20"/>
  <c r="BM46" i="20"/>
  <c r="BK46" i="20"/>
  <c r="BJ46" i="20"/>
  <c r="BI46" i="20"/>
  <c r="BG46" i="20"/>
  <c r="BF46" i="20"/>
  <c r="BE46" i="20"/>
  <c r="BD46" i="20"/>
  <c r="BC46" i="20"/>
  <c r="BB46" i="20"/>
  <c r="AZ46" i="20"/>
  <c r="AY46" i="20"/>
  <c r="AX46" i="20"/>
  <c r="AW46" i="20"/>
  <c r="AV46" i="20"/>
  <c r="AU46" i="20"/>
  <c r="AS46" i="20"/>
  <c r="AR46" i="20"/>
  <c r="AQ46" i="20"/>
  <c r="AP46" i="20"/>
  <c r="AO46" i="20"/>
  <c r="AN46" i="20"/>
  <c r="AL46" i="20"/>
  <c r="AK46" i="20"/>
  <c r="AJ46" i="20"/>
  <c r="AI46" i="20"/>
  <c r="AH46" i="20"/>
  <c r="AG46" i="20"/>
  <c r="AE46" i="20"/>
  <c r="AD46" i="20"/>
  <c r="AB46" i="20"/>
  <c r="AA46" i="20"/>
  <c r="Z46" i="20"/>
  <c r="Y46" i="20"/>
  <c r="X46" i="20"/>
  <c r="W46" i="20"/>
  <c r="V46" i="20"/>
  <c r="T46" i="20"/>
  <c r="S46" i="20"/>
  <c r="R46" i="20"/>
  <c r="Q46" i="20"/>
  <c r="E46" i="20"/>
  <c r="D46" i="20"/>
  <c r="CG45" i="20"/>
  <c r="CE45" i="20"/>
  <c r="CC45" i="20"/>
  <c r="CB45" i="20"/>
  <c r="CA45" i="20"/>
  <c r="BZ45" i="20"/>
  <c r="BY45" i="20"/>
  <c r="BX45" i="20"/>
  <c r="BW45" i="20"/>
  <c r="BV45" i="20"/>
  <c r="BU45" i="20"/>
  <c r="BT45" i="20"/>
  <c r="BN45" i="20"/>
  <c r="BM45" i="20"/>
  <c r="BK45" i="20"/>
  <c r="BJ45" i="20"/>
  <c r="BI45" i="20"/>
  <c r="BG45" i="20"/>
  <c r="BF45" i="20"/>
  <c r="BE45" i="20"/>
  <c r="BD45" i="20"/>
  <c r="BC45" i="20"/>
  <c r="BB45" i="20"/>
  <c r="AZ45" i="20"/>
  <c r="AY45" i="20"/>
  <c r="AX45" i="20"/>
  <c r="AW45" i="20"/>
  <c r="AV45" i="20"/>
  <c r="AU45" i="20"/>
  <c r="AS45" i="20"/>
  <c r="AR45" i="20"/>
  <c r="AQ45" i="20"/>
  <c r="AP45" i="20"/>
  <c r="AO45" i="20"/>
  <c r="AN45" i="20"/>
  <c r="AL45" i="20"/>
  <c r="AK45" i="20"/>
  <c r="AJ45" i="20"/>
  <c r="AI45" i="20"/>
  <c r="AH45" i="20"/>
  <c r="AG45" i="20"/>
  <c r="AE45" i="20"/>
  <c r="AD45" i="20"/>
  <c r="AB45" i="20"/>
  <c r="AA45" i="20"/>
  <c r="Z45" i="20"/>
  <c r="Y45" i="20"/>
  <c r="X45" i="20"/>
  <c r="W45" i="20"/>
  <c r="V45" i="20"/>
  <c r="T45" i="20"/>
  <c r="S45" i="20"/>
  <c r="R45" i="20"/>
  <c r="Q45" i="20"/>
  <c r="E45" i="20"/>
  <c r="D45" i="20"/>
  <c r="CG44" i="20"/>
  <c r="CE44" i="20"/>
  <c r="CC44" i="20"/>
  <c r="CB44" i="20"/>
  <c r="CA44" i="20"/>
  <c r="BZ44" i="20"/>
  <c r="BY44" i="20"/>
  <c r="BX44" i="20"/>
  <c r="BW44" i="20"/>
  <c r="BV44" i="20"/>
  <c r="BU44" i="20"/>
  <c r="BT44" i="20"/>
  <c r="BN44" i="20"/>
  <c r="BM44" i="20"/>
  <c r="BK44" i="20"/>
  <c r="BJ44" i="20"/>
  <c r="BI44" i="20"/>
  <c r="BG44" i="20"/>
  <c r="BF44" i="20"/>
  <c r="BE44" i="20"/>
  <c r="BD44" i="20"/>
  <c r="BC44" i="20"/>
  <c r="BB44" i="20"/>
  <c r="AZ44" i="20"/>
  <c r="AY44" i="20"/>
  <c r="AX44" i="20"/>
  <c r="AW44" i="20"/>
  <c r="AV44" i="20"/>
  <c r="AU44" i="20"/>
  <c r="AS44" i="20"/>
  <c r="AR44" i="20"/>
  <c r="AQ44" i="20"/>
  <c r="AP44" i="20"/>
  <c r="AO44" i="20"/>
  <c r="AN44" i="20"/>
  <c r="AL44" i="20"/>
  <c r="AK44" i="20"/>
  <c r="AJ44" i="20"/>
  <c r="AI44" i="20"/>
  <c r="AH44" i="20"/>
  <c r="AG44" i="20"/>
  <c r="AE44" i="20"/>
  <c r="AD44" i="20"/>
  <c r="AB44" i="20"/>
  <c r="AA44" i="20"/>
  <c r="Z44" i="20"/>
  <c r="Y44" i="20"/>
  <c r="X44" i="20"/>
  <c r="W44" i="20"/>
  <c r="V44" i="20"/>
  <c r="T44" i="20"/>
  <c r="S44" i="20"/>
  <c r="R44" i="20"/>
  <c r="Q44" i="20"/>
  <c r="E44" i="20"/>
  <c r="D44" i="20"/>
  <c r="CG43" i="20"/>
  <c r="CE43" i="20"/>
  <c r="CC43" i="20"/>
  <c r="CB43" i="20"/>
  <c r="CA43" i="20"/>
  <c r="BZ43" i="20"/>
  <c r="BY43" i="20"/>
  <c r="BX43" i="20"/>
  <c r="BW43" i="20"/>
  <c r="BV43" i="20"/>
  <c r="BU43" i="20"/>
  <c r="BT43" i="20"/>
  <c r="BN43" i="20"/>
  <c r="BM43" i="20"/>
  <c r="BK43" i="20"/>
  <c r="BJ43" i="20"/>
  <c r="BI43" i="20"/>
  <c r="BG43" i="20"/>
  <c r="BF43" i="20"/>
  <c r="BE43" i="20"/>
  <c r="BD43" i="20"/>
  <c r="BC43" i="20"/>
  <c r="BB43" i="20"/>
  <c r="AZ43" i="20"/>
  <c r="AY43" i="20"/>
  <c r="AX43" i="20"/>
  <c r="AW43" i="20"/>
  <c r="AV43" i="20"/>
  <c r="AU43" i="20"/>
  <c r="AS43" i="20"/>
  <c r="AR43" i="20"/>
  <c r="AQ43" i="20"/>
  <c r="AP43" i="20"/>
  <c r="AO43" i="20"/>
  <c r="AN43" i="20"/>
  <c r="AL43" i="20"/>
  <c r="AK43" i="20"/>
  <c r="AJ43" i="20"/>
  <c r="AI43" i="20"/>
  <c r="AH43" i="20"/>
  <c r="AG43" i="20"/>
  <c r="AE43" i="20"/>
  <c r="AD43" i="20"/>
  <c r="AB43" i="20"/>
  <c r="AA43" i="20"/>
  <c r="Z43" i="20"/>
  <c r="Y43" i="20"/>
  <c r="X43" i="20"/>
  <c r="W43" i="20"/>
  <c r="V43" i="20"/>
  <c r="T43" i="20"/>
  <c r="S43" i="20"/>
  <c r="R43" i="20"/>
  <c r="Q43" i="20"/>
  <c r="E43" i="20"/>
  <c r="D43" i="20"/>
  <c r="CG42" i="20"/>
  <c r="CE42" i="20"/>
  <c r="CC42" i="20"/>
  <c r="CB42" i="20"/>
  <c r="CA42" i="20"/>
  <c r="BZ42" i="20"/>
  <c r="BY42" i="20"/>
  <c r="BX42" i="20"/>
  <c r="BW42" i="20"/>
  <c r="BV42" i="20"/>
  <c r="BU42" i="20"/>
  <c r="BT42" i="20"/>
  <c r="BN42" i="20"/>
  <c r="BM42" i="20"/>
  <c r="BK42" i="20"/>
  <c r="BJ42" i="20"/>
  <c r="BI42" i="20"/>
  <c r="BG42" i="20"/>
  <c r="BF42" i="20"/>
  <c r="BE42" i="20"/>
  <c r="BD42" i="20"/>
  <c r="BC42" i="20"/>
  <c r="BB42" i="20"/>
  <c r="AZ42" i="20"/>
  <c r="AY42" i="20"/>
  <c r="AX42" i="20"/>
  <c r="AW42" i="20"/>
  <c r="AV42" i="20"/>
  <c r="AU42" i="20"/>
  <c r="AS42" i="20"/>
  <c r="AR42" i="20"/>
  <c r="AQ42" i="20"/>
  <c r="AP42" i="20"/>
  <c r="AO42" i="20"/>
  <c r="AN42" i="20"/>
  <c r="AL42" i="20"/>
  <c r="AK42" i="20"/>
  <c r="AJ42" i="20"/>
  <c r="AI42" i="20"/>
  <c r="AH42" i="20"/>
  <c r="AG42" i="20"/>
  <c r="AE42" i="20"/>
  <c r="AD42" i="20"/>
  <c r="AB42" i="20"/>
  <c r="AA42" i="20"/>
  <c r="Z42" i="20"/>
  <c r="Y42" i="20"/>
  <c r="X42" i="20"/>
  <c r="W42" i="20"/>
  <c r="V42" i="20"/>
  <c r="T42" i="20"/>
  <c r="S42" i="20"/>
  <c r="R42" i="20"/>
  <c r="Q42" i="20"/>
  <c r="E42" i="20"/>
  <c r="D42" i="20"/>
  <c r="CG41" i="20"/>
  <c r="CE41" i="20"/>
  <c r="CC41" i="20"/>
  <c r="CB41" i="20"/>
  <c r="CA41" i="20"/>
  <c r="BZ41" i="20"/>
  <c r="BY41" i="20"/>
  <c r="BX41" i="20"/>
  <c r="BW41" i="20"/>
  <c r="BV41" i="20"/>
  <c r="BU41" i="20"/>
  <c r="BT41" i="20"/>
  <c r="BN41" i="20"/>
  <c r="BM41" i="20"/>
  <c r="BK41" i="20"/>
  <c r="BJ41" i="20"/>
  <c r="BI41" i="20"/>
  <c r="BG41" i="20"/>
  <c r="BF41" i="20"/>
  <c r="BE41" i="20"/>
  <c r="BD41" i="20"/>
  <c r="BC41" i="20"/>
  <c r="BB41" i="20"/>
  <c r="AZ41" i="20"/>
  <c r="AY41" i="20"/>
  <c r="AX41" i="20"/>
  <c r="AW41" i="20"/>
  <c r="AV41" i="20"/>
  <c r="AU41" i="20"/>
  <c r="AS41" i="20"/>
  <c r="AR41" i="20"/>
  <c r="AQ41" i="20"/>
  <c r="AP41" i="20"/>
  <c r="AO41" i="20"/>
  <c r="AN41" i="20"/>
  <c r="AL41" i="20"/>
  <c r="AK41" i="20"/>
  <c r="AJ41" i="20"/>
  <c r="AI41" i="20"/>
  <c r="AH41" i="20"/>
  <c r="AG41" i="20"/>
  <c r="AE41" i="20"/>
  <c r="AD41" i="20"/>
  <c r="AB41" i="20"/>
  <c r="AA41" i="20"/>
  <c r="Z41" i="20"/>
  <c r="Y41" i="20"/>
  <c r="X41" i="20"/>
  <c r="W41" i="20"/>
  <c r="V41" i="20"/>
  <c r="T41" i="20"/>
  <c r="S41" i="20"/>
  <c r="R41" i="20"/>
  <c r="Q41" i="20"/>
  <c r="E41" i="20"/>
  <c r="D41" i="20"/>
  <c r="CG40" i="20"/>
  <c r="CE40" i="20"/>
  <c r="CC40" i="20"/>
  <c r="CB40" i="20"/>
  <c r="CA40" i="20"/>
  <c r="BZ40" i="20"/>
  <c r="BY40" i="20"/>
  <c r="BX40" i="20"/>
  <c r="BW40" i="20"/>
  <c r="BV40" i="20"/>
  <c r="BU40" i="20"/>
  <c r="BT40" i="20"/>
  <c r="BN40" i="20"/>
  <c r="BM40" i="20"/>
  <c r="BK40" i="20"/>
  <c r="BJ40" i="20"/>
  <c r="BI40" i="20"/>
  <c r="BG40" i="20"/>
  <c r="BF40" i="20"/>
  <c r="BE40" i="20"/>
  <c r="BD40" i="20"/>
  <c r="BC40" i="20"/>
  <c r="BB40" i="20"/>
  <c r="AZ40" i="20"/>
  <c r="AY40" i="20"/>
  <c r="AX40" i="20"/>
  <c r="AW40" i="20"/>
  <c r="AV40" i="20"/>
  <c r="AU40" i="20"/>
  <c r="AS40" i="20"/>
  <c r="AR40" i="20"/>
  <c r="AQ40" i="20"/>
  <c r="AP40" i="20"/>
  <c r="AO40" i="20"/>
  <c r="AN40" i="20"/>
  <c r="AL40" i="20"/>
  <c r="AK40" i="20"/>
  <c r="AJ40" i="20"/>
  <c r="AI40" i="20"/>
  <c r="AH40" i="20"/>
  <c r="AG40" i="20"/>
  <c r="AE40" i="20"/>
  <c r="AD40" i="20"/>
  <c r="AB40" i="20"/>
  <c r="AA40" i="20"/>
  <c r="Z40" i="20"/>
  <c r="Y40" i="20"/>
  <c r="X40" i="20"/>
  <c r="W40" i="20"/>
  <c r="V40" i="20"/>
  <c r="T40" i="20"/>
  <c r="S40" i="20"/>
  <c r="R40" i="20"/>
  <c r="Q40" i="20"/>
  <c r="E40" i="20"/>
  <c r="D40" i="20"/>
  <c r="CG39" i="20"/>
  <c r="CE39" i="20"/>
  <c r="CC39" i="20"/>
  <c r="CB39" i="20"/>
  <c r="CA39" i="20"/>
  <c r="BZ39" i="20"/>
  <c r="BY39" i="20"/>
  <c r="BX39" i="20"/>
  <c r="BW39" i="20"/>
  <c r="BV39" i="20"/>
  <c r="BU39" i="20"/>
  <c r="BT39" i="20"/>
  <c r="BN39" i="20"/>
  <c r="BM39" i="20"/>
  <c r="BK39" i="20"/>
  <c r="BJ39" i="20"/>
  <c r="BI39" i="20"/>
  <c r="BG39" i="20"/>
  <c r="BF39" i="20"/>
  <c r="BE39" i="20"/>
  <c r="BD39" i="20"/>
  <c r="BC39" i="20"/>
  <c r="BB39" i="20"/>
  <c r="AZ39" i="20"/>
  <c r="AY39" i="20"/>
  <c r="AX39" i="20"/>
  <c r="AW39" i="20"/>
  <c r="AV39" i="20"/>
  <c r="AU39" i="20"/>
  <c r="AS39" i="20"/>
  <c r="AR39" i="20"/>
  <c r="AQ39" i="20"/>
  <c r="AP39" i="20"/>
  <c r="AO39" i="20"/>
  <c r="AN39" i="20"/>
  <c r="AL39" i="20"/>
  <c r="AK39" i="20"/>
  <c r="AJ39" i="20"/>
  <c r="AI39" i="20"/>
  <c r="AH39" i="20"/>
  <c r="AG39" i="20"/>
  <c r="AE39" i="20"/>
  <c r="AD39" i="20"/>
  <c r="AB39" i="20"/>
  <c r="AA39" i="20"/>
  <c r="Z39" i="20"/>
  <c r="Y39" i="20"/>
  <c r="X39" i="20"/>
  <c r="W39" i="20"/>
  <c r="V39" i="20"/>
  <c r="T39" i="20"/>
  <c r="S39" i="20"/>
  <c r="R39" i="20"/>
  <c r="Q39" i="20"/>
  <c r="E39" i="20"/>
  <c r="D39" i="20"/>
  <c r="CG38" i="20"/>
  <c r="CE38" i="20"/>
  <c r="CC38" i="20"/>
  <c r="CB38" i="20"/>
  <c r="CA38" i="20"/>
  <c r="BZ38" i="20"/>
  <c r="BY38" i="20"/>
  <c r="BX38" i="20"/>
  <c r="BW38" i="20"/>
  <c r="BV38" i="20"/>
  <c r="BU38" i="20"/>
  <c r="BT38" i="20"/>
  <c r="BN38" i="20"/>
  <c r="BM38" i="20"/>
  <c r="BK38" i="20"/>
  <c r="BJ38" i="20"/>
  <c r="BI38" i="20"/>
  <c r="BG38" i="20"/>
  <c r="BF38" i="20"/>
  <c r="BE38" i="20"/>
  <c r="BD38" i="20"/>
  <c r="BC38" i="20"/>
  <c r="BB38" i="20"/>
  <c r="AZ38" i="20"/>
  <c r="AY38" i="20"/>
  <c r="AX38" i="20"/>
  <c r="AW38" i="20"/>
  <c r="AV38" i="20"/>
  <c r="AU38" i="20"/>
  <c r="AS38" i="20"/>
  <c r="AR38" i="20"/>
  <c r="AQ38" i="20"/>
  <c r="AP38" i="20"/>
  <c r="AO38" i="20"/>
  <c r="AN38" i="20"/>
  <c r="AL38" i="20"/>
  <c r="AK38" i="20"/>
  <c r="AJ38" i="20"/>
  <c r="AI38" i="20"/>
  <c r="AH38" i="20"/>
  <c r="AG38" i="20"/>
  <c r="AE38" i="20"/>
  <c r="AD38" i="20"/>
  <c r="AB38" i="20"/>
  <c r="AA38" i="20"/>
  <c r="Z38" i="20"/>
  <c r="Y38" i="20"/>
  <c r="X38" i="20"/>
  <c r="W38" i="20"/>
  <c r="V38" i="20"/>
  <c r="T38" i="20"/>
  <c r="S38" i="20"/>
  <c r="R38" i="20"/>
  <c r="Q38" i="20"/>
  <c r="E38" i="20"/>
  <c r="D38" i="20"/>
  <c r="CG37" i="20"/>
  <c r="CE37" i="20"/>
  <c r="CC37" i="20"/>
  <c r="CB37" i="20"/>
  <c r="CA37" i="20"/>
  <c r="BZ37" i="20"/>
  <c r="BY37" i="20"/>
  <c r="BX37" i="20"/>
  <c r="BW37" i="20"/>
  <c r="BV37" i="20"/>
  <c r="BU37" i="20"/>
  <c r="BT37" i="20"/>
  <c r="BN37" i="20"/>
  <c r="BM37" i="20"/>
  <c r="BK37" i="20"/>
  <c r="BJ37" i="20"/>
  <c r="BI37" i="20"/>
  <c r="BG37" i="20"/>
  <c r="BF37" i="20"/>
  <c r="BE37" i="20"/>
  <c r="BD37" i="20"/>
  <c r="BC37" i="20"/>
  <c r="BB37" i="20"/>
  <c r="AZ37" i="20"/>
  <c r="AY37" i="20"/>
  <c r="AX37" i="20"/>
  <c r="AW37" i="20"/>
  <c r="AV37" i="20"/>
  <c r="AU37" i="20"/>
  <c r="AS37" i="20"/>
  <c r="AR37" i="20"/>
  <c r="AQ37" i="20"/>
  <c r="AP37" i="20"/>
  <c r="AO37" i="20"/>
  <c r="AN37" i="20"/>
  <c r="AL37" i="20"/>
  <c r="AK37" i="20"/>
  <c r="AJ37" i="20"/>
  <c r="AI37" i="20"/>
  <c r="AH37" i="20"/>
  <c r="AG37" i="20"/>
  <c r="AE37" i="20"/>
  <c r="AD37" i="20"/>
  <c r="AB37" i="20"/>
  <c r="AA37" i="20"/>
  <c r="Z37" i="20"/>
  <c r="Y37" i="20"/>
  <c r="X37" i="20"/>
  <c r="W37" i="20"/>
  <c r="V37" i="20"/>
  <c r="T37" i="20"/>
  <c r="S37" i="20"/>
  <c r="R37" i="20"/>
  <c r="Q37" i="20"/>
  <c r="E37" i="20"/>
  <c r="D37" i="20"/>
  <c r="CG36" i="20"/>
  <c r="CE36" i="20"/>
  <c r="CC36" i="20"/>
  <c r="CB36" i="20"/>
  <c r="CA36" i="20"/>
  <c r="BZ36" i="20"/>
  <c r="BY36" i="20"/>
  <c r="BX36" i="20"/>
  <c r="BW36" i="20"/>
  <c r="BV36" i="20"/>
  <c r="BU36" i="20"/>
  <c r="BT36" i="20"/>
  <c r="BN36" i="20"/>
  <c r="BM36" i="20"/>
  <c r="BK36" i="20"/>
  <c r="BJ36" i="20"/>
  <c r="BI36" i="20"/>
  <c r="BG36" i="20"/>
  <c r="BF36" i="20"/>
  <c r="BE36" i="20"/>
  <c r="BD36" i="20"/>
  <c r="BC36" i="20"/>
  <c r="BB36" i="20"/>
  <c r="AZ36" i="20"/>
  <c r="AY36" i="20"/>
  <c r="AX36" i="20"/>
  <c r="AW36" i="20"/>
  <c r="AV36" i="20"/>
  <c r="AU36" i="20"/>
  <c r="AS36" i="20"/>
  <c r="AR36" i="20"/>
  <c r="AQ36" i="20"/>
  <c r="AP36" i="20"/>
  <c r="AO36" i="20"/>
  <c r="AN36" i="20"/>
  <c r="AL36" i="20"/>
  <c r="AK36" i="20"/>
  <c r="AJ36" i="20"/>
  <c r="AI36" i="20"/>
  <c r="AH36" i="20"/>
  <c r="AG36" i="20"/>
  <c r="AE36" i="20"/>
  <c r="AD36" i="20"/>
  <c r="AB36" i="20"/>
  <c r="AA36" i="20"/>
  <c r="Z36" i="20"/>
  <c r="Y36" i="20"/>
  <c r="X36" i="20"/>
  <c r="W36" i="20"/>
  <c r="V36" i="20"/>
  <c r="T36" i="20"/>
  <c r="S36" i="20"/>
  <c r="R36" i="20"/>
  <c r="Q36" i="20"/>
  <c r="E36" i="20"/>
  <c r="D36" i="20"/>
  <c r="CG35" i="20"/>
  <c r="CE35" i="20"/>
  <c r="CC35" i="20"/>
  <c r="CB35" i="20"/>
  <c r="CA35" i="20"/>
  <c r="BZ35" i="20"/>
  <c r="BY35" i="20"/>
  <c r="BX35" i="20"/>
  <c r="BW35" i="20"/>
  <c r="BV35" i="20"/>
  <c r="BU35" i="20"/>
  <c r="BT35" i="20"/>
  <c r="BN35" i="20"/>
  <c r="BM35" i="20"/>
  <c r="BK35" i="20"/>
  <c r="BJ35" i="20"/>
  <c r="BI35" i="20"/>
  <c r="BG35" i="20"/>
  <c r="BF35" i="20"/>
  <c r="BE35" i="20"/>
  <c r="BD35" i="20"/>
  <c r="BC35" i="20"/>
  <c r="BB35" i="20"/>
  <c r="AZ35" i="20"/>
  <c r="AY35" i="20"/>
  <c r="AX35" i="20"/>
  <c r="AW35" i="20"/>
  <c r="AV35" i="20"/>
  <c r="AU35" i="20"/>
  <c r="AS35" i="20"/>
  <c r="AR35" i="20"/>
  <c r="AQ35" i="20"/>
  <c r="AP35" i="20"/>
  <c r="AO35" i="20"/>
  <c r="AN35" i="20"/>
  <c r="AL35" i="20"/>
  <c r="AK35" i="20"/>
  <c r="AJ35" i="20"/>
  <c r="AI35" i="20"/>
  <c r="AH35" i="20"/>
  <c r="AG35" i="20"/>
  <c r="AE35" i="20"/>
  <c r="AD35" i="20"/>
  <c r="AB35" i="20"/>
  <c r="AA35" i="20"/>
  <c r="Z35" i="20"/>
  <c r="Y35" i="20"/>
  <c r="X35" i="20"/>
  <c r="W35" i="20"/>
  <c r="V35" i="20"/>
  <c r="T35" i="20"/>
  <c r="S35" i="20"/>
  <c r="R35" i="20"/>
  <c r="Q35" i="20"/>
  <c r="E35" i="20"/>
  <c r="D35" i="20"/>
  <c r="CG34" i="20"/>
  <c r="CE34" i="20"/>
  <c r="CC34" i="20"/>
  <c r="CB34" i="20"/>
  <c r="CA34" i="20"/>
  <c r="BZ34" i="20"/>
  <c r="BY34" i="20"/>
  <c r="BX34" i="20"/>
  <c r="BW34" i="20"/>
  <c r="BV34" i="20"/>
  <c r="BU34" i="20"/>
  <c r="BT34" i="20"/>
  <c r="BN34" i="20"/>
  <c r="BM34" i="20"/>
  <c r="BK34" i="20"/>
  <c r="BJ34" i="20"/>
  <c r="BI34" i="20"/>
  <c r="BG34" i="20"/>
  <c r="BF34" i="20"/>
  <c r="BE34" i="20"/>
  <c r="BD34" i="20"/>
  <c r="BC34" i="20"/>
  <c r="BB34" i="20"/>
  <c r="AZ34" i="20"/>
  <c r="AY34" i="20"/>
  <c r="AX34" i="20"/>
  <c r="AW34" i="20"/>
  <c r="AV34" i="20"/>
  <c r="AU34" i="20"/>
  <c r="AS34" i="20"/>
  <c r="AR34" i="20"/>
  <c r="AQ34" i="20"/>
  <c r="AP34" i="20"/>
  <c r="AO34" i="20"/>
  <c r="AN34" i="20"/>
  <c r="AL34" i="20"/>
  <c r="AK34" i="20"/>
  <c r="AJ34" i="20"/>
  <c r="AI34" i="20"/>
  <c r="AH34" i="20"/>
  <c r="AG34" i="20"/>
  <c r="AE34" i="20"/>
  <c r="AD34" i="20"/>
  <c r="AB34" i="20"/>
  <c r="AA34" i="20"/>
  <c r="Z34" i="20"/>
  <c r="Y34" i="20"/>
  <c r="X34" i="20"/>
  <c r="W34" i="20"/>
  <c r="V34" i="20"/>
  <c r="T34" i="20"/>
  <c r="S34" i="20"/>
  <c r="R34" i="20"/>
  <c r="Q34" i="20"/>
  <c r="E34" i="20"/>
  <c r="D34" i="20"/>
  <c r="CG33" i="20"/>
  <c r="CE33" i="20"/>
  <c r="CC33" i="20"/>
  <c r="CB33" i="20"/>
  <c r="CA33" i="20"/>
  <c r="BZ33" i="20"/>
  <c r="BY33" i="20"/>
  <c r="BX33" i="20"/>
  <c r="BW33" i="20"/>
  <c r="BV33" i="20"/>
  <c r="BU33" i="20"/>
  <c r="BT33" i="20"/>
  <c r="BN33" i="20"/>
  <c r="BM33" i="20"/>
  <c r="BK33" i="20"/>
  <c r="BJ33" i="20"/>
  <c r="BI33" i="20"/>
  <c r="BG33" i="20"/>
  <c r="BF33" i="20"/>
  <c r="BE33" i="20"/>
  <c r="BD33" i="20"/>
  <c r="BC33" i="20"/>
  <c r="BB33" i="20"/>
  <c r="AZ33" i="20"/>
  <c r="AY33" i="20"/>
  <c r="AX33" i="20"/>
  <c r="AW33" i="20"/>
  <c r="AV33" i="20"/>
  <c r="AU33" i="20"/>
  <c r="AS33" i="20"/>
  <c r="AR33" i="20"/>
  <c r="AQ33" i="20"/>
  <c r="AP33" i="20"/>
  <c r="AO33" i="20"/>
  <c r="AN33" i="20"/>
  <c r="AL33" i="20"/>
  <c r="AK33" i="20"/>
  <c r="AJ33" i="20"/>
  <c r="AI33" i="20"/>
  <c r="AH33" i="20"/>
  <c r="AG33" i="20"/>
  <c r="AE33" i="20"/>
  <c r="AD33" i="20"/>
  <c r="AB33" i="20"/>
  <c r="AA33" i="20"/>
  <c r="Z33" i="20"/>
  <c r="Y33" i="20"/>
  <c r="X33" i="20"/>
  <c r="W33" i="20"/>
  <c r="V33" i="20"/>
  <c r="T33" i="20"/>
  <c r="S33" i="20"/>
  <c r="R33" i="20"/>
  <c r="Q33" i="20"/>
  <c r="E33" i="20"/>
  <c r="D33" i="20"/>
  <c r="CG32" i="20"/>
  <c r="CE32" i="20"/>
  <c r="CC32" i="20"/>
  <c r="CB32" i="20"/>
  <c r="CA32" i="20"/>
  <c r="BZ32" i="20"/>
  <c r="BY32" i="20"/>
  <c r="BX32" i="20"/>
  <c r="BW32" i="20"/>
  <c r="BV32" i="20"/>
  <c r="BU32" i="20"/>
  <c r="BT32" i="20"/>
  <c r="BN32" i="20"/>
  <c r="BM32" i="20"/>
  <c r="BK32" i="20"/>
  <c r="BJ32" i="20"/>
  <c r="BI32" i="20"/>
  <c r="BG32" i="20"/>
  <c r="BF32" i="20"/>
  <c r="BE32" i="20"/>
  <c r="BD32" i="20"/>
  <c r="BC32" i="20"/>
  <c r="BB32" i="20"/>
  <c r="AZ32" i="20"/>
  <c r="AY32" i="20"/>
  <c r="AX32" i="20"/>
  <c r="AW32" i="20"/>
  <c r="AV32" i="20"/>
  <c r="AU32" i="20"/>
  <c r="AS32" i="20"/>
  <c r="AR32" i="20"/>
  <c r="AQ32" i="20"/>
  <c r="AP32" i="20"/>
  <c r="AO32" i="20"/>
  <c r="AN32" i="20"/>
  <c r="AL32" i="20"/>
  <c r="AK32" i="20"/>
  <c r="AJ32" i="20"/>
  <c r="AI32" i="20"/>
  <c r="AH32" i="20"/>
  <c r="AG32" i="20"/>
  <c r="AE32" i="20"/>
  <c r="AD32" i="20"/>
  <c r="AB32" i="20"/>
  <c r="AA32" i="20"/>
  <c r="Z32" i="20"/>
  <c r="Y32" i="20"/>
  <c r="X32" i="20"/>
  <c r="W32" i="20"/>
  <c r="V32" i="20"/>
  <c r="T32" i="20"/>
  <c r="S32" i="20"/>
  <c r="R32" i="20"/>
  <c r="Q32" i="20"/>
  <c r="E32" i="20"/>
  <c r="D32" i="20"/>
  <c r="CG31" i="20"/>
  <c r="CE31" i="20"/>
  <c r="CC31" i="20"/>
  <c r="CB31" i="20"/>
  <c r="CA31" i="20"/>
  <c r="BZ31" i="20"/>
  <c r="BY31" i="20"/>
  <c r="BX31" i="20"/>
  <c r="BW31" i="20"/>
  <c r="BV31" i="20"/>
  <c r="BU31" i="20"/>
  <c r="BT31" i="20"/>
  <c r="BN31" i="20"/>
  <c r="BM31" i="20"/>
  <c r="BK31" i="20"/>
  <c r="BJ31" i="20"/>
  <c r="BI31" i="20"/>
  <c r="BG31" i="20"/>
  <c r="BF31" i="20"/>
  <c r="BE31" i="20"/>
  <c r="BD31" i="20"/>
  <c r="BC31" i="20"/>
  <c r="BB31" i="20"/>
  <c r="AZ31" i="20"/>
  <c r="AY31" i="20"/>
  <c r="AX31" i="20"/>
  <c r="AW31" i="20"/>
  <c r="AV31" i="20"/>
  <c r="AU31" i="20"/>
  <c r="AS31" i="20"/>
  <c r="AR31" i="20"/>
  <c r="AQ31" i="20"/>
  <c r="AP31" i="20"/>
  <c r="AO31" i="20"/>
  <c r="AN31" i="20"/>
  <c r="AL31" i="20"/>
  <c r="AK31" i="20"/>
  <c r="AJ31" i="20"/>
  <c r="AI31" i="20"/>
  <c r="AH31" i="20"/>
  <c r="AG31" i="20"/>
  <c r="AE31" i="20"/>
  <c r="AD31" i="20"/>
  <c r="AB31" i="20"/>
  <c r="AA31" i="20"/>
  <c r="Z31" i="20"/>
  <c r="Y31" i="20"/>
  <c r="X31" i="20"/>
  <c r="W31" i="20"/>
  <c r="V31" i="20"/>
  <c r="T31" i="20"/>
  <c r="S31" i="20"/>
  <c r="R31" i="20"/>
  <c r="Q31" i="20"/>
  <c r="E31" i="20"/>
  <c r="D31" i="20"/>
  <c r="CG30" i="20"/>
  <c r="CE30" i="20"/>
  <c r="CC30" i="20"/>
  <c r="CB30" i="20"/>
  <c r="CA30" i="20"/>
  <c r="BZ30" i="20"/>
  <c r="BY30" i="20"/>
  <c r="BX30" i="20"/>
  <c r="BW30" i="20"/>
  <c r="BV30" i="20"/>
  <c r="BU30" i="20"/>
  <c r="BT30" i="20"/>
  <c r="BN30" i="20"/>
  <c r="BM30" i="20"/>
  <c r="BK30" i="20"/>
  <c r="BJ30" i="20"/>
  <c r="BI30" i="20"/>
  <c r="BG30" i="20"/>
  <c r="BF30" i="20"/>
  <c r="BE30" i="20"/>
  <c r="BD30" i="20"/>
  <c r="BC30" i="20"/>
  <c r="BB30" i="20"/>
  <c r="AZ30" i="20"/>
  <c r="AY30" i="20"/>
  <c r="AX30" i="20"/>
  <c r="AW30" i="20"/>
  <c r="AV30" i="20"/>
  <c r="AU30" i="20"/>
  <c r="AS30" i="20"/>
  <c r="AR30" i="20"/>
  <c r="AQ30" i="20"/>
  <c r="AP30" i="20"/>
  <c r="AO30" i="20"/>
  <c r="AN30" i="20"/>
  <c r="AL30" i="20"/>
  <c r="AK30" i="20"/>
  <c r="AJ30" i="20"/>
  <c r="AI30" i="20"/>
  <c r="AH30" i="20"/>
  <c r="AG30" i="20"/>
  <c r="AE30" i="20"/>
  <c r="AD30" i="20"/>
  <c r="AB30" i="20"/>
  <c r="AA30" i="20"/>
  <c r="Z30" i="20"/>
  <c r="Y30" i="20"/>
  <c r="X30" i="20"/>
  <c r="W30" i="20"/>
  <c r="V30" i="20"/>
  <c r="T30" i="20"/>
  <c r="S30" i="20"/>
  <c r="R30" i="20"/>
  <c r="Q30" i="20"/>
  <c r="E30" i="20"/>
  <c r="D30" i="20"/>
  <c r="CG29" i="20"/>
  <c r="CE29" i="20"/>
  <c r="CC29" i="20"/>
  <c r="CB29" i="20"/>
  <c r="CA29" i="20"/>
  <c r="BZ29" i="20"/>
  <c r="BY29" i="20"/>
  <c r="BX29" i="20"/>
  <c r="BW29" i="20"/>
  <c r="BV29" i="20"/>
  <c r="BU29" i="20"/>
  <c r="BT29" i="20"/>
  <c r="BN29" i="20"/>
  <c r="BM29" i="20"/>
  <c r="BK29" i="20"/>
  <c r="BJ29" i="20"/>
  <c r="BI29" i="20"/>
  <c r="BG29" i="20"/>
  <c r="BF29" i="20"/>
  <c r="BE29" i="20"/>
  <c r="BD29" i="20"/>
  <c r="BC29" i="20"/>
  <c r="BB29" i="20"/>
  <c r="AZ29" i="20"/>
  <c r="AY29" i="20"/>
  <c r="AX29" i="20"/>
  <c r="AW29" i="20"/>
  <c r="AV29" i="20"/>
  <c r="AU29" i="20"/>
  <c r="AS29" i="20"/>
  <c r="AR29" i="20"/>
  <c r="AQ29" i="20"/>
  <c r="AP29" i="20"/>
  <c r="AO29" i="20"/>
  <c r="AN29" i="20"/>
  <c r="AL29" i="20"/>
  <c r="AK29" i="20"/>
  <c r="AJ29" i="20"/>
  <c r="AI29" i="20"/>
  <c r="AH29" i="20"/>
  <c r="AG29" i="20"/>
  <c r="AE29" i="20"/>
  <c r="AD29" i="20"/>
  <c r="AB29" i="20"/>
  <c r="AA29" i="20"/>
  <c r="Z29" i="20"/>
  <c r="Y29" i="20"/>
  <c r="X29" i="20"/>
  <c r="W29" i="20"/>
  <c r="V29" i="20"/>
  <c r="T29" i="20"/>
  <c r="S29" i="20"/>
  <c r="R29" i="20"/>
  <c r="Q29" i="20"/>
  <c r="E29" i="20"/>
  <c r="D29" i="20"/>
  <c r="CG28" i="20"/>
  <c r="CE28" i="20"/>
  <c r="CC28" i="20"/>
  <c r="CB28" i="20"/>
  <c r="CA28" i="20"/>
  <c r="BZ28" i="20"/>
  <c r="BY28" i="20"/>
  <c r="BX28" i="20"/>
  <c r="BW28" i="20"/>
  <c r="BV28" i="20"/>
  <c r="BU28" i="20"/>
  <c r="BT28" i="20"/>
  <c r="BN28" i="20"/>
  <c r="BM28" i="20"/>
  <c r="BK28" i="20"/>
  <c r="BJ28" i="20"/>
  <c r="BI28" i="20"/>
  <c r="BG28" i="20"/>
  <c r="BF28" i="20"/>
  <c r="BE28" i="20"/>
  <c r="BD28" i="20"/>
  <c r="BC28" i="20"/>
  <c r="BB28" i="20"/>
  <c r="AZ28" i="20"/>
  <c r="AY28" i="20"/>
  <c r="AX28" i="20"/>
  <c r="AW28" i="20"/>
  <c r="AV28" i="20"/>
  <c r="AU28" i="20"/>
  <c r="AS28" i="20"/>
  <c r="AR28" i="20"/>
  <c r="AQ28" i="20"/>
  <c r="AP28" i="20"/>
  <c r="AO28" i="20"/>
  <c r="AN28" i="20"/>
  <c r="AL28" i="20"/>
  <c r="AK28" i="20"/>
  <c r="AJ28" i="20"/>
  <c r="AI28" i="20"/>
  <c r="AH28" i="20"/>
  <c r="AG28" i="20"/>
  <c r="AE28" i="20"/>
  <c r="AD28" i="20"/>
  <c r="AB28" i="20"/>
  <c r="AA28" i="20"/>
  <c r="Z28" i="20"/>
  <c r="Y28" i="20"/>
  <c r="X28" i="20"/>
  <c r="W28" i="20"/>
  <c r="V28" i="20"/>
  <c r="T28" i="20"/>
  <c r="S28" i="20"/>
  <c r="R28" i="20"/>
  <c r="Q28" i="20"/>
  <c r="E28" i="20"/>
  <c r="D28" i="20"/>
  <c r="CG27" i="20"/>
  <c r="CE27" i="20"/>
  <c r="CC27" i="20"/>
  <c r="CB27" i="20"/>
  <c r="CA27" i="20"/>
  <c r="BZ27" i="20"/>
  <c r="BY27" i="20"/>
  <c r="BX27" i="20"/>
  <c r="BW27" i="20"/>
  <c r="BV27" i="20"/>
  <c r="BU27" i="20"/>
  <c r="BT27" i="20"/>
  <c r="BN27" i="20"/>
  <c r="BM27" i="20"/>
  <c r="BK27" i="20"/>
  <c r="BJ27" i="20"/>
  <c r="BI27" i="20"/>
  <c r="BG27" i="20"/>
  <c r="BF27" i="20"/>
  <c r="BE27" i="20"/>
  <c r="BD27" i="20"/>
  <c r="BC27" i="20"/>
  <c r="BB27" i="20"/>
  <c r="AZ27" i="20"/>
  <c r="AY27" i="20"/>
  <c r="AX27" i="20"/>
  <c r="AW27" i="20"/>
  <c r="AV27" i="20"/>
  <c r="AU27" i="20"/>
  <c r="AS27" i="20"/>
  <c r="AR27" i="20"/>
  <c r="AQ27" i="20"/>
  <c r="AP27" i="20"/>
  <c r="AO27" i="20"/>
  <c r="AN27" i="20"/>
  <c r="AL27" i="20"/>
  <c r="AK27" i="20"/>
  <c r="AJ27" i="20"/>
  <c r="AI27" i="20"/>
  <c r="AH27" i="20"/>
  <c r="AG27" i="20"/>
  <c r="AE27" i="20"/>
  <c r="AD27" i="20"/>
  <c r="AB27" i="20"/>
  <c r="AA27" i="20"/>
  <c r="Z27" i="20"/>
  <c r="Y27" i="20"/>
  <c r="X27" i="20"/>
  <c r="W27" i="20"/>
  <c r="V27" i="20"/>
  <c r="T27" i="20"/>
  <c r="S27" i="20"/>
  <c r="R27" i="20"/>
  <c r="Q27" i="20"/>
  <c r="E27" i="20"/>
  <c r="D27" i="20"/>
  <c r="CG26" i="20"/>
  <c r="CE26" i="20"/>
  <c r="CC26" i="20"/>
  <c r="CB26" i="20"/>
  <c r="CA26" i="20"/>
  <c r="BZ26" i="20"/>
  <c r="BY26" i="20"/>
  <c r="BX26" i="20"/>
  <c r="BW26" i="20"/>
  <c r="BV26" i="20"/>
  <c r="BU26" i="20"/>
  <c r="BT26" i="20"/>
  <c r="BN26" i="20"/>
  <c r="BM26" i="20"/>
  <c r="BK26" i="20"/>
  <c r="BJ26" i="20"/>
  <c r="BI26" i="20"/>
  <c r="BG26" i="20"/>
  <c r="BF26" i="20"/>
  <c r="BE26" i="20"/>
  <c r="BD26" i="20"/>
  <c r="BC26" i="20"/>
  <c r="BB26" i="20"/>
  <c r="AZ26" i="20"/>
  <c r="AY26" i="20"/>
  <c r="AX26" i="20"/>
  <c r="AW26" i="20"/>
  <c r="AV26" i="20"/>
  <c r="AU26" i="20"/>
  <c r="AS26" i="20"/>
  <c r="AR26" i="20"/>
  <c r="AQ26" i="20"/>
  <c r="AP26" i="20"/>
  <c r="AO26" i="20"/>
  <c r="AN26" i="20"/>
  <c r="AL26" i="20"/>
  <c r="AK26" i="20"/>
  <c r="AJ26" i="20"/>
  <c r="AI26" i="20"/>
  <c r="AH26" i="20"/>
  <c r="AG26" i="20"/>
  <c r="AE26" i="20"/>
  <c r="AD26" i="20"/>
  <c r="AB26" i="20"/>
  <c r="AA26" i="20"/>
  <c r="Z26" i="20"/>
  <c r="Y26" i="20"/>
  <c r="X26" i="20"/>
  <c r="W26" i="20"/>
  <c r="V26" i="20"/>
  <c r="T26" i="20"/>
  <c r="S26" i="20"/>
  <c r="R26" i="20"/>
  <c r="Q26" i="20"/>
  <c r="E26" i="20"/>
  <c r="D26" i="20"/>
  <c r="CG25" i="20"/>
  <c r="CE25" i="20"/>
  <c r="CC25" i="20"/>
  <c r="CB25" i="20"/>
  <c r="CA25" i="20"/>
  <c r="BZ25" i="20"/>
  <c r="BY25" i="20"/>
  <c r="BX25" i="20"/>
  <c r="BW25" i="20"/>
  <c r="BV25" i="20"/>
  <c r="BU25" i="20"/>
  <c r="BT25" i="20"/>
  <c r="BN25" i="20"/>
  <c r="BM25" i="20"/>
  <c r="BK25" i="20"/>
  <c r="BJ25" i="20"/>
  <c r="BI25" i="20"/>
  <c r="BG25" i="20"/>
  <c r="BF25" i="20"/>
  <c r="BE25" i="20"/>
  <c r="BD25" i="20"/>
  <c r="BC25" i="20"/>
  <c r="BB25" i="20"/>
  <c r="AZ25" i="20"/>
  <c r="AY25" i="20"/>
  <c r="AX25" i="20"/>
  <c r="AW25" i="20"/>
  <c r="AV25" i="20"/>
  <c r="AU25" i="20"/>
  <c r="AS25" i="20"/>
  <c r="AR25" i="20"/>
  <c r="AQ25" i="20"/>
  <c r="AP25" i="20"/>
  <c r="AO25" i="20"/>
  <c r="AN25" i="20"/>
  <c r="AL25" i="20"/>
  <c r="AK25" i="20"/>
  <c r="AJ25" i="20"/>
  <c r="AI25" i="20"/>
  <c r="AH25" i="20"/>
  <c r="AG25" i="20"/>
  <c r="AE25" i="20"/>
  <c r="AD25" i="20"/>
  <c r="AB25" i="20"/>
  <c r="AA25" i="20"/>
  <c r="Z25" i="20"/>
  <c r="Y25" i="20"/>
  <c r="X25" i="20"/>
  <c r="W25" i="20"/>
  <c r="V25" i="20"/>
  <c r="T25" i="20"/>
  <c r="S25" i="20"/>
  <c r="R25" i="20"/>
  <c r="Q25" i="20"/>
  <c r="E25" i="20"/>
  <c r="D25" i="20"/>
  <c r="CG24" i="20"/>
  <c r="CE24" i="20"/>
  <c r="CC24" i="20"/>
  <c r="CB24" i="20"/>
  <c r="CA24" i="20"/>
  <c r="BZ24" i="20"/>
  <c r="BY24" i="20"/>
  <c r="BX24" i="20"/>
  <c r="BW24" i="20"/>
  <c r="BV24" i="20"/>
  <c r="BU24" i="20"/>
  <c r="BT24" i="20"/>
  <c r="BN24" i="20"/>
  <c r="BM24" i="20"/>
  <c r="BK24" i="20"/>
  <c r="BJ24" i="20"/>
  <c r="BI24" i="20"/>
  <c r="BG24" i="20"/>
  <c r="BF24" i="20"/>
  <c r="BE24" i="20"/>
  <c r="BD24" i="20"/>
  <c r="BC24" i="20"/>
  <c r="BB24" i="20"/>
  <c r="AZ24" i="20"/>
  <c r="AY24" i="20"/>
  <c r="AX24" i="20"/>
  <c r="AW24" i="20"/>
  <c r="AV24" i="20"/>
  <c r="AU24" i="20"/>
  <c r="AS24" i="20"/>
  <c r="AR24" i="20"/>
  <c r="AQ24" i="20"/>
  <c r="AP24" i="20"/>
  <c r="AO24" i="20"/>
  <c r="AN24" i="20"/>
  <c r="AL24" i="20"/>
  <c r="AK24" i="20"/>
  <c r="AJ24" i="20"/>
  <c r="AI24" i="20"/>
  <c r="AH24" i="20"/>
  <c r="AG24" i="20"/>
  <c r="AE24" i="20"/>
  <c r="AD24" i="20"/>
  <c r="AB24" i="20"/>
  <c r="AA24" i="20"/>
  <c r="Z24" i="20"/>
  <c r="Y24" i="20"/>
  <c r="X24" i="20"/>
  <c r="W24" i="20"/>
  <c r="V24" i="20"/>
  <c r="T24" i="20"/>
  <c r="S24" i="20"/>
  <c r="R24" i="20"/>
  <c r="Q24" i="20"/>
  <c r="E24" i="20"/>
  <c r="D24" i="20"/>
  <c r="CG23" i="20"/>
  <c r="CE23" i="20"/>
  <c r="CC23" i="20"/>
  <c r="CB23" i="20"/>
  <c r="CA23" i="20"/>
  <c r="BZ23" i="20"/>
  <c r="BY23" i="20"/>
  <c r="BX23" i="20"/>
  <c r="BW23" i="20"/>
  <c r="BV23" i="20"/>
  <c r="BU23" i="20"/>
  <c r="BT23" i="20"/>
  <c r="BN23" i="20"/>
  <c r="BM23" i="20"/>
  <c r="BK23" i="20"/>
  <c r="BJ23" i="20"/>
  <c r="BI23" i="20"/>
  <c r="BG23" i="20"/>
  <c r="BF23" i="20"/>
  <c r="BE23" i="20"/>
  <c r="BD23" i="20"/>
  <c r="BC23" i="20"/>
  <c r="BB23" i="20"/>
  <c r="AZ23" i="20"/>
  <c r="AY23" i="20"/>
  <c r="AX23" i="20"/>
  <c r="AW23" i="20"/>
  <c r="AV23" i="20"/>
  <c r="AU23" i="20"/>
  <c r="AS23" i="20"/>
  <c r="AR23" i="20"/>
  <c r="AQ23" i="20"/>
  <c r="AP23" i="20"/>
  <c r="AO23" i="20"/>
  <c r="AN23" i="20"/>
  <c r="AL23" i="20"/>
  <c r="AK23" i="20"/>
  <c r="AJ23" i="20"/>
  <c r="AI23" i="20"/>
  <c r="AH23" i="20"/>
  <c r="AG23" i="20"/>
  <c r="AE23" i="20"/>
  <c r="AD23" i="20"/>
  <c r="AB23" i="20"/>
  <c r="AA23" i="20"/>
  <c r="Z23" i="20"/>
  <c r="Y23" i="20"/>
  <c r="X23" i="20"/>
  <c r="W23" i="20"/>
  <c r="V23" i="20"/>
  <c r="T23" i="20"/>
  <c r="S23" i="20"/>
  <c r="R23" i="20"/>
  <c r="Q23" i="20"/>
  <c r="E23" i="20"/>
  <c r="D23" i="20"/>
  <c r="CG22" i="20"/>
  <c r="CE22" i="20"/>
  <c r="CC22" i="20"/>
  <c r="CB22" i="20"/>
  <c r="CA22" i="20"/>
  <c r="BZ22" i="20"/>
  <c r="BY22" i="20"/>
  <c r="BX22" i="20"/>
  <c r="BW22" i="20"/>
  <c r="BV22" i="20"/>
  <c r="BU22" i="20"/>
  <c r="BT22" i="20"/>
  <c r="BN22" i="20"/>
  <c r="BM22" i="20"/>
  <c r="BK22" i="20"/>
  <c r="BJ22" i="20"/>
  <c r="BI22" i="20"/>
  <c r="BG22" i="20"/>
  <c r="BF22" i="20"/>
  <c r="BE22" i="20"/>
  <c r="BD22" i="20"/>
  <c r="BC22" i="20"/>
  <c r="BB22" i="20"/>
  <c r="AZ22" i="20"/>
  <c r="AY22" i="20"/>
  <c r="AX22" i="20"/>
  <c r="AW22" i="20"/>
  <c r="AV22" i="20"/>
  <c r="AU22" i="20"/>
  <c r="AS22" i="20"/>
  <c r="AR22" i="20"/>
  <c r="AQ22" i="20"/>
  <c r="AP22" i="20"/>
  <c r="AO22" i="20"/>
  <c r="AN22" i="20"/>
  <c r="AL22" i="20"/>
  <c r="AK22" i="20"/>
  <c r="AJ22" i="20"/>
  <c r="AI22" i="20"/>
  <c r="AH22" i="20"/>
  <c r="AG22" i="20"/>
  <c r="AE22" i="20"/>
  <c r="AD22" i="20"/>
  <c r="AB22" i="20"/>
  <c r="AA22" i="20"/>
  <c r="Z22" i="20"/>
  <c r="Y22" i="20"/>
  <c r="X22" i="20"/>
  <c r="W22" i="20"/>
  <c r="V22" i="20"/>
  <c r="T22" i="20"/>
  <c r="S22" i="20"/>
  <c r="R22" i="20"/>
  <c r="Q22" i="20"/>
  <c r="E22" i="20"/>
  <c r="D22" i="20"/>
  <c r="CG21" i="20"/>
  <c r="CE21" i="20"/>
  <c r="CC21" i="20"/>
  <c r="CB21" i="20"/>
  <c r="CA21" i="20"/>
  <c r="BZ21" i="20"/>
  <c r="BY21" i="20"/>
  <c r="BX21" i="20"/>
  <c r="BW21" i="20"/>
  <c r="BV21" i="20"/>
  <c r="BU21" i="20"/>
  <c r="BT21" i="20"/>
  <c r="BN21" i="20"/>
  <c r="BM21" i="20"/>
  <c r="BK21" i="20"/>
  <c r="BJ21" i="20"/>
  <c r="BI21" i="20"/>
  <c r="BG21" i="20"/>
  <c r="BF21" i="20"/>
  <c r="BE21" i="20"/>
  <c r="BD21" i="20"/>
  <c r="BC21" i="20"/>
  <c r="BB21" i="20"/>
  <c r="AZ21" i="20"/>
  <c r="AY21" i="20"/>
  <c r="AX21" i="20"/>
  <c r="AW21" i="20"/>
  <c r="AV21" i="20"/>
  <c r="AU21" i="20"/>
  <c r="AS21" i="20"/>
  <c r="AR21" i="20"/>
  <c r="AQ21" i="20"/>
  <c r="AP21" i="20"/>
  <c r="AO21" i="20"/>
  <c r="AN21" i="20"/>
  <c r="AL21" i="20"/>
  <c r="AK21" i="20"/>
  <c r="AJ21" i="20"/>
  <c r="AI21" i="20"/>
  <c r="AH21" i="20"/>
  <c r="AG21" i="20"/>
  <c r="AE21" i="20"/>
  <c r="AD21" i="20"/>
  <c r="AB21" i="20"/>
  <c r="AA21" i="20"/>
  <c r="Z21" i="20"/>
  <c r="Y21" i="20"/>
  <c r="X21" i="20"/>
  <c r="W21" i="20"/>
  <c r="V21" i="20"/>
  <c r="T21" i="20"/>
  <c r="S21" i="20"/>
  <c r="R21" i="20"/>
  <c r="Q21" i="20"/>
  <c r="E21" i="20"/>
  <c r="D21" i="20"/>
  <c r="CG20" i="20"/>
  <c r="CE20" i="20"/>
  <c r="CC20" i="20"/>
  <c r="CB20" i="20"/>
  <c r="CA20" i="20"/>
  <c r="BZ20" i="20"/>
  <c r="BY20" i="20"/>
  <c r="BX20" i="20"/>
  <c r="BW20" i="20"/>
  <c r="BV20" i="20"/>
  <c r="BU20" i="20"/>
  <c r="BT20" i="20"/>
  <c r="BN20" i="20"/>
  <c r="BM20" i="20"/>
  <c r="BK20" i="20"/>
  <c r="BJ20" i="20"/>
  <c r="BI20" i="20"/>
  <c r="BG20" i="20"/>
  <c r="BF20" i="20"/>
  <c r="BE20" i="20"/>
  <c r="BD20" i="20"/>
  <c r="BC20" i="20"/>
  <c r="BB20" i="20"/>
  <c r="AZ20" i="20"/>
  <c r="AY20" i="20"/>
  <c r="AX20" i="20"/>
  <c r="AW20" i="20"/>
  <c r="AV20" i="20"/>
  <c r="AU20" i="20"/>
  <c r="AS20" i="20"/>
  <c r="AR20" i="20"/>
  <c r="AQ20" i="20"/>
  <c r="AP20" i="20"/>
  <c r="AO20" i="20"/>
  <c r="AN20" i="20"/>
  <c r="AL20" i="20"/>
  <c r="AK20" i="20"/>
  <c r="AJ20" i="20"/>
  <c r="AI20" i="20"/>
  <c r="AH20" i="20"/>
  <c r="AG20" i="20"/>
  <c r="AE20" i="20"/>
  <c r="AD20" i="20"/>
  <c r="AB20" i="20"/>
  <c r="AA20" i="20"/>
  <c r="Z20" i="20"/>
  <c r="Y20" i="20"/>
  <c r="X20" i="20"/>
  <c r="W20" i="20"/>
  <c r="V20" i="20"/>
  <c r="T20" i="20"/>
  <c r="S20" i="20"/>
  <c r="R20" i="20"/>
  <c r="Q20" i="20"/>
  <c r="E20" i="20"/>
  <c r="D20" i="20"/>
  <c r="CG19" i="20"/>
  <c r="CE19" i="20"/>
  <c r="CC19" i="20"/>
  <c r="CB19" i="20"/>
  <c r="CA19" i="20"/>
  <c r="BZ19" i="20"/>
  <c r="BY19" i="20"/>
  <c r="BX19" i="20"/>
  <c r="BW19" i="20"/>
  <c r="BV19" i="20"/>
  <c r="BU19" i="20"/>
  <c r="BT19" i="20"/>
  <c r="BN19" i="20"/>
  <c r="BM19" i="20"/>
  <c r="BK19" i="20"/>
  <c r="BJ19" i="20"/>
  <c r="BI19" i="20"/>
  <c r="BG19" i="20"/>
  <c r="BF19" i="20"/>
  <c r="BE19" i="20"/>
  <c r="BD19" i="20"/>
  <c r="BC19" i="20"/>
  <c r="BB19" i="20"/>
  <c r="AZ19" i="20"/>
  <c r="AY19" i="20"/>
  <c r="AX19" i="20"/>
  <c r="AW19" i="20"/>
  <c r="AV19" i="20"/>
  <c r="AU19" i="20"/>
  <c r="AS19" i="20"/>
  <c r="AR19" i="20"/>
  <c r="AQ19" i="20"/>
  <c r="AP19" i="20"/>
  <c r="AO19" i="20"/>
  <c r="AN19" i="20"/>
  <c r="AL19" i="20"/>
  <c r="AK19" i="20"/>
  <c r="AJ19" i="20"/>
  <c r="AI19" i="20"/>
  <c r="AH19" i="20"/>
  <c r="AG19" i="20"/>
  <c r="AE19" i="20"/>
  <c r="AD19" i="20"/>
  <c r="AB19" i="20"/>
  <c r="AA19" i="20"/>
  <c r="Z19" i="20"/>
  <c r="Y19" i="20"/>
  <c r="X19" i="20"/>
  <c r="W19" i="20"/>
  <c r="V19" i="20"/>
  <c r="T19" i="20"/>
  <c r="S19" i="20"/>
  <c r="R19" i="20"/>
  <c r="Q19" i="20"/>
  <c r="E19" i="20"/>
  <c r="D19" i="20"/>
  <c r="CG18" i="20"/>
  <c r="CE18" i="20"/>
  <c r="CC18" i="20"/>
  <c r="CB18" i="20"/>
  <c r="CA18" i="20"/>
  <c r="BZ18" i="20"/>
  <c r="BY18" i="20"/>
  <c r="BX18" i="20"/>
  <c r="BW18" i="20"/>
  <c r="BV18" i="20"/>
  <c r="BU18" i="20"/>
  <c r="BT18" i="20"/>
  <c r="BN18" i="20"/>
  <c r="BM18" i="20"/>
  <c r="BK18" i="20"/>
  <c r="BJ18" i="20"/>
  <c r="BI18" i="20"/>
  <c r="BG18" i="20"/>
  <c r="BF18" i="20"/>
  <c r="BE18" i="20"/>
  <c r="BD18" i="20"/>
  <c r="BC18" i="20"/>
  <c r="BB18" i="20"/>
  <c r="AZ18" i="20"/>
  <c r="AY18" i="20"/>
  <c r="AX18" i="20"/>
  <c r="AW18" i="20"/>
  <c r="AV18" i="20"/>
  <c r="AU18" i="20"/>
  <c r="AS18" i="20"/>
  <c r="AR18" i="20"/>
  <c r="AQ18" i="20"/>
  <c r="AP18" i="20"/>
  <c r="AO18" i="20"/>
  <c r="AN18" i="20"/>
  <c r="AL18" i="20"/>
  <c r="AK18" i="20"/>
  <c r="AJ18" i="20"/>
  <c r="AI18" i="20"/>
  <c r="AH18" i="20"/>
  <c r="AG18" i="20"/>
  <c r="AE18" i="20"/>
  <c r="AD18" i="20"/>
  <c r="AB18" i="20"/>
  <c r="AA18" i="20"/>
  <c r="Z18" i="20"/>
  <c r="Y18" i="20"/>
  <c r="X18" i="20"/>
  <c r="W18" i="20"/>
  <c r="V18" i="20"/>
  <c r="T18" i="20"/>
  <c r="S18" i="20"/>
  <c r="R18" i="20"/>
  <c r="Q18" i="20"/>
  <c r="E18" i="20"/>
  <c r="D18" i="20"/>
  <c r="CG17" i="20"/>
  <c r="CE17" i="20"/>
  <c r="CC17" i="20"/>
  <c r="CB17" i="20"/>
  <c r="CA17" i="20"/>
  <c r="BZ17" i="20"/>
  <c r="BY17" i="20"/>
  <c r="BX17" i="20"/>
  <c r="BW17" i="20"/>
  <c r="BV17" i="20"/>
  <c r="BU17" i="20"/>
  <c r="BT17" i="20"/>
  <c r="BN17" i="20"/>
  <c r="BM17" i="20"/>
  <c r="BK17" i="20"/>
  <c r="BJ17" i="20"/>
  <c r="BI17" i="20"/>
  <c r="BG17" i="20"/>
  <c r="BF17" i="20"/>
  <c r="BE17" i="20"/>
  <c r="BD17" i="20"/>
  <c r="BC17" i="20"/>
  <c r="BB17" i="20"/>
  <c r="AZ17" i="20"/>
  <c r="AY17" i="20"/>
  <c r="AX17" i="20"/>
  <c r="AW17" i="20"/>
  <c r="AV17" i="20"/>
  <c r="AU17" i="20"/>
  <c r="AS17" i="20"/>
  <c r="AR17" i="20"/>
  <c r="AQ17" i="20"/>
  <c r="AP17" i="20"/>
  <c r="AO17" i="20"/>
  <c r="AN17" i="20"/>
  <c r="AL17" i="20"/>
  <c r="AK17" i="20"/>
  <c r="AJ17" i="20"/>
  <c r="AI17" i="20"/>
  <c r="AH17" i="20"/>
  <c r="AG17" i="20"/>
  <c r="AE17" i="20"/>
  <c r="AD17" i="20"/>
  <c r="AB17" i="20"/>
  <c r="AA17" i="20"/>
  <c r="Z17" i="20"/>
  <c r="Y17" i="20"/>
  <c r="X17" i="20"/>
  <c r="W17" i="20"/>
  <c r="V17" i="20"/>
  <c r="T17" i="20"/>
  <c r="S17" i="20"/>
  <c r="R17" i="20"/>
  <c r="Q17" i="20"/>
  <c r="E17" i="20"/>
  <c r="D17" i="20"/>
  <c r="CG16" i="20"/>
  <c r="CE16" i="20"/>
  <c r="CC16" i="20"/>
  <c r="CB16" i="20"/>
  <c r="CA16" i="20"/>
  <c r="BZ16" i="20"/>
  <c r="BY16" i="20"/>
  <c r="BX16" i="20"/>
  <c r="BW16" i="20"/>
  <c r="BV16" i="20"/>
  <c r="BU16" i="20"/>
  <c r="BT16" i="20"/>
  <c r="BN16" i="20"/>
  <c r="BM16" i="20"/>
  <c r="BK16" i="20"/>
  <c r="BJ16" i="20"/>
  <c r="BI16" i="20"/>
  <c r="BG16" i="20"/>
  <c r="BF16" i="20"/>
  <c r="BE16" i="20"/>
  <c r="BD16" i="20"/>
  <c r="BC16" i="20"/>
  <c r="BB16" i="20"/>
  <c r="AZ16" i="20"/>
  <c r="AY16" i="20"/>
  <c r="AX16" i="20"/>
  <c r="AW16" i="20"/>
  <c r="AV16" i="20"/>
  <c r="AU16" i="20"/>
  <c r="AS16" i="20"/>
  <c r="AR16" i="20"/>
  <c r="AQ16" i="20"/>
  <c r="AP16" i="20"/>
  <c r="AO16" i="20"/>
  <c r="AN16" i="20"/>
  <c r="AL16" i="20"/>
  <c r="AK16" i="20"/>
  <c r="AJ16" i="20"/>
  <c r="AI16" i="20"/>
  <c r="AH16" i="20"/>
  <c r="AG16" i="20"/>
  <c r="AE16" i="20"/>
  <c r="AD16" i="20"/>
  <c r="AB16" i="20"/>
  <c r="AA16" i="20"/>
  <c r="Z16" i="20"/>
  <c r="Y16" i="20"/>
  <c r="X16" i="20"/>
  <c r="W16" i="20"/>
  <c r="V16" i="20"/>
  <c r="T16" i="20"/>
  <c r="S16" i="20"/>
  <c r="R16" i="20"/>
  <c r="Q16" i="20"/>
  <c r="E16" i="20"/>
  <c r="D16" i="20"/>
  <c r="CG15" i="20"/>
  <c r="CE15" i="20"/>
  <c r="CC15" i="20"/>
  <c r="CB15" i="20"/>
  <c r="CA15" i="20"/>
  <c r="BZ15" i="20"/>
  <c r="BY15" i="20"/>
  <c r="BX15" i="20"/>
  <c r="BW15" i="20"/>
  <c r="BV15" i="20"/>
  <c r="BU15" i="20"/>
  <c r="BT15" i="20"/>
  <c r="BN15" i="20"/>
  <c r="BM15" i="20"/>
  <c r="BK15" i="20"/>
  <c r="BJ15" i="20"/>
  <c r="BI15" i="20"/>
  <c r="BG15" i="20"/>
  <c r="BF15" i="20"/>
  <c r="BE15" i="20"/>
  <c r="BD15" i="20"/>
  <c r="BC15" i="20"/>
  <c r="BB15" i="20"/>
  <c r="AZ15" i="20"/>
  <c r="AY15" i="20"/>
  <c r="AX15" i="20"/>
  <c r="AW15" i="20"/>
  <c r="AV15" i="20"/>
  <c r="AU15" i="20"/>
  <c r="AS15" i="20"/>
  <c r="AR15" i="20"/>
  <c r="AQ15" i="20"/>
  <c r="AP15" i="20"/>
  <c r="AO15" i="20"/>
  <c r="AN15" i="20"/>
  <c r="AL15" i="20"/>
  <c r="AK15" i="20"/>
  <c r="AJ15" i="20"/>
  <c r="AI15" i="20"/>
  <c r="AH15" i="20"/>
  <c r="AG15" i="20"/>
  <c r="AE15" i="20"/>
  <c r="AD15" i="20"/>
  <c r="AB15" i="20"/>
  <c r="AA15" i="20"/>
  <c r="Z15" i="20"/>
  <c r="Y15" i="20"/>
  <c r="X15" i="20"/>
  <c r="W15" i="20"/>
  <c r="V15" i="20"/>
  <c r="T15" i="20"/>
  <c r="S15" i="20"/>
  <c r="R15" i="20"/>
  <c r="Q15" i="20"/>
  <c r="E15" i="20"/>
  <c r="D15" i="20"/>
  <c r="CG14" i="20"/>
  <c r="CE14" i="20"/>
  <c r="CC14" i="20"/>
  <c r="CB14" i="20"/>
  <c r="CA14" i="20"/>
  <c r="BZ14" i="20"/>
  <c r="BY14" i="20"/>
  <c r="BX14" i="20"/>
  <c r="BW14" i="20"/>
  <c r="BV14" i="20"/>
  <c r="BU14" i="20"/>
  <c r="BT14" i="20"/>
  <c r="BN14" i="20"/>
  <c r="BM14" i="20"/>
  <c r="BK14" i="20"/>
  <c r="BJ14" i="20"/>
  <c r="BI14" i="20"/>
  <c r="BG14" i="20"/>
  <c r="BF14" i="20"/>
  <c r="BE14" i="20"/>
  <c r="BD14" i="20"/>
  <c r="BC14" i="20"/>
  <c r="BB14" i="20"/>
  <c r="AZ14" i="20"/>
  <c r="AY14" i="20"/>
  <c r="AX14" i="20"/>
  <c r="AW14" i="20"/>
  <c r="AV14" i="20"/>
  <c r="AU14" i="20"/>
  <c r="AS14" i="20"/>
  <c r="AR14" i="20"/>
  <c r="AQ14" i="20"/>
  <c r="AP14" i="20"/>
  <c r="AO14" i="20"/>
  <c r="AN14" i="20"/>
  <c r="AL14" i="20"/>
  <c r="AK14" i="20"/>
  <c r="AJ14" i="20"/>
  <c r="AI14" i="20"/>
  <c r="AH14" i="20"/>
  <c r="AG14" i="20"/>
  <c r="AE14" i="20"/>
  <c r="AD14" i="20"/>
  <c r="AB14" i="20"/>
  <c r="AA14" i="20"/>
  <c r="Z14" i="20"/>
  <c r="Y14" i="20"/>
  <c r="X14" i="20"/>
  <c r="W14" i="20"/>
  <c r="V14" i="20"/>
  <c r="T14" i="20"/>
  <c r="S14" i="20"/>
  <c r="R14" i="20"/>
  <c r="Q14" i="20"/>
  <c r="E14" i="20"/>
  <c r="D14" i="20"/>
  <c r="CG13" i="20"/>
  <c r="CE13" i="20"/>
  <c r="CC13" i="20"/>
  <c r="CB13" i="20"/>
  <c r="CA13" i="20"/>
  <c r="BZ13" i="20"/>
  <c r="BY13" i="20"/>
  <c r="BX13" i="20"/>
  <c r="BW13" i="20"/>
  <c r="BV13" i="20"/>
  <c r="BU13" i="20"/>
  <c r="BT13" i="20"/>
  <c r="BN13" i="20"/>
  <c r="BM13" i="20"/>
  <c r="BK13" i="20"/>
  <c r="BJ13" i="20"/>
  <c r="BI13" i="20"/>
  <c r="BG13" i="20"/>
  <c r="BF13" i="20"/>
  <c r="BE13" i="20"/>
  <c r="BD13" i="20"/>
  <c r="BC13" i="20"/>
  <c r="BB13" i="20"/>
  <c r="AZ13" i="20"/>
  <c r="AY13" i="20"/>
  <c r="AX13" i="20"/>
  <c r="AW13" i="20"/>
  <c r="AV13" i="20"/>
  <c r="AU13" i="20"/>
  <c r="AS13" i="20"/>
  <c r="AR13" i="20"/>
  <c r="AQ13" i="20"/>
  <c r="AP13" i="20"/>
  <c r="AO13" i="20"/>
  <c r="AN13" i="20"/>
  <c r="AL13" i="20"/>
  <c r="AK13" i="20"/>
  <c r="AJ13" i="20"/>
  <c r="AI13" i="20"/>
  <c r="AH13" i="20"/>
  <c r="AG13" i="20"/>
  <c r="AE13" i="20"/>
  <c r="AD13" i="20"/>
  <c r="AB13" i="20"/>
  <c r="AA13" i="20"/>
  <c r="Z13" i="20"/>
  <c r="Y13" i="20"/>
  <c r="X13" i="20"/>
  <c r="W13" i="20"/>
  <c r="V13" i="20"/>
  <c r="T13" i="20"/>
  <c r="S13" i="20"/>
  <c r="R13" i="20"/>
  <c r="Q13" i="20"/>
  <c r="E13" i="20"/>
  <c r="D13" i="20"/>
  <c r="CG12" i="20"/>
  <c r="CE12" i="20"/>
  <c r="CC12" i="20"/>
  <c r="CB12" i="20"/>
  <c r="CA12" i="20"/>
  <c r="BZ12" i="20"/>
  <c r="BY12" i="20"/>
  <c r="BX12" i="20"/>
  <c r="BW12" i="20"/>
  <c r="BV12" i="20"/>
  <c r="BU12" i="20"/>
  <c r="BT12" i="20"/>
  <c r="BN12" i="20"/>
  <c r="BM12" i="20"/>
  <c r="BK12" i="20"/>
  <c r="BJ12" i="20"/>
  <c r="BI12" i="20"/>
  <c r="BG12" i="20"/>
  <c r="BF12" i="20"/>
  <c r="BE12" i="20"/>
  <c r="BD12" i="20"/>
  <c r="BC12" i="20"/>
  <c r="BB12" i="20"/>
  <c r="AZ12" i="20"/>
  <c r="AY12" i="20"/>
  <c r="AX12" i="20"/>
  <c r="AW12" i="20"/>
  <c r="AV12" i="20"/>
  <c r="AU12" i="20"/>
  <c r="AS12" i="20"/>
  <c r="AR12" i="20"/>
  <c r="AQ12" i="20"/>
  <c r="AP12" i="20"/>
  <c r="AO12" i="20"/>
  <c r="AN12" i="20"/>
  <c r="AL12" i="20"/>
  <c r="AK12" i="20"/>
  <c r="AJ12" i="20"/>
  <c r="AI12" i="20"/>
  <c r="AH12" i="20"/>
  <c r="AG12" i="20"/>
  <c r="AE12" i="20"/>
  <c r="AD12" i="20"/>
  <c r="AB12" i="20"/>
  <c r="AA12" i="20"/>
  <c r="Z12" i="20"/>
  <c r="Y12" i="20"/>
  <c r="X12" i="20"/>
  <c r="W12" i="20"/>
  <c r="V12" i="20"/>
  <c r="T12" i="20"/>
  <c r="S12" i="20"/>
  <c r="R12" i="20"/>
  <c r="Q12" i="20"/>
  <c r="E12" i="20"/>
  <c r="D12" i="20"/>
  <c r="CG11" i="20"/>
  <c r="CE11" i="20"/>
  <c r="CC11" i="20"/>
  <c r="CB11" i="20"/>
  <c r="CA11" i="20"/>
  <c r="BZ11" i="20"/>
  <c r="BY11" i="20"/>
  <c r="BX11" i="20"/>
  <c r="BW11" i="20"/>
  <c r="BV11" i="20"/>
  <c r="BU11" i="20"/>
  <c r="BT11" i="20"/>
  <c r="BN11" i="20"/>
  <c r="BM11" i="20"/>
  <c r="BK11" i="20"/>
  <c r="BJ11" i="20"/>
  <c r="BI11" i="20"/>
  <c r="BG11" i="20"/>
  <c r="BF11" i="20"/>
  <c r="BE11" i="20"/>
  <c r="BD11" i="20"/>
  <c r="BC11" i="20"/>
  <c r="BB11" i="20"/>
  <c r="AZ11" i="20"/>
  <c r="AY11" i="20"/>
  <c r="AX11" i="20"/>
  <c r="AW11" i="20"/>
  <c r="AV11" i="20"/>
  <c r="AU11" i="20"/>
  <c r="AS11" i="20"/>
  <c r="AR11" i="20"/>
  <c r="AQ11" i="20"/>
  <c r="AP11" i="20"/>
  <c r="AO11" i="20"/>
  <c r="AN11" i="20"/>
  <c r="AL11" i="20"/>
  <c r="AK11" i="20"/>
  <c r="AJ11" i="20"/>
  <c r="AI11" i="20"/>
  <c r="AH11" i="20"/>
  <c r="AG11" i="20"/>
  <c r="AE11" i="20"/>
  <c r="AD11" i="20"/>
  <c r="AB11" i="20"/>
  <c r="AA11" i="20"/>
  <c r="Z11" i="20"/>
  <c r="Y11" i="20"/>
  <c r="X11" i="20"/>
  <c r="W11" i="20"/>
  <c r="V11" i="20"/>
  <c r="T11" i="20"/>
  <c r="S11" i="20"/>
  <c r="R11" i="20"/>
  <c r="Q11" i="20"/>
  <c r="E11" i="20"/>
  <c r="D11" i="20"/>
  <c r="CG10" i="20"/>
  <c r="CE10" i="20"/>
  <c r="CC10" i="20"/>
  <c r="CB10" i="20"/>
  <c r="CA10" i="20"/>
  <c r="BZ10" i="20"/>
  <c r="BY10" i="20"/>
  <c r="BX10" i="20"/>
  <c r="BW10" i="20"/>
  <c r="BV10" i="20"/>
  <c r="BU10" i="20"/>
  <c r="BT10" i="20"/>
  <c r="BN10" i="20"/>
  <c r="BM10" i="20"/>
  <c r="BK10" i="20"/>
  <c r="BJ10" i="20"/>
  <c r="BI10" i="20"/>
  <c r="BG10" i="20"/>
  <c r="BF10" i="20"/>
  <c r="BE10" i="20"/>
  <c r="BD10" i="20"/>
  <c r="BC10" i="20"/>
  <c r="BB10" i="20"/>
  <c r="AZ10" i="20"/>
  <c r="AY10" i="20"/>
  <c r="AX10" i="20"/>
  <c r="AW10" i="20"/>
  <c r="AV10" i="20"/>
  <c r="AU10" i="20"/>
  <c r="AS10" i="20"/>
  <c r="AR10" i="20"/>
  <c r="AQ10" i="20"/>
  <c r="AP10" i="20"/>
  <c r="AO10" i="20"/>
  <c r="AN10" i="20"/>
  <c r="AL10" i="20"/>
  <c r="AK10" i="20"/>
  <c r="AJ10" i="20"/>
  <c r="AI10" i="20"/>
  <c r="AH10" i="20"/>
  <c r="AG10" i="20"/>
  <c r="AE10" i="20"/>
  <c r="AD10" i="20"/>
  <c r="AB10" i="20"/>
  <c r="AA10" i="20"/>
  <c r="Z10" i="20"/>
  <c r="Y10" i="20"/>
  <c r="X10" i="20"/>
  <c r="W10" i="20"/>
  <c r="V10" i="20"/>
  <c r="T10" i="20"/>
  <c r="S10" i="20"/>
  <c r="R10" i="20"/>
  <c r="Q10" i="20"/>
  <c r="E10" i="20"/>
  <c r="D10" i="20"/>
  <c r="CG9" i="20"/>
  <c r="CE9" i="20"/>
  <c r="CC9" i="20"/>
  <c r="CB9" i="20"/>
  <c r="CA9" i="20"/>
  <c r="BZ9" i="20"/>
  <c r="BY9" i="20"/>
  <c r="BX9" i="20"/>
  <c r="BW9" i="20"/>
  <c r="BV9" i="20"/>
  <c r="BU9" i="20"/>
  <c r="BT9" i="20"/>
  <c r="BN9" i="20"/>
  <c r="BM9" i="20"/>
  <c r="BK9" i="20"/>
  <c r="BJ9" i="20"/>
  <c r="BI9" i="20"/>
  <c r="BG9" i="20"/>
  <c r="BF9" i="20"/>
  <c r="BE9" i="20"/>
  <c r="BD9" i="20"/>
  <c r="BC9" i="20"/>
  <c r="BB9" i="20"/>
  <c r="AZ9" i="20"/>
  <c r="AY9" i="20"/>
  <c r="AX9" i="20"/>
  <c r="AW9" i="20"/>
  <c r="AV9" i="20"/>
  <c r="AU9" i="20"/>
  <c r="AS9" i="20"/>
  <c r="AR9" i="20"/>
  <c r="AQ9" i="20"/>
  <c r="AP9" i="20"/>
  <c r="AO9" i="20"/>
  <c r="AN9" i="20"/>
  <c r="AL9" i="20"/>
  <c r="AK9" i="20"/>
  <c r="AJ9" i="20"/>
  <c r="AI9" i="20"/>
  <c r="AH9" i="20"/>
  <c r="AG9" i="20"/>
  <c r="AE9" i="20"/>
  <c r="AD9" i="20"/>
  <c r="AB9" i="20"/>
  <c r="AA9" i="20"/>
  <c r="Z9" i="20"/>
  <c r="Y9" i="20"/>
  <c r="X9" i="20"/>
  <c r="W9" i="20"/>
  <c r="V9" i="20"/>
  <c r="T9" i="20"/>
  <c r="S9" i="20"/>
  <c r="R9" i="20"/>
  <c r="Q9" i="20"/>
  <c r="E9" i="20"/>
  <c r="D9" i="20"/>
  <c r="CG8" i="20"/>
  <c r="CE8" i="20"/>
  <c r="CC8" i="20"/>
  <c r="CB8" i="20"/>
  <c r="CA8" i="20"/>
  <c r="BZ8" i="20"/>
  <c r="BY8" i="20"/>
  <c r="BX8" i="20"/>
  <c r="BW8" i="20"/>
  <c r="BV8" i="20"/>
  <c r="BU8" i="20"/>
  <c r="BT8" i="20"/>
  <c r="BN8" i="20"/>
  <c r="BM8" i="20"/>
  <c r="BK8" i="20"/>
  <c r="BJ8" i="20"/>
  <c r="BI8" i="20"/>
  <c r="BG8" i="20"/>
  <c r="BF8" i="20"/>
  <c r="BE8" i="20"/>
  <c r="BD8" i="20"/>
  <c r="BC8" i="20"/>
  <c r="BB8" i="20"/>
  <c r="AZ8" i="20"/>
  <c r="AY8" i="20"/>
  <c r="AX8" i="20"/>
  <c r="AW8" i="20"/>
  <c r="AV8" i="20"/>
  <c r="AU8" i="20"/>
  <c r="AS8" i="20"/>
  <c r="AR8" i="20"/>
  <c r="AQ8" i="20"/>
  <c r="AP8" i="20"/>
  <c r="AO8" i="20"/>
  <c r="AN8" i="20"/>
  <c r="AL8" i="20"/>
  <c r="AK8" i="20"/>
  <c r="AJ8" i="20"/>
  <c r="AI8" i="20"/>
  <c r="AH8" i="20"/>
  <c r="AG8" i="20"/>
  <c r="AE8" i="20"/>
  <c r="AD8" i="20"/>
  <c r="AB8" i="20"/>
  <c r="AA8" i="20"/>
  <c r="Z8" i="20"/>
  <c r="Y8" i="20"/>
  <c r="X8" i="20"/>
  <c r="W8" i="20"/>
  <c r="V8" i="20"/>
  <c r="T8" i="20"/>
  <c r="S8" i="20"/>
  <c r="R8" i="20"/>
  <c r="Q8" i="20"/>
  <c r="E8" i="20"/>
  <c r="D8" i="20"/>
  <c r="CG7" i="20"/>
  <c r="CE7" i="20"/>
  <c r="CC7" i="20"/>
  <c r="CB7" i="20"/>
  <c r="CA7" i="20"/>
  <c r="BZ7" i="20"/>
  <c r="BY7" i="20"/>
  <c r="BX7" i="20"/>
  <c r="BW7" i="20"/>
  <c r="BV7" i="20"/>
  <c r="BU7" i="20"/>
  <c r="BT7" i="20"/>
  <c r="BN7" i="20"/>
  <c r="BM7" i="20"/>
  <c r="BK7" i="20"/>
  <c r="BJ7" i="20"/>
  <c r="BI7" i="20"/>
  <c r="BG7" i="20"/>
  <c r="BF7" i="20"/>
  <c r="BE7" i="20"/>
  <c r="BD7" i="20"/>
  <c r="BC7" i="20"/>
  <c r="BB7" i="20"/>
  <c r="AZ7" i="20"/>
  <c r="AY7" i="20"/>
  <c r="AX7" i="20"/>
  <c r="AW7" i="20"/>
  <c r="AV7" i="20"/>
  <c r="AU7" i="20"/>
  <c r="AS7" i="20"/>
  <c r="AR7" i="20"/>
  <c r="AQ7" i="20"/>
  <c r="AP7" i="20"/>
  <c r="AO7" i="20"/>
  <c r="AN7" i="20"/>
  <c r="AL7" i="20"/>
  <c r="AK7" i="20"/>
  <c r="AJ7" i="20"/>
  <c r="AI7" i="20"/>
  <c r="AH7" i="20"/>
  <c r="AG7" i="20"/>
  <c r="AE7" i="20"/>
  <c r="AD7" i="20"/>
  <c r="AB7" i="20"/>
  <c r="AA7" i="20"/>
  <c r="Z7" i="20"/>
  <c r="Y7" i="20"/>
  <c r="X7" i="20"/>
  <c r="W7" i="20"/>
  <c r="V7" i="20"/>
  <c r="T7" i="20"/>
  <c r="S7" i="20"/>
  <c r="R7" i="20"/>
  <c r="Q7" i="20"/>
  <c r="E7" i="20"/>
  <c r="D7" i="20"/>
  <c r="CG6" i="20"/>
  <c r="CE6" i="20"/>
  <c r="CC6" i="20"/>
  <c r="CB6" i="20"/>
  <c r="CA6" i="20"/>
  <c r="BZ6" i="20"/>
  <c r="BY6" i="20"/>
  <c r="BX6" i="20"/>
  <c r="BW6" i="20"/>
  <c r="BV6" i="20"/>
  <c r="BU6" i="20"/>
  <c r="BT6" i="20"/>
  <c r="BN6" i="20"/>
  <c r="BM6" i="20"/>
  <c r="BK6" i="20"/>
  <c r="BJ6" i="20"/>
  <c r="BI6" i="20"/>
  <c r="BG6" i="20"/>
  <c r="BF6" i="20"/>
  <c r="BE6" i="20"/>
  <c r="BD6" i="20"/>
  <c r="BC6" i="20"/>
  <c r="BB6" i="20"/>
  <c r="AZ6" i="20"/>
  <c r="AY6" i="20"/>
  <c r="AX6" i="20"/>
  <c r="AW6" i="20"/>
  <c r="AV6" i="20"/>
  <c r="AU6" i="20"/>
  <c r="AS6" i="20"/>
  <c r="AR6" i="20"/>
  <c r="AQ6" i="20"/>
  <c r="AP6" i="20"/>
  <c r="AO6" i="20"/>
  <c r="AN6" i="20"/>
  <c r="AL6" i="20"/>
  <c r="AK6" i="20"/>
  <c r="AJ6" i="20"/>
  <c r="AI6" i="20"/>
  <c r="AH6" i="20"/>
  <c r="AG6" i="20"/>
  <c r="AE6" i="20"/>
  <c r="AD6" i="20"/>
  <c r="AB6" i="20"/>
  <c r="AA6" i="20"/>
  <c r="Z6" i="20"/>
  <c r="Y6" i="20"/>
  <c r="X6" i="20"/>
  <c r="W6" i="20"/>
  <c r="V6" i="20"/>
  <c r="T6" i="20"/>
  <c r="S6" i="20"/>
  <c r="R6" i="20"/>
  <c r="Q6" i="20"/>
  <c r="E6" i="20"/>
  <c r="D6" i="20"/>
  <c r="CG5" i="20"/>
  <c r="CE5" i="20"/>
  <c r="CC5" i="20"/>
  <c r="CB5" i="20"/>
  <c r="CA5" i="20"/>
  <c r="BZ5" i="20"/>
  <c r="BY5" i="20"/>
  <c r="BX5" i="20"/>
  <c r="BW5" i="20"/>
  <c r="BV5" i="20"/>
  <c r="BU5" i="20"/>
  <c r="BT5" i="20"/>
  <c r="BN5" i="20"/>
  <c r="BM5" i="20"/>
  <c r="BK5" i="20"/>
  <c r="BJ5" i="20"/>
  <c r="BI5" i="20"/>
  <c r="BG5" i="20"/>
  <c r="BF5" i="20"/>
  <c r="BE5" i="20"/>
  <c r="BD5" i="20"/>
  <c r="BC5" i="20"/>
  <c r="BB5" i="20"/>
  <c r="AZ5" i="20"/>
  <c r="AY5" i="20"/>
  <c r="AX5" i="20"/>
  <c r="AW5" i="20"/>
  <c r="AV5" i="20"/>
  <c r="AU5" i="20"/>
  <c r="AS5" i="20"/>
  <c r="AR5" i="20"/>
  <c r="AQ5" i="20"/>
  <c r="AP5" i="20"/>
  <c r="AO5" i="20"/>
  <c r="AN5" i="20"/>
  <c r="AL5" i="20"/>
  <c r="AK5" i="20"/>
  <c r="AJ5" i="20"/>
  <c r="AI5" i="20"/>
  <c r="AH5" i="20"/>
  <c r="AG5" i="20"/>
  <c r="AE5" i="20"/>
  <c r="AD5" i="20"/>
  <c r="AB5" i="20"/>
  <c r="AA5" i="20"/>
  <c r="Z5" i="20"/>
  <c r="Y5" i="20"/>
  <c r="X5" i="20"/>
  <c r="W5" i="20"/>
  <c r="V5" i="20"/>
  <c r="T5" i="20"/>
  <c r="S5" i="20"/>
  <c r="R5" i="20"/>
  <c r="Q5" i="20"/>
  <c r="E5" i="20"/>
  <c r="D5" i="20"/>
  <c r="CG4" i="20"/>
  <c r="CF4" i="20"/>
  <c r="CE4" i="20"/>
  <c r="CC4" i="20"/>
  <c r="CB4" i="20"/>
  <c r="CA4" i="20"/>
  <c r="BZ4" i="20"/>
  <c r="BY4" i="20"/>
  <c r="BX4" i="20"/>
  <c r="BW4" i="20"/>
  <c r="BV4" i="20"/>
  <c r="BU4" i="20"/>
  <c r="BT4" i="20"/>
  <c r="BN4" i="20"/>
  <c r="BM4" i="20"/>
  <c r="BL4" i="20"/>
  <c r="BK4" i="20"/>
  <c r="BJ4" i="20"/>
  <c r="BI4" i="20"/>
  <c r="BG4" i="20"/>
  <c r="BF4" i="20"/>
  <c r="BE4" i="20"/>
  <c r="BD4" i="20"/>
  <c r="BC4" i="20"/>
  <c r="BB4" i="20"/>
  <c r="AZ4" i="20"/>
  <c r="AY4" i="20"/>
  <c r="AW4" i="20"/>
  <c r="AV4" i="20"/>
  <c r="AU4" i="20"/>
  <c r="AS4" i="20"/>
  <c r="AR4" i="20"/>
  <c r="AQ4" i="20"/>
  <c r="AP4" i="20"/>
  <c r="AO4" i="20"/>
  <c r="AN4" i="20"/>
  <c r="AL4" i="20"/>
  <c r="AK4" i="20"/>
  <c r="AJ4" i="20"/>
  <c r="AI4" i="20"/>
  <c r="AH4" i="20"/>
  <c r="AG4" i="20"/>
  <c r="AE4" i="20"/>
  <c r="AD4" i="20"/>
  <c r="AB4" i="20"/>
  <c r="AA4" i="20"/>
  <c r="Z4" i="20"/>
  <c r="Y4" i="20"/>
  <c r="X4" i="20"/>
  <c r="W4" i="20"/>
  <c r="V4" i="20"/>
  <c r="T4" i="20"/>
  <c r="S4" i="20"/>
  <c r="R4" i="20"/>
  <c r="Q4" i="20"/>
  <c r="E4" i="20"/>
  <c r="D4" i="20"/>
  <c r="CG3" i="20"/>
  <c r="CE3" i="20"/>
  <c r="AF3" i="20"/>
  <c r="AC160" i="20" l="1"/>
  <c r="AC184" i="20"/>
  <c r="AC219" i="20"/>
  <c r="AC232" i="20"/>
  <c r="AC74" i="20"/>
  <c r="AC146" i="20"/>
  <c r="AC154" i="20"/>
  <c r="AC270" i="20"/>
  <c r="AC267" i="20"/>
  <c r="AC268" i="20"/>
  <c r="AC272" i="20"/>
  <c r="AC276" i="20"/>
  <c r="AC291" i="20"/>
  <c r="AC263" i="20"/>
  <c r="AC286" i="20"/>
  <c r="AC21" i="20"/>
  <c r="AC29" i="20"/>
  <c r="AC37" i="20"/>
  <c r="AC50" i="20"/>
  <c r="AC58" i="20"/>
  <c r="AC94" i="20"/>
  <c r="AC98" i="20"/>
  <c r="AC104" i="20"/>
  <c r="AC167" i="20"/>
  <c r="AC171" i="20"/>
  <c r="AC175" i="20"/>
  <c r="AC222" i="20"/>
  <c r="AC274" i="20"/>
  <c r="AC277" i="20"/>
  <c r="AC281" i="20"/>
  <c r="AC16" i="20"/>
  <c r="AC24" i="20"/>
  <c r="AC32" i="20"/>
  <c r="AC40" i="20"/>
  <c r="AC44" i="20"/>
  <c r="AC77" i="20"/>
  <c r="AC103" i="20"/>
  <c r="AC153" i="20"/>
  <c r="AC159" i="20"/>
  <c r="AC162" i="20"/>
  <c r="AC188" i="20"/>
  <c r="AC192" i="20"/>
  <c r="AC236" i="20"/>
  <c r="AC240" i="20"/>
  <c r="AC244" i="20"/>
  <c r="AC284" i="20"/>
  <c r="AC288" i="20"/>
  <c r="AC290" i="20"/>
  <c r="AC51" i="20"/>
  <c r="AC59" i="20"/>
  <c r="AC63" i="20"/>
  <c r="AC67" i="20"/>
  <c r="AC71" i="20"/>
  <c r="AC83" i="20"/>
  <c r="AC96" i="20"/>
  <c r="AC100" i="20"/>
  <c r="AC102" i="20"/>
  <c r="AC144" i="20"/>
  <c r="AC165" i="20"/>
  <c r="AC169" i="20"/>
  <c r="AC173" i="20"/>
  <c r="AC177" i="20"/>
  <c r="AC181" i="20"/>
  <c r="AC231" i="20"/>
  <c r="AC6" i="20"/>
  <c r="AC8" i="20"/>
  <c r="AC10" i="20"/>
  <c r="AC12" i="20"/>
  <c r="AC14" i="20"/>
  <c r="AC19" i="20"/>
  <c r="AC22" i="20"/>
  <c r="AC27" i="20"/>
  <c r="AC30" i="20"/>
  <c r="AC35" i="20"/>
  <c r="AC38" i="20"/>
  <c r="AC41" i="20"/>
  <c r="AC45" i="20"/>
  <c r="AC4" i="20"/>
  <c r="AC5" i="20"/>
  <c r="AC17" i="20"/>
  <c r="AC20" i="20"/>
  <c r="AC25" i="20"/>
  <c r="AC28" i="20"/>
  <c r="AC33" i="20"/>
  <c r="AC36" i="20"/>
  <c r="AC42" i="20"/>
  <c r="AC46" i="20"/>
  <c r="AC48" i="20"/>
  <c r="AC49" i="20"/>
  <c r="AC7" i="20"/>
  <c r="AC9" i="20"/>
  <c r="AC11" i="20"/>
  <c r="AC13" i="20"/>
  <c r="AC15" i="20"/>
  <c r="AC18" i="20"/>
  <c r="AC23" i="20"/>
  <c r="AC26" i="20"/>
  <c r="AC31" i="20"/>
  <c r="AC34" i="20"/>
  <c r="AC39" i="20"/>
  <c r="AC43" i="20"/>
  <c r="AC47" i="20"/>
  <c r="AC52" i="20"/>
  <c r="AC53" i="20"/>
  <c r="AC60" i="20"/>
  <c r="AC64" i="20"/>
  <c r="AC68" i="20"/>
  <c r="AC72" i="20"/>
  <c r="AC75" i="20"/>
  <c r="AC80" i="20"/>
  <c r="AC87" i="20"/>
  <c r="AC99" i="20"/>
  <c r="AC54" i="20"/>
  <c r="AC55" i="20"/>
  <c r="AC61" i="20"/>
  <c r="AC65" i="20"/>
  <c r="AC69" i="20"/>
  <c r="AC73" i="20"/>
  <c r="AC78" i="20"/>
  <c r="AC85" i="20"/>
  <c r="AC91" i="20"/>
  <c r="AC93" i="20"/>
  <c r="AC95" i="20"/>
  <c r="AC97" i="20"/>
  <c r="AC56" i="20"/>
  <c r="AC57" i="20"/>
  <c r="AC62" i="20"/>
  <c r="AC66" i="20"/>
  <c r="AC70" i="20"/>
  <c r="AC76" i="20"/>
  <c r="AC79" i="20"/>
  <c r="AC81" i="20"/>
  <c r="AC89" i="20"/>
  <c r="AC92" i="20"/>
  <c r="AC101" i="20"/>
  <c r="AC106" i="20"/>
  <c r="AC108" i="20"/>
  <c r="AC110" i="20"/>
  <c r="AC112" i="20"/>
  <c r="AC114" i="20"/>
  <c r="AC116" i="20"/>
  <c r="AC118" i="20"/>
  <c r="AC120" i="20"/>
  <c r="AC122" i="20"/>
  <c r="AC124" i="20"/>
  <c r="AC126" i="20"/>
  <c r="AC128" i="20"/>
  <c r="AC130" i="20"/>
  <c r="AC132" i="20"/>
  <c r="AC134" i="20"/>
  <c r="AC136" i="20"/>
  <c r="AC137" i="20"/>
  <c r="AC141" i="20"/>
  <c r="AC147" i="20"/>
  <c r="AC151" i="20"/>
  <c r="AC166" i="20"/>
  <c r="AC105" i="20"/>
  <c r="AC107" i="20"/>
  <c r="AC109" i="20"/>
  <c r="AC111" i="20"/>
  <c r="AC113" i="20"/>
  <c r="AC115" i="20"/>
  <c r="AC117" i="20"/>
  <c r="AC119" i="20"/>
  <c r="AC121" i="20"/>
  <c r="AC123" i="20"/>
  <c r="AC125" i="20"/>
  <c r="AC127" i="20"/>
  <c r="AC129" i="20"/>
  <c r="AC131" i="20"/>
  <c r="AC133" i="20"/>
  <c r="AC135" i="20"/>
  <c r="AC143" i="20"/>
  <c r="AC149" i="20"/>
  <c r="AC138" i="20"/>
  <c r="AC139" i="20"/>
  <c r="AC150" i="20"/>
  <c r="AC152" i="20"/>
  <c r="AC182" i="20"/>
  <c r="AC187" i="20"/>
  <c r="AC189" i="20"/>
  <c r="AC194" i="20"/>
  <c r="AC195" i="20"/>
  <c r="AC200" i="20"/>
  <c r="AC209" i="20"/>
  <c r="AC210" i="20"/>
  <c r="AC155" i="20"/>
  <c r="AC156" i="20"/>
  <c r="AC163" i="20"/>
  <c r="AC168" i="20"/>
  <c r="AC170" i="20"/>
  <c r="AC172" i="20"/>
  <c r="AC174" i="20"/>
  <c r="AC176" i="20"/>
  <c r="AC178" i="20"/>
  <c r="AC180" i="20"/>
  <c r="AC185" i="20"/>
  <c r="AC190" i="20"/>
  <c r="AC196" i="20"/>
  <c r="AC197" i="20"/>
  <c r="AC204" i="20"/>
  <c r="AC157" i="20"/>
  <c r="AC158" i="20"/>
  <c r="AC161" i="20"/>
  <c r="AC164" i="20"/>
  <c r="AC179" i="20"/>
  <c r="AC183" i="20"/>
  <c r="AC186" i="20"/>
  <c r="AC191" i="20"/>
  <c r="AC193" i="20"/>
  <c r="AC198" i="20"/>
  <c r="AC199" i="20"/>
  <c r="AC201" i="20"/>
  <c r="AC205" i="20"/>
  <c r="AC213" i="20"/>
  <c r="AC214" i="20"/>
  <c r="AC216" i="20"/>
  <c r="AC217" i="20"/>
  <c r="AC226" i="20"/>
  <c r="AC202" i="20"/>
  <c r="AC203" i="20"/>
  <c r="AC206" i="20"/>
  <c r="AC207" i="20"/>
  <c r="AC208" i="20"/>
  <c r="AC211" i="20"/>
  <c r="AC224" i="20"/>
  <c r="AC230" i="20"/>
  <c r="AC242" i="20"/>
  <c r="AC246" i="20"/>
  <c r="AC212" i="20"/>
  <c r="AC215" i="20"/>
  <c r="AC220" i="20"/>
  <c r="AC227" i="20"/>
  <c r="AC248" i="20"/>
  <c r="AC250" i="20"/>
  <c r="AC252" i="20"/>
  <c r="AC253" i="20"/>
  <c r="AC255" i="20"/>
  <c r="AC257" i="20"/>
  <c r="AC259" i="20"/>
  <c r="AC254" i="20"/>
  <c r="AC256" i="20"/>
  <c r="AC258" i="20"/>
  <c r="AC260" i="20"/>
  <c r="AC266" i="20"/>
  <c r="AC239" i="20"/>
  <c r="AC241" i="20"/>
  <c r="AC243" i="20"/>
  <c r="AC245" i="20"/>
  <c r="AC247" i="20"/>
  <c r="AC249" i="20"/>
  <c r="AC251" i="20"/>
  <c r="AC261" i="20"/>
  <c r="AC262" i="20"/>
  <c r="AC264" i="20"/>
  <c r="AC265" i="20"/>
  <c r="AC278" i="20"/>
  <c r="AC279" i="20"/>
  <c r="AC282" i="20"/>
  <c r="AC293" i="20"/>
  <c r="AC285" i="20"/>
  <c r="AC287" i="20"/>
  <c r="AC289" i="20"/>
  <c r="AC269" i="20"/>
  <c r="AC271" i="20"/>
  <c r="AC273" i="20"/>
  <c r="AC275" i="20"/>
  <c r="AC280" i="20"/>
  <c r="AC283" i="20"/>
  <c r="AC292" i="20"/>
  <c r="AC88" i="20"/>
  <c r="AC82" i="20"/>
  <c r="AC90" i="20"/>
  <c r="AC84" i="20"/>
  <c r="AC86" i="20"/>
  <c r="AC148" i="20"/>
  <c r="AC140" i="20"/>
  <c r="AC142" i="20"/>
  <c r="AC145" i="20"/>
  <c r="AC218" i="20"/>
  <c r="AC221" i="20"/>
  <c r="AC233" i="20"/>
  <c r="AC234" i="20"/>
  <c r="AC237" i="20"/>
  <c r="AC238" i="20"/>
  <c r="AC223" i="20"/>
  <c r="AC228" i="20"/>
  <c r="AC229" i="20"/>
  <c r="AC225" i="20"/>
  <c r="AC235" i="20"/>
  <c r="T296" i="10" l="1"/>
  <c r="T298" i="10"/>
  <c r="T300" i="10"/>
  <c r="T303" i="10"/>
  <c r="T304" i="10"/>
  <c r="T305" i="10"/>
  <c r="T306" i="10"/>
  <c r="T308" i="10"/>
  <c r="T309" i="10"/>
  <c r="T310" i="10"/>
  <c r="T311" i="10"/>
  <c r="T312" i="10"/>
  <c r="T314" i="10"/>
  <c r="T315" i="10"/>
  <c r="T316" i="10"/>
  <c r="T317" i="10"/>
  <c r="T318" i="10"/>
  <c r="T319" i="10"/>
  <c r="T247" i="10"/>
  <c r="T321" i="10"/>
  <c r="T4" i="10"/>
  <c r="T5" i="10"/>
  <c r="T6" i="10"/>
  <c r="T7" i="10"/>
  <c r="T8" i="10"/>
  <c r="T9" i="10"/>
  <c r="T10" i="10"/>
  <c r="T11" i="10"/>
  <c r="T12" i="10"/>
  <c r="T13" i="10"/>
  <c r="T14" i="10"/>
  <c r="T15" i="10"/>
  <c r="T17" i="10"/>
  <c r="T18" i="10"/>
  <c r="T20" i="10"/>
  <c r="T21" i="10"/>
  <c r="T22" i="10"/>
  <c r="T24" i="10"/>
  <c r="T25" i="10"/>
  <c r="T26" i="10"/>
  <c r="T27" i="10"/>
  <c r="T28" i="10"/>
  <c r="T29" i="10"/>
  <c r="T30" i="10"/>
  <c r="T31" i="10"/>
  <c r="T32" i="10"/>
  <c r="T34" i="10"/>
  <c r="T36" i="10"/>
  <c r="T37" i="10"/>
  <c r="T38" i="10"/>
  <c r="T40" i="10"/>
  <c r="T41" i="10"/>
  <c r="T42" i="10"/>
  <c r="T43" i="10"/>
  <c r="T44" i="10"/>
  <c r="T45" i="10"/>
  <c r="T46" i="10"/>
  <c r="T47" i="10"/>
  <c r="T48" i="10"/>
  <c r="T49" i="10"/>
  <c r="T50" i="10"/>
  <c r="T51" i="10"/>
  <c r="T54" i="10"/>
  <c r="T57" i="10"/>
  <c r="T58" i="10"/>
  <c r="T59" i="10"/>
  <c r="T60" i="10"/>
  <c r="T61" i="10"/>
  <c r="T62" i="10"/>
  <c r="T63" i="10"/>
  <c r="T64" i="10"/>
  <c r="T66" i="10"/>
  <c r="T67" i="10"/>
  <c r="T68" i="10"/>
  <c r="T69" i="10"/>
  <c r="T70" i="10"/>
  <c r="T71" i="10"/>
  <c r="T72" i="10"/>
  <c r="T73" i="10"/>
  <c r="T74" i="10"/>
  <c r="T76" i="10"/>
  <c r="T77" i="10"/>
  <c r="T78" i="10"/>
  <c r="T81" i="10"/>
  <c r="T80" i="10"/>
  <c r="T83" i="10"/>
  <c r="T84" i="10"/>
  <c r="T85" i="10"/>
  <c r="T87" i="10"/>
  <c r="T88" i="10"/>
  <c r="T89" i="10"/>
  <c r="T90" i="10"/>
  <c r="T91" i="10"/>
  <c r="T92" i="10"/>
  <c r="T94" i="10"/>
  <c r="T95" i="10"/>
  <c r="T96" i="10"/>
  <c r="T98" i="10"/>
  <c r="T99" i="10"/>
  <c r="T100" i="10"/>
  <c r="T101" i="10"/>
  <c r="T102" i="10"/>
  <c r="T103" i="10"/>
  <c r="T104" i="10"/>
  <c r="T105" i="10"/>
  <c r="T106" i="10"/>
  <c r="T107" i="10"/>
  <c r="T108" i="10"/>
  <c r="T110" i="10"/>
  <c r="T111" i="10"/>
  <c r="T112" i="10"/>
  <c r="T113" i="10"/>
  <c r="T114" i="10"/>
  <c r="T115" i="10"/>
  <c r="T116" i="10"/>
  <c r="T118" i="10"/>
  <c r="T119" i="10"/>
  <c r="T123" i="10"/>
  <c r="T125" i="10"/>
  <c r="T126" i="10"/>
  <c r="T127" i="10"/>
  <c r="T128" i="10"/>
  <c r="T129" i="10"/>
  <c r="T130" i="10"/>
  <c r="T131" i="10"/>
  <c r="T132" i="10"/>
  <c r="T133" i="10"/>
  <c r="T137" i="10"/>
  <c r="T138" i="10"/>
  <c r="T139" i="10"/>
  <c r="T141" i="10"/>
  <c r="T142" i="10"/>
  <c r="T143" i="10"/>
  <c r="T144" i="10"/>
  <c r="T145" i="10"/>
  <c r="T146" i="10"/>
  <c r="T147" i="10"/>
  <c r="T148" i="10"/>
  <c r="T149" i="10"/>
  <c r="T150" i="10"/>
  <c r="T151" i="10"/>
  <c r="T152" i="10"/>
  <c r="T153" i="10"/>
  <c r="T155" i="10"/>
  <c r="T156" i="10"/>
  <c r="T157" i="10"/>
  <c r="T158" i="10"/>
  <c r="T159" i="10"/>
  <c r="T161" i="10"/>
  <c r="T162" i="10"/>
  <c r="T163" i="10"/>
  <c r="T164" i="10"/>
  <c r="T165" i="10"/>
  <c r="T166" i="10"/>
  <c r="T167" i="10"/>
  <c r="T169" i="10"/>
  <c r="T274" i="10"/>
  <c r="T170" i="10"/>
  <c r="T171" i="10"/>
  <c r="T172" i="10"/>
  <c r="T173" i="10"/>
  <c r="T175" i="10"/>
  <c r="T176" i="10"/>
  <c r="T177" i="10"/>
  <c r="T178" i="10"/>
  <c r="T179" i="10"/>
  <c r="T180" i="10"/>
  <c r="T181" i="10"/>
  <c r="T182" i="10"/>
  <c r="T183" i="10"/>
  <c r="T184" i="10"/>
  <c r="T186" i="10"/>
  <c r="T188" i="10"/>
  <c r="T189" i="10"/>
  <c r="T190" i="10"/>
  <c r="T191" i="10"/>
  <c r="T192" i="10"/>
  <c r="T193" i="10"/>
  <c r="T194" i="10"/>
  <c r="T195" i="10"/>
  <c r="T196" i="10"/>
  <c r="T197" i="10"/>
  <c r="T198" i="10"/>
  <c r="T201" i="10"/>
  <c r="T202" i="10"/>
  <c r="T203" i="10"/>
  <c r="T204" i="10"/>
  <c r="T205" i="10"/>
  <c r="T207" i="10"/>
  <c r="T208" i="10"/>
  <c r="T209" i="10"/>
  <c r="T210" i="10"/>
  <c r="T211" i="10"/>
  <c r="T212" i="10"/>
  <c r="T216" i="10"/>
  <c r="T217" i="10"/>
  <c r="T218" i="10"/>
  <c r="T219" i="10"/>
  <c r="T220" i="10"/>
  <c r="T221" i="10"/>
  <c r="T223" i="10"/>
  <c r="T224" i="10"/>
  <c r="T225" i="10"/>
  <c r="T226" i="10"/>
  <c r="T229" i="10"/>
  <c r="T230" i="10"/>
  <c r="T231" i="10"/>
  <c r="T233" i="10"/>
  <c r="T234" i="10"/>
  <c r="T235" i="10"/>
  <c r="T236" i="10"/>
  <c r="T237" i="10"/>
  <c r="T238" i="10"/>
  <c r="T239" i="10"/>
  <c r="T240" i="10"/>
  <c r="T241" i="10"/>
  <c r="T242" i="10"/>
  <c r="T243" i="10"/>
  <c r="T244" i="10"/>
  <c r="T245" i="10"/>
  <c r="T248" i="10"/>
  <c r="T249" i="10"/>
  <c r="T250" i="10"/>
  <c r="T251" i="10"/>
  <c r="T252" i="10"/>
  <c r="T255" i="10"/>
  <c r="T256" i="10"/>
  <c r="T259" i="10"/>
  <c r="T260" i="10"/>
  <c r="T261" i="10"/>
  <c r="T262" i="10"/>
  <c r="T263" i="10"/>
  <c r="T266" i="10"/>
  <c r="T267" i="10"/>
  <c r="T268" i="10"/>
  <c r="T269" i="10"/>
  <c r="T270" i="10"/>
  <c r="T271" i="10"/>
  <c r="T272" i="10"/>
  <c r="T273" i="10"/>
  <c r="T275" i="10"/>
  <c r="T276" i="10"/>
  <c r="T277" i="10"/>
  <c r="T279" i="10"/>
  <c r="T280" i="10"/>
  <c r="T282" i="10"/>
  <c r="T284" i="10"/>
  <c r="T285" i="10"/>
  <c r="T286" i="10"/>
  <c r="T287" i="10"/>
  <c r="T288" i="10"/>
  <c r="T289" i="10"/>
  <c r="T291" i="10"/>
  <c r="T292" i="10"/>
  <c r="T294" i="10"/>
  <c r="T295" i="10"/>
  <c r="H62" i="11" l="1"/>
  <c r="P62" i="11"/>
  <c r="E64" i="9"/>
  <c r="M64" i="9"/>
  <c r="H178" i="11"/>
  <c r="P178" i="11"/>
  <c r="E180" i="9"/>
  <c r="M180" i="9"/>
  <c r="BJ180" i="9"/>
  <c r="P310" i="11"/>
  <c r="E309" i="9"/>
  <c r="M309" i="9"/>
  <c r="CZ20" i="2"/>
  <c r="CY20" i="2" s="1"/>
  <c r="R18" i="1"/>
  <c r="V18" i="1"/>
  <c r="Y18" i="1"/>
  <c r="AE18" i="1"/>
  <c r="I63" i="6" l="1"/>
  <c r="Y309" i="9"/>
  <c r="AF292" i="20"/>
  <c r="Y64" i="9"/>
  <c r="J311" i="6"/>
  <c r="J63" i="6"/>
  <c r="BR292" i="20"/>
  <c r="Q310" i="11"/>
  <c r="Q62" i="11"/>
  <c r="S62" i="11"/>
  <c r="BJ64" i="9"/>
  <c r="AF64" i="9"/>
  <c r="BH64" i="9"/>
  <c r="BA64" i="9"/>
  <c r="AT64" i="9"/>
  <c r="AM64" i="9"/>
  <c r="Q178" i="11"/>
  <c r="S178" i="11"/>
  <c r="AF180" i="9"/>
  <c r="BH180" i="9"/>
  <c r="BA180" i="9"/>
  <c r="AT180" i="9"/>
  <c r="AM180" i="9"/>
  <c r="S310" i="11"/>
  <c r="H310" i="11"/>
  <c r="BP20" i="2"/>
  <c r="CB20" i="2" s="1"/>
  <c r="CA20" i="2"/>
  <c r="AJ20" i="2"/>
  <c r="AF309" i="9" s="1"/>
  <c r="AC20" i="2"/>
  <c r="BJ309" i="9" s="1"/>
  <c r="BM20" i="2"/>
  <c r="BY20" i="2" s="1"/>
  <c r="BL20" i="2"/>
  <c r="BH309" i="9" s="1"/>
  <c r="BE20" i="2"/>
  <c r="BA309" i="9" s="1"/>
  <c r="BN20" i="2"/>
  <c r="BZ20" i="2" s="1"/>
  <c r="AX20" i="2"/>
  <c r="AT309" i="9" s="1"/>
  <c r="AQ20" i="2"/>
  <c r="AM309" i="9" s="1"/>
  <c r="P20" i="2"/>
  <c r="I180" i="6" l="1"/>
  <c r="O180" i="6" s="1"/>
  <c r="B180" i="9" s="1"/>
  <c r="CD180" i="9" s="1"/>
  <c r="T18" i="1"/>
  <c r="I311" i="6"/>
  <c r="AF293" i="20"/>
  <c r="AF291" i="20"/>
  <c r="Y180" i="9"/>
  <c r="BR291" i="20"/>
  <c r="BO292" i="20"/>
  <c r="AT293" i="20"/>
  <c r="BH291" i="20"/>
  <c r="AM291" i="20"/>
  <c r="AT292" i="20"/>
  <c r="BA293" i="20"/>
  <c r="AM293" i="20"/>
  <c r="AT291" i="20"/>
  <c r="BO291" i="20"/>
  <c r="BA292" i="20"/>
  <c r="AM292" i="20"/>
  <c r="BH293" i="20"/>
  <c r="BR293" i="20"/>
  <c r="BA291" i="20"/>
  <c r="BH292" i="20"/>
  <c r="BO293" i="20"/>
  <c r="Y20" i="2"/>
  <c r="Z20" i="2"/>
  <c r="AA20" i="2"/>
  <c r="BK64" i="9"/>
  <c r="BK180" i="9"/>
  <c r="AB20" i="2"/>
  <c r="BK309" i="9" s="1"/>
  <c r="BI64" i="9" l="1"/>
  <c r="BQ293" i="20"/>
  <c r="BI180" i="9"/>
  <c r="BQ292" i="20"/>
  <c r="BI309" i="9"/>
  <c r="BQ291" i="20"/>
  <c r="BP292" i="20"/>
  <c r="CB180" i="9"/>
  <c r="BP293" i="20"/>
  <c r="CB64" i="9"/>
  <c r="BP291" i="20"/>
  <c r="CB309" i="9"/>
  <c r="H180" i="9"/>
  <c r="F180" i="9"/>
  <c r="G180" i="9"/>
  <c r="BS291" i="20"/>
  <c r="BS293" i="20"/>
  <c r="BS292" i="20"/>
  <c r="BV20" i="2"/>
  <c r="CH20" i="2" s="1"/>
  <c r="BU20" i="2"/>
  <c r="CG20" i="2" s="1"/>
  <c r="BS20" i="2"/>
  <c r="CE20" i="2" s="1"/>
  <c r="BT20" i="2"/>
  <c r="CF20" i="2" s="1"/>
  <c r="BR20" i="2"/>
  <c r="BQ20" i="2"/>
  <c r="J180" i="6" l="1"/>
  <c r="BW20" i="2"/>
  <c r="U18" i="1"/>
  <c r="CD20" i="2"/>
  <c r="A781" i="16" l="1"/>
  <c r="A780" i="16"/>
  <c r="A779" i="16"/>
  <c r="A778" i="16"/>
  <c r="E289" i="18" l="1"/>
  <c r="D289" i="18"/>
  <c r="E288" i="18"/>
  <c r="D288" i="18"/>
  <c r="AM288" i="18" s="1"/>
  <c r="E287" i="18"/>
  <c r="D287" i="18"/>
  <c r="E286" i="18"/>
  <c r="D286" i="18"/>
  <c r="AM286" i="18" s="1"/>
  <c r="E285" i="18"/>
  <c r="D285" i="18"/>
  <c r="BA285" i="18" s="1"/>
  <c r="E284" i="18"/>
  <c r="D284" i="18"/>
  <c r="AT284" i="18" s="1"/>
  <c r="E283" i="18"/>
  <c r="D283" i="18"/>
  <c r="E282" i="18"/>
  <c r="D282" i="18"/>
  <c r="E281" i="18"/>
  <c r="D281" i="18"/>
  <c r="BA281" i="18" s="1"/>
  <c r="E280" i="18"/>
  <c r="D280" i="18"/>
  <c r="E279" i="18"/>
  <c r="D279" i="18"/>
  <c r="E278" i="18"/>
  <c r="D278" i="18"/>
  <c r="E277" i="18"/>
  <c r="D277" i="18"/>
  <c r="BA277" i="18" s="1"/>
  <c r="E276" i="18"/>
  <c r="D276" i="18"/>
  <c r="AM276" i="18" s="1"/>
  <c r="E275" i="18"/>
  <c r="D275" i="18"/>
  <c r="E274" i="18"/>
  <c r="D274" i="18"/>
  <c r="AM274" i="18" s="1"/>
  <c r="E273" i="18"/>
  <c r="D273" i="18"/>
  <c r="BA273" i="18" s="1"/>
  <c r="E272" i="18"/>
  <c r="D272" i="18"/>
  <c r="AM272" i="18" s="1"/>
  <c r="E271" i="18"/>
  <c r="D271" i="18"/>
  <c r="E270" i="18"/>
  <c r="D270" i="18"/>
  <c r="AT270" i="18" s="1"/>
  <c r="E269" i="18"/>
  <c r="D269" i="18"/>
  <c r="AT269" i="18" s="1"/>
  <c r="E268" i="18"/>
  <c r="D268" i="18"/>
  <c r="BA268" i="18" s="1"/>
  <c r="E267" i="18"/>
  <c r="D267" i="18"/>
  <c r="E266" i="18"/>
  <c r="D266" i="18"/>
  <c r="AT266" i="18" s="1"/>
  <c r="E265" i="18"/>
  <c r="D265" i="18"/>
  <c r="E264" i="18"/>
  <c r="D264" i="18"/>
  <c r="AM264" i="18" s="1"/>
  <c r="E263" i="18"/>
  <c r="D263" i="18"/>
  <c r="AF263" i="18" s="1"/>
  <c r="E262" i="18"/>
  <c r="D262" i="18"/>
  <c r="AM262" i="18" s="1"/>
  <c r="E261" i="18"/>
  <c r="D261" i="18"/>
  <c r="AF261" i="18" s="1"/>
  <c r="E260" i="18"/>
  <c r="D260" i="18"/>
  <c r="BA260" i="18" s="1"/>
  <c r="E259" i="18"/>
  <c r="D259" i="18"/>
  <c r="E258" i="18"/>
  <c r="D258" i="18"/>
  <c r="BA258" i="18" s="1"/>
  <c r="E257" i="18"/>
  <c r="D257" i="18"/>
  <c r="AF257" i="18" s="1"/>
  <c r="E256" i="18"/>
  <c r="D256" i="18"/>
  <c r="AM256" i="18" s="1"/>
  <c r="E255" i="18"/>
  <c r="D255" i="18"/>
  <c r="E254" i="18"/>
  <c r="D254" i="18"/>
  <c r="E253" i="18"/>
  <c r="D253" i="18"/>
  <c r="E252" i="18"/>
  <c r="D252" i="18"/>
  <c r="AM252" i="18" s="1"/>
  <c r="E251" i="18"/>
  <c r="D251" i="18"/>
  <c r="E250" i="18"/>
  <c r="D250" i="18"/>
  <c r="AT250" i="18" s="1"/>
  <c r="E249" i="18"/>
  <c r="D249" i="18"/>
  <c r="BA249" i="18" s="1"/>
  <c r="E248" i="18"/>
  <c r="D248" i="18"/>
  <c r="AF248" i="18" s="1"/>
  <c r="E247" i="18"/>
  <c r="D247" i="18"/>
  <c r="BA247" i="18" s="1"/>
  <c r="E246" i="18"/>
  <c r="D246" i="18"/>
  <c r="E245" i="18"/>
  <c r="D245" i="18"/>
  <c r="AT245" i="18" s="1"/>
  <c r="E244" i="18"/>
  <c r="D244" i="18"/>
  <c r="E243" i="18"/>
  <c r="D243" i="18"/>
  <c r="AM243" i="18" s="1"/>
  <c r="E242" i="18"/>
  <c r="D242" i="18"/>
  <c r="AT242" i="18" s="1"/>
  <c r="E241" i="18"/>
  <c r="D241" i="18"/>
  <c r="BA241" i="18" s="1"/>
  <c r="E240" i="18"/>
  <c r="D240" i="18"/>
  <c r="AT240" i="18" s="1"/>
  <c r="E239" i="18"/>
  <c r="D239" i="18"/>
  <c r="AM239" i="18" s="1"/>
  <c r="E238" i="18"/>
  <c r="D238" i="18"/>
  <c r="E237" i="18"/>
  <c r="D237" i="18"/>
  <c r="BA237" i="18" s="1"/>
  <c r="E236" i="18"/>
  <c r="D236" i="18"/>
  <c r="E235" i="18"/>
  <c r="D235" i="18"/>
  <c r="BA235" i="18" s="1"/>
  <c r="E234" i="18"/>
  <c r="D234" i="18"/>
  <c r="BA234" i="18" s="1"/>
  <c r="E233" i="18"/>
  <c r="D233" i="18"/>
  <c r="E232" i="18"/>
  <c r="D232" i="18"/>
  <c r="E231" i="18"/>
  <c r="D231" i="18"/>
  <c r="E230" i="18"/>
  <c r="D230" i="18"/>
  <c r="E229" i="18"/>
  <c r="D229" i="18"/>
  <c r="R229" i="18" s="1"/>
  <c r="E228" i="18"/>
  <c r="D228" i="18"/>
  <c r="E227" i="18"/>
  <c r="D227" i="18"/>
  <c r="AM227" i="18" s="1"/>
  <c r="E226" i="18"/>
  <c r="D226" i="18"/>
  <c r="Y226" i="18" s="1"/>
  <c r="E225" i="18"/>
  <c r="D225" i="18"/>
  <c r="E224" i="18"/>
  <c r="D224" i="18"/>
  <c r="AF224" i="18" s="1"/>
  <c r="E223" i="18"/>
  <c r="D223" i="18"/>
  <c r="E222" i="18"/>
  <c r="D222" i="18"/>
  <c r="BA222" i="18" s="1"/>
  <c r="E221" i="18"/>
  <c r="D221" i="18"/>
  <c r="BA221" i="18" s="1"/>
  <c r="E220" i="18"/>
  <c r="D220" i="18"/>
  <c r="AF220" i="18" s="1"/>
  <c r="E219" i="18"/>
  <c r="D219" i="18"/>
  <c r="AF219" i="18" s="1"/>
  <c r="E218" i="18"/>
  <c r="D218" i="18"/>
  <c r="Y218" i="18" s="1"/>
  <c r="E217" i="18"/>
  <c r="D217" i="18"/>
  <c r="BA217" i="18" s="1"/>
  <c r="E216" i="18"/>
  <c r="D216" i="18"/>
  <c r="AF216" i="18" s="1"/>
  <c r="E215" i="18"/>
  <c r="D215" i="18"/>
  <c r="BA215" i="18" s="1"/>
  <c r="E214" i="18"/>
  <c r="D214" i="18"/>
  <c r="E213" i="18"/>
  <c r="D213" i="18"/>
  <c r="E212" i="18"/>
  <c r="D212" i="18"/>
  <c r="AF212" i="18" s="1"/>
  <c r="E211" i="18"/>
  <c r="D211" i="18"/>
  <c r="E210" i="18"/>
  <c r="D210" i="18"/>
  <c r="E209" i="18"/>
  <c r="D209" i="18"/>
  <c r="E208" i="18"/>
  <c r="D208" i="18"/>
  <c r="AT208" i="18" s="1"/>
  <c r="E207" i="18"/>
  <c r="D207" i="18"/>
  <c r="E206" i="18"/>
  <c r="D206" i="18"/>
  <c r="E205" i="18"/>
  <c r="D205" i="18"/>
  <c r="BA205" i="18" s="1"/>
  <c r="E204" i="18"/>
  <c r="D204" i="18"/>
  <c r="AT204" i="18" s="1"/>
  <c r="E203" i="18"/>
  <c r="D203" i="18"/>
  <c r="BA203" i="18" s="1"/>
  <c r="E202" i="18"/>
  <c r="D202" i="18"/>
  <c r="E201" i="18"/>
  <c r="D201" i="18"/>
  <c r="E200" i="18"/>
  <c r="D200" i="18"/>
  <c r="AT200" i="18" s="1"/>
  <c r="E199" i="18"/>
  <c r="D199" i="18"/>
  <c r="AT199" i="18" s="1"/>
  <c r="E198" i="18"/>
  <c r="D198" i="18"/>
  <c r="E197" i="18"/>
  <c r="D197" i="18"/>
  <c r="E196" i="18"/>
  <c r="D196" i="18"/>
  <c r="AT196" i="18" s="1"/>
  <c r="E195" i="18"/>
  <c r="D195" i="18"/>
  <c r="Y195" i="18" s="1"/>
  <c r="E194" i="18"/>
  <c r="D194" i="18"/>
  <c r="E193" i="18"/>
  <c r="D193" i="18"/>
  <c r="BA193" i="18" s="1"/>
  <c r="E192" i="18"/>
  <c r="D192" i="18"/>
  <c r="BA192" i="18" s="1"/>
  <c r="E191" i="18"/>
  <c r="D191" i="18"/>
  <c r="Y191" i="18" s="1"/>
  <c r="E190" i="18"/>
  <c r="D190" i="18"/>
  <c r="E189" i="18"/>
  <c r="D189" i="18"/>
  <c r="E188" i="18"/>
  <c r="D188" i="18"/>
  <c r="BA188" i="18" s="1"/>
  <c r="E187" i="18"/>
  <c r="D187" i="18"/>
  <c r="E186" i="18"/>
  <c r="D186" i="18"/>
  <c r="AT186" i="18" s="1"/>
  <c r="E185" i="18"/>
  <c r="D185" i="18"/>
  <c r="BA185" i="18" s="1"/>
  <c r="E184" i="18"/>
  <c r="D184" i="18"/>
  <c r="BA184" i="18" s="1"/>
  <c r="E183" i="18"/>
  <c r="D183" i="18"/>
  <c r="BA183" i="18" s="1"/>
  <c r="E182" i="18"/>
  <c r="D182" i="18"/>
  <c r="BA182" i="18" s="1"/>
  <c r="E181" i="18"/>
  <c r="D181" i="18"/>
  <c r="BA181" i="18" s="1"/>
  <c r="E180" i="18"/>
  <c r="D180" i="18"/>
  <c r="E179" i="18"/>
  <c r="D179" i="18"/>
  <c r="P179" i="18" s="1"/>
  <c r="E178" i="18"/>
  <c r="D178" i="18"/>
  <c r="BA178" i="18" s="1"/>
  <c r="E177" i="18"/>
  <c r="D177" i="18"/>
  <c r="BA177" i="18" s="1"/>
  <c r="E176" i="18"/>
  <c r="D176" i="18"/>
  <c r="E175" i="18"/>
  <c r="D175" i="18"/>
  <c r="E174" i="18"/>
  <c r="D174" i="18"/>
  <c r="BA174" i="18" s="1"/>
  <c r="E173" i="18"/>
  <c r="D173" i="18"/>
  <c r="BA173" i="18" s="1"/>
  <c r="E172" i="18"/>
  <c r="D172" i="18"/>
  <c r="BA172" i="18" s="1"/>
  <c r="E171" i="18"/>
  <c r="D171" i="18"/>
  <c r="E170" i="18"/>
  <c r="D170" i="18"/>
  <c r="AT170" i="18" s="1"/>
  <c r="E169" i="18"/>
  <c r="D169" i="18"/>
  <c r="E168" i="18"/>
  <c r="D168" i="18"/>
  <c r="E167" i="18"/>
  <c r="D167" i="18"/>
  <c r="BA167" i="18" s="1"/>
  <c r="E166" i="18"/>
  <c r="D166" i="18"/>
  <c r="BA166" i="18" s="1"/>
  <c r="E165" i="18"/>
  <c r="D165" i="18"/>
  <c r="E164" i="18"/>
  <c r="D164" i="18"/>
  <c r="AM164" i="18" s="1"/>
  <c r="E163" i="18"/>
  <c r="D163" i="18"/>
  <c r="E162" i="18"/>
  <c r="D162" i="18"/>
  <c r="BA162" i="18" s="1"/>
  <c r="E161" i="18"/>
  <c r="D161" i="18"/>
  <c r="BA161" i="18" s="1"/>
  <c r="E160" i="18"/>
  <c r="D160" i="18"/>
  <c r="E159" i="18"/>
  <c r="D159" i="18"/>
  <c r="BA159" i="18" s="1"/>
  <c r="E158" i="18"/>
  <c r="D158" i="18"/>
  <c r="AF158" i="18" s="1"/>
  <c r="E157" i="18"/>
  <c r="D157" i="18"/>
  <c r="AF157" i="18" s="1"/>
  <c r="E156" i="18"/>
  <c r="D156" i="18"/>
  <c r="E155" i="18"/>
  <c r="D155" i="18"/>
  <c r="E154" i="18"/>
  <c r="D154" i="18"/>
  <c r="AT154" i="18" s="1"/>
  <c r="E153" i="18"/>
  <c r="D153" i="18"/>
  <c r="BA153" i="18" s="1"/>
  <c r="E152" i="18"/>
  <c r="D152" i="18"/>
  <c r="BA152" i="18" s="1"/>
  <c r="E151" i="18"/>
  <c r="D151" i="18"/>
  <c r="BA151" i="18" s="1"/>
  <c r="E150" i="18"/>
  <c r="D150" i="18"/>
  <c r="BA150" i="18" s="1"/>
  <c r="E149" i="18"/>
  <c r="D149" i="18"/>
  <c r="AF149" i="18" s="1"/>
  <c r="E148" i="18"/>
  <c r="D148" i="18"/>
  <c r="AM148" i="18" s="1"/>
  <c r="E147" i="18"/>
  <c r="D147" i="18"/>
  <c r="E146" i="18"/>
  <c r="D146" i="18"/>
  <c r="BA146" i="18" s="1"/>
  <c r="E145" i="18"/>
  <c r="D145" i="18"/>
  <c r="E144" i="18"/>
  <c r="D144" i="18"/>
  <c r="E143" i="18"/>
  <c r="D143" i="18"/>
  <c r="E142" i="18"/>
  <c r="D142" i="18"/>
  <c r="E141" i="18"/>
  <c r="D141" i="18"/>
  <c r="BA141" i="18" s="1"/>
  <c r="E140" i="18"/>
  <c r="D140" i="18"/>
  <c r="AF140" i="18" s="1"/>
  <c r="E139" i="18"/>
  <c r="D139" i="18"/>
  <c r="AF139" i="18" s="1"/>
  <c r="E138" i="18"/>
  <c r="D138" i="18"/>
  <c r="AM138" i="18" s="1"/>
  <c r="E137" i="18"/>
  <c r="D137" i="18"/>
  <c r="BA137" i="18" s="1"/>
  <c r="E136" i="18"/>
  <c r="D136" i="18"/>
  <c r="E135" i="18"/>
  <c r="D135" i="18"/>
  <c r="E134" i="18"/>
  <c r="D134" i="18"/>
  <c r="BA134" i="18" s="1"/>
  <c r="E133" i="18"/>
  <c r="D133" i="18"/>
  <c r="BA133" i="18" s="1"/>
  <c r="E132" i="18"/>
  <c r="D132" i="18"/>
  <c r="AT132" i="18" s="1"/>
  <c r="E131" i="18"/>
  <c r="D131" i="18"/>
  <c r="E130" i="18"/>
  <c r="D130" i="18"/>
  <c r="E129" i="18"/>
  <c r="D129" i="18"/>
  <c r="BA129" i="18" s="1"/>
  <c r="E128" i="18"/>
  <c r="D128" i="18"/>
  <c r="AT128" i="18" s="1"/>
  <c r="E127" i="18"/>
  <c r="D127" i="18"/>
  <c r="BA127" i="18" s="1"/>
  <c r="E126" i="18"/>
  <c r="D126" i="18"/>
  <c r="AT126" i="18" s="1"/>
  <c r="E125" i="18"/>
  <c r="D125" i="18"/>
  <c r="AM125" i="18" s="1"/>
  <c r="E124" i="18"/>
  <c r="D124" i="18"/>
  <c r="BA124" i="18" s="1"/>
  <c r="E123" i="18"/>
  <c r="D123" i="18"/>
  <c r="AM123" i="18" s="1"/>
  <c r="E122" i="18"/>
  <c r="D122" i="18"/>
  <c r="AT122" i="18" s="1"/>
  <c r="E121" i="18"/>
  <c r="D121" i="18"/>
  <c r="E120" i="18"/>
  <c r="D120" i="18"/>
  <c r="BA120" i="18" s="1"/>
  <c r="E119" i="18"/>
  <c r="D119" i="18"/>
  <c r="E118" i="18"/>
  <c r="D118" i="18"/>
  <c r="AT118" i="18" s="1"/>
  <c r="E117" i="18"/>
  <c r="D117" i="18"/>
  <c r="AM117" i="18" s="1"/>
  <c r="E116" i="18"/>
  <c r="D116" i="18"/>
  <c r="BA116" i="18" s="1"/>
  <c r="E115" i="18"/>
  <c r="D115" i="18"/>
  <c r="E114" i="18"/>
  <c r="D114" i="18"/>
  <c r="E113" i="18"/>
  <c r="D113" i="18"/>
  <c r="AM113" i="18" s="1"/>
  <c r="E112" i="18"/>
  <c r="D112" i="18"/>
  <c r="BA112" i="18" s="1"/>
  <c r="E111" i="18"/>
  <c r="D111" i="18"/>
  <c r="E110" i="18"/>
  <c r="D110" i="18"/>
  <c r="E109" i="18"/>
  <c r="D109" i="18"/>
  <c r="AT109" i="18" s="1"/>
  <c r="E108" i="18"/>
  <c r="D108" i="18"/>
  <c r="BA108" i="18" s="1"/>
  <c r="E107" i="18"/>
  <c r="D107" i="18"/>
  <c r="Y107" i="18" s="1"/>
  <c r="E106" i="18"/>
  <c r="D106" i="18"/>
  <c r="BA106" i="18" s="1"/>
  <c r="E105" i="18"/>
  <c r="D105" i="18"/>
  <c r="AT105" i="18" s="1"/>
  <c r="E104" i="18"/>
  <c r="D104" i="18"/>
  <c r="BA104" i="18" s="1"/>
  <c r="E103" i="18"/>
  <c r="D103" i="18"/>
  <c r="AT103" i="18" s="1"/>
  <c r="E102" i="18"/>
  <c r="D102" i="18"/>
  <c r="E101" i="18"/>
  <c r="D101" i="18"/>
  <c r="E100" i="18"/>
  <c r="D100" i="18"/>
  <c r="AT100" i="18" s="1"/>
  <c r="E99" i="18"/>
  <c r="D99" i="18"/>
  <c r="Y99" i="18" s="1"/>
  <c r="E98" i="18"/>
  <c r="D98" i="18"/>
  <c r="BA98" i="18" s="1"/>
  <c r="E97" i="18"/>
  <c r="D97" i="18"/>
  <c r="P97" i="18" s="1"/>
  <c r="E96" i="18"/>
  <c r="D96" i="18"/>
  <c r="BA96" i="18" s="1"/>
  <c r="E95" i="18"/>
  <c r="D95" i="18"/>
  <c r="E94" i="18"/>
  <c r="D94" i="18"/>
  <c r="E93" i="18"/>
  <c r="D93" i="18"/>
  <c r="AT93" i="18" s="1"/>
  <c r="E92" i="18"/>
  <c r="D92" i="18"/>
  <c r="AM92" i="18" s="1"/>
  <c r="E91" i="18"/>
  <c r="D91" i="18"/>
  <c r="Y91" i="18" s="1"/>
  <c r="E90" i="18"/>
  <c r="D90" i="18"/>
  <c r="BA90" i="18" s="1"/>
  <c r="E89" i="18"/>
  <c r="D89" i="18"/>
  <c r="AT89" i="18" s="1"/>
  <c r="E88" i="18"/>
  <c r="D88" i="18"/>
  <c r="AT88" i="18" s="1"/>
  <c r="E87" i="18"/>
  <c r="D87" i="18"/>
  <c r="E86" i="18"/>
  <c r="D86" i="18"/>
  <c r="E85" i="18"/>
  <c r="D85" i="18"/>
  <c r="Y85" i="18" s="1"/>
  <c r="E84" i="18"/>
  <c r="D84" i="18"/>
  <c r="E83" i="18"/>
  <c r="D83" i="18"/>
  <c r="E82" i="18"/>
  <c r="D82" i="18"/>
  <c r="AM82" i="18" s="1"/>
  <c r="E81" i="18"/>
  <c r="D81" i="18"/>
  <c r="E80" i="18"/>
  <c r="D80" i="18"/>
  <c r="E79" i="18"/>
  <c r="D79" i="18"/>
  <c r="E78" i="18"/>
  <c r="D78" i="18"/>
  <c r="E77" i="18"/>
  <c r="D77" i="18"/>
  <c r="E76" i="18"/>
  <c r="D76" i="18"/>
  <c r="AM76" i="18" s="1"/>
  <c r="E75" i="18"/>
  <c r="D75" i="18"/>
  <c r="Y75" i="18" s="1"/>
  <c r="E74" i="18"/>
  <c r="D74" i="18"/>
  <c r="AM74" i="18" s="1"/>
  <c r="E73" i="18"/>
  <c r="D73" i="18"/>
  <c r="Y73" i="18" s="1"/>
  <c r="E72" i="18"/>
  <c r="D72" i="18"/>
  <c r="AT72" i="18" s="1"/>
  <c r="E71" i="18"/>
  <c r="D71" i="18"/>
  <c r="AT71" i="18" s="1"/>
  <c r="E70" i="18"/>
  <c r="D70" i="18"/>
  <c r="AM70" i="18" s="1"/>
  <c r="E69" i="18"/>
  <c r="D69" i="18"/>
  <c r="E68" i="18"/>
  <c r="D68" i="18"/>
  <c r="AT68" i="18" s="1"/>
  <c r="E67" i="18"/>
  <c r="D67" i="18"/>
  <c r="E66" i="18"/>
  <c r="D66" i="18"/>
  <c r="E65" i="18"/>
  <c r="D65" i="18"/>
  <c r="E64" i="18"/>
  <c r="D64" i="18"/>
  <c r="AM64" i="18" s="1"/>
  <c r="E63" i="18"/>
  <c r="D63" i="18"/>
  <c r="Y63" i="18" s="1"/>
  <c r="E62" i="18"/>
  <c r="D62" i="18"/>
  <c r="BA62" i="18" s="1"/>
  <c r="E61" i="18"/>
  <c r="D61" i="18"/>
  <c r="E60" i="18"/>
  <c r="D60" i="18"/>
  <c r="BA60" i="18" s="1"/>
  <c r="E59" i="18"/>
  <c r="D59" i="18"/>
  <c r="AT59" i="18" s="1"/>
  <c r="E58" i="18"/>
  <c r="D58" i="18"/>
  <c r="BA58" i="18" s="1"/>
  <c r="E57" i="18"/>
  <c r="D57" i="18"/>
  <c r="Y57" i="18" s="1"/>
  <c r="E56" i="18"/>
  <c r="D56" i="18"/>
  <c r="BA56" i="18" s="1"/>
  <c r="E55" i="18"/>
  <c r="D55" i="18"/>
  <c r="AT55" i="18" s="1"/>
  <c r="E54" i="18"/>
  <c r="D54" i="18"/>
  <c r="AM54" i="18" s="1"/>
  <c r="E53" i="18"/>
  <c r="D53" i="18"/>
  <c r="Y53" i="18" s="1"/>
  <c r="E52" i="18"/>
  <c r="D52" i="18"/>
  <c r="AT52" i="18" s="1"/>
  <c r="E51" i="18"/>
  <c r="D51" i="18"/>
  <c r="Y51" i="18" s="1"/>
  <c r="E50" i="18"/>
  <c r="D50" i="18"/>
  <c r="AM50" i="18" s="1"/>
  <c r="E49" i="18"/>
  <c r="D49" i="18"/>
  <c r="R49" i="18" s="1"/>
  <c r="E48" i="18"/>
  <c r="D48" i="18"/>
  <c r="AF48" i="18" s="1"/>
  <c r="E47" i="18"/>
  <c r="D47" i="18"/>
  <c r="AT47" i="18" s="1"/>
  <c r="E46" i="18"/>
  <c r="D46" i="18"/>
  <c r="E45" i="18"/>
  <c r="D45" i="18"/>
  <c r="AF45" i="18" s="1"/>
  <c r="E44" i="18"/>
  <c r="D44" i="18"/>
  <c r="BA44" i="18" s="1"/>
  <c r="E43" i="18"/>
  <c r="D43" i="18"/>
  <c r="AM43" i="18" s="1"/>
  <c r="E42" i="18"/>
  <c r="D42" i="18"/>
  <c r="BA42" i="18" s="1"/>
  <c r="E41" i="18"/>
  <c r="D41" i="18"/>
  <c r="AM41" i="18" s="1"/>
  <c r="E40" i="18"/>
  <c r="D40" i="18"/>
  <c r="R40" i="18" s="1"/>
  <c r="E39" i="18"/>
  <c r="D39" i="18"/>
  <c r="AM39" i="18" s="1"/>
  <c r="E38" i="18"/>
  <c r="D38" i="18"/>
  <c r="E37" i="18"/>
  <c r="D37" i="18"/>
  <c r="AM37" i="18" s="1"/>
  <c r="E36" i="18"/>
  <c r="D36" i="18"/>
  <c r="AM36" i="18" s="1"/>
  <c r="E35" i="18"/>
  <c r="D35" i="18"/>
  <c r="AT35" i="18" s="1"/>
  <c r="E34" i="18"/>
  <c r="D34" i="18"/>
  <c r="BA34" i="18" s="1"/>
  <c r="E33" i="18"/>
  <c r="D33" i="18"/>
  <c r="AM33" i="18" s="1"/>
  <c r="E32" i="18"/>
  <c r="D32" i="18"/>
  <c r="BA32" i="18" s="1"/>
  <c r="E31" i="18"/>
  <c r="D31" i="18"/>
  <c r="AM31" i="18" s="1"/>
  <c r="E30" i="18"/>
  <c r="D30" i="18"/>
  <c r="BA30" i="18" s="1"/>
  <c r="E29" i="18"/>
  <c r="D29" i="18"/>
  <c r="AM29" i="18" s="1"/>
  <c r="E28" i="18"/>
  <c r="D28" i="18"/>
  <c r="BA28" i="18" s="1"/>
  <c r="E27" i="18"/>
  <c r="D27" i="18"/>
  <c r="AM27" i="18" s="1"/>
  <c r="E26" i="18"/>
  <c r="D26" i="18"/>
  <c r="BA26" i="18" s="1"/>
  <c r="E25" i="18"/>
  <c r="D25" i="18"/>
  <c r="AM25" i="18" s="1"/>
  <c r="E24" i="18"/>
  <c r="D24" i="18"/>
  <c r="BA24" i="18" s="1"/>
  <c r="E23" i="18"/>
  <c r="D23" i="18"/>
  <c r="AM23" i="18" s="1"/>
  <c r="E22" i="18"/>
  <c r="D22" i="18"/>
  <c r="BA22" i="18" s="1"/>
  <c r="E21" i="18"/>
  <c r="D21" i="18"/>
  <c r="AM21" i="18" s="1"/>
  <c r="E20" i="18"/>
  <c r="D20" i="18"/>
  <c r="BA20" i="18" s="1"/>
  <c r="E19" i="18"/>
  <c r="D19" i="18"/>
  <c r="AM19" i="18" s="1"/>
  <c r="E18" i="18"/>
  <c r="D18" i="18"/>
  <c r="BA18" i="18" s="1"/>
  <c r="E17" i="18"/>
  <c r="D17" i="18"/>
  <c r="AM17" i="18" s="1"/>
  <c r="E16" i="18"/>
  <c r="D16" i="18"/>
  <c r="BA16" i="18" s="1"/>
  <c r="E15" i="18"/>
  <c r="D15" i="18"/>
  <c r="AM15" i="18" s="1"/>
  <c r="E14" i="18"/>
  <c r="D14" i="18"/>
  <c r="BA14" i="18" s="1"/>
  <c r="E13" i="18"/>
  <c r="D13" i="18"/>
  <c r="AM13" i="18" s="1"/>
  <c r="E12" i="18"/>
  <c r="D12" i="18"/>
  <c r="BA12" i="18" s="1"/>
  <c r="E11" i="18"/>
  <c r="D11" i="18"/>
  <c r="AM11" i="18" s="1"/>
  <c r="E10" i="18"/>
  <c r="D10" i="18"/>
  <c r="BA10" i="18" s="1"/>
  <c r="E9" i="18"/>
  <c r="D9" i="18"/>
  <c r="AM9" i="18" s="1"/>
  <c r="E8" i="18"/>
  <c r="D8" i="18"/>
  <c r="BA8" i="18" s="1"/>
  <c r="E7" i="18"/>
  <c r="D7" i="18"/>
  <c r="AT7" i="18" s="1"/>
  <c r="E6" i="18"/>
  <c r="D6" i="18"/>
  <c r="BA6" i="18" s="1"/>
  <c r="E5" i="18"/>
  <c r="D5" i="18"/>
  <c r="AT5" i="18" s="1"/>
  <c r="E4" i="18"/>
  <c r="D4" i="18"/>
  <c r="BA4" i="18" s="1"/>
  <c r="E3" i="18"/>
  <c r="D3" i="18"/>
  <c r="AT3" i="18" s="1"/>
  <c r="E2" i="18"/>
  <c r="D2" i="18"/>
  <c r="A602" i="16"/>
  <c r="A592" i="16"/>
  <c r="A120" i="16"/>
  <c r="A347" i="16"/>
  <c r="A408" i="16"/>
  <c r="A546" i="16"/>
  <c r="A465" i="16"/>
  <c r="A277" i="16"/>
  <c r="A429" i="16"/>
  <c r="A296" i="16"/>
  <c r="A230" i="16"/>
  <c r="A175" i="16"/>
  <c r="A614" i="16"/>
  <c r="A269" i="16"/>
  <c r="A600" i="16"/>
  <c r="A305" i="16"/>
  <c r="A309" i="16"/>
  <c r="A366" i="16"/>
  <c r="A380" i="16"/>
  <c r="A290" i="16"/>
  <c r="A144" i="16"/>
  <c r="A562" i="16"/>
  <c r="A416" i="16"/>
  <c r="A527" i="16"/>
  <c r="A497" i="16"/>
  <c r="A148" i="16"/>
  <c r="A776" i="16"/>
  <c r="A396" i="16"/>
  <c r="A419" i="16"/>
  <c r="A448" i="16"/>
  <c r="A774" i="16"/>
  <c r="A738" i="16"/>
  <c r="A512" i="16"/>
  <c r="A198" i="16"/>
  <c r="A731" i="16"/>
  <c r="A547" i="16"/>
  <c r="A141" i="16"/>
  <c r="A131" i="16"/>
  <c r="A597" i="16"/>
  <c r="A762" i="16"/>
  <c r="A470" i="16"/>
  <c r="A271" i="16"/>
  <c r="A252" i="16"/>
  <c r="A398" i="16"/>
  <c r="A457" i="16"/>
  <c r="A387" i="16"/>
  <c r="A280" i="16"/>
  <c r="A232" i="16"/>
  <c r="A525" i="16"/>
  <c r="A17" i="16"/>
  <c r="A692" i="16"/>
  <c r="A657" i="16"/>
  <c r="A587" i="16"/>
  <c r="A460" i="16"/>
  <c r="A485" i="16"/>
  <c r="A432" i="16"/>
  <c r="A375" i="16"/>
  <c r="A58" i="16"/>
  <c r="A503" i="16"/>
  <c r="A319" i="16"/>
  <c r="A146" i="16"/>
  <c r="A686" i="16"/>
  <c r="A685" i="16"/>
  <c r="A492" i="16"/>
  <c r="A4" i="16"/>
  <c r="A130" i="16"/>
  <c r="A324" i="16"/>
  <c r="A69" i="16"/>
  <c r="A506" i="16"/>
  <c r="A754" i="16"/>
  <c r="A84" i="16"/>
  <c r="A167" i="16"/>
  <c r="A292" i="16"/>
  <c r="A388" i="16"/>
  <c r="A138" i="16"/>
  <c r="A461" i="16"/>
  <c r="A181" i="16"/>
  <c r="A403" i="16"/>
  <c r="A374" i="16"/>
  <c r="A404" i="16"/>
  <c r="A558" i="16"/>
  <c r="A548" i="16"/>
  <c r="A368" i="16"/>
  <c r="A456" i="16"/>
  <c r="A176" i="16"/>
  <c r="A775" i="16"/>
  <c r="A638" i="16"/>
  <c r="A108" i="16"/>
  <c r="A36" i="16"/>
  <c r="A644" i="16"/>
  <c r="A143" i="16"/>
  <c r="A299" i="16"/>
  <c r="A557" i="16"/>
  <c r="A189" i="16"/>
  <c r="A653" i="16"/>
  <c r="A728" i="16"/>
  <c r="A211" i="16"/>
  <c r="A714" i="16"/>
  <c r="A505" i="16"/>
  <c r="A342" i="16"/>
  <c r="A190" i="16"/>
  <c r="A681" i="16"/>
  <c r="A79" i="16"/>
  <c r="A606" i="16"/>
  <c r="A402" i="16"/>
  <c r="A72" i="16"/>
  <c r="A632" i="16"/>
  <c r="A420" i="16"/>
  <c r="A386" i="16"/>
  <c r="A332" i="16"/>
  <c r="A364" i="16"/>
  <c r="A219" i="16"/>
  <c r="A10" i="16"/>
  <c r="A200" i="16"/>
  <c r="A628" i="16"/>
  <c r="A744" i="16"/>
  <c r="A667" i="16"/>
  <c r="A381" i="16"/>
  <c r="A630" i="16"/>
  <c r="A165" i="16"/>
  <c r="A389" i="16"/>
  <c r="A475" i="16"/>
  <c r="A683" i="16"/>
  <c r="A50" i="16"/>
  <c r="A703" i="16"/>
  <c r="A39" i="16"/>
  <c r="A98" i="16"/>
  <c r="A500" i="16"/>
  <c r="A152" i="16"/>
  <c r="A75" i="16"/>
  <c r="A476" i="16"/>
  <c r="A322" i="16"/>
  <c r="A185" i="16"/>
  <c r="A711" i="16"/>
  <c r="A383" i="16"/>
  <c r="A427" i="16"/>
  <c r="A595" i="16"/>
  <c r="A128" i="16"/>
  <c r="A664" i="16"/>
  <c r="A12" i="16"/>
  <c r="A554" i="16"/>
  <c r="A696" i="16"/>
  <c r="A359" i="16"/>
  <c r="A253" i="16"/>
  <c r="A612" i="16"/>
  <c r="A314" i="16"/>
  <c r="A377" i="16"/>
  <c r="A149" i="16"/>
  <c r="A255" i="16"/>
  <c r="A573" i="16"/>
  <c r="A424" i="16"/>
  <c r="A772" i="16"/>
  <c r="A159" i="16"/>
  <c r="A2" i="16"/>
  <c r="A571" i="16"/>
  <c r="A254" i="16"/>
  <c r="A639" i="16"/>
  <c r="A642" i="16"/>
  <c r="A117" i="16"/>
  <c r="A161" i="16"/>
  <c r="A20" i="16"/>
  <c r="A272" i="16"/>
  <c r="A444" i="16"/>
  <c r="A761" i="16"/>
  <c r="A508" i="16"/>
  <c r="A428" i="16"/>
  <c r="A425" i="16"/>
  <c r="A771" i="16"/>
  <c r="A733" i="16"/>
  <c r="A682" i="16"/>
  <c r="A577" i="16"/>
  <c r="A478" i="16"/>
  <c r="A62" i="16"/>
  <c r="A179" i="16"/>
  <c r="A35" i="16"/>
  <c r="A273" i="16"/>
  <c r="A250" i="16"/>
  <c r="A285" i="16"/>
  <c r="A739" i="16"/>
  <c r="A199" i="16"/>
  <c r="A623" i="16"/>
  <c r="A13" i="16"/>
  <c r="A690" i="16"/>
  <c r="A724" i="16"/>
  <c r="A335" i="16"/>
  <c r="A519" i="16"/>
  <c r="A740" i="16"/>
  <c r="A750" i="16"/>
  <c r="A60" i="16"/>
  <c r="A442" i="16"/>
  <c r="A328" i="16"/>
  <c r="A618" i="16"/>
  <c r="A16" i="16"/>
  <c r="A523" i="16"/>
  <c r="A15" i="16"/>
  <c r="A490" i="16"/>
  <c r="A466" i="16"/>
  <c r="A401" i="16"/>
  <c r="A270" i="16"/>
  <c r="A55" i="16"/>
  <c r="A206" i="16"/>
  <c r="A382" i="16"/>
  <c r="A38" i="16"/>
  <c r="A77" i="16"/>
  <c r="A303" i="16"/>
  <c r="A225" i="16"/>
  <c r="A264" i="16"/>
  <c r="A609" i="16"/>
  <c r="A708" i="16"/>
  <c r="A244" i="16"/>
  <c r="A109" i="16"/>
  <c r="A343" i="16"/>
  <c r="A481" i="16"/>
  <c r="A767" i="16"/>
  <c r="A251" i="16"/>
  <c r="A261" i="16"/>
  <c r="A172" i="16"/>
  <c r="A552" i="16"/>
  <c r="A306" i="16"/>
  <c r="A262" i="16"/>
  <c r="A732" i="16"/>
  <c r="A164" i="16"/>
  <c r="A178" i="16"/>
  <c r="A421" i="16"/>
  <c r="A610" i="16"/>
  <c r="A348" i="16"/>
  <c r="A288" i="16"/>
  <c r="A423" i="16"/>
  <c r="A121" i="16"/>
  <c r="A551" i="16"/>
  <c r="A76" i="16"/>
  <c r="A473" i="16"/>
  <c r="A300" i="16"/>
  <c r="A589" i="16"/>
  <c r="A734" i="16"/>
  <c r="A521" i="16"/>
  <c r="A591" i="16"/>
  <c r="A385" i="16"/>
  <c r="A56" i="16"/>
  <c r="A19" i="16"/>
  <c r="A486" i="16"/>
  <c r="A736" i="16"/>
  <c r="A245" i="16"/>
  <c r="A249" i="16"/>
  <c r="A217" i="16"/>
  <c r="A186" i="16"/>
  <c r="A367" i="16"/>
  <c r="A28" i="16"/>
  <c r="A659" i="16"/>
  <c r="A471" i="16"/>
  <c r="A539" i="16"/>
  <c r="A652" i="16"/>
  <c r="A37" i="16"/>
  <c r="A594" i="16"/>
  <c r="A501" i="16"/>
  <c r="A354" i="16"/>
  <c r="A472" i="16"/>
  <c r="A538" i="16"/>
  <c r="A513" i="16"/>
  <c r="A499" i="16"/>
  <c r="A722" i="16"/>
  <c r="A580" i="16"/>
  <c r="A234" i="16"/>
  <c r="A212" i="16"/>
  <c r="A758" i="16"/>
  <c r="A162" i="16"/>
  <c r="A7" i="16"/>
  <c r="A434" i="16"/>
  <c r="A122" i="16"/>
  <c r="A223" i="16"/>
  <c r="A317" i="16"/>
  <c r="A132" i="16"/>
  <c r="A695" i="16"/>
  <c r="A412" i="16"/>
  <c r="A150" i="16"/>
  <c r="A588" i="16"/>
  <c r="A579" i="16"/>
  <c r="A510" i="16"/>
  <c r="A361" i="16"/>
  <c r="A155" i="16"/>
  <c r="A169" i="16"/>
  <c r="A114" i="16"/>
  <c r="A174" i="16"/>
  <c r="A438" i="16"/>
  <c r="A543" i="16"/>
  <c r="A418" i="16"/>
  <c r="A705" i="16"/>
  <c r="A384" i="16"/>
  <c r="A127" i="16"/>
  <c r="A655" i="16"/>
  <c r="A515" i="16"/>
  <c r="A194" i="16"/>
  <c r="A99" i="16"/>
  <c r="A237" i="16"/>
  <c r="A694" i="16"/>
  <c r="A140" i="16"/>
  <c r="A51" i="16"/>
  <c r="A260" i="16"/>
  <c r="A312" i="16"/>
  <c r="A693" i="16"/>
  <c r="A318" i="16"/>
  <c r="A422" i="16"/>
  <c r="A725" i="16"/>
  <c r="A81" i="16"/>
  <c r="A528" i="16"/>
  <c r="A71" i="16"/>
  <c r="A446" i="16"/>
  <c r="A360" i="16"/>
  <c r="A213" i="16"/>
  <c r="A540" i="16"/>
  <c r="A679" i="16"/>
  <c r="A218" i="16"/>
  <c r="A529" i="16"/>
  <c r="A661" i="16"/>
  <c r="A394" i="16"/>
  <c r="A687" i="16"/>
  <c r="A11" i="16"/>
  <c r="A258" i="16"/>
  <c r="A154" i="16"/>
  <c r="A295" i="16"/>
  <c r="A493" i="16"/>
  <c r="A699" i="16"/>
  <c r="A195" i="16"/>
  <c r="A582" i="16"/>
  <c r="A313" i="16"/>
  <c r="A204" i="16"/>
  <c r="A183" i="16"/>
  <c r="A400" i="16"/>
  <c r="A103" i="16"/>
  <c r="A279" i="16"/>
  <c r="A741" i="16"/>
  <c r="A286" i="16"/>
  <c r="A570" i="16"/>
  <c r="A480" i="16"/>
  <c r="A86" i="16"/>
  <c r="A345" i="16"/>
  <c r="A452" i="16"/>
  <c r="A524" i="16"/>
  <c r="A631" i="16"/>
  <c r="A467" i="16"/>
  <c r="A413" i="16"/>
  <c r="A92" i="16"/>
  <c r="A516" i="16"/>
  <c r="A107" i="16"/>
  <c r="A352" i="16"/>
  <c r="A715" i="16"/>
  <c r="A559" i="16"/>
  <c r="A553" i="16"/>
  <c r="A541" i="16"/>
  <c r="A177" i="16"/>
  <c r="A576" i="16"/>
  <c r="A42" i="16"/>
  <c r="A112" i="16"/>
  <c r="A637" i="16"/>
  <c r="A6" i="16"/>
  <c r="A307" i="16"/>
  <c r="A48" i="16"/>
  <c r="A533" i="16"/>
  <c r="A276" i="16"/>
  <c r="A331" i="16"/>
  <c r="A537" i="16"/>
  <c r="A498" i="16"/>
  <c r="A87" i="16"/>
  <c r="A137" i="16"/>
  <c r="A680" i="16"/>
  <c r="A147" i="16"/>
  <c r="A21" i="16"/>
  <c r="A101" i="16"/>
  <c r="A399" i="16"/>
  <c r="A406" i="16"/>
  <c r="A555" i="16"/>
  <c r="A410" i="16"/>
  <c r="A626" i="16"/>
  <c r="A586" i="16"/>
  <c r="A704" i="16"/>
  <c r="A753" i="16"/>
  <c r="A83" i="16"/>
  <c r="A634" i="16"/>
  <c r="A689" i="16"/>
  <c r="A504" i="16"/>
  <c r="A458" i="16"/>
  <c r="A283" i="16"/>
  <c r="A68" i="16"/>
  <c r="A415" i="16"/>
  <c r="A8" i="16"/>
  <c r="A282" i="16"/>
  <c r="A113" i="16"/>
  <c r="A535" i="16"/>
  <c r="A509" i="16"/>
  <c r="A654" i="16"/>
  <c r="A330" i="16"/>
  <c r="A759" i="16"/>
  <c r="A33" i="16"/>
  <c r="A751" i="16"/>
  <c r="A192" i="16"/>
  <c r="A393" i="16"/>
  <c r="A697" i="16"/>
  <c r="A136" i="16"/>
  <c r="A468" i="16"/>
  <c r="A376" i="16"/>
  <c r="A224" i="16"/>
  <c r="A316" i="16"/>
  <c r="A391" i="16"/>
  <c r="A534" i="16"/>
  <c r="A104" i="16"/>
  <c r="A544" i="16"/>
  <c r="A633" i="16"/>
  <c r="A590" i="16"/>
  <c r="A707" i="16"/>
  <c r="A18" i="16"/>
  <c r="A405" i="16"/>
  <c r="A620" i="16"/>
  <c r="A566" i="16"/>
  <c r="A65" i="16"/>
  <c r="A437" i="16"/>
  <c r="A777" i="16"/>
  <c r="A100" i="16"/>
  <c r="A549" i="16"/>
  <c r="A239" i="16"/>
  <c r="A517" i="16"/>
  <c r="A93" i="16"/>
  <c r="A216" i="16"/>
  <c r="A640" i="16"/>
  <c r="A63" i="16"/>
  <c r="A392" i="16"/>
  <c r="A603" i="16"/>
  <c r="A235" i="16"/>
  <c r="A31" i="16"/>
  <c r="A32" i="16"/>
  <c r="A110" i="16"/>
  <c r="A691" i="16"/>
  <c r="A496" i="16"/>
  <c r="A443" i="16"/>
  <c r="A370" i="16"/>
  <c r="A59" i="16"/>
  <c r="A278" i="16"/>
  <c r="A455" i="16"/>
  <c r="A166" i="16"/>
  <c r="A390" i="16"/>
  <c r="A372" i="16"/>
  <c r="A129" i="16"/>
  <c r="A550" i="16"/>
  <c r="A231" i="16"/>
  <c r="A656" i="16"/>
  <c r="A454" i="16"/>
  <c r="A621" i="16"/>
  <c r="A355" i="16"/>
  <c r="A721" i="16"/>
  <c r="A658" i="16"/>
  <c r="A717" i="16"/>
  <c r="A564" i="16"/>
  <c r="A268" i="16"/>
  <c r="A85" i="16"/>
  <c r="A431" i="16"/>
  <c r="A158" i="16"/>
  <c r="A474" i="16"/>
  <c r="A645" i="16"/>
  <c r="A720" i="16"/>
  <c r="A435" i="16"/>
  <c r="A536" i="16"/>
  <c r="A247" i="16"/>
  <c r="A459" i="16"/>
  <c r="A617" i="16"/>
  <c r="A650" i="16"/>
  <c r="A298" i="16"/>
  <c r="A766" i="16"/>
  <c r="A745" i="16"/>
  <c r="A649" i="16"/>
  <c r="A542" i="16"/>
  <c r="A436" i="16"/>
  <c r="A362" i="16"/>
  <c r="A662" i="16"/>
  <c r="A426" i="16"/>
  <c r="A701" i="16"/>
  <c r="A768" i="16"/>
  <c r="A560" i="16"/>
  <c r="A494" i="16"/>
  <c r="A430" i="16"/>
  <c r="A193" i="16"/>
  <c r="A52" i="16"/>
  <c r="A49" i="16"/>
  <c r="A756" i="16"/>
  <c r="A713" i="16"/>
  <c r="A749" i="16"/>
  <c r="A433" i="16"/>
  <c r="A565" i="16"/>
  <c r="A449" i="16"/>
  <c r="A615" i="16"/>
  <c r="A445" i="16"/>
  <c r="A336" i="16"/>
  <c r="A674" i="16"/>
  <c r="A53" i="16"/>
  <c r="A320" i="16"/>
  <c r="A116" i="16"/>
  <c r="A648" i="16"/>
  <c r="A760" i="16"/>
  <c r="A712" i="16"/>
  <c r="A163" i="16"/>
  <c r="A514" i="16"/>
  <c r="A180" i="16"/>
  <c r="A453" i="16"/>
  <c r="A281" i="16"/>
  <c r="A709" i="16"/>
  <c r="A196" i="16"/>
  <c r="A464" i="16"/>
  <c r="A601" i="16"/>
  <c r="A89" i="16"/>
  <c r="A491" i="16"/>
  <c r="A441" i="16"/>
  <c r="A226" i="16"/>
  <c r="A215" i="16"/>
  <c r="A643" i="16"/>
  <c r="A665" i="16"/>
  <c r="A334" i="16"/>
  <c r="A191" i="16"/>
  <c r="A545" i="16"/>
  <c r="A746" i="16"/>
  <c r="A3" i="16"/>
  <c r="A242" i="16"/>
  <c r="A170" i="16"/>
  <c r="A222" i="16"/>
  <c r="A326" i="16"/>
  <c r="A111" i="16"/>
  <c r="A302" i="16"/>
  <c r="A54" i="16"/>
  <c r="A763" i="16"/>
  <c r="A187" i="16"/>
  <c r="A311" i="16"/>
  <c r="A647" i="16"/>
  <c r="A25" i="16"/>
  <c r="A205" i="16"/>
  <c r="A596" i="16"/>
  <c r="A622" i="16"/>
  <c r="A710" i="16"/>
  <c r="A287" i="16"/>
  <c r="A338" i="16"/>
  <c r="A677" i="16"/>
  <c r="A769" i="16"/>
  <c r="A770" i="16"/>
  <c r="A23" i="16"/>
  <c r="A627" i="16"/>
  <c r="A209" i="16"/>
  <c r="A341" i="16"/>
  <c r="A284" i="16"/>
  <c r="A346" i="16"/>
  <c r="A755" i="16"/>
  <c r="A135" i="16"/>
  <c r="A22" i="16"/>
  <c r="A417" i="16"/>
  <c r="A82" i="16"/>
  <c r="A351" i="16"/>
  <c r="A243" i="16"/>
  <c r="A735" i="16"/>
  <c r="A646" i="16"/>
  <c r="A208" i="16"/>
  <c r="A90" i="16"/>
  <c r="A41" i="16"/>
  <c r="A378" i="16"/>
  <c r="A259" i="16"/>
  <c r="A266" i="16"/>
  <c r="A171" i="16"/>
  <c r="A184" i="16"/>
  <c r="A214" i="16"/>
  <c r="A337" i="16"/>
  <c r="A773" i="16"/>
  <c r="A160" i="16"/>
  <c r="A157" i="16"/>
  <c r="A356" i="16"/>
  <c r="A484" i="16"/>
  <c r="A293" i="16"/>
  <c r="A757" i="16"/>
  <c r="A263" i="16"/>
  <c r="A489" i="16"/>
  <c r="A723" i="16"/>
  <c r="A227" i="16"/>
  <c r="A409" i="16"/>
  <c r="A463" i="16"/>
  <c r="A688" i="16"/>
  <c r="A397" i="16"/>
  <c r="A379" i="16"/>
  <c r="A26" i="16"/>
  <c r="A333" i="16"/>
  <c r="A340" i="16"/>
  <c r="A142" i="16"/>
  <c r="A9" i="16"/>
  <c r="A47" i="16"/>
  <c r="A210" i="16"/>
  <c r="A173" i="16"/>
  <c r="A221" i="16"/>
  <c r="A229" i="16"/>
  <c r="A349" i="16"/>
  <c r="A34" i="16"/>
  <c r="A439" i="16"/>
  <c r="A315" i="16"/>
  <c r="A182" i="16"/>
  <c r="A511" i="16"/>
  <c r="A27" i="16"/>
  <c r="A236" i="16"/>
  <c r="A153" i="16"/>
  <c r="A495" i="16"/>
  <c r="A228" i="16"/>
  <c r="A126" i="16"/>
  <c r="A726" i="16"/>
  <c r="A197" i="16"/>
  <c r="A88" i="16"/>
  <c r="A365" i="16"/>
  <c r="A411" i="16"/>
  <c r="A45" i="16"/>
  <c r="A29" i="16"/>
  <c r="A238" i="16"/>
  <c r="A106" i="16"/>
  <c r="A248" i="16"/>
  <c r="A716" i="16"/>
  <c r="A488" i="16"/>
  <c r="A105" i="16"/>
  <c r="A469" i="16"/>
  <c r="A119" i="16"/>
  <c r="A462" i="16"/>
  <c r="A339" i="16"/>
  <c r="A323" i="16"/>
  <c r="A668" i="16"/>
  <c r="A706" i="16"/>
  <c r="A747" i="16"/>
  <c r="A518" i="16"/>
  <c r="A304" i="16"/>
  <c r="A395" i="16"/>
  <c r="A133" i="16"/>
  <c r="A502" i="16"/>
  <c r="A57" i="16"/>
  <c r="A310" i="16"/>
  <c r="A532" i="16"/>
  <c r="A24" i="16"/>
  <c r="A241" i="16"/>
  <c r="A369" i="16"/>
  <c r="A265" i="16"/>
  <c r="A168" i="16"/>
  <c r="A479" i="16"/>
  <c r="A613" i="16"/>
  <c r="A737" i="16"/>
  <c r="A752" i="16"/>
  <c r="A327" i="16"/>
  <c r="A220" i="16"/>
  <c r="A765" i="16"/>
  <c r="A748" i="16"/>
  <c r="A727" i="16"/>
  <c r="A729" i="16"/>
  <c r="A719" i="16"/>
  <c r="A651" i="16"/>
  <c r="A598" i="16"/>
  <c r="A593" i="16"/>
  <c r="A585" i="16"/>
  <c r="A572" i="16"/>
  <c r="A567" i="16"/>
  <c r="A5" i="16"/>
  <c r="A531" i="16"/>
  <c r="A363" i="16"/>
  <c r="A358" i="16"/>
  <c r="A275" i="16"/>
  <c r="A743" i="16"/>
  <c r="A240" i="16"/>
  <c r="A201" i="16"/>
  <c r="A188" i="16"/>
  <c r="A156" i="16"/>
  <c r="A94" i="16"/>
  <c r="A80" i="16"/>
  <c r="A329" i="16"/>
  <c r="A74" i="16"/>
  <c r="A66" i="16"/>
  <c r="A440" i="16"/>
  <c r="A373" i="16"/>
  <c r="A297" i="16"/>
  <c r="A207" i="16"/>
  <c r="A14" i="16"/>
  <c r="A666" i="16"/>
  <c r="A604" i="16"/>
  <c r="A477" i="16"/>
  <c r="A605" i="16"/>
  <c r="A46" i="16"/>
  <c r="A67" i="16"/>
  <c r="A70" i="16"/>
  <c r="A145" i="16"/>
  <c r="A353" i="16"/>
  <c r="A203" i="16"/>
  <c r="A575" i="16"/>
  <c r="A487" i="16"/>
  <c r="A635" i="16"/>
  <c r="A563" i="16"/>
  <c r="A97" i="16"/>
  <c r="A96" i="16"/>
  <c r="A673" i="16"/>
  <c r="A616" i="16"/>
  <c r="A584" i="16"/>
  <c r="A574" i="16"/>
  <c r="A451" i="16"/>
  <c r="A447" i="16"/>
  <c r="A43" i="16"/>
  <c r="A344" i="16"/>
  <c r="A294" i="16"/>
  <c r="A583" i="16"/>
  <c r="A123" i="16"/>
  <c r="A764" i="16"/>
  <c r="A64" i="16"/>
  <c r="A675" i="16"/>
  <c r="A482" i="16"/>
  <c r="A233" i="16"/>
  <c r="A118" i="16"/>
  <c r="A102" i="16"/>
  <c r="A73" i="16"/>
  <c r="A629" i="16"/>
  <c r="A561" i="16"/>
  <c r="A530" i="16"/>
  <c r="A507" i="16"/>
  <c r="A483" i="16"/>
  <c r="A321" i="16"/>
  <c r="A246" i="16"/>
  <c r="A730" i="16"/>
  <c r="A671" i="16"/>
  <c r="A625" i="16"/>
  <c r="A599" i="16"/>
  <c r="A357" i="16"/>
  <c r="A308" i="16"/>
  <c r="A676" i="16"/>
  <c r="A607" i="16"/>
  <c r="A407" i="16"/>
  <c r="A267" i="16"/>
  <c r="A115" i="16"/>
  <c r="A30" i="16"/>
  <c r="A700" i="16"/>
  <c r="A660" i="16"/>
  <c r="A581" i="16"/>
  <c r="A608" i="16"/>
  <c r="A578" i="16"/>
  <c r="A526" i="16"/>
  <c r="A672" i="16"/>
  <c r="A257" i="16"/>
  <c r="A256" i="16"/>
  <c r="A134" i="16"/>
  <c r="A125" i="16"/>
  <c r="A95" i="16"/>
  <c r="A61" i="16"/>
  <c r="A151" i="16"/>
  <c r="A669" i="16"/>
  <c r="A678" i="16"/>
  <c r="A414" i="16"/>
  <c r="A520" i="16"/>
  <c r="A636" i="16"/>
  <c r="A619" i="16"/>
  <c r="A569" i="16"/>
  <c r="A274" i="16"/>
  <c r="A663" i="16"/>
  <c r="A139" i="16"/>
  <c r="A568" i="16"/>
  <c r="A556" i="16"/>
  <c r="A742" i="16"/>
  <c r="A718" i="16"/>
  <c r="A702" i="16"/>
  <c r="A641" i="16"/>
  <c r="A624" i="16"/>
  <c r="A611" i="16"/>
  <c r="A450" i="16"/>
  <c r="A291" i="16"/>
  <c r="A670" i="16"/>
  <c r="A44" i="16"/>
  <c r="A40" i="16"/>
  <c r="A301" i="16"/>
  <c r="A371" i="16"/>
  <c r="A684" i="16"/>
  <c r="A350" i="16"/>
  <c r="A202" i="16"/>
  <c r="A124" i="16"/>
  <c r="A91" i="16"/>
  <c r="A522" i="16"/>
  <c r="A325" i="16"/>
  <c r="A289" i="16"/>
  <c r="A78" i="16"/>
  <c r="A698" i="16"/>
  <c r="I357" i="20" l="1"/>
  <c r="M357" i="20"/>
  <c r="L358" i="20"/>
  <c r="J359" i="20"/>
  <c r="J357" i="20"/>
  <c r="I358" i="20"/>
  <c r="M358" i="20"/>
  <c r="K359" i="20"/>
  <c r="K357" i="20"/>
  <c r="J358" i="20"/>
  <c r="I359" i="20"/>
  <c r="L359" i="20"/>
  <c r="L357" i="20"/>
  <c r="K358" i="20"/>
  <c r="M359" i="20"/>
  <c r="M353" i="20"/>
  <c r="K353" i="20"/>
  <c r="J353" i="20"/>
  <c r="L353" i="20"/>
  <c r="I353" i="20"/>
  <c r="I354" i="20"/>
  <c r="K355" i="20"/>
  <c r="L356" i="20"/>
  <c r="K356" i="20"/>
  <c r="I348" i="20"/>
  <c r="M348" i="20"/>
  <c r="J354" i="20"/>
  <c r="M354" i="20"/>
  <c r="I355" i="20"/>
  <c r="L355" i="20"/>
  <c r="I356" i="20"/>
  <c r="J348" i="20"/>
  <c r="K354" i="20"/>
  <c r="M355" i="20"/>
  <c r="M356" i="20"/>
  <c r="K348" i="20"/>
  <c r="L354" i="20"/>
  <c r="J355" i="20"/>
  <c r="J356" i="20"/>
  <c r="L348" i="20"/>
  <c r="J349" i="20"/>
  <c r="I350" i="20"/>
  <c r="M350" i="20"/>
  <c r="J352" i="20"/>
  <c r="K349" i="20"/>
  <c r="J350" i="20"/>
  <c r="L352" i="20"/>
  <c r="K352" i="20"/>
  <c r="L349" i="20"/>
  <c r="K350" i="20"/>
  <c r="I352" i="20"/>
  <c r="I349" i="20"/>
  <c r="M349" i="20"/>
  <c r="L350" i="20"/>
  <c r="M352" i="20"/>
  <c r="M351" i="20"/>
  <c r="J351" i="20"/>
  <c r="I351" i="20"/>
  <c r="L351" i="20"/>
  <c r="K351" i="20"/>
  <c r="I347" i="20"/>
  <c r="J346" i="20"/>
  <c r="I337" i="20"/>
  <c r="K337" i="20"/>
  <c r="J347" i="20"/>
  <c r="K346" i="20"/>
  <c r="M337" i="20"/>
  <c r="K347" i="20"/>
  <c r="M347" i="20"/>
  <c r="M346" i="20"/>
  <c r="L337" i="20"/>
  <c r="L347" i="20"/>
  <c r="I346" i="20"/>
  <c r="L346" i="20"/>
  <c r="J337" i="20"/>
  <c r="L330" i="20"/>
  <c r="I336" i="20"/>
  <c r="K336" i="20"/>
  <c r="M345" i="20"/>
  <c r="J329" i="20"/>
  <c r="J344" i="20"/>
  <c r="I330" i="20"/>
  <c r="M330" i="20"/>
  <c r="M336" i="20"/>
  <c r="K345" i="20"/>
  <c r="J345" i="20"/>
  <c r="L329" i="20"/>
  <c r="K344" i="20"/>
  <c r="L344" i="20"/>
  <c r="K330" i="20"/>
  <c r="L336" i="20"/>
  <c r="L345" i="20"/>
  <c r="I329" i="20"/>
  <c r="M329" i="20"/>
  <c r="M344" i="20"/>
  <c r="J330" i="20"/>
  <c r="J336" i="20"/>
  <c r="I345" i="20"/>
  <c r="K329" i="20"/>
  <c r="I344" i="20"/>
  <c r="L334" i="20"/>
  <c r="M331" i="20"/>
  <c r="I333" i="20"/>
  <c r="J333" i="20"/>
  <c r="K334" i="20"/>
  <c r="I331" i="20"/>
  <c r="J331" i="20"/>
  <c r="L333" i="20"/>
  <c r="M334" i="20"/>
  <c r="K331" i="20"/>
  <c r="K333" i="20"/>
  <c r="I334" i="20"/>
  <c r="J334" i="20"/>
  <c r="L331" i="20"/>
  <c r="M333" i="20"/>
  <c r="I335" i="20"/>
  <c r="J335" i="20"/>
  <c r="I340" i="20"/>
  <c r="K341" i="20"/>
  <c r="K342" i="20"/>
  <c r="M342" i="20"/>
  <c r="J325" i="20"/>
  <c r="M338" i="20"/>
  <c r="L335" i="20"/>
  <c r="K340" i="20"/>
  <c r="J340" i="20"/>
  <c r="J341" i="20"/>
  <c r="J342" i="20"/>
  <c r="I325" i="20"/>
  <c r="K325" i="20"/>
  <c r="L338" i="20"/>
  <c r="K335" i="20"/>
  <c r="M340" i="20"/>
  <c r="M341" i="20"/>
  <c r="I342" i="20"/>
  <c r="M325" i="20"/>
  <c r="J338" i="20"/>
  <c r="M335" i="20"/>
  <c r="L340" i="20"/>
  <c r="L341" i="20"/>
  <c r="I341" i="20"/>
  <c r="L342" i="20"/>
  <c r="L325" i="20"/>
  <c r="I338" i="20"/>
  <c r="K338" i="20"/>
  <c r="L328" i="20"/>
  <c r="M323" i="20"/>
  <c r="J306" i="20"/>
  <c r="I322" i="20"/>
  <c r="J322" i="20"/>
  <c r="K319" i="20"/>
  <c r="M326" i="20"/>
  <c r="M320" i="20"/>
  <c r="J302" i="20"/>
  <c r="K309" i="20"/>
  <c r="I305" i="20"/>
  <c r="I328" i="20"/>
  <c r="M328" i="20"/>
  <c r="L323" i="20"/>
  <c r="M306" i="20"/>
  <c r="L322" i="20"/>
  <c r="I319" i="20"/>
  <c r="M319" i="20"/>
  <c r="L326" i="20"/>
  <c r="J320" i="20"/>
  <c r="K302" i="20"/>
  <c r="J312" i="20"/>
  <c r="J309" i="20"/>
  <c r="L305" i="20"/>
  <c r="K328" i="20"/>
  <c r="I323" i="20"/>
  <c r="J323" i="20"/>
  <c r="K306" i="20"/>
  <c r="K322" i="20"/>
  <c r="L319" i="20"/>
  <c r="J326" i="20"/>
  <c r="I320" i="20"/>
  <c r="K320" i="20"/>
  <c r="M302" i="20"/>
  <c r="I309" i="20"/>
  <c r="M309" i="20"/>
  <c r="M305" i="20"/>
  <c r="J328" i="20"/>
  <c r="K323" i="20"/>
  <c r="L306" i="20"/>
  <c r="I306" i="20"/>
  <c r="M322" i="20"/>
  <c r="J319" i="20"/>
  <c r="I326" i="20"/>
  <c r="K326" i="20"/>
  <c r="L320" i="20"/>
  <c r="I302" i="20"/>
  <c r="L302" i="20"/>
  <c r="L309" i="20"/>
  <c r="K305" i="20"/>
  <c r="J305" i="20"/>
  <c r="L312" i="20"/>
  <c r="I312" i="20"/>
  <c r="J324" i="20"/>
  <c r="M308" i="20"/>
  <c r="I315" i="20"/>
  <c r="K321" i="20"/>
  <c r="M300" i="20"/>
  <c r="I327" i="20"/>
  <c r="M327" i="20"/>
  <c r="J304" i="20"/>
  <c r="I304" i="20"/>
  <c r="K312" i="20"/>
  <c r="I324" i="20"/>
  <c r="K324" i="20"/>
  <c r="K308" i="20"/>
  <c r="M315" i="20"/>
  <c r="J315" i="20"/>
  <c r="M321" i="20"/>
  <c r="L300" i="20"/>
  <c r="K327" i="20"/>
  <c r="K304" i="20"/>
  <c r="M324" i="20"/>
  <c r="J308" i="20"/>
  <c r="L308" i="20"/>
  <c r="L315" i="20"/>
  <c r="I321" i="20"/>
  <c r="J321" i="20"/>
  <c r="J300" i="20"/>
  <c r="L327" i="20"/>
  <c r="M304" i="20"/>
  <c r="M312" i="20"/>
  <c r="L324" i="20"/>
  <c r="I308" i="20"/>
  <c r="K315" i="20"/>
  <c r="L321" i="20"/>
  <c r="I300" i="20"/>
  <c r="K300" i="20"/>
  <c r="J327" i="20"/>
  <c r="L304" i="20"/>
  <c r="K314" i="20"/>
  <c r="L307" i="20"/>
  <c r="L314" i="20"/>
  <c r="J307" i="20"/>
  <c r="I314" i="20"/>
  <c r="J314" i="20"/>
  <c r="M307" i="20"/>
  <c r="M314" i="20"/>
  <c r="K307" i="20"/>
  <c r="I307" i="20"/>
  <c r="M310" i="20"/>
  <c r="K310" i="20"/>
  <c r="M311" i="20"/>
  <c r="K303" i="20"/>
  <c r="I303" i="20"/>
  <c r="K316" i="20"/>
  <c r="I310" i="20"/>
  <c r="I311" i="20"/>
  <c r="J303" i="20"/>
  <c r="J316" i="20"/>
  <c r="L310" i="20"/>
  <c r="L311" i="20"/>
  <c r="L303" i="20"/>
  <c r="L316" i="20"/>
  <c r="J310" i="20"/>
  <c r="K311" i="20"/>
  <c r="J311" i="20"/>
  <c r="M303" i="20"/>
  <c r="I316" i="20"/>
  <c r="M316" i="20"/>
  <c r="I298" i="20"/>
  <c r="L298" i="20"/>
  <c r="K298" i="20"/>
  <c r="J298" i="20"/>
  <c r="M298" i="20"/>
  <c r="M296" i="20"/>
  <c r="I297" i="20"/>
  <c r="L297" i="20"/>
  <c r="L295" i="20"/>
  <c r="I296" i="20"/>
  <c r="M295" i="20"/>
  <c r="K296" i="20"/>
  <c r="K297" i="20"/>
  <c r="I295" i="20"/>
  <c r="J295" i="20"/>
  <c r="J296" i="20"/>
  <c r="J297" i="20"/>
  <c r="L296" i="20"/>
  <c r="M297" i="20"/>
  <c r="K295" i="20"/>
  <c r="M3" i="20"/>
  <c r="L3" i="20"/>
  <c r="I3" i="20"/>
  <c r="K3" i="20"/>
  <c r="J3" i="20"/>
  <c r="BA2" i="18"/>
  <c r="Y133" i="18"/>
  <c r="P53" i="18"/>
  <c r="AT152" i="18"/>
  <c r="AF100" i="18"/>
  <c r="AF30" i="18"/>
  <c r="AF108" i="18"/>
  <c r="BF205" i="18"/>
  <c r="H205" i="18" s="1"/>
  <c r="BF289" i="18"/>
  <c r="I289" i="18" s="1"/>
  <c r="Y103" i="18"/>
  <c r="R205" i="18"/>
  <c r="AF54" i="18"/>
  <c r="AT104" i="18"/>
  <c r="R152" i="18"/>
  <c r="BF169" i="18"/>
  <c r="J169" i="18" s="1"/>
  <c r="BF278" i="18"/>
  <c r="I278" i="18" s="1"/>
  <c r="BF282" i="18"/>
  <c r="G282" i="18" s="1"/>
  <c r="P25" i="18"/>
  <c r="AT107" i="18"/>
  <c r="AT178" i="18"/>
  <c r="AF269" i="18"/>
  <c r="R28" i="18"/>
  <c r="P33" i="18"/>
  <c r="R108" i="18"/>
  <c r="BF115" i="18"/>
  <c r="J115" i="18" s="1"/>
  <c r="BF117" i="18"/>
  <c r="I117" i="18" s="1"/>
  <c r="BF123" i="18"/>
  <c r="J123" i="18" s="1"/>
  <c r="BF127" i="18"/>
  <c r="F127" i="18" s="1"/>
  <c r="R134" i="18"/>
  <c r="R178" i="18"/>
  <c r="Y181" i="18"/>
  <c r="AT217" i="18"/>
  <c r="Y212" i="18"/>
  <c r="Y269" i="18"/>
  <c r="BF184" i="18"/>
  <c r="H184" i="18" s="1"/>
  <c r="P34" i="18"/>
  <c r="BF89" i="18"/>
  <c r="H89" i="18" s="1"/>
  <c r="BF134" i="18"/>
  <c r="J134" i="18" s="1"/>
  <c r="BF174" i="18"/>
  <c r="H174" i="18" s="1"/>
  <c r="BF178" i="18"/>
  <c r="J178" i="18" s="1"/>
  <c r="R184" i="18"/>
  <c r="BF202" i="18"/>
  <c r="I202" i="18" s="1"/>
  <c r="BF9" i="18"/>
  <c r="G9" i="18" s="1"/>
  <c r="BF32" i="18"/>
  <c r="J32" i="18" s="1"/>
  <c r="BF75" i="18"/>
  <c r="H75" i="18" s="1"/>
  <c r="BF249" i="18"/>
  <c r="G249" i="18" s="1"/>
  <c r="R278" i="18"/>
  <c r="R19" i="18"/>
  <c r="BF21" i="18"/>
  <c r="J21" i="18" s="1"/>
  <c r="R22" i="18"/>
  <c r="BF24" i="18"/>
  <c r="H24" i="18" s="1"/>
  <c r="BF37" i="18"/>
  <c r="H37" i="18" s="1"/>
  <c r="AF44" i="18"/>
  <c r="AF58" i="18"/>
  <c r="N75" i="18"/>
  <c r="AF76" i="18"/>
  <c r="BF78" i="18"/>
  <c r="I78" i="18" s="1"/>
  <c r="BF88" i="18"/>
  <c r="H88" i="18" s="1"/>
  <c r="BF90" i="18"/>
  <c r="J90" i="18" s="1"/>
  <c r="AF133" i="18"/>
  <c r="AT134" i="18"/>
  <c r="BF144" i="18"/>
  <c r="H144" i="18" s="1"/>
  <c r="BF146" i="18"/>
  <c r="J146" i="18" s="1"/>
  <c r="BF192" i="18"/>
  <c r="I192" i="18" s="1"/>
  <c r="BF199" i="18"/>
  <c r="H199" i="18" s="1"/>
  <c r="Y204" i="18"/>
  <c r="AT221" i="18"/>
  <c r="AF241" i="18"/>
  <c r="Y248" i="18"/>
  <c r="R249" i="18"/>
  <c r="R258" i="18"/>
  <c r="AF277" i="18"/>
  <c r="R21" i="18"/>
  <c r="N34" i="18"/>
  <c r="AF43" i="18"/>
  <c r="BF57" i="18"/>
  <c r="H57" i="18" s="1"/>
  <c r="AT75" i="18"/>
  <c r="AF92" i="18"/>
  <c r="BF96" i="18"/>
  <c r="F96" i="18" s="1"/>
  <c r="BF103" i="18"/>
  <c r="G103" i="18" s="1"/>
  <c r="R104" i="18"/>
  <c r="Y105" i="18"/>
  <c r="R150" i="18"/>
  <c r="BF152" i="18"/>
  <c r="G152" i="18" s="1"/>
  <c r="BF160" i="18"/>
  <c r="H160" i="18" s="1"/>
  <c r="BF162" i="18"/>
  <c r="H162" i="18" s="1"/>
  <c r="R192" i="18"/>
  <c r="R215" i="18"/>
  <c r="BF217" i="18"/>
  <c r="J217" i="18" s="1"/>
  <c r="AF218" i="18"/>
  <c r="R235" i="18"/>
  <c r="Y240" i="18"/>
  <c r="AM247" i="18"/>
  <c r="AF249" i="18"/>
  <c r="R264" i="18"/>
  <c r="R172" i="18"/>
  <c r="N182" i="18"/>
  <c r="AF192" i="18"/>
  <c r="Y235" i="18"/>
  <c r="AM268" i="18"/>
  <c r="R9" i="18"/>
  <c r="BF11" i="18"/>
  <c r="F11" i="18" s="1"/>
  <c r="BF23" i="18"/>
  <c r="I23" i="18" s="1"/>
  <c r="R24" i="18"/>
  <c r="R32" i="18"/>
  <c r="AM34" i="18"/>
  <c r="R37" i="18"/>
  <c r="AM40" i="18"/>
  <c r="BF47" i="18"/>
  <c r="I47" i="18" s="1"/>
  <c r="BF49" i="18"/>
  <c r="I49" i="18" s="1"/>
  <c r="BF51" i="18"/>
  <c r="J51" i="18" s="1"/>
  <c r="BF55" i="18"/>
  <c r="H55" i="18" s="1"/>
  <c r="AT56" i="18"/>
  <c r="BF59" i="18"/>
  <c r="J59" i="18" s="1"/>
  <c r="P60" i="18"/>
  <c r="AF74" i="18"/>
  <c r="AM88" i="18"/>
  <c r="Y89" i="18"/>
  <c r="R90" i="18"/>
  <c r="AT96" i="18"/>
  <c r="BF98" i="18"/>
  <c r="J98" i="18" s="1"/>
  <c r="AT99" i="18"/>
  <c r="BF106" i="18"/>
  <c r="H106" i="18" s="1"/>
  <c r="Y117" i="18"/>
  <c r="O122" i="18"/>
  <c r="R127" i="18"/>
  <c r="R139" i="18"/>
  <c r="R146" i="18"/>
  <c r="R162" i="18"/>
  <c r="BF166" i="18"/>
  <c r="H166" i="18" s="1"/>
  <c r="R174" i="18"/>
  <c r="BF188" i="18"/>
  <c r="H188" i="18" s="1"/>
  <c r="BF196" i="18"/>
  <c r="J196" i="18" s="1"/>
  <c r="BF203" i="18"/>
  <c r="G203" i="18" s="1"/>
  <c r="BF245" i="18"/>
  <c r="H245" i="18" s="1"/>
  <c r="AT247" i="18"/>
  <c r="BF263" i="18"/>
  <c r="G263" i="18" s="1"/>
  <c r="AT268" i="18"/>
  <c r="BF285" i="18"/>
  <c r="I285" i="18" s="1"/>
  <c r="AF8" i="18"/>
  <c r="R11" i="18"/>
  <c r="BF19" i="18"/>
  <c r="I19" i="18" s="1"/>
  <c r="BF22" i="18"/>
  <c r="H22" i="18" s="1"/>
  <c r="R23" i="18"/>
  <c r="BF28" i="18"/>
  <c r="H28" i="18" s="1"/>
  <c r="AT34" i="18"/>
  <c r="AF39" i="18"/>
  <c r="BF46" i="18"/>
  <c r="H46" i="18" s="1"/>
  <c r="AF47" i="18"/>
  <c r="R48" i="18"/>
  <c r="N49" i="18"/>
  <c r="R50" i="18"/>
  <c r="AT51" i="18"/>
  <c r="Y55" i="18"/>
  <c r="Y59" i="18"/>
  <c r="BF61" i="18"/>
  <c r="J61" i="18" s="1"/>
  <c r="AF90" i="18"/>
  <c r="BF95" i="18"/>
  <c r="G95" i="18" s="1"/>
  <c r="AT98" i="18"/>
  <c r="BF105" i="18"/>
  <c r="J105" i="18" s="1"/>
  <c r="N106" i="18"/>
  <c r="BF107" i="18"/>
  <c r="F107" i="18" s="1"/>
  <c r="BF108" i="18"/>
  <c r="J108" i="18" s="1"/>
  <c r="BF109" i="18"/>
  <c r="H109" i="18" s="1"/>
  <c r="AF117" i="18"/>
  <c r="R126" i="18"/>
  <c r="AT129" i="18"/>
  <c r="N141" i="18"/>
  <c r="AF146" i="18"/>
  <c r="BF150" i="18"/>
  <c r="J150" i="18" s="1"/>
  <c r="R166" i="18"/>
  <c r="BF172" i="18"/>
  <c r="H172" i="18" s="1"/>
  <c r="AF174" i="18"/>
  <c r="BF182" i="18"/>
  <c r="I182" i="18" s="1"/>
  <c r="R188" i="18"/>
  <c r="Y196" i="18"/>
  <c r="AT203" i="18"/>
  <c r="AF204" i="18"/>
  <c r="AF205" i="18"/>
  <c r="BF211" i="18"/>
  <c r="G211" i="18" s="1"/>
  <c r="BA227" i="18"/>
  <c r="BF242" i="18"/>
  <c r="J242" i="18" s="1"/>
  <c r="BF247" i="18"/>
  <c r="G247" i="18" s="1"/>
  <c r="Y257" i="18"/>
  <c r="R260" i="18"/>
  <c r="BF262" i="18"/>
  <c r="G262" i="18" s="1"/>
  <c r="Y263" i="18"/>
  <c r="BF281" i="18"/>
  <c r="G281" i="18" s="1"/>
  <c r="N282" i="18"/>
  <c r="AF285" i="18"/>
  <c r="AT106" i="18"/>
  <c r="AT49" i="18"/>
  <c r="AF50" i="18"/>
  <c r="AM106" i="18"/>
  <c r="BF171" i="18"/>
  <c r="I171" i="18" s="1"/>
  <c r="BF215" i="18"/>
  <c r="J215" i="18" s="1"/>
  <c r="BF221" i="18"/>
  <c r="J221" i="18" s="1"/>
  <c r="Y229" i="18"/>
  <c r="Y242" i="18"/>
  <c r="N247" i="18"/>
  <c r="AF262" i="18"/>
  <c r="N268" i="18"/>
  <c r="AF273" i="18"/>
  <c r="AF281" i="18"/>
  <c r="R282" i="18"/>
  <c r="AM2" i="18"/>
  <c r="BF14" i="18"/>
  <c r="J14" i="18" s="1"/>
  <c r="BF16" i="18"/>
  <c r="H16" i="18" s="1"/>
  <c r="AT58" i="18"/>
  <c r="BA136" i="18"/>
  <c r="AF136" i="18"/>
  <c r="R136" i="18"/>
  <c r="BA154" i="18"/>
  <c r="R154" i="18"/>
  <c r="AT198" i="18"/>
  <c r="AF198" i="18"/>
  <c r="Y198" i="18"/>
  <c r="BA214" i="18"/>
  <c r="O214" i="18"/>
  <c r="Y237" i="18"/>
  <c r="O237" i="18"/>
  <c r="N237" i="18"/>
  <c r="BF266" i="18"/>
  <c r="H266" i="18" s="1"/>
  <c r="BA279" i="18"/>
  <c r="AF279" i="18"/>
  <c r="BA287" i="18"/>
  <c r="AF287" i="18"/>
  <c r="P4" i="18"/>
  <c r="AF7" i="18"/>
  <c r="R13" i="18"/>
  <c r="R14" i="18"/>
  <c r="R15" i="18"/>
  <c r="N16" i="18"/>
  <c r="BF17" i="18"/>
  <c r="AF21" i="18"/>
  <c r="AT22" i="18"/>
  <c r="AF23" i="18"/>
  <c r="AT24" i="18"/>
  <c r="AF27" i="18"/>
  <c r="AF28" i="18"/>
  <c r="AT32" i="18"/>
  <c r="AF34" i="18"/>
  <c r="BF35" i="18"/>
  <c r="H35" i="18" s="1"/>
  <c r="AF36" i="18"/>
  <c r="AF37" i="18"/>
  <c r="BF39" i="18"/>
  <c r="BF40" i="18"/>
  <c r="J40" i="18" s="1"/>
  <c r="R42" i="18"/>
  <c r="BF44" i="18"/>
  <c r="J44" i="18" s="1"/>
  <c r="BF50" i="18"/>
  <c r="BF53" i="18"/>
  <c r="G53" i="18" s="1"/>
  <c r="BF56" i="18"/>
  <c r="I56" i="18" s="1"/>
  <c r="BF58" i="18"/>
  <c r="J58" i="18" s="1"/>
  <c r="BF60" i="18"/>
  <c r="AM60" i="18"/>
  <c r="Y61" i="18"/>
  <c r="R62" i="18"/>
  <c r="AT63" i="18"/>
  <c r="BF65" i="18"/>
  <c r="J65" i="18" s="1"/>
  <c r="Y65" i="18"/>
  <c r="Y67" i="18"/>
  <c r="BF67" i="18"/>
  <c r="I67" i="18" s="1"/>
  <c r="BA72" i="18"/>
  <c r="R72" i="18"/>
  <c r="BF79" i="18"/>
  <c r="J79" i="18" s="1"/>
  <c r="AT82" i="18"/>
  <c r="BF84" i="18"/>
  <c r="J84" i="18" s="1"/>
  <c r="Y93" i="18"/>
  <c r="N93" i="18"/>
  <c r="BA100" i="18"/>
  <c r="R100" i="18"/>
  <c r="BF100" i="18"/>
  <c r="J100" i="18" s="1"/>
  <c r="BF111" i="18"/>
  <c r="F111" i="18" s="1"/>
  <c r="AM115" i="18"/>
  <c r="Y115" i="18"/>
  <c r="BA131" i="18"/>
  <c r="AT131" i="18"/>
  <c r="BF136" i="18"/>
  <c r="BA160" i="18"/>
  <c r="AT160" i="18"/>
  <c r="R160" i="18"/>
  <c r="BA169" i="18"/>
  <c r="Y169" i="18"/>
  <c r="P202" i="18"/>
  <c r="Y202" i="18"/>
  <c r="BA211" i="18"/>
  <c r="AT211" i="18"/>
  <c r="BA219" i="18"/>
  <c r="R219" i="18"/>
  <c r="BA245" i="18"/>
  <c r="AF245" i="18"/>
  <c r="R245" i="18"/>
  <c r="BF253" i="18"/>
  <c r="I253" i="18" s="1"/>
  <c r="AF253" i="18"/>
  <c r="AM16" i="18"/>
  <c r="AT42" i="18"/>
  <c r="BA68" i="18"/>
  <c r="AF68" i="18"/>
  <c r="R68" i="18"/>
  <c r="Y97" i="18"/>
  <c r="N97" i="18"/>
  <c r="AT114" i="18"/>
  <c r="R114" i="18"/>
  <c r="AT124" i="18"/>
  <c r="R124" i="18"/>
  <c r="O124" i="18"/>
  <c r="BA130" i="18"/>
  <c r="R130" i="18"/>
  <c r="BA140" i="18"/>
  <c r="N140" i="18"/>
  <c r="BA158" i="18"/>
  <c r="R158" i="18"/>
  <c r="BA168" i="18"/>
  <c r="AT168" i="18"/>
  <c r="BA170" i="18"/>
  <c r="AF170" i="18"/>
  <c r="R170" i="18"/>
  <c r="BA180" i="18"/>
  <c r="AT180" i="18"/>
  <c r="BA194" i="18"/>
  <c r="AT194" i="18"/>
  <c r="R194" i="18"/>
  <c r="BA201" i="18"/>
  <c r="AF201" i="18"/>
  <c r="R201" i="18"/>
  <c r="AT210" i="18"/>
  <c r="Y210" i="18"/>
  <c r="BA223" i="18"/>
  <c r="AT223" i="18"/>
  <c r="BF244" i="18"/>
  <c r="AF244" i="18"/>
  <c r="Y244" i="18"/>
  <c r="BA254" i="18"/>
  <c r="R254" i="18"/>
  <c r="BA266" i="18"/>
  <c r="AF266" i="18"/>
  <c r="R266" i="18"/>
  <c r="BF13" i="18"/>
  <c r="H13" i="18" s="1"/>
  <c r="BF15" i="18"/>
  <c r="I15" i="18" s="1"/>
  <c r="BF36" i="18"/>
  <c r="I36" i="18" s="1"/>
  <c r="BF42" i="18"/>
  <c r="H42" i="18" s="1"/>
  <c r="AT44" i="18"/>
  <c r="AT53" i="18"/>
  <c r="AF60" i="18"/>
  <c r="BF62" i="18"/>
  <c r="H62" i="18" s="1"/>
  <c r="BF68" i="18"/>
  <c r="AT77" i="18"/>
  <c r="Y77" i="18"/>
  <c r="Y79" i="18"/>
  <c r="P79" i="18"/>
  <c r="N79" i="18"/>
  <c r="BA84" i="18"/>
  <c r="AT84" i="18"/>
  <c r="R84" i="18"/>
  <c r="AM94" i="18"/>
  <c r="AF94" i="18"/>
  <c r="AM111" i="18"/>
  <c r="AF111" i="18"/>
  <c r="Y111" i="18"/>
  <c r="Y119" i="18"/>
  <c r="AF119" i="18"/>
  <c r="BA143" i="18"/>
  <c r="AF143" i="18"/>
  <c r="R143" i="18"/>
  <c r="AF165" i="18"/>
  <c r="N165" i="18"/>
  <c r="BF170" i="18"/>
  <c r="H170" i="18" s="1"/>
  <c r="BF180" i="18"/>
  <c r="H180" i="18" s="1"/>
  <c r="BF194" i="18"/>
  <c r="I194" i="18" s="1"/>
  <c r="BA207" i="18"/>
  <c r="R207" i="18"/>
  <c r="BF223" i="18"/>
  <c r="J223" i="18" s="1"/>
  <c r="BA271" i="18"/>
  <c r="BF271" i="18"/>
  <c r="P2" i="18"/>
  <c r="AF3" i="18"/>
  <c r="AT4" i="18"/>
  <c r="AF13" i="18"/>
  <c r="AT14" i="18"/>
  <c r="AF15" i="18"/>
  <c r="AF16" i="18"/>
  <c r="R17" i="18"/>
  <c r="AT28" i="18"/>
  <c r="R35" i="18"/>
  <c r="BF38" i="18"/>
  <c r="H38" i="18" s="1"/>
  <c r="R39" i="18"/>
  <c r="R41" i="18"/>
  <c r="AF42" i="18"/>
  <c r="R43" i="18"/>
  <c r="R44" i="18"/>
  <c r="N53" i="18"/>
  <c r="R56" i="18"/>
  <c r="AT57" i="18"/>
  <c r="R58" i="18"/>
  <c r="N60" i="18"/>
  <c r="AT60" i="18"/>
  <c r="AT61" i="18"/>
  <c r="AT62" i="18"/>
  <c r="BF71" i="18"/>
  <c r="J71" i="18" s="1"/>
  <c r="Y71" i="18"/>
  <c r="BA78" i="18"/>
  <c r="AT78" i="18"/>
  <c r="R78" i="18"/>
  <c r="AT79" i="18"/>
  <c r="AT83" i="18"/>
  <c r="Y83" i="18"/>
  <c r="AT97" i="18"/>
  <c r="AT110" i="18"/>
  <c r="BA110" i="18"/>
  <c r="AT136" i="18"/>
  <c r="AM140" i="18"/>
  <c r="BA142" i="18"/>
  <c r="AT142" i="18"/>
  <c r="BA144" i="18"/>
  <c r="AT144" i="18"/>
  <c r="R144" i="18"/>
  <c r="AF154" i="18"/>
  <c r="AT158" i="18"/>
  <c r="BA186" i="18"/>
  <c r="R186" i="18"/>
  <c r="BA197" i="18"/>
  <c r="AT197" i="18"/>
  <c r="BA199" i="18"/>
  <c r="AF199" i="18"/>
  <c r="R199" i="18"/>
  <c r="AF207" i="18"/>
  <c r="R231" i="18"/>
  <c r="Y231" i="18"/>
  <c r="R233" i="18"/>
  <c r="Y233" i="18"/>
  <c r="AM237" i="18"/>
  <c r="BA262" i="18"/>
  <c r="P262" i="18"/>
  <c r="AT262" i="18"/>
  <c r="N262" i="18"/>
  <c r="BA275" i="18"/>
  <c r="AF275" i="18"/>
  <c r="BF280" i="18"/>
  <c r="J280" i="18" s="1"/>
  <c r="R280" i="18"/>
  <c r="BF69" i="18"/>
  <c r="G69" i="18" s="1"/>
  <c r="BF72" i="18"/>
  <c r="G72" i="18" s="1"/>
  <c r="BF77" i="18"/>
  <c r="F77" i="18" s="1"/>
  <c r="BF83" i="18"/>
  <c r="I83" i="18" s="1"/>
  <c r="AT90" i="18"/>
  <c r="BF93" i="18"/>
  <c r="J93" i="18" s="1"/>
  <c r="BF97" i="18"/>
  <c r="BF99" i="18"/>
  <c r="G99" i="18" s="1"/>
  <c r="BF104" i="18"/>
  <c r="J104" i="18" s="1"/>
  <c r="P106" i="18"/>
  <c r="AT108" i="18"/>
  <c r="BF125" i="18"/>
  <c r="J125" i="18" s="1"/>
  <c r="AF127" i="18"/>
  <c r="BF137" i="18"/>
  <c r="G137" i="18" s="1"/>
  <c r="BF140" i="18"/>
  <c r="G140" i="18" s="1"/>
  <c r="BF142" i="18"/>
  <c r="G142" i="18" s="1"/>
  <c r="AT146" i="18"/>
  <c r="AF150" i="18"/>
  <c r="BF154" i="18"/>
  <c r="J154" i="18" s="1"/>
  <c r="BF158" i="18"/>
  <c r="I158" i="18" s="1"/>
  <c r="AF162" i="18"/>
  <c r="AT166" i="18"/>
  <c r="BF168" i="18"/>
  <c r="AT172" i="18"/>
  <c r="AT174" i="18"/>
  <c r="AF181" i="18"/>
  <c r="AF182" i="18"/>
  <c r="AF184" i="18"/>
  <c r="BF186" i="18"/>
  <c r="I186" i="18" s="1"/>
  <c r="AT188" i="18"/>
  <c r="BF197" i="18"/>
  <c r="AT205" i="18"/>
  <c r="BF208" i="18"/>
  <c r="H208" i="18" s="1"/>
  <c r="BF210" i="18"/>
  <c r="G210" i="18" s="1"/>
  <c r="AF215" i="18"/>
  <c r="BF240" i="18"/>
  <c r="H240" i="18" s="1"/>
  <c r="P247" i="18"/>
  <c r="AT249" i="18"/>
  <c r="P268" i="18"/>
  <c r="BF279" i="18"/>
  <c r="H279" i="18" s="1"/>
  <c r="AF106" i="18"/>
  <c r="AT127" i="18"/>
  <c r="BF147" i="18"/>
  <c r="H147" i="18" s="1"/>
  <c r="AT150" i="18"/>
  <c r="AT162" i="18"/>
  <c r="BF177" i="18"/>
  <c r="G177" i="18" s="1"/>
  <c r="AM182" i="18"/>
  <c r="AT215" i="18"/>
  <c r="BF226" i="18"/>
  <c r="H226" i="18" s="1"/>
  <c r="AF247" i="18"/>
  <c r="AF268" i="18"/>
  <c r="BF288" i="18"/>
  <c r="G288" i="18" s="1"/>
  <c r="I46" i="18"/>
  <c r="AM6" i="18"/>
  <c r="R26" i="18"/>
  <c r="Y145" i="18"/>
  <c r="R145" i="18"/>
  <c r="BA176" i="18"/>
  <c r="AF176" i="18"/>
  <c r="R176" i="18"/>
  <c r="AT176" i="18"/>
  <c r="Q2" i="18"/>
  <c r="AT2" i="18"/>
  <c r="R4" i="18"/>
  <c r="AT10" i="18"/>
  <c r="BF12" i="18"/>
  <c r="AT12" i="18"/>
  <c r="AT18" i="18"/>
  <c r="BF20" i="18"/>
  <c r="AT20" i="18"/>
  <c r="AF26" i="18"/>
  <c r="BF29" i="18"/>
  <c r="BF31" i="18"/>
  <c r="AF31" i="18"/>
  <c r="R33" i="18"/>
  <c r="BF45" i="18"/>
  <c r="BA52" i="18"/>
  <c r="AF52" i="18"/>
  <c r="R52" i="18"/>
  <c r="BA64" i="18"/>
  <c r="R64" i="18"/>
  <c r="AT64" i="18"/>
  <c r="BF70" i="18"/>
  <c r="BF80" i="18"/>
  <c r="BF81" i="18"/>
  <c r="BF87" i="18"/>
  <c r="AF121" i="18"/>
  <c r="Y121" i="18"/>
  <c r="BF121" i="18"/>
  <c r="R135" i="18"/>
  <c r="N135" i="18"/>
  <c r="BA156" i="18"/>
  <c r="AF156" i="18"/>
  <c r="R156" i="18"/>
  <c r="AT156" i="18"/>
  <c r="BA190" i="18"/>
  <c r="AF190" i="18"/>
  <c r="R190" i="18"/>
  <c r="AT190" i="18"/>
  <c r="BA209" i="18"/>
  <c r="AF209" i="18"/>
  <c r="R209" i="18"/>
  <c r="AT209" i="18"/>
  <c r="BA213" i="18"/>
  <c r="AF213" i="18"/>
  <c r="R213" i="18"/>
  <c r="AT213" i="18"/>
  <c r="BA225" i="18"/>
  <c r="AF225" i="18"/>
  <c r="R225" i="18"/>
  <c r="AT225" i="18"/>
  <c r="BA239" i="18"/>
  <c r="AF239" i="18"/>
  <c r="BF239" i="18"/>
  <c r="R239" i="18"/>
  <c r="AT239" i="18"/>
  <c r="AF255" i="18"/>
  <c r="Y255" i="18"/>
  <c r="AF265" i="18"/>
  <c r="Y265" i="18"/>
  <c r="BF270" i="18"/>
  <c r="AM270" i="18"/>
  <c r="R270" i="18"/>
  <c r="BA283" i="18"/>
  <c r="AF283" i="18"/>
  <c r="P283" i="18"/>
  <c r="AM10" i="18"/>
  <c r="AM12" i="18"/>
  <c r="R31" i="18"/>
  <c r="BA38" i="18"/>
  <c r="AF38" i="18"/>
  <c r="AT38" i="18"/>
  <c r="BA46" i="18"/>
  <c r="AT46" i="18"/>
  <c r="BA66" i="18"/>
  <c r="AT66" i="18"/>
  <c r="P66" i="18"/>
  <c r="AM66" i="18"/>
  <c r="N66" i="18"/>
  <c r="BF66" i="18"/>
  <c r="BA80" i="18"/>
  <c r="AT80" i="18"/>
  <c r="P80" i="18"/>
  <c r="AM80" i="18"/>
  <c r="N80" i="18"/>
  <c r="BA86" i="18"/>
  <c r="BF86" i="18"/>
  <c r="R86" i="18"/>
  <c r="AT86" i="18"/>
  <c r="BA102" i="18"/>
  <c r="AF102" i="18"/>
  <c r="R102" i="18"/>
  <c r="AT102" i="18"/>
  <c r="AF206" i="18"/>
  <c r="Y206" i="18"/>
  <c r="BF6" i="18"/>
  <c r="AT6" i="18"/>
  <c r="R25" i="18"/>
  <c r="AT27" i="18"/>
  <c r="AM30" i="18"/>
  <c r="BF2" i="18"/>
  <c r="R2" i="18"/>
  <c r="BF4" i="18"/>
  <c r="AF4" i="18"/>
  <c r="R6" i="18"/>
  <c r="BF8" i="18"/>
  <c r="AT8" i="18"/>
  <c r="AF9" i="18"/>
  <c r="R10" i="18"/>
  <c r="BF10" i="18"/>
  <c r="AF11" i="18"/>
  <c r="R12" i="18"/>
  <c r="AT13" i="18"/>
  <c r="AF14" i="18"/>
  <c r="AT15" i="18"/>
  <c r="P16" i="18"/>
  <c r="AT16" i="18"/>
  <c r="AF17" i="18"/>
  <c r="R18" i="18"/>
  <c r="BF18" i="18"/>
  <c r="AF19" i="18"/>
  <c r="R20" i="18"/>
  <c r="AT21" i="18"/>
  <c r="AF22" i="18"/>
  <c r="AT23" i="18"/>
  <c r="AF24" i="18"/>
  <c r="BF25" i="18"/>
  <c r="AF25" i="18"/>
  <c r="N26" i="18"/>
  <c r="AM26" i="18"/>
  <c r="BF27" i="18"/>
  <c r="AM28" i="18"/>
  <c r="R29" i="18"/>
  <c r="AT30" i="18"/>
  <c r="N31" i="18"/>
  <c r="AT31" i="18"/>
  <c r="AF32" i="18"/>
  <c r="BF33" i="18"/>
  <c r="AF33" i="18"/>
  <c r="R38" i="18"/>
  <c r="BA40" i="18"/>
  <c r="AF40" i="18"/>
  <c r="AT40" i="18"/>
  <c r="AF41" i="18"/>
  <c r="AT43" i="18"/>
  <c r="R46" i="18"/>
  <c r="AM47" i="18"/>
  <c r="R47" i="18"/>
  <c r="BA48" i="18"/>
  <c r="AT48" i="18"/>
  <c r="AM48" i="18"/>
  <c r="BF52" i="18"/>
  <c r="R66" i="18"/>
  <c r="AT69" i="18"/>
  <c r="Y69" i="18"/>
  <c r="AT73" i="18"/>
  <c r="R80" i="18"/>
  <c r="BA82" i="18"/>
  <c r="AF82" i="18"/>
  <c r="BF82" i="18"/>
  <c r="R82" i="18"/>
  <c r="AF86" i="18"/>
  <c r="BA88" i="18"/>
  <c r="AF88" i="18"/>
  <c r="R88" i="18"/>
  <c r="AT91" i="18"/>
  <c r="AT101" i="18"/>
  <c r="Y101" i="18"/>
  <c r="AM102" i="18"/>
  <c r="AF113" i="18"/>
  <c r="Y113" i="18"/>
  <c r="BF113" i="18"/>
  <c r="BA145" i="18"/>
  <c r="BA148" i="18"/>
  <c r="AF148" i="18"/>
  <c r="R148" i="18"/>
  <c r="AT148" i="18"/>
  <c r="Y161" i="18"/>
  <c r="R161" i="18"/>
  <c r="BF163" i="18"/>
  <c r="AF173" i="18"/>
  <c r="Y173" i="18"/>
  <c r="BF175" i="18"/>
  <c r="AM176" i="18"/>
  <c r="AF200" i="18"/>
  <c r="Y200" i="18"/>
  <c r="AT206" i="18"/>
  <c r="BA243" i="18"/>
  <c r="AF243" i="18"/>
  <c r="R243" i="18"/>
  <c r="AT243" i="18"/>
  <c r="AT251" i="18"/>
  <c r="AF251" i="18"/>
  <c r="Y251" i="18"/>
  <c r="AM18" i="18"/>
  <c r="AM20" i="18"/>
  <c r="BF26" i="18"/>
  <c r="AT29" i="18"/>
  <c r="AM45" i="18"/>
  <c r="R45" i="18"/>
  <c r="AM46" i="18"/>
  <c r="BA70" i="18"/>
  <c r="AF70" i="18"/>
  <c r="R70" i="18"/>
  <c r="AT81" i="18"/>
  <c r="Y81" i="18"/>
  <c r="AT87" i="18"/>
  <c r="Y87" i="18"/>
  <c r="BA164" i="18"/>
  <c r="AF164" i="18"/>
  <c r="R164" i="18"/>
  <c r="AT164" i="18"/>
  <c r="BA252" i="18"/>
  <c r="AF252" i="18"/>
  <c r="R252" i="18"/>
  <c r="AT252" i="18"/>
  <c r="AM8" i="18"/>
  <c r="N2" i="18"/>
  <c r="AF2" i="18"/>
  <c r="N4" i="18"/>
  <c r="AM4" i="18"/>
  <c r="AF5" i="18"/>
  <c r="AF6" i="18"/>
  <c r="R8" i="18"/>
  <c r="AT9" i="18"/>
  <c r="AF10" i="18"/>
  <c r="AT11" i="18"/>
  <c r="AF12" i="18"/>
  <c r="AM14" i="18"/>
  <c r="R16" i="18"/>
  <c r="AT17" i="18"/>
  <c r="AF18" i="18"/>
  <c r="AT19" i="18"/>
  <c r="AF20" i="18"/>
  <c r="AM22" i="18"/>
  <c r="AM24" i="18"/>
  <c r="N25" i="18"/>
  <c r="AT25" i="18"/>
  <c r="P26" i="18"/>
  <c r="AT26" i="18"/>
  <c r="R27" i="18"/>
  <c r="AF29" i="18"/>
  <c r="R30" i="18"/>
  <c r="BF30" i="18"/>
  <c r="P31" i="18"/>
  <c r="AM32" i="18"/>
  <c r="N33" i="18"/>
  <c r="AT33" i="18"/>
  <c r="AM35" i="18"/>
  <c r="AF35" i="18"/>
  <c r="BA36" i="18"/>
  <c r="R36" i="18"/>
  <c r="AT36" i="18"/>
  <c r="AM38" i="18"/>
  <c r="AT41" i="18"/>
  <c r="AT45" i="18"/>
  <c r="AF46" i="18"/>
  <c r="AM49" i="18"/>
  <c r="P49" i="18"/>
  <c r="AF49" i="18"/>
  <c r="AM52" i="18"/>
  <c r="BA54" i="18"/>
  <c r="R54" i="18"/>
  <c r="AT54" i="18"/>
  <c r="P59" i="18"/>
  <c r="N59" i="18"/>
  <c r="AF64" i="18"/>
  <c r="AF66" i="18"/>
  <c r="AT67" i="18"/>
  <c r="AT70" i="18"/>
  <c r="BA74" i="18"/>
  <c r="R74" i="18"/>
  <c r="AT74" i="18"/>
  <c r="BA76" i="18"/>
  <c r="R76" i="18"/>
  <c r="AT76" i="18"/>
  <c r="AF80" i="18"/>
  <c r="AT85" i="18"/>
  <c r="AM86" i="18"/>
  <c r="BA92" i="18"/>
  <c r="R92" i="18"/>
  <c r="AT92" i="18"/>
  <c r="BA94" i="18"/>
  <c r="BF94" i="18"/>
  <c r="R94" i="18"/>
  <c r="AT94" i="18"/>
  <c r="AT95" i="18"/>
  <c r="Y95" i="18"/>
  <c r="AT116" i="18"/>
  <c r="R116" i="18"/>
  <c r="AM121" i="18"/>
  <c r="BA135" i="18"/>
  <c r="BA138" i="18"/>
  <c r="AF138" i="18"/>
  <c r="R138" i="18"/>
  <c r="AT138" i="18"/>
  <c r="Y153" i="18"/>
  <c r="R153" i="18"/>
  <c r="BF155" i="18"/>
  <c r="AM156" i="18"/>
  <c r="BA189" i="18"/>
  <c r="O189" i="18"/>
  <c r="AM190" i="18"/>
  <c r="AM209" i="18"/>
  <c r="AM213" i="18"/>
  <c r="AM225" i="18"/>
  <c r="BA256" i="18"/>
  <c r="AF256" i="18"/>
  <c r="R256" i="18"/>
  <c r="AT256" i="18"/>
  <c r="BF284" i="18"/>
  <c r="AM284" i="18"/>
  <c r="R284" i="18"/>
  <c r="R34" i="18"/>
  <c r="BF34" i="18"/>
  <c r="AT37" i="18"/>
  <c r="AT39" i="18"/>
  <c r="BF41" i="18"/>
  <c r="AM42" i="18"/>
  <c r="BF43" i="18"/>
  <c r="AM44" i="18"/>
  <c r="BF48" i="18"/>
  <c r="BF54" i="18"/>
  <c r="AF56" i="18"/>
  <c r="AM58" i="18"/>
  <c r="R60" i="18"/>
  <c r="AF62" i="18"/>
  <c r="BF63" i="18"/>
  <c r="BF64" i="18"/>
  <c r="AT65" i="18"/>
  <c r="AM68" i="18"/>
  <c r="AF72" i="18"/>
  <c r="BF73" i="18"/>
  <c r="BF74" i="18"/>
  <c r="P75" i="18"/>
  <c r="BF76" i="18"/>
  <c r="AF78" i="18"/>
  <c r="AF84" i="18"/>
  <c r="BF85" i="18"/>
  <c r="AM90" i="18"/>
  <c r="BF91" i="18"/>
  <c r="BF92" i="18"/>
  <c r="P93" i="18"/>
  <c r="R96" i="18"/>
  <c r="R98" i="18"/>
  <c r="AM100" i="18"/>
  <c r="BF101" i="18"/>
  <c r="BF102" i="18"/>
  <c r="AF104" i="18"/>
  <c r="R106" i="18"/>
  <c r="AM108" i="18"/>
  <c r="Y109" i="18"/>
  <c r="R110" i="18"/>
  <c r="R112" i="18"/>
  <c r="AF115" i="18"/>
  <c r="R118" i="18"/>
  <c r="O119" i="18"/>
  <c r="AM119" i="18"/>
  <c r="R120" i="18"/>
  <c r="R122" i="18"/>
  <c r="Y123" i="18"/>
  <c r="Y125" i="18"/>
  <c r="AM127" i="18"/>
  <c r="AF128" i="18"/>
  <c r="R129" i="18"/>
  <c r="BF129" i="18"/>
  <c r="AT130" i="18"/>
  <c r="R131" i="18"/>
  <c r="BF131" i="18"/>
  <c r="AF134" i="18"/>
  <c r="AM136" i="18"/>
  <c r="R137" i="18"/>
  <c r="BF138" i="18"/>
  <c r="P140" i="18"/>
  <c r="AT140" i="18"/>
  <c r="Y141" i="18"/>
  <c r="R142" i="18"/>
  <c r="AF144" i="18"/>
  <c r="BF145" i="18"/>
  <c r="AM146" i="18"/>
  <c r="R147" i="18"/>
  <c r="BF148" i="18"/>
  <c r="AM150" i="18"/>
  <c r="AF152" i="18"/>
  <c r="BF153" i="18"/>
  <c r="AM154" i="18"/>
  <c r="R155" i="18"/>
  <c r="BF156" i="18"/>
  <c r="AM158" i="18"/>
  <c r="AF160" i="18"/>
  <c r="BF161" i="18"/>
  <c r="AM162" i="18"/>
  <c r="R163" i="18"/>
  <c r="BF164" i="18"/>
  <c r="AF166" i="18"/>
  <c r="R168" i="18"/>
  <c r="AM170" i="18"/>
  <c r="AF172" i="18"/>
  <c r="AM174" i="18"/>
  <c r="Y175" i="18"/>
  <c r="BF176" i="18"/>
  <c r="AF178" i="18"/>
  <c r="R180" i="18"/>
  <c r="P182" i="18"/>
  <c r="AT182" i="18"/>
  <c r="AM184" i="18"/>
  <c r="AF186" i="18"/>
  <c r="AF188" i="18"/>
  <c r="BF190" i="18"/>
  <c r="AM192" i="18"/>
  <c r="AF194" i="18"/>
  <c r="AF196" i="18"/>
  <c r="R197" i="18"/>
  <c r="BF200" i="18"/>
  <c r="AM201" i="18"/>
  <c r="N202" i="18"/>
  <c r="AF202" i="18"/>
  <c r="R203" i="18"/>
  <c r="BF206" i="18"/>
  <c r="AM207" i="18"/>
  <c r="Y208" i="18"/>
  <c r="BF209" i="18"/>
  <c r="AF210" i="18"/>
  <c r="R211" i="18"/>
  <c r="BF213" i="18"/>
  <c r="R217" i="18"/>
  <c r="AM219" i="18"/>
  <c r="Y220" i="18"/>
  <c r="R221" i="18"/>
  <c r="R223" i="18"/>
  <c r="BF225" i="18"/>
  <c r="BA226" i="18"/>
  <c r="R227" i="18"/>
  <c r="N229" i="18"/>
  <c r="AM229" i="18"/>
  <c r="AM231" i="18"/>
  <c r="AM233" i="18"/>
  <c r="AM241" i="18"/>
  <c r="BF243" i="18"/>
  <c r="BF251" i="18"/>
  <c r="BF252" i="18"/>
  <c r="BA253" i="18"/>
  <c r="AF254" i="18"/>
  <c r="BF255" i="18"/>
  <c r="BF256" i="18"/>
  <c r="BF257" i="18"/>
  <c r="AF258" i="18"/>
  <c r="AF260" i="18"/>
  <c r="BF265" i="18"/>
  <c r="BF272" i="18"/>
  <c r="AT272" i="18"/>
  <c r="BF274" i="18"/>
  <c r="AT274" i="18"/>
  <c r="BF276" i="18"/>
  <c r="AT276" i="18"/>
  <c r="AM278" i="18"/>
  <c r="AM280" i="18"/>
  <c r="BF283" i="18"/>
  <c r="BF286" i="18"/>
  <c r="AT286" i="18"/>
  <c r="AT288" i="18"/>
  <c r="AM56" i="18"/>
  <c r="AM62" i="18"/>
  <c r="AM72" i="18"/>
  <c r="AM78" i="18"/>
  <c r="AM84" i="18"/>
  <c r="AF96" i="18"/>
  <c r="AF98" i="18"/>
  <c r="AM104" i="18"/>
  <c r="AM110" i="18"/>
  <c r="AT112" i="18"/>
  <c r="P119" i="18"/>
  <c r="BF119" i="18"/>
  <c r="AT120" i="18"/>
  <c r="AF123" i="18"/>
  <c r="AF125" i="18"/>
  <c r="AF129" i="18"/>
  <c r="AF131" i="18"/>
  <c r="AM134" i="18"/>
  <c r="Y137" i="18"/>
  <c r="R140" i="18"/>
  <c r="AF142" i="18"/>
  <c r="AM144" i="18"/>
  <c r="Y147" i="18"/>
  <c r="AM152" i="18"/>
  <c r="Y155" i="18"/>
  <c r="AM160" i="18"/>
  <c r="Y163" i="18"/>
  <c r="AM166" i="18"/>
  <c r="AF168" i="18"/>
  <c r="AM172" i="18"/>
  <c r="AF175" i="18"/>
  <c r="AM178" i="18"/>
  <c r="AF180" i="18"/>
  <c r="R182" i="18"/>
  <c r="AT184" i="18"/>
  <c r="AM186" i="18"/>
  <c r="AM188" i="18"/>
  <c r="AT192" i="18"/>
  <c r="AM194" i="18"/>
  <c r="AF197" i="18"/>
  <c r="BF198" i="18"/>
  <c r="AM199" i="18"/>
  <c r="BF201" i="18"/>
  <c r="AT201" i="18"/>
  <c r="O202" i="18"/>
  <c r="AT202" i="18"/>
  <c r="AF203" i="18"/>
  <c r="BF204" i="18"/>
  <c r="AM205" i="18"/>
  <c r="BF207" i="18"/>
  <c r="AT207" i="18"/>
  <c r="AF208" i="18"/>
  <c r="AF211" i="18"/>
  <c r="BF212" i="18"/>
  <c r="AM215" i="18"/>
  <c r="AF217" i="18"/>
  <c r="BF218" i="18"/>
  <c r="BF219" i="18"/>
  <c r="AT219" i="18"/>
  <c r="BF220" i="18"/>
  <c r="AF221" i="18"/>
  <c r="AF223" i="18"/>
  <c r="Y227" i="18"/>
  <c r="O229" i="18"/>
  <c r="BA229" i="18"/>
  <c r="BA231" i="18"/>
  <c r="BA233" i="18"/>
  <c r="AM235" i="18"/>
  <c r="R237" i="18"/>
  <c r="AF240" i="18"/>
  <c r="BF241" i="18"/>
  <c r="AT241" i="18"/>
  <c r="AF242" i="18"/>
  <c r="AM254" i="18"/>
  <c r="AM258" i="18"/>
  <c r="AM260" i="18"/>
  <c r="AT278" i="18"/>
  <c r="AT280" i="18"/>
  <c r="AM282" i="18"/>
  <c r="AM96" i="18"/>
  <c r="AM98" i="18"/>
  <c r="AM129" i="18"/>
  <c r="AM131" i="18"/>
  <c r="AM142" i="18"/>
  <c r="AM168" i="18"/>
  <c r="AM180" i="18"/>
  <c r="AM197" i="18"/>
  <c r="AM203" i="18"/>
  <c r="AM211" i="18"/>
  <c r="AM217" i="18"/>
  <c r="AM221" i="18"/>
  <c r="AM223" i="18"/>
  <c r="R241" i="18"/>
  <c r="AM245" i="18"/>
  <c r="R247" i="18"/>
  <c r="AM249" i="18"/>
  <c r="AM250" i="18"/>
  <c r="BF254" i="18"/>
  <c r="AT254" i="18"/>
  <c r="BF258" i="18"/>
  <c r="AT258" i="18"/>
  <c r="BF260" i="18"/>
  <c r="AT260" i="18"/>
  <c r="R262" i="18"/>
  <c r="BF264" i="18"/>
  <c r="AT264" i="18"/>
  <c r="AM266" i="18"/>
  <c r="R268" i="18"/>
  <c r="BF269" i="18"/>
  <c r="AF271" i="18"/>
  <c r="R272" i="18"/>
  <c r="BF273" i="18"/>
  <c r="R274" i="18"/>
  <c r="BF275" i="18"/>
  <c r="R276" i="18"/>
  <c r="BF277" i="18"/>
  <c r="N278" i="18"/>
  <c r="AT282" i="18"/>
  <c r="P285" i="18"/>
  <c r="R286" i="18"/>
  <c r="BF287" i="18"/>
  <c r="R288" i="18"/>
  <c r="AT267" i="18"/>
  <c r="R267" i="18"/>
  <c r="AM267" i="18"/>
  <c r="AF267" i="18"/>
  <c r="Y267" i="18"/>
  <c r="BF267" i="18"/>
  <c r="BA267" i="18"/>
  <c r="AM3" i="18"/>
  <c r="R3" i="18"/>
  <c r="BA3" i="18"/>
  <c r="AM5" i="18"/>
  <c r="R5" i="18"/>
  <c r="BA5" i="18"/>
  <c r="AM7" i="18"/>
  <c r="R7" i="18"/>
  <c r="BA7" i="18"/>
  <c r="Y3" i="18"/>
  <c r="BF3" i="18"/>
  <c r="Y5" i="18"/>
  <c r="BF5" i="18"/>
  <c r="Y7" i="18"/>
  <c r="BF7" i="18"/>
  <c r="Y9" i="18"/>
  <c r="BA9" i="18"/>
  <c r="Y11" i="18"/>
  <c r="BA11" i="18"/>
  <c r="Y13" i="18"/>
  <c r="BA13" i="18"/>
  <c r="Y15" i="18"/>
  <c r="BA15" i="18"/>
  <c r="Y17" i="18"/>
  <c r="BA17" i="18"/>
  <c r="Y19" i="18"/>
  <c r="BA19" i="18"/>
  <c r="Y21" i="18"/>
  <c r="BA21" i="18"/>
  <c r="Y23" i="18"/>
  <c r="BA23" i="18"/>
  <c r="O25" i="18"/>
  <c r="Y25" i="18"/>
  <c r="BA25" i="18"/>
  <c r="Y27" i="18"/>
  <c r="BA27" i="18"/>
  <c r="Y29" i="18"/>
  <c r="BA29" i="18"/>
  <c r="O31" i="18"/>
  <c r="Y31" i="18"/>
  <c r="BA31" i="18"/>
  <c r="O33" i="18"/>
  <c r="Y33" i="18"/>
  <c r="BA33" i="18"/>
  <c r="Y35" i="18"/>
  <c r="BA35" i="18"/>
  <c r="Y37" i="18"/>
  <c r="BA37" i="18"/>
  <c r="Y39" i="18"/>
  <c r="BA39" i="18"/>
  <c r="Y41" i="18"/>
  <c r="BA41" i="18"/>
  <c r="Y43" i="18"/>
  <c r="BA43" i="18"/>
  <c r="Y45" i="18"/>
  <c r="BA45" i="18"/>
  <c r="Y47" i="18"/>
  <c r="BA47" i="18"/>
  <c r="O49" i="18"/>
  <c r="Y49" i="18"/>
  <c r="BA49" i="18"/>
  <c r="AM51" i="18"/>
  <c r="R51" i="18"/>
  <c r="BA51" i="18"/>
  <c r="AM53" i="18"/>
  <c r="R53" i="18"/>
  <c r="BA53" i="18"/>
  <c r="AM55" i="18"/>
  <c r="R55" i="18"/>
  <c r="BA55" i="18"/>
  <c r="AM57" i="18"/>
  <c r="R57" i="18"/>
  <c r="BA57" i="18"/>
  <c r="AM59" i="18"/>
  <c r="R59" i="18"/>
  <c r="BA59" i="18"/>
  <c r="AM61" i="18"/>
  <c r="R61" i="18"/>
  <c r="BA61" i="18"/>
  <c r="AM63" i="18"/>
  <c r="R63" i="18"/>
  <c r="BA63" i="18"/>
  <c r="AM65" i="18"/>
  <c r="R65" i="18"/>
  <c r="BA65" i="18"/>
  <c r="AM67" i="18"/>
  <c r="R67" i="18"/>
  <c r="BA67" i="18"/>
  <c r="AM69" i="18"/>
  <c r="R69" i="18"/>
  <c r="BA69" i="18"/>
  <c r="AM71" i="18"/>
  <c r="R71" i="18"/>
  <c r="BA71" i="18"/>
  <c r="AM73" i="18"/>
  <c r="R73" i="18"/>
  <c r="BA73" i="18"/>
  <c r="AM75" i="18"/>
  <c r="R75" i="18"/>
  <c r="BA75" i="18"/>
  <c r="AM77" i="18"/>
  <c r="R77" i="18"/>
  <c r="BA77" i="18"/>
  <c r="AM79" i="18"/>
  <c r="R79" i="18"/>
  <c r="BA79" i="18"/>
  <c r="AM81" i="18"/>
  <c r="R81" i="18"/>
  <c r="BA81" i="18"/>
  <c r="AM83" i="18"/>
  <c r="R83" i="18"/>
  <c r="BA83" i="18"/>
  <c r="AM85" i="18"/>
  <c r="R85" i="18"/>
  <c r="BA85" i="18"/>
  <c r="AM87" i="18"/>
  <c r="R87" i="18"/>
  <c r="BA87" i="18"/>
  <c r="AM89" i="18"/>
  <c r="R89" i="18"/>
  <c r="BA89" i="18"/>
  <c r="AM91" i="18"/>
  <c r="R91" i="18"/>
  <c r="BA91" i="18"/>
  <c r="AM93" i="18"/>
  <c r="R93" i="18"/>
  <c r="BA93" i="18"/>
  <c r="AM95" i="18"/>
  <c r="R95" i="18"/>
  <c r="BA95" i="18"/>
  <c r="AM97" i="18"/>
  <c r="R97" i="18"/>
  <c r="BA97" i="18"/>
  <c r="AM99" i="18"/>
  <c r="R99" i="18"/>
  <c r="BA99" i="18"/>
  <c r="AM101" i="18"/>
  <c r="R101" i="18"/>
  <c r="BA101" i="18"/>
  <c r="AM103" i="18"/>
  <c r="R103" i="18"/>
  <c r="BA103" i="18"/>
  <c r="AM105" i="18"/>
  <c r="R105" i="18"/>
  <c r="BA105" i="18"/>
  <c r="AM107" i="18"/>
  <c r="R107" i="18"/>
  <c r="BA107" i="18"/>
  <c r="AM109" i="18"/>
  <c r="R109" i="18"/>
  <c r="BA109" i="18"/>
  <c r="BF114" i="18"/>
  <c r="AF114" i="18"/>
  <c r="Y114" i="18"/>
  <c r="AM114" i="18"/>
  <c r="BF118" i="18"/>
  <c r="AF118" i="18"/>
  <c r="Y118" i="18"/>
  <c r="AM118" i="18"/>
  <c r="BF122" i="18"/>
  <c r="AF122" i="18"/>
  <c r="P122" i="18"/>
  <c r="Y122" i="18"/>
  <c r="N122" i="18"/>
  <c r="AM122" i="18"/>
  <c r="AM126" i="18"/>
  <c r="BF126" i="18"/>
  <c r="Y126" i="18"/>
  <c r="BA126" i="18"/>
  <c r="O2" i="18"/>
  <c r="Y2" i="18"/>
  <c r="O4" i="18"/>
  <c r="Y4" i="18"/>
  <c r="Y6" i="18"/>
  <c r="Y8" i="18"/>
  <c r="Y10" i="18"/>
  <c r="Y12" i="18"/>
  <c r="Y14" i="18"/>
  <c r="O16" i="18"/>
  <c r="Y16" i="18"/>
  <c r="Y18" i="18"/>
  <c r="Y20" i="18"/>
  <c r="Y22" i="18"/>
  <c r="Y24" i="18"/>
  <c r="O26" i="18"/>
  <c r="Y26" i="18"/>
  <c r="Y28" i="18"/>
  <c r="Y30" i="18"/>
  <c r="Y32" i="18"/>
  <c r="O34" i="18"/>
  <c r="Y34" i="18"/>
  <c r="Y36" i="18"/>
  <c r="Y38" i="18"/>
  <c r="Y40" i="18"/>
  <c r="Y42" i="18"/>
  <c r="Y44" i="18"/>
  <c r="Y46" i="18"/>
  <c r="Y48" i="18"/>
  <c r="BA50" i="18"/>
  <c r="Y50" i="18"/>
  <c r="AT50" i="18"/>
  <c r="AF51" i="18"/>
  <c r="O53" i="18"/>
  <c r="AF53" i="18"/>
  <c r="AF55" i="18"/>
  <c r="AF57" i="18"/>
  <c r="O59" i="18"/>
  <c r="AF59" i="18"/>
  <c r="AF61" i="18"/>
  <c r="AF63" i="18"/>
  <c r="AF65" i="18"/>
  <c r="AF67" i="18"/>
  <c r="AF69" i="18"/>
  <c r="AF71" i="18"/>
  <c r="AF73" i="18"/>
  <c r="O75" i="18"/>
  <c r="AF75" i="18"/>
  <c r="AF77" i="18"/>
  <c r="O79" i="18"/>
  <c r="AF79" i="18"/>
  <c r="AF81" i="18"/>
  <c r="AF83" i="18"/>
  <c r="AF85" i="18"/>
  <c r="AF87" i="18"/>
  <c r="AF89" i="18"/>
  <c r="AF91" i="18"/>
  <c r="O93" i="18"/>
  <c r="AF93" i="18"/>
  <c r="AF95" i="18"/>
  <c r="O97" i="18"/>
  <c r="AF97" i="18"/>
  <c r="AF99" i="18"/>
  <c r="AF101" i="18"/>
  <c r="AF103" i="18"/>
  <c r="AF105" i="18"/>
  <c r="AF107" i="18"/>
  <c r="AF109" i="18"/>
  <c r="BF112" i="18"/>
  <c r="AF112" i="18"/>
  <c r="Y112" i="18"/>
  <c r="AM112" i="18"/>
  <c r="BA114" i="18"/>
  <c r="BF116" i="18"/>
  <c r="AF116" i="18"/>
  <c r="Y116" i="18"/>
  <c r="AM116" i="18"/>
  <c r="BA118" i="18"/>
  <c r="BF120" i="18"/>
  <c r="AF120" i="18"/>
  <c r="Y120" i="18"/>
  <c r="AM120" i="18"/>
  <c r="BA122" i="18"/>
  <c r="BF124" i="18"/>
  <c r="AF124" i="18"/>
  <c r="P124" i="18"/>
  <c r="Y124" i="18"/>
  <c r="N124" i="18"/>
  <c r="AM124" i="18"/>
  <c r="AF126" i="18"/>
  <c r="AM128" i="18"/>
  <c r="BF128" i="18"/>
  <c r="Y128" i="18"/>
  <c r="R128" i="18"/>
  <c r="BA128" i="18"/>
  <c r="BA132" i="18"/>
  <c r="Y132" i="18"/>
  <c r="BF132" i="18"/>
  <c r="R132" i="18"/>
  <c r="AM132" i="18"/>
  <c r="AF132" i="18"/>
  <c r="AM135" i="18"/>
  <c r="AT135" i="18"/>
  <c r="P135" i="18"/>
  <c r="Y135" i="18"/>
  <c r="O135" i="18"/>
  <c r="BF135" i="18"/>
  <c r="AM139" i="18"/>
  <c r="AT139" i="18"/>
  <c r="BA139" i="18"/>
  <c r="BF139" i="18"/>
  <c r="AM141" i="18"/>
  <c r="AT141" i="18"/>
  <c r="P141" i="18"/>
  <c r="BF141" i="18"/>
  <c r="R141" i="18"/>
  <c r="O141" i="18"/>
  <c r="AM151" i="18"/>
  <c r="AT151" i="18"/>
  <c r="Y151" i="18"/>
  <c r="BF151" i="18"/>
  <c r="R151" i="18"/>
  <c r="AF151" i="18"/>
  <c r="AM159" i="18"/>
  <c r="AT159" i="18"/>
  <c r="Y159" i="18"/>
  <c r="BF159" i="18"/>
  <c r="R159" i="18"/>
  <c r="AF159" i="18"/>
  <c r="AM167" i="18"/>
  <c r="AT167" i="18"/>
  <c r="Y167" i="18"/>
  <c r="BF167" i="18"/>
  <c r="R167" i="18"/>
  <c r="AF167" i="18"/>
  <c r="AT179" i="18"/>
  <c r="R179" i="18"/>
  <c r="N179" i="18"/>
  <c r="AM179" i="18"/>
  <c r="Y179" i="18"/>
  <c r="BF179" i="18"/>
  <c r="O179" i="18"/>
  <c r="BA179" i="18"/>
  <c r="AF179" i="18"/>
  <c r="Y52" i="18"/>
  <c r="Y54" i="18"/>
  <c r="Y56" i="18"/>
  <c r="Y58" i="18"/>
  <c r="O60" i="18"/>
  <c r="Y60" i="18"/>
  <c r="Y62" i="18"/>
  <c r="Y64" i="18"/>
  <c r="O66" i="18"/>
  <c r="Y66" i="18"/>
  <c r="Y68" i="18"/>
  <c r="Y70" i="18"/>
  <c r="Y72" i="18"/>
  <c r="Y74" i="18"/>
  <c r="Y76" i="18"/>
  <c r="Y78" i="18"/>
  <c r="O80" i="18"/>
  <c r="Y80" i="18"/>
  <c r="Y82" i="18"/>
  <c r="Y84" i="18"/>
  <c r="Y86" i="18"/>
  <c r="Y88" i="18"/>
  <c r="Y90" i="18"/>
  <c r="Y92" i="18"/>
  <c r="Y94" i="18"/>
  <c r="Y96" i="18"/>
  <c r="Y98" i="18"/>
  <c r="Y100" i="18"/>
  <c r="Y102" i="18"/>
  <c r="Y104" i="18"/>
  <c r="O106" i="18"/>
  <c r="Y106" i="18"/>
  <c r="Y108" i="18"/>
  <c r="BF110" i="18"/>
  <c r="AF110" i="18"/>
  <c r="Y110" i="18"/>
  <c r="AT111" i="18"/>
  <c r="R111" i="18"/>
  <c r="BA111" i="18"/>
  <c r="AT113" i="18"/>
  <c r="R113" i="18"/>
  <c r="BA113" i="18"/>
  <c r="AT115" i="18"/>
  <c r="R115" i="18"/>
  <c r="BA115" i="18"/>
  <c r="AT117" i="18"/>
  <c r="R117" i="18"/>
  <c r="BA117" i="18"/>
  <c r="AT119" i="18"/>
  <c r="R119" i="18"/>
  <c r="N119" i="18"/>
  <c r="BA119" i="18"/>
  <c r="AT121" i="18"/>
  <c r="R121" i="18"/>
  <c r="BA121" i="18"/>
  <c r="AT123" i="18"/>
  <c r="R123" i="18"/>
  <c r="BA123" i="18"/>
  <c r="AT125" i="18"/>
  <c r="R125" i="18"/>
  <c r="BA125" i="18"/>
  <c r="AM130" i="18"/>
  <c r="BF130" i="18"/>
  <c r="Y130" i="18"/>
  <c r="AF130" i="18"/>
  <c r="AM133" i="18"/>
  <c r="AT133" i="18"/>
  <c r="BF133" i="18"/>
  <c r="R133" i="18"/>
  <c r="AF135" i="18"/>
  <c r="Y139" i="18"/>
  <c r="AF141" i="18"/>
  <c r="AM143" i="18"/>
  <c r="AT143" i="18"/>
  <c r="Y143" i="18"/>
  <c r="BF143" i="18"/>
  <c r="AM149" i="18"/>
  <c r="AT149" i="18"/>
  <c r="BF149" i="18"/>
  <c r="R149" i="18"/>
  <c r="BA149" i="18"/>
  <c r="Y149" i="18"/>
  <c r="AM157" i="18"/>
  <c r="AT157" i="18"/>
  <c r="BF157" i="18"/>
  <c r="R157" i="18"/>
  <c r="BA157" i="18"/>
  <c r="Y157" i="18"/>
  <c r="AM165" i="18"/>
  <c r="AT165" i="18"/>
  <c r="P165" i="18"/>
  <c r="BF165" i="18"/>
  <c r="R165" i="18"/>
  <c r="BA165" i="18"/>
  <c r="O165" i="18"/>
  <c r="Y165" i="18"/>
  <c r="AT183" i="18"/>
  <c r="R183" i="18"/>
  <c r="N183" i="18"/>
  <c r="AM183" i="18"/>
  <c r="BF183" i="18"/>
  <c r="AF183" i="18"/>
  <c r="P183" i="18"/>
  <c r="O183" i="18"/>
  <c r="Y183" i="18"/>
  <c r="AT171" i="18"/>
  <c r="R171" i="18"/>
  <c r="AM171" i="18"/>
  <c r="Y171" i="18"/>
  <c r="AM147" i="18"/>
  <c r="AT147" i="18"/>
  <c r="AF147" i="18"/>
  <c r="AM155" i="18"/>
  <c r="AT155" i="18"/>
  <c r="AF155" i="18"/>
  <c r="AM163" i="18"/>
  <c r="AT163" i="18"/>
  <c r="AF163" i="18"/>
  <c r="AF171" i="18"/>
  <c r="AT177" i="18"/>
  <c r="R177" i="18"/>
  <c r="AM177" i="18"/>
  <c r="AF177" i="18"/>
  <c r="AT181" i="18"/>
  <c r="R181" i="18"/>
  <c r="AM181" i="18"/>
  <c r="BF181" i="18"/>
  <c r="AM137" i="18"/>
  <c r="AT137" i="18"/>
  <c r="AF137" i="18"/>
  <c r="AM145" i="18"/>
  <c r="AT145" i="18"/>
  <c r="AF145" i="18"/>
  <c r="BA147" i="18"/>
  <c r="AM153" i="18"/>
  <c r="AT153" i="18"/>
  <c r="AF153" i="18"/>
  <c r="BA155" i="18"/>
  <c r="AM161" i="18"/>
  <c r="AT161" i="18"/>
  <c r="AF161" i="18"/>
  <c r="BA163" i="18"/>
  <c r="AT169" i="18"/>
  <c r="R169" i="18"/>
  <c r="AM169" i="18"/>
  <c r="AF169" i="18"/>
  <c r="BA171" i="18"/>
  <c r="AT173" i="18"/>
  <c r="R173" i="18"/>
  <c r="AM173" i="18"/>
  <c r="BF173" i="18"/>
  <c r="Y177" i="18"/>
  <c r="AT187" i="18"/>
  <c r="R187" i="18"/>
  <c r="AM187" i="18"/>
  <c r="BF187" i="18"/>
  <c r="AF187" i="18"/>
  <c r="BA187" i="18"/>
  <c r="Y187" i="18"/>
  <c r="AT191" i="18"/>
  <c r="R191" i="18"/>
  <c r="AM191" i="18"/>
  <c r="BF191" i="18"/>
  <c r="AF191" i="18"/>
  <c r="BA191" i="18"/>
  <c r="AT195" i="18"/>
  <c r="R195" i="18"/>
  <c r="AM195" i="18"/>
  <c r="BF195" i="18"/>
  <c r="AF195" i="18"/>
  <c r="BA195" i="18"/>
  <c r="Y127" i="18"/>
  <c r="Y129" i="18"/>
  <c r="Y131" i="18"/>
  <c r="AT175" i="18"/>
  <c r="R175" i="18"/>
  <c r="AM175" i="18"/>
  <c r="BA175" i="18"/>
  <c r="AT185" i="18"/>
  <c r="R185" i="18"/>
  <c r="AM185" i="18"/>
  <c r="BF185" i="18"/>
  <c r="AF185" i="18"/>
  <c r="Y185" i="18"/>
  <c r="AT193" i="18"/>
  <c r="R193" i="18"/>
  <c r="AM193" i="18"/>
  <c r="BF193" i="18"/>
  <c r="AF193" i="18"/>
  <c r="Y193" i="18"/>
  <c r="AT214" i="18"/>
  <c r="R214" i="18"/>
  <c r="N214" i="18"/>
  <c r="AM214" i="18"/>
  <c r="AF214" i="18"/>
  <c r="Y214" i="18"/>
  <c r="BF214" i="18"/>
  <c r="P214" i="18"/>
  <c r="AT228" i="18"/>
  <c r="R228" i="18"/>
  <c r="AM228" i="18"/>
  <c r="AF228" i="18"/>
  <c r="BF228" i="18"/>
  <c r="BA228" i="18"/>
  <c r="Y228" i="18"/>
  <c r="AT234" i="18"/>
  <c r="R234" i="18"/>
  <c r="AM234" i="18"/>
  <c r="AF234" i="18"/>
  <c r="BF234" i="18"/>
  <c r="Y234" i="18"/>
  <c r="AT189" i="18"/>
  <c r="R189" i="18"/>
  <c r="N189" i="18"/>
  <c r="AM189" i="18"/>
  <c r="BF189" i="18"/>
  <c r="AF189" i="18"/>
  <c r="P189" i="18"/>
  <c r="Y189" i="18"/>
  <c r="AT222" i="18"/>
  <c r="R222" i="18"/>
  <c r="AM222" i="18"/>
  <c r="AF222" i="18"/>
  <c r="Y222" i="18"/>
  <c r="BF222" i="18"/>
  <c r="AT216" i="18"/>
  <c r="R216" i="18"/>
  <c r="AM216" i="18"/>
  <c r="BA216" i="18"/>
  <c r="AT224" i="18"/>
  <c r="R224" i="18"/>
  <c r="AM224" i="18"/>
  <c r="BA224" i="18"/>
  <c r="AT236" i="18"/>
  <c r="R236" i="18"/>
  <c r="AM236" i="18"/>
  <c r="AF236" i="18"/>
  <c r="BF236" i="18"/>
  <c r="Y236" i="18"/>
  <c r="BA236" i="18"/>
  <c r="Y134" i="18"/>
  <c r="Y136" i="18"/>
  <c r="Y138" i="18"/>
  <c r="O140" i="18"/>
  <c r="Y140" i="18"/>
  <c r="Y142" i="18"/>
  <c r="Y144" i="18"/>
  <c r="Y146" i="18"/>
  <c r="Y148" i="18"/>
  <c r="Y150" i="18"/>
  <c r="Y152" i="18"/>
  <c r="Y154" i="18"/>
  <c r="Y156" i="18"/>
  <c r="Y158" i="18"/>
  <c r="Y160" i="18"/>
  <c r="Y162" i="18"/>
  <c r="Y164" i="18"/>
  <c r="Y166" i="18"/>
  <c r="Y168" i="18"/>
  <c r="Y170" i="18"/>
  <c r="Y172" i="18"/>
  <c r="Y174" i="18"/>
  <c r="Y176" i="18"/>
  <c r="Y178" i="18"/>
  <c r="Y180" i="18"/>
  <c r="O182" i="18"/>
  <c r="Y182" i="18"/>
  <c r="Y184" i="18"/>
  <c r="Y186" i="18"/>
  <c r="Y188" i="18"/>
  <c r="Y190" i="18"/>
  <c r="Y192" i="18"/>
  <c r="Y194" i="18"/>
  <c r="AM196" i="18"/>
  <c r="R196" i="18"/>
  <c r="BA196" i="18"/>
  <c r="AM198" i="18"/>
  <c r="R198" i="18"/>
  <c r="BA198" i="18"/>
  <c r="AM200" i="18"/>
  <c r="R200" i="18"/>
  <c r="BA200" i="18"/>
  <c r="AM202" i="18"/>
  <c r="R202" i="18"/>
  <c r="BA202" i="18"/>
  <c r="AM204" i="18"/>
  <c r="R204" i="18"/>
  <c r="BA204" i="18"/>
  <c r="AM206" i="18"/>
  <c r="R206" i="18"/>
  <c r="BA206" i="18"/>
  <c r="AM208" i="18"/>
  <c r="R208" i="18"/>
  <c r="BA208" i="18"/>
  <c r="AM210" i="18"/>
  <c r="R210" i="18"/>
  <c r="BA210" i="18"/>
  <c r="BF216" i="18"/>
  <c r="AT218" i="18"/>
  <c r="R218" i="18"/>
  <c r="AM218" i="18"/>
  <c r="BA218" i="18"/>
  <c r="BF224" i="18"/>
  <c r="AT226" i="18"/>
  <c r="R226" i="18"/>
  <c r="AM226" i="18"/>
  <c r="AF226" i="18"/>
  <c r="AT230" i="18"/>
  <c r="R230" i="18"/>
  <c r="AM230" i="18"/>
  <c r="AF230" i="18"/>
  <c r="BF230" i="18"/>
  <c r="Y230" i="18"/>
  <c r="BA230" i="18"/>
  <c r="AT212" i="18"/>
  <c r="R212" i="18"/>
  <c r="AM212" i="18"/>
  <c r="BA212" i="18"/>
  <c r="Y216" i="18"/>
  <c r="AT220" i="18"/>
  <c r="R220" i="18"/>
  <c r="AM220" i="18"/>
  <c r="BA220" i="18"/>
  <c r="Y224" i="18"/>
  <c r="AT232" i="18"/>
  <c r="R232" i="18"/>
  <c r="AM232" i="18"/>
  <c r="AF232" i="18"/>
  <c r="BF232" i="18"/>
  <c r="Y232" i="18"/>
  <c r="BA232" i="18"/>
  <c r="AM238" i="18"/>
  <c r="BA238" i="18"/>
  <c r="R238" i="18"/>
  <c r="AT238" i="18"/>
  <c r="AF238" i="18"/>
  <c r="Y238" i="18"/>
  <c r="BF238" i="18"/>
  <c r="AT246" i="18"/>
  <c r="R246" i="18"/>
  <c r="AM246" i="18"/>
  <c r="AF246" i="18"/>
  <c r="Y246" i="18"/>
  <c r="BA246" i="18"/>
  <c r="Y197" i="18"/>
  <c r="Y199" i="18"/>
  <c r="Y201" i="18"/>
  <c r="Y203" i="18"/>
  <c r="Y205" i="18"/>
  <c r="Y207" i="18"/>
  <c r="Y209" i="18"/>
  <c r="Y211" i="18"/>
  <c r="Y213" i="18"/>
  <c r="Y215" i="18"/>
  <c r="Y217" i="18"/>
  <c r="Y219" i="18"/>
  <c r="Y221" i="18"/>
  <c r="Y223" i="18"/>
  <c r="Y225" i="18"/>
  <c r="BF227" i="18"/>
  <c r="AF227" i="18"/>
  <c r="AT227" i="18"/>
  <c r="BF229" i="18"/>
  <c r="AF229" i="18"/>
  <c r="P229" i="18"/>
  <c r="AT229" i="18"/>
  <c r="BF231" i="18"/>
  <c r="AF231" i="18"/>
  <c r="AT231" i="18"/>
  <c r="BF233" i="18"/>
  <c r="AF233" i="18"/>
  <c r="AT233" i="18"/>
  <c r="BF235" i="18"/>
  <c r="AF235" i="18"/>
  <c r="AT235" i="18"/>
  <c r="BF237" i="18"/>
  <c r="AF237" i="18"/>
  <c r="P237" i="18"/>
  <c r="AT237" i="18"/>
  <c r="BF246" i="18"/>
  <c r="AT259" i="18"/>
  <c r="R259" i="18"/>
  <c r="AM259" i="18"/>
  <c r="AF259" i="18"/>
  <c r="Y259" i="18"/>
  <c r="BA259" i="18"/>
  <c r="AT248" i="18"/>
  <c r="R248" i="18"/>
  <c r="AM248" i="18"/>
  <c r="BA248" i="18"/>
  <c r="BF259" i="18"/>
  <c r="AM240" i="18"/>
  <c r="R240" i="18"/>
  <c r="BA240" i="18"/>
  <c r="AM242" i="18"/>
  <c r="R242" i="18"/>
  <c r="BA242" i="18"/>
  <c r="AT244" i="18"/>
  <c r="R244" i="18"/>
  <c r="AM244" i="18"/>
  <c r="BA244" i="18"/>
  <c r="BF248" i="18"/>
  <c r="BA250" i="18"/>
  <c r="Y250" i="18"/>
  <c r="AF250" i="18"/>
  <c r="BF250" i="18"/>
  <c r="R250" i="18"/>
  <c r="AT261" i="18"/>
  <c r="R261" i="18"/>
  <c r="AM261" i="18"/>
  <c r="BA261" i="18"/>
  <c r="Y239" i="18"/>
  <c r="Y241" i="18"/>
  <c r="Y243" i="18"/>
  <c r="Y245" i="18"/>
  <c r="O247" i="18"/>
  <c r="Y247" i="18"/>
  <c r="Y249" i="18"/>
  <c r="AT255" i="18"/>
  <c r="R255" i="18"/>
  <c r="AM255" i="18"/>
  <c r="BA255" i="18"/>
  <c r="BF261" i="18"/>
  <c r="AM251" i="18"/>
  <c r="R251" i="18"/>
  <c r="BA251" i="18"/>
  <c r="AT253" i="18"/>
  <c r="R253" i="18"/>
  <c r="AM253" i="18"/>
  <c r="Y253" i="18"/>
  <c r="AT257" i="18"/>
  <c r="R257" i="18"/>
  <c r="AM257" i="18"/>
  <c r="BA257" i="18"/>
  <c r="Y261" i="18"/>
  <c r="AT263" i="18"/>
  <c r="R263" i="18"/>
  <c r="AM263" i="18"/>
  <c r="BA263" i="18"/>
  <c r="AT265" i="18"/>
  <c r="R265" i="18"/>
  <c r="AM265" i="18"/>
  <c r="BA265" i="18"/>
  <c r="Y252" i="18"/>
  <c r="Y254" i="18"/>
  <c r="Y256" i="18"/>
  <c r="Y258" i="18"/>
  <c r="Y260" i="18"/>
  <c r="O262" i="18"/>
  <c r="Y262" i="18"/>
  <c r="Y264" i="18"/>
  <c r="BA264" i="18"/>
  <c r="Y266" i="18"/>
  <c r="O268" i="18"/>
  <c r="Y268" i="18"/>
  <c r="BF268" i="18"/>
  <c r="AF264" i="18"/>
  <c r="AM269" i="18"/>
  <c r="R269" i="18"/>
  <c r="BA269" i="18"/>
  <c r="Y270" i="18"/>
  <c r="BA270" i="18"/>
  <c r="AM271" i="18"/>
  <c r="Y272" i="18"/>
  <c r="BA272" i="18"/>
  <c r="AM273" i="18"/>
  <c r="Y274" i="18"/>
  <c r="BA274" i="18"/>
  <c r="AM275" i="18"/>
  <c r="Y276" i="18"/>
  <c r="BA276" i="18"/>
  <c r="AM277" i="18"/>
  <c r="O278" i="18"/>
  <c r="Y278" i="18"/>
  <c r="BA278" i="18"/>
  <c r="AM279" i="18"/>
  <c r="Y280" i="18"/>
  <c r="BA280" i="18"/>
  <c r="AM281" i="18"/>
  <c r="O282" i="18"/>
  <c r="Y282" i="18"/>
  <c r="BA282" i="18"/>
  <c r="AM283" i="18"/>
  <c r="Y284" i="18"/>
  <c r="BA284" i="18"/>
  <c r="AM285" i="18"/>
  <c r="Y286" i="18"/>
  <c r="BA286" i="18"/>
  <c r="AM287" i="18"/>
  <c r="Y288" i="18"/>
  <c r="BA288" i="18"/>
  <c r="AM289" i="18"/>
  <c r="AF270" i="18"/>
  <c r="R271" i="18"/>
  <c r="AT271" i="18"/>
  <c r="AF272" i="18"/>
  <c r="R273" i="18"/>
  <c r="AT273" i="18"/>
  <c r="AF274" i="18"/>
  <c r="R275" i="18"/>
  <c r="AT275" i="18"/>
  <c r="AF276" i="18"/>
  <c r="R277" i="18"/>
  <c r="AT277" i="18"/>
  <c r="P278" i="18"/>
  <c r="AF278" i="18"/>
  <c r="R279" i="18"/>
  <c r="AT279" i="18"/>
  <c r="AF280" i="18"/>
  <c r="R281" i="18"/>
  <c r="AT281" i="18"/>
  <c r="P282" i="18"/>
  <c r="AF282" i="18"/>
  <c r="N283" i="18"/>
  <c r="R283" i="18"/>
  <c r="AT283" i="18"/>
  <c r="AF284" i="18"/>
  <c r="N285" i="18"/>
  <c r="R285" i="18"/>
  <c r="AT285" i="18"/>
  <c r="AF286" i="18"/>
  <c r="R287" i="18"/>
  <c r="AT287" i="18"/>
  <c r="AF288" i="18"/>
  <c r="N289" i="18"/>
  <c r="R289" i="18"/>
  <c r="AT289" i="18"/>
  <c r="Y271" i="18"/>
  <c r="Y273" i="18"/>
  <c r="Y275" i="18"/>
  <c r="Y277" i="18"/>
  <c r="Y279" i="18"/>
  <c r="Y281" i="18"/>
  <c r="O283" i="18"/>
  <c r="Y283" i="18"/>
  <c r="O285" i="18"/>
  <c r="Y285" i="18"/>
  <c r="Y287" i="18"/>
  <c r="O289" i="18"/>
  <c r="Y289" i="18"/>
  <c r="BA289" i="18"/>
  <c r="P289" i="18"/>
  <c r="AF289" i="18"/>
  <c r="G285" i="18" l="1"/>
  <c r="I245" i="18"/>
  <c r="G51" i="18"/>
  <c r="I106" i="18"/>
  <c r="I9" i="18"/>
  <c r="I24" i="18"/>
  <c r="F184" i="18"/>
  <c r="F123" i="18"/>
  <c r="J184" i="18"/>
  <c r="F171" i="18"/>
  <c r="G108" i="18"/>
  <c r="G90" i="18"/>
  <c r="F23" i="18"/>
  <c r="I174" i="18"/>
  <c r="J23" i="18"/>
  <c r="G96" i="18"/>
  <c r="F169" i="18"/>
  <c r="I169" i="18"/>
  <c r="G146" i="18"/>
  <c r="F99" i="18"/>
  <c r="J171" i="18"/>
  <c r="H247" i="18"/>
  <c r="F205" i="18"/>
  <c r="G178" i="18"/>
  <c r="G127" i="18"/>
  <c r="G226" i="18"/>
  <c r="J278" i="18"/>
  <c r="F61" i="18"/>
  <c r="I180" i="18"/>
  <c r="I152" i="18"/>
  <c r="H103" i="18"/>
  <c r="G215" i="18"/>
  <c r="J205" i="18"/>
  <c r="F188" i="18"/>
  <c r="F172" i="18"/>
  <c r="G100" i="18"/>
  <c r="I61" i="18"/>
  <c r="J57" i="18"/>
  <c r="H215" i="18"/>
  <c r="I205" i="18"/>
  <c r="J188" i="18"/>
  <c r="J172" i="18"/>
  <c r="F105" i="18"/>
  <c r="H281" i="18"/>
  <c r="G56" i="18"/>
  <c r="H211" i="18"/>
  <c r="I37" i="18"/>
  <c r="J109" i="18"/>
  <c r="I55" i="18"/>
  <c r="H192" i="18"/>
  <c r="I105" i="18"/>
  <c r="F278" i="18"/>
  <c r="F36" i="18"/>
  <c r="G32" i="18"/>
  <c r="G188" i="18"/>
  <c r="G186" i="18"/>
  <c r="H178" i="18"/>
  <c r="G172" i="18"/>
  <c r="H152" i="18"/>
  <c r="I103" i="18"/>
  <c r="H100" i="18"/>
  <c r="F192" i="18"/>
  <c r="J192" i="18"/>
  <c r="I127" i="18"/>
  <c r="G105" i="18"/>
  <c r="G278" i="18"/>
  <c r="J281" i="18"/>
  <c r="J69" i="18"/>
  <c r="H56" i="18"/>
  <c r="I211" i="18"/>
  <c r="H36" i="18"/>
  <c r="G104" i="18"/>
  <c r="G61" i="18"/>
  <c r="F37" i="18"/>
  <c r="J37" i="18"/>
  <c r="F109" i="18"/>
  <c r="I109" i="18"/>
  <c r="F55" i="18"/>
  <c r="J55" i="18"/>
  <c r="F57" i="18"/>
  <c r="I57" i="18"/>
  <c r="H32" i="18"/>
  <c r="I215" i="18"/>
  <c r="G205" i="18"/>
  <c r="I188" i="18"/>
  <c r="I178" i="18"/>
  <c r="I172" i="18"/>
  <c r="F152" i="18"/>
  <c r="J152" i="18"/>
  <c r="F103" i="18"/>
  <c r="J103" i="18"/>
  <c r="I100" i="18"/>
  <c r="G192" i="18"/>
  <c r="H127" i="18"/>
  <c r="J127" i="18"/>
  <c r="H105" i="18"/>
  <c r="H278" i="18"/>
  <c r="F281" i="18"/>
  <c r="I281" i="18"/>
  <c r="J56" i="18"/>
  <c r="F211" i="18"/>
  <c r="J211" i="18"/>
  <c r="J36" i="18"/>
  <c r="H61" i="18"/>
  <c r="G37" i="18"/>
  <c r="G109" i="18"/>
  <c r="G55" i="18"/>
  <c r="G57" i="18"/>
  <c r="I32" i="18"/>
  <c r="F215" i="18"/>
  <c r="F178" i="18"/>
  <c r="F100" i="18"/>
  <c r="F56" i="18"/>
  <c r="I208" i="18"/>
  <c r="G223" i="18"/>
  <c r="F32" i="18"/>
  <c r="J182" i="18"/>
  <c r="G134" i="18"/>
  <c r="H107" i="18"/>
  <c r="J202" i="18"/>
  <c r="F117" i="18"/>
  <c r="F144" i="18"/>
  <c r="J117" i="18"/>
  <c r="O36" i="18"/>
  <c r="G21" i="18"/>
  <c r="F186" i="18"/>
  <c r="J186" i="18"/>
  <c r="I69" i="18"/>
  <c r="F208" i="18"/>
  <c r="O10" i="18"/>
  <c r="H186" i="18"/>
  <c r="F69" i="18"/>
  <c r="J208" i="18"/>
  <c r="H104" i="18"/>
  <c r="H69" i="18"/>
  <c r="I210" i="18"/>
  <c r="G289" i="18"/>
  <c r="H196" i="18"/>
  <c r="I160" i="18"/>
  <c r="F217" i="18"/>
  <c r="H47" i="18"/>
  <c r="I199" i="18"/>
  <c r="H282" i="18"/>
  <c r="O138" i="18"/>
  <c r="Q16" i="18"/>
  <c r="J199" i="18"/>
  <c r="F194" i="18"/>
  <c r="J160" i="18"/>
  <c r="H289" i="18"/>
  <c r="I282" i="18"/>
  <c r="J89" i="18"/>
  <c r="I217" i="18"/>
  <c r="I62" i="18"/>
  <c r="J47" i="18"/>
  <c r="I75" i="18"/>
  <c r="G38" i="18"/>
  <c r="P276" i="18"/>
  <c r="P117" i="18"/>
  <c r="O42" i="18"/>
  <c r="G194" i="18"/>
  <c r="H263" i="18"/>
  <c r="I28" i="18"/>
  <c r="H221" i="18"/>
  <c r="I93" i="18"/>
  <c r="I44" i="18"/>
  <c r="H210" i="18"/>
  <c r="F199" i="18"/>
  <c r="G196" i="18"/>
  <c r="J194" i="18"/>
  <c r="F160" i="18"/>
  <c r="G253" i="18"/>
  <c r="G79" i="18"/>
  <c r="G58" i="18"/>
  <c r="J177" i="18"/>
  <c r="I137" i="18"/>
  <c r="H111" i="18"/>
  <c r="J72" i="18"/>
  <c r="Q247" i="18"/>
  <c r="O164" i="18"/>
  <c r="O94" i="18"/>
  <c r="O86" i="18"/>
  <c r="F210" i="18"/>
  <c r="J210" i="18"/>
  <c r="G199" i="18"/>
  <c r="I196" i="18"/>
  <c r="H194" i="18"/>
  <c r="G160" i="18"/>
  <c r="J289" i="18"/>
  <c r="F282" i="18"/>
  <c r="J282" i="18"/>
  <c r="H253" i="18"/>
  <c r="F89" i="18"/>
  <c r="I89" i="18"/>
  <c r="H79" i="18"/>
  <c r="H58" i="18"/>
  <c r="I263" i="18"/>
  <c r="G217" i="18"/>
  <c r="H177" i="18"/>
  <c r="H83" i="18"/>
  <c r="F62" i="18"/>
  <c r="J62" i="18"/>
  <c r="F47" i="18"/>
  <c r="F28" i="18"/>
  <c r="J28" i="18"/>
  <c r="H21" i="18"/>
  <c r="H15" i="18"/>
  <c r="G75" i="18"/>
  <c r="J75" i="18"/>
  <c r="G49" i="18"/>
  <c r="F202" i="18"/>
  <c r="F137" i="18"/>
  <c r="G98" i="18"/>
  <c r="I221" i="18"/>
  <c r="F93" i="18"/>
  <c r="G115" i="18"/>
  <c r="G111" i="18"/>
  <c r="F78" i="18"/>
  <c r="I38" i="18"/>
  <c r="O239" i="18"/>
  <c r="F196" i="18"/>
  <c r="F289" i="18"/>
  <c r="J253" i="18"/>
  <c r="G89" i="18"/>
  <c r="I79" i="18"/>
  <c r="I58" i="18"/>
  <c r="F263" i="18"/>
  <c r="J263" i="18"/>
  <c r="H217" i="18"/>
  <c r="F177" i="18"/>
  <c r="I177" i="18"/>
  <c r="G62" i="18"/>
  <c r="G47" i="18"/>
  <c r="G28" i="18"/>
  <c r="I21" i="18"/>
  <c r="F75" i="18"/>
  <c r="H137" i="18"/>
  <c r="H98" i="18"/>
  <c r="F221" i="18"/>
  <c r="G93" i="18"/>
  <c r="H115" i="18"/>
  <c r="J111" i="18"/>
  <c r="F72" i="18"/>
  <c r="G42" i="18"/>
  <c r="H78" i="18"/>
  <c r="F253" i="18"/>
  <c r="F79" i="18"/>
  <c r="F58" i="18"/>
  <c r="F21" i="18"/>
  <c r="J137" i="18"/>
  <c r="I98" i="18"/>
  <c r="G221" i="18"/>
  <c r="H93" i="18"/>
  <c r="I115" i="18"/>
  <c r="I72" i="18"/>
  <c r="G44" i="18"/>
  <c r="I42" i="18"/>
  <c r="J78" i="18"/>
  <c r="O44" i="18"/>
  <c r="I240" i="18"/>
  <c r="J53" i="18"/>
  <c r="I22" i="18"/>
  <c r="O142" i="18"/>
  <c r="G242" i="18"/>
  <c r="I84" i="18"/>
  <c r="H11" i="18"/>
  <c r="H203" i="18"/>
  <c r="N269" i="18"/>
  <c r="Q262" i="18"/>
  <c r="O204" i="18"/>
  <c r="O54" i="18"/>
  <c r="I166" i="18"/>
  <c r="J144" i="18"/>
  <c r="H134" i="18"/>
  <c r="I162" i="18"/>
  <c r="G150" i="18"/>
  <c r="G117" i="18"/>
  <c r="F88" i="18"/>
  <c r="G202" i="18"/>
  <c r="F59" i="18"/>
  <c r="F19" i="18"/>
  <c r="O148" i="18"/>
  <c r="O128" i="18"/>
  <c r="N63" i="18"/>
  <c r="I134" i="18"/>
  <c r="H117" i="18"/>
  <c r="J88" i="18"/>
  <c r="H202" i="18"/>
  <c r="J19" i="18"/>
  <c r="I266" i="18"/>
  <c r="P233" i="18"/>
  <c r="O170" i="18"/>
  <c r="Q49" i="18"/>
  <c r="F182" i="18"/>
  <c r="F134" i="18"/>
  <c r="H262" i="18"/>
  <c r="I95" i="18"/>
  <c r="H249" i="18"/>
  <c r="N57" i="18"/>
  <c r="P242" i="18"/>
  <c r="F98" i="18"/>
  <c r="F115" i="18"/>
  <c r="I111" i="18"/>
  <c r="H72" i="18"/>
  <c r="H44" i="18"/>
  <c r="F42" i="18"/>
  <c r="J42" i="18"/>
  <c r="G78" i="18"/>
  <c r="F38" i="18"/>
  <c r="J38" i="18"/>
  <c r="O234" i="18"/>
  <c r="F44" i="18"/>
  <c r="H285" i="18"/>
  <c r="G184" i="18"/>
  <c r="F174" i="18"/>
  <c r="J174" i="18"/>
  <c r="G169" i="18"/>
  <c r="H146" i="18"/>
  <c r="I108" i="18"/>
  <c r="F106" i="18"/>
  <c r="J106" i="18"/>
  <c r="J99" i="18"/>
  <c r="F288" i="18"/>
  <c r="H90" i="18"/>
  <c r="H51" i="18"/>
  <c r="G23" i="18"/>
  <c r="G171" i="18"/>
  <c r="F245" i="18"/>
  <c r="J245" i="18"/>
  <c r="H96" i="18"/>
  <c r="J9" i="18"/>
  <c r="I247" i="18"/>
  <c r="J266" i="18"/>
  <c r="F24" i="18"/>
  <c r="J24" i="18"/>
  <c r="H123" i="18"/>
  <c r="G14" i="18"/>
  <c r="F22" i="18"/>
  <c r="J22" i="18"/>
  <c r="O150" i="18"/>
  <c r="O187" i="18"/>
  <c r="N115" i="18"/>
  <c r="J285" i="18"/>
  <c r="I184" i="18"/>
  <c r="G174" i="18"/>
  <c r="H169" i="18"/>
  <c r="H158" i="18"/>
  <c r="I146" i="18"/>
  <c r="H108" i="18"/>
  <c r="G106" i="18"/>
  <c r="J288" i="18"/>
  <c r="I90" i="18"/>
  <c r="I51" i="18"/>
  <c r="H23" i="18"/>
  <c r="H171" i="18"/>
  <c r="G245" i="18"/>
  <c r="F142" i="18"/>
  <c r="I96" i="18"/>
  <c r="J96" i="18"/>
  <c r="F9" i="18"/>
  <c r="H9" i="18"/>
  <c r="I279" i="18"/>
  <c r="F247" i="18"/>
  <c r="J247" i="18"/>
  <c r="F266" i="18"/>
  <c r="G24" i="18"/>
  <c r="I123" i="18"/>
  <c r="H14" i="18"/>
  <c r="G22" i="18"/>
  <c r="O190" i="18"/>
  <c r="O281" i="18"/>
  <c r="Q242" i="18"/>
  <c r="P212" i="18"/>
  <c r="P198" i="18"/>
  <c r="O195" i="18"/>
  <c r="F285" i="18"/>
  <c r="G170" i="18"/>
  <c r="F146" i="18"/>
  <c r="F108" i="18"/>
  <c r="F90" i="18"/>
  <c r="F51" i="18"/>
  <c r="I40" i="18"/>
  <c r="I71" i="18"/>
  <c r="J142" i="18"/>
  <c r="N113" i="18"/>
  <c r="F53" i="18"/>
  <c r="G35" i="18"/>
  <c r="H65" i="18"/>
  <c r="G266" i="18"/>
  <c r="G123" i="18"/>
  <c r="I14" i="18"/>
  <c r="O260" i="18"/>
  <c r="Q140" i="18"/>
  <c r="N242" i="18"/>
  <c r="Q113" i="18"/>
  <c r="I170" i="18"/>
  <c r="F158" i="18"/>
  <c r="J158" i="18"/>
  <c r="H99" i="18"/>
  <c r="I288" i="18"/>
  <c r="F240" i="18"/>
  <c r="J240" i="18"/>
  <c r="F83" i="18"/>
  <c r="J83" i="18"/>
  <c r="G40" i="18"/>
  <c r="F15" i="18"/>
  <c r="J15" i="18"/>
  <c r="G71" i="18"/>
  <c r="O173" i="18"/>
  <c r="H142" i="18"/>
  <c r="G84" i="18"/>
  <c r="H53" i="18"/>
  <c r="I35" i="18"/>
  <c r="G279" i="18"/>
  <c r="F65" i="18"/>
  <c r="O251" i="18"/>
  <c r="Q224" i="18"/>
  <c r="P113" i="18"/>
  <c r="O210" i="18"/>
  <c r="O181" i="18"/>
  <c r="Q60" i="18"/>
  <c r="F170" i="18"/>
  <c r="J170" i="18"/>
  <c r="G158" i="18"/>
  <c r="I99" i="18"/>
  <c r="H288" i="18"/>
  <c r="G240" i="18"/>
  <c r="G83" i="18"/>
  <c r="H40" i="18"/>
  <c r="G15" i="18"/>
  <c r="H71" i="18"/>
  <c r="I142" i="18"/>
  <c r="H84" i="18"/>
  <c r="I53" i="18"/>
  <c r="F35" i="18"/>
  <c r="J35" i="18"/>
  <c r="F279" i="18"/>
  <c r="G65" i="18"/>
  <c r="I125" i="18"/>
  <c r="O244" i="18"/>
  <c r="O134" i="18"/>
  <c r="F40" i="18"/>
  <c r="F71" i="18"/>
  <c r="F84" i="18"/>
  <c r="J279" i="18"/>
  <c r="I65" i="18"/>
  <c r="Q132" i="18"/>
  <c r="O200" i="18"/>
  <c r="O162" i="18"/>
  <c r="O146" i="18"/>
  <c r="Q106" i="18"/>
  <c r="O78" i="18"/>
  <c r="O58" i="18"/>
  <c r="O89" i="18"/>
  <c r="Q34" i="18"/>
  <c r="Q17" i="18"/>
  <c r="G182" i="18"/>
  <c r="F166" i="18"/>
  <c r="J166" i="18"/>
  <c r="I144" i="18"/>
  <c r="F162" i="18"/>
  <c r="J162" i="18"/>
  <c r="H150" i="18"/>
  <c r="I107" i="18"/>
  <c r="G88" i="18"/>
  <c r="I262" i="18"/>
  <c r="H242" i="18"/>
  <c r="F95" i="18"/>
  <c r="J95" i="18"/>
  <c r="J49" i="18"/>
  <c r="H59" i="18"/>
  <c r="G19" i="18"/>
  <c r="I11" i="18"/>
  <c r="I203" i="18"/>
  <c r="J249" i="18"/>
  <c r="F125" i="18"/>
  <c r="Q182" i="18"/>
  <c r="O176" i="18"/>
  <c r="N169" i="18"/>
  <c r="O98" i="18"/>
  <c r="O90" i="18"/>
  <c r="Q26" i="18"/>
  <c r="O20" i="18"/>
  <c r="O45" i="18"/>
  <c r="Q33" i="18"/>
  <c r="H182" i="18"/>
  <c r="G166" i="18"/>
  <c r="G144" i="18"/>
  <c r="G162" i="18"/>
  <c r="I150" i="18"/>
  <c r="G107" i="18"/>
  <c r="J107" i="18"/>
  <c r="Q119" i="18"/>
  <c r="N121" i="18"/>
  <c r="I88" i="18"/>
  <c r="F262" i="18"/>
  <c r="J262" i="18"/>
  <c r="I242" i="18"/>
  <c r="H95" i="18"/>
  <c r="H49" i="18"/>
  <c r="I59" i="18"/>
  <c r="H19" i="18"/>
  <c r="G11" i="18"/>
  <c r="J11" i="18"/>
  <c r="F203" i="18"/>
  <c r="J203" i="18"/>
  <c r="F249" i="18"/>
  <c r="I249" i="18"/>
  <c r="O196" i="18"/>
  <c r="O158" i="18"/>
  <c r="O136" i="18"/>
  <c r="Q147" i="18"/>
  <c r="P157" i="18"/>
  <c r="O74" i="18"/>
  <c r="O18" i="18"/>
  <c r="O11" i="18"/>
  <c r="F150" i="18"/>
  <c r="F242" i="18"/>
  <c r="F49" i="18"/>
  <c r="G59" i="18"/>
  <c r="O241" i="18"/>
  <c r="O65" i="18"/>
  <c r="I223" i="18"/>
  <c r="I226" i="18"/>
  <c r="G16" i="18"/>
  <c r="F46" i="18"/>
  <c r="J46" i="18"/>
  <c r="Q257" i="18"/>
  <c r="P208" i="18"/>
  <c r="O178" i="18"/>
  <c r="O154" i="18"/>
  <c r="O175" i="18"/>
  <c r="P125" i="18"/>
  <c r="N159" i="18"/>
  <c r="Q124" i="18"/>
  <c r="Q93" i="18"/>
  <c r="Q81" i="18"/>
  <c r="P69" i="18"/>
  <c r="O12" i="18"/>
  <c r="Q19" i="18"/>
  <c r="O7" i="18"/>
  <c r="O186" i="18"/>
  <c r="Q41" i="18"/>
  <c r="O28" i="18"/>
  <c r="O102" i="18"/>
  <c r="I16" i="18"/>
  <c r="G125" i="18"/>
  <c r="G46" i="18"/>
  <c r="N287" i="18"/>
  <c r="O288" i="18"/>
  <c r="O256" i="18"/>
  <c r="O249" i="18"/>
  <c r="Q218" i="18"/>
  <c r="Q202" i="18"/>
  <c r="O160" i="18"/>
  <c r="O144" i="18"/>
  <c r="Q234" i="18"/>
  <c r="Q191" i="18"/>
  <c r="Q169" i="18"/>
  <c r="Q149" i="18"/>
  <c r="Q143" i="18"/>
  <c r="Q111" i="18"/>
  <c r="Q167" i="18"/>
  <c r="Q151" i="18"/>
  <c r="Q59" i="18"/>
  <c r="Q267" i="18"/>
  <c r="G180" i="18"/>
  <c r="H125" i="18"/>
  <c r="G147" i="18"/>
  <c r="J147" i="18"/>
  <c r="F147" i="18"/>
  <c r="I147" i="18"/>
  <c r="I197" i="18"/>
  <c r="G197" i="18"/>
  <c r="G168" i="18"/>
  <c r="J168" i="18"/>
  <c r="F168" i="18"/>
  <c r="H168" i="18"/>
  <c r="I154" i="18"/>
  <c r="G154" i="18"/>
  <c r="I140" i="18"/>
  <c r="J140" i="18"/>
  <c r="F140" i="18"/>
  <c r="J97" i="18"/>
  <c r="G97" i="18"/>
  <c r="G77" i="18"/>
  <c r="J77" i="18"/>
  <c r="G280" i="18"/>
  <c r="I280" i="18"/>
  <c r="H271" i="18"/>
  <c r="J271" i="18"/>
  <c r="F271" i="18"/>
  <c r="J68" i="18"/>
  <c r="F68" i="18"/>
  <c r="H68" i="18"/>
  <c r="J13" i="18"/>
  <c r="G13" i="18"/>
  <c r="H244" i="18"/>
  <c r="G244" i="18"/>
  <c r="J244" i="18"/>
  <c r="F244" i="18"/>
  <c r="I136" i="18"/>
  <c r="J136" i="18"/>
  <c r="F136" i="18"/>
  <c r="J67" i="18"/>
  <c r="F67" i="18"/>
  <c r="H67" i="18"/>
  <c r="I60" i="18"/>
  <c r="J60" i="18"/>
  <c r="F60" i="18"/>
  <c r="J50" i="18"/>
  <c r="F50" i="18"/>
  <c r="I50" i="18"/>
  <c r="H50" i="18"/>
  <c r="H39" i="18"/>
  <c r="J39" i="18"/>
  <c r="F39" i="18"/>
  <c r="J17" i="18"/>
  <c r="I17" i="18"/>
  <c r="G17" i="18"/>
  <c r="Q259" i="18"/>
  <c r="O231" i="18"/>
  <c r="O219" i="18"/>
  <c r="Q238" i="18"/>
  <c r="P232" i="18"/>
  <c r="P177" i="18"/>
  <c r="O137" i="18"/>
  <c r="Q181" i="18"/>
  <c r="O157" i="18"/>
  <c r="O70" i="18"/>
  <c r="O105" i="18"/>
  <c r="O6" i="18"/>
  <c r="H140" i="18"/>
  <c r="G136" i="18"/>
  <c r="F97" i="18"/>
  <c r="G60" i="18"/>
  <c r="F197" i="18"/>
  <c r="G271" i="18"/>
  <c r="H77" i="18"/>
  <c r="F17" i="18"/>
  <c r="I168" i="18"/>
  <c r="G50" i="18"/>
  <c r="Q285" i="18"/>
  <c r="O273" i="18"/>
  <c r="N275" i="18"/>
  <c r="P270" i="18"/>
  <c r="N263" i="18"/>
  <c r="P251" i="18"/>
  <c r="P248" i="18"/>
  <c r="Q237" i="18"/>
  <c r="Q222" i="18"/>
  <c r="N193" i="18"/>
  <c r="P161" i="18"/>
  <c r="N181" i="18"/>
  <c r="P181" i="18"/>
  <c r="Q73" i="18"/>
  <c r="Q53" i="18"/>
  <c r="Q4" i="18"/>
  <c r="O43" i="18"/>
  <c r="Q43" i="18"/>
  <c r="O35" i="18"/>
  <c r="Q25" i="18"/>
  <c r="O19" i="18"/>
  <c r="P267" i="18"/>
  <c r="F280" i="18"/>
  <c r="O242" i="18"/>
  <c r="F154" i="18"/>
  <c r="H136" i="18"/>
  <c r="H97" i="18"/>
  <c r="G68" i="18"/>
  <c r="H60" i="18"/>
  <c r="H197" i="18"/>
  <c r="G39" i="18"/>
  <c r="F13" i="18"/>
  <c r="I271" i="18"/>
  <c r="I77" i="18"/>
  <c r="H17" i="18"/>
  <c r="I244" i="18"/>
  <c r="Q265" i="18"/>
  <c r="O265" i="18"/>
  <c r="O180" i="18"/>
  <c r="O172" i="18"/>
  <c r="O166" i="18"/>
  <c r="O129" i="18"/>
  <c r="N195" i="18"/>
  <c r="P195" i="18"/>
  <c r="P171" i="18"/>
  <c r="Q133" i="18"/>
  <c r="Q80" i="18"/>
  <c r="Q66" i="18"/>
  <c r="N116" i="18"/>
  <c r="Q109" i="18"/>
  <c r="Q77" i="18"/>
  <c r="Q21" i="18"/>
  <c r="O113" i="18"/>
  <c r="H280" i="18"/>
  <c r="H154" i="18"/>
  <c r="I97" i="18"/>
  <c r="I68" i="18"/>
  <c r="J197" i="18"/>
  <c r="I39" i="18"/>
  <c r="I13" i="18"/>
  <c r="G67" i="18"/>
  <c r="Q289" i="18"/>
  <c r="Q283" i="18"/>
  <c r="O277" i="18"/>
  <c r="P274" i="18"/>
  <c r="O286" i="18"/>
  <c r="O274" i="18"/>
  <c r="Q268" i="18"/>
  <c r="O252" i="18"/>
  <c r="P255" i="18"/>
  <c r="O243" i="18"/>
  <c r="Q229" i="18"/>
  <c r="O215" i="18"/>
  <c r="O216" i="18"/>
  <c r="N218" i="18"/>
  <c r="O206" i="18"/>
  <c r="O194" i="18"/>
  <c r="O174" i="18"/>
  <c r="P236" i="18"/>
  <c r="Q214" i="18"/>
  <c r="O115" i="18"/>
  <c r="O111" i="18"/>
  <c r="O82" i="18"/>
  <c r="O62" i="18"/>
  <c r="Q97" i="18"/>
  <c r="P55" i="18"/>
  <c r="O50" i="18"/>
  <c r="O114" i="18"/>
  <c r="N51" i="18"/>
  <c r="O27" i="18"/>
  <c r="Q9" i="18"/>
  <c r="Q7" i="18"/>
  <c r="G208" i="18"/>
  <c r="G36" i="18"/>
  <c r="I104" i="18"/>
  <c r="H223" i="18"/>
  <c r="F180" i="18"/>
  <c r="J180" i="18"/>
  <c r="F226" i="18"/>
  <c r="J226" i="18"/>
  <c r="F16" i="18"/>
  <c r="J16" i="18"/>
  <c r="F14" i="18"/>
  <c r="Q240" i="18"/>
  <c r="N123" i="18"/>
  <c r="N231" i="18"/>
  <c r="Q196" i="18"/>
  <c r="N175" i="18"/>
  <c r="O109" i="18"/>
  <c r="Q251" i="18"/>
  <c r="F104" i="18"/>
  <c r="O255" i="18"/>
  <c r="F223" i="18"/>
  <c r="Q121" i="18"/>
  <c r="J250" i="18"/>
  <c r="I250" i="18"/>
  <c r="H250" i="18"/>
  <c r="G250" i="18"/>
  <c r="F250" i="18"/>
  <c r="J259" i="18"/>
  <c r="I259" i="18"/>
  <c r="G259" i="18"/>
  <c r="F259" i="18"/>
  <c r="H259" i="18"/>
  <c r="I237" i="18"/>
  <c r="J237" i="18"/>
  <c r="H237" i="18"/>
  <c r="G237" i="18"/>
  <c r="F237" i="18"/>
  <c r="J229" i="18"/>
  <c r="I229" i="18"/>
  <c r="H229" i="18"/>
  <c r="G229" i="18"/>
  <c r="F229" i="18"/>
  <c r="N251" i="18"/>
  <c r="J216" i="18"/>
  <c r="H216" i="18"/>
  <c r="I216" i="18"/>
  <c r="G216" i="18"/>
  <c r="F216" i="18"/>
  <c r="J187" i="18"/>
  <c r="I187" i="18"/>
  <c r="H187" i="18"/>
  <c r="G187" i="18"/>
  <c r="F187" i="18"/>
  <c r="Q179" i="18"/>
  <c r="Q135" i="18"/>
  <c r="J251" i="18"/>
  <c r="I251" i="18"/>
  <c r="G251" i="18"/>
  <c r="F251" i="18"/>
  <c r="H251" i="18"/>
  <c r="J156" i="18"/>
  <c r="H156" i="18"/>
  <c r="I156" i="18"/>
  <c r="G156" i="18"/>
  <c r="F156" i="18"/>
  <c r="J76" i="18"/>
  <c r="H76" i="18"/>
  <c r="I76" i="18"/>
  <c r="G76" i="18"/>
  <c r="F76" i="18"/>
  <c r="J63" i="18"/>
  <c r="I63" i="18"/>
  <c r="G63" i="18"/>
  <c r="F63" i="18"/>
  <c r="H63" i="18"/>
  <c r="J25" i="18"/>
  <c r="I25" i="18"/>
  <c r="H25" i="18"/>
  <c r="G25" i="18"/>
  <c r="F25" i="18"/>
  <c r="J4" i="18"/>
  <c r="I4" i="18"/>
  <c r="H4" i="18"/>
  <c r="G4" i="18"/>
  <c r="F4" i="18"/>
  <c r="J86" i="18"/>
  <c r="I86" i="18"/>
  <c r="H86" i="18"/>
  <c r="G86" i="18"/>
  <c r="F86" i="18"/>
  <c r="N273" i="18"/>
  <c r="Q277" i="18"/>
  <c r="Q141" i="18"/>
  <c r="Q139" i="18"/>
  <c r="O132" i="18"/>
  <c r="P126" i="18"/>
  <c r="O69" i="18"/>
  <c r="Q50" i="18"/>
  <c r="Q35" i="18"/>
  <c r="Q27" i="18"/>
  <c r="P118" i="18"/>
  <c r="Q37" i="18"/>
  <c r="Q29" i="18"/>
  <c r="O21" i="18"/>
  <c r="J7" i="18"/>
  <c r="I7" i="18"/>
  <c r="H7" i="18"/>
  <c r="G7" i="18"/>
  <c r="F7" i="18"/>
  <c r="O5" i="18"/>
  <c r="J267" i="18"/>
  <c r="I267" i="18"/>
  <c r="H267" i="18"/>
  <c r="G267" i="18"/>
  <c r="F267" i="18"/>
  <c r="J287" i="18"/>
  <c r="I287" i="18"/>
  <c r="H287" i="18"/>
  <c r="F287" i="18"/>
  <c r="G287" i="18"/>
  <c r="I269" i="18"/>
  <c r="J269" i="18"/>
  <c r="H269" i="18"/>
  <c r="G269" i="18"/>
  <c r="F269" i="18"/>
  <c r="J264" i="18"/>
  <c r="H264" i="18"/>
  <c r="I264" i="18"/>
  <c r="G264" i="18"/>
  <c r="F264" i="18"/>
  <c r="J218" i="18"/>
  <c r="I218" i="18"/>
  <c r="H218" i="18"/>
  <c r="G218" i="18"/>
  <c r="F218" i="18"/>
  <c r="J198" i="18"/>
  <c r="I198" i="18"/>
  <c r="H198" i="18"/>
  <c r="G198" i="18"/>
  <c r="F198" i="18"/>
  <c r="J283" i="18"/>
  <c r="I283" i="18"/>
  <c r="G283" i="18"/>
  <c r="F283" i="18"/>
  <c r="H283" i="18"/>
  <c r="J243" i="18"/>
  <c r="I243" i="18"/>
  <c r="H243" i="18"/>
  <c r="G243" i="18"/>
  <c r="F243" i="18"/>
  <c r="I225" i="18"/>
  <c r="J225" i="18"/>
  <c r="H225" i="18"/>
  <c r="G225" i="18"/>
  <c r="F225" i="18"/>
  <c r="J206" i="18"/>
  <c r="I206" i="18"/>
  <c r="H206" i="18"/>
  <c r="G206" i="18"/>
  <c r="F206" i="18"/>
  <c r="I161" i="18"/>
  <c r="J161" i="18"/>
  <c r="H161" i="18"/>
  <c r="G161" i="18"/>
  <c r="F161" i="18"/>
  <c r="I145" i="18"/>
  <c r="J145" i="18"/>
  <c r="H145" i="18"/>
  <c r="G145" i="18"/>
  <c r="F145" i="18"/>
  <c r="J101" i="18"/>
  <c r="I101" i="18"/>
  <c r="H101" i="18"/>
  <c r="G101" i="18"/>
  <c r="F101" i="18"/>
  <c r="J85" i="18"/>
  <c r="I85" i="18"/>
  <c r="H85" i="18"/>
  <c r="G85" i="18"/>
  <c r="F85" i="18"/>
  <c r="J54" i="18"/>
  <c r="I54" i="18"/>
  <c r="H54" i="18"/>
  <c r="G54" i="18"/>
  <c r="F54" i="18"/>
  <c r="J34" i="18"/>
  <c r="I34" i="18"/>
  <c r="H34" i="18"/>
  <c r="G34" i="18"/>
  <c r="F34" i="18"/>
  <c r="J284" i="18"/>
  <c r="I284" i="18"/>
  <c r="H284" i="18"/>
  <c r="G284" i="18"/>
  <c r="F284" i="18"/>
  <c r="J30" i="18"/>
  <c r="I30" i="18"/>
  <c r="H30" i="18"/>
  <c r="G30" i="18"/>
  <c r="F30" i="18"/>
  <c r="I113" i="18"/>
  <c r="H113" i="18"/>
  <c r="J113" i="18"/>
  <c r="G113" i="18"/>
  <c r="F113" i="18"/>
  <c r="J82" i="18"/>
  <c r="I82" i="18"/>
  <c r="H82" i="18"/>
  <c r="G82" i="18"/>
  <c r="F82" i="18"/>
  <c r="J33" i="18"/>
  <c r="H33" i="18"/>
  <c r="I33" i="18"/>
  <c r="G33" i="18"/>
  <c r="F33" i="18"/>
  <c r="J10" i="18"/>
  <c r="I10" i="18"/>
  <c r="H10" i="18"/>
  <c r="G10" i="18"/>
  <c r="F10" i="18"/>
  <c r="J8" i="18"/>
  <c r="I8" i="18"/>
  <c r="H8" i="18"/>
  <c r="G8" i="18"/>
  <c r="F8" i="18"/>
  <c r="J66" i="18"/>
  <c r="I66" i="18"/>
  <c r="H66" i="18"/>
  <c r="G66" i="18"/>
  <c r="F66" i="18"/>
  <c r="J239" i="18"/>
  <c r="I239" i="18"/>
  <c r="H239" i="18"/>
  <c r="G239" i="18"/>
  <c r="F239" i="18"/>
  <c r="J80" i="18"/>
  <c r="H80" i="18"/>
  <c r="G80" i="18"/>
  <c r="I80" i="18"/>
  <c r="F80" i="18"/>
  <c r="J45" i="18"/>
  <c r="I45" i="18"/>
  <c r="H45" i="18"/>
  <c r="G45" i="18"/>
  <c r="F45" i="18"/>
  <c r="J29" i="18"/>
  <c r="I29" i="18"/>
  <c r="H29" i="18"/>
  <c r="G29" i="18"/>
  <c r="F29" i="18"/>
  <c r="Q273" i="18"/>
  <c r="J231" i="18"/>
  <c r="I231" i="18"/>
  <c r="H231" i="18"/>
  <c r="G231" i="18"/>
  <c r="F231" i="18"/>
  <c r="J132" i="18"/>
  <c r="I132" i="18"/>
  <c r="H132" i="18"/>
  <c r="G132" i="18"/>
  <c r="F132" i="18"/>
  <c r="J207" i="18"/>
  <c r="I207" i="18"/>
  <c r="H207" i="18"/>
  <c r="G207" i="18"/>
  <c r="F207" i="18"/>
  <c r="J286" i="18"/>
  <c r="I286" i="18"/>
  <c r="H286" i="18"/>
  <c r="G286" i="18"/>
  <c r="F286" i="18"/>
  <c r="J175" i="18"/>
  <c r="I175" i="18"/>
  <c r="F175" i="18"/>
  <c r="H175" i="18"/>
  <c r="G175" i="18"/>
  <c r="J27" i="18"/>
  <c r="I27" i="18"/>
  <c r="H27" i="18"/>
  <c r="F27" i="18"/>
  <c r="G27" i="18"/>
  <c r="J270" i="18"/>
  <c r="I270" i="18"/>
  <c r="H270" i="18"/>
  <c r="G270" i="18"/>
  <c r="F270" i="18"/>
  <c r="N255" i="18"/>
  <c r="O269" i="18"/>
  <c r="O223" i="18"/>
  <c r="O207" i="18"/>
  <c r="N212" i="18"/>
  <c r="O168" i="18"/>
  <c r="P196" i="18"/>
  <c r="J181" i="18"/>
  <c r="I181" i="18"/>
  <c r="H181" i="18"/>
  <c r="G181" i="18"/>
  <c r="F181" i="18"/>
  <c r="Q183" i="18"/>
  <c r="P286" i="18"/>
  <c r="P269" i="18"/>
  <c r="O263" i="18"/>
  <c r="O257" i="18"/>
  <c r="O259" i="18"/>
  <c r="Q250" i="18"/>
  <c r="Q244" i="18"/>
  <c r="Q248" i="18"/>
  <c r="N235" i="18"/>
  <c r="P231" i="18"/>
  <c r="O246" i="18"/>
  <c r="Q232" i="18"/>
  <c r="P220" i="18"/>
  <c r="Q212" i="18"/>
  <c r="O156" i="18"/>
  <c r="N224" i="18"/>
  <c r="Q216" i="18"/>
  <c r="J222" i="18"/>
  <c r="I222" i="18"/>
  <c r="H222" i="18"/>
  <c r="G222" i="18"/>
  <c r="F222" i="18"/>
  <c r="Q189" i="18"/>
  <c r="P234" i="18"/>
  <c r="N185" i="18"/>
  <c r="J195" i="18"/>
  <c r="I195" i="18"/>
  <c r="H195" i="18"/>
  <c r="G195" i="18"/>
  <c r="F195" i="18"/>
  <c r="I173" i="18"/>
  <c r="J173" i="18"/>
  <c r="H173" i="18"/>
  <c r="G173" i="18"/>
  <c r="F173" i="18"/>
  <c r="Q145" i="18"/>
  <c r="N177" i="18"/>
  <c r="P151" i="18"/>
  <c r="I141" i="18"/>
  <c r="J141" i="18"/>
  <c r="H141" i="18"/>
  <c r="G141" i="18"/>
  <c r="F141" i="18"/>
  <c r="J135" i="18"/>
  <c r="I135" i="18"/>
  <c r="H135" i="18"/>
  <c r="G135" i="18"/>
  <c r="F135" i="18"/>
  <c r="P112" i="18"/>
  <c r="J118" i="18"/>
  <c r="I118" i="18"/>
  <c r="H118" i="18"/>
  <c r="G118" i="18"/>
  <c r="F118" i="18"/>
  <c r="J114" i="18"/>
  <c r="I114" i="18"/>
  <c r="H114" i="18"/>
  <c r="G114" i="18"/>
  <c r="F114" i="18"/>
  <c r="Q31" i="18"/>
  <c r="J220" i="18"/>
  <c r="H220" i="18"/>
  <c r="I220" i="18"/>
  <c r="G220" i="18"/>
  <c r="F220" i="18"/>
  <c r="J204" i="18"/>
  <c r="H204" i="18"/>
  <c r="I204" i="18"/>
  <c r="G204" i="18"/>
  <c r="F204" i="18"/>
  <c r="J119" i="18"/>
  <c r="I119" i="18"/>
  <c r="H119" i="18"/>
  <c r="G119" i="18"/>
  <c r="F119" i="18"/>
  <c r="J276" i="18"/>
  <c r="I276" i="18"/>
  <c r="H276" i="18"/>
  <c r="G276" i="18"/>
  <c r="F276" i="18"/>
  <c r="J272" i="18"/>
  <c r="H272" i="18"/>
  <c r="I272" i="18"/>
  <c r="G272" i="18"/>
  <c r="F272" i="18"/>
  <c r="I257" i="18"/>
  <c r="H257" i="18"/>
  <c r="G257" i="18"/>
  <c r="F257" i="18"/>
  <c r="J257" i="18"/>
  <c r="I209" i="18"/>
  <c r="J209" i="18"/>
  <c r="H209" i="18"/>
  <c r="G209" i="18"/>
  <c r="F209" i="18"/>
  <c r="J200" i="18"/>
  <c r="H200" i="18"/>
  <c r="I200" i="18"/>
  <c r="G200" i="18"/>
  <c r="F200" i="18"/>
  <c r="J164" i="18"/>
  <c r="I164" i="18"/>
  <c r="H164" i="18"/>
  <c r="G164" i="18"/>
  <c r="F164" i="18"/>
  <c r="J148" i="18"/>
  <c r="I148" i="18"/>
  <c r="H148" i="18"/>
  <c r="G148" i="18"/>
  <c r="F148" i="18"/>
  <c r="I129" i="18"/>
  <c r="H129" i="18"/>
  <c r="J129" i="18"/>
  <c r="G129" i="18"/>
  <c r="F129" i="18"/>
  <c r="J92" i="18"/>
  <c r="H92" i="18"/>
  <c r="I92" i="18"/>
  <c r="G92" i="18"/>
  <c r="F92" i="18"/>
  <c r="J74" i="18"/>
  <c r="I74" i="18"/>
  <c r="H74" i="18"/>
  <c r="G74" i="18"/>
  <c r="F74" i="18"/>
  <c r="J48" i="18"/>
  <c r="I48" i="18"/>
  <c r="H48" i="18"/>
  <c r="G48" i="18"/>
  <c r="F48" i="18"/>
  <c r="J41" i="18"/>
  <c r="I41" i="18"/>
  <c r="H41" i="18"/>
  <c r="G41" i="18"/>
  <c r="F41" i="18"/>
  <c r="J2" i="18"/>
  <c r="I2" i="18"/>
  <c r="H2" i="18"/>
  <c r="G2" i="18"/>
  <c r="F2" i="18"/>
  <c r="I121" i="18"/>
  <c r="J121" i="18"/>
  <c r="H121" i="18"/>
  <c r="G121" i="18"/>
  <c r="F121" i="18"/>
  <c r="J248" i="18"/>
  <c r="H248" i="18"/>
  <c r="I248" i="18"/>
  <c r="G248" i="18"/>
  <c r="F248" i="18"/>
  <c r="J246" i="18"/>
  <c r="I246" i="18"/>
  <c r="H246" i="18"/>
  <c r="G246" i="18"/>
  <c r="F246" i="18"/>
  <c r="J230" i="18"/>
  <c r="I230" i="18"/>
  <c r="H230" i="18"/>
  <c r="G230" i="18"/>
  <c r="F230" i="18"/>
  <c r="N208" i="18"/>
  <c r="N210" i="18"/>
  <c r="J228" i="18"/>
  <c r="I228" i="18"/>
  <c r="H228" i="18"/>
  <c r="G228" i="18"/>
  <c r="F228" i="18"/>
  <c r="J151" i="18"/>
  <c r="I151" i="18"/>
  <c r="H151" i="18"/>
  <c r="G151" i="18"/>
  <c r="F151" i="18"/>
  <c r="J120" i="18"/>
  <c r="H120" i="18"/>
  <c r="I120" i="18"/>
  <c r="G120" i="18"/>
  <c r="F120" i="18"/>
  <c r="J5" i="18"/>
  <c r="I5" i="18"/>
  <c r="H5" i="18"/>
  <c r="G5" i="18"/>
  <c r="F5" i="18"/>
  <c r="J275" i="18"/>
  <c r="I275" i="18"/>
  <c r="H275" i="18"/>
  <c r="G275" i="18"/>
  <c r="F275" i="18"/>
  <c r="J260" i="18"/>
  <c r="I260" i="18"/>
  <c r="H260" i="18"/>
  <c r="G260" i="18"/>
  <c r="F260" i="18"/>
  <c r="J254" i="18"/>
  <c r="I254" i="18"/>
  <c r="H254" i="18"/>
  <c r="G254" i="18"/>
  <c r="F254" i="18"/>
  <c r="J219" i="18"/>
  <c r="I219" i="18"/>
  <c r="G219" i="18"/>
  <c r="F219" i="18"/>
  <c r="H219" i="18"/>
  <c r="J212" i="18"/>
  <c r="I212" i="18"/>
  <c r="H212" i="18"/>
  <c r="G212" i="18"/>
  <c r="F212" i="18"/>
  <c r="J274" i="18"/>
  <c r="I274" i="18"/>
  <c r="H274" i="18"/>
  <c r="G274" i="18"/>
  <c r="F274" i="18"/>
  <c r="J255" i="18"/>
  <c r="I255" i="18"/>
  <c r="H255" i="18"/>
  <c r="G255" i="18"/>
  <c r="F255" i="18"/>
  <c r="J102" i="18"/>
  <c r="I102" i="18"/>
  <c r="H102" i="18"/>
  <c r="G102" i="18"/>
  <c r="F102" i="18"/>
  <c r="J43" i="18"/>
  <c r="I43" i="18"/>
  <c r="H43" i="18"/>
  <c r="F43" i="18"/>
  <c r="G43" i="18"/>
  <c r="J6" i="18"/>
  <c r="I6" i="18"/>
  <c r="H6" i="18"/>
  <c r="G6" i="18"/>
  <c r="F6" i="18"/>
  <c r="I81" i="18"/>
  <c r="J81" i="18"/>
  <c r="H81" i="18"/>
  <c r="G81" i="18"/>
  <c r="F81" i="18"/>
  <c r="J31" i="18"/>
  <c r="I31" i="18"/>
  <c r="G31" i="18"/>
  <c r="H31" i="18"/>
  <c r="F31" i="18"/>
  <c r="J20" i="18"/>
  <c r="I20" i="18"/>
  <c r="H20" i="18"/>
  <c r="G20" i="18"/>
  <c r="F20" i="18"/>
  <c r="Q281" i="18"/>
  <c r="O264" i="18"/>
  <c r="J261" i="18"/>
  <c r="I261" i="18"/>
  <c r="H261" i="18"/>
  <c r="G261" i="18"/>
  <c r="F261" i="18"/>
  <c r="N244" i="18"/>
  <c r="Q231" i="18"/>
  <c r="O199" i="18"/>
  <c r="N226" i="18"/>
  <c r="J224" i="18"/>
  <c r="H224" i="18"/>
  <c r="G224" i="18"/>
  <c r="F224" i="18"/>
  <c r="I224" i="18"/>
  <c r="O184" i="18"/>
  <c r="O152" i="18"/>
  <c r="I189" i="18"/>
  <c r="J189" i="18"/>
  <c r="H189" i="18"/>
  <c r="G189" i="18"/>
  <c r="F189" i="18"/>
  <c r="P200" i="18"/>
  <c r="I193" i="18"/>
  <c r="H193" i="18"/>
  <c r="G193" i="18"/>
  <c r="F193" i="18"/>
  <c r="J193" i="18"/>
  <c r="P206" i="18"/>
  <c r="J191" i="18"/>
  <c r="I191" i="18"/>
  <c r="F191" i="18"/>
  <c r="H191" i="18"/>
  <c r="G191" i="18"/>
  <c r="Q155" i="18"/>
  <c r="J183" i="18"/>
  <c r="I183" i="18"/>
  <c r="H183" i="18"/>
  <c r="G183" i="18"/>
  <c r="F183" i="18"/>
  <c r="Q157" i="18"/>
  <c r="O133" i="18"/>
  <c r="J130" i="18"/>
  <c r="I130" i="18"/>
  <c r="H130" i="18"/>
  <c r="G130" i="18"/>
  <c r="F130" i="18"/>
  <c r="Q123" i="18"/>
  <c r="P284" i="18"/>
  <c r="N281" i="18"/>
  <c r="Q269" i="18"/>
  <c r="P263" i="18"/>
  <c r="Q255" i="18"/>
  <c r="N233" i="18"/>
  <c r="P227" i="18"/>
  <c r="J238" i="18"/>
  <c r="I238" i="18"/>
  <c r="H238" i="18"/>
  <c r="G238" i="18"/>
  <c r="F238" i="18"/>
  <c r="O188" i="18"/>
  <c r="Q236" i="18"/>
  <c r="Q228" i="18"/>
  <c r="J214" i="18"/>
  <c r="I214" i="18"/>
  <c r="H214" i="18"/>
  <c r="G214" i="18"/>
  <c r="F214" i="18"/>
  <c r="N200" i="18"/>
  <c r="N206" i="18"/>
  <c r="Q163" i="18"/>
  <c r="N171" i="18"/>
  <c r="Q165" i="18"/>
  <c r="J165" i="18"/>
  <c r="I165" i="18"/>
  <c r="H165" i="18"/>
  <c r="G165" i="18"/>
  <c r="F165" i="18"/>
  <c r="J143" i="18"/>
  <c r="I143" i="18"/>
  <c r="H143" i="18"/>
  <c r="G143" i="18"/>
  <c r="F143" i="18"/>
  <c r="N133" i="18"/>
  <c r="P121" i="18"/>
  <c r="J110" i="18"/>
  <c r="I110" i="18"/>
  <c r="H110" i="18"/>
  <c r="G110" i="18"/>
  <c r="F110" i="18"/>
  <c r="J159" i="18"/>
  <c r="I159" i="18"/>
  <c r="H159" i="18"/>
  <c r="G159" i="18"/>
  <c r="F159" i="18"/>
  <c r="J139" i="18"/>
  <c r="I139" i="18"/>
  <c r="H139" i="18"/>
  <c r="F139" i="18"/>
  <c r="G139" i="18"/>
  <c r="P128" i="18"/>
  <c r="J116" i="18"/>
  <c r="I116" i="18"/>
  <c r="H116" i="18"/>
  <c r="G116" i="18"/>
  <c r="F116" i="18"/>
  <c r="Q101" i="18"/>
  <c r="Q85" i="18"/>
  <c r="O81" i="18"/>
  <c r="O77" i="18"/>
  <c r="O73" i="18"/>
  <c r="Q61" i="18"/>
  <c r="Q11" i="18"/>
  <c r="J122" i="18"/>
  <c r="I122" i="18"/>
  <c r="H122" i="18"/>
  <c r="G122" i="18"/>
  <c r="F122" i="18"/>
  <c r="O37" i="18"/>
  <c r="O29" i="18"/>
  <c r="Q13" i="18"/>
  <c r="J3" i="18"/>
  <c r="I3" i="18"/>
  <c r="H3" i="18"/>
  <c r="G3" i="18"/>
  <c r="F3" i="18"/>
  <c r="P7" i="18"/>
  <c r="N267" i="18"/>
  <c r="J277" i="18"/>
  <c r="I277" i="18"/>
  <c r="H277" i="18"/>
  <c r="G277" i="18"/>
  <c r="F277" i="18"/>
  <c r="I273" i="18"/>
  <c r="J273" i="18"/>
  <c r="H273" i="18"/>
  <c r="G273" i="18"/>
  <c r="F273" i="18"/>
  <c r="J258" i="18"/>
  <c r="I258" i="18"/>
  <c r="H258" i="18"/>
  <c r="G258" i="18"/>
  <c r="F258" i="18"/>
  <c r="J268" i="18"/>
  <c r="H268" i="18"/>
  <c r="I268" i="18"/>
  <c r="G268" i="18"/>
  <c r="F268" i="18"/>
  <c r="Q263" i="18"/>
  <c r="Q261" i="18"/>
  <c r="N261" i="18"/>
  <c r="P240" i="18"/>
  <c r="J235" i="18"/>
  <c r="I235" i="18"/>
  <c r="H235" i="18"/>
  <c r="G235" i="18"/>
  <c r="F235" i="18"/>
  <c r="I233" i="18"/>
  <c r="J233" i="18"/>
  <c r="H233" i="18"/>
  <c r="G233" i="18"/>
  <c r="F233" i="18"/>
  <c r="J227" i="18"/>
  <c r="I227" i="18"/>
  <c r="G227" i="18"/>
  <c r="F227" i="18"/>
  <c r="H227" i="18"/>
  <c r="O211" i="18"/>
  <c r="O203" i="18"/>
  <c r="N238" i="18"/>
  <c r="J232" i="18"/>
  <c r="H232" i="18"/>
  <c r="I232" i="18"/>
  <c r="G232" i="18"/>
  <c r="F232" i="18"/>
  <c r="O212" i="18"/>
  <c r="Q230" i="18"/>
  <c r="O218" i="18"/>
  <c r="Q210" i="18"/>
  <c r="Q208" i="18"/>
  <c r="Q206" i="18"/>
  <c r="Q204" i="18"/>
  <c r="Q200" i="18"/>
  <c r="Q198" i="18"/>
  <c r="O192" i="18"/>
  <c r="J236" i="18"/>
  <c r="H236" i="18"/>
  <c r="I236" i="18"/>
  <c r="G236" i="18"/>
  <c r="F236" i="18"/>
  <c r="O222" i="18"/>
  <c r="J234" i="18"/>
  <c r="I234" i="18"/>
  <c r="H234" i="18"/>
  <c r="G234" i="18"/>
  <c r="F234" i="18"/>
  <c r="N234" i="18"/>
  <c r="I185" i="18"/>
  <c r="J185" i="18"/>
  <c r="H185" i="18"/>
  <c r="G185" i="18"/>
  <c r="F185" i="18"/>
  <c r="Q175" i="18"/>
  <c r="Q195" i="18"/>
  <c r="P191" i="18"/>
  <c r="Q173" i="18"/>
  <c r="O169" i="18"/>
  <c r="I157" i="18"/>
  <c r="J157" i="18"/>
  <c r="H157" i="18"/>
  <c r="G157" i="18"/>
  <c r="F157" i="18"/>
  <c r="N151" i="18"/>
  <c r="J149" i="18"/>
  <c r="I149" i="18"/>
  <c r="H149" i="18"/>
  <c r="G149" i="18"/>
  <c r="F149" i="18"/>
  <c r="N139" i="18"/>
  <c r="J133" i="18"/>
  <c r="I133" i="18"/>
  <c r="H133" i="18"/>
  <c r="G133" i="18"/>
  <c r="F133" i="18"/>
  <c r="J179" i="18"/>
  <c r="I179" i="18"/>
  <c r="H179" i="18"/>
  <c r="G179" i="18"/>
  <c r="F179" i="18"/>
  <c r="J167" i="18"/>
  <c r="I167" i="18"/>
  <c r="H167" i="18"/>
  <c r="G167" i="18"/>
  <c r="F167" i="18"/>
  <c r="O159" i="18"/>
  <c r="J128" i="18"/>
  <c r="H128" i="18"/>
  <c r="G128" i="18"/>
  <c r="I128" i="18"/>
  <c r="F128" i="18"/>
  <c r="J124" i="18"/>
  <c r="H124" i="18"/>
  <c r="I124" i="18"/>
  <c r="G124" i="18"/>
  <c r="F124" i="18"/>
  <c r="J112" i="18"/>
  <c r="H112" i="18"/>
  <c r="I112" i="18"/>
  <c r="G112" i="18"/>
  <c r="F112" i="18"/>
  <c r="Q105" i="18"/>
  <c r="O101" i="18"/>
  <c r="Q89" i="18"/>
  <c r="O85" i="18"/>
  <c r="Q79" i="18"/>
  <c r="Q75" i="18"/>
  <c r="Q65" i="18"/>
  <c r="O61" i="18"/>
  <c r="O57" i="18"/>
  <c r="Q51" i="18"/>
  <c r="J126" i="18"/>
  <c r="I126" i="18"/>
  <c r="H126" i="18"/>
  <c r="G126" i="18"/>
  <c r="F126" i="18"/>
  <c r="Q122" i="18"/>
  <c r="Q45" i="18"/>
  <c r="O13" i="18"/>
  <c r="N7" i="18"/>
  <c r="O3" i="18"/>
  <c r="O267" i="18"/>
  <c r="I241" i="18"/>
  <c r="H241" i="18"/>
  <c r="J241" i="18"/>
  <c r="G241" i="18"/>
  <c r="F241" i="18"/>
  <c r="I201" i="18"/>
  <c r="J201" i="18"/>
  <c r="H201" i="18"/>
  <c r="G201" i="18"/>
  <c r="F201" i="18"/>
  <c r="I265" i="18"/>
  <c r="J265" i="18"/>
  <c r="H265" i="18"/>
  <c r="G265" i="18"/>
  <c r="F265" i="18"/>
  <c r="J256" i="18"/>
  <c r="H256" i="18"/>
  <c r="I256" i="18"/>
  <c r="G256" i="18"/>
  <c r="F256" i="18"/>
  <c r="J252" i="18"/>
  <c r="H252" i="18"/>
  <c r="I252" i="18"/>
  <c r="G252" i="18"/>
  <c r="F252" i="18"/>
  <c r="J213" i="18"/>
  <c r="I213" i="18"/>
  <c r="H213" i="18"/>
  <c r="G213" i="18"/>
  <c r="F213" i="18"/>
  <c r="J190" i="18"/>
  <c r="I190" i="18"/>
  <c r="H190" i="18"/>
  <c r="G190" i="18"/>
  <c r="F190" i="18"/>
  <c r="J176" i="18"/>
  <c r="H176" i="18"/>
  <c r="I176" i="18"/>
  <c r="G176" i="18"/>
  <c r="F176" i="18"/>
  <c r="I153" i="18"/>
  <c r="J153" i="18"/>
  <c r="H153" i="18"/>
  <c r="G153" i="18"/>
  <c r="F153" i="18"/>
  <c r="J138" i="18"/>
  <c r="I138" i="18"/>
  <c r="H138" i="18"/>
  <c r="G138" i="18"/>
  <c r="F138" i="18"/>
  <c r="J131" i="18"/>
  <c r="I131" i="18"/>
  <c r="H131" i="18"/>
  <c r="G131" i="18"/>
  <c r="F131" i="18"/>
  <c r="J91" i="18"/>
  <c r="I91" i="18"/>
  <c r="H91" i="18"/>
  <c r="F91" i="18"/>
  <c r="G91" i="18"/>
  <c r="I73" i="18"/>
  <c r="J73" i="18"/>
  <c r="H73" i="18"/>
  <c r="G73" i="18"/>
  <c r="F73" i="18"/>
  <c r="J64" i="18"/>
  <c r="H64" i="18"/>
  <c r="G64" i="18"/>
  <c r="I64" i="18"/>
  <c r="F64" i="18"/>
  <c r="J155" i="18"/>
  <c r="I155" i="18"/>
  <c r="H155" i="18"/>
  <c r="G155" i="18"/>
  <c r="F155" i="18"/>
  <c r="J94" i="18"/>
  <c r="I94" i="18"/>
  <c r="H94" i="18"/>
  <c r="G94" i="18"/>
  <c r="F94" i="18"/>
  <c r="J26" i="18"/>
  <c r="I26" i="18"/>
  <c r="H26" i="18"/>
  <c r="G26" i="18"/>
  <c r="F26" i="18"/>
  <c r="J163" i="18"/>
  <c r="I163" i="18"/>
  <c r="H163" i="18"/>
  <c r="G163" i="18"/>
  <c r="F163" i="18"/>
  <c r="J52" i="18"/>
  <c r="I52" i="18"/>
  <c r="H52" i="18"/>
  <c r="G52" i="18"/>
  <c r="F52" i="18"/>
  <c r="J18" i="18"/>
  <c r="I18" i="18"/>
  <c r="H18" i="18"/>
  <c r="G18" i="18"/>
  <c r="F18" i="18"/>
  <c r="J87" i="18"/>
  <c r="I87" i="18"/>
  <c r="H87" i="18"/>
  <c r="G87" i="18"/>
  <c r="F87" i="18"/>
  <c r="J70" i="18"/>
  <c r="I70" i="18"/>
  <c r="H70" i="18"/>
  <c r="G70" i="18"/>
  <c r="F70" i="18"/>
  <c r="J12" i="18"/>
  <c r="I12" i="18"/>
  <c r="H12" i="18"/>
  <c r="G12" i="18"/>
  <c r="F12" i="18"/>
  <c r="N280" i="18"/>
  <c r="Q280" i="18"/>
  <c r="Q272" i="18"/>
  <c r="N272" i="18"/>
  <c r="P266" i="18"/>
  <c r="Q266" i="18"/>
  <c r="N266" i="18"/>
  <c r="O266" i="18"/>
  <c r="P258" i="18"/>
  <c r="Q258" i="18"/>
  <c r="N258" i="18"/>
  <c r="P254" i="18"/>
  <c r="N254" i="18"/>
  <c r="Q254" i="18"/>
  <c r="P245" i="18"/>
  <c r="Q245" i="18"/>
  <c r="N245" i="18"/>
  <c r="P246" i="18"/>
  <c r="N246" i="18"/>
  <c r="P238" i="18"/>
  <c r="P226" i="18"/>
  <c r="O233" i="18"/>
  <c r="P222" i="18"/>
  <c r="P228" i="18"/>
  <c r="P131" i="18"/>
  <c r="N131" i="18"/>
  <c r="Q131" i="18"/>
  <c r="P127" i="18"/>
  <c r="Q127" i="18"/>
  <c r="N127" i="18"/>
  <c r="N191" i="18"/>
  <c r="Q187" i="18"/>
  <c r="P173" i="18"/>
  <c r="N173" i="18"/>
  <c r="O153" i="18"/>
  <c r="Q153" i="18"/>
  <c r="O147" i="18"/>
  <c r="N145" i="18"/>
  <c r="N137" i="18"/>
  <c r="N163" i="18"/>
  <c r="N155" i="18"/>
  <c r="N147" i="18"/>
  <c r="O171" i="18"/>
  <c r="O143" i="18"/>
  <c r="O130" i="18"/>
  <c r="P130" i="18"/>
  <c r="Q110" i="18"/>
  <c r="P110" i="18"/>
  <c r="N110" i="18"/>
  <c r="Q108" i="18"/>
  <c r="P108" i="18"/>
  <c r="N108" i="18"/>
  <c r="Q104" i="18"/>
  <c r="P104" i="18"/>
  <c r="N104" i="18"/>
  <c r="Q100" i="18"/>
  <c r="P100" i="18"/>
  <c r="N100" i="18"/>
  <c r="Q96" i="18"/>
  <c r="P96" i="18"/>
  <c r="N96" i="18"/>
  <c r="Q92" i="18"/>
  <c r="P92" i="18"/>
  <c r="N92" i="18"/>
  <c r="Q88" i="18"/>
  <c r="P88" i="18"/>
  <c r="N88" i="18"/>
  <c r="Q84" i="18"/>
  <c r="P84" i="18"/>
  <c r="N84" i="18"/>
  <c r="Q76" i="18"/>
  <c r="P76" i="18"/>
  <c r="N76" i="18"/>
  <c r="Q72" i="18"/>
  <c r="N72" i="18"/>
  <c r="P72" i="18"/>
  <c r="Q68" i="18"/>
  <c r="N68" i="18"/>
  <c r="P68" i="18"/>
  <c r="Q64" i="18"/>
  <c r="N64" i="18"/>
  <c r="P64" i="18"/>
  <c r="Q56" i="18"/>
  <c r="N56" i="18"/>
  <c r="P56" i="18"/>
  <c r="Q52" i="18"/>
  <c r="N52" i="18"/>
  <c r="P52" i="18"/>
  <c r="Q120" i="18"/>
  <c r="O120" i="18"/>
  <c r="Q46" i="18"/>
  <c r="N46" i="18"/>
  <c r="P46" i="18"/>
  <c r="Q38" i="18"/>
  <c r="N38" i="18"/>
  <c r="P38" i="18"/>
  <c r="Q30" i="18"/>
  <c r="N30" i="18"/>
  <c r="P30" i="18"/>
  <c r="Q22" i="18"/>
  <c r="N22" i="18"/>
  <c r="P22" i="18"/>
  <c r="Q14" i="18"/>
  <c r="N14" i="18"/>
  <c r="P14" i="18"/>
  <c r="Q126" i="18"/>
  <c r="N47" i="18"/>
  <c r="P47" i="18"/>
  <c r="N39" i="18"/>
  <c r="P39" i="18"/>
  <c r="N23" i="18"/>
  <c r="P23" i="18"/>
  <c r="N15" i="18"/>
  <c r="P15" i="18"/>
  <c r="P115" i="18"/>
  <c r="O123" i="18"/>
  <c r="P111" i="18"/>
  <c r="O208" i="18"/>
  <c r="N198" i="18"/>
  <c r="P73" i="18"/>
  <c r="P51" i="18"/>
  <c r="P223" i="18"/>
  <c r="N223" i="18"/>
  <c r="Q223" i="18"/>
  <c r="P215" i="18"/>
  <c r="N215" i="18"/>
  <c r="Q215" i="18"/>
  <c r="P207" i="18"/>
  <c r="N207" i="18"/>
  <c r="Q207" i="18"/>
  <c r="P199" i="18"/>
  <c r="N199" i="18"/>
  <c r="Q199" i="18"/>
  <c r="P275" i="18"/>
  <c r="O253" i="18"/>
  <c r="N253" i="18"/>
  <c r="P261" i="18"/>
  <c r="N220" i="18"/>
  <c r="N227" i="18"/>
  <c r="O287" i="18"/>
  <c r="O275" i="18"/>
  <c r="O258" i="18"/>
  <c r="O254" i="18"/>
  <c r="P265" i="18"/>
  <c r="N257" i="18"/>
  <c r="Q253" i="18"/>
  <c r="O245" i="18"/>
  <c r="O261" i="18"/>
  <c r="P250" i="18"/>
  <c r="O248" i="18"/>
  <c r="P257" i="18"/>
  <c r="Q235" i="18"/>
  <c r="Q227" i="18"/>
  <c r="P225" i="18"/>
  <c r="Q225" i="18"/>
  <c r="N225" i="18"/>
  <c r="P221" i="18"/>
  <c r="Q221" i="18"/>
  <c r="N221" i="18"/>
  <c r="P217" i="18"/>
  <c r="Q217" i="18"/>
  <c r="N217" i="18"/>
  <c r="P213" i="18"/>
  <c r="Q213" i="18"/>
  <c r="N213" i="18"/>
  <c r="P209" i="18"/>
  <c r="N209" i="18"/>
  <c r="Q209" i="18"/>
  <c r="P205" i="18"/>
  <c r="N205" i="18"/>
  <c r="Q205" i="18"/>
  <c r="P201" i="18"/>
  <c r="N201" i="18"/>
  <c r="Q201" i="18"/>
  <c r="P197" i="18"/>
  <c r="N197" i="18"/>
  <c r="Q197" i="18"/>
  <c r="O220" i="18"/>
  <c r="O235" i="18"/>
  <c r="O230" i="18"/>
  <c r="N230" i="18"/>
  <c r="Q226" i="18"/>
  <c r="O236" i="18"/>
  <c r="N236" i="18"/>
  <c r="O224" i="18"/>
  <c r="N216" i="18"/>
  <c r="N196" i="18"/>
  <c r="O227" i="18"/>
  <c r="P204" i="18"/>
  <c r="O193" i="18"/>
  <c r="Q193" i="18"/>
  <c r="O185" i="18"/>
  <c r="Q185" i="18"/>
  <c r="O131" i="18"/>
  <c r="O127" i="18"/>
  <c r="O191" i="18"/>
  <c r="P187" i="18"/>
  <c r="O177" i="18"/>
  <c r="P169" i="18"/>
  <c r="O161" i="18"/>
  <c r="Q161" i="18"/>
  <c r="O155" i="18"/>
  <c r="N153" i="18"/>
  <c r="P145" i="18"/>
  <c r="P137" i="18"/>
  <c r="P218" i="18"/>
  <c r="Q177" i="18"/>
  <c r="P163" i="18"/>
  <c r="P155" i="18"/>
  <c r="P147" i="18"/>
  <c r="Q171" i="18"/>
  <c r="N149" i="18"/>
  <c r="N143" i="18"/>
  <c r="Q125" i="18"/>
  <c r="Q117" i="18"/>
  <c r="N111" i="18"/>
  <c r="O110" i="18"/>
  <c r="O108" i="18"/>
  <c r="O104" i="18"/>
  <c r="O100" i="18"/>
  <c r="O96" i="18"/>
  <c r="O92" i="18"/>
  <c r="O88" i="18"/>
  <c r="O84" i="18"/>
  <c r="O76" i="18"/>
  <c r="O72" i="18"/>
  <c r="O68" i="18"/>
  <c r="O64" i="18"/>
  <c r="O56" i="18"/>
  <c r="O52" i="18"/>
  <c r="N167" i="18"/>
  <c r="O167" i="18"/>
  <c r="P159" i="18"/>
  <c r="P139" i="18"/>
  <c r="Q128" i="18"/>
  <c r="P120" i="18"/>
  <c r="Q116" i="18"/>
  <c r="O116" i="18"/>
  <c r="N112" i="18"/>
  <c r="N107" i="18"/>
  <c r="P107" i="18"/>
  <c r="N103" i="18"/>
  <c r="P103" i="18"/>
  <c r="N99" i="18"/>
  <c r="P99" i="18"/>
  <c r="N95" i="18"/>
  <c r="P95" i="18"/>
  <c r="N91" i="18"/>
  <c r="P91" i="18"/>
  <c r="N87" i="18"/>
  <c r="P87" i="18"/>
  <c r="N83" i="18"/>
  <c r="P83" i="18"/>
  <c r="N71" i="18"/>
  <c r="N67" i="18"/>
  <c r="P63" i="18"/>
  <c r="Q48" i="18"/>
  <c r="P48" i="18"/>
  <c r="N48" i="18"/>
  <c r="O46" i="18"/>
  <c r="Q40" i="18"/>
  <c r="P40" i="18"/>
  <c r="N40" i="18"/>
  <c r="O38" i="18"/>
  <c r="Q32" i="18"/>
  <c r="P32" i="18"/>
  <c r="N32" i="18"/>
  <c r="O30" i="18"/>
  <c r="Q24" i="18"/>
  <c r="P24" i="18"/>
  <c r="N24" i="18"/>
  <c r="O22" i="18"/>
  <c r="O14" i="18"/>
  <c r="Q8" i="18"/>
  <c r="P8" i="18"/>
  <c r="N8" i="18"/>
  <c r="N126" i="18"/>
  <c r="N118" i="18"/>
  <c r="P114" i="18"/>
  <c r="O47" i="18"/>
  <c r="N41" i="18"/>
  <c r="P41" i="18"/>
  <c r="O39" i="18"/>
  <c r="O23" i="18"/>
  <c r="N17" i="18"/>
  <c r="P17" i="18"/>
  <c r="O15" i="18"/>
  <c r="N9" i="18"/>
  <c r="P9" i="18"/>
  <c r="N3" i="18"/>
  <c r="N73" i="18"/>
  <c r="Q5" i="18"/>
  <c r="Q3" i="18"/>
  <c r="O145" i="18"/>
  <c r="P123" i="18"/>
  <c r="P5" i="18"/>
  <c r="N240" i="18"/>
  <c r="N288" i="18"/>
  <c r="Q288" i="18"/>
  <c r="P230" i="18"/>
  <c r="P287" i="18"/>
  <c r="P279" i="18"/>
  <c r="P271" i="18"/>
  <c r="N286" i="18"/>
  <c r="Q286" i="18"/>
  <c r="O280" i="18"/>
  <c r="Q278" i="18"/>
  <c r="Q275" i="18"/>
  <c r="O272" i="18"/>
  <c r="Q270" i="18"/>
  <c r="N270" i="18"/>
  <c r="P249" i="18"/>
  <c r="Q249" i="18"/>
  <c r="N249" i="18"/>
  <c r="N241" i="18"/>
  <c r="Q241" i="18"/>
  <c r="P241" i="18"/>
  <c r="N250" i="18"/>
  <c r="N248" i="18"/>
  <c r="P192" i="18"/>
  <c r="N192" i="18"/>
  <c r="Q192" i="18"/>
  <c r="P188" i="18"/>
  <c r="N188" i="18"/>
  <c r="Q188" i="18"/>
  <c r="P184" i="18"/>
  <c r="N184" i="18"/>
  <c r="Q184" i="18"/>
  <c r="P180" i="18"/>
  <c r="Q180" i="18"/>
  <c r="N180" i="18"/>
  <c r="P176" i="18"/>
  <c r="Q176" i="18"/>
  <c r="N176" i="18"/>
  <c r="P172" i="18"/>
  <c r="Q172" i="18"/>
  <c r="N172" i="18"/>
  <c r="Q168" i="18"/>
  <c r="P168" i="18"/>
  <c r="N168" i="18"/>
  <c r="P164" i="18"/>
  <c r="N164" i="18"/>
  <c r="Q164" i="18"/>
  <c r="Q160" i="18"/>
  <c r="P160" i="18"/>
  <c r="N160" i="18"/>
  <c r="P156" i="18"/>
  <c r="N156" i="18"/>
  <c r="Q156" i="18"/>
  <c r="Q152" i="18"/>
  <c r="P152" i="18"/>
  <c r="N152" i="18"/>
  <c r="P148" i="18"/>
  <c r="N148" i="18"/>
  <c r="Q148" i="18"/>
  <c r="Q144" i="18"/>
  <c r="P144" i="18"/>
  <c r="N144" i="18"/>
  <c r="P136" i="18"/>
  <c r="Q136" i="18"/>
  <c r="N136" i="18"/>
  <c r="O279" i="18"/>
  <c r="O271" i="18"/>
  <c r="N279" i="18"/>
  <c r="N271" i="18"/>
  <c r="N284" i="18"/>
  <c r="Q284" i="18"/>
  <c r="Q276" i="18"/>
  <c r="N276" i="18"/>
  <c r="O270" i="18"/>
  <c r="P281" i="18"/>
  <c r="P277" i="18"/>
  <c r="P273" i="18"/>
  <c r="P288" i="18"/>
  <c r="P280" i="18"/>
  <c r="N277" i="18"/>
  <c r="P272" i="18"/>
  <c r="Q287" i="18"/>
  <c r="O284" i="18"/>
  <c r="Q282" i="18"/>
  <c r="Q279" i="18"/>
  <c r="O276" i="18"/>
  <c r="Q274" i="18"/>
  <c r="N274" i="18"/>
  <c r="Q271" i="18"/>
  <c r="P264" i="18"/>
  <c r="Q264" i="18"/>
  <c r="N264" i="18"/>
  <c r="P260" i="18"/>
  <c r="N260" i="18"/>
  <c r="Q260" i="18"/>
  <c r="P256" i="18"/>
  <c r="Q256" i="18"/>
  <c r="N256" i="18"/>
  <c r="N252" i="18"/>
  <c r="P252" i="18"/>
  <c r="Q252" i="18"/>
  <c r="N265" i="18"/>
  <c r="P253" i="18"/>
  <c r="N243" i="18"/>
  <c r="Q243" i="18"/>
  <c r="P243" i="18"/>
  <c r="N239" i="18"/>
  <c r="Q239" i="18"/>
  <c r="P239" i="18"/>
  <c r="O250" i="18"/>
  <c r="P244" i="18"/>
  <c r="P259" i="18"/>
  <c r="N259" i="18"/>
  <c r="P235" i="18"/>
  <c r="Q233" i="18"/>
  <c r="O225" i="18"/>
  <c r="O221" i="18"/>
  <c r="O217" i="18"/>
  <c r="O213" i="18"/>
  <c r="O209" i="18"/>
  <c r="O205" i="18"/>
  <c r="O201" i="18"/>
  <c r="O197" i="18"/>
  <c r="Q246" i="18"/>
  <c r="O238" i="18"/>
  <c r="O232" i="18"/>
  <c r="N232" i="18"/>
  <c r="Q220" i="18"/>
  <c r="O226" i="18"/>
  <c r="P224" i="18"/>
  <c r="P216" i="18"/>
  <c r="P194" i="18"/>
  <c r="N194" i="18"/>
  <c r="Q194" i="18"/>
  <c r="P190" i="18"/>
  <c r="N190" i="18"/>
  <c r="Q190" i="18"/>
  <c r="P186" i="18"/>
  <c r="N186" i="18"/>
  <c r="Q186" i="18"/>
  <c r="P178" i="18"/>
  <c r="N178" i="18"/>
  <c r="Q178" i="18"/>
  <c r="P174" i="18"/>
  <c r="N174" i="18"/>
  <c r="Q174" i="18"/>
  <c r="P170" i="18"/>
  <c r="N170" i="18"/>
  <c r="Q170" i="18"/>
  <c r="Q166" i="18"/>
  <c r="P166" i="18"/>
  <c r="N166" i="18"/>
  <c r="N162" i="18"/>
  <c r="Q162" i="18"/>
  <c r="P162" i="18"/>
  <c r="Q158" i="18"/>
  <c r="P158" i="18"/>
  <c r="N158" i="18"/>
  <c r="N154" i="18"/>
  <c r="Q154" i="18"/>
  <c r="P154" i="18"/>
  <c r="Q150" i="18"/>
  <c r="P150" i="18"/>
  <c r="N150" i="18"/>
  <c r="N146" i="18"/>
  <c r="Q146" i="18"/>
  <c r="P146" i="18"/>
  <c r="Q142" i="18"/>
  <c r="N142" i="18"/>
  <c r="P142" i="18"/>
  <c r="N138" i="18"/>
  <c r="P138" i="18"/>
  <c r="Q138" i="18"/>
  <c r="Q134" i="18"/>
  <c r="N134" i="18"/>
  <c r="P134" i="18"/>
  <c r="N222" i="18"/>
  <c r="P210" i="18"/>
  <c r="O228" i="18"/>
  <c r="N228" i="18"/>
  <c r="N204" i="18"/>
  <c r="P193" i="18"/>
  <c r="P185" i="18"/>
  <c r="P175" i="18"/>
  <c r="P129" i="18"/>
  <c r="Q129" i="18"/>
  <c r="N129" i="18"/>
  <c r="N187" i="18"/>
  <c r="O163" i="18"/>
  <c r="N161" i="18"/>
  <c r="P153" i="18"/>
  <c r="N157" i="18"/>
  <c r="O149" i="18"/>
  <c r="P149" i="18"/>
  <c r="P143" i="18"/>
  <c r="P133" i="18"/>
  <c r="Q130" i="18"/>
  <c r="N125" i="18"/>
  <c r="N117" i="18"/>
  <c r="Q115" i="18"/>
  <c r="Q102" i="18"/>
  <c r="P102" i="18"/>
  <c r="N102" i="18"/>
  <c r="Q98" i="18"/>
  <c r="P98" i="18"/>
  <c r="N98" i="18"/>
  <c r="Q94" i="18"/>
  <c r="P94" i="18"/>
  <c r="N94" i="18"/>
  <c r="Q90" i="18"/>
  <c r="P90" i="18"/>
  <c r="N90" i="18"/>
  <c r="Q86" i="18"/>
  <c r="P86" i="18"/>
  <c r="N86" i="18"/>
  <c r="Q82" i="18"/>
  <c r="P82" i="18"/>
  <c r="N82" i="18"/>
  <c r="Q78" i="18"/>
  <c r="P78" i="18"/>
  <c r="N78" i="18"/>
  <c r="Q74" i="18"/>
  <c r="N74" i="18"/>
  <c r="P74" i="18"/>
  <c r="Q70" i="18"/>
  <c r="N70" i="18"/>
  <c r="P70" i="18"/>
  <c r="Q62" i="18"/>
  <c r="N62" i="18"/>
  <c r="P62" i="18"/>
  <c r="Q58" i="18"/>
  <c r="N58" i="18"/>
  <c r="P58" i="18"/>
  <c r="Q54" i="18"/>
  <c r="N54" i="18"/>
  <c r="P54" i="18"/>
  <c r="P167" i="18"/>
  <c r="P132" i="18"/>
  <c r="N128" i="18"/>
  <c r="Q118" i="18"/>
  <c r="P116" i="18"/>
  <c r="Q112" i="18"/>
  <c r="O112" i="18"/>
  <c r="O107" i="18"/>
  <c r="O103" i="18"/>
  <c r="O99" i="18"/>
  <c r="O95" i="18"/>
  <c r="O91" i="18"/>
  <c r="O87" i="18"/>
  <c r="O83" i="18"/>
  <c r="O71" i="18"/>
  <c r="O67" i="18"/>
  <c r="O63" i="18"/>
  <c r="O55" i="18"/>
  <c r="O51" i="18"/>
  <c r="N50" i="18"/>
  <c r="P50" i="18"/>
  <c r="O48" i="18"/>
  <c r="Q42" i="18"/>
  <c r="P42" i="18"/>
  <c r="N42" i="18"/>
  <c r="O40" i="18"/>
  <c r="O32" i="18"/>
  <c r="O24" i="18"/>
  <c r="Q18" i="18"/>
  <c r="P18" i="18"/>
  <c r="N18" i="18"/>
  <c r="Q10" i="18"/>
  <c r="P10" i="18"/>
  <c r="N10" i="18"/>
  <c r="O8" i="18"/>
  <c r="O126" i="18"/>
  <c r="O118" i="18"/>
  <c r="Q107" i="18"/>
  <c r="Q103" i="18"/>
  <c r="Q99" i="18"/>
  <c r="Q95" i="18"/>
  <c r="Q91" i="18"/>
  <c r="Q87" i="18"/>
  <c r="Q83" i="18"/>
  <c r="Q71" i="18"/>
  <c r="Q69" i="18"/>
  <c r="Q67" i="18"/>
  <c r="Q63" i="18"/>
  <c r="Q57" i="18"/>
  <c r="Q55" i="18"/>
  <c r="P43" i="18"/>
  <c r="N43" i="18"/>
  <c r="O41" i="18"/>
  <c r="P35" i="18"/>
  <c r="N35" i="18"/>
  <c r="P27" i="18"/>
  <c r="N27" i="18"/>
  <c r="P19" i="18"/>
  <c r="N19" i="18"/>
  <c r="O17" i="18"/>
  <c r="P11" i="18"/>
  <c r="N11" i="18"/>
  <c r="O9" i="18"/>
  <c r="N5" i="18"/>
  <c r="N55" i="18"/>
  <c r="O125" i="18"/>
  <c r="N69" i="18"/>
  <c r="O117" i="18"/>
  <c r="P3" i="18"/>
  <c r="O240" i="18"/>
  <c r="O198" i="18"/>
  <c r="P71" i="18"/>
  <c r="P67" i="18"/>
  <c r="P219" i="18"/>
  <c r="Q219" i="18"/>
  <c r="N219" i="18"/>
  <c r="P211" i="18"/>
  <c r="Q211" i="18"/>
  <c r="N211" i="18"/>
  <c r="P203" i="18"/>
  <c r="N203" i="18"/>
  <c r="Q203" i="18"/>
  <c r="Q137" i="18"/>
  <c r="N130" i="18"/>
  <c r="Q159" i="18"/>
  <c r="O151" i="18"/>
  <c r="O139" i="18"/>
  <c r="N132" i="18"/>
  <c r="N120" i="18"/>
  <c r="Q114" i="18"/>
  <c r="N109" i="18"/>
  <c r="P109" i="18"/>
  <c r="N105" i="18"/>
  <c r="P105" i="18"/>
  <c r="N101" i="18"/>
  <c r="P101" i="18"/>
  <c r="N89" i="18"/>
  <c r="P89" i="18"/>
  <c r="N85" i="18"/>
  <c r="P85" i="18"/>
  <c r="N81" i="18"/>
  <c r="P81" i="18"/>
  <c r="N77" i="18"/>
  <c r="P77" i="18"/>
  <c r="P65" i="18"/>
  <c r="N65" i="18"/>
  <c r="P61" i="18"/>
  <c r="N61" i="18"/>
  <c r="Q47" i="18"/>
  <c r="Q44" i="18"/>
  <c r="N44" i="18"/>
  <c r="P44" i="18"/>
  <c r="Q39" i="18"/>
  <c r="Q36" i="18"/>
  <c r="N36" i="18"/>
  <c r="P36" i="18"/>
  <c r="Q28" i="18"/>
  <c r="N28" i="18"/>
  <c r="P28" i="18"/>
  <c r="Q23" i="18"/>
  <c r="Q20" i="18"/>
  <c r="N20" i="18"/>
  <c r="P20" i="18"/>
  <c r="Q15" i="18"/>
  <c r="Q12" i="18"/>
  <c r="N12" i="18"/>
  <c r="P12" i="18"/>
  <c r="P6" i="18"/>
  <c r="Q6" i="18"/>
  <c r="N6" i="18"/>
  <c r="N114" i="18"/>
  <c r="P45" i="18"/>
  <c r="N45" i="18"/>
  <c r="P37" i="18"/>
  <c r="N37" i="18"/>
  <c r="P29" i="18"/>
  <c r="N29" i="18"/>
  <c r="P21" i="18"/>
  <c r="N21" i="18"/>
  <c r="P13" i="18"/>
  <c r="N13" i="18"/>
  <c r="O121" i="18"/>
  <c r="P57" i="18"/>
  <c r="P173" i="11" l="1"/>
  <c r="E175" i="9"/>
  <c r="M175" i="9"/>
  <c r="Y175" i="9" l="1"/>
  <c r="J175" i="6"/>
  <c r="AF175" i="9"/>
  <c r="Q173" i="11"/>
  <c r="S173" i="11"/>
  <c r="H173" i="11"/>
  <c r="AT175" i="9"/>
  <c r="BJ175" i="9"/>
  <c r="BH175" i="9"/>
  <c r="BA175" i="9"/>
  <c r="AM175" i="9"/>
  <c r="H63" i="11"/>
  <c r="P63" i="11"/>
  <c r="E65" i="9"/>
  <c r="M65" i="9"/>
  <c r="H160" i="11"/>
  <c r="P160" i="11"/>
  <c r="E162" i="9"/>
  <c r="M162" i="9"/>
  <c r="H86" i="11"/>
  <c r="P86" i="11"/>
  <c r="E88" i="9"/>
  <c r="M88" i="9"/>
  <c r="BP290" i="20" l="1"/>
  <c r="CB175" i="9"/>
  <c r="I175" i="6"/>
  <c r="O175" i="6" s="1"/>
  <c r="B175" i="9" s="1"/>
  <c r="CD175" i="9" s="1"/>
  <c r="AF290" i="20"/>
  <c r="Y162" i="9"/>
  <c r="Y88" i="9"/>
  <c r="AF289" i="20"/>
  <c r="AT290" i="20"/>
  <c r="BR290" i="20"/>
  <c r="BH290" i="20"/>
  <c r="BA290" i="20"/>
  <c r="BO290" i="20"/>
  <c r="AM290" i="20"/>
  <c r="J64" i="6"/>
  <c r="Q63" i="11"/>
  <c r="BK175" i="9"/>
  <c r="S63" i="11"/>
  <c r="AF65" i="9"/>
  <c r="BJ65" i="9"/>
  <c r="BH65" i="9"/>
  <c r="BA65" i="9"/>
  <c r="AT65" i="9"/>
  <c r="AM65" i="9"/>
  <c r="Q160" i="11"/>
  <c r="S160" i="11"/>
  <c r="BJ162" i="9"/>
  <c r="AF162" i="9"/>
  <c r="BH162" i="9"/>
  <c r="BA162" i="9"/>
  <c r="AT162" i="9"/>
  <c r="AM162" i="9"/>
  <c r="Q86" i="11"/>
  <c r="S86" i="11"/>
  <c r="AF88" i="9"/>
  <c r="BJ88" i="9"/>
  <c r="BH88" i="9"/>
  <c r="BA88" i="9"/>
  <c r="AT88" i="9"/>
  <c r="AM88" i="9"/>
  <c r="BI175" i="9" l="1"/>
  <c r="BQ290" i="20"/>
  <c r="BI65" i="9"/>
  <c r="BQ289" i="20"/>
  <c r="BP289" i="20"/>
  <c r="CB65" i="9"/>
  <c r="I162" i="6"/>
  <c r="O162" i="6" s="1"/>
  <c r="B162" i="9" s="1"/>
  <c r="CD162" i="9" s="1"/>
  <c r="I87" i="6"/>
  <c r="I64" i="6"/>
  <c r="O64" i="6" s="1"/>
  <c r="B65" i="9" s="1"/>
  <c r="CD65" i="9" s="1"/>
  <c r="AF288" i="20"/>
  <c r="AF286" i="20"/>
  <c r="AF287" i="20"/>
  <c r="Y65" i="9"/>
  <c r="H175" i="9"/>
  <c r="G175" i="9"/>
  <c r="F175" i="9"/>
  <c r="B290" i="20"/>
  <c r="BO286" i="20"/>
  <c r="BH287" i="20"/>
  <c r="BA288" i="20"/>
  <c r="AM288" i="20"/>
  <c r="AT289" i="20"/>
  <c r="BO289" i="20"/>
  <c r="BR289" i="20"/>
  <c r="AT286" i="20"/>
  <c r="AM286" i="20"/>
  <c r="BR288" i="20"/>
  <c r="BH289" i="20"/>
  <c r="AM289" i="20"/>
  <c r="BH288" i="20"/>
  <c r="BA286" i="20"/>
  <c r="AT287" i="20"/>
  <c r="BR287" i="20"/>
  <c r="BO288" i="20"/>
  <c r="BA289" i="20"/>
  <c r="BR286" i="20"/>
  <c r="BO287" i="20"/>
  <c r="BH286" i="20"/>
  <c r="BA287" i="20"/>
  <c r="AM287" i="20"/>
  <c r="AT288" i="20"/>
  <c r="BS290" i="20"/>
  <c r="C182" i="18"/>
  <c r="BK65" i="9"/>
  <c r="BK162" i="9"/>
  <c r="BK88" i="9"/>
  <c r="V3" i="1"/>
  <c r="V4" i="1"/>
  <c r="V6" i="1"/>
  <c r="V8" i="1"/>
  <c r="V11" i="1"/>
  <c r="V12" i="1"/>
  <c r="V13" i="1"/>
  <c r="V14" i="1"/>
  <c r="V16" i="1"/>
  <c r="V17" i="1"/>
  <c r="V19" i="1"/>
  <c r="V20" i="1"/>
  <c r="V21" i="1"/>
  <c r="V22" i="1"/>
  <c r="V23" i="1"/>
  <c r="V25" i="1"/>
  <c r="V26" i="1"/>
  <c r="V27" i="1"/>
  <c r="V28" i="1"/>
  <c r="V29" i="1"/>
  <c r="V30" i="1"/>
  <c r="V32" i="1"/>
  <c r="BQ287" i="20" l="1"/>
  <c r="BI162" i="9"/>
  <c r="BQ288" i="20"/>
  <c r="BI88" i="9"/>
  <c r="BQ286" i="20"/>
  <c r="CK290" i="20"/>
  <c r="H290" i="20"/>
  <c r="P290" i="20"/>
  <c r="F290" i="20"/>
  <c r="BP288" i="20"/>
  <c r="CB162" i="9"/>
  <c r="BP286" i="20"/>
  <c r="CB88" i="9"/>
  <c r="G290" i="20"/>
  <c r="BP287" i="20"/>
  <c r="G65" i="9"/>
  <c r="H65" i="9"/>
  <c r="F65" i="9"/>
  <c r="F162" i="9"/>
  <c r="G162" i="9"/>
  <c r="H162" i="9"/>
  <c r="O87" i="6"/>
  <c r="B88" i="9" s="1"/>
  <c r="CD88" i="9" s="1"/>
  <c r="BS288" i="20"/>
  <c r="BS289" i="20"/>
  <c r="BS286" i="20"/>
  <c r="BS287" i="20"/>
  <c r="J162" i="6"/>
  <c r="J87" i="6"/>
  <c r="CH290" i="20" l="1"/>
  <c r="M290" i="20" s="1"/>
  <c r="F88" i="9"/>
  <c r="G88" i="9"/>
  <c r="H88" i="9"/>
  <c r="C100" i="18"/>
  <c r="B287" i="20"/>
  <c r="C240" i="18"/>
  <c r="B286" i="20"/>
  <c r="CK287" i="20" l="1"/>
  <c r="H287" i="20"/>
  <c r="CK286" i="20"/>
  <c r="H286" i="20"/>
  <c r="P287" i="20"/>
  <c r="F287" i="20"/>
  <c r="P286" i="20"/>
  <c r="F286" i="20"/>
  <c r="G287" i="20"/>
  <c r="G286" i="20"/>
  <c r="AF285" i="20"/>
  <c r="I290" i="20"/>
  <c r="L290" i="20"/>
  <c r="J290" i="20"/>
  <c r="K290" i="20"/>
  <c r="AM285" i="20"/>
  <c r="AT285" i="20"/>
  <c r="BH285" i="20"/>
  <c r="BA285" i="20"/>
  <c r="BR285" i="20"/>
  <c r="BO285" i="20"/>
  <c r="H189" i="11"/>
  <c r="P189" i="11"/>
  <c r="E190" i="9"/>
  <c r="M190" i="9"/>
  <c r="BQ285" i="20" l="1"/>
  <c r="CH287" i="20"/>
  <c r="M287" i="20" s="1"/>
  <c r="BP285" i="20"/>
  <c r="Y190" i="9"/>
  <c r="CH286" i="20"/>
  <c r="M286" i="20" s="1"/>
  <c r="B285" i="20"/>
  <c r="BS285" i="20"/>
  <c r="C62" i="18"/>
  <c r="BJ190" i="9"/>
  <c r="Q189" i="11"/>
  <c r="S189" i="11"/>
  <c r="AF190" i="9"/>
  <c r="BH190" i="9"/>
  <c r="BA190" i="9"/>
  <c r="AT190" i="9"/>
  <c r="AM190" i="9"/>
  <c r="CK285" i="20" l="1"/>
  <c r="H285" i="20"/>
  <c r="K287" i="20"/>
  <c r="J287" i="20"/>
  <c r="L287" i="20"/>
  <c r="I287" i="20"/>
  <c r="F285" i="20"/>
  <c r="P285" i="20"/>
  <c r="G285" i="20"/>
  <c r="I190" i="6"/>
  <c r="O190" i="6" s="1"/>
  <c r="B190" i="9" s="1"/>
  <c r="CD190" i="9" s="1"/>
  <c r="AF284" i="20"/>
  <c r="K286" i="20"/>
  <c r="I286" i="20"/>
  <c r="J286" i="20"/>
  <c r="L286" i="20"/>
  <c r="BO284" i="20"/>
  <c r="AM284" i="20"/>
  <c r="BA284" i="20"/>
  <c r="BH284" i="20"/>
  <c r="BR284" i="20"/>
  <c r="AT284" i="20"/>
  <c r="BK190" i="9"/>
  <c r="P315" i="11"/>
  <c r="E314" i="9"/>
  <c r="M314" i="9"/>
  <c r="CZ25" i="2"/>
  <c r="CY25" i="2" s="1"/>
  <c r="X25" i="2" s="1"/>
  <c r="R26" i="1"/>
  <c r="Y26" i="1"/>
  <c r="AE26" i="1"/>
  <c r="BI190" i="9" l="1"/>
  <c r="BQ284" i="20"/>
  <c r="BP284" i="20"/>
  <c r="CB190" i="9"/>
  <c r="Y314" i="9"/>
  <c r="CH285" i="20"/>
  <c r="M285" i="20" s="1"/>
  <c r="H190" i="9"/>
  <c r="G190" i="9"/>
  <c r="F190" i="9"/>
  <c r="B284" i="20"/>
  <c r="BS284" i="20"/>
  <c r="C195" i="18"/>
  <c r="J190" i="6"/>
  <c r="AJ25" i="2"/>
  <c r="AF314" i="9" s="1"/>
  <c r="Q315" i="11"/>
  <c r="S315" i="11"/>
  <c r="H315" i="11"/>
  <c r="BM25" i="2"/>
  <c r="BY25" i="2" s="1"/>
  <c r="CA25" i="2"/>
  <c r="AC25" i="2"/>
  <c r="BJ314" i="9" s="1"/>
  <c r="BN25" i="2"/>
  <c r="BZ25" i="2" s="1"/>
  <c r="BL25" i="2"/>
  <c r="BH314" i="9" s="1"/>
  <c r="BE25" i="2"/>
  <c r="BA314" i="9" s="1"/>
  <c r="AQ25" i="2"/>
  <c r="AM314" i="9" s="1"/>
  <c r="BP25" i="2"/>
  <c r="CB25" i="2" s="1"/>
  <c r="AX25" i="2"/>
  <c r="AT314" i="9" s="1"/>
  <c r="P25" i="2"/>
  <c r="CK284" i="20" l="1"/>
  <c r="H284" i="20"/>
  <c r="P284" i="20"/>
  <c r="F284" i="20"/>
  <c r="G284" i="20"/>
  <c r="T26" i="1"/>
  <c r="I316" i="6"/>
  <c r="O316" i="6" s="1"/>
  <c r="B314" i="9" s="1"/>
  <c r="CD314" i="9" s="1"/>
  <c r="AF283" i="20"/>
  <c r="J285" i="20"/>
  <c r="K285" i="20"/>
  <c r="L285" i="20"/>
  <c r="I285" i="20"/>
  <c r="AT283" i="20"/>
  <c r="BR283" i="20"/>
  <c r="BH283" i="20"/>
  <c r="BA283" i="20"/>
  <c r="BO283" i="20"/>
  <c r="AM283" i="20"/>
  <c r="Y25" i="2"/>
  <c r="AA25" i="2"/>
  <c r="Z25" i="2"/>
  <c r="AB25" i="2"/>
  <c r="BK314" i="9" s="1"/>
  <c r="P61" i="11"/>
  <c r="E63" i="9"/>
  <c r="M63" i="9"/>
  <c r="H5" i="11"/>
  <c r="P5" i="11"/>
  <c r="E5" i="9"/>
  <c r="M5" i="9"/>
  <c r="H48" i="11"/>
  <c r="P48" i="11"/>
  <c r="E49" i="9"/>
  <c r="M49" i="9"/>
  <c r="BI314" i="9" l="1"/>
  <c r="BQ283" i="20"/>
  <c r="BP283" i="20"/>
  <c r="CB314" i="9"/>
  <c r="Y49" i="9"/>
  <c r="Y5" i="9"/>
  <c r="Y63" i="9"/>
  <c r="CH284" i="20"/>
  <c r="K284" i="20" s="1"/>
  <c r="F314" i="9"/>
  <c r="G314" i="9"/>
  <c r="H314" i="9"/>
  <c r="B283" i="20"/>
  <c r="BS283" i="20"/>
  <c r="W26" i="1"/>
  <c r="C19" i="18"/>
  <c r="BU25" i="2"/>
  <c r="CG25" i="2" s="1"/>
  <c r="BV25" i="2"/>
  <c r="J316" i="6" s="1"/>
  <c r="J4" i="6"/>
  <c r="BQ25" i="2"/>
  <c r="CC25" i="2" s="1"/>
  <c r="BT25" i="2"/>
  <c r="CF25" i="2" s="1"/>
  <c r="BR25" i="2"/>
  <c r="CD25" i="2" s="1"/>
  <c r="BS25" i="2"/>
  <c r="CE25" i="2" s="1"/>
  <c r="BJ49" i="9"/>
  <c r="AF63" i="9"/>
  <c r="S61" i="11"/>
  <c r="Q61" i="11"/>
  <c r="H61" i="11"/>
  <c r="BJ63" i="9"/>
  <c r="BH63" i="9"/>
  <c r="BA63" i="9"/>
  <c r="AT63" i="9"/>
  <c r="AM63" i="9"/>
  <c r="Q5" i="11"/>
  <c r="S5" i="11"/>
  <c r="AF5" i="9"/>
  <c r="BJ5" i="9"/>
  <c r="BH5" i="9"/>
  <c r="BA5" i="9"/>
  <c r="AT5" i="9"/>
  <c r="AM5" i="9"/>
  <c r="Q48" i="11"/>
  <c r="S48" i="11"/>
  <c r="AM49" i="9"/>
  <c r="AF49" i="9"/>
  <c r="BH49" i="9"/>
  <c r="BA49" i="9"/>
  <c r="AT49" i="9"/>
  <c r="H182" i="11"/>
  <c r="P182" i="11"/>
  <c r="E183" i="9"/>
  <c r="M183" i="9"/>
  <c r="H164" i="11"/>
  <c r="P164" i="11"/>
  <c r="E166" i="9"/>
  <c r="M166" i="9"/>
  <c r="H256" i="11"/>
  <c r="P256" i="11"/>
  <c r="E255" i="9"/>
  <c r="M255" i="9"/>
  <c r="P149" i="11"/>
  <c r="E151" i="9"/>
  <c r="M151" i="9"/>
  <c r="P181" i="11"/>
  <c r="E182" i="9"/>
  <c r="M182" i="9"/>
  <c r="P263" i="11"/>
  <c r="E262" i="9"/>
  <c r="M262" i="9"/>
  <c r="H235" i="11"/>
  <c r="P235" i="11"/>
  <c r="E233" i="9"/>
  <c r="M233" i="9"/>
  <c r="P162" i="11"/>
  <c r="E164" i="9"/>
  <c r="M164" i="9"/>
  <c r="P95" i="11"/>
  <c r="E97" i="9"/>
  <c r="M97" i="9"/>
  <c r="H124" i="11"/>
  <c r="P124" i="11"/>
  <c r="E127" i="9"/>
  <c r="M127" i="9"/>
  <c r="P296" i="11"/>
  <c r="E295" i="9"/>
  <c r="M295" i="9"/>
  <c r="BV6" i="2"/>
  <c r="CZ6" i="2"/>
  <c r="CY6" i="2" s="1"/>
  <c r="X6" i="2" s="1"/>
  <c r="R4" i="1"/>
  <c r="Y4" i="1"/>
  <c r="AE4" i="1"/>
  <c r="H125" i="11"/>
  <c r="P125" i="11"/>
  <c r="E126" i="9"/>
  <c r="M126" i="9"/>
  <c r="P287" i="11"/>
  <c r="E286" i="9"/>
  <c r="M286" i="9"/>
  <c r="BI5" i="9" l="1"/>
  <c r="BQ281" i="20"/>
  <c r="CK283" i="20"/>
  <c r="H283" i="20"/>
  <c r="AF281" i="20"/>
  <c r="F283" i="20"/>
  <c r="P283" i="20"/>
  <c r="BP281" i="20"/>
  <c r="CB5" i="9"/>
  <c r="G283" i="20"/>
  <c r="I48" i="6"/>
  <c r="I62" i="6"/>
  <c r="O62" i="6" s="1"/>
  <c r="B63" i="9" s="1"/>
  <c r="CD63" i="9" s="1"/>
  <c r="I4" i="6"/>
  <c r="O4" i="6" s="1"/>
  <c r="B5" i="9" s="1"/>
  <c r="CD5" i="9" s="1"/>
  <c r="AF280" i="20"/>
  <c r="Y255" i="9"/>
  <c r="Y183" i="9"/>
  <c r="AF265" i="20"/>
  <c r="Y295" i="9"/>
  <c r="Y97" i="9"/>
  <c r="Y151" i="9"/>
  <c r="AF271" i="20"/>
  <c r="Y262" i="9"/>
  <c r="Y127" i="9"/>
  <c r="Y164" i="9"/>
  <c r="Y166" i="9"/>
  <c r="Y126" i="9"/>
  <c r="Y182" i="9"/>
  <c r="AF282" i="20"/>
  <c r="L284" i="20"/>
  <c r="J284" i="20"/>
  <c r="I284" i="20"/>
  <c r="M284" i="20"/>
  <c r="BO280" i="20"/>
  <c r="AT282" i="20"/>
  <c r="BH282" i="20"/>
  <c r="BR282" i="20"/>
  <c r="BR280" i="20"/>
  <c r="AM280" i="20"/>
  <c r="BA281" i="20"/>
  <c r="BA280" i="20"/>
  <c r="AT280" i="20"/>
  <c r="BO281" i="20"/>
  <c r="BR281" i="20"/>
  <c r="BA282" i="20"/>
  <c r="BH280" i="20"/>
  <c r="AT281" i="20"/>
  <c r="BH281" i="20"/>
  <c r="AM281" i="20"/>
  <c r="BO282" i="20"/>
  <c r="AM282" i="20"/>
  <c r="J288" i="6"/>
  <c r="J297" i="6"/>
  <c r="J183" i="6"/>
  <c r="CH25" i="2"/>
  <c r="U26" i="1"/>
  <c r="BW25" i="2"/>
  <c r="AF126" i="9"/>
  <c r="AF255" i="9"/>
  <c r="AJ6" i="2"/>
  <c r="AF295" i="9" s="1"/>
  <c r="BK5" i="9"/>
  <c r="BK49" i="9"/>
  <c r="Q164" i="11"/>
  <c r="Q182" i="11"/>
  <c r="S182" i="11"/>
  <c r="BH183" i="9"/>
  <c r="BJ183" i="9"/>
  <c r="AF183" i="9"/>
  <c r="BA183" i="9"/>
  <c r="AT183" i="9"/>
  <c r="AM183" i="9"/>
  <c r="S149" i="11"/>
  <c r="S164" i="11"/>
  <c r="AF166" i="9"/>
  <c r="BJ166" i="9"/>
  <c r="BH166" i="9"/>
  <c r="BA166" i="9"/>
  <c r="AT166" i="9"/>
  <c r="AM166" i="9"/>
  <c r="Q181" i="11"/>
  <c r="Q256" i="11"/>
  <c r="S256" i="11"/>
  <c r="BJ255" i="9"/>
  <c r="BH255" i="9"/>
  <c r="BA255" i="9"/>
  <c r="AT255" i="9"/>
  <c r="AM255" i="9"/>
  <c r="Q149" i="11"/>
  <c r="H149" i="11"/>
  <c r="AF151" i="9"/>
  <c r="BJ151" i="9"/>
  <c r="BH151" i="9"/>
  <c r="BA151" i="9"/>
  <c r="AT151" i="9"/>
  <c r="AM151" i="9"/>
  <c r="S263" i="11"/>
  <c r="H181" i="11"/>
  <c r="S181" i="11"/>
  <c r="AF182" i="9"/>
  <c r="BJ182" i="9"/>
  <c r="BH182" i="9"/>
  <c r="BA182" i="9"/>
  <c r="AT182" i="9"/>
  <c r="AM182" i="9"/>
  <c r="Q263" i="11"/>
  <c r="H263" i="11"/>
  <c r="AF262" i="9"/>
  <c r="BJ262" i="9"/>
  <c r="BH262" i="9"/>
  <c r="BA262" i="9"/>
  <c r="AT262" i="9"/>
  <c r="AM262" i="9"/>
  <c r="Q235" i="11"/>
  <c r="S162" i="11"/>
  <c r="S235" i="11"/>
  <c r="AF233" i="9"/>
  <c r="BJ233" i="9"/>
  <c r="BH233" i="9"/>
  <c r="BA233" i="9"/>
  <c r="AT233" i="9"/>
  <c r="AM233" i="9"/>
  <c r="Q95" i="11"/>
  <c r="S95" i="11"/>
  <c r="H162" i="11"/>
  <c r="Q162" i="11"/>
  <c r="AF164" i="9"/>
  <c r="BJ164" i="9"/>
  <c r="BH164" i="9"/>
  <c r="BA164" i="9"/>
  <c r="AT164" i="9"/>
  <c r="AM164" i="9"/>
  <c r="H95" i="11"/>
  <c r="AF97" i="9"/>
  <c r="BJ97" i="9"/>
  <c r="BH97" i="9"/>
  <c r="BA97" i="9"/>
  <c r="AT97" i="9"/>
  <c r="AM97" i="9"/>
  <c r="Q124" i="11"/>
  <c r="S124" i="11"/>
  <c r="BJ127" i="9"/>
  <c r="AF127" i="9"/>
  <c r="BH127" i="9"/>
  <c r="BA127" i="9"/>
  <c r="AT127" i="9"/>
  <c r="AM127" i="9"/>
  <c r="Q296" i="11"/>
  <c r="BN6" i="2"/>
  <c r="BZ6" i="2" s="1"/>
  <c r="S296" i="11"/>
  <c r="H296" i="11"/>
  <c r="AC6" i="2"/>
  <c r="BJ295" i="9" s="1"/>
  <c r="CA6" i="2"/>
  <c r="BM6" i="2"/>
  <c r="BY6" i="2" s="1"/>
  <c r="BL6" i="2"/>
  <c r="BH295" i="9" s="1"/>
  <c r="BE6" i="2"/>
  <c r="BA295" i="9" s="1"/>
  <c r="AX6" i="2"/>
  <c r="AT295" i="9" s="1"/>
  <c r="AQ6" i="2"/>
  <c r="AM295" i="9" s="1"/>
  <c r="P6" i="2"/>
  <c r="BP6" i="2"/>
  <c r="CB6" i="2" s="1"/>
  <c r="Q125" i="11"/>
  <c r="S125" i="11"/>
  <c r="BJ126" i="9"/>
  <c r="BH126" i="9"/>
  <c r="BA126" i="9"/>
  <c r="AT126" i="9"/>
  <c r="AM126" i="9"/>
  <c r="S287" i="11"/>
  <c r="Q287" i="11"/>
  <c r="H287" i="11"/>
  <c r="AF286" i="9"/>
  <c r="BJ286" i="9"/>
  <c r="BH286" i="9"/>
  <c r="BA286" i="9"/>
  <c r="AT286" i="9"/>
  <c r="AM286" i="9"/>
  <c r="H53" i="11"/>
  <c r="P53" i="11"/>
  <c r="E55" i="9"/>
  <c r="M55" i="9"/>
  <c r="H70" i="11"/>
  <c r="P70" i="11"/>
  <c r="E72" i="9"/>
  <c r="M72" i="9"/>
  <c r="H311" i="11"/>
  <c r="P311" i="11"/>
  <c r="E310" i="9"/>
  <c r="M310" i="9"/>
  <c r="CZ21" i="2"/>
  <c r="CY21" i="2" s="1"/>
  <c r="X21" i="2" s="1"/>
  <c r="R20" i="1"/>
  <c r="Y20" i="1"/>
  <c r="AE20" i="1"/>
  <c r="H35" i="11"/>
  <c r="P35" i="11"/>
  <c r="E35" i="9"/>
  <c r="M35" i="9"/>
  <c r="P31" i="11"/>
  <c r="E31" i="9"/>
  <c r="M31" i="9"/>
  <c r="H197" i="11"/>
  <c r="P197" i="11"/>
  <c r="E198" i="9"/>
  <c r="M198" i="9"/>
  <c r="P69" i="11"/>
  <c r="E71" i="9"/>
  <c r="M71" i="9"/>
  <c r="H118" i="11"/>
  <c r="P118" i="11"/>
  <c r="E119" i="9"/>
  <c r="M119" i="9"/>
  <c r="P269" i="11"/>
  <c r="E268" i="9"/>
  <c r="M268" i="9"/>
  <c r="I297" i="6" l="1"/>
  <c r="BI183" i="9"/>
  <c r="BQ279" i="20"/>
  <c r="BI286" i="9"/>
  <c r="BQ265" i="20"/>
  <c r="BI63" i="9"/>
  <c r="BQ282" i="20"/>
  <c r="BI49" i="9"/>
  <c r="BQ280" i="20"/>
  <c r="BP280" i="20"/>
  <c r="CB49" i="9"/>
  <c r="BP265" i="20"/>
  <c r="CB286" i="9"/>
  <c r="BP279" i="20"/>
  <c r="CB183" i="9"/>
  <c r="BP282" i="20"/>
  <c r="CB63" i="9"/>
  <c r="I255" i="6"/>
  <c r="I262" i="6"/>
  <c r="I288" i="6"/>
  <c r="I233" i="6"/>
  <c r="I182" i="6"/>
  <c r="I183" i="6"/>
  <c r="I151" i="6"/>
  <c r="I166" i="6"/>
  <c r="I164" i="6"/>
  <c r="I126" i="6"/>
  <c r="I125" i="6"/>
  <c r="I96" i="6"/>
  <c r="AF267" i="20"/>
  <c r="AF269" i="20"/>
  <c r="AF279" i="20"/>
  <c r="AF270" i="20"/>
  <c r="AF268" i="20"/>
  <c r="AF278" i="20"/>
  <c r="AF277" i="20"/>
  <c r="AF272" i="20"/>
  <c r="Y233" i="9"/>
  <c r="AF273" i="20"/>
  <c r="AF266" i="20"/>
  <c r="AF276" i="20"/>
  <c r="Y286" i="9"/>
  <c r="AF275" i="20"/>
  <c r="AF274" i="20"/>
  <c r="Y71" i="9"/>
  <c r="Y310" i="9"/>
  <c r="Y268" i="9"/>
  <c r="Y72" i="9"/>
  <c r="Y55" i="9"/>
  <c r="Y198" i="9"/>
  <c r="Y31" i="9"/>
  <c r="Y35" i="9"/>
  <c r="Y119" i="9"/>
  <c r="BK63" i="9"/>
  <c r="F5" i="9"/>
  <c r="G5" i="9"/>
  <c r="H5" i="9"/>
  <c r="H63" i="9"/>
  <c r="G63" i="9"/>
  <c r="F63" i="9"/>
  <c r="BS282" i="20"/>
  <c r="CH283" i="20"/>
  <c r="J283" i="20" s="1"/>
  <c r="C26" i="18"/>
  <c r="T4" i="1"/>
  <c r="O297" i="6"/>
  <c r="O48" i="6"/>
  <c r="B49" i="9" s="1"/>
  <c r="CD49" i="9" s="1"/>
  <c r="B281" i="20"/>
  <c r="B282" i="20"/>
  <c r="C79" i="18"/>
  <c r="BA265" i="20"/>
  <c r="BR265" i="20"/>
  <c r="AT266" i="20"/>
  <c r="BO267" i="20"/>
  <c r="BO268" i="20"/>
  <c r="BR268" i="20"/>
  <c r="BH269" i="20"/>
  <c r="AM269" i="20"/>
  <c r="BH270" i="20"/>
  <c r="AM270" i="20"/>
  <c r="BO271" i="20"/>
  <c r="AM271" i="20"/>
  <c r="BA272" i="20"/>
  <c r="BR272" i="20"/>
  <c r="AT273" i="20"/>
  <c r="BH274" i="20"/>
  <c r="AM274" i="20"/>
  <c r="BA275" i="20"/>
  <c r="BR275" i="20"/>
  <c r="AT276" i="20"/>
  <c r="BH277" i="20"/>
  <c r="BA278" i="20"/>
  <c r="AT279" i="20"/>
  <c r="BH279" i="20"/>
  <c r="BR279" i="20"/>
  <c r="BS280" i="20"/>
  <c r="AM267" i="20"/>
  <c r="BO265" i="20"/>
  <c r="AM265" i="20"/>
  <c r="BA266" i="20"/>
  <c r="BR266" i="20"/>
  <c r="AT267" i="20"/>
  <c r="AT268" i="20"/>
  <c r="BO269" i="20"/>
  <c r="BO270" i="20"/>
  <c r="AT271" i="20"/>
  <c r="BH272" i="20"/>
  <c r="AM272" i="20"/>
  <c r="BA273" i="20"/>
  <c r="BR273" i="20"/>
  <c r="BO274" i="20"/>
  <c r="BH275" i="20"/>
  <c r="AM275" i="20"/>
  <c r="BA276" i="20"/>
  <c r="BR276" i="20"/>
  <c r="BO277" i="20"/>
  <c r="BH278" i="20"/>
  <c r="BR278" i="20"/>
  <c r="BO279" i="20"/>
  <c r="AT265" i="20"/>
  <c r="BH265" i="20"/>
  <c r="BH266" i="20"/>
  <c r="BA267" i="20"/>
  <c r="BA268" i="20"/>
  <c r="AM268" i="20"/>
  <c r="AT269" i="20"/>
  <c r="AT270" i="20"/>
  <c r="BA271" i="20"/>
  <c r="BO272" i="20"/>
  <c r="BH273" i="20"/>
  <c r="AM273" i="20"/>
  <c r="AT274" i="20"/>
  <c r="BO275" i="20"/>
  <c r="BH276" i="20"/>
  <c r="AM276" i="20"/>
  <c r="AT277" i="20"/>
  <c r="BR277" i="20"/>
  <c r="BO278" i="20"/>
  <c r="AM278" i="20"/>
  <c r="BA279" i="20"/>
  <c r="BS281" i="20"/>
  <c r="AM266" i="20"/>
  <c r="BO266" i="20"/>
  <c r="BH267" i="20"/>
  <c r="BR267" i="20"/>
  <c r="BH268" i="20"/>
  <c r="BA269" i="20"/>
  <c r="BR269" i="20"/>
  <c r="BA270" i="20"/>
  <c r="BR270" i="20"/>
  <c r="BH271" i="20"/>
  <c r="BR271" i="20"/>
  <c r="AT272" i="20"/>
  <c r="BO273" i="20"/>
  <c r="BA274" i="20"/>
  <c r="BR274" i="20"/>
  <c r="AT275" i="20"/>
  <c r="BO276" i="20"/>
  <c r="BA277" i="20"/>
  <c r="AT278" i="20"/>
  <c r="AM279" i="20"/>
  <c r="AM277" i="20"/>
  <c r="J48" i="6"/>
  <c r="J30" i="6"/>
  <c r="J34" i="6"/>
  <c r="BX25" i="2"/>
  <c r="AA6" i="2"/>
  <c r="Y6" i="2"/>
  <c r="Z6" i="2"/>
  <c r="BJ35" i="9"/>
  <c r="I30" i="6"/>
  <c r="P21" i="2"/>
  <c r="BK183" i="9"/>
  <c r="BK166" i="9"/>
  <c r="BK255" i="9"/>
  <c r="BK151" i="9"/>
  <c r="BK182" i="9"/>
  <c r="BK262" i="9"/>
  <c r="BK233" i="9"/>
  <c r="BK164" i="9"/>
  <c r="BK97" i="9"/>
  <c r="BK127" i="9"/>
  <c r="AB6" i="2"/>
  <c r="BK295" i="9" s="1"/>
  <c r="BK126" i="9"/>
  <c r="BK286" i="9"/>
  <c r="Q269" i="11"/>
  <c r="Q118" i="11"/>
  <c r="Q69" i="11"/>
  <c r="Q197" i="11"/>
  <c r="S269" i="11"/>
  <c r="S31" i="11"/>
  <c r="S69" i="11"/>
  <c r="Q53" i="11"/>
  <c r="S53" i="11"/>
  <c r="AF55" i="9"/>
  <c r="BJ55" i="9"/>
  <c r="BH55" i="9"/>
  <c r="BA55" i="9"/>
  <c r="AT55" i="9"/>
  <c r="AM55" i="9"/>
  <c r="Q70" i="11"/>
  <c r="S70" i="11"/>
  <c r="AF72" i="9"/>
  <c r="BJ72" i="9"/>
  <c r="BH72" i="9"/>
  <c r="BA72" i="9"/>
  <c r="AT72" i="9"/>
  <c r="AM72" i="9"/>
  <c r="CA21" i="2"/>
  <c r="BP21" i="2"/>
  <c r="CB21" i="2" s="1"/>
  <c r="Q311" i="11"/>
  <c r="S311" i="11"/>
  <c r="AJ21" i="2"/>
  <c r="AF310" i="9" s="1"/>
  <c r="BN21" i="2"/>
  <c r="BZ21" i="2" s="1"/>
  <c r="AC21" i="2"/>
  <c r="BJ310" i="9" s="1"/>
  <c r="BM21" i="2"/>
  <c r="BL21" i="2"/>
  <c r="BH310" i="9" s="1"/>
  <c r="BE21" i="2"/>
  <c r="BA310" i="9" s="1"/>
  <c r="AX21" i="2"/>
  <c r="AT310" i="9" s="1"/>
  <c r="AQ21" i="2"/>
  <c r="AM310" i="9" s="1"/>
  <c r="Q35" i="11"/>
  <c r="S35" i="11"/>
  <c r="AF35" i="9"/>
  <c r="BH35" i="9"/>
  <c r="BA35" i="9"/>
  <c r="AT35" i="9"/>
  <c r="AM35" i="9"/>
  <c r="I34" i="6"/>
  <c r="AF31" i="9"/>
  <c r="Q31" i="11"/>
  <c r="H31" i="11"/>
  <c r="BJ31" i="9"/>
  <c r="BH31" i="9"/>
  <c r="BA31" i="9"/>
  <c r="AT31" i="9"/>
  <c r="AM31" i="9"/>
  <c r="S197" i="11"/>
  <c r="AF198" i="9"/>
  <c r="BJ198" i="9"/>
  <c r="BH198" i="9"/>
  <c r="BA198" i="9"/>
  <c r="AT198" i="9"/>
  <c r="AM198" i="9"/>
  <c r="H69" i="11"/>
  <c r="AF71" i="9"/>
  <c r="BJ71" i="9"/>
  <c r="BH71" i="9"/>
  <c r="BA71" i="9"/>
  <c r="AT71" i="9"/>
  <c r="AM71" i="9"/>
  <c r="S118" i="11"/>
  <c r="AF119" i="9"/>
  <c r="BJ119" i="9"/>
  <c r="BH119" i="9"/>
  <c r="BA119" i="9"/>
  <c r="AT119" i="9"/>
  <c r="AM119" i="9"/>
  <c r="H269" i="11"/>
  <c r="AF268" i="9"/>
  <c r="BJ268" i="9"/>
  <c r="BH268" i="9"/>
  <c r="BA268" i="9"/>
  <c r="AT268" i="9"/>
  <c r="AM268" i="9"/>
  <c r="H7" i="11"/>
  <c r="P7" i="11"/>
  <c r="E7" i="9"/>
  <c r="M7" i="9"/>
  <c r="H175" i="11"/>
  <c r="P175" i="11"/>
  <c r="E177" i="9"/>
  <c r="M177" i="9"/>
  <c r="P264" i="11"/>
  <c r="E263" i="9"/>
  <c r="M263" i="9"/>
  <c r="H94" i="11"/>
  <c r="P94" i="11"/>
  <c r="E96" i="9"/>
  <c r="M96" i="9"/>
  <c r="H43" i="11"/>
  <c r="P43" i="11"/>
  <c r="E44" i="9"/>
  <c r="M44" i="9"/>
  <c r="P250" i="11"/>
  <c r="E249" i="9"/>
  <c r="M249" i="9"/>
  <c r="H308" i="11"/>
  <c r="P308" i="11"/>
  <c r="E307" i="9"/>
  <c r="M307" i="9"/>
  <c r="CZ18" i="2"/>
  <c r="CY18" i="2" s="1"/>
  <c r="X18" i="2" s="1"/>
  <c r="R16" i="1"/>
  <c r="Y16" i="1"/>
  <c r="AE16" i="1"/>
  <c r="B295" i="9" l="1"/>
  <c r="CD295" i="9" s="1"/>
  <c r="BI166" i="9"/>
  <c r="BQ278" i="20"/>
  <c r="BI127" i="9"/>
  <c r="BQ268" i="20"/>
  <c r="BI164" i="9"/>
  <c r="BQ270" i="20"/>
  <c r="BI151" i="9"/>
  <c r="BQ276" i="20"/>
  <c r="BI255" i="9"/>
  <c r="BQ277" i="20"/>
  <c r="BQ275" i="20"/>
  <c r="BQ274" i="20"/>
  <c r="BI31" i="9"/>
  <c r="BQ260" i="20"/>
  <c r="BI35" i="9"/>
  <c r="BQ261" i="20"/>
  <c r="BI182" i="9"/>
  <c r="BQ273" i="20"/>
  <c r="BI295" i="9"/>
  <c r="BQ267" i="20"/>
  <c r="BI126" i="9"/>
  <c r="BQ266" i="20"/>
  <c r="BI233" i="9"/>
  <c r="BQ271" i="20"/>
  <c r="BI262" i="9"/>
  <c r="BQ272" i="20"/>
  <c r="BI97" i="9"/>
  <c r="BQ269" i="20"/>
  <c r="CK282" i="20"/>
  <c r="H282" i="20"/>
  <c r="CK281" i="20"/>
  <c r="H281" i="20"/>
  <c r="P282" i="20"/>
  <c r="F282" i="20"/>
  <c r="P281" i="20"/>
  <c r="F281" i="20"/>
  <c r="BP272" i="20"/>
  <c r="CB262" i="9"/>
  <c r="BP271" i="20"/>
  <c r="CB233" i="9"/>
  <c r="BP273" i="20"/>
  <c r="CB182" i="9"/>
  <c r="BP267" i="20"/>
  <c r="CB295" i="9"/>
  <c r="BP266" i="20"/>
  <c r="CB126" i="9"/>
  <c r="BP261" i="20"/>
  <c r="CB35" i="9"/>
  <c r="BP269" i="20"/>
  <c r="CB97" i="9"/>
  <c r="BP270" i="20"/>
  <c r="CB164" i="9"/>
  <c r="G282" i="20"/>
  <c r="BP260" i="20"/>
  <c r="CB31" i="9"/>
  <c r="BP278" i="20"/>
  <c r="CB166" i="9"/>
  <c r="BP268" i="20"/>
  <c r="CB127" i="9"/>
  <c r="BP275" i="20"/>
  <c r="BP276" i="20"/>
  <c r="CB151" i="9"/>
  <c r="BP274" i="20"/>
  <c r="BP277" i="20"/>
  <c r="CB255" i="9"/>
  <c r="G281" i="20"/>
  <c r="I270" i="6"/>
  <c r="I198" i="6"/>
  <c r="I119" i="6"/>
  <c r="O119" i="6" s="1"/>
  <c r="B119" i="9" s="1"/>
  <c r="CD119" i="9" s="1"/>
  <c r="I70" i="6"/>
  <c r="I54" i="6"/>
  <c r="O54" i="6" s="1"/>
  <c r="B55" i="9" s="1"/>
  <c r="CD55" i="9" s="1"/>
  <c r="I71" i="6"/>
  <c r="T20" i="1"/>
  <c r="I312" i="6"/>
  <c r="O312" i="6" s="1"/>
  <c r="B310" i="9" s="1"/>
  <c r="CD310" i="9" s="1"/>
  <c r="O30" i="6"/>
  <c r="B31" i="9" s="1"/>
  <c r="CD31" i="9" s="1"/>
  <c r="AF260" i="20"/>
  <c r="AF259" i="20"/>
  <c r="AF262" i="20"/>
  <c r="AF256" i="20"/>
  <c r="AF258" i="20"/>
  <c r="AF261" i="20"/>
  <c r="AF257" i="20"/>
  <c r="AF264" i="20"/>
  <c r="AF263" i="20"/>
  <c r="Y307" i="9"/>
  <c r="Y44" i="9"/>
  <c r="Y96" i="9"/>
  <c r="Y263" i="9"/>
  <c r="Y177" i="9"/>
  <c r="Y7" i="9"/>
  <c r="Y249" i="9"/>
  <c r="J62" i="6"/>
  <c r="H49" i="9"/>
  <c r="F49" i="9"/>
  <c r="G49" i="9"/>
  <c r="F295" i="9"/>
  <c r="G295" i="9"/>
  <c r="H295" i="9"/>
  <c r="K283" i="20"/>
  <c r="L283" i="20"/>
  <c r="M283" i="20"/>
  <c r="I283" i="20"/>
  <c r="O288" i="6"/>
  <c r="B286" i="9" s="1"/>
  <c r="CD286" i="9" s="1"/>
  <c r="O164" i="6"/>
  <c r="B164" i="9" s="1"/>
  <c r="CD164" i="9" s="1"/>
  <c r="O183" i="6"/>
  <c r="B183" i="9" s="1"/>
  <c r="CD183" i="9" s="1"/>
  <c r="O233" i="6"/>
  <c r="B233" i="9" s="1"/>
  <c r="CD233" i="9" s="1"/>
  <c r="O151" i="6"/>
  <c r="B151" i="9" s="1"/>
  <c r="CD151" i="9" s="1"/>
  <c r="O262" i="6"/>
  <c r="B262" i="9" s="1"/>
  <c r="CD262" i="9" s="1"/>
  <c r="O182" i="6"/>
  <c r="B182" i="9" s="1"/>
  <c r="CD182" i="9" s="1"/>
  <c r="O125" i="6"/>
  <c r="B127" i="9" s="1"/>
  <c r="CD127" i="9" s="1"/>
  <c r="O96" i="6"/>
  <c r="B97" i="9" s="1"/>
  <c r="CD97" i="9" s="1"/>
  <c r="O126" i="6"/>
  <c r="B126" i="9" s="1"/>
  <c r="CD126" i="9" s="1"/>
  <c r="O255" i="6"/>
  <c r="B255" i="9" s="1"/>
  <c r="CD255" i="9" s="1"/>
  <c r="O166" i="6"/>
  <c r="B166" i="9" s="1"/>
  <c r="CD166" i="9" s="1"/>
  <c r="B280" i="20"/>
  <c r="C68" i="18"/>
  <c r="C4" i="18"/>
  <c r="B274" i="20"/>
  <c r="W4" i="1"/>
  <c r="C192" i="18"/>
  <c r="B267" i="20"/>
  <c r="BA256" i="20"/>
  <c r="BA257" i="20"/>
  <c r="BA258" i="20"/>
  <c r="BR258" i="20"/>
  <c r="BA259" i="20"/>
  <c r="AT261" i="20"/>
  <c r="BH261" i="20"/>
  <c r="AM261" i="20"/>
  <c r="BO262" i="20"/>
  <c r="AM262" i="20"/>
  <c r="BH263" i="20"/>
  <c r="AM263" i="20"/>
  <c r="BA264" i="20"/>
  <c r="BS269" i="20"/>
  <c r="BS273" i="20"/>
  <c r="BS276" i="20"/>
  <c r="BR261" i="20"/>
  <c r="BH256" i="20"/>
  <c r="BR256" i="20"/>
  <c r="BH257" i="20"/>
  <c r="BR257" i="20"/>
  <c r="BH258" i="20"/>
  <c r="BH259" i="20"/>
  <c r="BR259" i="20"/>
  <c r="AM259" i="20"/>
  <c r="BA260" i="20"/>
  <c r="AM260" i="20"/>
  <c r="AT262" i="20"/>
  <c r="BO263" i="20"/>
  <c r="BH264" i="20"/>
  <c r="BR264" i="20"/>
  <c r="BS266" i="20"/>
  <c r="BS270" i="20"/>
  <c r="BS274" i="20"/>
  <c r="BS277" i="20"/>
  <c r="BO256" i="20"/>
  <c r="AM256" i="20"/>
  <c r="BO257" i="20"/>
  <c r="AM257" i="20"/>
  <c r="BO258" i="20"/>
  <c r="AM258" i="20"/>
  <c r="BO259" i="20"/>
  <c r="BO260" i="20"/>
  <c r="BA261" i="20"/>
  <c r="BA262" i="20"/>
  <c r="BR262" i="20"/>
  <c r="AT263" i="20"/>
  <c r="BO264" i="20"/>
  <c r="AM264" i="20"/>
  <c r="BS267" i="20"/>
  <c r="BS271" i="20"/>
  <c r="BS278" i="20"/>
  <c r="AT256" i="20"/>
  <c r="AT257" i="20"/>
  <c r="AT258" i="20"/>
  <c r="AT259" i="20"/>
  <c r="AT260" i="20"/>
  <c r="BH260" i="20"/>
  <c r="BR260" i="20"/>
  <c r="BO261" i="20"/>
  <c r="BH262" i="20"/>
  <c r="BA263" i="20"/>
  <c r="BR263" i="20"/>
  <c r="AT264" i="20"/>
  <c r="BS265" i="20"/>
  <c r="BS268" i="20"/>
  <c r="BS272" i="20"/>
  <c r="BS275" i="20"/>
  <c r="BS279" i="20"/>
  <c r="BU6" i="2"/>
  <c r="CG6" i="2" s="1"/>
  <c r="J126" i="6"/>
  <c r="J255" i="6"/>
  <c r="J96" i="6"/>
  <c r="J262" i="6"/>
  <c r="J166" i="6"/>
  <c r="J164" i="6"/>
  <c r="J125" i="6"/>
  <c r="J182" i="6"/>
  <c r="J151" i="6"/>
  <c r="J263" i="6"/>
  <c r="Z21" i="2"/>
  <c r="AA21" i="2"/>
  <c r="Y21" i="2"/>
  <c r="BS6" i="2"/>
  <c r="CE6" i="2" s="1"/>
  <c r="BQ6" i="2"/>
  <c r="CC6" i="2" s="1"/>
  <c r="BR6" i="2"/>
  <c r="CD6" i="2" s="1"/>
  <c r="BT6" i="2"/>
  <c r="CF6" i="2" s="1"/>
  <c r="P18" i="2"/>
  <c r="CH6" i="2"/>
  <c r="BK55" i="9"/>
  <c r="BK72" i="9"/>
  <c r="AB21" i="2"/>
  <c r="BK310" i="9" s="1"/>
  <c r="BY21" i="2"/>
  <c r="BK35" i="9"/>
  <c r="BK31" i="9"/>
  <c r="BK198" i="9"/>
  <c r="BK71" i="9"/>
  <c r="BK119" i="9"/>
  <c r="BK268" i="9"/>
  <c r="Q7" i="11"/>
  <c r="S7" i="11"/>
  <c r="AF7" i="9"/>
  <c r="BJ7" i="9"/>
  <c r="BH7" i="9"/>
  <c r="BA7" i="9"/>
  <c r="AT7" i="9"/>
  <c r="AM7" i="9"/>
  <c r="Q175" i="11"/>
  <c r="S175" i="11"/>
  <c r="AF177" i="9"/>
  <c r="BJ177" i="9"/>
  <c r="BH177" i="9"/>
  <c r="BA177" i="9"/>
  <c r="AT177" i="9"/>
  <c r="AM177" i="9"/>
  <c r="Q264" i="11"/>
  <c r="S250" i="11"/>
  <c r="S264" i="11"/>
  <c r="H264" i="11"/>
  <c r="AF263" i="9"/>
  <c r="BJ263" i="9"/>
  <c r="BH263" i="9"/>
  <c r="BA263" i="9"/>
  <c r="AT263" i="9"/>
  <c r="AM263" i="9"/>
  <c r="Q94" i="11"/>
  <c r="S94" i="11"/>
  <c r="AF96" i="9"/>
  <c r="BJ96" i="9"/>
  <c r="BH96" i="9"/>
  <c r="BA96" i="9"/>
  <c r="AT96" i="9"/>
  <c r="AM96" i="9"/>
  <c r="Q308" i="11"/>
  <c r="Q43" i="11"/>
  <c r="BJ44" i="9"/>
  <c r="S43" i="11"/>
  <c r="AF44" i="9"/>
  <c r="BH44" i="9"/>
  <c r="BA44" i="9"/>
  <c r="AT44" i="9"/>
  <c r="AM44" i="9"/>
  <c r="Q250" i="11"/>
  <c r="H250" i="11"/>
  <c r="BJ249" i="9"/>
  <c r="AF249" i="9"/>
  <c r="BH249" i="9"/>
  <c r="BA249" i="9"/>
  <c r="AT249" i="9"/>
  <c r="AM249" i="9"/>
  <c r="S308" i="11"/>
  <c r="BM18" i="2"/>
  <c r="BY18" i="2" s="1"/>
  <c r="AQ18" i="2"/>
  <c r="AM307" i="9" s="1"/>
  <c r="BP18" i="2"/>
  <c r="CB18" i="2" s="1"/>
  <c r="AJ18" i="2"/>
  <c r="AF307" i="9" s="1"/>
  <c r="BL18" i="2"/>
  <c r="BH307" i="9" s="1"/>
  <c r="CA18" i="2"/>
  <c r="AC18" i="2"/>
  <c r="BJ307" i="9" s="1"/>
  <c r="BN18" i="2"/>
  <c r="BZ18" i="2" s="1"/>
  <c r="BE18" i="2"/>
  <c r="BA307" i="9" s="1"/>
  <c r="AX18" i="2"/>
  <c r="AT307" i="9" s="1"/>
  <c r="P73" i="11"/>
  <c r="E75" i="9"/>
  <c r="M75" i="9"/>
  <c r="P228" i="11"/>
  <c r="E225" i="9"/>
  <c r="M225" i="9"/>
  <c r="P194" i="11"/>
  <c r="E195" i="9"/>
  <c r="M195" i="9"/>
  <c r="H142" i="11"/>
  <c r="P142" i="11"/>
  <c r="E143" i="9"/>
  <c r="M143" i="9"/>
  <c r="H49" i="11"/>
  <c r="P49" i="11"/>
  <c r="E50" i="9"/>
  <c r="M50" i="9"/>
  <c r="H232" i="11"/>
  <c r="P232" i="11"/>
  <c r="E229" i="9"/>
  <c r="M229" i="9"/>
  <c r="P167" i="11"/>
  <c r="E169" i="9"/>
  <c r="M169" i="9"/>
  <c r="P195" i="11"/>
  <c r="E196" i="9"/>
  <c r="M196" i="9"/>
  <c r="P13" i="11"/>
  <c r="E13" i="9"/>
  <c r="M13" i="9"/>
  <c r="H303" i="11"/>
  <c r="P303" i="11"/>
  <c r="E302" i="9"/>
  <c r="M302" i="9"/>
  <c r="CZ13" i="2"/>
  <c r="CY13" i="2" s="1"/>
  <c r="X13" i="2" s="1"/>
  <c r="R11" i="1"/>
  <c r="Y11" i="1"/>
  <c r="AE11" i="1"/>
  <c r="H273" i="11"/>
  <c r="P273" i="11"/>
  <c r="E272" i="9"/>
  <c r="M272" i="9"/>
  <c r="H42" i="11"/>
  <c r="P42" i="11"/>
  <c r="E43" i="9"/>
  <c r="M43" i="9"/>
  <c r="H292" i="11"/>
  <c r="P292" i="11"/>
  <c r="E291" i="9"/>
  <c r="M291" i="9"/>
  <c r="H111" i="11"/>
  <c r="P111" i="11"/>
  <c r="E112" i="9"/>
  <c r="M112" i="9"/>
  <c r="H68" i="11"/>
  <c r="P68" i="11"/>
  <c r="E70" i="9"/>
  <c r="M70" i="9"/>
  <c r="H67" i="11"/>
  <c r="P67" i="11"/>
  <c r="E69" i="9"/>
  <c r="M69" i="9"/>
  <c r="P193" i="11"/>
  <c r="E194" i="9"/>
  <c r="M194" i="9"/>
  <c r="P174" i="11"/>
  <c r="E176" i="9"/>
  <c r="M176" i="9"/>
  <c r="H271" i="11"/>
  <c r="P271" i="11"/>
  <c r="E270" i="9"/>
  <c r="M270" i="9"/>
  <c r="H84" i="11"/>
  <c r="P84" i="11"/>
  <c r="E86" i="9"/>
  <c r="M86" i="9"/>
  <c r="P298" i="11"/>
  <c r="E297" i="9"/>
  <c r="M297" i="9"/>
  <c r="CZ8" i="2"/>
  <c r="CY8" i="2" s="1"/>
  <c r="X8" i="2" s="1"/>
  <c r="R6" i="1"/>
  <c r="Y6" i="1"/>
  <c r="AE6" i="1"/>
  <c r="H72" i="11"/>
  <c r="P72" i="11"/>
  <c r="E74" i="9"/>
  <c r="M74" i="9"/>
  <c r="H192" i="11"/>
  <c r="P192" i="11"/>
  <c r="E193" i="9"/>
  <c r="M193" i="9"/>
  <c r="H99" i="11"/>
  <c r="P99" i="11"/>
  <c r="E101" i="9"/>
  <c r="M101" i="9"/>
  <c r="P106" i="11"/>
  <c r="E107" i="9"/>
  <c r="M107" i="9"/>
  <c r="H126" i="11"/>
  <c r="P126" i="11"/>
  <c r="E125" i="9"/>
  <c r="M125" i="9"/>
  <c r="P285" i="11"/>
  <c r="E284" i="9"/>
  <c r="M284" i="9"/>
  <c r="H9" i="11"/>
  <c r="P9" i="11"/>
  <c r="E9" i="9"/>
  <c r="M9" i="9"/>
  <c r="P319" i="11"/>
  <c r="E318" i="9"/>
  <c r="M318" i="9"/>
  <c r="CZ29" i="2"/>
  <c r="CY29" i="2" s="1"/>
  <c r="X29" i="2" s="1"/>
  <c r="R30" i="1"/>
  <c r="Y30" i="1"/>
  <c r="AE30" i="1"/>
  <c r="H150" i="11"/>
  <c r="P150" i="11"/>
  <c r="E152" i="9"/>
  <c r="M152" i="9"/>
  <c r="P220" i="11"/>
  <c r="E217" i="9"/>
  <c r="M217" i="9"/>
  <c r="H101" i="11"/>
  <c r="P101" i="11"/>
  <c r="E103" i="9"/>
  <c r="M103" i="9"/>
  <c r="P214" i="11"/>
  <c r="E211" i="9"/>
  <c r="M211" i="9"/>
  <c r="H236" i="11"/>
  <c r="P236" i="11"/>
  <c r="E234" i="9"/>
  <c r="M234" i="9"/>
  <c r="H103" i="11"/>
  <c r="P103" i="11"/>
  <c r="E105" i="9"/>
  <c r="M105" i="9"/>
  <c r="P40" i="11"/>
  <c r="E41" i="9"/>
  <c r="M41" i="9"/>
  <c r="H140" i="11"/>
  <c r="P140" i="11"/>
  <c r="E141" i="9"/>
  <c r="M141" i="9"/>
  <c r="H253" i="11"/>
  <c r="P253" i="11"/>
  <c r="E252" i="9"/>
  <c r="M252" i="9"/>
  <c r="P21" i="11"/>
  <c r="E21" i="9"/>
  <c r="M21" i="9"/>
  <c r="P104" i="11"/>
  <c r="E3" i="9"/>
  <c r="M3" i="9"/>
  <c r="P282" i="11"/>
  <c r="E281" i="9"/>
  <c r="M281" i="9"/>
  <c r="H215" i="11"/>
  <c r="P215" i="11"/>
  <c r="E212" i="9"/>
  <c r="M212" i="9"/>
  <c r="H143" i="11"/>
  <c r="P143" i="11"/>
  <c r="E144" i="9"/>
  <c r="M144" i="9"/>
  <c r="H177" i="11"/>
  <c r="P177" i="11"/>
  <c r="E179" i="9"/>
  <c r="M179" i="9"/>
  <c r="BI198" i="9" l="1"/>
  <c r="BQ259" i="20"/>
  <c r="BI310" i="9"/>
  <c r="BQ262" i="20"/>
  <c r="BI72" i="9"/>
  <c r="BQ263" i="20"/>
  <c r="BI268" i="9"/>
  <c r="BQ256" i="20"/>
  <c r="BI55" i="9"/>
  <c r="BQ264" i="20"/>
  <c r="BI119" i="9"/>
  <c r="BQ257" i="20"/>
  <c r="BI71" i="9"/>
  <c r="BQ258" i="20"/>
  <c r="CK267" i="20"/>
  <c r="H267" i="20"/>
  <c r="CK274" i="20"/>
  <c r="H274" i="20"/>
  <c r="CK280" i="20"/>
  <c r="H280" i="20"/>
  <c r="P267" i="20"/>
  <c r="F267" i="20"/>
  <c r="P274" i="20"/>
  <c r="F274" i="20"/>
  <c r="F280" i="20"/>
  <c r="P280" i="20"/>
  <c r="BP257" i="20"/>
  <c r="CB119" i="9"/>
  <c r="BP264" i="20"/>
  <c r="CB55" i="9"/>
  <c r="G274" i="20"/>
  <c r="G280" i="20"/>
  <c r="BP258" i="20"/>
  <c r="CB71" i="9"/>
  <c r="BP259" i="20"/>
  <c r="CB198" i="9"/>
  <c r="BP262" i="20"/>
  <c r="CB310" i="9"/>
  <c r="BP263" i="20"/>
  <c r="CB72" i="9"/>
  <c r="BP256" i="20"/>
  <c r="CB268" i="9"/>
  <c r="G267" i="20"/>
  <c r="I249" i="6"/>
  <c r="I263" i="6"/>
  <c r="O263" i="6" s="1"/>
  <c r="B263" i="9" s="1"/>
  <c r="CD263" i="9" s="1"/>
  <c r="I177" i="6"/>
  <c r="I43" i="6"/>
  <c r="I95" i="6"/>
  <c r="I6" i="6"/>
  <c r="O6" i="6" s="1"/>
  <c r="B7" i="9" s="1"/>
  <c r="CD7" i="9" s="1"/>
  <c r="T16" i="1"/>
  <c r="I309" i="6"/>
  <c r="O309" i="6" s="1"/>
  <c r="B307" i="9" s="1"/>
  <c r="CD307" i="9" s="1"/>
  <c r="AF254" i="20"/>
  <c r="AF249" i="20"/>
  <c r="AF255" i="20"/>
  <c r="AF250" i="20"/>
  <c r="AF251" i="20"/>
  <c r="AF252" i="20"/>
  <c r="AF253" i="20"/>
  <c r="AF248" i="20"/>
  <c r="Y141" i="9"/>
  <c r="Y105" i="9"/>
  <c r="Y211" i="9"/>
  <c r="Y21" i="9"/>
  <c r="Y9" i="9"/>
  <c r="Y101" i="9"/>
  <c r="Y74" i="9"/>
  <c r="Y297" i="9"/>
  <c r="Y176" i="9"/>
  <c r="Y169" i="9"/>
  <c r="Y281" i="9"/>
  <c r="Y3" i="9"/>
  <c r="Y152" i="9"/>
  <c r="Y318" i="9"/>
  <c r="Y212" i="9"/>
  <c r="Y103" i="9"/>
  <c r="Y217" i="9"/>
  <c r="Y302" i="9"/>
  <c r="Y13" i="9"/>
  <c r="Y196" i="9"/>
  <c r="Y225" i="9"/>
  <c r="Y234" i="9"/>
  <c r="Y107" i="9"/>
  <c r="Y270" i="9"/>
  <c r="Y194" i="9"/>
  <c r="Y69" i="9"/>
  <c r="Y70" i="9"/>
  <c r="Y112" i="9"/>
  <c r="Y291" i="9"/>
  <c r="Y43" i="9"/>
  <c r="Y272" i="9"/>
  <c r="Y229" i="9"/>
  <c r="Y50" i="9"/>
  <c r="Y143" i="9"/>
  <c r="Y195" i="9"/>
  <c r="Y179" i="9"/>
  <c r="Y41" i="9"/>
  <c r="Y284" i="9"/>
  <c r="Y193" i="9"/>
  <c r="Y144" i="9"/>
  <c r="Y252" i="9"/>
  <c r="Y125" i="9"/>
  <c r="Y86" i="9"/>
  <c r="Y75" i="9"/>
  <c r="H55" i="9"/>
  <c r="F55" i="9"/>
  <c r="G55" i="9"/>
  <c r="G310" i="9"/>
  <c r="H310" i="9"/>
  <c r="F310" i="9"/>
  <c r="G119" i="9"/>
  <c r="F119" i="9"/>
  <c r="H119" i="9"/>
  <c r="F31" i="9"/>
  <c r="G31" i="9"/>
  <c r="H31" i="9"/>
  <c r="F166" i="9"/>
  <c r="G166" i="9"/>
  <c r="H166" i="9"/>
  <c r="F255" i="9"/>
  <c r="H255" i="9"/>
  <c r="G255" i="9"/>
  <c r="H126" i="9"/>
  <c r="G126" i="9"/>
  <c r="F126" i="9"/>
  <c r="H97" i="9"/>
  <c r="G97" i="9"/>
  <c r="F97" i="9"/>
  <c r="H127" i="9"/>
  <c r="G127" i="9"/>
  <c r="F127" i="9"/>
  <c r="H182" i="9"/>
  <c r="F182" i="9"/>
  <c r="G182" i="9"/>
  <c r="G262" i="9"/>
  <c r="H262" i="9"/>
  <c r="F262" i="9"/>
  <c r="H151" i="9"/>
  <c r="F151" i="9"/>
  <c r="G151" i="9"/>
  <c r="H233" i="9"/>
  <c r="G233" i="9"/>
  <c r="F233" i="9"/>
  <c r="F183" i="9"/>
  <c r="G183" i="9"/>
  <c r="H183" i="9"/>
  <c r="H164" i="9"/>
  <c r="F164" i="9"/>
  <c r="G164" i="9"/>
  <c r="H286" i="9"/>
  <c r="G286" i="9"/>
  <c r="F286" i="9"/>
  <c r="C234" i="18"/>
  <c r="B265" i="20"/>
  <c r="C282" i="18"/>
  <c r="C14" i="18"/>
  <c r="B279" i="20"/>
  <c r="C49" i="18"/>
  <c r="B276" i="20"/>
  <c r="C159" i="18"/>
  <c r="B271" i="20"/>
  <c r="B268" i="20"/>
  <c r="C132" i="18"/>
  <c r="C175" i="18"/>
  <c r="B269" i="20"/>
  <c r="B275" i="20"/>
  <c r="C108" i="18"/>
  <c r="C130" i="18"/>
  <c r="C256" i="18"/>
  <c r="B273" i="20"/>
  <c r="C189" i="18"/>
  <c r="C188" i="18"/>
  <c r="B266" i="20"/>
  <c r="C133" i="18"/>
  <c r="B270" i="20"/>
  <c r="C171" i="18"/>
  <c r="B277" i="20"/>
  <c r="C261" i="18"/>
  <c r="B272" i="20"/>
  <c r="O71" i="6"/>
  <c r="B72" i="9" s="1"/>
  <c r="CD72" i="9" s="1"/>
  <c r="O198" i="6"/>
  <c r="B198" i="9" s="1"/>
  <c r="CD198" i="9" s="1"/>
  <c r="O34" i="6"/>
  <c r="B35" i="9" s="1"/>
  <c r="CD35" i="9" s="1"/>
  <c r="O270" i="6"/>
  <c r="B268" i="9" s="1"/>
  <c r="CD268" i="9" s="1"/>
  <c r="B278" i="20"/>
  <c r="C173" i="18"/>
  <c r="O70" i="6"/>
  <c r="B71" i="9" s="1"/>
  <c r="CD71" i="9" s="1"/>
  <c r="CH282" i="20"/>
  <c r="K282" i="20" s="1"/>
  <c r="B264" i="20"/>
  <c r="B260" i="20"/>
  <c r="B262" i="20"/>
  <c r="B257" i="20"/>
  <c r="CH281" i="20"/>
  <c r="C73" i="18"/>
  <c r="W20" i="1"/>
  <c r="AM248" i="20"/>
  <c r="BH249" i="20"/>
  <c r="BA250" i="20"/>
  <c r="AM250" i="20"/>
  <c r="BR250" i="20"/>
  <c r="BO251" i="20"/>
  <c r="AM251" i="20"/>
  <c r="BH252" i="20"/>
  <c r="AM252" i="20"/>
  <c r="BO253" i="20"/>
  <c r="BH254" i="20"/>
  <c r="BR254" i="20"/>
  <c r="BA255" i="20"/>
  <c r="BR255" i="20"/>
  <c r="BS256" i="20"/>
  <c r="BS259" i="20"/>
  <c r="BR248" i="20"/>
  <c r="BO249" i="20"/>
  <c r="BR249" i="20"/>
  <c r="BH250" i="20"/>
  <c r="AT251" i="20"/>
  <c r="BO252" i="20"/>
  <c r="AT253" i="20"/>
  <c r="BO254" i="20"/>
  <c r="AM254" i="20"/>
  <c r="BH255" i="20"/>
  <c r="BS257" i="20"/>
  <c r="BS262" i="20"/>
  <c r="BA248" i="20"/>
  <c r="AT248" i="20"/>
  <c r="AT249" i="20"/>
  <c r="BO250" i="20"/>
  <c r="BA251" i="20"/>
  <c r="AT252" i="20"/>
  <c r="BA253" i="20"/>
  <c r="BR253" i="20"/>
  <c r="AT254" i="20"/>
  <c r="BO255" i="20"/>
  <c r="AM255" i="20"/>
  <c r="BS260" i="20"/>
  <c r="BS263" i="20"/>
  <c r="BH248" i="20"/>
  <c r="BO248" i="20"/>
  <c r="BA249" i="20"/>
  <c r="AM249" i="20"/>
  <c r="AT250" i="20"/>
  <c r="BH251" i="20"/>
  <c r="BR251" i="20"/>
  <c r="BA252" i="20"/>
  <c r="BR252" i="20"/>
  <c r="BH253" i="20"/>
  <c r="AM253" i="20"/>
  <c r="BA254" i="20"/>
  <c r="AT255" i="20"/>
  <c r="BS258" i="20"/>
  <c r="BS261" i="20"/>
  <c r="BS264" i="20"/>
  <c r="BU21" i="2"/>
  <c r="CG21" i="2" s="1"/>
  <c r="J233" i="6"/>
  <c r="J70" i="6"/>
  <c r="J71" i="6"/>
  <c r="J119" i="6"/>
  <c r="J54" i="6"/>
  <c r="J198" i="6"/>
  <c r="J270" i="6"/>
  <c r="BV21" i="2"/>
  <c r="J312" i="6" s="1"/>
  <c r="J272" i="6"/>
  <c r="J12" i="6"/>
  <c r="BS21" i="2"/>
  <c r="CE21" i="2" s="1"/>
  <c r="BR21" i="2"/>
  <c r="CD21" i="2" s="1"/>
  <c r="BT21" i="2"/>
  <c r="CF21" i="2" s="1"/>
  <c r="BQ21" i="2"/>
  <c r="CC21" i="2" s="1"/>
  <c r="U4" i="1"/>
  <c r="BW6" i="2"/>
  <c r="BX6" i="2" s="1"/>
  <c r="BJ101" i="9"/>
  <c r="P8" i="2"/>
  <c r="P29" i="2"/>
  <c r="AT125" i="9"/>
  <c r="BJ229" i="9"/>
  <c r="AT212" i="9"/>
  <c r="I293" i="6"/>
  <c r="P13" i="2"/>
  <c r="AF50" i="9"/>
  <c r="AF143" i="9"/>
  <c r="BK7" i="9"/>
  <c r="BK177" i="9"/>
  <c r="S228" i="11"/>
  <c r="S174" i="11"/>
  <c r="CB263" i="9"/>
  <c r="BK263" i="9"/>
  <c r="S13" i="11"/>
  <c r="S285" i="11"/>
  <c r="S193" i="11"/>
  <c r="S194" i="11"/>
  <c r="BK96" i="9"/>
  <c r="S282" i="11"/>
  <c r="S214" i="11"/>
  <c r="S298" i="11"/>
  <c r="S40" i="11"/>
  <c r="S319" i="11"/>
  <c r="Q73" i="11"/>
  <c r="S21" i="11"/>
  <c r="S220" i="11"/>
  <c r="S104" i="11"/>
  <c r="S106" i="11"/>
  <c r="BK44" i="9"/>
  <c r="BK249" i="9"/>
  <c r="Y18" i="2"/>
  <c r="Z18" i="2"/>
  <c r="AA18" i="2"/>
  <c r="AB18" i="2"/>
  <c r="BK307" i="9" s="1"/>
  <c r="Q253" i="11"/>
  <c r="Q140" i="11"/>
  <c r="Q236" i="11"/>
  <c r="Q101" i="11"/>
  <c r="Q150" i="11"/>
  <c r="Q319" i="11"/>
  <c r="Q9" i="11"/>
  <c r="Q99" i="11"/>
  <c r="Q84" i="11"/>
  <c r="Q193" i="11"/>
  <c r="Q111" i="11"/>
  <c r="Q13" i="11"/>
  <c r="Q195" i="11"/>
  <c r="Q143" i="11"/>
  <c r="Q215" i="11"/>
  <c r="Q49" i="11"/>
  <c r="S195" i="11"/>
  <c r="S167" i="11"/>
  <c r="H73" i="11"/>
  <c r="S73" i="11"/>
  <c r="AF75" i="9"/>
  <c r="BJ75" i="9"/>
  <c r="BH75" i="9"/>
  <c r="BA75" i="9"/>
  <c r="AT75" i="9"/>
  <c r="AM75" i="9"/>
  <c r="Q228" i="11"/>
  <c r="H228" i="11"/>
  <c r="AF225" i="9"/>
  <c r="BJ225" i="9"/>
  <c r="BH225" i="9"/>
  <c r="BA225" i="9"/>
  <c r="AT225" i="9"/>
  <c r="AM225" i="9"/>
  <c r="Q194" i="11"/>
  <c r="H194" i="11"/>
  <c r="AF195" i="9"/>
  <c r="BJ195" i="9"/>
  <c r="BH195" i="9"/>
  <c r="BA195" i="9"/>
  <c r="AT195" i="9"/>
  <c r="AM195" i="9"/>
  <c r="Q142" i="11"/>
  <c r="S142" i="11"/>
  <c r="BJ143" i="9"/>
  <c r="BH143" i="9"/>
  <c r="BA143" i="9"/>
  <c r="AT143" i="9"/>
  <c r="AM143" i="9"/>
  <c r="S49" i="11"/>
  <c r="BJ50" i="9"/>
  <c r="BH50" i="9"/>
  <c r="BA50" i="9"/>
  <c r="AT50" i="9"/>
  <c r="AM50" i="9"/>
  <c r="Q232" i="11"/>
  <c r="S232" i="11"/>
  <c r="BH229" i="9"/>
  <c r="BA229" i="9"/>
  <c r="AT229" i="9"/>
  <c r="AM229" i="9"/>
  <c r="AF229" i="9"/>
  <c r="AF169" i="9"/>
  <c r="Q167" i="11"/>
  <c r="H167" i="11"/>
  <c r="BJ169" i="9"/>
  <c r="BH169" i="9"/>
  <c r="BA169" i="9"/>
  <c r="AT169" i="9"/>
  <c r="AM169" i="9"/>
  <c r="H195" i="11"/>
  <c r="AF196" i="9"/>
  <c r="BJ196" i="9"/>
  <c r="BH196" i="9"/>
  <c r="BA196" i="9"/>
  <c r="AT196" i="9"/>
  <c r="AM196" i="9"/>
  <c r="H13" i="11"/>
  <c r="AF13" i="9"/>
  <c r="BJ13" i="9"/>
  <c r="BH13" i="9"/>
  <c r="BA13" i="9"/>
  <c r="AT13" i="9"/>
  <c r="AM13" i="9"/>
  <c r="BN13" i="2"/>
  <c r="BZ13" i="2" s="1"/>
  <c r="AC13" i="2"/>
  <c r="BJ302" i="9" s="1"/>
  <c r="Q303" i="11"/>
  <c r="S303" i="11"/>
  <c r="BL13" i="2"/>
  <c r="BH302" i="9" s="1"/>
  <c r="CA13" i="2"/>
  <c r="AJ13" i="2"/>
  <c r="AF302" i="9" s="1"/>
  <c r="BP13" i="2"/>
  <c r="CB13" i="2" s="1"/>
  <c r="BM13" i="2"/>
  <c r="BY13" i="2" s="1"/>
  <c r="BE13" i="2"/>
  <c r="BA302" i="9" s="1"/>
  <c r="AX13" i="2"/>
  <c r="AT302" i="9" s="1"/>
  <c r="AQ13" i="2"/>
  <c r="AM302" i="9" s="1"/>
  <c r="AF272" i="9"/>
  <c r="Q273" i="11"/>
  <c r="S273" i="11"/>
  <c r="BJ272" i="9"/>
  <c r="BH272" i="9"/>
  <c r="BA272" i="9"/>
  <c r="AT272" i="9"/>
  <c r="AM272" i="9"/>
  <c r="AF43" i="9"/>
  <c r="Q42" i="11"/>
  <c r="S42" i="11"/>
  <c r="BJ43" i="9"/>
  <c r="BH43" i="9"/>
  <c r="BA43" i="9"/>
  <c r="AT43" i="9"/>
  <c r="AM43" i="9"/>
  <c r="Q292" i="11"/>
  <c r="S292" i="11"/>
  <c r="BJ291" i="9"/>
  <c r="AF291" i="9"/>
  <c r="BH291" i="9"/>
  <c r="BA291" i="9"/>
  <c r="AT291" i="9"/>
  <c r="AM291" i="9"/>
  <c r="S111" i="11"/>
  <c r="BJ112" i="9"/>
  <c r="AF112" i="9"/>
  <c r="BH112" i="9"/>
  <c r="BA112" i="9"/>
  <c r="AT112" i="9"/>
  <c r="AM112" i="9"/>
  <c r="Q68" i="11"/>
  <c r="BJ70" i="9"/>
  <c r="S68" i="11"/>
  <c r="AF70" i="9"/>
  <c r="BH70" i="9"/>
  <c r="BA70" i="9"/>
  <c r="AT70" i="9"/>
  <c r="AM70" i="9"/>
  <c r="AF69" i="9"/>
  <c r="Q67" i="11"/>
  <c r="S67" i="11"/>
  <c r="BJ69" i="9"/>
  <c r="BH69" i="9"/>
  <c r="BA69" i="9"/>
  <c r="AT69" i="9"/>
  <c r="AM69" i="9"/>
  <c r="H193" i="11"/>
  <c r="AF194" i="9"/>
  <c r="BJ194" i="9"/>
  <c r="BH194" i="9"/>
  <c r="BA194" i="9"/>
  <c r="AT194" i="9"/>
  <c r="AM194" i="9"/>
  <c r="Q174" i="11"/>
  <c r="H174" i="11"/>
  <c r="AF176" i="9"/>
  <c r="BJ176" i="9"/>
  <c r="BH176" i="9"/>
  <c r="BA176" i="9"/>
  <c r="AT176" i="9"/>
  <c r="AM176" i="9"/>
  <c r="Q271" i="11"/>
  <c r="S271" i="11"/>
  <c r="AF270" i="9"/>
  <c r="BJ270" i="9"/>
  <c r="BH270" i="9"/>
  <c r="BA270" i="9"/>
  <c r="AT270" i="9"/>
  <c r="AM270" i="9"/>
  <c r="S84" i="11"/>
  <c r="AF86" i="9"/>
  <c r="BJ86" i="9"/>
  <c r="BH86" i="9"/>
  <c r="BA86" i="9"/>
  <c r="AT86" i="9"/>
  <c r="AM86" i="9"/>
  <c r="Q298" i="11"/>
  <c r="H298" i="11"/>
  <c r="CA8" i="2"/>
  <c r="AJ8" i="2"/>
  <c r="AF297" i="9" s="1"/>
  <c r="BP8" i="2"/>
  <c r="CB8" i="2" s="1"/>
  <c r="BN8" i="2"/>
  <c r="BZ8" i="2" s="1"/>
  <c r="AC8" i="2"/>
  <c r="BJ297" i="9" s="1"/>
  <c r="BM8" i="2"/>
  <c r="BY8" i="2" s="1"/>
  <c r="BL8" i="2"/>
  <c r="BH297" i="9" s="1"/>
  <c r="BE8" i="2"/>
  <c r="BA297" i="9" s="1"/>
  <c r="AX8" i="2"/>
  <c r="AT297" i="9" s="1"/>
  <c r="AQ8" i="2"/>
  <c r="AM297" i="9" s="1"/>
  <c r="Q72" i="11"/>
  <c r="S72" i="11"/>
  <c r="AF74" i="9"/>
  <c r="BJ74" i="9"/>
  <c r="BH74" i="9"/>
  <c r="BA74" i="9"/>
  <c r="AT74" i="9"/>
  <c r="AM74" i="9"/>
  <c r="Q192" i="11"/>
  <c r="S192" i="11"/>
  <c r="AF193" i="9"/>
  <c r="BJ193" i="9"/>
  <c r="BH193" i="9"/>
  <c r="BA193" i="9"/>
  <c r="AT193" i="9"/>
  <c r="AM193" i="9"/>
  <c r="S99" i="11"/>
  <c r="BH101" i="9"/>
  <c r="BA101" i="9"/>
  <c r="AT101" i="9"/>
  <c r="AM101" i="9"/>
  <c r="AF101" i="9"/>
  <c r="Q106" i="11"/>
  <c r="H106" i="11"/>
  <c r="AF107" i="9"/>
  <c r="BJ107" i="9"/>
  <c r="BH107" i="9"/>
  <c r="BA107" i="9"/>
  <c r="AT107" i="9"/>
  <c r="AM107" i="9"/>
  <c r="Q126" i="11"/>
  <c r="S126" i="11"/>
  <c r="AM125" i="9"/>
  <c r="AF125" i="9"/>
  <c r="BJ125" i="9"/>
  <c r="BH125" i="9"/>
  <c r="BA125" i="9"/>
  <c r="Q285" i="11"/>
  <c r="H285" i="11"/>
  <c r="AF284" i="9"/>
  <c r="BJ284" i="9"/>
  <c r="BH284" i="9"/>
  <c r="BA284" i="9"/>
  <c r="AT284" i="9"/>
  <c r="AM284" i="9"/>
  <c r="S9" i="11"/>
  <c r="AF9" i="9"/>
  <c r="BJ9" i="9"/>
  <c r="BH9" i="9"/>
  <c r="BA9" i="9"/>
  <c r="AT9" i="9"/>
  <c r="AM9" i="9"/>
  <c r="BL29" i="2"/>
  <c r="BH318" i="9" s="1"/>
  <c r="H319" i="11"/>
  <c r="CA29" i="2"/>
  <c r="AC29" i="2"/>
  <c r="BJ318" i="9" s="1"/>
  <c r="BN29" i="2"/>
  <c r="BZ29" i="2" s="1"/>
  <c r="AJ29" i="2"/>
  <c r="AF318" i="9" s="1"/>
  <c r="BP29" i="2"/>
  <c r="CB29" i="2" s="1"/>
  <c r="BM29" i="2"/>
  <c r="BY29" i="2" s="1"/>
  <c r="BE29" i="2"/>
  <c r="BA318" i="9" s="1"/>
  <c r="AX29" i="2"/>
  <c r="AT318" i="9" s="1"/>
  <c r="AQ29" i="2"/>
  <c r="AM318" i="9" s="1"/>
  <c r="S150" i="11"/>
  <c r="AF152" i="9"/>
  <c r="BJ152" i="9"/>
  <c r="BH152" i="9"/>
  <c r="BA152" i="9"/>
  <c r="AT152" i="9"/>
  <c r="AM152" i="9"/>
  <c r="Q220" i="11"/>
  <c r="H220" i="11"/>
  <c r="AF217" i="9"/>
  <c r="BJ217" i="9"/>
  <c r="BH217" i="9"/>
  <c r="BA217" i="9"/>
  <c r="AT217" i="9"/>
  <c r="AM217" i="9"/>
  <c r="S101" i="11"/>
  <c r="BH103" i="9"/>
  <c r="BA103" i="9"/>
  <c r="AF103" i="9"/>
  <c r="BJ103" i="9"/>
  <c r="AT103" i="9"/>
  <c r="AM103" i="9"/>
  <c r="Q214" i="11"/>
  <c r="H214" i="11"/>
  <c r="AF211" i="9"/>
  <c r="BJ211" i="9"/>
  <c r="BH211" i="9"/>
  <c r="BA211" i="9"/>
  <c r="AT211" i="9"/>
  <c r="AM211" i="9"/>
  <c r="S236" i="11"/>
  <c r="AF234" i="9"/>
  <c r="BJ234" i="9"/>
  <c r="BH234" i="9"/>
  <c r="BA234" i="9"/>
  <c r="AT234" i="9"/>
  <c r="AM234" i="9"/>
  <c r="Q103" i="11"/>
  <c r="S103" i="11"/>
  <c r="AF105" i="9"/>
  <c r="BJ105" i="9"/>
  <c r="BH105" i="9"/>
  <c r="BA105" i="9"/>
  <c r="AT105" i="9"/>
  <c r="AM105" i="9"/>
  <c r="Q40" i="11"/>
  <c r="H40" i="11"/>
  <c r="AF41" i="9"/>
  <c r="BJ41" i="9"/>
  <c r="BH41" i="9"/>
  <c r="BA41" i="9"/>
  <c r="AT41" i="9"/>
  <c r="AM41" i="9"/>
  <c r="S140" i="11"/>
  <c r="AF141" i="9"/>
  <c r="BJ141" i="9"/>
  <c r="BH141" i="9"/>
  <c r="BA141" i="9"/>
  <c r="AT141" i="9"/>
  <c r="AM141" i="9"/>
  <c r="S253" i="11"/>
  <c r="BJ252" i="9"/>
  <c r="AF252" i="9"/>
  <c r="BH252" i="9"/>
  <c r="BA252" i="9"/>
  <c r="AT252" i="9"/>
  <c r="AM252" i="9"/>
  <c r="Q21" i="11"/>
  <c r="H21" i="11"/>
  <c r="BH21" i="9"/>
  <c r="BJ21" i="9"/>
  <c r="AF21" i="9"/>
  <c r="BA21" i="9"/>
  <c r="AT21" i="9"/>
  <c r="AM21" i="9"/>
  <c r="Q104" i="11"/>
  <c r="H104" i="11"/>
  <c r="AF3" i="9"/>
  <c r="BJ3" i="9"/>
  <c r="BH3" i="9"/>
  <c r="BA3" i="9"/>
  <c r="AT3" i="9"/>
  <c r="AM3" i="9"/>
  <c r="AF281" i="9"/>
  <c r="Q282" i="11"/>
  <c r="H282" i="11"/>
  <c r="BJ281" i="9"/>
  <c r="BH281" i="9"/>
  <c r="BA281" i="9"/>
  <c r="AT281" i="9"/>
  <c r="AM281" i="9"/>
  <c r="AF212" i="9"/>
  <c r="S215" i="11"/>
  <c r="BJ212" i="9"/>
  <c r="AM212" i="9"/>
  <c r="BH212" i="9"/>
  <c r="BA212" i="9"/>
  <c r="S143" i="11"/>
  <c r="AF144" i="9"/>
  <c r="BJ144" i="9"/>
  <c r="BH144" i="9"/>
  <c r="BA144" i="9"/>
  <c r="AT144" i="9"/>
  <c r="AM144" i="9"/>
  <c r="Q177" i="11"/>
  <c r="S177" i="11"/>
  <c r="AT179" i="9"/>
  <c r="AF179" i="9"/>
  <c r="BJ179" i="9"/>
  <c r="BH179" i="9"/>
  <c r="BA179" i="9"/>
  <c r="AM179" i="9"/>
  <c r="P56" i="11"/>
  <c r="E58" i="9"/>
  <c r="M58" i="9"/>
  <c r="H284" i="11"/>
  <c r="P284" i="11"/>
  <c r="E283" i="9"/>
  <c r="M283" i="9"/>
  <c r="BQ229" i="20" l="1"/>
  <c r="BI249" i="9"/>
  <c r="BQ249" i="20"/>
  <c r="BI96" i="9"/>
  <c r="BQ251" i="20"/>
  <c r="BI263" i="9"/>
  <c r="BQ252" i="20"/>
  <c r="BI44" i="9"/>
  <c r="BQ250" i="20"/>
  <c r="BI177" i="9"/>
  <c r="BQ253" i="20"/>
  <c r="BI270" i="9"/>
  <c r="BQ226" i="20"/>
  <c r="BI7" i="9"/>
  <c r="BQ254" i="20"/>
  <c r="BI13" i="9"/>
  <c r="BQ238" i="20"/>
  <c r="BI307" i="9"/>
  <c r="BQ248" i="20"/>
  <c r="BQ255" i="20"/>
  <c r="CK264" i="20"/>
  <c r="H264" i="20"/>
  <c r="CK270" i="20"/>
  <c r="H270" i="20"/>
  <c r="CK273" i="20"/>
  <c r="H273" i="20"/>
  <c r="CK275" i="20"/>
  <c r="H275" i="20"/>
  <c r="CK271" i="20"/>
  <c r="H271" i="20"/>
  <c r="CK257" i="20"/>
  <c r="H257" i="20"/>
  <c r="CK278" i="20"/>
  <c r="H278" i="20"/>
  <c r="CK277" i="20"/>
  <c r="H277" i="20"/>
  <c r="CK269" i="20"/>
  <c r="H269" i="20"/>
  <c r="CK265" i="20"/>
  <c r="H265" i="20"/>
  <c r="CK262" i="20"/>
  <c r="H262" i="20"/>
  <c r="CK272" i="20"/>
  <c r="H272" i="20"/>
  <c r="CK268" i="20"/>
  <c r="H268" i="20"/>
  <c r="CK276" i="20"/>
  <c r="H276" i="20"/>
  <c r="CK279" i="20"/>
  <c r="H279" i="20"/>
  <c r="CK260" i="20"/>
  <c r="H260" i="20"/>
  <c r="CK266" i="20"/>
  <c r="H266" i="20"/>
  <c r="AF241" i="20"/>
  <c r="AF236" i="20"/>
  <c r="F257" i="20"/>
  <c r="P257" i="20"/>
  <c r="P278" i="20"/>
  <c r="F278" i="20"/>
  <c r="F277" i="20"/>
  <c r="P277" i="20"/>
  <c r="F269" i="20"/>
  <c r="P269" i="20"/>
  <c r="P265" i="20"/>
  <c r="F265" i="20"/>
  <c r="P262" i="20"/>
  <c r="F262" i="20"/>
  <c r="P272" i="20"/>
  <c r="F272" i="20"/>
  <c r="P268" i="20"/>
  <c r="F268" i="20"/>
  <c r="P276" i="20"/>
  <c r="F276" i="20"/>
  <c r="P279" i="20"/>
  <c r="F279" i="20"/>
  <c r="P260" i="20"/>
  <c r="F260" i="20"/>
  <c r="P266" i="20"/>
  <c r="F266" i="20"/>
  <c r="F264" i="20"/>
  <c r="P264" i="20"/>
  <c r="P270" i="20"/>
  <c r="F270" i="20"/>
  <c r="F273" i="20"/>
  <c r="P273" i="20"/>
  <c r="F275" i="20"/>
  <c r="P275" i="20"/>
  <c r="P271" i="20"/>
  <c r="F271" i="20"/>
  <c r="BP229" i="20"/>
  <c r="BP238" i="20"/>
  <c r="CB13" i="9"/>
  <c r="BP248" i="20"/>
  <c r="CB307" i="9"/>
  <c r="BP254" i="20"/>
  <c r="CB7" i="9"/>
  <c r="G262" i="20"/>
  <c r="G277" i="20"/>
  <c r="G269" i="20"/>
  <c r="BP255" i="20"/>
  <c r="G260" i="20"/>
  <c r="G272" i="20"/>
  <c r="G268" i="20"/>
  <c r="G276" i="20"/>
  <c r="G279" i="20"/>
  <c r="G265" i="20"/>
  <c r="BP249" i="20"/>
  <c r="CB249" i="9"/>
  <c r="BP251" i="20"/>
  <c r="CB96" i="9"/>
  <c r="BP253" i="20"/>
  <c r="CB177" i="9"/>
  <c r="G264" i="20"/>
  <c r="G266" i="20"/>
  <c r="BP220" i="20"/>
  <c r="BP226" i="20"/>
  <c r="CB270" i="9"/>
  <c r="BP250" i="20"/>
  <c r="CB44" i="9"/>
  <c r="G257" i="20"/>
  <c r="G278" i="20"/>
  <c r="G270" i="20"/>
  <c r="G273" i="20"/>
  <c r="G275" i="20"/>
  <c r="G271" i="20"/>
  <c r="AF203" i="20"/>
  <c r="AF242" i="20"/>
  <c r="I252" i="6"/>
  <c r="I272" i="6"/>
  <c r="I274" i="6"/>
  <c r="I286" i="6"/>
  <c r="I283" i="6"/>
  <c r="I212" i="6"/>
  <c r="I229" i="6"/>
  <c r="I217" i="6"/>
  <c r="I225" i="6"/>
  <c r="I211" i="6"/>
  <c r="I234" i="6"/>
  <c r="I176" i="6"/>
  <c r="I179" i="6"/>
  <c r="O179" i="6" s="1"/>
  <c r="B179" i="9" s="1"/>
  <c r="CD179" i="9" s="1"/>
  <c r="I196" i="6"/>
  <c r="I193" i="6"/>
  <c r="I195" i="6"/>
  <c r="I194" i="6"/>
  <c r="I143" i="6"/>
  <c r="I144" i="6"/>
  <c r="I169" i="6"/>
  <c r="I152" i="6"/>
  <c r="I141" i="6"/>
  <c r="O141" i="6" s="1"/>
  <c r="B141" i="9" s="1"/>
  <c r="CD141" i="9" s="1"/>
  <c r="I127" i="6"/>
  <c r="I104" i="6"/>
  <c r="O104" i="6" s="1"/>
  <c r="B105" i="9" s="1"/>
  <c r="CD105" i="9" s="1"/>
  <c r="I107" i="6"/>
  <c r="I112" i="6"/>
  <c r="I100" i="6"/>
  <c r="I49" i="6"/>
  <c r="O49" i="6" s="1"/>
  <c r="B50" i="9" s="1"/>
  <c r="CD50" i="9" s="1"/>
  <c r="I42" i="6"/>
  <c r="O42" i="6" s="1"/>
  <c r="B43" i="9" s="1"/>
  <c r="CD43" i="9" s="1"/>
  <c r="I68" i="6"/>
  <c r="O68" i="6" s="1"/>
  <c r="B69" i="9" s="1"/>
  <c r="CD69" i="9" s="1"/>
  <c r="I74" i="6"/>
  <c r="I73" i="6"/>
  <c r="I102" i="6"/>
  <c r="I85" i="6"/>
  <c r="I40" i="6"/>
  <c r="O40" i="6" s="1"/>
  <c r="B41" i="9" s="1"/>
  <c r="CD41" i="9" s="1"/>
  <c r="I69" i="6"/>
  <c r="I8" i="6"/>
  <c r="O8" i="6" s="1"/>
  <c r="B9" i="9" s="1"/>
  <c r="CD9" i="9" s="1"/>
  <c r="I12" i="6"/>
  <c r="O12" i="6" s="1"/>
  <c r="B13" i="9" s="1"/>
  <c r="CD13" i="9" s="1"/>
  <c r="T30" i="1"/>
  <c r="I320" i="6"/>
  <c r="O320" i="6" s="1"/>
  <c r="B318" i="9" s="1"/>
  <c r="CD318" i="9" s="1"/>
  <c r="T6" i="1"/>
  <c r="I299" i="6"/>
  <c r="O299" i="6" s="1"/>
  <c r="T11" i="1"/>
  <c r="I304" i="6"/>
  <c r="O304" i="6" s="1"/>
  <c r="B302" i="9" s="1"/>
  <c r="CD302" i="9" s="1"/>
  <c r="AF206" i="20"/>
  <c r="AF214" i="20"/>
  <c r="AF217" i="20"/>
  <c r="AF213" i="20"/>
  <c r="AF209" i="20"/>
  <c r="AF226" i="20"/>
  <c r="AF216" i="20"/>
  <c r="AF238" i="20"/>
  <c r="AF244" i="20"/>
  <c r="AF231" i="20"/>
  <c r="AF222" i="20"/>
  <c r="AF211" i="20"/>
  <c r="AF229" i="20"/>
  <c r="AF228" i="20"/>
  <c r="AF232" i="20"/>
  <c r="AF239" i="20"/>
  <c r="CB281" i="9"/>
  <c r="BQ203" i="20"/>
  <c r="AF240" i="20"/>
  <c r="AF198" i="20"/>
  <c r="BQ208" i="20"/>
  <c r="CB41" i="9"/>
  <c r="AF221" i="20"/>
  <c r="AF215" i="20"/>
  <c r="AF245" i="20"/>
  <c r="AF220" i="20"/>
  <c r="AF235" i="20"/>
  <c r="AF212" i="20"/>
  <c r="AF227" i="20"/>
  <c r="AF219" i="20"/>
  <c r="AF247" i="20"/>
  <c r="AF207" i="20"/>
  <c r="AF223" i="20"/>
  <c r="AF246" i="20"/>
  <c r="AF218" i="20"/>
  <c r="AF225" i="20"/>
  <c r="AF201" i="20"/>
  <c r="AF233" i="20"/>
  <c r="AF234" i="20"/>
  <c r="AF202" i="20"/>
  <c r="AF208" i="20"/>
  <c r="AF200" i="20"/>
  <c r="AF210" i="20"/>
  <c r="AF224" i="20"/>
  <c r="AF237" i="20"/>
  <c r="AF230" i="20"/>
  <c r="AF243" i="20"/>
  <c r="AF205" i="20"/>
  <c r="AF204" i="20"/>
  <c r="AF199" i="20"/>
  <c r="Y283" i="9"/>
  <c r="Y58" i="9"/>
  <c r="CH267" i="20"/>
  <c r="M267" i="20" s="1"/>
  <c r="H7" i="9"/>
  <c r="G7" i="9"/>
  <c r="F7" i="9"/>
  <c r="G307" i="9"/>
  <c r="H307" i="9"/>
  <c r="F307" i="9"/>
  <c r="F263" i="9"/>
  <c r="H263" i="9"/>
  <c r="G263" i="9"/>
  <c r="G71" i="9"/>
  <c r="H71" i="9"/>
  <c r="F71" i="9"/>
  <c r="F268" i="9"/>
  <c r="G268" i="9"/>
  <c r="H268" i="9"/>
  <c r="F35" i="9"/>
  <c r="G35" i="9"/>
  <c r="H35" i="9"/>
  <c r="F198" i="9"/>
  <c r="G198" i="9"/>
  <c r="H198" i="9"/>
  <c r="F72" i="9"/>
  <c r="G72" i="9"/>
  <c r="H72" i="9"/>
  <c r="C203" i="18"/>
  <c r="B256" i="20"/>
  <c r="B263" i="20"/>
  <c r="C86" i="18"/>
  <c r="B258" i="20"/>
  <c r="C85" i="18"/>
  <c r="C262" i="18"/>
  <c r="C28" i="18"/>
  <c r="B259" i="20"/>
  <c r="C266" i="18"/>
  <c r="CH280" i="20"/>
  <c r="O177" i="6"/>
  <c r="B177" i="9" s="1"/>
  <c r="CD177" i="9" s="1"/>
  <c r="C53" i="18"/>
  <c r="B261" i="20"/>
  <c r="O249" i="6"/>
  <c r="B249" i="9" s="1"/>
  <c r="CD249" i="9" s="1"/>
  <c r="O43" i="6"/>
  <c r="B44" i="9" s="1"/>
  <c r="CD44" i="9" s="1"/>
  <c r="O95" i="6"/>
  <c r="B96" i="9" s="1"/>
  <c r="CD96" i="9" s="1"/>
  <c r="J282" i="20"/>
  <c r="M282" i="20"/>
  <c r="I282" i="20"/>
  <c r="L282" i="20"/>
  <c r="B252" i="20"/>
  <c r="CH274" i="20"/>
  <c r="M281" i="20"/>
  <c r="J281" i="20"/>
  <c r="K281" i="20"/>
  <c r="L281" i="20"/>
  <c r="I281" i="20"/>
  <c r="B254" i="20"/>
  <c r="B248" i="20"/>
  <c r="C11" i="18"/>
  <c r="W16" i="1"/>
  <c r="I20" i="6"/>
  <c r="BP252" i="20"/>
  <c r="AM198" i="20"/>
  <c r="BH199" i="20"/>
  <c r="BR199" i="20"/>
  <c r="BH200" i="20"/>
  <c r="AM200" i="20"/>
  <c r="BH201" i="20"/>
  <c r="BR201" i="20"/>
  <c r="AT202" i="20"/>
  <c r="AT203" i="20"/>
  <c r="BH203" i="20"/>
  <c r="BA204" i="20"/>
  <c r="BR204" i="20"/>
  <c r="AT205" i="20"/>
  <c r="AM205" i="20"/>
  <c r="BO206" i="20"/>
  <c r="BO207" i="20"/>
  <c r="AM207" i="20"/>
  <c r="BO208" i="20"/>
  <c r="AT209" i="20"/>
  <c r="AM209" i="20"/>
  <c r="BO210" i="20"/>
  <c r="BO211" i="20"/>
  <c r="AM211" i="20"/>
  <c r="AM212" i="20"/>
  <c r="BH213" i="20"/>
  <c r="BR213" i="20"/>
  <c r="BA214" i="20"/>
  <c r="BR214" i="20"/>
  <c r="BA215" i="20"/>
  <c r="AM215" i="20"/>
  <c r="BA216" i="20"/>
  <c r="BR216" i="20"/>
  <c r="BA217" i="20"/>
  <c r="BR217" i="20"/>
  <c r="BH218" i="20"/>
  <c r="AM218" i="20"/>
  <c r="BO219" i="20"/>
  <c r="BR219" i="20"/>
  <c r="AT220" i="20"/>
  <c r="BO220" i="20"/>
  <c r="AM220" i="20"/>
  <c r="BH221" i="20"/>
  <c r="BH222" i="20"/>
  <c r="BA223" i="20"/>
  <c r="AT224" i="20"/>
  <c r="AM224" i="20"/>
  <c r="BO225" i="20"/>
  <c r="AM225" i="20"/>
  <c r="BO226" i="20"/>
  <c r="AT227" i="20"/>
  <c r="AM227" i="20"/>
  <c r="BO228" i="20"/>
  <c r="AM228" i="20"/>
  <c r="BR229" i="20"/>
  <c r="BO229" i="20"/>
  <c r="BA230" i="20"/>
  <c r="AT231" i="20"/>
  <c r="BO232" i="20"/>
  <c r="AM232" i="20"/>
  <c r="BA233" i="20"/>
  <c r="AM233" i="20"/>
  <c r="AT234" i="20"/>
  <c r="AM234" i="20"/>
  <c r="BO235" i="20"/>
  <c r="BH236" i="20"/>
  <c r="BA237" i="20"/>
  <c r="AM237" i="20"/>
  <c r="AT238" i="20"/>
  <c r="BH238" i="20"/>
  <c r="AM238" i="20"/>
  <c r="BH239" i="20"/>
  <c r="BR239" i="20"/>
  <c r="BH240" i="20"/>
  <c r="AM240" i="20"/>
  <c r="BA241" i="20"/>
  <c r="AT242" i="20"/>
  <c r="BA243" i="20"/>
  <c r="BR243" i="20"/>
  <c r="BH244" i="20"/>
  <c r="BH245" i="20"/>
  <c r="BR245" i="20"/>
  <c r="BA246" i="20"/>
  <c r="BR246" i="20"/>
  <c r="AT247" i="20"/>
  <c r="BA201" i="20"/>
  <c r="AT198" i="20"/>
  <c r="BO198" i="20"/>
  <c r="BA198" i="20"/>
  <c r="BO199" i="20"/>
  <c r="AM199" i="20"/>
  <c r="BO200" i="20"/>
  <c r="BA202" i="20"/>
  <c r="BR202" i="20"/>
  <c r="BH204" i="20"/>
  <c r="BA205" i="20"/>
  <c r="BR205" i="20"/>
  <c r="AT206" i="20"/>
  <c r="BR206" i="20"/>
  <c r="AT207" i="20"/>
  <c r="AT208" i="20"/>
  <c r="BH208" i="20"/>
  <c r="BR208" i="20"/>
  <c r="BA209" i="20"/>
  <c r="AT210" i="20"/>
  <c r="AM210" i="20"/>
  <c r="AT211" i="20"/>
  <c r="BH212" i="20"/>
  <c r="BO213" i="20"/>
  <c r="AM213" i="20"/>
  <c r="BH214" i="20"/>
  <c r="BH215" i="20"/>
  <c r="BH216" i="20"/>
  <c r="BH217" i="20"/>
  <c r="AM217" i="20"/>
  <c r="BO218" i="20"/>
  <c r="AT219" i="20"/>
  <c r="BH219" i="20"/>
  <c r="AM219" i="20"/>
  <c r="BA220" i="20"/>
  <c r="BO221" i="20"/>
  <c r="BO222" i="20"/>
  <c r="AM222" i="20"/>
  <c r="BH223" i="20"/>
  <c r="BR223" i="20"/>
  <c r="BA224" i="20"/>
  <c r="BR224" i="20"/>
  <c r="AT225" i="20"/>
  <c r="AT226" i="20"/>
  <c r="BH226" i="20"/>
  <c r="BR226" i="20"/>
  <c r="BA227" i="20"/>
  <c r="AT228" i="20"/>
  <c r="AT229" i="20"/>
  <c r="BH229" i="20"/>
  <c r="AM229" i="20"/>
  <c r="BH230" i="20"/>
  <c r="BR230" i="20"/>
  <c r="BA231" i="20"/>
  <c r="AM231" i="20"/>
  <c r="BR231" i="20"/>
  <c r="AT232" i="20"/>
  <c r="BH232" i="20"/>
  <c r="BH233" i="20"/>
  <c r="BA234" i="20"/>
  <c r="AT235" i="20"/>
  <c r="AM235" i="20"/>
  <c r="BO236" i="20"/>
  <c r="BR236" i="20"/>
  <c r="BH237" i="20"/>
  <c r="BO239" i="20"/>
  <c r="BO240" i="20"/>
  <c r="BH241" i="20"/>
  <c r="BR241" i="20"/>
  <c r="AM242" i="20"/>
  <c r="BA242" i="20"/>
  <c r="BH243" i="20"/>
  <c r="BO245" i="20"/>
  <c r="BH246" i="20"/>
  <c r="BA247" i="20"/>
  <c r="BA218" i="20"/>
  <c r="BH198" i="20"/>
  <c r="BR198" i="20"/>
  <c r="AT199" i="20"/>
  <c r="AT200" i="20"/>
  <c r="BO201" i="20"/>
  <c r="AT201" i="20"/>
  <c r="BH202" i="20"/>
  <c r="BA203" i="20"/>
  <c r="AM203" i="20"/>
  <c r="BO204" i="20"/>
  <c r="AM204" i="20"/>
  <c r="BH205" i="20"/>
  <c r="BO205" i="20"/>
  <c r="BA206" i="20"/>
  <c r="AM206" i="20"/>
  <c r="BA207" i="20"/>
  <c r="AM208" i="20"/>
  <c r="BH209" i="20"/>
  <c r="BR209" i="20"/>
  <c r="BA210" i="20"/>
  <c r="BR210" i="20"/>
  <c r="BA211" i="20"/>
  <c r="AT212" i="20"/>
  <c r="BO212" i="20"/>
  <c r="AT213" i="20"/>
  <c r="BO214" i="20"/>
  <c r="AM214" i="20"/>
  <c r="BR215" i="20"/>
  <c r="BO215" i="20"/>
  <c r="BO216" i="20"/>
  <c r="AM216" i="20"/>
  <c r="BO217" i="20"/>
  <c r="AT218" i="20"/>
  <c r="AT221" i="20"/>
  <c r="AT222" i="20"/>
  <c r="BO223" i="20"/>
  <c r="AM223" i="20"/>
  <c r="BH224" i="20"/>
  <c r="BA225" i="20"/>
  <c r="AM226" i="20"/>
  <c r="BH227" i="20"/>
  <c r="BR227" i="20"/>
  <c r="BA228" i="20"/>
  <c r="BR228" i="20"/>
  <c r="BO230" i="20"/>
  <c r="BH231" i="20"/>
  <c r="BR232" i="20"/>
  <c r="BO233" i="20"/>
  <c r="BR233" i="20"/>
  <c r="BH234" i="20"/>
  <c r="BR234" i="20"/>
  <c r="BA235" i="20"/>
  <c r="AT236" i="20"/>
  <c r="BO237" i="20"/>
  <c r="BR237" i="20"/>
  <c r="BA238" i="20"/>
  <c r="AT239" i="20"/>
  <c r="AM239" i="20"/>
  <c r="AT240" i="20"/>
  <c r="BO241" i="20"/>
  <c r="BH242" i="20"/>
  <c r="BO243" i="20"/>
  <c r="AT244" i="20"/>
  <c r="BO244" i="20"/>
  <c r="AT245" i="20"/>
  <c r="AM245" i="20"/>
  <c r="BO246" i="20"/>
  <c r="AM246" i="20"/>
  <c r="BH247" i="20"/>
  <c r="BR247" i="20"/>
  <c r="BS253" i="20"/>
  <c r="BS254" i="20"/>
  <c r="AM244" i="20"/>
  <c r="BA199" i="20"/>
  <c r="BA200" i="20"/>
  <c r="BR200" i="20"/>
  <c r="AM201" i="20"/>
  <c r="BO202" i="20"/>
  <c r="AM202" i="20"/>
  <c r="BO203" i="20"/>
  <c r="BR203" i="20"/>
  <c r="AT204" i="20"/>
  <c r="BH206" i="20"/>
  <c r="BH207" i="20"/>
  <c r="BR207" i="20"/>
  <c r="BA208" i="20"/>
  <c r="BO209" i="20"/>
  <c r="BH210" i="20"/>
  <c r="BH211" i="20"/>
  <c r="BR211" i="20"/>
  <c r="BA212" i="20"/>
  <c r="BR212" i="20"/>
  <c r="BA213" i="20"/>
  <c r="AT214" i="20"/>
  <c r="AT215" i="20"/>
  <c r="AT216" i="20"/>
  <c r="AT217" i="20"/>
  <c r="BR218" i="20"/>
  <c r="BA219" i="20"/>
  <c r="BH220" i="20"/>
  <c r="BR220" i="20"/>
  <c r="AM221" i="20"/>
  <c r="BA221" i="20"/>
  <c r="BA222" i="20"/>
  <c r="BR222" i="20"/>
  <c r="AT223" i="20"/>
  <c r="BO224" i="20"/>
  <c r="BH225" i="20"/>
  <c r="BR225" i="20"/>
  <c r="BA226" i="20"/>
  <c r="BO227" i="20"/>
  <c r="BH228" i="20"/>
  <c r="BA229" i="20"/>
  <c r="AT230" i="20"/>
  <c r="AM230" i="20"/>
  <c r="BO231" i="20"/>
  <c r="BA232" i="20"/>
  <c r="AT233" i="20"/>
  <c r="BO234" i="20"/>
  <c r="BH235" i="20"/>
  <c r="BR235" i="20"/>
  <c r="BA236" i="20"/>
  <c r="AM236" i="20"/>
  <c r="AT237" i="20"/>
  <c r="BO238" i="20"/>
  <c r="BR238" i="20"/>
  <c r="BA239" i="20"/>
  <c r="BA240" i="20"/>
  <c r="BR240" i="20"/>
  <c r="AT241" i="20"/>
  <c r="AM241" i="20"/>
  <c r="BO242" i="20"/>
  <c r="AT243" i="20"/>
  <c r="BA244" i="20"/>
  <c r="BR244" i="20"/>
  <c r="BA245" i="20"/>
  <c r="AT246" i="20"/>
  <c r="BO247" i="20"/>
  <c r="AM247" i="20"/>
  <c r="BS248" i="20"/>
  <c r="BS249" i="20"/>
  <c r="BS250" i="20"/>
  <c r="BS251" i="20"/>
  <c r="BS252" i="20"/>
  <c r="BS255" i="20"/>
  <c r="AM243" i="20"/>
  <c r="BR242" i="20"/>
  <c r="BR221" i="20"/>
  <c r="BR18" i="2"/>
  <c r="CD18" i="2" s="1"/>
  <c r="CH21" i="2"/>
  <c r="I105" i="6"/>
  <c r="BV18" i="2"/>
  <c r="J309" i="6" s="1"/>
  <c r="J249" i="6"/>
  <c r="J43" i="6"/>
  <c r="J95" i="6"/>
  <c r="J177" i="6"/>
  <c r="J6" i="6"/>
  <c r="U20" i="1"/>
  <c r="BW21" i="2"/>
  <c r="Y8" i="2"/>
  <c r="Z8" i="2"/>
  <c r="AA8" i="2"/>
  <c r="BU18" i="2"/>
  <c r="CG18" i="2" s="1"/>
  <c r="AT58" i="9"/>
  <c r="AA13" i="2"/>
  <c r="Z13" i="2"/>
  <c r="Y13" i="2"/>
  <c r="BQ227" i="20"/>
  <c r="Y29" i="2"/>
  <c r="AA29" i="2"/>
  <c r="Z29" i="2"/>
  <c r="BQ18" i="2"/>
  <c r="CC18" i="2" s="1"/>
  <c r="BT18" i="2"/>
  <c r="CF18" i="2" s="1"/>
  <c r="BS18" i="2"/>
  <c r="CE18" i="2" s="1"/>
  <c r="S56" i="11"/>
  <c r="BK75" i="9"/>
  <c r="BK225" i="9"/>
  <c r="BK195" i="9"/>
  <c r="BK143" i="9"/>
  <c r="BK50" i="9"/>
  <c r="BK229" i="9"/>
  <c r="BK169" i="9"/>
  <c r="BK196" i="9"/>
  <c r="BK13" i="9"/>
  <c r="AB13" i="2"/>
  <c r="BK302" i="9" s="1"/>
  <c r="BK272" i="9"/>
  <c r="BK43" i="9"/>
  <c r="BK291" i="9"/>
  <c r="BK70" i="9"/>
  <c r="BK69" i="9"/>
  <c r="BK194" i="9"/>
  <c r="BK270" i="9"/>
  <c r="BK86" i="9"/>
  <c r="AB8" i="2"/>
  <c r="BK297" i="9" s="1"/>
  <c r="BK74" i="9"/>
  <c r="BK193" i="9"/>
  <c r="BK101" i="9"/>
  <c r="BK125" i="9"/>
  <c r="BK284" i="9"/>
  <c r="BK9" i="9"/>
  <c r="AB29" i="2"/>
  <c r="BK318" i="9" s="1"/>
  <c r="BK152" i="9"/>
  <c r="BK217" i="9"/>
  <c r="BK103" i="9"/>
  <c r="BK211" i="9"/>
  <c r="BK234" i="9"/>
  <c r="BK105" i="9"/>
  <c r="BK141" i="9"/>
  <c r="BK252" i="9"/>
  <c r="BK21" i="9"/>
  <c r="BK3" i="9"/>
  <c r="BK212" i="9"/>
  <c r="BK144" i="9"/>
  <c r="BK179" i="9"/>
  <c r="Q284" i="11"/>
  <c r="Q56" i="11"/>
  <c r="H56" i="11"/>
  <c r="AM58" i="9"/>
  <c r="AF58" i="9"/>
  <c r="BH58" i="9"/>
  <c r="BJ58" i="9"/>
  <c r="BA58" i="9"/>
  <c r="S284" i="11"/>
  <c r="AF283" i="9"/>
  <c r="BJ283" i="9"/>
  <c r="BH283" i="9"/>
  <c r="BA283" i="9"/>
  <c r="AT283" i="9"/>
  <c r="AM283" i="9"/>
  <c r="H159" i="11"/>
  <c r="P159" i="11"/>
  <c r="E161" i="9"/>
  <c r="M161" i="9"/>
  <c r="B297" i="9" l="1"/>
  <c r="CD297" i="9" s="1"/>
  <c r="BI70" i="9"/>
  <c r="BQ231" i="20"/>
  <c r="BI195" i="9"/>
  <c r="BQ245" i="20"/>
  <c r="BI225" i="9"/>
  <c r="BQ246" i="20"/>
  <c r="BI21" i="9"/>
  <c r="BQ205" i="20"/>
  <c r="BI141" i="9"/>
  <c r="BQ207" i="20"/>
  <c r="BI229" i="9"/>
  <c r="BQ242" i="20"/>
  <c r="BQ240" i="20"/>
  <c r="BI193" i="9"/>
  <c r="BQ222" i="20"/>
  <c r="BI75" i="9"/>
  <c r="BQ247" i="20"/>
  <c r="BI169" i="9"/>
  <c r="BQ241" i="20"/>
  <c r="BI291" i="9"/>
  <c r="BQ233" i="20"/>
  <c r="BQ202" i="20"/>
  <c r="BI179" i="9"/>
  <c r="BQ198" i="20"/>
  <c r="BI234" i="9"/>
  <c r="BQ210" i="20"/>
  <c r="BI3" i="9"/>
  <c r="BQ204" i="20"/>
  <c r="BI125" i="9"/>
  <c r="BQ218" i="20"/>
  <c r="BI144" i="9"/>
  <c r="BQ199" i="20"/>
  <c r="BI43" i="9"/>
  <c r="BQ234" i="20"/>
  <c r="BI86" i="9"/>
  <c r="BQ225" i="20"/>
  <c r="BI211" i="9"/>
  <c r="BQ211" i="20"/>
  <c r="BI105" i="9"/>
  <c r="BQ209" i="20"/>
  <c r="BQ232" i="20"/>
  <c r="BI143" i="9"/>
  <c r="BQ244" i="20"/>
  <c r="BQ220" i="20"/>
  <c r="BI212" i="9"/>
  <c r="BQ201" i="20"/>
  <c r="BI74" i="9"/>
  <c r="BQ223" i="20"/>
  <c r="BI318" i="9"/>
  <c r="BQ215" i="20"/>
  <c r="BI152" i="9"/>
  <c r="BQ214" i="20"/>
  <c r="BI252" i="9"/>
  <c r="BQ206" i="20"/>
  <c r="BI272" i="9"/>
  <c r="BQ235" i="20"/>
  <c r="BI297" i="9"/>
  <c r="BQ224" i="20"/>
  <c r="BI69" i="9"/>
  <c r="BQ230" i="20"/>
  <c r="BI196" i="9"/>
  <c r="BQ239" i="20"/>
  <c r="BI50" i="9"/>
  <c r="BQ243" i="20"/>
  <c r="BI194" i="9"/>
  <c r="BQ228" i="20"/>
  <c r="BQ200" i="20"/>
  <c r="BI284" i="9"/>
  <c r="BQ217" i="20"/>
  <c r="BI103" i="9"/>
  <c r="BQ212" i="20"/>
  <c r="BI101" i="9"/>
  <c r="BQ221" i="20"/>
  <c r="BI302" i="9"/>
  <c r="BQ237" i="20"/>
  <c r="BI107" i="9"/>
  <c r="BQ219" i="20"/>
  <c r="BI217" i="9"/>
  <c r="BQ213" i="20"/>
  <c r="BQ236" i="20"/>
  <c r="BI9" i="9"/>
  <c r="BQ216" i="20"/>
  <c r="CK254" i="20"/>
  <c r="H254" i="20"/>
  <c r="CK258" i="20"/>
  <c r="H258" i="20"/>
  <c r="CK263" i="20"/>
  <c r="H263" i="20"/>
  <c r="CK259" i="20"/>
  <c r="H259" i="20"/>
  <c r="CK256" i="20"/>
  <c r="H256" i="20"/>
  <c r="CK248" i="20"/>
  <c r="H248" i="20"/>
  <c r="CK252" i="20"/>
  <c r="H252" i="20"/>
  <c r="CK261" i="20"/>
  <c r="H261" i="20"/>
  <c r="O20" i="6"/>
  <c r="B21" i="9" s="1"/>
  <c r="CH262" i="20"/>
  <c r="M262" i="20" s="1"/>
  <c r="F259" i="20"/>
  <c r="P259" i="20"/>
  <c r="P258" i="20"/>
  <c r="F258" i="20"/>
  <c r="P263" i="20"/>
  <c r="F263" i="20"/>
  <c r="P248" i="20"/>
  <c r="F248" i="20"/>
  <c r="P252" i="20"/>
  <c r="F252" i="20"/>
  <c r="F261" i="20"/>
  <c r="P261" i="20"/>
  <c r="P256" i="20"/>
  <c r="F256" i="20"/>
  <c r="P254" i="20"/>
  <c r="F254" i="20"/>
  <c r="CH257" i="20"/>
  <c r="L257" i="20" s="1"/>
  <c r="CH275" i="20"/>
  <c r="M275" i="20" s="1"/>
  <c r="BP231" i="20"/>
  <c r="CB70" i="9"/>
  <c r="BP201" i="20"/>
  <c r="CB212" i="9"/>
  <c r="BP216" i="20"/>
  <c r="CB9" i="9"/>
  <c r="BP245" i="20"/>
  <c r="CB195" i="9"/>
  <c r="BP246" i="20"/>
  <c r="CB225" i="9"/>
  <c r="BP200" i="20"/>
  <c r="BP217" i="20"/>
  <c r="CB284" i="9"/>
  <c r="BP212" i="20"/>
  <c r="CB103" i="9"/>
  <c r="BP225" i="20"/>
  <c r="CB86" i="9"/>
  <c r="G254" i="20"/>
  <c r="G261" i="20"/>
  <c r="BP233" i="20"/>
  <c r="CB291" i="9"/>
  <c r="BP198" i="20"/>
  <c r="CB179" i="9"/>
  <c r="BP215" i="20"/>
  <c r="CB318" i="9"/>
  <c r="BP235" i="20"/>
  <c r="CB272" i="9"/>
  <c r="BP242" i="20"/>
  <c r="CB229" i="9"/>
  <c r="BP207" i="20"/>
  <c r="CB141" i="9"/>
  <c r="BP218" i="20"/>
  <c r="CB125" i="9"/>
  <c r="BP211" i="20"/>
  <c r="CB211" i="9"/>
  <c r="BP243" i="20"/>
  <c r="CB50" i="9"/>
  <c r="BP222" i="20"/>
  <c r="CB193" i="9"/>
  <c r="BP244" i="20"/>
  <c r="CB143" i="9"/>
  <c r="BP247" i="20"/>
  <c r="CB75" i="9"/>
  <c r="BP241" i="20"/>
  <c r="CB169" i="9"/>
  <c r="BP210" i="20"/>
  <c r="CB234" i="9"/>
  <c r="BP204" i="20"/>
  <c r="CB3" i="9"/>
  <c r="BP206" i="20"/>
  <c r="CB252" i="9"/>
  <c r="BP199" i="20"/>
  <c r="CB144" i="9"/>
  <c r="BP221" i="20"/>
  <c r="CB101" i="9"/>
  <c r="BP227" i="20"/>
  <c r="CB176" i="9"/>
  <c r="BP234" i="20"/>
  <c r="CB43" i="9"/>
  <c r="BP236" i="20"/>
  <c r="BP224" i="20"/>
  <c r="CB297" i="9"/>
  <c r="BP209" i="20"/>
  <c r="CB105" i="9"/>
  <c r="G248" i="20"/>
  <c r="G258" i="20"/>
  <c r="G263" i="20"/>
  <c r="G256" i="20"/>
  <c r="BP232" i="20"/>
  <c r="CB112" i="9"/>
  <c r="BP219" i="20"/>
  <c r="CB107" i="9"/>
  <c r="BP240" i="20"/>
  <c r="BP202" i="20"/>
  <c r="BP213" i="20"/>
  <c r="CB217" i="9"/>
  <c r="BP223" i="20"/>
  <c r="CB74" i="9"/>
  <c r="BP228" i="20"/>
  <c r="CB194" i="9"/>
  <c r="BP205" i="20"/>
  <c r="CB21" i="9"/>
  <c r="BP214" i="20"/>
  <c r="CB152" i="9"/>
  <c r="BP237" i="20"/>
  <c r="CB302" i="9"/>
  <c r="BP230" i="20"/>
  <c r="CB69" i="9"/>
  <c r="BP239" i="20"/>
  <c r="CB196" i="9"/>
  <c r="G252" i="20"/>
  <c r="G259" i="20"/>
  <c r="AF197" i="20"/>
  <c r="I285" i="6"/>
  <c r="O285" i="6" s="1"/>
  <c r="B283" i="9" s="1"/>
  <c r="CD283" i="9" s="1"/>
  <c r="I57" i="6"/>
  <c r="O57" i="6" s="1"/>
  <c r="B58" i="9" s="1"/>
  <c r="CD58" i="9" s="1"/>
  <c r="BK107" i="9"/>
  <c r="J107" i="6"/>
  <c r="BI281" i="9"/>
  <c r="BK281" i="9"/>
  <c r="J283" i="6"/>
  <c r="BP203" i="20"/>
  <c r="BK41" i="9"/>
  <c r="J40" i="6"/>
  <c r="BP208" i="20"/>
  <c r="BI41" i="9"/>
  <c r="AF196" i="20"/>
  <c r="AF195" i="20"/>
  <c r="AF194" i="20"/>
  <c r="Y161" i="9"/>
  <c r="BK112" i="9"/>
  <c r="J112" i="6"/>
  <c r="BI112" i="9"/>
  <c r="BK176" i="9"/>
  <c r="J176" i="6"/>
  <c r="BI176" i="9"/>
  <c r="BX21" i="2"/>
  <c r="I267" i="20"/>
  <c r="J267" i="20"/>
  <c r="K267" i="20"/>
  <c r="L267" i="20"/>
  <c r="CH260" i="20"/>
  <c r="M260" i="20" s="1"/>
  <c r="CH269" i="20"/>
  <c r="M269" i="20" s="1"/>
  <c r="CH264" i="20"/>
  <c r="L264" i="20" s="1"/>
  <c r="CH266" i="20"/>
  <c r="K266" i="20" s="1"/>
  <c r="CH279" i="20"/>
  <c r="K279" i="20" s="1"/>
  <c r="CH273" i="20"/>
  <c r="M273" i="20" s="1"/>
  <c r="CH272" i="20"/>
  <c r="M272" i="20" s="1"/>
  <c r="CH271" i="20"/>
  <c r="M271" i="20" s="1"/>
  <c r="H41" i="9"/>
  <c r="F41" i="9"/>
  <c r="G41" i="9"/>
  <c r="G9" i="9"/>
  <c r="H9" i="9"/>
  <c r="F9" i="9"/>
  <c r="G43" i="9"/>
  <c r="H43" i="9"/>
  <c r="F43" i="9"/>
  <c r="H50" i="9"/>
  <c r="G50" i="9"/>
  <c r="F50" i="9"/>
  <c r="F141" i="9"/>
  <c r="G141" i="9"/>
  <c r="H141" i="9"/>
  <c r="H318" i="9"/>
  <c r="G318" i="9"/>
  <c r="F318" i="9"/>
  <c r="H105" i="9"/>
  <c r="G105" i="9"/>
  <c r="F105" i="9"/>
  <c r="H297" i="9"/>
  <c r="G297" i="9"/>
  <c r="F297" i="9"/>
  <c r="H13" i="9"/>
  <c r="G13" i="9"/>
  <c r="F13" i="9"/>
  <c r="G302" i="9"/>
  <c r="F302" i="9"/>
  <c r="H302" i="9"/>
  <c r="H179" i="9"/>
  <c r="G179" i="9"/>
  <c r="F179" i="9"/>
  <c r="H69" i="9"/>
  <c r="G69" i="9"/>
  <c r="F69" i="9"/>
  <c r="F96" i="9"/>
  <c r="G96" i="9"/>
  <c r="H96" i="9"/>
  <c r="F44" i="9"/>
  <c r="G44" i="9"/>
  <c r="H44" i="9"/>
  <c r="H249" i="9"/>
  <c r="G249" i="9"/>
  <c r="F249" i="9"/>
  <c r="H177" i="9"/>
  <c r="F177" i="9"/>
  <c r="G177" i="9"/>
  <c r="W6" i="1"/>
  <c r="CH265" i="20"/>
  <c r="L265" i="20" s="1"/>
  <c r="CH268" i="20"/>
  <c r="M268" i="20" s="1"/>
  <c r="CH270" i="20"/>
  <c r="K270" i="20" s="1"/>
  <c r="CH276" i="20"/>
  <c r="M276" i="20" s="1"/>
  <c r="C30" i="18"/>
  <c r="C116" i="18"/>
  <c r="CH277" i="20"/>
  <c r="M277" i="20" s="1"/>
  <c r="C107" i="18"/>
  <c r="C186" i="18"/>
  <c r="C70" i="18"/>
  <c r="C51" i="18"/>
  <c r="C23" i="18"/>
  <c r="W11" i="1"/>
  <c r="C61" i="18"/>
  <c r="C148" i="18"/>
  <c r="C5" i="18"/>
  <c r="C83" i="18"/>
  <c r="C204" i="18"/>
  <c r="B249" i="20"/>
  <c r="B251" i="20"/>
  <c r="W30" i="1"/>
  <c r="C250" i="18"/>
  <c r="B253" i="20"/>
  <c r="C184" i="18"/>
  <c r="B255" i="20"/>
  <c r="M280" i="20"/>
  <c r="K280" i="20"/>
  <c r="J280" i="20"/>
  <c r="L280" i="20"/>
  <c r="I280" i="20"/>
  <c r="CH278" i="20"/>
  <c r="O102" i="6"/>
  <c r="B103" i="9" s="1"/>
  <c r="CD103" i="9" s="1"/>
  <c r="O100" i="6"/>
  <c r="B101" i="9" s="1"/>
  <c r="CD101" i="9" s="1"/>
  <c r="O169" i="6"/>
  <c r="B169" i="9" s="1"/>
  <c r="CD169" i="9" s="1"/>
  <c r="O107" i="6"/>
  <c r="B107" i="9" s="1"/>
  <c r="CD107" i="9" s="1"/>
  <c r="O286" i="6"/>
  <c r="B284" i="9" s="1"/>
  <c r="CD284" i="9" s="1"/>
  <c r="O274" i="6"/>
  <c r="B272" i="9" s="1"/>
  <c r="CD272" i="9" s="1"/>
  <c r="O234" i="6"/>
  <c r="B234" i="9" s="1"/>
  <c r="CD234" i="9" s="1"/>
  <c r="O74" i="6"/>
  <c r="B75" i="9" s="1"/>
  <c r="CD75" i="9" s="1"/>
  <c r="O127" i="6"/>
  <c r="B125" i="9" s="1"/>
  <c r="CD125" i="9" s="1"/>
  <c r="O105" i="6"/>
  <c r="B3" i="9" s="1"/>
  <c r="CD3" i="9" s="1"/>
  <c r="O176" i="6"/>
  <c r="B176" i="9" s="1"/>
  <c r="CD176" i="9" s="1"/>
  <c r="O69" i="6"/>
  <c r="B70" i="9" s="1"/>
  <c r="CD70" i="9" s="1"/>
  <c r="O73" i="6"/>
  <c r="B74" i="9" s="1"/>
  <c r="CD74" i="9" s="1"/>
  <c r="O211" i="6"/>
  <c r="B211" i="9" s="1"/>
  <c r="CD211" i="9" s="1"/>
  <c r="O143" i="6"/>
  <c r="B143" i="9" s="1"/>
  <c r="CD143" i="9" s="1"/>
  <c r="O293" i="6"/>
  <c r="B291" i="9" s="1"/>
  <c r="CD291" i="9" s="1"/>
  <c r="C63" i="18"/>
  <c r="B250" i="20"/>
  <c r="O252" i="6"/>
  <c r="B252" i="9" s="1"/>
  <c r="CD252" i="9" s="1"/>
  <c r="O152" i="6"/>
  <c r="B152" i="9" s="1"/>
  <c r="CD152" i="9" s="1"/>
  <c r="O112" i="6"/>
  <c r="B112" i="9" s="1"/>
  <c r="CD112" i="9" s="1"/>
  <c r="O229" i="6"/>
  <c r="B229" i="9" s="1"/>
  <c r="CD229" i="9" s="1"/>
  <c r="O195" i="6"/>
  <c r="B195" i="9" s="1"/>
  <c r="CD195" i="9" s="1"/>
  <c r="O196" i="6"/>
  <c r="B196" i="9" s="1"/>
  <c r="CD196" i="9" s="1"/>
  <c r="O85" i="6"/>
  <c r="B86" i="9" s="1"/>
  <c r="CD86" i="9" s="1"/>
  <c r="O212" i="6"/>
  <c r="B212" i="9" s="1"/>
  <c r="CD212" i="9" s="1"/>
  <c r="O225" i="6"/>
  <c r="B225" i="9" s="1"/>
  <c r="CD225" i="9" s="1"/>
  <c r="O194" i="6"/>
  <c r="B194" i="9" s="1"/>
  <c r="CD194" i="9" s="1"/>
  <c r="O144" i="6"/>
  <c r="B144" i="9" s="1"/>
  <c r="CD144" i="9" s="1"/>
  <c r="O283" i="6"/>
  <c r="B281" i="9" s="1"/>
  <c r="CD281" i="9" s="1"/>
  <c r="O193" i="6"/>
  <c r="B193" i="9" s="1"/>
  <c r="CD193" i="9" s="1"/>
  <c r="O217" i="6"/>
  <c r="B217" i="9" s="1"/>
  <c r="CD217" i="9" s="1"/>
  <c r="O272" i="6"/>
  <c r="B270" i="9" s="1"/>
  <c r="CD270" i="9" s="1"/>
  <c r="C59" i="18"/>
  <c r="B240" i="20"/>
  <c r="B215" i="20"/>
  <c r="B237" i="20"/>
  <c r="M274" i="20"/>
  <c r="L274" i="20"/>
  <c r="K274" i="20"/>
  <c r="J274" i="20"/>
  <c r="I274" i="20"/>
  <c r="B216" i="20"/>
  <c r="B243" i="20"/>
  <c r="B209" i="20"/>
  <c r="B198" i="20"/>
  <c r="B234" i="20"/>
  <c r="B207" i="20"/>
  <c r="B224" i="20"/>
  <c r="B230" i="20"/>
  <c r="B292" i="20"/>
  <c r="B200" i="20"/>
  <c r="C7" i="18"/>
  <c r="B208" i="20"/>
  <c r="C69" i="18"/>
  <c r="B238" i="20"/>
  <c r="C34" i="18"/>
  <c r="AT194" i="20"/>
  <c r="AM194" i="20"/>
  <c r="AT195" i="20"/>
  <c r="AT196" i="20"/>
  <c r="AM196" i="20"/>
  <c r="BH197" i="20"/>
  <c r="AM197" i="20"/>
  <c r="BS198" i="20"/>
  <c r="BS201" i="20"/>
  <c r="BS203" i="20"/>
  <c r="BS207" i="20"/>
  <c r="BS211" i="20"/>
  <c r="BS217" i="20"/>
  <c r="BS220" i="20"/>
  <c r="BS224" i="20"/>
  <c r="BS232" i="20"/>
  <c r="BS239" i="20"/>
  <c r="BS242" i="20"/>
  <c r="BA197" i="20"/>
  <c r="BA194" i="20"/>
  <c r="BH194" i="20"/>
  <c r="BA195" i="20"/>
  <c r="BR195" i="20"/>
  <c r="BA196" i="20"/>
  <c r="AT197" i="20"/>
  <c r="BS199" i="20"/>
  <c r="BS202" i="20"/>
  <c r="BS204" i="20"/>
  <c r="BS212" i="20"/>
  <c r="BS215" i="20"/>
  <c r="BS218" i="20"/>
  <c r="BS221" i="20"/>
  <c r="BS225" i="20"/>
  <c r="BS227" i="20"/>
  <c r="BS234" i="20"/>
  <c r="BS237" i="20"/>
  <c r="BS240" i="20"/>
  <c r="C80" i="18"/>
  <c r="B289" i="20"/>
  <c r="BO194" i="20"/>
  <c r="BH195" i="20"/>
  <c r="AM195" i="20"/>
  <c r="BH196" i="20"/>
  <c r="BR196" i="20"/>
  <c r="BR197" i="20"/>
  <c r="BS205" i="20"/>
  <c r="BS208" i="20"/>
  <c r="BS209" i="20"/>
  <c r="BS213" i="20"/>
  <c r="BS216" i="20"/>
  <c r="BS219" i="20"/>
  <c r="BS222" i="20"/>
  <c r="BS226" i="20"/>
  <c r="BS228" i="20"/>
  <c r="BS230" i="20"/>
  <c r="BS235" i="20"/>
  <c r="BS238" i="20"/>
  <c r="BS244" i="20"/>
  <c r="BS245" i="20"/>
  <c r="BS246" i="20"/>
  <c r="BS247" i="20"/>
  <c r="C169" i="18"/>
  <c r="B288" i="20"/>
  <c r="BR194" i="20"/>
  <c r="BO195" i="20"/>
  <c r="BO196" i="20"/>
  <c r="BO197" i="20"/>
  <c r="BS200" i="20"/>
  <c r="BS206" i="20"/>
  <c r="BS210" i="20"/>
  <c r="BS214" i="20"/>
  <c r="BS223" i="20"/>
  <c r="BS229" i="20"/>
  <c r="BS231" i="20"/>
  <c r="BS233" i="20"/>
  <c r="BS236" i="20"/>
  <c r="BS241" i="20"/>
  <c r="BS243" i="20"/>
  <c r="BR13" i="2"/>
  <c r="CD13" i="2" s="1"/>
  <c r="BR29" i="2"/>
  <c r="BU8" i="2"/>
  <c r="CG8" i="2" s="1"/>
  <c r="J144" i="6"/>
  <c r="J212" i="6"/>
  <c r="J20" i="6"/>
  <c r="J104" i="6"/>
  <c r="J286" i="6"/>
  <c r="J100" i="6"/>
  <c r="J85" i="6"/>
  <c r="J194" i="6"/>
  <c r="J293" i="6"/>
  <c r="J252" i="6"/>
  <c r="J234" i="6"/>
  <c r="J102" i="6"/>
  <c r="BV29" i="2"/>
  <c r="J320" i="6" s="1"/>
  <c r="J193" i="6"/>
  <c r="J68" i="6"/>
  <c r="J196" i="6"/>
  <c r="J169" i="6"/>
  <c r="J105" i="6"/>
  <c r="J141" i="6"/>
  <c r="J211" i="6"/>
  <c r="J217" i="6"/>
  <c r="J8" i="6"/>
  <c r="J127" i="6"/>
  <c r="J73" i="6"/>
  <c r="J42" i="6"/>
  <c r="BV13" i="2"/>
  <c r="J304" i="6" s="1"/>
  <c r="J49" i="6"/>
  <c r="J143" i="6"/>
  <c r="J179" i="6"/>
  <c r="J152" i="6"/>
  <c r="BV8" i="2"/>
  <c r="J299" i="6" s="1"/>
  <c r="J69" i="6"/>
  <c r="J274" i="6"/>
  <c r="J229" i="6"/>
  <c r="J195" i="6"/>
  <c r="J225" i="6"/>
  <c r="J74" i="6"/>
  <c r="CH18" i="2"/>
  <c r="BT8" i="2"/>
  <c r="CF8" i="2" s="1"/>
  <c r="BR8" i="2"/>
  <c r="CD8" i="2" s="1"/>
  <c r="BQ8" i="2"/>
  <c r="CC8" i="2" s="1"/>
  <c r="BS8" i="2"/>
  <c r="CE8" i="2" s="1"/>
  <c r="BU29" i="2"/>
  <c r="CG29" i="2" s="1"/>
  <c r="BU13" i="2"/>
  <c r="CG13" i="2" s="1"/>
  <c r="BJ161" i="9"/>
  <c r="BS13" i="2"/>
  <c r="CE13" i="2" s="1"/>
  <c r="BT13" i="2"/>
  <c r="CF13" i="2" s="1"/>
  <c r="BQ13" i="2"/>
  <c r="CC13" i="2" s="1"/>
  <c r="BS29" i="2"/>
  <c r="CE29" i="2" s="1"/>
  <c r="BQ29" i="2"/>
  <c r="CC29" i="2" s="1"/>
  <c r="BT29" i="2"/>
  <c r="CF29" i="2" s="1"/>
  <c r="BW18" i="2"/>
  <c r="U16" i="1"/>
  <c r="Q159" i="11"/>
  <c r="BK58" i="9"/>
  <c r="BK283" i="9"/>
  <c r="S159" i="11"/>
  <c r="AF161" i="9"/>
  <c r="BH161" i="9"/>
  <c r="BA161" i="9"/>
  <c r="AT161" i="9"/>
  <c r="AM161" i="9"/>
  <c r="H82" i="11"/>
  <c r="P82" i="11"/>
  <c r="E84" i="9"/>
  <c r="M84" i="9"/>
  <c r="H107" i="11"/>
  <c r="P107" i="11"/>
  <c r="E108" i="9"/>
  <c r="M108" i="9"/>
  <c r="BI58" i="9" l="1"/>
  <c r="BQ197" i="20"/>
  <c r="BI283" i="9"/>
  <c r="BQ195" i="20"/>
  <c r="BQ194" i="20"/>
  <c r="BQ196" i="20"/>
  <c r="CK208" i="20"/>
  <c r="H208" i="20"/>
  <c r="CK292" i="20"/>
  <c r="H292" i="20"/>
  <c r="CK234" i="20"/>
  <c r="H234" i="20"/>
  <c r="CK216" i="20"/>
  <c r="H216" i="20"/>
  <c r="CK240" i="20"/>
  <c r="H240" i="20"/>
  <c r="CK253" i="20"/>
  <c r="H253" i="20"/>
  <c r="CK249" i="20"/>
  <c r="H249" i="20"/>
  <c r="CK230" i="20"/>
  <c r="H230" i="20"/>
  <c r="CK198" i="20"/>
  <c r="H198" i="20"/>
  <c r="CK251" i="20"/>
  <c r="H251" i="20"/>
  <c r="CK288" i="20"/>
  <c r="H288" i="20"/>
  <c r="CK289" i="20"/>
  <c r="H289" i="20"/>
  <c r="CK238" i="20"/>
  <c r="H238" i="20"/>
  <c r="CK224" i="20"/>
  <c r="H224" i="20"/>
  <c r="CK209" i="20"/>
  <c r="H209" i="20"/>
  <c r="CK237" i="20"/>
  <c r="H237" i="20"/>
  <c r="CK255" i="20"/>
  <c r="H255" i="20"/>
  <c r="CK200" i="20"/>
  <c r="H200" i="20"/>
  <c r="CK207" i="20"/>
  <c r="H207" i="20"/>
  <c r="CK243" i="20"/>
  <c r="H243" i="20"/>
  <c r="CK215" i="20"/>
  <c r="H215" i="20"/>
  <c r="CK250" i="20"/>
  <c r="H250" i="20"/>
  <c r="C41" i="18"/>
  <c r="B205" i="20"/>
  <c r="F205" i="20" s="1"/>
  <c r="J275" i="20"/>
  <c r="CD21" i="9"/>
  <c r="H21" i="9"/>
  <c r="F21" i="9"/>
  <c r="G21" i="9"/>
  <c r="I262" i="20"/>
  <c r="J262" i="20"/>
  <c r="K262" i="20"/>
  <c r="L262" i="20"/>
  <c r="L275" i="20"/>
  <c r="K275" i="20"/>
  <c r="I275" i="20"/>
  <c r="J257" i="20"/>
  <c r="I257" i="20"/>
  <c r="K257" i="20"/>
  <c r="M257" i="20"/>
  <c r="F200" i="20"/>
  <c r="P200" i="20"/>
  <c r="P224" i="20"/>
  <c r="F224" i="20"/>
  <c r="F209" i="20"/>
  <c r="P209" i="20"/>
  <c r="F237" i="20"/>
  <c r="P237" i="20"/>
  <c r="P251" i="20"/>
  <c r="F251" i="20"/>
  <c r="P288" i="20"/>
  <c r="F288" i="20"/>
  <c r="F289" i="20"/>
  <c r="P289" i="20"/>
  <c r="P208" i="20"/>
  <c r="F208" i="20"/>
  <c r="P207" i="20"/>
  <c r="F207" i="20"/>
  <c r="F243" i="20"/>
  <c r="P243" i="20"/>
  <c r="P215" i="20"/>
  <c r="F215" i="20"/>
  <c r="P255" i="20"/>
  <c r="F255" i="20"/>
  <c r="P292" i="20"/>
  <c r="F292" i="20"/>
  <c r="P234" i="20"/>
  <c r="F234" i="20"/>
  <c r="F216" i="20"/>
  <c r="P216" i="20"/>
  <c r="F240" i="20"/>
  <c r="P240" i="20"/>
  <c r="P250" i="20"/>
  <c r="F250" i="20"/>
  <c r="P238" i="20"/>
  <c r="F238" i="20"/>
  <c r="P230" i="20"/>
  <c r="F230" i="20"/>
  <c r="P198" i="20"/>
  <c r="F198" i="20"/>
  <c r="F253" i="20"/>
  <c r="P253" i="20"/>
  <c r="P249" i="20"/>
  <c r="F249" i="20"/>
  <c r="CH259" i="20"/>
  <c r="K259" i="20" s="1"/>
  <c r="CH263" i="20"/>
  <c r="M263" i="20" s="1"/>
  <c r="BP197" i="20"/>
  <c r="CB58" i="9"/>
  <c r="G200" i="20"/>
  <c r="G234" i="20"/>
  <c r="G216" i="20"/>
  <c r="G240" i="20"/>
  <c r="G255" i="20"/>
  <c r="G288" i="20"/>
  <c r="G289" i="20"/>
  <c r="G208" i="20"/>
  <c r="G230" i="20"/>
  <c r="G198" i="20"/>
  <c r="G250" i="20"/>
  <c r="BP194" i="20"/>
  <c r="BP195" i="20"/>
  <c r="CB283" i="9"/>
  <c r="BP196" i="20"/>
  <c r="G292" i="20"/>
  <c r="G224" i="20"/>
  <c r="G209" i="20"/>
  <c r="G237" i="20"/>
  <c r="G253" i="20"/>
  <c r="G238" i="20"/>
  <c r="G207" i="20"/>
  <c r="G243" i="20"/>
  <c r="G215" i="20"/>
  <c r="G251" i="20"/>
  <c r="G249" i="20"/>
  <c r="I161" i="6"/>
  <c r="AF193" i="20"/>
  <c r="Y108" i="9"/>
  <c r="Y84" i="9"/>
  <c r="BX18" i="2"/>
  <c r="L269" i="20"/>
  <c r="I260" i="20"/>
  <c r="J260" i="20"/>
  <c r="K260" i="20"/>
  <c r="J269" i="20"/>
  <c r="K269" i="20"/>
  <c r="I269" i="20"/>
  <c r="I266" i="20"/>
  <c r="L266" i="20"/>
  <c r="M266" i="20"/>
  <c r="J266" i="20"/>
  <c r="L260" i="20"/>
  <c r="I279" i="20"/>
  <c r="J279" i="20"/>
  <c r="L271" i="20"/>
  <c r="K271" i="20"/>
  <c r="J271" i="20"/>
  <c r="I271" i="20"/>
  <c r="I273" i="20"/>
  <c r="K273" i="20"/>
  <c r="J273" i="20"/>
  <c r="L273" i="20"/>
  <c r="L279" i="20"/>
  <c r="M279" i="20"/>
  <c r="I272" i="20"/>
  <c r="K264" i="20"/>
  <c r="M264" i="20"/>
  <c r="I264" i="20"/>
  <c r="J264" i="20"/>
  <c r="L272" i="20"/>
  <c r="K272" i="20"/>
  <c r="J272" i="20"/>
  <c r="H283" i="9"/>
  <c r="G283" i="9"/>
  <c r="F283" i="9"/>
  <c r="H58" i="9"/>
  <c r="G58" i="9"/>
  <c r="F58" i="9"/>
  <c r="H270" i="9"/>
  <c r="F270" i="9"/>
  <c r="G270" i="9"/>
  <c r="F217" i="9"/>
  <c r="G217" i="9"/>
  <c r="H217" i="9"/>
  <c r="G193" i="9"/>
  <c r="H193" i="9"/>
  <c r="F193" i="9"/>
  <c r="F281" i="9"/>
  <c r="H281" i="9"/>
  <c r="G281" i="9"/>
  <c r="G144" i="9"/>
  <c r="F144" i="9"/>
  <c r="H144" i="9"/>
  <c r="F194" i="9"/>
  <c r="G194" i="9"/>
  <c r="H194" i="9"/>
  <c r="F225" i="9"/>
  <c r="G225" i="9"/>
  <c r="H225" i="9"/>
  <c r="G212" i="9"/>
  <c r="H212" i="9"/>
  <c r="F212" i="9"/>
  <c r="G86" i="9"/>
  <c r="H86" i="9"/>
  <c r="F86" i="9"/>
  <c r="H196" i="9"/>
  <c r="G196" i="9"/>
  <c r="F196" i="9"/>
  <c r="H195" i="9"/>
  <c r="F195" i="9"/>
  <c r="G195" i="9"/>
  <c r="G229" i="9"/>
  <c r="F229" i="9"/>
  <c r="H229" i="9"/>
  <c r="H112" i="9"/>
  <c r="G112" i="9"/>
  <c r="F112" i="9"/>
  <c r="H152" i="9"/>
  <c r="G152" i="9"/>
  <c r="F152" i="9"/>
  <c r="H252" i="9"/>
  <c r="F252" i="9"/>
  <c r="G252" i="9"/>
  <c r="F291" i="9"/>
  <c r="G291" i="9"/>
  <c r="H291" i="9"/>
  <c r="H143" i="9"/>
  <c r="G143" i="9"/>
  <c r="F143" i="9"/>
  <c r="H211" i="9"/>
  <c r="G211" i="9"/>
  <c r="F211" i="9"/>
  <c r="H74" i="9"/>
  <c r="G74" i="9"/>
  <c r="F74" i="9"/>
  <c r="H70" i="9"/>
  <c r="G70" i="9"/>
  <c r="F70" i="9"/>
  <c r="G176" i="9"/>
  <c r="H176" i="9"/>
  <c r="F176" i="9"/>
  <c r="H3" i="9"/>
  <c r="F3" i="9"/>
  <c r="G3" i="9"/>
  <c r="F125" i="9"/>
  <c r="H125" i="9"/>
  <c r="G125" i="9"/>
  <c r="G75" i="9"/>
  <c r="F75" i="9"/>
  <c r="H75" i="9"/>
  <c r="H234" i="9"/>
  <c r="G234" i="9"/>
  <c r="F234" i="9"/>
  <c r="G272" i="9"/>
  <c r="H272" i="9"/>
  <c r="F272" i="9"/>
  <c r="H284" i="9"/>
  <c r="G284" i="9"/>
  <c r="F284" i="9"/>
  <c r="F107" i="9"/>
  <c r="H107" i="9"/>
  <c r="G107" i="9"/>
  <c r="H169" i="9"/>
  <c r="G169" i="9"/>
  <c r="F169" i="9"/>
  <c r="H101" i="9"/>
  <c r="G101" i="9"/>
  <c r="F101" i="9"/>
  <c r="G103" i="9"/>
  <c r="F103" i="9"/>
  <c r="H103" i="9"/>
  <c r="M265" i="20"/>
  <c r="J265" i="20"/>
  <c r="I265" i="20"/>
  <c r="K265" i="20"/>
  <c r="CH256" i="20"/>
  <c r="M256" i="20" s="1"/>
  <c r="L270" i="20"/>
  <c r="J270" i="20"/>
  <c r="M270" i="20"/>
  <c r="I270" i="20"/>
  <c r="L268" i="20"/>
  <c r="J268" i="20"/>
  <c r="I268" i="20"/>
  <c r="K268" i="20"/>
  <c r="B233" i="20"/>
  <c r="B221" i="20"/>
  <c r="C286" i="18"/>
  <c r="C112" i="18"/>
  <c r="K276" i="20"/>
  <c r="L276" i="20"/>
  <c r="I276" i="20"/>
  <c r="J276" i="20"/>
  <c r="B214" i="20"/>
  <c r="B220" i="20"/>
  <c r="C289" i="18"/>
  <c r="B241" i="20"/>
  <c r="B227" i="20"/>
  <c r="J277" i="20"/>
  <c r="K277" i="20"/>
  <c r="C278" i="18"/>
  <c r="L277" i="20"/>
  <c r="I277" i="20"/>
  <c r="CH258" i="20"/>
  <c r="M258" i="20" s="1"/>
  <c r="C217" i="18"/>
  <c r="B247" i="20"/>
  <c r="B229" i="20"/>
  <c r="C90" i="18"/>
  <c r="C135" i="18"/>
  <c r="C150" i="18"/>
  <c r="C235" i="18"/>
  <c r="C201" i="18"/>
  <c r="C231" i="18"/>
  <c r="B231" i="20"/>
  <c r="C84" i="18"/>
  <c r="B236" i="20"/>
  <c r="C254" i="18"/>
  <c r="B222" i="20"/>
  <c r="C198" i="18"/>
  <c r="B232" i="20"/>
  <c r="C124" i="18"/>
  <c r="C183" i="18"/>
  <c r="C199" i="18"/>
  <c r="B217" i="20"/>
  <c r="C280" i="18"/>
  <c r="B225" i="20"/>
  <c r="B212" i="20"/>
  <c r="C99" i="18"/>
  <c r="B244" i="20"/>
  <c r="B210" i="20"/>
  <c r="C114" i="18"/>
  <c r="C220" i="18"/>
  <c r="B246" i="20"/>
  <c r="C253" i="18"/>
  <c r="C228" i="18"/>
  <c r="C160" i="18"/>
  <c r="B211" i="20"/>
  <c r="C273" i="18"/>
  <c r="B204" i="20"/>
  <c r="B219" i="20"/>
  <c r="B203" i="20"/>
  <c r="B239" i="20"/>
  <c r="B235" i="20"/>
  <c r="C200" i="18"/>
  <c r="C216" i="18"/>
  <c r="B202" i="20"/>
  <c r="C119" i="18"/>
  <c r="B199" i="20"/>
  <c r="B226" i="20"/>
  <c r="C151" i="18"/>
  <c r="B206" i="20"/>
  <c r="C117" i="18"/>
  <c r="C268" i="18"/>
  <c r="B245" i="20"/>
  <c r="B213" i="20"/>
  <c r="B228" i="20"/>
  <c r="B201" i="20"/>
  <c r="B242" i="20"/>
  <c r="B223" i="20"/>
  <c r="B218" i="20"/>
  <c r="C270" i="18"/>
  <c r="C176" i="18"/>
  <c r="C89" i="18"/>
  <c r="C134" i="18"/>
  <c r="CH261" i="20"/>
  <c r="M278" i="20"/>
  <c r="K278" i="20"/>
  <c r="I278" i="20"/>
  <c r="L278" i="20"/>
  <c r="J278" i="20"/>
  <c r="CH248" i="20"/>
  <c r="CH252" i="20"/>
  <c r="CH254" i="20"/>
  <c r="J254" i="20" s="1"/>
  <c r="B195" i="20"/>
  <c r="B197" i="20"/>
  <c r="C74" i="18"/>
  <c r="C279" i="18"/>
  <c r="BA193" i="20"/>
  <c r="BS196" i="20"/>
  <c r="BH193" i="20"/>
  <c r="AM193" i="20"/>
  <c r="BS197" i="20"/>
  <c r="BR193" i="20"/>
  <c r="BO193" i="20"/>
  <c r="BS194" i="20"/>
  <c r="BS195" i="20"/>
  <c r="AT193" i="20"/>
  <c r="U30" i="1"/>
  <c r="CD29" i="2"/>
  <c r="CH8" i="2"/>
  <c r="CH13" i="2"/>
  <c r="CH29" i="2"/>
  <c r="J285" i="6"/>
  <c r="J57" i="6"/>
  <c r="J83" i="6"/>
  <c r="U6" i="1"/>
  <c r="BW8" i="2"/>
  <c r="BX8" i="2" s="1"/>
  <c r="U11" i="1"/>
  <c r="BW13" i="2"/>
  <c r="BX13" i="2" s="1"/>
  <c r="BW29" i="2"/>
  <c r="BX29" i="2" s="1"/>
  <c r="Q82" i="11"/>
  <c r="Q107" i="11"/>
  <c r="BK161" i="9"/>
  <c r="S82" i="11"/>
  <c r="AF84" i="9"/>
  <c r="BH84" i="9"/>
  <c r="BA84" i="9"/>
  <c r="BJ84" i="9"/>
  <c r="AT84" i="9"/>
  <c r="AM84" i="9"/>
  <c r="S107" i="11"/>
  <c r="BA108" i="9"/>
  <c r="AF108" i="9"/>
  <c r="AT108" i="9"/>
  <c r="AM108" i="9"/>
  <c r="BJ108" i="9"/>
  <c r="BH108" i="9"/>
  <c r="H27" i="11"/>
  <c r="P27" i="11"/>
  <c r="E27" i="9"/>
  <c r="M27" i="9"/>
  <c r="H151" i="11"/>
  <c r="P151" i="11"/>
  <c r="E153" i="9"/>
  <c r="M153" i="9"/>
  <c r="P11" i="11"/>
  <c r="E11" i="9"/>
  <c r="M11" i="9"/>
  <c r="P29" i="11"/>
  <c r="E29" i="9"/>
  <c r="M29" i="9"/>
  <c r="H277" i="11"/>
  <c r="P277" i="11"/>
  <c r="E276" i="9"/>
  <c r="M276" i="9"/>
  <c r="H163" i="11"/>
  <c r="P163" i="11"/>
  <c r="E165" i="9"/>
  <c r="M165" i="9"/>
  <c r="H190" i="11"/>
  <c r="P190" i="11"/>
  <c r="E191" i="9"/>
  <c r="M191" i="9"/>
  <c r="H267" i="11"/>
  <c r="P267" i="11"/>
  <c r="E266" i="9"/>
  <c r="M266" i="9"/>
  <c r="H210" i="11"/>
  <c r="P210" i="11"/>
  <c r="E207" i="9"/>
  <c r="M207" i="9"/>
  <c r="H317" i="11"/>
  <c r="P317" i="11"/>
  <c r="E316" i="9"/>
  <c r="M316" i="9"/>
  <c r="CZ27" i="2"/>
  <c r="CY27" i="2" s="1"/>
  <c r="X27" i="2" s="1"/>
  <c r="R28" i="1"/>
  <c r="Y28" i="1"/>
  <c r="AE28" i="1"/>
  <c r="P156" i="11"/>
  <c r="E158" i="9"/>
  <c r="M158" i="9"/>
  <c r="G205" i="20" l="1"/>
  <c r="P205" i="20"/>
  <c r="BI84" i="9"/>
  <c r="BQ192" i="20"/>
  <c r="BI161" i="9"/>
  <c r="BQ193" i="20"/>
  <c r="CK195" i="20"/>
  <c r="H195" i="20"/>
  <c r="CK223" i="20"/>
  <c r="H223" i="20"/>
  <c r="CK201" i="20"/>
  <c r="H201" i="20"/>
  <c r="CK226" i="20"/>
  <c r="H226" i="20"/>
  <c r="CK235" i="20"/>
  <c r="H235" i="20"/>
  <c r="CK219" i="20"/>
  <c r="H219" i="20"/>
  <c r="CK211" i="20"/>
  <c r="H211" i="20"/>
  <c r="CK212" i="20"/>
  <c r="H212" i="20"/>
  <c r="CK220" i="20"/>
  <c r="H220" i="20"/>
  <c r="CK228" i="20"/>
  <c r="H228" i="20"/>
  <c r="CK199" i="20"/>
  <c r="H199" i="20"/>
  <c r="CK204" i="20"/>
  <c r="H204" i="20"/>
  <c r="CK210" i="20"/>
  <c r="H210" i="20"/>
  <c r="CK225" i="20"/>
  <c r="H225" i="20"/>
  <c r="CK236" i="20"/>
  <c r="H236" i="20"/>
  <c r="CK214" i="20"/>
  <c r="H214" i="20"/>
  <c r="CK233" i="20"/>
  <c r="H233" i="20"/>
  <c r="CK213" i="20"/>
  <c r="H213" i="20"/>
  <c r="CK206" i="20"/>
  <c r="H206" i="20"/>
  <c r="CK239" i="20"/>
  <c r="H239" i="20"/>
  <c r="CK246" i="20"/>
  <c r="H246" i="20"/>
  <c r="CK244" i="20"/>
  <c r="H244" i="20"/>
  <c r="CK217" i="20"/>
  <c r="H217" i="20"/>
  <c r="CK232" i="20"/>
  <c r="H232" i="20"/>
  <c r="CK222" i="20"/>
  <c r="H222" i="20"/>
  <c r="CK229" i="20"/>
  <c r="H229" i="20"/>
  <c r="CK227" i="20"/>
  <c r="H227" i="20"/>
  <c r="CK241" i="20"/>
  <c r="H241" i="20"/>
  <c r="CK205" i="20"/>
  <c r="H205" i="20"/>
  <c r="CH205" i="20" s="1"/>
  <c r="M205" i="20" s="1"/>
  <c r="CK197" i="20"/>
  <c r="H197" i="20"/>
  <c r="CK218" i="20"/>
  <c r="H218" i="20"/>
  <c r="CK242" i="20"/>
  <c r="H242" i="20"/>
  <c r="CK245" i="20"/>
  <c r="H245" i="20"/>
  <c r="CK202" i="20"/>
  <c r="H202" i="20"/>
  <c r="CK203" i="20"/>
  <c r="H203" i="20"/>
  <c r="CK231" i="20"/>
  <c r="H231" i="20"/>
  <c r="CK247" i="20"/>
  <c r="H247" i="20"/>
  <c r="CK221" i="20"/>
  <c r="H221" i="20"/>
  <c r="AF192" i="20"/>
  <c r="I259" i="20"/>
  <c r="I263" i="20"/>
  <c r="L259" i="20"/>
  <c r="M259" i="20"/>
  <c r="J259" i="20"/>
  <c r="CH251" i="20"/>
  <c r="M251" i="20" s="1"/>
  <c r="J263" i="20"/>
  <c r="L263" i="20"/>
  <c r="K263" i="20"/>
  <c r="CH249" i="20"/>
  <c r="M249" i="20" s="1"/>
  <c r="CH253" i="20"/>
  <c r="M253" i="20" s="1"/>
  <c r="P228" i="20"/>
  <c r="F228" i="20"/>
  <c r="P199" i="20"/>
  <c r="F199" i="20"/>
  <c r="P204" i="20"/>
  <c r="F204" i="20"/>
  <c r="P210" i="20"/>
  <c r="F210" i="20"/>
  <c r="F225" i="20"/>
  <c r="P225" i="20"/>
  <c r="P236" i="20"/>
  <c r="F236" i="20"/>
  <c r="P214" i="20"/>
  <c r="F214" i="20"/>
  <c r="P233" i="20"/>
  <c r="F233" i="20"/>
  <c r="F213" i="20"/>
  <c r="P213" i="20"/>
  <c r="P206" i="20"/>
  <c r="F206" i="20"/>
  <c r="P239" i="20"/>
  <c r="F239" i="20"/>
  <c r="P246" i="20"/>
  <c r="F246" i="20"/>
  <c r="P244" i="20"/>
  <c r="F244" i="20"/>
  <c r="P217" i="20"/>
  <c r="F217" i="20"/>
  <c r="F232" i="20"/>
  <c r="P232" i="20"/>
  <c r="P222" i="20"/>
  <c r="F222" i="20"/>
  <c r="F229" i="20"/>
  <c r="P229" i="20"/>
  <c r="P227" i="20"/>
  <c r="F227" i="20"/>
  <c r="F241" i="20"/>
  <c r="P241" i="20"/>
  <c r="CH255" i="20"/>
  <c r="M255" i="20" s="1"/>
  <c r="F197" i="20"/>
  <c r="P197" i="20"/>
  <c r="P218" i="20"/>
  <c r="F218" i="20"/>
  <c r="P242" i="20"/>
  <c r="F242" i="20"/>
  <c r="F245" i="20"/>
  <c r="P245" i="20"/>
  <c r="P202" i="20"/>
  <c r="F202" i="20"/>
  <c r="P203" i="20"/>
  <c r="F203" i="20"/>
  <c r="F231" i="20"/>
  <c r="P231" i="20"/>
  <c r="F247" i="20"/>
  <c r="P247" i="20"/>
  <c r="F221" i="20"/>
  <c r="P221" i="20"/>
  <c r="F195" i="20"/>
  <c r="P195" i="20"/>
  <c r="P223" i="20"/>
  <c r="F223" i="20"/>
  <c r="P201" i="20"/>
  <c r="F201" i="20"/>
  <c r="P226" i="20"/>
  <c r="F226" i="20"/>
  <c r="P235" i="20"/>
  <c r="F235" i="20"/>
  <c r="F219" i="20"/>
  <c r="P219" i="20"/>
  <c r="F211" i="20"/>
  <c r="P211" i="20"/>
  <c r="P212" i="20"/>
  <c r="F212" i="20"/>
  <c r="P220" i="20"/>
  <c r="F220" i="20"/>
  <c r="CH216" i="20"/>
  <c r="J216" i="20" s="1"/>
  <c r="G228" i="20"/>
  <c r="G199" i="20"/>
  <c r="G204" i="20"/>
  <c r="G210" i="20"/>
  <c r="G225" i="20"/>
  <c r="G222" i="20"/>
  <c r="G229" i="20"/>
  <c r="G214" i="20"/>
  <c r="G221" i="20"/>
  <c r="BP193" i="20"/>
  <c r="CB161" i="9"/>
  <c r="G213" i="20"/>
  <c r="G206" i="20"/>
  <c r="G239" i="20"/>
  <c r="G246" i="20"/>
  <c r="G244" i="20"/>
  <c r="G231" i="20"/>
  <c r="G247" i="20"/>
  <c r="G227" i="20"/>
  <c r="G241" i="20"/>
  <c r="BP192" i="20"/>
  <c r="CB84" i="9"/>
  <c r="G195" i="20"/>
  <c r="G218" i="20"/>
  <c r="G242" i="20"/>
  <c r="G245" i="20"/>
  <c r="G202" i="20"/>
  <c r="G203" i="20"/>
  <c r="G233" i="20"/>
  <c r="G197" i="20"/>
  <c r="G223" i="20"/>
  <c r="G201" i="20"/>
  <c r="G226" i="20"/>
  <c r="G235" i="20"/>
  <c r="G219" i="20"/>
  <c r="G211" i="20"/>
  <c r="G212" i="20"/>
  <c r="G217" i="20"/>
  <c r="G232" i="20"/>
  <c r="G236" i="20"/>
  <c r="G220" i="20"/>
  <c r="I108" i="6"/>
  <c r="I83" i="6"/>
  <c r="AF191" i="20"/>
  <c r="Y316" i="9"/>
  <c r="Y266" i="9"/>
  <c r="Y191" i="9"/>
  <c r="Y165" i="9"/>
  <c r="Y276" i="9"/>
  <c r="Y158" i="9"/>
  <c r="Y153" i="9"/>
  <c r="Y27" i="9"/>
  <c r="Y11" i="9"/>
  <c r="Y207" i="9"/>
  <c r="Y29" i="9"/>
  <c r="K256" i="20"/>
  <c r="J256" i="20"/>
  <c r="I256" i="20"/>
  <c r="L256" i="20"/>
  <c r="CH292" i="20"/>
  <c r="M292" i="20" s="1"/>
  <c r="I258" i="20"/>
  <c r="J258" i="20"/>
  <c r="K258" i="20"/>
  <c r="L258" i="20"/>
  <c r="C218" i="18"/>
  <c r="C55" i="18"/>
  <c r="B194" i="20"/>
  <c r="CH208" i="20"/>
  <c r="M208" i="20" s="1"/>
  <c r="CH238" i="20"/>
  <c r="M238" i="20" s="1"/>
  <c r="B196" i="20"/>
  <c r="M261" i="20"/>
  <c r="J261" i="20"/>
  <c r="K261" i="20"/>
  <c r="I261" i="20"/>
  <c r="L261" i="20"/>
  <c r="CH250" i="20"/>
  <c r="O161" i="6"/>
  <c r="B161" i="9" s="1"/>
  <c r="CD161" i="9" s="1"/>
  <c r="M248" i="20"/>
  <c r="J248" i="20"/>
  <c r="I248" i="20"/>
  <c r="L248" i="20"/>
  <c r="K248" i="20"/>
  <c r="M252" i="20"/>
  <c r="I252" i="20"/>
  <c r="L252" i="20"/>
  <c r="K252" i="20"/>
  <c r="J252" i="20"/>
  <c r="M254" i="20"/>
  <c r="I254" i="20"/>
  <c r="K254" i="20"/>
  <c r="L254" i="20"/>
  <c r="CH198" i="20"/>
  <c r="CH200" i="20"/>
  <c r="L200" i="20" s="1"/>
  <c r="CH237" i="20"/>
  <c r="CH207" i="20"/>
  <c r="CH215" i="20"/>
  <c r="CH243" i="20"/>
  <c r="CH224" i="20"/>
  <c r="CH240" i="20"/>
  <c r="CH209" i="20"/>
  <c r="CH234" i="20"/>
  <c r="CH230" i="20"/>
  <c r="AF184" i="20"/>
  <c r="CH288" i="20"/>
  <c r="M288" i="20" s="1"/>
  <c r="CH289" i="20"/>
  <c r="M289" i="20" s="1"/>
  <c r="BA191" i="20"/>
  <c r="BH191" i="20"/>
  <c r="AT192" i="20"/>
  <c r="BR192" i="20"/>
  <c r="BH192" i="20"/>
  <c r="AM191" i="20"/>
  <c r="BO192" i="20"/>
  <c r="BR191" i="20"/>
  <c r="BA192" i="20"/>
  <c r="AM192" i="20"/>
  <c r="BS193" i="20"/>
  <c r="BO191" i="20"/>
  <c r="AT191" i="20"/>
  <c r="AF191" i="9"/>
  <c r="P27" i="2"/>
  <c r="I26" i="6"/>
  <c r="I28" i="6"/>
  <c r="BK84" i="9"/>
  <c r="BK108" i="9"/>
  <c r="S11" i="11"/>
  <c r="Q27" i="11"/>
  <c r="S27" i="11"/>
  <c r="AF27" i="9"/>
  <c r="BJ27" i="9"/>
  <c r="BH27" i="9"/>
  <c r="BA27" i="9"/>
  <c r="AT27" i="9"/>
  <c r="AM27" i="9"/>
  <c r="Q11" i="11"/>
  <c r="Q151" i="11"/>
  <c r="S151" i="11"/>
  <c r="AF153" i="9"/>
  <c r="BJ153" i="9"/>
  <c r="BH153" i="9"/>
  <c r="BA153" i="9"/>
  <c r="AT153" i="9"/>
  <c r="AM153" i="9"/>
  <c r="S29" i="11"/>
  <c r="H11" i="11"/>
  <c r="BJ11" i="9"/>
  <c r="AF11" i="9"/>
  <c r="BH11" i="9"/>
  <c r="BA11" i="9"/>
  <c r="AT11" i="9"/>
  <c r="AM11" i="9"/>
  <c r="Q29" i="11"/>
  <c r="H29" i="11"/>
  <c r="AF29" i="9"/>
  <c r="BJ29" i="9"/>
  <c r="BH29" i="9"/>
  <c r="BA29" i="9"/>
  <c r="AT29" i="9"/>
  <c r="AM29" i="9"/>
  <c r="Q277" i="11"/>
  <c r="S277" i="11"/>
  <c r="AF276" i="9"/>
  <c r="BJ276" i="9"/>
  <c r="BH276" i="9"/>
  <c r="BA276" i="9"/>
  <c r="AT276" i="9"/>
  <c r="AM276" i="9"/>
  <c r="Q163" i="11"/>
  <c r="S163" i="11"/>
  <c r="AF165" i="9"/>
  <c r="BJ165" i="9"/>
  <c r="BH165" i="9"/>
  <c r="BA165" i="9"/>
  <c r="AT165" i="9"/>
  <c r="AM165" i="9"/>
  <c r="Q267" i="11"/>
  <c r="Q190" i="11"/>
  <c r="S190" i="11"/>
  <c r="BA191" i="9"/>
  <c r="BJ191" i="9"/>
  <c r="BH191" i="9"/>
  <c r="AT191" i="9"/>
  <c r="AM191" i="9"/>
  <c r="S267" i="11"/>
  <c r="BA266" i="9"/>
  <c r="AT266" i="9"/>
  <c r="BH266" i="9"/>
  <c r="AF266" i="9"/>
  <c r="BJ266" i="9"/>
  <c r="AM266" i="9"/>
  <c r="Q210" i="11"/>
  <c r="S210" i="11"/>
  <c r="BJ207" i="9"/>
  <c r="AF207" i="9"/>
  <c r="BH207" i="9"/>
  <c r="BA207" i="9"/>
  <c r="AT207" i="9"/>
  <c r="AM207" i="9"/>
  <c r="BN27" i="2"/>
  <c r="BZ27" i="2" s="1"/>
  <c r="BE27" i="2"/>
  <c r="BA316" i="9" s="1"/>
  <c r="Q317" i="11"/>
  <c r="S317" i="11"/>
  <c r="AJ27" i="2"/>
  <c r="AF316" i="9" s="1"/>
  <c r="BL27" i="2"/>
  <c r="BH316" i="9" s="1"/>
  <c r="AC27" i="2"/>
  <c r="BJ316" i="9" s="1"/>
  <c r="BP27" i="2"/>
  <c r="CB27" i="2" s="1"/>
  <c r="CA27" i="2"/>
  <c r="BM27" i="2"/>
  <c r="BY27" i="2" s="1"/>
  <c r="AX27" i="2"/>
  <c r="AT316" i="9" s="1"/>
  <c r="AQ27" i="2"/>
  <c r="AM316" i="9" s="1"/>
  <c r="S156" i="11"/>
  <c r="Q156" i="11"/>
  <c r="H156" i="11"/>
  <c r="BH158" i="9"/>
  <c r="BA158" i="9"/>
  <c r="AT158" i="9"/>
  <c r="AF158" i="9"/>
  <c r="BJ158" i="9"/>
  <c r="AM158" i="9"/>
  <c r="P305" i="11"/>
  <c r="E304" i="9"/>
  <c r="M304" i="9"/>
  <c r="CZ15" i="2"/>
  <c r="CY15" i="2" s="1"/>
  <c r="X15" i="2" s="1"/>
  <c r="R13" i="1"/>
  <c r="Y13" i="1"/>
  <c r="AE13" i="1"/>
  <c r="H291" i="11"/>
  <c r="P291" i="11"/>
  <c r="E290" i="9"/>
  <c r="M290" i="9"/>
  <c r="P248" i="11"/>
  <c r="E247" i="9"/>
  <c r="M247" i="9"/>
  <c r="P28" i="11"/>
  <c r="E28" i="9"/>
  <c r="M28" i="9"/>
  <c r="P88" i="11"/>
  <c r="E90" i="9"/>
  <c r="M90" i="9"/>
  <c r="P242" i="11"/>
  <c r="E241" i="9"/>
  <c r="M241" i="9"/>
  <c r="H8" i="11"/>
  <c r="P8" i="11"/>
  <c r="E8" i="9"/>
  <c r="M8" i="9"/>
  <c r="BI108" i="9" l="1"/>
  <c r="BQ191" i="20"/>
  <c r="CK196" i="20"/>
  <c r="H196" i="20"/>
  <c r="CK194" i="20"/>
  <c r="H194" i="20"/>
  <c r="L253" i="20"/>
  <c r="AF182" i="20"/>
  <c r="J253" i="20"/>
  <c r="K253" i="20"/>
  <c r="K255" i="20"/>
  <c r="I253" i="20"/>
  <c r="J255" i="20"/>
  <c r="L255" i="20"/>
  <c r="I255" i="20"/>
  <c r="I249" i="20"/>
  <c r="K205" i="20"/>
  <c r="K249" i="20"/>
  <c r="I205" i="20"/>
  <c r="L205" i="20"/>
  <c r="J205" i="20"/>
  <c r="J249" i="20"/>
  <c r="L249" i="20"/>
  <c r="AF181" i="20"/>
  <c r="AF188" i="20"/>
  <c r="CH242" i="20"/>
  <c r="I242" i="20" s="1"/>
  <c r="I251" i="20"/>
  <c r="K216" i="20"/>
  <c r="L251" i="20"/>
  <c r="J251" i="20"/>
  <c r="K251" i="20"/>
  <c r="M216" i="20"/>
  <c r="CH202" i="20"/>
  <c r="M202" i="20" s="1"/>
  <c r="P196" i="20"/>
  <c r="F196" i="20"/>
  <c r="P194" i="20"/>
  <c r="F194" i="20"/>
  <c r="L216" i="20"/>
  <c r="CH197" i="20"/>
  <c r="L197" i="20" s="1"/>
  <c r="CH245" i="20"/>
  <c r="M245" i="20" s="1"/>
  <c r="CH222" i="20"/>
  <c r="M222" i="20" s="1"/>
  <c r="CH210" i="20"/>
  <c r="M210" i="20" s="1"/>
  <c r="CH199" i="20"/>
  <c r="M199" i="20" s="1"/>
  <c r="I216" i="20"/>
  <c r="CH231" i="20"/>
  <c r="M231" i="20" s="1"/>
  <c r="CH221" i="20"/>
  <c r="M221" i="20" s="1"/>
  <c r="CH236" i="20"/>
  <c r="M236" i="20" s="1"/>
  <c r="CH217" i="20"/>
  <c r="M217" i="20" s="1"/>
  <c r="CH211" i="20"/>
  <c r="M211" i="20" s="1"/>
  <c r="CH201" i="20"/>
  <c r="M201" i="20" s="1"/>
  <c r="CH241" i="20"/>
  <c r="M241" i="20" s="1"/>
  <c r="CH247" i="20"/>
  <c r="M247" i="20" s="1"/>
  <c r="CH244" i="20"/>
  <c r="M244" i="20" s="1"/>
  <c r="CH228" i="20"/>
  <c r="M228" i="20" s="1"/>
  <c r="CH233" i="20"/>
  <c r="M233" i="20" s="1"/>
  <c r="CH212" i="20"/>
  <c r="M212" i="20" s="1"/>
  <c r="BP191" i="20"/>
  <c r="CB108" i="9"/>
  <c r="G196" i="20"/>
  <c r="G194" i="20"/>
  <c r="AF190" i="20"/>
  <c r="I268" i="6"/>
  <c r="I278" i="6"/>
  <c r="I207" i="6"/>
  <c r="I191" i="6"/>
  <c r="I153" i="6"/>
  <c r="I165" i="6"/>
  <c r="I158" i="6"/>
  <c r="T28" i="1"/>
  <c r="I318" i="6"/>
  <c r="O318" i="6" s="1"/>
  <c r="B316" i="9" s="1"/>
  <c r="CD316" i="9" s="1"/>
  <c r="I10" i="6"/>
  <c r="O28" i="6"/>
  <c r="B29" i="9" s="1"/>
  <c r="CD29" i="9" s="1"/>
  <c r="AF185" i="20"/>
  <c r="AF187" i="20"/>
  <c r="AF189" i="20"/>
  <c r="AF186" i="20"/>
  <c r="AF183" i="20"/>
  <c r="AF180" i="20"/>
  <c r="Y247" i="9"/>
  <c r="Y304" i="9"/>
  <c r="Y90" i="9"/>
  <c r="Y8" i="9"/>
  <c r="Y241" i="9"/>
  <c r="Y290" i="9"/>
  <c r="Y28" i="9"/>
  <c r="CH203" i="20"/>
  <c r="M203" i="20" s="1"/>
  <c r="CH232" i="20"/>
  <c r="M232" i="20" s="1"/>
  <c r="CH226" i="20"/>
  <c r="M226" i="20" s="1"/>
  <c r="CH227" i="20"/>
  <c r="M227" i="20" s="1"/>
  <c r="CH220" i="20"/>
  <c r="M220" i="20" s="1"/>
  <c r="CH235" i="20"/>
  <c r="M235" i="20" s="1"/>
  <c r="G161" i="9"/>
  <c r="H161" i="9"/>
  <c r="F161" i="9"/>
  <c r="I292" i="20"/>
  <c r="L238" i="20"/>
  <c r="L292" i="20"/>
  <c r="J292" i="20"/>
  <c r="K292" i="20"/>
  <c r="CH239" i="20"/>
  <c r="M239" i="20" s="1"/>
  <c r="CH214" i="20"/>
  <c r="M214" i="20" s="1"/>
  <c r="CH219" i="20"/>
  <c r="M219" i="20" s="1"/>
  <c r="CH213" i="20"/>
  <c r="M213" i="20" s="1"/>
  <c r="I238" i="20"/>
  <c r="CH229" i="20"/>
  <c r="M229" i="20" s="1"/>
  <c r="CH223" i="20"/>
  <c r="M223" i="20" s="1"/>
  <c r="CH204" i="20"/>
  <c r="M204" i="20" s="1"/>
  <c r="B193" i="20"/>
  <c r="CH225" i="20"/>
  <c r="K225" i="20" s="1"/>
  <c r="CH218" i="20"/>
  <c r="M218" i="20" s="1"/>
  <c r="J238" i="20"/>
  <c r="K238" i="20"/>
  <c r="CH246" i="20"/>
  <c r="J246" i="20" s="1"/>
  <c r="I208" i="20"/>
  <c r="CH206" i="20"/>
  <c r="M206" i="20" s="1"/>
  <c r="L208" i="20"/>
  <c r="K208" i="20"/>
  <c r="J208" i="20"/>
  <c r="C168" i="18"/>
  <c r="M250" i="20"/>
  <c r="K250" i="20"/>
  <c r="I250" i="20"/>
  <c r="L250" i="20"/>
  <c r="J250" i="20"/>
  <c r="O108" i="6"/>
  <c r="B108" i="9" s="1"/>
  <c r="CD108" i="9" s="1"/>
  <c r="O83" i="6"/>
  <c r="B84" i="9" s="1"/>
  <c r="CD84" i="9" s="1"/>
  <c r="J200" i="20"/>
  <c r="CH195" i="20"/>
  <c r="M237" i="20"/>
  <c r="I237" i="20"/>
  <c r="L237" i="20"/>
  <c r="K237" i="20"/>
  <c r="J237" i="20"/>
  <c r="M200" i="20"/>
  <c r="I200" i="20"/>
  <c r="K200" i="20"/>
  <c r="M215" i="20"/>
  <c r="K215" i="20"/>
  <c r="I215" i="20"/>
  <c r="J215" i="20"/>
  <c r="L215" i="20"/>
  <c r="M198" i="20"/>
  <c r="J198" i="20"/>
  <c r="K198" i="20"/>
  <c r="L198" i="20"/>
  <c r="I198" i="20"/>
  <c r="M207" i="20"/>
  <c r="J207" i="20"/>
  <c r="K207" i="20"/>
  <c r="L207" i="20"/>
  <c r="I207" i="20"/>
  <c r="M234" i="20"/>
  <c r="K234" i="20"/>
  <c r="I234" i="20"/>
  <c r="L234" i="20"/>
  <c r="J234" i="20"/>
  <c r="M243" i="20"/>
  <c r="I243" i="20"/>
  <c r="J243" i="20"/>
  <c r="L243" i="20"/>
  <c r="K243" i="20"/>
  <c r="I209" i="20"/>
  <c r="K209" i="20"/>
  <c r="J209" i="20"/>
  <c r="L209" i="20"/>
  <c r="M209" i="20"/>
  <c r="I230" i="20"/>
  <c r="J230" i="20"/>
  <c r="M230" i="20"/>
  <c r="L230" i="20"/>
  <c r="K230" i="20"/>
  <c r="M240" i="20"/>
  <c r="J240" i="20"/>
  <c r="I240" i="20"/>
  <c r="L240" i="20"/>
  <c r="K240" i="20"/>
  <c r="M224" i="20"/>
  <c r="K224" i="20"/>
  <c r="J224" i="20"/>
  <c r="I224" i="20"/>
  <c r="L224" i="20"/>
  <c r="O26" i="6"/>
  <c r="B27" i="9" s="1"/>
  <c r="CD27" i="9" s="1"/>
  <c r="L288" i="20"/>
  <c r="K288" i="20"/>
  <c r="J288" i="20"/>
  <c r="I288" i="20"/>
  <c r="L289" i="20"/>
  <c r="J289" i="20"/>
  <c r="I289" i="20"/>
  <c r="K289" i="20"/>
  <c r="AM180" i="20"/>
  <c r="AM181" i="20"/>
  <c r="BH181" i="20"/>
  <c r="BH182" i="20"/>
  <c r="BH183" i="20"/>
  <c r="BO185" i="20"/>
  <c r="AM185" i="20"/>
  <c r="BH186" i="20"/>
  <c r="AM186" i="20"/>
  <c r="BA187" i="20"/>
  <c r="BR187" i="20"/>
  <c r="AT188" i="20"/>
  <c r="AM188" i="20"/>
  <c r="BO189" i="20"/>
  <c r="AM189" i="20"/>
  <c r="BA190" i="20"/>
  <c r="AT180" i="20"/>
  <c r="BA180" i="20"/>
  <c r="BO180" i="20"/>
  <c r="AT181" i="20"/>
  <c r="BO182" i="20"/>
  <c r="BR182" i="20"/>
  <c r="AM183" i="20"/>
  <c r="AT184" i="20"/>
  <c r="BR184" i="20"/>
  <c r="AT185" i="20"/>
  <c r="BO186" i="20"/>
  <c r="BH187" i="20"/>
  <c r="AM187" i="20"/>
  <c r="BA188" i="20"/>
  <c r="BR188" i="20"/>
  <c r="AT189" i="20"/>
  <c r="BH190" i="20"/>
  <c r="BR190" i="20"/>
  <c r="BS191" i="20"/>
  <c r="AM184" i="20"/>
  <c r="BA181" i="20"/>
  <c r="BR181" i="20"/>
  <c r="AT182" i="20"/>
  <c r="BO183" i="20"/>
  <c r="BA184" i="20"/>
  <c r="BH184" i="20"/>
  <c r="BA185" i="20"/>
  <c r="BR185" i="20"/>
  <c r="AT186" i="20"/>
  <c r="BO187" i="20"/>
  <c r="BH188" i="20"/>
  <c r="BA189" i="20"/>
  <c r="BR189" i="20"/>
  <c r="BO190" i="20"/>
  <c r="AM190" i="20"/>
  <c r="BS192" i="20"/>
  <c r="BR180" i="20"/>
  <c r="BH180" i="20"/>
  <c r="BO181" i="20"/>
  <c r="BA182" i="20"/>
  <c r="AM182" i="20"/>
  <c r="AT183" i="20"/>
  <c r="BR183" i="20"/>
  <c r="BA183" i="20"/>
  <c r="BO184" i="20"/>
  <c r="BH185" i="20"/>
  <c r="BA186" i="20"/>
  <c r="BR186" i="20"/>
  <c r="AT187" i="20"/>
  <c r="BO188" i="20"/>
  <c r="BH189" i="20"/>
  <c r="AT190" i="20"/>
  <c r="J108" i="6"/>
  <c r="J161" i="6"/>
  <c r="J292" i="6"/>
  <c r="I27" i="6"/>
  <c r="AF290" i="9"/>
  <c r="P15" i="2"/>
  <c r="BK27" i="9"/>
  <c r="BK153" i="9"/>
  <c r="BK11" i="9"/>
  <c r="BK29" i="9"/>
  <c r="BK276" i="9"/>
  <c r="BK165" i="9"/>
  <c r="BK191" i="9"/>
  <c r="BK266" i="9"/>
  <c r="BK207" i="9"/>
  <c r="S248" i="11"/>
  <c r="Y27" i="2"/>
  <c r="Z27" i="2"/>
  <c r="AA27" i="2"/>
  <c r="AB27" i="2"/>
  <c r="BK316" i="9" s="1"/>
  <c r="S305" i="11"/>
  <c r="S28" i="11"/>
  <c r="Q8" i="11"/>
  <c r="S88" i="11"/>
  <c r="Q242" i="11"/>
  <c r="H305" i="11"/>
  <c r="Q305" i="11"/>
  <c r="BP15" i="2"/>
  <c r="CB15" i="2" s="1"/>
  <c r="CA15" i="2"/>
  <c r="AJ15" i="2"/>
  <c r="AF304" i="9" s="1"/>
  <c r="AC15" i="2"/>
  <c r="BJ304" i="9" s="1"/>
  <c r="BN15" i="2"/>
  <c r="BZ15" i="2" s="1"/>
  <c r="BM15" i="2"/>
  <c r="BY15" i="2" s="1"/>
  <c r="BL15" i="2"/>
  <c r="BH304" i="9" s="1"/>
  <c r="BE15" i="2"/>
  <c r="BA304" i="9" s="1"/>
  <c r="AX15" i="2"/>
  <c r="AT304" i="9" s="1"/>
  <c r="AQ15" i="2"/>
  <c r="AM304" i="9" s="1"/>
  <c r="Q291" i="11"/>
  <c r="S291" i="11"/>
  <c r="BJ290" i="9"/>
  <c r="BH290" i="9"/>
  <c r="BA290" i="9"/>
  <c r="AT290" i="9"/>
  <c r="AM290" i="9"/>
  <c r="Q248" i="11"/>
  <c r="H248" i="11"/>
  <c r="AF247" i="9"/>
  <c r="BJ247" i="9"/>
  <c r="BH247" i="9"/>
  <c r="BA247" i="9"/>
  <c r="AT247" i="9"/>
  <c r="AM247" i="9"/>
  <c r="Q28" i="11"/>
  <c r="H28" i="11"/>
  <c r="BA28" i="9"/>
  <c r="AF28" i="9"/>
  <c r="BJ28" i="9"/>
  <c r="BH28" i="9"/>
  <c r="AT28" i="9"/>
  <c r="AM28" i="9"/>
  <c r="Q88" i="11"/>
  <c r="H88" i="11"/>
  <c r="BJ90" i="9"/>
  <c r="AF90" i="9"/>
  <c r="BH90" i="9"/>
  <c r="BA90" i="9"/>
  <c r="AT90" i="9"/>
  <c r="AM90" i="9"/>
  <c r="S242" i="11"/>
  <c r="H242" i="11"/>
  <c r="AF241" i="9"/>
  <c r="BJ241" i="9"/>
  <c r="BH241" i="9"/>
  <c r="BA241" i="9"/>
  <c r="AT241" i="9"/>
  <c r="AM241" i="9"/>
  <c r="S8" i="11"/>
  <c r="AT8" i="9"/>
  <c r="AM8" i="9"/>
  <c r="AF8" i="9"/>
  <c r="BJ8" i="9"/>
  <c r="BA8" i="9"/>
  <c r="BH8" i="9"/>
  <c r="H213" i="11"/>
  <c r="P213" i="11"/>
  <c r="E210" i="9"/>
  <c r="M210" i="9"/>
  <c r="H25" i="11"/>
  <c r="P25" i="11"/>
  <c r="E25" i="9"/>
  <c r="M25" i="9"/>
  <c r="BI290" i="9" l="1"/>
  <c r="BQ178" i="20"/>
  <c r="BI207" i="9"/>
  <c r="BQ182" i="20"/>
  <c r="BI266" i="9"/>
  <c r="BQ183" i="20"/>
  <c r="BI191" i="9"/>
  <c r="BQ184" i="20"/>
  <c r="BI165" i="9"/>
  <c r="BQ185" i="20"/>
  <c r="BI276" i="9"/>
  <c r="BQ186" i="20"/>
  <c r="BI11" i="9"/>
  <c r="BQ188" i="20"/>
  <c r="BI316" i="9"/>
  <c r="BQ181" i="20"/>
  <c r="BQ180" i="20"/>
  <c r="BI29" i="9"/>
  <c r="BQ187" i="20"/>
  <c r="BI153" i="9"/>
  <c r="BQ189" i="20"/>
  <c r="BI27" i="9"/>
  <c r="BQ190" i="20"/>
  <c r="CK193" i="20"/>
  <c r="H193" i="20"/>
  <c r="AF177" i="20"/>
  <c r="K242" i="20"/>
  <c r="L242" i="20"/>
  <c r="K201" i="20"/>
  <c r="M242" i="20"/>
  <c r="L210" i="20"/>
  <c r="J217" i="20"/>
  <c r="J242" i="20"/>
  <c r="J210" i="20"/>
  <c r="I241" i="20"/>
  <c r="I202" i="20"/>
  <c r="J221" i="20"/>
  <c r="J228" i="20"/>
  <c r="K202" i="20"/>
  <c r="L202" i="20"/>
  <c r="J202" i="20"/>
  <c r="K241" i="20"/>
  <c r="L241" i="20"/>
  <c r="I199" i="20"/>
  <c r="J199" i="20"/>
  <c r="J197" i="20"/>
  <c r="K236" i="20"/>
  <c r="I197" i="20"/>
  <c r="L199" i="20"/>
  <c r="J236" i="20"/>
  <c r="M197" i="20"/>
  <c r="K233" i="20"/>
  <c r="L233" i="20"/>
  <c r="K199" i="20"/>
  <c r="L236" i="20"/>
  <c r="I236" i="20"/>
  <c r="J241" i="20"/>
  <c r="J233" i="20"/>
  <c r="I233" i="20"/>
  <c r="K197" i="20"/>
  <c r="K217" i="20"/>
  <c r="L212" i="20"/>
  <c r="J245" i="20"/>
  <c r="AF176" i="20"/>
  <c r="J231" i="20"/>
  <c r="I222" i="20"/>
  <c r="J222" i="20"/>
  <c r="J244" i="20"/>
  <c r="J211" i="20"/>
  <c r="F193" i="20"/>
  <c r="P193" i="20"/>
  <c r="I245" i="20"/>
  <c r="L217" i="20"/>
  <c r="K245" i="20"/>
  <c r="I217" i="20"/>
  <c r="L245" i="20"/>
  <c r="K228" i="20"/>
  <c r="J201" i="20"/>
  <c r="K221" i="20"/>
  <c r="I228" i="20"/>
  <c r="L201" i="20"/>
  <c r="L221" i="20"/>
  <c r="K210" i="20"/>
  <c r="I210" i="20"/>
  <c r="L228" i="20"/>
  <c r="I201" i="20"/>
  <c r="I221" i="20"/>
  <c r="I231" i="20"/>
  <c r="L211" i="20"/>
  <c r="K231" i="20"/>
  <c r="I211" i="20"/>
  <c r="L244" i="20"/>
  <c r="I244" i="20"/>
  <c r="L231" i="20"/>
  <c r="I247" i="20"/>
  <c r="L222" i="20"/>
  <c r="K222" i="20"/>
  <c r="K244" i="20"/>
  <c r="K211" i="20"/>
  <c r="K212" i="20"/>
  <c r="I212" i="20"/>
  <c r="L247" i="20"/>
  <c r="J212" i="20"/>
  <c r="K247" i="20"/>
  <c r="J247" i="20"/>
  <c r="BP178" i="20"/>
  <c r="CB290" i="9"/>
  <c r="BP182" i="20"/>
  <c r="CB207" i="9"/>
  <c r="BP184" i="20"/>
  <c r="CB191" i="9"/>
  <c r="BP185" i="20"/>
  <c r="CB165" i="9"/>
  <c r="BP186" i="20"/>
  <c r="CB276" i="9"/>
  <c r="BP188" i="20"/>
  <c r="CB11" i="9"/>
  <c r="BP181" i="20"/>
  <c r="CB316" i="9"/>
  <c r="BP190" i="20"/>
  <c r="CB27" i="9"/>
  <c r="BP183" i="20"/>
  <c r="CB266" i="9"/>
  <c r="BP187" i="20"/>
  <c r="CB29" i="9"/>
  <c r="BP189" i="20"/>
  <c r="CB153" i="9"/>
  <c r="G193" i="20"/>
  <c r="BP180" i="20"/>
  <c r="CB158" i="9"/>
  <c r="I292" i="6"/>
  <c r="I247" i="6"/>
  <c r="O247" i="6" s="1"/>
  <c r="B247" i="9" s="1"/>
  <c r="CD247" i="9" s="1"/>
  <c r="I241" i="6"/>
  <c r="I89" i="6"/>
  <c r="I7" i="6"/>
  <c r="O7" i="6" s="1"/>
  <c r="B8" i="9" s="1"/>
  <c r="CD8" i="9" s="1"/>
  <c r="T13" i="1"/>
  <c r="I306" i="6"/>
  <c r="O306" i="6" s="1"/>
  <c r="B304" i="9" s="1"/>
  <c r="CD304" i="9" s="1"/>
  <c r="AF173" i="20"/>
  <c r="AF175" i="20"/>
  <c r="AF178" i="20"/>
  <c r="AF179" i="20"/>
  <c r="AF174" i="20"/>
  <c r="Y25" i="9"/>
  <c r="Y210" i="9"/>
  <c r="BI158" i="9"/>
  <c r="BK158" i="9"/>
  <c r="J158" i="6"/>
  <c r="L232" i="20"/>
  <c r="J232" i="20"/>
  <c r="K232" i="20"/>
  <c r="I232" i="20"/>
  <c r="I203" i="20"/>
  <c r="J203" i="20"/>
  <c r="K203" i="20"/>
  <c r="L203" i="20"/>
  <c r="L226" i="20"/>
  <c r="J226" i="20"/>
  <c r="K226" i="20"/>
  <c r="I226" i="20"/>
  <c r="J220" i="20"/>
  <c r="I220" i="20"/>
  <c r="K220" i="20"/>
  <c r="L220" i="20"/>
  <c r="J235" i="20"/>
  <c r="I235" i="20"/>
  <c r="L235" i="20"/>
  <c r="K235" i="20"/>
  <c r="I227" i="20"/>
  <c r="L227" i="20"/>
  <c r="K227" i="20"/>
  <c r="J227" i="20"/>
  <c r="H316" i="9"/>
  <c r="G316" i="9"/>
  <c r="F316" i="9"/>
  <c r="H27" i="9"/>
  <c r="G27" i="9"/>
  <c r="F27" i="9"/>
  <c r="G29" i="9"/>
  <c r="H29" i="9"/>
  <c r="F29" i="9"/>
  <c r="H84" i="9"/>
  <c r="G84" i="9"/>
  <c r="F84" i="9"/>
  <c r="H108" i="9"/>
  <c r="F108" i="9"/>
  <c r="G108" i="9"/>
  <c r="I214" i="20"/>
  <c r="L214" i="20"/>
  <c r="J214" i="20"/>
  <c r="K214" i="20"/>
  <c r="W28" i="1"/>
  <c r="K213" i="20"/>
  <c r="B192" i="20"/>
  <c r="K219" i="20"/>
  <c r="L219" i="20"/>
  <c r="I219" i="20"/>
  <c r="J219" i="20"/>
  <c r="C97" i="18"/>
  <c r="L229" i="20"/>
  <c r="I229" i="20"/>
  <c r="J229" i="20"/>
  <c r="K229" i="20"/>
  <c r="J239" i="20"/>
  <c r="L239" i="20"/>
  <c r="I239" i="20"/>
  <c r="K239" i="20"/>
  <c r="I213" i="20"/>
  <c r="J213" i="20"/>
  <c r="L213" i="20"/>
  <c r="CH194" i="20"/>
  <c r="M194" i="20" s="1"/>
  <c r="K204" i="20"/>
  <c r="K223" i="20"/>
  <c r="I223" i="20"/>
  <c r="J204" i="20"/>
  <c r="I204" i="20"/>
  <c r="L204" i="20"/>
  <c r="J225" i="20"/>
  <c r="L223" i="20"/>
  <c r="J223" i="20"/>
  <c r="M225" i="20"/>
  <c r="I225" i="20"/>
  <c r="L225" i="20"/>
  <c r="I218" i="20"/>
  <c r="C120" i="18"/>
  <c r="K218" i="20"/>
  <c r="B191" i="20"/>
  <c r="C45" i="18"/>
  <c r="J218" i="20"/>
  <c r="L218" i="20"/>
  <c r="J206" i="20"/>
  <c r="I206" i="20"/>
  <c r="K206" i="20"/>
  <c r="L206" i="20"/>
  <c r="K246" i="20"/>
  <c r="M246" i="20"/>
  <c r="I246" i="20"/>
  <c r="L246" i="20"/>
  <c r="CH196" i="20"/>
  <c r="I196" i="20" s="1"/>
  <c r="C21" i="18"/>
  <c r="O278" i="6"/>
  <c r="B276" i="9" s="1"/>
  <c r="CD276" i="9" s="1"/>
  <c r="O191" i="6"/>
  <c r="B191" i="9" s="1"/>
  <c r="CD191" i="9" s="1"/>
  <c r="O207" i="6"/>
  <c r="B207" i="9" s="1"/>
  <c r="CD207" i="9" s="1"/>
  <c r="O153" i="6"/>
  <c r="B153" i="9" s="1"/>
  <c r="CD153" i="9" s="1"/>
  <c r="O158" i="6"/>
  <c r="B158" i="9" s="1"/>
  <c r="CD158" i="9" s="1"/>
  <c r="O165" i="6"/>
  <c r="B165" i="9" s="1"/>
  <c r="CD165" i="9" s="1"/>
  <c r="O10" i="6"/>
  <c r="B11" i="9" s="1"/>
  <c r="CD11" i="9" s="1"/>
  <c r="O268" i="6"/>
  <c r="B266" i="9" s="1"/>
  <c r="CD266" i="9" s="1"/>
  <c r="M195" i="20"/>
  <c r="I195" i="20"/>
  <c r="J195" i="20"/>
  <c r="K195" i="20"/>
  <c r="L195" i="20"/>
  <c r="B187" i="20"/>
  <c r="B181" i="20"/>
  <c r="B190" i="20"/>
  <c r="C47" i="18"/>
  <c r="O27" i="6"/>
  <c r="B28" i="9" s="1"/>
  <c r="CD28" i="9" s="1"/>
  <c r="BA173" i="20"/>
  <c r="BA174" i="20"/>
  <c r="AT175" i="20"/>
  <c r="BO176" i="20"/>
  <c r="BR176" i="20"/>
  <c r="BH177" i="20"/>
  <c r="BR177" i="20"/>
  <c r="BO178" i="20"/>
  <c r="BH179" i="20"/>
  <c r="BR179" i="20"/>
  <c r="BS180" i="20"/>
  <c r="BS181" i="20"/>
  <c r="AM178" i="20"/>
  <c r="BR173" i="20"/>
  <c r="BH174" i="20"/>
  <c r="BR174" i="20"/>
  <c r="BA175" i="20"/>
  <c r="AM175" i="20"/>
  <c r="AT176" i="20"/>
  <c r="AM176" i="20"/>
  <c r="BO177" i="20"/>
  <c r="AT178" i="20"/>
  <c r="BH178" i="20"/>
  <c r="BR178" i="20"/>
  <c r="BO179" i="20"/>
  <c r="AM179" i="20"/>
  <c r="BS182" i="20"/>
  <c r="BS183" i="20"/>
  <c r="BS184" i="20"/>
  <c r="BS185" i="20"/>
  <c r="BS186" i="20"/>
  <c r="BS187" i="20"/>
  <c r="BO173" i="20"/>
  <c r="BH173" i="20"/>
  <c r="AM173" i="20"/>
  <c r="BO174" i="20"/>
  <c r="AM174" i="20"/>
  <c r="BH175" i="20"/>
  <c r="BA176" i="20"/>
  <c r="BH176" i="20"/>
  <c r="AT177" i="20"/>
  <c r="AM177" i="20"/>
  <c r="AT179" i="20"/>
  <c r="BS188" i="20"/>
  <c r="BS189" i="20"/>
  <c r="BS190" i="20"/>
  <c r="AT173" i="20"/>
  <c r="AT174" i="20"/>
  <c r="BO175" i="20"/>
  <c r="BR175" i="20"/>
  <c r="BA177" i="20"/>
  <c r="BA178" i="20"/>
  <c r="BA179" i="20"/>
  <c r="BR27" i="2"/>
  <c r="CD27" i="2" s="1"/>
  <c r="J165" i="6"/>
  <c r="J278" i="6"/>
  <c r="BV27" i="2"/>
  <c r="J318" i="6" s="1"/>
  <c r="J28" i="6"/>
  <c r="J207" i="6"/>
  <c r="J268" i="6"/>
  <c r="J191" i="6"/>
  <c r="J10" i="6"/>
  <c r="J153" i="6"/>
  <c r="J26" i="6"/>
  <c r="BU27" i="2"/>
  <c r="CG27" i="2" s="1"/>
  <c r="BJ25" i="9"/>
  <c r="BT27" i="2"/>
  <c r="CF27" i="2" s="1"/>
  <c r="BQ27" i="2"/>
  <c r="CC27" i="2" s="1"/>
  <c r="BS27" i="2"/>
  <c r="CE27" i="2" s="1"/>
  <c r="Q213" i="11"/>
  <c r="Q25" i="11"/>
  <c r="Z15" i="2"/>
  <c r="AA15" i="2"/>
  <c r="Y15" i="2"/>
  <c r="AB15" i="2"/>
  <c r="BK304" i="9" s="1"/>
  <c r="BK290" i="9"/>
  <c r="BK247" i="9"/>
  <c r="BK28" i="9"/>
  <c r="BK241" i="9"/>
  <c r="BK8" i="9"/>
  <c r="S213" i="11"/>
  <c r="BA210" i="9"/>
  <c r="BJ210" i="9"/>
  <c r="BH210" i="9"/>
  <c r="AF210" i="9"/>
  <c r="AT210" i="9"/>
  <c r="AM210" i="9"/>
  <c r="S25" i="11"/>
  <c r="BH25" i="9"/>
  <c r="AT25" i="9"/>
  <c r="BA25" i="9"/>
  <c r="AM25" i="9"/>
  <c r="I24" i="6"/>
  <c r="AF25" i="9"/>
  <c r="P222" i="11"/>
  <c r="E219" i="9"/>
  <c r="M219" i="9"/>
  <c r="H289" i="11"/>
  <c r="P289" i="11"/>
  <c r="E288" i="9"/>
  <c r="M288" i="9"/>
  <c r="H200" i="11"/>
  <c r="P200" i="11"/>
  <c r="E201" i="9"/>
  <c r="M201" i="9"/>
  <c r="H93" i="11"/>
  <c r="P93" i="11"/>
  <c r="E95" i="9"/>
  <c r="M95" i="9"/>
  <c r="P137" i="11"/>
  <c r="E138" i="9"/>
  <c r="M138" i="9"/>
  <c r="P102" i="11"/>
  <c r="E104" i="9"/>
  <c r="M104" i="9"/>
  <c r="H132" i="11"/>
  <c r="P132" i="11"/>
  <c r="E133" i="9"/>
  <c r="M133" i="9"/>
  <c r="H79" i="11"/>
  <c r="P79" i="11"/>
  <c r="E82" i="9"/>
  <c r="M82" i="9"/>
  <c r="R19" i="1"/>
  <c r="Y19" i="1"/>
  <c r="AE19" i="1"/>
  <c r="H77" i="11"/>
  <c r="P77" i="11"/>
  <c r="E79" i="9"/>
  <c r="M79" i="9"/>
  <c r="H59" i="11"/>
  <c r="P59" i="11"/>
  <c r="E61" i="9"/>
  <c r="M61" i="9"/>
  <c r="BI241" i="9" l="1"/>
  <c r="BQ174" i="20"/>
  <c r="BI304" i="9"/>
  <c r="BQ179" i="20"/>
  <c r="BI8" i="9"/>
  <c r="BQ173" i="20"/>
  <c r="BI90" i="9"/>
  <c r="BQ175" i="20"/>
  <c r="BI28" i="9"/>
  <c r="BQ176" i="20"/>
  <c r="BI247" i="9"/>
  <c r="BQ177" i="20"/>
  <c r="CK181" i="20"/>
  <c r="H181" i="20"/>
  <c r="CK187" i="20"/>
  <c r="H187" i="20"/>
  <c r="CK191" i="20"/>
  <c r="H191" i="20"/>
  <c r="CK192" i="20"/>
  <c r="H192" i="20"/>
  <c r="CK190" i="20"/>
  <c r="H190" i="20"/>
  <c r="P190" i="20"/>
  <c r="F190" i="20"/>
  <c r="F181" i="20"/>
  <c r="P181" i="20"/>
  <c r="P187" i="20"/>
  <c r="F187" i="20"/>
  <c r="P191" i="20"/>
  <c r="F191" i="20"/>
  <c r="P192" i="20"/>
  <c r="F192" i="20"/>
  <c r="CH193" i="20"/>
  <c r="M193" i="20" s="1"/>
  <c r="BP179" i="20"/>
  <c r="CB304" i="9"/>
  <c r="BP173" i="20"/>
  <c r="CB8" i="9"/>
  <c r="BP174" i="20"/>
  <c r="CB241" i="9"/>
  <c r="BP175" i="20"/>
  <c r="CB90" i="9"/>
  <c r="G187" i="20"/>
  <c r="G191" i="20"/>
  <c r="BP177" i="20"/>
  <c r="CB247" i="9"/>
  <c r="G190" i="20"/>
  <c r="G192" i="20"/>
  <c r="BP176" i="20"/>
  <c r="CB28" i="9"/>
  <c r="G181" i="20"/>
  <c r="I210" i="6"/>
  <c r="AF171" i="20"/>
  <c r="AF172" i="20"/>
  <c r="Y95" i="9"/>
  <c r="Y61" i="9"/>
  <c r="Y79" i="9"/>
  <c r="Y82" i="9"/>
  <c r="Y133" i="9"/>
  <c r="Y138" i="9"/>
  <c r="Y201" i="9"/>
  <c r="Y288" i="9"/>
  <c r="Y219" i="9"/>
  <c r="Y104" i="9"/>
  <c r="H8" i="9"/>
  <c r="G8" i="9"/>
  <c r="F8" i="9"/>
  <c r="G28" i="9"/>
  <c r="F28" i="9"/>
  <c r="H28" i="9"/>
  <c r="G247" i="9"/>
  <c r="F247" i="9"/>
  <c r="H247" i="9"/>
  <c r="H304" i="9"/>
  <c r="F304" i="9"/>
  <c r="G304" i="9"/>
  <c r="H266" i="9"/>
  <c r="G266" i="9"/>
  <c r="F266" i="9"/>
  <c r="H11" i="9"/>
  <c r="F11" i="9"/>
  <c r="G11" i="9"/>
  <c r="H165" i="9"/>
  <c r="G165" i="9"/>
  <c r="F165" i="9"/>
  <c r="H158" i="9"/>
  <c r="F158" i="9"/>
  <c r="G158" i="9"/>
  <c r="G153" i="9"/>
  <c r="H153" i="9"/>
  <c r="F153" i="9"/>
  <c r="G207" i="9"/>
  <c r="F207" i="9"/>
  <c r="H207" i="9"/>
  <c r="H191" i="9"/>
  <c r="G191" i="9"/>
  <c r="F191" i="9"/>
  <c r="H276" i="9"/>
  <c r="G276" i="9"/>
  <c r="F276" i="9"/>
  <c r="I194" i="20"/>
  <c r="K194" i="20"/>
  <c r="L194" i="20"/>
  <c r="J194" i="20"/>
  <c r="J196" i="20"/>
  <c r="M196" i="20"/>
  <c r="L196" i="20"/>
  <c r="K196" i="20"/>
  <c r="C46" i="18"/>
  <c r="B186" i="20"/>
  <c r="C212" i="18"/>
  <c r="C161" i="18"/>
  <c r="B189" i="20"/>
  <c r="B184" i="20"/>
  <c r="C196" i="18"/>
  <c r="C275" i="18"/>
  <c r="B180" i="20"/>
  <c r="C165" i="18"/>
  <c r="B185" i="20"/>
  <c r="B182" i="20"/>
  <c r="C172" i="18"/>
  <c r="O89" i="6"/>
  <c r="B90" i="9" s="1"/>
  <c r="CD90" i="9" s="1"/>
  <c r="C32" i="18"/>
  <c r="B188" i="20"/>
  <c r="O292" i="6"/>
  <c r="B290" i="9" s="1"/>
  <c r="CD290" i="9" s="1"/>
  <c r="O241" i="6"/>
  <c r="B241" i="9" s="1"/>
  <c r="CD241" i="9" s="1"/>
  <c r="C264" i="18"/>
  <c r="B183" i="20"/>
  <c r="B177" i="20"/>
  <c r="B179" i="20"/>
  <c r="B173" i="20"/>
  <c r="B176" i="20"/>
  <c r="C29" i="18"/>
  <c r="W13" i="1"/>
  <c r="C9" i="18"/>
  <c r="C24" i="18"/>
  <c r="O24" i="6"/>
  <c r="B25" i="9" s="1"/>
  <c r="CD25" i="9" s="1"/>
  <c r="BA171" i="20"/>
  <c r="BA172" i="20"/>
  <c r="AM172" i="20"/>
  <c r="BS173" i="20"/>
  <c r="BS174" i="20"/>
  <c r="BS175" i="20"/>
  <c r="BS176" i="20"/>
  <c r="BS179" i="20"/>
  <c r="AT171" i="20"/>
  <c r="BO171" i="20"/>
  <c r="BO172" i="20"/>
  <c r="BS177" i="20"/>
  <c r="BS178" i="20"/>
  <c r="BH171" i="20"/>
  <c r="BR172" i="20"/>
  <c r="AM171" i="20"/>
  <c r="AT172" i="20"/>
  <c r="BH172" i="20"/>
  <c r="BR171" i="20"/>
  <c r="BR15" i="2"/>
  <c r="CD15" i="2" s="1"/>
  <c r="CH27" i="2"/>
  <c r="J89" i="6"/>
  <c r="J27" i="6"/>
  <c r="BV15" i="2"/>
  <c r="J306" i="6" s="1"/>
  <c r="J7" i="6"/>
  <c r="J241" i="6"/>
  <c r="J247" i="6"/>
  <c r="J133" i="6"/>
  <c r="J94" i="6"/>
  <c r="BU15" i="2"/>
  <c r="CG15" i="2" s="1"/>
  <c r="AT61" i="9"/>
  <c r="T19" i="1"/>
  <c r="Q132" i="11"/>
  <c r="U28" i="1"/>
  <c r="BW27" i="2"/>
  <c r="BX27" i="2" s="1"/>
  <c r="S222" i="11"/>
  <c r="BS15" i="2"/>
  <c r="CE15" i="2" s="1"/>
  <c r="BT15" i="2"/>
  <c r="CF15" i="2" s="1"/>
  <c r="BQ15" i="2"/>
  <c r="CC15" i="2" s="1"/>
  <c r="BK210" i="9"/>
  <c r="BK25" i="9"/>
  <c r="Q77" i="11"/>
  <c r="S102" i="11"/>
  <c r="Q59" i="11"/>
  <c r="Q102" i="11"/>
  <c r="Q222" i="11"/>
  <c r="H222" i="11"/>
  <c r="AF219" i="9"/>
  <c r="BJ219" i="9"/>
  <c r="BH219" i="9"/>
  <c r="BA219" i="9"/>
  <c r="AT219" i="9"/>
  <c r="AM219" i="9"/>
  <c r="Q289" i="11"/>
  <c r="S289" i="11"/>
  <c r="BJ288" i="9"/>
  <c r="AF288" i="9"/>
  <c r="BH288" i="9"/>
  <c r="BA288" i="9"/>
  <c r="AT288" i="9"/>
  <c r="AM288" i="9"/>
  <c r="Q200" i="11"/>
  <c r="S200" i="11"/>
  <c r="AF201" i="9"/>
  <c r="BJ201" i="9"/>
  <c r="BH201" i="9"/>
  <c r="BA201" i="9"/>
  <c r="AT201" i="9"/>
  <c r="AM201" i="9"/>
  <c r="BJ95" i="9"/>
  <c r="Q93" i="11"/>
  <c r="S93" i="11"/>
  <c r="AF95" i="9"/>
  <c r="BH95" i="9"/>
  <c r="BA95" i="9"/>
  <c r="AT95" i="9"/>
  <c r="AM95" i="9"/>
  <c r="Q137" i="11"/>
  <c r="H137" i="11"/>
  <c r="S137" i="11"/>
  <c r="BJ138" i="9"/>
  <c r="AF138" i="9"/>
  <c r="BH138" i="9"/>
  <c r="BA138" i="9"/>
  <c r="AT138" i="9"/>
  <c r="AM138" i="9"/>
  <c r="H102" i="11"/>
  <c r="AF104" i="9"/>
  <c r="BJ104" i="9"/>
  <c r="BH104" i="9"/>
  <c r="BA104" i="9"/>
  <c r="AT104" i="9"/>
  <c r="AM104" i="9"/>
  <c r="S132" i="11"/>
  <c r="AF133" i="9"/>
  <c r="BJ133" i="9"/>
  <c r="BH133" i="9"/>
  <c r="BA133" i="9"/>
  <c r="AT133" i="9"/>
  <c r="AM133" i="9"/>
  <c r="Q79" i="11"/>
  <c r="S79" i="11"/>
  <c r="BJ82" i="9"/>
  <c r="AF82" i="9"/>
  <c r="BH82" i="9"/>
  <c r="BA82" i="9"/>
  <c r="AT82" i="9"/>
  <c r="AM82" i="9"/>
  <c r="S77" i="11"/>
  <c r="BJ79" i="9"/>
  <c r="AF79" i="9"/>
  <c r="BH79" i="9"/>
  <c r="BA79" i="9"/>
  <c r="AT79" i="9"/>
  <c r="AM79" i="9"/>
  <c r="S59" i="11"/>
  <c r="AM61" i="9"/>
  <c r="BJ61" i="9"/>
  <c r="BH61" i="9"/>
  <c r="BA61" i="9"/>
  <c r="AF61" i="9"/>
  <c r="H223" i="11"/>
  <c r="P223" i="11"/>
  <c r="E220" i="9"/>
  <c r="M220" i="9"/>
  <c r="H241" i="11"/>
  <c r="P241" i="11"/>
  <c r="E240" i="9"/>
  <c r="M240" i="9"/>
  <c r="BI133" i="9" l="1"/>
  <c r="BQ164" i="20"/>
  <c r="BI210" i="9"/>
  <c r="BQ172" i="20"/>
  <c r="BI95" i="9"/>
  <c r="BQ167" i="20"/>
  <c r="BI25" i="9"/>
  <c r="BQ171" i="20"/>
  <c r="CK179" i="20"/>
  <c r="H179" i="20"/>
  <c r="CK188" i="20"/>
  <c r="H188" i="20"/>
  <c r="CK189" i="20"/>
  <c r="H189" i="20"/>
  <c r="CK177" i="20"/>
  <c r="H177" i="20"/>
  <c r="CK182" i="20"/>
  <c r="H182" i="20"/>
  <c r="CK176" i="20"/>
  <c r="H176" i="20"/>
  <c r="CK183" i="20"/>
  <c r="H183" i="20"/>
  <c r="CK185" i="20"/>
  <c r="H185" i="20"/>
  <c r="CK180" i="20"/>
  <c r="H180" i="20"/>
  <c r="CK184" i="20"/>
  <c r="H184" i="20"/>
  <c r="CK173" i="20"/>
  <c r="H173" i="20"/>
  <c r="CK186" i="20"/>
  <c r="H186" i="20"/>
  <c r="K193" i="20"/>
  <c r="L193" i="20"/>
  <c r="F173" i="20"/>
  <c r="P173" i="20"/>
  <c r="P186" i="20"/>
  <c r="F186" i="20"/>
  <c r="F179" i="20"/>
  <c r="P179" i="20"/>
  <c r="F188" i="20"/>
  <c r="P188" i="20"/>
  <c r="F189" i="20"/>
  <c r="P189" i="20"/>
  <c r="F177" i="20"/>
  <c r="P177" i="20"/>
  <c r="P182" i="20"/>
  <c r="F182" i="20"/>
  <c r="F176" i="20"/>
  <c r="P176" i="20"/>
  <c r="P183" i="20"/>
  <c r="F183" i="20"/>
  <c r="P185" i="20"/>
  <c r="F185" i="20"/>
  <c r="P180" i="20"/>
  <c r="F180" i="20"/>
  <c r="P184" i="20"/>
  <c r="F184" i="20"/>
  <c r="I193" i="20"/>
  <c r="J193" i="20"/>
  <c r="CH187" i="20"/>
  <c r="I187" i="20" s="1"/>
  <c r="BP171" i="20"/>
  <c r="CB25" i="9"/>
  <c r="G173" i="20"/>
  <c r="G183" i="20"/>
  <c r="G185" i="20"/>
  <c r="G180" i="20"/>
  <c r="G184" i="20"/>
  <c r="BP172" i="20"/>
  <c r="CB210" i="9"/>
  <c r="G186" i="20"/>
  <c r="BP164" i="20"/>
  <c r="CB133" i="9"/>
  <c r="G179" i="20"/>
  <c r="G188" i="20"/>
  <c r="G189" i="20"/>
  <c r="BP167" i="20"/>
  <c r="CB95" i="9"/>
  <c r="G176" i="20"/>
  <c r="G177" i="20"/>
  <c r="G182" i="20"/>
  <c r="I290" i="6"/>
  <c r="I219" i="6"/>
  <c r="I201" i="6"/>
  <c r="O201" i="6" s="1"/>
  <c r="B201" i="9" s="1"/>
  <c r="CD201" i="9" s="1"/>
  <c r="I138" i="6"/>
  <c r="I133" i="6"/>
  <c r="I60" i="6"/>
  <c r="O60" i="6" s="1"/>
  <c r="B61" i="9" s="1"/>
  <c r="CD61" i="9" s="1"/>
  <c r="I94" i="6"/>
  <c r="I80" i="6"/>
  <c r="I78" i="6"/>
  <c r="I103" i="6"/>
  <c r="O103" i="6" s="1"/>
  <c r="B104" i="9" s="1"/>
  <c r="CD104" i="9" s="1"/>
  <c r="AF164" i="20"/>
  <c r="AF170" i="20"/>
  <c r="AF160" i="20"/>
  <c r="AF162" i="20"/>
  <c r="AF166" i="20"/>
  <c r="AF161" i="20"/>
  <c r="AF165" i="20"/>
  <c r="AF163" i="20"/>
  <c r="AF169" i="20"/>
  <c r="AF167" i="20"/>
  <c r="AF168" i="20"/>
  <c r="Y240" i="9"/>
  <c r="Y220" i="9"/>
  <c r="CH192" i="20"/>
  <c r="K192" i="20" s="1"/>
  <c r="H25" i="9"/>
  <c r="G25" i="9"/>
  <c r="F25" i="9"/>
  <c r="H241" i="9"/>
  <c r="G241" i="9"/>
  <c r="F241" i="9"/>
  <c r="F290" i="9"/>
  <c r="G290" i="9"/>
  <c r="H290" i="9"/>
  <c r="H90" i="9"/>
  <c r="G90" i="9"/>
  <c r="F90" i="9"/>
  <c r="CH191" i="20"/>
  <c r="L191" i="20" s="1"/>
  <c r="C44" i="18"/>
  <c r="B174" i="20"/>
  <c r="C243" i="18"/>
  <c r="B175" i="20"/>
  <c r="B178" i="20"/>
  <c r="C102" i="18"/>
  <c r="C285" i="18"/>
  <c r="O210" i="6"/>
  <c r="B210" i="9" s="1"/>
  <c r="CD210" i="9" s="1"/>
  <c r="CH190" i="20"/>
  <c r="CH181" i="20"/>
  <c r="B171" i="20"/>
  <c r="BH161" i="20"/>
  <c r="BH162" i="20"/>
  <c r="BA163" i="20"/>
  <c r="AM163" i="20"/>
  <c r="AT164" i="20"/>
  <c r="BH164" i="20"/>
  <c r="BR164" i="20"/>
  <c r="BH165" i="20"/>
  <c r="BR165" i="20"/>
  <c r="BH166" i="20"/>
  <c r="AT167" i="20"/>
  <c r="BH167" i="20"/>
  <c r="BA168" i="20"/>
  <c r="BR168" i="20"/>
  <c r="AT169" i="20"/>
  <c r="BO170" i="20"/>
  <c r="AM170" i="20"/>
  <c r="BH160" i="20"/>
  <c r="BO161" i="20"/>
  <c r="BR161" i="20"/>
  <c r="BO162" i="20"/>
  <c r="BR162" i="20"/>
  <c r="BH163" i="20"/>
  <c r="BO165" i="20"/>
  <c r="BO166" i="20"/>
  <c r="BR166" i="20"/>
  <c r="BH168" i="20"/>
  <c r="AM168" i="20"/>
  <c r="BA169" i="20"/>
  <c r="AM169" i="20"/>
  <c r="AT170" i="20"/>
  <c r="BA160" i="20"/>
  <c r="AM160" i="20"/>
  <c r="BO160" i="20"/>
  <c r="AT161" i="20"/>
  <c r="AT162" i="20"/>
  <c r="BO163" i="20"/>
  <c r="BA164" i="20"/>
  <c r="AM164" i="20"/>
  <c r="AT165" i="20"/>
  <c r="AM165" i="20"/>
  <c r="AT166" i="20"/>
  <c r="BA167" i="20"/>
  <c r="BR167" i="20"/>
  <c r="BO168" i="20"/>
  <c r="BH169" i="20"/>
  <c r="BA170" i="20"/>
  <c r="BR170" i="20"/>
  <c r="BR160" i="20"/>
  <c r="AT160" i="20"/>
  <c r="BA161" i="20"/>
  <c r="AM161" i="20"/>
  <c r="BA162" i="20"/>
  <c r="AM162" i="20"/>
  <c r="AT163" i="20"/>
  <c r="BR163" i="20"/>
  <c r="BO164" i="20"/>
  <c r="BA165" i="20"/>
  <c r="BA166" i="20"/>
  <c r="AM166" i="20"/>
  <c r="BO167" i="20"/>
  <c r="AM167" i="20"/>
  <c r="AT168" i="20"/>
  <c r="BO169" i="20"/>
  <c r="BR169" i="20"/>
  <c r="BH170" i="20"/>
  <c r="BS171" i="20"/>
  <c r="BS172" i="20"/>
  <c r="U13" i="1"/>
  <c r="CH15" i="2"/>
  <c r="J24" i="6"/>
  <c r="J210" i="6"/>
  <c r="BW15" i="2"/>
  <c r="BX15" i="2" s="1"/>
  <c r="BK219" i="9"/>
  <c r="BK288" i="9"/>
  <c r="BK201" i="9"/>
  <c r="BK95" i="9"/>
  <c r="BK138" i="9"/>
  <c r="BK104" i="9"/>
  <c r="BK133" i="9"/>
  <c r="BK82" i="9"/>
  <c r="BK79" i="9"/>
  <c r="BK61" i="9"/>
  <c r="Q223" i="11"/>
  <c r="Q241" i="11"/>
  <c r="S223" i="11"/>
  <c r="AF220" i="9"/>
  <c r="BJ220" i="9"/>
  <c r="BH220" i="9"/>
  <c r="BA220" i="9"/>
  <c r="AT220" i="9"/>
  <c r="AM220" i="9"/>
  <c r="S241" i="11"/>
  <c r="AT240" i="9"/>
  <c r="AF240" i="9"/>
  <c r="BJ240" i="9"/>
  <c r="BH240" i="9"/>
  <c r="BA240" i="9"/>
  <c r="AM240" i="9"/>
  <c r="H316" i="11"/>
  <c r="P316" i="11"/>
  <c r="E315" i="9"/>
  <c r="M315" i="9"/>
  <c r="CZ26" i="2"/>
  <c r="CY26" i="2" s="1"/>
  <c r="X26" i="2" s="1"/>
  <c r="R27" i="1"/>
  <c r="Y27" i="1"/>
  <c r="AE27" i="1"/>
  <c r="H58" i="11"/>
  <c r="P58" i="11"/>
  <c r="E60" i="9"/>
  <c r="M60" i="9"/>
  <c r="P18" i="11"/>
  <c r="E18" i="9"/>
  <c r="M18" i="9"/>
  <c r="H243" i="11"/>
  <c r="P243" i="11"/>
  <c r="E242" i="9"/>
  <c r="M242" i="9"/>
  <c r="H109" i="11"/>
  <c r="P109" i="11"/>
  <c r="E110" i="9"/>
  <c r="M110" i="9"/>
  <c r="H115" i="11"/>
  <c r="P115" i="11"/>
  <c r="E116" i="9"/>
  <c r="M116" i="9"/>
  <c r="H41" i="11"/>
  <c r="P41" i="11"/>
  <c r="E42" i="9"/>
  <c r="M42" i="9"/>
  <c r="P169" i="11"/>
  <c r="E171" i="9"/>
  <c r="M171" i="9"/>
  <c r="H212" i="11"/>
  <c r="P212" i="11"/>
  <c r="E209" i="9"/>
  <c r="M209" i="9"/>
  <c r="H110" i="11"/>
  <c r="P110" i="11"/>
  <c r="E111" i="9"/>
  <c r="M111" i="9"/>
  <c r="H10" i="11"/>
  <c r="P10" i="11"/>
  <c r="E10" i="9"/>
  <c r="M10" i="9"/>
  <c r="H224" i="11"/>
  <c r="P224" i="11"/>
  <c r="E221" i="9"/>
  <c r="M221" i="9"/>
  <c r="P251" i="11"/>
  <c r="E250" i="9"/>
  <c r="M250" i="9"/>
  <c r="H309" i="11"/>
  <c r="P309" i="11"/>
  <c r="E308" i="9"/>
  <c r="M308" i="9"/>
  <c r="CZ19" i="2"/>
  <c r="CY19" i="2" s="1"/>
  <c r="X19" i="2" s="1"/>
  <c r="R17" i="1"/>
  <c r="Y17" i="1"/>
  <c r="AE17" i="1"/>
  <c r="P221" i="11"/>
  <c r="E218" i="9"/>
  <c r="M218" i="9"/>
  <c r="H245" i="11"/>
  <c r="P245" i="11"/>
  <c r="E244" i="9"/>
  <c r="M244" i="9"/>
  <c r="BI61" i="9" l="1"/>
  <c r="BQ160" i="20"/>
  <c r="BI219" i="9"/>
  <c r="BQ170" i="20"/>
  <c r="BI104" i="9"/>
  <c r="BQ165" i="20"/>
  <c r="BQ162" i="20"/>
  <c r="BI138" i="9"/>
  <c r="BQ166" i="20"/>
  <c r="BI79" i="9"/>
  <c r="BQ161" i="20"/>
  <c r="BI82" i="9"/>
  <c r="BQ163" i="20"/>
  <c r="BI201" i="9"/>
  <c r="BQ168" i="20"/>
  <c r="BI288" i="9"/>
  <c r="BQ169" i="20"/>
  <c r="CK178" i="20"/>
  <c r="H178" i="20"/>
  <c r="CK174" i="20"/>
  <c r="H174" i="20"/>
  <c r="CK171" i="20"/>
  <c r="H171" i="20"/>
  <c r="CK175" i="20"/>
  <c r="H175" i="20"/>
  <c r="M187" i="20"/>
  <c r="L187" i="20"/>
  <c r="K187" i="20"/>
  <c r="J187" i="20"/>
  <c r="CH186" i="20"/>
  <c r="M186" i="20" s="1"/>
  <c r="AF158" i="20"/>
  <c r="P171" i="20"/>
  <c r="F171" i="20"/>
  <c r="P175" i="20"/>
  <c r="F175" i="20"/>
  <c r="P178" i="20"/>
  <c r="F178" i="20"/>
  <c r="P174" i="20"/>
  <c r="F174" i="20"/>
  <c r="CH185" i="20"/>
  <c r="M185" i="20" s="1"/>
  <c r="CH182" i="20"/>
  <c r="M182" i="20" s="1"/>
  <c r="BP161" i="20"/>
  <c r="CB79" i="9"/>
  <c r="BP163" i="20"/>
  <c r="CB82" i="9"/>
  <c r="G175" i="20"/>
  <c r="G174" i="20"/>
  <c r="BP160" i="20"/>
  <c r="CB61" i="9"/>
  <c r="BP170" i="20"/>
  <c r="CB219" i="9"/>
  <c r="G171" i="20"/>
  <c r="BP162" i="20"/>
  <c r="BP165" i="20"/>
  <c r="CB104" i="9"/>
  <c r="BP166" i="20"/>
  <c r="CB138" i="9"/>
  <c r="BP168" i="20"/>
  <c r="CB201" i="9"/>
  <c r="BP169" i="20"/>
  <c r="CB288" i="9"/>
  <c r="G178" i="20"/>
  <c r="I220" i="6"/>
  <c r="I240" i="6"/>
  <c r="AF157" i="20"/>
  <c r="AF159" i="20"/>
  <c r="Y171" i="9"/>
  <c r="Y42" i="9"/>
  <c r="Y60" i="9"/>
  <c r="Y315" i="9"/>
  <c r="Y221" i="9"/>
  <c r="Y10" i="9"/>
  <c r="Y116" i="9"/>
  <c r="Y110" i="9"/>
  <c r="Y242" i="9"/>
  <c r="Y18" i="9"/>
  <c r="Y244" i="9"/>
  <c r="Y218" i="9"/>
  <c r="Y209" i="9"/>
  <c r="Y308" i="9"/>
  <c r="Y250" i="9"/>
  <c r="Y111" i="9"/>
  <c r="L192" i="20"/>
  <c r="M192" i="20"/>
  <c r="I192" i="20"/>
  <c r="J192" i="20"/>
  <c r="CH180" i="20"/>
  <c r="M180" i="20" s="1"/>
  <c r="F201" i="9"/>
  <c r="G201" i="9"/>
  <c r="H201" i="9"/>
  <c r="H61" i="9"/>
  <c r="F61" i="9"/>
  <c r="G61" i="9"/>
  <c r="F104" i="9"/>
  <c r="H104" i="9"/>
  <c r="G104" i="9"/>
  <c r="H210" i="9"/>
  <c r="G210" i="9"/>
  <c r="F210" i="9"/>
  <c r="I191" i="20"/>
  <c r="J191" i="20"/>
  <c r="M191" i="20"/>
  <c r="K191" i="20"/>
  <c r="CH184" i="20"/>
  <c r="M184" i="20" s="1"/>
  <c r="C115" i="18"/>
  <c r="CH189" i="20"/>
  <c r="M189" i="20" s="1"/>
  <c r="CH179" i="20"/>
  <c r="K179" i="20" s="1"/>
  <c r="C205" i="18"/>
  <c r="C215" i="18"/>
  <c r="W19" i="1"/>
  <c r="B172" i="20"/>
  <c r="CH188" i="20"/>
  <c r="I188" i="20" s="1"/>
  <c r="CH183" i="20"/>
  <c r="O94" i="6"/>
  <c r="B95" i="9" s="1"/>
  <c r="CD95" i="9" s="1"/>
  <c r="O219" i="6"/>
  <c r="B219" i="9" s="1"/>
  <c r="CD219" i="9" s="1"/>
  <c r="O290" i="6"/>
  <c r="B288" i="9" s="1"/>
  <c r="CD288" i="9" s="1"/>
  <c r="O78" i="6"/>
  <c r="B79" i="9" s="1"/>
  <c r="CD79" i="9" s="1"/>
  <c r="O138" i="6"/>
  <c r="B138" i="9" s="1"/>
  <c r="CD138" i="9" s="1"/>
  <c r="O80" i="6"/>
  <c r="B82" i="9" s="1"/>
  <c r="CD82" i="9" s="1"/>
  <c r="O133" i="6"/>
  <c r="B133" i="9" s="1"/>
  <c r="CD133" i="9" s="1"/>
  <c r="M190" i="20"/>
  <c r="K190" i="20"/>
  <c r="J190" i="20"/>
  <c r="L190" i="20"/>
  <c r="I190" i="20"/>
  <c r="CH173" i="20"/>
  <c r="CH176" i="20"/>
  <c r="M176" i="20" s="1"/>
  <c r="B160" i="20"/>
  <c r="B165" i="20"/>
  <c r="CH177" i="20"/>
  <c r="M181" i="20"/>
  <c r="J181" i="20"/>
  <c r="K181" i="20"/>
  <c r="I181" i="20"/>
  <c r="L181" i="20"/>
  <c r="B168" i="20"/>
  <c r="B162" i="20"/>
  <c r="C13" i="18"/>
  <c r="C77" i="18"/>
  <c r="K186" i="20"/>
  <c r="BH157" i="20"/>
  <c r="BR157" i="20"/>
  <c r="BA157" i="20"/>
  <c r="BA158" i="20"/>
  <c r="BR158" i="20"/>
  <c r="BA159" i="20"/>
  <c r="BO157" i="20"/>
  <c r="BH158" i="20"/>
  <c r="BH159" i="20"/>
  <c r="BS160" i="20"/>
  <c r="BS168" i="20"/>
  <c r="AM157" i="20"/>
  <c r="BO158" i="20"/>
  <c r="AM158" i="20"/>
  <c r="BO159" i="20"/>
  <c r="BR159" i="20"/>
  <c r="BS161" i="20"/>
  <c r="BS165" i="20"/>
  <c r="BS166" i="20"/>
  <c r="BS167" i="20"/>
  <c r="BS169" i="20"/>
  <c r="BS170" i="20"/>
  <c r="AT157" i="20"/>
  <c r="AT158" i="20"/>
  <c r="AT159" i="20"/>
  <c r="AM159" i="20"/>
  <c r="BS162" i="20"/>
  <c r="BS163" i="20"/>
  <c r="BS164" i="20"/>
  <c r="J78" i="6"/>
  <c r="J290" i="6"/>
  <c r="J219" i="6"/>
  <c r="J80" i="6"/>
  <c r="J201" i="6"/>
  <c r="J60" i="6"/>
  <c r="J103" i="6"/>
  <c r="J138" i="6"/>
  <c r="J9" i="6"/>
  <c r="J111" i="6"/>
  <c r="J209" i="6"/>
  <c r="J171" i="6"/>
  <c r="J41" i="6"/>
  <c r="P26" i="2"/>
  <c r="P19" i="2"/>
  <c r="AT60" i="9"/>
  <c r="BK220" i="9"/>
  <c r="BK240" i="9"/>
  <c r="Q316" i="11"/>
  <c r="S18" i="11"/>
  <c r="S316" i="11"/>
  <c r="BP26" i="2"/>
  <c r="CB26" i="2" s="1"/>
  <c r="BM26" i="2"/>
  <c r="BY26" i="2" s="1"/>
  <c r="BE26" i="2"/>
  <c r="BA315" i="9" s="1"/>
  <c r="AJ26" i="2"/>
  <c r="AF315" i="9" s="1"/>
  <c r="AC26" i="2"/>
  <c r="BJ315" i="9" s="1"/>
  <c r="CA26" i="2"/>
  <c r="BN26" i="2"/>
  <c r="BZ26" i="2" s="1"/>
  <c r="BL26" i="2"/>
  <c r="BH315" i="9" s="1"/>
  <c r="AX26" i="2"/>
  <c r="AT315" i="9" s="1"/>
  <c r="AQ26" i="2"/>
  <c r="AM315" i="9" s="1"/>
  <c r="Q58" i="11"/>
  <c r="S58" i="11"/>
  <c r="AF60" i="9"/>
  <c r="AM60" i="9"/>
  <c r="BJ60" i="9"/>
  <c r="BH60" i="9"/>
  <c r="BA60" i="9"/>
  <c r="Q18" i="11"/>
  <c r="H18" i="11"/>
  <c r="AM18" i="9"/>
  <c r="AF18" i="9"/>
  <c r="BJ18" i="9"/>
  <c r="BA18" i="9"/>
  <c r="AT18" i="9"/>
  <c r="BH18" i="9"/>
  <c r="Q243" i="11"/>
  <c r="S243" i="11"/>
  <c r="BJ242" i="9"/>
  <c r="AF242" i="9"/>
  <c r="BH242" i="9"/>
  <c r="BA242" i="9"/>
  <c r="AT242" i="9"/>
  <c r="AM242" i="9"/>
  <c r="Q169" i="11"/>
  <c r="Q41" i="11"/>
  <c r="Q245" i="11"/>
  <c r="Q109" i="11"/>
  <c r="S109" i="11"/>
  <c r="AF110" i="9"/>
  <c r="BJ110" i="9"/>
  <c r="BH110" i="9"/>
  <c r="BA110" i="9"/>
  <c r="AT110" i="9"/>
  <c r="AM110" i="9"/>
  <c r="S251" i="11"/>
  <c r="Q115" i="11"/>
  <c r="S115" i="11"/>
  <c r="AF116" i="9"/>
  <c r="BJ116" i="9"/>
  <c r="BH116" i="9"/>
  <c r="BA116" i="9"/>
  <c r="AT116" i="9"/>
  <c r="AM116" i="9"/>
  <c r="S169" i="11"/>
  <c r="S41" i="11"/>
  <c r="AF42" i="9"/>
  <c r="BJ42" i="9"/>
  <c r="BH42" i="9"/>
  <c r="BA42" i="9"/>
  <c r="AT42" i="9"/>
  <c r="AM42" i="9"/>
  <c r="H169" i="11"/>
  <c r="AF171" i="9"/>
  <c r="BJ171" i="9"/>
  <c r="BH171" i="9"/>
  <c r="BA171" i="9"/>
  <c r="AT171" i="9"/>
  <c r="AM171" i="9"/>
  <c r="Q212" i="11"/>
  <c r="S212" i="11"/>
  <c r="AF209" i="9"/>
  <c r="BJ209" i="9"/>
  <c r="BH209" i="9"/>
  <c r="BA209" i="9"/>
  <c r="AT209" i="9"/>
  <c r="AM209" i="9"/>
  <c r="Q110" i="11"/>
  <c r="S110" i="11"/>
  <c r="BA111" i="9"/>
  <c r="AF111" i="9"/>
  <c r="BJ111" i="9"/>
  <c r="BH111" i="9"/>
  <c r="AT111" i="9"/>
  <c r="AM111" i="9"/>
  <c r="Q10" i="11"/>
  <c r="S10" i="11"/>
  <c r="BJ10" i="9"/>
  <c r="BA10" i="9"/>
  <c r="AF10" i="9"/>
  <c r="BH10" i="9"/>
  <c r="CB10" i="9"/>
  <c r="AT10" i="9"/>
  <c r="AM10" i="9"/>
  <c r="Q224" i="11"/>
  <c r="S224" i="11"/>
  <c r="AF221" i="9"/>
  <c r="BJ221" i="9"/>
  <c r="BH221" i="9"/>
  <c r="BA221" i="9"/>
  <c r="AT221" i="9"/>
  <c r="AM221" i="9"/>
  <c r="AF250" i="9"/>
  <c r="Q251" i="11"/>
  <c r="H251" i="11"/>
  <c r="BJ250" i="9"/>
  <c r="BH250" i="9"/>
  <c r="BA250" i="9"/>
  <c r="AT250" i="9"/>
  <c r="AM250" i="9"/>
  <c r="Q309" i="11"/>
  <c r="S309" i="11"/>
  <c r="BP19" i="2"/>
  <c r="CB19" i="2" s="1"/>
  <c r="CA19" i="2"/>
  <c r="AC19" i="2"/>
  <c r="BJ308" i="9" s="1"/>
  <c r="BN19" i="2"/>
  <c r="BZ19" i="2" s="1"/>
  <c r="AJ19" i="2"/>
  <c r="AF308" i="9" s="1"/>
  <c r="BM19" i="2"/>
  <c r="BY19" i="2" s="1"/>
  <c r="BL19" i="2"/>
  <c r="BH308" i="9" s="1"/>
  <c r="BE19" i="2"/>
  <c r="BA308" i="9" s="1"/>
  <c r="AX19" i="2"/>
  <c r="AT308" i="9" s="1"/>
  <c r="AQ19" i="2"/>
  <c r="AM308" i="9" s="1"/>
  <c r="Q221" i="11"/>
  <c r="H221" i="11"/>
  <c r="S221" i="11"/>
  <c r="AF218" i="9"/>
  <c r="BJ218" i="9"/>
  <c r="BH218" i="9"/>
  <c r="BA218" i="9"/>
  <c r="AT218" i="9"/>
  <c r="AM218" i="9"/>
  <c r="S245" i="11"/>
  <c r="AF244" i="9"/>
  <c r="BJ244" i="9"/>
  <c r="BH244" i="9"/>
  <c r="BA244" i="9"/>
  <c r="AT244" i="9"/>
  <c r="AM244" i="9"/>
  <c r="H318" i="11"/>
  <c r="P318" i="11"/>
  <c r="E317" i="9"/>
  <c r="M317" i="9"/>
  <c r="CZ28" i="2"/>
  <c r="CY28" i="2" s="1"/>
  <c r="X28" i="2" s="1"/>
  <c r="R29" i="1"/>
  <c r="Y29" i="1"/>
  <c r="AE29" i="1"/>
  <c r="H165" i="11"/>
  <c r="P165" i="11"/>
  <c r="E167" i="9"/>
  <c r="M167" i="9"/>
  <c r="H288" i="11"/>
  <c r="P288" i="11"/>
  <c r="E287" i="9"/>
  <c r="M287" i="9"/>
  <c r="H50" i="11"/>
  <c r="P50" i="11"/>
  <c r="E52" i="9"/>
  <c r="M52" i="9"/>
  <c r="H33" i="11"/>
  <c r="P33" i="11"/>
  <c r="E33" i="9"/>
  <c r="M33" i="9"/>
  <c r="P226" i="11"/>
  <c r="E223" i="9"/>
  <c r="M223" i="9"/>
  <c r="H114" i="11"/>
  <c r="P114" i="11"/>
  <c r="E115" i="9"/>
  <c r="M115" i="9"/>
  <c r="P117" i="11"/>
  <c r="E118" i="9"/>
  <c r="M118" i="9"/>
  <c r="H38" i="11"/>
  <c r="P38" i="11"/>
  <c r="E39" i="9"/>
  <c r="M39" i="9"/>
  <c r="H294" i="11"/>
  <c r="P294" i="11"/>
  <c r="E293" i="9"/>
  <c r="M293" i="9"/>
  <c r="P201" i="11"/>
  <c r="E202" i="9"/>
  <c r="M202" i="9"/>
  <c r="H148" i="11"/>
  <c r="P148" i="11"/>
  <c r="E150" i="9"/>
  <c r="M150" i="9"/>
  <c r="BI111" i="9" l="1"/>
  <c r="BQ145" i="20"/>
  <c r="BI209" i="9"/>
  <c r="BQ146" i="20"/>
  <c r="BI240" i="9"/>
  <c r="BQ157" i="20"/>
  <c r="BQ159" i="20"/>
  <c r="BI171" i="9"/>
  <c r="BQ147" i="20"/>
  <c r="BI10" i="9"/>
  <c r="BQ143" i="20"/>
  <c r="BI42" i="9"/>
  <c r="BQ148" i="20"/>
  <c r="BI220" i="9"/>
  <c r="BQ158" i="20"/>
  <c r="CK165" i="20"/>
  <c r="H165" i="20"/>
  <c r="CK168" i="20"/>
  <c r="H168" i="20"/>
  <c r="CK160" i="20"/>
  <c r="H160" i="20"/>
  <c r="CK162" i="20"/>
  <c r="H162" i="20"/>
  <c r="CK172" i="20"/>
  <c r="H172" i="20"/>
  <c r="I186" i="20"/>
  <c r="L186" i="20"/>
  <c r="J186" i="20"/>
  <c r="L185" i="20"/>
  <c r="AF140" i="20"/>
  <c r="L182" i="20"/>
  <c r="J185" i="20"/>
  <c r="I185" i="20"/>
  <c r="K185" i="20"/>
  <c r="K182" i="20"/>
  <c r="I182" i="20"/>
  <c r="J182" i="20"/>
  <c r="AF147" i="20"/>
  <c r="P172" i="20"/>
  <c r="F172" i="20"/>
  <c r="P162" i="20"/>
  <c r="F162" i="20"/>
  <c r="F165" i="20"/>
  <c r="P165" i="20"/>
  <c r="F168" i="20"/>
  <c r="P168" i="20"/>
  <c r="P160" i="20"/>
  <c r="F160" i="20"/>
  <c r="CH174" i="20"/>
  <c r="M174" i="20" s="1"/>
  <c r="BP148" i="20"/>
  <c r="CB42" i="9"/>
  <c r="G168" i="20"/>
  <c r="BP146" i="20"/>
  <c r="CB209" i="9"/>
  <c r="BP158" i="20"/>
  <c r="CB220" i="9"/>
  <c r="G160" i="20"/>
  <c r="BP157" i="20"/>
  <c r="CB240" i="9"/>
  <c r="G172" i="20"/>
  <c r="BP145" i="20"/>
  <c r="CB111" i="9"/>
  <c r="BP147" i="20"/>
  <c r="CB171" i="9"/>
  <c r="G162" i="20"/>
  <c r="G165" i="20"/>
  <c r="AF150" i="20"/>
  <c r="I244" i="6"/>
  <c r="I250" i="6"/>
  <c r="I209" i="6"/>
  <c r="I221" i="6"/>
  <c r="I218" i="6"/>
  <c r="I242" i="6"/>
  <c r="I171" i="6"/>
  <c r="I116" i="6"/>
  <c r="I111" i="6"/>
  <c r="I110" i="6"/>
  <c r="I59" i="6"/>
  <c r="O59" i="6" s="1"/>
  <c r="B60" i="9" s="1"/>
  <c r="CD60" i="9" s="1"/>
  <c r="I41" i="6"/>
  <c r="O41" i="6" s="1"/>
  <c r="B42" i="9" s="1"/>
  <c r="CD42" i="9" s="1"/>
  <c r="I9" i="6"/>
  <c r="O9" i="6" s="1"/>
  <c r="B10" i="9" s="1"/>
  <c r="CD10" i="9" s="1"/>
  <c r="I17" i="6"/>
  <c r="T27" i="1"/>
  <c r="I317" i="6"/>
  <c r="O317" i="6" s="1"/>
  <c r="B315" i="9" s="1"/>
  <c r="CD315" i="9" s="1"/>
  <c r="T17" i="1"/>
  <c r="I310" i="6"/>
  <c r="AF141" i="20"/>
  <c r="AF151" i="20"/>
  <c r="AF144" i="20"/>
  <c r="AF148" i="20"/>
  <c r="AF155" i="20"/>
  <c r="AF153" i="20"/>
  <c r="AF142" i="20"/>
  <c r="AF139" i="20"/>
  <c r="AF143" i="20"/>
  <c r="AF156" i="20"/>
  <c r="AF138" i="20"/>
  <c r="AF146" i="20"/>
  <c r="AF154" i="20"/>
  <c r="AF152" i="20"/>
  <c r="AF145" i="20"/>
  <c r="AF149" i="20"/>
  <c r="Y317" i="9"/>
  <c r="Y293" i="9"/>
  <c r="Y39" i="9"/>
  <c r="Y118" i="9"/>
  <c r="Y52" i="9"/>
  <c r="Y287" i="9"/>
  <c r="Y115" i="9"/>
  <c r="Y223" i="9"/>
  <c r="Y167" i="9"/>
  <c r="Y150" i="9"/>
  <c r="Y202" i="9"/>
  <c r="Y33" i="9"/>
  <c r="O308" i="6"/>
  <c r="B313" i="20" s="1"/>
  <c r="O300" i="6"/>
  <c r="B343" i="20" s="1"/>
  <c r="I265" i="6"/>
  <c r="O321" i="6"/>
  <c r="B317" i="20" s="1"/>
  <c r="O302" i="6"/>
  <c r="B301" i="20" s="1"/>
  <c r="O303" i="6"/>
  <c r="B294" i="20" s="1"/>
  <c r="O23" i="6"/>
  <c r="B318" i="20" s="1"/>
  <c r="O19" i="6"/>
  <c r="B339" i="20" s="1"/>
  <c r="H339" i="20" s="1"/>
  <c r="O314" i="6"/>
  <c r="B299" i="20" s="1"/>
  <c r="O33" i="6"/>
  <c r="B332" i="20" s="1"/>
  <c r="K180" i="20"/>
  <c r="K184" i="20"/>
  <c r="I180" i="20"/>
  <c r="L180" i="20"/>
  <c r="J180" i="20"/>
  <c r="H133" i="9"/>
  <c r="F133" i="9"/>
  <c r="G133" i="9"/>
  <c r="G82" i="9"/>
  <c r="F82" i="9"/>
  <c r="H82" i="9"/>
  <c r="H138" i="9"/>
  <c r="F138" i="9"/>
  <c r="G138" i="9"/>
  <c r="H79" i="9"/>
  <c r="G79" i="9"/>
  <c r="F79" i="9"/>
  <c r="H288" i="9"/>
  <c r="G288" i="9"/>
  <c r="F288" i="9"/>
  <c r="H219" i="9"/>
  <c r="G219" i="9"/>
  <c r="F219" i="9"/>
  <c r="G95" i="9"/>
  <c r="H95" i="9"/>
  <c r="F95" i="9"/>
  <c r="BQ138" i="20"/>
  <c r="L184" i="20"/>
  <c r="B163" i="20"/>
  <c r="I184" i="20"/>
  <c r="J184" i="20"/>
  <c r="C96" i="18"/>
  <c r="K189" i="20"/>
  <c r="I189" i="20"/>
  <c r="L189" i="20"/>
  <c r="J189" i="20"/>
  <c r="J179" i="20"/>
  <c r="C106" i="18"/>
  <c r="CH178" i="20"/>
  <c r="M178" i="20" s="1"/>
  <c r="CH175" i="20"/>
  <c r="K175" i="20" s="1"/>
  <c r="B169" i="20"/>
  <c r="C284" i="18"/>
  <c r="B170" i="20"/>
  <c r="M179" i="20"/>
  <c r="L179" i="20"/>
  <c r="I179" i="20"/>
  <c r="B166" i="20"/>
  <c r="C141" i="18"/>
  <c r="C223" i="18"/>
  <c r="B167" i="20"/>
  <c r="C146" i="18"/>
  <c r="B161" i="20"/>
  <c r="C94" i="18"/>
  <c r="B164" i="20"/>
  <c r="O63" i="6"/>
  <c r="B64" i="9" s="1"/>
  <c r="CD64" i="9" s="1"/>
  <c r="O311" i="6"/>
  <c r="B309" i="9" s="1"/>
  <c r="CD309" i="9" s="1"/>
  <c r="M183" i="20"/>
  <c r="K183" i="20"/>
  <c r="J183" i="20"/>
  <c r="I183" i="20"/>
  <c r="L183" i="20"/>
  <c r="J188" i="20"/>
  <c r="K188" i="20"/>
  <c r="M188" i="20"/>
  <c r="L188" i="20"/>
  <c r="O240" i="6"/>
  <c r="B240" i="9" s="1"/>
  <c r="CD240" i="9" s="1"/>
  <c r="B159" i="20"/>
  <c r="C93" i="18"/>
  <c r="O220" i="6"/>
  <c r="B220" i="9" s="1"/>
  <c r="CD220" i="9" s="1"/>
  <c r="I176" i="20"/>
  <c r="L176" i="20"/>
  <c r="K176" i="20"/>
  <c r="J176" i="20"/>
  <c r="M173" i="20"/>
  <c r="L173" i="20"/>
  <c r="K173" i="20"/>
  <c r="J173" i="20"/>
  <c r="I173" i="20"/>
  <c r="M177" i="20"/>
  <c r="K177" i="20"/>
  <c r="J177" i="20"/>
  <c r="I177" i="20"/>
  <c r="L177" i="20"/>
  <c r="CH171" i="20"/>
  <c r="BP143" i="20"/>
  <c r="BP159" i="20"/>
  <c r="AM138" i="20"/>
  <c r="BO139" i="20"/>
  <c r="AM139" i="20"/>
  <c r="BA140" i="20"/>
  <c r="AM140" i="20"/>
  <c r="AT141" i="20"/>
  <c r="BO142" i="20"/>
  <c r="AM142" i="20"/>
  <c r="BH144" i="20"/>
  <c r="BR144" i="20"/>
  <c r="BO145" i="20"/>
  <c r="BA146" i="20"/>
  <c r="BO147" i="20"/>
  <c r="BO149" i="20"/>
  <c r="AM149" i="20"/>
  <c r="BH150" i="20"/>
  <c r="AM150" i="20"/>
  <c r="AT151" i="20"/>
  <c r="BO152" i="20"/>
  <c r="BR152" i="20"/>
  <c r="BA153" i="20"/>
  <c r="AM153" i="20"/>
  <c r="BO154" i="20"/>
  <c r="AT155" i="20"/>
  <c r="BO156" i="20"/>
  <c r="BA154" i="20"/>
  <c r="BA138" i="20"/>
  <c r="AT139" i="20"/>
  <c r="BH140" i="20"/>
  <c r="BA141" i="20"/>
  <c r="AT142" i="20"/>
  <c r="AM143" i="20"/>
  <c r="BO144" i="20"/>
  <c r="BA145" i="20"/>
  <c r="BR145" i="20"/>
  <c r="BO146" i="20"/>
  <c r="AT147" i="20"/>
  <c r="BH147" i="20"/>
  <c r="BR147" i="20"/>
  <c r="BA148" i="20"/>
  <c r="AT149" i="20"/>
  <c r="BO150" i="20"/>
  <c r="BA151" i="20"/>
  <c r="AT152" i="20"/>
  <c r="BH153" i="20"/>
  <c r="BA155" i="20"/>
  <c r="BR155" i="20"/>
  <c r="AT156" i="20"/>
  <c r="BO138" i="20"/>
  <c r="BA139" i="20"/>
  <c r="BR139" i="20"/>
  <c r="BO140" i="20"/>
  <c r="BR140" i="20"/>
  <c r="BH141" i="20"/>
  <c r="AM141" i="20"/>
  <c r="BA142" i="20"/>
  <c r="AT143" i="20"/>
  <c r="BO143" i="20"/>
  <c r="BH143" i="20"/>
  <c r="AT144" i="20"/>
  <c r="AM144" i="20"/>
  <c r="AM145" i="20"/>
  <c r="AT146" i="20"/>
  <c r="BH146" i="20"/>
  <c r="BR146" i="20"/>
  <c r="BO148" i="20"/>
  <c r="BR148" i="20"/>
  <c r="BA149" i="20"/>
  <c r="AT150" i="20"/>
  <c r="BH151" i="20"/>
  <c r="BR151" i="20"/>
  <c r="BA152" i="20"/>
  <c r="AM152" i="20"/>
  <c r="BO153" i="20"/>
  <c r="AT153" i="20"/>
  <c r="BR154" i="20"/>
  <c r="AM154" i="20"/>
  <c r="BO155" i="20"/>
  <c r="AM155" i="20"/>
  <c r="BA156" i="20"/>
  <c r="BR156" i="20"/>
  <c r="AT138" i="20"/>
  <c r="BH138" i="20"/>
  <c r="BR138" i="20"/>
  <c r="BH139" i="20"/>
  <c r="AT140" i="20"/>
  <c r="BO141" i="20"/>
  <c r="BR141" i="20"/>
  <c r="BH142" i="20"/>
  <c r="BR142" i="20"/>
  <c r="BA143" i="20"/>
  <c r="BR143" i="20"/>
  <c r="BA144" i="20"/>
  <c r="AT145" i="20"/>
  <c r="BH145" i="20"/>
  <c r="AM146" i="20"/>
  <c r="BA147" i="20"/>
  <c r="AM147" i="20"/>
  <c r="AT148" i="20"/>
  <c r="BH148" i="20"/>
  <c r="AM148" i="20"/>
  <c r="BH149" i="20"/>
  <c r="BR149" i="20"/>
  <c r="BA150" i="20"/>
  <c r="BR150" i="20"/>
  <c r="BO151" i="20"/>
  <c r="AM151" i="20"/>
  <c r="BH152" i="20"/>
  <c r="BR153" i="20"/>
  <c r="BH154" i="20"/>
  <c r="AT154" i="20"/>
  <c r="BH155" i="20"/>
  <c r="BH156" i="20"/>
  <c r="AM156" i="20"/>
  <c r="BS157" i="20"/>
  <c r="BS158" i="20"/>
  <c r="BS159" i="20"/>
  <c r="U19" i="1"/>
  <c r="J240" i="6"/>
  <c r="J220" i="6"/>
  <c r="AT202" i="9"/>
  <c r="I38" i="6"/>
  <c r="AF33" i="9"/>
  <c r="P28" i="2"/>
  <c r="Y26" i="2"/>
  <c r="AA26" i="2"/>
  <c r="Z26" i="2"/>
  <c r="AB26" i="2"/>
  <c r="BK315" i="9" s="1"/>
  <c r="BK60" i="9"/>
  <c r="BK18" i="9"/>
  <c r="BK242" i="9"/>
  <c r="BK110" i="9"/>
  <c r="Q294" i="11"/>
  <c r="BK116" i="9"/>
  <c r="Q201" i="11"/>
  <c r="BK42" i="9"/>
  <c r="BK171" i="9"/>
  <c r="BK209" i="9"/>
  <c r="BK111" i="9"/>
  <c r="BK10" i="9"/>
  <c r="BK221" i="9"/>
  <c r="BK250" i="9"/>
  <c r="Y19" i="2"/>
  <c r="Z19" i="2"/>
  <c r="AA19" i="2"/>
  <c r="AB19" i="2"/>
  <c r="BK308" i="9" s="1"/>
  <c r="BK218" i="9"/>
  <c r="BK244" i="9"/>
  <c r="S226" i="11"/>
  <c r="Q288" i="11"/>
  <c r="Q148" i="11"/>
  <c r="S117" i="11"/>
  <c r="Q33" i="11"/>
  <c r="Q318" i="11"/>
  <c r="S318" i="11"/>
  <c r="BP28" i="2"/>
  <c r="CB28" i="2" s="1"/>
  <c r="CA28" i="2"/>
  <c r="BN28" i="2"/>
  <c r="BZ28" i="2" s="1"/>
  <c r="AJ28" i="2"/>
  <c r="AF317" i="9" s="1"/>
  <c r="AC28" i="2"/>
  <c r="BJ317" i="9" s="1"/>
  <c r="BM28" i="2"/>
  <c r="BY28" i="2" s="1"/>
  <c r="BL28" i="2"/>
  <c r="BH317" i="9" s="1"/>
  <c r="BE28" i="2"/>
  <c r="BA317" i="9" s="1"/>
  <c r="AX28" i="2"/>
  <c r="AT317" i="9" s="1"/>
  <c r="AQ28" i="2"/>
  <c r="AM317" i="9" s="1"/>
  <c r="Q165" i="11"/>
  <c r="S165" i="11"/>
  <c r="AF167" i="9"/>
  <c r="BJ167" i="9"/>
  <c r="BH167" i="9"/>
  <c r="BA167" i="9"/>
  <c r="AT167" i="9"/>
  <c r="AM167" i="9"/>
  <c r="S288" i="11"/>
  <c r="AF287" i="9"/>
  <c r="BJ287" i="9"/>
  <c r="BH287" i="9"/>
  <c r="BA287" i="9"/>
  <c r="AT287" i="9"/>
  <c r="AM287" i="9"/>
  <c r="Q50" i="11"/>
  <c r="S50" i="11"/>
  <c r="BH52" i="9"/>
  <c r="BA52" i="9"/>
  <c r="BJ52" i="9"/>
  <c r="AF52" i="9"/>
  <c r="AT52" i="9"/>
  <c r="AM52" i="9"/>
  <c r="S33" i="11"/>
  <c r="BH33" i="9"/>
  <c r="BJ33" i="9"/>
  <c r="BA33" i="9"/>
  <c r="AT33" i="9"/>
  <c r="AM33" i="9"/>
  <c r="I32" i="6"/>
  <c r="Q226" i="11"/>
  <c r="H226" i="11"/>
  <c r="AF223" i="9"/>
  <c r="BH223" i="9"/>
  <c r="BA223" i="9"/>
  <c r="BJ223" i="9"/>
  <c r="AT223" i="9"/>
  <c r="AM223" i="9"/>
  <c r="Q114" i="11"/>
  <c r="S114" i="11"/>
  <c r="BH115" i="9"/>
  <c r="AF115" i="9"/>
  <c r="BJ115" i="9"/>
  <c r="BA115" i="9"/>
  <c r="AT115" i="9"/>
  <c r="AM115" i="9"/>
  <c r="BH118" i="9"/>
  <c r="Q117" i="11"/>
  <c r="H117" i="11"/>
  <c r="BA118" i="9"/>
  <c r="AF118" i="9"/>
  <c r="BJ118" i="9"/>
  <c r="AT118" i="9"/>
  <c r="AM118" i="9"/>
  <c r="Q38" i="11"/>
  <c r="S38" i="11"/>
  <c r="AF39" i="9"/>
  <c r="BJ39" i="9"/>
  <c r="BH39" i="9"/>
  <c r="BA39" i="9"/>
  <c r="AT39" i="9"/>
  <c r="AM39" i="9"/>
  <c r="S294" i="11"/>
  <c r="AF293" i="9"/>
  <c r="BJ293" i="9"/>
  <c r="BH293" i="9"/>
  <c r="BA293" i="9"/>
  <c r="AT293" i="9"/>
  <c r="AM293" i="9"/>
  <c r="S201" i="11"/>
  <c r="H201" i="11"/>
  <c r="AM202" i="9"/>
  <c r="AF202" i="9"/>
  <c r="BJ202" i="9"/>
  <c r="BH202" i="9"/>
  <c r="BA202" i="9"/>
  <c r="S148" i="11"/>
  <c r="BH150" i="9"/>
  <c r="AF150" i="9"/>
  <c r="BJ150" i="9"/>
  <c r="BA150" i="9"/>
  <c r="AT150" i="9"/>
  <c r="AM150" i="9"/>
  <c r="H279" i="11"/>
  <c r="P279" i="11"/>
  <c r="E278" i="9"/>
  <c r="M278" i="9"/>
  <c r="BI218" i="9" l="1"/>
  <c r="BQ139" i="20"/>
  <c r="BI308" i="9"/>
  <c r="BQ140" i="20"/>
  <c r="BI18" i="9"/>
  <c r="BQ153" i="20"/>
  <c r="BQ156" i="20"/>
  <c r="BI250" i="9"/>
  <c r="BQ141" i="20"/>
  <c r="BI221" i="9"/>
  <c r="BQ142" i="20"/>
  <c r="BQ144" i="20"/>
  <c r="BQ149" i="20"/>
  <c r="BI242" i="9"/>
  <c r="BQ152" i="20"/>
  <c r="BI60" i="9"/>
  <c r="BQ154" i="20"/>
  <c r="BI315" i="9"/>
  <c r="BQ155" i="20"/>
  <c r="BI110" i="9"/>
  <c r="BQ151" i="20"/>
  <c r="BI116" i="9"/>
  <c r="BQ150" i="20"/>
  <c r="CK161" i="20"/>
  <c r="H161" i="20"/>
  <c r="CK167" i="20"/>
  <c r="H167" i="20"/>
  <c r="CK169" i="20"/>
  <c r="H169" i="20"/>
  <c r="CK163" i="20"/>
  <c r="H163" i="20"/>
  <c r="CK317" i="20"/>
  <c r="H317" i="20"/>
  <c r="CK164" i="20"/>
  <c r="H164" i="20"/>
  <c r="CK166" i="20"/>
  <c r="H166" i="20"/>
  <c r="CK170" i="20"/>
  <c r="H170" i="20"/>
  <c r="CK318" i="20"/>
  <c r="H318" i="20"/>
  <c r="CK313" i="20"/>
  <c r="H313" i="20"/>
  <c r="CK332" i="20"/>
  <c r="H332" i="20"/>
  <c r="CK294" i="20"/>
  <c r="H294" i="20"/>
  <c r="CK159" i="20"/>
  <c r="H159" i="20"/>
  <c r="CK299" i="20"/>
  <c r="H299" i="20"/>
  <c r="CK301" i="20"/>
  <c r="H301" i="20"/>
  <c r="CK343" i="20"/>
  <c r="H343" i="20"/>
  <c r="K174" i="20"/>
  <c r="CK339" i="20"/>
  <c r="P159" i="20"/>
  <c r="F159" i="20"/>
  <c r="P299" i="20"/>
  <c r="G299" i="20"/>
  <c r="F299" i="20"/>
  <c r="F301" i="20"/>
  <c r="G301" i="20"/>
  <c r="P301" i="20"/>
  <c r="P343" i="20"/>
  <c r="F343" i="20"/>
  <c r="G343" i="20"/>
  <c r="F161" i="20"/>
  <c r="P161" i="20"/>
  <c r="P167" i="20"/>
  <c r="F167" i="20"/>
  <c r="P169" i="20"/>
  <c r="F169" i="20"/>
  <c r="P163" i="20"/>
  <c r="F163" i="20"/>
  <c r="F339" i="20"/>
  <c r="G339" i="20"/>
  <c r="P339" i="20"/>
  <c r="F317" i="20"/>
  <c r="G317" i="20"/>
  <c r="P317" i="20"/>
  <c r="P164" i="20"/>
  <c r="F164" i="20"/>
  <c r="P166" i="20"/>
  <c r="F166" i="20"/>
  <c r="P170" i="20"/>
  <c r="F170" i="20"/>
  <c r="P318" i="20"/>
  <c r="F318" i="20"/>
  <c r="G318" i="20"/>
  <c r="P313" i="20"/>
  <c r="F313" i="20"/>
  <c r="G313" i="20"/>
  <c r="G332" i="20"/>
  <c r="P332" i="20"/>
  <c r="F332" i="20"/>
  <c r="P294" i="20"/>
  <c r="G294" i="20"/>
  <c r="F294" i="20"/>
  <c r="L174" i="20"/>
  <c r="J174" i="20"/>
  <c r="I174" i="20"/>
  <c r="CH162" i="20"/>
  <c r="I162" i="20" s="1"/>
  <c r="BP139" i="20"/>
  <c r="CB218" i="9"/>
  <c r="BP140" i="20"/>
  <c r="CB308" i="9"/>
  <c r="BP149" i="20"/>
  <c r="BP155" i="20"/>
  <c r="CB315" i="9"/>
  <c r="BP156" i="20"/>
  <c r="G166" i="20"/>
  <c r="G170" i="20"/>
  <c r="G159" i="20"/>
  <c r="BP141" i="20"/>
  <c r="CB250" i="9"/>
  <c r="BP142" i="20"/>
  <c r="CB221" i="9"/>
  <c r="BP144" i="20"/>
  <c r="BP152" i="20"/>
  <c r="CB242" i="9"/>
  <c r="BP154" i="20"/>
  <c r="CB60" i="9"/>
  <c r="G161" i="20"/>
  <c r="G167" i="20"/>
  <c r="BP151" i="20"/>
  <c r="CB110" i="9"/>
  <c r="BP153" i="20"/>
  <c r="CB18" i="9"/>
  <c r="BP150" i="20"/>
  <c r="CB116" i="9"/>
  <c r="G164" i="20"/>
  <c r="G169" i="20"/>
  <c r="G163" i="20"/>
  <c r="BP138" i="20"/>
  <c r="CB244" i="9"/>
  <c r="I289" i="6"/>
  <c r="I295" i="6"/>
  <c r="I223" i="6"/>
  <c r="I202" i="6"/>
  <c r="I167" i="6"/>
  <c r="I150" i="6"/>
  <c r="I115" i="6"/>
  <c r="I118" i="6"/>
  <c r="I51" i="6"/>
  <c r="O51" i="6" s="1"/>
  <c r="B52" i="9" s="1"/>
  <c r="CD52" i="9" s="1"/>
  <c r="T29" i="1"/>
  <c r="I319" i="6"/>
  <c r="O319" i="6" s="1"/>
  <c r="B317" i="9" s="1"/>
  <c r="CD317" i="9" s="1"/>
  <c r="B34" i="9"/>
  <c r="CD34" i="9" s="1"/>
  <c r="B24" i="9"/>
  <c r="CD24" i="9" s="1"/>
  <c r="B20" i="9"/>
  <c r="CD20" i="9" s="1"/>
  <c r="B319" i="9"/>
  <c r="CD319" i="9" s="1"/>
  <c r="W31" i="1"/>
  <c r="B312" i="9"/>
  <c r="CD312" i="9" s="1"/>
  <c r="W24" i="1"/>
  <c r="B298" i="9"/>
  <c r="CD298" i="9" s="1"/>
  <c r="W7" i="1"/>
  <c r="B301" i="9"/>
  <c r="CD301" i="9" s="1"/>
  <c r="W10" i="1"/>
  <c r="W15" i="1"/>
  <c r="B306" i="9"/>
  <c r="CD306" i="9" s="1"/>
  <c r="B300" i="9"/>
  <c r="CD300" i="9" s="1"/>
  <c r="W9" i="1"/>
  <c r="CB287" i="9"/>
  <c r="AF136" i="20"/>
  <c r="AF127" i="20"/>
  <c r="AF125" i="20"/>
  <c r="AF132" i="20"/>
  <c r="AF126" i="20"/>
  <c r="AF137" i="20"/>
  <c r="AF124" i="20"/>
  <c r="AF128" i="20"/>
  <c r="AF129" i="20"/>
  <c r="AF135" i="20"/>
  <c r="AF131" i="20"/>
  <c r="AF133" i="20"/>
  <c r="AF130" i="20"/>
  <c r="AF134" i="20"/>
  <c r="Y278" i="9"/>
  <c r="CH160" i="20"/>
  <c r="M160" i="20" s="1"/>
  <c r="G315" i="9"/>
  <c r="F315" i="9"/>
  <c r="H315" i="9"/>
  <c r="H42" i="9"/>
  <c r="G42" i="9"/>
  <c r="F42" i="9"/>
  <c r="F10" i="9"/>
  <c r="G10" i="9"/>
  <c r="H10" i="9"/>
  <c r="F60" i="9"/>
  <c r="G60" i="9"/>
  <c r="H60" i="9"/>
  <c r="H220" i="9"/>
  <c r="F220" i="9"/>
  <c r="G220" i="9"/>
  <c r="H240" i="9"/>
  <c r="G240" i="9"/>
  <c r="F240" i="9"/>
  <c r="H309" i="9"/>
  <c r="F309" i="9"/>
  <c r="G309" i="9"/>
  <c r="F64" i="9"/>
  <c r="G64" i="9"/>
  <c r="H64" i="9"/>
  <c r="BI244" i="9"/>
  <c r="J244" i="6"/>
  <c r="J178" i="20"/>
  <c r="I178" i="20"/>
  <c r="L178" i="20"/>
  <c r="K178" i="20"/>
  <c r="J175" i="20"/>
  <c r="M175" i="20"/>
  <c r="I175" i="20"/>
  <c r="L175" i="20"/>
  <c r="C242" i="18"/>
  <c r="CH172" i="20"/>
  <c r="M172" i="20" s="1"/>
  <c r="C76" i="18"/>
  <c r="C224" i="18"/>
  <c r="B157" i="20"/>
  <c r="K162" i="20"/>
  <c r="B158" i="20"/>
  <c r="B291" i="20"/>
  <c r="W18" i="1"/>
  <c r="B293" i="20"/>
  <c r="O171" i="6"/>
  <c r="B171" i="9" s="1"/>
  <c r="CD171" i="9" s="1"/>
  <c r="O242" i="6"/>
  <c r="B242" i="9" s="1"/>
  <c r="CD242" i="9" s="1"/>
  <c r="O209" i="6"/>
  <c r="B209" i="9" s="1"/>
  <c r="CD209" i="9" s="1"/>
  <c r="O250" i="6"/>
  <c r="B250" i="9" s="1"/>
  <c r="CD250" i="9" s="1"/>
  <c r="O111" i="6"/>
  <c r="B111" i="9" s="1"/>
  <c r="CD111" i="9" s="1"/>
  <c r="O221" i="6"/>
  <c r="B221" i="9" s="1"/>
  <c r="CD221" i="9" s="1"/>
  <c r="O17" i="6"/>
  <c r="B18" i="9" s="1"/>
  <c r="CD18" i="9" s="1"/>
  <c r="O110" i="6"/>
  <c r="B110" i="9" s="1"/>
  <c r="CD110" i="9" s="1"/>
  <c r="O218" i="6"/>
  <c r="B218" i="9" s="1"/>
  <c r="CD218" i="9" s="1"/>
  <c r="O116" i="6"/>
  <c r="B116" i="9" s="1"/>
  <c r="CD116" i="9" s="1"/>
  <c r="O244" i="6"/>
  <c r="B244" i="9" s="1"/>
  <c r="CD244" i="9" s="1"/>
  <c r="O310" i="6"/>
  <c r="B308" i="9" s="1"/>
  <c r="CD308" i="9" s="1"/>
  <c r="B154" i="20"/>
  <c r="CH165" i="20"/>
  <c r="K171" i="20"/>
  <c r="M171" i="20"/>
  <c r="I171" i="20"/>
  <c r="L171" i="20"/>
  <c r="J171" i="20"/>
  <c r="B155" i="20"/>
  <c r="CH168" i="20"/>
  <c r="B148" i="20"/>
  <c r="B144" i="20"/>
  <c r="B143" i="20"/>
  <c r="C20" i="18"/>
  <c r="W27" i="1"/>
  <c r="C31" i="18"/>
  <c r="C143" i="18"/>
  <c r="C60" i="18"/>
  <c r="O38" i="6"/>
  <c r="B39" i="9" s="1"/>
  <c r="CD39" i="9" s="1"/>
  <c r="O32" i="6"/>
  <c r="B33" i="9" s="1"/>
  <c r="CD33" i="9" s="1"/>
  <c r="AT125" i="20"/>
  <c r="BR125" i="20"/>
  <c r="BR128" i="20"/>
  <c r="BO129" i="20"/>
  <c r="AM130" i="20"/>
  <c r="BA131" i="20"/>
  <c r="AT132" i="20"/>
  <c r="AM132" i="20"/>
  <c r="BS155" i="20"/>
  <c r="BS156" i="20"/>
  <c r="BH125" i="20"/>
  <c r="BO126" i="20"/>
  <c r="AM127" i="20"/>
  <c r="BA124" i="20"/>
  <c r="AM124" i="20"/>
  <c r="BO125" i="20"/>
  <c r="AT126" i="20"/>
  <c r="AT127" i="20"/>
  <c r="AM129" i="20"/>
  <c r="BR131" i="20"/>
  <c r="BH133" i="20"/>
  <c r="BR134" i="20"/>
  <c r="BA135" i="20"/>
  <c r="AT136" i="20"/>
  <c r="BO137" i="20"/>
  <c r="BS138" i="20"/>
  <c r="BS146" i="20"/>
  <c r="BS148" i="20"/>
  <c r="BS150" i="20"/>
  <c r="BH124" i="20"/>
  <c r="AM125" i="20"/>
  <c r="BA126" i="20"/>
  <c r="BR126" i="20"/>
  <c r="BA127" i="20"/>
  <c r="AT128" i="20"/>
  <c r="AT129" i="20"/>
  <c r="BO130" i="20"/>
  <c r="BH131" i="20"/>
  <c r="AM131" i="20"/>
  <c r="BA132" i="20"/>
  <c r="BR132" i="20"/>
  <c r="AT134" i="20"/>
  <c r="BH134" i="20"/>
  <c r="BO135" i="20"/>
  <c r="BR135" i="20"/>
  <c r="BA136" i="20"/>
  <c r="BR136" i="20"/>
  <c r="AT137" i="20"/>
  <c r="BS139" i="20"/>
  <c r="BS140" i="20"/>
  <c r="BS144" i="20"/>
  <c r="BS145" i="20"/>
  <c r="BA125" i="20"/>
  <c r="BR124" i="20"/>
  <c r="BO124" i="20"/>
  <c r="BH126" i="20"/>
  <c r="AM126" i="20"/>
  <c r="BH127" i="20"/>
  <c r="BR127" i="20"/>
  <c r="BA128" i="20"/>
  <c r="AM128" i="20"/>
  <c r="BO128" i="20"/>
  <c r="BA129" i="20"/>
  <c r="AT130" i="20"/>
  <c r="BH130" i="20"/>
  <c r="BO131" i="20"/>
  <c r="BH132" i="20"/>
  <c r="AT133" i="20"/>
  <c r="BR133" i="20"/>
  <c r="BA134" i="20"/>
  <c r="BO134" i="20"/>
  <c r="AT135" i="20"/>
  <c r="BH135" i="20"/>
  <c r="AM135" i="20"/>
  <c r="BH136" i="20"/>
  <c r="AM136" i="20"/>
  <c r="BA137" i="20"/>
  <c r="BR137" i="20"/>
  <c r="BS141" i="20"/>
  <c r="BS142" i="20"/>
  <c r="BS147" i="20"/>
  <c r="BS151" i="20"/>
  <c r="BS152" i="20"/>
  <c r="BS153" i="20"/>
  <c r="BS154" i="20"/>
  <c r="AT124" i="20"/>
  <c r="BO127" i="20"/>
  <c r="BH128" i="20"/>
  <c r="BH129" i="20"/>
  <c r="BR129" i="20"/>
  <c r="BA130" i="20"/>
  <c r="BR130" i="20"/>
  <c r="AT131" i="20"/>
  <c r="BO132" i="20"/>
  <c r="BA133" i="20"/>
  <c r="BO133" i="20"/>
  <c r="AM134" i="20"/>
  <c r="BO136" i="20"/>
  <c r="BH137" i="20"/>
  <c r="AM137" i="20"/>
  <c r="BS143" i="20"/>
  <c r="BS149" i="20"/>
  <c r="AM133" i="20"/>
  <c r="BR19" i="2"/>
  <c r="CD19" i="2" s="1"/>
  <c r="BR26" i="2"/>
  <c r="BV26" i="2"/>
  <c r="J317" i="6" s="1"/>
  <c r="J110" i="6"/>
  <c r="J242" i="6"/>
  <c r="J218" i="6"/>
  <c r="BV19" i="2"/>
  <c r="J310" i="6" s="1"/>
  <c r="J116" i="6"/>
  <c r="J17" i="6"/>
  <c r="J59" i="6"/>
  <c r="J221" i="6"/>
  <c r="BU19" i="2"/>
  <c r="CG19" i="2" s="1"/>
  <c r="BU26" i="2"/>
  <c r="CG26" i="2" s="1"/>
  <c r="BS26" i="2"/>
  <c r="CE26" i="2" s="1"/>
  <c r="BQ26" i="2"/>
  <c r="CC26" i="2" s="1"/>
  <c r="BT26" i="2"/>
  <c r="CF26" i="2" s="1"/>
  <c r="BT19" i="2"/>
  <c r="CF19" i="2" s="1"/>
  <c r="BQ19" i="2"/>
  <c r="CC19" i="2" s="1"/>
  <c r="BS19" i="2"/>
  <c r="CE19" i="2" s="1"/>
  <c r="Y28" i="2"/>
  <c r="Z28" i="2"/>
  <c r="AA28" i="2"/>
  <c r="AB28" i="2"/>
  <c r="BK317" i="9" s="1"/>
  <c r="BK167" i="9"/>
  <c r="BK52" i="9"/>
  <c r="BK33" i="9"/>
  <c r="BK223" i="9"/>
  <c r="BK115" i="9"/>
  <c r="BK118" i="9"/>
  <c r="BK39" i="9"/>
  <c r="BK293" i="9"/>
  <c r="BK202" i="9"/>
  <c r="BK150" i="9"/>
  <c r="Q279" i="11"/>
  <c r="S279" i="11"/>
  <c r="BJ278" i="9"/>
  <c r="BH278" i="9"/>
  <c r="AF278" i="9"/>
  <c r="BA278" i="9"/>
  <c r="AT278" i="9"/>
  <c r="AM278" i="9"/>
  <c r="P75" i="11"/>
  <c r="E77" i="9"/>
  <c r="M77" i="9"/>
  <c r="P80" i="11"/>
  <c r="E81" i="9"/>
  <c r="M81" i="9"/>
  <c r="BI167" i="9" l="1"/>
  <c r="BQ136" i="20"/>
  <c r="BI39" i="9"/>
  <c r="BQ129" i="20"/>
  <c r="BI52" i="9"/>
  <c r="BQ134" i="20"/>
  <c r="BI293" i="9"/>
  <c r="BQ126" i="20"/>
  <c r="BI118" i="9"/>
  <c r="BQ130" i="20"/>
  <c r="BI223" i="9"/>
  <c r="BQ132" i="20"/>
  <c r="BI150" i="9"/>
  <c r="BQ124" i="20"/>
  <c r="BI202" i="9"/>
  <c r="BQ125" i="20"/>
  <c r="BQ127" i="20"/>
  <c r="BQ128" i="20"/>
  <c r="BI33" i="9"/>
  <c r="BQ133" i="20"/>
  <c r="BI317" i="9"/>
  <c r="BQ137" i="20"/>
  <c r="BQ135" i="20"/>
  <c r="BI115" i="9"/>
  <c r="BQ131" i="20"/>
  <c r="CK148" i="20"/>
  <c r="H148" i="20"/>
  <c r="CK158" i="20"/>
  <c r="H158" i="20"/>
  <c r="CK154" i="20"/>
  <c r="H154" i="20"/>
  <c r="CK293" i="20"/>
  <c r="H293" i="20"/>
  <c r="CK143" i="20"/>
  <c r="H143" i="20"/>
  <c r="CK155" i="20"/>
  <c r="H155" i="20"/>
  <c r="CK144" i="20"/>
  <c r="H144" i="20"/>
  <c r="CK291" i="20"/>
  <c r="H291" i="20"/>
  <c r="CK157" i="20"/>
  <c r="H157" i="20"/>
  <c r="CH161" i="20"/>
  <c r="M161" i="20" s="1"/>
  <c r="CH339" i="20"/>
  <c r="M339" i="20" s="1"/>
  <c r="L162" i="20"/>
  <c r="M162" i="20"/>
  <c r="J162" i="20"/>
  <c r="CH313" i="20"/>
  <c r="I313" i="20" s="1"/>
  <c r="CH299" i="20"/>
  <c r="K299" i="20" s="1"/>
  <c r="CH343" i="20"/>
  <c r="L343" i="20" s="1"/>
  <c r="P154" i="20"/>
  <c r="F154" i="20"/>
  <c r="F293" i="20"/>
  <c r="P293" i="20"/>
  <c r="P143" i="20"/>
  <c r="F143" i="20"/>
  <c r="F155" i="20"/>
  <c r="P155" i="20"/>
  <c r="F157" i="20"/>
  <c r="P157" i="20"/>
  <c r="CH318" i="20"/>
  <c r="P144" i="20"/>
  <c r="F144" i="20"/>
  <c r="P291" i="20"/>
  <c r="F291" i="20"/>
  <c r="CH294" i="20"/>
  <c r="CH332" i="20"/>
  <c r="P148" i="20"/>
  <c r="F148" i="20"/>
  <c r="P158" i="20"/>
  <c r="F158" i="20"/>
  <c r="CH317" i="20"/>
  <c r="CH301" i="20"/>
  <c r="CH163" i="20"/>
  <c r="M163" i="20" s="1"/>
  <c r="CH169" i="20"/>
  <c r="M169" i="20" s="1"/>
  <c r="BP126" i="20"/>
  <c r="CB293" i="9"/>
  <c r="BP136" i="20"/>
  <c r="CB167" i="9"/>
  <c r="G144" i="20"/>
  <c r="G157" i="20"/>
  <c r="BP130" i="20"/>
  <c r="CB118" i="9"/>
  <c r="BP132" i="20"/>
  <c r="CB223" i="9"/>
  <c r="BP133" i="20"/>
  <c r="CB33" i="9"/>
  <c r="BP134" i="20"/>
  <c r="CB52" i="9"/>
  <c r="G148" i="20"/>
  <c r="G291" i="20"/>
  <c r="BP129" i="20"/>
  <c r="CB39" i="9"/>
  <c r="BP137" i="20"/>
  <c r="CB317" i="9"/>
  <c r="G154" i="20"/>
  <c r="G158" i="20"/>
  <c r="BP124" i="20"/>
  <c r="CB150" i="9"/>
  <c r="BP125" i="20"/>
  <c r="CB202" i="9"/>
  <c r="BP127" i="20"/>
  <c r="BP128" i="20"/>
  <c r="BP131" i="20"/>
  <c r="CB115" i="9"/>
  <c r="G143" i="20"/>
  <c r="G155" i="20"/>
  <c r="G293" i="20"/>
  <c r="I280" i="6"/>
  <c r="F34" i="9"/>
  <c r="H34" i="9"/>
  <c r="G34" i="9"/>
  <c r="G24" i="9"/>
  <c r="F24" i="9"/>
  <c r="H24" i="9"/>
  <c r="F20" i="9"/>
  <c r="H20" i="9"/>
  <c r="G20" i="9"/>
  <c r="F312" i="9"/>
  <c r="G312" i="9"/>
  <c r="H312" i="9"/>
  <c r="G319" i="9"/>
  <c r="H319" i="9"/>
  <c r="F319" i="9"/>
  <c r="H300" i="9"/>
  <c r="F300" i="9"/>
  <c r="G300" i="9"/>
  <c r="F306" i="9"/>
  <c r="H306" i="9"/>
  <c r="G306" i="9"/>
  <c r="G301" i="9"/>
  <c r="H301" i="9"/>
  <c r="F301" i="9"/>
  <c r="G298" i="9"/>
  <c r="F298" i="9"/>
  <c r="H298" i="9"/>
  <c r="BP135" i="20"/>
  <c r="BK287" i="9"/>
  <c r="J289" i="6"/>
  <c r="BI287" i="9"/>
  <c r="AF123" i="20"/>
  <c r="Y77" i="9"/>
  <c r="Y81" i="9"/>
  <c r="I160" i="20"/>
  <c r="K160" i="20"/>
  <c r="L160" i="20"/>
  <c r="J160" i="20"/>
  <c r="CH166" i="20"/>
  <c r="M166" i="20" s="1"/>
  <c r="CH167" i="20"/>
  <c r="M167" i="20" s="1"/>
  <c r="CH164" i="20"/>
  <c r="M164" i="20" s="1"/>
  <c r="F33" i="9"/>
  <c r="G33" i="9"/>
  <c r="H33" i="9"/>
  <c r="H317" i="9"/>
  <c r="G317" i="9"/>
  <c r="F317" i="9"/>
  <c r="F52" i="9"/>
  <c r="G52" i="9"/>
  <c r="H52" i="9"/>
  <c r="F39" i="9"/>
  <c r="G39" i="9"/>
  <c r="H39" i="9"/>
  <c r="F308" i="9"/>
  <c r="G308" i="9"/>
  <c r="H308" i="9"/>
  <c r="G244" i="9"/>
  <c r="H244" i="9"/>
  <c r="F244" i="9"/>
  <c r="H116" i="9"/>
  <c r="F116" i="9"/>
  <c r="G116" i="9"/>
  <c r="G218" i="9"/>
  <c r="H218" i="9"/>
  <c r="F218" i="9"/>
  <c r="H110" i="9"/>
  <c r="G110" i="9"/>
  <c r="F110" i="9"/>
  <c r="H18" i="9"/>
  <c r="G18" i="9"/>
  <c r="F18" i="9"/>
  <c r="G221" i="9"/>
  <c r="H221" i="9"/>
  <c r="F221" i="9"/>
  <c r="G111" i="9"/>
  <c r="H111" i="9"/>
  <c r="F111" i="9"/>
  <c r="G250" i="9"/>
  <c r="H250" i="9"/>
  <c r="F250" i="9"/>
  <c r="H209" i="9"/>
  <c r="G209" i="9"/>
  <c r="F209" i="9"/>
  <c r="H242" i="9"/>
  <c r="G242" i="9"/>
  <c r="F242" i="9"/>
  <c r="F171" i="9"/>
  <c r="H171" i="9"/>
  <c r="G171" i="9"/>
  <c r="W17" i="1"/>
  <c r="B147" i="20"/>
  <c r="C179" i="18"/>
  <c r="B140" i="20"/>
  <c r="I172" i="20"/>
  <c r="CH170" i="20"/>
  <c r="M170" i="20" s="1"/>
  <c r="J172" i="20"/>
  <c r="L172" i="20"/>
  <c r="K172" i="20"/>
  <c r="B151" i="20"/>
  <c r="C121" i="18"/>
  <c r="B146" i="20"/>
  <c r="C214" i="18"/>
  <c r="C251" i="18"/>
  <c r="B150" i="20"/>
  <c r="B145" i="20"/>
  <c r="C128" i="18"/>
  <c r="C122" i="18"/>
  <c r="C58" i="18"/>
  <c r="B156" i="20"/>
  <c r="C287" i="18"/>
  <c r="B152" i="20"/>
  <c r="C12" i="18"/>
  <c r="C72" i="18"/>
  <c r="B139" i="20"/>
  <c r="C244" i="18"/>
  <c r="C221" i="18"/>
  <c r="B141" i="20"/>
  <c r="B149" i="20"/>
  <c r="C247" i="18"/>
  <c r="C225" i="18"/>
  <c r="C178" i="18"/>
  <c r="B138" i="20"/>
  <c r="B142" i="20"/>
  <c r="CH159" i="20"/>
  <c r="L159" i="20" s="1"/>
  <c r="O202" i="6"/>
  <c r="B202" i="9" s="1"/>
  <c r="CD202" i="9" s="1"/>
  <c r="O115" i="6"/>
  <c r="B115" i="9" s="1"/>
  <c r="CD115" i="9" s="1"/>
  <c r="O167" i="6"/>
  <c r="B167" i="9" s="1"/>
  <c r="CD167" i="9" s="1"/>
  <c r="O223" i="6"/>
  <c r="B223" i="9" s="1"/>
  <c r="CD223" i="9" s="1"/>
  <c r="C39" i="18"/>
  <c r="B153" i="20"/>
  <c r="O118" i="6"/>
  <c r="B118" i="9" s="1"/>
  <c r="CD118" i="9" s="1"/>
  <c r="O150" i="6"/>
  <c r="B150" i="9" s="1"/>
  <c r="CD150" i="9" s="1"/>
  <c r="O295" i="6"/>
  <c r="B293" i="9" s="1"/>
  <c r="CD293" i="9" s="1"/>
  <c r="O289" i="6"/>
  <c r="B287" i="9" s="1"/>
  <c r="CD287" i="9" s="1"/>
  <c r="B129" i="20"/>
  <c r="B133" i="20"/>
  <c r="M165" i="20"/>
  <c r="K165" i="20"/>
  <c r="L165" i="20"/>
  <c r="I165" i="20"/>
  <c r="J165" i="20"/>
  <c r="B137" i="20"/>
  <c r="B134" i="20"/>
  <c r="M168" i="20"/>
  <c r="L168" i="20"/>
  <c r="I168" i="20"/>
  <c r="J168" i="20"/>
  <c r="K168" i="20"/>
  <c r="C22" i="18"/>
  <c r="W29" i="1"/>
  <c r="C52" i="18"/>
  <c r="BS131" i="20"/>
  <c r="BS132" i="20"/>
  <c r="BS133" i="20"/>
  <c r="BS136" i="20"/>
  <c r="BH123" i="20"/>
  <c r="BO123" i="20"/>
  <c r="BR123" i="20"/>
  <c r="BS137" i="20"/>
  <c r="AT123" i="20"/>
  <c r="BA123" i="20"/>
  <c r="AM123" i="20"/>
  <c r="BS124" i="20"/>
  <c r="BS125" i="20"/>
  <c r="BS126" i="20"/>
  <c r="BS127" i="20"/>
  <c r="BS128" i="20"/>
  <c r="BS129" i="20"/>
  <c r="BS134" i="20"/>
  <c r="BS135" i="20"/>
  <c r="BS130" i="20"/>
  <c r="U17" i="1"/>
  <c r="BR28" i="2"/>
  <c r="CD28" i="2" s="1"/>
  <c r="CH26" i="2"/>
  <c r="J250" i="6"/>
  <c r="CH19" i="2"/>
  <c r="J38" i="6"/>
  <c r="J223" i="6"/>
  <c r="J150" i="6"/>
  <c r="J118" i="6"/>
  <c r="J32" i="6"/>
  <c r="J167" i="6"/>
  <c r="BV28" i="2"/>
  <c r="J319" i="6" s="1"/>
  <c r="J202" i="6"/>
  <c r="J295" i="6"/>
  <c r="J115" i="6"/>
  <c r="J51" i="6"/>
  <c r="BU28" i="2"/>
  <c r="CG28" i="2" s="1"/>
  <c r="S75" i="11"/>
  <c r="BW26" i="2"/>
  <c r="CD26" i="2"/>
  <c r="U27" i="1"/>
  <c r="BW19" i="2"/>
  <c r="BX19" i="2" s="1"/>
  <c r="BT28" i="2"/>
  <c r="CF28" i="2" s="1"/>
  <c r="BQ28" i="2"/>
  <c r="CC28" i="2" s="1"/>
  <c r="BS28" i="2"/>
  <c r="CE28" i="2" s="1"/>
  <c r="BK278" i="9"/>
  <c r="Q80" i="11"/>
  <c r="S80" i="11"/>
  <c r="Q75" i="11"/>
  <c r="H75" i="11"/>
  <c r="AF77" i="9"/>
  <c r="BJ77" i="9"/>
  <c r="BH77" i="9"/>
  <c r="BA77" i="9"/>
  <c r="AT77" i="9"/>
  <c r="AM77" i="9"/>
  <c r="H80" i="11"/>
  <c r="AM81" i="9"/>
  <c r="AT81" i="9"/>
  <c r="AF81" i="9"/>
  <c r="BJ81" i="9"/>
  <c r="BH81" i="9"/>
  <c r="BA81" i="9"/>
  <c r="P268" i="11"/>
  <c r="E267" i="9"/>
  <c r="M267" i="9"/>
  <c r="H275" i="11"/>
  <c r="P275" i="11"/>
  <c r="E274" i="9"/>
  <c r="M274" i="9"/>
  <c r="H89" i="11"/>
  <c r="P89" i="11"/>
  <c r="E91" i="9"/>
  <c r="M91" i="9"/>
  <c r="H76" i="11"/>
  <c r="P76" i="11"/>
  <c r="E78" i="9"/>
  <c r="M78" i="9"/>
  <c r="H145" i="11"/>
  <c r="P145" i="11"/>
  <c r="E146" i="9"/>
  <c r="M146" i="9"/>
  <c r="H276" i="11"/>
  <c r="P276" i="11"/>
  <c r="E275" i="9"/>
  <c r="M275" i="9"/>
  <c r="H207" i="11"/>
  <c r="P207" i="11"/>
  <c r="E204" i="9"/>
  <c r="M204" i="9"/>
  <c r="P105" i="11"/>
  <c r="E106" i="9"/>
  <c r="M106" i="9"/>
  <c r="H246" i="11"/>
  <c r="P246" i="11"/>
  <c r="E245" i="9"/>
  <c r="M245" i="9"/>
  <c r="H295" i="11"/>
  <c r="P295" i="11"/>
  <c r="E294" i="9"/>
  <c r="M294" i="9"/>
  <c r="CZ5" i="2"/>
  <c r="CY5" i="2" s="1"/>
  <c r="X5" i="2" s="1"/>
  <c r="R3" i="1"/>
  <c r="Y3" i="1"/>
  <c r="AE3" i="1"/>
  <c r="H239" i="11"/>
  <c r="P239" i="11"/>
  <c r="E238" i="9"/>
  <c r="M238" i="9"/>
  <c r="H183" i="11"/>
  <c r="P183" i="11"/>
  <c r="E184" i="9"/>
  <c r="M184" i="9"/>
  <c r="K161" i="20" l="1"/>
  <c r="J161" i="20"/>
  <c r="BI278" i="9"/>
  <c r="BQ123" i="20"/>
  <c r="CK151" i="20"/>
  <c r="H151" i="20"/>
  <c r="CK133" i="20"/>
  <c r="H133" i="20"/>
  <c r="CK153" i="20"/>
  <c r="H153" i="20"/>
  <c r="CK142" i="20"/>
  <c r="H142" i="20"/>
  <c r="CK141" i="20"/>
  <c r="H141" i="20"/>
  <c r="CK156" i="20"/>
  <c r="H156" i="20"/>
  <c r="CK146" i="20"/>
  <c r="H146" i="20"/>
  <c r="CK147" i="20"/>
  <c r="H147" i="20"/>
  <c r="CK134" i="20"/>
  <c r="H134" i="20"/>
  <c r="CK129" i="20"/>
  <c r="H129" i="20"/>
  <c r="CK138" i="20"/>
  <c r="H138" i="20"/>
  <c r="CK152" i="20"/>
  <c r="H152" i="20"/>
  <c r="CK145" i="20"/>
  <c r="H145" i="20"/>
  <c r="CK137" i="20"/>
  <c r="H137" i="20"/>
  <c r="CK149" i="20"/>
  <c r="H149" i="20"/>
  <c r="CK139" i="20"/>
  <c r="H139" i="20"/>
  <c r="CK150" i="20"/>
  <c r="H150" i="20"/>
  <c r="CK140" i="20"/>
  <c r="H140" i="20"/>
  <c r="I161" i="20"/>
  <c r="L161" i="20"/>
  <c r="CH155" i="20"/>
  <c r="M155" i="20" s="1"/>
  <c r="K339" i="20"/>
  <c r="I339" i="20"/>
  <c r="I299" i="20"/>
  <c r="J169" i="20"/>
  <c r="L169" i="20"/>
  <c r="K169" i="20"/>
  <c r="I169" i="20"/>
  <c r="L299" i="20"/>
  <c r="L313" i="20"/>
  <c r="K343" i="20"/>
  <c r="M343" i="20"/>
  <c r="J343" i="20"/>
  <c r="I343" i="20"/>
  <c r="M313" i="20"/>
  <c r="K313" i="20"/>
  <c r="J313" i="20"/>
  <c r="J339" i="20"/>
  <c r="L339" i="20"/>
  <c r="L163" i="20"/>
  <c r="I163" i="20"/>
  <c r="K163" i="20"/>
  <c r="J163" i="20"/>
  <c r="M299" i="20"/>
  <c r="J299" i="20"/>
  <c r="P137" i="20"/>
  <c r="F137" i="20"/>
  <c r="F149" i="20"/>
  <c r="P149" i="20"/>
  <c r="P139" i="20"/>
  <c r="F139" i="20"/>
  <c r="P150" i="20"/>
  <c r="F150" i="20"/>
  <c r="P140" i="20"/>
  <c r="F140" i="20"/>
  <c r="I332" i="20"/>
  <c r="L332" i="20"/>
  <c r="K332" i="20"/>
  <c r="M332" i="20"/>
  <c r="J332" i="20"/>
  <c r="P151" i="20"/>
  <c r="F151" i="20"/>
  <c r="I301" i="20"/>
  <c r="J301" i="20"/>
  <c r="L301" i="20"/>
  <c r="M301" i="20"/>
  <c r="K301" i="20"/>
  <c r="M294" i="20"/>
  <c r="I294" i="20"/>
  <c r="K294" i="20"/>
  <c r="L294" i="20"/>
  <c r="J294" i="20"/>
  <c r="F133" i="20"/>
  <c r="P133" i="20"/>
  <c r="P153" i="20"/>
  <c r="F153" i="20"/>
  <c r="P142" i="20"/>
  <c r="F142" i="20"/>
  <c r="F141" i="20"/>
  <c r="P141" i="20"/>
  <c r="P156" i="20"/>
  <c r="F156" i="20"/>
  <c r="P146" i="20"/>
  <c r="F146" i="20"/>
  <c r="F147" i="20"/>
  <c r="P147" i="20"/>
  <c r="I318" i="20"/>
  <c r="K318" i="20"/>
  <c r="L318" i="20"/>
  <c r="M318" i="20"/>
  <c r="J318" i="20"/>
  <c r="P134" i="20"/>
  <c r="F134" i="20"/>
  <c r="F129" i="20"/>
  <c r="P129" i="20"/>
  <c r="P138" i="20"/>
  <c r="F138" i="20"/>
  <c r="F152" i="20"/>
  <c r="P152" i="20"/>
  <c r="F145" i="20"/>
  <c r="P145" i="20"/>
  <c r="I317" i="20"/>
  <c r="K317" i="20"/>
  <c r="L317" i="20"/>
  <c r="M317" i="20"/>
  <c r="J317" i="20"/>
  <c r="G138" i="20"/>
  <c r="G156" i="20"/>
  <c r="G146" i="20"/>
  <c r="G147" i="20"/>
  <c r="BP123" i="20"/>
  <c r="CB278" i="9"/>
  <c r="G134" i="20"/>
  <c r="G133" i="20"/>
  <c r="G153" i="20"/>
  <c r="G149" i="20"/>
  <c r="G139" i="20"/>
  <c r="G152" i="20"/>
  <c r="G145" i="20"/>
  <c r="G129" i="20"/>
  <c r="G150" i="20"/>
  <c r="G140" i="20"/>
  <c r="G137" i="20"/>
  <c r="G142" i="20"/>
  <c r="G141" i="20"/>
  <c r="G151" i="20"/>
  <c r="AF121" i="20"/>
  <c r="I81" i="6"/>
  <c r="I76" i="6"/>
  <c r="AF122" i="20"/>
  <c r="Y184" i="9"/>
  <c r="Y238" i="9"/>
  <c r="Y294" i="9"/>
  <c r="Y245" i="9"/>
  <c r="Y106" i="9"/>
  <c r="Y204" i="9"/>
  <c r="Y275" i="9"/>
  <c r="Y146" i="9"/>
  <c r="Y78" i="9"/>
  <c r="Y91" i="9"/>
  <c r="Y274" i="9"/>
  <c r="Y267" i="9"/>
  <c r="K166" i="20"/>
  <c r="J166" i="20"/>
  <c r="I167" i="20"/>
  <c r="L166" i="20"/>
  <c r="I166" i="20"/>
  <c r="L167" i="20"/>
  <c r="L164" i="20"/>
  <c r="I164" i="20"/>
  <c r="J164" i="20"/>
  <c r="CH143" i="20"/>
  <c r="J143" i="20" s="1"/>
  <c r="K167" i="20"/>
  <c r="J167" i="20"/>
  <c r="K164" i="20"/>
  <c r="CH158" i="20"/>
  <c r="M158" i="20" s="1"/>
  <c r="G287" i="9"/>
  <c r="H287" i="9"/>
  <c r="F287" i="9"/>
  <c r="H293" i="9"/>
  <c r="G293" i="9"/>
  <c r="F293" i="9"/>
  <c r="F150" i="9"/>
  <c r="H150" i="9"/>
  <c r="G150" i="9"/>
  <c r="H118" i="9"/>
  <c r="G118" i="9"/>
  <c r="F118" i="9"/>
  <c r="F223" i="9"/>
  <c r="G223" i="9"/>
  <c r="H223" i="9"/>
  <c r="G167" i="9"/>
  <c r="F167" i="9"/>
  <c r="H167" i="9"/>
  <c r="F115" i="9"/>
  <c r="G115" i="9"/>
  <c r="H115" i="9"/>
  <c r="H202" i="9"/>
  <c r="F202" i="9"/>
  <c r="G202" i="9"/>
  <c r="I170" i="20"/>
  <c r="K170" i="20"/>
  <c r="L170" i="20"/>
  <c r="J170" i="20"/>
  <c r="B126" i="20"/>
  <c r="C288" i="18"/>
  <c r="CH157" i="20"/>
  <c r="M157" i="20" s="1"/>
  <c r="B131" i="20"/>
  <c r="B127" i="20"/>
  <c r="I155" i="20"/>
  <c r="C153" i="18"/>
  <c r="K155" i="20"/>
  <c r="L155" i="20"/>
  <c r="B136" i="20"/>
  <c r="C174" i="18"/>
  <c r="B124" i="20"/>
  <c r="C158" i="18"/>
  <c r="B132" i="20"/>
  <c r="B135" i="20"/>
  <c r="C226" i="18"/>
  <c r="M159" i="20"/>
  <c r="B128" i="20"/>
  <c r="B125" i="20"/>
  <c r="C123" i="18"/>
  <c r="C206" i="18"/>
  <c r="C127" i="18"/>
  <c r="C283" i="18"/>
  <c r="B130" i="20"/>
  <c r="C129" i="18"/>
  <c r="CH293" i="20"/>
  <c r="I293" i="20" s="1"/>
  <c r="CH291" i="20"/>
  <c r="I159" i="20"/>
  <c r="J159" i="20"/>
  <c r="K159" i="20"/>
  <c r="O280" i="6"/>
  <c r="B278" i="9" s="1"/>
  <c r="CD278" i="9" s="1"/>
  <c r="CH148" i="20"/>
  <c r="CH144" i="20"/>
  <c r="CH154" i="20"/>
  <c r="BR121" i="20"/>
  <c r="BH122" i="20"/>
  <c r="BH121" i="20"/>
  <c r="AM121" i="20"/>
  <c r="BO122" i="20"/>
  <c r="BR122" i="20"/>
  <c r="BS123" i="20"/>
  <c r="BO121" i="20"/>
  <c r="BA121" i="20"/>
  <c r="AT122" i="20"/>
  <c r="AM122" i="20"/>
  <c r="AT121" i="20"/>
  <c r="BA122" i="20"/>
  <c r="U29" i="1"/>
  <c r="J280" i="6"/>
  <c r="CH28" i="2"/>
  <c r="AF78" i="9"/>
  <c r="AJ5" i="2"/>
  <c r="AF294" i="9" s="1"/>
  <c r="BX26" i="2"/>
  <c r="BW28" i="2"/>
  <c r="BX28" i="2" s="1"/>
  <c r="BK77" i="9"/>
  <c r="BK81" i="9"/>
  <c r="Q268" i="11"/>
  <c r="S268" i="11"/>
  <c r="H268" i="11"/>
  <c r="AF267" i="9"/>
  <c r="BJ267" i="9"/>
  <c r="BH267" i="9"/>
  <c r="BA267" i="9"/>
  <c r="AT267" i="9"/>
  <c r="AM267" i="9"/>
  <c r="Q275" i="11"/>
  <c r="S275" i="11"/>
  <c r="BA274" i="9"/>
  <c r="AF274" i="9"/>
  <c r="BJ274" i="9"/>
  <c r="BH274" i="9"/>
  <c r="AT274" i="9"/>
  <c r="AM274" i="9"/>
  <c r="Q89" i="11"/>
  <c r="S89" i="11"/>
  <c r="BA91" i="9"/>
  <c r="AF91" i="9"/>
  <c r="BJ91" i="9"/>
  <c r="BH91" i="9"/>
  <c r="AT91" i="9"/>
  <c r="AM91" i="9"/>
  <c r="Q76" i="11"/>
  <c r="S76" i="11"/>
  <c r="BJ78" i="9"/>
  <c r="BH78" i="9"/>
  <c r="BA78" i="9"/>
  <c r="AT78" i="9"/>
  <c r="AM78" i="9"/>
  <c r="Q276" i="11"/>
  <c r="Q145" i="11"/>
  <c r="S145" i="11"/>
  <c r="BA146" i="9"/>
  <c r="AF146" i="9"/>
  <c r="BJ146" i="9"/>
  <c r="BH146" i="9"/>
  <c r="AT146" i="9"/>
  <c r="AM146" i="9"/>
  <c r="Q183" i="11"/>
  <c r="S105" i="11"/>
  <c r="S276" i="11"/>
  <c r="BA275" i="9"/>
  <c r="AF275" i="9"/>
  <c r="BJ275" i="9"/>
  <c r="BH275" i="9"/>
  <c r="AT275" i="9"/>
  <c r="AM275" i="9"/>
  <c r="Q207" i="11"/>
  <c r="S207" i="11"/>
  <c r="BJ204" i="9"/>
  <c r="BH204" i="9"/>
  <c r="AF204" i="9"/>
  <c r="BA204" i="9"/>
  <c r="AT204" i="9"/>
  <c r="AM204" i="9"/>
  <c r="Q295" i="11"/>
  <c r="Q239" i="11"/>
  <c r="Q105" i="11"/>
  <c r="H105" i="11"/>
  <c r="BA106" i="9"/>
  <c r="AF106" i="9"/>
  <c r="BJ106" i="9"/>
  <c r="BH106" i="9"/>
  <c r="AT106" i="9"/>
  <c r="AM106" i="9"/>
  <c r="Q246" i="11"/>
  <c r="S246" i="11"/>
  <c r="BJ245" i="9"/>
  <c r="BA245" i="9"/>
  <c r="AF245" i="9"/>
  <c r="BH245" i="9"/>
  <c r="AT245" i="9"/>
  <c r="AM245" i="9"/>
  <c r="S295" i="11"/>
  <c r="CA5" i="2"/>
  <c r="BN5" i="2"/>
  <c r="BZ5" i="2" s="1"/>
  <c r="AC5" i="2"/>
  <c r="BJ294" i="9" s="1"/>
  <c r="BM5" i="2"/>
  <c r="BY5" i="2" s="1"/>
  <c r="BL5" i="2"/>
  <c r="BH294" i="9" s="1"/>
  <c r="BE5" i="2"/>
  <c r="BA294" i="9" s="1"/>
  <c r="AX5" i="2"/>
  <c r="AT294" i="9" s="1"/>
  <c r="AQ5" i="2"/>
  <c r="AM294" i="9" s="1"/>
  <c r="P5" i="2"/>
  <c r="BP5" i="2"/>
  <c r="CB5" i="2" s="1"/>
  <c r="S239" i="11"/>
  <c r="AF238" i="9"/>
  <c r="BJ238" i="9"/>
  <c r="BH238" i="9"/>
  <c r="BA238" i="9"/>
  <c r="AT238" i="9"/>
  <c r="AM238" i="9"/>
  <c r="S183" i="11"/>
  <c r="AT184" i="9"/>
  <c r="AF184" i="9"/>
  <c r="BJ184" i="9"/>
  <c r="BH184" i="9"/>
  <c r="BA184" i="9"/>
  <c r="AM184" i="9"/>
  <c r="H262" i="11"/>
  <c r="P262" i="11"/>
  <c r="E261" i="9"/>
  <c r="M261" i="9"/>
  <c r="T3" i="1" l="1"/>
  <c r="BI81" i="9"/>
  <c r="BQ121" i="20"/>
  <c r="BI77" i="9"/>
  <c r="BQ122" i="20"/>
  <c r="CK128" i="20"/>
  <c r="H128" i="20"/>
  <c r="CK130" i="20"/>
  <c r="H130" i="20"/>
  <c r="CK136" i="20"/>
  <c r="H136" i="20"/>
  <c r="CK131" i="20"/>
  <c r="H131" i="20"/>
  <c r="CK126" i="20"/>
  <c r="H126" i="20"/>
  <c r="CK125" i="20"/>
  <c r="H125" i="20"/>
  <c r="CK135" i="20"/>
  <c r="H135" i="20"/>
  <c r="CK124" i="20"/>
  <c r="H124" i="20"/>
  <c r="CK132" i="20"/>
  <c r="H132" i="20"/>
  <c r="CK127" i="20"/>
  <c r="H127" i="20"/>
  <c r="J155" i="20"/>
  <c r="AF110" i="20"/>
  <c r="AF109" i="20"/>
  <c r="CH141" i="20"/>
  <c r="I141" i="20" s="1"/>
  <c r="CH133" i="20"/>
  <c r="M133" i="20" s="1"/>
  <c r="AF117" i="20"/>
  <c r="P128" i="20"/>
  <c r="F128" i="20"/>
  <c r="P132" i="20"/>
  <c r="F132" i="20"/>
  <c r="F131" i="20"/>
  <c r="P131" i="20"/>
  <c r="P126" i="20"/>
  <c r="F126" i="20"/>
  <c r="P130" i="20"/>
  <c r="F130" i="20"/>
  <c r="F136" i="20"/>
  <c r="P136" i="20"/>
  <c r="F125" i="20"/>
  <c r="P125" i="20"/>
  <c r="P135" i="20"/>
  <c r="F135" i="20"/>
  <c r="P124" i="20"/>
  <c r="F124" i="20"/>
  <c r="P127" i="20"/>
  <c r="F127" i="20"/>
  <c r="CH137" i="20"/>
  <c r="M137" i="20" s="1"/>
  <c r="CH150" i="20"/>
  <c r="M150" i="20" s="1"/>
  <c r="CH139" i="20"/>
  <c r="M139" i="20" s="1"/>
  <c r="G131" i="20"/>
  <c r="G126" i="20"/>
  <c r="BP122" i="20"/>
  <c r="CB77" i="9"/>
  <c r="G130" i="20"/>
  <c r="G125" i="20"/>
  <c r="G135" i="20"/>
  <c r="G136" i="20"/>
  <c r="G128" i="20"/>
  <c r="G132" i="20"/>
  <c r="G124" i="20"/>
  <c r="BP121" i="20"/>
  <c r="CB81" i="9"/>
  <c r="G127" i="20"/>
  <c r="I276" i="6"/>
  <c r="I245" i="6"/>
  <c r="I277" i="6"/>
  <c r="I269" i="6"/>
  <c r="I238" i="6"/>
  <c r="I204" i="6"/>
  <c r="I184" i="6"/>
  <c r="I146" i="6"/>
  <c r="I106" i="6"/>
  <c r="O106" i="6" s="1"/>
  <c r="B106" i="9" s="1"/>
  <c r="CD106" i="9" s="1"/>
  <c r="I77" i="6"/>
  <c r="I90" i="6"/>
  <c r="AF118" i="20"/>
  <c r="AF112" i="20"/>
  <c r="AF114" i="20"/>
  <c r="AF113" i="20"/>
  <c r="AF116" i="20"/>
  <c r="AF108" i="20"/>
  <c r="AF120" i="20"/>
  <c r="AF119" i="20"/>
  <c r="AF115" i="20"/>
  <c r="AF111" i="20"/>
  <c r="Y261" i="9"/>
  <c r="I143" i="20"/>
  <c r="L143" i="20"/>
  <c r="K143" i="20"/>
  <c r="M143" i="20"/>
  <c r="CH147" i="20"/>
  <c r="M147" i="20" s="1"/>
  <c r="CH152" i="20"/>
  <c r="M152" i="20" s="1"/>
  <c r="J158" i="20"/>
  <c r="K158" i="20"/>
  <c r="I158" i="20"/>
  <c r="L158" i="20"/>
  <c r="CH145" i="20"/>
  <c r="M145" i="20" s="1"/>
  <c r="CH146" i="20"/>
  <c r="M146" i="20" s="1"/>
  <c r="CH140" i="20"/>
  <c r="L140" i="20" s="1"/>
  <c r="CH156" i="20"/>
  <c r="M156" i="20" s="1"/>
  <c r="H278" i="9"/>
  <c r="G278" i="9"/>
  <c r="F278" i="9"/>
  <c r="L133" i="20"/>
  <c r="I157" i="20"/>
  <c r="J157" i="20"/>
  <c r="K157" i="20"/>
  <c r="L157" i="20"/>
  <c r="CH138" i="20"/>
  <c r="M138" i="20" s="1"/>
  <c r="CH151" i="20"/>
  <c r="K151" i="20" s="1"/>
  <c r="CH142" i="20"/>
  <c r="M142" i="20" s="1"/>
  <c r="J133" i="20"/>
  <c r="CH149" i="20"/>
  <c r="M149" i="20" s="1"/>
  <c r="B123" i="20"/>
  <c r="C276" i="18"/>
  <c r="L293" i="20"/>
  <c r="K293" i="20"/>
  <c r="J293" i="20"/>
  <c r="M293" i="20"/>
  <c r="L291" i="20"/>
  <c r="I291" i="20"/>
  <c r="K291" i="20"/>
  <c r="M291" i="20"/>
  <c r="J291" i="20"/>
  <c r="O81" i="6"/>
  <c r="B81" i="9" s="1"/>
  <c r="CD81" i="9" s="1"/>
  <c r="CH153" i="20"/>
  <c r="O76" i="6"/>
  <c r="B77" i="9" s="1"/>
  <c r="CD77" i="9" s="1"/>
  <c r="M148" i="20"/>
  <c r="I148" i="20"/>
  <c r="L148" i="20"/>
  <c r="K148" i="20"/>
  <c r="J148" i="20"/>
  <c r="M144" i="20"/>
  <c r="I144" i="20"/>
  <c r="K144" i="20"/>
  <c r="L144" i="20"/>
  <c r="J144" i="20"/>
  <c r="CH129" i="20"/>
  <c r="CH134" i="20"/>
  <c r="M154" i="20"/>
  <c r="L154" i="20"/>
  <c r="K154" i="20"/>
  <c r="I154" i="20"/>
  <c r="J154" i="20"/>
  <c r="I296" i="6"/>
  <c r="O296" i="6" s="1"/>
  <c r="L139" i="20"/>
  <c r="AT108" i="20"/>
  <c r="AT109" i="20"/>
  <c r="BH110" i="20"/>
  <c r="AT111" i="20"/>
  <c r="AT113" i="20"/>
  <c r="BO113" i="20"/>
  <c r="BO114" i="20"/>
  <c r="BR114" i="20"/>
  <c r="BA115" i="20"/>
  <c r="BH115" i="20"/>
  <c r="BA116" i="20"/>
  <c r="BR116" i="20"/>
  <c r="AT119" i="20"/>
  <c r="BH119" i="20"/>
  <c r="BO120" i="20"/>
  <c r="AM110" i="20"/>
  <c r="BH108" i="20"/>
  <c r="BR108" i="20"/>
  <c r="BA108" i="20"/>
  <c r="BA109" i="20"/>
  <c r="BR109" i="20"/>
  <c r="BO110" i="20"/>
  <c r="BA111" i="20"/>
  <c r="AM111" i="20"/>
  <c r="AT112" i="20"/>
  <c r="BH112" i="20"/>
  <c r="BA113" i="20"/>
  <c r="BR113" i="20"/>
  <c r="AT114" i="20"/>
  <c r="AM114" i="20"/>
  <c r="BO115" i="20"/>
  <c r="BH116" i="20"/>
  <c r="BO117" i="20"/>
  <c r="BR117" i="20"/>
  <c r="AT118" i="20"/>
  <c r="BR118" i="20"/>
  <c r="BA119" i="20"/>
  <c r="AT120" i="20"/>
  <c r="BH109" i="20"/>
  <c r="AM109" i="20"/>
  <c r="AT110" i="20"/>
  <c r="BO111" i="20"/>
  <c r="BH111" i="20"/>
  <c r="BA112" i="20"/>
  <c r="BR112" i="20"/>
  <c r="BH113" i="20"/>
  <c r="BA114" i="20"/>
  <c r="BH114" i="20"/>
  <c r="BR115" i="20"/>
  <c r="BO116" i="20"/>
  <c r="AT117" i="20"/>
  <c r="AM117" i="20"/>
  <c r="BA118" i="20"/>
  <c r="BO118" i="20"/>
  <c r="BO119" i="20"/>
  <c r="BR119" i="20"/>
  <c r="BA120" i="20"/>
  <c r="BR120" i="20"/>
  <c r="AM118" i="20"/>
  <c r="AM116" i="20"/>
  <c r="BO108" i="20"/>
  <c r="AM108" i="20"/>
  <c r="BO109" i="20"/>
  <c r="BA110" i="20"/>
  <c r="BR110" i="20"/>
  <c r="BR111" i="20"/>
  <c r="BO112" i="20"/>
  <c r="AM112" i="20"/>
  <c r="AM113" i="20"/>
  <c r="AT115" i="20"/>
  <c r="AM115" i="20"/>
  <c r="AT116" i="20"/>
  <c r="BA117" i="20"/>
  <c r="BH117" i="20"/>
  <c r="BH118" i="20"/>
  <c r="AM119" i="20"/>
  <c r="BH120" i="20"/>
  <c r="AM120" i="20"/>
  <c r="BS121" i="20"/>
  <c r="BS122" i="20"/>
  <c r="J81" i="6"/>
  <c r="J76" i="6"/>
  <c r="BK267" i="9"/>
  <c r="BK274" i="9"/>
  <c r="BK91" i="9"/>
  <c r="BK78" i="9"/>
  <c r="BK146" i="9"/>
  <c r="BK275" i="9"/>
  <c r="BK204" i="9"/>
  <c r="BK106" i="9"/>
  <c r="BK245" i="9"/>
  <c r="Y5" i="2"/>
  <c r="Z5" i="2"/>
  <c r="AA5" i="2"/>
  <c r="AB5" i="2"/>
  <c r="BK294" i="9" s="1"/>
  <c r="BK238" i="9"/>
  <c r="BK184" i="9"/>
  <c r="Q262" i="11"/>
  <c r="S262" i="11"/>
  <c r="BJ261" i="9"/>
  <c r="AM261" i="9"/>
  <c r="AF261" i="9"/>
  <c r="BA261" i="9"/>
  <c r="AT261" i="9"/>
  <c r="BH261" i="9"/>
  <c r="H261" i="11"/>
  <c r="P261" i="11"/>
  <c r="E260" i="9"/>
  <c r="M260" i="9"/>
  <c r="H170" i="11"/>
  <c r="P170" i="11"/>
  <c r="E172" i="9"/>
  <c r="M172" i="9"/>
  <c r="P57" i="11"/>
  <c r="E59" i="9"/>
  <c r="M59" i="9"/>
  <c r="H180" i="11"/>
  <c r="P180" i="11"/>
  <c r="E181" i="9"/>
  <c r="M181" i="9"/>
  <c r="P238" i="11"/>
  <c r="E237" i="9"/>
  <c r="M237" i="9"/>
  <c r="H191" i="11"/>
  <c r="P191" i="11"/>
  <c r="E192" i="9"/>
  <c r="M192" i="9"/>
  <c r="B294" i="9" l="1"/>
  <c r="CD294" i="9" s="1"/>
  <c r="BI184" i="9"/>
  <c r="BQ108" i="20"/>
  <c r="BI106" i="9"/>
  <c r="BQ112" i="20"/>
  <c r="BI146" i="9"/>
  <c r="BQ115" i="20"/>
  <c r="BQ118" i="20"/>
  <c r="BI267" i="9"/>
  <c r="BQ120" i="20"/>
  <c r="BI238" i="9"/>
  <c r="BQ109" i="20"/>
  <c r="BI245" i="9"/>
  <c r="BQ111" i="20"/>
  <c r="BI275" i="9"/>
  <c r="BQ114" i="20"/>
  <c r="BI294" i="9"/>
  <c r="BQ110" i="20"/>
  <c r="BI204" i="9"/>
  <c r="BQ113" i="20"/>
  <c r="BI78" i="9"/>
  <c r="BQ116" i="20"/>
  <c r="BI91" i="9"/>
  <c r="BQ117" i="20"/>
  <c r="BI274" i="9"/>
  <c r="BQ119" i="20"/>
  <c r="CK123" i="20"/>
  <c r="H123" i="20"/>
  <c r="K133" i="20"/>
  <c r="I133" i="20"/>
  <c r="K141" i="20"/>
  <c r="AF107" i="20"/>
  <c r="J141" i="20"/>
  <c r="M141" i="20"/>
  <c r="CH131" i="20"/>
  <c r="I131" i="20" s="1"/>
  <c r="L141" i="20"/>
  <c r="J137" i="20"/>
  <c r="J150" i="20"/>
  <c r="L137" i="20"/>
  <c r="CH132" i="20"/>
  <c r="M132" i="20" s="1"/>
  <c r="CH136" i="20"/>
  <c r="M136" i="20" s="1"/>
  <c r="K137" i="20"/>
  <c r="I137" i="20"/>
  <c r="I139" i="20"/>
  <c r="J139" i="20"/>
  <c r="K139" i="20"/>
  <c r="K150" i="20"/>
  <c r="I150" i="20"/>
  <c r="L150" i="20"/>
  <c r="P123" i="20"/>
  <c r="F123" i="20"/>
  <c r="CH127" i="20"/>
  <c r="M127" i="20" s="1"/>
  <c r="CH124" i="20"/>
  <c r="M124" i="20" s="1"/>
  <c r="BP108" i="20"/>
  <c r="CB184" i="9"/>
  <c r="BP110" i="20"/>
  <c r="CB294" i="9"/>
  <c r="BP113" i="20"/>
  <c r="CB204" i="9"/>
  <c r="BP115" i="20"/>
  <c r="CB146" i="9"/>
  <c r="BP116" i="20"/>
  <c r="CB78" i="9"/>
  <c r="BP118" i="20"/>
  <c r="BP112" i="20"/>
  <c r="CB106" i="9"/>
  <c r="BP120" i="20"/>
  <c r="CB267" i="9"/>
  <c r="G123" i="20"/>
  <c r="BP109" i="20"/>
  <c r="CB238" i="9"/>
  <c r="BP111" i="20"/>
  <c r="CB245" i="9"/>
  <c r="BP114" i="20"/>
  <c r="CB275" i="9"/>
  <c r="BP117" i="20"/>
  <c r="CB91" i="9"/>
  <c r="BP119" i="20"/>
  <c r="CB274" i="9"/>
  <c r="I261" i="6"/>
  <c r="Y192" i="9"/>
  <c r="Y237" i="9"/>
  <c r="Y181" i="9"/>
  <c r="Y59" i="9"/>
  <c r="Y172" i="9"/>
  <c r="Y260" i="9"/>
  <c r="I140" i="20"/>
  <c r="K152" i="20"/>
  <c r="L152" i="20"/>
  <c r="J152" i="20"/>
  <c r="I152" i="20"/>
  <c r="I156" i="20"/>
  <c r="J156" i="20"/>
  <c r="L156" i="20"/>
  <c r="K156" i="20"/>
  <c r="K147" i="20"/>
  <c r="J147" i="20"/>
  <c r="I147" i="20"/>
  <c r="L147" i="20"/>
  <c r="L146" i="20"/>
  <c r="K146" i="20"/>
  <c r="K145" i="20"/>
  <c r="I146" i="20"/>
  <c r="J146" i="20"/>
  <c r="I145" i="20"/>
  <c r="J145" i="20"/>
  <c r="L145" i="20"/>
  <c r="CH128" i="20"/>
  <c r="M128" i="20" s="1"/>
  <c r="J140" i="20"/>
  <c r="K140" i="20"/>
  <c r="M140" i="20"/>
  <c r="CH130" i="20"/>
  <c r="L130" i="20" s="1"/>
  <c r="G106" i="9"/>
  <c r="H106" i="9"/>
  <c r="F106" i="9"/>
  <c r="F294" i="9"/>
  <c r="G294" i="9"/>
  <c r="H294" i="9"/>
  <c r="F77" i="9"/>
  <c r="G77" i="9"/>
  <c r="H77" i="9"/>
  <c r="H81" i="9"/>
  <c r="G81" i="9"/>
  <c r="F81" i="9"/>
  <c r="I151" i="20"/>
  <c r="CH126" i="20"/>
  <c r="M126" i="20" s="1"/>
  <c r="L142" i="20"/>
  <c r="C91" i="18"/>
  <c r="M151" i="20"/>
  <c r="J151" i="20"/>
  <c r="L151" i="20"/>
  <c r="L138" i="20"/>
  <c r="I138" i="20"/>
  <c r="B122" i="20"/>
  <c r="K138" i="20"/>
  <c r="J138" i="20"/>
  <c r="CH125" i="20"/>
  <c r="M125" i="20" s="1"/>
  <c r="K142" i="20"/>
  <c r="J142" i="20"/>
  <c r="I142" i="20"/>
  <c r="C95" i="18"/>
  <c r="J149" i="20"/>
  <c r="I149" i="20"/>
  <c r="K149" i="20"/>
  <c r="L149" i="20"/>
  <c r="CH135" i="20"/>
  <c r="M135" i="20" s="1"/>
  <c r="C118" i="18"/>
  <c r="B121" i="20"/>
  <c r="O277" i="6"/>
  <c r="B275" i="9" s="1"/>
  <c r="CD275" i="9" s="1"/>
  <c r="O276" i="6"/>
  <c r="B274" i="9" s="1"/>
  <c r="CD274" i="9" s="1"/>
  <c r="O184" i="6"/>
  <c r="B184" i="9" s="1"/>
  <c r="CD184" i="9" s="1"/>
  <c r="O146" i="6"/>
  <c r="B146" i="9" s="1"/>
  <c r="CD146" i="9" s="1"/>
  <c r="O269" i="6"/>
  <c r="B267" i="9" s="1"/>
  <c r="CD267" i="9" s="1"/>
  <c r="J153" i="20"/>
  <c r="M153" i="20"/>
  <c r="L153" i="20"/>
  <c r="K153" i="20"/>
  <c r="I153" i="20"/>
  <c r="O245" i="6"/>
  <c r="B245" i="9" s="1"/>
  <c r="CD245" i="9" s="1"/>
  <c r="O77" i="6"/>
  <c r="B78" i="9" s="1"/>
  <c r="CD78" i="9" s="1"/>
  <c r="O238" i="6"/>
  <c r="B238" i="9" s="1"/>
  <c r="CD238" i="9" s="1"/>
  <c r="O204" i="6"/>
  <c r="B204" i="9" s="1"/>
  <c r="CD204" i="9" s="1"/>
  <c r="O90" i="6"/>
  <c r="B91" i="9" s="1"/>
  <c r="CD91" i="9" s="1"/>
  <c r="B110" i="20"/>
  <c r="M134" i="20"/>
  <c r="J134" i="20"/>
  <c r="K134" i="20"/>
  <c r="L134" i="20"/>
  <c r="I134" i="20"/>
  <c r="B112" i="20"/>
  <c r="M129" i="20"/>
  <c r="I129" i="20"/>
  <c r="J129" i="20"/>
  <c r="K129" i="20"/>
  <c r="L129" i="20"/>
  <c r="C3" i="18"/>
  <c r="W3" i="1"/>
  <c r="BA107" i="20"/>
  <c r="BS110" i="20"/>
  <c r="BS111" i="20"/>
  <c r="BS112" i="20"/>
  <c r="BO107" i="20"/>
  <c r="BH107" i="20"/>
  <c r="AM107" i="20"/>
  <c r="BS113" i="20"/>
  <c r="BS114" i="20"/>
  <c r="BS115" i="20"/>
  <c r="BS116" i="20"/>
  <c r="BS117" i="20"/>
  <c r="BS118" i="20"/>
  <c r="BS119" i="20"/>
  <c r="BS120" i="20"/>
  <c r="AT107" i="20"/>
  <c r="BR107" i="20"/>
  <c r="BS108" i="20"/>
  <c r="BS109" i="20"/>
  <c r="BR5" i="2"/>
  <c r="J245" i="6"/>
  <c r="J106" i="6"/>
  <c r="J146" i="6"/>
  <c r="J77" i="6"/>
  <c r="J276" i="6"/>
  <c r="J269" i="6"/>
  <c r="J184" i="6"/>
  <c r="J204" i="6"/>
  <c r="J90" i="6"/>
  <c r="J238" i="6"/>
  <c r="BV5" i="2"/>
  <c r="J296" i="6" s="1"/>
  <c r="J277" i="6"/>
  <c r="J58" i="6"/>
  <c r="BU5" i="2"/>
  <c r="CG5" i="2" s="1"/>
  <c r="BS5" i="2"/>
  <c r="CE5" i="2" s="1"/>
  <c r="BT5" i="2"/>
  <c r="CF5" i="2" s="1"/>
  <c r="BQ5" i="2"/>
  <c r="CC5" i="2" s="1"/>
  <c r="Q180" i="11"/>
  <c r="Q238" i="11"/>
  <c r="S238" i="11"/>
  <c r="BK261" i="9"/>
  <c r="Q261" i="11"/>
  <c r="Q191" i="11"/>
  <c r="Q57" i="11"/>
  <c r="S261" i="11"/>
  <c r="BJ260" i="9"/>
  <c r="AF260" i="9"/>
  <c r="BH260" i="9"/>
  <c r="BA260" i="9"/>
  <c r="AT260" i="9"/>
  <c r="AM260" i="9"/>
  <c r="Q170" i="11"/>
  <c r="S170" i="11"/>
  <c r="BH172" i="9"/>
  <c r="BA172" i="9"/>
  <c r="AF172" i="9"/>
  <c r="BJ172" i="9"/>
  <c r="AT172" i="9"/>
  <c r="AM172" i="9"/>
  <c r="S57" i="11"/>
  <c r="H57" i="11"/>
  <c r="BJ59" i="9"/>
  <c r="AF59" i="9"/>
  <c r="BH59" i="9"/>
  <c r="BA59" i="9"/>
  <c r="AT59" i="9"/>
  <c r="AM59" i="9"/>
  <c r="S180" i="11"/>
  <c r="AF181" i="9"/>
  <c r="BJ181" i="9"/>
  <c r="BH181" i="9"/>
  <c r="BA181" i="9"/>
  <c r="AT181" i="9"/>
  <c r="AM181" i="9"/>
  <c r="AF237" i="9"/>
  <c r="BA237" i="9"/>
  <c r="H238" i="11"/>
  <c r="BJ237" i="9"/>
  <c r="BH237" i="9"/>
  <c r="AT237" i="9"/>
  <c r="AM237" i="9"/>
  <c r="S191" i="11"/>
  <c r="AF192" i="9"/>
  <c r="BJ192" i="9"/>
  <c r="BH192" i="9"/>
  <c r="BA192" i="9"/>
  <c r="AT192" i="9"/>
  <c r="AM192" i="9"/>
  <c r="H65" i="11"/>
  <c r="P65" i="11"/>
  <c r="E67" i="9"/>
  <c r="M67" i="9"/>
  <c r="P112" i="11"/>
  <c r="E113" i="9"/>
  <c r="M113" i="9"/>
  <c r="H15" i="11"/>
  <c r="P15" i="11"/>
  <c r="E15" i="9"/>
  <c r="M15" i="9"/>
  <c r="H71" i="11"/>
  <c r="P71" i="11"/>
  <c r="E73" i="9"/>
  <c r="M73" i="9"/>
  <c r="R21" i="1"/>
  <c r="Y21" i="1"/>
  <c r="AE21" i="1"/>
  <c r="H97" i="11"/>
  <c r="P97" i="11"/>
  <c r="E99" i="9"/>
  <c r="M99" i="9"/>
  <c r="P12" i="11"/>
  <c r="E12" i="9"/>
  <c r="M12" i="9"/>
  <c r="H146" i="11"/>
  <c r="P146" i="11"/>
  <c r="E148" i="9"/>
  <c r="M148" i="9"/>
  <c r="H154" i="11"/>
  <c r="P154" i="11"/>
  <c r="E156" i="9"/>
  <c r="M156" i="9"/>
  <c r="H252" i="11"/>
  <c r="P252" i="11"/>
  <c r="E251" i="9"/>
  <c r="M251" i="9"/>
  <c r="H44" i="11"/>
  <c r="P44" i="11"/>
  <c r="E45" i="9"/>
  <c r="M45" i="9"/>
  <c r="H100" i="11"/>
  <c r="P100" i="11"/>
  <c r="E102" i="9"/>
  <c r="M102" i="9"/>
  <c r="H157" i="11"/>
  <c r="P157" i="11"/>
  <c r="E159" i="9"/>
  <c r="M159" i="9"/>
  <c r="BI261" i="9" l="1"/>
  <c r="BQ107" i="20"/>
  <c r="BI59" i="9"/>
  <c r="BQ103" i="20"/>
  <c r="CK112" i="20"/>
  <c r="H112" i="20"/>
  <c r="CK121" i="20"/>
  <c r="H121" i="20"/>
  <c r="CK110" i="20"/>
  <c r="H110" i="20"/>
  <c r="CK122" i="20"/>
  <c r="H122" i="20"/>
  <c r="J131" i="20"/>
  <c r="M131" i="20"/>
  <c r="K131" i="20"/>
  <c r="L131" i="20"/>
  <c r="K124" i="20"/>
  <c r="I132" i="20"/>
  <c r="I124" i="20"/>
  <c r="K132" i="20"/>
  <c r="L132" i="20"/>
  <c r="J132" i="20"/>
  <c r="AF100" i="20"/>
  <c r="AF104" i="20"/>
  <c r="J124" i="20"/>
  <c r="L124" i="20"/>
  <c r="L127" i="20"/>
  <c r="K127" i="20"/>
  <c r="J127" i="20"/>
  <c r="I127" i="20"/>
  <c r="K136" i="20"/>
  <c r="I136" i="20"/>
  <c r="L136" i="20"/>
  <c r="J136" i="20"/>
  <c r="CH123" i="20"/>
  <c r="J123" i="20" s="1"/>
  <c r="AF103" i="20"/>
  <c r="P122" i="20"/>
  <c r="F122" i="20"/>
  <c r="F112" i="20"/>
  <c r="P112" i="20"/>
  <c r="P121" i="20"/>
  <c r="F121" i="20"/>
  <c r="P110" i="20"/>
  <c r="F110" i="20"/>
  <c r="AF101" i="20"/>
  <c r="G112" i="20"/>
  <c r="G121" i="20"/>
  <c r="BP103" i="20"/>
  <c r="CB59" i="9"/>
  <c r="G110" i="20"/>
  <c r="BP107" i="20"/>
  <c r="CB261" i="9"/>
  <c r="G122" i="20"/>
  <c r="I260" i="6"/>
  <c r="I237" i="6"/>
  <c r="I172" i="6"/>
  <c r="I192" i="6"/>
  <c r="I181" i="6"/>
  <c r="I58" i="6"/>
  <c r="AF105" i="20"/>
  <c r="AF102" i="20"/>
  <c r="AF106" i="20"/>
  <c r="Y159" i="9"/>
  <c r="Y45" i="9"/>
  <c r="Y156" i="9"/>
  <c r="Y73" i="9"/>
  <c r="Y15" i="9"/>
  <c r="Y113" i="9"/>
  <c r="Y102" i="9"/>
  <c r="Y251" i="9"/>
  <c r="Y148" i="9"/>
  <c r="Y12" i="9"/>
  <c r="Y99" i="9"/>
  <c r="Y67" i="9"/>
  <c r="I128" i="20"/>
  <c r="K128" i="20"/>
  <c r="J128" i="20"/>
  <c r="L128" i="20"/>
  <c r="J130" i="20"/>
  <c r="I130" i="20"/>
  <c r="M130" i="20"/>
  <c r="K130" i="20"/>
  <c r="H91" i="9"/>
  <c r="F91" i="9"/>
  <c r="G91" i="9"/>
  <c r="H204" i="9"/>
  <c r="F204" i="9"/>
  <c r="G204" i="9"/>
  <c r="F238" i="9"/>
  <c r="H238" i="9"/>
  <c r="G238" i="9"/>
  <c r="G78" i="9"/>
  <c r="H78" i="9"/>
  <c r="F78" i="9"/>
  <c r="H245" i="9"/>
  <c r="G245" i="9"/>
  <c r="F245" i="9"/>
  <c r="G267" i="9"/>
  <c r="H267" i="9"/>
  <c r="F267" i="9"/>
  <c r="H146" i="9"/>
  <c r="G146" i="9"/>
  <c r="F146" i="9"/>
  <c r="H184" i="9"/>
  <c r="G184" i="9"/>
  <c r="F184" i="9"/>
  <c r="G274" i="9"/>
  <c r="H274" i="9"/>
  <c r="F274" i="9"/>
  <c r="H275" i="9"/>
  <c r="F275" i="9"/>
  <c r="G275" i="9"/>
  <c r="I126" i="20"/>
  <c r="I125" i="20"/>
  <c r="J126" i="20"/>
  <c r="K126" i="20"/>
  <c r="L126" i="20"/>
  <c r="J125" i="20"/>
  <c r="L125" i="20"/>
  <c r="K125" i="20"/>
  <c r="I135" i="20"/>
  <c r="B118" i="20"/>
  <c r="C92" i="18"/>
  <c r="L135" i="20"/>
  <c r="J135" i="20"/>
  <c r="K135" i="20"/>
  <c r="C210" i="18"/>
  <c r="B113" i="20"/>
  <c r="B119" i="20"/>
  <c r="C272" i="18"/>
  <c r="C154" i="18"/>
  <c r="B115" i="20"/>
  <c r="B116" i="20"/>
  <c r="B120" i="20"/>
  <c r="C239" i="18"/>
  <c r="C230" i="18"/>
  <c r="B111" i="20"/>
  <c r="B108" i="20"/>
  <c r="C190" i="18"/>
  <c r="B109" i="20"/>
  <c r="C265" i="18"/>
  <c r="B114" i="20"/>
  <c r="C274" i="18"/>
  <c r="C248" i="18"/>
  <c r="B117" i="20"/>
  <c r="C103" i="18"/>
  <c r="O261" i="6"/>
  <c r="B261" i="9" s="1"/>
  <c r="CD261" i="9" s="1"/>
  <c r="BH100" i="20"/>
  <c r="BR100" i="20"/>
  <c r="BR101" i="20"/>
  <c r="BH101" i="20"/>
  <c r="BH102" i="20"/>
  <c r="BA103" i="20"/>
  <c r="AM104" i="20"/>
  <c r="BH105" i="20"/>
  <c r="AM105" i="20"/>
  <c r="BH106" i="20"/>
  <c r="BO100" i="20"/>
  <c r="AM100" i="20"/>
  <c r="BO101" i="20"/>
  <c r="AM101" i="20"/>
  <c r="BO102" i="20"/>
  <c r="BO103" i="20"/>
  <c r="AM103" i="20"/>
  <c r="AT104" i="20"/>
  <c r="BH104" i="20"/>
  <c r="BO105" i="20"/>
  <c r="BR105" i="20"/>
  <c r="AT106" i="20"/>
  <c r="BO106" i="20"/>
  <c r="BR106" i="20"/>
  <c r="BS107" i="20"/>
  <c r="AT100" i="20"/>
  <c r="AT101" i="20"/>
  <c r="AT102" i="20"/>
  <c r="BR102" i="20"/>
  <c r="AT103" i="20"/>
  <c r="BH103" i="20"/>
  <c r="BA104" i="20"/>
  <c r="BO104" i="20"/>
  <c r="AT105" i="20"/>
  <c r="BA106" i="20"/>
  <c r="AM106" i="20"/>
  <c r="BA100" i="20"/>
  <c r="BA101" i="20"/>
  <c r="BA102" i="20"/>
  <c r="AM102" i="20"/>
  <c r="BR103" i="20"/>
  <c r="BR104" i="20"/>
  <c r="BA105" i="20"/>
  <c r="U3" i="1"/>
  <c r="CD5" i="2"/>
  <c r="CH5" i="2"/>
  <c r="J261" i="6"/>
  <c r="J11" i="6"/>
  <c r="BJ156" i="9"/>
  <c r="T21" i="1"/>
  <c r="AF251" i="9"/>
  <c r="AT99" i="9"/>
  <c r="BW5" i="2"/>
  <c r="BK260" i="9"/>
  <c r="BK172" i="9"/>
  <c r="BK59" i="9"/>
  <c r="BK181" i="9"/>
  <c r="BK237" i="9"/>
  <c r="BK192" i="9"/>
  <c r="Q65" i="11"/>
  <c r="S65" i="11"/>
  <c r="BH67" i="9"/>
  <c r="AF67" i="9"/>
  <c r="BJ67" i="9"/>
  <c r="BA67" i="9"/>
  <c r="AT67" i="9"/>
  <c r="AM67" i="9"/>
  <c r="S112" i="11"/>
  <c r="Q112" i="11"/>
  <c r="H112" i="11"/>
  <c r="BJ113" i="9"/>
  <c r="AF113" i="9"/>
  <c r="BH113" i="9"/>
  <c r="BA113" i="9"/>
  <c r="AT113" i="9"/>
  <c r="AM113" i="9"/>
  <c r="Q15" i="11"/>
  <c r="S15" i="11"/>
  <c r="AF15" i="9"/>
  <c r="BJ15" i="9"/>
  <c r="BH15" i="9"/>
  <c r="BA15" i="9"/>
  <c r="AT15" i="9"/>
  <c r="AM15" i="9"/>
  <c r="S12" i="11"/>
  <c r="Q71" i="11"/>
  <c r="S71" i="11"/>
  <c r="BA73" i="9"/>
  <c r="AM73" i="9"/>
  <c r="AF73" i="9"/>
  <c r="BJ73" i="9"/>
  <c r="BH73" i="9"/>
  <c r="AT73" i="9"/>
  <c r="Q97" i="11"/>
  <c r="S97" i="11"/>
  <c r="BA99" i="9"/>
  <c r="BH99" i="9"/>
  <c r="AM99" i="9"/>
  <c r="AF99" i="9"/>
  <c r="BJ99" i="9"/>
  <c r="Q12" i="11"/>
  <c r="H12" i="11"/>
  <c r="BA12" i="9"/>
  <c r="AF12" i="9"/>
  <c r="BJ12" i="9"/>
  <c r="BH12" i="9"/>
  <c r="AT12" i="9"/>
  <c r="AM12" i="9"/>
  <c r="Q146" i="11"/>
  <c r="S146" i="11"/>
  <c r="BH148" i="9"/>
  <c r="AF148" i="9"/>
  <c r="BJ148" i="9"/>
  <c r="BA148" i="9"/>
  <c r="AT148" i="9"/>
  <c r="AM148" i="9"/>
  <c r="Q154" i="11"/>
  <c r="S154" i="11"/>
  <c r="BH156" i="9"/>
  <c r="BA156" i="9"/>
  <c r="AT156" i="9"/>
  <c r="AM156" i="9"/>
  <c r="AF156" i="9"/>
  <c r="Q252" i="11"/>
  <c r="S252" i="11"/>
  <c r="BJ251" i="9"/>
  <c r="BH251" i="9"/>
  <c r="BA251" i="9"/>
  <c r="AT251" i="9"/>
  <c r="AM251" i="9"/>
  <c r="Q44" i="11"/>
  <c r="S44" i="11"/>
  <c r="AF45" i="9"/>
  <c r="BJ45" i="9"/>
  <c r="BH45" i="9"/>
  <c r="BA45" i="9"/>
  <c r="AT45" i="9"/>
  <c r="AM45" i="9"/>
  <c r="Q100" i="11"/>
  <c r="S100" i="11"/>
  <c r="AF102" i="9"/>
  <c r="BJ102" i="9"/>
  <c r="BH102" i="9"/>
  <c r="BA102" i="9"/>
  <c r="AT102" i="9"/>
  <c r="AM102" i="9"/>
  <c r="Q157" i="11"/>
  <c r="S157" i="11"/>
  <c r="BJ159" i="9"/>
  <c r="BH159" i="9"/>
  <c r="BA159" i="9"/>
  <c r="AF159" i="9"/>
  <c r="AT159" i="9"/>
  <c r="AM159" i="9"/>
  <c r="H176" i="11"/>
  <c r="P176" i="11"/>
  <c r="E178" i="9"/>
  <c r="M178" i="9"/>
  <c r="H314" i="11"/>
  <c r="P314" i="11"/>
  <c r="E313" i="9"/>
  <c r="M313" i="9"/>
  <c r="CZ24" i="2"/>
  <c r="CY24" i="2" s="1"/>
  <c r="X24" i="2" s="1"/>
  <c r="R25" i="1"/>
  <c r="Y25" i="1"/>
  <c r="AE25" i="1"/>
  <c r="H138" i="11"/>
  <c r="P138" i="11"/>
  <c r="E139" i="9"/>
  <c r="M139" i="9"/>
  <c r="H312" i="11"/>
  <c r="P312" i="11"/>
  <c r="E311" i="9"/>
  <c r="M311" i="9"/>
  <c r="CZ22" i="2"/>
  <c r="CY22" i="2" s="1"/>
  <c r="X22" i="2" s="1"/>
  <c r="R22" i="1"/>
  <c r="Y22" i="1"/>
  <c r="AE22" i="1"/>
  <c r="H130" i="11"/>
  <c r="P130" i="11"/>
  <c r="E131" i="9"/>
  <c r="M131" i="9"/>
  <c r="P321" i="11"/>
  <c r="E320" i="9"/>
  <c r="M320" i="9"/>
  <c r="BV31" i="2"/>
  <c r="CZ31" i="2"/>
  <c r="CY31" i="2" s="1"/>
  <c r="X31" i="2" s="1"/>
  <c r="R32" i="1"/>
  <c r="Y32" i="1"/>
  <c r="AE32" i="1"/>
  <c r="H188" i="11"/>
  <c r="P188" i="11"/>
  <c r="E189" i="9"/>
  <c r="M189" i="9"/>
  <c r="H196" i="11"/>
  <c r="P196" i="11"/>
  <c r="E197" i="9"/>
  <c r="M197" i="9"/>
  <c r="P272" i="11"/>
  <c r="E271" i="9"/>
  <c r="M271" i="9"/>
  <c r="P131" i="11"/>
  <c r="E132" i="9"/>
  <c r="M132" i="9"/>
  <c r="H37" i="11"/>
  <c r="P37" i="11"/>
  <c r="E37" i="9"/>
  <c r="M37" i="9"/>
  <c r="H14" i="11"/>
  <c r="P14" i="11"/>
  <c r="E14" i="9"/>
  <c r="M14" i="9"/>
  <c r="BI172" i="9" l="1"/>
  <c r="BQ104" i="20"/>
  <c r="BI260" i="9"/>
  <c r="BQ105" i="20"/>
  <c r="BQ106" i="20"/>
  <c r="BI12" i="9"/>
  <c r="BQ92" i="20"/>
  <c r="BI192" i="9"/>
  <c r="BQ100" i="20"/>
  <c r="BI237" i="9"/>
  <c r="BQ101" i="20"/>
  <c r="BI181" i="9"/>
  <c r="BQ102" i="20"/>
  <c r="CK114" i="20"/>
  <c r="H114" i="20"/>
  <c r="CK108" i="20"/>
  <c r="H108" i="20"/>
  <c r="CK115" i="20"/>
  <c r="H115" i="20"/>
  <c r="CK113" i="20"/>
  <c r="H113" i="20"/>
  <c r="CK118" i="20"/>
  <c r="H118" i="20"/>
  <c r="CK111" i="20"/>
  <c r="H111" i="20"/>
  <c r="CK117" i="20"/>
  <c r="H117" i="20"/>
  <c r="CK109" i="20"/>
  <c r="H109" i="20"/>
  <c r="CK120" i="20"/>
  <c r="H120" i="20"/>
  <c r="CK119" i="20"/>
  <c r="H119" i="20"/>
  <c r="CK116" i="20"/>
  <c r="H116" i="20"/>
  <c r="L123" i="20"/>
  <c r="K123" i="20"/>
  <c r="M123" i="20"/>
  <c r="I123" i="20"/>
  <c r="AF87" i="20"/>
  <c r="AF91" i="20"/>
  <c r="P114" i="20"/>
  <c r="F114" i="20"/>
  <c r="P108" i="20"/>
  <c r="F108" i="20"/>
  <c r="F115" i="20"/>
  <c r="P115" i="20"/>
  <c r="F113" i="20"/>
  <c r="P113" i="20"/>
  <c r="P118" i="20"/>
  <c r="F118" i="20"/>
  <c r="P116" i="20"/>
  <c r="F116" i="20"/>
  <c r="P111" i="20"/>
  <c r="F111" i="20"/>
  <c r="F117" i="20"/>
  <c r="P117" i="20"/>
  <c r="F109" i="20"/>
  <c r="P109" i="20"/>
  <c r="P120" i="20"/>
  <c r="F120" i="20"/>
  <c r="F119" i="20"/>
  <c r="P119" i="20"/>
  <c r="CH122" i="20"/>
  <c r="M122" i="20" s="1"/>
  <c r="BP100" i="20"/>
  <c r="CB192" i="9"/>
  <c r="G116" i="20"/>
  <c r="BP92" i="20"/>
  <c r="CB12" i="9"/>
  <c r="G114" i="20"/>
  <c r="G108" i="20"/>
  <c r="G115" i="20"/>
  <c r="G113" i="20"/>
  <c r="G118" i="20"/>
  <c r="BP101" i="20"/>
  <c r="CB237" i="9"/>
  <c r="BP105" i="20"/>
  <c r="CB260" i="9"/>
  <c r="BP104" i="20"/>
  <c r="CB172" i="9"/>
  <c r="BP106" i="20"/>
  <c r="G111" i="20"/>
  <c r="BP102" i="20"/>
  <c r="CB181" i="9"/>
  <c r="G117" i="20"/>
  <c r="G109" i="20"/>
  <c r="G120" i="20"/>
  <c r="G119" i="20"/>
  <c r="I251" i="6"/>
  <c r="I156" i="6"/>
  <c r="I159" i="6"/>
  <c r="I148" i="6"/>
  <c r="I113" i="6"/>
  <c r="I98" i="6"/>
  <c r="I72" i="6"/>
  <c r="I101" i="6"/>
  <c r="I66" i="6"/>
  <c r="I44" i="6"/>
  <c r="O44" i="6" s="1"/>
  <c r="B45" i="9" s="1"/>
  <c r="CD45" i="9" s="1"/>
  <c r="I14" i="6"/>
  <c r="O14" i="6" s="1"/>
  <c r="B15" i="9" s="1"/>
  <c r="CD15" i="9" s="1"/>
  <c r="I11" i="6"/>
  <c r="AF92" i="20"/>
  <c r="AF90" i="20"/>
  <c r="AF99" i="20"/>
  <c r="AF98" i="20"/>
  <c r="AF95" i="20"/>
  <c r="AF86" i="20"/>
  <c r="AF97" i="20"/>
  <c r="AF94" i="20"/>
  <c r="AF85" i="20"/>
  <c r="AF89" i="20"/>
  <c r="AF93" i="20"/>
  <c r="AF96" i="20"/>
  <c r="AF88" i="20"/>
  <c r="Y197" i="9"/>
  <c r="Y14" i="9"/>
  <c r="Y37" i="9"/>
  <c r="Y132" i="9"/>
  <c r="Y271" i="9"/>
  <c r="Y189" i="9"/>
  <c r="Y320" i="9"/>
  <c r="Y131" i="9"/>
  <c r="Y311" i="9"/>
  <c r="Y139" i="9"/>
  <c r="Y313" i="9"/>
  <c r="Y178" i="9"/>
  <c r="CH121" i="20"/>
  <c r="M121" i="20" s="1"/>
  <c r="F261" i="9"/>
  <c r="G261" i="9"/>
  <c r="H261" i="9"/>
  <c r="C260" i="18"/>
  <c r="B107" i="20"/>
  <c r="O192" i="6"/>
  <c r="B192" i="9" s="1"/>
  <c r="CD192" i="9" s="1"/>
  <c r="O181" i="6"/>
  <c r="B181" i="9" s="1"/>
  <c r="CD181" i="9" s="1"/>
  <c r="O260" i="6"/>
  <c r="B260" i="9" s="1"/>
  <c r="CD260" i="9" s="1"/>
  <c r="O172" i="6"/>
  <c r="B172" i="9" s="1"/>
  <c r="CD172" i="9" s="1"/>
  <c r="O237" i="6"/>
  <c r="B237" i="9" s="1"/>
  <c r="CD237" i="9" s="1"/>
  <c r="O58" i="6"/>
  <c r="B59" i="9" s="1"/>
  <c r="CD59" i="9" s="1"/>
  <c r="CH110" i="20"/>
  <c r="M110" i="20" s="1"/>
  <c r="CH112" i="20"/>
  <c r="AM85" i="20"/>
  <c r="BR85" i="20"/>
  <c r="BH86" i="20"/>
  <c r="BR86" i="20"/>
  <c r="BA87" i="20"/>
  <c r="BO88" i="20"/>
  <c r="AM89" i="20"/>
  <c r="BH90" i="20"/>
  <c r="BA91" i="20"/>
  <c r="AT92" i="20"/>
  <c r="BH93" i="20"/>
  <c r="AT94" i="20"/>
  <c r="AM94" i="20"/>
  <c r="BR95" i="20"/>
  <c r="AM96" i="20"/>
  <c r="AT97" i="20"/>
  <c r="BH98" i="20"/>
  <c r="AT99" i="20"/>
  <c r="BO99" i="20"/>
  <c r="AM88" i="20"/>
  <c r="AT85" i="20"/>
  <c r="BO86" i="20"/>
  <c r="AM86" i="20"/>
  <c r="BH87" i="20"/>
  <c r="BR87" i="20"/>
  <c r="AT88" i="20"/>
  <c r="AT89" i="20"/>
  <c r="BH89" i="20"/>
  <c r="BO90" i="20"/>
  <c r="BH91" i="20"/>
  <c r="BR91" i="20"/>
  <c r="BO92" i="20"/>
  <c r="AM93" i="20"/>
  <c r="BA94" i="20"/>
  <c r="AT95" i="20"/>
  <c r="BH95" i="20"/>
  <c r="BA96" i="20"/>
  <c r="AT96" i="20"/>
  <c r="BA97" i="20"/>
  <c r="BR97" i="20"/>
  <c r="BO98" i="20"/>
  <c r="BR98" i="20"/>
  <c r="BA99" i="20"/>
  <c r="BR99" i="20"/>
  <c r="BS100" i="20"/>
  <c r="BS104" i="20"/>
  <c r="BS105" i="20"/>
  <c r="BS106" i="20"/>
  <c r="BR90" i="20"/>
  <c r="BA85" i="20"/>
  <c r="BH85" i="20"/>
  <c r="AT86" i="20"/>
  <c r="BO87" i="20"/>
  <c r="AM87" i="20"/>
  <c r="BA88" i="20"/>
  <c r="BR88" i="20"/>
  <c r="BA89" i="20"/>
  <c r="AT90" i="20"/>
  <c r="AM91" i="20"/>
  <c r="BA92" i="20"/>
  <c r="BR92" i="20"/>
  <c r="AM92" i="20"/>
  <c r="AT93" i="20"/>
  <c r="BR94" i="20"/>
  <c r="BO94" i="20"/>
  <c r="BA95" i="20"/>
  <c r="BO96" i="20"/>
  <c r="BR96" i="20"/>
  <c r="BH96" i="20"/>
  <c r="BH97" i="20"/>
  <c r="AM97" i="20"/>
  <c r="AT98" i="20"/>
  <c r="BH99" i="20"/>
  <c r="AM99" i="20"/>
  <c r="BS101" i="20"/>
  <c r="BS102" i="20"/>
  <c r="BS103" i="20"/>
  <c r="BA93" i="20"/>
  <c r="BO85" i="20"/>
  <c r="BA86" i="20"/>
  <c r="AT87" i="20"/>
  <c r="BH88" i="20"/>
  <c r="BO89" i="20"/>
  <c r="BR89" i="20"/>
  <c r="AM90" i="20"/>
  <c r="BA90" i="20"/>
  <c r="AT91" i="20"/>
  <c r="BO91" i="20"/>
  <c r="BH92" i="20"/>
  <c r="BR93" i="20"/>
  <c r="BO93" i="20"/>
  <c r="BH94" i="20"/>
  <c r="BO95" i="20"/>
  <c r="AM95" i="20"/>
  <c r="BO97" i="20"/>
  <c r="BA98" i="20"/>
  <c r="AM98" i="20"/>
  <c r="J192" i="6"/>
  <c r="J237" i="6"/>
  <c r="J172" i="6"/>
  <c r="J260" i="6"/>
  <c r="J322" i="6"/>
  <c r="BR31" i="2"/>
  <c r="BU31" i="2"/>
  <c r="P22" i="2"/>
  <c r="I36" i="6"/>
  <c r="P31" i="2"/>
  <c r="AJ24" i="2"/>
  <c r="AF313" i="9" s="1"/>
  <c r="BX5" i="2"/>
  <c r="BK67" i="9"/>
  <c r="BK113" i="9"/>
  <c r="BK15" i="9"/>
  <c r="BK73" i="9"/>
  <c r="BK99" i="9"/>
  <c r="BK12" i="9"/>
  <c r="BK148" i="9"/>
  <c r="BK156" i="9"/>
  <c r="BK251" i="9"/>
  <c r="BK45" i="9"/>
  <c r="BK102" i="9"/>
  <c r="BK159" i="9"/>
  <c r="Q176" i="11"/>
  <c r="S176" i="11"/>
  <c r="BJ178" i="9"/>
  <c r="AF178" i="9"/>
  <c r="BH178" i="9"/>
  <c r="BA178" i="9"/>
  <c r="AT178" i="9"/>
  <c r="AM178" i="9"/>
  <c r="S131" i="11"/>
  <c r="S272" i="11"/>
  <c r="Q314" i="11"/>
  <c r="S314" i="11"/>
  <c r="CA24" i="2"/>
  <c r="BN24" i="2"/>
  <c r="BZ24" i="2" s="1"/>
  <c r="BE24" i="2"/>
  <c r="BA313" i="9" s="1"/>
  <c r="AC24" i="2"/>
  <c r="BJ313" i="9" s="1"/>
  <c r="BM24" i="2"/>
  <c r="BY24" i="2" s="1"/>
  <c r="BL24" i="2"/>
  <c r="BH313" i="9" s="1"/>
  <c r="AX24" i="2"/>
  <c r="AT313" i="9" s="1"/>
  <c r="AQ24" i="2"/>
  <c r="AM313" i="9" s="1"/>
  <c r="P24" i="2"/>
  <c r="BP24" i="2"/>
  <c r="CB24" i="2" s="1"/>
  <c r="Q138" i="11"/>
  <c r="S138" i="11"/>
  <c r="BJ139" i="9"/>
  <c r="AF139" i="9"/>
  <c r="BH139" i="9"/>
  <c r="BA139" i="9"/>
  <c r="AT139" i="9"/>
  <c r="AM139" i="9"/>
  <c r="Q130" i="11"/>
  <c r="Q312" i="11"/>
  <c r="S312" i="11"/>
  <c r="BP22" i="2"/>
  <c r="CB22" i="2" s="1"/>
  <c r="CA22" i="2"/>
  <c r="BN22" i="2"/>
  <c r="BZ22" i="2" s="1"/>
  <c r="AJ22" i="2"/>
  <c r="AF311" i="9" s="1"/>
  <c r="AC22" i="2"/>
  <c r="BJ311" i="9" s="1"/>
  <c r="BM22" i="2"/>
  <c r="BY22" i="2" s="1"/>
  <c r="BL22" i="2"/>
  <c r="BH311" i="9" s="1"/>
  <c r="BE22" i="2"/>
  <c r="BA311" i="9" s="1"/>
  <c r="AX22" i="2"/>
  <c r="AT311" i="9" s="1"/>
  <c r="AQ22" i="2"/>
  <c r="AM311" i="9" s="1"/>
  <c r="Q37" i="11"/>
  <c r="S321" i="11"/>
  <c r="Q14" i="11"/>
  <c r="Q188" i="11"/>
  <c r="S130" i="11"/>
  <c r="BH131" i="9"/>
  <c r="BA131" i="9"/>
  <c r="AF131" i="9"/>
  <c r="BJ131" i="9"/>
  <c r="AT131" i="9"/>
  <c r="AM131" i="9"/>
  <c r="Q321" i="11"/>
  <c r="H321" i="11"/>
  <c r="BL31" i="2"/>
  <c r="BH320" i="9" s="1"/>
  <c r="BE31" i="2"/>
  <c r="BA320" i="9" s="1"/>
  <c r="AJ31" i="2"/>
  <c r="AF320" i="9" s="1"/>
  <c r="AC31" i="2"/>
  <c r="BJ320" i="9" s="1"/>
  <c r="BP31" i="2"/>
  <c r="CB31" i="2" s="1"/>
  <c r="Z31" i="2"/>
  <c r="CA31" i="2"/>
  <c r="BN31" i="2"/>
  <c r="BZ31" i="2" s="1"/>
  <c r="BM31" i="2"/>
  <c r="BY31" i="2" s="1"/>
  <c r="AX31" i="2"/>
  <c r="AT320" i="9" s="1"/>
  <c r="AQ31" i="2"/>
  <c r="AM320" i="9" s="1"/>
  <c r="S188" i="11"/>
  <c r="BH189" i="9"/>
  <c r="BA189" i="9"/>
  <c r="AF189" i="9"/>
  <c r="BJ189" i="9"/>
  <c r="AT189" i="9"/>
  <c r="AM189" i="9"/>
  <c r="Q196" i="11"/>
  <c r="S196" i="11"/>
  <c r="BH197" i="9"/>
  <c r="AF197" i="9"/>
  <c r="BJ197" i="9"/>
  <c r="BA197" i="9"/>
  <c r="AT197" i="9"/>
  <c r="AM197" i="9"/>
  <c r="Q272" i="11"/>
  <c r="H272" i="11"/>
  <c r="BJ271" i="9"/>
  <c r="AF271" i="9"/>
  <c r="BH271" i="9"/>
  <c r="BA271" i="9"/>
  <c r="AT271" i="9"/>
  <c r="AM271" i="9"/>
  <c r="Q131" i="11"/>
  <c r="H131" i="11"/>
  <c r="BA132" i="9"/>
  <c r="BH132" i="9"/>
  <c r="AF132" i="9"/>
  <c r="BJ132" i="9"/>
  <c r="AT132" i="9"/>
  <c r="AM132" i="9"/>
  <c r="S37" i="11"/>
  <c r="AF37" i="9"/>
  <c r="BJ37" i="9"/>
  <c r="BH37" i="9"/>
  <c r="BA37" i="9"/>
  <c r="AT37" i="9"/>
  <c r="AM37" i="9"/>
  <c r="S14" i="11"/>
  <c r="AT14" i="9"/>
  <c r="AF14" i="9"/>
  <c r="BJ14" i="9"/>
  <c r="BH14" i="9"/>
  <c r="BA14" i="9"/>
  <c r="AM14" i="9"/>
  <c r="H45" i="11"/>
  <c r="P45" i="11"/>
  <c r="E46" i="9"/>
  <c r="M46" i="9"/>
  <c r="H6" i="11"/>
  <c r="P6" i="11"/>
  <c r="E6" i="9"/>
  <c r="M6" i="9"/>
  <c r="BI45" i="9" l="1"/>
  <c r="BQ87" i="20"/>
  <c r="BI251" i="9"/>
  <c r="BQ88" i="20"/>
  <c r="BI159" i="9"/>
  <c r="BQ85" i="20"/>
  <c r="BI102" i="9"/>
  <c r="BQ86" i="20"/>
  <c r="BI156" i="9"/>
  <c r="BQ90" i="20"/>
  <c r="BI148" i="9"/>
  <c r="BQ91" i="20"/>
  <c r="BI99" i="9"/>
  <c r="BQ93" i="20"/>
  <c r="BQ94" i="20"/>
  <c r="BI73" i="9"/>
  <c r="BQ96" i="20"/>
  <c r="BI15" i="9"/>
  <c r="BQ97" i="20"/>
  <c r="BI67" i="9"/>
  <c r="BQ99" i="20"/>
  <c r="BQ89" i="20"/>
  <c r="BQ95" i="20"/>
  <c r="BI113" i="9"/>
  <c r="BQ98" i="20"/>
  <c r="L122" i="20"/>
  <c r="CK107" i="20"/>
  <c r="H107" i="20"/>
  <c r="CH115" i="20"/>
  <c r="M115" i="20" s="1"/>
  <c r="CH118" i="20"/>
  <c r="M118" i="20" s="1"/>
  <c r="I122" i="20"/>
  <c r="P107" i="20"/>
  <c r="F107" i="20"/>
  <c r="J122" i="20"/>
  <c r="K122" i="20"/>
  <c r="CH119" i="20"/>
  <c r="M119" i="20" s="1"/>
  <c r="CH111" i="20"/>
  <c r="M111" i="20" s="1"/>
  <c r="CH113" i="20"/>
  <c r="M113" i="20" s="1"/>
  <c r="CH114" i="20"/>
  <c r="M114" i="20" s="1"/>
  <c r="BP87" i="20"/>
  <c r="CB45" i="9"/>
  <c r="BP88" i="20"/>
  <c r="CB251" i="9"/>
  <c r="BP91" i="20"/>
  <c r="CB148" i="9"/>
  <c r="BP93" i="20"/>
  <c r="CB99" i="9"/>
  <c r="BP99" i="20"/>
  <c r="CB67" i="9"/>
  <c r="BP85" i="20"/>
  <c r="CB159" i="9"/>
  <c r="BP86" i="20"/>
  <c r="CB102" i="9"/>
  <c r="BP90" i="20"/>
  <c r="CB156" i="9"/>
  <c r="BP94" i="20"/>
  <c r="BP96" i="20"/>
  <c r="CB73" i="9"/>
  <c r="BP97" i="20"/>
  <c r="CB15" i="9"/>
  <c r="BP95" i="20"/>
  <c r="BP98" i="20"/>
  <c r="CB113" i="9"/>
  <c r="BP89" i="20"/>
  <c r="G107" i="20"/>
  <c r="I273" i="6"/>
  <c r="I189" i="6"/>
  <c r="I197" i="6"/>
  <c r="I178" i="6"/>
  <c r="I139" i="6"/>
  <c r="O139" i="6" s="1"/>
  <c r="B139" i="9" s="1"/>
  <c r="CD139" i="9" s="1"/>
  <c r="I132" i="6"/>
  <c r="I131" i="6"/>
  <c r="O131" i="6" s="1"/>
  <c r="B131" i="9" s="1"/>
  <c r="CD131" i="9" s="1"/>
  <c r="T32" i="1"/>
  <c r="I322" i="6"/>
  <c r="O322" i="6" s="1"/>
  <c r="B320" i="9" s="1"/>
  <c r="CD320" i="9" s="1"/>
  <c r="T25" i="1"/>
  <c r="I315" i="6"/>
  <c r="O315" i="6" s="1"/>
  <c r="B313" i="9" s="1"/>
  <c r="CD313" i="9" s="1"/>
  <c r="T22" i="1"/>
  <c r="I313" i="6"/>
  <c r="O313" i="6" s="1"/>
  <c r="B311" i="9" s="1"/>
  <c r="CD311" i="9" s="1"/>
  <c r="I13" i="6"/>
  <c r="O13" i="6" s="1"/>
  <c r="B14" i="9" s="1"/>
  <c r="CD14" i="9" s="1"/>
  <c r="BQ75" i="20"/>
  <c r="CB132" i="9"/>
  <c r="AF81" i="20"/>
  <c r="AF75" i="20"/>
  <c r="AF80" i="20"/>
  <c r="AF77" i="20"/>
  <c r="AF79" i="20"/>
  <c r="AF78" i="20"/>
  <c r="AF74" i="20"/>
  <c r="AF84" i="20"/>
  <c r="AF83" i="20"/>
  <c r="AF76" i="20"/>
  <c r="AF73" i="20"/>
  <c r="AF82" i="20"/>
  <c r="Y6" i="9"/>
  <c r="Y46" i="9"/>
  <c r="Z22" i="2"/>
  <c r="BQ22" i="2" s="1"/>
  <c r="CC22" i="2" s="1"/>
  <c r="Y22" i="2"/>
  <c r="L121" i="20"/>
  <c r="K121" i="20"/>
  <c r="I121" i="20"/>
  <c r="J121" i="20"/>
  <c r="F15" i="9"/>
  <c r="G15" i="9"/>
  <c r="H15" i="9"/>
  <c r="H45" i="9"/>
  <c r="G45" i="9"/>
  <c r="F45" i="9"/>
  <c r="G59" i="9"/>
  <c r="H59" i="9"/>
  <c r="F59" i="9"/>
  <c r="G237" i="9"/>
  <c r="H237" i="9"/>
  <c r="F237" i="9"/>
  <c r="H172" i="9"/>
  <c r="F172" i="9"/>
  <c r="G172" i="9"/>
  <c r="G260" i="9"/>
  <c r="H260" i="9"/>
  <c r="F260" i="9"/>
  <c r="G181" i="9"/>
  <c r="H181" i="9"/>
  <c r="F181" i="9"/>
  <c r="H192" i="9"/>
  <c r="G192" i="9"/>
  <c r="F192" i="9"/>
  <c r="CH120" i="20"/>
  <c r="M120" i="20" s="1"/>
  <c r="C15" i="18"/>
  <c r="C64" i="18"/>
  <c r="B102" i="20"/>
  <c r="CH108" i="20"/>
  <c r="M108" i="20" s="1"/>
  <c r="CH116" i="20"/>
  <c r="M116" i="20" s="1"/>
  <c r="CH109" i="20"/>
  <c r="M109" i="20" s="1"/>
  <c r="C197" i="18"/>
  <c r="B100" i="20"/>
  <c r="C187" i="18"/>
  <c r="B106" i="20"/>
  <c r="C222" i="18"/>
  <c r="B104" i="20"/>
  <c r="B101" i="20"/>
  <c r="C238" i="18"/>
  <c r="W21" i="1"/>
  <c r="C180" i="18"/>
  <c r="CH117" i="20"/>
  <c r="M117" i="20" s="1"/>
  <c r="C259" i="18"/>
  <c r="C57" i="18"/>
  <c r="B105" i="20"/>
  <c r="C75" i="18"/>
  <c r="I110" i="20"/>
  <c r="B103" i="20"/>
  <c r="O66" i="6"/>
  <c r="B67" i="9" s="1"/>
  <c r="CD67" i="9" s="1"/>
  <c r="O251" i="6"/>
  <c r="B251" i="9" s="1"/>
  <c r="CD251" i="9" s="1"/>
  <c r="O98" i="6"/>
  <c r="B99" i="9" s="1"/>
  <c r="CD99" i="9" s="1"/>
  <c r="O11" i="6"/>
  <c r="B12" i="9" s="1"/>
  <c r="CD12" i="9" s="1"/>
  <c r="O156" i="6"/>
  <c r="B156" i="9" s="1"/>
  <c r="CD156" i="9" s="1"/>
  <c r="O148" i="6"/>
  <c r="B148" i="9" s="1"/>
  <c r="CD148" i="9" s="1"/>
  <c r="O72" i="6"/>
  <c r="B73" i="9" s="1"/>
  <c r="CD73" i="9" s="1"/>
  <c r="O113" i="6"/>
  <c r="B113" i="9" s="1"/>
  <c r="CD113" i="9" s="1"/>
  <c r="O101" i="6"/>
  <c r="B102" i="9" s="1"/>
  <c r="CD102" i="9" s="1"/>
  <c r="O159" i="6"/>
  <c r="B159" i="9" s="1"/>
  <c r="CD159" i="9" s="1"/>
  <c r="K110" i="20"/>
  <c r="J110" i="20"/>
  <c r="L110" i="20"/>
  <c r="M112" i="20"/>
  <c r="K112" i="20"/>
  <c r="J112" i="20"/>
  <c r="I112" i="20"/>
  <c r="L112" i="20"/>
  <c r="B97" i="20"/>
  <c r="B89" i="20"/>
  <c r="B95" i="20"/>
  <c r="B87" i="20"/>
  <c r="C36" i="18"/>
  <c r="O36" i="6"/>
  <c r="B37" i="9" s="1"/>
  <c r="CD37" i="9" s="1"/>
  <c r="I114" i="20"/>
  <c r="AF71" i="20"/>
  <c r="L118" i="20"/>
  <c r="J118" i="20"/>
  <c r="L113" i="20"/>
  <c r="BA75" i="20"/>
  <c r="BH75" i="20"/>
  <c r="AM80" i="20"/>
  <c r="AM77" i="20"/>
  <c r="BO78" i="20"/>
  <c r="AT79" i="20"/>
  <c r="AM79" i="20"/>
  <c r="BO83" i="20"/>
  <c r="AT73" i="20"/>
  <c r="BA73" i="20"/>
  <c r="AT74" i="20"/>
  <c r="AT75" i="20"/>
  <c r="AM75" i="20"/>
  <c r="BA76" i="20"/>
  <c r="AM76" i="20"/>
  <c r="AT77" i="20"/>
  <c r="BH77" i="20"/>
  <c r="BO77" i="20"/>
  <c r="BA78" i="20"/>
  <c r="BR78" i="20"/>
  <c r="BA79" i="20"/>
  <c r="BH79" i="20"/>
  <c r="BH81" i="20"/>
  <c r="BR81" i="20"/>
  <c r="BO82" i="20"/>
  <c r="BR82" i="20"/>
  <c r="BH84" i="20"/>
  <c r="BS88" i="20"/>
  <c r="BS89" i="20"/>
  <c r="BS90" i="20"/>
  <c r="BS91" i="20"/>
  <c r="BS93" i="20"/>
  <c r="BS94" i="20"/>
  <c r="BS95" i="20"/>
  <c r="BH78" i="20"/>
  <c r="BO74" i="20"/>
  <c r="BH73" i="20"/>
  <c r="BR73" i="20"/>
  <c r="BA74" i="20"/>
  <c r="BR74" i="20"/>
  <c r="BO75" i="20"/>
  <c r="BH76" i="20"/>
  <c r="AM78" i="20"/>
  <c r="BO79" i="20"/>
  <c r="AT80" i="20"/>
  <c r="BR80" i="20"/>
  <c r="BO80" i="20"/>
  <c r="AT81" i="20"/>
  <c r="AM81" i="20"/>
  <c r="AT82" i="20"/>
  <c r="AT83" i="20"/>
  <c r="BR83" i="20"/>
  <c r="BO84" i="20"/>
  <c r="BR84" i="20"/>
  <c r="BS96" i="20"/>
  <c r="BS97" i="20"/>
  <c r="AM73" i="20"/>
  <c r="BH74" i="20"/>
  <c r="AM74" i="20"/>
  <c r="BR75" i="20"/>
  <c r="BO76" i="20"/>
  <c r="BR77" i="20"/>
  <c r="BA80" i="20"/>
  <c r="BO81" i="20"/>
  <c r="BA82" i="20"/>
  <c r="AM82" i="20"/>
  <c r="BA83" i="20"/>
  <c r="BH83" i="20"/>
  <c r="AT84" i="20"/>
  <c r="BS98" i="20"/>
  <c r="BS99" i="20"/>
  <c r="AM83" i="20"/>
  <c r="BO73" i="20"/>
  <c r="BR76" i="20"/>
  <c r="BA77" i="20"/>
  <c r="BR79" i="20"/>
  <c r="BA81" i="20"/>
  <c r="AT76" i="20"/>
  <c r="AT78" i="20"/>
  <c r="BH80" i="20"/>
  <c r="BH82" i="20"/>
  <c r="BA84" i="20"/>
  <c r="AM84" i="20"/>
  <c r="BS85" i="20"/>
  <c r="BS86" i="20"/>
  <c r="BS87" i="20"/>
  <c r="BS92" i="20"/>
  <c r="J181" i="6"/>
  <c r="J66" i="6"/>
  <c r="J251" i="6"/>
  <c r="J72" i="6"/>
  <c r="J156" i="6"/>
  <c r="J148" i="6"/>
  <c r="J14" i="6"/>
  <c r="J159" i="6"/>
  <c r="J101" i="6"/>
  <c r="J44" i="6"/>
  <c r="J98" i="6"/>
  <c r="J113" i="6"/>
  <c r="AT46" i="9"/>
  <c r="AT6" i="9"/>
  <c r="BK178" i="9"/>
  <c r="AA24" i="2"/>
  <c r="Y24" i="2"/>
  <c r="Z24" i="2"/>
  <c r="AB24" i="2"/>
  <c r="BK313" i="9" s="1"/>
  <c r="BK139" i="9"/>
  <c r="AA22" i="2"/>
  <c r="BQ81" i="20" s="1"/>
  <c r="AB22" i="2"/>
  <c r="Q6" i="11"/>
  <c r="BK131" i="9"/>
  <c r="BQ31" i="2"/>
  <c r="CC31" i="2" s="1"/>
  <c r="Y31" i="2"/>
  <c r="CB320" i="9" s="1"/>
  <c r="AA31" i="2"/>
  <c r="AB31" i="2"/>
  <c r="BK320" i="9" s="1"/>
  <c r="BK189" i="9"/>
  <c r="BK271" i="9"/>
  <c r="BK37" i="9"/>
  <c r="BK14" i="9"/>
  <c r="Q45" i="11"/>
  <c r="S45" i="11"/>
  <c r="BA46" i="9"/>
  <c r="AF46" i="9"/>
  <c r="AM46" i="9"/>
  <c r="BJ46" i="9"/>
  <c r="BH46" i="9"/>
  <c r="S6" i="11"/>
  <c r="AM6" i="9"/>
  <c r="BJ6" i="9"/>
  <c r="AF6" i="9"/>
  <c r="BH6" i="9"/>
  <c r="BA6" i="9"/>
  <c r="H171" i="11"/>
  <c r="P171" i="11"/>
  <c r="E173" i="9"/>
  <c r="M173" i="9"/>
  <c r="J115" i="20" l="1"/>
  <c r="L115" i="20"/>
  <c r="BI178" i="9"/>
  <c r="BQ84" i="20"/>
  <c r="BI14" i="9"/>
  <c r="BQ73" i="20"/>
  <c r="BI37" i="9"/>
  <c r="BQ74" i="20"/>
  <c r="BI320" i="9"/>
  <c r="BQ79" i="20"/>
  <c r="BI271" i="9"/>
  <c r="BQ76" i="20"/>
  <c r="BI131" i="9"/>
  <c r="BQ80" i="20"/>
  <c r="BI313" i="9"/>
  <c r="BQ83" i="20"/>
  <c r="BI189" i="9"/>
  <c r="BQ78" i="20"/>
  <c r="BI139" i="9"/>
  <c r="BQ82" i="20"/>
  <c r="BQ77" i="20"/>
  <c r="CK87" i="20"/>
  <c r="H87" i="20"/>
  <c r="CK103" i="20"/>
  <c r="H103" i="20"/>
  <c r="CK100" i="20"/>
  <c r="H100" i="20"/>
  <c r="CK95" i="20"/>
  <c r="H95" i="20"/>
  <c r="CK101" i="20"/>
  <c r="H101" i="20"/>
  <c r="CK106" i="20"/>
  <c r="H106" i="20"/>
  <c r="CK89" i="20"/>
  <c r="H89" i="20"/>
  <c r="CK104" i="20"/>
  <c r="H104" i="20"/>
  <c r="CK102" i="20"/>
  <c r="H102" i="20"/>
  <c r="CK97" i="20"/>
  <c r="H97" i="20"/>
  <c r="CK105" i="20"/>
  <c r="H105" i="20"/>
  <c r="I115" i="20"/>
  <c r="K115" i="20"/>
  <c r="AF72" i="20"/>
  <c r="I118" i="20"/>
  <c r="K118" i="20"/>
  <c r="J114" i="20"/>
  <c r="K114" i="20"/>
  <c r="L114" i="20"/>
  <c r="I119" i="20"/>
  <c r="K119" i="20"/>
  <c r="J119" i="20"/>
  <c r="L119" i="20"/>
  <c r="I111" i="20"/>
  <c r="K111" i="20"/>
  <c r="J111" i="20"/>
  <c r="L111" i="20"/>
  <c r="K113" i="20"/>
  <c r="P87" i="20"/>
  <c r="F87" i="20"/>
  <c r="F103" i="20"/>
  <c r="P103" i="20"/>
  <c r="F100" i="20"/>
  <c r="P100" i="20"/>
  <c r="P95" i="20"/>
  <c r="F95" i="20"/>
  <c r="P101" i="20"/>
  <c r="F101" i="20"/>
  <c r="I113" i="20"/>
  <c r="P89" i="20"/>
  <c r="F89" i="20"/>
  <c r="P104" i="20"/>
  <c r="F104" i="20"/>
  <c r="P102" i="20"/>
  <c r="F102" i="20"/>
  <c r="P106" i="20"/>
  <c r="F106" i="20"/>
  <c r="J113" i="20"/>
  <c r="P97" i="20"/>
  <c r="F97" i="20"/>
  <c r="P105" i="20"/>
  <c r="F105" i="20"/>
  <c r="G101" i="20"/>
  <c r="G106" i="20"/>
  <c r="BP77" i="20"/>
  <c r="CB197" i="9"/>
  <c r="BP76" i="20"/>
  <c r="CB271" i="9"/>
  <c r="BP80" i="20"/>
  <c r="CB131" i="9"/>
  <c r="BP83" i="20"/>
  <c r="CB313" i="9"/>
  <c r="G89" i="20"/>
  <c r="G104" i="20"/>
  <c r="G102" i="20"/>
  <c r="G95" i="20"/>
  <c r="BP78" i="20"/>
  <c r="CB189" i="9"/>
  <c r="BP82" i="20"/>
  <c r="CB139" i="9"/>
  <c r="BP84" i="20"/>
  <c r="CB178" i="9"/>
  <c r="G97" i="20"/>
  <c r="G105" i="20"/>
  <c r="BP73" i="20"/>
  <c r="CB14" i="9"/>
  <c r="BP74" i="20"/>
  <c r="CB37" i="9"/>
  <c r="G87" i="20"/>
  <c r="G103" i="20"/>
  <c r="G100" i="20"/>
  <c r="BP81" i="20"/>
  <c r="CB311" i="9"/>
  <c r="I45" i="6"/>
  <c r="O45" i="6" s="1"/>
  <c r="B46" i="9" s="1"/>
  <c r="CD46" i="9" s="1"/>
  <c r="I5" i="6"/>
  <c r="O5" i="6" s="1"/>
  <c r="B6" i="9" s="1"/>
  <c r="CD6" i="9" s="1"/>
  <c r="BK132" i="9"/>
  <c r="J132" i="6"/>
  <c r="BP75" i="20"/>
  <c r="BI132" i="9"/>
  <c r="BK197" i="9"/>
  <c r="J197" i="6"/>
  <c r="BI197" i="9"/>
  <c r="Y173" i="9"/>
  <c r="B92" i="20"/>
  <c r="BK311" i="9"/>
  <c r="BV22" i="2"/>
  <c r="J313" i="6" s="1"/>
  <c r="BI311" i="9"/>
  <c r="BR22" i="2"/>
  <c r="CD22" i="2" s="1"/>
  <c r="BU22" i="2"/>
  <c r="CG22" i="2" s="1"/>
  <c r="K120" i="20"/>
  <c r="J120" i="20"/>
  <c r="H311" i="9"/>
  <c r="G311" i="9"/>
  <c r="F311" i="9"/>
  <c r="G131" i="9"/>
  <c r="H131" i="9"/>
  <c r="F131" i="9"/>
  <c r="F37" i="9"/>
  <c r="G37" i="9"/>
  <c r="H37" i="9"/>
  <c r="G320" i="9"/>
  <c r="H320" i="9"/>
  <c r="F320" i="9"/>
  <c r="G14" i="9"/>
  <c r="H14" i="9"/>
  <c r="F14" i="9"/>
  <c r="G313" i="9"/>
  <c r="H313" i="9"/>
  <c r="F313" i="9"/>
  <c r="G139" i="9"/>
  <c r="H139" i="9"/>
  <c r="F139" i="9"/>
  <c r="F159" i="9"/>
  <c r="G159" i="9"/>
  <c r="H159" i="9"/>
  <c r="H102" i="9"/>
  <c r="G102" i="9"/>
  <c r="F102" i="9"/>
  <c r="H113" i="9"/>
  <c r="F113" i="9"/>
  <c r="G113" i="9"/>
  <c r="H73" i="9"/>
  <c r="F73" i="9"/>
  <c r="G73" i="9"/>
  <c r="G148" i="9"/>
  <c r="H148" i="9"/>
  <c r="F148" i="9"/>
  <c r="F156" i="9"/>
  <c r="G156" i="9"/>
  <c r="H156" i="9"/>
  <c r="G12" i="9"/>
  <c r="H12" i="9"/>
  <c r="F12" i="9"/>
  <c r="G99" i="9"/>
  <c r="H99" i="9"/>
  <c r="F99" i="9"/>
  <c r="F251" i="9"/>
  <c r="G251" i="9"/>
  <c r="H251" i="9"/>
  <c r="F67" i="9"/>
  <c r="G67" i="9"/>
  <c r="H67" i="9"/>
  <c r="I120" i="20"/>
  <c r="L120" i="20"/>
  <c r="I116" i="20"/>
  <c r="K108" i="20"/>
  <c r="L108" i="20"/>
  <c r="L109" i="20"/>
  <c r="I108" i="20"/>
  <c r="J108" i="20"/>
  <c r="B79" i="20"/>
  <c r="K109" i="20"/>
  <c r="I109" i="20"/>
  <c r="J109" i="20"/>
  <c r="J116" i="20"/>
  <c r="L116" i="20"/>
  <c r="K116" i="20"/>
  <c r="B96" i="20"/>
  <c r="C87" i="18"/>
  <c r="B98" i="20"/>
  <c r="C139" i="18"/>
  <c r="C16" i="18"/>
  <c r="I117" i="20"/>
  <c r="B94" i="20"/>
  <c r="W25" i="1"/>
  <c r="C109" i="18"/>
  <c r="C18" i="18"/>
  <c r="B85" i="20"/>
  <c r="C166" i="18"/>
  <c r="B93" i="20"/>
  <c r="C110" i="18"/>
  <c r="CH107" i="20"/>
  <c r="M107" i="20" s="1"/>
  <c r="K117" i="20"/>
  <c r="J117" i="20"/>
  <c r="W22" i="1"/>
  <c r="L117" i="20"/>
  <c r="B99" i="20"/>
  <c r="C125" i="18"/>
  <c r="C81" i="18"/>
  <c r="B91" i="20"/>
  <c r="C156" i="18"/>
  <c r="C35" i="18"/>
  <c r="C33" i="18"/>
  <c r="B90" i="20"/>
  <c r="B88" i="20"/>
  <c r="C113" i="18"/>
  <c r="C163" i="18"/>
  <c r="C252" i="18"/>
  <c r="B86" i="20"/>
  <c r="O273" i="6"/>
  <c r="B271" i="9" s="1"/>
  <c r="CD271" i="9" s="1"/>
  <c r="O178" i="6"/>
  <c r="B178" i="9" s="1"/>
  <c r="CD178" i="9" s="1"/>
  <c r="O197" i="6"/>
  <c r="B197" i="9" s="1"/>
  <c r="CD197" i="9" s="1"/>
  <c r="O189" i="6"/>
  <c r="B189" i="9" s="1"/>
  <c r="CD189" i="9" s="1"/>
  <c r="O132" i="6"/>
  <c r="B132" i="9" s="1"/>
  <c r="CD132" i="9" s="1"/>
  <c r="B74" i="20"/>
  <c r="B82" i="20"/>
  <c r="W32" i="1"/>
  <c r="B81" i="20"/>
  <c r="B73" i="20"/>
  <c r="B80" i="20"/>
  <c r="B83" i="20"/>
  <c r="C25" i="18"/>
  <c r="C54" i="18"/>
  <c r="C147" i="18"/>
  <c r="BS31" i="2"/>
  <c r="CE31" i="2" s="1"/>
  <c r="BP79" i="20"/>
  <c r="BS77" i="20"/>
  <c r="BH71" i="20"/>
  <c r="AT71" i="20"/>
  <c r="BO72" i="20"/>
  <c r="AM72" i="20"/>
  <c r="BS78" i="20"/>
  <c r="BS79" i="20"/>
  <c r="BA72" i="20"/>
  <c r="BO71" i="20"/>
  <c r="AM71" i="20"/>
  <c r="BR72" i="20"/>
  <c r="BH72" i="20"/>
  <c r="BS73" i="20"/>
  <c r="BS80" i="20"/>
  <c r="BR71" i="20"/>
  <c r="AT72" i="20"/>
  <c r="BS74" i="20"/>
  <c r="BS76" i="20"/>
  <c r="BS81" i="20"/>
  <c r="BS82" i="20"/>
  <c r="BS75" i="20"/>
  <c r="BS83" i="20"/>
  <c r="BS84" i="20"/>
  <c r="BA71" i="20"/>
  <c r="BR24" i="2"/>
  <c r="CD24" i="2" s="1"/>
  <c r="J13" i="6"/>
  <c r="J139" i="6"/>
  <c r="J36" i="6"/>
  <c r="J189" i="6"/>
  <c r="BV24" i="2"/>
  <c r="J315" i="6" s="1"/>
  <c r="J178" i="6"/>
  <c r="J273" i="6"/>
  <c r="J131" i="6"/>
  <c r="BU24" i="2"/>
  <c r="CG24" i="2" s="1"/>
  <c r="CG31" i="2"/>
  <c r="CH31" i="2"/>
  <c r="U21" i="1"/>
  <c r="BS24" i="2"/>
  <c r="CE24" i="2" s="1"/>
  <c r="BT24" i="2"/>
  <c r="CF24" i="2" s="1"/>
  <c r="BQ24" i="2"/>
  <c r="CC24" i="2" s="1"/>
  <c r="BT22" i="2"/>
  <c r="CF22" i="2" s="1"/>
  <c r="BS22" i="2"/>
  <c r="CE22" i="2" s="1"/>
  <c r="CD31" i="2"/>
  <c r="BT31" i="2"/>
  <c r="CF31" i="2" s="1"/>
  <c r="BK46" i="9"/>
  <c r="BK6" i="9"/>
  <c r="Q171" i="11"/>
  <c r="S171" i="11"/>
  <c r="BA173" i="9"/>
  <c r="AT173" i="9"/>
  <c r="AF173" i="9"/>
  <c r="AM173" i="9"/>
  <c r="BJ173" i="9"/>
  <c r="BH173" i="9"/>
  <c r="H22" i="11"/>
  <c r="P22" i="11"/>
  <c r="E22" i="9"/>
  <c r="M22" i="9"/>
  <c r="P113" i="11"/>
  <c r="E114" i="9"/>
  <c r="M114" i="9"/>
  <c r="P46" i="11"/>
  <c r="E47" i="9"/>
  <c r="M47" i="9"/>
  <c r="P304" i="11"/>
  <c r="E303" i="9"/>
  <c r="M303" i="9"/>
  <c r="CZ14" i="2"/>
  <c r="CY14" i="2" s="1"/>
  <c r="X14" i="2" s="1"/>
  <c r="R12" i="1"/>
  <c r="Y12" i="1"/>
  <c r="AE12" i="1"/>
  <c r="H87" i="11"/>
  <c r="P87" i="11"/>
  <c r="E89" i="9"/>
  <c r="M89" i="9"/>
  <c r="P274" i="11"/>
  <c r="E273" i="9"/>
  <c r="M273" i="9"/>
  <c r="H306" i="11"/>
  <c r="P306" i="11"/>
  <c r="E305" i="9"/>
  <c r="M305" i="9"/>
  <c r="CZ16" i="2"/>
  <c r="CY16" i="2" s="1"/>
  <c r="X16" i="2" s="1"/>
  <c r="R14" i="1"/>
  <c r="Y14" i="1"/>
  <c r="AE14" i="1"/>
  <c r="BI6" i="9" l="1"/>
  <c r="BQ71" i="20"/>
  <c r="BI46" i="9"/>
  <c r="BQ72" i="20"/>
  <c r="CK81" i="20"/>
  <c r="H81" i="20"/>
  <c r="CK98" i="20"/>
  <c r="H98" i="20"/>
  <c r="CK83" i="20"/>
  <c r="H83" i="20"/>
  <c r="CK86" i="20"/>
  <c r="H86" i="20"/>
  <c r="CK85" i="20"/>
  <c r="H85" i="20"/>
  <c r="CK80" i="20"/>
  <c r="H80" i="20"/>
  <c r="CK82" i="20"/>
  <c r="H82" i="20"/>
  <c r="CK88" i="20"/>
  <c r="H88" i="20"/>
  <c r="CK91" i="20"/>
  <c r="H91" i="20"/>
  <c r="CK96" i="20"/>
  <c r="H96" i="20"/>
  <c r="CK79" i="20"/>
  <c r="H79" i="20"/>
  <c r="CK92" i="20"/>
  <c r="H92" i="20"/>
  <c r="CK73" i="20"/>
  <c r="H73" i="20"/>
  <c r="CK74" i="20"/>
  <c r="H74" i="20"/>
  <c r="CK90" i="20"/>
  <c r="H90" i="20"/>
  <c r="CK99" i="20"/>
  <c r="H99" i="20"/>
  <c r="CK93" i="20"/>
  <c r="H93" i="20"/>
  <c r="CK94" i="20"/>
  <c r="H94" i="20"/>
  <c r="CH101" i="20"/>
  <c r="M101" i="20" s="1"/>
  <c r="CH97" i="20"/>
  <c r="M97" i="20" s="1"/>
  <c r="P73" i="20"/>
  <c r="F73" i="20"/>
  <c r="P90" i="20"/>
  <c r="F90" i="20"/>
  <c r="P91" i="20"/>
  <c r="F91" i="20"/>
  <c r="P96" i="20"/>
  <c r="F96" i="20"/>
  <c r="F79" i="20"/>
  <c r="P79" i="20"/>
  <c r="P81" i="20"/>
  <c r="F81" i="20"/>
  <c r="F99" i="20"/>
  <c r="P99" i="20"/>
  <c r="P93" i="20"/>
  <c r="F93" i="20"/>
  <c r="P94" i="20"/>
  <c r="F94" i="20"/>
  <c r="P92" i="20"/>
  <c r="F92" i="20"/>
  <c r="P74" i="20"/>
  <c r="F74" i="20"/>
  <c r="F83" i="20"/>
  <c r="P83" i="20"/>
  <c r="P86" i="20"/>
  <c r="F86" i="20"/>
  <c r="P98" i="20"/>
  <c r="F98" i="20"/>
  <c r="P80" i="20"/>
  <c r="F80" i="20"/>
  <c r="P82" i="20"/>
  <c r="F82" i="20"/>
  <c r="P88" i="20"/>
  <c r="F88" i="20"/>
  <c r="P85" i="20"/>
  <c r="F85" i="20"/>
  <c r="CH102" i="20"/>
  <c r="M102" i="20" s="1"/>
  <c r="G81" i="20"/>
  <c r="G74" i="20"/>
  <c r="G86" i="20"/>
  <c r="G98" i="20"/>
  <c r="BP72" i="20"/>
  <c r="CB46" i="9"/>
  <c r="G83" i="20"/>
  <c r="G88" i="20"/>
  <c r="G85" i="20"/>
  <c r="BP71" i="20"/>
  <c r="CB6" i="9"/>
  <c r="G80" i="20"/>
  <c r="G90" i="20"/>
  <c r="G91" i="20"/>
  <c r="G96" i="20"/>
  <c r="G79" i="20"/>
  <c r="G73" i="20"/>
  <c r="G82" i="20"/>
  <c r="G99" i="20"/>
  <c r="G93" i="20"/>
  <c r="G94" i="20"/>
  <c r="G92" i="20"/>
  <c r="I173" i="6"/>
  <c r="AF70" i="20"/>
  <c r="Y305" i="9"/>
  <c r="Y47" i="9"/>
  <c r="Y114" i="9"/>
  <c r="Y89" i="9"/>
  <c r="Y22" i="9"/>
  <c r="Y273" i="9"/>
  <c r="Y303" i="9"/>
  <c r="CH22" i="2"/>
  <c r="CH100" i="20"/>
  <c r="M100" i="20" s="1"/>
  <c r="H46" i="9"/>
  <c r="G46" i="9"/>
  <c r="F46" i="9"/>
  <c r="H6" i="9"/>
  <c r="F6" i="9"/>
  <c r="G6" i="9"/>
  <c r="H132" i="9"/>
  <c r="G132" i="9"/>
  <c r="F132" i="9"/>
  <c r="F189" i="9"/>
  <c r="H189" i="9"/>
  <c r="G189" i="9"/>
  <c r="G197" i="9"/>
  <c r="H197" i="9"/>
  <c r="F197" i="9"/>
  <c r="F178" i="9"/>
  <c r="H178" i="9"/>
  <c r="G178" i="9"/>
  <c r="H271" i="9"/>
  <c r="G271" i="9"/>
  <c r="F271" i="9"/>
  <c r="C140" i="18"/>
  <c r="CH105" i="20"/>
  <c r="M105" i="20" s="1"/>
  <c r="CH104" i="20"/>
  <c r="M104" i="20" s="1"/>
  <c r="CH106" i="20"/>
  <c r="M106" i="20" s="1"/>
  <c r="J107" i="20"/>
  <c r="I107" i="20"/>
  <c r="L107" i="20"/>
  <c r="K107" i="20"/>
  <c r="B78" i="20"/>
  <c r="C185" i="18"/>
  <c r="B84" i="20"/>
  <c r="B76" i="20"/>
  <c r="C269" i="18"/>
  <c r="C65" i="18"/>
  <c r="C27" i="18"/>
  <c r="C194" i="18"/>
  <c r="B75" i="20"/>
  <c r="C202" i="18"/>
  <c r="B77" i="20"/>
  <c r="CH103" i="20"/>
  <c r="CH87" i="20"/>
  <c r="CH89" i="20"/>
  <c r="B71" i="20"/>
  <c r="CH95" i="20"/>
  <c r="B72" i="20"/>
  <c r="L101" i="20"/>
  <c r="BA70" i="20"/>
  <c r="BR70" i="20"/>
  <c r="BH70" i="20"/>
  <c r="BS71" i="20"/>
  <c r="AT70" i="20"/>
  <c r="BS72" i="20"/>
  <c r="BO70" i="20"/>
  <c r="AM70" i="20"/>
  <c r="U25" i="1"/>
  <c r="J45" i="6"/>
  <c r="J5" i="6"/>
  <c r="J46" i="6"/>
  <c r="CH24" i="2"/>
  <c r="P14" i="2"/>
  <c r="P16" i="2"/>
  <c r="AF114" i="9"/>
  <c r="BW24" i="2"/>
  <c r="BX24" i="2" s="1"/>
  <c r="U22" i="1"/>
  <c r="BW22" i="2"/>
  <c r="U32" i="1"/>
  <c r="BW31" i="2"/>
  <c r="BX31" i="2" s="1"/>
  <c r="Q22" i="11"/>
  <c r="BK173" i="9"/>
  <c r="S113" i="11"/>
  <c r="S22" i="11"/>
  <c r="BH22" i="9"/>
  <c r="BA22" i="9"/>
  <c r="AF22" i="9"/>
  <c r="BJ22" i="9"/>
  <c r="AT22" i="9"/>
  <c r="AM22" i="9"/>
  <c r="Q113" i="11"/>
  <c r="H113" i="11"/>
  <c r="BA114" i="9"/>
  <c r="BJ114" i="9"/>
  <c r="BH114" i="9"/>
  <c r="AT114" i="9"/>
  <c r="AM114" i="9"/>
  <c r="S46" i="11"/>
  <c r="Q46" i="11"/>
  <c r="H46" i="11"/>
  <c r="AF47" i="9"/>
  <c r="BH47" i="9"/>
  <c r="BJ47" i="9"/>
  <c r="BA47" i="9"/>
  <c r="AT47" i="9"/>
  <c r="AM47" i="9"/>
  <c r="S304" i="11"/>
  <c r="Q304" i="11"/>
  <c r="H304" i="11"/>
  <c r="BM14" i="2"/>
  <c r="BY14" i="2" s="1"/>
  <c r="AJ14" i="2"/>
  <c r="AF303" i="9" s="1"/>
  <c r="AC14" i="2"/>
  <c r="BJ303" i="9" s="1"/>
  <c r="BP14" i="2"/>
  <c r="CB14" i="2" s="1"/>
  <c r="CA14" i="2"/>
  <c r="BN14" i="2"/>
  <c r="BZ14" i="2" s="1"/>
  <c r="BL14" i="2"/>
  <c r="BH303" i="9" s="1"/>
  <c r="BE14" i="2"/>
  <c r="BA303" i="9" s="1"/>
  <c r="AX14" i="2"/>
  <c r="AT303" i="9" s="1"/>
  <c r="AQ14" i="2"/>
  <c r="AM303" i="9" s="1"/>
  <c r="S274" i="11"/>
  <c r="Q87" i="11"/>
  <c r="S87" i="11"/>
  <c r="BH89" i="9"/>
  <c r="BJ89" i="9"/>
  <c r="AF89" i="9"/>
  <c r="BA89" i="9"/>
  <c r="AT89" i="9"/>
  <c r="AM89" i="9"/>
  <c r="Q306" i="11"/>
  <c r="Q274" i="11"/>
  <c r="H274" i="11"/>
  <c r="BA273" i="9"/>
  <c r="AF273" i="9"/>
  <c r="BJ273" i="9"/>
  <c r="BH273" i="9"/>
  <c r="AT273" i="9"/>
  <c r="AM273" i="9"/>
  <c r="S306" i="11"/>
  <c r="BN16" i="2"/>
  <c r="BZ16" i="2" s="1"/>
  <c r="BM16" i="2"/>
  <c r="BY16" i="2" s="1"/>
  <c r="AX16" i="2"/>
  <c r="AT305" i="9" s="1"/>
  <c r="BP16" i="2"/>
  <c r="CB16" i="2" s="1"/>
  <c r="AJ16" i="2"/>
  <c r="AF305" i="9" s="1"/>
  <c r="CA16" i="2"/>
  <c r="AC16" i="2"/>
  <c r="BJ305" i="9" s="1"/>
  <c r="BL16" i="2"/>
  <c r="BH305" i="9" s="1"/>
  <c r="BE16" i="2"/>
  <c r="BA305" i="9" s="1"/>
  <c r="AQ16" i="2"/>
  <c r="AM305" i="9" s="1"/>
  <c r="H30" i="11"/>
  <c r="P30" i="11"/>
  <c r="E30" i="9"/>
  <c r="M30" i="9"/>
  <c r="BI173" i="9" l="1"/>
  <c r="BQ70" i="20"/>
  <c r="BI47" i="9"/>
  <c r="BQ67" i="20"/>
  <c r="CK75" i="20"/>
  <c r="H75" i="20"/>
  <c r="CK71" i="20"/>
  <c r="H71" i="20"/>
  <c r="CK77" i="20"/>
  <c r="H77" i="20"/>
  <c r="CK76" i="20"/>
  <c r="H76" i="20"/>
  <c r="CK78" i="20"/>
  <c r="H78" i="20"/>
  <c r="CK72" i="20"/>
  <c r="H72" i="20"/>
  <c r="CK84" i="20"/>
  <c r="H84" i="20"/>
  <c r="J97" i="20"/>
  <c r="L97" i="20"/>
  <c r="K97" i="20"/>
  <c r="I97" i="20"/>
  <c r="K101" i="20"/>
  <c r="J101" i="20"/>
  <c r="I101" i="20"/>
  <c r="I102" i="20"/>
  <c r="AF68" i="20"/>
  <c r="AF65" i="20"/>
  <c r="CH92" i="20"/>
  <c r="J92" i="20" s="1"/>
  <c r="AF60" i="20"/>
  <c r="AF63" i="20"/>
  <c r="CH93" i="20"/>
  <c r="J93" i="20" s="1"/>
  <c r="CH91" i="20"/>
  <c r="M91" i="20" s="1"/>
  <c r="CH85" i="20"/>
  <c r="M85" i="20" s="1"/>
  <c r="P78" i="20"/>
  <c r="F78" i="20"/>
  <c r="P72" i="20"/>
  <c r="F72" i="20"/>
  <c r="P84" i="20"/>
  <c r="F84" i="20"/>
  <c r="P71" i="20"/>
  <c r="F71" i="20"/>
  <c r="P77" i="20"/>
  <c r="F77" i="20"/>
  <c r="P75" i="20"/>
  <c r="F75" i="20"/>
  <c r="P76" i="20"/>
  <c r="F76" i="20"/>
  <c r="K102" i="20"/>
  <c r="J102" i="20"/>
  <c r="L102" i="20"/>
  <c r="CH96" i="20"/>
  <c r="M96" i="20" s="1"/>
  <c r="AF67" i="20"/>
  <c r="G71" i="20"/>
  <c r="G77" i="20"/>
  <c r="G75" i="20"/>
  <c r="G76" i="20"/>
  <c r="G72" i="20"/>
  <c r="G84" i="20"/>
  <c r="G78" i="20"/>
  <c r="BP67" i="20"/>
  <c r="CB47" i="9"/>
  <c r="BP70" i="20"/>
  <c r="CB173" i="9"/>
  <c r="AF61" i="20"/>
  <c r="I275" i="6"/>
  <c r="O275" i="6" s="1"/>
  <c r="B273" i="9" s="1"/>
  <c r="CD273" i="9" s="1"/>
  <c r="I114" i="6"/>
  <c r="I46" i="6"/>
  <c r="O46" i="6" s="1"/>
  <c r="B47" i="9" s="1"/>
  <c r="CD47" i="9" s="1"/>
  <c r="I88" i="6"/>
  <c r="I21" i="6"/>
  <c r="O21" i="6" s="1"/>
  <c r="B22" i="9" s="1"/>
  <c r="CD22" i="9" s="1"/>
  <c r="T12" i="1"/>
  <c r="I305" i="6"/>
  <c r="O305" i="6" s="1"/>
  <c r="B303" i="9" s="1"/>
  <c r="CD303" i="9" s="1"/>
  <c r="T14" i="1"/>
  <c r="I307" i="6"/>
  <c r="O307" i="6" s="1"/>
  <c r="B305" i="9" s="1"/>
  <c r="CD305" i="9" s="1"/>
  <c r="AF62" i="20"/>
  <c r="AF64" i="20"/>
  <c r="AF69" i="20"/>
  <c r="AF66" i="20"/>
  <c r="Y30" i="9"/>
  <c r="BX22" i="2"/>
  <c r="CH74" i="20"/>
  <c r="I74" i="20" s="1"/>
  <c r="I100" i="20"/>
  <c r="J100" i="20"/>
  <c r="L100" i="20"/>
  <c r="K100" i="20"/>
  <c r="CH98" i="20"/>
  <c r="M98" i="20" s="1"/>
  <c r="I105" i="20"/>
  <c r="L105" i="20"/>
  <c r="K105" i="20"/>
  <c r="J105" i="20"/>
  <c r="CH79" i="20"/>
  <c r="M79" i="20" s="1"/>
  <c r="I104" i="20"/>
  <c r="CH99" i="20"/>
  <c r="M99" i="20" s="1"/>
  <c r="K106" i="20"/>
  <c r="J104" i="20"/>
  <c r="K104" i="20"/>
  <c r="L104" i="20"/>
  <c r="CH94" i="20"/>
  <c r="M94" i="20" s="1"/>
  <c r="CH86" i="20"/>
  <c r="L86" i="20" s="1"/>
  <c r="J106" i="20"/>
  <c r="L106" i="20"/>
  <c r="I106" i="20"/>
  <c r="CH88" i="20"/>
  <c r="M88" i="20" s="1"/>
  <c r="CH90" i="20"/>
  <c r="J90" i="20" s="1"/>
  <c r="L103" i="20"/>
  <c r="J103" i="20"/>
  <c r="K103" i="20"/>
  <c r="M103" i="20"/>
  <c r="I103" i="20"/>
  <c r="O173" i="6"/>
  <c r="B173" i="9" s="1"/>
  <c r="CD173" i="9" s="1"/>
  <c r="CH81" i="20"/>
  <c r="K81" i="20" s="1"/>
  <c r="CH83" i="20"/>
  <c r="M87" i="20"/>
  <c r="K87" i="20"/>
  <c r="J87" i="20"/>
  <c r="I87" i="20"/>
  <c r="L87" i="20"/>
  <c r="CH73" i="20"/>
  <c r="CH82" i="20"/>
  <c r="K82" i="20" s="1"/>
  <c r="M89" i="20"/>
  <c r="L89" i="20"/>
  <c r="K89" i="20"/>
  <c r="J89" i="20"/>
  <c r="I89" i="20"/>
  <c r="CH80" i="20"/>
  <c r="M95" i="20"/>
  <c r="L95" i="20"/>
  <c r="K95" i="20"/>
  <c r="I95" i="20"/>
  <c r="J95" i="20"/>
  <c r="AT61" i="20"/>
  <c r="AM61" i="20"/>
  <c r="BH60" i="20"/>
  <c r="AM60" i="20"/>
  <c r="BA61" i="20"/>
  <c r="BH61" i="20"/>
  <c r="BO62" i="20"/>
  <c r="AT64" i="20"/>
  <c r="BH65" i="20"/>
  <c r="AT66" i="20"/>
  <c r="BA67" i="20"/>
  <c r="AT68" i="20"/>
  <c r="BH68" i="20"/>
  <c r="BA69" i="20"/>
  <c r="BR69" i="20"/>
  <c r="BS70" i="20"/>
  <c r="AM68" i="20"/>
  <c r="BO60" i="20"/>
  <c r="AT62" i="20"/>
  <c r="AM62" i="20"/>
  <c r="AT63" i="20"/>
  <c r="BO63" i="20"/>
  <c r="BA64" i="20"/>
  <c r="BR64" i="20"/>
  <c r="BO65" i="20"/>
  <c r="BR65" i="20"/>
  <c r="BA66" i="20"/>
  <c r="BR66" i="20"/>
  <c r="BR67" i="20"/>
  <c r="AM67" i="20"/>
  <c r="BA68" i="20"/>
  <c r="AM69" i="20"/>
  <c r="BR60" i="20"/>
  <c r="BA60" i="20"/>
  <c r="BO61" i="20"/>
  <c r="BR61" i="20"/>
  <c r="BA62" i="20"/>
  <c r="BA63" i="20"/>
  <c r="AM63" i="20"/>
  <c r="BH64" i="20"/>
  <c r="AM64" i="20"/>
  <c r="AT65" i="20"/>
  <c r="AM65" i="20"/>
  <c r="BO66" i="20"/>
  <c r="AM66" i="20"/>
  <c r="AT67" i="20"/>
  <c r="BH67" i="20"/>
  <c r="BO67" i="20"/>
  <c r="BO68" i="20"/>
  <c r="BH69" i="20"/>
  <c r="BR62" i="20"/>
  <c r="AT60" i="20"/>
  <c r="BH62" i="20"/>
  <c r="BH63" i="20"/>
  <c r="BR63" i="20"/>
  <c r="BO64" i="20"/>
  <c r="BA65" i="20"/>
  <c r="BH66" i="20"/>
  <c r="BR68" i="20"/>
  <c r="AT69" i="20"/>
  <c r="BO69" i="20"/>
  <c r="J173" i="6"/>
  <c r="I29" i="6"/>
  <c r="BK22" i="9"/>
  <c r="BK114" i="9"/>
  <c r="BK47" i="9"/>
  <c r="Z14" i="2"/>
  <c r="Y14" i="2"/>
  <c r="AA14" i="2"/>
  <c r="AB14" i="2"/>
  <c r="BK303" i="9" s="1"/>
  <c r="BK89" i="9"/>
  <c r="BK273" i="9"/>
  <c r="Z16" i="2"/>
  <c r="AA16" i="2"/>
  <c r="Y16" i="2"/>
  <c r="AB16" i="2"/>
  <c r="BK305" i="9" s="1"/>
  <c r="Q30" i="11"/>
  <c r="S30" i="11"/>
  <c r="AT30" i="9"/>
  <c r="AF30" i="9"/>
  <c r="BH30" i="9"/>
  <c r="BJ30" i="9"/>
  <c r="BA30" i="9"/>
  <c r="AM30" i="9"/>
  <c r="CZ4" i="2"/>
  <c r="CZ10" i="2"/>
  <c r="M93" i="20" l="1"/>
  <c r="BI273" i="9"/>
  <c r="BQ61" i="20"/>
  <c r="BI305" i="9"/>
  <c r="BQ60" i="20"/>
  <c r="BI22" i="9"/>
  <c r="BQ69" i="20"/>
  <c r="BI114" i="9"/>
  <c r="BQ68" i="20"/>
  <c r="BQ66" i="20"/>
  <c r="BQ62" i="20"/>
  <c r="BI89" i="9"/>
  <c r="BQ63" i="20"/>
  <c r="BQ64" i="20"/>
  <c r="BI303" i="9"/>
  <c r="BQ65" i="20"/>
  <c r="L93" i="20"/>
  <c r="I92" i="20"/>
  <c r="M92" i="20"/>
  <c r="L92" i="20"/>
  <c r="K92" i="20"/>
  <c r="I93" i="20"/>
  <c r="K93" i="20"/>
  <c r="J91" i="20"/>
  <c r="K85" i="20"/>
  <c r="I85" i="20"/>
  <c r="I91" i="20"/>
  <c r="L91" i="20"/>
  <c r="K91" i="20"/>
  <c r="CH76" i="20"/>
  <c r="M76" i="20" s="1"/>
  <c r="I96" i="20"/>
  <c r="J85" i="20"/>
  <c r="L85" i="20"/>
  <c r="J96" i="20"/>
  <c r="K96" i="20"/>
  <c r="L96" i="20"/>
  <c r="CH72" i="20"/>
  <c r="L72" i="20" s="1"/>
  <c r="BP61" i="20"/>
  <c r="CB273" i="9"/>
  <c r="BP63" i="20"/>
  <c r="CB89" i="9"/>
  <c r="BP60" i="20"/>
  <c r="CB305" i="9"/>
  <c r="BP69" i="20"/>
  <c r="CB22" i="9"/>
  <c r="BP65" i="20"/>
  <c r="CB303" i="9"/>
  <c r="BP66" i="20"/>
  <c r="BP62" i="20"/>
  <c r="BP64" i="20"/>
  <c r="BP68" i="20"/>
  <c r="CB114" i="9"/>
  <c r="AF59" i="20"/>
  <c r="L74" i="20"/>
  <c r="J74" i="20"/>
  <c r="M74" i="20"/>
  <c r="K74" i="20"/>
  <c r="L98" i="20"/>
  <c r="J98" i="20"/>
  <c r="I98" i="20"/>
  <c r="K98" i="20"/>
  <c r="CH75" i="20"/>
  <c r="M75" i="20" s="1"/>
  <c r="CH77" i="20"/>
  <c r="K77" i="20" s="1"/>
  <c r="F303" i="9"/>
  <c r="G303" i="9"/>
  <c r="H303" i="9"/>
  <c r="F22" i="9"/>
  <c r="G22" i="9"/>
  <c r="H22" i="9"/>
  <c r="H273" i="9"/>
  <c r="G273" i="9"/>
  <c r="F273" i="9"/>
  <c r="G47" i="9"/>
  <c r="H47" i="9"/>
  <c r="F47" i="9"/>
  <c r="H305" i="9"/>
  <c r="G305" i="9"/>
  <c r="F305" i="9"/>
  <c r="G173" i="9"/>
  <c r="H173" i="9"/>
  <c r="F173" i="9"/>
  <c r="K99" i="20"/>
  <c r="J79" i="20"/>
  <c r="I79" i="20"/>
  <c r="K79" i="20"/>
  <c r="CH78" i="20"/>
  <c r="L78" i="20" s="1"/>
  <c r="L79" i="20"/>
  <c r="I99" i="20"/>
  <c r="J99" i="20"/>
  <c r="L99" i="20"/>
  <c r="I86" i="20"/>
  <c r="K86" i="20"/>
  <c r="J86" i="20"/>
  <c r="M86" i="20"/>
  <c r="K94" i="20"/>
  <c r="L94" i="20"/>
  <c r="B70" i="20"/>
  <c r="J94" i="20"/>
  <c r="I94" i="20"/>
  <c r="J88" i="20"/>
  <c r="M90" i="20"/>
  <c r="L90" i="20"/>
  <c r="K88" i="20"/>
  <c r="I88" i="20"/>
  <c r="L88" i="20"/>
  <c r="CH84" i="20"/>
  <c r="M84" i="20" s="1"/>
  <c r="C181" i="18"/>
  <c r="C37" i="18"/>
  <c r="K90" i="20"/>
  <c r="I90" i="20"/>
  <c r="W12" i="1"/>
  <c r="C8" i="18"/>
  <c r="C10" i="18"/>
  <c r="W14" i="1"/>
  <c r="B67" i="20"/>
  <c r="C271" i="18"/>
  <c r="O114" i="6"/>
  <c r="B114" i="9" s="1"/>
  <c r="CD114" i="9" s="1"/>
  <c r="O88" i="6"/>
  <c r="B89" i="9" s="1"/>
  <c r="CD89" i="9" s="1"/>
  <c r="J81" i="20"/>
  <c r="J82" i="20"/>
  <c r="L81" i="20"/>
  <c r="I82" i="20"/>
  <c r="M81" i="20"/>
  <c r="I81" i="20"/>
  <c r="M83" i="20"/>
  <c r="K83" i="20"/>
  <c r="L83" i="20"/>
  <c r="J83" i="20"/>
  <c r="I83" i="20"/>
  <c r="L82" i="20"/>
  <c r="M82" i="20"/>
  <c r="M73" i="20"/>
  <c r="K73" i="20"/>
  <c r="I73" i="20"/>
  <c r="L73" i="20"/>
  <c r="J73" i="20"/>
  <c r="M80" i="20"/>
  <c r="L80" i="20"/>
  <c r="K80" i="20"/>
  <c r="J80" i="20"/>
  <c r="I80" i="20"/>
  <c r="B69" i="20"/>
  <c r="B61" i="20"/>
  <c r="B65" i="20"/>
  <c r="C66" i="18"/>
  <c r="CH71" i="20"/>
  <c r="B62" i="20"/>
  <c r="B60" i="20"/>
  <c r="C42" i="18"/>
  <c r="O29" i="6"/>
  <c r="B30" i="9" s="1"/>
  <c r="CD30" i="9" s="1"/>
  <c r="L76" i="20"/>
  <c r="BR59" i="20"/>
  <c r="BS60" i="20"/>
  <c r="BS67" i="20"/>
  <c r="BA59" i="20"/>
  <c r="BS68" i="20"/>
  <c r="BS61" i="20"/>
  <c r="AT59" i="20"/>
  <c r="BO59" i="20"/>
  <c r="BS62" i="20"/>
  <c r="BS63" i="20"/>
  <c r="BS64" i="20"/>
  <c r="BS65" i="20"/>
  <c r="BS69" i="20"/>
  <c r="BH59" i="20"/>
  <c r="AM59" i="20"/>
  <c r="BS66" i="20"/>
  <c r="BR14" i="2"/>
  <c r="CD14" i="2" s="1"/>
  <c r="BR16" i="2"/>
  <c r="CD16" i="2" s="1"/>
  <c r="J275" i="6"/>
  <c r="J21" i="6"/>
  <c r="J88" i="6"/>
  <c r="BV14" i="2"/>
  <c r="J305" i="6" s="1"/>
  <c r="J114" i="6"/>
  <c r="BV16" i="2"/>
  <c r="J307" i="6" s="1"/>
  <c r="BU14" i="2"/>
  <c r="CG14" i="2" s="1"/>
  <c r="BU16" i="2"/>
  <c r="CG16" i="2" s="1"/>
  <c r="BS14" i="2"/>
  <c r="CE14" i="2" s="1"/>
  <c r="BQ14" i="2"/>
  <c r="CC14" i="2" s="1"/>
  <c r="BT14" i="2"/>
  <c r="CF14" i="2" s="1"/>
  <c r="BQ16" i="2"/>
  <c r="CC16" i="2" s="1"/>
  <c r="BS16" i="2"/>
  <c r="CE16" i="2" s="1"/>
  <c r="BT16" i="2"/>
  <c r="CF16" i="2" s="1"/>
  <c r="BK30" i="9"/>
  <c r="H127" i="11"/>
  <c r="P127" i="11"/>
  <c r="E128" i="9"/>
  <c r="M128" i="9"/>
  <c r="H98" i="11"/>
  <c r="P98" i="11"/>
  <c r="E100" i="9"/>
  <c r="M100" i="9"/>
  <c r="H280" i="11"/>
  <c r="P280" i="11"/>
  <c r="E279" i="9"/>
  <c r="M279" i="9"/>
  <c r="H185" i="11"/>
  <c r="P185" i="11"/>
  <c r="E186" i="9"/>
  <c r="M186" i="9"/>
  <c r="H91" i="11"/>
  <c r="P91" i="11"/>
  <c r="E93" i="9"/>
  <c r="M93" i="9"/>
  <c r="H286" i="11"/>
  <c r="P286" i="11"/>
  <c r="E285" i="9"/>
  <c r="M285" i="9"/>
  <c r="P249" i="11"/>
  <c r="E248" i="9"/>
  <c r="M248" i="9"/>
  <c r="BI30" i="9" l="1"/>
  <c r="BQ59" i="20"/>
  <c r="CK61" i="20"/>
  <c r="H61" i="20"/>
  <c r="CK69" i="20"/>
  <c r="H69" i="20"/>
  <c r="CK70" i="20"/>
  <c r="H70" i="20"/>
  <c r="CK62" i="20"/>
  <c r="H62" i="20"/>
  <c r="CK60" i="20"/>
  <c r="H60" i="20"/>
  <c r="CK65" i="20"/>
  <c r="H65" i="20"/>
  <c r="CK67" i="20"/>
  <c r="H67" i="20"/>
  <c r="J76" i="20"/>
  <c r="K76" i="20"/>
  <c r="I76" i="20"/>
  <c r="F60" i="20"/>
  <c r="P60" i="20"/>
  <c r="P65" i="20"/>
  <c r="F65" i="20"/>
  <c r="F67" i="20"/>
  <c r="P67" i="20"/>
  <c r="P62" i="20"/>
  <c r="F62" i="20"/>
  <c r="P61" i="20"/>
  <c r="F61" i="20"/>
  <c r="P69" i="20"/>
  <c r="F69" i="20"/>
  <c r="P70" i="20"/>
  <c r="F70" i="20"/>
  <c r="I72" i="20"/>
  <c r="M72" i="20"/>
  <c r="K72" i="20"/>
  <c r="J72" i="20"/>
  <c r="G60" i="20"/>
  <c r="G65" i="20"/>
  <c r="G67" i="20"/>
  <c r="G62" i="20"/>
  <c r="G61" i="20"/>
  <c r="BP59" i="20"/>
  <c r="CB30" i="9"/>
  <c r="G69" i="20"/>
  <c r="G70" i="20"/>
  <c r="J77" i="20"/>
  <c r="M77" i="20"/>
  <c r="L77" i="20"/>
  <c r="K78" i="20"/>
  <c r="I77" i="20"/>
  <c r="K75" i="20"/>
  <c r="J75" i="20"/>
  <c r="I75" i="20"/>
  <c r="L75" i="20"/>
  <c r="H30" i="9"/>
  <c r="F30" i="9"/>
  <c r="G30" i="9"/>
  <c r="F89" i="9"/>
  <c r="G89" i="9"/>
  <c r="H89" i="9"/>
  <c r="G114" i="9"/>
  <c r="H114" i="9"/>
  <c r="F114" i="9"/>
  <c r="I78" i="20"/>
  <c r="M78" i="20"/>
  <c r="J78" i="20"/>
  <c r="I84" i="20"/>
  <c r="K84" i="20"/>
  <c r="L84" i="20"/>
  <c r="J84" i="20"/>
  <c r="B66" i="20"/>
  <c r="B68" i="20"/>
  <c r="C126" i="18"/>
  <c r="C255" i="18"/>
  <c r="C88" i="18"/>
  <c r="B64" i="20"/>
  <c r="C48" i="18"/>
  <c r="B63" i="20"/>
  <c r="C101" i="18"/>
  <c r="B59" i="20"/>
  <c r="J71" i="20"/>
  <c r="L71" i="20"/>
  <c r="I71" i="20"/>
  <c r="M71" i="20"/>
  <c r="K71" i="20"/>
  <c r="BS59" i="20"/>
  <c r="U12" i="1"/>
  <c r="U14" i="1"/>
  <c r="CH14" i="2"/>
  <c r="J29" i="6"/>
  <c r="CH16" i="2"/>
  <c r="BW14" i="2"/>
  <c r="BX14" i="2" s="1"/>
  <c r="BW16" i="2"/>
  <c r="BX16" i="2" s="1"/>
  <c r="Q127" i="11"/>
  <c r="S127" i="11"/>
  <c r="BH128" i="9"/>
  <c r="BA128" i="9"/>
  <c r="AF128" i="9"/>
  <c r="BJ128" i="9"/>
  <c r="AT128" i="9"/>
  <c r="AM128" i="9"/>
  <c r="Q98" i="11"/>
  <c r="S98" i="11"/>
  <c r="BH100" i="9"/>
  <c r="AF100" i="9"/>
  <c r="BJ100" i="9"/>
  <c r="BA100" i="9"/>
  <c r="AT100" i="9"/>
  <c r="AM100" i="9"/>
  <c r="Q280" i="11"/>
  <c r="S280" i="11"/>
  <c r="AF279" i="9"/>
  <c r="BJ279" i="9"/>
  <c r="BH279" i="9"/>
  <c r="BA279" i="9"/>
  <c r="AT279" i="9"/>
  <c r="AM279" i="9"/>
  <c r="Q185" i="11"/>
  <c r="S185" i="11"/>
  <c r="AF186" i="9"/>
  <c r="BJ186" i="9"/>
  <c r="BH186" i="9"/>
  <c r="BA186" i="9"/>
  <c r="AT186" i="9"/>
  <c r="AM186" i="9"/>
  <c r="Q91" i="11"/>
  <c r="S91" i="11"/>
  <c r="BH93" i="9"/>
  <c r="BA93" i="9"/>
  <c r="AF93" i="9"/>
  <c r="BJ93" i="9"/>
  <c r="AT93" i="9"/>
  <c r="AM93" i="9"/>
  <c r="Q286" i="11"/>
  <c r="S286" i="11"/>
  <c r="AF285" i="9"/>
  <c r="BJ285" i="9"/>
  <c r="BH285" i="9"/>
  <c r="BA285" i="9"/>
  <c r="AT285" i="9"/>
  <c r="AM285" i="9"/>
  <c r="Q249" i="11"/>
  <c r="H249" i="11"/>
  <c r="S249" i="11"/>
  <c r="AF248" i="9"/>
  <c r="BJ248" i="9"/>
  <c r="BH248" i="9"/>
  <c r="BA248" i="9"/>
  <c r="AT248" i="9"/>
  <c r="AM248" i="9"/>
  <c r="H128" i="11"/>
  <c r="P128" i="11"/>
  <c r="E129" i="9"/>
  <c r="M129" i="9"/>
  <c r="P144" i="11"/>
  <c r="E145" i="9"/>
  <c r="M145" i="9"/>
  <c r="H240" i="11"/>
  <c r="P240" i="11"/>
  <c r="E239" i="9"/>
  <c r="M239" i="9"/>
  <c r="H229" i="11"/>
  <c r="P229" i="11"/>
  <c r="E226" i="9"/>
  <c r="M226" i="9"/>
  <c r="H141" i="11"/>
  <c r="P141" i="11"/>
  <c r="E142" i="9"/>
  <c r="M142" i="9"/>
  <c r="H155" i="11"/>
  <c r="P155" i="11"/>
  <c r="E157" i="9"/>
  <c r="M157" i="9"/>
  <c r="CK66" i="20" l="1"/>
  <c r="H66" i="20"/>
  <c r="CK63" i="20"/>
  <c r="H63" i="20"/>
  <c r="CK64" i="20"/>
  <c r="H64" i="20"/>
  <c r="CK68" i="20"/>
  <c r="H68" i="20"/>
  <c r="CK59" i="20"/>
  <c r="H59" i="20"/>
  <c r="F68" i="20"/>
  <c r="P68" i="20"/>
  <c r="F59" i="20"/>
  <c r="P59" i="20"/>
  <c r="P66" i="20"/>
  <c r="F66" i="20"/>
  <c r="P63" i="20"/>
  <c r="F63" i="20"/>
  <c r="P64" i="20"/>
  <c r="F64" i="20"/>
  <c r="CH70" i="20"/>
  <c r="M70" i="20" s="1"/>
  <c r="G68" i="20"/>
  <c r="G59" i="20"/>
  <c r="G66" i="20"/>
  <c r="G63" i="20"/>
  <c r="G64" i="20"/>
  <c r="I281" i="6"/>
  <c r="I248" i="6"/>
  <c r="I287" i="6"/>
  <c r="O287" i="6" s="1"/>
  <c r="B285" i="9" s="1"/>
  <c r="CD285" i="9" s="1"/>
  <c r="I186" i="6"/>
  <c r="I128" i="6"/>
  <c r="I92" i="6"/>
  <c r="I99" i="6"/>
  <c r="CH69" i="20"/>
  <c r="M69" i="20" s="1"/>
  <c r="CH67" i="20"/>
  <c r="M67" i="20" s="1"/>
  <c r="CH62" i="20"/>
  <c r="I62" i="20" s="1"/>
  <c r="CH65" i="20"/>
  <c r="L65" i="20" s="1"/>
  <c r="CH60" i="20"/>
  <c r="CH61" i="20"/>
  <c r="AM52" i="20"/>
  <c r="AM53" i="20"/>
  <c r="AT54" i="20"/>
  <c r="BH54" i="20"/>
  <c r="BO55" i="20"/>
  <c r="BO58" i="20"/>
  <c r="BO52" i="20"/>
  <c r="BA53" i="20"/>
  <c r="AM55" i="20"/>
  <c r="BA57" i="20"/>
  <c r="AT58" i="20"/>
  <c r="AT52" i="20"/>
  <c r="BA54" i="20"/>
  <c r="BO54" i="20"/>
  <c r="AT55" i="20"/>
  <c r="BH56" i="20"/>
  <c r="BH57" i="20"/>
  <c r="BR57" i="20"/>
  <c r="BA58" i="20"/>
  <c r="BR58" i="20"/>
  <c r="BA52" i="20"/>
  <c r="BR52" i="20"/>
  <c r="BH53" i="20"/>
  <c r="BR54" i="20"/>
  <c r="BA55" i="20"/>
  <c r="AT56" i="20"/>
  <c r="BO56" i="20"/>
  <c r="BR56" i="20"/>
  <c r="AM57" i="20"/>
  <c r="AM58" i="20"/>
  <c r="BH52" i="20"/>
  <c r="AT53" i="20"/>
  <c r="BO53" i="20"/>
  <c r="BR53" i="20"/>
  <c r="AM54" i="20"/>
  <c r="BH55" i="20"/>
  <c r="BR55" i="20"/>
  <c r="BA56" i="20"/>
  <c r="AM56" i="20"/>
  <c r="AT57" i="20"/>
  <c r="BO57" i="20"/>
  <c r="BH58" i="20"/>
  <c r="J226" i="6"/>
  <c r="BJ226" i="9"/>
  <c r="BK128" i="9"/>
  <c r="BK100" i="9"/>
  <c r="BK279" i="9"/>
  <c r="BK186" i="9"/>
  <c r="BK93" i="9"/>
  <c r="BK285" i="9"/>
  <c r="BK248" i="9"/>
  <c r="S144" i="11"/>
  <c r="Q128" i="11"/>
  <c r="S128" i="11"/>
  <c r="AF129" i="9"/>
  <c r="BJ129" i="9"/>
  <c r="BH129" i="9"/>
  <c r="BA129" i="9"/>
  <c r="AT129" i="9"/>
  <c r="AM129" i="9"/>
  <c r="Q144" i="11"/>
  <c r="H144" i="11"/>
  <c r="AF145" i="9"/>
  <c r="BJ145" i="9"/>
  <c r="BH145" i="9"/>
  <c r="BA145" i="9"/>
  <c r="AT145" i="9"/>
  <c r="AM145" i="9"/>
  <c r="Q155" i="11"/>
  <c r="Q240" i="11"/>
  <c r="S240" i="11"/>
  <c r="AF239" i="9"/>
  <c r="BJ239" i="9"/>
  <c r="BH239" i="9"/>
  <c r="BA239" i="9"/>
  <c r="AT239" i="9"/>
  <c r="AM239" i="9"/>
  <c r="Q229" i="11"/>
  <c r="S229" i="11"/>
  <c r="BH226" i="9"/>
  <c r="BA226" i="9"/>
  <c r="AT226" i="9"/>
  <c r="AM226" i="9"/>
  <c r="AF226" i="9"/>
  <c r="Q141" i="11"/>
  <c r="S141" i="11"/>
  <c r="AF142" i="9"/>
  <c r="BJ142" i="9"/>
  <c r="BH142" i="9"/>
  <c r="BA142" i="9"/>
  <c r="AT142" i="9"/>
  <c r="AM142" i="9"/>
  <c r="S155" i="11"/>
  <c r="BJ157" i="9"/>
  <c r="BH157" i="9"/>
  <c r="BA157" i="9"/>
  <c r="AF157" i="9"/>
  <c r="AT157" i="9"/>
  <c r="AM157" i="9"/>
  <c r="H257" i="11"/>
  <c r="P257" i="11"/>
  <c r="E256" i="9"/>
  <c r="M256" i="9"/>
  <c r="H60" i="11"/>
  <c r="P60" i="11"/>
  <c r="E62" i="9"/>
  <c r="M62" i="9"/>
  <c r="H206" i="11"/>
  <c r="P206" i="11"/>
  <c r="E203" i="9"/>
  <c r="M203" i="9"/>
  <c r="H233" i="11"/>
  <c r="P233" i="11"/>
  <c r="E231" i="9"/>
  <c r="M231" i="9"/>
  <c r="H23" i="11"/>
  <c r="P23" i="11"/>
  <c r="E23" i="9"/>
  <c r="M23" i="9"/>
  <c r="H187" i="11"/>
  <c r="P187" i="11"/>
  <c r="E188" i="9"/>
  <c r="M188" i="9"/>
  <c r="P168" i="11"/>
  <c r="E170" i="9"/>
  <c r="M170" i="9"/>
  <c r="H211" i="11"/>
  <c r="P211" i="11"/>
  <c r="E208" i="9"/>
  <c r="M208" i="9"/>
  <c r="H32" i="11"/>
  <c r="P32" i="11"/>
  <c r="E32" i="9"/>
  <c r="M32" i="9"/>
  <c r="H237" i="11"/>
  <c r="P237" i="11"/>
  <c r="E235" i="9"/>
  <c r="M235" i="9"/>
  <c r="BI226" i="9" l="1"/>
  <c r="BQ46" i="20"/>
  <c r="BI285" i="9"/>
  <c r="BQ53" i="20"/>
  <c r="BI279" i="9"/>
  <c r="BQ56" i="20"/>
  <c r="BI100" i="9"/>
  <c r="BQ57" i="20"/>
  <c r="BI248" i="9"/>
  <c r="BQ52" i="20"/>
  <c r="BI93" i="9"/>
  <c r="BQ54" i="20"/>
  <c r="BI186" i="9"/>
  <c r="BQ55" i="20"/>
  <c r="BI128" i="9"/>
  <c r="BQ58" i="20"/>
  <c r="I70" i="20"/>
  <c r="K70" i="20"/>
  <c r="L70" i="20"/>
  <c r="J70" i="20"/>
  <c r="CH63" i="20"/>
  <c r="M63" i="20" s="1"/>
  <c r="CH68" i="20"/>
  <c r="M68" i="20" s="1"/>
  <c r="BP53" i="20"/>
  <c r="CB285" i="9"/>
  <c r="BP52" i="20"/>
  <c r="CB248" i="9"/>
  <c r="BP54" i="20"/>
  <c r="CB93" i="9"/>
  <c r="BP55" i="20"/>
  <c r="CB186" i="9"/>
  <c r="BP46" i="20"/>
  <c r="CB226" i="9"/>
  <c r="BP56" i="20"/>
  <c r="CB279" i="9"/>
  <c r="BP57" i="20"/>
  <c r="CB100" i="9"/>
  <c r="BP58" i="20"/>
  <c r="CB128" i="9"/>
  <c r="I226" i="6"/>
  <c r="I239" i="6"/>
  <c r="I157" i="6"/>
  <c r="I142" i="6"/>
  <c r="O142" i="6" s="1"/>
  <c r="B142" i="9" s="1"/>
  <c r="CD142" i="9" s="1"/>
  <c r="I145" i="6"/>
  <c r="I129" i="6"/>
  <c r="L69" i="20"/>
  <c r="J69" i="20"/>
  <c r="I69" i="20"/>
  <c r="K69" i="20"/>
  <c r="I67" i="20"/>
  <c r="J67" i="20"/>
  <c r="K67" i="20"/>
  <c r="CH66" i="20"/>
  <c r="M66" i="20" s="1"/>
  <c r="L67" i="20"/>
  <c r="H285" i="9"/>
  <c r="G285" i="9"/>
  <c r="F285" i="9"/>
  <c r="CH64" i="20"/>
  <c r="M64" i="20" s="1"/>
  <c r="C281" i="18"/>
  <c r="O99" i="6"/>
  <c r="B100" i="9" s="1"/>
  <c r="CD100" i="9" s="1"/>
  <c r="M62" i="20"/>
  <c r="O128" i="6"/>
  <c r="B128" i="9" s="1"/>
  <c r="CD128" i="9" s="1"/>
  <c r="O281" i="6"/>
  <c r="B279" i="9" s="1"/>
  <c r="CD279" i="9" s="1"/>
  <c r="O92" i="6"/>
  <c r="B93" i="9" s="1"/>
  <c r="CD93" i="9" s="1"/>
  <c r="O186" i="6"/>
  <c r="B186" i="9" s="1"/>
  <c r="CD186" i="9" s="1"/>
  <c r="O248" i="6"/>
  <c r="B248" i="9" s="1"/>
  <c r="CD248" i="9" s="1"/>
  <c r="K62" i="20"/>
  <c r="J62" i="20"/>
  <c r="L62" i="20"/>
  <c r="K65" i="20"/>
  <c r="I65" i="20"/>
  <c r="M65" i="20"/>
  <c r="J65" i="20"/>
  <c r="M60" i="20"/>
  <c r="I60" i="20"/>
  <c r="L60" i="20"/>
  <c r="K60" i="20"/>
  <c r="J60" i="20"/>
  <c r="CH59" i="20"/>
  <c r="B53" i="20"/>
  <c r="M61" i="20"/>
  <c r="J61" i="20"/>
  <c r="I61" i="20"/>
  <c r="L61" i="20"/>
  <c r="K61" i="20"/>
  <c r="BO45" i="20"/>
  <c r="AM45" i="20"/>
  <c r="BA46" i="20"/>
  <c r="BO47" i="20"/>
  <c r="BO48" i="20"/>
  <c r="AM49" i="20"/>
  <c r="BH50" i="20"/>
  <c r="BR50" i="20"/>
  <c r="BA51" i="20"/>
  <c r="BR46" i="20"/>
  <c r="AT44" i="20"/>
  <c r="BH44" i="20"/>
  <c r="BR44" i="20"/>
  <c r="AT45" i="20"/>
  <c r="BO46" i="20"/>
  <c r="AT47" i="20"/>
  <c r="BR48" i="20"/>
  <c r="AT49" i="20"/>
  <c r="BO50" i="20"/>
  <c r="AM50" i="20"/>
  <c r="BH51" i="20"/>
  <c r="BR51" i="20"/>
  <c r="BS52" i="20"/>
  <c r="BS53" i="20"/>
  <c r="BS54" i="20"/>
  <c r="BS55" i="20"/>
  <c r="BS56" i="20"/>
  <c r="BS57" i="20"/>
  <c r="BS58" i="20"/>
  <c r="BA49" i="20"/>
  <c r="BA44" i="20"/>
  <c r="BO44" i="20"/>
  <c r="BA45" i="20"/>
  <c r="AT46" i="20"/>
  <c r="BH46" i="20"/>
  <c r="BA47" i="20"/>
  <c r="BR47" i="20"/>
  <c r="AT48" i="20"/>
  <c r="AM48" i="20"/>
  <c r="BH49" i="20"/>
  <c r="AT50" i="20"/>
  <c r="BO51" i="20"/>
  <c r="AM51" i="20"/>
  <c r="AM44" i="20"/>
  <c r="BH45" i="20"/>
  <c r="BR45" i="20"/>
  <c r="AM46" i="20"/>
  <c r="BH47" i="20"/>
  <c r="AM47" i="20"/>
  <c r="BA48" i="20"/>
  <c r="BH48" i="20"/>
  <c r="BO49" i="20"/>
  <c r="BR49" i="20"/>
  <c r="BA50" i="20"/>
  <c r="AT51" i="20"/>
  <c r="BK129" i="9"/>
  <c r="BK145" i="9"/>
  <c r="BK239" i="9"/>
  <c r="BK226" i="9"/>
  <c r="BK142" i="9"/>
  <c r="BK157" i="9"/>
  <c r="AF231" i="9"/>
  <c r="AF203" i="9"/>
  <c r="I31" i="6"/>
  <c r="BJ170" i="9"/>
  <c r="Q257" i="11"/>
  <c r="S257" i="11"/>
  <c r="AF256" i="9"/>
  <c r="BA256" i="9"/>
  <c r="BJ256" i="9"/>
  <c r="BH256" i="9"/>
  <c r="AT256" i="9"/>
  <c r="AM256" i="9"/>
  <c r="Q60" i="11"/>
  <c r="S60" i="11"/>
  <c r="BH62" i="9"/>
  <c r="AF62" i="9"/>
  <c r="BJ62" i="9"/>
  <c r="BA62" i="9"/>
  <c r="AT62" i="9"/>
  <c r="AM62" i="9"/>
  <c r="Q206" i="11"/>
  <c r="S206" i="11"/>
  <c r="BJ203" i="9"/>
  <c r="BA203" i="9"/>
  <c r="BH203" i="9"/>
  <c r="AT203" i="9"/>
  <c r="AM203" i="9"/>
  <c r="Q23" i="11"/>
  <c r="Q233" i="11"/>
  <c r="S233" i="11"/>
  <c r="BJ231" i="9"/>
  <c r="BH231" i="9"/>
  <c r="BA231" i="9"/>
  <c r="AT231" i="9"/>
  <c r="AM231" i="9"/>
  <c r="S168" i="11"/>
  <c r="S23" i="11"/>
  <c r="AF23" i="9"/>
  <c r="BJ23" i="9"/>
  <c r="BH23" i="9"/>
  <c r="BA23" i="9"/>
  <c r="AT23" i="9"/>
  <c r="AM23" i="9"/>
  <c r="Q187" i="11"/>
  <c r="BJ188" i="9"/>
  <c r="S187" i="11"/>
  <c r="AF188" i="9"/>
  <c r="BH188" i="9"/>
  <c r="BA188" i="9"/>
  <c r="AT188" i="9"/>
  <c r="AM188" i="9"/>
  <c r="Q211" i="11"/>
  <c r="Q237" i="11"/>
  <c r="Q32" i="11"/>
  <c r="Q168" i="11"/>
  <c r="H168" i="11"/>
  <c r="BH170" i="9"/>
  <c r="BA170" i="9"/>
  <c r="AT170" i="9"/>
  <c r="AM170" i="9"/>
  <c r="AF170" i="9"/>
  <c r="S211" i="11"/>
  <c r="AF208" i="9"/>
  <c r="BJ208" i="9"/>
  <c r="BH208" i="9"/>
  <c r="BA208" i="9"/>
  <c r="AT208" i="9"/>
  <c r="AM208" i="9"/>
  <c r="S32" i="11"/>
  <c r="BJ32" i="9"/>
  <c r="BH32" i="9"/>
  <c r="AF32" i="9"/>
  <c r="BA32" i="9"/>
  <c r="AT32" i="9"/>
  <c r="AM32" i="9"/>
  <c r="S237" i="11"/>
  <c r="AT235" i="9"/>
  <c r="AF235" i="9"/>
  <c r="BJ235" i="9"/>
  <c r="BH235" i="9"/>
  <c r="BA235" i="9"/>
  <c r="AM235" i="9"/>
  <c r="H270" i="11"/>
  <c r="P270" i="11"/>
  <c r="E269" i="9"/>
  <c r="M269" i="9"/>
  <c r="H122" i="11"/>
  <c r="P122" i="11"/>
  <c r="E123" i="9"/>
  <c r="M123" i="9"/>
  <c r="BI157" i="9" l="1"/>
  <c r="BQ44" i="20"/>
  <c r="BI145" i="9"/>
  <c r="BQ50" i="20"/>
  <c r="BI142" i="9"/>
  <c r="BQ45" i="20"/>
  <c r="BI239" i="9"/>
  <c r="BQ47" i="20"/>
  <c r="BQ48" i="20"/>
  <c r="BQ49" i="20"/>
  <c r="BI129" i="9"/>
  <c r="BQ51" i="20"/>
  <c r="CK53" i="20"/>
  <c r="H53" i="20"/>
  <c r="J68" i="20"/>
  <c r="I68" i="20"/>
  <c r="L68" i="20"/>
  <c r="K68" i="20"/>
  <c r="I63" i="20"/>
  <c r="J63" i="20"/>
  <c r="L63" i="20"/>
  <c r="K63" i="20"/>
  <c r="P53" i="20"/>
  <c r="F53" i="20"/>
  <c r="BP44" i="20"/>
  <c r="CB157" i="9"/>
  <c r="BP48" i="20"/>
  <c r="BP50" i="20"/>
  <c r="CB145" i="9"/>
  <c r="BP45" i="20"/>
  <c r="CB142" i="9"/>
  <c r="BP47" i="20"/>
  <c r="CB239" i="9"/>
  <c r="BP49" i="20"/>
  <c r="BP51" i="20"/>
  <c r="CB129" i="9"/>
  <c r="G53" i="20"/>
  <c r="I256" i="6"/>
  <c r="I231" i="6"/>
  <c r="I208" i="6"/>
  <c r="I235" i="6"/>
  <c r="I170" i="6"/>
  <c r="I203" i="6"/>
  <c r="I188" i="6"/>
  <c r="I61" i="6"/>
  <c r="O61" i="6" s="1"/>
  <c r="B62" i="9" s="1"/>
  <c r="CD62" i="9" s="1"/>
  <c r="I22" i="6"/>
  <c r="O22" i="6" s="1"/>
  <c r="B23" i="9" s="1"/>
  <c r="CD23" i="9" s="1"/>
  <c r="Y93" i="9"/>
  <c r="Y128" i="9"/>
  <c r="Y186" i="9"/>
  <c r="Y285" i="9"/>
  <c r="Y100" i="9"/>
  <c r="Y248" i="9"/>
  <c r="Y279" i="9"/>
  <c r="K66" i="20"/>
  <c r="J66" i="20"/>
  <c r="L66" i="20"/>
  <c r="I66" i="20"/>
  <c r="H142" i="9"/>
  <c r="F142" i="9"/>
  <c r="G142" i="9"/>
  <c r="H248" i="9"/>
  <c r="F248" i="9"/>
  <c r="G248" i="9"/>
  <c r="H186" i="9"/>
  <c r="G186" i="9"/>
  <c r="F186" i="9"/>
  <c r="H93" i="9"/>
  <c r="G93" i="9"/>
  <c r="F93" i="9"/>
  <c r="G279" i="9"/>
  <c r="F279" i="9"/>
  <c r="H279" i="9"/>
  <c r="G128" i="9"/>
  <c r="H128" i="9"/>
  <c r="F128" i="9"/>
  <c r="F100" i="9"/>
  <c r="G100" i="9"/>
  <c r="H100" i="9"/>
  <c r="J64" i="20"/>
  <c r="L64" i="20"/>
  <c r="I64" i="20"/>
  <c r="K64" i="20"/>
  <c r="B52" i="20"/>
  <c r="C249" i="18"/>
  <c r="B58" i="20"/>
  <c r="B57" i="20"/>
  <c r="C111" i="18"/>
  <c r="C136" i="18"/>
  <c r="B56" i="20"/>
  <c r="C277" i="18"/>
  <c r="C105" i="18"/>
  <c r="B54" i="20"/>
  <c r="C149" i="18"/>
  <c r="B55" i="20"/>
  <c r="C191" i="18"/>
  <c r="O239" i="6"/>
  <c r="B239" i="9" s="1"/>
  <c r="CD239" i="9" s="1"/>
  <c r="O145" i="6"/>
  <c r="B145" i="9" s="1"/>
  <c r="CD145" i="9" s="1"/>
  <c r="O157" i="6"/>
  <c r="B157" i="9" s="1"/>
  <c r="CD157" i="9" s="1"/>
  <c r="O226" i="6"/>
  <c r="B226" i="9" s="1"/>
  <c r="CD226" i="9" s="1"/>
  <c r="O129" i="6"/>
  <c r="B129" i="9" s="1"/>
  <c r="CD129" i="9" s="1"/>
  <c r="B45" i="20"/>
  <c r="M59" i="20"/>
  <c r="J59" i="20"/>
  <c r="L59" i="20"/>
  <c r="I59" i="20"/>
  <c r="K59" i="20"/>
  <c r="O31" i="6"/>
  <c r="B32" i="9" s="1"/>
  <c r="CD32" i="9" s="1"/>
  <c r="AF53" i="20"/>
  <c r="BO34" i="20"/>
  <c r="AM34" i="20"/>
  <c r="BO36" i="20"/>
  <c r="BO37" i="20"/>
  <c r="BO38" i="20"/>
  <c r="BR38" i="20"/>
  <c r="BH39" i="20"/>
  <c r="AM39" i="20"/>
  <c r="BO40" i="20"/>
  <c r="BO41" i="20"/>
  <c r="BH42" i="20"/>
  <c r="BR42" i="20"/>
  <c r="BA43" i="20"/>
  <c r="AM43" i="20"/>
  <c r="BR37" i="20"/>
  <c r="AM40" i="20"/>
  <c r="BS46" i="20"/>
  <c r="AT34" i="20"/>
  <c r="AT35" i="20"/>
  <c r="BR35" i="20"/>
  <c r="AT36" i="20"/>
  <c r="AT37" i="20"/>
  <c r="AT38" i="20"/>
  <c r="BO39" i="20"/>
  <c r="AT40" i="20"/>
  <c r="BR40" i="20"/>
  <c r="BR41" i="20"/>
  <c r="AM42" i="20"/>
  <c r="BH34" i="20"/>
  <c r="BA34" i="20"/>
  <c r="BA35" i="20"/>
  <c r="AM35" i="20"/>
  <c r="BA36" i="20"/>
  <c r="BR36" i="20"/>
  <c r="AM37" i="20"/>
  <c r="BA37" i="20"/>
  <c r="BA38" i="20"/>
  <c r="AM38" i="20"/>
  <c r="AT39" i="20"/>
  <c r="BA40" i="20"/>
  <c r="AT41" i="20"/>
  <c r="BH41" i="20"/>
  <c r="AT42" i="20"/>
  <c r="BO42" i="20"/>
  <c r="BO43" i="20"/>
  <c r="BR43" i="20"/>
  <c r="AM41" i="20"/>
  <c r="BS44" i="20"/>
  <c r="BS45" i="20"/>
  <c r="BS47" i="20"/>
  <c r="BS48" i="20"/>
  <c r="BS49" i="20"/>
  <c r="BS50" i="20"/>
  <c r="BS51" i="20"/>
  <c r="BR34" i="20"/>
  <c r="BH35" i="20"/>
  <c r="BO35" i="20"/>
  <c r="BH36" i="20"/>
  <c r="AM36" i="20"/>
  <c r="BH37" i="20"/>
  <c r="BH38" i="20"/>
  <c r="BA39" i="20"/>
  <c r="BR39" i="20"/>
  <c r="BH40" i="20"/>
  <c r="BA41" i="20"/>
  <c r="BA42" i="20"/>
  <c r="AT43" i="20"/>
  <c r="BH43" i="20"/>
  <c r="J248" i="6"/>
  <c r="J186" i="6"/>
  <c r="J128" i="6"/>
  <c r="J92" i="6"/>
  <c r="J99" i="6"/>
  <c r="J287" i="6"/>
  <c r="J281" i="6"/>
  <c r="BK256" i="9"/>
  <c r="BK62" i="9"/>
  <c r="BK203" i="9"/>
  <c r="BK231" i="9"/>
  <c r="BK23" i="9"/>
  <c r="BK188" i="9"/>
  <c r="BK170" i="9"/>
  <c r="BK208" i="9"/>
  <c r="BK32" i="9"/>
  <c r="BK235" i="9"/>
  <c r="Q122" i="11"/>
  <c r="AF269" i="9"/>
  <c r="BH269" i="9"/>
  <c r="Q270" i="11"/>
  <c r="S270" i="11"/>
  <c r="BJ269" i="9"/>
  <c r="BA269" i="9"/>
  <c r="AT269" i="9"/>
  <c r="AM269" i="9"/>
  <c r="S122" i="11"/>
  <c r="AF123" i="9"/>
  <c r="BJ123" i="9"/>
  <c r="BH123" i="9"/>
  <c r="BA123" i="9"/>
  <c r="AT123" i="9"/>
  <c r="AM123" i="9"/>
  <c r="H83" i="11"/>
  <c r="P83" i="11"/>
  <c r="E85" i="9"/>
  <c r="M85" i="9"/>
  <c r="BI62" i="9" l="1"/>
  <c r="BQ42" i="20"/>
  <c r="BI203" i="9"/>
  <c r="BQ41" i="20"/>
  <c r="BI32" i="9"/>
  <c r="BQ35" i="20"/>
  <c r="BI231" i="9"/>
  <c r="BQ40" i="20"/>
  <c r="BI188" i="9"/>
  <c r="BQ38" i="20"/>
  <c r="BI235" i="9"/>
  <c r="BQ34" i="20"/>
  <c r="BI208" i="9"/>
  <c r="BQ36" i="20"/>
  <c r="BI170" i="9"/>
  <c r="BQ37" i="20"/>
  <c r="BI23" i="9"/>
  <c r="BQ39" i="20"/>
  <c r="BI256" i="9"/>
  <c r="BQ43" i="20"/>
  <c r="CK55" i="20"/>
  <c r="H55" i="20"/>
  <c r="CK58" i="20"/>
  <c r="H58" i="20"/>
  <c r="CK52" i="20"/>
  <c r="H52" i="20"/>
  <c r="CK45" i="20"/>
  <c r="H45" i="20"/>
  <c r="CK56" i="20"/>
  <c r="H56" i="20"/>
  <c r="CK54" i="20"/>
  <c r="H54" i="20"/>
  <c r="CK57" i="20"/>
  <c r="H57" i="20"/>
  <c r="AF58" i="20"/>
  <c r="P55" i="20"/>
  <c r="F55" i="20"/>
  <c r="P58" i="20"/>
  <c r="F58" i="20"/>
  <c r="P52" i="20"/>
  <c r="F52" i="20"/>
  <c r="P45" i="20"/>
  <c r="F45" i="20"/>
  <c r="P56" i="20"/>
  <c r="F56" i="20"/>
  <c r="P54" i="20"/>
  <c r="F54" i="20"/>
  <c r="P57" i="20"/>
  <c r="F57" i="20"/>
  <c r="BP40" i="20"/>
  <c r="CB231" i="9"/>
  <c r="BP38" i="20"/>
  <c r="CB188" i="9"/>
  <c r="G56" i="20"/>
  <c r="G54" i="20"/>
  <c r="G57" i="20"/>
  <c r="BP34" i="20"/>
  <c r="CB235" i="9"/>
  <c r="BP36" i="20"/>
  <c r="CB208" i="9"/>
  <c r="BP37" i="20"/>
  <c r="CB170" i="9"/>
  <c r="BP39" i="20"/>
  <c r="CB23" i="9"/>
  <c r="BP42" i="20"/>
  <c r="CB62" i="9"/>
  <c r="BP43" i="20"/>
  <c r="CB256" i="9"/>
  <c r="BP35" i="20"/>
  <c r="CB32" i="9"/>
  <c r="BP41" i="20"/>
  <c r="CB203" i="9"/>
  <c r="G45" i="20"/>
  <c r="G55" i="20"/>
  <c r="G58" i="20"/>
  <c r="G52" i="20"/>
  <c r="AF54" i="20"/>
  <c r="AF57" i="20"/>
  <c r="AF55" i="20"/>
  <c r="I271" i="6"/>
  <c r="I123" i="6"/>
  <c r="AF56" i="20"/>
  <c r="AF52" i="20"/>
  <c r="Y226" i="9"/>
  <c r="Y142" i="9"/>
  <c r="Y239" i="9"/>
  <c r="Y157" i="9"/>
  <c r="Y145" i="9"/>
  <c r="Y129" i="9"/>
  <c r="F23" i="9"/>
  <c r="G23" i="9"/>
  <c r="H23" i="9"/>
  <c r="H62" i="9"/>
  <c r="G62" i="9"/>
  <c r="F62" i="9"/>
  <c r="G32" i="9"/>
  <c r="H32" i="9"/>
  <c r="F32" i="9"/>
  <c r="F129" i="9"/>
  <c r="G129" i="9"/>
  <c r="H129" i="9"/>
  <c r="H226" i="9"/>
  <c r="G226" i="9"/>
  <c r="F226" i="9"/>
  <c r="H157" i="9"/>
  <c r="G157" i="9"/>
  <c r="F157" i="9"/>
  <c r="F145" i="9"/>
  <c r="H145" i="9"/>
  <c r="G145" i="9"/>
  <c r="F239" i="9"/>
  <c r="G239" i="9"/>
  <c r="H239" i="9"/>
  <c r="C241" i="18"/>
  <c r="B44" i="20"/>
  <c r="C164" i="18"/>
  <c r="C152" i="18"/>
  <c r="C50" i="18"/>
  <c r="B46" i="20"/>
  <c r="B48" i="20"/>
  <c r="C229" i="18"/>
  <c r="C245" i="18"/>
  <c r="C142" i="18"/>
  <c r="B49" i="20"/>
  <c r="B47" i="20"/>
  <c r="B51" i="20"/>
  <c r="B50" i="20"/>
  <c r="C137" i="18"/>
  <c r="O208" i="6"/>
  <c r="B208" i="9" s="1"/>
  <c r="CD208" i="9" s="1"/>
  <c r="O231" i="6"/>
  <c r="B231" i="9" s="1"/>
  <c r="CD231" i="9" s="1"/>
  <c r="O188" i="6"/>
  <c r="B188" i="9" s="1"/>
  <c r="CD188" i="9" s="1"/>
  <c r="O170" i="6"/>
  <c r="B170" i="9" s="1"/>
  <c r="CD170" i="9" s="1"/>
  <c r="O203" i="6"/>
  <c r="B203" i="9" s="1"/>
  <c r="CD203" i="9" s="1"/>
  <c r="O235" i="6"/>
  <c r="B235" i="9" s="1"/>
  <c r="CD235" i="9" s="1"/>
  <c r="O256" i="6"/>
  <c r="B256" i="9" s="1"/>
  <c r="CD256" i="9" s="1"/>
  <c r="B35" i="20"/>
  <c r="CH53" i="20"/>
  <c r="B39" i="20"/>
  <c r="B42" i="20"/>
  <c r="C43" i="18"/>
  <c r="C78" i="18"/>
  <c r="BA32" i="20"/>
  <c r="BH33" i="20"/>
  <c r="BS34" i="20"/>
  <c r="BS42" i="20"/>
  <c r="BS43" i="20"/>
  <c r="BH32" i="20"/>
  <c r="BR32" i="20"/>
  <c r="BS35" i="20"/>
  <c r="BS36" i="20"/>
  <c r="BS37" i="20"/>
  <c r="BS38" i="20"/>
  <c r="AT32" i="20"/>
  <c r="BO32" i="20"/>
  <c r="AT33" i="20"/>
  <c r="AM33" i="20"/>
  <c r="BS39" i="20"/>
  <c r="AM32" i="20"/>
  <c r="BA33" i="20"/>
  <c r="BR33" i="20"/>
  <c r="BO33" i="20"/>
  <c r="BS40" i="20"/>
  <c r="BS41" i="20"/>
  <c r="J129" i="6"/>
  <c r="J239" i="6"/>
  <c r="J145" i="6"/>
  <c r="J142" i="6"/>
  <c r="J157" i="6"/>
  <c r="Q83" i="11"/>
  <c r="BK269" i="9"/>
  <c r="BK123" i="9"/>
  <c r="S83" i="11"/>
  <c r="BJ85" i="9"/>
  <c r="BH85" i="9"/>
  <c r="BA85" i="9"/>
  <c r="AF85" i="9"/>
  <c r="AT85" i="9"/>
  <c r="AM85" i="9"/>
  <c r="R23" i="1"/>
  <c r="Y23" i="1"/>
  <c r="AE23" i="1"/>
  <c r="BI123" i="9" l="1"/>
  <c r="BQ32" i="20"/>
  <c r="BI269" i="9"/>
  <c r="BQ33" i="20"/>
  <c r="CK42" i="20"/>
  <c r="H42" i="20"/>
  <c r="CK50" i="20"/>
  <c r="H50" i="20"/>
  <c r="CK49" i="20"/>
  <c r="H49" i="20"/>
  <c r="CK39" i="20"/>
  <c r="H39" i="20"/>
  <c r="CK48" i="20"/>
  <c r="H48" i="20"/>
  <c r="CK51" i="20"/>
  <c r="H51" i="20"/>
  <c r="CK46" i="20"/>
  <c r="H46" i="20"/>
  <c r="CK44" i="20"/>
  <c r="H44" i="20"/>
  <c r="CK35" i="20"/>
  <c r="H35" i="20"/>
  <c r="CK47" i="20"/>
  <c r="H47" i="20"/>
  <c r="CH56" i="20"/>
  <c r="M56" i="20" s="1"/>
  <c r="CH58" i="20"/>
  <c r="I58" i="20" s="1"/>
  <c r="F39" i="20"/>
  <c r="P39" i="20"/>
  <c r="P48" i="20"/>
  <c r="F48" i="20"/>
  <c r="F51" i="20"/>
  <c r="P51" i="20"/>
  <c r="P46" i="20"/>
  <c r="F46" i="20"/>
  <c r="F35" i="20"/>
  <c r="P35" i="20"/>
  <c r="F47" i="20"/>
  <c r="P47" i="20"/>
  <c r="P44" i="20"/>
  <c r="F44" i="20"/>
  <c r="P42" i="20"/>
  <c r="F42" i="20"/>
  <c r="P50" i="20"/>
  <c r="F50" i="20"/>
  <c r="P49" i="20"/>
  <c r="F49" i="20"/>
  <c r="G51" i="20"/>
  <c r="G46" i="20"/>
  <c r="G35" i="20"/>
  <c r="G47" i="20"/>
  <c r="BP32" i="20"/>
  <c r="CB123" i="9"/>
  <c r="G42" i="20"/>
  <c r="G50" i="20"/>
  <c r="G49" i="20"/>
  <c r="BP33" i="20"/>
  <c r="CB269" i="9"/>
  <c r="G39" i="20"/>
  <c r="G48" i="20"/>
  <c r="G44" i="20"/>
  <c r="I84" i="6"/>
  <c r="AF49" i="20"/>
  <c r="AF46" i="20"/>
  <c r="AF45" i="20"/>
  <c r="AF48" i="20"/>
  <c r="AF44" i="20"/>
  <c r="AF47" i="20"/>
  <c r="AF50" i="20"/>
  <c r="AF51" i="20"/>
  <c r="Y170" i="9"/>
  <c r="Y188" i="9"/>
  <c r="Y231" i="9"/>
  <c r="Y208" i="9"/>
  <c r="Y23" i="9"/>
  <c r="Y256" i="9"/>
  <c r="Y62" i="9"/>
  <c r="Y235" i="9"/>
  <c r="Y32" i="9"/>
  <c r="Y203" i="9"/>
  <c r="H256" i="9"/>
  <c r="G256" i="9"/>
  <c r="F256" i="9"/>
  <c r="H235" i="9"/>
  <c r="G235" i="9"/>
  <c r="F235" i="9"/>
  <c r="G203" i="9"/>
  <c r="H203" i="9"/>
  <c r="F203" i="9"/>
  <c r="G170" i="9"/>
  <c r="H170" i="9"/>
  <c r="F170" i="9"/>
  <c r="G188" i="9"/>
  <c r="F188" i="9"/>
  <c r="H188" i="9"/>
  <c r="F231" i="9"/>
  <c r="H231" i="9"/>
  <c r="G231" i="9"/>
  <c r="F208" i="9"/>
  <c r="H208" i="9"/>
  <c r="G208" i="9"/>
  <c r="CH52" i="20"/>
  <c r="M52" i="20" s="1"/>
  <c r="CH57" i="20"/>
  <c r="M57" i="20" s="1"/>
  <c r="CH54" i="20"/>
  <c r="M54" i="20" s="1"/>
  <c r="C213" i="18"/>
  <c r="CH55" i="20"/>
  <c r="M55" i="20" s="1"/>
  <c r="C233" i="18"/>
  <c r="B36" i="20"/>
  <c r="B41" i="20"/>
  <c r="C207" i="18"/>
  <c r="B34" i="20"/>
  <c r="C236" i="18"/>
  <c r="B40" i="20"/>
  <c r="C257" i="18"/>
  <c r="C193" i="18"/>
  <c r="B43" i="20"/>
  <c r="B38" i="20"/>
  <c r="B37" i="20"/>
  <c r="C177" i="18"/>
  <c r="O123" i="6"/>
  <c r="B123" i="9" s="1"/>
  <c r="CD123" i="9" s="1"/>
  <c r="O271" i="6"/>
  <c r="B269" i="9" s="1"/>
  <c r="CD269" i="9" s="1"/>
  <c r="CH45" i="20"/>
  <c r="M53" i="20"/>
  <c r="K53" i="20"/>
  <c r="L53" i="20"/>
  <c r="I53" i="20"/>
  <c r="J53" i="20"/>
  <c r="K56" i="20"/>
  <c r="J58" i="20"/>
  <c r="BA31" i="20"/>
  <c r="BH31" i="20"/>
  <c r="BS33" i="20"/>
  <c r="BO31" i="20"/>
  <c r="AM31" i="20"/>
  <c r="BR31" i="20"/>
  <c r="AT31" i="20"/>
  <c r="BS32" i="20"/>
  <c r="J22" i="6"/>
  <c r="J170" i="6"/>
  <c r="J235" i="6"/>
  <c r="J256" i="6"/>
  <c r="J208" i="6"/>
  <c r="J61" i="6"/>
  <c r="J31" i="6"/>
  <c r="J231" i="6"/>
  <c r="J188" i="6"/>
  <c r="J203" i="6"/>
  <c r="T23" i="1"/>
  <c r="BK85" i="9"/>
  <c r="AF24" i="20"/>
  <c r="BI85" i="9" l="1"/>
  <c r="BQ31" i="20"/>
  <c r="CK37" i="20"/>
  <c r="H37" i="20"/>
  <c r="CK38" i="20"/>
  <c r="H38" i="20"/>
  <c r="CK34" i="20"/>
  <c r="H34" i="20"/>
  <c r="CK41" i="20"/>
  <c r="H41" i="20"/>
  <c r="CK43" i="20"/>
  <c r="H43" i="20"/>
  <c r="CK36" i="20"/>
  <c r="H36" i="20"/>
  <c r="CK40" i="20"/>
  <c r="H40" i="20"/>
  <c r="L58" i="20"/>
  <c r="K58" i="20"/>
  <c r="AF41" i="20"/>
  <c r="M58" i="20"/>
  <c r="L56" i="20"/>
  <c r="J56" i="20"/>
  <c r="I56" i="20"/>
  <c r="CH50" i="20"/>
  <c r="M50" i="20" s="1"/>
  <c r="CH48" i="20"/>
  <c r="M48" i="20" s="1"/>
  <c r="CH49" i="20"/>
  <c r="M49" i="20" s="1"/>
  <c r="P40" i="20"/>
  <c r="F40" i="20"/>
  <c r="F36" i="20"/>
  <c r="P36" i="20"/>
  <c r="P37" i="20"/>
  <c r="F37" i="20"/>
  <c r="P38" i="20"/>
  <c r="F38" i="20"/>
  <c r="P43" i="20"/>
  <c r="F43" i="20"/>
  <c r="P34" i="20"/>
  <c r="F34" i="20"/>
  <c r="P41" i="20"/>
  <c r="F41" i="20"/>
  <c r="CH39" i="20"/>
  <c r="I39" i="20" s="1"/>
  <c r="CH47" i="20"/>
  <c r="M47" i="20" s="1"/>
  <c r="AF39" i="20"/>
  <c r="G40" i="20"/>
  <c r="G41" i="20"/>
  <c r="G37" i="20"/>
  <c r="G36" i="20"/>
  <c r="G38" i="20"/>
  <c r="BP31" i="20"/>
  <c r="CB85" i="9"/>
  <c r="G43" i="20"/>
  <c r="G34" i="20"/>
  <c r="AF43" i="20"/>
  <c r="AF34" i="20"/>
  <c r="AF40" i="20"/>
  <c r="AF35" i="20"/>
  <c r="AF37" i="20"/>
  <c r="AF38" i="20"/>
  <c r="AF36" i="20"/>
  <c r="AF42" i="20"/>
  <c r="Y123" i="9"/>
  <c r="Y269" i="9"/>
  <c r="I54" i="20"/>
  <c r="K54" i="20"/>
  <c r="CH46" i="20"/>
  <c r="L46" i="20" s="1"/>
  <c r="K52" i="20"/>
  <c r="I52" i="20"/>
  <c r="L52" i="20"/>
  <c r="J52" i="20"/>
  <c r="CH44" i="20"/>
  <c r="M44" i="20" s="1"/>
  <c r="H269" i="9"/>
  <c r="G269" i="9"/>
  <c r="F269" i="9"/>
  <c r="G123" i="9"/>
  <c r="F123" i="9"/>
  <c r="H123" i="9"/>
  <c r="I57" i="20"/>
  <c r="K57" i="20"/>
  <c r="L57" i="20"/>
  <c r="J57" i="20"/>
  <c r="J54" i="20"/>
  <c r="L54" i="20"/>
  <c r="C131" i="18"/>
  <c r="CH51" i="20"/>
  <c r="I51" i="20" s="1"/>
  <c r="B32" i="20"/>
  <c r="K55" i="20"/>
  <c r="L55" i="20"/>
  <c r="I55" i="20"/>
  <c r="J55" i="20"/>
  <c r="B33" i="20"/>
  <c r="C267" i="18"/>
  <c r="CH42" i="20"/>
  <c r="M42" i="20" s="1"/>
  <c r="O84" i="6"/>
  <c r="B85" i="9" s="1"/>
  <c r="CD85" i="9" s="1"/>
  <c r="CH35" i="20"/>
  <c r="J35" i="20" s="1"/>
  <c r="M45" i="20"/>
  <c r="I45" i="20"/>
  <c r="K45" i="20"/>
  <c r="J45" i="20"/>
  <c r="L45" i="20"/>
  <c r="BR30" i="20"/>
  <c r="BH30" i="20"/>
  <c r="BO30" i="20"/>
  <c r="AT30" i="20"/>
  <c r="BA30" i="20"/>
  <c r="AM30" i="20"/>
  <c r="BS31" i="20"/>
  <c r="J271" i="6"/>
  <c r="J123" i="6"/>
  <c r="J39" i="20" l="1"/>
  <c r="BQ30" i="20"/>
  <c r="CK32" i="20"/>
  <c r="H32" i="20"/>
  <c r="CK33" i="20"/>
  <c r="H33" i="20"/>
  <c r="J50" i="20"/>
  <c r="L50" i="20"/>
  <c r="I50" i="20"/>
  <c r="K50" i="20"/>
  <c r="I48" i="20"/>
  <c r="CH36" i="20"/>
  <c r="K36" i="20" s="1"/>
  <c r="K47" i="20"/>
  <c r="L47" i="20"/>
  <c r="I47" i="20"/>
  <c r="I49" i="20"/>
  <c r="J48" i="20"/>
  <c r="K49" i="20"/>
  <c r="K48" i="20"/>
  <c r="J49" i="20"/>
  <c r="L49" i="20"/>
  <c r="L48" i="20"/>
  <c r="J47" i="20"/>
  <c r="AF32" i="20"/>
  <c r="L39" i="20"/>
  <c r="M39" i="20"/>
  <c r="K39" i="20"/>
  <c r="P33" i="20"/>
  <c r="F33" i="20"/>
  <c r="P32" i="20"/>
  <c r="F32" i="20"/>
  <c r="CH37" i="20"/>
  <c r="M37" i="20" s="1"/>
  <c r="CH40" i="20"/>
  <c r="M40" i="20" s="1"/>
  <c r="G33" i="20"/>
  <c r="G32" i="20"/>
  <c r="BP30" i="20"/>
  <c r="AF33" i="20"/>
  <c r="Y85" i="9"/>
  <c r="I46" i="20"/>
  <c r="M46" i="20"/>
  <c r="J46" i="20"/>
  <c r="K46" i="20"/>
  <c r="I44" i="20"/>
  <c r="J44" i="20"/>
  <c r="CH34" i="20"/>
  <c r="M34" i="20" s="1"/>
  <c r="K44" i="20"/>
  <c r="L44" i="20"/>
  <c r="CH41" i="20"/>
  <c r="M41" i="20" s="1"/>
  <c r="H85" i="9"/>
  <c r="G85" i="9"/>
  <c r="F85" i="9"/>
  <c r="K51" i="20"/>
  <c r="W23" i="1"/>
  <c r="M51" i="20"/>
  <c r="L51" i="20"/>
  <c r="J51" i="20"/>
  <c r="CH43" i="20"/>
  <c r="M43" i="20" s="1"/>
  <c r="CH38" i="20"/>
  <c r="M38" i="20" s="1"/>
  <c r="C17" i="18"/>
  <c r="K42" i="20"/>
  <c r="B31" i="20"/>
  <c r="C98" i="18"/>
  <c r="L42" i="20"/>
  <c r="J42" i="20"/>
  <c r="I42" i="20"/>
  <c r="L35" i="20"/>
  <c r="K35" i="20"/>
  <c r="M35" i="20"/>
  <c r="I35" i="20"/>
  <c r="B30" i="20"/>
  <c r="BS30" i="20"/>
  <c r="J84" i="6"/>
  <c r="CK31" i="20" l="1"/>
  <c r="H31" i="20"/>
  <c r="CK30" i="20"/>
  <c r="H30" i="20"/>
  <c r="J40" i="20"/>
  <c r="K37" i="20"/>
  <c r="J36" i="20"/>
  <c r="L36" i="20"/>
  <c r="M36" i="20"/>
  <c r="I36" i="20"/>
  <c r="AF31" i="20"/>
  <c r="L40" i="20"/>
  <c r="K40" i="20"/>
  <c r="I40" i="20"/>
  <c r="CH33" i="20"/>
  <c r="M33" i="20" s="1"/>
  <c r="P30" i="20"/>
  <c r="F30" i="20"/>
  <c r="P31" i="20"/>
  <c r="F31" i="20"/>
  <c r="CH32" i="20"/>
  <c r="M32" i="20" s="1"/>
  <c r="L37" i="20"/>
  <c r="I37" i="20"/>
  <c r="J37" i="20"/>
  <c r="G31" i="20"/>
  <c r="G30" i="20"/>
  <c r="K34" i="20"/>
  <c r="J34" i="20"/>
  <c r="I34" i="20"/>
  <c r="L34" i="20"/>
  <c r="L41" i="20"/>
  <c r="J41" i="20"/>
  <c r="K41" i="20"/>
  <c r="I41" i="20"/>
  <c r="J43" i="20"/>
  <c r="K43" i="20"/>
  <c r="L43" i="20"/>
  <c r="I43" i="20"/>
  <c r="L38" i="20"/>
  <c r="I38" i="20"/>
  <c r="K38" i="20"/>
  <c r="J38" i="20"/>
  <c r="AF30" i="20"/>
  <c r="U23" i="1"/>
  <c r="K33" i="20" l="1"/>
  <c r="I33" i="20"/>
  <c r="L33" i="20"/>
  <c r="J33" i="20"/>
  <c r="L32" i="20"/>
  <c r="I32" i="20"/>
  <c r="J32" i="20"/>
  <c r="K32" i="20"/>
  <c r="CH31" i="20"/>
  <c r="M31" i="20" s="1"/>
  <c r="CH30" i="20"/>
  <c r="P266" i="11"/>
  <c r="E265" i="9"/>
  <c r="M265" i="9"/>
  <c r="H66" i="11"/>
  <c r="P66" i="11"/>
  <c r="E68" i="9"/>
  <c r="M68" i="9"/>
  <c r="H19" i="11"/>
  <c r="P19" i="11"/>
  <c r="E19" i="9"/>
  <c r="M19" i="9"/>
  <c r="H47" i="11"/>
  <c r="P47" i="11"/>
  <c r="E48" i="9"/>
  <c r="M48" i="9"/>
  <c r="H26" i="11"/>
  <c r="P26" i="11"/>
  <c r="P260" i="11"/>
  <c r="E258" i="9"/>
  <c r="M258" i="9"/>
  <c r="H219" i="11"/>
  <c r="P219" i="11"/>
  <c r="E216" i="9"/>
  <c r="M216" i="9"/>
  <c r="K31" i="20" l="1"/>
  <c r="J31" i="20"/>
  <c r="I31" i="20"/>
  <c r="L31" i="20"/>
  <c r="M30" i="20"/>
  <c r="J30" i="20"/>
  <c r="K30" i="20"/>
  <c r="L30" i="20"/>
  <c r="I30" i="20"/>
  <c r="BJ216" i="9"/>
  <c r="I25" i="6"/>
  <c r="AT48" i="9"/>
  <c r="AF19" i="9"/>
  <c r="S266" i="11"/>
  <c r="Q266" i="11"/>
  <c r="H266" i="11"/>
  <c r="BA265" i="9"/>
  <c r="AF265" i="9"/>
  <c r="BJ265" i="9"/>
  <c r="BH265" i="9"/>
  <c r="AT265" i="9"/>
  <c r="AM265" i="9"/>
  <c r="Q19" i="11"/>
  <c r="Q66" i="11"/>
  <c r="S66" i="11"/>
  <c r="AF68" i="9"/>
  <c r="BJ68" i="9"/>
  <c r="BH68" i="9"/>
  <c r="BA68" i="9"/>
  <c r="AT68" i="9"/>
  <c r="AM68" i="9"/>
  <c r="S19" i="11"/>
  <c r="BJ19" i="9"/>
  <c r="BH19" i="9"/>
  <c r="BA19" i="9"/>
  <c r="AT19" i="9"/>
  <c r="AM19" i="9"/>
  <c r="Q47" i="11"/>
  <c r="S47" i="11"/>
  <c r="AM48" i="9"/>
  <c r="AF48" i="9"/>
  <c r="BJ48" i="9"/>
  <c r="BH48" i="9"/>
  <c r="BA48" i="9"/>
  <c r="S260" i="11"/>
  <c r="Q26" i="11"/>
  <c r="S26" i="11"/>
  <c r="BA26" i="9"/>
  <c r="AF26" i="9"/>
  <c r="BJ26" i="9"/>
  <c r="BH26" i="9"/>
  <c r="AT26" i="9"/>
  <c r="AM26" i="9"/>
  <c r="Q260" i="11"/>
  <c r="H260" i="11"/>
  <c r="AF258" i="9"/>
  <c r="BJ258" i="9"/>
  <c r="BH258" i="9"/>
  <c r="BA258" i="9"/>
  <c r="AT258" i="9"/>
  <c r="AM258" i="9"/>
  <c r="Q219" i="11"/>
  <c r="S219" i="11"/>
  <c r="BH216" i="9"/>
  <c r="AT216" i="9"/>
  <c r="BA216" i="9"/>
  <c r="AM216" i="9"/>
  <c r="AF216" i="9"/>
  <c r="H227" i="11"/>
  <c r="P227" i="11"/>
  <c r="E224" i="9"/>
  <c r="M224" i="9"/>
  <c r="P136" i="11"/>
  <c r="E137" i="9"/>
  <c r="M137" i="9"/>
  <c r="P208" i="11"/>
  <c r="E205" i="9"/>
  <c r="M205" i="9"/>
  <c r="I267" i="6" l="1"/>
  <c r="I259" i="6"/>
  <c r="I216" i="6"/>
  <c r="I47" i="6"/>
  <c r="O47" i="6" s="1"/>
  <c r="B48" i="9" s="1"/>
  <c r="CD48" i="9" s="1"/>
  <c r="I67" i="6"/>
  <c r="I18" i="6"/>
  <c r="AT22" i="20"/>
  <c r="BH23" i="20"/>
  <c r="AM23" i="20"/>
  <c r="BR25" i="20"/>
  <c r="AT25" i="20"/>
  <c r="AT26" i="20"/>
  <c r="BR26" i="20"/>
  <c r="BH27" i="20"/>
  <c r="BR27" i="20"/>
  <c r="AT28" i="20"/>
  <c r="BH28" i="20"/>
  <c r="BO29" i="20"/>
  <c r="BA25" i="20"/>
  <c r="AM22" i="20"/>
  <c r="BH22" i="20"/>
  <c r="BO23" i="20"/>
  <c r="BH25" i="20"/>
  <c r="AM25" i="20"/>
  <c r="BA26" i="20"/>
  <c r="BO27" i="20"/>
  <c r="AM27" i="20"/>
  <c r="BA28" i="20"/>
  <c r="BR28" i="20"/>
  <c r="AT29" i="20"/>
  <c r="AM29" i="20"/>
  <c r="BA22" i="20"/>
  <c r="AT23" i="20"/>
  <c r="BO25" i="20"/>
  <c r="BH26" i="20"/>
  <c r="AT27" i="20"/>
  <c r="BO28" i="20"/>
  <c r="AM28" i="20"/>
  <c r="BA29" i="20"/>
  <c r="BO22" i="20"/>
  <c r="BA23" i="20"/>
  <c r="BR23" i="20"/>
  <c r="BO26" i="20"/>
  <c r="BA27" i="20"/>
  <c r="BH29" i="20"/>
  <c r="BR29" i="20"/>
  <c r="AM26" i="20"/>
  <c r="BR22" i="20"/>
  <c r="AT137" i="9"/>
  <c r="BK265" i="9"/>
  <c r="BK68" i="9"/>
  <c r="BK19" i="9"/>
  <c r="BK48" i="9"/>
  <c r="CB26" i="9"/>
  <c r="BK26" i="9"/>
  <c r="BK258" i="9"/>
  <c r="BK216" i="9"/>
  <c r="Q136" i="11"/>
  <c r="S208" i="11"/>
  <c r="AF224" i="9"/>
  <c r="Q227" i="11"/>
  <c r="S227" i="11"/>
  <c r="BJ224" i="9"/>
  <c r="BH224" i="9"/>
  <c r="BA224" i="9"/>
  <c r="AT224" i="9"/>
  <c r="AM224" i="9"/>
  <c r="Q208" i="11"/>
  <c r="S136" i="11"/>
  <c r="H136" i="11"/>
  <c r="AM137" i="9"/>
  <c r="AF137" i="9"/>
  <c r="BJ137" i="9"/>
  <c r="BH137" i="9"/>
  <c r="BA137" i="9"/>
  <c r="H208" i="11"/>
  <c r="AF205" i="9"/>
  <c r="BJ205" i="9"/>
  <c r="BH205" i="9"/>
  <c r="BA205" i="9"/>
  <c r="AT205" i="9"/>
  <c r="AM205" i="9"/>
  <c r="H244" i="11"/>
  <c r="P244" i="11"/>
  <c r="E243" i="9"/>
  <c r="M243" i="9"/>
  <c r="BI258" i="9" l="1"/>
  <c r="BQ23" i="20"/>
  <c r="BI48" i="9"/>
  <c r="BQ25" i="20"/>
  <c r="BI265" i="9"/>
  <c r="BQ28" i="20"/>
  <c r="BQ29" i="20"/>
  <c r="BI216" i="9"/>
  <c r="BQ22" i="20"/>
  <c r="BI19" i="9"/>
  <c r="BQ26" i="20"/>
  <c r="BI68" i="9"/>
  <c r="BQ27" i="20"/>
  <c r="BP26" i="20"/>
  <c r="CB19" i="9"/>
  <c r="BP29" i="20"/>
  <c r="BP28" i="20"/>
  <c r="CB265" i="9"/>
  <c r="BP27" i="20"/>
  <c r="CB68" i="9"/>
  <c r="BP22" i="20"/>
  <c r="CB216" i="9"/>
  <c r="BP23" i="20"/>
  <c r="CB258" i="9"/>
  <c r="BP25" i="20"/>
  <c r="CB48" i="9"/>
  <c r="I224" i="6"/>
  <c r="I205" i="6"/>
  <c r="I137" i="6"/>
  <c r="BI26" i="9"/>
  <c r="F48" i="9"/>
  <c r="G48" i="9"/>
  <c r="H48" i="9"/>
  <c r="O259" i="6"/>
  <c r="B258" i="9" s="1"/>
  <c r="CD258" i="9" s="1"/>
  <c r="O67" i="6"/>
  <c r="B68" i="9" s="1"/>
  <c r="CD68" i="9" s="1"/>
  <c r="O25" i="6"/>
  <c r="O18" i="6"/>
  <c r="B19" i="9" s="1"/>
  <c r="CD19" i="9" s="1"/>
  <c r="O216" i="6"/>
  <c r="B216" i="9" s="1"/>
  <c r="CD216" i="9" s="1"/>
  <c r="O267" i="6"/>
  <c r="B265" i="9" s="1"/>
  <c r="CD265" i="9" s="1"/>
  <c r="B25" i="20"/>
  <c r="C67" i="18"/>
  <c r="BO19" i="20"/>
  <c r="AM19" i="20"/>
  <c r="AT21" i="20"/>
  <c r="BS25" i="20"/>
  <c r="BS26" i="20"/>
  <c r="AT18" i="20"/>
  <c r="BH18" i="20"/>
  <c r="AT19" i="20"/>
  <c r="BH20" i="20"/>
  <c r="AM20" i="20"/>
  <c r="BA21" i="20"/>
  <c r="BS27" i="20"/>
  <c r="BA18" i="20"/>
  <c r="BO18" i="20"/>
  <c r="BA19" i="20"/>
  <c r="BO20" i="20"/>
  <c r="AT20" i="20"/>
  <c r="BH21" i="20"/>
  <c r="BS28" i="20"/>
  <c r="BA20" i="20"/>
  <c r="AM18" i="20"/>
  <c r="BR18" i="20"/>
  <c r="BH19" i="20"/>
  <c r="BR19" i="20"/>
  <c r="BR20" i="20"/>
  <c r="BO21" i="20"/>
  <c r="BR21" i="20"/>
  <c r="AM21" i="20"/>
  <c r="BS22" i="20"/>
  <c r="BS23" i="20"/>
  <c r="BS29" i="20"/>
  <c r="BK224" i="9"/>
  <c r="BK137" i="9"/>
  <c r="BK205" i="9"/>
  <c r="S244" i="11"/>
  <c r="Q244" i="11"/>
  <c r="AF243" i="9"/>
  <c r="BH243" i="9"/>
  <c r="BJ243" i="9"/>
  <c r="BA243" i="9"/>
  <c r="AT243" i="9"/>
  <c r="AM243" i="9"/>
  <c r="BQ18" i="20" l="1"/>
  <c r="BI205" i="9"/>
  <c r="BQ19" i="20"/>
  <c r="BI137" i="9"/>
  <c r="BQ20" i="20"/>
  <c r="BI224" i="9"/>
  <c r="BQ21" i="20"/>
  <c r="CK25" i="20"/>
  <c r="H25" i="20"/>
  <c r="P25" i="20"/>
  <c r="F25" i="20"/>
  <c r="BP18" i="20"/>
  <c r="BP20" i="20"/>
  <c r="CB137" i="9"/>
  <c r="BP21" i="20"/>
  <c r="CB224" i="9"/>
  <c r="G25" i="20"/>
  <c r="BP19" i="20"/>
  <c r="CB205" i="9"/>
  <c r="I243" i="6"/>
  <c r="Y48" i="9"/>
  <c r="Y265" i="9"/>
  <c r="Y258" i="9"/>
  <c r="Y216" i="9"/>
  <c r="Y19" i="9"/>
  <c r="Y26" i="9"/>
  <c r="Y68" i="9"/>
  <c r="C167" i="18"/>
  <c r="B26" i="9"/>
  <c r="CD26" i="9" s="1"/>
  <c r="H265" i="9"/>
  <c r="F265" i="9"/>
  <c r="G265" i="9"/>
  <c r="H216" i="9"/>
  <c r="F216" i="9"/>
  <c r="G216" i="9"/>
  <c r="H19" i="9"/>
  <c r="G19" i="9"/>
  <c r="F19" i="9"/>
  <c r="H68" i="9"/>
  <c r="G68" i="9"/>
  <c r="F68" i="9"/>
  <c r="H258" i="9"/>
  <c r="G258" i="9"/>
  <c r="F258" i="9"/>
  <c r="B29" i="20"/>
  <c r="C208" i="18"/>
  <c r="B23" i="20"/>
  <c r="C258" i="18"/>
  <c r="B22" i="20"/>
  <c r="C263" i="18"/>
  <c r="C219" i="18"/>
  <c r="C40" i="18"/>
  <c r="C82" i="18"/>
  <c r="B27" i="20"/>
  <c r="B28" i="20"/>
  <c r="B26" i="20"/>
  <c r="O224" i="6"/>
  <c r="B224" i="9" s="1"/>
  <c r="CD224" i="9" s="1"/>
  <c r="O137" i="6"/>
  <c r="B137" i="9" s="1"/>
  <c r="CD137" i="9" s="1"/>
  <c r="O205" i="6"/>
  <c r="B205" i="9" s="1"/>
  <c r="CD205" i="9" s="1"/>
  <c r="BR17" i="20"/>
  <c r="BA17" i="20"/>
  <c r="BO17" i="20"/>
  <c r="AT17" i="20"/>
  <c r="BH17" i="20"/>
  <c r="AM17" i="20"/>
  <c r="BS18" i="20"/>
  <c r="BS19" i="20"/>
  <c r="BS20" i="20"/>
  <c r="BS21" i="20"/>
  <c r="J67" i="6"/>
  <c r="J25" i="6"/>
  <c r="J18" i="6"/>
  <c r="J267" i="6"/>
  <c r="J47" i="6"/>
  <c r="J259" i="6"/>
  <c r="J216" i="6"/>
  <c r="BK243" i="9"/>
  <c r="BI243" i="9" l="1"/>
  <c r="BQ17" i="20"/>
  <c r="CK28" i="20"/>
  <c r="H28" i="20"/>
  <c r="CK22" i="20"/>
  <c r="H22" i="20"/>
  <c r="CK27" i="20"/>
  <c r="H27" i="20"/>
  <c r="CK29" i="20"/>
  <c r="H29" i="20"/>
  <c r="CK26" i="20"/>
  <c r="H26" i="20"/>
  <c r="CK23" i="20"/>
  <c r="H23" i="20"/>
  <c r="P26" i="20"/>
  <c r="F26" i="20"/>
  <c r="P23" i="20"/>
  <c r="F23" i="20"/>
  <c r="P28" i="20"/>
  <c r="F28" i="20"/>
  <c r="P22" i="20"/>
  <c r="F22" i="20"/>
  <c r="P27" i="20"/>
  <c r="F27" i="20"/>
  <c r="P29" i="20"/>
  <c r="F29" i="20"/>
  <c r="BP17" i="20"/>
  <c r="CB243" i="9"/>
  <c r="G22" i="20"/>
  <c r="G27" i="20"/>
  <c r="G29" i="20"/>
  <c r="G26" i="20"/>
  <c r="G23" i="20"/>
  <c r="G28" i="20"/>
  <c r="AF28" i="20"/>
  <c r="AF29" i="20"/>
  <c r="AF22" i="20"/>
  <c r="AF26" i="20"/>
  <c r="AF23" i="20"/>
  <c r="AF25" i="20"/>
  <c r="AF27" i="20"/>
  <c r="Y224" i="9"/>
  <c r="Y205" i="9"/>
  <c r="Y137" i="9"/>
  <c r="G26" i="9"/>
  <c r="H26" i="9"/>
  <c r="F26" i="9"/>
  <c r="CH25" i="20"/>
  <c r="M25" i="20" s="1"/>
  <c r="H205" i="9"/>
  <c r="G205" i="9"/>
  <c r="F205" i="9"/>
  <c r="H137" i="9"/>
  <c r="G137" i="9"/>
  <c r="F137" i="9"/>
  <c r="H224" i="9"/>
  <c r="F224" i="9"/>
  <c r="G224" i="9"/>
  <c r="C211" i="18"/>
  <c r="B20" i="20"/>
  <c r="B19" i="20"/>
  <c r="B21" i="20"/>
  <c r="C227" i="18"/>
  <c r="C145" i="18"/>
  <c r="B18" i="20"/>
  <c r="O243" i="6"/>
  <c r="B243" i="9" s="1"/>
  <c r="CD243" i="9" s="1"/>
  <c r="C144" i="18"/>
  <c r="BS17" i="20"/>
  <c r="J224" i="6"/>
  <c r="J137" i="6"/>
  <c r="J205" i="6"/>
  <c r="CK21" i="20" l="1"/>
  <c r="H21" i="20"/>
  <c r="CK19" i="20"/>
  <c r="H19" i="20"/>
  <c r="CK18" i="20"/>
  <c r="H18" i="20"/>
  <c r="CK20" i="20"/>
  <c r="H20" i="20"/>
  <c r="CH27" i="20"/>
  <c r="M27" i="20" s="1"/>
  <c r="P18" i="20"/>
  <c r="F18" i="20"/>
  <c r="P20" i="20"/>
  <c r="F20" i="20"/>
  <c r="CH23" i="20"/>
  <c r="L23" i="20" s="1"/>
  <c r="P21" i="20"/>
  <c r="F21" i="20"/>
  <c r="F19" i="20"/>
  <c r="P19" i="20"/>
  <c r="CH28" i="20"/>
  <c r="M28" i="20" s="1"/>
  <c r="G18" i="20"/>
  <c r="G20" i="20"/>
  <c r="G21" i="20"/>
  <c r="G19" i="20"/>
  <c r="AF21" i="20"/>
  <c r="AF18" i="20"/>
  <c r="AF20" i="20"/>
  <c r="AF19" i="20"/>
  <c r="Y243" i="9"/>
  <c r="K25" i="20"/>
  <c r="CH22" i="20"/>
  <c r="M22" i="20" s="1"/>
  <c r="L25" i="20"/>
  <c r="I25" i="20"/>
  <c r="J25" i="20"/>
  <c r="F243" i="9"/>
  <c r="G243" i="9"/>
  <c r="H243" i="9"/>
  <c r="CH29" i="20"/>
  <c r="M29" i="20" s="1"/>
  <c r="B17" i="20"/>
  <c r="C246" i="18"/>
  <c r="CH26" i="20"/>
  <c r="J26" i="20" s="1"/>
  <c r="J243" i="6"/>
  <c r="CK17" i="20" l="1"/>
  <c r="H17" i="20"/>
  <c r="I27" i="20"/>
  <c r="J27" i="20"/>
  <c r="K27" i="20"/>
  <c r="L27" i="20"/>
  <c r="L28" i="20"/>
  <c r="I28" i="20"/>
  <c r="I23" i="20"/>
  <c r="K28" i="20"/>
  <c r="J28" i="20"/>
  <c r="M23" i="20"/>
  <c r="J23" i="20"/>
  <c r="K23" i="20"/>
  <c r="CH21" i="20"/>
  <c r="I21" i="20" s="1"/>
  <c r="CH18" i="20"/>
  <c r="M18" i="20" s="1"/>
  <c r="P17" i="20"/>
  <c r="F17" i="20"/>
  <c r="G17" i="20"/>
  <c r="AF17" i="20"/>
  <c r="K22" i="20"/>
  <c r="L22" i="20"/>
  <c r="J22" i="20"/>
  <c r="I22" i="20"/>
  <c r="J29" i="20"/>
  <c r="CH19" i="20"/>
  <c r="M19" i="20" s="1"/>
  <c r="K29" i="20"/>
  <c r="I29" i="20"/>
  <c r="L29" i="20"/>
  <c r="CH20" i="20"/>
  <c r="M20" i="20" s="1"/>
  <c r="M26" i="20"/>
  <c r="I26" i="20"/>
  <c r="L26" i="20"/>
  <c r="K26" i="20"/>
  <c r="K18" i="20" l="1"/>
  <c r="L21" i="20"/>
  <c r="K21" i="20"/>
  <c r="M21" i="20"/>
  <c r="J21" i="20"/>
  <c r="I18" i="20"/>
  <c r="L18" i="20"/>
  <c r="J18" i="20"/>
  <c r="I19" i="20"/>
  <c r="J19" i="20"/>
  <c r="K19" i="20"/>
  <c r="L19" i="20"/>
  <c r="CH17" i="20"/>
  <c r="M17" i="20" s="1"/>
  <c r="I20" i="20"/>
  <c r="L20" i="20"/>
  <c r="K20" i="20"/>
  <c r="J20" i="20"/>
  <c r="H129" i="11"/>
  <c r="P129" i="11"/>
  <c r="E130" i="9"/>
  <c r="M130" i="9"/>
  <c r="J17" i="20" l="1"/>
  <c r="L17" i="20"/>
  <c r="K17" i="20"/>
  <c r="I17" i="20"/>
  <c r="Q129" i="11"/>
  <c r="S129" i="11"/>
  <c r="BA130" i="9"/>
  <c r="AT130" i="9"/>
  <c r="BJ130" i="9"/>
  <c r="AM130" i="9"/>
  <c r="BH130" i="9"/>
  <c r="AF130" i="9"/>
  <c r="I130" i="6" l="1"/>
  <c r="BA16" i="20"/>
  <c r="AM16" i="20"/>
  <c r="AT16" i="20"/>
  <c r="BH16" i="20"/>
  <c r="BO16" i="20"/>
  <c r="BR16" i="20"/>
  <c r="BK130" i="9"/>
  <c r="BI130" i="9" l="1"/>
  <c r="BQ16" i="20"/>
  <c r="BP16" i="20"/>
  <c r="CB130" i="9"/>
  <c r="O130" i="6"/>
  <c r="B130" i="9" s="1"/>
  <c r="CD130" i="9" s="1"/>
  <c r="BS16" i="20"/>
  <c r="Y130" i="9" l="1"/>
  <c r="H130" i="9"/>
  <c r="F130" i="9"/>
  <c r="G130" i="9"/>
  <c r="C138" i="18"/>
  <c r="B16" i="20"/>
  <c r="J130" i="6"/>
  <c r="BM10" i="2"/>
  <c r="AC10" i="2"/>
  <c r="BJ299" i="9" s="1"/>
  <c r="CK16" i="20" l="1"/>
  <c r="H16" i="20"/>
  <c r="P16" i="20"/>
  <c r="F16" i="20"/>
  <c r="G16" i="20"/>
  <c r="AF16" i="20"/>
  <c r="BR15" i="20"/>
  <c r="BJ92" i="9"/>
  <c r="CH16" i="20" l="1"/>
  <c r="M16" i="20" s="1"/>
  <c r="BR11" i="20"/>
  <c r="P300" i="11"/>
  <c r="E299" i="9"/>
  <c r="M299" i="9"/>
  <c r="R8" i="1"/>
  <c r="Y8" i="1"/>
  <c r="AE8" i="1"/>
  <c r="H147" i="11"/>
  <c r="P147" i="11"/>
  <c r="H153" i="11"/>
  <c r="P153" i="11"/>
  <c r="E149" i="9"/>
  <c r="M149" i="9"/>
  <c r="H161" i="11"/>
  <c r="P161" i="11"/>
  <c r="E154" i="9"/>
  <c r="M154" i="9"/>
  <c r="I16" i="20" l="1"/>
  <c r="L16" i="20"/>
  <c r="K16" i="20"/>
  <c r="J16" i="20"/>
  <c r="BJ163" i="9"/>
  <c r="BJ154" i="9"/>
  <c r="BJ149" i="9"/>
  <c r="AT163" i="9"/>
  <c r="Q153" i="11"/>
  <c r="H300" i="11"/>
  <c r="S300" i="11"/>
  <c r="P10" i="2"/>
  <c r="Q147" i="11"/>
  <c r="Q161" i="11"/>
  <c r="Q300" i="11"/>
  <c r="BE10" i="2"/>
  <c r="BA299" i="9" s="1"/>
  <c r="BY10" i="2"/>
  <c r="AT149" i="9"/>
  <c r="CA10" i="2"/>
  <c r="AX10" i="2"/>
  <c r="AT299" i="9" s="1"/>
  <c r="BN10" i="2"/>
  <c r="BZ10" i="2" s="1"/>
  <c r="AQ10" i="2"/>
  <c r="AM299" i="9" s="1"/>
  <c r="BP10" i="2"/>
  <c r="CB10" i="2" s="1"/>
  <c r="BL10" i="2"/>
  <c r="BH299" i="9" s="1"/>
  <c r="AJ10" i="2"/>
  <c r="AF299" i="9" s="1"/>
  <c r="S147" i="11"/>
  <c r="BA149" i="9"/>
  <c r="AM149" i="9"/>
  <c r="BH149" i="9"/>
  <c r="AF149" i="9"/>
  <c r="S153" i="11"/>
  <c r="BH154" i="9"/>
  <c r="BA154" i="9"/>
  <c r="AF154" i="9"/>
  <c r="AT154" i="9"/>
  <c r="AM154" i="9"/>
  <c r="AM163" i="9"/>
  <c r="S161" i="11"/>
  <c r="BH163" i="9"/>
  <c r="AF163" i="9"/>
  <c r="BA163" i="9"/>
  <c r="I163" i="6" l="1"/>
  <c r="O163" i="6" s="1"/>
  <c r="B163" i="9" s="1"/>
  <c r="CD163" i="9" s="1"/>
  <c r="I155" i="6"/>
  <c r="I149" i="6"/>
  <c r="O149" i="6" s="1"/>
  <c r="B149" i="9" s="1"/>
  <c r="CD149" i="9" s="1"/>
  <c r="T8" i="1"/>
  <c r="I301" i="6"/>
  <c r="O301" i="6" s="1"/>
  <c r="B299" i="9" s="1"/>
  <c r="CD299" i="9" s="1"/>
  <c r="BR12" i="20"/>
  <c r="BO12" i="20"/>
  <c r="BH14" i="20"/>
  <c r="BH15" i="20"/>
  <c r="BH12" i="20"/>
  <c r="AT12" i="20"/>
  <c r="AT14" i="20"/>
  <c r="AT15" i="20"/>
  <c r="BA14" i="20"/>
  <c r="BA12" i="20"/>
  <c r="BA13" i="20"/>
  <c r="AM15" i="20"/>
  <c r="BR14" i="20"/>
  <c r="BH13" i="20"/>
  <c r="AM14" i="20"/>
  <c r="AM12" i="20"/>
  <c r="AT13" i="20"/>
  <c r="AM13" i="20"/>
  <c r="BO13" i="20"/>
  <c r="BO14" i="20"/>
  <c r="BO15" i="20"/>
  <c r="BA15" i="20"/>
  <c r="BR13" i="20"/>
  <c r="Y10" i="2"/>
  <c r="AA10" i="2"/>
  <c r="Z10" i="2"/>
  <c r="BQ10" i="2" s="1"/>
  <c r="AB10" i="2"/>
  <c r="BK299" i="9" s="1"/>
  <c r="BK149" i="9"/>
  <c r="BK154" i="9"/>
  <c r="BK163" i="9"/>
  <c r="BI299" i="9" l="1"/>
  <c r="BQ15" i="20"/>
  <c r="BI154" i="9"/>
  <c r="BQ13" i="20"/>
  <c r="BI163" i="9"/>
  <c r="BQ12" i="20"/>
  <c r="BI149" i="9"/>
  <c r="BQ14" i="20"/>
  <c r="BP12" i="20"/>
  <c r="CB163" i="9"/>
  <c r="BP15" i="20"/>
  <c r="CB299" i="9"/>
  <c r="BP13" i="20"/>
  <c r="CB154" i="9"/>
  <c r="BP14" i="20"/>
  <c r="CB149" i="9"/>
  <c r="G163" i="9"/>
  <c r="F163" i="9"/>
  <c r="H163" i="9"/>
  <c r="F149" i="9"/>
  <c r="G149" i="9"/>
  <c r="H149" i="9"/>
  <c r="H299" i="9"/>
  <c r="G299" i="9"/>
  <c r="F299" i="9"/>
  <c r="O155" i="6"/>
  <c r="B14" i="20"/>
  <c r="B12" i="20"/>
  <c r="BS13" i="20"/>
  <c r="BS15" i="20"/>
  <c r="BS14" i="20"/>
  <c r="BS12" i="20"/>
  <c r="C170" i="18"/>
  <c r="C157" i="18"/>
  <c r="BR10" i="2"/>
  <c r="CD10" i="2" s="1"/>
  <c r="BU10" i="2"/>
  <c r="CG10" i="2" s="1"/>
  <c r="CY10" i="2"/>
  <c r="X10" i="2" s="1"/>
  <c r="BS10" i="2"/>
  <c r="BT10" i="2"/>
  <c r="CF10" i="2" s="1"/>
  <c r="CK14" i="20" l="1"/>
  <c r="H14" i="20"/>
  <c r="CK12" i="20"/>
  <c r="H12" i="20"/>
  <c r="P14" i="20"/>
  <c r="F14" i="20"/>
  <c r="P12" i="20"/>
  <c r="F12" i="20"/>
  <c r="G14" i="20"/>
  <c r="G12" i="20"/>
  <c r="Y299" i="9"/>
  <c r="Y163" i="9"/>
  <c r="Y149" i="9"/>
  <c r="AF13" i="20"/>
  <c r="Y154" i="9"/>
  <c r="B154" i="9"/>
  <c r="CD154" i="9" s="1"/>
  <c r="B13" i="20"/>
  <c r="C162" i="18"/>
  <c r="J155" i="6"/>
  <c r="J149" i="6"/>
  <c r="BV10" i="2"/>
  <c r="J301" i="6" s="1"/>
  <c r="J163" i="6"/>
  <c r="CC10" i="2"/>
  <c r="CE10" i="2"/>
  <c r="U8" i="1"/>
  <c r="CK13" i="20" l="1"/>
  <c r="H13" i="20"/>
  <c r="CH14" i="20"/>
  <c r="M14" i="20" s="1"/>
  <c r="P13" i="20"/>
  <c r="F13" i="20"/>
  <c r="G13" i="20"/>
  <c r="AF15" i="20"/>
  <c r="AF14" i="20"/>
  <c r="AF12" i="20"/>
  <c r="H154" i="9"/>
  <c r="G154" i="9"/>
  <c r="F154" i="9"/>
  <c r="CH12" i="20"/>
  <c r="L12" i="20" s="1"/>
  <c r="CH10" i="2"/>
  <c r="BW10" i="2"/>
  <c r="E163" i="9"/>
  <c r="M163" i="9"/>
  <c r="J14" i="20" l="1"/>
  <c r="I14" i="20"/>
  <c r="L14" i="20"/>
  <c r="K14" i="20"/>
  <c r="CH13" i="20"/>
  <c r="L13" i="20" s="1"/>
  <c r="I12" i="20"/>
  <c r="J12" i="20"/>
  <c r="M12" i="20"/>
  <c r="K12" i="20"/>
  <c r="BX10" i="2"/>
  <c r="I13" i="20" l="1"/>
  <c r="J13" i="20"/>
  <c r="M13" i="20"/>
  <c r="K13" i="20"/>
  <c r="H90" i="11"/>
  <c r="P90" i="11"/>
  <c r="E92" i="9"/>
  <c r="M92" i="9"/>
  <c r="Q90" i="11" l="1"/>
  <c r="S90" i="11"/>
  <c r="AM92" i="9"/>
  <c r="BA92" i="9"/>
  <c r="AT92" i="9"/>
  <c r="BH92" i="9"/>
  <c r="AF92" i="9"/>
  <c r="I91" i="6" l="1"/>
  <c r="AT11" i="20"/>
  <c r="BA11" i="20"/>
  <c r="AM11" i="20"/>
  <c r="BH11" i="20"/>
  <c r="BO11" i="20"/>
  <c r="BK92" i="9"/>
  <c r="BI92" i="9" l="1"/>
  <c r="BQ11" i="20"/>
  <c r="BP11" i="20"/>
  <c r="CB92" i="9"/>
  <c r="O91" i="6"/>
  <c r="B92" i="9" s="1"/>
  <c r="CD92" i="9" s="1"/>
  <c r="BS11" i="20"/>
  <c r="H16" i="11"/>
  <c r="P16" i="11"/>
  <c r="E16" i="9"/>
  <c r="M16" i="9"/>
  <c r="B203" i="11"/>
  <c r="H203" i="11" s="1"/>
  <c r="C203" i="11"/>
  <c r="D203" i="11"/>
  <c r="E203" i="11"/>
  <c r="F203" i="11"/>
  <c r="G203" i="11"/>
  <c r="P203" i="11"/>
  <c r="H3" i="11"/>
  <c r="P3" i="11"/>
  <c r="L3" i="6"/>
  <c r="Y92" i="9" l="1"/>
  <c r="H92" i="9"/>
  <c r="G92" i="9"/>
  <c r="F92" i="9"/>
  <c r="B11" i="20"/>
  <c r="C104" i="18"/>
  <c r="J91" i="6"/>
  <c r="BJ16" i="9"/>
  <c r="BJ38" i="9"/>
  <c r="O3" i="6"/>
  <c r="B360" i="20" s="1"/>
  <c r="J3" i="6"/>
  <c r="Q16" i="11"/>
  <c r="S16" i="11"/>
  <c r="AT16" i="9"/>
  <c r="AM16" i="9"/>
  <c r="BH16" i="9"/>
  <c r="AF16" i="9"/>
  <c r="BA16" i="9"/>
  <c r="S203" i="11"/>
  <c r="Q203" i="11"/>
  <c r="Q3" i="11"/>
  <c r="S3" i="11"/>
  <c r="K3" i="11"/>
  <c r="M3" i="11" s="1"/>
  <c r="AT38" i="9"/>
  <c r="AM38" i="9"/>
  <c r="BA38" i="9"/>
  <c r="I37" i="6"/>
  <c r="BH38" i="9"/>
  <c r="AF38" i="9"/>
  <c r="F360" i="20" l="1"/>
  <c r="G360" i="20"/>
  <c r="H360" i="20"/>
  <c r="CK360" i="20"/>
  <c r="CK11" i="20"/>
  <c r="H11" i="20"/>
  <c r="P11" i="20"/>
  <c r="F11" i="20"/>
  <c r="G11" i="20"/>
  <c r="I15" i="6"/>
  <c r="AF11" i="20"/>
  <c r="O37" i="6"/>
  <c r="B38" i="9" s="1"/>
  <c r="CD38" i="9" s="1"/>
  <c r="AT9" i="20"/>
  <c r="BA9" i="20"/>
  <c r="AM9" i="20"/>
  <c r="BH9" i="20"/>
  <c r="BO10" i="20"/>
  <c r="BA10" i="20"/>
  <c r="BO9" i="20"/>
  <c r="BH10" i="20"/>
  <c r="BR9" i="20"/>
  <c r="AM10" i="20"/>
  <c r="AT10" i="20"/>
  <c r="C2" i="18"/>
  <c r="B24" i="20"/>
  <c r="BR10" i="20"/>
  <c r="BK16" i="9"/>
  <c r="J3" i="11"/>
  <c r="BK38" i="9"/>
  <c r="BI16" i="9" l="1"/>
  <c r="BQ10" i="20"/>
  <c r="BI38" i="9"/>
  <c r="BQ9" i="20"/>
  <c r="CK24" i="20"/>
  <c r="H24" i="20"/>
  <c r="CH360" i="20"/>
  <c r="P24" i="20"/>
  <c r="F24" i="20"/>
  <c r="BP10" i="20"/>
  <c r="CB16" i="9"/>
  <c r="BP9" i="20"/>
  <c r="CB38" i="9"/>
  <c r="G24" i="20"/>
  <c r="CH11" i="20"/>
  <c r="M11" i="20" s="1"/>
  <c r="H38" i="9"/>
  <c r="G38" i="9"/>
  <c r="F38" i="9"/>
  <c r="O15" i="6"/>
  <c r="B9" i="20"/>
  <c r="C56" i="18"/>
  <c r="BS9" i="20"/>
  <c r="BS10" i="20"/>
  <c r="CK9" i="20" l="1"/>
  <c r="H9" i="20"/>
  <c r="I360" i="20"/>
  <c r="J360" i="20"/>
  <c r="K360" i="20"/>
  <c r="L360" i="20"/>
  <c r="M360" i="20"/>
  <c r="P9" i="20"/>
  <c r="F9" i="20"/>
  <c r="B16" i="9"/>
  <c r="G9" i="20"/>
  <c r="Y16" i="9"/>
  <c r="Y38" i="9"/>
  <c r="L11" i="20"/>
  <c r="I11" i="20"/>
  <c r="K11" i="20"/>
  <c r="J11" i="20"/>
  <c r="C38" i="18"/>
  <c r="B10" i="20"/>
  <c r="CH24" i="20"/>
  <c r="M24" i="20" s="1"/>
  <c r="J37" i="6"/>
  <c r="J15" i="6"/>
  <c r="CK10" i="20" l="1"/>
  <c r="H10" i="20"/>
  <c r="AF9" i="20"/>
  <c r="F16" i="9"/>
  <c r="CD16" i="9"/>
  <c r="H16" i="9"/>
  <c r="G16" i="9"/>
  <c r="P10" i="20"/>
  <c r="F10" i="20"/>
  <c r="G10" i="20"/>
  <c r="AF10" i="20"/>
  <c r="CH9" i="20"/>
  <c r="J9" i="20" s="1"/>
  <c r="K24" i="20"/>
  <c r="J24" i="20"/>
  <c r="I24" i="20"/>
  <c r="L24" i="20"/>
  <c r="CH10" i="20" l="1"/>
  <c r="M10" i="20" s="1"/>
  <c r="M9" i="20"/>
  <c r="L9" i="20"/>
  <c r="I9" i="20"/>
  <c r="K9" i="20"/>
  <c r="J10" i="20" l="1"/>
  <c r="I10" i="20"/>
  <c r="L10" i="20"/>
  <c r="K10" i="20"/>
  <c r="AM8" i="20"/>
  <c r="BA8" i="20"/>
  <c r="AT8" i="20"/>
  <c r="BR8" i="20"/>
  <c r="BH8" i="20"/>
  <c r="BO8" i="20"/>
  <c r="BJ230" i="9"/>
  <c r="BH230" i="9"/>
  <c r="AT230" i="9"/>
  <c r="BA230" i="9"/>
  <c r="AM230" i="9"/>
  <c r="AF230" i="9"/>
  <c r="BQ8" i="20" l="1"/>
  <c r="BP8" i="20"/>
  <c r="I230" i="6"/>
  <c r="O230" i="6" s="1"/>
  <c r="B230" i="9" s="1"/>
  <c r="CD230" i="9" s="1"/>
  <c r="AM7" i="20"/>
  <c r="AT7" i="20"/>
  <c r="BO7" i="20"/>
  <c r="BS8" i="20"/>
  <c r="BH7" i="20"/>
  <c r="BA7" i="20"/>
  <c r="BR7" i="20"/>
  <c r="BK230" i="9"/>
  <c r="B43" i="3"/>
  <c r="B41" i="3"/>
  <c r="F10" i="3"/>
  <c r="A1" i="3"/>
  <c r="P202" i="11"/>
  <c r="G202" i="11"/>
  <c r="F202" i="11"/>
  <c r="E202" i="11"/>
  <c r="D202" i="11"/>
  <c r="C202" i="11"/>
  <c r="B202" i="11"/>
  <c r="P204" i="11"/>
  <c r="G204" i="11"/>
  <c r="F204" i="11"/>
  <c r="E204" i="11"/>
  <c r="D204" i="11"/>
  <c r="C204" i="11"/>
  <c r="B204" i="11"/>
  <c r="P205" i="11"/>
  <c r="G205" i="11"/>
  <c r="F205" i="11"/>
  <c r="E205" i="11"/>
  <c r="D205" i="11"/>
  <c r="C205" i="11"/>
  <c r="B205" i="11"/>
  <c r="P179" i="11"/>
  <c r="G179" i="11"/>
  <c r="F179" i="11"/>
  <c r="E179" i="11"/>
  <c r="D179" i="11"/>
  <c r="C179" i="11"/>
  <c r="B179" i="11"/>
  <c r="M38" i="9"/>
  <c r="E38" i="9"/>
  <c r="M230" i="9"/>
  <c r="E230" i="9"/>
  <c r="M236" i="9"/>
  <c r="E236" i="9"/>
  <c r="M147" i="9"/>
  <c r="E147" i="9"/>
  <c r="M51" i="9"/>
  <c r="E51" i="9"/>
  <c r="G147" i="6"/>
  <c r="F147" i="6"/>
  <c r="BV4" i="2"/>
  <c r="BI230" i="9" l="1"/>
  <c r="BQ7" i="20"/>
  <c r="U358" i="20"/>
  <c r="U360" i="20"/>
  <c r="U355" i="20"/>
  <c r="U348" i="20"/>
  <c r="U354" i="20"/>
  <c r="U357" i="20"/>
  <c r="U352" i="20"/>
  <c r="U356" i="20"/>
  <c r="U349" i="20"/>
  <c r="U351" i="20"/>
  <c r="U359" i="20"/>
  <c r="U353" i="20"/>
  <c r="U350" i="20"/>
  <c r="U347" i="20"/>
  <c r="U341" i="20"/>
  <c r="U345" i="20"/>
  <c r="U331" i="20"/>
  <c r="U335" i="20"/>
  <c r="U339" i="20"/>
  <c r="U319" i="20"/>
  <c r="U323" i="20"/>
  <c r="U327" i="20"/>
  <c r="U303" i="20"/>
  <c r="U307" i="20"/>
  <c r="U311" i="20"/>
  <c r="U315" i="20"/>
  <c r="U297" i="20"/>
  <c r="U301" i="20"/>
  <c r="U342" i="20"/>
  <c r="U346" i="20"/>
  <c r="U328" i="20"/>
  <c r="U332" i="20"/>
  <c r="U336" i="20"/>
  <c r="U316" i="20"/>
  <c r="U320" i="20"/>
  <c r="U324" i="20"/>
  <c r="U304" i="20"/>
  <c r="U308" i="20"/>
  <c r="U312" i="20"/>
  <c r="U298" i="20"/>
  <c r="U302" i="20"/>
  <c r="U294" i="20"/>
  <c r="U296" i="20"/>
  <c r="U343" i="20"/>
  <c r="U329" i="20"/>
  <c r="U333" i="20"/>
  <c r="U337" i="20"/>
  <c r="U317" i="20"/>
  <c r="U321" i="20"/>
  <c r="U325" i="20"/>
  <c r="U305" i="20"/>
  <c r="U309" i="20"/>
  <c r="U313" i="20"/>
  <c r="U295" i="20"/>
  <c r="U299" i="20"/>
  <c r="U300" i="20"/>
  <c r="U340" i="20"/>
  <c r="U344" i="20"/>
  <c r="U330" i="20"/>
  <c r="U334" i="20"/>
  <c r="U338" i="20"/>
  <c r="U318" i="20"/>
  <c r="U322" i="20"/>
  <c r="U326" i="20"/>
  <c r="U306" i="20"/>
  <c r="U310" i="20"/>
  <c r="U314" i="20"/>
  <c r="BP7" i="20"/>
  <c r="CB230" i="9"/>
  <c r="N185" i="9"/>
  <c r="K184" i="11"/>
  <c r="N228" i="9"/>
  <c r="N155" i="9"/>
  <c r="K152" i="11"/>
  <c r="K230" i="11"/>
  <c r="CJ5" i="20"/>
  <c r="CA147" i="9"/>
  <c r="CJ4" i="20"/>
  <c r="CA51" i="9"/>
  <c r="CJ6" i="20"/>
  <c r="CA236" i="9"/>
  <c r="CJ7" i="20"/>
  <c r="CA230" i="9"/>
  <c r="CJ8" i="20"/>
  <c r="N282" i="9"/>
  <c r="N87" i="9"/>
  <c r="K85" i="11"/>
  <c r="K283" i="11"/>
  <c r="N40" i="9"/>
  <c r="N215" i="9"/>
  <c r="K39" i="11"/>
  <c r="K218" i="11"/>
  <c r="N213" i="9"/>
  <c r="K216" i="11"/>
  <c r="N122" i="9"/>
  <c r="N296" i="9"/>
  <c r="N53" i="9"/>
  <c r="N292" i="9"/>
  <c r="N94" i="9"/>
  <c r="N124" i="9"/>
  <c r="N4" i="9"/>
  <c r="K4" i="11"/>
  <c r="K121" i="11"/>
  <c r="K297" i="11"/>
  <c r="K123" i="11"/>
  <c r="K51" i="11"/>
  <c r="K293" i="11"/>
  <c r="K92" i="11"/>
  <c r="N298" i="9"/>
  <c r="K299" i="11"/>
  <c r="N56" i="9"/>
  <c r="N121" i="9"/>
  <c r="N214" i="9"/>
  <c r="N136" i="9"/>
  <c r="N206" i="9"/>
  <c r="N160" i="9"/>
  <c r="N200" i="9"/>
  <c r="N232" i="9"/>
  <c r="N117" i="9"/>
  <c r="N174" i="9"/>
  <c r="N20" i="9"/>
  <c r="N34" i="9"/>
  <c r="K116" i="11"/>
  <c r="K20" i="11"/>
  <c r="K217" i="11"/>
  <c r="K199" i="11"/>
  <c r="K54" i="11"/>
  <c r="K209" i="11"/>
  <c r="K158" i="11"/>
  <c r="K172" i="11"/>
  <c r="K234" i="11"/>
  <c r="K135" i="11"/>
  <c r="K120" i="11"/>
  <c r="K34" i="11"/>
  <c r="N289" i="9"/>
  <c r="K290" i="11"/>
  <c r="N277" i="9"/>
  <c r="N135" i="9"/>
  <c r="N254" i="9"/>
  <c r="N168" i="9"/>
  <c r="N98" i="9"/>
  <c r="N24" i="9"/>
  <c r="N257" i="9"/>
  <c r="N222" i="9"/>
  <c r="N134" i="9"/>
  <c r="N17" i="9"/>
  <c r="K96" i="11"/>
  <c r="K134" i="11"/>
  <c r="K255" i="11"/>
  <c r="K278" i="11"/>
  <c r="K17" i="11"/>
  <c r="K24" i="11"/>
  <c r="K258" i="11"/>
  <c r="K133" i="11"/>
  <c r="K166" i="11"/>
  <c r="K225" i="11"/>
  <c r="N319" i="9"/>
  <c r="K320" i="11"/>
  <c r="N306" i="9"/>
  <c r="N57" i="9"/>
  <c r="N120" i="9"/>
  <c r="N246" i="9"/>
  <c r="N253" i="9"/>
  <c r="N227" i="9"/>
  <c r="N109" i="9"/>
  <c r="N80" i="9"/>
  <c r="N300" i="9"/>
  <c r="N76" i="9"/>
  <c r="N187" i="9"/>
  <c r="N280" i="9"/>
  <c r="N199" i="9"/>
  <c r="N54" i="9"/>
  <c r="N66" i="9"/>
  <c r="N140" i="9"/>
  <c r="K281" i="11"/>
  <c r="K186" i="11"/>
  <c r="K247" i="11"/>
  <c r="K254" i="11"/>
  <c r="K108" i="11"/>
  <c r="K231" i="11"/>
  <c r="K74" i="11"/>
  <c r="K307" i="11"/>
  <c r="K301" i="11"/>
  <c r="K55" i="11"/>
  <c r="K198" i="11"/>
  <c r="K78" i="11"/>
  <c r="K119" i="11"/>
  <c r="K139" i="11"/>
  <c r="K64" i="11"/>
  <c r="K52" i="11"/>
  <c r="K313" i="11"/>
  <c r="N312" i="9"/>
  <c r="N26" i="9"/>
  <c r="F230" i="9"/>
  <c r="G230" i="9"/>
  <c r="H230" i="9"/>
  <c r="CC20" i="2"/>
  <c r="BX20" i="2" s="1"/>
  <c r="N83" i="9"/>
  <c r="N36" i="9"/>
  <c r="N264" i="9"/>
  <c r="K36" i="11"/>
  <c r="K265" i="11"/>
  <c r="K81" i="11"/>
  <c r="N259" i="9"/>
  <c r="K259" i="11"/>
  <c r="N301" i="9"/>
  <c r="K302" i="11"/>
  <c r="U293" i="20"/>
  <c r="U289" i="20"/>
  <c r="U288" i="20"/>
  <c r="U287" i="20"/>
  <c r="U286" i="20"/>
  <c r="U285" i="20"/>
  <c r="U284" i="20"/>
  <c r="U283" i="20"/>
  <c r="U267" i="20"/>
  <c r="U266" i="20"/>
  <c r="U252" i="20"/>
  <c r="U251" i="20"/>
  <c r="U250" i="20"/>
  <c r="U249" i="20"/>
  <c r="U248" i="20"/>
  <c r="U247" i="20"/>
  <c r="U246" i="20"/>
  <c r="U245" i="20"/>
  <c r="U244" i="20"/>
  <c r="U243" i="20"/>
  <c r="U242" i="20"/>
  <c r="U241" i="20"/>
  <c r="U240" i="20"/>
  <c r="U239" i="20"/>
  <c r="U227" i="20"/>
  <c r="U208" i="20"/>
  <c r="U207" i="20"/>
  <c r="U206" i="20"/>
  <c r="U205" i="20"/>
  <c r="U204" i="20"/>
  <c r="U178" i="20"/>
  <c r="U177" i="20"/>
  <c r="U176" i="20"/>
  <c r="U175" i="20"/>
  <c r="U174" i="20"/>
  <c r="U173" i="20"/>
  <c r="U172" i="20"/>
  <c r="U171" i="20"/>
  <c r="U170" i="20"/>
  <c r="U169" i="20"/>
  <c r="U168" i="20"/>
  <c r="U147" i="20"/>
  <c r="U138" i="20"/>
  <c r="U137" i="20"/>
  <c r="U136" i="20"/>
  <c r="U81" i="20"/>
  <c r="U80" i="20"/>
  <c r="U67" i="20"/>
  <c r="U66" i="20"/>
  <c r="U65" i="20"/>
  <c r="U64" i="20"/>
  <c r="U63" i="20"/>
  <c r="U62" i="20"/>
  <c r="U61" i="20"/>
  <c r="U60" i="20"/>
  <c r="U59" i="20"/>
  <c r="U58" i="20"/>
  <c r="U57" i="20"/>
  <c r="U56" i="20"/>
  <c r="U55" i="20"/>
  <c r="U54" i="20"/>
  <c r="U53" i="20"/>
  <c r="U52" i="20"/>
  <c r="U51" i="20"/>
  <c r="U50" i="20"/>
  <c r="U49" i="20"/>
  <c r="U48" i="20"/>
  <c r="U47" i="20"/>
  <c r="U290" i="20"/>
  <c r="U279" i="20"/>
  <c r="U278" i="20"/>
  <c r="U277" i="20"/>
  <c r="U276" i="20"/>
  <c r="U275" i="20"/>
  <c r="U274" i="20"/>
  <c r="U273" i="20"/>
  <c r="U272" i="20"/>
  <c r="U271" i="20"/>
  <c r="U270" i="20"/>
  <c r="U269" i="20"/>
  <c r="U268" i="20"/>
  <c r="U260" i="20"/>
  <c r="U259" i="20"/>
  <c r="U258" i="20"/>
  <c r="U257" i="20"/>
  <c r="U256" i="20"/>
  <c r="U255" i="20"/>
  <c r="U254" i="20"/>
  <c r="U253" i="20"/>
  <c r="U229" i="20"/>
  <c r="U228" i="20"/>
  <c r="U219" i="20"/>
  <c r="U218" i="20"/>
  <c r="U217" i="20"/>
  <c r="U216" i="20"/>
  <c r="U215" i="20"/>
  <c r="U214" i="20"/>
  <c r="U213" i="20"/>
  <c r="U212" i="20"/>
  <c r="U211" i="20"/>
  <c r="U210" i="20"/>
  <c r="U209" i="20"/>
  <c r="U180" i="20"/>
  <c r="U179" i="20"/>
  <c r="U159" i="20"/>
  <c r="U148" i="20"/>
  <c r="U143" i="20"/>
  <c r="U142" i="20"/>
  <c r="U141" i="20"/>
  <c r="U140" i="20"/>
  <c r="U139" i="20"/>
  <c r="U92" i="20"/>
  <c r="U91" i="20"/>
  <c r="U90" i="20"/>
  <c r="U89" i="20"/>
  <c r="U88" i="20"/>
  <c r="U87" i="20"/>
  <c r="U86" i="20"/>
  <c r="U85" i="20"/>
  <c r="U84" i="20"/>
  <c r="U83" i="20"/>
  <c r="U82" i="20"/>
  <c r="U75" i="20"/>
  <c r="U74" i="20"/>
  <c r="U73" i="20"/>
  <c r="U72" i="20"/>
  <c r="U71" i="20"/>
  <c r="U70" i="20"/>
  <c r="U69" i="20"/>
  <c r="U68" i="20"/>
  <c r="U4" i="20"/>
  <c r="U6" i="20"/>
  <c r="U44" i="20"/>
  <c r="U41" i="20"/>
  <c r="U39" i="20"/>
  <c r="U36" i="20"/>
  <c r="U33" i="20"/>
  <c r="U32" i="20"/>
  <c r="U28" i="20"/>
  <c r="U21" i="20"/>
  <c r="U20" i="20"/>
  <c r="U15" i="20"/>
  <c r="U12" i="20"/>
  <c r="U11" i="20"/>
  <c r="U9" i="20"/>
  <c r="U8" i="20"/>
  <c r="U291" i="20"/>
  <c r="U281" i="20"/>
  <c r="U280" i="20"/>
  <c r="U261" i="20"/>
  <c r="U232" i="20"/>
  <c r="U231" i="20"/>
  <c r="U230" i="20"/>
  <c r="U220" i="20"/>
  <c r="U192" i="20"/>
  <c r="U191" i="20"/>
  <c r="U190" i="20"/>
  <c r="U189" i="20"/>
  <c r="U188" i="20"/>
  <c r="U187" i="20"/>
  <c r="U186" i="20"/>
  <c r="U185" i="20"/>
  <c r="U184" i="20"/>
  <c r="U183" i="20"/>
  <c r="U182" i="20"/>
  <c r="U181" i="20"/>
  <c r="U164" i="20"/>
  <c r="U163" i="20"/>
  <c r="U162" i="20"/>
  <c r="U161" i="20"/>
  <c r="U160" i="20"/>
  <c r="U158" i="20"/>
  <c r="U157" i="20"/>
  <c r="U156" i="20"/>
  <c r="U155" i="20"/>
  <c r="U154" i="20"/>
  <c r="U153" i="20"/>
  <c r="U152" i="20"/>
  <c r="U151" i="20"/>
  <c r="U150" i="20"/>
  <c r="U149" i="20"/>
  <c r="U145" i="20"/>
  <c r="U144" i="20"/>
  <c r="U103" i="20"/>
  <c r="U102" i="20"/>
  <c r="U101" i="20"/>
  <c r="U100" i="20"/>
  <c r="U99" i="20"/>
  <c r="U98" i="20"/>
  <c r="U97" i="20"/>
  <c r="U96" i="20"/>
  <c r="U95" i="20"/>
  <c r="U94" i="20"/>
  <c r="U93" i="20"/>
  <c r="U77" i="20"/>
  <c r="U76" i="20"/>
  <c r="U5" i="20"/>
  <c r="U79" i="20"/>
  <c r="U46" i="20"/>
  <c r="U42" i="20"/>
  <c r="U40" i="20"/>
  <c r="U38" i="20"/>
  <c r="U37" i="20"/>
  <c r="U24" i="20"/>
  <c r="U23" i="20"/>
  <c r="U22" i="20"/>
  <c r="U17" i="20"/>
  <c r="U14" i="20"/>
  <c r="U292" i="20"/>
  <c r="U282" i="20"/>
  <c r="U265" i="20"/>
  <c r="U264" i="20"/>
  <c r="U263" i="20"/>
  <c r="U262" i="20"/>
  <c r="U238" i="20"/>
  <c r="U237" i="20"/>
  <c r="U236" i="20"/>
  <c r="U235" i="20"/>
  <c r="U234" i="20"/>
  <c r="U233" i="20"/>
  <c r="U226" i="20"/>
  <c r="U225" i="20"/>
  <c r="U224" i="20"/>
  <c r="U223" i="20"/>
  <c r="U222" i="20"/>
  <c r="U221" i="20"/>
  <c r="U203" i="20"/>
  <c r="U202" i="20"/>
  <c r="U201" i="20"/>
  <c r="U200" i="20"/>
  <c r="U199" i="20"/>
  <c r="U198" i="20"/>
  <c r="U197" i="20"/>
  <c r="U196" i="20"/>
  <c r="U195" i="20"/>
  <c r="U194" i="20"/>
  <c r="U193" i="20"/>
  <c r="U167" i="20"/>
  <c r="U166" i="20"/>
  <c r="U165" i="20"/>
  <c r="U14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78" i="20"/>
  <c r="U45" i="20"/>
  <c r="U43" i="20"/>
  <c r="U35" i="20"/>
  <c r="U34" i="20"/>
  <c r="U31" i="20"/>
  <c r="U30" i="20"/>
  <c r="U29" i="20"/>
  <c r="U27" i="20"/>
  <c r="U26" i="20"/>
  <c r="U25" i="20"/>
  <c r="U19" i="20"/>
  <c r="U18" i="20"/>
  <c r="U16" i="20"/>
  <c r="U13" i="20"/>
  <c r="U10" i="20"/>
  <c r="U7" i="20"/>
  <c r="BS7" i="20"/>
  <c r="N64" i="9"/>
  <c r="N180" i="9"/>
  <c r="N309" i="9"/>
  <c r="K310" i="11"/>
  <c r="K178" i="11"/>
  <c r="K62" i="11"/>
  <c r="N175" i="9"/>
  <c r="K173" i="11"/>
  <c r="N65" i="9"/>
  <c r="N162" i="9"/>
  <c r="N88" i="9"/>
  <c r="K63" i="11"/>
  <c r="K86" i="11"/>
  <c r="K160" i="11"/>
  <c r="N190" i="9"/>
  <c r="K189" i="11"/>
  <c r="BR4" i="2"/>
  <c r="CD4" i="2" s="1"/>
  <c r="BT360" i="20" s="1"/>
  <c r="BU4" i="2"/>
  <c r="N314" i="9"/>
  <c r="K315" i="11"/>
  <c r="N63" i="9"/>
  <c r="N49" i="9"/>
  <c r="N5" i="9"/>
  <c r="K61" i="11"/>
  <c r="K48" i="11"/>
  <c r="K5" i="11"/>
  <c r="N255" i="9"/>
  <c r="N151" i="9"/>
  <c r="N262" i="9"/>
  <c r="N233" i="9"/>
  <c r="N127" i="9"/>
  <c r="N286" i="9"/>
  <c r="N166" i="9"/>
  <c r="N182" i="9"/>
  <c r="N164" i="9"/>
  <c r="N97" i="9"/>
  <c r="N295" i="9"/>
  <c r="N126" i="9"/>
  <c r="N183" i="9"/>
  <c r="K181" i="11"/>
  <c r="N55" i="9"/>
  <c r="N72" i="9"/>
  <c r="N310" i="9"/>
  <c r="N35" i="9"/>
  <c r="N31" i="9"/>
  <c r="N198" i="9"/>
  <c r="N71" i="9"/>
  <c r="N119" i="9"/>
  <c r="N268" i="9"/>
  <c r="K296" i="11"/>
  <c r="K164" i="11"/>
  <c r="K95" i="11"/>
  <c r="K125" i="11"/>
  <c r="K256" i="11"/>
  <c r="K263" i="11"/>
  <c r="K235" i="11"/>
  <c r="K182" i="11"/>
  <c r="K149" i="11"/>
  <c r="K124" i="11"/>
  <c r="K162" i="11"/>
  <c r="K287" i="11"/>
  <c r="K69" i="11"/>
  <c r="K311" i="11"/>
  <c r="K53" i="11"/>
  <c r="K35" i="11"/>
  <c r="K118" i="11"/>
  <c r="K197" i="11"/>
  <c r="K70" i="11"/>
  <c r="K31" i="11"/>
  <c r="K269" i="11"/>
  <c r="N307" i="9"/>
  <c r="N96" i="9"/>
  <c r="N249" i="9"/>
  <c r="N263" i="9"/>
  <c r="N44" i="9"/>
  <c r="N7" i="9"/>
  <c r="N177" i="9"/>
  <c r="K264" i="11"/>
  <c r="K43" i="11"/>
  <c r="K308" i="11"/>
  <c r="K94" i="11"/>
  <c r="K7" i="11"/>
  <c r="K175" i="11"/>
  <c r="K250" i="11"/>
  <c r="N152" i="9"/>
  <c r="N103" i="9"/>
  <c r="N234" i="9"/>
  <c r="N105" i="9"/>
  <c r="N169" i="9"/>
  <c r="N196" i="9"/>
  <c r="N13" i="9"/>
  <c r="N302" i="9"/>
  <c r="N272" i="9"/>
  <c r="N43" i="9"/>
  <c r="N291" i="9"/>
  <c r="N112" i="9"/>
  <c r="N70" i="9"/>
  <c r="N69" i="9"/>
  <c r="N194" i="9"/>
  <c r="N176" i="9"/>
  <c r="N270" i="9"/>
  <c r="N86" i="9"/>
  <c r="N297" i="9"/>
  <c r="N74" i="9"/>
  <c r="N193" i="9"/>
  <c r="N101" i="9"/>
  <c r="N107" i="9"/>
  <c r="N284" i="9"/>
  <c r="N9" i="9"/>
  <c r="N318" i="9"/>
  <c r="N217" i="9"/>
  <c r="N211" i="9"/>
  <c r="N144" i="9"/>
  <c r="N229" i="9"/>
  <c r="N50" i="9"/>
  <c r="N143" i="9"/>
  <c r="N195" i="9"/>
  <c r="N125" i="9"/>
  <c r="N41" i="9"/>
  <c r="N281" i="9"/>
  <c r="N212" i="9"/>
  <c r="N179" i="9"/>
  <c r="N75" i="9"/>
  <c r="N225" i="9"/>
  <c r="N141" i="9"/>
  <c r="N252" i="9"/>
  <c r="N21" i="9"/>
  <c r="N3" i="9"/>
  <c r="K303" i="11"/>
  <c r="K68" i="11"/>
  <c r="K298" i="11"/>
  <c r="K214" i="11"/>
  <c r="K103" i="11"/>
  <c r="K13" i="11"/>
  <c r="K273" i="11"/>
  <c r="K67" i="11"/>
  <c r="K193" i="11"/>
  <c r="K140" i="11"/>
  <c r="K215" i="11"/>
  <c r="K84" i="11"/>
  <c r="K126" i="11"/>
  <c r="K9" i="11"/>
  <c r="K101" i="11"/>
  <c r="K111" i="11"/>
  <c r="K40" i="11"/>
  <c r="K282" i="11"/>
  <c r="K73" i="11"/>
  <c r="K292" i="11"/>
  <c r="K192" i="11"/>
  <c r="K99" i="11"/>
  <c r="K285" i="11"/>
  <c r="K177" i="11"/>
  <c r="K42" i="11"/>
  <c r="K236" i="11"/>
  <c r="K104" i="11"/>
  <c r="K142" i="11"/>
  <c r="K232" i="11"/>
  <c r="K167" i="11"/>
  <c r="K174" i="11"/>
  <c r="K271" i="11"/>
  <c r="K72" i="11"/>
  <c r="K106" i="11"/>
  <c r="K150" i="11"/>
  <c r="K21" i="11"/>
  <c r="K194" i="11"/>
  <c r="K49" i="11"/>
  <c r="K195" i="11"/>
  <c r="K319" i="11"/>
  <c r="K220" i="11"/>
  <c r="K253" i="11"/>
  <c r="K228" i="11"/>
  <c r="K143" i="11"/>
  <c r="N283" i="9"/>
  <c r="N58" i="9"/>
  <c r="N161" i="9"/>
  <c r="K284" i="11"/>
  <c r="K56" i="11"/>
  <c r="N84" i="9"/>
  <c r="N108" i="9"/>
  <c r="K159" i="11"/>
  <c r="K107" i="11"/>
  <c r="K82" i="11"/>
  <c r="N165" i="9"/>
  <c r="N276" i="9"/>
  <c r="N29" i="9"/>
  <c r="N27" i="9"/>
  <c r="N153" i="9"/>
  <c r="N11" i="9"/>
  <c r="K29" i="11"/>
  <c r="K11" i="11"/>
  <c r="K277" i="11"/>
  <c r="K151" i="11"/>
  <c r="K163" i="11"/>
  <c r="K27" i="11"/>
  <c r="N266" i="9"/>
  <c r="N207" i="9"/>
  <c r="N158" i="9"/>
  <c r="N191" i="9"/>
  <c r="N316" i="9"/>
  <c r="K267" i="11"/>
  <c r="K210" i="11"/>
  <c r="K190" i="11"/>
  <c r="K317" i="11"/>
  <c r="K156" i="11"/>
  <c r="N241" i="9"/>
  <c r="N8" i="9"/>
  <c r="N247" i="9"/>
  <c r="N28" i="9"/>
  <c r="N90" i="9"/>
  <c r="N304" i="9"/>
  <c r="N290" i="9"/>
  <c r="K242" i="11"/>
  <c r="K248" i="11"/>
  <c r="K305" i="11"/>
  <c r="K291" i="11"/>
  <c r="K8" i="11"/>
  <c r="K28" i="11"/>
  <c r="K88" i="11"/>
  <c r="N25" i="9"/>
  <c r="N210" i="9"/>
  <c r="K25" i="11"/>
  <c r="K213" i="11"/>
  <c r="N133" i="9"/>
  <c r="N104" i="9"/>
  <c r="N82" i="9"/>
  <c r="N138" i="9"/>
  <c r="N61" i="9"/>
  <c r="N79" i="9"/>
  <c r="N219" i="9"/>
  <c r="N288" i="9"/>
  <c r="N201" i="9"/>
  <c r="N95" i="9"/>
  <c r="K137" i="11"/>
  <c r="K102" i="11"/>
  <c r="K200" i="11"/>
  <c r="K77" i="11"/>
  <c r="K93" i="11"/>
  <c r="K79" i="11"/>
  <c r="K59" i="11"/>
  <c r="K289" i="11"/>
  <c r="K222" i="11"/>
  <c r="K132" i="11"/>
  <c r="N240" i="9"/>
  <c r="N220" i="9"/>
  <c r="K241" i="11"/>
  <c r="K223" i="11"/>
  <c r="N42" i="9"/>
  <c r="N308" i="9"/>
  <c r="N171" i="9"/>
  <c r="N218" i="9"/>
  <c r="N116" i="9"/>
  <c r="N250" i="9"/>
  <c r="N111" i="9"/>
  <c r="N315" i="9"/>
  <c r="N244" i="9"/>
  <c r="N110" i="9"/>
  <c r="N221" i="9"/>
  <c r="N242" i="9"/>
  <c r="N10" i="9"/>
  <c r="N18" i="9"/>
  <c r="N60" i="9"/>
  <c r="N209" i="9"/>
  <c r="K18" i="11"/>
  <c r="K110" i="11"/>
  <c r="K221" i="11"/>
  <c r="K41" i="11"/>
  <c r="K316" i="11"/>
  <c r="K58" i="11"/>
  <c r="K243" i="11"/>
  <c r="K212" i="11"/>
  <c r="K10" i="11"/>
  <c r="K245" i="11"/>
  <c r="K109" i="11"/>
  <c r="K169" i="11"/>
  <c r="K224" i="11"/>
  <c r="K309" i="11"/>
  <c r="K115" i="11"/>
  <c r="K251" i="11"/>
  <c r="N118" i="9"/>
  <c r="N115" i="9"/>
  <c r="N223" i="9"/>
  <c r="N150" i="9"/>
  <c r="N33" i="9"/>
  <c r="N202" i="9"/>
  <c r="N52" i="9"/>
  <c r="N293" i="9"/>
  <c r="N287" i="9"/>
  <c r="N317" i="9"/>
  <c r="N167" i="9"/>
  <c r="N39" i="9"/>
  <c r="K201" i="11"/>
  <c r="K288" i="11"/>
  <c r="K148" i="11"/>
  <c r="K294" i="11"/>
  <c r="K165" i="11"/>
  <c r="K226" i="11"/>
  <c r="K114" i="11"/>
  <c r="K117" i="11"/>
  <c r="K318" i="11"/>
  <c r="K33" i="11"/>
  <c r="K50" i="11"/>
  <c r="K38" i="11"/>
  <c r="N278" i="9"/>
  <c r="K279" i="11"/>
  <c r="N77" i="9"/>
  <c r="N81" i="9"/>
  <c r="K80" i="11"/>
  <c r="K75" i="11"/>
  <c r="N267" i="9"/>
  <c r="K268" i="11"/>
  <c r="N245" i="9"/>
  <c r="N106" i="9"/>
  <c r="N204" i="9"/>
  <c r="N275" i="9"/>
  <c r="N146" i="9"/>
  <c r="N78" i="9"/>
  <c r="N184" i="9"/>
  <c r="N274" i="9"/>
  <c r="N91" i="9"/>
  <c r="N238" i="9"/>
  <c r="N294" i="9"/>
  <c r="K275" i="11"/>
  <c r="K239" i="11"/>
  <c r="K295" i="11"/>
  <c r="K145" i="11"/>
  <c r="K207" i="11"/>
  <c r="K246" i="11"/>
  <c r="K76" i="11"/>
  <c r="K105" i="11"/>
  <c r="K89" i="11"/>
  <c r="K276" i="11"/>
  <c r="K183" i="11"/>
  <c r="N261" i="9"/>
  <c r="N192" i="9"/>
  <c r="N237" i="9"/>
  <c r="N181" i="9"/>
  <c r="N59" i="9"/>
  <c r="K262" i="11"/>
  <c r="N172" i="9"/>
  <c r="N260" i="9"/>
  <c r="K57" i="11"/>
  <c r="K191" i="11"/>
  <c r="K261" i="11"/>
  <c r="K238" i="11"/>
  <c r="K180" i="11"/>
  <c r="K170" i="11"/>
  <c r="N12" i="9"/>
  <c r="N99" i="9"/>
  <c r="N159" i="9"/>
  <c r="N251" i="9"/>
  <c r="N102" i="9"/>
  <c r="N73" i="9"/>
  <c r="N45" i="9"/>
  <c r="N148" i="9"/>
  <c r="N15" i="9"/>
  <c r="N113" i="9"/>
  <c r="N67" i="9"/>
  <c r="N156" i="9"/>
  <c r="K44" i="11"/>
  <c r="K100" i="11"/>
  <c r="K97" i="11"/>
  <c r="K157" i="11"/>
  <c r="K65" i="11"/>
  <c r="K112" i="11"/>
  <c r="K15" i="11"/>
  <c r="K71" i="11"/>
  <c r="K146" i="11"/>
  <c r="K154" i="11"/>
  <c r="K252" i="11"/>
  <c r="K12" i="11"/>
  <c r="N189" i="9"/>
  <c r="N320" i="9"/>
  <c r="N131" i="9"/>
  <c r="N197" i="9"/>
  <c r="N311" i="9"/>
  <c r="N14" i="9"/>
  <c r="N139" i="9"/>
  <c r="N37" i="9"/>
  <c r="N313" i="9"/>
  <c r="N132" i="9"/>
  <c r="N271" i="9"/>
  <c r="N178" i="9"/>
  <c r="K272" i="11"/>
  <c r="K321" i="11"/>
  <c r="K131" i="11"/>
  <c r="K176" i="11"/>
  <c r="K14" i="11"/>
  <c r="K130" i="11"/>
  <c r="K196" i="11"/>
  <c r="K314" i="11"/>
  <c r="K138" i="11"/>
  <c r="K37" i="11"/>
  <c r="K312" i="11"/>
  <c r="K188" i="11"/>
  <c r="N46" i="9"/>
  <c r="N6" i="9"/>
  <c r="K6" i="11"/>
  <c r="K45" i="11"/>
  <c r="N173" i="9"/>
  <c r="K171" i="11"/>
  <c r="N89" i="9"/>
  <c r="N303" i="9"/>
  <c r="N47" i="9"/>
  <c r="N305" i="9"/>
  <c r="N22" i="9"/>
  <c r="N114" i="9"/>
  <c r="N273" i="9"/>
  <c r="K113" i="11"/>
  <c r="K87" i="11"/>
  <c r="K274" i="11"/>
  <c r="K304" i="11"/>
  <c r="K22" i="11"/>
  <c r="K306" i="11"/>
  <c r="K46" i="11"/>
  <c r="N30" i="9"/>
  <c r="K30" i="11"/>
  <c r="N279" i="9"/>
  <c r="N248" i="9"/>
  <c r="N100" i="9"/>
  <c r="N285" i="9"/>
  <c r="N128" i="9"/>
  <c r="N93" i="9"/>
  <c r="N186" i="9"/>
  <c r="K249" i="11"/>
  <c r="K185" i="11"/>
  <c r="K91" i="11"/>
  <c r="N129" i="9"/>
  <c r="N239" i="9"/>
  <c r="K98" i="11"/>
  <c r="N157" i="9"/>
  <c r="N142" i="9"/>
  <c r="K127" i="11"/>
  <c r="K280" i="11"/>
  <c r="N145" i="9"/>
  <c r="N226" i="9"/>
  <c r="K286" i="11"/>
  <c r="K128" i="11"/>
  <c r="K240" i="11"/>
  <c r="K144" i="11"/>
  <c r="K229" i="11"/>
  <c r="K141" i="11"/>
  <c r="K155" i="11"/>
  <c r="N62" i="9"/>
  <c r="N188" i="9"/>
  <c r="N170" i="9"/>
  <c r="N32" i="9"/>
  <c r="N256" i="9"/>
  <c r="N23" i="9"/>
  <c r="N235" i="9"/>
  <c r="N203" i="9"/>
  <c r="N208" i="9"/>
  <c r="N231" i="9"/>
  <c r="K60" i="11"/>
  <c r="K257" i="11"/>
  <c r="K23" i="11"/>
  <c r="K187" i="11"/>
  <c r="K211" i="11"/>
  <c r="K32" i="11"/>
  <c r="K233" i="11"/>
  <c r="K168" i="11"/>
  <c r="K206" i="11"/>
  <c r="K237" i="11"/>
  <c r="N123" i="9"/>
  <c r="N269" i="9"/>
  <c r="K122" i="11"/>
  <c r="K270" i="11"/>
  <c r="K83" i="11"/>
  <c r="N85" i="9"/>
  <c r="N265" i="9"/>
  <c r="N68" i="9"/>
  <c r="N19" i="9"/>
  <c r="N48" i="9"/>
  <c r="N258" i="9"/>
  <c r="N216" i="9"/>
  <c r="K66" i="11"/>
  <c r="K19" i="11"/>
  <c r="K260" i="11"/>
  <c r="K26" i="11"/>
  <c r="K219" i="11"/>
  <c r="K266" i="11"/>
  <c r="K47" i="11"/>
  <c r="N243" i="9"/>
  <c r="N224" i="9"/>
  <c r="N137" i="9"/>
  <c r="N205" i="9"/>
  <c r="K136" i="11"/>
  <c r="K227" i="11"/>
  <c r="K208" i="11"/>
  <c r="K244" i="11"/>
  <c r="N130" i="9"/>
  <c r="K129" i="11"/>
  <c r="BM4" i="2"/>
  <c r="BY4" i="2" s="1"/>
  <c r="BT4" i="2"/>
  <c r="CF4" i="2" s="1"/>
  <c r="BV360" i="20" s="1"/>
  <c r="BQ4" i="2"/>
  <c r="CC4" i="2" s="1"/>
  <c r="BS4" i="2"/>
  <c r="AA4" i="2"/>
  <c r="AC4" i="2"/>
  <c r="AG360" i="20" s="1"/>
  <c r="BJ51" i="9"/>
  <c r="Y4" i="2"/>
  <c r="Z4" i="2"/>
  <c r="BS360" i="20" s="1"/>
  <c r="BH51" i="9"/>
  <c r="N230" i="9"/>
  <c r="K300" i="11"/>
  <c r="N51" i="9"/>
  <c r="N149" i="9"/>
  <c r="N299" i="9"/>
  <c r="N154" i="9"/>
  <c r="K147" i="11"/>
  <c r="K161" i="11"/>
  <c r="K153" i="11"/>
  <c r="N163" i="9"/>
  <c r="N147" i="9"/>
  <c r="N92" i="9"/>
  <c r="K90" i="11"/>
  <c r="N16" i="9"/>
  <c r="K16" i="11"/>
  <c r="K203" i="11"/>
  <c r="N236" i="9"/>
  <c r="N38" i="9"/>
  <c r="S202" i="11"/>
  <c r="Q202" i="11"/>
  <c r="S179" i="11"/>
  <c r="Q179" i="11"/>
  <c r="S204" i="11"/>
  <c r="Q204" i="11"/>
  <c r="S205" i="11"/>
  <c r="Q205" i="11"/>
  <c r="H202" i="11"/>
  <c r="H179" i="11"/>
  <c r="H205" i="11"/>
  <c r="AF51" i="9"/>
  <c r="AX4" i="2"/>
  <c r="BB360" i="20" s="1"/>
  <c r="BA51" i="9"/>
  <c r="BE4" i="2"/>
  <c r="BI360" i="20" s="1"/>
  <c r="AQ4" i="2"/>
  <c r="AU360" i="20" s="1"/>
  <c r="P4" i="2"/>
  <c r="BX4" i="2"/>
  <c r="BP4" i="2"/>
  <c r="CB4" i="2" s="1"/>
  <c r="BL4" i="2"/>
  <c r="AJ4" i="2"/>
  <c r="AN360" i="20" s="1"/>
  <c r="AB4" i="2"/>
  <c r="BN4" i="2"/>
  <c r="BZ4" i="2" s="1"/>
  <c r="CA4" i="2"/>
  <c r="BW4" i="2"/>
  <c r="AM51" i="9"/>
  <c r="AT51" i="9"/>
  <c r="K179" i="11"/>
  <c r="H204" i="11"/>
  <c r="K202" i="11"/>
  <c r="K205" i="11"/>
  <c r="K204" i="11"/>
  <c r="BQ24" i="20" l="1"/>
  <c r="BQ360" i="20"/>
  <c r="BP360" i="20"/>
  <c r="BS24" i="20"/>
  <c r="BR360" i="20"/>
  <c r="I50" i="6"/>
  <c r="J184" i="11"/>
  <c r="M184" i="11"/>
  <c r="M230" i="11"/>
  <c r="J230" i="11"/>
  <c r="M152" i="11"/>
  <c r="J152" i="11"/>
  <c r="AF8" i="20"/>
  <c r="Y230" i="9"/>
  <c r="M283" i="11"/>
  <c r="J283" i="11"/>
  <c r="M85" i="11"/>
  <c r="J85" i="11"/>
  <c r="M218" i="11"/>
  <c r="J218" i="11"/>
  <c r="M39" i="11"/>
  <c r="J39" i="11"/>
  <c r="M216" i="11"/>
  <c r="J216" i="11"/>
  <c r="M4" i="11"/>
  <c r="J4" i="11"/>
  <c r="M92" i="11"/>
  <c r="J92" i="11"/>
  <c r="M293" i="11"/>
  <c r="J293" i="11"/>
  <c r="M51" i="11"/>
  <c r="J51" i="11"/>
  <c r="M123" i="11"/>
  <c r="J123" i="11"/>
  <c r="M297" i="11"/>
  <c r="J297" i="11"/>
  <c r="M121" i="11"/>
  <c r="J121" i="11"/>
  <c r="M299" i="11"/>
  <c r="J299" i="11"/>
  <c r="M234" i="11"/>
  <c r="J234" i="11"/>
  <c r="M20" i="11"/>
  <c r="J20" i="11"/>
  <c r="M172" i="11"/>
  <c r="J172" i="11"/>
  <c r="M116" i="11"/>
  <c r="J116" i="11"/>
  <c r="J158" i="11"/>
  <c r="M158" i="11"/>
  <c r="M34" i="11"/>
  <c r="J34" i="11"/>
  <c r="M209" i="11"/>
  <c r="J209" i="11"/>
  <c r="J120" i="11"/>
  <c r="M120" i="11"/>
  <c r="M54" i="11"/>
  <c r="J54" i="11"/>
  <c r="M135" i="11"/>
  <c r="J135" i="11"/>
  <c r="M199" i="11"/>
  <c r="J199" i="11"/>
  <c r="J217" i="11"/>
  <c r="M217" i="11"/>
  <c r="M290" i="11"/>
  <c r="J290" i="11"/>
  <c r="J24" i="11"/>
  <c r="M24" i="11"/>
  <c r="M17" i="11"/>
  <c r="J17" i="11"/>
  <c r="M278" i="11"/>
  <c r="J278" i="11"/>
  <c r="M255" i="11"/>
  <c r="J255" i="11"/>
  <c r="M225" i="11"/>
  <c r="J225" i="11"/>
  <c r="M134" i="11"/>
  <c r="J134" i="11"/>
  <c r="M166" i="11"/>
  <c r="J166" i="11"/>
  <c r="M96" i="11"/>
  <c r="J96" i="11"/>
  <c r="M133" i="11"/>
  <c r="J133" i="11"/>
  <c r="M258" i="11"/>
  <c r="J258" i="11"/>
  <c r="M320" i="11"/>
  <c r="J320" i="11"/>
  <c r="M52" i="11"/>
  <c r="J52" i="11"/>
  <c r="M307" i="11"/>
  <c r="J307" i="11"/>
  <c r="M64" i="11"/>
  <c r="J64" i="11"/>
  <c r="M74" i="11"/>
  <c r="J74" i="11"/>
  <c r="M139" i="11"/>
  <c r="J139" i="11"/>
  <c r="M231" i="11"/>
  <c r="J231" i="11"/>
  <c r="M119" i="11"/>
  <c r="J119" i="11"/>
  <c r="M108" i="11"/>
  <c r="J108" i="11"/>
  <c r="M78" i="11"/>
  <c r="J78" i="11"/>
  <c r="J254" i="11"/>
  <c r="M254" i="11"/>
  <c r="M198" i="11"/>
  <c r="J198" i="11"/>
  <c r="M247" i="11"/>
  <c r="J247" i="11"/>
  <c r="M55" i="11"/>
  <c r="J55" i="11"/>
  <c r="J186" i="11"/>
  <c r="M186" i="11"/>
  <c r="M301" i="11"/>
  <c r="J301" i="11"/>
  <c r="M281" i="11"/>
  <c r="J281" i="11"/>
  <c r="M313" i="11"/>
  <c r="J313" i="11"/>
  <c r="M81" i="11"/>
  <c r="J81" i="11"/>
  <c r="M265" i="11"/>
  <c r="J265" i="11"/>
  <c r="M36" i="11"/>
  <c r="J36" i="11"/>
  <c r="J259" i="11"/>
  <c r="M259" i="11"/>
  <c r="M302" i="11"/>
  <c r="J302" i="11"/>
  <c r="B7" i="20"/>
  <c r="B8" i="20"/>
  <c r="BP3" i="20"/>
  <c r="BP24" i="20"/>
  <c r="BA4" i="20"/>
  <c r="BR4" i="20"/>
  <c r="BO4" i="20"/>
  <c r="BR24" i="20"/>
  <c r="BO24" i="20"/>
  <c r="AT24" i="20"/>
  <c r="BH24" i="20"/>
  <c r="BA24" i="20"/>
  <c r="AT4" i="20"/>
  <c r="AM4" i="20"/>
  <c r="AM24" i="20"/>
  <c r="BH4" i="20"/>
  <c r="C209" i="18"/>
  <c r="C232" i="18"/>
  <c r="CY4" i="2"/>
  <c r="M62" i="11"/>
  <c r="J62" i="11"/>
  <c r="M178" i="11"/>
  <c r="J178" i="11"/>
  <c r="M310" i="11"/>
  <c r="J310" i="11"/>
  <c r="J230" i="6"/>
  <c r="M173" i="11"/>
  <c r="J173" i="11"/>
  <c r="M160" i="11"/>
  <c r="J160" i="11"/>
  <c r="M86" i="11"/>
  <c r="J86" i="11"/>
  <c r="M63" i="11"/>
  <c r="J63" i="11"/>
  <c r="J189" i="11"/>
  <c r="M189" i="11"/>
  <c r="M315" i="11"/>
  <c r="J315" i="11"/>
  <c r="M48" i="11"/>
  <c r="J48" i="11"/>
  <c r="J61" i="11"/>
  <c r="M61" i="11"/>
  <c r="M5" i="11"/>
  <c r="J5" i="11"/>
  <c r="J31" i="11"/>
  <c r="M31" i="11"/>
  <c r="J287" i="11"/>
  <c r="M287" i="11"/>
  <c r="M70" i="11"/>
  <c r="J70" i="11"/>
  <c r="J256" i="11"/>
  <c r="M256" i="11"/>
  <c r="M269" i="11"/>
  <c r="J269" i="11"/>
  <c r="J69" i="11"/>
  <c r="M69" i="11"/>
  <c r="M181" i="11"/>
  <c r="J181" i="11"/>
  <c r="M197" i="11"/>
  <c r="J197" i="11"/>
  <c r="M162" i="11"/>
  <c r="J162" i="11"/>
  <c r="J125" i="11"/>
  <c r="M125" i="11"/>
  <c r="M263" i="11"/>
  <c r="J263" i="11"/>
  <c r="J118" i="11"/>
  <c r="M118" i="11"/>
  <c r="M124" i="11"/>
  <c r="J124" i="11"/>
  <c r="M95" i="11"/>
  <c r="J95" i="11"/>
  <c r="J35" i="11"/>
  <c r="M35" i="11"/>
  <c r="M149" i="11"/>
  <c r="J149" i="11"/>
  <c r="M164" i="11"/>
  <c r="J164" i="11"/>
  <c r="M53" i="11"/>
  <c r="J53" i="11"/>
  <c r="J182" i="11"/>
  <c r="M182" i="11"/>
  <c r="M296" i="11"/>
  <c r="J296" i="11"/>
  <c r="M311" i="11"/>
  <c r="J311" i="11"/>
  <c r="J235" i="11"/>
  <c r="M235" i="11"/>
  <c r="M175" i="11"/>
  <c r="J175" i="11"/>
  <c r="M250" i="11"/>
  <c r="J250" i="11"/>
  <c r="M7" i="11"/>
  <c r="J7" i="11"/>
  <c r="M94" i="11"/>
  <c r="J94" i="11"/>
  <c r="M308" i="11"/>
  <c r="J308" i="11"/>
  <c r="J43" i="11"/>
  <c r="M43" i="11"/>
  <c r="M264" i="11"/>
  <c r="J264" i="11"/>
  <c r="M220" i="11"/>
  <c r="J220" i="11"/>
  <c r="M72" i="11"/>
  <c r="J72" i="11"/>
  <c r="M236" i="11"/>
  <c r="J236" i="11"/>
  <c r="M282" i="11"/>
  <c r="J282" i="11"/>
  <c r="M140" i="11"/>
  <c r="J140" i="11"/>
  <c r="M298" i="11"/>
  <c r="J298" i="11"/>
  <c r="M319" i="11"/>
  <c r="J319" i="11"/>
  <c r="J271" i="11"/>
  <c r="M271" i="11"/>
  <c r="J42" i="11"/>
  <c r="M42" i="11"/>
  <c r="J40" i="11"/>
  <c r="M40" i="11"/>
  <c r="M193" i="11"/>
  <c r="J193" i="11"/>
  <c r="M195" i="11"/>
  <c r="J195" i="11"/>
  <c r="M174" i="11"/>
  <c r="J174" i="11"/>
  <c r="J177" i="11"/>
  <c r="M177" i="11"/>
  <c r="M111" i="11"/>
  <c r="J111" i="11"/>
  <c r="M67" i="11"/>
  <c r="J67" i="11"/>
  <c r="M68" i="11"/>
  <c r="J68" i="11"/>
  <c r="M49" i="11"/>
  <c r="J49" i="11"/>
  <c r="M285" i="11"/>
  <c r="J285" i="11"/>
  <c r="M101" i="11"/>
  <c r="J101" i="11"/>
  <c r="M273" i="11"/>
  <c r="J273" i="11"/>
  <c r="M303" i="11"/>
  <c r="J303" i="11"/>
  <c r="M143" i="11"/>
  <c r="J143" i="11"/>
  <c r="M194" i="11"/>
  <c r="J194" i="11"/>
  <c r="M167" i="11"/>
  <c r="J167" i="11"/>
  <c r="J99" i="11"/>
  <c r="M99" i="11"/>
  <c r="M9" i="11"/>
  <c r="J9" i="11"/>
  <c r="M13" i="11"/>
  <c r="J13" i="11"/>
  <c r="M21" i="11"/>
  <c r="J21" i="11"/>
  <c r="M232" i="11"/>
  <c r="J232" i="11"/>
  <c r="M192" i="11"/>
  <c r="J192" i="11"/>
  <c r="J126" i="11"/>
  <c r="M126" i="11"/>
  <c r="M228" i="11"/>
  <c r="J228" i="11"/>
  <c r="M150" i="11"/>
  <c r="J150" i="11"/>
  <c r="J142" i="11"/>
  <c r="M142" i="11"/>
  <c r="M292" i="11"/>
  <c r="J292" i="11"/>
  <c r="J84" i="11"/>
  <c r="M84" i="11"/>
  <c r="M103" i="11"/>
  <c r="J103" i="11"/>
  <c r="M253" i="11"/>
  <c r="J253" i="11"/>
  <c r="M106" i="11"/>
  <c r="J106" i="11"/>
  <c r="J104" i="11"/>
  <c r="M104" i="11"/>
  <c r="M73" i="11"/>
  <c r="J73" i="11"/>
  <c r="M215" i="11"/>
  <c r="J215" i="11"/>
  <c r="M214" i="11"/>
  <c r="J214" i="11"/>
  <c r="M284" i="11"/>
  <c r="J284" i="11"/>
  <c r="M82" i="11"/>
  <c r="J82" i="11"/>
  <c r="M107" i="11"/>
  <c r="J107" i="11"/>
  <c r="J159" i="11"/>
  <c r="M159" i="11"/>
  <c r="J56" i="11"/>
  <c r="M56" i="11"/>
  <c r="M29" i="11"/>
  <c r="J29" i="11"/>
  <c r="M27" i="11"/>
  <c r="J27" i="11"/>
  <c r="M163" i="11"/>
  <c r="J163" i="11"/>
  <c r="M11" i="11"/>
  <c r="J11" i="11"/>
  <c r="M151" i="11"/>
  <c r="J151" i="11"/>
  <c r="M277" i="11"/>
  <c r="J277" i="11"/>
  <c r="M190" i="11"/>
  <c r="J190" i="11"/>
  <c r="J210" i="11"/>
  <c r="M210" i="11"/>
  <c r="M267" i="11"/>
  <c r="J267" i="11"/>
  <c r="J156" i="11"/>
  <c r="M156" i="11"/>
  <c r="J317" i="11"/>
  <c r="M317" i="11"/>
  <c r="M242" i="11"/>
  <c r="J242" i="11"/>
  <c r="M88" i="11"/>
  <c r="J88" i="11"/>
  <c r="J28" i="11"/>
  <c r="M28" i="11"/>
  <c r="M8" i="11"/>
  <c r="J8" i="11"/>
  <c r="J291" i="11"/>
  <c r="M291" i="11"/>
  <c r="J213" i="11"/>
  <c r="M213" i="11"/>
  <c r="M305" i="11"/>
  <c r="J305" i="11"/>
  <c r="J25" i="11"/>
  <c r="M25" i="11"/>
  <c r="J248" i="11"/>
  <c r="M248" i="11"/>
  <c r="M77" i="11"/>
  <c r="J77" i="11"/>
  <c r="M132" i="11"/>
  <c r="J132" i="11"/>
  <c r="M200" i="11"/>
  <c r="J200" i="11"/>
  <c r="M222" i="11"/>
  <c r="J222" i="11"/>
  <c r="M102" i="11"/>
  <c r="J102" i="11"/>
  <c r="M289" i="11"/>
  <c r="J289" i="11"/>
  <c r="M137" i="11"/>
  <c r="J137" i="11"/>
  <c r="M59" i="11"/>
  <c r="J59" i="11"/>
  <c r="M79" i="11"/>
  <c r="J79" i="11"/>
  <c r="M93" i="11"/>
  <c r="J93" i="11"/>
  <c r="M223" i="11"/>
  <c r="J223" i="11"/>
  <c r="M241" i="11"/>
  <c r="J241" i="11"/>
  <c r="M316" i="11"/>
  <c r="J316" i="11"/>
  <c r="J109" i="11"/>
  <c r="M109" i="11"/>
  <c r="M41" i="11"/>
  <c r="J41" i="11"/>
  <c r="M251" i="11"/>
  <c r="J251" i="11"/>
  <c r="M221" i="11"/>
  <c r="J221" i="11"/>
  <c r="M115" i="11"/>
  <c r="J115" i="11"/>
  <c r="J245" i="11"/>
  <c r="M245" i="11"/>
  <c r="M110" i="11"/>
  <c r="J110" i="11"/>
  <c r="M309" i="11"/>
  <c r="J309" i="11"/>
  <c r="M10" i="11"/>
  <c r="J10" i="11"/>
  <c r="M18" i="11"/>
  <c r="J18" i="11"/>
  <c r="M224" i="11"/>
  <c r="J224" i="11"/>
  <c r="J212" i="11"/>
  <c r="M212" i="11"/>
  <c r="M243" i="11"/>
  <c r="J243" i="11"/>
  <c r="J169" i="11"/>
  <c r="M169" i="11"/>
  <c r="M58" i="11"/>
  <c r="J58" i="11"/>
  <c r="M318" i="11"/>
  <c r="J318" i="11"/>
  <c r="M201" i="11"/>
  <c r="J201" i="11"/>
  <c r="M117" i="11"/>
  <c r="J117" i="11"/>
  <c r="M288" i="11"/>
  <c r="J288" i="11"/>
  <c r="M114" i="11"/>
  <c r="J114" i="11"/>
  <c r="M38" i="11"/>
  <c r="J38" i="11"/>
  <c r="M226" i="11"/>
  <c r="J226" i="11"/>
  <c r="J165" i="11"/>
  <c r="M165" i="11"/>
  <c r="J33" i="11"/>
  <c r="M33" i="11"/>
  <c r="M50" i="11"/>
  <c r="J50" i="11"/>
  <c r="J294" i="11"/>
  <c r="M294" i="11"/>
  <c r="J148" i="11"/>
  <c r="M148" i="11"/>
  <c r="M279" i="11"/>
  <c r="J279" i="11"/>
  <c r="M75" i="11"/>
  <c r="J75" i="11"/>
  <c r="M80" i="11"/>
  <c r="J80" i="11"/>
  <c r="J268" i="11"/>
  <c r="M268" i="11"/>
  <c r="M183" i="11"/>
  <c r="J183" i="11"/>
  <c r="M295" i="11"/>
  <c r="J295" i="11"/>
  <c r="M276" i="11"/>
  <c r="J276" i="11"/>
  <c r="M239" i="11"/>
  <c r="J239" i="11"/>
  <c r="M105" i="11"/>
  <c r="J105" i="11"/>
  <c r="J275" i="11"/>
  <c r="M275" i="11"/>
  <c r="M76" i="11"/>
  <c r="J76" i="11"/>
  <c r="M89" i="11"/>
  <c r="J89" i="11"/>
  <c r="J246" i="11"/>
  <c r="M246" i="11"/>
  <c r="M207" i="11"/>
  <c r="J207" i="11"/>
  <c r="M145" i="11"/>
  <c r="J145" i="11"/>
  <c r="M170" i="11"/>
  <c r="J170" i="11"/>
  <c r="M180" i="11"/>
  <c r="J180" i="11"/>
  <c r="M238" i="11"/>
  <c r="J238" i="11"/>
  <c r="J262" i="11"/>
  <c r="M262" i="11"/>
  <c r="M261" i="11"/>
  <c r="J261" i="11"/>
  <c r="M191" i="11"/>
  <c r="J191" i="11"/>
  <c r="M57" i="11"/>
  <c r="J57" i="11"/>
  <c r="M71" i="11"/>
  <c r="J71" i="11"/>
  <c r="M15" i="11"/>
  <c r="J15" i="11"/>
  <c r="M252" i="11"/>
  <c r="J252" i="11"/>
  <c r="M65" i="11"/>
  <c r="J65" i="11"/>
  <c r="J157" i="11"/>
  <c r="M157" i="11"/>
  <c r="M12" i="11"/>
  <c r="J12" i="11"/>
  <c r="M154" i="11"/>
  <c r="J154" i="11"/>
  <c r="M97" i="11"/>
  <c r="J97" i="11"/>
  <c r="J146" i="11"/>
  <c r="M146" i="11"/>
  <c r="J100" i="11"/>
  <c r="M100" i="11"/>
  <c r="M112" i="11"/>
  <c r="J112" i="11"/>
  <c r="M44" i="11"/>
  <c r="J44" i="11"/>
  <c r="M312" i="11"/>
  <c r="J312" i="11"/>
  <c r="M131" i="11"/>
  <c r="J131" i="11"/>
  <c r="M188" i="11"/>
  <c r="J188" i="11"/>
  <c r="M176" i="11"/>
  <c r="J176" i="11"/>
  <c r="M37" i="11"/>
  <c r="J37" i="11"/>
  <c r="M321" i="11"/>
  <c r="J321" i="11"/>
  <c r="M138" i="11"/>
  <c r="J138" i="11"/>
  <c r="M272" i="11"/>
  <c r="J272" i="11"/>
  <c r="M314" i="11"/>
  <c r="J314" i="11"/>
  <c r="J196" i="11"/>
  <c r="M196" i="11"/>
  <c r="M130" i="11"/>
  <c r="J130" i="11"/>
  <c r="J14" i="11"/>
  <c r="M14" i="11"/>
  <c r="M45" i="11"/>
  <c r="J45" i="11"/>
  <c r="J6" i="11"/>
  <c r="M6" i="11"/>
  <c r="M171" i="11"/>
  <c r="J171" i="11"/>
  <c r="J274" i="11"/>
  <c r="M274" i="11"/>
  <c r="M87" i="11"/>
  <c r="J87" i="11"/>
  <c r="M46" i="11"/>
  <c r="J46" i="11"/>
  <c r="M306" i="11"/>
  <c r="J306" i="11"/>
  <c r="M113" i="11"/>
  <c r="J113" i="11"/>
  <c r="M304" i="11"/>
  <c r="J304" i="11"/>
  <c r="M22" i="11"/>
  <c r="J22" i="11"/>
  <c r="M30" i="11"/>
  <c r="J30" i="11"/>
  <c r="M128" i="11"/>
  <c r="J128" i="11"/>
  <c r="M280" i="11"/>
  <c r="J280" i="11"/>
  <c r="M229" i="11"/>
  <c r="J229" i="11"/>
  <c r="M249" i="11"/>
  <c r="J249" i="11"/>
  <c r="M155" i="11"/>
  <c r="J155" i="11"/>
  <c r="M144" i="11"/>
  <c r="J144" i="11"/>
  <c r="M286" i="11"/>
  <c r="J286" i="11"/>
  <c r="J127" i="11"/>
  <c r="M127" i="11"/>
  <c r="M91" i="11"/>
  <c r="J91" i="11"/>
  <c r="M141" i="11"/>
  <c r="J141" i="11"/>
  <c r="M240" i="11"/>
  <c r="J240" i="11"/>
  <c r="M98" i="11"/>
  <c r="J98" i="11"/>
  <c r="M185" i="11"/>
  <c r="J185" i="11"/>
  <c r="M237" i="11"/>
  <c r="J237" i="11"/>
  <c r="M32" i="11"/>
  <c r="J32" i="11"/>
  <c r="M257" i="11"/>
  <c r="J257" i="11"/>
  <c r="M206" i="11"/>
  <c r="J206" i="11"/>
  <c r="M211" i="11"/>
  <c r="J211" i="11"/>
  <c r="M60" i="11"/>
  <c r="J60" i="11"/>
  <c r="M168" i="11"/>
  <c r="J168" i="11"/>
  <c r="M187" i="11"/>
  <c r="J187" i="11"/>
  <c r="M233" i="11"/>
  <c r="J233" i="11"/>
  <c r="M23" i="11"/>
  <c r="J23" i="11"/>
  <c r="M83" i="11"/>
  <c r="J83" i="11"/>
  <c r="M270" i="11"/>
  <c r="J270" i="11"/>
  <c r="J122" i="11"/>
  <c r="M122" i="11"/>
  <c r="M26" i="11"/>
  <c r="J26" i="11"/>
  <c r="M219" i="11"/>
  <c r="J219" i="11"/>
  <c r="M66" i="11"/>
  <c r="J66" i="11"/>
  <c r="M47" i="11"/>
  <c r="J47" i="11"/>
  <c r="M260" i="11"/>
  <c r="J260" i="11"/>
  <c r="M266" i="11"/>
  <c r="J266" i="11"/>
  <c r="M19" i="11"/>
  <c r="J19" i="11"/>
  <c r="M227" i="11"/>
  <c r="J227" i="11"/>
  <c r="M136" i="11"/>
  <c r="J136" i="11"/>
  <c r="M244" i="11"/>
  <c r="J244" i="11"/>
  <c r="M208" i="11"/>
  <c r="J208" i="11"/>
  <c r="M129" i="11"/>
  <c r="J129" i="11"/>
  <c r="CE4" i="2"/>
  <c r="BU360" i="20" s="1"/>
  <c r="BJ147" i="9"/>
  <c r="M300" i="11"/>
  <c r="J300" i="11"/>
  <c r="J153" i="11"/>
  <c r="M153" i="11"/>
  <c r="M161" i="11"/>
  <c r="J161" i="11"/>
  <c r="M147" i="11"/>
  <c r="J147" i="11"/>
  <c r="M90" i="11"/>
  <c r="J90" i="11"/>
  <c r="M16" i="11"/>
  <c r="J16" i="11"/>
  <c r="J203" i="11"/>
  <c r="M203" i="11"/>
  <c r="CH4" i="2"/>
  <c r="BA147" i="9"/>
  <c r="AM147" i="9"/>
  <c r="AT147" i="9"/>
  <c r="AF147" i="9"/>
  <c r="BH147" i="9"/>
  <c r="CG4" i="2"/>
  <c r="BW360" i="20" s="1"/>
  <c r="BK51" i="9"/>
  <c r="J179" i="11"/>
  <c r="M179" i="11"/>
  <c r="J204" i="11"/>
  <c r="M204" i="11"/>
  <c r="M202" i="11"/>
  <c r="J202" i="11"/>
  <c r="M205" i="11"/>
  <c r="J205" i="11"/>
  <c r="BI51" i="9" l="1"/>
  <c r="BQ4" i="20"/>
  <c r="CK8" i="20"/>
  <c r="H8" i="20"/>
  <c r="CK7" i="20"/>
  <c r="H7" i="20"/>
  <c r="P8" i="20"/>
  <c r="F8" i="20"/>
  <c r="P7" i="20"/>
  <c r="F7" i="20"/>
  <c r="BP4" i="20"/>
  <c r="CB51" i="9"/>
  <c r="G8" i="20"/>
  <c r="G7" i="20"/>
  <c r="I147" i="6"/>
  <c r="AF7" i="20"/>
  <c r="O50" i="6"/>
  <c r="BA5" i="20"/>
  <c r="BS4" i="20"/>
  <c r="BH5" i="20"/>
  <c r="BR5" i="20"/>
  <c r="BO5" i="20"/>
  <c r="AM5" i="20"/>
  <c r="AT5" i="20"/>
  <c r="J236" i="6"/>
  <c r="BJ236" i="9"/>
  <c r="BK147" i="9"/>
  <c r="AT236" i="9"/>
  <c r="AF236" i="9"/>
  <c r="AM236" i="9"/>
  <c r="BA236" i="9"/>
  <c r="BH236" i="9"/>
  <c r="BI236" i="9" l="1"/>
  <c r="BQ6" i="20"/>
  <c r="BI147" i="9"/>
  <c r="BQ5" i="20"/>
  <c r="B51" i="9"/>
  <c r="G51" i="9" s="1"/>
  <c r="CH7" i="20"/>
  <c r="M7" i="20" s="1"/>
  <c r="BP6" i="20"/>
  <c r="CB236" i="9"/>
  <c r="BP5" i="20"/>
  <c r="CB147" i="9"/>
  <c r="I236" i="6"/>
  <c r="O236" i="6" s="1"/>
  <c r="B236" i="9" s="1"/>
  <c r="Y51" i="9"/>
  <c r="BH6" i="20"/>
  <c r="BR6" i="20"/>
  <c r="AM6" i="20"/>
  <c r="B4" i="20"/>
  <c r="BA6" i="20"/>
  <c r="C71" i="18"/>
  <c r="O147" i="6"/>
  <c r="B147" i="9" s="1"/>
  <c r="CD147" i="9" s="1"/>
  <c r="CH8" i="20"/>
  <c r="L8" i="20" s="1"/>
  <c r="BO6" i="20"/>
  <c r="AT6" i="20"/>
  <c r="BS5" i="20"/>
  <c r="C6" i="18"/>
  <c r="B15" i="20"/>
  <c r="W8" i="1"/>
  <c r="I3" i="6"/>
  <c r="BK236" i="9"/>
  <c r="CK15" i="20" l="1"/>
  <c r="H15" i="20"/>
  <c r="K7" i="20"/>
  <c r="L7" i="20"/>
  <c r="I7" i="20"/>
  <c r="J7" i="20"/>
  <c r="CD236" i="9"/>
  <c r="CD51" i="9"/>
  <c r="H51" i="9"/>
  <c r="F51" i="9"/>
  <c r="CK4" i="20"/>
  <c r="F15" i="20"/>
  <c r="P15" i="20"/>
  <c r="P4" i="20"/>
  <c r="F4" i="20"/>
  <c r="G4" i="20"/>
  <c r="AF4" i="20"/>
  <c r="G15" i="20"/>
  <c r="H4" i="20"/>
  <c r="Y147" i="9"/>
  <c r="G236" i="9"/>
  <c r="H236" i="9"/>
  <c r="F236" i="9"/>
  <c r="H147" i="9"/>
  <c r="G147" i="9"/>
  <c r="F147" i="9"/>
  <c r="AX4" i="20"/>
  <c r="BS6" i="20"/>
  <c r="K8" i="20"/>
  <c r="B5" i="20"/>
  <c r="C155" i="18"/>
  <c r="I8" i="20"/>
  <c r="M8" i="20"/>
  <c r="J8" i="20"/>
  <c r="B6" i="20"/>
  <c r="C237" i="18"/>
  <c r="J50" i="6"/>
  <c r="J147" i="6"/>
  <c r="H6" i="20" l="1"/>
  <c r="CK5" i="20"/>
  <c r="H5" i="20"/>
  <c r="CK6" i="20"/>
  <c r="P6" i="20"/>
  <c r="F6" i="20"/>
  <c r="P5" i="20"/>
  <c r="F5" i="20"/>
  <c r="G6" i="20"/>
  <c r="G5" i="20"/>
  <c r="AF5" i="20"/>
  <c r="Y236" i="9"/>
  <c r="CH4" i="20"/>
  <c r="K4" i="20" s="1"/>
  <c r="CH15" i="20"/>
  <c r="M15" i="20" s="1"/>
  <c r="AF6" i="20" l="1"/>
  <c r="L4" i="20"/>
  <c r="I4" i="20"/>
  <c r="M4" i="20"/>
  <c r="J4" i="20"/>
  <c r="CH5" i="20"/>
  <c r="M5" i="20" s="1"/>
  <c r="CH6" i="20"/>
  <c r="L6" i="20" s="1"/>
  <c r="I15" i="20"/>
  <c r="K15" i="20"/>
  <c r="L15" i="20"/>
  <c r="J15" i="20"/>
  <c r="J5" i="20" l="1"/>
  <c r="L5" i="20"/>
  <c r="K5" i="20"/>
  <c r="I5" i="20"/>
  <c r="K6" i="20"/>
  <c r="M6" i="20"/>
  <c r="I6" i="20"/>
  <c r="J6" i="20"/>
  <c r="V154" i="9" l="1"/>
  <c r="V31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F2" authorId="0" shapeId="0" xr:uid="{B5F88580-1A45-4284-8D03-D81892219BEF}">
      <text>
        <r>
          <rPr>
            <sz val="9"/>
            <color indexed="81"/>
            <rFont val="Tahoma"/>
            <family val="2"/>
          </rPr>
          <t>F1 =&gt; Formulaire de demande
F2 =&gt; Formulaire d'autoevaluation
F3 =&gt; formulaire concernant l'environnement de travail
Garde =&gt; Justificatif de garde
Elec =&gt; Attestation de conformité Electrique
Ass =&gt; Attestation d'assurance
Inter =&gt; Attestation d'internet haut débit
Plan =&gt; Planning annexe
OK =&gt; PJ reçue
ATT =&gt; PJ annoncée en attente
NON =&gt; PJ non reçu
NC =&gt; Non concerné par la PJ</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Administrateur</author>
  </authors>
  <commentList>
    <comment ref="X2" authorId="0" shapeId="0" xr:uid="{4F6E43E9-D4DE-4107-A4E7-27FDDC7E74D6}">
      <text>
        <r>
          <rPr>
            <sz val="9"/>
            <color indexed="81"/>
            <rFont val="Tahoma"/>
            <family val="2"/>
          </rPr>
          <t>R: Télétravailleur Régulier
P: Télétravailleur Ponctuel</t>
        </r>
        <r>
          <rPr>
            <sz val="9"/>
            <color indexed="81"/>
            <rFont val="Tahoma"/>
            <family val="2"/>
          </rPr>
          <t xml:space="preserve">
</t>
        </r>
      </text>
    </comment>
    <comment ref="Y2" authorId="0" shapeId="0" xr:uid="{5FA5CA2E-A0E4-4E85-8D93-487D7978C7C6}">
      <text>
        <r>
          <rPr>
            <sz val="9"/>
            <color indexed="81"/>
            <rFont val="Tahoma"/>
            <family val="2"/>
          </rPr>
          <t>Nbre de jours flottants attribués</t>
        </r>
        <r>
          <rPr>
            <sz val="9"/>
            <color indexed="81"/>
            <rFont val="Tahoma"/>
            <family val="2"/>
          </rPr>
          <t xml:space="preserve">
</t>
        </r>
      </text>
    </comment>
    <comment ref="BI2" authorId="0" shapeId="0" xr:uid="{49B0EFAA-DDBA-489F-AC4B-233788886313}">
      <text>
        <r>
          <rPr>
            <sz val="9"/>
            <color indexed="81"/>
            <rFont val="Tahoma"/>
            <family val="2"/>
          </rPr>
          <t xml:space="preserve">Nbre de jour total de teletravail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Administrateur</author>
  </authors>
  <commentList>
    <comment ref="AE2" authorId="0" shapeId="0" xr:uid="{FC28EF4B-A385-477E-8362-8540D3D7FC59}">
      <text>
        <r>
          <rPr>
            <sz val="9"/>
            <color indexed="81"/>
            <rFont val="Tahoma"/>
            <family val="2"/>
          </rPr>
          <t>R: Télétravailleur Régulier
P: Télétravailleur Ponctuel</t>
        </r>
        <r>
          <rPr>
            <sz val="9"/>
            <color indexed="81"/>
            <rFont val="Tahoma"/>
            <family val="2"/>
          </rPr>
          <t xml:space="preserve">
</t>
        </r>
      </text>
    </comment>
    <comment ref="AF2" authorId="0" shapeId="0" xr:uid="{DEAE124F-3E7E-45F1-8D59-4F6715EAA15D}">
      <text>
        <r>
          <rPr>
            <sz val="9"/>
            <color indexed="81"/>
            <rFont val="Tahoma"/>
            <family val="2"/>
          </rPr>
          <t>Nbre de jours flottants attribués</t>
        </r>
        <r>
          <rPr>
            <sz val="9"/>
            <color indexed="81"/>
            <rFont val="Tahoma"/>
            <family val="2"/>
          </rPr>
          <t xml:space="preserve">
</t>
        </r>
      </text>
    </comment>
    <comment ref="BQ2" authorId="0" shapeId="0" xr:uid="{C90BC086-F19D-4A68-97A5-C4DEB9F367A0}">
      <text>
        <r>
          <rPr>
            <sz val="9"/>
            <color indexed="81"/>
            <rFont val="Tahoma"/>
            <family val="2"/>
          </rPr>
          <t xml:space="preserve">Nbre de jour total de teletravail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Administrateur</author>
  </authors>
  <commentList>
    <comment ref="B1" authorId="0" shapeId="0" xr:uid="{D42D8E32-BCEF-4CF0-BCDF-EDBE4B0BE41F}">
      <text>
        <r>
          <rPr>
            <sz val="9"/>
            <color indexed="81"/>
            <rFont val="Tahoma"/>
            <family val="2"/>
          </rPr>
          <t>R : Renouvellement</t>
        </r>
        <r>
          <rPr>
            <b/>
            <sz val="9"/>
            <color indexed="81"/>
            <rFont val="Tahoma"/>
            <family val="2"/>
          </rPr>
          <t xml:space="preserve">
</t>
        </r>
        <r>
          <rPr>
            <sz val="9"/>
            <color indexed="81"/>
            <rFont val="Tahoma"/>
            <family val="2"/>
          </rPr>
          <t xml:space="preserve">N : Nouveau teletravailleur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Administrateur</author>
  </authors>
  <commentList>
    <comment ref="H1" authorId="0" shapeId="0" xr:uid="{3F14B393-E287-48A0-BAEA-2766307E4686}">
      <text>
        <r>
          <rPr>
            <b/>
            <sz val="9"/>
            <color indexed="81"/>
            <rFont val="Tahoma"/>
            <family val="2"/>
          </rPr>
          <t>Administrateur:</t>
        </r>
        <r>
          <rPr>
            <sz val="9"/>
            <color indexed="81"/>
            <rFont val="Tahoma"/>
            <family val="2"/>
          </rPr>
          <t xml:space="preserve">
</t>
        </r>
      </text>
    </comment>
  </commentList>
</comments>
</file>

<file path=xl/sharedStrings.xml><?xml version="1.0" encoding="utf-8"?>
<sst xmlns="http://schemas.openxmlformats.org/spreadsheetml/2006/main" count="16520" uniqueCount="3642">
  <si>
    <t>Nom</t>
  </si>
  <si>
    <t>Prénom</t>
  </si>
  <si>
    <t>Email</t>
  </si>
  <si>
    <t>Réception</t>
  </si>
  <si>
    <t>Accusé</t>
  </si>
  <si>
    <t xml:space="preserve">Service </t>
  </si>
  <si>
    <t>Entité</t>
  </si>
  <si>
    <t>Demandeur</t>
  </si>
  <si>
    <t>Demande Indiv</t>
  </si>
  <si>
    <t>Avis Encadrant</t>
  </si>
  <si>
    <t>Date entretien</t>
  </si>
  <si>
    <t>Avis n+1</t>
  </si>
  <si>
    <t>Encadrant n+1</t>
  </si>
  <si>
    <t>Encadrant n+2</t>
  </si>
  <si>
    <t>Avis n+2</t>
  </si>
  <si>
    <t>Commentaire</t>
  </si>
  <si>
    <t>IAE</t>
  </si>
  <si>
    <t>BU</t>
  </si>
  <si>
    <t>SCUIO-IP</t>
  </si>
  <si>
    <t>IUT</t>
  </si>
  <si>
    <t>Droit</t>
  </si>
  <si>
    <t>S3A</t>
  </si>
  <si>
    <t>DRH</t>
  </si>
  <si>
    <t>DNUM</t>
  </si>
  <si>
    <t>SHS</t>
  </si>
  <si>
    <t>DEVU</t>
  </si>
  <si>
    <t>Lettres</t>
  </si>
  <si>
    <t>Présidence</t>
  </si>
  <si>
    <t>COM</t>
  </si>
  <si>
    <t>Etude du dossier</t>
  </si>
  <si>
    <t>Elec</t>
  </si>
  <si>
    <t>Assu</t>
  </si>
  <si>
    <t>Inter</t>
  </si>
  <si>
    <t>F1</t>
  </si>
  <si>
    <t>F2</t>
  </si>
  <si>
    <t>F3</t>
  </si>
  <si>
    <t>C4</t>
  </si>
  <si>
    <t>C1</t>
  </si>
  <si>
    <t>C2</t>
  </si>
  <si>
    <t>C3</t>
  </si>
  <si>
    <t>C5</t>
  </si>
  <si>
    <t>C6</t>
  </si>
  <si>
    <t>C7</t>
  </si>
  <si>
    <t>Validation</t>
  </si>
  <si>
    <t>PJ</t>
  </si>
  <si>
    <t>C</t>
  </si>
  <si>
    <t>NbJTW</t>
  </si>
  <si>
    <t>Q2</t>
  </si>
  <si>
    <t>Q1</t>
  </si>
  <si>
    <t>Deb poste</t>
  </si>
  <si>
    <t>Deb Univ</t>
  </si>
  <si>
    <t>NbJS</t>
  </si>
  <si>
    <t>NbJTot</t>
  </si>
  <si>
    <t>NbhTW</t>
  </si>
  <si>
    <t>Quotité</t>
  </si>
  <si>
    <t>NbJour max</t>
  </si>
  <si>
    <t>Contrôle</t>
  </si>
  <si>
    <t>Ancienneté à l'Université de moins d'un an</t>
  </si>
  <si>
    <t>Ancienneté sur le poste de moins d'un an</t>
  </si>
  <si>
    <t>La quotité de travail demandée ne peut pas être supérieure à celle actuelle</t>
  </si>
  <si>
    <t>C8</t>
  </si>
  <si>
    <t>Nombre de jours en télétravail non autorisé par rapport à la quotité</t>
  </si>
  <si>
    <t>Incohérence dans la saisie : NbTot &lt;&gt; NbTW + NbS</t>
  </si>
  <si>
    <t>Incohérence dans la saisie : NbjourTW &lt;&gt; Liste semaine</t>
  </si>
  <si>
    <t>OK</t>
  </si>
  <si>
    <t>Commentaires</t>
  </si>
  <si>
    <t>EXP</t>
  </si>
  <si>
    <t>FORM</t>
  </si>
  <si>
    <t>AC</t>
  </si>
  <si>
    <t>D</t>
  </si>
  <si>
    <t>C9</t>
  </si>
  <si>
    <t>Amplitude moyenne d'une journée en télétravail importante</t>
  </si>
  <si>
    <t>SC</t>
  </si>
  <si>
    <t>N+1</t>
  </si>
  <si>
    <t>N+2</t>
  </si>
  <si>
    <t>FINAL</t>
  </si>
  <si>
    <t>DEMANDEUR</t>
  </si>
  <si>
    <t>Commission</t>
  </si>
  <si>
    <t>Fonction</t>
  </si>
  <si>
    <t>M1</t>
  </si>
  <si>
    <t>M2</t>
  </si>
  <si>
    <t>M3</t>
  </si>
  <si>
    <t>M4</t>
  </si>
  <si>
    <t>M5</t>
  </si>
  <si>
    <t>M6</t>
  </si>
  <si>
    <t>Faculté de droit</t>
  </si>
  <si>
    <t>Faculté des Lettres</t>
  </si>
  <si>
    <t>C10</t>
  </si>
  <si>
    <t>Libéllé pour la convention</t>
  </si>
  <si>
    <t>Agence Comptable</t>
  </si>
  <si>
    <t>Nb Heure</t>
  </si>
  <si>
    <t>Nbjoursite :</t>
  </si>
  <si>
    <t>Date rendu dossier :</t>
  </si>
  <si>
    <t>Date rendu avis :</t>
  </si>
  <si>
    <t>Amplitude max :</t>
  </si>
  <si>
    <t>Libellé Problème</t>
  </si>
  <si>
    <t>Garde</t>
  </si>
  <si>
    <t>Civ.</t>
  </si>
  <si>
    <t>Horaire modifié</t>
  </si>
  <si>
    <t>Nbhheb</t>
  </si>
  <si>
    <t>Incohérence dans la saisie : nbheures hebdo &lt;&gt; nbheures requises</t>
  </si>
  <si>
    <t>Lundi</t>
  </si>
  <si>
    <t>Mardi</t>
  </si>
  <si>
    <t>Mercredi</t>
  </si>
  <si>
    <t>Jeudi</t>
  </si>
  <si>
    <t>Vendredi</t>
  </si>
  <si>
    <t>Plan</t>
  </si>
  <si>
    <t>Grade</t>
  </si>
  <si>
    <t>Autres informations pour la convention</t>
  </si>
  <si>
    <t>Indicateurs</t>
  </si>
  <si>
    <t>COM #1</t>
  </si>
  <si>
    <t>Encadrant Nom</t>
  </si>
  <si>
    <t>Encadrant Prénom</t>
  </si>
  <si>
    <t>Encadrant Email</t>
  </si>
  <si>
    <t>Etat Mailing 1</t>
  </si>
  <si>
    <t>Notifié</t>
  </si>
  <si>
    <t>A notifier</t>
  </si>
  <si>
    <t>En attente</t>
  </si>
  <si>
    <t>Etat mailing 2</t>
  </si>
  <si>
    <t>Demande complément</t>
  </si>
  <si>
    <t>Etat Notification</t>
  </si>
  <si>
    <t>Autre action</t>
  </si>
  <si>
    <t>Action mailing</t>
  </si>
  <si>
    <t>Civ</t>
  </si>
  <si>
    <t>Prenom</t>
  </si>
  <si>
    <t>Service</t>
  </si>
  <si>
    <t>Date effet</t>
  </si>
  <si>
    <t>NbHTw</t>
  </si>
  <si>
    <t>NbHTot</t>
  </si>
  <si>
    <t>Entretien bilan</t>
  </si>
  <si>
    <t>Fin Adapt</t>
  </si>
  <si>
    <t>son domicile (lieu de résidence habituelle du télétravailleur)</t>
  </si>
  <si>
    <t>un télécentre (tiers-lieu proposant une infrastructure permettant le travail à distance)</t>
  </si>
  <si>
    <t>sur le site d’une autre administration avec lesquelles l’UJML établit une convention.</t>
  </si>
  <si>
    <t>TL</t>
  </si>
  <si>
    <t>Date Edition</t>
  </si>
  <si>
    <t>Final</t>
  </si>
  <si>
    <t>Quot</t>
  </si>
  <si>
    <t>Etat mailing 3</t>
  </si>
  <si>
    <t>Conv Editée</t>
  </si>
  <si>
    <t xml:space="preserve">A éditer </t>
  </si>
  <si>
    <t>Non concerné</t>
  </si>
  <si>
    <t>Dossier attente</t>
  </si>
  <si>
    <t>Formation TW</t>
  </si>
  <si>
    <t>Informations de suivi</t>
  </si>
  <si>
    <t>PC</t>
  </si>
  <si>
    <t>Téléphone</t>
  </si>
  <si>
    <t>Equipement 1</t>
  </si>
  <si>
    <t>Equipement 2</t>
  </si>
  <si>
    <t>Equipement 3</t>
  </si>
  <si>
    <t>Equipement 4</t>
  </si>
  <si>
    <t>Equipement 5</t>
  </si>
  <si>
    <t>Equipement 6</t>
  </si>
  <si>
    <t>Equipement 7</t>
  </si>
  <si>
    <t>Equipement 8</t>
  </si>
  <si>
    <t>Informations publipostage</t>
  </si>
  <si>
    <t>MTOT</t>
  </si>
  <si>
    <t>Equipement</t>
  </si>
  <si>
    <t>Planning Joint</t>
  </si>
  <si>
    <t>Date effet TW :</t>
  </si>
  <si>
    <t>Fin Période adapation :</t>
  </si>
  <si>
    <t>Date édition :</t>
  </si>
  <si>
    <t>Nom compagne :</t>
  </si>
  <si>
    <t>Paramètres campagne</t>
  </si>
  <si>
    <t>Tout changement/amélioration apporté dans le fichier de suivi des campagnes doit être fait sur le fichier modèle afin de garder une version réutilisable pour chaque campagne.</t>
  </si>
  <si>
    <t xml:space="preserve">Les informations dans les celulles rose doivent être modifiées en fonction de la campagne et des règles de l'Université. Elles sont indispensables pour l'automatisation des contrôles et la bonne réalisation du publipostage des conventions individuelles. </t>
  </si>
  <si>
    <t xml:space="preserve">Vous pouvez personnaliser le libellé des contrôles. En cas de besoin d'automatisation d'autres contrôles, contactez le service support du fichier. </t>
  </si>
  <si>
    <t>Lieu TW</t>
  </si>
  <si>
    <t>Libellé du lieu</t>
  </si>
  <si>
    <t xml:space="preserve">Vous pouvez personnaliser le libellé des lieux de télétravail. Ils servent pour le publipostage des conventions individuelles.  </t>
  </si>
  <si>
    <t>Ces éléments sont utilisés dans les listes déroulantes et permettent une uniformité dans la dénomination des entités. 
En cas d'ajout supplémentaire, modifiez les plages "entité" et "entité convention"dans le gestionnaire de noms. (onglet formule &gt;&gt; Gestionnaire de noms)</t>
  </si>
  <si>
    <t>Les "états mailing" sont utilisés dans le fichier de suivi pour certaines listes déroulantes. 
Ils permettent d'effectuer des filtres lors des différentes actions de publipostage. 
En cas d'ajout supplémentaire, modifiez les plages "Etat Mailing" correspondantes dans le gestionnaire de noms. (onglet formule &gt;&gt; Gestionnaire de noms)</t>
  </si>
  <si>
    <t>Etat</t>
  </si>
  <si>
    <t>Conv Signée Reçue</t>
  </si>
  <si>
    <t>Date édition</t>
  </si>
  <si>
    <t>Date réception</t>
  </si>
  <si>
    <t>Convention</t>
  </si>
  <si>
    <t>Adaptation</t>
  </si>
  <si>
    <t>Renouvellement</t>
  </si>
  <si>
    <t>Date fin</t>
  </si>
  <si>
    <t>Décision</t>
  </si>
  <si>
    <t>Avis Resp</t>
  </si>
  <si>
    <t>Avis Com.</t>
  </si>
  <si>
    <t>Entretien bilan texte :</t>
  </si>
  <si>
    <t>Entretien bilan limite :</t>
  </si>
  <si>
    <t>Date limite</t>
  </si>
  <si>
    <t>Avis Agent</t>
  </si>
  <si>
    <t>Dec. Agent</t>
  </si>
  <si>
    <t>Dec. N+1</t>
  </si>
  <si>
    <t>WebC</t>
  </si>
  <si>
    <t>WG/DI</t>
  </si>
  <si>
    <t>Date permanence :</t>
  </si>
  <si>
    <t>Date commission 1 :</t>
  </si>
  <si>
    <t>Date commission 2 :</t>
  </si>
  <si>
    <t>DID</t>
  </si>
  <si>
    <t>Francophonie</t>
  </si>
  <si>
    <t>Recherche</t>
  </si>
  <si>
    <t>SGRI</t>
  </si>
  <si>
    <t>DAF</t>
  </si>
  <si>
    <t>Direction des affaires financières</t>
  </si>
  <si>
    <t>Relations internationales</t>
  </si>
  <si>
    <t>2IF</t>
  </si>
  <si>
    <t>DIL</t>
  </si>
  <si>
    <t>Service traitements</t>
  </si>
  <si>
    <t>Service communication</t>
  </si>
  <si>
    <t>Service général de la recherche</t>
  </si>
  <si>
    <t>Service hygiène et sécurité</t>
  </si>
  <si>
    <t>NbJour flottants</t>
  </si>
  <si>
    <t>NbJour flottants proratisé</t>
  </si>
  <si>
    <t>Type télétravailleur</t>
  </si>
  <si>
    <t>R</t>
  </si>
  <si>
    <t>P</t>
  </si>
  <si>
    <t>Reg Ponct</t>
  </si>
  <si>
    <t>Lien convention</t>
  </si>
  <si>
    <t>Pièces justificatives</t>
  </si>
  <si>
    <t>Analyse du statut et horaires</t>
  </si>
  <si>
    <t>LIEU 1</t>
  </si>
  <si>
    <t>LIEU 2</t>
  </si>
  <si>
    <t>MISSIONS</t>
  </si>
  <si>
    <t>Adjaenes</t>
  </si>
  <si>
    <t>Saenes</t>
  </si>
  <si>
    <t>Adaenes</t>
  </si>
  <si>
    <t>Apaenes</t>
  </si>
  <si>
    <t>Technicien Rf</t>
  </si>
  <si>
    <t>ASI</t>
  </si>
  <si>
    <t>IGE</t>
  </si>
  <si>
    <t>IGR</t>
  </si>
  <si>
    <t>Autre</t>
  </si>
  <si>
    <t>Code</t>
  </si>
  <si>
    <t>Jours flottants</t>
  </si>
  <si>
    <t>R / N</t>
  </si>
  <si>
    <t>Nom2</t>
  </si>
  <si>
    <t>Colonne8</t>
  </si>
  <si>
    <t>Réception9</t>
  </si>
  <si>
    <t>Colonne10</t>
  </si>
  <si>
    <t>Numero</t>
  </si>
  <si>
    <t>NumL</t>
  </si>
  <si>
    <t>Colonne2</t>
  </si>
  <si>
    <t>Colonne3</t>
  </si>
  <si>
    <t>Colonne4</t>
  </si>
  <si>
    <t>Colonne5</t>
  </si>
  <si>
    <t>Colonne6</t>
  </si>
  <si>
    <t>Colonne7</t>
  </si>
  <si>
    <t>Colonne9</t>
  </si>
  <si>
    <t>Colonne11</t>
  </si>
  <si>
    <t>Colonne12</t>
  </si>
  <si>
    <t>Colonne13</t>
  </si>
  <si>
    <t>Colonne14</t>
  </si>
  <si>
    <t>Colonne15</t>
  </si>
  <si>
    <t>Colonne16</t>
  </si>
  <si>
    <t>Colonne17</t>
  </si>
  <si>
    <t>Colonne18</t>
  </si>
  <si>
    <t>Colonne19</t>
  </si>
  <si>
    <t>Colonne20</t>
  </si>
  <si>
    <t>Colonne21</t>
  </si>
  <si>
    <t>Colonne22</t>
  </si>
  <si>
    <t>Colonne23</t>
  </si>
  <si>
    <t>Colonne24</t>
  </si>
  <si>
    <t>Colonne25</t>
  </si>
  <si>
    <t>Colonne26</t>
  </si>
  <si>
    <t>Colonne27</t>
  </si>
  <si>
    <t>Colonne28</t>
  </si>
  <si>
    <t>Colonne29</t>
  </si>
  <si>
    <t>Colonne30</t>
  </si>
  <si>
    <t>Colonne31</t>
  </si>
  <si>
    <t>Colonne32</t>
  </si>
  <si>
    <t>Colonne33</t>
  </si>
  <si>
    <t>Colonne34</t>
  </si>
  <si>
    <t>Colonne35</t>
  </si>
  <si>
    <t>Colonne36</t>
  </si>
  <si>
    <t>Colonne37</t>
  </si>
  <si>
    <t>Colonne38</t>
  </si>
  <si>
    <t>Colonne39</t>
  </si>
  <si>
    <t>Colonne40</t>
  </si>
  <si>
    <t>Colonne41</t>
  </si>
  <si>
    <t>Colonne42</t>
  </si>
  <si>
    <t>Colonne1</t>
  </si>
  <si>
    <t>Nom1</t>
  </si>
  <si>
    <t>Prénom1</t>
  </si>
  <si>
    <t>Email1</t>
  </si>
  <si>
    <t>Prénom2</t>
  </si>
  <si>
    <t>Email2</t>
  </si>
  <si>
    <t>Date entretien3</t>
  </si>
  <si>
    <t>M.</t>
  </si>
  <si>
    <t>Un autre lieu privé</t>
  </si>
  <si>
    <t>CTRL_PJ</t>
  </si>
  <si>
    <t>COM #2</t>
  </si>
  <si>
    <t>Type2</t>
  </si>
  <si>
    <t>Rue2</t>
  </si>
  <si>
    <t>CP2</t>
  </si>
  <si>
    <t>VILLE2</t>
  </si>
  <si>
    <t>Type1</t>
  </si>
  <si>
    <t>Rue1</t>
  </si>
  <si>
    <t>CP1</t>
  </si>
  <si>
    <t>VILLE1</t>
  </si>
  <si>
    <t>CHARLAS</t>
  </si>
  <si>
    <t>R/P</t>
  </si>
  <si>
    <t>Nb j flott</t>
  </si>
  <si>
    <t>Ville1</t>
  </si>
  <si>
    <t>Ville2</t>
  </si>
  <si>
    <t>Gestionnaire de paie</t>
  </si>
  <si>
    <t>MERCIER</t>
  </si>
  <si>
    <t>Pierric</t>
  </si>
  <si>
    <t>pierric.mercier@univ-lyon3.fr</t>
  </si>
  <si>
    <t>NC</t>
  </si>
  <si>
    <t>WG</t>
  </si>
  <si>
    <t>S</t>
  </si>
  <si>
    <t>T</t>
  </si>
  <si>
    <t>A</t>
  </si>
  <si>
    <t>69230</t>
  </si>
  <si>
    <t>SAINT-GENIS-LAVAL</t>
  </si>
  <si>
    <t>N</t>
  </si>
  <si>
    <t>Mme</t>
  </si>
  <si>
    <t>HAMDADOU</t>
  </si>
  <si>
    <t>Morgane</t>
  </si>
  <si>
    <t>Service des masters</t>
  </si>
  <si>
    <t>Gestionnaire de scolarité</t>
  </si>
  <si>
    <t>THENOZ</t>
  </si>
  <si>
    <t>Serge</t>
  </si>
  <si>
    <t>serge.thenoz@univ-lyon3.fr</t>
  </si>
  <si>
    <t>69500</t>
  </si>
  <si>
    <t>BRON</t>
  </si>
  <si>
    <t>O</t>
  </si>
  <si>
    <t>REA</t>
  </si>
  <si>
    <t>Laetitia</t>
  </si>
  <si>
    <t>SMPPS</t>
  </si>
  <si>
    <t>Service de medecine préventive</t>
  </si>
  <si>
    <t>ADTRF</t>
  </si>
  <si>
    <t>SINDEZINGUE</t>
  </si>
  <si>
    <t>69800</t>
  </si>
  <si>
    <t>SAINT-PRIEST</t>
  </si>
  <si>
    <t>POYET</t>
  </si>
  <si>
    <t>Nathalie</t>
  </si>
  <si>
    <t>SP BIATS</t>
  </si>
  <si>
    <t>GARCIA</t>
  </si>
  <si>
    <t>Brigitte</t>
  </si>
  <si>
    <t>brigitte.garcia@univ-lyon3,fr</t>
  </si>
  <si>
    <t>LEBEAU</t>
  </si>
  <si>
    <t>Tifenn</t>
  </si>
  <si>
    <t>tifenn.lebeau@univ-lyon3.fr</t>
  </si>
  <si>
    <t>69007</t>
  </si>
  <si>
    <t>LYON</t>
  </si>
  <si>
    <t>MOINE-GARNIER</t>
  </si>
  <si>
    <t>Christianne</t>
  </si>
  <si>
    <t>christianne.moine-garnier@univ-lyon3.fr</t>
  </si>
  <si>
    <t>Gestionnaire des stages M1 - Relations entreprises</t>
  </si>
  <si>
    <t>SOGNO</t>
  </si>
  <si>
    <t>Hervé</t>
  </si>
  <si>
    <t>herve.sogno@univ-lyon3.fr</t>
  </si>
  <si>
    <t>BUGIN</t>
  </si>
  <si>
    <t>DAVID</t>
  </si>
  <si>
    <t>Sandrine</t>
  </si>
  <si>
    <t>sandrine.david@univ-lyon3.fr</t>
  </si>
  <si>
    <t>69100</t>
  </si>
  <si>
    <t>VILLEURBANNE</t>
  </si>
  <si>
    <t>BOCQUIER</t>
  </si>
  <si>
    <t>Technicien audiovisuel</t>
  </si>
  <si>
    <t>KELOUMGIAN</t>
  </si>
  <si>
    <t>Cécile</t>
  </si>
  <si>
    <t>CAUCHY</t>
  </si>
  <si>
    <t>Laurence</t>
  </si>
  <si>
    <t>laurence.cauchy@univ-lyon3.fr</t>
  </si>
  <si>
    <t>01330</t>
  </si>
  <si>
    <t>VILLARS-LES-DOMBES</t>
  </si>
  <si>
    <t>DESROUSSEAUX</t>
  </si>
  <si>
    <t>PIEGAY</t>
  </si>
  <si>
    <t>Gaetan</t>
  </si>
  <si>
    <t>gaetan.piegay@univ-lyon3.fr</t>
  </si>
  <si>
    <t>69770</t>
  </si>
  <si>
    <t>LONGESSAIGNE</t>
  </si>
  <si>
    <t>KHAMASSI</t>
  </si>
  <si>
    <t>COL</t>
  </si>
  <si>
    <t>TRAVARD</t>
  </si>
  <si>
    <t>Jérôme</t>
  </si>
  <si>
    <t>jerome.travard@univ-lyon3.fr</t>
  </si>
  <si>
    <t>JACQUOT</t>
  </si>
  <si>
    <t>69003</t>
  </si>
  <si>
    <t>HEDDAJI</t>
  </si>
  <si>
    <t>BERJOAN</t>
  </si>
  <si>
    <t>01360</t>
  </si>
  <si>
    <t>LOYETTE</t>
  </si>
  <si>
    <t>AMENEIRO ALVAREZ</t>
  </si>
  <si>
    <t>Manuel</t>
  </si>
  <si>
    <t>PAPN</t>
  </si>
  <si>
    <t>GOLLION</t>
  </si>
  <si>
    <t>Sylviane</t>
  </si>
  <si>
    <t>sylviane.gollion@univ-lyon3.fr</t>
  </si>
  <si>
    <t>DONJON</t>
  </si>
  <si>
    <t>nathalie.donjon@univ-lyon3.fr</t>
  </si>
  <si>
    <t>3 rue des Cerisiers</t>
  </si>
  <si>
    <t>69690</t>
  </si>
  <si>
    <t>BRUSSIEU</t>
  </si>
  <si>
    <t>Gestion de la WebTV de Lyon 3</t>
  </si>
  <si>
    <t xml:space="preserve">Montage audiovisuel </t>
  </si>
  <si>
    <t>Gestion de la plateforme Moodle</t>
  </si>
  <si>
    <t>GERLAND</t>
  </si>
  <si>
    <t>BINET-TIESSEN</t>
  </si>
  <si>
    <t>RINALDI</t>
  </si>
  <si>
    <t>69300</t>
  </si>
  <si>
    <t>CALUIRE-ET-CUIRE</t>
  </si>
  <si>
    <t>GRECO</t>
  </si>
  <si>
    <t>Delphine</t>
  </si>
  <si>
    <t>delphine.greco@univ-lyon3.fr</t>
  </si>
  <si>
    <t>Pôle relations entreprises et partenariats</t>
  </si>
  <si>
    <t>Responsable partenariats entreprises</t>
  </si>
  <si>
    <t>VARINARD</t>
  </si>
  <si>
    <t>Christian</t>
  </si>
  <si>
    <t>christian.varinard@univ-lyon3.fr</t>
  </si>
  <si>
    <t>69720</t>
  </si>
  <si>
    <t>SAINT-BONNET-DE-MURE</t>
  </si>
  <si>
    <t>MOREL</t>
  </si>
  <si>
    <t>69008</t>
  </si>
  <si>
    <t>GRECH</t>
  </si>
  <si>
    <t>PERROTIN</t>
  </si>
  <si>
    <t>Franck</t>
  </si>
  <si>
    <t>franck.perrotin@univ-lyon3.fr</t>
  </si>
  <si>
    <t>69700</t>
  </si>
  <si>
    <t>LOIRE-SUR-RHONE</t>
  </si>
  <si>
    <t>CONDEMINE</t>
  </si>
  <si>
    <t>Yves</t>
  </si>
  <si>
    <t>69600</t>
  </si>
  <si>
    <t>OULLINS</t>
  </si>
  <si>
    <t>PERRIER</t>
  </si>
  <si>
    <t>42153</t>
  </si>
  <si>
    <t>RIORGES</t>
  </si>
  <si>
    <t>Préparation des examens</t>
  </si>
  <si>
    <t>Divers</t>
  </si>
  <si>
    <t>SOLEILLAND</t>
  </si>
  <si>
    <t>Eric</t>
  </si>
  <si>
    <t>PICOD</t>
  </si>
  <si>
    <t>GODINEAU</t>
  </si>
  <si>
    <t>Guillaume</t>
  </si>
  <si>
    <t>guillaume.godineau@univ-lyon3.fr</t>
  </si>
  <si>
    <t>CAZENEUVE</t>
  </si>
  <si>
    <t>PASCAL</t>
  </si>
  <si>
    <t>BOINON</t>
  </si>
  <si>
    <t>BERGHEAUD</t>
  </si>
  <si>
    <t>Yann</t>
  </si>
  <si>
    <t>69890</t>
  </si>
  <si>
    <t>LA TOUR DE SALVAGNY</t>
  </si>
  <si>
    <t>THIEVENAZ</t>
  </si>
  <si>
    <t>MOHAMMEDI</t>
  </si>
  <si>
    <t>Imane</t>
  </si>
  <si>
    <t>38230</t>
  </si>
  <si>
    <t>CHARVIEU-CHAVAGNEUX</t>
  </si>
  <si>
    <t>B</t>
  </si>
  <si>
    <t>I</t>
  </si>
  <si>
    <t>imane.mohammedi@univ-lyon3.fr</t>
  </si>
  <si>
    <t>CORNET</t>
  </si>
  <si>
    <t>38070</t>
  </si>
  <si>
    <t>SAINT-QUENTIN-FALLAVIER</t>
  </si>
  <si>
    <t>ctrlH</t>
  </si>
  <si>
    <t>R803</t>
  </si>
  <si>
    <t>R902</t>
  </si>
  <si>
    <t>R1001</t>
  </si>
  <si>
    <t>R1004</t>
  </si>
  <si>
    <t>P803</t>
  </si>
  <si>
    <t>P902</t>
  </si>
  <si>
    <t>P1001</t>
  </si>
  <si>
    <t>P1004</t>
  </si>
  <si>
    <t>horaire</t>
  </si>
  <si>
    <t>num</t>
  </si>
  <si>
    <t>hh</t>
  </si>
  <si>
    <t>Tableau : T_CTRL_H</t>
  </si>
  <si>
    <t>BAROU</t>
  </si>
  <si>
    <t>sandrine.barou@univ-lyon3.fr</t>
  </si>
  <si>
    <t>Philo</t>
  </si>
  <si>
    <t>Faculté de philosophie</t>
  </si>
  <si>
    <t>GONTIER</t>
  </si>
  <si>
    <t>Thierry</t>
  </si>
  <si>
    <t>thierry.gontier@univ-lyon3.fr</t>
  </si>
  <si>
    <t>69004</t>
  </si>
  <si>
    <t>DEBAYLE-REVOL</t>
  </si>
  <si>
    <t>GAMOND</t>
  </si>
  <si>
    <t>TOPALIAN</t>
  </si>
  <si>
    <t>Philippe</t>
  </si>
  <si>
    <t>philippe.topalian@univ-lyon3.fr</t>
  </si>
  <si>
    <t>69110</t>
  </si>
  <si>
    <t>SAINTE-FOY-LES-LYON</t>
  </si>
  <si>
    <t>Sophie</t>
  </si>
  <si>
    <t>RAY MEKHLOUFI</t>
  </si>
  <si>
    <t>69006</t>
  </si>
  <si>
    <t>BOUTOT</t>
  </si>
  <si>
    <t>O'CONNOR</t>
  </si>
  <si>
    <t>Alicia</t>
  </si>
  <si>
    <t>FILLON</t>
  </si>
  <si>
    <t>Laurent</t>
  </si>
  <si>
    <t>38080</t>
  </si>
  <si>
    <t>L'ISLE D'ABEAU</t>
  </si>
  <si>
    <t>Elaboration des emplois du temps</t>
  </si>
  <si>
    <t>MARSAN</t>
  </si>
  <si>
    <t>Frédérique</t>
  </si>
  <si>
    <t>BONNIN</t>
  </si>
  <si>
    <t>Christine</t>
  </si>
  <si>
    <t>LAVOUE LESNE</t>
  </si>
  <si>
    <t>PRAZ</t>
  </si>
  <si>
    <t>PONCET</t>
  </si>
  <si>
    <t>Stéphanie</t>
  </si>
  <si>
    <t>38200</t>
  </si>
  <si>
    <t>VIENNE</t>
  </si>
  <si>
    <t>Date commission 3 :</t>
  </si>
  <si>
    <t>ST PRIEST</t>
  </si>
  <si>
    <t>CODINA</t>
  </si>
  <si>
    <t>38290</t>
  </si>
  <si>
    <t>FRONTONAS</t>
  </si>
  <si>
    <t>SINZ</t>
  </si>
  <si>
    <t>GUILLAUME</t>
  </si>
  <si>
    <t>Marie</t>
  </si>
  <si>
    <t>01800</t>
  </si>
  <si>
    <t>MEXIMIEUX</t>
  </si>
  <si>
    <t>Hhebdo</t>
  </si>
  <si>
    <t>JANDOT</t>
  </si>
  <si>
    <t>GUILLARD</t>
  </si>
  <si>
    <t>PICHON</t>
  </si>
  <si>
    <t>CHRISTIN</t>
  </si>
  <si>
    <t>Didier</t>
  </si>
  <si>
    <t>PISTON</t>
  </si>
  <si>
    <t>GAVEND</t>
  </si>
  <si>
    <t>Catherine</t>
  </si>
  <si>
    <t>RENOUD</t>
  </si>
  <si>
    <t>69002</t>
  </si>
  <si>
    <t>RICHARD</t>
  </si>
  <si>
    <t>Geneviève</t>
  </si>
  <si>
    <t>genevieve.pitton@univ-lyon3.fr</t>
  </si>
  <si>
    <t>38150</t>
  </si>
  <si>
    <t>ROUSSILLON</t>
  </si>
  <si>
    <t>GLEPIN</t>
  </si>
  <si>
    <t>Anne</t>
  </si>
  <si>
    <t>anne.glepin@univ-lyon3.fr</t>
  </si>
  <si>
    <t>Gestionnaire des personnels contractuels</t>
  </si>
  <si>
    <t>GUILLIN BLANC</t>
  </si>
  <si>
    <t>69740</t>
  </si>
  <si>
    <t>GENAS</t>
  </si>
  <si>
    <t>PERICHON</t>
  </si>
  <si>
    <t>nathalie.perichon@univ-lyon3.fr</t>
  </si>
  <si>
    <t>69290</t>
  </si>
  <si>
    <t>CRAPONNE</t>
  </si>
  <si>
    <t>38300</t>
  </si>
  <si>
    <t>ROMERO-PERETTI</t>
  </si>
  <si>
    <t>VIDBERG</t>
  </si>
  <si>
    <t>COMBY</t>
  </si>
  <si>
    <t>Jacques</t>
  </si>
  <si>
    <t>jacques.comby@univ-lyon3.fr</t>
  </si>
  <si>
    <t>SERPAIZE</t>
  </si>
  <si>
    <t>DESSIRIER</t>
  </si>
  <si>
    <t>DESNOUES</t>
  </si>
  <si>
    <t>MARIE-LOUISE</t>
  </si>
  <si>
    <t>BOUVIER</t>
  </si>
  <si>
    <t>Martine</t>
  </si>
  <si>
    <t>martine.bouvier@univ-lyon3.fr</t>
  </si>
  <si>
    <t>VAUTRIN-VILLOND</t>
  </si>
  <si>
    <t>Véronique</t>
  </si>
  <si>
    <t>01500</t>
  </si>
  <si>
    <t>AMBERIEU EN BUGEY</t>
  </si>
  <si>
    <t>DUCHET</t>
  </si>
  <si>
    <t>Espérance</t>
  </si>
  <si>
    <t>GAUTHIER</t>
  </si>
  <si>
    <t>Gilbert</t>
  </si>
  <si>
    <t>gilbert.gauthier@univ-lyon3.fr</t>
  </si>
  <si>
    <t>69520</t>
  </si>
  <si>
    <t>GRIGNY</t>
  </si>
  <si>
    <t>Hebdo théorique</t>
  </si>
  <si>
    <t>BOURGOIN</t>
  </si>
  <si>
    <t>Pôle Amélioration de la Qualité et Appui au Pilotage</t>
  </si>
  <si>
    <t>MARION</t>
  </si>
  <si>
    <t>Jean-Baptiste</t>
  </si>
  <si>
    <t>01700</t>
  </si>
  <si>
    <t>SAINT-MAURICE-DE-BEYNOST</t>
  </si>
  <si>
    <t>ASTREOUD</t>
  </si>
  <si>
    <t>Lionel</t>
  </si>
  <si>
    <t>19 rue Barodet</t>
  </si>
  <si>
    <t>Plannification des examens de L3</t>
  </si>
  <si>
    <t>Convocations examens</t>
  </si>
  <si>
    <t>Diffusion des informations et des réponses numériques</t>
  </si>
  <si>
    <t>Mélanie</t>
  </si>
  <si>
    <t>BLONDEAU</t>
  </si>
  <si>
    <t>alicia.blondeau@univ-lyon3.fr</t>
  </si>
  <si>
    <t>Service scolarité alternance professionnelle</t>
  </si>
  <si>
    <t>Gestionnaire scolarité alternance professionnelle</t>
  </si>
  <si>
    <t>DELPLANQUE</t>
  </si>
  <si>
    <t>Magali</t>
  </si>
  <si>
    <t>BEYNOST</t>
  </si>
  <si>
    <t>DALLEAU</t>
  </si>
  <si>
    <t>Bertrand</t>
  </si>
  <si>
    <t>bertrand.Dalleau@univ-lyon3.fr</t>
  </si>
  <si>
    <t>Technicien gestionnaire de parc informatique</t>
  </si>
  <si>
    <t>ARNAUD</t>
  </si>
  <si>
    <t>SACSO</t>
  </si>
  <si>
    <t>Sacso</t>
  </si>
  <si>
    <t>Gestionnaire Action  Culturelle</t>
  </si>
  <si>
    <t>GIRARD</t>
  </si>
  <si>
    <t>Marie-Cécile</t>
  </si>
  <si>
    <t>5, rue de Bonald</t>
  </si>
  <si>
    <t>Préparation de la régie de recettes</t>
  </si>
  <si>
    <t>Prospection et organisation des activités culturelles avec les prestataires</t>
  </si>
  <si>
    <t>Elaboration des actualités pour la diffusion des informations sur l'activité culturelle</t>
  </si>
  <si>
    <t>Mise en place de la billetterie cinéma : gestion des prestataires, préparation et gestion des ventes de billets cinéma</t>
  </si>
  <si>
    <t>SEGUELA</t>
  </si>
  <si>
    <t>Agnès</t>
  </si>
  <si>
    <t>agnes.seguela@univ-lyon3.fr</t>
  </si>
  <si>
    <t>Pôle de scolarité générale</t>
  </si>
  <si>
    <t>Responsable du pôle de scolarité générale</t>
  </si>
  <si>
    <t>RUY</t>
  </si>
  <si>
    <t>CAUZLOSQUY</t>
  </si>
  <si>
    <t>JALICON</t>
  </si>
  <si>
    <t>FOUILLOUX</t>
  </si>
  <si>
    <t>BONICALZI</t>
  </si>
  <si>
    <t>69200</t>
  </si>
  <si>
    <t>VENISSIEUX</t>
  </si>
  <si>
    <t>LEGROS</t>
  </si>
  <si>
    <t>BERLANDI</t>
  </si>
  <si>
    <t>69009</t>
  </si>
  <si>
    <t>FOUR</t>
  </si>
  <si>
    <t>BLASCO</t>
  </si>
  <si>
    <t>BRUYAS</t>
  </si>
  <si>
    <t>GHIOTTI</t>
  </si>
  <si>
    <t>LOPEZ</t>
  </si>
  <si>
    <t>TROUILLOUD</t>
  </si>
  <si>
    <t>69330</t>
  </si>
  <si>
    <t>MEYZIEU</t>
  </si>
  <si>
    <t>MARTEL</t>
  </si>
  <si>
    <t>Valérie</t>
  </si>
  <si>
    <t>69390</t>
  </si>
  <si>
    <t>CHARLY</t>
  </si>
  <si>
    <t>Sous-Directeur TICA</t>
  </si>
  <si>
    <t>9 rue de la vieille</t>
  </si>
  <si>
    <t>69001</t>
  </si>
  <si>
    <t>GERME-CESCO</t>
  </si>
  <si>
    <t>Conservateur des bibliothèques</t>
  </si>
  <si>
    <t>MARTINEZ</t>
  </si>
  <si>
    <t>Marc</t>
  </si>
  <si>
    <t>marc.martinez@univ-lyon3.fr</t>
  </si>
  <si>
    <t>DI</t>
  </si>
  <si>
    <t>Marianne</t>
  </si>
  <si>
    <t>ADAFER</t>
  </si>
  <si>
    <t>Sarah</t>
  </si>
  <si>
    <t>24 rue Simon Jallade</t>
  </si>
  <si>
    <t>SAINTE FOY LES LYON</t>
  </si>
  <si>
    <t>GUENARD</t>
  </si>
  <si>
    <t>69570</t>
  </si>
  <si>
    <t>DARDILLY</t>
  </si>
  <si>
    <t>BASTIDE</t>
  </si>
  <si>
    <t>Anne-Laure</t>
  </si>
  <si>
    <t>Documentaliste</t>
  </si>
  <si>
    <t>Gestion de la base de données</t>
  </si>
  <si>
    <t>Rédaction d'articles et supports d'information</t>
  </si>
  <si>
    <t>Préparation de commandes et abonnements</t>
  </si>
  <si>
    <t>JENDOUBI</t>
  </si>
  <si>
    <t>Agent non titulaire</t>
  </si>
  <si>
    <t>DURAND-PETIT</t>
  </si>
  <si>
    <t>Gestion financière</t>
  </si>
  <si>
    <t>CASTEL-FERRY</t>
  </si>
  <si>
    <t>69450</t>
  </si>
  <si>
    <t>SAINT-CYR-AU-MONT-D'OR</t>
  </si>
  <si>
    <t>Gestion des examens</t>
  </si>
  <si>
    <t>SANTOS-COTTIN</t>
  </si>
  <si>
    <t>69400</t>
  </si>
  <si>
    <t>VILLEFRANCHE-SUR-SAÔNE</t>
  </si>
  <si>
    <t>BUGUET</t>
  </si>
  <si>
    <t>Emilie</t>
  </si>
  <si>
    <t>emilie.buguet@univ-lyon3.fr</t>
  </si>
  <si>
    <t>Référente stages / gestionnaire administrative</t>
  </si>
  <si>
    <t>DE GRAMONT</t>
  </si>
  <si>
    <t>Aline</t>
  </si>
  <si>
    <t>aline.de-gramont@univ-lyon3.fr</t>
  </si>
  <si>
    <t>69160</t>
  </si>
  <si>
    <t>TASSIN LA DEMI-LUNE</t>
  </si>
  <si>
    <t>01480</t>
  </si>
  <si>
    <t>JASSANS-RIOTTIER</t>
  </si>
  <si>
    <t>HDIA</t>
  </si>
  <si>
    <t>BILLIERAS</t>
  </si>
  <si>
    <t>Gérald</t>
  </si>
  <si>
    <t>DUCHANAUD</t>
  </si>
  <si>
    <t>PAVM</t>
  </si>
  <si>
    <t>38260</t>
  </si>
  <si>
    <t>POMMIER DE BEAUREPAIRE</t>
  </si>
  <si>
    <t>DUBOULOZ-MONET</t>
  </si>
  <si>
    <t>valerie.dubouloz-monet@univ-lyon3.fr</t>
  </si>
  <si>
    <t>DGS</t>
  </si>
  <si>
    <t>Direction générale des services</t>
  </si>
  <si>
    <t>Assistante sociale des personnels</t>
  </si>
  <si>
    <t>PONSOT</t>
  </si>
  <si>
    <t>Christel</t>
  </si>
  <si>
    <t>christel.ponsot@univ-lyon3.fr</t>
  </si>
  <si>
    <t>69005</t>
  </si>
  <si>
    <t>BARAT-STRANIERI</t>
  </si>
  <si>
    <t>Lise</t>
  </si>
  <si>
    <t>lise.barat-stranieri@univ-lyon3.fr</t>
  </si>
  <si>
    <t>DEUMIER</t>
  </si>
  <si>
    <t>Pascale</t>
  </si>
  <si>
    <t>pascale.deumier@univ-lyon3.fr</t>
  </si>
  <si>
    <t>DA SILVA</t>
  </si>
  <si>
    <t>PARMENTIER</t>
  </si>
  <si>
    <t>LUZINAY</t>
  </si>
  <si>
    <t>BLAU</t>
  </si>
  <si>
    <t>St QUENTIN-FALLAVIER</t>
  </si>
  <si>
    <t>FOREST</t>
  </si>
  <si>
    <t>73240</t>
  </si>
  <si>
    <t>AVRESSIEUX</t>
  </si>
  <si>
    <t>CORDIER</t>
  </si>
  <si>
    <t>Laura</t>
  </si>
  <si>
    <t>Chloé</t>
  </si>
  <si>
    <t>42800</t>
  </si>
  <si>
    <t>GENILAC</t>
  </si>
  <si>
    <t>RECHATIN</t>
  </si>
  <si>
    <t>42100</t>
  </si>
  <si>
    <t>SAINT-ETIENNE</t>
  </si>
  <si>
    <t>MACHABERT</t>
  </si>
  <si>
    <t>CLAUSSE</t>
  </si>
  <si>
    <t>LEDEAN</t>
  </si>
  <si>
    <t>SOLIGNAC-DAHAN</t>
  </si>
  <si>
    <t>CHAMS</t>
  </si>
  <si>
    <t>DOUVRES</t>
  </si>
  <si>
    <t>PERRIN</t>
  </si>
  <si>
    <t>Emily</t>
  </si>
  <si>
    <t>emily.perrin@univ-lyon3.fr</t>
  </si>
  <si>
    <t>DUT Carrières Juridiques</t>
  </si>
  <si>
    <t>69680</t>
  </si>
  <si>
    <t>CHASSIEU</t>
  </si>
  <si>
    <t>SOY-RAVASSON</t>
  </si>
  <si>
    <t>TASSIN-LA-DEMI-LUNE</t>
  </si>
  <si>
    <t>MANCEAU</t>
  </si>
  <si>
    <t>REMANDE</t>
  </si>
  <si>
    <t>ABGRALL</t>
  </si>
  <si>
    <t>Biatss / Responsable apprentissage/démarche qualité</t>
  </si>
  <si>
    <t>11 rue Domrémy</t>
  </si>
  <si>
    <t>Démarche Qualité</t>
  </si>
  <si>
    <t>Déploiement des formations en apprentissage</t>
  </si>
  <si>
    <t>Référente (logiciels) FCA Manager/Kairos/G.E.D</t>
  </si>
  <si>
    <t>Coordination du pôle FCA</t>
  </si>
  <si>
    <t>ROBLES</t>
  </si>
  <si>
    <t>Camille</t>
  </si>
  <si>
    <t xml:space="preserve">WATTINE </t>
  </si>
  <si>
    <t>Vianney</t>
  </si>
  <si>
    <t>vianney.wattine@univ-lyon3.fr</t>
  </si>
  <si>
    <t>ELIE</t>
  </si>
  <si>
    <t>69730</t>
  </si>
  <si>
    <t>GENAY</t>
  </si>
  <si>
    <t>MOLINA</t>
  </si>
  <si>
    <t>DESPLANS</t>
  </si>
  <si>
    <t>Mathilde</t>
  </si>
  <si>
    <t>mathilde.desplans@univ-lyon3.fr</t>
  </si>
  <si>
    <t>32230</t>
  </si>
  <si>
    <t>VALLAT</t>
  </si>
  <si>
    <t>HABBAZ-RAHEM</t>
  </si>
  <si>
    <t>DAVENNE</t>
  </si>
  <si>
    <t>POMMERUEL</t>
  </si>
  <si>
    <t>Sébastien</t>
  </si>
  <si>
    <t>sebastien.pommeruel@univ-lyon3.fr</t>
  </si>
  <si>
    <t>Appariteur</t>
  </si>
  <si>
    <t>USECHE GUERRERO</t>
  </si>
  <si>
    <t>THOLLOT</t>
  </si>
  <si>
    <t>DE NAGY BUDAN ROZAIN</t>
  </si>
  <si>
    <t>FLECHET</t>
  </si>
  <si>
    <t>magali.flechet@univ-lyon3.fr</t>
  </si>
  <si>
    <t>DAVASSOU</t>
  </si>
  <si>
    <t>MUGNIER</t>
  </si>
  <si>
    <t>VASCHALDE</t>
  </si>
  <si>
    <t>Pôle réussite</t>
  </si>
  <si>
    <t>LAFAY</t>
  </si>
  <si>
    <t>Fabien</t>
  </si>
  <si>
    <t>fabien.lafay@univ-lyon3.fr</t>
  </si>
  <si>
    <t>38110</t>
  </si>
  <si>
    <t>CESSIEU</t>
  </si>
  <si>
    <t>HERCHET</t>
  </si>
  <si>
    <t>sandrine.herchet@univ-lyon3.fr</t>
  </si>
  <si>
    <t>WESSEL-LAREAL</t>
  </si>
  <si>
    <t>Anne-Sophie</t>
  </si>
  <si>
    <t>SHERRATT</t>
  </si>
  <si>
    <t>Robert</t>
  </si>
  <si>
    <t>robert.sherratt@univ-lyon3.fr</t>
  </si>
  <si>
    <t>MIQUEL</t>
  </si>
  <si>
    <t>Edition</t>
  </si>
  <si>
    <t>Service édition</t>
  </si>
  <si>
    <t>OVE</t>
  </si>
  <si>
    <t>69250</t>
  </si>
  <si>
    <t>NEUVILLE-SUR-SAONE</t>
  </si>
  <si>
    <t>YANG</t>
  </si>
  <si>
    <t>ROUSSET</t>
  </si>
  <si>
    <t>guillaume.rousset@univ-lyon3.fr</t>
  </si>
  <si>
    <t>69550</t>
  </si>
  <si>
    <t>AMPLEPUIS</t>
  </si>
  <si>
    <t>Maude</t>
  </si>
  <si>
    <t>maude.gutierrez@univ-lyon3.fr</t>
  </si>
  <si>
    <t>Conseillère Emploi Carrières</t>
  </si>
  <si>
    <t>JONAGE</t>
  </si>
  <si>
    <t>FERRY-FERCHAT</t>
  </si>
  <si>
    <t>Annick</t>
  </si>
  <si>
    <t>annick.ferry@univ-lyon3.fr</t>
  </si>
  <si>
    <t>Gestionnaire bourses de mobilité</t>
  </si>
  <si>
    <t>69140</t>
  </si>
  <si>
    <t>RILLIEUX</t>
  </si>
  <si>
    <t>FURRER</t>
  </si>
  <si>
    <t>639340</t>
  </si>
  <si>
    <t>FRANCHEVILLE</t>
  </si>
  <si>
    <t>FOURNIER</t>
  </si>
  <si>
    <t>BREART</t>
  </si>
  <si>
    <t>38490</t>
  </si>
  <si>
    <t>AOSTE</t>
  </si>
  <si>
    <t>CHEVALLIER</t>
  </si>
  <si>
    <t>anne-sophie.lareal@univ-lyon3.fr</t>
  </si>
  <si>
    <t>LAGREE</t>
  </si>
  <si>
    <t>BELOT</t>
  </si>
  <si>
    <t>Coordinatrice zone amerique du nord océanie afrique du sud</t>
  </si>
  <si>
    <t>26 Allée Maryse Bastié</t>
  </si>
  <si>
    <t>69960</t>
  </si>
  <si>
    <t>CORBAS</t>
  </si>
  <si>
    <t>Bilan sur  zone</t>
  </si>
  <si>
    <t>Analyse et approfondissement de  connaissance des partenariats</t>
  </si>
  <si>
    <t>RIVA</t>
  </si>
  <si>
    <t>BADAKHCH</t>
  </si>
  <si>
    <t>Babak</t>
  </si>
  <si>
    <t>Référent pôle master</t>
  </si>
  <si>
    <t>Pôle master</t>
  </si>
  <si>
    <t>20 avenue de la table de pierre</t>
  </si>
  <si>
    <t>69340</t>
  </si>
  <si>
    <t>Traitement courriel et téléphonique</t>
  </si>
  <si>
    <t>Gestion du calendrier et événements du pôle</t>
  </si>
  <si>
    <t>Coordination campagnes universitaires</t>
  </si>
  <si>
    <t>Gestion/formation des collègues du pôle</t>
  </si>
  <si>
    <t>Accueil public des usagers</t>
  </si>
  <si>
    <t>SAHLI</t>
  </si>
  <si>
    <t>PEYSIEUX</t>
  </si>
  <si>
    <t>BESOIN BRUNEL</t>
  </si>
  <si>
    <t>SAINT GENIS LAVAL</t>
  </si>
  <si>
    <t>Amandine</t>
  </si>
  <si>
    <t>amandine.gollion@univ-lyon3.fr</t>
  </si>
  <si>
    <t>Service des études</t>
  </si>
  <si>
    <t>Chargée des activités transversales</t>
  </si>
  <si>
    <t>FERRERONS</t>
  </si>
  <si>
    <t>ORTILLEZ</t>
  </si>
  <si>
    <t>MIRIBEL</t>
  </si>
  <si>
    <t>LEBOUC</t>
  </si>
  <si>
    <t>CAO</t>
  </si>
  <si>
    <t>LE GOUESTRE</t>
  </si>
  <si>
    <t>laura.le-gouestre@univ-lyon3.fr</t>
  </si>
  <si>
    <t>Chargé de la gestion administrative, financière et de la communication</t>
  </si>
  <si>
    <t>69310</t>
  </si>
  <si>
    <t>PIERRE-BENITE</t>
  </si>
  <si>
    <t>FRASCA</t>
  </si>
  <si>
    <t>FERNANDES</t>
  </si>
  <si>
    <t>69320</t>
  </si>
  <si>
    <t>FEYZIN</t>
  </si>
  <si>
    <t>69120</t>
  </si>
  <si>
    <t>VAULX-EN-VELIN</t>
  </si>
  <si>
    <t>CLERC</t>
  </si>
  <si>
    <t>René</t>
  </si>
  <si>
    <t>BAYOUD</t>
  </si>
  <si>
    <t>Elodie</t>
  </si>
  <si>
    <t>Pôle Vie Etudiante</t>
  </si>
  <si>
    <t>Responsable du Pôle Vie Etudiante</t>
  </si>
  <si>
    <t>32 rue du 8 mai 1945</t>
  </si>
  <si>
    <t>Développement de projets vie étudiante</t>
  </si>
  <si>
    <t>Travail sur l’évolution des procédures</t>
  </si>
  <si>
    <t xml:space="preserve">Responsable administrative et financière </t>
  </si>
  <si>
    <t>REVERAND</t>
  </si>
  <si>
    <t>PETIT</t>
  </si>
  <si>
    <t>MESZAROS</t>
  </si>
  <si>
    <t>Thomas</t>
  </si>
  <si>
    <t>thomas.meszaros@univ-lyon3.fr</t>
  </si>
  <si>
    <t>CLOSA</t>
  </si>
  <si>
    <t>ED Philo</t>
  </si>
  <si>
    <t>Ecole doctorale de philosophie</t>
  </si>
  <si>
    <t>DAVY</t>
  </si>
  <si>
    <t>BERTRAND</t>
  </si>
  <si>
    <t>valerie.bertrand@univ-lyon3.fr</t>
  </si>
  <si>
    <t>BANDIER</t>
  </si>
  <si>
    <t>Lorine</t>
  </si>
  <si>
    <t>Lorine.bandier@univ-lyon3.fr</t>
  </si>
  <si>
    <t>Chargée des réseaux sociaux des BU Lyon 3</t>
  </si>
  <si>
    <t>Stéphane</t>
  </si>
  <si>
    <t>GILLE</t>
  </si>
  <si>
    <t>EDOM</t>
  </si>
  <si>
    <t>Gestionnaire administrative</t>
  </si>
  <si>
    <t>GUEHO</t>
  </si>
  <si>
    <t>MIGNOT</t>
  </si>
  <si>
    <t>VINCENT</t>
  </si>
  <si>
    <t>CAPUANO</t>
  </si>
  <si>
    <t>Jean-Louis</t>
  </si>
  <si>
    <t>PERRUCHOT DE LA BUSSIERE</t>
  </si>
  <si>
    <t>Service des licences</t>
  </si>
  <si>
    <t>MUSY</t>
  </si>
  <si>
    <t>christel.musy@univ-lyon3.fr</t>
  </si>
  <si>
    <t>01150</t>
  </si>
  <si>
    <t>SAINTE JULIE</t>
  </si>
  <si>
    <t>BOUCHER</t>
  </si>
  <si>
    <t>Marie-Thérèse</t>
  </si>
  <si>
    <t>VOURLES</t>
  </si>
  <si>
    <t>Langues</t>
  </si>
  <si>
    <t>Faculté des langues</t>
  </si>
  <si>
    <t>GOUDET</t>
  </si>
  <si>
    <t>martine.goudet@univ-lyon3.fr</t>
  </si>
  <si>
    <t>69530</t>
  </si>
  <si>
    <t>BRIGNAIS</t>
  </si>
  <si>
    <t>BERTHIER</t>
  </si>
  <si>
    <t>CALUIRE</t>
  </si>
  <si>
    <t>REY</t>
  </si>
  <si>
    <t>TEMPERE</t>
  </si>
  <si>
    <t>DEROUEN</t>
  </si>
  <si>
    <t>Vanessa</t>
  </si>
  <si>
    <t>Bibliothécaire</t>
  </si>
  <si>
    <t>BOUKHARI</t>
  </si>
  <si>
    <t>BERGAMASCHI GAIGNEROT</t>
  </si>
  <si>
    <t>Pôle examen Licences MSH-TQM</t>
  </si>
  <si>
    <t xml:space="preserve">Coordinatrice pôle examen Licences MSH-TQM </t>
  </si>
  <si>
    <t>WAWRZYNIAK</t>
  </si>
  <si>
    <t>Magasinier des bibliothèques</t>
  </si>
  <si>
    <t>AMRANE</t>
  </si>
  <si>
    <t>Souad</t>
  </si>
  <si>
    <t>ASTIER</t>
  </si>
  <si>
    <t>Annie</t>
  </si>
  <si>
    <t>annie.astier@univ-lyon3.fr</t>
  </si>
  <si>
    <t>Responsable de scolarité de la licence LEA</t>
  </si>
  <si>
    <t>OUI</t>
  </si>
  <si>
    <t>3 rue Lionel Terray</t>
  </si>
  <si>
    <t>Messageries électroniques</t>
  </si>
  <si>
    <t xml:space="preserve">Plannings emploi du temps </t>
  </si>
  <si>
    <t>Planning des examens</t>
  </si>
  <si>
    <t>Examens des étudiants en situation de handicap</t>
  </si>
  <si>
    <t xml:space="preserve">Dossiers e-candidat </t>
  </si>
  <si>
    <t>JANVIER</t>
  </si>
  <si>
    <t>BELLET</t>
  </si>
  <si>
    <t>Licences FI</t>
  </si>
  <si>
    <t>Coordinatrice du pôle emploi du temps / adjointe à la chef de service</t>
  </si>
  <si>
    <t xml:space="preserve">4 avenue général de Gaulle </t>
  </si>
  <si>
    <t>Gestion et coordination des emplois du temps</t>
  </si>
  <si>
    <t>Gestion des modifications d'inscriptions</t>
  </si>
  <si>
    <t>Gestion nouveaux vacataires</t>
  </si>
  <si>
    <t>NADER</t>
  </si>
  <si>
    <t>THIVICHON-PRINCE</t>
  </si>
  <si>
    <t>69150</t>
  </si>
  <si>
    <t>DECINES</t>
  </si>
  <si>
    <t>FABRE</t>
  </si>
  <si>
    <t>LUYON</t>
  </si>
  <si>
    <t>KRAWIEC</t>
  </si>
  <si>
    <t>BOURGET-MESSIN</t>
  </si>
  <si>
    <t>VALLIER</t>
  </si>
  <si>
    <t>REYMOND</t>
  </si>
  <si>
    <t>Conservateur en chef des bibliothèques</t>
  </si>
  <si>
    <t>HOHMANN</t>
  </si>
  <si>
    <t>MEDINA</t>
  </si>
  <si>
    <t>AMBRONAY</t>
  </si>
  <si>
    <t>BOUIS</t>
  </si>
  <si>
    <t>CARTIER</t>
  </si>
  <si>
    <t>69210</t>
  </si>
  <si>
    <t>L'ARBRESLE</t>
  </si>
  <si>
    <t>FEBVRET</t>
  </si>
  <si>
    <t>DE OCHANDIANO</t>
  </si>
  <si>
    <t>JULLIEN-COTTART</t>
  </si>
  <si>
    <t>PEROMBELON</t>
  </si>
  <si>
    <t>anne-pierre.perombelon@univ-lyon3.fr</t>
  </si>
  <si>
    <t xml:space="preserve">Service des Etudes </t>
  </si>
  <si>
    <t xml:space="preserve">Gestionnaire de scolarité transversale </t>
  </si>
  <si>
    <t>VIALARON</t>
  </si>
  <si>
    <t>BUFFET</t>
  </si>
  <si>
    <t>Marine</t>
  </si>
  <si>
    <t>marine.buffet@univ-lyon3.fr</t>
  </si>
  <si>
    <t>Service Gestion Formation Professionnelle</t>
  </si>
  <si>
    <t xml:space="preserve">Gestionnaire des stages </t>
  </si>
  <si>
    <t>CLAITTE</t>
  </si>
  <si>
    <t>HMIMID</t>
  </si>
  <si>
    <t>Fatima</t>
  </si>
  <si>
    <t>LE NAOUR</t>
  </si>
  <si>
    <t>69430</t>
  </si>
  <si>
    <t>MARCHAMPT</t>
  </si>
  <si>
    <t>LOZANORIOS</t>
  </si>
  <si>
    <t>CHAMPENOIS</t>
  </si>
  <si>
    <t>Romain</t>
  </si>
  <si>
    <t>PELAZZO-PLAT</t>
  </si>
  <si>
    <t>VALETTE</t>
  </si>
  <si>
    <t>Fanny</t>
  </si>
  <si>
    <t>EL GALAI</t>
  </si>
  <si>
    <t>BONHOMME</t>
  </si>
  <si>
    <t>SCHMITT</t>
  </si>
  <si>
    <t>GUEYE</t>
  </si>
  <si>
    <t>BURDIN</t>
  </si>
  <si>
    <t>EL AJMI</t>
  </si>
  <si>
    <t>RAMIANDRISOA</t>
  </si>
  <si>
    <t>EDO</t>
  </si>
  <si>
    <t>Maria-Paula</t>
  </si>
  <si>
    <t>SAJGA</t>
  </si>
  <si>
    <t>Service des affaires juridiques, générales et des archives</t>
  </si>
  <si>
    <t>BENEYTON</t>
  </si>
  <si>
    <t>Audrey</t>
  </si>
  <si>
    <t>VICTOIRE</t>
  </si>
  <si>
    <t>GASMI</t>
  </si>
  <si>
    <t>ZAIDI</t>
  </si>
  <si>
    <t>Lydie</t>
  </si>
  <si>
    <t>DUMAS</t>
  </si>
  <si>
    <t>DANG</t>
  </si>
  <si>
    <t>droit</t>
  </si>
  <si>
    <t>DEBROISE</t>
  </si>
  <si>
    <t>TOURNIER</t>
  </si>
  <si>
    <t>LIBERADO</t>
  </si>
  <si>
    <t>MEDKOUR</t>
  </si>
  <si>
    <t>GASPARINI</t>
  </si>
  <si>
    <t>Noé</t>
  </si>
  <si>
    <t>COURBON-FILIPPINI</t>
  </si>
  <si>
    <t>WEHBE</t>
  </si>
  <si>
    <t>TURINE</t>
  </si>
  <si>
    <t>SEBEI</t>
  </si>
  <si>
    <t>Noura</t>
  </si>
  <si>
    <t>Eugénie</t>
  </si>
  <si>
    <t>MERONO</t>
  </si>
  <si>
    <t>BOUZIDI</t>
  </si>
  <si>
    <t>Faten-Yasmine</t>
  </si>
  <si>
    <t>LARDY</t>
  </si>
  <si>
    <t>PONS</t>
  </si>
  <si>
    <t>eric.pons@univ-lyon3.fr</t>
  </si>
  <si>
    <t>RILLIEUX-LA-PAPE</t>
  </si>
  <si>
    <t>CHARBONNIER</t>
  </si>
  <si>
    <t>69540</t>
  </si>
  <si>
    <t>IRIGNY</t>
  </si>
  <si>
    <t>38440</t>
  </si>
  <si>
    <t>MEYSSIEZ</t>
  </si>
  <si>
    <t>MENNELLA</t>
  </si>
  <si>
    <t>MEYRIEU LES ETANGS</t>
  </si>
  <si>
    <t>PIERRAT</t>
  </si>
  <si>
    <t>DARLIN</t>
  </si>
  <si>
    <t>AUTIN-GAILLARD</t>
  </si>
  <si>
    <t>Christelle</t>
  </si>
  <si>
    <t>Responsable scientifique des collections de droit - BU du Palais</t>
  </si>
  <si>
    <t>69130</t>
  </si>
  <si>
    <t>ECULLY</t>
  </si>
  <si>
    <t>Acquisition et suivi des collections de droit</t>
  </si>
  <si>
    <t>Production de documents liés à l'activité de la BU</t>
  </si>
  <si>
    <t>Valorisation des collections de droit de la BDP</t>
  </si>
  <si>
    <t>Communication sur les collections de droit</t>
  </si>
  <si>
    <t>Formation des usagers sur les collections de droit</t>
  </si>
  <si>
    <t>ROUANET-TOURINEL</t>
  </si>
  <si>
    <t>DOUBLET</t>
  </si>
  <si>
    <t>noe.gasparini@univ-lyon3.fr</t>
  </si>
  <si>
    <t>Chef de projet du Dictionnaire des francophones</t>
  </si>
  <si>
    <t>30430</t>
  </si>
  <si>
    <t>POULX</t>
  </si>
  <si>
    <t>lydie.zaidi@univ-lyon3.fr</t>
  </si>
  <si>
    <t xml:space="preserve">Service des diplômes </t>
  </si>
  <si>
    <t>Gestionnaire</t>
  </si>
  <si>
    <t>SUTTON</t>
  </si>
  <si>
    <t>LISCHETTI</t>
  </si>
  <si>
    <t>BEROUD COURTIAL</t>
  </si>
  <si>
    <t>BIBAS</t>
  </si>
  <si>
    <t>Nacera</t>
  </si>
  <si>
    <t>nacera.mezerreb@univ-lyon3.fr</t>
  </si>
  <si>
    <t>MEZERREB</t>
  </si>
  <si>
    <t>Responsable démarche qualité</t>
  </si>
  <si>
    <t>THOLY</t>
  </si>
  <si>
    <t>GADOU</t>
  </si>
  <si>
    <t>COURTIAL</t>
  </si>
  <si>
    <t>METHIVIER</t>
  </si>
  <si>
    <t>BOURIC</t>
  </si>
  <si>
    <t>BRUERE</t>
  </si>
  <si>
    <t>BARATIN</t>
  </si>
  <si>
    <t>Aude</t>
  </si>
  <si>
    <t>CROUZET</t>
  </si>
  <si>
    <t>CHOURFI</t>
  </si>
  <si>
    <t>VIGNERESSE</t>
  </si>
  <si>
    <t>THIBAUD</t>
  </si>
  <si>
    <t>ABRIAL</t>
  </si>
  <si>
    <t>DOUET</t>
  </si>
  <si>
    <t>KOUAHLA</t>
  </si>
  <si>
    <t>RAJON</t>
  </si>
  <si>
    <t>STOIAN</t>
  </si>
  <si>
    <t>MACHET</t>
  </si>
  <si>
    <t>MARMOURI</t>
  </si>
  <si>
    <t>Lilia</t>
  </si>
  <si>
    <t>LARATTE</t>
  </si>
  <si>
    <t>Noelle</t>
  </si>
  <si>
    <t>HERNANDEZ</t>
  </si>
  <si>
    <t>MAEYHIEUX</t>
  </si>
  <si>
    <t>PELLISSIER</t>
  </si>
  <si>
    <t>ST-JEAN-DE-BOURNAY</t>
  </si>
  <si>
    <t>69350</t>
  </si>
  <si>
    <t>LA MULATIERE</t>
  </si>
  <si>
    <t>fanny.valette@univ-lyon3.fr</t>
  </si>
  <si>
    <t>Coordinatrice Scolarité / Formation professionnelle</t>
  </si>
  <si>
    <t>69640</t>
  </si>
  <si>
    <t>MONTMELAS SAINT SORLIN</t>
  </si>
  <si>
    <t>Autorisation pour un jour mais pas 2</t>
  </si>
  <si>
    <t>01390</t>
  </si>
  <si>
    <t>SAINT-ANDRE-DE-CORCY</t>
  </si>
  <si>
    <t>faten-yasmine.bouzidi@univ-lyon3.fr</t>
  </si>
  <si>
    <t>Gestionnaire de scolarité-MSH/TQM</t>
  </si>
  <si>
    <t>69270</t>
  </si>
  <si>
    <t>FONTAINES SUR SAONE</t>
  </si>
  <si>
    <t>CHADIER</t>
  </si>
  <si>
    <t>MONNET</t>
  </si>
  <si>
    <t>romain.champenois@univ-lyon3.fr</t>
  </si>
  <si>
    <t>Gestionnaire de stages</t>
  </si>
  <si>
    <t>Pôle Recettes et Comptabilité Générale</t>
  </si>
  <si>
    <t>Assistant-e en gestion financière et comptable</t>
  </si>
  <si>
    <t>14 allée de l'hacienda</t>
  </si>
  <si>
    <t>69170</t>
  </si>
  <si>
    <t>TARARE</t>
  </si>
  <si>
    <t>Paiement des pièces comptables</t>
  </si>
  <si>
    <t>Participation à l'apurement des comptes d'attente</t>
  </si>
  <si>
    <t>CHARVIEU CHAVAGNEUX</t>
  </si>
  <si>
    <t>COLAS</t>
  </si>
  <si>
    <t>maria-paula.edo@univ-lyon3.fr</t>
  </si>
  <si>
    <t>69510</t>
  </si>
  <si>
    <t>MESSIMY</t>
  </si>
  <si>
    <t>38090</t>
  </si>
  <si>
    <t>VILLEFONTAINE</t>
  </si>
  <si>
    <t>BEAUVALLON</t>
  </si>
  <si>
    <t>GUILLEN GAMERO</t>
  </si>
  <si>
    <t>Service FCA</t>
  </si>
  <si>
    <t>Adjointe FCA - Responsable Facturation</t>
  </si>
  <si>
    <t>noura.sebei@univ-lyon3.fr</t>
  </si>
  <si>
    <t>13 Montée des Épies</t>
  </si>
  <si>
    <t>Gestion des dossiers financiers des étudiants alternants</t>
  </si>
  <si>
    <t>Gestion et Transmission des factures aux financeurs</t>
  </si>
  <si>
    <t>Gestion des contentieux et bons de commande</t>
  </si>
  <si>
    <t>SIMOND</t>
  </si>
  <si>
    <t>Equipe de recherche Louis Josserand</t>
  </si>
  <si>
    <t>LA VERPILLERE</t>
  </si>
  <si>
    <t>PAQAP</t>
  </si>
  <si>
    <t>BAUD</t>
  </si>
  <si>
    <t xml:space="preserve">  </t>
  </si>
  <si>
    <t>Assistante de communication</t>
  </si>
  <si>
    <t>Aurélien</t>
  </si>
  <si>
    <t>2 b boulevard de la Liberté</t>
  </si>
  <si>
    <t>71000</t>
  </si>
  <si>
    <t>MACON</t>
  </si>
  <si>
    <t>Alimentation des réseaux sociaux</t>
  </si>
  <si>
    <t>Mise à jour des sites internet</t>
  </si>
  <si>
    <t>Création graphique</t>
  </si>
  <si>
    <t>noelle.laratte@univ-lyon3.fr</t>
  </si>
  <si>
    <t>LEA</t>
  </si>
  <si>
    <t>Mise en TD des étudiants</t>
  </si>
  <si>
    <t>COUZON AU MONT D'OR</t>
  </si>
  <si>
    <t>CARNEVALI</t>
  </si>
  <si>
    <t>romain.carnevali@univ-lyon3.fr</t>
  </si>
  <si>
    <t>IRPHIL</t>
  </si>
  <si>
    <t>Gestionnaire de laboratoire</t>
  </si>
  <si>
    <t>LEQUAN</t>
  </si>
  <si>
    <t>Mai</t>
  </si>
  <si>
    <t>mai.lequan@univ-lyon3.fr</t>
  </si>
  <si>
    <t>DELOCHE</t>
  </si>
  <si>
    <t>38730</t>
  </si>
  <si>
    <t>CHELIEU</t>
  </si>
  <si>
    <t>JOLY</t>
  </si>
  <si>
    <t>69380</t>
  </si>
  <si>
    <t>LOZANNE</t>
  </si>
  <si>
    <t>RENARD</t>
  </si>
  <si>
    <t>herve.renard@univ-lyon3.fr</t>
  </si>
  <si>
    <t>Chargé de mission handicap / Référent COVID de proximité pour le S</t>
  </si>
  <si>
    <t>lilia.marmouri@univ-lyon3.fr</t>
  </si>
  <si>
    <t>Gestionnaire de finance</t>
  </si>
  <si>
    <t>69360</t>
  </si>
  <si>
    <t>SAINT-SYMPHORIEN-D'OZON</t>
  </si>
  <si>
    <t>KEALA</t>
  </si>
  <si>
    <t>42400</t>
  </si>
  <si>
    <t>SAINT-CHAMOND</t>
  </si>
  <si>
    <t>COMBRE-JEAN</t>
  </si>
  <si>
    <t>NEYRON</t>
  </si>
  <si>
    <t>Service du planning</t>
  </si>
  <si>
    <t>Gestionnaire planning</t>
  </si>
  <si>
    <t xml:space="preserve">146 place de la grande hermière </t>
  </si>
  <si>
    <t>BELIGNEUX</t>
  </si>
  <si>
    <t>Gestion des salles</t>
  </si>
  <si>
    <t>Pôle Relations Entreprises et Partenariats</t>
  </si>
  <si>
    <t>Chargée de Développement</t>
  </si>
  <si>
    <t>6 allée du parc</t>
  </si>
  <si>
    <t>Bibliothécaire assistante spécialisée Chargée de formations aux usagers</t>
  </si>
  <si>
    <t>SAINt-GERMAIN-NUELLES</t>
  </si>
  <si>
    <t>Coordination des visites L1 primo-arrivants</t>
  </si>
  <si>
    <t>Coordination des formations tous niveaux en Lettres, Langues et Sciences Humaines</t>
  </si>
  <si>
    <t>SOUCIEU EN JARREST</t>
  </si>
  <si>
    <t>Conservateur général des bibliothèques</t>
  </si>
  <si>
    <t>Sans objet</t>
  </si>
  <si>
    <t>Magasinier principal des bibliothèques</t>
  </si>
  <si>
    <t>GUTIERREZ</t>
  </si>
  <si>
    <t>VILAIN</t>
  </si>
  <si>
    <t>BIATS titulaires et contractuels entre le 01/09/2019 et le 31/08/2020</t>
  </si>
  <si>
    <t>Ville</t>
  </si>
  <si>
    <t>LY3000000003</t>
  </si>
  <si>
    <t>HERVÉ</t>
  </si>
  <si>
    <t>Homme</t>
  </si>
  <si>
    <t>BIATS Titulaire</t>
  </si>
  <si>
    <t>AENES</t>
  </si>
  <si>
    <t>France</t>
  </si>
  <si>
    <t>LY3000000004</t>
  </si>
  <si>
    <t>BLANC</t>
  </si>
  <si>
    <t>RACHEL</t>
  </si>
  <si>
    <t>Femme</t>
  </si>
  <si>
    <t>LY3000000006</t>
  </si>
  <si>
    <t>ARMELLE</t>
  </si>
  <si>
    <t>LY3000000007</t>
  </si>
  <si>
    <t>BRIGITTE</t>
  </si>
  <si>
    <t>LY3000000009</t>
  </si>
  <si>
    <t>MEUSNIER</t>
  </si>
  <si>
    <t>MANON</t>
  </si>
  <si>
    <t>LISSIEU</t>
  </si>
  <si>
    <t>LY3000000016</t>
  </si>
  <si>
    <t>BOISSONNET</t>
  </si>
  <si>
    <t>DELPHINE</t>
  </si>
  <si>
    <t>38550</t>
  </si>
  <si>
    <t>SABLONS</t>
  </si>
  <si>
    <t>LY3000000018</t>
  </si>
  <si>
    <t>BRUNET</t>
  </si>
  <si>
    <t>SANDRINE</t>
  </si>
  <si>
    <t>COMMUNAY</t>
  </si>
  <si>
    <t>LY3000000020</t>
  </si>
  <si>
    <t>CATHERINE</t>
  </si>
  <si>
    <t>ITRF</t>
  </si>
  <si>
    <t>RILLIEUX LA PAPE</t>
  </si>
  <si>
    <t>LY3000000022</t>
  </si>
  <si>
    <t>SYLVIANE</t>
  </si>
  <si>
    <t>LY3000000028</t>
  </si>
  <si>
    <t>SAVOY</t>
  </si>
  <si>
    <t>BLANDINE</t>
  </si>
  <si>
    <t>LY3000000029</t>
  </si>
  <si>
    <t>GUETAT</t>
  </si>
  <si>
    <t>MICHÈLE</t>
  </si>
  <si>
    <t>LY3000000033</t>
  </si>
  <si>
    <t>ANNICK</t>
  </si>
  <si>
    <t>LY3000000042</t>
  </si>
  <si>
    <t>MARIANNE</t>
  </si>
  <si>
    <t>ST FOY LES LYON</t>
  </si>
  <si>
    <t>LY3000000043</t>
  </si>
  <si>
    <t>BASSET</t>
  </si>
  <si>
    <t>DOMINIQUE</t>
  </si>
  <si>
    <t>LY3000000045</t>
  </si>
  <si>
    <t>RUEDA</t>
  </si>
  <si>
    <t>ISABELLE</t>
  </si>
  <si>
    <t>ST JULIEN SUR BIBOS</t>
  </si>
  <si>
    <t>LY3000000047</t>
  </si>
  <si>
    <t>FAURE</t>
  </si>
  <si>
    <t>DANIELLE</t>
  </si>
  <si>
    <t>LY3000000050</t>
  </si>
  <si>
    <t>LASCAR</t>
  </si>
  <si>
    <t>KARINE</t>
  </si>
  <si>
    <t>LY3000000056</t>
  </si>
  <si>
    <t>PIQUAND</t>
  </si>
  <si>
    <t>MARIE-CHRISTINE</t>
  </si>
  <si>
    <t>LY3000000058</t>
  </si>
  <si>
    <t>PORRETTA</t>
  </si>
  <si>
    <t>VÉRONIQUE</t>
  </si>
  <si>
    <t>LY3000000060</t>
  </si>
  <si>
    <t>CORINNE</t>
  </si>
  <si>
    <t>LY3000000062</t>
  </si>
  <si>
    <t>FLORENCE</t>
  </si>
  <si>
    <t>LY3000000063</t>
  </si>
  <si>
    <t>TEDESCO</t>
  </si>
  <si>
    <t>SONIA</t>
  </si>
  <si>
    <t>LY3000000065</t>
  </si>
  <si>
    <t>VALERO</t>
  </si>
  <si>
    <t>JEAN</t>
  </si>
  <si>
    <t>LY3000000068</t>
  </si>
  <si>
    <t>NARDONE</t>
  </si>
  <si>
    <t>LY3000000069</t>
  </si>
  <si>
    <t>LY3000000070</t>
  </si>
  <si>
    <t>BUTTIN</t>
  </si>
  <si>
    <t>ANNABEL</t>
  </si>
  <si>
    <t>LY3000000071</t>
  </si>
  <si>
    <t>SOPHIE</t>
  </si>
  <si>
    <t>LY3000000074</t>
  </si>
  <si>
    <t>ANNE</t>
  </si>
  <si>
    <t>LY3000000075</t>
  </si>
  <si>
    <t>CHANTAL</t>
  </si>
  <si>
    <t>LY3000000076</t>
  </si>
  <si>
    <t>STÉPHANIE</t>
  </si>
  <si>
    <t>LY3000000077</t>
  </si>
  <si>
    <t>RAULT</t>
  </si>
  <si>
    <t>VILLEFRANCHE SUR SA</t>
  </si>
  <si>
    <t>LY3000000078</t>
  </si>
  <si>
    <t>MESSONNIER</t>
  </si>
  <si>
    <t>MARTINE</t>
  </si>
  <si>
    <t>42520</t>
  </si>
  <si>
    <t>ST PIERRE DE BOEUF</t>
  </si>
  <si>
    <t>LY3000000079</t>
  </si>
  <si>
    <t>JAY</t>
  </si>
  <si>
    <t>FABIEN</t>
  </si>
  <si>
    <t>LY3000000080</t>
  </si>
  <si>
    <t>SALUZZI</t>
  </si>
  <si>
    <t>MARIO</t>
  </si>
  <si>
    <t>LY3000000081</t>
  </si>
  <si>
    <t>ROY</t>
  </si>
  <si>
    <t>OLIVIER</t>
  </si>
  <si>
    <t>73310</t>
  </si>
  <si>
    <t>CONJUX</t>
  </si>
  <si>
    <t>LY3000000082</t>
  </si>
  <si>
    <t>LAURENCE</t>
  </si>
  <si>
    <t>LY3000000083</t>
  </si>
  <si>
    <t>YANN</t>
  </si>
  <si>
    <t>LY3000000085</t>
  </si>
  <si>
    <t>FRANÇOIS</t>
  </si>
  <si>
    <t>LY3000000087</t>
  </si>
  <si>
    <t>BRUSCHET</t>
  </si>
  <si>
    <t>JEAN-LOUP</t>
  </si>
  <si>
    <t>LY3000000088</t>
  </si>
  <si>
    <t>BUISSON</t>
  </si>
  <si>
    <t>ANDRÉ</t>
  </si>
  <si>
    <t>LY3000000090</t>
  </si>
  <si>
    <t>DOENS</t>
  </si>
  <si>
    <t>LY3000000091</t>
  </si>
  <si>
    <t>DOLE</t>
  </si>
  <si>
    <t>PIERRE</t>
  </si>
  <si>
    <t>CALUIRE ET CUIRE</t>
  </si>
  <si>
    <t>LY3000000094</t>
  </si>
  <si>
    <t>RUILLAT</t>
  </si>
  <si>
    <t>MAGALI</t>
  </si>
  <si>
    <t>LY3000000095</t>
  </si>
  <si>
    <t>LY3000000096</t>
  </si>
  <si>
    <t>LY3000000097</t>
  </si>
  <si>
    <t>SYLVIE</t>
  </si>
  <si>
    <t>TASSIN LA DEMI LUNE</t>
  </si>
  <si>
    <t>LY3000000098</t>
  </si>
  <si>
    <t>VALÉRIE</t>
  </si>
  <si>
    <t>LY3000000100</t>
  </si>
  <si>
    <t>ROGER-DALBERT</t>
  </si>
  <si>
    <t>PASCALE</t>
  </si>
  <si>
    <t>LY3000000102</t>
  </si>
  <si>
    <t>ERIC</t>
  </si>
  <si>
    <t>LY3000000104</t>
  </si>
  <si>
    <t>CHRISTELLE</t>
  </si>
  <si>
    <t>LY3000000105</t>
  </si>
  <si>
    <t>THIERRY</t>
  </si>
  <si>
    <t>LY3000000107</t>
  </si>
  <si>
    <t>DUCOURTIOUX</t>
  </si>
  <si>
    <t>DANUTA</t>
  </si>
  <si>
    <t>LY3000000108</t>
  </si>
  <si>
    <t>71240</t>
  </si>
  <si>
    <t>SENNECEY LE GRAND</t>
  </si>
  <si>
    <t>LY3000000109</t>
  </si>
  <si>
    <t>LAURE-ANNE</t>
  </si>
  <si>
    <t>LY3000000110</t>
  </si>
  <si>
    <t>SALERNO</t>
  </si>
  <si>
    <t>GÉRARD</t>
  </si>
  <si>
    <t>LY3000000113</t>
  </si>
  <si>
    <t>OULINS</t>
  </si>
  <si>
    <t>LY3000000114</t>
  </si>
  <si>
    <t>LY3000000118</t>
  </si>
  <si>
    <t>LY3000000119</t>
  </si>
  <si>
    <t>POULET</t>
  </si>
  <si>
    <t>ANNELISE</t>
  </si>
  <si>
    <t>LY3000000121</t>
  </si>
  <si>
    <t>SAINT JULIEN SUR BI</t>
  </si>
  <si>
    <t>LY3000000122</t>
  </si>
  <si>
    <t>PHILIPPE</t>
  </si>
  <si>
    <t>LY3000000126</t>
  </si>
  <si>
    <t>VIRGINIE</t>
  </si>
  <si>
    <t>LY3000000129</t>
  </si>
  <si>
    <t>GALLEGO</t>
  </si>
  <si>
    <t>LY3000000130</t>
  </si>
  <si>
    <t>STÉPHANE</t>
  </si>
  <si>
    <t>LY3000000131</t>
  </si>
  <si>
    <t>WILFRID</t>
  </si>
  <si>
    <t>MEYSSIES</t>
  </si>
  <si>
    <t>LY3000000132</t>
  </si>
  <si>
    <t>NEUVILLE SUR SAONE</t>
  </si>
  <si>
    <t>LY3000000133</t>
  </si>
  <si>
    <t>NIGAY</t>
  </si>
  <si>
    <t>JEAN-FLORENT</t>
  </si>
  <si>
    <t>69830</t>
  </si>
  <si>
    <t>SAINT GEORGES DE RE</t>
  </si>
  <si>
    <t>LY3000000134</t>
  </si>
  <si>
    <t>LY3000000138</t>
  </si>
  <si>
    <t>BIARD</t>
  </si>
  <si>
    <t>JEAN-PAUL</t>
  </si>
  <si>
    <t>LY3000000141</t>
  </si>
  <si>
    <t>BOUDJEMA</t>
  </si>
  <si>
    <t>KHELAF</t>
  </si>
  <si>
    <t>GIVORS</t>
  </si>
  <si>
    <t>LY3000000142</t>
  </si>
  <si>
    <t>BRINGUIER</t>
  </si>
  <si>
    <t>LY3000000145</t>
  </si>
  <si>
    <t>LY3000000147</t>
  </si>
  <si>
    <t>MAISONNEUVE</t>
  </si>
  <si>
    <t>CHRISTIAN</t>
  </si>
  <si>
    <t>LY3000000149</t>
  </si>
  <si>
    <t>ALIDA</t>
  </si>
  <si>
    <t>LY3000000150</t>
  </si>
  <si>
    <t>BERLIET</t>
  </si>
  <si>
    <t>LY3000000151</t>
  </si>
  <si>
    <t>MARLÈNE</t>
  </si>
  <si>
    <t>LY3000000152</t>
  </si>
  <si>
    <t>BRUN</t>
  </si>
  <si>
    <t>42000</t>
  </si>
  <si>
    <t>SAINT-ÉTIENNE</t>
  </si>
  <si>
    <t>LY3000000153</t>
  </si>
  <si>
    <t>GAËLLE</t>
  </si>
  <si>
    <t>VÉNISSIEUX</t>
  </si>
  <si>
    <t>LY3000000154</t>
  </si>
  <si>
    <t>FEREZ</t>
  </si>
  <si>
    <t>MURIELLE</t>
  </si>
  <si>
    <t>LY3000000155</t>
  </si>
  <si>
    <t>GIRIER</t>
  </si>
  <si>
    <t>CAROLE</t>
  </si>
  <si>
    <t>LY3000000156</t>
  </si>
  <si>
    <t>BAS</t>
  </si>
  <si>
    <t>FLORENT</t>
  </si>
  <si>
    <t>LY3000000157</t>
  </si>
  <si>
    <t>LARDET</t>
  </si>
  <si>
    <t>LY3000000158</t>
  </si>
  <si>
    <t>LASTRICANI-JOLIVET</t>
  </si>
  <si>
    <t>LY3000000159</t>
  </si>
  <si>
    <t>PACHECO</t>
  </si>
  <si>
    <t>LY3000000160</t>
  </si>
  <si>
    <t>PEREIRA DE JESUS</t>
  </si>
  <si>
    <t>ARMINDO</t>
  </si>
  <si>
    <t>42410</t>
  </si>
  <si>
    <t>CHAVANAY</t>
  </si>
  <si>
    <t>LY3000000161</t>
  </si>
  <si>
    <t>POISSON</t>
  </si>
  <si>
    <t>YVES</t>
  </si>
  <si>
    <t>LY3000000163</t>
  </si>
  <si>
    <t>RUZ</t>
  </si>
  <si>
    <t>JONATHAN</t>
  </si>
  <si>
    <t>LY3000000165</t>
  </si>
  <si>
    <t>BONNAMOUR</t>
  </si>
  <si>
    <t>TASSIN</t>
  </si>
  <si>
    <t>LY3000000166</t>
  </si>
  <si>
    <t>BONNET</t>
  </si>
  <si>
    <t>JEAN-FRANÇOIS</t>
  </si>
  <si>
    <t>LY3000000168</t>
  </si>
  <si>
    <t>NOYEL</t>
  </si>
  <si>
    <t>CHRISTIANE</t>
  </si>
  <si>
    <t>LY3000000169</t>
  </si>
  <si>
    <t>RANDY-GAVANT</t>
  </si>
  <si>
    <t>ANDRÉE</t>
  </si>
  <si>
    <t>LY3000000170</t>
  </si>
  <si>
    <t>MARCELLIER</t>
  </si>
  <si>
    <t>MILLERY</t>
  </si>
  <si>
    <t>LY3000000171</t>
  </si>
  <si>
    <t>PANCINI</t>
  </si>
  <si>
    <t>JACQUELINE</t>
  </si>
  <si>
    <t>LY3000000172</t>
  </si>
  <si>
    <t>GILLES</t>
  </si>
  <si>
    <t>LY3000000175</t>
  </si>
  <si>
    <t>GOMES PEREIRA</t>
  </si>
  <si>
    <t>JORGE</t>
  </si>
  <si>
    <t>LY3000000178</t>
  </si>
  <si>
    <t>CARITOUX</t>
  </si>
  <si>
    <t>NATHALIE</t>
  </si>
  <si>
    <t>Bibliothèque</t>
  </si>
  <si>
    <t>LY3000000181</t>
  </si>
  <si>
    <t>LY3000000184</t>
  </si>
  <si>
    <t>LY3000000186</t>
  </si>
  <si>
    <t>BASTIEN</t>
  </si>
  <si>
    <t>MARIE-FRANÇOISE</t>
  </si>
  <si>
    <t>LY3000000187</t>
  </si>
  <si>
    <t>PIASER</t>
  </si>
  <si>
    <t>LUCILE</t>
  </si>
  <si>
    <t>STE FOY LES LYON</t>
  </si>
  <si>
    <t>LY3000000188</t>
  </si>
  <si>
    <t>LYONNET</t>
  </si>
  <si>
    <t>CHRISTINE</t>
  </si>
  <si>
    <t>SOURCIEUX LES MINES</t>
  </si>
  <si>
    <t>LY3000000189</t>
  </si>
  <si>
    <t>PHILIBERT</t>
  </si>
  <si>
    <t>DENIS</t>
  </si>
  <si>
    <t>LY3000000190</t>
  </si>
  <si>
    <t>JEAN-PIERRE</t>
  </si>
  <si>
    <t>LY3000000193</t>
  </si>
  <si>
    <t>SOUAD</t>
  </si>
  <si>
    <t>LY3000000195</t>
  </si>
  <si>
    <t>LY3000000197</t>
  </si>
  <si>
    <t>FERRANTE</t>
  </si>
  <si>
    <t>LY3000000198</t>
  </si>
  <si>
    <t>GUICHON</t>
  </si>
  <si>
    <t>01240</t>
  </si>
  <si>
    <t>MARLIEUX</t>
  </si>
  <si>
    <t>LY3000000200</t>
  </si>
  <si>
    <t>LAFFITE</t>
  </si>
  <si>
    <t>LY3000000203</t>
  </si>
  <si>
    <t>BERNIGAUD</t>
  </si>
  <si>
    <t>LY3000000204</t>
  </si>
  <si>
    <t>BICHAT</t>
  </si>
  <si>
    <t>LY3000000205</t>
  </si>
  <si>
    <t>ALEXANDRA</t>
  </si>
  <si>
    <t>ST JEAN DE TOUSLAS</t>
  </si>
  <si>
    <t>LY3000000206</t>
  </si>
  <si>
    <t>BLANQUER</t>
  </si>
  <si>
    <t>MICHELLE</t>
  </si>
  <si>
    <t>LY3000000207</t>
  </si>
  <si>
    <t>BIATS Contractuel</t>
  </si>
  <si>
    <t>CDI</t>
  </si>
  <si>
    <t>FONTAINES SUR SAÔNE</t>
  </si>
  <si>
    <t>LY3000000211</t>
  </si>
  <si>
    <t>LY3000000214</t>
  </si>
  <si>
    <t>COLOMBIER</t>
  </si>
  <si>
    <t>FABRICE</t>
  </si>
  <si>
    <t>LY3000000215</t>
  </si>
  <si>
    <t>COUPAT</t>
  </si>
  <si>
    <t>GHISLAINE</t>
  </si>
  <si>
    <t>LY3000000217</t>
  </si>
  <si>
    <t>MARIE-EDITH</t>
  </si>
  <si>
    <t>LY3000000219</t>
  </si>
  <si>
    <t>FANNY</t>
  </si>
  <si>
    <t>MONTMELAS SAINT SOR</t>
  </si>
  <si>
    <t>LY3000000221</t>
  </si>
  <si>
    <t>DURIEUX</t>
  </si>
  <si>
    <t>VANESSA</t>
  </si>
  <si>
    <t>LY3000000223</t>
  </si>
  <si>
    <t>GOUPY</t>
  </si>
  <si>
    <t>LY3000000224</t>
  </si>
  <si>
    <t>GRINAND</t>
  </si>
  <si>
    <t>NICOLE</t>
  </si>
  <si>
    <t>LY3000000225</t>
  </si>
  <si>
    <t>MOHAMED</t>
  </si>
  <si>
    <t>SAMIRA</t>
  </si>
  <si>
    <t>LY3000000227</t>
  </si>
  <si>
    <t>SARAH</t>
  </si>
  <si>
    <t>LY3000000228</t>
  </si>
  <si>
    <t>OLAGNON</t>
  </si>
  <si>
    <t>GUY</t>
  </si>
  <si>
    <t>LY3000000229</t>
  </si>
  <si>
    <t>LY3000000230</t>
  </si>
  <si>
    <t>PEREZ</t>
  </si>
  <si>
    <t>LY3000000231</t>
  </si>
  <si>
    <t>ELISABETH</t>
  </si>
  <si>
    <t>LY3000000232</t>
  </si>
  <si>
    <t>PES</t>
  </si>
  <si>
    <t>38460</t>
  </si>
  <si>
    <t>MORAS</t>
  </si>
  <si>
    <t>LY3000000233</t>
  </si>
  <si>
    <t>LY3000000234</t>
  </si>
  <si>
    <t>CREMIEU</t>
  </si>
  <si>
    <t>LY3000000235</t>
  </si>
  <si>
    <t>LY3000000236</t>
  </si>
  <si>
    <t>MOULKHEIR</t>
  </si>
  <si>
    <t>DÉCINES</t>
  </si>
  <si>
    <t>LY3000000237</t>
  </si>
  <si>
    <t>PIERRE-GUY</t>
  </si>
  <si>
    <t>LY3000000239</t>
  </si>
  <si>
    <t>VITOZ</t>
  </si>
  <si>
    <t>LES CHERES</t>
  </si>
  <si>
    <t>LY3000000240</t>
  </si>
  <si>
    <t>LY3000000241</t>
  </si>
  <si>
    <t>GARNIER</t>
  </si>
  <si>
    <t>LY3000000243</t>
  </si>
  <si>
    <t>VENIER</t>
  </si>
  <si>
    <t>LY3000000244</t>
  </si>
  <si>
    <t>FRÉDÉRIQUE</t>
  </si>
  <si>
    <t>LY3000000248</t>
  </si>
  <si>
    <t>PATRICIA</t>
  </si>
  <si>
    <t>LY3000000249</t>
  </si>
  <si>
    <t>LY3000000253</t>
  </si>
  <si>
    <t>CHIKHI</t>
  </si>
  <si>
    <t>RACHIDA</t>
  </si>
  <si>
    <t>LY3000000254</t>
  </si>
  <si>
    <t>LY3000000256</t>
  </si>
  <si>
    <t>FABIENNE</t>
  </si>
  <si>
    <t>LY3000000258</t>
  </si>
  <si>
    <t>LY3000000259</t>
  </si>
  <si>
    <t>ASSOUS</t>
  </si>
  <si>
    <t>MALIKA</t>
  </si>
  <si>
    <t>LY3000000260</t>
  </si>
  <si>
    <t>IMANE</t>
  </si>
  <si>
    <t>LY3000000261</t>
  </si>
  <si>
    <t>FRADIN-CARTA</t>
  </si>
  <si>
    <t>CATERINA</t>
  </si>
  <si>
    <t>SAINT LAURENT DE MU</t>
  </si>
  <si>
    <t>LY3000000263</t>
  </si>
  <si>
    <t>BENITHA</t>
  </si>
  <si>
    <t>LY3000000264</t>
  </si>
  <si>
    <t>MATHIEU</t>
  </si>
  <si>
    <t>MARIE-PAULE</t>
  </si>
  <si>
    <t>LY3000000265</t>
  </si>
  <si>
    <t>BUISSIER</t>
  </si>
  <si>
    <t>01000</t>
  </si>
  <si>
    <t>BOURG EN BRESSE</t>
  </si>
  <si>
    <t>LY3000000267</t>
  </si>
  <si>
    <t>HEURARD DE FONTGALLAND</t>
  </si>
  <si>
    <t>LY3000000268</t>
  </si>
  <si>
    <t>LY3000000271</t>
  </si>
  <si>
    <t>MESSAOUDENE</t>
  </si>
  <si>
    <t>DJAMEL</t>
  </si>
  <si>
    <t>LY3000000274</t>
  </si>
  <si>
    <t>VARVIER</t>
  </si>
  <si>
    <t>TEDDY</t>
  </si>
  <si>
    <t>FONTAINES SAINT MAR</t>
  </si>
  <si>
    <t>LY3000000275</t>
  </si>
  <si>
    <t>SÉVERINE</t>
  </si>
  <si>
    <t>LY3000000276</t>
  </si>
  <si>
    <t>ROVIRA</t>
  </si>
  <si>
    <t>EMMANUEL</t>
  </si>
  <si>
    <t>LY3000000279</t>
  </si>
  <si>
    <t>GAMBAROTA</t>
  </si>
  <si>
    <t>LY3000000280</t>
  </si>
  <si>
    <t>GHEDHAIFI</t>
  </si>
  <si>
    <t>YASSINE</t>
  </si>
  <si>
    <t>ST GENIS LAVAL</t>
  </si>
  <si>
    <t>LY3000000281</t>
  </si>
  <si>
    <t>CYRILLE</t>
  </si>
  <si>
    <t>LY3000000283</t>
  </si>
  <si>
    <t>GABRIEL</t>
  </si>
  <si>
    <t>LY3000000284</t>
  </si>
  <si>
    <t>LISSOUCK</t>
  </si>
  <si>
    <t>FÉLIX</t>
  </si>
  <si>
    <t>LY3000000289</t>
  </si>
  <si>
    <t>YAMINA</t>
  </si>
  <si>
    <t>LY3000000290</t>
  </si>
  <si>
    <t>MARCHAND</t>
  </si>
  <si>
    <t>PATRICK</t>
  </si>
  <si>
    <t>42114</t>
  </si>
  <si>
    <t>MACHEZAL</t>
  </si>
  <si>
    <t>LY3000000291</t>
  </si>
  <si>
    <t>TARQUIS</t>
  </si>
  <si>
    <t>LY3000000292</t>
  </si>
  <si>
    <t>GISELLE</t>
  </si>
  <si>
    <t>LY3000000294</t>
  </si>
  <si>
    <t>LY3000000296</t>
  </si>
  <si>
    <t>DELHOMMEAU</t>
  </si>
  <si>
    <t>LY3000000298</t>
  </si>
  <si>
    <t>AUTHIER</t>
  </si>
  <si>
    <t>MARIE-CÉCILE</t>
  </si>
  <si>
    <t>REGNIÉ DURETTE</t>
  </si>
  <si>
    <t>LY3000000300</t>
  </si>
  <si>
    <t>ANNE-LAURE</t>
  </si>
  <si>
    <t>LY3000000301</t>
  </si>
  <si>
    <t>GÉRALDINE</t>
  </si>
  <si>
    <t>LY3000000307</t>
  </si>
  <si>
    <t>ANNE-SOPHIE</t>
  </si>
  <si>
    <t>LY3000000308</t>
  </si>
  <si>
    <t>BODRI</t>
  </si>
  <si>
    <t>JÉRÔME</t>
  </si>
  <si>
    <t>LY3000000309</t>
  </si>
  <si>
    <t>CORTICCHIATO</t>
  </si>
  <si>
    <t>MIREILLE</t>
  </si>
  <si>
    <t>LY3000000312</t>
  </si>
  <si>
    <t>THIVANT</t>
  </si>
  <si>
    <t>LY3000000313</t>
  </si>
  <si>
    <t>EMMANUELLE</t>
  </si>
  <si>
    <t>LY3000000314</t>
  </si>
  <si>
    <t>DAVID-KRISZTIAN</t>
  </si>
  <si>
    <t>LY3000000316</t>
  </si>
  <si>
    <t>MARTIN</t>
  </si>
  <si>
    <t>FRÉDÉRIC</t>
  </si>
  <si>
    <t>LY3000000317</t>
  </si>
  <si>
    <t>CAZALENS</t>
  </si>
  <si>
    <t>BRUNO</t>
  </si>
  <si>
    <t>LY3000000318</t>
  </si>
  <si>
    <t>DEGUEURCE</t>
  </si>
  <si>
    <t>FLORE</t>
  </si>
  <si>
    <t>LY3000000323</t>
  </si>
  <si>
    <t>AULAGNON</t>
  </si>
  <si>
    <t>LY3000000326</t>
  </si>
  <si>
    <t>MELON</t>
  </si>
  <si>
    <t>LY3000000333</t>
  </si>
  <si>
    <t>ANTONIO</t>
  </si>
  <si>
    <t>LY3000000335</t>
  </si>
  <si>
    <t>FULBERT</t>
  </si>
  <si>
    <t>AUDE</t>
  </si>
  <si>
    <t>LY3000000343</t>
  </si>
  <si>
    <t>LY3000000346</t>
  </si>
  <si>
    <t>BALLIAU</t>
  </si>
  <si>
    <t>GENEVIÈVE</t>
  </si>
  <si>
    <t>LY3000000347</t>
  </si>
  <si>
    <t>LY3000000348</t>
  </si>
  <si>
    <t>LY3000000349</t>
  </si>
  <si>
    <t>CLAIRE</t>
  </si>
  <si>
    <t>LY3000000352</t>
  </si>
  <si>
    <t>LINDA</t>
  </si>
  <si>
    <t>LY3000000353</t>
  </si>
  <si>
    <t>CHRYSTÈLE</t>
  </si>
  <si>
    <t>LY3000000354</t>
  </si>
  <si>
    <t>BAUDET</t>
  </si>
  <si>
    <t>LY3000000357</t>
  </si>
  <si>
    <t>AIME</t>
  </si>
  <si>
    <t>JEAN-MICHEL</t>
  </si>
  <si>
    <t>LY3000000363</t>
  </si>
  <si>
    <t>CANOVO</t>
  </si>
  <si>
    <t>PIERRETTE</t>
  </si>
  <si>
    <t>LY3000000369</t>
  </si>
  <si>
    <t>LY3000000373</t>
  </si>
  <si>
    <t>GILBERT</t>
  </si>
  <si>
    <t>LY3000000376</t>
  </si>
  <si>
    <t>LIONEL</t>
  </si>
  <si>
    <t>LY3000000378</t>
  </si>
  <si>
    <t>CÉLINE</t>
  </si>
  <si>
    <t>LY3000000382</t>
  </si>
  <si>
    <t>AMBRONNAY</t>
  </si>
  <si>
    <t>LY3000000383</t>
  </si>
  <si>
    <t>SEGAUD</t>
  </si>
  <si>
    <t>LY3000000385</t>
  </si>
  <si>
    <t>ELISE</t>
  </si>
  <si>
    <t>LY3000000386</t>
  </si>
  <si>
    <t>JAFALIAN</t>
  </si>
  <si>
    <t>ANNIE</t>
  </si>
  <si>
    <t>75015</t>
  </si>
  <si>
    <t>PARIS</t>
  </si>
  <si>
    <t>LY3000000389</t>
  </si>
  <si>
    <t>DE LUCA</t>
  </si>
  <si>
    <t>CÉCILE</t>
  </si>
  <si>
    <t>69780</t>
  </si>
  <si>
    <t>MIONS</t>
  </si>
  <si>
    <t>LY3000000390</t>
  </si>
  <si>
    <t>THALAMAS-COMMERSON</t>
  </si>
  <si>
    <t>LY3000000392</t>
  </si>
  <si>
    <t>MARGAINNE</t>
  </si>
  <si>
    <t>PATRICE</t>
  </si>
  <si>
    <t>MESSIMY S/SAONE</t>
  </si>
  <si>
    <t>LY3000000394</t>
  </si>
  <si>
    <t>DUARTE</t>
  </si>
  <si>
    <t>CARINA</t>
  </si>
  <si>
    <t>LY3000000396</t>
  </si>
  <si>
    <t>ST ETIENNE</t>
  </si>
  <si>
    <t>LY3000000398</t>
  </si>
  <si>
    <t>LY3000000399</t>
  </si>
  <si>
    <t>SILVA</t>
  </si>
  <si>
    <t>LY3000000403</t>
  </si>
  <si>
    <t>GOSSELIN</t>
  </si>
  <si>
    <t>ALINE</t>
  </si>
  <si>
    <t>LY3000000404</t>
  </si>
  <si>
    <t>CHAMBON</t>
  </si>
  <si>
    <t>PEAGE DE ROUSSILLON</t>
  </si>
  <si>
    <t>LY3000000406</t>
  </si>
  <si>
    <t>YASMINA</t>
  </si>
  <si>
    <t>LY3000000407</t>
  </si>
  <si>
    <t>ZAATRI</t>
  </si>
  <si>
    <t>FATIHA</t>
  </si>
  <si>
    <t>LY3000000413</t>
  </si>
  <si>
    <t>LY3000000416</t>
  </si>
  <si>
    <t>DANIELE</t>
  </si>
  <si>
    <t>MURIEL</t>
  </si>
  <si>
    <t>38670</t>
  </si>
  <si>
    <t>CHASSE-SUR-RHONE</t>
  </si>
  <si>
    <t>LY3000000417</t>
  </si>
  <si>
    <t>BERNARD</t>
  </si>
  <si>
    <t>LY3000000418</t>
  </si>
  <si>
    <t>CHIROUZE</t>
  </si>
  <si>
    <t>LY3000000421</t>
  </si>
  <si>
    <t>LY3000000424</t>
  </si>
  <si>
    <t>DONZEL</t>
  </si>
  <si>
    <t>69420</t>
  </si>
  <si>
    <t>CONDRIEU</t>
  </si>
  <si>
    <t>LY3000000426</t>
  </si>
  <si>
    <t>MARIE-THÉRÈSE</t>
  </si>
  <si>
    <t>LY3000000427</t>
  </si>
  <si>
    <t>LY3000000430</t>
  </si>
  <si>
    <t>LY3000000434</t>
  </si>
  <si>
    <t>CUEILLE</t>
  </si>
  <si>
    <t>LY3000000435</t>
  </si>
  <si>
    <t>VAULX EN VELIN</t>
  </si>
  <si>
    <t>LY3000000436</t>
  </si>
  <si>
    <t>TOURNIGAND</t>
  </si>
  <si>
    <t>MICKAËL</t>
  </si>
  <si>
    <t>LY3000000437</t>
  </si>
  <si>
    <t>DERVEAU</t>
  </si>
  <si>
    <t>CHASSE / RHONE</t>
  </si>
  <si>
    <t>LY3000000441</t>
  </si>
  <si>
    <t>AMANDINE</t>
  </si>
  <si>
    <t>LY3000000442</t>
  </si>
  <si>
    <t>LY3000000450</t>
  </si>
  <si>
    <t>JOLLET</t>
  </si>
  <si>
    <t>MÉLANIE</t>
  </si>
  <si>
    <t>LY3000000452</t>
  </si>
  <si>
    <t>JEAN-BAPTISTE</t>
  </si>
  <si>
    <t>LY3000000457</t>
  </si>
  <si>
    <t>FLORIANNE</t>
  </si>
  <si>
    <t>LY3000000459</t>
  </si>
  <si>
    <t>VERON</t>
  </si>
  <si>
    <t>LY3000000461</t>
  </si>
  <si>
    <t>GIUPPONI</t>
  </si>
  <si>
    <t>LY3000000464</t>
  </si>
  <si>
    <t>LY3000000466</t>
  </si>
  <si>
    <t>YOANN</t>
  </si>
  <si>
    <t>LY3000000467</t>
  </si>
  <si>
    <t>CYPRIENNE</t>
  </si>
  <si>
    <t>JEAN-CLAUDE</t>
  </si>
  <si>
    <t>LY3000000469</t>
  </si>
  <si>
    <t>POZET</t>
  </si>
  <si>
    <t>LUCIEN</t>
  </si>
  <si>
    <t>LY3000000470</t>
  </si>
  <si>
    <t>ARONICA</t>
  </si>
  <si>
    <t>SABRINA</t>
  </si>
  <si>
    <t>LY3000000473</t>
  </si>
  <si>
    <t>LY3000000475</t>
  </si>
  <si>
    <t>LY3000000476</t>
  </si>
  <si>
    <t>SALMI</t>
  </si>
  <si>
    <t>RACHID</t>
  </si>
  <si>
    <t>LY3000000478</t>
  </si>
  <si>
    <t>GERVASONI</t>
  </si>
  <si>
    <t>LY3000000485</t>
  </si>
  <si>
    <t>ESPEL</t>
  </si>
  <si>
    <t>DANIEL</t>
  </si>
  <si>
    <t>LY3000000487</t>
  </si>
  <si>
    <t>SUDRE</t>
  </si>
  <si>
    <t>AURORE</t>
  </si>
  <si>
    <t>LY3000000488</t>
  </si>
  <si>
    <t>CHRISTEL</t>
  </si>
  <si>
    <t>LY3000000489</t>
  </si>
  <si>
    <t>FRANCK</t>
  </si>
  <si>
    <t>LY3000000491</t>
  </si>
  <si>
    <t>COUVERT-VICINI</t>
  </si>
  <si>
    <t>LY3000000492</t>
  </si>
  <si>
    <t>LY3000000494</t>
  </si>
  <si>
    <t>LY3000000496</t>
  </si>
  <si>
    <t>FRAGNE</t>
  </si>
  <si>
    <t>LY3000000500</t>
  </si>
  <si>
    <t>COLOMB</t>
  </si>
  <si>
    <t>MAGALY</t>
  </si>
  <si>
    <t>CDD</t>
  </si>
  <si>
    <t>LY3000000504</t>
  </si>
  <si>
    <t>VILETTE-BILLON</t>
  </si>
  <si>
    <t>LY3000000505</t>
  </si>
  <si>
    <t>LY3000000506</t>
  </si>
  <si>
    <t>LAURENT</t>
  </si>
  <si>
    <t>LY3000000511</t>
  </si>
  <si>
    <t>BENJAMIN</t>
  </si>
  <si>
    <t>LY3000000513</t>
  </si>
  <si>
    <t>GARCIA-VERO</t>
  </si>
  <si>
    <t>69190</t>
  </si>
  <si>
    <t>SAINT-FONS</t>
  </si>
  <si>
    <t>LY3000000515</t>
  </si>
  <si>
    <t>DE BIASI</t>
  </si>
  <si>
    <t>LY3000000517</t>
  </si>
  <si>
    <t>CHILLET</t>
  </si>
  <si>
    <t>LY3000000518</t>
  </si>
  <si>
    <t>DEMARS</t>
  </si>
  <si>
    <t>AURÉLIEN</t>
  </si>
  <si>
    <t>LY3000000523</t>
  </si>
  <si>
    <t>LY3000000529</t>
  </si>
  <si>
    <t>LY3000000530</t>
  </si>
  <si>
    <t>LY3000000533</t>
  </si>
  <si>
    <t>LY3000000539</t>
  </si>
  <si>
    <t>LY3000000540</t>
  </si>
  <si>
    <t>ROST</t>
  </si>
  <si>
    <t>NATHANAËL</t>
  </si>
  <si>
    <t>LY3000000541</t>
  </si>
  <si>
    <t>GRAZIELLA</t>
  </si>
  <si>
    <t>LY3000000543</t>
  </si>
  <si>
    <t>LY3000000544</t>
  </si>
  <si>
    <t>DE JESUS</t>
  </si>
  <si>
    <t>CARLOS</t>
  </si>
  <si>
    <t>LY3000000545</t>
  </si>
  <si>
    <t>LAFI</t>
  </si>
  <si>
    <t>SANDRA</t>
  </si>
  <si>
    <t>ST FONS</t>
  </si>
  <si>
    <t>LY3000000546</t>
  </si>
  <si>
    <t>LY3000000549</t>
  </si>
  <si>
    <t>BOEUF</t>
  </si>
  <si>
    <t>SAMUEL</t>
  </si>
  <si>
    <t>LY3000000551</t>
  </si>
  <si>
    <t>PETREL</t>
  </si>
  <si>
    <t>LY3000000556</t>
  </si>
  <si>
    <t>LEMOINE</t>
  </si>
  <si>
    <t>BULLY</t>
  </si>
  <si>
    <t>LY3000000559</t>
  </si>
  <si>
    <t>SAINT-QUENTIN FALLA</t>
  </si>
  <si>
    <t>LY3000001122</t>
  </si>
  <si>
    <t>SUDARIKOVA</t>
  </si>
  <si>
    <t>TATIANA</t>
  </si>
  <si>
    <t>LY3000001340</t>
  </si>
  <si>
    <t>EGGER</t>
  </si>
  <si>
    <t>LY3000001378</t>
  </si>
  <si>
    <t>MARINA</t>
  </si>
  <si>
    <t>LY3000001398</t>
  </si>
  <si>
    <t>LY3000001418</t>
  </si>
  <si>
    <t>PIERRIC</t>
  </si>
  <si>
    <t>LY3000001419</t>
  </si>
  <si>
    <t>JOSEPH-MICHEL</t>
  </si>
  <si>
    <t>SAINT-GENIS LAVAL</t>
  </si>
  <si>
    <t>LY3000001518</t>
  </si>
  <si>
    <t>SYLVESTRE</t>
  </si>
  <si>
    <t>JULIE</t>
  </si>
  <si>
    <t>LY3000001519</t>
  </si>
  <si>
    <t>VIEUX</t>
  </si>
  <si>
    <t>LY3000001520</t>
  </si>
  <si>
    <t>LY3000001521</t>
  </si>
  <si>
    <t>BRETON</t>
  </si>
  <si>
    <t>LY3000001522</t>
  </si>
  <si>
    <t>GALEA</t>
  </si>
  <si>
    <t>CAILLOUX SUR FONTAI</t>
  </si>
  <si>
    <t>LY3000001523</t>
  </si>
  <si>
    <t>CECILE</t>
  </si>
  <si>
    <t>LY3000001540</t>
  </si>
  <si>
    <t>SABLÉ</t>
  </si>
  <si>
    <t>LY3000001558</t>
  </si>
  <si>
    <t>FREDERIC</t>
  </si>
  <si>
    <t>LY3000001699</t>
  </si>
  <si>
    <t>LANCHA</t>
  </si>
  <si>
    <t>LY3000001700</t>
  </si>
  <si>
    <t>POIGNET</t>
  </si>
  <si>
    <t>LY3000001759</t>
  </si>
  <si>
    <t>LAREDO</t>
  </si>
  <si>
    <t>FRANCE</t>
  </si>
  <si>
    <t>LY3000001860</t>
  </si>
  <si>
    <t>OBRESHKOVA</t>
  </si>
  <si>
    <t>DOROTEYA</t>
  </si>
  <si>
    <t>LY3000001939</t>
  </si>
  <si>
    <t>LY3000002019</t>
  </si>
  <si>
    <t>VASILEVA</t>
  </si>
  <si>
    <t>LIDIYA</t>
  </si>
  <si>
    <t>LY3000002059</t>
  </si>
  <si>
    <t>TABUTEAU</t>
  </si>
  <si>
    <t>ANGELIQUE</t>
  </si>
  <si>
    <t>45160</t>
  </si>
  <si>
    <t>OLIVET</t>
  </si>
  <si>
    <t>LY3000002060</t>
  </si>
  <si>
    <t>VESCOVO</t>
  </si>
  <si>
    <t>JEAN-ALBERT</t>
  </si>
  <si>
    <t>LY3000002061</t>
  </si>
  <si>
    <t>BEAUD</t>
  </si>
  <si>
    <t>SOLINE</t>
  </si>
  <si>
    <t>LY3000002122</t>
  </si>
  <si>
    <t>BELLANGEON</t>
  </si>
  <si>
    <t>ODILE</t>
  </si>
  <si>
    <t>LY3000002125</t>
  </si>
  <si>
    <t>CONTAT</t>
  </si>
  <si>
    <t>LY3000002129</t>
  </si>
  <si>
    <t>SAINT PRIEST</t>
  </si>
  <si>
    <t>LY3000002161</t>
  </si>
  <si>
    <t>VALERIE</t>
  </si>
  <si>
    <t>LY3000002162</t>
  </si>
  <si>
    <t>NGUYEN</t>
  </si>
  <si>
    <t>MORGANE</t>
  </si>
  <si>
    <t>LY3000002164</t>
  </si>
  <si>
    <t>CARLA</t>
  </si>
  <si>
    <t>LY3000002167</t>
  </si>
  <si>
    <t>LUCIE</t>
  </si>
  <si>
    <t>LY3000002169</t>
  </si>
  <si>
    <t>KEBIB</t>
  </si>
  <si>
    <t>KARIM</t>
  </si>
  <si>
    <t>LY3000002179</t>
  </si>
  <si>
    <t>ROLLAND</t>
  </si>
  <si>
    <t>JEAN MICHEL</t>
  </si>
  <si>
    <t>LY3000002223</t>
  </si>
  <si>
    <t>LY3000002226</t>
  </si>
  <si>
    <t>LABROSSE</t>
  </si>
  <si>
    <t>LY3000002227</t>
  </si>
  <si>
    <t>MOREAU</t>
  </si>
  <si>
    <t>LY3000002229</t>
  </si>
  <si>
    <t>RICHE-KUNEGEL</t>
  </si>
  <si>
    <t>ALBIGNY SUR SAONE</t>
  </si>
  <si>
    <t>LY3000002230</t>
  </si>
  <si>
    <t>DAMIEN</t>
  </si>
  <si>
    <t>LY3000002231</t>
  </si>
  <si>
    <t>VULCAIN</t>
  </si>
  <si>
    <t>LY3000002239</t>
  </si>
  <si>
    <t>FERREIRO CASILLAS</t>
  </si>
  <si>
    <t>FATIMA</t>
  </si>
  <si>
    <t>LY3000002261</t>
  </si>
  <si>
    <t>RIGAULT</t>
  </si>
  <si>
    <t>LY3000002262</t>
  </si>
  <si>
    <t>POIZAT</t>
  </si>
  <si>
    <t>LY3000002620</t>
  </si>
  <si>
    <t>CHRISTOPHE</t>
  </si>
  <si>
    <t>LY3000002721</t>
  </si>
  <si>
    <t>DESSAUVE</t>
  </si>
  <si>
    <t>LY3000002779</t>
  </si>
  <si>
    <t>MOLHO</t>
  </si>
  <si>
    <t>HARRY</t>
  </si>
  <si>
    <t>LY3000003041</t>
  </si>
  <si>
    <t>LABBE</t>
  </si>
  <si>
    <t>SAINT SYMPHORIEN D'</t>
  </si>
  <si>
    <t>LY3000003099</t>
  </si>
  <si>
    <t>TENTORINI</t>
  </si>
  <si>
    <t>LY3000003139</t>
  </si>
  <si>
    <t>LY3000003220</t>
  </si>
  <si>
    <t>FREDERIQUE</t>
  </si>
  <si>
    <t>LY3000003287</t>
  </si>
  <si>
    <t>CHAMPANEY</t>
  </si>
  <si>
    <t>66280</t>
  </si>
  <si>
    <t>SALEILLES</t>
  </si>
  <si>
    <t>LY3000003302</t>
  </si>
  <si>
    <t>KLAI</t>
  </si>
  <si>
    <t>AHLEM</t>
  </si>
  <si>
    <t>LY3000003381</t>
  </si>
  <si>
    <t>BOCHON</t>
  </si>
  <si>
    <t>ELSA</t>
  </si>
  <si>
    <t>42200</t>
  </si>
  <si>
    <t>SAINT ETIENNE</t>
  </si>
  <si>
    <t>LY3000003383</t>
  </si>
  <si>
    <t>LY3000003386</t>
  </si>
  <si>
    <t>NTWARI</t>
  </si>
  <si>
    <t>ELODIE</t>
  </si>
  <si>
    <t>LY3000003389</t>
  </si>
  <si>
    <t>TCHA</t>
  </si>
  <si>
    <t>MAY DEN</t>
  </si>
  <si>
    <t>LY3000003423</t>
  </si>
  <si>
    <t>ROCARD</t>
  </si>
  <si>
    <t>ESTELLE</t>
  </si>
  <si>
    <t>44700</t>
  </si>
  <si>
    <t>ORVAULT</t>
  </si>
  <si>
    <t>LY3000003439</t>
  </si>
  <si>
    <t>TESSIER</t>
  </si>
  <si>
    <t>LES ECHETS</t>
  </si>
  <si>
    <t>LY3000003499</t>
  </si>
  <si>
    <t>GOROKHOVSKI</t>
  </si>
  <si>
    <t>FRANCOISE</t>
  </si>
  <si>
    <t>LY3000003500</t>
  </si>
  <si>
    <t>LY3000003501</t>
  </si>
  <si>
    <t>LAZZARONI</t>
  </si>
  <si>
    <t>CELINE</t>
  </si>
  <si>
    <t>LY3000003546</t>
  </si>
  <si>
    <t>ROBERT</t>
  </si>
  <si>
    <t>RAPHAEL</t>
  </si>
  <si>
    <t>LY3000003547</t>
  </si>
  <si>
    <t>JEAN-LUC</t>
  </si>
  <si>
    <t>LY3000003617</t>
  </si>
  <si>
    <t>MUINO</t>
  </si>
  <si>
    <t>BARBARA</t>
  </si>
  <si>
    <t>LY3000003619</t>
  </si>
  <si>
    <t>BUCUR</t>
  </si>
  <si>
    <t>DOREL</t>
  </si>
  <si>
    <t>LY3000003656</t>
  </si>
  <si>
    <t>OUSMANE</t>
  </si>
  <si>
    <t>CHARVIEU CHAVAGNEU</t>
  </si>
  <si>
    <t>LY3000003749</t>
  </si>
  <si>
    <t>HARPET</t>
  </si>
  <si>
    <t>LY3000003799</t>
  </si>
  <si>
    <t>CHERAITIA</t>
  </si>
  <si>
    <t>NINA</t>
  </si>
  <si>
    <t>LY3000003909</t>
  </si>
  <si>
    <t>LE BARREAU</t>
  </si>
  <si>
    <t>LY3000004337</t>
  </si>
  <si>
    <t>DUVIVIER</t>
  </si>
  <si>
    <t>LY3000004799</t>
  </si>
  <si>
    <t>BENOIT</t>
  </si>
  <si>
    <t>LUDOVIC</t>
  </si>
  <si>
    <t>LY3000004827</t>
  </si>
  <si>
    <t>GUERIN</t>
  </si>
  <si>
    <t>MARGAUX</t>
  </si>
  <si>
    <t>LY3000004891</t>
  </si>
  <si>
    <t>LAMBERT</t>
  </si>
  <si>
    <t>STEFAN</t>
  </si>
  <si>
    <t>63130</t>
  </si>
  <si>
    <t>ROYAT</t>
  </si>
  <si>
    <t>LY3000005081</t>
  </si>
  <si>
    <t>LY3000005280</t>
  </si>
  <si>
    <t>SIAGIAN</t>
  </si>
  <si>
    <t>LY3000005299</t>
  </si>
  <si>
    <t>LY3000006399</t>
  </si>
  <si>
    <t>BABAK</t>
  </si>
  <si>
    <t>LY3000006419</t>
  </si>
  <si>
    <t>BACHELET</t>
  </si>
  <si>
    <t>LY3000006620</t>
  </si>
  <si>
    <t>MALWINA</t>
  </si>
  <si>
    <t>LY3000006622</t>
  </si>
  <si>
    <t>LY3000006794</t>
  </si>
  <si>
    <t>WALID</t>
  </si>
  <si>
    <t>LOYETTES</t>
  </si>
  <si>
    <t>LY3000006871</t>
  </si>
  <si>
    <t>LY3000006921</t>
  </si>
  <si>
    <t>LY3000007086</t>
  </si>
  <si>
    <t>DAUTREPPE</t>
  </si>
  <si>
    <t>XAVIER</t>
  </si>
  <si>
    <t>LY3000007321</t>
  </si>
  <si>
    <t>BONGIOVANNI</t>
  </si>
  <si>
    <t>LAETITIA</t>
  </si>
  <si>
    <t>LY3000007480</t>
  </si>
  <si>
    <t>MERROUCHE</t>
  </si>
  <si>
    <t>FATMA</t>
  </si>
  <si>
    <t>LY3000007505</t>
  </si>
  <si>
    <t>DELHON</t>
  </si>
  <si>
    <t>DENICÉ</t>
  </si>
  <si>
    <t>LY3000007900</t>
  </si>
  <si>
    <t>ST JEAN LA BUSSIERE</t>
  </si>
  <si>
    <t>LY3000008020</t>
  </si>
  <si>
    <t>BOUANANI</t>
  </si>
  <si>
    <t>LEÏLA</t>
  </si>
  <si>
    <t>LY3000008180</t>
  </si>
  <si>
    <t>ZULIAN</t>
  </si>
  <si>
    <t>LY3000008520</t>
  </si>
  <si>
    <t>LACHKAR</t>
  </si>
  <si>
    <t>LY3000008888</t>
  </si>
  <si>
    <t>BERNE</t>
  </si>
  <si>
    <t>CLAUDE</t>
  </si>
  <si>
    <t>LY3000008990</t>
  </si>
  <si>
    <t>ALICIA</t>
  </si>
  <si>
    <t>LY3000008999</t>
  </si>
  <si>
    <t>ADELE</t>
  </si>
  <si>
    <t>LY3000009194</t>
  </si>
  <si>
    <t>IVANOFF-TRINADTZATY</t>
  </si>
  <si>
    <t>GERMAIN</t>
  </si>
  <si>
    <t>LY3000009414</t>
  </si>
  <si>
    <t>ARAYA OPAZO</t>
  </si>
  <si>
    <t>PABLO</t>
  </si>
  <si>
    <t>LY3000009449</t>
  </si>
  <si>
    <t>ANCA-LAURA</t>
  </si>
  <si>
    <t>LY3000009469</t>
  </si>
  <si>
    <t>LY3000009569</t>
  </si>
  <si>
    <t>DANY</t>
  </si>
  <si>
    <t>LY3000009570</t>
  </si>
  <si>
    <t>MOREIRA</t>
  </si>
  <si>
    <t>JOAQUIM</t>
  </si>
  <si>
    <t>LY3000009571</t>
  </si>
  <si>
    <t>LY3000009630</t>
  </si>
  <si>
    <t>CHRISTIANNE</t>
  </si>
  <si>
    <t>LY3000009689</t>
  </si>
  <si>
    <t>SLAH</t>
  </si>
  <si>
    <t>LY3000009890</t>
  </si>
  <si>
    <t>AURÉLIE</t>
  </si>
  <si>
    <t>LY3000010071</t>
  </si>
  <si>
    <t>DE FILIPPO</t>
  </si>
  <si>
    <t>CHARLES</t>
  </si>
  <si>
    <t>LY3000010171</t>
  </si>
  <si>
    <t>MARIE</t>
  </si>
  <si>
    <t>LY3000010297</t>
  </si>
  <si>
    <t>HÉLÈNE</t>
  </si>
  <si>
    <t>LY3000010308</t>
  </si>
  <si>
    <t>BULTEAU</t>
  </si>
  <si>
    <t>JULIEN</t>
  </si>
  <si>
    <t>LY3000010471</t>
  </si>
  <si>
    <t>SOBAIHI</t>
  </si>
  <si>
    <t>NORDINE</t>
  </si>
  <si>
    <t>LY3000010553</t>
  </si>
  <si>
    <t>LY3000011149</t>
  </si>
  <si>
    <t>LY3000011429</t>
  </si>
  <si>
    <t>VEGA</t>
  </si>
  <si>
    <t>69410</t>
  </si>
  <si>
    <t>CHAMPAGNE AU MONT D</t>
  </si>
  <si>
    <t>LY3000011631</t>
  </si>
  <si>
    <t>BADIM</t>
  </si>
  <si>
    <t>ILIDIA</t>
  </si>
  <si>
    <t>LY3000011949</t>
  </si>
  <si>
    <t>LY3000011951</t>
  </si>
  <si>
    <t>MABROUKA</t>
  </si>
  <si>
    <t>LY3000011955</t>
  </si>
  <si>
    <t>LAURIE</t>
  </si>
  <si>
    <t>LY3000012068</t>
  </si>
  <si>
    <t>LY3000012533</t>
  </si>
  <si>
    <t>MOKDAD</t>
  </si>
  <si>
    <t>KAMEL</t>
  </si>
  <si>
    <t>LY3000012596</t>
  </si>
  <si>
    <t>FATEN-YASMINE</t>
  </si>
  <si>
    <t>LY3000012731</t>
  </si>
  <si>
    <t>HOUAIDA</t>
  </si>
  <si>
    <t>LY3000012849</t>
  </si>
  <si>
    <t>AGIER</t>
  </si>
  <si>
    <t>LY3000013149</t>
  </si>
  <si>
    <t>LY3000013251</t>
  </si>
  <si>
    <t>LY3000013688</t>
  </si>
  <si>
    <t>SABAH</t>
  </si>
  <si>
    <t>LY3000013691</t>
  </si>
  <si>
    <t>TIFENN</t>
  </si>
  <si>
    <t>LY3000013849</t>
  </si>
  <si>
    <t>MAZZONE</t>
  </si>
  <si>
    <t>ADRIEN</t>
  </si>
  <si>
    <t>LY3000013851</t>
  </si>
  <si>
    <t>RUY-MONTCEAU</t>
  </si>
  <si>
    <t>LY3000013869</t>
  </si>
  <si>
    <t>NALISOA</t>
  </si>
  <si>
    <t>LY3000013870</t>
  </si>
  <si>
    <t>BLIN</t>
  </si>
  <si>
    <t>THOMAS</t>
  </si>
  <si>
    <t>LY3000013891</t>
  </si>
  <si>
    <t>VERLET</t>
  </si>
  <si>
    <t>83670</t>
  </si>
  <si>
    <t>BARJOLS</t>
  </si>
  <si>
    <t>LY3000013950</t>
  </si>
  <si>
    <t>SOUCHER</t>
  </si>
  <si>
    <t>LY3000014049</t>
  </si>
  <si>
    <t>LY3000014069</t>
  </si>
  <si>
    <t>LY3000014070</t>
  </si>
  <si>
    <t>LY3000014088</t>
  </si>
  <si>
    <t>NALLET</t>
  </si>
  <si>
    <t>LYON 1</t>
  </si>
  <si>
    <t>LY3000014189</t>
  </si>
  <si>
    <t>ELEONORA</t>
  </si>
  <si>
    <t>LY3000014755</t>
  </si>
  <si>
    <t>HUIN</t>
  </si>
  <si>
    <t>LESLIE</t>
  </si>
  <si>
    <t>LY3000014770</t>
  </si>
  <si>
    <t>LY3000014869</t>
  </si>
  <si>
    <t>ARMATA</t>
  </si>
  <si>
    <t>ADELINE</t>
  </si>
  <si>
    <t>LY3000015012</t>
  </si>
  <si>
    <t>ROMAIN</t>
  </si>
  <si>
    <t>LY3000015048</t>
  </si>
  <si>
    <t>SANDID</t>
  </si>
  <si>
    <t>NOUHAL</t>
  </si>
  <si>
    <t>LY3000015138</t>
  </si>
  <si>
    <t>LY3000015349</t>
  </si>
  <si>
    <t>BODOY</t>
  </si>
  <si>
    <t>LY3000015352</t>
  </si>
  <si>
    <t>MARC</t>
  </si>
  <si>
    <t>LY3000015950</t>
  </si>
  <si>
    <t>MAGALIE</t>
  </si>
  <si>
    <t>CHARVIEU CHAVAGNIEU</t>
  </si>
  <si>
    <t>LY3000016001</t>
  </si>
  <si>
    <t>NABILA</t>
  </si>
  <si>
    <t>LY3000016488</t>
  </si>
  <si>
    <t>DUTILLEUL</t>
  </si>
  <si>
    <t>LY3000016511</t>
  </si>
  <si>
    <t>ANISSA</t>
  </si>
  <si>
    <t>LY3000016588</t>
  </si>
  <si>
    <t>LY3000016868</t>
  </si>
  <si>
    <t>ANTHONY</t>
  </si>
  <si>
    <t>LY3000016931</t>
  </si>
  <si>
    <t>ADRIAN</t>
  </si>
  <si>
    <t>TESSA</t>
  </si>
  <si>
    <t>ORLIENAS</t>
  </si>
  <si>
    <t>LY3000017668</t>
  </si>
  <si>
    <t>LY3000017831</t>
  </si>
  <si>
    <t>LY3000018211</t>
  </si>
  <si>
    <t>BARTHET</t>
  </si>
  <si>
    <t>EMILIE</t>
  </si>
  <si>
    <t>LY3000018270</t>
  </si>
  <si>
    <t>PANTEL</t>
  </si>
  <si>
    <t>LY3000018349</t>
  </si>
  <si>
    <t>LY3000018488</t>
  </si>
  <si>
    <t>MORAN</t>
  </si>
  <si>
    <t>PUSIGNAN</t>
  </si>
  <si>
    <t>LY3000018528</t>
  </si>
  <si>
    <t>LY3000018615</t>
  </si>
  <si>
    <t>NEUVILLE</t>
  </si>
  <si>
    <t>07300</t>
  </si>
  <si>
    <t>TOURNON SUR RHÔNE</t>
  </si>
  <si>
    <t>LY3000018629</t>
  </si>
  <si>
    <t>TANZILLI</t>
  </si>
  <si>
    <t>ST MARTIN LA PLAINE</t>
  </si>
  <si>
    <t>LY3000018631</t>
  </si>
  <si>
    <t>GOMES</t>
  </si>
  <si>
    <t>MICKAEL</t>
  </si>
  <si>
    <t>LY3000018748</t>
  </si>
  <si>
    <t>LY3000018770</t>
  </si>
  <si>
    <t>LY3000018788</t>
  </si>
  <si>
    <t>BOLLON</t>
  </si>
  <si>
    <t>DÉBORAH</t>
  </si>
  <si>
    <t>LY3000018789</t>
  </si>
  <si>
    <t>HOUDA</t>
  </si>
  <si>
    <t>LY3000018791</t>
  </si>
  <si>
    <t>LY3000018816</t>
  </si>
  <si>
    <t>PROST</t>
  </si>
  <si>
    <t>LY3000018969</t>
  </si>
  <si>
    <t>MEYNIER</t>
  </si>
  <si>
    <t>GLORIA-ROSE</t>
  </si>
  <si>
    <t>LY3000019094</t>
  </si>
  <si>
    <t>LAVAUD</t>
  </si>
  <si>
    <t>MELANIE</t>
  </si>
  <si>
    <t>LY3000019110</t>
  </si>
  <si>
    <t>GIROD</t>
  </si>
  <si>
    <t>JEAN LOUIS</t>
  </si>
  <si>
    <t>01340</t>
  </si>
  <si>
    <t>ATTIGNAT</t>
  </si>
  <si>
    <t>LY3000019208</t>
  </si>
  <si>
    <t>ALEXANDRE</t>
  </si>
  <si>
    <t>LY3000019209</t>
  </si>
  <si>
    <t>SAINT JEAN DE BOURN</t>
  </si>
  <si>
    <t>LY3000019297</t>
  </si>
  <si>
    <t>OUASSOU</t>
  </si>
  <si>
    <t>JAMILA</t>
  </si>
  <si>
    <t>LY3000019468</t>
  </si>
  <si>
    <t>ESPAZA</t>
  </si>
  <si>
    <t>ANTOINE</t>
  </si>
  <si>
    <t>LY3000019473</t>
  </si>
  <si>
    <t>VALENTIN</t>
  </si>
  <si>
    <t>LY3000019491</t>
  </si>
  <si>
    <t>MARIA-PAULA</t>
  </si>
  <si>
    <t>LY3000019573</t>
  </si>
  <si>
    <t>KATIA</t>
  </si>
  <si>
    <t>LY3000019688</t>
  </si>
  <si>
    <t>HUNOT</t>
  </si>
  <si>
    <t>LY3000019811</t>
  </si>
  <si>
    <t>LY3000019828</t>
  </si>
  <si>
    <t>COUTURIER</t>
  </si>
  <si>
    <t>NICOLAS</t>
  </si>
  <si>
    <t>LY3000019830</t>
  </si>
  <si>
    <t>69970</t>
  </si>
  <si>
    <t>CHAPONNAY</t>
  </si>
  <si>
    <t>LY3000019870</t>
  </si>
  <si>
    <t>PELLETIER</t>
  </si>
  <si>
    <t>QUENTIN</t>
  </si>
  <si>
    <t>ST ANDRE DE CORCY</t>
  </si>
  <si>
    <t>LY3000019891</t>
  </si>
  <si>
    <t>LAURA</t>
  </si>
  <si>
    <t>LY3000019989</t>
  </si>
  <si>
    <t>SOK</t>
  </si>
  <si>
    <t>PIERRE-BÉNITE</t>
  </si>
  <si>
    <t>LY3000020112</t>
  </si>
  <si>
    <t>LY3000020172</t>
  </si>
  <si>
    <t>JÉRÉMIE</t>
  </si>
  <si>
    <t>LY3000020198</t>
  </si>
  <si>
    <t>LY3000020249</t>
  </si>
  <si>
    <t>LY3000020313</t>
  </si>
  <si>
    <t>AMATE</t>
  </si>
  <si>
    <t>TIPHAINE</t>
  </si>
  <si>
    <t>LY3000020314</t>
  </si>
  <si>
    <t>NOURA</t>
  </si>
  <si>
    <t>69280</t>
  </si>
  <si>
    <t>SAINTE CONSORCE</t>
  </si>
  <si>
    <t>LY3000020320</t>
  </si>
  <si>
    <t>PEGGY</t>
  </si>
  <si>
    <t>COUZON AU MT D'OR</t>
  </si>
  <si>
    <t>LY3000020388</t>
  </si>
  <si>
    <t>ROJAS</t>
  </si>
  <si>
    <t>MARLENE</t>
  </si>
  <si>
    <t>69670</t>
  </si>
  <si>
    <t>VAUGNERAY</t>
  </si>
  <si>
    <t>LY3000020389</t>
  </si>
  <si>
    <t>LY3000020490</t>
  </si>
  <si>
    <t>JESSICA</t>
  </si>
  <si>
    <t>LY3000020504</t>
  </si>
  <si>
    <t>SANCHEZ</t>
  </si>
  <si>
    <t>EMILIEN</t>
  </si>
  <si>
    <t>LY3000020515</t>
  </si>
  <si>
    <t>MONTEL</t>
  </si>
  <si>
    <t>MAXIME</t>
  </si>
  <si>
    <t>01600</t>
  </si>
  <si>
    <t>MISERIEUX</t>
  </si>
  <si>
    <t>LY3000020516</t>
  </si>
  <si>
    <t>D'ANGELA</t>
  </si>
  <si>
    <t>LY3000020517</t>
  </si>
  <si>
    <t>GRAS POIX</t>
  </si>
  <si>
    <t>VILLEFRANCHE</t>
  </si>
  <si>
    <t>LY3000020521</t>
  </si>
  <si>
    <t>NOELLE</t>
  </si>
  <si>
    <t>LY3000020522</t>
  </si>
  <si>
    <t>LY3000020527</t>
  </si>
  <si>
    <t>MICOUD</t>
  </si>
  <si>
    <t>LY3000020548</t>
  </si>
  <si>
    <t>LY3000020555</t>
  </si>
  <si>
    <t>LY3000020556</t>
  </si>
  <si>
    <t>LY3000020558</t>
  </si>
  <si>
    <t>SEBASTIEN</t>
  </si>
  <si>
    <t>SAINT ANDRE DE CORS</t>
  </si>
  <si>
    <t>LY3000020562</t>
  </si>
  <si>
    <t>ONDA-MARINA</t>
  </si>
  <si>
    <t>LY3000020564</t>
  </si>
  <si>
    <t>FRANCHINI</t>
  </si>
  <si>
    <t>LY3000020571</t>
  </si>
  <si>
    <t>DORLEANS</t>
  </si>
  <si>
    <t>01120</t>
  </si>
  <si>
    <t>MONTLUEL</t>
  </si>
  <si>
    <t>LY3000020572</t>
  </si>
  <si>
    <t>BELEZY</t>
  </si>
  <si>
    <t>LILIAN</t>
  </si>
  <si>
    <t>69630</t>
  </si>
  <si>
    <t>CHAPONOST</t>
  </si>
  <si>
    <t>LY3000020573</t>
  </si>
  <si>
    <t>CAILLOT</t>
  </si>
  <si>
    <t>JEAN-FRANCOIS</t>
  </si>
  <si>
    <t>LY3000020586</t>
  </si>
  <si>
    <t>LY3000020601</t>
  </si>
  <si>
    <t>DELAVAL</t>
  </si>
  <si>
    <t>LY3000020604</t>
  </si>
  <si>
    <t>BONOD</t>
  </si>
  <si>
    <t>69620</t>
  </si>
  <si>
    <t>LEGNY</t>
  </si>
  <si>
    <t>LY3000020608</t>
  </si>
  <si>
    <t>CONVERSY</t>
  </si>
  <si>
    <t>JORIS</t>
  </si>
  <si>
    <t>69650</t>
  </si>
  <si>
    <t>QUINCIEUX</t>
  </si>
  <si>
    <t>LY3000020634</t>
  </si>
  <si>
    <t>MERIDJA</t>
  </si>
  <si>
    <t>YOLENE</t>
  </si>
  <si>
    <t>42740</t>
  </si>
  <si>
    <t>DOIZIEUX</t>
  </si>
  <si>
    <t>LY3000020653</t>
  </si>
  <si>
    <t>ROBBE</t>
  </si>
  <si>
    <t>LY3000020656</t>
  </si>
  <si>
    <t>BRUYERE</t>
  </si>
  <si>
    <t>42320</t>
  </si>
  <si>
    <t>FARNAY</t>
  </si>
  <si>
    <t>LY3000020657</t>
  </si>
  <si>
    <t>HAMDAD</t>
  </si>
  <si>
    <t>SAURIA</t>
  </si>
  <si>
    <t>LY3000020658</t>
  </si>
  <si>
    <t>SOULIERE</t>
  </si>
  <si>
    <t>FRANCINE</t>
  </si>
  <si>
    <t>LY3000020689</t>
  </si>
  <si>
    <t>MARIELLE</t>
  </si>
  <si>
    <t>LY3000020695</t>
  </si>
  <si>
    <t>LY3000020717</t>
  </si>
  <si>
    <t>LADREYT</t>
  </si>
  <si>
    <t>LY3000020882</t>
  </si>
  <si>
    <t>69440</t>
  </si>
  <si>
    <t>MORNANT</t>
  </si>
  <si>
    <t>LY3000020883</t>
  </si>
  <si>
    <t>BOYER</t>
  </si>
  <si>
    <t>PAULINE</t>
  </si>
  <si>
    <t>AMPUIS</t>
  </si>
  <si>
    <t>LY3000020938</t>
  </si>
  <si>
    <t>FARIDA</t>
  </si>
  <si>
    <t>LY3000021126</t>
  </si>
  <si>
    <t>CHABRILLAT</t>
  </si>
  <si>
    <t>LY3000021127</t>
  </si>
  <si>
    <t>LOIRE SUR RHONE</t>
  </si>
  <si>
    <t>LY3000021139</t>
  </si>
  <si>
    <t>MEKKI</t>
  </si>
  <si>
    <t>HEDI</t>
  </si>
  <si>
    <t>LY3000021174</t>
  </si>
  <si>
    <t>PARNIERE</t>
  </si>
  <si>
    <t>TRAMOYES</t>
  </si>
  <si>
    <t>LY3000021384</t>
  </si>
  <si>
    <t>PERRARD</t>
  </si>
  <si>
    <t>MARCELLINE</t>
  </si>
  <si>
    <t>LY3000021486</t>
  </si>
  <si>
    <t>SAINT-CYR AU MONT D</t>
  </si>
  <si>
    <t>LY3000021537</t>
  </si>
  <si>
    <t>JANER</t>
  </si>
  <si>
    <t>LY3000021545</t>
  </si>
  <si>
    <t>LY3000021567</t>
  </si>
  <si>
    <t>LY3000021744</t>
  </si>
  <si>
    <t>LY3000021781</t>
  </si>
  <si>
    <t>DE CAMPOS-VALETTE</t>
  </si>
  <si>
    <t>MAEVA</t>
  </si>
  <si>
    <t>LY3000021816</t>
  </si>
  <si>
    <t>LYON 3</t>
  </si>
  <si>
    <t>LY3000021817</t>
  </si>
  <si>
    <t>KRID</t>
  </si>
  <si>
    <t>LY3000021819</t>
  </si>
  <si>
    <t>AGERON</t>
  </si>
  <si>
    <t>CORALIE</t>
  </si>
  <si>
    <t>LY3000021843</t>
  </si>
  <si>
    <t>LY3000021849</t>
  </si>
  <si>
    <t>LY3000021857</t>
  </si>
  <si>
    <t>HONG KHANH</t>
  </si>
  <si>
    <t>LY3000021884</t>
  </si>
  <si>
    <t>DEBOUTTE</t>
  </si>
  <si>
    <t>LY3000021889</t>
  </si>
  <si>
    <t>PATEL</t>
  </si>
  <si>
    <t>GIRISH</t>
  </si>
  <si>
    <t>LY3000021891</t>
  </si>
  <si>
    <t>THALAMAS</t>
  </si>
  <si>
    <t>LY3000021892</t>
  </si>
  <si>
    <t>MADELINE</t>
  </si>
  <si>
    <t>LY3000021908</t>
  </si>
  <si>
    <t>DOROTHÉE</t>
  </si>
  <si>
    <t>LY3000021911</t>
  </si>
  <si>
    <t>MONGHEAL</t>
  </si>
  <si>
    <t>ZORHA</t>
  </si>
  <si>
    <t>LY3000021912</t>
  </si>
  <si>
    <t>LOUGLAITHI</t>
  </si>
  <si>
    <t>SEYSSUEL</t>
  </si>
  <si>
    <t>LY3000021934</t>
  </si>
  <si>
    <t>GOONOO</t>
  </si>
  <si>
    <t>URSULA</t>
  </si>
  <si>
    <t>LY3000021953</t>
  </si>
  <si>
    <t>MATEO</t>
  </si>
  <si>
    <t>MICHAËL</t>
  </si>
  <si>
    <t>LY3000022125</t>
  </si>
  <si>
    <t>EMILY</t>
  </si>
  <si>
    <t>LY3000022154</t>
  </si>
  <si>
    <t>LISE</t>
  </si>
  <si>
    <t>LY3000022175</t>
  </si>
  <si>
    <t>RINDONE</t>
  </si>
  <si>
    <t>JULIETTE</t>
  </si>
  <si>
    <t>LY3000022190</t>
  </si>
  <si>
    <t>LY3000022205</t>
  </si>
  <si>
    <t>LY3000022210</t>
  </si>
  <si>
    <t>ROCHE</t>
  </si>
  <si>
    <t>26600</t>
  </si>
  <si>
    <t>VEAUNES</t>
  </si>
  <si>
    <t>LY3000022219</t>
  </si>
  <si>
    <t>AULAS</t>
  </si>
  <si>
    <t>LY3000022304</t>
  </si>
  <si>
    <t>GUEMIZA</t>
  </si>
  <si>
    <t>NAIL</t>
  </si>
  <si>
    <t>LY3000022319</t>
  </si>
  <si>
    <t>COLLIGNON</t>
  </si>
  <si>
    <t>BERTILLE</t>
  </si>
  <si>
    <t>LY3000022328</t>
  </si>
  <si>
    <t>DAVANTURE</t>
  </si>
  <si>
    <t>HENRI</t>
  </si>
  <si>
    <t>LY3000022344</t>
  </si>
  <si>
    <t>DETHYRE</t>
  </si>
  <si>
    <t>LY3000022389</t>
  </si>
  <si>
    <t>MATHILDE</t>
  </si>
  <si>
    <t>LY3000022406</t>
  </si>
  <si>
    <t>TRANCHAND</t>
  </si>
  <si>
    <t>LY3000022467</t>
  </si>
  <si>
    <t>MANGUE</t>
  </si>
  <si>
    <t>LY3000022488</t>
  </si>
  <si>
    <t>ARCIERO</t>
  </si>
  <si>
    <t>LY3000022530</t>
  </si>
  <si>
    <t>BENGHAZI</t>
  </si>
  <si>
    <t>LY3000022532</t>
  </si>
  <si>
    <t>LY3000022545</t>
  </si>
  <si>
    <t>LY3000022575</t>
  </si>
  <si>
    <t>LY3000022676</t>
  </si>
  <si>
    <t>LY3000022698</t>
  </si>
  <si>
    <t>PERRAUT</t>
  </si>
  <si>
    <t>LY3000022714</t>
  </si>
  <si>
    <t>FERRET</t>
  </si>
  <si>
    <t>LY3000022719</t>
  </si>
  <si>
    <t>LOUIS-SIDNEY</t>
  </si>
  <si>
    <t>RODOLPHE</t>
  </si>
  <si>
    <t>LY3000022757</t>
  </si>
  <si>
    <t>LY3000022764</t>
  </si>
  <si>
    <t>MUNERA</t>
  </si>
  <si>
    <t>LY3000022770</t>
  </si>
  <si>
    <t>BROSSIER</t>
  </si>
  <si>
    <t>LY3000022883</t>
  </si>
  <si>
    <t>KARO</t>
  </si>
  <si>
    <t>MUHAMED</t>
  </si>
  <si>
    <t>SOLAIZE</t>
  </si>
  <si>
    <t>LY3000023075</t>
  </si>
  <si>
    <t>ETIEVANT</t>
  </si>
  <si>
    <t>39140</t>
  </si>
  <si>
    <t>ARLAY</t>
  </si>
  <si>
    <t>LY3000023089</t>
  </si>
  <si>
    <t>LY3000023189</t>
  </si>
  <si>
    <t>LY3000023227</t>
  </si>
  <si>
    <t>JOURDAN</t>
  </si>
  <si>
    <t>PIERRE-YVES</t>
  </si>
  <si>
    <t>LY3000023273</t>
  </si>
  <si>
    <t>CLARET</t>
  </si>
  <si>
    <t>LY3000023319</t>
  </si>
  <si>
    <t>CHAUVIN</t>
  </si>
  <si>
    <t>SAINT MARCEL</t>
  </si>
  <si>
    <t>LY3000023329</t>
  </si>
  <si>
    <t>TORREALBA ORTIGOZA</t>
  </si>
  <si>
    <t>ANGELICA MARIA</t>
  </si>
  <si>
    <t>LY3000023331</t>
  </si>
  <si>
    <t>LY3000023347</t>
  </si>
  <si>
    <t>FONTAINE</t>
  </si>
  <si>
    <t>LY3000023353</t>
  </si>
  <si>
    <t>MUNSCH</t>
  </si>
  <si>
    <t>LY3000023358</t>
  </si>
  <si>
    <t>CHOMBAR</t>
  </si>
  <si>
    <t>NOÉMIE</t>
  </si>
  <si>
    <t>LY3000023379</t>
  </si>
  <si>
    <t>LY3000023380</t>
  </si>
  <si>
    <t>DIETERLEN</t>
  </si>
  <si>
    <t>FANNIE</t>
  </si>
  <si>
    <t>LY3000023381</t>
  </si>
  <si>
    <t>LY3000023382</t>
  </si>
  <si>
    <t>MAINSEL</t>
  </si>
  <si>
    <t>CHLOÉ</t>
  </si>
  <si>
    <t>LY3000023397</t>
  </si>
  <si>
    <t>GIRAUD</t>
  </si>
  <si>
    <t>JOHANA</t>
  </si>
  <si>
    <t>LY3000023484</t>
  </si>
  <si>
    <t>BOUTARD</t>
  </si>
  <si>
    <t>LY3000023582</t>
  </si>
  <si>
    <t>LYON 8</t>
  </si>
  <si>
    <t>LY3000023672</t>
  </si>
  <si>
    <t>STOLTZ</t>
  </si>
  <si>
    <t>JEAN-CHARLES</t>
  </si>
  <si>
    <t>LY3000023681</t>
  </si>
  <si>
    <t>GAETAN</t>
  </si>
  <si>
    <t>LY3000023784</t>
  </si>
  <si>
    <t>LY3000023794</t>
  </si>
  <si>
    <t>DE GROULARD</t>
  </si>
  <si>
    <t>LY3000023795</t>
  </si>
  <si>
    <t>FINIGUERNI</t>
  </si>
  <si>
    <t>YOAN</t>
  </si>
  <si>
    <t>LY3000023829</t>
  </si>
  <si>
    <t>BLAIRON</t>
  </si>
  <si>
    <t>CHAZAY D'AZERGUES</t>
  </si>
  <si>
    <t>LY3000023878</t>
  </si>
  <si>
    <t>BARBIER</t>
  </si>
  <si>
    <t>JORDAN</t>
  </si>
  <si>
    <t>LY3000023938</t>
  </si>
  <si>
    <t>GUYOT</t>
  </si>
  <si>
    <t>SAINT-GERMAIN-AU-MT</t>
  </si>
  <si>
    <t>LY3000023941</t>
  </si>
  <si>
    <t>CREMER</t>
  </si>
  <si>
    <t>CLÉMENCE</t>
  </si>
  <si>
    <t>LY3000023960</t>
  </si>
  <si>
    <t>AUDREY</t>
  </si>
  <si>
    <t>LY3000023999</t>
  </si>
  <si>
    <t>LY3000024075</t>
  </si>
  <si>
    <t>KANITHA</t>
  </si>
  <si>
    <t>LY3000024082</t>
  </si>
  <si>
    <t>LEVEQUE</t>
  </si>
  <si>
    <t>LY3000024207</t>
  </si>
  <si>
    <t>LY3000024247</t>
  </si>
  <si>
    <t>ANDRE</t>
  </si>
  <si>
    <t>LY3000024367</t>
  </si>
  <si>
    <t>MEYNET-BRUNEL</t>
  </si>
  <si>
    <t>COLETTE</t>
  </si>
  <si>
    <t>07290</t>
  </si>
  <si>
    <t>ARDOIX</t>
  </si>
  <si>
    <t>LY3000024447</t>
  </si>
  <si>
    <t>ANGLADA</t>
  </si>
  <si>
    <t>LY3000024488</t>
  </si>
  <si>
    <t>LY3000024489</t>
  </si>
  <si>
    <t>GARRIDO BARBA</t>
  </si>
  <si>
    <t>ALMUDENA</t>
  </si>
  <si>
    <t>LY3000024750</t>
  </si>
  <si>
    <t>LY3000024767</t>
  </si>
  <si>
    <t>LY3000025047</t>
  </si>
  <si>
    <t>LY3000025193</t>
  </si>
  <si>
    <t>LY3000025276</t>
  </si>
  <si>
    <t>MESSIGA</t>
  </si>
  <si>
    <t>KOKOUGAN</t>
  </si>
  <si>
    <t>LY3000025428</t>
  </si>
  <si>
    <t>GAVOUYERE</t>
  </si>
  <si>
    <t>LY3000025470</t>
  </si>
  <si>
    <t>THENOZ FERNANDES</t>
  </si>
  <si>
    <t>SERGE</t>
  </si>
  <si>
    <t>LY3000025607</t>
  </si>
  <si>
    <t>SENECLAUZE</t>
  </si>
  <si>
    <t>LY3000025647</t>
  </si>
  <si>
    <t>AMER</t>
  </si>
  <si>
    <t>RAHMOUNA</t>
  </si>
  <si>
    <t>LY3000025708</t>
  </si>
  <si>
    <t>PONTIEUX</t>
  </si>
  <si>
    <t>LY3000025709</t>
  </si>
  <si>
    <t>COTTE</t>
  </si>
  <si>
    <t>69220</t>
  </si>
  <si>
    <t>Belleville en beauj</t>
  </si>
  <si>
    <t>LY3000025710</t>
  </si>
  <si>
    <t>MELODY</t>
  </si>
  <si>
    <t>LY3000025727</t>
  </si>
  <si>
    <t>LY3000025747</t>
  </si>
  <si>
    <t>DICKO</t>
  </si>
  <si>
    <t>SABANE</t>
  </si>
  <si>
    <t>LY3000025827</t>
  </si>
  <si>
    <t>DUPOIZAT</t>
  </si>
  <si>
    <t>ANGÉLIQUE</t>
  </si>
  <si>
    <t>LY3000025892</t>
  </si>
  <si>
    <t>LORINE</t>
  </si>
  <si>
    <t>LY3000025909</t>
  </si>
  <si>
    <t>LY3000025929</t>
  </si>
  <si>
    <t>LY3000026035</t>
  </si>
  <si>
    <t>LY3000026096</t>
  </si>
  <si>
    <t>PAPARELLA</t>
  </si>
  <si>
    <t>LY3000026132</t>
  </si>
  <si>
    <t>SARDELLITTI</t>
  </si>
  <si>
    <t>LY3000026173</t>
  </si>
  <si>
    <t>TOUATI</t>
  </si>
  <si>
    <t>SHEHERAZADE</t>
  </si>
  <si>
    <t>LY3000026287</t>
  </si>
  <si>
    <t>YANIBADA</t>
  </si>
  <si>
    <t>KO YANOUBATAN</t>
  </si>
  <si>
    <t>DECINES CHARPIEU</t>
  </si>
  <si>
    <t>LY3000026413</t>
  </si>
  <si>
    <t>ST CHAMOND</t>
  </si>
  <si>
    <t>LY3000026451</t>
  </si>
  <si>
    <t>LY3000026550</t>
  </si>
  <si>
    <t>SOFIA</t>
  </si>
  <si>
    <t>LY3000026851</t>
  </si>
  <si>
    <t>LY3000026968</t>
  </si>
  <si>
    <t>LAMOURI</t>
  </si>
  <si>
    <t>YANNIS</t>
  </si>
  <si>
    <t>LY3000027009</t>
  </si>
  <si>
    <t>DUPEYROUX</t>
  </si>
  <si>
    <t>CLEMENT</t>
  </si>
  <si>
    <t>PARCIEUX</t>
  </si>
  <si>
    <t>LY3000027027</t>
  </si>
  <si>
    <t>ARGENTIER</t>
  </si>
  <si>
    <t>LY3000027332</t>
  </si>
  <si>
    <t>CHAPIRON</t>
  </si>
  <si>
    <t>CÉDRIC</t>
  </si>
  <si>
    <t>LY3000027508</t>
  </si>
  <si>
    <t>BRIDOUX</t>
  </si>
  <si>
    <t>LY3000027509</t>
  </si>
  <si>
    <t>REROLLE</t>
  </si>
  <si>
    <t>LY3000027909</t>
  </si>
  <si>
    <t>75018</t>
  </si>
  <si>
    <t>LY3000027990</t>
  </si>
  <si>
    <t>DIOP</t>
  </si>
  <si>
    <t>MEGUEYE</t>
  </si>
  <si>
    <t>LY3000028348</t>
  </si>
  <si>
    <t>OURAGHE</t>
  </si>
  <si>
    <t>MEHDI</t>
  </si>
  <si>
    <t>LY3000028427</t>
  </si>
  <si>
    <t>ABEUDJE</t>
  </si>
  <si>
    <t>DJANOMO LAURANE</t>
  </si>
  <si>
    <t>LY3000028530</t>
  </si>
  <si>
    <t>LY3000028629</t>
  </si>
  <si>
    <t>YATOUJI</t>
  </si>
  <si>
    <t>SAMIA</t>
  </si>
  <si>
    <t>LY3000028647</t>
  </si>
  <si>
    <t>KAYSER</t>
  </si>
  <si>
    <t>LY3000028767</t>
  </si>
  <si>
    <t>PACARD</t>
  </si>
  <si>
    <t>MELVYN</t>
  </si>
  <si>
    <t>LY3000028787</t>
  </si>
  <si>
    <t>DJELLALIL</t>
  </si>
  <si>
    <t>HAMZA</t>
  </si>
  <si>
    <t>LY3000028807</t>
  </si>
  <si>
    <t>CASSIO</t>
  </si>
  <si>
    <t>LY3000028828</t>
  </si>
  <si>
    <t>KILDINE</t>
  </si>
  <si>
    <t>LY3000029007</t>
  </si>
  <si>
    <t>FREGIER</t>
  </si>
  <si>
    <t>CAMILLE</t>
  </si>
  <si>
    <t>LY3000029228</t>
  </si>
  <si>
    <t>PIRIOU</t>
  </si>
  <si>
    <t>LY3000029628</t>
  </si>
  <si>
    <t>DILMI</t>
  </si>
  <si>
    <t>YACINE</t>
  </si>
  <si>
    <t>LY3000029687</t>
  </si>
  <si>
    <t>GOUTTEFARDE</t>
  </si>
  <si>
    <t>LY3000029754</t>
  </si>
  <si>
    <t>SIZARET</t>
  </si>
  <si>
    <t>LY3000029947</t>
  </si>
  <si>
    <t>GEORGES</t>
  </si>
  <si>
    <t>LY3000029969</t>
  </si>
  <si>
    <t>MANUEL</t>
  </si>
  <si>
    <t>LY3000030032</t>
  </si>
  <si>
    <t>ROSSI</t>
  </si>
  <si>
    <t>LY3000030036</t>
  </si>
  <si>
    <t>BUCCO</t>
  </si>
  <si>
    <t>42470</t>
  </si>
  <si>
    <t>LAY</t>
  </si>
  <si>
    <t>LY3000030067</t>
  </si>
  <si>
    <t>ALICE</t>
  </si>
  <si>
    <t>LY3000030113</t>
  </si>
  <si>
    <t>KECHI</t>
  </si>
  <si>
    <t>42530</t>
  </si>
  <si>
    <t>SAINT GENEST LERPT</t>
  </si>
  <si>
    <t>LY3000030170</t>
  </si>
  <si>
    <t>DIDIER</t>
  </si>
  <si>
    <t>LY3000030471</t>
  </si>
  <si>
    <t>ALEISTER</t>
  </si>
  <si>
    <t>LY3000030487</t>
  </si>
  <si>
    <t>LY3000030589</t>
  </si>
  <si>
    <t>GALLET</t>
  </si>
  <si>
    <t>LY3000030614</t>
  </si>
  <si>
    <t>LUCZAK</t>
  </si>
  <si>
    <t>LY3000030615</t>
  </si>
  <si>
    <t>LY3000030689</t>
  </si>
  <si>
    <t>LY3000030909</t>
  </si>
  <si>
    <t>MARTORANA</t>
  </si>
  <si>
    <t>CHATEAUNEUF</t>
  </si>
  <si>
    <t>LY3000031027</t>
  </si>
  <si>
    <t>LY3000031093</t>
  </si>
  <si>
    <t>ANAÏS</t>
  </si>
  <si>
    <t>LY3000031109</t>
  </si>
  <si>
    <t>SORAM</t>
  </si>
  <si>
    <t>JESSY</t>
  </si>
  <si>
    <t>LY3000031367</t>
  </si>
  <si>
    <t>BECQUART</t>
  </si>
  <si>
    <t>MOANA</t>
  </si>
  <si>
    <t>LY3000031368</t>
  </si>
  <si>
    <t>SARR</t>
  </si>
  <si>
    <t>DJIBRIL NIANG</t>
  </si>
  <si>
    <t>LY3000031449</t>
  </si>
  <si>
    <t>LUANGVANNASY</t>
  </si>
  <si>
    <t>ST LAURENT DE MURE</t>
  </si>
  <si>
    <t>LY3000031767</t>
  </si>
  <si>
    <t>HARDY</t>
  </si>
  <si>
    <t>CLARA</t>
  </si>
  <si>
    <t>LY3000031850</t>
  </si>
  <si>
    <t>CHAZALLET</t>
  </si>
  <si>
    <t>69660</t>
  </si>
  <si>
    <t>COLLONGES AU MONT D</t>
  </si>
  <si>
    <t>LY3000031887</t>
  </si>
  <si>
    <t>PROBIN</t>
  </si>
  <si>
    <t>CORENTIN</t>
  </si>
  <si>
    <t>LY3000032327</t>
  </si>
  <si>
    <t>MAUDE</t>
  </si>
  <si>
    <t>LY3000032467</t>
  </si>
  <si>
    <t>ROUSSEL</t>
  </si>
  <si>
    <t>LY3000032567</t>
  </si>
  <si>
    <t>SÉBASTIEN</t>
  </si>
  <si>
    <t>LY3000043234</t>
  </si>
  <si>
    <t>PRAVAZ</t>
  </si>
  <si>
    <t>ARIANE</t>
  </si>
  <si>
    <t>LY3000043665</t>
  </si>
  <si>
    <t>COUDURIER-CURVEUR</t>
  </si>
  <si>
    <t>AMÉLIE</t>
  </si>
  <si>
    <t>LY3000043753</t>
  </si>
  <si>
    <t>LY3000043755</t>
  </si>
  <si>
    <t>SAHRA</t>
  </si>
  <si>
    <t>LY3000043812</t>
  </si>
  <si>
    <t>GROLLEAU</t>
  </si>
  <si>
    <t>FLORIAN</t>
  </si>
  <si>
    <t>LY3000043883</t>
  </si>
  <si>
    <t>GATHIER</t>
  </si>
  <si>
    <t>69870</t>
  </si>
  <si>
    <t>SAINT JUST D'AVRAY</t>
  </si>
  <si>
    <t>LY3000043944</t>
  </si>
  <si>
    <t>ALI CHAKIB</t>
  </si>
  <si>
    <t>LY3000044404</t>
  </si>
  <si>
    <t>JOUINEAU</t>
  </si>
  <si>
    <t>LY3000044415</t>
  </si>
  <si>
    <t>PRUVOT</t>
  </si>
  <si>
    <t>LY3000044416</t>
  </si>
  <si>
    <t>BETSCHER</t>
  </si>
  <si>
    <t>LY3000044417</t>
  </si>
  <si>
    <t>IBRAHIM ALIFOU</t>
  </si>
  <si>
    <t>RAFIQUA</t>
  </si>
  <si>
    <t>LY3000044418</t>
  </si>
  <si>
    <t>PICARD</t>
  </si>
  <si>
    <t>ROMANE</t>
  </si>
  <si>
    <t>LY3000044426</t>
  </si>
  <si>
    <t>BLANCHET</t>
  </si>
  <si>
    <t>Givors</t>
  </si>
  <si>
    <t>LY3000044449</t>
  </si>
  <si>
    <t>LY3000044462</t>
  </si>
  <si>
    <t>COMBARET</t>
  </si>
  <si>
    <t>Rive de Gier</t>
  </si>
  <si>
    <t>LY3000044546</t>
  </si>
  <si>
    <t>MARIE-CECILE</t>
  </si>
  <si>
    <t>LY3000044603</t>
  </si>
  <si>
    <t>MEALLIER</t>
  </si>
  <si>
    <t>LY3000044631</t>
  </si>
  <si>
    <t>TAKI</t>
  </si>
  <si>
    <t>OCTAVE</t>
  </si>
  <si>
    <t>LY3000044681</t>
  </si>
  <si>
    <t>LY3000044684</t>
  </si>
  <si>
    <t>LY3000044685</t>
  </si>
  <si>
    <t>RIPAMONTI</t>
  </si>
  <si>
    <t>ERI</t>
  </si>
  <si>
    <t>LY3000044700</t>
  </si>
  <si>
    <t>COLONNETTE</t>
  </si>
  <si>
    <t>LY3000044965</t>
  </si>
  <si>
    <t>NAVARRO</t>
  </si>
  <si>
    <t>LY3000044970</t>
  </si>
  <si>
    <t>LY3000044972</t>
  </si>
  <si>
    <t>XUEYANG</t>
  </si>
  <si>
    <t>LY3000044976</t>
  </si>
  <si>
    <t>LY3000044977</t>
  </si>
  <si>
    <t>LY3000044978</t>
  </si>
  <si>
    <t>GILDAS</t>
  </si>
  <si>
    <t>LY3000044979</t>
  </si>
  <si>
    <t>CHARLOTTE</t>
  </si>
  <si>
    <t>LY3000044980</t>
  </si>
  <si>
    <t>ZERARI</t>
  </si>
  <si>
    <t>LY3000044982</t>
  </si>
  <si>
    <t>CIOBANOIU</t>
  </si>
  <si>
    <t>OANA</t>
  </si>
  <si>
    <t>LY3000044984</t>
  </si>
  <si>
    <t>PIERRE BENITE</t>
  </si>
  <si>
    <t>LY3000044998</t>
  </si>
  <si>
    <t>JYHANE</t>
  </si>
  <si>
    <t>LY3000044999</t>
  </si>
  <si>
    <t>MUET</t>
  </si>
  <si>
    <t>CINDY</t>
  </si>
  <si>
    <t>Chélieu</t>
  </si>
  <si>
    <t>LY3000045001</t>
  </si>
  <si>
    <t>NEGEM</t>
  </si>
  <si>
    <t>LY3000045002</t>
  </si>
  <si>
    <t>IMBERT</t>
  </si>
  <si>
    <t>LY3000045003</t>
  </si>
  <si>
    <t>LY3000045004</t>
  </si>
  <si>
    <t>ICHIM</t>
  </si>
  <si>
    <t>GEORGIANA-SABINA</t>
  </si>
  <si>
    <t>LY3000045011</t>
  </si>
  <si>
    <t>CLERIN</t>
  </si>
  <si>
    <t>LY3000045013</t>
  </si>
  <si>
    <t>LECLERE</t>
  </si>
  <si>
    <t>LY3000045015</t>
  </si>
  <si>
    <t>BURLET</t>
  </si>
  <si>
    <t>RAPHAËL</t>
  </si>
  <si>
    <t>LY3000045017</t>
  </si>
  <si>
    <t>HARBUTA</t>
  </si>
  <si>
    <t>LAURINE</t>
  </si>
  <si>
    <t>LY3000045019</t>
  </si>
  <si>
    <t>FAYE</t>
  </si>
  <si>
    <t>CHEIKH OUSMANE</t>
  </si>
  <si>
    <t>LY3000045022</t>
  </si>
  <si>
    <t>LY3000045025</t>
  </si>
  <si>
    <t>LY3000045026</t>
  </si>
  <si>
    <t>VERNAY-MERCIER</t>
  </si>
  <si>
    <t>LY3000045027</t>
  </si>
  <si>
    <t>MEBKHOUT</t>
  </si>
  <si>
    <t>LY3000045028</t>
  </si>
  <si>
    <t>BERTHOLON</t>
  </si>
  <si>
    <t>VIOLAINE</t>
  </si>
  <si>
    <t>LY3000045029</t>
  </si>
  <si>
    <t>LY3000045030</t>
  </si>
  <si>
    <t>MARINE</t>
  </si>
  <si>
    <t>LY3000045035</t>
  </si>
  <si>
    <t>LY3000045036</t>
  </si>
  <si>
    <t>LILIA</t>
  </si>
  <si>
    <t>LY3000045037</t>
  </si>
  <si>
    <t>SCHLESINGER</t>
  </si>
  <si>
    <t>ORIANE</t>
  </si>
  <si>
    <t>LY3000045038</t>
  </si>
  <si>
    <t>MARIE-ISABELLE</t>
  </si>
  <si>
    <t>LY3000045039</t>
  </si>
  <si>
    <t>CARLINO</t>
  </si>
  <si>
    <t>LY3000045042</t>
  </si>
  <si>
    <t>GAJECKI</t>
  </si>
  <si>
    <t>STEPHANIE</t>
  </si>
  <si>
    <t>LY3000045053</t>
  </si>
  <si>
    <t>MAURIN</t>
  </si>
  <si>
    <t>LY3000045054</t>
  </si>
  <si>
    <t>BENMESSAOUD</t>
  </si>
  <si>
    <t>SALIMA</t>
  </si>
  <si>
    <t>LY3000045055</t>
  </si>
  <si>
    <t>HUE SHEN</t>
  </si>
  <si>
    <t>LY3000045059</t>
  </si>
  <si>
    <t>KENZA</t>
  </si>
  <si>
    <t>LY3000045061</t>
  </si>
  <si>
    <t>MANCINA</t>
  </si>
  <si>
    <t>LY3000045076</t>
  </si>
  <si>
    <t>LEBOUTEILLER</t>
  </si>
  <si>
    <t>LY3000045088</t>
  </si>
  <si>
    <t>LY3000045091</t>
  </si>
  <si>
    <t>LY3000045096</t>
  </si>
  <si>
    <t>SICARD</t>
  </si>
  <si>
    <t>LY3000045114</t>
  </si>
  <si>
    <t>AOUCHICHE</t>
  </si>
  <si>
    <t>LY3000045116</t>
  </si>
  <si>
    <t>MEYNIER-POZZI</t>
  </si>
  <si>
    <t>LY3000045117</t>
  </si>
  <si>
    <t>DE SANTA</t>
  </si>
  <si>
    <t>SAMANTHA</t>
  </si>
  <si>
    <t>LY3000045145</t>
  </si>
  <si>
    <t>LY3000045148</t>
  </si>
  <si>
    <t>HANOTIN</t>
  </si>
  <si>
    <t>AXEL</t>
  </si>
  <si>
    <t>LY3000045170</t>
  </si>
  <si>
    <t>L ARBRESLE</t>
  </si>
  <si>
    <t>LY3000045195</t>
  </si>
  <si>
    <t>HOLTERBACH-HALLER</t>
  </si>
  <si>
    <t>LY3000045237</t>
  </si>
  <si>
    <t>DIJOUD</t>
  </si>
  <si>
    <t>EMMA</t>
  </si>
  <si>
    <t>LY3000045261</t>
  </si>
  <si>
    <t>ALEXANE</t>
  </si>
  <si>
    <t>01710</t>
  </si>
  <si>
    <t>THOIRY</t>
  </si>
  <si>
    <t>LY3000045294</t>
  </si>
  <si>
    <t>LOMBARD-DONNET</t>
  </si>
  <si>
    <t>LY3000045314</t>
  </si>
  <si>
    <t>LY3000045329</t>
  </si>
  <si>
    <t>LY3000045336</t>
  </si>
  <si>
    <t>LÉA</t>
  </si>
  <si>
    <t>LY3000045351</t>
  </si>
  <si>
    <t>CANIZARES</t>
  </si>
  <si>
    <t>LY3000045358</t>
  </si>
  <si>
    <t>MOUNOUSSAMY</t>
  </si>
  <si>
    <t>LY3000045364</t>
  </si>
  <si>
    <t>TORNARE</t>
  </si>
  <si>
    <t>MAXENCE</t>
  </si>
  <si>
    <t>MARCY L ETOILE</t>
  </si>
  <si>
    <t>LY3000045534</t>
  </si>
  <si>
    <t>COSSAIS</t>
  </si>
  <si>
    <t>LY3000045541</t>
  </si>
  <si>
    <t>MENESES GUTIERREZ</t>
  </si>
  <si>
    <t>MARIANA</t>
  </si>
  <si>
    <t>LY3000045542</t>
  </si>
  <si>
    <t>TRUGLIA</t>
  </si>
  <si>
    <t>DORIAN</t>
  </si>
  <si>
    <t>LY3000045577</t>
  </si>
  <si>
    <t>LYDIE</t>
  </si>
  <si>
    <t>LY3000045588</t>
  </si>
  <si>
    <t>LY3000045620</t>
  </si>
  <si>
    <t>DIANE</t>
  </si>
  <si>
    <t>38240</t>
  </si>
  <si>
    <t>MEYLAN</t>
  </si>
  <si>
    <t>LY3000045625</t>
  </si>
  <si>
    <t>LY3000045637</t>
  </si>
  <si>
    <t>ZIR</t>
  </si>
  <si>
    <t>ZINEDINE</t>
  </si>
  <si>
    <t>LY3000045678</t>
  </si>
  <si>
    <t>LY3000045679</t>
  </si>
  <si>
    <t>LY3000045682</t>
  </si>
  <si>
    <t>MEZRAKIAN</t>
  </si>
  <si>
    <t>RUZANNA</t>
  </si>
  <si>
    <t>LY3000045710</t>
  </si>
  <si>
    <t>JOHNSON</t>
  </si>
  <si>
    <t>MICHAEL</t>
  </si>
  <si>
    <t>71520</t>
  </si>
  <si>
    <t>BOURGVILAIN</t>
  </si>
  <si>
    <t>LY3000045718</t>
  </si>
  <si>
    <t>NIGLIS</t>
  </si>
  <si>
    <t>CHARLENE</t>
  </si>
  <si>
    <t>LY3000045730</t>
  </si>
  <si>
    <t>JEAN-LOUIS</t>
  </si>
  <si>
    <t>LY3000045754</t>
  </si>
  <si>
    <t>FANTOUSSI</t>
  </si>
  <si>
    <t>NAIMA</t>
  </si>
  <si>
    <t>LY3000045765</t>
  </si>
  <si>
    <t>GURDEBEKE</t>
  </si>
  <si>
    <t>LY3000045771</t>
  </si>
  <si>
    <t>GUEMARD</t>
  </si>
  <si>
    <t>LY3000045778</t>
  </si>
  <si>
    <t>REBECCA</t>
  </si>
  <si>
    <t>LY3000045811</t>
  </si>
  <si>
    <t>FOLLOT-NGBANDY-ZEBA</t>
  </si>
  <si>
    <t>ETHAN</t>
  </si>
  <si>
    <t>LY3000045824</t>
  </si>
  <si>
    <t>LY3000045826</t>
  </si>
  <si>
    <t>DULGER</t>
  </si>
  <si>
    <t>LY3000045862</t>
  </si>
  <si>
    <t>PLASSON</t>
  </si>
  <si>
    <t>LY3000045864</t>
  </si>
  <si>
    <t>CURIS AU MONT D OR</t>
  </si>
  <si>
    <t>LY3000045868</t>
  </si>
  <si>
    <t>DE NOIROT DE TOURNAY</t>
  </si>
  <si>
    <t>LY3000045877</t>
  </si>
  <si>
    <t>FERNANE</t>
  </si>
  <si>
    <t>MARGOT</t>
  </si>
  <si>
    <t>LY3000045898</t>
  </si>
  <si>
    <t>KENOUSSI</t>
  </si>
  <si>
    <t>LY3000045916</t>
  </si>
  <si>
    <t>DUVAUCHELLE</t>
  </si>
  <si>
    <t>LY3000045929</t>
  </si>
  <si>
    <t>LENOËL</t>
  </si>
  <si>
    <t>LY3000045942</t>
  </si>
  <si>
    <t>MOUCHEL</t>
  </si>
  <si>
    <t>JEREMY</t>
  </si>
  <si>
    <t>LY3000045945</t>
  </si>
  <si>
    <t>LY3000045990</t>
  </si>
  <si>
    <t>GLAVIAUX</t>
  </si>
  <si>
    <t>69560</t>
  </si>
  <si>
    <t>ST CYR SUR LE RHONE</t>
  </si>
  <si>
    <t>LY3000045992</t>
  </si>
  <si>
    <t>BROSSARD</t>
  </si>
  <si>
    <t>LY3000046008</t>
  </si>
  <si>
    <t>LY3000046017</t>
  </si>
  <si>
    <t>PETRUCCI</t>
  </si>
  <si>
    <t>STESSY</t>
  </si>
  <si>
    <t xml:space="preserve"> </t>
  </si>
  <si>
    <t>Zone_Bilan</t>
  </si>
  <si>
    <t>Numero_SIHAM</t>
  </si>
  <si>
    <t>Sexe</t>
  </si>
  <si>
    <t>Categorie</t>
  </si>
  <si>
    <t>Statut</t>
  </si>
  <si>
    <t>Filiere</t>
  </si>
  <si>
    <t>Pays</t>
  </si>
  <si>
    <t xml:space="preserve">Code_Postal </t>
  </si>
  <si>
    <t>ST QUENTIN FALLAVIER</t>
  </si>
  <si>
    <t>FRéDéRIC</t>
  </si>
  <si>
    <t>ST BONNET DE MURE</t>
  </si>
  <si>
    <t>MARIE-JOSÉ</t>
  </si>
  <si>
    <t>38138</t>
  </si>
  <si>
    <t>LES COTES D'AREY</t>
  </si>
  <si>
    <t>ST MAURICE DE BEYNOST</t>
  </si>
  <si>
    <t>DanIèle</t>
  </si>
  <si>
    <t>38540</t>
  </si>
  <si>
    <t>VALENCIN</t>
  </si>
  <si>
    <t>ALLEMONIERE</t>
  </si>
  <si>
    <t>Num_Siham</t>
  </si>
  <si>
    <t>Catégorie</t>
  </si>
  <si>
    <t>Filière</t>
  </si>
  <si>
    <t>lle</t>
  </si>
  <si>
    <t>YLHèME</t>
  </si>
  <si>
    <t>LOiC</t>
  </si>
  <si>
    <t>NACERA</t>
  </si>
  <si>
    <t>ANNE-PIERRE ELODIE</t>
  </si>
  <si>
    <t>Anne-Pierre Elodie</t>
  </si>
  <si>
    <t>VINCENT-Marie</t>
  </si>
  <si>
    <t>GAeL DÉSIRÉE</t>
  </si>
  <si>
    <t>XIAO Lucien</t>
  </si>
  <si>
    <t>LY3000046112</t>
  </si>
  <si>
    <t>LY3000046085</t>
  </si>
  <si>
    <t>BIJAKOWSKI</t>
  </si>
  <si>
    <t>LY3000046090</t>
  </si>
  <si>
    <t>LY3000029987</t>
  </si>
  <si>
    <t>BOUDJEMA-JORDA</t>
  </si>
  <si>
    <t>16-148</t>
  </si>
  <si>
    <t>20-629</t>
  </si>
  <si>
    <t>20-484</t>
  </si>
  <si>
    <t>19-600</t>
  </si>
  <si>
    <t>18-208</t>
  </si>
  <si>
    <t>15-155</t>
  </si>
  <si>
    <t>20-606</t>
  </si>
  <si>
    <t>17-028</t>
  </si>
  <si>
    <t>20-347</t>
  </si>
  <si>
    <t>20-425</t>
  </si>
  <si>
    <t xml:space="preserve">20-444	</t>
  </si>
  <si>
    <t xml:space="preserve">17-029	</t>
  </si>
  <si>
    <t>20-086</t>
  </si>
  <si>
    <t xml:space="preserve">17-031	</t>
  </si>
  <si>
    <t xml:space="preserve">20-648	</t>
  </si>
  <si>
    <t xml:space="preserve">20-283	</t>
  </si>
  <si>
    <t>20-066</t>
  </si>
  <si>
    <t xml:space="preserve">20-643	</t>
  </si>
  <si>
    <t>18-043	 MAC</t>
  </si>
  <si>
    <t xml:space="preserve">16-411	</t>
  </si>
  <si>
    <t xml:space="preserve">20-292	</t>
  </si>
  <si>
    <t xml:space="preserve">20-334	</t>
  </si>
  <si>
    <t xml:space="preserve">15-550	</t>
  </si>
  <si>
    <t>SCD2014MANU13</t>
  </si>
  <si>
    <t xml:space="preserve">20-374	</t>
  </si>
  <si>
    <t xml:space="preserve">20-326	</t>
  </si>
  <si>
    <t xml:space="preserve">18-008	</t>
  </si>
  <si>
    <t xml:space="preserve">18-036	</t>
  </si>
  <si>
    <t xml:space="preserve">20-405	</t>
  </si>
  <si>
    <t xml:space="preserve">18-023	</t>
  </si>
  <si>
    <t xml:space="preserve">18-016	</t>
  </si>
  <si>
    <t xml:space="preserve">17-015	</t>
  </si>
  <si>
    <t xml:space="preserve">15-268	</t>
  </si>
  <si>
    <t xml:space="preserve">20-271	</t>
  </si>
  <si>
    <t xml:space="preserve">17-026	</t>
  </si>
  <si>
    <t xml:space="preserve">20-089	</t>
  </si>
  <si>
    <t xml:space="preserve">16-416	</t>
  </si>
  <si>
    <t xml:space="preserve">17-027	</t>
  </si>
  <si>
    <t xml:space="preserve">20-245	</t>
  </si>
  <si>
    <t xml:space="preserve">20-328	</t>
  </si>
  <si>
    <t>16-384</t>
  </si>
  <si>
    <t xml:space="preserve">20-329	</t>
  </si>
  <si>
    <t xml:space="preserve">17-023	</t>
  </si>
  <si>
    <t xml:space="preserve">17-025	</t>
  </si>
  <si>
    <t>SCD2018PORT01</t>
  </si>
  <si>
    <t xml:space="preserve">16-430	</t>
  </si>
  <si>
    <t xml:space="preserve">20-290	</t>
  </si>
  <si>
    <t xml:space="preserve">17-035	</t>
  </si>
  <si>
    <t xml:space="preserve">20-274	</t>
  </si>
  <si>
    <t xml:space="preserve">13-324	</t>
  </si>
  <si>
    <t>20-050</t>
  </si>
  <si>
    <t xml:space="preserve">19-603	</t>
  </si>
  <si>
    <t xml:space="preserve">20-716	</t>
  </si>
  <si>
    <t xml:space="preserve">18-052	</t>
  </si>
  <si>
    <t xml:space="preserve">16-422	</t>
  </si>
  <si>
    <t>15-062 mac</t>
  </si>
  <si>
    <t>18-902Q	 mac</t>
  </si>
  <si>
    <t xml:space="preserve">20-074	</t>
  </si>
  <si>
    <t xml:space="preserve">20-131	</t>
  </si>
  <si>
    <t xml:space="preserve">	20-469</t>
  </si>
  <si>
    <t xml:space="preserve">20-299	</t>
  </si>
  <si>
    <t xml:space="preserve">20-235	</t>
  </si>
  <si>
    <t xml:space="preserve">17-042	</t>
  </si>
  <si>
    <t>14-049	 mac</t>
  </si>
  <si>
    <t xml:space="preserve">18-197	</t>
  </si>
  <si>
    <t xml:space="preserve">13-389	</t>
  </si>
  <si>
    <t xml:space="preserve">20-639	</t>
  </si>
  <si>
    <t>20-394</t>
  </si>
  <si>
    <t xml:space="preserve">19-580	</t>
  </si>
  <si>
    <t xml:space="preserve">20-122	</t>
  </si>
  <si>
    <t xml:space="preserve">18-057	</t>
  </si>
  <si>
    <t xml:space="preserve">15-168	</t>
  </si>
  <si>
    <t xml:space="preserve">20-337	</t>
  </si>
  <si>
    <t xml:space="preserve">20-336	</t>
  </si>
  <si>
    <t xml:space="preserve">20-501	</t>
  </si>
  <si>
    <t>18-011</t>
  </si>
  <si>
    <t xml:space="preserve">SCD2014PORT01	</t>
  </si>
  <si>
    <t xml:space="preserve">19-036	</t>
  </si>
  <si>
    <t xml:space="preserve">20-300	</t>
  </si>
  <si>
    <t>13-807	 mac</t>
  </si>
  <si>
    <t xml:space="preserve">20-485	</t>
  </si>
  <si>
    <t xml:space="preserve">18-017	</t>
  </si>
  <si>
    <t xml:space="preserve">SCD2018DID01	</t>
  </si>
  <si>
    <t xml:space="preserve">20-428	</t>
  </si>
  <si>
    <t>14-518</t>
  </si>
  <si>
    <t xml:space="preserve">16-407	</t>
  </si>
  <si>
    <t xml:space="preserve">20-652	</t>
  </si>
  <si>
    <t xml:space="preserve">20-333	</t>
  </si>
  <si>
    <t xml:space="preserve">20-275	</t>
  </si>
  <si>
    <t xml:space="preserve">19-604	</t>
  </si>
  <si>
    <t xml:space="preserve">16-382	</t>
  </si>
  <si>
    <t xml:space="preserve">19-209	</t>
  </si>
  <si>
    <t>SCD2014MANU20</t>
  </si>
  <si>
    <t xml:space="preserve">20-653	</t>
  </si>
  <si>
    <t xml:space="preserve">	16-031</t>
  </si>
  <si>
    <t xml:space="preserve">19-591	</t>
  </si>
  <si>
    <t xml:space="preserve">20-650	</t>
  </si>
  <si>
    <t>20-125</t>
  </si>
  <si>
    <t xml:space="preserve">17-275	</t>
  </si>
  <si>
    <t xml:space="preserve">16-359	</t>
  </si>
  <si>
    <t xml:space="preserve">20-082	</t>
  </si>
  <si>
    <t xml:space="preserve">20-273	</t>
  </si>
  <si>
    <t xml:space="preserve">16-086	</t>
  </si>
  <si>
    <t xml:space="preserve">20-065	</t>
  </si>
  <si>
    <t xml:space="preserve">18-918	</t>
  </si>
  <si>
    <t xml:space="preserve">20-016	</t>
  </si>
  <si>
    <t>20-370</t>
  </si>
  <si>
    <t xml:space="preserve">20-488	</t>
  </si>
  <si>
    <t xml:space="preserve">19-581	</t>
  </si>
  <si>
    <t xml:space="preserve">19-596	</t>
  </si>
  <si>
    <t>20-785</t>
  </si>
  <si>
    <t xml:space="preserve">19-582	</t>
  </si>
  <si>
    <t xml:space="preserve">18-035	</t>
  </si>
  <si>
    <t xml:space="preserve">20-330	</t>
  </si>
  <si>
    <t>18-027</t>
  </si>
  <si>
    <t xml:space="preserve">20-390	</t>
  </si>
  <si>
    <t xml:space="preserve">20-279	</t>
  </si>
  <si>
    <t xml:space="preserve">20-280	</t>
  </si>
  <si>
    <t xml:space="preserve">19-601	</t>
  </si>
  <si>
    <t xml:space="preserve">20-457	</t>
  </si>
  <si>
    <t xml:space="preserve">14-399	</t>
  </si>
  <si>
    <t xml:space="preserve">16-412	</t>
  </si>
  <si>
    <t xml:space="preserve">18-060	</t>
  </si>
  <si>
    <t xml:space="preserve">16-405	</t>
  </si>
  <si>
    <t xml:space="preserve">16-145	</t>
  </si>
  <si>
    <t xml:space="preserve">20-243	</t>
  </si>
  <si>
    <t xml:space="preserve">15-571	</t>
  </si>
  <si>
    <t xml:space="preserve">20-259	</t>
  </si>
  <si>
    <t xml:space="preserve">20-651	</t>
  </si>
  <si>
    <t xml:space="preserve">18-021	</t>
  </si>
  <si>
    <t xml:space="preserve">20-635	</t>
  </si>
  <si>
    <t xml:space="preserve">16-429	</t>
  </si>
  <si>
    <t>20-076</t>
  </si>
  <si>
    <t xml:space="preserve">19-007	</t>
  </si>
  <si>
    <t xml:space="preserve">18-123	</t>
  </si>
  <si>
    <t xml:space="preserve">20-249	</t>
  </si>
  <si>
    <t xml:space="preserve">19-598	</t>
  </si>
  <si>
    <t xml:space="preserve">16-410	</t>
  </si>
  <si>
    <t xml:space="preserve">18-028	</t>
  </si>
  <si>
    <t xml:space="preserve">16-428	</t>
  </si>
  <si>
    <t xml:space="preserve">20-068	</t>
  </si>
  <si>
    <t xml:space="preserve">20-134	</t>
  </si>
  <si>
    <t xml:space="preserve">20-383	</t>
  </si>
  <si>
    <t xml:space="preserve">	19-578</t>
  </si>
  <si>
    <t>18-226</t>
  </si>
  <si>
    <t>20-501</t>
  </si>
  <si>
    <t xml:space="preserve">16-147	</t>
  </si>
  <si>
    <t>20-3083</t>
  </si>
  <si>
    <t xml:space="preserve">20-345	</t>
  </si>
  <si>
    <t>18-058</t>
  </si>
  <si>
    <t xml:space="preserve">19-583	</t>
  </si>
  <si>
    <t xml:space="preserve">	20-368</t>
  </si>
  <si>
    <t xml:space="preserve">18-015	</t>
  </si>
  <si>
    <t xml:space="preserve">18-053	</t>
  </si>
  <si>
    <t xml:space="preserve">20-403	</t>
  </si>
  <si>
    <t xml:space="preserve">20-010	</t>
  </si>
  <si>
    <t xml:space="preserve">20-373	</t>
  </si>
  <si>
    <t xml:space="preserve">20-657	</t>
  </si>
  <si>
    <t xml:space="preserve">18-030	</t>
  </si>
  <si>
    <t xml:space="preserve">20-375	</t>
  </si>
  <si>
    <t xml:space="preserve">20-472	</t>
  </si>
  <si>
    <t xml:space="preserve">20-350	</t>
  </si>
  <si>
    <t xml:space="preserve">19-160	</t>
  </si>
  <si>
    <t xml:space="preserve">18-025	</t>
  </si>
  <si>
    <t>20-352</t>
  </si>
  <si>
    <t xml:space="preserve">17-024	</t>
  </si>
  <si>
    <t xml:space="preserve">14-008	</t>
  </si>
  <si>
    <t>18-072	 mac</t>
  </si>
  <si>
    <t xml:space="preserve">20-455	</t>
  </si>
  <si>
    <t xml:space="preserve">20-094	</t>
  </si>
  <si>
    <t xml:space="preserve">16-500	</t>
  </si>
  <si>
    <t xml:space="preserve">20-421	</t>
  </si>
  <si>
    <t xml:space="preserve">20-250	</t>
  </si>
  <si>
    <t>20-503</t>
  </si>
  <si>
    <t xml:space="preserve">20-288	</t>
  </si>
  <si>
    <t xml:space="preserve">19-585	</t>
  </si>
  <si>
    <t xml:space="preserve">19-586	</t>
  </si>
  <si>
    <t xml:space="preserve">20-515	</t>
  </si>
  <si>
    <t xml:space="preserve">20-418	 / 20-714	</t>
  </si>
  <si>
    <t xml:space="preserve">20-647	</t>
  </si>
  <si>
    <t xml:space="preserve">16-087	</t>
  </si>
  <si>
    <t xml:space="preserve">	20-3002</t>
  </si>
  <si>
    <t xml:space="preserve">16-436	</t>
  </si>
  <si>
    <t xml:space="preserve">20-075	</t>
  </si>
  <si>
    <t xml:space="preserve">20-603	</t>
  </si>
  <si>
    <t xml:space="preserve">19-154	</t>
  </si>
  <si>
    <t xml:space="preserve">16-368	</t>
  </si>
  <si>
    <t xml:space="preserve">16-434	</t>
  </si>
  <si>
    <t>15-150</t>
  </si>
  <si>
    <t xml:space="preserve">20-255	</t>
  </si>
  <si>
    <t xml:space="preserve">18-198	</t>
  </si>
  <si>
    <t>14-565</t>
  </si>
  <si>
    <t xml:space="preserve">20-642	</t>
  </si>
  <si>
    <t xml:space="preserve">18-048	</t>
  </si>
  <si>
    <t xml:space="preserve">17-044	</t>
  </si>
  <si>
    <t xml:space="preserve">18-009	</t>
  </si>
  <si>
    <t xml:space="preserve">20-124	</t>
  </si>
  <si>
    <t xml:space="preserve">20-070	</t>
  </si>
  <si>
    <t xml:space="preserve">20-358	</t>
  </si>
  <si>
    <t>17-034</t>
  </si>
  <si>
    <t xml:space="preserve">20-640	</t>
  </si>
  <si>
    <t xml:space="preserve">17-030	</t>
  </si>
  <si>
    <t xml:space="preserve">17-264	</t>
  </si>
  <si>
    <t xml:space="preserve">20-520	</t>
  </si>
  <si>
    <t xml:space="preserve">18-062	</t>
  </si>
  <si>
    <t xml:space="preserve">20-130	</t>
  </si>
  <si>
    <t xml:space="preserve">20-127	</t>
  </si>
  <si>
    <t xml:space="preserve">	20-372</t>
  </si>
  <si>
    <t xml:space="preserve">	12-181</t>
  </si>
  <si>
    <t xml:space="preserve">18-038	</t>
  </si>
  <si>
    <t xml:space="preserve">20-498	</t>
  </si>
  <si>
    <t xml:space="preserve">20-628	</t>
  </si>
  <si>
    <t xml:space="preserve">17-020	</t>
  </si>
  <si>
    <t xml:space="preserve">20-332	</t>
  </si>
  <si>
    <t>16-902 mac</t>
  </si>
  <si>
    <t>20-293</t>
  </si>
  <si>
    <t xml:space="preserve">20-655	</t>
  </si>
  <si>
    <t xml:space="preserve">20-709	</t>
  </si>
  <si>
    <t xml:space="preserve">18-020	</t>
  </si>
  <si>
    <t xml:space="preserve">16-076M	</t>
  </si>
  <si>
    <t xml:space="preserve">20-269	</t>
  </si>
  <si>
    <t xml:space="preserve">12-180	</t>
  </si>
  <si>
    <t>20-3075</t>
  </si>
  <si>
    <t xml:space="preserve">15-163	</t>
  </si>
  <si>
    <t xml:space="preserve">18-022	</t>
  </si>
  <si>
    <t>20-256</t>
  </si>
  <si>
    <t xml:space="preserve">20-637	</t>
  </si>
  <si>
    <t>20-465</t>
  </si>
  <si>
    <t>17-032</t>
  </si>
  <si>
    <t xml:space="preserve">20-296	</t>
  </si>
  <si>
    <t xml:space="preserve">20-083	</t>
  </si>
  <si>
    <t xml:space="preserve">18-026	</t>
  </si>
  <si>
    <t>19-584</t>
  </si>
  <si>
    <t>20-786</t>
  </si>
  <si>
    <t xml:space="preserve">16-415	</t>
  </si>
  <si>
    <t xml:space="preserve">20-342	</t>
  </si>
  <si>
    <t>17-017</t>
  </si>
  <si>
    <t xml:space="preserve">18-029	</t>
  </si>
  <si>
    <t>20-3085</t>
  </si>
  <si>
    <t xml:space="preserve">SCD2014PORT03	</t>
  </si>
  <si>
    <t xml:space="preserve">20-061	</t>
  </si>
  <si>
    <t xml:space="preserve">20-266	</t>
  </si>
  <si>
    <t xml:space="preserve">18-056	</t>
  </si>
  <si>
    <t>14-054	 mac</t>
  </si>
  <si>
    <t xml:space="preserve">18-033	</t>
  </si>
  <si>
    <t xml:space="preserve">20-510	</t>
  </si>
  <si>
    <t xml:space="preserve">19-597	</t>
  </si>
  <si>
    <t xml:space="preserve">20-031	</t>
  </si>
  <si>
    <t>envoi confirm TW</t>
  </si>
  <si>
    <t>Retour confirm</t>
  </si>
  <si>
    <t>Confirm</t>
  </si>
  <si>
    <t>Oui</t>
  </si>
  <si>
    <t>Non</t>
  </si>
  <si>
    <t>20-742</t>
  </si>
  <si>
    <t>20-3078</t>
  </si>
  <si>
    <t>Entité_Serv</t>
  </si>
  <si>
    <t>20-426</t>
  </si>
  <si>
    <t>Ilidia</t>
  </si>
  <si>
    <t>agent administratif de scolarité et dossiers transversaux</t>
  </si>
  <si>
    <t>2 place Gensoul</t>
  </si>
  <si>
    <t>Validation des missions des étudiants bénévoles</t>
  </si>
  <si>
    <t>Conv transmise pour signature</t>
  </si>
  <si>
    <t>TW Med</t>
  </si>
  <si>
    <t>Conventions de télétravail signées\CHARLAS Joseph-Michel.pdf</t>
  </si>
  <si>
    <t>Conventions de télétravail signées\POYET Nathalie.pdf</t>
  </si>
  <si>
    <t>Conventions de télétravail signées\CORNET Carole.pdf</t>
  </si>
  <si>
    <t>Conventions de télétravail signées\BONIN Christine.pdf</t>
  </si>
  <si>
    <t>Conventions de télétravail signées\RENOUD Corinne.pdf</t>
  </si>
  <si>
    <t>Conventions de télétravail signées\RICHARD Geneviève.pdf</t>
  </si>
  <si>
    <t>Conventions de télétravail signées\GLEPIN Anne.pdf</t>
  </si>
  <si>
    <t>Conventions de télétravail signées\TROUILLOUD Frédérique.pdf</t>
  </si>
  <si>
    <t>Conventions de télétravail signées\DUBOULOZ-MONET Valérie.pdf</t>
  </si>
  <si>
    <t>Conventions de télétravail signées\DAVENNE Sahra.pdf</t>
  </si>
  <si>
    <t>Conventions de télétravail signées\BAYOUD Elodie.pdf</t>
  </si>
  <si>
    <t>Conventions de télétravail signées\REVERAND Graziella.pdf</t>
  </si>
  <si>
    <t>Conventions de télétravail signées\DANG Hong Khanh.pdf</t>
  </si>
  <si>
    <t>Conventions de télétravail signées\COURBON-FILIPPINI Catherine.pdf</t>
  </si>
  <si>
    <t>Conventions de télétravail signées\LAGREE Sandrine.pdf</t>
  </si>
  <si>
    <t>Conventions de télétravail signées\BOUIS Sonia.pdf</t>
  </si>
  <si>
    <t>Conventions de télétravail signées\FEBVRET Véronique.pdf</t>
  </si>
  <si>
    <t>Conventions de télétravail signées\JULLIEN-COTTARD Odile.pdf</t>
  </si>
  <si>
    <t>Conventions de télétravail signées\VIALARON Laurence.pdf</t>
  </si>
  <si>
    <t>Conventions de télétravail signées\BERTRAND Valérie.pdf</t>
  </si>
  <si>
    <t>Conventions de télétravail signées\BARATIN Aude.pdf</t>
  </si>
  <si>
    <t>Conventions de télétravail signées\GAMOND Isabelle.pdf</t>
  </si>
  <si>
    <t>Conventions de télétravail signées\O'CONNOR Alicia.pdf</t>
  </si>
  <si>
    <t>Conventions de télétravail signées\GAVEND Catherine.pdf</t>
  </si>
  <si>
    <t>Conventions de télétravail signées\DURAND-PETIT Anne.pdf</t>
  </si>
  <si>
    <t>Conventions de télétravail signées\USECHE GUERRERO Gael Désirée.pdf</t>
  </si>
  <si>
    <t>Conventions de télétravail signées\FOURNIER Rebecca.pdf</t>
  </si>
  <si>
    <t>Conventions de télétravail signées\PANCINI Jacqueline.pdf</t>
  </si>
  <si>
    <t>Conventions de télétravail signées\ASTIER Annie.pdf</t>
  </si>
  <si>
    <t>Conventions de télétravail signées\CLAITTE Isabelle.pdf</t>
  </si>
  <si>
    <t>Conventions de télétravail signées\EDO Maria-Paula.pdf</t>
  </si>
  <si>
    <t>Conventions de télétravail signées\HMIMID Fatima.pdf</t>
  </si>
  <si>
    <t>Conventions de télétravail signées\ALLEMONIERE Marie.pdf</t>
  </si>
  <si>
    <t>Conventions de télétravail signées\DESSIRIER Giselle.pdf</t>
  </si>
  <si>
    <t>Conventions de télétravail signées\PERRIN Alice.pdf</t>
  </si>
  <si>
    <t>Conventions de télétravail signées\BOCQUIER Alexandre.pdf</t>
  </si>
  <si>
    <t>Conventions de télétravail signées\HEDDAJI Walid.pdf</t>
  </si>
  <si>
    <t>Conventions de télétravail signées\PIEGAY Gaetan.pdf</t>
  </si>
  <si>
    <t>Conventions de télétravail signées\SOLEILLAND Eric.pdf</t>
  </si>
  <si>
    <t>Conventions de télétravail signées\THIEVENAZ Estelle.pdf</t>
  </si>
  <si>
    <t>Conventions de télétravail signées\TOPALIAN Philippe.pdf</t>
  </si>
  <si>
    <t>Conventions de télétravail signées\LAVOUE-LESNE Marina.pdf</t>
  </si>
  <si>
    <t>Conventions de télétravail signées\CODINA Alexandra.pdf</t>
  </si>
  <si>
    <t>Conventions de télétravail signées\ROMERO-PERRETTI Sophie.pdf</t>
  </si>
  <si>
    <t>Conventions de télétravail signées\MARIE-LOUISE Nathalie.pdf</t>
  </si>
  <si>
    <t>Conventions de télétravail signées\FOUILLOUX David.pdf</t>
  </si>
  <si>
    <t>Conventions de télétravail signées\CAUCHY Laurence.pdf</t>
  </si>
  <si>
    <t>Conventions de télétravail signées\MARTEL Valérie.pdf</t>
  </si>
  <si>
    <t>Conventions de télétravail signées\JALICON Laurent.pdf</t>
  </si>
  <si>
    <t>Conventions de télétravail signées\DUCHANAUD Valérie.pdf</t>
  </si>
  <si>
    <t>Conventions de télétravail signées\HABBAZ-RAHEM Didier.pdf</t>
  </si>
  <si>
    <t>Conventions de télétravail signées\DESPLANS Mathilde.pdf</t>
  </si>
  <si>
    <t>Conventions de télétravail signées\THOLLOT Anne-Laure.pdf</t>
  </si>
  <si>
    <t>Conventions de télétravail signées\DAVASSOU Jessica.pdf</t>
  </si>
  <si>
    <t>Conventions de télétravail signées\GUTIERREZ Maude.pdf</t>
  </si>
  <si>
    <t>Conventions de télétravail signées\PICOD Sylvie.pdf</t>
  </si>
  <si>
    <t>Conventions de télétravail signées\BREART Thierry.pdf</t>
  </si>
  <si>
    <t>Conventions de télétravail signées\PERRIN Elisabeth.pdf</t>
  </si>
  <si>
    <t>Conventions de télétravail signées\PEYSIEUX Nathalie.pdf</t>
  </si>
  <si>
    <t>Conventions de télétravail signées\GOLLION Amandine.pdf</t>
  </si>
  <si>
    <t>Conventions de télétravail signées\FERNANDES Jérémie.pdf</t>
  </si>
  <si>
    <t>Conventions de télétravail signées\CLERC René.pdf</t>
  </si>
  <si>
    <t>Conventions de télétravail signées\GUILLEN-GAMERO Marie-Thérèse.pdf</t>
  </si>
  <si>
    <t>Conventions de télétravail signées\CHAMPENOIS Romain.pdf</t>
  </si>
  <si>
    <t>Conventions de télétravail signées\PELAZZO-PLAT Valérie.pdf</t>
  </si>
  <si>
    <t>Conventions de télétravail signées\VALETTE Fanny.pdf</t>
  </si>
  <si>
    <t>Conventions de télétravail signées\SCHMITT Marie-Isabelle.pdf</t>
  </si>
  <si>
    <t>Conventions de télétravail signées\PARMENTIER Catherine.pdf</t>
  </si>
  <si>
    <t>Conventions de télétravail signées\DUMAS Odile.pdf</t>
  </si>
  <si>
    <t>Conventions de télétravail signées\WEHBE Carla.pdf</t>
  </si>
  <si>
    <t>Conventions de télétravail signées\CAPUANO Jean-Louis.pdf</t>
  </si>
  <si>
    <t>Formation aux Outils</t>
  </si>
  <si>
    <t>Equipement 9</t>
  </si>
  <si>
    <t>En cours</t>
  </si>
  <si>
    <t>Conventions de télétravail signées\BUGIN Lea.pdf</t>
  </si>
  <si>
    <t>Conventions de télétravail signées\KHAMASSI Emmanuelle.pdf</t>
  </si>
  <si>
    <t>Conventions de télétravail signées\GRECH Danièle.pdf</t>
  </si>
  <si>
    <t>Conventions de télétravail signées\BOINON Ann'Laure.pdf</t>
  </si>
  <si>
    <t>Conventions de télétravail signées\PRAZ Brigitte.pdf</t>
  </si>
  <si>
    <t>Conventions de télétravail signées\SINZ Karine.pdf</t>
  </si>
  <si>
    <t>Conventions de télétravail signées\DALLEAU Bertrand.pdf</t>
  </si>
  <si>
    <t>Conventions de télétravail signées\LEGROS Elise.pdf</t>
  </si>
  <si>
    <t>Conventions de télétravail signées\BERLANDI Marie-José.pdf</t>
  </si>
  <si>
    <t>Conventions de télétravail signées\BLASCO Elisabeth.pdf</t>
  </si>
  <si>
    <t>Conventions de télétravail signées\BASTIDE Anne-Laure.pdf</t>
  </si>
  <si>
    <t>Conventions de télétravail signées\LOPEZ Catherine.pdf</t>
  </si>
  <si>
    <t>Conventions de télétravail signées\JENDOUBI Ylhème.pdf</t>
  </si>
  <si>
    <t>Conventions de télétravail signées\BLAU Fabrice.pdf</t>
  </si>
  <si>
    <t>Conventions de télétravail signées\PERRIN Emilie.pdf</t>
  </si>
  <si>
    <t>Conventions de télétravail signées\SOY-RAVASSON Séverine.pdf</t>
  </si>
  <si>
    <t>Conventions de télétravail signées\MANCEAU Silva.pdf</t>
  </si>
  <si>
    <t>Conventions de télétravail signées\REMANDE Emmanuelle.pdf</t>
  </si>
  <si>
    <t>Conventions de télétravail signées\ABGRALL Cécile.pdf</t>
  </si>
  <si>
    <t>Conventions de télétravail signées\VALLAT Damien.pdf</t>
  </si>
  <si>
    <t>Conventions de télétravail signées\MIQUEL Jean-Loup.pdf</t>
  </si>
  <si>
    <t>Conventions de télétravail signées\FRASCA Géraldine.pdf</t>
  </si>
  <si>
    <t>Conventions de télétravail signées\DAVY Claire.pdf</t>
  </si>
  <si>
    <t>Conventions de télétravail signées\NADER Georges.pdf</t>
  </si>
  <si>
    <t>Conventions de télétravail signées\THIVICHON-PRINCE Moulkheir.pdf</t>
  </si>
  <si>
    <t>Conventions de télétravail signées\BOURGET-MESSIN Laurence.pdf</t>
  </si>
  <si>
    <t>Conventions de télétravail signées\GUEYE Ousmane.pdf</t>
  </si>
  <si>
    <t>Conventions de télétravail signées\RAMIANDRISOA Nalisoa.pdf</t>
  </si>
  <si>
    <t>Conventions de télétravail signées\VICTOIRE Isabelle.pdf</t>
  </si>
  <si>
    <t>Conventions de télétravail signées\MEDINA Wilfrid.pdf</t>
  </si>
  <si>
    <t>Conventions de télétravail signées\CHARBONNIER Jessica.pdf</t>
  </si>
  <si>
    <t>Conventions de télétravail signées\GUILLAUME Kildine.pdf</t>
  </si>
  <si>
    <t>Conventions de télétravail signées\BANDIER Lorine.pdf</t>
  </si>
  <si>
    <t>Conventions de télétravail signées\KRAWIEC Guillaume.pdf</t>
  </si>
  <si>
    <t>Conventions de télétravail signées\VALLIER Christine.pdf</t>
  </si>
  <si>
    <t>Conventions de télétravail signées\DARLIN Christine.pdf</t>
  </si>
  <si>
    <t>Conventions de télétravail signées\ROUANET-TOURINEL Jean-Pierre.pdf</t>
  </si>
  <si>
    <t>Conventions de télétravail signées\CARTIER Aurore.pdf</t>
  </si>
  <si>
    <t>Conventions de télétravail signées\DOUBLET Elsa.pdf</t>
  </si>
  <si>
    <t>Conventions de télétravail signées\BEROUD COURTIAL Isabelle.pdf</t>
  </si>
  <si>
    <t>Conventions de télétravail signées\GADOU Sébastien.pdf</t>
  </si>
  <si>
    <t>Conventions de télétravail signées\COURTIAL Gilles.pdf</t>
  </si>
  <si>
    <t>Conventions de télétravail signées\CROUZET Olivier.pdf</t>
  </si>
  <si>
    <t>20-384</t>
  </si>
  <si>
    <t>16-002</t>
  </si>
  <si>
    <t xml:space="preserve">20-3089 </t>
  </si>
  <si>
    <t>Conventions de télétravail signées\AMENEIRO ALVAREZ Manuel.pdf</t>
  </si>
  <si>
    <t>Conventions de télétravail signées\GRECO Delphine.pdf</t>
  </si>
  <si>
    <t>Conventions de télétravail signées\VAUTRIN-VILLOND Véronique.pdf</t>
  </si>
  <si>
    <t>Conventions de télétravail signées\DUCHET Espérance.pdf</t>
  </si>
  <si>
    <t>Conventions de télétravail signées\GAUTHIER Gilbert.pdf</t>
  </si>
  <si>
    <t>Conventions de télétravail signées\BLONDEAU Alicia.pdf</t>
  </si>
  <si>
    <t>Conventions de télétravail signées\DELPLANQUE Magali.pdf</t>
  </si>
  <si>
    <t>Conventions de télétravail signées\BUGUET Emilie.pdf</t>
  </si>
  <si>
    <t>Conventions de télétravail signées\DA SILVA Chrystèle.pdf</t>
  </si>
  <si>
    <t>Conventions de télétravail signées\RECHATIN Charlotte.pdf</t>
  </si>
  <si>
    <t>Conventions de télétravail signées\ROBLES Camille.pdf</t>
  </si>
  <si>
    <t>Conventions de télétravail signées\MOLINA Magalie.pdf</t>
  </si>
  <si>
    <t>Conventions de télétravail signées\POMMERUEL Sébastien.pdf</t>
  </si>
  <si>
    <t>Conventions de télétravail signées\VINCENT Marlène.pdf</t>
  </si>
  <si>
    <t>Conventions de télétravail signées\BERGAMASCHI GAIGNEROT Stéphanie.pdf</t>
  </si>
  <si>
    <t>Conventions de télétravail signées\BELLET Cécile.pdf</t>
  </si>
  <si>
    <t>Conventions de télétravail signées\MARTINEZ Madeline.pdf</t>
  </si>
  <si>
    <t>Conventions de télétravail signées\BONHOMME Laurence.pdf</t>
  </si>
  <si>
    <t>Conventions de télétravail signées\EL AJMI Houaida.pdf</t>
  </si>
  <si>
    <t>Conventions de télétravail signées\MEDKOUR Sofia.pdf</t>
  </si>
  <si>
    <t>Conventions de télétravail signées\SEBEI Noura.pdf</t>
  </si>
  <si>
    <t>Conventions de télétravail signées\ARCIERO Aline.pdf</t>
  </si>
  <si>
    <t>Conventions de télétravail signées\BOUZIDI Faten-Yasmine.pdf</t>
  </si>
  <si>
    <t>Conventions de télétravail signées\MENNELLA Dorothée.pdf</t>
  </si>
  <si>
    <t>Conventions de télétravail signées\LISCHETTI Hélène.pdf</t>
  </si>
  <si>
    <t>Conventions de télétravail signées\MOHAMMEDI Imane.pdf</t>
  </si>
  <si>
    <t>Conventions de télétravail signées\GUILLIN-BLANC Céline.pdf</t>
  </si>
  <si>
    <t>Conventions de télétravail signées\BERTHIER Anne-Sophie.pdf</t>
  </si>
  <si>
    <t>Conventions de télétravail signées\PONS Eric.pdf</t>
  </si>
  <si>
    <t>Conventions de télétravail signées\LAFAY Fabien.pdf</t>
  </si>
  <si>
    <t>Conventions de télétravail signées\MARSAN Frédérique.pdf</t>
  </si>
  <si>
    <t>Conventions de télétravail signées\BOURGOIN Anne.pdf</t>
  </si>
  <si>
    <t>Conventions de télétravail signées\MACHABERT Olivier.pdf</t>
  </si>
  <si>
    <t>Conventions de télétravail signées\BOUCHER Marie-Thérèse.pdf</t>
  </si>
  <si>
    <t>Conventions de télétravail signées\AUTIN-GAILLARD Christelle.pdf</t>
  </si>
  <si>
    <t>Conventions de télétravail signées\MEZERREB Nacéra.pdf</t>
  </si>
  <si>
    <t>Conventions de télétravail signées\JACQUOT Chantal.pdf</t>
  </si>
  <si>
    <t>Conventions de télétravail signées\BOUDJEMA-JORDA Katia.pdf</t>
  </si>
  <si>
    <t>Conventions de télétravail signées\BOUTOT Sandrine.pdf</t>
  </si>
  <si>
    <t>Conventions de télétravail signées\ASTREOUD Lionel.pdf</t>
  </si>
  <si>
    <t>Conventions de télétravail signées\HDIA Slah.pdf</t>
  </si>
  <si>
    <t>Conventions de télétravail signées\VASCHALDE Pierre-Guy.pdf</t>
  </si>
  <si>
    <t>Conventions de télétravail signées\BUISSON Florianne.pdf</t>
  </si>
  <si>
    <t>Conventions de télétravail signées\LE GOUESTRE Laura.pdf</t>
  </si>
  <si>
    <t>Conventions de télétravail signées\DE NAGY BUDAN ROZAIN David-Krisztian.pdf</t>
  </si>
  <si>
    <t>Conventions de télétravail signées\LARATTE Noelle.pdf</t>
  </si>
  <si>
    <t>Conventions de télétravail signées\HERNANDEZ Peggy.pdf</t>
  </si>
  <si>
    <t>Conventions de télétravail signées\SIMOND Onda-Marina.pdf</t>
  </si>
  <si>
    <t>Conventions de télétravail signées\LEDEAN Cyrille.pdf</t>
  </si>
  <si>
    <t>Conventions de télétravail signées\HERCHET Sandrine.pdf</t>
  </si>
  <si>
    <t>Conventions de télétravail signées\YANG Xiao Lucien.pdf</t>
  </si>
  <si>
    <t>Conventions de télétravail signées\CHEVALLIER Camille.pdf</t>
  </si>
  <si>
    <t>Conventions de télétravail signées\BELOT Laetitia.pdf</t>
  </si>
  <si>
    <t>Conventions de télétravail signées\SAHLI Alida.pdf</t>
  </si>
  <si>
    <t>Conventions de télétravail signées\REY François.pdf</t>
  </si>
  <si>
    <t>Conventions de télétravail signées\LARDY Marine.pdf</t>
  </si>
  <si>
    <t>Conventions de télétravail signées\RENARD Hervé.pdf</t>
  </si>
  <si>
    <t>Conventions de télétravail signées\KEALA Sarah.pdf</t>
  </si>
  <si>
    <t>Conventions de télétravail signées\METHIVIER Loic.pdf</t>
  </si>
  <si>
    <t>aaaaa</t>
  </si>
  <si>
    <t>NbJTOT</t>
  </si>
  <si>
    <t>Conventions de télétravail signées\ARNAUD Jean-Baptiste.pdf</t>
  </si>
  <si>
    <t>Conventions de télétravail signées\CLOSA Antonio.pdf</t>
  </si>
  <si>
    <t>Conventions de télétravail signées\DESROUSSEAUX Virginie.pdf</t>
  </si>
  <si>
    <t>Conventions de télétravail signées\DOUET Emilie.pdf</t>
  </si>
  <si>
    <t>Conventions de télétravail signées\GASMI Mabrouka.pdf</t>
  </si>
  <si>
    <t>Conventions de télétravail signées\GASMI Nabila.pdf</t>
  </si>
  <si>
    <t>Conventions de télétravail signées\KOUAHLA Kenza.pdf</t>
  </si>
  <si>
    <t>Conventions de télétravail signées\RICHARD Vincent-Marie.pdf</t>
  </si>
  <si>
    <t>Conventions de télétravail signées\RINALDI Pascal.pdf</t>
  </si>
  <si>
    <t>Conventions de télétravail signées\SANTOS-COTTIN Isabelle.pdf</t>
  </si>
  <si>
    <t>Conventions de télétravail signées\BADAKHCH Babak.pdf</t>
  </si>
  <si>
    <t>Conventions de télétravail signées\CASTEL-FERRY Isabelle.pdf</t>
  </si>
  <si>
    <t>Conventions de télétravail signées\CHADIER Christine.pdf</t>
  </si>
  <si>
    <t>Conventions de télétravail signées\DE NAGY BUDAN ROZAIN Nathalie.pdf</t>
  </si>
  <si>
    <t>Conventions de télétravail signées\DE OCHANDIANO Jean-Luc.pdf</t>
  </si>
  <si>
    <t>Conventions de télétravail signées\DEBAYLE REVOL Sylvie.pdf</t>
  </si>
  <si>
    <t>Conventions de télétravail signées\EDOM Anais.pdf</t>
  </si>
  <si>
    <t>Conventions de télétravail signées\GERME-CESCO Patricia.pdf</t>
  </si>
  <si>
    <t>Conventions de télétravail signées\GILLE Yoann.pdf</t>
  </si>
  <si>
    <t>Conventions de télétravail signées\HAMDADOU Morgane.pdf</t>
  </si>
  <si>
    <t>Conventions de télétravail signées\JANDOT Géraldine.pdf</t>
  </si>
  <si>
    <t>Conventions de télétravail signées\LEBOUC Christophe.pdf</t>
  </si>
  <si>
    <t>Conventions de télétravail signées\LENOEL Audrey.pdf</t>
  </si>
  <si>
    <t>Conventions de télétravail signées\LOZANORIOS Frédérique.pdf</t>
  </si>
  <si>
    <t>Conventions de télétravail signées\LUCZAK Léa.pdf</t>
  </si>
  <si>
    <t>Conventions de télétravail signées\MARTINEZ Marc.pdf</t>
  </si>
  <si>
    <t>Conventions de télétravail signées\MERONO Aurélien.pdf</t>
  </si>
  <si>
    <t>Conventions de télétravail signées\MOHAMMEDI Anissa.pdf</t>
  </si>
  <si>
    <t>Conventions de télétravail signées\PERRIER Laetitia.pdf</t>
  </si>
  <si>
    <t>Conventions de télétravail signées\PETIT Eric.pdf</t>
  </si>
  <si>
    <t>Conventions de télétravail signées\RAY-MEKHLOUFI Sophie.pdf</t>
  </si>
  <si>
    <t>Conventions de télétravail signées\TOURNIER Florence.pdf</t>
  </si>
  <si>
    <t>Conventions de télétravail signées\BENEYTON Audrey.pdf</t>
  </si>
  <si>
    <t>Conventions de télétravail signées\CAO Xueyang.pdf</t>
  </si>
  <si>
    <t>Conventions de télétravail signées\FERRERONS Fabienne.pdf</t>
  </si>
  <si>
    <t>Conventions de télétravail signées\FLECHET Magali.pdf</t>
  </si>
  <si>
    <t>Conventions de télétravail signées\ORTILLEZ Chantal.pdf</t>
  </si>
  <si>
    <t>Conventions de télétravail signées\PISTON Patricia.pdf</t>
  </si>
  <si>
    <t>Conventions de télétravail signées\REA Laetitia.pdf</t>
  </si>
  <si>
    <t>Conventions de télétravail signées\BRUERE Stéphane.pdf</t>
  </si>
  <si>
    <t>Conventions de télétravail signées\BURDIN Valérie.pdf</t>
  </si>
  <si>
    <t>Conventions de télétravail signées\COMBRE-JEAN Virginie.pdf</t>
  </si>
  <si>
    <t>Conventions de télétravail signées\DELOCHE Marie-Edith.pdf</t>
  </si>
  <si>
    <t>Conventions de télétravail signées\DONJON Nathalie.pdf</t>
  </si>
  <si>
    <t>Conventions de télétravail signées\FABRE Armelle.pdf</t>
  </si>
  <si>
    <t>Conventions de télétravail signées\GERLAND Frédéric.pdf</t>
  </si>
  <si>
    <t>Conventions de télétravail signées\GUEHO Anne-Sophie.pdf</t>
  </si>
  <si>
    <t>Conventions de télétravail signées\JANVIER Houda.pdf</t>
  </si>
  <si>
    <t>Conventions de télétravail signées\RAJON Dany.pdf</t>
  </si>
  <si>
    <t>Conventions de télétravail signées\STOIAN Anca-Laura.pdf</t>
  </si>
  <si>
    <t>Conventions de télétravail signées\WAWRZYNIAK Sophie.pdf</t>
  </si>
  <si>
    <t>20-404</t>
  </si>
  <si>
    <t>Conventions de télétravail signées\CORDIER Laura.pdf</t>
  </si>
  <si>
    <t>Conventions de télétravail signées\MACHET Christine.pdf</t>
  </si>
  <si>
    <t>Conventions de télétravail signées\TURINE Melody.pdf</t>
  </si>
  <si>
    <t>Conventions de télétravail signées\MARTORANA Chloé.pdf</t>
  </si>
  <si>
    <t>Conventions de télétravail signées\VIDBERG Eric.pdf</t>
  </si>
  <si>
    <t>Conventions de télétravail signées\VIGNERESSE Thibaud.pdf</t>
  </si>
  <si>
    <t>Conventions de télétravail signées\BESOIN-BRUNEL Florence.pdf</t>
  </si>
  <si>
    <t>Conventions de télétravail signées\MIGNOT Lionel.pdf</t>
  </si>
  <si>
    <t>Conventions de télétravail signées\HOHMANN Pierre.pdf</t>
  </si>
  <si>
    <t>Conventions de télétravail signées\GASMI Alexandra.pdf</t>
  </si>
  <si>
    <t>Conventions de télétravail signées\GHIOTTI Laurence.pdf</t>
  </si>
  <si>
    <t>Conventions de télétravail signées\MAEYHIEUX Isabelle.pdf</t>
  </si>
  <si>
    <t>Conventions de télétravail signées\VILAIN Camille.pdf</t>
  </si>
  <si>
    <t>Conventions de télétravail signées\CAZENEUVE Hervé.pdf</t>
  </si>
  <si>
    <t>Conventions de télétravail signées\MERROUCHE Fatma.pdf</t>
  </si>
  <si>
    <t>Campagne n° 6</t>
  </si>
  <si>
    <t>REMOD</t>
  </si>
  <si>
    <t>STATUT</t>
  </si>
  <si>
    <t>NOUV</t>
  </si>
  <si>
    <t>SUPPR</t>
  </si>
  <si>
    <t>RENOUV</t>
  </si>
  <si>
    <t>Nouveau teletravailleur</t>
  </si>
  <si>
    <t>Annulation du teletravail</t>
  </si>
  <si>
    <t>Renouvellement avec modif</t>
  </si>
  <si>
    <t>Renouvellement sans modif</t>
  </si>
  <si>
    <t>LIBELLE</t>
  </si>
  <si>
    <t>T_Statut</t>
  </si>
  <si>
    <t>ENCOURS</t>
  </si>
  <si>
    <t>ASUPP</t>
  </si>
  <si>
    <t>A supprimer</t>
  </si>
  <si>
    <t>Nelly</t>
  </si>
  <si>
    <t>Service financier</t>
  </si>
  <si>
    <t>Gestionnaire financière</t>
  </si>
  <si>
    <t xml:space="preserve">103 boulevard Emile Zola </t>
  </si>
  <si>
    <t>Facturation clients</t>
  </si>
  <si>
    <t>Envoi de factures par courrier, sur internet ou par mail</t>
  </si>
  <si>
    <t>RENVL</t>
  </si>
  <si>
    <t>ED SEG</t>
  </si>
  <si>
    <t>Ecole doctorale Science Eco Gestion</t>
  </si>
  <si>
    <t>Michael</t>
  </si>
  <si>
    <t>michael.johnson@univ-lyon3.fr</t>
  </si>
  <si>
    <t>Pôle activités internationales</t>
  </si>
  <si>
    <t>Chargé de projets internationaux</t>
  </si>
  <si>
    <t>Dominique</t>
  </si>
  <si>
    <t>107, Cours Gambetta</t>
  </si>
  <si>
    <t xml:space="preserve">Suivis marchés </t>
  </si>
  <si>
    <t>Suivi des conventions</t>
  </si>
  <si>
    <t>5 chemin des Ecoteys</t>
  </si>
  <si>
    <t>Responsable du service du traitement documentaire</t>
  </si>
  <si>
    <t>8 Rue Pierre Bressat</t>
  </si>
  <si>
    <t>Outils de politique documentaire (fiche discipline)</t>
  </si>
  <si>
    <t>Bilan d'activités des dépenses pour les monographies</t>
  </si>
  <si>
    <t>Entretiens professionnels et rapports de promotion</t>
  </si>
  <si>
    <t>Réabonnement des titres de périodiques pour le marché</t>
  </si>
  <si>
    <t xml:space="preserve">Bilan sur les activités liées aux périodiques </t>
  </si>
  <si>
    <t>Maxime</t>
  </si>
  <si>
    <t>HAMELIN</t>
  </si>
  <si>
    <t>Victor</t>
  </si>
  <si>
    <t>Tiphaine</t>
  </si>
  <si>
    <t>sandrine.melon@univ-lyon3.fr</t>
  </si>
  <si>
    <t>Chargée de scolarité INFOCOM</t>
  </si>
  <si>
    <t>27 allée Simon Saint Jean</t>
  </si>
  <si>
    <t>Bibliothèque des quais</t>
  </si>
  <si>
    <t>Magasinier principal</t>
  </si>
  <si>
    <t>85 Chaussée d'Erpent</t>
  </si>
  <si>
    <t>REGNIE DURETTE</t>
  </si>
  <si>
    <t>116 rue André Bollier</t>
  </si>
  <si>
    <t xml:space="preserve">Suivi des mails </t>
  </si>
  <si>
    <t>Scolarité des masters</t>
  </si>
  <si>
    <t>maxime.brossard@univ-lyon3.fr</t>
  </si>
  <si>
    <t>50 % : 18 H 35</t>
  </si>
  <si>
    <t>60 % : 22 H 15</t>
  </si>
  <si>
    <t>70 % : 26 H</t>
  </si>
  <si>
    <t>R705</t>
  </si>
  <si>
    <t>R606</t>
  </si>
  <si>
    <t>R507</t>
  </si>
  <si>
    <t>P705</t>
  </si>
  <si>
    <t>P606</t>
  </si>
  <si>
    <t>P507</t>
  </si>
  <si>
    <t>Mail encadrant</t>
  </si>
  <si>
    <t>Adresse envoi  mails automatiques</t>
  </si>
  <si>
    <t>teletravail@univ-lyon3.fr</t>
  </si>
  <si>
    <t>Mail_encadrant</t>
  </si>
  <si>
    <t>victor.hamelin@univ-lyon3.fr</t>
  </si>
  <si>
    <t>Chargé de production</t>
  </si>
  <si>
    <t>FC3</t>
  </si>
  <si>
    <t>13 rue Victor Hugo</t>
  </si>
  <si>
    <t>Mise en place de l'emploi du temps</t>
  </si>
  <si>
    <t>Saisie des notes</t>
  </si>
  <si>
    <t>Traitement des dossiers e-candidat</t>
  </si>
  <si>
    <t>Préparation des plannings des examens</t>
  </si>
  <si>
    <t>Saisie des notes de TD et organisation des délibérations</t>
  </si>
  <si>
    <t>2 Rue du docteur Rebatel</t>
  </si>
  <si>
    <t>Le télétravail est accordé pour 6 mois renouvelables sous réserve de l'avis du médecin de prévention.</t>
  </si>
  <si>
    <t>L'agent occupe son poste actuel depuis moins d'un an et n'a pu explorer ses fonctions dans un fonctionnement normal de l'université.</t>
  </si>
  <si>
    <t>Avis réservé du n+1 en raison de la quotité de l'agent  passage eventuel à 100 % et de l'organisation du service - Sous réserve de l'organisation au 01/09/2021</t>
  </si>
  <si>
    <t>Demande accordée sous réserve de fourniture des pièces demandées.</t>
  </si>
  <si>
    <t>Nbrtot</t>
  </si>
  <si>
    <t>R_P</t>
  </si>
  <si>
    <t>statut2</t>
  </si>
  <si>
    <t>Date</t>
  </si>
  <si>
    <t>Type Mail</t>
  </si>
  <si>
    <t>nom</t>
  </si>
  <si>
    <t>prénom</t>
  </si>
  <si>
    <t>Email encadrant</t>
  </si>
  <si>
    <t>avis</t>
  </si>
  <si>
    <t>Message</t>
  </si>
  <si>
    <t>statut</t>
  </si>
  <si>
    <t>Avis comm</t>
  </si>
  <si>
    <t>La demande de télétravail est accordée sous réserve de fourniture des pièces demandées.</t>
  </si>
  <si>
    <t>Renouvellement à l'identique de la demande de télétravail sur 2 jours mais conditionné à un retour à 100 % après un mi-temps thérapeutique.</t>
  </si>
  <si>
    <t>Le télétravail est accordé pour 6 mois renouvelables sous réserve de l'avis du médecin de prévention et sous réserve de fourniture des pièces demandées suite au déménagement.</t>
  </si>
  <si>
    <t>Les missions de l'agent ne sont pas télétravaillables.</t>
  </si>
  <si>
    <t>La demande de télétravail est accordée sous réserve de la fourniture des pièces demandées au déménagement de l'agent.</t>
  </si>
  <si>
    <t>La charte de télétravail en vigueur à l'université ne permet pas de télétravailler en dessous d'une quotité de travail de 80 %.</t>
  </si>
  <si>
    <t>Le télétravail est accordé dans la limite de 1 jour par semaine afin de permettre l'évaluation des conditions de télétravail pour une eventuelle évolution àr 2 jours par semaine.</t>
  </si>
  <si>
    <t>Le télétravail est accordé dans la limite de 1 jour par semaine.</t>
  </si>
  <si>
    <t>Julie</t>
  </si>
  <si>
    <t>Sous réserve de fourniture des pièces nécessaires.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</si>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</sst>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43" formatCode="_-* #,##0.00\ _€_-;\-* #,##0.00\ _€_-;_-* &quot;-&quot;??\ _€_-;_-@_-"/>
    <numFmt numFmtId="164" formatCode="dd/mm/yy;@"/>
    <numFmt numFmtId="165" formatCode="h:mm;@"/>
    <numFmt numFmtId="166" formatCode="[h]:mm;@"/>
  </numFmts>
  <fonts count="57"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Century Gothic"/>
      <family val="2"/>
    </font>
    <font>
      <b/>
      <sz val="10"/>
      <color theme="1"/>
      <name val="Century Gothic"/>
      <family val="2"/>
    </font>
    <font>
      <sz val="8"/>
      <color theme="1"/>
      <name val="Century Gothic"/>
      <family val="2"/>
    </font>
    <font>
      <b/>
      <sz val="10"/>
      <color theme="0"/>
      <name val="Century Gothic"/>
      <family val="2"/>
    </font>
    <font>
      <b/>
      <sz val="11"/>
      <color theme="0"/>
      <name val="Century Gothic"/>
      <family val="2"/>
    </font>
    <font>
      <sz val="8"/>
      <color theme="1" tint="0.499984740745262"/>
      <name val="Century Gothic"/>
      <family val="2"/>
    </font>
    <font>
      <b/>
      <sz val="8"/>
      <color rgb="FFFF0000"/>
      <name val="Century Gothic"/>
      <family val="2"/>
    </font>
    <font>
      <b/>
      <sz val="10"/>
      <color rgb="FFFF0000"/>
      <name val="Century Gothic"/>
      <family val="2"/>
    </font>
    <font>
      <b/>
      <sz val="9"/>
      <color rgb="FFFF0000"/>
      <name val="Century Gothic"/>
      <family val="2"/>
    </font>
    <font>
      <sz val="10"/>
      <color theme="1"/>
      <name val="Calibri"/>
      <family val="2"/>
      <scheme val="minor"/>
    </font>
    <font>
      <sz val="9"/>
      <color theme="1"/>
      <name val="Century Gothic"/>
      <family val="2"/>
    </font>
    <font>
      <sz val="9"/>
      <color indexed="81"/>
      <name val="Tahoma"/>
      <family val="2"/>
    </font>
    <font>
      <sz val="10"/>
      <color rgb="FFFF0000"/>
      <name val="Century Gothic"/>
      <family val="2"/>
    </font>
    <font>
      <sz val="11"/>
      <color theme="1"/>
      <name val="Century Gothic"/>
      <family val="2"/>
    </font>
    <font>
      <sz val="10"/>
      <color rgb="FF000000"/>
      <name val="Century Gothic"/>
      <family val="2"/>
    </font>
    <font>
      <b/>
      <sz val="11"/>
      <color theme="0"/>
      <name val="Calibri"/>
      <family val="2"/>
      <scheme val="minor"/>
    </font>
    <font>
      <sz val="10"/>
      <color theme="0"/>
      <name val="Century Gothic"/>
      <family val="2"/>
    </font>
    <font>
      <b/>
      <sz val="14"/>
      <color theme="0"/>
      <name val="Century Gothic"/>
      <family val="2"/>
    </font>
    <font>
      <b/>
      <i/>
      <sz val="10"/>
      <color rgb="FFFF0000"/>
      <name val="Century Gothic"/>
      <family val="2"/>
    </font>
    <font>
      <sz val="8"/>
      <color theme="1" tint="0.249977111117893"/>
      <name val="Century Gothic"/>
      <family val="2"/>
    </font>
    <font>
      <sz val="12"/>
      <color theme="1"/>
      <name val="Century Gothic"/>
      <family val="2"/>
    </font>
    <font>
      <b/>
      <sz val="12"/>
      <color theme="0"/>
      <name val="Century Gothic"/>
      <family val="2"/>
    </font>
    <font>
      <b/>
      <sz val="9"/>
      <color indexed="81"/>
      <name val="Tahoma"/>
      <family val="2"/>
    </font>
    <font>
      <sz val="9"/>
      <color theme="1"/>
      <name val="Calibri"/>
      <family val="2"/>
      <scheme val="minor"/>
    </font>
    <font>
      <b/>
      <sz val="10"/>
      <name val="Century Gothic"/>
      <family val="2"/>
    </font>
    <font>
      <b/>
      <sz val="10"/>
      <color theme="2"/>
      <name val="Century Gothic"/>
      <family val="2"/>
    </font>
    <font>
      <sz val="10"/>
      <color theme="3" tint="0.39997558519241921"/>
      <name val="Century Gothic"/>
      <family val="2"/>
    </font>
    <font>
      <b/>
      <sz val="8"/>
      <name val="Century Gothic"/>
      <family val="2"/>
    </font>
    <font>
      <b/>
      <sz val="8"/>
      <color theme="2"/>
      <name val="Century Gothic"/>
      <family val="2"/>
    </font>
    <font>
      <sz val="9"/>
      <name val="Century Gothic"/>
      <family val="2"/>
    </font>
    <font>
      <sz val="8"/>
      <name val="Century Gothic"/>
      <family val="2"/>
    </font>
    <font>
      <sz val="8"/>
      <color theme="0"/>
      <name val="Century Gothic"/>
      <family val="2"/>
    </font>
    <font>
      <sz val="8"/>
      <color theme="2"/>
      <name val="Century Gothic"/>
      <family val="2"/>
    </font>
    <font>
      <u/>
      <sz val="8"/>
      <color theme="10"/>
      <name val="Calibri"/>
      <family val="2"/>
      <scheme val="minor"/>
    </font>
    <font>
      <b/>
      <sz val="11"/>
      <color theme="1"/>
      <name val="Calibri"/>
      <family val="2"/>
      <scheme val="minor"/>
    </font>
    <font>
      <b/>
      <sz val="10"/>
      <color theme="2" tint="-0.749992370372631"/>
      <name val="Century Gothic"/>
      <family val="2"/>
    </font>
    <font>
      <sz val="11"/>
      <color theme="0"/>
      <name val="Calibri"/>
      <family val="2"/>
      <scheme val="minor"/>
    </font>
    <font>
      <b/>
      <sz val="10"/>
      <color rgb="FFFFFF09"/>
      <name val="Calibri"/>
      <family val="2"/>
      <scheme val="minor"/>
    </font>
    <font>
      <b/>
      <sz val="9"/>
      <color rgb="FFFF0000"/>
      <name val="Calibri"/>
      <family val="2"/>
      <scheme val="minor"/>
    </font>
    <font>
      <sz val="9"/>
      <color rgb="FF333333"/>
      <name val="Calibri"/>
      <family val="2"/>
      <scheme val="minor"/>
    </font>
    <font>
      <sz val="10"/>
      <color rgb="FF333333"/>
      <name val="Calibri"/>
      <family val="2"/>
      <scheme val="minor"/>
    </font>
    <font>
      <sz val="8"/>
      <color rgb="FF000000"/>
      <name val="Century Gothic"/>
      <family val="2"/>
    </font>
    <font>
      <sz val="9"/>
      <color rgb="FFFF0000"/>
      <name val="Century Gothic"/>
      <family val="2"/>
    </font>
    <font>
      <sz val="8"/>
      <color rgb="FF404040"/>
      <name val="Century Gothic"/>
      <family val="2"/>
    </font>
    <font>
      <b/>
      <sz val="9"/>
      <name val="Century Gothic"/>
      <family val="2"/>
    </font>
    <font>
      <sz val="7"/>
      <name val="Century Gothic"/>
      <family val="2"/>
    </font>
    <font>
      <b/>
      <sz val="12"/>
      <color theme="2" tint="-9.9978637043366805E-2"/>
      <name val="Century Gothic"/>
      <family val="2"/>
    </font>
    <font>
      <sz val="11"/>
      <color theme="1"/>
      <name val="Courier New"/>
      <family val="3"/>
    </font>
    <font>
      <sz val="8"/>
      <color theme="1"/>
      <name val="Courier New"/>
      <family val="3"/>
    </font>
    <font>
      <b/>
      <sz val="8"/>
      <color theme="0"/>
      <name val="Century Gothic"/>
      <family val="2"/>
    </font>
    <font>
      <sz val="8"/>
      <color theme="1" tint="0.34998626667073579"/>
      <name val="Century Gothic"/>
      <family val="2"/>
    </font>
    <font>
      <sz val="7"/>
      <color theme="1" tint="0.249977111117893"/>
      <name val="Century Gothic"/>
      <family val="2"/>
    </font>
    <font>
      <sz val="8"/>
      <color theme="0" tint="-4.9989318521683403E-2"/>
      <name val="Century Gothic"/>
      <family val="2"/>
    </font>
    <font>
      <b/>
      <sz val="8"/>
      <color theme="1"/>
      <name val="Century Gothic"/>
      <family val="2"/>
    </font>
  </fonts>
  <fills count="30">
    <fill>
      <patternFill patternType="none"/>
    </fill>
    <fill>
      <patternFill patternType="gray125"/>
    </fill>
    <fill>
      <patternFill patternType="solid">
        <fgColor theme="2"/>
        <bgColor indexed="64"/>
      </patternFill>
    </fill>
    <fill>
      <patternFill patternType="solid">
        <fgColor theme="8"/>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bgColor indexed="64"/>
      </patternFill>
    </fill>
    <fill>
      <patternFill patternType="solid">
        <fgColor theme="0" tint="-0.34998626667073579"/>
        <bgColor indexed="64"/>
      </patternFill>
    </fill>
    <fill>
      <patternFill patternType="solid">
        <fgColor theme="7"/>
        <bgColor indexed="64"/>
      </patternFill>
    </fill>
    <fill>
      <patternFill patternType="solid">
        <fgColor theme="5" tint="0.59999389629810485"/>
        <bgColor indexed="64"/>
      </patternFill>
    </fill>
    <fill>
      <patternFill patternType="solid">
        <fgColor rgb="FF4BACC6"/>
        <bgColor indexed="64"/>
      </patternFill>
    </fill>
    <fill>
      <patternFill patternType="solid">
        <fgColor theme="4" tint="0.79998168889431442"/>
        <bgColor theme="4" tint="0.79998168889431442"/>
      </patternFill>
    </fill>
    <fill>
      <patternFill patternType="solid">
        <fgColor rgb="FF7030A0"/>
        <bgColor indexed="64"/>
      </patternFill>
    </fill>
    <fill>
      <patternFill patternType="solid">
        <fgColor rgb="FFFFFFDD"/>
        <bgColor indexed="64"/>
      </patternFill>
    </fill>
    <fill>
      <patternFill patternType="solid">
        <fgColor rgb="FFFFFFFF"/>
        <bgColor rgb="FFFFFFFF"/>
      </patternFill>
    </fill>
    <fill>
      <patternFill patternType="solid">
        <fgColor theme="0" tint="-0.499984740745262"/>
        <bgColor rgb="FFFFFFFF"/>
      </patternFill>
    </fill>
    <fill>
      <patternFill patternType="solid">
        <fgColor theme="0" tint="-4.9989318521683403E-2"/>
        <bgColor rgb="FFFFFFFF"/>
      </patternFill>
    </fill>
    <fill>
      <patternFill patternType="solid">
        <fgColor rgb="FFFFFFCC"/>
        <bgColor rgb="FFFFFFFF"/>
      </patternFill>
    </fill>
    <fill>
      <patternFill patternType="solid">
        <fgColor theme="9" tint="0.79998168889431442"/>
        <bgColor rgb="FFFFFFFF"/>
      </patternFill>
    </fill>
    <fill>
      <patternFill patternType="solid">
        <fgColor rgb="FFFFFFCD"/>
        <bgColor indexed="64"/>
      </patternFill>
    </fill>
    <fill>
      <patternFill patternType="solid">
        <fgColor rgb="FFF2F2F2"/>
        <bgColor rgb="FF000000"/>
      </patternFill>
    </fill>
    <fill>
      <patternFill patternType="solid">
        <fgColor theme="0"/>
        <bgColor indexed="64"/>
      </patternFill>
    </fill>
    <fill>
      <patternFill patternType="solid">
        <fgColor theme="4" tint="0.79998168889431442"/>
        <bgColor indexed="64"/>
      </patternFill>
    </fill>
    <fill>
      <patternFill patternType="solid">
        <fgColor rgb="FFEDE2F6"/>
        <bgColor theme="4" tint="0.79998168889431442"/>
      </patternFill>
    </fill>
    <fill>
      <patternFill patternType="solid">
        <fgColor rgb="FFEDE2F6"/>
        <bgColor indexed="64"/>
      </patternFill>
    </fill>
  </fills>
  <borders count="47">
    <border>
      <left/>
      <right/>
      <top/>
      <bottom/>
      <diagonal/>
    </border>
    <border>
      <left/>
      <right style="hair">
        <color theme="1" tint="0.499984740745262"/>
      </right>
      <top/>
      <bottom style="thin">
        <color theme="1" tint="0.499984740745262"/>
      </bottom>
      <diagonal/>
    </border>
    <border>
      <left style="hair">
        <color theme="1" tint="0.499984740745262"/>
      </left>
      <right style="hair">
        <color theme="1" tint="0.499984740745262"/>
      </right>
      <top/>
      <bottom style="thin">
        <color theme="1" tint="0.499984740745262"/>
      </bottom>
      <diagonal/>
    </border>
    <border>
      <left style="hair">
        <color theme="1" tint="0.499984740745262"/>
      </left>
      <right/>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style="medium">
        <color theme="1" tint="0.499984740745262"/>
      </left>
      <right/>
      <top/>
      <bottom/>
      <diagonal/>
    </border>
    <border>
      <left style="medium">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medium">
        <color theme="1" tint="0.499984740745262"/>
      </left>
      <right style="hair">
        <color theme="1" tint="0.499984740745262"/>
      </right>
      <top/>
      <bottom style="thin">
        <color theme="1" tint="0.499984740745262"/>
      </bottom>
      <diagonal/>
    </border>
    <border>
      <left style="hair">
        <color theme="1" tint="0.499984740745262"/>
      </left>
      <right style="medium">
        <color theme="1" tint="0.499984740745262"/>
      </right>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theme="1" tint="0.499984740745262"/>
      </right>
      <top/>
      <bottom/>
      <diagonal/>
    </border>
    <border>
      <left style="hair">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hair">
        <color theme="1" tint="0.499984740745262"/>
      </right>
      <top style="thin">
        <color theme="1" tint="0.499984740745262"/>
      </top>
      <bottom style="thin">
        <color theme="1" tint="0.499984740745262"/>
      </bottom>
      <diagonal/>
    </border>
    <border>
      <left style="medium">
        <color auto="1"/>
      </left>
      <right style="medium">
        <color auto="1"/>
      </right>
      <top/>
      <bottom style="thin">
        <color theme="1" tint="0.499984740745262"/>
      </bottom>
      <diagonal/>
    </border>
    <border>
      <left/>
      <right style="hair">
        <color theme="1" tint="0.499984740745262"/>
      </right>
      <top style="thin">
        <color theme="1" tint="0.499984740745262"/>
      </top>
      <bottom style="thin">
        <color theme="1" tint="0.499984740745262"/>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theme="1" tint="0.499984740745262"/>
      </right>
      <top/>
      <bottom/>
      <diagonal/>
    </border>
    <border>
      <left style="hair">
        <color theme="1" tint="0.499984740745262"/>
      </left>
      <right style="hair">
        <color theme="1" tint="0.499984740745262"/>
      </right>
      <top/>
      <bottom/>
      <diagonal/>
    </border>
    <border>
      <left style="hair">
        <color theme="1" tint="0.499984740745262"/>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top/>
      <bottom style="thin">
        <color rgb="FF808080"/>
      </bottom>
      <diagonal/>
    </border>
    <border>
      <left style="thin">
        <color rgb="FF808080"/>
      </left>
      <right/>
      <top/>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style="thin">
        <color rgb="FF808080"/>
      </right>
      <top style="thin">
        <color rgb="FF808080"/>
      </top>
      <bottom/>
      <diagonal/>
    </border>
    <border>
      <left/>
      <right style="thin">
        <color rgb="FF808080"/>
      </right>
      <top style="thin">
        <color rgb="FF808080"/>
      </top>
      <bottom/>
      <diagonal/>
    </border>
    <border>
      <left style="thin">
        <color rgb="FF808080"/>
      </left>
      <right/>
      <top style="thin">
        <color rgb="FF808080"/>
      </top>
      <bottom/>
      <diagonal/>
    </border>
    <border>
      <left style="hair">
        <color theme="1" tint="0.499984740745262"/>
      </left>
      <right style="hair">
        <color theme="1" tint="0.499984740745262"/>
      </right>
      <top style="thin">
        <color theme="1" tint="0.499984740745262"/>
      </top>
      <bottom/>
      <diagonal/>
    </border>
    <border>
      <left style="hair">
        <color theme="1" tint="0.499984740745262"/>
      </left>
      <right/>
      <top style="thin">
        <color theme="1" tint="0.499984740745262"/>
      </top>
      <bottom/>
      <diagonal/>
    </border>
    <border>
      <left/>
      <right style="hair">
        <color theme="1" tint="0.499984740745262"/>
      </right>
      <top style="thin">
        <color theme="1" tint="0.499984740745262"/>
      </top>
      <bottom/>
      <diagonal/>
    </border>
    <border>
      <left style="thin">
        <color indexed="64"/>
      </left>
      <right style="thin">
        <color indexed="64"/>
      </right>
      <top style="thin">
        <color indexed="64"/>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42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xf numFmtId="9" fontId="3" fillId="0" borderId="12" xfId="1" applyFont="1" applyBorder="1" applyAlignment="1">
      <alignment horizontal="center" vertical="center"/>
    </xf>
    <xf numFmtId="0" fontId="0" fillId="0" borderId="0" xfId="0" applyAlignment="1">
      <alignment wrapText="1"/>
    </xf>
    <xf numFmtId="0" fontId="12" fillId="0" borderId="0" xfId="0" applyFont="1"/>
    <xf numFmtId="0" fontId="7" fillId="3" borderId="0" xfId="0" applyFont="1" applyFill="1" applyAlignment="1">
      <alignment horizontal="center" vertical="center"/>
    </xf>
    <xf numFmtId="0" fontId="3" fillId="0" borderId="0" xfId="0" applyFont="1" applyAlignment="1">
      <alignment horizontal="left" vertical="center"/>
    </xf>
    <xf numFmtId="0" fontId="4" fillId="0" borderId="12" xfId="0" applyFont="1" applyBorder="1" applyAlignment="1">
      <alignment vertical="center"/>
    </xf>
    <xf numFmtId="0" fontId="3" fillId="0" borderId="0" xfId="0" applyFont="1" applyAlignment="1" applyProtection="1">
      <alignment horizontal="center" vertical="center"/>
      <protection locked="0"/>
    </xf>
    <xf numFmtId="0" fontId="3" fillId="0" borderId="0" xfId="0" applyFont="1" applyAlignment="1" applyProtection="1">
      <alignment vertical="center"/>
      <protection locked="0"/>
    </xf>
    <xf numFmtId="0" fontId="6" fillId="0" borderId="0" xfId="0" applyFont="1" applyAlignment="1" applyProtection="1">
      <alignment horizontal="center" vertical="center"/>
    </xf>
    <xf numFmtId="0" fontId="6" fillId="0" borderId="0" xfId="0" applyFont="1" applyAlignment="1" applyProtection="1">
      <alignment vertical="center"/>
    </xf>
    <xf numFmtId="0" fontId="3" fillId="0" borderId="0" xfId="0" applyFont="1" applyAlignment="1" applyProtection="1">
      <alignment horizontal="center" vertical="center"/>
    </xf>
    <xf numFmtId="0" fontId="3" fillId="0" borderId="4"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xf>
    <xf numFmtId="0" fontId="3" fillId="8" borderId="2" xfId="0" applyFont="1" applyFill="1" applyBorder="1" applyAlignment="1" applyProtection="1">
      <alignment vertical="center"/>
    </xf>
    <xf numFmtId="0" fontId="8" fillId="8" borderId="2" xfId="2" applyFont="1" applyFill="1" applyBorder="1" applyAlignment="1" applyProtection="1">
      <alignment vertical="center"/>
    </xf>
    <xf numFmtId="0" fontId="13" fillId="0" borderId="4"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vertical="center"/>
    </xf>
    <xf numFmtId="0" fontId="15" fillId="0" borderId="0" xfId="0" applyFont="1" applyAlignment="1" applyProtection="1">
      <alignment horizontal="center" vertical="center"/>
      <protection locked="0"/>
    </xf>
    <xf numFmtId="0" fontId="15" fillId="0" borderId="0" xfId="0" applyFont="1" applyAlignment="1" applyProtection="1">
      <alignment vertical="center"/>
      <protection locked="0"/>
    </xf>
    <xf numFmtId="0" fontId="13" fillId="9" borderId="11" xfId="0" applyFont="1" applyFill="1" applyBorder="1" applyAlignment="1" applyProtection="1">
      <alignment horizontal="center" vertical="center"/>
    </xf>
    <xf numFmtId="166" fontId="3" fillId="0" borderId="0" xfId="0" applyNumberFormat="1" applyFont="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20" fontId="5" fillId="0" borderId="8" xfId="0" applyNumberFormat="1" applyFont="1" applyFill="1" applyBorder="1" applyAlignment="1" applyProtection="1">
      <alignment horizontal="center" vertical="center"/>
    </xf>
    <xf numFmtId="0" fontId="13" fillId="0" borderId="18" xfId="0" applyFont="1" applyFill="1" applyBorder="1" applyAlignment="1" applyProtection="1">
      <alignment horizontal="center" vertical="center"/>
      <protection locked="0"/>
    </xf>
    <xf numFmtId="166" fontId="13" fillId="0" borderId="4" xfId="0" applyNumberFormat="1" applyFont="1" applyFill="1" applyBorder="1" applyAlignment="1" applyProtection="1">
      <alignment horizontal="center" vertical="center"/>
      <protection locked="0"/>
    </xf>
    <xf numFmtId="166" fontId="13" fillId="9" borderId="5" xfId="0" applyNumberFormat="1" applyFont="1" applyFill="1" applyBorder="1" applyAlignment="1" applyProtection="1">
      <alignment horizontal="center" vertical="center"/>
    </xf>
    <xf numFmtId="166" fontId="13" fillId="9" borderId="17" xfId="0" applyNumberFormat="1" applyFont="1" applyFill="1" applyBorder="1" applyAlignment="1" applyProtection="1">
      <alignment horizontal="center" vertical="center"/>
    </xf>
    <xf numFmtId="0" fontId="15" fillId="0" borderId="0" xfId="0" applyFont="1" applyFill="1" applyAlignment="1" applyProtection="1">
      <alignment vertical="center"/>
    </xf>
    <xf numFmtId="0" fontId="5" fillId="9" borderId="3" xfId="0" applyFont="1" applyFill="1" applyBorder="1" applyAlignment="1" applyProtection="1">
      <alignment horizontal="center" vertical="center"/>
    </xf>
    <xf numFmtId="0" fontId="9" fillId="9" borderId="3" xfId="0" applyFont="1" applyFill="1" applyBorder="1" applyAlignment="1" applyProtection="1">
      <alignment horizontal="left" vertical="center" wrapText="1"/>
    </xf>
    <xf numFmtId="0" fontId="5" fillId="0" borderId="0" xfId="0" applyFont="1" applyAlignment="1" applyProtection="1">
      <alignment vertical="center"/>
      <protection locked="0"/>
    </xf>
    <xf numFmtId="49" fontId="5" fillId="0" borderId="0" xfId="0" applyNumberFormat="1" applyFont="1" applyAlignment="1" applyProtection="1">
      <alignment vertical="center"/>
      <protection locked="0"/>
    </xf>
    <xf numFmtId="0" fontId="5" fillId="0" borderId="4" xfId="0" applyFont="1" applyFill="1" applyBorder="1" applyAlignment="1" applyProtection="1">
      <alignment vertical="center"/>
      <protection locked="0"/>
    </xf>
    <xf numFmtId="49" fontId="5" fillId="0" borderId="4" xfId="0" applyNumberFormat="1" applyFont="1" applyFill="1" applyBorder="1" applyAlignment="1" applyProtection="1">
      <alignment horizontal="center" vertical="center"/>
      <protection locked="0"/>
    </xf>
    <xf numFmtId="0" fontId="5" fillId="0" borderId="17" xfId="0" applyFont="1" applyFill="1" applyBorder="1" applyAlignment="1" applyProtection="1">
      <alignment vertical="center"/>
      <protection locked="0"/>
    </xf>
    <xf numFmtId="0" fontId="7" fillId="4" borderId="0" xfId="0" applyFont="1" applyFill="1" applyAlignment="1">
      <alignment vertical="center"/>
    </xf>
    <xf numFmtId="0" fontId="3" fillId="0" borderId="3" xfId="0" applyFont="1" applyFill="1" applyBorder="1" applyAlignment="1" applyProtection="1">
      <alignment horizontal="center" vertical="center"/>
      <protection locked="0"/>
    </xf>
    <xf numFmtId="0" fontId="5" fillId="0" borderId="0" xfId="0" applyFont="1" applyAlignment="1">
      <alignment vertical="center"/>
    </xf>
    <xf numFmtId="0" fontId="3" fillId="8" borderId="2" xfId="0" applyFont="1" applyFill="1" applyBorder="1" applyAlignment="1">
      <alignment vertical="center"/>
    </xf>
    <xf numFmtId="0" fontId="8" fillId="8" borderId="2" xfId="2" applyFont="1" applyFill="1" applyBorder="1" applyAlignment="1">
      <alignment vertical="center"/>
    </xf>
    <xf numFmtId="0" fontId="8" fillId="8" borderId="3" xfId="2" applyFont="1" applyFill="1" applyBorder="1" applyAlignment="1">
      <alignment vertical="center"/>
    </xf>
    <xf numFmtId="0" fontId="3" fillId="8" borderId="3" xfId="0" applyFont="1" applyFill="1" applyBorder="1" applyAlignment="1">
      <alignment horizontal="center" vertical="center"/>
    </xf>
    <xf numFmtId="0" fontId="3" fillId="2" borderId="8"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8" fillId="2" borderId="1" xfId="2" applyFont="1" applyFill="1" applyBorder="1" applyAlignment="1" applyProtection="1">
      <alignment vertical="center"/>
      <protection locked="0"/>
    </xf>
    <xf numFmtId="0" fontId="7" fillId="3" borderId="0" xfId="0" applyFont="1" applyFill="1" applyAlignment="1">
      <alignment horizontal="center" vertical="center"/>
    </xf>
    <xf numFmtId="0" fontId="13" fillId="0" borderId="4" xfId="0" applyNumberFormat="1" applyFont="1" applyFill="1" applyBorder="1" applyAlignment="1" applyProtection="1">
      <alignment horizontal="center" vertical="center"/>
      <protection locked="0"/>
    </xf>
    <xf numFmtId="0" fontId="13" fillId="0" borderId="20" xfId="0" applyNumberFormat="1" applyFont="1" applyFill="1" applyBorder="1" applyAlignment="1" applyProtection="1">
      <alignment horizontal="center" vertical="center"/>
      <protection locked="0"/>
    </xf>
    <xf numFmtId="0" fontId="13" fillId="0" borderId="17" xfId="0" applyNumberFormat="1" applyFont="1" applyFill="1" applyBorder="1" applyAlignment="1" applyProtection="1">
      <alignment horizontal="center" vertical="center"/>
      <protection locked="0"/>
    </xf>
    <xf numFmtId="0" fontId="13" fillId="0" borderId="20" xfId="0" applyNumberFormat="1" applyFont="1" applyFill="1" applyBorder="1" applyAlignment="1" applyProtection="1">
      <alignment horizontal="left" vertical="center"/>
      <protection locked="0"/>
    </xf>
    <xf numFmtId="0" fontId="6" fillId="13" borderId="12" xfId="0" applyFont="1" applyFill="1" applyBorder="1" applyAlignment="1">
      <alignment horizontal="center" vertical="center"/>
    </xf>
    <xf numFmtId="0" fontId="6" fillId="13" borderId="12" xfId="0" applyFont="1" applyFill="1" applyBorder="1" applyAlignment="1">
      <alignment horizontal="center" vertical="center" wrapText="1"/>
    </xf>
    <xf numFmtId="0" fontId="21" fillId="0" borderId="0" xfId="0" applyFont="1" applyAlignment="1">
      <alignment horizontal="left"/>
    </xf>
    <xf numFmtId="0" fontId="6" fillId="13" borderId="13" xfId="0" applyFont="1" applyFill="1" applyBorder="1" applyAlignment="1">
      <alignment horizontal="center" vertical="center"/>
    </xf>
    <xf numFmtId="0" fontId="6" fillId="13" borderId="15" xfId="0" applyFont="1" applyFill="1" applyBorder="1" applyAlignment="1">
      <alignment horizontal="left" vertical="center"/>
    </xf>
    <xf numFmtId="0" fontId="6" fillId="13" borderId="15" xfId="0" applyFont="1" applyFill="1" applyBorder="1" applyAlignment="1">
      <alignment vertical="center"/>
    </xf>
    <xf numFmtId="0" fontId="6" fillId="13" borderId="14" xfId="0" applyFont="1" applyFill="1" applyBorder="1" applyAlignment="1">
      <alignment vertical="center"/>
    </xf>
    <xf numFmtId="0" fontId="3" fillId="0" borderId="13" xfId="0" applyFont="1" applyBorder="1" applyAlignment="1">
      <alignment horizontal="center" vertical="center"/>
    </xf>
    <xf numFmtId="0" fontId="3" fillId="6" borderId="15" xfId="0" applyFont="1" applyFill="1" applyBorder="1" applyAlignment="1">
      <alignment vertical="center"/>
    </xf>
    <xf numFmtId="0" fontId="3" fillId="6" borderId="15" xfId="0" applyFont="1" applyFill="1" applyBorder="1"/>
    <xf numFmtId="0" fontId="3" fillId="6" borderId="14" xfId="0" applyFont="1" applyFill="1" applyBorder="1"/>
    <xf numFmtId="0" fontId="16" fillId="0" borderId="0" xfId="0" applyFont="1" applyAlignment="1">
      <alignment vertical="center"/>
    </xf>
    <xf numFmtId="164" fontId="13" fillId="0" borderId="7" xfId="0" applyNumberFormat="1" applyFont="1" applyFill="1" applyBorder="1" applyAlignment="1" applyProtection="1">
      <alignment horizontal="center" vertical="center"/>
      <protection locked="0"/>
    </xf>
    <xf numFmtId="164" fontId="13" fillId="0" borderId="2" xfId="0" applyNumberFormat="1" applyFont="1" applyFill="1" applyBorder="1" applyAlignment="1" applyProtection="1">
      <alignment horizontal="center" vertical="center"/>
      <protection locked="0"/>
    </xf>
    <xf numFmtId="9" fontId="13" fillId="0" borderId="3" xfId="1" applyFont="1" applyFill="1" applyBorder="1" applyAlignment="1" applyProtection="1">
      <alignment horizontal="center" vertical="center"/>
      <protection locked="0"/>
    </xf>
    <xf numFmtId="9" fontId="13" fillId="0" borderId="8" xfId="1" applyFont="1" applyFill="1" applyBorder="1" applyAlignment="1" applyProtection="1">
      <alignment horizontal="center" vertical="center"/>
      <protection locked="0"/>
    </xf>
    <xf numFmtId="0" fontId="13" fillId="9" borderId="8" xfId="1" applyNumberFormat="1" applyFont="1" applyFill="1" applyBorder="1" applyAlignment="1" applyProtection="1">
      <alignment horizontal="center" vertical="center"/>
    </xf>
    <xf numFmtId="0" fontId="13" fillId="9" borderId="3" xfId="0" applyFont="1" applyFill="1" applyBorder="1" applyAlignment="1" applyProtection="1">
      <alignment horizontal="center" vertical="center"/>
    </xf>
    <xf numFmtId="166" fontId="13" fillId="9" borderId="3" xfId="0" applyNumberFormat="1" applyFont="1" applyFill="1" applyBorder="1" applyAlignment="1" applyProtection="1">
      <alignment horizontal="center" vertical="center"/>
    </xf>
    <xf numFmtId="20" fontId="13" fillId="9" borderId="3" xfId="0" applyNumberFormat="1" applyFont="1" applyFill="1" applyBorder="1" applyAlignment="1" applyProtection="1">
      <alignment horizontal="center" vertical="center"/>
    </xf>
    <xf numFmtId="9" fontId="13" fillId="0" borderId="9" xfId="1" applyFont="1" applyFill="1" applyBorder="1" applyAlignment="1" applyProtection="1">
      <alignment horizontal="center" vertical="center"/>
      <protection locked="0"/>
    </xf>
    <xf numFmtId="0" fontId="3" fillId="6" borderId="12" xfId="0" applyFont="1" applyFill="1" applyBorder="1" applyAlignment="1" applyProtection="1">
      <alignment horizontal="center" vertical="center"/>
      <protection locked="0"/>
    </xf>
    <xf numFmtId="0" fontId="3" fillId="6" borderId="15" xfId="0" applyFont="1" applyFill="1" applyBorder="1" applyAlignment="1" applyProtection="1">
      <alignment horizontal="left" vertical="center"/>
      <protection locked="0"/>
    </xf>
    <xf numFmtId="0" fontId="17" fillId="6" borderId="15" xfId="0" applyFont="1" applyFill="1" applyBorder="1" applyAlignment="1" applyProtection="1">
      <alignment vertical="center"/>
      <protection locked="0"/>
    </xf>
    <xf numFmtId="0" fontId="3" fillId="6" borderId="12" xfId="0" applyFont="1" applyFill="1" applyBorder="1" applyAlignment="1" applyProtection="1">
      <alignment horizontal="left" vertical="center"/>
      <protection locked="0"/>
    </xf>
    <xf numFmtId="0" fontId="3" fillId="6" borderId="12" xfId="0" applyFont="1" applyFill="1" applyBorder="1" applyAlignment="1" applyProtection="1">
      <alignment vertical="center"/>
      <protection locked="0"/>
    </xf>
    <xf numFmtId="166" fontId="3" fillId="0" borderId="12" xfId="0" applyNumberFormat="1" applyFont="1" applyFill="1" applyBorder="1" applyAlignment="1" applyProtection="1">
      <alignment horizontal="center" vertical="center"/>
      <protection locked="0"/>
    </xf>
    <xf numFmtId="0" fontId="6" fillId="12" borderId="1" xfId="0" applyNumberFormat="1" applyFont="1" applyFill="1" applyBorder="1" applyAlignment="1" applyProtection="1">
      <alignment horizontal="center" vertical="center"/>
    </xf>
    <xf numFmtId="0" fontId="6" fillId="7" borderId="0" xfId="0" applyFont="1" applyFill="1" applyAlignment="1" applyProtection="1">
      <alignment horizontal="center" vertical="center"/>
      <protection locked="0"/>
    </xf>
    <xf numFmtId="0" fontId="4" fillId="12" borderId="0" xfId="0" applyFont="1" applyFill="1" applyAlignment="1" applyProtection="1">
      <alignment horizontal="center" vertical="center"/>
      <protection locked="0"/>
    </xf>
    <xf numFmtId="0" fontId="0" fillId="0" borderId="0" xfId="0" applyProtection="1">
      <protection locked="0"/>
    </xf>
    <xf numFmtId="0" fontId="5" fillId="0" borderId="4" xfId="0" applyFont="1" applyBorder="1" applyAlignment="1" applyProtection="1">
      <alignment horizontal="center" vertical="center"/>
    </xf>
    <xf numFmtId="0" fontId="22" fillId="8" borderId="4" xfId="0" applyFont="1" applyFill="1" applyBorder="1" applyAlignment="1" applyProtection="1">
      <alignment horizontal="center" vertical="center"/>
    </xf>
    <xf numFmtId="0" fontId="22" fillId="8" borderId="4" xfId="0" applyFont="1" applyFill="1" applyBorder="1" applyAlignment="1">
      <alignment vertical="center"/>
    </xf>
    <xf numFmtId="0" fontId="22" fillId="8" borderId="4" xfId="0" applyFont="1" applyFill="1" applyBorder="1" applyAlignment="1">
      <alignment horizontal="center" vertical="center"/>
    </xf>
    <xf numFmtId="0" fontId="7" fillId="3" borderId="0" xfId="0" applyFont="1" applyFill="1" applyAlignment="1">
      <alignment horizontal="center" vertical="center"/>
    </xf>
    <xf numFmtId="164" fontId="3" fillId="8" borderId="3" xfId="0" applyNumberFormat="1" applyFont="1" applyFill="1" applyBorder="1" applyAlignment="1">
      <alignment horizontal="center" vertical="center"/>
    </xf>
    <xf numFmtId="164" fontId="3" fillId="0" borderId="3" xfId="0" applyNumberFormat="1"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24" fillId="13" borderId="0" xfId="0" applyFont="1" applyFill="1" applyAlignment="1">
      <alignment horizontal="center" vertical="center"/>
    </xf>
    <xf numFmtId="0" fontId="23" fillId="0" borderId="0" xfId="0" applyNumberFormat="1" applyFont="1" applyAlignment="1">
      <alignment horizontal="center" vertical="center"/>
    </xf>
    <xf numFmtId="0" fontId="23" fillId="8" borderId="1" xfId="0" applyNumberFormat="1" applyFont="1" applyFill="1" applyBorder="1" applyAlignment="1">
      <alignment horizontal="center" vertical="center"/>
    </xf>
    <xf numFmtId="0" fontId="23" fillId="8" borderId="3" xfId="0" applyFont="1" applyFill="1" applyBorder="1" applyAlignment="1" applyProtection="1">
      <alignment horizontal="center" vertical="center"/>
    </xf>
    <xf numFmtId="0" fontId="19" fillId="0" borderId="0" xfId="0" applyFont="1" applyAlignment="1" applyProtection="1">
      <alignment vertical="center"/>
    </xf>
    <xf numFmtId="164" fontId="3" fillId="6" borderId="12" xfId="3" applyNumberFormat="1" applyFont="1" applyFill="1" applyBorder="1" applyAlignment="1" applyProtection="1">
      <alignment horizontal="left" vertical="center"/>
    </xf>
    <xf numFmtId="0" fontId="3" fillId="14" borderId="12" xfId="0" applyFont="1" applyFill="1" applyBorder="1" applyAlignment="1" applyProtection="1">
      <alignment horizontal="left" vertical="center"/>
      <protection locked="0"/>
    </xf>
    <xf numFmtId="164" fontId="3" fillId="14" borderId="12" xfId="0" applyNumberFormat="1" applyFont="1" applyFill="1" applyBorder="1" applyAlignment="1" applyProtection="1">
      <alignment horizontal="left" vertical="center"/>
      <protection locked="0"/>
    </xf>
    <xf numFmtId="165" fontId="3" fillId="14" borderId="12" xfId="3" applyNumberFormat="1" applyFont="1" applyFill="1" applyBorder="1" applyAlignment="1" applyProtection="1">
      <alignment horizontal="left" vertical="center"/>
      <protection locked="0"/>
    </xf>
    <xf numFmtId="164" fontId="3" fillId="14" borderId="12" xfId="3" applyNumberFormat="1" applyFont="1" applyFill="1" applyBorder="1" applyAlignment="1" applyProtection="1">
      <alignment horizontal="left" vertical="center"/>
      <protection locked="0"/>
    </xf>
    <xf numFmtId="9" fontId="3" fillId="0" borderId="0" xfId="1" applyFont="1" applyBorder="1" applyAlignment="1">
      <alignment horizontal="center" vertical="center"/>
    </xf>
    <xf numFmtId="0" fontId="3" fillId="0" borderId="0" xfId="0" applyFont="1" applyFill="1" applyAlignment="1" applyProtection="1">
      <alignment horizontal="center" vertical="center"/>
    </xf>
    <xf numFmtId="2" fontId="3" fillId="0" borderId="12" xfId="0" applyNumberFormat="1" applyFont="1" applyFill="1" applyBorder="1" applyAlignment="1" applyProtection="1">
      <alignment horizontal="center" vertical="center"/>
      <protection locked="0"/>
    </xf>
    <xf numFmtId="0" fontId="0" fillId="0" borderId="12" xfId="0" applyBorder="1" applyAlignment="1">
      <alignment horizontal="center"/>
    </xf>
    <xf numFmtId="2" fontId="3" fillId="0" borderId="23" xfId="0" applyNumberFormat="1" applyFont="1" applyFill="1" applyBorder="1" applyAlignment="1" applyProtection="1">
      <alignment horizontal="center" vertical="center"/>
      <protection locked="0"/>
    </xf>
    <xf numFmtId="9" fontId="0" fillId="0" borderId="0" xfId="1" applyFont="1"/>
    <xf numFmtId="0" fontId="7" fillId="3" borderId="0" xfId="0" applyFont="1" applyFill="1" applyAlignment="1" applyProtection="1">
      <alignment horizontal="center" vertical="center"/>
    </xf>
    <xf numFmtId="0" fontId="6" fillId="4" borderId="0" xfId="0" applyFont="1" applyFill="1" applyAlignment="1" applyProtection="1">
      <alignment horizontal="center" vertical="center"/>
    </xf>
    <xf numFmtId="0" fontId="6" fillId="7" borderId="0" xfId="0" applyFont="1" applyFill="1" applyAlignment="1" applyProtection="1">
      <alignment horizontal="center" vertical="center"/>
    </xf>
    <xf numFmtId="0" fontId="6" fillId="7" borderId="0" xfId="0" applyFont="1" applyFill="1" applyAlignment="1" applyProtection="1">
      <alignment horizontal="left" vertical="center"/>
    </xf>
    <xf numFmtId="0" fontId="0" fillId="0" borderId="0" xfId="0" applyAlignment="1">
      <alignment vertical="top"/>
    </xf>
    <xf numFmtId="0" fontId="26" fillId="0" borderId="0" xfId="0" applyFont="1" applyAlignment="1">
      <alignment vertical="center"/>
    </xf>
    <xf numFmtId="2" fontId="13" fillId="0" borderId="8" xfId="1" applyNumberFormat="1" applyFont="1" applyFill="1" applyBorder="1" applyAlignment="1" applyProtection="1">
      <alignment horizontal="center" vertical="center"/>
    </xf>
    <xf numFmtId="0" fontId="3" fillId="0" borderId="12" xfId="0" applyFont="1" applyBorder="1" applyAlignment="1">
      <alignment vertical="center"/>
    </xf>
    <xf numFmtId="0" fontId="27" fillId="0" borderId="1" xfId="0" applyNumberFormat="1"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49" fontId="27" fillId="2" borderId="0" xfId="0" applyNumberFormat="1"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protection locked="0"/>
    </xf>
    <xf numFmtId="0" fontId="27" fillId="2" borderId="6" xfId="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6" xfId="0" applyFont="1" applyFill="1" applyBorder="1" applyAlignment="1" applyProtection="1">
      <alignment vertical="center"/>
      <protection locked="0"/>
    </xf>
    <xf numFmtId="0" fontId="29" fillId="0" borderId="0" xfId="0" applyFont="1" applyAlignment="1" applyProtection="1">
      <alignment vertical="center"/>
      <protection locked="0"/>
    </xf>
    <xf numFmtId="0" fontId="6" fillId="12" borderId="27" xfId="0" applyNumberFormat="1" applyFont="1" applyFill="1"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wrapText="1"/>
      <protection locked="0"/>
    </xf>
    <xf numFmtId="0" fontId="3" fillId="8" borderId="2" xfId="0" applyFont="1" applyFill="1" applyBorder="1" applyAlignment="1" applyProtection="1">
      <alignment vertical="center"/>
      <protection locked="0"/>
    </xf>
    <xf numFmtId="0" fontId="8" fillId="8" borderId="2" xfId="2" applyFont="1" applyFill="1" applyBorder="1" applyAlignment="1" applyProtection="1">
      <alignment vertical="center"/>
      <protection locked="0"/>
    </xf>
    <xf numFmtId="0" fontId="8" fillId="8" borderId="3" xfId="2" applyFont="1" applyFill="1" applyBorder="1" applyAlignment="1" applyProtection="1">
      <alignment vertical="center"/>
      <protection locked="0"/>
    </xf>
    <xf numFmtId="0" fontId="3" fillId="8" borderId="3" xfId="0" applyFont="1" applyFill="1" applyBorder="1" applyAlignment="1" applyProtection="1">
      <alignment horizontal="center" vertical="center"/>
      <protection locked="0"/>
    </xf>
    <xf numFmtId="0" fontId="0" fillId="12" borderId="19" xfId="0" applyFont="1" applyFill="1" applyBorder="1" applyAlignment="1" applyProtection="1">
      <alignment horizontal="center" vertical="center"/>
      <protection locked="0"/>
    </xf>
    <xf numFmtId="0" fontId="11" fillId="2" borderId="2" xfId="0" applyFont="1" applyFill="1" applyBorder="1" applyAlignment="1" applyProtection="1">
      <alignment vertical="center" wrapText="1"/>
      <protection locked="0"/>
    </xf>
    <xf numFmtId="0" fontId="27" fillId="2" borderId="0" xfId="0" applyFont="1" applyFill="1" applyAlignment="1">
      <alignment horizontal="center" vertical="center"/>
    </xf>
    <xf numFmtId="0" fontId="27" fillId="2" borderId="0" xfId="0" applyFont="1" applyFill="1" applyAlignment="1">
      <alignment horizontal="center" vertical="center" wrapText="1"/>
    </xf>
    <xf numFmtId="0" fontId="28" fillId="2" borderId="0" xfId="0" applyFont="1" applyFill="1" applyBorder="1" applyAlignment="1" applyProtection="1">
      <alignment horizontal="center" vertical="center"/>
      <protection locked="0"/>
    </xf>
    <xf numFmtId="0" fontId="28" fillId="2" borderId="16" xfId="0" applyFont="1" applyFill="1" applyBorder="1" applyAlignment="1" applyProtection="1">
      <alignment horizontal="center" vertical="center"/>
      <protection locked="0"/>
    </xf>
    <xf numFmtId="0" fontId="3" fillId="0" borderId="0" xfId="0" applyFont="1" applyFill="1" applyAlignment="1">
      <alignment vertical="center"/>
    </xf>
    <xf numFmtId="0" fontId="22" fillId="8" borderId="4" xfId="0" applyFont="1" applyFill="1" applyBorder="1" applyAlignment="1" applyProtection="1">
      <alignment vertical="center"/>
    </xf>
    <xf numFmtId="164" fontId="3" fillId="0" borderId="29" xfId="0" applyNumberFormat="1" applyFont="1" applyFill="1" applyBorder="1" applyAlignment="1" applyProtection="1">
      <alignment horizontal="center" vertical="center"/>
      <protection locked="0"/>
    </xf>
    <xf numFmtId="0" fontId="23" fillId="8" borderId="29" xfId="0" applyFont="1" applyFill="1" applyBorder="1" applyAlignment="1" applyProtection="1">
      <alignment horizontal="center" vertical="center"/>
    </xf>
    <xf numFmtId="0" fontId="23" fillId="0" borderId="29" xfId="0" applyFont="1" applyFill="1" applyBorder="1" applyAlignment="1" applyProtection="1">
      <alignment horizontal="center" vertical="center"/>
      <protection locked="0"/>
    </xf>
    <xf numFmtId="0" fontId="31" fillId="2" borderId="0" xfId="0" applyNumberFormat="1" applyFont="1" applyFill="1" applyAlignment="1" applyProtection="1">
      <alignment horizontal="center" vertical="center"/>
      <protection locked="0"/>
    </xf>
    <xf numFmtId="164" fontId="3" fillId="8" borderId="3" xfId="0" applyNumberFormat="1" applyFont="1" applyFill="1" applyBorder="1" applyAlignment="1" applyProtection="1">
      <alignment horizontal="center" vertical="center"/>
      <protection locked="0"/>
    </xf>
    <xf numFmtId="0" fontId="23" fillId="8" borderId="1" xfId="0" applyNumberFormat="1" applyFont="1" applyFill="1" applyBorder="1" applyAlignment="1" applyProtection="1">
      <alignment horizontal="center" vertical="center"/>
      <protection locked="0"/>
    </xf>
    <xf numFmtId="0" fontId="3" fillId="15" borderId="0" xfId="0" applyFont="1" applyFill="1" applyAlignment="1" applyProtection="1">
      <alignment horizontal="center" vertical="center"/>
      <protection locked="0"/>
    </xf>
    <xf numFmtId="0" fontId="3" fillId="15" borderId="0" xfId="0" applyFont="1" applyFill="1" applyAlignment="1">
      <alignment horizontal="center" vertical="center"/>
    </xf>
    <xf numFmtId="0" fontId="30" fillId="2" borderId="0" xfId="0" applyFont="1" applyFill="1" applyAlignment="1" applyProtection="1">
      <alignment horizontal="center" vertical="center" wrapText="1"/>
      <protection locked="0"/>
    </xf>
    <xf numFmtId="0" fontId="6" fillId="12" borderId="0" xfId="0" applyNumberFormat="1"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5" fillId="2" borderId="0" xfId="0" applyFont="1" applyFill="1" applyBorder="1" applyAlignment="1" applyProtection="1">
      <alignment horizontal="center" vertical="center"/>
      <protection locked="0"/>
    </xf>
    <xf numFmtId="0" fontId="22" fillId="8" borderId="0" xfId="0" applyFont="1" applyFill="1" applyBorder="1" applyAlignment="1" applyProtection="1">
      <alignment horizontal="center" vertical="center"/>
    </xf>
    <xf numFmtId="0" fontId="22" fillId="8" borderId="0" xfId="0" applyFont="1" applyFill="1" applyBorder="1" applyAlignment="1">
      <alignment vertical="center"/>
    </xf>
    <xf numFmtId="0" fontId="22" fillId="8" borderId="0" xfId="0" applyFont="1" applyFill="1" applyBorder="1" applyAlignment="1" applyProtection="1">
      <alignment vertical="center"/>
    </xf>
    <xf numFmtId="0" fontId="22" fillId="8" borderId="0" xfId="0" applyFont="1" applyFill="1" applyBorder="1" applyAlignment="1">
      <alignment vertical="center" wrapText="1"/>
    </xf>
    <xf numFmtId="0" fontId="5" fillId="0" borderId="5" xfId="0" applyFont="1" applyFill="1" applyBorder="1" applyAlignment="1" applyProtection="1">
      <alignment vertical="center"/>
      <protection locked="0"/>
    </xf>
    <xf numFmtId="0" fontId="19" fillId="0" borderId="0" xfId="0" applyFont="1" applyFill="1" applyBorder="1" applyAlignment="1" applyProtection="1">
      <alignment vertical="center"/>
    </xf>
    <xf numFmtId="0" fontId="19" fillId="0" borderId="0" xfId="0" applyFont="1" applyBorder="1" applyAlignment="1" applyProtection="1">
      <alignment vertical="center"/>
    </xf>
    <xf numFmtId="0" fontId="19" fillId="8" borderId="0" xfId="0" applyFont="1" applyFill="1" applyBorder="1" applyAlignment="1" applyProtection="1">
      <alignment horizontal="center" vertical="center"/>
    </xf>
    <xf numFmtId="0" fontId="19" fillId="8" borderId="0" xfId="0" applyFont="1" applyFill="1" applyBorder="1" applyAlignment="1" applyProtection="1">
      <alignment vertical="center"/>
    </xf>
    <xf numFmtId="0" fontId="32" fillId="8" borderId="0" xfId="0" applyFont="1" applyFill="1" applyBorder="1" applyAlignment="1" applyProtection="1">
      <alignment horizontal="center" vertical="center"/>
    </xf>
    <xf numFmtId="0" fontId="32" fillId="8" borderId="0" xfId="0" applyFont="1" applyFill="1" applyBorder="1" applyAlignment="1" applyProtection="1">
      <alignment vertical="center"/>
    </xf>
    <xf numFmtId="0" fontId="33" fillId="8" borderId="0" xfId="0" applyFont="1" applyFill="1" applyBorder="1" applyAlignment="1" applyProtection="1">
      <alignment horizontal="center" vertical="center"/>
    </xf>
    <xf numFmtId="0" fontId="33" fillId="8" borderId="4" xfId="0" applyFont="1" applyFill="1" applyBorder="1" applyAlignment="1">
      <alignment vertical="center"/>
    </xf>
    <xf numFmtId="0" fontId="33" fillId="8" borderId="0" xfId="0" applyFont="1" applyFill="1" applyBorder="1" applyAlignment="1" applyProtection="1">
      <alignment vertical="center"/>
    </xf>
    <xf numFmtId="0" fontId="34" fillId="8" borderId="0" xfId="0" applyFont="1" applyFill="1" applyBorder="1" applyAlignment="1" applyProtection="1">
      <alignment vertical="center"/>
    </xf>
    <xf numFmtId="0" fontId="32" fillId="8" borderId="30" xfId="0" applyFont="1" applyFill="1" applyBorder="1" applyAlignment="1" applyProtection="1">
      <alignment horizontal="center" vertical="center"/>
    </xf>
    <xf numFmtId="0" fontId="8" fillId="0" borderId="2" xfId="2" applyFont="1" applyBorder="1" applyAlignment="1" applyProtection="1">
      <alignment vertical="center"/>
      <protection locked="0"/>
    </xf>
    <xf numFmtId="0" fontId="8" fillId="0" borderId="2" xfId="0" applyFont="1" applyBorder="1" applyAlignment="1" applyProtection="1">
      <alignment vertical="center"/>
      <protection locked="0"/>
    </xf>
    <xf numFmtId="0" fontId="35" fillId="8" borderId="0" xfId="0" applyFont="1" applyFill="1" applyBorder="1" applyAlignment="1">
      <alignment horizontal="center" vertical="center"/>
    </xf>
    <xf numFmtId="0" fontId="33" fillId="8" borderId="0" xfId="0" applyFont="1" applyFill="1" applyBorder="1" applyAlignment="1" applyProtection="1">
      <alignment vertical="center" wrapText="1"/>
    </xf>
    <xf numFmtId="0" fontId="34" fillId="0" borderId="0" xfId="0" applyFont="1" applyAlignment="1" applyProtection="1">
      <alignment vertical="center"/>
    </xf>
    <xf numFmtId="0" fontId="33" fillId="0" borderId="0" xfId="0" applyFont="1" applyAlignment="1" applyProtection="1">
      <alignment vertical="center"/>
    </xf>
    <xf numFmtId="0" fontId="36" fillId="0" borderId="0" xfId="2" applyFont="1" applyAlignment="1">
      <alignment vertical="center"/>
    </xf>
    <xf numFmtId="0" fontId="5" fillId="0" borderId="0" xfId="2" applyFont="1" applyAlignment="1">
      <alignment vertical="center"/>
    </xf>
    <xf numFmtId="0" fontId="5" fillId="0" borderId="0" xfId="0" applyFont="1" applyAlignment="1" applyProtection="1">
      <alignment vertical="center"/>
    </xf>
    <xf numFmtId="0" fontId="32" fillId="8" borderId="4" xfId="0" applyFont="1" applyFill="1" applyBorder="1" applyAlignment="1" applyProtection="1">
      <alignment horizontal="center" vertical="center"/>
    </xf>
    <xf numFmtId="164" fontId="3" fillId="8" borderId="29" xfId="0" applyNumberFormat="1" applyFont="1" applyFill="1" applyBorder="1" applyAlignment="1" applyProtection="1">
      <alignment horizontal="center" vertical="center"/>
      <protection locked="0"/>
    </xf>
    <xf numFmtId="0" fontId="23" fillId="8" borderId="27" xfId="0" applyNumberFormat="1" applyFont="1" applyFill="1" applyBorder="1" applyAlignment="1" applyProtection="1">
      <alignment horizontal="center" vertical="center"/>
      <protection locked="0"/>
    </xf>
    <xf numFmtId="0" fontId="11" fillId="2" borderId="28" xfId="0" applyFont="1" applyFill="1" applyBorder="1" applyAlignment="1" applyProtection="1">
      <alignment vertical="center" wrapText="1"/>
      <protection locked="0"/>
    </xf>
    <xf numFmtId="14" fontId="22" fillId="8" borderId="4" xfId="0" applyNumberFormat="1" applyFont="1" applyFill="1" applyBorder="1" applyAlignment="1">
      <alignment horizontal="center" vertical="center"/>
    </xf>
    <xf numFmtId="9" fontId="3" fillId="0" borderId="0" xfId="0" applyNumberFormat="1" applyFont="1" applyAlignment="1" applyProtection="1">
      <alignment vertical="center"/>
      <protection locked="0"/>
    </xf>
    <xf numFmtId="0" fontId="3" fillId="0" borderId="0" xfId="0" applyNumberFormat="1" applyFont="1" applyAlignment="1" applyProtection="1">
      <alignment vertical="center"/>
      <protection locked="0"/>
    </xf>
    <xf numFmtId="0" fontId="3" fillId="6" borderId="31" xfId="0" applyFont="1" applyFill="1" applyBorder="1" applyAlignment="1" applyProtection="1">
      <alignment horizontal="center" vertical="center"/>
      <protection locked="0"/>
    </xf>
    <xf numFmtId="166" fontId="3" fillId="0" borderId="0" xfId="0" applyNumberFormat="1" applyFont="1" applyAlignment="1" applyProtection="1">
      <alignment vertical="center"/>
      <protection locked="0"/>
    </xf>
    <xf numFmtId="0" fontId="5" fillId="0" borderId="2" xfId="0" applyFont="1" applyFill="1" applyBorder="1" applyAlignment="1" applyProtection="1">
      <alignment vertical="center"/>
      <protection locked="0"/>
    </xf>
    <xf numFmtId="0" fontId="6" fillId="13" borderId="22" xfId="0" applyFont="1" applyFill="1" applyBorder="1" applyAlignment="1">
      <alignment horizontal="center" vertical="center" wrapText="1"/>
    </xf>
    <xf numFmtId="166" fontId="0" fillId="0" borderId="0" xfId="0" applyNumberFormat="1"/>
    <xf numFmtId="2" fontId="0" fillId="0" borderId="0" xfId="0" applyNumberFormat="1"/>
    <xf numFmtId="0" fontId="38" fillId="2" borderId="0" xfId="0" applyFont="1" applyFill="1" applyAlignment="1" applyProtection="1">
      <alignment horizontal="center" vertical="center"/>
      <protection locked="0"/>
    </xf>
    <xf numFmtId="0" fontId="0" fillId="0" borderId="12" xfId="0" applyFill="1" applyBorder="1" applyAlignment="1">
      <alignment horizontal="center"/>
    </xf>
    <xf numFmtId="0" fontId="0" fillId="0" borderId="31" xfId="0" applyBorder="1" applyAlignment="1">
      <alignment horizontal="center"/>
    </xf>
    <xf numFmtId="0" fontId="6" fillId="13" borderId="32" xfId="0" applyFont="1" applyFill="1" applyBorder="1" applyAlignment="1">
      <alignment horizontal="center" vertical="center" wrapText="1"/>
    </xf>
    <xf numFmtId="0" fontId="6" fillId="13" borderId="32" xfId="0" applyFont="1" applyFill="1" applyBorder="1" applyAlignment="1">
      <alignment horizontal="center" vertical="center"/>
    </xf>
    <xf numFmtId="0" fontId="5" fillId="0" borderId="2" xfId="0" applyNumberFormat="1" applyFont="1" applyFill="1" applyBorder="1" applyAlignment="1" applyProtection="1">
      <alignment vertical="center"/>
      <protection locked="0"/>
    </xf>
    <xf numFmtId="2" fontId="5" fillId="0" borderId="2" xfId="0" applyNumberFormat="1" applyFont="1" applyFill="1" applyBorder="1" applyAlignment="1" applyProtection="1">
      <alignment vertical="center"/>
      <protection locked="0"/>
    </xf>
    <xf numFmtId="166" fontId="0" fillId="16" borderId="14" xfId="0" applyNumberFormat="1" applyFont="1" applyFill="1" applyBorder="1" applyAlignment="1">
      <alignment horizontal="center"/>
    </xf>
    <xf numFmtId="166" fontId="0" fillId="0" borderId="14" xfId="0" applyNumberFormat="1" applyFont="1" applyBorder="1" applyAlignment="1">
      <alignment horizontal="center"/>
    </xf>
    <xf numFmtId="0" fontId="0" fillId="0" borderId="0" xfId="0" applyAlignment="1">
      <alignment horizontal="center"/>
    </xf>
    <xf numFmtId="0" fontId="6" fillId="7" borderId="0" xfId="0" applyFont="1" applyFill="1" applyAlignment="1" applyProtection="1">
      <alignment horizontal="left" vertical="center"/>
    </xf>
    <xf numFmtId="0" fontId="39" fillId="17" borderId="0" xfId="0" applyFont="1" applyFill="1"/>
    <xf numFmtId="166" fontId="13" fillId="0" borderId="8" xfId="1"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wrapText="1"/>
      <protection locked="0"/>
    </xf>
    <xf numFmtId="0" fontId="6" fillId="4" borderId="0" xfId="0" applyFont="1" applyFill="1" applyAlignment="1" applyProtection="1">
      <alignment horizontal="center" vertical="center"/>
    </xf>
    <xf numFmtId="0" fontId="9" fillId="0" borderId="3" xfId="0" applyFont="1" applyBorder="1" applyAlignment="1" applyProtection="1">
      <alignment vertical="center"/>
      <protection locked="0"/>
    </xf>
    <xf numFmtId="0" fontId="6" fillId="15" borderId="0" xfId="0" applyFont="1" applyFill="1" applyAlignment="1" applyProtection="1">
      <alignment horizontal="center" vertical="center"/>
    </xf>
    <xf numFmtId="0" fontId="6" fillId="15" borderId="0" xfId="0" applyFont="1" applyFill="1" applyAlignment="1">
      <alignment horizontal="center" vertical="center"/>
    </xf>
    <xf numFmtId="0" fontId="3" fillId="0" borderId="0" xfId="0" applyFont="1" applyAlignment="1">
      <alignment vertical="center" wrapText="1"/>
    </xf>
    <xf numFmtId="0" fontId="19" fillId="8" borderId="0" xfId="0" applyFont="1" applyFill="1" applyBorder="1" applyAlignment="1" applyProtection="1">
      <alignment vertical="center" wrapText="1"/>
    </xf>
    <xf numFmtId="0" fontId="5" fillId="0" borderId="0" xfId="0" applyFont="1" applyAlignment="1">
      <alignment vertical="center" wrapText="1"/>
    </xf>
    <xf numFmtId="0" fontId="3" fillId="0" borderId="0" xfId="0" applyFont="1" applyFill="1" applyAlignment="1">
      <alignment vertical="center" wrapText="1"/>
    </xf>
    <xf numFmtId="49" fontId="40" fillId="20" borderId="34" xfId="0" applyNumberFormat="1" applyFont="1" applyFill="1" applyBorder="1" applyAlignment="1">
      <alignment horizontal="center" vertical="center" wrapText="1"/>
    </xf>
    <xf numFmtId="49" fontId="40" fillId="20" borderId="35" xfId="0" applyNumberFormat="1" applyFont="1" applyFill="1" applyBorder="1" applyAlignment="1">
      <alignment horizontal="center" vertical="center" wrapText="1"/>
    </xf>
    <xf numFmtId="49" fontId="40" fillId="20" borderId="36" xfId="0" applyNumberFormat="1" applyFont="1" applyFill="1" applyBorder="1" applyAlignment="1">
      <alignment horizontal="center" vertical="center" wrapText="1"/>
    </xf>
    <xf numFmtId="0" fontId="42" fillId="19" borderId="0" xfId="0" applyFont="1" applyFill="1" applyAlignment="1">
      <alignment horizontal="left"/>
    </xf>
    <xf numFmtId="49" fontId="43" fillId="19" borderId="34" xfId="0" applyNumberFormat="1" applyFont="1" applyFill="1" applyBorder="1" applyAlignment="1">
      <alignment horizontal="left" vertical="center"/>
    </xf>
    <xf numFmtId="49" fontId="43" fillId="19" borderId="38" xfId="0" applyNumberFormat="1" applyFont="1" applyFill="1" applyBorder="1" applyAlignment="1">
      <alignment horizontal="left" vertical="center"/>
    </xf>
    <xf numFmtId="49" fontId="43" fillId="19" borderId="33" xfId="0" applyNumberFormat="1" applyFont="1" applyFill="1" applyBorder="1" applyAlignment="1">
      <alignment horizontal="left" vertical="center"/>
    </xf>
    <xf numFmtId="49" fontId="43" fillId="19" borderId="33" xfId="0" applyNumberFormat="1" applyFont="1" applyFill="1" applyBorder="1" applyAlignment="1">
      <alignment horizontal="center" vertical="center"/>
    </xf>
    <xf numFmtId="49" fontId="43" fillId="19" borderId="39" xfId="0" applyNumberFormat="1" applyFont="1" applyFill="1" applyBorder="1" applyAlignment="1">
      <alignment horizontal="left" vertical="center"/>
    </xf>
    <xf numFmtId="49" fontId="43" fillId="22" borderId="39" xfId="0" applyNumberFormat="1" applyFont="1" applyFill="1" applyBorder="1" applyAlignment="1">
      <alignment horizontal="left" vertical="center"/>
    </xf>
    <xf numFmtId="49" fontId="43" fillId="23" borderId="33" xfId="0" applyNumberFormat="1" applyFont="1" applyFill="1" applyBorder="1" applyAlignment="1">
      <alignment horizontal="left" vertical="center"/>
    </xf>
    <xf numFmtId="49" fontId="43" fillId="23" borderId="39" xfId="0" applyNumberFormat="1" applyFont="1" applyFill="1" applyBorder="1" applyAlignment="1">
      <alignment horizontal="left" vertical="center"/>
    </xf>
    <xf numFmtId="49" fontId="43" fillId="22" borderId="33" xfId="0" applyNumberFormat="1" applyFont="1" applyFill="1" applyBorder="1" applyAlignment="1">
      <alignment horizontal="left" vertical="center"/>
    </xf>
    <xf numFmtId="49" fontId="43" fillId="19" borderId="40" xfId="0" applyNumberFormat="1" applyFont="1" applyFill="1" applyBorder="1" applyAlignment="1">
      <alignment horizontal="left" vertical="center"/>
    </xf>
    <xf numFmtId="49" fontId="43" fillId="19" borderId="41" xfId="0" applyNumberFormat="1" applyFont="1" applyFill="1" applyBorder="1" applyAlignment="1">
      <alignment horizontal="left" vertical="center"/>
    </xf>
    <xf numFmtId="49" fontId="43" fillId="19" borderId="40" xfId="0" applyNumberFormat="1" applyFont="1" applyFill="1" applyBorder="1" applyAlignment="1">
      <alignment horizontal="center" vertical="center"/>
    </xf>
    <xf numFmtId="49" fontId="43" fillId="19" borderId="42" xfId="0" applyNumberFormat="1" applyFont="1" applyFill="1" applyBorder="1" applyAlignment="1">
      <alignment horizontal="left" vertical="center"/>
    </xf>
    <xf numFmtId="0" fontId="0" fillId="0" borderId="0" xfId="0" applyFont="1"/>
    <xf numFmtId="0" fontId="27" fillId="24" borderId="0" xfId="0" applyFont="1" applyFill="1" applyAlignment="1" applyProtection="1">
      <alignment horizontal="center" vertical="center"/>
      <protection locked="0"/>
    </xf>
    <xf numFmtId="0" fontId="3" fillId="8" borderId="8" xfId="0" applyFont="1" applyFill="1" applyBorder="1" applyAlignment="1" applyProtection="1">
      <alignment vertical="center"/>
    </xf>
    <xf numFmtId="0" fontId="3" fillId="8" borderId="8" xfId="0" applyFont="1" applyFill="1" applyBorder="1" applyAlignment="1" applyProtection="1">
      <alignment horizontal="center" vertical="center"/>
    </xf>
    <xf numFmtId="0" fontId="44" fillId="0" borderId="0" xfId="0" applyFont="1" applyFill="1" applyAlignment="1" applyProtection="1">
      <alignment vertical="center"/>
      <protection locked="0"/>
    </xf>
    <xf numFmtId="0" fontId="3" fillId="5" borderId="2" xfId="0" applyFont="1" applyFill="1" applyBorder="1" applyAlignment="1" applyProtection="1">
      <alignment vertical="center"/>
    </xf>
    <xf numFmtId="49" fontId="43" fillId="23" borderId="40" xfId="0" applyNumberFormat="1" applyFont="1" applyFill="1" applyBorder="1" applyAlignment="1">
      <alignment horizontal="left" vertical="center"/>
    </xf>
    <xf numFmtId="49" fontId="43" fillId="23" borderId="42" xfId="0" applyNumberFormat="1" applyFont="1" applyFill="1" applyBorder="1" applyAlignment="1">
      <alignment horizontal="left" vertical="center"/>
    </xf>
    <xf numFmtId="0" fontId="0" fillId="5" borderId="0" xfId="0" applyFill="1"/>
    <xf numFmtId="49" fontId="43" fillId="23" borderId="40" xfId="0" applyNumberFormat="1" applyFont="1" applyFill="1" applyBorder="1" applyAlignment="1">
      <alignment horizontal="center" vertical="center"/>
    </xf>
    <xf numFmtId="49" fontId="43" fillId="23" borderId="41" xfId="0" applyNumberFormat="1" applyFont="1" applyFill="1" applyBorder="1" applyAlignment="1">
      <alignment horizontal="left" vertical="center"/>
    </xf>
    <xf numFmtId="14" fontId="13" fillId="0" borderId="17"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xf>
    <xf numFmtId="0" fontId="22" fillId="8" borderId="0" xfId="0" applyFont="1" applyFill="1" applyAlignment="1">
      <alignment vertical="center"/>
    </xf>
    <xf numFmtId="14" fontId="22" fillId="8" borderId="0" xfId="0" applyNumberFormat="1" applyFont="1" applyFill="1" applyBorder="1" applyAlignment="1">
      <alignment horizontal="center" vertical="center"/>
    </xf>
    <xf numFmtId="0" fontId="4" fillId="0" borderId="0" xfId="0" applyFont="1" applyBorder="1" applyAlignment="1">
      <alignment vertical="center"/>
    </xf>
    <xf numFmtId="0" fontId="2" fillId="0" borderId="0" xfId="2" applyAlignment="1">
      <alignment vertical="center"/>
    </xf>
    <xf numFmtId="0" fontId="2" fillId="0" borderId="0" xfId="2" applyAlignment="1" applyProtection="1">
      <alignment vertical="center"/>
    </xf>
    <xf numFmtId="0" fontId="13" fillId="0" borderId="2" xfId="0" applyNumberFormat="1"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46" fillId="25" borderId="0" xfId="0" applyFont="1" applyFill="1" applyAlignment="1" applyProtection="1">
      <alignment vertical="center"/>
    </xf>
    <xf numFmtId="0" fontId="46" fillId="25" borderId="0" xfId="0" applyFont="1" applyFill="1" applyAlignment="1">
      <alignment vertical="center"/>
    </xf>
    <xf numFmtId="0" fontId="22" fillId="8" borderId="0" xfId="0" applyFont="1" applyFill="1" applyAlignment="1" applyProtection="1">
      <alignment vertical="center" wrapText="1"/>
    </xf>
    <xf numFmtId="0" fontId="22" fillId="8" borderId="0" xfId="0" applyFont="1" applyFill="1" applyAlignment="1">
      <alignment vertical="center" wrapText="1"/>
    </xf>
    <xf numFmtId="0" fontId="27" fillId="18" borderId="0" xfId="0" applyFont="1" applyFill="1" applyAlignment="1" applyProtection="1">
      <alignment horizontal="center" vertical="center"/>
      <protection locked="0"/>
    </xf>
    <xf numFmtId="0" fontId="47" fillId="24" borderId="0" xfId="0" applyFont="1" applyFill="1" applyAlignment="1" applyProtection="1">
      <alignment horizontal="center" vertical="center"/>
      <protection locked="0"/>
    </xf>
    <xf numFmtId="0" fontId="48" fillId="8" borderId="0" xfId="0" applyFont="1" applyFill="1" applyBorder="1" applyAlignment="1" applyProtection="1">
      <alignment vertical="center" wrapText="1"/>
    </xf>
    <xf numFmtId="0" fontId="27" fillId="24" borderId="0" xfId="0" applyFont="1" applyFill="1" applyBorder="1" applyAlignment="1" applyProtection="1">
      <alignment horizontal="center" vertical="center"/>
      <protection locked="0"/>
    </xf>
    <xf numFmtId="0" fontId="36" fillId="0" borderId="0" xfId="2" applyFont="1" applyAlignment="1" applyProtection="1">
      <alignment vertical="center"/>
    </xf>
    <xf numFmtId="0" fontId="0" fillId="0" borderId="0" xfId="0" applyAlignment="1"/>
    <xf numFmtId="0" fontId="39" fillId="17" borderId="0" xfId="0" applyFont="1" applyFill="1" applyAlignment="1">
      <alignment horizontal="center"/>
    </xf>
    <xf numFmtId="0" fontId="49" fillId="2" borderId="0" xfId="0" applyNumberFormat="1" applyFont="1" applyFill="1" applyAlignment="1" applyProtection="1">
      <alignment horizontal="center" vertical="center"/>
      <protection locked="0"/>
    </xf>
    <xf numFmtId="0" fontId="8" fillId="8" borderId="3" xfId="2" applyFont="1" applyFill="1" applyBorder="1" applyAlignment="1" applyProtection="1">
      <alignment vertical="center"/>
    </xf>
    <xf numFmtId="164" fontId="3" fillId="8" borderId="3" xfId="0" applyNumberFormat="1" applyFont="1" applyFill="1" applyBorder="1" applyAlignment="1" applyProtection="1">
      <alignment horizontal="center" vertical="center"/>
    </xf>
    <xf numFmtId="0" fontId="3" fillId="8" borderId="28" xfId="0" applyFont="1" applyFill="1" applyBorder="1" applyAlignment="1" applyProtection="1">
      <alignment vertical="center"/>
    </xf>
    <xf numFmtId="0" fontId="8" fillId="8" borderId="28" xfId="2" applyFont="1" applyFill="1" applyBorder="1" applyAlignment="1" applyProtection="1">
      <alignment vertical="center"/>
    </xf>
    <xf numFmtId="0" fontId="8" fillId="8" borderId="29" xfId="2" applyFont="1" applyFill="1" applyBorder="1" applyAlignment="1" applyProtection="1">
      <alignment vertical="center"/>
    </xf>
    <xf numFmtId="164" fontId="3" fillId="8" borderId="29" xfId="0" applyNumberFormat="1" applyFont="1" applyFill="1" applyBorder="1" applyAlignment="1" applyProtection="1">
      <alignment horizontal="center" vertical="center"/>
    </xf>
    <xf numFmtId="0" fontId="5" fillId="0" borderId="0" xfId="0" applyFont="1" applyFill="1" applyAlignment="1">
      <alignment vertical="center"/>
    </xf>
    <xf numFmtId="0" fontId="5" fillId="2" borderId="0" xfId="0" applyNumberFormat="1" applyFont="1" applyFill="1" applyAlignment="1" applyProtection="1">
      <alignment horizontal="center" vertical="center"/>
    </xf>
    <xf numFmtId="0" fontId="22" fillId="8" borderId="4" xfId="0" applyFont="1" applyFill="1" applyBorder="1" applyAlignment="1" applyProtection="1">
      <alignment vertical="center"/>
      <protection locked="0"/>
    </xf>
    <xf numFmtId="0" fontId="22" fillId="8" borderId="4" xfId="0" applyNumberFormat="1" applyFont="1" applyFill="1" applyBorder="1" applyAlignment="1" applyProtection="1">
      <alignment vertical="center"/>
      <protection locked="0"/>
    </xf>
    <xf numFmtId="0" fontId="22" fillId="8" borderId="4" xfId="0" applyFont="1" applyFill="1" applyBorder="1" applyAlignment="1" applyProtection="1">
      <alignment horizontal="center" vertical="center"/>
      <protection locked="0"/>
    </xf>
    <xf numFmtId="0" fontId="22" fillId="8" borderId="4" xfId="0" applyNumberFormat="1" applyFont="1" applyFill="1" applyBorder="1" applyAlignment="1" applyProtection="1">
      <alignment horizontal="center" vertical="center"/>
      <protection locked="0"/>
    </xf>
    <xf numFmtId="0" fontId="22" fillId="8" borderId="5" xfId="0" applyFont="1" applyFill="1" applyBorder="1" applyAlignment="1" applyProtection="1">
      <alignment horizontal="center" vertical="center"/>
      <protection locked="0"/>
    </xf>
    <xf numFmtId="0" fontId="22" fillId="8" borderId="5" xfId="0" applyFont="1" applyFill="1" applyBorder="1" applyAlignment="1" applyProtection="1">
      <alignment vertical="center" wrapText="1"/>
      <protection locked="0"/>
    </xf>
    <xf numFmtId="0" fontId="22" fillId="8" borderId="20" xfId="0" applyFont="1" applyFill="1" applyBorder="1" applyAlignment="1" applyProtection="1">
      <alignment vertical="center" wrapText="1"/>
      <protection locked="0"/>
    </xf>
    <xf numFmtId="0" fontId="22" fillId="8" borderId="20" xfId="0" applyFont="1" applyFill="1" applyBorder="1" applyAlignment="1" applyProtection="1">
      <alignment vertical="center"/>
      <protection locked="0"/>
    </xf>
    <xf numFmtId="0" fontId="32" fillId="8" borderId="0" xfId="0" applyFont="1" applyFill="1" applyAlignment="1" applyProtection="1">
      <alignment vertical="center"/>
    </xf>
    <xf numFmtId="0" fontId="5" fillId="2" borderId="0" xfId="0" applyFont="1" applyFill="1" applyAlignment="1" applyProtection="1">
      <alignment vertical="center"/>
      <protection locked="0"/>
    </xf>
    <xf numFmtId="0" fontId="22" fillId="8" borderId="0" xfId="0" applyNumberFormat="1" applyFont="1" applyFill="1" applyAlignment="1" applyProtection="1">
      <alignment vertical="center"/>
      <protection locked="0"/>
    </xf>
    <xf numFmtId="0" fontId="22" fillId="8" borderId="0" xfId="0" applyNumberFormat="1" applyFont="1" applyFill="1" applyAlignment="1" applyProtection="1">
      <alignment vertical="center" wrapText="1"/>
      <protection locked="0"/>
    </xf>
    <xf numFmtId="0" fontId="22" fillId="8" borderId="4" xfId="0" applyNumberFormat="1" applyFont="1" applyFill="1" applyBorder="1" applyAlignment="1">
      <alignment horizontal="center" vertical="center"/>
    </xf>
    <xf numFmtId="0" fontId="22" fillId="8" borderId="5" xfId="0" applyNumberFormat="1" applyFont="1" applyFill="1" applyBorder="1" applyAlignment="1">
      <alignment horizontal="center" vertical="center"/>
    </xf>
    <xf numFmtId="0" fontId="22" fillId="8" borderId="5" xfId="0" applyFont="1" applyFill="1" applyBorder="1" applyAlignment="1">
      <alignment vertical="center" wrapText="1"/>
    </xf>
    <xf numFmtId="0" fontId="22" fillId="8" borderId="20" xfId="0" applyFont="1" applyFill="1" applyBorder="1" applyAlignment="1">
      <alignment vertical="center" wrapText="1"/>
    </xf>
    <xf numFmtId="0" fontId="22" fillId="8" borderId="20" xfId="0" applyFont="1" applyFill="1" applyBorder="1" applyAlignment="1">
      <alignment vertical="center"/>
    </xf>
    <xf numFmtId="0" fontId="5" fillId="0" borderId="0" xfId="0" applyNumberFormat="1" applyFont="1" applyBorder="1" applyAlignment="1" applyProtection="1">
      <alignment horizontal="center" vertical="center"/>
    </xf>
    <xf numFmtId="0" fontId="22" fillId="8" borderId="43" xfId="0" applyFont="1" applyFill="1" applyBorder="1" applyAlignment="1" applyProtection="1">
      <alignment horizontal="center" vertical="center"/>
    </xf>
    <xf numFmtId="0" fontId="5" fillId="0" borderId="0" xfId="0" applyFont="1" applyBorder="1" applyAlignment="1">
      <alignment vertical="center"/>
    </xf>
    <xf numFmtId="0" fontId="22" fillId="8" borderId="0" xfId="0" applyNumberFormat="1" applyFont="1" applyFill="1" applyBorder="1" applyAlignment="1">
      <alignment vertical="center"/>
    </xf>
    <xf numFmtId="0" fontId="22" fillId="8" borderId="0" xfId="0" applyNumberFormat="1" applyFont="1" applyFill="1" applyBorder="1" applyAlignment="1">
      <alignment vertical="center" wrapText="1"/>
    </xf>
    <xf numFmtId="0" fontId="22" fillId="8" borderId="43" xfId="0" applyFont="1" applyFill="1" applyBorder="1" applyAlignment="1" applyProtection="1">
      <alignment vertical="center"/>
      <protection locked="0"/>
    </xf>
    <xf numFmtId="0" fontId="22" fillId="8" borderId="43" xfId="0" applyFont="1" applyFill="1" applyBorder="1" applyAlignment="1" applyProtection="1">
      <alignment horizontal="center" vertical="center"/>
      <protection locked="0"/>
    </xf>
    <xf numFmtId="0" fontId="22" fillId="8" borderId="44" xfId="0" applyFont="1" applyFill="1" applyBorder="1" applyAlignment="1" applyProtection="1">
      <alignment vertical="center" wrapText="1"/>
      <protection locked="0"/>
    </xf>
    <xf numFmtId="0" fontId="22" fillId="8" borderId="45" xfId="0" applyFont="1" applyFill="1" applyBorder="1" applyAlignment="1" applyProtection="1">
      <alignment vertical="center" wrapText="1"/>
      <protection locked="0"/>
    </xf>
    <xf numFmtId="0" fontId="22" fillId="8" borderId="45" xfId="0" applyFont="1" applyFill="1" applyBorder="1" applyAlignment="1" applyProtection="1">
      <alignment vertical="center"/>
      <protection locked="0"/>
    </xf>
    <xf numFmtId="0" fontId="5" fillId="2" borderId="4" xfId="0" applyFont="1" applyFill="1" applyBorder="1" applyAlignment="1" applyProtection="1">
      <alignment horizontal="center" vertical="center"/>
      <protection locked="0"/>
    </xf>
    <xf numFmtId="0" fontId="32" fillId="8" borderId="0" xfId="0" applyFont="1" applyFill="1" applyAlignment="1" applyProtection="1">
      <alignment vertical="center" wrapText="1"/>
    </xf>
    <xf numFmtId="0" fontId="22" fillId="8" borderId="0" xfId="0" applyFont="1" applyFill="1" applyAlignment="1" applyProtection="1">
      <alignment vertical="center"/>
      <protection locked="0"/>
    </xf>
    <xf numFmtId="0" fontId="33" fillId="8" borderId="4" xfId="0" applyFont="1" applyFill="1" applyBorder="1" applyAlignment="1" applyProtection="1">
      <alignment vertical="center"/>
    </xf>
    <xf numFmtId="0" fontId="33" fillId="8" borderId="5" xfId="0" applyFont="1" applyFill="1" applyBorder="1" applyAlignment="1" applyProtection="1">
      <alignment vertical="center" wrapText="1"/>
    </xf>
    <xf numFmtId="0" fontId="22" fillId="8" borderId="0" xfId="0" applyFont="1" applyFill="1" applyBorder="1" applyAlignment="1" applyProtection="1">
      <alignment vertical="center"/>
      <protection locked="0"/>
    </xf>
    <xf numFmtId="0" fontId="22" fillId="8" borderId="5" xfId="0" applyNumberFormat="1" applyFont="1" applyFill="1" applyBorder="1" applyAlignment="1" applyProtection="1">
      <alignment horizontal="center" vertical="center"/>
      <protection locked="0"/>
    </xf>
    <xf numFmtId="0" fontId="0" fillId="0" borderId="0" xfId="0" applyAlignment="1">
      <alignment vertical="center"/>
    </xf>
    <xf numFmtId="9" fontId="0" fillId="0" borderId="12" xfId="0" applyNumberFormat="1" applyBorder="1" applyAlignment="1">
      <alignment horizontal="center"/>
    </xf>
    <xf numFmtId="0" fontId="0" fillId="0" borderId="0" xfId="0" applyBorder="1"/>
    <xf numFmtId="0" fontId="0" fillId="0" borderId="46" xfId="0" applyBorder="1" applyAlignment="1">
      <alignment horizontal="center"/>
    </xf>
    <xf numFmtId="9" fontId="3" fillId="0" borderId="46" xfId="1" applyFont="1" applyBorder="1" applyAlignment="1">
      <alignment horizontal="center" vertical="center"/>
    </xf>
    <xf numFmtId="0" fontId="3" fillId="6" borderId="46" xfId="0" applyFont="1" applyFill="1" applyBorder="1" applyAlignment="1" applyProtection="1">
      <alignment horizontal="center" vertical="center"/>
      <protection locked="0"/>
    </xf>
    <xf numFmtId="9" fontId="3" fillId="0" borderId="12" xfId="0" applyNumberFormat="1" applyFont="1" applyBorder="1" applyAlignment="1">
      <alignment horizontal="center" vertical="center"/>
    </xf>
    <xf numFmtId="0" fontId="3" fillId="26" borderId="12" xfId="0" applyFont="1" applyFill="1" applyBorder="1" applyAlignment="1">
      <alignment horizontal="center" vertical="center"/>
    </xf>
    <xf numFmtId="0" fontId="3" fillId="26" borderId="12" xfId="0" applyFont="1" applyFill="1" applyBorder="1" applyAlignment="1" applyProtection="1">
      <alignment horizontal="center" vertical="center"/>
      <protection locked="0"/>
    </xf>
    <xf numFmtId="166" fontId="3" fillId="26" borderId="12" xfId="0" applyNumberFormat="1" applyFont="1" applyFill="1" applyBorder="1" applyAlignment="1" applyProtection="1">
      <alignment horizontal="center" vertical="center"/>
      <protection locked="0"/>
    </xf>
    <xf numFmtId="0" fontId="50" fillId="0" borderId="0" xfId="0" applyFont="1" applyAlignment="1">
      <alignment horizontal="left" vertical="center" indent="10"/>
    </xf>
    <xf numFmtId="0" fontId="3" fillId="0" borderId="0" xfId="0" applyFont="1" applyAlignment="1">
      <alignment wrapText="1"/>
    </xf>
    <xf numFmtId="0" fontId="51" fillId="0" borderId="0" xfId="0" applyFont="1" applyAlignment="1">
      <alignment horizontal="left" vertical="center" wrapText="1"/>
    </xf>
    <xf numFmtId="0" fontId="22" fillId="8" borderId="5" xfId="0" applyFont="1" applyFill="1" applyBorder="1" applyAlignment="1" applyProtection="1">
      <alignment vertical="center"/>
      <protection locked="0"/>
    </xf>
    <xf numFmtId="0" fontId="5" fillId="0" borderId="4" xfId="0" applyNumberFormat="1" applyFont="1" applyBorder="1" applyAlignment="1" applyProtection="1">
      <alignment horizontal="center" vertical="center"/>
    </xf>
    <xf numFmtId="0" fontId="22" fillId="8" borderId="4" xfId="0" applyNumberFormat="1" applyFont="1" applyFill="1" applyBorder="1" applyAlignment="1">
      <alignment vertical="center"/>
    </xf>
    <xf numFmtId="0" fontId="46" fillId="25" borderId="0" xfId="0" applyNumberFormat="1" applyFont="1" applyFill="1" applyAlignment="1">
      <alignment vertical="center"/>
    </xf>
    <xf numFmtId="0" fontId="5" fillId="0" borderId="43" xfId="0" applyNumberFormat="1" applyFont="1" applyBorder="1" applyAlignment="1" applyProtection="1">
      <alignment horizontal="center" vertical="center"/>
    </xf>
    <xf numFmtId="0" fontId="5" fillId="2" borderId="43" xfId="0" applyFont="1" applyFill="1" applyBorder="1" applyAlignment="1" applyProtection="1">
      <alignment horizontal="center" vertical="center"/>
      <protection locked="0"/>
    </xf>
    <xf numFmtId="0" fontId="22" fillId="8" borderId="43" xfId="0" applyFont="1" applyFill="1" applyBorder="1" applyAlignment="1">
      <alignment vertical="center"/>
    </xf>
    <xf numFmtId="0" fontId="22" fillId="8" borderId="43" xfId="0" applyNumberFormat="1" applyFont="1" applyFill="1" applyBorder="1" applyAlignment="1">
      <alignment vertical="center"/>
    </xf>
    <xf numFmtId="0" fontId="22" fillId="8" borderId="43" xfId="0" applyFont="1" applyFill="1" applyBorder="1" applyAlignment="1">
      <alignment horizontal="center" vertical="center"/>
    </xf>
    <xf numFmtId="0" fontId="22" fillId="8" borderId="43" xfId="0" applyNumberFormat="1" applyFont="1" applyFill="1" applyBorder="1" applyAlignment="1">
      <alignment horizontal="center" vertical="center"/>
    </xf>
    <xf numFmtId="0" fontId="46" fillId="25" borderId="0" xfId="0" applyNumberFormat="1" applyFont="1" applyFill="1" applyBorder="1" applyAlignment="1">
      <alignment vertical="center"/>
    </xf>
    <xf numFmtId="0" fontId="46" fillId="25" borderId="0" xfId="0" applyNumberFormat="1" applyFont="1" applyFill="1" applyAlignment="1" applyProtection="1">
      <alignment vertical="center"/>
    </xf>
    <xf numFmtId="0" fontId="26" fillId="0" borderId="0" xfId="0" applyFont="1" applyAlignment="1">
      <alignment horizontal="left"/>
    </xf>
    <xf numFmtId="0" fontId="26" fillId="0" borderId="0" xfId="0" applyFont="1"/>
    <xf numFmtId="0" fontId="26" fillId="0" borderId="0" xfId="0" applyFont="1" applyAlignment="1">
      <alignment horizontal="center"/>
    </xf>
    <xf numFmtId="14" fontId="26" fillId="0" borderId="0" xfId="0" applyNumberFormat="1" applyFont="1" applyAlignment="1">
      <alignment horizontal="left"/>
    </xf>
    <xf numFmtId="14" fontId="26" fillId="0" borderId="0" xfId="0" applyNumberFormat="1" applyFont="1"/>
    <xf numFmtId="0" fontId="33" fillId="8" borderId="43" xfId="0" applyFont="1" applyFill="1" applyBorder="1" applyAlignment="1" applyProtection="1">
      <alignment vertical="center"/>
    </xf>
    <xf numFmtId="0" fontId="22" fillId="8" borderId="44" xfId="0" applyFont="1" applyFill="1" applyBorder="1" applyAlignment="1" applyProtection="1">
      <alignment horizontal="center" vertical="center"/>
      <protection locked="0"/>
    </xf>
    <xf numFmtId="0" fontId="5" fillId="8" borderId="0" xfId="0" applyNumberFormat="1" applyFont="1" applyFill="1" applyAlignment="1" applyProtection="1">
      <alignment vertical="center"/>
    </xf>
    <xf numFmtId="0" fontId="2" fillId="0" borderId="0" xfId="2"/>
    <xf numFmtId="166" fontId="0" fillId="28" borderId="14" xfId="0" applyNumberFormat="1" applyFont="1" applyFill="1" applyBorder="1" applyAlignment="1">
      <alignment horizontal="center"/>
    </xf>
    <xf numFmtId="166" fontId="0" fillId="29" borderId="14" xfId="0" applyNumberFormat="1" applyFont="1" applyFill="1" applyBorder="1" applyAlignment="1">
      <alignment horizontal="center"/>
    </xf>
    <xf numFmtId="0" fontId="22" fillId="8" borderId="0" xfId="0" applyFont="1" applyFill="1" applyAlignment="1" applyProtection="1">
      <alignment horizontal="center" vertical="center"/>
    </xf>
    <xf numFmtId="0" fontId="22" fillId="8" borderId="0" xfId="0" applyFont="1" applyFill="1" applyAlignment="1">
      <alignment horizontal="center" vertical="center"/>
    </xf>
    <xf numFmtId="0" fontId="52" fillId="15" borderId="0" xfId="0" applyFont="1" applyFill="1" applyAlignment="1" applyProtection="1">
      <alignment horizontal="center" vertical="center"/>
    </xf>
    <xf numFmtId="0" fontId="52" fillId="3" borderId="0" xfId="0" applyFont="1" applyFill="1" applyAlignment="1" applyProtection="1">
      <alignment horizontal="center" vertical="center"/>
    </xf>
    <xf numFmtId="0" fontId="52" fillId="0" borderId="0" xfId="0" applyFont="1" applyAlignment="1" applyProtection="1">
      <alignment vertical="center"/>
    </xf>
    <xf numFmtId="0" fontId="5" fillId="0" borderId="0" xfId="0" applyFont="1" applyAlignment="1" applyProtection="1">
      <alignment horizontal="center" vertical="center"/>
    </xf>
    <xf numFmtId="0" fontId="30" fillId="2"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52" fillId="12" borderId="1" xfId="0" applyNumberFormat="1" applyFont="1" applyFill="1" applyBorder="1" applyAlignment="1" applyProtection="1">
      <alignment horizontal="center" vertical="center"/>
    </xf>
    <xf numFmtId="0" fontId="5" fillId="0" borderId="2" xfId="0" applyFont="1" applyBorder="1" applyAlignment="1" applyProtection="1">
      <alignment vertical="center"/>
      <protection locked="0"/>
    </xf>
    <xf numFmtId="49" fontId="5" fillId="0" borderId="2" xfId="0" applyNumberFormat="1" applyFont="1" applyBorder="1" applyAlignment="1" applyProtection="1">
      <alignment vertical="center"/>
      <protection locked="0"/>
    </xf>
    <xf numFmtId="0" fontId="5" fillId="0" borderId="2" xfId="0" applyFont="1" applyBorder="1" applyAlignment="1" applyProtection="1">
      <alignment horizontal="center" vertical="center"/>
      <protection locked="0"/>
    </xf>
    <xf numFmtId="0" fontId="53" fillId="0" borderId="2" xfId="0" applyFont="1" applyBorder="1" applyAlignment="1" applyProtection="1">
      <alignment vertical="center" wrapText="1"/>
      <protection locked="0"/>
    </xf>
    <xf numFmtId="0" fontId="53" fillId="0" borderId="2" xfId="0" applyFont="1" applyBorder="1" applyAlignment="1" applyProtection="1">
      <alignment vertical="center"/>
      <protection locked="0"/>
    </xf>
    <xf numFmtId="164" fontId="5" fillId="0" borderId="3" xfId="0" applyNumberFormat="1" applyFont="1" applyBorder="1" applyAlignment="1" applyProtection="1">
      <alignment horizontal="center" vertical="center"/>
      <protection locked="0"/>
    </xf>
    <xf numFmtId="164" fontId="5" fillId="8" borderId="1" xfId="0" applyNumberFormat="1" applyFont="1" applyFill="1" applyBorder="1" applyAlignment="1" applyProtection="1">
      <alignment horizontal="center" vertical="center"/>
    </xf>
    <xf numFmtId="164" fontId="5" fillId="0" borderId="2" xfId="0" applyNumberFormat="1" applyFont="1" applyBorder="1" applyAlignment="1" applyProtection="1">
      <alignment horizontal="center" vertical="center"/>
      <protection locked="0"/>
    </xf>
    <xf numFmtId="0" fontId="5" fillId="8" borderId="3" xfId="0" applyFont="1" applyFill="1" applyBorder="1" applyAlignment="1" applyProtection="1">
      <alignment horizontal="center" vertical="center"/>
    </xf>
    <xf numFmtId="0" fontId="5" fillId="0" borderId="3" xfId="0" applyFont="1" applyBorder="1" applyAlignment="1" applyProtection="1">
      <alignment horizontal="center" vertical="center"/>
      <protection locked="0"/>
    </xf>
    <xf numFmtId="0" fontId="30" fillId="27" borderId="1" xfId="0" applyNumberFormat="1" applyFont="1" applyFill="1" applyBorder="1" applyAlignment="1" applyProtection="1">
      <alignment horizontal="center" vertical="center"/>
    </xf>
    <xf numFmtId="0" fontId="30" fillId="26" borderId="1" xfId="0" applyNumberFormat="1" applyFont="1" applyFill="1" applyBorder="1" applyAlignment="1" applyProtection="1">
      <alignment horizontal="center" vertical="center"/>
    </xf>
    <xf numFmtId="8" fontId="5" fillId="0" borderId="2" xfId="0" applyNumberFormat="1" applyFont="1" applyBorder="1" applyAlignment="1" applyProtection="1">
      <alignment vertical="center"/>
      <protection locked="0"/>
    </xf>
    <xf numFmtId="0" fontId="5" fillId="0" borderId="0" xfId="0" applyFont="1" applyAlignment="1" applyProtection="1">
      <alignment horizontal="center" vertical="center"/>
      <protection locked="0"/>
    </xf>
    <xf numFmtId="0" fontId="5" fillId="0" borderId="0" xfId="0" applyFont="1" applyAlignment="1" applyProtection="1">
      <alignment vertical="center" wrapText="1"/>
      <protection locked="0"/>
    </xf>
    <xf numFmtId="49" fontId="5" fillId="0" borderId="0" xfId="0" applyNumberFormat="1" applyFont="1" applyAlignment="1" applyProtection="1">
      <alignment horizontal="center" vertical="center"/>
      <protection locked="0"/>
    </xf>
    <xf numFmtId="0" fontId="54" fillId="8" borderId="0" xfId="0" applyFont="1" applyFill="1" applyAlignment="1" applyProtection="1">
      <alignment vertical="center" wrapText="1"/>
    </xf>
    <xf numFmtId="0" fontId="54" fillId="8" borderId="0" xfId="0" applyNumberFormat="1" applyFont="1" applyFill="1" applyAlignment="1" applyProtection="1">
      <alignment vertical="center" wrapText="1"/>
      <protection locked="0"/>
    </xf>
    <xf numFmtId="0" fontId="6" fillId="12" borderId="8" xfId="0" applyNumberFormat="1" applyFont="1" applyFill="1" applyBorder="1" applyAlignment="1" applyProtection="1">
      <alignment horizontal="center" vertical="center"/>
    </xf>
    <xf numFmtId="0" fontId="3" fillId="8" borderId="2" xfId="0" applyNumberFormat="1" applyFont="1" applyFill="1" applyBorder="1" applyAlignment="1" applyProtection="1">
      <alignment vertical="center"/>
    </xf>
    <xf numFmtId="0" fontId="8" fillId="8" borderId="2" xfId="2" applyNumberFormat="1" applyFont="1" applyFill="1" applyBorder="1" applyAlignment="1" applyProtection="1">
      <alignment vertical="center"/>
    </xf>
    <xf numFmtId="0" fontId="8" fillId="8" borderId="3" xfId="2" applyNumberFormat="1" applyFont="1" applyFill="1" applyBorder="1" applyAlignment="1" applyProtection="1">
      <alignment vertical="center"/>
    </xf>
    <xf numFmtId="0" fontId="3" fillId="8" borderId="3" xfId="0" applyNumberFormat="1" applyFont="1" applyFill="1" applyBorder="1" applyAlignment="1" applyProtection="1">
      <alignment horizontal="center" vertical="center"/>
      <protection locked="0"/>
    </xf>
    <xf numFmtId="0" fontId="55" fillId="0" borderId="0" xfId="0" applyFont="1" applyAlignment="1">
      <alignment vertical="center"/>
    </xf>
    <xf numFmtId="0" fontId="55" fillId="0" borderId="0" xfId="0" applyFont="1" applyAlignment="1">
      <alignment horizontal="center" vertical="center"/>
    </xf>
    <xf numFmtId="0" fontId="55" fillId="0" borderId="0" xfId="0" applyFont="1" applyAlignment="1">
      <alignment vertical="center" wrapText="1"/>
    </xf>
    <xf numFmtId="0" fontId="33" fillId="8" borderId="4" xfId="0" applyFont="1" applyFill="1" applyBorder="1" applyAlignment="1">
      <alignment horizontal="center" vertical="center"/>
    </xf>
    <xf numFmtId="0" fontId="32" fillId="8" borderId="0" xfId="0" applyNumberFormat="1" applyFont="1" applyFill="1" applyBorder="1" applyAlignment="1" applyProtection="1">
      <alignment horizontal="center" vertical="center"/>
    </xf>
    <xf numFmtId="0" fontId="22" fillId="8" borderId="5" xfId="0" applyFont="1" applyFill="1" applyBorder="1" applyAlignment="1" applyProtection="1">
      <alignment vertical="center" wrapText="1"/>
    </xf>
    <xf numFmtId="0" fontId="22" fillId="8" borderId="4" xfId="0" applyFont="1" applyFill="1" applyBorder="1" applyAlignment="1" applyProtection="1">
      <alignment vertical="center" wrapText="1"/>
    </xf>
    <xf numFmtId="0" fontId="22" fillId="8" borderId="20" xfId="0" applyFont="1" applyFill="1" applyBorder="1" applyAlignment="1" applyProtection="1">
      <alignment vertical="center"/>
    </xf>
    <xf numFmtId="0" fontId="32" fillId="8" borderId="0" xfId="0" applyFont="1" applyFill="1" applyBorder="1" applyAlignment="1" applyProtection="1">
      <alignment vertical="center" wrapText="1"/>
    </xf>
    <xf numFmtId="0" fontId="22" fillId="8" borderId="5" xfId="0" applyFont="1" applyFill="1" applyBorder="1" applyAlignment="1" applyProtection="1">
      <alignment vertical="center"/>
    </xf>
    <xf numFmtId="0" fontId="22" fillId="8" borderId="5" xfId="0" applyFont="1" applyFill="1" applyBorder="1" applyAlignment="1">
      <alignment vertical="center"/>
    </xf>
    <xf numFmtId="0" fontId="56" fillId="27" borderId="1" xfId="0" applyNumberFormat="1" applyFont="1" applyFill="1" applyBorder="1" applyAlignment="1" applyProtection="1">
      <alignment horizontal="center" vertical="center"/>
    </xf>
    <xf numFmtId="0" fontId="52" fillId="3"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6" fillId="7" borderId="0" xfId="0" applyFont="1" applyFill="1" applyBorder="1" applyAlignment="1" applyProtection="1">
      <alignment horizontal="center" vertical="center"/>
    </xf>
    <xf numFmtId="0" fontId="6" fillId="7" borderId="24" xfId="0" applyFont="1" applyFill="1" applyBorder="1" applyAlignment="1" applyProtection="1">
      <alignment horizontal="center" vertical="center"/>
    </xf>
    <xf numFmtId="0" fontId="6" fillId="7" borderId="25" xfId="0" applyFont="1" applyFill="1" applyBorder="1" applyAlignment="1" applyProtection="1">
      <alignment horizontal="center" vertical="center"/>
    </xf>
    <xf numFmtId="0" fontId="6" fillId="7" borderId="26" xfId="0" applyFont="1" applyFill="1" applyBorder="1" applyAlignment="1" applyProtection="1">
      <alignment horizontal="center" vertical="center"/>
    </xf>
    <xf numFmtId="0" fontId="6" fillId="10" borderId="0" xfId="0" applyFont="1" applyFill="1" applyAlignment="1" applyProtection="1">
      <alignment horizontal="center" vertical="center"/>
    </xf>
    <xf numFmtId="0" fontId="7" fillId="3" borderId="0" xfId="0" applyFont="1" applyFill="1" applyAlignment="1" applyProtection="1">
      <alignment horizontal="center" vertical="center"/>
    </xf>
    <xf numFmtId="0" fontId="6" fillId="4" borderId="0" xfId="0" applyFont="1" applyFill="1" applyAlignment="1" applyProtection="1">
      <alignment horizontal="center" vertical="center"/>
    </xf>
    <xf numFmtId="0" fontId="6" fillId="7" borderId="0" xfId="0" applyFont="1" applyFill="1" applyAlignment="1" applyProtection="1">
      <alignment horizontal="left" vertical="center"/>
    </xf>
    <xf numFmtId="0" fontId="7" fillId="3" borderId="0" xfId="0" applyFont="1" applyFill="1" applyAlignment="1">
      <alignment horizontal="center" vertical="center"/>
    </xf>
    <xf numFmtId="0" fontId="7" fillId="11" borderId="0" xfId="0" applyFont="1" applyFill="1" applyAlignment="1">
      <alignment horizontal="center" vertical="center"/>
    </xf>
    <xf numFmtId="0" fontId="18" fillId="4" borderId="0" xfId="0" applyFont="1" applyFill="1" applyAlignment="1">
      <alignment horizontal="center" vertical="center"/>
    </xf>
    <xf numFmtId="0" fontId="18" fillId="11" borderId="0" xfId="0" applyFont="1" applyFill="1" applyAlignment="1">
      <alignment horizontal="center" vertical="center" wrapText="1"/>
    </xf>
    <xf numFmtId="49" fontId="41" fillId="21" borderId="37" xfId="0" applyNumberFormat="1" applyFont="1" applyFill="1" applyBorder="1" applyAlignment="1">
      <alignment horizontal="center" vertical="center" wrapText="1"/>
    </xf>
    <xf numFmtId="49" fontId="41" fillId="21" borderId="0" xfId="0" applyNumberFormat="1" applyFont="1" applyFill="1" applyBorder="1" applyAlignment="1">
      <alignment horizontal="center" vertical="center" wrapText="1"/>
    </xf>
    <xf numFmtId="0" fontId="7" fillId="15" borderId="0" xfId="0" applyFont="1" applyFill="1" applyAlignment="1">
      <alignment horizontal="center" vertical="center"/>
    </xf>
    <xf numFmtId="0" fontId="7" fillId="13" borderId="0" xfId="0" applyFont="1" applyFill="1" applyAlignment="1">
      <alignment horizontal="center" vertical="center"/>
    </xf>
    <xf numFmtId="0" fontId="7" fillId="4" borderId="0" xfId="0" applyFont="1" applyFill="1" applyAlignment="1">
      <alignment horizontal="center" vertical="center"/>
    </xf>
    <xf numFmtId="0" fontId="37" fillId="2" borderId="0" xfId="0" applyFont="1" applyFill="1" applyAlignment="1">
      <alignment horizontal="center"/>
    </xf>
    <xf numFmtId="0" fontId="0" fillId="8" borderId="0" xfId="0" applyFill="1" applyAlignment="1">
      <alignment horizontal="center"/>
    </xf>
    <xf numFmtId="0" fontId="13" fillId="0" borderId="23" xfId="0" applyFont="1" applyBorder="1" applyAlignment="1">
      <alignment horizontal="left" wrapText="1"/>
    </xf>
    <xf numFmtId="0" fontId="6" fillId="13" borderId="15" xfId="0" applyFont="1" applyFill="1" applyBorder="1" applyAlignment="1">
      <alignment horizontal="left" vertical="center"/>
    </xf>
    <xf numFmtId="0" fontId="6" fillId="13" borderId="14" xfId="0" applyFont="1" applyFill="1" applyBorder="1" applyAlignment="1">
      <alignment horizontal="left" vertical="center"/>
    </xf>
    <xf numFmtId="0" fontId="13" fillId="0" borderId="0" xfId="0" applyFont="1" applyBorder="1" applyAlignment="1">
      <alignment horizontal="left" wrapText="1"/>
    </xf>
    <xf numFmtId="0" fontId="20" fillId="7" borderId="0" xfId="0" applyFont="1" applyFill="1" applyAlignment="1">
      <alignment horizontal="center" vertical="center"/>
    </xf>
    <xf numFmtId="0" fontId="6" fillId="13" borderId="21" xfId="0" applyFont="1" applyFill="1" applyBorder="1" applyAlignment="1">
      <alignment horizontal="center" vertical="center"/>
    </xf>
    <xf numFmtId="0" fontId="13" fillId="0" borderId="0" xfId="0" applyFont="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cellXfs>
  <cellStyles count="4">
    <cellStyle name="Lien hypertexte" xfId="2" builtinId="8"/>
    <cellStyle name="Milliers" xfId="3" builtinId="3"/>
    <cellStyle name="Normal" xfId="0" builtinId="0"/>
    <cellStyle name="Pourcentage" xfId="1" builtinId="5"/>
  </cellStyles>
  <dxfs count="645">
    <dxf>
      <alignment horizontal="general"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rgb="FF7030A0"/>
        </patternFill>
      </fill>
    </dxf>
    <dxf>
      <alignment horizontal="center" textRotation="0" indent="0" justifyLastLine="0" shrinkToFit="0" readingOrder="0"/>
    </dxf>
    <dxf>
      <font>
        <b val="0"/>
        <i val="0"/>
        <strike val="0"/>
        <condense val="0"/>
        <extend val="0"/>
        <outline val="0"/>
        <shadow val="0"/>
        <u val="none"/>
        <vertAlign val="baseline"/>
        <sz val="10"/>
        <color theme="1"/>
        <name val="Century Gothic"/>
        <family val="2"/>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9"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entury Gothic"/>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border outline="0">
        <bottom style="thin">
          <color indexed="64"/>
        </bottom>
      </border>
    </dxf>
    <dxf>
      <font>
        <b/>
        <i val="0"/>
        <strike val="0"/>
        <condense val="0"/>
        <extend val="0"/>
        <outline val="0"/>
        <shadow val="0"/>
        <u val="none"/>
        <vertAlign val="baseline"/>
        <sz val="10"/>
        <color theme="0"/>
        <name val="Century Gothic"/>
        <family val="2"/>
        <scheme val="none"/>
      </font>
      <fill>
        <patternFill patternType="solid">
          <fgColor indexed="64"/>
          <bgColor theme="7"/>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dxf>
    <dxf>
      <numFmt numFmtId="2" formatCode="0.00"/>
    </dxf>
    <dxf>
      <font>
        <b/>
        <i val="0"/>
        <strike val="0"/>
        <condense val="0"/>
        <extend val="0"/>
        <outline val="0"/>
        <shadow val="0"/>
        <u val="none"/>
        <vertAlign val="baseline"/>
        <sz val="10"/>
        <color theme="0"/>
        <name val="Century Gothic"/>
        <family val="2"/>
        <scheme val="none"/>
      </font>
      <fill>
        <patternFill patternType="solid">
          <fgColor indexed="64"/>
          <bgColor theme="7"/>
        </patternFill>
      </fill>
      <alignment horizontal="center" vertical="center" textRotation="0" wrapText="1" indent="0" justifyLastLine="0" shrinkToFit="0" readingOrder="0"/>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alignment horizontal="center" vertical="bottom" textRotation="0" wrapText="0" indent="0" justifyLastLine="0" shrinkToFit="0" readingOrder="0"/>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9" formatCode="dd/mm/yyyy"/>
    </dxf>
    <dxf>
      <font>
        <strike val="0"/>
        <outline val="0"/>
        <shadow val="0"/>
        <u val="none"/>
        <vertAlign val="baseline"/>
        <sz val="9"/>
        <color theme="1"/>
        <name val="Calibri"/>
        <family val="2"/>
        <scheme val="minor"/>
      </font>
      <numFmt numFmtId="19" formatCode="dd/mm/yyyy"/>
      <alignment horizontal="left" vertical="bottom" textRotation="0" wrapText="0" indent="0" justifyLastLine="0" shrinkToFit="0" readingOrder="0"/>
    </dxf>
    <dxf>
      <font>
        <strike val="0"/>
        <outline val="0"/>
        <shadow val="0"/>
        <u val="none"/>
        <vertAlign val="baseline"/>
        <sz val="9"/>
        <color theme="1"/>
        <name val="Calibri"/>
        <family val="2"/>
        <scheme val="minor"/>
      </font>
    </dxf>
    <dxf>
      <font>
        <strike val="0"/>
        <outline val="0"/>
        <shadow val="0"/>
        <u val="none"/>
        <vertAlign val="baseline"/>
        <sz val="9"/>
        <color theme="1"/>
        <name val="Calibri"/>
        <family val="2"/>
        <scheme val="minor"/>
      </font>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protection locked="1" hidden="0"/>
    </dxf>
    <dxf>
      <font>
        <b/>
        <i val="0"/>
        <strike val="0"/>
        <condense val="0"/>
        <extend val="0"/>
        <outline val="0"/>
        <shadow val="0"/>
        <u val="none"/>
        <vertAlign val="baseline"/>
        <sz val="8"/>
        <color rgb="FFFF0000"/>
        <name val="Century Gothic"/>
        <family val="2"/>
        <scheme val="none"/>
      </font>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1"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30" formatCode="@"/>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i val="0"/>
        <strike val="0"/>
        <condense val="0"/>
        <extend val="0"/>
        <outline val="0"/>
        <shadow val="0"/>
        <u val="none"/>
        <vertAlign val="baseline"/>
        <sz val="8"/>
        <color auto="1"/>
        <name val="Century Gothic"/>
        <family val="2"/>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i val="0"/>
        <strike val="0"/>
        <condense val="0"/>
        <extend val="0"/>
        <outline val="0"/>
        <shadow val="0"/>
        <u val="none"/>
        <vertAlign val="baseline"/>
        <sz val="8"/>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protection locked="0" hidden="0"/>
    </dxf>
    <dxf>
      <font>
        <b/>
        <i val="0"/>
        <strike val="0"/>
        <condense val="0"/>
        <extend val="0"/>
        <outline val="0"/>
        <shadow val="0"/>
        <u val="none"/>
        <vertAlign val="baseline"/>
        <sz val="8"/>
        <color auto="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b val="0"/>
        <i/>
        <strike/>
      </font>
    </dxf>
    <dxf>
      <font>
        <u/>
        <color theme="9" tint="-0.24994659260841701"/>
      </font>
    </dxf>
    <dxf>
      <font>
        <u/>
        <color theme="3" tint="0.39994506668294322"/>
      </font>
    </dxf>
    <dxf>
      <font>
        <b val="0"/>
        <i/>
        <strike/>
      </font>
    </dxf>
    <dxf>
      <font>
        <u/>
        <color theme="9" tint="-0.24994659260841701"/>
      </font>
    </dxf>
    <dxf>
      <font>
        <u/>
        <color theme="3" tint="0.39994506668294322"/>
      </font>
    </dxf>
    <dxf>
      <font>
        <b val="0"/>
        <i/>
        <strike/>
      </font>
    </dxf>
    <dxf>
      <font>
        <u/>
        <color theme="9" tint="-0.24994659260841701"/>
      </font>
    </dxf>
    <dxf>
      <font>
        <b val="0"/>
        <i/>
        <strike/>
      </font>
    </dxf>
    <dxf>
      <font>
        <u/>
        <color theme="9" tint="-0.24994659260841701"/>
      </font>
    </dxf>
    <dxf>
      <font>
        <u/>
        <color theme="3" tint="0.39994506668294322"/>
      </font>
    </dxf>
    <dxf>
      <font>
        <b/>
        <i val="0"/>
        <strike val="0"/>
        <condense val="0"/>
        <extend val="0"/>
        <outline val="0"/>
        <shadow val="0"/>
        <u val="none"/>
        <vertAlign val="baseline"/>
        <sz val="9"/>
        <color rgb="FFFF0000"/>
        <name val="Century Gothic"/>
        <family val="2"/>
        <scheme val="none"/>
      </font>
      <alignment horizontal="general" vertical="center" textRotation="0" wrapText="1"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2"/>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2"/>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2"/>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2"/>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164" formatCode="dd/mm/yy;@"/>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12"/>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2"/>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164" formatCode="dd/mm/yy;@"/>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12"/>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164" formatCode="dd/mm/yy;@"/>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border outline="0">
        <bottom style="thin">
          <color theme="1" tint="0.499984740745262"/>
        </bottom>
      </border>
    </dxf>
    <dxf>
      <font>
        <b val="0"/>
        <i val="0"/>
        <strike val="0"/>
        <condense val="0"/>
        <extend val="0"/>
        <outline val="0"/>
        <shadow val="0"/>
        <u val="none"/>
        <vertAlign val="baseline"/>
        <sz val="12"/>
        <color theme="1"/>
        <name val="Century Gothic"/>
        <family val="2"/>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rgb="FF000000"/>
        <name val="Century Gothic"/>
        <family val="2"/>
        <scheme val="none"/>
      </font>
      <numFmt numFmtId="0" formatCode="General"/>
      <fill>
        <patternFill patternType="none">
          <fgColor rgb="FF000000"/>
          <bgColor rgb="FFFFFFFF"/>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25" formatCode="h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right/>
        <top/>
        <bottom style="thin">
          <color theme="1" tint="0.499984740745262"/>
        </bottom>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right/>
        <top/>
        <bottom style="thin">
          <color theme="1" tint="0.499984740745262"/>
        </bottom>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right/>
        <top/>
        <bottom style="thin">
          <color theme="1" tint="0.499984740745262"/>
        </bottom>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1" hidden="0"/>
    </dxf>
    <dxf>
      <font>
        <b/>
        <i val="0"/>
        <strike val="0"/>
        <condense val="0"/>
        <extend val="0"/>
        <outline val="0"/>
        <shadow val="0"/>
        <u val="none"/>
        <vertAlign val="baseline"/>
        <sz val="10"/>
        <color auto="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0" hidden="0"/>
    </dxf>
    <dxf>
      <font>
        <b/>
        <i val="0"/>
        <strike val="0"/>
        <condense val="0"/>
        <extend val="0"/>
        <outline val="0"/>
        <shadow val="0"/>
        <u val="none"/>
        <vertAlign val="baseline"/>
        <sz val="10"/>
        <color auto="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0" hidden="0"/>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rgb="FF000000"/>
        <name val="Century Gothic"/>
        <family val="2"/>
        <scheme val="none"/>
      </font>
      <fill>
        <patternFill patternType="none">
          <fgColor rgb="FF000000"/>
          <bgColor rgb="FFFFFFFF"/>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ont>
        <u/>
        <color theme="8" tint="-0.24994659260841701"/>
      </font>
    </dxf>
    <dxf>
      <font>
        <u/>
        <color theme="8" tint="-0.24994659260841701"/>
      </font>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center"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outline="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border>
    </dxf>
    <dxf>
      <border outline="0">
        <top style="thin">
          <color rgb="FF808080"/>
        </top>
      </border>
    </dxf>
    <dxf>
      <border outline="0">
        <left style="thin">
          <color rgb="FF808080"/>
        </left>
        <right style="thin">
          <color rgb="FF808080"/>
        </right>
        <top style="thin">
          <color rgb="FF808080"/>
        </top>
        <bottom style="thin">
          <color rgb="FF808080"/>
        </bottom>
      </border>
    </dxf>
    <dxf>
      <font>
        <b val="0"/>
        <i val="0"/>
        <strike val="0"/>
        <condense val="0"/>
        <extend val="0"/>
        <outline val="0"/>
        <shadow val="0"/>
        <u val="none"/>
        <vertAlign val="baseline"/>
        <sz val="10"/>
        <color rgb="FF333333"/>
        <name val="Calibri"/>
        <family val="2"/>
        <scheme val="minor"/>
      </font>
      <numFmt numFmtId="30" formatCode="@"/>
      <fill>
        <patternFill patternType="solid">
          <fgColor rgb="FFFFFFFF"/>
          <bgColor rgb="FFFFFFFF"/>
        </patternFill>
      </fill>
      <alignment horizontal="left" vertical="center" textRotation="0" wrapText="0" indent="0" justifyLastLine="0" shrinkToFit="0" readingOrder="0"/>
    </dxf>
    <dxf>
      <border outline="0">
        <bottom style="thin">
          <color rgb="FF808080"/>
        </bottom>
      </border>
    </dxf>
    <dxf>
      <font>
        <b/>
        <i val="0"/>
        <strike val="0"/>
        <condense val="0"/>
        <extend val="0"/>
        <outline val="0"/>
        <shadow val="0"/>
        <u val="none"/>
        <vertAlign val="baseline"/>
        <sz val="10"/>
        <color rgb="FFFFFF09"/>
        <name val="Calibri"/>
        <family val="2"/>
        <scheme val="minor"/>
      </font>
      <numFmt numFmtId="30" formatCode="@"/>
      <fill>
        <patternFill patternType="solid">
          <fgColor rgb="FFFFFFFF"/>
          <bgColor theme="0" tint="-0.499984740745262"/>
        </patternFill>
      </fill>
      <alignment horizontal="center" vertical="center" textRotation="0" wrapText="1" indent="0" justifyLastLine="0" shrinkToFit="0" readingOrder="0"/>
      <border diagonalUp="0" diagonalDown="0" outline="0">
        <left style="thin">
          <color rgb="FF808080"/>
        </left>
        <right style="thin">
          <color rgb="FF808080"/>
        </right>
        <top/>
        <bottom/>
      </border>
    </dxf>
    <dxf>
      <font>
        <b val="0"/>
        <i val="0"/>
        <strike val="0"/>
        <condense val="0"/>
        <extend val="0"/>
        <outline val="0"/>
        <shadow val="0"/>
        <u val="none"/>
        <vertAlign val="baseline"/>
        <sz val="8"/>
        <color rgb="FF404040"/>
        <name val="Century Gothic"/>
        <family val="2"/>
        <scheme val="none"/>
      </font>
      <numFmt numFmtId="0" formatCode="General"/>
      <fill>
        <patternFill patternType="solid">
          <fgColor rgb="FF000000"/>
          <bgColor rgb="FFF2F2F2"/>
        </patternFill>
      </fill>
      <alignment horizontal="general" vertical="center" textRotation="0" wrapText="0" indent="0" justifyLastLine="0" shrinkToFit="0" readingOrder="0"/>
    </dxf>
    <dxf>
      <font>
        <b val="0"/>
        <i val="0"/>
        <strike val="0"/>
        <condense val="0"/>
        <extend val="0"/>
        <outline val="0"/>
        <shadow val="0"/>
        <u val="none"/>
        <vertAlign val="baseline"/>
        <sz val="8"/>
        <color rgb="FF404040"/>
        <name val="Century Gothic"/>
        <family val="2"/>
        <scheme val="none"/>
      </font>
      <numFmt numFmtId="0" formatCode="General"/>
      <fill>
        <patternFill patternType="solid">
          <fgColor rgb="FF000000"/>
          <bgColor rgb="FFF2F2F2"/>
        </patternFill>
      </fill>
      <alignment horizontal="general" vertical="center" textRotation="0" wrapText="0" indent="0" justifyLastLine="0" shrinkToFit="0" readingOrder="0"/>
    </dxf>
    <dxf>
      <font>
        <b val="0"/>
        <i val="0"/>
        <strike val="0"/>
        <condense val="0"/>
        <extend val="0"/>
        <outline val="0"/>
        <shadow val="0"/>
        <u val="none"/>
        <vertAlign val="baseline"/>
        <sz val="8"/>
        <color rgb="FF404040"/>
        <name val="Century Gothic"/>
        <family val="2"/>
        <scheme val="none"/>
      </font>
      <numFmt numFmtId="0" formatCode="General"/>
      <fill>
        <patternFill patternType="solid">
          <fgColor rgb="FF000000"/>
          <bgColor rgb="FFF2F2F2"/>
        </patternFill>
      </fill>
      <alignment horizontal="general" vertical="center" textRotation="0" wrapText="0" indent="0" justifyLastLine="0" shrinkToFit="0" readingOrder="0"/>
    </dxf>
    <dxf>
      <font>
        <b val="0"/>
        <i val="0"/>
        <strike val="0"/>
        <condense val="0"/>
        <extend val="0"/>
        <outline val="0"/>
        <shadow val="0"/>
        <u val="none"/>
        <vertAlign val="baseline"/>
        <sz val="8"/>
        <color rgb="FF404040"/>
        <name val="Century Gothic"/>
        <family val="2"/>
        <scheme val="none"/>
      </font>
      <numFmt numFmtId="0" formatCode="General"/>
      <fill>
        <patternFill patternType="solid">
          <fgColor rgb="FF000000"/>
          <bgColor rgb="FFF2F2F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9"/>
        <color auto="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0" formatCode="Genera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1" hidden="0"/>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rgb="FF404040"/>
        <name val="Century Gothic"/>
        <family val="2"/>
        <scheme val="none"/>
      </font>
      <fill>
        <patternFill patternType="solid">
          <fgColor rgb="FF000000"/>
          <bgColor rgb="FFF2F2F2"/>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0" formatCode="General"/>
      <alignment horizontal="center" vertical="center" textRotation="0" wrapText="0" indent="0" justifyLastLine="0" shrinkToFit="0" readingOrder="0"/>
      <protection locked="1" hidden="0"/>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tint="0.249977111117893"/>
        <name val="Century Gothic"/>
        <family val="2"/>
        <scheme val="none"/>
      </font>
      <fill>
        <patternFill patternType="solid">
          <fgColor indexed="64"/>
          <bgColor theme="0" tint="-4.9989318521683403E-2"/>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border outline="0">
        <bottom style="thin">
          <color theme="1" tint="0.499984740745262"/>
        </bottom>
      </border>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1" indent="0" justifyLastLine="0" shrinkToFit="0" readingOrder="0"/>
    </dxf>
    <dxf>
      <font>
        <u/>
        <color theme="3" tint="0.39994506668294322"/>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strike val="0"/>
        <condense val="0"/>
        <extend val="0"/>
        <outline val="0"/>
        <shadow val="0"/>
        <u val="none"/>
        <vertAlign val="baseline"/>
        <sz val="9"/>
        <color rgb="FFFF0000"/>
        <name val="Century Gothic"/>
        <family val="2"/>
        <scheme val="none"/>
      </font>
      <alignment horizontal="general" vertical="center" textRotation="0" wrapText="1"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medium">
          <color auto="1"/>
        </left>
        <right style="medium">
          <color auto="1"/>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top/>
        <bottom style="thin">
          <color theme="1" tint="0.499984740745262"/>
        </bottom>
        <vertical/>
        <horizontal/>
      </border>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border>
    </dxf>
    <dxf>
      <font>
        <b/>
        <i val="0"/>
        <strike val="0"/>
        <condense val="0"/>
        <extend val="0"/>
        <outline val="0"/>
        <shadow val="0"/>
        <u val="none"/>
        <vertAlign val="baseline"/>
        <sz val="10"/>
        <color auto="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border>
      <protection locked="1" hidden="0"/>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bottom style="thin">
          <color theme="1" tint="0.499984740745262"/>
        </bottom>
      </border>
      <protection locked="1" hidden="0"/>
    </dxf>
    <dxf>
      <border outline="0">
        <bottom style="thin">
          <color theme="1" tint="0.499984740745262"/>
        </bottom>
      </border>
    </dxf>
    <dxf>
      <font>
        <b/>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font>
        <b val="0"/>
        <i/>
        <strike/>
      </font>
    </dxf>
    <dxf>
      <font>
        <u/>
        <color theme="3" tint="0.39994506668294322"/>
      </font>
    </dxf>
    <dxf>
      <font>
        <u/>
        <color theme="9" tint="-0.24994659260841701"/>
      </font>
    </dxf>
    <dxf>
      <font>
        <b val="0"/>
        <i val="0"/>
        <strike val="0"/>
        <condense val="0"/>
        <extend val="0"/>
        <outline val="0"/>
        <shadow val="0"/>
        <u val="none"/>
        <vertAlign val="baseline"/>
        <sz val="8"/>
        <color theme="1"/>
        <name val="Century Gothic"/>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Century Gothic"/>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8"/>
        <color rgb="FFFF0000"/>
        <name val="Century Gothic"/>
        <family val="2"/>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25" formatCode="hh:mm"/>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25" formatCode="hh:mm"/>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6" formatCode="[h]:mm;@"/>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25" formatCode="h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166" formatCode="[h]:mm;@"/>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1"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4" formatCode="dd/mm/yy;@"/>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numFmt numFmtId="164" formatCode="dd/mm/yy;@"/>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top style="thin">
          <color theme="1" tint="0.499984740745262"/>
        </top>
        <bottom style="thin">
          <color theme="1" tint="0.499984740745262"/>
        </bottom>
        <vertical/>
        <horizontal/>
      </border>
      <protection locked="0" hidden="0"/>
    </dxf>
    <dxf>
      <font>
        <b val="0"/>
        <i val="0"/>
        <strike val="0"/>
        <condense val="0"/>
        <extend val="0"/>
        <outline val="0"/>
        <shadow val="0"/>
        <u val="none"/>
        <vertAlign val="baseline"/>
        <sz val="9"/>
        <color theme="1"/>
        <name val="Century Gothic"/>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hair">
          <color theme="1" tint="0.499984740745262"/>
        </left>
        <right style="medium">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theme="1" tint="0.499984740745262"/>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fill>
        <patternFill patternType="solid">
          <fgColor indexed="64"/>
          <bgColor theme="2"/>
        </patternFill>
      </fill>
      <alignment horizontal="general"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8"/>
        <color theme="1" tint="0.499984740745262"/>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10"/>
        <color theme="1"/>
        <name val="Century Gothic"/>
        <family val="2"/>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border diagonalUp="0" diagonalDown="0">
        <left style="hair">
          <color theme="1" tint="0.499984740745262"/>
        </left>
        <right style="hair">
          <color theme="1" tint="0.499984740745262"/>
        </right>
        <top/>
        <bottom style="thin">
          <color theme="1" tint="0.499984740745262"/>
        </bottom>
        <vertical/>
        <horizontal/>
      </border>
      <protection locked="1" hidden="0"/>
    </dxf>
    <dxf>
      <font>
        <b/>
        <i val="0"/>
        <strike val="0"/>
        <condense val="0"/>
        <extend val="0"/>
        <outline val="0"/>
        <shadow val="0"/>
        <u val="none"/>
        <vertAlign val="baseline"/>
        <sz val="10"/>
        <color auto="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0" hidden="0"/>
    </dxf>
    <dxf>
      <font>
        <b/>
        <i val="0"/>
        <strike val="0"/>
        <condense val="0"/>
        <extend val="0"/>
        <outline val="0"/>
        <shadow val="0"/>
        <u val="none"/>
        <vertAlign val="baseline"/>
        <sz val="10"/>
        <color auto="1"/>
        <name val="Century Gothic"/>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0" hidden="0"/>
    </dxf>
    <dxf>
      <font>
        <b/>
        <i val="0"/>
        <strike val="0"/>
        <condense val="0"/>
        <extend val="0"/>
        <outline val="0"/>
        <shadow val="0"/>
        <u val="none"/>
        <vertAlign val="baseline"/>
        <sz val="10"/>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left/>
        <right style="hair">
          <color theme="1" tint="0.499984740745262"/>
        </right>
        <top/>
        <bottom style="thin">
          <color theme="1" tint="0.499984740745262"/>
        </bottom>
        <vertical/>
        <horizontal/>
      </border>
      <protection locked="1" hidden="0"/>
    </dxf>
    <dxf>
      <font>
        <b val="0"/>
        <i val="0"/>
        <strike val="0"/>
        <condense val="0"/>
        <extend val="0"/>
        <outline val="0"/>
        <shadow val="0"/>
        <u val="none"/>
        <vertAlign val="baseline"/>
        <sz val="8"/>
        <color theme="1"/>
        <name val="Century Gothic"/>
        <family val="2"/>
        <scheme val="none"/>
      </font>
      <fill>
        <patternFill patternType="none">
          <fgColor indexed="64"/>
          <bgColor indexed="65"/>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theme="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
      <border>
        <left style="thin">
          <color rgb="FFFF0000"/>
        </left>
        <right style="thin">
          <color rgb="FFFF0000"/>
        </right>
        <top style="thin">
          <color rgb="FFFF0000"/>
        </top>
        <bottom style="thin">
          <color rgb="FFFF0000"/>
        </bottom>
        <vertical/>
        <horizontal/>
      </border>
    </dxf>
    <dxf>
      <font>
        <u/>
        <color theme="8" tint="-0.24994659260841701"/>
      </font>
    </dxf>
    <dxf>
      <font>
        <b/>
        <i val="0"/>
        <color rgb="FFFF0000"/>
      </font>
      <fill>
        <patternFill patternType="none">
          <bgColor auto="1"/>
        </patternFill>
      </fill>
    </dxf>
    <dxf>
      <font>
        <b val="0"/>
        <i val="0"/>
        <color auto="1"/>
      </font>
      <fill>
        <patternFill>
          <bgColor theme="9" tint="0.59996337778862885"/>
        </patternFill>
      </fill>
    </dxf>
    <dxf>
      <font>
        <color theme="0" tint="-0.34998626667073579"/>
      </font>
    </dxf>
    <dxf>
      <font>
        <b/>
        <i val="0"/>
        <color rgb="FFFF0000"/>
      </font>
      <fill>
        <patternFill patternType="none">
          <bgColor auto="1"/>
        </patternFill>
      </fill>
    </dxf>
    <dxf>
      <font>
        <b val="0"/>
        <i val="0"/>
        <color auto="1"/>
      </font>
      <fill>
        <patternFill>
          <bgColor theme="9" tint="0.59996337778862885"/>
        </patternFill>
      </fill>
    </dxf>
    <dxf>
      <font>
        <b val="0"/>
        <i val="0"/>
        <strike val="0"/>
        <condense val="0"/>
        <extend val="0"/>
        <outline val="0"/>
        <shadow val="0"/>
        <u val="none"/>
        <vertAlign val="baseline"/>
        <sz val="8"/>
        <color theme="1"/>
        <name val="Century Gothic"/>
        <family val="2"/>
        <scheme val="none"/>
      </font>
      <numFmt numFmtId="0" formatCode="General"/>
      <alignment horizontal="general" vertical="center" textRotation="0" wrapText="0" indent="0" justifyLastLine="0" shrinkToFit="0" readingOrder="0"/>
      <protection locked="0" hidden="0"/>
    </dxf>
    <dxf>
      <font>
        <b/>
        <i val="0"/>
        <strike val="0"/>
        <condense val="0"/>
        <extend val="0"/>
        <outline val="0"/>
        <shadow val="0"/>
        <u val="none"/>
        <vertAlign val="baseline"/>
        <sz val="8"/>
        <color rgb="FFFF0000"/>
        <name val="Century Gothic"/>
        <family val="2"/>
        <scheme val="none"/>
      </font>
      <alignment horizontal="general"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hair">
          <color theme="1" tint="0.499984740745262"/>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theme="1" tint="0.499984740745262"/>
        </left>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numFmt numFmtId="164" formatCode="dd/mm/yy;@"/>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hair">
          <color theme="1" tint="0.499984740745262"/>
        </right>
        <top/>
        <bottom style="thin">
          <color theme="1" tint="0.499984740745262"/>
        </bottom>
      </border>
      <protection locked="1" hidden="0"/>
    </dxf>
    <dxf>
      <font>
        <b val="0"/>
        <i val="0"/>
        <strike val="0"/>
        <condense val="0"/>
        <extend val="0"/>
        <outline val="0"/>
        <shadow val="0"/>
        <u val="none"/>
        <vertAlign val="baseline"/>
        <sz val="8"/>
        <color theme="1"/>
        <name val="Century Gothic"/>
        <family val="2"/>
        <scheme val="none"/>
      </font>
      <numFmt numFmtId="164" formatCode="dd/mm/yy;@"/>
      <alignment horizontal="center" vertical="center" textRotation="0" wrapText="0" indent="0" justifyLastLine="0" shrinkToFit="0" readingOrder="0"/>
      <border diagonalUp="0" diagonalDown="0" outline="0">
        <left style="hair">
          <color theme="1" tint="0.499984740745262"/>
        </left>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bottom style="thin">
          <color theme="1" tint="0.499984740745262"/>
        </bottom>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tint="0.34998626667073579"/>
        <name val="Century Gothic"/>
        <family val="2"/>
        <scheme val="none"/>
      </font>
      <alignment horizontal="general" vertical="center" textRotation="0" wrapText="1"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center"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tint="0.499984740745262"/>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8"/>
        <color theme="1"/>
        <name val="Century Gothic"/>
        <family val="2"/>
        <scheme val="none"/>
      </font>
      <alignment horizontal="general" vertical="center" textRotation="0" wrapText="0" indent="0" justifyLastLine="0" shrinkToFit="0" readingOrder="0"/>
      <border diagonalUp="0" diagonalDown="0" outline="0">
        <left style="hair">
          <color theme="1" tint="0.499984740745262"/>
        </left>
        <right style="hair">
          <color theme="1" tint="0.499984740745262"/>
        </right>
        <top style="thin">
          <color theme="1" tint="0.499984740745262"/>
        </top>
        <bottom style="thin">
          <color theme="1" tint="0.499984740745262"/>
        </bottom>
      </border>
      <protection locked="0" hidden="0"/>
    </dxf>
    <dxf>
      <font>
        <b/>
        <i val="0"/>
        <strike val="0"/>
        <condense val="0"/>
        <extend val="0"/>
        <outline val="0"/>
        <shadow val="0"/>
        <u val="none"/>
        <vertAlign val="baseline"/>
        <sz val="8"/>
        <color auto="1"/>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style="hair">
          <color theme="1" tint="0.499984740745262"/>
        </right>
        <top/>
        <bottom style="thin">
          <color theme="1" tint="0.499984740745262"/>
        </bottom>
      </border>
      <protection locked="1" hidden="0"/>
    </dxf>
    <dxf>
      <font>
        <b/>
        <i val="0"/>
        <strike val="0"/>
        <condense val="0"/>
        <extend val="0"/>
        <outline val="0"/>
        <shadow val="0"/>
        <u val="none"/>
        <vertAlign val="baseline"/>
        <sz val="8"/>
        <color theme="0"/>
        <name val="Century Gothic"/>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bottom style="thin">
          <color theme="1" tint="0.499984740745262"/>
        </bottom>
      </border>
      <protection locked="1" hidden="0"/>
    </dxf>
    <dxf>
      <border outline="0">
        <bottom style="thin">
          <color theme="1" tint="0.499984740745262"/>
        </bottom>
      </border>
    </dxf>
    <dxf>
      <font>
        <strike val="0"/>
        <outline val="0"/>
        <shadow val="0"/>
        <u val="none"/>
        <vertAlign val="baseline"/>
        <sz val="8"/>
        <name val="Century Gothic"/>
        <family val="2"/>
        <scheme val="none"/>
      </font>
    </dxf>
    <dxf>
      <font>
        <b/>
        <i val="0"/>
        <strike val="0"/>
        <condense val="0"/>
        <extend val="0"/>
        <outline val="0"/>
        <shadow val="0"/>
        <u val="none"/>
        <vertAlign val="baseline"/>
        <sz val="8"/>
        <color theme="1"/>
        <name val="Century Gothic"/>
        <family val="2"/>
        <scheme val="none"/>
      </font>
      <fill>
        <patternFill patternType="solid">
          <fgColor indexed="64"/>
          <bgColor theme="2"/>
        </patternFill>
      </fill>
      <alignment horizontal="center" vertical="center" textRotation="0" wrapText="0" indent="0" justifyLastLine="0" shrinkToFit="0" readingOrder="0"/>
      <protection locked="0" hidden="0"/>
    </dxf>
  </dxfs>
  <tableStyles count="0" defaultTableStyle="TableStyleMedium2" defaultPivotStyle="PivotStyleMedium9"/>
  <colors>
    <mruColors>
      <color rgb="FFFFFFDD"/>
      <color rgb="FFFF33CC"/>
      <color rgb="FFEDE2F6"/>
      <color rgb="FFA80000"/>
      <color rgb="FFFFFFCD"/>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171450</xdr:colOff>
      <xdr:row>0</xdr:row>
      <xdr:rowOff>104775</xdr:rowOff>
    </xdr:from>
    <xdr:to>
      <xdr:col>2</xdr:col>
      <xdr:colOff>247650</xdr:colOff>
      <xdr:row>0</xdr:row>
      <xdr:rowOff>361950</xdr:rowOff>
    </xdr:to>
    <xdr:sp macro="[0]!Ajouter_Ligne_1" textlink="">
      <xdr:nvSpPr>
        <xdr:cNvPr id="2" name="Rectangle 1">
          <a:extLst>
            <a:ext uri="{FF2B5EF4-FFF2-40B4-BE49-F238E27FC236}">
              <a16:creationId xmlns:a16="http://schemas.microsoft.com/office/drawing/2014/main" id="{3B8C26AC-A3FC-43DC-B34D-02741E85C342}"/>
            </a:ext>
          </a:extLst>
        </xdr:cNvPr>
        <xdr:cNvSpPr/>
      </xdr:nvSpPr>
      <xdr:spPr>
        <a:xfrm>
          <a:off x="457200" y="104775"/>
          <a:ext cx="561975" cy="257175"/>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fr-FR" sz="1400"/>
            <a:t>+</a:t>
          </a:r>
        </a:p>
      </xdr:txBody>
    </xdr:sp>
    <xdr:clientData/>
  </xdr:twoCellAnchor>
  <xdr:twoCellAnchor>
    <xdr:from>
      <xdr:col>3</xdr:col>
      <xdr:colOff>47625</xdr:colOff>
      <xdr:row>0</xdr:row>
      <xdr:rowOff>114300</xdr:rowOff>
    </xdr:from>
    <xdr:to>
      <xdr:col>3</xdr:col>
      <xdr:colOff>984885</xdr:colOff>
      <xdr:row>0</xdr:row>
      <xdr:rowOff>331470</xdr:rowOff>
    </xdr:to>
    <xdr:sp macro="[0]!Actualiser" textlink="">
      <xdr:nvSpPr>
        <xdr:cNvPr id="4" name="Rectangle 3">
          <a:extLst>
            <a:ext uri="{FF2B5EF4-FFF2-40B4-BE49-F238E27FC236}">
              <a16:creationId xmlns:a16="http://schemas.microsoft.com/office/drawing/2014/main" id="{D6AC3BCC-A587-4813-BB2E-FC80078F0DAE}"/>
            </a:ext>
          </a:extLst>
        </xdr:cNvPr>
        <xdr:cNvSpPr/>
      </xdr:nvSpPr>
      <xdr:spPr>
        <a:xfrm>
          <a:off x="1276350" y="114300"/>
          <a:ext cx="937260" cy="217170"/>
        </a:xfrm>
        <a:prstGeom prst="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fr-FR" sz="1100" b="1">
              <a:solidFill>
                <a:srgbClr val="0070C0"/>
              </a:solidFill>
            </a:rPr>
            <a:t>ACTUALISER</a:t>
          </a:r>
        </a:p>
      </xdr:txBody>
    </xdr:sp>
    <xdr:clientData/>
  </xdr:twoCellAnchor>
  <xdr:twoCellAnchor>
    <xdr:from>
      <xdr:col>0</xdr:col>
      <xdr:colOff>47625</xdr:colOff>
      <xdr:row>0</xdr:row>
      <xdr:rowOff>371475</xdr:rowOff>
    </xdr:from>
    <xdr:to>
      <xdr:col>1</xdr:col>
      <xdr:colOff>95250</xdr:colOff>
      <xdr:row>0</xdr:row>
      <xdr:rowOff>628650</xdr:rowOff>
    </xdr:to>
    <xdr:sp macro="[0]!Supprimer_ASUPP" textlink="">
      <xdr:nvSpPr>
        <xdr:cNvPr id="5" name="Rectangle 4">
          <a:extLst>
            <a:ext uri="{FF2B5EF4-FFF2-40B4-BE49-F238E27FC236}">
              <a16:creationId xmlns:a16="http://schemas.microsoft.com/office/drawing/2014/main" id="{D7633761-CB69-4CFD-B6D9-01BCB975E064}"/>
            </a:ext>
          </a:extLst>
        </xdr:cNvPr>
        <xdr:cNvSpPr/>
      </xdr:nvSpPr>
      <xdr:spPr>
        <a:xfrm>
          <a:off x="47625" y="371475"/>
          <a:ext cx="476250" cy="257175"/>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fr-FR" sz="3200"/>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38100</xdr:colOff>
      <xdr:row>1</xdr:row>
      <xdr:rowOff>85725</xdr:rowOff>
    </xdr:from>
    <xdr:to>
      <xdr:col>24</xdr:col>
      <xdr:colOff>209550</xdr:colOff>
      <xdr:row>1</xdr:row>
      <xdr:rowOff>259080</xdr:rowOff>
    </xdr:to>
    <xdr:pic>
      <xdr:nvPicPr>
        <xdr:cNvPr id="4" name="irc_mi" descr="Résultat de recherche d'images pour &quot;attention png&quo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69075" y="619125"/>
          <a:ext cx="171450" cy="17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139065</xdr:colOff>
      <xdr:row>1</xdr:row>
      <xdr:rowOff>85725</xdr:rowOff>
    </xdr:from>
    <xdr:to>
      <xdr:col>27</xdr:col>
      <xdr:colOff>285750</xdr:colOff>
      <xdr:row>1</xdr:row>
      <xdr:rowOff>230816</xdr:rowOff>
    </xdr:to>
    <xdr:pic>
      <xdr:nvPicPr>
        <xdr:cNvPr id="7" name="irc_mi" descr="Résultat de recherche d'images pour &quot;attention png&quot;">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1690" y="619125"/>
          <a:ext cx="146685" cy="14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127635</xdr:colOff>
      <xdr:row>1</xdr:row>
      <xdr:rowOff>66676</xdr:rowOff>
    </xdr:from>
    <xdr:to>
      <xdr:col>34</xdr:col>
      <xdr:colOff>228600</xdr:colOff>
      <xdr:row>1</xdr:row>
      <xdr:rowOff>162382</xdr:rowOff>
    </xdr:to>
    <xdr:pic>
      <xdr:nvPicPr>
        <xdr:cNvPr id="8" name="irc_mi" descr="Résultat de recherche d'images pour &quot;attention png&quot;">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988010" y="600076"/>
          <a:ext cx="100965" cy="95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137160</xdr:colOff>
      <xdr:row>2</xdr:row>
      <xdr:rowOff>0</xdr:rowOff>
    </xdr:from>
    <xdr:to>
      <xdr:col>42</xdr:col>
      <xdr:colOff>320040</xdr:colOff>
      <xdr:row>2</xdr:row>
      <xdr:rowOff>173355</xdr:rowOff>
    </xdr:to>
    <xdr:pic>
      <xdr:nvPicPr>
        <xdr:cNvPr id="9" name="irc_mi" descr="Résultat de recherche d'images pour &quot;attention png&quot;">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8200" y="419100"/>
          <a:ext cx="175260" cy="1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152400</xdr:colOff>
      <xdr:row>2</xdr:row>
      <xdr:rowOff>0</xdr:rowOff>
    </xdr:from>
    <xdr:to>
      <xdr:col>49</xdr:col>
      <xdr:colOff>323850</xdr:colOff>
      <xdr:row>2</xdr:row>
      <xdr:rowOff>173355</xdr:rowOff>
    </xdr:to>
    <xdr:pic>
      <xdr:nvPicPr>
        <xdr:cNvPr id="10" name="irc_mi" descr="Résultat de recherche d'images pour &quot;attention png&quot;">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84740" y="419100"/>
          <a:ext cx="175260" cy="1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129540</xdr:colOff>
      <xdr:row>2</xdr:row>
      <xdr:rowOff>0</xdr:rowOff>
    </xdr:from>
    <xdr:to>
      <xdr:col>56</xdr:col>
      <xdr:colOff>304800</xdr:colOff>
      <xdr:row>2</xdr:row>
      <xdr:rowOff>173355</xdr:rowOff>
    </xdr:to>
    <xdr:pic>
      <xdr:nvPicPr>
        <xdr:cNvPr id="11" name="irc_mi" descr="Résultat de recherche d'images pour &quot;attention png&quot;">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43180" y="419100"/>
          <a:ext cx="175260" cy="1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0</xdr:colOff>
      <xdr:row>0</xdr:row>
      <xdr:rowOff>523875</xdr:rowOff>
    </xdr:from>
    <xdr:to>
      <xdr:col>62</xdr:col>
      <xdr:colOff>182880</xdr:colOff>
      <xdr:row>1</xdr:row>
      <xdr:rowOff>173355</xdr:rowOff>
    </xdr:to>
    <xdr:pic>
      <xdr:nvPicPr>
        <xdr:cNvPr id="12" name="irc_mi" descr="Résultat de recherche d'images pour &quot;attention png&quot;">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91375" y="523875"/>
          <a:ext cx="182880" cy="17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106680</xdr:colOff>
      <xdr:row>1</xdr:row>
      <xdr:rowOff>144780</xdr:rowOff>
    </xdr:from>
    <xdr:to>
      <xdr:col>21</xdr:col>
      <xdr:colOff>285750</xdr:colOff>
      <xdr:row>1</xdr:row>
      <xdr:rowOff>276225</xdr:rowOff>
    </xdr:to>
    <xdr:pic>
      <xdr:nvPicPr>
        <xdr:cNvPr id="25" name="irc_mi" descr="Résultat de recherche d'images pour &quot;attention png&quot;">
          <a:extLst>
            <a:ext uri="{FF2B5EF4-FFF2-40B4-BE49-F238E27FC236}">
              <a16:creationId xmlns:a16="http://schemas.microsoft.com/office/drawing/2014/main" id="{93F92EA6-5678-46C9-98BC-F26CC9F60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8458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1</xdr:row>
      <xdr:rowOff>144780</xdr:rowOff>
    </xdr:from>
    <xdr:to>
      <xdr:col>22</xdr:col>
      <xdr:colOff>247650</xdr:colOff>
      <xdr:row>1</xdr:row>
      <xdr:rowOff>276225</xdr:rowOff>
    </xdr:to>
    <xdr:pic>
      <xdr:nvPicPr>
        <xdr:cNvPr id="26" name="irc_mi" descr="Résultat de recherche d'images pour &quot;attention png&quot;">
          <a:extLst>
            <a:ext uri="{FF2B5EF4-FFF2-40B4-BE49-F238E27FC236}">
              <a16:creationId xmlns:a16="http://schemas.microsoft.com/office/drawing/2014/main" id="{32186410-24BE-4F44-BD3D-89A54E0C2D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163675"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144780</xdr:colOff>
      <xdr:row>1</xdr:row>
      <xdr:rowOff>144780</xdr:rowOff>
    </xdr:from>
    <xdr:to>
      <xdr:col>23</xdr:col>
      <xdr:colOff>323850</xdr:colOff>
      <xdr:row>1</xdr:row>
      <xdr:rowOff>276225</xdr:rowOff>
    </xdr:to>
    <xdr:pic>
      <xdr:nvPicPr>
        <xdr:cNvPr id="27" name="irc_mi" descr="Résultat de recherche d'images pour &quot;attention png&quot;">
          <a:extLst>
            <a:ext uri="{FF2B5EF4-FFF2-40B4-BE49-F238E27FC236}">
              <a16:creationId xmlns:a16="http://schemas.microsoft.com/office/drawing/2014/main" id="{8B0CD211-024D-46AE-A3FA-011A393C48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183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167640</xdr:colOff>
      <xdr:row>1</xdr:row>
      <xdr:rowOff>144780</xdr:rowOff>
    </xdr:from>
    <xdr:to>
      <xdr:col>25</xdr:col>
      <xdr:colOff>342900</xdr:colOff>
      <xdr:row>1</xdr:row>
      <xdr:rowOff>276225</xdr:rowOff>
    </xdr:to>
    <xdr:pic>
      <xdr:nvPicPr>
        <xdr:cNvPr id="29" name="irc_mi" descr="Résultat de recherche d'images pour &quot;attention png&quot;">
          <a:extLst>
            <a:ext uri="{FF2B5EF4-FFF2-40B4-BE49-F238E27FC236}">
              <a16:creationId xmlns:a16="http://schemas.microsoft.com/office/drawing/2014/main" id="{CCA935EB-1022-492C-8AF0-23D2150811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65529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137160</xdr:colOff>
      <xdr:row>1</xdr:row>
      <xdr:rowOff>144780</xdr:rowOff>
    </xdr:from>
    <xdr:to>
      <xdr:col>32</xdr:col>
      <xdr:colOff>320040</xdr:colOff>
      <xdr:row>1</xdr:row>
      <xdr:rowOff>276225</xdr:rowOff>
    </xdr:to>
    <xdr:pic>
      <xdr:nvPicPr>
        <xdr:cNvPr id="30" name="irc_mi" descr="Résultat de recherche d'images pour &quot;attention png&quot;">
          <a:extLst>
            <a:ext uri="{FF2B5EF4-FFF2-40B4-BE49-F238E27FC236}">
              <a16:creationId xmlns:a16="http://schemas.microsoft.com/office/drawing/2014/main" id="{C3EE88B5-EB50-486B-AD41-7021369C7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706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137160</xdr:colOff>
      <xdr:row>1</xdr:row>
      <xdr:rowOff>144780</xdr:rowOff>
    </xdr:from>
    <xdr:to>
      <xdr:col>39</xdr:col>
      <xdr:colOff>320040</xdr:colOff>
      <xdr:row>1</xdr:row>
      <xdr:rowOff>276225</xdr:rowOff>
    </xdr:to>
    <xdr:pic>
      <xdr:nvPicPr>
        <xdr:cNvPr id="31" name="irc_mi" descr="Résultat de recherche d'images pour &quot;attention png&quot;">
          <a:extLst>
            <a:ext uri="{FF2B5EF4-FFF2-40B4-BE49-F238E27FC236}">
              <a16:creationId xmlns:a16="http://schemas.microsoft.com/office/drawing/2014/main" id="{DC063BAF-C59F-4DD1-9590-C394C6AF8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7311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152400</xdr:colOff>
      <xdr:row>1</xdr:row>
      <xdr:rowOff>144780</xdr:rowOff>
    </xdr:from>
    <xdr:to>
      <xdr:col>46</xdr:col>
      <xdr:colOff>323850</xdr:colOff>
      <xdr:row>1</xdr:row>
      <xdr:rowOff>276225</xdr:rowOff>
    </xdr:to>
    <xdr:pic>
      <xdr:nvPicPr>
        <xdr:cNvPr id="32" name="irc_mi" descr="Résultat de recherche d'images pour &quot;attention png&quot;">
          <a:extLst>
            <a:ext uri="{FF2B5EF4-FFF2-40B4-BE49-F238E27FC236}">
              <a16:creationId xmlns:a16="http://schemas.microsoft.com/office/drawing/2014/main" id="{1D7B7DA4-496A-494F-9047-3B08DCD66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7440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129540</xdr:colOff>
      <xdr:row>1</xdr:row>
      <xdr:rowOff>144780</xdr:rowOff>
    </xdr:from>
    <xdr:to>
      <xdr:col>53</xdr:col>
      <xdr:colOff>304800</xdr:colOff>
      <xdr:row>1</xdr:row>
      <xdr:rowOff>276225</xdr:rowOff>
    </xdr:to>
    <xdr:pic>
      <xdr:nvPicPr>
        <xdr:cNvPr id="33" name="irc_mi" descr="Résultat de recherche d'images pour &quot;attention png&quot;">
          <a:extLst>
            <a:ext uri="{FF2B5EF4-FFF2-40B4-BE49-F238E27FC236}">
              <a16:creationId xmlns:a16="http://schemas.microsoft.com/office/drawing/2014/main" id="{AE990E66-FC0A-497E-A7C1-68CFBF79606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43759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60</xdr:col>
      <xdr:colOff>137160</xdr:colOff>
      <xdr:row>1</xdr:row>
      <xdr:rowOff>144780</xdr:rowOff>
    </xdr:from>
    <xdr:to>
      <xdr:col>60</xdr:col>
      <xdr:colOff>320040</xdr:colOff>
      <xdr:row>1</xdr:row>
      <xdr:rowOff>276225</xdr:rowOff>
    </xdr:to>
    <xdr:pic>
      <xdr:nvPicPr>
        <xdr:cNvPr id="34" name="irc_mi" descr="Résultat de recherche d'images pour &quot;attention png&quot;">
          <a:extLst>
            <a:ext uri="{FF2B5EF4-FFF2-40B4-BE49-F238E27FC236}">
              <a16:creationId xmlns:a16="http://schemas.microsoft.com/office/drawing/2014/main" id="{4BE51836-F67A-48DF-BB8A-5D4C60CC4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31260" y="42100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678180</xdr:colOff>
      <xdr:row>0</xdr:row>
      <xdr:rowOff>106680</xdr:rowOff>
    </xdr:from>
    <xdr:to>
      <xdr:col>3</xdr:col>
      <xdr:colOff>1356360</xdr:colOff>
      <xdr:row>0</xdr:row>
      <xdr:rowOff>373380</xdr:rowOff>
    </xdr:to>
    <xdr:sp macro="[0]!Renouv_Statut" textlink="">
      <xdr:nvSpPr>
        <xdr:cNvPr id="2" name="Rectangle 1">
          <a:extLst>
            <a:ext uri="{FF2B5EF4-FFF2-40B4-BE49-F238E27FC236}">
              <a16:creationId xmlns:a16="http://schemas.microsoft.com/office/drawing/2014/main" id="{3B7AF7D3-62C4-45C6-8779-B543D9F9802E}"/>
            </a:ext>
          </a:extLst>
        </xdr:cNvPr>
        <xdr:cNvSpPr/>
      </xdr:nvSpPr>
      <xdr:spPr>
        <a:xfrm>
          <a:off x="2529840" y="106680"/>
          <a:ext cx="678180" cy="266700"/>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fr-FR" sz="1100" b="1">
              <a:solidFill>
                <a:srgbClr val="0070C0"/>
              </a:solidFill>
            </a:rPr>
            <a:t>STATUT</a:t>
          </a:r>
        </a:p>
      </xdr:txBody>
    </xdr:sp>
    <xdr:clientData/>
  </xdr:twoCellAnchor>
  <xdr:twoCellAnchor>
    <xdr:from>
      <xdr:col>0</xdr:col>
      <xdr:colOff>120015</xdr:colOff>
      <xdr:row>0</xdr:row>
      <xdr:rowOff>125730</xdr:rowOff>
    </xdr:from>
    <xdr:to>
      <xdr:col>2</xdr:col>
      <xdr:colOff>28575</xdr:colOff>
      <xdr:row>1</xdr:row>
      <xdr:rowOff>38100</xdr:rowOff>
    </xdr:to>
    <xdr:sp macro="[0]!Actualiser" textlink="">
      <xdr:nvSpPr>
        <xdr:cNvPr id="19" name="Rectangle 18">
          <a:extLst>
            <a:ext uri="{FF2B5EF4-FFF2-40B4-BE49-F238E27FC236}">
              <a16:creationId xmlns:a16="http://schemas.microsoft.com/office/drawing/2014/main" id="{D0B969DA-8F59-4EDF-A974-1D76DFCD769B}"/>
            </a:ext>
          </a:extLst>
        </xdr:cNvPr>
        <xdr:cNvSpPr/>
      </xdr:nvSpPr>
      <xdr:spPr>
        <a:xfrm>
          <a:off x="120015" y="125730"/>
          <a:ext cx="937260" cy="217170"/>
        </a:xfrm>
        <a:prstGeom prst="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fr-FR" sz="1100" b="1">
              <a:solidFill>
                <a:srgbClr val="0070C0"/>
              </a:solidFill>
            </a:rPr>
            <a:t>ACTUALISER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0</xdr:row>
      <xdr:rowOff>114300</xdr:rowOff>
    </xdr:from>
    <xdr:to>
      <xdr:col>2</xdr:col>
      <xdr:colOff>990600</xdr:colOff>
      <xdr:row>0</xdr:row>
      <xdr:rowOff>409575</xdr:rowOff>
    </xdr:to>
    <xdr:sp macro="[0]!Envoi_Avis" textlink="">
      <xdr:nvSpPr>
        <xdr:cNvPr id="2" name="Rectangle : coins arrondis 1">
          <a:extLst>
            <a:ext uri="{FF2B5EF4-FFF2-40B4-BE49-F238E27FC236}">
              <a16:creationId xmlns:a16="http://schemas.microsoft.com/office/drawing/2014/main" id="{FA555279-9F41-4520-BC10-33349391D56D}"/>
            </a:ext>
          </a:extLst>
        </xdr:cNvPr>
        <xdr:cNvSpPr/>
      </xdr:nvSpPr>
      <xdr:spPr>
        <a:xfrm>
          <a:off x="1133475" y="114300"/>
          <a:ext cx="933450" cy="29527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fr-FR" sz="1100" b="1"/>
            <a:t>Avis comm</a:t>
          </a:r>
        </a:p>
      </xdr:txBody>
    </xdr:sp>
    <xdr:clientData/>
  </xdr:twoCellAnchor>
  <xdr:twoCellAnchor>
    <xdr:from>
      <xdr:col>2</xdr:col>
      <xdr:colOff>1095375</xdr:colOff>
      <xdr:row>0</xdr:row>
      <xdr:rowOff>104775</xdr:rowOff>
    </xdr:from>
    <xdr:to>
      <xdr:col>3</xdr:col>
      <xdr:colOff>257175</xdr:colOff>
      <xdr:row>0</xdr:row>
      <xdr:rowOff>400050</xdr:rowOff>
    </xdr:to>
    <xdr:sp macro="[0]!Envoi_Confirm" textlink="">
      <xdr:nvSpPr>
        <xdr:cNvPr id="3" name="Rectangle : coins arrondis 2">
          <a:extLst>
            <a:ext uri="{FF2B5EF4-FFF2-40B4-BE49-F238E27FC236}">
              <a16:creationId xmlns:a16="http://schemas.microsoft.com/office/drawing/2014/main" id="{7496C0B8-312E-4956-A438-E3609DF5ABC6}"/>
            </a:ext>
          </a:extLst>
        </xdr:cNvPr>
        <xdr:cNvSpPr/>
      </xdr:nvSpPr>
      <xdr:spPr>
        <a:xfrm>
          <a:off x="2171700" y="104775"/>
          <a:ext cx="933450" cy="29527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fr-FR" sz="1100" b="1"/>
            <a:t>Confirm</a:t>
          </a:r>
        </a:p>
      </xdr:txBody>
    </xdr:sp>
    <xdr:clientData/>
  </xdr:twoCellAnchor>
  <xdr:twoCellAnchor>
    <xdr:from>
      <xdr:col>0</xdr:col>
      <xdr:colOff>19050</xdr:colOff>
      <xdr:row>0</xdr:row>
      <xdr:rowOff>161924</xdr:rowOff>
    </xdr:from>
    <xdr:to>
      <xdr:col>1</xdr:col>
      <xdr:colOff>584835</xdr:colOff>
      <xdr:row>0</xdr:row>
      <xdr:rowOff>369569</xdr:rowOff>
    </xdr:to>
    <xdr:sp macro="[0]!Actualiser" textlink="">
      <xdr:nvSpPr>
        <xdr:cNvPr id="4" name="Rectangle 3">
          <a:extLst>
            <a:ext uri="{FF2B5EF4-FFF2-40B4-BE49-F238E27FC236}">
              <a16:creationId xmlns:a16="http://schemas.microsoft.com/office/drawing/2014/main" id="{ED08CAA8-3A0B-42F9-8883-D85481FFDB7A}"/>
            </a:ext>
          </a:extLst>
        </xdr:cNvPr>
        <xdr:cNvSpPr/>
      </xdr:nvSpPr>
      <xdr:spPr>
        <a:xfrm>
          <a:off x="19050" y="161924"/>
          <a:ext cx="937260" cy="207645"/>
        </a:xfrm>
        <a:prstGeom prst="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lang="fr-FR" sz="1100" b="1">
              <a:solidFill>
                <a:schemeClr val="accent1">
                  <a:lumMod val="20000"/>
                  <a:lumOff val="80000"/>
                </a:schemeClr>
              </a:solidFill>
            </a:rPr>
            <a:t>ACTUALISER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38100</xdr:rowOff>
    </xdr:from>
    <xdr:to>
      <xdr:col>1</xdr:col>
      <xdr:colOff>946785</xdr:colOff>
      <xdr:row>0</xdr:row>
      <xdr:rowOff>255270</xdr:rowOff>
    </xdr:to>
    <xdr:sp macro="[0]!Actualiser" textlink="">
      <xdr:nvSpPr>
        <xdr:cNvPr id="2" name="Rectangle 1">
          <a:extLst>
            <a:ext uri="{FF2B5EF4-FFF2-40B4-BE49-F238E27FC236}">
              <a16:creationId xmlns:a16="http://schemas.microsoft.com/office/drawing/2014/main" id="{9BEC43E4-FB1A-4B9A-BD14-F1DE64610D8E}"/>
            </a:ext>
          </a:extLst>
        </xdr:cNvPr>
        <xdr:cNvSpPr/>
      </xdr:nvSpPr>
      <xdr:spPr>
        <a:xfrm>
          <a:off x="523875" y="38100"/>
          <a:ext cx="937260" cy="217170"/>
        </a:xfrm>
        <a:prstGeom prst="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fr-FR" sz="1100" b="1">
              <a:solidFill>
                <a:srgbClr val="0070C0"/>
              </a:solidFill>
            </a:rPr>
            <a:t>ACTUALISER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19050</xdr:rowOff>
    </xdr:from>
    <xdr:to>
      <xdr:col>2</xdr:col>
      <xdr:colOff>249555</xdr:colOff>
      <xdr:row>1</xdr:row>
      <xdr:rowOff>205740</xdr:rowOff>
    </xdr:to>
    <xdr:pic>
      <xdr:nvPicPr>
        <xdr:cNvPr id="3" name="irc_mi" descr="Résultat de recherche d'images pour &quot;attention png&quot;">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19050"/>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1</xdr:row>
      <xdr:rowOff>28575</xdr:rowOff>
    </xdr:from>
    <xdr:to>
      <xdr:col>6</xdr:col>
      <xdr:colOff>245745</xdr:colOff>
      <xdr:row>1</xdr:row>
      <xdr:rowOff>205740</xdr:rowOff>
    </xdr:to>
    <xdr:pic>
      <xdr:nvPicPr>
        <xdr:cNvPr id="4" name="irc_mi" descr="Résultat de recherche d'images pour &quot;attention png&quot;">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 y="28575"/>
          <a:ext cx="17526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16564</xdr:rowOff>
    </xdr:from>
    <xdr:to>
      <xdr:col>1</xdr:col>
      <xdr:colOff>231913</xdr:colOff>
      <xdr:row>0</xdr:row>
      <xdr:rowOff>217169</xdr:rowOff>
    </xdr:to>
    <xdr:sp macro="[0]!Actualiser" textlink="">
      <xdr:nvSpPr>
        <xdr:cNvPr id="5" name="Rectangle 4">
          <a:extLst>
            <a:ext uri="{FF2B5EF4-FFF2-40B4-BE49-F238E27FC236}">
              <a16:creationId xmlns:a16="http://schemas.microsoft.com/office/drawing/2014/main" id="{E758761C-51DA-4CD6-9055-4DA554835A3C}"/>
            </a:ext>
          </a:extLst>
        </xdr:cNvPr>
        <xdr:cNvSpPr/>
      </xdr:nvSpPr>
      <xdr:spPr>
        <a:xfrm>
          <a:off x="0" y="16564"/>
          <a:ext cx="803413" cy="200605"/>
        </a:xfrm>
        <a:prstGeom prst="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fr-FR" sz="800" b="1">
              <a:solidFill>
                <a:srgbClr val="0070C0"/>
              </a:solidFill>
            </a:rPr>
            <a:t>ACTUALISER</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19050</xdr:rowOff>
    </xdr:from>
    <xdr:to>
      <xdr:col>2</xdr:col>
      <xdr:colOff>249555</xdr:colOff>
      <xdr:row>1</xdr:row>
      <xdr:rowOff>205740</xdr:rowOff>
    </xdr:to>
    <xdr:pic>
      <xdr:nvPicPr>
        <xdr:cNvPr id="2" name="irc_mi" descr="Résultat de recherche d'images pour &quot;attention png&quot;">
          <a:extLst>
            <a:ext uri="{FF2B5EF4-FFF2-40B4-BE49-F238E27FC236}">
              <a16:creationId xmlns:a16="http://schemas.microsoft.com/office/drawing/2014/main" id="{5790D727-A412-4EB1-9630-FCD9CFBFA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19050"/>
          <a:ext cx="182880" cy="18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1</xdr:row>
      <xdr:rowOff>28575</xdr:rowOff>
    </xdr:from>
    <xdr:to>
      <xdr:col>6</xdr:col>
      <xdr:colOff>245745</xdr:colOff>
      <xdr:row>1</xdr:row>
      <xdr:rowOff>205740</xdr:rowOff>
    </xdr:to>
    <xdr:pic>
      <xdr:nvPicPr>
        <xdr:cNvPr id="3" name="irc_mi" descr="Résultat de recherche d'images pour &quot;attention png&quot;">
          <a:extLst>
            <a:ext uri="{FF2B5EF4-FFF2-40B4-BE49-F238E27FC236}">
              <a16:creationId xmlns:a16="http://schemas.microsoft.com/office/drawing/2014/main" id="{C73F1307-CD00-40CF-ABAE-FC97200908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9545" y="28575"/>
          <a:ext cx="16002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495300</xdr:colOff>
      <xdr:row>1</xdr:row>
      <xdr:rowOff>9525</xdr:rowOff>
    </xdr:from>
    <xdr:to>
      <xdr:col>13</xdr:col>
      <xdr:colOff>314325</xdr:colOff>
      <xdr:row>8</xdr:row>
      <xdr:rowOff>95250</xdr:rowOff>
    </xdr:to>
    <xdr:sp macro="" textlink="">
      <xdr:nvSpPr>
        <xdr:cNvPr id="2" name="Rectangle 1">
          <a:extLst>
            <a:ext uri="{FF2B5EF4-FFF2-40B4-BE49-F238E27FC236}">
              <a16:creationId xmlns:a16="http://schemas.microsoft.com/office/drawing/2014/main" id="{BCF3213F-B394-4004-AC2F-61EC4FF80E20}"/>
            </a:ext>
          </a:extLst>
        </xdr:cNvPr>
        <xdr:cNvSpPr/>
      </xdr:nvSpPr>
      <xdr:spPr>
        <a:xfrm>
          <a:off x="11296650" y="161925"/>
          <a:ext cx="2105025" cy="1152525"/>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fr-FR" sz="1100" b="1" u="sng"/>
            <a:t>Mail avis comm </a:t>
          </a:r>
          <a:r>
            <a:rPr lang="fr-FR" sz="1100"/>
            <a:t>: Tous les envois figurent dans ce tableau</a:t>
          </a:r>
        </a:p>
        <a:p>
          <a:pPr algn="l"/>
          <a:r>
            <a:rPr lang="fr-FR" sz="1100" b="1" u="sng"/>
            <a:t>Mail pour confirmation avant envoi convention</a:t>
          </a:r>
          <a:r>
            <a:rPr lang="fr-FR" sz="1100" b="1"/>
            <a:t> : </a:t>
          </a:r>
          <a:r>
            <a:rPr lang="fr-FR" sz="1100"/>
            <a:t>Que les problemes d'adresse mail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333376</xdr:colOff>
      <xdr:row>2</xdr:row>
      <xdr:rowOff>95250</xdr:rowOff>
    </xdr:from>
    <xdr:to>
      <xdr:col>9</xdr:col>
      <xdr:colOff>257176</xdr:colOff>
      <xdr:row>7</xdr:row>
      <xdr:rowOff>114300</xdr:rowOff>
    </xdr:to>
    <xdr:sp macro="" textlink="">
      <xdr:nvSpPr>
        <xdr:cNvPr id="2" name="Zone de texte 20">
          <a:extLst>
            <a:ext uri="{FF2B5EF4-FFF2-40B4-BE49-F238E27FC236}">
              <a16:creationId xmlns:a16="http://schemas.microsoft.com/office/drawing/2014/main" id="{9E03996B-066D-4492-A738-3D7BA2058CC7}"/>
            </a:ext>
          </a:extLst>
        </xdr:cNvPr>
        <xdr:cNvSpPr txBox="1"/>
      </xdr:nvSpPr>
      <xdr:spPr>
        <a:xfrm>
          <a:off x="7572376" y="476250"/>
          <a:ext cx="2209800" cy="9715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Le code = </a:t>
          </a:r>
        </a:p>
        <a:p>
          <a:pPr marL="342900" lvl="0" indent="-342900">
            <a:lnSpc>
              <a:spcPct val="107000"/>
            </a:lnSpc>
            <a:spcAft>
              <a:spcPts val="0"/>
            </a:spcAft>
            <a:buFont typeface="Symbol" panose="05050102010706020507" pitchFamily="18" charset="2"/>
            <a:buChar char=""/>
          </a:pPr>
          <a:r>
            <a:rPr lang="fr-FR" sz="1100">
              <a:effectLst/>
              <a:latin typeface="Calibri" panose="020F0502020204030204" pitchFamily="34" charset="0"/>
              <a:ea typeface="Calibri" panose="020F0502020204030204" pitchFamily="34" charset="0"/>
              <a:cs typeface="Times New Roman" panose="02020603050405020304" pitchFamily="18" charset="0"/>
            </a:rPr>
            <a:t>P ou R</a:t>
          </a:r>
        </a:p>
        <a:p>
          <a:pPr marL="342900" lvl="0" indent="-342900">
            <a:lnSpc>
              <a:spcPct val="107000"/>
            </a:lnSpc>
            <a:spcAft>
              <a:spcPts val="0"/>
            </a:spcAft>
            <a:buFont typeface="Symbol" panose="05050102010706020507" pitchFamily="18" charset="2"/>
            <a:buChar char=""/>
          </a:pPr>
          <a:r>
            <a:rPr lang="fr-FR" sz="1100">
              <a:effectLst/>
              <a:latin typeface="Calibri" panose="020F0502020204030204" pitchFamily="34" charset="0"/>
              <a:ea typeface="Calibri" panose="020F0502020204030204" pitchFamily="34" charset="0"/>
              <a:cs typeface="Times New Roman" panose="02020603050405020304" pitchFamily="18" charset="0"/>
            </a:rPr>
            <a:t>Quotite</a:t>
          </a:r>
        </a:p>
        <a:p>
          <a:pPr marL="342900" lvl="0" indent="-342900">
            <a:lnSpc>
              <a:spcPct val="107000"/>
            </a:lnSpc>
            <a:spcAft>
              <a:spcPts val="800"/>
            </a:spcAft>
            <a:buFont typeface="Symbol" panose="05050102010706020507" pitchFamily="18" charset="2"/>
            <a:buChar char=""/>
          </a:pPr>
          <a:r>
            <a:rPr lang="fr-FR" sz="1100">
              <a:effectLst/>
              <a:latin typeface="Calibri" panose="020F0502020204030204" pitchFamily="34" charset="0"/>
              <a:ea typeface="Calibri" panose="020F0502020204030204" pitchFamily="34" charset="0"/>
              <a:cs typeface="Times New Roman" panose="02020603050405020304" pitchFamily="18" charset="0"/>
            </a:rPr>
            <a:t>Num du tableau  </a:t>
          </a:r>
          <a:r>
            <a:rPr lang="fr-FR" sz="9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T_CTRL_H</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307976</xdr:colOff>
      <xdr:row>8</xdr:row>
      <xdr:rowOff>146050</xdr:rowOff>
    </xdr:from>
    <xdr:to>
      <xdr:col>9</xdr:col>
      <xdr:colOff>231776</xdr:colOff>
      <xdr:row>12</xdr:row>
      <xdr:rowOff>42333</xdr:rowOff>
    </xdr:to>
    <xdr:sp macro="" textlink="">
      <xdr:nvSpPr>
        <xdr:cNvPr id="3" name="Zone de texte 20">
          <a:extLst>
            <a:ext uri="{FF2B5EF4-FFF2-40B4-BE49-F238E27FC236}">
              <a16:creationId xmlns:a16="http://schemas.microsoft.com/office/drawing/2014/main" id="{D800F7FD-1FD3-4B36-8984-38015C19845C}"/>
            </a:ext>
          </a:extLst>
        </xdr:cNvPr>
        <xdr:cNvSpPr txBox="1"/>
      </xdr:nvSpPr>
      <xdr:spPr>
        <a:xfrm>
          <a:off x="7767109" y="1636183"/>
          <a:ext cx="2311400" cy="6413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Pas de jours flottants pour les TW médicaux, donc pour les quotités &lt; 80%</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129540</xdr:rowOff>
    </xdr:from>
    <xdr:to>
      <xdr:col>0</xdr:col>
      <xdr:colOff>512445</xdr:colOff>
      <xdr:row>2</xdr:row>
      <xdr:rowOff>38100</xdr:rowOff>
    </xdr:to>
    <xdr:pic>
      <xdr:nvPicPr>
        <xdr:cNvPr id="2" name="irc_mi" descr="Résultat de recherche d'images pour &quot;attention png&quo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954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xdr:colOff>
      <xdr:row>2</xdr:row>
      <xdr:rowOff>198120</xdr:rowOff>
    </xdr:from>
    <xdr:to>
      <xdr:col>9</xdr:col>
      <xdr:colOff>400050</xdr:colOff>
      <xdr:row>3</xdr:row>
      <xdr:rowOff>245745</xdr:rowOff>
    </xdr:to>
    <xdr:pic>
      <xdr:nvPicPr>
        <xdr:cNvPr id="3" name="Image 2" descr="Résultat de recherche d'images pour &quot;information png&quot;">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9820" y="777240"/>
          <a:ext cx="35052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541020</xdr:colOff>
      <xdr:row>13</xdr:row>
      <xdr:rowOff>190500</xdr:rowOff>
    </xdr:from>
    <xdr:to>
      <xdr:col>3</xdr:col>
      <xdr:colOff>205740</xdr:colOff>
      <xdr:row>14</xdr:row>
      <xdr:rowOff>247650</xdr:rowOff>
    </xdr:to>
    <xdr:pic>
      <xdr:nvPicPr>
        <xdr:cNvPr id="4" name="Image 3" descr="Résultat de recherche d'images pour &quot;information png&quot;">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0240" y="2506980"/>
          <a:ext cx="35052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xdr:colOff>
      <xdr:row>48</xdr:row>
      <xdr:rowOff>76200</xdr:rowOff>
    </xdr:from>
    <xdr:to>
      <xdr:col>0</xdr:col>
      <xdr:colOff>590550</xdr:colOff>
      <xdr:row>48</xdr:row>
      <xdr:rowOff>419100</xdr:rowOff>
    </xdr:to>
    <xdr:pic>
      <xdr:nvPicPr>
        <xdr:cNvPr id="5" name="Image 4" descr="Résultat de recherche d'images pour &quot;information png&quot;">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220" y="7604760"/>
          <a:ext cx="35052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102870</xdr:colOff>
      <xdr:row>55</xdr:row>
      <xdr:rowOff>47625</xdr:rowOff>
    </xdr:from>
    <xdr:ext cx="350520" cy="350520"/>
    <xdr:pic>
      <xdr:nvPicPr>
        <xdr:cNvPr id="6" name="Image 5" descr="Résultat de recherche d'images pour &quot;information png&quot;">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 y="15135225"/>
          <a:ext cx="350520" cy="350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11</xdr:row>
      <xdr:rowOff>121920</xdr:rowOff>
    </xdr:from>
    <xdr:to>
      <xdr:col>11</xdr:col>
      <xdr:colOff>358140</xdr:colOff>
      <xdr:row>12</xdr:row>
      <xdr:rowOff>169545</xdr:rowOff>
    </xdr:to>
    <xdr:pic>
      <xdr:nvPicPr>
        <xdr:cNvPr id="7" name="Image 6" descr="Résultat de recherche d'images pour &quot;information png&quot;">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97640" y="3307080"/>
          <a:ext cx="35052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E607CE2-E0CE-49F9-A3B1-423C4E6A6D11}" name="T_suiviDi" displayName="T_suiviDi" ref="A2:AE32" totalsRowShown="0" headerRowDxfId="644" dataDxfId="643" tableBorderDxfId="642">
  <autoFilter ref="A2:AE32" xr:uid="{00000000-0009-0000-0000-000001000000}"/>
  <sortState ref="A3:AE32">
    <sortCondition ref="D3:D32"/>
  </sortState>
  <tableColumns count="31">
    <tableColumn id="1" xr3:uid="{292F55E8-E193-41A5-8132-3B5E2EC1B50F}" name="NumL" dataDxfId="641"/>
    <tableColumn id="31" xr3:uid="{78240C82-74B9-48E9-8A6F-920579419C48}" name="Statut" dataDxfId="640">
      <calculatedColumnFormula>IFERROR(IF(VLOOKUP(T_suiviDi[[#This Row],[NumL]],T_TraitDi[#Data],COLUMN(T_TraitDi[[#This Row],[Statut]]),FALSE)&lt;&gt;"",VLOOKUP(T_suiviDi[[#This Row],[NumL]],T_TraitDi[#Data],COLUMN(T_TraitDi[[#This Row],[Statut]]),FALSE),""),"")</calculatedColumnFormula>
    </tableColumn>
    <tableColumn id="2" xr3:uid="{76E324DD-3B33-4BCD-A7DF-B759B5FF1AD9}" name="Civ." dataDxfId="639"/>
    <tableColumn id="3" xr3:uid="{08ED381F-7A8B-4CE5-A55C-87CDD6A4A42E}" name="Nom" dataDxfId="638"/>
    <tableColumn id="4" xr3:uid="{17D14312-A1D3-47F5-9FB6-B2EDD90F8F02}" name="Prénom" dataDxfId="637"/>
    <tableColumn id="5" xr3:uid="{768DA9EE-2975-4F4F-B8C9-1DD696B51807}" name="Email" dataDxfId="636" dataCellStyle="Lien hypertexte"/>
    <tableColumn id="6" xr3:uid="{CCB47402-759D-4545-8B88-9BF543296B72}" name="Entité" dataDxfId="635"/>
    <tableColumn id="7" xr3:uid="{A82A4D71-FDBC-4315-B770-77584E1C055F}" name="Service " dataDxfId="634"/>
    <tableColumn id="8" xr3:uid="{FA7F9D84-8F7D-476C-8AEC-049220E6CB95}" name="Fonction" dataDxfId="633"/>
    <tableColumn id="9" xr3:uid="{D9E0991F-7149-4BDD-8C1F-A0D18B07A384}" name="Grade" dataDxfId="632"/>
    <tableColumn id="10" xr3:uid="{6E9E40E8-5F6B-4F20-870B-77F4809CD148}" name="Nom1" dataDxfId="631"/>
    <tableColumn id="11" xr3:uid="{A4ABB670-47A7-4460-B231-B0C7424E5306}" name="Prénom1" dataDxfId="630"/>
    <tableColumn id="12" xr3:uid="{6BB70C08-DF79-470C-89AF-CAABFADAD894}" name="Email1" dataDxfId="629"/>
    <tableColumn id="13" xr3:uid="{E9500E33-2588-43CD-BAA5-F3C30F9BFDF0}" name="Nom2" dataDxfId="628"/>
    <tableColumn id="14" xr3:uid="{FA769FA5-7296-4EF0-9B83-DE2A684F6385}" name="Prénom2" dataDxfId="627"/>
    <tableColumn id="15" xr3:uid="{04C13D68-AAF1-4220-8A98-FB6EF30499D8}" name="Email2" dataDxfId="626"/>
    <tableColumn id="16" xr3:uid="{B9A45634-7869-42D0-9EF7-6A21AAC12DCE}" name="Réception" dataDxfId="625"/>
    <tableColumn id="17" xr3:uid="{CBC336DF-1C6B-4ADF-8773-F2A5069B2B07}" name="Colonne8" dataDxfId="624">
      <calculatedColumnFormula>IF(AND(Q3&lt;&gt;"",Q3&gt;Daterendudossier),3,"")</calculatedColumnFormula>
    </tableColumn>
    <tableColumn id="18" xr3:uid="{06C148FD-75DC-40BD-ADB3-B8DA5E677030}" name="Accusé" dataDxfId="623"/>
    <tableColumn id="19" xr3:uid="{70C3568F-DE70-42C5-B883-7FD7D0799E4D}" name="PJ" dataDxfId="622">
      <calculatedColumnFormula>IFERROR(IF(T_suiviDi[[#This Row],[Nom]]&lt;&gt;"",VLOOKUP(T_suiviDi[[#This Row],[NumL]],TraitementDI,16,FALSE),""),"")</calculatedColumnFormula>
    </tableColumn>
    <tableColumn id="20" xr3:uid="{707E5F53-A121-4F81-9CBF-8F2638582905}" name="Contrôle" dataDxfId="621">
      <calculatedColumnFormula>IF(D3&lt;&gt;"",IFERROR(VLOOKUP(A3,TraitementDI,69,FALSE),""),"")</calculatedColumnFormula>
    </tableColumn>
    <tableColumn id="21" xr3:uid="{FE8D054D-07EE-4C7F-8D25-620301DD700E}" name="Commission" dataDxfId="620">
      <calculatedColumnFormula>IF(D3&lt;&gt;"",IFERROR(IF(AND(VLOOKUP(A3,T_Commission[#Data],COLUMN(T_Commission[[#This Row],[COM '#2]]),FALSE)="",VLOOKUP(A3,T_Commission[#Data],COLUMN(T_Commission[[#This Row],[COM '#1]]),FALSE)=""),"",IF(VLOOKUP(A3,T_Commission[#Data],COLUMN(T_Commission[[#This Row],[COM '#2]]),FALSE)&lt;&gt;"",VLOOKUP(A3,T_Commission[#Data],COLUMN(T_Commission[[#This Row],[COM '#2]]),FALSE),VLOOKUP(A3,T_Commission[#Data],COLUMN(T_Commission[[#This Row],[COM '#1]]),FALSE))),""),"")</calculatedColumnFormula>
    </tableColumn>
    <tableColumn id="22" xr3:uid="{ED09BD21-9D36-4B7F-92BF-7F61BD63AE4F}" name="Validation" dataDxfId="619">
      <calculatedColumnFormula>IF(T_suiviDi[[#This Row],[Nom]]&lt;&gt;"",IFERROR(VLOOKUP(T_suiviDi[[#This Row],[NumL]],T_Commission[#Data],COLUMN(T_Commission[[#This Row],[FINAL]]),FALSE),""),"")</calculatedColumnFormula>
    </tableColumn>
    <tableColumn id="23" xr3:uid="{13F7FDE8-E1F6-403C-92FB-D92713662A77}" name="Réception9" dataDxfId="618"/>
    <tableColumn id="24" xr3:uid="{289973FC-05A2-41FB-A58C-8ACA55F76697}" name="Colonne10" dataDxfId="617">
      <calculatedColumnFormula>IF(Q3="","",IF(X3="",2,IF(X3&gt;Daterenduavis,3,"")))</calculatedColumnFormula>
    </tableColumn>
    <tableColumn id="25" xr3:uid="{902B4A5F-15EA-425C-A17E-3D79864C0D74}" name="Date entretien" dataDxfId="616"/>
    <tableColumn id="26" xr3:uid="{069EB045-4D40-4362-AF06-73F9F0DC35DD}" name="Avis n+1" dataDxfId="615"/>
    <tableColumn id="27" xr3:uid="{F92C9BCE-F81E-48BE-A9FB-570CFE0FD562}" name="Avis n+2" dataDxfId="614"/>
    <tableColumn id="28" xr3:uid="{88D79B4E-133A-4FEB-9E9D-0DE9826F9032}" name="Horaire modifié" dataDxfId="613"/>
    <tableColumn id="29" xr3:uid="{10288E85-7EEE-4DB7-9DC4-D1C7E9677440}" name="Commentaire" dataDxfId="612"/>
    <tableColumn id="30" xr3:uid="{9626AC1E-6948-4C70-816C-055164E3B8B3}" name="Numero" dataDxfId="611">
      <calculatedColumnFormula>IFERROR(VALUE(RIGHT(T_suiviDi[[#Data],[NumL]],3)),0)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3C39EF7-E7CC-40A6-B3BB-A2F2A10CAB86}" name="T_SUPP" displayName="T_SUPP" ref="A2:AE41" totalsRowShown="0" headerRowDxfId="56" dataDxfId="55">
  <autoFilter ref="A2:AE41" xr:uid="{7EB93A71-3178-40F9-BEEE-63A76DA0499C}"/>
  <tableColumns count="31">
    <tableColumn id="1" xr3:uid="{DF7072EB-CEEC-4228-A46E-3B0FFD620820}" name="NumL" dataDxfId="54"/>
    <tableColumn id="2" xr3:uid="{89384F05-8860-43BD-8BFD-2966B89FD427}" name="Statut" dataDxfId="53"/>
    <tableColumn id="3" xr3:uid="{470F5D90-2CD2-447A-8117-AE02388FA1E1}" name="Civ." dataDxfId="52"/>
    <tableColumn id="4" xr3:uid="{76BC094B-6A89-416B-B24B-46B5D9986CC3}" name="Nom" dataDxfId="51"/>
    <tableColumn id="5" xr3:uid="{0A018B2E-824B-4B97-B88E-3B8A58F9DE1B}" name="Prénom" dataDxfId="50"/>
    <tableColumn id="6" xr3:uid="{917FDED2-035A-41AA-8706-7B59476E441B}" name="Email" dataDxfId="49" dataCellStyle="Lien hypertexte"/>
    <tableColumn id="7" xr3:uid="{89C71862-E116-415F-8F41-99AF19DA2C8E}" name="Entité" dataDxfId="48"/>
    <tableColumn id="8" xr3:uid="{48738867-DE0C-4DB6-A869-ACC49FF255AB}" name="Service " dataDxfId="47"/>
    <tableColumn id="9" xr3:uid="{7BEAF808-C88C-4DF4-AADE-FE70EEC99FCD}" name="Fonction" dataDxfId="46"/>
    <tableColumn id="10" xr3:uid="{B7D78678-03A9-45FF-9E75-0BEBA044FAE0}" name="Grade" dataDxfId="45"/>
    <tableColumn id="11" xr3:uid="{F6B4F918-2A7C-4E4F-A6D9-50F835575E19}" name="Nom1" dataDxfId="44"/>
    <tableColumn id="12" xr3:uid="{855B893C-854D-4979-9387-C2513A5156AF}" name="Prénom1" dataDxfId="43"/>
    <tableColumn id="13" xr3:uid="{52AA110C-07EF-4DB7-8076-E75D6E9BBF38}" name="Email1" dataDxfId="42"/>
    <tableColumn id="14" xr3:uid="{A54413A2-6FFC-41CD-A657-8E846B657FC6}" name="Nom2" dataDxfId="41"/>
    <tableColumn id="15" xr3:uid="{748AB4A1-3927-407C-8449-58886F305598}" name="Prénom2" dataDxfId="40"/>
    <tableColumn id="16" xr3:uid="{081FF2D1-7976-4933-A8E7-3CD5EFC54DAC}" name="Email2" dataDxfId="39"/>
    <tableColumn id="17" xr3:uid="{9459476B-BCD4-4D98-AA81-2FF998F149CF}" name="Réception" dataDxfId="38"/>
    <tableColumn id="18" xr3:uid="{4D79A2B1-13CE-4931-80E8-AB919CB7580F}" name="Colonne8" dataDxfId="37"/>
    <tableColumn id="19" xr3:uid="{71F9B895-2764-464C-9EA1-A9F663C8F720}" name="Accusé" dataDxfId="36"/>
    <tableColumn id="20" xr3:uid="{693F532F-663F-431F-A262-E4F2812F6AA7}" name="PJ" dataDxfId="35"/>
    <tableColumn id="21" xr3:uid="{45ACBACC-4240-4112-A0F6-FBA82633E832}" name="Contrôle" dataDxfId="34"/>
    <tableColumn id="22" xr3:uid="{B372DFB4-75E0-4A5F-B04C-3FF2D7F0022C}" name="Commission" dataDxfId="33"/>
    <tableColumn id="23" xr3:uid="{ABF73D85-A7E9-4449-8EE1-A4777ABE7D69}" name="Validation" dataDxfId="32"/>
    <tableColumn id="24" xr3:uid="{FDB39A00-0E44-4722-BF05-16437B670ADD}" name="Réception9" dataDxfId="31"/>
    <tableColumn id="25" xr3:uid="{567BA785-AB4A-4E5D-896C-AD92D440F88B}" name="Colonne10" dataDxfId="30"/>
    <tableColumn id="26" xr3:uid="{9633EF3D-D282-437C-B0E4-0DAC04E797E7}" name="Date entretien" dataDxfId="29"/>
    <tableColumn id="27" xr3:uid="{CE200B69-1069-45D9-9CC6-CE13BFA8631B}" name="Avis n+1" dataDxfId="28"/>
    <tableColumn id="28" xr3:uid="{A122569C-6EEA-48A4-8589-F6DD11D385ED}" name="Avis n+2" dataDxfId="27"/>
    <tableColumn id="29" xr3:uid="{5A4CB999-3C90-49F7-A10C-21F08F2C9F4F}" name="Horaire modifié" dataDxfId="26"/>
    <tableColumn id="30" xr3:uid="{0A90C553-DDA7-42C9-A94B-DEC06EF365F6}" name="Commentaire" dataDxfId="25"/>
    <tableColumn id="31" xr3:uid="{B129E8DE-9CA6-4FA4-B1F5-20F5FCFAA511}" name="Numero" dataDxfId="24"/>
  </tableColumns>
  <tableStyleInfo name="TableStyleMedium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7C7C62A-227D-467F-8F6C-4A6D2F06466D}" name="T_Comm_Avis" displayName="T_Comm_Avis" ref="A1:I8" totalsRowShown="0" headerRowDxfId="23" dataDxfId="22">
  <autoFilter ref="A1:I8" xr:uid="{8BA0725D-7C15-428C-85B7-7EB360325687}"/>
  <tableColumns count="9">
    <tableColumn id="1" xr3:uid="{798E9542-BC8F-4BED-A778-6C73BB13D7DA}" name="Date" dataDxfId="21"/>
    <tableColumn id="9" xr3:uid="{2F551175-8A15-47CF-B2F1-264DCE2D76EE}" name="Type Mail" dataDxfId="20"/>
    <tableColumn id="5" xr3:uid="{1054807E-0C40-47F8-86E0-3EF039617BF2}" name="NumL" dataDxfId="19"/>
    <tableColumn id="2" xr3:uid="{29F8539E-D20F-462D-86B4-4240894E4199}" name="nom" dataDxfId="18"/>
    <tableColumn id="3" xr3:uid="{6ED90C6B-C15B-479E-BBE3-3D080B0D059C}" name="prénom" dataDxfId="17"/>
    <tableColumn id="6" xr3:uid="{73EF950B-23B8-43A6-A085-8C6CF8D79C4B}" name="Email" dataDxfId="16"/>
    <tableColumn id="8" xr3:uid="{51D3A8DF-631E-4F36-B18D-D4DFB48D1CE5}" name="Email encadrant" dataDxfId="15"/>
    <tableColumn id="4" xr3:uid="{3542953B-73DF-40D6-91EA-5864F4115DF8}" name="avis" dataDxfId="14"/>
    <tableColumn id="7" xr3:uid="{1643711C-CB30-4B02-A5A7-EE710D77B570}" name="Message" dataDxfId="13"/>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6FECFD8-DFE9-4C93-B933-883D36444C40}" name="T_CTRL_H" displayName="T_CTRL_H" ref="A42:B49" totalsRowShown="0" headerRowDxfId="12">
  <autoFilter ref="A42:B49" xr:uid="{BF8CA771-7251-48BD-B1F9-7EBB7DC1A9AC}"/>
  <sortState ref="A43:B49">
    <sortCondition ref="A43:A49"/>
  </sortState>
  <tableColumns count="2">
    <tableColumn id="1" xr3:uid="{A7974EFC-A3F2-4A2F-AAAE-90C83EEC9574}" name="horaire" dataDxfId="11"/>
    <tableColumn id="2" xr3:uid="{87153492-CDAC-48A1-B6CC-6808ECCB47D6}" name="num" dataDxfId="1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B8B767-18F3-49E0-AF3E-DB0A881EB45B}" name="T_code_H" displayName="T_code_H" ref="A3:F17" totalsRowShown="0" headerRowDxfId="9" headerRowBorderDxfId="8" tableBorderDxfId="7">
  <autoFilter ref="A3:F17" xr:uid="{945FC599-7147-4770-922C-B4D97CF5FC0A}"/>
  <sortState ref="A4:F17">
    <sortCondition ref="B4:B17"/>
    <sortCondition ref="A4:A17"/>
  </sortState>
  <tableColumns count="6">
    <tableColumn id="1" xr3:uid="{E793A558-0116-4728-AFF4-720F72BCD3E9}" name="Code"/>
    <tableColumn id="2" xr3:uid="{56A89569-2725-4B8E-9D9C-697CD564BC54}" name="Type télétravailleur" dataDxfId="6"/>
    <tableColumn id="3" xr3:uid="{288BD6D3-B9BC-421E-B3B2-D4B8ECEAB14D}" name="Quotité" dataDxfId="5" dataCellStyle="Pourcentage"/>
    <tableColumn id="4" xr3:uid="{4C7BC390-96D1-4947-855C-6AF3C0B7074F}" name="NbJour flottants" dataDxfId="4"/>
    <tableColumn id="5" xr3:uid="{E4C503D0-6E60-4F5F-91D9-E8A9A1A40E77}" name="NbJour flottants proratisé" dataDxfId="3"/>
    <tableColumn id="6" xr3:uid="{4F0F6533-4462-44EE-B05C-8C5DC5521501}" name="Hhebdo" dataDxfId="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75F5A68-69A2-45CA-84F5-AF4DB7E427AD}" name="T_Statut" displayName="T_Statut" ref="A54:B60" totalsRowShown="0" headerRowDxfId="1">
  <autoFilter ref="A54:B60" xr:uid="{C5AB3583-BC18-4E74-BA8B-852271AA5876}"/>
  <sortState ref="A55:B60">
    <sortCondition ref="A55:A60"/>
  </sortState>
  <tableColumns count="2">
    <tableColumn id="1" xr3:uid="{2359C919-A1F5-429D-8E86-6DED674C82B2}" name="STATUT"/>
    <tableColumn id="2" xr3:uid="{0F1A5223-01FA-47B7-9C9B-B4A618DABE71}" name="LIBELLE" dataDxfId="0"/>
  </tableColumns>
  <tableStyleInfo name="TableStyleLight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8CD95E-F02E-435F-AC25-92C0F52B8559}" name="T_TraitDi" displayName="T_TraitDi" ref="A3:CZ31" totalsRowShown="0" headerRowDxfId="603" dataDxfId="602">
  <autoFilter ref="A3:CZ31" xr:uid="{00000000-0009-0000-0000-000002000000}"/>
  <sortState ref="A4:CZ31">
    <sortCondition ref="D4:D31"/>
  </sortState>
  <tableColumns count="104">
    <tableColumn id="1" xr3:uid="{B83B0229-AA74-430E-B33C-841CB41857D0}" name="NumL" dataDxfId="601"/>
    <tableColumn id="106" xr3:uid="{88696143-BD50-4A9E-BCAC-D51243E82A8E}" name="Statut" dataDxfId="600"/>
    <tableColumn id="104" xr3:uid="{D7ACCF7E-7772-4699-988D-4AF4B2C6C2B8}" name="TW Med" dataDxfId="599"/>
    <tableColumn id="3" xr3:uid="{B9DD0E77-A005-451E-B578-7FD708214299}" name="Nom" dataDxfId="598">
      <calculatedColumnFormula>IFERROR(IF(VLOOKUP(T_TraitDi[[#This Row],[NumL]],T_suiviDi[#Data],COLUMN(T_suiviDi[Nom]),FALSE)&lt;&gt;"",VLOOKUP(T_TraitDi[[#This Row],[NumL]],T_suiviDi[#Data],COLUMN(T_suiviDi[Nom]),FALSE),""),"")</calculatedColumnFormula>
    </tableColumn>
    <tableColumn id="4" xr3:uid="{0AF58501-8E53-4CF2-B8FD-4FEEE0D59F35}" name="Prénom" dataDxfId="597">
      <calculatedColumnFormula>IFERROR(IF(VLOOKUP(T_TraitDi[[#This Row],[NumL]],T_suiviDi[#Data],COLUMN(T_suiviDi[Prénom]),FALSE)&lt;&gt;"",VLOOKUP(T_TraitDi[[#This Row],[NumL]],T_suiviDi[#Data],COLUMN(T_suiviDi[Prénom]),FALSE),""),"")</calculatedColumnFormula>
    </tableColumn>
    <tableColumn id="5" xr3:uid="{B31D5425-6A87-4CD5-8C56-2EB5FC36DB2B}" name="Email" dataDxfId="596" dataCellStyle="Lien hypertexte">
      <calculatedColumnFormula>IFERROR(IF(VLOOKUP(T_TraitDi[[#This Row],[NumL]],T_suiviDi[#Data],COLUMN(T_suiviDi[Email]),FALSE)&lt;&gt;"",VLOOKUP(T_TraitDi[[#This Row],[NumL]],T_suiviDi[#Data],COLUMN(T_suiviDi[Email]),FALSE),""),"")</calculatedColumnFormula>
    </tableColumn>
    <tableColumn id="6" xr3:uid="{72DB7819-2ACF-44FE-B8F0-5B6FE3B20E6C}" name="Action mailing" dataDxfId="595" dataCellStyle="Lien hypertexte"/>
    <tableColumn id="7" xr3:uid="{CD50B37C-2289-4844-9C89-D5120FEB37A8}" name="F1" dataDxfId="594"/>
    <tableColumn id="8" xr3:uid="{E9F2C042-545A-4AA8-BB8E-90F210B3E6A4}" name="F2"/>
    <tableColumn id="9" xr3:uid="{66174230-203A-41E4-8D02-875FAE071975}" name="F3"/>
    <tableColumn id="10" xr3:uid="{5BC6AB18-E9A5-45B0-BA2A-9C8E9207CA14}" name="Garde" dataDxfId="593"/>
    <tableColumn id="11" xr3:uid="{0B6BD396-4A17-4CAB-A72E-C2A2C5C537BB}" name="Elec"/>
    <tableColumn id="12" xr3:uid="{AD80EE33-87AE-4A53-9890-1E00E395763F}" name="Assu"/>
    <tableColumn id="13" xr3:uid="{AAAC3D8E-7E5A-4110-9A97-11DDDD54816B}" name="Inter" dataDxfId="592"/>
    <tableColumn id="14" xr3:uid="{B41D4269-6F0E-41AE-BC87-9323DD9FE11C}" name="Plan" dataDxfId="591"/>
    <tableColumn id="15" xr3:uid="{4AD5222F-F70D-4283-A01E-47F603F9986B}" name="CTRL_PJ" dataDxfId="590">
      <calculatedColumnFormula>IF(D4&lt;&gt;"",IF(COUNTIF(H4:O4,"NON")+COUNTIF(H4:O4,"ATT")&gt;0,3,1),"")</calculatedColumnFormula>
    </tableColumn>
    <tableColumn id="16" xr3:uid="{4034BD0F-B2E8-4E81-B055-3935A776E984}" name="Deb Univ" dataDxfId="589"/>
    <tableColumn id="17" xr3:uid="{D905E98F-137A-4B02-B16F-45E634DEC167}" name="Deb poste" dataDxfId="588"/>
    <tableColumn id="18" xr3:uid="{94015A6F-EE1D-4D37-A37C-043DD1E1897F}" name="Q1" dataDxfId="587" dataCellStyle="Pourcentage"/>
    <tableColumn id="19" xr3:uid="{89338439-7EDD-44C3-95EA-F037542B1DD1}" name="Q2" dataDxfId="586" dataCellStyle="Pourcentage"/>
    <tableColumn id="103" xr3:uid="{AD2F6A0E-DF0F-45A3-B22F-88B08AF2C658}" name="Hhebdo" dataDxfId="585" dataCellStyle="Pourcentage"/>
    <tableColumn id="20" xr3:uid="{5B8B552B-EF8D-49B7-9924-A9C77B1014DB}" name="WebC" dataDxfId="584" dataCellStyle="Pourcentage"/>
    <tableColumn id="21" xr3:uid="{F79D583E-CE25-40A3-AFD0-3A97A4C6D199}" name="Reg Ponct" dataDxfId="583" dataCellStyle="Pourcentage"/>
    <tableColumn id="22" xr3:uid="{CA90CC5E-18F7-4583-B904-7E5DCDF520D1}" name="Jours flottants" dataDxfId="582" dataCellStyle="Pourcentage">
      <calculatedColumnFormula>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calculatedColumnFormula>
    </tableColumn>
    <tableColumn id="23" xr3:uid="{7EA61159-8707-49AB-8515-4D46C7774FED}" name="NbJTot" dataDxfId="581" dataCellStyle="Pourcentage">
      <calculatedColumnFormula>IF((AND(T_TraitDi[[#This Row],[Nom]]&lt;&gt;"",T_TraitDi[[#This Row],[Reg Ponct]]="R")),(COUNTIF(AD4:BI4,"S")+COUNTIF(AD4:BI4,"T"))/2,"")</calculatedColumnFormula>
    </tableColumn>
    <tableColumn id="24" xr3:uid="{28FB3D14-21B8-4D3E-A0E7-0CFBCB65AF99}" name="NbJS" dataDxfId="580" dataCellStyle="Pourcentage">
      <calculatedColumnFormula>IF((AND(T_TraitDi[[#This Row],[Nom]]&lt;&gt;"",T_TraitDi[[#This Row],[Reg Ponct]]="R")),COUNTIF(AD4:BI4,"S")/2,"")</calculatedColumnFormula>
    </tableColumn>
    <tableColumn id="25" xr3:uid="{A159D161-FB15-490F-BBE4-3D903D661E83}" name="NbJTW" dataDxfId="579">
      <calculatedColumnFormula>IF((AND(T_TraitDi[[#This Row],[Nom]]&lt;&gt;"",T_TraitDi[[#This Row],[Reg Ponct]]="R")),COUNTIF(AD4:BI4,"t")/2,"")</calculatedColumnFormula>
    </tableColumn>
    <tableColumn id="26" xr3:uid="{DB3034E1-EFAC-4C6E-81A5-50352F639A98}" name="Nbhheb" dataDxfId="578">
      <calculatedColumnFormula>IF(D4&lt;&gt;"",AJ4+AQ4+AX4+BE4+BL4,"")</calculatedColumnFormula>
    </tableColumn>
    <tableColumn id="27" xr3:uid="{A6FCB76A-3D77-4FCE-A738-CD6493D62C63}" name="NbhTW" dataDxfId="577">
      <calculatedColumnFormula>IF((AND(T_TraitDi[[#This Row],[Nom]]&lt;&gt;"",T_TraitDi[[#This Row],[Reg Ponct]]="R")),IF(AD4="T",AF4-AE4,0)+IF(AG4="T",AI4-AH4,0)+IF(AK4="T",AM4-AL4,0)+IF(AN4="T",AP4-AO4,0)+IF(AR4="T",AT4-AS4,0)+IF(AU4="T",AW4-AV4,0)+IF(AY4="T",BA4-AZ4,0)+IF(BB4="T",BD4-BC4,0)+IF(BF4="T",BH4-BG4,0)+IF(BI4="T",BK4-BJ4,0),"")</calculatedColumnFormula>
    </tableColumn>
    <tableColumn id="28" xr3:uid="{6100D359-D56B-48E5-BAB1-7E2E29D7A230}" name="Lundi" dataDxfId="576"/>
    <tableColumn id="29" xr3:uid="{D7F99B60-8913-43CF-8F95-0CC4CB66D440}" name="Colonne3" dataDxfId="575"/>
    <tableColumn id="30" xr3:uid="{E46EE79D-3272-49B2-8227-A5265737CACD}" name="Colonne4" dataDxfId="574"/>
    <tableColumn id="31" xr3:uid="{27EA4EA7-D9FE-4767-B8F6-CC8ADE3BB5A8}" name="Colonne5" dataDxfId="573"/>
    <tableColumn id="32" xr3:uid="{C9A083B2-C005-40EA-BFAF-C9F2F6A9AC57}" name="Colonne6" dataDxfId="572"/>
    <tableColumn id="33" xr3:uid="{9F936133-70C6-4903-A1A1-9E8B90C43589}" name="Colonne7" dataDxfId="571"/>
    <tableColumn id="34" xr3:uid="{E03E599B-609E-42AB-8160-F626F226F47B}" name="Colonne8" dataDxfId="570">
      <calculatedColumnFormula>IF(D4&lt;&gt;"",(AF4-AE4)+(AI4-AH4),"")</calculatedColumnFormula>
    </tableColumn>
    <tableColumn id="35" xr3:uid="{9062A750-379C-4462-B849-810335678B0C}" name="Mardi" dataDxfId="569"/>
    <tableColumn id="36" xr3:uid="{8F17D433-C178-4B08-82B7-71DFD2446680}" name="Colonne1" dataDxfId="568"/>
    <tableColumn id="37" xr3:uid="{5591775C-DB79-433E-94BA-A326D6CD841D}" name="Colonne9" dataDxfId="567"/>
    <tableColumn id="38" xr3:uid="{D1796252-AC1A-4B2D-8982-8FD657D20BC9}" name="Colonne10" dataDxfId="566"/>
    <tableColumn id="39" xr3:uid="{9E0FC885-1C42-4FE5-9265-DC534B1C0AA4}" name="Colonne11" dataDxfId="565"/>
    <tableColumn id="40" xr3:uid="{263112B4-359D-478A-B1F4-C890224DE389}" name="Colonne12" dataDxfId="564"/>
    <tableColumn id="41" xr3:uid="{829A6471-203B-464E-8EE0-20185FA8F4E1}" name="Colonne14" dataDxfId="563">
      <calculatedColumnFormula>IF(D4&lt;&gt;"",(AM4-AL4)+(AP4-AO4),"")</calculatedColumnFormula>
    </tableColumn>
    <tableColumn id="42" xr3:uid="{D3439DDE-90B4-40D8-854D-87D74CBD46E8}" name="Mercredi" dataDxfId="562"/>
    <tableColumn id="43" xr3:uid="{0AD76638-FEE3-4A80-B3CF-F0694B74FD49}" name="Colonne15" dataDxfId="561"/>
    <tableColumn id="44" xr3:uid="{FDE1B9AA-F7BA-4223-8BF8-8A7003B49B74}" name="Colonne16" dataDxfId="560"/>
    <tableColumn id="45" xr3:uid="{1B1F79CF-4C88-4E25-B6F5-06E3F048E3DE}" name="Colonne17" dataDxfId="559"/>
    <tableColumn id="46" xr3:uid="{70E78A40-A80B-4DDD-A3A3-6F09C9775A59}" name="Colonne18" dataDxfId="558"/>
    <tableColumn id="47" xr3:uid="{5DEE95D5-DB85-42AF-8C59-D1D6687A26FE}" name="Colonne19" dataDxfId="557"/>
    <tableColumn id="48" xr3:uid="{AFB65DC8-4237-4252-ADA5-A622FEE96E3E}" name="Colonne20" dataDxfId="556">
      <calculatedColumnFormula>IF(D4&lt;&gt;"",(AT4-AS4)+(AW4-AV4),"")</calculatedColumnFormula>
    </tableColumn>
    <tableColumn id="49" xr3:uid="{EEE2D115-4FD8-4A48-9F7E-2BEB85EEC8B4}" name="Jeudi" dataDxfId="555"/>
    <tableColumn id="50" xr3:uid="{E9BE5EA7-8246-4992-90D1-820A2769DB51}" name="Colonne21" dataDxfId="554"/>
    <tableColumn id="51" xr3:uid="{B6CA5976-08F3-4635-877A-81E3CAC737FB}" name="Colonne22" dataDxfId="553"/>
    <tableColumn id="52" xr3:uid="{D6F85537-BB63-4E8D-A77B-AE7B66722B9F}" name="Colonne23" dataDxfId="552"/>
    <tableColumn id="53" xr3:uid="{A390933A-E3EC-44A0-BBEB-87EB129D80E2}" name="Colonne24" dataDxfId="551"/>
    <tableColumn id="54" xr3:uid="{E3F202F1-E375-4DBE-A71D-ABE31800E50F}" name="Colonne25" dataDxfId="550"/>
    <tableColumn id="55" xr3:uid="{184F702F-0699-406B-BC7A-7FDB9CD2F89F}" name="Colonne26" dataDxfId="549">
      <calculatedColumnFormula>IF(D4&lt;&gt;"",(BA4-AZ4)+(BD4-BC4),"")</calculatedColumnFormula>
    </tableColumn>
    <tableColumn id="56" xr3:uid="{E0C59917-8A59-47C4-A160-5E2BCB90C844}" name="Vendredi" dataDxfId="548"/>
    <tableColumn id="57" xr3:uid="{5B4AFE0A-1A17-4F3C-B904-AA378825B623}" name="Colonne27" dataDxfId="547"/>
    <tableColumn id="58" xr3:uid="{DB15D71F-1C8E-456D-B7C7-8BDF6952D9EC}" name="Colonne28" dataDxfId="546"/>
    <tableColumn id="59" xr3:uid="{1CD260E3-DB99-411D-BD12-C0B609423198}" name="Colonne29" dataDxfId="545"/>
    <tableColumn id="60" xr3:uid="{F356C715-3A1A-4400-A3A7-F6736E4BA807}" name="Colonne30" dataDxfId="544"/>
    <tableColumn id="61" xr3:uid="{BF05BCC8-D824-497D-8270-F177F7555323}" name="Colonne31" dataDxfId="543"/>
    <tableColumn id="62" xr3:uid="{E666A19E-A6D8-4AD3-B77B-A245D2FC496C}" name="Colonne32" dataDxfId="542">
      <calculatedColumnFormula>IF(D4&lt;&gt;"",(BH4-BG4)+(BK4-BJ4),"")</calculatedColumnFormula>
    </tableColumn>
    <tableColumn id="63" xr3:uid="{60DF02B7-4BAE-48DC-A64C-17EC7D687A8B}" name="C1" dataDxfId="541">
      <calculatedColumnFormula>IFERROR(IF(T_TraitDi[[#This Row],[Nom]]&lt;&gt;"",IF(T_TraitDi[[#This Row],[Deb Univ]]="","N/C",IF(Dateeffet-T_TraitDi[[#This Row],[Deb Univ]]&gt;365,"OK","PB")),""),"N/C")</calculatedColumnFormula>
    </tableColumn>
    <tableColumn id="64" xr3:uid="{50DC07E8-2131-4AE4-81B3-7BFD843095B5}" name="C2" dataDxfId="540">
      <calculatedColumnFormula>IFERROR(IF(D4&lt;&gt;"",IF(R4="","N/C",IF(TODAY()-R4&gt;365,"OK","PB")),""),"N/C")</calculatedColumnFormula>
    </tableColumn>
    <tableColumn id="65" xr3:uid="{F909A272-1561-4483-8E33-8BB0F87DBBFF}" name="C3" dataDxfId="539">
      <calculatedColumnFormula>"OK"</calculatedColumnFormula>
    </tableColumn>
    <tableColumn id="66" xr3:uid="{E0539B0C-564C-4404-A3AC-B203995582C0}" name="C4" dataDxfId="538">
      <calculatedColumnFormula>IFERROR(IF(D4&lt;&gt;"",IF(OR(S4="",T4=""),"N/C",IF(S4&gt;=T4,"OK","PB")),""),"N/C")</calculatedColumnFormula>
    </tableColumn>
    <tableColumn id="67" xr3:uid="{D4902E76-4D46-4049-9015-CD70AD21B9E5}" name="C5" dataDxfId="537">
      <calculatedColumnFormula>IFERROR(IF((AND(T_TraitDi[[#This Row],[Nom]]&lt;&gt;"",T_TraitDi[[#This Row],[Reg Ponct]]="R")),IF(Z4="","N/C",IF(Z4&gt;=Nbjoursite,"OK","PB")),""),"N/C")</calculatedColumnFormula>
    </tableColumn>
    <tableColumn id="68" xr3:uid="{5DB79EA6-76AA-44EE-B901-CADEAD59682F}" name="C6" dataDxfId="536">
      <calculatedColumnFormula>IFERROR(IF((AND(T_TraitDi[[#This Row],[Nom]]&lt;&gt;"",T_TraitDi[[#This Row],[Reg Ponct]]="R")),IF(AA4="","N/C",IF(AA4&lt;=VLOOKUP(T4,Quotite,2,FALSE),"OK","PB")),""),"N/C")</calculatedColumnFormula>
    </tableColumn>
    <tableColumn id="69" xr3:uid="{12D14210-32DF-4D37-BF60-2688A0266BDF}" name="C7" dataDxfId="535">
      <calculatedColumnFormula>IFERROR(IF((AND(T_TraitDi[[#This Row],[Nom]]&lt;&gt;"",T_TraitDi[[#This Row],[Reg Ponct]]="R")),IF(OR(Y4="",Z4="",AA4=""),"N/C",IF(Z4+AA4=Y4,"OK","PB")),""),"N/C")</calculatedColumnFormula>
    </tableColumn>
    <tableColumn id="70" xr3:uid="{4924E045-6BBE-4895-9F4B-B56E8A277829}" name="C8" dataDxfId="534">
      <calculatedColumnFormula>IFERROR(IF((AND(T_TraitDi[[#This Row],[Nom]]&lt;&gt;"",T_TraitDi[[#This Row],[Reg Ponct]]="R")),IF(AA4="","N/C",IF(COUNTIF(AD4:BL4,"T")=AA4*2,"OK","PB")),""),"N/C")</calculatedColumnFormula>
    </tableColumn>
    <tableColumn id="71" xr3:uid="{F58B3E1F-DF4A-4AB4-A51E-A4182FB69C77}" name="C9" dataDxfId="533">
      <calculatedColumnFormula>IF(OR(T_TraitDi[[#This Row],[Nom]]="",T_TraitDi[[#This Row],[Reg Ponct]]="P"),"",IFERROR(IF((HOUR(AC4)*60+MINUTE(AC4))/AA4&gt;HOUR(Amplitude_max)*60+MINUTE(Amplitude_max),"PB","OK"),"N/C"))</calculatedColumnFormula>
    </tableColumn>
    <tableColumn id="72" xr3:uid="{82C83232-5CFE-41DC-86F7-670BB5DAD267}" name="C10" dataDxfId="532">
      <calculatedColumnFormula>IF(T_TraitDi[[#This Row],[Nom]]="","",IF( T_TraitDi[[#This Row],[Reg Ponct]]="R",IFERROR(IF(AND(T_TraitDi[[#This Row],[Nbhheb]]&gt;0,T_TraitDi[[#This Row],[Reg Ponct]]= "R"),IF(T_TraitDi[[#This Row],[Nbhheb]]&lt;&gt;VLOOKUP("R"&amp;T_TraitDi[[#This Row],[Q2]]*100&amp;T_TraitDi[[#This Row],[ctrlH]], T_code_H[#Data],6,FALSE),"PB","OK"),"N/C"),"N/C"), "OK"))</calculatedColumnFormula>
    </tableColumn>
    <tableColumn id="73" xr3:uid="{A2E726B1-2372-428E-AB44-A5BF1FBAB838}" name="C" dataDxfId="531">
      <calculatedColumnFormula>IF(D4&lt;&gt;"",IF(COUNTIF(BM4:BV4,"PB")&gt;0,3,IF(COUNTIF(BM4:BV4,"N/C")&gt;0,2,1)),"")</calculatedColumnFormula>
    </tableColumn>
    <tableColumn id="74" xr3:uid="{FAB804BC-B0A7-43DD-84C9-971AA34436FE}" name="Commentaires" dataDxfId="530">
      <calculatedColumnFormula>IF(D4&lt;&gt;"",IF(COUNTIF(BM4:BV4,"N/C")&gt;0,"Les informations saisies ne permettent pas d'effectuer tous les contrôles requis. / ","")&amp;IF(BW4=3,BY4&amp;BZ4&amp;CA4&amp;CB4&amp;CC4&amp;CD4&amp;CE4&amp;CF4&amp;CG4&amp;CH4,""),"")</calculatedColumnFormula>
    </tableColumn>
    <tableColumn id="75" xr3:uid="{004AE3B9-D1E6-43BB-97C2-A6323CC41631}" name="Colonne33" dataDxfId="529">
      <calculatedColumnFormula>IF(BM4="PB",VLOOKUP(BM$3,Contrôle,2,FALSE)&amp;" / ","")</calculatedColumnFormula>
    </tableColumn>
    <tableColumn id="76" xr3:uid="{B58A1EF0-E348-4D83-B2B7-71DF7B4E3FDA}" name="Colonne34" dataDxfId="528">
      <calculatedColumnFormula>IF(BN4="PB",VLOOKUP(BN$3,Contrôle,2,FALSE)&amp;" / ","")</calculatedColumnFormula>
    </tableColumn>
    <tableColumn id="77" xr3:uid="{A5E626CF-4FD0-4468-A729-8A16AEBA9862}" name="Colonne35" dataDxfId="527">
      <calculatedColumnFormula>IF(BO4="PB",VLOOKUP(BO$3,Contrôle,2,FALSE)&amp;" / ","")</calculatedColumnFormula>
    </tableColumn>
    <tableColumn id="78" xr3:uid="{72E460DF-1ECD-44E0-9024-376F6F56B326}" name="Colonne36" dataDxfId="526">
      <calculatedColumnFormula>IF(BP4="PB",VLOOKUP(BP$3,Contrôle,2,FALSE)&amp;" / ","")</calculatedColumnFormula>
    </tableColumn>
    <tableColumn id="79" xr3:uid="{6B4419DE-F786-411D-849E-A06AD716758A}" name="Colonne37" dataDxfId="525">
      <calculatedColumnFormula>IF(BQ4="PB",VLOOKUP(BQ$3,Contrôle,2,FALSE)&amp;" / ","")</calculatedColumnFormula>
    </tableColumn>
    <tableColumn id="80" xr3:uid="{B32E045A-0F8F-45B6-8849-FD62E6C1EB40}" name="Colonne38" dataDxfId="524">
      <calculatedColumnFormula>IF(BR4="PB",VLOOKUP(BR$3,Contrôle,2,FALSE)&amp;" / ","")</calculatedColumnFormula>
    </tableColumn>
    <tableColumn id="81" xr3:uid="{CFE1B623-D897-4355-9BFA-E5B03D72C27C}" name="Colonne39" dataDxfId="523">
      <calculatedColumnFormula>IF(BS4="PB",VLOOKUP(BS$3,Contrôle,2,FALSE)&amp;" / ","")</calculatedColumnFormula>
    </tableColumn>
    <tableColumn id="82" xr3:uid="{B70F01AD-D897-4C52-B202-480451F2D91B}" name="Colonne40" dataDxfId="522">
      <calculatedColumnFormula>IF(BT4="PB",VLOOKUP(BT$3,Contrôle,2,FALSE)&amp;" / ","")</calculatedColumnFormula>
    </tableColumn>
    <tableColumn id="83" xr3:uid="{F0E1542D-5A9D-43A9-9AC4-FEE226501AAF}" name="Colonne41" dataDxfId="521">
      <calculatedColumnFormula>IF(BU4="PB",VLOOKUP(BU$3,Contrôle,2,FALSE)&amp;" ("&amp;ROUND((HOUR(AC4)+MINUTE(AC4)/60)/AA4,1)&amp;" soit "&amp;HOUR(AC4)&amp;"h"&amp;MINUTE(AC4)&amp;" sur "&amp;AA4&amp;"jr) /","")</calculatedColumnFormula>
    </tableColumn>
    <tableColumn id="84" xr3:uid="{DD571BE6-93E3-487F-A14D-9ED974FC5652}" name="Colonne42" dataDxfId="520">
      <calculatedColumnFormula>IF(BV4="PB",VLOOKUP(BV$3,Contrôle,2,FALSE)&amp;" / ","")</calculatedColumnFormula>
    </tableColumn>
    <tableColumn id="85" xr3:uid="{521B4BCC-373F-49F7-99FA-A9AF50BD84C9}" name="Type1" dataDxfId="519"/>
    <tableColumn id="86" xr3:uid="{D89F79DF-0A86-48CB-B726-5F402F094CEF}" name="Rue1" dataDxfId="518"/>
    <tableColumn id="87" xr3:uid="{C6E19324-C5E8-4D11-8463-CEA4679144F0}" name="CP1" dataDxfId="517"/>
    <tableColumn id="88" xr3:uid="{C616C095-54E1-4D94-BB74-35D75AE429D9}" name="VILLE1" dataDxfId="516"/>
    <tableColumn id="89" xr3:uid="{474F37CB-23E7-44CC-8DFE-E2D46F23AD11}" name="Type2" dataDxfId="515"/>
    <tableColumn id="90" xr3:uid="{870B147B-8F2F-4970-BD0A-B42443E1F66D}" name="Rue2" dataDxfId="514"/>
    <tableColumn id="91" xr3:uid="{4F0BDB04-78A1-40F4-B65C-DA61AC37BB84}" name="CP2" dataDxfId="513"/>
    <tableColumn id="92" xr3:uid="{98264B82-7D55-4C97-B844-4A0819084C85}" name="VILLE2" dataDxfId="512"/>
    <tableColumn id="93" xr3:uid="{E3FA6AE2-3F91-46D7-A3D1-363784BE7F02}" name="EXP" dataDxfId="511"/>
    <tableColumn id="94" xr3:uid="{68EA3B2F-E980-4A68-A16D-8E1CCD436005}" name="FORM" dataDxfId="510"/>
    <tableColumn id="95" xr3:uid="{C80D10D5-1BE8-4C5A-BB1A-97A4ED92F5F4}" name="M1" dataDxfId="509"/>
    <tableColumn id="96" xr3:uid="{890C6563-48BF-4FF9-A2E4-43BAB47F6B61}" name="M2" dataDxfId="508"/>
    <tableColumn id="97" xr3:uid="{77072055-3FB2-4434-A2BA-8F6AA1DA5C02}" name="M3" dataDxfId="507"/>
    <tableColumn id="98" xr3:uid="{05B39973-4048-453E-93D2-D53E8F024950}" name="M4" dataDxfId="506"/>
    <tableColumn id="99" xr3:uid="{BE6823DC-3FF3-4E23-AB5C-D56D816A6028}" name="M5" dataDxfId="505"/>
    <tableColumn id="100" xr3:uid="{6BFCADEB-686F-4489-994C-0F00FE666ABD}" name="M6" dataDxfId="504"/>
    <tableColumn id="101" xr3:uid="{6621910E-86DE-467E-BE4C-BF9537D6606C}" name="ctrlH" dataDxfId="503">
      <calculatedColumnFormula>VLOOKUP(T_TraitDi[[#This Row],[hh]],T_CTRL_H[#Data],2,TRUE)</calculatedColumnFormula>
    </tableColumn>
    <tableColumn id="102" xr3:uid="{82E555B5-5686-4AE5-B32E-6BBA12627A91}" name="hh" dataDxfId="502">
      <calculatedColumnFormula>T_TraitDi[[#This Row],[Hhebdo]]*24</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CA8BBE-50EA-4861-B5B5-0F19E9DFCEC5}" name="T_Commission" displayName="T_Commission" ref="A2:T322" totalsRowShown="0" headerRowDxfId="498" tableBorderDxfId="497">
  <autoFilter ref="A2:T322" xr:uid="{00000000-0009-0000-0000-000003000000}"/>
  <sortState ref="A3:T322">
    <sortCondition ref="C3:C322"/>
  </sortState>
  <tableColumns count="20">
    <tableColumn id="1" xr3:uid="{08AFD4F6-0C4A-4E92-9D88-C6AFC9D582D7}" name="NumL" dataDxfId="496"/>
    <tableColumn id="2" xr3:uid="{0C018C80-A683-4630-B4C7-EB2DD93AD91D}" name="Statut" dataDxfId="495">
      <calculatedColumnFormula>IFERROR(IF(VLOOKUP(T_Commission[[#This Row],[NumL]],T_TraitDi[#Data],COLUMN(T_TraitDi[[#This Row],[Statut]]),FALSE)&lt;&gt;"",VLOOKUP(T_Commission[[#This Row],[NumL]],T_TraitDi[#Data],COLUMN(T_TraitDi[[#This Row],[Statut]]),FALSE),""),"")</calculatedColumnFormula>
    </tableColumn>
    <tableColumn id="3" xr3:uid="{9C998C3E-0762-4DDD-929F-E1289C9E9ADC}" name="Nom" dataDxfId="494">
      <calculatedColumnFormula>IFERROR(IF(VLOOKUP(T_Commission[[#This Row],[NumL]],T_suiviDi[#Data],COLUMN(T_suiviDi[[#This Row],[Nom]]),FALSE)&lt;&gt;"",VLOOKUP(T_Commission[[#This Row],[NumL]],T_suiviDi[#Data],COLUMN(T_suiviDi[[#This Row],[Nom]]),FALSE),""),"")</calculatedColumnFormula>
    </tableColumn>
    <tableColumn id="4" xr3:uid="{CCB86CBA-B11A-43AA-BA99-E82FDF5D2519}" name="Prénom" dataDxfId="493">
      <calculatedColumnFormula>IFERROR(IF(VLOOKUP(T_Commission[[#This Row],[NumL]],T_suiviDi[#Data],COLUMN(T_suiviDi[[#This Row],[Prénom]]),FALSE)&lt;&gt;"",VLOOKUP(T_Commission[[#This Row],[NumL]],T_suiviDi[#Data],COLUMN(T_suiviDi[[#This Row],[Prénom]]),FALSE),""),"")</calculatedColumnFormula>
    </tableColumn>
    <tableColumn id="5" xr3:uid="{A8020A7F-82E4-4E23-87BB-29F4CC17927B}" name="Email" dataDxfId="492" dataCellStyle="Lien hypertexte">
      <calculatedColumnFormula>IFERROR(IF(VLOOKUP(T_Commission[[#This Row],[NumL]],T_suiviDi[#Data],COLUMN(T_suiviDi[[#This Row],[Email]]),FALSE)&lt;&gt;"",VLOOKUP(T_Commission[[#This Row],[NumL]],T_suiviDi[#Data],COLUMN(T_suiviDi[[#This Row],[Email]]),FALSE),""),"")</calculatedColumnFormula>
    </tableColumn>
    <tableColumn id="6" xr3:uid="{7F83F8F7-09AF-4FD5-AFC8-618A03448A1B}" name="Encadrant Nom" dataDxfId="491" dataCellStyle="Lien hypertexte">
      <calculatedColumnFormula>IFERROR(IF(VLOOKUP(T_Commission[[#This Row],[NumL]],T_suiviDi[#Data],COLUMN(T_suiviDi[[#This Row],[Nom1]]),FALSE)&lt;&gt;"",VLOOKUP(T_Commission[[#This Row],[NumL]],T_suiviDi[#Data],COLUMN(T_suiviDi[[#This Row],[Nom1]]),FALSE),""),"")</calculatedColumnFormula>
    </tableColumn>
    <tableColumn id="7" xr3:uid="{FD111837-B280-41DF-A04D-D85E92A19C2D}" name="Encadrant Prénom" dataDxfId="490" dataCellStyle="Lien hypertexte">
      <calculatedColumnFormula>IFERROR(IF(VLOOKUP(T_Commission[[#This Row],[NumL]],T_suiviDi[#Data],COLUMN(T_suiviDi[[#This Row],[Prénom1]]),FALSE)&lt;&gt;"",VLOOKUP(T_Commission[[#This Row],[NumL]],T_suiviDi[#Data],COLUMN(T_suiviDi[[#This Row],[Prénom1]]),FALSE),""),"")</calculatedColumnFormula>
    </tableColumn>
    <tableColumn id="8" xr3:uid="{3465D2E2-CC67-4BEE-8D39-0E1C9CCBEE7F}" name="Encadrant Email" dataDxfId="489" dataCellStyle="Lien hypertexte">
      <calculatedColumnFormula>IFERROR(IF(VLOOKUP(T_Commission[[#This Row],[NumL]],T_suiviDi[#Data],COLUMN(T_suiviDi[[#This Row],[Email1]]),FALSE)&lt;&gt;"",VLOOKUP(T_Commission[[#This Row],[NumL]],T_suiviDi[#Data],COLUMN(T_suiviDi[[#This Row],[Email1]]),FALSE),""),"")</calculatedColumnFormula>
    </tableColumn>
    <tableColumn id="9" xr3:uid="{4BBDB571-0B01-4170-A4BA-F5C0FE7C898E}" name="PJ" dataDxfId="488">
      <calculatedColumnFormula>IFERROR(VLOOKUP(A3,'2- Traitement des DI'!#REF!,FALSE),"")</calculatedColumnFormula>
    </tableColumn>
    <tableColumn id="10" xr3:uid="{DE00D8AD-BEDD-4A7E-9258-6A5FBBCACDFA}" name="Contrôle" dataDxfId="487">
      <calculatedColumnFormula>IF(C3&lt;&gt;"",IFERROR(VLOOKUP(A3,'2- Traitement des DI'!#REF!,FALSE),""),"")</calculatedColumnFormula>
    </tableColumn>
    <tableColumn id="11" xr3:uid="{4E8DA11D-ADB9-4138-986C-8D3BC5C3DD1F}" name="N+1" dataDxfId="486">
      <calculatedColumnFormula>IFERROR(IF(VLOOKUP(T_Commission[[#This Row],[NumL]],T_suiviDi[#Data],COLUMN(T_suiviDi[[#This Row],[Avis n+1]]),FALSE)&lt;&gt;"",VLOOKUP(A3,T_suiviDi[#Data],COLUMN(T_suiviDi[[#This Row],[Avis n+1]]),FALSE),""),"")</calculatedColumnFormula>
    </tableColumn>
    <tableColumn id="12" xr3:uid="{D755EF31-9559-4537-87E8-3EE7895F0224}" name="N+2" dataDxfId="485">
      <calculatedColumnFormula>IFERROR(IF(VLOOKUP(A3,ListeDI,27,FALSE)&lt;&gt;"",VLOOKUP(A3,ListeDI,27,FALSE),""),"")</calculatedColumnFormula>
    </tableColumn>
    <tableColumn id="13" xr3:uid="{9333228B-9CDC-4EDD-B1ED-EE9AD6D0A84E}" name="COM #1" dataDxfId="484"/>
    <tableColumn id="14" xr3:uid="{C9DFB9A1-8F0F-422C-B1C4-8C90DC725E97}" name="COM #2" dataDxfId="483"/>
    <tableColumn id="15" xr3:uid="{F6EC30C9-0BBB-44ED-8344-58DAB703FFF8}" name="FINAL" dataDxfId="482">
      <calculatedColumnFormula>IF(C3&lt;&gt;"",IF(N3&lt;&gt;"",MAX(I3,N3),IF(M3&lt;&gt;"",MAX(I3,M3),"")),"")</calculatedColumnFormula>
    </tableColumn>
    <tableColumn id="16" xr3:uid="{19BECCF7-FDB2-4765-B117-D3BDED9671CE}" name="Etat Notification" dataDxfId="481"/>
    <tableColumn id="20" xr3:uid="{2FE205AF-10DC-4CF7-B912-750872132688}" name="envoi confirm TW" dataDxfId="480"/>
    <tableColumn id="19" xr3:uid="{10D36293-2D58-4988-A47C-FD29AFA31B16}" name="Retour confirm" dataDxfId="479"/>
    <tableColumn id="17" xr3:uid="{693CC11C-51F1-440F-A96E-765649FD3E2B}" name="Autre action" dataDxfId="478"/>
    <tableColumn id="18" xr3:uid="{AFF75205-36ED-4A6D-9DF6-9A4BDCD90507}" name="Commentaire" dataDxfId="47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5EF84F-ED7F-4C29-B93E-A9A9FDB2D34C}" name="T_Equipement" displayName="T_Equipement" ref="A2:T321" totalsRowShown="0" headerRowDxfId="437" dataDxfId="436" tableBorderDxfId="435">
  <autoFilter ref="A2:T321" xr:uid="{00000000-0009-0000-0000-000004000000}"/>
  <sortState ref="A4:T321">
    <sortCondition ref="B3:B321"/>
  </sortState>
  <tableColumns count="20">
    <tableColumn id="1" xr3:uid="{2540052F-78A7-41F0-ACB1-E3FCC316CBCE}" name="NumL" dataDxfId="434"/>
    <tableColumn id="2" xr3:uid="{238F31DB-B619-4CF0-8674-8F22E12B7FD8}" name="Nom" dataDxfId="433">
      <calculatedColumnFormula>IFERROR(IF(VLOOKUP(T_Equipement[[#This Row],[NumL]],T_suiviDi[#Data],COLUMN(T_suiviDi[Nom]),FALSE)&lt;&gt;"",VLOOKUP(T_Equipement[[#This Row],[NumL]],T_suiviDi[#Data],COLUMN(T_suiviDi[Nom]),FALSE),""),"")</calculatedColumnFormula>
    </tableColumn>
    <tableColumn id="3" xr3:uid="{4E6B5363-B940-430D-A5F7-563D010F996F}" name="Prénom" dataDxfId="432">
      <calculatedColumnFormula>IFERROR(IF(VLOOKUP(T_Equipement[[#This Row],[NumL]],T_suiviDi[#Data],COLUMN(T_suiviDi[Prénom]),FALSE)&lt;&gt;"",VLOOKUP(T_Equipement[[#This Row],[NumL]],T_suiviDi[#Data],COLUMN(T_suiviDi[Prénom]),FALSE),""),"")</calculatedColumnFormula>
    </tableColumn>
    <tableColumn id="4" xr3:uid="{81CCA6E3-1748-423B-8AAD-3E12824DA2F6}" name="Email" dataDxfId="431" dataCellStyle="Lien hypertexte">
      <calculatedColumnFormula>IFERROR(IF(VLOOKUP(T_Equipement[[#This Row],[NumL]],T_suiviDi[#Data],COLUMN(T_suiviDi[Email]),FALSE)&lt;&gt;"",VLOOKUP(T_Equipement[[#This Row],[NumL]],T_suiviDi[#Data],COLUMN(T_suiviDi[Email]),FALSE),""),"")</calculatedColumnFormula>
    </tableColumn>
    <tableColumn id="5" xr3:uid="{B2692300-2DA7-4A52-9FC7-9F0FDE05C3BC}" name="Encadrant Nom" dataDxfId="430" dataCellStyle="Lien hypertexte">
      <calculatedColumnFormula>IFERROR(IF(VLOOKUP(T_Equipement[[#This Row],[NumL]],T_suiviDi[#Data],COLUMN(T_suiviDi[Nom1]),FALSE)&lt;&gt;"",VLOOKUP(T_Equipement[[#This Row],[NumL]],T_suiviDi[#Data],COLUMN(T_suiviDi[Nom1]),FALSE),""),"")</calculatedColumnFormula>
    </tableColumn>
    <tableColumn id="6" xr3:uid="{4CB145F4-934F-41D2-8D32-B90FB690A1D3}" name="Encadrant Prénom" dataDxfId="429" dataCellStyle="Lien hypertexte">
      <calculatedColumnFormula>IFERROR(IF(VLOOKUP(T_Equipement[[#This Row],[NumL]],T_suiviDi[#Data],COLUMN(T_suiviDi[Prénom1]),FALSE)&lt;&gt;"",VLOOKUP(T_Equipement[[#This Row],[NumL]],T_suiviDi[#Data],COLUMN(T_suiviDi[Prénom1]),FALSE),""),"")</calculatedColumnFormula>
    </tableColumn>
    <tableColumn id="7" xr3:uid="{32C587E0-2D5D-4C8A-985E-BA247B8B0F22}" name="Encadrant Email" dataDxfId="428" dataCellStyle="Lien hypertexte">
      <calculatedColumnFormula>IFERROR(IF(VLOOKUP(T_Equipement[[#This Row],[NumL]],T_suiviDi[#Data],COLUMN(T_suiviDi[Email1]),FALSE)&lt;&gt;"",VLOOKUP(T_Equipement[[#This Row],[NumL]],T_suiviDi[#Data],COLUMN(T_suiviDi[Email1]),FALSE),""),"")</calculatedColumnFormula>
    </tableColumn>
    <tableColumn id="8" xr3:uid="{353918D1-5AEF-48C1-8212-C0F22B2FD082}" name="Formation aux Outils" dataDxfId="427"/>
    <tableColumn id="9" xr3:uid="{3CC82D5A-4FB8-4941-BDA9-7D1E4F4508FD}" name="Formation TW" dataDxfId="426"/>
    <tableColumn id="10" xr3:uid="{FECEA9FC-A5C0-474E-A950-2F1EEE996C2D}" name="PC" dataDxfId="425"/>
    <tableColumn id="11" xr3:uid="{A65514C5-ABE0-4D8F-B655-4F7FD311853C}" name="Téléphone" dataDxfId="424"/>
    <tableColumn id="12" xr3:uid="{AD23AE22-1A7D-46DB-8649-36B38707E4C9}" name="Equipement 1" dataDxfId="423"/>
    <tableColumn id="13" xr3:uid="{2BDC1AAD-2607-481D-8FC9-7121A33D0FD8}" name="Equipement 2" dataDxfId="422"/>
    <tableColumn id="14" xr3:uid="{D17A2EB2-8F85-4A5B-BFF3-72317F296305}" name="Equipement 3" dataDxfId="421"/>
    <tableColumn id="15" xr3:uid="{4A78A04E-4409-454E-924E-C5E1B3D825BC}" name="Equipement 4" dataDxfId="420"/>
    <tableColumn id="16" xr3:uid="{9F8FAD1B-398B-4E53-957E-0A5E021FDCA0}" name="Equipement 5" dataDxfId="419"/>
    <tableColumn id="17" xr3:uid="{21FF126C-2E20-4915-A56F-F3964FBDB740}" name="Equipement 6" dataDxfId="418"/>
    <tableColumn id="18" xr3:uid="{47DFA1FA-B3AB-43E3-A63D-CEDE2897B536}" name="Equipement 7" dataDxfId="417"/>
    <tableColumn id="19" xr3:uid="{D03009AD-C834-49FE-99BE-E554AC200884}" name="Equipement 8" dataDxfId="416"/>
    <tableColumn id="20" xr3:uid="{DCD6422B-C52E-4BF8-8A5A-86E6303C83D2}" name="Equipement 9" dataDxfId="4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DB63A10-4DCA-4C58-A6F1-685F55DD16C7}" name="T_Convention" displayName="T_Convention" ref="A2:CD320" totalsRowShown="0" headerRowDxfId="409" dataDxfId="408">
  <autoFilter ref="A2:CD320" xr:uid="{87DC6055-F62D-40A7-8504-51B3FBEFA392}"/>
  <sortState ref="A3:CD320">
    <sortCondition ref="G3:G320"/>
  </sortState>
  <tableColumns count="82">
    <tableColumn id="1" xr3:uid="{74C3F534-AC6E-4230-ABBC-824D9C6C3E1B}" name="NumL" dataDxfId="407"/>
    <tableColumn id="78" xr3:uid="{8438D340-18F2-4907-BF5A-296E1D78F2D3}" name="Final" dataDxfId="406">
      <calculatedColumnFormula>VLOOKUP(T_Convention[[#This Row],[NumL]],T_Commission[#Data],COLUMN(T_Commission[FINAL]),FALSE)</calculatedColumnFormula>
    </tableColumn>
    <tableColumn id="3" xr3:uid="{098AE4E9-7C87-422E-9CD0-7150DF4A260D}" name="Etat" dataDxfId="405"/>
    <tableColumn id="4" xr3:uid="{B5430F3A-817F-4BC8-9369-F087C77E8E61}" name="WG/DI" dataDxfId="404">
      <calculatedColumnFormula>IF(VLOOKUP($A3,TraitementDI,19,FALSE)="","",VLOOKUP($A3,TraitementDI,19,FALSE))</calculatedColumnFormula>
    </tableColumn>
    <tableColumn id="5" xr3:uid="{7445FABE-0F8E-4EA4-A66C-61805A49984B}" name="Date Edition" dataDxfId="403">
      <calculatedColumnFormula>TEXT(DateEdition,"jj mmmm aaaa")</calculatedColumnFormula>
    </tableColumn>
    <tableColumn id="6" xr3:uid="{EBD0E8A8-B9E1-4B69-B100-CE192D928EB7}" name="Civ" dataDxfId="402">
      <calculatedColumnFormula>IF(T_Convention[[#This Row],[Final]]&lt;&gt;"",VLOOKUP(T_Convention[[#This Row],[NumL]],T_suiviDi[#Data],COLUMN((T_suiviDi[Civ.])),FALSE),"")</calculatedColumnFormula>
    </tableColumn>
    <tableColumn id="7" xr3:uid="{EADBAFEB-9C0A-454F-965C-26CFCCFFB996}" name="Nom" dataDxfId="401">
      <calculatedColumnFormula>IF(#REF!&lt;&gt;"",VLOOKUP(T_Convention[[#This Row],[NumL]],T_suiviDi[#Data],COLUMN((T_suiviDi[Nom])),FALSE),"")</calculatedColumnFormula>
    </tableColumn>
    <tableColumn id="8" xr3:uid="{57B130F6-CF45-4853-8E4D-A828FF35BD72}" name="Prenom" dataDxfId="400">
      <calculatedColumnFormula>IF(T_Convention[[#This Row],[Final]]&lt;&gt;"",VLOOKUP(T_Convention[[#This Row],[NumL]],T_suiviDi[#Data],COLUMN((T_suiviDi[Prénom])),FALSE),"")</calculatedColumnFormula>
    </tableColumn>
    <tableColumn id="9" xr3:uid="{B0195FD7-014F-4730-800E-1F0BBC33A095}" name="Email" dataDxfId="399">
      <calculatedColumnFormula>VLOOKUP(T_Convention[[#This Row],[NumL]],T_suiviDi[#Data],COLUMN((T_suiviDi[[#This Row],[Email]])),FALSE)</calculatedColumnFormula>
    </tableColumn>
    <tableColumn id="10" xr3:uid="{08B77528-69E2-499A-813D-5F754B4E41C3}" name="Fonction" dataDxfId="398">
      <calculatedColumnFormula>IF(VLOOKUP(T_Convention[[#This Row],[NumL]],T_suiviDi[#Data],COLUMN(T_suiviDi[[#This Row],[Fonction]]),FALSE)="","",VLOOKUP(T_Convention[[#This Row],[NumL]],T_suiviDi[#Data],COLUMN(T_suiviDi[[#This Row],[Fonction]]),FALSE))</calculatedColumnFormula>
    </tableColumn>
    <tableColumn id="11" xr3:uid="{B9808FDF-30B0-4798-A000-23066A210827}" name="Grade" dataDxfId="397">
      <calculatedColumnFormula>IF(VLOOKUP(T_Convention[[#This Row],[NumL]],T_suiviDi[#Data],COLUMN(T_suiviDi[[#This Row],[Grade]]),FALSE)="","",VLOOKUP(T_Convention[[#This Row],[NumL]],T_suiviDi[#Data],COLUMN(T_suiviDi[[#This Row],[Grade]]),FALSE))</calculatedColumnFormula>
    </tableColumn>
    <tableColumn id="12" xr3:uid="{21960C92-7D59-4C17-BD2A-291B6025E2EA}" name="Service" dataDxfId="396">
      <calculatedColumnFormula>IF(VLOOKUP(T_Convention[[#This Row],[NumL]],T_suiviDi[#Data],COLUMN(T_suiviDi[[#This Row],[Service ]]),FALSE)="","",VLOOKUP(T_Convention[[#This Row],[NumL]],T_suiviDi[#Data],COLUMN(T_suiviDi[[#This Row],[Service ]]),FALSE))</calculatedColumnFormula>
    </tableColumn>
    <tableColumn id="13" xr3:uid="{32A13B28-9B06-456F-A3DB-252C6EB70417}" name="Date effet" dataDxfId="395">
      <calculatedColumnFormula>TEXT(Dateeffet,"jj mmmm aaaa")</calculatedColumnFormula>
    </tableColumn>
    <tableColumn id="14" xr3:uid="{EB554A3D-0A6B-4006-BA93-7E54AFB9162C}" name="Fin Adapt" dataDxfId="394">
      <calculatedColumnFormula>TEXT(DateFinadapt,"jj mmmm aaaa")</calculatedColumnFormula>
    </tableColumn>
    <tableColumn id="15" xr3:uid="{59D065E9-C03B-4800-B5A4-E897D9E6F3DD}" name="Entretien bilan" dataDxfId="393">
      <calculatedColumnFormula>TEXT(Datebilan,"jj mmmm aaaa")</calculatedColumnFormula>
    </tableColumn>
    <tableColumn id="16" xr3:uid="{644C27F3-97D0-4EF6-8D51-3F14DD0D1954}" name="M1" dataDxfId="392">
      <calculatedColumnFormula>IF(VLOOKUP(T_Convention[[#This Row],[NumL]],T_TraitDi[#Data],COLUMN(T_TraitDi[M1]),FALSE)="","",VLOOKUP(T_Convention[[#This Row],[NumL]],T_TraitDi[#Data],COLUMN(T_TraitDi[M1]),FALSE))</calculatedColumnFormula>
    </tableColumn>
    <tableColumn id="17" xr3:uid="{A0004FB3-1756-41E9-B052-C664D37B08A3}" name="M2" dataDxfId="391">
      <calculatedColumnFormula>IF(VLOOKUP(T_Convention[[#This Row],[NumL]],T_TraitDi[#Data],COLUMN(T_TraitDi[M2]),FALSE)="","",VLOOKUP(T_Convention[[#This Row],[NumL]],T_TraitDi[#Data],COLUMN(T_TraitDi[M2]),FALSE))</calculatedColumnFormula>
    </tableColumn>
    <tableColumn id="18" xr3:uid="{D255B2CD-F4FE-4F38-89E9-EFD89B8F77D1}" name="M3" dataDxfId="390">
      <calculatedColumnFormula>IF(VLOOKUP(T_Convention[[#This Row],[NumL]],T_TraitDi[#Data],COLUMN(T_TraitDi[M3]),FALSE)="","",VLOOKUP(T_Convention[[#This Row],[NumL]],T_TraitDi[#Data],COLUMN(T_TraitDi[M3]),FALSE))</calculatedColumnFormula>
    </tableColumn>
    <tableColumn id="19" xr3:uid="{DD20EED5-A6FC-4E9D-AD43-13070C394366}" name="M4" dataDxfId="389">
      <calculatedColumnFormula>IF(VLOOKUP(T_Convention[[#This Row],[NumL]],T_TraitDi[#Data],COLUMN(T_TraitDi[M4]),FALSE)="","",VLOOKUP(T_Convention[[#This Row],[NumL]],T_TraitDi[#Data],COLUMN(T_TraitDi[M4]),FALSE))</calculatedColumnFormula>
    </tableColumn>
    <tableColumn id="20" xr3:uid="{1C9F5096-940A-4BF2-8A78-649AD14B0199}" name="M5" dataDxfId="388">
      <calculatedColumnFormula>IF(VLOOKUP(T_Convention[[#This Row],[NumL]],T_TraitDi[#Data],COLUMN(T_TraitDi[M5]),FALSE)="","",VLOOKUP(T_Convention[[#This Row],[NumL]],T_TraitDi[#Data],COLUMN(T_TraitDi[M5]),FALSE))</calculatedColumnFormula>
    </tableColumn>
    <tableColumn id="21" xr3:uid="{88FEDB90-7234-47CF-8811-7FC0B0148546}" name="M6" dataDxfId="387">
      <calculatedColumnFormula>IF(VLOOKUP(T_Convention[[#This Row],[NumL]],T_TraitDi[#Data],COLUMN(T_TraitDi[M6]),FALSE)="","",VLOOKUP(T_Convention[[#This Row],[NumL]],T_TraitDi[#Data],COLUMN(T_TraitDi[M6]),FALSE))</calculatedColumnFormula>
    </tableColumn>
    <tableColumn id="22" xr3:uid="{984C3062-5574-4245-8955-4F26338570DA}" name="MTOT" dataDxfId="386">
      <calculatedColumnFormula>P3&amp;Q3&amp;R3&amp;S3&amp;T3&amp;U3</calculatedColumnFormula>
    </tableColumn>
    <tableColumn id="23" xr3:uid="{7FF8B0D1-B821-4C71-A34E-146C1EA01A9D}" name="Quot" dataDxfId="385">
      <calculatedColumnFormula>IFERROR(TEXT(VLOOKUP(T_Convention[[#This Row],[NumL]],T_TraitDi[#Data],COLUMN(T_TraitDi[Q2]),FALSE),"###%"),"")</calculatedColumnFormula>
    </tableColumn>
    <tableColumn id="70" xr3:uid="{193C098A-5E63-4D33-AC70-6434CFF4CE71}" name="R/P" dataDxfId="384">
      <calculatedColumnFormula>VLOOKUP(T_Convention[[#This Row],[NumL]],T_TraitDi[#Data],COLUMN(T_TraitDi[Reg Ponct]),FALSE)</calculatedColumnFormula>
    </tableColumn>
    <tableColumn id="69" xr3:uid="{EFF9E1FA-34AD-4EE3-ACEA-B6465B7022C5}" name="Nb j flott" dataDxfId="383">
      <calculatedColumnFormula>VLOOKUP(T_Convention[NumL],T_TraitDi[#Data],COLUMN(T_TraitDi[Jours flottants]),FALSE)</calculatedColumnFormula>
    </tableColumn>
    <tableColumn id="24" xr3:uid="{B65AFBFC-9B8C-43F6-A8DB-C5C017070207}" name="Lundi" dataDxfId="382">
      <calculatedColumnFormula>IFERROR(VLOOKUP(T_Convention[[#This Row],[NumL]],T_TraitDi[#Data],COLUMN(T_TraitDi[Lundi]),FALSE),"")</calculatedColumnFormula>
    </tableColumn>
    <tableColumn id="25" xr3:uid="{8D7045C2-7D1D-4EE1-B847-5F48905FEC41}" name="Colonne2" dataDxfId="381">
      <calculatedColumnFormula>IF(VLOOKUP(T_Convention[[#This Row],[NumL]],T_TraitDi[#Data],COLUMN(T_TraitDi[Colonne3]),FALSE)=0,"",TEXT(IFERROR(VLOOKUP(T_Convention[[#This Row],[NumL]],T_TraitDi[#Data],COLUMN(T_TraitDi[Colonne3]),FALSE),""),"[hh]:mm"))</calculatedColumnFormula>
    </tableColumn>
    <tableColumn id="26" xr3:uid="{8160A34D-D00F-42A9-AE15-E0C587C0B4B5}" name="Colonne3" dataDxfId="380">
      <calculatedColumnFormula>IF(VLOOKUP(T_Convention[[#This Row],[NumL]],T_TraitDi[#Data],COLUMN(T_TraitDi[Colonne4]),FALSE)=0,"",TEXT(IFERROR(VLOOKUP(T_Convention[[#This Row],[NumL]],T_TraitDi[#Data],COLUMN(T_TraitDi[Colonne4]),FALSE),""),"[hh]:mm"))</calculatedColumnFormula>
    </tableColumn>
    <tableColumn id="27" xr3:uid="{9DF8EF0F-10B7-411B-9252-04AC197B17B0}" name="Colonne4" dataDxfId="379">
      <calculatedColumnFormula>IF(VLOOKUP(T_Convention[[#This Row],[NumL]],T_TraitDi[#Data],COLUMN(T_TraitDi[Colonne5]),FALSE)=0,"",TEXT(IFERROR(VLOOKUP(T_Convention[[#This Row],[NumL]],T_TraitDi[#Data],COLUMN(T_TraitDi[Colonne5]),FALSE),""),"[hh]:mm"))</calculatedColumnFormula>
    </tableColumn>
    <tableColumn id="28" xr3:uid="{784E6B30-5751-4AA3-8D85-7E0416A47C8E}" name="Colonne5" dataDxfId="378">
      <calculatedColumnFormula>IF(VLOOKUP(T_Convention[[#This Row],[NumL]],T_TraitDi[#Data],COLUMN(T_TraitDi[Colonne6]),FALSE)=0,"",TEXT(IFERROR(VLOOKUP(T_Convention[[#This Row],[NumL]],T_TraitDi[#Data],COLUMN(T_TraitDi[Colonne6]),FALSE),""),"[hh]:mm"))</calculatedColumnFormula>
    </tableColumn>
    <tableColumn id="29" xr3:uid="{496CACC5-30BD-4F1D-96A2-EBC2EF9A1B3D}" name="Colonne6" dataDxfId="377">
      <calculatedColumnFormula>IF(VLOOKUP(T_Convention[[#This Row],[NumL]],T_TraitDi[#Data],COLUMN(T_TraitDi[Colonne7]),FALSE)=0,"",TEXT(IFERROR(VLOOKUP(T_Convention[[#This Row],[NumL]],T_TraitDi[#Data],COLUMN(T_TraitDi[Colonne7]),FALSE),""),"[hh]:mm"))</calculatedColumnFormula>
    </tableColumn>
    <tableColumn id="30" xr3:uid="{80D7E324-D513-4C8E-B172-32FA370BF97A}" name="Colonne7" dataDxfId="376">
      <calculatedColumnFormula>IF(VLOOKUP(T_Convention[[#This Row],[NumL]],T_TraitDi[#Data],COLUMN(T_TraitDi[Colonne8]),FALSE)=0,"",TEXT(IFERROR(VLOOKUP(T_Convention[[#This Row],[NumL]],T_TraitDi[#Data],COLUMN(T_TraitDi[Colonne8]),FALSE),""),"[hh]:mm"))</calculatedColumnFormula>
    </tableColumn>
    <tableColumn id="31" xr3:uid="{13324A36-DE34-4904-9DE5-C2CF9F2A12C2}" name="Mardi" dataDxfId="375">
      <calculatedColumnFormula>IFERROR(VLOOKUP(T_Convention[[#This Row],[NumL]],T_TraitDi[#Data],COLUMN(T_TraitDi[Mardi]),FALSE),"")</calculatedColumnFormula>
    </tableColumn>
    <tableColumn id="32" xr3:uid="{9E05B78C-BEF2-485E-9531-C6B793F7B950}" name="Colonne8" dataDxfId="374">
      <calculatedColumnFormula>IF(VLOOKUP(T_Convention[[#This Row],[NumL]],T_TraitDi[#Data],COLUMN(T_TraitDi[Colonne1]),FALSE)=0,"",TEXT(IFERROR(VLOOKUP(T_Convention[[#This Row],[NumL]],T_TraitDi[#Data],COLUMN(T_TraitDi[Colonne1]),FALSE),""),"[hh]:mm"))</calculatedColumnFormula>
    </tableColumn>
    <tableColumn id="33" xr3:uid="{05EC329D-9A4C-49EB-9733-855F345F37E6}" name="Colonne9" dataDxfId="373">
      <calculatedColumnFormula>IF(VLOOKUP(T_Convention[[#This Row],[NumL]],T_TraitDi[#Data],COLUMN(T_TraitDi[Colonne9]),FALSE)=0,"",TEXT(IFERROR(VLOOKUP(T_Convention[[#This Row],[NumL]],T_TraitDi[#Data],COLUMN(T_TraitDi[Colonne9]),FALSE),""),"[hh]:mm"))</calculatedColumnFormula>
    </tableColumn>
    <tableColumn id="34" xr3:uid="{BCC09FAB-9C9D-4990-BCAF-3098DBEC2B3A}" name="Colonne10" dataDxfId="372">
      <calculatedColumnFormula>IFERROR(VLOOKUP(T_Convention[[#This Row],[NumL]],T_TraitDi[#Data],COLUMN(T_TraitDi[Colonne10]),FALSE),"")</calculatedColumnFormula>
    </tableColumn>
    <tableColumn id="35" xr3:uid="{37C8AB5A-D2EE-44CC-9D61-9B806DEF2103}" name="Colonne11" dataDxfId="371">
      <calculatedColumnFormula>IF(VLOOKUP(T_Convention[[#This Row],[NumL]],T_TraitDi[#Data],COLUMN(T_TraitDi[Colonne11]),FALSE)=0,"",TEXT(IFERROR(VLOOKUP(T_Convention[[#This Row],[NumL]],T_TraitDi[#Data],COLUMN(T_TraitDi[Colonne11]),FALSE),""),"[hh]:mm"))</calculatedColumnFormula>
    </tableColumn>
    <tableColumn id="36" xr3:uid="{D2F74B9C-E8B6-4C78-9D0B-8CD75B62432B}" name="Colonne12" dataDxfId="370">
      <calculatedColumnFormula>IF(VLOOKUP(T_Convention[[#This Row],[NumL]],T_TraitDi[#Data],COLUMN(T_TraitDi[Colonne12]),FALSE)=0,"",TEXT(IFERROR(VLOOKUP(T_Convention[[#This Row],[NumL]],T_TraitDi[#Data],COLUMN(T_TraitDi[Colonne12]),FALSE),""),"[hh]:mm"))</calculatedColumnFormula>
    </tableColumn>
    <tableColumn id="37" xr3:uid="{F0E17A4E-AA43-45BC-A3B7-D38B75FD7B04}" name="Colonne13" dataDxfId="369">
      <calculatedColumnFormula>IF(VLOOKUP(T_Convention[[#This Row],[NumL]],T_TraitDi[#Data],COLUMN(T_TraitDi[Colonne14]),FALSE)=0,"",TEXT(IFERROR(VLOOKUP(T_Convention[[#This Row],[NumL]],T_TraitDi[#Data],COLUMN(T_TraitDi[Colonne14]),FALSE),""),"[hh]:mm"))</calculatedColumnFormula>
    </tableColumn>
    <tableColumn id="38" xr3:uid="{7644C6F4-58A1-4CAC-A5A5-C64933BD291F}" name="Mercredi" dataDxfId="368">
      <calculatedColumnFormula>IFERROR(VLOOKUP(T_Convention[[#This Row],[NumL]],T_TraitDi[#Data],COLUMN(T_TraitDi[Mercredi]),FALSE),"")</calculatedColumnFormula>
    </tableColumn>
    <tableColumn id="39" xr3:uid="{1C96071B-783C-4C4D-9653-26766E7717CF}" name="Colonne14" dataDxfId="367">
      <calculatedColumnFormula>IF(VLOOKUP(T_Convention[[#This Row],[NumL]],T_TraitDi[#Data],COLUMN(T_TraitDi[Colonne15]),FALSE)=0,"",TEXT(IFERROR(VLOOKUP(T_Convention[[#This Row],[NumL]],T_TraitDi[#Data],COLUMN(T_TraitDi[Colonne15]),FALSE),""),"[hh]:mm"))</calculatedColumnFormula>
    </tableColumn>
    <tableColumn id="40" xr3:uid="{56C6A12B-EBBE-432E-AADE-44EB6AEF3DC7}" name="Colonne15" dataDxfId="366">
      <calculatedColumnFormula>IF(VLOOKUP(T_Convention[[#This Row],[NumL]],T_TraitDi[#Data],COLUMN(T_TraitDi[Colonne16]),FALSE)=0,"",TEXT(IFERROR(VLOOKUP(T_Convention[[#This Row],[NumL]],T_TraitDi[#Data],COLUMN(T_TraitDi[Colonne16]),FALSE),""),"[hh]:mm"))</calculatedColumnFormula>
    </tableColumn>
    <tableColumn id="41" xr3:uid="{8E088784-CF99-4F03-95F8-391928CDABB2}" name="Colonne16" dataDxfId="365">
      <calculatedColumnFormula>IFERROR(VLOOKUP(T_Convention[[#This Row],[NumL]],T_TraitDi[#Data],COLUMN(T_TraitDi[Colonne17]),FALSE),"")</calculatedColumnFormula>
    </tableColumn>
    <tableColumn id="42" xr3:uid="{90D8EB13-E68E-49A7-9F2D-A4EC12C478DF}" name="Colonne17" dataDxfId="364">
      <calculatedColumnFormula>IF(VLOOKUP(T_Convention[[#This Row],[NumL]],T_TraitDi[#Data],COLUMN(T_TraitDi[Colonne18]),FALSE)=0,"",TEXT(IFERROR(VLOOKUP(T_Convention[[#This Row],[NumL]],T_TraitDi[#Data],COLUMN(T_TraitDi[Colonne18]),FALSE),""),"[hh]:mm"))</calculatedColumnFormula>
    </tableColumn>
    <tableColumn id="43" xr3:uid="{A1F0BA5A-39CC-445F-B579-5D5440117B35}" name="Colonne18" dataDxfId="363">
      <calculatedColumnFormula>IF(VLOOKUP(T_Convention[[#This Row],[NumL]],T_TraitDi[#Data],COLUMN(T_TraitDi[Colonne19]),FALSE)=0,"",TEXT(IFERROR(VLOOKUP(T_Convention[[#This Row],[NumL]],T_TraitDi[#Data],COLUMN(T_TraitDi[Colonne19]),FALSE),""),"[hh]:mm"))</calculatedColumnFormula>
    </tableColumn>
    <tableColumn id="44" xr3:uid="{BF8A9E2C-7C7D-4C35-8964-6536D49773E9}" name="Colonne19" dataDxfId="362">
      <calculatedColumnFormula>IF(VLOOKUP(T_Convention[[#This Row],[NumL]],T_TraitDi[#Data],COLUMN(T_TraitDi[Colonne20]),FALSE)=0,"",TEXT(IFERROR(VLOOKUP(T_Convention[[#This Row],[NumL]],T_TraitDi[#Data],COLUMN(T_TraitDi[Colonne20]),FALSE),""),"[hh]:mm"))</calculatedColumnFormula>
    </tableColumn>
    <tableColumn id="45" xr3:uid="{39646D51-BD87-4940-9573-DB0532011D62}" name="Jeudi" dataDxfId="361">
      <calculatedColumnFormula>IFERROR(VLOOKUP(T_Convention[[#This Row],[NumL]],T_TraitDi[#Data],COLUMN(T_TraitDi[Jeudi]),FALSE),"")</calculatedColumnFormula>
    </tableColumn>
    <tableColumn id="46" xr3:uid="{42FACE9E-8367-40F5-9900-9485784E8394}" name="Colonne20" dataDxfId="360">
      <calculatedColumnFormula>IF(VLOOKUP(T_Convention[[#This Row],[NumL]],T_TraitDi[#Data],COLUMN(T_TraitDi[Colonne21]),FALSE)=0,"",TEXT(IFERROR(VLOOKUP(T_Convention[[#This Row],[NumL]],T_TraitDi[#Data],COLUMN(T_TraitDi[Colonne21]),FALSE),""),"[hh]:mm"))</calculatedColumnFormula>
    </tableColumn>
    <tableColumn id="47" xr3:uid="{35D27FFC-A21B-46E5-9AFD-B1FDD82685A7}" name="Colonne21" dataDxfId="359">
      <calculatedColumnFormula>IF(VLOOKUP(T_Convention[[#This Row],[NumL]],T_TraitDi[#Data],COLUMN(T_TraitDi[Colonne22]),FALSE)=0,"",TEXT(IFERROR(VLOOKUP(T_Convention[[#This Row],[NumL]],T_TraitDi[#Data],COLUMN(T_TraitDi[Colonne22]),FALSE),""),"[hh]:mm"))</calculatedColumnFormula>
    </tableColumn>
    <tableColumn id="48" xr3:uid="{C03EC82E-1916-497A-B7F7-BBAB3047C7E8}" name="Colonne22" dataDxfId="358">
      <calculatedColumnFormula>IFERROR(VLOOKUP(T_Convention[[#This Row],[NumL]],T_TraitDi[#Data],COLUMN(T_TraitDi[Colonne23]),FALSE),"")</calculatedColumnFormula>
    </tableColumn>
    <tableColumn id="49" xr3:uid="{D1D6CC73-9B51-4D99-A19E-E199FDDB7309}" name="Colonne23" dataDxfId="357">
      <calculatedColumnFormula>IF(VLOOKUP(T_Convention[[#This Row],[NumL]],T_TraitDi[#Data],COLUMN(T_TraitDi[Colonne24]),FALSE)=0,"",TEXT(IFERROR(VLOOKUP(T_Convention[[#This Row],[NumL]],T_TraitDi[#Data],COLUMN(T_TraitDi[Colonne24]),FALSE),""),"[hh]:mm"))</calculatedColumnFormula>
    </tableColumn>
    <tableColumn id="50" xr3:uid="{85004E4E-58D5-49C1-9212-6CB355EF54B3}" name="Colonne24" dataDxfId="356">
      <calculatedColumnFormula>IF(VLOOKUP(T_Convention[[#This Row],[NumL]],T_TraitDi[#Data],COLUMN(T_TraitDi[Colonne25]),FALSE)=0,"",TEXT(IFERROR(VLOOKUP(T_Convention[[#This Row],[NumL]],T_TraitDi[#Data],COLUMN(T_TraitDi[Colonne25]),FALSE),""),"[hh]:mm"))</calculatedColumnFormula>
    </tableColumn>
    <tableColumn id="51" xr3:uid="{344C21CD-EA27-4D0A-A99F-535EEABAAF1E}" name="Colonne25" dataDxfId="355">
      <calculatedColumnFormula>IF(VLOOKUP(T_Convention[[#This Row],[NumL]],T_TraitDi[#Data],COLUMN(T_TraitDi[Colonne26]),FALSE)=0,"",TEXT(IFERROR(VLOOKUP(T_Convention[[#This Row],[NumL]],T_TraitDi[#Data],COLUMN(T_TraitDi[Colonne26]),FALSE),""),"[hh]:mm"))</calculatedColumnFormula>
    </tableColumn>
    <tableColumn id="52" xr3:uid="{666BF2B5-A4F7-4F2B-A84F-2AF511A93E85}" name="Vendredi" dataDxfId="354">
      <calculatedColumnFormula>IFERROR(VLOOKUP(T_Convention[[#This Row],[NumL]],T_TraitDi[#Data],COLUMN(T_TraitDi[Vendredi]),FALSE),"")</calculatedColumnFormula>
    </tableColumn>
    <tableColumn id="53" xr3:uid="{17D1646F-1A07-438C-97F9-4EB1A5A6774E}" name="Colonne26" dataDxfId="353">
      <calculatedColumnFormula>IF(VLOOKUP(T_Convention[[#This Row],[NumL]],T_TraitDi[#Data],COLUMN(T_TraitDi[Colonne27]),FALSE)=0,"",TEXT(IFERROR(VLOOKUP(T_Convention[[#This Row],[NumL]],T_TraitDi[#Data],COLUMN(T_TraitDi[Colonne27]),FALSE),""),"[hh]:mm"))</calculatedColumnFormula>
    </tableColumn>
    <tableColumn id="54" xr3:uid="{1957D25D-E41B-46A6-9BA2-C629F99A2300}" name="Colonne27" dataDxfId="352">
      <calculatedColumnFormula>IF(VLOOKUP(T_Convention[[#This Row],[NumL]],T_TraitDi[#Data],COLUMN(T_TraitDi[Colonne28]),FALSE)=0,"",TEXT(IFERROR(VLOOKUP(T_Convention[[#This Row],[NumL]],T_TraitDi[#Data],COLUMN(T_TraitDi[Colonne28]),FALSE),""),"[hh]:mm"))</calculatedColumnFormula>
    </tableColumn>
    <tableColumn id="55" xr3:uid="{B589C255-498D-438A-BB67-F383CB78581F}" name="Colonne28" dataDxfId="351">
      <calculatedColumnFormula>IFERROR(VLOOKUP(T_Convention[[#This Row],[NumL]],T_TraitDi[#Data],COLUMN(T_TraitDi[Colonne29]),FALSE),"")</calculatedColumnFormula>
    </tableColumn>
    <tableColumn id="56" xr3:uid="{4E7963A9-545D-4F41-A469-34639F4901DC}" name="Colonne29" dataDxfId="350">
      <calculatedColumnFormula>IF(VLOOKUP(T_Convention[[#This Row],[NumL]],T_TraitDi[#Data],COLUMN(T_TraitDi[Colonne30]),FALSE)=0,"",TEXT(IFERROR(VLOOKUP(T_Convention[[#This Row],[NumL]],T_TraitDi[#Data],COLUMN(T_TraitDi[Colonne30]),FALSE),""),"[hh]:mm"))</calculatedColumnFormula>
    </tableColumn>
    <tableColumn id="57" xr3:uid="{750EF86F-7989-4849-8470-D85C99B8E108}" name="Colonne30" dataDxfId="349">
      <calculatedColumnFormula>IF(VLOOKUP(T_Convention[[#This Row],[NumL]],T_TraitDi[#Data],COLUMN(T_TraitDi[Colonne31]),FALSE)=0,"",TEXT(IFERROR(VLOOKUP(T_Convention[[#This Row],[NumL]],T_TraitDi[#Data],COLUMN(T_TraitDi[Colonne31]),FALSE),""),"[hh]:mm"))</calculatedColumnFormula>
    </tableColumn>
    <tableColumn id="58" xr3:uid="{CAA07BCB-30EC-4A86-995A-709D89AFB0E4}" name="Colonne31" dataDxfId="348">
      <calculatedColumnFormula>IF(VLOOKUP(T_Convention[[#This Row],[NumL]],T_TraitDi[#Data],COLUMN(T_TraitDi[Colonne32]),FALSE)=0,"",TEXT(IFERROR(VLOOKUP(T_Convention[[#This Row],[NumL]],T_TraitDi[#Data],COLUMN(T_TraitDi[Colonne32]),FALSE),""),"[hh]:mm"))</calculatedColumnFormula>
    </tableColumn>
    <tableColumn id="59" xr3:uid="{02D02F96-311E-4314-9CEB-427D9A3F7138}" name="NbJTW" dataDxfId="347">
      <calculatedColumnFormula>IFERROR(VLOOKUP(T_Convention[[#This Row],[NumL]],T_TraitDi[#Data],COLUMN(T_TraitDi[NbJTW]),FALSE),"")</calculatedColumnFormula>
    </tableColumn>
    <tableColumn id="60" xr3:uid="{6143F458-7789-4C26-A896-242797D81B34}" name="NbHTw" dataDxfId="346">
      <calculatedColumnFormula>IF(VLOOKUP(T_Convention[[#This Row],[NumL]],T_TraitDi[#Data],COLUMN(T_TraitDi[NbhTW]),FALSE)=0,"",TEXT(IFERROR(VLOOKUP(T_Convention[[#This Row],[NumL]],T_TraitDi[#Data],COLUMN(T_TraitDi[NbhTW]),FALSE),""),"[hh]:mm"))</calculatedColumnFormula>
    </tableColumn>
    <tableColumn id="61" xr3:uid="{44CC60B0-145E-4DD1-B74E-9840D543CFCB}" name="NbHTot" dataDxfId="345">
      <calculatedColumnFormula>IF(VLOOKUP(T_Convention[[#This Row],[NumL]],T_TraitDi[#Data],COLUMN(T_TraitDi[Nbhheb]),FALSE)=0,"",TEXT(IFERROR(VLOOKUP(T_Convention[[#This Row],[NumL]],T_TraitDi[#Data],COLUMN(T_TraitDi[Nbhheb]),FALSE),""),"[hh]:mm"))</calculatedColumnFormula>
    </tableColumn>
    <tableColumn id="62" xr3:uid="{23B4932C-41CF-4FAF-901F-DA995B4AC7AC}" name="Type1" dataDxfId="344">
      <calculatedColumnFormula>IFERROR(VLOOKUP(VLOOKUP(T_Convention[[#This Row],[NumL]],T_TraitDi[#Data],COLUMN(T_TraitDi[Type1]),FALSE),TypeTW,2,FALSE),"")</calculatedColumnFormula>
    </tableColumn>
    <tableColumn id="63" xr3:uid="{487E9CFE-3897-433B-AAF2-9029F892315F}" name="Rue1" dataDxfId="343">
      <calculatedColumnFormula>IFERROR(VLOOKUP(T_Convention[[#This Row],[NumL]],T_TraitDi[#Data],COLUMN(T_TraitDi[Rue1]),FALSE),"")</calculatedColumnFormula>
    </tableColumn>
    <tableColumn id="64" xr3:uid="{6ED10D41-A908-49B7-B9F6-5C686E33289D}" name="CP1" dataDxfId="342">
      <calculatedColumnFormula>IFERROR(VLOOKUP(T_Convention[[#This Row],[NumL]],T_TraitDi[#Data],COLUMN(T_TraitDi[CP1]),FALSE),"")</calculatedColumnFormula>
    </tableColumn>
    <tableColumn id="65" xr3:uid="{046DD745-B7C9-49D2-9ABB-AE2CA2635343}" name="Ville1" dataDxfId="341">
      <calculatedColumnFormula>IFERROR(VLOOKUP(T_Convention[[#This Row],[NumL]],T_TraitDi[#Data],COLUMN(T_TraitDi[VILLE1]),FALSE),"")</calculatedColumnFormula>
    </tableColumn>
    <tableColumn id="74" xr3:uid="{A8DC3732-E566-4655-AD13-85F9E805FBE7}" name="Type2" dataDxfId="340">
      <calculatedColumnFormula>IFERROR(VLOOKUP(VLOOKUP(T_Convention[[#This Row],[NumL]],T_TraitDi[#Data],COLUMN(T_TraitDi[Type2]),FALSE),TypeTW,2,FALSE),"")</calculatedColumnFormula>
    </tableColumn>
    <tableColumn id="73" xr3:uid="{98F86322-6E9C-4B50-ACCD-5AF6E35E35B8}" name="Rue2" dataDxfId="339">
      <calculatedColumnFormula>IFERROR(VLOOKUP(T_Convention[[#This Row],[NumL]],T_TraitDi[#Data],COLUMN(T_TraitDi[Rue2]),FALSE),"")</calculatedColumnFormula>
    </tableColumn>
    <tableColumn id="72" xr3:uid="{BEA2C91A-73CB-44CC-9209-498DD2C19DE7}" name="CP2" dataDxfId="338">
      <calculatedColumnFormula>IFERROR(VLOOKUP(T_Convention[[#This Row],[NumL]],T_TraitDi[#Data],COLUMN(T_TraitDi[CP2]),FALSE),"")</calculatedColumnFormula>
    </tableColumn>
    <tableColumn id="71" xr3:uid="{0E06E32D-FAEF-4504-B036-99325CFCF3AA}" name="Ville2" dataDxfId="337">
      <calculatedColumnFormula>IFERROR(VLOOKUP(T_Convention[[#This Row],[NumL]],T_TraitDi[#Data],COLUMN(T_TraitDi[VILLE2]),FALSE),"")</calculatedColumnFormula>
    </tableColumn>
    <tableColumn id="66" xr3:uid="{D513C02D-8D7F-4E01-8331-6B2FE798C069}" name="Equipement" dataDxfId="336">
      <calculatedColumnFormula>IF(VLOOKUP(T_Convention[[#This Row],[NumL]],T_Equipement[#Data],COLUMN(T_Equipement[PC]),FALSE)="","Aucun équipement spécifique directement lié au télétravail",VLOOKUP(T_Convention[[#This Row],[NumL]],T_Equipement[#Data],COLUMN(T_Equipement[PC]),FALSE))</calculatedColumnFormula>
    </tableColumn>
    <tableColumn id="67" xr3:uid="{10DF644B-B906-4EA9-AB1F-70620CCF9BB2}" name="Planning Joint" dataDxfId="335">
      <calculatedColumnFormula>IFERROR(IF(VLOOKUP(T_Convention[[#This Row],[NumL]],T_TraitDi[#Data],COLUMN(T_TraitDi[Plan]),FALSE)="OK","Un planning spécifique de télétravail est annexé à la présente convention.",""),"")</calculatedColumnFormula>
    </tableColumn>
    <tableColumn id="68" xr3:uid="{AC1257BC-A048-484F-8AFD-7F56461D4DAD}" name="Lien convention" dataDxfId="334"/>
    <tableColumn id="75" xr3:uid="{DE55C90C-6A09-489E-BC6C-DF6F17DF318E}" name="Entité" dataDxfId="333">
      <calculatedColumnFormula>IF(VLOOKUP(T_Convention[[#This Row],[NumL]],T_suiviDi[#Data],COLUMN(T_suiviDi[Entité]),FALSE)="","",VLOOKUP(T_Convention[[#This Row],[NumL]],T_suiviDi[#Data],COLUMN(T_suiviDi[Entité]),FALSE))</calculatedColumnFormula>
    </tableColumn>
    <tableColumn id="76" xr3:uid="{A84C2564-58A8-4FD7-94F9-C70DA5A04D03}" name="Confirm" dataDxfId="332">
      <calculatedColumnFormula>IF(VLOOKUP(T_Convention[[#This Row],[NumL]],T_Commission[#Data],COLUMN(T_Commission[envoi confirm TW]),FALSE)="","",VLOOKUP(T_Convention[[#This Row],[NumL]],T_Commission[#Data],COLUMN(T_Commission[envoi confirm TW]),FALSE))</calculatedColumnFormula>
    </tableColumn>
    <tableColumn id="77" xr3:uid="{E83419AD-5B14-4933-A3FB-9759216C7236}" name="Entité_Serv" dataDxfId="331">
      <calculatedColumnFormula>IFERROR(VLOOKUP(VLOOKUP(T_Convention[[#This Row],[NumL]],T_suiviDi[#Data],COLUMN(T_suiviDi[[#This Row],[Entité]]),FALSE),Entite_convention,2,FALSE)&amp;IF(VLOOKUP(T_Convention[[#This Row],[NumL]],T_suiviDi[#Data],COLUMN(T_suiviDi[[Service ]]),FALSE)&lt;&gt;""," "&amp;VLOOKUP(T_Convention[[#This Row],[NumL]],T_suiviDi[#Data],COLUMN(T_suiviDi[[Service ]]),FALSE),""),"")</calculatedColumnFormula>
    </tableColumn>
    <tableColumn id="2" xr3:uid="{0242BB47-5AAB-420E-B2A5-C7B39083EDAE}" name="Commentaire" dataDxfId="330">
      <calculatedColumnFormula>VLOOKUP(T_Convention[[#This Row],[NumL]],T_Commission[#Data],COLUMN(T_Commission[Commentaire]),FALSE)</calculatedColumnFormula>
    </tableColumn>
    <tableColumn id="79" xr3:uid="{68470ADF-31DC-4F81-818B-35537E17902F}" name="Mail_encadrant" dataDxfId="329">
      <calculatedColumnFormula>IF(VLOOKUP(T_Convention[[#This Row],[NumL]],T_Commission[#Data],COLUMN(T_Commission[Encadrant Email]),FALSE)="","",VLOOKUP(T_Convention[[#This Row],[NumL]],T_Commission[#Data],COLUMN(T_Commission[Encadrant Email]),FALSE))</calculatedColumnFormula>
    </tableColumn>
    <tableColumn id="80" xr3:uid="{72B4780D-5695-4C7E-9E59-D8B16E34CDE7}" name="Nbrtot" dataDxfId="328">
      <calculatedColumnFormula>VLOOKUP(T_Convention[[#This Row],[NumL]],T_TraitDi[#Data],COLUMN(T_TraitDi[NbJTot]),FALSE)</calculatedColumnFormula>
    </tableColumn>
    <tableColumn id="81" xr3:uid="{6FDAD3CD-A166-4243-BE4D-C09F7CEE31E1}" name="R_P" dataDxfId="327">
      <calculatedColumnFormula>VLOOKUP(T_Convention[[#This Row],[NumL]],T_TraitDi[#Data],COLUMN(T_TraitDi[Reg Ponct]),FALSE)</calculatedColumnFormula>
    </tableColumn>
    <tableColumn id="82" xr3:uid="{B9DF078F-A96B-4A33-A9A9-37DC0E4233F0}" name="statut" dataDxfId="326">
      <calculatedColumnFormula>IF(T_Convention[[#This Row],[Final]]&lt;&gt;"",VLOOKUP(T_Convention[[#This Row],[NumL]],T_suiviDi[#Data],COLUMN((T_suiviDi[Statut])),FALSE),"")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745657B-870F-4ABA-9C65-282EB841E6A0}" name="T_BilanSocial" displayName="T_BilanSocial" ref="A2:CK360" totalsRowShown="0" headerRowDxfId="318" dataDxfId="317">
  <autoFilter ref="A2:CK360" xr:uid="{87DC6055-F62D-40A7-8504-51B3FBEFA392}"/>
  <sortState ref="A3:CG293">
    <sortCondition ref="A3:A293"/>
  </sortState>
  <tableColumns count="89">
    <tableColumn id="1" xr3:uid="{C54924D0-6596-4931-B59C-0A294D2F9CD8}" name="NumL" dataDxfId="316"/>
    <tableColumn id="2" xr3:uid="{1AAE0588-3D62-4658-903C-23D143317CB1}" name="Final" dataDxfId="315">
      <calculatedColumnFormula>VLOOKUP(A3,ComDI,15,FALSE)</calculatedColumnFormula>
    </tableColumn>
    <tableColumn id="3" xr3:uid="{AB485864-3798-42E5-A52C-B37FEC5E5FCB}" name="Etat" dataDxfId="314"/>
    <tableColumn id="4" xr3:uid="{F7E3E585-2515-4F77-BACB-8C6423383725}" name="WG/DI" dataDxfId="313">
      <calculatedColumnFormula>IF(VLOOKUP($A3,TraitementDI,19,FALSE)="","",VLOOKUP($A3,TraitementDI,19,FALSE))</calculatedColumnFormula>
    </tableColumn>
    <tableColumn id="5" xr3:uid="{81E0EB34-0B29-4881-94F6-15E8F99D6045}" name="Date Edition" dataDxfId="312">
      <calculatedColumnFormula>TEXT(DateEdition,"jj mmmm aaaa")</calculatedColumnFormula>
    </tableColumn>
    <tableColumn id="6" xr3:uid="{9A8FB2F1-5755-48D7-AF8D-1F0C56E91C01}" name="Civ" dataDxfId="311">
      <calculatedColumnFormula>IF(B3&lt;&gt;"",VLOOKUP($A3,ListeDI,2,FALSE),"")</calculatedColumnFormula>
    </tableColumn>
    <tableColumn id="7" xr3:uid="{15457147-EB15-4F67-B0EA-A257B6320257}" name="Nom" dataDxfId="310">
      <calculatedColumnFormula>IF(B3&lt;&gt;"",VLOOKUP($A3,ListeDI,3,FALSE),"")</calculatedColumnFormula>
    </tableColumn>
    <tableColumn id="8" xr3:uid="{027245DE-769A-4E23-B45C-99A646D98A5E}" name="Prenom" dataDxfId="309">
      <calculatedColumnFormula>IF(B3&lt;&gt;"",VLOOKUP($A3,ListeDI,4,FALSE),"")</calculatedColumnFormula>
    </tableColumn>
    <tableColumn id="81" xr3:uid="{2D997BD4-291A-41A9-BC76-9CFFB813EB50}" name="Num_Siham" dataDxfId="308">
      <calculatedColumnFormula>IFERROR(VLOOKUP(T_BilanSocial[[#This Row],[Zone_Bilan]],T_P_BilanSocial[#Data],COLUMN(T_P_BilanSocial[[#This Row],[Numero_SIHAM]]),FALSE),"")</calculatedColumnFormula>
    </tableColumn>
    <tableColumn id="80" xr3:uid="{B6EC305D-4B26-4A03-9109-A9DF18A0EF0A}" name="Sexe" dataDxfId="307">
      <calculatedColumnFormula>IFERROR(VLOOKUP(T_BilanSocial[[#This Row],[Zone_Bilan]],T_P_BilanSocial[#Data],COLUMN(T_P_BilanSocial[[#This Row],[Sexe]]),FALSE),"")</calculatedColumnFormula>
    </tableColumn>
    <tableColumn id="79" xr3:uid="{83F87A2E-3ECF-4836-B2E3-6767B0B84AA7}" name="Catégorie" dataDxfId="306">
      <calculatedColumnFormula>IFERROR(VLOOKUP(T_BilanSocial[[#This Row],[Zone_Bilan]],T_P_BilanSocial[#Data],COLUMN(T_P_BilanSocial[[#This Row],[Categorie]]),FALSE),"")</calculatedColumnFormula>
    </tableColumn>
    <tableColumn id="78" xr3:uid="{9F5B2B13-2F28-4D38-A5EE-EC7150A3E00F}" name="Statut" dataDxfId="305">
      <calculatedColumnFormula>IFERROR(VLOOKUP(T_BilanSocial[[#This Row],[Zone_Bilan]],T_P_BilanSocial[#Data],COLUMN(T_P_BilanSocial[[#This Row],[Statut]]),FALSE),"")</calculatedColumnFormula>
    </tableColumn>
    <tableColumn id="85" xr3:uid="{F17BD49B-259A-46A1-AE1A-9787EA8D842E}" name="Filière" dataDxfId="304">
      <calculatedColumnFormula>IFERROR(VLOOKUP(T_BilanSocial[[#This Row],[Zone_Bilan]],T_P_BilanSocial[#Data],COLUMN(T_P_BilanSocial[[#This Row],[Filiere]]),FALSE),"")</calculatedColumnFormula>
    </tableColumn>
    <tableColumn id="84" xr3:uid="{E305CD2B-E892-4538-8BB0-E81059822D77}" name="EXP" dataDxfId="303">
      <calculatedColumnFormula>VLOOKUP(T_BilanSocial[[#This Row],[NumL]],T_TraitDi[#Data],COLUMN(T_TraitDi[EXP]),FALSE)</calculatedColumnFormula>
    </tableColumn>
    <tableColumn id="83" xr3:uid="{980B5EFC-8841-4E15-9211-CF1D907B4FCB}" name="FORM" dataDxfId="302">
      <calculatedColumnFormula>VLOOKUP(T_BilanSocial[[#This Row],[NumL]],T_TraitDi[#Data],COLUMN(T_TraitDi[FORM]),FALSE)</calculatedColumnFormula>
    </tableColumn>
    <tableColumn id="9" xr3:uid="{0E9838CA-4DFB-4D73-8774-4C5BD9B147A2}" name="Email" dataDxfId="301">
      <calculatedColumnFormula>VLOOKUP($A3,ListeDI,5,FALSE)</calculatedColumnFormula>
    </tableColumn>
    <tableColumn id="10" xr3:uid="{8A55B081-7F2E-48D4-8E64-957457EC6AA1}" name="Fonction" dataDxfId="300">
      <calculatedColumnFormula>IF(VLOOKUP($A3,ListeDI,8,FALSE)="","",VLOOKUP($A3,ListeDI,8,FALSE))</calculatedColumnFormula>
    </tableColumn>
    <tableColumn id="11" xr3:uid="{0D5C7B2D-F0BE-413C-A776-7166203C917A}" name="Grade" dataDxfId="299">
      <calculatedColumnFormula>IF(VLOOKUP($A3,ListeDI,9,FALSE)="","",VLOOKUP($A3,ListeDI,9,FALSE))</calculatedColumnFormula>
    </tableColumn>
    <tableColumn id="12" xr3:uid="{0571DEC2-FFEB-4F4D-8307-3493A923A6A3}" name="Service" dataDxfId="298">
      <calculatedColumnFormula>IFERROR(VLOOKUP(VLOOKUP($A3,ListeDI,6,FALSE),Entite_convention,2,FALSE)&amp;IF(VLOOKUP($A3,ListeDI,7,FALSE)&lt;&gt;""," "&amp;VLOOKUP($A3,ListeDI,7,FALSE),""),"")</calculatedColumnFormula>
    </tableColumn>
    <tableColumn id="13" xr3:uid="{75672981-09BC-4841-BA9E-A974C46C17AE}" name="Date effet" dataDxfId="297">
      <calculatedColumnFormula>TEXT(Dateeffet,"jj mmmm aaaa")</calculatedColumnFormula>
    </tableColumn>
    <tableColumn id="14" xr3:uid="{3A7C7FF7-12D1-42A1-9A75-9C3F4331CBFA}" name="Fin Adapt" dataDxfId="296">
      <calculatedColumnFormula>TEXT(DateFinadapt,"jj mmmm aaaa")</calculatedColumnFormula>
    </tableColumn>
    <tableColumn id="15" xr3:uid="{AB023D62-5A7E-4FE3-9A5E-D5CBAAB36B1F}" name="Entretien bilan" dataDxfId="295">
      <calculatedColumnFormula>Datebilan</calculatedColumnFormula>
    </tableColumn>
    <tableColumn id="16" xr3:uid="{9B5175B7-632D-41AF-91FB-A1D1DA52535A}" name="M1" dataDxfId="294">
      <calculatedColumnFormula>IFERROR(IF(VLOOKUP($A3,TraitementDI,W$3,FALSE)="","",VLOOKUP($A3,TraitementDI,W$3,FALSE)),"")</calculatedColumnFormula>
    </tableColumn>
    <tableColumn id="17" xr3:uid="{99DA524F-00E4-47F2-ABB1-8322B51AF3B7}" name="M2" dataDxfId="293">
      <calculatedColumnFormula>IFERROR(IF(VLOOKUP($A3,TraitementDI,X$3,FALSE)="",""," - "&amp;VLOOKUP($A3,TraitementDI,X$3,FALSE)),"")</calculatedColumnFormula>
    </tableColumn>
    <tableColumn id="18" xr3:uid="{AFFACA81-B2F7-4487-86AC-10B34AEC2116}" name="M3" dataDxfId="292">
      <calculatedColumnFormula>IFERROR(IF(VLOOKUP($A3,TraitementDI,Y$3,FALSE)="",""," - "&amp;VLOOKUP($A3,TraitementDI,Y$3,FALSE)),"")</calculatedColumnFormula>
    </tableColumn>
    <tableColumn id="19" xr3:uid="{A55C1459-AE79-4D14-A577-1ECCC389D15C}" name="M4" dataDxfId="291">
      <calculatedColumnFormula>IFERROR(IF(VLOOKUP($A3,TraitementDI,Z$3,FALSE)="",""," -"&amp;VLOOKUP($A3,TraitementDI,Z$3,FALSE)),"")</calculatedColumnFormula>
    </tableColumn>
    <tableColumn id="20" xr3:uid="{D10E299C-65AD-4D31-828A-BB16AFC1FEA9}" name="M5" dataDxfId="290">
      <calculatedColumnFormula>IFERROR(IF(VLOOKUP($A3,TraitementDI,AA$3,FALSE)="",""," -"&amp;VLOOKUP($A3,TraitementDI,AA$3,FALSE)),"")</calculatedColumnFormula>
    </tableColumn>
    <tableColumn id="21" xr3:uid="{242FE89F-2AC2-49B7-95AD-F2605D55CCB4}" name="M6" dataDxfId="289">
      <calculatedColumnFormula>IFERROR(IF(VLOOKUP($A3,TraitementDI,AB$3,FALSE)="",""," - "&amp;VLOOKUP($A3,TraitementDI,AB$3,FALSE)),"")</calculatedColumnFormula>
    </tableColumn>
    <tableColumn id="22" xr3:uid="{3BD345E7-FCF2-45C2-AC86-18855E3C2C58}" name="MTOT" dataDxfId="288">
      <calculatedColumnFormula>W3&amp;X3&amp;Y3&amp;Z3&amp;AA3&amp;AB3</calculatedColumnFormula>
    </tableColumn>
    <tableColumn id="23" xr3:uid="{5743729B-1BB1-4714-A736-62C8EDA75867}" name="Quot" dataDxfId="287">
      <calculatedColumnFormula>IFERROR(TEXT(VLOOKUP($A3,TraitementDI,AD$3,FALSE),"###%"),"")</calculatedColumnFormula>
    </tableColumn>
    <tableColumn id="70" xr3:uid="{3E99E192-91B9-411E-B50F-1A128CA06C0B}" name="R/P" dataDxfId="286">
      <calculatedColumnFormula>VLOOKUP(T_BilanSocial[[#This Row],[NumL]],T_TraitDi[#Data],COLUMN(T_TraitDi[[#This Row],[Reg Ponct]]),FALSE)</calculatedColumnFormula>
    </tableColumn>
    <tableColumn id="69" xr3:uid="{AD004631-2991-4ABF-8020-1CD524854E79}" name="Nb j flott" dataDxfId="285">
      <calculatedColumnFormula>VLOOKUP(T_BilanSocial[NumL],T_TraitDi[#Data],COLUMN(T_TraitDi[[#This Row],[Jours flottants]]),FALSE)</calculatedColumnFormula>
    </tableColumn>
    <tableColumn id="24" xr3:uid="{198E8BFE-26ED-4345-95C3-96DC981C20B6}" name="Lundi" dataDxfId="284">
      <calculatedColumnFormula>IFERROR(VLOOKUP($A3,TraitementDI,AG$3,FALSE),"")</calculatedColumnFormula>
    </tableColumn>
    <tableColumn id="25" xr3:uid="{78CA8494-478C-4D46-B2BE-75C2C1F1440E}" name="Colonne2" dataDxfId="283">
      <calculatedColumnFormula>IF(VLOOKUP($A3,TraitementDI,AH$3,FALSE)=0,"",TEXT(IFERROR(VLOOKUP($A3,TraitementDI,AH$3,FALSE),""),"[hh]:mm"))</calculatedColumnFormula>
    </tableColumn>
    <tableColumn id="26" xr3:uid="{C95CB260-0578-4257-91CF-5F0D2623CBA0}" name="Colonne3" dataDxfId="282">
      <calculatedColumnFormula>IF(VLOOKUP($A3,TraitementDI,AI$3,FALSE)=0,"",TEXT(IFERROR(VLOOKUP($A3,TraitementDI,AI$3,FALSE),""),"[hh]:mm"))</calculatedColumnFormula>
    </tableColumn>
    <tableColumn id="27" xr3:uid="{C87726E3-39DB-455D-9146-1DCAE9F9BD82}" name="Colonne4" dataDxfId="281">
      <calculatedColumnFormula>IFERROR(VLOOKUP($A3,TraitementDI,AJ$3,FALSE),"")</calculatedColumnFormula>
    </tableColumn>
    <tableColumn id="28" xr3:uid="{419F8DEE-E3CA-477C-BD21-AB59739A41A2}" name="Colonne5" dataDxfId="280">
      <calculatedColumnFormula>IF(VLOOKUP($A3,TraitementDI,AK$3,FALSE)=0,"",TEXT(IFERROR(VLOOKUP($A3,TraitementDI,AK$3,FALSE),""),"[hh]:mm"))</calculatedColumnFormula>
    </tableColumn>
    <tableColumn id="29" xr3:uid="{A2477613-CABB-4448-98E3-7311D9024FD9}" name="Colonne6" dataDxfId="279">
      <calculatedColumnFormula>IF(VLOOKUP($A3,TraitementDI,AL$3,FALSE)=0,"",TEXT(IFERROR(VLOOKUP($A3,TraitementDI,AL$3,FALSE),""),"[hh]:mm"))</calculatedColumnFormula>
    </tableColumn>
    <tableColumn id="30" xr3:uid="{6EABE139-2C41-4109-A97F-BE3F622EBA05}" name="Colonne7" dataDxfId="278">
      <calculatedColumnFormula>IF(VLOOKUP($A3,TraitementDI,AM$3,FALSE)=0,"",TEXT(IFERROR(VLOOKUP($A3,TraitementDI,AM$3,FALSE),""),"[hh]:mm"))</calculatedColumnFormula>
    </tableColumn>
    <tableColumn id="31" xr3:uid="{DA4583D4-BFA4-4C5A-B697-8C16C8818CB2}" name="Mardi" dataDxfId="277">
      <calculatedColumnFormula>IFERROR(VLOOKUP($A3,TraitementDI,AN$3,FALSE),"")</calculatedColumnFormula>
    </tableColumn>
    <tableColumn id="32" xr3:uid="{733DBB4E-CB08-4175-A10F-BB47AA31897D}" name="Colonne8" dataDxfId="276">
      <calculatedColumnFormula>IF(VLOOKUP($A3,TraitementDI,AO$3,FALSE)=0,"",TEXT(IFERROR(VLOOKUP($A3,TraitementDI,AO$3,FALSE),""),"[hh]:mm"))</calculatedColumnFormula>
    </tableColumn>
    <tableColumn id="33" xr3:uid="{092A3A83-1313-4FEA-B05C-D12A0DB0016A}" name="Colonne9" dataDxfId="275">
      <calculatedColumnFormula>IF(VLOOKUP($A3,TraitementDI,AP$3,FALSE)=0,"",TEXT(IFERROR(VLOOKUP($A3,TraitementDI,AP$3,FALSE),""),"[hh]:mm"))</calculatedColumnFormula>
    </tableColumn>
    <tableColumn id="34" xr3:uid="{5C0BA128-B94E-4F01-9D33-4887A04EC0CA}" name="Colonne10" dataDxfId="274">
      <calculatedColumnFormula>IFERROR(VLOOKUP($A3,TraitementDI,AQ$3,FALSE),"")</calculatedColumnFormula>
    </tableColumn>
    <tableColumn id="35" xr3:uid="{C55B360F-B568-4A27-8B05-431C2C6EAF1C}" name="Colonne11" dataDxfId="273">
      <calculatedColumnFormula>IF(VLOOKUP($A3,TraitementDI,AR$3,FALSE)=0,"",TEXT(IFERROR(VLOOKUP($A3,TraitementDI,AR$3,FALSE),""),"[hh]:mm"))</calculatedColumnFormula>
    </tableColumn>
    <tableColumn id="36" xr3:uid="{285BEFA9-358A-4EC4-A492-ACCFC9061763}" name="Colonne12" dataDxfId="272">
      <calculatedColumnFormula>IF(VLOOKUP($A3,TraitementDI,AS$3,FALSE)=0,"",TEXT(IFERROR(VLOOKUP($A3,TraitementDI,AS$3,FALSE),""),"[hh]:mm"))</calculatedColumnFormula>
    </tableColumn>
    <tableColumn id="37" xr3:uid="{2FC7CA82-8272-4980-AD59-28E52F7C7381}" name="Colonne13" dataDxfId="271">
      <calculatedColumnFormula>IF(VLOOKUP($A3,TraitementDI,AT$3,FALSE)=0,"",TEXT(IFERROR(VLOOKUP($A3,TraitementDI,AT$3,FALSE),""),"[hh]:mm"))</calculatedColumnFormula>
    </tableColumn>
    <tableColumn id="38" xr3:uid="{94416522-9F2F-4144-A222-65F11A1C1AA9}" name="Mercredi" dataDxfId="270">
      <calculatedColumnFormula>IFERROR(VLOOKUP($A3,TraitementDI,AU$3,FALSE),"")</calculatedColumnFormula>
    </tableColumn>
    <tableColumn id="39" xr3:uid="{28E232A6-8A05-4546-861A-3DE0F6AFA13B}" name="Colonne14" dataDxfId="269">
      <calculatedColumnFormula>IF(VLOOKUP($A3,TraitementDI,AV$3,FALSE)=0,"",TEXT(IFERROR(VLOOKUP($A3,TraitementDI,AV$3,FALSE),""),"[hh]:mm"))</calculatedColumnFormula>
    </tableColumn>
    <tableColumn id="40" xr3:uid="{44918FDE-08E2-461A-ACD3-71BF11306856}" name="Colonne15" dataDxfId="268">
      <calculatedColumnFormula>IF(VLOOKUP($A3,TraitementDI,AW$3,FALSE)=0,"",TEXT(IFERROR(VLOOKUP($A3,TraitementDI,AW$3,FALSE),""),"[hh]:mm"))</calculatedColumnFormula>
    </tableColumn>
    <tableColumn id="41" xr3:uid="{E5E03C3A-3DF8-4CB9-AA7D-A7CBF94137C2}" name="Colonne16" dataDxfId="267">
      <calculatedColumnFormula>IFERROR(VLOOKUP($A3,TraitementDI,AX$3,FALSE),"")</calculatedColumnFormula>
    </tableColumn>
    <tableColumn id="42" xr3:uid="{38CB7CF2-CD0C-4F68-8BF9-C5D7F8165DF3}" name="Colonne17" dataDxfId="266">
      <calculatedColumnFormula>IF(VLOOKUP($A3,TraitementDI,AY$3,FALSE)=0,"",TEXT(IFERROR(VLOOKUP($A3,TraitementDI,AY$3,FALSE),""),"[hh]:mm"))</calculatedColumnFormula>
    </tableColumn>
    <tableColumn id="43" xr3:uid="{93D066F2-15DF-43BE-B2E9-6D1667E6C7C3}" name="Colonne18" dataDxfId="265">
      <calculatedColumnFormula>IF(VLOOKUP($A3,TraitementDI,AZ$3,FALSE)=0,"",TEXT(IFERROR(VLOOKUP($A3,TraitementDI,AZ$3,FALSE),""),"[hh]:mm"))</calculatedColumnFormula>
    </tableColumn>
    <tableColumn id="44" xr3:uid="{6756351E-255A-4A5F-B82E-F15B13C7D750}" name="Colonne19" dataDxfId="264">
      <calculatedColumnFormula>IF(VLOOKUP($A3,TraitementDI,BA$3,FALSE)=0,"",TEXT(IFERROR(VLOOKUP($A3,TraitementDI,BA$3,FALSE),""),"[hh]:mm"))</calculatedColumnFormula>
    </tableColumn>
    <tableColumn id="45" xr3:uid="{3073455F-9A0A-4931-9800-30D717A42B18}" name="Jeudi" dataDxfId="263">
      <calculatedColumnFormula>IFERROR(VLOOKUP($A3,TraitementDI,BB$3,FALSE),"")</calculatedColumnFormula>
    </tableColumn>
    <tableColumn id="46" xr3:uid="{63CCBAAF-0284-4332-B530-F3EB7962429C}" name="Colonne20" dataDxfId="262">
      <calculatedColumnFormula>IF(VLOOKUP($A3,TraitementDI,BC$3,FALSE)=0,"",TEXT(IFERROR(VLOOKUP($A3,TraitementDI,BC$3,FALSE),""),"[hh]:mm"))</calculatedColumnFormula>
    </tableColumn>
    <tableColumn id="47" xr3:uid="{E28DE6E8-0972-4F2A-A2EF-DFBDF9364E6E}" name="Colonne21" dataDxfId="261">
      <calculatedColumnFormula>IF(VLOOKUP($A3,TraitementDI,BD$3,FALSE)=0,"",TEXT(IFERROR(VLOOKUP($A3,TraitementDI,BD$3,FALSE),""),"[hh]:mm"))</calculatedColumnFormula>
    </tableColumn>
    <tableColumn id="48" xr3:uid="{CC6D9EB1-5473-42D6-A367-5CD35390833B}" name="Colonne22" dataDxfId="260">
      <calculatedColumnFormula>IFERROR(VLOOKUP($A3,TraitementDI,BE$3,FALSE),"")</calculatedColumnFormula>
    </tableColumn>
    <tableColumn id="49" xr3:uid="{99DEF0FE-F291-4E01-A13D-C64B8BBE6BF6}" name="Colonne23" dataDxfId="259">
      <calculatedColumnFormula>IF(VLOOKUP($A3,TraitementDI,BF$3,FALSE)=0,"",TEXT(IFERROR(VLOOKUP($A3,TraitementDI,BF$3,FALSE),""),"[hh]:mm"))</calculatedColumnFormula>
    </tableColumn>
    <tableColumn id="50" xr3:uid="{65CBB6A8-1141-4E2F-8383-71D0C58D2B36}" name="Colonne24" dataDxfId="258">
      <calculatedColumnFormula>IF(VLOOKUP($A3,TraitementDI,BG$3,FALSE)=0,"",TEXT(IFERROR(VLOOKUP($A3,TraitementDI,BG$3,FALSE),""),"[hh]:mm"))</calculatedColumnFormula>
    </tableColumn>
    <tableColumn id="51" xr3:uid="{E9E37F05-20AF-4381-B292-0EA5CB97F0B8}" name="Colonne25" dataDxfId="257">
      <calculatedColumnFormula>IF(VLOOKUP($A3,TraitementDI,BH$3,FALSE)=0,"",TEXT(IFERROR(VLOOKUP($A3,TraitementDI,BH$3,FALSE),""),"[hh]:mm"))</calculatedColumnFormula>
    </tableColumn>
    <tableColumn id="52" xr3:uid="{5044809F-BBE8-454E-A314-20693797CBCF}" name="Vendredi" dataDxfId="256">
      <calculatedColumnFormula>IFERROR(VLOOKUP($A3,TraitementDI,BI$3,FALSE),"")</calculatedColumnFormula>
    </tableColumn>
    <tableColumn id="53" xr3:uid="{6D5DE2B5-DD66-4A70-A9E7-F55547C70F0E}" name="Colonne26" dataDxfId="255">
      <calculatedColumnFormula>IF(VLOOKUP($A3,TraitementDI,BJ$3,FALSE)=0,"",TEXT(IFERROR(VLOOKUP($A3,TraitementDI,BJ$3,FALSE),""),"[hh]:mm"))</calculatedColumnFormula>
    </tableColumn>
    <tableColumn id="54" xr3:uid="{65DF777E-38F1-4ED9-9C23-1424017B25F8}" name="Colonne27" dataDxfId="254">
      <calculatedColumnFormula>IF(VLOOKUP($A3,TraitementDI,BK$3,FALSE)=0,"",TEXT(IFERROR(VLOOKUP($A3,TraitementDI,BK$3,FALSE),""),"[hh]:mm"))</calculatedColumnFormula>
    </tableColumn>
    <tableColumn id="55" xr3:uid="{C57E37A2-E8A4-486C-86A7-B1F447A735E5}" name="Colonne28" dataDxfId="253">
      <calculatedColumnFormula>IFERROR(VLOOKUP($A3,TraitementDI,BL$3,FALSE),"")</calculatedColumnFormula>
    </tableColumn>
    <tableColumn id="56" xr3:uid="{E0E175CC-5352-48AC-8AF5-18A247B85837}" name="Colonne29" dataDxfId="252">
      <calculatedColumnFormula>IF(VLOOKUP($A3,TraitementDI,BM$3,FALSE)=0,"",TEXT(IFERROR(VLOOKUP($A3,TraitementDI,BM$3,FALSE),""),"[hh]:mm"))</calculatedColumnFormula>
    </tableColumn>
    <tableColumn id="57" xr3:uid="{077FF82C-FD90-46BD-AF1D-8C7760178732}" name="Colonne30" dataDxfId="251">
      <calculatedColumnFormula>IF(VLOOKUP($A3,TraitementDI,BN$3,FALSE)=0,"",TEXT(IFERROR(VLOOKUP($A3,TraitementDI,BN$3,FALSE),""),"[hh]:mm"))</calculatedColumnFormula>
    </tableColumn>
    <tableColumn id="58" xr3:uid="{972152D2-F1CB-4CB8-A8E4-2A5DF15B8458}" name="Colonne31" dataDxfId="250">
      <calculatedColumnFormula>IF(VLOOKUP($A3,TraitementDI,BO$3,FALSE)=0,"",TEXT(IFERROR(VLOOKUP($A3,TraitementDI,BO$3,FALSE),""),"[hh]:mm"))</calculatedColumnFormula>
    </tableColumn>
    <tableColumn id="86" xr3:uid="{DD1EB97D-5162-435D-B424-1188A9527BE2}" name="NbJTOT" dataDxfId="249">
      <calculatedColumnFormula>VLOOKUP(T_BilanSocial[[#This Row],[NumL]],T_TraitDi[#Data],COLUMN(T_TraitDi[NbJTot]),FALSE)</calculatedColumnFormula>
    </tableColumn>
    <tableColumn id="59" xr3:uid="{EF628D2A-9705-4C3D-A216-C81BFF696732}" name="NbJTW" dataDxfId="248">
      <calculatedColumnFormula>IFERROR(VLOOKUP($A3,TraitementDI,BQ$3,FALSE),"")</calculatedColumnFormula>
    </tableColumn>
    <tableColumn id="60" xr3:uid="{D9C6228C-9C50-45A4-8D1B-A8AD393FE5E7}" name="NbHTw" dataDxfId="247">
      <calculatedColumnFormula>IF(VLOOKUP($A3,TraitementDI,BR$3,FALSE)=0,"",TEXT(IFERROR(VLOOKUP($A3,TraitementDI,BR$3,FALSE),""),"[hh]:mm"))</calculatedColumnFormula>
    </tableColumn>
    <tableColumn id="61" xr3:uid="{7886A079-F44C-4147-8BB2-3E3A908BF712}" name="NbHTot" dataDxfId="246">
      <calculatedColumnFormula>IF(VLOOKUP($A3,TraitementDI,BS$3,FALSE)=0,"",TEXT(IFERROR(VLOOKUP($A3,TraitementDI,BS$3,FALSE),""),"[hh]:mm"))</calculatedColumnFormula>
    </tableColumn>
    <tableColumn id="62" xr3:uid="{476B76A0-1961-4A58-AA8A-1320FC06B179}" name="Type1" dataDxfId="245">
      <calculatedColumnFormula>IFERROR(VLOOKUP(VLOOKUP($A3,TraitementDI,BT$3,FALSE),TypeTW,2,FALSE),"")</calculatedColumnFormula>
    </tableColumn>
    <tableColumn id="63" xr3:uid="{58DF27C9-A2E8-43F1-A206-AB504E52BA22}" name="Rue1" dataDxfId="244">
      <calculatedColumnFormula>IFERROR(VLOOKUP($A3,TraitementDI,BU$3,FALSE),"")</calculatedColumnFormula>
    </tableColumn>
    <tableColumn id="64" xr3:uid="{47130A58-0D16-43A9-9427-790D11DF495A}" name="CP1" dataDxfId="243">
      <calculatedColumnFormula>IFERROR(TEXT(VLOOKUP($A3,TraitementDI,BV$3,FALSE),"#####"),"")</calculatedColumnFormula>
    </tableColumn>
    <tableColumn id="65" xr3:uid="{3314CB76-62F8-4EE4-A5FD-89997C826837}" name="Ville1" dataDxfId="242">
      <calculatedColumnFormula>IFERROR(VLOOKUP($A3,TraitementDI,BW$3,FALSE),"")</calculatedColumnFormula>
    </tableColumn>
    <tableColumn id="74" xr3:uid="{20626DE0-96F2-4EDB-BA6E-E65CB0A04075}" name="Type2" dataDxfId="241"/>
    <tableColumn id="73" xr3:uid="{DC35B1C2-BBE0-415E-B0BE-3AA03D57EEE6}" name="Rue2" dataDxfId="240"/>
    <tableColumn id="72" xr3:uid="{13A11E97-94C7-4ED7-A69B-C3A1F2609123}" name="CP2" dataDxfId="239"/>
    <tableColumn id="71" xr3:uid="{518BFEE7-6CBA-4AD3-A703-C8D00E804571}" name="Ville2" dataDxfId="238"/>
    <tableColumn id="66" xr3:uid="{A09834F3-9063-4947-AB15-17167EC832B1}" name="Equipement" dataDxfId="237">
      <calculatedColumnFormula>IF(VLOOKUP(A3,'4- Equipement et formations'!A:S,12,FALSE)="","Aucun équipement spécifique directement lié au télétravail",VLOOKUP(A3,'4- Equipement et formations'!A:S,12,FALSE))</calculatedColumnFormula>
    </tableColumn>
    <tableColumn id="67" xr3:uid="{EB319F1F-A06C-4155-A170-2612738D2AC5}" name="Planning Joint" dataDxfId="236">
      <calculatedColumnFormula>IFERROR(IF(VLOOKUP(A3,TraitementDI,13,FALSE)="OK","Un planning spécifique de télétravail est annexé à la présente convention.",""),"")</calculatedColumnFormula>
    </tableColumn>
    <tableColumn id="68" xr3:uid="{C074E99F-2FCD-4099-8DEE-67D59EF77D7F}" name="Lien convention" dataDxfId="235"/>
    <tableColumn id="75" xr3:uid="{0CE95C85-5BF3-4C8C-B97E-254312C9E509}" name="Entité" dataDxfId="234">
      <calculatedColumnFormula>IF(VLOOKUP(T_BilanSocial[[#This Row],[NumL]],T_suiviDi[#Data],COLUMN(T_suiviDi[[#This Row],[Entité]]),FALSE)="","",VLOOKUP(T_BilanSocial[[#This Row],[NumL]],T_suiviDi[#Data],COLUMN(T_suiviDi[[#This Row],[Entité]]),FALSE))</calculatedColumnFormula>
    </tableColumn>
    <tableColumn id="76" xr3:uid="{ADAC49A8-EA6E-4803-97C4-C023ACF5969D}" name="Confirm" dataDxfId="233"/>
    <tableColumn id="77" xr3:uid="{5A04B712-999C-443A-BCEC-ECDA27ABF02D}" name="Entité_Serv" dataDxfId="232">
      <calculatedColumnFormula>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calculatedColumnFormula>
    </tableColumn>
    <tableColumn id="82" xr3:uid="{2949E3F3-D0A3-4A50-959A-50D20908D0A7}" name="Zone_Bilan" dataDxfId="231">
      <calculatedColumnFormula>T_BilanSocial[[#This Row],[Nom]]&amp;T_BilanSocial[[#This Row],[Prenom]]</calculatedColumnFormula>
    </tableColumn>
    <tableColumn id="87" xr3:uid="{DEE51256-B40B-47B5-BDE7-B7574908138F}" name="Commentaire" dataDxfId="230">
      <calculatedColumnFormula>VLOOKUP(T_BilanSocial[[#This Row],[NumL]],T_Commission[#Data],COLUMN(T_Commission[Commentaire]),FALSE)</calculatedColumnFormula>
    </tableColumn>
    <tableColumn id="88" xr3:uid="{39C6AA54-185C-403E-BFAF-219B0B766291}" name="Mail encadrant" dataDxfId="229">
      <calculatedColumnFormula>IF(VLOOKUP(T_BilanSocial[[#This Row],[NumL]],T_Commission[#Data],COLUMN(T_Commission[Encadrant Email]),FALSE)="","",VLOOKUP(T_BilanSocial[[#This Row],[NumL]],T_Commission[#Data],COLUMN(T_Commission[Encadrant Email]),FALSE))</calculatedColumnFormula>
    </tableColumn>
    <tableColumn id="89" xr3:uid="{9FC8B752-40F5-44DD-ACE8-6075ECCAF5CD}" name="statut2" dataDxfId="228">
      <calculatedColumnFormula>IF(T_BilanSocial[[#This Row],[Final]]&lt;&gt;"",VLOOKUP(T_BilanSocial[[#This Row],[NumL]],T_suiviDi[#Data],COLUMN((T_suiviDi[Statut])),FALSE),"")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8D9302E-31A2-4B53-B168-892126CCA298}" name="T_P_BilanSocial" displayName="T_P_BilanSocial" ref="A1:K781" totalsRowShown="0" headerRowDxfId="227" dataDxfId="225" headerRowBorderDxfId="226" tableBorderDxfId="224" totalsRowBorderDxfId="223">
  <autoFilter ref="A1:K781" xr:uid="{F3C05C61-898C-4D0B-818D-20EEC9309DED}"/>
  <sortState ref="A2:K777">
    <sortCondition ref="C1:C777"/>
  </sortState>
  <tableColumns count="11">
    <tableColumn id="11" xr3:uid="{B76F1699-D6C6-45F3-A695-18930CE7141B}" name="Zone_Bilan" dataDxfId="222">
      <calculatedColumnFormula>T_P_BilanSocial[[#This Row],[Nom]]&amp;T_P_BilanSocial[[#This Row],[Prenom]]</calculatedColumnFormula>
    </tableColumn>
    <tableColumn id="1" xr3:uid="{20E37BE9-0473-46ED-A59F-8DE87B756CE6}" name="Numero_SIHAM" dataDxfId="221"/>
    <tableColumn id="2" xr3:uid="{7FD6E1BC-982F-457D-A1B8-7C435611BF5C}" name="Nom" dataDxfId="220"/>
    <tableColumn id="3" xr3:uid="{5E87BC89-4114-4DFC-96F5-94BEFE2AE11C}" name="Prenom" dataDxfId="219"/>
    <tableColumn id="4" xr3:uid="{5A096810-1FCC-44E5-9A6A-3E93FD077007}" name="Sexe" dataDxfId="218"/>
    <tableColumn id="5" xr3:uid="{26A4095B-B3EF-491E-8079-17EEE72419C6}" name="Categorie" dataDxfId="217"/>
    <tableColumn id="6" xr3:uid="{DF623BFC-948D-4BCA-B68C-F65BE89B6397}" name="Statut" dataDxfId="216"/>
    <tableColumn id="7" xr3:uid="{BA36B3DF-1225-476D-ADF6-E1B8192686D6}" name="Filiere" dataDxfId="215"/>
    <tableColumn id="8" xr3:uid="{44BDC895-8FB1-40BC-8A3B-B6EF02547509}" name="Pays" dataDxfId="214"/>
    <tableColumn id="9" xr3:uid="{F01D6839-3A74-4962-A5AC-D5523163FD6F}" name="Code_Postal " dataDxfId="213"/>
    <tableColumn id="10" xr3:uid="{F17E0D10-A321-4831-A003-7E958BB803CF}" name="Ville" dataDxfId="21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7391A3C-4363-4F1F-A004-CACAE3407603}" name="T_BilanSocial2" displayName="T_BilanSocial2" ref="A1:BF289" totalsRowShown="0" headerRowDxfId="209" dataDxfId="208">
  <autoFilter ref="A1:BF289" xr:uid="{2D450309-A83E-4E11-8FE4-15A441EB93FF}">
    <filterColumn colId="6">
      <filters>
        <filter val="Homme"/>
      </filters>
    </filterColumn>
  </autoFilter>
  <sortState ref="A2:BE289">
    <sortCondition ref="D2:D289"/>
  </sortState>
  <tableColumns count="58">
    <tableColumn id="1" xr3:uid="{6A664FC2-E53A-469F-8A8C-5526A54A07F8}" name="NumL" dataDxfId="207"/>
    <tableColumn id="2" xr3:uid="{3472EFB0-BCC8-4310-B75F-D817AE5785F7}" name="R / N" dataDxfId="206"/>
    <tableColumn id="11" xr3:uid="{B7BB9848-D566-478F-8E6F-7B044F53C3FB}" name="FINAL" dataDxfId="205">
      <calculatedColumnFormula>VLOOKUP(T_BilanSocial2[[#This Row],[NumL]],T_Commission[#Data],COLUMN(T_Commission[FINAL]),FALSE)</calculatedColumnFormula>
    </tableColumn>
    <tableColumn id="3" xr3:uid="{056B41F0-2854-4EDB-B2F9-48F382457868}" name="Nom" dataDxfId="204">
      <calculatedColumnFormula>IFERROR(IF(VLOOKUP(A2,ListeDI,3,FALSE)&lt;&gt;"",VLOOKUP(A2,ListeDI,3,FALSE),""),"")</calculatedColumnFormula>
    </tableColumn>
    <tableColumn id="4" xr3:uid="{98855E64-DABA-4D12-ADE4-05960A2CA68F}" name="Prénom" dataDxfId="203">
      <calculatedColumnFormula>IFERROR(IF(VLOOKUP(A2,ListeDI,4,FALSE)&lt;&gt;"",VLOOKUP(A2,ListeDI,4,FALSE),""),"")</calculatedColumnFormula>
    </tableColumn>
    <tableColumn id="9" xr3:uid="{3A12D5A6-8A92-4016-B431-689CEFDB0E82}" name="Num_Siham" dataDxfId="202">
      <calculatedColumnFormula>IFERROR(VLOOKUP(T_BilanSocial2[[#This Row],[Zone_Bilan]],T_P_BilanSocial[#Data],COLUMN(T_P_BilanSocial[[#This Row],[Numero_SIHAM]]),FALSE),"")</calculatedColumnFormula>
    </tableColumn>
    <tableColumn id="5" xr3:uid="{30039C80-ED15-4B06-B414-8963F4A60B79}" name="Sexe" dataDxfId="201">
      <calculatedColumnFormula>IFERROR(VLOOKUP(T_BilanSocial2[[#This Row],[Zone_Bilan]],T_P_BilanSocial[#Data],COLUMN(T_P_BilanSocial[[#This Row],[Sexe]]),FALSE),"")</calculatedColumnFormula>
    </tableColumn>
    <tableColumn id="6" xr3:uid="{D7C17749-4CA1-478C-ACC3-4BD97A4D290E}" name="Catégorie" dataDxfId="200">
      <calculatedColumnFormula>IFERROR(VLOOKUP(T_BilanSocial2[[#This Row],[Zone_Bilan]],T_P_BilanSocial[#Data],COLUMN(T_P_BilanSocial[[#This Row],[Categorie]]),FALSE),"")</calculatedColumnFormula>
    </tableColumn>
    <tableColumn id="8" xr3:uid="{425C9AD4-0BF0-4FA6-B915-5A906444512B}" name="Statut" dataDxfId="199">
      <calculatedColumnFormula>IFERROR(VLOOKUP(T_BilanSocial2[[#This Row],[Zone_Bilan]],T_P_BilanSocial[#Data],COLUMN(T_P_BilanSocial[[#This Row],[Statut]]),FALSE),"")</calculatedColumnFormula>
    </tableColumn>
    <tableColumn id="7" xr3:uid="{21507679-EDF5-40AD-B331-9A5259AF5D2C}" name="Filière" dataDxfId="198">
      <calculatedColumnFormula>IFERROR(VLOOKUP(T_BilanSocial2[[#This Row],[Zone_Bilan]],T_P_BilanSocial[#Data],COLUMN(T_P_BilanSocial[[#This Row],[Filiere]]),FALSE),"")</calculatedColumnFormula>
    </tableColumn>
    <tableColumn id="19" xr3:uid="{71DD2AFE-8876-4BF5-91E5-59AE32414CE3}" name="Q2" dataDxfId="197" dataCellStyle="Pourcentage"/>
    <tableColumn id="103" xr3:uid="{50605FA7-90AA-48EF-AAC7-DE425E76F72E}" name="Hhebdo" dataDxfId="196" dataCellStyle="Pourcentage"/>
    <tableColumn id="21" xr3:uid="{2196F340-7484-44D4-A085-74E9C82EAF1B}" name="Reg Ponct" dataDxfId="195" dataCellStyle="Pourcentage"/>
    <tableColumn id="23" xr3:uid="{E6D27315-8F81-4F89-A53E-1328A3922286}" name="NbJTot" dataDxfId="194" dataCellStyle="Pourcentage">
      <calculatedColumnFormula>IF((AND(T_BilanSocial2[[#This Row],[Nom]]&lt;&gt;"",T_BilanSocial2[[#This Row],[Reg Ponct]]="R")),(COUNTIF(S2:AX2,"S")+COUNTIF(S2:AX2,"T"))/2,"")</calculatedColumnFormula>
    </tableColumn>
    <tableColumn id="24" xr3:uid="{4AF76FEB-4E2B-4DE4-9177-566DF9D5604D}" name="NbJS" dataDxfId="193" dataCellStyle="Pourcentage">
      <calculatedColumnFormula>IF((AND(T_BilanSocial2[[#This Row],[Nom]]&lt;&gt;"",T_BilanSocial2[[#This Row],[Reg Ponct]]="R")),COUNTIF(S2:AX2,"S")/2,"")</calculatedColumnFormula>
    </tableColumn>
    <tableColumn id="25" xr3:uid="{CA622903-5A1B-407C-8725-818487EB4EAC}" name="NbJTW" dataDxfId="192">
      <calculatedColumnFormula>IF((AND(T_BilanSocial2[[#This Row],[Nom]]&lt;&gt;"",T_BilanSocial2[[#This Row],[Reg Ponct]]="R")),COUNTIF(S2:AX2,"t")/2,"")</calculatedColumnFormula>
    </tableColumn>
    <tableColumn id="26" xr3:uid="{91D98694-9E6A-4744-8AF2-67E2430D760A}" name="Nbhheb" dataDxfId="191">
      <calculatedColumnFormula>IF(D2&lt;&gt;"",Y2+AF2+AM2+AT2+BA2,"")</calculatedColumnFormula>
    </tableColumn>
    <tableColumn id="27" xr3:uid="{DDED179E-90CD-424C-BCE1-25703B51D2C4}" name="NbhTW" dataDxfId="190">
      <calculatedColumnFormula>IF((AND(T_BilanSocial2[[#This Row],[Nom]]&lt;&gt;"",T_BilanSocial2[[#This Row],[Reg Ponct]]="R")),IF(S2="T",U2-T2,0)+IF(V2="T",X2-W2,0)+IF(Z2="T",AB2-AA2,0)+IF(AC2="T",AE2-AD2,0)+IF(AG2="T",AI2-AH2,0)+IF(AJ2="T",AL2-AK2,0)+IF(AN2="T",AP2-AO2,0)+IF(AQ2="T",AS2-AR2,0)+IF(AU2="T",AW2-AV2,0)+IF(AX2="T",AZ2-AY2,0),"")</calculatedColumnFormula>
    </tableColumn>
    <tableColumn id="28" xr3:uid="{292F6B04-9FDA-446D-A2D1-FBEFF26AD0EA}" name="Lundi" dataDxfId="189"/>
    <tableColumn id="29" xr3:uid="{81A7B229-29BD-457A-B8E3-10F57F1FE7A4}" name="Colonne3" dataDxfId="188"/>
    <tableColumn id="30" xr3:uid="{97127293-A699-43BD-9A26-A9EC85719127}" name="Colonne4" dataDxfId="187"/>
    <tableColumn id="31" xr3:uid="{D0B6A9E2-B9D3-41D9-A1C7-F70D66BB6314}" name="Colonne5" dataDxfId="186"/>
    <tableColumn id="32" xr3:uid="{BAE83BAE-C2E4-435C-887C-24C70EB0E775}" name="Colonne6" dataDxfId="185"/>
    <tableColumn id="33" xr3:uid="{19EF40AC-3FFA-40DA-AC34-C1964846362C}" name="Colonne7" dataDxfId="184"/>
    <tableColumn id="34" xr3:uid="{7BD59E97-D4AC-4CBE-BCF6-D25B4A003BCB}" name="Colonne8" dataDxfId="183">
      <calculatedColumnFormula>IF(D2&lt;&gt;"",(U2-T2)+(X2-W2),"")</calculatedColumnFormula>
    </tableColumn>
    <tableColumn id="35" xr3:uid="{6C2601BB-CF41-4776-9773-8C17BA161E27}" name="Mardi" dataDxfId="182"/>
    <tableColumn id="36" xr3:uid="{B566E5C4-1932-4837-ACF5-F67A1C275996}" name="Colonne1" dataDxfId="181"/>
    <tableColumn id="37" xr3:uid="{D63771CD-80CF-4005-B164-E3F6555B9DF2}" name="Colonne9" dataDxfId="180"/>
    <tableColumn id="38" xr3:uid="{3E2881D2-B7FC-4B16-95C2-7977B7356819}" name="Colonne10" dataDxfId="179"/>
    <tableColumn id="39" xr3:uid="{1B4872D1-04E9-459C-BDD7-1F5DD1FA6761}" name="Colonne11" dataDxfId="178"/>
    <tableColumn id="40" xr3:uid="{A5F4FB21-CAC9-4F7B-A0AA-3184E08EBADE}" name="Colonne12" dataDxfId="177"/>
    <tableColumn id="41" xr3:uid="{F0117C01-BD7C-44B5-92E6-BF5DFE382EAF}" name="Colonne14" dataDxfId="176">
      <calculatedColumnFormula>IF(D2&lt;&gt;"",(AB2-AA2)+(AE2-AD2),"")</calculatedColumnFormula>
    </tableColumn>
    <tableColumn id="42" xr3:uid="{F9B3C776-BFED-4D66-86B2-8BA3D3D644E2}" name="Mercredi" dataDxfId="175"/>
    <tableColumn id="43" xr3:uid="{344BBB8F-E0CA-4E9C-A7C3-638BF625F1EA}" name="Colonne15" dataDxfId="174"/>
    <tableColumn id="44" xr3:uid="{18358C4F-0D42-45C3-9DF7-EAF2D1360FE3}" name="Colonne16" dataDxfId="173"/>
    <tableColumn id="45" xr3:uid="{473A3744-AEA0-4A11-A2AE-9A7A77DD0C61}" name="Colonne17" dataDxfId="172"/>
    <tableColumn id="46" xr3:uid="{D14FBC1C-7F20-4493-B1B6-D2B2C7A7DDDA}" name="Colonne18" dataDxfId="171"/>
    <tableColumn id="47" xr3:uid="{39E34E8A-8783-44F8-95BB-3E018EF34C0D}" name="Colonne19" dataDxfId="170"/>
    <tableColumn id="48" xr3:uid="{D90D6761-9480-4D24-A431-92FB48C55F70}" name="Colonne20" dataDxfId="169">
      <calculatedColumnFormula>IF(D2&lt;&gt;"",(AI2-AH2)+(AL2-AK2),"")</calculatedColumnFormula>
    </tableColumn>
    <tableColumn id="49" xr3:uid="{DA9F1956-0E2A-4A41-B6F6-21DCC6E2364D}" name="Jeudi" dataDxfId="168"/>
    <tableColumn id="50" xr3:uid="{EE9D23DE-9954-4A0D-89C3-7F63867E0593}" name="Colonne21" dataDxfId="167"/>
    <tableColumn id="51" xr3:uid="{08608926-E659-4F42-A19A-EC7BA23A7225}" name="Colonne22" dataDxfId="166"/>
    <tableColumn id="52" xr3:uid="{7FAE11C4-3226-4B0E-BA02-61DAB5B59A3C}" name="Colonne23" dataDxfId="165"/>
    <tableColumn id="53" xr3:uid="{AA7F3DEA-1DD9-422C-858B-6ED151931238}" name="Colonne24" dataDxfId="164"/>
    <tableColumn id="54" xr3:uid="{24D39B5A-37C1-4915-A035-C44A7D7033D0}" name="Colonne25" dataDxfId="163"/>
    <tableColumn id="55" xr3:uid="{4B0E60EF-CC4C-46F3-BAB9-1163D08674EC}" name="Colonne26" dataDxfId="162">
      <calculatedColumnFormula>IF(D2&lt;&gt;"",(AP2-AO2)+(AS2-AR2),"")</calculatedColumnFormula>
    </tableColumn>
    <tableColumn id="56" xr3:uid="{35FCE839-01BA-43BC-8CE5-3C40BD08B009}" name="Vendredi" dataDxfId="161"/>
    <tableColumn id="57" xr3:uid="{E2DE1C28-9C5E-4920-A76C-F622956B9D7C}" name="Colonne27" dataDxfId="160"/>
    <tableColumn id="58" xr3:uid="{5B8BEA93-0745-4023-BBC5-3684CAC852AE}" name="Colonne28" dataDxfId="159"/>
    <tableColumn id="59" xr3:uid="{998E44D6-96D4-43A1-954E-BEC49D83F31B}" name="Colonne29" dataDxfId="158"/>
    <tableColumn id="60" xr3:uid="{04704D2E-9F22-4B07-BCCF-712EAC3D565F}" name="Colonne30" dataDxfId="157"/>
    <tableColumn id="61" xr3:uid="{94634FBF-F3B0-4ED7-B331-455E164B79D6}" name="Colonne31" dataDxfId="156"/>
    <tableColumn id="62" xr3:uid="{8E9AF815-6589-44B2-A212-BBE36E1C1FE5}" name="Colonne32" dataDxfId="155">
      <calculatedColumnFormula>IF(D2&lt;&gt;"",(AW2-AV2)+(AZ2-AY2),"")</calculatedColumnFormula>
    </tableColumn>
    <tableColumn id="87" xr3:uid="{B734376C-6ABC-452E-A4E0-9CC34C8C4F78}" name="CP1" dataDxfId="154"/>
    <tableColumn id="88" xr3:uid="{55F39C08-8781-4564-B0D1-961DCD977320}" name="VILLE1" dataDxfId="153"/>
    <tableColumn id="93" xr3:uid="{B7B020F1-BC54-41AC-B551-51264984C4DE}" name="EXP" dataDxfId="152"/>
    <tableColumn id="94" xr3:uid="{E44EF30D-1F25-41FD-A27A-943673B79820}" name="FORM" dataDxfId="151"/>
    <tableColumn id="10" xr3:uid="{6179D81B-94CF-4EE0-AF93-1F81AA1AF8AB}" name="Zone_Bilan" dataDxfId="150">
      <calculatedColumnFormula>T_BilanSocial2[[#This Row],[Nom]]&amp;T_BilanSocial2[[#This Row],[Prénom]]</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096CDD3-E35E-4929-A96A-5EF2079C2415}" name="T_SuiviTw" displayName="T_SuiviTw" ref="A2:W321" totalsRowShown="0" headerRowDxfId="149" dataDxfId="148" tableBorderDxfId="147">
  <autoFilter ref="A2:W321" xr:uid="{00000000-0009-0000-0000-000006000000}">
    <filterColumn colId="1">
      <customFilters>
        <customFilter operator="notEqual" val=" "/>
      </customFilters>
    </filterColumn>
  </autoFilter>
  <sortState ref="A5:W321">
    <sortCondition ref="B3:B321"/>
  </sortState>
  <tableColumns count="23">
    <tableColumn id="1" xr3:uid="{E93B014D-3A11-4E6D-B9D5-DDDB9A85E49C}" name="NumL" dataDxfId="146"/>
    <tableColumn id="2" xr3:uid="{8C854FDE-0DBE-4BF5-839B-D515B23344C7}" name="Nom" dataDxfId="145">
      <calculatedColumnFormula>IFERROR(IF(VLOOKUP(T_SuiviTw[[#This Row],[NumL]],T_suiviDi[#Data],COLUMN(T_suiviDi[[#This Row],[Nom]]),FALSE)&lt;&gt;"",VLOOKUP(T_SuiviTw[[#This Row],[NumL]],T_suiviDi[#Data],COLUMN(T_suiviDi[[#This Row],[Nom]]),FALSE),""),"")</calculatedColumnFormula>
    </tableColumn>
    <tableColumn id="3" xr3:uid="{14B308FF-A724-4FAA-8B50-A288B87A0063}" name="Prénom" dataDxfId="144">
      <calculatedColumnFormula>IFERROR(IF(VLOOKUP(T_SuiviTw[[#This Row],[NumL]],T_suiviDi[#Data],COLUMN(T_suiviDi[[#This Row],[Prénom]]),FALSE)&lt;&gt;"",VLOOKUP(T_SuiviTw[[#This Row],[NumL]],T_suiviDi[#Data],COLUMN(T_suiviDi[[#This Row],[Prénom]]),FALSE),""),"")</calculatedColumnFormula>
    </tableColumn>
    <tableColumn id="4" xr3:uid="{12291542-A472-463D-B038-1A952844AB8D}" name="Email" dataDxfId="143" dataCellStyle="Lien hypertexte">
      <calculatedColumnFormula>IFERROR(IF(VLOOKUP(T_SuiviTw[[#This Row],[NumL]],T_suiviDi[#Data],COLUMN(T_suiviDi[[#This Row],[Email]]),FALSE)&lt;&gt;"",VLOOKUP(T_SuiviTw[[#This Row],[NumL]],T_suiviDi[#Data],COLUMN(T_suiviDi[[#This Row],[Email]]),FALSE),""),"")</calculatedColumnFormula>
    </tableColumn>
    <tableColumn id="5" xr3:uid="{C3AE28FA-D39E-4C0F-B54B-4890D79495CB}" name="Encadrant Nom" dataDxfId="142" dataCellStyle="Lien hypertexte">
      <calculatedColumnFormula>IFERROR(IF(VLOOKUP(T_SuiviTw[[#This Row],[NumL]],T_suiviDi[#Data],COLUMN(T_suiviDi[[#This Row],[Nom1]]),FALSE)&lt;&gt;"",VLOOKUP(T_SuiviTw[[#This Row],[NumL]],T_suiviDi[#Data],COLUMN(T_suiviDi[[#This Row],[Nom1]]),FALSE),""),"")</calculatedColumnFormula>
    </tableColumn>
    <tableColumn id="6" xr3:uid="{DA927839-2D16-44B3-8B03-A5AAC7158FF2}" name="Encadrant Prénom" dataDxfId="141" dataCellStyle="Lien hypertexte">
      <calculatedColumnFormula>IFERROR(IF(VLOOKUP(T_SuiviTw[[#This Row],[NumL]],T_suiviDi[#Data],COLUMN(T_suiviDi[[#This Row],[Prénom1]]),FALSE)&lt;&gt;"",VLOOKUP(T_SuiviTw[[#This Row],[NumL]],T_suiviDi[#Data],COLUMN(T_suiviDi[[#This Row],[Prénom1]]),FALSE),""),"")</calculatedColumnFormula>
    </tableColumn>
    <tableColumn id="7" xr3:uid="{4978E0FD-047E-49B4-BCA2-F2E44BFDC3FA}" name="Encadrant Email" dataDxfId="140" dataCellStyle="Lien hypertexte">
      <calculatedColumnFormula>IFERROR(IF(VLOOKUP(T_SuiviTw[[#This Row],[NumL]],T_suiviDi[#Data],COLUMN(T_suiviDi[[#This Row],[Email1]]),FALSE)&lt;&gt;"",VLOOKUP(T_SuiviTw[[#This Row],[NumL]],T_suiviDi[#Data],COLUMN(T_suiviDi[[#This Row],[Email1]]),FALSE),""),"")</calculatedColumnFormula>
    </tableColumn>
    <tableColumn id="8" xr3:uid="{1A13F4BF-77A0-47FE-B327-497F8FD32162}" name="Date édition" dataDxfId="139">
      <calculatedColumnFormula>IF(B3&lt;&gt;"",DateEdition,"")</calculatedColumnFormula>
    </tableColumn>
    <tableColumn id="9" xr3:uid="{B2F8A4FD-C15C-434D-A10C-61A07842D003}" name="Date réception" dataDxfId="138"/>
    <tableColumn id="10" xr3:uid="{94E5A402-3D20-4F68-B49B-629087592256}" name="Colonne1" dataDxfId="137">
      <calculatedColumnFormula>IF(AND(I3="",K3=""),"",IF(AND(I3&lt;&gt;"",H3&lt;&gt;""),1,3))</calculatedColumnFormula>
    </tableColumn>
    <tableColumn id="11" xr3:uid="{89FB4738-D0AF-469D-936A-217E49FCDA60}" name="Date fin" dataDxfId="136">
      <calculatedColumnFormula>IF(B3&lt;&gt;"",DateFinadapt,"")</calculatedColumnFormula>
    </tableColumn>
    <tableColumn id="12" xr3:uid="{43F183AC-D535-4EFD-BFE5-0E9B72785138}" name="Date entretien" dataDxfId="135"/>
    <tableColumn id="13" xr3:uid="{7D344A60-A522-48EC-AACB-B8E3053DEE03}" name="Colonne2" dataDxfId="134">
      <calculatedColumnFormula>IF(OR(K3="",TODAY()&lt;K3),"",IF(L3&lt;&gt;"",1,3))</calculatedColumnFormula>
    </tableColumn>
    <tableColumn id="14" xr3:uid="{C406B04D-C64A-4FD9-B289-5AC9BBC057B4}" name="Dec. Agent" dataDxfId="133"/>
    <tableColumn id="15" xr3:uid="{93FDADC2-49F1-4405-B6B8-9CDDD4436A58}" name="Dec. N+1" dataDxfId="132"/>
    <tableColumn id="16" xr3:uid="{EA140D5D-AB53-413B-9989-0415654528FE}" name="Décision" dataDxfId="131">
      <calculatedColumnFormula>IF(AND(N3&lt;&gt;"",O3&lt;&gt;""),IF(MAX(N3,O3)=1,1,4),IF(OR(N3&lt;&gt;"",O3&lt;&gt;""),"?",""))</calculatedColumnFormula>
    </tableColumn>
    <tableColumn id="17" xr3:uid="{BCCEF4E8-75D5-4B51-926B-0E00A9949E60}" name="Date limite" dataDxfId="130">
      <calculatedColumnFormula>IF(AND(F3&lt;&gt;"",P3=1),Datebilan2,"")</calculatedColumnFormula>
    </tableColumn>
    <tableColumn id="18" xr3:uid="{3AA9C317-476A-4BD0-8663-3733F15D0B87}" name="Date entretien3" dataDxfId="129"/>
    <tableColumn id="19" xr3:uid="{707CBA0B-BE70-4E26-9CDD-CB24FE2E2D3F}" name="Colonne4" dataDxfId="128">
      <calculatedColumnFormula>IF(OR(B3="",P3&gt;1),"",IF(R3&lt;&gt;"",1,IF(Q3&lt;=TODAY(),3,IF(Q3&lt;=TODAY()+10,2,""))))</calculatedColumnFormula>
    </tableColumn>
    <tableColumn id="20" xr3:uid="{75C3E72C-2772-47F7-AF9D-26D57FCBF153}" name="Avis Agent" dataDxfId="127"/>
    <tableColumn id="21" xr3:uid="{320D3D54-F4C6-4749-9E46-296F8D99E6F3}" name="Avis Resp" dataDxfId="126"/>
    <tableColumn id="22" xr3:uid="{1F857797-822D-438B-8FD1-BF20DBDF5273}" name="Avis Com." dataDxfId="125"/>
    <tableColumn id="23" xr3:uid="{E33DA245-ABC1-4505-B919-78EAD85F2884}" name="Commentaire" dataDxfId="124"/>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vmlDrawing" Target="../drawings/vmlDrawing5.vml"/><Relationship Id="rId1" Type="http://schemas.openxmlformats.org/officeDocument/2006/relationships/drawing" Target="../drawings/drawing7.xm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table" Target="../tables/table14.xml"/><Relationship Id="rId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teletravail@univ-lyon3.fr"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file:///C:\Users\nathalie.poyet\AppData\Local\Microsoft\Windows\INetCache\Content.Outlook\ISESNFHA\Conventions%20de%20t&#233;l&#233;travail%20sign&#233;es\BELLET%20C&#233;cile.pdf" TargetMode="External"/><Relationship Id="rId21" Type="http://schemas.openxmlformats.org/officeDocument/2006/relationships/hyperlink" Target="file:///C:\Users\frederique.marsan\AppData\Local\Microsoft\Windows\INetCache\Content.Outlook\OCGQVXFE\Conventions%20de%20t&#233;l&#233;travail%20sign&#233;es\O'CONNOR%20Alicia.pdf" TargetMode="External"/><Relationship Id="rId42" Type="http://schemas.openxmlformats.org/officeDocument/2006/relationships/hyperlink" Target="file:///C:\Users\frederique.marsan\AppData\Local\Microsoft\Windows\INetCache\Content.Outlook\OCGQVXFE\Conventions%20de%20t&#233;l&#233;travail%20sign&#233;es\ROMERO-PERRETTI%20Sophie.pdf" TargetMode="External"/><Relationship Id="rId63" Type="http://schemas.openxmlformats.org/officeDocument/2006/relationships/hyperlink" Target="file:///C:\Users\frederique.marsan\AppData\Local\Microsoft\Windows\INetCache\Content.Outlook\OCGQVXFE\Conventions%20de%20t&#233;l&#233;travail%20sign&#233;es\DUMAS%20Odile.pdf" TargetMode="External"/><Relationship Id="rId84" Type="http://schemas.openxmlformats.org/officeDocument/2006/relationships/hyperlink" Target="file:///C:\Users\nathalie.poyet\AppData\Local\Microsoft\Windows\INetCache\Content.Outlook\ISESNFHA\Conventions%20de%20t&#233;l&#233;travail%20sign&#233;es\MIQUEL%20Jean-Loup.pdf" TargetMode="External"/><Relationship Id="rId138" Type="http://schemas.openxmlformats.org/officeDocument/2006/relationships/hyperlink" Target="file:///C:\Users\nathalie.poyet\AppData\Local\Microsoft\Windows\INetCache\Content.Outlook\ISESNFHA\Conventions%20de%20t&#233;l&#233;travail%20sign&#233;es\VASCHALDE%20Pierre-Guy.pdf" TargetMode="External"/><Relationship Id="rId159" Type="http://schemas.openxmlformats.org/officeDocument/2006/relationships/hyperlink" Target="file:///C:\Users\nathalie.poyet\AppData\Local\Microsoft\Windows\INetCache\Content.Outlook\ISESNFHA\Conventions%20de%20t&#233;l&#233;travail%20sign&#233;es\RICHARD%20Vincent-Marie.pdf" TargetMode="External"/><Relationship Id="rId170" Type="http://schemas.openxmlformats.org/officeDocument/2006/relationships/hyperlink" Target="file:///C:\Users\frederique.marsan\AppData\Local\Microsoft\Windows\INetCache\Content.Outlook\OCGQVXFE\Conventions%20de%20t&#233;l&#233;travail%20sign&#233;es\GERME-CESCO%20Patricia.pdf" TargetMode="External"/><Relationship Id="rId191" Type="http://schemas.openxmlformats.org/officeDocument/2006/relationships/hyperlink" Target="file:///C:\Users\frederique.marsan\AppData\Local\Microsoft\Windows\INetCache\Content.Outlook\OCGQVXFE\Conventions%20de%20t&#233;l&#233;travail%20sign&#233;es\REA%20Laetitia.pdf" TargetMode="External"/><Relationship Id="rId205" Type="http://schemas.openxmlformats.org/officeDocument/2006/relationships/hyperlink" Target="file:///C:\Users\frederique.marsan\AppData\Local\Microsoft\Windows\INetCache\Content.Outlook\OCGQVXFE\Conventions%20de%20t&#233;l&#233;travail%20sign&#233;es\MACHET%20Christine.pdf" TargetMode="External"/><Relationship Id="rId107" Type="http://schemas.openxmlformats.org/officeDocument/2006/relationships/hyperlink" Target="file:///C:\Users\nathalie.poyet\AppData\Local\Microsoft\Windows\INetCache\Content.Outlook\ISESNFHA\Conventions%20de%20t&#233;l&#233;travail%20sign&#233;es\VAUTRIN-VILLOND%20V&#233;ronique.pdf" TargetMode="External"/><Relationship Id="rId11" Type="http://schemas.openxmlformats.org/officeDocument/2006/relationships/hyperlink" Target="file:///C:\Users\frederique.marsan\AppData\Local\Microsoft\Windows\INetCache\Content.Outlook\OCGQVXFE\Conventions%20de%20t&#233;l&#233;travail%20sign&#233;es\COURBON-FILIPPINI%20Catherine.pdf" TargetMode="External"/><Relationship Id="rId32" Type="http://schemas.openxmlformats.org/officeDocument/2006/relationships/hyperlink" Target="file:///C:\Users\frederique.marsan\AppData\Local\Microsoft\Windows\INetCache\Content.Outlook\OCGQVXFE\Conventions%20de%20t&#233;l&#233;travail%20sign&#233;es\DESSIRIER%20Giselle.pdf" TargetMode="External"/><Relationship Id="rId53" Type="http://schemas.openxmlformats.org/officeDocument/2006/relationships/hyperlink" Target="file:///C:\Users\frederique.marsan\AppData\Local\Microsoft\Windows\INetCache\Content.Outlook\OCGQVXFE\Conventions%20de%20t&#233;l&#233;travail%20sign&#233;es\PICOD%20Sylvie.pdf" TargetMode="External"/><Relationship Id="rId74" Type="http://schemas.openxmlformats.org/officeDocument/2006/relationships/hyperlink" Target="file:///C:\Users\nathalie.poyet\AppData\Local\Microsoft\Windows\INetCache\Content.Outlook\ISESNFHA\Conventions%20de%20t&#233;l&#233;travail%20sign&#233;es\BLASCO%20Elisabeth.pdf" TargetMode="External"/><Relationship Id="rId128" Type="http://schemas.openxmlformats.org/officeDocument/2006/relationships/hyperlink" Target="file:///C:\Users\nathalie.poyet\AppData\Local\Microsoft\Windows\INetCache\Content.Outlook\ISESNFHA\Conventions%20de%20t&#233;l&#233;travail%20sign&#233;es\LAFAY%20Fabien.pdf" TargetMode="External"/><Relationship Id="rId149" Type="http://schemas.openxmlformats.org/officeDocument/2006/relationships/hyperlink" Target="file:///C:\Users\nathalie.poyet\AppData\Local\Microsoft\Windows\INetCache\Content.Outlook\ISESNFHA\Conventions%20de%20t&#233;l&#233;travail%20sign&#233;es\REY%20Fran&#231;ois.pdf" TargetMode="External"/><Relationship Id="rId5" Type="http://schemas.openxmlformats.org/officeDocument/2006/relationships/hyperlink" Target="file:///C:\Users\frederique.marsan\AppData\Local\Microsoft\Windows\INetCache\Content.Outlook\OCGQVXFE\Conventions%20de%20t&#233;l&#233;travail%20sign&#233;es\RENOUD%20Corinne.pdf" TargetMode="External"/><Relationship Id="rId95" Type="http://schemas.openxmlformats.org/officeDocument/2006/relationships/hyperlink" Target="file:///C:\Users\nathalie.poyet\AppData\Local\Microsoft\Windows\INetCache\Content.Outlook\ISESNFHA\Conventions%20de%20t&#233;l&#233;travail%20sign&#233;es\GUILLAUME%20Kildine.pdf" TargetMode="External"/><Relationship Id="rId160" Type="http://schemas.openxmlformats.org/officeDocument/2006/relationships/hyperlink" Target="file:///C:\Users\nathalie.poyet\AppData\Local\Microsoft\Windows\INetCache\Content.Outlook\ISESNFHA\Conventions%20de%20t&#233;l&#233;travail%20sign&#233;es\SANTOS-COTTIN%20Isabelle.pdf" TargetMode="External"/><Relationship Id="rId181" Type="http://schemas.openxmlformats.org/officeDocument/2006/relationships/hyperlink" Target="file:///C:\Users\frederique.marsan\AppData\Local\Microsoft\Windows\INetCache\Content.Outlook\OCGQVXFE\Conventions%20de%20t&#233;l&#233;travail%20sign&#233;es\PERRIER%20Laetitia.pdf" TargetMode="External"/><Relationship Id="rId216" Type="http://schemas.openxmlformats.org/officeDocument/2006/relationships/hyperlink" Target="file:///C:\Users\frederique.marsan\AppData\Local\Microsoft\Windows\INetCache\Content.Outlook\OCGQVXFE\Conventions%20de%20t&#233;l&#233;travail%20sign&#233;es\VILAIN%20Camille.pdf" TargetMode="External"/><Relationship Id="rId22" Type="http://schemas.openxmlformats.org/officeDocument/2006/relationships/hyperlink" Target="file:///C:\Users\frederique.marsan\AppData\Local\Microsoft\Windows\INetCache\Content.Outlook\OCGQVXFE\Conventions%20de%20t&#233;l&#233;travail%20sign&#233;es\GAVEND%20Catherine.pdf" TargetMode="External"/><Relationship Id="rId43" Type="http://schemas.openxmlformats.org/officeDocument/2006/relationships/hyperlink" Target="file:///C:\Users\frederique.marsan\AppData\Local\Microsoft\Windows\INetCache\Content.Outlook\OCGQVXFE\Conventions%20de%20t&#233;l&#233;travail%20sign&#233;es\MARIE-LOUISE%20Nathalie.pdf" TargetMode="External"/><Relationship Id="rId64" Type="http://schemas.openxmlformats.org/officeDocument/2006/relationships/hyperlink" Target="file:///C:\Users\frederique.marsan\AppData\Local\Microsoft\Windows\INetCache\Content.Outlook\OCGQVXFE\Conventions%20de%20t&#233;l&#233;travail%20sign&#233;es\WEHBE%20Carla.pdf" TargetMode="External"/><Relationship Id="rId118" Type="http://schemas.openxmlformats.org/officeDocument/2006/relationships/hyperlink" Target="file:///C:\Users\nathalie.poyet\AppData\Local\Microsoft\Windows\INetCache\Content.Outlook\ISESNFHA\Conventions%20de%20t&#233;l&#233;travail%20sign&#233;es\MARTINEZ%20Madeline.pdf" TargetMode="External"/><Relationship Id="rId139" Type="http://schemas.openxmlformats.org/officeDocument/2006/relationships/hyperlink" Target="file:///C:\Users\nathalie.poyet\AppData\Local\Microsoft\Windows\INetCache\Content.Outlook\ISESNFHA\Conventions%20de%20t&#233;l&#233;travail%20sign&#233;es\BUISSON%20Florianne.pdf" TargetMode="External"/><Relationship Id="rId85" Type="http://schemas.openxmlformats.org/officeDocument/2006/relationships/hyperlink" Target="file:///C:\Users\nathalie.poyet\AppData\Local\Microsoft\Windows\INetCache\Content.Outlook\ISESNFHA\Conventions%20de%20t&#233;l&#233;travail%20sign&#233;es\FRASCA%20G&#233;raldine.pdf" TargetMode="External"/><Relationship Id="rId150" Type="http://schemas.openxmlformats.org/officeDocument/2006/relationships/hyperlink" Target="file:///C:\Users\nathalie.poyet\AppData\Local\Microsoft\Windows\INetCache\Content.Outlook\ISESNFHA\Conventions%20de%20t&#233;l&#233;travail%20sign&#233;es\LARDY%20Marine.pdf" TargetMode="External"/><Relationship Id="rId171" Type="http://schemas.openxmlformats.org/officeDocument/2006/relationships/hyperlink" Target="file:///C:\Users\frederique.marsan\AppData\Local\Microsoft\Windows\INetCache\Content.Outlook\OCGQVXFE\Conventions%20de%20t&#233;l&#233;travail%20sign&#233;es\GILLE%20Yoann.pdf" TargetMode="External"/><Relationship Id="rId192" Type="http://schemas.openxmlformats.org/officeDocument/2006/relationships/hyperlink" Target="file:///C:\Users\frederique.marsan\AppData\Local\Microsoft\Windows\INetCache\Content.Outlook\OCGQVXFE\Conventions%20de%20t&#233;l&#233;travail%20sign&#233;es\BRUERE%20St&#233;phane.pdf" TargetMode="External"/><Relationship Id="rId206" Type="http://schemas.openxmlformats.org/officeDocument/2006/relationships/hyperlink" Target="file:///C:\Users\frederique.marsan\AppData\Local\Microsoft\Windows\INetCache\Content.Outlook\OCGQVXFE\Conventions%20de%20t&#233;l&#233;travail%20sign&#233;es\TURINE%20Melody.pdf" TargetMode="External"/><Relationship Id="rId12" Type="http://schemas.openxmlformats.org/officeDocument/2006/relationships/hyperlink" Target="file:///C:\Users\frederique.marsan\AppData\Local\Microsoft\Windows\INetCache\Content.Outlook\OCGQVXFE\Conventions%20de%20t&#233;l&#233;travail%20sign&#233;es\TROUILLOUD%20Fr&#233;d&#233;rique.pdf" TargetMode="External"/><Relationship Id="rId33" Type="http://schemas.openxmlformats.org/officeDocument/2006/relationships/hyperlink" Target="file:///C:\Users\frederique.marsan\AppData\Local\Microsoft\Windows\INetCache\Content.Outlook\OCGQVXFE\Conventions%20de%20t&#233;l&#233;travail%20sign&#233;es\PERRIN%20Alice.pdf" TargetMode="External"/><Relationship Id="rId108" Type="http://schemas.openxmlformats.org/officeDocument/2006/relationships/hyperlink" Target="file:///C:\Users\nathalie.poyet\AppData\Local\Microsoft\Windows\INetCache\Content.Outlook\ISESNFHA\Conventions%20de%20t&#233;l&#233;travail%20sign&#233;es\DUCHET%20Esp&#233;rance.pdf" TargetMode="External"/><Relationship Id="rId129" Type="http://schemas.openxmlformats.org/officeDocument/2006/relationships/hyperlink" Target="file:///C:\Users\nathalie.poyet\AppData\Local\Microsoft\Windows\INetCache\Content.Outlook\ISESNFHA\Conventions%20de%20t&#233;l&#233;travail%20sign&#233;es\MARSAN%20Fr&#233;d&#233;rique.pdf" TargetMode="External"/><Relationship Id="rId54" Type="http://schemas.openxmlformats.org/officeDocument/2006/relationships/hyperlink" Target="file:///C:\Users\frederique.marsan\AppData\Local\Microsoft\Windows\INetCache\Content.Outlook\OCGQVXFE\Conventions%20de%20t&#233;l&#233;travail%20sign&#233;es\BREART%20Thierry.pdf" TargetMode="External"/><Relationship Id="rId75" Type="http://schemas.openxmlformats.org/officeDocument/2006/relationships/hyperlink" Target="file:///C:\Users\nathalie.poyet\AppData\Local\Microsoft\Windows\INetCache\Content.Outlook\ISESNFHA\Conventions%20de%20t&#233;l&#233;travail%20sign&#233;es\BASTIDE%20Anne-Laure.pdf" TargetMode="External"/><Relationship Id="rId96" Type="http://schemas.openxmlformats.org/officeDocument/2006/relationships/hyperlink" Target="file:///C:\Users\nathalie.poyet\AppData\Local\Microsoft\Windows\INetCache\Content.Outlook\ISESNFHA\Conventions%20de%20t&#233;l&#233;travail%20sign&#233;es\KRAWIEC%20Guillaume.pdf" TargetMode="External"/><Relationship Id="rId140" Type="http://schemas.openxmlformats.org/officeDocument/2006/relationships/hyperlink" Target="file:///C:\Users\nathalie.poyet\AppData\Local\Microsoft\Windows\INetCache\Content.Outlook\ISESNFHA\Conventions%20de%20t&#233;l&#233;travail%20sign&#233;es\DE%20NAGY%20BUDAN%20ROZAIN%20David-Krisztian.pdf" TargetMode="External"/><Relationship Id="rId161" Type="http://schemas.openxmlformats.org/officeDocument/2006/relationships/hyperlink" Target="file:///C:\Users\nathalie.poyet\AppData\Local\Microsoft\Windows\INetCache\Content.Outlook\ISESNFHA\Conventions%20de%20t&#233;l&#233;travail%20sign&#233;es\ARNAUD%20Jean-Baptiste.pdf" TargetMode="External"/><Relationship Id="rId182" Type="http://schemas.openxmlformats.org/officeDocument/2006/relationships/hyperlink" Target="file:///C:\Users\frederique.marsan\AppData\Local\Microsoft\Windows\INetCache\Content.Outlook\OCGQVXFE\Conventions%20de%20t&#233;l&#233;travail%20sign&#233;es\PETIT%20Eric.pdf" TargetMode="External"/><Relationship Id="rId217" Type="http://schemas.openxmlformats.org/officeDocument/2006/relationships/hyperlink" Target="file:///C:\Users\frederique.marsan\AppData\Local\Microsoft\Windows\INetCache\Content.Outlook\OCGQVXFE\Conventions%20de%20t&#233;l&#233;travail%20sign&#233;es\CAZENEUVE%20Herv&#233;.pdf" TargetMode="External"/><Relationship Id="rId6" Type="http://schemas.openxmlformats.org/officeDocument/2006/relationships/hyperlink" Target="file:///C:\Users\frederique.marsan\AppData\Local\Microsoft\Windows\INetCache\Content.Outlook\OCGQVXFE\Conventions%20de%20t&#233;l&#233;travail%20sign&#233;es\TROUILLOUD%20Fr&#233;d&#233;rique.pdf" TargetMode="External"/><Relationship Id="rId23" Type="http://schemas.openxmlformats.org/officeDocument/2006/relationships/hyperlink" Target="file:///C:\Users\frederique.marsan\AppData\Local\Microsoft\Windows\INetCache\Content.Outlook\OCGQVXFE\Conventions%20de%20t&#233;l&#233;travail%20sign&#233;es\DURAND-PETIT%20Anne.pdf" TargetMode="External"/><Relationship Id="rId119" Type="http://schemas.openxmlformats.org/officeDocument/2006/relationships/hyperlink" Target="file:///C:\Users\nathalie.poyet\AppData\Local\Microsoft\Windows\INetCache\Content.Outlook\ISESNFHA\Conventions%20de%20t&#233;l&#233;travail%20sign&#233;es\BONHOMME%20Laurence.pdf" TargetMode="External"/><Relationship Id="rId44" Type="http://schemas.openxmlformats.org/officeDocument/2006/relationships/hyperlink" Target="file:///C:\Users\frederique.marsan\AppData\Local\Microsoft\Windows\INetCache\Content.Outlook\OCGQVXFE\Conventions%20de%20t&#233;l&#233;travail%20sign&#233;es\FOUILLOUX%20David.pdf" TargetMode="External"/><Relationship Id="rId65" Type="http://schemas.openxmlformats.org/officeDocument/2006/relationships/hyperlink" Target="file:///C:\Users\frederique.marsan\AppData\Local\Microsoft\Windows\INetCache\Content.Outlook\OCGQVXFE\Conventions%20de%20t&#233;l&#233;travail%20sign&#233;es\CAPUANO%20Jean-Louis.pdf" TargetMode="External"/><Relationship Id="rId86" Type="http://schemas.openxmlformats.org/officeDocument/2006/relationships/hyperlink" Target="file:///C:\Users\nathalie.poyet\AppData\Local\Microsoft\Windows\INetCache\Content.Outlook\ISESNFHA\Conventions%20de%20t&#233;l&#233;travail%20sign&#233;es\DAVY%20Claire.pdf" TargetMode="External"/><Relationship Id="rId130" Type="http://schemas.openxmlformats.org/officeDocument/2006/relationships/hyperlink" Target="file:///C:\Users\nathalie.poyet\AppData\Local\Microsoft\Windows\INetCache\Content.Outlook\ISESNFHA\Conventions%20de%20t&#233;l&#233;travail%20sign&#233;es\BOURGOIN%20Anne.pdf" TargetMode="External"/><Relationship Id="rId151" Type="http://schemas.openxmlformats.org/officeDocument/2006/relationships/hyperlink" Target="file:///C:\Users\nathalie.poyet\AppData\Local\Microsoft\Windows\INetCache\Content.Outlook\ISESNFHA\Conventions%20de%20t&#233;l&#233;travail%20sign&#233;es\KEALA%20Sarah.pdf" TargetMode="External"/><Relationship Id="rId172" Type="http://schemas.openxmlformats.org/officeDocument/2006/relationships/hyperlink" Target="file:///C:\Users\frederique.marsan\AppData\Local\Microsoft\Windows\INetCache\Content.Outlook\OCGQVXFE\Conventions%20de%20t&#233;l&#233;travail%20sign&#233;es\HAMDADOU%20Morgane.pdf" TargetMode="External"/><Relationship Id="rId193" Type="http://schemas.openxmlformats.org/officeDocument/2006/relationships/hyperlink" Target="file:///C:\Users\frederique.marsan\AppData\Local\Microsoft\Windows\INetCache\Content.Outlook\OCGQVXFE\Conventions%20de%20t&#233;l&#233;travail%20sign&#233;es\BURDIN%20Val&#233;rie.pdf" TargetMode="External"/><Relationship Id="rId207" Type="http://schemas.openxmlformats.org/officeDocument/2006/relationships/hyperlink" Target="file:///C:\Users\frederique.marsan\AppData\Local\Microsoft\Windows\INetCache\Content.Outlook\OCGQVXFE\Conventions%20de%20t&#233;l&#233;travail%20sign&#233;es\MARTORANA%20Chlo&#233;.pdf" TargetMode="External"/><Relationship Id="rId13" Type="http://schemas.openxmlformats.org/officeDocument/2006/relationships/hyperlink" Target="file:///C:\Users\frederique.marsan\AppData\Local\Microsoft\Windows\INetCache\Content.Outlook\OCGQVXFE\Conventions%20de%20t&#233;l&#233;travail%20sign&#233;es\LAGREE%20Sandrine.pdf" TargetMode="External"/><Relationship Id="rId109" Type="http://schemas.openxmlformats.org/officeDocument/2006/relationships/hyperlink" Target="file:///C:\Users\nathalie.poyet\AppData\Local\Microsoft\Windows\INetCache\Content.Outlook\ISESNFHA\Conventions%20de%20t&#233;l&#233;travail%20sign&#233;es\GAUTHIER%20Gilbert.pdf" TargetMode="External"/><Relationship Id="rId34" Type="http://schemas.openxmlformats.org/officeDocument/2006/relationships/hyperlink" Target="file:///C:\Users\frederique.marsan\AppData\Local\Microsoft\Windows\INetCache\Content.Outlook\OCGQVXFE\Conventions%20de%20t&#233;l&#233;travail%20sign&#233;es\BOCQUIER%20Alexandre.pdf" TargetMode="External"/><Relationship Id="rId55" Type="http://schemas.openxmlformats.org/officeDocument/2006/relationships/hyperlink" Target="file:///C:\Users\frederique.marsan\AppData\Local\Microsoft\Windows\INetCache\Content.Outlook\OCGQVXFE\Conventions%20de%20t&#233;l&#233;travail%20sign&#233;es\PERRIN%20Elisabeth.pdf" TargetMode="External"/><Relationship Id="rId76" Type="http://schemas.openxmlformats.org/officeDocument/2006/relationships/hyperlink" Target="file:///C:\Users\nathalie.poyet\AppData\Local\Microsoft\Windows\INetCache\Content.Outlook\ISESNFHA\Conventions%20de%20t&#233;l&#233;travail%20sign&#233;es\LOPEZ%20Catherine.pdf" TargetMode="External"/><Relationship Id="rId97" Type="http://schemas.openxmlformats.org/officeDocument/2006/relationships/hyperlink" Target="file:///C:\Users\nathalie.poyet\AppData\Local\Microsoft\Windows\INetCache\Content.Outlook\ISESNFHA\Conventions%20de%20t&#233;l&#233;travail%20sign&#233;es\VALLIER%20Christine.pdf" TargetMode="External"/><Relationship Id="rId120" Type="http://schemas.openxmlformats.org/officeDocument/2006/relationships/hyperlink" Target="file:///C:\Users\nathalie.poyet\AppData\Local\Microsoft\Windows\INetCache\Content.Outlook\ISESNFHA\Conventions%20de%20t&#233;l&#233;travail%20sign&#233;es\EL%20AJMI%20Houaida.pdf" TargetMode="External"/><Relationship Id="rId141" Type="http://schemas.openxmlformats.org/officeDocument/2006/relationships/hyperlink" Target="file:///C:\Users\nathalie.poyet\AppData\Local\Microsoft\Windows\INetCache\Content.Outlook\ISESNFHA\Conventions%20de%20t&#233;l&#233;travail%20sign&#233;es\HERNANDEZ%20Peggy.pdf" TargetMode="External"/><Relationship Id="rId7" Type="http://schemas.openxmlformats.org/officeDocument/2006/relationships/hyperlink" Target="file:///C:\Users\frederique.marsan\AppData\Local\Microsoft\Windows\INetCache\Content.Outlook\OCGQVXFE\Conventions%20de%20t&#233;l&#233;travail%20sign&#233;es\DAVENNE%20Sahra.pdf" TargetMode="External"/><Relationship Id="rId162" Type="http://schemas.openxmlformats.org/officeDocument/2006/relationships/hyperlink" Target="file:///C:\Users\nathalie.poyet\AppData\Local\Microsoft\Windows\INetCache\Content.Outlook\ISESNFHA\Conventions%20de%20t&#233;l&#233;travail%20sign&#233;es\CLOSA%20Antonio.pdf" TargetMode="External"/><Relationship Id="rId183" Type="http://schemas.openxmlformats.org/officeDocument/2006/relationships/hyperlink" Target="file:///C:\Users\frederique.marsan\AppData\Local\Microsoft\Windows\INetCache\Content.Outlook\OCGQVXFE\Conventions%20de%20t&#233;l&#233;travail%20sign&#233;es\RAY-MEKHLOUFI%20Sophie.pdf" TargetMode="External"/><Relationship Id="rId218" Type="http://schemas.openxmlformats.org/officeDocument/2006/relationships/hyperlink" Target="file:///C:\Users\frederique.marsan\AppData\Local\Microsoft\Windows\INetCache\Content.Outlook\OCGQVXFE\Conventions%20de%20t&#233;l&#233;travail%20sign&#233;es\MERROUCHE%20Fatma.pdf" TargetMode="External"/><Relationship Id="rId24" Type="http://schemas.openxmlformats.org/officeDocument/2006/relationships/hyperlink" Target="file:///C:\Users\frederique.marsan\AppData\Local\Microsoft\Windows\INetCache\Content.Outlook\OCGQVXFE\Conventions%20de%20t&#233;l&#233;travail%20sign&#233;es\USECHE%20GUERRERO%20Gael%20D&#233;sir&#233;e.pdf" TargetMode="External"/><Relationship Id="rId45" Type="http://schemas.openxmlformats.org/officeDocument/2006/relationships/hyperlink" Target="file:///C:\Users\frederique.marsan\AppData\Local\Microsoft\Windows\INetCache\Content.Outlook\OCGQVXFE\Conventions%20de%20t&#233;l&#233;travail%20sign&#233;es\CAUCHY%20Laurence.pdf" TargetMode="External"/><Relationship Id="rId66" Type="http://schemas.openxmlformats.org/officeDocument/2006/relationships/hyperlink" Target="file:///C:\Users\nathalie.poyet\AppData\Local\Microsoft\Windows\INetCache\Content.Outlook\ISESNFHA\Conventions%20de%20t&#233;l&#233;travail%20sign&#233;es\BUGIN%20Lea.pdf" TargetMode="External"/><Relationship Id="rId87" Type="http://schemas.openxmlformats.org/officeDocument/2006/relationships/hyperlink" Target="file:///C:\Users\nathalie.poyet\AppData\Local\Microsoft\Windows\INetCache\Content.Outlook\ISESNFHA\Conventions%20de%20t&#233;l&#233;travail%20sign&#233;es\NADER%20Georges.pdf" TargetMode="External"/><Relationship Id="rId110" Type="http://schemas.openxmlformats.org/officeDocument/2006/relationships/hyperlink" Target="file:///C:\Users\nathalie.poyet\AppData\Local\Microsoft\Windows\INetCache\Content.Outlook\ISESNFHA\Conventions%20de%20t&#233;l&#233;travail%20sign&#233;es\DELPLANQUE%20Magali.pdf" TargetMode="External"/><Relationship Id="rId131" Type="http://schemas.openxmlformats.org/officeDocument/2006/relationships/hyperlink" Target="file:///C:\Users\nathalie.poyet\AppData\Local\Microsoft\Windows\INetCache\Content.Outlook\ISESNFHA\Conventions%20de%20t&#233;l&#233;travail%20sign&#233;es\MACHABERT%20Olivier.pdf" TargetMode="External"/><Relationship Id="rId152" Type="http://schemas.openxmlformats.org/officeDocument/2006/relationships/hyperlink" Target="file:///C:\Users\nathalie.poyet\AppData\Local\Microsoft\Windows\INetCache\Content.Outlook\ISESNFHA\Conventions%20de%20t&#233;l&#233;travail%20sign&#233;es\METHIVIER%20Loic.pdf" TargetMode="External"/><Relationship Id="rId173" Type="http://schemas.openxmlformats.org/officeDocument/2006/relationships/hyperlink" Target="file:///C:\Users\frederique.marsan\AppData\Local\Microsoft\Windows\INetCache\Content.Outlook\OCGQVXFE\Conventions%20de%20t&#233;l&#233;travail%20sign&#233;es\JANDOT%20G&#233;raldine.pdf" TargetMode="External"/><Relationship Id="rId194" Type="http://schemas.openxmlformats.org/officeDocument/2006/relationships/hyperlink" Target="file:///C:\Users\frederique.marsan\AppData\Local\Microsoft\Windows\INetCache\Content.Outlook\OCGQVXFE\Conventions%20de%20t&#233;l&#233;travail%20sign&#233;es\COMBRE-JEAN%20Virginie.pdf" TargetMode="External"/><Relationship Id="rId208" Type="http://schemas.openxmlformats.org/officeDocument/2006/relationships/hyperlink" Target="file:///C:\Users\frederique.marsan\AppData\Local\Microsoft\Windows\INetCache\Content.Outlook\OCGQVXFE\Conventions%20de%20t&#233;l&#233;travail%20sign&#233;es\VIDBERG%20Eric.pdf" TargetMode="External"/><Relationship Id="rId14" Type="http://schemas.openxmlformats.org/officeDocument/2006/relationships/hyperlink" Target="file:///C:\Users\frederique.marsan\AppData\Local\Microsoft\Windows\INetCache\Content.Outlook\OCGQVXFE\Conventions%20de%20t&#233;l&#233;travail%20sign&#233;es\BOUIS%20Sonia.pdf" TargetMode="External"/><Relationship Id="rId35" Type="http://schemas.openxmlformats.org/officeDocument/2006/relationships/hyperlink" Target="file:///C:\Users\frederique.marsan\AppData\Local\Microsoft\Windows\INetCache\Content.Outlook\OCGQVXFE\Conventions%20de%20t&#233;l&#233;travail%20sign&#233;es\HEDDAJI%20Walid.pdf" TargetMode="External"/><Relationship Id="rId56" Type="http://schemas.openxmlformats.org/officeDocument/2006/relationships/hyperlink" Target="file:///C:\Users\frederique.marsan\AppData\Local\Microsoft\Windows\INetCache\Content.Outlook\OCGQVXFE\Conventions%20de%20t&#233;l&#233;travail%20sign&#233;es\PEYSIEUX%20Nathalie.pdf" TargetMode="External"/><Relationship Id="rId77" Type="http://schemas.openxmlformats.org/officeDocument/2006/relationships/hyperlink" Target="file:///C:\Users\nathalie.poyet\AppData\Local\Microsoft\Windows\INetCache\Content.Outlook\ISESNFHA\Conventions%20de%20t&#233;l&#233;travail%20sign&#233;es\JENDOUBI%20Ylh&#232;me.pdf" TargetMode="External"/><Relationship Id="rId100" Type="http://schemas.openxmlformats.org/officeDocument/2006/relationships/hyperlink" Target="file:///C:\Users\nathalie.poyet\AppData\Local\Microsoft\Windows\INetCache\Content.Outlook\ISESNFHA\Conventions%20de%20t&#233;l&#233;travail%20sign&#233;es\CARTIER%20Aurore.pdf" TargetMode="External"/><Relationship Id="rId8" Type="http://schemas.openxmlformats.org/officeDocument/2006/relationships/hyperlink" Target="file:///C:\Users\frederique.marsan\AppData\Local\Microsoft\Windows\INetCache\Content.Outlook\OCGQVXFE\Conventions%20de%20t&#233;l&#233;travail%20sign&#233;es\BAYOUD%20Elodie.pdf" TargetMode="External"/><Relationship Id="rId51" Type="http://schemas.openxmlformats.org/officeDocument/2006/relationships/hyperlink" Target="file:///C:\Users\frederique.marsan\AppData\Local\Microsoft\Windows\INetCache\Content.Outlook\OCGQVXFE\Conventions%20de%20t&#233;l&#233;travail%20sign&#233;es\THOLLOT%20Anne-Laure.pdf" TargetMode="External"/><Relationship Id="rId72" Type="http://schemas.openxmlformats.org/officeDocument/2006/relationships/hyperlink" Target="file:///C:\Users\nathalie.poyet\AppData\Local\Microsoft\Windows\INetCache\Content.Outlook\ISESNFHA\Conventions%20de%20t&#233;l&#233;travail%20sign&#233;es\LEGROS%20Elise.pdf" TargetMode="External"/><Relationship Id="rId93" Type="http://schemas.openxmlformats.org/officeDocument/2006/relationships/hyperlink" Target="file:///C:\Users\nathalie.poyet\AppData\Local\Microsoft\Windows\INetCache\Content.Outlook\ISESNFHA\Conventions%20de%20t&#233;l&#233;travail%20sign&#233;es\MEDINA%20Wilfrid.pdf" TargetMode="External"/><Relationship Id="rId98" Type="http://schemas.openxmlformats.org/officeDocument/2006/relationships/hyperlink" Target="file:///C:\Users\nathalie.poyet\AppData\Local\Microsoft\Windows\INetCache\Content.Outlook\ISESNFHA\Conventions%20de%20t&#233;l&#233;travail%20sign&#233;es\DARLIN%20Christine.pdf" TargetMode="External"/><Relationship Id="rId121" Type="http://schemas.openxmlformats.org/officeDocument/2006/relationships/hyperlink" Target="file:///C:\Users\nathalie.poyet\AppData\Local\Microsoft\Windows\INetCache\Content.Outlook\ISESNFHA\Conventions%20de%20t&#233;l&#233;travail%20sign&#233;es\MEDKOUR%20Sofia.pdf" TargetMode="External"/><Relationship Id="rId142" Type="http://schemas.openxmlformats.org/officeDocument/2006/relationships/hyperlink" Target="file:///C:\Users\nathalie.poyet\AppData\Local\Microsoft\Windows\INetCache\Content.Outlook\ISESNFHA\Conventions%20de%20t&#233;l&#233;travail%20sign&#233;es\SIMOND%20Onda-Marina.pdf" TargetMode="External"/><Relationship Id="rId163" Type="http://schemas.openxmlformats.org/officeDocument/2006/relationships/hyperlink" Target="file:///C:\Users\frederique.marsan\AppData\Local\Microsoft\Windows\INetCache\Content.Outlook\OCGQVXFE\Conventions%20de%20t&#233;l&#233;travail%20sign&#233;es\BADAKHCH%20Babak.pdf" TargetMode="External"/><Relationship Id="rId184" Type="http://schemas.openxmlformats.org/officeDocument/2006/relationships/hyperlink" Target="file:///C:\Users\frederique.marsan\AppData\Local\Microsoft\Windows\INetCache\Content.Outlook\OCGQVXFE\Conventions%20de%20t&#233;l&#233;travail%20sign&#233;es\TOURNIER%20Florence.pdf" TargetMode="External"/><Relationship Id="rId189" Type="http://schemas.openxmlformats.org/officeDocument/2006/relationships/hyperlink" Target="file:///C:\Users\frederique.marsan\AppData\Local\Microsoft\Windows\INetCache\Content.Outlook\OCGQVXFE\Conventions%20de%20t&#233;l&#233;travail%20sign&#233;es\ORTILLEZ%20Chantal.pdf" TargetMode="External"/><Relationship Id="rId219" Type="http://schemas.openxmlformats.org/officeDocument/2006/relationships/printerSettings" Target="../printerSettings/printerSettings5.bin"/><Relationship Id="rId3" Type="http://schemas.openxmlformats.org/officeDocument/2006/relationships/hyperlink" Target="file:///C:\Users\frederique.marsan\AppData\Local\Microsoft\Windows\INetCache\Content.Outlook\OCGQVXFE\Conventions%20de%20t&#233;l&#233;travail%20sign&#233;es\CORNET%20Carole.pdf" TargetMode="External"/><Relationship Id="rId214" Type="http://schemas.openxmlformats.org/officeDocument/2006/relationships/hyperlink" Target="file:///C:\Users\frederique.marsan\AppData\Local\Microsoft\Windows\INetCache\Content.Outlook\OCGQVXFE\Conventions%20de%20t&#233;l&#233;travail%20sign&#233;es\GHIOTTI%20Laurence.pdf" TargetMode="External"/><Relationship Id="rId25" Type="http://schemas.openxmlformats.org/officeDocument/2006/relationships/hyperlink" Target="file:///C:\Users\frederique.marsan\AppData\Local\Microsoft\Windows\INetCache\Content.Outlook\OCGQVXFE\Conventions%20de%20t&#233;l&#233;travail%20sign&#233;es\FOURNIER%20Rebecca.pdf" TargetMode="External"/><Relationship Id="rId46" Type="http://schemas.openxmlformats.org/officeDocument/2006/relationships/hyperlink" Target="file:///C:\Users\frederique.marsan\AppData\Local\Microsoft\Windows\INetCache\Content.Outlook\OCGQVXFE\Conventions%20de%20t&#233;l&#233;travail%20sign&#233;es\MARTEL%20Val&#233;rie.pdf" TargetMode="External"/><Relationship Id="rId67" Type="http://schemas.openxmlformats.org/officeDocument/2006/relationships/hyperlink" Target="file:///C:\Users\nathalie.poyet\AppData\Local\Microsoft\Windows\INetCache\Content.Outlook\ISESNFHA\Conventions%20de%20t&#233;l&#233;travail%20sign&#233;es\KHAMASSI%20Emmanuelle.pdf" TargetMode="External"/><Relationship Id="rId116" Type="http://schemas.openxmlformats.org/officeDocument/2006/relationships/hyperlink" Target="file:///C:\Users\nathalie.poyet\AppData\Local\Microsoft\Windows\INetCache\Content.Outlook\ISESNFHA\Conventions%20de%20t&#233;l&#233;travail%20sign&#233;es\BERGAMASCHI%20GAIGNEROT%20St&#233;phanie.pdf" TargetMode="External"/><Relationship Id="rId137" Type="http://schemas.openxmlformats.org/officeDocument/2006/relationships/hyperlink" Target="file:///C:\Users\nathalie.poyet\AppData\Local\Microsoft\Windows\INetCache\Content.Outlook\ISESNFHA\Conventions%20de%20t&#233;l&#233;travail%20sign&#233;es\HDIA%20Slah.pdf" TargetMode="External"/><Relationship Id="rId158" Type="http://schemas.openxmlformats.org/officeDocument/2006/relationships/hyperlink" Target="file:///C:\Users\nathalie.poyet\AppData\Local\Microsoft\Windows\INetCache\Content.Outlook\ISESNFHA\Conventions%20de%20t&#233;l&#233;travail%20sign&#233;es\DESROUSSEAUX%20Virginie.pdf" TargetMode="External"/><Relationship Id="rId20" Type="http://schemas.openxmlformats.org/officeDocument/2006/relationships/hyperlink" Target="file:///C:\Users\frederique.marsan\AppData\Local\Microsoft\Windows\INetCache\Content.Outlook\OCGQVXFE\Conventions%20de%20t&#233;l&#233;travail%20sign&#233;es\GAMOND%20Isabelle.pdf" TargetMode="External"/><Relationship Id="rId41" Type="http://schemas.openxmlformats.org/officeDocument/2006/relationships/hyperlink" Target="file:///C:\Users\frederique.marsan\AppData\Local\Microsoft\Windows\INetCache\Content.Outlook\OCGQVXFE\Conventions%20de%20t&#233;l&#233;travail%20sign&#233;es\CODINA%20Alexandra.pdf" TargetMode="External"/><Relationship Id="rId62" Type="http://schemas.openxmlformats.org/officeDocument/2006/relationships/hyperlink" Target="file:///C:\Users\frederique.marsan\AppData\Local\Microsoft\Windows\INetCache\Content.Outlook\OCGQVXFE\Conventions%20de%20t&#233;l&#233;travail%20sign&#233;es\PARMENTIER%20Catherine.pdf" TargetMode="External"/><Relationship Id="rId83" Type="http://schemas.openxmlformats.org/officeDocument/2006/relationships/hyperlink" Target="file:///C:\Users\nathalie.poyet\AppData\Local\Microsoft\Windows\INetCache\Content.Outlook\ISESNFHA\Conventions%20de%20t&#233;l&#233;travail%20sign&#233;es\VALLAT%20Damien.pdf" TargetMode="External"/><Relationship Id="rId88" Type="http://schemas.openxmlformats.org/officeDocument/2006/relationships/hyperlink" Target="file:///C:\Users\nathalie.poyet\AppData\Local\Microsoft\Windows\INetCache\Content.Outlook\ISESNFHA\Conventions%20de%20t&#233;l&#233;travail%20sign&#233;es\THIVICHON-PRINCE%20Moulkheir.pdf" TargetMode="External"/><Relationship Id="rId111" Type="http://schemas.openxmlformats.org/officeDocument/2006/relationships/hyperlink" Target="file:///C:\Users\nathalie.poyet\AppData\Local\Microsoft\Windows\INetCache\Content.Outlook\ISESNFHA\Conventions%20de%20t&#233;l&#233;travail%20sign&#233;es\DA%20SILVA%20Chryst&#232;le.pdf" TargetMode="External"/><Relationship Id="rId132" Type="http://schemas.openxmlformats.org/officeDocument/2006/relationships/hyperlink" Target="file:///C:\Users\nathalie.poyet\AppData\Local\Microsoft\Windows\INetCache\Content.Outlook\ISESNFHA\Conventions%20de%20t&#233;l&#233;travail%20sign&#233;es\BOUCHER%20Marie-Th&#233;r&#232;se.pdf" TargetMode="External"/><Relationship Id="rId153" Type="http://schemas.openxmlformats.org/officeDocument/2006/relationships/hyperlink" Target="file:///C:\Users\nathalie.poyet\AppData\Local\Microsoft\Windows\INetCache\Content.Outlook\ISESNFHA\Conventions%20de%20t&#233;l&#233;travail%20sign&#233;es\DOUET%20Emilie.pdf" TargetMode="External"/><Relationship Id="rId174" Type="http://schemas.openxmlformats.org/officeDocument/2006/relationships/hyperlink" Target="file:///C:\Users\frederique.marsan\AppData\Local\Microsoft\Windows\INetCache\Content.Outlook\OCGQVXFE\Conventions%20de%20t&#233;l&#233;travail%20sign&#233;es\LEBOUC%20Christophe.pdf" TargetMode="External"/><Relationship Id="rId179" Type="http://schemas.openxmlformats.org/officeDocument/2006/relationships/hyperlink" Target="file:///C:\Users\frederique.marsan\AppData\Local\Microsoft\Windows\INetCache\Content.Outlook\OCGQVXFE\Conventions%20de%20t&#233;l&#233;travail%20sign&#233;es\MERONO%20Aur&#233;lien.pdf" TargetMode="External"/><Relationship Id="rId195" Type="http://schemas.openxmlformats.org/officeDocument/2006/relationships/hyperlink" Target="file:///C:\Users\frederique.marsan\AppData\Local\Microsoft\Windows\INetCache\Content.Outlook\OCGQVXFE\Conventions%20de%20t&#233;l&#233;travail%20sign&#233;es\DELOCHE%20Marie-Edith.pdf" TargetMode="External"/><Relationship Id="rId209" Type="http://schemas.openxmlformats.org/officeDocument/2006/relationships/hyperlink" Target="file:///C:\Users\frederique.marsan\AppData\Local\Microsoft\Windows\INetCache\Content.Outlook\OCGQVXFE\Conventions%20de%20t&#233;l&#233;travail%20sign&#233;es\VIGNERESSE%20Thibaud.pdf" TargetMode="External"/><Relationship Id="rId190" Type="http://schemas.openxmlformats.org/officeDocument/2006/relationships/hyperlink" Target="file:///C:\Users\frederique.marsan\AppData\Local\Microsoft\Windows\INetCache\Content.Outlook\OCGQVXFE\Conventions%20de%20t&#233;l&#233;travail%20sign&#233;es\PISTON%20Patricia.pdf" TargetMode="External"/><Relationship Id="rId204" Type="http://schemas.openxmlformats.org/officeDocument/2006/relationships/hyperlink" Target="file:///C:\Users\frederique.marsan\AppData\Local\Microsoft\Windows\INetCache\Content.Outlook\OCGQVXFE\Conventions%20de%20t&#233;l&#233;travail%20sign&#233;es\CORDIER%20Laura.pdf" TargetMode="External"/><Relationship Id="rId220" Type="http://schemas.openxmlformats.org/officeDocument/2006/relationships/drawing" Target="../drawings/drawing5.xml"/><Relationship Id="rId15" Type="http://schemas.openxmlformats.org/officeDocument/2006/relationships/hyperlink" Target="file:///C:\Users\frederique.marsan\AppData\Local\Microsoft\Windows\INetCache\Content.Outlook\OCGQVXFE\Conventions%20de%20t&#233;l&#233;travail%20sign&#233;es\FEBVRET%20V&#233;ronique.pdf" TargetMode="External"/><Relationship Id="rId36" Type="http://schemas.openxmlformats.org/officeDocument/2006/relationships/hyperlink" Target="file:///C:\Users\frederique.marsan\AppData\Local\Microsoft\Windows\INetCache\Content.Outlook\OCGQVXFE\Conventions%20de%20t&#233;l&#233;travail%20sign&#233;es\PIEGAY%20Gaetan.pdf" TargetMode="External"/><Relationship Id="rId57" Type="http://schemas.openxmlformats.org/officeDocument/2006/relationships/hyperlink" Target="file:///C:\Users\frederique.marsan\AppData\Local\Microsoft\Windows\INetCache\Content.Outlook\OCGQVXFE\Conventions%20de%20t&#233;l&#233;travail%20sign&#233;es\FERNANDES%20J&#233;r&#233;mie.pdf" TargetMode="External"/><Relationship Id="rId106" Type="http://schemas.openxmlformats.org/officeDocument/2006/relationships/hyperlink" Target="file:///C:\Users\nathalie.poyet\AppData\Local\Microsoft\Windows\INetCache\Content.Outlook\ISESNFHA\Conventions%20de%20t&#233;l&#233;travail%20sign&#233;es\AMENEIRO%20ALVAREZ%20Manuel.pdf" TargetMode="External"/><Relationship Id="rId127" Type="http://schemas.openxmlformats.org/officeDocument/2006/relationships/hyperlink" Target="file:///C:\Users\nathalie.poyet\AppData\Local\Microsoft\Windows\INetCache\Content.Outlook\ISESNFHA\Conventions%20de%20t&#233;l&#233;travail%20sign&#233;es\PONS%20Eric.pdf" TargetMode="External"/><Relationship Id="rId10" Type="http://schemas.openxmlformats.org/officeDocument/2006/relationships/hyperlink" Target="file:///C:\Users\frederique.marsan\AppData\Local\Microsoft\Windows\INetCache\Content.Outlook\OCGQVXFE\Conventions%20de%20t&#233;l&#233;travail%20sign&#233;es\DANG%20Hong%20Khanh.pdf" TargetMode="External"/><Relationship Id="rId31" Type="http://schemas.openxmlformats.org/officeDocument/2006/relationships/hyperlink" Target="file:///C:\Users\frederique.marsan\AppData\Local\Microsoft\Windows\INetCache\Content.Outlook\OCGQVXFE\Conventions%20de%20t&#233;l&#233;travail%20sign&#233;es\ALLEMONIERE%20Marie.pdf" TargetMode="External"/><Relationship Id="rId52" Type="http://schemas.openxmlformats.org/officeDocument/2006/relationships/hyperlink" Target="file:///C:\Users\frederique.marsan\AppData\Local\Microsoft\Windows\INetCache\Content.Outlook\OCGQVXFE\Conventions%20de%20t&#233;l&#233;travail%20sign&#233;es\DAVASSOU%20Jessica.pdf" TargetMode="External"/><Relationship Id="rId73" Type="http://schemas.openxmlformats.org/officeDocument/2006/relationships/hyperlink" Target="file:///C:\Users\nathalie.poyet\AppData\Local\Microsoft\Windows\INetCache\Content.Outlook\ISESNFHA\Conventions%20de%20t&#233;l&#233;travail%20sign&#233;es\BERLANDI%20Marie-Jos&#233;.pdf" TargetMode="External"/><Relationship Id="rId78" Type="http://schemas.openxmlformats.org/officeDocument/2006/relationships/hyperlink" Target="file:///C:\Users\nathalie.poyet\AppData\Local\Microsoft\Windows\INetCache\Content.Outlook\ISESNFHA\Conventions%20de%20t&#233;l&#233;travail%20sign&#233;es\BLAU%20Fabrice.pdf" TargetMode="External"/><Relationship Id="rId94" Type="http://schemas.openxmlformats.org/officeDocument/2006/relationships/hyperlink" Target="file:///C:\Users\nathalie.poyet\AppData\Local\Microsoft\Windows\INetCache\Content.Outlook\ISESNFHA\Conventions%20de%20t&#233;l&#233;travail%20sign&#233;es\CHARBONNIER%20Jessica.pdf" TargetMode="External"/><Relationship Id="rId99" Type="http://schemas.openxmlformats.org/officeDocument/2006/relationships/hyperlink" Target="file:///C:\Users\nathalie.poyet\AppData\Local\Microsoft\Windows\INetCache\Content.Outlook\ISESNFHA\Conventions%20de%20t&#233;l&#233;travail%20sign&#233;es\ROUANET-TOURINEL%20Jean-Pierre.pdf" TargetMode="External"/><Relationship Id="rId101" Type="http://schemas.openxmlformats.org/officeDocument/2006/relationships/hyperlink" Target="file:///C:\Users\nathalie.poyet\AppData\Local\Microsoft\Windows\INetCache\Content.Outlook\ISESNFHA\Conventions%20de%20t&#233;l&#233;travail%20sign&#233;es\DOUBLET%20Elsa.pdf" TargetMode="External"/><Relationship Id="rId122" Type="http://schemas.openxmlformats.org/officeDocument/2006/relationships/hyperlink" Target="file:///C:\Users\nathalie.poyet\AppData\Local\Microsoft\Windows\INetCache\Content.Outlook\ISESNFHA\Conventions%20de%20t&#233;l&#233;travail%20sign&#233;es\ARCIERO%20Aline.pdf" TargetMode="External"/><Relationship Id="rId143" Type="http://schemas.openxmlformats.org/officeDocument/2006/relationships/hyperlink" Target="file:///C:\Users\nathalie.poyet\AppData\Local\Microsoft\Windows\INetCache\Content.Outlook\ISESNFHA\Conventions%20de%20t&#233;l&#233;travail%20sign&#233;es\LEDEAN%20Cyrille.pdf" TargetMode="External"/><Relationship Id="rId148" Type="http://schemas.openxmlformats.org/officeDocument/2006/relationships/hyperlink" Target="file:///C:\Users\nathalie.poyet\AppData\Local\Microsoft\Windows\INetCache\Content.Outlook\ISESNFHA\Conventions%20de%20t&#233;l&#233;travail%20sign&#233;es\SAHLI%20Alida.pdf" TargetMode="External"/><Relationship Id="rId164" Type="http://schemas.openxmlformats.org/officeDocument/2006/relationships/hyperlink" Target="file:///C:\Users\frederique.marsan\AppData\Local\Microsoft\Windows\INetCache\Content.Outlook\OCGQVXFE\Conventions%20de%20t&#233;l&#233;travail%20sign&#233;es\CASTEL-FERRY%20Isabelle.pdf" TargetMode="External"/><Relationship Id="rId169" Type="http://schemas.openxmlformats.org/officeDocument/2006/relationships/hyperlink" Target="file:///C:\Users\frederique.marsan\AppData\Local\Microsoft\Windows\INetCache\Content.Outlook\OCGQVXFE\Conventions%20de%20t&#233;l&#233;travail%20sign&#233;es\EDOM%20Anais.pdf" TargetMode="External"/><Relationship Id="rId185" Type="http://schemas.openxmlformats.org/officeDocument/2006/relationships/hyperlink" Target="file:///C:\Users\frederique.marsan\AppData\Local\Microsoft\Windows\INetCache\Content.Outlook\OCGQVXFE\Conventions%20de%20t&#233;l&#233;travail%20sign&#233;es\BENEYTON%20Audrey.pdf" TargetMode="External"/><Relationship Id="rId4" Type="http://schemas.openxmlformats.org/officeDocument/2006/relationships/hyperlink" Target="file:///C:\Users\frederique.marsan\AppData\Local\Microsoft\Windows\INetCache\Content.Outlook\OCGQVXFE\Conventions%20de%20t&#233;l&#233;travail%20sign&#233;es\BONIN%20Christine.pdf" TargetMode="External"/><Relationship Id="rId9" Type="http://schemas.openxmlformats.org/officeDocument/2006/relationships/hyperlink" Target="file:///C:\Users\frederique.marsan\AppData\Local\Microsoft\Windows\INetCache\Content.Outlook\OCGQVXFE\Conventions%20de%20t&#233;l&#233;travail%20sign&#233;es\REVERAND%20Graziella.pdf" TargetMode="External"/><Relationship Id="rId180" Type="http://schemas.openxmlformats.org/officeDocument/2006/relationships/hyperlink" Target="file:///C:\Users\frederique.marsan\AppData\Local\Microsoft\Windows\INetCache\Content.Outlook\OCGQVXFE\Conventions%20de%20t&#233;l&#233;travail%20sign&#233;es\MOHAMMEDI%20Anissa.pdf" TargetMode="External"/><Relationship Id="rId210" Type="http://schemas.openxmlformats.org/officeDocument/2006/relationships/hyperlink" Target="file:///C:\Users\frederique.marsan\AppData\Local\Microsoft\Windows\INetCache\Content.Outlook\OCGQVXFE\Conventions%20de%20t&#233;l&#233;travail%20sign&#233;es\BESOIN-BRUNEL%20Florence.pdf" TargetMode="External"/><Relationship Id="rId215" Type="http://schemas.openxmlformats.org/officeDocument/2006/relationships/hyperlink" Target="file:///C:\Users\frederique.marsan\AppData\Local\Microsoft\Windows\INetCache\Content.Outlook\OCGQVXFE\Conventions%20de%20t&#233;l&#233;travail%20sign&#233;es\MAEYHIEUX%20Isabelle.pdf" TargetMode="External"/><Relationship Id="rId26" Type="http://schemas.openxmlformats.org/officeDocument/2006/relationships/hyperlink" Target="file:///C:\Users\frederique.marsan\AppData\Local\Microsoft\Windows\INetCache\Content.Outlook\OCGQVXFE\Conventions%20de%20t&#233;l&#233;travail%20sign&#233;es\PANCINI%20Jacqueline.pdf" TargetMode="External"/><Relationship Id="rId47" Type="http://schemas.openxmlformats.org/officeDocument/2006/relationships/hyperlink" Target="file:///C:\Users\frederique.marsan\AppData\Local\Microsoft\Windows\INetCache\Content.Outlook\OCGQVXFE\Conventions%20de%20t&#233;l&#233;travail%20sign&#233;es\JALICON%20Laurent.pdf" TargetMode="External"/><Relationship Id="rId68" Type="http://schemas.openxmlformats.org/officeDocument/2006/relationships/hyperlink" Target="file:///C:\Users\nathalie.poyet\AppData\Local\Microsoft\Windows\INetCache\Content.Outlook\ISESNFHA\Conventions%20de%20t&#233;l&#233;travail%20sign&#233;es\GRECH%20Dani&#232;le.pdf" TargetMode="External"/><Relationship Id="rId89" Type="http://schemas.openxmlformats.org/officeDocument/2006/relationships/hyperlink" Target="file:///C:\Users\nathalie.poyet\AppData\Local\Microsoft\Windows\INetCache\Content.Outlook\ISESNFHA\Conventions%20de%20t&#233;l&#233;travail%20sign&#233;es\BOURGET-MESSIN%20Laurence.pdf" TargetMode="External"/><Relationship Id="rId112" Type="http://schemas.openxmlformats.org/officeDocument/2006/relationships/hyperlink" Target="file:///C:\Users\nathalie.poyet\AppData\Local\Microsoft\Windows\INetCache\Content.Outlook\ISESNFHA\Conventions%20de%20t&#233;l&#233;travail%20sign&#233;es\RECHATIN%20Charlotte.pdf" TargetMode="External"/><Relationship Id="rId133" Type="http://schemas.openxmlformats.org/officeDocument/2006/relationships/hyperlink" Target="file:///C:\Users\nathalie.poyet\AppData\Local\Microsoft\Windows\INetCache\Content.Outlook\ISESNFHA\Conventions%20de%20t&#233;l&#233;travail%20sign&#233;es\AUTIN-GAILLARD%20Christelle.pdf" TargetMode="External"/><Relationship Id="rId154" Type="http://schemas.openxmlformats.org/officeDocument/2006/relationships/hyperlink" Target="file:///C:\Users\nathalie.poyet\AppData\Local\Microsoft\Windows\INetCache\Content.Outlook\ISESNFHA\Conventions%20de%20t&#233;l&#233;travail%20sign&#233;es\KOUAHLA%20Kenza.pdf" TargetMode="External"/><Relationship Id="rId175" Type="http://schemas.openxmlformats.org/officeDocument/2006/relationships/hyperlink" Target="file:///C:\Users\frederique.marsan\AppData\Local\Microsoft\Windows\INetCache\Content.Outlook\OCGQVXFE\Conventions%20de%20t&#233;l&#233;travail%20sign&#233;es\LENOEL%20Audrey.pdf" TargetMode="External"/><Relationship Id="rId196" Type="http://schemas.openxmlformats.org/officeDocument/2006/relationships/hyperlink" Target="file:///C:\Users\frederique.marsan\AppData\Local\Microsoft\Windows\INetCache\Content.Outlook\OCGQVXFE\Conventions%20de%20t&#233;l&#233;travail%20sign&#233;es\DONJON%20Nathalie.pdf" TargetMode="External"/><Relationship Id="rId200" Type="http://schemas.openxmlformats.org/officeDocument/2006/relationships/hyperlink" Target="file:///C:\Users\frederique.marsan\AppData\Local\Microsoft\Windows\INetCache\Content.Outlook\OCGQVXFE\Conventions%20de%20t&#233;l&#233;travail%20sign&#233;es\JANVIER%20Houda.pdf" TargetMode="External"/><Relationship Id="rId16" Type="http://schemas.openxmlformats.org/officeDocument/2006/relationships/hyperlink" Target="file:///C:\Users\frederique.marsan\AppData\Local\Microsoft\Windows\INetCache\Content.Outlook\OCGQVXFE\Conventions%20de%20t&#233;l&#233;travail%20sign&#233;es\JULLIEN-COTTARD%20Odile.pdf" TargetMode="External"/><Relationship Id="rId221" Type="http://schemas.openxmlformats.org/officeDocument/2006/relationships/vmlDrawing" Target="../drawings/vmlDrawing2.vml"/><Relationship Id="rId37" Type="http://schemas.openxmlformats.org/officeDocument/2006/relationships/hyperlink" Target="file:///C:\Users\frederique.marsan\AppData\Local\Microsoft\Windows\INetCache\Content.Outlook\OCGQVXFE\Conventions%20de%20t&#233;l&#233;travail%20sign&#233;es\SOLEILLAND%20Eric.pdf" TargetMode="External"/><Relationship Id="rId58" Type="http://schemas.openxmlformats.org/officeDocument/2006/relationships/hyperlink" Target="file:///C:\Users\frederique.marsan\AppData\Local\Microsoft\Windows\INetCache\Content.Outlook\OCGQVXFE\Conventions%20de%20t&#233;l&#233;travail%20sign&#233;es\CLERC%20Ren&#233;.pdf" TargetMode="External"/><Relationship Id="rId79" Type="http://schemas.openxmlformats.org/officeDocument/2006/relationships/hyperlink" Target="file:///C:\Users\nathalie.poyet\AppData\Local\Microsoft\Windows\INetCache\Content.Outlook\ISESNFHA\Conventions%20de%20t&#233;l&#233;travail%20sign&#233;es\SOY-RAVASSON%20S&#233;verine.pdf" TargetMode="External"/><Relationship Id="rId102" Type="http://schemas.openxmlformats.org/officeDocument/2006/relationships/hyperlink" Target="file:///C:\Users\nathalie.poyet\AppData\Local\Microsoft\Windows\INetCache\Content.Outlook\ISESNFHA\Conventions%20de%20t&#233;l&#233;travail%20sign&#233;es\BEROUD%20COURTIAL%20Isabelle.pdf" TargetMode="External"/><Relationship Id="rId123" Type="http://schemas.openxmlformats.org/officeDocument/2006/relationships/hyperlink" Target="file:///C:\Users\nathalie.poyet\AppData\Local\Microsoft\Windows\INetCache\Content.Outlook\ISESNFHA\Conventions%20de%20t&#233;l&#233;travail%20sign&#233;es\MENNELLA%20Doroth&#233;e.pdf" TargetMode="External"/><Relationship Id="rId144" Type="http://schemas.openxmlformats.org/officeDocument/2006/relationships/hyperlink" Target="file:///C:\Users\nathalie.poyet\AppData\Local\Microsoft\Windows\INetCache\Content.Outlook\ISESNFHA\Conventions%20de%20t&#233;l&#233;travail%20sign&#233;es\HERCHET%20Sandrine.pdf" TargetMode="External"/><Relationship Id="rId90" Type="http://schemas.openxmlformats.org/officeDocument/2006/relationships/hyperlink" Target="file:///C:\Users\nathalie.poyet\AppData\Local\Microsoft\Windows\INetCache\Content.Outlook\ISESNFHA\Conventions%20de%20t&#233;l&#233;travail%20sign&#233;es\GUEYE%20Ousmane.pdf" TargetMode="External"/><Relationship Id="rId165" Type="http://schemas.openxmlformats.org/officeDocument/2006/relationships/hyperlink" Target="file:///C:\Users\frederique.marsan\AppData\Local\Microsoft\Windows\INetCache\Content.Outlook\OCGQVXFE\Conventions%20de%20t&#233;l&#233;travail%20sign&#233;es\CHADIER%20Christine.pdf" TargetMode="External"/><Relationship Id="rId186" Type="http://schemas.openxmlformats.org/officeDocument/2006/relationships/hyperlink" Target="file:///C:\Users\frederique.marsan\AppData\Local\Microsoft\Windows\INetCache\Content.Outlook\OCGQVXFE\Conventions%20de%20t&#233;l&#233;travail%20sign&#233;es\CAO%20Xueyang.pdf" TargetMode="External"/><Relationship Id="rId211" Type="http://schemas.openxmlformats.org/officeDocument/2006/relationships/hyperlink" Target="file:///C:\Users\frederique.marsan\AppData\Local\Microsoft\Windows\INetCache\Content.Outlook\OCGQVXFE\Conventions%20de%20t&#233;l&#233;travail%20sign&#233;es\MIGNOT%20Lionel.pdf" TargetMode="External"/><Relationship Id="rId27" Type="http://schemas.openxmlformats.org/officeDocument/2006/relationships/hyperlink" Target="file:///C:\Users\frederique.marsan\AppData\Local\Microsoft\Windows\INetCache\Content.Outlook\OCGQVXFE\Conventions%20de%20t&#233;l&#233;travail%20sign&#233;es\ASTIER%20Annie.pdf" TargetMode="External"/><Relationship Id="rId48" Type="http://schemas.openxmlformats.org/officeDocument/2006/relationships/hyperlink" Target="file:///C:\Users\frederique.marsan\AppData\Local\Microsoft\Windows\INetCache\Content.Outlook\OCGQVXFE\Conventions%20de%20t&#233;l&#233;travail%20sign&#233;es\DUCHANAUD%20Val&#233;rie.pdf" TargetMode="External"/><Relationship Id="rId69" Type="http://schemas.openxmlformats.org/officeDocument/2006/relationships/hyperlink" Target="file:///C:\Users\nathalie.poyet\AppData\Local\Microsoft\Windows\INetCache\Content.Outlook\ISESNFHA\Conventions%20de%20t&#233;l&#233;travail%20sign&#233;es\BOINON%20Ann'Laure.pdf" TargetMode="External"/><Relationship Id="rId113" Type="http://schemas.openxmlformats.org/officeDocument/2006/relationships/hyperlink" Target="file:///C:\Users\nathalie.poyet\AppData\Local\Microsoft\Windows\INetCache\Content.Outlook\ISESNFHA\Conventions%20de%20t&#233;l&#233;travail%20sign&#233;es\ROBLES%20Camille.pdf" TargetMode="External"/><Relationship Id="rId134" Type="http://schemas.openxmlformats.org/officeDocument/2006/relationships/hyperlink" Target="file:///C:\Users\nathalie.poyet\AppData\Local\Microsoft\Windows\INetCache\Content.Outlook\ISESNFHA\Conventions%20de%20t&#233;l&#233;travail%20sign&#233;es\JACQUOT%20Chantal.pdf" TargetMode="External"/><Relationship Id="rId80" Type="http://schemas.openxmlformats.org/officeDocument/2006/relationships/hyperlink" Target="file:///C:\Users\nathalie.poyet\AppData\Local\Microsoft\Windows\INetCache\Content.Outlook\ISESNFHA\Conventions%20de%20t&#233;l&#233;travail%20sign&#233;es\MANCEAU%20Silva.pdf" TargetMode="External"/><Relationship Id="rId155" Type="http://schemas.openxmlformats.org/officeDocument/2006/relationships/hyperlink" Target="file:///C:\Users\nathalie.poyet\AppData\Local\Microsoft\Windows\INetCache\Content.Outlook\ISESNFHA\Conventions%20de%20t&#233;l&#233;travail%20sign&#233;es\GASMI%20Nabila.pdf" TargetMode="External"/><Relationship Id="rId176" Type="http://schemas.openxmlformats.org/officeDocument/2006/relationships/hyperlink" Target="file:///C:\Users\frederique.marsan\AppData\Local\Microsoft\Windows\INetCache\Content.Outlook\OCGQVXFE\Conventions%20de%20t&#233;l&#233;travail%20sign&#233;es\LOZANORIOS%20Fr&#233;d&#233;rique.pdf" TargetMode="External"/><Relationship Id="rId197" Type="http://schemas.openxmlformats.org/officeDocument/2006/relationships/hyperlink" Target="file:///C:\Users\frederique.marsan\AppData\Local\Microsoft\Windows\INetCache\Content.Outlook\OCGQVXFE\Conventions%20de%20t&#233;l&#233;travail%20sign&#233;es\FABRE%20Armelle.pdf" TargetMode="External"/><Relationship Id="rId201" Type="http://schemas.openxmlformats.org/officeDocument/2006/relationships/hyperlink" Target="file:///C:\Users\frederique.marsan\AppData\Local\Microsoft\Windows\INetCache\Content.Outlook\OCGQVXFE\Conventions%20de%20t&#233;l&#233;travail%20sign&#233;es\RAJON%20Dany.pdf" TargetMode="External"/><Relationship Id="rId222" Type="http://schemas.openxmlformats.org/officeDocument/2006/relationships/table" Target="../tables/table5.xml"/><Relationship Id="rId17" Type="http://schemas.openxmlformats.org/officeDocument/2006/relationships/hyperlink" Target="file:///C:\Users\frederique.marsan\AppData\Local\Microsoft\Windows\INetCache\Content.Outlook\OCGQVXFE\Conventions%20de%20t&#233;l&#233;travail%20sign&#233;es\VIALARON%20Laurence.pdf" TargetMode="External"/><Relationship Id="rId38" Type="http://schemas.openxmlformats.org/officeDocument/2006/relationships/hyperlink" Target="file:///C:\Users\frederique.marsan\AppData\Local\Microsoft\Windows\INetCache\Content.Outlook\OCGQVXFE\Conventions%20de%20t&#233;l&#233;travail%20sign&#233;es\THIEVENAZ%20Estelle.pdf" TargetMode="External"/><Relationship Id="rId59" Type="http://schemas.openxmlformats.org/officeDocument/2006/relationships/hyperlink" Target="file:///C:\Users\frederique.marsan\AppData\Local\Microsoft\Windows\INetCache\Content.Outlook\OCGQVXFE\Conventions%20de%20t&#233;l&#233;travail%20sign&#233;es\GUILLEN-GAMERO%20Marie-Th&#233;r&#232;se.pdf" TargetMode="External"/><Relationship Id="rId103" Type="http://schemas.openxmlformats.org/officeDocument/2006/relationships/hyperlink" Target="file:///C:\Users\nathalie.poyet\AppData\Local\Microsoft\Windows\INetCache\Content.Outlook\ISESNFHA\Conventions%20de%20t&#233;l&#233;travail%20sign&#233;es\GADOU%20S&#233;bastien.pdf" TargetMode="External"/><Relationship Id="rId124" Type="http://schemas.openxmlformats.org/officeDocument/2006/relationships/hyperlink" Target="file:///C:\Users\nathalie.poyet\AppData\Local\Microsoft\Windows\INetCache\Content.Outlook\ISESNFHA\Conventions%20de%20t&#233;l&#233;travail%20sign&#233;es\LISCHETTI%20H&#233;l&#232;ne.pdf" TargetMode="External"/><Relationship Id="rId70" Type="http://schemas.openxmlformats.org/officeDocument/2006/relationships/hyperlink" Target="file:///C:\Users\nathalie.poyet\AppData\Local\Microsoft\Windows\INetCache\Content.Outlook\ISESNFHA\Conventions%20de%20t&#233;l&#233;travail%20sign&#233;es\PRAZ%20Brigitte.pdf" TargetMode="External"/><Relationship Id="rId91" Type="http://schemas.openxmlformats.org/officeDocument/2006/relationships/hyperlink" Target="file:///C:\Users\nathalie.poyet\AppData\Local\Microsoft\Windows\INetCache\Content.Outlook\ISESNFHA\Conventions%20de%20t&#233;l&#233;travail%20sign&#233;es\RAMIANDRISOA%20Nalisoa.pdf" TargetMode="External"/><Relationship Id="rId145" Type="http://schemas.openxmlformats.org/officeDocument/2006/relationships/hyperlink" Target="file:///C:\Users\nathalie.poyet\AppData\Local\Microsoft\Windows\INetCache\Content.Outlook\ISESNFHA\Conventions%20de%20t&#233;l&#233;travail%20sign&#233;es\YANG%20Xiao%20Lucien.pdf" TargetMode="External"/><Relationship Id="rId166" Type="http://schemas.openxmlformats.org/officeDocument/2006/relationships/hyperlink" Target="file:///C:\Users\frederique.marsan\AppData\Local\Microsoft\Windows\INetCache\Content.Outlook\OCGQVXFE\Conventions%20de%20t&#233;l&#233;travail%20sign&#233;es\DE%20NAGY%20BUDAN%20ROZAIN%20Nathalie.pdf" TargetMode="External"/><Relationship Id="rId187" Type="http://schemas.openxmlformats.org/officeDocument/2006/relationships/hyperlink" Target="file:///C:\Users\frederique.marsan\AppData\Local\Microsoft\Windows\INetCache\Content.Outlook\OCGQVXFE\Conventions%20de%20t&#233;l&#233;travail%20sign&#233;es\FERRERONS%20Fabienne.pdf" TargetMode="External"/><Relationship Id="rId1" Type="http://schemas.openxmlformats.org/officeDocument/2006/relationships/hyperlink" Target="file:///C:\Users\frederique.marsan\AppData\Local\Microsoft\Windows\INetCache\Content.Outlook\OCGQVXFE\Conventions%20de%20t&#233;l&#233;travail%20sign&#233;es\CHARLAS%20Joseph-Michel.pdf" TargetMode="External"/><Relationship Id="rId212" Type="http://schemas.openxmlformats.org/officeDocument/2006/relationships/hyperlink" Target="file:///C:\Users\frederique.marsan\AppData\Local\Microsoft\Windows\INetCache\Content.Outlook\OCGQVXFE\Conventions%20de%20t&#233;l&#233;travail%20sign&#233;es\HOHMANN%20Pierre.pdf" TargetMode="External"/><Relationship Id="rId28" Type="http://schemas.openxmlformats.org/officeDocument/2006/relationships/hyperlink" Target="file:///C:\Users\frederique.marsan\AppData\Local\Microsoft\Windows\INetCache\Content.Outlook\OCGQVXFE\Conventions%20de%20t&#233;l&#233;travail%20sign&#233;es\CLAITTE%20Isabelle.pdf" TargetMode="External"/><Relationship Id="rId49" Type="http://schemas.openxmlformats.org/officeDocument/2006/relationships/hyperlink" Target="file:///C:\Users\frederique.marsan\AppData\Local\Microsoft\Windows\INetCache\Content.Outlook\OCGQVXFE\Conventions%20de%20t&#233;l&#233;travail%20sign&#233;es\HABBAZ-RAHEM%20Didier.pdf" TargetMode="External"/><Relationship Id="rId114" Type="http://schemas.openxmlformats.org/officeDocument/2006/relationships/hyperlink" Target="file:///C:\Users\nathalie.poyet\AppData\Local\Microsoft\Windows\INetCache\Content.Outlook\ISESNFHA\Conventions%20de%20t&#233;l&#233;travail%20sign&#233;es\MOLINA%20Magalie.pdf" TargetMode="External"/><Relationship Id="rId60" Type="http://schemas.openxmlformats.org/officeDocument/2006/relationships/hyperlink" Target="file:///C:\Users\frederique.marsan\AppData\Local\Microsoft\Windows\INetCache\Content.Outlook\OCGQVXFE\Conventions%20de%20t&#233;l&#233;travail%20sign&#233;es\PELAZZO-PLAT%20Val&#233;rie.pdf" TargetMode="External"/><Relationship Id="rId81" Type="http://schemas.openxmlformats.org/officeDocument/2006/relationships/hyperlink" Target="file:///C:\Users\nathalie.poyet\AppData\Local\Microsoft\Windows\INetCache\Content.Outlook\ISESNFHA\Conventions%20de%20t&#233;l&#233;travail%20sign&#233;es\REMANDE%20Emmanuelle.pdf" TargetMode="External"/><Relationship Id="rId135" Type="http://schemas.openxmlformats.org/officeDocument/2006/relationships/hyperlink" Target="file:///C:\Users\nathalie.poyet\AppData\Local\Microsoft\Windows\INetCache\Content.Outlook\ISESNFHA\Conventions%20de%20t&#233;l&#233;travail%20sign&#233;es\BOUTOT%20Sandrine.pdf" TargetMode="External"/><Relationship Id="rId156" Type="http://schemas.openxmlformats.org/officeDocument/2006/relationships/hyperlink" Target="file:///C:\Users\nathalie.poyet\AppData\Local\Microsoft\Windows\INetCache\Content.Outlook\ISESNFHA\Conventions%20de%20t&#233;l&#233;travail%20sign&#233;es\GASMI%20Mabrouka.pdf" TargetMode="External"/><Relationship Id="rId177" Type="http://schemas.openxmlformats.org/officeDocument/2006/relationships/hyperlink" Target="file:///C:\Users\frederique.marsan\AppData\Local\Microsoft\Windows\INetCache\Content.Outlook\OCGQVXFE\Conventions%20de%20t&#233;l&#233;travail%20sign&#233;es\LUCZAK%20L&#233;a.pdf" TargetMode="External"/><Relationship Id="rId198" Type="http://schemas.openxmlformats.org/officeDocument/2006/relationships/hyperlink" Target="file:///C:\Users\frederique.marsan\AppData\Local\Microsoft\Windows\INetCache\Content.Outlook\OCGQVXFE\Conventions%20de%20t&#233;l&#233;travail%20sign&#233;es\GERLAND%20Fr&#233;d&#233;ric.pdf" TargetMode="External"/><Relationship Id="rId202" Type="http://schemas.openxmlformats.org/officeDocument/2006/relationships/hyperlink" Target="file:///C:\Users\frederique.marsan\AppData\Local\Microsoft\Windows\INetCache\Content.Outlook\OCGQVXFE\Conventions%20de%20t&#233;l&#233;travail%20sign&#233;es\STOIAN%20Anca-Laura.pdf" TargetMode="External"/><Relationship Id="rId223" Type="http://schemas.openxmlformats.org/officeDocument/2006/relationships/comments" Target="../comments2.xml"/><Relationship Id="rId18" Type="http://schemas.openxmlformats.org/officeDocument/2006/relationships/hyperlink" Target="file:///C:\Users\frederique.marsan\AppData\Local\Microsoft\Windows\INetCache\Content.Outlook\OCGQVXFE\Conventions%20de%20t&#233;l&#233;travail%20sign&#233;es\BERTRAND%20Val&#233;rie.pdf" TargetMode="External"/><Relationship Id="rId39" Type="http://schemas.openxmlformats.org/officeDocument/2006/relationships/hyperlink" Target="file:///C:\Users\frederique.marsan\AppData\Local\Microsoft\Windows\INetCache\Content.Outlook\OCGQVXFE\Conventions%20de%20t&#233;l&#233;travail%20sign&#233;es\TOPALIAN%20Philippe.pdf" TargetMode="External"/><Relationship Id="rId50" Type="http://schemas.openxmlformats.org/officeDocument/2006/relationships/hyperlink" Target="file:///C:\Users\frederique.marsan\AppData\Local\Microsoft\Windows\INetCache\Content.Outlook\OCGQVXFE\Conventions%20de%20t&#233;l&#233;travail%20sign&#233;es\DESPLANS%20Mathilde.pdf" TargetMode="External"/><Relationship Id="rId104" Type="http://schemas.openxmlformats.org/officeDocument/2006/relationships/hyperlink" Target="file:///C:\Users\nathalie.poyet\AppData\Local\Microsoft\Windows\INetCache\Content.Outlook\ISESNFHA\Conventions%20de%20t&#233;l&#233;travail%20sign&#233;es\COURTIAL%20Gilles.pdf" TargetMode="External"/><Relationship Id="rId125" Type="http://schemas.openxmlformats.org/officeDocument/2006/relationships/hyperlink" Target="file:///C:\Users\nathalie.poyet\AppData\Local\Microsoft\Windows\INetCache\Content.Outlook\ISESNFHA\Conventions%20de%20t&#233;l&#233;travail%20sign&#233;es\GUILLIN-BLANC%20C&#233;line.pdf" TargetMode="External"/><Relationship Id="rId146" Type="http://schemas.openxmlformats.org/officeDocument/2006/relationships/hyperlink" Target="file:///C:\Users\nathalie.poyet\AppData\Local\Microsoft\Windows\INetCache\Content.Outlook\ISESNFHA\Conventions%20de%20t&#233;l&#233;travail%20sign&#233;es\CHEVALLIER%20Camille.pdf" TargetMode="External"/><Relationship Id="rId167" Type="http://schemas.openxmlformats.org/officeDocument/2006/relationships/hyperlink" Target="file:///C:\Users\frederique.marsan\AppData\Local\Microsoft\Windows\INetCache\Content.Outlook\OCGQVXFE\Conventions%20de%20t&#233;l&#233;travail%20sign&#233;es\DE%20OCHANDIANO%20Jean-Luc.pdf" TargetMode="External"/><Relationship Id="rId188" Type="http://schemas.openxmlformats.org/officeDocument/2006/relationships/hyperlink" Target="file:///C:\Users\frederique.marsan\AppData\Local\Microsoft\Windows\INetCache\Content.Outlook\OCGQVXFE\Conventions%20de%20t&#233;l&#233;travail%20sign&#233;es\FLECHET%20Magali.pdf" TargetMode="External"/><Relationship Id="rId71" Type="http://schemas.openxmlformats.org/officeDocument/2006/relationships/hyperlink" Target="file:///C:\Users\nathalie.poyet\AppData\Local\Microsoft\Windows\INetCache\Content.Outlook\ISESNFHA\Conventions%20de%20t&#233;l&#233;travail%20sign&#233;es\SINZ%20Karine.pdf" TargetMode="External"/><Relationship Id="rId92" Type="http://schemas.openxmlformats.org/officeDocument/2006/relationships/hyperlink" Target="file:///C:\Users\nathalie.poyet\AppData\Local\Microsoft\Windows\INetCache\Content.Outlook\ISESNFHA\Conventions%20de%20t&#233;l&#233;travail%20sign&#233;es\VICTOIRE%20Isabelle.pdf" TargetMode="External"/><Relationship Id="rId213" Type="http://schemas.openxmlformats.org/officeDocument/2006/relationships/hyperlink" Target="file:///C:\Users\frederique.marsan\AppData\Local\Microsoft\Windows\INetCache\Content.Outlook\OCGQVXFE\Conventions%20de%20t&#233;l&#233;travail%20sign&#233;es\GASMI%20Alexandra.pdf" TargetMode="External"/><Relationship Id="rId2" Type="http://schemas.openxmlformats.org/officeDocument/2006/relationships/hyperlink" Target="file:///C:\Users\frederique.marsan\AppData\Local\Microsoft\Windows\INetCache\Content.Outlook\OCGQVXFE\Conventions%20de%20t&#233;l&#233;travail%20sign&#233;es\POYET%20Nathalie.pdf" TargetMode="External"/><Relationship Id="rId29" Type="http://schemas.openxmlformats.org/officeDocument/2006/relationships/hyperlink" Target="file:///C:\Users\frederique.marsan\AppData\Local\Microsoft\Windows\INetCache\Content.Outlook\OCGQVXFE\Conventions%20de%20t&#233;l&#233;travail%20sign&#233;es\EDO%20Maria-Paula.pdf" TargetMode="External"/><Relationship Id="rId40" Type="http://schemas.openxmlformats.org/officeDocument/2006/relationships/hyperlink" Target="file:///C:\Users\frederique.marsan\AppData\Local\Microsoft\Windows\INetCache\Content.Outlook\OCGQVXFE\Conventions%20de%20t&#233;l&#233;travail%20sign&#233;es\LAVOUE-LESNE%20Marina.pdf" TargetMode="External"/><Relationship Id="rId115" Type="http://schemas.openxmlformats.org/officeDocument/2006/relationships/hyperlink" Target="file:///C:\Users\nathalie.poyet\AppData\Local\Microsoft\Windows\INetCache\Content.Outlook\ISESNFHA\Conventions%20de%20t&#233;l&#233;travail%20sign&#233;es\VINCENT%20Marl&#232;ne.pdf" TargetMode="External"/><Relationship Id="rId136" Type="http://schemas.openxmlformats.org/officeDocument/2006/relationships/hyperlink" Target="file:///C:\Users\nathalie.poyet\AppData\Local\Microsoft\Windows\INetCache\Content.Outlook\ISESNFHA\Conventions%20de%20t&#233;l&#233;travail%20sign&#233;es\ASTREOUD%20Lionel.pdf" TargetMode="External"/><Relationship Id="rId157" Type="http://schemas.openxmlformats.org/officeDocument/2006/relationships/hyperlink" Target="file:///C:\Users\nathalie.poyet\AppData\Local\Microsoft\Windows\INetCache\Content.Outlook\ISESNFHA\Conventions%20de%20t&#233;l&#233;travail%20sign&#233;es\RINALDI%20Pascal.pdf" TargetMode="External"/><Relationship Id="rId178" Type="http://schemas.openxmlformats.org/officeDocument/2006/relationships/hyperlink" Target="file:///C:\Users\frederique.marsan\AppData\Local\Microsoft\Windows\INetCache\Content.Outlook\OCGQVXFE\Conventions%20de%20t&#233;l&#233;travail%20sign&#233;es\MARTINEZ%20Marc.pdf" TargetMode="External"/><Relationship Id="rId61" Type="http://schemas.openxmlformats.org/officeDocument/2006/relationships/hyperlink" Target="file:///C:\Users\frederique.marsan\AppData\Local\Microsoft\Windows\INetCache\Content.Outlook\OCGQVXFE\Conventions%20de%20t&#233;l&#233;travail%20sign&#233;es\SCHMITT%20Marie-Isabelle.pdf" TargetMode="External"/><Relationship Id="rId82" Type="http://schemas.openxmlformats.org/officeDocument/2006/relationships/hyperlink" Target="file:///C:\Users\nathalie.poyet\AppData\Local\Microsoft\Windows\INetCache\Content.Outlook\ISESNFHA\Conventions%20de%20t&#233;l&#233;travail%20sign&#233;es\ABGRALL%20C&#233;cile.pdf" TargetMode="External"/><Relationship Id="rId199" Type="http://schemas.openxmlformats.org/officeDocument/2006/relationships/hyperlink" Target="file:///C:\Users\frederique.marsan\AppData\Local\Microsoft\Windows\INetCache\Content.Outlook\OCGQVXFE\Conventions%20de%20t&#233;l&#233;travail%20sign&#233;es\GUEHO%20Anne-Sophie.pdf" TargetMode="External"/><Relationship Id="rId203" Type="http://schemas.openxmlformats.org/officeDocument/2006/relationships/hyperlink" Target="file:///C:\Users\frederique.marsan\AppData\Local\Microsoft\Windows\INetCache\Content.Outlook\OCGQVXFE\Conventions%20de%20t&#233;l&#233;travail%20sign&#233;es\WAWRZYNIAK%20Sophie.pdf" TargetMode="External"/><Relationship Id="rId19" Type="http://schemas.openxmlformats.org/officeDocument/2006/relationships/hyperlink" Target="file:///C:\Users\frederique.marsan\AppData\Local\Microsoft\Windows\INetCache\Content.Outlook\OCGQVXFE\Conventions%20de%20t&#233;l&#233;travail%20sign&#233;es\BARATIN%20Aude.pdf" TargetMode="External"/><Relationship Id="rId30" Type="http://schemas.openxmlformats.org/officeDocument/2006/relationships/hyperlink" Target="file:///C:\Users\frederique.marsan\AppData\Local\Microsoft\Windows\INetCache\Content.Outlook\OCGQVXFE\Conventions%20de%20t&#233;l&#233;travail%20sign&#233;es\HMIMID%20Fatima.pdf" TargetMode="External"/><Relationship Id="rId105" Type="http://schemas.openxmlformats.org/officeDocument/2006/relationships/hyperlink" Target="file:///C:\Users\nathalie.poyet\AppData\Local\Microsoft\Windows\INetCache\Content.Outlook\ISESNFHA\Conventions%20de%20t&#233;l&#233;travail%20sign&#233;es\CROUZET%20Olivier.pdf" TargetMode="External"/><Relationship Id="rId126" Type="http://schemas.openxmlformats.org/officeDocument/2006/relationships/hyperlink" Target="file:///C:\Users\nathalie.poyet\AppData\Local\Microsoft\Windows\INetCache\Content.Outlook\ISESNFHA\Conventions%20de%20t&#233;l&#233;travail%20sign&#233;es\BERTHIER%20Anne-Sophie.pdf" TargetMode="External"/><Relationship Id="rId147" Type="http://schemas.openxmlformats.org/officeDocument/2006/relationships/hyperlink" Target="file:///C:\Users\nathalie.poyet\AppData\Local\Microsoft\Windows\INetCache\Content.Outlook\ISESNFHA\Conventions%20de%20t&#233;l&#233;travail%20sign&#233;es\BELOT%20Laetitia.pdf" TargetMode="External"/><Relationship Id="rId168" Type="http://schemas.openxmlformats.org/officeDocument/2006/relationships/hyperlink" Target="file:///C:\Users\frederique.marsan\AppData\Local\Microsoft\Windows\INetCache\Content.Outlook\OCGQVXFE\Conventions%20de%20t&#233;l&#233;travail%20sign&#233;es\DEBAYLE%20REVOL%20Sylvie.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C:\Users\frederique.marsan\AppData\Local\Microsoft\Windows\INetCache\Content.Outlook\OCGQVXFE\Conventions%20de%20t&#233;l&#233;travail%20sign&#233;es\GRECO%20Delphine.pdf" TargetMode="External"/><Relationship Id="rId21" Type="http://schemas.openxmlformats.org/officeDocument/2006/relationships/hyperlink" Target="file:///C:\Users\frederique.marsan\AppData\Local\Microsoft\Windows\INetCache\Content.Outlook\OCGQVXFE\Conventions%20de%20t&#233;l&#233;travail%20sign&#233;es\BERTRAND%20Val&#233;rie.pdf" TargetMode="External"/><Relationship Id="rId42" Type="http://schemas.openxmlformats.org/officeDocument/2006/relationships/hyperlink" Target="file:///C:\Users\frederique.marsan\AppData\Local\Microsoft\Windows\INetCache\Content.Outlook\OCGQVXFE\Conventions%20de%20t&#233;l&#233;travail%20sign&#233;es\TOPALIAN%20Philippe.pdf" TargetMode="External"/><Relationship Id="rId63" Type="http://schemas.openxmlformats.org/officeDocument/2006/relationships/hyperlink" Target="file:///C:\Users\frederique.marsan\AppData\Local\Microsoft\Windows\INetCache\Content.Outlook\OCGQVXFE\Conventions%20de%20t&#233;l&#233;travail%20sign&#233;es\CLERC%20Ren&#233;.pdf" TargetMode="External"/><Relationship Id="rId84" Type="http://schemas.openxmlformats.org/officeDocument/2006/relationships/hyperlink" Target="file:///C:\Users\frederique.marsan\AppData\Local\Microsoft\Windows\INetCache\Content.Outlook\OCGQVXFE\Conventions%20de%20t&#233;l&#233;travail%20sign&#233;es\LOPEZ%20Catherine.pdf" TargetMode="External"/><Relationship Id="rId138" Type="http://schemas.openxmlformats.org/officeDocument/2006/relationships/hyperlink" Target="file:///C:\Users\frederique.marsan\AppData\Local\Microsoft\Windows\INetCache\Content.Outlook\OCGQVXFE\Conventions%20de%20t&#233;l&#233;travail%20sign&#233;es\BOUZIDI%20Faten-Yasmine.pdf" TargetMode="External"/><Relationship Id="rId159" Type="http://schemas.openxmlformats.org/officeDocument/2006/relationships/hyperlink" Target="file:///C:\Users\frederique.marsan\AppData\Local\Microsoft\Windows\INetCache\Content.Outlook\OCGQVXFE\Conventions%20de%20t&#233;l&#233;travail%20sign&#233;es\LE%20GOUESTRE%20Laura.pdf" TargetMode="External"/><Relationship Id="rId170" Type="http://schemas.openxmlformats.org/officeDocument/2006/relationships/hyperlink" Target="file:///C:\Users\frederique.marsan\AppData\Local\Microsoft\Windows\INetCache\Content.Outlook\OCGQVXFE\Conventions%20de%20t&#233;l&#233;travail%20sign&#233;es\REY%20Fran&#231;ois.pdf" TargetMode="External"/><Relationship Id="rId107" Type="http://schemas.openxmlformats.org/officeDocument/2006/relationships/hyperlink" Target="file:///C:\Users\frederique.marsan\AppData\Local\Microsoft\Windows\INetCache\Content.Outlook\OCGQVXFE\Conventions%20de%20t&#233;l&#233;travail%20sign&#233;es\VALLIER%20Christine.pdf" TargetMode="External"/><Relationship Id="rId11" Type="http://schemas.openxmlformats.org/officeDocument/2006/relationships/hyperlink" Target="file:///C:\Users\frederique.marsan\AppData\Local\Microsoft\Windows\INetCache\Content.Outlook\OCGQVXFE\Conventions%20de%20t&#233;l&#233;travail%20sign&#233;es\BAYOUD%20Elodie.pdf" TargetMode="External"/><Relationship Id="rId32" Type="http://schemas.openxmlformats.org/officeDocument/2006/relationships/hyperlink" Target="file:///C:\Users\frederique.marsan\AppData\Local\Microsoft\Windows\INetCache\Content.Outlook\OCGQVXFE\Conventions%20de%20t&#233;l&#233;travail%20sign&#233;es\EDO%20Maria-Paula.pdf" TargetMode="External"/><Relationship Id="rId53" Type="http://schemas.openxmlformats.org/officeDocument/2006/relationships/hyperlink" Target="file:///C:\Users\frederique.marsan\AppData\Local\Microsoft\Windows\INetCache\Content.Outlook\OCGQVXFE\Conventions%20de%20t&#233;l&#233;travail%20sign&#233;es\DESPLANS%20Mathilde.pdf" TargetMode="External"/><Relationship Id="rId74" Type="http://schemas.openxmlformats.org/officeDocument/2006/relationships/hyperlink" Target="file:///C:\Users\frederique.marsan\AppData\Local\Microsoft\Windows\INetCache\Content.Outlook\OCGQVXFE\Conventions%20de%20t&#233;l&#233;travail%20sign&#233;es\KHAMASSI%20Emmanuelle.pdf" TargetMode="External"/><Relationship Id="rId128" Type="http://schemas.openxmlformats.org/officeDocument/2006/relationships/hyperlink" Target="file:///C:\Users\frederique.marsan\AppData\Local\Microsoft\Windows\INetCache\Content.Outlook\OCGQVXFE\Conventions%20de%20t&#233;l&#233;travail%20sign&#233;es\POMMERUEL%20S&#233;bastien.pdf" TargetMode="External"/><Relationship Id="rId149" Type="http://schemas.openxmlformats.org/officeDocument/2006/relationships/hyperlink" Target="file:///C:\Users\frederique.marsan\AppData\Local\Microsoft\Windows\INetCache\Content.Outlook\OCGQVXFE\Conventions%20de%20t&#233;l&#233;travail%20sign&#233;es\BOUCHER%20Marie-Th&#233;r&#232;se.pdf" TargetMode="External"/><Relationship Id="rId5" Type="http://schemas.openxmlformats.org/officeDocument/2006/relationships/hyperlink" Target="file:///C:\Users\frederique.marsan\AppData\Local\Microsoft\Windows\INetCache\Content.Outlook\OCGQVXFE\Conventions%20de%20t&#233;l&#233;travail%20sign&#233;es\RENOUD%20Corinne.pdf" TargetMode="External"/><Relationship Id="rId95" Type="http://schemas.openxmlformats.org/officeDocument/2006/relationships/hyperlink" Target="file:///C:\Users\frederique.marsan\AppData\Local\Microsoft\Windows\INetCache\Content.Outlook\OCGQVXFE\Conventions%20de%20t&#233;l&#233;travail%20sign&#233;es\DAVY%20Claire.pdf" TargetMode="External"/><Relationship Id="rId160" Type="http://schemas.openxmlformats.org/officeDocument/2006/relationships/hyperlink" Target="file:///C:\Users\frederique.marsan\AppData\Local\Microsoft\Windows\INetCache\Content.Outlook\OCGQVXFE\Conventions%20de%20t&#233;l&#233;travail%20sign&#233;es\DE%20NAGY%20BUDAN%20ROZAIN%20David-Krisztian.pdf" TargetMode="External"/><Relationship Id="rId22" Type="http://schemas.openxmlformats.org/officeDocument/2006/relationships/hyperlink" Target="file:///C:\Users\frederique.marsan\AppData\Local\Microsoft\Windows\INetCache\Content.Outlook\OCGQVXFE\Conventions%20de%20t&#233;l&#233;travail%20sign&#233;es\BARATIN%20Aude.pdf" TargetMode="External"/><Relationship Id="rId43" Type="http://schemas.openxmlformats.org/officeDocument/2006/relationships/hyperlink" Target="file:///C:\Users\frederique.marsan\AppData\Local\Microsoft\Windows\INetCache\Content.Outlook\OCGQVXFE\Conventions%20de%20t&#233;l&#233;travail%20sign&#233;es\LAVOUE-LESNE%20Marina.pdf" TargetMode="External"/><Relationship Id="rId64" Type="http://schemas.openxmlformats.org/officeDocument/2006/relationships/hyperlink" Target="file:///C:\Users\frederique.marsan\AppData\Local\Microsoft\Windows\INetCache\Content.Outlook\OCGQVXFE\Conventions%20de%20t&#233;l&#233;travail%20sign&#233;es\GUILLEN-GAMERO%20Marie-Th&#233;r&#232;se.pdf" TargetMode="External"/><Relationship Id="rId118" Type="http://schemas.openxmlformats.org/officeDocument/2006/relationships/hyperlink" Target="file:///C:\Users\frederique.marsan\AppData\Local\Microsoft\Windows\INetCache\Content.Outlook\OCGQVXFE\Conventions%20de%20t&#233;l&#233;travail%20sign&#233;es\VAUTRIN-VILLOND%20V&#233;ronique.pdf" TargetMode="External"/><Relationship Id="rId139" Type="http://schemas.openxmlformats.org/officeDocument/2006/relationships/hyperlink" Target="file:///C:\Users\frederique.marsan\AppData\Local\Microsoft\Windows\INetCache\Content.Outlook\OCGQVXFE\Conventions%20de%20t&#233;l&#233;travail%20sign&#233;es\MENNELLA%20Doroth&#233;e.pdf" TargetMode="External"/><Relationship Id="rId85" Type="http://schemas.openxmlformats.org/officeDocument/2006/relationships/hyperlink" Target="file:///C:\Users\frederique.marsan\AppData\Local\Microsoft\Windows\INetCache\Content.Outlook\OCGQVXFE\Conventions%20de%20t&#233;l&#233;travail%20sign&#233;es\JENDOUBI%20Ylh&#232;me.pdf" TargetMode="External"/><Relationship Id="rId150" Type="http://schemas.openxmlformats.org/officeDocument/2006/relationships/hyperlink" Target="file:///C:\Users\frederique.marsan\AppData\Local\Microsoft\Windows\INetCache\Content.Outlook\OCGQVXFE\Conventions%20de%20t&#233;l&#233;travail%20sign&#233;es\AUTIN-GAILLARD%20Christelle.pdf" TargetMode="External"/><Relationship Id="rId171" Type="http://schemas.openxmlformats.org/officeDocument/2006/relationships/hyperlink" Target="file:///C:\Users\frederique.marsan\AppData\Local\Microsoft\Windows\INetCache\Content.Outlook\OCGQVXFE\Conventions%20de%20t&#233;l&#233;travail%20sign&#233;es\LARDY%20Marine.pdf" TargetMode="External"/><Relationship Id="rId12" Type="http://schemas.openxmlformats.org/officeDocument/2006/relationships/hyperlink" Target="file:///C:\Users\frederique.marsan\AppData\Local\Microsoft\Windows\INetCache\Content.Outlook\OCGQVXFE\Conventions%20de%20t&#233;l&#233;travail%20sign&#233;es\REVERAND%20Graziella.pdf" TargetMode="External"/><Relationship Id="rId33" Type="http://schemas.openxmlformats.org/officeDocument/2006/relationships/hyperlink" Target="file:///C:\Users\frederique.marsan\AppData\Local\Microsoft\Windows\INetCache\Content.Outlook\OCGQVXFE\Conventions%20de%20t&#233;l&#233;travail%20sign&#233;es\HMIMID%20Fatima.pdf" TargetMode="External"/><Relationship Id="rId108" Type="http://schemas.openxmlformats.org/officeDocument/2006/relationships/hyperlink" Target="file:///C:\Users\frederique.marsan\AppData\Local\Microsoft\Windows\INetCache\Content.Outlook\OCGQVXFE\Conventions%20de%20t&#233;l&#233;travail%20sign&#233;es\DARLIN%20Christine.pdf" TargetMode="External"/><Relationship Id="rId129" Type="http://schemas.openxmlformats.org/officeDocument/2006/relationships/hyperlink" Target="file:///C:\Users\frederique.marsan\AppData\Local\Microsoft\Windows\INetCache\Content.Outlook\OCGQVXFE\Conventions%20de%20t&#233;l&#233;travail%20sign&#233;es\VINCENT%20Marl&#232;ne.pdf" TargetMode="External"/><Relationship Id="rId54" Type="http://schemas.openxmlformats.org/officeDocument/2006/relationships/hyperlink" Target="file:///C:\Users\frederique.marsan\AppData\Local\Microsoft\Windows\INetCache\Content.Outlook\OCGQVXFE\Conventions%20de%20t&#233;l&#233;travail%20sign&#233;es\THOLLOT%20Anne-Laure.pdf" TargetMode="External"/><Relationship Id="rId75" Type="http://schemas.openxmlformats.org/officeDocument/2006/relationships/hyperlink" Target="file:///C:\Users\frederique.marsan\AppData\Local\Microsoft\Windows\INetCache\Content.Outlook\OCGQVXFE\Conventions%20de%20t&#233;l&#233;travail%20sign&#233;es\GRECH%20Dani&#232;le.pdf" TargetMode="External"/><Relationship Id="rId96" Type="http://schemas.openxmlformats.org/officeDocument/2006/relationships/hyperlink" Target="file:///C:\Users\frederique.marsan\AppData\Local\Microsoft\Windows\INetCache\Content.Outlook\OCGQVXFE\Conventions%20de%20t&#233;l&#233;travail%20sign&#233;es\NADER%20Georges.pdf" TargetMode="External"/><Relationship Id="rId140" Type="http://schemas.openxmlformats.org/officeDocument/2006/relationships/hyperlink" Target="file:///C:\Users\frederique.marsan\AppData\Local\Microsoft\Windows\INetCache\Content.Outlook\OCGQVXFE\Conventions%20de%20t&#233;l&#233;travail%20sign&#233;es\LISCHETTI%20H&#233;l&#232;ne.pdf" TargetMode="External"/><Relationship Id="rId161" Type="http://schemas.openxmlformats.org/officeDocument/2006/relationships/hyperlink" Target="file:///C:\Users\frederique.marsan\AppData\Local\Microsoft\Windows\INetCache\Content.Outlook\OCGQVXFE\Conventions%20de%20t&#233;l&#233;travail%20sign&#233;es\LARATTE%20Noelle.pdf" TargetMode="External"/><Relationship Id="rId6" Type="http://schemas.openxmlformats.org/officeDocument/2006/relationships/hyperlink" Target="file:///C:\Users\frederique.marsan\AppData\Local\Microsoft\Windows\INetCache\Content.Outlook\OCGQVXFE\Conventions%20de%20t&#233;l&#233;travail%20sign&#233;es\RICHARD%20Genevi&#232;ve.pdf" TargetMode="External"/><Relationship Id="rId23" Type="http://schemas.openxmlformats.org/officeDocument/2006/relationships/hyperlink" Target="file:///C:\Users\frederique.marsan\AppData\Local\Microsoft\Windows\INetCache\Content.Outlook\OCGQVXFE\Conventions%20de%20t&#233;l&#233;travail%20sign&#233;es\GAMOND%20Isabelle.pdf" TargetMode="External"/><Relationship Id="rId28" Type="http://schemas.openxmlformats.org/officeDocument/2006/relationships/hyperlink" Target="file:///C:\Users\frederique.marsan\AppData\Local\Microsoft\Windows\INetCache\Content.Outlook\OCGQVXFE\Conventions%20de%20t&#233;l&#233;travail%20sign&#233;es\FOURNIER%20Rebecca.pdf" TargetMode="External"/><Relationship Id="rId49" Type="http://schemas.openxmlformats.org/officeDocument/2006/relationships/hyperlink" Target="file:///C:\Users\frederique.marsan\AppData\Local\Microsoft\Windows\INetCache\Content.Outlook\OCGQVXFE\Conventions%20de%20t&#233;l&#233;travail%20sign&#233;es\MARTEL%20Val&#233;rie.pdf" TargetMode="External"/><Relationship Id="rId114" Type="http://schemas.openxmlformats.org/officeDocument/2006/relationships/hyperlink" Target="file:///C:\Users\frederique.marsan\AppData\Local\Microsoft\Windows\INetCache\Content.Outlook\OCGQVXFE\Conventions%20de%20t&#233;l&#233;travail%20sign&#233;es\COURTIAL%20Gilles.pdf" TargetMode="External"/><Relationship Id="rId119" Type="http://schemas.openxmlformats.org/officeDocument/2006/relationships/hyperlink" Target="file:///C:\Users\frederique.marsan\AppData\Local\Microsoft\Windows\INetCache\Content.Outlook\OCGQVXFE\Conventions%20de%20t&#233;l&#233;travail%20sign&#233;es\DUCHET%20Esp&#233;rance.pdf" TargetMode="External"/><Relationship Id="rId44" Type="http://schemas.openxmlformats.org/officeDocument/2006/relationships/hyperlink" Target="file:///C:\Users\frederique.marsan\AppData\Local\Microsoft\Windows\INetCache\Content.Outlook\OCGQVXFE\Conventions%20de%20t&#233;l&#233;travail%20sign&#233;es\CODINA%20Alexandra.pdf" TargetMode="External"/><Relationship Id="rId60" Type="http://schemas.openxmlformats.org/officeDocument/2006/relationships/hyperlink" Target="file:///C:\Users\frederique.marsan\AppData\Local\Microsoft\Windows\INetCache\Content.Outlook\OCGQVXFE\Conventions%20de%20t&#233;l&#233;travail%20sign&#233;es\PEYSIEUX%20Nathalie.pdf" TargetMode="External"/><Relationship Id="rId65" Type="http://schemas.openxmlformats.org/officeDocument/2006/relationships/hyperlink" Target="file:///C:\Users\frederique.marsan\AppData\Local\Microsoft\Windows\INetCache\Content.Outlook\OCGQVXFE\Conventions%20de%20t&#233;l&#233;travail%20sign&#233;es\CHAMPENOIS%20Romain.pdf" TargetMode="External"/><Relationship Id="rId81" Type="http://schemas.openxmlformats.org/officeDocument/2006/relationships/hyperlink" Target="file:///C:\Users\frederique.marsan\AppData\Local\Microsoft\Windows\INetCache\Content.Outlook\OCGQVXFE\Conventions%20de%20t&#233;l&#233;travail%20sign&#233;es\BERLANDI%20Marie-Jos&#233;.pdf" TargetMode="External"/><Relationship Id="rId86" Type="http://schemas.openxmlformats.org/officeDocument/2006/relationships/hyperlink" Target="file:///C:\Users\frederique.marsan\AppData\Local\Microsoft\Windows\INetCache\Content.Outlook\OCGQVXFE\Conventions%20de%20t&#233;l&#233;travail%20sign&#233;es\BLAU%20Fabrice.pdf" TargetMode="External"/><Relationship Id="rId130" Type="http://schemas.openxmlformats.org/officeDocument/2006/relationships/hyperlink" Target="file:///C:\Users\frederique.marsan\AppData\Local\Microsoft\Windows\INetCache\Content.Outlook\OCGQVXFE\Conventions%20de%20t&#233;l&#233;travail%20sign&#233;es\BERGAMASCHI%20GAIGNEROT%20St&#233;phanie.pdf" TargetMode="External"/><Relationship Id="rId135" Type="http://schemas.openxmlformats.org/officeDocument/2006/relationships/hyperlink" Target="file:///C:\Users\frederique.marsan\AppData\Local\Microsoft\Windows\INetCache\Content.Outlook\OCGQVXFE\Conventions%20de%20t&#233;l&#233;travail%20sign&#233;es\MEDKOUR%20Sofia.pdf" TargetMode="External"/><Relationship Id="rId151" Type="http://schemas.openxmlformats.org/officeDocument/2006/relationships/hyperlink" Target="file:///C:\Users\frederique.marsan\AppData\Local\Microsoft\Windows\INetCache\Content.Outlook\OCGQVXFE\Conventions%20de%20t&#233;l&#233;travail%20sign&#233;es\MEZERREB%20Nac&#233;ra.pdf" TargetMode="External"/><Relationship Id="rId156" Type="http://schemas.openxmlformats.org/officeDocument/2006/relationships/hyperlink" Target="file:///C:\Users\frederique.marsan\AppData\Local\Microsoft\Windows\INetCache\Content.Outlook\OCGQVXFE\Conventions%20de%20t&#233;l&#233;travail%20sign&#233;es\HDIA%20Slah.pdf" TargetMode="External"/><Relationship Id="rId177" Type="http://schemas.openxmlformats.org/officeDocument/2006/relationships/vmlDrawing" Target="../drawings/vmlDrawing3.vml"/><Relationship Id="rId172" Type="http://schemas.openxmlformats.org/officeDocument/2006/relationships/hyperlink" Target="file:///C:\Users\frederique.marsan\AppData\Local\Microsoft\Windows\INetCache\Content.Outlook\OCGQVXFE\Conventions%20de%20t&#233;l&#233;travail%20sign&#233;es\RENARD%20Herv&#233;.pdf" TargetMode="External"/><Relationship Id="rId13" Type="http://schemas.openxmlformats.org/officeDocument/2006/relationships/hyperlink" Target="file:///C:\Users\frederique.marsan\AppData\Local\Microsoft\Windows\INetCache\Content.Outlook\OCGQVXFE\Conventions%20de%20t&#233;l&#233;travail%20sign&#233;es\DANG%20Hong%20Khanh.pdf" TargetMode="External"/><Relationship Id="rId18" Type="http://schemas.openxmlformats.org/officeDocument/2006/relationships/hyperlink" Target="file:///C:\Users\frederique.marsan\AppData\Local\Microsoft\Windows\INetCache\Content.Outlook\OCGQVXFE\Conventions%20de%20t&#233;l&#233;travail%20sign&#233;es\FEBVRET%20V&#233;ronique.pdf" TargetMode="External"/><Relationship Id="rId39" Type="http://schemas.openxmlformats.org/officeDocument/2006/relationships/hyperlink" Target="file:///C:\Users\frederique.marsan\AppData\Local\Microsoft\Windows\INetCache\Content.Outlook\OCGQVXFE\Conventions%20de%20t&#233;l&#233;travail%20sign&#233;es\PIEGAY%20Gaetan.pdf" TargetMode="External"/><Relationship Id="rId109" Type="http://schemas.openxmlformats.org/officeDocument/2006/relationships/hyperlink" Target="file:///C:\Users\frederique.marsan\AppData\Local\Microsoft\Windows\INetCache\Content.Outlook\OCGQVXFE\Conventions%20de%20t&#233;l&#233;travail%20sign&#233;es\ROUANET-TOURINEL%20Jean-Pierre.pdf" TargetMode="External"/><Relationship Id="rId34" Type="http://schemas.openxmlformats.org/officeDocument/2006/relationships/hyperlink" Target="file:///C:\Users\frederique.marsan\AppData\Local\Microsoft\Windows\INetCache\Content.Outlook\OCGQVXFE\Conventions%20de%20t&#233;l&#233;travail%20sign&#233;es\ALLEMONIERE%20Marie.pdf" TargetMode="External"/><Relationship Id="rId50" Type="http://schemas.openxmlformats.org/officeDocument/2006/relationships/hyperlink" Target="file:///C:\Users\frederique.marsan\AppData\Local\Microsoft\Windows\INetCache\Content.Outlook\OCGQVXFE\Conventions%20de%20t&#233;l&#233;travail%20sign&#233;es\JALICON%20Laurent.pdf" TargetMode="External"/><Relationship Id="rId55" Type="http://schemas.openxmlformats.org/officeDocument/2006/relationships/hyperlink" Target="file:///C:\Users\frederique.marsan\AppData\Local\Microsoft\Windows\INetCache\Content.Outlook\OCGQVXFE\Conventions%20de%20t&#233;l&#233;travail%20sign&#233;es\DAVASSOU%20Jessica.pdf" TargetMode="External"/><Relationship Id="rId76" Type="http://schemas.openxmlformats.org/officeDocument/2006/relationships/hyperlink" Target="file:///C:\Users\frederique.marsan\AppData\Local\Microsoft\Windows\INetCache\Content.Outlook\OCGQVXFE\Conventions%20de%20t&#233;l&#233;travail%20sign&#233;es\BOINON%20Ann'Laure.pdf" TargetMode="External"/><Relationship Id="rId97" Type="http://schemas.openxmlformats.org/officeDocument/2006/relationships/hyperlink" Target="file:///C:\Users\frederique.marsan\AppData\Local\Microsoft\Windows\INetCache\Content.Outlook\OCGQVXFE\Conventions%20de%20t&#233;l&#233;travail%20sign&#233;es\THIVICHON-PRINCE%20Moulkheir.pdf" TargetMode="External"/><Relationship Id="rId104" Type="http://schemas.openxmlformats.org/officeDocument/2006/relationships/hyperlink" Target="file:///C:\Users\frederique.marsan\AppData\Local\Microsoft\Windows\INetCache\Content.Outlook\OCGQVXFE\Conventions%20de%20t&#233;l&#233;travail%20sign&#233;es\GUILLAUME%20Kildine.pdf" TargetMode="External"/><Relationship Id="rId120" Type="http://schemas.openxmlformats.org/officeDocument/2006/relationships/hyperlink" Target="file:///C:\Users\frederique.marsan\AppData\Local\Microsoft\Windows\INetCache\Content.Outlook\OCGQVXFE\Conventions%20de%20t&#233;l&#233;travail%20sign&#233;es\GAUTHIER%20Gilbert.pdf" TargetMode="External"/><Relationship Id="rId125" Type="http://schemas.openxmlformats.org/officeDocument/2006/relationships/hyperlink" Target="file:///C:\Users\frederique.marsan\AppData\Local\Microsoft\Windows\INetCache\Content.Outlook\OCGQVXFE\Conventions%20de%20t&#233;l&#233;travail%20sign&#233;es\RECHATIN%20Charlotte.pdf" TargetMode="External"/><Relationship Id="rId141" Type="http://schemas.openxmlformats.org/officeDocument/2006/relationships/hyperlink" Target="file:///C:\Users\frederique.marsan\AppData\Local\Microsoft\Windows\INetCache\Content.Outlook\OCGQVXFE\Conventions%20de%20t&#233;l&#233;travail%20sign&#233;es\MOHAMMEDI%20Imane.pdf" TargetMode="External"/><Relationship Id="rId146" Type="http://schemas.openxmlformats.org/officeDocument/2006/relationships/hyperlink" Target="file:///C:\Users\frederique.marsan\AppData\Local\Microsoft\Windows\INetCache\Content.Outlook\OCGQVXFE\Conventions%20de%20t&#233;l&#233;travail%20sign&#233;es\MARSAN%20Fr&#233;d&#233;rique.pdf" TargetMode="External"/><Relationship Id="rId167" Type="http://schemas.openxmlformats.org/officeDocument/2006/relationships/hyperlink" Target="file:///C:\Users\frederique.marsan\AppData\Local\Microsoft\Windows\INetCache\Content.Outlook\OCGQVXFE\Conventions%20de%20t&#233;l&#233;travail%20sign&#233;es\CHEVALLIER%20Camille.pdf" TargetMode="External"/><Relationship Id="rId7" Type="http://schemas.openxmlformats.org/officeDocument/2006/relationships/hyperlink" Target="file:///C:\Users\frederique.marsan\AppData\Local\Microsoft\Windows\INetCache\Content.Outlook\OCGQVXFE\Conventions%20de%20t&#233;l&#233;travail%20sign&#233;es\GLEPIN%20Anne.pdf" TargetMode="External"/><Relationship Id="rId71" Type="http://schemas.openxmlformats.org/officeDocument/2006/relationships/hyperlink" Target="file:///C:\Users\frederique.marsan\AppData\Local\Microsoft\Windows\INetCache\Content.Outlook\OCGQVXFE\Conventions%20de%20t&#233;l&#233;travail%20sign&#233;es\WEHBE%20Carla.pdf" TargetMode="External"/><Relationship Id="rId92" Type="http://schemas.openxmlformats.org/officeDocument/2006/relationships/hyperlink" Target="file:///C:\Users\frederique.marsan\AppData\Local\Microsoft\Windows\INetCache\Content.Outlook\OCGQVXFE\Conventions%20de%20t&#233;l&#233;travail%20sign&#233;es\VALLAT%20Damien.pdf" TargetMode="External"/><Relationship Id="rId162" Type="http://schemas.openxmlformats.org/officeDocument/2006/relationships/hyperlink" Target="file:///C:\Users\frederique.marsan\AppData\Local\Microsoft\Windows\INetCache\Content.Outlook\OCGQVXFE\Conventions%20de%20t&#233;l&#233;travail%20sign&#233;es\HERNANDEZ%20Peggy.pdf" TargetMode="External"/><Relationship Id="rId2" Type="http://schemas.openxmlformats.org/officeDocument/2006/relationships/hyperlink" Target="file:///C:\Users\frederique.marsan\AppData\Local\Microsoft\Windows\INetCache\Content.Outlook\OCGQVXFE\Conventions%20de%20t&#233;l&#233;travail%20sign&#233;es\POYET%20Nathalie.pdf" TargetMode="External"/><Relationship Id="rId29" Type="http://schemas.openxmlformats.org/officeDocument/2006/relationships/hyperlink" Target="file:///C:\Users\frederique.marsan\AppData\Local\Microsoft\Windows\INetCache\Content.Outlook\OCGQVXFE\Conventions%20de%20t&#233;l&#233;travail%20sign&#233;es\PANCINI%20Jacqueline.pdf" TargetMode="External"/><Relationship Id="rId24" Type="http://schemas.openxmlformats.org/officeDocument/2006/relationships/hyperlink" Target="file:///C:\Users\frederique.marsan\AppData\Local\Microsoft\Windows\INetCache\Content.Outlook\OCGQVXFE\Conventions%20de%20t&#233;l&#233;travail%20sign&#233;es\O'CONNOR%20Alicia.pdf" TargetMode="External"/><Relationship Id="rId40" Type="http://schemas.openxmlformats.org/officeDocument/2006/relationships/hyperlink" Target="file:///C:\Users\frederique.marsan\AppData\Local\Microsoft\Windows\INetCache\Content.Outlook\OCGQVXFE\Conventions%20de%20t&#233;l&#233;travail%20sign&#233;es\SOLEILLAND%20Eric.pdf" TargetMode="External"/><Relationship Id="rId45" Type="http://schemas.openxmlformats.org/officeDocument/2006/relationships/hyperlink" Target="file:///C:\Users\frederique.marsan\AppData\Local\Microsoft\Windows\INetCache\Content.Outlook\OCGQVXFE\Conventions%20de%20t&#233;l&#233;travail%20sign&#233;es\ROMERO-PERRETTI%20Sophie.pdf" TargetMode="External"/><Relationship Id="rId66" Type="http://schemas.openxmlformats.org/officeDocument/2006/relationships/hyperlink" Target="file:///C:\Users\frederique.marsan\AppData\Local\Microsoft\Windows\INetCache\Content.Outlook\OCGQVXFE\Conventions%20de%20t&#233;l&#233;travail%20sign&#233;es\PELAZZO-PLAT%20Val&#233;rie.pdf" TargetMode="External"/><Relationship Id="rId87" Type="http://schemas.openxmlformats.org/officeDocument/2006/relationships/hyperlink" Target="file:///C:\Users\frederique.marsan\AppData\Local\Microsoft\Windows\INetCache\Content.Outlook\OCGQVXFE\Conventions%20de%20t&#233;l&#233;travail%20sign&#233;es\PERRIN%20Emilie.pdf" TargetMode="External"/><Relationship Id="rId110" Type="http://schemas.openxmlformats.org/officeDocument/2006/relationships/hyperlink" Target="file:///C:\Users\frederique.marsan\AppData\Local\Microsoft\Windows\INetCache\Content.Outlook\OCGQVXFE\Conventions%20de%20t&#233;l&#233;travail%20sign&#233;es\CARTIER%20Aurore.pdf" TargetMode="External"/><Relationship Id="rId115" Type="http://schemas.openxmlformats.org/officeDocument/2006/relationships/hyperlink" Target="file:///C:\Users\frederique.marsan\AppData\Local\Microsoft\Windows\INetCache\Content.Outlook\OCGQVXFE\Conventions%20de%20t&#233;l&#233;travail%20sign&#233;es\CROUZET%20Olivier.pdf" TargetMode="External"/><Relationship Id="rId131" Type="http://schemas.openxmlformats.org/officeDocument/2006/relationships/hyperlink" Target="file:///C:\Users\frederique.marsan\AppData\Local\Microsoft\Windows\INetCache\Content.Outlook\OCGQVXFE\Conventions%20de%20t&#233;l&#233;travail%20sign&#233;es\BELLET%20C&#233;cile.pdf" TargetMode="External"/><Relationship Id="rId136" Type="http://schemas.openxmlformats.org/officeDocument/2006/relationships/hyperlink" Target="file:///C:\Users\frederique.marsan\AppData\Local\Microsoft\Windows\INetCache\Content.Outlook\OCGQVXFE\Conventions%20de%20t&#233;l&#233;travail%20sign&#233;es\SEBEI%20Noura.pdf" TargetMode="External"/><Relationship Id="rId157" Type="http://schemas.openxmlformats.org/officeDocument/2006/relationships/hyperlink" Target="file:///C:\Users\frederique.marsan\AppData\Local\Microsoft\Windows\INetCache\Content.Outlook\OCGQVXFE\Conventions%20de%20t&#233;l&#233;travail%20sign&#233;es\VASCHALDE%20Pierre-Guy.pdf" TargetMode="External"/><Relationship Id="rId178" Type="http://schemas.openxmlformats.org/officeDocument/2006/relationships/table" Target="../tables/table6.xml"/><Relationship Id="rId61" Type="http://schemas.openxmlformats.org/officeDocument/2006/relationships/hyperlink" Target="file:///C:\Users\frederique.marsan\AppData\Local\Microsoft\Windows\INetCache\Content.Outlook\OCGQVXFE\Conventions%20de%20t&#233;l&#233;travail%20sign&#233;es\GOLLION%20Amandine.pdf" TargetMode="External"/><Relationship Id="rId82" Type="http://schemas.openxmlformats.org/officeDocument/2006/relationships/hyperlink" Target="file:///C:\Users\frederique.marsan\AppData\Local\Microsoft\Windows\INetCache\Content.Outlook\OCGQVXFE\Conventions%20de%20t&#233;l&#233;travail%20sign&#233;es\BLASCO%20Elisabeth.pdf" TargetMode="External"/><Relationship Id="rId152" Type="http://schemas.openxmlformats.org/officeDocument/2006/relationships/hyperlink" Target="file:///C:\Users\frederique.marsan\AppData\Local\Microsoft\Windows\INetCache\Content.Outlook\OCGQVXFE\Conventions%20de%20t&#233;l&#233;travail%20sign&#233;es\JACQUOT%20Chantal.pdf" TargetMode="External"/><Relationship Id="rId173" Type="http://schemas.openxmlformats.org/officeDocument/2006/relationships/hyperlink" Target="file:///C:\Users\frederique.marsan\AppData\Local\Microsoft\Windows\INetCache\Content.Outlook\OCGQVXFE\Conventions%20de%20t&#233;l&#233;travail%20sign&#233;es\KEALA%20Sarah.pdf" TargetMode="External"/><Relationship Id="rId19" Type="http://schemas.openxmlformats.org/officeDocument/2006/relationships/hyperlink" Target="file:///C:\Users\frederique.marsan\AppData\Local\Microsoft\Windows\INetCache\Content.Outlook\OCGQVXFE\Conventions%20de%20t&#233;l&#233;travail%20sign&#233;es\JULLIEN-COTTARD%20Odile.pdf" TargetMode="External"/><Relationship Id="rId14" Type="http://schemas.openxmlformats.org/officeDocument/2006/relationships/hyperlink" Target="file:///C:\Users\frederique.marsan\AppData\Local\Microsoft\Windows\INetCache\Content.Outlook\OCGQVXFE\Conventions%20de%20t&#233;l&#233;travail%20sign&#233;es\COURBON-FILIPPINI%20Catherine.pdf" TargetMode="External"/><Relationship Id="rId30" Type="http://schemas.openxmlformats.org/officeDocument/2006/relationships/hyperlink" Target="file:///C:\Users\frederique.marsan\AppData\Local\Microsoft\Windows\INetCache\Content.Outlook\OCGQVXFE\Conventions%20de%20t&#233;l&#233;travail%20sign&#233;es\ASTIER%20Annie.pdf" TargetMode="External"/><Relationship Id="rId35" Type="http://schemas.openxmlformats.org/officeDocument/2006/relationships/hyperlink" Target="file:///C:\Users\frederique.marsan\AppData\Local\Microsoft\Windows\INetCache\Content.Outlook\OCGQVXFE\Conventions%20de%20t&#233;l&#233;travail%20sign&#233;es\DESSIRIER%20Giselle.pdf" TargetMode="External"/><Relationship Id="rId56" Type="http://schemas.openxmlformats.org/officeDocument/2006/relationships/hyperlink" Target="file:///C:\Users\frederique.marsan\AppData\Local\Microsoft\Windows\INetCache\Content.Outlook\OCGQVXFE\Conventions%20de%20t&#233;l&#233;travail%20sign&#233;es\GUTIERREZ%20Maude.pdf" TargetMode="External"/><Relationship Id="rId77" Type="http://schemas.openxmlformats.org/officeDocument/2006/relationships/hyperlink" Target="file:///C:\Users\frederique.marsan\AppData\Local\Microsoft\Windows\INetCache\Content.Outlook\OCGQVXFE\Conventions%20de%20t&#233;l&#233;travail%20sign&#233;es\PRAZ%20Brigitte.pdf" TargetMode="External"/><Relationship Id="rId100" Type="http://schemas.openxmlformats.org/officeDocument/2006/relationships/hyperlink" Target="file:///C:\Users\frederique.marsan\AppData\Local\Microsoft\Windows\INetCache\Content.Outlook\OCGQVXFE\Conventions%20de%20t&#233;l&#233;travail%20sign&#233;es\RAMIANDRISOA%20Nalisoa.pdf" TargetMode="External"/><Relationship Id="rId105" Type="http://schemas.openxmlformats.org/officeDocument/2006/relationships/hyperlink" Target="file:///C:\Users\frederique.marsan\AppData\Local\Microsoft\Windows\INetCache\Content.Outlook\OCGQVXFE\Conventions%20de%20t&#233;l&#233;travail%20sign&#233;es\BANDIER%20Lorine.pdf" TargetMode="External"/><Relationship Id="rId126" Type="http://schemas.openxmlformats.org/officeDocument/2006/relationships/hyperlink" Target="file:///C:\Users\frederique.marsan\AppData\Local\Microsoft\Windows\INetCache\Content.Outlook\OCGQVXFE\Conventions%20de%20t&#233;l&#233;travail%20sign&#233;es\ROBLES%20Camille.pdf" TargetMode="External"/><Relationship Id="rId147" Type="http://schemas.openxmlformats.org/officeDocument/2006/relationships/hyperlink" Target="file:///C:\Users\frederique.marsan\AppData\Local\Microsoft\Windows\INetCache\Content.Outlook\OCGQVXFE\Conventions%20de%20t&#233;l&#233;travail%20sign&#233;es\BOURGOIN%20Anne.pdf" TargetMode="External"/><Relationship Id="rId168" Type="http://schemas.openxmlformats.org/officeDocument/2006/relationships/hyperlink" Target="file:///C:\Users\frederique.marsan\AppData\Local\Microsoft\Windows\INetCache\Content.Outlook\OCGQVXFE\Conventions%20de%20t&#233;l&#233;travail%20sign&#233;es\BELOT%20Laetitia.pdf" TargetMode="External"/><Relationship Id="rId8" Type="http://schemas.openxmlformats.org/officeDocument/2006/relationships/hyperlink" Target="file:///C:\Users\frederique.marsan\AppData\Local\Microsoft\Windows\INetCache\Content.Outlook\OCGQVXFE\Conventions%20de%20t&#233;l&#233;travail%20sign&#233;es\TROUILLOUD%20Fr&#233;d&#233;rique.pdf" TargetMode="External"/><Relationship Id="rId51" Type="http://schemas.openxmlformats.org/officeDocument/2006/relationships/hyperlink" Target="file:///C:\Users\frederique.marsan\AppData\Local\Microsoft\Windows\INetCache\Content.Outlook\OCGQVXFE\Conventions%20de%20t&#233;l&#233;travail%20sign&#233;es\DUCHANAUD%20Val&#233;rie.pdf" TargetMode="External"/><Relationship Id="rId72" Type="http://schemas.openxmlformats.org/officeDocument/2006/relationships/hyperlink" Target="file:///C:\Users\frederique.marsan\AppData\Local\Microsoft\Windows\INetCache\Content.Outlook\OCGQVXFE\Conventions%20de%20t&#233;l&#233;travail%20sign&#233;es\CAPUANO%20Jean-Louis.pdf" TargetMode="External"/><Relationship Id="rId93" Type="http://schemas.openxmlformats.org/officeDocument/2006/relationships/hyperlink" Target="file:///C:\Users\frederique.marsan\AppData\Local\Microsoft\Windows\INetCache\Content.Outlook\OCGQVXFE\Conventions%20de%20t&#233;l&#233;travail%20sign&#233;es\MIQUEL%20Jean-Loup.pdf" TargetMode="External"/><Relationship Id="rId98" Type="http://schemas.openxmlformats.org/officeDocument/2006/relationships/hyperlink" Target="file:///C:\Users\frederique.marsan\AppData\Local\Microsoft\Windows\INetCache\Content.Outlook\OCGQVXFE\Conventions%20de%20t&#233;l&#233;travail%20sign&#233;es\BOURGET-MESSIN%20Laurence.pdf" TargetMode="External"/><Relationship Id="rId121" Type="http://schemas.openxmlformats.org/officeDocument/2006/relationships/hyperlink" Target="file:///C:\Users\frederique.marsan\AppData\Local\Microsoft\Windows\INetCache\Content.Outlook\OCGQVXFE\Conventions%20de%20t&#233;l&#233;travail%20sign&#233;es\BLONDEAU%20Alicia.pdf" TargetMode="External"/><Relationship Id="rId142" Type="http://schemas.openxmlformats.org/officeDocument/2006/relationships/hyperlink" Target="file:///C:\Users\frederique.marsan\AppData\Local\Microsoft\Windows\INetCache\Content.Outlook\OCGQVXFE\Conventions%20de%20t&#233;l&#233;travail%20sign&#233;es\GUILLIN-BLANC%20C&#233;line.pdf" TargetMode="External"/><Relationship Id="rId163" Type="http://schemas.openxmlformats.org/officeDocument/2006/relationships/hyperlink" Target="file:///C:\Users\frederique.marsan\AppData\Local\Microsoft\Windows\INetCache\Content.Outlook\OCGQVXFE\Conventions%20de%20t&#233;l&#233;travail%20sign&#233;es\SIMOND%20Onda-Marina.pdf" TargetMode="External"/><Relationship Id="rId3" Type="http://schemas.openxmlformats.org/officeDocument/2006/relationships/hyperlink" Target="file:///C:\Users\frederique.marsan\AppData\Local\Microsoft\Windows\INetCache\Content.Outlook\OCGQVXFE\Conventions%20de%20t&#233;l&#233;travail%20sign&#233;es\CORNET%20Carole.pdf" TargetMode="External"/><Relationship Id="rId25" Type="http://schemas.openxmlformats.org/officeDocument/2006/relationships/hyperlink" Target="file:///C:\Users\frederique.marsan\AppData\Local\Microsoft\Windows\INetCache\Content.Outlook\OCGQVXFE\Conventions%20de%20t&#233;l&#233;travail%20sign&#233;es\GAVEND%20Catherine.pdf" TargetMode="External"/><Relationship Id="rId46" Type="http://schemas.openxmlformats.org/officeDocument/2006/relationships/hyperlink" Target="file:///C:\Users\frederique.marsan\AppData\Local\Microsoft\Windows\INetCache\Content.Outlook\OCGQVXFE\Conventions%20de%20t&#233;l&#233;travail%20sign&#233;es\MARIE-LOUISE%20Nathalie.pdf" TargetMode="External"/><Relationship Id="rId67" Type="http://schemas.openxmlformats.org/officeDocument/2006/relationships/hyperlink" Target="file:///C:\Users\frederique.marsan\AppData\Local\Microsoft\Windows\INetCache\Content.Outlook\OCGQVXFE\Conventions%20de%20t&#233;l&#233;travail%20sign&#233;es\VALETTE%20Fanny.pdf" TargetMode="External"/><Relationship Id="rId116" Type="http://schemas.openxmlformats.org/officeDocument/2006/relationships/hyperlink" Target="file:///C:\Users\frederique.marsan\AppData\Local\Microsoft\Windows\INetCache\Content.Outlook\OCGQVXFE\Conventions%20de%20t&#233;l&#233;travail%20sign&#233;es\AMENEIRO%20ALVAREZ%20Manuel.pdf" TargetMode="External"/><Relationship Id="rId137" Type="http://schemas.openxmlformats.org/officeDocument/2006/relationships/hyperlink" Target="file:///C:\Users\frederique.marsan\AppData\Local\Microsoft\Windows\INetCache\Content.Outlook\OCGQVXFE\Conventions%20de%20t&#233;l&#233;travail%20sign&#233;es\ARCIERO%20Aline.pdf" TargetMode="External"/><Relationship Id="rId158" Type="http://schemas.openxmlformats.org/officeDocument/2006/relationships/hyperlink" Target="file:///C:\Users\frederique.marsan\AppData\Local\Microsoft\Windows\INetCache\Content.Outlook\OCGQVXFE\Conventions%20de%20t&#233;l&#233;travail%20sign&#233;es\BUISSON%20Florianne.pdf" TargetMode="External"/><Relationship Id="rId20" Type="http://schemas.openxmlformats.org/officeDocument/2006/relationships/hyperlink" Target="file:///C:\Users\frederique.marsan\AppData\Local\Microsoft\Windows\INetCache\Content.Outlook\OCGQVXFE\Conventions%20de%20t&#233;l&#233;travail%20sign&#233;es\VIALARON%20Laurence.pdf" TargetMode="External"/><Relationship Id="rId41" Type="http://schemas.openxmlformats.org/officeDocument/2006/relationships/hyperlink" Target="file:///C:\Users\frederique.marsan\AppData\Local\Microsoft\Windows\INetCache\Content.Outlook\OCGQVXFE\Conventions%20de%20t&#233;l&#233;travail%20sign&#233;es\THIEVENAZ%20Estelle.pdf" TargetMode="External"/><Relationship Id="rId62" Type="http://schemas.openxmlformats.org/officeDocument/2006/relationships/hyperlink" Target="file:///C:\Users\frederique.marsan\AppData\Local\Microsoft\Windows\INetCache\Content.Outlook\OCGQVXFE\Conventions%20de%20t&#233;l&#233;travail%20sign&#233;es\FERNANDES%20J&#233;r&#233;mie.pdf" TargetMode="External"/><Relationship Id="rId83" Type="http://schemas.openxmlformats.org/officeDocument/2006/relationships/hyperlink" Target="file:///C:\Users\frederique.marsan\AppData\Local\Microsoft\Windows\INetCache\Content.Outlook\OCGQVXFE\Conventions%20de%20t&#233;l&#233;travail%20sign&#233;es\BASTIDE%20Anne-Laure.pdf" TargetMode="External"/><Relationship Id="rId88" Type="http://schemas.openxmlformats.org/officeDocument/2006/relationships/hyperlink" Target="file:///C:\Users\frederique.marsan\AppData\Local\Microsoft\Windows\INetCache\Content.Outlook\OCGQVXFE\Conventions%20de%20t&#233;l&#233;travail%20sign&#233;es\SOY-RAVASSON%20S&#233;verine.pdf" TargetMode="External"/><Relationship Id="rId111" Type="http://schemas.openxmlformats.org/officeDocument/2006/relationships/hyperlink" Target="file:///C:\Users\frederique.marsan\AppData\Local\Microsoft\Windows\INetCache\Content.Outlook\OCGQVXFE\Conventions%20de%20t&#233;l&#233;travail%20sign&#233;es\DOUBLET%20Elsa.pdf" TargetMode="External"/><Relationship Id="rId132" Type="http://schemas.openxmlformats.org/officeDocument/2006/relationships/hyperlink" Target="file:///C:\Users\frederique.marsan\AppData\Local\Microsoft\Windows\INetCache\Content.Outlook\OCGQVXFE\Conventions%20de%20t&#233;l&#233;travail%20sign&#233;es\MARTINEZ%20Madeline.pdf" TargetMode="External"/><Relationship Id="rId153" Type="http://schemas.openxmlformats.org/officeDocument/2006/relationships/hyperlink" Target="file:///C:\Users\frederique.marsan\AppData\Local\Microsoft\Windows\INetCache\Content.Outlook\OCGQVXFE\Conventions%20de%20t&#233;l&#233;travail%20sign&#233;es\BOUDJEMA-JORDA%20Katia.pdf" TargetMode="External"/><Relationship Id="rId174" Type="http://schemas.openxmlformats.org/officeDocument/2006/relationships/hyperlink" Target="file:///C:\Users\frederique.marsan\AppData\Local\Microsoft\Windows\INetCache\Content.Outlook\OCGQVXFE\Conventions%20de%20t&#233;l&#233;travail%20sign&#233;es\METHIVIER%20Loic.pdf" TargetMode="External"/><Relationship Id="rId179" Type="http://schemas.openxmlformats.org/officeDocument/2006/relationships/comments" Target="../comments3.xml"/><Relationship Id="rId15" Type="http://schemas.openxmlformats.org/officeDocument/2006/relationships/hyperlink" Target="file:///C:\Users\frederique.marsan\AppData\Local\Microsoft\Windows\INetCache\Content.Outlook\OCGQVXFE\Conventions%20de%20t&#233;l&#233;travail%20sign&#233;es\TROUILLOUD%20Fr&#233;d&#233;rique.pdf" TargetMode="External"/><Relationship Id="rId36" Type="http://schemas.openxmlformats.org/officeDocument/2006/relationships/hyperlink" Target="file:///C:\Users\frederique.marsan\AppData\Local\Microsoft\Windows\INetCache\Content.Outlook\OCGQVXFE\Conventions%20de%20t&#233;l&#233;travail%20sign&#233;es\PERRIN%20Alice.pdf" TargetMode="External"/><Relationship Id="rId57" Type="http://schemas.openxmlformats.org/officeDocument/2006/relationships/hyperlink" Target="file:///C:\Users\frederique.marsan\AppData\Local\Microsoft\Windows\INetCache\Content.Outlook\OCGQVXFE\Conventions%20de%20t&#233;l&#233;travail%20sign&#233;es\PICOD%20Sylvie.pdf" TargetMode="External"/><Relationship Id="rId106" Type="http://schemas.openxmlformats.org/officeDocument/2006/relationships/hyperlink" Target="file:///C:\Users\frederique.marsan\AppData\Local\Microsoft\Windows\INetCache\Content.Outlook\OCGQVXFE\Conventions%20de%20t&#233;l&#233;travail%20sign&#233;es\KRAWIEC%20Guillaume.pdf" TargetMode="External"/><Relationship Id="rId127" Type="http://schemas.openxmlformats.org/officeDocument/2006/relationships/hyperlink" Target="file:///C:\Users\frederique.marsan\AppData\Local\Microsoft\Windows\INetCache\Content.Outlook\OCGQVXFE\Conventions%20de%20t&#233;l&#233;travail%20sign&#233;es\MOLINA%20Magalie.pdf" TargetMode="External"/><Relationship Id="rId10" Type="http://schemas.openxmlformats.org/officeDocument/2006/relationships/hyperlink" Target="file:///C:\Users\frederique.marsan\AppData\Local\Microsoft\Windows\INetCache\Content.Outlook\OCGQVXFE\Conventions%20de%20t&#233;l&#233;travail%20sign&#233;es\DAVENNE%20Sahra.pdf" TargetMode="External"/><Relationship Id="rId31" Type="http://schemas.openxmlformats.org/officeDocument/2006/relationships/hyperlink" Target="file:///C:\Users\frederique.marsan\AppData\Local\Microsoft\Windows\INetCache\Content.Outlook\OCGQVXFE\Conventions%20de%20t&#233;l&#233;travail%20sign&#233;es\CLAITTE%20Isabelle.pdf" TargetMode="External"/><Relationship Id="rId52" Type="http://schemas.openxmlformats.org/officeDocument/2006/relationships/hyperlink" Target="file:///C:\Users\frederique.marsan\AppData\Local\Microsoft\Windows\INetCache\Content.Outlook\OCGQVXFE\Conventions%20de%20t&#233;l&#233;travail%20sign&#233;es\HABBAZ-RAHEM%20Didier.pdf" TargetMode="External"/><Relationship Id="rId73" Type="http://schemas.openxmlformats.org/officeDocument/2006/relationships/hyperlink" Target="file:///C:\Users\frederique.marsan\AppData\Local\Microsoft\Windows\INetCache\Content.Outlook\OCGQVXFE\Conventions%20de%20t&#233;l&#233;travail%20sign&#233;es\BUGIN%20Lea.pdf" TargetMode="External"/><Relationship Id="rId78" Type="http://schemas.openxmlformats.org/officeDocument/2006/relationships/hyperlink" Target="file:///C:\Users\frederique.marsan\AppData\Local\Microsoft\Windows\INetCache\Content.Outlook\OCGQVXFE\Conventions%20de%20t&#233;l&#233;travail%20sign&#233;es\SINZ%20Karine.pdf" TargetMode="External"/><Relationship Id="rId94" Type="http://schemas.openxmlformats.org/officeDocument/2006/relationships/hyperlink" Target="file:///C:\Users\frederique.marsan\AppData\Local\Microsoft\Windows\INetCache\Content.Outlook\OCGQVXFE\Conventions%20de%20t&#233;l&#233;travail%20sign&#233;es\FRASCA%20G&#233;raldine.pdf" TargetMode="External"/><Relationship Id="rId99" Type="http://schemas.openxmlformats.org/officeDocument/2006/relationships/hyperlink" Target="file:///C:\Users\frederique.marsan\AppData\Local\Microsoft\Windows\INetCache\Content.Outlook\OCGQVXFE\Conventions%20de%20t&#233;l&#233;travail%20sign&#233;es\GUEYE%20Ousmane.pdf" TargetMode="External"/><Relationship Id="rId101" Type="http://schemas.openxmlformats.org/officeDocument/2006/relationships/hyperlink" Target="file:///C:\Users\frederique.marsan\AppData\Local\Microsoft\Windows\INetCache\Content.Outlook\OCGQVXFE\Conventions%20de%20t&#233;l&#233;travail%20sign&#233;es\VICTOIRE%20Isabelle.pdf" TargetMode="External"/><Relationship Id="rId122" Type="http://schemas.openxmlformats.org/officeDocument/2006/relationships/hyperlink" Target="file:///C:\Users\frederique.marsan\AppData\Local\Microsoft\Windows\INetCache\Content.Outlook\OCGQVXFE\Conventions%20de%20t&#233;l&#233;travail%20sign&#233;es\DELPLANQUE%20Magali.pdf" TargetMode="External"/><Relationship Id="rId143" Type="http://schemas.openxmlformats.org/officeDocument/2006/relationships/hyperlink" Target="file:///C:\Users\frederique.marsan\AppData\Local\Microsoft\Windows\INetCache\Content.Outlook\OCGQVXFE\Conventions%20de%20t&#233;l&#233;travail%20sign&#233;es\BERTHIER%20Anne-Sophie.pdf" TargetMode="External"/><Relationship Id="rId148" Type="http://schemas.openxmlformats.org/officeDocument/2006/relationships/hyperlink" Target="file:///C:\Users\frederique.marsan\AppData\Local\Microsoft\Windows\INetCache\Content.Outlook\OCGQVXFE\Conventions%20de%20t&#233;l&#233;travail%20sign&#233;es\MACHABERT%20Olivier.pdf" TargetMode="External"/><Relationship Id="rId164" Type="http://schemas.openxmlformats.org/officeDocument/2006/relationships/hyperlink" Target="file:///C:\Users\frederique.marsan\AppData\Local\Microsoft\Windows\INetCache\Content.Outlook\OCGQVXFE\Conventions%20de%20t&#233;l&#233;travail%20sign&#233;es\LEDEAN%20Cyrille.pdf" TargetMode="External"/><Relationship Id="rId169" Type="http://schemas.openxmlformats.org/officeDocument/2006/relationships/hyperlink" Target="file:///C:\Users\frederique.marsan\AppData\Local\Microsoft\Windows\INetCache\Content.Outlook\OCGQVXFE\Conventions%20de%20t&#233;l&#233;travail%20sign&#233;es\SAHLI%20Alida.pdf" TargetMode="External"/><Relationship Id="rId4" Type="http://schemas.openxmlformats.org/officeDocument/2006/relationships/hyperlink" Target="file:///C:\Users\frederique.marsan\AppData\Local\Microsoft\Windows\INetCache\Content.Outlook\OCGQVXFE\Conventions%20de%20t&#233;l&#233;travail%20sign&#233;es\BONIN%20Christine.pdf" TargetMode="External"/><Relationship Id="rId9" Type="http://schemas.openxmlformats.org/officeDocument/2006/relationships/hyperlink" Target="file:///C:\Users\frederique.marsan\AppData\Local\Microsoft\Windows\INetCache\Content.Outlook\OCGQVXFE\Conventions%20de%20t&#233;l&#233;travail%20sign&#233;es\DUBOULOZ-MONET%20Val&#233;rie.pdf" TargetMode="External"/><Relationship Id="rId26" Type="http://schemas.openxmlformats.org/officeDocument/2006/relationships/hyperlink" Target="file:///C:\Users\frederique.marsan\AppData\Local\Microsoft\Windows\INetCache\Content.Outlook\OCGQVXFE\Conventions%20de%20t&#233;l&#233;travail%20sign&#233;es\DURAND-PETIT%20Anne.pdf" TargetMode="External"/><Relationship Id="rId47" Type="http://schemas.openxmlformats.org/officeDocument/2006/relationships/hyperlink" Target="file:///C:\Users\frederique.marsan\AppData\Local\Microsoft\Windows\INetCache\Content.Outlook\OCGQVXFE\Conventions%20de%20t&#233;l&#233;travail%20sign&#233;es\FOUILLOUX%20David.pdf" TargetMode="External"/><Relationship Id="rId68" Type="http://schemas.openxmlformats.org/officeDocument/2006/relationships/hyperlink" Target="file:///C:\Users\frederique.marsan\AppData\Local\Microsoft\Windows\INetCache\Content.Outlook\OCGQVXFE\Conventions%20de%20t&#233;l&#233;travail%20sign&#233;es\SCHMITT%20Marie-Isabelle.pdf" TargetMode="External"/><Relationship Id="rId89" Type="http://schemas.openxmlformats.org/officeDocument/2006/relationships/hyperlink" Target="file:///C:\Users\frederique.marsan\AppData\Local\Microsoft\Windows\INetCache\Content.Outlook\OCGQVXFE\Conventions%20de%20t&#233;l&#233;travail%20sign&#233;es\MANCEAU%20Silva.pdf" TargetMode="External"/><Relationship Id="rId112" Type="http://schemas.openxmlformats.org/officeDocument/2006/relationships/hyperlink" Target="file:///C:\Users\frederique.marsan\AppData\Local\Microsoft\Windows\INetCache\Content.Outlook\OCGQVXFE\Conventions%20de%20t&#233;l&#233;travail%20sign&#233;es\BEROUD%20COURTIAL%20Isabelle.pdf" TargetMode="External"/><Relationship Id="rId133" Type="http://schemas.openxmlformats.org/officeDocument/2006/relationships/hyperlink" Target="file:///C:\Users\frederique.marsan\AppData\Local\Microsoft\Windows\INetCache\Content.Outlook\OCGQVXFE\Conventions%20de%20t&#233;l&#233;travail%20sign&#233;es\BONHOMME%20Laurence.pdf" TargetMode="External"/><Relationship Id="rId154" Type="http://schemas.openxmlformats.org/officeDocument/2006/relationships/hyperlink" Target="file:///C:\Users\frederique.marsan\AppData\Local\Microsoft\Windows\INetCache\Content.Outlook\OCGQVXFE\Conventions%20de%20t&#233;l&#233;travail%20sign&#233;es\BOUTOT%20Sandrine.pdf" TargetMode="External"/><Relationship Id="rId175" Type="http://schemas.openxmlformats.org/officeDocument/2006/relationships/printerSettings" Target="../printerSettings/printerSettings6.bin"/><Relationship Id="rId16" Type="http://schemas.openxmlformats.org/officeDocument/2006/relationships/hyperlink" Target="file:///C:\Users\frederique.marsan\AppData\Local\Microsoft\Windows\INetCache\Content.Outlook\OCGQVXFE\Conventions%20de%20t&#233;l&#233;travail%20sign&#233;es\LAGREE%20Sandrine.pdf" TargetMode="External"/><Relationship Id="rId37" Type="http://schemas.openxmlformats.org/officeDocument/2006/relationships/hyperlink" Target="file:///C:\Users\frederique.marsan\AppData\Local\Microsoft\Windows\INetCache\Content.Outlook\OCGQVXFE\Conventions%20de%20t&#233;l&#233;travail%20sign&#233;es\BOCQUIER%20Alexandre.pdf" TargetMode="External"/><Relationship Id="rId58" Type="http://schemas.openxmlformats.org/officeDocument/2006/relationships/hyperlink" Target="file:///C:\Users\frederique.marsan\AppData\Local\Microsoft\Windows\INetCache\Content.Outlook\OCGQVXFE\Conventions%20de%20t&#233;l&#233;travail%20sign&#233;es\BREART%20Thierry.pdf" TargetMode="External"/><Relationship Id="rId79" Type="http://schemas.openxmlformats.org/officeDocument/2006/relationships/hyperlink" Target="file:///C:\Users\frederique.marsan\AppData\Local\Microsoft\Windows\INetCache\Content.Outlook\OCGQVXFE\Conventions%20de%20t&#233;l&#233;travail%20sign&#233;es\DALLEAU%20Bertrand.pdf" TargetMode="External"/><Relationship Id="rId102" Type="http://schemas.openxmlformats.org/officeDocument/2006/relationships/hyperlink" Target="file:///C:\Users\frederique.marsan\AppData\Local\Microsoft\Windows\INetCache\Content.Outlook\OCGQVXFE\Conventions%20de%20t&#233;l&#233;travail%20sign&#233;es\MEDINA%20Wilfrid.pdf" TargetMode="External"/><Relationship Id="rId123" Type="http://schemas.openxmlformats.org/officeDocument/2006/relationships/hyperlink" Target="file:///C:\Users\frederique.marsan\AppData\Local\Microsoft\Windows\INetCache\Content.Outlook\OCGQVXFE\Conventions%20de%20t&#233;l&#233;travail%20sign&#233;es\BUGUET%20Emilie.pdf" TargetMode="External"/><Relationship Id="rId144" Type="http://schemas.openxmlformats.org/officeDocument/2006/relationships/hyperlink" Target="file:///C:\Users\frederique.marsan\AppData\Local\Microsoft\Windows\INetCache\Content.Outlook\OCGQVXFE\Conventions%20de%20t&#233;l&#233;travail%20sign&#233;es\PONS%20Eric.pdf" TargetMode="External"/><Relationship Id="rId90" Type="http://schemas.openxmlformats.org/officeDocument/2006/relationships/hyperlink" Target="file:///C:\Users\frederique.marsan\AppData\Local\Microsoft\Windows\INetCache\Content.Outlook\OCGQVXFE\Conventions%20de%20t&#233;l&#233;travail%20sign&#233;es\REMANDE%20Emmanuelle.pdf" TargetMode="External"/><Relationship Id="rId165" Type="http://schemas.openxmlformats.org/officeDocument/2006/relationships/hyperlink" Target="file:///C:\Users\frederique.marsan\AppData\Local\Microsoft\Windows\INetCache\Content.Outlook\OCGQVXFE\Conventions%20de%20t&#233;l&#233;travail%20sign&#233;es\HERCHET%20Sandrine.pdf" TargetMode="External"/><Relationship Id="rId27" Type="http://schemas.openxmlformats.org/officeDocument/2006/relationships/hyperlink" Target="file:///C:\Users\frederique.marsan\AppData\Local\Microsoft\Windows\INetCache\Content.Outlook\OCGQVXFE\Conventions%20de%20t&#233;l&#233;travail%20sign&#233;es\USECHE%20GUERRERO%20Gael%20D&#233;sir&#233;e.pdf" TargetMode="External"/><Relationship Id="rId48" Type="http://schemas.openxmlformats.org/officeDocument/2006/relationships/hyperlink" Target="file:///C:\Users\frederique.marsan\AppData\Local\Microsoft\Windows\INetCache\Content.Outlook\OCGQVXFE\Conventions%20de%20t&#233;l&#233;travail%20sign&#233;es\CAUCHY%20Laurence.pdf" TargetMode="External"/><Relationship Id="rId69" Type="http://schemas.openxmlformats.org/officeDocument/2006/relationships/hyperlink" Target="file:///C:\Users\frederique.marsan\AppData\Local\Microsoft\Windows\INetCache\Content.Outlook\OCGQVXFE\Conventions%20de%20t&#233;l&#233;travail%20sign&#233;es\PARMENTIER%20Catherine.pdf" TargetMode="External"/><Relationship Id="rId113" Type="http://schemas.openxmlformats.org/officeDocument/2006/relationships/hyperlink" Target="file:///C:\Users\frederique.marsan\AppData\Local\Microsoft\Windows\INetCache\Content.Outlook\OCGQVXFE\Conventions%20de%20t&#233;l&#233;travail%20sign&#233;es\GADOU%20S&#233;bastien.pdf" TargetMode="External"/><Relationship Id="rId134" Type="http://schemas.openxmlformats.org/officeDocument/2006/relationships/hyperlink" Target="file:///C:\Users\frederique.marsan\AppData\Local\Microsoft\Windows\INetCache\Content.Outlook\OCGQVXFE\Conventions%20de%20t&#233;l&#233;travail%20sign&#233;es\EL%20AJMI%20Houaida.pdf" TargetMode="External"/><Relationship Id="rId80" Type="http://schemas.openxmlformats.org/officeDocument/2006/relationships/hyperlink" Target="file:///C:\Users\frederique.marsan\AppData\Local\Microsoft\Windows\INetCache\Content.Outlook\OCGQVXFE\Conventions%20de%20t&#233;l&#233;travail%20sign&#233;es\LEGROS%20Elise.pdf" TargetMode="External"/><Relationship Id="rId155" Type="http://schemas.openxmlformats.org/officeDocument/2006/relationships/hyperlink" Target="file:///C:\Users\frederique.marsan\AppData\Local\Microsoft\Windows\INetCache\Content.Outlook\OCGQVXFE\Conventions%20de%20t&#233;l&#233;travail%20sign&#233;es\ASTREOUD%20Lionel.pdf" TargetMode="External"/><Relationship Id="rId176" Type="http://schemas.openxmlformats.org/officeDocument/2006/relationships/drawing" Target="../drawings/drawing6.xml"/><Relationship Id="rId17" Type="http://schemas.openxmlformats.org/officeDocument/2006/relationships/hyperlink" Target="file:///C:\Users\frederique.marsan\AppData\Local\Microsoft\Windows\INetCache\Content.Outlook\OCGQVXFE\Conventions%20de%20t&#233;l&#233;travail%20sign&#233;es\BOUIS%20Sonia.pdf" TargetMode="External"/><Relationship Id="rId38" Type="http://schemas.openxmlformats.org/officeDocument/2006/relationships/hyperlink" Target="file:///C:\Users\frederique.marsan\AppData\Local\Microsoft\Windows\INetCache\Content.Outlook\OCGQVXFE\Conventions%20de%20t&#233;l&#233;travail%20sign&#233;es\HEDDAJI%20Walid.pdf" TargetMode="External"/><Relationship Id="rId59" Type="http://schemas.openxmlformats.org/officeDocument/2006/relationships/hyperlink" Target="file:///C:\Users\frederique.marsan\AppData\Local\Microsoft\Windows\INetCache\Content.Outlook\OCGQVXFE\Conventions%20de%20t&#233;l&#233;travail%20sign&#233;es\PERRIN%20Elisabeth.pdf" TargetMode="External"/><Relationship Id="rId103" Type="http://schemas.openxmlformats.org/officeDocument/2006/relationships/hyperlink" Target="file:///C:\Users\frederique.marsan\AppData\Local\Microsoft\Windows\INetCache\Content.Outlook\OCGQVXFE\Conventions%20de%20t&#233;l&#233;travail%20sign&#233;es\CHARBONNIER%20Jessica.pdf" TargetMode="External"/><Relationship Id="rId124" Type="http://schemas.openxmlformats.org/officeDocument/2006/relationships/hyperlink" Target="file:///C:\Users\frederique.marsan\AppData\Local\Microsoft\Windows\INetCache\Content.Outlook\OCGQVXFE\Conventions%20de%20t&#233;l&#233;travail%20sign&#233;es\DA%20SILVA%20Chryst&#232;le.pdf" TargetMode="External"/><Relationship Id="rId70" Type="http://schemas.openxmlformats.org/officeDocument/2006/relationships/hyperlink" Target="file:///C:\Users\frederique.marsan\AppData\Local\Microsoft\Windows\INetCache\Content.Outlook\OCGQVXFE\Conventions%20de%20t&#233;l&#233;travail%20sign&#233;es\DUMAS%20Odile.pdf" TargetMode="External"/><Relationship Id="rId91" Type="http://schemas.openxmlformats.org/officeDocument/2006/relationships/hyperlink" Target="file:///C:\Users\frederique.marsan\AppData\Local\Microsoft\Windows\INetCache\Content.Outlook\OCGQVXFE\Conventions%20de%20t&#233;l&#233;travail%20sign&#233;es\ABGRALL%20C&#233;cile.pdf" TargetMode="External"/><Relationship Id="rId145" Type="http://schemas.openxmlformats.org/officeDocument/2006/relationships/hyperlink" Target="file:///C:\Users\frederique.marsan\AppData\Local\Microsoft\Windows\INetCache\Content.Outlook\OCGQVXFE\Conventions%20de%20t&#233;l&#233;travail%20sign&#233;es\LAFAY%20Fabien.pdf" TargetMode="External"/><Relationship Id="rId166" Type="http://schemas.openxmlformats.org/officeDocument/2006/relationships/hyperlink" Target="file:///C:\Users\frederique.marsan\AppData\Local\Microsoft\Windows\INetCache\Content.Outlook\OCGQVXFE\Conventions%20de%20t&#233;l&#233;travail%20sign&#233;es\YANG%20Xiao%20Lucien.pdf" TargetMode="External"/><Relationship Id="rId1" Type="http://schemas.openxmlformats.org/officeDocument/2006/relationships/hyperlink" Target="file:///C:\Users\frederique.marsan\AppData\Local\Microsoft\Windows\INetCache\Content.Outlook\OCGQVXFE\Conventions%20de%20t&#233;l&#233;travail%20sign&#233;es\CHARLAS%20Joseph-Michel.pdf"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8.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5"/>
  </sheetPr>
  <dimension ref="A1:AE74"/>
  <sheetViews>
    <sheetView showGridLines="0" showZeros="0" zoomScaleNormal="100" workbookViewId="0">
      <pane xSplit="4" ySplit="2" topLeftCell="E14" activePane="bottomRight" state="frozen"/>
      <selection pane="topRight" activeCell="D1" sqref="D1"/>
      <selection pane="bottomLeft" activeCell="A3" sqref="A3"/>
      <selection pane="bottomRight" activeCell="A3" sqref="A3:AE32"/>
    </sheetView>
  </sheetViews>
  <sheetFormatPr baseColWidth="10" defaultColWidth="14.42578125" defaultRowHeight="21.75" customHeight="1" x14ac:dyDescent="0.25"/>
  <cols>
    <col min="1" max="1" width="6.42578125" style="357" customWidth="1"/>
    <col min="2" max="2" width="6" style="374" customWidth="1"/>
    <col min="3" max="3" width="6" style="43" customWidth="1"/>
    <col min="4" max="4" width="15.42578125" style="43" customWidth="1"/>
    <col min="5" max="6" width="13" style="43" customWidth="1"/>
    <col min="7" max="7" width="8.7109375" style="43" customWidth="1"/>
    <col min="8" max="8" width="12.28515625" style="375" customWidth="1"/>
    <col min="9" max="9" width="9.28515625" style="43" customWidth="1"/>
    <col min="10" max="10" width="12.28515625" style="43" customWidth="1"/>
    <col min="11" max="11" width="10.28515625" style="43" customWidth="1"/>
    <col min="12" max="12" width="10.85546875" style="43" customWidth="1"/>
    <col min="13" max="13" width="9.42578125" style="43" customWidth="1"/>
    <col min="14" max="14" width="8.5703125" style="43" customWidth="1"/>
    <col min="15" max="15" width="8" style="43" customWidth="1"/>
    <col min="16" max="17" width="14.42578125" style="374"/>
    <col min="18" max="18" width="8.5703125" style="374" customWidth="1"/>
    <col min="19" max="19" width="14.42578125" style="374"/>
    <col min="20" max="20" width="10.28515625" style="374" customWidth="1"/>
    <col min="21" max="21" width="9.42578125" style="374" customWidth="1"/>
    <col min="22" max="22" width="10.5703125" style="374" customWidth="1"/>
    <col min="23" max="25" width="14.42578125" style="374"/>
    <col min="26" max="26" width="14.42578125" style="43"/>
    <col min="27" max="28" width="14.42578125" style="374"/>
    <col min="29" max="16384" width="14.42578125" style="43"/>
  </cols>
  <sheetData>
    <row r="1" spans="1:31" s="356" customFormat="1" ht="52.5" customHeight="1" x14ac:dyDescent="0.25">
      <c r="A1" s="354"/>
      <c r="B1" s="396" t="s">
        <v>7</v>
      </c>
      <c r="C1" s="396"/>
      <c r="D1" s="396"/>
      <c r="E1" s="396"/>
      <c r="F1" s="396"/>
      <c r="G1" s="396"/>
      <c r="H1" s="396"/>
      <c r="I1" s="355"/>
      <c r="J1" s="397" t="s">
        <v>12</v>
      </c>
      <c r="K1" s="397"/>
      <c r="L1" s="397"/>
      <c r="M1" s="397" t="s">
        <v>13</v>
      </c>
      <c r="N1" s="397"/>
      <c r="O1" s="397"/>
      <c r="P1" s="396" t="s">
        <v>8</v>
      </c>
      <c r="Q1" s="396"/>
      <c r="R1" s="396"/>
      <c r="S1" s="396"/>
      <c r="T1" s="396"/>
      <c r="U1" s="396"/>
      <c r="V1" s="396"/>
      <c r="W1" s="397" t="s">
        <v>9</v>
      </c>
      <c r="X1" s="397"/>
      <c r="Y1" s="397"/>
      <c r="Z1" s="397"/>
      <c r="AA1" s="397"/>
      <c r="AB1" s="397"/>
      <c r="AC1" s="397"/>
      <c r="AD1" s="397"/>
    </row>
    <row r="2" spans="1:31" s="187" customFormat="1" ht="21.75" customHeight="1" x14ac:dyDescent="0.25">
      <c r="A2" s="357" t="s">
        <v>236</v>
      </c>
      <c r="B2" s="358" t="s">
        <v>2993</v>
      </c>
      <c r="C2" s="358" t="s">
        <v>97</v>
      </c>
      <c r="D2" s="358" t="s">
        <v>0</v>
      </c>
      <c r="E2" s="358" t="s">
        <v>1</v>
      </c>
      <c r="F2" s="358" t="s">
        <v>2</v>
      </c>
      <c r="G2" s="358" t="s">
        <v>6</v>
      </c>
      <c r="H2" s="159" t="s">
        <v>5</v>
      </c>
      <c r="I2" s="358" t="s">
        <v>78</v>
      </c>
      <c r="J2" s="358" t="s">
        <v>107</v>
      </c>
      <c r="K2" s="358" t="s">
        <v>277</v>
      </c>
      <c r="L2" s="358" t="s">
        <v>278</v>
      </c>
      <c r="M2" s="358" t="s">
        <v>279</v>
      </c>
      <c r="N2" s="358" t="s">
        <v>231</v>
      </c>
      <c r="O2" s="358" t="s">
        <v>280</v>
      </c>
      <c r="P2" s="358" t="s">
        <v>281</v>
      </c>
      <c r="Q2" s="358" t="s">
        <v>3</v>
      </c>
      <c r="R2" s="359" t="s">
        <v>232</v>
      </c>
      <c r="S2" s="358" t="s">
        <v>4</v>
      </c>
      <c r="T2" s="358" t="s">
        <v>44</v>
      </c>
      <c r="U2" s="358" t="s">
        <v>56</v>
      </c>
      <c r="V2" s="358" t="s">
        <v>77</v>
      </c>
      <c r="W2" s="358" t="s">
        <v>43</v>
      </c>
      <c r="X2" s="358" t="s">
        <v>233</v>
      </c>
      <c r="Y2" s="359" t="s">
        <v>234</v>
      </c>
      <c r="Z2" s="358" t="s">
        <v>10</v>
      </c>
      <c r="AA2" s="358" t="s">
        <v>11</v>
      </c>
      <c r="AB2" s="358" t="s">
        <v>14</v>
      </c>
      <c r="AC2" s="159" t="s">
        <v>98</v>
      </c>
      <c r="AD2" s="358" t="s">
        <v>15</v>
      </c>
      <c r="AE2" s="358" t="s">
        <v>235</v>
      </c>
    </row>
    <row r="3" spans="1:31" ht="21.75" customHeight="1" x14ac:dyDescent="0.25">
      <c r="A3" s="360">
        <v>107</v>
      </c>
      <c r="B3" s="395" t="str">
        <f>IFERROR(IF(VLOOKUP(T_suiviDi[[#This Row],[NumL]],T_TraitDi[#Data],COLUMN(T_TraitDi[[#This Row],[Statut]]),FALSE)&lt;&gt;"",VLOOKUP(T_suiviDi[[#This Row],[NumL]],T_TraitDi[#Data],COLUMN(T_TraitDi[[#This Row],[Statut]]),FALSE),""),"")</f>
        <v/>
      </c>
      <c r="C3" s="361" t="s">
        <v>312</v>
      </c>
      <c r="D3" s="362" t="s">
        <v>308</v>
      </c>
      <c r="E3" s="361" t="s">
        <v>358</v>
      </c>
      <c r="F3" s="179"/>
      <c r="G3" s="363" t="s">
        <v>19</v>
      </c>
      <c r="H3" s="364"/>
      <c r="I3" s="365" t="s">
        <v>724</v>
      </c>
      <c r="J3" s="365" t="s">
        <v>219</v>
      </c>
      <c r="K3" s="361" t="s">
        <v>445</v>
      </c>
      <c r="L3" s="361" t="s">
        <v>767</v>
      </c>
      <c r="M3" s="180"/>
      <c r="N3" s="361"/>
      <c r="O3" s="361" t="s">
        <v>373</v>
      </c>
      <c r="P3" s="180"/>
      <c r="Q3" s="366">
        <v>44326</v>
      </c>
      <c r="R3" s="367" t="str">
        <f t="shared" ref="R3:R32" si="0">IF(AND(Q3&lt;&gt;"",Q3&gt;Daterendudossier),3,"")</f>
        <v/>
      </c>
      <c r="S3" s="366">
        <v>44326</v>
      </c>
      <c r="T3" s="369">
        <f>IFERROR(IF(T_suiviDi[[#This Row],[Nom]]&lt;&gt;"",VLOOKUP(T_suiviDi[[#This Row],[NumL]],TraitementDI,16,FALSE),""),"")</f>
        <v>1</v>
      </c>
      <c r="U3" s="369" t="str">
        <f t="shared" ref="U3:U32" si="1">IF(D3&lt;&gt;"",IFERROR(VLOOKUP(A3,TraitementDI,69,FALSE),""),"")</f>
        <v>OK</v>
      </c>
      <c r="V3" s="369">
        <f>IF(D3&lt;&gt;"",IFERROR(IF(AND(VLOOKUP(A3,T_Commission[#Data],COLUMN(T_Commission[[#This Row],[COM '#2]]),FALSE)="",VLOOKUP(A3,T_Commission[#Data],COLUMN(T_Commission[[#This Row],[COM '#1]]),FALSE)=""),"",IF(VLOOKUP(A3,T_Commission[#Data],COLUMN(T_Commission[[#This Row],[COM '#2]]),FALSE)&lt;&gt;"",VLOOKUP(A3,T_Commission[#Data],COLUMN(T_Commission[[#This Row],[COM '#2]]),FALSE),VLOOKUP(A3,T_Commission[#Data],COLUMN(T_Commission[[#This Row],[COM '#1]]),FALSE))),""),"")</f>
        <v>1</v>
      </c>
      <c r="W3" s="369">
        <f>IF(T_suiviDi[[#This Row],[Nom]]&lt;&gt;"",IFERROR(VLOOKUP(T_suiviDi[[#This Row],[NumL]],T_Commission[#Data],COLUMN(T_Commission[[#This Row],[FINAL]]),FALSE),""),"")</f>
        <v>1</v>
      </c>
      <c r="X3" s="366">
        <v>44326</v>
      </c>
      <c r="Y3" s="367" t="str">
        <f t="shared" ref="Y3:Y32" si="2">IF(Q3="","",IF(X3="",2,IF(X3&gt;Daterenduavis,3,"")))</f>
        <v/>
      </c>
      <c r="Z3" s="368">
        <v>44326</v>
      </c>
      <c r="AA3" s="370">
        <v>1</v>
      </c>
      <c r="AB3" s="370"/>
      <c r="AC3" s="370"/>
      <c r="AD3" s="216"/>
      <c r="AE3" s="187">
        <f>IFERROR(VALUE(RIGHT(T_suiviDi[[#Data],[NumL]],3)),0)</f>
        <v>107</v>
      </c>
    </row>
    <row r="4" spans="1:31" ht="21.75" customHeight="1" x14ac:dyDescent="0.25">
      <c r="A4" s="360">
        <v>264</v>
      </c>
      <c r="B4" s="372" t="str">
        <f>IFERROR(IF(VLOOKUP(T_suiviDi[[#This Row],[NumL]],T_TraitDi[#Data],COLUMN(T_TraitDi[[#This Row],[Statut]]),FALSE)&lt;&gt;"",VLOOKUP(T_suiviDi[[#This Row],[NumL]],T_TraitDi[#Data],COLUMN(T_TraitDi[[#This Row],[Statut]]),FALSE),""),"")</f>
        <v>NOUV</v>
      </c>
      <c r="C4" s="361" t="s">
        <v>312</v>
      </c>
      <c r="D4" s="362" t="s">
        <v>308</v>
      </c>
      <c r="E4" s="361" t="s">
        <v>767</v>
      </c>
      <c r="F4" s="179"/>
      <c r="G4" s="363" t="s">
        <v>16</v>
      </c>
      <c r="H4" s="364" t="s">
        <v>1160</v>
      </c>
      <c r="I4" s="365" t="s">
        <v>1161</v>
      </c>
      <c r="J4" s="365" t="s">
        <v>648</v>
      </c>
      <c r="K4" s="361" t="s">
        <v>445</v>
      </c>
      <c r="L4" s="361" t="s">
        <v>527</v>
      </c>
      <c r="M4" s="180"/>
      <c r="N4" s="361"/>
      <c r="O4" s="361" t="s">
        <v>332</v>
      </c>
      <c r="P4" s="180"/>
      <c r="Q4" s="366">
        <v>44343</v>
      </c>
      <c r="R4" s="367" t="str">
        <f t="shared" si="0"/>
        <v/>
      </c>
      <c r="S4" s="366">
        <v>44343</v>
      </c>
      <c r="T4" s="369">
        <f>IFERROR(IF(T_suiviDi[[#This Row],[Nom]]&lt;&gt;"",VLOOKUP(T_suiviDi[[#This Row],[NumL]],TraitementDI,16,FALSE),""),"")</f>
        <v>1</v>
      </c>
      <c r="U4" s="369" t="str">
        <f t="shared" si="1"/>
        <v/>
      </c>
      <c r="V4" s="369">
        <f>IF(D4&lt;&gt;"",IFERROR(IF(AND(VLOOKUP(A4,T_Commission[#Data],COLUMN(T_Commission[[#This Row],[COM '#2]]),FALSE)="",VLOOKUP(A4,T_Commission[#Data],COLUMN(T_Commission[[#This Row],[COM '#1]]),FALSE)=""),"",IF(VLOOKUP(A4,T_Commission[#Data],COLUMN(T_Commission[[#This Row],[COM '#2]]),FALSE)&lt;&gt;"",VLOOKUP(A4,T_Commission[#Data],COLUMN(T_Commission[[#This Row],[COM '#2]]),FALSE),VLOOKUP(A4,T_Commission[#Data],COLUMN(T_Commission[[#This Row],[COM '#1]]),FALSE))),""),"")</f>
        <v>1</v>
      </c>
      <c r="W4" s="369">
        <f>IF(T_suiviDi[[#This Row],[Nom]]&lt;&gt;"",IFERROR(VLOOKUP(T_suiviDi[[#This Row],[NumL]],T_Commission[#Data],COLUMN(T_Commission[[#This Row],[FINAL]]),FALSE),""),"")</f>
        <v>1</v>
      </c>
      <c r="X4" s="366">
        <v>44362</v>
      </c>
      <c r="Y4" s="367" t="str">
        <f t="shared" si="2"/>
        <v/>
      </c>
      <c r="Z4" s="368">
        <v>44355</v>
      </c>
      <c r="AA4" s="370">
        <v>1</v>
      </c>
      <c r="AB4" s="370">
        <v>1</v>
      </c>
      <c r="AC4" s="370"/>
      <c r="AD4" s="216"/>
      <c r="AE4" s="187">
        <f>IFERROR(VALUE(RIGHT(T_suiviDi[[#Data],[NumL]],3)),0)</f>
        <v>264</v>
      </c>
    </row>
    <row r="5" spans="1:31" ht="21.75" customHeight="1" x14ac:dyDescent="0.25">
      <c r="A5" s="360">
        <v>346</v>
      </c>
      <c r="B5" s="371" t="str">
        <f>IFERROR(IF(VLOOKUP(T_suiviDi[[#This Row],[NumL]],T_TraitDi[#Data],COLUMN(T_TraitDi[[#This Row],[Statut]]),FALSE)&lt;&gt;"",VLOOKUP(T_suiviDi[[#This Row],[NumL]],T_TraitDi[#Data],COLUMN(T_TraitDi[[#This Row],[Statut]]),FALSE),""),"")</f>
        <v>NOUV</v>
      </c>
      <c r="C5" s="361" t="s">
        <v>312</v>
      </c>
      <c r="D5" s="362" t="s">
        <v>308</v>
      </c>
      <c r="E5" s="361" t="s">
        <v>3639</v>
      </c>
      <c r="F5" s="179"/>
      <c r="G5" s="363" t="s">
        <v>888</v>
      </c>
      <c r="H5" s="364"/>
      <c r="I5" s="365"/>
      <c r="J5" s="365" t="s">
        <v>327</v>
      </c>
      <c r="K5" s="361" t="s">
        <v>445</v>
      </c>
      <c r="L5" s="361" t="s">
        <v>548</v>
      </c>
      <c r="M5" s="180"/>
      <c r="N5" s="361"/>
      <c r="O5" s="361"/>
      <c r="P5" s="180"/>
      <c r="Q5" s="366">
        <v>44350</v>
      </c>
      <c r="R5" s="367">
        <f t="shared" si="0"/>
        <v>3</v>
      </c>
      <c r="S5" s="366">
        <v>44350</v>
      </c>
      <c r="T5" s="369">
        <f>IFERROR(IF(T_suiviDi[[#This Row],[Nom]]&lt;&gt;"",VLOOKUP(T_suiviDi[[#This Row],[NumL]],TraitementDI,16,FALSE),""),"")</f>
        <v>1</v>
      </c>
      <c r="U5" s="369" t="str">
        <f t="shared" si="1"/>
        <v>OK</v>
      </c>
      <c r="V5" s="369">
        <f>IF(D5&lt;&gt;"",IFERROR(IF(AND(VLOOKUP(A5,T_Commission[#Data],COLUMN(T_Commission[[#This Row],[COM '#2]]),FALSE)="",VLOOKUP(A5,T_Commission[#Data],COLUMN(T_Commission[[#This Row],[COM '#1]]),FALSE)=""),"",IF(VLOOKUP(A5,T_Commission[#Data],COLUMN(T_Commission[[#This Row],[COM '#2]]),FALSE)&lt;&gt;"",VLOOKUP(A5,T_Commission[#Data],COLUMN(T_Commission[[#This Row],[COM '#2]]),FALSE),VLOOKUP(A5,T_Commission[#Data],COLUMN(T_Commission[[#This Row],[COM '#1]]),FALSE))),""),"")</f>
        <v>1</v>
      </c>
      <c r="W5" s="369" t="str">
        <f>IF(T_suiviDi[[#This Row],[Nom]]&lt;&gt;"",IFERROR(VLOOKUP(T_suiviDi[[#This Row],[NumL]],T_Commission[#Data],COLUMN(T_Commission[[#This Row],[FINAL]]),FALSE),""),"")</f>
        <v/>
      </c>
      <c r="X5" s="366">
        <v>44356</v>
      </c>
      <c r="Y5" s="367" t="str">
        <f t="shared" si="2"/>
        <v/>
      </c>
      <c r="Z5" s="368">
        <v>44356</v>
      </c>
      <c r="AA5" s="370">
        <v>2</v>
      </c>
      <c r="AB5" s="370"/>
      <c r="AC5" s="370" t="s">
        <v>913</v>
      </c>
      <c r="AD5" s="216"/>
      <c r="AE5" s="187">
        <f>IFERROR(VALUE(RIGHT(T_suiviDi[[#Data],[NumL]],3)),0)</f>
        <v>346</v>
      </c>
    </row>
    <row r="6" spans="1:31" ht="21.75" customHeight="1" x14ac:dyDescent="0.25">
      <c r="A6" s="360">
        <v>221</v>
      </c>
      <c r="B6" s="371" t="str">
        <f>IFERROR(IF(VLOOKUP(T_suiviDi[[#This Row],[NumL]],T_TraitDi[#Data],COLUMN(T_TraitDi[[#This Row],[Statut]]),FALSE)&lt;&gt;"",VLOOKUP(T_suiviDi[[#This Row],[NumL]],T_TraitDi[#Data],COLUMN(T_TraitDi[[#This Row],[Statut]]),FALSE),""),"")</f>
        <v>RENVL</v>
      </c>
      <c r="C6" s="361" t="s">
        <v>312</v>
      </c>
      <c r="D6" s="362" t="s">
        <v>308</v>
      </c>
      <c r="E6" s="361" t="s">
        <v>507</v>
      </c>
      <c r="F6" s="179"/>
      <c r="G6" s="363" t="s">
        <v>990</v>
      </c>
      <c r="H6" s="364" t="s">
        <v>204</v>
      </c>
      <c r="I6" s="365" t="s">
        <v>1118</v>
      </c>
      <c r="J6" s="365" t="s">
        <v>648</v>
      </c>
      <c r="K6" s="361" t="s">
        <v>445</v>
      </c>
      <c r="L6" s="361" t="s">
        <v>1119</v>
      </c>
      <c r="M6" s="180"/>
      <c r="N6" s="361"/>
      <c r="O6" s="361" t="s">
        <v>347</v>
      </c>
      <c r="P6" s="180"/>
      <c r="Q6" s="366">
        <v>44344</v>
      </c>
      <c r="R6" s="367" t="str">
        <f t="shared" si="0"/>
        <v/>
      </c>
      <c r="S6" s="366">
        <v>44344</v>
      </c>
      <c r="T6" s="369">
        <f>IFERROR(IF(T_suiviDi[[#This Row],[Nom]]&lt;&gt;"",VLOOKUP(T_suiviDi[[#This Row],[NumL]],TraitementDI,16,FALSE),""),"")</f>
        <v>1</v>
      </c>
      <c r="U6" s="369" t="str">
        <f t="shared" si="1"/>
        <v>OK</v>
      </c>
      <c r="V6" s="369">
        <f>IF(D6&lt;&gt;"",IFERROR(IF(AND(VLOOKUP(A6,T_Commission[#Data],COLUMN(T_Commission[[#This Row],[COM '#2]]),FALSE)="",VLOOKUP(A6,T_Commission[#Data],COLUMN(T_Commission[[#This Row],[COM '#1]]),FALSE)=""),"",IF(VLOOKUP(A6,T_Commission[#Data],COLUMN(T_Commission[[#This Row],[COM '#2]]),FALSE)&lt;&gt;"",VLOOKUP(A6,T_Commission[#Data],COLUMN(T_Commission[[#This Row],[COM '#2]]),FALSE),VLOOKUP(A6,T_Commission[#Data],COLUMN(T_Commission[[#This Row],[COM '#1]]),FALSE))),""),"")</f>
        <v>1</v>
      </c>
      <c r="W6" s="369">
        <f>IF(T_suiviDi[[#This Row],[Nom]]&lt;&gt;"",IFERROR(VLOOKUP(T_suiviDi[[#This Row],[NumL]],T_Commission[#Data],COLUMN(T_Commission[[#This Row],[FINAL]]),FALSE),""),"")</f>
        <v>1</v>
      </c>
      <c r="X6" s="366">
        <v>44344</v>
      </c>
      <c r="Y6" s="367" t="str">
        <f t="shared" si="2"/>
        <v/>
      </c>
      <c r="Z6" s="368">
        <v>44344</v>
      </c>
      <c r="AA6" s="370">
        <v>1</v>
      </c>
      <c r="AB6" s="370"/>
      <c r="AC6" s="370"/>
      <c r="AD6" s="216"/>
      <c r="AE6" s="187">
        <f>IFERROR(VALUE(RIGHT(T_suiviDi[[#Data],[NumL]],3)),0)</f>
        <v>221</v>
      </c>
    </row>
    <row r="7" spans="1:31" ht="21.75" customHeight="1" x14ac:dyDescent="0.25">
      <c r="A7" s="360">
        <v>340</v>
      </c>
      <c r="B7" s="371" t="str">
        <f>IFERROR(IF(VLOOKUP(T_suiviDi[[#This Row],[NumL]],T_TraitDi[#Data],COLUMN(T_TraitDi[[#This Row],[Statut]]),FALSE)&lt;&gt;"",VLOOKUP(T_suiviDi[[#This Row],[NumL]],T_TraitDi[#Data],COLUMN(T_TraitDi[[#This Row],[Statut]]),FALSE),""),"")</f>
        <v>NOUV</v>
      </c>
      <c r="C7" s="361" t="s">
        <v>312</v>
      </c>
      <c r="D7" s="362" t="s">
        <v>308</v>
      </c>
      <c r="E7" s="361" t="s">
        <v>3580</v>
      </c>
      <c r="F7" s="179"/>
      <c r="G7" s="363" t="s">
        <v>16</v>
      </c>
      <c r="H7" s="364" t="s">
        <v>315</v>
      </c>
      <c r="I7" s="365" t="s">
        <v>316</v>
      </c>
      <c r="J7" s="365" t="s">
        <v>648</v>
      </c>
      <c r="K7" s="361" t="s">
        <v>445</v>
      </c>
      <c r="L7" s="361" t="s">
        <v>486</v>
      </c>
      <c r="M7" s="180"/>
      <c r="N7" s="361"/>
      <c r="O7" s="361" t="s">
        <v>332</v>
      </c>
      <c r="P7" s="180"/>
      <c r="Q7" s="366">
        <v>44344</v>
      </c>
      <c r="R7" s="367" t="str">
        <f t="shared" si="0"/>
        <v/>
      </c>
      <c r="S7" s="366">
        <v>44344</v>
      </c>
      <c r="T7" s="369">
        <f>IFERROR(IF(T_suiviDi[[#This Row],[Nom]]&lt;&gt;"",VLOOKUP(T_suiviDi[[#This Row],[NumL]],TraitementDI,16,FALSE),""),"")</f>
        <v>1</v>
      </c>
      <c r="U7" s="369" t="str">
        <f t="shared" si="1"/>
        <v>OK</v>
      </c>
      <c r="V7" s="369">
        <f>IF(D7&lt;&gt;"",IFERROR(IF(AND(VLOOKUP(A7,T_Commission[#Data],COLUMN(T_Commission[[#This Row],[COM '#2]]),FALSE)="",VLOOKUP(A7,T_Commission[#Data],COLUMN(T_Commission[[#This Row],[COM '#1]]),FALSE)=""),"",IF(VLOOKUP(A7,T_Commission[#Data],COLUMN(T_Commission[[#This Row],[COM '#2]]),FALSE)&lt;&gt;"",VLOOKUP(A7,T_Commission[#Data],COLUMN(T_Commission[[#This Row],[COM '#2]]),FALSE),VLOOKUP(A7,T_Commission[#Data],COLUMN(T_Commission[[#This Row],[COM '#1]]),FALSE))),""),"")</f>
        <v>1</v>
      </c>
      <c r="W7" s="369" t="str">
        <f>IF(T_suiviDi[[#This Row],[Nom]]&lt;&gt;"",IFERROR(VLOOKUP(T_suiviDi[[#This Row],[NumL]],T_Commission[#Data],COLUMN(T_Commission[[#This Row],[FINAL]]),FALSE),""),"")</f>
        <v/>
      </c>
      <c r="X7" s="366">
        <v>44363</v>
      </c>
      <c r="Y7" s="367" t="str">
        <f t="shared" si="2"/>
        <v/>
      </c>
      <c r="Z7" s="368">
        <v>44357</v>
      </c>
      <c r="AA7" s="370">
        <v>1</v>
      </c>
      <c r="AB7" s="370">
        <v>1</v>
      </c>
      <c r="AC7" s="370"/>
      <c r="AD7" s="216"/>
      <c r="AE7" s="187">
        <f>IFERROR(VALUE(RIGHT(T_suiviDi[[#Data],[NumL]],3)),0)</f>
        <v>340</v>
      </c>
    </row>
    <row r="8" spans="1:31" ht="21.75" customHeight="1" x14ac:dyDescent="0.25">
      <c r="A8" s="360">
        <v>12</v>
      </c>
      <c r="B8" s="372" t="str">
        <f>IFERROR(IF(VLOOKUP(T_suiviDi[[#This Row],[NumL]],T_TraitDi[#Data],COLUMN(T_TraitDi[[#This Row],[Statut]]),FALSE)&lt;&gt;"",VLOOKUP(T_suiviDi[[#This Row],[NumL]],T_TraitDi[#Data],COLUMN(T_TraitDi[[#This Row],[Statut]]),FALSE),""),"")</f>
        <v>RENVL</v>
      </c>
      <c r="C8" s="361" t="s">
        <v>283</v>
      </c>
      <c r="D8" s="362" t="s">
        <v>308</v>
      </c>
      <c r="E8" s="361" t="s">
        <v>382</v>
      </c>
      <c r="F8" s="179"/>
      <c r="G8" s="363" t="s">
        <v>16</v>
      </c>
      <c r="H8" s="364" t="s">
        <v>383</v>
      </c>
      <c r="I8" s="365" t="s">
        <v>356</v>
      </c>
      <c r="J8" s="365" t="s">
        <v>223</v>
      </c>
      <c r="K8" s="361" t="s">
        <v>445</v>
      </c>
      <c r="L8" s="361" t="s">
        <v>385</v>
      </c>
      <c r="M8" s="180"/>
      <c r="N8" s="361"/>
      <c r="O8" s="361" t="s">
        <v>332</v>
      </c>
      <c r="P8" s="180"/>
      <c r="Q8" s="366">
        <v>44341</v>
      </c>
      <c r="R8" s="367" t="str">
        <f t="shared" si="0"/>
        <v/>
      </c>
      <c r="S8" s="366">
        <v>44341</v>
      </c>
      <c r="T8" s="369">
        <f>IFERROR(IF(T_suiviDi[[#This Row],[Nom]]&lt;&gt;"",VLOOKUP(T_suiviDi[[#This Row],[NumL]],TraitementDI,16,FALSE),""),"")</f>
        <v>1</v>
      </c>
      <c r="U8" s="369" t="str">
        <f t="shared" si="1"/>
        <v>OK</v>
      </c>
      <c r="V8" s="369">
        <f>IF(D8&lt;&gt;"",IFERROR(IF(AND(VLOOKUP(A8,T_Commission[#Data],COLUMN(T_Commission[[#This Row],[COM '#2]]),FALSE)="",VLOOKUP(A8,T_Commission[#Data],COLUMN(T_Commission[[#This Row],[COM '#1]]),FALSE)=""),"",IF(VLOOKUP(A8,T_Commission[#Data],COLUMN(T_Commission[[#This Row],[COM '#2]]),FALSE)&lt;&gt;"",VLOOKUP(A8,T_Commission[#Data],COLUMN(T_Commission[[#This Row],[COM '#2]]),FALSE),VLOOKUP(A8,T_Commission[#Data],COLUMN(T_Commission[[#This Row],[COM '#1]]),FALSE))),""),"")</f>
        <v>1</v>
      </c>
      <c r="W8" s="369">
        <f>IF(T_suiviDi[[#This Row],[Nom]]&lt;&gt;"",IFERROR(VLOOKUP(T_suiviDi[[#This Row],[NumL]],T_Commission[#Data],COLUMN(T_Commission[[#This Row],[FINAL]]),FALSE),""),"")</f>
        <v>1</v>
      </c>
      <c r="X8" s="366">
        <v>44357</v>
      </c>
      <c r="Y8" s="367" t="str">
        <f t="shared" si="2"/>
        <v/>
      </c>
      <c r="Z8" s="368">
        <v>44287</v>
      </c>
      <c r="AA8" s="370">
        <v>1</v>
      </c>
      <c r="AB8" s="370"/>
      <c r="AC8" s="370"/>
      <c r="AD8" s="216"/>
      <c r="AE8" s="187">
        <f>IFERROR(VALUE(RIGHT(T_suiviDi[[#Data],[NumL]],3)),0)</f>
        <v>12</v>
      </c>
    </row>
    <row r="9" spans="1:31" ht="21.75" customHeight="1" x14ac:dyDescent="0.25">
      <c r="A9" s="360">
        <v>298</v>
      </c>
      <c r="B9" s="371" t="str">
        <f>IFERROR(IF(VLOOKUP(T_suiviDi[[#This Row],[NumL]],T_TraitDi[#Data],COLUMN(T_TraitDi[[#This Row],[Statut]]),FALSE)&lt;&gt;"",VLOOKUP(T_suiviDi[[#This Row],[NumL]],T_TraitDi[#Data],COLUMN(T_TraitDi[[#This Row],[Statut]]),FALSE),""),"")</f>
        <v>NOUV</v>
      </c>
      <c r="C9" s="361" t="s">
        <v>312</v>
      </c>
      <c r="D9" s="362" t="s">
        <v>308</v>
      </c>
      <c r="E9" s="361" t="s">
        <v>908</v>
      </c>
      <c r="F9" s="179"/>
      <c r="G9" s="363" t="s">
        <v>17</v>
      </c>
      <c r="H9" s="364"/>
      <c r="I9" s="365" t="s">
        <v>3570</v>
      </c>
      <c r="J9" s="365" t="s">
        <v>1041</v>
      </c>
      <c r="K9" s="361" t="s">
        <v>445</v>
      </c>
      <c r="L9" s="361" t="s">
        <v>360</v>
      </c>
      <c r="M9" s="180"/>
      <c r="N9" s="361"/>
      <c r="O9" s="361"/>
      <c r="P9" s="180"/>
      <c r="Q9" s="366">
        <v>44335</v>
      </c>
      <c r="R9" s="367" t="str">
        <f t="shared" si="0"/>
        <v/>
      </c>
      <c r="S9" s="366">
        <v>44335</v>
      </c>
      <c r="T9" s="369">
        <f>IFERROR(IF(T_suiviDi[[#This Row],[Nom]]&lt;&gt;"",VLOOKUP(T_suiviDi[[#This Row],[NumL]],TraitementDI,16,FALSE),""),"")</f>
        <v>1</v>
      </c>
      <c r="U9" s="369" t="str">
        <f t="shared" si="1"/>
        <v>OK</v>
      </c>
      <c r="V9" s="369">
        <f>IF(D9&lt;&gt;"",IFERROR(IF(AND(VLOOKUP(A9,T_Commission[#Data],COLUMN(T_Commission[[#This Row],[COM '#2]]),FALSE)="",VLOOKUP(A9,T_Commission[#Data],COLUMN(T_Commission[[#This Row],[COM '#1]]),FALSE)=""),"",IF(VLOOKUP(A9,T_Commission[#Data],COLUMN(T_Commission[[#This Row],[COM '#2]]),FALSE)&lt;&gt;"",VLOOKUP(A9,T_Commission[#Data],COLUMN(T_Commission[[#This Row],[COM '#2]]),FALSE),VLOOKUP(A9,T_Commission[#Data],COLUMN(T_Commission[[#This Row],[COM '#1]]),FALSE))),""),"")</f>
        <v>1</v>
      </c>
      <c r="W9" s="369" t="str">
        <f>IF(T_suiviDi[[#This Row],[Nom]]&lt;&gt;"",IFERROR(VLOOKUP(T_suiviDi[[#This Row],[NumL]],T_Commission[#Data],COLUMN(T_Commission[[#This Row],[FINAL]]),FALSE),""),"")</f>
        <v/>
      </c>
      <c r="X9" s="366">
        <v>44351</v>
      </c>
      <c r="Y9" s="367" t="str">
        <f t="shared" si="2"/>
        <v/>
      </c>
      <c r="Z9" s="368">
        <v>44333</v>
      </c>
      <c r="AA9" s="370">
        <v>1</v>
      </c>
      <c r="AB9" s="370"/>
      <c r="AC9" s="370"/>
      <c r="AD9" s="216"/>
      <c r="AE9" s="187">
        <f>IFERROR(VALUE(RIGHT(T_suiviDi[[#Data],[NumL]],3)),0)</f>
        <v>298</v>
      </c>
    </row>
    <row r="10" spans="1:31" ht="21.75" customHeight="1" x14ac:dyDescent="0.25">
      <c r="A10" s="360">
        <v>291</v>
      </c>
      <c r="B10" s="372" t="str">
        <f>IFERROR(IF(VLOOKUP(T_suiviDi[[#This Row],[NumL]],T_TraitDi[#Data],COLUMN(T_TraitDi[[#This Row],[Statut]]),FALSE)&lt;&gt;"",VLOOKUP(T_suiviDi[[#This Row],[NumL]],T_TraitDi[#Data],COLUMN(T_TraitDi[[#This Row],[Statut]]),FALSE),""),"")</f>
        <v>NOUV</v>
      </c>
      <c r="C10" s="361" t="s">
        <v>312</v>
      </c>
      <c r="D10" s="362" t="s">
        <v>308</v>
      </c>
      <c r="E10" s="361" t="s">
        <v>3552</v>
      </c>
      <c r="F10" s="179"/>
      <c r="G10" s="363" t="s">
        <v>16</v>
      </c>
      <c r="H10" s="364" t="s">
        <v>3553</v>
      </c>
      <c r="I10" s="365" t="s">
        <v>3554</v>
      </c>
      <c r="J10" s="365" t="s">
        <v>223</v>
      </c>
      <c r="K10" s="361" t="s">
        <v>445</v>
      </c>
      <c r="L10" s="361" t="s">
        <v>878</v>
      </c>
      <c r="M10" s="180"/>
      <c r="N10" s="361"/>
      <c r="O10" s="361" t="s">
        <v>332</v>
      </c>
      <c r="P10" s="180"/>
      <c r="Q10" s="366">
        <v>44328</v>
      </c>
      <c r="R10" s="367" t="str">
        <f t="shared" si="0"/>
        <v/>
      </c>
      <c r="S10" s="366">
        <v>44328</v>
      </c>
      <c r="T10" s="369">
        <f>IFERROR(IF(T_suiviDi[[#This Row],[Nom]]&lt;&gt;"",VLOOKUP(T_suiviDi[[#This Row],[NumL]],TraitementDI,16,FALSE),""),"")</f>
        <v>1</v>
      </c>
      <c r="U10" s="369" t="str">
        <f t="shared" si="1"/>
        <v>OK</v>
      </c>
      <c r="V10" s="369">
        <f>IF(D10&lt;&gt;"",IFERROR(IF(AND(VLOOKUP(A10,T_Commission[#Data],COLUMN(T_Commission[[#This Row],[COM '#2]]),FALSE)="",VLOOKUP(A10,T_Commission[#Data],COLUMN(T_Commission[[#This Row],[COM '#1]]),FALSE)=""),"",IF(VLOOKUP(A10,T_Commission[#Data],COLUMN(T_Commission[[#This Row],[COM '#2]]),FALSE)&lt;&gt;"",VLOOKUP(A10,T_Commission[#Data],COLUMN(T_Commission[[#This Row],[COM '#2]]),FALSE),VLOOKUP(A10,T_Commission[#Data],COLUMN(T_Commission[[#This Row],[COM '#1]]),FALSE))),""),"")</f>
        <v>1</v>
      </c>
      <c r="W10" s="369" t="str">
        <f>IF(T_suiviDi[[#This Row],[Nom]]&lt;&gt;"",IFERROR(VLOOKUP(T_suiviDi[[#This Row],[NumL]],T_Commission[#Data],COLUMN(T_Commission[[#This Row],[FINAL]]),FALSE),""),"")</f>
        <v/>
      </c>
      <c r="X10" s="366">
        <v>44380</v>
      </c>
      <c r="Y10" s="367">
        <f t="shared" si="2"/>
        <v>3</v>
      </c>
      <c r="Z10" s="368">
        <v>44326</v>
      </c>
      <c r="AA10" s="370">
        <v>1</v>
      </c>
      <c r="AB10" s="370"/>
      <c r="AC10" s="370"/>
      <c r="AD10" s="216"/>
      <c r="AE10" s="187">
        <f>IFERROR(VALUE(RIGHT(T_suiviDi[[#Data],[NumL]],3)),0)</f>
        <v>291</v>
      </c>
    </row>
    <row r="11" spans="1:31" ht="21.75" customHeight="1" x14ac:dyDescent="0.25">
      <c r="A11" s="360">
        <v>234</v>
      </c>
      <c r="B11" s="371" t="str">
        <f>IFERROR(IF(VLOOKUP(T_suiviDi[[#This Row],[NumL]],T_TraitDi[#Data],COLUMN(T_TraitDi[[#This Row],[Statut]]),FALSE)&lt;&gt;"",VLOOKUP(T_suiviDi[[#This Row],[NumL]],T_TraitDi[#Data],COLUMN(T_TraitDi[[#This Row],[Statut]]),FALSE),""),"")</f>
        <v>RENVL</v>
      </c>
      <c r="C11" s="361" t="s">
        <v>312</v>
      </c>
      <c r="D11" s="362" t="s">
        <v>308</v>
      </c>
      <c r="E11" s="361" t="s">
        <v>663</v>
      </c>
      <c r="F11" s="179"/>
      <c r="G11" s="363" t="s">
        <v>19</v>
      </c>
      <c r="H11" s="364" t="s">
        <v>1105</v>
      </c>
      <c r="I11" s="365" t="s">
        <v>1106</v>
      </c>
      <c r="J11" s="365" t="s">
        <v>648</v>
      </c>
      <c r="K11" s="361" t="s">
        <v>445</v>
      </c>
      <c r="L11" s="361" t="s">
        <v>767</v>
      </c>
      <c r="M11" s="180"/>
      <c r="N11" s="361"/>
      <c r="O11" s="361"/>
      <c r="P11" s="180"/>
      <c r="Q11" s="366">
        <v>44336</v>
      </c>
      <c r="R11" s="367" t="str">
        <f t="shared" si="0"/>
        <v/>
      </c>
      <c r="S11" s="366">
        <v>44336</v>
      </c>
      <c r="T11" s="369">
        <f>IFERROR(IF(T_suiviDi[[#This Row],[Nom]]&lt;&gt;"",VLOOKUP(T_suiviDi[[#This Row],[NumL]],TraitementDI,16,FALSE),""),"")</f>
        <v>1</v>
      </c>
      <c r="U11" s="369" t="str">
        <f t="shared" si="1"/>
        <v>OK</v>
      </c>
      <c r="V11" s="369">
        <f>IF(D11&lt;&gt;"",IFERROR(IF(AND(VLOOKUP(A11,T_Commission[#Data],COLUMN(T_Commission[[#This Row],[COM '#2]]),FALSE)="",VLOOKUP(A11,T_Commission[#Data],COLUMN(T_Commission[[#This Row],[COM '#1]]),FALSE)=""),"",IF(VLOOKUP(A11,T_Commission[#Data],COLUMN(T_Commission[[#This Row],[COM '#2]]),FALSE)&lt;&gt;"",VLOOKUP(A11,T_Commission[#Data],COLUMN(T_Commission[[#This Row],[COM '#2]]),FALSE),VLOOKUP(A11,T_Commission[#Data],COLUMN(T_Commission[[#This Row],[COM '#1]]),FALSE))),""),"")</f>
        <v>1</v>
      </c>
      <c r="W11" s="369">
        <f>IF(T_suiviDi[[#This Row],[Nom]]&lt;&gt;"",IFERROR(VLOOKUP(T_suiviDi[[#This Row],[NumL]],T_Commission[#Data],COLUMN(T_Commission[[#This Row],[FINAL]]),FALSE),""),"")</f>
        <v>1</v>
      </c>
      <c r="X11" s="366">
        <v>44336</v>
      </c>
      <c r="Y11" s="367" t="str">
        <f t="shared" si="2"/>
        <v/>
      </c>
      <c r="Z11" s="368">
        <v>44336</v>
      </c>
      <c r="AA11" s="370">
        <v>1</v>
      </c>
      <c r="AB11" s="370"/>
      <c r="AC11" s="370"/>
      <c r="AD11" s="216"/>
      <c r="AE11" s="187">
        <f>IFERROR(VALUE(RIGHT(T_suiviDi[[#Data],[NumL]],3)),0)</f>
        <v>234</v>
      </c>
    </row>
    <row r="12" spans="1:31" ht="21.75" customHeight="1" x14ac:dyDescent="0.25">
      <c r="A12" s="360">
        <v>62</v>
      </c>
      <c r="B12" s="372" t="str">
        <f>IFERROR(IF(VLOOKUP(T_suiviDi[[#This Row],[NumL]],T_TraitDi[#Data],COLUMN(T_TraitDi[[#This Row],[Statut]]),FALSE)&lt;&gt;"",VLOOKUP(T_suiviDi[[#This Row],[NumL]],T_TraitDi[#Data],COLUMN(T_TraitDi[[#This Row],[Statut]]),FALSE),""),"")</f>
        <v>RENVL</v>
      </c>
      <c r="C12" s="361" t="s">
        <v>312</v>
      </c>
      <c r="D12" s="362" t="s">
        <v>308</v>
      </c>
      <c r="E12" s="361" t="s">
        <v>565</v>
      </c>
      <c r="F12" s="179"/>
      <c r="G12" s="363" t="s">
        <v>587</v>
      </c>
      <c r="H12" s="364"/>
      <c r="I12" s="365" t="s">
        <v>589</v>
      </c>
      <c r="J12" s="365" t="s">
        <v>327</v>
      </c>
      <c r="K12" s="361" t="s">
        <v>445</v>
      </c>
      <c r="L12" s="361" t="s">
        <v>591</v>
      </c>
      <c r="M12" s="180"/>
      <c r="N12" s="361"/>
      <c r="O12" s="361" t="s">
        <v>493</v>
      </c>
      <c r="P12" s="180"/>
      <c r="Q12" s="366">
        <v>44341</v>
      </c>
      <c r="R12" s="367" t="str">
        <f t="shared" si="0"/>
        <v/>
      </c>
      <c r="S12" s="366">
        <v>44341</v>
      </c>
      <c r="T12" s="369">
        <f>IFERROR(IF(T_suiviDi[[#This Row],[Nom]]&lt;&gt;"",VLOOKUP(T_suiviDi[[#This Row],[NumL]],TraitementDI,16,FALSE),""),"")</f>
        <v>1</v>
      </c>
      <c r="U12" s="369" t="str">
        <f t="shared" si="1"/>
        <v>OK</v>
      </c>
      <c r="V12" s="369">
        <f>IF(D12&lt;&gt;"",IFERROR(IF(AND(VLOOKUP(A12,T_Commission[#Data],COLUMN(T_Commission[[#This Row],[COM '#2]]),FALSE)="",VLOOKUP(A12,T_Commission[#Data],COLUMN(T_Commission[[#This Row],[COM '#1]]),FALSE)=""),"",IF(VLOOKUP(A12,T_Commission[#Data],COLUMN(T_Commission[[#This Row],[COM '#2]]),FALSE)&lt;&gt;"",VLOOKUP(A12,T_Commission[#Data],COLUMN(T_Commission[[#This Row],[COM '#2]]),FALSE),VLOOKUP(A12,T_Commission[#Data],COLUMN(T_Commission[[#This Row],[COM '#1]]),FALSE))),""),"")</f>
        <v>1</v>
      </c>
      <c r="W12" s="369">
        <f>IF(T_suiviDi[[#This Row],[Nom]]&lt;&gt;"",IFERROR(VLOOKUP(T_suiviDi[[#This Row],[NumL]],T_Commission[#Data],COLUMN(T_Commission[[#This Row],[FINAL]]),FALSE),""),"")</f>
        <v>1</v>
      </c>
      <c r="X12" s="366">
        <v>44341</v>
      </c>
      <c r="Y12" s="367" t="str">
        <f t="shared" si="2"/>
        <v/>
      </c>
      <c r="Z12" s="368">
        <v>44341</v>
      </c>
      <c r="AA12" s="370">
        <v>1</v>
      </c>
      <c r="AB12" s="370"/>
      <c r="AC12" s="370"/>
      <c r="AD12" s="216"/>
      <c r="AE12" s="187">
        <f>IFERROR(VALUE(RIGHT(T_suiviDi[[#Data],[NumL]],3)),0)</f>
        <v>62</v>
      </c>
    </row>
    <row r="13" spans="1:31" ht="21.75" customHeight="1" x14ac:dyDescent="0.25">
      <c r="A13" s="360">
        <v>176</v>
      </c>
      <c r="B13" s="371" t="str">
        <f>IFERROR(IF(VLOOKUP(T_suiviDi[[#This Row],[NumL]],T_TraitDi[#Data],COLUMN(T_TraitDi[[#This Row],[Statut]]),FALSE)&lt;&gt;"",VLOOKUP(T_suiviDi[[#This Row],[NumL]],T_TraitDi[#Data],COLUMN(T_TraitDi[[#This Row],[Statut]]),FALSE),""),"")</f>
        <v>RENVL</v>
      </c>
      <c r="C13" s="361" t="s">
        <v>312</v>
      </c>
      <c r="D13" s="362" t="s">
        <v>308</v>
      </c>
      <c r="E13" s="361" t="s">
        <v>910</v>
      </c>
      <c r="F13" s="179"/>
      <c r="G13" s="363" t="s">
        <v>888</v>
      </c>
      <c r="H13" s="364"/>
      <c r="I13" s="365" t="s">
        <v>912</v>
      </c>
      <c r="J13" s="365" t="s">
        <v>220</v>
      </c>
      <c r="K13" s="361" t="s">
        <v>445</v>
      </c>
      <c r="L13" s="361" t="s">
        <v>548</v>
      </c>
      <c r="M13" s="180"/>
      <c r="N13" s="361"/>
      <c r="O13" s="361"/>
      <c r="P13" s="180"/>
      <c r="Q13" s="366">
        <v>44350</v>
      </c>
      <c r="R13" s="367">
        <f t="shared" si="0"/>
        <v>3</v>
      </c>
      <c r="S13" s="366">
        <v>44350</v>
      </c>
      <c r="T13" s="369">
        <f>IFERROR(IF(T_suiviDi[[#This Row],[Nom]]&lt;&gt;"",VLOOKUP(T_suiviDi[[#This Row],[NumL]],TraitementDI,16,FALSE),""),"")</f>
        <v>1</v>
      </c>
      <c r="U13" s="369" t="str">
        <f t="shared" si="1"/>
        <v>OK</v>
      </c>
      <c r="V13" s="369">
        <f>IF(D13&lt;&gt;"",IFERROR(IF(AND(VLOOKUP(A13,T_Commission[#Data],COLUMN(T_Commission[[#This Row],[COM '#2]]),FALSE)="",VLOOKUP(A13,T_Commission[#Data],COLUMN(T_Commission[[#This Row],[COM '#1]]),FALSE)=""),"",IF(VLOOKUP(A13,T_Commission[#Data],COLUMN(T_Commission[[#This Row],[COM '#2]]),FALSE)&lt;&gt;"",VLOOKUP(A13,T_Commission[#Data],COLUMN(T_Commission[[#This Row],[COM '#2]]),FALSE),VLOOKUP(A13,T_Commission[#Data],COLUMN(T_Commission[[#This Row],[COM '#1]]),FALSE))),""),"")</f>
        <v>1</v>
      </c>
      <c r="W13" s="369">
        <f>IF(T_suiviDi[[#This Row],[Nom]]&lt;&gt;"",IFERROR(VLOOKUP(T_suiviDi[[#This Row],[NumL]],T_Commission[#Data],COLUMN(T_Commission[[#This Row],[FINAL]]),FALSE),""),"")</f>
        <v>1</v>
      </c>
      <c r="X13" s="366">
        <v>44350</v>
      </c>
      <c r="Y13" s="367" t="str">
        <f t="shared" si="2"/>
        <v/>
      </c>
      <c r="Z13" s="368">
        <v>44350</v>
      </c>
      <c r="AA13" s="370">
        <v>1</v>
      </c>
      <c r="AB13" s="370"/>
      <c r="AC13" s="370"/>
      <c r="AD13" s="216"/>
      <c r="AE13" s="187">
        <f>IFERROR(VALUE(RIGHT(T_suiviDi[[#Data],[NumL]],3)),0)</f>
        <v>176</v>
      </c>
    </row>
    <row r="14" spans="1:31" ht="21.75" customHeight="1" x14ac:dyDescent="0.25">
      <c r="A14" s="360">
        <v>57</v>
      </c>
      <c r="B14" s="372" t="str">
        <f>IFERROR(IF(VLOOKUP(T_suiviDi[[#This Row],[NumL]],T_TraitDi[#Data],COLUMN(T_TraitDi[[#This Row],[Statut]]),FALSE)&lt;&gt;"",VLOOKUP(T_suiviDi[[#This Row],[NumL]],T_TraitDi[#Data],COLUMN(T_TraitDi[[#This Row],[Statut]]),FALSE),""),"")</f>
        <v>RENVL</v>
      </c>
      <c r="C14" s="361" t="s">
        <v>283</v>
      </c>
      <c r="D14" s="362" t="s">
        <v>308</v>
      </c>
      <c r="E14" s="361" t="s">
        <v>569</v>
      </c>
      <c r="F14" s="179"/>
      <c r="G14" s="363" t="s">
        <v>20</v>
      </c>
      <c r="H14" s="364"/>
      <c r="I14" s="365" t="s">
        <v>316</v>
      </c>
      <c r="J14" s="365" t="s">
        <v>220</v>
      </c>
      <c r="K14" s="361" t="s">
        <v>445</v>
      </c>
      <c r="L14" s="361" t="s">
        <v>431</v>
      </c>
      <c r="M14" s="180"/>
      <c r="N14" s="361"/>
      <c r="O14" s="361" t="s">
        <v>347</v>
      </c>
      <c r="P14" s="180"/>
      <c r="Q14" s="366">
        <v>44342</v>
      </c>
      <c r="R14" s="367" t="str">
        <f t="shared" si="0"/>
        <v/>
      </c>
      <c r="S14" s="366">
        <v>44342</v>
      </c>
      <c r="T14" s="369">
        <f>IFERROR(IF(T_suiviDi[[#This Row],[Nom]]&lt;&gt;"",VLOOKUP(T_suiviDi[[#This Row],[NumL]],TraitementDI,16,FALSE),""),"")</f>
        <v>1</v>
      </c>
      <c r="U14" s="369" t="str">
        <f t="shared" si="1"/>
        <v>OK</v>
      </c>
      <c r="V14" s="369">
        <f>IF(D14&lt;&gt;"",IFERROR(IF(AND(VLOOKUP(A14,T_Commission[#Data],COLUMN(T_Commission[[#This Row],[COM '#2]]),FALSE)="",VLOOKUP(A14,T_Commission[#Data],COLUMN(T_Commission[[#This Row],[COM '#1]]),FALSE)=""),"",IF(VLOOKUP(A14,T_Commission[#Data],COLUMN(T_Commission[[#This Row],[COM '#2]]),FALSE)&lt;&gt;"",VLOOKUP(A14,T_Commission[#Data],COLUMN(T_Commission[[#This Row],[COM '#2]]),FALSE),VLOOKUP(A14,T_Commission[#Data],COLUMN(T_Commission[[#This Row],[COM '#1]]),FALSE))),""),"")</f>
        <v>1</v>
      </c>
      <c r="W14" s="369">
        <f>IF(T_suiviDi[[#This Row],[Nom]]&lt;&gt;"",IFERROR(VLOOKUP(T_suiviDi[[#This Row],[NumL]],T_Commission[#Data],COLUMN(T_Commission[[#This Row],[FINAL]]),FALSE),""),"")</f>
        <v>1</v>
      </c>
      <c r="X14" s="366">
        <v>44342</v>
      </c>
      <c r="Y14" s="367" t="str">
        <f t="shared" si="2"/>
        <v/>
      </c>
      <c r="Z14" s="368">
        <v>44342</v>
      </c>
      <c r="AA14" s="370">
        <v>1</v>
      </c>
      <c r="AB14" s="370"/>
      <c r="AC14" s="370"/>
      <c r="AD14" s="216"/>
      <c r="AE14" s="187">
        <f>IFERROR(VALUE(RIGHT(T_suiviDi[[#Data],[NumL]],3)),0)</f>
        <v>57</v>
      </c>
    </row>
    <row r="15" spans="1:31" ht="21.75" customHeight="1" x14ac:dyDescent="0.25">
      <c r="A15" s="360">
        <v>310</v>
      </c>
      <c r="B15" s="371" t="str">
        <f>IFERROR(IF(VLOOKUP(T_suiviDi[[#This Row],[NumL]],T_TraitDi[#Data],COLUMN(T_TraitDi[[#This Row],[Statut]]),FALSE)&lt;&gt;"",VLOOKUP(T_suiviDi[[#This Row],[NumL]],T_TraitDi[#Data],COLUMN(T_TraitDi[[#This Row],[Statut]]),FALSE),""),"")</f>
        <v>NOUV</v>
      </c>
      <c r="C15" s="361" t="s">
        <v>312</v>
      </c>
      <c r="D15" s="362" t="s">
        <v>308</v>
      </c>
      <c r="E15" s="361" t="s">
        <v>591</v>
      </c>
      <c r="F15" s="179"/>
      <c r="G15" s="363" t="s">
        <v>17</v>
      </c>
      <c r="H15" s="364" t="s">
        <v>3584</v>
      </c>
      <c r="I15" s="365" t="s">
        <v>3585</v>
      </c>
      <c r="J15" s="365" t="s">
        <v>1170</v>
      </c>
      <c r="K15" s="361" t="s">
        <v>445</v>
      </c>
      <c r="L15" s="361" t="s">
        <v>479</v>
      </c>
      <c r="M15" s="180"/>
      <c r="N15" s="361"/>
      <c r="O15" s="361" t="s">
        <v>630</v>
      </c>
      <c r="P15" s="180"/>
      <c r="Q15" s="366">
        <v>44341</v>
      </c>
      <c r="R15" s="367" t="str">
        <f t="shared" si="0"/>
        <v/>
      </c>
      <c r="S15" s="366">
        <v>44341</v>
      </c>
      <c r="T15" s="369">
        <f>IFERROR(IF(T_suiviDi[[#This Row],[Nom]]&lt;&gt;"",VLOOKUP(T_suiviDi[[#This Row],[NumL]],TraitementDI,16,FALSE),""),"")</f>
        <v>1</v>
      </c>
      <c r="U15" s="369" t="str">
        <f t="shared" si="1"/>
        <v/>
      </c>
      <c r="V15" s="369">
        <f>IF(D15&lt;&gt;"",IFERROR(IF(AND(VLOOKUP(A15,T_Commission[#Data],COLUMN(T_Commission[[#This Row],[COM '#2]]),FALSE)="",VLOOKUP(A15,T_Commission[#Data],COLUMN(T_Commission[[#This Row],[COM '#1]]),FALSE)=""),"",IF(VLOOKUP(A15,T_Commission[#Data],COLUMN(T_Commission[[#This Row],[COM '#2]]),FALSE)&lt;&gt;"",VLOOKUP(A15,T_Commission[#Data],COLUMN(T_Commission[[#This Row],[COM '#2]]),FALSE),VLOOKUP(A15,T_Commission[#Data],COLUMN(T_Commission[[#This Row],[COM '#1]]),FALSE))),""),"")</f>
        <v>1</v>
      </c>
      <c r="W15" s="369" t="str">
        <f>IF(T_suiviDi[[#This Row],[Nom]]&lt;&gt;"",IFERROR(VLOOKUP(T_suiviDi[[#This Row],[NumL]],T_Commission[#Data],COLUMN(T_Commission[[#This Row],[FINAL]]),FALSE),""),"")</f>
        <v/>
      </c>
      <c r="X15" s="366">
        <v>44356</v>
      </c>
      <c r="Y15" s="367" t="str">
        <f t="shared" si="2"/>
        <v/>
      </c>
      <c r="Z15" s="368">
        <v>44328</v>
      </c>
      <c r="AA15" s="370">
        <v>1</v>
      </c>
      <c r="AB15" s="370"/>
      <c r="AC15" s="370"/>
      <c r="AD15" s="216"/>
      <c r="AE15" s="187">
        <f>IFERROR(VALUE(RIGHT(T_suiviDi[[#Data],[NumL]],3)),0)</f>
        <v>310</v>
      </c>
    </row>
    <row r="16" spans="1:31" ht="21.75" customHeight="1" x14ac:dyDescent="0.25">
      <c r="A16" s="360">
        <v>245</v>
      </c>
      <c r="B16" s="371" t="str">
        <f>IFERROR(IF(VLOOKUP(T_suiviDi[[#This Row],[NumL]],T_TraitDi[#Data],COLUMN(T_TraitDi[[#This Row],[Statut]]),FALSE)&lt;&gt;"",VLOOKUP(T_suiviDi[[#This Row],[NumL]],T_TraitDi[#Data],COLUMN(T_TraitDi[[#This Row],[Statut]]),FALSE),""),"")</f>
        <v>ENCOURS</v>
      </c>
      <c r="C16" s="361" t="s">
        <v>312</v>
      </c>
      <c r="D16" s="362" t="s">
        <v>308</v>
      </c>
      <c r="E16" s="361" t="s">
        <v>1020</v>
      </c>
      <c r="F16" s="179"/>
      <c r="G16" s="363" t="s">
        <v>17</v>
      </c>
      <c r="H16" s="364"/>
      <c r="I16" s="365" t="s">
        <v>1021</v>
      </c>
      <c r="J16" s="365" t="s">
        <v>225</v>
      </c>
      <c r="K16" s="361" t="s">
        <v>445</v>
      </c>
      <c r="L16" s="361" t="s">
        <v>360</v>
      </c>
      <c r="M16" s="180"/>
      <c r="N16" s="361"/>
      <c r="O16" s="361" t="s">
        <v>630</v>
      </c>
      <c r="P16" s="180"/>
      <c r="Q16" s="366">
        <v>44341</v>
      </c>
      <c r="R16" s="367" t="str">
        <f t="shared" si="0"/>
        <v/>
      </c>
      <c r="S16" s="366">
        <v>44341</v>
      </c>
      <c r="T16" s="369">
        <f>IFERROR(IF(T_suiviDi[[#This Row],[Nom]]&lt;&gt;"",VLOOKUP(T_suiviDi[[#This Row],[NumL]],TraitementDI,16,FALSE),""),"")</f>
        <v>1</v>
      </c>
      <c r="U16" s="369" t="str">
        <f t="shared" si="1"/>
        <v>OK</v>
      </c>
      <c r="V16" s="369">
        <f>IF(D16&lt;&gt;"",IFERROR(IF(AND(VLOOKUP(A16,T_Commission[#Data],COLUMN(T_Commission[[#This Row],[COM '#2]]),FALSE)="",VLOOKUP(A16,T_Commission[#Data],COLUMN(T_Commission[[#This Row],[COM '#1]]),FALSE)=""),"",IF(VLOOKUP(A16,T_Commission[#Data],COLUMN(T_Commission[[#This Row],[COM '#2]]),FALSE)&lt;&gt;"",VLOOKUP(A16,T_Commission[#Data],COLUMN(T_Commission[[#This Row],[COM '#2]]),FALSE),VLOOKUP(A16,T_Commission[#Data],COLUMN(T_Commission[[#This Row],[COM '#1]]),FALSE))),""),"")</f>
        <v>1</v>
      </c>
      <c r="W16" s="369">
        <f>IF(T_suiviDi[[#This Row],[Nom]]&lt;&gt;"",IFERROR(VLOOKUP(T_suiviDi[[#This Row],[NumL]],T_Commission[#Data],COLUMN(T_Commission[[#This Row],[FINAL]]),FALSE),""),"")</f>
        <v>1</v>
      </c>
      <c r="X16" s="366">
        <v>44351</v>
      </c>
      <c r="Y16" s="367" t="str">
        <f t="shared" si="2"/>
        <v/>
      </c>
      <c r="Z16" s="368">
        <v>44347</v>
      </c>
      <c r="AA16" s="370">
        <v>1</v>
      </c>
      <c r="AB16" s="370"/>
      <c r="AC16" s="370"/>
      <c r="AD16" s="216"/>
      <c r="AE16" s="187">
        <f>IFERROR(VALUE(RIGHT(T_suiviDi[[#Data],[NumL]],3)),0)</f>
        <v>245</v>
      </c>
    </row>
    <row r="17" spans="1:31" ht="21.75" customHeight="1" x14ac:dyDescent="0.25">
      <c r="A17" s="360">
        <v>137</v>
      </c>
      <c r="B17" s="372" t="str">
        <f>IFERROR(IF(VLOOKUP(T_suiviDi[[#This Row],[NumL]],T_TraitDi[#Data],COLUMN(T_TraitDi[[#This Row],[Statut]]),FALSE)&lt;&gt;"",VLOOKUP(T_suiviDi[[#This Row],[NumL]],T_TraitDi[#Data],COLUMN(T_TraitDi[[#This Row],[Statut]]),FALSE),""),"")</f>
        <v>RENVL</v>
      </c>
      <c r="C17" s="361" t="s">
        <v>283</v>
      </c>
      <c r="D17" s="362" t="s">
        <v>308</v>
      </c>
      <c r="E17" s="361" t="s">
        <v>811</v>
      </c>
      <c r="F17" s="179"/>
      <c r="G17" s="363" t="s">
        <v>26</v>
      </c>
      <c r="H17" s="364" t="s">
        <v>813</v>
      </c>
      <c r="I17" s="365" t="s">
        <v>812</v>
      </c>
      <c r="J17" s="365" t="s">
        <v>648</v>
      </c>
      <c r="K17" s="361" t="s">
        <v>445</v>
      </c>
      <c r="L17" s="361" t="s">
        <v>318</v>
      </c>
      <c r="M17" s="180"/>
      <c r="N17" s="361"/>
      <c r="O17" s="361"/>
      <c r="P17" s="180"/>
      <c r="Q17" s="366">
        <v>44344</v>
      </c>
      <c r="R17" s="367" t="str">
        <f t="shared" si="0"/>
        <v/>
      </c>
      <c r="S17" s="366">
        <v>44344</v>
      </c>
      <c r="T17" s="369">
        <f>IFERROR(IF(T_suiviDi[[#This Row],[Nom]]&lt;&gt;"",VLOOKUP(T_suiviDi[[#This Row],[NumL]],TraitementDI,16,FALSE),""),"")</f>
        <v>1</v>
      </c>
      <c r="U17" s="369" t="str">
        <f t="shared" si="1"/>
        <v>OK</v>
      </c>
      <c r="V17" s="369">
        <f>IF(D17&lt;&gt;"",IFERROR(IF(AND(VLOOKUP(A17,T_Commission[#Data],COLUMN(T_Commission[[#This Row],[COM '#2]]),FALSE)="",VLOOKUP(A17,T_Commission[#Data],COLUMN(T_Commission[[#This Row],[COM '#1]]),FALSE)=""),"",IF(VLOOKUP(A17,T_Commission[#Data],COLUMN(T_Commission[[#This Row],[COM '#2]]),FALSE)&lt;&gt;"",VLOOKUP(A17,T_Commission[#Data],COLUMN(T_Commission[[#This Row],[COM '#2]]),FALSE),VLOOKUP(A17,T_Commission[#Data],COLUMN(T_Commission[[#This Row],[COM '#1]]),FALSE))),""),"")</f>
        <v>1</v>
      </c>
      <c r="W17" s="369">
        <f>IF(T_suiviDi[[#This Row],[Nom]]&lt;&gt;"",IFERROR(VLOOKUP(T_suiviDi[[#This Row],[NumL]],T_Commission[#Data],COLUMN(T_Commission[[#This Row],[FINAL]]),FALSE),""),"")</f>
        <v>1</v>
      </c>
      <c r="X17" s="366">
        <v>44344</v>
      </c>
      <c r="Y17" s="367" t="str">
        <f t="shared" si="2"/>
        <v/>
      </c>
      <c r="Z17" s="368">
        <v>44344</v>
      </c>
      <c r="AA17" s="370">
        <v>1</v>
      </c>
      <c r="AB17" s="370"/>
      <c r="AC17" s="370"/>
      <c r="AD17" s="216"/>
      <c r="AE17" s="187">
        <f>IFERROR(VALUE(RIGHT(T_suiviDi[[#Data],[NumL]],3)),0)</f>
        <v>137</v>
      </c>
    </row>
    <row r="18" spans="1:31" ht="21.75" customHeight="1" x14ac:dyDescent="0.25">
      <c r="A18" s="360">
        <v>288</v>
      </c>
      <c r="B18" s="371" t="str">
        <f>IFERROR(IF(VLOOKUP(T_suiviDi[[#This Row],[NumL]],T_TraitDi[#Data],COLUMN(T_TraitDi[[#This Row],[Statut]]),FALSE)&lt;&gt;"",VLOOKUP(T_suiviDi[[#This Row],[NumL]],T_TraitDi[#Data],COLUMN(T_TraitDi[[#This Row],[Statut]]),FALSE),""),"")</f>
        <v>ENCOURS</v>
      </c>
      <c r="C18" s="361" t="s">
        <v>312</v>
      </c>
      <c r="D18" s="362" t="s">
        <v>308</v>
      </c>
      <c r="E18" s="361" t="s">
        <v>3283</v>
      </c>
      <c r="F18" s="179"/>
      <c r="G18" s="363" t="s">
        <v>16</v>
      </c>
      <c r="H18" s="364" t="s">
        <v>880</v>
      </c>
      <c r="I18" s="365" t="s">
        <v>3284</v>
      </c>
      <c r="J18" s="365" t="s">
        <v>648</v>
      </c>
      <c r="K18" s="361" t="s">
        <v>445</v>
      </c>
      <c r="L18" s="361" t="s">
        <v>682</v>
      </c>
      <c r="M18" s="180"/>
      <c r="N18" s="361"/>
      <c r="O18" s="361" t="s">
        <v>406</v>
      </c>
      <c r="P18" s="180"/>
      <c r="Q18" s="366">
        <v>44354</v>
      </c>
      <c r="R18" s="367">
        <f t="shared" si="0"/>
        <v>3</v>
      </c>
      <c r="S18" s="366">
        <v>44354</v>
      </c>
      <c r="T18" s="369">
        <f>IFERROR(IF(T_suiviDi[[#This Row],[Nom]]&lt;&gt;"",VLOOKUP(T_suiviDi[[#This Row],[NumL]],TraitementDI,16,FALSE),""),"")</f>
        <v>1</v>
      </c>
      <c r="U18" s="369" t="str">
        <f t="shared" si="1"/>
        <v>PB</v>
      </c>
      <c r="V18" s="369">
        <f>IF(D18&lt;&gt;"",IFERROR(IF(AND(VLOOKUP(A18,T_Commission[#Data],COLUMN(T_Commission[[#This Row],[COM '#2]]),FALSE)="",VLOOKUP(A18,T_Commission[#Data],COLUMN(T_Commission[[#This Row],[COM '#1]]),FALSE)=""),"",IF(VLOOKUP(A18,T_Commission[#Data],COLUMN(T_Commission[[#This Row],[COM '#2]]),FALSE)&lt;&gt;"",VLOOKUP(A18,T_Commission[#Data],COLUMN(T_Commission[[#This Row],[COM '#2]]),FALSE),VLOOKUP(A18,T_Commission[#Data],COLUMN(T_Commission[[#This Row],[COM '#1]]),FALSE))),""),"")</f>
        <v>1</v>
      </c>
      <c r="W18" s="369">
        <f>IF(T_suiviDi[[#This Row],[Nom]]&lt;&gt;"",IFERROR(VLOOKUP(T_suiviDi[[#This Row],[NumL]],T_Commission[#Data],COLUMN(T_Commission[[#This Row],[FINAL]]),FALSE),""),"")</f>
        <v>1</v>
      </c>
      <c r="X18" s="366">
        <v>44362</v>
      </c>
      <c r="Y18" s="367" t="str">
        <f t="shared" si="2"/>
        <v/>
      </c>
      <c r="Z18" s="368">
        <v>44362</v>
      </c>
      <c r="AA18" s="370">
        <v>1</v>
      </c>
      <c r="AB18" s="370">
        <v>1</v>
      </c>
      <c r="AC18" s="370"/>
      <c r="AD18" s="216"/>
      <c r="AE18" s="187">
        <f>IFERROR(VALUE(RIGHT(T_suiviDi[[#Data],[NumL]],3)),0)</f>
        <v>288</v>
      </c>
    </row>
    <row r="19" spans="1:31" ht="21.75" customHeight="1" x14ac:dyDescent="0.25">
      <c r="A19" s="360">
        <v>159</v>
      </c>
      <c r="B19" s="372" t="str">
        <f>IFERROR(IF(VLOOKUP(T_suiviDi[[#This Row],[NumL]],T_TraitDi[#Data],COLUMN(T_TraitDi[[#This Row],[Statut]]),FALSE)&lt;&gt;"",VLOOKUP(T_suiviDi[[#This Row],[NumL]],T_TraitDi[#Data],COLUMN(T_TraitDi[[#This Row],[Statut]]),FALSE),""),"")</f>
        <v/>
      </c>
      <c r="C19" s="361" t="s">
        <v>312</v>
      </c>
      <c r="D19" s="362" t="s">
        <v>308</v>
      </c>
      <c r="E19" s="361" t="s">
        <v>867</v>
      </c>
      <c r="F19" s="179"/>
      <c r="G19" s="363" t="s">
        <v>17</v>
      </c>
      <c r="H19" s="364"/>
      <c r="I19" s="365" t="s">
        <v>869</v>
      </c>
      <c r="J19" s="365" t="s">
        <v>648</v>
      </c>
      <c r="K19" s="361" t="s">
        <v>445</v>
      </c>
      <c r="L19" s="361" t="s">
        <v>621</v>
      </c>
      <c r="M19" s="180"/>
      <c r="N19" s="361"/>
      <c r="O19" s="361" t="s">
        <v>630</v>
      </c>
      <c r="P19" s="180"/>
      <c r="Q19" s="366"/>
      <c r="R19" s="367" t="str">
        <f t="shared" si="0"/>
        <v/>
      </c>
      <c r="S19" s="366"/>
      <c r="T19" s="369" t="str">
        <f>IFERROR(IF(T_suiviDi[[#This Row],[Nom]]&lt;&gt;"",VLOOKUP(T_suiviDi[[#This Row],[NumL]],TraitementDI,16,FALSE),""),"")</f>
        <v/>
      </c>
      <c r="U19" s="369" t="str">
        <f t="shared" si="1"/>
        <v/>
      </c>
      <c r="V19" s="369" t="str">
        <f>IF(D19&lt;&gt;"",IFERROR(IF(AND(VLOOKUP(A19,T_Commission[#Data],COLUMN(T_Commission[[#This Row],[COM '#2]]),FALSE)="",VLOOKUP(A19,T_Commission[#Data],COLUMN(T_Commission[[#This Row],[COM '#1]]),FALSE)=""),"",IF(VLOOKUP(A19,T_Commission[#Data],COLUMN(T_Commission[[#This Row],[COM '#2]]),FALSE)&lt;&gt;"",VLOOKUP(A19,T_Commission[#Data],COLUMN(T_Commission[[#This Row],[COM '#2]]),FALSE),VLOOKUP(A19,T_Commission[#Data],COLUMN(T_Commission[[#This Row],[COM '#1]]),FALSE))),""),"")</f>
        <v/>
      </c>
      <c r="W19" s="369" t="str">
        <f>IF(T_suiviDi[[#This Row],[Nom]]&lt;&gt;"",IFERROR(VLOOKUP(T_suiviDi[[#This Row],[NumL]],T_Commission[#Data],COLUMN(T_Commission[[#This Row],[FINAL]]),FALSE),""),"")</f>
        <v/>
      </c>
      <c r="X19" s="366"/>
      <c r="Y19" s="367" t="str">
        <f t="shared" si="2"/>
        <v/>
      </c>
      <c r="Z19" s="368"/>
      <c r="AA19" s="370"/>
      <c r="AB19" s="370"/>
      <c r="AC19" s="370"/>
      <c r="AD19" s="216"/>
      <c r="AE19" s="187">
        <f>IFERROR(VALUE(RIGHT(T_suiviDi[[#Data],[NumL]],3)),0)</f>
        <v>159</v>
      </c>
    </row>
    <row r="20" spans="1:31" ht="21.75" customHeight="1" x14ac:dyDescent="0.25">
      <c r="A20" s="360">
        <v>259</v>
      </c>
      <c r="B20" s="371" t="str">
        <f>IFERROR(IF(VLOOKUP(T_suiviDi[[#This Row],[NumL]],T_TraitDi[#Data],COLUMN(T_TraitDi[[#This Row],[Statut]]),FALSE)&lt;&gt;"",VLOOKUP(T_suiviDi[[#This Row],[NumL]],T_TraitDi[#Data],COLUMN(T_TraitDi[[#This Row],[Statut]]),FALSE),""),"")</f>
        <v>ENCOURS</v>
      </c>
      <c r="C20" s="361" t="s">
        <v>312</v>
      </c>
      <c r="D20" s="362" t="s">
        <v>308</v>
      </c>
      <c r="E20" s="361" t="s">
        <v>1053</v>
      </c>
      <c r="F20" s="179"/>
      <c r="G20" s="363" t="s">
        <v>17</v>
      </c>
      <c r="H20" s="364"/>
      <c r="I20" s="365" t="s">
        <v>1163</v>
      </c>
      <c r="J20" s="365" t="s">
        <v>900</v>
      </c>
      <c r="K20" s="361" t="s">
        <v>445</v>
      </c>
      <c r="L20" s="361" t="s">
        <v>360</v>
      </c>
      <c r="M20" s="180"/>
      <c r="N20" s="361"/>
      <c r="O20" s="361" t="s">
        <v>630</v>
      </c>
      <c r="P20" s="180"/>
      <c r="Q20" s="366">
        <v>44335</v>
      </c>
      <c r="R20" s="367" t="str">
        <f t="shared" si="0"/>
        <v/>
      </c>
      <c r="S20" s="366">
        <v>44335</v>
      </c>
      <c r="T20" s="369">
        <f>IFERROR(IF(T_suiviDi[[#This Row],[Nom]]&lt;&gt;"",VLOOKUP(T_suiviDi[[#This Row],[NumL]],TraitementDI,16,FALSE),""),"")</f>
        <v>1</v>
      </c>
      <c r="U20" s="369" t="str">
        <f t="shared" si="1"/>
        <v>OK</v>
      </c>
      <c r="V20" s="369">
        <f>IF(D20&lt;&gt;"",IFERROR(IF(AND(VLOOKUP(A20,T_Commission[#Data],COLUMN(T_Commission[[#This Row],[COM '#2]]),FALSE)="",VLOOKUP(A20,T_Commission[#Data],COLUMN(T_Commission[[#This Row],[COM '#1]]),FALSE)=""),"",IF(VLOOKUP(A20,T_Commission[#Data],COLUMN(T_Commission[[#This Row],[COM '#2]]),FALSE)&lt;&gt;"",VLOOKUP(A20,T_Commission[#Data],COLUMN(T_Commission[[#This Row],[COM '#2]]),FALSE),VLOOKUP(A20,T_Commission[#Data],COLUMN(T_Commission[[#This Row],[COM '#1]]),FALSE))),""),"")</f>
        <v>1</v>
      </c>
      <c r="W20" s="369">
        <f>IF(T_suiviDi[[#This Row],[Nom]]&lt;&gt;"",IFERROR(VLOOKUP(T_suiviDi[[#This Row],[NumL]],T_Commission[#Data],COLUMN(T_Commission[[#This Row],[FINAL]]),FALSE),""),"")</f>
        <v>1</v>
      </c>
      <c r="X20" s="366">
        <v>44369</v>
      </c>
      <c r="Y20" s="367">
        <f t="shared" si="2"/>
        <v>3</v>
      </c>
      <c r="Z20" s="368">
        <v>44334</v>
      </c>
      <c r="AA20" s="370">
        <v>1</v>
      </c>
      <c r="AB20" s="370">
        <v>1</v>
      </c>
      <c r="AC20" s="370"/>
      <c r="AD20" s="216"/>
      <c r="AE20" s="187">
        <f>IFERROR(VALUE(RIGHT(T_suiviDi[[#Data],[NumL]],3)),0)</f>
        <v>259</v>
      </c>
    </row>
    <row r="21" spans="1:31" ht="21.75" customHeight="1" x14ac:dyDescent="0.25">
      <c r="A21" s="360">
        <v>92</v>
      </c>
      <c r="B21" s="371" t="str">
        <f>IFERROR(IF(VLOOKUP(T_suiviDi[[#This Row],[NumL]],T_TraitDi[#Data],COLUMN(T_TraitDi[[#This Row],[Statut]]),FALSE)&lt;&gt;"",VLOOKUP(T_suiviDi[[#This Row],[NumL]],T_TraitDi[#Data],COLUMN(T_TraitDi[[#This Row],[Statut]]),FALSE),""),"")</f>
        <v/>
      </c>
      <c r="C21" s="361" t="s">
        <v>312</v>
      </c>
      <c r="D21" s="362" t="s">
        <v>308</v>
      </c>
      <c r="E21" s="361" t="s">
        <v>686</v>
      </c>
      <c r="F21" s="179"/>
      <c r="G21" s="363" t="s">
        <v>20</v>
      </c>
      <c r="H21" s="364" t="s">
        <v>1113</v>
      </c>
      <c r="I21" s="365" t="s">
        <v>873</v>
      </c>
      <c r="J21" s="365" t="s">
        <v>223</v>
      </c>
      <c r="K21" s="361" t="s">
        <v>445</v>
      </c>
      <c r="L21" s="361" t="s">
        <v>689</v>
      </c>
      <c r="M21" s="180"/>
      <c r="N21" s="361"/>
      <c r="O21" s="361" t="s">
        <v>347</v>
      </c>
      <c r="P21" s="180"/>
      <c r="Q21" s="366"/>
      <c r="R21" s="367" t="str">
        <f t="shared" si="0"/>
        <v/>
      </c>
      <c r="S21" s="366"/>
      <c r="T21" s="369" t="str">
        <f>IFERROR(IF(T_suiviDi[[#This Row],[Nom]]&lt;&gt;"",VLOOKUP(T_suiviDi[[#This Row],[NumL]],TraitementDI,16,FALSE),""),"")</f>
        <v/>
      </c>
      <c r="U21" s="369" t="str">
        <f t="shared" si="1"/>
        <v/>
      </c>
      <c r="V21" s="369" t="str">
        <f>IF(D21&lt;&gt;"",IFERROR(IF(AND(VLOOKUP(A21,T_Commission[#Data],COLUMN(T_Commission[[#This Row],[COM '#2]]),FALSE)="",VLOOKUP(A21,T_Commission[#Data],COLUMN(T_Commission[[#This Row],[COM '#1]]),FALSE)=""),"",IF(VLOOKUP(A21,T_Commission[#Data],COLUMN(T_Commission[[#This Row],[COM '#2]]),FALSE)&lt;&gt;"",VLOOKUP(A21,T_Commission[#Data],COLUMN(T_Commission[[#This Row],[COM '#2]]),FALSE),VLOOKUP(A21,T_Commission[#Data],COLUMN(T_Commission[[#This Row],[COM '#1]]),FALSE))),""),"")</f>
        <v/>
      </c>
      <c r="W21" s="369" t="str">
        <f>IF(T_suiviDi[[#This Row],[Nom]]&lt;&gt;"",IFERROR(VLOOKUP(T_suiviDi[[#This Row],[NumL]],T_Commission[#Data],COLUMN(T_Commission[[#This Row],[FINAL]]),FALSE),""),"")</f>
        <v/>
      </c>
      <c r="X21" s="366"/>
      <c r="Y21" s="367" t="str">
        <f t="shared" si="2"/>
        <v/>
      </c>
      <c r="Z21" s="368"/>
      <c r="AA21" s="370"/>
      <c r="AB21" s="370"/>
      <c r="AC21" s="370"/>
      <c r="AD21" s="216"/>
      <c r="AE21" s="187">
        <f>IFERROR(VALUE(RIGHT(T_suiviDi[[#Data],[NumL]],3)),0)</f>
        <v>92</v>
      </c>
    </row>
    <row r="22" spans="1:31" ht="21.75" customHeight="1" x14ac:dyDescent="0.25">
      <c r="A22" s="360">
        <v>78</v>
      </c>
      <c r="B22" s="372" t="str">
        <f>IFERROR(IF(VLOOKUP(T_suiviDi[[#This Row],[NumL]],T_TraitDi[#Data],COLUMN(T_TraitDi[[#This Row],[Statut]]),FALSE)&lt;&gt;"",VLOOKUP(T_suiviDi[[#This Row],[NumL]],T_TraitDi[#Data],COLUMN(T_TraitDi[[#This Row],[Statut]]),FALSE),""),"")</f>
        <v>ENCOURS</v>
      </c>
      <c r="C22" s="361" t="s">
        <v>312</v>
      </c>
      <c r="D22" s="362" t="s">
        <v>308</v>
      </c>
      <c r="E22" s="361" t="s">
        <v>633</v>
      </c>
      <c r="F22" s="179"/>
      <c r="G22" s="363" t="s">
        <v>20</v>
      </c>
      <c r="H22" s="364" t="s">
        <v>3590</v>
      </c>
      <c r="I22" s="365" t="s">
        <v>316</v>
      </c>
      <c r="J22" s="365" t="s">
        <v>219</v>
      </c>
      <c r="K22" s="361" t="s">
        <v>445</v>
      </c>
      <c r="L22" s="361" t="s">
        <v>635</v>
      </c>
      <c r="M22" s="180"/>
      <c r="N22" s="361"/>
      <c r="O22" s="361" t="s">
        <v>347</v>
      </c>
      <c r="P22" s="180"/>
      <c r="Q22" s="366">
        <v>44343</v>
      </c>
      <c r="R22" s="367" t="str">
        <f t="shared" si="0"/>
        <v/>
      </c>
      <c r="S22" s="366">
        <v>44343</v>
      </c>
      <c r="T22" s="369">
        <f>IFERROR(IF(T_suiviDi[[#This Row],[Nom]]&lt;&gt;"",VLOOKUP(T_suiviDi[[#This Row],[NumL]],TraitementDI,16,FALSE),""),"")</f>
        <v>1</v>
      </c>
      <c r="U22" s="369" t="str">
        <f t="shared" si="1"/>
        <v>OK</v>
      </c>
      <c r="V22" s="369">
        <f>IF(D22&lt;&gt;"",IFERROR(IF(AND(VLOOKUP(A22,T_Commission[#Data],COLUMN(T_Commission[[#This Row],[COM '#2]]),FALSE)="",VLOOKUP(A22,T_Commission[#Data],COLUMN(T_Commission[[#This Row],[COM '#1]]),FALSE)=""),"",IF(VLOOKUP(A22,T_Commission[#Data],COLUMN(T_Commission[[#This Row],[COM '#2]]),FALSE)&lt;&gt;"",VLOOKUP(A22,T_Commission[#Data],COLUMN(T_Commission[[#This Row],[COM '#2]]),FALSE),VLOOKUP(A22,T_Commission[#Data],COLUMN(T_Commission[[#This Row],[COM '#1]]),FALSE))),""),"")</f>
        <v>1</v>
      </c>
      <c r="W22" s="369">
        <f>IF(T_suiviDi[[#This Row],[Nom]]&lt;&gt;"",IFERROR(VLOOKUP(T_suiviDi[[#This Row],[NumL]],T_Commission[#Data],COLUMN(T_Commission[[#This Row],[FINAL]]),FALSE),""),"")</f>
        <v>1</v>
      </c>
      <c r="X22" s="366">
        <v>44360</v>
      </c>
      <c r="Y22" s="367" t="str">
        <f t="shared" si="2"/>
        <v/>
      </c>
      <c r="Z22" s="368">
        <v>44354</v>
      </c>
      <c r="AA22" s="370">
        <v>1</v>
      </c>
      <c r="AB22" s="370">
        <v>1</v>
      </c>
      <c r="AC22" s="370"/>
      <c r="AD22" s="216"/>
      <c r="AE22" s="187">
        <f>IFERROR(VALUE(RIGHT(T_suiviDi[[#Data],[NumL]],3)),0)</f>
        <v>78</v>
      </c>
    </row>
    <row r="23" spans="1:31" ht="21.75" customHeight="1" x14ac:dyDescent="0.25">
      <c r="A23" s="360">
        <v>27</v>
      </c>
      <c r="B23" s="371" t="str">
        <f>IFERROR(IF(VLOOKUP(T_suiviDi[[#This Row],[NumL]],T_TraitDi[#Data],COLUMN(T_TraitDi[[#This Row],[Statut]]),FALSE)&lt;&gt;"",VLOOKUP(T_suiviDi[[#This Row],[NumL]],T_TraitDi[#Data],COLUMN(T_TraitDi[[#This Row],[Statut]]),FALSE),""),"")</f>
        <v/>
      </c>
      <c r="C23" s="361" t="s">
        <v>312</v>
      </c>
      <c r="D23" s="362" t="s">
        <v>308</v>
      </c>
      <c r="E23" s="361" t="s">
        <v>351</v>
      </c>
      <c r="F23" s="179"/>
      <c r="G23" s="363" t="s">
        <v>466</v>
      </c>
      <c r="H23" s="364"/>
      <c r="I23" s="365" t="s">
        <v>316</v>
      </c>
      <c r="J23" s="365" t="s">
        <v>327</v>
      </c>
      <c r="K23" s="361" t="s">
        <v>445</v>
      </c>
      <c r="L23" s="361" t="s">
        <v>318</v>
      </c>
      <c r="M23" s="180"/>
      <c r="N23" s="361"/>
      <c r="O23" s="361" t="s">
        <v>469</v>
      </c>
      <c r="P23" s="180"/>
      <c r="Q23" s="366"/>
      <c r="R23" s="367" t="str">
        <f t="shared" si="0"/>
        <v/>
      </c>
      <c r="S23" s="366"/>
      <c r="T23" s="369" t="str">
        <f>IFERROR(IF(T_suiviDi[[#This Row],[Nom]]&lt;&gt;"",VLOOKUP(T_suiviDi[[#This Row],[NumL]],TraitementDI,16,FALSE),""),"")</f>
        <v/>
      </c>
      <c r="U23" s="369" t="str">
        <f t="shared" si="1"/>
        <v/>
      </c>
      <c r="V23" s="369" t="str">
        <f>IF(D23&lt;&gt;"",IFERROR(IF(AND(VLOOKUP(A23,T_Commission[#Data],COLUMN(T_Commission[[#This Row],[COM '#2]]),FALSE)="",VLOOKUP(A23,T_Commission[#Data],COLUMN(T_Commission[[#This Row],[COM '#1]]),FALSE)=""),"",IF(VLOOKUP(A23,T_Commission[#Data],COLUMN(T_Commission[[#This Row],[COM '#2]]),FALSE)&lt;&gt;"",VLOOKUP(A23,T_Commission[#Data],COLUMN(T_Commission[[#This Row],[COM '#2]]),FALSE),VLOOKUP(A23,T_Commission[#Data],COLUMN(T_Commission[[#This Row],[COM '#1]]),FALSE))),""),"")</f>
        <v/>
      </c>
      <c r="W23" s="369" t="str">
        <f>IF(T_suiviDi[[#This Row],[Nom]]&lt;&gt;"",IFERROR(VLOOKUP(T_suiviDi[[#This Row],[NumL]],T_Commission[#Data],COLUMN(T_Commission[[#This Row],[FINAL]]),FALSE),""),"")</f>
        <v/>
      </c>
      <c r="X23" s="366"/>
      <c r="Y23" s="367" t="str">
        <f t="shared" si="2"/>
        <v/>
      </c>
      <c r="Z23" s="368"/>
      <c r="AA23" s="370"/>
      <c r="AB23" s="370"/>
      <c r="AC23" s="370"/>
      <c r="AD23" s="216"/>
      <c r="AE23" s="187">
        <f>IFERROR(VALUE(RIGHT(T_suiviDi[[#Data],[NumL]],3)),0)</f>
        <v>27</v>
      </c>
    </row>
    <row r="24" spans="1:31" ht="21.75" customHeight="1" x14ac:dyDescent="0.25">
      <c r="A24" s="360">
        <v>296</v>
      </c>
      <c r="B24" s="371" t="str">
        <f>IFERROR(IF(VLOOKUP(T_suiviDi[[#This Row],[NumL]],T_TraitDi[#Data],COLUMN(T_TraitDi[[#This Row],[Statut]]),FALSE)&lt;&gt;"",VLOOKUP(T_suiviDi[[#This Row],[NumL]],T_TraitDi[#Data],COLUMN(T_TraitDi[[#This Row],[Statut]]),FALSE),""),"")</f>
        <v>NOUV</v>
      </c>
      <c r="C24" s="361" t="s">
        <v>312</v>
      </c>
      <c r="D24" s="362" t="s">
        <v>308</v>
      </c>
      <c r="E24" s="361" t="s">
        <v>3565</v>
      </c>
      <c r="F24" s="179"/>
      <c r="G24" s="363" t="s">
        <v>202</v>
      </c>
      <c r="H24" s="364"/>
      <c r="I24" s="365" t="s">
        <v>3554</v>
      </c>
      <c r="J24" s="365" t="s">
        <v>220</v>
      </c>
      <c r="K24" s="361" t="s">
        <v>445</v>
      </c>
      <c r="L24" s="361" t="s">
        <v>507</v>
      </c>
      <c r="M24" s="180"/>
      <c r="N24" s="361"/>
      <c r="O24" s="361"/>
      <c r="P24" s="180"/>
      <c r="Q24" s="366">
        <v>44335</v>
      </c>
      <c r="R24" s="367" t="str">
        <f t="shared" si="0"/>
        <v/>
      </c>
      <c r="S24" s="366">
        <v>44335</v>
      </c>
      <c r="T24" s="369">
        <f>IFERROR(IF(T_suiviDi[[#This Row],[Nom]]&lt;&gt;"",VLOOKUP(T_suiviDi[[#This Row],[NumL]],TraitementDI,16,FALSE),""),"")</f>
        <v>1</v>
      </c>
      <c r="U24" s="369" t="str">
        <f t="shared" si="1"/>
        <v>OK</v>
      </c>
      <c r="V24" s="369">
        <f>IF(D24&lt;&gt;"",IFERROR(IF(AND(VLOOKUP(A24,T_Commission[#Data],COLUMN(T_Commission[[#This Row],[COM '#2]]),FALSE)="",VLOOKUP(A24,T_Commission[#Data],COLUMN(T_Commission[[#This Row],[COM '#1]]),FALSE)=""),"",IF(VLOOKUP(A24,T_Commission[#Data],COLUMN(T_Commission[[#This Row],[COM '#2]]),FALSE)&lt;&gt;"",VLOOKUP(A24,T_Commission[#Data],COLUMN(T_Commission[[#This Row],[COM '#2]]),FALSE),VLOOKUP(A24,T_Commission[#Data],COLUMN(T_Commission[[#This Row],[COM '#1]]),FALSE))),""),"")</f>
        <v>1</v>
      </c>
      <c r="W24" s="369" t="str">
        <f>IF(T_suiviDi[[#This Row],[Nom]]&lt;&gt;"",IFERROR(VLOOKUP(T_suiviDi[[#This Row],[NumL]],T_Commission[#Data],COLUMN(T_Commission[[#This Row],[FINAL]]),FALSE),""),"")</f>
        <v/>
      </c>
      <c r="X24" s="366">
        <v>44336</v>
      </c>
      <c r="Y24" s="367" t="str">
        <f t="shared" si="2"/>
        <v/>
      </c>
      <c r="Z24" s="368">
        <v>44327</v>
      </c>
      <c r="AA24" s="370">
        <v>1</v>
      </c>
      <c r="AB24" s="370"/>
      <c r="AC24" s="370"/>
      <c r="AD24" s="216"/>
      <c r="AE24" s="187">
        <f>IFERROR(VALUE(RIGHT(T_suiviDi[[#Data],[NumL]],3)),0)</f>
        <v>296</v>
      </c>
    </row>
    <row r="25" spans="1:31" ht="21.75" customHeight="1" x14ac:dyDescent="0.25">
      <c r="A25" s="360">
        <v>80</v>
      </c>
      <c r="B25" s="372" t="str">
        <f>IFERROR(IF(VLOOKUP(T_suiviDi[[#This Row],[NumL]],T_TraitDi[#Data],COLUMN(T_TraitDi[[#This Row],[Statut]]),FALSE)&lt;&gt;"",VLOOKUP(T_suiviDi[[#This Row],[NumL]],T_TraitDi[#Data],COLUMN(T_TraitDi[[#This Row],[Statut]]),FALSE),""),"")</f>
        <v>RENVL</v>
      </c>
      <c r="C25" s="361" t="s">
        <v>312</v>
      </c>
      <c r="D25" s="362" t="s">
        <v>308</v>
      </c>
      <c r="E25" s="361" t="s">
        <v>642</v>
      </c>
      <c r="F25" s="179"/>
      <c r="G25" s="363" t="s">
        <v>18</v>
      </c>
      <c r="H25" s="364"/>
      <c r="I25" s="365" t="s">
        <v>643</v>
      </c>
      <c r="J25" s="365" t="s">
        <v>220</v>
      </c>
      <c r="K25" s="361" t="s">
        <v>445</v>
      </c>
      <c r="L25" s="361" t="s">
        <v>518</v>
      </c>
      <c r="M25" s="180"/>
      <c r="N25" s="361"/>
      <c r="O25" s="361" t="s">
        <v>515</v>
      </c>
      <c r="P25" s="180"/>
      <c r="Q25" s="366">
        <v>44341</v>
      </c>
      <c r="R25" s="367" t="str">
        <f t="shared" si="0"/>
        <v/>
      </c>
      <c r="S25" s="366">
        <v>44341</v>
      </c>
      <c r="T25" s="369">
        <f>IFERROR(IF(T_suiviDi[[#This Row],[Nom]]&lt;&gt;"",VLOOKUP(T_suiviDi[[#This Row],[NumL]],TraitementDI,16,FALSE),""),"")</f>
        <v>1</v>
      </c>
      <c r="U25" s="369" t="str">
        <f t="shared" si="1"/>
        <v>OK</v>
      </c>
      <c r="V25" s="369">
        <f>IF(D25&lt;&gt;"",IFERROR(IF(AND(VLOOKUP(A25,T_Commission[#Data],COLUMN(T_Commission[[#This Row],[COM '#2]]),FALSE)="",VLOOKUP(A25,T_Commission[#Data],COLUMN(T_Commission[[#This Row],[COM '#1]]),FALSE)=""),"",IF(VLOOKUP(A25,T_Commission[#Data],COLUMN(T_Commission[[#This Row],[COM '#2]]),FALSE)&lt;&gt;"",VLOOKUP(A25,T_Commission[#Data],COLUMN(T_Commission[[#This Row],[COM '#2]]),FALSE),VLOOKUP(A25,T_Commission[#Data],COLUMN(T_Commission[[#This Row],[COM '#1]]),FALSE))),""),"")</f>
        <v>1</v>
      </c>
      <c r="W25" s="369">
        <f>IF(T_suiviDi[[#This Row],[Nom]]&lt;&gt;"",IFERROR(VLOOKUP(T_suiviDi[[#This Row],[NumL]],T_Commission[#Data],COLUMN(T_Commission[[#This Row],[FINAL]]),FALSE),""),"")</f>
        <v>1</v>
      </c>
      <c r="X25" s="366">
        <v>44378</v>
      </c>
      <c r="Y25" s="367">
        <f t="shared" si="2"/>
        <v>3</v>
      </c>
      <c r="Z25" s="368">
        <v>44378</v>
      </c>
      <c r="AA25" s="370">
        <v>1</v>
      </c>
      <c r="AB25" s="370"/>
      <c r="AC25" s="370"/>
      <c r="AD25" s="216"/>
      <c r="AE25" s="187">
        <f>IFERROR(VALUE(RIGHT(T_suiviDi[[#Data],[NumL]],3)),0)</f>
        <v>80</v>
      </c>
    </row>
    <row r="26" spans="1:31" ht="21.75" customHeight="1" x14ac:dyDescent="0.25">
      <c r="A26" s="360">
        <v>280</v>
      </c>
      <c r="B26" s="371" t="str">
        <f>IFERROR(IF(VLOOKUP(T_suiviDi[[#This Row],[NumL]],T_TraitDi[#Data],COLUMN(T_TraitDi[[#This Row],[Statut]]),FALSE)&lt;&gt;"",VLOOKUP(T_suiviDi[[#This Row],[NumL]],T_TraitDi[#Data],COLUMN(T_TraitDi[[#This Row],[Statut]]),FALSE),""),"")</f>
        <v>RENVL</v>
      </c>
      <c r="C26" s="361" t="s">
        <v>312</v>
      </c>
      <c r="D26" s="362" t="s">
        <v>308</v>
      </c>
      <c r="E26" s="361" t="s">
        <v>314</v>
      </c>
      <c r="F26" s="179"/>
      <c r="G26" s="363" t="s">
        <v>25</v>
      </c>
      <c r="H26" s="364" t="s">
        <v>1155</v>
      </c>
      <c r="I26" s="365" t="s">
        <v>1156</v>
      </c>
      <c r="J26" s="365" t="s">
        <v>648</v>
      </c>
      <c r="K26" s="361" t="s">
        <v>445</v>
      </c>
      <c r="L26" s="361" t="s">
        <v>598</v>
      </c>
      <c r="M26" s="180"/>
      <c r="N26" s="361"/>
      <c r="O26" s="361" t="s">
        <v>414</v>
      </c>
      <c r="P26" s="180"/>
      <c r="Q26" s="366">
        <v>44343</v>
      </c>
      <c r="R26" s="367" t="str">
        <f t="shared" si="0"/>
        <v/>
      </c>
      <c r="S26" s="366">
        <v>44343</v>
      </c>
      <c r="T26" s="369">
        <f>IFERROR(IF(T_suiviDi[[#This Row],[Nom]]&lt;&gt;"",VLOOKUP(T_suiviDi[[#This Row],[NumL]],TraitementDI,16,FALSE),""),"")</f>
        <v>1</v>
      </c>
      <c r="U26" s="369" t="str">
        <f t="shared" si="1"/>
        <v>OK</v>
      </c>
      <c r="V26" s="369">
        <f>IF(D26&lt;&gt;"",IFERROR(IF(AND(VLOOKUP(A26,T_Commission[#Data],COLUMN(T_Commission[[#This Row],[COM '#2]]),FALSE)="",VLOOKUP(A26,T_Commission[#Data],COLUMN(T_Commission[[#This Row],[COM '#1]]),FALSE)=""),"",IF(VLOOKUP(A26,T_Commission[#Data],COLUMN(T_Commission[[#This Row],[COM '#2]]),FALSE)&lt;&gt;"",VLOOKUP(A26,T_Commission[#Data],COLUMN(T_Commission[[#This Row],[COM '#2]]),FALSE),VLOOKUP(A26,T_Commission[#Data],COLUMN(T_Commission[[#This Row],[COM '#1]]),FALSE))),""),"")</f>
        <v>1</v>
      </c>
      <c r="W26" s="369">
        <f>IF(T_suiviDi[[#This Row],[Nom]]&lt;&gt;"",IFERROR(VLOOKUP(T_suiviDi[[#This Row],[NumL]],T_Commission[#Data],COLUMN(T_Commission[[#This Row],[FINAL]]),FALSE),""),"")</f>
        <v>1</v>
      </c>
      <c r="X26" s="366">
        <v>44378</v>
      </c>
      <c r="Y26" s="367">
        <f t="shared" si="2"/>
        <v>3</v>
      </c>
      <c r="Z26" s="368">
        <v>44378</v>
      </c>
      <c r="AA26" s="370">
        <v>1</v>
      </c>
      <c r="AB26" s="370"/>
      <c r="AC26" s="370"/>
      <c r="AD26" s="216"/>
      <c r="AE26" s="187">
        <f>IFERROR(VALUE(RIGHT(T_suiviDi[[#Data],[NumL]],3)),0)</f>
        <v>280</v>
      </c>
    </row>
    <row r="27" spans="1:31" ht="21.75" customHeight="1" x14ac:dyDescent="0.25">
      <c r="A27" s="360">
        <v>152</v>
      </c>
      <c r="B27" s="372" t="str">
        <f>IFERROR(IF(VLOOKUP(T_suiviDi[[#This Row],[NumL]],T_TraitDi[#Data],COLUMN(T_TraitDi[[#This Row],[Statut]]),FALSE)&lt;&gt;"",VLOOKUP(T_suiviDi[[#This Row],[NumL]],T_TraitDi[#Data],COLUMN(T_TraitDi[[#This Row],[Statut]]),FALSE),""),"")</f>
        <v>RENVL</v>
      </c>
      <c r="C27" s="361" t="s">
        <v>312</v>
      </c>
      <c r="D27" s="362" t="s">
        <v>308</v>
      </c>
      <c r="E27" s="361" t="s">
        <v>848</v>
      </c>
      <c r="F27" s="179"/>
      <c r="G27" s="363" t="s">
        <v>25</v>
      </c>
      <c r="H27" s="364" t="s">
        <v>849</v>
      </c>
      <c r="I27" s="365" t="s">
        <v>850</v>
      </c>
      <c r="J27" s="365" t="s">
        <v>223</v>
      </c>
      <c r="K27" s="361" t="s">
        <v>445</v>
      </c>
      <c r="L27" s="361" t="s">
        <v>414</v>
      </c>
      <c r="M27" s="180"/>
      <c r="N27" s="361"/>
      <c r="O27" s="361"/>
      <c r="P27" s="180"/>
      <c r="Q27" s="366">
        <v>44335</v>
      </c>
      <c r="R27" s="367" t="str">
        <f t="shared" si="0"/>
        <v/>
      </c>
      <c r="S27" s="366">
        <v>44335</v>
      </c>
      <c r="T27" s="369">
        <f>IFERROR(IF(T_suiviDi[[#This Row],[Nom]]&lt;&gt;"",VLOOKUP(T_suiviDi[[#This Row],[NumL]],TraitementDI,16,FALSE),""),"")</f>
        <v>1</v>
      </c>
      <c r="U27" s="369" t="str">
        <f t="shared" si="1"/>
        <v>OK</v>
      </c>
      <c r="V27" s="369">
        <f>IF(D27&lt;&gt;"",IFERROR(IF(AND(VLOOKUP(A27,T_Commission[#Data],COLUMN(T_Commission[[#This Row],[COM '#2]]),FALSE)="",VLOOKUP(A27,T_Commission[#Data],COLUMN(T_Commission[[#This Row],[COM '#1]]),FALSE)=""),"",IF(VLOOKUP(A27,T_Commission[#Data],COLUMN(T_Commission[[#This Row],[COM '#2]]),FALSE)&lt;&gt;"",VLOOKUP(A27,T_Commission[#Data],COLUMN(T_Commission[[#This Row],[COM '#2]]),FALSE),VLOOKUP(A27,T_Commission[#Data],COLUMN(T_Commission[[#This Row],[COM '#1]]),FALSE))),""),"")</f>
        <v>1</v>
      </c>
      <c r="W27" s="369">
        <f>IF(T_suiviDi[[#This Row],[Nom]]&lt;&gt;"",IFERROR(VLOOKUP(T_suiviDi[[#This Row],[NumL]],T_Commission[#Data],COLUMN(T_Commission[[#This Row],[FINAL]]),FALSE),""),"")</f>
        <v>1</v>
      </c>
      <c r="X27" s="366">
        <v>44335</v>
      </c>
      <c r="Y27" s="367" t="str">
        <f t="shared" si="2"/>
        <v/>
      </c>
      <c r="Z27" s="368">
        <v>44335</v>
      </c>
      <c r="AA27" s="370">
        <v>1</v>
      </c>
      <c r="AB27" s="370"/>
      <c r="AC27" s="370"/>
      <c r="AD27" s="216"/>
      <c r="AE27" s="187">
        <f>IFERROR(VALUE(RIGHT(T_suiviDi[[#Data],[NumL]],3)),0)</f>
        <v>152</v>
      </c>
    </row>
    <row r="28" spans="1:31" ht="21.75" customHeight="1" x14ac:dyDescent="0.25">
      <c r="A28" s="360">
        <v>178</v>
      </c>
      <c r="B28" s="371" t="str">
        <f>IFERROR(IF(VLOOKUP(T_suiviDi[[#This Row],[NumL]],T_TraitDi[#Data],COLUMN(T_TraitDi[[#This Row],[Statut]]),FALSE)&lt;&gt;"",VLOOKUP(T_suiviDi[[#This Row],[NumL]],T_TraitDi[#Data],COLUMN(T_TraitDi[[#This Row],[Statut]]),FALSE),""),"")</f>
        <v>RENVL</v>
      </c>
      <c r="C28" s="361" t="s">
        <v>312</v>
      </c>
      <c r="D28" s="362" t="s">
        <v>308</v>
      </c>
      <c r="E28" s="361" t="s">
        <v>358</v>
      </c>
      <c r="F28" s="179"/>
      <c r="G28" s="363" t="s">
        <v>16</v>
      </c>
      <c r="H28" s="364" t="s">
        <v>922</v>
      </c>
      <c r="I28" s="365" t="s">
        <v>923</v>
      </c>
      <c r="J28" s="365" t="s">
        <v>223</v>
      </c>
      <c r="K28" s="361" t="s">
        <v>445</v>
      </c>
      <c r="L28" s="361" t="s">
        <v>682</v>
      </c>
      <c r="M28" s="180"/>
      <c r="N28" s="361"/>
      <c r="O28" s="361" t="s">
        <v>332</v>
      </c>
      <c r="P28" s="180"/>
      <c r="Q28" s="366">
        <v>44327</v>
      </c>
      <c r="R28" s="367" t="str">
        <f t="shared" si="0"/>
        <v/>
      </c>
      <c r="S28" s="366">
        <v>44327</v>
      </c>
      <c r="T28" s="369">
        <f>IFERROR(IF(T_suiviDi[[#This Row],[Nom]]&lt;&gt;"",VLOOKUP(T_suiviDi[[#This Row],[NumL]],TraitementDI,16,FALSE),""),"")</f>
        <v>1</v>
      </c>
      <c r="U28" s="369" t="str">
        <f t="shared" si="1"/>
        <v>OK</v>
      </c>
      <c r="V28" s="369">
        <f>IF(D28&lt;&gt;"",IFERROR(IF(AND(VLOOKUP(A28,T_Commission[#Data],COLUMN(T_Commission[[#This Row],[COM '#2]]),FALSE)="",VLOOKUP(A28,T_Commission[#Data],COLUMN(T_Commission[[#This Row],[COM '#1]]),FALSE)=""),"",IF(VLOOKUP(A28,T_Commission[#Data],COLUMN(T_Commission[[#This Row],[COM '#2]]),FALSE)&lt;&gt;"",VLOOKUP(A28,T_Commission[#Data],COLUMN(T_Commission[[#This Row],[COM '#2]]),FALSE),VLOOKUP(A28,T_Commission[#Data],COLUMN(T_Commission[[#This Row],[COM '#1]]),FALSE))),""),"")</f>
        <v>1</v>
      </c>
      <c r="W28" s="369">
        <f>IF(T_suiviDi[[#This Row],[Nom]]&lt;&gt;"",IFERROR(VLOOKUP(T_suiviDi[[#This Row],[NumL]],T_Commission[#Data],COLUMN(T_Commission[[#This Row],[FINAL]]),FALSE),""),"")</f>
        <v>1</v>
      </c>
      <c r="X28" s="366">
        <v>44327</v>
      </c>
      <c r="Y28" s="367" t="str">
        <f t="shared" si="2"/>
        <v/>
      </c>
      <c r="Z28" s="368">
        <v>44327</v>
      </c>
      <c r="AA28" s="370">
        <v>1</v>
      </c>
      <c r="AB28" s="370"/>
      <c r="AC28" s="370"/>
      <c r="AD28" s="216"/>
      <c r="AE28" s="187">
        <f>IFERROR(VALUE(RIGHT(T_suiviDi[[#Data],[NumL]],3)),0)</f>
        <v>178</v>
      </c>
    </row>
    <row r="29" spans="1:31" ht="21.75" customHeight="1" x14ac:dyDescent="0.25">
      <c r="A29" s="360">
        <v>134</v>
      </c>
      <c r="B29" s="372" t="str">
        <f>IFERROR(IF(VLOOKUP(T_suiviDi[[#This Row],[NumL]],T_TraitDi[#Data],COLUMN(T_TraitDi[[#This Row],[Statut]]),FALSE)&lt;&gt;"",VLOOKUP(T_suiviDi[[#This Row],[NumL]],T_TraitDi[#Data],COLUMN(T_TraitDi[[#This Row],[Statut]]),FALSE),""),"")</f>
        <v>RENVL</v>
      </c>
      <c r="C29" s="361" t="s">
        <v>312</v>
      </c>
      <c r="D29" s="362" t="s">
        <v>308</v>
      </c>
      <c r="E29" s="361" t="s">
        <v>324</v>
      </c>
      <c r="F29" s="179"/>
      <c r="G29" s="363" t="s">
        <v>197</v>
      </c>
      <c r="H29" s="364"/>
      <c r="I29" s="365" t="s">
        <v>803</v>
      </c>
      <c r="J29" s="365" t="s">
        <v>223</v>
      </c>
      <c r="K29" s="361" t="s">
        <v>445</v>
      </c>
      <c r="L29" s="361" t="s">
        <v>731</v>
      </c>
      <c r="M29" s="180"/>
      <c r="N29" s="361"/>
      <c r="O29" s="361"/>
      <c r="P29" s="180"/>
      <c r="Q29" s="366">
        <v>44356</v>
      </c>
      <c r="R29" s="367">
        <f t="shared" si="0"/>
        <v>3</v>
      </c>
      <c r="S29" s="366">
        <v>44356</v>
      </c>
      <c r="T29" s="369">
        <f>IFERROR(IF(T_suiviDi[[#This Row],[Nom]]&lt;&gt;"",VLOOKUP(T_suiviDi[[#This Row],[NumL]],TraitementDI,16,FALSE),""),"")</f>
        <v>1</v>
      </c>
      <c r="U29" s="369" t="str">
        <f t="shared" si="1"/>
        <v>OK</v>
      </c>
      <c r="V29" s="369">
        <f>IF(D29&lt;&gt;"",IFERROR(IF(AND(VLOOKUP(A29,T_Commission[#Data],COLUMN(T_Commission[[#This Row],[COM '#2]]),FALSE)="",VLOOKUP(A29,T_Commission[#Data],COLUMN(T_Commission[[#This Row],[COM '#1]]),FALSE)=""),"",IF(VLOOKUP(A29,T_Commission[#Data],COLUMN(T_Commission[[#This Row],[COM '#2]]),FALSE)&lt;&gt;"",VLOOKUP(A29,T_Commission[#Data],COLUMN(T_Commission[[#This Row],[COM '#2]]),FALSE),VLOOKUP(A29,T_Commission[#Data],COLUMN(T_Commission[[#This Row],[COM '#1]]),FALSE))),""),"")</f>
        <v>1</v>
      </c>
      <c r="W29" s="369">
        <f>IF(T_suiviDi[[#This Row],[Nom]]&lt;&gt;"",IFERROR(VLOOKUP(T_suiviDi[[#This Row],[NumL]],T_Commission[#Data],COLUMN(T_Commission[[#This Row],[FINAL]]),FALSE),""),"")</f>
        <v>1</v>
      </c>
      <c r="X29" s="366">
        <v>44356</v>
      </c>
      <c r="Y29" s="367" t="str">
        <f t="shared" si="2"/>
        <v/>
      </c>
      <c r="Z29" s="368">
        <v>44356</v>
      </c>
      <c r="AA29" s="370">
        <v>1</v>
      </c>
      <c r="AB29" s="370"/>
      <c r="AC29" s="370"/>
      <c r="AD29" s="216"/>
      <c r="AE29" s="187">
        <f>IFERROR(VALUE(RIGHT(T_suiviDi[[#Data],[NumL]],3)),0)</f>
        <v>134</v>
      </c>
    </row>
    <row r="30" spans="1:31" ht="21.75" customHeight="1" x14ac:dyDescent="0.25">
      <c r="A30" s="360">
        <v>212</v>
      </c>
      <c r="B30" s="371" t="str">
        <f>IFERROR(IF(VLOOKUP(T_suiviDi[[#This Row],[NumL]],T_TraitDi[#Data],COLUMN(T_TraitDi[[#This Row],[Statut]]),FALSE)&lt;&gt;"",VLOOKUP(T_suiviDi[[#This Row],[NumL]],T_TraitDi[#Data],COLUMN(T_TraitDi[[#This Row],[Statut]]),FALSE),""),"")</f>
        <v>RENVL</v>
      </c>
      <c r="C30" s="361" t="s">
        <v>312</v>
      </c>
      <c r="D30" s="362" t="s">
        <v>308</v>
      </c>
      <c r="E30" s="361" t="s">
        <v>983</v>
      </c>
      <c r="F30" s="179"/>
      <c r="G30" s="363" t="s">
        <v>68</v>
      </c>
      <c r="H30" s="364" t="s">
        <v>1089</v>
      </c>
      <c r="I30" s="365" t="s">
        <v>1090</v>
      </c>
      <c r="J30" s="365" t="s">
        <v>327</v>
      </c>
      <c r="K30" s="361" t="s">
        <v>445</v>
      </c>
      <c r="L30" s="361" t="s">
        <v>961</v>
      </c>
      <c r="M30" s="180"/>
      <c r="N30" s="361"/>
      <c r="O30" s="361" t="s">
        <v>486</v>
      </c>
      <c r="P30" s="180"/>
      <c r="Q30" s="366">
        <v>44341</v>
      </c>
      <c r="R30" s="367" t="str">
        <f t="shared" si="0"/>
        <v/>
      </c>
      <c r="S30" s="366">
        <v>44341</v>
      </c>
      <c r="T30" s="369">
        <f>IFERROR(IF(T_suiviDi[[#This Row],[Nom]]&lt;&gt;"",VLOOKUP(T_suiviDi[[#This Row],[NumL]],TraitementDI,16,FALSE),""),"")</f>
        <v>1</v>
      </c>
      <c r="U30" s="369" t="str">
        <f t="shared" si="1"/>
        <v>OK</v>
      </c>
      <c r="V30" s="369">
        <f>IF(D30&lt;&gt;"",IFERROR(IF(AND(VLOOKUP(A30,T_Commission[#Data],COLUMN(T_Commission[[#This Row],[COM '#2]]),FALSE)="",VLOOKUP(A30,T_Commission[#Data],COLUMN(T_Commission[[#This Row],[COM '#1]]),FALSE)=""),"",IF(VLOOKUP(A30,T_Commission[#Data],COLUMN(T_Commission[[#This Row],[COM '#2]]),FALSE)&lt;&gt;"",VLOOKUP(A30,T_Commission[#Data],COLUMN(T_Commission[[#This Row],[COM '#2]]),FALSE),VLOOKUP(A30,T_Commission[#Data],COLUMN(T_Commission[[#This Row],[COM '#1]]),FALSE))),""),"")</f>
        <v>1</v>
      </c>
      <c r="W30" s="369">
        <f>IF(T_suiviDi[[#This Row],[Nom]]&lt;&gt;"",IFERROR(VLOOKUP(T_suiviDi[[#This Row],[NumL]],T_Commission[#Data],COLUMN(T_Commission[[#This Row],[FINAL]]),FALSE),""),"")</f>
        <v>1</v>
      </c>
      <c r="X30" s="366">
        <v>44341</v>
      </c>
      <c r="Y30" s="367" t="str">
        <f t="shared" si="2"/>
        <v/>
      </c>
      <c r="Z30" s="368">
        <v>44357</v>
      </c>
      <c r="AA30" s="370">
        <v>1</v>
      </c>
      <c r="AB30" s="370"/>
      <c r="AC30" s="370"/>
      <c r="AD30" s="216"/>
      <c r="AE30" s="187">
        <f>IFERROR(VALUE(RIGHT(T_suiviDi[[#Data],[NumL]],3)),0)</f>
        <v>212</v>
      </c>
    </row>
    <row r="31" spans="1:31" ht="21.75" customHeight="1" x14ac:dyDescent="0.25">
      <c r="A31" s="360">
        <v>314</v>
      </c>
      <c r="B31" s="371" t="str">
        <f>IFERROR(IF(VLOOKUP(T_suiviDi[[#This Row],[NumL]],T_TraitDi[#Data],COLUMN(T_TraitDi[[#This Row],[Statut]]),FALSE)&lt;&gt;"",VLOOKUP(T_suiviDi[[#This Row],[NumL]],T_TraitDi[#Data],COLUMN(T_TraitDi[[#This Row],[Statut]]),FALSE),""),"")</f>
        <v>NOUV</v>
      </c>
      <c r="C31" s="361" t="s">
        <v>312</v>
      </c>
      <c r="D31" s="362" t="s">
        <v>308</v>
      </c>
      <c r="E31" s="361" t="s">
        <v>497</v>
      </c>
      <c r="F31" s="179"/>
      <c r="G31" s="363" t="s">
        <v>16</v>
      </c>
      <c r="H31" s="364" t="s">
        <v>903</v>
      </c>
      <c r="I31" s="365" t="s">
        <v>904</v>
      </c>
      <c r="J31" s="365" t="s">
        <v>648</v>
      </c>
      <c r="K31" s="361" t="s">
        <v>445</v>
      </c>
      <c r="L31" s="361" t="s">
        <v>682</v>
      </c>
      <c r="M31" s="180"/>
      <c r="N31" s="361"/>
      <c r="O31" s="361" t="s">
        <v>332</v>
      </c>
      <c r="P31" s="180"/>
      <c r="Q31" s="366">
        <v>44342</v>
      </c>
      <c r="R31" s="367" t="str">
        <f t="shared" si="0"/>
        <v/>
      </c>
      <c r="S31" s="366">
        <v>44342</v>
      </c>
      <c r="T31" s="369">
        <f>IFERROR(IF(T_suiviDi[[#This Row],[Nom]]&lt;&gt;"",VLOOKUP(T_suiviDi[[#This Row],[NumL]],TraitementDI,16,FALSE),""),"")</f>
        <v>1</v>
      </c>
      <c r="U31" s="369" t="str">
        <f t="shared" si="1"/>
        <v>OK</v>
      </c>
      <c r="V31" s="369">
        <f>IF(D31&lt;&gt;"",IFERROR(IF(AND(VLOOKUP(A31,T_Commission[#Data],COLUMN(T_Commission[[#This Row],[COM '#2]]),FALSE)="",VLOOKUP(A31,T_Commission[#Data],COLUMN(T_Commission[[#This Row],[COM '#1]]),FALSE)=""),"",IF(VLOOKUP(A31,T_Commission[#Data],COLUMN(T_Commission[[#This Row],[COM '#2]]),FALSE)&lt;&gt;"",VLOOKUP(A31,T_Commission[#Data],COLUMN(T_Commission[[#This Row],[COM '#2]]),FALSE),VLOOKUP(A31,T_Commission[#Data],COLUMN(T_Commission[[#This Row],[COM '#1]]),FALSE))),""),"")</f>
        <v>1</v>
      </c>
      <c r="W31" s="369" t="str">
        <f>IF(T_suiviDi[[#This Row],[Nom]]&lt;&gt;"",IFERROR(VLOOKUP(T_suiviDi[[#This Row],[NumL]],T_Commission[#Data],COLUMN(T_Commission[[#This Row],[FINAL]]),FALSE),""),"")</f>
        <v/>
      </c>
      <c r="X31" s="366">
        <v>44354</v>
      </c>
      <c r="Y31" s="367" t="str">
        <f t="shared" si="2"/>
        <v/>
      </c>
      <c r="Z31" s="368">
        <v>44341</v>
      </c>
      <c r="AA31" s="370">
        <v>1</v>
      </c>
      <c r="AB31" s="370"/>
      <c r="AC31" s="370"/>
      <c r="AD31" s="216"/>
      <c r="AE31" s="187">
        <f>IFERROR(VALUE(RIGHT(T_suiviDi[[#Data],[NumL]],3)),0)</f>
        <v>314</v>
      </c>
    </row>
    <row r="32" spans="1:31" ht="21.75" customHeight="1" x14ac:dyDescent="0.25">
      <c r="A32" s="360">
        <v>76</v>
      </c>
      <c r="B32" s="371" t="str">
        <f>IFERROR(IF(VLOOKUP(T_suiviDi[[#This Row],[NumL]],T_TraitDi[#Data],COLUMN(T_TraitDi[[#This Row],[Statut]]),FALSE)&lt;&gt;"",VLOOKUP(T_suiviDi[[#This Row],[NumL]],T_TraitDi[#Data],COLUMN(T_TraitDi[[#This Row],[Statut]]),FALSE),""),"")</f>
        <v/>
      </c>
      <c r="C32" s="361" t="s">
        <v>283</v>
      </c>
      <c r="D32" s="362" t="s">
        <v>308</v>
      </c>
      <c r="E32" s="361" t="s">
        <v>437</v>
      </c>
      <c r="F32" s="179"/>
      <c r="G32" s="363" t="s">
        <v>23</v>
      </c>
      <c r="H32" s="364" t="s">
        <v>383</v>
      </c>
      <c r="I32" s="365" t="s">
        <v>624</v>
      </c>
      <c r="J32" s="365" t="s">
        <v>226</v>
      </c>
      <c r="K32" s="361" t="s">
        <v>445</v>
      </c>
      <c r="L32" s="361" t="s">
        <v>360</v>
      </c>
      <c r="M32" s="180"/>
      <c r="N32" s="361"/>
      <c r="O32" s="361" t="s">
        <v>419</v>
      </c>
      <c r="P32" s="180"/>
      <c r="Q32" s="366">
        <v>44333</v>
      </c>
      <c r="R32" s="367" t="str">
        <f t="shared" si="0"/>
        <v/>
      </c>
      <c r="S32" s="366">
        <v>44333</v>
      </c>
      <c r="T32" s="369">
        <f>IFERROR(IF(T_suiviDi[[#This Row],[Nom]]&lt;&gt;"",VLOOKUP(T_suiviDi[[#This Row],[NumL]],TraitementDI,16,FALSE),""),"")</f>
        <v>1</v>
      </c>
      <c r="U32" s="369" t="str">
        <f t="shared" si="1"/>
        <v/>
      </c>
      <c r="V32" s="369">
        <f>IF(D32&lt;&gt;"",IFERROR(IF(AND(VLOOKUP(A32,T_Commission[#Data],COLUMN(T_Commission[[#This Row],[COM '#2]]),FALSE)="",VLOOKUP(A32,T_Commission[#Data],COLUMN(T_Commission[[#This Row],[COM '#1]]),FALSE)=""),"",IF(VLOOKUP(A32,T_Commission[#Data],COLUMN(T_Commission[[#This Row],[COM '#2]]),FALSE)&lt;&gt;"",VLOOKUP(A32,T_Commission[#Data],COLUMN(T_Commission[[#This Row],[COM '#2]]),FALSE),VLOOKUP(A32,T_Commission[#Data],COLUMN(T_Commission[[#This Row],[COM '#1]]),FALSE))),""),"")</f>
        <v>1</v>
      </c>
      <c r="W32" s="369">
        <f>IF(T_suiviDi[[#This Row],[Nom]]&lt;&gt;"",IFERROR(VLOOKUP(T_suiviDi[[#This Row],[NumL]],T_Commission[#Data],COLUMN(T_Commission[[#This Row],[FINAL]]),FALSE),""),"")</f>
        <v>1</v>
      </c>
      <c r="X32" s="366">
        <v>44333</v>
      </c>
      <c r="Y32" s="367" t="str">
        <f t="shared" si="2"/>
        <v/>
      </c>
      <c r="Z32" s="368">
        <v>44333</v>
      </c>
      <c r="AA32" s="370">
        <v>1</v>
      </c>
      <c r="AB32" s="370"/>
      <c r="AC32" s="370"/>
      <c r="AD32" s="216"/>
      <c r="AE32" s="187">
        <f>IFERROR(VALUE(RIGHT(T_suiviDi[[#Data],[NumL]],3)),0)</f>
        <v>76</v>
      </c>
    </row>
    <row r="37" spans="16:18" ht="21.75" customHeight="1" x14ac:dyDescent="0.25">
      <c r="P37" s="376"/>
      <c r="R37" s="376"/>
    </row>
    <row r="74" ht="23.25" customHeight="1" x14ac:dyDescent="0.25"/>
  </sheetData>
  <sheetProtection sheet="1" scenarios="1" sort="0" autoFilter="0"/>
  <mergeCells count="5">
    <mergeCell ref="B1:H1"/>
    <mergeCell ref="P1:V1"/>
    <mergeCell ref="J1:L1"/>
    <mergeCell ref="M1:O1"/>
    <mergeCell ref="W1:AD1"/>
  </mergeCells>
  <conditionalFormatting sqref="AA3:AC32">
    <cfRule type="iconSet" priority="12625">
      <iconSet showValue="0" reverse="1">
        <cfvo type="percent" val="0"/>
        <cfvo type="num" val="1" gte="0"/>
        <cfvo type="num" val="2" gte="0"/>
      </iconSet>
    </cfRule>
  </conditionalFormatting>
  <conditionalFormatting sqref="R3:R32">
    <cfRule type="iconSet" priority="12626">
      <iconSet iconSet="3Signs" showValue="0" reverse="1">
        <cfvo type="percent" val="0"/>
        <cfvo type="num" val="2"/>
        <cfvo type="num" val="3"/>
      </iconSet>
    </cfRule>
  </conditionalFormatting>
  <conditionalFormatting sqref="Y3:Y32">
    <cfRule type="iconSet" priority="12627">
      <iconSet iconSet="3Signs" showValue="0" reverse="1">
        <cfvo type="percent" val="0"/>
        <cfvo type="num" val="2"/>
        <cfvo type="num" val="3"/>
      </iconSet>
    </cfRule>
  </conditionalFormatting>
  <conditionalFormatting sqref="T3:W32">
    <cfRule type="iconSet" priority="12628">
      <iconSet iconSet="4TrafficLights" showValue="0" reverse="1">
        <cfvo type="percent" val="0"/>
        <cfvo type="num" val="2"/>
        <cfvo type="num" val="3"/>
        <cfvo type="num" val="4"/>
      </iconSet>
    </cfRule>
  </conditionalFormatting>
  <dataValidations xWindow="1239" yWindow="675" count="13">
    <dataValidation type="list" allowBlank="1" showInputMessage="1" showErrorMessage="1" sqref="C3:C32" xr:uid="{00000000-0002-0000-0100-000001000000}">
      <formula1>"M.,Mme"</formula1>
    </dataValidation>
    <dataValidation type="list" allowBlank="1" showInputMessage="1" showErrorMessage="1" errorTitle="Information non reconnue" error="Saisir uniquement &quot;OUI&quot; lorsque les horaires sont différentes entre la demande individuelle initiale et l'avis encadrant. " promptTitle="Aide à la saisie" prompt="Indiquez &quot;OUI&quot; lorsque les horaires données dans l'avis encadrant sont différentes de celle de la demande. _x000a_Ce sont les horaires définitives à prendre en compte. Les informations doivent également être modifiées en conséquence dans la feuille #2. " sqref="AC3:AC32" xr:uid="{00000000-0002-0000-0100-000002000000}">
      <formula1>"OUI"</formula1>
    </dataValidation>
    <dataValidation allowBlank="1" showInputMessage="1" showErrorMessage="1" promptTitle="Aide à la saisie" prompt="Indiquez la date de réception de la demande_x000a__x000a_Un pictogramme rouge vous indiquera le cas échéant si la demande a été reçue après la date d'échéance. La commission en sera avisée et décidera de la prise en compte ou non du dossier. " sqref="Q3:Q32" xr:uid="{00000000-0002-0000-0100-000003000000}"/>
    <dataValidation allowBlank="1" showInputMessage="1" showErrorMessage="1" promptTitle="Aide à la saisie" prompt="Indiquez ici la date a laquelle a été envoyée l'accusé de réception de la demande, au demandeur et à son encadrant (voir modèle). " sqref="S3:S32" xr:uid="{00000000-0002-0000-0100-000004000000}"/>
    <dataValidation allowBlank="1" showInputMessage="1" showErrorMessage="1" promptTitle="Aide à la saisie" prompt="Indiquez la date de réception de l'avis encadrant._x000a__x000a_Un pictogramme rouge vous indiquera le cas échéant si l'avis a été reçu après la date d'échéance. " sqref="X3:X32" xr:uid="{00000000-0002-0000-0100-000009000000}"/>
    <dataValidation allowBlank="1" showInputMessage="1" showErrorMessage="1" promptTitle="Aide à la saisie" prompt="Précisez à titre indicatif la date de l'entretien entre le demandeur et l'encadrant (information donnée sur l'avis encadrant)" sqref="Z3:Z32" xr:uid="{00000000-0002-0000-0100-00000A000000}"/>
    <dataValidation allowBlank="1" showInputMessage="1" showErrorMessage="1" promptTitle="Aide à la saisie" prompt="Indiquez l'avis de l'encadrant. _x000a_1 =&gt; Favorable_x000a_2 =&gt; Sous réserve_x000a_3 =&gt; Défavorable_x000a__x000a_Note : la valeur est automatiquement transformée en indicateur visuel. " sqref="AA3:AB32" xr:uid="{00000000-0002-0000-0100-00000B000000}"/>
    <dataValidation type="list" allowBlank="1" showInputMessage="1" showErrorMessage="1" sqref="J3:J32" xr:uid="{7DC073D6-EE45-4491-9670-DF3CCE8A9DE9}">
      <formula1>L_Grade</formula1>
    </dataValidation>
    <dataValidation type="list" allowBlank="1" showInputMessage="1" showErrorMessage="1" errorTitle="L'entité est inconnue" error="L'ajout d'une nouvelle entité se fait dans l'onglet &quot;PARAM&quot;" promptTitle="Aide à la saisie" prompt="Utilisez le menu déroulant pour sélectionner l'entité du demandeur. _x000a_Si l'entité n'est pas dans la liste, vous devez l'ajouter en suivant les instructions dans l'onglet PARAM." sqref="G3:G32" xr:uid="{00000000-0002-0000-0100-000000000000}">
      <formula1>Entité</formula1>
    </dataValidation>
    <dataValidation allowBlank="1" showInputMessage="1" showErrorMessage="1" promptTitle="Précision d'affichage" prompt="Vert =&gt; Le dossier comporte l'ensemble des PJ spécifiées dans l'onglet #2_x000a_Rouge =&gt; Le dossier est incomplet. _x000a__x000a_L'information est réccupérée automatiquement. Ne rien saisir. " sqref="T2:T32" xr:uid="{00000000-0002-0000-0100-000005000000}"/>
    <dataValidation allowBlank="1" showInputMessage="1" showErrorMessage="1" promptTitle="Précision d'affichage" prompt="Vert =&gt; Les contrôles de base n'ont relevé aucune anomalies_x000a_Rouge =&gt; Des anomalies ont été identifiées ou les informations saisies ne permettent pas d'effectuer tous les contrôles. " sqref="U2:U32" xr:uid="{00000000-0002-0000-0100-000006000000}"/>
    <dataValidation allowBlank="1" showInputMessage="1" showErrorMessage="1" promptTitle="Précision d'affichage" prompt="Dernier avis de la commission _x000a_Vert =&gt; Favorable_x000a_Orange =&gt; Sous réserve_x000a_Rouge =&gt; Refusé" sqref="V2:V32" xr:uid="{00000000-0002-0000-0100-000007000000}"/>
    <dataValidation allowBlank="1" showInputMessage="1" showErrorMessage="1" promptTitle="Précision d'affichage" prompt="Validation finale prenant en compte les contrôles et les avis de la commission. _x000a_Vert =&gt; Validé_x000a_Rouge =&gt; Non validé" sqref="W2:W32" xr:uid="{00000000-0002-0000-0100-000008000000}"/>
  </dataValidations>
  <pageMargins left="0.2" right="0.2" top="0.35433070866141736" bottom="0.35433070866141736" header="0.31496062992125984" footer="0.31496062992125984"/>
  <pageSetup paperSize="9" fitToHeight="0"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B944-7AF2-4E0B-A9C8-F2D12065FBD3}">
  <sheetPr codeName="Feuil17"/>
  <dimension ref="A2:AE41"/>
  <sheetViews>
    <sheetView workbookViewId="0">
      <selection activeCell="A40" sqref="A40:AE40"/>
    </sheetView>
  </sheetViews>
  <sheetFormatPr baseColWidth="10" defaultRowHeight="15" x14ac:dyDescent="0.25"/>
  <cols>
    <col min="18" max="18" width="7.28515625" customWidth="1"/>
    <col min="19" max="19" width="7.5703125" customWidth="1"/>
    <col min="20" max="20" width="6.85546875" customWidth="1"/>
    <col min="21" max="21" width="7.140625" customWidth="1"/>
    <col min="22" max="22" width="12.140625" customWidth="1"/>
    <col min="23" max="23" width="3.140625" customWidth="1"/>
    <col min="24" max="24" width="10.5703125" customWidth="1"/>
    <col min="25" max="25" width="7" customWidth="1"/>
    <col min="26" max="26" width="11.140625" customWidth="1"/>
    <col min="27" max="27" width="8.140625" customWidth="1"/>
    <col min="28" max="28" width="8.7109375" customWidth="1"/>
    <col min="29" max="29" width="11.28515625" customWidth="1"/>
    <col min="30" max="30" width="13.28515625" customWidth="1"/>
  </cols>
  <sheetData>
    <row r="2" spans="1:31" s="187" customFormat="1" ht="21.75" customHeight="1" x14ac:dyDescent="0.25">
      <c r="A2" s="357" t="s">
        <v>236</v>
      </c>
      <c r="B2" s="357" t="s">
        <v>2993</v>
      </c>
      <c r="C2" s="357" t="s">
        <v>97</v>
      </c>
      <c r="D2" s="357" t="s">
        <v>0</v>
      </c>
      <c r="E2" s="357" t="s">
        <v>1</v>
      </c>
      <c r="F2" s="357" t="s">
        <v>2</v>
      </c>
      <c r="G2" s="357" t="s">
        <v>6</v>
      </c>
      <c r="H2" s="357" t="s">
        <v>5</v>
      </c>
      <c r="I2" s="357" t="s">
        <v>78</v>
      </c>
      <c r="J2" s="357" t="s">
        <v>107</v>
      </c>
      <c r="K2" s="357" t="s">
        <v>277</v>
      </c>
      <c r="L2" s="357" t="s">
        <v>278</v>
      </c>
      <c r="M2" s="357" t="s">
        <v>279</v>
      </c>
      <c r="N2" s="357" t="s">
        <v>231</v>
      </c>
      <c r="O2" s="357" t="s">
        <v>280</v>
      </c>
      <c r="P2" s="357" t="s">
        <v>281</v>
      </c>
      <c r="Q2" s="357" t="s">
        <v>3</v>
      </c>
      <c r="R2" s="357" t="s">
        <v>232</v>
      </c>
      <c r="S2" s="357" t="s">
        <v>4</v>
      </c>
      <c r="T2" s="357" t="s">
        <v>44</v>
      </c>
      <c r="U2" s="357" t="s">
        <v>56</v>
      </c>
      <c r="V2" s="357" t="s">
        <v>77</v>
      </c>
      <c r="W2" s="357" t="s">
        <v>43</v>
      </c>
      <c r="X2" s="357" t="s">
        <v>233</v>
      </c>
      <c r="Y2" s="357" t="s">
        <v>234</v>
      </c>
      <c r="Z2" s="357" t="s">
        <v>10</v>
      </c>
      <c r="AA2" s="357" t="s">
        <v>11</v>
      </c>
      <c r="AB2" s="357" t="s">
        <v>14</v>
      </c>
      <c r="AC2" s="357" t="s">
        <v>98</v>
      </c>
      <c r="AD2" s="357" t="s">
        <v>15</v>
      </c>
      <c r="AE2" s="357" t="s">
        <v>235</v>
      </c>
    </row>
    <row r="3" spans="1:31" x14ac:dyDescent="0.25">
      <c r="A3" s="360">
        <v>159</v>
      </c>
      <c r="B3" s="372" t="s">
        <v>3550</v>
      </c>
      <c r="C3" s="361" t="s">
        <v>312</v>
      </c>
      <c r="D3" s="362" t="s">
        <v>866</v>
      </c>
      <c r="E3" s="361" t="s">
        <v>867</v>
      </c>
      <c r="F3" s="179" t="s">
        <v>868</v>
      </c>
      <c r="G3" s="363" t="s">
        <v>17</v>
      </c>
      <c r="H3" s="364"/>
      <c r="I3" s="365" t="s">
        <v>869</v>
      </c>
      <c r="J3" s="365" t="s">
        <v>648</v>
      </c>
      <c r="K3" s="361" t="s">
        <v>864</v>
      </c>
      <c r="L3" s="361" t="s">
        <v>621</v>
      </c>
      <c r="M3" s="180" t="s">
        <v>865</v>
      </c>
      <c r="N3" s="361" t="s">
        <v>629</v>
      </c>
      <c r="O3" s="361" t="s">
        <v>630</v>
      </c>
      <c r="P3" s="180" t="s">
        <v>631</v>
      </c>
      <c r="Q3" s="366"/>
      <c r="R3" s="367" t="s">
        <v>3641</v>
      </c>
      <c r="S3" s="366"/>
      <c r="T3" s="369">
        <v>3</v>
      </c>
      <c r="U3" s="369" t="s">
        <v>64</v>
      </c>
      <c r="V3" s="369" t="s">
        <v>3641</v>
      </c>
      <c r="W3" s="369" t="s">
        <v>3641</v>
      </c>
      <c r="X3" s="366"/>
      <c r="Y3" s="367" t="s">
        <v>3641</v>
      </c>
      <c r="Z3" s="368"/>
      <c r="AA3" s="370"/>
      <c r="AB3" s="370"/>
      <c r="AC3" s="370"/>
      <c r="AD3" s="216"/>
      <c r="AE3" s="187">
        <v>159</v>
      </c>
    </row>
    <row r="4" spans="1:31" ht="54" x14ac:dyDescent="0.25">
      <c r="A4" s="360">
        <v>92</v>
      </c>
      <c r="B4" s="371" t="s">
        <v>3550</v>
      </c>
      <c r="C4" s="361" t="s">
        <v>312</v>
      </c>
      <c r="D4" s="362" t="s">
        <v>685</v>
      </c>
      <c r="E4" s="361" t="s">
        <v>686</v>
      </c>
      <c r="F4" s="179" t="s">
        <v>687</v>
      </c>
      <c r="G4" s="363" t="s">
        <v>20</v>
      </c>
      <c r="H4" s="364" t="s">
        <v>1113</v>
      </c>
      <c r="I4" s="365" t="s">
        <v>873</v>
      </c>
      <c r="J4" s="365" t="s">
        <v>223</v>
      </c>
      <c r="K4" s="361" t="s">
        <v>688</v>
      </c>
      <c r="L4" s="361" t="s">
        <v>689</v>
      </c>
      <c r="M4" s="180" t="s">
        <v>690</v>
      </c>
      <c r="N4" s="361" t="s">
        <v>346</v>
      </c>
      <c r="O4" s="361" t="s">
        <v>347</v>
      </c>
      <c r="P4" s="180" t="s">
        <v>348</v>
      </c>
      <c r="Q4" s="366"/>
      <c r="R4" s="367" t="s">
        <v>3641</v>
      </c>
      <c r="S4" s="366"/>
      <c r="T4" s="369">
        <v>3</v>
      </c>
      <c r="U4" s="369" t="s">
        <v>64</v>
      </c>
      <c r="V4" s="369" t="s">
        <v>3641</v>
      </c>
      <c r="W4" s="369" t="s">
        <v>3641</v>
      </c>
      <c r="X4" s="366"/>
      <c r="Y4" s="367" t="s">
        <v>3641</v>
      </c>
      <c r="Z4" s="368"/>
      <c r="AA4" s="370"/>
      <c r="AB4" s="370"/>
      <c r="AC4" s="370"/>
      <c r="AD4" s="216"/>
      <c r="AE4" s="187">
        <v>92</v>
      </c>
    </row>
    <row r="5" spans="1:31" x14ac:dyDescent="0.25">
      <c r="A5" s="360">
        <v>27</v>
      </c>
      <c r="B5" s="371" t="s">
        <v>3550</v>
      </c>
      <c r="C5" s="361" t="s">
        <v>312</v>
      </c>
      <c r="D5" s="362" t="s">
        <v>464</v>
      </c>
      <c r="E5" s="361" t="s">
        <v>351</v>
      </c>
      <c r="F5" s="179" t="s">
        <v>465</v>
      </c>
      <c r="G5" s="363" t="s">
        <v>466</v>
      </c>
      <c r="H5" s="364"/>
      <c r="I5" s="365" t="s">
        <v>316</v>
      </c>
      <c r="J5" s="365" t="s">
        <v>327</v>
      </c>
      <c r="K5" s="361" t="s">
        <v>317</v>
      </c>
      <c r="L5" s="361" t="s">
        <v>318</v>
      </c>
      <c r="M5" s="180" t="s">
        <v>319</v>
      </c>
      <c r="N5" s="361" t="s">
        <v>468</v>
      </c>
      <c r="O5" s="361" t="s">
        <v>469</v>
      </c>
      <c r="P5" s="180" t="s">
        <v>470</v>
      </c>
      <c r="Q5" s="366"/>
      <c r="R5" s="367" t="s">
        <v>3641</v>
      </c>
      <c r="S5" s="366"/>
      <c r="T5" s="369">
        <v>3</v>
      </c>
      <c r="U5" s="369" t="s">
        <v>64</v>
      </c>
      <c r="V5" s="369" t="s">
        <v>3641</v>
      </c>
      <c r="W5" s="369" t="s">
        <v>3641</v>
      </c>
      <c r="X5" s="366"/>
      <c r="Y5" s="367" t="s">
        <v>3641</v>
      </c>
      <c r="Z5" s="368"/>
      <c r="AA5" s="370"/>
      <c r="AB5" s="370"/>
      <c r="AC5" s="370"/>
      <c r="AD5" s="216"/>
      <c r="AE5" s="187">
        <v>27</v>
      </c>
    </row>
    <row r="6" spans="1:31" ht="67.5" x14ac:dyDescent="0.25">
      <c r="A6" s="360">
        <v>59</v>
      </c>
      <c r="B6" s="371" t="s">
        <v>3550</v>
      </c>
      <c r="C6" s="361" t="s">
        <v>312</v>
      </c>
      <c r="D6" s="362" t="s">
        <v>575</v>
      </c>
      <c r="E6" s="361" t="s">
        <v>484</v>
      </c>
      <c r="F6" s="179" t="s">
        <v>576</v>
      </c>
      <c r="G6" s="363" t="s">
        <v>16</v>
      </c>
      <c r="H6" s="364" t="s">
        <v>577</v>
      </c>
      <c r="I6" s="365" t="s">
        <v>578</v>
      </c>
      <c r="J6" s="365" t="s">
        <v>648</v>
      </c>
      <c r="K6" s="361" t="s">
        <v>556</v>
      </c>
      <c r="L6" s="361" t="s">
        <v>557</v>
      </c>
      <c r="M6" s="180" t="s">
        <v>558</v>
      </c>
      <c r="N6" s="361" t="s">
        <v>387</v>
      </c>
      <c r="O6" s="361" t="s">
        <v>332</v>
      </c>
      <c r="P6" s="180" t="s">
        <v>388</v>
      </c>
      <c r="Q6" s="366">
        <v>44343</v>
      </c>
      <c r="R6" s="367" t="s">
        <v>3641</v>
      </c>
      <c r="S6" s="366">
        <v>44343</v>
      </c>
      <c r="T6" s="369">
        <v>3</v>
      </c>
      <c r="U6" s="369" t="s">
        <v>64</v>
      </c>
      <c r="V6" s="369">
        <v>1</v>
      </c>
      <c r="W6" s="369">
        <v>3</v>
      </c>
      <c r="X6" s="366">
        <v>44343</v>
      </c>
      <c r="Y6" s="367" t="s">
        <v>3641</v>
      </c>
      <c r="Z6" s="368">
        <v>44343</v>
      </c>
      <c r="AA6" s="370">
        <v>1</v>
      </c>
      <c r="AB6" s="370"/>
      <c r="AC6" s="370"/>
      <c r="AD6" s="216"/>
      <c r="AE6" s="187">
        <v>59</v>
      </c>
    </row>
    <row r="7" spans="1:31" x14ac:dyDescent="0.25">
      <c r="A7" s="360">
        <v>237</v>
      </c>
      <c r="B7" s="372" t="s">
        <v>3550</v>
      </c>
      <c r="C7" s="361" t="s">
        <v>312</v>
      </c>
      <c r="D7" s="362" t="s">
        <v>1004</v>
      </c>
      <c r="E7" s="361" t="s">
        <v>1005</v>
      </c>
      <c r="F7" s="179" t="s">
        <v>1081</v>
      </c>
      <c r="G7" s="363" t="s">
        <v>16</v>
      </c>
      <c r="H7" s="364"/>
      <c r="I7" s="365" t="s">
        <v>1082</v>
      </c>
      <c r="J7" s="365" t="s">
        <v>648</v>
      </c>
      <c r="K7" s="361" t="s">
        <v>881</v>
      </c>
      <c r="L7" s="361" t="s">
        <v>682</v>
      </c>
      <c r="M7" s="180" t="s">
        <v>882</v>
      </c>
      <c r="N7" s="361" t="s">
        <v>387</v>
      </c>
      <c r="O7" s="361" t="s">
        <v>332</v>
      </c>
      <c r="P7" s="180" t="s">
        <v>388</v>
      </c>
      <c r="Q7" s="366"/>
      <c r="R7" s="367" t="s">
        <v>3641</v>
      </c>
      <c r="S7" s="366"/>
      <c r="T7" s="369">
        <v>3</v>
      </c>
      <c r="U7" s="369" t="s">
        <v>64</v>
      </c>
      <c r="V7" s="369" t="s">
        <v>3641</v>
      </c>
      <c r="W7" s="369" t="s">
        <v>3641</v>
      </c>
      <c r="X7" s="366"/>
      <c r="Y7" s="367" t="s">
        <v>3641</v>
      </c>
      <c r="Z7" s="368"/>
      <c r="AA7" s="370"/>
      <c r="AB7" s="370"/>
      <c r="AC7" s="370"/>
      <c r="AD7" s="216"/>
      <c r="AE7" s="187">
        <v>237</v>
      </c>
    </row>
    <row r="8" spans="1:31" x14ac:dyDescent="0.25">
      <c r="A8" s="360">
        <v>327</v>
      </c>
      <c r="B8" s="371" t="s">
        <v>3550</v>
      </c>
      <c r="C8" s="361" t="s">
        <v>283</v>
      </c>
      <c r="D8" s="362" t="s">
        <v>2983</v>
      </c>
      <c r="E8" s="361" t="s">
        <v>3577</v>
      </c>
      <c r="F8" s="179" t="s">
        <v>3591</v>
      </c>
      <c r="G8" s="363" t="s">
        <v>16</v>
      </c>
      <c r="H8" s="364"/>
      <c r="I8" s="365" t="s">
        <v>316</v>
      </c>
      <c r="J8" s="365" t="s">
        <v>648</v>
      </c>
      <c r="K8" s="361" t="s">
        <v>556</v>
      </c>
      <c r="L8" s="361" t="s">
        <v>557</v>
      </c>
      <c r="M8" s="180" t="s">
        <v>558</v>
      </c>
      <c r="N8" s="361" t="s">
        <v>387</v>
      </c>
      <c r="O8" s="361" t="s">
        <v>332</v>
      </c>
      <c r="P8" s="180" t="s">
        <v>388</v>
      </c>
      <c r="Q8" s="366">
        <v>44344</v>
      </c>
      <c r="R8" s="367" t="s">
        <v>3641</v>
      </c>
      <c r="S8" s="366">
        <v>44344</v>
      </c>
      <c r="T8" s="369">
        <v>3</v>
      </c>
      <c r="U8" s="369" t="s">
        <v>64</v>
      </c>
      <c r="V8" s="369" t="s">
        <v>3641</v>
      </c>
      <c r="W8" s="369" t="s">
        <v>3641</v>
      </c>
      <c r="X8" s="366"/>
      <c r="Y8" s="367">
        <v>2</v>
      </c>
      <c r="Z8" s="368"/>
      <c r="AA8" s="370"/>
      <c r="AB8" s="370"/>
      <c r="AC8" s="370"/>
      <c r="AD8" s="216"/>
      <c r="AE8" s="187">
        <v>327</v>
      </c>
    </row>
    <row r="9" spans="1:31" ht="67.5" x14ac:dyDescent="0.25">
      <c r="A9" s="360">
        <v>193</v>
      </c>
      <c r="B9" s="372" t="s">
        <v>3550</v>
      </c>
      <c r="C9" s="361" t="s">
        <v>312</v>
      </c>
      <c r="D9" s="362" t="s">
        <v>954</v>
      </c>
      <c r="E9" s="361" t="s">
        <v>955</v>
      </c>
      <c r="F9" s="179" t="s">
        <v>956</v>
      </c>
      <c r="G9" s="363" t="s">
        <v>16</v>
      </c>
      <c r="H9" s="364" t="s">
        <v>957</v>
      </c>
      <c r="I9" s="365" t="s">
        <v>958</v>
      </c>
      <c r="J9" s="365" t="s">
        <v>648</v>
      </c>
      <c r="K9" s="361" t="s">
        <v>662</v>
      </c>
      <c r="L9" s="361" t="s">
        <v>663</v>
      </c>
      <c r="M9" s="180" t="s">
        <v>664</v>
      </c>
      <c r="N9" s="361" t="s">
        <v>387</v>
      </c>
      <c r="O9" s="361" t="s">
        <v>332</v>
      </c>
      <c r="P9" s="180" t="s">
        <v>388</v>
      </c>
      <c r="Q9" s="366"/>
      <c r="R9" s="367" t="s">
        <v>3641</v>
      </c>
      <c r="S9" s="366"/>
      <c r="T9" s="369">
        <v>3</v>
      </c>
      <c r="U9" s="369" t="s">
        <v>64</v>
      </c>
      <c r="V9" s="369" t="s">
        <v>3641</v>
      </c>
      <c r="W9" s="369" t="s">
        <v>3641</v>
      </c>
      <c r="X9" s="366"/>
      <c r="Y9" s="367" t="s">
        <v>3641</v>
      </c>
      <c r="Z9" s="368"/>
      <c r="AA9" s="370"/>
      <c r="AB9" s="370"/>
      <c r="AC9" s="370"/>
      <c r="AD9" s="216"/>
      <c r="AE9" s="187">
        <v>193</v>
      </c>
    </row>
    <row r="10" spans="1:31" x14ac:dyDescent="0.25">
      <c r="A10" s="360">
        <v>86</v>
      </c>
      <c r="B10" s="372" t="s">
        <v>3550</v>
      </c>
      <c r="C10" s="361" t="s">
        <v>312</v>
      </c>
      <c r="D10" s="362" t="s">
        <v>658</v>
      </c>
      <c r="E10" s="361" t="s">
        <v>659</v>
      </c>
      <c r="F10" s="179" t="s">
        <v>660</v>
      </c>
      <c r="G10" s="363" t="s">
        <v>16</v>
      </c>
      <c r="H10" s="364"/>
      <c r="I10" s="365" t="s">
        <v>661</v>
      </c>
      <c r="J10" s="365" t="s">
        <v>648</v>
      </c>
      <c r="K10" s="361" t="s">
        <v>662</v>
      </c>
      <c r="L10" s="361" t="s">
        <v>663</v>
      </c>
      <c r="M10" s="180" t="s">
        <v>664</v>
      </c>
      <c r="N10" s="361" t="s">
        <v>387</v>
      </c>
      <c r="O10" s="361" t="s">
        <v>332</v>
      </c>
      <c r="P10" s="180" t="s">
        <v>388</v>
      </c>
      <c r="Q10" s="366"/>
      <c r="R10" s="367" t="s">
        <v>3641</v>
      </c>
      <c r="S10" s="368"/>
      <c r="T10" s="369">
        <v>3</v>
      </c>
      <c r="U10" s="369" t="s">
        <v>64</v>
      </c>
      <c r="V10" s="369" t="s">
        <v>3641</v>
      </c>
      <c r="W10" s="369" t="s">
        <v>3641</v>
      </c>
      <c r="X10" s="366"/>
      <c r="Y10" s="367" t="s">
        <v>3641</v>
      </c>
      <c r="Z10" s="368"/>
      <c r="AA10" s="370"/>
      <c r="AB10" s="370"/>
      <c r="AC10" s="370"/>
      <c r="AD10" s="216"/>
      <c r="AE10" s="187">
        <v>86</v>
      </c>
    </row>
    <row r="11" spans="1:31" x14ac:dyDescent="0.25">
      <c r="A11" s="360">
        <v>282</v>
      </c>
      <c r="B11" s="371" t="s">
        <v>3550</v>
      </c>
      <c r="C11" s="361" t="s">
        <v>283</v>
      </c>
      <c r="D11" s="362" t="s">
        <v>1130</v>
      </c>
      <c r="E11" s="361" t="s">
        <v>967</v>
      </c>
      <c r="F11" s="179" t="s">
        <v>1131</v>
      </c>
      <c r="G11" s="363" t="s">
        <v>196</v>
      </c>
      <c r="H11" s="364" t="s">
        <v>1132</v>
      </c>
      <c r="I11" s="365" t="s">
        <v>1133</v>
      </c>
      <c r="J11" s="365" t="s">
        <v>327</v>
      </c>
      <c r="K11" s="361" t="s">
        <v>1134</v>
      </c>
      <c r="L11" s="361" t="s">
        <v>1135</v>
      </c>
      <c r="M11" s="180" t="s">
        <v>1136</v>
      </c>
      <c r="N11" s="361" t="s">
        <v>547</v>
      </c>
      <c r="O11" s="361" t="s">
        <v>548</v>
      </c>
      <c r="P11" s="180" t="s">
        <v>549</v>
      </c>
      <c r="Q11" s="366">
        <v>44327</v>
      </c>
      <c r="R11" s="367" t="s">
        <v>3641</v>
      </c>
      <c r="S11" s="368">
        <v>44327</v>
      </c>
      <c r="T11" s="369">
        <v>3</v>
      </c>
      <c r="U11" s="369" t="s">
        <v>64</v>
      </c>
      <c r="V11" s="369">
        <v>1</v>
      </c>
      <c r="W11" s="369">
        <v>3</v>
      </c>
      <c r="X11" s="366">
        <v>44327</v>
      </c>
      <c r="Y11" s="367" t="s">
        <v>3641</v>
      </c>
      <c r="Z11" s="368">
        <v>44327</v>
      </c>
      <c r="AA11" s="370">
        <v>1</v>
      </c>
      <c r="AB11" s="370"/>
      <c r="AC11" s="370"/>
      <c r="AD11" s="216"/>
      <c r="AE11" s="187">
        <v>282</v>
      </c>
    </row>
    <row r="12" spans="1:31" x14ac:dyDescent="0.25">
      <c r="A12" s="360">
        <v>197</v>
      </c>
      <c r="B12" s="372" t="s">
        <v>3550</v>
      </c>
      <c r="C12" s="361" t="s">
        <v>283</v>
      </c>
      <c r="D12" s="362" t="s">
        <v>966</v>
      </c>
      <c r="E12" s="361" t="s">
        <v>967</v>
      </c>
      <c r="F12" s="179" t="s">
        <v>1087</v>
      </c>
      <c r="G12" s="363" t="s">
        <v>16</v>
      </c>
      <c r="H12" s="364"/>
      <c r="I12" s="365" t="s">
        <v>1088</v>
      </c>
      <c r="J12" s="365" t="s">
        <v>648</v>
      </c>
      <c r="K12" s="361" t="s">
        <v>662</v>
      </c>
      <c r="L12" s="361" t="s">
        <v>663</v>
      </c>
      <c r="M12" s="180" t="s">
        <v>664</v>
      </c>
      <c r="N12" s="361"/>
      <c r="O12" s="361"/>
      <c r="P12" s="180"/>
      <c r="Q12" s="366"/>
      <c r="R12" s="367" t="s">
        <v>3641</v>
      </c>
      <c r="S12" s="368"/>
      <c r="T12" s="369">
        <v>3</v>
      </c>
      <c r="U12" s="369" t="s">
        <v>64</v>
      </c>
      <c r="V12" s="369" t="s">
        <v>3641</v>
      </c>
      <c r="W12" s="369" t="s">
        <v>3641</v>
      </c>
      <c r="X12" s="366"/>
      <c r="Y12" s="367" t="s">
        <v>3641</v>
      </c>
      <c r="Z12" s="368"/>
      <c r="AA12" s="370"/>
      <c r="AB12" s="370"/>
      <c r="AC12" s="370" t="s">
        <v>913</v>
      </c>
      <c r="AD12" s="216" t="s">
        <v>1078</v>
      </c>
      <c r="AE12" s="187">
        <v>197</v>
      </c>
    </row>
    <row r="13" spans="1:31" x14ac:dyDescent="0.25">
      <c r="A13" s="360">
        <v>61</v>
      </c>
      <c r="B13" s="372" t="s">
        <v>3550</v>
      </c>
      <c r="C13" s="361" t="s">
        <v>283</v>
      </c>
      <c r="D13" s="362" t="s">
        <v>582</v>
      </c>
      <c r="E13" s="361" t="s">
        <v>583</v>
      </c>
      <c r="F13" s="179" t="s">
        <v>584</v>
      </c>
      <c r="G13" s="363" t="s">
        <v>23</v>
      </c>
      <c r="H13" s="364"/>
      <c r="I13" s="365" t="s">
        <v>585</v>
      </c>
      <c r="J13" s="365" t="s">
        <v>648</v>
      </c>
      <c r="K13" s="361" t="s">
        <v>365</v>
      </c>
      <c r="L13" s="361" t="s">
        <v>366</v>
      </c>
      <c r="M13" s="180" t="s">
        <v>367</v>
      </c>
      <c r="N13" s="361" t="s">
        <v>359</v>
      </c>
      <c r="O13" s="361" t="s">
        <v>360</v>
      </c>
      <c r="P13" s="180" t="s">
        <v>361</v>
      </c>
      <c r="Q13" s="366"/>
      <c r="R13" s="367" t="s">
        <v>3641</v>
      </c>
      <c r="S13" s="368"/>
      <c r="T13" s="369">
        <v>3</v>
      </c>
      <c r="U13" s="369" t="s">
        <v>64</v>
      </c>
      <c r="V13" s="369" t="s">
        <v>3641</v>
      </c>
      <c r="W13" s="369" t="s">
        <v>3641</v>
      </c>
      <c r="X13" s="366"/>
      <c r="Y13" s="367" t="s">
        <v>3641</v>
      </c>
      <c r="Z13" s="368"/>
      <c r="AA13" s="370"/>
      <c r="AB13" s="370"/>
      <c r="AC13" s="370"/>
      <c r="AD13" s="216"/>
      <c r="AE13" s="187">
        <v>61</v>
      </c>
    </row>
    <row r="14" spans="1:31" x14ac:dyDescent="0.25">
      <c r="A14" s="360">
        <v>156</v>
      </c>
      <c r="B14" s="371" t="s">
        <v>3550</v>
      </c>
      <c r="C14" s="361" t="s">
        <v>312</v>
      </c>
      <c r="D14" s="362" t="s">
        <v>350</v>
      </c>
      <c r="E14" s="361" t="s">
        <v>351</v>
      </c>
      <c r="F14" s="179" t="s">
        <v>352</v>
      </c>
      <c r="G14" s="363" t="s">
        <v>201</v>
      </c>
      <c r="H14" s="364"/>
      <c r="I14" s="365"/>
      <c r="J14" s="365" t="s">
        <v>225</v>
      </c>
      <c r="K14" s="361" t="s">
        <v>857</v>
      </c>
      <c r="L14" s="361" t="s">
        <v>858</v>
      </c>
      <c r="M14" s="180" t="s">
        <v>859</v>
      </c>
      <c r="N14" s="361"/>
      <c r="O14" s="361"/>
      <c r="P14" s="180"/>
      <c r="Q14" s="366"/>
      <c r="R14" s="367" t="s">
        <v>3641</v>
      </c>
      <c r="S14" s="368"/>
      <c r="T14" s="369">
        <v>3</v>
      </c>
      <c r="U14" s="369" t="s">
        <v>3641</v>
      </c>
      <c r="V14" s="369" t="s">
        <v>3641</v>
      </c>
      <c r="W14" s="369" t="s">
        <v>3641</v>
      </c>
      <c r="X14" s="366"/>
      <c r="Y14" s="367" t="s">
        <v>3641</v>
      </c>
      <c r="Z14" s="368"/>
      <c r="AA14" s="370"/>
      <c r="AB14" s="370"/>
      <c r="AC14" s="370"/>
      <c r="AD14" s="216"/>
      <c r="AE14" s="187">
        <v>156</v>
      </c>
    </row>
    <row r="15" spans="1:31" x14ac:dyDescent="0.25">
      <c r="A15" s="360">
        <v>91</v>
      </c>
      <c r="B15" s="371" t="s">
        <v>3550</v>
      </c>
      <c r="C15" s="361" t="s">
        <v>312</v>
      </c>
      <c r="D15" s="362" t="s">
        <v>676</v>
      </c>
      <c r="E15" s="361" t="s">
        <v>621</v>
      </c>
      <c r="F15" s="179" t="s">
        <v>677</v>
      </c>
      <c r="G15" s="363" t="s">
        <v>678</v>
      </c>
      <c r="H15" s="364"/>
      <c r="I15" s="365" t="s">
        <v>680</v>
      </c>
      <c r="J15" s="365" t="s">
        <v>648</v>
      </c>
      <c r="K15" s="361" t="s">
        <v>681</v>
      </c>
      <c r="L15" s="361" t="s">
        <v>682</v>
      </c>
      <c r="M15" s="180" t="s">
        <v>683</v>
      </c>
      <c r="N15" s="361"/>
      <c r="O15" s="361"/>
      <c r="P15" s="180"/>
      <c r="Q15" s="366"/>
      <c r="R15" s="367" t="s">
        <v>3641</v>
      </c>
      <c r="S15" s="368"/>
      <c r="T15" s="369">
        <v>3</v>
      </c>
      <c r="U15" s="369" t="s">
        <v>64</v>
      </c>
      <c r="V15" s="369" t="s">
        <v>3641</v>
      </c>
      <c r="W15" s="369" t="s">
        <v>3641</v>
      </c>
      <c r="X15" s="366"/>
      <c r="Y15" s="367" t="s">
        <v>3641</v>
      </c>
      <c r="Z15" s="368"/>
      <c r="AA15" s="370"/>
      <c r="AB15" s="370"/>
      <c r="AC15" s="370"/>
      <c r="AD15" s="216"/>
      <c r="AE15" s="187">
        <v>91</v>
      </c>
    </row>
    <row r="16" spans="1:31" x14ac:dyDescent="0.25">
      <c r="A16" s="360">
        <v>125</v>
      </c>
      <c r="B16" s="371" t="s">
        <v>3550</v>
      </c>
      <c r="C16" s="361" t="s">
        <v>312</v>
      </c>
      <c r="D16" s="362" t="s">
        <v>786</v>
      </c>
      <c r="E16" s="361" t="s">
        <v>787</v>
      </c>
      <c r="F16" s="179" t="s">
        <v>788</v>
      </c>
      <c r="G16" s="363" t="s">
        <v>197</v>
      </c>
      <c r="H16" s="364"/>
      <c r="I16" s="365" t="s">
        <v>789</v>
      </c>
      <c r="J16" s="365" t="s">
        <v>219</v>
      </c>
      <c r="K16" s="361" t="s">
        <v>764</v>
      </c>
      <c r="L16" s="361" t="s">
        <v>351</v>
      </c>
      <c r="M16" s="180" t="s">
        <v>765</v>
      </c>
      <c r="N16" s="361" t="s">
        <v>766</v>
      </c>
      <c r="O16" s="361" t="s">
        <v>767</v>
      </c>
      <c r="P16" s="180" t="s">
        <v>800</v>
      </c>
      <c r="Q16" s="366">
        <v>44133</v>
      </c>
      <c r="R16" s="367" t="s">
        <v>3641</v>
      </c>
      <c r="S16" s="368">
        <v>44133</v>
      </c>
      <c r="T16" s="369">
        <v>3</v>
      </c>
      <c r="U16" s="369" t="s">
        <v>64</v>
      </c>
      <c r="V16" s="369" t="s">
        <v>3641</v>
      </c>
      <c r="W16" s="369" t="s">
        <v>3641</v>
      </c>
      <c r="X16" s="366"/>
      <c r="Y16" s="367">
        <v>2</v>
      </c>
      <c r="Z16" s="368"/>
      <c r="AA16" s="370"/>
      <c r="AB16" s="370"/>
      <c r="AC16" s="370"/>
      <c r="AD16" s="216"/>
      <c r="AE16" s="187">
        <v>125</v>
      </c>
    </row>
    <row r="17" spans="1:31" x14ac:dyDescent="0.25">
      <c r="A17" s="360">
        <v>226</v>
      </c>
      <c r="B17" s="371" t="s">
        <v>3550</v>
      </c>
      <c r="C17" s="361" t="s">
        <v>283</v>
      </c>
      <c r="D17" s="362" t="s">
        <v>995</v>
      </c>
      <c r="E17" s="361" t="s">
        <v>996</v>
      </c>
      <c r="F17" s="179" t="s">
        <v>1031</v>
      </c>
      <c r="G17" s="363" t="s">
        <v>201</v>
      </c>
      <c r="H17" s="364"/>
      <c r="I17" s="365" t="s">
        <v>1032</v>
      </c>
      <c r="J17" s="365" t="s">
        <v>648</v>
      </c>
      <c r="K17" s="361" t="s">
        <v>350</v>
      </c>
      <c r="L17" s="361" t="s">
        <v>351</v>
      </c>
      <c r="M17" s="180" t="s">
        <v>352</v>
      </c>
      <c r="N17" s="361"/>
      <c r="O17" s="361"/>
      <c r="P17" s="180"/>
      <c r="Q17" s="366"/>
      <c r="R17" s="367" t="s">
        <v>3641</v>
      </c>
      <c r="S17" s="366"/>
      <c r="T17" s="369">
        <v>3</v>
      </c>
      <c r="U17" s="369" t="s">
        <v>3641</v>
      </c>
      <c r="V17" s="369" t="s">
        <v>3641</v>
      </c>
      <c r="W17" s="369" t="s">
        <v>3641</v>
      </c>
      <c r="X17" s="366"/>
      <c r="Y17" s="367" t="s">
        <v>3641</v>
      </c>
      <c r="Z17" s="366"/>
      <c r="AA17" s="370"/>
      <c r="AB17" s="370"/>
      <c r="AC17" s="370"/>
      <c r="AD17" s="216"/>
      <c r="AE17" s="187">
        <v>226</v>
      </c>
    </row>
    <row r="18" spans="1:31" x14ac:dyDescent="0.25">
      <c r="A18" s="360">
        <v>46</v>
      </c>
      <c r="B18" s="372" t="s">
        <v>3550</v>
      </c>
      <c r="C18" s="361" t="s">
        <v>312</v>
      </c>
      <c r="D18" s="362" t="s">
        <v>526</v>
      </c>
      <c r="E18" s="361" t="s">
        <v>527</v>
      </c>
      <c r="F18" s="179" t="s">
        <v>528</v>
      </c>
      <c r="G18" s="363" t="s">
        <v>22</v>
      </c>
      <c r="H18" s="364" t="s">
        <v>333</v>
      </c>
      <c r="I18" s="365" t="s">
        <v>529</v>
      </c>
      <c r="J18" s="365" t="s">
        <v>648</v>
      </c>
      <c r="K18" s="361" t="s">
        <v>334</v>
      </c>
      <c r="L18" s="361" t="s">
        <v>335</v>
      </c>
      <c r="M18" s="180" t="s">
        <v>336</v>
      </c>
      <c r="N18" s="361" t="s">
        <v>337</v>
      </c>
      <c r="O18" s="361" t="s">
        <v>338</v>
      </c>
      <c r="P18" s="180" t="s">
        <v>339</v>
      </c>
      <c r="Q18" s="366">
        <v>44125</v>
      </c>
      <c r="R18" s="367" t="s">
        <v>3641</v>
      </c>
      <c r="S18" s="368">
        <v>44125</v>
      </c>
      <c r="T18" s="369">
        <v>3</v>
      </c>
      <c r="U18" s="369" t="s">
        <v>64</v>
      </c>
      <c r="V18" s="369" t="s">
        <v>3641</v>
      </c>
      <c r="W18" s="369" t="s">
        <v>3641</v>
      </c>
      <c r="X18" s="366"/>
      <c r="Y18" s="367">
        <v>2</v>
      </c>
      <c r="Z18" s="368"/>
      <c r="AA18" s="370"/>
      <c r="AB18" s="370"/>
      <c r="AC18" s="370"/>
      <c r="AD18" s="216"/>
      <c r="AE18" s="187">
        <v>46</v>
      </c>
    </row>
    <row r="19" spans="1:31" ht="27" x14ac:dyDescent="0.25">
      <c r="A19" s="360">
        <v>141</v>
      </c>
      <c r="B19" s="371" t="s">
        <v>3550</v>
      </c>
      <c r="C19" s="361" t="s">
        <v>312</v>
      </c>
      <c r="D19" s="362" t="s">
        <v>384</v>
      </c>
      <c r="E19" s="361" t="s">
        <v>825</v>
      </c>
      <c r="F19" s="179" t="s">
        <v>826</v>
      </c>
      <c r="G19" s="363" t="s">
        <v>16</v>
      </c>
      <c r="H19" s="364" t="s">
        <v>827</v>
      </c>
      <c r="I19" s="365" t="s">
        <v>828</v>
      </c>
      <c r="J19" s="365" t="s">
        <v>223</v>
      </c>
      <c r="K19" s="361" t="s">
        <v>384</v>
      </c>
      <c r="L19" s="361" t="s">
        <v>385</v>
      </c>
      <c r="M19" s="180" t="s">
        <v>386</v>
      </c>
      <c r="N19" s="361" t="s">
        <v>387</v>
      </c>
      <c r="O19" s="361" t="s">
        <v>332</v>
      </c>
      <c r="P19" s="180" t="s">
        <v>388</v>
      </c>
      <c r="Q19" s="366">
        <v>44133</v>
      </c>
      <c r="R19" s="367" t="s">
        <v>3641</v>
      </c>
      <c r="S19" s="368">
        <v>44133</v>
      </c>
      <c r="T19" s="369">
        <v>3</v>
      </c>
      <c r="U19" s="369" t="s">
        <v>64</v>
      </c>
      <c r="V19" s="369" t="s">
        <v>3641</v>
      </c>
      <c r="W19" s="369" t="s">
        <v>3641</v>
      </c>
      <c r="X19" s="366"/>
      <c r="Y19" s="367">
        <v>2</v>
      </c>
      <c r="Z19" s="368"/>
      <c r="AA19" s="370"/>
      <c r="AB19" s="370"/>
      <c r="AC19" s="370"/>
      <c r="AD19" s="216"/>
      <c r="AE19" s="187">
        <v>141</v>
      </c>
    </row>
    <row r="20" spans="1:31" ht="40.5" x14ac:dyDescent="0.25">
      <c r="A20" s="360">
        <v>15</v>
      </c>
      <c r="B20" s="371" t="s">
        <v>3550</v>
      </c>
      <c r="C20" s="361" t="s">
        <v>312</v>
      </c>
      <c r="D20" s="362" t="s">
        <v>400</v>
      </c>
      <c r="E20" s="361" t="s">
        <v>401</v>
      </c>
      <c r="F20" s="179" t="s">
        <v>402</v>
      </c>
      <c r="G20" s="363" t="s">
        <v>16</v>
      </c>
      <c r="H20" s="364" t="s">
        <v>403</v>
      </c>
      <c r="I20" s="365" t="s">
        <v>404</v>
      </c>
      <c r="J20" s="365" t="s">
        <v>225</v>
      </c>
      <c r="K20" s="361" t="s">
        <v>405</v>
      </c>
      <c r="L20" s="361" t="s">
        <v>406</v>
      </c>
      <c r="M20" s="180" t="s">
        <v>407</v>
      </c>
      <c r="N20" s="361" t="s">
        <v>387</v>
      </c>
      <c r="O20" s="361" t="s">
        <v>332</v>
      </c>
      <c r="P20" s="180" t="s">
        <v>388</v>
      </c>
      <c r="Q20" s="366">
        <v>44116</v>
      </c>
      <c r="R20" s="367" t="s">
        <v>3641</v>
      </c>
      <c r="S20" s="368">
        <v>44117</v>
      </c>
      <c r="T20" s="369">
        <v>3</v>
      </c>
      <c r="U20" s="369" t="s">
        <v>64</v>
      </c>
      <c r="V20" s="369" t="s">
        <v>3641</v>
      </c>
      <c r="W20" s="369" t="s">
        <v>3641</v>
      </c>
      <c r="X20" s="366"/>
      <c r="Y20" s="367">
        <v>2</v>
      </c>
      <c r="Z20" s="368"/>
      <c r="AA20" s="370"/>
      <c r="AB20" s="370"/>
      <c r="AC20" s="370"/>
      <c r="AD20" s="216"/>
      <c r="AE20" s="187">
        <v>15</v>
      </c>
    </row>
    <row r="21" spans="1:31" x14ac:dyDescent="0.25">
      <c r="A21" s="360">
        <v>124</v>
      </c>
      <c r="B21" s="371" t="s">
        <v>3550</v>
      </c>
      <c r="C21" s="361" t="s">
        <v>312</v>
      </c>
      <c r="D21" s="362" t="s">
        <v>1171</v>
      </c>
      <c r="E21" s="361" t="s">
        <v>782</v>
      </c>
      <c r="F21" s="179" t="s">
        <v>783</v>
      </c>
      <c r="G21" s="363" t="s">
        <v>16</v>
      </c>
      <c r="H21" s="364"/>
      <c r="I21" s="365" t="s">
        <v>784</v>
      </c>
      <c r="J21" s="365" t="s">
        <v>648</v>
      </c>
      <c r="K21" s="361" t="s">
        <v>732</v>
      </c>
      <c r="L21" s="361" t="s">
        <v>733</v>
      </c>
      <c r="M21" s="180" t="s">
        <v>734</v>
      </c>
      <c r="N21" s="361" t="s">
        <v>387</v>
      </c>
      <c r="O21" s="361" t="s">
        <v>332</v>
      </c>
      <c r="P21" s="180" t="s">
        <v>388</v>
      </c>
      <c r="Q21" s="366"/>
      <c r="R21" s="367" t="s">
        <v>3641</v>
      </c>
      <c r="S21" s="368"/>
      <c r="T21" s="369">
        <v>3</v>
      </c>
      <c r="U21" s="369" t="s">
        <v>64</v>
      </c>
      <c r="V21" s="369" t="s">
        <v>3641</v>
      </c>
      <c r="W21" s="369" t="s">
        <v>3641</v>
      </c>
      <c r="X21" s="366"/>
      <c r="Y21" s="367" t="s">
        <v>3641</v>
      </c>
      <c r="Z21" s="368"/>
      <c r="AA21" s="370"/>
      <c r="AB21" s="370"/>
      <c r="AC21" s="370"/>
      <c r="AD21" s="216"/>
      <c r="AE21" s="187">
        <v>124</v>
      </c>
    </row>
    <row r="22" spans="1:31" x14ac:dyDescent="0.25">
      <c r="A22" s="360">
        <v>334</v>
      </c>
      <c r="B22" s="371" t="s">
        <v>3550</v>
      </c>
      <c r="C22" s="361" t="s">
        <v>283</v>
      </c>
      <c r="D22" s="362" t="s">
        <v>3578</v>
      </c>
      <c r="E22" s="361" t="s">
        <v>3579</v>
      </c>
      <c r="F22" s="179" t="s">
        <v>3605</v>
      </c>
      <c r="G22" s="363" t="s">
        <v>23</v>
      </c>
      <c r="H22" s="364" t="s">
        <v>673</v>
      </c>
      <c r="I22" s="365" t="s">
        <v>3606</v>
      </c>
      <c r="J22" s="365" t="s">
        <v>648</v>
      </c>
      <c r="K22" s="361" t="s">
        <v>474</v>
      </c>
      <c r="L22" s="361" t="s">
        <v>475</v>
      </c>
      <c r="M22" s="180" t="s">
        <v>476</v>
      </c>
      <c r="N22" s="361"/>
      <c r="O22" s="361"/>
      <c r="P22" s="180"/>
      <c r="Q22" s="366">
        <v>44344</v>
      </c>
      <c r="R22" s="367" t="s">
        <v>3641</v>
      </c>
      <c r="S22" s="368">
        <v>44344</v>
      </c>
      <c r="T22" s="369">
        <v>3</v>
      </c>
      <c r="U22" s="369" t="s">
        <v>3641</v>
      </c>
      <c r="V22" s="369" t="s">
        <v>3641</v>
      </c>
      <c r="W22" s="369" t="s">
        <v>3641</v>
      </c>
      <c r="X22" s="366">
        <v>44379</v>
      </c>
      <c r="Y22" s="367">
        <v>3</v>
      </c>
      <c r="Z22" s="368">
        <v>44334</v>
      </c>
      <c r="AA22" s="370">
        <v>1</v>
      </c>
      <c r="AB22" s="370"/>
      <c r="AC22" s="370"/>
      <c r="AD22" s="216"/>
      <c r="AE22" s="187">
        <v>334</v>
      </c>
    </row>
    <row r="23" spans="1:31" ht="40.5" x14ac:dyDescent="0.25">
      <c r="A23" s="360">
        <v>297</v>
      </c>
      <c r="B23" s="371" t="s">
        <v>3550</v>
      </c>
      <c r="C23" s="361" t="s">
        <v>283</v>
      </c>
      <c r="D23" s="362" t="s">
        <v>2935</v>
      </c>
      <c r="E23" s="361" t="s">
        <v>3561</v>
      </c>
      <c r="F23" s="179" t="s">
        <v>3562</v>
      </c>
      <c r="G23" s="363" t="s">
        <v>16</v>
      </c>
      <c r="H23" s="364" t="s">
        <v>3563</v>
      </c>
      <c r="I23" s="365" t="s">
        <v>3564</v>
      </c>
      <c r="J23" s="365" t="s">
        <v>648</v>
      </c>
      <c r="K23" s="361" t="s">
        <v>739</v>
      </c>
      <c r="L23" s="361" t="s">
        <v>740</v>
      </c>
      <c r="M23" s="180" t="s">
        <v>741</v>
      </c>
      <c r="N23" s="361"/>
      <c r="O23" s="361"/>
      <c r="P23" s="180"/>
      <c r="Q23" s="366">
        <v>44341</v>
      </c>
      <c r="R23" s="367" t="s">
        <v>3641</v>
      </c>
      <c r="S23" s="368">
        <v>44341</v>
      </c>
      <c r="T23" s="369">
        <v>3</v>
      </c>
      <c r="U23" s="369" t="s">
        <v>64</v>
      </c>
      <c r="V23" s="369" t="s">
        <v>3641</v>
      </c>
      <c r="W23" s="369" t="s">
        <v>3641</v>
      </c>
      <c r="X23" s="366"/>
      <c r="Y23" s="367">
        <v>2</v>
      </c>
      <c r="Z23" s="368"/>
      <c r="AA23" s="370"/>
      <c r="AB23" s="370"/>
      <c r="AC23" s="370"/>
      <c r="AD23" s="216"/>
      <c r="AE23" s="187">
        <v>297</v>
      </c>
    </row>
    <row r="24" spans="1:31" x14ac:dyDescent="0.25">
      <c r="A24" s="360">
        <v>272</v>
      </c>
      <c r="B24" s="372" t="s">
        <v>3550</v>
      </c>
      <c r="C24" s="361" t="s">
        <v>312</v>
      </c>
      <c r="D24" s="362" t="s">
        <v>1066</v>
      </c>
      <c r="E24" s="361" t="s">
        <v>1067</v>
      </c>
      <c r="F24" s="179" t="s">
        <v>1126</v>
      </c>
      <c r="G24" s="363" t="s">
        <v>888</v>
      </c>
      <c r="H24" s="364" t="s">
        <v>1127</v>
      </c>
      <c r="I24" s="365" t="s">
        <v>316</v>
      </c>
      <c r="J24" s="365" t="s">
        <v>219</v>
      </c>
      <c r="K24" s="361" t="s">
        <v>909</v>
      </c>
      <c r="L24" s="361" t="s">
        <v>910</v>
      </c>
      <c r="M24" s="180" t="s">
        <v>911</v>
      </c>
      <c r="N24" s="361" t="s">
        <v>890</v>
      </c>
      <c r="O24" s="361" t="s">
        <v>548</v>
      </c>
      <c r="P24" s="180" t="s">
        <v>891</v>
      </c>
      <c r="Q24" s="366">
        <v>44140</v>
      </c>
      <c r="R24" s="367" t="s">
        <v>3641</v>
      </c>
      <c r="S24" s="368">
        <v>44140</v>
      </c>
      <c r="T24" s="369">
        <v>3</v>
      </c>
      <c r="U24" s="369" t="s">
        <v>64</v>
      </c>
      <c r="V24" s="369" t="s">
        <v>3641</v>
      </c>
      <c r="W24" s="369" t="s">
        <v>3641</v>
      </c>
      <c r="X24" s="366"/>
      <c r="Y24" s="367">
        <v>2</v>
      </c>
      <c r="Z24" s="368"/>
      <c r="AA24" s="370"/>
      <c r="AB24" s="370"/>
      <c r="AC24" s="370"/>
      <c r="AD24" s="216"/>
      <c r="AE24" s="187">
        <v>272</v>
      </c>
    </row>
    <row r="25" spans="1:31" x14ac:dyDescent="0.25">
      <c r="A25" s="360">
        <v>146</v>
      </c>
      <c r="B25" s="372" t="s">
        <v>3550</v>
      </c>
      <c r="C25" s="361" t="s">
        <v>312</v>
      </c>
      <c r="D25" s="362" t="s">
        <v>834</v>
      </c>
      <c r="E25" s="361" t="s">
        <v>700</v>
      </c>
      <c r="F25" s="179" t="s">
        <v>835</v>
      </c>
      <c r="G25" s="363" t="s">
        <v>25</v>
      </c>
      <c r="H25" s="364" t="s">
        <v>758</v>
      </c>
      <c r="I25" s="365" t="s">
        <v>836</v>
      </c>
      <c r="J25" s="365" t="s">
        <v>327</v>
      </c>
      <c r="K25" s="361" t="s">
        <v>759</v>
      </c>
      <c r="L25" s="361" t="s">
        <v>760</v>
      </c>
      <c r="M25" s="180" t="s">
        <v>761</v>
      </c>
      <c r="N25" s="361" t="s">
        <v>413</v>
      </c>
      <c r="O25" s="361" t="s">
        <v>414</v>
      </c>
      <c r="P25" s="180" t="s">
        <v>415</v>
      </c>
      <c r="Q25" s="366"/>
      <c r="R25" s="367" t="s">
        <v>3641</v>
      </c>
      <c r="S25" s="368"/>
      <c r="T25" s="369">
        <v>3</v>
      </c>
      <c r="U25" s="369" t="s">
        <v>64</v>
      </c>
      <c r="V25" s="369" t="s">
        <v>3641</v>
      </c>
      <c r="W25" s="369" t="s">
        <v>3641</v>
      </c>
      <c r="X25" s="366"/>
      <c r="Y25" s="367" t="s">
        <v>3641</v>
      </c>
      <c r="Z25" s="368"/>
      <c r="AA25" s="370"/>
      <c r="AB25" s="370"/>
      <c r="AC25" s="370" t="s">
        <v>913</v>
      </c>
      <c r="AD25" s="216"/>
      <c r="AE25" s="187">
        <v>146</v>
      </c>
    </row>
    <row r="26" spans="1:31" x14ac:dyDescent="0.25">
      <c r="A26" s="360">
        <v>271</v>
      </c>
      <c r="B26" s="371" t="s">
        <v>3550</v>
      </c>
      <c r="C26" s="361" t="s">
        <v>312</v>
      </c>
      <c r="D26" s="362" t="s">
        <v>1064</v>
      </c>
      <c r="E26" s="361" t="s">
        <v>1065</v>
      </c>
      <c r="F26" s="179" t="s">
        <v>1146</v>
      </c>
      <c r="G26" s="363" t="s">
        <v>990</v>
      </c>
      <c r="H26" s="364"/>
      <c r="I26" s="365" t="s">
        <v>1147</v>
      </c>
      <c r="J26" s="365" t="s">
        <v>648</v>
      </c>
      <c r="K26" s="361" t="s">
        <v>1007</v>
      </c>
      <c r="L26" s="361" t="s">
        <v>428</v>
      </c>
      <c r="M26" s="180" t="s">
        <v>1008</v>
      </c>
      <c r="N26" s="361"/>
      <c r="O26" s="361"/>
      <c r="P26" s="180"/>
      <c r="Q26" s="366"/>
      <c r="R26" s="367" t="s">
        <v>3641</v>
      </c>
      <c r="S26" s="368"/>
      <c r="T26" s="369">
        <v>3</v>
      </c>
      <c r="U26" s="369" t="s">
        <v>64</v>
      </c>
      <c r="V26" s="369" t="s">
        <v>3641</v>
      </c>
      <c r="W26" s="369" t="s">
        <v>3641</v>
      </c>
      <c r="X26" s="366"/>
      <c r="Y26" s="367" t="s">
        <v>3641</v>
      </c>
      <c r="Z26" s="368"/>
      <c r="AA26" s="370"/>
      <c r="AB26" s="370"/>
      <c r="AC26" s="370"/>
      <c r="AD26" s="216"/>
      <c r="AE26" s="187">
        <v>271</v>
      </c>
    </row>
    <row r="27" spans="1:31" x14ac:dyDescent="0.25">
      <c r="A27" s="360">
        <v>341</v>
      </c>
      <c r="B27" s="371" t="s">
        <v>3550</v>
      </c>
      <c r="C27" s="361" t="s">
        <v>312</v>
      </c>
      <c r="D27" s="362" t="s">
        <v>1639</v>
      </c>
      <c r="E27" s="361" t="s">
        <v>351</v>
      </c>
      <c r="F27" s="179" t="s">
        <v>3581</v>
      </c>
      <c r="G27" s="363" t="s">
        <v>26</v>
      </c>
      <c r="H27" s="364"/>
      <c r="I27" s="365" t="s">
        <v>3582</v>
      </c>
      <c r="J27" s="365" t="s">
        <v>220</v>
      </c>
      <c r="K27" s="361" t="s">
        <v>317</v>
      </c>
      <c r="L27" s="361" t="s">
        <v>318</v>
      </c>
      <c r="M27" s="180" t="s">
        <v>319</v>
      </c>
      <c r="N27" s="361"/>
      <c r="O27" s="361"/>
      <c r="P27" s="180"/>
      <c r="Q27" s="366">
        <v>44341</v>
      </c>
      <c r="R27" s="367" t="s">
        <v>3641</v>
      </c>
      <c r="S27" s="368">
        <v>44341</v>
      </c>
      <c r="T27" s="369">
        <v>3</v>
      </c>
      <c r="U27" s="369" t="s">
        <v>64</v>
      </c>
      <c r="V27" s="369" t="s">
        <v>3641</v>
      </c>
      <c r="W27" s="369" t="s">
        <v>3641</v>
      </c>
      <c r="X27" s="366">
        <v>44369</v>
      </c>
      <c r="Y27" s="367">
        <v>3</v>
      </c>
      <c r="Z27" s="368">
        <v>44362</v>
      </c>
      <c r="AA27" s="370">
        <v>1</v>
      </c>
      <c r="AB27" s="370"/>
      <c r="AC27" s="370"/>
      <c r="AD27" s="216"/>
      <c r="AE27" s="187">
        <v>341</v>
      </c>
    </row>
    <row r="28" spans="1:31" x14ac:dyDescent="0.25">
      <c r="A28" s="360">
        <v>252</v>
      </c>
      <c r="B28" s="371" t="s">
        <v>3550</v>
      </c>
      <c r="C28" s="361" t="s">
        <v>312</v>
      </c>
      <c r="D28" s="362" t="s">
        <v>1044</v>
      </c>
      <c r="E28" s="361" t="s">
        <v>1042</v>
      </c>
      <c r="F28" s="179" t="s">
        <v>1043</v>
      </c>
      <c r="G28" s="363" t="s">
        <v>1115</v>
      </c>
      <c r="H28" s="364" t="s">
        <v>27</v>
      </c>
      <c r="I28" s="365" t="s">
        <v>1045</v>
      </c>
      <c r="J28" s="365" t="s">
        <v>226</v>
      </c>
      <c r="K28" s="361" t="s">
        <v>540</v>
      </c>
      <c r="L28" s="361" t="s">
        <v>541</v>
      </c>
      <c r="M28" s="180" t="s">
        <v>542</v>
      </c>
      <c r="N28" s="361" t="s">
        <v>533</v>
      </c>
      <c r="O28" s="361" t="s">
        <v>332</v>
      </c>
      <c r="P28" s="180" t="s">
        <v>534</v>
      </c>
      <c r="Q28" s="366"/>
      <c r="R28" s="367" t="s">
        <v>3641</v>
      </c>
      <c r="S28" s="368"/>
      <c r="T28" s="369">
        <v>3</v>
      </c>
      <c r="U28" s="369" t="s">
        <v>64</v>
      </c>
      <c r="V28" s="369" t="s">
        <v>3641</v>
      </c>
      <c r="W28" s="369" t="s">
        <v>3641</v>
      </c>
      <c r="X28" s="366"/>
      <c r="Y28" s="367" t="s">
        <v>3641</v>
      </c>
      <c r="Z28" s="368"/>
      <c r="AA28" s="370"/>
      <c r="AB28" s="370"/>
      <c r="AC28" s="370"/>
      <c r="AD28" s="216"/>
      <c r="AE28" s="187">
        <v>252</v>
      </c>
    </row>
    <row r="29" spans="1:31" x14ac:dyDescent="0.25">
      <c r="A29" s="360">
        <v>26</v>
      </c>
      <c r="B29" s="371" t="s">
        <v>3550</v>
      </c>
      <c r="C29" s="361" t="s">
        <v>312</v>
      </c>
      <c r="D29" s="362" t="s">
        <v>441</v>
      </c>
      <c r="E29" s="361" t="s">
        <v>442</v>
      </c>
      <c r="F29" s="179" t="s">
        <v>447</v>
      </c>
      <c r="G29" s="363" t="s">
        <v>20</v>
      </c>
      <c r="H29" s="364"/>
      <c r="I29" s="365" t="s">
        <v>316</v>
      </c>
      <c r="J29" s="365" t="s">
        <v>223</v>
      </c>
      <c r="K29" s="361" t="s">
        <v>430</v>
      </c>
      <c r="L29" s="361" t="s">
        <v>431</v>
      </c>
      <c r="M29" s="180" t="s">
        <v>432</v>
      </c>
      <c r="N29" s="361" t="s">
        <v>346</v>
      </c>
      <c r="O29" s="361" t="s">
        <v>347</v>
      </c>
      <c r="P29" s="180" t="s">
        <v>348</v>
      </c>
      <c r="Q29" s="366"/>
      <c r="R29" s="367" t="s">
        <v>3641</v>
      </c>
      <c r="S29" s="368"/>
      <c r="T29" s="369">
        <v>3</v>
      </c>
      <c r="U29" s="369" t="s">
        <v>64</v>
      </c>
      <c r="V29" s="369" t="s">
        <v>3641</v>
      </c>
      <c r="W29" s="369" t="s">
        <v>3641</v>
      </c>
      <c r="X29" s="366"/>
      <c r="Y29" s="367" t="s">
        <v>3641</v>
      </c>
      <c r="Z29" s="368"/>
      <c r="AA29" s="370"/>
      <c r="AB29" s="370"/>
      <c r="AC29" s="370"/>
      <c r="AD29" s="216"/>
      <c r="AE29" s="187">
        <v>26</v>
      </c>
    </row>
    <row r="30" spans="1:31" ht="27" x14ac:dyDescent="0.25">
      <c r="A30" s="360">
        <v>5</v>
      </c>
      <c r="B30" s="372" t="s">
        <v>3550</v>
      </c>
      <c r="C30" s="361" t="s">
        <v>312</v>
      </c>
      <c r="D30" s="373" t="s">
        <v>342</v>
      </c>
      <c r="E30" s="361" t="s">
        <v>343</v>
      </c>
      <c r="F30" s="179" t="s">
        <v>344</v>
      </c>
      <c r="G30" s="363" t="s">
        <v>20</v>
      </c>
      <c r="H30" s="364" t="s">
        <v>315</v>
      </c>
      <c r="I30" s="365" t="s">
        <v>345</v>
      </c>
      <c r="J30" s="365" t="s">
        <v>223</v>
      </c>
      <c r="K30" s="361" t="s">
        <v>346</v>
      </c>
      <c r="L30" s="361" t="s">
        <v>347</v>
      </c>
      <c r="M30" s="180" t="s">
        <v>348</v>
      </c>
      <c r="N30" s="361"/>
      <c r="O30" s="361"/>
      <c r="P30" s="180"/>
      <c r="Q30" s="366">
        <v>44112</v>
      </c>
      <c r="R30" s="367" t="s">
        <v>3641</v>
      </c>
      <c r="S30" s="368">
        <v>44116</v>
      </c>
      <c r="T30" s="369">
        <v>3</v>
      </c>
      <c r="U30" s="369" t="s">
        <v>64</v>
      </c>
      <c r="V30" s="369" t="s">
        <v>3641</v>
      </c>
      <c r="W30" s="369" t="s">
        <v>3641</v>
      </c>
      <c r="X30" s="366"/>
      <c r="Y30" s="367">
        <v>2</v>
      </c>
      <c r="Z30" s="368"/>
      <c r="AA30" s="370"/>
      <c r="AB30" s="370"/>
      <c r="AC30" s="370"/>
      <c r="AD30" s="216"/>
      <c r="AE30" s="187">
        <v>5</v>
      </c>
    </row>
    <row r="31" spans="1:31" ht="27" x14ac:dyDescent="0.25">
      <c r="A31" s="360">
        <v>191</v>
      </c>
      <c r="B31" s="371" t="s">
        <v>3550</v>
      </c>
      <c r="C31" s="361" t="s">
        <v>312</v>
      </c>
      <c r="D31" s="362" t="s">
        <v>949</v>
      </c>
      <c r="E31" s="361" t="s">
        <v>3016</v>
      </c>
      <c r="F31" s="179" t="s">
        <v>950</v>
      </c>
      <c r="G31" s="363" t="s">
        <v>16</v>
      </c>
      <c r="H31" s="364" t="s">
        <v>951</v>
      </c>
      <c r="I31" s="365" t="s">
        <v>952</v>
      </c>
      <c r="J31" s="365" t="s">
        <v>648</v>
      </c>
      <c r="K31" s="361" t="s">
        <v>384</v>
      </c>
      <c r="L31" s="361" t="s">
        <v>385</v>
      </c>
      <c r="M31" s="180" t="s">
        <v>386</v>
      </c>
      <c r="N31" s="361" t="s">
        <v>387</v>
      </c>
      <c r="O31" s="361" t="s">
        <v>332</v>
      </c>
      <c r="P31" s="180" t="s">
        <v>388</v>
      </c>
      <c r="Q31" s="366"/>
      <c r="R31" s="367" t="s">
        <v>3641</v>
      </c>
      <c r="S31" s="368"/>
      <c r="T31" s="369">
        <v>3</v>
      </c>
      <c r="U31" s="369" t="s">
        <v>64</v>
      </c>
      <c r="V31" s="369" t="s">
        <v>3641</v>
      </c>
      <c r="W31" s="369" t="s">
        <v>3641</v>
      </c>
      <c r="X31" s="366"/>
      <c r="Y31" s="367" t="s">
        <v>3641</v>
      </c>
      <c r="Z31" s="368"/>
      <c r="AA31" s="370"/>
      <c r="AB31" s="370"/>
      <c r="AC31" s="370"/>
      <c r="AD31" s="216"/>
      <c r="AE31" s="187">
        <v>191</v>
      </c>
    </row>
    <row r="32" spans="1:31" ht="27" x14ac:dyDescent="0.25">
      <c r="A32" s="360">
        <v>103</v>
      </c>
      <c r="B32" s="371" t="s">
        <v>3550</v>
      </c>
      <c r="C32" s="361" t="s">
        <v>312</v>
      </c>
      <c r="D32" s="362" t="s">
        <v>713</v>
      </c>
      <c r="E32" s="361" t="s">
        <v>714</v>
      </c>
      <c r="F32" s="179" t="s">
        <v>715</v>
      </c>
      <c r="G32" s="363" t="s">
        <v>19</v>
      </c>
      <c r="H32" s="364" t="s">
        <v>716</v>
      </c>
      <c r="I32" s="365" t="s">
        <v>316</v>
      </c>
      <c r="J32" s="365" t="s">
        <v>648</v>
      </c>
      <c r="K32" s="361" t="s">
        <v>766</v>
      </c>
      <c r="L32" s="361" t="s">
        <v>767</v>
      </c>
      <c r="M32" s="180" t="s">
        <v>800</v>
      </c>
      <c r="N32" s="361"/>
      <c r="O32" s="361"/>
      <c r="P32" s="180"/>
      <c r="Q32" s="366"/>
      <c r="R32" s="367" t="s">
        <v>3641</v>
      </c>
      <c r="S32" s="368"/>
      <c r="T32" s="369">
        <v>3</v>
      </c>
      <c r="U32" s="369" t="s">
        <v>64</v>
      </c>
      <c r="V32" s="369" t="s">
        <v>3641</v>
      </c>
      <c r="W32" s="369" t="s">
        <v>3641</v>
      </c>
      <c r="X32" s="366"/>
      <c r="Y32" s="367" t="s">
        <v>3641</v>
      </c>
      <c r="Z32" s="368"/>
      <c r="AA32" s="370"/>
      <c r="AB32" s="370"/>
      <c r="AC32" s="370"/>
      <c r="AD32" s="216"/>
      <c r="AE32" s="187">
        <v>103</v>
      </c>
    </row>
    <row r="33" spans="1:31" x14ac:dyDescent="0.25">
      <c r="A33" s="360">
        <v>115</v>
      </c>
      <c r="B33" s="371" t="s">
        <v>3550</v>
      </c>
      <c r="C33" s="361" t="s">
        <v>283</v>
      </c>
      <c r="D33" s="362" t="s">
        <v>746</v>
      </c>
      <c r="E33" s="361" t="s">
        <v>747</v>
      </c>
      <c r="F33" s="179" t="s">
        <v>748</v>
      </c>
      <c r="G33" s="363" t="s">
        <v>19</v>
      </c>
      <c r="H33" s="364"/>
      <c r="I33" s="365" t="s">
        <v>749</v>
      </c>
      <c r="J33" s="365" t="s">
        <v>648</v>
      </c>
      <c r="K33" s="361" t="s">
        <v>766</v>
      </c>
      <c r="L33" s="361" t="s">
        <v>767</v>
      </c>
      <c r="M33" s="180" t="s">
        <v>800</v>
      </c>
      <c r="N33" s="361" t="s">
        <v>372</v>
      </c>
      <c r="O33" s="361" t="s">
        <v>373</v>
      </c>
      <c r="P33" s="180" t="s">
        <v>374</v>
      </c>
      <c r="Q33" s="366"/>
      <c r="R33" s="367" t="s">
        <v>3641</v>
      </c>
      <c r="S33" s="368"/>
      <c r="T33" s="369">
        <v>3</v>
      </c>
      <c r="U33" s="369" t="s">
        <v>64</v>
      </c>
      <c r="V33" s="369" t="s">
        <v>3641</v>
      </c>
      <c r="W33" s="369" t="s">
        <v>3641</v>
      </c>
      <c r="X33" s="366"/>
      <c r="Y33" s="367" t="s">
        <v>3641</v>
      </c>
      <c r="Z33" s="368"/>
      <c r="AA33" s="370"/>
      <c r="AB33" s="370"/>
      <c r="AC33" s="370"/>
      <c r="AD33" s="216"/>
      <c r="AE33" s="187">
        <v>115</v>
      </c>
    </row>
    <row r="34" spans="1:31" x14ac:dyDescent="0.25">
      <c r="A34" s="360">
        <v>284</v>
      </c>
      <c r="B34" s="371" t="s">
        <v>3550</v>
      </c>
      <c r="C34" s="361" t="s">
        <v>283</v>
      </c>
      <c r="D34" s="362" t="s">
        <v>1143</v>
      </c>
      <c r="E34" s="361" t="s">
        <v>347</v>
      </c>
      <c r="F34" s="179" t="s">
        <v>1144</v>
      </c>
      <c r="G34" s="363" t="s">
        <v>17</v>
      </c>
      <c r="H34" s="364"/>
      <c r="I34" s="365" t="s">
        <v>1145</v>
      </c>
      <c r="J34" s="365" t="s">
        <v>938</v>
      </c>
      <c r="K34" s="361" t="s">
        <v>629</v>
      </c>
      <c r="L34" s="361" t="s">
        <v>630</v>
      </c>
      <c r="M34" s="180" t="s">
        <v>631</v>
      </c>
      <c r="N34" s="361"/>
      <c r="O34" s="361"/>
      <c r="P34" s="180"/>
      <c r="Q34" s="366">
        <v>44342</v>
      </c>
      <c r="R34" s="367" t="s">
        <v>3641</v>
      </c>
      <c r="S34" s="368">
        <v>44342</v>
      </c>
      <c r="T34" s="369">
        <v>3</v>
      </c>
      <c r="U34" s="369" t="s">
        <v>64</v>
      </c>
      <c r="V34" s="369">
        <v>1</v>
      </c>
      <c r="W34" s="369">
        <v>3</v>
      </c>
      <c r="X34" s="366"/>
      <c r="Y34" s="367">
        <v>2</v>
      </c>
      <c r="Z34" s="368"/>
      <c r="AA34" s="370"/>
      <c r="AB34" s="370"/>
      <c r="AC34" s="370"/>
      <c r="AD34" s="216"/>
      <c r="AE34" s="187">
        <v>284</v>
      </c>
    </row>
    <row r="35" spans="1:31" ht="27" x14ac:dyDescent="0.25">
      <c r="A35" s="360">
        <v>45</v>
      </c>
      <c r="B35" s="372" t="s">
        <v>3550</v>
      </c>
      <c r="C35" s="361" t="s">
        <v>312</v>
      </c>
      <c r="D35" s="362" t="s">
        <v>521</v>
      </c>
      <c r="E35" s="361" t="s">
        <v>522</v>
      </c>
      <c r="F35" s="179" t="s">
        <v>523</v>
      </c>
      <c r="G35" s="363" t="s">
        <v>22</v>
      </c>
      <c r="H35" s="364" t="s">
        <v>203</v>
      </c>
      <c r="I35" s="365" t="s">
        <v>300</v>
      </c>
      <c r="J35" s="365" t="s">
        <v>220</v>
      </c>
      <c r="K35" s="361" t="s">
        <v>301</v>
      </c>
      <c r="L35" s="361" t="s">
        <v>302</v>
      </c>
      <c r="M35" s="180" t="s">
        <v>303</v>
      </c>
      <c r="N35" s="361" t="s">
        <v>337</v>
      </c>
      <c r="O35" s="361" t="s">
        <v>338</v>
      </c>
      <c r="P35" s="180" t="s">
        <v>339</v>
      </c>
      <c r="Q35" s="366">
        <v>44124</v>
      </c>
      <c r="R35" s="367" t="s">
        <v>3641</v>
      </c>
      <c r="S35" s="368">
        <v>44124</v>
      </c>
      <c r="T35" s="369">
        <v>3</v>
      </c>
      <c r="U35" s="369" t="s">
        <v>64</v>
      </c>
      <c r="V35" s="369" t="s">
        <v>3641</v>
      </c>
      <c r="W35" s="369" t="s">
        <v>3641</v>
      </c>
      <c r="X35" s="366"/>
      <c r="Y35" s="367">
        <v>2</v>
      </c>
      <c r="Z35" s="368"/>
      <c r="AA35" s="370"/>
      <c r="AB35" s="370"/>
      <c r="AC35" s="370"/>
      <c r="AD35" s="216"/>
      <c r="AE35" s="187">
        <v>45</v>
      </c>
    </row>
    <row r="36" spans="1:31" x14ac:dyDescent="0.25">
      <c r="A36" s="360">
        <v>233</v>
      </c>
      <c r="B36" s="371" t="s">
        <v>3550</v>
      </c>
      <c r="C36" s="361" t="s">
        <v>312</v>
      </c>
      <c r="D36" s="362" t="s">
        <v>1000</v>
      </c>
      <c r="E36" s="361" t="s">
        <v>1001</v>
      </c>
      <c r="F36" s="179" t="s">
        <v>1107</v>
      </c>
      <c r="G36" s="363" t="s">
        <v>16</v>
      </c>
      <c r="H36" s="364"/>
      <c r="I36" s="365" t="s">
        <v>873</v>
      </c>
      <c r="J36" s="365" t="s">
        <v>648</v>
      </c>
      <c r="K36" s="361" t="s">
        <v>556</v>
      </c>
      <c r="L36" s="361" t="s">
        <v>557</v>
      </c>
      <c r="M36" s="180" t="s">
        <v>558</v>
      </c>
      <c r="N36" s="361" t="s">
        <v>405</v>
      </c>
      <c r="O36" s="361" t="s">
        <v>406</v>
      </c>
      <c r="P36" s="180" t="s">
        <v>407</v>
      </c>
      <c r="Q36" s="366"/>
      <c r="R36" s="367" t="s">
        <v>3641</v>
      </c>
      <c r="S36" s="368"/>
      <c r="T36" s="369">
        <v>3</v>
      </c>
      <c r="U36" s="369" t="s">
        <v>64</v>
      </c>
      <c r="V36" s="369" t="s">
        <v>3641</v>
      </c>
      <c r="W36" s="369" t="s">
        <v>3641</v>
      </c>
      <c r="X36" s="366"/>
      <c r="Y36" s="367" t="s">
        <v>3641</v>
      </c>
      <c r="Z36" s="368"/>
      <c r="AA36" s="370"/>
      <c r="AB36" s="370"/>
      <c r="AC36" s="370"/>
      <c r="AD36" s="216"/>
      <c r="AE36" s="187">
        <v>233</v>
      </c>
    </row>
    <row r="37" spans="1:31" ht="40.5" x14ac:dyDescent="0.25">
      <c r="A37" s="360">
        <v>63</v>
      </c>
      <c r="B37" s="372" t="s">
        <v>3550</v>
      </c>
      <c r="C37" s="361" t="s">
        <v>312</v>
      </c>
      <c r="D37" s="362" t="s">
        <v>597</v>
      </c>
      <c r="E37" s="361" t="s">
        <v>598</v>
      </c>
      <c r="F37" s="179" t="s">
        <v>599</v>
      </c>
      <c r="G37" s="363" t="s">
        <v>25</v>
      </c>
      <c r="H37" s="364" t="s">
        <v>600</v>
      </c>
      <c r="I37" s="365" t="s">
        <v>601</v>
      </c>
      <c r="J37" s="365" t="s">
        <v>220</v>
      </c>
      <c r="K37" s="361" t="s">
        <v>413</v>
      </c>
      <c r="L37" s="361" t="s">
        <v>414</v>
      </c>
      <c r="M37" s="180" t="s">
        <v>415</v>
      </c>
      <c r="N37" s="361"/>
      <c r="O37" s="361"/>
      <c r="P37" s="180"/>
      <c r="Q37" s="366">
        <v>44343</v>
      </c>
      <c r="R37" s="367" t="s">
        <v>3641</v>
      </c>
      <c r="S37" s="368">
        <v>44343</v>
      </c>
      <c r="T37" s="369">
        <v>3</v>
      </c>
      <c r="U37" s="369" t="s">
        <v>64</v>
      </c>
      <c r="V37" s="369" t="s">
        <v>3641</v>
      </c>
      <c r="W37" s="369" t="s">
        <v>3641</v>
      </c>
      <c r="X37" s="366">
        <v>44343</v>
      </c>
      <c r="Y37" s="367" t="s">
        <v>3641</v>
      </c>
      <c r="Z37" s="368">
        <v>44343</v>
      </c>
      <c r="AA37" s="370">
        <v>1</v>
      </c>
      <c r="AB37" s="370"/>
      <c r="AC37" s="370"/>
      <c r="AD37" s="216"/>
      <c r="AE37" s="187">
        <v>63</v>
      </c>
    </row>
    <row r="38" spans="1:31" x14ac:dyDescent="0.25">
      <c r="A38" s="360">
        <v>199</v>
      </c>
      <c r="B38" s="371" t="s">
        <v>3550</v>
      </c>
      <c r="C38" s="361" t="s">
        <v>312</v>
      </c>
      <c r="D38" s="362" t="s">
        <v>969</v>
      </c>
      <c r="E38" s="361" t="s">
        <v>970</v>
      </c>
      <c r="F38" s="179" t="s">
        <v>1074</v>
      </c>
      <c r="G38" s="363" t="s">
        <v>16</v>
      </c>
      <c r="H38" s="364"/>
      <c r="I38" s="365" t="s">
        <v>1075</v>
      </c>
      <c r="J38" s="365" t="s">
        <v>225</v>
      </c>
      <c r="K38" s="361" t="s">
        <v>387</v>
      </c>
      <c r="L38" s="361" t="s">
        <v>332</v>
      </c>
      <c r="M38" s="180" t="s">
        <v>388</v>
      </c>
      <c r="N38" s="361"/>
      <c r="O38" s="361"/>
      <c r="P38" s="180"/>
      <c r="Q38" s="366"/>
      <c r="R38" s="367" t="s">
        <v>3641</v>
      </c>
      <c r="S38" s="368"/>
      <c r="T38" s="369">
        <v>3</v>
      </c>
      <c r="U38" s="369" t="s">
        <v>64</v>
      </c>
      <c r="V38" s="369" t="s">
        <v>3641</v>
      </c>
      <c r="W38" s="369" t="s">
        <v>3641</v>
      </c>
      <c r="X38" s="366"/>
      <c r="Y38" s="367" t="s">
        <v>3641</v>
      </c>
      <c r="Z38" s="368"/>
      <c r="AA38" s="370"/>
      <c r="AB38" s="370"/>
      <c r="AC38" s="370"/>
      <c r="AD38" s="216"/>
      <c r="AE38" s="187">
        <v>199</v>
      </c>
    </row>
    <row r="39" spans="1:31" x14ac:dyDescent="0.25">
      <c r="A39" s="360">
        <v>153</v>
      </c>
      <c r="B39" s="371" t="s">
        <v>3550</v>
      </c>
      <c r="C39" s="361" t="s">
        <v>312</v>
      </c>
      <c r="D39" s="362" t="s">
        <v>766</v>
      </c>
      <c r="E39" s="361" t="s">
        <v>767</v>
      </c>
      <c r="F39" s="179" t="s">
        <v>800</v>
      </c>
      <c r="G39" s="363" t="s">
        <v>197</v>
      </c>
      <c r="H39" s="364"/>
      <c r="I39" s="365" t="s">
        <v>854</v>
      </c>
      <c r="J39" s="365" t="s">
        <v>226</v>
      </c>
      <c r="K39" s="361" t="s">
        <v>778</v>
      </c>
      <c r="L39" s="361" t="s">
        <v>431</v>
      </c>
      <c r="M39" s="180" t="s">
        <v>779</v>
      </c>
      <c r="N39" s="361" t="s">
        <v>768</v>
      </c>
      <c r="O39" s="361" t="s">
        <v>769</v>
      </c>
      <c r="P39" s="180" t="s">
        <v>770</v>
      </c>
      <c r="Q39" s="366">
        <v>44134</v>
      </c>
      <c r="R39" s="367" t="s">
        <v>3641</v>
      </c>
      <c r="S39" s="368">
        <v>44134</v>
      </c>
      <c r="T39" s="369">
        <v>3</v>
      </c>
      <c r="U39" s="369" t="s">
        <v>64</v>
      </c>
      <c r="V39" s="369" t="s">
        <v>3641</v>
      </c>
      <c r="W39" s="369" t="s">
        <v>3641</v>
      </c>
      <c r="X39" s="366"/>
      <c r="Y39" s="367">
        <v>2</v>
      </c>
      <c r="Z39" s="368"/>
      <c r="AA39" s="370"/>
      <c r="AB39" s="370"/>
      <c r="AC39" s="370"/>
      <c r="AD39" s="216"/>
      <c r="AE39" s="187">
        <v>153</v>
      </c>
    </row>
    <row r="40" spans="1:31" ht="27" x14ac:dyDescent="0.25">
      <c r="A40" s="360">
        <v>217</v>
      </c>
      <c r="B40" s="371" t="s">
        <v>3550</v>
      </c>
      <c r="C40" s="361" t="s">
        <v>312</v>
      </c>
      <c r="D40" s="362" t="s">
        <v>986</v>
      </c>
      <c r="E40" s="361" t="s">
        <v>987</v>
      </c>
      <c r="F40" s="179" t="s">
        <v>1035</v>
      </c>
      <c r="G40" s="363" t="s">
        <v>25</v>
      </c>
      <c r="H40" s="364" t="s">
        <v>1036</v>
      </c>
      <c r="I40" s="365" t="s">
        <v>1037</v>
      </c>
      <c r="J40" s="365" t="s">
        <v>648</v>
      </c>
      <c r="K40" s="361" t="s">
        <v>753</v>
      </c>
      <c r="L40" s="361" t="s">
        <v>580</v>
      </c>
      <c r="M40" s="180" t="s">
        <v>754</v>
      </c>
      <c r="N40" s="361"/>
      <c r="O40" s="361"/>
      <c r="P40" s="180"/>
      <c r="Q40" s="366"/>
      <c r="R40" s="367" t="s">
        <v>3641</v>
      </c>
      <c r="S40" s="368"/>
      <c r="T40" s="369">
        <v>3</v>
      </c>
      <c r="U40" s="369" t="s">
        <v>3641</v>
      </c>
      <c r="V40" s="369" t="s">
        <v>3641</v>
      </c>
      <c r="W40" s="369" t="s">
        <v>3641</v>
      </c>
      <c r="X40" s="366"/>
      <c r="Y40" s="367" t="s">
        <v>3641</v>
      </c>
      <c r="Z40" s="368"/>
      <c r="AA40" s="370"/>
      <c r="AB40" s="370"/>
      <c r="AC40" s="370"/>
      <c r="AD40" s="216"/>
      <c r="AE40" s="187">
        <v>217</v>
      </c>
    </row>
    <row r="41" spans="1:31" x14ac:dyDescent="0.25">
      <c r="A41" s="360"/>
      <c r="B41" s="371"/>
      <c r="C41" s="361"/>
      <c r="D41" s="362"/>
      <c r="E41" s="361"/>
      <c r="F41" s="179"/>
      <c r="G41" s="363"/>
      <c r="H41" s="364"/>
      <c r="I41" s="365"/>
      <c r="J41" s="365"/>
      <c r="K41" s="361"/>
      <c r="L41" s="361"/>
      <c r="M41" s="180"/>
      <c r="N41" s="361"/>
      <c r="O41" s="361"/>
      <c r="P41" s="180"/>
      <c r="Q41" s="366"/>
      <c r="R41" s="367"/>
      <c r="S41" s="366"/>
      <c r="T41" s="369"/>
      <c r="U41" s="369"/>
      <c r="V41" s="369"/>
      <c r="W41" s="369"/>
      <c r="X41" s="366"/>
      <c r="Y41" s="367"/>
      <c r="Z41" s="368"/>
      <c r="AA41" s="370"/>
      <c r="AB41" s="370"/>
      <c r="AC41" s="370"/>
      <c r="AD41" s="216"/>
      <c r="AE41" s="187"/>
    </row>
  </sheetData>
  <conditionalFormatting sqref="AA41:AC41">
    <cfRule type="iconSet" priority="2145">
      <iconSet showValue="0" reverse="1">
        <cfvo type="percent" val="0"/>
        <cfvo type="num" val="1" gte="0"/>
        <cfvo type="num" val="2" gte="0"/>
      </iconSet>
    </cfRule>
  </conditionalFormatting>
  <conditionalFormatting sqref="R41">
    <cfRule type="iconSet" priority="2146">
      <iconSet iconSet="3Signs" showValue="0" reverse="1">
        <cfvo type="percent" val="0"/>
        <cfvo type="num" val="2"/>
        <cfvo type="num" val="3"/>
      </iconSet>
    </cfRule>
  </conditionalFormatting>
  <conditionalFormatting sqref="Y41">
    <cfRule type="iconSet" priority="2147">
      <iconSet iconSet="3Signs" showValue="0" reverse="1">
        <cfvo type="percent" val="0"/>
        <cfvo type="num" val="2"/>
        <cfvo type="num" val="3"/>
      </iconSet>
    </cfRule>
  </conditionalFormatting>
  <conditionalFormatting sqref="T41:W41">
    <cfRule type="iconSet" priority="2148">
      <iconSet iconSet="4TrafficLights" showValue="0" reverse="1">
        <cfvo type="percent" val="0"/>
        <cfvo type="num" val="2"/>
        <cfvo type="num" val="3"/>
        <cfvo type="num" val="4"/>
      </iconSet>
    </cfRule>
  </conditionalFormatting>
  <conditionalFormatting sqref="AA3:AC3">
    <cfRule type="iconSet" priority="216">
      <iconSet showValue="0" reverse="1">
        <cfvo type="percent" val="0"/>
        <cfvo type="num" val="1" gte="0"/>
        <cfvo type="num" val="2" gte="0"/>
      </iconSet>
    </cfRule>
  </conditionalFormatting>
  <conditionalFormatting sqref="R3">
    <cfRule type="iconSet" priority="217">
      <iconSet iconSet="3Signs" showValue="0" reverse="1">
        <cfvo type="percent" val="0"/>
        <cfvo type="num" val="2"/>
        <cfvo type="num" val="3"/>
      </iconSet>
    </cfRule>
  </conditionalFormatting>
  <conditionalFormatting sqref="Y3">
    <cfRule type="iconSet" priority="218">
      <iconSet iconSet="3Signs" showValue="0" reverse="1">
        <cfvo type="percent" val="0"/>
        <cfvo type="num" val="2"/>
        <cfvo type="num" val="3"/>
      </iconSet>
    </cfRule>
  </conditionalFormatting>
  <conditionalFormatting sqref="T3:W3">
    <cfRule type="iconSet" priority="219">
      <iconSet iconSet="4TrafficLights" showValue="0" reverse="1">
        <cfvo type="percent" val="0"/>
        <cfvo type="num" val="2"/>
        <cfvo type="num" val="3"/>
        <cfvo type="num" val="4"/>
      </iconSet>
    </cfRule>
  </conditionalFormatting>
  <conditionalFormatting sqref="AA4:AC4">
    <cfRule type="iconSet" priority="212">
      <iconSet showValue="0" reverse="1">
        <cfvo type="percent" val="0"/>
        <cfvo type="num" val="1" gte="0"/>
        <cfvo type="num" val="2" gte="0"/>
      </iconSet>
    </cfRule>
  </conditionalFormatting>
  <conditionalFormatting sqref="R4">
    <cfRule type="iconSet" priority="213">
      <iconSet iconSet="3Signs" showValue="0" reverse="1">
        <cfvo type="percent" val="0"/>
        <cfvo type="num" val="2"/>
        <cfvo type="num" val="3"/>
      </iconSet>
    </cfRule>
  </conditionalFormatting>
  <conditionalFormatting sqref="Y4">
    <cfRule type="iconSet" priority="214">
      <iconSet iconSet="3Signs" showValue="0" reverse="1">
        <cfvo type="percent" val="0"/>
        <cfvo type="num" val="2"/>
        <cfvo type="num" val="3"/>
      </iconSet>
    </cfRule>
  </conditionalFormatting>
  <conditionalFormatting sqref="T4:W4">
    <cfRule type="iconSet" priority="215">
      <iconSet iconSet="4TrafficLights" showValue="0" reverse="1">
        <cfvo type="percent" val="0"/>
        <cfvo type="num" val="2"/>
        <cfvo type="num" val="3"/>
        <cfvo type="num" val="4"/>
      </iconSet>
    </cfRule>
  </conditionalFormatting>
  <conditionalFormatting sqref="AA5:AC5">
    <cfRule type="iconSet" priority="208">
      <iconSet showValue="0" reverse="1">
        <cfvo type="percent" val="0"/>
        <cfvo type="num" val="1" gte="0"/>
        <cfvo type="num" val="2" gte="0"/>
      </iconSet>
    </cfRule>
  </conditionalFormatting>
  <conditionalFormatting sqref="R5">
    <cfRule type="iconSet" priority="209">
      <iconSet iconSet="3Signs" showValue="0" reverse="1">
        <cfvo type="percent" val="0"/>
        <cfvo type="num" val="2"/>
        <cfvo type="num" val="3"/>
      </iconSet>
    </cfRule>
  </conditionalFormatting>
  <conditionalFormatting sqref="Y5">
    <cfRule type="iconSet" priority="210">
      <iconSet iconSet="3Signs" showValue="0" reverse="1">
        <cfvo type="percent" val="0"/>
        <cfvo type="num" val="2"/>
        <cfvo type="num" val="3"/>
      </iconSet>
    </cfRule>
  </conditionalFormatting>
  <conditionalFormatting sqref="T5:W5">
    <cfRule type="iconSet" priority="211">
      <iconSet iconSet="4TrafficLights" showValue="0" reverse="1">
        <cfvo type="percent" val="0"/>
        <cfvo type="num" val="2"/>
        <cfvo type="num" val="3"/>
        <cfvo type="num" val="4"/>
      </iconSet>
    </cfRule>
  </conditionalFormatting>
  <conditionalFormatting sqref="AA6:AC6">
    <cfRule type="iconSet" priority="204">
      <iconSet showValue="0" reverse="1">
        <cfvo type="percent" val="0"/>
        <cfvo type="num" val="1" gte="0"/>
        <cfvo type="num" val="2" gte="0"/>
      </iconSet>
    </cfRule>
  </conditionalFormatting>
  <conditionalFormatting sqref="R6">
    <cfRule type="iconSet" priority="205">
      <iconSet iconSet="3Signs" showValue="0" reverse="1">
        <cfvo type="percent" val="0"/>
        <cfvo type="num" val="2"/>
        <cfvo type="num" val="3"/>
      </iconSet>
    </cfRule>
  </conditionalFormatting>
  <conditionalFormatting sqref="Y6">
    <cfRule type="iconSet" priority="206">
      <iconSet iconSet="3Signs" showValue="0" reverse="1">
        <cfvo type="percent" val="0"/>
        <cfvo type="num" val="2"/>
        <cfvo type="num" val="3"/>
      </iconSet>
    </cfRule>
  </conditionalFormatting>
  <conditionalFormatting sqref="T6:W6">
    <cfRule type="iconSet" priority="207">
      <iconSet iconSet="4TrafficLights" showValue="0" reverse="1">
        <cfvo type="percent" val="0"/>
        <cfvo type="num" val="2"/>
        <cfvo type="num" val="3"/>
        <cfvo type="num" val="4"/>
      </iconSet>
    </cfRule>
  </conditionalFormatting>
  <conditionalFormatting sqref="AA7:AC7">
    <cfRule type="iconSet" priority="200">
      <iconSet showValue="0" reverse="1">
        <cfvo type="percent" val="0"/>
        <cfvo type="num" val="1" gte="0"/>
        <cfvo type="num" val="2" gte="0"/>
      </iconSet>
    </cfRule>
  </conditionalFormatting>
  <conditionalFormatting sqref="R7">
    <cfRule type="iconSet" priority="201">
      <iconSet iconSet="3Signs" showValue="0" reverse="1">
        <cfvo type="percent" val="0"/>
        <cfvo type="num" val="2"/>
        <cfvo type="num" val="3"/>
      </iconSet>
    </cfRule>
  </conditionalFormatting>
  <conditionalFormatting sqref="Y7">
    <cfRule type="iconSet" priority="202">
      <iconSet iconSet="3Signs" showValue="0" reverse="1">
        <cfvo type="percent" val="0"/>
        <cfvo type="num" val="2"/>
        <cfvo type="num" val="3"/>
      </iconSet>
    </cfRule>
  </conditionalFormatting>
  <conditionalFormatting sqref="T7:W7">
    <cfRule type="iconSet" priority="203">
      <iconSet iconSet="4TrafficLights" showValue="0" reverse="1">
        <cfvo type="percent" val="0"/>
        <cfvo type="num" val="2"/>
        <cfvo type="num" val="3"/>
        <cfvo type="num" val="4"/>
      </iconSet>
    </cfRule>
  </conditionalFormatting>
  <conditionalFormatting sqref="AA8:AC8">
    <cfRule type="iconSet" priority="196">
      <iconSet showValue="0" reverse="1">
        <cfvo type="percent" val="0"/>
        <cfvo type="num" val="1" gte="0"/>
        <cfvo type="num" val="2" gte="0"/>
      </iconSet>
    </cfRule>
  </conditionalFormatting>
  <conditionalFormatting sqref="R8">
    <cfRule type="iconSet" priority="197">
      <iconSet iconSet="3Signs" showValue="0" reverse="1">
        <cfvo type="percent" val="0"/>
        <cfvo type="num" val="2"/>
        <cfvo type="num" val="3"/>
      </iconSet>
    </cfRule>
  </conditionalFormatting>
  <conditionalFormatting sqref="Y8">
    <cfRule type="iconSet" priority="198">
      <iconSet iconSet="3Signs" showValue="0" reverse="1">
        <cfvo type="percent" val="0"/>
        <cfvo type="num" val="2"/>
        <cfvo type="num" val="3"/>
      </iconSet>
    </cfRule>
  </conditionalFormatting>
  <conditionalFormatting sqref="T8:W8">
    <cfRule type="iconSet" priority="199">
      <iconSet iconSet="4TrafficLights" showValue="0" reverse="1">
        <cfvo type="percent" val="0"/>
        <cfvo type="num" val="2"/>
        <cfvo type="num" val="3"/>
        <cfvo type="num" val="4"/>
      </iconSet>
    </cfRule>
  </conditionalFormatting>
  <conditionalFormatting sqref="D9">
    <cfRule type="expression" dxfId="123" priority="191">
      <formula>$B9="NOUV"</formula>
    </cfRule>
  </conditionalFormatting>
  <conditionalFormatting sqref="D9">
    <cfRule type="expression" dxfId="122" priority="189">
      <formula>OR($B9="REMOD",$B9="ENCOURS")</formula>
    </cfRule>
    <cfRule type="expression" dxfId="121" priority="190">
      <formula>OR($B9="SUPPR",$B9="ASUPP")</formula>
    </cfRule>
  </conditionalFormatting>
  <conditionalFormatting sqref="AA9:AC9">
    <cfRule type="iconSet" priority="192">
      <iconSet showValue="0" reverse="1">
        <cfvo type="percent" val="0"/>
        <cfvo type="num" val="1" gte="0"/>
        <cfvo type="num" val="2" gte="0"/>
      </iconSet>
    </cfRule>
  </conditionalFormatting>
  <conditionalFormatting sqref="R9">
    <cfRule type="iconSet" priority="193">
      <iconSet iconSet="3Signs" showValue="0" reverse="1">
        <cfvo type="percent" val="0"/>
        <cfvo type="num" val="2"/>
        <cfvo type="num" val="3"/>
      </iconSet>
    </cfRule>
  </conditionalFormatting>
  <conditionalFormatting sqref="Y9">
    <cfRule type="iconSet" priority="194">
      <iconSet iconSet="3Signs" showValue="0" reverse="1">
        <cfvo type="percent" val="0"/>
        <cfvo type="num" val="2"/>
        <cfvo type="num" val="3"/>
      </iconSet>
    </cfRule>
  </conditionalFormatting>
  <conditionalFormatting sqref="T9:W9">
    <cfRule type="iconSet" priority="195">
      <iconSet iconSet="4TrafficLights" showValue="0" reverse="1">
        <cfvo type="percent" val="0"/>
        <cfvo type="num" val="2"/>
        <cfvo type="num" val="3"/>
        <cfvo type="num" val="4"/>
      </iconSet>
    </cfRule>
  </conditionalFormatting>
  <conditionalFormatting sqref="D10">
    <cfRule type="expression" dxfId="120" priority="183">
      <formula>OR($B10="REMOD",$B10="ENCOURS")</formula>
    </cfRule>
    <cfRule type="expression" dxfId="119" priority="184">
      <formula>OR($B10="SUPPR",$B10="ASUPP")</formula>
    </cfRule>
  </conditionalFormatting>
  <conditionalFormatting sqref="D10">
    <cfRule type="expression" dxfId="118" priority="182">
      <formula>$B10="NOUV"</formula>
    </cfRule>
  </conditionalFormatting>
  <conditionalFormatting sqref="AA10:AC10">
    <cfRule type="iconSet" priority="185">
      <iconSet showValue="0" reverse="1">
        <cfvo type="percent" val="0"/>
        <cfvo type="num" val="1" gte="0"/>
        <cfvo type="num" val="2" gte="0"/>
      </iconSet>
    </cfRule>
  </conditionalFormatting>
  <conditionalFormatting sqref="R10">
    <cfRule type="iconSet" priority="186">
      <iconSet iconSet="3Signs" showValue="0" reverse="1">
        <cfvo type="percent" val="0"/>
        <cfvo type="num" val="2"/>
        <cfvo type="num" val="3"/>
      </iconSet>
    </cfRule>
  </conditionalFormatting>
  <conditionalFormatting sqref="Y10">
    <cfRule type="iconSet" priority="187">
      <iconSet iconSet="3Signs" showValue="0" reverse="1">
        <cfvo type="percent" val="0"/>
        <cfvo type="num" val="2"/>
        <cfvo type="num" val="3"/>
      </iconSet>
    </cfRule>
  </conditionalFormatting>
  <conditionalFormatting sqref="T10:W10">
    <cfRule type="iconSet" priority="188">
      <iconSet iconSet="4TrafficLights" showValue="0" reverse="1">
        <cfvo type="percent" val="0"/>
        <cfvo type="num" val="2"/>
        <cfvo type="num" val="3"/>
        <cfvo type="num" val="4"/>
      </iconSet>
    </cfRule>
  </conditionalFormatting>
  <conditionalFormatting sqref="AA11:AC11">
    <cfRule type="iconSet" priority="178">
      <iconSet showValue="0" reverse="1">
        <cfvo type="percent" val="0"/>
        <cfvo type="num" val="1" gte="0"/>
        <cfvo type="num" val="2" gte="0"/>
      </iconSet>
    </cfRule>
  </conditionalFormatting>
  <conditionalFormatting sqref="R11">
    <cfRule type="iconSet" priority="179">
      <iconSet iconSet="3Signs" showValue="0" reverse="1">
        <cfvo type="percent" val="0"/>
        <cfvo type="num" val="2"/>
        <cfvo type="num" val="3"/>
      </iconSet>
    </cfRule>
  </conditionalFormatting>
  <conditionalFormatting sqref="Y11">
    <cfRule type="iconSet" priority="180">
      <iconSet iconSet="3Signs" showValue="0" reverse="1">
        <cfvo type="percent" val="0"/>
        <cfvo type="num" val="2"/>
        <cfvo type="num" val="3"/>
      </iconSet>
    </cfRule>
  </conditionalFormatting>
  <conditionalFormatting sqref="T11:W11">
    <cfRule type="iconSet" priority="181">
      <iconSet iconSet="4TrafficLights" showValue="0" reverse="1">
        <cfvo type="percent" val="0"/>
        <cfvo type="num" val="2"/>
        <cfvo type="num" val="3"/>
        <cfvo type="num" val="4"/>
      </iconSet>
    </cfRule>
  </conditionalFormatting>
  <conditionalFormatting sqref="D11">
    <cfRule type="expression" dxfId="117" priority="176">
      <formula>OR($B11="REMOD",$B11="ENCOURS")</formula>
    </cfRule>
    <cfRule type="expression" dxfId="116" priority="177">
      <formula>OR($B11="SUPPR",$B11="ASUPP")</formula>
    </cfRule>
  </conditionalFormatting>
  <conditionalFormatting sqref="D11">
    <cfRule type="expression" dxfId="115" priority="175">
      <formula>$B11="NOUV"</formula>
    </cfRule>
  </conditionalFormatting>
  <conditionalFormatting sqref="AA12:AC12">
    <cfRule type="iconSet" priority="171">
      <iconSet showValue="0" reverse="1">
        <cfvo type="percent" val="0"/>
        <cfvo type="percent" val="1" gte="0"/>
        <cfvo type="num" val="2" gte="0"/>
      </iconSet>
    </cfRule>
  </conditionalFormatting>
  <conditionalFormatting sqref="R12">
    <cfRule type="iconSet" priority="172">
      <iconSet iconSet="3Signs" showValue="0" reverse="1">
        <cfvo type="percent" val="0"/>
        <cfvo type="num" val="2"/>
        <cfvo type="num" val="3"/>
      </iconSet>
    </cfRule>
  </conditionalFormatting>
  <conditionalFormatting sqref="Y12">
    <cfRule type="iconSet" priority="173">
      <iconSet iconSet="3Signs" showValue="0" reverse="1">
        <cfvo type="percent" val="0"/>
        <cfvo type="num" val="2"/>
        <cfvo type="num" val="3"/>
      </iconSet>
    </cfRule>
  </conditionalFormatting>
  <conditionalFormatting sqref="T12:W12">
    <cfRule type="iconSet" priority="174">
      <iconSet iconSet="4TrafficLights" showValue="0" reverse="1">
        <cfvo type="percent" val="0"/>
        <cfvo type="num" val="2"/>
        <cfvo type="num" val="3"/>
        <cfvo type="num" val="4"/>
      </iconSet>
    </cfRule>
  </conditionalFormatting>
  <conditionalFormatting sqref="D12">
    <cfRule type="expression" dxfId="114" priority="169">
      <formula>OR($B12="REMOD",$B12="ENCOURS")</formula>
    </cfRule>
    <cfRule type="expression" dxfId="113" priority="170">
      <formula>OR($B12="SUPPR",$B12="ASUPP")</formula>
    </cfRule>
  </conditionalFormatting>
  <conditionalFormatting sqref="AA13:AC13">
    <cfRule type="iconSet" priority="165">
      <iconSet showValue="0" reverse="1">
        <cfvo type="percent" val="0"/>
        <cfvo type="percent" val="1" gte="0"/>
        <cfvo type="num" val="2" gte="0"/>
      </iconSet>
    </cfRule>
  </conditionalFormatting>
  <conditionalFormatting sqref="R13">
    <cfRule type="iconSet" priority="166">
      <iconSet iconSet="3Signs" showValue="0" reverse="1">
        <cfvo type="percent" val="0"/>
        <cfvo type="num" val="2"/>
        <cfvo type="num" val="3"/>
      </iconSet>
    </cfRule>
  </conditionalFormatting>
  <conditionalFormatting sqref="Y13">
    <cfRule type="iconSet" priority="167">
      <iconSet iconSet="3Signs" showValue="0" reverse="1">
        <cfvo type="percent" val="0"/>
        <cfvo type="num" val="2"/>
        <cfvo type="num" val="3"/>
      </iconSet>
    </cfRule>
  </conditionalFormatting>
  <conditionalFormatting sqref="T13:W13">
    <cfRule type="iconSet" priority="168">
      <iconSet iconSet="4TrafficLights" showValue="0" reverse="1">
        <cfvo type="percent" val="0"/>
        <cfvo type="num" val="2"/>
        <cfvo type="num" val="3"/>
        <cfvo type="num" val="4"/>
      </iconSet>
    </cfRule>
  </conditionalFormatting>
  <conditionalFormatting sqref="D13">
    <cfRule type="expression" dxfId="112" priority="163">
      <formula>OR($B13="REMOD",$B13="ENCOURS")</formula>
    </cfRule>
    <cfRule type="expression" dxfId="111" priority="164">
      <formula>OR($B13="SUPPR",$B13="ASUPP")</formula>
    </cfRule>
  </conditionalFormatting>
  <conditionalFormatting sqref="AA14:AC14">
    <cfRule type="iconSet" priority="159">
      <iconSet showValue="0" reverse="1">
        <cfvo type="percent" val="0"/>
        <cfvo type="percent" val="1" gte="0"/>
        <cfvo type="num" val="2" gte="0"/>
      </iconSet>
    </cfRule>
  </conditionalFormatting>
  <conditionalFormatting sqref="R14">
    <cfRule type="iconSet" priority="160">
      <iconSet iconSet="3Signs" showValue="0" reverse="1">
        <cfvo type="percent" val="0"/>
        <cfvo type="num" val="2"/>
        <cfvo type="num" val="3"/>
      </iconSet>
    </cfRule>
  </conditionalFormatting>
  <conditionalFormatting sqref="Y14">
    <cfRule type="iconSet" priority="161">
      <iconSet iconSet="3Signs" showValue="0" reverse="1">
        <cfvo type="percent" val="0"/>
        <cfvo type="num" val="2"/>
        <cfvo type="num" val="3"/>
      </iconSet>
    </cfRule>
  </conditionalFormatting>
  <conditionalFormatting sqref="T14:W14">
    <cfRule type="iconSet" priority="162">
      <iconSet iconSet="4TrafficLights" showValue="0" reverse="1">
        <cfvo type="percent" val="0"/>
        <cfvo type="num" val="2"/>
        <cfvo type="num" val="3"/>
        <cfvo type="num" val="4"/>
      </iconSet>
    </cfRule>
  </conditionalFormatting>
  <conditionalFormatting sqref="D14">
    <cfRule type="expression" dxfId="110" priority="157">
      <formula>OR($B14="REMOD",$B14="ENCOURS")</formula>
    </cfRule>
    <cfRule type="expression" dxfId="109" priority="158">
      <formula>OR($B14="SUPPR",$B14="ASUPP")</formula>
    </cfRule>
  </conditionalFormatting>
  <conditionalFormatting sqref="AA15:AC15">
    <cfRule type="iconSet" priority="153">
      <iconSet showValue="0" reverse="1">
        <cfvo type="percent" val="0"/>
        <cfvo type="percent" val="1" gte="0"/>
        <cfvo type="num" val="2" gte="0"/>
      </iconSet>
    </cfRule>
  </conditionalFormatting>
  <conditionalFormatting sqref="R15">
    <cfRule type="iconSet" priority="154">
      <iconSet iconSet="3Signs" showValue="0" reverse="1">
        <cfvo type="percent" val="0"/>
        <cfvo type="num" val="2"/>
        <cfvo type="num" val="3"/>
      </iconSet>
    </cfRule>
  </conditionalFormatting>
  <conditionalFormatting sqref="Y15">
    <cfRule type="iconSet" priority="155">
      <iconSet iconSet="3Signs" showValue="0" reverse="1">
        <cfvo type="percent" val="0"/>
        <cfvo type="num" val="2"/>
        <cfvo type="num" val="3"/>
      </iconSet>
    </cfRule>
  </conditionalFormatting>
  <conditionalFormatting sqref="T15:W15">
    <cfRule type="iconSet" priority="156">
      <iconSet iconSet="4TrafficLights" showValue="0" reverse="1">
        <cfvo type="percent" val="0"/>
        <cfvo type="num" val="2"/>
        <cfvo type="num" val="3"/>
        <cfvo type="num" val="4"/>
      </iconSet>
    </cfRule>
  </conditionalFormatting>
  <conditionalFormatting sqref="D15">
    <cfRule type="expression" dxfId="108" priority="151">
      <formula>OR($B15="REMOD",$B15="ENCOURS")</formula>
    </cfRule>
    <cfRule type="expression" dxfId="107" priority="152">
      <formula>OR($B15="SUPPR",$B15="ASUPP")</formula>
    </cfRule>
  </conditionalFormatting>
  <conditionalFormatting sqref="AA16:AC16">
    <cfRule type="iconSet" priority="147">
      <iconSet showValue="0" reverse="1">
        <cfvo type="percent" val="0"/>
        <cfvo type="percent" val="1" gte="0"/>
        <cfvo type="num" val="2" gte="0"/>
      </iconSet>
    </cfRule>
  </conditionalFormatting>
  <conditionalFormatting sqref="R16">
    <cfRule type="iconSet" priority="148">
      <iconSet iconSet="3Signs" showValue="0" reverse="1">
        <cfvo type="percent" val="0"/>
        <cfvo type="num" val="2"/>
        <cfvo type="num" val="3"/>
      </iconSet>
    </cfRule>
  </conditionalFormatting>
  <conditionalFormatting sqref="Y16">
    <cfRule type="iconSet" priority="149">
      <iconSet iconSet="3Signs" showValue="0" reverse="1">
        <cfvo type="percent" val="0"/>
        <cfvo type="num" val="2"/>
        <cfvo type="num" val="3"/>
      </iconSet>
    </cfRule>
  </conditionalFormatting>
  <conditionalFormatting sqref="T16:W16">
    <cfRule type="iconSet" priority="150">
      <iconSet iconSet="4TrafficLights" showValue="0" reverse="1">
        <cfvo type="percent" val="0"/>
        <cfvo type="num" val="2"/>
        <cfvo type="num" val="3"/>
        <cfvo type="num" val="4"/>
      </iconSet>
    </cfRule>
  </conditionalFormatting>
  <conditionalFormatting sqref="D16">
    <cfRule type="expression" dxfId="106" priority="145">
      <formula>OR($B16="REMOD",$B16="ENCOURS")</formula>
    </cfRule>
    <cfRule type="expression" dxfId="105" priority="146">
      <formula>OR($B16="SUPPR",$B16="ASUPP")</formula>
    </cfRule>
  </conditionalFormatting>
  <conditionalFormatting sqref="AA17:AC17">
    <cfRule type="iconSet" priority="141">
      <iconSet showValue="0" reverse="1">
        <cfvo type="percent" val="0"/>
        <cfvo type="percent" val="1" gte="0"/>
        <cfvo type="num" val="2" gte="0"/>
      </iconSet>
    </cfRule>
  </conditionalFormatting>
  <conditionalFormatting sqref="R17">
    <cfRule type="iconSet" priority="142">
      <iconSet iconSet="3Signs" showValue="0" reverse="1">
        <cfvo type="percent" val="0"/>
        <cfvo type="num" val="2"/>
        <cfvo type="num" val="3"/>
      </iconSet>
    </cfRule>
  </conditionalFormatting>
  <conditionalFormatting sqref="Y17">
    <cfRule type="iconSet" priority="143">
      <iconSet iconSet="3Signs" showValue="0" reverse="1">
        <cfvo type="percent" val="0"/>
        <cfvo type="num" val="2"/>
        <cfvo type="num" val="3"/>
      </iconSet>
    </cfRule>
  </conditionalFormatting>
  <conditionalFormatting sqref="T17:W17">
    <cfRule type="iconSet" priority="144">
      <iconSet iconSet="4TrafficLights" showValue="0" reverse="1">
        <cfvo type="percent" val="0"/>
        <cfvo type="num" val="2"/>
        <cfvo type="num" val="3"/>
        <cfvo type="num" val="4"/>
      </iconSet>
    </cfRule>
  </conditionalFormatting>
  <conditionalFormatting sqref="D17">
    <cfRule type="expression" dxfId="104" priority="139">
      <formula>OR($B17="REMOD",$B17="ENCOURS")</formula>
    </cfRule>
    <cfRule type="expression" dxfId="103" priority="140">
      <formula>OR($B17="SUPPR",$B17="ASUPP")</formula>
    </cfRule>
  </conditionalFormatting>
  <conditionalFormatting sqref="AA18:AC18">
    <cfRule type="iconSet" priority="135">
      <iconSet showValue="0" reverse="1">
        <cfvo type="percent" val="0"/>
        <cfvo type="percent" val="1" gte="0"/>
        <cfvo type="num" val="2" gte="0"/>
      </iconSet>
    </cfRule>
  </conditionalFormatting>
  <conditionalFormatting sqref="R18">
    <cfRule type="iconSet" priority="136">
      <iconSet iconSet="3Signs" showValue="0" reverse="1">
        <cfvo type="percent" val="0"/>
        <cfvo type="num" val="2"/>
        <cfvo type="num" val="3"/>
      </iconSet>
    </cfRule>
  </conditionalFormatting>
  <conditionalFormatting sqref="Y18">
    <cfRule type="iconSet" priority="137">
      <iconSet iconSet="3Signs" showValue="0" reverse="1">
        <cfvo type="percent" val="0"/>
        <cfvo type="num" val="2"/>
        <cfvo type="num" val="3"/>
      </iconSet>
    </cfRule>
  </conditionalFormatting>
  <conditionalFormatting sqref="T18:W18">
    <cfRule type="iconSet" priority="138">
      <iconSet iconSet="4TrafficLights" showValue="0" reverse="1">
        <cfvo type="percent" val="0"/>
        <cfvo type="num" val="2"/>
        <cfvo type="num" val="3"/>
        <cfvo type="num" val="4"/>
      </iconSet>
    </cfRule>
  </conditionalFormatting>
  <conditionalFormatting sqref="D18">
    <cfRule type="expression" dxfId="102" priority="133">
      <formula>OR($B18="REMOD",$B18="ENCOURS")</formula>
    </cfRule>
    <cfRule type="expression" dxfId="101" priority="134">
      <formula>OR($B18="SUPPR",$B18="ASUPP")</formula>
    </cfRule>
  </conditionalFormatting>
  <conditionalFormatting sqref="AA19:AC19">
    <cfRule type="iconSet" priority="129">
      <iconSet showValue="0" reverse="1">
        <cfvo type="percent" val="0"/>
        <cfvo type="percent" val="1" gte="0"/>
        <cfvo type="num" val="2" gte="0"/>
      </iconSet>
    </cfRule>
  </conditionalFormatting>
  <conditionalFormatting sqref="R19">
    <cfRule type="iconSet" priority="130">
      <iconSet iconSet="3Signs" showValue="0" reverse="1">
        <cfvo type="percent" val="0"/>
        <cfvo type="num" val="2"/>
        <cfvo type="num" val="3"/>
      </iconSet>
    </cfRule>
  </conditionalFormatting>
  <conditionalFormatting sqref="Y19">
    <cfRule type="iconSet" priority="131">
      <iconSet iconSet="3Signs" showValue="0" reverse="1">
        <cfvo type="percent" val="0"/>
        <cfvo type="num" val="2"/>
        <cfvo type="num" val="3"/>
      </iconSet>
    </cfRule>
  </conditionalFormatting>
  <conditionalFormatting sqref="T19:W19">
    <cfRule type="iconSet" priority="132">
      <iconSet iconSet="4TrafficLights" showValue="0" reverse="1">
        <cfvo type="percent" val="0"/>
        <cfvo type="num" val="2"/>
        <cfvo type="num" val="3"/>
        <cfvo type="num" val="4"/>
      </iconSet>
    </cfRule>
  </conditionalFormatting>
  <conditionalFormatting sqref="D19">
    <cfRule type="expression" dxfId="100" priority="127">
      <formula>OR($B19="REMOD",$B19="ENCOURS")</formula>
    </cfRule>
    <cfRule type="expression" dxfId="99" priority="128">
      <formula>OR($B19="SUPPR",$B19="ASUPP")</formula>
    </cfRule>
  </conditionalFormatting>
  <conditionalFormatting sqref="AA20:AC20">
    <cfRule type="iconSet" priority="123">
      <iconSet showValue="0" reverse="1">
        <cfvo type="percent" val="0"/>
        <cfvo type="percent" val="1" gte="0"/>
        <cfvo type="num" val="2" gte="0"/>
      </iconSet>
    </cfRule>
  </conditionalFormatting>
  <conditionalFormatting sqref="R20">
    <cfRule type="iconSet" priority="124">
      <iconSet iconSet="3Signs" showValue="0" reverse="1">
        <cfvo type="percent" val="0"/>
        <cfvo type="num" val="2"/>
        <cfvo type="num" val="3"/>
      </iconSet>
    </cfRule>
  </conditionalFormatting>
  <conditionalFormatting sqref="Y20">
    <cfRule type="iconSet" priority="125">
      <iconSet iconSet="3Signs" showValue="0" reverse="1">
        <cfvo type="percent" val="0"/>
        <cfvo type="num" val="2"/>
        <cfvo type="num" val="3"/>
      </iconSet>
    </cfRule>
  </conditionalFormatting>
  <conditionalFormatting sqref="T20:W20">
    <cfRule type="iconSet" priority="126">
      <iconSet iconSet="4TrafficLights" showValue="0" reverse="1">
        <cfvo type="percent" val="0"/>
        <cfvo type="num" val="2"/>
        <cfvo type="num" val="3"/>
        <cfvo type="num" val="4"/>
      </iconSet>
    </cfRule>
  </conditionalFormatting>
  <conditionalFormatting sqref="D20">
    <cfRule type="expression" dxfId="98" priority="121">
      <formula>OR($B20="REMOD",$B20="ENCOURS")</formula>
    </cfRule>
    <cfRule type="expression" dxfId="97" priority="122">
      <formula>OR($B20="SUPPR",$B20="ASUPP")</formula>
    </cfRule>
  </conditionalFormatting>
  <conditionalFormatting sqref="AA21:AC21">
    <cfRule type="iconSet" priority="117">
      <iconSet showValue="0" reverse="1">
        <cfvo type="percent" val="0"/>
        <cfvo type="percent" val="1" gte="0"/>
        <cfvo type="num" val="2" gte="0"/>
      </iconSet>
    </cfRule>
  </conditionalFormatting>
  <conditionalFormatting sqref="R21">
    <cfRule type="iconSet" priority="118">
      <iconSet iconSet="3Signs" showValue="0" reverse="1">
        <cfvo type="percent" val="0"/>
        <cfvo type="num" val="2"/>
        <cfvo type="num" val="3"/>
      </iconSet>
    </cfRule>
  </conditionalFormatting>
  <conditionalFormatting sqref="Y21">
    <cfRule type="iconSet" priority="119">
      <iconSet iconSet="3Signs" showValue="0" reverse="1">
        <cfvo type="percent" val="0"/>
        <cfvo type="num" val="2"/>
        <cfvo type="num" val="3"/>
      </iconSet>
    </cfRule>
  </conditionalFormatting>
  <conditionalFormatting sqref="T21:W21">
    <cfRule type="iconSet" priority="120">
      <iconSet iconSet="4TrafficLights" showValue="0" reverse="1">
        <cfvo type="percent" val="0"/>
        <cfvo type="num" val="2"/>
        <cfvo type="num" val="3"/>
        <cfvo type="num" val="4"/>
      </iconSet>
    </cfRule>
  </conditionalFormatting>
  <conditionalFormatting sqref="D21">
    <cfRule type="expression" dxfId="96" priority="115">
      <formula>OR($B21="REMOD",$B21="ENCOURS")</formula>
    </cfRule>
    <cfRule type="expression" dxfId="95" priority="116">
      <formula>OR($B21="SUPPR",$B21="ASUPP")</formula>
    </cfRule>
  </conditionalFormatting>
  <conditionalFormatting sqref="AA22:AC22">
    <cfRule type="iconSet" priority="111">
      <iconSet showValue="0" reverse="1">
        <cfvo type="percent" val="0"/>
        <cfvo type="percent" val="1" gte="0"/>
        <cfvo type="num" val="2" gte="0"/>
      </iconSet>
    </cfRule>
  </conditionalFormatting>
  <conditionalFormatting sqref="R22">
    <cfRule type="iconSet" priority="112">
      <iconSet iconSet="3Signs" showValue="0" reverse="1">
        <cfvo type="percent" val="0"/>
        <cfvo type="num" val="2"/>
        <cfvo type="num" val="3"/>
      </iconSet>
    </cfRule>
  </conditionalFormatting>
  <conditionalFormatting sqref="Y22">
    <cfRule type="iconSet" priority="113">
      <iconSet iconSet="3Signs" showValue="0" reverse="1">
        <cfvo type="percent" val="0"/>
        <cfvo type="num" val="2"/>
        <cfvo type="num" val="3"/>
      </iconSet>
    </cfRule>
  </conditionalFormatting>
  <conditionalFormatting sqref="T22:W22">
    <cfRule type="iconSet" priority="114">
      <iconSet iconSet="4TrafficLights" showValue="0" reverse="1">
        <cfvo type="percent" val="0"/>
        <cfvo type="num" val="2"/>
        <cfvo type="num" val="3"/>
        <cfvo type="num" val="4"/>
      </iconSet>
    </cfRule>
  </conditionalFormatting>
  <conditionalFormatting sqref="D22">
    <cfRule type="expression" dxfId="94" priority="109">
      <formula>OR($B22="REMOD",$B22="ENCOURS")</formula>
    </cfRule>
    <cfRule type="expression" dxfId="93" priority="110">
      <formula>OR($B22="SUPPR",$B22="ASUPP")</formula>
    </cfRule>
  </conditionalFormatting>
  <conditionalFormatting sqref="AA23:AC23">
    <cfRule type="iconSet" priority="105">
      <iconSet showValue="0" reverse="1">
        <cfvo type="percent" val="0"/>
        <cfvo type="percent" val="1" gte="0"/>
        <cfvo type="num" val="2" gte="0"/>
      </iconSet>
    </cfRule>
  </conditionalFormatting>
  <conditionalFormatting sqref="R23">
    <cfRule type="iconSet" priority="106">
      <iconSet iconSet="3Signs" showValue="0" reverse="1">
        <cfvo type="percent" val="0"/>
        <cfvo type="num" val="2"/>
        <cfvo type="num" val="3"/>
      </iconSet>
    </cfRule>
  </conditionalFormatting>
  <conditionalFormatting sqref="Y23">
    <cfRule type="iconSet" priority="107">
      <iconSet iconSet="3Signs" showValue="0" reverse="1">
        <cfvo type="percent" val="0"/>
        <cfvo type="num" val="2"/>
        <cfvo type="num" val="3"/>
      </iconSet>
    </cfRule>
  </conditionalFormatting>
  <conditionalFormatting sqref="T23:W23">
    <cfRule type="iconSet" priority="108">
      <iconSet iconSet="4TrafficLights" showValue="0" reverse="1">
        <cfvo type="percent" val="0"/>
        <cfvo type="num" val="2"/>
        <cfvo type="num" val="3"/>
        <cfvo type="num" val="4"/>
      </iconSet>
    </cfRule>
  </conditionalFormatting>
  <conditionalFormatting sqref="D23">
    <cfRule type="expression" dxfId="92" priority="103">
      <formula>OR($B23="REMOD",$B23="ENCOURS")</formula>
    </cfRule>
    <cfRule type="expression" dxfId="91" priority="104">
      <formula>OR($B23="SUPPR",$B23="ASUPP")</formula>
    </cfRule>
  </conditionalFormatting>
  <conditionalFormatting sqref="AA24:AC24">
    <cfRule type="iconSet" priority="99">
      <iconSet showValue="0" reverse="1">
        <cfvo type="percent" val="0"/>
        <cfvo type="percent" val="1" gte="0"/>
        <cfvo type="num" val="2" gte="0"/>
      </iconSet>
    </cfRule>
  </conditionalFormatting>
  <conditionalFormatting sqref="R24">
    <cfRule type="iconSet" priority="100">
      <iconSet iconSet="3Signs" showValue="0" reverse="1">
        <cfvo type="percent" val="0"/>
        <cfvo type="num" val="2"/>
        <cfvo type="num" val="3"/>
      </iconSet>
    </cfRule>
  </conditionalFormatting>
  <conditionalFormatting sqref="Y24">
    <cfRule type="iconSet" priority="101">
      <iconSet iconSet="3Signs" showValue="0" reverse="1">
        <cfvo type="percent" val="0"/>
        <cfvo type="num" val="2"/>
        <cfvo type="num" val="3"/>
      </iconSet>
    </cfRule>
  </conditionalFormatting>
  <conditionalFormatting sqref="T24:W24">
    <cfRule type="iconSet" priority="102">
      <iconSet iconSet="4TrafficLights" showValue="0" reverse="1">
        <cfvo type="percent" val="0"/>
        <cfvo type="num" val="2"/>
        <cfvo type="num" val="3"/>
        <cfvo type="num" val="4"/>
      </iconSet>
    </cfRule>
  </conditionalFormatting>
  <conditionalFormatting sqref="D24">
    <cfRule type="expression" dxfId="90" priority="97">
      <formula>OR($B24="REMOD",$B24="ENCOURS")</formula>
    </cfRule>
    <cfRule type="expression" dxfId="89" priority="98">
      <formula>OR($B24="SUPPR",$B24="ASUPP")</formula>
    </cfRule>
  </conditionalFormatting>
  <conditionalFormatting sqref="AA25:AC25">
    <cfRule type="iconSet" priority="93">
      <iconSet showValue="0" reverse="1">
        <cfvo type="percent" val="0"/>
        <cfvo type="percent" val="1" gte="0"/>
        <cfvo type="num" val="2" gte="0"/>
      </iconSet>
    </cfRule>
  </conditionalFormatting>
  <conditionalFormatting sqref="R25">
    <cfRule type="iconSet" priority="94">
      <iconSet iconSet="3Signs" showValue="0" reverse="1">
        <cfvo type="percent" val="0"/>
        <cfvo type="num" val="2"/>
        <cfvo type="num" val="3"/>
      </iconSet>
    </cfRule>
  </conditionalFormatting>
  <conditionalFormatting sqref="Y25">
    <cfRule type="iconSet" priority="95">
      <iconSet iconSet="3Signs" showValue="0" reverse="1">
        <cfvo type="percent" val="0"/>
        <cfvo type="num" val="2"/>
        <cfvo type="num" val="3"/>
      </iconSet>
    </cfRule>
  </conditionalFormatting>
  <conditionalFormatting sqref="T25:W25">
    <cfRule type="iconSet" priority="96">
      <iconSet iconSet="4TrafficLights" showValue="0" reverse="1">
        <cfvo type="percent" val="0"/>
        <cfvo type="num" val="2"/>
        <cfvo type="num" val="3"/>
        <cfvo type="num" val="4"/>
      </iconSet>
    </cfRule>
  </conditionalFormatting>
  <conditionalFormatting sqref="D25">
    <cfRule type="expression" dxfId="88" priority="91">
      <formula>OR($B25="REMOD",$B25="ENCOURS")</formula>
    </cfRule>
    <cfRule type="expression" dxfId="87" priority="92">
      <formula>OR($B25="SUPPR",$B25="ASUPP")</formula>
    </cfRule>
  </conditionalFormatting>
  <conditionalFormatting sqref="AA26:AC26">
    <cfRule type="iconSet" priority="87">
      <iconSet showValue="0" reverse="1">
        <cfvo type="percent" val="0"/>
        <cfvo type="percent" val="1" gte="0"/>
        <cfvo type="num" val="2" gte="0"/>
      </iconSet>
    </cfRule>
  </conditionalFormatting>
  <conditionalFormatting sqref="R26">
    <cfRule type="iconSet" priority="88">
      <iconSet iconSet="3Signs" showValue="0" reverse="1">
        <cfvo type="percent" val="0"/>
        <cfvo type="num" val="2"/>
        <cfvo type="num" val="3"/>
      </iconSet>
    </cfRule>
  </conditionalFormatting>
  <conditionalFormatting sqref="Y26">
    <cfRule type="iconSet" priority="89">
      <iconSet iconSet="3Signs" showValue="0" reverse="1">
        <cfvo type="percent" val="0"/>
        <cfvo type="num" val="2"/>
        <cfvo type="num" val="3"/>
      </iconSet>
    </cfRule>
  </conditionalFormatting>
  <conditionalFormatting sqref="T26:W26">
    <cfRule type="iconSet" priority="90">
      <iconSet iconSet="4TrafficLights" showValue="0" reverse="1">
        <cfvo type="percent" val="0"/>
        <cfvo type="num" val="2"/>
        <cfvo type="num" val="3"/>
        <cfvo type="num" val="4"/>
      </iconSet>
    </cfRule>
  </conditionalFormatting>
  <conditionalFormatting sqref="D26">
    <cfRule type="expression" dxfId="86" priority="85">
      <formula>OR($B26="REMOD",$B26="ENCOURS")</formula>
    </cfRule>
    <cfRule type="expression" dxfId="85" priority="86">
      <formula>OR($B26="SUPPR",$B26="ASUPP")</formula>
    </cfRule>
  </conditionalFormatting>
  <conditionalFormatting sqref="AA27:AC27">
    <cfRule type="iconSet" priority="81">
      <iconSet showValue="0" reverse="1">
        <cfvo type="percent" val="0"/>
        <cfvo type="percent" val="1" gte="0"/>
        <cfvo type="num" val="2" gte="0"/>
      </iconSet>
    </cfRule>
  </conditionalFormatting>
  <conditionalFormatting sqref="R27">
    <cfRule type="iconSet" priority="82">
      <iconSet iconSet="3Signs" showValue="0" reverse="1">
        <cfvo type="percent" val="0"/>
        <cfvo type="num" val="2"/>
        <cfvo type="num" val="3"/>
      </iconSet>
    </cfRule>
  </conditionalFormatting>
  <conditionalFormatting sqref="Y27">
    <cfRule type="iconSet" priority="83">
      <iconSet iconSet="3Signs" showValue="0" reverse="1">
        <cfvo type="percent" val="0"/>
        <cfvo type="num" val="2"/>
        <cfvo type="num" val="3"/>
      </iconSet>
    </cfRule>
  </conditionalFormatting>
  <conditionalFormatting sqref="T27:W27">
    <cfRule type="iconSet" priority="84">
      <iconSet iconSet="4TrafficLights" showValue="0" reverse="1">
        <cfvo type="percent" val="0"/>
        <cfvo type="num" val="2"/>
        <cfvo type="num" val="3"/>
        <cfvo type="num" val="4"/>
      </iconSet>
    </cfRule>
  </conditionalFormatting>
  <conditionalFormatting sqref="D27">
    <cfRule type="expression" dxfId="84" priority="79">
      <formula>OR($B27="REMOD",$B27="ENCOURS")</formula>
    </cfRule>
    <cfRule type="expression" dxfId="83" priority="80">
      <formula>OR($B27="SUPPR",$B27="ASUPP")</formula>
    </cfRule>
  </conditionalFormatting>
  <conditionalFormatting sqref="AA28:AC28">
    <cfRule type="iconSet" priority="75">
      <iconSet showValue="0" reverse="1">
        <cfvo type="percent" val="0"/>
        <cfvo type="percent" val="1" gte="0"/>
        <cfvo type="num" val="2" gte="0"/>
      </iconSet>
    </cfRule>
  </conditionalFormatting>
  <conditionalFormatting sqref="R28">
    <cfRule type="iconSet" priority="76">
      <iconSet iconSet="3Signs" showValue="0" reverse="1">
        <cfvo type="percent" val="0"/>
        <cfvo type="num" val="2"/>
        <cfvo type="num" val="3"/>
      </iconSet>
    </cfRule>
  </conditionalFormatting>
  <conditionalFormatting sqref="Y28">
    <cfRule type="iconSet" priority="77">
      <iconSet iconSet="3Signs" showValue="0" reverse="1">
        <cfvo type="percent" val="0"/>
        <cfvo type="num" val="2"/>
        <cfvo type="num" val="3"/>
      </iconSet>
    </cfRule>
  </conditionalFormatting>
  <conditionalFormatting sqref="T28:W28">
    <cfRule type="iconSet" priority="78">
      <iconSet iconSet="4TrafficLights" showValue="0" reverse="1">
        <cfvo type="percent" val="0"/>
        <cfvo type="num" val="2"/>
        <cfvo type="num" val="3"/>
        <cfvo type="num" val="4"/>
      </iconSet>
    </cfRule>
  </conditionalFormatting>
  <conditionalFormatting sqref="D28">
    <cfRule type="expression" dxfId="82" priority="73">
      <formula>OR($B28="REMOD",$B28="ENCOURS")</formula>
    </cfRule>
    <cfRule type="expression" dxfId="81" priority="74">
      <formula>OR($B28="SUPPR",$B28="ASUPP")</formula>
    </cfRule>
  </conditionalFormatting>
  <conditionalFormatting sqref="AA29:AC29">
    <cfRule type="iconSet" priority="69">
      <iconSet showValue="0" reverse="1">
        <cfvo type="percent" val="0"/>
        <cfvo type="percent" val="1" gte="0"/>
        <cfvo type="num" val="2" gte="0"/>
      </iconSet>
    </cfRule>
  </conditionalFormatting>
  <conditionalFormatting sqref="R29">
    <cfRule type="iconSet" priority="70">
      <iconSet iconSet="3Signs" showValue="0" reverse="1">
        <cfvo type="percent" val="0"/>
        <cfvo type="num" val="2"/>
        <cfvo type="num" val="3"/>
      </iconSet>
    </cfRule>
  </conditionalFormatting>
  <conditionalFormatting sqref="Y29">
    <cfRule type="iconSet" priority="71">
      <iconSet iconSet="3Signs" showValue="0" reverse="1">
        <cfvo type="percent" val="0"/>
        <cfvo type="num" val="2"/>
        <cfvo type="num" val="3"/>
      </iconSet>
    </cfRule>
  </conditionalFormatting>
  <conditionalFormatting sqref="T29:W29">
    <cfRule type="iconSet" priority="72">
      <iconSet iconSet="4TrafficLights" showValue="0" reverse="1">
        <cfvo type="percent" val="0"/>
        <cfvo type="num" val="2"/>
        <cfvo type="num" val="3"/>
        <cfvo type="num" val="4"/>
      </iconSet>
    </cfRule>
  </conditionalFormatting>
  <conditionalFormatting sqref="D29">
    <cfRule type="expression" dxfId="80" priority="67">
      <formula>OR($B29="REMOD",$B29="ENCOURS")</formula>
    </cfRule>
    <cfRule type="expression" dxfId="79" priority="68">
      <formula>OR($B29="SUPPR",$B29="ASUPP")</formula>
    </cfRule>
  </conditionalFormatting>
  <conditionalFormatting sqref="AA30:AC30">
    <cfRule type="iconSet" priority="63">
      <iconSet showValue="0" reverse="1">
        <cfvo type="percent" val="0"/>
        <cfvo type="percent" val="1" gte="0"/>
        <cfvo type="num" val="2" gte="0"/>
      </iconSet>
    </cfRule>
  </conditionalFormatting>
  <conditionalFormatting sqref="R30">
    <cfRule type="iconSet" priority="64">
      <iconSet iconSet="3Signs" showValue="0" reverse="1">
        <cfvo type="percent" val="0"/>
        <cfvo type="num" val="2"/>
        <cfvo type="num" val="3"/>
      </iconSet>
    </cfRule>
  </conditionalFormatting>
  <conditionalFormatting sqref="Y30">
    <cfRule type="iconSet" priority="65">
      <iconSet iconSet="3Signs" showValue="0" reverse="1">
        <cfvo type="percent" val="0"/>
        <cfvo type="num" val="2"/>
        <cfvo type="num" val="3"/>
      </iconSet>
    </cfRule>
  </conditionalFormatting>
  <conditionalFormatting sqref="T30:W30">
    <cfRule type="iconSet" priority="66">
      <iconSet iconSet="4TrafficLights" showValue="0" reverse="1">
        <cfvo type="percent" val="0"/>
        <cfvo type="num" val="2"/>
        <cfvo type="num" val="3"/>
        <cfvo type="num" val="4"/>
      </iconSet>
    </cfRule>
  </conditionalFormatting>
  <conditionalFormatting sqref="D30">
    <cfRule type="expression" dxfId="78" priority="61">
      <formula>OR($B30="REMOD",$B30="ENCOURS")</formula>
    </cfRule>
    <cfRule type="expression" dxfId="77" priority="62">
      <formula>OR($B30="SUPPR",$B30="ASUPP")</formula>
    </cfRule>
  </conditionalFormatting>
  <conditionalFormatting sqref="AA31:AC31">
    <cfRule type="iconSet" priority="57">
      <iconSet showValue="0" reverse="1">
        <cfvo type="percent" val="0"/>
        <cfvo type="percent" val="1" gte="0"/>
        <cfvo type="num" val="2" gte="0"/>
      </iconSet>
    </cfRule>
  </conditionalFormatting>
  <conditionalFormatting sqref="R31">
    <cfRule type="iconSet" priority="58">
      <iconSet iconSet="3Signs" showValue="0" reverse="1">
        <cfvo type="percent" val="0"/>
        <cfvo type="num" val="2"/>
        <cfvo type="num" val="3"/>
      </iconSet>
    </cfRule>
  </conditionalFormatting>
  <conditionalFormatting sqref="Y31">
    <cfRule type="iconSet" priority="59">
      <iconSet iconSet="3Signs" showValue="0" reverse="1">
        <cfvo type="percent" val="0"/>
        <cfvo type="num" val="2"/>
        <cfvo type="num" val="3"/>
      </iconSet>
    </cfRule>
  </conditionalFormatting>
  <conditionalFormatting sqref="T31:W31">
    <cfRule type="iconSet" priority="60">
      <iconSet iconSet="4TrafficLights" showValue="0" reverse="1">
        <cfvo type="percent" val="0"/>
        <cfvo type="num" val="2"/>
        <cfvo type="num" val="3"/>
        <cfvo type="num" val="4"/>
      </iconSet>
    </cfRule>
  </conditionalFormatting>
  <conditionalFormatting sqref="D31">
    <cfRule type="expression" dxfId="76" priority="55">
      <formula>OR($B31="REMOD",$B31="ENCOURS")</formula>
    </cfRule>
    <cfRule type="expression" dxfId="75" priority="56">
      <formula>OR($B31="SUPPR",$B31="ASUPP")</formula>
    </cfRule>
  </conditionalFormatting>
  <conditionalFormatting sqref="AA32:AC32">
    <cfRule type="iconSet" priority="51">
      <iconSet showValue="0" reverse="1">
        <cfvo type="percent" val="0"/>
        <cfvo type="percent" val="1" gte="0"/>
        <cfvo type="num" val="2" gte="0"/>
      </iconSet>
    </cfRule>
  </conditionalFormatting>
  <conditionalFormatting sqref="R32">
    <cfRule type="iconSet" priority="52">
      <iconSet iconSet="3Signs" showValue="0" reverse="1">
        <cfvo type="percent" val="0"/>
        <cfvo type="num" val="2"/>
        <cfvo type="num" val="3"/>
      </iconSet>
    </cfRule>
  </conditionalFormatting>
  <conditionalFormatting sqref="Y32">
    <cfRule type="iconSet" priority="53">
      <iconSet iconSet="3Signs" showValue="0" reverse="1">
        <cfvo type="percent" val="0"/>
        <cfvo type="num" val="2"/>
        <cfvo type="num" val="3"/>
      </iconSet>
    </cfRule>
  </conditionalFormatting>
  <conditionalFormatting sqref="T32:W32">
    <cfRule type="iconSet" priority="54">
      <iconSet iconSet="4TrafficLights" showValue="0" reverse="1">
        <cfvo type="percent" val="0"/>
        <cfvo type="num" val="2"/>
        <cfvo type="num" val="3"/>
        <cfvo type="num" val="4"/>
      </iconSet>
    </cfRule>
  </conditionalFormatting>
  <conditionalFormatting sqref="D32">
    <cfRule type="expression" dxfId="74" priority="49">
      <formula>OR($B32="REMOD",$B32="ENCOURS")</formula>
    </cfRule>
    <cfRule type="expression" dxfId="73" priority="50">
      <formula>OR($B32="SUPPR",$B32="ASUPP")</formula>
    </cfRule>
  </conditionalFormatting>
  <conditionalFormatting sqref="AA33:AC33">
    <cfRule type="iconSet" priority="45">
      <iconSet showValue="0" reverse="1">
        <cfvo type="percent" val="0"/>
        <cfvo type="percent" val="1" gte="0"/>
        <cfvo type="num" val="2" gte="0"/>
      </iconSet>
    </cfRule>
  </conditionalFormatting>
  <conditionalFormatting sqref="R33">
    <cfRule type="iconSet" priority="46">
      <iconSet iconSet="3Signs" showValue="0" reverse="1">
        <cfvo type="percent" val="0"/>
        <cfvo type="num" val="2"/>
        <cfvo type="num" val="3"/>
      </iconSet>
    </cfRule>
  </conditionalFormatting>
  <conditionalFormatting sqref="Y33">
    <cfRule type="iconSet" priority="47">
      <iconSet iconSet="3Signs" showValue="0" reverse="1">
        <cfvo type="percent" val="0"/>
        <cfvo type="num" val="2"/>
        <cfvo type="num" val="3"/>
      </iconSet>
    </cfRule>
  </conditionalFormatting>
  <conditionalFormatting sqref="T33:W33">
    <cfRule type="iconSet" priority="48">
      <iconSet iconSet="4TrafficLights" showValue="0" reverse="1">
        <cfvo type="percent" val="0"/>
        <cfvo type="num" val="2"/>
        <cfvo type="num" val="3"/>
        <cfvo type="num" val="4"/>
      </iconSet>
    </cfRule>
  </conditionalFormatting>
  <conditionalFormatting sqref="D33">
    <cfRule type="expression" dxfId="72" priority="43">
      <formula>OR($B33="REMOD",$B33="ENCOURS")</formula>
    </cfRule>
    <cfRule type="expression" dxfId="71" priority="44">
      <formula>OR($B33="SUPPR",$B33="ASUPP")</formula>
    </cfRule>
  </conditionalFormatting>
  <conditionalFormatting sqref="AA34:AC34">
    <cfRule type="iconSet" priority="39">
      <iconSet showValue="0" reverse="1">
        <cfvo type="percent" val="0"/>
        <cfvo type="percent" val="1" gte="0"/>
        <cfvo type="num" val="2" gte="0"/>
      </iconSet>
    </cfRule>
  </conditionalFormatting>
  <conditionalFormatting sqref="R34">
    <cfRule type="iconSet" priority="40">
      <iconSet iconSet="3Signs" showValue="0" reverse="1">
        <cfvo type="percent" val="0"/>
        <cfvo type="num" val="2"/>
        <cfvo type="num" val="3"/>
      </iconSet>
    </cfRule>
  </conditionalFormatting>
  <conditionalFormatting sqref="Y34">
    <cfRule type="iconSet" priority="41">
      <iconSet iconSet="3Signs" showValue="0" reverse="1">
        <cfvo type="percent" val="0"/>
        <cfvo type="num" val="2"/>
        <cfvo type="num" val="3"/>
      </iconSet>
    </cfRule>
  </conditionalFormatting>
  <conditionalFormatting sqref="T34:W34">
    <cfRule type="iconSet" priority="42">
      <iconSet iconSet="4TrafficLights" showValue="0" reverse="1">
        <cfvo type="percent" val="0"/>
        <cfvo type="num" val="2"/>
        <cfvo type="num" val="3"/>
        <cfvo type="num" val="4"/>
      </iconSet>
    </cfRule>
  </conditionalFormatting>
  <conditionalFormatting sqref="D34">
    <cfRule type="expression" dxfId="70" priority="37">
      <formula>OR($B34="REMOD",$B34="ENCOURS")</formula>
    </cfRule>
    <cfRule type="expression" dxfId="69" priority="38">
      <formula>OR($B34="SUPPR",$B34="ASUPP")</formula>
    </cfRule>
  </conditionalFormatting>
  <conditionalFormatting sqref="AA35:AC35">
    <cfRule type="iconSet" priority="33">
      <iconSet showValue="0" reverse="1">
        <cfvo type="percent" val="0"/>
        <cfvo type="percent" val="1" gte="0"/>
        <cfvo type="num" val="2" gte="0"/>
      </iconSet>
    </cfRule>
  </conditionalFormatting>
  <conditionalFormatting sqref="R35">
    <cfRule type="iconSet" priority="34">
      <iconSet iconSet="3Signs" showValue="0" reverse="1">
        <cfvo type="percent" val="0"/>
        <cfvo type="num" val="2"/>
        <cfvo type="num" val="3"/>
      </iconSet>
    </cfRule>
  </conditionalFormatting>
  <conditionalFormatting sqref="Y35">
    <cfRule type="iconSet" priority="35">
      <iconSet iconSet="3Signs" showValue="0" reverse="1">
        <cfvo type="percent" val="0"/>
        <cfvo type="num" val="2"/>
        <cfvo type="num" val="3"/>
      </iconSet>
    </cfRule>
  </conditionalFormatting>
  <conditionalFormatting sqref="T35:W35">
    <cfRule type="iconSet" priority="36">
      <iconSet iconSet="4TrafficLights" showValue="0" reverse="1">
        <cfvo type="percent" val="0"/>
        <cfvo type="num" val="2"/>
        <cfvo type="num" val="3"/>
        <cfvo type="num" val="4"/>
      </iconSet>
    </cfRule>
  </conditionalFormatting>
  <conditionalFormatting sqref="D35">
    <cfRule type="expression" dxfId="68" priority="31">
      <formula>OR($B35="REMOD",$B35="ENCOURS")</formula>
    </cfRule>
    <cfRule type="expression" dxfId="67" priority="32">
      <formula>OR($B35="SUPPR",$B35="ASUPP")</formula>
    </cfRule>
  </conditionalFormatting>
  <conditionalFormatting sqref="AA36:AC36">
    <cfRule type="iconSet" priority="27">
      <iconSet showValue="0" reverse="1">
        <cfvo type="percent" val="0"/>
        <cfvo type="percent" val="1" gte="0"/>
        <cfvo type="num" val="2" gte="0"/>
      </iconSet>
    </cfRule>
  </conditionalFormatting>
  <conditionalFormatting sqref="R36">
    <cfRule type="iconSet" priority="28">
      <iconSet iconSet="3Signs" showValue="0" reverse="1">
        <cfvo type="percent" val="0"/>
        <cfvo type="num" val="2"/>
        <cfvo type="num" val="3"/>
      </iconSet>
    </cfRule>
  </conditionalFormatting>
  <conditionalFormatting sqref="Y36">
    <cfRule type="iconSet" priority="29">
      <iconSet iconSet="3Signs" showValue="0" reverse="1">
        <cfvo type="percent" val="0"/>
        <cfvo type="num" val="2"/>
        <cfvo type="num" val="3"/>
      </iconSet>
    </cfRule>
  </conditionalFormatting>
  <conditionalFormatting sqref="T36:W36">
    <cfRule type="iconSet" priority="30">
      <iconSet iconSet="4TrafficLights" showValue="0" reverse="1">
        <cfvo type="percent" val="0"/>
        <cfvo type="num" val="2"/>
        <cfvo type="num" val="3"/>
        <cfvo type="num" val="4"/>
      </iconSet>
    </cfRule>
  </conditionalFormatting>
  <conditionalFormatting sqref="D36">
    <cfRule type="expression" dxfId="66" priority="25">
      <formula>OR($B36="REMOD",$B36="ENCOURS")</formula>
    </cfRule>
    <cfRule type="expression" dxfId="65" priority="26">
      <formula>OR($B36="SUPPR",$B36="ASUPP")</formula>
    </cfRule>
  </conditionalFormatting>
  <conditionalFormatting sqref="AA37:AC37">
    <cfRule type="iconSet" priority="21">
      <iconSet showValue="0" reverse="1">
        <cfvo type="percent" val="0"/>
        <cfvo type="percent" val="1" gte="0"/>
        <cfvo type="num" val="2" gte="0"/>
      </iconSet>
    </cfRule>
  </conditionalFormatting>
  <conditionalFormatting sqref="R37">
    <cfRule type="iconSet" priority="22">
      <iconSet iconSet="3Signs" showValue="0" reverse="1">
        <cfvo type="percent" val="0"/>
        <cfvo type="num" val="2"/>
        <cfvo type="num" val="3"/>
      </iconSet>
    </cfRule>
  </conditionalFormatting>
  <conditionalFormatting sqref="Y37">
    <cfRule type="iconSet" priority="23">
      <iconSet iconSet="3Signs" showValue="0" reverse="1">
        <cfvo type="percent" val="0"/>
        <cfvo type="num" val="2"/>
        <cfvo type="num" val="3"/>
      </iconSet>
    </cfRule>
  </conditionalFormatting>
  <conditionalFormatting sqref="T37:W37">
    <cfRule type="iconSet" priority="24">
      <iconSet iconSet="4TrafficLights" showValue="0" reverse="1">
        <cfvo type="percent" val="0"/>
        <cfvo type="num" val="2"/>
        <cfvo type="num" val="3"/>
        <cfvo type="num" val="4"/>
      </iconSet>
    </cfRule>
  </conditionalFormatting>
  <conditionalFormatting sqref="D37">
    <cfRule type="expression" dxfId="64" priority="19">
      <formula>OR($B37="REMOD",$B37="ENCOURS")</formula>
    </cfRule>
    <cfRule type="expression" dxfId="63" priority="20">
      <formula>OR($B37="SUPPR",$B37="ASUPP")</formula>
    </cfRule>
  </conditionalFormatting>
  <conditionalFormatting sqref="AA38:AC38">
    <cfRule type="iconSet" priority="15">
      <iconSet showValue="0" reverse="1">
        <cfvo type="percent" val="0"/>
        <cfvo type="percent" val="1" gte="0"/>
        <cfvo type="num" val="2" gte="0"/>
      </iconSet>
    </cfRule>
  </conditionalFormatting>
  <conditionalFormatting sqref="R38">
    <cfRule type="iconSet" priority="16">
      <iconSet iconSet="3Signs" showValue="0" reverse="1">
        <cfvo type="percent" val="0"/>
        <cfvo type="num" val="2"/>
        <cfvo type="num" val="3"/>
      </iconSet>
    </cfRule>
  </conditionalFormatting>
  <conditionalFormatting sqref="Y38">
    <cfRule type="iconSet" priority="17">
      <iconSet iconSet="3Signs" showValue="0" reverse="1">
        <cfvo type="percent" val="0"/>
        <cfvo type="num" val="2"/>
        <cfvo type="num" val="3"/>
      </iconSet>
    </cfRule>
  </conditionalFormatting>
  <conditionalFormatting sqref="T38:W38">
    <cfRule type="iconSet" priority="18">
      <iconSet iconSet="4TrafficLights" showValue="0" reverse="1">
        <cfvo type="percent" val="0"/>
        <cfvo type="num" val="2"/>
        <cfvo type="num" val="3"/>
        <cfvo type="num" val="4"/>
      </iconSet>
    </cfRule>
  </conditionalFormatting>
  <conditionalFormatting sqref="D38">
    <cfRule type="expression" dxfId="62" priority="13">
      <formula>OR($B38="REMOD",$B38="ENCOURS")</formula>
    </cfRule>
    <cfRule type="expression" dxfId="61" priority="14">
      <formula>OR($B38="SUPPR",$B38="ASUPP")</formula>
    </cfRule>
  </conditionalFormatting>
  <conditionalFormatting sqref="AA39:AC39">
    <cfRule type="iconSet" priority="9">
      <iconSet showValue="0" reverse="1">
        <cfvo type="percent" val="0"/>
        <cfvo type="percent" val="1" gte="0"/>
        <cfvo type="num" val="2" gte="0"/>
      </iconSet>
    </cfRule>
  </conditionalFormatting>
  <conditionalFormatting sqref="R39">
    <cfRule type="iconSet" priority="10">
      <iconSet iconSet="3Signs" showValue="0" reverse="1">
        <cfvo type="percent" val="0"/>
        <cfvo type="num" val="2"/>
        <cfvo type="num" val="3"/>
      </iconSet>
    </cfRule>
  </conditionalFormatting>
  <conditionalFormatting sqref="Y39">
    <cfRule type="iconSet" priority="11">
      <iconSet iconSet="3Signs" showValue="0" reverse="1">
        <cfvo type="percent" val="0"/>
        <cfvo type="num" val="2"/>
        <cfvo type="num" val="3"/>
      </iconSet>
    </cfRule>
  </conditionalFormatting>
  <conditionalFormatting sqref="T39:W39">
    <cfRule type="iconSet" priority="12">
      <iconSet iconSet="4TrafficLights" showValue="0" reverse="1">
        <cfvo type="percent" val="0"/>
        <cfvo type="num" val="2"/>
        <cfvo type="num" val="3"/>
        <cfvo type="num" val="4"/>
      </iconSet>
    </cfRule>
  </conditionalFormatting>
  <conditionalFormatting sqref="D39">
    <cfRule type="expression" dxfId="60" priority="7">
      <formula>OR($B39="REMOD",$B39="ENCOURS")</formula>
    </cfRule>
    <cfRule type="expression" dxfId="59" priority="8">
      <formula>OR($B39="SUPPR",$B39="ASUPP")</formula>
    </cfRule>
  </conditionalFormatting>
  <conditionalFormatting sqref="AA40:AC40">
    <cfRule type="iconSet" priority="3">
      <iconSet showValue="0" reverse="1">
        <cfvo type="percent" val="0"/>
        <cfvo type="percent" val="1" gte="0"/>
        <cfvo type="num" val="2" gte="0"/>
      </iconSet>
    </cfRule>
  </conditionalFormatting>
  <conditionalFormatting sqref="R40">
    <cfRule type="iconSet" priority="4">
      <iconSet iconSet="3Signs" showValue="0" reverse="1">
        <cfvo type="percent" val="0"/>
        <cfvo type="num" val="2"/>
        <cfvo type="num" val="3"/>
      </iconSet>
    </cfRule>
  </conditionalFormatting>
  <conditionalFormatting sqref="Y40">
    <cfRule type="iconSet" priority="5">
      <iconSet iconSet="3Signs" showValue="0" reverse="1">
        <cfvo type="percent" val="0"/>
        <cfvo type="num" val="2"/>
        <cfvo type="num" val="3"/>
      </iconSet>
    </cfRule>
  </conditionalFormatting>
  <conditionalFormatting sqref="T40:W40">
    <cfRule type="iconSet" priority="6">
      <iconSet iconSet="4TrafficLights" showValue="0" reverse="1">
        <cfvo type="percent" val="0"/>
        <cfvo type="num" val="2"/>
        <cfvo type="num" val="3"/>
        <cfvo type="num" val="4"/>
      </iconSet>
    </cfRule>
  </conditionalFormatting>
  <conditionalFormatting sqref="D40">
    <cfRule type="expression" dxfId="58" priority="1">
      <formula>OR($B40="REMOD",$B40="ENCOURS")</formula>
    </cfRule>
    <cfRule type="expression" dxfId="57" priority="2">
      <formula>OR($B40="SUPPR",$B40="ASUPP")</formula>
    </cfRule>
  </conditionalFormatting>
  <dataValidations count="13">
    <dataValidation type="list" allowBlank="1" showInputMessage="1" showErrorMessage="1" errorTitle="L'entité est inconnue" error="L'ajout d'une nouvelle entité se fait dans l'onglet &quot;PARAM&quot;" promptTitle="Aide à la saisie" prompt="Utilisez le menu déroulant pour sélectionner l'entité du demandeur. _x000a_Si l'entité n'est pas dans la liste, vous devez l'ajouter en suivant les instructions dans l'onglet PARAM." sqref="G3:G41" xr:uid="{50FCDFD3-6455-47B0-AE68-45FE60214A6F}">
      <formula1>Entité</formula1>
    </dataValidation>
    <dataValidation type="list" allowBlank="1" showInputMessage="1" showErrorMessage="1" sqref="J3:J41" xr:uid="{D9DF87BC-2318-4E5B-9FEE-BF7ABE4062A6}">
      <formula1>L_Grade</formula1>
    </dataValidation>
    <dataValidation allowBlank="1" showInputMessage="1" showErrorMessage="1" promptTitle="Aide à la saisie" prompt="Indiquez l'avis de l'encadrant. _x000a_1 =&gt; Favorable_x000a_2 =&gt; Sous réserve_x000a_3 =&gt; Défavorable_x000a__x000a_Note : la valeur est automatiquement transformée en indicateur visuel. " sqref="AA3:AB41" xr:uid="{4BB1B6FC-7EAF-4EE6-A4E2-DCEC4B87D06D}"/>
    <dataValidation allowBlank="1" showInputMessage="1" showErrorMessage="1" promptTitle="Aide à la saisie" prompt="Précisez à titre indicatif la date de l'entretien entre le demandeur et l'encadrant (information donnée sur l'avis encadrant)" sqref="Z3:Z41" xr:uid="{F668FCB2-606D-4612-8701-1EB204F65E45}"/>
    <dataValidation allowBlank="1" showInputMessage="1" showErrorMessage="1" promptTitle="Aide à la saisie" prompt="Indiquez la date de réception de l'avis encadrant._x000a__x000a_Un pictogramme rouge vous indiquera le cas échéant si l'avis a été reçu après la date d'échéance. " sqref="X3:X41" xr:uid="{FC2991C4-0B9F-4706-8A98-06F9208D35FF}"/>
    <dataValidation allowBlank="1" showInputMessage="1" showErrorMessage="1" promptTitle="Aide à la saisie" prompt="Indiquez ici la date a laquelle a été envoyée l'accusé de réception de la demande, au demandeur et à son encadrant (voir modèle). " sqref="S3:S41" xr:uid="{124DAF58-8DDA-4BBC-82D9-CF193033BA25}"/>
    <dataValidation allowBlank="1" showInputMessage="1" showErrorMessage="1" promptTitle="Aide à la saisie" prompt="Indiquez la date de réception de la demande_x000a__x000a_Un pictogramme rouge vous indiquera le cas échéant si la demande a été reçue après la date d'échéance. La commission en sera avisée et décidera de la prise en compte ou non du dossier. " sqref="Q3:Q41" xr:uid="{393AF27A-BCD7-478A-B94C-4083E27F5749}"/>
    <dataValidation type="list" allowBlank="1" showInputMessage="1" showErrorMessage="1" errorTitle="Information non reconnue" error="Saisir uniquement &quot;OUI&quot; lorsque les horaires sont différentes entre la demande individuelle initiale et l'avis encadrant. " promptTitle="Aide à la saisie" prompt="Indiquez &quot;OUI&quot; lorsque les horaires données dans l'avis encadrant sont différentes de celle de la demande. _x000a_Ce sont les horaires définitives à prendre en compte. Les informations doivent également être modifiées en conséquence dans la feuille #2. " sqref="AC3:AC41" xr:uid="{35C07997-7DE3-4B1E-A53B-72E9F8B9C07D}">
      <formula1>"OUI"</formula1>
    </dataValidation>
    <dataValidation type="list" allowBlank="1" showInputMessage="1" showErrorMessage="1" sqref="C3:C41" xr:uid="{E6411BE0-CE6C-424D-8115-0801D33E916E}">
      <formula1>"M.,Mme"</formula1>
    </dataValidation>
    <dataValidation allowBlank="1" showInputMessage="1" showErrorMessage="1" promptTitle="Précision d'affichage" prompt="Validation finale prenant en compte les contrôles et les avis de la commission. _x000a_Vert =&gt; Validé_x000a_Rouge =&gt; Non validé" sqref="W2:W41" xr:uid="{7AD9E2F2-6082-4D84-881B-DCC484558829}"/>
    <dataValidation allowBlank="1" showInputMessage="1" showErrorMessage="1" promptTitle="Précision d'affichage" prompt="Dernier avis de la commission _x000a_Vert =&gt; Favorable_x000a_Orange =&gt; Sous réserve_x000a_Rouge =&gt; Refusé" sqref="V2:V41" xr:uid="{ECAABED6-C8CE-42DB-BCFD-A98AFF5B1A16}"/>
    <dataValidation allowBlank="1" showInputMessage="1" showErrorMessage="1" promptTitle="Précision d'affichage" prompt="Vert =&gt; Les contrôles de base n'ont relevé aucune anomalies_x000a_Rouge =&gt; Des anomalies ont été identifiées ou les informations saisies ne permettent pas d'effectuer tous les contrôles. " sqref="U2:U41" xr:uid="{69A8583C-A10B-4DAA-BD60-B37BEBF78829}"/>
    <dataValidation allowBlank="1" showInputMessage="1" showErrorMessage="1" promptTitle="Précision d'affichage" prompt="Vert =&gt; Le dossier comporte l'ensemble des PJ spécifiées dans l'onglet #2_x000a_Rouge =&gt; Le dossier est incomplet. _x000a__x000a_L'information est réccupérée automatiquement. Ne rien saisir. " sqref="T2:T41" xr:uid="{B9D034EE-F2FD-447B-9EB4-772FAB123C80}"/>
  </dataValidation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070C-DC1E-4ECD-B436-534AD3C9589F}">
  <sheetPr codeName="Feuil13">
    <tabColor rgb="FFA80000"/>
  </sheetPr>
  <dimension ref="A1:I8"/>
  <sheetViews>
    <sheetView tabSelected="1" workbookViewId="0">
      <selection activeCell="F21" sqref="F21"/>
    </sheetView>
  </sheetViews>
  <sheetFormatPr baseColWidth="10" defaultColWidth="11.42578125" defaultRowHeight="12" x14ac:dyDescent="0.2"/>
  <cols>
    <col min="1" max="1" width="11.42578125" style="341"/>
    <col min="2" max="2" width="11.42578125" style="342"/>
    <col min="3" max="3" width="9.5703125" style="343" customWidth="1"/>
    <col min="4" max="4" width="17.140625" style="342" customWidth="1"/>
    <col min="5" max="5" width="17.7109375" style="342" customWidth="1"/>
    <col min="6" max="6" width="28.28515625" style="342" customWidth="1"/>
    <col min="7" max="7" width="24.28515625" style="342" customWidth="1"/>
    <col min="8" max="8" width="7.7109375" style="343" customWidth="1"/>
    <col min="9" max="9" width="23" style="342" customWidth="1"/>
    <col min="10" max="16384" width="11.42578125" style="342"/>
  </cols>
  <sheetData>
    <row r="1" spans="1:9" x14ac:dyDescent="0.2">
      <c r="A1" s="341" t="s">
        <v>3622</v>
      </c>
      <c r="B1" s="342" t="s">
        <v>3623</v>
      </c>
      <c r="C1" s="343" t="s">
        <v>236</v>
      </c>
      <c r="D1" s="342" t="s">
        <v>3624</v>
      </c>
      <c r="E1" s="342" t="s">
        <v>3625</v>
      </c>
      <c r="F1" s="342" t="s">
        <v>2</v>
      </c>
      <c r="G1" s="342" t="s">
        <v>3626</v>
      </c>
      <c r="H1" s="343" t="s">
        <v>3627</v>
      </c>
      <c r="I1" s="342" t="s">
        <v>3628</v>
      </c>
    </row>
    <row r="2" spans="1:9" x14ac:dyDescent="0.2">
      <c r="A2" s="344">
        <v>44432</v>
      </c>
      <c r="B2" s="345" t="s">
        <v>3630</v>
      </c>
      <c r="C2" s="343">
        <v>209</v>
      </c>
      <c r="D2" s="342" t="s">
        <v>978</v>
      </c>
      <c r="E2" s="342" t="s">
        <v>979</v>
      </c>
      <c r="F2" s="342" t="s">
        <v>1098</v>
      </c>
      <c r="G2" s="342" t="s">
        <v>690</v>
      </c>
      <c r="H2" s="343">
        <v>1</v>
      </c>
    </row>
    <row r="3" spans="1:9" x14ac:dyDescent="0.2">
      <c r="A3" s="344"/>
      <c r="B3" s="345"/>
    </row>
    <row r="4" spans="1:9" x14ac:dyDescent="0.2">
      <c r="A4" s="344"/>
      <c r="B4" s="345"/>
    </row>
    <row r="5" spans="1:9" x14ac:dyDescent="0.2">
      <c r="A5" s="344"/>
      <c r="B5" s="345"/>
    </row>
    <row r="6" spans="1:9" x14ac:dyDescent="0.2">
      <c r="A6" s="344"/>
      <c r="B6" s="345"/>
    </row>
    <row r="7" spans="1:9" x14ac:dyDescent="0.2">
      <c r="A7" s="344"/>
      <c r="B7" s="345"/>
    </row>
    <row r="8" spans="1:9" x14ac:dyDescent="0.2">
      <c r="A8" s="344"/>
      <c r="B8" s="345"/>
    </row>
  </sheetData>
  <sheetProtection sort="0" autoFilter="0"/>
  <pageMargins left="0.7" right="0.7" top="0.75" bottom="0.75" header="0.3" footer="0.3"/>
  <drawing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4468-4197-4C61-9177-DF0C21228507}">
  <sheetPr codeName="Feuil9"/>
  <dimension ref="A3:L60"/>
  <sheetViews>
    <sheetView zoomScale="90" zoomScaleNormal="90" workbookViewId="0">
      <selection activeCell="B4" sqref="B4"/>
    </sheetView>
  </sheetViews>
  <sheetFormatPr baseColWidth="10" defaultRowHeight="15" x14ac:dyDescent="0.25"/>
  <cols>
    <col min="1" max="1" width="13.28515625" customWidth="1"/>
    <col min="2" max="2" width="27.140625" customWidth="1"/>
    <col min="3" max="3" width="14.85546875" customWidth="1"/>
    <col min="4" max="4" width="16.7109375" customWidth="1"/>
    <col min="5" max="5" width="25" customWidth="1"/>
    <col min="6" max="6" width="11.5703125" style="210"/>
  </cols>
  <sheetData>
    <row r="3" spans="1:12" x14ac:dyDescent="0.25">
      <c r="A3" s="204" t="s">
        <v>228</v>
      </c>
      <c r="B3" s="204" t="s">
        <v>209</v>
      </c>
      <c r="C3" s="205" t="s">
        <v>54</v>
      </c>
      <c r="D3" s="204" t="s">
        <v>207</v>
      </c>
      <c r="E3" s="204" t="s">
        <v>208</v>
      </c>
      <c r="F3" s="204" t="s">
        <v>510</v>
      </c>
    </row>
    <row r="4" spans="1:12" x14ac:dyDescent="0.25">
      <c r="A4" t="s">
        <v>458</v>
      </c>
      <c r="B4" s="115" t="s">
        <v>211</v>
      </c>
      <c r="C4" s="5">
        <v>1</v>
      </c>
      <c r="D4" s="84">
        <v>20</v>
      </c>
      <c r="E4" s="114">
        <v>20</v>
      </c>
      <c r="F4" s="208">
        <v>1.5451388888888891</v>
      </c>
    </row>
    <row r="5" spans="1:12" x14ac:dyDescent="0.25">
      <c r="A5" t="s">
        <v>459</v>
      </c>
      <c r="B5" s="202" t="s">
        <v>211</v>
      </c>
      <c r="C5" s="317">
        <v>1</v>
      </c>
      <c r="D5" s="84">
        <v>16</v>
      </c>
      <c r="E5" s="114">
        <v>16</v>
      </c>
      <c r="F5" s="208">
        <v>1.58680555555556</v>
      </c>
    </row>
    <row r="6" spans="1:12" x14ac:dyDescent="0.25">
      <c r="A6" s="318" t="s">
        <v>3600</v>
      </c>
      <c r="B6" s="115" t="s">
        <v>211</v>
      </c>
      <c r="C6" s="5">
        <v>0.5</v>
      </c>
      <c r="D6" s="84">
        <v>10</v>
      </c>
      <c r="E6" s="114">
        <v>10</v>
      </c>
      <c r="F6" s="209">
        <v>0.77430555555555547</v>
      </c>
    </row>
    <row r="7" spans="1:12" x14ac:dyDescent="0.25">
      <c r="A7" s="318" t="s">
        <v>3599</v>
      </c>
      <c r="B7" s="115" t="s">
        <v>211</v>
      </c>
      <c r="C7" s="5">
        <v>0.6</v>
      </c>
      <c r="D7" s="84">
        <v>12</v>
      </c>
      <c r="E7" s="114">
        <v>12</v>
      </c>
      <c r="F7" s="209">
        <v>0.92708333333333337</v>
      </c>
    </row>
    <row r="8" spans="1:12" x14ac:dyDescent="0.25">
      <c r="A8" s="318" t="s">
        <v>3598</v>
      </c>
      <c r="B8" s="115" t="s">
        <v>211</v>
      </c>
      <c r="C8" s="5">
        <v>0.7</v>
      </c>
      <c r="D8" s="84">
        <v>14</v>
      </c>
      <c r="E8" s="114">
        <v>14</v>
      </c>
      <c r="F8" s="209">
        <v>1.0833333333333333</v>
      </c>
      <c r="H8" s="199"/>
    </row>
    <row r="9" spans="1:12" x14ac:dyDescent="0.25">
      <c r="A9" t="s">
        <v>456</v>
      </c>
      <c r="B9" s="115" t="s">
        <v>211</v>
      </c>
      <c r="C9" s="5">
        <v>0.8</v>
      </c>
      <c r="D9" s="84">
        <v>16</v>
      </c>
      <c r="E9" s="114">
        <v>16</v>
      </c>
      <c r="F9" s="208">
        <v>1.2361111111111112</v>
      </c>
      <c r="H9" s="117"/>
      <c r="L9" s="200"/>
    </row>
    <row r="10" spans="1:12" x14ac:dyDescent="0.25">
      <c r="A10" t="s">
        <v>457</v>
      </c>
      <c r="B10" s="115" t="s">
        <v>211</v>
      </c>
      <c r="C10" s="5">
        <v>0.9</v>
      </c>
      <c r="D10" s="84">
        <v>18</v>
      </c>
      <c r="E10" s="114">
        <v>18</v>
      </c>
      <c r="F10" s="209">
        <v>1.3923611111111109</v>
      </c>
      <c r="H10" s="117"/>
    </row>
    <row r="11" spans="1:12" x14ac:dyDescent="0.25">
      <c r="A11" t="s">
        <v>454</v>
      </c>
      <c r="B11" s="203" t="s">
        <v>210</v>
      </c>
      <c r="C11" s="112">
        <v>1</v>
      </c>
      <c r="D11" s="195">
        <v>10</v>
      </c>
      <c r="E11" s="116">
        <v>10</v>
      </c>
      <c r="F11" s="208">
        <v>1.5451388888888891</v>
      </c>
      <c r="H11" s="117"/>
    </row>
    <row r="12" spans="1:12" x14ac:dyDescent="0.25">
      <c r="A12" t="s">
        <v>455</v>
      </c>
      <c r="B12" s="203" t="s">
        <v>210</v>
      </c>
      <c r="C12" s="112">
        <v>1</v>
      </c>
      <c r="D12" s="195">
        <v>8</v>
      </c>
      <c r="E12" s="116">
        <v>8</v>
      </c>
      <c r="F12" s="209">
        <v>1.4583333333333333</v>
      </c>
      <c r="H12" s="117"/>
    </row>
    <row r="13" spans="1:12" x14ac:dyDescent="0.25">
      <c r="A13" t="s">
        <v>3597</v>
      </c>
      <c r="B13" s="203" t="s">
        <v>210</v>
      </c>
      <c r="C13" s="112">
        <v>0.5</v>
      </c>
      <c r="D13" s="195">
        <v>5</v>
      </c>
      <c r="E13" s="116">
        <v>5</v>
      </c>
      <c r="F13" s="209">
        <v>0.77430555555555547</v>
      </c>
      <c r="H13" s="117"/>
    </row>
    <row r="14" spans="1:12" x14ac:dyDescent="0.25">
      <c r="A14" t="s">
        <v>3596</v>
      </c>
      <c r="B14" s="203" t="s">
        <v>210</v>
      </c>
      <c r="C14" s="112">
        <v>0.6</v>
      </c>
      <c r="D14" s="195">
        <v>6</v>
      </c>
      <c r="E14" s="116">
        <v>6</v>
      </c>
      <c r="F14" s="209">
        <v>0.92708333333333337</v>
      </c>
    </row>
    <row r="15" spans="1:12" x14ac:dyDescent="0.25">
      <c r="A15" t="s">
        <v>3595</v>
      </c>
      <c r="B15" s="319" t="s">
        <v>210</v>
      </c>
      <c r="C15" s="320">
        <v>0.7</v>
      </c>
      <c r="D15" s="321">
        <v>7</v>
      </c>
      <c r="E15" s="116">
        <v>7</v>
      </c>
      <c r="F15" s="209">
        <v>1.0833333333333333</v>
      </c>
    </row>
    <row r="16" spans="1:12" x14ac:dyDescent="0.25">
      <c r="A16" t="s">
        <v>452</v>
      </c>
      <c r="B16" s="319" t="s">
        <v>210</v>
      </c>
      <c r="C16" s="320">
        <v>0.8</v>
      </c>
      <c r="D16" s="321">
        <v>8</v>
      </c>
      <c r="E16" s="116">
        <v>8</v>
      </c>
      <c r="F16" s="208">
        <v>1.2361111111111112</v>
      </c>
    </row>
    <row r="17" spans="1:7" x14ac:dyDescent="0.25">
      <c r="A17" t="s">
        <v>453</v>
      </c>
      <c r="B17" s="319" t="s">
        <v>210</v>
      </c>
      <c r="C17" s="320">
        <v>0.9</v>
      </c>
      <c r="D17" s="321">
        <v>9</v>
      </c>
      <c r="E17" s="116">
        <v>9</v>
      </c>
      <c r="F17" s="209">
        <v>1.3923611111111109</v>
      </c>
    </row>
    <row r="19" spans="1:7" x14ac:dyDescent="0.25">
      <c r="A19" s="64" t="s">
        <v>107</v>
      </c>
      <c r="C19" s="212" t="s">
        <v>561</v>
      </c>
    </row>
    <row r="20" spans="1:7" x14ac:dyDescent="0.25">
      <c r="A20" s="125" t="s">
        <v>221</v>
      </c>
      <c r="C20" s="350">
        <v>1.5451388888888891</v>
      </c>
      <c r="G20" s="316" t="s">
        <v>3592</v>
      </c>
    </row>
    <row r="21" spans="1:7" x14ac:dyDescent="0.25">
      <c r="A21" s="125" t="s">
        <v>219</v>
      </c>
      <c r="C21" s="209">
        <v>1.4583333333333333</v>
      </c>
      <c r="G21" s="316" t="s">
        <v>3593</v>
      </c>
    </row>
    <row r="22" spans="1:7" x14ac:dyDescent="0.25">
      <c r="A22" s="125" t="s">
        <v>327</v>
      </c>
      <c r="C22" s="350">
        <v>1.2361111111111112</v>
      </c>
      <c r="G22" s="316" t="s">
        <v>3594</v>
      </c>
    </row>
    <row r="23" spans="1:7" x14ac:dyDescent="0.25">
      <c r="A23" s="125" t="s">
        <v>648</v>
      </c>
      <c r="C23" s="209">
        <v>1.3923611111111109</v>
      </c>
    </row>
    <row r="24" spans="1:7" x14ac:dyDescent="0.25">
      <c r="A24" s="125" t="s">
        <v>222</v>
      </c>
      <c r="C24" s="351">
        <v>1.0833333333333333</v>
      </c>
      <c r="E24" s="349"/>
    </row>
    <row r="25" spans="1:7" x14ac:dyDescent="0.25">
      <c r="A25" s="125" t="s">
        <v>224</v>
      </c>
      <c r="C25" s="209">
        <v>0.92708333333333337</v>
      </c>
      <c r="F25"/>
    </row>
    <row r="26" spans="1:7" x14ac:dyDescent="0.25">
      <c r="A26" s="125" t="s">
        <v>227</v>
      </c>
      <c r="C26" s="351">
        <v>0.77430555555555547</v>
      </c>
      <c r="F26" s="271"/>
    </row>
    <row r="27" spans="1:7" x14ac:dyDescent="0.25">
      <c r="A27" s="125" t="s">
        <v>1041</v>
      </c>
      <c r="C27" s="123"/>
      <c r="F27" s="271"/>
    </row>
    <row r="28" spans="1:7" x14ac:dyDescent="0.25">
      <c r="A28" s="125" t="s">
        <v>900</v>
      </c>
      <c r="C28" s="123"/>
      <c r="F28" s="271"/>
    </row>
    <row r="29" spans="1:7" x14ac:dyDescent="0.25">
      <c r="A29" s="125" t="s">
        <v>628</v>
      </c>
      <c r="C29" s="123"/>
      <c r="F29" s="271"/>
    </row>
    <row r="30" spans="1:7" x14ac:dyDescent="0.25">
      <c r="A30" s="125" t="s">
        <v>938</v>
      </c>
      <c r="C30" s="123"/>
    </row>
    <row r="31" spans="1:7" x14ac:dyDescent="0.25">
      <c r="A31" s="125" t="s">
        <v>1168</v>
      </c>
      <c r="C31" s="123"/>
    </row>
    <row r="32" spans="1:7" x14ac:dyDescent="0.25">
      <c r="A32" s="125" t="s">
        <v>225</v>
      </c>
      <c r="C32" s="123"/>
    </row>
    <row r="33" spans="1:3" x14ac:dyDescent="0.25">
      <c r="A33" s="125" t="s">
        <v>226</v>
      </c>
      <c r="C33" s="123"/>
    </row>
    <row r="34" spans="1:3" x14ac:dyDescent="0.25">
      <c r="A34" s="125" t="s">
        <v>906</v>
      </c>
      <c r="C34" s="123"/>
    </row>
    <row r="35" spans="1:3" x14ac:dyDescent="0.25">
      <c r="A35" s="125" t="s">
        <v>1170</v>
      </c>
      <c r="C35" s="123"/>
    </row>
    <row r="36" spans="1:3" x14ac:dyDescent="0.25">
      <c r="A36" s="125" t="s">
        <v>220</v>
      </c>
      <c r="C36" s="123"/>
    </row>
    <row r="37" spans="1:3" x14ac:dyDescent="0.25">
      <c r="A37" s="125" t="s">
        <v>223</v>
      </c>
      <c r="C37" s="123"/>
    </row>
    <row r="38" spans="1:3" x14ac:dyDescent="0.25">
      <c r="B38" s="122"/>
    </row>
    <row r="40" spans="1:3" x14ac:dyDescent="0.25">
      <c r="A40" s="416" t="s">
        <v>463</v>
      </c>
      <c r="B40" s="416"/>
    </row>
    <row r="42" spans="1:3" x14ac:dyDescent="0.25">
      <c r="A42" s="198" t="s">
        <v>460</v>
      </c>
      <c r="B42" s="198" t="s">
        <v>461</v>
      </c>
    </row>
    <row r="43" spans="1:3" x14ac:dyDescent="0.25">
      <c r="A43" s="200">
        <v>18.350000000000001</v>
      </c>
      <c r="B43" s="210">
        <v>7</v>
      </c>
    </row>
    <row r="44" spans="1:3" x14ac:dyDescent="0.25">
      <c r="A44" s="200">
        <v>22.15</v>
      </c>
      <c r="B44" s="210">
        <v>6</v>
      </c>
    </row>
    <row r="45" spans="1:3" x14ac:dyDescent="0.25">
      <c r="A45" s="200">
        <v>26</v>
      </c>
      <c r="B45" s="210">
        <v>5</v>
      </c>
    </row>
    <row r="46" spans="1:3" x14ac:dyDescent="0.25">
      <c r="A46" s="200">
        <v>29.66</v>
      </c>
      <c r="B46" s="210">
        <v>3</v>
      </c>
    </row>
    <row r="47" spans="1:3" x14ac:dyDescent="0.25">
      <c r="A47" s="200">
        <v>33.25</v>
      </c>
      <c r="B47" s="210">
        <v>2</v>
      </c>
    </row>
    <row r="48" spans="1:3" x14ac:dyDescent="0.25">
      <c r="A48" s="200">
        <v>35</v>
      </c>
      <c r="B48" s="210">
        <v>4</v>
      </c>
    </row>
    <row r="49" spans="1:2" x14ac:dyDescent="0.25">
      <c r="A49" s="200">
        <v>37.08</v>
      </c>
      <c r="B49" s="210">
        <v>1</v>
      </c>
    </row>
    <row r="53" spans="1:2" x14ac:dyDescent="0.25">
      <c r="A53" s="415" t="s">
        <v>3548</v>
      </c>
      <c r="B53" s="415"/>
    </row>
    <row r="54" spans="1:2" x14ac:dyDescent="0.25">
      <c r="A54" s="212" t="s">
        <v>3539</v>
      </c>
      <c r="B54" s="272" t="s">
        <v>3547</v>
      </c>
    </row>
    <row r="55" spans="1:2" x14ac:dyDescent="0.25">
      <c r="A55" t="s">
        <v>3550</v>
      </c>
      <c r="B55" s="271" t="s">
        <v>3551</v>
      </c>
    </row>
    <row r="56" spans="1:2" x14ac:dyDescent="0.25">
      <c r="A56" t="s">
        <v>3549</v>
      </c>
      <c r="B56" s="271"/>
    </row>
    <row r="57" spans="1:2" x14ac:dyDescent="0.25">
      <c r="A57" t="s">
        <v>3540</v>
      </c>
      <c r="B57" s="271" t="s">
        <v>3543</v>
      </c>
    </row>
    <row r="58" spans="1:2" x14ac:dyDescent="0.25">
      <c r="A58" t="s">
        <v>3538</v>
      </c>
      <c r="B58" s="271" t="s">
        <v>3545</v>
      </c>
    </row>
    <row r="59" spans="1:2" x14ac:dyDescent="0.25">
      <c r="A59" t="s">
        <v>3542</v>
      </c>
      <c r="B59" s="271" t="s">
        <v>3546</v>
      </c>
    </row>
    <row r="60" spans="1:2" x14ac:dyDescent="0.25">
      <c r="A60" t="s">
        <v>3541</v>
      </c>
      <c r="B60" s="271" t="s">
        <v>3544</v>
      </c>
    </row>
  </sheetData>
  <sortState ref="A20:A37">
    <sortCondition ref="A20:A37"/>
  </sortState>
  <mergeCells count="2">
    <mergeCell ref="A53:B53"/>
    <mergeCell ref="A40:B40"/>
  </mergeCells>
  <dataValidations count="1">
    <dataValidation allowBlank="1" showInputMessage="1" showErrorMessage="1" promptTitle="Aide à la saisie" prompt="Indiquez le nombre de jour(s) de télétravail hebdomadaire(s) maximum autorisé(s) pour la quotité correspondante." sqref="D4:D7" xr:uid="{2556DA73-19C3-4259-8613-A4152B0BDD1E}"/>
  </dataValidations>
  <pageMargins left="0.7" right="0.7" top="0.75" bottom="0.75" header="0.3" footer="0.3"/>
  <pageSetup paperSize="9" orientation="portrait" verticalDpi="0" r:id="rId1"/>
  <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theme="0" tint="-0.499984740745262"/>
  </sheetPr>
  <dimension ref="A1:N72"/>
  <sheetViews>
    <sheetView showGridLines="0" workbookViewId="0">
      <selection activeCell="G32" sqref="G32"/>
    </sheetView>
  </sheetViews>
  <sheetFormatPr baseColWidth="10" defaultColWidth="11.42578125" defaultRowHeight="22.9" customHeight="1" x14ac:dyDescent="0.25"/>
  <cols>
    <col min="1" max="1" width="9.140625" style="4" customWidth="1"/>
    <col min="2" max="2" width="11" style="3" customWidth="1"/>
    <col min="3" max="3" width="10.140625" style="4" customWidth="1"/>
    <col min="4" max="4" width="11.42578125" style="4"/>
    <col min="5" max="5" width="22.7109375" style="4" customWidth="1"/>
    <col min="6" max="6" width="24.7109375" style="4" customWidth="1"/>
    <col min="7" max="7" width="11.42578125" style="4"/>
    <col min="8" max="8" width="15.85546875" style="4" customWidth="1"/>
    <col min="9" max="9" width="52.42578125" style="4" customWidth="1"/>
    <col min="10" max="12" width="11.42578125" style="4"/>
    <col min="13" max="13" width="17.28515625" style="1" bestFit="1" customWidth="1"/>
    <col min="14" max="14" width="35.5703125" style="4" customWidth="1"/>
    <col min="15" max="15" width="11.42578125" style="4"/>
    <col min="16" max="16" width="39.85546875" style="4" customWidth="1"/>
    <col min="17" max="16384" width="11.42578125" style="4"/>
  </cols>
  <sheetData>
    <row r="1" spans="1:14" ht="22.9" customHeight="1" x14ac:dyDescent="0.25">
      <c r="A1" s="421" t="str">
        <f>"Configuration et paramètres - "&amp;nom_campagne</f>
        <v>Configuration et paramètres - Campagne n° 6</v>
      </c>
      <c r="B1" s="421"/>
      <c r="C1" s="421"/>
      <c r="D1" s="421"/>
      <c r="E1" s="421"/>
      <c r="F1" s="421"/>
      <c r="G1" s="421"/>
      <c r="H1" s="421"/>
      <c r="I1" s="421"/>
      <c r="J1" s="421"/>
      <c r="K1" s="421"/>
      <c r="L1" s="421"/>
      <c r="M1" s="421"/>
      <c r="N1" s="421"/>
    </row>
    <row r="2" spans="1:14" ht="22.9" customHeight="1" x14ac:dyDescent="0.25">
      <c r="B2" s="65" t="s">
        <v>164</v>
      </c>
    </row>
    <row r="4" spans="1:14" ht="22.9" customHeight="1" x14ac:dyDescent="0.25">
      <c r="A4" s="63" t="s">
        <v>54</v>
      </c>
      <c r="B4" s="64" t="s">
        <v>55</v>
      </c>
      <c r="C4" s="63" t="s">
        <v>90</v>
      </c>
      <c r="E4" s="422" t="s">
        <v>163</v>
      </c>
      <c r="F4" s="422"/>
      <c r="H4" s="63" t="s">
        <v>6</v>
      </c>
      <c r="I4" s="63" t="s">
        <v>88</v>
      </c>
      <c r="M4" s="4"/>
      <c r="N4" s="63" t="s">
        <v>114</v>
      </c>
    </row>
    <row r="5" spans="1:14" ht="22.9" customHeight="1" x14ac:dyDescent="0.25">
      <c r="A5" s="5">
        <v>0.8</v>
      </c>
      <c r="B5" s="84">
        <v>1</v>
      </c>
      <c r="C5" s="89">
        <v>1.2361111111111112</v>
      </c>
      <c r="E5" s="10" t="s">
        <v>91</v>
      </c>
      <c r="F5" s="108">
        <v>2.5</v>
      </c>
      <c r="H5" s="87" t="s">
        <v>20</v>
      </c>
      <c r="I5" s="87" t="s">
        <v>85</v>
      </c>
      <c r="J5" s="424" t="s">
        <v>170</v>
      </c>
      <c r="K5" s="425"/>
      <c r="L5" s="425"/>
      <c r="M5" s="4"/>
      <c r="N5" s="84" t="s">
        <v>116</v>
      </c>
    </row>
    <row r="6" spans="1:14" ht="22.9" customHeight="1" x14ac:dyDescent="0.25">
      <c r="A6" s="5">
        <v>0.9</v>
      </c>
      <c r="B6" s="84">
        <v>1.5</v>
      </c>
      <c r="C6" s="89">
        <v>1.3923611111111109</v>
      </c>
      <c r="E6" s="10" t="s">
        <v>92</v>
      </c>
      <c r="F6" s="109">
        <v>44344</v>
      </c>
      <c r="H6" s="88" t="s">
        <v>201</v>
      </c>
      <c r="I6" s="87" t="s">
        <v>195</v>
      </c>
      <c r="J6" s="424"/>
      <c r="K6" s="425"/>
      <c r="L6" s="425"/>
      <c r="M6" s="4"/>
      <c r="N6" s="84" t="s">
        <v>115</v>
      </c>
    </row>
    <row r="7" spans="1:14" ht="22.9" customHeight="1" x14ac:dyDescent="0.25">
      <c r="A7" s="5">
        <v>1</v>
      </c>
      <c r="B7" s="84">
        <v>2</v>
      </c>
      <c r="C7" s="89">
        <v>1.5451388888888891</v>
      </c>
      <c r="E7" s="10" t="s">
        <v>93</v>
      </c>
      <c r="F7" s="109">
        <v>44363</v>
      </c>
      <c r="H7" s="87" t="s">
        <v>68</v>
      </c>
      <c r="I7" s="87" t="s">
        <v>89</v>
      </c>
      <c r="J7" s="424"/>
      <c r="K7" s="425"/>
      <c r="L7" s="425"/>
      <c r="M7" s="4"/>
      <c r="N7" s="84" t="s">
        <v>117</v>
      </c>
    </row>
    <row r="8" spans="1:14" ht="22.9" customHeight="1" x14ac:dyDescent="0.25">
      <c r="A8" s="322">
        <v>0.7</v>
      </c>
      <c r="B8" s="84">
        <v>1</v>
      </c>
      <c r="C8" s="89">
        <v>1.0833333333333333</v>
      </c>
      <c r="E8" s="10" t="s">
        <v>94</v>
      </c>
      <c r="F8" s="110">
        <v>0.375</v>
      </c>
      <c r="H8" s="87" t="s">
        <v>17</v>
      </c>
      <c r="I8" s="88" t="s">
        <v>17</v>
      </c>
      <c r="J8" s="424"/>
      <c r="K8" s="425"/>
      <c r="L8" s="425"/>
      <c r="M8" s="4"/>
      <c r="N8" s="84"/>
    </row>
    <row r="9" spans="1:14" ht="22.9" customHeight="1" x14ac:dyDescent="0.25">
      <c r="A9" s="322">
        <v>0.6</v>
      </c>
      <c r="B9" s="84">
        <v>1</v>
      </c>
      <c r="C9" s="89">
        <v>0.92708333333333337</v>
      </c>
      <c r="E9" s="10" t="s">
        <v>159</v>
      </c>
      <c r="F9" s="111">
        <v>44440</v>
      </c>
      <c r="H9" s="87" t="s">
        <v>28</v>
      </c>
      <c r="I9" s="88" t="s">
        <v>204</v>
      </c>
      <c r="J9" s="424"/>
      <c r="K9" s="425"/>
      <c r="L9" s="425"/>
      <c r="M9" s="4"/>
      <c r="N9" s="84"/>
    </row>
    <row r="10" spans="1:14" ht="22.9" customHeight="1" x14ac:dyDescent="0.25">
      <c r="A10" s="322">
        <v>0.5</v>
      </c>
      <c r="B10" s="84">
        <v>1</v>
      </c>
      <c r="C10" s="89">
        <v>0.77430555555555547</v>
      </c>
      <c r="E10" s="10" t="s">
        <v>160</v>
      </c>
      <c r="F10" s="107">
        <f>F9+90</f>
        <v>44530</v>
      </c>
      <c r="H10" s="87" t="s">
        <v>198</v>
      </c>
      <c r="I10" s="88" t="s">
        <v>199</v>
      </c>
      <c r="J10" s="424"/>
      <c r="K10" s="425"/>
      <c r="L10" s="425"/>
      <c r="M10" s="4"/>
      <c r="N10" s="2"/>
    </row>
    <row r="11" spans="1:14" ht="22.9" customHeight="1" x14ac:dyDescent="0.25">
      <c r="A11" s="323"/>
      <c r="B11" s="324"/>
      <c r="C11" s="325"/>
      <c r="E11" s="10" t="s">
        <v>183</v>
      </c>
      <c r="F11" s="111">
        <v>44530</v>
      </c>
      <c r="H11" s="87" t="s">
        <v>25</v>
      </c>
      <c r="I11" s="88" t="s">
        <v>25</v>
      </c>
      <c r="J11" s="424"/>
      <c r="K11" s="425"/>
      <c r="L11" s="425"/>
      <c r="M11" s="4"/>
      <c r="N11" s="63" t="s">
        <v>118</v>
      </c>
    </row>
    <row r="12" spans="1:14" ht="22.9" customHeight="1" x14ac:dyDescent="0.25">
      <c r="E12" s="10" t="s">
        <v>184</v>
      </c>
      <c r="F12" s="111">
        <v>44712</v>
      </c>
      <c r="H12" s="87" t="s">
        <v>194</v>
      </c>
      <c r="I12" s="87" t="s">
        <v>194</v>
      </c>
      <c r="M12" s="4"/>
      <c r="N12" s="84" t="s">
        <v>119</v>
      </c>
    </row>
    <row r="13" spans="1:14" ht="22.9" customHeight="1" x14ac:dyDescent="0.25">
      <c r="E13" s="10" t="s">
        <v>161</v>
      </c>
      <c r="F13" s="111">
        <v>44208</v>
      </c>
      <c r="H13" s="87" t="s">
        <v>202</v>
      </c>
      <c r="I13" s="88" t="s">
        <v>202</v>
      </c>
      <c r="M13" s="4"/>
      <c r="N13" s="84"/>
    </row>
    <row r="14" spans="1:14" ht="22.9" customHeight="1" x14ac:dyDescent="0.25">
      <c r="E14" s="10" t="s">
        <v>162</v>
      </c>
      <c r="F14" s="110" t="s">
        <v>3537</v>
      </c>
      <c r="H14" s="87" t="s">
        <v>23</v>
      </c>
      <c r="I14" s="88" t="s">
        <v>23</v>
      </c>
      <c r="L14" s="423" t="s">
        <v>171</v>
      </c>
      <c r="M14" s="423"/>
      <c r="N14" s="84"/>
    </row>
    <row r="15" spans="1:14" ht="22.9" customHeight="1" x14ac:dyDescent="0.25">
      <c r="A15" s="423" t="s">
        <v>165</v>
      </c>
      <c r="B15" s="423"/>
      <c r="C15" s="423"/>
      <c r="H15" s="87" t="s">
        <v>22</v>
      </c>
      <c r="I15" s="88" t="s">
        <v>22</v>
      </c>
      <c r="L15" s="423"/>
      <c r="M15" s="423"/>
      <c r="N15" s="2"/>
    </row>
    <row r="16" spans="1:14" ht="29.25" customHeight="1" x14ac:dyDescent="0.25">
      <c r="A16" s="423"/>
      <c r="B16" s="423"/>
      <c r="C16" s="423"/>
      <c r="E16" s="327" t="s">
        <v>3602</v>
      </c>
      <c r="F16" s="258" t="s">
        <v>3603</v>
      </c>
      <c r="H16" s="87" t="s">
        <v>16</v>
      </c>
      <c r="I16" s="88" t="s">
        <v>16</v>
      </c>
      <c r="L16" s="423"/>
      <c r="M16" s="423"/>
      <c r="N16" s="2"/>
    </row>
    <row r="17" spans="1:14" ht="29.25" customHeight="1" x14ac:dyDescent="0.25">
      <c r="A17" s="423"/>
      <c r="B17" s="423"/>
      <c r="C17" s="423"/>
      <c r="H17" s="87" t="s">
        <v>980</v>
      </c>
      <c r="I17" s="88" t="s">
        <v>981</v>
      </c>
      <c r="L17" s="423"/>
      <c r="M17" s="423"/>
      <c r="N17" s="2"/>
    </row>
    <row r="18" spans="1:14" ht="29.25" customHeight="1" x14ac:dyDescent="0.25">
      <c r="A18" s="423"/>
      <c r="B18" s="423"/>
      <c r="C18" s="423"/>
      <c r="H18" s="87" t="s">
        <v>678</v>
      </c>
      <c r="I18" s="88" t="s">
        <v>679</v>
      </c>
      <c r="L18" s="423"/>
      <c r="M18" s="423"/>
      <c r="N18" s="2"/>
    </row>
    <row r="19" spans="1:14" ht="29.25" customHeight="1" x14ac:dyDescent="0.25">
      <c r="A19" s="423"/>
      <c r="B19" s="423"/>
      <c r="C19" s="423"/>
      <c r="E19" s="10" t="s">
        <v>191</v>
      </c>
      <c r="F19" s="109">
        <v>44327</v>
      </c>
      <c r="H19" s="87" t="s">
        <v>888</v>
      </c>
      <c r="I19" s="88" t="s">
        <v>889</v>
      </c>
      <c r="L19" s="423"/>
      <c r="M19" s="423"/>
      <c r="N19" s="2"/>
    </row>
    <row r="20" spans="1:14" ht="29.25" customHeight="1" x14ac:dyDescent="0.25">
      <c r="E20" s="10" t="s">
        <v>192</v>
      </c>
      <c r="F20" s="109">
        <v>44383</v>
      </c>
      <c r="H20" s="87" t="s">
        <v>861</v>
      </c>
      <c r="I20" s="88" t="s">
        <v>862</v>
      </c>
      <c r="L20" s="423"/>
      <c r="M20" s="423"/>
      <c r="N20" s="2"/>
    </row>
    <row r="21" spans="1:14" ht="29.25" customHeight="1" x14ac:dyDescent="0.25">
      <c r="E21" s="10" t="s">
        <v>193</v>
      </c>
      <c r="F21" s="109"/>
      <c r="H21" s="87" t="s">
        <v>772</v>
      </c>
      <c r="I21" s="88" t="s">
        <v>773</v>
      </c>
      <c r="L21" s="423"/>
      <c r="M21" s="423"/>
      <c r="N21" s="2"/>
    </row>
    <row r="22" spans="1:14" ht="29.25" customHeight="1" x14ac:dyDescent="0.25">
      <c r="E22" s="10" t="s">
        <v>500</v>
      </c>
      <c r="F22" s="109"/>
      <c r="H22" s="87" t="s">
        <v>1115</v>
      </c>
      <c r="I22" s="88" t="s">
        <v>563</v>
      </c>
      <c r="L22" s="423"/>
      <c r="M22" s="423"/>
      <c r="N22" s="2"/>
    </row>
    <row r="23" spans="1:14" ht="29.25" customHeight="1" x14ac:dyDescent="0.25">
      <c r="H23" s="87" t="s">
        <v>3559</v>
      </c>
      <c r="I23" s="88" t="s">
        <v>3560</v>
      </c>
      <c r="L23" s="423"/>
      <c r="M23" s="423"/>
      <c r="N23" s="2"/>
    </row>
    <row r="24" spans="1:14" ht="29.25" customHeight="1" x14ac:dyDescent="0.25">
      <c r="H24" s="87" t="s">
        <v>587</v>
      </c>
      <c r="I24" s="88" t="s">
        <v>588</v>
      </c>
      <c r="L24" s="423"/>
      <c r="M24" s="423"/>
      <c r="N24" s="2"/>
    </row>
    <row r="25" spans="1:14" ht="29.25" customHeight="1" x14ac:dyDescent="0.25">
      <c r="H25" s="87" t="s">
        <v>466</v>
      </c>
      <c r="I25" s="88" t="s">
        <v>467</v>
      </c>
      <c r="L25" s="423"/>
      <c r="M25" s="423"/>
      <c r="N25" s="2"/>
    </row>
    <row r="26" spans="1:14" ht="22.9" customHeight="1" x14ac:dyDescent="0.25">
      <c r="H26" s="87" t="s">
        <v>19</v>
      </c>
      <c r="I26" s="88" t="s">
        <v>19</v>
      </c>
      <c r="L26" s="423"/>
      <c r="M26" s="423"/>
      <c r="N26" s="2"/>
    </row>
    <row r="27" spans="1:14" ht="22.9" customHeight="1" x14ac:dyDescent="0.25">
      <c r="H27" s="87" t="s">
        <v>3607</v>
      </c>
      <c r="I27" s="88" t="s">
        <v>3607</v>
      </c>
      <c r="L27" s="423"/>
      <c r="M27" s="423"/>
      <c r="N27" s="2"/>
    </row>
    <row r="28" spans="1:14" ht="22.9" customHeight="1" x14ac:dyDescent="0.25">
      <c r="H28" s="87" t="s">
        <v>325</v>
      </c>
      <c r="I28" s="88" t="s">
        <v>326</v>
      </c>
      <c r="L28" s="423"/>
      <c r="M28" s="423"/>
      <c r="N28" s="2"/>
    </row>
    <row r="29" spans="1:14" ht="22.9" customHeight="1" x14ac:dyDescent="0.25">
      <c r="H29" s="87" t="s">
        <v>26</v>
      </c>
      <c r="I29" s="88" t="s">
        <v>86</v>
      </c>
      <c r="L29" s="423"/>
      <c r="M29" s="423"/>
      <c r="N29" s="2"/>
    </row>
    <row r="30" spans="1:14" ht="22.9" customHeight="1" x14ac:dyDescent="0.25">
      <c r="H30" s="87" t="s">
        <v>27</v>
      </c>
      <c r="I30" s="88" t="s">
        <v>27</v>
      </c>
      <c r="L30" s="423"/>
      <c r="M30" s="423"/>
      <c r="N30" s="2"/>
    </row>
    <row r="31" spans="1:14" ht="22.9" customHeight="1" x14ac:dyDescent="0.25">
      <c r="H31" s="87" t="s">
        <v>196</v>
      </c>
      <c r="I31" s="88" t="s">
        <v>205</v>
      </c>
      <c r="L31" s="423"/>
      <c r="M31" s="423"/>
      <c r="N31" s="2"/>
    </row>
    <row r="32" spans="1:14" ht="22.9" customHeight="1" x14ac:dyDescent="0.25">
      <c r="H32" s="87" t="s">
        <v>21</v>
      </c>
      <c r="I32" s="88" t="s">
        <v>21</v>
      </c>
      <c r="L32" s="423"/>
      <c r="M32" s="423"/>
      <c r="N32" s="63" t="s">
        <v>138</v>
      </c>
    </row>
    <row r="33" spans="1:14" ht="22.9" customHeight="1" x14ac:dyDescent="0.25">
      <c r="H33" s="87" t="s">
        <v>18</v>
      </c>
      <c r="I33" s="88" t="s">
        <v>18</v>
      </c>
      <c r="L33" s="423"/>
      <c r="M33" s="423"/>
      <c r="N33" s="84" t="s">
        <v>139</v>
      </c>
    </row>
    <row r="34" spans="1:14" ht="22.9" customHeight="1" x14ac:dyDescent="0.25">
      <c r="H34" s="87" t="s">
        <v>197</v>
      </c>
      <c r="I34" s="87" t="s">
        <v>200</v>
      </c>
      <c r="L34" s="423"/>
      <c r="M34" s="423"/>
      <c r="N34" s="84" t="s">
        <v>140</v>
      </c>
    </row>
    <row r="35" spans="1:14" ht="22.9" customHeight="1" x14ac:dyDescent="0.25">
      <c r="H35" s="87" t="s">
        <v>24</v>
      </c>
      <c r="I35" s="88" t="s">
        <v>206</v>
      </c>
      <c r="L35" s="423"/>
      <c r="M35" s="423"/>
      <c r="N35" s="84" t="s">
        <v>142</v>
      </c>
    </row>
    <row r="36" spans="1:14" ht="22.9" customHeight="1" x14ac:dyDescent="0.25">
      <c r="E36" s="257"/>
      <c r="H36" s="87"/>
      <c r="I36" s="88"/>
      <c r="L36" s="423"/>
      <c r="M36" s="423"/>
      <c r="N36" s="84" t="s">
        <v>3287</v>
      </c>
    </row>
    <row r="37" spans="1:14" ht="22.9" customHeight="1" x14ac:dyDescent="0.25">
      <c r="H37" s="87"/>
      <c r="I37" s="88"/>
      <c r="L37" s="423"/>
      <c r="M37" s="423"/>
      <c r="N37" s="84" t="s">
        <v>141</v>
      </c>
    </row>
    <row r="38" spans="1:14" ht="22.9" customHeight="1" x14ac:dyDescent="0.25">
      <c r="A38" s="66" t="s">
        <v>56</v>
      </c>
      <c r="B38" s="67" t="s">
        <v>95</v>
      </c>
      <c r="C38" s="68"/>
      <c r="D38" s="68"/>
      <c r="E38" s="68"/>
      <c r="F38" s="69"/>
      <c r="H38" s="88"/>
      <c r="I38" s="88"/>
      <c r="L38" s="423"/>
      <c r="M38" s="423"/>
      <c r="N38" s="84" t="s">
        <v>173</v>
      </c>
    </row>
    <row r="39" spans="1:14" ht="22.9" customHeight="1" x14ac:dyDescent="0.25">
      <c r="A39" s="70" t="s">
        <v>37</v>
      </c>
      <c r="B39" s="85" t="s">
        <v>57</v>
      </c>
      <c r="C39" s="71"/>
      <c r="D39" s="72"/>
      <c r="E39" s="72"/>
      <c r="F39" s="73"/>
      <c r="H39" s="88"/>
      <c r="I39" s="88"/>
      <c r="L39" s="423"/>
      <c r="M39" s="423"/>
      <c r="N39" s="84"/>
    </row>
    <row r="40" spans="1:14" ht="22.9" customHeight="1" x14ac:dyDescent="0.25">
      <c r="A40" s="70" t="s">
        <v>38</v>
      </c>
      <c r="B40" s="85" t="s">
        <v>58</v>
      </c>
      <c r="C40" s="71"/>
      <c r="D40" s="72"/>
      <c r="E40" s="72"/>
      <c r="F40" s="73"/>
      <c r="L40" s="74"/>
      <c r="M40" s="4"/>
      <c r="N40" s="9"/>
    </row>
    <row r="41" spans="1:14" ht="22.9" customHeight="1" x14ac:dyDescent="0.25">
      <c r="A41" s="70" t="s">
        <v>39</v>
      </c>
      <c r="B41" s="85" t="str">
        <f>"La quotité de travail n'est pas suffisante (doit être supérieure à "&amp;MIN(QuotitéMin)&amp;")"</f>
        <v>La quotité de travail n'est pas suffisante (doit être supérieure à 0,8)</v>
      </c>
      <c r="C41" s="71"/>
      <c r="D41" s="72"/>
      <c r="E41" s="72"/>
      <c r="F41" s="73"/>
      <c r="L41" s="74"/>
      <c r="M41" s="4"/>
    </row>
    <row r="42" spans="1:14" ht="22.9" customHeight="1" x14ac:dyDescent="0.25">
      <c r="A42" s="70" t="s">
        <v>36</v>
      </c>
      <c r="B42" s="85" t="s">
        <v>59</v>
      </c>
      <c r="C42" s="71"/>
      <c r="D42" s="72"/>
      <c r="E42" s="72"/>
      <c r="F42" s="73"/>
      <c r="L42" s="74"/>
      <c r="M42" s="4"/>
    </row>
    <row r="43" spans="1:14" ht="22.9" customHeight="1" x14ac:dyDescent="0.25">
      <c r="A43" s="70" t="s">
        <v>40</v>
      </c>
      <c r="B43" s="85" t="str">
        <f>"Nombre de jours minimum sur site insuffisant (min"&amp;Nbjoursite&amp;")"</f>
        <v>Nombre de jours minimum sur site insuffisant (min2,5)</v>
      </c>
      <c r="C43" s="71"/>
      <c r="D43" s="72"/>
      <c r="E43" s="72"/>
      <c r="F43" s="73"/>
      <c r="L43" s="74"/>
      <c r="M43" s="4"/>
    </row>
    <row r="44" spans="1:14" ht="33.6" customHeight="1" x14ac:dyDescent="0.25">
      <c r="A44" s="70" t="s">
        <v>41</v>
      </c>
      <c r="B44" s="85" t="s">
        <v>61</v>
      </c>
      <c r="C44" s="71"/>
      <c r="D44" s="72"/>
      <c r="E44" s="72"/>
      <c r="F44" s="73"/>
      <c r="L44" s="74"/>
      <c r="M44" s="4"/>
    </row>
    <row r="45" spans="1:14" ht="22.9" customHeight="1" x14ac:dyDescent="0.25">
      <c r="A45" s="70" t="s">
        <v>42</v>
      </c>
      <c r="B45" s="85" t="s">
        <v>62</v>
      </c>
      <c r="C45" s="71"/>
      <c r="D45" s="72"/>
      <c r="E45" s="72"/>
      <c r="F45" s="73"/>
      <c r="L45" s="74"/>
      <c r="M45" s="4"/>
    </row>
    <row r="46" spans="1:14" ht="22.9" customHeight="1" x14ac:dyDescent="0.25">
      <c r="A46" s="70" t="s">
        <v>60</v>
      </c>
      <c r="B46" s="85" t="s">
        <v>63</v>
      </c>
      <c r="C46" s="71"/>
      <c r="D46" s="72"/>
      <c r="E46" s="72"/>
      <c r="F46" s="73"/>
      <c r="L46" s="74"/>
      <c r="M46" s="4"/>
    </row>
    <row r="47" spans="1:14" ht="22.9" customHeight="1" x14ac:dyDescent="0.25">
      <c r="A47" s="70" t="s">
        <v>70</v>
      </c>
      <c r="B47" s="85" t="s">
        <v>71</v>
      </c>
      <c r="C47" s="71"/>
      <c r="D47" s="72"/>
      <c r="E47" s="72"/>
      <c r="F47" s="73"/>
      <c r="M47" s="4"/>
    </row>
    <row r="48" spans="1:14" ht="22.9" customHeight="1" x14ac:dyDescent="0.25">
      <c r="A48" s="70" t="s">
        <v>87</v>
      </c>
      <c r="B48" s="85" t="s">
        <v>100</v>
      </c>
      <c r="C48" s="71"/>
      <c r="D48" s="72"/>
      <c r="E48" s="72"/>
      <c r="F48" s="73"/>
      <c r="M48" s="4"/>
    </row>
    <row r="49" spans="1:13" ht="33.75" customHeight="1" x14ac:dyDescent="0.3">
      <c r="B49" s="417" t="s">
        <v>166</v>
      </c>
      <c r="C49" s="417"/>
      <c r="D49" s="417"/>
      <c r="E49" s="417"/>
      <c r="F49" s="417"/>
      <c r="M49" s="4"/>
    </row>
    <row r="50" spans="1:13" ht="22.9" customHeight="1" x14ac:dyDescent="0.25">
      <c r="M50" s="4"/>
    </row>
    <row r="51" spans="1:13" ht="22.9" customHeight="1" x14ac:dyDescent="0.25">
      <c r="A51" s="66" t="s">
        <v>167</v>
      </c>
      <c r="B51" s="418" t="s">
        <v>168</v>
      </c>
      <c r="C51" s="418"/>
      <c r="D51" s="418"/>
      <c r="E51" s="418"/>
      <c r="F51" s="419"/>
      <c r="M51" s="4"/>
    </row>
    <row r="52" spans="1:13" ht="22.9" customHeight="1" x14ac:dyDescent="0.25">
      <c r="A52" s="70" t="s">
        <v>69</v>
      </c>
      <c r="B52" s="86" t="s">
        <v>131</v>
      </c>
      <c r="C52" s="72"/>
      <c r="D52" s="72"/>
      <c r="E52" s="72"/>
      <c r="F52" s="73"/>
      <c r="M52" s="4"/>
    </row>
    <row r="53" spans="1:13" ht="22.9" customHeight="1" x14ac:dyDescent="0.25">
      <c r="A53" s="70" t="s">
        <v>134</v>
      </c>
      <c r="B53" s="86" t="s">
        <v>132</v>
      </c>
      <c r="C53" s="72"/>
      <c r="D53" s="72"/>
      <c r="E53" s="72"/>
      <c r="F53" s="73"/>
      <c r="M53" s="4"/>
    </row>
    <row r="54" spans="1:13" ht="22.9" customHeight="1" x14ac:dyDescent="0.25">
      <c r="A54" s="70" t="s">
        <v>211</v>
      </c>
      <c r="B54" s="86" t="s">
        <v>284</v>
      </c>
      <c r="C54" s="72"/>
      <c r="D54" s="72"/>
      <c r="E54" s="72"/>
      <c r="F54" s="73"/>
      <c r="M54" s="4"/>
    </row>
    <row r="55" spans="1:13" ht="22.9" customHeight="1" x14ac:dyDescent="0.25">
      <c r="A55" s="70" t="s">
        <v>72</v>
      </c>
      <c r="B55" s="86" t="s">
        <v>133</v>
      </c>
      <c r="C55" s="72"/>
      <c r="D55" s="72"/>
      <c r="E55" s="72"/>
      <c r="F55" s="73"/>
      <c r="M55" s="4"/>
    </row>
    <row r="56" spans="1:13" ht="32.25" customHeight="1" x14ac:dyDescent="0.3">
      <c r="B56" s="420" t="s">
        <v>169</v>
      </c>
      <c r="C56" s="420"/>
      <c r="D56" s="420"/>
      <c r="E56" s="420"/>
      <c r="F56" s="420"/>
      <c r="M56" s="4"/>
    </row>
    <row r="57" spans="1:13" ht="22.9" customHeight="1" x14ac:dyDescent="0.25">
      <c r="M57" s="4"/>
    </row>
    <row r="58" spans="1:13" ht="22.9" customHeight="1" x14ac:dyDescent="0.25">
      <c r="M58" s="4"/>
    </row>
    <row r="59" spans="1:13" ht="22.9" customHeight="1" x14ac:dyDescent="0.25">
      <c r="M59" s="4"/>
    </row>
    <row r="60" spans="1:13" ht="22.9" customHeight="1" x14ac:dyDescent="0.25">
      <c r="M60" s="4"/>
    </row>
    <row r="61" spans="1:13" ht="22.9" customHeight="1" x14ac:dyDescent="0.25">
      <c r="M61" s="4"/>
    </row>
    <row r="62" spans="1:13" ht="22.9" customHeight="1" x14ac:dyDescent="0.25">
      <c r="M62" s="4"/>
    </row>
    <row r="63" spans="1:13" ht="22.9" customHeight="1" x14ac:dyDescent="0.25">
      <c r="M63" s="4"/>
    </row>
    <row r="64" spans="1:13" ht="22.9" customHeight="1" x14ac:dyDescent="0.25">
      <c r="M64" s="4"/>
    </row>
    <row r="65" spans="13:13" ht="22.9" customHeight="1" x14ac:dyDescent="0.25">
      <c r="M65" s="4"/>
    </row>
    <row r="66" spans="13:13" ht="22.9" customHeight="1" x14ac:dyDescent="0.25">
      <c r="M66" s="4"/>
    </row>
    <row r="67" spans="13:13" ht="22.9" customHeight="1" x14ac:dyDescent="0.25">
      <c r="M67" s="4"/>
    </row>
    <row r="68" spans="13:13" ht="30.75" customHeight="1" x14ac:dyDescent="0.25">
      <c r="M68" s="4"/>
    </row>
    <row r="69" spans="13:13" ht="22.9" customHeight="1" x14ac:dyDescent="0.25">
      <c r="M69" s="4"/>
    </row>
    <row r="70" spans="13:13" ht="22.9" customHeight="1" x14ac:dyDescent="0.25">
      <c r="M70" s="4"/>
    </row>
    <row r="71" spans="13:13" ht="22.9" customHeight="1" x14ac:dyDescent="0.25">
      <c r="M71" s="4"/>
    </row>
    <row r="72" spans="13:13" ht="22.9" customHeight="1" x14ac:dyDescent="0.25">
      <c r="M72" s="4"/>
    </row>
  </sheetData>
  <sheetProtection formatCells="0" selectLockedCells="1"/>
  <autoFilter ref="H5:H37" xr:uid="{00000000-0009-0000-0000-000007000000}">
    <sortState ref="H6:H39">
      <sortCondition ref="H5:H37"/>
    </sortState>
  </autoFilter>
  <mergeCells count="8">
    <mergeCell ref="B49:F49"/>
    <mergeCell ref="B51:F51"/>
    <mergeCell ref="B56:F56"/>
    <mergeCell ref="A1:N1"/>
    <mergeCell ref="E4:F4"/>
    <mergeCell ref="L14:M39"/>
    <mergeCell ref="A15:C19"/>
    <mergeCell ref="J5:L11"/>
  </mergeCells>
  <conditionalFormatting sqref="I38:I39 N40:N73 I17:I25">
    <cfRule type="expression" priority="4">
      <formula>"&gt;PARAM!$F$2"</formula>
    </cfRule>
  </conditionalFormatting>
  <conditionalFormatting sqref="I33:I37 I6:I16 I26:I31">
    <cfRule type="expression" priority="3">
      <formula>"&gt;PARAM!$F$2"</formula>
    </cfRule>
  </conditionalFormatting>
  <conditionalFormatting sqref="I32">
    <cfRule type="expression" priority="2">
      <formula>"&gt;PARAM!$F$2"</formula>
    </cfRule>
  </conditionalFormatting>
  <dataValidations xWindow="643" yWindow="362" count="13">
    <dataValidation allowBlank="1" showInputMessage="1" showErrorMessage="1" promptTitle="Aide à la saisie" prompt="Indiquez le nombre de jour(s) de télétravail hebdomadaire(s) maximum autorisé(s) pour la quotité correspondante." sqref="B5:B11" xr:uid="{00000000-0002-0000-0700-000000000000}"/>
    <dataValidation allowBlank="1" showInputMessage="1" showErrorMessage="1" promptTitle="Aide à la saisie" prompt="Indiquez le nombre de jours minimum de présence sur site exigés par la charte de télétravail" sqref="F5" xr:uid="{00000000-0002-0000-0700-000001000000}"/>
    <dataValidation allowBlank="1" showInputMessage="1" showErrorMessage="1" promptTitle="Aide à la saisie" prompt="Indiquez l'échéance de rendu du dossier de demande télétravail pour la campagne en cours" sqref="F6" xr:uid="{00000000-0002-0000-0700-000002000000}"/>
    <dataValidation allowBlank="1" showInputMessage="1" showErrorMessage="1" promptTitle="Aide à la saisie" prompt="Indiquez l'échéance de rendu de l'avis encadrant pour la campagne en cours. " sqref="F7" xr:uid="{00000000-0002-0000-0700-000003000000}"/>
    <dataValidation allowBlank="1" showInputMessage="1" showErrorMessage="1" promptTitle="Aide à la saisie" prompt="Précisez l'amplitude journalière maximum (exigée ou tolérée) pour une journée en télétravail. " sqref="F8" xr:uid="{00000000-0002-0000-0700-000004000000}"/>
    <dataValidation allowBlank="1" showInputMessage="1" showErrorMessage="1" promptTitle="Aide à la saisie" prompt="Indiquez à partir de quelle date commencera le télétravail pour les demandeurs de cette campagne. " sqref="F9" xr:uid="{00000000-0002-0000-0700-000005000000}"/>
    <dataValidation allowBlank="1" showInputMessage="1" showErrorMessage="1" promptTitle="Aide à la saisie" prompt="Indiquez quelle sera la date de fin de période d'adaptation pour la campagne (3 mois après le début du télétravail, après une période de vacances scolaires le cas échéant). " sqref="F10" xr:uid="{00000000-0002-0000-0700-000006000000}"/>
    <dataValidation allowBlank="1" showInputMessage="1" showErrorMessage="1" promptTitle="Aide à la saisie" prompt="Indiquez le MOIS et ANNEE durant lequel doit être prévu l'entretien de bilan/reconduction (à la fin de l'année de télétravail, hors période éventuelle de fermeture) " sqref="F11" xr:uid="{00000000-0002-0000-0700-000007000000}"/>
    <dataValidation allowBlank="1" showInputMessage="1" showErrorMessage="1" promptTitle="Aide à la saisie" prompt="Indiquez la date à laquelle les conventions individuelles doivent être éditées. " sqref="F13" xr:uid="{00000000-0002-0000-0700-000008000000}"/>
    <dataValidation allowBlank="1" showInputMessage="1" showErrorMessage="1" promptTitle="Aide à la saisie" prompt="Précisez le nom de la campagne à indiquer dans les titres (ex : Campagne #1 - 2017)" sqref="F14" xr:uid="{00000000-0002-0000-0700-000009000000}"/>
    <dataValidation allowBlank="1" showInputMessage="1" showErrorMessage="1" promptTitle="Aide à la saisie" prompt="Indiquez la date limite de l'entretien de bilan/reconduction (à la fin de l'année de télétravail, hors période éventuelle de fermeture) " sqref="F12" xr:uid="{00000000-0002-0000-0700-00000C000000}"/>
    <dataValidation allowBlank="1" showInputMessage="1" showErrorMessage="1" promptTitle="Aide à la saisie" prompt="Nom de l'entité en format court pour le menu déroulant de suivi des demandes." sqref="H5:H39" xr:uid="{00000000-0002-0000-0700-00000A000000}"/>
    <dataValidation allowBlank="1" showInputMessage="1" showErrorMessage="1" promptTitle="Aide à la saisie" prompt="Nom de l'entité en format long qui sera indiqué dans la convention collective. " sqref="I5:I39" xr:uid="{00000000-0002-0000-0700-00000B000000}"/>
  </dataValidations>
  <hyperlinks>
    <hyperlink ref="F16" r:id="rId1" xr:uid="{BA9277E9-0474-4ABC-A257-7CC7682A7C65}"/>
  </hyperlinks>
  <pageMargins left="0.7" right="0.7" top="0.75" bottom="0.75" header="0.3" footer="0.3"/>
  <pageSetup paperSize="9" orientation="portrait" horizontalDpi="4294967293" r:id="rId2"/>
  <ignoredErrors>
    <ignoredError sqref="F10" unlockedFormula="1"/>
  </ignoredError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6"/>
  </sheetPr>
  <dimension ref="A1:CZ361"/>
  <sheetViews>
    <sheetView showGridLines="0" zoomScaleNormal="100" workbookViewId="0">
      <pane xSplit="4" ySplit="4" topLeftCell="E18" activePane="bottomRight" state="frozen"/>
      <selection pane="topRight" activeCell="E1" sqref="E1"/>
      <selection pane="bottomLeft" activeCell="A5" sqref="A5"/>
      <selection pane="bottomRight" activeCell="A4" sqref="A4:CZ31"/>
    </sheetView>
  </sheetViews>
  <sheetFormatPr baseColWidth="10" defaultColWidth="9.140625" defaultRowHeight="9.75" customHeight="1" x14ac:dyDescent="0.25"/>
  <cols>
    <col min="1" max="1" width="5.28515625" style="15" customWidth="1"/>
    <col min="2" max="2" width="10.140625" style="12" customWidth="1"/>
    <col min="3" max="3" width="9.42578125" style="12" customWidth="1"/>
    <col min="4" max="4" width="26.140625" style="12" customWidth="1"/>
    <col min="5" max="5" width="28.140625" style="12" customWidth="1"/>
    <col min="6" max="6" width="34.140625" style="12" customWidth="1"/>
    <col min="7" max="7" width="1" style="12" customWidth="1"/>
    <col min="8" max="13" width="9.140625" style="12" customWidth="1"/>
    <col min="14" max="14" width="8" style="12" customWidth="1"/>
    <col min="15" max="16" width="10.85546875" style="12" customWidth="1"/>
    <col min="17" max="17" width="9.42578125" style="12" customWidth="1"/>
    <col min="18" max="18" width="9.7109375" style="12" customWidth="1"/>
    <col min="19" max="19" width="10" style="12" customWidth="1"/>
    <col min="20" max="22" width="7.85546875" style="12" customWidth="1"/>
    <col min="23" max="27" width="8.85546875" style="12" customWidth="1"/>
    <col min="28" max="28" width="7.140625" style="28" customWidth="1"/>
    <col min="29" max="29" width="11.42578125" style="28" customWidth="1"/>
    <col min="30" max="30" width="10.7109375" style="12" customWidth="1"/>
    <col min="31" max="32" width="12.42578125" style="28" customWidth="1"/>
    <col min="33" max="33" width="10.7109375" style="11" customWidth="1"/>
    <col min="34" max="34" width="12.42578125" style="12" customWidth="1"/>
    <col min="35" max="35" width="12.42578125" style="28" customWidth="1"/>
    <col min="36" max="36" width="11.5703125" style="28" customWidth="1"/>
    <col min="37" max="37" width="10.7109375" style="12" customWidth="1"/>
    <col min="38" max="39" width="12.42578125" style="28" customWidth="1"/>
    <col min="40" max="40" width="10.7109375" style="11" customWidth="1"/>
    <col min="41" max="41" width="12.42578125" style="12" customWidth="1"/>
    <col min="42" max="42" width="12.42578125" style="28" customWidth="1"/>
    <col min="43" max="43" width="11.5703125" style="28" customWidth="1"/>
    <col min="44" max="44" width="10.7109375" style="12" customWidth="1"/>
    <col min="45" max="46" width="12.42578125" style="28" customWidth="1"/>
    <col min="47" max="47" width="10.7109375" style="11" customWidth="1"/>
    <col min="48" max="48" width="12.42578125" style="12" customWidth="1"/>
    <col min="49" max="49" width="12.42578125" style="28" customWidth="1"/>
    <col min="50" max="50" width="11.5703125" style="28" customWidth="1"/>
    <col min="51" max="51" width="10.7109375" style="12" customWidth="1"/>
    <col min="52" max="53" width="12.42578125" style="28" customWidth="1"/>
    <col min="54" max="54" width="10.7109375" style="11" customWidth="1"/>
    <col min="55" max="55" width="12.42578125" style="12" customWidth="1"/>
    <col min="56" max="56" width="12.42578125" style="28" customWidth="1"/>
    <col min="57" max="57" width="11.5703125" style="28" customWidth="1"/>
    <col min="58" max="58" width="10.7109375" style="12" customWidth="1"/>
    <col min="59" max="60" width="12.42578125" style="28" customWidth="1"/>
    <col min="61" max="61" width="10.7109375" style="11" customWidth="1"/>
    <col min="62" max="62" width="12.42578125" style="11" customWidth="1"/>
    <col min="63" max="63" width="12" style="11" customWidth="1"/>
    <col min="64" max="64" width="11.5703125" style="11" customWidth="1"/>
    <col min="65" max="65" width="3.42578125" style="11" hidden="1" customWidth="1"/>
    <col min="66" max="66" width="3.85546875" style="11" hidden="1" customWidth="1"/>
    <col min="67" max="67" width="2.85546875" style="11" hidden="1" customWidth="1"/>
    <col min="68" max="69" width="3.28515625" style="11" hidden="1" customWidth="1"/>
    <col min="70" max="70" width="3.7109375" style="11" hidden="1" customWidth="1"/>
    <col min="71" max="71" width="2.140625" style="11" hidden="1" customWidth="1"/>
    <col min="72" max="72" width="3.28515625" style="11" hidden="1" customWidth="1"/>
    <col min="73" max="73" width="4.42578125" style="11" hidden="1" customWidth="1"/>
    <col min="74" max="74" width="6" style="25" hidden="1" customWidth="1"/>
    <col min="75" max="75" width="5.85546875" style="25" customWidth="1"/>
    <col min="76" max="76" width="63.42578125" style="25" customWidth="1"/>
    <col min="77" max="78" width="5.85546875" style="25" hidden="1" customWidth="1"/>
    <col min="79" max="82" width="5.85546875" style="26" hidden="1" customWidth="1"/>
    <col min="83" max="83" width="8.140625" style="26" hidden="1" customWidth="1"/>
    <col min="84" max="84" width="7.5703125" style="12" hidden="1" customWidth="1"/>
    <col min="85" max="85" width="8.5703125" style="43" hidden="1" customWidth="1"/>
    <col min="86" max="86" width="0.140625" style="44" customWidth="1"/>
    <col min="87" max="87" width="10.28515625" style="43" customWidth="1"/>
    <col min="88" max="88" width="40.85546875" style="12" customWidth="1"/>
    <col min="89" max="89" width="13" style="43" customWidth="1"/>
    <col min="90" max="90" width="24.5703125" style="44" customWidth="1"/>
    <col min="91" max="91" width="10.28515625" style="43" customWidth="1"/>
    <col min="92" max="92" width="21.7109375" style="12" customWidth="1"/>
    <col min="93" max="93" width="11.42578125" style="12" customWidth="1"/>
    <col min="94" max="94" width="15.5703125" style="12" customWidth="1"/>
    <col min="95" max="95" width="8.85546875" style="12" customWidth="1"/>
    <col min="96" max="96" width="11.7109375" style="12" customWidth="1"/>
    <col min="97" max="101" width="14.7109375" style="12" customWidth="1"/>
    <col min="102" max="102" width="14.5703125" style="12" customWidth="1"/>
    <col min="103" max="103" width="7" style="12" hidden="1" customWidth="1"/>
    <col min="104" max="104" width="0.140625" style="12" hidden="1" customWidth="1"/>
    <col min="105" max="105" width="10.7109375" style="12" customWidth="1"/>
    <col min="106" max="16384" width="9.140625" style="12"/>
  </cols>
  <sheetData>
    <row r="1" spans="1:104" s="14" customFormat="1" ht="24" customHeight="1" x14ac:dyDescent="0.25">
      <c r="A1" s="217"/>
      <c r="B1" s="403" t="s">
        <v>7</v>
      </c>
      <c r="C1" s="403"/>
      <c r="D1" s="403"/>
      <c r="E1" s="22"/>
      <c r="F1" s="404" t="s">
        <v>29</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18"/>
      <c r="BS1" s="18"/>
      <c r="BT1" s="404"/>
      <c r="BU1" s="404"/>
      <c r="BV1" s="215"/>
      <c r="BW1" s="23"/>
      <c r="BX1" s="23"/>
      <c r="BY1" s="23"/>
      <c r="BZ1" s="23"/>
      <c r="CA1" s="24"/>
      <c r="CB1" s="24"/>
      <c r="CC1" s="24"/>
      <c r="CD1" s="24"/>
      <c r="CE1" s="24"/>
      <c r="CG1" s="402" t="s">
        <v>108</v>
      </c>
      <c r="CH1" s="402"/>
      <c r="CI1" s="402"/>
      <c r="CJ1" s="402"/>
      <c r="CK1" s="402"/>
      <c r="CL1" s="402"/>
      <c r="CM1" s="402"/>
      <c r="CN1" s="402"/>
      <c r="CO1" s="402"/>
      <c r="CP1" s="402"/>
      <c r="CQ1" s="402"/>
      <c r="CR1" s="402"/>
      <c r="CS1" s="402"/>
      <c r="CT1" s="402"/>
      <c r="CU1" s="402"/>
      <c r="CV1" s="402"/>
    </row>
    <row r="2" spans="1:104" s="14" customFormat="1" ht="22.5" customHeight="1" x14ac:dyDescent="0.25">
      <c r="A2" s="217"/>
      <c r="B2" s="118"/>
      <c r="C2" s="118"/>
      <c r="D2" s="118"/>
      <c r="E2" s="118"/>
      <c r="F2" s="405" t="s">
        <v>214</v>
      </c>
      <c r="G2" s="405"/>
      <c r="H2" s="405"/>
      <c r="I2" s="405"/>
      <c r="J2" s="405"/>
      <c r="K2" s="405"/>
      <c r="L2" s="405"/>
      <c r="M2" s="405"/>
      <c r="N2" s="405"/>
      <c r="O2" s="405" t="s">
        <v>215</v>
      </c>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120"/>
      <c r="BK2" s="119"/>
      <c r="BL2" s="119"/>
      <c r="BM2" s="119"/>
      <c r="BN2" s="119"/>
      <c r="BO2" s="119"/>
      <c r="BP2" s="119"/>
      <c r="BQ2" s="119"/>
      <c r="BR2" s="119"/>
      <c r="BS2" s="119"/>
      <c r="BT2" s="120"/>
      <c r="BU2" s="120"/>
      <c r="BV2" s="120"/>
      <c r="BW2" s="23"/>
      <c r="BX2" s="23"/>
      <c r="BY2" s="23"/>
      <c r="BZ2" s="23"/>
      <c r="CA2" s="24"/>
      <c r="CB2" s="24"/>
      <c r="CC2" s="24"/>
      <c r="CD2" s="24"/>
      <c r="CE2" s="24"/>
      <c r="CG2" s="399" t="s">
        <v>216</v>
      </c>
      <c r="CH2" s="400"/>
      <c r="CI2" s="400"/>
      <c r="CJ2" s="401"/>
      <c r="CK2" s="399" t="s">
        <v>217</v>
      </c>
      <c r="CL2" s="400"/>
      <c r="CM2" s="400"/>
      <c r="CN2" s="401"/>
      <c r="CO2" s="121"/>
      <c r="CP2" s="211"/>
      <c r="CQ2" s="398" t="s">
        <v>218</v>
      </c>
      <c r="CR2" s="398"/>
      <c r="CS2" s="398"/>
      <c r="CT2" s="398"/>
      <c r="CU2" s="398"/>
      <c r="CV2" s="398"/>
    </row>
    <row r="3" spans="1:104" ht="22.5" customHeight="1" x14ac:dyDescent="0.25">
      <c r="A3" s="157" t="s">
        <v>236</v>
      </c>
      <c r="B3" s="127" t="s">
        <v>2993</v>
      </c>
      <c r="C3" s="127" t="s">
        <v>3288</v>
      </c>
      <c r="D3" s="127" t="s">
        <v>0</v>
      </c>
      <c r="E3" s="127" t="s">
        <v>1</v>
      </c>
      <c r="F3" s="127" t="s">
        <v>2</v>
      </c>
      <c r="G3" s="127" t="s">
        <v>122</v>
      </c>
      <c r="H3" s="131" t="s">
        <v>33</v>
      </c>
      <c r="I3" s="127" t="s">
        <v>34</v>
      </c>
      <c r="J3" s="127" t="s">
        <v>35</v>
      </c>
      <c r="K3" s="127" t="s">
        <v>96</v>
      </c>
      <c r="L3" s="127" t="s">
        <v>30</v>
      </c>
      <c r="M3" s="127" t="s">
        <v>31</v>
      </c>
      <c r="N3" s="127" t="s">
        <v>32</v>
      </c>
      <c r="O3" s="127" t="s">
        <v>106</v>
      </c>
      <c r="P3" s="91" t="s">
        <v>285</v>
      </c>
      <c r="Q3" s="131" t="s">
        <v>50</v>
      </c>
      <c r="R3" s="127" t="s">
        <v>49</v>
      </c>
      <c r="S3" s="128" t="s">
        <v>48</v>
      </c>
      <c r="T3" s="128" t="s">
        <v>47</v>
      </c>
      <c r="U3" s="128" t="s">
        <v>510</v>
      </c>
      <c r="V3" s="128" t="s">
        <v>189</v>
      </c>
      <c r="W3" s="214" t="s">
        <v>212</v>
      </c>
      <c r="X3" s="214" t="s">
        <v>229</v>
      </c>
      <c r="Y3" s="127" t="s">
        <v>52</v>
      </c>
      <c r="Z3" s="127" t="s">
        <v>51</v>
      </c>
      <c r="AA3" s="128" t="s">
        <v>46</v>
      </c>
      <c r="AB3" s="128" t="s">
        <v>99</v>
      </c>
      <c r="AC3" s="127" t="s">
        <v>53</v>
      </c>
      <c r="AD3" s="132" t="s">
        <v>101</v>
      </c>
      <c r="AE3" s="133" t="s">
        <v>238</v>
      </c>
      <c r="AF3" s="133" t="s">
        <v>239</v>
      </c>
      <c r="AG3" s="133" t="s">
        <v>240</v>
      </c>
      <c r="AH3" s="133" t="s">
        <v>241</v>
      </c>
      <c r="AI3" s="133" t="s">
        <v>242</v>
      </c>
      <c r="AJ3" s="133" t="s">
        <v>232</v>
      </c>
      <c r="AK3" s="132" t="s">
        <v>102</v>
      </c>
      <c r="AL3" s="133" t="s">
        <v>276</v>
      </c>
      <c r="AM3" s="133" t="s">
        <v>243</v>
      </c>
      <c r="AN3" s="133" t="s">
        <v>234</v>
      </c>
      <c r="AO3" s="133" t="s">
        <v>244</v>
      </c>
      <c r="AP3" s="133" t="s">
        <v>245</v>
      </c>
      <c r="AQ3" s="133" t="s">
        <v>247</v>
      </c>
      <c r="AR3" s="132" t="s">
        <v>103</v>
      </c>
      <c r="AS3" s="133" t="s">
        <v>248</v>
      </c>
      <c r="AT3" s="133" t="s">
        <v>249</v>
      </c>
      <c r="AU3" s="133" t="s">
        <v>250</v>
      </c>
      <c r="AV3" s="133" t="s">
        <v>251</v>
      </c>
      <c r="AW3" s="133" t="s">
        <v>252</v>
      </c>
      <c r="AX3" s="133" t="s">
        <v>253</v>
      </c>
      <c r="AY3" s="132" t="s">
        <v>104</v>
      </c>
      <c r="AZ3" s="133" t="s">
        <v>254</v>
      </c>
      <c r="BA3" s="133" t="s">
        <v>255</v>
      </c>
      <c r="BB3" s="133" t="s">
        <v>256</v>
      </c>
      <c r="BC3" s="133" t="s">
        <v>257</v>
      </c>
      <c r="BD3" s="133" t="s">
        <v>258</v>
      </c>
      <c r="BE3" s="133" t="s">
        <v>259</v>
      </c>
      <c r="BF3" s="132" t="s">
        <v>105</v>
      </c>
      <c r="BG3" s="133" t="s">
        <v>260</v>
      </c>
      <c r="BH3" s="133" t="s">
        <v>261</v>
      </c>
      <c r="BI3" s="133" t="s">
        <v>262</v>
      </c>
      <c r="BJ3" s="133" t="s">
        <v>263</v>
      </c>
      <c r="BK3" s="133" t="s">
        <v>264</v>
      </c>
      <c r="BL3" s="134" t="s">
        <v>265</v>
      </c>
      <c r="BM3" s="131" t="s">
        <v>37</v>
      </c>
      <c r="BN3" s="128" t="s">
        <v>38</v>
      </c>
      <c r="BO3" s="128" t="s">
        <v>39</v>
      </c>
      <c r="BP3" s="128" t="s">
        <v>36</v>
      </c>
      <c r="BQ3" s="128" t="s">
        <v>40</v>
      </c>
      <c r="BR3" s="128" t="s">
        <v>41</v>
      </c>
      <c r="BS3" s="128" t="s">
        <v>42</v>
      </c>
      <c r="BT3" s="128" t="s">
        <v>60</v>
      </c>
      <c r="BU3" s="128" t="s">
        <v>70</v>
      </c>
      <c r="BV3" s="128" t="s">
        <v>87</v>
      </c>
      <c r="BW3" s="91" t="s">
        <v>45</v>
      </c>
      <c r="BX3" s="91" t="s">
        <v>65</v>
      </c>
      <c r="BY3" s="25" t="s">
        <v>266</v>
      </c>
      <c r="BZ3" s="25" t="s">
        <v>267</v>
      </c>
      <c r="CA3" s="25" t="s">
        <v>268</v>
      </c>
      <c r="CB3" s="25" t="s">
        <v>269</v>
      </c>
      <c r="CC3" s="25" t="s">
        <v>270</v>
      </c>
      <c r="CD3" s="26" t="s">
        <v>271</v>
      </c>
      <c r="CE3" s="26" t="s">
        <v>272</v>
      </c>
      <c r="CF3" s="26" t="s">
        <v>273</v>
      </c>
      <c r="CG3" s="26" t="s">
        <v>274</v>
      </c>
      <c r="CH3" s="135" t="s">
        <v>275</v>
      </c>
      <c r="CI3" s="128" t="s">
        <v>291</v>
      </c>
      <c r="CJ3" s="128" t="s">
        <v>292</v>
      </c>
      <c r="CK3" s="129" t="s">
        <v>293</v>
      </c>
      <c r="CL3" s="128" t="s">
        <v>294</v>
      </c>
      <c r="CM3" s="128" t="s">
        <v>287</v>
      </c>
      <c r="CN3" s="128" t="s">
        <v>288</v>
      </c>
      <c r="CO3" s="129" t="s">
        <v>289</v>
      </c>
      <c r="CP3" s="128" t="s">
        <v>290</v>
      </c>
      <c r="CQ3" s="128" t="s">
        <v>66</v>
      </c>
      <c r="CR3" s="128" t="s">
        <v>67</v>
      </c>
      <c r="CS3" s="128" t="s">
        <v>79</v>
      </c>
      <c r="CT3" s="128" t="s">
        <v>80</v>
      </c>
      <c r="CU3" s="128" t="s">
        <v>81</v>
      </c>
      <c r="CV3" s="128" t="s">
        <v>82</v>
      </c>
      <c r="CW3" s="128" t="s">
        <v>83</v>
      </c>
      <c r="CX3" s="128" t="s">
        <v>84</v>
      </c>
      <c r="CY3" s="201" t="s">
        <v>451</v>
      </c>
      <c r="CZ3" s="201" t="s">
        <v>462</v>
      </c>
    </row>
    <row r="4" spans="1:104" ht="9.75" customHeight="1" x14ac:dyDescent="0.25">
      <c r="A4" s="90">
        <v>0</v>
      </c>
      <c r="B4" s="126"/>
      <c r="C4" s="126"/>
      <c r="D4" s="19" t="str">
        <f>IFERROR(IF(VLOOKUP(T_TraitDi[[#This Row],[NumL]],T_suiviDi[#Data],COLUMN(T_suiviDi[Nom]),FALSE)&lt;&gt;"",VLOOKUP(T_TraitDi[[#This Row],[NumL]],T_suiviDi[#Data],COLUMN(T_suiviDi[Nom]),FALSE),""),"")</f>
        <v/>
      </c>
      <c r="E4" s="19" t="str">
        <f>IFERROR(IF(VLOOKUP(T_TraitDi[[#This Row],[NumL]],T_suiviDi[#Data],COLUMN(T_suiviDi[Prénom]),FALSE)&lt;&gt;"",VLOOKUP(T_TraitDi[[#This Row],[NumL]],T_suiviDi[#Data],COLUMN(T_suiviDi[Prénom]),FALSE),""),"")</f>
        <v/>
      </c>
      <c r="F4" s="20" t="str">
        <f>IFERROR(IF(VLOOKUP(T_TraitDi[[#This Row],[NumL]],T_suiviDi[#Data],COLUMN(T_suiviDi[Email]),FALSE)&lt;&gt;"",VLOOKUP(T_TraitDi[[#This Row],[NumL]],T_suiviDi[#Data],COLUMN(T_suiviDi[Email]),FALSE),""),"")</f>
        <v/>
      </c>
      <c r="G4" s="57"/>
      <c r="H4" s="29"/>
      <c r="I4" s="30"/>
      <c r="J4" s="30"/>
      <c r="K4" s="30"/>
      <c r="L4" s="30"/>
      <c r="M4" s="17"/>
      <c r="N4" s="17"/>
      <c r="O4" s="17"/>
      <c r="P4" s="27" t="str">
        <f t="shared" ref="P4:P31" si="0">IF(D4&lt;&gt;"",IF(COUNTIF(H4:O4,"NON")+COUNTIF(H4:O4,"ATT")&gt;0,3,1),"")</f>
        <v/>
      </c>
      <c r="Q4" s="75"/>
      <c r="R4" s="76"/>
      <c r="S4" s="77"/>
      <c r="T4" s="78"/>
      <c r="U4" s="213"/>
      <c r="V4" s="78"/>
      <c r="W4" s="78"/>
      <c r="X4" s="124" t="str">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
      </c>
      <c r="Y4" s="79" t="str">
        <f>IF((AND(T_TraitDi[[#This Row],[Nom]]&lt;&gt;"",T_TraitDi[[#This Row],[Reg Ponct]]="R")),(COUNTIF(AD4:BI4,"S")+COUNTIF(AD4:BI4,"T"))/2,"")</f>
        <v/>
      </c>
      <c r="Z4" s="79" t="str">
        <f>IF((AND(T_TraitDi[[#This Row],[Nom]]&lt;&gt;"",T_TraitDi[[#This Row],[Reg Ponct]]="R")),COUNTIF(AD4:BI4,"S")/2,"")</f>
        <v/>
      </c>
      <c r="AA4" s="80" t="str">
        <f>IF((AND(T_TraitDi[[#This Row],[Nom]]&lt;&gt;"",T_TraitDi[[#This Row],[Reg Ponct]]="R")),COUNTIF(AD4:BI4,"t")/2,"")</f>
        <v/>
      </c>
      <c r="AB4" s="81" t="str">
        <f t="shared" ref="AB4:AB31" si="1">IF(D4&lt;&gt;"",AJ4+AQ4+AX4+BE4+BL4,"")</f>
        <v/>
      </c>
      <c r="AC4" s="82" t="str">
        <f>IF((AND(T_TraitDi[[#This Row],[Nom]]&lt;&gt;"",T_TraitDi[[#This Row],[Reg Ponct]]="R")),IF(AD4="T",AF4-AE4,0)+IF(AG4="T",AI4-AH4,0)+IF(AK4="T",AM4-AL4,0)+IF(AN4="T",AP4-AO4,0)+IF(AR4="T",AT4-AS4,0)+IF(AU4="T",AW4-AV4,0)+IF(AY4="T",BA4-AZ4,0)+IF(BB4="T",BD4-BC4,0)+IF(BF4="T",BH4-BG4,0)+IF(BI4="T",BK4-BJ4,0),"")</f>
        <v/>
      </c>
      <c r="AD4" s="36"/>
      <c r="AE4" s="37"/>
      <c r="AF4" s="37"/>
      <c r="AG4" s="21"/>
      <c r="AH4" s="37"/>
      <c r="AI4" s="37"/>
      <c r="AJ4" s="38" t="str">
        <f t="shared" ref="AJ4:AJ31" si="2">IF(D4&lt;&gt;"",(AF4-AE4)+(AI4-AH4),"")</f>
        <v/>
      </c>
      <c r="AK4" s="36"/>
      <c r="AL4" s="37"/>
      <c r="AM4" s="37"/>
      <c r="AN4" s="21"/>
      <c r="AO4" s="37"/>
      <c r="AP4" s="37"/>
      <c r="AQ4" s="38" t="str">
        <f t="shared" ref="AQ4:AQ31" si="3">IF(D4&lt;&gt;"",(AM4-AL4)+(AP4-AO4),"")</f>
        <v/>
      </c>
      <c r="AR4" s="36"/>
      <c r="AS4" s="37"/>
      <c r="AT4" s="37"/>
      <c r="AU4" s="21"/>
      <c r="AV4" s="37"/>
      <c r="AW4" s="37"/>
      <c r="AX4" s="38" t="str">
        <f t="shared" ref="AX4:AX31" si="4">IF(D4&lt;&gt;"",(AT4-AS4)+(AW4-AV4),"")</f>
        <v/>
      </c>
      <c r="AY4" s="36"/>
      <c r="AZ4" s="37"/>
      <c r="BA4" s="37"/>
      <c r="BB4" s="21"/>
      <c r="BC4" s="37"/>
      <c r="BD4" s="37"/>
      <c r="BE4" s="38" t="str">
        <f t="shared" ref="BE4:BE31" si="5">IF(D4&lt;&gt;"",(BA4-AZ4)+(BD4-BC4),"")</f>
        <v/>
      </c>
      <c r="BF4" s="36"/>
      <c r="BG4" s="37"/>
      <c r="BH4" s="37"/>
      <c r="BI4" s="21"/>
      <c r="BJ4" s="37"/>
      <c r="BK4" s="37"/>
      <c r="BL4" s="39" t="str">
        <f t="shared" ref="BL4:BL31" si="6">IF(D4&lt;&gt;"",(BH4-BG4)+(BK4-BJ4),"")</f>
        <v/>
      </c>
      <c r="BM4" s="32" t="str">
        <f>IFERROR(IF(T_TraitDi[[#This Row],[Nom]]&lt;&gt;"",IF(T_TraitDi[[#This Row],[Deb Univ]]="","N/C",IF(Dateeffet-T_TraitDi[[#This Row],[Deb Univ]]&gt;365,"OK","PB")),""),"N/C")</f>
        <v/>
      </c>
      <c r="BN4" s="33" t="str">
        <f t="shared" ref="BN4:BN31" ca="1" si="7">IFERROR(IF(D4&lt;&gt;"",IF(R4="","N/C",IF(TODAY()-R4&gt;365,"OK","PB")),""),"N/C")</f>
        <v/>
      </c>
      <c r="BO4" s="33" t="str">
        <f t="shared" ref="BO4:BO31" si="8">"OK"</f>
        <v>OK</v>
      </c>
      <c r="BP4" s="34" t="str">
        <f t="shared" ref="BP4:BP31" si="9">IFERROR(IF(D4&lt;&gt;"",IF(OR(S4="",T4=""),"N/C",IF(S4&gt;=T4,"OK","PB")),""),"N/C")</f>
        <v/>
      </c>
      <c r="BQ4" s="34" t="str">
        <f>IFERROR(IF((AND(T_TraitDi[[#This Row],[Nom]]&lt;&gt;"",T_TraitDi[[#This Row],[Reg Ponct]]="R")),IF(Z4="","N/C",IF(Z4&gt;=Nbjoursite,"OK","PB")),""),"N/C")</f>
        <v/>
      </c>
      <c r="BR4" s="34" t="str">
        <f>IFERROR(IF((AND(T_TraitDi[[#This Row],[Nom]]&lt;&gt;"",T_TraitDi[[#This Row],[Reg Ponct]]="R")),IF(AA4="","N/C",IF(AA4&lt;=VLOOKUP(T4,Quotite,2,FALSE),"OK","PB")),""),"N/C")</f>
        <v/>
      </c>
      <c r="BS4" s="34" t="str">
        <f>IFERROR(IF((AND(T_TraitDi[[#This Row],[Nom]]&lt;&gt;"",T_TraitDi[[#This Row],[Reg Ponct]]="R")),IF(OR(Y4="",Z4="",AA4=""),"N/C",IF(Z4+AA4=Y4,"OK","PB")),""),"N/C")</f>
        <v/>
      </c>
      <c r="BT4" s="34" t="str">
        <f>IFERROR(IF((AND(T_TraitDi[[#This Row],[Nom]]&lt;&gt;"",T_TraitDi[[#This Row],[Reg Ponct]]="R")),IF(AA4="","N/C",IF(COUNTIF(AD4:BL4,"T")=AA4*2,"OK","PB")),""),"N/C")</f>
        <v/>
      </c>
      <c r="BU4" s="35" t="str">
        <f>IF(OR(T_TraitDi[[#This Row],[Nom]]="",T_TraitDi[[#This Row],[Reg Ponct]]="P"),"",IFERROR(IF((HOUR(AC4)*60+MINUTE(AC4))/AA4&gt;HOUR(Amplitude_max)*60+MINUTE(Amplitude_max),"PB","OK"),"N/C"))</f>
        <v/>
      </c>
      <c r="BV4" s="35" t="str">
        <f>IF(T_TraitDi[[#This Row],[Nom]]="","",IF( T_TraitDi[[#This Row],[Reg Ponct]]="R",IFERROR(IF(AND(T_TraitDi[[#This Row],[Nbhheb]]&gt;0,T_TraitDi[[#This Row],[Reg Ponct]]= "R"),IF(T_TraitDi[[#This Row],[Nbhheb]]&lt;&gt;VLOOKUP("R"&amp;T_TraitDi[[#This Row],[Q2]]*100&amp;T_TraitDi[[#This Row],[ctrlH]], T_code_H[#Data],6,FALSE),"PB","OK"),"N/C"),"N/C"), "OK"))</f>
        <v/>
      </c>
      <c r="BW4" s="41" t="str">
        <f t="shared" ref="BW4:BW31" si="10">IF(D4&lt;&gt;"",IF(COUNTIF(BM4:BV4,"PB")&gt;0,3,IF(COUNTIF(BM4:BV4,"N/C")&gt;0,2,1)),"")</f>
        <v/>
      </c>
      <c r="BX4" s="42" t="str">
        <f t="shared" ref="BX4:BX31" si="11">IF(D4&lt;&gt;"",IF(COUNTIF(BM4:BV4,"N/C")&gt;0,"Les informations saisies ne permettent pas d'effectuer tous les contrôles requis. / ","")&amp;IF(BW4=3,BY4&amp;BZ4&amp;CA4&amp;CB4&amp;CC4&amp;CD4&amp;CE4&amp;CF4&amp;CG4&amp;CH4,""),"")</f>
        <v/>
      </c>
      <c r="BY4" s="40" t="str">
        <f t="shared" ref="BY4:BY31" si="12">IF(BM4="PB",VLOOKUP(BM$3,Contrôle,2,FALSE)&amp;" / ","")</f>
        <v/>
      </c>
      <c r="BZ4" s="40" t="str">
        <f t="shared" ref="BZ4:BZ31" ca="1" si="13">IF(BN4="PB",VLOOKUP(BN$3,Contrôle,2,FALSE)&amp;" / ","")</f>
        <v/>
      </c>
      <c r="CA4" s="40" t="str">
        <f t="shared" ref="CA4:CA31" si="14">IF(BO4="PB",VLOOKUP(BO$3,Contrôle,2,FALSE)&amp;" / ","")</f>
        <v/>
      </c>
      <c r="CB4" s="40" t="str">
        <f t="shared" ref="CB4:CB31" si="15">IF(BP4="PB",VLOOKUP(BP$3,Contrôle,2,FALSE)&amp;" / ","")</f>
        <v/>
      </c>
      <c r="CC4" s="40" t="str">
        <f t="shared" ref="CC4:CC31" si="16">IF(BQ4="PB",VLOOKUP(BQ$3,Contrôle,2,FALSE)&amp;" / ","")</f>
        <v/>
      </c>
      <c r="CD4" s="40" t="str">
        <f t="shared" ref="CD4:CD31" si="17">IF(BR4="PB",VLOOKUP(BR$3,Contrôle,2,FALSE)&amp;" / ","")</f>
        <v/>
      </c>
      <c r="CE4" s="40" t="str">
        <f t="shared" ref="CE4:CE31" si="18">IF(BS4="PB",VLOOKUP(BS$3,Contrôle,2,FALSE)&amp;" / ","")</f>
        <v/>
      </c>
      <c r="CF4" s="40" t="str">
        <f t="shared" ref="CF4:CF31" si="19">IF(BT4="PB",VLOOKUP(BT$3,Contrôle,2,FALSE)&amp;" / ","")</f>
        <v/>
      </c>
      <c r="CG4" s="40" t="str">
        <f t="shared" ref="CG4:CG31" si="20">IF(BU4="PB",VLOOKUP(BU$3,Contrôle,2,FALSE)&amp;" ("&amp;ROUND((HOUR(AC4)+MINUTE(AC4)/60)/AA4,1)&amp;" soit "&amp;HOUR(AC4)&amp;"h"&amp;MINUTE(AC4)&amp;" sur "&amp;AA4&amp;"jr) /","")</f>
        <v/>
      </c>
      <c r="CH4" s="40" t="str">
        <f t="shared" ref="CH4:CH31" si="21">IF(BV4="PB",VLOOKUP(BV$3,Contrôle,2,FALSE)&amp;" / ","")</f>
        <v/>
      </c>
      <c r="CI4" s="16"/>
      <c r="CJ4" s="45"/>
      <c r="CK4" s="46"/>
      <c r="CL4" s="31"/>
      <c r="CM4" s="16"/>
      <c r="CN4" s="45"/>
      <c r="CO4" s="46"/>
      <c r="CP4" s="31" t="s">
        <v>1117</v>
      </c>
      <c r="CQ4" s="16"/>
      <c r="CR4" s="16"/>
      <c r="CS4" s="45"/>
      <c r="CT4" s="45"/>
      <c r="CU4" s="45"/>
      <c r="CV4" s="45"/>
      <c r="CW4" s="45"/>
      <c r="CX4" s="47"/>
      <c r="CY4" s="197" t="e">
        <f>VLOOKUP(T_TraitDi[[#This Row],[hh]],T_CTRL_H[#Data],2,TRUE)</f>
        <v>#N/A</v>
      </c>
      <c r="CZ4" s="207">
        <f>T_TraitDi[[#This Row],[Hhebdo]]*24</f>
        <v>0</v>
      </c>
    </row>
    <row r="5" spans="1:104" ht="15" customHeight="1" x14ac:dyDescent="0.25">
      <c r="A5" s="90">
        <v>107</v>
      </c>
      <c r="B5" s="126" t="s">
        <v>3558</v>
      </c>
      <c r="C5" s="126" t="s">
        <v>3278</v>
      </c>
      <c r="D5" s="19" t="str">
        <f>IFERROR(IF(VLOOKUP(T_TraitDi[[#This Row],[NumL]],T_suiviDi[#Data],COLUMN(T_suiviDi[Nom]),FALSE)&lt;&gt;"",VLOOKUP(T_TraitDi[[#This Row],[NumL]],T_suiviDi[#Data],COLUMN(T_suiviDi[Nom]),FALSE),""),"")</f>
        <v>A</v>
      </c>
      <c r="E5" s="19" t="str">
        <f>IFERROR(IF(VLOOKUP(T_TraitDi[[#This Row],[NumL]],T_suiviDi[#Data],COLUMN(T_suiviDi[Prénom]),FALSE)&lt;&gt;"",VLOOKUP(T_TraitDi[[#This Row],[NumL]],T_suiviDi[#Data],COLUMN(T_suiviDi[Prénom]),FALSE),""),"")</f>
        <v>Cécile</v>
      </c>
      <c r="F5" s="20" t="str">
        <f>IFERROR(IF(VLOOKUP(T_TraitDi[[#This Row],[NumL]],T_suiviDi[#Data],COLUMN(T_suiviDi[Email]),FALSE)&lt;&gt;"",VLOOKUP(T_TraitDi[[#This Row],[NumL]],T_suiviDi[#Data],COLUMN(T_suiviDi[Email]),FALSE),""),"")</f>
        <v/>
      </c>
      <c r="G5" s="57"/>
      <c r="H5" s="29" t="s">
        <v>64</v>
      </c>
      <c r="I5" s="30" t="s">
        <v>64</v>
      </c>
      <c r="J5" s="30" t="s">
        <v>64</v>
      </c>
      <c r="K5" s="30" t="s">
        <v>304</v>
      </c>
      <c r="L5" s="30" t="s">
        <v>64</v>
      </c>
      <c r="M5" s="17" t="s">
        <v>64</v>
      </c>
      <c r="N5" s="17" t="s">
        <v>64</v>
      </c>
      <c r="O5" s="17" t="s">
        <v>304</v>
      </c>
      <c r="P5" s="27">
        <f t="shared" si="0"/>
        <v>1</v>
      </c>
      <c r="Q5" s="75">
        <v>39448</v>
      </c>
      <c r="R5" s="76">
        <v>39448</v>
      </c>
      <c r="S5" s="77">
        <v>1</v>
      </c>
      <c r="T5" s="78">
        <v>1</v>
      </c>
      <c r="U5" s="213">
        <v>1.5451388888888891</v>
      </c>
      <c r="V5" s="78" t="s">
        <v>305</v>
      </c>
      <c r="W5" s="78" t="s">
        <v>210</v>
      </c>
      <c r="X5"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5" s="79">
        <f>IF((AND(T_TraitDi[[#This Row],[Nom]]&lt;&gt;"",T_TraitDi[[#This Row],[Reg Ponct]]="R")),(COUNTIF(AD5:BI5,"S")+COUNTIF(AD5:BI5,"T"))/2,"")</f>
        <v>4.5</v>
      </c>
      <c r="Z5" s="79">
        <f>IF((AND(T_TraitDi[[#This Row],[Nom]]&lt;&gt;"",T_TraitDi[[#This Row],[Reg Ponct]]="R")),COUNTIF(AD5:BI5,"S")/2,"")</f>
        <v>3</v>
      </c>
      <c r="AA5" s="80">
        <f>IF((AND(T_TraitDi[[#This Row],[Nom]]&lt;&gt;"",T_TraitDi[[#This Row],[Reg Ponct]]="R")),COUNTIF(AD5:BI5,"t")/2,"")</f>
        <v>1.5</v>
      </c>
      <c r="AB5" s="81">
        <f t="shared" si="1"/>
        <v>1.5451388888888893</v>
      </c>
      <c r="AC5" s="82">
        <f>IF((AND(T_TraitDi[[#This Row],[Nom]]&lt;&gt;"",T_TraitDi[[#This Row],[Reg Ponct]]="R")),IF(AD5="T",AF5-AE5,0)+IF(AG5="T",AI5-AH5,0)+IF(AK5="T",AM5-AL5,0)+IF(AN5="T",AP5-AO5,0)+IF(AR5="T",AT5-AS5,0)+IF(AU5="T",AW5-AV5,0)+IF(AY5="T",BA5-AZ5,0)+IF(BB5="T",BD5-BC5,0)+IF(BF5="T",BH5-BG5,0)+IF(BI5="T",BK5-BJ5,0),"")</f>
        <v>0.52083333333333348</v>
      </c>
      <c r="AD5" s="36" t="s">
        <v>307</v>
      </c>
      <c r="AE5" s="37">
        <v>0.33333333333333331</v>
      </c>
      <c r="AF5" s="37">
        <v>0.5</v>
      </c>
      <c r="AG5" s="21" t="s">
        <v>307</v>
      </c>
      <c r="AH5" s="37">
        <v>0.54166666666666663</v>
      </c>
      <c r="AI5" s="37">
        <v>0.70833333333333337</v>
      </c>
      <c r="AJ5" s="38">
        <f t="shared" si="2"/>
        <v>0.33333333333333343</v>
      </c>
      <c r="AK5" s="36" t="s">
        <v>306</v>
      </c>
      <c r="AL5" s="37">
        <v>0.33333333333333331</v>
      </c>
      <c r="AM5" s="37">
        <v>0.5</v>
      </c>
      <c r="AN5" s="21" t="s">
        <v>306</v>
      </c>
      <c r="AO5" s="37">
        <v>0.54166666666666663</v>
      </c>
      <c r="AP5" s="37">
        <v>0.70833333333333337</v>
      </c>
      <c r="AQ5" s="38">
        <f t="shared" si="3"/>
        <v>0.33333333333333343</v>
      </c>
      <c r="AR5" s="36" t="s">
        <v>306</v>
      </c>
      <c r="AS5" s="37">
        <v>0.33333333333333331</v>
      </c>
      <c r="AT5" s="37">
        <v>0.5</v>
      </c>
      <c r="AU5" s="21" t="s">
        <v>306</v>
      </c>
      <c r="AV5" s="37">
        <v>0.54166666666666663</v>
      </c>
      <c r="AW5" s="37">
        <v>0.73263888888888884</v>
      </c>
      <c r="AX5" s="38">
        <f t="shared" si="4"/>
        <v>0.3576388888888889</v>
      </c>
      <c r="AY5" s="36" t="s">
        <v>306</v>
      </c>
      <c r="AZ5" s="37">
        <v>0.33333333333333331</v>
      </c>
      <c r="BA5" s="37">
        <v>0.5</v>
      </c>
      <c r="BB5" s="21" t="s">
        <v>306</v>
      </c>
      <c r="BC5" s="37">
        <v>0.54166666666666663</v>
      </c>
      <c r="BD5" s="37">
        <v>0.70833333333333337</v>
      </c>
      <c r="BE5" s="38">
        <f t="shared" si="5"/>
        <v>0.33333333333333343</v>
      </c>
      <c r="BF5" s="36" t="s">
        <v>307</v>
      </c>
      <c r="BG5" s="37">
        <v>0.33333333333333331</v>
      </c>
      <c r="BH5" s="37">
        <v>0.52083333333333337</v>
      </c>
      <c r="BI5" s="21" t="s">
        <v>308</v>
      </c>
      <c r="BJ5" s="37"/>
      <c r="BK5" s="37"/>
      <c r="BL5" s="39">
        <f t="shared" si="6"/>
        <v>0.18750000000000006</v>
      </c>
      <c r="BM5" s="32" t="str">
        <f>IFERROR(IF(T_TraitDi[[#This Row],[Nom]]&lt;&gt;"",IF(T_TraitDi[[#This Row],[Deb Univ]]="","N/C",IF(Dateeffet-T_TraitDi[[#This Row],[Deb Univ]]&gt;365,"OK","PB")),""),"N/C")</f>
        <v>OK</v>
      </c>
      <c r="BN5" s="33" t="str">
        <f t="shared" ca="1" si="7"/>
        <v>OK</v>
      </c>
      <c r="BO5" s="33" t="str">
        <f t="shared" si="8"/>
        <v>OK</v>
      </c>
      <c r="BP5" s="34" t="str">
        <f t="shared" si="9"/>
        <v>OK</v>
      </c>
      <c r="BQ5" s="34" t="str">
        <f>IFERROR(IF((AND(T_TraitDi[[#This Row],[Nom]]&lt;&gt;"",T_TraitDi[[#This Row],[Reg Ponct]]="R")),IF(Z5="","N/C",IF(Z5&gt;=Nbjoursite,"OK","PB")),""),"N/C")</f>
        <v>OK</v>
      </c>
      <c r="BR5" s="34" t="str">
        <f>IFERROR(IF((AND(T_TraitDi[[#This Row],[Nom]]&lt;&gt;"",T_TraitDi[[#This Row],[Reg Ponct]]="R")),IF(AA5="","N/C",IF(AA5&lt;=VLOOKUP(T5,Quotite,2,FALSE),"OK","PB")),""),"N/C")</f>
        <v>OK</v>
      </c>
      <c r="BS5" s="34" t="str">
        <f>IFERROR(IF((AND(T_TraitDi[[#This Row],[Nom]]&lt;&gt;"",T_TraitDi[[#This Row],[Reg Ponct]]="R")),IF(OR(Y5="",Z5="",AA5=""),"N/C",IF(Z5+AA5=Y5,"OK","PB")),""),"N/C")</f>
        <v>OK</v>
      </c>
      <c r="BT5" s="34" t="str">
        <f>IFERROR(IF((AND(T_TraitDi[[#This Row],[Nom]]&lt;&gt;"",T_TraitDi[[#This Row],[Reg Ponct]]="R")),IF(AA5="","N/C",IF(COUNTIF(AD5:BL5,"T")=AA5*2,"OK","PB")),""),"N/C")</f>
        <v>OK</v>
      </c>
      <c r="BU5" s="35" t="str">
        <f>IF(OR(T_TraitDi[[#This Row],[Nom]]="",T_TraitDi[[#This Row],[Reg Ponct]]="P"),"",IFERROR(IF((HOUR(AC5)*60+MINUTE(AC5))/AA5&gt;HOUR(Amplitude_max)*60+MINUTE(Amplitude_max),"PB","OK"),"N/C"))</f>
        <v>OK</v>
      </c>
      <c r="BV5" s="35" t="str">
        <f>IF(T_TraitDi[[#This Row],[Nom]]="","",IF( T_TraitDi[[#This Row],[Reg Ponct]]="R",IFERROR(IF(AND(T_TraitDi[[#This Row],[Nbhheb]]&gt;0,T_TraitDi[[#This Row],[Reg Ponct]]= "R"),IF(T_TraitDi[[#This Row],[Nbhheb]]&lt;&gt;VLOOKUP("R"&amp;T_TraitDi[[#This Row],[Q2]]*100&amp;T_TraitDi[[#This Row],[ctrlH]], T_code_H[#Data],6,FALSE),"PB","OK"),"N/C"),"N/C"), "OK"))</f>
        <v>OK</v>
      </c>
      <c r="BW5" s="41">
        <f t="shared" ca="1" si="10"/>
        <v>1</v>
      </c>
      <c r="BX5" s="42" t="str">
        <f t="shared" ca="1" si="11"/>
        <v/>
      </c>
      <c r="BY5" s="40" t="str">
        <f t="shared" si="12"/>
        <v/>
      </c>
      <c r="BZ5" s="40" t="str">
        <f t="shared" ca="1" si="13"/>
        <v/>
      </c>
      <c r="CA5" s="40" t="str">
        <f t="shared" si="14"/>
        <v/>
      </c>
      <c r="CB5" s="40" t="str">
        <f t="shared" si="15"/>
        <v/>
      </c>
      <c r="CC5" s="40" t="str">
        <f t="shared" si="16"/>
        <v/>
      </c>
      <c r="CD5" s="40" t="str">
        <f t="shared" si="17"/>
        <v/>
      </c>
      <c r="CE5" s="40" t="str">
        <f t="shared" si="18"/>
        <v/>
      </c>
      <c r="CF5" s="40" t="str">
        <f t="shared" si="19"/>
        <v/>
      </c>
      <c r="CG5" s="40" t="str">
        <f t="shared" si="20"/>
        <v/>
      </c>
      <c r="CH5" s="40" t="str">
        <f t="shared" si="21"/>
        <v/>
      </c>
      <c r="CI5" s="16" t="s">
        <v>69</v>
      </c>
      <c r="CJ5" s="45" t="s">
        <v>725</v>
      </c>
      <c r="CK5" s="46" t="s">
        <v>376</v>
      </c>
      <c r="CL5" s="31" t="s">
        <v>341</v>
      </c>
      <c r="CM5" s="16"/>
      <c r="CN5" s="45" t="s">
        <v>1169</v>
      </c>
      <c r="CO5" s="46" t="s">
        <v>2988</v>
      </c>
      <c r="CP5" s="31" t="s">
        <v>1117</v>
      </c>
      <c r="CQ5" s="16" t="s">
        <v>311</v>
      </c>
      <c r="CR5" s="16" t="s">
        <v>311</v>
      </c>
      <c r="CS5" s="45" t="s">
        <v>726</v>
      </c>
      <c r="CT5" s="45" t="s">
        <v>727</v>
      </c>
      <c r="CU5" s="45" t="s">
        <v>728</v>
      </c>
      <c r="CV5" s="45" t="s">
        <v>729</v>
      </c>
      <c r="CW5" s="45"/>
      <c r="CX5" s="167"/>
      <c r="CY5" s="197">
        <f>VLOOKUP(T_TraitDi[[#This Row],[hh]],T_CTRL_H[#Data],2,TRUE)</f>
        <v>1</v>
      </c>
      <c r="CZ5" s="207">
        <f>T_TraitDi[[#This Row],[Hhebdo]]*24</f>
        <v>37.083333333333336</v>
      </c>
    </row>
    <row r="6" spans="1:104" ht="15" customHeight="1" x14ac:dyDescent="0.25">
      <c r="A6" s="90">
        <v>264</v>
      </c>
      <c r="B6" s="126" t="s">
        <v>3540</v>
      </c>
      <c r="C6" s="126" t="s">
        <v>3278</v>
      </c>
      <c r="D6" s="19" t="str">
        <f>IFERROR(IF(VLOOKUP(T_TraitDi[[#This Row],[NumL]],T_suiviDi[#Data],COLUMN(T_suiviDi[Nom]),FALSE)&lt;&gt;"",VLOOKUP(T_TraitDi[[#This Row],[NumL]],T_suiviDi[#Data],COLUMN(T_suiviDi[Nom]),FALSE),""),"")</f>
        <v>A</v>
      </c>
      <c r="E6" s="19" t="str">
        <f>IFERROR(IF(VLOOKUP(T_TraitDi[[#This Row],[NumL]],T_suiviDi[#Data],COLUMN(T_suiviDi[Prénom]),FALSE)&lt;&gt;"",VLOOKUP(T_TraitDi[[#This Row],[NumL]],T_suiviDi[#Data],COLUMN(T_suiviDi[Prénom]),FALSE),""),"")</f>
        <v>Anne-Sophie</v>
      </c>
      <c r="F6" s="20" t="str">
        <f>IFERROR(IF(VLOOKUP(T_TraitDi[[#This Row],[NumL]],T_suiviDi[#Data],COLUMN(T_suiviDi[Email]),FALSE)&lt;&gt;"",VLOOKUP(T_TraitDi[[#This Row],[NumL]],T_suiviDi[#Data],COLUMN(T_suiviDi[Email]),FALSE),""),"")</f>
        <v/>
      </c>
      <c r="G6" s="57"/>
      <c r="H6" s="29" t="s">
        <v>64</v>
      </c>
      <c r="I6" s="30" t="s">
        <v>64</v>
      </c>
      <c r="J6" s="30" t="s">
        <v>64</v>
      </c>
      <c r="K6" s="30" t="s">
        <v>304</v>
      </c>
      <c r="L6" s="30" t="s">
        <v>64</v>
      </c>
      <c r="M6" s="17" t="s">
        <v>64</v>
      </c>
      <c r="N6" s="17" t="s">
        <v>64</v>
      </c>
      <c r="O6" s="17" t="s">
        <v>304</v>
      </c>
      <c r="P6" s="27">
        <f t="shared" si="0"/>
        <v>1</v>
      </c>
      <c r="Q6" s="75">
        <v>43710</v>
      </c>
      <c r="R6" s="76">
        <v>43710</v>
      </c>
      <c r="S6" s="77">
        <v>1</v>
      </c>
      <c r="T6" s="78">
        <v>1</v>
      </c>
      <c r="U6" s="213">
        <v>1.5451388888888891</v>
      </c>
      <c r="V6" s="78" t="s">
        <v>305</v>
      </c>
      <c r="W6" s="78" t="s">
        <v>211</v>
      </c>
      <c r="X6"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20</v>
      </c>
      <c r="Y6" s="79" t="str">
        <f>IF((AND(T_TraitDi[[#This Row],[Nom]]&lt;&gt;"",T_TraitDi[[#This Row],[Reg Ponct]]="R")),(COUNTIF(AD6:BI6,"S")+COUNTIF(AD6:BI6,"T"))/2,"")</f>
        <v/>
      </c>
      <c r="Z6" s="79" t="str">
        <f>IF((AND(T_TraitDi[[#This Row],[Nom]]&lt;&gt;"",T_TraitDi[[#This Row],[Reg Ponct]]="R")),COUNTIF(AD6:BI6,"S")/2,"")</f>
        <v/>
      </c>
      <c r="AA6" s="80" t="str">
        <f>IF((AND(T_TraitDi[[#This Row],[Nom]]&lt;&gt;"",T_TraitDi[[#This Row],[Reg Ponct]]="R")),COUNTIF(AD6:BI6,"t")/2,"")</f>
        <v/>
      </c>
      <c r="AB6" s="81">
        <f t="shared" si="1"/>
        <v>0</v>
      </c>
      <c r="AC6" s="82" t="str">
        <f>IF((AND(T_TraitDi[[#This Row],[Nom]]&lt;&gt;"",T_TraitDi[[#This Row],[Reg Ponct]]="R")),IF(AD6="T",AF6-AE6,0)+IF(AG6="T",AI6-AH6,0)+IF(AK6="T",AM6-AL6,0)+IF(AN6="T",AP6-AO6,0)+IF(AR6="T",AT6-AS6,0)+IF(AU6="T",AW6-AV6,0)+IF(AY6="T",BA6-AZ6,0)+IF(BB6="T",BD6-BC6,0)+IF(BF6="T",BH6-BG6,0)+IF(BI6="T",BK6-BJ6,0),"")</f>
        <v/>
      </c>
      <c r="AD6" s="36"/>
      <c r="AE6" s="37"/>
      <c r="AF6" s="37"/>
      <c r="AG6" s="21"/>
      <c r="AH6" s="37"/>
      <c r="AI6" s="37"/>
      <c r="AJ6" s="38">
        <f t="shared" si="2"/>
        <v>0</v>
      </c>
      <c r="AK6" s="36"/>
      <c r="AL6" s="37"/>
      <c r="AM6" s="37"/>
      <c r="AN6" s="21"/>
      <c r="AO6" s="37"/>
      <c r="AP6" s="37"/>
      <c r="AQ6" s="38">
        <f t="shared" si="3"/>
        <v>0</v>
      </c>
      <c r="AR6" s="36"/>
      <c r="AS6" s="37"/>
      <c r="AT6" s="37"/>
      <c r="AU6" s="21"/>
      <c r="AV6" s="37"/>
      <c r="AW6" s="37"/>
      <c r="AX6" s="38">
        <f t="shared" si="4"/>
        <v>0</v>
      </c>
      <c r="AY6" s="36"/>
      <c r="AZ6" s="37"/>
      <c r="BA6" s="37"/>
      <c r="BB6" s="21"/>
      <c r="BC6" s="37"/>
      <c r="BD6" s="37"/>
      <c r="BE6" s="38">
        <f t="shared" si="5"/>
        <v>0</v>
      </c>
      <c r="BF6" s="36"/>
      <c r="BG6" s="37"/>
      <c r="BH6" s="37"/>
      <c r="BI6" s="21"/>
      <c r="BJ6" s="37"/>
      <c r="BK6" s="37"/>
      <c r="BL6" s="39">
        <f t="shared" si="6"/>
        <v>0</v>
      </c>
      <c r="BM6" s="32" t="str">
        <f>IFERROR(IF(T_TraitDi[[#This Row],[Nom]]&lt;&gt;"",IF(T_TraitDi[[#This Row],[Deb Univ]]="","N/C",IF(Dateeffet-T_TraitDi[[#This Row],[Deb Univ]]&gt;365,"OK","PB")),""),"N/C")</f>
        <v>OK</v>
      </c>
      <c r="BN6" s="33" t="str">
        <f t="shared" ca="1" si="7"/>
        <v>OK</v>
      </c>
      <c r="BO6" s="33" t="str">
        <f t="shared" si="8"/>
        <v>OK</v>
      </c>
      <c r="BP6" s="34" t="str">
        <f t="shared" si="9"/>
        <v>OK</v>
      </c>
      <c r="BQ6" s="34" t="str">
        <f>IFERROR(IF((AND(T_TraitDi[[#This Row],[Nom]]&lt;&gt;"",T_TraitDi[[#This Row],[Reg Ponct]]="R")),IF(Z6="","N/C",IF(Z6&gt;=Nbjoursite,"OK","PB")),""),"N/C")</f>
        <v/>
      </c>
      <c r="BR6" s="34" t="str">
        <f>IFERROR(IF((AND(T_TraitDi[[#This Row],[Nom]]&lt;&gt;"",T_TraitDi[[#This Row],[Reg Ponct]]="R")),IF(AA6="","N/C",IF(AA6&lt;=VLOOKUP(T6,Quotite,2,FALSE),"OK","PB")),""),"N/C")</f>
        <v/>
      </c>
      <c r="BS6" s="34" t="str">
        <f>IFERROR(IF((AND(T_TraitDi[[#This Row],[Nom]]&lt;&gt;"",T_TraitDi[[#This Row],[Reg Ponct]]="R")),IF(OR(Y6="",Z6="",AA6=""),"N/C",IF(Z6+AA6=Y6,"OK","PB")),""),"N/C")</f>
        <v/>
      </c>
      <c r="BT6" s="34" t="str">
        <f>IFERROR(IF((AND(T_TraitDi[[#This Row],[Nom]]&lt;&gt;"",T_TraitDi[[#This Row],[Reg Ponct]]="R")),IF(AA6="","N/C",IF(COUNTIF(AD6:BL6,"T")=AA6*2,"OK","PB")),""),"N/C")</f>
        <v/>
      </c>
      <c r="BU6" s="35" t="str">
        <f>IF(OR(T_TraitDi[[#This Row],[Nom]]="",T_TraitDi[[#This Row],[Reg Ponct]]="P"),"",IFERROR(IF((HOUR(AC6)*60+MINUTE(AC6))/AA6&gt;HOUR(Amplitude_max)*60+MINUTE(Amplitude_max),"PB","OK"),"N/C"))</f>
        <v/>
      </c>
      <c r="BV6" s="35" t="str">
        <f>IF(T_TraitDi[[#This Row],[Nom]]="","",IF( T_TraitDi[[#This Row],[Reg Ponct]]="R",IFERROR(IF(AND(T_TraitDi[[#This Row],[Nbhheb]]&gt;0,T_TraitDi[[#This Row],[Reg Ponct]]= "R"),IF(T_TraitDi[[#This Row],[Nbhheb]]&lt;&gt;VLOOKUP("R"&amp;T_TraitDi[[#This Row],[Q2]]*100&amp;T_TraitDi[[#This Row],[ctrlH]], T_code_H[#Data],6,FALSE),"PB","OK"),"N/C"),"N/C"), "OK"))</f>
        <v>OK</v>
      </c>
      <c r="BW6" s="41">
        <f t="shared" ca="1" si="10"/>
        <v>1</v>
      </c>
      <c r="BX6" s="42" t="str">
        <f t="shared" ca="1" si="11"/>
        <v/>
      </c>
      <c r="BY6" s="40" t="str">
        <f t="shared" si="12"/>
        <v/>
      </c>
      <c r="BZ6" s="40" t="str">
        <f t="shared" ca="1" si="13"/>
        <v/>
      </c>
      <c r="CA6" s="40" t="str">
        <f t="shared" si="14"/>
        <v/>
      </c>
      <c r="CB6" s="40" t="str">
        <f t="shared" si="15"/>
        <v/>
      </c>
      <c r="CC6" s="40" t="str">
        <f t="shared" si="16"/>
        <v/>
      </c>
      <c r="CD6" s="40" t="str">
        <f t="shared" si="17"/>
        <v/>
      </c>
      <c r="CE6" s="40" t="str">
        <f t="shared" si="18"/>
        <v/>
      </c>
      <c r="CF6" s="40" t="str">
        <f t="shared" si="19"/>
        <v/>
      </c>
      <c r="CG6" s="40" t="str">
        <f t="shared" si="20"/>
        <v/>
      </c>
      <c r="CH6" s="40" t="str">
        <f t="shared" si="21"/>
        <v/>
      </c>
      <c r="CI6" s="16" t="s">
        <v>69</v>
      </c>
      <c r="CJ6" s="45" t="s">
        <v>1162</v>
      </c>
      <c r="CK6" s="46" t="s">
        <v>376</v>
      </c>
      <c r="CL6" s="31" t="s">
        <v>341</v>
      </c>
      <c r="CM6" s="16"/>
      <c r="CN6" s="45" t="s">
        <v>1169</v>
      </c>
      <c r="CO6" s="46" t="s">
        <v>2988</v>
      </c>
      <c r="CP6" s="31" t="s">
        <v>1117</v>
      </c>
      <c r="CQ6" s="16" t="s">
        <v>311</v>
      </c>
      <c r="CR6" s="16" t="s">
        <v>311</v>
      </c>
      <c r="CS6" s="45"/>
      <c r="CT6" s="45"/>
      <c r="CU6" s="45"/>
      <c r="CV6" s="45"/>
      <c r="CW6" s="45"/>
      <c r="CX6" s="167"/>
      <c r="CY6" s="197">
        <f>VLOOKUP(T_TraitDi[[#This Row],[hh]],T_CTRL_H[#Data],2,TRUE)</f>
        <v>1</v>
      </c>
      <c r="CZ6" s="207">
        <f>T_TraitDi[[#This Row],[Hhebdo]]*24</f>
        <v>37.083333333333336</v>
      </c>
    </row>
    <row r="7" spans="1:104" ht="15" customHeight="1" x14ac:dyDescent="0.25">
      <c r="A7" s="90">
        <v>346</v>
      </c>
      <c r="B7" s="126" t="s">
        <v>3540</v>
      </c>
      <c r="C7" s="126" t="s">
        <v>3278</v>
      </c>
      <c r="D7" s="19" t="str">
        <f>IFERROR(IF(VLOOKUP(T_TraitDi[[#This Row],[NumL]],T_suiviDi[#Data],COLUMN(T_suiviDi[Nom]),FALSE)&lt;&gt;"",VLOOKUP(T_TraitDi[[#This Row],[NumL]],T_suiviDi[#Data],COLUMN(T_suiviDi[Nom]),FALSE),""),"")</f>
        <v>A</v>
      </c>
      <c r="E7" s="19" t="str">
        <f>IFERROR(IF(VLOOKUP(T_TraitDi[[#This Row],[NumL]],T_suiviDi[#Data],COLUMN(T_suiviDi[Prénom]),FALSE)&lt;&gt;"",VLOOKUP(T_TraitDi[[#This Row],[NumL]],T_suiviDi[#Data],COLUMN(T_suiviDi[Prénom]),FALSE),""),"")</f>
        <v>Julie</v>
      </c>
      <c r="F7" s="20" t="str">
        <f>IFERROR(IF(VLOOKUP(T_TraitDi[[#This Row],[NumL]],T_suiviDi[#Data],COLUMN(T_suiviDi[Email]),FALSE)&lt;&gt;"",VLOOKUP(T_TraitDi[[#This Row],[NumL]],T_suiviDi[#Data],COLUMN(T_suiviDi[Email]),FALSE),""),"")</f>
        <v/>
      </c>
      <c r="G7" s="57"/>
      <c r="H7" s="29" t="s">
        <v>64</v>
      </c>
      <c r="I7" s="17" t="s">
        <v>64</v>
      </c>
      <c r="J7" s="30" t="s">
        <v>64</v>
      </c>
      <c r="K7" s="30" t="s">
        <v>304</v>
      </c>
      <c r="L7" s="30" t="s">
        <v>64</v>
      </c>
      <c r="M7" s="17" t="s">
        <v>64</v>
      </c>
      <c r="N7" s="30" t="s">
        <v>64</v>
      </c>
      <c r="O7" s="17" t="s">
        <v>304</v>
      </c>
      <c r="P7" s="27">
        <f t="shared" si="0"/>
        <v>1</v>
      </c>
      <c r="Q7" s="75">
        <v>41030</v>
      </c>
      <c r="R7" s="76">
        <v>41883</v>
      </c>
      <c r="S7" s="77">
        <v>1</v>
      </c>
      <c r="T7" s="78">
        <v>1</v>
      </c>
      <c r="U7" s="213">
        <v>1.5451388888888891</v>
      </c>
      <c r="V7" s="78" t="s">
        <v>305</v>
      </c>
      <c r="W7" s="78" t="s">
        <v>210</v>
      </c>
      <c r="X7"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7" s="79">
        <f>IF((AND(T_TraitDi[[#This Row],[Nom]]&lt;&gt;"",T_TraitDi[[#This Row],[Reg Ponct]]="R")),(COUNTIF(AD7:BI7,"S")+COUNTIF(AD7:BI7,"T"))/2,"")</f>
        <v>5</v>
      </c>
      <c r="Z7" s="79">
        <f>IF((AND(T_TraitDi[[#This Row],[Nom]]&lt;&gt;"",T_TraitDi[[#This Row],[Reg Ponct]]="R")),COUNTIF(AD7:BI7,"S")/2,"")</f>
        <v>4</v>
      </c>
      <c r="AA7" s="80">
        <f>IF((AND(T_TraitDi[[#This Row],[Nom]]&lt;&gt;"",T_TraitDi[[#This Row],[Reg Ponct]]="R")),COUNTIF(AD7:BI7,"t")/2,"")</f>
        <v>1</v>
      </c>
      <c r="AB7" s="81">
        <f t="shared" si="1"/>
        <v>1.5451388888888891</v>
      </c>
      <c r="AC7" s="82">
        <f>IF((AND(T_TraitDi[[#This Row],[Nom]]&lt;&gt;"",T_TraitDi[[#This Row],[Reg Ponct]]="R")),IF(AD7="T",AF7-AE7,0)+IF(AG7="T",AI7-AH7,0)+IF(AK7="T",AM7-AL7,0)+IF(AN7="T",AP7-AO7,0)+IF(AR7="T",AT7-AS7,0)+IF(AU7="T",AW7-AV7,0)+IF(AY7="T",BA7-AZ7,0)+IF(BB7="T",BD7-BC7,0)+IF(BF7="T",BH7-BG7,0)+IF(BI7="T",BK7-BJ7,0),"")</f>
        <v>0.31250000000000006</v>
      </c>
      <c r="AD7" s="36" t="s">
        <v>306</v>
      </c>
      <c r="AE7" s="37">
        <v>0.35416666666666669</v>
      </c>
      <c r="AF7" s="37">
        <v>0.5</v>
      </c>
      <c r="AG7" s="21" t="s">
        <v>306</v>
      </c>
      <c r="AH7" s="37">
        <v>0.54166666666666663</v>
      </c>
      <c r="AI7" s="37">
        <v>0.70833333333333337</v>
      </c>
      <c r="AJ7" s="38">
        <f t="shared" si="2"/>
        <v>0.31250000000000006</v>
      </c>
      <c r="AK7" s="36" t="s">
        <v>306</v>
      </c>
      <c r="AL7" s="37">
        <v>0.35416666666666669</v>
      </c>
      <c r="AM7" s="37">
        <v>0.5</v>
      </c>
      <c r="AN7" s="21" t="s">
        <v>306</v>
      </c>
      <c r="AO7" s="37">
        <v>0.54166666666666663</v>
      </c>
      <c r="AP7" s="37">
        <v>0.70833333333333337</v>
      </c>
      <c r="AQ7" s="38">
        <f t="shared" si="3"/>
        <v>0.31250000000000006</v>
      </c>
      <c r="AR7" s="36" t="s">
        <v>306</v>
      </c>
      <c r="AS7" s="37">
        <v>0.35416666666666669</v>
      </c>
      <c r="AT7" s="37">
        <v>0.5</v>
      </c>
      <c r="AU7" s="21" t="s">
        <v>306</v>
      </c>
      <c r="AV7" s="37">
        <v>0.54166666666666663</v>
      </c>
      <c r="AW7" s="37">
        <v>0.70833333333333337</v>
      </c>
      <c r="AX7" s="38">
        <f t="shared" si="4"/>
        <v>0.31250000000000006</v>
      </c>
      <c r="AY7" s="36" t="s">
        <v>307</v>
      </c>
      <c r="AZ7" s="37">
        <v>0.35416666666666669</v>
      </c>
      <c r="BA7" s="37">
        <v>0.5</v>
      </c>
      <c r="BB7" s="21" t="s">
        <v>307</v>
      </c>
      <c r="BC7" s="37">
        <v>0.54166666666666663</v>
      </c>
      <c r="BD7" s="37">
        <v>0.70833333333333337</v>
      </c>
      <c r="BE7" s="38">
        <f t="shared" si="5"/>
        <v>0.31250000000000006</v>
      </c>
      <c r="BF7" s="36" t="s">
        <v>306</v>
      </c>
      <c r="BG7" s="37">
        <v>0.35416666666666669</v>
      </c>
      <c r="BH7" s="37">
        <v>0.5</v>
      </c>
      <c r="BI7" s="21" t="s">
        <v>306</v>
      </c>
      <c r="BJ7" s="37">
        <v>0.54166666666666663</v>
      </c>
      <c r="BK7" s="37">
        <v>0.69097222222222221</v>
      </c>
      <c r="BL7" s="39">
        <f t="shared" si="6"/>
        <v>0.2951388888888889</v>
      </c>
      <c r="BM7" s="32" t="str">
        <f>IFERROR(IF(T_TraitDi[[#This Row],[Nom]]&lt;&gt;"",IF(T_TraitDi[[#This Row],[Deb Univ]]="","N/C",IF(Dateeffet-T_TraitDi[[#This Row],[Deb Univ]]&gt;365,"OK","PB")),""),"N/C")</f>
        <v>OK</v>
      </c>
      <c r="BN7" s="33" t="str">
        <f t="shared" ca="1" si="7"/>
        <v>OK</v>
      </c>
      <c r="BO7" s="33" t="str">
        <f t="shared" si="8"/>
        <v>OK</v>
      </c>
      <c r="BP7" s="34" t="str">
        <f t="shared" si="9"/>
        <v>OK</v>
      </c>
      <c r="BQ7" s="34" t="str">
        <f>IFERROR(IF((AND(T_TraitDi[[#This Row],[Nom]]&lt;&gt;"",T_TraitDi[[#This Row],[Reg Ponct]]="R")),IF(Z7="","N/C",IF(Z7&gt;=Nbjoursite,"OK","PB")),""),"N/C")</f>
        <v>OK</v>
      </c>
      <c r="BR7" s="34" t="str">
        <f>IFERROR(IF((AND(T_TraitDi[[#This Row],[Nom]]&lt;&gt;"",T_TraitDi[[#This Row],[Reg Ponct]]="R")),IF(AA7="","N/C",IF(AA7&lt;=VLOOKUP(T7,Quotite,2,FALSE),"OK","PB")),""),"N/C")</f>
        <v>OK</v>
      </c>
      <c r="BS7" s="34" t="str">
        <f>IFERROR(IF((AND(T_TraitDi[[#This Row],[Nom]]&lt;&gt;"",T_TraitDi[[#This Row],[Reg Ponct]]="R")),IF(OR(Y7="",Z7="",AA7=""),"N/C",IF(Z7+AA7=Y7,"OK","PB")),""),"N/C")</f>
        <v>OK</v>
      </c>
      <c r="BT7" s="34" t="str">
        <f>IFERROR(IF((AND(T_TraitDi[[#This Row],[Nom]]&lt;&gt;"",T_TraitDi[[#This Row],[Reg Ponct]]="R")),IF(AA7="","N/C",IF(COUNTIF(AD7:BL7,"T")=AA7*2,"OK","PB")),""),"N/C")</f>
        <v>OK</v>
      </c>
      <c r="BU7" s="35" t="str">
        <f>IF(OR(T_TraitDi[[#This Row],[Nom]]="",T_TraitDi[[#This Row],[Reg Ponct]]="P"),"",IFERROR(IF((HOUR(AC7)*60+MINUTE(AC7))/AA7&gt;HOUR(Amplitude_max)*60+MINUTE(Amplitude_max),"PB","OK"),"N/C"))</f>
        <v>OK</v>
      </c>
      <c r="BV7" s="35" t="str">
        <f>IF(T_TraitDi[[#This Row],[Nom]]="","",IF( T_TraitDi[[#This Row],[Reg Ponct]]="R",IFERROR(IF(AND(T_TraitDi[[#This Row],[Nbhheb]]&gt;0,T_TraitDi[[#This Row],[Reg Ponct]]= "R"),IF(T_TraitDi[[#This Row],[Nbhheb]]&lt;&gt;VLOOKUP("R"&amp;T_TraitDi[[#This Row],[Q2]]*100&amp;T_TraitDi[[#This Row],[ctrlH]], T_code_H[#Data],6,FALSE),"PB","OK"),"N/C"),"N/C"), "OK"))</f>
        <v>OK</v>
      </c>
      <c r="BW7" s="41">
        <f t="shared" ca="1" si="10"/>
        <v>1</v>
      </c>
      <c r="BX7" s="42" t="str">
        <f t="shared" ca="1" si="11"/>
        <v/>
      </c>
      <c r="BY7" s="40" t="str">
        <f t="shared" si="12"/>
        <v/>
      </c>
      <c r="BZ7" s="40" t="str">
        <f t="shared" ca="1" si="13"/>
        <v/>
      </c>
      <c r="CA7" s="40" t="str">
        <f t="shared" si="14"/>
        <v/>
      </c>
      <c r="CB7" s="40" t="str">
        <f t="shared" si="15"/>
        <v/>
      </c>
      <c r="CC7" s="40" t="str">
        <f t="shared" si="16"/>
        <v/>
      </c>
      <c r="CD7" s="40" t="str">
        <f t="shared" si="17"/>
        <v/>
      </c>
      <c r="CE7" s="40" t="str">
        <f t="shared" si="18"/>
        <v/>
      </c>
      <c r="CF7" s="40" t="str">
        <f t="shared" si="19"/>
        <v/>
      </c>
      <c r="CG7" s="40" t="str">
        <f t="shared" si="20"/>
        <v/>
      </c>
      <c r="CH7" s="40" t="str">
        <f t="shared" si="21"/>
        <v/>
      </c>
      <c r="CI7" s="16" t="s">
        <v>69</v>
      </c>
      <c r="CJ7" s="45" t="s">
        <v>3614</v>
      </c>
      <c r="CK7" s="46" t="s">
        <v>376</v>
      </c>
      <c r="CL7" s="31" t="s">
        <v>341</v>
      </c>
      <c r="CM7" s="16"/>
      <c r="CN7" s="45" t="s">
        <v>1169</v>
      </c>
      <c r="CO7" s="46"/>
      <c r="CP7" s="31"/>
      <c r="CQ7" s="16" t="s">
        <v>311</v>
      </c>
      <c r="CR7" s="16" t="s">
        <v>311</v>
      </c>
      <c r="CS7" s="45" t="s">
        <v>3612</v>
      </c>
      <c r="CT7" s="45" t="s">
        <v>1128</v>
      </c>
      <c r="CU7" s="45" t="s">
        <v>3613</v>
      </c>
      <c r="CV7" s="45" t="s">
        <v>489</v>
      </c>
      <c r="CW7" s="45" t="s">
        <v>426</v>
      </c>
      <c r="CX7" s="167"/>
      <c r="CY7" s="197">
        <f>VLOOKUP(T_TraitDi[[#This Row],[hh]],T_CTRL_H[#Data],2,TRUE)</f>
        <v>1</v>
      </c>
      <c r="CZ7" s="207">
        <f>T_TraitDi[[#This Row],[Hhebdo]]*24</f>
        <v>37.083333333333336</v>
      </c>
    </row>
    <row r="8" spans="1:104" ht="15" customHeight="1" x14ac:dyDescent="0.25">
      <c r="A8" s="90">
        <v>221</v>
      </c>
      <c r="B8" s="126" t="s">
        <v>3558</v>
      </c>
      <c r="C8" s="126" t="s">
        <v>3278</v>
      </c>
      <c r="D8" s="19" t="str">
        <f>IFERROR(IF(VLOOKUP(T_TraitDi[[#This Row],[NumL]],T_suiviDi[#Data],COLUMN(T_suiviDi[Nom]),FALSE)&lt;&gt;"",VLOOKUP(T_TraitDi[[#This Row],[NumL]],T_suiviDi[#Data],COLUMN(T_suiviDi[Nom]),FALSE),""),"")</f>
        <v>A</v>
      </c>
      <c r="E8" s="19" t="str">
        <f>IFERROR(IF(VLOOKUP(T_TraitDi[[#This Row],[NumL]],T_suiviDi[#Data],COLUMN(T_suiviDi[Prénom]),FALSE)&lt;&gt;"",VLOOKUP(T_TraitDi[[#This Row],[NumL]],T_suiviDi[#Data],COLUMN(T_suiviDi[Prénom]),FALSE),""),"")</f>
        <v>Marie</v>
      </c>
      <c r="F8" s="20" t="str">
        <f>IFERROR(IF(VLOOKUP(T_TraitDi[[#This Row],[NumL]],T_suiviDi[#Data],COLUMN(T_suiviDi[Email]),FALSE)&lt;&gt;"",VLOOKUP(T_TraitDi[[#This Row],[NumL]],T_suiviDi[#Data],COLUMN(T_suiviDi[Email]),FALSE),""),"")</f>
        <v/>
      </c>
      <c r="G8" s="57"/>
      <c r="H8" s="29" t="s">
        <v>64</v>
      </c>
      <c r="I8" s="30" t="s">
        <v>64</v>
      </c>
      <c r="J8" s="30" t="s">
        <v>64</v>
      </c>
      <c r="K8" s="30" t="s">
        <v>304</v>
      </c>
      <c r="L8" s="30" t="s">
        <v>64</v>
      </c>
      <c r="M8" s="17" t="s">
        <v>64</v>
      </c>
      <c r="N8" s="30" t="s">
        <v>64</v>
      </c>
      <c r="O8" s="17" t="s">
        <v>304</v>
      </c>
      <c r="P8" s="27">
        <f t="shared" si="0"/>
        <v>1</v>
      </c>
      <c r="Q8" s="75">
        <v>43556</v>
      </c>
      <c r="R8" s="76">
        <v>43556</v>
      </c>
      <c r="S8" s="77">
        <v>1</v>
      </c>
      <c r="T8" s="78">
        <v>1</v>
      </c>
      <c r="U8" s="213">
        <v>1.5451388888888891</v>
      </c>
      <c r="V8" s="78" t="s">
        <v>305</v>
      </c>
      <c r="W8" s="78" t="s">
        <v>210</v>
      </c>
      <c r="X8"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8" s="79">
        <f>IF((AND(T_TraitDi[[#This Row],[Nom]]&lt;&gt;"",T_TraitDi[[#This Row],[Reg Ponct]]="R")),(COUNTIF(AD8:BI8,"S")+COUNTIF(AD8:BI8,"T"))/2,"")</f>
        <v>4.5</v>
      </c>
      <c r="Z8" s="79">
        <f>IF((AND(T_TraitDi[[#This Row],[Nom]]&lt;&gt;"",T_TraitDi[[#This Row],[Reg Ponct]]="R")),COUNTIF(AD8:BI8,"S")/2,"")</f>
        <v>4</v>
      </c>
      <c r="AA8" s="80">
        <f>IF((AND(T_TraitDi[[#This Row],[Nom]]&lt;&gt;"",T_TraitDi[[#This Row],[Reg Ponct]]="R")),COUNTIF(AD8:BI8,"t")/2,"")</f>
        <v>0.5</v>
      </c>
      <c r="AB8" s="81">
        <f t="shared" si="1"/>
        <v>1.5451388888888891</v>
      </c>
      <c r="AC8" s="82">
        <f>IF((AND(T_TraitDi[[#This Row],[Nom]]&lt;&gt;"",T_TraitDi[[#This Row],[Reg Ponct]]="R")),IF(AD8="T",AF8-AE8,0)+IF(AG8="T",AI8-AH8,0)+IF(AK8="T",AM8-AL8,0)+IF(AN8="T",AP8-AO8,0)+IF(AR8="T",AT8-AS8,0)+IF(AU8="T",AW8-AV8,0)+IF(AY8="T",BA8-AZ8,0)+IF(BB8="T",BD8-BC8,0)+IF(BF8="T",BH8-BG8,0)+IF(BI8="T",BK8-BJ8,0),"")</f>
        <v>0.1701388888888889</v>
      </c>
      <c r="AD8" s="36" t="s">
        <v>306</v>
      </c>
      <c r="AE8" s="37">
        <v>0.36458333333333331</v>
      </c>
      <c r="AF8" s="37">
        <v>0.52083333333333337</v>
      </c>
      <c r="AG8" s="21" t="s">
        <v>306</v>
      </c>
      <c r="AH8" s="37">
        <v>0.5625</v>
      </c>
      <c r="AI8" s="37">
        <v>0.75</v>
      </c>
      <c r="AJ8" s="38">
        <f t="shared" si="2"/>
        <v>0.34375000000000006</v>
      </c>
      <c r="AK8" s="36" t="s">
        <v>306</v>
      </c>
      <c r="AL8" s="37">
        <v>0.36458333333333331</v>
      </c>
      <c r="AM8" s="37">
        <v>0.52083333333333337</v>
      </c>
      <c r="AN8" s="21" t="s">
        <v>306</v>
      </c>
      <c r="AO8" s="37">
        <v>0.5625</v>
      </c>
      <c r="AP8" s="37">
        <v>0.75</v>
      </c>
      <c r="AQ8" s="38">
        <f t="shared" si="3"/>
        <v>0.34375000000000006</v>
      </c>
      <c r="AR8" s="36" t="s">
        <v>306</v>
      </c>
      <c r="AS8" s="37">
        <v>0.36458333333333331</v>
      </c>
      <c r="AT8" s="37">
        <v>0.52083333333333337</v>
      </c>
      <c r="AU8" s="21" t="s">
        <v>306</v>
      </c>
      <c r="AV8" s="37">
        <v>0.5625</v>
      </c>
      <c r="AW8" s="37">
        <v>0.75</v>
      </c>
      <c r="AX8" s="38">
        <f t="shared" si="4"/>
        <v>0.34375000000000006</v>
      </c>
      <c r="AY8" s="36" t="s">
        <v>306</v>
      </c>
      <c r="AZ8" s="37">
        <v>0.36458333333333331</v>
      </c>
      <c r="BA8" s="37">
        <v>0.52083333333333337</v>
      </c>
      <c r="BB8" s="21" t="s">
        <v>306</v>
      </c>
      <c r="BC8" s="37">
        <v>0.5625</v>
      </c>
      <c r="BD8" s="37">
        <v>0.75</v>
      </c>
      <c r="BE8" s="38">
        <f t="shared" si="5"/>
        <v>0.34375000000000006</v>
      </c>
      <c r="BF8" s="36" t="s">
        <v>307</v>
      </c>
      <c r="BG8" s="37">
        <v>0.36458333333333331</v>
      </c>
      <c r="BH8" s="37">
        <v>0.53472222222222221</v>
      </c>
      <c r="BI8" s="21" t="s">
        <v>308</v>
      </c>
      <c r="BJ8" s="37"/>
      <c r="BK8" s="37"/>
      <c r="BL8" s="39">
        <f t="shared" si="6"/>
        <v>0.1701388888888889</v>
      </c>
      <c r="BM8" s="32" t="str">
        <f>IFERROR(IF(T_TraitDi[[#This Row],[Nom]]&lt;&gt;"",IF(T_TraitDi[[#This Row],[Deb Univ]]="","N/C",IF(Dateeffet-T_TraitDi[[#This Row],[Deb Univ]]&gt;365,"OK","PB")),""),"N/C")</f>
        <v>OK</v>
      </c>
      <c r="BN8" s="33" t="str">
        <f t="shared" ca="1" si="7"/>
        <v>OK</v>
      </c>
      <c r="BO8" s="33" t="str">
        <f t="shared" si="8"/>
        <v>OK</v>
      </c>
      <c r="BP8" s="34" t="str">
        <f t="shared" si="9"/>
        <v>OK</v>
      </c>
      <c r="BQ8" s="34" t="str">
        <f>IFERROR(IF((AND(T_TraitDi[[#This Row],[Nom]]&lt;&gt;"",T_TraitDi[[#This Row],[Reg Ponct]]="R")),IF(Z8="","N/C",IF(Z8&gt;=Nbjoursite,"OK","PB")),""),"N/C")</f>
        <v>OK</v>
      </c>
      <c r="BR8" s="34" t="str">
        <f>IFERROR(IF((AND(T_TraitDi[[#This Row],[Nom]]&lt;&gt;"",T_TraitDi[[#This Row],[Reg Ponct]]="R")),IF(AA8="","N/C",IF(AA8&lt;=VLOOKUP(T8,Quotite,2,FALSE),"OK","PB")),""),"N/C")</f>
        <v>OK</v>
      </c>
      <c r="BS8" s="34" t="str">
        <f>IFERROR(IF((AND(T_TraitDi[[#This Row],[Nom]]&lt;&gt;"",T_TraitDi[[#This Row],[Reg Ponct]]="R")),IF(OR(Y8="",Z8="",AA8=""),"N/C",IF(Z8+AA8=Y8,"OK","PB")),""),"N/C")</f>
        <v>OK</v>
      </c>
      <c r="BT8" s="34" t="str">
        <f>IFERROR(IF((AND(T_TraitDi[[#This Row],[Nom]]&lt;&gt;"",T_TraitDi[[#This Row],[Reg Ponct]]="R")),IF(AA8="","N/C",IF(COUNTIF(AD8:BL8,"T")=AA8*2,"OK","PB")),""),"N/C")</f>
        <v>OK</v>
      </c>
      <c r="BU8" s="35" t="str">
        <f>IF(OR(T_TraitDi[[#This Row],[Nom]]="",T_TraitDi[[#This Row],[Reg Ponct]]="P"),"",IFERROR(IF((HOUR(AC8)*60+MINUTE(AC8))/AA8&gt;HOUR(Amplitude_max)*60+MINUTE(Amplitude_max),"PB","OK"),"N/C"))</f>
        <v>OK</v>
      </c>
      <c r="BV8" s="35" t="str">
        <f>IF(T_TraitDi[[#This Row],[Nom]]="","",IF( T_TraitDi[[#This Row],[Reg Ponct]]="R",IFERROR(IF(AND(T_TraitDi[[#This Row],[Nbhheb]]&gt;0,T_TraitDi[[#This Row],[Reg Ponct]]= "R"),IF(T_TraitDi[[#This Row],[Nbhheb]]&lt;&gt;VLOOKUP("R"&amp;T_TraitDi[[#This Row],[Q2]]*100&amp;T_TraitDi[[#This Row],[ctrlH]], T_code_H[#Data],6,FALSE),"PB","OK"),"N/C"),"N/C"), "OK"))</f>
        <v>OK</v>
      </c>
      <c r="BW8" s="41">
        <f t="shared" ca="1" si="10"/>
        <v>1</v>
      </c>
      <c r="BX8" s="42" t="str">
        <f t="shared" ca="1" si="11"/>
        <v/>
      </c>
      <c r="BY8" s="40" t="str">
        <f t="shared" si="12"/>
        <v/>
      </c>
      <c r="BZ8" s="40" t="str">
        <f t="shared" ca="1" si="13"/>
        <v/>
      </c>
      <c r="CA8" s="40" t="str">
        <f t="shared" si="14"/>
        <v/>
      </c>
      <c r="CB8" s="40" t="str">
        <f t="shared" si="15"/>
        <v/>
      </c>
      <c r="CC8" s="40" t="str">
        <f t="shared" si="16"/>
        <v/>
      </c>
      <c r="CD8" s="40" t="str">
        <f t="shared" si="17"/>
        <v/>
      </c>
      <c r="CE8" s="40" t="str">
        <f t="shared" si="18"/>
        <v/>
      </c>
      <c r="CF8" s="40" t="str">
        <f t="shared" si="19"/>
        <v/>
      </c>
      <c r="CG8" s="40" t="str">
        <f t="shared" si="20"/>
        <v/>
      </c>
      <c r="CH8" s="40" t="str">
        <f t="shared" si="21"/>
        <v/>
      </c>
      <c r="CI8" s="16" t="s">
        <v>69</v>
      </c>
      <c r="CJ8" s="45" t="s">
        <v>1120</v>
      </c>
      <c r="CK8" s="46" t="s">
        <v>1121</v>
      </c>
      <c r="CL8" s="31" t="s">
        <v>1122</v>
      </c>
      <c r="CM8" s="16"/>
      <c r="CN8" s="45" t="s">
        <v>1169</v>
      </c>
      <c r="CO8" s="46" t="s">
        <v>2988</v>
      </c>
      <c r="CP8" s="31" t="s">
        <v>1117</v>
      </c>
      <c r="CQ8" s="16" t="s">
        <v>311</v>
      </c>
      <c r="CR8" s="16" t="s">
        <v>311</v>
      </c>
      <c r="CS8" s="45" t="s">
        <v>1123</v>
      </c>
      <c r="CT8" s="45" t="s">
        <v>1124</v>
      </c>
      <c r="CU8" s="45" t="s">
        <v>1125</v>
      </c>
      <c r="CV8" s="45"/>
      <c r="CW8" s="45"/>
      <c r="CX8" s="167"/>
      <c r="CY8" s="197">
        <f>VLOOKUP(T_TraitDi[[#This Row],[hh]],T_CTRL_H[#Data],2,TRUE)</f>
        <v>1</v>
      </c>
      <c r="CZ8" s="207">
        <f>T_TraitDi[[#This Row],[Hhebdo]]*24</f>
        <v>37.083333333333336</v>
      </c>
    </row>
    <row r="9" spans="1:104" ht="15" customHeight="1" x14ac:dyDescent="0.25">
      <c r="A9" s="90">
        <v>340</v>
      </c>
      <c r="B9" s="126" t="s">
        <v>3540</v>
      </c>
      <c r="C9" s="126" t="s">
        <v>3278</v>
      </c>
      <c r="D9" s="19" t="str">
        <f>IFERROR(IF(VLOOKUP(T_TraitDi[[#This Row],[NumL]],T_suiviDi[#Data],COLUMN(T_suiviDi[Nom]),FALSE)&lt;&gt;"",VLOOKUP(T_TraitDi[[#This Row],[NumL]],T_suiviDi[#Data],COLUMN(T_suiviDi[Nom]),FALSE),""),"")</f>
        <v>A</v>
      </c>
      <c r="E9" s="19" t="str">
        <f>IFERROR(IF(VLOOKUP(T_TraitDi[[#This Row],[NumL]],T_suiviDi[#Data],COLUMN(T_suiviDi[Prénom]),FALSE)&lt;&gt;"",VLOOKUP(T_TraitDi[[#This Row],[NumL]],T_suiviDi[#Data],COLUMN(T_suiviDi[Prénom]),FALSE),""),"")</f>
        <v>Tiphaine</v>
      </c>
      <c r="F9" s="20" t="str">
        <f>IFERROR(IF(VLOOKUP(T_TraitDi[[#This Row],[NumL]],T_suiviDi[#Data],COLUMN(T_suiviDi[Email]),FALSE)&lt;&gt;"",VLOOKUP(T_TraitDi[[#This Row],[NumL]],T_suiviDi[#Data],COLUMN(T_suiviDi[Email]),FALSE),""),"")</f>
        <v/>
      </c>
      <c r="G9" s="57"/>
      <c r="H9" s="29" t="s">
        <v>64</v>
      </c>
      <c r="I9" s="30" t="s">
        <v>64</v>
      </c>
      <c r="J9" s="30" t="s">
        <v>64</v>
      </c>
      <c r="K9" s="30" t="s">
        <v>304</v>
      </c>
      <c r="L9" s="30" t="s">
        <v>64</v>
      </c>
      <c r="M9" s="17" t="s">
        <v>64</v>
      </c>
      <c r="N9" s="17" t="s">
        <v>64</v>
      </c>
      <c r="O9" s="17" t="s">
        <v>304</v>
      </c>
      <c r="P9" s="27">
        <f t="shared" si="0"/>
        <v>1</v>
      </c>
      <c r="Q9" s="75">
        <v>44075</v>
      </c>
      <c r="R9" s="76">
        <v>44075</v>
      </c>
      <c r="S9" s="77">
        <v>1</v>
      </c>
      <c r="T9" s="78">
        <v>1</v>
      </c>
      <c r="U9" s="213">
        <v>1.5451388888888891</v>
      </c>
      <c r="V9" s="78" t="s">
        <v>305</v>
      </c>
      <c r="W9" s="78" t="s">
        <v>210</v>
      </c>
      <c r="X9"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9" s="79">
        <f>IF((AND(T_TraitDi[[#This Row],[Nom]]&lt;&gt;"",T_TraitDi[[#This Row],[Reg Ponct]]="R")),(COUNTIF(AD9:BI9,"S")+COUNTIF(AD9:BI9,"T"))/2,"")</f>
        <v>4.5</v>
      </c>
      <c r="Z9" s="79">
        <f>IF((AND(T_TraitDi[[#This Row],[Nom]]&lt;&gt;"",T_TraitDi[[#This Row],[Reg Ponct]]="R")),COUNTIF(AD9:BI9,"S")/2,"")</f>
        <v>3.5</v>
      </c>
      <c r="AA9" s="80">
        <f>IF((AND(T_TraitDi[[#This Row],[Nom]]&lt;&gt;"",T_TraitDi[[#This Row],[Reg Ponct]]="R")),COUNTIF(AD9:BI9,"t")/2,"")</f>
        <v>1</v>
      </c>
      <c r="AB9" s="81">
        <f t="shared" si="1"/>
        <v>1.5451388888888891</v>
      </c>
      <c r="AC9" s="82">
        <f>IF((AND(T_TraitDi[[#This Row],[Nom]]&lt;&gt;"",T_TraitDi[[#This Row],[Reg Ponct]]="R")),IF(AD9="T",AF9-AE9,0)+IF(AG9="T",AI9-AH9,0)+IF(AK9="T",AM9-AL9,0)+IF(AN9="T",AP9-AO9,0)+IF(AR9="T",AT9-AS9,0)+IF(AU9="T",AW9-AV9,0)+IF(AY9="T",BA9-AZ9,0)+IF(BB9="T",BD9-BC9,0)+IF(BF9="T",BH9-BG9,0)+IF(BI9="T",BK9-BJ9,0),"")</f>
        <v>0.37499999999999994</v>
      </c>
      <c r="AD9" s="36" t="s">
        <v>306</v>
      </c>
      <c r="AE9" s="37">
        <v>0.35416666666666669</v>
      </c>
      <c r="AF9" s="37">
        <v>0.52083333333333337</v>
      </c>
      <c r="AG9" s="21" t="s">
        <v>306</v>
      </c>
      <c r="AH9" s="37">
        <v>0.5625</v>
      </c>
      <c r="AI9" s="37">
        <v>0.75</v>
      </c>
      <c r="AJ9" s="38">
        <f t="shared" si="2"/>
        <v>0.35416666666666669</v>
      </c>
      <c r="AK9" s="36" t="s">
        <v>306</v>
      </c>
      <c r="AL9" s="37">
        <v>0.36458333333333331</v>
      </c>
      <c r="AM9" s="37">
        <v>0.52083333333333337</v>
      </c>
      <c r="AN9" s="21" t="s">
        <v>307</v>
      </c>
      <c r="AO9" s="37">
        <v>0.5625</v>
      </c>
      <c r="AP9" s="37">
        <v>0.75</v>
      </c>
      <c r="AQ9" s="38">
        <f t="shared" si="3"/>
        <v>0.34375000000000006</v>
      </c>
      <c r="AR9" s="36" t="s">
        <v>306</v>
      </c>
      <c r="AS9" s="37">
        <v>0.35416666666666669</v>
      </c>
      <c r="AT9" s="37">
        <v>0.52083333333333337</v>
      </c>
      <c r="AU9" s="21" t="s">
        <v>306</v>
      </c>
      <c r="AV9" s="37">
        <v>0.5625</v>
      </c>
      <c r="AW9" s="37">
        <v>0.75</v>
      </c>
      <c r="AX9" s="38">
        <f t="shared" si="4"/>
        <v>0.35416666666666669</v>
      </c>
      <c r="AY9" s="36" t="s">
        <v>307</v>
      </c>
      <c r="AZ9" s="37">
        <v>0.35416666666666669</v>
      </c>
      <c r="BA9" s="37">
        <v>0.54166666666666663</v>
      </c>
      <c r="BB9" s="21" t="s">
        <v>308</v>
      </c>
      <c r="BC9" s="37"/>
      <c r="BD9" s="37"/>
      <c r="BE9" s="38">
        <f t="shared" si="5"/>
        <v>0.18749999999999994</v>
      </c>
      <c r="BF9" s="36" t="s">
        <v>306</v>
      </c>
      <c r="BG9" s="37">
        <v>0.36458333333333331</v>
      </c>
      <c r="BH9" s="37">
        <v>0.52083333333333337</v>
      </c>
      <c r="BI9" s="21" t="s">
        <v>306</v>
      </c>
      <c r="BJ9" s="37">
        <v>0.5625</v>
      </c>
      <c r="BK9" s="37">
        <v>0.71180555555555547</v>
      </c>
      <c r="BL9" s="39">
        <f t="shared" si="6"/>
        <v>0.30555555555555552</v>
      </c>
      <c r="BM9" s="32" t="str">
        <f>IFERROR(IF(T_TraitDi[[#This Row],[Nom]]&lt;&gt;"",IF(T_TraitDi[[#This Row],[Deb Univ]]="","N/C",IF(Dateeffet-T_TraitDi[[#This Row],[Deb Univ]]&gt;365,"OK","PB")),""),"N/C")</f>
        <v>PB</v>
      </c>
      <c r="BN9" s="33" t="str">
        <f t="shared" ca="1" si="7"/>
        <v>OK</v>
      </c>
      <c r="BO9" s="33" t="str">
        <f t="shared" si="8"/>
        <v>OK</v>
      </c>
      <c r="BP9" s="34" t="str">
        <f t="shared" si="9"/>
        <v>OK</v>
      </c>
      <c r="BQ9" s="34" t="str">
        <f>IFERROR(IF((AND(T_TraitDi[[#This Row],[Nom]]&lt;&gt;"",T_TraitDi[[#This Row],[Reg Ponct]]="R")),IF(Z9="","N/C",IF(Z9&gt;=Nbjoursite,"OK","PB")),""),"N/C")</f>
        <v>OK</v>
      </c>
      <c r="BR9" s="34" t="str">
        <f>IFERROR(IF((AND(T_TraitDi[[#This Row],[Nom]]&lt;&gt;"",T_TraitDi[[#This Row],[Reg Ponct]]="R")),IF(AA9="","N/C",IF(AA9&lt;=VLOOKUP(T9,Quotite,2,FALSE),"OK","PB")),""),"N/C")</f>
        <v>OK</v>
      </c>
      <c r="BS9" s="34" t="str">
        <f>IFERROR(IF((AND(T_TraitDi[[#This Row],[Nom]]&lt;&gt;"",T_TraitDi[[#This Row],[Reg Ponct]]="R")),IF(OR(Y9="",Z9="",AA9=""),"N/C",IF(Z9+AA9=Y9,"OK","PB")),""),"N/C")</f>
        <v>OK</v>
      </c>
      <c r="BT9" s="34" t="str">
        <f>IFERROR(IF((AND(T_TraitDi[[#This Row],[Nom]]&lt;&gt;"",T_TraitDi[[#This Row],[Reg Ponct]]="R")),IF(AA9="","N/C",IF(COUNTIF(AD9:BL9,"T")=AA9*2,"OK","PB")),""),"N/C")</f>
        <v>OK</v>
      </c>
      <c r="BU9" s="35" t="str">
        <f>IF(OR(T_TraitDi[[#This Row],[Nom]]="",T_TraitDi[[#This Row],[Reg Ponct]]="P"),"",IFERROR(IF((HOUR(AC9)*60+MINUTE(AC9))/AA9&gt;HOUR(Amplitude_max)*60+MINUTE(Amplitude_max),"PB","OK"),"N/C"))</f>
        <v>OK</v>
      </c>
      <c r="BV9" s="35" t="str">
        <f>IF(T_TraitDi[[#This Row],[Nom]]="","",IF( T_TraitDi[[#This Row],[Reg Ponct]]="R",IFERROR(IF(AND(T_TraitDi[[#This Row],[Nbhheb]]&gt;0,T_TraitDi[[#This Row],[Reg Ponct]]= "R"),IF(T_TraitDi[[#This Row],[Nbhheb]]&lt;&gt;VLOOKUP("R"&amp;T_TraitDi[[#This Row],[Q2]]*100&amp;T_TraitDi[[#This Row],[ctrlH]], T_code_H[#Data],6,FALSE),"PB","OK"),"N/C"),"N/C"), "OK"))</f>
        <v>OK</v>
      </c>
      <c r="BW9" s="41">
        <f t="shared" ca="1" si="10"/>
        <v>3</v>
      </c>
      <c r="BX9" s="42" t="str">
        <f t="shared" ca="1" si="11"/>
        <v xml:space="preserve">Ancienneté à l'Université de moins d'un an / </v>
      </c>
      <c r="BY9" s="40" t="str">
        <f t="shared" si="12"/>
        <v xml:space="preserve">Ancienneté à l'Université de moins d'un an / </v>
      </c>
      <c r="BZ9" s="40" t="str">
        <f t="shared" ca="1" si="13"/>
        <v/>
      </c>
      <c r="CA9" s="40" t="str">
        <f t="shared" si="14"/>
        <v/>
      </c>
      <c r="CB9" s="40" t="str">
        <f t="shared" si="15"/>
        <v/>
      </c>
      <c r="CC9" s="40" t="str">
        <f t="shared" si="16"/>
        <v/>
      </c>
      <c r="CD9" s="40" t="str">
        <f t="shared" si="17"/>
        <v/>
      </c>
      <c r="CE9" s="40" t="str">
        <f t="shared" si="18"/>
        <v/>
      </c>
      <c r="CF9" s="40" t="str">
        <f t="shared" si="19"/>
        <v/>
      </c>
      <c r="CG9" s="40" t="str">
        <f t="shared" si="20"/>
        <v/>
      </c>
      <c r="CH9" s="40" t="str">
        <f t="shared" si="21"/>
        <v/>
      </c>
      <c r="CI9" s="16" t="s">
        <v>69</v>
      </c>
      <c r="CJ9" s="45" t="s">
        <v>3608</v>
      </c>
      <c r="CK9" s="46" t="s">
        <v>353</v>
      </c>
      <c r="CL9" s="31" t="s">
        <v>354</v>
      </c>
      <c r="CM9" s="16"/>
      <c r="CN9" s="45" t="s">
        <v>1169</v>
      </c>
      <c r="CO9" s="46"/>
      <c r="CP9" s="31"/>
      <c r="CQ9" s="16" t="s">
        <v>322</v>
      </c>
      <c r="CR9" s="16" t="s">
        <v>311</v>
      </c>
      <c r="CS9" s="45" t="s">
        <v>425</v>
      </c>
      <c r="CT9" s="45" t="s">
        <v>3609</v>
      </c>
      <c r="CU9" s="45" t="s">
        <v>3610</v>
      </c>
      <c r="CV9" s="45" t="s">
        <v>3611</v>
      </c>
      <c r="CW9" s="45"/>
      <c r="CX9" s="167"/>
      <c r="CY9" s="197">
        <f>VLOOKUP(T_TraitDi[[#This Row],[hh]],T_CTRL_H[#Data],2,TRUE)</f>
        <v>1</v>
      </c>
      <c r="CZ9" s="207">
        <f>T_TraitDi[[#This Row],[Hhebdo]]*24</f>
        <v>37.083333333333336</v>
      </c>
    </row>
    <row r="10" spans="1:104" ht="15" customHeight="1" x14ac:dyDescent="0.25">
      <c r="A10" s="90">
        <v>12</v>
      </c>
      <c r="B10" s="126" t="s">
        <v>3558</v>
      </c>
      <c r="C10" s="126" t="s">
        <v>3278</v>
      </c>
      <c r="D10" s="19" t="str">
        <f>IFERROR(IF(VLOOKUP(T_TraitDi[[#This Row],[NumL]],T_suiviDi[#Data],COLUMN(T_suiviDi[Nom]),FALSE)&lt;&gt;"",VLOOKUP(T_TraitDi[[#This Row],[NumL]],T_suiviDi[#Data],COLUMN(T_suiviDi[Nom]),FALSE),""),"")</f>
        <v>A</v>
      </c>
      <c r="E10" s="19" t="str">
        <f>IFERROR(IF(VLOOKUP(T_TraitDi[[#This Row],[NumL]],T_suiviDi[#Data],COLUMN(T_suiviDi[Prénom]),FALSE)&lt;&gt;"",VLOOKUP(T_TraitDi[[#This Row],[NumL]],T_suiviDi[#Data],COLUMN(T_suiviDi[Prénom]),FALSE),""),"")</f>
        <v>Manuel</v>
      </c>
      <c r="F10" s="20" t="str">
        <f>IFERROR(IF(VLOOKUP(T_TraitDi[[#This Row],[NumL]],T_suiviDi[#Data],COLUMN(T_suiviDi[Email]),FALSE)&lt;&gt;"",VLOOKUP(T_TraitDi[[#This Row],[NumL]],T_suiviDi[#Data],COLUMN(T_suiviDi[Email]),FALSE),""),"")</f>
        <v/>
      </c>
      <c r="G10" s="57"/>
      <c r="H10" s="29" t="s">
        <v>64</v>
      </c>
      <c r="I10" s="30" t="s">
        <v>64</v>
      </c>
      <c r="J10" s="30" t="s">
        <v>64</v>
      </c>
      <c r="K10" s="30" t="s">
        <v>304</v>
      </c>
      <c r="L10" s="30" t="s">
        <v>64</v>
      </c>
      <c r="M10" s="17" t="s">
        <v>64</v>
      </c>
      <c r="N10" s="17" t="s">
        <v>64</v>
      </c>
      <c r="O10" s="17" t="s">
        <v>304</v>
      </c>
      <c r="P10" s="27">
        <f t="shared" si="0"/>
        <v>1</v>
      </c>
      <c r="Q10" s="75">
        <v>43344</v>
      </c>
      <c r="R10" s="76">
        <v>40422</v>
      </c>
      <c r="S10" s="77">
        <v>1</v>
      </c>
      <c r="T10" s="78">
        <v>1</v>
      </c>
      <c r="U10" s="213">
        <v>1.5451388888888891</v>
      </c>
      <c r="V10" s="78" t="s">
        <v>305</v>
      </c>
      <c r="W10" s="78" t="s">
        <v>210</v>
      </c>
      <c r="X10"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0" s="79">
        <f>IF((AND(T_TraitDi[[#This Row],[Nom]]&lt;&gt;"",T_TraitDi[[#This Row],[Reg Ponct]]="R")),(COUNTIF(AD10:BI10,"S")+COUNTIF(AD10:BI10,"T"))/2,"")</f>
        <v>5</v>
      </c>
      <c r="Z10" s="79">
        <f>IF((AND(T_TraitDi[[#This Row],[Nom]]&lt;&gt;"",T_TraitDi[[#This Row],[Reg Ponct]]="R")),COUNTIF(AD10:BI10,"S")/2,"")</f>
        <v>4</v>
      </c>
      <c r="AA10" s="80">
        <f>IF((AND(T_TraitDi[[#This Row],[Nom]]&lt;&gt;"",T_TraitDi[[#This Row],[Reg Ponct]]="R")),COUNTIF(AD10:BI10,"t")/2,"")</f>
        <v>1</v>
      </c>
      <c r="AB10" s="81">
        <f t="shared" si="1"/>
        <v>1.5451388888888888</v>
      </c>
      <c r="AC10" s="82">
        <f>IF((AND(T_TraitDi[[#This Row],[Nom]]&lt;&gt;"",T_TraitDi[[#This Row],[Reg Ponct]]="R")),IF(AD10="T",AF10-AE10,0)+IF(AG10="T",AI10-AH10,0)+IF(AK10="T",AM10-AL10,0)+IF(AN10="T",AP10-AO10,0)+IF(AR10="T",AT10-AS10,0)+IF(AU10="T",AW10-AV10,0)+IF(AY10="T",BA10-AZ10,0)+IF(BB10="T",BD10-BC10,0)+IF(BF10="T",BH10-BG10,0)+IF(BI10="T",BK10-BJ10,0),"")</f>
        <v>0.3125</v>
      </c>
      <c r="AD10" s="36" t="s">
        <v>306</v>
      </c>
      <c r="AE10" s="37">
        <v>0.32291666666666669</v>
      </c>
      <c r="AF10" s="37">
        <v>0.5</v>
      </c>
      <c r="AG10" s="21" t="s">
        <v>306</v>
      </c>
      <c r="AH10" s="37">
        <v>0.54166666666666663</v>
      </c>
      <c r="AI10" s="37">
        <v>0.67708333333333337</v>
      </c>
      <c r="AJ10" s="38">
        <f t="shared" si="2"/>
        <v>0.31250000000000006</v>
      </c>
      <c r="AK10" s="36" t="s">
        <v>307</v>
      </c>
      <c r="AL10" s="37">
        <v>0.3125</v>
      </c>
      <c r="AM10" s="37">
        <v>0.5</v>
      </c>
      <c r="AN10" s="21" t="s">
        <v>307</v>
      </c>
      <c r="AO10" s="37">
        <v>0.54166666666666663</v>
      </c>
      <c r="AP10" s="37">
        <v>0.66666666666666663</v>
      </c>
      <c r="AQ10" s="38">
        <f t="shared" si="3"/>
        <v>0.3125</v>
      </c>
      <c r="AR10" s="36" t="s">
        <v>306</v>
      </c>
      <c r="AS10" s="37">
        <v>0.3125</v>
      </c>
      <c r="AT10" s="37">
        <v>0.5</v>
      </c>
      <c r="AU10" s="21" t="s">
        <v>306</v>
      </c>
      <c r="AV10" s="37">
        <v>0.54166666666666663</v>
      </c>
      <c r="AW10" s="37">
        <v>0.66666666666666663</v>
      </c>
      <c r="AX10" s="38">
        <f t="shared" si="4"/>
        <v>0.3125</v>
      </c>
      <c r="AY10" s="36" t="s">
        <v>306</v>
      </c>
      <c r="AZ10" s="37">
        <v>0.3125</v>
      </c>
      <c r="BA10" s="37">
        <v>0.5</v>
      </c>
      <c r="BB10" s="21" t="s">
        <v>306</v>
      </c>
      <c r="BC10" s="37">
        <v>0.54166666666666663</v>
      </c>
      <c r="BD10" s="37">
        <v>0.66666666666666663</v>
      </c>
      <c r="BE10" s="38">
        <f t="shared" si="5"/>
        <v>0.3125</v>
      </c>
      <c r="BF10" s="36" t="s">
        <v>306</v>
      </c>
      <c r="BG10" s="37">
        <v>0.3298611111111111</v>
      </c>
      <c r="BH10" s="37">
        <v>0.5</v>
      </c>
      <c r="BI10" s="21" t="s">
        <v>306</v>
      </c>
      <c r="BJ10" s="37">
        <v>0.54166666666666663</v>
      </c>
      <c r="BK10" s="37">
        <v>0.66666666666666663</v>
      </c>
      <c r="BL10" s="39">
        <f t="shared" si="6"/>
        <v>0.2951388888888889</v>
      </c>
      <c r="BM10" s="32" t="str">
        <f>IFERROR(IF(T_TraitDi[[#This Row],[Nom]]&lt;&gt;"",IF(T_TraitDi[[#This Row],[Deb Univ]]="","N/C",IF(Dateeffet-T_TraitDi[[#This Row],[Deb Univ]]&gt;365,"OK","PB")),""),"N/C")</f>
        <v>OK</v>
      </c>
      <c r="BN10" s="33" t="str">
        <f t="shared" ca="1" si="7"/>
        <v>OK</v>
      </c>
      <c r="BO10" s="33" t="str">
        <f t="shared" si="8"/>
        <v>OK</v>
      </c>
      <c r="BP10" s="34" t="str">
        <f t="shared" si="9"/>
        <v>OK</v>
      </c>
      <c r="BQ10" s="34" t="str">
        <f>IFERROR(IF((AND(T_TraitDi[[#This Row],[Nom]]&lt;&gt;"",T_TraitDi[[#This Row],[Reg Ponct]]="R")),IF(Z10="","N/C",IF(Z10&gt;=Nbjoursite,"OK","PB")),""),"N/C")</f>
        <v>OK</v>
      </c>
      <c r="BR10" s="34" t="str">
        <f>IFERROR(IF((AND(T_TraitDi[[#This Row],[Nom]]&lt;&gt;"",T_TraitDi[[#This Row],[Reg Ponct]]="R")),IF(AA10="","N/C",IF(AA10&lt;=VLOOKUP(T10,Quotite,2,FALSE),"OK","PB")),""),"N/C")</f>
        <v>OK</v>
      </c>
      <c r="BS10" s="34" t="str">
        <f>IFERROR(IF((AND(T_TraitDi[[#This Row],[Nom]]&lt;&gt;"",T_TraitDi[[#This Row],[Reg Ponct]]="R")),IF(OR(Y10="",Z10="",AA10=""),"N/C",IF(Z10+AA10=Y10,"OK","PB")),""),"N/C")</f>
        <v>OK</v>
      </c>
      <c r="BT10" s="34" t="str">
        <f>IFERROR(IF((AND(T_TraitDi[[#This Row],[Nom]]&lt;&gt;"",T_TraitDi[[#This Row],[Reg Ponct]]="R")),IF(AA10="","N/C",IF(COUNTIF(AD10:BL10,"T")=AA10*2,"OK","PB")),""),"N/C")</f>
        <v>OK</v>
      </c>
      <c r="BU10" s="35" t="str">
        <f>IF(OR(T_TraitDi[[#This Row],[Nom]]="",T_TraitDi[[#This Row],[Reg Ponct]]="P"),"",IFERROR(IF((HOUR(AC10)*60+MINUTE(AC10))/AA10&gt;HOUR(Amplitude_max)*60+MINUTE(Amplitude_max),"PB","OK"),"N/C"))</f>
        <v>OK</v>
      </c>
      <c r="BV10" s="35" t="str">
        <f>IF(T_TraitDi[[#This Row],[Nom]]="","",IF( T_TraitDi[[#This Row],[Reg Ponct]]="R",IFERROR(IF(AND(T_TraitDi[[#This Row],[Nbhheb]]&gt;0,T_TraitDi[[#This Row],[Reg Ponct]]= "R"),IF(T_TraitDi[[#This Row],[Nbhheb]]&lt;&gt;VLOOKUP("R"&amp;T_TraitDi[[#This Row],[Q2]]*100&amp;T_TraitDi[[#This Row],[ctrlH]], T_code_H[#Data],6,FALSE),"PB","OK"),"N/C"),"N/C"), "OK"))</f>
        <v>OK</v>
      </c>
      <c r="BW10" s="41">
        <f t="shared" ca="1" si="10"/>
        <v>1</v>
      </c>
      <c r="BX10" s="42" t="str">
        <f t="shared" ca="1" si="11"/>
        <v/>
      </c>
      <c r="BY10" s="40" t="str">
        <f t="shared" si="12"/>
        <v/>
      </c>
      <c r="BZ10" s="40" t="str">
        <f t="shared" ca="1" si="13"/>
        <v/>
      </c>
      <c r="CA10" s="40" t="str">
        <f t="shared" si="14"/>
        <v/>
      </c>
      <c r="CB10" s="40" t="str">
        <f t="shared" si="15"/>
        <v/>
      </c>
      <c r="CC10" s="40" t="str">
        <f t="shared" si="16"/>
        <v/>
      </c>
      <c r="CD10" s="40" t="str">
        <f t="shared" si="17"/>
        <v/>
      </c>
      <c r="CE10" s="40" t="str">
        <f t="shared" si="18"/>
        <v/>
      </c>
      <c r="CF10" s="40" t="str">
        <f t="shared" si="19"/>
        <v/>
      </c>
      <c r="CG10" s="40" t="str">
        <f t="shared" si="20"/>
        <v/>
      </c>
      <c r="CH10" s="40" t="str">
        <f t="shared" si="21"/>
        <v/>
      </c>
      <c r="CI10" s="16" t="s">
        <v>69</v>
      </c>
      <c r="CJ10" s="45" t="s">
        <v>389</v>
      </c>
      <c r="CK10" s="46" t="s">
        <v>390</v>
      </c>
      <c r="CL10" s="31" t="s">
        <v>391</v>
      </c>
      <c r="CM10" s="16"/>
      <c r="CN10" s="45" t="s">
        <v>1169</v>
      </c>
      <c r="CO10" s="46" t="s">
        <v>2988</v>
      </c>
      <c r="CP10" s="31" t="s">
        <v>1117</v>
      </c>
      <c r="CQ10" s="16" t="s">
        <v>311</v>
      </c>
      <c r="CR10" s="16" t="s">
        <v>311</v>
      </c>
      <c r="CS10" s="45" t="s">
        <v>392</v>
      </c>
      <c r="CT10" s="45" t="s">
        <v>393</v>
      </c>
      <c r="CU10" s="45" t="s">
        <v>394</v>
      </c>
      <c r="CV10" s="45"/>
      <c r="CW10" s="45"/>
      <c r="CX10" s="167"/>
      <c r="CY10" s="206">
        <f>VLOOKUP(T_TraitDi[[#This Row],[hh]],T_CTRL_H[#Data],2,TRUE)</f>
        <v>1</v>
      </c>
      <c r="CZ10" s="207">
        <f>T_TraitDi[[#This Row],[Hhebdo]]*24</f>
        <v>37.083333333333336</v>
      </c>
    </row>
    <row r="11" spans="1:104" ht="15" customHeight="1" x14ac:dyDescent="0.25">
      <c r="A11" s="90">
        <v>298</v>
      </c>
      <c r="B11" s="126" t="s">
        <v>3540</v>
      </c>
      <c r="C11" s="126" t="s">
        <v>3278</v>
      </c>
      <c r="D11" s="19" t="str">
        <f>IFERROR(IF(VLOOKUP(T_TraitDi[[#This Row],[NumL]],T_suiviDi[#Data],COLUMN(T_suiviDi[Nom]),FALSE)&lt;&gt;"",VLOOKUP(T_TraitDi[[#This Row],[NumL]],T_suiviDi[#Data],COLUMN(T_suiviDi[Nom]),FALSE),""),"")</f>
        <v>A</v>
      </c>
      <c r="E11" s="19" t="str">
        <f>IFERROR(IF(VLOOKUP(T_TraitDi[[#This Row],[NumL]],T_suiviDi[#Data],COLUMN(T_suiviDi[Prénom]),FALSE)&lt;&gt;"",VLOOKUP(T_TraitDi[[#This Row],[NumL]],T_suiviDi[#Data],COLUMN(T_suiviDi[Prénom]),FALSE),""),"")</f>
        <v>Souad</v>
      </c>
      <c r="F11" s="20" t="str">
        <f>IFERROR(IF(VLOOKUP(T_TraitDi[[#This Row],[NumL]],T_suiviDi[#Data],COLUMN(T_suiviDi[Email]),FALSE)&lt;&gt;"",VLOOKUP(T_TraitDi[[#This Row],[NumL]],T_suiviDi[#Data],COLUMN(T_suiviDi[Email]),FALSE),""),"")</f>
        <v/>
      </c>
      <c r="G11" s="57"/>
      <c r="H11" s="29" t="s">
        <v>64</v>
      </c>
      <c r="I11" s="30" t="s">
        <v>64</v>
      </c>
      <c r="J11" s="30" t="s">
        <v>64</v>
      </c>
      <c r="K11" s="30" t="s">
        <v>304</v>
      </c>
      <c r="L11" s="30" t="s">
        <v>64</v>
      </c>
      <c r="M11" s="17" t="s">
        <v>64</v>
      </c>
      <c r="N11" s="17" t="s">
        <v>64</v>
      </c>
      <c r="O11" s="17" t="s">
        <v>304</v>
      </c>
      <c r="P11" s="27">
        <f t="shared" si="0"/>
        <v>1</v>
      </c>
      <c r="Q11" s="75">
        <v>36039</v>
      </c>
      <c r="R11" s="76">
        <v>42979</v>
      </c>
      <c r="S11" s="77">
        <v>1</v>
      </c>
      <c r="T11" s="78">
        <v>1</v>
      </c>
      <c r="U11" s="213">
        <v>1.5451388888888891</v>
      </c>
      <c r="V11" s="78" t="s">
        <v>632</v>
      </c>
      <c r="W11" s="78" t="s">
        <v>210</v>
      </c>
      <c r="X11"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1" s="79">
        <f>IF((AND(T_TraitDi[[#This Row],[Nom]]&lt;&gt;"",T_TraitDi[[#This Row],[Reg Ponct]]="R")),(COUNTIF(AD11:BI11,"S")+COUNTIF(AD11:BI11,"T"))/2,"")</f>
        <v>4.5</v>
      </c>
      <c r="Z11" s="79">
        <f>IF((AND(T_TraitDi[[#This Row],[Nom]]&lt;&gt;"",T_TraitDi[[#This Row],[Reg Ponct]]="R")),COUNTIF(AD11:BI11,"S")/2,"")</f>
        <v>3.5</v>
      </c>
      <c r="AA11" s="80">
        <f>IF((AND(T_TraitDi[[#This Row],[Nom]]&lt;&gt;"",T_TraitDi[[#This Row],[Reg Ponct]]="R")),COUNTIF(AD11:BI11,"t")/2,"")</f>
        <v>1</v>
      </c>
      <c r="AB11" s="81">
        <f t="shared" si="1"/>
        <v>1.5451388888888891</v>
      </c>
      <c r="AC11" s="82">
        <f>IF((AND(T_TraitDi[[#This Row],[Nom]]&lt;&gt;"",T_TraitDi[[#This Row],[Reg Ponct]]="R")),IF(AD11="T",AF11-AE11,0)+IF(AG11="T",AI11-AH11,0)+IF(AK11="T",AM11-AL11,0)+IF(AN11="T",AP11-AO11,0)+IF(AR11="T",AT11-AS11,0)+IF(AU11="T",AW11-AV11,0)+IF(AY11="T",BA11-AZ11,0)+IF(BB11="T",BD11-BC11,0)+IF(BF11="T",BH11-BG11,0)+IF(BI11="T",BK11-BJ11,0),"")</f>
        <v>0.35416666666666669</v>
      </c>
      <c r="AD11" s="36" t="s">
        <v>306</v>
      </c>
      <c r="AE11" s="37">
        <v>0.33333333333333331</v>
      </c>
      <c r="AF11" s="37">
        <v>0.54166666666666663</v>
      </c>
      <c r="AG11" s="21" t="s">
        <v>306</v>
      </c>
      <c r="AH11" s="37">
        <v>0.58333333333333337</v>
      </c>
      <c r="AI11" s="37">
        <v>0.69097222222222221</v>
      </c>
      <c r="AJ11" s="38">
        <f t="shared" si="2"/>
        <v>0.31597222222222215</v>
      </c>
      <c r="AK11" s="36" t="s">
        <v>306</v>
      </c>
      <c r="AL11" s="37">
        <v>0.33333333333333331</v>
      </c>
      <c r="AM11" s="37">
        <v>0.5</v>
      </c>
      <c r="AN11" s="21" t="s">
        <v>306</v>
      </c>
      <c r="AO11" s="37">
        <v>0.54166666666666663</v>
      </c>
      <c r="AP11" s="37">
        <v>0.6875</v>
      </c>
      <c r="AQ11" s="38">
        <f t="shared" si="3"/>
        <v>0.31250000000000006</v>
      </c>
      <c r="AR11" s="36" t="s">
        <v>306</v>
      </c>
      <c r="AS11" s="37">
        <v>0.33333333333333331</v>
      </c>
      <c r="AT11" s="37">
        <v>0.58333333333333337</v>
      </c>
      <c r="AU11" s="21" t="s">
        <v>308</v>
      </c>
      <c r="AV11" s="37"/>
      <c r="AW11" s="37"/>
      <c r="AX11" s="38">
        <f t="shared" si="4"/>
        <v>0.25000000000000006</v>
      </c>
      <c r="AY11" s="36" t="s">
        <v>306</v>
      </c>
      <c r="AZ11" s="37">
        <v>0.33333333333333331</v>
      </c>
      <c r="BA11" s="37">
        <v>0.5</v>
      </c>
      <c r="BB11" s="21" t="s">
        <v>306</v>
      </c>
      <c r="BC11" s="37">
        <v>0.54166666666666663</v>
      </c>
      <c r="BD11" s="37">
        <v>0.6875</v>
      </c>
      <c r="BE11" s="38">
        <f t="shared" si="5"/>
        <v>0.31250000000000006</v>
      </c>
      <c r="BF11" s="36" t="s">
        <v>307</v>
      </c>
      <c r="BG11" s="37">
        <v>0.33333333333333331</v>
      </c>
      <c r="BH11" s="37">
        <v>0.5</v>
      </c>
      <c r="BI11" s="21" t="s">
        <v>307</v>
      </c>
      <c r="BJ11" s="37">
        <v>0.54166666666666663</v>
      </c>
      <c r="BK11" s="37">
        <v>0.72916666666666663</v>
      </c>
      <c r="BL11" s="39">
        <f t="shared" si="6"/>
        <v>0.35416666666666669</v>
      </c>
      <c r="BM11" s="32" t="str">
        <f>IFERROR(IF(T_TraitDi[[#This Row],[Nom]]&lt;&gt;"",IF(T_TraitDi[[#This Row],[Deb Univ]]="","N/C",IF(Dateeffet-T_TraitDi[[#This Row],[Deb Univ]]&gt;365,"OK","PB")),""),"N/C")</f>
        <v>OK</v>
      </c>
      <c r="BN11" s="33" t="str">
        <f t="shared" ca="1" si="7"/>
        <v>OK</v>
      </c>
      <c r="BO11" s="33" t="str">
        <f t="shared" si="8"/>
        <v>OK</v>
      </c>
      <c r="BP11" s="34" t="str">
        <f t="shared" si="9"/>
        <v>OK</v>
      </c>
      <c r="BQ11" s="34" t="str">
        <f>IFERROR(IF((AND(T_TraitDi[[#This Row],[Nom]]&lt;&gt;"",T_TraitDi[[#This Row],[Reg Ponct]]="R")),IF(Z11="","N/C",IF(Z11&gt;=Nbjoursite,"OK","PB")),""),"N/C")</f>
        <v>OK</v>
      </c>
      <c r="BR11" s="34" t="str">
        <f>IFERROR(IF((AND(T_TraitDi[[#This Row],[Nom]]&lt;&gt;"",T_TraitDi[[#This Row],[Reg Ponct]]="R")),IF(AA11="","N/C",IF(AA11&lt;=VLOOKUP(T11,Quotite,2,FALSE),"OK","PB")),""),"N/C")</f>
        <v>OK</v>
      </c>
      <c r="BS11" s="34" t="str">
        <f>IFERROR(IF((AND(T_TraitDi[[#This Row],[Nom]]&lt;&gt;"",T_TraitDi[[#This Row],[Reg Ponct]]="R")),IF(OR(Y11="",Z11="",AA11=""),"N/C",IF(Z11+AA11=Y11,"OK","PB")),""),"N/C")</f>
        <v>OK</v>
      </c>
      <c r="BT11" s="34" t="str">
        <f>IFERROR(IF((AND(T_TraitDi[[#This Row],[Nom]]&lt;&gt;"",T_TraitDi[[#This Row],[Reg Ponct]]="R")),IF(AA11="","N/C",IF(COUNTIF(AD11:BL11,"T")=AA11*2,"OK","PB")),""),"N/C")</f>
        <v>OK</v>
      </c>
      <c r="BU11" s="35" t="str">
        <f>IF(OR(T_TraitDi[[#This Row],[Nom]]="",T_TraitDi[[#This Row],[Reg Ponct]]="P"),"",IFERROR(IF((HOUR(AC11)*60+MINUTE(AC11))/AA11&gt;HOUR(Amplitude_max)*60+MINUTE(Amplitude_max),"PB","OK"),"N/C"))</f>
        <v>OK</v>
      </c>
      <c r="BV11" s="35" t="str">
        <f>IF(T_TraitDi[[#This Row],[Nom]]="","",IF( T_TraitDi[[#This Row],[Reg Ponct]]="R",IFERROR(IF(AND(T_TraitDi[[#This Row],[Nbhheb]]&gt;0,T_TraitDi[[#This Row],[Reg Ponct]]= "R"),IF(T_TraitDi[[#This Row],[Nbhheb]]&lt;&gt;VLOOKUP("R"&amp;T_TraitDi[[#This Row],[Q2]]*100&amp;T_TraitDi[[#This Row],[ctrlH]], T_code_H[#Data],6,FALSE),"PB","OK"),"N/C"),"N/C"), "OK"))</f>
        <v>OK</v>
      </c>
      <c r="BW11" s="41">
        <f t="shared" ca="1" si="10"/>
        <v>1</v>
      </c>
      <c r="BX11" s="42" t="str">
        <f t="shared" ca="1" si="11"/>
        <v/>
      </c>
      <c r="BY11" s="40" t="str">
        <f t="shared" si="12"/>
        <v/>
      </c>
      <c r="BZ11" s="40" t="str">
        <f t="shared" ca="1" si="13"/>
        <v/>
      </c>
      <c r="CA11" s="40" t="str">
        <f t="shared" si="14"/>
        <v/>
      </c>
      <c r="CB11" s="40" t="str">
        <f t="shared" si="15"/>
        <v/>
      </c>
      <c r="CC11" s="40" t="str">
        <f t="shared" si="16"/>
        <v/>
      </c>
      <c r="CD11" s="40" t="str">
        <f t="shared" si="17"/>
        <v/>
      </c>
      <c r="CE11" s="40" t="str">
        <f t="shared" si="18"/>
        <v/>
      </c>
      <c r="CF11" s="40" t="str">
        <f t="shared" si="19"/>
        <v/>
      </c>
      <c r="CG11" s="40" t="str">
        <f t="shared" si="20"/>
        <v/>
      </c>
      <c r="CH11" s="40" t="str">
        <f t="shared" si="21"/>
        <v/>
      </c>
      <c r="CI11" s="16" t="s">
        <v>69</v>
      </c>
      <c r="CJ11" s="45" t="s">
        <v>3571</v>
      </c>
      <c r="CK11" s="46" t="s">
        <v>353</v>
      </c>
      <c r="CL11" s="31" t="s">
        <v>354</v>
      </c>
      <c r="CM11" s="16"/>
      <c r="CN11" s="45" t="s">
        <v>1169</v>
      </c>
      <c r="CO11" s="46"/>
      <c r="CP11" s="31"/>
      <c r="CQ11" s="16" t="s">
        <v>311</v>
      </c>
      <c r="CR11" s="16" t="s">
        <v>311</v>
      </c>
      <c r="CS11" s="45" t="s">
        <v>3572</v>
      </c>
      <c r="CT11" s="45" t="s">
        <v>3573</v>
      </c>
      <c r="CU11" s="45" t="s">
        <v>3574</v>
      </c>
      <c r="CV11" s="45" t="s">
        <v>3575</v>
      </c>
      <c r="CW11" s="45" t="s">
        <v>3576</v>
      </c>
      <c r="CX11" s="167"/>
      <c r="CY11" s="197">
        <f>VLOOKUP(T_TraitDi[[#This Row],[hh]],T_CTRL_H[#Data],2,TRUE)</f>
        <v>1</v>
      </c>
      <c r="CZ11" s="207">
        <f>T_TraitDi[[#This Row],[Hhebdo]]*24</f>
        <v>37.083333333333336</v>
      </c>
    </row>
    <row r="12" spans="1:104" ht="15" customHeight="1" x14ac:dyDescent="0.25">
      <c r="A12" s="90">
        <v>291</v>
      </c>
      <c r="B12" s="126" t="s">
        <v>3540</v>
      </c>
      <c r="C12" s="126" t="s">
        <v>3278</v>
      </c>
      <c r="D12" s="19" t="str">
        <f>IFERROR(IF(VLOOKUP(T_TraitDi[[#This Row],[NumL]],T_suiviDi[#Data],COLUMN(T_suiviDi[Nom]),FALSE)&lt;&gt;"",VLOOKUP(T_TraitDi[[#This Row],[NumL]],T_suiviDi[#Data],COLUMN(T_suiviDi[Nom]),FALSE),""),"")</f>
        <v>A</v>
      </c>
      <c r="E12" s="19" t="str">
        <f>IFERROR(IF(VLOOKUP(T_TraitDi[[#This Row],[NumL]],T_suiviDi[#Data],COLUMN(T_suiviDi[Prénom]),FALSE)&lt;&gt;"",VLOOKUP(T_TraitDi[[#This Row],[NumL]],T_suiviDi[#Data],COLUMN(T_suiviDi[Prénom]),FALSE),""),"")</f>
        <v>Nelly</v>
      </c>
      <c r="F12" s="20" t="str">
        <f>IFERROR(IF(VLOOKUP(T_TraitDi[[#This Row],[NumL]],T_suiviDi[#Data],COLUMN(T_suiviDi[Email]),FALSE)&lt;&gt;"",VLOOKUP(T_TraitDi[[#This Row],[NumL]],T_suiviDi[#Data],COLUMN(T_suiviDi[Email]),FALSE),""),"")</f>
        <v/>
      </c>
      <c r="G12" s="57"/>
      <c r="H12" s="29" t="s">
        <v>64</v>
      </c>
      <c r="I12" s="30" t="s">
        <v>64</v>
      </c>
      <c r="J12" s="30" t="s">
        <v>64</v>
      </c>
      <c r="K12" s="30" t="s">
        <v>64</v>
      </c>
      <c r="L12" s="30" t="s">
        <v>64</v>
      </c>
      <c r="M12" s="17" t="s">
        <v>64</v>
      </c>
      <c r="N12" s="17" t="s">
        <v>64</v>
      </c>
      <c r="O12" s="17" t="s">
        <v>304</v>
      </c>
      <c r="P12" s="27">
        <f t="shared" si="0"/>
        <v>1</v>
      </c>
      <c r="Q12" s="75">
        <v>44075</v>
      </c>
      <c r="R12" s="76">
        <v>44075</v>
      </c>
      <c r="S12" s="77">
        <v>0.8</v>
      </c>
      <c r="T12" s="78">
        <v>0.8</v>
      </c>
      <c r="U12" s="213">
        <v>1.2361111111111112</v>
      </c>
      <c r="V12" s="78" t="s">
        <v>305</v>
      </c>
      <c r="W12" s="78" t="s">
        <v>210</v>
      </c>
      <c r="X12"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8</v>
      </c>
      <c r="Y12" s="79">
        <f>IF((AND(T_TraitDi[[#This Row],[Nom]]&lt;&gt;"",T_TraitDi[[#This Row],[Reg Ponct]]="R")),(COUNTIF(AD12:BI12,"S")+COUNTIF(AD12:BI12,"T"))/2,"")</f>
        <v>4</v>
      </c>
      <c r="Z12" s="79">
        <f>IF((AND(T_TraitDi[[#This Row],[Nom]]&lt;&gt;"",T_TraitDi[[#This Row],[Reg Ponct]]="R")),COUNTIF(AD12:BI12,"S")/2,"")</f>
        <v>3</v>
      </c>
      <c r="AA12" s="80">
        <f>IF((AND(T_TraitDi[[#This Row],[Nom]]&lt;&gt;"",T_TraitDi[[#This Row],[Reg Ponct]]="R")),COUNTIF(AD12:BI12,"t")/2,"")</f>
        <v>1</v>
      </c>
      <c r="AB12" s="81">
        <f t="shared" si="1"/>
        <v>1.2361111111111114</v>
      </c>
      <c r="AC12" s="82">
        <f>IF((AND(T_TraitDi[[#This Row],[Nom]]&lt;&gt;"",T_TraitDi[[#This Row],[Reg Ponct]]="R")),IF(AD12="T",AF12-AE12,0)+IF(AG12="T",AI12-AH12,0)+IF(AK12="T",AM12-AL12,0)+IF(AN12="T",AP12-AO12,0)+IF(AR12="T",AT12-AS12,0)+IF(AU12="T",AW12-AV12,0)+IF(AY12="T",BA12-AZ12,0)+IF(BB12="T",BD12-BC12,0)+IF(BF12="T",BH12-BG12,0)+IF(BI12="T",BK12-BJ12,0),"")</f>
        <v>0.30902777777777785</v>
      </c>
      <c r="AD12" s="36" t="s">
        <v>306</v>
      </c>
      <c r="AE12" s="37">
        <v>0.36458333333333331</v>
      </c>
      <c r="AF12" s="37">
        <v>0.5</v>
      </c>
      <c r="AG12" s="21" t="s">
        <v>306</v>
      </c>
      <c r="AH12" s="37">
        <v>0.54166666666666663</v>
      </c>
      <c r="AI12" s="37">
        <v>0.71527777777777779</v>
      </c>
      <c r="AJ12" s="38">
        <f t="shared" si="2"/>
        <v>0.30902777777777785</v>
      </c>
      <c r="AK12" s="36" t="s">
        <v>306</v>
      </c>
      <c r="AL12" s="37">
        <v>0.36458333333333331</v>
      </c>
      <c r="AM12" s="37">
        <v>0.5</v>
      </c>
      <c r="AN12" s="21" t="s">
        <v>306</v>
      </c>
      <c r="AO12" s="37">
        <v>0.54166666666666663</v>
      </c>
      <c r="AP12" s="37">
        <v>0.71527777777777779</v>
      </c>
      <c r="AQ12" s="38">
        <f t="shared" si="3"/>
        <v>0.30902777777777785</v>
      </c>
      <c r="AR12" s="36" t="s">
        <v>307</v>
      </c>
      <c r="AS12" s="37">
        <v>0.36458333333333331</v>
      </c>
      <c r="AT12" s="37">
        <v>0.5</v>
      </c>
      <c r="AU12" s="21" t="s">
        <v>307</v>
      </c>
      <c r="AV12" s="37">
        <v>0.54166666666666663</v>
      </c>
      <c r="AW12" s="37">
        <v>0.71527777777777779</v>
      </c>
      <c r="AX12" s="38">
        <f t="shared" si="4"/>
        <v>0.30902777777777785</v>
      </c>
      <c r="AY12" s="36" t="s">
        <v>306</v>
      </c>
      <c r="AZ12" s="37">
        <v>0.36458333333333331</v>
      </c>
      <c r="BA12" s="37">
        <v>0.5</v>
      </c>
      <c r="BB12" s="21" t="s">
        <v>306</v>
      </c>
      <c r="BC12" s="37">
        <v>0.54166666666666663</v>
      </c>
      <c r="BD12" s="37">
        <v>0.71527777777777779</v>
      </c>
      <c r="BE12" s="38">
        <f t="shared" si="5"/>
        <v>0.30902777777777785</v>
      </c>
      <c r="BF12" s="36" t="s">
        <v>308</v>
      </c>
      <c r="BG12" s="37"/>
      <c r="BH12" s="37"/>
      <c r="BI12" s="21" t="s">
        <v>308</v>
      </c>
      <c r="BJ12" s="37"/>
      <c r="BK12" s="37"/>
      <c r="BL12" s="39">
        <f t="shared" si="6"/>
        <v>0</v>
      </c>
      <c r="BM12" s="32" t="str">
        <f>IFERROR(IF(T_TraitDi[[#This Row],[Nom]]&lt;&gt;"",IF(T_TraitDi[[#This Row],[Deb Univ]]="","N/C",IF(Dateeffet-T_TraitDi[[#This Row],[Deb Univ]]&gt;365,"OK","PB")),""),"N/C")</f>
        <v>PB</v>
      </c>
      <c r="BN12" s="33" t="str">
        <f t="shared" ca="1" si="7"/>
        <v>OK</v>
      </c>
      <c r="BO12" s="33" t="str">
        <f t="shared" si="8"/>
        <v>OK</v>
      </c>
      <c r="BP12" s="34" t="str">
        <f t="shared" si="9"/>
        <v>OK</v>
      </c>
      <c r="BQ12" s="34" t="str">
        <f>IFERROR(IF((AND(T_TraitDi[[#This Row],[Nom]]&lt;&gt;"",T_TraitDi[[#This Row],[Reg Ponct]]="R")),IF(Z12="","N/C",IF(Z12&gt;=Nbjoursite,"OK","PB")),""),"N/C")</f>
        <v>OK</v>
      </c>
      <c r="BR12" s="34" t="str">
        <f>IFERROR(IF((AND(T_TraitDi[[#This Row],[Nom]]&lt;&gt;"",T_TraitDi[[#This Row],[Reg Ponct]]="R")),IF(AA12="","N/C",IF(AA12&lt;=VLOOKUP(T12,Quotite,2,FALSE),"OK","PB")),""),"N/C")</f>
        <v>OK</v>
      </c>
      <c r="BS12" s="34" t="str">
        <f>IFERROR(IF((AND(T_TraitDi[[#This Row],[Nom]]&lt;&gt;"",T_TraitDi[[#This Row],[Reg Ponct]]="R")),IF(OR(Y12="",Z12="",AA12=""),"N/C",IF(Z12+AA12=Y12,"OK","PB")),""),"N/C")</f>
        <v>OK</v>
      </c>
      <c r="BT12" s="34" t="str">
        <f>IFERROR(IF((AND(T_TraitDi[[#This Row],[Nom]]&lt;&gt;"",T_TraitDi[[#This Row],[Reg Ponct]]="R")),IF(AA12="","N/C",IF(COUNTIF(AD12:BL12,"T")=AA12*2,"OK","PB")),""),"N/C")</f>
        <v>OK</v>
      </c>
      <c r="BU12" s="35" t="str">
        <f>IF(OR(T_TraitDi[[#This Row],[Nom]]="",T_TraitDi[[#This Row],[Reg Ponct]]="P"),"",IFERROR(IF((HOUR(AC12)*60+MINUTE(AC12))/AA12&gt;HOUR(Amplitude_max)*60+MINUTE(Amplitude_max),"PB","OK"),"N/C"))</f>
        <v>OK</v>
      </c>
      <c r="BV12" s="35" t="str">
        <f>IF(T_TraitDi[[#This Row],[Nom]]="","",IF( T_TraitDi[[#This Row],[Reg Ponct]]="R",IFERROR(IF(AND(T_TraitDi[[#This Row],[Nbhheb]]&gt;0,T_TraitDi[[#This Row],[Reg Ponct]]= "R"),IF(T_TraitDi[[#This Row],[Nbhheb]]&lt;&gt;VLOOKUP("R"&amp;T_TraitDi[[#This Row],[Q2]]*100&amp;T_TraitDi[[#This Row],[ctrlH]], T_code_H[#Data],6,FALSE),"PB","OK"),"N/C"),"N/C"), "OK"))</f>
        <v>OK</v>
      </c>
      <c r="BW12" s="41">
        <f t="shared" ca="1" si="10"/>
        <v>3</v>
      </c>
      <c r="BX12" s="42" t="str">
        <f t="shared" ca="1" si="11"/>
        <v xml:space="preserve">Ancienneté à l'Université de moins d'un an / </v>
      </c>
      <c r="BY12" s="40" t="str">
        <f t="shared" si="12"/>
        <v xml:space="preserve">Ancienneté à l'Université de moins d'un an / </v>
      </c>
      <c r="BZ12" s="40" t="str">
        <f t="shared" ca="1" si="13"/>
        <v/>
      </c>
      <c r="CA12" s="40" t="str">
        <f t="shared" si="14"/>
        <v/>
      </c>
      <c r="CB12" s="40" t="str">
        <f t="shared" si="15"/>
        <v/>
      </c>
      <c r="CC12" s="40" t="str">
        <f t="shared" si="16"/>
        <v/>
      </c>
      <c r="CD12" s="40" t="str">
        <f t="shared" si="17"/>
        <v/>
      </c>
      <c r="CE12" s="40" t="str">
        <f t="shared" si="18"/>
        <v/>
      </c>
      <c r="CF12" s="40" t="str">
        <f t="shared" si="19"/>
        <v/>
      </c>
      <c r="CG12" s="40" t="str">
        <f t="shared" si="20"/>
        <v/>
      </c>
      <c r="CH12" s="40" t="str">
        <f t="shared" si="21"/>
        <v/>
      </c>
      <c r="CI12" s="16" t="s">
        <v>69</v>
      </c>
      <c r="CJ12" s="45" t="s">
        <v>3555</v>
      </c>
      <c r="CK12" s="46" t="s">
        <v>420</v>
      </c>
      <c r="CL12" s="31" t="s">
        <v>421</v>
      </c>
      <c r="CM12" s="16"/>
      <c r="CN12" s="45" t="s">
        <v>1169</v>
      </c>
      <c r="CO12" s="46"/>
      <c r="CP12" s="31"/>
      <c r="CQ12" s="16" t="s">
        <v>322</v>
      </c>
      <c r="CR12" s="16" t="s">
        <v>311</v>
      </c>
      <c r="CS12" s="45" t="s">
        <v>3556</v>
      </c>
      <c r="CT12" s="45" t="s">
        <v>3557</v>
      </c>
      <c r="CU12" s="45"/>
      <c r="CV12" s="45"/>
      <c r="CW12" s="45"/>
      <c r="CX12" s="167"/>
      <c r="CY12" s="197">
        <f>VLOOKUP(T_TraitDi[[#This Row],[hh]],T_CTRL_H[#Data],2,TRUE)</f>
        <v>3</v>
      </c>
      <c r="CZ12" s="207">
        <f>T_TraitDi[[#This Row],[Hhebdo]]*24</f>
        <v>29.666666666666668</v>
      </c>
    </row>
    <row r="13" spans="1:104" ht="15" customHeight="1" x14ac:dyDescent="0.25">
      <c r="A13" s="90">
        <v>234</v>
      </c>
      <c r="B13" s="126" t="s">
        <v>3558</v>
      </c>
      <c r="C13" s="126" t="s">
        <v>3278</v>
      </c>
      <c r="D13" s="19" t="str">
        <f>IFERROR(IF(VLOOKUP(T_TraitDi[[#This Row],[NumL]],T_suiviDi[#Data],COLUMN(T_suiviDi[Nom]),FALSE)&lt;&gt;"",VLOOKUP(T_TraitDi[[#This Row],[NumL]],T_suiviDi[#Data],COLUMN(T_suiviDi[Nom]),FALSE),""),"")</f>
        <v>A</v>
      </c>
      <c r="E13" s="19" t="str">
        <f>IFERROR(IF(VLOOKUP(T_TraitDi[[#This Row],[NumL]],T_suiviDi[#Data],COLUMN(T_suiviDi[Prénom]),FALSE)&lt;&gt;"",VLOOKUP(T_TraitDi[[#This Row],[NumL]],T_suiviDi[#Data],COLUMN(T_suiviDi[Prénom]),FALSE),""),"")</f>
        <v>Aline</v>
      </c>
      <c r="F13" s="20" t="str">
        <f>IFERROR(IF(VLOOKUP(T_TraitDi[[#This Row],[NumL]],T_suiviDi[#Data],COLUMN(T_suiviDi[Email]),FALSE)&lt;&gt;"",VLOOKUP(T_TraitDi[[#This Row],[NumL]],T_suiviDi[#Data],COLUMN(T_suiviDi[Email]),FALSE),""),"")</f>
        <v/>
      </c>
      <c r="G13" s="57"/>
      <c r="H13" s="29" t="s">
        <v>64</v>
      </c>
      <c r="I13" s="30" t="s">
        <v>64</v>
      </c>
      <c r="J13" s="30" t="s">
        <v>64</v>
      </c>
      <c r="K13" s="30" t="s">
        <v>304</v>
      </c>
      <c r="L13" s="30" t="s">
        <v>64</v>
      </c>
      <c r="M13" s="17" t="s">
        <v>64</v>
      </c>
      <c r="N13" s="17" t="s">
        <v>64</v>
      </c>
      <c r="O13" s="17" t="s">
        <v>304</v>
      </c>
      <c r="P13" s="27">
        <f t="shared" si="0"/>
        <v>1</v>
      </c>
      <c r="Q13" s="75">
        <v>42387</v>
      </c>
      <c r="R13" s="76">
        <v>43066</v>
      </c>
      <c r="S13" s="77">
        <v>1</v>
      </c>
      <c r="T13" s="78">
        <v>1</v>
      </c>
      <c r="U13" s="213">
        <v>1.5451388888888891</v>
      </c>
      <c r="V13" s="78" t="s">
        <v>305</v>
      </c>
      <c r="W13" s="78" t="s">
        <v>210</v>
      </c>
      <c r="X13"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3" s="79">
        <f>IF((AND(T_TraitDi[[#This Row],[Nom]]&lt;&gt;"",T_TraitDi[[#This Row],[Reg Ponct]]="R")),(COUNTIF(AD13:BI13,"S")+COUNTIF(AD13:BI13,"T"))/2,"")</f>
        <v>4.5</v>
      </c>
      <c r="Z13" s="79">
        <f>IF((AND(T_TraitDi[[#This Row],[Nom]]&lt;&gt;"",T_TraitDi[[#This Row],[Reg Ponct]]="R")),COUNTIF(AD13:BI13,"S")/2,"")</f>
        <v>2.5</v>
      </c>
      <c r="AA13" s="80">
        <f>IF((AND(T_TraitDi[[#This Row],[Nom]]&lt;&gt;"",T_TraitDi[[#This Row],[Reg Ponct]]="R")),COUNTIF(AD13:BI13,"t")/2,"")</f>
        <v>2</v>
      </c>
      <c r="AB13" s="81">
        <f t="shared" si="1"/>
        <v>1.5451388888888891</v>
      </c>
      <c r="AC13" s="82">
        <f>IF((AND(T_TraitDi[[#This Row],[Nom]]&lt;&gt;"",T_TraitDi[[#This Row],[Reg Ponct]]="R")),IF(AD13="T",AF13-AE13,0)+IF(AG13="T",AI13-AH13,0)+IF(AK13="T",AM13-AL13,0)+IF(AN13="T",AP13-AO13,0)+IF(AR13="T",AT13-AS13,0)+IF(AU13="T",AW13-AV13,0)+IF(AY13="T",BA13-AZ13,0)+IF(BB13="T",BD13-BC13,0)+IF(BF13="T",BH13-BG13,0)+IF(BI13="T",BK13-BJ13,0),"")</f>
        <v>0.66666666666666685</v>
      </c>
      <c r="AD13" s="36" t="s">
        <v>307</v>
      </c>
      <c r="AE13" s="37">
        <v>0.33333333333333331</v>
      </c>
      <c r="AF13" s="37">
        <v>0.52083333333333337</v>
      </c>
      <c r="AG13" s="21" t="s">
        <v>307</v>
      </c>
      <c r="AH13" s="37">
        <v>0.5625</v>
      </c>
      <c r="AI13" s="37">
        <v>0.70833333333333337</v>
      </c>
      <c r="AJ13" s="38">
        <f t="shared" si="2"/>
        <v>0.33333333333333343</v>
      </c>
      <c r="AK13" s="36" t="s">
        <v>307</v>
      </c>
      <c r="AL13" s="37">
        <v>0.33333333333333331</v>
      </c>
      <c r="AM13" s="37">
        <v>0.52083333333333337</v>
      </c>
      <c r="AN13" s="21" t="s">
        <v>307</v>
      </c>
      <c r="AO13" s="37">
        <v>0.5625</v>
      </c>
      <c r="AP13" s="37">
        <v>0.70833333333333337</v>
      </c>
      <c r="AQ13" s="38">
        <f t="shared" si="3"/>
        <v>0.33333333333333343</v>
      </c>
      <c r="AR13" s="36" t="s">
        <v>306</v>
      </c>
      <c r="AS13" s="37">
        <v>0.33333333333333331</v>
      </c>
      <c r="AT13" s="37">
        <v>0.52083333333333337</v>
      </c>
      <c r="AU13" s="21" t="s">
        <v>306</v>
      </c>
      <c r="AV13" s="37">
        <v>0.5625</v>
      </c>
      <c r="AW13" s="37">
        <v>0.72916666666666663</v>
      </c>
      <c r="AX13" s="38">
        <f t="shared" si="4"/>
        <v>0.35416666666666669</v>
      </c>
      <c r="AY13" s="36" t="s">
        <v>306</v>
      </c>
      <c r="AZ13" s="37">
        <v>0.33333333333333331</v>
      </c>
      <c r="BA13" s="37">
        <v>0.52083333333333337</v>
      </c>
      <c r="BB13" s="21" t="s">
        <v>306</v>
      </c>
      <c r="BC13" s="37">
        <v>0.5625</v>
      </c>
      <c r="BD13" s="37">
        <v>0.72916666666666663</v>
      </c>
      <c r="BE13" s="38">
        <f t="shared" si="5"/>
        <v>0.35416666666666669</v>
      </c>
      <c r="BF13" s="36" t="s">
        <v>306</v>
      </c>
      <c r="BG13" s="37">
        <v>0.35416666666666669</v>
      </c>
      <c r="BH13" s="37">
        <v>0.52430555555555558</v>
      </c>
      <c r="BI13" s="21" t="s">
        <v>308</v>
      </c>
      <c r="BJ13" s="37"/>
      <c r="BK13" s="37"/>
      <c r="BL13" s="39">
        <f t="shared" si="6"/>
        <v>0.1701388888888889</v>
      </c>
      <c r="BM13" s="32" t="str">
        <f>IFERROR(IF(T_TraitDi[[#This Row],[Nom]]&lt;&gt;"",IF(T_TraitDi[[#This Row],[Deb Univ]]="","N/C",IF(Dateeffet-T_TraitDi[[#This Row],[Deb Univ]]&gt;365,"OK","PB")),""),"N/C")</f>
        <v>OK</v>
      </c>
      <c r="BN13" s="33" t="str">
        <f t="shared" ca="1" si="7"/>
        <v>OK</v>
      </c>
      <c r="BO13" s="33" t="str">
        <f t="shared" si="8"/>
        <v>OK</v>
      </c>
      <c r="BP13" s="34" t="str">
        <f t="shared" si="9"/>
        <v>OK</v>
      </c>
      <c r="BQ13" s="34" t="str">
        <f>IFERROR(IF((AND(T_TraitDi[[#This Row],[Nom]]&lt;&gt;"",T_TraitDi[[#This Row],[Reg Ponct]]="R")),IF(Z13="","N/C",IF(Z13&gt;=Nbjoursite,"OK","PB")),""),"N/C")</f>
        <v>OK</v>
      </c>
      <c r="BR13" s="34" t="str">
        <f>IFERROR(IF((AND(T_TraitDi[[#This Row],[Nom]]&lt;&gt;"",T_TraitDi[[#This Row],[Reg Ponct]]="R")),IF(AA13="","N/C",IF(AA13&lt;=VLOOKUP(T13,Quotite,2,FALSE),"OK","PB")),""),"N/C")</f>
        <v>OK</v>
      </c>
      <c r="BS13" s="34" t="str">
        <f>IFERROR(IF((AND(T_TraitDi[[#This Row],[Nom]]&lt;&gt;"",T_TraitDi[[#This Row],[Reg Ponct]]="R")),IF(OR(Y13="",Z13="",AA13=""),"N/C",IF(Z13+AA13=Y13,"OK","PB")),""),"N/C")</f>
        <v>OK</v>
      </c>
      <c r="BT13" s="34" t="str">
        <f>IFERROR(IF((AND(T_TraitDi[[#This Row],[Nom]]&lt;&gt;"",T_TraitDi[[#This Row],[Reg Ponct]]="R")),IF(AA13="","N/C",IF(COUNTIF(AD13:BL13,"T")=AA13*2,"OK","PB")),""),"N/C")</f>
        <v>OK</v>
      </c>
      <c r="BU13" s="35" t="str">
        <f>IF(OR(T_TraitDi[[#This Row],[Nom]]="",T_TraitDi[[#This Row],[Reg Ponct]]="P"),"",IFERROR(IF((HOUR(AC13)*60+MINUTE(AC13))/AA13&gt;HOUR(Amplitude_max)*60+MINUTE(Amplitude_max),"PB","OK"),"N/C"))</f>
        <v>OK</v>
      </c>
      <c r="BV13" s="35" t="str">
        <f>IF(T_TraitDi[[#This Row],[Nom]]="","",IF( T_TraitDi[[#This Row],[Reg Ponct]]="R",IFERROR(IF(AND(T_TraitDi[[#This Row],[Nbhheb]]&gt;0,T_TraitDi[[#This Row],[Reg Ponct]]= "R"),IF(T_TraitDi[[#This Row],[Nbhheb]]&lt;&gt;VLOOKUP("R"&amp;T_TraitDi[[#This Row],[Q2]]*100&amp;T_TraitDi[[#This Row],[ctrlH]], T_code_H[#Data],6,FALSE),"PB","OK"),"N/C"),"N/C"), "OK"))</f>
        <v>OK</v>
      </c>
      <c r="BW13" s="41">
        <f t="shared" ca="1" si="10"/>
        <v>1</v>
      </c>
      <c r="BX13" s="42" t="str">
        <f t="shared" ca="1" si="11"/>
        <v/>
      </c>
      <c r="BY13" s="40" t="str">
        <f t="shared" si="12"/>
        <v/>
      </c>
      <c r="BZ13" s="40" t="str">
        <f t="shared" ca="1" si="13"/>
        <v/>
      </c>
      <c r="CA13" s="40" t="str">
        <f t="shared" si="14"/>
        <v/>
      </c>
      <c r="CB13" s="40" t="str">
        <f t="shared" si="15"/>
        <v/>
      </c>
      <c r="CC13" s="40" t="str">
        <f t="shared" si="16"/>
        <v/>
      </c>
      <c r="CD13" s="40" t="str">
        <f t="shared" si="17"/>
        <v/>
      </c>
      <c r="CE13" s="40" t="str">
        <f t="shared" si="18"/>
        <v/>
      </c>
      <c r="CF13" s="40" t="str">
        <f t="shared" si="19"/>
        <v/>
      </c>
      <c r="CG13" s="40" t="str">
        <f t="shared" si="20"/>
        <v/>
      </c>
      <c r="CH13" s="40" t="str">
        <f t="shared" si="21"/>
        <v/>
      </c>
      <c r="CI13" s="16" t="s">
        <v>69</v>
      </c>
      <c r="CJ13" s="45" t="s">
        <v>1108</v>
      </c>
      <c r="CK13" s="46" t="s">
        <v>684</v>
      </c>
      <c r="CL13" s="31" t="s">
        <v>341</v>
      </c>
      <c r="CM13" s="16"/>
      <c r="CN13" s="45" t="s">
        <v>1169</v>
      </c>
      <c r="CO13" s="46" t="s">
        <v>2988</v>
      </c>
      <c r="CP13" s="31" t="s">
        <v>1117</v>
      </c>
      <c r="CQ13" s="16" t="s">
        <v>311</v>
      </c>
      <c r="CR13" s="16" t="s">
        <v>311</v>
      </c>
      <c r="CS13" s="45" t="s">
        <v>1109</v>
      </c>
      <c r="CT13" s="45" t="s">
        <v>1110</v>
      </c>
      <c r="CU13" s="45" t="s">
        <v>1111</v>
      </c>
      <c r="CV13" s="45"/>
      <c r="CW13" s="45"/>
      <c r="CX13" s="167"/>
      <c r="CY13" s="197">
        <f>VLOOKUP(T_TraitDi[[#This Row],[hh]],T_CTRL_H[#Data],2,TRUE)</f>
        <v>1</v>
      </c>
      <c r="CZ13" s="207">
        <f>T_TraitDi[[#This Row],[Hhebdo]]*24</f>
        <v>37.083333333333336</v>
      </c>
    </row>
    <row r="14" spans="1:104" ht="15" customHeight="1" x14ac:dyDescent="0.25">
      <c r="A14" s="90">
        <v>62</v>
      </c>
      <c r="B14" s="126" t="s">
        <v>3558</v>
      </c>
      <c r="C14" s="126" t="s">
        <v>3278</v>
      </c>
      <c r="D14" s="19" t="str">
        <f>IFERROR(IF(VLOOKUP(T_TraitDi[[#This Row],[NumL]],T_suiviDi[#Data],COLUMN(T_suiviDi[Nom]),FALSE)&lt;&gt;"",VLOOKUP(T_TraitDi[[#This Row],[NumL]],T_suiviDi[#Data],COLUMN(T_suiviDi[Nom]),FALSE),""),"")</f>
        <v>A</v>
      </c>
      <c r="E14" s="19" t="str">
        <f>IFERROR(IF(VLOOKUP(T_TraitDi[[#This Row],[NumL]],T_suiviDi[#Data],COLUMN(T_suiviDi[Prénom]),FALSE)&lt;&gt;"",VLOOKUP(T_TraitDi[[#This Row],[NumL]],T_suiviDi[#Data],COLUMN(T_suiviDi[Prénom]),FALSE),""),"")</f>
        <v>Jean-Baptiste</v>
      </c>
      <c r="F14" s="20" t="str">
        <f>IFERROR(IF(VLOOKUP(T_TraitDi[[#This Row],[NumL]],T_suiviDi[#Data],COLUMN(T_suiviDi[Email]),FALSE)&lt;&gt;"",VLOOKUP(T_TraitDi[[#This Row],[NumL]],T_suiviDi[#Data],COLUMN(T_suiviDi[Email]),FALSE),""),"")</f>
        <v/>
      </c>
      <c r="G14" s="57"/>
      <c r="H14" s="29" t="s">
        <v>64</v>
      </c>
      <c r="I14" s="30" t="s">
        <v>64</v>
      </c>
      <c r="J14" s="30" t="s">
        <v>64</v>
      </c>
      <c r="K14" s="30" t="s">
        <v>304</v>
      </c>
      <c r="L14" s="30" t="s">
        <v>64</v>
      </c>
      <c r="M14" s="17" t="s">
        <v>64</v>
      </c>
      <c r="N14" s="17" t="s">
        <v>64</v>
      </c>
      <c r="O14" s="17" t="s">
        <v>304</v>
      </c>
      <c r="P14" s="27">
        <f t="shared" si="0"/>
        <v>1</v>
      </c>
      <c r="Q14" s="75">
        <v>39326</v>
      </c>
      <c r="R14" s="76">
        <v>41518</v>
      </c>
      <c r="S14" s="77">
        <v>1</v>
      </c>
      <c r="T14" s="78">
        <v>1</v>
      </c>
      <c r="U14" s="213">
        <v>1.5451388888888891</v>
      </c>
      <c r="V14" s="78" t="s">
        <v>305</v>
      </c>
      <c r="W14" s="78" t="s">
        <v>210</v>
      </c>
      <c r="X14"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4" s="79">
        <f>IF((AND(T_TraitDi[[#This Row],[Nom]]&lt;&gt;"",T_TraitDi[[#This Row],[Reg Ponct]]="R")),(COUNTIF(AD14:BI14,"S")+COUNTIF(AD14:BI14,"T"))/2,"")</f>
        <v>4.5</v>
      </c>
      <c r="Z14" s="79">
        <f>IF((AND(T_TraitDi[[#This Row],[Nom]]&lt;&gt;"",T_TraitDi[[#This Row],[Reg Ponct]]="R")),COUNTIF(AD14:BI14,"S")/2,"")</f>
        <v>3.5</v>
      </c>
      <c r="AA14" s="80">
        <f>IF((AND(T_TraitDi[[#This Row],[Nom]]&lt;&gt;"",T_TraitDi[[#This Row],[Reg Ponct]]="R")),COUNTIF(AD14:BI14,"t")/2,"")</f>
        <v>1</v>
      </c>
      <c r="AB14" s="81">
        <f t="shared" si="1"/>
        <v>1.5451388888888891</v>
      </c>
      <c r="AC14" s="82">
        <f>IF((AND(T_TraitDi[[#This Row],[Nom]]&lt;&gt;"",T_TraitDi[[#This Row],[Reg Ponct]]="R")),IF(AD14="T",AF14-AE14,0)+IF(AG14="T",AI14-AH14,0)+IF(AK14="T",AM14-AL14,0)+IF(AN14="T",AP14-AO14,0)+IF(AR14="T",AT14-AS14,0)+IF(AU14="T",AW14-AV14,0)+IF(AY14="T",BA14-AZ14,0)+IF(BB14="T",BD14-BC14,0)+IF(BF14="T",BH14-BG14,0)+IF(BI14="T",BK14-BJ14,0),"")</f>
        <v>0.31250000000000006</v>
      </c>
      <c r="AD14" s="36" t="s">
        <v>306</v>
      </c>
      <c r="AE14" s="37">
        <v>0.35416666666666669</v>
      </c>
      <c r="AF14" s="37">
        <v>0.5</v>
      </c>
      <c r="AG14" s="21" t="s">
        <v>306</v>
      </c>
      <c r="AH14" s="37">
        <v>0.54166666666666663</v>
      </c>
      <c r="AI14" s="37">
        <v>0.75</v>
      </c>
      <c r="AJ14" s="38">
        <f t="shared" si="2"/>
        <v>0.35416666666666669</v>
      </c>
      <c r="AK14" s="36" t="s">
        <v>306</v>
      </c>
      <c r="AL14" s="37">
        <v>0.35416666666666669</v>
      </c>
      <c r="AM14" s="37">
        <v>0.5</v>
      </c>
      <c r="AN14" s="21" t="s">
        <v>306</v>
      </c>
      <c r="AO14" s="37">
        <v>0.54166666666666663</v>
      </c>
      <c r="AP14" s="37">
        <v>0.75</v>
      </c>
      <c r="AQ14" s="38">
        <f t="shared" si="3"/>
        <v>0.35416666666666669</v>
      </c>
      <c r="AR14" s="36" t="s">
        <v>306</v>
      </c>
      <c r="AS14" s="37">
        <v>0.35416666666666669</v>
      </c>
      <c r="AT14" s="37">
        <v>0.5</v>
      </c>
      <c r="AU14" s="21" t="s">
        <v>306</v>
      </c>
      <c r="AV14" s="37">
        <v>0.54166666666666663</v>
      </c>
      <c r="AW14" s="37">
        <v>0.72916666666666663</v>
      </c>
      <c r="AX14" s="38">
        <f t="shared" si="4"/>
        <v>0.33333333333333331</v>
      </c>
      <c r="AY14" s="36" t="s">
        <v>306</v>
      </c>
      <c r="AZ14" s="37">
        <v>0.35416666666666669</v>
      </c>
      <c r="BA14" s="37">
        <v>0.54513888888888895</v>
      </c>
      <c r="BB14" s="21" t="s">
        <v>308</v>
      </c>
      <c r="BC14" s="37"/>
      <c r="BD14" s="37"/>
      <c r="BE14" s="38">
        <f t="shared" si="5"/>
        <v>0.19097222222222227</v>
      </c>
      <c r="BF14" s="36" t="s">
        <v>307</v>
      </c>
      <c r="BG14" s="37">
        <v>0.35416666666666669</v>
      </c>
      <c r="BH14" s="37">
        <v>0.52083333333333337</v>
      </c>
      <c r="BI14" s="21" t="s">
        <v>307</v>
      </c>
      <c r="BJ14" s="37">
        <v>0.5625</v>
      </c>
      <c r="BK14" s="37">
        <v>0.70833333333333337</v>
      </c>
      <c r="BL14" s="39">
        <f t="shared" si="6"/>
        <v>0.31250000000000006</v>
      </c>
      <c r="BM14" s="32" t="str">
        <f>IFERROR(IF(T_TraitDi[[#This Row],[Nom]]&lt;&gt;"",IF(T_TraitDi[[#This Row],[Deb Univ]]="","N/C",IF(Dateeffet-T_TraitDi[[#This Row],[Deb Univ]]&gt;365,"OK","PB")),""),"N/C")</f>
        <v>OK</v>
      </c>
      <c r="BN14" s="33" t="str">
        <f t="shared" ca="1" si="7"/>
        <v>OK</v>
      </c>
      <c r="BO14" s="33" t="str">
        <f t="shared" si="8"/>
        <v>OK</v>
      </c>
      <c r="BP14" s="34" t="str">
        <f t="shared" si="9"/>
        <v>OK</v>
      </c>
      <c r="BQ14" s="34" t="str">
        <f>IFERROR(IF((AND(T_TraitDi[[#This Row],[Nom]]&lt;&gt;"",T_TraitDi[[#This Row],[Reg Ponct]]="R")),IF(Z14="","N/C",IF(Z14&gt;=Nbjoursite,"OK","PB")),""),"N/C")</f>
        <v>OK</v>
      </c>
      <c r="BR14" s="34" t="str">
        <f>IFERROR(IF((AND(T_TraitDi[[#This Row],[Nom]]&lt;&gt;"",T_TraitDi[[#This Row],[Reg Ponct]]="R")),IF(AA14="","N/C",IF(AA14&lt;=VLOOKUP(T14,Quotite,2,FALSE),"OK","PB")),""),"N/C")</f>
        <v>OK</v>
      </c>
      <c r="BS14" s="34" t="str">
        <f>IFERROR(IF((AND(T_TraitDi[[#This Row],[Nom]]&lt;&gt;"",T_TraitDi[[#This Row],[Reg Ponct]]="R")),IF(OR(Y14="",Z14="",AA14=""),"N/C",IF(Z14+AA14=Y14,"OK","PB")),""),"N/C")</f>
        <v>OK</v>
      </c>
      <c r="BT14" s="34" t="str">
        <f>IFERROR(IF((AND(T_TraitDi[[#This Row],[Nom]]&lt;&gt;"",T_TraitDi[[#This Row],[Reg Ponct]]="R")),IF(AA14="","N/C",IF(COUNTIF(AD14:BL14,"T")=AA14*2,"OK","PB")),""),"N/C")</f>
        <v>OK</v>
      </c>
      <c r="BU14" s="35" t="str">
        <f>IF(OR(T_TraitDi[[#This Row],[Nom]]="",T_TraitDi[[#This Row],[Reg Ponct]]="P"),"",IFERROR(IF((HOUR(AC14)*60+MINUTE(AC14))/AA14&gt;HOUR(Amplitude_max)*60+MINUTE(Amplitude_max),"PB","OK"),"N/C"))</f>
        <v>OK</v>
      </c>
      <c r="BV14" s="35" t="str">
        <f>IF(T_TraitDi[[#This Row],[Nom]]="","",IF( T_TraitDi[[#This Row],[Reg Ponct]]="R",IFERROR(IF(AND(T_TraitDi[[#This Row],[Nbhheb]]&gt;0,T_TraitDi[[#This Row],[Reg Ponct]]= "R"),IF(T_TraitDi[[#This Row],[Nbhheb]]&lt;&gt;VLOOKUP("R"&amp;T_TraitDi[[#This Row],[Q2]]*100&amp;T_TraitDi[[#This Row],[ctrlH]], T_code_H[#Data],6,FALSE),"PB","OK"),"N/C"),"N/C"), "OK"))</f>
        <v>OK</v>
      </c>
      <c r="BW14" s="41">
        <f t="shared" ca="1" si="10"/>
        <v>1</v>
      </c>
      <c r="BX14" s="42" t="str">
        <f t="shared" ca="1" si="11"/>
        <v/>
      </c>
      <c r="BY14" s="40" t="str">
        <f t="shared" si="12"/>
        <v/>
      </c>
      <c r="BZ14" s="40" t="str">
        <f t="shared" ca="1" si="13"/>
        <v/>
      </c>
      <c r="CA14" s="40" t="str">
        <f t="shared" si="14"/>
        <v/>
      </c>
      <c r="CB14" s="40" t="str">
        <f t="shared" si="15"/>
        <v/>
      </c>
      <c r="CC14" s="40" t="str">
        <f t="shared" si="16"/>
        <v/>
      </c>
      <c r="CD14" s="40" t="str">
        <f t="shared" si="17"/>
        <v/>
      </c>
      <c r="CE14" s="40" t="str">
        <f t="shared" si="18"/>
        <v/>
      </c>
      <c r="CF14" s="40" t="str">
        <f t="shared" si="19"/>
        <v/>
      </c>
      <c r="CG14" s="40" t="str">
        <f t="shared" si="20"/>
        <v/>
      </c>
      <c r="CH14" s="40" t="str">
        <f t="shared" si="21"/>
        <v/>
      </c>
      <c r="CI14" s="16" t="s">
        <v>69</v>
      </c>
      <c r="CJ14" s="45" t="s">
        <v>592</v>
      </c>
      <c r="CK14" s="46" t="s">
        <v>340</v>
      </c>
      <c r="CL14" s="31" t="s">
        <v>341</v>
      </c>
      <c r="CM14" s="16"/>
      <c r="CN14" s="45" t="s">
        <v>1169</v>
      </c>
      <c r="CO14" s="46" t="s">
        <v>2988</v>
      </c>
      <c r="CP14" s="31" t="s">
        <v>1117</v>
      </c>
      <c r="CQ14" s="16" t="s">
        <v>311</v>
      </c>
      <c r="CR14" s="16" t="s">
        <v>311</v>
      </c>
      <c r="CS14" s="45" t="s">
        <v>593</v>
      </c>
      <c r="CT14" s="45" t="s">
        <v>594</v>
      </c>
      <c r="CU14" s="45" t="s">
        <v>595</v>
      </c>
      <c r="CV14" s="45" t="s">
        <v>596</v>
      </c>
      <c r="CW14" s="45"/>
      <c r="CX14" s="167"/>
      <c r="CY14" s="197">
        <f>VLOOKUP(T_TraitDi[[#This Row],[hh]],T_CTRL_H[#Data],2,TRUE)</f>
        <v>1</v>
      </c>
      <c r="CZ14" s="207">
        <f>T_TraitDi[[#This Row],[Hhebdo]]*24</f>
        <v>37.083333333333336</v>
      </c>
    </row>
    <row r="15" spans="1:104" ht="15" customHeight="1" x14ac:dyDescent="0.25">
      <c r="A15" s="90">
        <v>176</v>
      </c>
      <c r="B15" s="126" t="s">
        <v>3558</v>
      </c>
      <c r="C15" s="126" t="s">
        <v>3278</v>
      </c>
      <c r="D15" s="19" t="str">
        <f>IFERROR(IF(VLOOKUP(T_TraitDi[[#This Row],[NumL]],T_suiviDi[#Data],COLUMN(T_suiviDi[Nom]),FALSE)&lt;&gt;"",VLOOKUP(T_TraitDi[[#This Row],[NumL]],T_suiviDi[#Data],COLUMN(T_suiviDi[Nom]),FALSE),""),"")</f>
        <v>A</v>
      </c>
      <c r="E15" s="19" t="str">
        <f>IFERROR(IF(VLOOKUP(T_TraitDi[[#This Row],[NumL]],T_suiviDi[#Data],COLUMN(T_suiviDi[Prénom]),FALSE)&lt;&gt;"",VLOOKUP(T_TraitDi[[#This Row],[NumL]],T_suiviDi[#Data],COLUMN(T_suiviDi[Prénom]),FALSE),""),"")</f>
        <v>Annie</v>
      </c>
      <c r="F15" s="20" t="str">
        <f>IFERROR(IF(VLOOKUP(T_TraitDi[[#This Row],[NumL]],T_suiviDi[#Data],COLUMN(T_suiviDi[Email]),FALSE)&lt;&gt;"",VLOOKUP(T_TraitDi[[#This Row],[NumL]],T_suiviDi[#Data],COLUMN(T_suiviDi[Email]),FALSE),""),"")</f>
        <v/>
      </c>
      <c r="G15" s="57"/>
      <c r="H15" s="29" t="s">
        <v>64</v>
      </c>
      <c r="I15" s="30" t="s">
        <v>64</v>
      </c>
      <c r="J15" s="30" t="s">
        <v>64</v>
      </c>
      <c r="K15" s="30" t="s">
        <v>304</v>
      </c>
      <c r="L15" s="30" t="s">
        <v>64</v>
      </c>
      <c r="M15" s="17" t="s">
        <v>64</v>
      </c>
      <c r="N15" s="17" t="s">
        <v>64</v>
      </c>
      <c r="O15" s="17" t="s">
        <v>304</v>
      </c>
      <c r="P15" s="27">
        <f t="shared" si="0"/>
        <v>1</v>
      </c>
      <c r="Q15" s="75">
        <v>39692</v>
      </c>
      <c r="R15" s="76">
        <v>40057</v>
      </c>
      <c r="S15" s="77">
        <v>1</v>
      </c>
      <c r="T15" s="78">
        <v>1</v>
      </c>
      <c r="U15" s="213">
        <v>1.5451388888888891</v>
      </c>
      <c r="V15" s="78" t="s">
        <v>305</v>
      </c>
      <c r="W15" s="78" t="s">
        <v>210</v>
      </c>
      <c r="X15"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5" s="79">
        <f>IF((AND(T_TraitDi[[#This Row],[Nom]]&lt;&gt;"",T_TraitDi[[#This Row],[Reg Ponct]]="R")),(COUNTIF(AD15:BI15,"S")+COUNTIF(AD15:BI15,"T"))/2,"")</f>
        <v>4.5</v>
      </c>
      <c r="Z15" s="79">
        <f>IF((AND(T_TraitDi[[#This Row],[Nom]]&lt;&gt;"",T_TraitDi[[#This Row],[Reg Ponct]]="R")),COUNTIF(AD15:BI15,"S")/2,"")</f>
        <v>3.5</v>
      </c>
      <c r="AA15" s="80">
        <f>IF((AND(T_TraitDi[[#This Row],[Nom]]&lt;&gt;"",T_TraitDi[[#This Row],[Reg Ponct]]="R")),COUNTIF(AD15:BI15,"t")/2,"")</f>
        <v>1</v>
      </c>
      <c r="AB15" s="81">
        <f t="shared" si="1"/>
        <v>1.5451388888888893</v>
      </c>
      <c r="AC15" s="82">
        <f>IF((AND(T_TraitDi[[#This Row],[Nom]]&lt;&gt;"",T_TraitDi[[#This Row],[Reg Ponct]]="R")),IF(AD15="T",AF15-AE15,0)+IF(AG15="T",AI15-AH15,0)+IF(AK15="T",AM15-AL15,0)+IF(AN15="T",AP15-AO15,0)+IF(AR15="T",AT15-AS15,0)+IF(AU15="T",AW15-AV15,0)+IF(AY15="T",BA15-AZ15,0)+IF(BB15="T",BD15-BC15,0)+IF(BF15="T",BH15-BG15,0)+IF(BI15="T",BK15-BJ15,0),"")</f>
        <v>0.34722222222222227</v>
      </c>
      <c r="AD15" s="36" t="s">
        <v>306</v>
      </c>
      <c r="AE15" s="37">
        <v>0.35416666666666669</v>
      </c>
      <c r="AF15" s="37">
        <v>0.52083333333333337</v>
      </c>
      <c r="AG15" s="21" t="s">
        <v>306</v>
      </c>
      <c r="AH15" s="37">
        <v>0.5625</v>
      </c>
      <c r="AI15" s="37">
        <v>0.73958333333333337</v>
      </c>
      <c r="AJ15" s="38">
        <f t="shared" si="2"/>
        <v>0.34375000000000006</v>
      </c>
      <c r="AK15" s="36" t="s">
        <v>306</v>
      </c>
      <c r="AL15" s="37">
        <v>0.35416666666666669</v>
      </c>
      <c r="AM15" s="37">
        <v>0.52083333333333337</v>
      </c>
      <c r="AN15" s="21" t="s">
        <v>306</v>
      </c>
      <c r="AO15" s="37">
        <v>0.5625</v>
      </c>
      <c r="AP15" s="37">
        <v>0.73958333333333337</v>
      </c>
      <c r="AQ15" s="38">
        <f t="shared" si="3"/>
        <v>0.34375000000000006</v>
      </c>
      <c r="AR15" s="36" t="s">
        <v>306</v>
      </c>
      <c r="AS15" s="37">
        <v>0.35416666666666669</v>
      </c>
      <c r="AT15" s="37">
        <v>0.52083333333333337</v>
      </c>
      <c r="AU15" s="21" t="s">
        <v>306</v>
      </c>
      <c r="AV15" s="37">
        <v>0.5625</v>
      </c>
      <c r="AW15" s="37">
        <v>0.73958333333333337</v>
      </c>
      <c r="AX15" s="38">
        <f t="shared" si="4"/>
        <v>0.34375000000000006</v>
      </c>
      <c r="AY15" s="36" t="s">
        <v>307</v>
      </c>
      <c r="AZ15" s="37">
        <v>0.33333333333333331</v>
      </c>
      <c r="BA15" s="37">
        <v>0.5</v>
      </c>
      <c r="BB15" s="21" t="s">
        <v>307</v>
      </c>
      <c r="BC15" s="37">
        <v>0.54166666666666663</v>
      </c>
      <c r="BD15" s="37">
        <v>0.72222222222222221</v>
      </c>
      <c r="BE15" s="38">
        <f t="shared" si="5"/>
        <v>0.34722222222222227</v>
      </c>
      <c r="BF15" s="36" t="s">
        <v>306</v>
      </c>
      <c r="BG15" s="37">
        <v>0.35416666666666669</v>
      </c>
      <c r="BH15" s="37">
        <v>0.52083333333333337</v>
      </c>
      <c r="BI15" s="21" t="s">
        <v>308</v>
      </c>
      <c r="BJ15" s="37"/>
      <c r="BK15" s="37"/>
      <c r="BL15" s="39">
        <f t="shared" si="6"/>
        <v>0.16666666666666669</v>
      </c>
      <c r="BM15" s="32" t="str">
        <f>IFERROR(IF(T_TraitDi[[#This Row],[Nom]]&lt;&gt;"",IF(T_TraitDi[[#This Row],[Deb Univ]]="","N/C",IF(Dateeffet-T_TraitDi[[#This Row],[Deb Univ]]&gt;365,"OK","PB")),""),"N/C")</f>
        <v>OK</v>
      </c>
      <c r="BN15" s="33" t="str">
        <f t="shared" ca="1" si="7"/>
        <v>OK</v>
      </c>
      <c r="BO15" s="33" t="str">
        <f t="shared" si="8"/>
        <v>OK</v>
      </c>
      <c r="BP15" s="34" t="str">
        <f t="shared" si="9"/>
        <v>OK</v>
      </c>
      <c r="BQ15" s="34" t="str">
        <f>IFERROR(IF((AND(T_TraitDi[[#This Row],[Nom]]&lt;&gt;"",T_TraitDi[[#This Row],[Reg Ponct]]="R")),IF(Z15="","N/C",IF(Z15&gt;=Nbjoursite,"OK","PB")),""),"N/C")</f>
        <v>OK</v>
      </c>
      <c r="BR15" s="34" t="str">
        <f>IFERROR(IF((AND(T_TraitDi[[#This Row],[Nom]]&lt;&gt;"",T_TraitDi[[#This Row],[Reg Ponct]]="R")),IF(AA15="","N/C",IF(AA15&lt;=VLOOKUP(T15,Quotite,2,FALSE),"OK","PB")),""),"N/C")</f>
        <v>OK</v>
      </c>
      <c r="BS15" s="34" t="str">
        <f>IFERROR(IF((AND(T_TraitDi[[#This Row],[Nom]]&lt;&gt;"",T_TraitDi[[#This Row],[Reg Ponct]]="R")),IF(OR(Y15="",Z15="",AA15=""),"N/C",IF(Z15+AA15=Y15,"OK","PB")),""),"N/C")</f>
        <v>OK</v>
      </c>
      <c r="BT15" s="34" t="str">
        <f>IFERROR(IF((AND(T_TraitDi[[#This Row],[Nom]]&lt;&gt;"",T_TraitDi[[#This Row],[Reg Ponct]]="R")),IF(AA15="","N/C",IF(COUNTIF(AD15:BL15,"T")=AA15*2,"OK","PB")),""),"N/C")</f>
        <v>OK</v>
      </c>
      <c r="BU15" s="35" t="str">
        <f>IF(OR(T_TraitDi[[#This Row],[Nom]]="",T_TraitDi[[#This Row],[Reg Ponct]]="P"),"",IFERROR(IF((HOUR(AC15)*60+MINUTE(AC15))/AA15&gt;HOUR(Amplitude_max)*60+MINUTE(Amplitude_max),"PB","OK"),"N/C"))</f>
        <v>OK</v>
      </c>
      <c r="BV15" s="35" t="str">
        <f>IF(T_TraitDi[[#This Row],[Nom]]="","",IF( T_TraitDi[[#This Row],[Reg Ponct]]="R",IFERROR(IF(AND(T_TraitDi[[#This Row],[Nbhheb]]&gt;0,T_TraitDi[[#This Row],[Reg Ponct]]= "R"),IF(T_TraitDi[[#This Row],[Nbhheb]]&lt;&gt;VLOOKUP("R"&amp;T_TraitDi[[#This Row],[Q2]]*100&amp;T_TraitDi[[#This Row],[ctrlH]], T_code_H[#Data],6,FALSE),"PB","OK"),"N/C"),"N/C"), "OK"))</f>
        <v>OK</v>
      </c>
      <c r="BW15" s="41">
        <f t="shared" ca="1" si="10"/>
        <v>1</v>
      </c>
      <c r="BX15" s="42" t="str">
        <f t="shared" ca="1" si="11"/>
        <v/>
      </c>
      <c r="BY15" s="40" t="str">
        <f t="shared" si="12"/>
        <v/>
      </c>
      <c r="BZ15" s="40" t="str">
        <f t="shared" ca="1" si="13"/>
        <v/>
      </c>
      <c r="CA15" s="40" t="str">
        <f t="shared" si="14"/>
        <v/>
      </c>
      <c r="CB15" s="40" t="str">
        <f t="shared" si="15"/>
        <v/>
      </c>
      <c r="CC15" s="40" t="str">
        <f t="shared" si="16"/>
        <v/>
      </c>
      <c r="CD15" s="40" t="str">
        <f t="shared" si="17"/>
        <v/>
      </c>
      <c r="CE15" s="40" t="str">
        <f t="shared" si="18"/>
        <v/>
      </c>
      <c r="CF15" s="40" t="str">
        <f t="shared" si="19"/>
        <v/>
      </c>
      <c r="CG15" s="40" t="str">
        <f t="shared" si="20"/>
        <v/>
      </c>
      <c r="CH15" s="40" t="str">
        <f t="shared" si="21"/>
        <v/>
      </c>
      <c r="CI15" s="16" t="s">
        <v>69</v>
      </c>
      <c r="CJ15" s="45" t="s">
        <v>914</v>
      </c>
      <c r="CK15" s="46" t="s">
        <v>420</v>
      </c>
      <c r="CL15" s="31" t="s">
        <v>421</v>
      </c>
      <c r="CM15" s="16"/>
      <c r="CN15" s="45" t="s">
        <v>1169</v>
      </c>
      <c r="CO15" s="46" t="s">
        <v>2988</v>
      </c>
      <c r="CP15" s="31" t="s">
        <v>1117</v>
      </c>
      <c r="CQ15" s="16" t="s">
        <v>311</v>
      </c>
      <c r="CR15" s="16" t="s">
        <v>311</v>
      </c>
      <c r="CS15" s="45" t="s">
        <v>915</v>
      </c>
      <c r="CT15" s="45" t="s">
        <v>916</v>
      </c>
      <c r="CU15" s="45" t="s">
        <v>917</v>
      </c>
      <c r="CV15" s="45" t="s">
        <v>918</v>
      </c>
      <c r="CW15" s="45" t="s">
        <v>919</v>
      </c>
      <c r="CX15" s="167"/>
      <c r="CY15" s="197">
        <f>VLOOKUP(T_TraitDi[[#This Row],[hh]],T_CTRL_H[#Data],2,TRUE)</f>
        <v>1</v>
      </c>
      <c r="CZ15" s="207">
        <f>T_TraitDi[[#This Row],[Hhebdo]]*24</f>
        <v>37.083333333333336</v>
      </c>
    </row>
    <row r="16" spans="1:104" ht="15" customHeight="1" x14ac:dyDescent="0.25">
      <c r="A16" s="90">
        <v>57</v>
      </c>
      <c r="B16" s="126" t="s">
        <v>3558</v>
      </c>
      <c r="C16" s="126" t="s">
        <v>3278</v>
      </c>
      <c r="D16" s="19" t="str">
        <f>IFERROR(IF(VLOOKUP(T_TraitDi[[#This Row],[NumL]],T_suiviDi[#Data],COLUMN(T_suiviDi[Nom]),FALSE)&lt;&gt;"",VLOOKUP(T_TraitDi[[#This Row],[NumL]],T_suiviDi[#Data],COLUMN(T_suiviDi[Nom]),FALSE),""),"")</f>
        <v>A</v>
      </c>
      <c r="E16" s="19" t="str">
        <f>IFERROR(IF(VLOOKUP(T_TraitDi[[#This Row],[NumL]],T_suiviDi[#Data],COLUMN(T_suiviDi[Prénom]),FALSE)&lt;&gt;"",VLOOKUP(T_TraitDi[[#This Row],[NumL]],T_suiviDi[#Data],COLUMN(T_suiviDi[Prénom]),FALSE),""),"")</f>
        <v>Lionel</v>
      </c>
      <c r="F16" s="20" t="str">
        <f>IFERROR(IF(VLOOKUP(T_TraitDi[[#This Row],[NumL]],T_suiviDi[#Data],COLUMN(T_suiviDi[Email]),FALSE)&lt;&gt;"",VLOOKUP(T_TraitDi[[#This Row],[NumL]],T_suiviDi[#Data],COLUMN(T_suiviDi[Email]),FALSE),""),"")</f>
        <v/>
      </c>
      <c r="G16" s="57"/>
      <c r="H16" s="29" t="s">
        <v>64</v>
      </c>
      <c r="I16" s="30" t="s">
        <v>64</v>
      </c>
      <c r="J16" s="30" t="s">
        <v>64</v>
      </c>
      <c r="K16" s="30" t="s">
        <v>304</v>
      </c>
      <c r="L16" s="30" t="s">
        <v>64</v>
      </c>
      <c r="M16" s="17" t="s">
        <v>64</v>
      </c>
      <c r="N16" s="17" t="s">
        <v>64</v>
      </c>
      <c r="O16" s="17" t="s">
        <v>304</v>
      </c>
      <c r="P16" s="27">
        <f t="shared" si="0"/>
        <v>1</v>
      </c>
      <c r="Q16" s="75">
        <v>38961</v>
      </c>
      <c r="R16" s="76">
        <v>40787</v>
      </c>
      <c r="S16" s="77">
        <v>1</v>
      </c>
      <c r="T16" s="78">
        <v>1</v>
      </c>
      <c r="U16" s="213">
        <v>1.5451388888888891</v>
      </c>
      <c r="V16" s="78" t="s">
        <v>305</v>
      </c>
      <c r="W16" s="78" t="s">
        <v>210</v>
      </c>
      <c r="X16"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6" s="79">
        <f>IF((AND(T_TraitDi[[#This Row],[Nom]]&lt;&gt;"",T_TraitDi[[#This Row],[Reg Ponct]]="R")),(COUNTIF(AD16:BI16,"S")+COUNTIF(AD16:BI16,"T"))/2,"")</f>
        <v>4.5</v>
      </c>
      <c r="Z16" s="79">
        <f>IF((AND(T_TraitDi[[#This Row],[Nom]]&lt;&gt;"",T_TraitDi[[#This Row],[Reg Ponct]]="R")),COUNTIF(AD16:BI16,"S")/2,"")</f>
        <v>3</v>
      </c>
      <c r="AA16" s="80">
        <f>IF((AND(T_TraitDi[[#This Row],[Nom]]&lt;&gt;"",T_TraitDi[[#This Row],[Reg Ponct]]="R")),COUNTIF(AD16:BI16,"t")/2,"")</f>
        <v>1.5</v>
      </c>
      <c r="AB16" s="81">
        <f t="shared" si="1"/>
        <v>1.5451388888888893</v>
      </c>
      <c r="AC16" s="82">
        <f>IF((AND(T_TraitDi[[#This Row],[Nom]]&lt;&gt;"",T_TraitDi[[#This Row],[Reg Ponct]]="R")),IF(AD16="T",AF16-AE16,0)+IF(AG16="T",AI16-AH16,0)+IF(AK16="T",AM16-AL16,0)+IF(AN16="T",AP16-AO16,0)+IF(AR16="T",AT16-AS16,0)+IF(AU16="T",AW16-AV16,0)+IF(AY16="T",BA16-AZ16,0)+IF(BB16="T",BD16-BC16,0)+IF(BF16="T",BH16-BG16,0)+IF(BI16="T",BK16-BJ16,0),"")</f>
        <v>0.54166666666666674</v>
      </c>
      <c r="AD16" s="36" t="s">
        <v>306</v>
      </c>
      <c r="AE16" s="37">
        <v>0.33333333333333331</v>
      </c>
      <c r="AF16" s="37">
        <v>0.52083333333333337</v>
      </c>
      <c r="AG16" s="21" t="s">
        <v>306</v>
      </c>
      <c r="AH16" s="37">
        <v>0.5625</v>
      </c>
      <c r="AI16" s="37">
        <v>0.71180555555555547</v>
      </c>
      <c r="AJ16" s="38">
        <f t="shared" si="2"/>
        <v>0.33680555555555552</v>
      </c>
      <c r="AK16" s="36" t="s">
        <v>307</v>
      </c>
      <c r="AL16" s="37">
        <v>0.3125</v>
      </c>
      <c r="AM16" s="37">
        <v>0.5</v>
      </c>
      <c r="AN16" s="21" t="s">
        <v>307</v>
      </c>
      <c r="AO16" s="37">
        <v>0.54166666666666663</v>
      </c>
      <c r="AP16" s="37">
        <v>0.70833333333333337</v>
      </c>
      <c r="AQ16" s="38">
        <f t="shared" si="3"/>
        <v>0.35416666666666674</v>
      </c>
      <c r="AR16" s="36" t="s">
        <v>306</v>
      </c>
      <c r="AS16" s="37">
        <v>0.33333333333333331</v>
      </c>
      <c r="AT16" s="37">
        <v>0.52083333333333337</v>
      </c>
      <c r="AU16" s="21" t="s">
        <v>306</v>
      </c>
      <c r="AV16" s="37">
        <v>0.5625</v>
      </c>
      <c r="AW16" s="37">
        <v>0.70833333333333337</v>
      </c>
      <c r="AX16" s="38">
        <f t="shared" si="4"/>
        <v>0.33333333333333343</v>
      </c>
      <c r="AY16" s="36" t="s">
        <v>306</v>
      </c>
      <c r="AZ16" s="37">
        <v>0.3125</v>
      </c>
      <c r="BA16" s="37">
        <v>0.52083333333333337</v>
      </c>
      <c r="BB16" s="21" t="s">
        <v>306</v>
      </c>
      <c r="BC16" s="37">
        <v>0.5625</v>
      </c>
      <c r="BD16" s="37">
        <v>0.6875</v>
      </c>
      <c r="BE16" s="38">
        <f t="shared" si="5"/>
        <v>0.33333333333333337</v>
      </c>
      <c r="BF16" s="36" t="s">
        <v>307</v>
      </c>
      <c r="BG16" s="37">
        <v>0.33333333333333331</v>
      </c>
      <c r="BH16" s="37">
        <v>0.52083333333333337</v>
      </c>
      <c r="BI16" s="21" t="s">
        <v>308</v>
      </c>
      <c r="BJ16" s="37"/>
      <c r="BK16" s="37"/>
      <c r="BL16" s="39">
        <f t="shared" si="6"/>
        <v>0.18750000000000006</v>
      </c>
      <c r="BM16" s="32" t="str">
        <f>IFERROR(IF(T_TraitDi[[#This Row],[Nom]]&lt;&gt;"",IF(T_TraitDi[[#This Row],[Deb Univ]]="","N/C",IF(Dateeffet-T_TraitDi[[#This Row],[Deb Univ]]&gt;365,"OK","PB")),""),"N/C")</f>
        <v>OK</v>
      </c>
      <c r="BN16" s="33" t="str">
        <f t="shared" ca="1" si="7"/>
        <v>OK</v>
      </c>
      <c r="BO16" s="33" t="str">
        <f t="shared" si="8"/>
        <v>OK</v>
      </c>
      <c r="BP16" s="34" t="str">
        <f t="shared" si="9"/>
        <v>OK</v>
      </c>
      <c r="BQ16" s="34" t="str">
        <f>IFERROR(IF((AND(T_TraitDi[[#This Row],[Nom]]&lt;&gt;"",T_TraitDi[[#This Row],[Reg Ponct]]="R")),IF(Z16="","N/C",IF(Z16&gt;=Nbjoursite,"OK","PB")),""),"N/C")</f>
        <v>OK</v>
      </c>
      <c r="BR16" s="34" t="str">
        <f>IFERROR(IF((AND(T_TraitDi[[#This Row],[Nom]]&lt;&gt;"",T_TraitDi[[#This Row],[Reg Ponct]]="R")),IF(AA16="","N/C",IF(AA16&lt;=VLOOKUP(T16,Quotite,2,FALSE),"OK","PB")),""),"N/C")</f>
        <v>OK</v>
      </c>
      <c r="BS16" s="34" t="str">
        <f>IFERROR(IF((AND(T_TraitDi[[#This Row],[Nom]]&lt;&gt;"",T_TraitDi[[#This Row],[Reg Ponct]]="R")),IF(OR(Y16="",Z16="",AA16=""),"N/C",IF(Z16+AA16=Y16,"OK","PB")),""),"N/C")</f>
        <v>OK</v>
      </c>
      <c r="BT16" s="34" t="str">
        <f>IFERROR(IF((AND(T_TraitDi[[#This Row],[Nom]]&lt;&gt;"",T_TraitDi[[#This Row],[Reg Ponct]]="R")),IF(AA16="","N/C",IF(COUNTIF(AD16:BL16,"T")=AA16*2,"OK","PB")),""),"N/C")</f>
        <v>OK</v>
      </c>
      <c r="BU16" s="35" t="str">
        <f>IF(OR(T_TraitDi[[#This Row],[Nom]]="",T_TraitDi[[#This Row],[Reg Ponct]]="P"),"",IFERROR(IF((HOUR(AC16)*60+MINUTE(AC16))/AA16&gt;HOUR(Amplitude_max)*60+MINUTE(Amplitude_max),"PB","OK"),"N/C"))</f>
        <v>OK</v>
      </c>
      <c r="BV16" s="35" t="str">
        <f>IF(T_TraitDi[[#This Row],[Nom]]="","",IF( T_TraitDi[[#This Row],[Reg Ponct]]="R",IFERROR(IF(AND(T_TraitDi[[#This Row],[Nbhheb]]&gt;0,T_TraitDi[[#This Row],[Reg Ponct]]= "R"),IF(T_TraitDi[[#This Row],[Nbhheb]]&lt;&gt;VLOOKUP("R"&amp;T_TraitDi[[#This Row],[Q2]]*100&amp;T_TraitDi[[#This Row],[ctrlH]], T_code_H[#Data],6,FALSE),"PB","OK"),"N/C"),"N/C"), "OK"))</f>
        <v>OK</v>
      </c>
      <c r="BW16" s="41">
        <f t="shared" ca="1" si="10"/>
        <v>1</v>
      </c>
      <c r="BX16" s="42" t="str">
        <f t="shared" ca="1" si="11"/>
        <v/>
      </c>
      <c r="BY16" s="40" t="str">
        <f t="shared" si="12"/>
        <v/>
      </c>
      <c r="BZ16" s="40" t="str">
        <f t="shared" ca="1" si="13"/>
        <v/>
      </c>
      <c r="CA16" s="40" t="str">
        <f t="shared" si="14"/>
        <v/>
      </c>
      <c r="CB16" s="40" t="str">
        <f t="shared" si="15"/>
        <v/>
      </c>
      <c r="CC16" s="40" t="str">
        <f t="shared" si="16"/>
        <v/>
      </c>
      <c r="CD16" s="40" t="str">
        <f t="shared" si="17"/>
        <v/>
      </c>
      <c r="CE16" s="40" t="str">
        <f t="shared" si="18"/>
        <v/>
      </c>
      <c r="CF16" s="40" t="str">
        <f t="shared" si="19"/>
        <v/>
      </c>
      <c r="CG16" s="40" t="str">
        <f t="shared" si="20"/>
        <v/>
      </c>
      <c r="CH16" s="40" t="str">
        <f t="shared" si="21"/>
        <v/>
      </c>
      <c r="CI16" s="16" t="s">
        <v>69</v>
      </c>
      <c r="CJ16" s="45" t="s">
        <v>570</v>
      </c>
      <c r="CK16" s="46" t="s">
        <v>471</v>
      </c>
      <c r="CL16" s="31" t="s">
        <v>341</v>
      </c>
      <c r="CM16" s="16"/>
      <c r="CN16" s="45" t="s">
        <v>1169</v>
      </c>
      <c r="CO16" s="46" t="s">
        <v>2988</v>
      </c>
      <c r="CP16" s="31" t="s">
        <v>1117</v>
      </c>
      <c r="CQ16" s="16" t="s">
        <v>311</v>
      </c>
      <c r="CR16" s="16" t="s">
        <v>322</v>
      </c>
      <c r="CS16" s="45" t="s">
        <v>571</v>
      </c>
      <c r="CT16" s="45" t="s">
        <v>572</v>
      </c>
      <c r="CU16" s="45" t="s">
        <v>573</v>
      </c>
      <c r="CV16" s="45"/>
      <c r="CW16" s="45"/>
      <c r="CX16" s="167"/>
      <c r="CY16" s="197">
        <f>VLOOKUP(T_TraitDi[[#This Row],[hh]],T_CTRL_H[#Data],2,TRUE)</f>
        <v>1</v>
      </c>
      <c r="CZ16" s="207">
        <f>T_TraitDi[[#This Row],[Hhebdo]]*24</f>
        <v>37.083333333333336</v>
      </c>
    </row>
    <row r="17" spans="1:104" ht="15" customHeight="1" x14ac:dyDescent="0.25">
      <c r="A17" s="90">
        <v>310</v>
      </c>
      <c r="B17" s="126" t="s">
        <v>3540</v>
      </c>
      <c r="C17" s="126" t="s">
        <v>3278</v>
      </c>
      <c r="D17" s="19" t="str">
        <f>IFERROR(IF(VLOOKUP(T_TraitDi[[#This Row],[NumL]],T_suiviDi[#Data],COLUMN(T_suiviDi[Nom]),FALSE)&lt;&gt;"",VLOOKUP(T_TraitDi[[#This Row],[NumL]],T_suiviDi[#Data],COLUMN(T_suiviDi[Nom]),FALSE),""),"")</f>
        <v>A</v>
      </c>
      <c r="E17" s="19" t="str">
        <f>IFERROR(IF(VLOOKUP(T_TraitDi[[#This Row],[NumL]],T_suiviDi[#Data],COLUMN(T_suiviDi[Prénom]),FALSE)&lt;&gt;"",VLOOKUP(T_TraitDi[[#This Row],[NumL]],T_suiviDi[#Data],COLUMN(T_suiviDi[Prénom]),FALSE),""),"")</f>
        <v>Marie-Cécile</v>
      </c>
      <c r="F17" s="20" t="str">
        <f>IFERROR(IF(VLOOKUP(T_TraitDi[[#This Row],[NumL]],T_suiviDi[#Data],COLUMN(T_suiviDi[Email]),FALSE)&lt;&gt;"",VLOOKUP(T_TraitDi[[#This Row],[NumL]],T_suiviDi[#Data],COLUMN(T_suiviDi[Email]),FALSE),""),"")</f>
        <v/>
      </c>
      <c r="G17" s="57"/>
      <c r="H17" s="29" t="s">
        <v>64</v>
      </c>
      <c r="I17" s="30" t="s">
        <v>64</v>
      </c>
      <c r="J17" s="30" t="s">
        <v>64</v>
      </c>
      <c r="K17" s="30" t="s">
        <v>304</v>
      </c>
      <c r="L17" s="30" t="s">
        <v>64</v>
      </c>
      <c r="M17" s="17" t="s">
        <v>64</v>
      </c>
      <c r="N17" s="17" t="s">
        <v>64</v>
      </c>
      <c r="O17" s="17" t="s">
        <v>304</v>
      </c>
      <c r="P17" s="27">
        <f t="shared" si="0"/>
        <v>1</v>
      </c>
      <c r="Q17" s="75">
        <v>38231</v>
      </c>
      <c r="R17" s="76">
        <v>44075</v>
      </c>
      <c r="S17" s="77">
        <v>0.8</v>
      </c>
      <c r="T17" s="78">
        <v>0.8</v>
      </c>
      <c r="U17" s="213">
        <v>1.2361111111111112</v>
      </c>
      <c r="V17" s="78" t="s">
        <v>632</v>
      </c>
      <c r="W17" s="78" t="s">
        <v>211</v>
      </c>
      <c r="X17"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16</v>
      </c>
      <c r="Y17" s="79" t="str">
        <f>IF((AND(T_TraitDi[[#This Row],[Nom]]&lt;&gt;"",T_TraitDi[[#This Row],[Reg Ponct]]="R")),(COUNTIF(AD17:BI17,"S")+COUNTIF(AD17:BI17,"T"))/2,"")</f>
        <v/>
      </c>
      <c r="Z17" s="79" t="str">
        <f>IF((AND(T_TraitDi[[#This Row],[Nom]]&lt;&gt;"",T_TraitDi[[#This Row],[Reg Ponct]]="R")),COUNTIF(AD17:BI17,"S")/2,"")</f>
        <v/>
      </c>
      <c r="AA17" s="80" t="str">
        <f>IF((AND(T_TraitDi[[#This Row],[Nom]]&lt;&gt;"",T_TraitDi[[#This Row],[Reg Ponct]]="R")),COUNTIF(AD17:BI17,"t")/2,"")</f>
        <v/>
      </c>
      <c r="AB17" s="81">
        <f t="shared" si="1"/>
        <v>0</v>
      </c>
      <c r="AC17" s="82" t="str">
        <f>IF((AND(T_TraitDi[[#This Row],[Nom]]&lt;&gt;"",T_TraitDi[[#This Row],[Reg Ponct]]="R")),IF(AD17="T",AF17-AE17,0)+IF(AG17="T",AI17-AH17,0)+IF(AK17="T",AM17-AL17,0)+IF(AN17="T",AP17-AO17,0)+IF(AR17="T",AT17-AS17,0)+IF(AU17="T",AW17-AV17,0)+IF(AY17="T",BA17-AZ17,0)+IF(BB17="T",BD17-BC17,0)+IF(BF17="T",BH17-BG17,0)+IF(BI17="T",BK17-BJ17,0),"")</f>
        <v/>
      </c>
      <c r="AD17" s="36"/>
      <c r="AE17" s="37"/>
      <c r="AF17" s="37"/>
      <c r="AG17" s="21"/>
      <c r="AH17" s="37"/>
      <c r="AI17" s="37"/>
      <c r="AJ17" s="38">
        <f t="shared" si="2"/>
        <v>0</v>
      </c>
      <c r="AK17" s="36"/>
      <c r="AL17" s="37"/>
      <c r="AM17" s="37"/>
      <c r="AN17" s="21"/>
      <c r="AO17" s="37"/>
      <c r="AP17" s="37"/>
      <c r="AQ17" s="38">
        <f t="shared" si="3"/>
        <v>0</v>
      </c>
      <c r="AR17" s="36"/>
      <c r="AS17" s="37"/>
      <c r="AT17" s="37"/>
      <c r="AU17" s="21"/>
      <c r="AV17" s="37"/>
      <c r="AW17" s="37"/>
      <c r="AX17" s="38">
        <f t="shared" si="4"/>
        <v>0</v>
      </c>
      <c r="AY17" s="36"/>
      <c r="AZ17" s="37"/>
      <c r="BA17" s="37"/>
      <c r="BB17" s="21"/>
      <c r="BC17" s="37"/>
      <c r="BD17" s="37"/>
      <c r="BE17" s="38">
        <f t="shared" si="5"/>
        <v>0</v>
      </c>
      <c r="BF17" s="36"/>
      <c r="BG17" s="37"/>
      <c r="BH17" s="37"/>
      <c r="BI17" s="21"/>
      <c r="BJ17" s="37"/>
      <c r="BK17" s="37"/>
      <c r="BL17" s="39">
        <f t="shared" si="6"/>
        <v>0</v>
      </c>
      <c r="BM17" s="32" t="str">
        <f>IFERROR(IF(T_TraitDi[[#This Row],[Nom]]&lt;&gt;"",IF(T_TraitDi[[#This Row],[Deb Univ]]="","N/C",IF(Dateeffet-T_TraitDi[[#This Row],[Deb Univ]]&gt;365,"OK","PB")),""),"N/C")</f>
        <v>OK</v>
      </c>
      <c r="BN17" s="33" t="str">
        <f t="shared" ca="1" si="7"/>
        <v>OK</v>
      </c>
      <c r="BO17" s="33" t="str">
        <f t="shared" si="8"/>
        <v>OK</v>
      </c>
      <c r="BP17" s="34" t="str">
        <f t="shared" si="9"/>
        <v>OK</v>
      </c>
      <c r="BQ17" s="34" t="str">
        <f>IFERROR(IF((AND(T_TraitDi[[#This Row],[Nom]]&lt;&gt;"",T_TraitDi[[#This Row],[Reg Ponct]]="R")),IF(Z17="","N/C",IF(Z17&gt;=Nbjoursite,"OK","PB")),""),"N/C")</f>
        <v/>
      </c>
      <c r="BR17" s="34" t="str">
        <f>IFERROR(IF((AND(T_TraitDi[[#This Row],[Nom]]&lt;&gt;"",T_TraitDi[[#This Row],[Reg Ponct]]="R")),IF(AA17="","N/C",IF(AA17&lt;=VLOOKUP(T17,Quotite,2,FALSE),"OK","PB")),""),"N/C")</f>
        <v/>
      </c>
      <c r="BS17" s="34" t="str">
        <f>IFERROR(IF((AND(T_TraitDi[[#This Row],[Nom]]&lt;&gt;"",T_TraitDi[[#This Row],[Reg Ponct]]="R")),IF(OR(Y17="",Z17="",AA17=""),"N/C",IF(Z17+AA17=Y17,"OK","PB")),""),"N/C")</f>
        <v/>
      </c>
      <c r="BT17" s="34" t="str">
        <f>IFERROR(IF((AND(T_TraitDi[[#This Row],[Nom]]&lt;&gt;"",T_TraitDi[[#This Row],[Reg Ponct]]="R")),IF(AA17="","N/C",IF(COUNTIF(AD17:BL17,"T")=AA17*2,"OK","PB")),""),"N/C")</f>
        <v/>
      </c>
      <c r="BU17" s="35" t="str">
        <f>IF(OR(T_TraitDi[[#This Row],[Nom]]="",T_TraitDi[[#This Row],[Reg Ponct]]="P"),"",IFERROR(IF((HOUR(AC17)*60+MINUTE(AC17))/AA17&gt;HOUR(Amplitude_max)*60+MINUTE(Amplitude_max),"PB","OK"),"N/C"))</f>
        <v/>
      </c>
      <c r="BV17" s="35" t="str">
        <f>IF(T_TraitDi[[#This Row],[Nom]]="","",IF( T_TraitDi[[#This Row],[Reg Ponct]]="R",IFERROR(IF(AND(T_TraitDi[[#This Row],[Nbhheb]]&gt;0,T_TraitDi[[#This Row],[Reg Ponct]]= "R"),IF(T_TraitDi[[#This Row],[Nbhheb]]&lt;&gt;VLOOKUP("R"&amp;T_TraitDi[[#This Row],[Q2]]*100&amp;T_TraitDi[[#This Row],[ctrlH]], T_code_H[#Data],6,FALSE),"PB","OK"),"N/C"),"N/C"), "OK"))</f>
        <v>OK</v>
      </c>
      <c r="BW17" s="41">
        <f t="shared" ca="1" si="10"/>
        <v>1</v>
      </c>
      <c r="BX17" s="42" t="str">
        <f t="shared" ca="1" si="11"/>
        <v/>
      </c>
      <c r="BY17" s="40" t="str">
        <f t="shared" si="12"/>
        <v/>
      </c>
      <c r="BZ17" s="40" t="str">
        <f t="shared" ca="1" si="13"/>
        <v/>
      </c>
      <c r="CA17" s="40" t="str">
        <f t="shared" si="14"/>
        <v/>
      </c>
      <c r="CB17" s="40" t="str">
        <f t="shared" si="15"/>
        <v/>
      </c>
      <c r="CC17" s="40" t="str">
        <f t="shared" si="16"/>
        <v/>
      </c>
      <c r="CD17" s="40" t="str">
        <f t="shared" si="17"/>
        <v/>
      </c>
      <c r="CE17" s="40" t="str">
        <f t="shared" si="18"/>
        <v/>
      </c>
      <c r="CF17" s="40" t="str">
        <f t="shared" si="19"/>
        <v/>
      </c>
      <c r="CG17" s="40" t="str">
        <f t="shared" si="20"/>
        <v/>
      </c>
      <c r="CH17" s="40" t="str">
        <f t="shared" si="21"/>
        <v/>
      </c>
      <c r="CI17" s="16" t="s">
        <v>69</v>
      </c>
      <c r="CJ17" s="45" t="s">
        <v>3586</v>
      </c>
      <c r="CK17" s="46" t="s">
        <v>963</v>
      </c>
      <c r="CL17" s="31" t="s">
        <v>3587</v>
      </c>
      <c r="CM17" s="16"/>
      <c r="CN17" s="45" t="s">
        <v>1169</v>
      </c>
      <c r="CO17" s="46"/>
      <c r="CP17" s="31"/>
      <c r="CQ17" s="16" t="s">
        <v>311</v>
      </c>
      <c r="CR17" s="16" t="s">
        <v>322</v>
      </c>
      <c r="CS17" s="45"/>
      <c r="CT17" s="45"/>
      <c r="CU17" s="45"/>
      <c r="CV17" s="45"/>
      <c r="CW17" s="45"/>
      <c r="CX17" s="167"/>
      <c r="CY17" s="197">
        <f>VLOOKUP(T_TraitDi[[#This Row],[hh]],T_CTRL_H[#Data],2,TRUE)</f>
        <v>3</v>
      </c>
      <c r="CZ17" s="207">
        <f>T_TraitDi[[#This Row],[Hhebdo]]*24</f>
        <v>29.666666666666668</v>
      </c>
    </row>
    <row r="18" spans="1:104" ht="15" customHeight="1" x14ac:dyDescent="0.25">
      <c r="A18" s="90">
        <v>245</v>
      </c>
      <c r="B18" s="126" t="s">
        <v>3549</v>
      </c>
      <c r="C18" s="126" t="s">
        <v>3278</v>
      </c>
      <c r="D18" s="19" t="str">
        <f>IFERROR(IF(VLOOKUP(T_TraitDi[[#This Row],[NumL]],T_suiviDi[#Data],COLUMN(T_suiviDi[Nom]),FALSE)&lt;&gt;"",VLOOKUP(T_TraitDi[[#This Row],[NumL]],T_suiviDi[#Data],COLUMN(T_suiviDi[Nom]),FALSE),""),"")</f>
        <v>A</v>
      </c>
      <c r="E18" s="19" t="str">
        <f>IFERROR(IF(VLOOKUP(T_TraitDi[[#This Row],[NumL]],T_suiviDi[#Data],COLUMN(T_suiviDi[Prénom]),FALSE)&lt;&gt;"",VLOOKUP(T_TraitDi[[#This Row],[NumL]],T_suiviDi[#Data],COLUMN(T_suiviDi[Prénom]),FALSE),""),"")</f>
        <v>Christelle</v>
      </c>
      <c r="F18" s="20" t="str">
        <f>IFERROR(IF(VLOOKUP(T_TraitDi[[#This Row],[NumL]],T_suiviDi[#Data],COLUMN(T_suiviDi[Email]),FALSE)&lt;&gt;"",VLOOKUP(T_TraitDi[[#This Row],[NumL]],T_suiviDi[#Data],COLUMN(T_suiviDi[Email]),FALSE),""),"")</f>
        <v/>
      </c>
      <c r="G18" s="57"/>
      <c r="H18" s="29" t="s">
        <v>64</v>
      </c>
      <c r="I18" s="30" t="s">
        <v>64</v>
      </c>
      <c r="J18" s="30" t="s">
        <v>64</v>
      </c>
      <c r="K18" s="30" t="s">
        <v>304</v>
      </c>
      <c r="L18" s="30" t="s">
        <v>64</v>
      </c>
      <c r="M18" s="17" t="s">
        <v>64</v>
      </c>
      <c r="N18" s="17" t="s">
        <v>64</v>
      </c>
      <c r="O18" s="17" t="s">
        <v>304</v>
      </c>
      <c r="P18" s="27">
        <f t="shared" si="0"/>
        <v>1</v>
      </c>
      <c r="Q18" s="75">
        <v>33848</v>
      </c>
      <c r="R18" s="76">
        <v>38961</v>
      </c>
      <c r="S18" s="77">
        <v>0.8</v>
      </c>
      <c r="T18" s="78">
        <v>1</v>
      </c>
      <c r="U18" s="213">
        <v>1.2361111111111112</v>
      </c>
      <c r="V18" s="78" t="s">
        <v>305</v>
      </c>
      <c r="W18" s="78" t="s">
        <v>210</v>
      </c>
      <c r="X18" s="124" t="str">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 xml:space="preserve">Pb quotité </v>
      </c>
      <c r="Y18" s="79">
        <f>IF((AND(T_TraitDi[[#This Row],[Nom]]&lt;&gt;"",T_TraitDi[[#This Row],[Reg Ponct]]="R")),(COUNTIF(AD18:BI18,"S")+COUNTIF(AD18:BI18,"T"))/2,"")</f>
        <v>4.5</v>
      </c>
      <c r="Z18" s="79">
        <f>IF((AND(T_TraitDi[[#This Row],[Nom]]&lt;&gt;"",T_TraitDi[[#This Row],[Reg Ponct]]="R")),COUNTIF(AD18:BI18,"S")/2,"")</f>
        <v>3.5</v>
      </c>
      <c r="AA18" s="80">
        <f>IF((AND(T_TraitDi[[#This Row],[Nom]]&lt;&gt;"",T_TraitDi[[#This Row],[Reg Ponct]]="R")),COUNTIF(AD18:BI18,"t")/2,"")</f>
        <v>1</v>
      </c>
      <c r="AB18" s="81">
        <f t="shared" si="1"/>
        <v>1.5451388888888884</v>
      </c>
      <c r="AC18" s="82">
        <f>IF((AND(T_TraitDi[[#This Row],[Nom]]&lt;&gt;"",T_TraitDi[[#This Row],[Reg Ponct]]="R")),IF(AD18="T",AF18-AE18,0)+IF(AG18="T",AI18-AH18,0)+IF(AK18="T",AM18-AL18,0)+IF(AN18="T",AP18-AO18,0)+IF(AR18="T",AT18-AS18,0)+IF(AU18="T",AW18-AV18,0)+IF(AY18="T",BA18-AZ18,0)+IF(BB18="T",BD18-BC18,0)+IF(BF18="T",BH18-BG18,0)+IF(BI18="T",BK18-BJ18,0),"")</f>
        <v>0.33333333333333331</v>
      </c>
      <c r="AD18" s="36" t="s">
        <v>307</v>
      </c>
      <c r="AE18" s="37">
        <v>0.33333333333333331</v>
      </c>
      <c r="AF18" s="37">
        <v>0.54166666666666663</v>
      </c>
      <c r="AG18" s="21" t="s">
        <v>307</v>
      </c>
      <c r="AH18" s="37">
        <v>0.58333333333333337</v>
      </c>
      <c r="AI18" s="37">
        <v>0.70833333333333337</v>
      </c>
      <c r="AJ18" s="38">
        <f t="shared" si="2"/>
        <v>0.33333333333333331</v>
      </c>
      <c r="AK18" s="36" t="s">
        <v>306</v>
      </c>
      <c r="AL18" s="37">
        <v>0.33333333333333331</v>
      </c>
      <c r="AM18" s="37">
        <v>0.54166666666666663</v>
      </c>
      <c r="AN18" s="21" t="s">
        <v>306</v>
      </c>
      <c r="AO18" s="37">
        <v>0.58333333333333337</v>
      </c>
      <c r="AP18" s="37">
        <v>0.79166666666666663</v>
      </c>
      <c r="AQ18" s="38">
        <f t="shared" si="3"/>
        <v>0.41666666666666657</v>
      </c>
      <c r="AR18" s="36" t="s">
        <v>306</v>
      </c>
      <c r="AS18" s="37">
        <v>0.34375</v>
      </c>
      <c r="AT18" s="37">
        <v>0.54166666666666663</v>
      </c>
      <c r="AU18" s="21" t="s">
        <v>306</v>
      </c>
      <c r="AV18" s="37">
        <v>0.58333333333333337</v>
      </c>
      <c r="AW18" s="37">
        <v>0.68055555555555547</v>
      </c>
      <c r="AX18" s="38">
        <f t="shared" si="4"/>
        <v>0.29513888888888873</v>
      </c>
      <c r="AY18" s="36" t="s">
        <v>306</v>
      </c>
      <c r="AZ18" s="37">
        <v>0.34375</v>
      </c>
      <c r="BA18" s="37">
        <v>0.52083333333333337</v>
      </c>
      <c r="BB18" s="21" t="s">
        <v>308</v>
      </c>
      <c r="BC18" s="37"/>
      <c r="BD18" s="37"/>
      <c r="BE18" s="38">
        <f t="shared" si="5"/>
        <v>0.17708333333333337</v>
      </c>
      <c r="BF18" s="36" t="s">
        <v>306</v>
      </c>
      <c r="BG18" s="37">
        <v>0.34375</v>
      </c>
      <c r="BH18" s="37">
        <v>0.54166666666666663</v>
      </c>
      <c r="BI18" s="21" t="s">
        <v>306</v>
      </c>
      <c r="BJ18" s="37">
        <v>0.58333333333333337</v>
      </c>
      <c r="BK18" s="37">
        <v>0.70833333333333337</v>
      </c>
      <c r="BL18" s="39">
        <f t="shared" si="6"/>
        <v>0.32291666666666663</v>
      </c>
      <c r="BM18" s="32" t="str">
        <f>IFERROR(IF(T_TraitDi[[#This Row],[Nom]]&lt;&gt;"",IF(T_TraitDi[[#This Row],[Deb Univ]]="","N/C",IF(Dateeffet-T_TraitDi[[#This Row],[Deb Univ]]&gt;365,"OK","PB")),""),"N/C")</f>
        <v>OK</v>
      </c>
      <c r="BN18" s="33" t="str">
        <f t="shared" ca="1" si="7"/>
        <v>OK</v>
      </c>
      <c r="BO18" s="33" t="str">
        <f t="shared" si="8"/>
        <v>OK</v>
      </c>
      <c r="BP18" s="34" t="str">
        <f t="shared" si="9"/>
        <v>PB</v>
      </c>
      <c r="BQ18" s="34" t="str">
        <f>IFERROR(IF((AND(T_TraitDi[[#This Row],[Nom]]&lt;&gt;"",T_TraitDi[[#This Row],[Reg Ponct]]="R")),IF(Z18="","N/C",IF(Z18&gt;=Nbjoursite,"OK","PB")),""),"N/C")</f>
        <v>OK</v>
      </c>
      <c r="BR18" s="34" t="str">
        <f>IFERROR(IF((AND(T_TraitDi[[#This Row],[Nom]]&lt;&gt;"",T_TraitDi[[#This Row],[Reg Ponct]]="R")),IF(AA18="","N/C",IF(AA18&lt;=VLOOKUP(T18,Quotite,2,FALSE),"OK","PB")),""),"N/C")</f>
        <v>OK</v>
      </c>
      <c r="BS18" s="34" t="str">
        <f>IFERROR(IF((AND(T_TraitDi[[#This Row],[Nom]]&lt;&gt;"",T_TraitDi[[#This Row],[Reg Ponct]]="R")),IF(OR(Y18="",Z18="",AA18=""),"N/C",IF(Z18+AA18=Y18,"OK","PB")),""),"N/C")</f>
        <v>OK</v>
      </c>
      <c r="BT18" s="34" t="str">
        <f>IFERROR(IF((AND(T_TraitDi[[#This Row],[Nom]]&lt;&gt;"",T_TraitDi[[#This Row],[Reg Ponct]]="R")),IF(AA18="","N/C",IF(COUNTIF(AD18:BL18,"T")=AA18*2,"OK","PB")),""),"N/C")</f>
        <v>OK</v>
      </c>
      <c r="BU18" s="35" t="str">
        <f>IF(OR(T_TraitDi[[#This Row],[Nom]]="",T_TraitDi[[#This Row],[Reg Ponct]]="P"),"",IFERROR(IF((HOUR(AC18)*60+MINUTE(AC18))/AA18&gt;HOUR(Amplitude_max)*60+MINUTE(Amplitude_max),"PB","OK"),"N/C"))</f>
        <v>OK</v>
      </c>
      <c r="BV18" s="35" t="str">
        <f>IF(T_TraitDi[[#This Row],[Nom]]="","",IF( T_TraitDi[[#This Row],[Reg Ponct]]="R",IFERROR(IF(AND(T_TraitDi[[#This Row],[Nbhheb]]&gt;0,T_TraitDi[[#This Row],[Reg Ponct]]= "R"),IF(T_TraitDi[[#This Row],[Nbhheb]]&lt;&gt;VLOOKUP("R"&amp;T_TraitDi[[#This Row],[Q2]]*100&amp;T_TraitDi[[#This Row],[ctrlH]], T_code_H[#Data],6,FALSE),"PB","OK"),"N/C"),"N/C"), "OK"))</f>
        <v>N/C</v>
      </c>
      <c r="BW18" s="41">
        <f t="shared" ca="1" si="10"/>
        <v>3</v>
      </c>
      <c r="BX18" s="42" t="str">
        <f t="shared" ca="1" si="11"/>
        <v xml:space="preserve">Les informations saisies ne permettent pas d'effectuer tous les contrôles requis. / La quotité de travail demandée ne peut pas être supérieure à celle actuelle / </v>
      </c>
      <c r="BY18" s="40" t="str">
        <f t="shared" si="12"/>
        <v/>
      </c>
      <c r="BZ18" s="40" t="str">
        <f t="shared" ca="1" si="13"/>
        <v/>
      </c>
      <c r="CA18" s="40" t="str">
        <f t="shared" si="14"/>
        <v/>
      </c>
      <c r="CB18" s="40" t="str">
        <f t="shared" si="15"/>
        <v xml:space="preserve">La quotité de travail demandée ne peut pas être supérieure à celle actuelle / </v>
      </c>
      <c r="CC18" s="40" t="str">
        <f t="shared" si="16"/>
        <v/>
      </c>
      <c r="CD18" s="40" t="str">
        <f t="shared" si="17"/>
        <v/>
      </c>
      <c r="CE18" s="40" t="str">
        <f t="shared" si="18"/>
        <v/>
      </c>
      <c r="CF18" s="40" t="str">
        <f t="shared" si="19"/>
        <v/>
      </c>
      <c r="CG18" s="40" t="str">
        <f t="shared" si="20"/>
        <v/>
      </c>
      <c r="CH18" s="40" t="str">
        <f t="shared" si="21"/>
        <v/>
      </c>
      <c r="CI18" s="16" t="s">
        <v>69</v>
      </c>
      <c r="CJ18" s="45" t="s">
        <v>3583</v>
      </c>
      <c r="CK18" s="46" t="s">
        <v>1022</v>
      </c>
      <c r="CL18" s="31" t="s">
        <v>1023</v>
      </c>
      <c r="CM18" s="16"/>
      <c r="CN18" s="45" t="s">
        <v>1169</v>
      </c>
      <c r="CO18" s="46" t="s">
        <v>2988</v>
      </c>
      <c r="CP18" s="31" t="s">
        <v>1117</v>
      </c>
      <c r="CQ18" s="16" t="s">
        <v>322</v>
      </c>
      <c r="CR18" s="16" t="s">
        <v>322</v>
      </c>
      <c r="CS18" s="45" t="s">
        <v>1024</v>
      </c>
      <c r="CT18" s="45" t="s">
        <v>1025</v>
      </c>
      <c r="CU18" s="45" t="s">
        <v>1026</v>
      </c>
      <c r="CV18" s="45" t="s">
        <v>1027</v>
      </c>
      <c r="CW18" s="45" t="s">
        <v>1028</v>
      </c>
      <c r="CX18" s="167"/>
      <c r="CY18" s="197">
        <f>VLOOKUP(T_TraitDi[[#This Row],[hh]],T_CTRL_H[#Data],2,TRUE)</f>
        <v>3</v>
      </c>
      <c r="CZ18" s="207">
        <f>T_TraitDi[[#This Row],[Hhebdo]]*24</f>
        <v>29.666666666666668</v>
      </c>
    </row>
    <row r="19" spans="1:104" ht="15" customHeight="1" x14ac:dyDescent="0.25">
      <c r="A19" s="90">
        <v>137</v>
      </c>
      <c r="B19" s="126" t="s">
        <v>3558</v>
      </c>
      <c r="C19" s="126" t="s">
        <v>3278</v>
      </c>
      <c r="D19" s="19" t="str">
        <f>IFERROR(IF(VLOOKUP(T_TraitDi[[#This Row],[NumL]],T_suiviDi[#Data],COLUMN(T_suiviDi[Nom]),FALSE)&lt;&gt;"",VLOOKUP(T_TraitDi[[#This Row],[NumL]],T_suiviDi[#Data],COLUMN(T_suiviDi[Nom]),FALSE),""),"")</f>
        <v>A</v>
      </c>
      <c r="E19" s="19" t="str">
        <f>IFERROR(IF(VLOOKUP(T_TraitDi[[#This Row],[NumL]],T_suiviDi[#Data],COLUMN(T_suiviDi[Prénom]),FALSE)&lt;&gt;"",VLOOKUP(T_TraitDi[[#This Row],[NumL]],T_suiviDi[#Data],COLUMN(T_suiviDi[Prénom]),FALSE),""),"")</f>
        <v>Babak</v>
      </c>
      <c r="F19" s="20" t="str">
        <f>IFERROR(IF(VLOOKUP(T_TraitDi[[#This Row],[NumL]],T_suiviDi[#Data],COLUMN(T_suiviDi[Email]),FALSE)&lt;&gt;"",VLOOKUP(T_TraitDi[[#This Row],[NumL]],T_suiviDi[#Data],COLUMN(T_suiviDi[Email]),FALSE),""),"")</f>
        <v/>
      </c>
      <c r="G19" s="57"/>
      <c r="H19" s="29" t="s">
        <v>64</v>
      </c>
      <c r="I19" s="30" t="s">
        <v>64</v>
      </c>
      <c r="J19" s="30" t="s">
        <v>64</v>
      </c>
      <c r="K19" s="30" t="s">
        <v>64</v>
      </c>
      <c r="L19" s="30" t="s">
        <v>64</v>
      </c>
      <c r="M19" s="17" t="s">
        <v>64</v>
      </c>
      <c r="N19" s="17" t="s">
        <v>64</v>
      </c>
      <c r="O19" s="17" t="s">
        <v>304</v>
      </c>
      <c r="P19" s="27">
        <f t="shared" si="0"/>
        <v>1</v>
      </c>
      <c r="Q19" s="75">
        <v>40475</v>
      </c>
      <c r="R19" s="76">
        <v>43221</v>
      </c>
      <c r="S19" s="77">
        <v>1</v>
      </c>
      <c r="T19" s="78">
        <v>1</v>
      </c>
      <c r="U19" s="213">
        <v>1.5451388888888891</v>
      </c>
      <c r="V19" s="78" t="s">
        <v>305</v>
      </c>
      <c r="W19" s="78" t="s">
        <v>210</v>
      </c>
      <c r="X19"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19" s="79">
        <f>IF((AND(T_TraitDi[[#This Row],[Nom]]&lt;&gt;"",T_TraitDi[[#This Row],[Reg Ponct]]="R")),(COUNTIF(AD19:BI19,"S")+COUNTIF(AD19:BI19,"T"))/2,"")</f>
        <v>4.5</v>
      </c>
      <c r="Z19" s="79">
        <f>IF((AND(T_TraitDi[[#This Row],[Nom]]&lt;&gt;"",T_TraitDi[[#This Row],[Reg Ponct]]="R")),COUNTIF(AD19:BI19,"S")/2,"")</f>
        <v>3</v>
      </c>
      <c r="AA19" s="80">
        <f>IF((AND(T_TraitDi[[#This Row],[Nom]]&lt;&gt;"",T_TraitDi[[#This Row],[Reg Ponct]]="R")),COUNTIF(AD19:BI19,"t")/2,"")</f>
        <v>1.5</v>
      </c>
      <c r="AB19" s="81">
        <f t="shared" si="1"/>
        <v>1.5451388888888893</v>
      </c>
      <c r="AC19" s="82">
        <f>IF((AND(T_TraitDi[[#This Row],[Nom]]&lt;&gt;"",T_TraitDi[[#This Row],[Reg Ponct]]="R")),IF(AD19="T",AF19-AE19,0)+IF(AG19="T",AI19-AH19,0)+IF(AK19="T",AM19-AL19,0)+IF(AN19="T",AP19-AO19,0)+IF(AR19="T",AT19-AS19,0)+IF(AU19="T",AW19-AV19,0)+IF(AY19="T",BA19-AZ19,0)+IF(BB19="T",BD19-BC19,0)+IF(BF19="T",BH19-BG19,0)+IF(BI19="T",BK19-BJ19,0),"")</f>
        <v>0.48263888888888895</v>
      </c>
      <c r="AD19" s="36" t="s">
        <v>306</v>
      </c>
      <c r="AE19" s="37">
        <v>0.375</v>
      </c>
      <c r="AF19" s="37">
        <v>0.52083333333333337</v>
      </c>
      <c r="AG19" s="21" t="s">
        <v>306</v>
      </c>
      <c r="AH19" s="37">
        <v>0.5625</v>
      </c>
      <c r="AI19" s="37">
        <v>0.77083333333333337</v>
      </c>
      <c r="AJ19" s="38">
        <f t="shared" si="2"/>
        <v>0.35416666666666674</v>
      </c>
      <c r="AK19" s="36" t="s">
        <v>307</v>
      </c>
      <c r="AL19" s="37">
        <v>0.375</v>
      </c>
      <c r="AM19" s="37">
        <v>0.52083333333333337</v>
      </c>
      <c r="AN19" s="21" t="s">
        <v>307</v>
      </c>
      <c r="AO19" s="37">
        <v>0.5625</v>
      </c>
      <c r="AP19" s="37">
        <v>0.77083333333333337</v>
      </c>
      <c r="AQ19" s="38">
        <f t="shared" si="3"/>
        <v>0.35416666666666674</v>
      </c>
      <c r="AR19" s="36" t="s">
        <v>306</v>
      </c>
      <c r="AS19" s="37">
        <v>0.375</v>
      </c>
      <c r="AT19" s="37">
        <v>0.52083333333333337</v>
      </c>
      <c r="AU19" s="21" t="s">
        <v>306</v>
      </c>
      <c r="AV19" s="37">
        <v>0.5625</v>
      </c>
      <c r="AW19" s="37">
        <v>0.77083333333333337</v>
      </c>
      <c r="AX19" s="38">
        <f t="shared" si="4"/>
        <v>0.35416666666666674</v>
      </c>
      <c r="AY19" s="36" t="s">
        <v>306</v>
      </c>
      <c r="AZ19" s="37">
        <v>0.375</v>
      </c>
      <c r="BA19" s="37">
        <v>0.52083333333333337</v>
      </c>
      <c r="BB19" s="21" t="s">
        <v>306</v>
      </c>
      <c r="BC19" s="37">
        <v>0.5625</v>
      </c>
      <c r="BD19" s="37">
        <v>0.77083333333333337</v>
      </c>
      <c r="BE19" s="38">
        <f t="shared" si="5"/>
        <v>0.35416666666666674</v>
      </c>
      <c r="BF19" s="36" t="s">
        <v>307</v>
      </c>
      <c r="BG19" s="37">
        <v>0.375</v>
      </c>
      <c r="BH19" s="37">
        <v>0.50347222222222221</v>
      </c>
      <c r="BI19" s="21" t="s">
        <v>308</v>
      </c>
      <c r="BJ19" s="37"/>
      <c r="BK19" s="37"/>
      <c r="BL19" s="39">
        <f t="shared" si="6"/>
        <v>0.12847222222222221</v>
      </c>
      <c r="BM19" s="32" t="str">
        <f>IFERROR(IF(T_TraitDi[[#This Row],[Nom]]&lt;&gt;"",IF(T_TraitDi[[#This Row],[Deb Univ]]="","N/C",IF(Dateeffet-T_TraitDi[[#This Row],[Deb Univ]]&gt;365,"OK","PB")),""),"N/C")</f>
        <v>OK</v>
      </c>
      <c r="BN19" s="33" t="str">
        <f t="shared" ca="1" si="7"/>
        <v>OK</v>
      </c>
      <c r="BO19" s="33" t="str">
        <f t="shared" si="8"/>
        <v>OK</v>
      </c>
      <c r="BP19" s="34" t="str">
        <f t="shared" si="9"/>
        <v>OK</v>
      </c>
      <c r="BQ19" s="34" t="str">
        <f>IFERROR(IF((AND(T_TraitDi[[#This Row],[Nom]]&lt;&gt;"",T_TraitDi[[#This Row],[Reg Ponct]]="R")),IF(Z19="","N/C",IF(Z19&gt;=Nbjoursite,"OK","PB")),""),"N/C")</f>
        <v>OK</v>
      </c>
      <c r="BR19" s="34" t="str">
        <f>IFERROR(IF((AND(T_TraitDi[[#This Row],[Nom]]&lt;&gt;"",T_TraitDi[[#This Row],[Reg Ponct]]="R")),IF(AA19="","N/C",IF(AA19&lt;=VLOOKUP(T19,Quotite,2,FALSE),"OK","PB")),""),"N/C")</f>
        <v>OK</v>
      </c>
      <c r="BS19" s="34" t="str">
        <f>IFERROR(IF((AND(T_TraitDi[[#This Row],[Nom]]&lt;&gt;"",T_TraitDi[[#This Row],[Reg Ponct]]="R")),IF(OR(Y19="",Z19="",AA19=""),"N/C",IF(Z19+AA19=Y19,"OK","PB")),""),"N/C")</f>
        <v>OK</v>
      </c>
      <c r="BT19" s="34" t="str">
        <f>IFERROR(IF((AND(T_TraitDi[[#This Row],[Nom]]&lt;&gt;"",T_TraitDi[[#This Row],[Reg Ponct]]="R")),IF(AA19="","N/C",IF(COUNTIF(AD19:BL19,"T")=AA19*2,"OK","PB")),""),"N/C")</f>
        <v>OK</v>
      </c>
      <c r="BU19" s="35" t="str">
        <f>IF(OR(T_TraitDi[[#This Row],[Nom]]="",T_TraitDi[[#This Row],[Reg Ponct]]="P"),"",IFERROR(IF((HOUR(AC19)*60+MINUTE(AC19))/AA19&gt;HOUR(Amplitude_max)*60+MINUTE(Amplitude_max),"PB","OK"),"N/C"))</f>
        <v>OK</v>
      </c>
      <c r="BV19" s="35" t="str">
        <f>IF(T_TraitDi[[#This Row],[Nom]]="","",IF( T_TraitDi[[#This Row],[Reg Ponct]]="R",IFERROR(IF(AND(T_TraitDi[[#This Row],[Nbhheb]]&gt;0,T_TraitDi[[#This Row],[Reg Ponct]]= "R"),IF(T_TraitDi[[#This Row],[Nbhheb]]&lt;&gt;VLOOKUP("R"&amp;T_TraitDi[[#This Row],[Q2]]*100&amp;T_TraitDi[[#This Row],[ctrlH]], T_code_H[#Data],6,FALSE),"PB","OK"),"N/C"),"N/C"), "OK"))</f>
        <v>OK</v>
      </c>
      <c r="BW19" s="41">
        <f t="shared" ca="1" si="10"/>
        <v>1</v>
      </c>
      <c r="BX19" s="42" t="str">
        <f t="shared" ca="1" si="11"/>
        <v/>
      </c>
      <c r="BY19" s="40" t="str">
        <f t="shared" si="12"/>
        <v/>
      </c>
      <c r="BZ19" s="40" t="str">
        <f t="shared" ca="1" si="13"/>
        <v/>
      </c>
      <c r="CA19" s="40" t="str">
        <f t="shared" si="14"/>
        <v/>
      </c>
      <c r="CB19" s="40" t="str">
        <f t="shared" si="15"/>
        <v/>
      </c>
      <c r="CC19" s="40" t="str">
        <f t="shared" si="16"/>
        <v/>
      </c>
      <c r="CD19" s="40" t="str">
        <f t="shared" si="17"/>
        <v/>
      </c>
      <c r="CE19" s="40" t="str">
        <f t="shared" si="18"/>
        <v/>
      </c>
      <c r="CF19" s="40" t="str">
        <f t="shared" si="19"/>
        <v/>
      </c>
      <c r="CG19" s="40" t="str">
        <f t="shared" si="20"/>
        <v/>
      </c>
      <c r="CH19" s="40" t="str">
        <f t="shared" si="21"/>
        <v/>
      </c>
      <c r="CI19" s="16" t="s">
        <v>69</v>
      </c>
      <c r="CJ19" s="45" t="s">
        <v>814</v>
      </c>
      <c r="CK19" s="46" t="s">
        <v>815</v>
      </c>
      <c r="CL19" s="31" t="s">
        <v>794</v>
      </c>
      <c r="CM19" s="16"/>
      <c r="CN19" s="45" t="s">
        <v>1169</v>
      </c>
      <c r="CO19" s="46" t="s">
        <v>2988</v>
      </c>
      <c r="CP19" s="31" t="s">
        <v>1117</v>
      </c>
      <c r="CQ19" s="16" t="s">
        <v>311</v>
      </c>
      <c r="CR19" s="16" t="s">
        <v>311</v>
      </c>
      <c r="CS19" s="45" t="s">
        <v>816</v>
      </c>
      <c r="CT19" s="45" t="s">
        <v>817</v>
      </c>
      <c r="CU19" s="45" t="s">
        <v>818</v>
      </c>
      <c r="CV19" s="45" t="s">
        <v>819</v>
      </c>
      <c r="CW19" s="45" t="s">
        <v>820</v>
      </c>
      <c r="CX19" s="167"/>
      <c r="CY19" s="197">
        <f>VLOOKUP(T_TraitDi[[#This Row],[hh]],T_CTRL_H[#Data],2,TRUE)</f>
        <v>1</v>
      </c>
      <c r="CZ19" s="207">
        <f>T_TraitDi[[#This Row],[Hhebdo]]*24</f>
        <v>37.083333333333336</v>
      </c>
    </row>
    <row r="20" spans="1:104" ht="15" customHeight="1" x14ac:dyDescent="0.25">
      <c r="A20" s="90">
        <v>288</v>
      </c>
      <c r="B20" s="126" t="s">
        <v>3549</v>
      </c>
      <c r="C20" s="126" t="s">
        <v>3277</v>
      </c>
      <c r="D20" s="19" t="str">
        <f>IFERROR(IF(VLOOKUP(T_TraitDi[[#This Row],[NumL]],T_suiviDi[#Data],COLUMN(T_suiviDi[Nom]),FALSE)&lt;&gt;"",VLOOKUP(T_TraitDi[[#This Row],[NumL]],T_suiviDi[#Data],COLUMN(T_suiviDi[Nom]),FALSE),""),"")</f>
        <v>A</v>
      </c>
      <c r="E20" s="19" t="str">
        <f>IFERROR(IF(VLOOKUP(T_TraitDi[[#This Row],[NumL]],T_suiviDi[#Data],COLUMN(T_suiviDi[Prénom]),FALSE)&lt;&gt;"",VLOOKUP(T_TraitDi[[#This Row],[NumL]],T_suiviDi[#Data],COLUMN(T_suiviDi[Prénom]),FALSE),""),"")</f>
        <v>Ilidia</v>
      </c>
      <c r="F20" s="20" t="str">
        <f>IFERROR(IF(VLOOKUP(T_TraitDi[[#This Row],[NumL]],T_suiviDi[#Data],COLUMN(T_suiviDi[Email]),FALSE)&lt;&gt;"",VLOOKUP(T_TraitDi[[#This Row],[NumL]],T_suiviDi[#Data],COLUMN(T_suiviDi[Email]),FALSE),""),"")</f>
        <v/>
      </c>
      <c r="G20" s="57"/>
      <c r="H20" s="29" t="s">
        <v>64</v>
      </c>
      <c r="I20" s="30" t="s">
        <v>64</v>
      </c>
      <c r="J20" s="30" t="s">
        <v>64</v>
      </c>
      <c r="K20" s="30" t="s">
        <v>64</v>
      </c>
      <c r="L20" s="30" t="s">
        <v>64</v>
      </c>
      <c r="M20" s="17" t="s">
        <v>64</v>
      </c>
      <c r="N20" s="17" t="s">
        <v>64</v>
      </c>
      <c r="O20" s="17" t="s">
        <v>304</v>
      </c>
      <c r="P20" s="27">
        <f t="shared" si="0"/>
        <v>1</v>
      </c>
      <c r="Q20" s="75">
        <v>40980</v>
      </c>
      <c r="R20" s="76">
        <v>40980</v>
      </c>
      <c r="S20" s="77">
        <v>0.8</v>
      </c>
      <c r="T20" s="78">
        <v>0.8</v>
      </c>
      <c r="U20" s="213">
        <v>1.2361111111111112</v>
      </c>
      <c r="V20" s="78" t="s">
        <v>305</v>
      </c>
      <c r="W20" s="78" t="s">
        <v>210</v>
      </c>
      <c r="X20"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0</v>
      </c>
      <c r="Y20" s="79">
        <f>IF((AND(T_TraitDi[[#This Row],[Nom]]&lt;&gt;"",T_TraitDi[[#This Row],[Reg Ponct]]="R")),(COUNTIF(AD20:BI20,"S")+COUNTIF(AD20:BI20,"T"))/2,"")</f>
        <v>4</v>
      </c>
      <c r="Z20" s="79">
        <f>IF((AND(T_TraitDi[[#This Row],[Nom]]&lt;&gt;"",T_TraitDi[[#This Row],[Reg Ponct]]="R")),COUNTIF(AD20:BI20,"S")/2,"")</f>
        <v>2</v>
      </c>
      <c r="AA20" s="80">
        <f>IF((AND(T_TraitDi[[#This Row],[Nom]]&lt;&gt;"",T_TraitDi[[#This Row],[Reg Ponct]]="R")),COUNTIF(AD20:BI20,"t")/2,"")</f>
        <v>2</v>
      </c>
      <c r="AB20" s="81">
        <f t="shared" si="1"/>
        <v>1.2361111111111112</v>
      </c>
      <c r="AC20" s="82">
        <f>IF((AND(T_TraitDi[[#This Row],[Nom]]&lt;&gt;"",T_TraitDi[[#This Row],[Reg Ponct]]="R")),IF(AD20="T",AF20-AE20,0)+IF(AG20="T",AI20-AH20,0)+IF(AK20="T",AM20-AL20,0)+IF(AN20="T",AP20-AO20,0)+IF(AR20="T",AT20-AS20,0)+IF(AU20="T",AW20-AV20,0)+IF(AY20="T",BA20-AZ20,0)+IF(BB20="T",BD20-BC20,0)+IF(BF20="T",BH20-BG20,0)+IF(BI20="T",BK20-BJ20,0),"")</f>
        <v>0.61805555555555558</v>
      </c>
      <c r="AD20" s="36" t="s">
        <v>306</v>
      </c>
      <c r="AE20" s="37">
        <v>0.34375</v>
      </c>
      <c r="AF20" s="37">
        <v>0.52083333333333337</v>
      </c>
      <c r="AG20" s="21" t="s">
        <v>306</v>
      </c>
      <c r="AH20" s="37">
        <v>0.5625</v>
      </c>
      <c r="AI20" s="37">
        <v>0.68055555555555547</v>
      </c>
      <c r="AJ20" s="38">
        <f t="shared" si="2"/>
        <v>0.29513888888888884</v>
      </c>
      <c r="AK20" s="36" t="s">
        <v>307</v>
      </c>
      <c r="AL20" s="37">
        <v>0.34375</v>
      </c>
      <c r="AM20" s="37">
        <v>0.52083333333333337</v>
      </c>
      <c r="AN20" s="21" t="s">
        <v>307</v>
      </c>
      <c r="AO20" s="37">
        <v>0.5625</v>
      </c>
      <c r="AP20" s="37">
        <v>0.70833333333333337</v>
      </c>
      <c r="AQ20" s="38">
        <f t="shared" si="3"/>
        <v>0.32291666666666674</v>
      </c>
      <c r="AR20" s="36" t="s">
        <v>308</v>
      </c>
      <c r="AS20" s="37"/>
      <c r="AT20" s="37"/>
      <c r="AU20" s="21" t="s">
        <v>308</v>
      </c>
      <c r="AV20" s="37"/>
      <c r="AW20" s="37"/>
      <c r="AX20" s="38">
        <f t="shared" si="4"/>
        <v>0</v>
      </c>
      <c r="AY20" s="36" t="s">
        <v>306</v>
      </c>
      <c r="AZ20" s="37">
        <v>0.34375</v>
      </c>
      <c r="BA20" s="37">
        <v>0.52083333333333337</v>
      </c>
      <c r="BB20" s="21" t="s">
        <v>306</v>
      </c>
      <c r="BC20" s="37">
        <v>0.5625</v>
      </c>
      <c r="BD20" s="37">
        <v>0.70833333333333337</v>
      </c>
      <c r="BE20" s="38">
        <f t="shared" si="5"/>
        <v>0.32291666666666674</v>
      </c>
      <c r="BF20" s="36" t="s">
        <v>307</v>
      </c>
      <c r="BG20" s="37">
        <v>0.34375</v>
      </c>
      <c r="BH20" s="37">
        <v>0.52083333333333337</v>
      </c>
      <c r="BI20" s="21" t="s">
        <v>307</v>
      </c>
      <c r="BJ20" s="37">
        <v>0.5625</v>
      </c>
      <c r="BK20" s="37">
        <v>0.68055555555555547</v>
      </c>
      <c r="BL20" s="39">
        <f t="shared" si="6"/>
        <v>0.29513888888888884</v>
      </c>
      <c r="BM20" s="32" t="str">
        <f>IFERROR(IF(T_TraitDi[[#This Row],[Nom]]&lt;&gt;"",IF(T_TraitDi[[#This Row],[Deb Univ]]="","N/C",IF(Dateeffet-T_TraitDi[[#This Row],[Deb Univ]]&gt;365,"OK","PB")),""),"N/C")</f>
        <v>OK</v>
      </c>
      <c r="BN20" s="33" t="str">
        <f t="shared" ca="1" si="7"/>
        <v>OK</v>
      </c>
      <c r="BO20" s="33" t="str">
        <f t="shared" si="8"/>
        <v>OK</v>
      </c>
      <c r="BP20" s="34" t="str">
        <f t="shared" si="9"/>
        <v>OK</v>
      </c>
      <c r="BQ20" s="34" t="str">
        <f>IFERROR(IF((AND(T_TraitDi[[#This Row],[Nom]]&lt;&gt;"",T_TraitDi[[#This Row],[Reg Ponct]]="R")),IF(Z20="","N/C",IF(Z20&gt;=Nbjoursite,"OK","PB")),""),"N/C")</f>
        <v>PB</v>
      </c>
      <c r="BR20" s="34" t="str">
        <f>IFERROR(IF((AND(T_TraitDi[[#This Row],[Nom]]&lt;&gt;"",T_TraitDi[[#This Row],[Reg Ponct]]="R")),IF(AA20="","N/C",IF(AA20&lt;=VLOOKUP(T20,Quotite,2,FALSE),"OK","PB")),""),"N/C")</f>
        <v>PB</v>
      </c>
      <c r="BS20" s="34" t="str">
        <f>IFERROR(IF((AND(T_TraitDi[[#This Row],[Nom]]&lt;&gt;"",T_TraitDi[[#This Row],[Reg Ponct]]="R")),IF(OR(Y20="",Z20="",AA20=""),"N/C",IF(Z20+AA20=Y20,"OK","PB")),""),"N/C")</f>
        <v>OK</v>
      </c>
      <c r="BT20" s="34" t="str">
        <f>IFERROR(IF((AND(T_TraitDi[[#This Row],[Nom]]&lt;&gt;"",T_TraitDi[[#This Row],[Reg Ponct]]="R")),IF(AA20="","N/C",IF(COUNTIF(AD20:BL20,"T")=AA20*2,"OK","PB")),""),"N/C")</f>
        <v>OK</v>
      </c>
      <c r="BU20" s="35" t="str">
        <f>IF(OR(T_TraitDi[[#This Row],[Nom]]="",T_TraitDi[[#This Row],[Reg Ponct]]="P"),"",IFERROR(IF((HOUR(AC20)*60+MINUTE(AC20))/AA20&gt;HOUR(Amplitude_max)*60+MINUTE(Amplitude_max),"PB","OK"),"N/C"))</f>
        <v>OK</v>
      </c>
      <c r="BV20" s="35" t="str">
        <f>IF(T_TraitDi[[#This Row],[Nom]]="","",IF( T_TraitDi[[#This Row],[Reg Ponct]]="R",IFERROR(IF(AND(T_TraitDi[[#This Row],[Nbhheb]]&gt;0,T_TraitDi[[#This Row],[Reg Ponct]]= "R"),IF(T_TraitDi[[#This Row],[Nbhheb]]&lt;&gt;VLOOKUP("R"&amp;T_TraitDi[[#This Row],[Q2]]*100&amp;T_TraitDi[[#This Row],[ctrlH]], T_code_H[#Data],6,FALSE),"PB","OK"),"N/C"),"N/C"), "OK"))</f>
        <v>OK</v>
      </c>
      <c r="BW20" s="41">
        <f t="shared" ca="1" si="10"/>
        <v>3</v>
      </c>
      <c r="BX20" s="42" t="str">
        <f t="shared" ca="1" si="11"/>
        <v xml:space="preserve">Nombre de jours minimum sur site insuffisant (min2,5) / Nombre de jours en télétravail non autorisé par rapport à la quotité / </v>
      </c>
      <c r="BY20" s="40" t="str">
        <f t="shared" si="12"/>
        <v/>
      </c>
      <c r="BZ20" s="40" t="str">
        <f t="shared" ca="1" si="13"/>
        <v/>
      </c>
      <c r="CA20" s="40" t="str">
        <f t="shared" si="14"/>
        <v/>
      </c>
      <c r="CB20" s="40" t="str">
        <f t="shared" si="15"/>
        <v/>
      </c>
      <c r="CC20" s="40" t="str">
        <f t="shared" si="16"/>
        <v xml:space="preserve">Nombre de jours minimum sur site insuffisant (min2,5) / </v>
      </c>
      <c r="CD20" s="40" t="str">
        <f t="shared" si="17"/>
        <v xml:space="preserve">Nombre de jours en télétravail non autorisé par rapport à la quotité / </v>
      </c>
      <c r="CE20" s="40" t="str">
        <f t="shared" si="18"/>
        <v/>
      </c>
      <c r="CF20" s="40" t="str">
        <f t="shared" si="19"/>
        <v/>
      </c>
      <c r="CG20" s="40" t="str">
        <f t="shared" si="20"/>
        <v/>
      </c>
      <c r="CH20" s="40" t="str">
        <f t="shared" si="21"/>
        <v/>
      </c>
      <c r="CI20" s="16" t="s">
        <v>69</v>
      </c>
      <c r="CJ20" s="45" t="s">
        <v>3285</v>
      </c>
      <c r="CK20" s="46" t="s">
        <v>520</v>
      </c>
      <c r="CL20" s="31" t="s">
        <v>341</v>
      </c>
      <c r="CM20" s="16"/>
      <c r="CN20" s="45" t="s">
        <v>1169</v>
      </c>
      <c r="CO20" s="46"/>
      <c r="CP20" s="31"/>
      <c r="CQ20" s="16" t="s">
        <v>311</v>
      </c>
      <c r="CR20" s="16" t="s">
        <v>311</v>
      </c>
      <c r="CS20" s="45" t="s">
        <v>3286</v>
      </c>
      <c r="CT20" s="45"/>
      <c r="CU20" s="45"/>
      <c r="CV20" s="45"/>
      <c r="CW20" s="45"/>
      <c r="CX20" s="167"/>
      <c r="CY20" s="197">
        <f>VLOOKUP(T_TraitDi[[#This Row],[hh]],T_CTRL_H[#Data],2,TRUE)</f>
        <v>3</v>
      </c>
      <c r="CZ20" s="207">
        <f>T_TraitDi[[#This Row],[Hhebdo]]*24</f>
        <v>29.666666666666668</v>
      </c>
    </row>
    <row r="21" spans="1:104" ht="15" customHeight="1" x14ac:dyDescent="0.25">
      <c r="A21" s="90">
        <v>259</v>
      </c>
      <c r="B21" s="126" t="s">
        <v>3549</v>
      </c>
      <c r="C21" s="126" t="s">
        <v>3278</v>
      </c>
      <c r="D21" s="19" t="str">
        <f>IFERROR(IF(VLOOKUP(T_TraitDi[[#This Row],[NumL]],T_suiviDi[#Data],COLUMN(T_suiviDi[Nom]),FALSE)&lt;&gt;"",VLOOKUP(T_TraitDi[[#This Row],[NumL]],T_suiviDi[#Data],COLUMN(T_suiviDi[Nom]),FALSE),""),"")</f>
        <v>A</v>
      </c>
      <c r="E21" s="19" t="str">
        <f>IFERROR(IF(VLOOKUP(T_TraitDi[[#This Row],[NumL]],T_suiviDi[#Data],COLUMN(T_suiviDi[Prénom]),FALSE)&lt;&gt;"",VLOOKUP(T_TraitDi[[#This Row],[NumL]],T_suiviDi[#Data],COLUMN(T_suiviDi[Prénom]),FALSE),""),"")</f>
        <v>Aude</v>
      </c>
      <c r="F21" s="20" t="str">
        <f>IFERROR(IF(VLOOKUP(T_TraitDi[[#This Row],[NumL]],T_suiviDi[#Data],COLUMN(T_suiviDi[Email]),FALSE)&lt;&gt;"",VLOOKUP(T_TraitDi[[#This Row],[NumL]],T_suiviDi[#Data],COLUMN(T_suiviDi[Email]),FALSE),""),"")</f>
        <v/>
      </c>
      <c r="G21" s="57"/>
      <c r="H21" s="29" t="s">
        <v>64</v>
      </c>
      <c r="I21" s="30" t="s">
        <v>64</v>
      </c>
      <c r="J21" s="30" t="s">
        <v>64</v>
      </c>
      <c r="K21" s="30" t="s">
        <v>304</v>
      </c>
      <c r="L21" s="30" t="s">
        <v>64</v>
      </c>
      <c r="M21" s="17" t="s">
        <v>64</v>
      </c>
      <c r="N21" s="17" t="s">
        <v>64</v>
      </c>
      <c r="O21" s="17" t="s">
        <v>304</v>
      </c>
      <c r="P21" s="27">
        <f t="shared" si="0"/>
        <v>1</v>
      </c>
      <c r="Q21" s="75">
        <v>43709</v>
      </c>
      <c r="R21" s="76">
        <v>43709</v>
      </c>
      <c r="S21" s="77">
        <v>1</v>
      </c>
      <c r="T21" s="78">
        <v>1</v>
      </c>
      <c r="U21" s="213">
        <v>1.5451388888888891</v>
      </c>
      <c r="V21" s="78" t="s">
        <v>632</v>
      </c>
      <c r="W21" s="78" t="s">
        <v>210</v>
      </c>
      <c r="X21"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1" s="79">
        <f>IF((AND(T_TraitDi[[#This Row],[Nom]]&lt;&gt;"",T_TraitDi[[#This Row],[Reg Ponct]]="R")),(COUNTIF(AD21:BI21,"S")+COUNTIF(AD21:BI21,"T"))/2,"")</f>
        <v>4.5</v>
      </c>
      <c r="Z21" s="79">
        <f>IF((AND(T_TraitDi[[#This Row],[Nom]]&lt;&gt;"",T_TraitDi[[#This Row],[Reg Ponct]]="R")),COUNTIF(AD21:BI21,"S")/2,"")</f>
        <v>3.5</v>
      </c>
      <c r="AA21" s="80">
        <f>IF((AND(T_TraitDi[[#This Row],[Nom]]&lt;&gt;"",T_TraitDi[[#This Row],[Reg Ponct]]="R")),COUNTIF(AD21:BI21,"t")/2,"")</f>
        <v>1</v>
      </c>
      <c r="AB21" s="81">
        <f t="shared" si="1"/>
        <v>1.5451388888888888</v>
      </c>
      <c r="AC21" s="82">
        <f>IF((AND(T_TraitDi[[#This Row],[Nom]]&lt;&gt;"",T_TraitDi[[#This Row],[Reg Ponct]]="R")),IF(AD21="T",AF21-AE21,0)+IF(AG21="T",AI21-AH21,0)+IF(AK21="T",AM21-AL21,0)+IF(AN21="T",AP21-AO21,0)+IF(AR21="T",AT21-AS21,0)+IF(AU21="T",AW21-AV21,0)+IF(AY21="T",BA21-AZ21,0)+IF(BB21="T",BD21-BC21,0)+IF(BF21="T",BH21-BG21,0)+IF(BI21="T",BK21-BJ21,0),"")</f>
        <v>0.33333333333333343</v>
      </c>
      <c r="AD21" s="36" t="s">
        <v>306</v>
      </c>
      <c r="AE21" s="37">
        <v>0.34375</v>
      </c>
      <c r="AF21" s="37">
        <v>0.5</v>
      </c>
      <c r="AG21" s="21" t="s">
        <v>306</v>
      </c>
      <c r="AH21" s="37">
        <v>0.54166666666666663</v>
      </c>
      <c r="AI21" s="37">
        <v>0.69791666666666663</v>
      </c>
      <c r="AJ21" s="38">
        <f t="shared" si="2"/>
        <v>0.3125</v>
      </c>
      <c r="AK21" s="36" t="s">
        <v>306</v>
      </c>
      <c r="AL21" s="37">
        <v>0.33333333333333331</v>
      </c>
      <c r="AM21" s="37">
        <v>0.54166666666666663</v>
      </c>
      <c r="AN21" s="21" t="s">
        <v>306</v>
      </c>
      <c r="AO21" s="37">
        <v>0.58333333333333337</v>
      </c>
      <c r="AP21" s="37">
        <v>0.68055555555555547</v>
      </c>
      <c r="AQ21" s="38">
        <f t="shared" si="3"/>
        <v>0.30555555555555541</v>
      </c>
      <c r="AR21" s="36" t="s">
        <v>306</v>
      </c>
      <c r="AS21" s="37">
        <v>0.35416666666666669</v>
      </c>
      <c r="AT21" s="37">
        <v>0.5</v>
      </c>
      <c r="AU21" s="21" t="s">
        <v>306</v>
      </c>
      <c r="AV21" s="37">
        <v>0.54166666666666663</v>
      </c>
      <c r="AW21" s="37">
        <v>0.79166666666666663</v>
      </c>
      <c r="AX21" s="38">
        <f t="shared" si="4"/>
        <v>0.39583333333333331</v>
      </c>
      <c r="AY21" s="36" t="s">
        <v>306</v>
      </c>
      <c r="AZ21" s="37">
        <v>0.33333333333333331</v>
      </c>
      <c r="BA21" s="37">
        <v>0.53125</v>
      </c>
      <c r="BB21" s="21" t="s">
        <v>308</v>
      </c>
      <c r="BC21" s="37"/>
      <c r="BD21" s="37"/>
      <c r="BE21" s="38">
        <f t="shared" si="5"/>
        <v>0.19791666666666669</v>
      </c>
      <c r="BF21" s="36" t="s">
        <v>307</v>
      </c>
      <c r="BG21" s="37">
        <v>0.33333333333333331</v>
      </c>
      <c r="BH21" s="37">
        <v>0.5</v>
      </c>
      <c r="BI21" s="21" t="s">
        <v>307</v>
      </c>
      <c r="BJ21" s="37">
        <v>0.54166666666666663</v>
      </c>
      <c r="BK21" s="37">
        <v>0.70833333333333337</v>
      </c>
      <c r="BL21" s="39">
        <f t="shared" si="6"/>
        <v>0.33333333333333343</v>
      </c>
      <c r="BM21" s="32" t="str">
        <f>IFERROR(IF(T_TraitDi[[#This Row],[Nom]]&lt;&gt;"",IF(T_TraitDi[[#This Row],[Deb Univ]]="","N/C",IF(Dateeffet-T_TraitDi[[#This Row],[Deb Univ]]&gt;365,"OK","PB")),""),"N/C")</f>
        <v>OK</v>
      </c>
      <c r="BN21" s="33" t="str">
        <f t="shared" ca="1" si="7"/>
        <v>OK</v>
      </c>
      <c r="BO21" s="33" t="str">
        <f t="shared" si="8"/>
        <v>OK</v>
      </c>
      <c r="BP21" s="34" t="str">
        <f t="shared" si="9"/>
        <v>OK</v>
      </c>
      <c r="BQ21" s="34" t="str">
        <f>IFERROR(IF((AND(T_TraitDi[[#This Row],[Nom]]&lt;&gt;"",T_TraitDi[[#This Row],[Reg Ponct]]="R")),IF(Z21="","N/C",IF(Z21&gt;=Nbjoursite,"OK","PB")),""),"N/C")</f>
        <v>OK</v>
      </c>
      <c r="BR21" s="34" t="str">
        <f>IFERROR(IF((AND(T_TraitDi[[#This Row],[Nom]]&lt;&gt;"",T_TraitDi[[#This Row],[Reg Ponct]]="R")),IF(AA21="","N/C",IF(AA21&lt;=VLOOKUP(T21,Quotite,2,FALSE),"OK","PB")),""),"N/C")</f>
        <v>OK</v>
      </c>
      <c r="BS21" s="34" t="str">
        <f>IFERROR(IF((AND(T_TraitDi[[#This Row],[Nom]]&lt;&gt;"",T_TraitDi[[#This Row],[Reg Ponct]]="R")),IF(OR(Y21="",Z21="",AA21=""),"N/C",IF(Z21+AA21=Y21,"OK","PB")),""),"N/C")</f>
        <v>OK</v>
      </c>
      <c r="BT21" s="34" t="str">
        <f>IFERROR(IF((AND(T_TraitDi[[#This Row],[Nom]]&lt;&gt;"",T_TraitDi[[#This Row],[Reg Ponct]]="R")),IF(AA21="","N/C",IF(COUNTIF(AD21:BL21,"T")=AA21*2,"OK","PB")),""),"N/C")</f>
        <v>OK</v>
      </c>
      <c r="BU21" s="35" t="str">
        <f>IF(OR(T_TraitDi[[#This Row],[Nom]]="",T_TraitDi[[#This Row],[Reg Ponct]]="P"),"",IFERROR(IF((HOUR(AC21)*60+MINUTE(AC21))/AA21&gt;HOUR(Amplitude_max)*60+MINUTE(Amplitude_max),"PB","OK"),"N/C"))</f>
        <v>OK</v>
      </c>
      <c r="BV21" s="35" t="str">
        <f>IF(T_TraitDi[[#This Row],[Nom]]="","",IF( T_TraitDi[[#This Row],[Reg Ponct]]="R",IFERROR(IF(AND(T_TraitDi[[#This Row],[Nbhheb]]&gt;0,T_TraitDi[[#This Row],[Reg Ponct]]= "R"),IF(T_TraitDi[[#This Row],[Nbhheb]]&lt;&gt;VLOOKUP("R"&amp;T_TraitDi[[#This Row],[Q2]]*100&amp;T_TraitDi[[#This Row],[ctrlH]], T_code_H[#Data],6,FALSE),"PB","OK"),"N/C"),"N/C"), "OK"))</f>
        <v>OK</v>
      </c>
      <c r="BW21" s="41">
        <f t="shared" ca="1" si="10"/>
        <v>1</v>
      </c>
      <c r="BX21" s="42" t="str">
        <f t="shared" ca="1" si="11"/>
        <v/>
      </c>
      <c r="BY21" s="40" t="str">
        <f t="shared" si="12"/>
        <v/>
      </c>
      <c r="BZ21" s="40" t="str">
        <f t="shared" ca="1" si="13"/>
        <v/>
      </c>
      <c r="CA21" s="40" t="str">
        <f t="shared" si="14"/>
        <v/>
      </c>
      <c r="CB21" s="40" t="str">
        <f t="shared" si="15"/>
        <v/>
      </c>
      <c r="CC21" s="40" t="str">
        <f t="shared" si="16"/>
        <v/>
      </c>
      <c r="CD21" s="40" t="str">
        <f t="shared" si="17"/>
        <v/>
      </c>
      <c r="CE21" s="40" t="str">
        <f t="shared" si="18"/>
        <v/>
      </c>
      <c r="CF21" s="40" t="str">
        <f t="shared" si="19"/>
        <v/>
      </c>
      <c r="CG21" s="40" t="str">
        <f t="shared" si="20"/>
        <v/>
      </c>
      <c r="CH21" s="40" t="str">
        <f t="shared" si="21"/>
        <v/>
      </c>
      <c r="CI21" s="16" t="s">
        <v>69</v>
      </c>
      <c r="CJ21" s="45" t="s">
        <v>3569</v>
      </c>
      <c r="CK21" s="46" t="s">
        <v>487</v>
      </c>
      <c r="CL21" s="31" t="s">
        <v>612</v>
      </c>
      <c r="CM21" s="16"/>
      <c r="CN21" s="45" t="s">
        <v>1169</v>
      </c>
      <c r="CO21" s="46" t="s">
        <v>2988</v>
      </c>
      <c r="CP21" s="31" t="s">
        <v>1117</v>
      </c>
      <c r="CQ21" s="16" t="s">
        <v>322</v>
      </c>
      <c r="CR21" s="16" t="s">
        <v>322</v>
      </c>
      <c r="CS21" s="45" t="s">
        <v>1165</v>
      </c>
      <c r="CT21" s="45" t="s">
        <v>1166</v>
      </c>
      <c r="CU21" s="45"/>
      <c r="CV21" s="45"/>
      <c r="CW21" s="45"/>
      <c r="CX21" s="167"/>
      <c r="CY21" s="197">
        <f>VLOOKUP(T_TraitDi[[#This Row],[hh]],T_CTRL_H[#Data],2,TRUE)</f>
        <v>1</v>
      </c>
      <c r="CZ21" s="207">
        <f>T_TraitDi[[#This Row],[Hhebdo]]*24</f>
        <v>37.083333333333336</v>
      </c>
    </row>
    <row r="22" spans="1:104" ht="15" customHeight="1" x14ac:dyDescent="0.25">
      <c r="A22" s="90">
        <v>78</v>
      </c>
      <c r="B22" s="126" t="s">
        <v>3549</v>
      </c>
      <c r="C22" s="126" t="s">
        <v>3278</v>
      </c>
      <c r="D22" s="19" t="str">
        <f>IFERROR(IF(VLOOKUP(T_TraitDi[[#This Row],[NumL]],T_suiviDi[#Data],COLUMN(T_suiviDi[Nom]),FALSE)&lt;&gt;"",VLOOKUP(T_TraitDi[[#This Row],[NumL]],T_suiviDi[#Data],COLUMN(T_suiviDi[Nom]),FALSE),""),"")</f>
        <v>A</v>
      </c>
      <c r="E22" s="19" t="str">
        <f>IFERROR(IF(VLOOKUP(T_TraitDi[[#This Row],[NumL]],T_suiviDi[#Data],COLUMN(T_suiviDi[Prénom]),FALSE)&lt;&gt;"",VLOOKUP(T_TraitDi[[#This Row],[NumL]],T_suiviDi[#Data],COLUMN(T_suiviDi[Prénom]),FALSE),""),"")</f>
        <v>Marianne</v>
      </c>
      <c r="F22" s="20" t="str">
        <f>IFERROR(IF(VLOOKUP(T_TraitDi[[#This Row],[NumL]],T_suiviDi[#Data],COLUMN(T_suiviDi[Email]),FALSE)&lt;&gt;"",VLOOKUP(T_TraitDi[[#This Row],[NumL]],T_suiviDi[#Data],COLUMN(T_suiviDi[Email]),FALSE),""),"")</f>
        <v/>
      </c>
      <c r="G22" s="57"/>
      <c r="H22" s="29" t="s">
        <v>64</v>
      </c>
      <c r="I22" s="30" t="s">
        <v>64</v>
      </c>
      <c r="J22" s="30" t="s">
        <v>64</v>
      </c>
      <c r="K22" s="30" t="s">
        <v>304</v>
      </c>
      <c r="L22" s="30" t="s">
        <v>64</v>
      </c>
      <c r="M22" s="17" t="s">
        <v>64</v>
      </c>
      <c r="N22" s="17" t="s">
        <v>64</v>
      </c>
      <c r="O22" s="17" t="s">
        <v>304</v>
      </c>
      <c r="P22" s="27">
        <f t="shared" si="0"/>
        <v>1</v>
      </c>
      <c r="Q22" s="75">
        <v>38961</v>
      </c>
      <c r="R22" s="76">
        <v>39600</v>
      </c>
      <c r="S22" s="77">
        <v>1</v>
      </c>
      <c r="T22" s="78">
        <v>1</v>
      </c>
      <c r="U22" s="213">
        <v>1.5451388888888891</v>
      </c>
      <c r="V22" s="78" t="s">
        <v>305</v>
      </c>
      <c r="W22" s="78" t="s">
        <v>210</v>
      </c>
      <c r="X22"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2" s="79">
        <f>IF((AND(T_TraitDi[[#This Row],[Nom]]&lt;&gt;"",T_TraitDi[[#This Row],[Reg Ponct]]="R")),(COUNTIF(AD22:BI22,"S")+COUNTIF(AD22:BI22,"T"))/2,"")</f>
        <v>5</v>
      </c>
      <c r="Z22" s="79">
        <f>IF((AND(T_TraitDi[[#This Row],[Nom]]&lt;&gt;"",T_TraitDi[[#This Row],[Reg Ponct]]="R")),COUNTIF(AD22:BI22,"S")/2,"")</f>
        <v>4</v>
      </c>
      <c r="AA22" s="80">
        <f>IF((AND(T_TraitDi[[#This Row],[Nom]]&lt;&gt;"",T_TraitDi[[#This Row],[Reg Ponct]]="R")),COUNTIF(AD22:BI22,"t")/2,"")</f>
        <v>1</v>
      </c>
      <c r="AB22" s="81">
        <f t="shared" si="1"/>
        <v>1.5451388888888882</v>
      </c>
      <c r="AC22" s="82">
        <f>IF((AND(T_TraitDi[[#This Row],[Nom]]&lt;&gt;"",T_TraitDi[[#This Row],[Reg Ponct]]="R")),IF(AD22="T",AF22-AE22,0)+IF(AG22="T",AI22-AH22,0)+IF(AK22="T",AM22-AL22,0)+IF(AN22="T",AP22-AO22,0)+IF(AR22="T",AT22-AS22,0)+IF(AU22="T",AW22-AV22,0)+IF(AY22="T",BA22-AZ22,0)+IF(BB22="T",BD22-BC22,0)+IF(BF22="T",BH22-BG22,0)+IF(BI22="T",BK22-BJ22,0),"")</f>
        <v>0.3159722222222221</v>
      </c>
      <c r="AD22" s="36" t="s">
        <v>306</v>
      </c>
      <c r="AE22" s="37">
        <v>0.38541666666666669</v>
      </c>
      <c r="AF22" s="37">
        <v>0.54166666666666663</v>
      </c>
      <c r="AG22" s="21" t="s">
        <v>306</v>
      </c>
      <c r="AH22" s="37">
        <v>0.58333333333333337</v>
      </c>
      <c r="AI22" s="37">
        <v>0.72916666666666663</v>
      </c>
      <c r="AJ22" s="38">
        <f t="shared" si="2"/>
        <v>0.3020833333333332</v>
      </c>
      <c r="AK22" s="36" t="s">
        <v>306</v>
      </c>
      <c r="AL22" s="37">
        <v>0.375</v>
      </c>
      <c r="AM22" s="37">
        <v>0.54166666666666663</v>
      </c>
      <c r="AN22" s="21" t="s">
        <v>306</v>
      </c>
      <c r="AO22" s="37">
        <v>0.58333333333333337</v>
      </c>
      <c r="AP22" s="37">
        <v>0.72916666666666663</v>
      </c>
      <c r="AQ22" s="38">
        <f t="shared" si="3"/>
        <v>0.31249999999999989</v>
      </c>
      <c r="AR22" s="36" t="s">
        <v>307</v>
      </c>
      <c r="AS22" s="37">
        <v>0.375</v>
      </c>
      <c r="AT22" s="37">
        <v>0.54166666666666663</v>
      </c>
      <c r="AU22" s="21" t="s">
        <v>307</v>
      </c>
      <c r="AV22" s="37">
        <v>0.58333333333333337</v>
      </c>
      <c r="AW22" s="37">
        <v>0.73263888888888884</v>
      </c>
      <c r="AX22" s="38">
        <f t="shared" si="4"/>
        <v>0.3159722222222221</v>
      </c>
      <c r="AY22" s="36" t="s">
        <v>306</v>
      </c>
      <c r="AZ22" s="37">
        <v>0.375</v>
      </c>
      <c r="BA22" s="37">
        <v>0.54166666666666663</v>
      </c>
      <c r="BB22" s="21" t="s">
        <v>306</v>
      </c>
      <c r="BC22" s="37">
        <v>0.58333333333333337</v>
      </c>
      <c r="BD22" s="37">
        <v>0.72916666666666663</v>
      </c>
      <c r="BE22" s="38">
        <f t="shared" si="5"/>
        <v>0.31249999999999989</v>
      </c>
      <c r="BF22" s="36" t="s">
        <v>306</v>
      </c>
      <c r="BG22" s="37">
        <v>0.375</v>
      </c>
      <c r="BH22" s="37">
        <v>0.54166666666666663</v>
      </c>
      <c r="BI22" s="21" t="s">
        <v>306</v>
      </c>
      <c r="BJ22" s="37">
        <v>0.58333333333333337</v>
      </c>
      <c r="BK22" s="37">
        <v>0.71875</v>
      </c>
      <c r="BL22" s="39">
        <f t="shared" si="6"/>
        <v>0.30208333333333326</v>
      </c>
      <c r="BM22" s="32" t="str">
        <f>IFERROR(IF(T_TraitDi[[#This Row],[Nom]]&lt;&gt;"",IF(T_TraitDi[[#This Row],[Deb Univ]]="","N/C",IF(Dateeffet-T_TraitDi[[#This Row],[Deb Univ]]&gt;365,"OK","PB")),""),"N/C")</f>
        <v>OK</v>
      </c>
      <c r="BN22" s="33" t="str">
        <f t="shared" ca="1" si="7"/>
        <v>OK</v>
      </c>
      <c r="BO22" s="33" t="str">
        <f t="shared" si="8"/>
        <v>OK</v>
      </c>
      <c r="BP22" s="34" t="str">
        <f t="shared" si="9"/>
        <v>OK</v>
      </c>
      <c r="BQ22" s="34" t="str">
        <f>IFERROR(IF((AND(T_TraitDi[[#This Row],[Nom]]&lt;&gt;"",T_TraitDi[[#This Row],[Reg Ponct]]="R")),IF(Z22="","N/C",IF(Z22&gt;=Nbjoursite,"OK","PB")),""),"N/C")</f>
        <v>OK</v>
      </c>
      <c r="BR22" s="34" t="str">
        <f>IFERROR(IF((AND(T_TraitDi[[#This Row],[Nom]]&lt;&gt;"",T_TraitDi[[#This Row],[Reg Ponct]]="R")),IF(AA22="","N/C",IF(AA22&lt;=VLOOKUP(T22,Quotite,2,FALSE),"OK","PB")),""),"N/C")</f>
        <v>OK</v>
      </c>
      <c r="BS22" s="34" t="str">
        <f>IFERROR(IF((AND(T_TraitDi[[#This Row],[Nom]]&lt;&gt;"",T_TraitDi[[#This Row],[Reg Ponct]]="R")),IF(OR(Y22="",Z22="",AA22=""),"N/C",IF(Z22+AA22=Y22,"OK","PB")),""),"N/C")</f>
        <v>OK</v>
      </c>
      <c r="BT22" s="34" t="str">
        <f>IFERROR(IF((AND(T_TraitDi[[#This Row],[Nom]]&lt;&gt;"",T_TraitDi[[#This Row],[Reg Ponct]]="R")),IF(AA22="","N/C",IF(COUNTIF(AD22:BL22,"T")=AA22*2,"OK","PB")),""),"N/C")</f>
        <v>OK</v>
      </c>
      <c r="BU22" s="35" t="str">
        <f>IF(OR(T_TraitDi[[#This Row],[Nom]]="",T_TraitDi[[#This Row],[Reg Ponct]]="P"),"",IFERROR(IF((HOUR(AC22)*60+MINUTE(AC22))/AA22&gt;HOUR(Amplitude_max)*60+MINUTE(Amplitude_max),"PB","OK"),"N/C"))</f>
        <v>OK</v>
      </c>
      <c r="BV22" s="35" t="str">
        <f>IF(T_TraitDi[[#This Row],[Nom]]="","",IF( T_TraitDi[[#This Row],[Reg Ponct]]="R",IFERROR(IF(AND(T_TraitDi[[#This Row],[Nbhheb]]&gt;0,T_TraitDi[[#This Row],[Reg Ponct]]= "R"),IF(T_TraitDi[[#This Row],[Nbhheb]]&lt;&gt;VLOOKUP("R"&amp;T_TraitDi[[#This Row],[Q2]]*100&amp;T_TraitDi[[#This Row],[ctrlH]], T_code_H[#Data],6,FALSE),"PB","OK"),"N/C"),"N/C"), "OK"))</f>
        <v>OK</v>
      </c>
      <c r="BW22" s="41">
        <f t="shared" ca="1" si="10"/>
        <v>1</v>
      </c>
      <c r="BX22" s="42" t="str">
        <f t="shared" ca="1" si="11"/>
        <v/>
      </c>
      <c r="BY22" s="40" t="str">
        <f t="shared" si="12"/>
        <v/>
      </c>
      <c r="BZ22" s="40" t="str">
        <f t="shared" ca="1" si="13"/>
        <v/>
      </c>
      <c r="CA22" s="40" t="str">
        <f t="shared" si="14"/>
        <v/>
      </c>
      <c r="CB22" s="40" t="str">
        <f t="shared" si="15"/>
        <v/>
      </c>
      <c r="CC22" s="40" t="str">
        <f t="shared" si="16"/>
        <v/>
      </c>
      <c r="CD22" s="40" t="str">
        <f t="shared" si="17"/>
        <v/>
      </c>
      <c r="CE22" s="40" t="str">
        <f t="shared" si="18"/>
        <v/>
      </c>
      <c r="CF22" s="40" t="str">
        <f t="shared" si="19"/>
        <v/>
      </c>
      <c r="CG22" s="40" t="str">
        <f t="shared" si="20"/>
        <v/>
      </c>
      <c r="CH22" s="40" t="str">
        <f t="shared" si="21"/>
        <v/>
      </c>
      <c r="CI22" s="16" t="s">
        <v>69</v>
      </c>
      <c r="CJ22" s="45" t="s">
        <v>636</v>
      </c>
      <c r="CK22" s="46" t="s">
        <v>477</v>
      </c>
      <c r="CL22" s="31" t="s">
        <v>637</v>
      </c>
      <c r="CM22" s="16"/>
      <c r="CN22" s="45" t="s">
        <v>1169</v>
      </c>
      <c r="CO22" s="46" t="s">
        <v>2988</v>
      </c>
      <c r="CP22" s="31" t="s">
        <v>1117</v>
      </c>
      <c r="CQ22" s="16" t="s">
        <v>311</v>
      </c>
      <c r="CR22" s="16" t="s">
        <v>311</v>
      </c>
      <c r="CS22" s="45" t="s">
        <v>316</v>
      </c>
      <c r="CT22" s="45"/>
      <c r="CU22" s="45"/>
      <c r="CV22" s="45"/>
      <c r="CW22" s="45"/>
      <c r="CX22" s="167"/>
      <c r="CY22" s="197">
        <f>VLOOKUP(T_TraitDi[[#This Row],[hh]],T_CTRL_H[#Data],2,TRUE)</f>
        <v>1</v>
      </c>
      <c r="CZ22" s="207">
        <f>T_TraitDi[[#This Row],[Hhebdo]]*24</f>
        <v>37.083333333333336</v>
      </c>
    </row>
    <row r="23" spans="1:104" ht="15" customHeight="1" x14ac:dyDescent="0.25">
      <c r="A23" s="90">
        <v>296</v>
      </c>
      <c r="B23" s="126" t="s">
        <v>3540</v>
      </c>
      <c r="C23" s="126" t="s">
        <v>3278</v>
      </c>
      <c r="D23" s="19" t="str">
        <f>IFERROR(IF(VLOOKUP(T_TraitDi[[#This Row],[NumL]],T_suiviDi[#Data],COLUMN(T_suiviDi[Nom]),FALSE)&lt;&gt;"",VLOOKUP(T_TraitDi[[#This Row],[NumL]],T_suiviDi[#Data],COLUMN(T_suiviDi[Nom]),FALSE),""),"")</f>
        <v>A</v>
      </c>
      <c r="E23" s="19" t="str">
        <f>IFERROR(IF(VLOOKUP(T_TraitDi[[#This Row],[NumL]],T_suiviDi[#Data],COLUMN(T_suiviDi[Prénom]),FALSE)&lt;&gt;"",VLOOKUP(T_TraitDi[[#This Row],[NumL]],T_suiviDi[#Data],COLUMN(T_suiviDi[Prénom]),FALSE),""),"")</f>
        <v>Dominique</v>
      </c>
      <c r="F23" s="20" t="str">
        <f>IFERROR(IF(VLOOKUP(T_TraitDi[[#This Row],[NumL]],T_suiviDi[#Data],COLUMN(T_suiviDi[Email]),FALSE)&lt;&gt;"",VLOOKUP(T_TraitDi[[#This Row],[NumL]],T_suiviDi[#Data],COLUMN(T_suiviDi[Email]),FALSE),""),"")</f>
        <v/>
      </c>
      <c r="G23" s="57"/>
      <c r="H23" s="29" t="s">
        <v>64</v>
      </c>
      <c r="I23" s="30" t="s">
        <v>64</v>
      </c>
      <c r="J23" s="30" t="s">
        <v>64</v>
      </c>
      <c r="K23" s="30" t="s">
        <v>304</v>
      </c>
      <c r="L23" s="30" t="s">
        <v>64</v>
      </c>
      <c r="M23" s="17" t="s">
        <v>64</v>
      </c>
      <c r="N23" s="17" t="s">
        <v>64</v>
      </c>
      <c r="O23" s="17" t="s">
        <v>304</v>
      </c>
      <c r="P23" s="27">
        <f t="shared" si="0"/>
        <v>1</v>
      </c>
      <c r="Q23" s="75">
        <v>34950</v>
      </c>
      <c r="R23" s="76">
        <v>41883</v>
      </c>
      <c r="S23" s="77">
        <v>1</v>
      </c>
      <c r="T23" s="78">
        <v>1</v>
      </c>
      <c r="U23" s="213">
        <v>1.5451388888888891</v>
      </c>
      <c r="V23" s="78" t="s">
        <v>305</v>
      </c>
      <c r="W23" s="78" t="s">
        <v>210</v>
      </c>
      <c r="X23"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3" s="79">
        <f>IF((AND(T_TraitDi[[#This Row],[Nom]]&lt;&gt;"",T_TraitDi[[#This Row],[Reg Ponct]]="R")),(COUNTIF(AD23:BI23,"S")+COUNTIF(AD23:BI23,"T"))/2,"")</f>
        <v>4.5</v>
      </c>
      <c r="Z23" s="79">
        <f>IF((AND(T_TraitDi[[#This Row],[Nom]]&lt;&gt;"",T_TraitDi[[#This Row],[Reg Ponct]]="R")),COUNTIF(AD23:BI23,"S")/2,"")</f>
        <v>4</v>
      </c>
      <c r="AA23" s="80">
        <f>IF((AND(T_TraitDi[[#This Row],[Nom]]&lt;&gt;"",T_TraitDi[[#This Row],[Reg Ponct]]="R")),COUNTIF(AD23:BI23,"t")/2,"")</f>
        <v>0.5</v>
      </c>
      <c r="AB23" s="81">
        <f t="shared" si="1"/>
        <v>1.5451388888888884</v>
      </c>
      <c r="AC23" s="82">
        <f>IF((AND(T_TraitDi[[#This Row],[Nom]]&lt;&gt;"",T_TraitDi[[#This Row],[Reg Ponct]]="R")),IF(AD23="T",AF23-AE23,0)+IF(AG23="T",AI23-AH23,0)+IF(AK23="T",AM23-AL23,0)+IF(AN23="T",AP23-AO23,0)+IF(AR23="T",AT23-AS23,0)+IF(AU23="T",AW23-AV23,0)+IF(AY23="T",BA23-AZ23,0)+IF(BB23="T",BD23-BC23,0)+IF(BF23="T",BH23-BG23,0)+IF(BI23="T",BK23-BJ23,0),"")</f>
        <v>0.1701388888888889</v>
      </c>
      <c r="AD23" s="36" t="s">
        <v>306</v>
      </c>
      <c r="AE23" s="37">
        <v>0.31597222222222221</v>
      </c>
      <c r="AF23" s="37">
        <v>0.50347222222222221</v>
      </c>
      <c r="AG23" s="21" t="s">
        <v>306</v>
      </c>
      <c r="AH23" s="37">
        <v>0.54513888888888895</v>
      </c>
      <c r="AI23" s="37">
        <v>0.70138888888888884</v>
      </c>
      <c r="AJ23" s="38">
        <f t="shared" si="2"/>
        <v>0.34374999999999989</v>
      </c>
      <c r="AK23" s="36" t="s">
        <v>306</v>
      </c>
      <c r="AL23" s="37">
        <v>0.31597222222222221</v>
      </c>
      <c r="AM23" s="37">
        <v>0.50347222222222221</v>
      </c>
      <c r="AN23" s="21" t="s">
        <v>306</v>
      </c>
      <c r="AO23" s="37">
        <v>0.54513888888888895</v>
      </c>
      <c r="AP23" s="37">
        <v>0.70138888888888884</v>
      </c>
      <c r="AQ23" s="38">
        <f t="shared" si="3"/>
        <v>0.34374999999999989</v>
      </c>
      <c r="AR23" s="36" t="s">
        <v>306</v>
      </c>
      <c r="AS23" s="37">
        <v>0.31597222222222221</v>
      </c>
      <c r="AT23" s="37">
        <v>0.50347222222222221</v>
      </c>
      <c r="AU23" s="21" t="s">
        <v>306</v>
      </c>
      <c r="AV23" s="37">
        <v>0.54513888888888895</v>
      </c>
      <c r="AW23" s="37">
        <v>0.70138888888888884</v>
      </c>
      <c r="AX23" s="38">
        <f t="shared" si="4"/>
        <v>0.34374999999999989</v>
      </c>
      <c r="AY23" s="36" t="s">
        <v>306</v>
      </c>
      <c r="AZ23" s="37">
        <v>0.31597222222222221</v>
      </c>
      <c r="BA23" s="37">
        <v>0.50347222222222221</v>
      </c>
      <c r="BB23" s="21" t="s">
        <v>306</v>
      </c>
      <c r="BC23" s="37">
        <v>0.54513888888888895</v>
      </c>
      <c r="BD23" s="37">
        <v>0.70138888888888884</v>
      </c>
      <c r="BE23" s="38">
        <f t="shared" si="5"/>
        <v>0.34374999999999989</v>
      </c>
      <c r="BF23" s="36" t="s">
        <v>307</v>
      </c>
      <c r="BG23" s="37">
        <v>0.31597222222222221</v>
      </c>
      <c r="BH23" s="37">
        <v>0.4861111111111111</v>
      </c>
      <c r="BI23" s="21" t="s">
        <v>308</v>
      </c>
      <c r="BJ23" s="37"/>
      <c r="BK23" s="37"/>
      <c r="BL23" s="39">
        <f t="shared" si="6"/>
        <v>0.1701388888888889</v>
      </c>
      <c r="BM23" s="32" t="str">
        <f>IFERROR(IF(T_TraitDi[[#This Row],[Nom]]&lt;&gt;"",IF(T_TraitDi[[#This Row],[Deb Univ]]="","N/C",IF(Dateeffet-T_TraitDi[[#This Row],[Deb Univ]]&gt;365,"OK","PB")),""),"N/C")</f>
        <v>OK</v>
      </c>
      <c r="BN23" s="33" t="str">
        <f t="shared" ca="1" si="7"/>
        <v>OK</v>
      </c>
      <c r="BO23" s="33" t="str">
        <f t="shared" si="8"/>
        <v>OK</v>
      </c>
      <c r="BP23" s="34" t="str">
        <f t="shared" si="9"/>
        <v>OK</v>
      </c>
      <c r="BQ23" s="34" t="str">
        <f>IFERROR(IF((AND(T_TraitDi[[#This Row],[Nom]]&lt;&gt;"",T_TraitDi[[#This Row],[Reg Ponct]]="R")),IF(Z23="","N/C",IF(Z23&gt;=Nbjoursite,"OK","PB")),""),"N/C")</f>
        <v>OK</v>
      </c>
      <c r="BR23" s="34" t="str">
        <f>IFERROR(IF((AND(T_TraitDi[[#This Row],[Nom]]&lt;&gt;"",T_TraitDi[[#This Row],[Reg Ponct]]="R")),IF(AA23="","N/C",IF(AA23&lt;=VLOOKUP(T23,Quotite,2,FALSE),"OK","PB")),""),"N/C")</f>
        <v>OK</v>
      </c>
      <c r="BS23" s="34" t="str">
        <f>IFERROR(IF((AND(T_TraitDi[[#This Row],[Nom]]&lt;&gt;"",T_TraitDi[[#This Row],[Reg Ponct]]="R")),IF(OR(Y23="",Z23="",AA23=""),"N/C",IF(Z23+AA23=Y23,"OK","PB")),""),"N/C")</f>
        <v>OK</v>
      </c>
      <c r="BT23" s="34" t="str">
        <f>IFERROR(IF((AND(T_TraitDi[[#This Row],[Nom]]&lt;&gt;"",T_TraitDi[[#This Row],[Reg Ponct]]="R")),IF(AA23="","N/C",IF(COUNTIF(AD23:BL23,"T")=AA23*2,"OK","PB")),""),"N/C")</f>
        <v>OK</v>
      </c>
      <c r="BU23" s="35" t="str">
        <f>IF(OR(T_TraitDi[[#This Row],[Nom]]="",T_TraitDi[[#This Row],[Reg Ponct]]="P"),"",IFERROR(IF((HOUR(AC23)*60+MINUTE(AC23))/AA23&gt;HOUR(Amplitude_max)*60+MINUTE(Amplitude_max),"PB","OK"),"N/C"))</f>
        <v>OK</v>
      </c>
      <c r="BV23" s="35" t="str">
        <f>IF(T_TraitDi[[#This Row],[Nom]]="","",IF( T_TraitDi[[#This Row],[Reg Ponct]]="R",IFERROR(IF(AND(T_TraitDi[[#This Row],[Nbhheb]]&gt;0,T_TraitDi[[#This Row],[Reg Ponct]]= "R"),IF(T_TraitDi[[#This Row],[Nbhheb]]&lt;&gt;VLOOKUP("R"&amp;T_TraitDi[[#This Row],[Q2]]*100&amp;T_TraitDi[[#This Row],[ctrlH]], T_code_H[#Data],6,FALSE),"PB","OK"),"N/C"),"N/C"), "OK"))</f>
        <v>OK</v>
      </c>
      <c r="BW23" s="41">
        <f t="shared" ca="1" si="10"/>
        <v>1</v>
      </c>
      <c r="BX23" s="42" t="str">
        <f t="shared" ca="1" si="11"/>
        <v/>
      </c>
      <c r="BY23" s="40" t="str">
        <f t="shared" si="12"/>
        <v/>
      </c>
      <c r="BZ23" s="40" t="str">
        <f t="shared" ca="1" si="13"/>
        <v/>
      </c>
      <c r="CA23" s="40" t="str">
        <f t="shared" si="14"/>
        <v/>
      </c>
      <c r="CB23" s="40" t="str">
        <f t="shared" si="15"/>
        <v/>
      </c>
      <c r="CC23" s="40" t="str">
        <f t="shared" si="16"/>
        <v/>
      </c>
      <c r="CD23" s="40" t="str">
        <f t="shared" si="17"/>
        <v/>
      </c>
      <c r="CE23" s="40" t="str">
        <f t="shared" si="18"/>
        <v/>
      </c>
      <c r="CF23" s="40" t="str">
        <f t="shared" si="19"/>
        <v/>
      </c>
      <c r="CG23" s="40" t="str">
        <f t="shared" si="20"/>
        <v/>
      </c>
      <c r="CH23" s="40" t="str">
        <f t="shared" si="21"/>
        <v/>
      </c>
      <c r="CI23" s="16" t="s">
        <v>69</v>
      </c>
      <c r="CJ23" s="45" t="s">
        <v>3566</v>
      </c>
      <c r="CK23" s="46" t="s">
        <v>376</v>
      </c>
      <c r="CL23" s="31" t="s">
        <v>341</v>
      </c>
      <c r="CM23" s="16"/>
      <c r="CN23" s="45" t="s">
        <v>1169</v>
      </c>
      <c r="CO23" s="46"/>
      <c r="CP23" s="31"/>
      <c r="CQ23" s="16" t="s">
        <v>311</v>
      </c>
      <c r="CR23" s="16" t="s">
        <v>311</v>
      </c>
      <c r="CS23" s="45" t="s">
        <v>650</v>
      </c>
      <c r="CT23" s="45" t="s">
        <v>3567</v>
      </c>
      <c r="CU23" s="45" t="s">
        <v>3568</v>
      </c>
      <c r="CV23" s="45"/>
      <c r="CW23" s="45"/>
      <c r="CX23" s="167"/>
      <c r="CY23" s="197">
        <f>VLOOKUP(T_TraitDi[[#This Row],[hh]],T_CTRL_H[#Data],2,TRUE)</f>
        <v>1</v>
      </c>
      <c r="CZ23" s="207">
        <f>T_TraitDi[[#This Row],[Hhebdo]]*24</f>
        <v>37.083333333333336</v>
      </c>
    </row>
    <row r="24" spans="1:104" ht="15" customHeight="1" x14ac:dyDescent="0.25">
      <c r="A24" s="90">
        <v>80</v>
      </c>
      <c r="B24" s="126" t="s">
        <v>3558</v>
      </c>
      <c r="C24" s="126" t="s">
        <v>3278</v>
      </c>
      <c r="D24" s="19" t="str">
        <f>IFERROR(IF(VLOOKUP(T_TraitDi[[#This Row],[NumL]],T_suiviDi[#Data],COLUMN(T_suiviDi[Nom]),FALSE)&lt;&gt;"",VLOOKUP(T_TraitDi[[#This Row],[NumL]],T_suiviDi[#Data],COLUMN(T_suiviDi[Nom]),FALSE),""),"")</f>
        <v>A</v>
      </c>
      <c r="E24" s="19" t="str">
        <f>IFERROR(IF(VLOOKUP(T_TraitDi[[#This Row],[NumL]],T_suiviDi[#Data],COLUMN(T_suiviDi[Prénom]),FALSE)&lt;&gt;"",VLOOKUP(T_TraitDi[[#This Row],[NumL]],T_suiviDi[#Data],COLUMN(T_suiviDi[Prénom]),FALSE),""),"")</f>
        <v>Anne-Laure</v>
      </c>
      <c r="F24" s="20" t="str">
        <f>IFERROR(IF(VLOOKUP(T_TraitDi[[#This Row],[NumL]],T_suiviDi[#Data],COLUMN(T_suiviDi[Email]),FALSE)&lt;&gt;"",VLOOKUP(T_TraitDi[[#This Row],[NumL]],T_suiviDi[#Data],COLUMN(T_suiviDi[Email]),FALSE),""),"")</f>
        <v/>
      </c>
      <c r="G24" s="57"/>
      <c r="H24" s="29" t="s">
        <v>64</v>
      </c>
      <c r="I24" s="30" t="s">
        <v>64</v>
      </c>
      <c r="J24" s="30" t="s">
        <v>64</v>
      </c>
      <c r="K24" s="30" t="s">
        <v>304</v>
      </c>
      <c r="L24" s="30" t="s">
        <v>64</v>
      </c>
      <c r="M24" s="17" t="s">
        <v>64</v>
      </c>
      <c r="N24" s="17" t="s">
        <v>64</v>
      </c>
      <c r="O24" s="17" t="s">
        <v>304</v>
      </c>
      <c r="P24" s="27">
        <f t="shared" si="0"/>
        <v>1</v>
      </c>
      <c r="Q24" s="75">
        <v>38231</v>
      </c>
      <c r="R24" s="76">
        <v>38231</v>
      </c>
      <c r="S24" s="77">
        <v>1</v>
      </c>
      <c r="T24" s="78">
        <v>1</v>
      </c>
      <c r="U24" s="213">
        <v>1.5451388888888891</v>
      </c>
      <c r="V24" s="78" t="s">
        <v>305</v>
      </c>
      <c r="W24" s="78" t="s">
        <v>210</v>
      </c>
      <c r="X24"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4" s="79">
        <f>IF((AND(T_TraitDi[[#This Row],[Nom]]&lt;&gt;"",T_TraitDi[[#This Row],[Reg Ponct]]="R")),(COUNTIF(AD24:BI24,"S")+COUNTIF(AD24:BI24,"T"))/2,"")</f>
        <v>4.5</v>
      </c>
      <c r="Z24" s="79">
        <f>IF((AND(T_TraitDi[[#This Row],[Nom]]&lt;&gt;"",T_TraitDi[[#This Row],[Reg Ponct]]="R")),COUNTIF(AD24:BI24,"S")/2,"")</f>
        <v>2.5</v>
      </c>
      <c r="AA24" s="80">
        <f>IF((AND(T_TraitDi[[#This Row],[Nom]]&lt;&gt;"",T_TraitDi[[#This Row],[Reg Ponct]]="R")),COUNTIF(AD24:BI24,"t")/2,"")</f>
        <v>2</v>
      </c>
      <c r="AB24" s="81">
        <f t="shared" si="1"/>
        <v>1.5451388888888893</v>
      </c>
      <c r="AC24" s="82">
        <f>IF((AND(T_TraitDi[[#This Row],[Nom]]&lt;&gt;"",T_TraitDi[[#This Row],[Reg Ponct]]="R")),IF(AD24="T",AF24-AE24,0)+IF(AG24="T",AI24-AH24,0)+IF(AK24="T",AM24-AL24,0)+IF(AN24="T",AP24-AO24,0)+IF(AR24="T",AT24-AS24,0)+IF(AU24="T",AW24-AV24,0)+IF(AY24="T",BA24-AZ24,0)+IF(BB24="T",BD24-BC24,0)+IF(BF24="T",BH24-BG24,0)+IF(BI24="T",BK24-BJ24,0),"")</f>
        <v>0.68750000000000011</v>
      </c>
      <c r="AD24" s="36" t="s">
        <v>307</v>
      </c>
      <c r="AE24" s="37">
        <v>0.3125</v>
      </c>
      <c r="AF24" s="37">
        <v>0.5</v>
      </c>
      <c r="AG24" s="21" t="s">
        <v>307</v>
      </c>
      <c r="AH24" s="37">
        <v>0.54166666666666663</v>
      </c>
      <c r="AI24" s="37">
        <v>0.70833333333333337</v>
      </c>
      <c r="AJ24" s="38">
        <f t="shared" si="2"/>
        <v>0.35416666666666674</v>
      </c>
      <c r="AK24" s="36" t="s">
        <v>306</v>
      </c>
      <c r="AL24" s="37">
        <v>0.33333333333333331</v>
      </c>
      <c r="AM24" s="37">
        <v>0.5</v>
      </c>
      <c r="AN24" s="21" t="s">
        <v>306</v>
      </c>
      <c r="AO24" s="37">
        <v>0.54166666666666663</v>
      </c>
      <c r="AP24" s="37">
        <v>0.70833333333333337</v>
      </c>
      <c r="AQ24" s="38">
        <f t="shared" si="3"/>
        <v>0.33333333333333343</v>
      </c>
      <c r="AR24" s="36" t="s">
        <v>306</v>
      </c>
      <c r="AS24" s="37">
        <v>0.33333333333333331</v>
      </c>
      <c r="AT24" s="37">
        <v>0.5</v>
      </c>
      <c r="AU24" s="21" t="s">
        <v>306</v>
      </c>
      <c r="AV24" s="37">
        <v>0.54166666666666663</v>
      </c>
      <c r="AW24" s="37">
        <v>0.70833333333333337</v>
      </c>
      <c r="AX24" s="38">
        <f t="shared" si="4"/>
        <v>0.33333333333333343</v>
      </c>
      <c r="AY24" s="36" t="s">
        <v>306</v>
      </c>
      <c r="AZ24" s="37">
        <v>0.33333333333333331</v>
      </c>
      <c r="BA24" s="37">
        <v>0.52430555555555558</v>
      </c>
      <c r="BB24" s="21" t="s">
        <v>308</v>
      </c>
      <c r="BC24" s="37"/>
      <c r="BD24" s="37"/>
      <c r="BE24" s="38">
        <f t="shared" si="5"/>
        <v>0.19097222222222227</v>
      </c>
      <c r="BF24" s="36" t="s">
        <v>307</v>
      </c>
      <c r="BG24" s="37">
        <v>0.3125</v>
      </c>
      <c r="BH24" s="37">
        <v>0.5</v>
      </c>
      <c r="BI24" s="21" t="s">
        <v>307</v>
      </c>
      <c r="BJ24" s="37">
        <v>0.54166666666666663</v>
      </c>
      <c r="BK24" s="37">
        <v>0.6875</v>
      </c>
      <c r="BL24" s="39">
        <f t="shared" si="6"/>
        <v>0.33333333333333337</v>
      </c>
      <c r="BM24" s="32" t="str">
        <f>IFERROR(IF(T_TraitDi[[#This Row],[Nom]]&lt;&gt;"",IF(T_TraitDi[[#This Row],[Deb Univ]]="","N/C",IF(Dateeffet-T_TraitDi[[#This Row],[Deb Univ]]&gt;365,"OK","PB")),""),"N/C")</f>
        <v>OK</v>
      </c>
      <c r="BN24" s="33" t="str">
        <f t="shared" ca="1" si="7"/>
        <v>OK</v>
      </c>
      <c r="BO24" s="33" t="str">
        <f t="shared" si="8"/>
        <v>OK</v>
      </c>
      <c r="BP24" s="34" t="str">
        <f t="shared" si="9"/>
        <v>OK</v>
      </c>
      <c r="BQ24" s="34" t="str">
        <f>IFERROR(IF((AND(T_TraitDi[[#This Row],[Nom]]&lt;&gt;"",T_TraitDi[[#This Row],[Reg Ponct]]="R")),IF(Z24="","N/C",IF(Z24&gt;=Nbjoursite,"OK","PB")),""),"N/C")</f>
        <v>OK</v>
      </c>
      <c r="BR24" s="34" t="str">
        <f>IFERROR(IF((AND(T_TraitDi[[#This Row],[Nom]]&lt;&gt;"",T_TraitDi[[#This Row],[Reg Ponct]]="R")),IF(AA24="","N/C",IF(AA24&lt;=VLOOKUP(T24,Quotite,2,FALSE),"OK","PB")),""),"N/C")</f>
        <v>OK</v>
      </c>
      <c r="BS24" s="34" t="str">
        <f>IFERROR(IF((AND(T_TraitDi[[#This Row],[Nom]]&lt;&gt;"",T_TraitDi[[#This Row],[Reg Ponct]]="R")),IF(OR(Y24="",Z24="",AA24=""),"N/C",IF(Z24+AA24=Y24,"OK","PB")),""),"N/C")</f>
        <v>OK</v>
      </c>
      <c r="BT24" s="34" t="str">
        <f>IFERROR(IF((AND(T_TraitDi[[#This Row],[Nom]]&lt;&gt;"",T_TraitDi[[#This Row],[Reg Ponct]]="R")),IF(AA24="","N/C",IF(COUNTIF(AD24:BL24,"T")=AA24*2,"OK","PB")),""),"N/C")</f>
        <v>OK</v>
      </c>
      <c r="BU24" s="35" t="str">
        <f>IF(OR(T_TraitDi[[#This Row],[Nom]]="",T_TraitDi[[#This Row],[Reg Ponct]]="P"),"",IFERROR(IF((HOUR(AC24)*60+MINUTE(AC24))/AA24&gt;HOUR(Amplitude_max)*60+MINUTE(Amplitude_max),"PB","OK"),"N/C"))</f>
        <v>OK</v>
      </c>
      <c r="BV24" s="35" t="str">
        <f>IF(T_TraitDi[[#This Row],[Nom]]="","",IF( T_TraitDi[[#This Row],[Reg Ponct]]="R",IFERROR(IF(AND(T_TraitDi[[#This Row],[Nbhheb]]&gt;0,T_TraitDi[[#This Row],[Reg Ponct]]= "R"),IF(T_TraitDi[[#This Row],[Nbhheb]]&lt;&gt;VLOOKUP("R"&amp;T_TraitDi[[#This Row],[Q2]]*100&amp;T_TraitDi[[#This Row],[ctrlH]], T_code_H[#Data],6,FALSE),"PB","OK"),"N/C"),"N/C"), "OK"))</f>
        <v>OK</v>
      </c>
      <c r="BW24" s="41">
        <f t="shared" ca="1" si="10"/>
        <v>1</v>
      </c>
      <c r="BX24" s="42" t="str">
        <f t="shared" ca="1" si="11"/>
        <v/>
      </c>
      <c r="BY24" s="40" t="str">
        <f t="shared" si="12"/>
        <v/>
      </c>
      <c r="BZ24" s="40" t="str">
        <f t="shared" ca="1" si="13"/>
        <v/>
      </c>
      <c r="CA24" s="40" t="str">
        <f t="shared" si="14"/>
        <v/>
      </c>
      <c r="CB24" s="40" t="str">
        <f t="shared" si="15"/>
        <v/>
      </c>
      <c r="CC24" s="40" t="str">
        <f t="shared" si="16"/>
        <v/>
      </c>
      <c r="CD24" s="40" t="str">
        <f t="shared" si="17"/>
        <v/>
      </c>
      <c r="CE24" s="40" t="str">
        <f t="shared" si="18"/>
        <v/>
      </c>
      <c r="CF24" s="40" t="str">
        <f t="shared" si="19"/>
        <v/>
      </c>
      <c r="CG24" s="40" t="str">
        <f t="shared" si="20"/>
        <v/>
      </c>
      <c r="CH24" s="40" t="str">
        <f t="shared" si="21"/>
        <v/>
      </c>
      <c r="CI24" s="16" t="s">
        <v>69</v>
      </c>
      <c r="CJ24" s="45" t="s">
        <v>570</v>
      </c>
      <c r="CK24" s="46" t="s">
        <v>471</v>
      </c>
      <c r="CL24" s="31" t="s">
        <v>341</v>
      </c>
      <c r="CM24" s="16"/>
      <c r="CN24" s="45" t="s">
        <v>1169</v>
      </c>
      <c r="CO24" s="46" t="s">
        <v>2988</v>
      </c>
      <c r="CP24" s="31" t="s">
        <v>1117</v>
      </c>
      <c r="CQ24" s="16" t="s">
        <v>311</v>
      </c>
      <c r="CR24" s="16" t="s">
        <v>322</v>
      </c>
      <c r="CS24" s="45" t="s">
        <v>644</v>
      </c>
      <c r="CT24" s="45" t="s">
        <v>645</v>
      </c>
      <c r="CU24" s="45" t="s">
        <v>646</v>
      </c>
      <c r="CV24" s="45"/>
      <c r="CW24" s="45"/>
      <c r="CX24" s="167"/>
      <c r="CY24" s="197">
        <f>VLOOKUP(T_TraitDi[[#This Row],[hh]],T_CTRL_H[#Data],2,TRUE)</f>
        <v>1</v>
      </c>
      <c r="CZ24" s="207">
        <f>T_TraitDi[[#This Row],[Hhebdo]]*24</f>
        <v>37.083333333333336</v>
      </c>
    </row>
    <row r="25" spans="1:104" ht="15" customHeight="1" x14ac:dyDescent="0.25">
      <c r="A25" s="90">
        <v>280</v>
      </c>
      <c r="B25" s="126" t="s">
        <v>3558</v>
      </c>
      <c r="C25" s="126" t="s">
        <v>3278</v>
      </c>
      <c r="D25" s="19" t="str">
        <f>IFERROR(IF(VLOOKUP(T_TraitDi[[#This Row],[NumL]],T_suiviDi[#Data],COLUMN(T_suiviDi[Nom]),FALSE)&lt;&gt;"",VLOOKUP(T_TraitDi[[#This Row],[NumL]],T_suiviDi[#Data],COLUMN(T_suiviDi[Nom]),FALSE),""),"")</f>
        <v>A</v>
      </c>
      <c r="E25" s="19" t="str">
        <f>IFERROR(IF(VLOOKUP(T_TraitDi[[#This Row],[NumL]],T_suiviDi[#Data],COLUMN(T_suiviDi[Prénom]),FALSE)&lt;&gt;"",VLOOKUP(T_TraitDi[[#This Row],[NumL]],T_suiviDi[#Data],COLUMN(T_suiviDi[Prénom]),FALSE),""),"")</f>
        <v>Morgane</v>
      </c>
      <c r="F25" s="20" t="str">
        <f>IFERROR(IF(VLOOKUP(T_TraitDi[[#This Row],[NumL]],T_suiviDi[#Data],COLUMN(T_suiviDi[Email]),FALSE)&lt;&gt;"",VLOOKUP(T_TraitDi[[#This Row],[NumL]],T_suiviDi[#Data],COLUMN(T_suiviDi[Email]),FALSE),""),"")</f>
        <v/>
      </c>
      <c r="G25" s="57"/>
      <c r="H25" s="29" t="s">
        <v>64</v>
      </c>
      <c r="I25" s="30" t="s">
        <v>64</v>
      </c>
      <c r="J25" s="30" t="s">
        <v>64</v>
      </c>
      <c r="K25" s="30" t="s">
        <v>304</v>
      </c>
      <c r="L25" s="30" t="s">
        <v>64</v>
      </c>
      <c r="M25" s="17" t="s">
        <v>64</v>
      </c>
      <c r="N25" s="17" t="s">
        <v>64</v>
      </c>
      <c r="O25" s="17" t="s">
        <v>304</v>
      </c>
      <c r="P25" s="27">
        <f t="shared" si="0"/>
        <v>1</v>
      </c>
      <c r="Q25" s="75">
        <v>44075</v>
      </c>
      <c r="R25" s="76">
        <v>44075</v>
      </c>
      <c r="S25" s="77">
        <v>1</v>
      </c>
      <c r="T25" s="78">
        <v>1</v>
      </c>
      <c r="U25" s="213">
        <v>1.5451388888888891</v>
      </c>
      <c r="V25" s="78" t="s">
        <v>305</v>
      </c>
      <c r="W25" s="78" t="s">
        <v>210</v>
      </c>
      <c r="X25"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5" s="79">
        <f>IF((AND(T_TraitDi[[#This Row],[Nom]]&lt;&gt;"",T_TraitDi[[#This Row],[Reg Ponct]]="R")),(COUNTIF(AD25:BI25,"S")+COUNTIF(AD25:BI25,"T"))/2,"")</f>
        <v>5</v>
      </c>
      <c r="Z25" s="79">
        <f>IF((AND(T_TraitDi[[#This Row],[Nom]]&lt;&gt;"",T_TraitDi[[#This Row],[Reg Ponct]]="R")),COUNTIF(AD25:BI25,"S")/2,"")</f>
        <v>4</v>
      </c>
      <c r="AA25" s="80">
        <f>IF((AND(T_TraitDi[[#This Row],[Nom]]&lt;&gt;"",T_TraitDi[[#This Row],[Reg Ponct]]="R")),COUNTIF(AD25:BI25,"t")/2,"")</f>
        <v>1</v>
      </c>
      <c r="AB25" s="81">
        <f t="shared" si="1"/>
        <v>1.5451388888888891</v>
      </c>
      <c r="AC25" s="82">
        <f>IF((AND(T_TraitDi[[#This Row],[Nom]]&lt;&gt;"",T_TraitDi[[#This Row],[Reg Ponct]]="R")),IF(AD25="T",AF25-AE25,0)+IF(AG25="T",AI25-AH25,0)+IF(AK25="T",AM25-AL25,0)+IF(AN25="T",AP25-AO25,0)+IF(AR25="T",AT25-AS25,0)+IF(AU25="T",AW25-AV25,0)+IF(AY25="T",BA25-AZ25,0)+IF(BB25="T",BD25-BC25,0)+IF(BF25="T",BH25-BG25,0)+IF(BI25="T",BK25-BJ25,0),"")</f>
        <v>0.35416666666666669</v>
      </c>
      <c r="AD25" s="36" t="s">
        <v>306</v>
      </c>
      <c r="AE25" s="37">
        <v>0.33333333333333331</v>
      </c>
      <c r="AF25" s="37">
        <v>0.5</v>
      </c>
      <c r="AG25" s="21" t="s">
        <v>306</v>
      </c>
      <c r="AH25" s="37">
        <v>0.54166666666666663</v>
      </c>
      <c r="AI25" s="37">
        <v>0.67013888888888884</v>
      </c>
      <c r="AJ25" s="38">
        <f t="shared" si="2"/>
        <v>0.2951388888888889</v>
      </c>
      <c r="AK25" s="36" t="s">
        <v>307</v>
      </c>
      <c r="AL25" s="37">
        <v>0.33333333333333331</v>
      </c>
      <c r="AM25" s="37">
        <v>0.5</v>
      </c>
      <c r="AN25" s="21" t="s">
        <v>307</v>
      </c>
      <c r="AO25" s="37">
        <v>0.54166666666666663</v>
      </c>
      <c r="AP25" s="37">
        <v>0.72916666666666663</v>
      </c>
      <c r="AQ25" s="38">
        <f t="shared" si="3"/>
        <v>0.35416666666666669</v>
      </c>
      <c r="AR25" s="36" t="s">
        <v>306</v>
      </c>
      <c r="AS25" s="37">
        <v>0.35416666666666669</v>
      </c>
      <c r="AT25" s="37">
        <v>0.5</v>
      </c>
      <c r="AU25" s="21" t="s">
        <v>306</v>
      </c>
      <c r="AV25" s="37">
        <v>0.54166666666666663</v>
      </c>
      <c r="AW25" s="37">
        <v>0.66666666666666663</v>
      </c>
      <c r="AX25" s="38">
        <f t="shared" si="4"/>
        <v>0.27083333333333331</v>
      </c>
      <c r="AY25" s="36" t="s">
        <v>306</v>
      </c>
      <c r="AZ25" s="37">
        <v>0.33333333333333331</v>
      </c>
      <c r="BA25" s="37">
        <v>0.5</v>
      </c>
      <c r="BB25" s="21" t="s">
        <v>306</v>
      </c>
      <c r="BC25" s="37">
        <v>0.54166666666666663</v>
      </c>
      <c r="BD25" s="37">
        <v>0.70833333333333337</v>
      </c>
      <c r="BE25" s="38">
        <f t="shared" si="5"/>
        <v>0.33333333333333343</v>
      </c>
      <c r="BF25" s="36" t="s">
        <v>306</v>
      </c>
      <c r="BG25" s="37">
        <v>0.33333333333333331</v>
      </c>
      <c r="BH25" s="37">
        <v>0.5</v>
      </c>
      <c r="BI25" s="21" t="s">
        <v>306</v>
      </c>
      <c r="BJ25" s="37">
        <v>0.54166666666666663</v>
      </c>
      <c r="BK25" s="37">
        <v>0.66666666666666663</v>
      </c>
      <c r="BL25" s="39">
        <f t="shared" si="6"/>
        <v>0.29166666666666669</v>
      </c>
      <c r="BM25" s="32" t="str">
        <f>IFERROR(IF(T_TraitDi[[#This Row],[Nom]]&lt;&gt;"",IF(T_TraitDi[[#This Row],[Deb Univ]]="","N/C",IF(Dateeffet-T_TraitDi[[#This Row],[Deb Univ]]&gt;365,"OK","PB")),""),"N/C")</f>
        <v>PB</v>
      </c>
      <c r="BN25" s="33" t="str">
        <f t="shared" ca="1" si="7"/>
        <v>OK</v>
      </c>
      <c r="BO25" s="33" t="str">
        <f t="shared" si="8"/>
        <v>OK</v>
      </c>
      <c r="BP25" s="34" t="str">
        <f t="shared" si="9"/>
        <v>OK</v>
      </c>
      <c r="BQ25" s="34" t="str">
        <f>IFERROR(IF((AND(T_TraitDi[[#This Row],[Nom]]&lt;&gt;"",T_TraitDi[[#This Row],[Reg Ponct]]="R")),IF(Z25="","N/C",IF(Z25&gt;=Nbjoursite,"OK","PB")),""),"N/C")</f>
        <v>OK</v>
      </c>
      <c r="BR25" s="34" t="str">
        <f>IFERROR(IF((AND(T_TraitDi[[#This Row],[Nom]]&lt;&gt;"",T_TraitDi[[#This Row],[Reg Ponct]]="R")),IF(AA25="","N/C",IF(AA25&lt;=VLOOKUP(T25,Quotite,2,FALSE),"OK","PB")),""),"N/C")</f>
        <v>OK</v>
      </c>
      <c r="BS25" s="34" t="str">
        <f>IFERROR(IF((AND(T_TraitDi[[#This Row],[Nom]]&lt;&gt;"",T_TraitDi[[#This Row],[Reg Ponct]]="R")),IF(OR(Y25="",Z25="",AA25=""),"N/C",IF(Z25+AA25=Y25,"OK","PB")),""),"N/C")</f>
        <v>OK</v>
      </c>
      <c r="BT25" s="34" t="str">
        <f>IFERROR(IF((AND(T_TraitDi[[#This Row],[Nom]]&lt;&gt;"",T_TraitDi[[#This Row],[Reg Ponct]]="R")),IF(AA25="","N/C",IF(COUNTIF(AD25:BL25,"T")=AA25*2,"OK","PB")),""),"N/C")</f>
        <v>OK</v>
      </c>
      <c r="BU25" s="35" t="str">
        <f>IF(OR(T_TraitDi[[#This Row],[Nom]]="",T_TraitDi[[#This Row],[Reg Ponct]]="P"),"",IFERROR(IF((HOUR(AC25)*60+MINUTE(AC25))/AA25&gt;HOUR(Amplitude_max)*60+MINUTE(Amplitude_max),"PB","OK"),"N/C"))</f>
        <v>OK</v>
      </c>
      <c r="BV25" s="35" t="str">
        <f>IF(T_TraitDi[[#This Row],[Nom]]="","",IF( T_TraitDi[[#This Row],[Reg Ponct]]="R",IFERROR(IF(AND(T_TraitDi[[#This Row],[Nbhheb]]&gt;0,T_TraitDi[[#This Row],[Reg Ponct]]= "R"),IF(T_TraitDi[[#This Row],[Nbhheb]]&lt;&gt;VLOOKUP("R"&amp;T_TraitDi[[#This Row],[Q2]]*100&amp;T_TraitDi[[#This Row],[ctrlH]], T_code_H[#Data],6,FALSE),"PB","OK"),"N/C"),"N/C"), "OK"))</f>
        <v>OK</v>
      </c>
      <c r="BW25" s="41">
        <f t="shared" ca="1" si="10"/>
        <v>3</v>
      </c>
      <c r="BX25" s="42" t="str">
        <f t="shared" ca="1" si="11"/>
        <v xml:space="preserve">Ancienneté à l'Université de moins d'un an / </v>
      </c>
      <c r="BY25" s="40" t="str">
        <f t="shared" si="12"/>
        <v xml:space="preserve">Ancienneté à l'Université de moins d'un an / </v>
      </c>
      <c r="BZ25" s="40" t="str">
        <f t="shared" ca="1" si="13"/>
        <v/>
      </c>
      <c r="CA25" s="40" t="str">
        <f t="shared" si="14"/>
        <v/>
      </c>
      <c r="CB25" s="40" t="str">
        <f t="shared" si="15"/>
        <v/>
      </c>
      <c r="CC25" s="40" t="str">
        <f t="shared" si="16"/>
        <v/>
      </c>
      <c r="CD25" s="40" t="str">
        <f t="shared" si="17"/>
        <v/>
      </c>
      <c r="CE25" s="40" t="str">
        <f t="shared" si="18"/>
        <v/>
      </c>
      <c r="CF25" s="40" t="str">
        <f t="shared" si="19"/>
        <v/>
      </c>
      <c r="CG25" s="40" t="str">
        <f t="shared" si="20"/>
        <v/>
      </c>
      <c r="CH25" s="40" t="str">
        <f t="shared" si="21"/>
        <v/>
      </c>
      <c r="CI25" s="16" t="s">
        <v>69</v>
      </c>
      <c r="CJ25" s="45" t="s">
        <v>1157</v>
      </c>
      <c r="CK25" s="46" t="s">
        <v>379</v>
      </c>
      <c r="CL25" s="31" t="s">
        <v>1158</v>
      </c>
      <c r="CM25" s="16"/>
      <c r="CN25" s="45" t="s">
        <v>1169</v>
      </c>
      <c r="CO25" s="46" t="s">
        <v>2988</v>
      </c>
      <c r="CP25" s="31" t="s">
        <v>1117</v>
      </c>
      <c r="CQ25" s="16" t="s">
        <v>311</v>
      </c>
      <c r="CR25" s="16" t="s">
        <v>311</v>
      </c>
      <c r="CS25" s="45" t="s">
        <v>1159</v>
      </c>
      <c r="CT25" s="45"/>
      <c r="CU25" s="45"/>
      <c r="CV25" s="45"/>
      <c r="CW25" s="45"/>
      <c r="CX25" s="167"/>
      <c r="CY25" s="197">
        <f>VLOOKUP(T_TraitDi[[#This Row],[hh]],T_CTRL_H[#Data],2,TRUE)</f>
        <v>1</v>
      </c>
      <c r="CZ25" s="207">
        <f>T_TraitDi[[#This Row],[Hhebdo]]*24</f>
        <v>37.083333333333336</v>
      </c>
    </row>
    <row r="26" spans="1:104" ht="15" customHeight="1" x14ac:dyDescent="0.25">
      <c r="A26" s="90">
        <v>152</v>
      </c>
      <c r="B26" s="126" t="s">
        <v>3558</v>
      </c>
      <c r="C26" s="126" t="s">
        <v>3278</v>
      </c>
      <c r="D26" s="19" t="str">
        <f>IFERROR(IF(VLOOKUP(T_TraitDi[[#This Row],[NumL]],T_suiviDi[#Data],COLUMN(T_suiviDi[Nom]),FALSE)&lt;&gt;"",VLOOKUP(T_TraitDi[[#This Row],[NumL]],T_suiviDi[#Data],COLUMN(T_suiviDi[Nom]),FALSE),""),"")</f>
        <v>A</v>
      </c>
      <c r="E26" s="19" t="str">
        <f>IFERROR(IF(VLOOKUP(T_TraitDi[[#This Row],[NumL]],T_suiviDi[#Data],COLUMN(T_suiviDi[Prénom]),FALSE)&lt;&gt;"",VLOOKUP(T_TraitDi[[#This Row],[NumL]],T_suiviDi[#Data],COLUMN(T_suiviDi[Prénom]),FALSE),""),"")</f>
        <v>Elodie</v>
      </c>
      <c r="F26" s="20" t="str">
        <f>IFERROR(IF(VLOOKUP(T_TraitDi[[#This Row],[NumL]],T_suiviDi[#Data],COLUMN(T_suiviDi[Email]),FALSE)&lt;&gt;"",VLOOKUP(T_TraitDi[[#This Row],[NumL]],T_suiviDi[#Data],COLUMN(T_suiviDi[Email]),FALSE),""),"")</f>
        <v/>
      </c>
      <c r="G26" s="57"/>
      <c r="H26" s="29" t="s">
        <v>64</v>
      </c>
      <c r="I26" s="30" t="s">
        <v>64</v>
      </c>
      <c r="J26" s="30" t="s">
        <v>64</v>
      </c>
      <c r="K26" s="30" t="s">
        <v>304</v>
      </c>
      <c r="L26" s="30" t="s">
        <v>64</v>
      </c>
      <c r="M26" s="17" t="s">
        <v>64</v>
      </c>
      <c r="N26" s="17" t="s">
        <v>64</v>
      </c>
      <c r="O26" s="17" t="s">
        <v>304</v>
      </c>
      <c r="P26" s="27">
        <f t="shared" si="0"/>
        <v>1</v>
      </c>
      <c r="Q26" s="75">
        <v>41355</v>
      </c>
      <c r="R26" s="76">
        <v>41883</v>
      </c>
      <c r="S26" s="77">
        <v>1</v>
      </c>
      <c r="T26" s="78">
        <v>1</v>
      </c>
      <c r="U26" s="213">
        <v>1.5451388888888891</v>
      </c>
      <c r="V26" s="78" t="s">
        <v>305</v>
      </c>
      <c r="W26" s="78" t="s">
        <v>210</v>
      </c>
      <c r="X26"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6" s="79">
        <f>IF((AND(T_TraitDi[[#This Row],[Nom]]&lt;&gt;"",T_TraitDi[[#This Row],[Reg Ponct]]="R")),(COUNTIF(AD26:BI26,"S")+COUNTIF(AD26:BI26,"T"))/2,"")</f>
        <v>5</v>
      </c>
      <c r="Z26" s="79">
        <f>IF((AND(T_TraitDi[[#This Row],[Nom]]&lt;&gt;"",T_TraitDi[[#This Row],[Reg Ponct]]="R")),COUNTIF(AD26:BI26,"S")/2,"")</f>
        <v>4</v>
      </c>
      <c r="AA26" s="80">
        <f>IF((AND(T_TraitDi[[#This Row],[Nom]]&lt;&gt;"",T_TraitDi[[#This Row],[Reg Ponct]]="R")),COUNTIF(AD26:BI26,"t")/2,"")</f>
        <v>1</v>
      </c>
      <c r="AB26" s="81">
        <f t="shared" si="1"/>
        <v>1.5451388888888891</v>
      </c>
      <c r="AC26" s="82">
        <f>IF((AND(T_TraitDi[[#This Row],[Nom]]&lt;&gt;"",T_TraitDi[[#This Row],[Reg Ponct]]="R")),IF(AD26="T",AF26-AE26,0)+IF(AG26="T",AI26-AH26,0)+IF(AK26="T",AM26-AL26,0)+IF(AN26="T",AP26-AO26,0)+IF(AR26="T",AT26-AS26,0)+IF(AU26="T",AW26-AV26,0)+IF(AY26="T",BA26-AZ26,0)+IF(BB26="T",BD26-BC26,0)+IF(BF26="T",BH26-BG26,0)+IF(BI26="T",BK26-BJ26,0),"")</f>
        <v>0.29861111111111116</v>
      </c>
      <c r="AD26" s="36" t="s">
        <v>306</v>
      </c>
      <c r="AE26" s="37">
        <v>0.36805555555555558</v>
      </c>
      <c r="AF26" s="37">
        <v>0.5</v>
      </c>
      <c r="AG26" s="21" t="s">
        <v>306</v>
      </c>
      <c r="AH26" s="37">
        <v>0.54166666666666663</v>
      </c>
      <c r="AI26" s="37">
        <v>0.73958333333333337</v>
      </c>
      <c r="AJ26" s="38">
        <f t="shared" si="2"/>
        <v>0.32986111111111116</v>
      </c>
      <c r="AK26" s="36" t="s">
        <v>306</v>
      </c>
      <c r="AL26" s="37">
        <v>0.36805555555555558</v>
      </c>
      <c r="AM26" s="37">
        <v>0.5</v>
      </c>
      <c r="AN26" s="21" t="s">
        <v>306</v>
      </c>
      <c r="AO26" s="37">
        <v>0.54166666666666663</v>
      </c>
      <c r="AP26" s="37">
        <v>0.70833333333333337</v>
      </c>
      <c r="AQ26" s="38">
        <f t="shared" si="3"/>
        <v>0.29861111111111116</v>
      </c>
      <c r="AR26" s="36" t="s">
        <v>307</v>
      </c>
      <c r="AS26" s="37">
        <v>0.36805555555555558</v>
      </c>
      <c r="AT26" s="37">
        <v>0.52083333333333337</v>
      </c>
      <c r="AU26" s="21" t="s">
        <v>307</v>
      </c>
      <c r="AV26" s="37">
        <v>0.5625</v>
      </c>
      <c r="AW26" s="37">
        <v>0.70833333333333337</v>
      </c>
      <c r="AX26" s="38">
        <f t="shared" si="4"/>
        <v>0.29861111111111116</v>
      </c>
      <c r="AY26" s="36" t="s">
        <v>306</v>
      </c>
      <c r="AZ26" s="37">
        <v>0.36805555555555558</v>
      </c>
      <c r="BA26" s="37">
        <v>0.5</v>
      </c>
      <c r="BB26" s="21" t="s">
        <v>306</v>
      </c>
      <c r="BC26" s="37">
        <v>0.54166666666666663</v>
      </c>
      <c r="BD26" s="37">
        <v>0.73958333333333337</v>
      </c>
      <c r="BE26" s="38">
        <f t="shared" si="5"/>
        <v>0.32986111111111116</v>
      </c>
      <c r="BF26" s="36" t="s">
        <v>306</v>
      </c>
      <c r="BG26" s="37">
        <v>0.36805555555555558</v>
      </c>
      <c r="BH26" s="37">
        <v>0.5</v>
      </c>
      <c r="BI26" s="21" t="s">
        <v>306</v>
      </c>
      <c r="BJ26" s="37">
        <v>0.54166666666666663</v>
      </c>
      <c r="BK26" s="37">
        <v>0.69791666666666663</v>
      </c>
      <c r="BL26" s="39">
        <f t="shared" si="6"/>
        <v>0.28819444444444442</v>
      </c>
      <c r="BM26" s="32" t="str">
        <f>IFERROR(IF(T_TraitDi[[#This Row],[Nom]]&lt;&gt;"",IF(T_TraitDi[[#This Row],[Deb Univ]]="","N/C",IF(Dateeffet-T_TraitDi[[#This Row],[Deb Univ]]&gt;365,"OK","PB")),""),"N/C")</f>
        <v>OK</v>
      </c>
      <c r="BN26" s="33" t="str">
        <f t="shared" ca="1" si="7"/>
        <v>OK</v>
      </c>
      <c r="BO26" s="33" t="str">
        <f t="shared" si="8"/>
        <v>OK</v>
      </c>
      <c r="BP26" s="34" t="str">
        <f t="shared" si="9"/>
        <v>OK</v>
      </c>
      <c r="BQ26" s="34" t="str">
        <f>IFERROR(IF((AND(T_TraitDi[[#This Row],[Nom]]&lt;&gt;"",T_TraitDi[[#This Row],[Reg Ponct]]="R")),IF(Z26="","N/C",IF(Z26&gt;=Nbjoursite,"OK","PB")),""),"N/C")</f>
        <v>OK</v>
      </c>
      <c r="BR26" s="34" t="str">
        <f>IFERROR(IF((AND(T_TraitDi[[#This Row],[Nom]]&lt;&gt;"",T_TraitDi[[#This Row],[Reg Ponct]]="R")),IF(AA26="","N/C",IF(AA26&lt;=VLOOKUP(T26,Quotite,2,FALSE),"OK","PB")),""),"N/C")</f>
        <v>OK</v>
      </c>
      <c r="BS26" s="34" t="str">
        <f>IFERROR(IF((AND(T_TraitDi[[#This Row],[Nom]]&lt;&gt;"",T_TraitDi[[#This Row],[Reg Ponct]]="R")),IF(OR(Y26="",Z26="",AA26=""),"N/C",IF(Z26+AA26=Y26,"OK","PB")),""),"N/C")</f>
        <v>OK</v>
      </c>
      <c r="BT26" s="34" t="str">
        <f>IFERROR(IF((AND(T_TraitDi[[#This Row],[Nom]]&lt;&gt;"",T_TraitDi[[#This Row],[Reg Ponct]]="R")),IF(AA26="","N/C",IF(COUNTIF(AD26:BL26,"T")=AA26*2,"OK","PB")),""),"N/C")</f>
        <v>OK</v>
      </c>
      <c r="BU26" s="35" t="str">
        <f>IF(OR(T_TraitDi[[#This Row],[Nom]]="",T_TraitDi[[#This Row],[Reg Ponct]]="P"),"",IFERROR(IF((HOUR(AC26)*60+MINUTE(AC26))/AA26&gt;HOUR(Amplitude_max)*60+MINUTE(Amplitude_max),"PB","OK"),"N/C"))</f>
        <v>OK</v>
      </c>
      <c r="BV26" s="35" t="str">
        <f>IF(T_TraitDi[[#This Row],[Nom]]="","",IF( T_TraitDi[[#This Row],[Reg Ponct]]="R",IFERROR(IF(AND(T_TraitDi[[#This Row],[Nbhheb]]&gt;0,T_TraitDi[[#This Row],[Reg Ponct]]= "R"),IF(T_TraitDi[[#This Row],[Nbhheb]]&lt;&gt;VLOOKUP("R"&amp;T_TraitDi[[#This Row],[Q2]]*100&amp;T_TraitDi[[#This Row],[ctrlH]], T_code_H[#Data],6,FALSE),"PB","OK"),"N/C"),"N/C"), "OK"))</f>
        <v>OK</v>
      </c>
      <c r="BW26" s="41">
        <f t="shared" ca="1" si="10"/>
        <v>1</v>
      </c>
      <c r="BX26" s="42" t="str">
        <f t="shared" ca="1" si="11"/>
        <v/>
      </c>
      <c r="BY26" s="40" t="str">
        <f t="shared" si="12"/>
        <v/>
      </c>
      <c r="BZ26" s="40" t="str">
        <f t="shared" ca="1" si="13"/>
        <v/>
      </c>
      <c r="CA26" s="40" t="str">
        <f t="shared" si="14"/>
        <v/>
      </c>
      <c r="CB26" s="40" t="str">
        <f t="shared" si="15"/>
        <v/>
      </c>
      <c r="CC26" s="40" t="str">
        <f t="shared" si="16"/>
        <v/>
      </c>
      <c r="CD26" s="40" t="str">
        <f t="shared" si="17"/>
        <v/>
      </c>
      <c r="CE26" s="40" t="str">
        <f t="shared" si="18"/>
        <v/>
      </c>
      <c r="CF26" s="40" t="str">
        <f t="shared" si="19"/>
        <v/>
      </c>
      <c r="CG26" s="40" t="str">
        <f t="shared" si="20"/>
        <v/>
      </c>
      <c r="CH26" s="40" t="str">
        <f t="shared" si="21"/>
        <v/>
      </c>
      <c r="CI26" s="16" t="s">
        <v>69</v>
      </c>
      <c r="CJ26" s="45" t="s">
        <v>851</v>
      </c>
      <c r="CK26" s="46" t="s">
        <v>353</v>
      </c>
      <c r="CL26" s="31" t="s">
        <v>354</v>
      </c>
      <c r="CM26" s="16"/>
      <c r="CN26" s="45" t="s">
        <v>1169</v>
      </c>
      <c r="CO26" s="46" t="s">
        <v>2988</v>
      </c>
      <c r="CP26" s="31" t="s">
        <v>1117</v>
      </c>
      <c r="CQ26" s="16" t="s">
        <v>322</v>
      </c>
      <c r="CR26" s="16" t="s">
        <v>322</v>
      </c>
      <c r="CS26" s="45" t="s">
        <v>852</v>
      </c>
      <c r="CT26" s="45" t="s">
        <v>853</v>
      </c>
      <c r="CU26" s="45"/>
      <c r="CV26" s="45"/>
      <c r="CW26" s="45"/>
      <c r="CX26" s="167"/>
      <c r="CY26" s="197">
        <f>VLOOKUP(T_TraitDi[[#This Row],[hh]],T_CTRL_H[#Data],2,TRUE)</f>
        <v>1</v>
      </c>
      <c r="CZ26" s="207">
        <f>T_TraitDi[[#This Row],[Hhebdo]]*24</f>
        <v>37.083333333333336</v>
      </c>
    </row>
    <row r="27" spans="1:104" ht="15" customHeight="1" x14ac:dyDescent="0.25">
      <c r="A27" s="90">
        <v>178</v>
      </c>
      <c r="B27" s="126" t="s">
        <v>3558</v>
      </c>
      <c r="C27" s="126" t="s">
        <v>3278</v>
      </c>
      <c r="D27" s="19" t="str">
        <f>IFERROR(IF(VLOOKUP(T_TraitDi[[#This Row],[NumL]],T_suiviDi[#Data],COLUMN(T_suiviDi[Nom]),FALSE)&lt;&gt;"",VLOOKUP(T_TraitDi[[#This Row],[NumL]],T_suiviDi[#Data],COLUMN(T_suiviDi[Nom]),FALSE),""),"")</f>
        <v>A</v>
      </c>
      <c r="E27" s="19" t="str">
        <f>IFERROR(IF(VLOOKUP(T_TraitDi[[#This Row],[NumL]],T_suiviDi[#Data],COLUMN(T_suiviDi[Prénom]),FALSE)&lt;&gt;"",VLOOKUP(T_TraitDi[[#This Row],[NumL]],T_suiviDi[#Data],COLUMN(T_suiviDi[Prénom]),FALSE),""),"")</f>
        <v>Cécile</v>
      </c>
      <c r="F27" s="20" t="str">
        <f>IFERROR(IF(VLOOKUP(T_TraitDi[[#This Row],[NumL]],T_suiviDi[#Data],COLUMN(T_suiviDi[Email]),FALSE)&lt;&gt;"",VLOOKUP(T_TraitDi[[#This Row],[NumL]],T_suiviDi[#Data],COLUMN(T_suiviDi[Email]),FALSE),""),"")</f>
        <v/>
      </c>
      <c r="G27" s="57"/>
      <c r="H27" s="29" t="s">
        <v>64</v>
      </c>
      <c r="I27" s="30" t="s">
        <v>64</v>
      </c>
      <c r="J27" s="30" t="s">
        <v>64</v>
      </c>
      <c r="K27" s="30" t="s">
        <v>304</v>
      </c>
      <c r="L27" s="30" t="s">
        <v>64</v>
      </c>
      <c r="M27" s="17" t="s">
        <v>64</v>
      </c>
      <c r="N27" s="17" t="s">
        <v>64</v>
      </c>
      <c r="O27" s="17" t="s">
        <v>304</v>
      </c>
      <c r="P27" s="27">
        <f t="shared" si="0"/>
        <v>1</v>
      </c>
      <c r="Q27" s="75">
        <v>40057</v>
      </c>
      <c r="R27" s="76">
        <v>41883</v>
      </c>
      <c r="S27" s="77">
        <v>1</v>
      </c>
      <c r="T27" s="78">
        <v>1</v>
      </c>
      <c r="U27" s="213">
        <v>1.5451388888888891</v>
      </c>
      <c r="V27" s="78" t="s">
        <v>305</v>
      </c>
      <c r="W27" s="78" t="s">
        <v>210</v>
      </c>
      <c r="X27"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7" s="79">
        <f>IF((AND(T_TraitDi[[#This Row],[Nom]]&lt;&gt;"",T_TraitDi[[#This Row],[Reg Ponct]]="R")),(COUNTIF(AD27:BI27,"S")+COUNTIF(AD27:BI27,"T"))/2,"")</f>
        <v>4.5</v>
      </c>
      <c r="Z27" s="79">
        <f>IF((AND(T_TraitDi[[#This Row],[Nom]]&lt;&gt;"",T_TraitDi[[#This Row],[Reg Ponct]]="R")),COUNTIF(AD27:BI27,"S")/2,"")</f>
        <v>3.5</v>
      </c>
      <c r="AA27" s="80">
        <f>IF((AND(T_TraitDi[[#This Row],[Nom]]&lt;&gt;"",T_TraitDi[[#This Row],[Reg Ponct]]="R")),COUNTIF(AD27:BI27,"t")/2,"")</f>
        <v>1</v>
      </c>
      <c r="AB27" s="81">
        <f t="shared" si="1"/>
        <v>1.5451388888888886</v>
      </c>
      <c r="AC27" s="82">
        <f>IF((AND(T_TraitDi[[#This Row],[Nom]]&lt;&gt;"",T_TraitDi[[#This Row],[Reg Ponct]]="R")),IF(AD27="T",AF27-AE27,0)+IF(AG27="T",AI27-AH27,0)+IF(AK27="T",AM27-AL27,0)+IF(AN27="T",AP27-AO27,0)+IF(AR27="T",AT27-AS27,0)+IF(AU27="T",AW27-AV27,0)+IF(AY27="T",BA27-AZ27,0)+IF(BB27="T",BD27-BC27,0)+IF(BF27="T",BH27-BG27,0)+IF(BI27="T",BK27-BJ27,0),"")</f>
        <v>0.33333333333333331</v>
      </c>
      <c r="AD27" s="36" t="s">
        <v>306</v>
      </c>
      <c r="AE27" s="37">
        <v>0.35416666666666669</v>
      </c>
      <c r="AF27" s="37">
        <v>0.52083333333333337</v>
      </c>
      <c r="AG27" s="21" t="s">
        <v>306</v>
      </c>
      <c r="AH27" s="37">
        <v>0.5625</v>
      </c>
      <c r="AI27" s="37">
        <v>0.72916666666666663</v>
      </c>
      <c r="AJ27" s="38">
        <f t="shared" si="2"/>
        <v>0.33333333333333331</v>
      </c>
      <c r="AK27" s="36" t="s">
        <v>306</v>
      </c>
      <c r="AL27" s="37">
        <v>0.35416666666666669</v>
      </c>
      <c r="AM27" s="37">
        <v>0.52083333333333337</v>
      </c>
      <c r="AN27" s="21" t="s">
        <v>306</v>
      </c>
      <c r="AO27" s="37">
        <v>0.5625</v>
      </c>
      <c r="AP27" s="37">
        <v>0.72916666666666663</v>
      </c>
      <c r="AQ27" s="38">
        <f t="shared" si="3"/>
        <v>0.33333333333333331</v>
      </c>
      <c r="AR27" s="36" t="s">
        <v>306</v>
      </c>
      <c r="AS27" s="37">
        <v>0.35416666666666669</v>
      </c>
      <c r="AT27" s="37">
        <v>0.56597222222222221</v>
      </c>
      <c r="AU27" s="21" t="s">
        <v>308</v>
      </c>
      <c r="AV27" s="37"/>
      <c r="AW27" s="37"/>
      <c r="AX27" s="38">
        <f t="shared" si="4"/>
        <v>0.21180555555555552</v>
      </c>
      <c r="AY27" s="36" t="s">
        <v>307</v>
      </c>
      <c r="AZ27" s="37">
        <v>0.35416666666666669</v>
      </c>
      <c r="BA27" s="37">
        <v>0.52083333333333337</v>
      </c>
      <c r="BB27" s="21" t="s">
        <v>307</v>
      </c>
      <c r="BC27" s="37">
        <v>0.5625</v>
      </c>
      <c r="BD27" s="37">
        <v>0.72916666666666663</v>
      </c>
      <c r="BE27" s="38">
        <f t="shared" si="5"/>
        <v>0.33333333333333331</v>
      </c>
      <c r="BF27" s="36" t="s">
        <v>306</v>
      </c>
      <c r="BG27" s="37">
        <v>0.35416666666666669</v>
      </c>
      <c r="BH27" s="37">
        <v>0.52083333333333337</v>
      </c>
      <c r="BI27" s="21" t="s">
        <v>306</v>
      </c>
      <c r="BJ27" s="37">
        <v>0.5625</v>
      </c>
      <c r="BK27" s="37">
        <v>0.72916666666666663</v>
      </c>
      <c r="BL27" s="39">
        <f t="shared" si="6"/>
        <v>0.33333333333333331</v>
      </c>
      <c r="BM27" s="32" t="str">
        <f>IFERROR(IF(T_TraitDi[[#This Row],[Nom]]&lt;&gt;"",IF(T_TraitDi[[#This Row],[Deb Univ]]="","N/C",IF(Dateeffet-T_TraitDi[[#This Row],[Deb Univ]]&gt;365,"OK","PB")),""),"N/C")</f>
        <v>OK</v>
      </c>
      <c r="BN27" s="33" t="str">
        <f t="shared" ca="1" si="7"/>
        <v>OK</v>
      </c>
      <c r="BO27" s="33" t="str">
        <f t="shared" si="8"/>
        <v>OK</v>
      </c>
      <c r="BP27" s="34" t="str">
        <f t="shared" si="9"/>
        <v>OK</v>
      </c>
      <c r="BQ27" s="34" t="str">
        <f>IFERROR(IF((AND(T_TraitDi[[#This Row],[Nom]]&lt;&gt;"",T_TraitDi[[#This Row],[Reg Ponct]]="R")),IF(Z27="","N/C",IF(Z27&gt;=Nbjoursite,"OK","PB")),""),"N/C")</f>
        <v>OK</v>
      </c>
      <c r="BR27" s="34" t="str">
        <f>IFERROR(IF((AND(T_TraitDi[[#This Row],[Nom]]&lt;&gt;"",T_TraitDi[[#This Row],[Reg Ponct]]="R")),IF(AA27="","N/C",IF(AA27&lt;=VLOOKUP(T27,Quotite,2,FALSE),"OK","PB")),""),"N/C")</f>
        <v>OK</v>
      </c>
      <c r="BS27" s="34" t="str">
        <f>IFERROR(IF((AND(T_TraitDi[[#This Row],[Nom]]&lt;&gt;"",T_TraitDi[[#This Row],[Reg Ponct]]="R")),IF(OR(Y27="",Z27="",AA27=""),"N/C",IF(Z27+AA27=Y27,"OK","PB")),""),"N/C")</f>
        <v>OK</v>
      </c>
      <c r="BT27" s="34" t="str">
        <f>IFERROR(IF((AND(T_TraitDi[[#This Row],[Nom]]&lt;&gt;"",T_TraitDi[[#This Row],[Reg Ponct]]="R")),IF(AA27="","N/C",IF(COUNTIF(AD27:BL27,"T")=AA27*2,"OK","PB")),""),"N/C")</f>
        <v>OK</v>
      </c>
      <c r="BU27" s="35" t="str">
        <f>IF(OR(T_TraitDi[[#This Row],[Nom]]="",T_TraitDi[[#This Row],[Reg Ponct]]="P"),"",IFERROR(IF((HOUR(AC27)*60+MINUTE(AC27))/AA27&gt;HOUR(Amplitude_max)*60+MINUTE(Amplitude_max),"PB","OK"),"N/C"))</f>
        <v>OK</v>
      </c>
      <c r="BV27" s="35" t="str">
        <f>IF(T_TraitDi[[#This Row],[Nom]]="","",IF( T_TraitDi[[#This Row],[Reg Ponct]]="R",IFERROR(IF(AND(T_TraitDi[[#This Row],[Nbhheb]]&gt;0,T_TraitDi[[#This Row],[Reg Ponct]]= "R"),IF(T_TraitDi[[#This Row],[Nbhheb]]&lt;&gt;VLOOKUP("R"&amp;T_TraitDi[[#This Row],[Q2]]*100&amp;T_TraitDi[[#This Row],[ctrlH]], T_code_H[#Data],6,FALSE),"PB","OK"),"N/C"),"N/C"), "OK"))</f>
        <v>OK</v>
      </c>
      <c r="BW27" s="41">
        <f t="shared" ca="1" si="10"/>
        <v>1</v>
      </c>
      <c r="BX27" s="42" t="str">
        <f t="shared" ca="1" si="11"/>
        <v/>
      </c>
      <c r="BY27" s="40" t="str">
        <f t="shared" si="12"/>
        <v/>
      </c>
      <c r="BZ27" s="40" t="str">
        <f t="shared" ca="1" si="13"/>
        <v/>
      </c>
      <c r="CA27" s="40" t="str">
        <f t="shared" si="14"/>
        <v/>
      </c>
      <c r="CB27" s="40" t="str">
        <f t="shared" si="15"/>
        <v/>
      </c>
      <c r="CC27" s="40" t="str">
        <f t="shared" si="16"/>
        <v/>
      </c>
      <c r="CD27" s="40" t="str">
        <f t="shared" si="17"/>
        <v/>
      </c>
      <c r="CE27" s="40" t="str">
        <f t="shared" si="18"/>
        <v/>
      </c>
      <c r="CF27" s="40" t="str">
        <f t="shared" si="19"/>
        <v/>
      </c>
      <c r="CG27" s="40" t="str">
        <f t="shared" si="20"/>
        <v/>
      </c>
      <c r="CH27" s="40" t="str">
        <f t="shared" si="21"/>
        <v/>
      </c>
      <c r="CI27" s="16" t="s">
        <v>69</v>
      </c>
      <c r="CJ27" s="45" t="s">
        <v>924</v>
      </c>
      <c r="CK27" s="46" t="s">
        <v>398</v>
      </c>
      <c r="CL27" s="31" t="s">
        <v>399</v>
      </c>
      <c r="CM27" s="16"/>
      <c r="CN27" s="45" t="s">
        <v>1169</v>
      </c>
      <c r="CO27" s="46" t="s">
        <v>2988</v>
      </c>
      <c r="CP27" s="31" t="s">
        <v>1117</v>
      </c>
      <c r="CQ27" s="16" t="s">
        <v>311</v>
      </c>
      <c r="CR27" s="16" t="s">
        <v>311</v>
      </c>
      <c r="CS27" s="45" t="s">
        <v>925</v>
      </c>
      <c r="CT27" s="45" t="s">
        <v>926</v>
      </c>
      <c r="CU27" s="45" t="s">
        <v>927</v>
      </c>
      <c r="CV27" s="45"/>
      <c r="CW27" s="45"/>
      <c r="CX27" s="167"/>
      <c r="CY27" s="197">
        <f>VLOOKUP(T_TraitDi[[#This Row],[hh]],T_CTRL_H[#Data],2,TRUE)</f>
        <v>1</v>
      </c>
      <c r="CZ27" s="207">
        <f>T_TraitDi[[#This Row],[Hhebdo]]*24</f>
        <v>37.083333333333336</v>
      </c>
    </row>
    <row r="28" spans="1:104" ht="15" customHeight="1" x14ac:dyDescent="0.25">
      <c r="A28" s="90">
        <v>134</v>
      </c>
      <c r="B28" s="126" t="s">
        <v>3558</v>
      </c>
      <c r="C28" s="126" t="s">
        <v>3278</v>
      </c>
      <c r="D28" s="19" t="str">
        <f>IFERROR(IF(VLOOKUP(T_TraitDi[[#This Row],[NumL]],T_suiviDi[#Data],COLUMN(T_suiviDi[Nom]),FALSE)&lt;&gt;"",VLOOKUP(T_TraitDi[[#This Row],[NumL]],T_suiviDi[#Data],COLUMN(T_suiviDi[Nom]),FALSE),""),"")</f>
        <v>A</v>
      </c>
      <c r="E28" s="19" t="str">
        <f>IFERROR(IF(VLOOKUP(T_TraitDi[[#This Row],[NumL]],T_suiviDi[#Data],COLUMN(T_suiviDi[Prénom]),FALSE)&lt;&gt;"",VLOOKUP(T_TraitDi[[#This Row],[NumL]],T_suiviDi[#Data],COLUMN(T_suiviDi[Prénom]),FALSE),""),"")</f>
        <v>Laetitia</v>
      </c>
      <c r="F28" s="20" t="str">
        <f>IFERROR(IF(VLOOKUP(T_TraitDi[[#This Row],[NumL]],T_suiviDi[#Data],COLUMN(T_suiviDi[Email]),FALSE)&lt;&gt;"",VLOOKUP(T_TraitDi[[#This Row],[NumL]],T_suiviDi[#Data],COLUMN(T_suiviDi[Email]),FALSE),""),"")</f>
        <v/>
      </c>
      <c r="G28" s="57"/>
      <c r="H28" s="29" t="s">
        <v>64</v>
      </c>
      <c r="I28" s="30" t="s">
        <v>64</v>
      </c>
      <c r="J28" s="30" t="s">
        <v>64</v>
      </c>
      <c r="K28" s="30" t="s">
        <v>64</v>
      </c>
      <c r="L28" s="30" t="s">
        <v>64</v>
      </c>
      <c r="M28" s="17" t="s">
        <v>64</v>
      </c>
      <c r="N28" s="17" t="s">
        <v>64</v>
      </c>
      <c r="O28" s="17" t="s">
        <v>304</v>
      </c>
      <c r="P28" s="27">
        <f t="shared" si="0"/>
        <v>1</v>
      </c>
      <c r="Q28" s="75">
        <v>39692</v>
      </c>
      <c r="R28" s="76">
        <v>39696</v>
      </c>
      <c r="S28" s="77">
        <v>0.8</v>
      </c>
      <c r="T28" s="78">
        <v>0.8</v>
      </c>
      <c r="U28" s="213">
        <v>1.2361111111111112</v>
      </c>
      <c r="V28" s="78" t="s">
        <v>305</v>
      </c>
      <c r="W28" s="78" t="s">
        <v>210</v>
      </c>
      <c r="X28"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8</v>
      </c>
      <c r="Y28" s="79">
        <f>IF((AND(T_TraitDi[[#This Row],[Nom]]&lt;&gt;"",T_TraitDi[[#This Row],[Reg Ponct]]="R")),(COUNTIF(AD28:BI28,"S")+COUNTIF(AD28:BI28,"T"))/2,"")</f>
        <v>4</v>
      </c>
      <c r="Z28" s="79">
        <f>IF((AND(T_TraitDi[[#This Row],[Nom]]&lt;&gt;"",T_TraitDi[[#This Row],[Reg Ponct]]="R")),COUNTIF(AD28:BI28,"S")/2,"")</f>
        <v>3.5</v>
      </c>
      <c r="AA28" s="80">
        <f>IF((AND(T_TraitDi[[#This Row],[Nom]]&lt;&gt;"",T_TraitDi[[#This Row],[Reg Ponct]]="R")),COUNTIF(AD28:BI28,"t")/2,"")</f>
        <v>0.5</v>
      </c>
      <c r="AB28" s="81">
        <f t="shared" si="1"/>
        <v>1.2361111111111112</v>
      </c>
      <c r="AC28" s="82">
        <f>IF((AND(T_TraitDi[[#This Row],[Nom]]&lt;&gt;"",T_TraitDi[[#This Row],[Reg Ponct]]="R")),IF(AD28="T",AF28-AE28,0)+IF(AG28="T",AI28-AH28,0)+IF(AK28="T",AM28-AL28,0)+IF(AN28="T",AP28-AO28,0)+IF(AR28="T",AT28-AS28,0)+IF(AU28="T",AW28-AV28,0)+IF(AY28="T",BA28-AZ28,0)+IF(BB28="T",BD28-BC28,0)+IF(BF28="T",BH28-BG28,0)+IF(BI28="T",BK28-BJ28,0),"")</f>
        <v>0.12847222222222221</v>
      </c>
      <c r="AD28" s="36" t="s">
        <v>306</v>
      </c>
      <c r="AE28" s="37">
        <v>0.33333333333333331</v>
      </c>
      <c r="AF28" s="37">
        <v>0.52083333333333337</v>
      </c>
      <c r="AG28" s="21" t="s">
        <v>306</v>
      </c>
      <c r="AH28" s="37">
        <v>0.5625</v>
      </c>
      <c r="AI28" s="37">
        <v>0.69097222222222221</v>
      </c>
      <c r="AJ28" s="38">
        <f t="shared" si="2"/>
        <v>0.31597222222222227</v>
      </c>
      <c r="AK28" s="36" t="s">
        <v>306</v>
      </c>
      <c r="AL28" s="37">
        <v>0.33333333333333331</v>
      </c>
      <c r="AM28" s="37">
        <v>0.5</v>
      </c>
      <c r="AN28" s="21" t="s">
        <v>306</v>
      </c>
      <c r="AO28" s="37">
        <v>0.55555555555555558</v>
      </c>
      <c r="AP28" s="37">
        <v>0.69097222222222221</v>
      </c>
      <c r="AQ28" s="38">
        <f t="shared" si="3"/>
        <v>0.30208333333333331</v>
      </c>
      <c r="AR28" s="36" t="s">
        <v>308</v>
      </c>
      <c r="AS28" s="37"/>
      <c r="AT28" s="37"/>
      <c r="AU28" s="21" t="s">
        <v>308</v>
      </c>
      <c r="AV28" s="37"/>
      <c r="AW28" s="37"/>
      <c r="AX28" s="38">
        <f t="shared" si="4"/>
        <v>0</v>
      </c>
      <c r="AY28" s="36" t="s">
        <v>306</v>
      </c>
      <c r="AZ28" s="37">
        <v>0.33333333333333331</v>
      </c>
      <c r="BA28" s="37">
        <v>0.5</v>
      </c>
      <c r="BB28" s="21" t="s">
        <v>306</v>
      </c>
      <c r="BC28" s="37">
        <v>0.55555555555555558</v>
      </c>
      <c r="BD28" s="37">
        <v>0.69097222222222221</v>
      </c>
      <c r="BE28" s="38">
        <f t="shared" si="5"/>
        <v>0.30208333333333331</v>
      </c>
      <c r="BF28" s="36" t="s">
        <v>306</v>
      </c>
      <c r="BG28" s="37">
        <v>0.33333333333333331</v>
      </c>
      <c r="BH28" s="37">
        <v>0.52083333333333337</v>
      </c>
      <c r="BI28" s="21" t="s">
        <v>307</v>
      </c>
      <c r="BJ28" s="37">
        <v>0.5625</v>
      </c>
      <c r="BK28" s="37">
        <v>0.69097222222222221</v>
      </c>
      <c r="BL28" s="39">
        <f t="shared" si="6"/>
        <v>0.31597222222222227</v>
      </c>
      <c r="BM28" s="32" t="str">
        <f>IFERROR(IF(T_TraitDi[[#This Row],[Nom]]&lt;&gt;"",IF(T_TraitDi[[#This Row],[Deb Univ]]="","N/C",IF(Dateeffet-T_TraitDi[[#This Row],[Deb Univ]]&gt;365,"OK","PB")),""),"N/C")</f>
        <v>OK</v>
      </c>
      <c r="BN28" s="33" t="str">
        <f t="shared" ca="1" si="7"/>
        <v>OK</v>
      </c>
      <c r="BO28" s="33" t="str">
        <f t="shared" si="8"/>
        <v>OK</v>
      </c>
      <c r="BP28" s="34" t="str">
        <f t="shared" si="9"/>
        <v>OK</v>
      </c>
      <c r="BQ28" s="34" t="str">
        <f>IFERROR(IF((AND(T_TraitDi[[#This Row],[Nom]]&lt;&gt;"",T_TraitDi[[#This Row],[Reg Ponct]]="R")),IF(Z28="","N/C",IF(Z28&gt;=Nbjoursite,"OK","PB")),""),"N/C")</f>
        <v>OK</v>
      </c>
      <c r="BR28" s="34" t="str">
        <f>IFERROR(IF((AND(T_TraitDi[[#This Row],[Nom]]&lt;&gt;"",T_TraitDi[[#This Row],[Reg Ponct]]="R")),IF(AA28="","N/C",IF(AA28&lt;=VLOOKUP(T28,Quotite,2,FALSE),"OK","PB")),""),"N/C")</f>
        <v>OK</v>
      </c>
      <c r="BS28" s="34" t="str">
        <f>IFERROR(IF((AND(T_TraitDi[[#This Row],[Nom]]&lt;&gt;"",T_TraitDi[[#This Row],[Reg Ponct]]="R")),IF(OR(Y28="",Z28="",AA28=""),"N/C",IF(Z28+AA28=Y28,"OK","PB")),""),"N/C")</f>
        <v>OK</v>
      </c>
      <c r="BT28" s="34" t="str">
        <f>IFERROR(IF((AND(T_TraitDi[[#This Row],[Nom]]&lt;&gt;"",T_TraitDi[[#This Row],[Reg Ponct]]="R")),IF(AA28="","N/C",IF(COUNTIF(AD28:BL28,"T")=AA28*2,"OK","PB")),""),"N/C")</f>
        <v>OK</v>
      </c>
      <c r="BU28" s="35" t="str">
        <f>IF(OR(T_TraitDi[[#This Row],[Nom]]="",T_TraitDi[[#This Row],[Reg Ponct]]="P"),"",IFERROR(IF((HOUR(AC28)*60+MINUTE(AC28))/AA28&gt;HOUR(Amplitude_max)*60+MINUTE(Amplitude_max),"PB","OK"),"N/C"))</f>
        <v>OK</v>
      </c>
      <c r="BV28" s="35" t="str">
        <f>IF(T_TraitDi[[#This Row],[Nom]]="","",IF( T_TraitDi[[#This Row],[Reg Ponct]]="R",IFERROR(IF(AND(T_TraitDi[[#This Row],[Nbhheb]]&gt;0,T_TraitDi[[#This Row],[Reg Ponct]]= "R"),IF(T_TraitDi[[#This Row],[Nbhheb]]&lt;&gt;VLOOKUP("R"&amp;T_TraitDi[[#This Row],[Q2]]*100&amp;T_TraitDi[[#This Row],[ctrlH]], T_code_H[#Data],6,FALSE),"PB","OK"),"N/C"),"N/C"), "OK"))</f>
        <v>OK</v>
      </c>
      <c r="BW28" s="41">
        <f t="shared" ca="1" si="10"/>
        <v>1</v>
      </c>
      <c r="BX28" s="42" t="str">
        <f t="shared" ca="1" si="11"/>
        <v/>
      </c>
      <c r="BY28" s="40" t="str">
        <f t="shared" si="12"/>
        <v/>
      </c>
      <c r="BZ28" s="40" t="str">
        <f t="shared" ca="1" si="13"/>
        <v/>
      </c>
      <c r="CA28" s="40" t="str">
        <f t="shared" si="14"/>
        <v/>
      </c>
      <c r="CB28" s="40" t="str">
        <f t="shared" si="15"/>
        <v/>
      </c>
      <c r="CC28" s="40" t="str">
        <f t="shared" si="16"/>
        <v/>
      </c>
      <c r="CD28" s="40" t="str">
        <f t="shared" si="17"/>
        <v/>
      </c>
      <c r="CE28" s="40" t="str">
        <f t="shared" si="18"/>
        <v/>
      </c>
      <c r="CF28" s="40" t="str">
        <f t="shared" si="19"/>
        <v/>
      </c>
      <c r="CG28" s="40" t="str">
        <f t="shared" si="20"/>
        <v/>
      </c>
      <c r="CH28" s="40" t="str">
        <f t="shared" si="21"/>
        <v/>
      </c>
      <c r="CI28" s="16" t="s">
        <v>69</v>
      </c>
      <c r="CJ28" s="45" t="s">
        <v>804</v>
      </c>
      <c r="CK28" s="46" t="s">
        <v>805</v>
      </c>
      <c r="CL28" s="31" t="s">
        <v>806</v>
      </c>
      <c r="CM28" s="16"/>
      <c r="CN28" s="45" t="s">
        <v>1169</v>
      </c>
      <c r="CO28" s="46" t="s">
        <v>2988</v>
      </c>
      <c r="CP28" s="31" t="s">
        <v>1117</v>
      </c>
      <c r="CQ28" s="16" t="s">
        <v>311</v>
      </c>
      <c r="CR28" s="16" t="s">
        <v>311</v>
      </c>
      <c r="CS28" s="45" t="s">
        <v>807</v>
      </c>
      <c r="CT28" s="45" t="s">
        <v>808</v>
      </c>
      <c r="CU28" s="45"/>
      <c r="CV28" s="45"/>
      <c r="CW28" s="45"/>
      <c r="CX28" s="167"/>
      <c r="CY28" s="197">
        <f>VLOOKUP(T_TraitDi[[#This Row],[hh]],T_CTRL_H[#Data],2,TRUE)</f>
        <v>3</v>
      </c>
      <c r="CZ28" s="207">
        <f>T_TraitDi[[#This Row],[Hhebdo]]*24</f>
        <v>29.666666666666668</v>
      </c>
    </row>
    <row r="29" spans="1:104" ht="15" customHeight="1" x14ac:dyDescent="0.25">
      <c r="A29" s="90">
        <v>212</v>
      </c>
      <c r="B29" s="126" t="s">
        <v>3558</v>
      </c>
      <c r="C29" s="126" t="s">
        <v>3278</v>
      </c>
      <c r="D29" s="19" t="str">
        <f>IFERROR(IF(VLOOKUP(T_TraitDi[[#This Row],[NumL]],T_suiviDi[#Data],COLUMN(T_suiviDi[Nom]),FALSE)&lt;&gt;"",VLOOKUP(T_TraitDi[[#This Row],[NumL]],T_suiviDi[#Data],COLUMN(T_suiviDi[Nom]),FALSE),""),"")</f>
        <v>A</v>
      </c>
      <c r="E29" s="19" t="str">
        <f>IFERROR(IF(VLOOKUP(T_TraitDi[[#This Row],[NumL]],T_suiviDi[#Data],COLUMN(T_suiviDi[Prénom]),FALSE)&lt;&gt;"",VLOOKUP(T_TraitDi[[#This Row],[NumL]],T_suiviDi[#Data],COLUMN(T_suiviDi[Prénom]),FALSE),""),"")</f>
        <v>Audrey</v>
      </c>
      <c r="F29" s="20" t="str">
        <f>IFERROR(IF(VLOOKUP(T_TraitDi[[#This Row],[NumL]],T_suiviDi[#Data],COLUMN(T_suiviDi[Email]),FALSE)&lt;&gt;"",VLOOKUP(T_TraitDi[[#This Row],[NumL]],T_suiviDi[#Data],COLUMN(T_suiviDi[Email]),FALSE),""),"")</f>
        <v/>
      </c>
      <c r="G29" s="57"/>
      <c r="H29" s="29" t="s">
        <v>64</v>
      </c>
      <c r="I29" s="30" t="s">
        <v>64</v>
      </c>
      <c r="J29" s="30" t="s">
        <v>64</v>
      </c>
      <c r="K29" s="30" t="s">
        <v>304</v>
      </c>
      <c r="L29" s="30" t="s">
        <v>64</v>
      </c>
      <c r="M29" s="17" t="s">
        <v>64</v>
      </c>
      <c r="N29" s="17" t="s">
        <v>64</v>
      </c>
      <c r="O29" s="17" t="s">
        <v>304</v>
      </c>
      <c r="P29" s="27">
        <f t="shared" si="0"/>
        <v>1</v>
      </c>
      <c r="Q29" s="75">
        <v>42767</v>
      </c>
      <c r="R29" s="76">
        <v>42767</v>
      </c>
      <c r="S29" s="77">
        <v>1</v>
      </c>
      <c r="T29" s="78">
        <v>1</v>
      </c>
      <c r="U29" s="213">
        <v>1.5451388888888891</v>
      </c>
      <c r="V29" s="78" t="s">
        <v>305</v>
      </c>
      <c r="W29" s="78" t="s">
        <v>210</v>
      </c>
      <c r="X29"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29" s="79">
        <f>IF((AND(T_TraitDi[[#This Row],[Nom]]&lt;&gt;"",T_TraitDi[[#This Row],[Reg Ponct]]="R")),(COUNTIF(AD29:BI29,"S")+COUNTIF(AD29:BI29,"T"))/2,"")</f>
        <v>5</v>
      </c>
      <c r="Z29" s="79">
        <f>IF((AND(T_TraitDi[[#This Row],[Nom]]&lt;&gt;"",T_TraitDi[[#This Row],[Reg Ponct]]="R")),COUNTIF(AD29:BI29,"S")/2,"")</f>
        <v>4</v>
      </c>
      <c r="AA29" s="80">
        <f>IF((AND(T_TraitDi[[#This Row],[Nom]]&lt;&gt;"",T_TraitDi[[#This Row],[Reg Ponct]]="R")),COUNTIF(AD29:BI29,"t")/2,"")</f>
        <v>1</v>
      </c>
      <c r="AB29" s="81">
        <f t="shared" si="1"/>
        <v>1.5451388888888884</v>
      </c>
      <c r="AC29" s="82">
        <f>IF((AND(T_TraitDi[[#This Row],[Nom]]&lt;&gt;"",T_TraitDi[[#This Row],[Reg Ponct]]="R")),IF(AD29="T",AF29-AE29,0)+IF(AG29="T",AI29-AH29,0)+IF(AK29="T",AM29-AL29,0)+IF(AN29="T",AP29-AO29,0)+IF(AR29="T",AT29-AS29,0)+IF(AU29="T",AW29-AV29,0)+IF(AY29="T",BA29-AZ29,0)+IF(BB29="T",BD29-BC29,0)+IF(BF29="T",BH29-BG29,0)+IF(BI29="T",BK29-BJ29,0),"")</f>
        <v>0.29166666666666657</v>
      </c>
      <c r="AD29" s="36" t="s">
        <v>306</v>
      </c>
      <c r="AE29" s="37">
        <v>0.32291666666666669</v>
      </c>
      <c r="AF29" s="37">
        <v>0.51041666666666663</v>
      </c>
      <c r="AG29" s="21" t="s">
        <v>306</v>
      </c>
      <c r="AH29" s="37">
        <v>0.55208333333333337</v>
      </c>
      <c r="AI29" s="37">
        <v>0.67708333333333337</v>
      </c>
      <c r="AJ29" s="38">
        <f t="shared" si="2"/>
        <v>0.31249999999999994</v>
      </c>
      <c r="AK29" s="36" t="s">
        <v>306</v>
      </c>
      <c r="AL29" s="37">
        <v>0.32291666666666669</v>
      </c>
      <c r="AM29" s="37">
        <v>0.51041666666666663</v>
      </c>
      <c r="AN29" s="21" t="s">
        <v>306</v>
      </c>
      <c r="AO29" s="37">
        <v>0.55208333333333337</v>
      </c>
      <c r="AP29" s="37">
        <v>0.67708333333333337</v>
      </c>
      <c r="AQ29" s="38">
        <f t="shared" si="3"/>
        <v>0.31249999999999994</v>
      </c>
      <c r="AR29" s="36" t="s">
        <v>306</v>
      </c>
      <c r="AS29" s="37">
        <v>0.32291666666666669</v>
      </c>
      <c r="AT29" s="37">
        <v>0.51041666666666663</v>
      </c>
      <c r="AU29" s="21" t="s">
        <v>306</v>
      </c>
      <c r="AV29" s="37">
        <v>0.55208333333333337</v>
      </c>
      <c r="AW29" s="37">
        <v>0.68055555555555547</v>
      </c>
      <c r="AX29" s="38">
        <f t="shared" si="4"/>
        <v>0.31597222222222204</v>
      </c>
      <c r="AY29" s="36" t="s">
        <v>306</v>
      </c>
      <c r="AZ29" s="37">
        <v>0.32291666666666669</v>
      </c>
      <c r="BA29" s="37">
        <v>0.51041666666666663</v>
      </c>
      <c r="BB29" s="21" t="s">
        <v>306</v>
      </c>
      <c r="BC29" s="37">
        <v>0.55208333333333337</v>
      </c>
      <c r="BD29" s="37">
        <v>0.67708333333333337</v>
      </c>
      <c r="BE29" s="38">
        <f t="shared" si="5"/>
        <v>0.31249999999999994</v>
      </c>
      <c r="BF29" s="36" t="s">
        <v>307</v>
      </c>
      <c r="BG29" s="37">
        <v>0.32291666666666669</v>
      </c>
      <c r="BH29" s="37">
        <v>0.51041666666666663</v>
      </c>
      <c r="BI29" s="21" t="s">
        <v>307</v>
      </c>
      <c r="BJ29" s="37">
        <v>0.55208333333333337</v>
      </c>
      <c r="BK29" s="37">
        <v>0.65625</v>
      </c>
      <c r="BL29" s="39">
        <f t="shared" si="6"/>
        <v>0.29166666666666657</v>
      </c>
      <c r="BM29" s="32" t="str">
        <f>IFERROR(IF(T_TraitDi[[#This Row],[Nom]]&lt;&gt;"",IF(T_TraitDi[[#This Row],[Deb Univ]]="","N/C",IF(Dateeffet-T_TraitDi[[#This Row],[Deb Univ]]&gt;365,"OK","PB")),""),"N/C")</f>
        <v>OK</v>
      </c>
      <c r="BN29" s="33" t="str">
        <f t="shared" ca="1" si="7"/>
        <v>OK</v>
      </c>
      <c r="BO29" s="33" t="str">
        <f t="shared" si="8"/>
        <v>OK</v>
      </c>
      <c r="BP29" s="34" t="str">
        <f t="shared" si="9"/>
        <v>OK</v>
      </c>
      <c r="BQ29" s="34" t="str">
        <f>IFERROR(IF((AND(T_TraitDi[[#This Row],[Nom]]&lt;&gt;"",T_TraitDi[[#This Row],[Reg Ponct]]="R")),IF(Z29="","N/C",IF(Z29&gt;=Nbjoursite,"OK","PB")),""),"N/C")</f>
        <v>OK</v>
      </c>
      <c r="BR29" s="34" t="str">
        <f>IFERROR(IF((AND(T_TraitDi[[#This Row],[Nom]]&lt;&gt;"",T_TraitDi[[#This Row],[Reg Ponct]]="R")),IF(AA29="","N/C",IF(AA29&lt;=VLOOKUP(T29,Quotite,2,FALSE),"OK","PB")),""),"N/C")</f>
        <v>OK</v>
      </c>
      <c r="BS29" s="34" t="str">
        <f>IFERROR(IF((AND(T_TraitDi[[#This Row],[Nom]]&lt;&gt;"",T_TraitDi[[#This Row],[Reg Ponct]]="R")),IF(OR(Y29="",Z29="",AA29=""),"N/C",IF(Z29+AA29=Y29,"OK","PB")),""),"N/C")</f>
        <v>OK</v>
      </c>
      <c r="BT29" s="34" t="str">
        <f>IFERROR(IF((AND(T_TraitDi[[#This Row],[Nom]]&lt;&gt;"",T_TraitDi[[#This Row],[Reg Ponct]]="R")),IF(AA29="","N/C",IF(COUNTIF(AD29:BL29,"T")=AA29*2,"OK","PB")),""),"N/C")</f>
        <v>OK</v>
      </c>
      <c r="BU29" s="35" t="str">
        <f>IF(OR(T_TraitDi[[#This Row],[Nom]]="",T_TraitDi[[#This Row],[Reg Ponct]]="P"),"",IFERROR(IF((HOUR(AC29)*60+MINUTE(AC29))/AA29&gt;HOUR(Amplitude_max)*60+MINUTE(Amplitude_max),"PB","OK"),"N/C"))</f>
        <v>OK</v>
      </c>
      <c r="BV29" s="35" t="str">
        <f>IF(T_TraitDi[[#This Row],[Nom]]="","",IF( T_TraitDi[[#This Row],[Reg Ponct]]="R",IFERROR(IF(AND(T_TraitDi[[#This Row],[Nbhheb]]&gt;0,T_TraitDi[[#This Row],[Reg Ponct]]= "R"),IF(T_TraitDi[[#This Row],[Nbhheb]]&lt;&gt;VLOOKUP("R"&amp;T_TraitDi[[#This Row],[Q2]]*100&amp;T_TraitDi[[#This Row],[ctrlH]], T_code_H[#Data],6,FALSE),"PB","OK"),"N/C"),"N/C"), "OK"))</f>
        <v>OK</v>
      </c>
      <c r="BW29" s="41">
        <f t="shared" ca="1" si="10"/>
        <v>1</v>
      </c>
      <c r="BX29" s="42" t="str">
        <f t="shared" ca="1" si="11"/>
        <v/>
      </c>
      <c r="BY29" s="40" t="str">
        <f t="shared" si="12"/>
        <v/>
      </c>
      <c r="BZ29" s="40" t="str">
        <f t="shared" ca="1" si="13"/>
        <v/>
      </c>
      <c r="CA29" s="40" t="str">
        <f t="shared" si="14"/>
        <v/>
      </c>
      <c r="CB29" s="40" t="str">
        <f t="shared" si="15"/>
        <v/>
      </c>
      <c r="CC29" s="40" t="str">
        <f t="shared" si="16"/>
        <v/>
      </c>
      <c r="CD29" s="40" t="str">
        <f t="shared" si="17"/>
        <v/>
      </c>
      <c r="CE29" s="40" t="str">
        <f t="shared" si="18"/>
        <v/>
      </c>
      <c r="CF29" s="40" t="str">
        <f t="shared" si="19"/>
        <v/>
      </c>
      <c r="CG29" s="40" t="str">
        <f t="shared" si="20"/>
        <v/>
      </c>
      <c r="CH29" s="40" t="str">
        <f t="shared" si="21"/>
        <v/>
      </c>
      <c r="CI29" s="16" t="s">
        <v>69</v>
      </c>
      <c r="CJ29" s="45" t="s">
        <v>1091</v>
      </c>
      <c r="CK29" s="46" t="s">
        <v>1092</v>
      </c>
      <c r="CL29" s="31" t="s">
        <v>1093</v>
      </c>
      <c r="CM29" s="16"/>
      <c r="CN29" s="45" t="s">
        <v>1169</v>
      </c>
      <c r="CO29" s="46" t="s">
        <v>2988</v>
      </c>
      <c r="CP29" s="31" t="s">
        <v>1117</v>
      </c>
      <c r="CQ29" s="16" t="s">
        <v>311</v>
      </c>
      <c r="CR29" s="16" t="s">
        <v>311</v>
      </c>
      <c r="CS29" s="45" t="s">
        <v>1094</v>
      </c>
      <c r="CT29" s="45" t="s">
        <v>1095</v>
      </c>
      <c r="CU29" s="45"/>
      <c r="CV29" s="45"/>
      <c r="CW29" s="45"/>
      <c r="CX29" s="167"/>
      <c r="CY29" s="197">
        <f>VLOOKUP(T_TraitDi[[#This Row],[hh]],T_CTRL_H[#Data],2,TRUE)</f>
        <v>1</v>
      </c>
      <c r="CZ29" s="207">
        <f>T_TraitDi[[#This Row],[Hhebdo]]*24</f>
        <v>37.083333333333336</v>
      </c>
    </row>
    <row r="30" spans="1:104" ht="15" customHeight="1" x14ac:dyDescent="0.25">
      <c r="A30" s="90">
        <v>314</v>
      </c>
      <c r="B30" s="126" t="s">
        <v>3540</v>
      </c>
      <c r="C30" s="126" t="s">
        <v>3278</v>
      </c>
      <c r="D30" s="19" t="str">
        <f>IFERROR(IF(VLOOKUP(T_TraitDi[[#This Row],[NumL]],T_suiviDi[#Data],COLUMN(T_suiviDi[Nom]),FALSE)&lt;&gt;"",VLOOKUP(T_TraitDi[[#This Row],[NumL]],T_suiviDi[#Data],COLUMN(T_suiviDi[Nom]),FALSE),""),"")</f>
        <v>A</v>
      </c>
      <c r="E30" s="19" t="str">
        <f>IFERROR(IF(VLOOKUP(T_TraitDi[[#This Row],[NumL]],T_suiviDi[#Data],COLUMN(T_suiviDi[Prénom]),FALSE)&lt;&gt;"",VLOOKUP(T_TraitDi[[#This Row],[NumL]],T_suiviDi[#Data],COLUMN(T_suiviDi[Prénom]),FALSE),""),"")</f>
        <v>Stéphanie</v>
      </c>
      <c r="F30" s="20" t="str">
        <f>IFERROR(IF(VLOOKUP(T_TraitDi[[#This Row],[NumL]],T_suiviDi[#Data],COLUMN(T_suiviDi[Email]),FALSE)&lt;&gt;"",VLOOKUP(T_TraitDi[[#This Row],[NumL]],T_suiviDi[#Data],COLUMN(T_suiviDi[Email]),FALSE),""),"")</f>
        <v/>
      </c>
      <c r="G30" s="57"/>
      <c r="H30" s="29" t="s">
        <v>64</v>
      </c>
      <c r="I30" s="30" t="s">
        <v>64</v>
      </c>
      <c r="J30" s="30" t="s">
        <v>64</v>
      </c>
      <c r="K30" s="30" t="s">
        <v>304</v>
      </c>
      <c r="L30" s="30" t="s">
        <v>64</v>
      </c>
      <c r="M30" s="17" t="s">
        <v>64</v>
      </c>
      <c r="N30" s="17" t="s">
        <v>64</v>
      </c>
      <c r="O30" s="17" t="s">
        <v>304</v>
      </c>
      <c r="P30" s="27">
        <f t="shared" si="0"/>
        <v>1</v>
      </c>
      <c r="Q30" s="75">
        <v>42917</v>
      </c>
      <c r="R30" s="76">
        <v>43435</v>
      </c>
      <c r="S30" s="77">
        <v>1</v>
      </c>
      <c r="T30" s="78">
        <v>1</v>
      </c>
      <c r="U30" s="213">
        <v>1.5451388888888891</v>
      </c>
      <c r="V30" s="78" t="s">
        <v>305</v>
      </c>
      <c r="W30" s="78" t="s">
        <v>210</v>
      </c>
      <c r="X30"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10</v>
      </c>
      <c r="Y30" s="79">
        <f>IF((AND(T_TraitDi[[#This Row],[Nom]]&lt;&gt;"",T_TraitDi[[#This Row],[Reg Ponct]]="R")),(COUNTIF(AD30:BI30,"S")+COUNTIF(AD30:BI30,"T"))/2,"")</f>
        <v>4.5</v>
      </c>
      <c r="Z30" s="79">
        <f>IF((AND(T_TraitDi[[#This Row],[Nom]]&lt;&gt;"",T_TraitDi[[#This Row],[Reg Ponct]]="R")),COUNTIF(AD30:BI30,"S")/2,"")</f>
        <v>3.5</v>
      </c>
      <c r="AA30" s="80">
        <f>IF((AND(T_TraitDi[[#This Row],[Nom]]&lt;&gt;"",T_TraitDi[[#This Row],[Reg Ponct]]="R")),COUNTIF(AD30:BI30,"t")/2,"")</f>
        <v>1</v>
      </c>
      <c r="AB30" s="81">
        <f t="shared" si="1"/>
        <v>1.5451388888888891</v>
      </c>
      <c r="AC30" s="82">
        <f>IF((AND(T_TraitDi[[#This Row],[Nom]]&lt;&gt;"",T_TraitDi[[#This Row],[Reg Ponct]]="R")),IF(AD30="T",AF30-AE30,0)+IF(AG30="T",AI30-AH30,0)+IF(AK30="T",AM30-AL30,0)+IF(AN30="T",AP30-AO30,0)+IF(AR30="T",AT30-AS30,0)+IF(AU30="T",AW30-AV30,0)+IF(AY30="T",BA30-AZ30,0)+IF(BB30="T",BD30-BC30,0)+IF(BF30="T",BH30-BG30,0)+IF(BI30="T",BK30-BJ30,0),"")</f>
        <v>0.33333333333333343</v>
      </c>
      <c r="AD30" s="36" t="s">
        <v>306</v>
      </c>
      <c r="AE30" s="37">
        <v>0.33333333333333331</v>
      </c>
      <c r="AF30" s="37">
        <v>0.52083333333333337</v>
      </c>
      <c r="AG30" s="21" t="s">
        <v>306</v>
      </c>
      <c r="AH30" s="37">
        <v>0.5625</v>
      </c>
      <c r="AI30" s="37">
        <v>0.72916666666666663</v>
      </c>
      <c r="AJ30" s="38">
        <f t="shared" si="2"/>
        <v>0.35416666666666669</v>
      </c>
      <c r="AK30" s="36" t="s">
        <v>307</v>
      </c>
      <c r="AL30" s="37">
        <v>0.33333333333333331</v>
      </c>
      <c r="AM30" s="37">
        <v>0.52083333333333337</v>
      </c>
      <c r="AN30" s="21" t="s">
        <v>307</v>
      </c>
      <c r="AO30" s="37">
        <v>0.5625</v>
      </c>
      <c r="AP30" s="37">
        <v>0.70833333333333337</v>
      </c>
      <c r="AQ30" s="38">
        <f t="shared" si="3"/>
        <v>0.33333333333333343</v>
      </c>
      <c r="AR30" s="36" t="s">
        <v>306</v>
      </c>
      <c r="AS30" s="37">
        <v>0.33333333333333331</v>
      </c>
      <c r="AT30" s="37">
        <v>0.52083333333333337</v>
      </c>
      <c r="AU30" s="21" t="s">
        <v>306</v>
      </c>
      <c r="AV30" s="37">
        <v>0.5625</v>
      </c>
      <c r="AW30" s="37">
        <v>0.70833333333333337</v>
      </c>
      <c r="AX30" s="38">
        <f t="shared" si="4"/>
        <v>0.33333333333333343</v>
      </c>
      <c r="AY30" s="36" t="s">
        <v>306</v>
      </c>
      <c r="AZ30" s="37">
        <v>0.33333333333333331</v>
      </c>
      <c r="BA30" s="37">
        <v>0.52083333333333337</v>
      </c>
      <c r="BB30" s="21" t="s">
        <v>306</v>
      </c>
      <c r="BC30" s="37">
        <v>0.5625</v>
      </c>
      <c r="BD30" s="37">
        <v>0.72916666666666663</v>
      </c>
      <c r="BE30" s="38">
        <f t="shared" si="5"/>
        <v>0.35416666666666669</v>
      </c>
      <c r="BF30" s="36" t="s">
        <v>306</v>
      </c>
      <c r="BG30" s="37">
        <v>0.33333333333333331</v>
      </c>
      <c r="BH30" s="37">
        <v>0.50347222222222221</v>
      </c>
      <c r="BI30" s="21" t="s">
        <v>308</v>
      </c>
      <c r="BJ30" s="37"/>
      <c r="BK30" s="37"/>
      <c r="BL30" s="39">
        <f t="shared" si="6"/>
        <v>0.1701388888888889</v>
      </c>
      <c r="BM30" s="32" t="str">
        <f>IFERROR(IF(T_TraitDi[[#This Row],[Nom]]&lt;&gt;"",IF(T_TraitDi[[#This Row],[Deb Univ]]="","N/C",IF(Dateeffet-T_TraitDi[[#This Row],[Deb Univ]]&gt;365,"OK","PB")),""),"N/C")</f>
        <v>OK</v>
      </c>
      <c r="BN30" s="33" t="str">
        <f t="shared" ca="1" si="7"/>
        <v>OK</v>
      </c>
      <c r="BO30" s="33" t="str">
        <f t="shared" si="8"/>
        <v>OK</v>
      </c>
      <c r="BP30" s="34" t="str">
        <f t="shared" si="9"/>
        <v>OK</v>
      </c>
      <c r="BQ30" s="34" t="str">
        <f>IFERROR(IF((AND(T_TraitDi[[#This Row],[Nom]]&lt;&gt;"",T_TraitDi[[#This Row],[Reg Ponct]]="R")),IF(Z30="","N/C",IF(Z30&gt;=Nbjoursite,"OK","PB")),""),"N/C")</f>
        <v>OK</v>
      </c>
      <c r="BR30" s="34" t="str">
        <f>IFERROR(IF((AND(T_TraitDi[[#This Row],[Nom]]&lt;&gt;"",T_TraitDi[[#This Row],[Reg Ponct]]="R")),IF(AA30="","N/C",IF(AA30&lt;=VLOOKUP(T30,Quotite,2,FALSE),"OK","PB")),""),"N/C")</f>
        <v>OK</v>
      </c>
      <c r="BS30" s="34" t="str">
        <f>IFERROR(IF((AND(T_TraitDi[[#This Row],[Nom]]&lt;&gt;"",T_TraitDi[[#This Row],[Reg Ponct]]="R")),IF(OR(Y30="",Z30="",AA30=""),"N/C",IF(Z30+AA30=Y30,"OK","PB")),""),"N/C")</f>
        <v>OK</v>
      </c>
      <c r="BT30" s="34" t="str">
        <f>IFERROR(IF((AND(T_TraitDi[[#This Row],[Nom]]&lt;&gt;"",T_TraitDi[[#This Row],[Reg Ponct]]="R")),IF(AA30="","N/C",IF(COUNTIF(AD30:BL30,"T")=AA30*2,"OK","PB")),""),"N/C")</f>
        <v>OK</v>
      </c>
      <c r="BU30" s="35" t="str">
        <f>IF(OR(T_TraitDi[[#This Row],[Nom]]="",T_TraitDi[[#This Row],[Reg Ponct]]="P"),"",IFERROR(IF((HOUR(AC30)*60+MINUTE(AC30))/AA30&gt;HOUR(Amplitude_max)*60+MINUTE(Amplitude_max),"PB","OK"),"N/C"))</f>
        <v>OK</v>
      </c>
      <c r="BV30" s="35" t="str">
        <f>IF(T_TraitDi[[#This Row],[Nom]]="","",IF( T_TraitDi[[#This Row],[Reg Ponct]]="R",IFERROR(IF(AND(T_TraitDi[[#This Row],[Nbhheb]]&gt;0,T_TraitDi[[#This Row],[Reg Ponct]]= "R"),IF(T_TraitDi[[#This Row],[Nbhheb]]&lt;&gt;VLOOKUP("R"&amp;T_TraitDi[[#This Row],[Q2]]*100&amp;T_TraitDi[[#This Row],[ctrlH]], T_code_H[#Data],6,FALSE),"PB","OK"),"N/C"),"N/C"), "OK"))</f>
        <v>OK</v>
      </c>
      <c r="BW30" s="41">
        <f t="shared" ca="1" si="10"/>
        <v>1</v>
      </c>
      <c r="BX30" s="42" t="str">
        <f t="shared" ca="1" si="11"/>
        <v/>
      </c>
      <c r="BY30" s="40" t="str">
        <f t="shared" si="12"/>
        <v/>
      </c>
      <c r="BZ30" s="40" t="str">
        <f t="shared" ca="1" si="13"/>
        <v/>
      </c>
      <c r="CA30" s="40" t="str">
        <f t="shared" si="14"/>
        <v/>
      </c>
      <c r="CB30" s="40" t="str">
        <f t="shared" si="15"/>
        <v/>
      </c>
      <c r="CC30" s="40" t="str">
        <f t="shared" si="16"/>
        <v/>
      </c>
      <c r="CD30" s="40" t="str">
        <f t="shared" si="17"/>
        <v/>
      </c>
      <c r="CE30" s="40" t="str">
        <f t="shared" si="18"/>
        <v/>
      </c>
      <c r="CF30" s="40" t="str">
        <f t="shared" si="19"/>
        <v/>
      </c>
      <c r="CG30" s="40" t="str">
        <f t="shared" si="20"/>
        <v/>
      </c>
      <c r="CH30" s="40" t="str">
        <f t="shared" si="21"/>
        <v/>
      </c>
      <c r="CI30" s="16" t="s">
        <v>69</v>
      </c>
      <c r="CJ30" s="45" t="s">
        <v>3588</v>
      </c>
      <c r="CK30" s="46" t="s">
        <v>340</v>
      </c>
      <c r="CL30" s="31" t="s">
        <v>341</v>
      </c>
      <c r="CM30" s="16"/>
      <c r="CN30" s="45" t="s">
        <v>1169</v>
      </c>
      <c r="CO30" s="46"/>
      <c r="CP30" s="31"/>
      <c r="CQ30" s="16" t="s">
        <v>322</v>
      </c>
      <c r="CR30" s="16" t="s">
        <v>322</v>
      </c>
      <c r="CS30" s="45" t="s">
        <v>3589</v>
      </c>
      <c r="CT30" s="45" t="s">
        <v>654</v>
      </c>
      <c r="CU30" s="45"/>
      <c r="CV30" s="45"/>
      <c r="CW30" s="45"/>
      <c r="CX30" s="167"/>
      <c r="CY30" s="197">
        <f>VLOOKUP(T_TraitDi[[#This Row],[hh]],T_CTRL_H[#Data],2,TRUE)</f>
        <v>1</v>
      </c>
      <c r="CZ30" s="207">
        <f>T_TraitDi[[#This Row],[Hhebdo]]*24</f>
        <v>37.083333333333336</v>
      </c>
    </row>
    <row r="31" spans="1:104" ht="15" customHeight="1" x14ac:dyDescent="0.25">
      <c r="A31" s="90">
        <v>76</v>
      </c>
      <c r="B31" s="126" t="s">
        <v>3558</v>
      </c>
      <c r="C31" s="126" t="s">
        <v>3278</v>
      </c>
      <c r="D31" s="19" t="str">
        <f>IFERROR(IF(VLOOKUP(T_TraitDi[[#This Row],[NumL]],T_suiviDi[#Data],COLUMN(T_suiviDi[Nom]),FALSE)&lt;&gt;"",VLOOKUP(T_TraitDi[[#This Row],[NumL]],T_suiviDi[#Data],COLUMN(T_suiviDi[Nom]),FALSE),""),"")</f>
        <v>A</v>
      </c>
      <c r="E31" s="19" t="str">
        <f>IFERROR(IF(VLOOKUP(T_TraitDi[[#This Row],[NumL]],T_suiviDi[#Data],COLUMN(T_suiviDi[Prénom]),FALSE)&lt;&gt;"",VLOOKUP(T_TraitDi[[#This Row],[NumL]],T_suiviDi[#Data],COLUMN(T_suiviDi[Prénom]),FALSE),""),"")</f>
        <v>Yann</v>
      </c>
      <c r="F31" s="20" t="str">
        <f>IFERROR(IF(VLOOKUP(T_TraitDi[[#This Row],[NumL]],T_suiviDi[#Data],COLUMN(T_suiviDi[Email]),FALSE)&lt;&gt;"",VLOOKUP(T_TraitDi[[#This Row],[NumL]],T_suiviDi[#Data],COLUMN(T_suiviDi[Email]),FALSE),""),"")</f>
        <v/>
      </c>
      <c r="G31" s="57"/>
      <c r="H31" s="29" t="s">
        <v>64</v>
      </c>
      <c r="I31" s="30" t="s">
        <v>64</v>
      </c>
      <c r="J31" s="30" t="s">
        <v>64</v>
      </c>
      <c r="K31" s="30" t="s">
        <v>304</v>
      </c>
      <c r="L31" s="30" t="s">
        <v>64</v>
      </c>
      <c r="M31" s="17" t="s">
        <v>64</v>
      </c>
      <c r="N31" s="17" t="s">
        <v>64</v>
      </c>
      <c r="O31" s="17" t="s">
        <v>304</v>
      </c>
      <c r="P31" s="27">
        <f t="shared" si="0"/>
        <v>1</v>
      </c>
      <c r="Q31" s="75">
        <v>35431</v>
      </c>
      <c r="R31" s="76">
        <v>43466</v>
      </c>
      <c r="S31" s="77">
        <v>1</v>
      </c>
      <c r="T31" s="78">
        <v>1</v>
      </c>
      <c r="U31" s="213">
        <v>1.5451388888888891</v>
      </c>
      <c r="V31" s="78" t="s">
        <v>305</v>
      </c>
      <c r="W31" s="78" t="s">
        <v>211</v>
      </c>
      <c r="X31" s="124">
        <f>IF(T_TraitDi[[#This Row],[TW Med]]="Oui",0,IF(OR(ISBLANK(T_TraitDi[[#Data],[Q2]]),ISBLANK(T_TraitDi[[#Data],[Reg Ponct]])),"",IFERROR(IF(ISBLANK(VLOOKUP(T_TraitDi[[#This Row],[Reg Ponct]]&amp;T_TraitDi[[#This Row],[Q2]]*100&amp;T_TraitDi[[#This Row],[ctrlH]],T_code_H[#Data],4,FALSE)),"",VLOOKUP(T_TraitDi[[#This Row],[Reg Ponct]]&amp;T_TraitDi[[#This Row],[Q2]]*100&amp;T_TraitDi[[#This Row],[ctrlH]],T_code_H[#Data],4,FALSE)),"Pb quotité ")))</f>
        <v>20</v>
      </c>
      <c r="Y31" s="79" t="str">
        <f>IF((AND(T_TraitDi[[#This Row],[Nom]]&lt;&gt;"",T_TraitDi[[#This Row],[Reg Ponct]]="R")),(COUNTIF(AD31:BI31,"S")+COUNTIF(AD31:BI31,"T"))/2,"")</f>
        <v/>
      </c>
      <c r="Z31" s="79" t="str">
        <f>IF((AND(T_TraitDi[[#This Row],[Nom]]&lt;&gt;"",T_TraitDi[[#This Row],[Reg Ponct]]="R")),COUNTIF(AD31:BI31,"S")/2,"")</f>
        <v/>
      </c>
      <c r="AA31" s="80" t="str">
        <f>IF((AND(T_TraitDi[[#This Row],[Nom]]&lt;&gt;"",T_TraitDi[[#This Row],[Reg Ponct]]="R")),COUNTIF(AD31:BI31,"t")/2,"")</f>
        <v/>
      </c>
      <c r="AB31" s="81">
        <f t="shared" si="1"/>
        <v>0</v>
      </c>
      <c r="AC31" s="82" t="str">
        <f>IF((AND(T_TraitDi[[#This Row],[Nom]]&lt;&gt;"",T_TraitDi[[#This Row],[Reg Ponct]]="R")),IF(AD31="T",AF31-AE31,0)+IF(AG31="T",AI31-AH31,0)+IF(AK31="T",AM31-AL31,0)+IF(AN31="T",AP31-AO31,0)+IF(AR31="T",AT31-AS31,0)+IF(AU31="T",AW31-AV31,0)+IF(AY31="T",BA31-AZ31,0)+IF(BB31="T",BD31-BC31,0)+IF(BF31="T",BH31-BG31,0)+IF(BI31="T",BK31-BJ31,0),"")</f>
        <v/>
      </c>
      <c r="AD31" s="36"/>
      <c r="AE31" s="37"/>
      <c r="AF31" s="37"/>
      <c r="AG31" s="21"/>
      <c r="AH31" s="37"/>
      <c r="AI31" s="37"/>
      <c r="AJ31" s="38">
        <f t="shared" si="2"/>
        <v>0</v>
      </c>
      <c r="AK31" s="36"/>
      <c r="AL31" s="37"/>
      <c r="AM31" s="37"/>
      <c r="AN31" s="21"/>
      <c r="AO31" s="37"/>
      <c r="AP31" s="37"/>
      <c r="AQ31" s="38">
        <f t="shared" si="3"/>
        <v>0</v>
      </c>
      <c r="AR31" s="36"/>
      <c r="AS31" s="37"/>
      <c r="AT31" s="37"/>
      <c r="AU31" s="21"/>
      <c r="AV31" s="37"/>
      <c r="AW31" s="37"/>
      <c r="AX31" s="38">
        <f t="shared" si="4"/>
        <v>0</v>
      </c>
      <c r="AY31" s="36"/>
      <c r="AZ31" s="37"/>
      <c r="BA31" s="37"/>
      <c r="BB31" s="21"/>
      <c r="BC31" s="37"/>
      <c r="BD31" s="37"/>
      <c r="BE31" s="38">
        <f t="shared" si="5"/>
        <v>0</v>
      </c>
      <c r="BF31" s="36"/>
      <c r="BG31" s="37"/>
      <c r="BH31" s="37"/>
      <c r="BI31" s="21"/>
      <c r="BJ31" s="37"/>
      <c r="BK31" s="37"/>
      <c r="BL31" s="39">
        <f t="shared" si="6"/>
        <v>0</v>
      </c>
      <c r="BM31" s="32" t="str">
        <f>IFERROR(IF(T_TraitDi[[#This Row],[Nom]]&lt;&gt;"",IF(T_TraitDi[[#This Row],[Deb Univ]]="","N/C",IF(Dateeffet-T_TraitDi[[#This Row],[Deb Univ]]&gt;365,"OK","PB")),""),"N/C")</f>
        <v>OK</v>
      </c>
      <c r="BN31" s="33" t="str">
        <f t="shared" ca="1" si="7"/>
        <v>OK</v>
      </c>
      <c r="BO31" s="33" t="str">
        <f t="shared" si="8"/>
        <v>OK</v>
      </c>
      <c r="BP31" s="34" t="str">
        <f t="shared" si="9"/>
        <v>OK</v>
      </c>
      <c r="BQ31" s="34" t="str">
        <f>IFERROR(IF((AND(T_TraitDi[[#This Row],[Nom]]&lt;&gt;"",T_TraitDi[[#This Row],[Reg Ponct]]="R")),IF(Z31="","N/C",IF(Z31&gt;=Nbjoursite,"OK","PB")),""),"N/C")</f>
        <v/>
      </c>
      <c r="BR31" s="34" t="str">
        <f>IFERROR(IF((AND(T_TraitDi[[#This Row],[Nom]]&lt;&gt;"",T_TraitDi[[#This Row],[Reg Ponct]]="R")),IF(AA31="","N/C",IF(AA31&lt;=VLOOKUP(T31,Quotite,2,FALSE),"OK","PB")),""),"N/C")</f>
        <v/>
      </c>
      <c r="BS31" s="34" t="str">
        <f>IFERROR(IF((AND(T_TraitDi[[#This Row],[Nom]]&lt;&gt;"",T_TraitDi[[#This Row],[Reg Ponct]]="R")),IF(OR(Y31="",Z31="",AA31=""),"N/C",IF(Z31+AA31=Y31,"OK","PB")),""),"N/C")</f>
        <v/>
      </c>
      <c r="BT31" s="34" t="str">
        <f>IFERROR(IF((AND(T_TraitDi[[#This Row],[Nom]]&lt;&gt;"",T_TraitDi[[#This Row],[Reg Ponct]]="R")),IF(AA31="","N/C",IF(COUNTIF(AD31:BL31,"T")=AA31*2,"OK","PB")),""),"N/C")</f>
        <v/>
      </c>
      <c r="BU31" s="35" t="str">
        <f>IF(OR(T_TraitDi[[#This Row],[Nom]]="",T_TraitDi[[#This Row],[Reg Ponct]]="P"),"",IFERROR(IF((HOUR(AC31)*60+MINUTE(AC31))/AA31&gt;HOUR(Amplitude_max)*60+MINUTE(Amplitude_max),"PB","OK"),"N/C"))</f>
        <v/>
      </c>
      <c r="BV31" s="35" t="str">
        <f>IF(T_TraitDi[[#This Row],[Nom]]="","",IF( T_TraitDi[[#This Row],[Reg Ponct]]="R",IFERROR(IF(AND(T_TraitDi[[#This Row],[Nbhheb]]&gt;0,T_TraitDi[[#This Row],[Reg Ponct]]= "R"),IF(T_TraitDi[[#This Row],[Nbhheb]]&lt;&gt;VLOOKUP("R"&amp;T_TraitDi[[#This Row],[Q2]]*100&amp;T_TraitDi[[#This Row],[ctrlH]], T_code_H[#Data],6,FALSE),"PB","OK"),"N/C"),"N/C"), "OK"))</f>
        <v>OK</v>
      </c>
      <c r="BW31" s="41">
        <f t="shared" ca="1" si="10"/>
        <v>1</v>
      </c>
      <c r="BX31" s="42" t="str">
        <f t="shared" ca="1" si="11"/>
        <v/>
      </c>
      <c r="BY31" s="40" t="str">
        <f t="shared" si="12"/>
        <v/>
      </c>
      <c r="BZ31" s="40" t="str">
        <f t="shared" ca="1" si="13"/>
        <v/>
      </c>
      <c r="CA31" s="40" t="str">
        <f t="shared" si="14"/>
        <v/>
      </c>
      <c r="CB31" s="40" t="str">
        <f t="shared" si="15"/>
        <v/>
      </c>
      <c r="CC31" s="40" t="str">
        <f t="shared" si="16"/>
        <v/>
      </c>
      <c r="CD31" s="40" t="str">
        <f t="shared" si="17"/>
        <v/>
      </c>
      <c r="CE31" s="40" t="str">
        <f t="shared" si="18"/>
        <v/>
      </c>
      <c r="CF31" s="40" t="str">
        <f t="shared" si="19"/>
        <v/>
      </c>
      <c r="CG31" s="40" t="str">
        <f t="shared" si="20"/>
        <v/>
      </c>
      <c r="CH31" s="40" t="str">
        <f t="shared" si="21"/>
        <v/>
      </c>
      <c r="CI31" s="16" t="s">
        <v>69</v>
      </c>
      <c r="CJ31" s="45" t="s">
        <v>625</v>
      </c>
      <c r="CK31" s="46" t="s">
        <v>626</v>
      </c>
      <c r="CL31" s="31" t="s">
        <v>341</v>
      </c>
      <c r="CM31" s="16"/>
      <c r="CN31" s="45" t="s">
        <v>1169</v>
      </c>
      <c r="CO31" s="46" t="s">
        <v>2988</v>
      </c>
      <c r="CP31" s="31" t="s">
        <v>1117</v>
      </c>
      <c r="CQ31" s="16" t="s">
        <v>311</v>
      </c>
      <c r="CR31" s="16" t="s">
        <v>311</v>
      </c>
      <c r="CS31" s="45"/>
      <c r="CT31" s="45"/>
      <c r="CU31" s="45"/>
      <c r="CV31" s="45"/>
      <c r="CW31" s="45"/>
      <c r="CX31" s="167"/>
      <c r="CY31" s="197">
        <f>VLOOKUP(T_TraitDi[[#This Row],[hh]],T_CTRL_H[#Data],2,TRUE)</f>
        <v>1</v>
      </c>
      <c r="CZ31" s="207">
        <f>T_TraitDi[[#This Row],[Hhebdo]]*24</f>
        <v>37.083333333333336</v>
      </c>
    </row>
    <row r="32" spans="1:104" ht="15" customHeight="1" x14ac:dyDescent="0.25"/>
    <row r="33" spans="2:97" ht="15" customHeight="1" x14ac:dyDescent="0.25"/>
    <row r="34" spans="2:97" ht="15" customHeight="1" x14ac:dyDescent="0.2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row>
    <row r="35" spans="2:97" ht="15" customHeight="1" x14ac:dyDescent="0.2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row>
    <row r="36" spans="2:97" ht="15" customHeight="1" x14ac:dyDescent="0.25"/>
    <row r="37" spans="2:97" ht="15" customHeight="1" x14ac:dyDescent="0.25">
      <c r="R37" s="193"/>
    </row>
    <row r="38" spans="2:97" ht="15" customHeight="1" x14ac:dyDescent="0.25">
      <c r="P38" s="193"/>
      <c r="R38" s="193"/>
      <c r="T38" s="194"/>
    </row>
    <row r="39" spans="2:97" ht="15" customHeight="1" x14ac:dyDescent="0.25">
      <c r="P39" s="196"/>
    </row>
    <row r="40" spans="2:97" ht="15" customHeight="1" x14ac:dyDescent="0.25"/>
    <row r="41" spans="2:97" ht="15" customHeight="1" x14ac:dyDescent="0.25"/>
    <row r="42" spans="2:97" ht="15" customHeight="1" x14ac:dyDescent="0.25"/>
    <row r="43" spans="2:97" ht="15" customHeight="1" x14ac:dyDescent="0.25"/>
    <row r="44" spans="2:97" ht="15" customHeight="1" x14ac:dyDescent="0.25"/>
    <row r="45" spans="2:97" ht="15" customHeight="1" x14ac:dyDescent="0.25"/>
    <row r="46" spans="2:97" ht="15" customHeight="1" x14ac:dyDescent="0.25"/>
    <row r="47" spans="2:97" ht="15" customHeight="1" x14ac:dyDescent="0.25"/>
    <row r="48" spans="2:97"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sheetProtection sheet="1" scenarios="1" sort="0" autoFilter="0"/>
  <mergeCells count="9">
    <mergeCell ref="CQ2:CV2"/>
    <mergeCell ref="CK2:CN2"/>
    <mergeCell ref="CG2:CJ2"/>
    <mergeCell ref="CG1:CV1"/>
    <mergeCell ref="B1:D1"/>
    <mergeCell ref="BT1:BU1"/>
    <mergeCell ref="F1:BQ1"/>
    <mergeCell ref="F2:N2"/>
    <mergeCell ref="O2:BI2"/>
  </mergeCells>
  <conditionalFormatting sqref="F1:N1 F36:N1048576 F32:N33 H3:P31">
    <cfRule type="cellIs" dxfId="610" priority="173" operator="equal">
      <formula>"ATT"</formula>
    </cfRule>
    <cfRule type="cellIs" dxfId="609" priority="174" operator="equal">
      <formula>"NON"</formula>
    </cfRule>
  </conditionalFormatting>
  <conditionalFormatting sqref="H4:O31">
    <cfRule type="cellIs" dxfId="608" priority="170" operator="equal">
      <formula>"NC"</formula>
    </cfRule>
  </conditionalFormatting>
  <conditionalFormatting sqref="F2">
    <cfRule type="cellIs" dxfId="607" priority="52" operator="equal">
      <formula>"ATT"</formula>
    </cfRule>
    <cfRule type="cellIs" dxfId="606" priority="53" operator="equal">
      <formula>"NON"</formula>
    </cfRule>
  </conditionalFormatting>
  <conditionalFormatting sqref="D4:D31">
    <cfRule type="expression" dxfId="605" priority="50">
      <formula>$B4="NOUV"</formula>
    </cfRule>
  </conditionalFormatting>
  <conditionalFormatting sqref="E8:E31">
    <cfRule type="expression" dxfId="604" priority="10">
      <formula>AND($T8&lt;&gt;"",$T8&lt;80%)</formula>
    </cfRule>
  </conditionalFormatting>
  <conditionalFormatting sqref="P4:P31">
    <cfRule type="iconSet" priority="12631">
      <iconSet showValue="0" reverse="1">
        <cfvo type="percent" val="0"/>
        <cfvo type="num" val="2"/>
        <cfvo type="num" val="3"/>
      </iconSet>
    </cfRule>
  </conditionalFormatting>
  <conditionalFormatting sqref="BW4:BW31">
    <cfRule type="iconSet" priority="12632">
      <iconSet showValue="0" reverse="1">
        <cfvo type="percent" val="0"/>
        <cfvo type="num" val="2"/>
        <cfvo type="num" val="3"/>
      </iconSet>
    </cfRule>
  </conditionalFormatting>
  <dataValidations xWindow="852" yWindow="697" count="35">
    <dataValidation allowBlank="1" showInputMessage="1" showErrorMessage="1" promptTitle="Précision sur la PJ F1" prompt="Pièce jointe attendue : formulaire de demande individuel" sqref="H3" xr:uid="{00000000-0002-0000-0200-000004000000}"/>
    <dataValidation allowBlank="1" showInputMessage="1" showErrorMessage="1" promptTitle="Précision sur la PJ F2" prompt="Pièce jointe attendue : Formulaire d'auto-évaluation" sqref="I3" xr:uid="{00000000-0002-0000-0200-000005000000}"/>
    <dataValidation allowBlank="1" showInputMessage="1" showErrorMessage="1" promptTitle="Précision sur la PJ F3" prompt="Pièce jointe attendue : formulaire concernant l'environnement de travail" sqref="J3" xr:uid="{00000000-0002-0000-0200-000006000000}"/>
    <dataValidation allowBlank="1" showInputMessage="1" showErrorMessage="1" promptTitle="Précision sur la PJ Garde" prompt="Pièce jointe attendue : justificatif de garde ou attestation sur l'honneur expliquant le mode de garde" sqref="K3" xr:uid="{00000000-0002-0000-0200-000007000000}"/>
    <dataValidation allowBlank="1" showInputMessage="1" showErrorMessage="1" promptTitle="Précision sur la PJ Elec" prompt="Pièce jointe attendue : Attestation de conformité électrique" sqref="L3" xr:uid="{00000000-0002-0000-0200-000008000000}"/>
    <dataValidation allowBlank="1" showInputMessage="1" showErrorMessage="1" promptTitle="Précision sur la PJ Assu" prompt="Pièce jointe attendue : attestation d'assurance spécifiant la couverture des activités de télétravail " sqref="M3" xr:uid="{00000000-0002-0000-0200-000009000000}"/>
    <dataValidation allowBlank="1" showInputMessage="1" showErrorMessage="1" promptTitle="Précision sur la PJ Inter" prompt="Pièce jointe attendue : Attestation internet haut débit" sqref="N3" xr:uid="{00000000-0002-0000-0200-00000A000000}"/>
    <dataValidation allowBlank="1" showInputMessage="1" showErrorMessage="1" promptTitle="Précision sur la PJ Plan" prompt="Pièce jointe attendue : planning à annexer à la convention individuel lorsque l'organisation de TW suit une périodicité irrégulière ou comporte des plages d'exception. " sqref="O3" xr:uid="{00000000-0002-0000-0200-00000B000000}"/>
    <dataValidation allowBlank="1" showInputMessage="1" showErrorMessage="1" promptTitle="Précision d'affichage" prompt="Vert =&gt; Le dossier comporte l'ensemble des PJ spécifiées dans l'onglet #2_x000a_Rouge =&gt; Le dossier est incomplet. _x000a__x000a_L'information est réccupérée automatiquement. Ne rien saisir. " sqref="P3" xr:uid="{00000000-0002-0000-0200-00000C000000}"/>
    <dataValidation allowBlank="1" showInputMessage="1" showErrorMessage="1" promptTitle="Contrôle" prompt="Vérifiez que le nombre de jours travaillés correspond bien à celui indiqué sur le formulaire de demande. _x000a__x000a_En cas de non correspondance, vérifiez la saisie et contactez demandeur et encadrant le cas échéant pour précision. " sqref="Y3" xr:uid="{00000000-0002-0000-0200-000012000000}"/>
    <dataValidation allowBlank="1" showInputMessage="1" showErrorMessage="1" promptTitle="Contrôle" prompt="Vérifiez que le nombre de jours sur site correspond bien à celui indiqué sur le formulaire de demande. _x000a__x000a_En cas de non correspondance, vérifiez la saisie et contactez demandeur et encadrant le cas échéant pour précision. " sqref="Z3" xr:uid="{00000000-0002-0000-0200-000013000000}"/>
    <dataValidation allowBlank="1" showInputMessage="1" showErrorMessage="1" promptTitle="Contrôle" prompt="Vérifiez que le nombre de jours télétravaillés correspond bien à celui indiqué sur le formulaire de demande. _x000a__x000a_En cas de non correspondance, vérifiez la saisie et contactez demandeur et encadrant le cas échéant pour précision. " sqref="AA3" xr:uid="{00000000-0002-0000-0200-000014000000}"/>
    <dataValidation allowBlank="1" showInputMessage="1" showErrorMessage="1" promptTitle="Contrôle" prompt="Vérifiez que le temps de travail hebdo correspond bien à celui indiqué sur le formulaire de demande et est en accord avec la quotité. _x000a__x000a_En cas de non correspondance, vérifiez la saisie et contactez demandeur et encadrant le cas échéant pour précision. " sqref="AB3" xr:uid="{00000000-0002-0000-0200-000015000000}"/>
    <dataValidation allowBlank="1" showInputMessage="1" showErrorMessage="1" promptTitle="Contrôle" prompt="Vérifiez que le temps de télétravail hebdo correspond bien à celui indiqué sur le formulaire de demande _x000a__x000a_En cas de non correspondance, vérifiez la saisie et contactez demandeur et encadrant le cas échéant pour précision. " sqref="AC3" xr:uid="{00000000-0002-0000-0200-000016000000}"/>
    <dataValidation allowBlank="1" showInputMessage="1" showErrorMessage="1" promptTitle="Contrôle" prompt="Vérifiez que l'amplitude journalière correspond bien à celle indiquée sur le formulaire de demande. _x000a__x000a_En cas de non correspondance, vérifiez la saisie et contactez demandeur et encadrant le cas échéant pour précision. " sqref="AQ3 AX3 BE3 BL3 AJ3" xr:uid="{00000000-0002-0000-0200-000017000000}"/>
    <dataValidation allowBlank="1" showInputMessage="1" showErrorMessage="1" promptTitle="Précision d'affichage" prompt="Vert =&gt; Les contrôles de base n'ont relevé aucune anomalies_x000a_Rouge =&gt; Des anomalies ont été identifiées ou les informations saisies ne permettent pas d'effectuer tous les contrôles (voir les commentaires en colonne suivante).  " sqref="BW3" xr:uid="{00000000-0002-0000-0200-000018000000}"/>
    <dataValidation type="list" allowBlank="1" showInputMessage="1" showErrorMessage="1" sqref="BF4:BF31 BI4:BI31 BB4:BB31 AY4:AY31 AR4:AR31 AU4:AU31 AK4:AK31 AN4:AN31" xr:uid="{00000000-0002-0000-0200-000002000000}">
      <formula1>"S,T,A"</formula1>
    </dataValidation>
    <dataValidation type="list" allowBlank="1" showInputMessage="1" showErrorMessage="1" promptTitle="Aide à la saisie" prompt="Indiquez le type de demi journée : _x000a_T =&gt; Télétravaillée_x000a_S =&gt; Sur site_x000a_A =&gt; Absent" sqref="AD4:AD31 AG4:AG31" xr:uid="{00000000-0002-0000-0200-000010000000}">
      <formula1>"S,T,A"</formula1>
    </dataValidation>
    <dataValidation allowBlank="1" showInputMessage="1" showErrorMessage="1" promptTitle="Aide à la saisie" prompt="Indiquez les horaires de travail au format hh:mm_x000a__x000a_Laissez vide si absent_x000a_" sqref="AE4:AF31 AH4:AI31" xr:uid="{00000000-0002-0000-0200-000011000000}"/>
    <dataValidation type="list" allowBlank="1" showErrorMessage="1" sqref="C4:C31" xr:uid="{2B773A4C-14F8-486B-8E18-0FB85FBF4B46}">
      <formula1>"Oui,Non"</formula1>
    </dataValidation>
    <dataValidation type="list" allowBlank="1" showInputMessage="1" showErrorMessage="1" promptTitle="Aide à la saisie" prompt="Utilisez le menu déroulant pour donner l'état de la PJ : _x000a_OK =&gt; Pièce reçue_x000a_ATT =&gt; Pièce non reçue mais indiquée en cours d'obtention_x000a_NON =&gt; Pièce non reçue et aucune information donnée par le demandeur_x000a_NC =&gt; Demandeur non concerné par la PJ" sqref="H4:O31" xr:uid="{00000000-0002-0000-0200-000000000000}">
      <formula1>"OK,ATT,NON,NC"</formula1>
    </dataValidation>
    <dataValidation type="list" allowBlank="1" showInputMessage="1" showErrorMessage="1" promptTitle="Aide à la saisie" prompt="Utilisez le menu déroulant pour indiquer le type de lieu de télétravail _x000a_D =&gt; Domicile_x000a_TL =&gt; Télécentre_x000a_SC =&gt; Site conventionné_x000a_P =&gt; Autre lieu privé" sqref="CI4:CI31 CM4:CM31" xr:uid="{00000000-0002-0000-0200-000001000000}">
      <formula1>"D,TL,SC,P"</formula1>
    </dataValidation>
    <dataValidation type="list" allowBlank="1" showInputMessage="1" showErrorMessage="1" promptTitle="Aide à la saisie" prompt="Utilisez le menu déroulant pour préciser la quotité demandée à partir du démarrage effectif de télétravail" sqref="T4:T31" xr:uid="{00000000-0002-0000-0200-000003000000}">
      <formula1>ListeQuotité</formula1>
    </dataValidation>
    <dataValidation allowBlank="1" showInputMessage="1" showErrorMessage="1" promptTitle="Aide à la saisie" prompt="Indiquez la date d'entrée à l'Université" sqref="Q4:Q31" xr:uid="{00000000-0002-0000-0200-00000D000000}"/>
    <dataValidation allowBlank="1" showInputMessage="1" showErrorMessage="1" promptTitle="Aide à la saisie" prompt="Indiquez la date de prise du poste actuel" sqref="R4:R31" xr:uid="{00000000-0002-0000-0200-00000E000000}"/>
    <dataValidation type="list" allowBlank="1" showInputMessage="1" showErrorMessage="1" promptTitle="Aide à la saisie" prompt="Utilisez le menu déroulant pour préciser la quotité actuelle de l'agent" sqref="S4:S31" xr:uid="{00000000-0002-0000-0200-00000F000000}">
      <formula1>ListeQuotité</formula1>
    </dataValidation>
    <dataValidation type="list" allowBlank="1" showInputMessage="1" showErrorMessage="1" promptTitle="Aide à la saisie" prompt="Utilisez le menu déroulant pour préciser si le demandeur a déjà suivi une formation de télétravail. " sqref="CR4:CR31" xr:uid="{00000000-0002-0000-0200-000019000000}">
      <formula1>"O,N"</formula1>
    </dataValidation>
    <dataValidation type="list" allowBlank="1" showInputMessage="1" showErrorMessage="1" promptTitle="Aide à la saisie" prompt="Utilisez le menu déroulant pour préciser si le demandeur a déjà une expérience de télétravail" sqref="CQ4:CQ31" xr:uid="{00000000-0002-0000-0200-00001A000000}">
      <formula1>"O,N"</formula1>
    </dataValidation>
    <dataValidation allowBlank="1" showInputMessage="1" showErrorMessage="1" promptTitle="Aide à la saisie" prompt="Indiquez les missions telles que le demandeur les a précisé dans son dossier (titre)" sqref="CS4:CX31" xr:uid="{00000000-0002-0000-0200-00001B000000}"/>
    <dataValidation allowBlank="1" showInputMessage="1" showErrorMessage="1" promptTitle="Aide à la saisie" prompt="Ce champ est libre. Vous pouvez y inscrire la valeur que vous souhaitez. Il a comme utilité de pouvoir être filtré lors d'un publipostage. " sqref="G4:G31" xr:uid="{00000000-0002-0000-0200-00001C000000}"/>
    <dataValidation type="list" allowBlank="1" showInputMessage="1" showErrorMessage="1" promptTitle="Aide à la saisie" prompt="Utilisez le menu déroulant pour préciser si le télétravailleur inscrira ses horaires sur webcongé (WG) ou sur la convention individuelle (CI)" sqref="V4:V31" xr:uid="{00000000-0002-0000-0200-00001D000000}">
      <formula1>"DI,WG"</formula1>
    </dataValidation>
    <dataValidation type="list" allowBlank="1" showInputMessage="1" showErrorMessage="1" promptTitle="Aide à la saisie" prompt="P:Télétravailleur ponctuel_x000a_R: Télétravailleru régulier" sqref="W4:W31" xr:uid="{ABF8ED41-8F87-4574-A20E-828732B4803B}">
      <formula1>"R,P"</formula1>
    </dataValidation>
    <dataValidation allowBlank="1" showInputMessage="1" showErrorMessage="1" promptTitle="Aide à la saisie" prompt="P:Télétravailleur ponctuel_x000a_R: Télétravailleru régulier" sqref="X4:X31" xr:uid="{DA7CD3AD-C67D-437C-A48A-6F3F8BD9BB74}"/>
    <dataValidation type="list" allowBlank="1" showInputMessage="1" showErrorMessage="1" promptTitle="Aide à la saisie" sqref="U4:U31" xr:uid="{46C17784-1790-4AF7-9444-B474967C5EF1}">
      <formula1>Hebdo_théorique</formula1>
    </dataValidation>
    <dataValidation type="list" allowBlank="1" showInputMessage="1" showErrorMessage="1" sqref="B4:B31" xr:uid="{6EC97192-652E-4393-ADBA-58765462B228}">
      <formula1>INDIRECT("T_Statut[Statut]")</formula1>
    </dataValidation>
  </dataValidations>
  <pageMargins left="0.2" right="0.2" top="0.35433070866141736" bottom="0.35433070866141736" header="0.31496062992125984" footer="0.31496062992125984"/>
  <pageSetup paperSize="9" fitToWidth="2" fitToHeight="2" orientation="landscape"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theme="4"/>
    <pageSetUpPr fitToPage="1"/>
  </sheetPr>
  <dimension ref="A1:T367"/>
  <sheetViews>
    <sheetView showGridLines="0" zoomScaleNormal="100" workbookViewId="0">
      <pane xSplit="4" ySplit="2" topLeftCell="M21" activePane="bottomRight" state="frozen"/>
      <selection pane="topRight" activeCell="D1" sqref="D1"/>
      <selection pane="bottomLeft" activeCell="A3" sqref="A3"/>
      <selection pane="bottomRight" activeCell="A3" sqref="A3:T322"/>
    </sheetView>
  </sheetViews>
  <sheetFormatPr baseColWidth="10" defaultRowHeight="24" customHeight="1" x14ac:dyDescent="0.25"/>
  <cols>
    <col min="1" max="1" width="5.5703125" style="15" customWidth="1"/>
    <col min="2" max="2" width="10.5703125" style="113" customWidth="1"/>
    <col min="3" max="3" width="26.5703125" style="1" customWidth="1"/>
    <col min="4" max="4" width="22.85546875" style="1" customWidth="1"/>
    <col min="5" max="5" width="34.140625" style="1" customWidth="1"/>
    <col min="6" max="6" width="23.5703125" style="1" customWidth="1"/>
    <col min="7" max="7" width="25.140625" style="1" customWidth="1"/>
    <col min="8" max="8" width="31" style="1" bestFit="1" customWidth="1"/>
    <col min="9" max="10" width="11" style="2" customWidth="1"/>
    <col min="11" max="12" width="11" style="7" customWidth="1"/>
    <col min="13" max="13" width="13" style="7" bestFit="1" customWidth="1"/>
    <col min="14" max="14" width="13" style="7" customWidth="1"/>
    <col min="15" max="15" width="13" customWidth="1"/>
    <col min="16" max="16" width="19" style="7" customWidth="1"/>
    <col min="17" max="18" width="11.42578125" style="7" customWidth="1"/>
    <col min="19" max="19" width="20.5703125" style="7" hidden="1" customWidth="1"/>
    <col min="20" max="20" width="129" style="6" customWidth="1"/>
  </cols>
  <sheetData>
    <row r="1" spans="1:20" ht="45" customHeight="1" x14ac:dyDescent="0.25">
      <c r="A1" s="217"/>
      <c r="B1" s="217"/>
      <c r="C1" s="406" t="s">
        <v>76</v>
      </c>
      <c r="D1" s="406"/>
      <c r="E1" s="406"/>
      <c r="F1" s="8"/>
      <c r="G1" s="8"/>
      <c r="H1" s="8"/>
      <c r="I1" s="407" t="s">
        <v>109</v>
      </c>
      <c r="J1" s="407"/>
      <c r="K1" s="407"/>
      <c r="L1" s="407"/>
      <c r="M1" s="48"/>
      <c r="N1" s="48"/>
      <c r="O1" s="48"/>
      <c r="P1" s="48"/>
      <c r="Q1" s="48"/>
      <c r="R1" s="48"/>
      <c r="S1" s="48"/>
      <c r="T1" s="48"/>
    </row>
    <row r="2" spans="1:20" s="93" customFormat="1" ht="24" customHeight="1" x14ac:dyDescent="0.25">
      <c r="A2" s="157" t="s">
        <v>236</v>
      </c>
      <c r="B2" s="127" t="s">
        <v>2993</v>
      </c>
      <c r="C2" s="127" t="s">
        <v>0</v>
      </c>
      <c r="D2" s="127" t="s">
        <v>1</v>
      </c>
      <c r="E2" s="127" t="s">
        <v>2</v>
      </c>
      <c r="F2" s="127" t="s">
        <v>111</v>
      </c>
      <c r="G2" s="127" t="s">
        <v>112</v>
      </c>
      <c r="H2" s="127" t="s">
        <v>113</v>
      </c>
      <c r="I2" s="127" t="s">
        <v>44</v>
      </c>
      <c r="J2" s="127" t="s">
        <v>56</v>
      </c>
      <c r="K2" s="127" t="s">
        <v>73</v>
      </c>
      <c r="L2" s="127" t="s">
        <v>74</v>
      </c>
      <c r="M2" s="127" t="s">
        <v>110</v>
      </c>
      <c r="N2" s="127" t="s">
        <v>286</v>
      </c>
      <c r="O2" s="92" t="s">
        <v>75</v>
      </c>
      <c r="P2" s="127" t="s">
        <v>120</v>
      </c>
      <c r="Q2" s="138" t="s">
        <v>3274</v>
      </c>
      <c r="R2" s="138" t="s">
        <v>3275</v>
      </c>
      <c r="S2" s="127" t="s">
        <v>121</v>
      </c>
      <c r="T2" s="138" t="s">
        <v>15</v>
      </c>
    </row>
    <row r="3" spans="1:20" s="93" customFormat="1" ht="24" customHeight="1" x14ac:dyDescent="0.25">
      <c r="A3" s="90">
        <v>0</v>
      </c>
      <c r="B3" s="130" t="str">
        <f>IFERROR(IF(VLOOKUP(T_Commission[[#This Row],[NumL]],T_TraitDi[#Data],COLUMN(T_TraitDi[[#This Row],[Statut]]),FALSE)&lt;&gt;"",VLOOKUP(T_Commission[[#This Row],[NumL]],T_TraitDi[#Data],COLUMN(T_TraitDi[[#This Row],[Statut]]),FALSE),""),"")</f>
        <v/>
      </c>
      <c r="C3" s="139" t="str">
        <f>IFERROR(IF(VLOOKUP(T_Commission[[#This Row],[NumL]],T_suiviDi[#Data],COLUMN(T_suiviDi[[#This Row],[Nom]]),FALSE)&lt;&gt;"",VLOOKUP(T_Commission[[#This Row],[NumL]],T_suiviDi[#Data],COLUMN(T_suiviDi[[#This Row],[Nom]]),FALSE),""),"")</f>
        <v/>
      </c>
      <c r="D3" s="139" t="str">
        <f>IFERROR(IF(VLOOKUP(T_Commission[[#This Row],[NumL]],T_suiviDi[#Data],COLUMN(T_suiviDi[[#This Row],[Prénom]]),FALSE)&lt;&gt;"",VLOOKUP(T_Commission[[#This Row],[NumL]],T_suiviDi[#Data],COLUMN(T_suiviDi[[#This Row],[Prénom]]),FALSE),""),"")</f>
        <v/>
      </c>
      <c r="E3" s="140" t="str">
        <f>IFERROR(IF(VLOOKUP(T_Commission[[#This Row],[NumL]],T_suiviDi[#Data],COLUMN(T_suiviDi[[#This Row],[Email]]),FALSE)&lt;&gt;"",VLOOKUP(T_Commission[[#This Row],[NumL]],T_suiviDi[#Data],COLUMN(T_suiviDi[[#This Row],[Email]]),FALSE),""),"")</f>
        <v/>
      </c>
      <c r="F3" s="141" t="str">
        <f>IFERROR(IF(VLOOKUP(T_Commission[[#This Row],[NumL]],T_suiviDi[#Data],COLUMN(T_suiviDi[[#This Row],[Nom1]]),FALSE)&lt;&gt;"",VLOOKUP(T_Commission[[#This Row],[NumL]],T_suiviDi[#Data],COLUMN(T_suiviDi[[#This Row],[Nom1]]),FALSE),""),"")</f>
        <v/>
      </c>
      <c r="G3" s="141" t="str">
        <f>IFERROR(IF(VLOOKUP(T_Commission[[#This Row],[NumL]],T_suiviDi[#Data],COLUMN(T_suiviDi[[#This Row],[Prénom1]]),FALSE)&lt;&gt;"",VLOOKUP(T_Commission[[#This Row],[NumL]],T_suiviDi[#Data],COLUMN(T_suiviDi[[#This Row],[Prénom1]]),FALSE),""),"")</f>
        <v/>
      </c>
      <c r="H3" s="141" t="str">
        <f>IFERROR(IF(VLOOKUP(T_Commission[[#This Row],[NumL]],T_suiviDi[#Data],COLUMN(T_suiviDi[[#This Row],[Email1]]),FALSE)&lt;&gt;"",VLOOKUP(T_Commission[[#This Row],[NumL]],T_suiviDi[#Data],COLUMN(T_suiviDi[[#This Row],[Email1]]),FALSE),""),"")</f>
        <v/>
      </c>
      <c r="I3" s="142" t="str">
        <f>IFERROR(VLOOKUP(A3,'2- Traitement des DI'!#REF!,FALSE),"")</f>
        <v/>
      </c>
      <c r="J3" s="142" t="str">
        <f>IF(C3&lt;&gt;"",IFERROR(VLOOKUP(A3,'2- Traitement des DI'!#REF!,FALSE),""),"")</f>
        <v/>
      </c>
      <c r="K3" s="142" t="str">
        <f>IFERROR(IF(VLOOKUP(T_Commission[[#This Row],[NumL]],T_suiviDi[#Data],COLUMN(T_suiviDi[[#This Row],[Avis n+1]]),FALSE)&lt;&gt;"",VLOOKUP(A3,T_suiviDi[#Data],COLUMN(T_suiviDi[[#This Row],[Avis n+1]]),FALSE),""),"")</f>
        <v/>
      </c>
      <c r="L3" s="142" t="str">
        <f>IFERROR(IF(VLOOKUP(A3,ListeDI,27,FALSE)&lt;&gt;"",VLOOKUP(A3,ListeDI,27,FALSE),""),"")</f>
        <v/>
      </c>
      <c r="M3" s="49"/>
      <c r="N3" s="49"/>
      <c r="O3" s="143" t="str">
        <f>IF(C3&lt;&gt;"",IF(N3&lt;&gt;"",MAX(I3,N3),IF(M3&lt;&gt;"",MAX(I3,M3),"")),"")</f>
        <v/>
      </c>
      <c r="P3" s="55"/>
      <c r="Q3" s="55"/>
      <c r="R3" s="55"/>
      <c r="S3" s="56"/>
      <c r="T3" s="144"/>
    </row>
    <row r="4" spans="1:20" s="93" customFormat="1" ht="24" customHeight="1" x14ac:dyDescent="0.25">
      <c r="A4" s="90">
        <v>278</v>
      </c>
      <c r="B4" s="130" t="str">
        <f>IFERROR(IF(VLOOKUP(T_Commission[[#This Row],[NumL]],T_TraitDi[#Data],COLUMN(T_TraitDi[[#This Row],[Statut]]),FALSE)&lt;&gt;"",VLOOKUP(T_Commission[[#This Row],[NumL]],T_TraitDi[#Data],COLUMN(T_TraitDi[[#This Row],[Statut]]),FALSE),""),"")</f>
        <v/>
      </c>
      <c r="C4" s="19" t="str">
        <f>IFERROR(IF(VLOOKUP(T_Commission[[#This Row],[NumL]],T_suiviDi[#Data],COLUMN(T_suiviDi[Nom]),FALSE)&lt;&gt;"",VLOOKUP(T_Commission[[#This Row],[NumL]],T_suiviDi[#Data],COLUMN(T_suiviDi[Nom]),FALSE),""),"")</f>
        <v/>
      </c>
      <c r="D4" s="19" t="str">
        <f>IFERROR(IF(VLOOKUP(T_Commission[[#This Row],[NumL]],T_suiviDi[#Data],COLUMN(T_suiviDi[Prénom]),FALSE)&lt;&gt;"",VLOOKUP(T_Commission[[#This Row],[NumL]],T_suiviDi[#Data],COLUMN(T_suiviDi[Prénom]),FALSE),""),"")</f>
        <v/>
      </c>
      <c r="E4" s="20" t="str">
        <f>IFERROR(IF(VLOOKUP(T_Commission[[#This Row],[NumL]],T_suiviDi[#Data],COLUMN(T_suiviDi[Email]),FALSE)&lt;&gt;"",VLOOKUP(T_Commission[[#This Row],[NumL]],T_suiviDi[#Data],COLUMN(T_suiviDi[Email]),FALSE),""),"")</f>
        <v/>
      </c>
      <c r="F4" s="274" t="str">
        <f>IFERROR(IF(VLOOKUP(T_Commission[[#This Row],[NumL]],T_suiviDi[#Data],COLUMN(T_suiviDi[[#This Row],[Nom1]]),FALSE)&lt;&gt;"",VLOOKUP(T_Commission[[#This Row],[NumL]],T_suiviDi[#Data],COLUMN(T_suiviDi[[#This Row],[Nom1]]),FALSE),""),"")</f>
        <v/>
      </c>
      <c r="G4" s="274" t="str">
        <f>IFERROR(IF(VLOOKUP(T_Commission[[#This Row],[NumL]],T_suiviDi[#Data],COLUMN(T_suiviDi[[#This Row],[Prénom1]]),FALSE)&lt;&gt;"",VLOOKUP(T_Commission[[#This Row],[NumL]],T_suiviDi[#Data],COLUMN(T_suiviDi[[#This Row],[Prénom1]]),FALSE),""),"")</f>
        <v/>
      </c>
      <c r="H4" s="274" t="str">
        <f>IFERROR(IF(VLOOKUP(T_Commission[[#This Row],[NumL]],T_suiviDi[#Data],COLUMN(T_suiviDi[[#This Row],[Email1]]),FALSE)&lt;&gt;"",VLOOKUP(T_Commission[[#This Row],[NumL]],T_suiviDi[#Data],COLUMN(T_suiviDi[[#This Row],[Email1]]),FALSE),""),"")</f>
        <v/>
      </c>
      <c r="I4" s="142" t="str">
        <f>IFERROR(VLOOKUP(T_Commission[[#This Row],[NumL]],T_TraitDi[#Data],COLUMN(T_TraitDi[[#This Row],[CTRL_PJ]]),FALSE),"")</f>
        <v/>
      </c>
      <c r="J4" s="142" t="str">
        <f>IF(T_Commission[[#This Row],[Nom]]&lt;&gt;"",IFERROR(VLOOKUP(T_Commission[[#This Row],[NumL]],T_TraitDi[#Data],COLUMN(T_TraitDi[[#This Row],[C10]]),FALSE),""),"")</f>
        <v/>
      </c>
      <c r="K4" s="142" t="str">
        <f>IFERROR(IF(VLOOKUP(T_Commission[[#This Row],[NumL]],T_suiviDi[#Data],COLUMN(T_suiviDi[[#This Row],[Avis n+1]]),FALSE)&lt;&gt;"",VLOOKUP(A4,T_suiviDi[#Data],COLUMN(T_suiviDi[[#This Row],[Avis n+1]]),FALSE),""),"")</f>
        <v/>
      </c>
      <c r="L4" s="142" t="str">
        <f>IFERROR(IF(VLOOKUP(T_Commission[[#This Row],[NumL]],T_suiviDi[#Data],COLUMN(T_suiviDi[[#This Row],[Avis n+2]]),FALSE)&lt;&gt;"",VLOOKUP(T_Commission[[#This Row],[NumL]],T_suiviDi[#Data],COLUMN(T_suiviDi[[#This Row],[Avis n+2]]),FALSE),""),"")</f>
        <v/>
      </c>
      <c r="M4" s="49">
        <v>1</v>
      </c>
      <c r="N4" s="49"/>
      <c r="O4" s="143" t="str">
        <f>IF(T_Commission[[#This Row],[Nom]]&lt;&gt;"",IF(T_Commission[[#This Row],[COM '#2]]&lt;&gt;"",MAX(T_Commission[[#This Row],[PJ]],T_Commission[[#This Row],[COM '#2]]),IF(T_Commission[[#This Row],[COM '#1]]&lt;&gt;"",MAX(T_Commission[[#This Row],[PJ]],T_Commission[[#This Row],[COM '#1]]),"")),"")</f>
        <v/>
      </c>
      <c r="P4" s="55" t="s">
        <v>115</v>
      </c>
      <c r="Q4" s="55" t="s">
        <v>3277</v>
      </c>
      <c r="R4" s="55" t="s">
        <v>3277</v>
      </c>
      <c r="S4" s="56"/>
      <c r="T4" s="144"/>
    </row>
    <row r="5" spans="1:20" s="93" customFormat="1" ht="30" customHeight="1" x14ac:dyDescent="0.25">
      <c r="A5" s="90">
        <v>68</v>
      </c>
      <c r="B5" s="130" t="str">
        <f>IFERROR(IF(VLOOKUP(T_Commission[[#This Row],[NumL]],T_TraitDi[#Data],COLUMN(T_TraitDi[[#This Row],[Statut]]),FALSE)&lt;&gt;"",VLOOKUP(T_Commission[[#This Row],[NumL]],T_TraitDi[#Data],COLUMN(T_TraitDi[[#This Row],[Statut]]),FALSE),""),"")</f>
        <v/>
      </c>
      <c r="C5" s="19" t="str">
        <f>IFERROR(IF(VLOOKUP(T_Commission[[#This Row],[NumL]],T_suiviDi[#Data],COLUMN(T_suiviDi[Nom]),FALSE)&lt;&gt;"",VLOOKUP(T_Commission[[#This Row],[NumL]],T_suiviDi[#Data],COLUMN(T_suiviDi[Nom]),FALSE),""),"")</f>
        <v/>
      </c>
      <c r="D5" s="19" t="str">
        <f>IFERROR(IF(VLOOKUP(T_Commission[[#This Row],[NumL]],T_suiviDi[#Data],COLUMN(T_suiviDi[Prénom]),FALSE)&lt;&gt;"",VLOOKUP(T_Commission[[#This Row],[NumL]],T_suiviDi[#Data],COLUMN(T_suiviDi[Prénom]),FALSE),""),"")</f>
        <v/>
      </c>
      <c r="E5" s="20" t="str">
        <f>IFERROR(IF(VLOOKUP(T_Commission[[#This Row],[NumL]],T_suiviDi[#Data],COLUMN(T_suiviDi[Email]),FALSE)&lt;&gt;"",VLOOKUP(T_Commission[[#This Row],[NumL]],T_suiviDi[#Data],COLUMN(T_suiviDi[Email]),FALSE),""),"")</f>
        <v/>
      </c>
      <c r="F5" s="274" t="str">
        <f>IFERROR(IF(VLOOKUP(T_Commission[[#This Row],[NumL]],T_suiviDi[#Data],COLUMN(T_suiviDi[[#This Row],[Nom1]]),FALSE)&lt;&gt;"",VLOOKUP(T_Commission[[#This Row],[NumL]],T_suiviDi[#Data],COLUMN(T_suiviDi[[#This Row],[Nom1]]),FALSE),""),"")</f>
        <v/>
      </c>
      <c r="G5" s="274" t="str">
        <f>IFERROR(IF(VLOOKUP(T_Commission[[#This Row],[NumL]],T_suiviDi[#Data],COLUMN(T_suiviDi[[#This Row],[Prénom1]]),FALSE)&lt;&gt;"",VLOOKUP(T_Commission[[#This Row],[NumL]],T_suiviDi[#Data],COLUMN(T_suiviDi[[#This Row],[Prénom1]]),FALSE),""),"")</f>
        <v/>
      </c>
      <c r="H5" s="274" t="str">
        <f>IFERROR(IF(VLOOKUP(T_Commission[[#This Row],[NumL]],T_suiviDi[#Data],COLUMN(T_suiviDi[[#This Row],[Email1]]),FALSE)&lt;&gt;"",VLOOKUP(T_Commission[[#This Row],[NumL]],T_suiviDi[#Data],COLUMN(T_suiviDi[[#This Row],[Email1]]),FALSE),""),"")</f>
        <v/>
      </c>
      <c r="I5" s="142" t="str">
        <f>IFERROR(VLOOKUP(T_Commission[[#This Row],[NumL]],T_TraitDi[#Data],COLUMN(T_TraitDi[[#This Row],[CTRL_PJ]]),FALSE),"")</f>
        <v/>
      </c>
      <c r="J5" s="142" t="str">
        <f>IF(T_Commission[[#This Row],[Nom]]&lt;&gt;"",IFERROR(VLOOKUP(T_Commission[[#This Row],[NumL]],T_TraitDi[#Data],COLUMN(T_TraitDi[[#This Row],[C10]]),FALSE),""),"")</f>
        <v/>
      </c>
      <c r="K5" s="142" t="str">
        <f>IFERROR(IF(VLOOKUP(T_Commission[[#This Row],[NumL]],T_suiviDi[#Data],COLUMN(T_suiviDi[[#This Row],[Avis n+1]]),FALSE)&lt;&gt;"",VLOOKUP(A5,T_suiviDi[#Data],COLUMN(T_suiviDi[[#This Row],[Avis n+1]]),FALSE),""),"")</f>
        <v/>
      </c>
      <c r="L5" s="142" t="str">
        <f>IFERROR(IF(VLOOKUP(T_Commission[[#This Row],[NumL]],T_suiviDi[#Data],COLUMN(T_suiviDi[[#This Row],[Avis n+2]]),FALSE)&lt;&gt;"",VLOOKUP(T_Commission[[#This Row],[NumL]],T_suiviDi[#Data],COLUMN(T_suiviDi[[#This Row],[Avis n+2]]),FALSE),""),"")</f>
        <v/>
      </c>
      <c r="M5" s="49">
        <v>1</v>
      </c>
      <c r="N5" s="49"/>
      <c r="O5" s="143" t="str">
        <f>IF(T_Commission[[#This Row],[Nom]]&lt;&gt;"",IF(T_Commission[[#This Row],[COM '#2]]&lt;&gt;"",MAX(T_Commission[[#This Row],[PJ]],T_Commission[[#This Row],[COM '#2]]),IF(T_Commission[[#This Row],[COM '#1]]&lt;&gt;"",MAX(T_Commission[[#This Row],[PJ]],T_Commission[[#This Row],[COM '#1]]),"")),"")</f>
        <v/>
      </c>
      <c r="P5" s="55" t="s">
        <v>115</v>
      </c>
      <c r="Q5" s="55" t="s">
        <v>3277</v>
      </c>
      <c r="R5" s="55" t="s">
        <v>3277</v>
      </c>
      <c r="S5" s="56"/>
      <c r="T5" s="144"/>
    </row>
    <row r="6" spans="1:20" s="93" customFormat="1" ht="30" customHeight="1" x14ac:dyDescent="0.25">
      <c r="A6" s="90">
        <v>251</v>
      </c>
      <c r="B6" s="130" t="str">
        <f>IFERROR(IF(VLOOKUP(T_Commission[[#This Row],[NumL]],T_TraitDi[#Data],COLUMN(T_TraitDi[[#This Row],[Statut]]),FALSE)&lt;&gt;"",VLOOKUP(T_Commission[[#This Row],[NumL]],T_TraitDi[#Data],COLUMN(T_TraitDi[[#This Row],[Statut]]),FALSE),""),"")</f>
        <v/>
      </c>
      <c r="C6" s="19" t="str">
        <f>IFERROR(IF(VLOOKUP(T_Commission[[#This Row],[NumL]],T_suiviDi[#Data],COLUMN(T_suiviDi[Nom]),FALSE)&lt;&gt;"",VLOOKUP(T_Commission[[#This Row],[NumL]],T_suiviDi[#Data],COLUMN(T_suiviDi[Nom]),FALSE),""),"")</f>
        <v/>
      </c>
      <c r="D6" s="19" t="str">
        <f>IFERROR(IF(VLOOKUP(T_Commission[[#This Row],[NumL]],T_suiviDi[#Data],COLUMN(T_suiviDi[Prénom]),FALSE)&lt;&gt;"",VLOOKUP(T_Commission[[#This Row],[NumL]],T_suiviDi[#Data],COLUMN(T_suiviDi[Prénom]),FALSE),""),"")</f>
        <v/>
      </c>
      <c r="E6" s="20" t="str">
        <f>IFERROR(IF(VLOOKUP(T_Commission[[#This Row],[NumL]],T_suiviDi[#Data],COLUMN(T_suiviDi[Email]),FALSE)&lt;&gt;"",VLOOKUP(T_Commission[[#This Row],[NumL]],T_suiviDi[#Data],COLUMN(T_suiviDi[Email]),FALSE),""),"")</f>
        <v/>
      </c>
      <c r="F6" s="274" t="str">
        <f>IFERROR(IF(VLOOKUP(T_Commission[[#This Row],[NumL]],T_suiviDi[#Data],COLUMN(T_suiviDi[[#This Row],[Nom1]]),FALSE)&lt;&gt;"",VLOOKUP(T_Commission[[#This Row],[NumL]],T_suiviDi[#Data],COLUMN(T_suiviDi[[#This Row],[Nom1]]),FALSE),""),"")</f>
        <v/>
      </c>
      <c r="G6" s="274" t="str">
        <f>IFERROR(IF(VLOOKUP(T_Commission[[#This Row],[NumL]],T_suiviDi[#Data],COLUMN(T_suiviDi[[#This Row],[Prénom1]]),FALSE)&lt;&gt;"",VLOOKUP(T_Commission[[#This Row],[NumL]],T_suiviDi[#Data],COLUMN(T_suiviDi[[#This Row],[Prénom1]]),FALSE),""),"")</f>
        <v/>
      </c>
      <c r="H6" s="274" t="str">
        <f>IFERROR(IF(VLOOKUP(T_Commission[[#This Row],[NumL]],T_suiviDi[#Data],COLUMN(T_suiviDi[[#This Row],[Email1]]),FALSE)&lt;&gt;"",VLOOKUP(T_Commission[[#This Row],[NumL]],T_suiviDi[#Data],COLUMN(T_suiviDi[[#This Row],[Email1]]),FALSE),""),"")</f>
        <v/>
      </c>
      <c r="I6" s="142" t="str">
        <f>IFERROR(VLOOKUP(T_Commission[[#This Row],[NumL]],T_TraitDi[#Data],COLUMN(T_TraitDi[[#This Row],[CTRL_PJ]]),FALSE),"")</f>
        <v/>
      </c>
      <c r="J6" s="142" t="str">
        <f>IF(T_Commission[[#This Row],[Nom]]&lt;&gt;"",IFERROR(VLOOKUP(T_Commission[[#This Row],[NumL]],T_TraitDi[#Data],COLUMN(T_TraitDi[[#This Row],[C10]]),FALSE),""),"")</f>
        <v/>
      </c>
      <c r="K6" s="142" t="str">
        <f>IFERROR(IF(VLOOKUP(T_Commission[[#This Row],[NumL]],T_suiviDi[#Data],COLUMN(T_suiviDi[[#This Row],[Avis n+1]]),FALSE)&lt;&gt;"",VLOOKUP(A6,T_suiviDi[#Data],COLUMN(T_suiviDi[[#This Row],[Avis n+1]]),FALSE),""),"")</f>
        <v/>
      </c>
      <c r="L6" s="142" t="str">
        <f>IFERROR(IF(VLOOKUP(T_Commission[[#This Row],[NumL]],T_suiviDi[#Data],COLUMN(T_suiviDi[[#This Row],[Avis n+2]]),FALSE)&lt;&gt;"",VLOOKUP(T_Commission[[#This Row],[NumL]],T_suiviDi[#Data],COLUMN(T_suiviDi[[#This Row],[Avis n+2]]),FALSE),""),"")</f>
        <v/>
      </c>
      <c r="M6" s="49">
        <v>1</v>
      </c>
      <c r="N6" s="49"/>
      <c r="O6" s="143" t="str">
        <f>IF(T_Commission[[#This Row],[Nom]]&lt;&gt;"",IF(T_Commission[[#This Row],[COM '#2]]&lt;&gt;"",MAX(T_Commission[[#This Row],[PJ]],T_Commission[[#This Row],[COM '#2]]),IF(T_Commission[[#This Row],[COM '#1]]&lt;&gt;"",MAX(T_Commission[[#This Row],[PJ]],T_Commission[[#This Row],[COM '#1]]),"")),"")</f>
        <v/>
      </c>
      <c r="P6" s="55" t="s">
        <v>115</v>
      </c>
      <c r="Q6" s="55" t="s">
        <v>3277</v>
      </c>
      <c r="R6" s="55" t="s">
        <v>3277</v>
      </c>
      <c r="S6" s="56"/>
      <c r="T6" s="144"/>
    </row>
    <row r="7" spans="1:20" s="93" customFormat="1" ht="30" customHeight="1" x14ac:dyDescent="0.25">
      <c r="A7" s="90">
        <v>170</v>
      </c>
      <c r="B7" s="130" t="str">
        <f>IFERROR(IF(VLOOKUP(T_Commission[[#This Row],[NumL]],T_TraitDi[#Data],COLUMN(T_TraitDi[[#This Row],[Statut]]),FALSE)&lt;&gt;"",VLOOKUP(T_Commission[[#This Row],[NumL]],T_TraitDi[#Data],COLUMN(T_TraitDi[[#This Row],[Statut]]),FALSE),""),"")</f>
        <v/>
      </c>
      <c r="C7" s="19" t="str">
        <f>IFERROR(IF(VLOOKUP(T_Commission[[#This Row],[NumL]],T_suiviDi[#Data],COLUMN(T_suiviDi[Nom]),FALSE)&lt;&gt;"",VLOOKUP(T_Commission[[#This Row],[NumL]],T_suiviDi[#Data],COLUMN(T_suiviDi[Nom]),FALSE),""),"")</f>
        <v/>
      </c>
      <c r="D7" s="19" t="str">
        <f>IFERROR(IF(VLOOKUP(T_Commission[[#This Row],[NumL]],T_suiviDi[#Data],COLUMN(T_suiviDi[Prénom]),FALSE)&lt;&gt;"",VLOOKUP(T_Commission[[#This Row],[NumL]],T_suiviDi[#Data],COLUMN(T_suiviDi[Prénom]),FALSE),""),"")</f>
        <v/>
      </c>
      <c r="E7" s="20" t="str">
        <f>IFERROR(IF(VLOOKUP(T_Commission[[#This Row],[NumL]],T_suiviDi[#Data],COLUMN(T_suiviDi[Email]),FALSE)&lt;&gt;"",VLOOKUP(T_Commission[[#This Row],[NumL]],T_suiviDi[#Data],COLUMN(T_suiviDi[Email]),FALSE),""),"")</f>
        <v/>
      </c>
      <c r="F7" s="274" t="str">
        <f>IFERROR(IF(VLOOKUP(T_Commission[[#This Row],[NumL]],T_suiviDi[#Data],COLUMN(T_suiviDi[[#This Row],[Nom1]]),FALSE)&lt;&gt;"",VLOOKUP(T_Commission[[#This Row],[NumL]],T_suiviDi[#Data],COLUMN(T_suiviDi[[#This Row],[Nom1]]),FALSE),""),"")</f>
        <v/>
      </c>
      <c r="G7" s="274" t="str">
        <f>IFERROR(IF(VLOOKUP(T_Commission[[#This Row],[NumL]],T_suiviDi[#Data],COLUMN(T_suiviDi[[#This Row],[Prénom1]]),FALSE)&lt;&gt;"",VLOOKUP(T_Commission[[#This Row],[NumL]],T_suiviDi[#Data],COLUMN(T_suiviDi[[#This Row],[Prénom1]]),FALSE),""),"")</f>
        <v/>
      </c>
      <c r="H7" s="274" t="str">
        <f>IFERROR(IF(VLOOKUP(T_Commission[[#This Row],[NumL]],T_suiviDi[#Data],COLUMN(T_suiviDi[[#This Row],[Email1]]),FALSE)&lt;&gt;"",VLOOKUP(T_Commission[[#This Row],[NumL]],T_suiviDi[#Data],COLUMN(T_suiviDi[[#This Row],[Email1]]),FALSE),""),"")</f>
        <v/>
      </c>
      <c r="I7" s="142" t="str">
        <f>IFERROR(VLOOKUP(T_Commission[[#This Row],[NumL]],T_TraitDi[#Data],COLUMN(T_TraitDi[[#This Row],[CTRL_PJ]]),FALSE),"")</f>
        <v/>
      </c>
      <c r="J7" s="142" t="str">
        <f>IF(T_Commission[[#This Row],[Nom]]&lt;&gt;"",IFERROR(VLOOKUP(T_Commission[[#This Row],[NumL]],T_TraitDi[#Data],COLUMN(T_TraitDi[[#This Row],[C10]]),FALSE),""),"")</f>
        <v/>
      </c>
      <c r="K7" s="142" t="str">
        <f>IFERROR(IF(VLOOKUP(T_Commission[[#This Row],[NumL]],T_suiviDi[#Data],COLUMN(T_suiviDi[[#This Row],[Avis n+1]]),FALSE)&lt;&gt;"",VLOOKUP(A7,T_suiviDi[#Data],COLUMN(T_suiviDi[[#This Row],[Avis n+1]]),FALSE),""),"")</f>
        <v/>
      </c>
      <c r="L7" s="142" t="str">
        <f>IFERROR(IF(VLOOKUP(T_Commission[[#This Row],[NumL]],T_suiviDi[#Data],COLUMN(T_suiviDi[[#This Row],[Avis n+2]]),FALSE)&lt;&gt;"",VLOOKUP(T_Commission[[#This Row],[NumL]],T_suiviDi[#Data],COLUMN(T_suiviDi[[#This Row],[Avis n+2]]),FALSE),""),"")</f>
        <v/>
      </c>
      <c r="M7" s="49">
        <v>1</v>
      </c>
      <c r="N7" s="49"/>
      <c r="O7" s="143" t="str">
        <f>IF(T_Commission[[#This Row],[Nom]]&lt;&gt;"",IF(T_Commission[[#This Row],[COM '#2]]&lt;&gt;"",MAX(T_Commission[[#This Row],[PJ]],T_Commission[[#This Row],[COM '#2]]),IF(T_Commission[[#This Row],[COM '#1]]&lt;&gt;"",MAX(T_Commission[[#This Row],[PJ]],T_Commission[[#This Row],[COM '#1]]),"")),"")</f>
        <v/>
      </c>
      <c r="P7" s="55" t="s">
        <v>115</v>
      </c>
      <c r="Q7" s="55" t="s">
        <v>3277</v>
      </c>
      <c r="R7" s="55" t="s">
        <v>3277</v>
      </c>
      <c r="S7" s="56"/>
      <c r="T7" s="144"/>
    </row>
    <row r="8" spans="1:20" s="93" customFormat="1" ht="30" customHeight="1" x14ac:dyDescent="0.25">
      <c r="A8" s="90">
        <v>213</v>
      </c>
      <c r="B8" s="130" t="str">
        <f>IFERROR(IF(VLOOKUP(T_Commission[[#This Row],[NumL]],T_TraitDi[#Data],COLUMN(T_TraitDi[[#This Row],[Statut]]),FALSE)&lt;&gt;"",VLOOKUP(T_Commission[[#This Row],[NumL]],T_TraitDi[#Data],COLUMN(T_TraitDi[[#This Row],[Statut]]),FALSE),""),"")</f>
        <v/>
      </c>
      <c r="C8" s="19" t="str">
        <f>IFERROR(IF(VLOOKUP(T_Commission[[#This Row],[NumL]],T_suiviDi[#Data],COLUMN(T_suiviDi[Nom]),FALSE)&lt;&gt;"",VLOOKUP(T_Commission[[#This Row],[NumL]],T_suiviDi[#Data],COLUMN(T_suiviDi[Nom]),FALSE),""),"")</f>
        <v/>
      </c>
      <c r="D8" s="19" t="str">
        <f>IFERROR(IF(VLOOKUP(T_Commission[[#This Row],[NumL]],T_suiviDi[#Data],COLUMN(T_suiviDi[Prénom]),FALSE)&lt;&gt;"",VLOOKUP(T_Commission[[#This Row],[NumL]],T_suiviDi[#Data],COLUMN(T_suiviDi[Prénom]),FALSE),""),"")</f>
        <v/>
      </c>
      <c r="E8" s="20" t="str">
        <f>IFERROR(IF(VLOOKUP(T_Commission[[#This Row],[NumL]],T_suiviDi[#Data],COLUMN(T_suiviDi[Email]),FALSE)&lt;&gt;"",VLOOKUP(T_Commission[[#This Row],[NumL]],T_suiviDi[#Data],COLUMN(T_suiviDi[Email]),FALSE),""),"")</f>
        <v/>
      </c>
      <c r="F8" s="274" t="str">
        <f>IFERROR(IF(VLOOKUP(T_Commission[[#This Row],[NumL]],T_suiviDi[#Data],COLUMN(T_suiviDi[[#This Row],[Nom1]]),FALSE)&lt;&gt;"",VLOOKUP(T_Commission[[#This Row],[NumL]],T_suiviDi[#Data],COLUMN(T_suiviDi[[#This Row],[Nom1]]),FALSE),""),"")</f>
        <v/>
      </c>
      <c r="G8" s="274" t="str">
        <f>IFERROR(IF(VLOOKUP(T_Commission[[#This Row],[NumL]],T_suiviDi[#Data],COLUMN(T_suiviDi[[#This Row],[Prénom1]]),FALSE)&lt;&gt;"",VLOOKUP(T_Commission[[#This Row],[NumL]],T_suiviDi[#Data],COLUMN(T_suiviDi[[#This Row],[Prénom1]]),FALSE),""),"")</f>
        <v/>
      </c>
      <c r="H8" s="274" t="str">
        <f>IFERROR(IF(VLOOKUP(T_Commission[[#This Row],[NumL]],T_suiviDi[#Data],COLUMN(T_suiviDi[[#This Row],[Email1]]),FALSE)&lt;&gt;"",VLOOKUP(T_Commission[[#This Row],[NumL]],T_suiviDi[#Data],COLUMN(T_suiviDi[[#This Row],[Email1]]),FALSE),""),"")</f>
        <v/>
      </c>
      <c r="I8" s="142" t="str">
        <f>IFERROR(VLOOKUP(T_Commission[[#This Row],[NumL]],T_TraitDi[#Data],COLUMN(T_TraitDi[[#This Row],[CTRL_PJ]]),FALSE),"")</f>
        <v/>
      </c>
      <c r="J8" s="142" t="str">
        <f>IF(T_Commission[[#This Row],[Nom]]&lt;&gt;"",IFERROR(VLOOKUP(T_Commission[[#This Row],[NumL]],T_TraitDi[#Data],COLUMN(T_TraitDi[[#This Row],[C10]]),FALSE),""),"")</f>
        <v/>
      </c>
      <c r="K8" s="142" t="str">
        <f>IFERROR(IF(VLOOKUP(T_Commission[[#This Row],[NumL]],T_suiviDi[#Data],COLUMN(T_suiviDi[[#This Row],[Avis n+1]]),FALSE)&lt;&gt;"",VLOOKUP(A8,T_suiviDi[#Data],COLUMN(T_suiviDi[[#This Row],[Avis n+1]]),FALSE),""),"")</f>
        <v/>
      </c>
      <c r="L8" s="142" t="str">
        <f>IFERROR(IF(VLOOKUP(T_Commission[[#This Row],[NumL]],T_suiviDi[#Data],COLUMN(T_suiviDi[[#This Row],[Avis n+2]]),FALSE)&lt;&gt;"",VLOOKUP(T_Commission[[#This Row],[NumL]],T_suiviDi[#Data],COLUMN(T_suiviDi[[#This Row],[Avis n+2]]),FALSE),""),"")</f>
        <v/>
      </c>
      <c r="M8" s="49">
        <v>1</v>
      </c>
      <c r="N8" s="49"/>
      <c r="O8" s="143" t="str">
        <f>IF(T_Commission[[#This Row],[Nom]]&lt;&gt;"",IF(T_Commission[[#This Row],[COM '#2]]&lt;&gt;"",MAX(T_Commission[[#This Row],[PJ]],T_Commission[[#This Row],[COM '#2]]),IF(T_Commission[[#This Row],[COM '#1]]&lt;&gt;"",MAX(T_Commission[[#This Row],[PJ]],T_Commission[[#This Row],[COM '#1]]),"")),"")</f>
        <v/>
      </c>
      <c r="P8" s="55" t="s">
        <v>115</v>
      </c>
      <c r="Q8" s="55" t="s">
        <v>3277</v>
      </c>
      <c r="R8" s="55" t="s">
        <v>3277</v>
      </c>
      <c r="S8" s="56"/>
      <c r="T8" s="144"/>
    </row>
    <row r="9" spans="1:20" s="93" customFormat="1" ht="30" customHeight="1" x14ac:dyDescent="0.25">
      <c r="A9" s="90">
        <v>140</v>
      </c>
      <c r="B9" s="130" t="str">
        <f>IFERROR(IF(VLOOKUP(T_Commission[[#This Row],[NumL]],T_TraitDi[#Data],COLUMN(T_TraitDi[[#This Row],[Statut]]),FALSE)&lt;&gt;"",VLOOKUP(T_Commission[[#This Row],[NumL]],T_TraitDi[#Data],COLUMN(T_TraitDi[[#This Row],[Statut]]),FALSE),""),"")</f>
        <v/>
      </c>
      <c r="C9" s="19" t="str">
        <f>IFERROR(IF(VLOOKUP(T_Commission[[#This Row],[NumL]],T_suiviDi[#Data],COLUMN(T_suiviDi[Nom]),FALSE)&lt;&gt;"",VLOOKUP(T_Commission[[#This Row],[NumL]],T_suiviDi[#Data],COLUMN(T_suiviDi[Nom]),FALSE),""),"")</f>
        <v/>
      </c>
      <c r="D9" s="19" t="str">
        <f>IFERROR(IF(VLOOKUP(T_Commission[[#This Row],[NumL]],T_suiviDi[#Data],COLUMN(T_suiviDi[Prénom]),FALSE)&lt;&gt;"",VLOOKUP(T_Commission[[#This Row],[NumL]],T_suiviDi[#Data],COLUMN(T_suiviDi[Prénom]),FALSE),""),"")</f>
        <v/>
      </c>
      <c r="E9" s="20" t="str">
        <f>IFERROR(IF(VLOOKUP(T_Commission[[#This Row],[NumL]],T_suiviDi[#Data],COLUMN(T_suiviDi[Email]),FALSE)&lt;&gt;"",VLOOKUP(T_Commission[[#This Row],[NumL]],T_suiviDi[#Data],COLUMN(T_suiviDi[Email]),FALSE),""),"")</f>
        <v/>
      </c>
      <c r="F9" s="274" t="str">
        <f>IFERROR(IF(VLOOKUP(T_Commission[[#This Row],[NumL]],T_suiviDi[#Data],COLUMN(T_suiviDi[[#This Row],[Nom1]]),FALSE)&lt;&gt;"",VLOOKUP(T_Commission[[#This Row],[NumL]],T_suiviDi[#Data],COLUMN(T_suiviDi[[#This Row],[Nom1]]),FALSE),""),"")</f>
        <v/>
      </c>
      <c r="G9" s="274" t="str">
        <f>IFERROR(IF(VLOOKUP(T_Commission[[#This Row],[NumL]],T_suiviDi[#Data],COLUMN(T_suiviDi[[#This Row],[Prénom1]]),FALSE)&lt;&gt;"",VLOOKUP(T_Commission[[#This Row],[NumL]],T_suiviDi[#Data],COLUMN(T_suiviDi[[#This Row],[Prénom1]]),FALSE),""),"")</f>
        <v/>
      </c>
      <c r="H9" s="274" t="str">
        <f>IFERROR(IF(VLOOKUP(T_Commission[[#This Row],[NumL]],T_suiviDi[#Data],COLUMN(T_suiviDi[[#This Row],[Email1]]),FALSE)&lt;&gt;"",VLOOKUP(T_Commission[[#This Row],[NumL]],T_suiviDi[#Data],COLUMN(T_suiviDi[[#This Row],[Email1]]),FALSE),""),"")</f>
        <v/>
      </c>
      <c r="I9" s="142" t="str">
        <f>IFERROR(VLOOKUP(T_Commission[[#This Row],[NumL]],T_TraitDi[#Data],COLUMN(T_TraitDi[[#This Row],[CTRL_PJ]]),FALSE),"")</f>
        <v/>
      </c>
      <c r="J9" s="142" t="str">
        <f>IF(T_Commission[[#This Row],[Nom]]&lt;&gt;"",IFERROR(VLOOKUP(T_Commission[[#This Row],[NumL]],T_TraitDi[#Data],COLUMN(T_TraitDi[[#This Row],[C10]]),FALSE),""),"")</f>
        <v/>
      </c>
      <c r="K9" s="142" t="str">
        <f>IFERROR(IF(VLOOKUP(T_Commission[[#This Row],[NumL]],T_suiviDi[#Data],COLUMN(T_suiviDi[[#This Row],[Avis n+1]]),FALSE)&lt;&gt;"",VLOOKUP(A9,T_suiviDi[#Data],COLUMN(T_suiviDi[[#This Row],[Avis n+1]]),FALSE),""),"")</f>
        <v/>
      </c>
      <c r="L9" s="142" t="str">
        <f>IFERROR(IF(VLOOKUP(T_Commission[[#This Row],[NumL]],T_suiviDi[#Data],COLUMN(T_suiviDi[[#This Row],[Avis n+2]]),FALSE)&lt;&gt;"",VLOOKUP(T_Commission[[#This Row],[NumL]],T_suiviDi[#Data],COLUMN(T_suiviDi[[#This Row],[Avis n+2]]),FALSE),""),"")</f>
        <v/>
      </c>
      <c r="M9" s="49">
        <v>1</v>
      </c>
      <c r="N9" s="49"/>
      <c r="O9" s="143" t="str">
        <f>IF(T_Commission[[#This Row],[Nom]]&lt;&gt;"",IF(T_Commission[[#This Row],[COM '#2]]&lt;&gt;"",MAX(T_Commission[[#This Row],[PJ]],T_Commission[[#This Row],[COM '#2]]),IF(T_Commission[[#This Row],[COM '#1]]&lt;&gt;"",MAX(T_Commission[[#This Row],[PJ]],T_Commission[[#This Row],[COM '#1]]),"")),"")</f>
        <v/>
      </c>
      <c r="P9" s="55" t="s">
        <v>115</v>
      </c>
      <c r="Q9" s="55" t="s">
        <v>3277</v>
      </c>
      <c r="R9" s="55" t="s">
        <v>3277</v>
      </c>
      <c r="S9" s="56"/>
      <c r="T9" s="144"/>
    </row>
    <row r="10" spans="1:20" s="93" customFormat="1" ht="30" customHeight="1" x14ac:dyDescent="0.25">
      <c r="A10" s="90">
        <v>185</v>
      </c>
      <c r="B10" s="130" t="str">
        <f>IFERROR(IF(VLOOKUP(T_Commission[[#This Row],[NumL]],T_TraitDi[#Data],COLUMN(T_TraitDi[[#This Row],[Statut]]),FALSE)&lt;&gt;"",VLOOKUP(T_Commission[[#This Row],[NumL]],T_TraitDi[#Data],COLUMN(T_TraitDi[[#This Row],[Statut]]),FALSE),""),"")</f>
        <v/>
      </c>
      <c r="C10" s="19" t="str">
        <f>IFERROR(IF(VLOOKUP(T_Commission[[#This Row],[NumL]],T_suiviDi[#Data],COLUMN(T_suiviDi[Nom]),FALSE)&lt;&gt;"",VLOOKUP(T_Commission[[#This Row],[NumL]],T_suiviDi[#Data],COLUMN(T_suiviDi[Nom]),FALSE),""),"")</f>
        <v/>
      </c>
      <c r="D10" s="19" t="str">
        <f>IFERROR(IF(VLOOKUP(T_Commission[[#This Row],[NumL]],T_suiviDi[#Data],COLUMN(T_suiviDi[Prénom]),FALSE)&lt;&gt;"",VLOOKUP(T_Commission[[#This Row],[NumL]],T_suiviDi[#Data],COLUMN(T_suiviDi[Prénom]),FALSE),""),"")</f>
        <v/>
      </c>
      <c r="E10" s="20" t="str">
        <f>IFERROR(IF(VLOOKUP(T_Commission[[#This Row],[NumL]],T_suiviDi[#Data],COLUMN(T_suiviDi[Email]),FALSE)&lt;&gt;"",VLOOKUP(T_Commission[[#This Row],[NumL]],T_suiviDi[#Data],COLUMN(T_suiviDi[Email]),FALSE),""),"")</f>
        <v/>
      </c>
      <c r="F10" s="274" t="str">
        <f>IFERROR(IF(VLOOKUP(T_Commission[[#This Row],[NumL]],T_suiviDi[#Data],COLUMN(T_suiviDi[[#This Row],[Nom1]]),FALSE)&lt;&gt;"",VLOOKUP(T_Commission[[#This Row],[NumL]],T_suiviDi[#Data],COLUMN(T_suiviDi[[#This Row],[Nom1]]),FALSE),""),"")</f>
        <v/>
      </c>
      <c r="G10" s="274" t="str">
        <f>IFERROR(IF(VLOOKUP(T_Commission[[#This Row],[NumL]],T_suiviDi[#Data],COLUMN(T_suiviDi[[#This Row],[Prénom1]]),FALSE)&lt;&gt;"",VLOOKUP(T_Commission[[#This Row],[NumL]],T_suiviDi[#Data],COLUMN(T_suiviDi[[#This Row],[Prénom1]]),FALSE),""),"")</f>
        <v/>
      </c>
      <c r="H10" s="274" t="str">
        <f>IFERROR(IF(VLOOKUP(T_Commission[[#This Row],[NumL]],T_suiviDi[#Data],COLUMN(T_suiviDi[[#This Row],[Email1]]),FALSE)&lt;&gt;"",VLOOKUP(T_Commission[[#This Row],[NumL]],T_suiviDi[#Data],COLUMN(T_suiviDi[[#This Row],[Email1]]),FALSE),""),"")</f>
        <v/>
      </c>
      <c r="I10" s="142" t="str">
        <f>IFERROR(VLOOKUP(T_Commission[[#This Row],[NumL]],T_TraitDi[#Data],COLUMN(T_TraitDi[[#This Row],[CTRL_PJ]]),FALSE),"")</f>
        <v/>
      </c>
      <c r="J10" s="142" t="str">
        <f>IF(T_Commission[[#This Row],[Nom]]&lt;&gt;"",IFERROR(VLOOKUP(T_Commission[[#This Row],[NumL]],T_TraitDi[#Data],COLUMN(T_TraitDi[[#This Row],[C10]]),FALSE),""),"")</f>
        <v/>
      </c>
      <c r="K10" s="142" t="str">
        <f>IFERROR(IF(VLOOKUP(T_Commission[[#This Row],[NumL]],T_suiviDi[#Data],COLUMN(T_suiviDi[[#This Row],[Avis n+1]]),FALSE)&lt;&gt;"",VLOOKUP(A10,T_suiviDi[#Data],COLUMN(T_suiviDi[[#This Row],[Avis n+1]]),FALSE),""),"")</f>
        <v/>
      </c>
      <c r="L10" s="142" t="str">
        <f>IFERROR(IF(VLOOKUP(T_Commission[[#This Row],[NumL]],T_suiviDi[#Data],COLUMN(T_suiviDi[[#This Row],[Avis n+2]]),FALSE)&lt;&gt;"",VLOOKUP(T_Commission[[#This Row],[NumL]],T_suiviDi[#Data],COLUMN(T_suiviDi[[#This Row],[Avis n+2]]),FALSE),""),"")</f>
        <v/>
      </c>
      <c r="M10" s="49">
        <v>1</v>
      </c>
      <c r="N10" s="49"/>
      <c r="O10" s="143" t="str">
        <f>IF(T_Commission[[#This Row],[Nom]]&lt;&gt;"",IF(T_Commission[[#This Row],[COM '#2]]&lt;&gt;"",MAX(T_Commission[[#This Row],[PJ]],T_Commission[[#This Row],[COM '#2]]),IF(T_Commission[[#This Row],[COM '#1]]&lt;&gt;"",MAX(T_Commission[[#This Row],[PJ]],T_Commission[[#This Row],[COM '#1]]),"")),"")</f>
        <v/>
      </c>
      <c r="P10" s="55" t="s">
        <v>115</v>
      </c>
      <c r="Q10" s="55" t="s">
        <v>3277</v>
      </c>
      <c r="R10" s="55" t="s">
        <v>3277</v>
      </c>
      <c r="S10" s="56"/>
      <c r="T10" s="144"/>
    </row>
    <row r="11" spans="1:20" s="93" customFormat="1" ht="30" customHeight="1" x14ac:dyDescent="0.25">
      <c r="A11" s="90">
        <v>89</v>
      </c>
      <c r="B11" s="130" t="str">
        <f>IFERROR(IF(VLOOKUP(T_Commission[[#This Row],[NumL]],T_TraitDi[#Data],COLUMN(T_TraitDi[[#This Row],[Statut]]),FALSE)&lt;&gt;"",VLOOKUP(T_Commission[[#This Row],[NumL]],T_TraitDi[#Data],COLUMN(T_TraitDi[[#This Row],[Statut]]),FALSE),""),"")</f>
        <v/>
      </c>
      <c r="C11" s="19" t="str">
        <f>IFERROR(IF(VLOOKUP(T_Commission[[#This Row],[NumL]],T_suiviDi[#Data],COLUMN(T_suiviDi[Nom]),FALSE)&lt;&gt;"",VLOOKUP(T_Commission[[#This Row],[NumL]],T_suiviDi[#Data],COLUMN(T_suiviDi[Nom]),FALSE),""),"")</f>
        <v/>
      </c>
      <c r="D11" s="19" t="str">
        <f>IFERROR(IF(VLOOKUP(T_Commission[[#This Row],[NumL]],T_suiviDi[#Data],COLUMN(T_suiviDi[Prénom]),FALSE)&lt;&gt;"",VLOOKUP(T_Commission[[#This Row],[NumL]],T_suiviDi[#Data],COLUMN(T_suiviDi[Prénom]),FALSE),""),"")</f>
        <v/>
      </c>
      <c r="E11" s="20" t="str">
        <f>IFERROR(IF(VLOOKUP(T_Commission[[#This Row],[NumL]],T_suiviDi[#Data],COLUMN(T_suiviDi[Email]),FALSE)&lt;&gt;"",VLOOKUP(T_Commission[[#This Row],[NumL]],T_suiviDi[#Data],COLUMN(T_suiviDi[Email]),FALSE),""),"")</f>
        <v/>
      </c>
      <c r="F11" s="274" t="str">
        <f>IFERROR(IF(VLOOKUP(T_Commission[[#This Row],[NumL]],T_suiviDi[#Data],COLUMN(T_suiviDi[[#This Row],[Nom1]]),FALSE)&lt;&gt;"",VLOOKUP(T_Commission[[#This Row],[NumL]],T_suiviDi[#Data],COLUMN(T_suiviDi[[#This Row],[Nom1]]),FALSE),""),"")</f>
        <v/>
      </c>
      <c r="G11" s="274" t="str">
        <f>IFERROR(IF(VLOOKUP(T_Commission[[#This Row],[NumL]],T_suiviDi[#Data],COLUMN(T_suiviDi[[#This Row],[Prénom1]]),FALSE)&lt;&gt;"",VLOOKUP(T_Commission[[#This Row],[NumL]],T_suiviDi[#Data],COLUMN(T_suiviDi[[#This Row],[Prénom1]]),FALSE),""),"")</f>
        <v/>
      </c>
      <c r="H11" s="274" t="str">
        <f>IFERROR(IF(VLOOKUP(T_Commission[[#This Row],[NumL]],T_suiviDi[#Data],COLUMN(T_suiviDi[[#This Row],[Email1]]),FALSE)&lt;&gt;"",VLOOKUP(T_Commission[[#This Row],[NumL]],T_suiviDi[#Data],COLUMN(T_suiviDi[[#This Row],[Email1]]),FALSE),""),"")</f>
        <v/>
      </c>
      <c r="I11" s="142" t="str">
        <f>IFERROR(VLOOKUP(T_Commission[[#This Row],[NumL]],T_TraitDi[#Data],COLUMN(T_TraitDi[[#This Row],[CTRL_PJ]]),FALSE),"")</f>
        <v/>
      </c>
      <c r="J11" s="142" t="str">
        <f>IF(T_Commission[[#This Row],[Nom]]&lt;&gt;"",IFERROR(VLOOKUP(T_Commission[[#This Row],[NumL]],T_TraitDi[#Data],COLUMN(T_TraitDi[[#This Row],[C10]]),FALSE),""),"")</f>
        <v/>
      </c>
      <c r="K11" s="142" t="str">
        <f>IFERROR(IF(VLOOKUP(T_Commission[[#This Row],[NumL]],T_suiviDi[#Data],COLUMN(T_suiviDi[[#This Row],[Avis n+1]]),FALSE)&lt;&gt;"",VLOOKUP(A11,T_suiviDi[#Data],COLUMN(T_suiviDi[[#This Row],[Avis n+1]]),FALSE),""),"")</f>
        <v/>
      </c>
      <c r="L11" s="142" t="str">
        <f>IFERROR(IF(VLOOKUP(T_Commission[[#This Row],[NumL]],T_suiviDi[#Data],COLUMN(T_suiviDi[[#This Row],[Avis n+2]]),FALSE)&lt;&gt;"",VLOOKUP(T_Commission[[#This Row],[NumL]],T_suiviDi[#Data],COLUMN(T_suiviDi[[#This Row],[Avis n+2]]),FALSE),""),"")</f>
        <v/>
      </c>
      <c r="M11" s="49">
        <v>1</v>
      </c>
      <c r="N11" s="49"/>
      <c r="O11" s="143" t="str">
        <f>IF(T_Commission[[#This Row],[Nom]]&lt;&gt;"",IF(T_Commission[[#This Row],[COM '#2]]&lt;&gt;"",MAX(T_Commission[[#This Row],[PJ]],T_Commission[[#This Row],[COM '#2]]),IF(T_Commission[[#This Row],[COM '#1]]&lt;&gt;"",MAX(T_Commission[[#This Row],[PJ]],T_Commission[[#This Row],[COM '#1]]),"")),"")</f>
        <v/>
      </c>
      <c r="P11" s="55" t="s">
        <v>115</v>
      </c>
      <c r="Q11" s="55" t="s">
        <v>3277</v>
      </c>
      <c r="R11" s="55"/>
      <c r="S11" s="56"/>
      <c r="T11" s="144"/>
    </row>
    <row r="12" spans="1:20" s="93" customFormat="1" ht="30" customHeight="1" x14ac:dyDescent="0.25">
      <c r="A12" s="90">
        <v>235</v>
      </c>
      <c r="B12" s="130" t="str">
        <f>IFERROR(IF(VLOOKUP(T_Commission[[#This Row],[NumL]],T_TraitDi[#Data],COLUMN(T_TraitDi[[#This Row],[Statut]]),FALSE)&lt;&gt;"",VLOOKUP(T_Commission[[#This Row],[NumL]],T_TraitDi[#Data],COLUMN(T_TraitDi[[#This Row],[Statut]]),FALSE),""),"")</f>
        <v/>
      </c>
      <c r="C12" s="19" t="str">
        <f>IFERROR(IF(VLOOKUP(T_Commission[[#This Row],[NumL]],T_suiviDi[#Data],COLUMN(T_suiviDi[Nom]),FALSE)&lt;&gt;"",VLOOKUP(T_Commission[[#This Row],[NumL]],T_suiviDi[#Data],COLUMN(T_suiviDi[Nom]),FALSE),""),"")</f>
        <v/>
      </c>
      <c r="D12" s="19" t="str">
        <f>IFERROR(IF(VLOOKUP(T_Commission[[#This Row],[NumL]],T_suiviDi[#Data],COLUMN(T_suiviDi[Prénom]),FALSE)&lt;&gt;"",VLOOKUP(T_Commission[[#This Row],[NumL]],T_suiviDi[#Data],COLUMN(T_suiviDi[Prénom]),FALSE),""),"")</f>
        <v/>
      </c>
      <c r="E12" s="20" t="str">
        <f>IFERROR(IF(VLOOKUP(T_Commission[[#This Row],[NumL]],T_suiviDi[#Data],COLUMN(T_suiviDi[Email]),FALSE)&lt;&gt;"",VLOOKUP(T_Commission[[#This Row],[NumL]],T_suiviDi[#Data],COLUMN(T_suiviDi[Email]),FALSE),""),"")</f>
        <v/>
      </c>
      <c r="F12" s="274" t="str">
        <f>IFERROR(IF(VLOOKUP(T_Commission[[#This Row],[NumL]],T_suiviDi[#Data],COLUMN(T_suiviDi[[#This Row],[Nom1]]),FALSE)&lt;&gt;"",VLOOKUP(T_Commission[[#This Row],[NumL]],T_suiviDi[#Data],COLUMN(T_suiviDi[[#This Row],[Nom1]]),FALSE),""),"")</f>
        <v/>
      </c>
      <c r="G12" s="274" t="str">
        <f>IFERROR(IF(VLOOKUP(T_Commission[[#This Row],[NumL]],T_suiviDi[#Data],COLUMN(T_suiviDi[[#This Row],[Prénom1]]),FALSE)&lt;&gt;"",VLOOKUP(T_Commission[[#This Row],[NumL]],T_suiviDi[#Data],COLUMN(T_suiviDi[[#This Row],[Prénom1]]),FALSE),""),"")</f>
        <v/>
      </c>
      <c r="H12" s="274" t="str">
        <f>IFERROR(IF(VLOOKUP(T_Commission[[#This Row],[NumL]],T_suiviDi[#Data],COLUMN(T_suiviDi[[#This Row],[Email1]]),FALSE)&lt;&gt;"",VLOOKUP(T_Commission[[#This Row],[NumL]],T_suiviDi[#Data],COLUMN(T_suiviDi[[#This Row],[Email1]]),FALSE),""),"")</f>
        <v/>
      </c>
      <c r="I12" s="142" t="str">
        <f>IFERROR(VLOOKUP(T_Commission[[#This Row],[NumL]],T_TraitDi[#Data],COLUMN(T_TraitDi[[#This Row],[CTRL_PJ]]),FALSE),"")</f>
        <v/>
      </c>
      <c r="J12" s="142" t="str">
        <f>IF(T_Commission[[#This Row],[Nom]]&lt;&gt;"",IFERROR(VLOOKUP(T_Commission[[#This Row],[NumL]],T_TraitDi[#Data],COLUMN(T_TraitDi[[#This Row],[C10]]),FALSE),""),"")</f>
        <v/>
      </c>
      <c r="K12" s="142" t="str">
        <f>IFERROR(IF(VLOOKUP(T_Commission[[#This Row],[NumL]],T_suiviDi[#Data],COLUMN(T_suiviDi[[#This Row],[Avis n+1]]),FALSE)&lt;&gt;"",VLOOKUP(A12,T_suiviDi[#Data],COLUMN(T_suiviDi[[#This Row],[Avis n+1]]),FALSE),""),"")</f>
        <v/>
      </c>
      <c r="L12" s="142" t="str">
        <f>IFERROR(IF(VLOOKUP(T_Commission[[#This Row],[NumL]],T_suiviDi[#Data],COLUMN(T_suiviDi[[#This Row],[Avis n+2]]),FALSE)&lt;&gt;"",VLOOKUP(T_Commission[[#This Row],[NumL]],T_suiviDi[#Data],COLUMN(T_suiviDi[[#This Row],[Avis n+2]]),FALSE),""),"")</f>
        <v/>
      </c>
      <c r="M12" s="49">
        <v>1</v>
      </c>
      <c r="N12" s="49"/>
      <c r="O12" s="143" t="str">
        <f>IF(T_Commission[[#This Row],[Nom]]&lt;&gt;"",IF(T_Commission[[#This Row],[COM '#2]]&lt;&gt;"",MAX(T_Commission[[#This Row],[PJ]],T_Commission[[#This Row],[COM '#2]]),IF(T_Commission[[#This Row],[COM '#1]]&lt;&gt;"",MAX(T_Commission[[#This Row],[PJ]],T_Commission[[#This Row],[COM '#1]]),"")),"")</f>
        <v/>
      </c>
      <c r="P12" s="55" t="s">
        <v>115</v>
      </c>
      <c r="Q12" s="55" t="s">
        <v>3277</v>
      </c>
      <c r="R12" s="55"/>
      <c r="S12" s="56"/>
      <c r="T12" s="144"/>
    </row>
    <row r="13" spans="1:20" s="93" customFormat="1" ht="30" customHeight="1" x14ac:dyDescent="0.25">
      <c r="A13" s="90">
        <v>70</v>
      </c>
      <c r="B13" s="130" t="str">
        <f>IFERROR(IF(VLOOKUP(T_Commission[[#This Row],[NumL]],T_TraitDi[#Data],COLUMN(T_TraitDi[[#This Row],[Statut]]),FALSE)&lt;&gt;"",VLOOKUP(T_Commission[[#This Row],[NumL]],T_TraitDi[#Data],COLUMN(T_TraitDi[[#This Row],[Statut]]),FALSE),""),"")</f>
        <v/>
      </c>
      <c r="C13" s="19" t="str">
        <f>IFERROR(IF(VLOOKUP(T_Commission[[#This Row],[NumL]],T_suiviDi[#Data],COLUMN(T_suiviDi[Nom]),FALSE)&lt;&gt;"",VLOOKUP(T_Commission[[#This Row],[NumL]],T_suiviDi[#Data],COLUMN(T_suiviDi[Nom]),FALSE),""),"")</f>
        <v/>
      </c>
      <c r="D13" s="19" t="str">
        <f>IFERROR(IF(VLOOKUP(T_Commission[[#This Row],[NumL]],T_suiviDi[#Data],COLUMN(T_suiviDi[Prénom]),FALSE)&lt;&gt;"",VLOOKUP(T_Commission[[#This Row],[NumL]],T_suiviDi[#Data],COLUMN(T_suiviDi[Prénom]),FALSE),""),"")</f>
        <v/>
      </c>
      <c r="E13" s="20" t="str">
        <f>IFERROR(IF(VLOOKUP(T_Commission[[#This Row],[NumL]],T_suiviDi[#Data],COLUMN(T_suiviDi[Email]),FALSE)&lt;&gt;"",VLOOKUP(T_Commission[[#This Row],[NumL]],T_suiviDi[#Data],COLUMN(T_suiviDi[Email]),FALSE),""),"")</f>
        <v/>
      </c>
      <c r="F13" s="274" t="str">
        <f>IFERROR(IF(VLOOKUP(T_Commission[[#This Row],[NumL]],T_suiviDi[#Data],COLUMN(T_suiviDi[[#This Row],[Nom1]]),FALSE)&lt;&gt;"",VLOOKUP(T_Commission[[#This Row],[NumL]],T_suiviDi[#Data],COLUMN(T_suiviDi[[#This Row],[Nom1]]),FALSE),""),"")</f>
        <v/>
      </c>
      <c r="G13" s="274" t="str">
        <f>IFERROR(IF(VLOOKUP(T_Commission[[#This Row],[NumL]],T_suiviDi[#Data],COLUMN(T_suiviDi[[#This Row],[Prénom1]]),FALSE)&lt;&gt;"",VLOOKUP(T_Commission[[#This Row],[NumL]],T_suiviDi[#Data],COLUMN(T_suiviDi[[#This Row],[Prénom1]]),FALSE),""),"")</f>
        <v/>
      </c>
      <c r="H13" s="274" t="str">
        <f>IFERROR(IF(VLOOKUP(T_Commission[[#This Row],[NumL]],T_suiviDi[#Data],COLUMN(T_suiviDi[[#This Row],[Email1]]),FALSE)&lt;&gt;"",VLOOKUP(T_Commission[[#This Row],[NumL]],T_suiviDi[#Data],COLUMN(T_suiviDi[[#This Row],[Email1]]),FALSE),""),"")</f>
        <v/>
      </c>
      <c r="I13" s="142" t="str">
        <f>IFERROR(VLOOKUP(T_Commission[[#This Row],[NumL]],T_TraitDi[#Data],COLUMN(T_TraitDi[[#This Row],[CTRL_PJ]]),FALSE),"")</f>
        <v/>
      </c>
      <c r="J13" s="142" t="str">
        <f>IF(T_Commission[[#This Row],[Nom]]&lt;&gt;"",IFERROR(VLOOKUP(T_Commission[[#This Row],[NumL]],T_TraitDi[#Data],COLUMN(T_TraitDi[[#This Row],[C10]]),FALSE),""),"")</f>
        <v/>
      </c>
      <c r="K13" s="142" t="str">
        <f>IFERROR(IF(VLOOKUP(T_Commission[[#This Row],[NumL]],T_suiviDi[#Data],COLUMN(T_suiviDi[[#This Row],[Avis n+1]]),FALSE)&lt;&gt;"",VLOOKUP(A13,T_suiviDi[#Data],COLUMN(T_suiviDi[[#This Row],[Avis n+1]]),FALSE),""),"")</f>
        <v/>
      </c>
      <c r="L13" s="142" t="str">
        <f>IFERROR(IF(VLOOKUP(T_Commission[[#This Row],[NumL]],T_suiviDi[#Data],COLUMN(T_suiviDi[[#This Row],[Avis n+2]]),FALSE)&lt;&gt;"",VLOOKUP(T_Commission[[#This Row],[NumL]],T_suiviDi[#Data],COLUMN(T_suiviDi[[#This Row],[Avis n+2]]),FALSE),""),"")</f>
        <v/>
      </c>
      <c r="M13" s="49">
        <v>1</v>
      </c>
      <c r="N13" s="49"/>
      <c r="O13" s="143" t="str">
        <f>IF(T_Commission[[#This Row],[Nom]]&lt;&gt;"",IF(T_Commission[[#This Row],[COM '#2]]&lt;&gt;"",MAX(T_Commission[[#This Row],[PJ]],T_Commission[[#This Row],[COM '#2]]),IF(T_Commission[[#This Row],[COM '#1]]&lt;&gt;"",MAX(T_Commission[[#This Row],[PJ]],T_Commission[[#This Row],[COM '#1]]),"")),"")</f>
        <v/>
      </c>
      <c r="P13" s="55" t="s">
        <v>115</v>
      </c>
      <c r="Q13" s="55" t="s">
        <v>3277</v>
      </c>
      <c r="R13" s="55" t="s">
        <v>3277</v>
      </c>
      <c r="S13" s="56"/>
      <c r="T13" s="144"/>
    </row>
    <row r="14" spans="1:20" s="93" customFormat="1" ht="30" customHeight="1" x14ac:dyDescent="0.25">
      <c r="A14" s="90">
        <v>94</v>
      </c>
      <c r="B14" s="130" t="str">
        <f>IFERROR(IF(VLOOKUP(T_Commission[[#This Row],[NumL]],T_TraitDi[#Data],COLUMN(T_TraitDi[[#This Row],[Statut]]),FALSE)&lt;&gt;"",VLOOKUP(T_Commission[[#This Row],[NumL]],T_TraitDi[#Data],COLUMN(T_TraitDi[[#This Row],[Statut]]),FALSE),""),"")</f>
        <v/>
      </c>
      <c r="C14" s="19" t="str">
        <f>IFERROR(IF(VLOOKUP(T_Commission[[#This Row],[NumL]],T_suiviDi[#Data],COLUMN(T_suiviDi[Nom]),FALSE)&lt;&gt;"",VLOOKUP(T_Commission[[#This Row],[NumL]],T_suiviDi[#Data],COLUMN(T_suiviDi[Nom]),FALSE),""),"")</f>
        <v/>
      </c>
      <c r="D14" s="19" t="str">
        <f>IFERROR(IF(VLOOKUP(T_Commission[[#This Row],[NumL]],T_suiviDi[#Data],COLUMN(T_suiviDi[Prénom]),FALSE)&lt;&gt;"",VLOOKUP(T_Commission[[#This Row],[NumL]],T_suiviDi[#Data],COLUMN(T_suiviDi[Prénom]),FALSE),""),"")</f>
        <v/>
      </c>
      <c r="E14" s="20" t="str">
        <f>IFERROR(IF(VLOOKUP(T_Commission[[#This Row],[NumL]],T_suiviDi[#Data],COLUMN(T_suiviDi[Email]),FALSE)&lt;&gt;"",VLOOKUP(T_Commission[[#This Row],[NumL]],T_suiviDi[#Data],COLUMN(T_suiviDi[Email]),FALSE),""),"")</f>
        <v/>
      </c>
      <c r="F14" s="274" t="str">
        <f>IFERROR(IF(VLOOKUP(T_Commission[[#This Row],[NumL]],T_suiviDi[#Data],COLUMN(T_suiviDi[[#This Row],[Nom1]]),FALSE)&lt;&gt;"",VLOOKUP(T_Commission[[#This Row],[NumL]],T_suiviDi[#Data],COLUMN(T_suiviDi[[#This Row],[Nom1]]),FALSE),""),"")</f>
        <v/>
      </c>
      <c r="G14" s="274" t="str">
        <f>IFERROR(IF(VLOOKUP(T_Commission[[#This Row],[NumL]],T_suiviDi[#Data],COLUMN(T_suiviDi[[#This Row],[Prénom1]]),FALSE)&lt;&gt;"",VLOOKUP(T_Commission[[#This Row],[NumL]],T_suiviDi[#Data],COLUMN(T_suiviDi[[#This Row],[Prénom1]]),FALSE),""),"")</f>
        <v/>
      </c>
      <c r="H14" s="274" t="str">
        <f>IFERROR(IF(VLOOKUP(T_Commission[[#This Row],[NumL]],T_suiviDi[#Data],COLUMN(T_suiviDi[[#This Row],[Email1]]),FALSE)&lt;&gt;"",VLOOKUP(T_Commission[[#This Row],[NumL]],T_suiviDi[#Data],COLUMN(T_suiviDi[[#This Row],[Email1]]),FALSE),""),"")</f>
        <v/>
      </c>
      <c r="I14" s="142" t="str">
        <f>IFERROR(VLOOKUP(T_Commission[[#This Row],[NumL]],T_TraitDi[#Data],COLUMN(T_TraitDi[[#This Row],[CTRL_PJ]]),FALSE),"")</f>
        <v/>
      </c>
      <c r="J14" s="142" t="str">
        <f>IF(T_Commission[[#This Row],[Nom]]&lt;&gt;"",IFERROR(VLOOKUP(T_Commission[[#This Row],[NumL]],T_TraitDi[#Data],COLUMN(T_TraitDi[[#This Row],[C10]]),FALSE),""),"")</f>
        <v/>
      </c>
      <c r="K14" s="142" t="str">
        <f>IFERROR(IF(VLOOKUP(T_Commission[[#This Row],[NumL]],T_suiviDi[#Data],COLUMN(T_suiviDi[[#This Row],[Avis n+1]]),FALSE)&lt;&gt;"",VLOOKUP(A14,T_suiviDi[#Data],COLUMN(T_suiviDi[[#This Row],[Avis n+1]]),FALSE),""),"")</f>
        <v/>
      </c>
      <c r="L14" s="142" t="str">
        <f>IFERROR(IF(VLOOKUP(T_Commission[[#This Row],[NumL]],T_suiviDi[#Data],COLUMN(T_suiviDi[[#This Row],[Avis n+2]]),FALSE)&lt;&gt;"",VLOOKUP(T_Commission[[#This Row],[NumL]],T_suiviDi[#Data],COLUMN(T_suiviDi[[#This Row],[Avis n+2]]),FALSE),""),"")</f>
        <v/>
      </c>
      <c r="M14" s="49">
        <v>1</v>
      </c>
      <c r="N14" s="49"/>
      <c r="O14" s="143" t="str">
        <f>IF(T_Commission[[#This Row],[Nom]]&lt;&gt;"",IF(T_Commission[[#This Row],[COM '#2]]&lt;&gt;"",MAX(T_Commission[[#This Row],[PJ]],T_Commission[[#This Row],[COM '#2]]),IF(T_Commission[[#This Row],[COM '#1]]&lt;&gt;"",MAX(T_Commission[[#This Row],[PJ]],T_Commission[[#This Row],[COM '#1]]),"")),"")</f>
        <v/>
      </c>
      <c r="P14" s="55" t="s">
        <v>115</v>
      </c>
      <c r="Q14" s="55" t="s">
        <v>3277</v>
      </c>
      <c r="R14" s="55"/>
      <c r="S14" s="56"/>
      <c r="T14" s="144"/>
    </row>
    <row r="15" spans="1:20" s="93" customFormat="1" ht="30" customHeight="1" x14ac:dyDescent="0.25">
      <c r="A15" s="90">
        <v>7</v>
      </c>
      <c r="B15" s="130" t="str">
        <f>IFERROR(IF(VLOOKUP(T_Commission[[#This Row],[NumL]],T_TraitDi[#Data],COLUMN(T_TraitDi[[#This Row],[Statut]]),FALSE)&lt;&gt;"",VLOOKUP(T_Commission[[#This Row],[NumL]],T_TraitDi[#Data],COLUMN(T_TraitDi[[#This Row],[Statut]]),FALSE),""),"")</f>
        <v/>
      </c>
      <c r="C15" s="19" t="str">
        <f>IFERROR(IF(VLOOKUP(T_Commission[[#This Row],[NumL]],T_suiviDi[#Data],COLUMN(T_suiviDi[Nom]),FALSE)&lt;&gt;"",VLOOKUP(T_Commission[[#This Row],[NumL]],T_suiviDi[#Data],COLUMN(T_suiviDi[Nom]),FALSE),""),"")</f>
        <v/>
      </c>
      <c r="D15" s="19" t="str">
        <f>IFERROR(IF(VLOOKUP(T_Commission[[#This Row],[NumL]],T_suiviDi[#Data],COLUMN(T_suiviDi[Prénom]),FALSE)&lt;&gt;"",VLOOKUP(T_Commission[[#This Row],[NumL]],T_suiviDi[#Data],COLUMN(T_suiviDi[Prénom]),FALSE),""),"")</f>
        <v/>
      </c>
      <c r="E15" s="20" t="str">
        <f>IFERROR(IF(VLOOKUP(T_Commission[[#This Row],[NumL]],T_suiviDi[#Data],COLUMN(T_suiviDi[Email]),FALSE)&lt;&gt;"",VLOOKUP(T_Commission[[#This Row],[NumL]],T_suiviDi[#Data],COLUMN(T_suiviDi[Email]),FALSE),""),"")</f>
        <v/>
      </c>
      <c r="F15" s="274" t="str">
        <f>IFERROR(IF(VLOOKUP(T_Commission[[#This Row],[NumL]],T_suiviDi[#Data],COLUMN(T_suiviDi[[#This Row],[Nom1]]),FALSE)&lt;&gt;"",VLOOKUP(T_Commission[[#This Row],[NumL]],T_suiviDi[#Data],COLUMN(T_suiviDi[[#This Row],[Nom1]]),FALSE),""),"")</f>
        <v/>
      </c>
      <c r="G15" s="274" t="str">
        <f>IFERROR(IF(VLOOKUP(T_Commission[[#This Row],[NumL]],T_suiviDi[#Data],COLUMN(T_suiviDi[[#This Row],[Prénom1]]),FALSE)&lt;&gt;"",VLOOKUP(T_Commission[[#This Row],[NumL]],T_suiviDi[#Data],COLUMN(T_suiviDi[[#This Row],[Prénom1]]),FALSE),""),"")</f>
        <v/>
      </c>
      <c r="H15" s="274" t="str">
        <f>IFERROR(IF(VLOOKUP(T_Commission[[#This Row],[NumL]],T_suiviDi[#Data],COLUMN(T_suiviDi[[#This Row],[Email1]]),FALSE)&lt;&gt;"",VLOOKUP(T_Commission[[#This Row],[NumL]],T_suiviDi[#Data],COLUMN(T_suiviDi[[#This Row],[Email1]]),FALSE),""),"")</f>
        <v/>
      </c>
      <c r="I15" s="142" t="str">
        <f>IFERROR(VLOOKUP(T_Commission[[#This Row],[NumL]],T_TraitDi[#Data],COLUMN(T_TraitDi[[#This Row],[CTRL_PJ]]),FALSE),"")</f>
        <v/>
      </c>
      <c r="J15" s="142" t="str">
        <f>IF(T_Commission[[#This Row],[Nom]]&lt;&gt;"",IFERROR(VLOOKUP(T_Commission[[#This Row],[NumL]],T_TraitDi[#Data],COLUMN(T_TraitDi[[#This Row],[C10]]),FALSE),""),"")</f>
        <v/>
      </c>
      <c r="K15" s="142" t="str">
        <f>IFERROR(IF(VLOOKUP(T_Commission[[#This Row],[NumL]],T_suiviDi[#Data],COLUMN(T_suiviDi[[#This Row],[Avis n+1]]),FALSE)&lt;&gt;"",VLOOKUP(A15,T_suiviDi[#Data],COLUMN(T_suiviDi[[#This Row],[Avis n+1]]),FALSE),""),"")</f>
        <v/>
      </c>
      <c r="L15" s="142" t="str">
        <f>IFERROR(IF(VLOOKUP(T_Commission[[#This Row],[NumL]],T_suiviDi[#Data],COLUMN(T_suiviDi[[#This Row],[Avis n+2]]),FALSE)&lt;&gt;"",VLOOKUP(T_Commission[[#This Row],[NumL]],T_suiviDi[#Data],COLUMN(T_suiviDi[[#This Row],[Avis n+2]]),FALSE),""),"")</f>
        <v/>
      </c>
      <c r="M15" s="49">
        <v>1</v>
      </c>
      <c r="N15" s="49"/>
      <c r="O15" s="143" t="str">
        <f>IF(T_Commission[[#This Row],[Nom]]&lt;&gt;"",IF(T_Commission[[#This Row],[COM '#2]]&lt;&gt;"",MAX(T_Commission[[#This Row],[PJ]],T_Commission[[#This Row],[COM '#2]]),IF(T_Commission[[#This Row],[COM '#1]]&lt;&gt;"",MAX(T_Commission[[#This Row],[PJ]],T_Commission[[#This Row],[COM '#1]]),"")),"")</f>
        <v/>
      </c>
      <c r="P15" s="55" t="s">
        <v>115</v>
      </c>
      <c r="Q15" s="55" t="s">
        <v>3277</v>
      </c>
      <c r="R15" s="55" t="s">
        <v>3277</v>
      </c>
      <c r="S15" s="56"/>
      <c r="T15" s="144"/>
    </row>
    <row r="16" spans="1:20" s="93" customFormat="1" ht="30" customHeight="1" x14ac:dyDescent="0.25">
      <c r="A16" s="90">
        <v>316</v>
      </c>
      <c r="B16" s="130" t="str">
        <f>IFERROR(IF(VLOOKUP(T_Commission[[#This Row],[NumL]],T_TraitDi[#Data],COLUMN(T_TraitDi[[#This Row],[Statut]]),FALSE)&lt;&gt;"",VLOOKUP(T_Commission[[#This Row],[NumL]],T_TraitDi[#Data],COLUMN(T_TraitDi[[#This Row],[Statut]]),FALSE),""),"")</f>
        <v/>
      </c>
      <c r="C16" s="139" t="str">
        <f>IFERROR(IF(VLOOKUP(T_Commission[[#This Row],[NumL]],T_suiviDi[#Data],COLUMN(T_suiviDi[[#This Row],[Nom]]),FALSE)&lt;&gt;"",VLOOKUP(T_Commission[[#This Row],[NumL]],T_suiviDi[#Data],COLUMN(T_suiviDi[[#This Row],[Nom]]),FALSE),""),"")</f>
        <v/>
      </c>
      <c r="D16" s="139" t="str">
        <f>IFERROR(IF(VLOOKUP(T_Commission[[#This Row],[NumL]],T_suiviDi[#Data],COLUMN(T_suiviDi[[#This Row],[Prénom]]),FALSE)&lt;&gt;"",VLOOKUP(T_Commission[[#This Row],[NumL]],T_suiviDi[#Data],COLUMN(T_suiviDi[[#This Row],[Prénom]]),FALSE),""),"")</f>
        <v/>
      </c>
      <c r="E16" s="140" t="str">
        <f>IFERROR(IF(VLOOKUP(T_Commission[[#This Row],[NumL]],T_suiviDi[#Data],COLUMN(T_suiviDi[[#This Row],[Email]]),FALSE)&lt;&gt;"",VLOOKUP(T_Commission[[#This Row],[NumL]],T_suiviDi[#Data],COLUMN(T_suiviDi[[#This Row],[Email]]),FALSE),""),"")</f>
        <v/>
      </c>
      <c r="F16" s="141" t="str">
        <f>IFERROR(IF(VLOOKUP(T_Commission[[#This Row],[NumL]],T_suiviDi[#Data],COLUMN(T_suiviDi[[#This Row],[Nom1]]),FALSE)&lt;&gt;"",VLOOKUP(T_Commission[[#This Row],[NumL]],T_suiviDi[#Data],COLUMN(T_suiviDi[[#This Row],[Nom1]]),FALSE),""),"")</f>
        <v/>
      </c>
      <c r="G16" s="141" t="str">
        <f>IFERROR(IF(VLOOKUP(T_Commission[[#This Row],[NumL]],T_suiviDi[#Data],COLUMN(T_suiviDi[[#This Row],[Prénom1]]),FALSE)&lt;&gt;"",VLOOKUP(T_Commission[[#This Row],[NumL]],T_suiviDi[#Data],COLUMN(T_suiviDi[[#This Row],[Prénom1]]),FALSE),""),"")</f>
        <v/>
      </c>
      <c r="H16" s="141" t="str">
        <f>IFERROR(IF(VLOOKUP(T_Commission[[#This Row],[NumL]],T_suiviDi[#Data],COLUMN(T_suiviDi[[#This Row],[Email1]]),FALSE)&lt;&gt;"",VLOOKUP(T_Commission[[#This Row],[NumL]],T_suiviDi[#Data],COLUMN(T_suiviDi[[#This Row],[Email1]]),FALSE),""),"")</f>
        <v/>
      </c>
      <c r="I16" s="142" t="str">
        <f>IFERROR(VLOOKUP(T_Commission[[#This Row],[NumL]],T_TraitDi[#Data],COLUMN(T_TraitDi[[#This Row],[CTRL_PJ]]),FALSE),"")</f>
        <v/>
      </c>
      <c r="J16" s="142" t="str">
        <f>IF(C16&lt;&gt;"",IFERROR(VLOOKUP(A16,'2- Traitement des DI'!BV32,FALSE),""),"")</f>
        <v/>
      </c>
      <c r="K16" s="142" t="str">
        <f>IFERROR(IF(VLOOKUP(T_Commission[[#This Row],[NumL]],T_suiviDi[#Data],COLUMN(T_suiviDi[[#This Row],[Avis n+1]]),FALSE)&lt;&gt;"",VLOOKUP(A16,T_suiviDi[#Data],COLUMN(T_suiviDi[[#This Row],[Avis n+1]]),FALSE),""),"")</f>
        <v/>
      </c>
      <c r="L16" s="142" t="str">
        <f>IFERROR(IF(VLOOKUP(A16,ListeDI,27,FALSE)&lt;&gt;"",VLOOKUP(A16,ListeDI,27,FALSE),""),"")</f>
        <v/>
      </c>
      <c r="M16" s="49">
        <v>1</v>
      </c>
      <c r="N16" s="49"/>
      <c r="O16" s="143" t="str">
        <f>IF(C16&lt;&gt;"",IF(N16&lt;&gt;"",MAX(I16,N16),IF(M16&lt;&gt;"",MAX(I16,M16),"")),"")</f>
        <v/>
      </c>
      <c r="P16" s="55" t="s">
        <v>115</v>
      </c>
      <c r="Q16" s="55" t="s">
        <v>3277</v>
      </c>
      <c r="R16" s="55" t="s">
        <v>3277</v>
      </c>
      <c r="S16" s="56"/>
      <c r="T16" s="144"/>
    </row>
    <row r="17" spans="1:20" s="93" customFormat="1" ht="30" customHeight="1" x14ac:dyDescent="0.25">
      <c r="A17" s="90">
        <v>150</v>
      </c>
      <c r="B17" s="130" t="str">
        <f>IFERROR(IF(VLOOKUP(T_Commission[[#This Row],[NumL]],T_TraitDi[#Data],COLUMN(T_TraitDi[[#This Row],[Statut]]),FALSE)&lt;&gt;"",VLOOKUP(T_Commission[[#This Row],[NumL]],T_TraitDi[#Data],COLUMN(T_TraitDi[[#This Row],[Statut]]),FALSE),""),"")</f>
        <v/>
      </c>
      <c r="C17" s="19" t="str">
        <f>IFERROR(IF(VLOOKUP(T_Commission[[#This Row],[NumL]],T_suiviDi[#Data],COLUMN(T_suiviDi[Nom]),FALSE)&lt;&gt;"",VLOOKUP(T_Commission[[#This Row],[NumL]],T_suiviDi[#Data],COLUMN(T_suiviDi[Nom]),FALSE),""),"")</f>
        <v/>
      </c>
      <c r="D17" s="19" t="str">
        <f>IFERROR(IF(VLOOKUP(T_Commission[[#This Row],[NumL]],T_suiviDi[#Data],COLUMN(T_suiviDi[Prénom]),FALSE)&lt;&gt;"",VLOOKUP(T_Commission[[#This Row],[NumL]],T_suiviDi[#Data],COLUMN(T_suiviDi[Prénom]),FALSE),""),"")</f>
        <v/>
      </c>
      <c r="E17" s="20" t="str">
        <f>IFERROR(IF(VLOOKUP(T_Commission[[#This Row],[NumL]],T_suiviDi[#Data],COLUMN(T_suiviDi[Email]),FALSE)&lt;&gt;"",VLOOKUP(T_Commission[[#This Row],[NumL]],T_suiviDi[#Data],COLUMN(T_suiviDi[Email]),FALSE),""),"")</f>
        <v/>
      </c>
      <c r="F17" s="274" t="str">
        <f>IFERROR(IF(VLOOKUP(T_Commission[[#This Row],[NumL]],T_suiviDi[#Data],COLUMN(T_suiviDi[[#This Row],[Nom1]]),FALSE)&lt;&gt;"",VLOOKUP(T_Commission[[#This Row],[NumL]],T_suiviDi[#Data],COLUMN(T_suiviDi[[#This Row],[Nom1]]),FALSE),""),"")</f>
        <v/>
      </c>
      <c r="G17" s="274" t="str">
        <f>IFERROR(IF(VLOOKUP(T_Commission[[#This Row],[NumL]],T_suiviDi[#Data],COLUMN(T_suiviDi[[#This Row],[Prénom1]]),FALSE)&lt;&gt;"",VLOOKUP(T_Commission[[#This Row],[NumL]],T_suiviDi[#Data],COLUMN(T_suiviDi[[#This Row],[Prénom1]]),FALSE),""),"")</f>
        <v/>
      </c>
      <c r="H17" s="274" t="str">
        <f>IFERROR(IF(VLOOKUP(T_Commission[[#This Row],[NumL]],T_suiviDi[#Data],COLUMN(T_suiviDi[[#This Row],[Email1]]),FALSE)&lt;&gt;"",VLOOKUP(T_Commission[[#This Row],[NumL]],T_suiviDi[#Data],COLUMN(T_suiviDi[[#This Row],[Email1]]),FALSE),""),"")</f>
        <v/>
      </c>
      <c r="I17" s="142" t="str">
        <f>IFERROR(VLOOKUP(T_Commission[[#This Row],[NumL]],T_TraitDi[#Data],COLUMN(T_TraitDi[[#This Row],[CTRL_PJ]]),FALSE),"")</f>
        <v/>
      </c>
      <c r="J17" s="142" t="str">
        <f>IF(T_Commission[[#This Row],[Nom]]&lt;&gt;"",IFERROR(VLOOKUP(T_Commission[[#This Row],[NumL]],T_TraitDi[#Data],COLUMN(T_TraitDi[[#This Row],[C10]]),FALSE),""),"")</f>
        <v/>
      </c>
      <c r="K17" s="142" t="str">
        <f>IFERROR(IF(VLOOKUP(T_Commission[[#This Row],[NumL]],T_suiviDi[#Data],COLUMN(T_suiviDi[[#This Row],[Avis n+1]]),FALSE)&lt;&gt;"",VLOOKUP(A17,T_suiviDi[#Data],COLUMN(T_suiviDi[[#This Row],[Avis n+1]]),FALSE),""),"")</f>
        <v/>
      </c>
      <c r="L17" s="142" t="str">
        <f>IFERROR(IF(VLOOKUP(T_Commission[[#This Row],[NumL]],T_suiviDi[#Data],COLUMN(T_suiviDi[[#This Row],[Avis n+2]]),FALSE)&lt;&gt;"",VLOOKUP(T_Commission[[#This Row],[NumL]],T_suiviDi[#Data],COLUMN(T_suiviDi[[#This Row],[Avis n+2]]),FALSE),""),"")</f>
        <v/>
      </c>
      <c r="M17" s="49">
        <v>1</v>
      </c>
      <c r="N17" s="49"/>
      <c r="O17" s="143" t="str">
        <f>IF(T_Commission[[#This Row],[Nom]]&lt;&gt;"",IF(T_Commission[[#This Row],[COM '#2]]&lt;&gt;"",MAX(T_Commission[[#This Row],[PJ]],T_Commission[[#This Row],[COM '#2]]),IF(T_Commission[[#This Row],[COM '#1]]&lt;&gt;"",MAX(T_Commission[[#This Row],[PJ]],T_Commission[[#This Row],[COM '#1]]),"")),"")</f>
        <v/>
      </c>
      <c r="P17" s="55" t="s">
        <v>115</v>
      </c>
      <c r="Q17" s="55" t="s">
        <v>3277</v>
      </c>
      <c r="R17" s="55"/>
      <c r="S17" s="56"/>
      <c r="T17" s="144"/>
    </row>
    <row r="18" spans="1:20" s="93" customFormat="1" ht="30" customHeight="1" x14ac:dyDescent="0.25">
      <c r="A18" s="90">
        <v>23</v>
      </c>
      <c r="B18" s="130" t="str">
        <f>IFERROR(IF(VLOOKUP(T_Commission[[#This Row],[NumL]],T_TraitDi[#Data],COLUMN(T_TraitDi[[#This Row],[Statut]]),FALSE)&lt;&gt;"",VLOOKUP(T_Commission[[#This Row],[NumL]],T_TraitDi[#Data],COLUMN(T_TraitDi[[#This Row],[Statut]]),FALSE),""),"")</f>
        <v/>
      </c>
      <c r="C18" s="19" t="str">
        <f>IFERROR(IF(VLOOKUP(T_Commission[[#This Row],[NumL]],T_suiviDi[#Data],COLUMN(T_suiviDi[Nom]),FALSE)&lt;&gt;"",VLOOKUP(T_Commission[[#This Row],[NumL]],T_suiviDi[#Data],COLUMN(T_suiviDi[Nom]),FALSE),""),"")</f>
        <v/>
      </c>
      <c r="D18" s="19" t="str">
        <f>IFERROR(IF(VLOOKUP(T_Commission[[#This Row],[NumL]],T_suiviDi[#Data],COLUMN(T_suiviDi[Prénom]),FALSE)&lt;&gt;"",VLOOKUP(T_Commission[[#This Row],[NumL]],T_suiviDi[#Data],COLUMN(T_suiviDi[Prénom]),FALSE),""),"")</f>
        <v/>
      </c>
      <c r="E18" s="20" t="str">
        <f>IFERROR(IF(VLOOKUP(T_Commission[[#This Row],[NumL]],T_suiviDi[#Data],COLUMN(T_suiviDi[Email]),FALSE)&lt;&gt;"",VLOOKUP(T_Commission[[#This Row],[NumL]],T_suiviDi[#Data],COLUMN(T_suiviDi[Email]),FALSE),""),"")</f>
        <v/>
      </c>
      <c r="F18" s="274" t="str">
        <f>IFERROR(IF(VLOOKUP(T_Commission[[#This Row],[NumL]],T_suiviDi[#Data],COLUMN(T_suiviDi[[#This Row],[Nom1]]),FALSE)&lt;&gt;"",VLOOKUP(T_Commission[[#This Row],[NumL]],T_suiviDi[#Data],COLUMN(T_suiviDi[[#This Row],[Nom1]]),FALSE),""),"")</f>
        <v/>
      </c>
      <c r="G18" s="274" t="str">
        <f>IFERROR(IF(VLOOKUP(T_Commission[[#This Row],[NumL]],T_suiviDi[#Data],COLUMN(T_suiviDi[[#This Row],[Prénom1]]),FALSE)&lt;&gt;"",VLOOKUP(T_Commission[[#This Row],[NumL]],T_suiviDi[#Data],COLUMN(T_suiviDi[[#This Row],[Prénom1]]),FALSE),""),"")</f>
        <v/>
      </c>
      <c r="H18" s="274" t="str">
        <f>IFERROR(IF(VLOOKUP(T_Commission[[#This Row],[NumL]],T_suiviDi[#Data],COLUMN(T_suiviDi[[#This Row],[Email1]]),FALSE)&lt;&gt;"",VLOOKUP(T_Commission[[#This Row],[NumL]],T_suiviDi[#Data],COLUMN(T_suiviDi[[#This Row],[Email1]]),FALSE),""),"")</f>
        <v/>
      </c>
      <c r="I18" s="142" t="str">
        <f>IFERROR(VLOOKUP(T_Commission[[#This Row],[NumL]],T_TraitDi[#Data],COLUMN(T_TraitDi[[#This Row],[CTRL_PJ]]),FALSE),"")</f>
        <v/>
      </c>
      <c r="J18" s="142" t="str">
        <f>IF(T_Commission[[#This Row],[Nom]]&lt;&gt;"",IFERROR(VLOOKUP(T_Commission[[#This Row],[NumL]],T_TraitDi[#Data],COLUMN(T_TraitDi[[#This Row],[C10]]),FALSE),""),"")</f>
        <v/>
      </c>
      <c r="K18" s="142" t="str">
        <f>IFERROR(IF(VLOOKUP(T_Commission[[#This Row],[NumL]],T_suiviDi[#Data],COLUMN(T_suiviDi[[#This Row],[Avis n+1]]),FALSE)&lt;&gt;"",VLOOKUP(A18,T_suiviDi[#Data],COLUMN(T_suiviDi[[#This Row],[Avis n+1]]),FALSE),""),"")</f>
        <v/>
      </c>
      <c r="L18" s="142" t="str">
        <f>IFERROR(IF(VLOOKUP(T_Commission[[#This Row],[NumL]],T_suiviDi[#Data],COLUMN(T_suiviDi[[#This Row],[Avis n+2]]),FALSE)&lt;&gt;"",VLOOKUP(T_Commission[[#This Row],[NumL]],T_suiviDi[#Data],COLUMN(T_suiviDi[[#This Row],[Avis n+2]]),FALSE),""),"")</f>
        <v/>
      </c>
      <c r="M18" s="49">
        <v>1</v>
      </c>
      <c r="N18" s="49"/>
      <c r="O18" s="143" t="str">
        <f>IF(T_Commission[[#This Row],[Nom]]&lt;&gt;"",IF(T_Commission[[#This Row],[COM '#2]]&lt;&gt;"",MAX(T_Commission[[#This Row],[PJ]],T_Commission[[#This Row],[COM '#2]]),IF(T_Commission[[#This Row],[COM '#1]]&lt;&gt;"",MAX(T_Commission[[#This Row],[PJ]],T_Commission[[#This Row],[COM '#1]]),"")),"")</f>
        <v/>
      </c>
      <c r="P18" s="55" t="s">
        <v>115</v>
      </c>
      <c r="Q18" s="55" t="s">
        <v>3277</v>
      </c>
      <c r="R18" s="55" t="s">
        <v>3277</v>
      </c>
      <c r="S18" s="56"/>
      <c r="T18" s="144"/>
    </row>
    <row r="19" spans="1:20" s="93" customFormat="1" ht="30" customHeight="1" x14ac:dyDescent="0.25">
      <c r="A19" s="90">
        <v>336</v>
      </c>
      <c r="B19" s="130" t="str">
        <f>IFERROR(IF(VLOOKUP(T_Commission[[#This Row],[NumL]],T_TraitDi[#Data],COLUMN(T_TraitDi[[#This Row],[Statut]]),FALSE)&lt;&gt;"",VLOOKUP(T_Commission[[#This Row],[NumL]],T_TraitDi[#Data],COLUMN(T_TraitDi[[#This Row],[Statut]]),FALSE),""),"")</f>
        <v/>
      </c>
      <c r="C19" s="139" t="str">
        <f>IFERROR(IF(VLOOKUP(T_Commission[[#This Row],[NumL]],T_suiviDi[#Data],COLUMN(T_suiviDi[[#This Row],[Nom]]),FALSE)&lt;&gt;"",VLOOKUP(T_Commission[[#This Row],[NumL]],T_suiviDi[#Data],COLUMN(T_suiviDi[[#This Row],[Nom]]),FALSE),""),"")</f>
        <v/>
      </c>
      <c r="D19" s="139" t="str">
        <f>IFERROR(IF(VLOOKUP(T_Commission[[#This Row],[NumL]],T_suiviDi[#Data],COLUMN(T_suiviDi[[#This Row],[Prénom]]),FALSE)&lt;&gt;"",VLOOKUP(T_Commission[[#This Row],[NumL]],T_suiviDi[#Data],COLUMN(T_suiviDi[[#This Row],[Prénom]]),FALSE),""),"")</f>
        <v/>
      </c>
      <c r="E19" s="140" t="str">
        <f>IFERROR(IF(VLOOKUP(T_Commission[[#This Row],[NumL]],T_suiviDi[#Data],COLUMN(T_suiviDi[[#This Row],[Email]]),FALSE)&lt;&gt;"",VLOOKUP(T_Commission[[#This Row],[NumL]],T_suiviDi[#Data],COLUMN(T_suiviDi[[#This Row],[Email]]),FALSE),""),"")</f>
        <v/>
      </c>
      <c r="F19" s="141" t="str">
        <f>IFERROR(IF(VLOOKUP(T_Commission[[#This Row],[NumL]],T_suiviDi[#Data],COLUMN(T_suiviDi[[#This Row],[Nom1]]),FALSE)&lt;&gt;"",VLOOKUP(T_Commission[[#This Row],[NumL]],T_suiviDi[#Data],COLUMN(T_suiviDi[[#This Row],[Nom1]]),FALSE),""),"")</f>
        <v/>
      </c>
      <c r="G19" s="141" t="str">
        <f>IFERROR(IF(VLOOKUP(T_Commission[[#This Row],[NumL]],T_suiviDi[#Data],COLUMN(T_suiviDi[[#This Row],[Prénom1]]),FALSE)&lt;&gt;"",VLOOKUP(T_Commission[[#This Row],[NumL]],T_suiviDi[#Data],COLUMN(T_suiviDi[[#This Row],[Prénom1]]),FALSE),""),"")</f>
        <v/>
      </c>
      <c r="H19" s="141" t="str">
        <f>IFERROR(IF(VLOOKUP(T_Commission[[#This Row],[NumL]],T_suiviDi[#Data],COLUMN(T_suiviDi[[#This Row],[Email1]]),FALSE)&lt;&gt;"",VLOOKUP(T_Commission[[#This Row],[NumL]],T_suiviDi[#Data],COLUMN(T_suiviDi[[#This Row],[Email1]]),FALSE),""),"")</f>
        <v/>
      </c>
      <c r="I19" s="142" t="str">
        <f>IFERROR(VLOOKUP(T_Commission[[#This Row],[NumL]],T_TraitDi[#Data],COLUMN(T_TraitDi[[#This Row],[CTRL_PJ]]),FALSE),"")</f>
        <v/>
      </c>
      <c r="J19" s="142" t="str">
        <f>IF(C19&lt;&gt;"",IFERROR(VLOOKUP(A19,'2- Traitement des DI'!BV32,FALSE),""),"")</f>
        <v/>
      </c>
      <c r="K19" s="142" t="str">
        <f>IFERROR(IF(VLOOKUP(T_Commission[[#This Row],[NumL]],T_suiviDi[#Data],COLUMN(T_suiviDi[[#This Row],[Avis n+1]]),FALSE)&lt;&gt;"",VLOOKUP(A19,T_suiviDi[#Data],COLUMN(T_suiviDi[[#This Row],[Avis n+1]]),FALSE),""),"")</f>
        <v/>
      </c>
      <c r="L19" s="142" t="str">
        <f>IFERROR(IF(VLOOKUP(A19,ListeDI,27,FALSE)&lt;&gt;"",VLOOKUP(A19,ListeDI,27,FALSE),""),"")</f>
        <v/>
      </c>
      <c r="M19" s="49">
        <v>1</v>
      </c>
      <c r="N19" s="49"/>
      <c r="O19" s="143" t="str">
        <f>IF(C19&lt;&gt;"",IF(N19&lt;&gt;"",MAX(I19,N19),IF(M19&lt;&gt;"",MAX(I19,M19),"")),"")</f>
        <v/>
      </c>
      <c r="P19" s="55" t="s">
        <v>115</v>
      </c>
      <c r="Q19" s="55" t="s">
        <v>3277</v>
      </c>
      <c r="R19" s="55" t="s">
        <v>3277</v>
      </c>
      <c r="S19" s="56"/>
      <c r="T19" s="144"/>
    </row>
    <row r="20" spans="1:20" s="93" customFormat="1" ht="30" customHeight="1" x14ac:dyDescent="0.25">
      <c r="A20" s="90">
        <v>202</v>
      </c>
      <c r="B20" s="130" t="str">
        <f>IFERROR(IF(VLOOKUP(T_Commission[[#This Row],[NumL]],T_TraitDi[#Data],COLUMN(T_TraitDi[[#This Row],[Statut]]),FALSE)&lt;&gt;"",VLOOKUP(T_Commission[[#This Row],[NumL]],T_TraitDi[#Data],COLUMN(T_TraitDi[[#This Row],[Statut]]),FALSE),""),"")</f>
        <v/>
      </c>
      <c r="C20" s="19" t="str">
        <f>IFERROR(IF(VLOOKUP(T_Commission[[#This Row],[NumL]],T_suiviDi[#Data],COLUMN(T_suiviDi[Nom]),FALSE)&lt;&gt;"",VLOOKUP(T_Commission[[#This Row],[NumL]],T_suiviDi[#Data],COLUMN(T_suiviDi[Nom]),FALSE),""),"")</f>
        <v/>
      </c>
      <c r="D20" s="19" t="str">
        <f>IFERROR(IF(VLOOKUP(T_Commission[[#This Row],[NumL]],T_suiviDi[#Data],COLUMN(T_suiviDi[Prénom]),FALSE)&lt;&gt;"",VLOOKUP(T_Commission[[#This Row],[NumL]],T_suiviDi[#Data],COLUMN(T_suiviDi[Prénom]),FALSE),""),"")</f>
        <v/>
      </c>
      <c r="E20" s="20" t="str">
        <f>IFERROR(IF(VLOOKUP(T_Commission[[#This Row],[NumL]],T_suiviDi[#Data],COLUMN(T_suiviDi[Email]),FALSE)&lt;&gt;"",VLOOKUP(T_Commission[[#This Row],[NumL]],T_suiviDi[#Data],COLUMN(T_suiviDi[Email]),FALSE),""),"")</f>
        <v/>
      </c>
      <c r="F20" s="274" t="str">
        <f>IFERROR(IF(VLOOKUP(T_Commission[[#This Row],[NumL]],T_suiviDi[#Data],COLUMN(T_suiviDi[[#This Row],[Nom1]]),FALSE)&lt;&gt;"",VLOOKUP(T_Commission[[#This Row],[NumL]],T_suiviDi[#Data],COLUMN(T_suiviDi[[#This Row],[Nom1]]),FALSE),""),"")</f>
        <v/>
      </c>
      <c r="G20" s="274" t="str">
        <f>IFERROR(IF(VLOOKUP(T_Commission[[#This Row],[NumL]],T_suiviDi[#Data],COLUMN(T_suiviDi[[#This Row],[Prénom1]]),FALSE)&lt;&gt;"",VLOOKUP(T_Commission[[#This Row],[NumL]],T_suiviDi[#Data],COLUMN(T_suiviDi[[#This Row],[Prénom1]]),FALSE),""),"")</f>
        <v/>
      </c>
      <c r="H20" s="274" t="str">
        <f>IFERROR(IF(VLOOKUP(T_Commission[[#This Row],[NumL]],T_suiviDi[#Data],COLUMN(T_suiviDi[[#This Row],[Email1]]),FALSE)&lt;&gt;"",VLOOKUP(T_Commission[[#This Row],[NumL]],T_suiviDi[#Data],COLUMN(T_suiviDi[[#This Row],[Email1]]),FALSE),""),"")</f>
        <v/>
      </c>
      <c r="I20" s="142" t="str">
        <f>IFERROR(VLOOKUP(T_Commission[[#This Row],[NumL]],T_TraitDi[#Data],COLUMN(T_TraitDi[[#This Row],[CTRL_PJ]]),FALSE),"")</f>
        <v/>
      </c>
      <c r="J20" s="142" t="str">
        <f>IF(T_Commission[[#This Row],[Nom]]&lt;&gt;"",IFERROR(VLOOKUP(T_Commission[[#This Row],[NumL]],T_TraitDi[#Data],COLUMN(T_TraitDi[[#This Row],[C10]]),FALSE),""),"")</f>
        <v/>
      </c>
      <c r="K20" s="142" t="str">
        <f>IFERROR(IF(VLOOKUP(T_Commission[[#This Row],[NumL]],T_suiviDi[#Data],COLUMN(T_suiviDi[[#This Row],[Avis n+1]]),FALSE)&lt;&gt;"",VLOOKUP(A20,T_suiviDi[#Data],COLUMN(T_suiviDi[[#This Row],[Avis n+1]]),FALSE),""),"")</f>
        <v/>
      </c>
      <c r="L20" s="142" t="str">
        <f>IFERROR(IF(VLOOKUP(T_Commission[[#This Row],[NumL]],T_suiviDi[#Data],COLUMN(T_suiviDi[[#This Row],[Avis n+2]]),FALSE)&lt;&gt;"",VLOOKUP(T_Commission[[#This Row],[NumL]],T_suiviDi[#Data],COLUMN(T_suiviDi[[#This Row],[Avis n+2]]),FALSE),""),"")</f>
        <v/>
      </c>
      <c r="M20" s="49">
        <v>1</v>
      </c>
      <c r="N20" s="49"/>
      <c r="O20" s="143" t="str">
        <f>IF(C20&lt;&gt;"",IF(N20&lt;&gt;"",MAX(I20,N20),IF(M20&lt;&gt;"",MAX(I20,M20),"")),"")</f>
        <v/>
      </c>
      <c r="P20" s="55" t="s">
        <v>115</v>
      </c>
      <c r="Q20" s="55" t="s">
        <v>3277</v>
      </c>
      <c r="R20" s="55" t="s">
        <v>3277</v>
      </c>
      <c r="S20" s="56"/>
      <c r="T20" s="144"/>
    </row>
    <row r="21" spans="1:20" s="93" customFormat="1" ht="30" customHeight="1" x14ac:dyDescent="0.25">
      <c r="A21" s="90">
        <v>66</v>
      </c>
      <c r="B21" s="130" t="str">
        <f>IFERROR(IF(VLOOKUP(T_Commission[[#This Row],[NumL]],T_TraitDi[#Data],COLUMN(T_TraitDi[[#This Row],[Statut]]),FALSE)&lt;&gt;"",VLOOKUP(T_Commission[[#This Row],[NumL]],T_TraitDi[#Data],COLUMN(T_TraitDi[[#This Row],[Statut]]),FALSE),""),"")</f>
        <v/>
      </c>
      <c r="C21" s="19" t="str">
        <f>IFERROR(IF(VLOOKUP(T_Commission[[#This Row],[NumL]],T_suiviDi[#Data],COLUMN(T_suiviDi[Nom]),FALSE)&lt;&gt;"",VLOOKUP(T_Commission[[#This Row],[NumL]],T_suiviDi[#Data],COLUMN(T_suiviDi[Nom]),FALSE),""),"")</f>
        <v/>
      </c>
      <c r="D21" s="19" t="str">
        <f>IFERROR(IF(VLOOKUP(T_Commission[[#This Row],[NumL]],T_suiviDi[#Data],COLUMN(T_suiviDi[Prénom]),FALSE)&lt;&gt;"",VLOOKUP(T_Commission[[#This Row],[NumL]],T_suiviDi[#Data],COLUMN(T_suiviDi[Prénom]),FALSE),""),"")</f>
        <v/>
      </c>
      <c r="E21" s="20" t="str">
        <f>IFERROR(IF(VLOOKUP(T_Commission[[#This Row],[NumL]],T_suiviDi[#Data],COLUMN(T_suiviDi[Email]),FALSE)&lt;&gt;"",VLOOKUP(T_Commission[[#This Row],[NumL]],T_suiviDi[#Data],COLUMN(T_suiviDi[Email]),FALSE),""),"")</f>
        <v/>
      </c>
      <c r="F21" s="274" t="str">
        <f>IFERROR(IF(VLOOKUP(T_Commission[[#This Row],[NumL]],T_suiviDi[#Data],COLUMN(T_suiviDi[[#This Row],[Nom1]]),FALSE)&lt;&gt;"",VLOOKUP(T_Commission[[#This Row],[NumL]],T_suiviDi[#Data],COLUMN(T_suiviDi[[#This Row],[Nom1]]),FALSE),""),"")</f>
        <v/>
      </c>
      <c r="G21" s="274" t="str">
        <f>IFERROR(IF(VLOOKUP(T_Commission[[#This Row],[NumL]],T_suiviDi[#Data],COLUMN(T_suiviDi[[#This Row],[Prénom1]]),FALSE)&lt;&gt;"",VLOOKUP(T_Commission[[#This Row],[NumL]],T_suiviDi[#Data],COLUMN(T_suiviDi[[#This Row],[Prénom1]]),FALSE),""),"")</f>
        <v/>
      </c>
      <c r="H21" s="274" t="str">
        <f>IFERROR(IF(VLOOKUP(T_Commission[[#This Row],[NumL]],T_suiviDi[#Data],COLUMN(T_suiviDi[[#This Row],[Email1]]),FALSE)&lt;&gt;"",VLOOKUP(T_Commission[[#This Row],[NumL]],T_suiviDi[#Data],COLUMN(T_suiviDi[[#This Row],[Email1]]),FALSE),""),"")</f>
        <v/>
      </c>
      <c r="I21" s="142" t="str">
        <f>IFERROR(VLOOKUP(T_Commission[[#This Row],[NumL]],T_TraitDi[#Data],COLUMN(T_TraitDi[[#This Row],[CTRL_PJ]]),FALSE),"")</f>
        <v/>
      </c>
      <c r="J21" s="142" t="str">
        <f>IF(T_Commission[[#This Row],[Nom]]&lt;&gt;"",IFERROR(VLOOKUP(T_Commission[[#This Row],[NumL]],T_TraitDi[#Data],COLUMN(T_TraitDi[[#This Row],[C10]]),FALSE),""),"")</f>
        <v/>
      </c>
      <c r="K21" s="142" t="str">
        <f>IFERROR(IF(VLOOKUP(T_Commission[[#This Row],[NumL]],T_suiviDi[#Data],COLUMN(T_suiviDi[[#This Row],[Avis n+1]]),FALSE)&lt;&gt;"",VLOOKUP(A21,T_suiviDi[#Data],COLUMN(T_suiviDi[[#This Row],[Avis n+1]]),FALSE),""),"")</f>
        <v/>
      </c>
      <c r="L21" s="142" t="str">
        <f>IFERROR(IF(VLOOKUP(T_Commission[[#This Row],[NumL]],T_suiviDi[#Data],COLUMN(T_suiviDi[[#This Row],[Avis n+2]]),FALSE)&lt;&gt;"",VLOOKUP(T_Commission[[#This Row],[NumL]],T_suiviDi[#Data],COLUMN(T_suiviDi[[#This Row],[Avis n+2]]),FALSE),""),"")</f>
        <v/>
      </c>
      <c r="M21" s="49">
        <v>2</v>
      </c>
      <c r="N21" s="49"/>
      <c r="O21" s="143" t="str">
        <f>IF(T_Commission[[#This Row],[Nom]]&lt;&gt;"",IF(T_Commission[[#This Row],[COM '#2]]&lt;&gt;"",MAX(T_Commission[[#This Row],[PJ]],T_Commission[[#This Row],[COM '#2]]),IF(T_Commission[[#This Row],[COM '#1]]&lt;&gt;"",MAX(T_Commission[[#This Row],[PJ]],T_Commission[[#This Row],[COM '#1]]),"")),"")</f>
        <v/>
      </c>
      <c r="P21" s="55" t="s">
        <v>115</v>
      </c>
      <c r="Q21" s="55" t="s">
        <v>3278</v>
      </c>
      <c r="R21" s="55"/>
      <c r="S21" s="56"/>
      <c r="T21" s="144" t="s">
        <v>3631</v>
      </c>
    </row>
    <row r="22" spans="1:20" s="93" customFormat="1" ht="30" customHeight="1" x14ac:dyDescent="0.25">
      <c r="A22" s="90">
        <v>36</v>
      </c>
      <c r="B22" s="130" t="str">
        <f>IFERROR(IF(VLOOKUP(T_Commission[[#This Row],[NumL]],T_TraitDi[#Data],COLUMN(T_TraitDi[[#This Row],[Statut]]),FALSE)&lt;&gt;"",VLOOKUP(T_Commission[[#This Row],[NumL]],T_TraitDi[#Data],COLUMN(T_TraitDi[[#This Row],[Statut]]),FALSE),""),"")</f>
        <v/>
      </c>
      <c r="C22" s="19" t="str">
        <f>IFERROR(IF(VLOOKUP(T_Commission[[#This Row],[NumL]],T_suiviDi[#Data],COLUMN(T_suiviDi[Nom]),FALSE)&lt;&gt;"",VLOOKUP(T_Commission[[#This Row],[NumL]],T_suiviDi[#Data],COLUMN(T_suiviDi[Nom]),FALSE),""),"")</f>
        <v/>
      </c>
      <c r="D22" s="19" t="str">
        <f>IFERROR(IF(VLOOKUP(T_Commission[[#This Row],[NumL]],T_suiviDi[#Data],COLUMN(T_suiviDi[Prénom]),FALSE)&lt;&gt;"",VLOOKUP(T_Commission[[#This Row],[NumL]],T_suiviDi[#Data],COLUMN(T_suiviDi[Prénom]),FALSE),""),"")</f>
        <v/>
      </c>
      <c r="E22" s="20" t="str">
        <f>IFERROR(IF(VLOOKUP(T_Commission[[#This Row],[NumL]],T_suiviDi[#Data],COLUMN(T_suiviDi[Email]),FALSE)&lt;&gt;"",VLOOKUP(T_Commission[[#This Row],[NumL]],T_suiviDi[#Data],COLUMN(T_suiviDi[Email]),FALSE),""),"")</f>
        <v/>
      </c>
      <c r="F22" s="274" t="str">
        <f>IFERROR(IF(VLOOKUP(T_Commission[[#This Row],[NumL]],T_suiviDi[#Data],COLUMN(T_suiviDi[[#This Row],[Nom1]]),FALSE)&lt;&gt;"",VLOOKUP(T_Commission[[#This Row],[NumL]],T_suiviDi[#Data],COLUMN(T_suiviDi[[#This Row],[Nom1]]),FALSE),""),"")</f>
        <v/>
      </c>
      <c r="G22" s="274" t="str">
        <f>IFERROR(IF(VLOOKUP(T_Commission[[#This Row],[NumL]],T_suiviDi[#Data],COLUMN(T_suiviDi[[#This Row],[Prénom1]]),FALSE)&lt;&gt;"",VLOOKUP(T_Commission[[#This Row],[NumL]],T_suiviDi[#Data],COLUMN(T_suiviDi[[#This Row],[Prénom1]]),FALSE),""),"")</f>
        <v/>
      </c>
      <c r="H22" s="274" t="str">
        <f>IFERROR(IF(VLOOKUP(T_Commission[[#This Row],[NumL]],T_suiviDi[#Data],COLUMN(T_suiviDi[[#This Row],[Email1]]),FALSE)&lt;&gt;"",VLOOKUP(T_Commission[[#This Row],[NumL]],T_suiviDi[#Data],COLUMN(T_suiviDi[[#This Row],[Email1]]),FALSE),""),"")</f>
        <v/>
      </c>
      <c r="I22" s="142" t="str">
        <f>IFERROR(VLOOKUP(T_Commission[[#This Row],[NumL]],T_TraitDi[#Data],COLUMN(T_TraitDi[[#This Row],[CTRL_PJ]]),FALSE),"")</f>
        <v/>
      </c>
      <c r="J22" s="142" t="str">
        <f>IF(T_Commission[[#This Row],[Nom]]&lt;&gt;"",IFERROR(VLOOKUP(T_Commission[[#This Row],[NumL]],T_TraitDi[#Data],COLUMN(T_TraitDi[[#This Row],[C10]]),FALSE),""),"")</f>
        <v/>
      </c>
      <c r="K22" s="142" t="str">
        <f>IFERROR(IF(VLOOKUP(T_Commission[[#This Row],[NumL]],T_suiviDi[#Data],COLUMN(T_suiviDi[[#This Row],[Avis n+1]]),FALSE)&lt;&gt;"",VLOOKUP(A22,T_suiviDi[#Data],COLUMN(T_suiviDi[[#This Row],[Avis n+1]]),FALSE),""),"")</f>
        <v/>
      </c>
      <c r="L22" s="142" t="str">
        <f>IFERROR(IF(VLOOKUP(T_Commission[[#This Row],[NumL]],T_suiviDi[#Data],COLUMN(T_suiviDi[[#This Row],[Avis n+2]]),FALSE)&lt;&gt;"",VLOOKUP(T_Commission[[#This Row],[NumL]],T_suiviDi[#Data],COLUMN(T_suiviDi[[#This Row],[Avis n+2]]),FALSE),""),"")</f>
        <v/>
      </c>
      <c r="M22" s="49">
        <v>1</v>
      </c>
      <c r="N22" s="49"/>
      <c r="O22" s="143" t="str">
        <f>IF(T_Commission[[#This Row],[Nom]]&lt;&gt;"",IF(T_Commission[[#This Row],[COM '#2]]&lt;&gt;"",MAX(T_Commission[[#This Row],[PJ]],T_Commission[[#This Row],[COM '#2]]),IF(T_Commission[[#This Row],[COM '#1]]&lt;&gt;"",MAX(T_Commission[[#This Row],[PJ]],T_Commission[[#This Row],[COM '#1]]),"")),"")</f>
        <v/>
      </c>
      <c r="P22" s="55" t="s">
        <v>115</v>
      </c>
      <c r="Q22" s="55" t="s">
        <v>3277</v>
      </c>
      <c r="R22" s="55"/>
      <c r="S22" s="56"/>
      <c r="T22" s="144"/>
    </row>
    <row r="23" spans="1:20" s="93" customFormat="1" ht="30" customHeight="1" x14ac:dyDescent="0.25">
      <c r="A23" s="90">
        <v>315</v>
      </c>
      <c r="B23" s="130" t="str">
        <f>IFERROR(IF(VLOOKUP(T_Commission[[#This Row],[NumL]],T_TraitDi[#Data],COLUMN(T_TraitDi[[#This Row],[Statut]]),FALSE)&lt;&gt;"",VLOOKUP(T_Commission[[#This Row],[NumL]],T_TraitDi[#Data],COLUMN(T_TraitDi[[#This Row],[Statut]]),FALSE),""),"")</f>
        <v/>
      </c>
      <c r="C23" s="139" t="str">
        <f>IFERROR(IF(VLOOKUP(T_Commission[[#This Row],[NumL]],T_suiviDi[#Data],COLUMN(T_suiviDi[[#This Row],[Nom]]),FALSE)&lt;&gt;"",VLOOKUP(T_Commission[[#This Row],[NumL]],T_suiviDi[#Data],COLUMN(T_suiviDi[[#This Row],[Nom]]),FALSE),""),"")</f>
        <v/>
      </c>
      <c r="D23" s="139" t="str">
        <f>IFERROR(IF(VLOOKUP(T_Commission[[#This Row],[NumL]],T_suiviDi[#Data],COLUMN(T_suiviDi[[#This Row],[Prénom]]),FALSE)&lt;&gt;"",VLOOKUP(T_Commission[[#This Row],[NumL]],T_suiviDi[#Data],COLUMN(T_suiviDi[[#This Row],[Prénom]]),FALSE),""),"")</f>
        <v/>
      </c>
      <c r="E23" s="140" t="str">
        <f>IFERROR(IF(VLOOKUP(T_Commission[[#This Row],[NumL]],T_suiviDi[#Data],COLUMN(T_suiviDi[[#This Row],[Email]]),FALSE)&lt;&gt;"",VLOOKUP(T_Commission[[#This Row],[NumL]],T_suiviDi[#Data],COLUMN(T_suiviDi[[#This Row],[Email]]),FALSE),""),"")</f>
        <v/>
      </c>
      <c r="F23" s="141" t="str">
        <f>IFERROR(IF(VLOOKUP(T_Commission[[#This Row],[NumL]],T_suiviDi[#Data],COLUMN(T_suiviDi[[#This Row],[Nom1]]),FALSE)&lt;&gt;"",VLOOKUP(T_Commission[[#This Row],[NumL]],T_suiviDi[#Data],COLUMN(T_suiviDi[[#This Row],[Nom1]]),FALSE),""),"")</f>
        <v/>
      </c>
      <c r="G23" s="141" t="str">
        <f>IFERROR(IF(VLOOKUP(T_Commission[[#This Row],[NumL]],T_suiviDi[#Data],COLUMN(T_suiviDi[[#This Row],[Prénom1]]),FALSE)&lt;&gt;"",VLOOKUP(T_Commission[[#This Row],[NumL]],T_suiviDi[#Data],COLUMN(T_suiviDi[[#This Row],[Prénom1]]),FALSE),""),"")</f>
        <v/>
      </c>
      <c r="H23" s="141" t="str">
        <f>IFERROR(IF(VLOOKUP(T_Commission[[#This Row],[NumL]],T_suiviDi[#Data],COLUMN(T_suiviDi[[#This Row],[Email1]]),FALSE)&lt;&gt;"",VLOOKUP(T_Commission[[#This Row],[NumL]],T_suiviDi[#Data],COLUMN(T_suiviDi[[#This Row],[Email1]]),FALSE),""),"")</f>
        <v/>
      </c>
      <c r="I23" s="142" t="str">
        <f>IFERROR(VLOOKUP(T_Commission[[#This Row],[NumL]],T_TraitDi[#Data],COLUMN(T_TraitDi[[#This Row],[CTRL_PJ]]),FALSE),"")</f>
        <v/>
      </c>
      <c r="J23" s="142" t="str">
        <f>IF(C23&lt;&gt;"",IFERROR(VLOOKUP(A23,'2- Traitement des DI'!BV32,FALSE),""),"")</f>
        <v/>
      </c>
      <c r="K23" s="142" t="str">
        <f>IFERROR(IF(VLOOKUP(T_Commission[[#This Row],[NumL]],T_suiviDi[#Data],COLUMN(T_suiviDi[[#This Row],[Avis n+1]]),FALSE)&lt;&gt;"",VLOOKUP(A23,T_suiviDi[#Data],COLUMN(T_suiviDi[[#This Row],[Avis n+1]]),FALSE),""),"")</f>
        <v/>
      </c>
      <c r="L23" s="142" t="str">
        <f>IFERROR(IF(VLOOKUP(A23,ListeDI,27,FALSE)&lt;&gt;"",VLOOKUP(A23,ListeDI,27,FALSE),""),"")</f>
        <v/>
      </c>
      <c r="M23" s="49">
        <v>1</v>
      </c>
      <c r="N23" s="49"/>
      <c r="O23" s="143" t="str">
        <f>IF(C23&lt;&gt;"",IF(N23&lt;&gt;"",MAX(I23,N23),IF(M23&lt;&gt;"",MAX(I23,M23),"")),"")</f>
        <v/>
      </c>
      <c r="P23" s="55" t="s">
        <v>115</v>
      </c>
      <c r="Q23" s="55" t="s">
        <v>3277</v>
      </c>
      <c r="R23" s="55" t="s">
        <v>3277</v>
      </c>
      <c r="S23" s="56"/>
      <c r="T23" s="144"/>
    </row>
    <row r="24" spans="1:20" s="93" customFormat="1" ht="30" customHeight="1" x14ac:dyDescent="0.25">
      <c r="A24" s="90">
        <v>168</v>
      </c>
      <c r="B24" s="130" t="str">
        <f>IFERROR(IF(VLOOKUP(T_Commission[[#This Row],[NumL]],T_TraitDi[#Data],COLUMN(T_TraitDi[[#This Row],[Statut]]),FALSE)&lt;&gt;"",VLOOKUP(T_Commission[[#This Row],[NumL]],T_TraitDi[#Data],COLUMN(T_TraitDi[[#This Row],[Statut]]),FALSE),""),"")</f>
        <v/>
      </c>
      <c r="C24" s="19" t="str">
        <f>IFERROR(IF(VLOOKUP(T_Commission[[#This Row],[NumL]],T_suiviDi[#Data],COLUMN(T_suiviDi[Nom]),FALSE)&lt;&gt;"",VLOOKUP(T_Commission[[#This Row],[NumL]],T_suiviDi[#Data],COLUMN(T_suiviDi[Nom]),FALSE),""),"")</f>
        <v/>
      </c>
      <c r="D24" s="19" t="str">
        <f>IFERROR(IF(VLOOKUP(T_Commission[[#This Row],[NumL]],T_suiviDi[#Data],COLUMN(T_suiviDi[Prénom]),FALSE)&lt;&gt;"",VLOOKUP(T_Commission[[#This Row],[NumL]],T_suiviDi[#Data],COLUMN(T_suiviDi[Prénom]),FALSE),""),"")</f>
        <v/>
      </c>
      <c r="E24" s="20" t="str">
        <f>IFERROR(IF(VLOOKUP(T_Commission[[#This Row],[NumL]],T_suiviDi[#Data],COLUMN(T_suiviDi[Email]),FALSE)&lt;&gt;"",VLOOKUP(T_Commission[[#This Row],[NumL]],T_suiviDi[#Data],COLUMN(T_suiviDi[Email]),FALSE),""),"")</f>
        <v/>
      </c>
      <c r="F24" s="274" t="str">
        <f>IFERROR(IF(VLOOKUP(T_Commission[[#This Row],[NumL]],T_suiviDi[#Data],COLUMN(T_suiviDi[[#This Row],[Nom1]]),FALSE)&lt;&gt;"",VLOOKUP(T_Commission[[#This Row],[NumL]],T_suiviDi[#Data],COLUMN(T_suiviDi[[#This Row],[Nom1]]),FALSE),""),"")</f>
        <v/>
      </c>
      <c r="G24" s="274" t="str">
        <f>IFERROR(IF(VLOOKUP(T_Commission[[#This Row],[NumL]],T_suiviDi[#Data],COLUMN(T_suiviDi[[#This Row],[Prénom1]]),FALSE)&lt;&gt;"",VLOOKUP(T_Commission[[#This Row],[NumL]],T_suiviDi[#Data],COLUMN(T_suiviDi[[#This Row],[Prénom1]]),FALSE),""),"")</f>
        <v/>
      </c>
      <c r="H24" s="274" t="str">
        <f>IFERROR(IF(VLOOKUP(T_Commission[[#This Row],[NumL]],T_suiviDi[#Data],COLUMN(T_suiviDi[[#This Row],[Email1]]),FALSE)&lt;&gt;"",VLOOKUP(T_Commission[[#This Row],[NumL]],T_suiviDi[#Data],COLUMN(T_suiviDi[[#This Row],[Email1]]),FALSE),""),"")</f>
        <v/>
      </c>
      <c r="I24" s="142" t="str">
        <f>IFERROR(VLOOKUP(T_Commission[[#This Row],[NumL]],T_TraitDi[#Data],COLUMN(T_TraitDi[[#This Row],[CTRL_PJ]]),FALSE),"")</f>
        <v/>
      </c>
      <c r="J24" s="142" t="str">
        <f>IF(T_Commission[[#This Row],[Nom]]&lt;&gt;"",IFERROR(VLOOKUP(T_Commission[[#This Row],[NumL]],T_TraitDi[#Data],COLUMN(T_TraitDi[[#This Row],[C10]]),FALSE),""),"")</f>
        <v/>
      </c>
      <c r="K24" s="142" t="str">
        <f>IFERROR(IF(VLOOKUP(T_Commission[[#This Row],[NumL]],T_suiviDi[#Data],COLUMN(T_suiviDi[[#This Row],[Avis n+1]]),FALSE)&lt;&gt;"",VLOOKUP(A24,T_suiviDi[#Data],COLUMN(T_suiviDi[[#This Row],[Avis n+1]]),FALSE),""),"")</f>
        <v/>
      </c>
      <c r="L24" s="142" t="str">
        <f>IFERROR(IF(VLOOKUP(T_Commission[[#This Row],[NumL]],T_suiviDi[#Data],COLUMN(T_suiviDi[[#This Row],[Avis n+2]]),FALSE)&lt;&gt;"",VLOOKUP(T_Commission[[#This Row],[NumL]],T_suiviDi[#Data],COLUMN(T_suiviDi[[#This Row],[Avis n+2]]),FALSE),""),"")</f>
        <v/>
      </c>
      <c r="M24" s="49">
        <v>1</v>
      </c>
      <c r="N24" s="49"/>
      <c r="O24" s="143" t="str">
        <f>IF(T_Commission[[#This Row],[Nom]]&lt;&gt;"",IF(T_Commission[[#This Row],[COM '#2]]&lt;&gt;"",MAX(T_Commission[[#This Row],[PJ]],T_Commission[[#This Row],[COM '#2]]),IF(T_Commission[[#This Row],[COM '#1]]&lt;&gt;"",MAX(T_Commission[[#This Row],[PJ]],T_Commission[[#This Row],[COM '#1]]),"")),"")</f>
        <v/>
      </c>
      <c r="P24" s="55" t="s">
        <v>115</v>
      </c>
      <c r="Q24" s="55" t="s">
        <v>3277</v>
      </c>
      <c r="R24" s="55" t="s">
        <v>3277</v>
      </c>
      <c r="S24" s="56"/>
      <c r="T24" s="144"/>
    </row>
    <row r="25" spans="1:20" s="93" customFormat="1" ht="30" customHeight="1" x14ac:dyDescent="0.25">
      <c r="A25" s="90">
        <v>21</v>
      </c>
      <c r="B25" s="130" t="str">
        <f>IFERROR(IF(VLOOKUP(T_Commission[[#This Row],[NumL]],T_TraitDi[#Data],COLUMN(T_TraitDi[[#This Row],[Statut]]),FALSE)&lt;&gt;"",VLOOKUP(T_Commission[[#This Row],[NumL]],T_TraitDi[#Data],COLUMN(T_TraitDi[[#This Row],[Statut]]),FALSE),""),"")</f>
        <v/>
      </c>
      <c r="C25" s="19" t="str">
        <f>IFERROR(IF(VLOOKUP(T_Commission[[#This Row],[NumL]],T_suiviDi[#Data],COLUMN(T_suiviDi[Nom]),FALSE)&lt;&gt;"",VLOOKUP(T_Commission[[#This Row],[NumL]],T_suiviDi[#Data],COLUMN(T_suiviDi[Nom]),FALSE),""),"")</f>
        <v/>
      </c>
      <c r="D25" s="19" t="str">
        <f>IFERROR(IF(VLOOKUP(T_Commission[[#This Row],[NumL]],T_suiviDi[#Data],COLUMN(T_suiviDi[Prénom]),FALSE)&lt;&gt;"",VLOOKUP(T_Commission[[#This Row],[NumL]],T_suiviDi[#Data],COLUMN(T_suiviDi[Prénom]),FALSE),""),"")</f>
        <v/>
      </c>
      <c r="E25" s="20" t="str">
        <f>IFERROR(IF(VLOOKUP(T_Commission[[#This Row],[NumL]],T_suiviDi[#Data],COLUMN(T_suiviDi[Email]),FALSE)&lt;&gt;"",VLOOKUP(T_Commission[[#This Row],[NumL]],T_suiviDi[#Data],COLUMN(T_suiviDi[Email]),FALSE),""),"")</f>
        <v/>
      </c>
      <c r="F25" s="274" t="str">
        <f>IFERROR(IF(VLOOKUP(T_Commission[[#This Row],[NumL]],T_suiviDi[#Data],COLUMN(T_suiviDi[[#This Row],[Nom1]]),FALSE)&lt;&gt;"",VLOOKUP(T_Commission[[#This Row],[NumL]],T_suiviDi[#Data],COLUMN(T_suiviDi[[#This Row],[Nom1]]),FALSE),""),"")</f>
        <v/>
      </c>
      <c r="G25" s="274" t="str">
        <f>IFERROR(IF(VLOOKUP(T_Commission[[#This Row],[NumL]],T_suiviDi[#Data],COLUMN(T_suiviDi[[#This Row],[Prénom1]]),FALSE)&lt;&gt;"",VLOOKUP(T_Commission[[#This Row],[NumL]],T_suiviDi[#Data],COLUMN(T_suiviDi[[#This Row],[Prénom1]]),FALSE),""),"")</f>
        <v/>
      </c>
      <c r="H25" s="274" t="str">
        <f>IFERROR(IF(VLOOKUP(T_Commission[[#This Row],[NumL]],T_suiviDi[#Data],COLUMN(T_suiviDi[[#This Row],[Email1]]),FALSE)&lt;&gt;"",VLOOKUP(T_Commission[[#This Row],[NumL]],T_suiviDi[#Data],COLUMN(T_suiviDi[[#This Row],[Email1]]),FALSE),""),"")</f>
        <v/>
      </c>
      <c r="I25" s="142" t="str">
        <f>IFERROR(VLOOKUP(T_Commission[[#This Row],[NumL]],T_TraitDi[#Data],COLUMN(T_TraitDi[[#This Row],[CTRL_PJ]]),FALSE),"")</f>
        <v/>
      </c>
      <c r="J25" s="142" t="str">
        <f>IF(T_Commission[[#This Row],[Nom]]&lt;&gt;"",IFERROR(VLOOKUP(T_Commission[[#This Row],[NumL]],T_TraitDi[#Data],COLUMN(T_TraitDi[[#This Row],[C10]]),FALSE),""),"")</f>
        <v/>
      </c>
      <c r="K25" s="142" t="str">
        <f>IFERROR(IF(VLOOKUP(T_Commission[[#This Row],[NumL]],T_suiviDi[#Data],COLUMN(T_suiviDi[[#This Row],[Avis n+1]]),FALSE)&lt;&gt;"",VLOOKUP(A25,T_suiviDi[#Data],COLUMN(T_suiviDi[[#This Row],[Avis n+1]]),FALSE),""),"")</f>
        <v/>
      </c>
      <c r="L25" s="142" t="str">
        <f>IFERROR(IF(VLOOKUP(T_Commission[[#This Row],[NumL]],T_suiviDi[#Data],COLUMN(T_suiviDi[[#This Row],[Avis n+2]]),FALSE)&lt;&gt;"",VLOOKUP(T_Commission[[#This Row],[NumL]],T_suiviDi[#Data],COLUMN(T_suiviDi[[#This Row],[Avis n+2]]),FALSE),""),"")</f>
        <v/>
      </c>
      <c r="M25" s="49">
        <v>1</v>
      </c>
      <c r="N25" s="49"/>
      <c r="O25" s="143" t="str">
        <f>IF(T_Commission[[#This Row],[Nom]]&lt;&gt;"",IF(T_Commission[[#This Row],[COM '#2]]&lt;&gt;"",MAX(T_Commission[[#This Row],[PJ]],T_Commission[[#This Row],[COM '#2]]),IF(T_Commission[[#This Row],[COM '#1]]&lt;&gt;"",MAX(T_Commission[[#This Row],[PJ]],T_Commission[[#This Row],[COM '#1]]),"")),"")</f>
        <v/>
      </c>
      <c r="P25" s="55" t="s">
        <v>115</v>
      </c>
      <c r="Q25" s="55" t="s">
        <v>3277</v>
      </c>
      <c r="R25" s="55" t="s">
        <v>3277</v>
      </c>
      <c r="S25" s="56"/>
      <c r="T25" s="144"/>
    </row>
    <row r="26" spans="1:20" s="93" customFormat="1" ht="30" customHeight="1" x14ac:dyDescent="0.25">
      <c r="A26" s="90">
        <v>187</v>
      </c>
      <c r="B26" s="130" t="str">
        <f>IFERROR(IF(VLOOKUP(T_Commission[[#This Row],[NumL]],T_TraitDi[#Data],COLUMN(T_TraitDi[[#This Row],[Statut]]),FALSE)&lt;&gt;"",VLOOKUP(T_Commission[[#This Row],[NumL]],T_TraitDi[#Data],COLUMN(T_TraitDi[[#This Row],[Statut]]),FALSE),""),"")</f>
        <v/>
      </c>
      <c r="C26" s="19" t="str">
        <f>IFERROR(IF(VLOOKUP(T_Commission[[#This Row],[NumL]],T_suiviDi[#Data],COLUMN(T_suiviDi[Nom]),FALSE)&lt;&gt;"",VLOOKUP(T_Commission[[#This Row],[NumL]],T_suiviDi[#Data],COLUMN(T_suiviDi[Nom]),FALSE),""),"")</f>
        <v/>
      </c>
      <c r="D26" s="19" t="str">
        <f>IFERROR(IF(VLOOKUP(T_Commission[[#This Row],[NumL]],T_suiviDi[#Data],COLUMN(T_suiviDi[Prénom]),FALSE)&lt;&gt;"",VLOOKUP(T_Commission[[#This Row],[NumL]],T_suiviDi[#Data],COLUMN(T_suiviDi[Prénom]),FALSE),""),"")</f>
        <v/>
      </c>
      <c r="E26" s="20" t="str">
        <f>IFERROR(IF(VLOOKUP(T_Commission[[#This Row],[NumL]],T_suiviDi[#Data],COLUMN(T_suiviDi[Email]),FALSE)&lt;&gt;"",VLOOKUP(T_Commission[[#This Row],[NumL]],T_suiviDi[#Data],COLUMN(T_suiviDi[Email]),FALSE),""),"")</f>
        <v/>
      </c>
      <c r="F26" s="274" t="str">
        <f>IFERROR(IF(VLOOKUP(T_Commission[[#This Row],[NumL]],T_suiviDi[#Data],COLUMN(T_suiviDi[[#This Row],[Nom1]]),FALSE)&lt;&gt;"",VLOOKUP(T_Commission[[#This Row],[NumL]],T_suiviDi[#Data],COLUMN(T_suiviDi[[#This Row],[Nom1]]),FALSE),""),"")</f>
        <v/>
      </c>
      <c r="G26" s="274" t="str">
        <f>IFERROR(IF(VLOOKUP(T_Commission[[#This Row],[NumL]],T_suiviDi[#Data],COLUMN(T_suiviDi[[#This Row],[Prénom1]]),FALSE)&lt;&gt;"",VLOOKUP(T_Commission[[#This Row],[NumL]],T_suiviDi[#Data],COLUMN(T_suiviDi[[#This Row],[Prénom1]]),FALSE),""),"")</f>
        <v/>
      </c>
      <c r="H26" s="274" t="str">
        <f>IFERROR(IF(VLOOKUP(T_Commission[[#This Row],[NumL]],T_suiviDi[#Data],COLUMN(T_suiviDi[[#This Row],[Email1]]),FALSE)&lt;&gt;"",VLOOKUP(T_Commission[[#This Row],[NumL]],T_suiviDi[#Data],COLUMN(T_suiviDi[[#This Row],[Email1]]),FALSE),""),"")</f>
        <v/>
      </c>
      <c r="I26" s="142" t="str">
        <f>IFERROR(VLOOKUP(T_Commission[[#This Row],[NumL]],T_TraitDi[#Data],COLUMN(T_TraitDi[[#This Row],[CTRL_PJ]]),FALSE),"")</f>
        <v/>
      </c>
      <c r="J26" s="142" t="str">
        <f>IF(T_Commission[[#This Row],[Nom]]&lt;&gt;"",IFERROR(VLOOKUP(T_Commission[[#This Row],[NumL]],T_TraitDi[#Data],COLUMN(T_TraitDi[[#This Row],[C10]]),FALSE),""),"")</f>
        <v/>
      </c>
      <c r="K26" s="142" t="str">
        <f>IFERROR(IF(VLOOKUP(T_Commission[[#This Row],[NumL]],T_suiviDi[#Data],COLUMN(T_suiviDi[[#This Row],[Avis n+1]]),FALSE)&lt;&gt;"",VLOOKUP(A26,T_suiviDi[#Data],COLUMN(T_suiviDi[[#This Row],[Avis n+1]]),FALSE),""),"")</f>
        <v/>
      </c>
      <c r="L26" s="142" t="str">
        <f>IFERROR(IF(VLOOKUP(T_Commission[[#This Row],[NumL]],T_suiviDi[#Data],COLUMN(T_suiviDi[[#This Row],[Avis n+2]]),FALSE)&lt;&gt;"",VLOOKUP(T_Commission[[#This Row],[NumL]],T_suiviDi[#Data],COLUMN(T_suiviDi[[#This Row],[Avis n+2]]),FALSE),""),"")</f>
        <v/>
      </c>
      <c r="M26" s="49">
        <v>1</v>
      </c>
      <c r="N26" s="49"/>
      <c r="O26" s="143" t="str">
        <f>IF(T_Commission[[#This Row],[Nom]]&lt;&gt;"",IF(T_Commission[[#This Row],[COM '#2]]&lt;&gt;"",MAX(T_Commission[[#This Row],[PJ]],T_Commission[[#This Row],[COM '#2]]),IF(T_Commission[[#This Row],[COM '#1]]&lt;&gt;"",MAX(T_Commission[[#This Row],[PJ]],T_Commission[[#This Row],[COM '#1]]),"")),"")</f>
        <v/>
      </c>
      <c r="P26" s="55" t="s">
        <v>115</v>
      </c>
      <c r="Q26" s="55" t="s">
        <v>3277</v>
      </c>
      <c r="R26" s="55" t="s">
        <v>3277</v>
      </c>
      <c r="S26" s="56"/>
      <c r="T26" s="144"/>
    </row>
    <row r="27" spans="1:20" s="93" customFormat="1" ht="30" customHeight="1" x14ac:dyDescent="0.25">
      <c r="A27" s="90">
        <v>173</v>
      </c>
      <c r="B27" s="130" t="str">
        <f>IFERROR(IF(VLOOKUP(T_Commission[[#This Row],[NumL]],T_TraitDi[#Data],COLUMN(T_TraitDi[[#This Row],[Statut]]),FALSE)&lt;&gt;"",VLOOKUP(T_Commission[[#This Row],[NumL]],T_TraitDi[#Data],COLUMN(T_TraitDi[[#This Row],[Statut]]),FALSE),""),"")</f>
        <v/>
      </c>
      <c r="C27" s="19" t="str">
        <f>IFERROR(IF(VLOOKUP(T_Commission[[#This Row],[NumL]],T_suiviDi[#Data],COLUMN(T_suiviDi[Nom]),FALSE)&lt;&gt;"",VLOOKUP(T_Commission[[#This Row],[NumL]],T_suiviDi[#Data],COLUMN(T_suiviDi[Nom]),FALSE),""),"")</f>
        <v/>
      </c>
      <c r="D27" s="19" t="str">
        <f>IFERROR(IF(VLOOKUP(T_Commission[[#This Row],[NumL]],T_suiviDi[#Data],COLUMN(T_suiviDi[Prénom]),FALSE)&lt;&gt;"",VLOOKUP(T_Commission[[#This Row],[NumL]],T_suiviDi[#Data],COLUMN(T_suiviDi[Prénom]),FALSE),""),"")</f>
        <v/>
      </c>
      <c r="E27" s="20" t="str">
        <f>IFERROR(IF(VLOOKUP(T_Commission[[#This Row],[NumL]],T_suiviDi[#Data],COLUMN(T_suiviDi[Email]),FALSE)&lt;&gt;"",VLOOKUP(T_Commission[[#This Row],[NumL]],T_suiviDi[#Data],COLUMN(T_suiviDi[Email]),FALSE),""),"")</f>
        <v/>
      </c>
      <c r="F27" s="274" t="str">
        <f>IFERROR(IF(VLOOKUP(T_Commission[[#This Row],[NumL]],T_suiviDi[#Data],COLUMN(T_suiviDi[[#This Row],[Nom1]]),FALSE)&lt;&gt;"",VLOOKUP(T_Commission[[#This Row],[NumL]],T_suiviDi[#Data],COLUMN(T_suiviDi[[#This Row],[Nom1]]),FALSE),""),"")</f>
        <v/>
      </c>
      <c r="G27" s="274" t="str">
        <f>IFERROR(IF(VLOOKUP(T_Commission[[#This Row],[NumL]],T_suiviDi[#Data],COLUMN(T_suiviDi[[#This Row],[Prénom1]]),FALSE)&lt;&gt;"",VLOOKUP(T_Commission[[#This Row],[NumL]],T_suiviDi[#Data],COLUMN(T_suiviDi[[#This Row],[Prénom1]]),FALSE),""),"")</f>
        <v/>
      </c>
      <c r="H27" s="274" t="str">
        <f>IFERROR(IF(VLOOKUP(T_Commission[[#This Row],[NumL]],T_suiviDi[#Data],COLUMN(T_suiviDi[[#This Row],[Email1]]),FALSE)&lt;&gt;"",VLOOKUP(T_Commission[[#This Row],[NumL]],T_suiviDi[#Data],COLUMN(T_suiviDi[[#This Row],[Email1]]),FALSE),""),"")</f>
        <v/>
      </c>
      <c r="I27" s="142" t="str">
        <f>IFERROR(VLOOKUP(T_Commission[[#This Row],[NumL]],T_TraitDi[#Data],COLUMN(T_TraitDi[[#This Row],[CTRL_PJ]]),FALSE),"")</f>
        <v/>
      </c>
      <c r="J27" s="142" t="str">
        <f>IF(T_Commission[[#This Row],[Nom]]&lt;&gt;"",IFERROR(VLOOKUP(T_Commission[[#This Row],[NumL]],T_TraitDi[#Data],COLUMN(T_TraitDi[[#This Row],[C10]]),FALSE),""),"")</f>
        <v/>
      </c>
      <c r="K27" s="142" t="str">
        <f>IFERROR(IF(VLOOKUP(T_Commission[[#This Row],[NumL]],T_suiviDi[#Data],COLUMN(T_suiviDi[[#This Row],[Avis n+1]]),FALSE)&lt;&gt;"",VLOOKUP(A27,T_suiviDi[#Data],COLUMN(T_suiviDi[[#This Row],[Avis n+1]]),FALSE),""),"")</f>
        <v/>
      </c>
      <c r="L27" s="142" t="str">
        <f>IFERROR(IF(VLOOKUP(T_Commission[[#This Row],[NumL]],T_suiviDi[#Data],COLUMN(T_suiviDi[[#This Row],[Avis n+2]]),FALSE)&lt;&gt;"",VLOOKUP(T_Commission[[#This Row],[NumL]],T_suiviDi[#Data],COLUMN(T_suiviDi[[#This Row],[Avis n+2]]),FALSE),""),"")</f>
        <v/>
      </c>
      <c r="M27" s="49">
        <v>1</v>
      </c>
      <c r="N27" s="49"/>
      <c r="O27" s="143" t="str">
        <f>IF(T_Commission[[#This Row],[Nom]]&lt;&gt;"",IF(T_Commission[[#This Row],[COM '#2]]&lt;&gt;"",MAX(T_Commission[[#This Row],[PJ]],T_Commission[[#This Row],[COM '#2]]),IF(T_Commission[[#This Row],[COM '#1]]&lt;&gt;"",MAX(T_Commission[[#This Row],[PJ]],T_Commission[[#This Row],[COM '#1]]),"")),"")</f>
        <v/>
      </c>
      <c r="P27" s="55" t="s">
        <v>115</v>
      </c>
      <c r="Q27" s="55" t="s">
        <v>3277</v>
      </c>
      <c r="R27" s="55" t="s">
        <v>3277</v>
      </c>
      <c r="S27" s="56"/>
      <c r="T27" s="144" t="s">
        <v>3632</v>
      </c>
    </row>
    <row r="28" spans="1:20" s="93" customFormat="1" ht="30" customHeight="1" x14ac:dyDescent="0.25">
      <c r="A28" s="90">
        <v>184</v>
      </c>
      <c r="B28" s="130" t="str">
        <f>IFERROR(IF(VLOOKUP(T_Commission[[#This Row],[NumL]],T_TraitDi[#Data],COLUMN(T_TraitDi[[#This Row],[Statut]]),FALSE)&lt;&gt;"",VLOOKUP(T_Commission[[#This Row],[NumL]],T_TraitDi[#Data],COLUMN(T_TraitDi[[#This Row],[Statut]]),FALSE),""),"")</f>
        <v/>
      </c>
      <c r="C28" s="19" t="str">
        <f>IFERROR(IF(VLOOKUP(T_Commission[[#This Row],[NumL]],T_suiviDi[#Data],COLUMN(T_suiviDi[Nom]),FALSE)&lt;&gt;"",VLOOKUP(T_Commission[[#This Row],[NumL]],T_suiviDi[#Data],COLUMN(T_suiviDi[Nom]),FALSE),""),"")</f>
        <v/>
      </c>
      <c r="D28" s="19" t="str">
        <f>IFERROR(IF(VLOOKUP(T_Commission[[#This Row],[NumL]],T_suiviDi[#Data],COLUMN(T_suiviDi[Prénom]),FALSE)&lt;&gt;"",VLOOKUP(T_Commission[[#This Row],[NumL]],T_suiviDi[#Data],COLUMN(T_suiviDi[Prénom]),FALSE),""),"")</f>
        <v/>
      </c>
      <c r="E28" s="20" t="str">
        <f>IFERROR(IF(VLOOKUP(T_Commission[[#This Row],[NumL]],T_suiviDi[#Data],COLUMN(T_suiviDi[Email]),FALSE)&lt;&gt;"",VLOOKUP(T_Commission[[#This Row],[NumL]],T_suiviDi[#Data],COLUMN(T_suiviDi[Email]),FALSE),""),"")</f>
        <v/>
      </c>
      <c r="F28" s="274" t="str">
        <f>IFERROR(IF(VLOOKUP(T_Commission[[#This Row],[NumL]],T_suiviDi[#Data],COLUMN(T_suiviDi[[#This Row],[Nom1]]),FALSE)&lt;&gt;"",VLOOKUP(T_Commission[[#This Row],[NumL]],T_suiviDi[#Data],COLUMN(T_suiviDi[[#This Row],[Nom1]]),FALSE),""),"")</f>
        <v/>
      </c>
      <c r="G28" s="274" t="str">
        <f>IFERROR(IF(VLOOKUP(T_Commission[[#This Row],[NumL]],T_suiviDi[#Data],COLUMN(T_suiviDi[[#This Row],[Prénom1]]),FALSE)&lt;&gt;"",VLOOKUP(T_Commission[[#This Row],[NumL]],T_suiviDi[#Data],COLUMN(T_suiviDi[[#This Row],[Prénom1]]),FALSE),""),"")</f>
        <v/>
      </c>
      <c r="H28" s="274" t="str">
        <f>IFERROR(IF(VLOOKUP(T_Commission[[#This Row],[NumL]],T_suiviDi[#Data],COLUMN(T_suiviDi[[#This Row],[Email1]]),FALSE)&lt;&gt;"",VLOOKUP(T_Commission[[#This Row],[NumL]],T_suiviDi[#Data],COLUMN(T_suiviDi[[#This Row],[Email1]]),FALSE),""),"")</f>
        <v/>
      </c>
      <c r="I28" s="142" t="str">
        <f>IFERROR(VLOOKUP(T_Commission[[#This Row],[NumL]],T_TraitDi[#Data],COLUMN(T_TraitDi[[#This Row],[CTRL_PJ]]),FALSE),"")</f>
        <v/>
      </c>
      <c r="J28" s="142" t="str">
        <f>IF(T_Commission[[#This Row],[Nom]]&lt;&gt;"",IFERROR(VLOOKUP(T_Commission[[#This Row],[NumL]],T_TraitDi[#Data],COLUMN(T_TraitDi[[#This Row],[C10]]),FALSE),""),"")</f>
        <v/>
      </c>
      <c r="K28" s="142" t="str">
        <f>IFERROR(IF(VLOOKUP(T_Commission[[#This Row],[NumL]],T_suiviDi[#Data],COLUMN(T_suiviDi[[#This Row],[Avis n+1]]),FALSE)&lt;&gt;"",VLOOKUP(A28,T_suiviDi[#Data],COLUMN(T_suiviDi[[#This Row],[Avis n+1]]),FALSE),""),"")</f>
        <v/>
      </c>
      <c r="L28" s="142" t="str">
        <f>IFERROR(IF(VLOOKUP(T_Commission[[#This Row],[NumL]],T_suiviDi[#Data],COLUMN(T_suiviDi[[#This Row],[Avis n+2]]),FALSE)&lt;&gt;"",VLOOKUP(T_Commission[[#This Row],[NumL]],T_suiviDi[#Data],COLUMN(T_suiviDi[[#This Row],[Avis n+2]]),FALSE),""),"")</f>
        <v/>
      </c>
      <c r="M28" s="49">
        <v>1</v>
      </c>
      <c r="N28" s="49"/>
      <c r="O28" s="143" t="str">
        <f>IF(T_Commission[[#This Row],[Nom]]&lt;&gt;"",IF(T_Commission[[#This Row],[COM '#2]]&lt;&gt;"",MAX(T_Commission[[#This Row],[PJ]],T_Commission[[#This Row],[COM '#2]]),IF(T_Commission[[#This Row],[COM '#1]]&lt;&gt;"",MAX(T_Commission[[#This Row],[PJ]],T_Commission[[#This Row],[COM '#1]]),"")),"")</f>
        <v/>
      </c>
      <c r="P28" s="55" t="s">
        <v>115</v>
      </c>
      <c r="Q28" s="55" t="s">
        <v>3277</v>
      </c>
      <c r="R28" s="55" t="s">
        <v>3277</v>
      </c>
      <c r="S28" s="56"/>
      <c r="T28" s="144"/>
    </row>
    <row r="29" spans="1:20" s="93" customFormat="1" ht="30" customHeight="1" x14ac:dyDescent="0.25">
      <c r="A29" s="90">
        <v>56</v>
      </c>
      <c r="B29" s="130" t="str">
        <f>IFERROR(IF(VLOOKUP(T_Commission[[#This Row],[NumL]],T_TraitDi[#Data],COLUMN(T_TraitDi[[#This Row],[Statut]]),FALSE)&lt;&gt;"",VLOOKUP(T_Commission[[#This Row],[NumL]],T_TraitDi[#Data],COLUMN(T_TraitDi[[#This Row],[Statut]]),FALSE),""),"")</f>
        <v/>
      </c>
      <c r="C29" s="19" t="str">
        <f>IFERROR(IF(VLOOKUP(T_Commission[[#This Row],[NumL]],T_suiviDi[#Data],COLUMN(T_suiviDi[Nom]),FALSE)&lt;&gt;"",VLOOKUP(T_Commission[[#This Row],[NumL]],T_suiviDi[#Data],COLUMN(T_suiviDi[Nom]),FALSE),""),"")</f>
        <v/>
      </c>
      <c r="D29" s="19" t="str">
        <f>IFERROR(IF(VLOOKUP(T_Commission[[#This Row],[NumL]],T_suiviDi[#Data],COLUMN(T_suiviDi[Prénom]),FALSE)&lt;&gt;"",VLOOKUP(T_Commission[[#This Row],[NumL]],T_suiviDi[#Data],COLUMN(T_suiviDi[Prénom]),FALSE),""),"")</f>
        <v/>
      </c>
      <c r="E29" s="20" t="str">
        <f>IFERROR(IF(VLOOKUP(T_Commission[[#This Row],[NumL]],T_suiviDi[#Data],COLUMN(T_suiviDi[Email]),FALSE)&lt;&gt;"",VLOOKUP(T_Commission[[#This Row],[NumL]],T_suiviDi[#Data],COLUMN(T_suiviDi[Email]),FALSE),""),"")</f>
        <v/>
      </c>
      <c r="F29" s="274" t="str">
        <f>IFERROR(IF(VLOOKUP(T_Commission[[#This Row],[NumL]],T_suiviDi[#Data],COLUMN(T_suiviDi[[#This Row],[Nom1]]),FALSE)&lt;&gt;"",VLOOKUP(T_Commission[[#This Row],[NumL]],T_suiviDi[#Data],COLUMN(T_suiviDi[[#This Row],[Nom1]]),FALSE),""),"")</f>
        <v/>
      </c>
      <c r="G29" s="274" t="str">
        <f>IFERROR(IF(VLOOKUP(T_Commission[[#This Row],[NumL]],T_suiviDi[#Data],COLUMN(T_suiviDi[[#This Row],[Prénom1]]),FALSE)&lt;&gt;"",VLOOKUP(T_Commission[[#This Row],[NumL]],T_suiviDi[#Data],COLUMN(T_suiviDi[[#This Row],[Prénom1]]),FALSE),""),"")</f>
        <v/>
      </c>
      <c r="H29" s="274" t="str">
        <f>IFERROR(IF(VLOOKUP(T_Commission[[#This Row],[NumL]],T_suiviDi[#Data],COLUMN(T_suiviDi[[#This Row],[Email1]]),FALSE)&lt;&gt;"",VLOOKUP(T_Commission[[#This Row],[NumL]],T_suiviDi[#Data],COLUMN(T_suiviDi[[#This Row],[Email1]]),FALSE),""),"")</f>
        <v/>
      </c>
      <c r="I29" s="142" t="str">
        <f>IFERROR(VLOOKUP(T_Commission[[#This Row],[NumL]],T_TraitDi[#Data],COLUMN(T_TraitDi[[#This Row],[CTRL_PJ]]),FALSE),"")</f>
        <v/>
      </c>
      <c r="J29" s="142" t="str">
        <f>IF(T_Commission[[#This Row],[Nom]]&lt;&gt;"",IFERROR(VLOOKUP(T_Commission[[#This Row],[NumL]],T_TraitDi[#Data],COLUMN(T_TraitDi[[#This Row],[C10]]),FALSE),""),"")</f>
        <v/>
      </c>
      <c r="K29" s="142" t="str">
        <f>IFERROR(IF(VLOOKUP(T_Commission[[#This Row],[NumL]],T_suiviDi[#Data],COLUMN(T_suiviDi[[#This Row],[Avis n+1]]),FALSE)&lt;&gt;"",VLOOKUP(A29,T_suiviDi[#Data],COLUMN(T_suiviDi[[#This Row],[Avis n+1]]),FALSE),""),"")</f>
        <v/>
      </c>
      <c r="L29" s="142" t="str">
        <f>IFERROR(IF(VLOOKUP(T_Commission[[#This Row],[NumL]],T_suiviDi[#Data],COLUMN(T_suiviDi[[#This Row],[Avis n+2]]),FALSE)&lt;&gt;"",VLOOKUP(T_Commission[[#This Row],[NumL]],T_suiviDi[#Data],COLUMN(T_suiviDi[[#This Row],[Avis n+2]]),FALSE),""),"")</f>
        <v/>
      </c>
      <c r="M29" s="49">
        <v>1</v>
      </c>
      <c r="N29" s="49"/>
      <c r="O29" s="143" t="str">
        <f>IF(T_Commission[[#This Row],[Nom]]&lt;&gt;"",IF(T_Commission[[#This Row],[COM '#2]]&lt;&gt;"",MAX(T_Commission[[#This Row],[PJ]],T_Commission[[#This Row],[COM '#2]]),IF(T_Commission[[#This Row],[COM '#1]]&lt;&gt;"",MAX(T_Commission[[#This Row],[PJ]],T_Commission[[#This Row],[COM '#1]]),"")),"")</f>
        <v/>
      </c>
      <c r="P29" s="55" t="s">
        <v>115</v>
      </c>
      <c r="Q29" s="55" t="s">
        <v>3277</v>
      </c>
      <c r="R29" s="55" t="s">
        <v>3277</v>
      </c>
      <c r="S29" s="56"/>
      <c r="T29" s="144"/>
    </row>
    <row r="30" spans="1:20" s="93" customFormat="1" ht="30" customHeight="1" x14ac:dyDescent="0.25">
      <c r="A30" s="90">
        <v>257</v>
      </c>
      <c r="B30" s="130" t="str">
        <f>IFERROR(IF(VLOOKUP(T_Commission[[#This Row],[NumL]],T_TraitDi[#Data],COLUMN(T_TraitDi[[#This Row],[Statut]]),FALSE)&lt;&gt;"",VLOOKUP(T_Commission[[#This Row],[NumL]],T_TraitDi[#Data],COLUMN(T_TraitDi[[#This Row],[Statut]]),FALSE),""),"")</f>
        <v/>
      </c>
      <c r="C30" s="19" t="str">
        <f>IFERROR(IF(VLOOKUP(T_Commission[[#This Row],[NumL]],T_suiviDi[#Data],COLUMN(T_suiviDi[Nom]),FALSE)&lt;&gt;"",VLOOKUP(T_Commission[[#This Row],[NumL]],T_suiviDi[#Data],COLUMN(T_suiviDi[Nom]),FALSE),""),"")</f>
        <v/>
      </c>
      <c r="D30" s="19" t="str">
        <f>IFERROR(IF(VLOOKUP(T_Commission[[#This Row],[NumL]],T_suiviDi[#Data],COLUMN(T_suiviDi[Prénom]),FALSE)&lt;&gt;"",VLOOKUP(T_Commission[[#This Row],[NumL]],T_suiviDi[#Data],COLUMN(T_suiviDi[Prénom]),FALSE),""),"")</f>
        <v/>
      </c>
      <c r="E30" s="20" t="str">
        <f>IFERROR(IF(VLOOKUP(T_Commission[[#This Row],[NumL]],T_suiviDi[#Data],COLUMN(T_suiviDi[Email]),FALSE)&lt;&gt;"",VLOOKUP(T_Commission[[#This Row],[NumL]],T_suiviDi[#Data],COLUMN(T_suiviDi[Email]),FALSE),""),"")</f>
        <v/>
      </c>
      <c r="F30" s="274" t="str">
        <f>IFERROR(IF(VLOOKUP(T_Commission[[#This Row],[NumL]],T_suiviDi[#Data],COLUMN(T_suiviDi[[#This Row],[Nom1]]),FALSE)&lt;&gt;"",VLOOKUP(T_Commission[[#This Row],[NumL]],T_suiviDi[#Data],COLUMN(T_suiviDi[[#This Row],[Nom1]]),FALSE),""),"")</f>
        <v/>
      </c>
      <c r="G30" s="274" t="str">
        <f>IFERROR(IF(VLOOKUP(T_Commission[[#This Row],[NumL]],T_suiviDi[#Data],COLUMN(T_suiviDi[[#This Row],[Prénom1]]),FALSE)&lt;&gt;"",VLOOKUP(T_Commission[[#This Row],[NumL]],T_suiviDi[#Data],COLUMN(T_suiviDi[[#This Row],[Prénom1]]),FALSE),""),"")</f>
        <v/>
      </c>
      <c r="H30" s="274" t="str">
        <f>IFERROR(IF(VLOOKUP(T_Commission[[#This Row],[NumL]],T_suiviDi[#Data],COLUMN(T_suiviDi[[#This Row],[Email1]]),FALSE)&lt;&gt;"",VLOOKUP(T_Commission[[#This Row],[NumL]],T_suiviDi[#Data],COLUMN(T_suiviDi[[#This Row],[Email1]]),FALSE),""),"")</f>
        <v/>
      </c>
      <c r="I30" s="142" t="str">
        <f>IFERROR(VLOOKUP(T_Commission[[#This Row],[NumL]],T_TraitDi[#Data],COLUMN(T_TraitDi[[#This Row],[CTRL_PJ]]),FALSE),"")</f>
        <v/>
      </c>
      <c r="J30" s="142" t="str">
        <f>IF(T_Commission[[#This Row],[Nom]]&lt;&gt;"",IFERROR(VLOOKUP(T_Commission[[#This Row],[NumL]],T_TraitDi[#Data],COLUMN(T_TraitDi[[#This Row],[C10]]),FALSE),""),"")</f>
        <v/>
      </c>
      <c r="K30" s="142" t="str">
        <f>IFERROR(IF(VLOOKUP(T_Commission[[#This Row],[NumL]],T_suiviDi[#Data],COLUMN(T_suiviDi[[#This Row],[Avis n+1]]),FALSE)&lt;&gt;"",VLOOKUP(A30,T_suiviDi[#Data],COLUMN(T_suiviDi[[#This Row],[Avis n+1]]),FALSE),""),"")</f>
        <v/>
      </c>
      <c r="L30" s="142" t="str">
        <f>IFERROR(IF(VLOOKUP(T_Commission[[#This Row],[NumL]],T_suiviDi[#Data],COLUMN(T_suiviDi[[#This Row],[Avis n+2]]),FALSE)&lt;&gt;"",VLOOKUP(T_Commission[[#This Row],[NumL]],T_suiviDi[#Data],COLUMN(T_suiviDi[[#This Row],[Avis n+2]]),FALSE),""),"")</f>
        <v/>
      </c>
      <c r="M30" s="49">
        <v>1</v>
      </c>
      <c r="N30" s="49"/>
      <c r="O30" s="143" t="str">
        <f>IF(T_Commission[[#This Row],[Nom]]&lt;&gt;"",IF(T_Commission[[#This Row],[COM '#2]]&lt;&gt;"",MAX(T_Commission[[#This Row],[PJ]],T_Commission[[#This Row],[COM '#2]]),IF(T_Commission[[#This Row],[COM '#1]]&lt;&gt;"",MAX(T_Commission[[#This Row],[PJ]],T_Commission[[#This Row],[COM '#1]]),"")),"")</f>
        <v/>
      </c>
      <c r="P30" s="55" t="s">
        <v>115</v>
      </c>
      <c r="Q30" s="55" t="s">
        <v>3277</v>
      </c>
      <c r="R30" s="55" t="s">
        <v>3277</v>
      </c>
      <c r="S30" s="56"/>
      <c r="T30" s="144"/>
    </row>
    <row r="31" spans="1:20" s="93" customFormat="1" ht="30" customHeight="1" x14ac:dyDescent="0.25">
      <c r="A31" s="90">
        <v>32</v>
      </c>
      <c r="B31" s="130" t="str">
        <f>IFERROR(IF(VLOOKUP(T_Commission[[#This Row],[NumL]],T_TraitDi[#Data],COLUMN(T_TraitDi[[#This Row],[Statut]]),FALSE)&lt;&gt;"",VLOOKUP(T_Commission[[#This Row],[NumL]],T_TraitDi[#Data],COLUMN(T_TraitDi[[#This Row],[Statut]]),FALSE),""),"")</f>
        <v/>
      </c>
      <c r="C31" s="19" t="str">
        <f>IFERROR(IF(VLOOKUP(T_Commission[[#This Row],[NumL]],T_suiviDi[#Data],COLUMN(T_suiviDi[Nom]),FALSE)&lt;&gt;"",VLOOKUP(T_Commission[[#This Row],[NumL]],T_suiviDi[#Data],COLUMN(T_suiviDi[Nom]),FALSE),""),"")</f>
        <v/>
      </c>
      <c r="D31" s="19" t="str">
        <f>IFERROR(IF(VLOOKUP(T_Commission[[#This Row],[NumL]],T_suiviDi[#Data],COLUMN(T_suiviDi[Prénom]),FALSE)&lt;&gt;"",VLOOKUP(T_Commission[[#This Row],[NumL]],T_suiviDi[#Data],COLUMN(T_suiviDi[Prénom]),FALSE),""),"")</f>
        <v/>
      </c>
      <c r="E31" s="20" t="str">
        <f>IFERROR(IF(VLOOKUP(T_Commission[[#This Row],[NumL]],T_suiviDi[#Data],COLUMN(T_suiviDi[Email]),FALSE)&lt;&gt;"",VLOOKUP(T_Commission[[#This Row],[NumL]],T_suiviDi[#Data],COLUMN(T_suiviDi[Email]),FALSE),""),"")</f>
        <v/>
      </c>
      <c r="F31" s="274" t="str">
        <f>IFERROR(IF(VLOOKUP(T_Commission[[#This Row],[NumL]],T_suiviDi[#Data],COLUMN(T_suiviDi[[#This Row],[Nom1]]),FALSE)&lt;&gt;"",VLOOKUP(T_Commission[[#This Row],[NumL]],T_suiviDi[#Data],COLUMN(T_suiviDi[[#This Row],[Nom1]]),FALSE),""),"")</f>
        <v/>
      </c>
      <c r="G31" s="274" t="str">
        <f>IFERROR(IF(VLOOKUP(T_Commission[[#This Row],[NumL]],T_suiviDi[#Data],COLUMN(T_suiviDi[[#This Row],[Prénom1]]),FALSE)&lt;&gt;"",VLOOKUP(T_Commission[[#This Row],[NumL]],T_suiviDi[#Data],COLUMN(T_suiviDi[[#This Row],[Prénom1]]),FALSE),""),"")</f>
        <v/>
      </c>
      <c r="H31" s="274" t="str">
        <f>IFERROR(IF(VLOOKUP(T_Commission[[#This Row],[NumL]],T_suiviDi[#Data],COLUMN(T_suiviDi[[#This Row],[Email1]]),FALSE)&lt;&gt;"",VLOOKUP(T_Commission[[#This Row],[NumL]],T_suiviDi[#Data],COLUMN(T_suiviDi[[#This Row],[Email1]]),FALSE),""),"")</f>
        <v/>
      </c>
      <c r="I31" s="142" t="str">
        <f>IFERROR(VLOOKUP(T_Commission[[#This Row],[NumL]],T_TraitDi[#Data],COLUMN(T_TraitDi[[#This Row],[CTRL_PJ]]),FALSE),"")</f>
        <v/>
      </c>
      <c r="J31" s="142" t="str">
        <f>IF(T_Commission[[#This Row],[Nom]]&lt;&gt;"",IFERROR(VLOOKUP(T_Commission[[#This Row],[NumL]],T_TraitDi[#Data],COLUMN(T_TraitDi[[#This Row],[C10]]),FALSE),""),"")</f>
        <v/>
      </c>
      <c r="K31" s="142" t="str">
        <f>IFERROR(IF(VLOOKUP(T_Commission[[#This Row],[NumL]],T_suiviDi[#Data],COLUMN(T_suiviDi[[#This Row],[Avis n+1]]),FALSE)&lt;&gt;"",VLOOKUP(A31,T_suiviDi[#Data],COLUMN(T_suiviDi[[#This Row],[Avis n+1]]),FALSE),""),"")</f>
        <v/>
      </c>
      <c r="L31" s="142" t="str">
        <f>IFERROR(IF(VLOOKUP(T_Commission[[#This Row],[NumL]],T_suiviDi[#Data],COLUMN(T_suiviDi[[#This Row],[Avis n+2]]),FALSE)&lt;&gt;"",VLOOKUP(T_Commission[[#This Row],[NumL]],T_suiviDi[#Data],COLUMN(T_suiviDi[[#This Row],[Avis n+2]]),FALSE),""),"")</f>
        <v/>
      </c>
      <c r="M31" s="49">
        <v>1</v>
      </c>
      <c r="N31" s="49"/>
      <c r="O31" s="143" t="str">
        <f>IF(T_Commission[[#This Row],[Nom]]&lt;&gt;"",IF(T_Commission[[#This Row],[COM '#2]]&lt;&gt;"",MAX(T_Commission[[#This Row],[PJ]],T_Commission[[#This Row],[COM '#2]]),IF(T_Commission[[#This Row],[COM '#1]]&lt;&gt;"",MAX(T_Commission[[#This Row],[PJ]],T_Commission[[#This Row],[COM '#1]]),"")),"")</f>
        <v/>
      </c>
      <c r="P31" s="55" t="s">
        <v>115</v>
      </c>
      <c r="Q31" s="55" t="s">
        <v>3277</v>
      </c>
      <c r="R31" s="55" t="s">
        <v>3277</v>
      </c>
      <c r="S31" s="56"/>
      <c r="T31" s="144"/>
    </row>
    <row r="32" spans="1:20" s="93" customFormat="1" ht="30" customHeight="1" x14ac:dyDescent="0.25">
      <c r="A32" s="90">
        <v>130</v>
      </c>
      <c r="B32" s="130" t="str">
        <f>IFERROR(IF(VLOOKUP(T_Commission[[#This Row],[NumL]],T_TraitDi[#Data],COLUMN(T_TraitDi[[#This Row],[Statut]]),FALSE)&lt;&gt;"",VLOOKUP(T_Commission[[#This Row],[NumL]],T_TraitDi[#Data],COLUMN(T_TraitDi[[#This Row],[Statut]]),FALSE),""),"")</f>
        <v/>
      </c>
      <c r="C32" s="19" t="str">
        <f>IFERROR(IF(VLOOKUP(T_Commission[[#This Row],[NumL]],T_suiviDi[#Data],COLUMN(T_suiviDi[Nom]),FALSE)&lt;&gt;"",VLOOKUP(T_Commission[[#This Row],[NumL]],T_suiviDi[#Data],COLUMN(T_suiviDi[Nom]),FALSE),""),"")</f>
        <v/>
      </c>
      <c r="D32" s="19" t="str">
        <f>IFERROR(IF(VLOOKUP(T_Commission[[#This Row],[NumL]],T_suiviDi[#Data],COLUMN(T_suiviDi[Prénom]),FALSE)&lt;&gt;"",VLOOKUP(T_Commission[[#This Row],[NumL]],T_suiviDi[#Data],COLUMN(T_suiviDi[Prénom]),FALSE),""),"")</f>
        <v/>
      </c>
      <c r="E32" s="20" t="str">
        <f>IFERROR(IF(VLOOKUP(T_Commission[[#This Row],[NumL]],T_suiviDi[#Data],COLUMN(T_suiviDi[Email]),FALSE)&lt;&gt;"",VLOOKUP(T_Commission[[#This Row],[NumL]],T_suiviDi[#Data],COLUMN(T_suiviDi[Email]),FALSE),""),"")</f>
        <v/>
      </c>
      <c r="F32" s="274" t="str">
        <f>IFERROR(IF(VLOOKUP(T_Commission[[#This Row],[NumL]],T_suiviDi[#Data],COLUMN(T_suiviDi[[#This Row],[Nom1]]),FALSE)&lt;&gt;"",VLOOKUP(T_Commission[[#This Row],[NumL]],T_suiviDi[#Data],COLUMN(T_suiviDi[[#This Row],[Nom1]]),FALSE),""),"")</f>
        <v/>
      </c>
      <c r="G32" s="274" t="str">
        <f>IFERROR(IF(VLOOKUP(T_Commission[[#This Row],[NumL]],T_suiviDi[#Data],COLUMN(T_suiviDi[[#This Row],[Prénom1]]),FALSE)&lt;&gt;"",VLOOKUP(T_Commission[[#This Row],[NumL]],T_suiviDi[#Data],COLUMN(T_suiviDi[[#This Row],[Prénom1]]),FALSE),""),"")</f>
        <v/>
      </c>
      <c r="H32" s="274" t="str">
        <f>IFERROR(IF(VLOOKUP(T_Commission[[#This Row],[NumL]],T_suiviDi[#Data],COLUMN(T_suiviDi[[#This Row],[Email1]]),FALSE)&lt;&gt;"",VLOOKUP(T_Commission[[#This Row],[NumL]],T_suiviDi[#Data],COLUMN(T_suiviDi[[#This Row],[Email1]]),FALSE),""),"")</f>
        <v/>
      </c>
      <c r="I32" s="142" t="str">
        <f>IFERROR(VLOOKUP(T_Commission[[#This Row],[NumL]],T_TraitDi[#Data],COLUMN(T_TraitDi[[#This Row],[CTRL_PJ]]),FALSE),"")</f>
        <v/>
      </c>
      <c r="J32" s="142" t="str">
        <f>IF(T_Commission[[#This Row],[Nom]]&lt;&gt;"",IFERROR(VLOOKUP(T_Commission[[#This Row],[NumL]],T_TraitDi[#Data],COLUMN(T_TraitDi[[#This Row],[C10]]),FALSE),""),"")</f>
        <v/>
      </c>
      <c r="K32" s="142" t="str">
        <f>IFERROR(IF(VLOOKUP(T_Commission[[#This Row],[NumL]],T_suiviDi[#Data],COLUMN(T_suiviDi[[#This Row],[Avis n+1]]),FALSE)&lt;&gt;"",VLOOKUP(A32,T_suiviDi[#Data],COLUMN(T_suiviDi[[#This Row],[Avis n+1]]),FALSE),""),"")</f>
        <v/>
      </c>
      <c r="L32" s="142" t="str">
        <f>IFERROR(IF(VLOOKUP(T_Commission[[#This Row],[NumL]],T_suiviDi[#Data],COLUMN(T_suiviDi[[#This Row],[Avis n+2]]),FALSE)&lt;&gt;"",VLOOKUP(T_Commission[[#This Row],[NumL]],T_suiviDi[#Data],COLUMN(T_suiviDi[[#This Row],[Avis n+2]]),FALSE),""),"")</f>
        <v/>
      </c>
      <c r="M32" s="49">
        <v>1</v>
      </c>
      <c r="N32" s="49"/>
      <c r="O32" s="143" t="str">
        <f>IF(T_Commission[[#This Row],[Nom]]&lt;&gt;"",IF(T_Commission[[#This Row],[COM '#2]]&lt;&gt;"",MAX(T_Commission[[#This Row],[PJ]],T_Commission[[#This Row],[COM '#2]]),IF(T_Commission[[#This Row],[COM '#1]]&lt;&gt;"",MAX(T_Commission[[#This Row],[PJ]],T_Commission[[#This Row],[COM '#1]]),"")),"")</f>
        <v/>
      </c>
      <c r="P32" s="55" t="s">
        <v>115</v>
      </c>
      <c r="Q32" s="55" t="s">
        <v>3277</v>
      </c>
      <c r="R32" s="55"/>
      <c r="S32" s="56"/>
      <c r="T32" s="144"/>
    </row>
    <row r="33" spans="1:20" s="93" customFormat="1" ht="30" customHeight="1" x14ac:dyDescent="0.25">
      <c r="A33" s="90">
        <v>329</v>
      </c>
      <c r="B33" s="130" t="str">
        <f>IFERROR(IF(VLOOKUP(T_Commission[[#This Row],[NumL]],T_TraitDi[#Data],COLUMN(T_TraitDi[[#This Row],[Statut]]),FALSE)&lt;&gt;"",VLOOKUP(T_Commission[[#This Row],[NumL]],T_TraitDi[#Data],COLUMN(T_TraitDi[[#This Row],[Statut]]),FALSE),""),"")</f>
        <v/>
      </c>
      <c r="C33" s="139" t="str">
        <f>IFERROR(IF(VLOOKUP(T_Commission[[#This Row],[NumL]],T_suiviDi[#Data],COLUMN(T_suiviDi[[#This Row],[Nom]]),FALSE)&lt;&gt;"",VLOOKUP(T_Commission[[#This Row],[NumL]],T_suiviDi[#Data],COLUMN(T_suiviDi[[#This Row],[Nom]]),FALSE),""),"")</f>
        <v/>
      </c>
      <c r="D33" s="139" t="str">
        <f>IFERROR(IF(VLOOKUP(T_Commission[[#This Row],[NumL]],T_suiviDi[#Data],COLUMN(T_suiviDi[[#This Row],[Prénom]]),FALSE)&lt;&gt;"",VLOOKUP(T_Commission[[#This Row],[NumL]],T_suiviDi[#Data],COLUMN(T_suiviDi[[#This Row],[Prénom]]),FALSE),""),"")</f>
        <v/>
      </c>
      <c r="E33" s="140" t="str">
        <f>IFERROR(IF(VLOOKUP(T_Commission[[#This Row],[NumL]],T_suiviDi[#Data],COLUMN(T_suiviDi[[#This Row],[Email]]),FALSE)&lt;&gt;"",VLOOKUP(T_Commission[[#This Row],[NumL]],T_suiviDi[#Data],COLUMN(T_suiviDi[[#This Row],[Email]]),FALSE),""),"")</f>
        <v/>
      </c>
      <c r="F33" s="141" t="str">
        <f>IFERROR(IF(VLOOKUP(T_Commission[[#This Row],[NumL]],T_suiviDi[#Data],COLUMN(T_suiviDi[[#This Row],[Nom1]]),FALSE)&lt;&gt;"",VLOOKUP(T_Commission[[#This Row],[NumL]],T_suiviDi[#Data],COLUMN(T_suiviDi[[#This Row],[Nom1]]),FALSE),""),"")</f>
        <v/>
      </c>
      <c r="G33" s="141" t="str">
        <f>IFERROR(IF(VLOOKUP(T_Commission[[#This Row],[NumL]],T_suiviDi[#Data],COLUMN(T_suiviDi[[#This Row],[Prénom1]]),FALSE)&lt;&gt;"",VLOOKUP(T_Commission[[#This Row],[NumL]],T_suiviDi[#Data],COLUMN(T_suiviDi[[#This Row],[Prénom1]]),FALSE),""),"")</f>
        <v/>
      </c>
      <c r="H33" s="141" t="str">
        <f>IFERROR(IF(VLOOKUP(T_Commission[[#This Row],[NumL]],T_suiviDi[#Data],COLUMN(T_suiviDi[[#This Row],[Email1]]),FALSE)&lt;&gt;"",VLOOKUP(T_Commission[[#This Row],[NumL]],T_suiviDi[#Data],COLUMN(T_suiviDi[[#This Row],[Email1]]),FALSE),""),"")</f>
        <v/>
      </c>
      <c r="I33" s="142" t="str">
        <f>IFERROR(VLOOKUP(T_Commission[[#This Row],[NumL]],T_TraitDi[#Data],COLUMN(T_TraitDi[[#This Row],[CTRL_PJ]]),FALSE),"")</f>
        <v/>
      </c>
      <c r="J33" s="142" t="str">
        <f>IF(C33&lt;&gt;"",IFERROR(VLOOKUP(A33,'2- Traitement des DI'!BV32,FALSE),""),"")</f>
        <v/>
      </c>
      <c r="K33" s="142" t="str">
        <f>IFERROR(IF(VLOOKUP(T_Commission[[#This Row],[NumL]],T_suiviDi[#Data],COLUMN(T_suiviDi[[#This Row],[Avis n+1]]),FALSE)&lt;&gt;"",VLOOKUP(A33,T_suiviDi[#Data],COLUMN(T_suiviDi[[#This Row],[Avis n+1]]),FALSE),""),"")</f>
        <v/>
      </c>
      <c r="L33" s="142" t="str">
        <f>IFERROR(IF(VLOOKUP(A33,ListeDI,27,FALSE)&lt;&gt;"",VLOOKUP(A33,ListeDI,27,FALSE),""),"")</f>
        <v/>
      </c>
      <c r="M33" s="49">
        <v>1</v>
      </c>
      <c r="N33" s="49"/>
      <c r="O33" s="143" t="str">
        <f>IF(C33&lt;&gt;"",IF(N33&lt;&gt;"",MAX(I33,N33),IF(M33&lt;&gt;"",MAX(I33,M33),"")),"")</f>
        <v/>
      </c>
      <c r="P33" s="55" t="s">
        <v>115</v>
      </c>
      <c r="Q33" s="55" t="s">
        <v>3277</v>
      </c>
      <c r="R33" s="55" t="s">
        <v>3277</v>
      </c>
      <c r="S33" s="56"/>
      <c r="T33" s="144"/>
    </row>
    <row r="34" spans="1:20" s="93" customFormat="1" ht="30" customHeight="1" x14ac:dyDescent="0.25">
      <c r="A34" s="90">
        <v>258</v>
      </c>
      <c r="B34" s="130" t="str">
        <f>IFERROR(IF(VLOOKUP(T_Commission[[#This Row],[NumL]],T_TraitDi[#Data],COLUMN(T_TraitDi[[#This Row],[Statut]]),FALSE)&lt;&gt;"",VLOOKUP(T_Commission[[#This Row],[NumL]],T_TraitDi[#Data],COLUMN(T_TraitDi[[#This Row],[Statut]]),FALSE),""),"")</f>
        <v/>
      </c>
      <c r="C34" s="19" t="str">
        <f>IFERROR(IF(VLOOKUP(T_Commission[[#This Row],[NumL]],T_suiviDi[#Data],COLUMN(T_suiviDi[Nom]),FALSE)&lt;&gt;"",VLOOKUP(T_Commission[[#This Row],[NumL]],T_suiviDi[#Data],COLUMN(T_suiviDi[Nom]),FALSE),""),"")</f>
        <v/>
      </c>
      <c r="D34" s="19" t="str">
        <f>IFERROR(IF(VLOOKUP(T_Commission[[#This Row],[NumL]],T_suiviDi[#Data],COLUMN(T_suiviDi[Prénom]),FALSE)&lt;&gt;"",VLOOKUP(T_Commission[[#This Row],[NumL]],T_suiviDi[#Data],COLUMN(T_suiviDi[Prénom]),FALSE),""),"")</f>
        <v/>
      </c>
      <c r="E34" s="20" t="str">
        <f>IFERROR(IF(VLOOKUP(T_Commission[[#This Row],[NumL]],T_suiviDi[#Data],COLUMN(T_suiviDi[Email]),FALSE)&lt;&gt;"",VLOOKUP(T_Commission[[#This Row],[NumL]],T_suiviDi[#Data],COLUMN(T_suiviDi[Email]),FALSE),""),"")</f>
        <v/>
      </c>
      <c r="F34" s="274" t="str">
        <f>IFERROR(IF(VLOOKUP(T_Commission[[#This Row],[NumL]],T_suiviDi[#Data],COLUMN(T_suiviDi[[#This Row],[Nom1]]),FALSE)&lt;&gt;"",VLOOKUP(T_Commission[[#This Row],[NumL]],T_suiviDi[#Data],COLUMN(T_suiviDi[[#This Row],[Nom1]]),FALSE),""),"")</f>
        <v/>
      </c>
      <c r="G34" s="274" t="str">
        <f>IFERROR(IF(VLOOKUP(T_Commission[[#This Row],[NumL]],T_suiviDi[#Data],COLUMN(T_suiviDi[[#This Row],[Prénom1]]),FALSE)&lt;&gt;"",VLOOKUP(T_Commission[[#This Row],[NumL]],T_suiviDi[#Data],COLUMN(T_suiviDi[[#This Row],[Prénom1]]),FALSE),""),"")</f>
        <v/>
      </c>
      <c r="H34" s="274" t="str">
        <f>IFERROR(IF(VLOOKUP(T_Commission[[#This Row],[NumL]],T_suiviDi[#Data],COLUMN(T_suiviDi[[#This Row],[Email1]]),FALSE)&lt;&gt;"",VLOOKUP(T_Commission[[#This Row],[NumL]],T_suiviDi[#Data],COLUMN(T_suiviDi[[#This Row],[Email1]]),FALSE),""),"")</f>
        <v/>
      </c>
      <c r="I34" s="142" t="str">
        <f>IFERROR(VLOOKUP(T_Commission[[#This Row],[NumL]],T_TraitDi[#Data],COLUMN(T_TraitDi[[#This Row],[CTRL_PJ]]),FALSE),"")</f>
        <v/>
      </c>
      <c r="J34" s="142" t="str">
        <f>IF(T_Commission[[#This Row],[Nom]]&lt;&gt;"",IFERROR(VLOOKUP(T_Commission[[#This Row],[NumL]],T_TraitDi[#Data],COLUMN(T_TraitDi[[#This Row],[C10]]),FALSE),""),"")</f>
        <v/>
      </c>
      <c r="K34" s="142" t="str">
        <f>IFERROR(IF(VLOOKUP(T_Commission[[#This Row],[NumL]],T_suiviDi[#Data],COLUMN(T_suiviDi[[#This Row],[Avis n+1]]),FALSE)&lt;&gt;"",VLOOKUP(A34,T_suiviDi[#Data],COLUMN(T_suiviDi[[#This Row],[Avis n+1]]),FALSE),""),"")</f>
        <v/>
      </c>
      <c r="L34" s="142" t="str">
        <f>IFERROR(IF(VLOOKUP(T_Commission[[#This Row],[NumL]],T_suiviDi[#Data],COLUMN(T_suiviDi[[#This Row],[Avis n+2]]),FALSE)&lt;&gt;"",VLOOKUP(T_Commission[[#This Row],[NumL]],T_suiviDi[#Data],COLUMN(T_suiviDi[[#This Row],[Avis n+2]]),FALSE),""),"")</f>
        <v/>
      </c>
      <c r="M34" s="49">
        <v>1</v>
      </c>
      <c r="N34" s="49"/>
      <c r="O34" s="143" t="str">
        <f>IF(T_Commission[[#This Row],[Nom]]&lt;&gt;"",IF(T_Commission[[#This Row],[COM '#2]]&lt;&gt;"",MAX(T_Commission[[#This Row],[PJ]],T_Commission[[#This Row],[COM '#2]]),IF(T_Commission[[#This Row],[COM '#1]]&lt;&gt;"",MAX(T_Commission[[#This Row],[PJ]],T_Commission[[#This Row],[COM '#1]]),"")),"")</f>
        <v/>
      </c>
      <c r="P34" s="55" t="s">
        <v>115</v>
      </c>
      <c r="Q34" s="55" t="s">
        <v>3277</v>
      </c>
      <c r="R34" s="55" t="s">
        <v>3277</v>
      </c>
      <c r="S34" s="56"/>
      <c r="T34" s="144"/>
    </row>
    <row r="35" spans="1:20" s="93" customFormat="1" ht="30" customHeight="1" x14ac:dyDescent="0.25">
      <c r="A35" s="90">
        <v>295</v>
      </c>
      <c r="B35" s="130" t="str">
        <f>IFERROR(IF(VLOOKUP(T_Commission[[#This Row],[NumL]],T_TraitDi[#Data],COLUMN(T_TraitDi[[#This Row],[Statut]]),FALSE)&lt;&gt;"",VLOOKUP(T_Commission[[#This Row],[NumL]],T_TraitDi[#Data],COLUMN(T_TraitDi[[#This Row],[Statut]]),FALSE),""),"")</f>
        <v/>
      </c>
      <c r="C35" s="139" t="str">
        <f>IFERROR(IF(VLOOKUP(T_Commission[[#This Row],[NumL]],T_suiviDi[#Data],COLUMN(T_suiviDi[[#This Row],[Nom]]),FALSE)&lt;&gt;"",VLOOKUP(T_Commission[[#This Row],[NumL]],T_suiviDi[#Data],COLUMN(T_suiviDi[[#This Row],[Nom]]),FALSE),""),"")</f>
        <v/>
      </c>
      <c r="D35" s="139" t="str">
        <f>IFERROR(IF(VLOOKUP(T_Commission[[#This Row],[NumL]],T_suiviDi[#Data],COLUMN(T_suiviDi[[#This Row],[Prénom]]),FALSE)&lt;&gt;"",VLOOKUP(T_Commission[[#This Row],[NumL]],T_suiviDi[#Data],COLUMN(T_suiviDi[[#This Row],[Prénom]]),FALSE),""),"")</f>
        <v/>
      </c>
      <c r="E35" s="140" t="str">
        <f>IFERROR(IF(VLOOKUP(T_Commission[[#This Row],[NumL]],T_suiviDi[#Data],COLUMN(T_suiviDi[[#This Row],[Email]]),FALSE)&lt;&gt;"",VLOOKUP(T_Commission[[#This Row],[NumL]],T_suiviDi[#Data],COLUMN(T_suiviDi[[#This Row],[Email]]),FALSE),""),"")</f>
        <v/>
      </c>
      <c r="F35" s="141" t="str">
        <f>IFERROR(IF(VLOOKUP(T_Commission[[#This Row],[NumL]],T_suiviDi[#Data],COLUMN(T_suiviDi[[#This Row],[Nom1]]),FALSE)&lt;&gt;"",VLOOKUP(T_Commission[[#This Row],[NumL]],T_suiviDi[#Data],COLUMN(T_suiviDi[[#This Row],[Nom1]]),FALSE),""),"")</f>
        <v/>
      </c>
      <c r="G35" s="141" t="str">
        <f>IFERROR(IF(VLOOKUP(T_Commission[[#This Row],[NumL]],T_suiviDi[#Data],COLUMN(T_suiviDi[[#This Row],[Prénom1]]),FALSE)&lt;&gt;"",VLOOKUP(T_Commission[[#This Row],[NumL]],T_suiviDi[#Data],COLUMN(T_suiviDi[[#This Row],[Prénom1]]),FALSE),""),"")</f>
        <v/>
      </c>
      <c r="H35" s="141" t="str">
        <f>IFERROR(IF(VLOOKUP(T_Commission[[#This Row],[NumL]],T_suiviDi[#Data],COLUMN(T_suiviDi[[#This Row],[Email1]]),FALSE)&lt;&gt;"",VLOOKUP(T_Commission[[#This Row],[NumL]],T_suiviDi[#Data],COLUMN(T_suiviDi[[#This Row],[Email1]]),FALSE),""),"")</f>
        <v/>
      </c>
      <c r="I35" s="142" t="str">
        <f>IFERROR(VLOOKUP(T_Commission[[#This Row],[NumL]],T_TraitDi[#Data],COLUMN(T_TraitDi[[#This Row],[CTRL_PJ]]),FALSE),"")</f>
        <v/>
      </c>
      <c r="J35" s="142" t="str">
        <f>IF(C35&lt;&gt;"",IFERROR(VLOOKUP(A35,'2- Traitement des DI'!BV32,FALSE),""),"")</f>
        <v/>
      </c>
      <c r="K35" s="142" t="str">
        <f>IFERROR(IF(VLOOKUP(T_Commission[[#This Row],[NumL]],T_suiviDi[#Data],COLUMN(T_suiviDi[[#This Row],[Avis n+1]]),FALSE)&lt;&gt;"",VLOOKUP(A35,T_suiviDi[#Data],COLUMN(T_suiviDi[[#This Row],[Avis n+1]]),FALSE),""),"")</f>
        <v/>
      </c>
      <c r="L35" s="142" t="str">
        <f>IFERROR(IF(VLOOKUP(A35,ListeDI,27,FALSE)&lt;&gt;"",VLOOKUP(A35,ListeDI,27,FALSE),""),"")</f>
        <v/>
      </c>
      <c r="M35" s="49">
        <v>1</v>
      </c>
      <c r="N35" s="49"/>
      <c r="O35" s="143" t="str">
        <f>IF(C35&lt;&gt;"",IF(N35&lt;&gt;"",MAX(I35,N35),IF(M35&lt;&gt;"",MAX(I35,M35),"")),"")</f>
        <v/>
      </c>
      <c r="P35" s="55" t="s">
        <v>115</v>
      </c>
      <c r="Q35" s="55" t="s">
        <v>3277</v>
      </c>
      <c r="R35" s="55" t="s">
        <v>3277</v>
      </c>
      <c r="S35" s="56"/>
      <c r="T35" s="144" t="s">
        <v>3615</v>
      </c>
    </row>
    <row r="36" spans="1:20" s="93" customFormat="1" ht="30" customHeight="1" x14ac:dyDescent="0.25">
      <c r="A36" s="90">
        <v>71</v>
      </c>
      <c r="B36" s="130" t="str">
        <f>IFERROR(IF(VLOOKUP(T_Commission[[#This Row],[NumL]],T_TraitDi[#Data],COLUMN(T_TraitDi[[#This Row],[Statut]]),FALSE)&lt;&gt;"",VLOOKUP(T_Commission[[#This Row],[NumL]],T_TraitDi[#Data],COLUMN(T_TraitDi[[#This Row],[Statut]]),FALSE),""),"")</f>
        <v/>
      </c>
      <c r="C36" s="19" t="str">
        <f>IFERROR(IF(VLOOKUP(T_Commission[[#This Row],[NumL]],T_suiviDi[#Data],COLUMN(T_suiviDi[Nom]),FALSE)&lt;&gt;"",VLOOKUP(T_Commission[[#This Row],[NumL]],T_suiviDi[#Data],COLUMN(T_suiviDi[Nom]),FALSE),""),"")</f>
        <v/>
      </c>
      <c r="D36" s="19" t="str">
        <f>IFERROR(IF(VLOOKUP(T_Commission[[#This Row],[NumL]],T_suiviDi[#Data],COLUMN(T_suiviDi[Prénom]),FALSE)&lt;&gt;"",VLOOKUP(T_Commission[[#This Row],[NumL]],T_suiviDi[#Data],COLUMN(T_suiviDi[Prénom]),FALSE),""),"")</f>
        <v/>
      </c>
      <c r="E36" s="20" t="str">
        <f>IFERROR(IF(VLOOKUP(T_Commission[[#This Row],[NumL]],T_suiviDi[#Data],COLUMN(T_suiviDi[Email]),FALSE)&lt;&gt;"",VLOOKUP(T_Commission[[#This Row],[NumL]],T_suiviDi[#Data],COLUMN(T_suiviDi[Email]),FALSE),""),"")</f>
        <v/>
      </c>
      <c r="F36" s="274" t="str">
        <f>IFERROR(IF(VLOOKUP(T_Commission[[#This Row],[NumL]],T_suiviDi[#Data],COLUMN(T_suiviDi[[#This Row],[Nom1]]),FALSE)&lt;&gt;"",VLOOKUP(T_Commission[[#This Row],[NumL]],T_suiviDi[#Data],COLUMN(T_suiviDi[[#This Row],[Nom1]]),FALSE),""),"")</f>
        <v/>
      </c>
      <c r="G36" s="274" t="str">
        <f>IFERROR(IF(VLOOKUP(T_Commission[[#This Row],[NumL]],T_suiviDi[#Data],COLUMN(T_suiviDi[[#This Row],[Prénom1]]),FALSE)&lt;&gt;"",VLOOKUP(T_Commission[[#This Row],[NumL]],T_suiviDi[#Data],COLUMN(T_suiviDi[[#This Row],[Prénom1]]),FALSE),""),"")</f>
        <v/>
      </c>
      <c r="H36" s="274" t="str">
        <f>IFERROR(IF(VLOOKUP(T_Commission[[#This Row],[NumL]],T_suiviDi[#Data],COLUMN(T_suiviDi[[#This Row],[Email1]]),FALSE)&lt;&gt;"",VLOOKUP(T_Commission[[#This Row],[NumL]],T_suiviDi[#Data],COLUMN(T_suiviDi[[#This Row],[Email1]]),FALSE),""),"")</f>
        <v/>
      </c>
      <c r="I36" s="142" t="str">
        <f>IFERROR(VLOOKUP(T_Commission[[#This Row],[NumL]],T_TraitDi[#Data],COLUMN(T_TraitDi[[#This Row],[CTRL_PJ]]),FALSE),"")</f>
        <v/>
      </c>
      <c r="J36" s="142" t="str">
        <f>IF(T_Commission[[#This Row],[Nom]]&lt;&gt;"",IFERROR(VLOOKUP(T_Commission[[#This Row],[NumL]],T_TraitDi[#Data],COLUMN(T_TraitDi[[#This Row],[C10]]),FALSE),""),"")</f>
        <v/>
      </c>
      <c r="K36" s="142" t="str">
        <f>IFERROR(IF(VLOOKUP(T_Commission[[#This Row],[NumL]],T_suiviDi[#Data],COLUMN(T_suiviDi[[#This Row],[Avis n+1]]),FALSE)&lt;&gt;"",VLOOKUP(A36,T_suiviDi[#Data],COLUMN(T_suiviDi[[#This Row],[Avis n+1]]),FALSE),""),"")</f>
        <v/>
      </c>
      <c r="L36" s="142" t="str">
        <f>IFERROR(IF(VLOOKUP(T_Commission[[#This Row],[NumL]],T_suiviDi[#Data],COLUMN(T_suiviDi[[#This Row],[Avis n+2]]),FALSE)&lt;&gt;"",VLOOKUP(T_Commission[[#This Row],[NumL]],T_suiviDi[#Data],COLUMN(T_suiviDi[[#This Row],[Avis n+2]]),FALSE),""),"")</f>
        <v/>
      </c>
      <c r="M36" s="49">
        <v>1</v>
      </c>
      <c r="N36" s="49"/>
      <c r="O36" s="143" t="str">
        <f>IF(T_Commission[[#This Row],[Nom]]&lt;&gt;"",IF(T_Commission[[#This Row],[COM '#2]]&lt;&gt;"",MAX(T_Commission[[#This Row],[PJ]],T_Commission[[#This Row],[COM '#2]]),IF(T_Commission[[#This Row],[COM '#1]]&lt;&gt;"",MAX(T_Commission[[#This Row],[PJ]],T_Commission[[#This Row],[COM '#1]]),"")),"")</f>
        <v/>
      </c>
      <c r="P36" s="55" t="s">
        <v>115</v>
      </c>
      <c r="Q36" s="55" t="s">
        <v>3277</v>
      </c>
      <c r="R36" s="55" t="s">
        <v>3277</v>
      </c>
      <c r="S36" s="56"/>
      <c r="T36" s="144"/>
    </row>
    <row r="37" spans="1:20" s="93" customFormat="1" ht="30" customHeight="1" x14ac:dyDescent="0.25">
      <c r="A37" s="90">
        <v>6</v>
      </c>
      <c r="B37" s="130" t="str">
        <f>IFERROR(IF(VLOOKUP(T_Commission[[#This Row],[NumL]],T_TraitDi[#Data],COLUMN(T_TraitDi[[#This Row],[Statut]]),FALSE)&lt;&gt;"",VLOOKUP(T_Commission[[#This Row],[NumL]],T_TraitDi[#Data],COLUMN(T_TraitDi[[#This Row],[Statut]]),FALSE),""),"")</f>
        <v/>
      </c>
      <c r="C37" s="19" t="str">
        <f>IFERROR(IF(VLOOKUP(T_Commission[[#This Row],[NumL]],T_suiviDi[#Data],COLUMN(T_suiviDi[Nom]),FALSE)&lt;&gt;"",VLOOKUP(T_Commission[[#This Row],[NumL]],T_suiviDi[#Data],COLUMN(T_suiviDi[Nom]),FALSE),""),"")</f>
        <v/>
      </c>
      <c r="D37" s="19" t="str">
        <f>IFERROR(IF(VLOOKUP(T_Commission[[#This Row],[NumL]],T_suiviDi[#Data],COLUMN(T_suiviDi[Prénom]),FALSE)&lt;&gt;"",VLOOKUP(T_Commission[[#This Row],[NumL]],T_suiviDi[#Data],COLUMN(T_suiviDi[Prénom]),FALSE),""),"")</f>
        <v/>
      </c>
      <c r="E37" s="20" t="str">
        <f>IFERROR(IF(VLOOKUP(T_Commission[[#This Row],[NumL]],T_suiviDi[#Data],COLUMN(T_suiviDi[Email]),FALSE)&lt;&gt;"",VLOOKUP(T_Commission[[#This Row],[NumL]],T_suiviDi[#Data],COLUMN(T_suiviDi[Email]),FALSE),""),"")</f>
        <v/>
      </c>
      <c r="F37" s="274" t="str">
        <f>IFERROR(IF(VLOOKUP(T_Commission[[#This Row],[NumL]],T_suiviDi[#Data],COLUMN(T_suiviDi[[#This Row],[Nom1]]),FALSE)&lt;&gt;"",VLOOKUP(T_Commission[[#This Row],[NumL]],T_suiviDi[#Data],COLUMN(T_suiviDi[[#This Row],[Nom1]]),FALSE),""),"")</f>
        <v/>
      </c>
      <c r="G37" s="274" t="str">
        <f>IFERROR(IF(VLOOKUP(T_Commission[[#This Row],[NumL]],T_suiviDi[#Data],COLUMN(T_suiviDi[[#This Row],[Prénom1]]),FALSE)&lt;&gt;"",VLOOKUP(T_Commission[[#This Row],[NumL]],T_suiviDi[#Data],COLUMN(T_suiviDi[[#This Row],[Prénom1]]),FALSE),""),"")</f>
        <v/>
      </c>
      <c r="H37" s="274" t="str">
        <f>IFERROR(IF(VLOOKUP(T_Commission[[#This Row],[NumL]],T_suiviDi[#Data],COLUMN(T_suiviDi[[#This Row],[Email1]]),FALSE)&lt;&gt;"",VLOOKUP(T_Commission[[#This Row],[NumL]],T_suiviDi[#Data],COLUMN(T_suiviDi[[#This Row],[Email1]]),FALSE),""),"")</f>
        <v/>
      </c>
      <c r="I37" s="142" t="str">
        <f>IFERROR(VLOOKUP(T_Commission[[#This Row],[NumL]],T_TraitDi[#Data],COLUMN(T_TraitDi[[#This Row],[CTRL_PJ]]),FALSE),"")</f>
        <v/>
      </c>
      <c r="J37" s="142" t="str">
        <f>IF(T_Commission[[#This Row],[Nom]]&lt;&gt;"",IFERROR(VLOOKUP(T_Commission[[#This Row],[NumL]],T_TraitDi[#Data],COLUMN(T_TraitDi[[#This Row],[C10]]),FALSE),""),"")</f>
        <v/>
      </c>
      <c r="K37" s="142" t="str">
        <f>IFERROR(IF(VLOOKUP(T_Commission[[#This Row],[NumL]],T_suiviDi[#Data],COLUMN(T_suiviDi[[#This Row],[Avis n+1]]),FALSE)&lt;&gt;"",VLOOKUP(A37,T_suiviDi[#Data],COLUMN(T_suiviDi[[#This Row],[Avis n+1]]),FALSE),""),"")</f>
        <v/>
      </c>
      <c r="L37" s="142" t="str">
        <f>IFERROR(IF(VLOOKUP(T_Commission[[#This Row],[NumL]],T_suiviDi[#Data],COLUMN(T_suiviDi[[#This Row],[Avis n+2]]),FALSE)&lt;&gt;"",VLOOKUP(T_Commission[[#This Row],[NumL]],T_suiviDi[#Data],COLUMN(T_suiviDi[[#This Row],[Avis n+2]]),FALSE),""),"")</f>
        <v/>
      </c>
      <c r="M37" s="49">
        <v>1</v>
      </c>
      <c r="N37" s="49"/>
      <c r="O37" s="143" t="str">
        <f>IF(T_Commission[[#This Row],[Nom]]&lt;&gt;"",IF(T_Commission[[#This Row],[COM '#2]]&lt;&gt;"",MAX(T_Commission[[#This Row],[PJ]],T_Commission[[#This Row],[COM '#2]]),IF(T_Commission[[#This Row],[COM '#1]]&lt;&gt;"",MAX(T_Commission[[#This Row],[PJ]],T_Commission[[#This Row],[COM '#1]]),"")),"")</f>
        <v/>
      </c>
      <c r="P37" s="55" t="s">
        <v>115</v>
      </c>
      <c r="Q37" s="55" t="s">
        <v>3277</v>
      </c>
      <c r="R37" s="55" t="s">
        <v>3277</v>
      </c>
      <c r="S37" s="56"/>
      <c r="T37" s="144"/>
    </row>
    <row r="38" spans="1:20" s="93" customFormat="1" ht="30" customHeight="1" x14ac:dyDescent="0.25">
      <c r="A38" s="90">
        <v>126</v>
      </c>
      <c r="B38" s="130" t="str">
        <f>IFERROR(IF(VLOOKUP(T_Commission[[#This Row],[NumL]],T_TraitDi[#Data],COLUMN(T_TraitDi[[#This Row],[Statut]]),FALSE)&lt;&gt;"",VLOOKUP(T_Commission[[#This Row],[NumL]],T_TraitDi[#Data],COLUMN(T_TraitDi[[#This Row],[Statut]]),FALSE),""),"")</f>
        <v/>
      </c>
      <c r="C38" s="19" t="str">
        <f>IFERROR(IF(VLOOKUP(T_Commission[[#This Row],[NumL]],T_suiviDi[#Data],COLUMN(T_suiviDi[Nom]),FALSE)&lt;&gt;"",VLOOKUP(T_Commission[[#This Row],[NumL]],T_suiviDi[#Data],COLUMN(T_suiviDi[Nom]),FALSE),""),"")</f>
        <v/>
      </c>
      <c r="D38" s="19" t="str">
        <f>IFERROR(IF(VLOOKUP(T_Commission[[#This Row],[NumL]],T_suiviDi[#Data],COLUMN(T_suiviDi[Prénom]),FALSE)&lt;&gt;"",VLOOKUP(T_Commission[[#This Row],[NumL]],T_suiviDi[#Data],COLUMN(T_suiviDi[Prénom]),FALSE),""),"")</f>
        <v/>
      </c>
      <c r="E38" s="20" t="str">
        <f>IFERROR(IF(VLOOKUP(T_Commission[[#This Row],[NumL]],T_suiviDi[#Data],COLUMN(T_suiviDi[Email]),FALSE)&lt;&gt;"",VLOOKUP(T_Commission[[#This Row],[NumL]],T_suiviDi[#Data],COLUMN(T_suiviDi[Email]),FALSE),""),"")</f>
        <v/>
      </c>
      <c r="F38" s="274" t="str">
        <f>IFERROR(IF(VLOOKUP(T_Commission[[#This Row],[NumL]],T_suiviDi[#Data],COLUMN(T_suiviDi[[#This Row],[Nom1]]),FALSE)&lt;&gt;"",VLOOKUP(T_Commission[[#This Row],[NumL]],T_suiviDi[#Data],COLUMN(T_suiviDi[[#This Row],[Nom1]]),FALSE),""),"")</f>
        <v/>
      </c>
      <c r="G38" s="274" t="str">
        <f>IFERROR(IF(VLOOKUP(T_Commission[[#This Row],[NumL]],T_suiviDi[#Data],COLUMN(T_suiviDi[[#This Row],[Prénom1]]),FALSE)&lt;&gt;"",VLOOKUP(T_Commission[[#This Row],[NumL]],T_suiviDi[#Data],COLUMN(T_suiviDi[[#This Row],[Prénom1]]),FALSE),""),"")</f>
        <v/>
      </c>
      <c r="H38" s="274" t="str">
        <f>IFERROR(IF(VLOOKUP(T_Commission[[#This Row],[NumL]],T_suiviDi[#Data],COLUMN(T_suiviDi[[#This Row],[Email1]]),FALSE)&lt;&gt;"",VLOOKUP(T_Commission[[#This Row],[NumL]],T_suiviDi[#Data],COLUMN(T_suiviDi[[#This Row],[Email1]]),FALSE),""),"")</f>
        <v/>
      </c>
      <c r="I38" s="142" t="str">
        <f>IFERROR(VLOOKUP(T_Commission[[#This Row],[NumL]],T_TraitDi[#Data],COLUMN(T_TraitDi[[#This Row],[CTRL_PJ]]),FALSE),"")</f>
        <v/>
      </c>
      <c r="J38" s="142" t="str">
        <f>IF(T_Commission[[#This Row],[Nom]]&lt;&gt;"",IFERROR(VLOOKUP(T_Commission[[#This Row],[NumL]],T_TraitDi[#Data],COLUMN(T_TraitDi[[#This Row],[C10]]),FALSE),""),"")</f>
        <v/>
      </c>
      <c r="K38" s="142" t="str">
        <f>IFERROR(IF(VLOOKUP(T_Commission[[#This Row],[NumL]],T_suiviDi[#Data],COLUMN(T_suiviDi[[#This Row],[Avis n+1]]),FALSE)&lt;&gt;"",VLOOKUP(A38,T_suiviDi[#Data],COLUMN(T_suiviDi[[#This Row],[Avis n+1]]),FALSE),""),"")</f>
        <v/>
      </c>
      <c r="L38" s="142" t="str">
        <f>IFERROR(IF(VLOOKUP(T_Commission[[#This Row],[NumL]],T_suiviDi[#Data],COLUMN(T_suiviDi[[#This Row],[Avis n+2]]),FALSE)&lt;&gt;"",VLOOKUP(T_Commission[[#This Row],[NumL]],T_suiviDi[#Data],COLUMN(T_suiviDi[[#This Row],[Avis n+2]]),FALSE),""),"")</f>
        <v/>
      </c>
      <c r="M38" s="49">
        <v>1</v>
      </c>
      <c r="N38" s="49"/>
      <c r="O38" s="143" t="str">
        <f>IF(T_Commission[[#This Row],[Nom]]&lt;&gt;"",IF(T_Commission[[#This Row],[COM '#2]]&lt;&gt;"",MAX(T_Commission[[#This Row],[PJ]],T_Commission[[#This Row],[COM '#2]]),IF(T_Commission[[#This Row],[COM '#1]]&lt;&gt;"",MAX(T_Commission[[#This Row],[PJ]],T_Commission[[#This Row],[COM '#1]]),"")),"")</f>
        <v/>
      </c>
      <c r="P38" s="55" t="s">
        <v>115</v>
      </c>
      <c r="Q38" s="55" t="s">
        <v>3277</v>
      </c>
      <c r="R38" s="55" t="s">
        <v>3277</v>
      </c>
      <c r="S38" s="56"/>
      <c r="T38" s="144"/>
    </row>
    <row r="39" spans="1:20" s="93" customFormat="1" ht="30" customHeight="1" x14ac:dyDescent="0.25">
      <c r="A39" s="90">
        <v>350</v>
      </c>
      <c r="B39" s="130" t="str">
        <f>IFERROR(IF(VLOOKUP(T_Commission[[#This Row],[NumL]],T_TraitDi[#Data],COLUMN(T_TraitDi[[#This Row],[Statut]]),FALSE)&lt;&gt;"",VLOOKUP(T_Commission[[#This Row],[NumL]],T_TraitDi[#Data],COLUMN(T_TraitDi[[#This Row],[Statut]]),FALSE),""),"")</f>
        <v/>
      </c>
      <c r="C39" s="139" t="str">
        <f>IFERROR(IF(VLOOKUP(T_Commission[[#This Row],[NumL]],T_suiviDi[#Data],COLUMN(T_suiviDi[[#This Row],[Nom]]),FALSE)&lt;&gt;"",VLOOKUP(T_Commission[[#This Row],[NumL]],T_suiviDi[#Data],COLUMN(T_suiviDi[[#This Row],[Nom]]),FALSE),""),"")</f>
        <v/>
      </c>
      <c r="D39" s="139" t="str">
        <f>IFERROR(IF(VLOOKUP(T_Commission[[#This Row],[NumL]],T_suiviDi[#Data],COLUMN(T_suiviDi[[#This Row],[Prénom]]),FALSE)&lt;&gt;"",VLOOKUP(T_Commission[[#This Row],[NumL]],T_suiviDi[#Data],COLUMN(T_suiviDi[[#This Row],[Prénom]]),FALSE),""),"")</f>
        <v/>
      </c>
      <c r="E39" s="140" t="str">
        <f>IFERROR(IF(VLOOKUP(T_Commission[[#This Row],[NumL]],T_suiviDi[#Data],COLUMN(T_suiviDi[[#This Row],[Email]]),FALSE)&lt;&gt;"",VLOOKUP(T_Commission[[#This Row],[NumL]],T_suiviDi[#Data],COLUMN(T_suiviDi[[#This Row],[Email]]),FALSE),""),"")</f>
        <v/>
      </c>
      <c r="F39" s="141" t="str">
        <f>IFERROR(IF(VLOOKUP(T_Commission[[#This Row],[NumL]],T_suiviDi[#Data],COLUMN(T_suiviDi[[#This Row],[Nom1]]),FALSE)&lt;&gt;"",VLOOKUP(T_Commission[[#This Row],[NumL]],T_suiviDi[#Data],COLUMN(T_suiviDi[[#This Row],[Nom1]]),FALSE),""),"")</f>
        <v/>
      </c>
      <c r="G39" s="141" t="str">
        <f>IFERROR(IF(VLOOKUP(T_Commission[[#This Row],[NumL]],T_suiviDi[#Data],COLUMN(T_suiviDi[[#This Row],[Prénom1]]),FALSE)&lt;&gt;"",VLOOKUP(T_Commission[[#This Row],[NumL]],T_suiviDi[#Data],COLUMN(T_suiviDi[[#This Row],[Prénom1]]),FALSE),""),"")</f>
        <v/>
      </c>
      <c r="H39" s="141" t="str">
        <f>IFERROR(IF(VLOOKUP(T_Commission[[#This Row],[NumL]],T_suiviDi[#Data],COLUMN(T_suiviDi[[#This Row],[Email1]]),FALSE)&lt;&gt;"",VLOOKUP(T_Commission[[#This Row],[NumL]],T_suiviDi[#Data],COLUMN(T_suiviDi[[#This Row],[Email1]]),FALSE),""),"")</f>
        <v/>
      </c>
      <c r="I39" s="142" t="str">
        <f>IFERROR(VLOOKUP(T_Commission[[#This Row],[NumL]],T_TraitDi[#Data],COLUMN(T_TraitDi[[#This Row],[CTRL_PJ]]),FALSE),"")</f>
        <v/>
      </c>
      <c r="J39" s="142" t="str">
        <f>IF(C39&lt;&gt;"",IFERROR(VLOOKUP(A39,'2- Traitement des DI'!BV32,FALSE),""),"")</f>
        <v/>
      </c>
      <c r="K39" s="142" t="str">
        <f>IFERROR(IF(VLOOKUP(T_Commission[[#This Row],[NumL]],T_suiviDi[#Data],COLUMN(T_suiviDi[[#This Row],[Avis n+1]]),FALSE)&lt;&gt;"",VLOOKUP(A39,T_suiviDi[#Data],COLUMN(T_suiviDi[[#This Row],[Avis n+1]]),FALSE),""),"")</f>
        <v/>
      </c>
      <c r="L39" s="142" t="str">
        <f>IFERROR(IF(VLOOKUP(A39,ListeDI,27,FALSE)&lt;&gt;"",VLOOKUP(A39,ListeDI,27,FALSE),""),"")</f>
        <v/>
      </c>
      <c r="M39" s="49">
        <v>1</v>
      </c>
      <c r="N39" s="49"/>
      <c r="O39" s="143" t="str">
        <f>IF(C39&lt;&gt;"",IF(N39&lt;&gt;"",MAX(I39,N39),IF(M39&lt;&gt;"",MAX(I39,M39),"")),"")</f>
        <v/>
      </c>
      <c r="P39" s="55" t="s">
        <v>115</v>
      </c>
      <c r="Q39" s="55" t="s">
        <v>3277</v>
      </c>
      <c r="R39" s="55"/>
      <c r="S39" s="56"/>
      <c r="T39" s="144"/>
    </row>
    <row r="40" spans="1:20" s="93" customFormat="1" ht="30" customHeight="1" x14ac:dyDescent="0.25">
      <c r="A40" s="90">
        <v>205</v>
      </c>
      <c r="B40" s="130" t="str">
        <f>IFERROR(IF(VLOOKUP(T_Commission[[#This Row],[NumL]],T_TraitDi[#Data],COLUMN(T_TraitDi[[#This Row],[Statut]]),FALSE)&lt;&gt;"",VLOOKUP(T_Commission[[#This Row],[NumL]],T_TraitDi[#Data],COLUMN(T_TraitDi[[#This Row],[Statut]]),FALSE),""),"")</f>
        <v/>
      </c>
      <c r="C40" s="19" t="str">
        <f>IFERROR(IF(VLOOKUP(T_Commission[[#This Row],[NumL]],T_suiviDi[#Data],COLUMN(T_suiviDi[Nom]),FALSE)&lt;&gt;"",VLOOKUP(T_Commission[[#This Row],[NumL]],T_suiviDi[#Data],COLUMN(T_suiviDi[Nom]),FALSE),""),"")</f>
        <v/>
      </c>
      <c r="D40" s="19" t="str">
        <f>IFERROR(IF(VLOOKUP(T_Commission[[#This Row],[NumL]],T_suiviDi[#Data],COLUMN(T_suiviDi[Prénom]),FALSE)&lt;&gt;"",VLOOKUP(T_Commission[[#This Row],[NumL]],T_suiviDi[#Data],COLUMN(T_suiviDi[Prénom]),FALSE),""),"")</f>
        <v/>
      </c>
      <c r="E40" s="20" t="str">
        <f>IFERROR(IF(VLOOKUP(T_Commission[[#This Row],[NumL]],T_suiviDi[#Data],COLUMN(T_suiviDi[Email]),FALSE)&lt;&gt;"",VLOOKUP(T_Commission[[#This Row],[NumL]],T_suiviDi[#Data],COLUMN(T_suiviDi[Email]),FALSE),""),"")</f>
        <v/>
      </c>
      <c r="F40" s="274" t="str">
        <f>IFERROR(IF(VLOOKUP(T_Commission[[#This Row],[NumL]],T_suiviDi[#Data],COLUMN(T_suiviDi[[#This Row],[Nom1]]),FALSE)&lt;&gt;"",VLOOKUP(T_Commission[[#This Row],[NumL]],T_suiviDi[#Data],COLUMN(T_suiviDi[[#This Row],[Nom1]]),FALSE),""),"")</f>
        <v/>
      </c>
      <c r="G40" s="274" t="str">
        <f>IFERROR(IF(VLOOKUP(T_Commission[[#This Row],[NumL]],T_suiviDi[#Data],COLUMN(T_suiviDi[[#This Row],[Prénom1]]),FALSE)&lt;&gt;"",VLOOKUP(T_Commission[[#This Row],[NumL]],T_suiviDi[#Data],COLUMN(T_suiviDi[[#This Row],[Prénom1]]),FALSE),""),"")</f>
        <v/>
      </c>
      <c r="H40" s="274" t="str">
        <f>IFERROR(IF(VLOOKUP(T_Commission[[#This Row],[NumL]],T_suiviDi[#Data],COLUMN(T_suiviDi[[#This Row],[Email1]]),FALSE)&lt;&gt;"",VLOOKUP(T_Commission[[#This Row],[NumL]],T_suiviDi[#Data],COLUMN(T_suiviDi[[#This Row],[Email1]]),FALSE),""),"")</f>
        <v/>
      </c>
      <c r="I40" s="142" t="str">
        <f>IFERROR(VLOOKUP(T_Commission[[#This Row],[NumL]],T_TraitDi[#Data],COLUMN(T_TraitDi[[#This Row],[CTRL_PJ]]),FALSE),"")</f>
        <v/>
      </c>
      <c r="J40" s="142" t="str">
        <f>IF(T_Commission[[#This Row],[Nom]]&lt;&gt;"",IFERROR(VLOOKUP(T_Commission[[#This Row],[NumL]],T_TraitDi[#Data],COLUMN(T_TraitDi[[#This Row],[C10]]),FALSE),""),"")</f>
        <v/>
      </c>
      <c r="K40" s="142" t="str">
        <f>IFERROR(IF(VLOOKUP(T_Commission[[#This Row],[NumL]],T_suiviDi[#Data],COLUMN(T_suiviDi[[#This Row],[Avis n+1]]),FALSE)&lt;&gt;"",VLOOKUP(A40,T_suiviDi[#Data],COLUMN(T_suiviDi[[#This Row],[Avis n+1]]),FALSE),""),"")</f>
        <v/>
      </c>
      <c r="L40" s="142" t="str">
        <f>IFERROR(IF(VLOOKUP(T_Commission[[#This Row],[NumL]],T_suiviDi[#Data],COLUMN(T_suiviDi[[#This Row],[Avis n+2]]),FALSE)&lt;&gt;"",VLOOKUP(T_Commission[[#This Row],[NumL]],T_suiviDi[#Data],COLUMN(T_suiviDi[[#This Row],[Avis n+2]]),FALSE),""),"")</f>
        <v/>
      </c>
      <c r="M40" s="49">
        <v>1</v>
      </c>
      <c r="N40" s="49"/>
      <c r="O40" s="143" t="str">
        <f>IF(T_Commission[[#This Row],[Nom]]&lt;&gt;"",IF(T_Commission[[#This Row],[COM '#2]]&lt;&gt;"",MAX(T_Commission[[#This Row],[PJ]],T_Commission[[#This Row],[COM '#2]]),IF(T_Commission[[#This Row],[COM '#1]]&lt;&gt;"",MAX(T_Commission[[#This Row],[PJ]],T_Commission[[#This Row],[COM '#1]]),"")),"")</f>
        <v/>
      </c>
      <c r="P40" s="55" t="s">
        <v>115</v>
      </c>
      <c r="Q40" s="55" t="s">
        <v>3277</v>
      </c>
      <c r="R40" s="55" t="s">
        <v>3277</v>
      </c>
      <c r="S40" s="56"/>
      <c r="T40" s="144"/>
    </row>
    <row r="41" spans="1:20" s="93" customFormat="1" ht="30" customHeight="1" x14ac:dyDescent="0.25">
      <c r="A41" s="90">
        <v>145</v>
      </c>
      <c r="B41" s="130" t="str">
        <f>IFERROR(IF(VLOOKUP(T_Commission[[#This Row],[NumL]],T_TraitDi[#Data],COLUMN(T_TraitDi[[#This Row],[Statut]]),FALSE)&lt;&gt;"",VLOOKUP(T_Commission[[#This Row],[NumL]],T_TraitDi[#Data],COLUMN(T_TraitDi[[#This Row],[Statut]]),FALSE),""),"")</f>
        <v/>
      </c>
      <c r="C41" s="19" t="str">
        <f>IFERROR(IF(VLOOKUP(T_Commission[[#This Row],[NumL]],T_suiviDi[#Data],COLUMN(T_suiviDi[Nom]),FALSE)&lt;&gt;"",VLOOKUP(T_Commission[[#This Row],[NumL]],T_suiviDi[#Data],COLUMN(T_suiviDi[Nom]),FALSE),""),"")</f>
        <v/>
      </c>
      <c r="D41" s="19" t="str">
        <f>IFERROR(IF(VLOOKUP(T_Commission[[#This Row],[NumL]],T_suiviDi[#Data],COLUMN(T_suiviDi[Prénom]),FALSE)&lt;&gt;"",VLOOKUP(T_Commission[[#This Row],[NumL]],T_suiviDi[#Data],COLUMN(T_suiviDi[Prénom]),FALSE),""),"")</f>
        <v/>
      </c>
      <c r="E41" s="20" t="str">
        <f>IFERROR(IF(VLOOKUP(T_Commission[[#This Row],[NumL]],T_suiviDi[#Data],COLUMN(T_suiviDi[Email]),FALSE)&lt;&gt;"",VLOOKUP(T_Commission[[#This Row],[NumL]],T_suiviDi[#Data],COLUMN(T_suiviDi[Email]),FALSE),""),"")</f>
        <v/>
      </c>
      <c r="F41" s="274" t="str">
        <f>IFERROR(IF(VLOOKUP(T_Commission[[#This Row],[NumL]],T_suiviDi[#Data],COLUMN(T_suiviDi[[#This Row],[Nom1]]),FALSE)&lt;&gt;"",VLOOKUP(T_Commission[[#This Row],[NumL]],T_suiviDi[#Data],COLUMN(T_suiviDi[[#This Row],[Nom1]]),FALSE),""),"")</f>
        <v/>
      </c>
      <c r="G41" s="274" t="str">
        <f>IFERROR(IF(VLOOKUP(T_Commission[[#This Row],[NumL]],T_suiviDi[#Data],COLUMN(T_suiviDi[[#This Row],[Prénom1]]),FALSE)&lt;&gt;"",VLOOKUP(T_Commission[[#This Row],[NumL]],T_suiviDi[#Data],COLUMN(T_suiviDi[[#This Row],[Prénom1]]),FALSE),""),"")</f>
        <v/>
      </c>
      <c r="H41" s="274" t="str">
        <f>IFERROR(IF(VLOOKUP(T_Commission[[#This Row],[NumL]],T_suiviDi[#Data],COLUMN(T_suiviDi[[#This Row],[Email1]]),FALSE)&lt;&gt;"",VLOOKUP(T_Commission[[#This Row],[NumL]],T_suiviDi[#Data],COLUMN(T_suiviDi[[#This Row],[Email1]]),FALSE),""),"")</f>
        <v/>
      </c>
      <c r="I41" s="142" t="str">
        <f>IFERROR(VLOOKUP(T_Commission[[#This Row],[NumL]],T_TraitDi[#Data],COLUMN(T_TraitDi[[#This Row],[CTRL_PJ]]),FALSE),"")</f>
        <v/>
      </c>
      <c r="J41" s="142" t="str">
        <f>IF(T_Commission[[#This Row],[Nom]]&lt;&gt;"",IFERROR(VLOOKUP(T_Commission[[#This Row],[NumL]],T_TraitDi[#Data],COLUMN(T_TraitDi[[#This Row],[C10]]),FALSE),""),"")</f>
        <v/>
      </c>
      <c r="K41" s="142" t="str">
        <f>IFERROR(IF(VLOOKUP(T_Commission[[#This Row],[NumL]],T_suiviDi[#Data],COLUMN(T_suiviDi[[#This Row],[Avis n+1]]),FALSE)&lt;&gt;"",VLOOKUP(A41,T_suiviDi[#Data],COLUMN(T_suiviDi[[#This Row],[Avis n+1]]),FALSE),""),"")</f>
        <v/>
      </c>
      <c r="L41" s="142" t="str">
        <f>IFERROR(IF(VLOOKUP(T_Commission[[#This Row],[NumL]],T_suiviDi[#Data],COLUMN(T_suiviDi[[#This Row],[Avis n+2]]),FALSE)&lt;&gt;"",VLOOKUP(T_Commission[[#This Row],[NumL]],T_suiviDi[#Data],COLUMN(T_suiviDi[[#This Row],[Avis n+2]]),FALSE),""),"")</f>
        <v/>
      </c>
      <c r="M41" s="49">
        <v>1</v>
      </c>
      <c r="N41" s="49"/>
      <c r="O41" s="143" t="str">
        <f>IF(T_Commission[[#This Row],[Nom]]&lt;&gt;"",IF(T_Commission[[#This Row],[COM '#2]]&lt;&gt;"",MAX(T_Commission[[#This Row],[PJ]],T_Commission[[#This Row],[COM '#2]]),IF(T_Commission[[#This Row],[COM '#1]]&lt;&gt;"",MAX(T_Commission[[#This Row],[PJ]],T_Commission[[#This Row],[COM '#1]]),"")),"")</f>
        <v/>
      </c>
      <c r="P41" s="55" t="s">
        <v>115</v>
      </c>
      <c r="Q41" s="55" t="s">
        <v>3277</v>
      </c>
      <c r="R41" s="55" t="s">
        <v>3277</v>
      </c>
      <c r="S41" s="56"/>
      <c r="T41" s="144"/>
    </row>
    <row r="42" spans="1:20" s="93" customFormat="1" ht="30" customHeight="1" x14ac:dyDescent="0.25">
      <c r="A42" s="90">
        <v>231</v>
      </c>
      <c r="B42" s="130" t="str">
        <f>IFERROR(IF(VLOOKUP(T_Commission[[#This Row],[NumL]],T_TraitDi[#Data],COLUMN(T_TraitDi[[#This Row],[Statut]]),FALSE)&lt;&gt;"",VLOOKUP(T_Commission[[#This Row],[NumL]],T_TraitDi[#Data],COLUMN(T_TraitDi[[#This Row],[Statut]]),FALSE),""),"")</f>
        <v/>
      </c>
      <c r="C42" s="19" t="str">
        <f>IFERROR(IF(VLOOKUP(T_Commission[[#This Row],[NumL]],T_suiviDi[#Data],COLUMN(T_suiviDi[Nom]),FALSE)&lt;&gt;"",VLOOKUP(T_Commission[[#This Row],[NumL]],T_suiviDi[#Data],COLUMN(T_suiviDi[Nom]),FALSE),""),"")</f>
        <v/>
      </c>
      <c r="D42" s="19" t="str">
        <f>IFERROR(IF(VLOOKUP(T_Commission[[#This Row],[NumL]],T_suiviDi[#Data],COLUMN(T_suiviDi[Prénom]),FALSE)&lt;&gt;"",VLOOKUP(T_Commission[[#This Row],[NumL]],T_suiviDi[#Data],COLUMN(T_suiviDi[Prénom]),FALSE),""),"")</f>
        <v/>
      </c>
      <c r="E42" s="20" t="str">
        <f>IFERROR(IF(VLOOKUP(T_Commission[[#This Row],[NumL]],T_suiviDi[#Data],COLUMN(T_suiviDi[Email]),FALSE)&lt;&gt;"",VLOOKUP(T_Commission[[#This Row],[NumL]],T_suiviDi[#Data],COLUMN(T_suiviDi[Email]),FALSE),""),"")</f>
        <v/>
      </c>
      <c r="F42" s="274" t="str">
        <f>IFERROR(IF(VLOOKUP(T_Commission[[#This Row],[NumL]],T_suiviDi[#Data],COLUMN(T_suiviDi[[#This Row],[Nom1]]),FALSE)&lt;&gt;"",VLOOKUP(T_Commission[[#This Row],[NumL]],T_suiviDi[#Data],COLUMN(T_suiviDi[[#This Row],[Nom1]]),FALSE),""),"")</f>
        <v/>
      </c>
      <c r="G42" s="274" t="str">
        <f>IFERROR(IF(VLOOKUP(T_Commission[[#This Row],[NumL]],T_suiviDi[#Data],COLUMN(T_suiviDi[[#This Row],[Prénom1]]),FALSE)&lt;&gt;"",VLOOKUP(T_Commission[[#This Row],[NumL]],T_suiviDi[#Data],COLUMN(T_suiviDi[[#This Row],[Prénom1]]),FALSE),""),"")</f>
        <v/>
      </c>
      <c r="H42" s="274" t="str">
        <f>IFERROR(IF(VLOOKUP(T_Commission[[#This Row],[NumL]],T_suiviDi[#Data],COLUMN(T_suiviDi[[#This Row],[Email1]]),FALSE)&lt;&gt;"",VLOOKUP(T_Commission[[#This Row],[NumL]],T_suiviDi[#Data],COLUMN(T_suiviDi[[#This Row],[Email1]]),FALSE),""),"")</f>
        <v/>
      </c>
      <c r="I42" s="142" t="str">
        <f>IFERROR(VLOOKUP(T_Commission[[#This Row],[NumL]],T_TraitDi[#Data],COLUMN(T_TraitDi[[#This Row],[CTRL_PJ]]),FALSE),"")</f>
        <v/>
      </c>
      <c r="J42" s="142" t="str">
        <f>IF(T_Commission[[#This Row],[Nom]]&lt;&gt;"",IFERROR(VLOOKUP(T_Commission[[#This Row],[NumL]],T_TraitDi[#Data],COLUMN(T_TraitDi[[#This Row],[C10]]),FALSE),""),"")</f>
        <v/>
      </c>
      <c r="K42" s="142" t="str">
        <f>IFERROR(IF(VLOOKUP(T_Commission[[#This Row],[NumL]],T_suiviDi[#Data],COLUMN(T_suiviDi[[#This Row],[Avis n+1]]),FALSE)&lt;&gt;"",VLOOKUP(A42,T_suiviDi[#Data],COLUMN(T_suiviDi[[#This Row],[Avis n+1]]),FALSE),""),"")</f>
        <v/>
      </c>
      <c r="L42" s="142" t="str">
        <f>IFERROR(IF(VLOOKUP(T_Commission[[#This Row],[NumL]],T_suiviDi[#Data],COLUMN(T_suiviDi[[#This Row],[Avis n+2]]),FALSE)&lt;&gt;"",VLOOKUP(T_Commission[[#This Row],[NumL]],T_suiviDi[#Data],COLUMN(T_suiviDi[[#This Row],[Avis n+2]]),FALSE),""),"")</f>
        <v/>
      </c>
      <c r="M42" s="49">
        <v>1</v>
      </c>
      <c r="N42" s="49"/>
      <c r="O42" s="143" t="str">
        <f>IF(T_Commission[[#This Row],[Nom]]&lt;&gt;"",IF(T_Commission[[#This Row],[COM '#2]]&lt;&gt;"",MAX(T_Commission[[#This Row],[PJ]],T_Commission[[#This Row],[COM '#2]]),IF(T_Commission[[#This Row],[COM '#1]]&lt;&gt;"",MAX(T_Commission[[#This Row],[PJ]],T_Commission[[#This Row],[COM '#1]]),"")),"")</f>
        <v/>
      </c>
      <c r="P42" s="55" t="s">
        <v>115</v>
      </c>
      <c r="Q42" s="55" t="s">
        <v>3277</v>
      </c>
      <c r="R42" s="55" t="s">
        <v>3277</v>
      </c>
      <c r="S42" s="56"/>
      <c r="T42" s="144"/>
    </row>
    <row r="43" spans="1:20" s="93" customFormat="1" ht="30" customHeight="1" x14ac:dyDescent="0.25">
      <c r="A43" s="90">
        <v>247</v>
      </c>
      <c r="B43" s="130" t="str">
        <f>IFERROR(IF(VLOOKUP(T_Commission[[#This Row],[NumL]],T_TraitDi[#Data],COLUMN(T_TraitDi[[#This Row],[Statut]]),FALSE)&lt;&gt;"",VLOOKUP(T_Commission[[#This Row],[NumL]],T_TraitDi[#Data],COLUMN(T_TraitDi[[#This Row],[Statut]]),FALSE),""),"")</f>
        <v/>
      </c>
      <c r="C43" s="19" t="str">
        <f>IFERROR(IF(VLOOKUP(T_Commission[[#This Row],[NumL]],T_suiviDi[#Data],COLUMN(T_suiviDi[Nom]),FALSE)&lt;&gt;"",VLOOKUP(T_Commission[[#This Row],[NumL]],T_suiviDi[#Data],COLUMN(T_suiviDi[Nom]),FALSE),""),"")</f>
        <v/>
      </c>
      <c r="D43" s="19" t="str">
        <f>IFERROR(IF(VLOOKUP(T_Commission[[#This Row],[NumL]],T_suiviDi[#Data],COLUMN(T_suiviDi[Prénom]),FALSE)&lt;&gt;"",VLOOKUP(T_Commission[[#This Row],[NumL]],T_suiviDi[#Data],COLUMN(T_suiviDi[Prénom]),FALSE),""),"")</f>
        <v/>
      </c>
      <c r="E43" s="20" t="str">
        <f>IFERROR(IF(VLOOKUP(T_Commission[[#This Row],[NumL]],T_suiviDi[#Data],COLUMN(T_suiviDi[Email]),FALSE)&lt;&gt;"",VLOOKUP(T_Commission[[#This Row],[NumL]],T_suiviDi[#Data],COLUMN(T_suiviDi[Email]),FALSE),""),"")</f>
        <v/>
      </c>
      <c r="F43" s="274" t="str">
        <f>IFERROR(IF(VLOOKUP(T_Commission[[#This Row],[NumL]],T_suiviDi[#Data],COLUMN(T_suiviDi[[#This Row],[Nom1]]),FALSE)&lt;&gt;"",VLOOKUP(T_Commission[[#This Row],[NumL]],T_suiviDi[#Data],COLUMN(T_suiviDi[[#This Row],[Nom1]]),FALSE),""),"")</f>
        <v/>
      </c>
      <c r="G43" s="274" t="str">
        <f>IFERROR(IF(VLOOKUP(T_Commission[[#This Row],[NumL]],T_suiviDi[#Data],COLUMN(T_suiviDi[[#This Row],[Prénom1]]),FALSE)&lt;&gt;"",VLOOKUP(T_Commission[[#This Row],[NumL]],T_suiviDi[#Data],COLUMN(T_suiviDi[[#This Row],[Prénom1]]),FALSE),""),"")</f>
        <v/>
      </c>
      <c r="H43" s="274" t="str">
        <f>IFERROR(IF(VLOOKUP(T_Commission[[#This Row],[NumL]],T_suiviDi[#Data],COLUMN(T_suiviDi[[#This Row],[Email1]]),FALSE)&lt;&gt;"",VLOOKUP(T_Commission[[#This Row],[NumL]],T_suiviDi[#Data],COLUMN(T_suiviDi[[#This Row],[Email1]]),FALSE),""),"")</f>
        <v/>
      </c>
      <c r="I43" s="142" t="str">
        <f>IFERROR(VLOOKUP(T_Commission[[#This Row],[NumL]],T_TraitDi[#Data],COLUMN(T_TraitDi[[#This Row],[CTRL_PJ]]),FALSE),"")</f>
        <v/>
      </c>
      <c r="J43" s="142" t="str">
        <f>IF(T_Commission[[#This Row],[Nom]]&lt;&gt;"",IFERROR(VLOOKUP(T_Commission[[#This Row],[NumL]],T_TraitDi[#Data],COLUMN(T_TraitDi[[#This Row],[C10]]),FALSE),""),"")</f>
        <v/>
      </c>
      <c r="K43" s="142" t="str">
        <f>IFERROR(IF(VLOOKUP(T_Commission[[#This Row],[NumL]],T_suiviDi[#Data],COLUMN(T_suiviDi[[#This Row],[Avis n+1]]),FALSE)&lt;&gt;"",VLOOKUP(A43,T_suiviDi[#Data],COLUMN(T_suiviDi[[#This Row],[Avis n+1]]),FALSE),""),"")</f>
        <v/>
      </c>
      <c r="L43" s="142" t="str">
        <f>IFERROR(IF(VLOOKUP(T_Commission[[#This Row],[NumL]],T_suiviDi[#Data],COLUMN(T_suiviDi[[#This Row],[Avis n+2]]),FALSE)&lt;&gt;"",VLOOKUP(T_Commission[[#This Row],[NumL]],T_suiviDi[#Data],COLUMN(T_suiviDi[[#This Row],[Avis n+2]]),FALSE),""),"")</f>
        <v/>
      </c>
      <c r="M43" s="49">
        <v>1</v>
      </c>
      <c r="N43" s="49"/>
      <c r="O43" s="143" t="str">
        <f>IF(T_Commission[[#This Row],[Nom]]&lt;&gt;"",IF(T_Commission[[#This Row],[COM '#2]]&lt;&gt;"",MAX(T_Commission[[#This Row],[PJ]],T_Commission[[#This Row],[COM '#2]]),IF(T_Commission[[#This Row],[COM '#1]]&lt;&gt;"",MAX(T_Commission[[#This Row],[PJ]],T_Commission[[#This Row],[COM '#1]]),"")),"")</f>
        <v/>
      </c>
      <c r="P43" s="55" t="s">
        <v>115</v>
      </c>
      <c r="Q43" s="55" t="s">
        <v>3277</v>
      </c>
      <c r="R43" s="55" t="s">
        <v>3277</v>
      </c>
      <c r="S43" s="56"/>
      <c r="T43" s="144"/>
    </row>
    <row r="44" spans="1:20" s="93" customFormat="1" ht="30" customHeight="1" x14ac:dyDescent="0.25">
      <c r="A44" s="90">
        <v>84</v>
      </c>
      <c r="B44" s="130" t="str">
        <f>IFERROR(IF(VLOOKUP(T_Commission[[#This Row],[NumL]],T_TraitDi[#Data],COLUMN(T_TraitDi[[#This Row],[Statut]]),FALSE)&lt;&gt;"",VLOOKUP(T_Commission[[#This Row],[NumL]],T_TraitDi[#Data],COLUMN(T_TraitDi[[#This Row],[Statut]]),FALSE),""),"")</f>
        <v/>
      </c>
      <c r="C44" s="19" t="str">
        <f>IFERROR(IF(VLOOKUP(T_Commission[[#This Row],[NumL]],T_suiviDi[#Data],COLUMN(T_suiviDi[Nom]),FALSE)&lt;&gt;"",VLOOKUP(T_Commission[[#This Row],[NumL]],T_suiviDi[#Data],COLUMN(T_suiviDi[Nom]),FALSE),""),"")</f>
        <v/>
      </c>
      <c r="D44" s="19" t="str">
        <f>IFERROR(IF(VLOOKUP(T_Commission[[#This Row],[NumL]],T_suiviDi[#Data],COLUMN(T_suiviDi[Prénom]),FALSE)&lt;&gt;"",VLOOKUP(T_Commission[[#This Row],[NumL]],T_suiviDi[#Data],COLUMN(T_suiviDi[Prénom]),FALSE),""),"")</f>
        <v/>
      </c>
      <c r="E44" s="20" t="str">
        <f>IFERROR(IF(VLOOKUP(T_Commission[[#This Row],[NumL]],T_suiviDi[#Data],COLUMN(T_suiviDi[Email]),FALSE)&lt;&gt;"",VLOOKUP(T_Commission[[#This Row],[NumL]],T_suiviDi[#Data],COLUMN(T_suiviDi[Email]),FALSE),""),"")</f>
        <v/>
      </c>
      <c r="F44" s="274" t="str">
        <f>IFERROR(IF(VLOOKUP(T_Commission[[#This Row],[NumL]],T_suiviDi[#Data],COLUMN(T_suiviDi[[#This Row],[Nom1]]),FALSE)&lt;&gt;"",VLOOKUP(T_Commission[[#This Row],[NumL]],T_suiviDi[#Data],COLUMN(T_suiviDi[[#This Row],[Nom1]]),FALSE),""),"")</f>
        <v/>
      </c>
      <c r="G44" s="274" t="str">
        <f>IFERROR(IF(VLOOKUP(T_Commission[[#This Row],[NumL]],T_suiviDi[#Data],COLUMN(T_suiviDi[[#This Row],[Prénom1]]),FALSE)&lt;&gt;"",VLOOKUP(T_Commission[[#This Row],[NumL]],T_suiviDi[#Data],COLUMN(T_suiviDi[[#This Row],[Prénom1]]),FALSE),""),"")</f>
        <v/>
      </c>
      <c r="H44" s="274" t="str">
        <f>IFERROR(IF(VLOOKUP(T_Commission[[#This Row],[NumL]],T_suiviDi[#Data],COLUMN(T_suiviDi[[#This Row],[Email1]]),FALSE)&lt;&gt;"",VLOOKUP(T_Commission[[#This Row],[NumL]],T_suiviDi[#Data],COLUMN(T_suiviDi[[#This Row],[Email1]]),FALSE),""),"")</f>
        <v/>
      </c>
      <c r="I44" s="142" t="str">
        <f>IFERROR(VLOOKUP(T_Commission[[#This Row],[NumL]],T_TraitDi[#Data],COLUMN(T_TraitDi[[#This Row],[CTRL_PJ]]),FALSE),"")</f>
        <v/>
      </c>
      <c r="J44" s="142" t="str">
        <f>IF(T_Commission[[#This Row],[Nom]]&lt;&gt;"",IFERROR(VLOOKUP(T_Commission[[#This Row],[NumL]],T_TraitDi[#Data],COLUMN(T_TraitDi[[#This Row],[C10]]),FALSE),""),"")</f>
        <v/>
      </c>
      <c r="K44" s="142" t="str">
        <f>IFERROR(IF(VLOOKUP(T_Commission[[#This Row],[NumL]],T_suiviDi[#Data],COLUMN(T_suiviDi[[#This Row],[Avis n+1]]),FALSE)&lt;&gt;"",VLOOKUP(A44,T_suiviDi[#Data],COLUMN(T_suiviDi[[#This Row],[Avis n+1]]),FALSE),""),"")</f>
        <v/>
      </c>
      <c r="L44" s="142" t="str">
        <f>IFERROR(IF(VLOOKUP(T_Commission[[#This Row],[NumL]],T_suiviDi[#Data],COLUMN(T_suiviDi[[#This Row],[Avis n+2]]),FALSE)&lt;&gt;"",VLOOKUP(T_Commission[[#This Row],[NumL]],T_suiviDi[#Data],COLUMN(T_suiviDi[[#This Row],[Avis n+2]]),FALSE),""),"")</f>
        <v/>
      </c>
      <c r="M44" s="49">
        <v>1</v>
      </c>
      <c r="N44" s="49"/>
      <c r="O44" s="143" t="str">
        <f>IF(T_Commission[[#This Row],[Nom]]&lt;&gt;"",IF(T_Commission[[#This Row],[COM '#2]]&lt;&gt;"",MAX(T_Commission[[#This Row],[PJ]],T_Commission[[#This Row],[COM '#2]]),IF(T_Commission[[#This Row],[COM '#1]]&lt;&gt;"",MAX(T_Commission[[#This Row],[PJ]],T_Commission[[#This Row],[COM '#1]]),"")),"")</f>
        <v/>
      </c>
      <c r="P44" s="55" t="s">
        <v>115</v>
      </c>
      <c r="Q44" s="55" t="s">
        <v>3277</v>
      </c>
      <c r="R44" s="55" t="s">
        <v>3277</v>
      </c>
      <c r="S44" s="56"/>
      <c r="T44" s="144"/>
    </row>
    <row r="45" spans="1:20" s="93" customFormat="1" ht="30" customHeight="1" x14ac:dyDescent="0.25">
      <c r="A45" s="90">
        <v>69</v>
      </c>
      <c r="B45" s="130" t="str">
        <f>IFERROR(IF(VLOOKUP(T_Commission[[#This Row],[NumL]],T_TraitDi[#Data],COLUMN(T_TraitDi[[#This Row],[Statut]]),FALSE)&lt;&gt;"",VLOOKUP(T_Commission[[#This Row],[NumL]],T_TraitDi[#Data],COLUMN(T_TraitDi[[#This Row],[Statut]]),FALSE),""),"")</f>
        <v/>
      </c>
      <c r="C45" s="19" t="str">
        <f>IFERROR(IF(VLOOKUP(T_Commission[[#This Row],[NumL]],T_suiviDi[#Data],COLUMN(T_suiviDi[Nom]),FALSE)&lt;&gt;"",VLOOKUP(T_Commission[[#This Row],[NumL]],T_suiviDi[#Data],COLUMN(T_suiviDi[Nom]),FALSE),""),"")</f>
        <v/>
      </c>
      <c r="D45" s="19" t="str">
        <f>IFERROR(IF(VLOOKUP(T_Commission[[#This Row],[NumL]],T_suiviDi[#Data],COLUMN(T_suiviDi[Prénom]),FALSE)&lt;&gt;"",VLOOKUP(T_Commission[[#This Row],[NumL]],T_suiviDi[#Data],COLUMN(T_suiviDi[Prénom]),FALSE),""),"")</f>
        <v/>
      </c>
      <c r="E45" s="20" t="str">
        <f>IFERROR(IF(VLOOKUP(T_Commission[[#This Row],[NumL]],T_suiviDi[#Data],COLUMN(T_suiviDi[Email]),FALSE)&lt;&gt;"",VLOOKUP(T_Commission[[#This Row],[NumL]],T_suiviDi[#Data],COLUMN(T_suiviDi[Email]),FALSE),""),"")</f>
        <v/>
      </c>
      <c r="F45" s="274" t="str">
        <f>IFERROR(IF(VLOOKUP(T_Commission[[#This Row],[NumL]],T_suiviDi[#Data],COLUMN(T_suiviDi[[#This Row],[Nom1]]),FALSE)&lt;&gt;"",VLOOKUP(T_Commission[[#This Row],[NumL]],T_suiviDi[#Data],COLUMN(T_suiviDi[[#This Row],[Nom1]]),FALSE),""),"")</f>
        <v/>
      </c>
      <c r="G45" s="274" t="str">
        <f>IFERROR(IF(VLOOKUP(T_Commission[[#This Row],[NumL]],T_suiviDi[#Data],COLUMN(T_suiviDi[[#This Row],[Prénom1]]),FALSE)&lt;&gt;"",VLOOKUP(T_Commission[[#This Row],[NumL]],T_suiviDi[#Data],COLUMN(T_suiviDi[[#This Row],[Prénom1]]),FALSE),""),"")</f>
        <v/>
      </c>
      <c r="H45" s="274" t="str">
        <f>IFERROR(IF(VLOOKUP(T_Commission[[#This Row],[NumL]],T_suiviDi[#Data],COLUMN(T_suiviDi[[#This Row],[Email1]]),FALSE)&lt;&gt;"",VLOOKUP(T_Commission[[#This Row],[NumL]],T_suiviDi[#Data],COLUMN(T_suiviDi[[#This Row],[Email1]]),FALSE),""),"")</f>
        <v/>
      </c>
      <c r="I45" s="142" t="str">
        <f>IFERROR(VLOOKUP(T_Commission[[#This Row],[NumL]],T_TraitDi[#Data],COLUMN(T_TraitDi[[#This Row],[CTRL_PJ]]),FALSE),"")</f>
        <v/>
      </c>
      <c r="J45" s="142" t="str">
        <f>IF(T_Commission[[#This Row],[Nom]]&lt;&gt;"",IFERROR(VLOOKUP(T_Commission[[#This Row],[NumL]],T_TraitDi[#Data],COLUMN(T_TraitDi[[#This Row],[C10]]),FALSE),""),"")</f>
        <v/>
      </c>
      <c r="K45" s="142" t="str">
        <f>IFERROR(IF(VLOOKUP(T_Commission[[#This Row],[NumL]],T_suiviDi[#Data],COLUMN(T_suiviDi[[#This Row],[Avis n+1]]),FALSE)&lt;&gt;"",VLOOKUP(A45,T_suiviDi[#Data],COLUMN(T_suiviDi[[#This Row],[Avis n+1]]),FALSE),""),"")</f>
        <v/>
      </c>
      <c r="L45" s="142" t="str">
        <f>IFERROR(IF(VLOOKUP(T_Commission[[#This Row],[NumL]],T_suiviDi[#Data],COLUMN(T_suiviDi[[#This Row],[Avis n+2]]),FALSE)&lt;&gt;"",VLOOKUP(T_Commission[[#This Row],[NumL]],T_suiviDi[#Data],COLUMN(T_suiviDi[[#This Row],[Avis n+2]]),FALSE),""),"")</f>
        <v/>
      </c>
      <c r="M45" s="49">
        <v>1</v>
      </c>
      <c r="N45" s="49"/>
      <c r="O45" s="143" t="str">
        <f>IF(T_Commission[[#This Row],[Nom]]&lt;&gt;"",IF(T_Commission[[#This Row],[COM '#2]]&lt;&gt;"",MAX(T_Commission[[#This Row],[PJ]],T_Commission[[#This Row],[COM '#2]]),IF(T_Commission[[#This Row],[COM '#1]]&lt;&gt;"",MAX(T_Commission[[#This Row],[PJ]],T_Commission[[#This Row],[COM '#1]]),"")),"")</f>
        <v/>
      </c>
      <c r="P45" s="55" t="s">
        <v>115</v>
      </c>
      <c r="Q45" s="55" t="s">
        <v>3277</v>
      </c>
      <c r="R45" s="55" t="s">
        <v>3277</v>
      </c>
      <c r="S45" s="56"/>
      <c r="T45" s="144"/>
    </row>
    <row r="46" spans="1:20" s="93" customFormat="1" ht="30" customHeight="1" x14ac:dyDescent="0.25">
      <c r="A46" s="90">
        <v>64</v>
      </c>
      <c r="B46" s="130" t="str">
        <f>IFERROR(IF(VLOOKUP(T_Commission[[#This Row],[NumL]],T_TraitDi[#Data],COLUMN(T_TraitDi[[#This Row],[Statut]]),FALSE)&lt;&gt;"",VLOOKUP(T_Commission[[#This Row],[NumL]],T_TraitDi[#Data],COLUMN(T_TraitDi[[#This Row],[Statut]]),FALSE),""),"")</f>
        <v/>
      </c>
      <c r="C46" s="19" t="str">
        <f>IFERROR(IF(VLOOKUP(T_Commission[[#This Row],[NumL]],T_suiviDi[#Data],COLUMN(T_suiviDi[Nom]),FALSE)&lt;&gt;"",VLOOKUP(T_Commission[[#This Row],[NumL]],T_suiviDi[#Data],COLUMN(T_suiviDi[Nom]),FALSE),""),"")</f>
        <v/>
      </c>
      <c r="D46" s="19" t="str">
        <f>IFERROR(IF(VLOOKUP(T_Commission[[#This Row],[NumL]],T_suiviDi[#Data],COLUMN(T_suiviDi[Prénom]),FALSE)&lt;&gt;"",VLOOKUP(T_Commission[[#This Row],[NumL]],T_suiviDi[#Data],COLUMN(T_suiviDi[Prénom]),FALSE),""),"")</f>
        <v/>
      </c>
      <c r="E46" s="20" t="str">
        <f>IFERROR(IF(VLOOKUP(T_Commission[[#This Row],[NumL]],T_suiviDi[#Data],COLUMN(T_suiviDi[Email]),FALSE)&lt;&gt;"",VLOOKUP(T_Commission[[#This Row],[NumL]],T_suiviDi[#Data],COLUMN(T_suiviDi[Email]),FALSE),""),"")</f>
        <v/>
      </c>
      <c r="F46" s="274" t="str">
        <f>IFERROR(IF(VLOOKUP(T_Commission[[#This Row],[NumL]],T_suiviDi[#Data],COLUMN(T_suiviDi[[#This Row],[Nom1]]),FALSE)&lt;&gt;"",VLOOKUP(T_Commission[[#This Row],[NumL]],T_suiviDi[#Data],COLUMN(T_suiviDi[[#This Row],[Nom1]]),FALSE),""),"")</f>
        <v/>
      </c>
      <c r="G46" s="274" t="str">
        <f>IFERROR(IF(VLOOKUP(T_Commission[[#This Row],[NumL]],T_suiviDi[#Data],COLUMN(T_suiviDi[[#This Row],[Prénom1]]),FALSE)&lt;&gt;"",VLOOKUP(T_Commission[[#This Row],[NumL]],T_suiviDi[#Data],COLUMN(T_suiviDi[[#This Row],[Prénom1]]),FALSE),""),"")</f>
        <v/>
      </c>
      <c r="H46" s="274" t="str">
        <f>IFERROR(IF(VLOOKUP(T_Commission[[#This Row],[NumL]],T_suiviDi[#Data],COLUMN(T_suiviDi[[#This Row],[Email1]]),FALSE)&lt;&gt;"",VLOOKUP(T_Commission[[#This Row],[NumL]],T_suiviDi[#Data],COLUMN(T_suiviDi[[#This Row],[Email1]]),FALSE),""),"")</f>
        <v/>
      </c>
      <c r="I46" s="142" t="str">
        <f>IFERROR(VLOOKUP(T_Commission[[#This Row],[NumL]],T_TraitDi[#Data],COLUMN(T_TraitDi[[#This Row],[CTRL_PJ]]),FALSE),"")</f>
        <v/>
      </c>
      <c r="J46" s="142" t="str">
        <f>IF(T_Commission[[#This Row],[Nom]]&lt;&gt;"",IFERROR(VLOOKUP(T_Commission[[#This Row],[NumL]],T_TraitDi[#Data],COLUMN(T_TraitDi[[#This Row],[C10]]),FALSE),""),"")</f>
        <v/>
      </c>
      <c r="K46" s="142" t="str">
        <f>IFERROR(IF(VLOOKUP(T_Commission[[#This Row],[NumL]],T_suiviDi[#Data],COLUMN(T_suiviDi[[#This Row],[Avis n+1]]),FALSE)&lt;&gt;"",VLOOKUP(A46,T_suiviDi[#Data],COLUMN(T_suiviDi[[#This Row],[Avis n+1]]),FALSE),""),"")</f>
        <v/>
      </c>
      <c r="L46" s="142" t="str">
        <f>IFERROR(IF(VLOOKUP(T_Commission[[#This Row],[NumL]],T_suiviDi[#Data],COLUMN(T_suiviDi[[#This Row],[Avis n+2]]),FALSE)&lt;&gt;"",VLOOKUP(T_Commission[[#This Row],[NumL]],T_suiviDi[#Data],COLUMN(T_suiviDi[[#This Row],[Avis n+2]]),FALSE),""),"")</f>
        <v/>
      </c>
      <c r="M46" s="49">
        <v>1</v>
      </c>
      <c r="N46" s="49"/>
      <c r="O46" s="143" t="str">
        <f>IF(T_Commission[[#This Row],[Nom]]&lt;&gt;"",IF(T_Commission[[#This Row],[COM '#2]]&lt;&gt;"",MAX(T_Commission[[#This Row],[PJ]],T_Commission[[#This Row],[COM '#2]]),IF(T_Commission[[#This Row],[COM '#1]]&lt;&gt;"",MAX(T_Commission[[#This Row],[PJ]],T_Commission[[#This Row],[COM '#1]]),"")),"")</f>
        <v/>
      </c>
      <c r="P46" s="55" t="s">
        <v>115</v>
      </c>
      <c r="Q46" s="55" t="s">
        <v>3277</v>
      </c>
      <c r="R46" s="55" t="s">
        <v>3277</v>
      </c>
      <c r="S46" s="56"/>
      <c r="T46" s="144"/>
    </row>
    <row r="47" spans="1:20" s="93" customFormat="1" ht="30" customHeight="1" x14ac:dyDescent="0.25">
      <c r="A47" s="90">
        <v>22</v>
      </c>
      <c r="B47" s="130" t="str">
        <f>IFERROR(IF(VLOOKUP(T_Commission[[#This Row],[NumL]],T_TraitDi[#Data],COLUMN(T_TraitDi[[#This Row],[Statut]]),FALSE)&lt;&gt;"",VLOOKUP(T_Commission[[#This Row],[NumL]],T_TraitDi[#Data],COLUMN(T_TraitDi[[#This Row],[Statut]]),FALSE),""),"")</f>
        <v/>
      </c>
      <c r="C47" s="19" t="str">
        <f>IFERROR(IF(VLOOKUP(T_Commission[[#This Row],[NumL]],T_suiviDi[#Data],COLUMN(T_suiviDi[Nom]),FALSE)&lt;&gt;"",VLOOKUP(T_Commission[[#This Row],[NumL]],T_suiviDi[#Data],COLUMN(T_suiviDi[Nom]),FALSE),""),"")</f>
        <v/>
      </c>
      <c r="D47" s="19" t="str">
        <f>IFERROR(IF(VLOOKUP(T_Commission[[#This Row],[NumL]],T_suiviDi[#Data],COLUMN(T_suiviDi[Prénom]),FALSE)&lt;&gt;"",VLOOKUP(T_Commission[[#This Row],[NumL]],T_suiviDi[#Data],COLUMN(T_suiviDi[Prénom]),FALSE),""),"")</f>
        <v/>
      </c>
      <c r="E47" s="20" t="str">
        <f>IFERROR(IF(VLOOKUP(T_Commission[[#This Row],[NumL]],T_suiviDi[#Data],COLUMN(T_suiviDi[Email]),FALSE)&lt;&gt;"",VLOOKUP(T_Commission[[#This Row],[NumL]],T_suiviDi[#Data],COLUMN(T_suiviDi[Email]),FALSE),""),"")</f>
        <v/>
      </c>
      <c r="F47" s="274" t="str">
        <f>IFERROR(IF(VLOOKUP(T_Commission[[#This Row],[NumL]],T_suiviDi[#Data],COLUMN(T_suiviDi[[#This Row],[Nom1]]),FALSE)&lt;&gt;"",VLOOKUP(T_Commission[[#This Row],[NumL]],T_suiviDi[#Data],COLUMN(T_suiviDi[[#This Row],[Nom1]]),FALSE),""),"")</f>
        <v/>
      </c>
      <c r="G47" s="274" t="str">
        <f>IFERROR(IF(VLOOKUP(T_Commission[[#This Row],[NumL]],T_suiviDi[#Data],COLUMN(T_suiviDi[[#This Row],[Prénom1]]),FALSE)&lt;&gt;"",VLOOKUP(T_Commission[[#This Row],[NumL]],T_suiviDi[#Data],COLUMN(T_suiviDi[[#This Row],[Prénom1]]),FALSE),""),"")</f>
        <v/>
      </c>
      <c r="H47" s="274" t="str">
        <f>IFERROR(IF(VLOOKUP(T_Commission[[#This Row],[NumL]],T_suiviDi[#Data],COLUMN(T_suiviDi[[#This Row],[Email1]]),FALSE)&lt;&gt;"",VLOOKUP(T_Commission[[#This Row],[NumL]],T_suiviDi[#Data],COLUMN(T_suiviDi[[#This Row],[Email1]]),FALSE),""),"")</f>
        <v/>
      </c>
      <c r="I47" s="142" t="str">
        <f>IFERROR(VLOOKUP(T_Commission[[#This Row],[NumL]],T_TraitDi[#Data],COLUMN(T_TraitDi[[#This Row],[CTRL_PJ]]),FALSE),"")</f>
        <v/>
      </c>
      <c r="J47" s="142" t="str">
        <f>IF(T_Commission[[#This Row],[Nom]]&lt;&gt;"",IFERROR(VLOOKUP(T_Commission[[#This Row],[NumL]],T_TraitDi[#Data],COLUMN(T_TraitDi[[#This Row],[C10]]),FALSE),""),"")</f>
        <v/>
      </c>
      <c r="K47" s="142" t="str">
        <f>IFERROR(IF(VLOOKUP(T_Commission[[#This Row],[NumL]],T_suiviDi[#Data],COLUMN(T_suiviDi[[#This Row],[Avis n+1]]),FALSE)&lt;&gt;"",VLOOKUP(A47,T_suiviDi[#Data],COLUMN(T_suiviDi[[#This Row],[Avis n+1]]),FALSE),""),"")</f>
        <v/>
      </c>
      <c r="L47" s="142" t="str">
        <f>IFERROR(IF(VLOOKUP(T_Commission[[#This Row],[NumL]],T_suiviDi[#Data],COLUMN(T_suiviDi[[#This Row],[Avis n+2]]),FALSE)&lt;&gt;"",VLOOKUP(T_Commission[[#This Row],[NumL]],T_suiviDi[#Data],COLUMN(T_suiviDi[[#This Row],[Avis n+2]]),FALSE),""),"")</f>
        <v/>
      </c>
      <c r="M47" s="49">
        <v>1</v>
      </c>
      <c r="N47" s="49"/>
      <c r="O47" s="143" t="str">
        <f>IF(T_Commission[[#This Row],[Nom]]&lt;&gt;"",IF(T_Commission[[#This Row],[COM '#2]]&lt;&gt;"",MAX(T_Commission[[#This Row],[PJ]],T_Commission[[#This Row],[COM '#2]]),IF(T_Commission[[#This Row],[COM '#1]]&lt;&gt;"",MAX(T_Commission[[#This Row],[PJ]],T_Commission[[#This Row],[COM '#1]]),"")),"")</f>
        <v/>
      </c>
      <c r="P47" s="55" t="s">
        <v>115</v>
      </c>
      <c r="Q47" s="55" t="s">
        <v>3277</v>
      </c>
      <c r="R47" s="55" t="s">
        <v>3277</v>
      </c>
      <c r="S47" s="56"/>
      <c r="T47" s="144"/>
    </row>
    <row r="48" spans="1:20" s="93" customFormat="1" ht="30" customHeight="1" x14ac:dyDescent="0.25">
      <c r="A48" s="90">
        <v>277</v>
      </c>
      <c r="B48" s="130" t="str">
        <f>IFERROR(IF(VLOOKUP(T_Commission[[#This Row],[NumL]],T_TraitDi[#Data],COLUMN(T_TraitDi[[#This Row],[Statut]]),FALSE)&lt;&gt;"",VLOOKUP(T_Commission[[#This Row],[NumL]],T_TraitDi[#Data],COLUMN(T_TraitDi[[#This Row],[Statut]]),FALSE),""),"")</f>
        <v/>
      </c>
      <c r="C48" s="19" t="str">
        <f>IFERROR(IF(VLOOKUP(T_Commission[[#This Row],[NumL]],T_suiviDi[#Data],COLUMN(T_suiviDi[Nom]),FALSE)&lt;&gt;"",VLOOKUP(T_Commission[[#This Row],[NumL]],T_suiviDi[#Data],COLUMN(T_suiviDi[Nom]),FALSE),""),"")</f>
        <v/>
      </c>
      <c r="D48" s="19" t="str">
        <f>IFERROR(IF(VLOOKUP(T_Commission[[#This Row],[NumL]],T_suiviDi[#Data],COLUMN(T_suiviDi[Prénom]),FALSE)&lt;&gt;"",VLOOKUP(T_Commission[[#This Row],[NumL]],T_suiviDi[#Data],COLUMN(T_suiviDi[Prénom]),FALSE),""),"")</f>
        <v/>
      </c>
      <c r="E48" s="20" t="str">
        <f>IFERROR(IF(VLOOKUP(T_Commission[[#This Row],[NumL]],T_suiviDi[#Data],COLUMN(T_suiviDi[Email]),FALSE)&lt;&gt;"",VLOOKUP(T_Commission[[#This Row],[NumL]],T_suiviDi[#Data],COLUMN(T_suiviDi[Email]),FALSE),""),"")</f>
        <v/>
      </c>
      <c r="F48" s="274" t="str">
        <f>IFERROR(IF(VLOOKUP(T_Commission[[#This Row],[NumL]],T_suiviDi[#Data],COLUMN(T_suiviDi[[#This Row],[Nom1]]),FALSE)&lt;&gt;"",VLOOKUP(T_Commission[[#This Row],[NumL]],T_suiviDi[#Data],COLUMN(T_suiviDi[[#This Row],[Nom1]]),FALSE),""),"")</f>
        <v/>
      </c>
      <c r="G48" s="274" t="str">
        <f>IFERROR(IF(VLOOKUP(T_Commission[[#This Row],[NumL]],T_suiviDi[#Data],COLUMN(T_suiviDi[[#This Row],[Prénom1]]),FALSE)&lt;&gt;"",VLOOKUP(T_Commission[[#This Row],[NumL]],T_suiviDi[#Data],COLUMN(T_suiviDi[[#This Row],[Prénom1]]),FALSE),""),"")</f>
        <v/>
      </c>
      <c r="H48" s="274" t="str">
        <f>IFERROR(IF(VLOOKUP(T_Commission[[#This Row],[NumL]],T_suiviDi[#Data],COLUMN(T_suiviDi[[#This Row],[Email1]]),FALSE)&lt;&gt;"",VLOOKUP(T_Commission[[#This Row],[NumL]],T_suiviDi[#Data],COLUMN(T_suiviDi[[#This Row],[Email1]]),FALSE),""),"")</f>
        <v/>
      </c>
      <c r="I48" s="142" t="str">
        <f>IFERROR(VLOOKUP(T_Commission[[#This Row],[NumL]],T_TraitDi[#Data],COLUMN(T_TraitDi[[#This Row],[CTRL_PJ]]),FALSE),"")</f>
        <v/>
      </c>
      <c r="J48" s="142" t="str">
        <f>IF(T_Commission[[#This Row],[Nom]]&lt;&gt;"",IFERROR(VLOOKUP(T_Commission[[#This Row],[NumL]],T_TraitDi[#Data],COLUMN(T_TraitDi[[#This Row],[C10]]),FALSE),""),"")</f>
        <v/>
      </c>
      <c r="K48" s="142" t="str">
        <f>IFERROR(IF(VLOOKUP(T_Commission[[#This Row],[NumL]],T_suiviDi[#Data],COLUMN(T_suiviDi[[#This Row],[Avis n+1]]),FALSE)&lt;&gt;"",VLOOKUP(A48,T_suiviDi[#Data],COLUMN(T_suiviDi[[#This Row],[Avis n+1]]),FALSE),""),"")</f>
        <v/>
      </c>
      <c r="L48" s="142" t="str">
        <f>IFERROR(IF(VLOOKUP(T_Commission[[#This Row],[NumL]],T_suiviDi[#Data],COLUMN(T_suiviDi[[#This Row],[Avis n+2]]),FALSE)&lt;&gt;"",VLOOKUP(T_Commission[[#This Row],[NumL]],T_suiviDi[#Data],COLUMN(T_suiviDi[[#This Row],[Avis n+2]]),FALSE),""),"")</f>
        <v/>
      </c>
      <c r="M48" s="49">
        <v>1</v>
      </c>
      <c r="N48" s="49"/>
      <c r="O48" s="143" t="str">
        <f>IF(T_Commission[[#This Row],[Nom]]&lt;&gt;"",IF(T_Commission[[#This Row],[COM '#2]]&lt;&gt;"",MAX(T_Commission[[#This Row],[PJ]],T_Commission[[#This Row],[COM '#2]]),IF(T_Commission[[#This Row],[COM '#1]]&lt;&gt;"",MAX(T_Commission[[#This Row],[PJ]],T_Commission[[#This Row],[COM '#1]]),"")),"")</f>
        <v/>
      </c>
      <c r="P48" s="55" t="s">
        <v>115</v>
      </c>
      <c r="Q48" s="55" t="s">
        <v>3277</v>
      </c>
      <c r="R48" s="55" t="s">
        <v>3277</v>
      </c>
      <c r="S48" s="56"/>
      <c r="T48" s="144"/>
    </row>
    <row r="49" spans="1:20" s="93" customFormat="1" ht="30" customHeight="1" x14ac:dyDescent="0.25">
      <c r="A49" s="90">
        <v>240</v>
      </c>
      <c r="B49" s="130" t="str">
        <f>IFERROR(IF(VLOOKUP(T_Commission[[#This Row],[NumL]],T_TraitDi[#Data],COLUMN(T_TraitDi[[#This Row],[Statut]]),FALSE)&lt;&gt;"",VLOOKUP(T_Commission[[#This Row],[NumL]],T_TraitDi[#Data],COLUMN(T_TraitDi[[#This Row],[Statut]]),FALSE),""),"")</f>
        <v/>
      </c>
      <c r="C49" s="19" t="str">
        <f>IFERROR(IF(VLOOKUP(T_Commission[[#This Row],[NumL]],T_suiviDi[#Data],COLUMN(T_suiviDi[Nom]),FALSE)&lt;&gt;"",VLOOKUP(T_Commission[[#This Row],[NumL]],T_suiviDi[#Data],COLUMN(T_suiviDi[Nom]),FALSE),""),"")</f>
        <v/>
      </c>
      <c r="D49" s="19" t="str">
        <f>IFERROR(IF(VLOOKUP(T_Commission[[#This Row],[NumL]],T_suiviDi[#Data],COLUMN(T_suiviDi[Prénom]),FALSE)&lt;&gt;"",VLOOKUP(T_Commission[[#This Row],[NumL]],T_suiviDi[#Data],COLUMN(T_suiviDi[Prénom]),FALSE),""),"")</f>
        <v/>
      </c>
      <c r="E49" s="20" t="str">
        <f>IFERROR(IF(VLOOKUP(T_Commission[[#This Row],[NumL]],T_suiviDi[#Data],COLUMN(T_suiviDi[Email]),FALSE)&lt;&gt;"",VLOOKUP(T_Commission[[#This Row],[NumL]],T_suiviDi[#Data],COLUMN(T_suiviDi[Email]),FALSE),""),"")</f>
        <v/>
      </c>
      <c r="F49" s="274" t="str">
        <f>IFERROR(IF(VLOOKUP(T_Commission[[#This Row],[NumL]],T_suiviDi[#Data],COLUMN(T_suiviDi[[#This Row],[Nom1]]),FALSE)&lt;&gt;"",VLOOKUP(T_Commission[[#This Row],[NumL]],T_suiviDi[#Data],COLUMN(T_suiviDi[[#This Row],[Nom1]]),FALSE),""),"")</f>
        <v/>
      </c>
      <c r="G49" s="274" t="str">
        <f>IFERROR(IF(VLOOKUP(T_Commission[[#This Row],[NumL]],T_suiviDi[#Data],COLUMN(T_suiviDi[[#This Row],[Prénom1]]),FALSE)&lt;&gt;"",VLOOKUP(T_Commission[[#This Row],[NumL]],T_suiviDi[#Data],COLUMN(T_suiviDi[[#This Row],[Prénom1]]),FALSE),""),"")</f>
        <v/>
      </c>
      <c r="H49" s="274" t="str">
        <f>IFERROR(IF(VLOOKUP(T_Commission[[#This Row],[NumL]],T_suiviDi[#Data],COLUMN(T_suiviDi[[#This Row],[Email1]]),FALSE)&lt;&gt;"",VLOOKUP(T_Commission[[#This Row],[NumL]],T_suiviDi[#Data],COLUMN(T_suiviDi[[#This Row],[Email1]]),FALSE),""),"")</f>
        <v/>
      </c>
      <c r="I49" s="142" t="str">
        <f>IFERROR(VLOOKUP(T_Commission[[#This Row],[NumL]],T_TraitDi[#Data],COLUMN(T_TraitDi[[#This Row],[CTRL_PJ]]),FALSE),"")</f>
        <v/>
      </c>
      <c r="J49" s="142" t="str">
        <f>IF(T_Commission[[#This Row],[Nom]]&lt;&gt;"",IFERROR(VLOOKUP(T_Commission[[#This Row],[NumL]],T_TraitDi[#Data],COLUMN(T_TraitDi[[#This Row],[C10]]),FALSE),""),"")</f>
        <v/>
      </c>
      <c r="K49" s="142" t="str">
        <f>IFERROR(IF(VLOOKUP(T_Commission[[#This Row],[NumL]],T_suiviDi[#Data],COLUMN(T_suiviDi[[#This Row],[Avis n+1]]),FALSE)&lt;&gt;"",VLOOKUP(A49,T_suiviDi[#Data],COLUMN(T_suiviDi[[#This Row],[Avis n+1]]),FALSE),""),"")</f>
        <v/>
      </c>
      <c r="L49" s="142" t="str">
        <f>IFERROR(IF(VLOOKUP(T_Commission[[#This Row],[NumL]],T_suiviDi[#Data],COLUMN(T_suiviDi[[#This Row],[Avis n+2]]),FALSE)&lt;&gt;"",VLOOKUP(T_Commission[[#This Row],[NumL]],T_suiviDi[#Data],COLUMN(T_suiviDi[[#This Row],[Avis n+2]]),FALSE),""),"")</f>
        <v/>
      </c>
      <c r="M49" s="49">
        <v>1</v>
      </c>
      <c r="N49" s="49"/>
      <c r="O49" s="143" t="str">
        <f>IF(T_Commission[[#This Row],[Nom]]&lt;&gt;"",IF(T_Commission[[#This Row],[COM '#2]]&lt;&gt;"",MAX(T_Commission[[#This Row],[PJ]],T_Commission[[#This Row],[COM '#2]]),IF(T_Commission[[#This Row],[COM '#1]]&lt;&gt;"",MAX(T_Commission[[#This Row],[PJ]],T_Commission[[#This Row],[COM '#1]]),"")),"")</f>
        <v/>
      </c>
      <c r="P49" s="55" t="s">
        <v>115</v>
      </c>
      <c r="Q49" s="55" t="s">
        <v>3277</v>
      </c>
      <c r="R49" s="55" t="s">
        <v>3277</v>
      </c>
      <c r="S49" s="56"/>
      <c r="T49" s="144"/>
    </row>
    <row r="50" spans="1:20" s="93" customFormat="1" ht="30" customHeight="1" x14ac:dyDescent="0.25">
      <c r="A50" s="90">
        <v>1</v>
      </c>
      <c r="B50" s="130" t="str">
        <f>IFERROR(IF(VLOOKUP(T_Commission[[#This Row],[NumL]],T_TraitDi[#Data],COLUMN(T_TraitDi[[#This Row],[Statut]]),FALSE)&lt;&gt;"",VLOOKUP(T_Commission[[#This Row],[NumL]],T_TraitDi[#Data],COLUMN(T_TraitDi[[#This Row],[Statut]]),FALSE),""),"")</f>
        <v/>
      </c>
      <c r="C50" s="19" t="str">
        <f>IFERROR(IF(VLOOKUP(T_Commission[[#This Row],[NumL]],T_suiviDi[#Data],COLUMN(T_suiviDi[Nom]),FALSE)&lt;&gt;"",VLOOKUP(T_Commission[[#This Row],[NumL]],T_suiviDi[#Data],COLUMN(T_suiviDi[Nom]),FALSE),""),"")</f>
        <v/>
      </c>
      <c r="D50" s="19" t="str">
        <f>IFERROR(IF(VLOOKUP(T_Commission[[#This Row],[NumL]],T_suiviDi[#Data],COLUMN(T_suiviDi[Prénom]),FALSE)&lt;&gt;"",VLOOKUP(T_Commission[[#This Row],[NumL]],T_suiviDi[#Data],COLUMN(T_suiviDi[Prénom]),FALSE),""),"")</f>
        <v/>
      </c>
      <c r="E50" s="20" t="str">
        <f>IFERROR(IF(VLOOKUP(T_Commission[[#This Row],[NumL]],T_suiviDi[#Data],COLUMN(T_suiviDi[Email]),FALSE)&lt;&gt;"",VLOOKUP(T_Commission[[#This Row],[NumL]],T_suiviDi[#Data],COLUMN(T_suiviDi[Email]),FALSE),""),"")</f>
        <v/>
      </c>
      <c r="F50" s="274" t="str">
        <f>IFERROR(IF(VLOOKUP(T_Commission[[#This Row],[NumL]],T_suiviDi[#Data],COLUMN(T_suiviDi[[#This Row],[Nom1]]),FALSE)&lt;&gt;"",VLOOKUP(T_Commission[[#This Row],[NumL]],T_suiviDi[#Data],COLUMN(T_suiviDi[[#This Row],[Nom1]]),FALSE),""),"")</f>
        <v/>
      </c>
      <c r="G50" s="274" t="str">
        <f>IFERROR(IF(VLOOKUP(T_Commission[[#This Row],[NumL]],T_suiviDi[#Data],COLUMN(T_suiviDi[[#This Row],[Prénom1]]),FALSE)&lt;&gt;"",VLOOKUP(T_Commission[[#This Row],[NumL]],T_suiviDi[#Data],COLUMN(T_suiviDi[[#This Row],[Prénom1]]),FALSE),""),"")</f>
        <v/>
      </c>
      <c r="H50" s="274" t="str">
        <f>IFERROR(IF(VLOOKUP(T_Commission[[#This Row],[NumL]],T_suiviDi[#Data],COLUMN(T_suiviDi[[#This Row],[Email1]]),FALSE)&lt;&gt;"",VLOOKUP(T_Commission[[#This Row],[NumL]],T_suiviDi[#Data],COLUMN(T_suiviDi[[#This Row],[Email1]]),FALSE),""),"")</f>
        <v/>
      </c>
      <c r="I50" s="142" t="str">
        <f>IFERROR(VLOOKUP(T_Commission[[#This Row],[NumL]],T_TraitDi[#Data],COLUMN(T_TraitDi[[#This Row],[CTRL_PJ]]),FALSE),"")</f>
        <v/>
      </c>
      <c r="J50" s="142" t="str">
        <f>IF(T_Commission[[#This Row],[Nom]]&lt;&gt;"",IFERROR(VLOOKUP(T_Commission[[#This Row],[NumL]],T_TraitDi[#Data],COLUMN(T_TraitDi[[#This Row],[C10]]),FALSE),""),"")</f>
        <v/>
      </c>
      <c r="K50" s="54" t="str">
        <f>IFERROR(IF(VLOOKUP(T_Commission[[#This Row],[NumL]],T_suiviDi[#Data],COLUMN(T_suiviDi[[#This Row],[Avis n+1]]),FALSE)&lt;&gt;"",VLOOKUP(A50,T_suiviDi[#Data],COLUMN(T_suiviDi[[#This Row],[Avis n+1]]),FALSE),""),"")</f>
        <v/>
      </c>
      <c r="L50" s="142" t="str">
        <f>IFERROR(IF(VLOOKUP(T_Commission[[#This Row],[NumL]],T_suiviDi[#Data],COLUMN(T_suiviDi[[#This Row],[Avis n+2]]),FALSE)&lt;&gt;"",VLOOKUP(T_Commission[[#This Row],[NumL]],T_suiviDi[#Data],COLUMN(T_suiviDi[[#This Row],[Avis n+2]]),FALSE),""),"")</f>
        <v/>
      </c>
      <c r="M50" s="49">
        <v>1</v>
      </c>
      <c r="N50" s="49"/>
      <c r="O50" s="143" t="str">
        <f>IF(T_Commission[[#This Row],[Nom]]&lt;&gt;"",IF(T_Commission[[#This Row],[COM '#2]]&lt;&gt;"",MAX(T_Commission[[#This Row],[PJ]],T_Commission[[#This Row],[COM '#2]]),IF(T_Commission[[#This Row],[COM '#1]]&lt;&gt;"",MAX(T_Commission[[#This Row],[PJ]],T_Commission[[#This Row],[COM '#1]]),"")),"")</f>
        <v/>
      </c>
      <c r="P50" s="55" t="s">
        <v>115</v>
      </c>
      <c r="Q50" s="55" t="s">
        <v>3277</v>
      </c>
      <c r="R50" s="55" t="s">
        <v>3277</v>
      </c>
      <c r="S50" s="56"/>
      <c r="T50" s="144"/>
    </row>
    <row r="51" spans="1:20" s="93" customFormat="1" ht="30" customHeight="1" x14ac:dyDescent="0.25">
      <c r="A51" s="90">
        <v>131</v>
      </c>
      <c r="B51" s="130" t="str">
        <f>IFERROR(IF(VLOOKUP(T_Commission[[#This Row],[NumL]],T_TraitDi[#Data],COLUMN(T_TraitDi[[#This Row],[Statut]]),FALSE)&lt;&gt;"",VLOOKUP(T_Commission[[#This Row],[NumL]],T_TraitDi[#Data],COLUMN(T_TraitDi[[#This Row],[Statut]]),FALSE),""),"")</f>
        <v/>
      </c>
      <c r="C51" s="19" t="str">
        <f>IFERROR(IF(VLOOKUP(T_Commission[[#This Row],[NumL]],T_suiviDi[#Data],COLUMN(T_suiviDi[Nom]),FALSE)&lt;&gt;"",VLOOKUP(T_Commission[[#This Row],[NumL]],T_suiviDi[#Data],COLUMN(T_suiviDi[Nom]),FALSE),""),"")</f>
        <v/>
      </c>
      <c r="D51" s="19" t="str">
        <f>IFERROR(IF(VLOOKUP(T_Commission[[#This Row],[NumL]],T_suiviDi[#Data],COLUMN(T_suiviDi[Prénom]),FALSE)&lt;&gt;"",VLOOKUP(T_Commission[[#This Row],[NumL]],T_suiviDi[#Data],COLUMN(T_suiviDi[Prénom]),FALSE),""),"")</f>
        <v/>
      </c>
      <c r="E51" s="20" t="str">
        <f>IFERROR(IF(VLOOKUP(T_Commission[[#This Row],[NumL]],T_suiviDi[#Data],COLUMN(T_suiviDi[Email]),FALSE)&lt;&gt;"",VLOOKUP(T_Commission[[#This Row],[NumL]],T_suiviDi[#Data],COLUMN(T_suiviDi[Email]),FALSE),""),"")</f>
        <v/>
      </c>
      <c r="F51" s="274" t="str">
        <f>IFERROR(IF(VLOOKUP(T_Commission[[#This Row],[NumL]],T_suiviDi[#Data],COLUMN(T_suiviDi[[#This Row],[Nom1]]),FALSE)&lt;&gt;"",VLOOKUP(T_Commission[[#This Row],[NumL]],T_suiviDi[#Data],COLUMN(T_suiviDi[[#This Row],[Nom1]]),FALSE),""),"")</f>
        <v/>
      </c>
      <c r="G51" s="274" t="str">
        <f>IFERROR(IF(VLOOKUP(T_Commission[[#This Row],[NumL]],T_suiviDi[#Data],COLUMN(T_suiviDi[[#This Row],[Prénom1]]),FALSE)&lt;&gt;"",VLOOKUP(T_Commission[[#This Row],[NumL]],T_suiviDi[#Data],COLUMN(T_suiviDi[[#This Row],[Prénom1]]),FALSE),""),"")</f>
        <v/>
      </c>
      <c r="H51" s="274" t="str">
        <f>IFERROR(IF(VLOOKUP(T_Commission[[#This Row],[NumL]],T_suiviDi[#Data],COLUMN(T_suiviDi[[#This Row],[Email1]]),FALSE)&lt;&gt;"",VLOOKUP(T_Commission[[#This Row],[NumL]],T_suiviDi[#Data],COLUMN(T_suiviDi[[#This Row],[Email1]]),FALSE),""),"")</f>
        <v/>
      </c>
      <c r="I51" s="142" t="str">
        <f>IFERROR(VLOOKUP(T_Commission[[#This Row],[NumL]],T_TraitDi[#Data],COLUMN(T_TraitDi[[#This Row],[CTRL_PJ]]),FALSE),"")</f>
        <v/>
      </c>
      <c r="J51" s="142" t="str">
        <f>IF(T_Commission[[#This Row],[Nom]]&lt;&gt;"",IFERROR(VLOOKUP(T_Commission[[#This Row],[NumL]],T_TraitDi[#Data],COLUMN(T_TraitDi[[#This Row],[C10]]),FALSE),""),"")</f>
        <v/>
      </c>
      <c r="K51" s="142" t="str">
        <f>IFERROR(IF(VLOOKUP(T_Commission[[#This Row],[NumL]],T_suiviDi[#Data],COLUMN(T_suiviDi[[#This Row],[Avis n+1]]),FALSE)&lt;&gt;"",VLOOKUP(A51,T_suiviDi[#Data],COLUMN(T_suiviDi[[#This Row],[Avis n+1]]),FALSE),""),"")</f>
        <v/>
      </c>
      <c r="L51" s="142" t="str">
        <f>IFERROR(IF(VLOOKUP(T_Commission[[#This Row],[NumL]],T_suiviDi[#Data],COLUMN(T_suiviDi[[#This Row],[Avis n+2]]),FALSE)&lt;&gt;"",VLOOKUP(T_Commission[[#This Row],[NumL]],T_suiviDi[#Data],COLUMN(T_suiviDi[[#This Row],[Avis n+2]]),FALSE),""),"")</f>
        <v/>
      </c>
      <c r="M51" s="49">
        <v>1</v>
      </c>
      <c r="N51" s="49"/>
      <c r="O51" s="143" t="str">
        <f>IF(T_Commission[[#This Row],[Nom]]&lt;&gt;"",IF(T_Commission[[#This Row],[COM '#2]]&lt;&gt;"",MAX(T_Commission[[#This Row],[PJ]],T_Commission[[#This Row],[COM '#2]]),IF(T_Commission[[#This Row],[COM '#1]]&lt;&gt;"",MAX(T_Commission[[#This Row],[PJ]],T_Commission[[#This Row],[COM '#1]]),"")),"")</f>
        <v/>
      </c>
      <c r="P51" s="55" t="s">
        <v>115</v>
      </c>
      <c r="Q51" s="55" t="s">
        <v>3277</v>
      </c>
      <c r="R51" s="55" t="s">
        <v>3277</v>
      </c>
      <c r="S51" s="56"/>
      <c r="T51" s="144"/>
    </row>
    <row r="52" spans="1:20" s="93" customFormat="1" ht="30" customHeight="1" x14ac:dyDescent="0.25">
      <c r="A52" s="90">
        <v>347</v>
      </c>
      <c r="B52" s="130" t="str">
        <f>IFERROR(IF(VLOOKUP(T_Commission[[#This Row],[NumL]],T_TraitDi[#Data],COLUMN(T_TraitDi[[#This Row],[Statut]]),FALSE)&lt;&gt;"",VLOOKUP(T_Commission[[#This Row],[NumL]],T_TraitDi[#Data],COLUMN(T_TraitDi[[#This Row],[Statut]]),FALSE),""),"")</f>
        <v/>
      </c>
      <c r="C52" s="139" t="str">
        <f>IFERROR(IF(VLOOKUP(T_Commission[[#This Row],[NumL]],T_suiviDi[#Data],COLUMN(T_suiviDi[[#This Row],[Nom]]),FALSE)&lt;&gt;"",VLOOKUP(T_Commission[[#This Row],[NumL]],T_suiviDi[#Data],COLUMN(T_suiviDi[[#This Row],[Nom]]),FALSE),""),"")</f>
        <v/>
      </c>
      <c r="D52" s="139" t="str">
        <f>IFERROR(IF(VLOOKUP(T_Commission[[#This Row],[NumL]],T_suiviDi[#Data],COLUMN(T_suiviDi[[#This Row],[Prénom]]),FALSE)&lt;&gt;"",VLOOKUP(T_Commission[[#This Row],[NumL]],T_suiviDi[#Data],COLUMN(T_suiviDi[[#This Row],[Prénom]]),FALSE),""),"")</f>
        <v/>
      </c>
      <c r="E52" s="140" t="str">
        <f>IFERROR(IF(VLOOKUP(T_Commission[[#This Row],[NumL]],T_suiviDi[#Data],COLUMN(T_suiviDi[[#This Row],[Email]]),FALSE)&lt;&gt;"",VLOOKUP(T_Commission[[#This Row],[NumL]],T_suiviDi[#Data],COLUMN(T_suiviDi[[#This Row],[Email]]),FALSE),""),"")</f>
        <v/>
      </c>
      <c r="F52" s="274" t="str">
        <f>IFERROR(IF(VLOOKUP(T_Commission[[#This Row],[NumL]],T_suiviDi[#Data],COLUMN(T_suiviDi[[#This Row],[Nom1]]),FALSE)&lt;&gt;"",VLOOKUP(T_Commission[[#This Row],[NumL]],T_suiviDi[#Data],COLUMN(T_suiviDi[[#This Row],[Nom1]]),FALSE),""),"")</f>
        <v/>
      </c>
      <c r="G52" s="274" t="str">
        <f>IFERROR(IF(VLOOKUP(T_Commission[[#This Row],[NumL]],T_suiviDi[#Data],COLUMN(T_suiviDi[[#This Row],[Prénom1]]),FALSE)&lt;&gt;"",VLOOKUP(T_Commission[[#This Row],[NumL]],T_suiviDi[#Data],COLUMN(T_suiviDi[[#This Row],[Prénom1]]),FALSE),""),"")</f>
        <v/>
      </c>
      <c r="H52" s="274" t="str">
        <f>IFERROR(IF(VLOOKUP(T_Commission[[#This Row],[NumL]],T_suiviDi[#Data],COLUMN(T_suiviDi[[#This Row],[Email1]]),FALSE)&lt;&gt;"",VLOOKUP(T_Commission[[#This Row],[NumL]],T_suiviDi[#Data],COLUMN(T_suiviDi[[#This Row],[Email1]]),FALSE),""),"")</f>
        <v/>
      </c>
      <c r="I52" s="142" t="str">
        <f>IFERROR(VLOOKUP(T_Commission[[#This Row],[NumL]],T_TraitDi[#Data],COLUMN(T_TraitDi[[#This Row],[CTRL_PJ]]),FALSE),"")</f>
        <v/>
      </c>
      <c r="J52" s="142" t="str">
        <f>IF(C52&lt;&gt;"",IFERROR(VLOOKUP(A52,'2- Traitement des DI'!BV32,FALSE),""),"")</f>
        <v/>
      </c>
      <c r="K52" s="142" t="str">
        <f>IFERROR(IF(VLOOKUP(T_Commission[[#This Row],[NumL]],T_suiviDi[#Data],COLUMN(T_suiviDi[[#This Row],[Avis n+1]]),FALSE)&lt;&gt;"",VLOOKUP(A52,T_suiviDi[#Data],COLUMN(T_suiviDi[[#This Row],[Avis n+1]]),FALSE),""),"")</f>
        <v/>
      </c>
      <c r="L52" s="142" t="str">
        <f>IFERROR(IF(VLOOKUP(A52,ListeDI,27,FALSE)&lt;&gt;"",VLOOKUP(A52,ListeDI,27,FALSE),""),"")</f>
        <v/>
      </c>
      <c r="M52" s="49">
        <v>1</v>
      </c>
      <c r="N52" s="49"/>
      <c r="O52" s="143" t="str">
        <f>IF(C52&lt;&gt;"",IF(N52&lt;&gt;"",MAX(I52,N52),IF(M52&lt;&gt;"",MAX(I52,M52),"")),"")</f>
        <v/>
      </c>
      <c r="P52" s="55" t="s">
        <v>115</v>
      </c>
      <c r="Q52" s="55" t="s">
        <v>3277</v>
      </c>
      <c r="R52" s="55" t="s">
        <v>3277</v>
      </c>
      <c r="S52" s="56"/>
      <c r="T52" s="144"/>
    </row>
    <row r="53" spans="1:20" s="93" customFormat="1" ht="30" customHeight="1" x14ac:dyDescent="0.25">
      <c r="A53" s="90">
        <v>299</v>
      </c>
      <c r="B53" s="130" t="str">
        <f>IFERROR(IF(VLOOKUP(T_Commission[[#This Row],[NumL]],T_TraitDi[#Data],COLUMN(T_TraitDi[[#This Row],[Statut]]),FALSE)&lt;&gt;"",VLOOKUP(T_Commission[[#This Row],[NumL]],T_TraitDi[#Data],COLUMN(T_TraitDi[[#This Row],[Statut]]),FALSE),""),"")</f>
        <v/>
      </c>
      <c r="C53" s="139" t="str">
        <f>IFERROR(IF(VLOOKUP(T_Commission[[#This Row],[NumL]],T_suiviDi[#Data],COLUMN(T_suiviDi[[#This Row],[Nom]]),FALSE)&lt;&gt;"",VLOOKUP(T_Commission[[#This Row],[NumL]],T_suiviDi[#Data],COLUMN(T_suiviDi[[#This Row],[Nom]]),FALSE),""),"")</f>
        <v/>
      </c>
      <c r="D53" s="139" t="str">
        <f>IFERROR(IF(VLOOKUP(T_Commission[[#This Row],[NumL]],T_suiviDi[#Data],COLUMN(T_suiviDi[[#This Row],[Prénom]]),FALSE)&lt;&gt;"",VLOOKUP(T_Commission[[#This Row],[NumL]],T_suiviDi[#Data],COLUMN(T_suiviDi[[#This Row],[Prénom]]),FALSE),""),"")</f>
        <v/>
      </c>
      <c r="E53" s="140" t="str">
        <f>IFERROR(IF(VLOOKUP(T_Commission[[#This Row],[NumL]],T_suiviDi[#Data],COLUMN(T_suiviDi[[#This Row],[Email]]),FALSE)&lt;&gt;"",VLOOKUP(T_Commission[[#This Row],[NumL]],T_suiviDi[#Data],COLUMN(T_suiviDi[[#This Row],[Email]]),FALSE),""),"")</f>
        <v/>
      </c>
      <c r="F53" s="274" t="str">
        <f>IFERROR(IF(VLOOKUP(T_Commission[[#This Row],[NumL]],T_suiviDi[#Data],COLUMN(T_suiviDi[[#This Row],[Nom1]]),FALSE)&lt;&gt;"",VLOOKUP(T_Commission[[#This Row],[NumL]],T_suiviDi[#Data],COLUMN(T_suiviDi[[#This Row],[Nom1]]),FALSE),""),"")</f>
        <v/>
      </c>
      <c r="G53" s="274" t="str">
        <f>IFERROR(IF(VLOOKUP(T_Commission[[#This Row],[NumL]],T_suiviDi[#Data],COLUMN(T_suiviDi[[#This Row],[Prénom1]]),FALSE)&lt;&gt;"",VLOOKUP(T_Commission[[#This Row],[NumL]],T_suiviDi[#Data],COLUMN(T_suiviDi[[#This Row],[Prénom1]]),FALSE),""),"")</f>
        <v/>
      </c>
      <c r="H53" s="274" t="str">
        <f>IFERROR(IF(VLOOKUP(T_Commission[[#This Row],[NumL]],T_suiviDi[#Data],COLUMN(T_suiviDi[[#This Row],[Email1]]),FALSE)&lt;&gt;"",VLOOKUP(T_Commission[[#This Row],[NumL]],T_suiviDi[#Data],COLUMN(T_suiviDi[[#This Row],[Email1]]),FALSE),""),"")</f>
        <v/>
      </c>
      <c r="I53" s="142" t="str">
        <f>IFERROR(VLOOKUP(T_Commission[[#This Row],[NumL]],T_TraitDi[#Data],COLUMN(T_TraitDi[[#This Row],[CTRL_PJ]]),FALSE),"")</f>
        <v/>
      </c>
      <c r="J53" s="142" t="str">
        <f>IF(C53&lt;&gt;"",IFERROR(VLOOKUP(A53,'2- Traitement des DI'!BV32,FALSE),""),"")</f>
        <v/>
      </c>
      <c r="K53" s="142" t="str">
        <f>IFERROR(IF(VLOOKUP(T_Commission[[#This Row],[NumL]],T_suiviDi[#Data],COLUMN(T_suiviDi[[#This Row],[Avis n+1]]),FALSE)&lt;&gt;"",VLOOKUP(A53,T_suiviDi[#Data],COLUMN(T_suiviDi[[#This Row],[Avis n+1]]),FALSE),""),"")</f>
        <v/>
      </c>
      <c r="L53" s="142" t="str">
        <f>IFERROR(IF(VLOOKUP(A53,ListeDI,27,FALSE)&lt;&gt;"",VLOOKUP(A53,ListeDI,27,FALSE),""),"")</f>
        <v/>
      </c>
      <c r="M53" s="49">
        <v>1</v>
      </c>
      <c r="N53" s="49"/>
      <c r="O53" s="143" t="str">
        <f>IF(C53&lt;&gt;"",IF(N53&lt;&gt;"",MAX(I53,N53),IF(M53&lt;&gt;"",MAX(I53,M53),"")),"")</f>
        <v/>
      </c>
      <c r="P53" s="55" t="s">
        <v>115</v>
      </c>
      <c r="Q53" s="55" t="s">
        <v>3278</v>
      </c>
      <c r="R53" s="55"/>
      <c r="S53" s="56"/>
      <c r="T53" s="144" t="s">
        <v>3633</v>
      </c>
    </row>
    <row r="54" spans="1:20" s="93" customFormat="1" ht="30" customHeight="1" x14ac:dyDescent="0.25">
      <c r="A54" s="90">
        <v>261</v>
      </c>
      <c r="B54" s="130" t="str">
        <f>IFERROR(IF(VLOOKUP(T_Commission[[#This Row],[NumL]],T_TraitDi[#Data],COLUMN(T_TraitDi[[#This Row],[Statut]]),FALSE)&lt;&gt;"",VLOOKUP(T_Commission[[#This Row],[NumL]],T_TraitDi[#Data],COLUMN(T_TraitDi[[#This Row],[Statut]]),FALSE),""),"")</f>
        <v/>
      </c>
      <c r="C54" s="19" t="str">
        <f>IFERROR(IF(VLOOKUP(T_Commission[[#This Row],[NumL]],T_suiviDi[#Data],COLUMN(T_suiviDi[Nom]),FALSE)&lt;&gt;"",VLOOKUP(T_Commission[[#This Row],[NumL]],T_suiviDi[#Data],COLUMN(T_suiviDi[Nom]),FALSE),""),"")</f>
        <v/>
      </c>
      <c r="D54" s="19" t="str">
        <f>IFERROR(IF(VLOOKUP(T_Commission[[#This Row],[NumL]],T_suiviDi[#Data],COLUMN(T_suiviDi[Prénom]),FALSE)&lt;&gt;"",VLOOKUP(T_Commission[[#This Row],[NumL]],T_suiviDi[#Data],COLUMN(T_suiviDi[Prénom]),FALSE),""),"")</f>
        <v/>
      </c>
      <c r="E54" s="20" t="str">
        <f>IFERROR(IF(VLOOKUP(T_Commission[[#This Row],[NumL]],T_suiviDi[#Data],COLUMN(T_suiviDi[Email]),FALSE)&lt;&gt;"",VLOOKUP(T_Commission[[#This Row],[NumL]],T_suiviDi[#Data],COLUMN(T_suiviDi[Email]),FALSE),""),"")</f>
        <v/>
      </c>
      <c r="F54" s="274" t="str">
        <f>IFERROR(IF(VLOOKUP(T_Commission[[#This Row],[NumL]],T_suiviDi[#Data],COLUMN(T_suiviDi[[#This Row],[Nom1]]),FALSE)&lt;&gt;"",VLOOKUP(T_Commission[[#This Row],[NumL]],T_suiviDi[#Data],COLUMN(T_suiviDi[[#This Row],[Nom1]]),FALSE),""),"")</f>
        <v/>
      </c>
      <c r="G54" s="274" t="str">
        <f>IFERROR(IF(VLOOKUP(T_Commission[[#This Row],[NumL]],T_suiviDi[#Data],COLUMN(T_suiviDi[[#This Row],[Prénom1]]),FALSE)&lt;&gt;"",VLOOKUP(T_Commission[[#This Row],[NumL]],T_suiviDi[#Data],COLUMN(T_suiviDi[[#This Row],[Prénom1]]),FALSE),""),"")</f>
        <v/>
      </c>
      <c r="H54" s="274" t="str">
        <f>IFERROR(IF(VLOOKUP(T_Commission[[#This Row],[NumL]],T_suiviDi[#Data],COLUMN(T_suiviDi[[#This Row],[Email1]]),FALSE)&lt;&gt;"",VLOOKUP(T_Commission[[#This Row],[NumL]],T_suiviDi[#Data],COLUMN(T_suiviDi[[#This Row],[Email1]]),FALSE),""),"")</f>
        <v/>
      </c>
      <c r="I54" s="142" t="str">
        <f>IFERROR(VLOOKUP(T_Commission[[#This Row],[NumL]],T_TraitDi[#Data],COLUMN(T_TraitDi[[#This Row],[CTRL_PJ]]),FALSE),"")</f>
        <v/>
      </c>
      <c r="J54" s="142" t="str">
        <f>IF(T_Commission[[#This Row],[Nom]]&lt;&gt;"",IFERROR(VLOOKUP(T_Commission[[#This Row],[NumL]],T_TraitDi[#Data],COLUMN(T_TraitDi[[#This Row],[C10]]),FALSE),""),"")</f>
        <v/>
      </c>
      <c r="K54" s="142" t="str">
        <f>IFERROR(IF(VLOOKUP(T_Commission[[#This Row],[NumL]],T_suiviDi[#Data],COLUMN(T_suiviDi[[#This Row],[Avis n+1]]),FALSE)&lt;&gt;"",VLOOKUP(A54,T_suiviDi[#Data],COLUMN(T_suiviDi[[#This Row],[Avis n+1]]),FALSE),""),"")</f>
        <v/>
      </c>
      <c r="L54" s="142" t="str">
        <f>IFERROR(IF(VLOOKUP(T_Commission[[#This Row],[NumL]],T_suiviDi[#Data],COLUMN(T_suiviDi[[#This Row],[Avis n+2]]),FALSE)&lt;&gt;"",VLOOKUP(T_Commission[[#This Row],[NumL]],T_suiviDi[#Data],COLUMN(T_suiviDi[[#This Row],[Avis n+2]]),FALSE),""),"")</f>
        <v/>
      </c>
      <c r="M54" s="49">
        <v>1</v>
      </c>
      <c r="N54" s="49"/>
      <c r="O54" s="143" t="str">
        <f>IF(T_Commission[[#This Row],[Nom]]&lt;&gt;"",IF(T_Commission[[#This Row],[COM '#2]]&lt;&gt;"",MAX(T_Commission[[#This Row],[PJ]],T_Commission[[#This Row],[COM '#2]]),IF(T_Commission[[#This Row],[COM '#1]]&lt;&gt;"",MAX(T_Commission[[#This Row],[PJ]],T_Commission[[#This Row],[COM '#1]]),"")),"")</f>
        <v/>
      </c>
      <c r="P54" s="55" t="s">
        <v>115</v>
      </c>
      <c r="Q54" s="55" t="s">
        <v>3277</v>
      </c>
      <c r="R54" s="55" t="s">
        <v>3277</v>
      </c>
      <c r="S54" s="56"/>
      <c r="T54" s="144"/>
    </row>
    <row r="55" spans="1:20" s="93" customFormat="1" ht="30" customHeight="1" x14ac:dyDescent="0.25">
      <c r="A55" s="90">
        <v>331</v>
      </c>
      <c r="B55" s="130" t="str">
        <f>IFERROR(IF(VLOOKUP(T_Commission[[#This Row],[NumL]],T_TraitDi[#Data],COLUMN(T_TraitDi[[#This Row],[Statut]]),FALSE)&lt;&gt;"",VLOOKUP(T_Commission[[#This Row],[NumL]],T_TraitDi[#Data],COLUMN(T_TraitDi[[#This Row],[Statut]]),FALSE),""),"")</f>
        <v/>
      </c>
      <c r="C55" s="139" t="str">
        <f>IFERROR(IF(VLOOKUP(T_Commission[[#This Row],[NumL]],T_suiviDi[#Data],COLUMN(T_suiviDi[[#This Row],[Nom]]),FALSE)&lt;&gt;"",VLOOKUP(T_Commission[[#This Row],[NumL]],T_suiviDi[#Data],COLUMN(T_suiviDi[[#This Row],[Nom]]),FALSE),""),"")</f>
        <v/>
      </c>
      <c r="D55" s="139" t="str">
        <f>IFERROR(IF(VLOOKUP(T_Commission[[#This Row],[NumL]],T_suiviDi[#Data],COLUMN(T_suiviDi[[#This Row],[Prénom]]),FALSE)&lt;&gt;"",VLOOKUP(T_Commission[[#This Row],[NumL]],T_suiviDi[#Data],COLUMN(T_suiviDi[[#This Row],[Prénom]]),FALSE),""),"")</f>
        <v/>
      </c>
      <c r="E55" s="140" t="str">
        <f>IFERROR(IF(VLOOKUP(T_Commission[[#This Row],[NumL]],T_suiviDi[#Data],COLUMN(T_suiviDi[[#This Row],[Email]]),FALSE)&lt;&gt;"",VLOOKUP(T_Commission[[#This Row],[NumL]],T_suiviDi[#Data],COLUMN(T_suiviDi[[#This Row],[Email]]),FALSE),""),"")</f>
        <v/>
      </c>
      <c r="F55" s="141" t="str">
        <f>IFERROR(IF(VLOOKUP(T_Commission[[#This Row],[NumL]],T_suiviDi[#Data],COLUMN(T_suiviDi[[#This Row],[Nom1]]),FALSE)&lt;&gt;"",VLOOKUP(T_Commission[[#This Row],[NumL]],T_suiviDi[#Data],COLUMN(T_suiviDi[[#This Row],[Nom1]]),FALSE),""),"")</f>
        <v/>
      </c>
      <c r="G55" s="141" t="str">
        <f>IFERROR(IF(VLOOKUP(T_Commission[[#This Row],[NumL]],T_suiviDi[#Data],COLUMN(T_suiviDi[[#This Row],[Prénom1]]),FALSE)&lt;&gt;"",VLOOKUP(T_Commission[[#This Row],[NumL]],T_suiviDi[#Data],COLUMN(T_suiviDi[[#This Row],[Prénom1]]),FALSE),""),"")</f>
        <v/>
      </c>
      <c r="H55" s="141" t="str">
        <f>IFERROR(IF(VLOOKUP(T_Commission[[#This Row],[NumL]],T_suiviDi[#Data],COLUMN(T_suiviDi[[#This Row],[Email1]]),FALSE)&lt;&gt;"",VLOOKUP(T_Commission[[#This Row],[NumL]],T_suiviDi[#Data],COLUMN(T_suiviDi[[#This Row],[Email1]]),FALSE),""),"")</f>
        <v/>
      </c>
      <c r="I55" s="142" t="str">
        <f>IFERROR(VLOOKUP(T_Commission[[#This Row],[NumL]],T_TraitDi[#Data],COLUMN(T_TraitDi[[#This Row],[CTRL_PJ]]),FALSE),"")</f>
        <v/>
      </c>
      <c r="J55" s="142" t="str">
        <f>IF(C55&lt;&gt;"",IFERROR(VLOOKUP(A55,'2- Traitement des DI'!BV32,FALSE),""),"")</f>
        <v/>
      </c>
      <c r="K55" s="142" t="str">
        <f>IFERROR(IF(VLOOKUP(T_Commission[[#This Row],[NumL]],T_suiviDi[#Data],COLUMN(T_suiviDi[[#This Row],[Avis n+1]]),FALSE)&lt;&gt;"",VLOOKUP(A55,T_suiviDi[#Data],COLUMN(T_suiviDi[[#This Row],[Avis n+1]]),FALSE),""),"")</f>
        <v/>
      </c>
      <c r="L55" s="142" t="str">
        <f>IFERROR(IF(VLOOKUP(A55,ListeDI,27,FALSE)&lt;&gt;"",VLOOKUP(A55,ListeDI,27,FALSE),""),"")</f>
        <v/>
      </c>
      <c r="M55" s="49">
        <v>1</v>
      </c>
      <c r="N55" s="49"/>
      <c r="O55" s="143" t="str">
        <f>IF(C55&lt;&gt;"",IF(N55&lt;&gt;"",MAX(I55,N55),IF(M55&lt;&gt;"",MAX(I55,M55),"")),"")</f>
        <v/>
      </c>
      <c r="P55" s="55" t="s">
        <v>115</v>
      </c>
      <c r="Q55" s="55" t="s">
        <v>3277</v>
      </c>
      <c r="R55" s="55" t="s">
        <v>3277</v>
      </c>
      <c r="S55" s="56"/>
      <c r="T55" s="144"/>
    </row>
    <row r="56" spans="1:20" s="93" customFormat="1" ht="30" customHeight="1" x14ac:dyDescent="0.25">
      <c r="A56" s="90">
        <v>302</v>
      </c>
      <c r="B56" s="130" t="str">
        <f>IFERROR(IF(VLOOKUP(T_Commission[[#This Row],[NumL]],T_TraitDi[#Data],COLUMN(T_TraitDi[[#This Row],[Statut]]),FALSE)&lt;&gt;"",VLOOKUP(T_Commission[[#This Row],[NumL]],T_TraitDi[#Data],COLUMN(T_TraitDi[[#This Row],[Statut]]),FALSE),""),"")</f>
        <v/>
      </c>
      <c r="C56" s="139" t="str">
        <f>IFERROR(IF(VLOOKUP(T_Commission[[#This Row],[NumL]],T_suiviDi[#Data],COLUMN(T_suiviDi[[#This Row],[Nom]]),FALSE)&lt;&gt;"",VLOOKUP(T_Commission[[#This Row],[NumL]],T_suiviDi[#Data],COLUMN(T_suiviDi[[#This Row],[Nom]]),FALSE),""),"")</f>
        <v/>
      </c>
      <c r="D56" s="139" t="str">
        <f>IFERROR(IF(VLOOKUP(T_Commission[[#This Row],[NumL]],T_suiviDi[#Data],COLUMN(T_suiviDi[[#This Row],[Prénom]]),FALSE)&lt;&gt;"",VLOOKUP(T_Commission[[#This Row],[NumL]],T_suiviDi[#Data],COLUMN(T_suiviDi[[#This Row],[Prénom]]),FALSE),""),"")</f>
        <v/>
      </c>
      <c r="E56" s="140" t="str">
        <f>IFERROR(IF(VLOOKUP(T_Commission[[#This Row],[NumL]],T_suiviDi[#Data],COLUMN(T_suiviDi[[#This Row],[Email]]),FALSE)&lt;&gt;"",VLOOKUP(T_Commission[[#This Row],[NumL]],T_suiviDi[#Data],COLUMN(T_suiviDi[[#This Row],[Email]]),FALSE),""),"")</f>
        <v/>
      </c>
      <c r="F56" s="141" t="str">
        <f>IFERROR(IF(VLOOKUP(T_Commission[[#This Row],[NumL]],T_suiviDi[#Data],COLUMN(T_suiviDi[[#This Row],[Nom1]]),FALSE)&lt;&gt;"",VLOOKUP(T_Commission[[#This Row],[NumL]],T_suiviDi[#Data],COLUMN(T_suiviDi[[#This Row],[Nom1]]),FALSE),""),"")</f>
        <v/>
      </c>
      <c r="G56" s="141" t="str">
        <f>IFERROR(IF(VLOOKUP(T_Commission[[#This Row],[NumL]],T_suiviDi[#Data],COLUMN(T_suiviDi[[#This Row],[Prénom1]]),FALSE)&lt;&gt;"",VLOOKUP(T_Commission[[#This Row],[NumL]],T_suiviDi[#Data],COLUMN(T_suiviDi[[#This Row],[Prénom1]]),FALSE),""),"")</f>
        <v/>
      </c>
      <c r="H56" s="141" t="str">
        <f>IFERROR(IF(VLOOKUP(T_Commission[[#This Row],[NumL]],T_suiviDi[#Data],COLUMN(T_suiviDi[[#This Row],[Email1]]),FALSE)&lt;&gt;"",VLOOKUP(T_Commission[[#This Row],[NumL]],T_suiviDi[#Data],COLUMN(T_suiviDi[[#This Row],[Email1]]),FALSE),""),"")</f>
        <v/>
      </c>
      <c r="I56" s="142" t="str">
        <f>IFERROR(VLOOKUP(T_Commission[[#This Row],[NumL]],T_TraitDi[#Data],COLUMN(T_TraitDi[[#This Row],[CTRL_PJ]]),FALSE),"")</f>
        <v/>
      </c>
      <c r="J56" s="142" t="str">
        <f>IF(C56&lt;&gt;"",IFERROR(VLOOKUP(A56,'2- Traitement des DI'!BV32,FALSE),""),"")</f>
        <v/>
      </c>
      <c r="K56" s="142" t="str">
        <f>IFERROR(IF(VLOOKUP(T_Commission[[#This Row],[NumL]],T_suiviDi[#Data],COLUMN(T_suiviDi[[#This Row],[Avis n+1]]),FALSE)&lt;&gt;"",VLOOKUP(A56,T_suiviDi[#Data],COLUMN(T_suiviDi[[#This Row],[Avis n+1]]),FALSE),""),"")</f>
        <v/>
      </c>
      <c r="L56" s="142" t="str">
        <f>IFERROR(IF(VLOOKUP(A56,ListeDI,27,FALSE)&lt;&gt;"",VLOOKUP(A56,ListeDI,27,FALSE),""),"")</f>
        <v/>
      </c>
      <c r="M56" s="49">
        <v>3</v>
      </c>
      <c r="N56" s="49"/>
      <c r="O56" s="143" t="str">
        <f>IF(C56&lt;&gt;"",IF(N56&lt;&gt;"",MAX(I56,N56),IF(M56&lt;&gt;"",MAX(I56,M56),"")),"")</f>
        <v/>
      </c>
      <c r="P56" s="55" t="s">
        <v>115</v>
      </c>
      <c r="Q56" s="55" t="s">
        <v>3278</v>
      </c>
      <c r="R56" s="55"/>
      <c r="S56" s="56"/>
      <c r="T56" s="144" t="s">
        <v>3616</v>
      </c>
    </row>
    <row r="57" spans="1:20" s="93" customFormat="1" ht="30" customHeight="1" x14ac:dyDescent="0.25">
      <c r="A57" s="90">
        <v>194</v>
      </c>
      <c r="B57" s="130" t="str">
        <f>IFERROR(IF(VLOOKUP(T_Commission[[#This Row],[NumL]],T_TraitDi[#Data],COLUMN(T_TraitDi[[#This Row],[Statut]]),FALSE)&lt;&gt;"",VLOOKUP(T_Commission[[#This Row],[NumL]],T_TraitDi[#Data],COLUMN(T_TraitDi[[#This Row],[Statut]]),FALSE),""),"")</f>
        <v/>
      </c>
      <c r="C57" s="19" t="str">
        <f>IFERROR(IF(VLOOKUP(T_Commission[[#This Row],[NumL]],T_suiviDi[#Data],COLUMN(T_suiviDi[Nom]),FALSE)&lt;&gt;"",VLOOKUP(T_Commission[[#This Row],[NumL]],T_suiviDi[#Data],COLUMN(T_suiviDi[Nom]),FALSE),""),"")</f>
        <v/>
      </c>
      <c r="D57" s="19" t="str">
        <f>IFERROR(IF(VLOOKUP(T_Commission[[#This Row],[NumL]],T_suiviDi[#Data],COLUMN(T_suiviDi[Prénom]),FALSE)&lt;&gt;"",VLOOKUP(T_Commission[[#This Row],[NumL]],T_suiviDi[#Data],COLUMN(T_suiviDi[Prénom]),FALSE),""),"")</f>
        <v/>
      </c>
      <c r="E57" s="20" t="str">
        <f>IFERROR(IF(VLOOKUP(T_Commission[[#This Row],[NumL]],T_suiviDi[#Data],COLUMN(T_suiviDi[Email]),FALSE)&lt;&gt;"",VLOOKUP(T_Commission[[#This Row],[NumL]],T_suiviDi[#Data],COLUMN(T_suiviDi[Email]),FALSE),""),"")</f>
        <v/>
      </c>
      <c r="F57" s="274" t="str">
        <f>IFERROR(IF(VLOOKUP(T_Commission[[#This Row],[NumL]],T_suiviDi[#Data],COLUMN(T_suiviDi[[#This Row],[Nom1]]),FALSE)&lt;&gt;"",VLOOKUP(T_Commission[[#This Row],[NumL]],T_suiviDi[#Data],COLUMN(T_suiviDi[[#This Row],[Nom1]]),FALSE),""),"")</f>
        <v/>
      </c>
      <c r="G57" s="274" t="str">
        <f>IFERROR(IF(VLOOKUP(T_Commission[[#This Row],[NumL]],T_suiviDi[#Data],COLUMN(T_suiviDi[[#This Row],[Prénom1]]),FALSE)&lt;&gt;"",VLOOKUP(T_Commission[[#This Row],[NumL]],T_suiviDi[#Data],COLUMN(T_suiviDi[[#This Row],[Prénom1]]),FALSE),""),"")</f>
        <v/>
      </c>
      <c r="H57" s="274" t="str">
        <f>IFERROR(IF(VLOOKUP(T_Commission[[#This Row],[NumL]],T_suiviDi[#Data],COLUMN(T_suiviDi[[#This Row],[Email1]]),FALSE)&lt;&gt;"",VLOOKUP(T_Commission[[#This Row],[NumL]],T_suiviDi[#Data],COLUMN(T_suiviDi[[#This Row],[Email1]]),FALSE),""),"")</f>
        <v/>
      </c>
      <c r="I57" s="142" t="str">
        <f>IFERROR(VLOOKUP(T_Commission[[#This Row],[NumL]],T_TraitDi[#Data],COLUMN(T_TraitDi[[#This Row],[CTRL_PJ]]),FALSE),"")</f>
        <v/>
      </c>
      <c r="J57" s="142" t="str">
        <f>IF(T_Commission[[#This Row],[Nom]]&lt;&gt;"",IFERROR(VLOOKUP(T_Commission[[#This Row],[NumL]],T_TraitDi[#Data],COLUMN(T_TraitDi[[#This Row],[C10]]),FALSE),""),"")</f>
        <v/>
      </c>
      <c r="K57" s="142" t="str">
        <f>IFERROR(IF(VLOOKUP(T_Commission[[#This Row],[NumL]],T_suiviDi[#Data],COLUMN(T_suiviDi[[#This Row],[Avis n+1]]),FALSE)&lt;&gt;"",VLOOKUP(A57,T_suiviDi[#Data],COLUMN(T_suiviDi[[#This Row],[Avis n+1]]),FALSE),""),"")</f>
        <v/>
      </c>
      <c r="L57" s="142" t="str">
        <f>IFERROR(IF(VLOOKUP(T_Commission[[#This Row],[NumL]],T_suiviDi[#Data],COLUMN(T_suiviDi[[#This Row],[Avis n+2]]),FALSE)&lt;&gt;"",VLOOKUP(T_Commission[[#This Row],[NumL]],T_suiviDi[#Data],COLUMN(T_suiviDi[[#This Row],[Avis n+2]]),FALSE),""),"")</f>
        <v/>
      </c>
      <c r="M57" s="49">
        <v>1</v>
      </c>
      <c r="N57" s="49"/>
      <c r="O57" s="143" t="str">
        <f>IF(T_Commission[[#This Row],[Nom]]&lt;&gt;"",IF(T_Commission[[#This Row],[COM '#2]]&lt;&gt;"",MAX(T_Commission[[#This Row],[PJ]],T_Commission[[#This Row],[COM '#2]]),IF(T_Commission[[#This Row],[COM '#1]]&lt;&gt;"",MAX(T_Commission[[#This Row],[PJ]],T_Commission[[#This Row],[COM '#1]]),"")),"")</f>
        <v/>
      </c>
      <c r="P57" s="55" t="s">
        <v>115</v>
      </c>
      <c r="Q57" s="55" t="s">
        <v>3277</v>
      </c>
      <c r="R57" s="55" t="s">
        <v>3277</v>
      </c>
      <c r="S57" s="56"/>
      <c r="T57" s="144"/>
    </row>
    <row r="58" spans="1:20" s="93" customFormat="1" ht="30" customHeight="1" x14ac:dyDescent="0.25">
      <c r="A58" s="90">
        <v>100</v>
      </c>
      <c r="B58" s="130" t="str">
        <f>IFERROR(IF(VLOOKUP(T_Commission[[#This Row],[NumL]],T_TraitDi[#Data],COLUMN(T_TraitDi[[#This Row],[Statut]]),FALSE)&lt;&gt;"",VLOOKUP(T_Commission[[#This Row],[NumL]],T_TraitDi[#Data],COLUMN(T_TraitDi[[#This Row],[Statut]]),FALSE),""),"")</f>
        <v/>
      </c>
      <c r="C58" s="19" t="str">
        <f>IFERROR(IF(VLOOKUP(T_Commission[[#This Row],[NumL]],T_suiviDi[#Data],COLUMN(T_suiviDi[Nom]),FALSE)&lt;&gt;"",VLOOKUP(T_Commission[[#This Row],[NumL]],T_suiviDi[#Data],COLUMN(T_suiviDi[Nom]),FALSE),""),"")</f>
        <v/>
      </c>
      <c r="D58" s="19" t="str">
        <f>IFERROR(IF(VLOOKUP(T_Commission[[#This Row],[NumL]],T_suiviDi[#Data],COLUMN(T_suiviDi[Prénom]),FALSE)&lt;&gt;"",VLOOKUP(T_Commission[[#This Row],[NumL]],T_suiviDi[#Data],COLUMN(T_suiviDi[Prénom]),FALSE),""),"")</f>
        <v/>
      </c>
      <c r="E58" s="20" t="str">
        <f>IFERROR(IF(VLOOKUP(T_Commission[[#This Row],[NumL]],T_suiviDi[#Data],COLUMN(T_suiviDi[Email]),FALSE)&lt;&gt;"",VLOOKUP(T_Commission[[#This Row],[NumL]],T_suiviDi[#Data],COLUMN(T_suiviDi[Email]),FALSE),""),"")</f>
        <v/>
      </c>
      <c r="F58" s="274" t="str">
        <f>IFERROR(IF(VLOOKUP(T_Commission[[#This Row],[NumL]],T_suiviDi[#Data],COLUMN(T_suiviDi[[#This Row],[Nom1]]),FALSE)&lt;&gt;"",VLOOKUP(T_Commission[[#This Row],[NumL]],T_suiviDi[#Data],COLUMN(T_suiviDi[[#This Row],[Nom1]]),FALSE),""),"")</f>
        <v/>
      </c>
      <c r="G58" s="274" t="str">
        <f>IFERROR(IF(VLOOKUP(T_Commission[[#This Row],[NumL]],T_suiviDi[#Data],COLUMN(T_suiviDi[[#This Row],[Prénom1]]),FALSE)&lt;&gt;"",VLOOKUP(T_Commission[[#This Row],[NumL]],T_suiviDi[#Data],COLUMN(T_suiviDi[[#This Row],[Prénom1]]),FALSE),""),"")</f>
        <v/>
      </c>
      <c r="H58" s="274" t="str">
        <f>IFERROR(IF(VLOOKUP(T_Commission[[#This Row],[NumL]],T_suiviDi[#Data],COLUMN(T_suiviDi[[#This Row],[Email1]]),FALSE)&lt;&gt;"",VLOOKUP(T_Commission[[#This Row],[NumL]],T_suiviDi[#Data],COLUMN(T_suiviDi[[#This Row],[Email1]]),FALSE),""),"")</f>
        <v/>
      </c>
      <c r="I58" s="142" t="str">
        <f>IFERROR(VLOOKUP(T_Commission[[#This Row],[NumL]],T_TraitDi[#Data],COLUMN(T_TraitDi[[#This Row],[CTRL_PJ]]),FALSE),"")</f>
        <v/>
      </c>
      <c r="J58" s="142" t="str">
        <f>IF(T_Commission[[#This Row],[Nom]]&lt;&gt;"",IFERROR(VLOOKUP(T_Commission[[#This Row],[NumL]],T_TraitDi[#Data],COLUMN(T_TraitDi[[#This Row],[C10]]),FALSE),""),"")</f>
        <v/>
      </c>
      <c r="K58" s="142" t="str">
        <f>IFERROR(IF(VLOOKUP(T_Commission[[#This Row],[NumL]],T_suiviDi[#Data],COLUMN(T_suiviDi[[#This Row],[Avis n+1]]),FALSE)&lt;&gt;"",VLOOKUP(A58,T_suiviDi[#Data],COLUMN(T_suiviDi[[#This Row],[Avis n+1]]),FALSE),""),"")</f>
        <v/>
      </c>
      <c r="L58" s="142" t="str">
        <f>IFERROR(IF(VLOOKUP(T_Commission[[#This Row],[NumL]],T_suiviDi[#Data],COLUMN(T_suiviDi[[#This Row],[Avis n+2]]),FALSE)&lt;&gt;"",VLOOKUP(T_Commission[[#This Row],[NumL]],T_suiviDi[#Data],COLUMN(T_suiviDi[[#This Row],[Avis n+2]]),FALSE),""),"")</f>
        <v/>
      </c>
      <c r="M58" s="49">
        <v>1</v>
      </c>
      <c r="N58" s="49"/>
      <c r="O58" s="143" t="str">
        <f>IF(T_Commission[[#This Row],[Nom]]&lt;&gt;"",IF(T_Commission[[#This Row],[COM '#2]]&lt;&gt;"",MAX(T_Commission[[#This Row],[PJ]],T_Commission[[#This Row],[COM '#2]]),IF(T_Commission[[#This Row],[COM '#1]]&lt;&gt;"",MAX(T_Commission[[#This Row],[PJ]],T_Commission[[#This Row],[COM '#1]]),"")),"")</f>
        <v/>
      </c>
      <c r="P58" s="55" t="s">
        <v>115</v>
      </c>
      <c r="Q58" s="55" t="s">
        <v>3277</v>
      </c>
      <c r="R58" s="55" t="s">
        <v>3277</v>
      </c>
      <c r="S58" s="56"/>
      <c r="T58" s="144"/>
    </row>
    <row r="59" spans="1:20" s="93" customFormat="1" ht="30" customHeight="1" x14ac:dyDescent="0.25">
      <c r="A59" s="90">
        <v>151</v>
      </c>
      <c r="B59" s="130" t="str">
        <f>IFERROR(IF(VLOOKUP(T_Commission[[#This Row],[NumL]],T_TraitDi[#Data],COLUMN(T_TraitDi[[#This Row],[Statut]]),FALSE)&lt;&gt;"",VLOOKUP(T_Commission[[#This Row],[NumL]],T_TraitDi[#Data],COLUMN(T_TraitDi[[#This Row],[Statut]]),FALSE),""),"")</f>
        <v/>
      </c>
      <c r="C59" s="19" t="str">
        <f>IFERROR(IF(VLOOKUP(T_Commission[[#This Row],[NumL]],T_suiviDi[#Data],COLUMN(T_suiviDi[Nom]),FALSE)&lt;&gt;"",VLOOKUP(T_Commission[[#This Row],[NumL]],T_suiviDi[#Data],COLUMN(T_suiviDi[Nom]),FALSE),""),"")</f>
        <v/>
      </c>
      <c r="D59" s="19" t="str">
        <f>IFERROR(IF(VLOOKUP(T_Commission[[#This Row],[NumL]],T_suiviDi[#Data],COLUMN(T_suiviDi[Prénom]),FALSE)&lt;&gt;"",VLOOKUP(T_Commission[[#This Row],[NumL]],T_suiviDi[#Data],COLUMN(T_suiviDi[Prénom]),FALSE),""),"")</f>
        <v/>
      </c>
      <c r="E59" s="20" t="str">
        <f>IFERROR(IF(VLOOKUP(T_Commission[[#This Row],[NumL]],T_suiviDi[#Data],COLUMN(T_suiviDi[Email]),FALSE)&lt;&gt;"",VLOOKUP(T_Commission[[#This Row],[NumL]],T_suiviDi[#Data],COLUMN(T_suiviDi[Email]),FALSE),""),"")</f>
        <v/>
      </c>
      <c r="F59" s="274" t="str">
        <f>IFERROR(IF(VLOOKUP(T_Commission[[#This Row],[NumL]],T_suiviDi[#Data],COLUMN(T_suiviDi[[#This Row],[Nom1]]),FALSE)&lt;&gt;"",VLOOKUP(T_Commission[[#This Row],[NumL]],T_suiviDi[#Data],COLUMN(T_suiviDi[[#This Row],[Nom1]]),FALSE),""),"")</f>
        <v/>
      </c>
      <c r="G59" s="274" t="str">
        <f>IFERROR(IF(VLOOKUP(T_Commission[[#This Row],[NumL]],T_suiviDi[#Data],COLUMN(T_suiviDi[[#This Row],[Prénom1]]),FALSE)&lt;&gt;"",VLOOKUP(T_Commission[[#This Row],[NumL]],T_suiviDi[#Data],COLUMN(T_suiviDi[[#This Row],[Prénom1]]),FALSE),""),"")</f>
        <v/>
      </c>
      <c r="H59" s="274" t="str">
        <f>IFERROR(IF(VLOOKUP(T_Commission[[#This Row],[NumL]],T_suiviDi[#Data],COLUMN(T_suiviDi[[#This Row],[Email1]]),FALSE)&lt;&gt;"",VLOOKUP(T_Commission[[#This Row],[NumL]],T_suiviDi[#Data],COLUMN(T_suiviDi[[#This Row],[Email1]]),FALSE),""),"")</f>
        <v/>
      </c>
      <c r="I59" s="142" t="str">
        <f>IFERROR(VLOOKUP(T_Commission[[#This Row],[NumL]],T_TraitDi[#Data],COLUMN(T_TraitDi[[#This Row],[CTRL_PJ]]),FALSE),"")</f>
        <v/>
      </c>
      <c r="J59" s="142" t="str">
        <f>IF(T_Commission[[#This Row],[Nom]]&lt;&gt;"",IFERROR(VLOOKUP(T_Commission[[#This Row],[NumL]],T_TraitDi[#Data],COLUMN(T_TraitDi[[#This Row],[C10]]),FALSE),""),"")</f>
        <v/>
      </c>
      <c r="K59" s="142" t="str">
        <f>IFERROR(IF(VLOOKUP(T_Commission[[#This Row],[NumL]],T_suiviDi[#Data],COLUMN(T_suiviDi[[#This Row],[Avis n+1]]),FALSE)&lt;&gt;"",VLOOKUP(A59,T_suiviDi[#Data],COLUMN(T_suiviDi[[#This Row],[Avis n+1]]),FALSE),""),"")</f>
        <v/>
      </c>
      <c r="L59" s="142" t="str">
        <f>IFERROR(IF(VLOOKUP(T_Commission[[#This Row],[NumL]],T_suiviDi[#Data],COLUMN(T_suiviDi[[#This Row],[Avis n+2]]),FALSE)&lt;&gt;"",VLOOKUP(T_Commission[[#This Row],[NumL]],T_suiviDi[#Data],COLUMN(T_suiviDi[[#This Row],[Avis n+2]]),FALSE),""),"")</f>
        <v/>
      </c>
      <c r="M59" s="49">
        <v>1</v>
      </c>
      <c r="N59" s="49"/>
      <c r="O59" s="143" t="str">
        <f>IF(T_Commission[[#This Row],[Nom]]&lt;&gt;"",IF(T_Commission[[#This Row],[COM '#2]]&lt;&gt;"",MAX(T_Commission[[#This Row],[PJ]],T_Commission[[#This Row],[COM '#2]]),IF(T_Commission[[#This Row],[COM '#1]]&lt;&gt;"",MAX(T_Commission[[#This Row],[PJ]],T_Commission[[#This Row],[COM '#1]]),"")),"")</f>
        <v/>
      </c>
      <c r="P59" s="55" t="s">
        <v>115</v>
      </c>
      <c r="Q59" s="55" t="s">
        <v>3277</v>
      </c>
      <c r="R59" s="55" t="s">
        <v>3277</v>
      </c>
      <c r="S59" s="56"/>
      <c r="T59" s="144"/>
    </row>
    <row r="60" spans="1:20" s="93" customFormat="1" ht="30" customHeight="1" x14ac:dyDescent="0.25">
      <c r="A60" s="90">
        <v>157</v>
      </c>
      <c r="B60" s="130" t="str">
        <f>IFERROR(IF(VLOOKUP(T_Commission[[#This Row],[NumL]],T_TraitDi[#Data],COLUMN(T_TraitDi[[#This Row],[Statut]]),FALSE)&lt;&gt;"",VLOOKUP(T_Commission[[#This Row],[NumL]],T_TraitDi[#Data],COLUMN(T_TraitDi[[#This Row],[Statut]]),FALSE),""),"")</f>
        <v/>
      </c>
      <c r="C60" s="19" t="str">
        <f>IFERROR(IF(VLOOKUP(T_Commission[[#This Row],[NumL]],T_suiviDi[#Data],COLUMN(T_suiviDi[Nom]),FALSE)&lt;&gt;"",VLOOKUP(T_Commission[[#This Row],[NumL]],T_suiviDi[#Data],COLUMN(T_suiviDi[Nom]),FALSE),""),"")</f>
        <v/>
      </c>
      <c r="D60" s="19" t="str">
        <f>IFERROR(IF(VLOOKUP(T_Commission[[#This Row],[NumL]],T_suiviDi[#Data],COLUMN(T_suiviDi[Prénom]),FALSE)&lt;&gt;"",VLOOKUP(T_Commission[[#This Row],[NumL]],T_suiviDi[#Data],COLUMN(T_suiviDi[Prénom]),FALSE),""),"")</f>
        <v/>
      </c>
      <c r="E60" s="20" t="str">
        <f>IFERROR(IF(VLOOKUP(T_Commission[[#This Row],[NumL]],T_suiviDi[#Data],COLUMN(T_suiviDi[Email]),FALSE)&lt;&gt;"",VLOOKUP(T_Commission[[#This Row],[NumL]],T_suiviDi[#Data],COLUMN(T_suiviDi[Email]),FALSE),""),"")</f>
        <v/>
      </c>
      <c r="F60" s="274" t="str">
        <f>IFERROR(IF(VLOOKUP(T_Commission[[#This Row],[NumL]],T_suiviDi[#Data],COLUMN(T_suiviDi[[#This Row],[Nom1]]),FALSE)&lt;&gt;"",VLOOKUP(T_Commission[[#This Row],[NumL]],T_suiviDi[#Data],COLUMN(T_suiviDi[[#This Row],[Nom1]]),FALSE),""),"")</f>
        <v/>
      </c>
      <c r="G60" s="274" t="str">
        <f>IFERROR(IF(VLOOKUP(T_Commission[[#This Row],[NumL]],T_suiviDi[#Data],COLUMN(T_suiviDi[[#This Row],[Prénom1]]),FALSE)&lt;&gt;"",VLOOKUP(T_Commission[[#This Row],[NumL]],T_suiviDi[#Data],COLUMN(T_suiviDi[[#This Row],[Prénom1]]),FALSE),""),"")</f>
        <v/>
      </c>
      <c r="H60" s="274" t="str">
        <f>IFERROR(IF(VLOOKUP(T_Commission[[#This Row],[NumL]],T_suiviDi[#Data],COLUMN(T_suiviDi[[#This Row],[Email1]]),FALSE)&lt;&gt;"",VLOOKUP(T_Commission[[#This Row],[NumL]],T_suiviDi[#Data],COLUMN(T_suiviDi[[#This Row],[Email1]]),FALSE),""),"")</f>
        <v/>
      </c>
      <c r="I60" s="142" t="str">
        <f>IFERROR(VLOOKUP(T_Commission[[#This Row],[NumL]],T_TraitDi[#Data],COLUMN(T_TraitDi[[#This Row],[CTRL_PJ]]),FALSE),"")</f>
        <v/>
      </c>
      <c r="J60" s="142" t="str">
        <f>IF(T_Commission[[#This Row],[Nom]]&lt;&gt;"",IFERROR(VLOOKUP(T_Commission[[#This Row],[NumL]],T_TraitDi[#Data],COLUMN(T_TraitDi[[#This Row],[C10]]),FALSE),""),"")</f>
        <v/>
      </c>
      <c r="K60" s="142" t="str">
        <f>IFERROR(IF(VLOOKUP(T_Commission[[#This Row],[NumL]],T_suiviDi[#Data],COLUMN(T_suiviDi[[#This Row],[Avis n+1]]),FALSE)&lt;&gt;"",VLOOKUP(A60,T_suiviDi[#Data],COLUMN(T_suiviDi[[#This Row],[Avis n+1]]),FALSE),""),"")</f>
        <v/>
      </c>
      <c r="L60" s="142" t="str">
        <f>IFERROR(IF(VLOOKUP(T_Commission[[#This Row],[NumL]],T_suiviDi[#Data],COLUMN(T_suiviDi[[#This Row],[Avis n+2]]),FALSE)&lt;&gt;"",VLOOKUP(T_Commission[[#This Row],[NumL]],T_suiviDi[#Data],COLUMN(T_suiviDi[[#This Row],[Avis n+2]]),FALSE),""),"")</f>
        <v/>
      </c>
      <c r="M60" s="49">
        <v>1</v>
      </c>
      <c r="N60" s="49"/>
      <c r="O60" s="143" t="str">
        <f>IF(T_Commission[[#This Row],[Nom]]&lt;&gt;"",IF(T_Commission[[#This Row],[COM '#2]]&lt;&gt;"",MAX(T_Commission[[#This Row],[PJ]],T_Commission[[#This Row],[COM '#2]]),IF(T_Commission[[#This Row],[COM '#1]]&lt;&gt;"",MAX(T_Commission[[#This Row],[PJ]],T_Commission[[#This Row],[COM '#1]]),"")),"")</f>
        <v/>
      </c>
      <c r="P60" s="55" t="s">
        <v>115</v>
      </c>
      <c r="Q60" s="55" t="s">
        <v>3277</v>
      </c>
      <c r="R60" s="55" t="s">
        <v>3277</v>
      </c>
      <c r="S60" s="56"/>
      <c r="T60" s="144"/>
    </row>
    <row r="61" spans="1:20" s="93" customFormat="1" ht="30" customHeight="1" x14ac:dyDescent="0.25">
      <c r="A61" s="90">
        <v>39</v>
      </c>
      <c r="B61" s="130" t="str">
        <f>IFERROR(IF(VLOOKUP(T_Commission[[#This Row],[NumL]],T_TraitDi[#Data],COLUMN(T_TraitDi[[#This Row],[Statut]]),FALSE)&lt;&gt;"",VLOOKUP(T_Commission[[#This Row],[NumL]],T_TraitDi[#Data],COLUMN(T_TraitDi[[#This Row],[Statut]]),FALSE),""),"")</f>
        <v/>
      </c>
      <c r="C61" s="19" t="str">
        <f>IFERROR(IF(VLOOKUP(T_Commission[[#This Row],[NumL]],T_suiviDi[#Data],COLUMN(T_suiviDi[Nom]),FALSE)&lt;&gt;"",VLOOKUP(T_Commission[[#This Row],[NumL]],T_suiviDi[#Data],COLUMN(T_suiviDi[Nom]),FALSE),""),"")</f>
        <v/>
      </c>
      <c r="D61" s="19" t="str">
        <f>IFERROR(IF(VLOOKUP(T_Commission[[#This Row],[NumL]],T_suiviDi[#Data],COLUMN(T_suiviDi[Prénom]),FALSE)&lt;&gt;"",VLOOKUP(T_Commission[[#This Row],[NumL]],T_suiviDi[#Data],COLUMN(T_suiviDi[Prénom]),FALSE),""),"")</f>
        <v/>
      </c>
      <c r="E61" s="20" t="str">
        <f>IFERROR(IF(VLOOKUP(T_Commission[[#This Row],[NumL]],T_suiviDi[#Data],COLUMN(T_suiviDi[Email]),FALSE)&lt;&gt;"",VLOOKUP(T_Commission[[#This Row],[NumL]],T_suiviDi[#Data],COLUMN(T_suiviDi[Email]),FALSE),""),"")</f>
        <v/>
      </c>
      <c r="F61" s="274" t="str">
        <f>IFERROR(IF(VLOOKUP(T_Commission[[#This Row],[NumL]],T_suiviDi[#Data],COLUMN(T_suiviDi[[#This Row],[Nom1]]),FALSE)&lt;&gt;"",VLOOKUP(T_Commission[[#This Row],[NumL]],T_suiviDi[#Data],COLUMN(T_suiviDi[[#This Row],[Nom1]]),FALSE),""),"")</f>
        <v/>
      </c>
      <c r="G61" s="274" t="str">
        <f>IFERROR(IF(VLOOKUP(T_Commission[[#This Row],[NumL]],T_suiviDi[#Data],COLUMN(T_suiviDi[[#This Row],[Prénom1]]),FALSE)&lt;&gt;"",VLOOKUP(T_Commission[[#This Row],[NumL]],T_suiviDi[#Data],COLUMN(T_suiviDi[[#This Row],[Prénom1]]),FALSE),""),"")</f>
        <v/>
      </c>
      <c r="H61" s="274" t="str">
        <f>IFERROR(IF(VLOOKUP(T_Commission[[#This Row],[NumL]],T_suiviDi[#Data],COLUMN(T_suiviDi[[#This Row],[Email1]]),FALSE)&lt;&gt;"",VLOOKUP(T_Commission[[#This Row],[NumL]],T_suiviDi[#Data],COLUMN(T_suiviDi[[#This Row],[Email1]]),FALSE),""),"")</f>
        <v/>
      </c>
      <c r="I61" s="142" t="str">
        <f>IFERROR(VLOOKUP(T_Commission[[#This Row],[NumL]],T_TraitDi[#Data],COLUMN(T_TraitDi[[#This Row],[CTRL_PJ]]),FALSE),"")</f>
        <v/>
      </c>
      <c r="J61" s="142" t="str">
        <f>IF(T_Commission[[#This Row],[Nom]]&lt;&gt;"",IFERROR(VLOOKUP(T_Commission[[#This Row],[NumL]],T_TraitDi[#Data],COLUMN(T_TraitDi[[#This Row],[C10]]),FALSE),""),"")</f>
        <v/>
      </c>
      <c r="K61" s="142" t="str">
        <f>IFERROR(IF(VLOOKUP(T_Commission[[#This Row],[NumL]],T_suiviDi[#Data],COLUMN(T_suiviDi[[#This Row],[Avis n+1]]),FALSE)&lt;&gt;"",VLOOKUP(A61,T_suiviDi[#Data],COLUMN(T_suiviDi[[#This Row],[Avis n+1]]),FALSE),""),"")</f>
        <v/>
      </c>
      <c r="L61" s="142" t="str">
        <f>IFERROR(IF(VLOOKUP(T_Commission[[#This Row],[NumL]],T_suiviDi[#Data],COLUMN(T_suiviDi[[#This Row],[Avis n+2]]),FALSE)&lt;&gt;"",VLOOKUP(T_Commission[[#This Row],[NumL]],T_suiviDi[#Data],COLUMN(T_suiviDi[[#This Row],[Avis n+2]]),FALSE),""),"")</f>
        <v/>
      </c>
      <c r="M61" s="49">
        <v>1</v>
      </c>
      <c r="N61" s="49"/>
      <c r="O61" s="143" t="str">
        <f>IF(T_Commission[[#This Row],[Nom]]&lt;&gt;"",IF(T_Commission[[#This Row],[COM '#2]]&lt;&gt;"",MAX(T_Commission[[#This Row],[PJ]],T_Commission[[#This Row],[COM '#2]]),IF(T_Commission[[#This Row],[COM '#1]]&lt;&gt;"",MAX(T_Commission[[#This Row],[PJ]],T_Commission[[#This Row],[COM '#1]]),"")),"")</f>
        <v/>
      </c>
      <c r="P61" s="55" t="s">
        <v>115</v>
      </c>
      <c r="Q61" s="55" t="s">
        <v>3277</v>
      </c>
      <c r="R61" s="55" t="s">
        <v>3277</v>
      </c>
      <c r="S61" s="56"/>
      <c r="T61" s="144"/>
    </row>
    <row r="62" spans="1:20" s="93" customFormat="1" ht="30" customHeight="1" x14ac:dyDescent="0.25">
      <c r="A62" s="90">
        <v>279</v>
      </c>
      <c r="B62" s="130" t="str">
        <f>IFERROR(IF(VLOOKUP(T_Commission[[#This Row],[NumL]],T_TraitDi[#Data],COLUMN(T_TraitDi[[#This Row],[Statut]]),FALSE)&lt;&gt;"",VLOOKUP(T_Commission[[#This Row],[NumL]],T_TraitDi[#Data],COLUMN(T_TraitDi[[#This Row],[Statut]]),FALSE),""),"")</f>
        <v/>
      </c>
      <c r="C62" s="19" t="str">
        <f>IFERROR(IF(VLOOKUP(T_Commission[[#This Row],[NumL]],T_suiviDi[#Data],COLUMN(T_suiviDi[Nom]),FALSE)&lt;&gt;"",VLOOKUP(T_Commission[[#This Row],[NumL]],T_suiviDi[#Data],COLUMN(T_suiviDi[Nom]),FALSE),""),"")</f>
        <v/>
      </c>
      <c r="D62" s="19" t="str">
        <f>IFERROR(IF(VLOOKUP(T_Commission[[#This Row],[NumL]],T_suiviDi[#Data],COLUMN(T_suiviDi[Prénom]),FALSE)&lt;&gt;"",VLOOKUP(T_Commission[[#This Row],[NumL]],T_suiviDi[#Data],COLUMN(T_suiviDi[Prénom]),FALSE),""),"")</f>
        <v/>
      </c>
      <c r="E62" s="20" t="str">
        <f>IFERROR(IF(VLOOKUP(T_Commission[[#This Row],[NumL]],T_suiviDi[#Data],COLUMN(T_suiviDi[Email]),FALSE)&lt;&gt;"",VLOOKUP(T_Commission[[#This Row],[NumL]],T_suiviDi[#Data],COLUMN(T_suiviDi[Email]),FALSE),""),"")</f>
        <v/>
      </c>
      <c r="F62" s="274" t="str">
        <f>IFERROR(IF(VLOOKUP(T_Commission[[#This Row],[NumL]],T_suiviDi[#Data],COLUMN(T_suiviDi[[#This Row],[Nom1]]),FALSE)&lt;&gt;"",VLOOKUP(T_Commission[[#This Row],[NumL]],T_suiviDi[#Data],COLUMN(T_suiviDi[[#This Row],[Nom1]]),FALSE),""),"")</f>
        <v/>
      </c>
      <c r="G62" s="274" t="str">
        <f>IFERROR(IF(VLOOKUP(T_Commission[[#This Row],[NumL]],T_suiviDi[#Data],COLUMN(T_suiviDi[[#This Row],[Prénom1]]),FALSE)&lt;&gt;"",VLOOKUP(T_Commission[[#This Row],[NumL]],T_suiviDi[#Data],COLUMN(T_suiviDi[[#This Row],[Prénom1]]),FALSE),""),"")</f>
        <v/>
      </c>
      <c r="H62" s="274" t="str">
        <f>IFERROR(IF(VLOOKUP(T_Commission[[#This Row],[NumL]],T_suiviDi[#Data],COLUMN(T_suiviDi[[#This Row],[Email1]]),FALSE)&lt;&gt;"",VLOOKUP(T_Commission[[#This Row],[NumL]],T_suiviDi[#Data],COLUMN(T_suiviDi[[#This Row],[Email1]]),FALSE),""),"")</f>
        <v/>
      </c>
      <c r="I62" s="142" t="str">
        <f>IFERROR(VLOOKUP(T_Commission[[#This Row],[NumL]],T_TraitDi[#Data],COLUMN(T_TraitDi[[#This Row],[CTRL_PJ]]),FALSE),"")</f>
        <v/>
      </c>
      <c r="J62" s="142" t="str">
        <f>IF(T_Commission[[#This Row],[Nom]]&lt;&gt;"",IFERROR(VLOOKUP(T_Commission[[#This Row],[NumL]],T_TraitDi[#Data],COLUMN(T_TraitDi[[#This Row],[C10]]),FALSE),""),"")</f>
        <v/>
      </c>
      <c r="K62" s="142" t="str">
        <f>IFERROR(IF(VLOOKUP(T_Commission[[#This Row],[NumL]],T_suiviDi[#Data],COLUMN(T_suiviDi[[#This Row],[Avis n+1]]),FALSE)&lt;&gt;"",VLOOKUP(A62,T_suiviDi[#Data],COLUMN(T_suiviDi[[#This Row],[Avis n+1]]),FALSE),""),"")</f>
        <v/>
      </c>
      <c r="L62" s="142" t="str">
        <f>IFERROR(IF(VLOOKUP(T_Commission[[#This Row],[NumL]],T_suiviDi[#Data],COLUMN(T_suiviDi[[#This Row],[Avis n+2]]),FALSE)&lt;&gt;"",VLOOKUP(T_Commission[[#This Row],[NumL]],T_suiviDi[#Data],COLUMN(T_suiviDi[[#This Row],[Avis n+2]]),FALSE),""),"")</f>
        <v/>
      </c>
      <c r="M62" s="49">
        <v>1</v>
      </c>
      <c r="N62" s="49"/>
      <c r="O62" s="143" t="str">
        <f>IF(T_Commission[[#This Row],[Nom]]&lt;&gt;"",IF(T_Commission[[#This Row],[COM '#2]]&lt;&gt;"",MAX(T_Commission[[#This Row],[PJ]],T_Commission[[#This Row],[COM '#2]]),IF(T_Commission[[#This Row],[COM '#1]]&lt;&gt;"",MAX(T_Commission[[#This Row],[PJ]],T_Commission[[#This Row],[COM '#1]]),"")),"")</f>
        <v/>
      </c>
      <c r="P62" s="55" t="s">
        <v>115</v>
      </c>
      <c r="Q62" s="55" t="s">
        <v>3277</v>
      </c>
      <c r="R62" s="55" t="s">
        <v>3277</v>
      </c>
      <c r="S62" s="56"/>
      <c r="T62" s="144"/>
    </row>
    <row r="63" spans="1:20" s="93" customFormat="1" ht="30" customHeight="1" x14ac:dyDescent="0.25">
      <c r="A63" s="90">
        <v>290</v>
      </c>
      <c r="B63" s="130" t="str">
        <f>IFERROR(IF(VLOOKUP(T_Commission[[#This Row],[NumL]],T_TraitDi[#Data],COLUMN(T_TraitDi[[#This Row],[Statut]]),FALSE)&lt;&gt;"",VLOOKUP(T_Commission[[#This Row],[NumL]],T_TraitDi[#Data],COLUMN(T_TraitDi[[#This Row],[Statut]]),FALSE),""),"")</f>
        <v/>
      </c>
      <c r="C63" s="19" t="str">
        <f>IFERROR(IF(VLOOKUP(T_Commission[[#This Row],[NumL]],T_suiviDi[#Data],COLUMN(T_suiviDi[Nom]),FALSE)&lt;&gt;"",VLOOKUP(T_Commission[[#This Row],[NumL]],T_suiviDi[#Data],COLUMN(T_suiviDi[Nom]),FALSE),""),"")</f>
        <v/>
      </c>
      <c r="D63" s="19" t="str">
        <f>IFERROR(IF(VLOOKUP(T_Commission[[#This Row],[NumL]],T_suiviDi[#Data],COLUMN(T_suiviDi[Prénom]),FALSE)&lt;&gt;"",VLOOKUP(T_Commission[[#This Row],[NumL]],T_suiviDi[#Data],COLUMN(T_suiviDi[Prénom]),FALSE),""),"")</f>
        <v/>
      </c>
      <c r="E63" s="20" t="str">
        <f>IFERROR(IF(VLOOKUP(T_Commission[[#This Row],[NumL]],T_suiviDi[#Data],COLUMN(T_suiviDi[Email]),FALSE)&lt;&gt;"",VLOOKUP(T_Commission[[#This Row],[NumL]],T_suiviDi[#Data],COLUMN(T_suiviDi[Email]),FALSE),""),"")</f>
        <v/>
      </c>
      <c r="F63" s="274" t="str">
        <f>IFERROR(IF(VLOOKUP(T_Commission[[#This Row],[NumL]],T_suiviDi[#Data],COLUMN(T_suiviDi[[#This Row],[Nom1]]),FALSE)&lt;&gt;"",VLOOKUP(T_Commission[[#This Row],[NumL]],T_suiviDi[#Data],COLUMN(T_suiviDi[[#This Row],[Nom1]]),FALSE),""),"")</f>
        <v/>
      </c>
      <c r="G63" s="274" t="str">
        <f>IFERROR(IF(VLOOKUP(T_Commission[[#This Row],[NumL]],T_suiviDi[#Data],COLUMN(T_suiviDi[[#This Row],[Prénom1]]),FALSE)&lt;&gt;"",VLOOKUP(T_Commission[[#This Row],[NumL]],T_suiviDi[#Data],COLUMN(T_suiviDi[[#This Row],[Prénom1]]),FALSE),""),"")</f>
        <v/>
      </c>
      <c r="H63" s="274" t="str">
        <f>IFERROR(IF(VLOOKUP(T_Commission[[#This Row],[NumL]],T_suiviDi[#Data],COLUMN(T_suiviDi[[#This Row],[Email1]]),FALSE)&lt;&gt;"",VLOOKUP(T_Commission[[#This Row],[NumL]],T_suiviDi[#Data],COLUMN(T_suiviDi[[#This Row],[Email1]]),FALSE),""),"")</f>
        <v/>
      </c>
      <c r="I63" s="142" t="str">
        <f>IFERROR(VLOOKUP(T_Commission[[#This Row],[NumL]],T_TraitDi[#Data],COLUMN(T_TraitDi[[#This Row],[CTRL_PJ]]),FALSE),"")</f>
        <v/>
      </c>
      <c r="J63" s="142" t="str">
        <f>IF(C63&lt;&gt;"",IFERROR(VLOOKUP(A63,'2- Traitement des DI'!BT32,FALSE),""),"")</f>
        <v/>
      </c>
      <c r="K63" s="142" t="str">
        <f>IFERROR(IF(VLOOKUP(T_Commission[[#This Row],[NumL]],T_suiviDi[#Data],COLUMN(T_suiviDi[[#This Row],[Avis n+1]]),FALSE)&lt;&gt;"",VLOOKUP(A63,T_suiviDi[#Data],COLUMN(T_suiviDi[[#This Row],[Avis n+1]]),FALSE),""),"")</f>
        <v/>
      </c>
      <c r="L63" s="142" t="str">
        <f>IFERROR(IF(VLOOKUP(T_Commission[[#This Row],[NumL]],T_suiviDi[#Data],COLUMN(T_suiviDi[[#This Row],[Avis n+2]]),FALSE)&lt;&gt;"",VLOOKUP(T_Commission[[#This Row],[NumL]],T_suiviDi[#Data],COLUMN(T_suiviDi[[#This Row],[Avis n+2]]),FALSE),""),"")</f>
        <v/>
      </c>
      <c r="M63" s="49">
        <v>1</v>
      </c>
      <c r="N63" s="49"/>
      <c r="O63" s="143" t="str">
        <f>IF(T_Commission[[#This Row],[Nom]]&lt;&gt;"",IF(T_Commission[[#This Row],[COM '#2]]&lt;&gt;"",MAX(T_Commission[[#This Row],[PJ]],T_Commission[[#This Row],[COM '#2]]),IF(T_Commission[[#This Row],[COM '#1]]&lt;&gt;"",MAX(T_Commission[[#This Row],[PJ]],T_Commission[[#This Row],[COM '#1]]),"")),"")</f>
        <v/>
      </c>
      <c r="P63" s="55" t="s">
        <v>115</v>
      </c>
      <c r="Q63" s="55" t="s">
        <v>3277</v>
      </c>
      <c r="R63" s="55" t="s">
        <v>3277</v>
      </c>
      <c r="S63" s="56"/>
      <c r="T63" s="144"/>
    </row>
    <row r="64" spans="1:20" s="93" customFormat="1" ht="30" customHeight="1" x14ac:dyDescent="0.25">
      <c r="A64" s="90">
        <v>286</v>
      </c>
      <c r="B64" s="130" t="str">
        <f>IFERROR(IF(VLOOKUP(T_Commission[[#This Row],[NumL]],T_TraitDi[#Data],COLUMN(T_TraitDi[[#This Row],[Statut]]),FALSE)&lt;&gt;"",VLOOKUP(T_Commission[[#This Row],[NumL]],T_TraitDi[#Data],COLUMN(T_TraitDi[[#This Row],[Statut]]),FALSE),""),"")</f>
        <v/>
      </c>
      <c r="C64" s="19" t="str">
        <f>IFERROR(IF(VLOOKUP(T_Commission[[#This Row],[NumL]],T_suiviDi[#Data],COLUMN(T_suiviDi[Nom]),FALSE)&lt;&gt;"",VLOOKUP(T_Commission[[#This Row],[NumL]],T_suiviDi[#Data],COLUMN(T_suiviDi[Nom]),FALSE),""),"")</f>
        <v/>
      </c>
      <c r="D64" s="19" t="str">
        <f>IFERROR(IF(VLOOKUP(T_Commission[[#This Row],[NumL]],T_suiviDi[#Data],COLUMN(T_suiviDi[Prénom]),FALSE)&lt;&gt;"",VLOOKUP(T_Commission[[#This Row],[NumL]],T_suiviDi[#Data],COLUMN(T_suiviDi[Prénom]),FALSE),""),"")</f>
        <v/>
      </c>
      <c r="E64" s="20" t="str">
        <f>IFERROR(IF(VLOOKUP(T_Commission[[#This Row],[NumL]],T_suiviDi[#Data],COLUMN(T_suiviDi[Email]),FALSE)&lt;&gt;"",VLOOKUP(T_Commission[[#This Row],[NumL]],T_suiviDi[#Data],COLUMN(T_suiviDi[Email]),FALSE),""),"")</f>
        <v/>
      </c>
      <c r="F64" s="274" t="str">
        <f>IFERROR(IF(VLOOKUP(T_Commission[[#This Row],[NumL]],T_suiviDi[#Data],COLUMN(T_suiviDi[[#This Row],[Nom1]]),FALSE)&lt;&gt;"",VLOOKUP(T_Commission[[#This Row],[NumL]],T_suiviDi[#Data],COLUMN(T_suiviDi[[#This Row],[Nom1]]),FALSE),""),"")</f>
        <v/>
      </c>
      <c r="G64" s="274" t="str">
        <f>IFERROR(IF(VLOOKUP(T_Commission[[#This Row],[NumL]],T_suiviDi[#Data],COLUMN(T_suiviDi[[#This Row],[Prénom1]]),FALSE)&lt;&gt;"",VLOOKUP(T_Commission[[#This Row],[NumL]],T_suiviDi[#Data],COLUMN(T_suiviDi[[#This Row],[Prénom1]]),FALSE),""),"")</f>
        <v/>
      </c>
      <c r="H64" s="274" t="str">
        <f>IFERROR(IF(VLOOKUP(T_Commission[[#This Row],[NumL]],T_suiviDi[#Data],COLUMN(T_suiviDi[[#This Row],[Email1]]),FALSE)&lt;&gt;"",VLOOKUP(T_Commission[[#This Row],[NumL]],T_suiviDi[#Data],COLUMN(T_suiviDi[[#This Row],[Email1]]),FALSE),""),"")</f>
        <v/>
      </c>
      <c r="I64" s="142" t="str">
        <f>IFERROR(VLOOKUP(T_Commission[[#This Row],[NumL]],T_TraitDi[#Data],COLUMN(T_TraitDi[[#This Row],[CTRL_PJ]]),FALSE),"")</f>
        <v/>
      </c>
      <c r="J64" s="142" t="str">
        <f>IF(T_Commission[[#This Row],[Nom]]&lt;&gt;"",IFERROR(VLOOKUP(T_Commission[[#This Row],[NumL]],T_TraitDi[#Data],COLUMN(T_TraitDi[[#This Row],[C10]]),FALSE),""),"")</f>
        <v/>
      </c>
      <c r="K64" s="142" t="str">
        <f>IFERROR(IF(VLOOKUP(T_Commission[[#This Row],[NumL]],T_suiviDi[#Data],COLUMN(T_suiviDi[[#This Row],[Avis n+1]]),FALSE)&lt;&gt;"",VLOOKUP(A64,T_suiviDi[#Data],COLUMN(T_suiviDi[[#This Row],[Avis n+1]]),FALSE),""),"")</f>
        <v/>
      </c>
      <c r="L64" s="142" t="str">
        <f>IFERROR(IF(VLOOKUP(T_Commission[[#This Row],[NumL]],T_suiviDi[#Data],COLUMN(T_suiviDi[[#This Row],[Avis n+2]]),FALSE)&lt;&gt;"",VLOOKUP(T_Commission[[#This Row],[NumL]],T_suiviDi[#Data],COLUMN(T_suiviDi[[#This Row],[Avis n+2]]),FALSE),""),"")</f>
        <v/>
      </c>
      <c r="M64" s="49">
        <v>1</v>
      </c>
      <c r="N64" s="49"/>
      <c r="O64" s="143" t="str">
        <f>IF(T_Commission[[#This Row],[Nom]]&lt;&gt;"",IF(T_Commission[[#This Row],[COM '#2]]&lt;&gt;"",MAX(T_Commission[[#This Row],[PJ]],T_Commission[[#This Row],[COM '#2]]),IF(T_Commission[[#This Row],[COM '#1]]&lt;&gt;"",MAX(T_Commission[[#This Row],[PJ]],T_Commission[[#This Row],[COM '#1]]),"")),"")</f>
        <v/>
      </c>
      <c r="P64" s="55" t="s">
        <v>115</v>
      </c>
      <c r="Q64" s="55" t="s">
        <v>3277</v>
      </c>
      <c r="R64" s="55"/>
      <c r="S64" s="56"/>
      <c r="T64" s="144"/>
    </row>
    <row r="65" spans="1:20" s="93" customFormat="1" ht="30" customHeight="1" x14ac:dyDescent="0.25">
      <c r="A65" s="90">
        <v>313</v>
      </c>
      <c r="B65" s="130" t="str">
        <f>IFERROR(IF(VLOOKUP(T_Commission[[#This Row],[NumL]],T_TraitDi[#Data],COLUMN(T_TraitDi[[#This Row],[Statut]]),FALSE)&lt;&gt;"",VLOOKUP(T_Commission[[#This Row],[NumL]],T_TraitDi[#Data],COLUMN(T_TraitDi[[#This Row],[Statut]]),FALSE),""),"")</f>
        <v/>
      </c>
      <c r="C65" s="139" t="str">
        <f>IFERROR(IF(VLOOKUP(T_Commission[[#This Row],[NumL]],T_suiviDi[#Data],COLUMN(T_suiviDi[[#This Row],[Nom]]),FALSE)&lt;&gt;"",VLOOKUP(T_Commission[[#This Row],[NumL]],T_suiviDi[#Data],COLUMN(T_suiviDi[[#This Row],[Nom]]),FALSE),""),"")</f>
        <v/>
      </c>
      <c r="D65" s="139" t="str">
        <f>IFERROR(IF(VLOOKUP(T_Commission[[#This Row],[NumL]],T_suiviDi[#Data],COLUMN(T_suiviDi[[#This Row],[Prénom]]),FALSE)&lt;&gt;"",VLOOKUP(T_Commission[[#This Row],[NumL]],T_suiviDi[#Data],COLUMN(T_suiviDi[[#This Row],[Prénom]]),FALSE),""),"")</f>
        <v/>
      </c>
      <c r="E65" s="140" t="str">
        <f>IFERROR(IF(VLOOKUP(T_Commission[[#This Row],[NumL]],T_suiviDi[#Data],COLUMN(T_suiviDi[[#This Row],[Email]]),FALSE)&lt;&gt;"",VLOOKUP(T_Commission[[#This Row],[NumL]],T_suiviDi[#Data],COLUMN(T_suiviDi[[#This Row],[Email]]),FALSE),""),"")</f>
        <v/>
      </c>
      <c r="F65" s="141" t="str">
        <f>IFERROR(IF(VLOOKUP(T_Commission[[#This Row],[NumL]],T_suiviDi[#Data],COLUMN(T_suiviDi[[#This Row],[Nom1]]),FALSE)&lt;&gt;"",VLOOKUP(T_Commission[[#This Row],[NumL]],T_suiviDi[#Data],COLUMN(T_suiviDi[[#This Row],[Nom1]]),FALSE),""),"")</f>
        <v/>
      </c>
      <c r="G65" s="141" t="str">
        <f>IFERROR(IF(VLOOKUP(T_Commission[[#This Row],[NumL]],T_suiviDi[#Data],COLUMN(T_suiviDi[[#This Row],[Prénom1]]),FALSE)&lt;&gt;"",VLOOKUP(T_Commission[[#This Row],[NumL]],T_suiviDi[#Data],COLUMN(T_suiviDi[[#This Row],[Prénom1]]),FALSE),""),"")</f>
        <v/>
      </c>
      <c r="H65" s="141" t="str">
        <f>IFERROR(IF(VLOOKUP(T_Commission[[#This Row],[NumL]],T_suiviDi[#Data],COLUMN(T_suiviDi[[#This Row],[Email1]]),FALSE)&lt;&gt;"",VLOOKUP(T_Commission[[#This Row],[NumL]],T_suiviDi[#Data],COLUMN(T_suiviDi[[#This Row],[Email1]]),FALSE),""),"")</f>
        <v/>
      </c>
      <c r="I65" s="142" t="str">
        <f>IFERROR(VLOOKUP(T_Commission[[#This Row],[NumL]],T_TraitDi[#Data],COLUMN(T_TraitDi[[#This Row],[CTRL_PJ]]),FALSE),"")</f>
        <v/>
      </c>
      <c r="J65" s="142" t="str">
        <f>IF(C65&lt;&gt;"",IFERROR(VLOOKUP(A65,'2- Traitement des DI'!BV32,FALSE),""),"")</f>
        <v/>
      </c>
      <c r="K65" s="142" t="str">
        <f>IFERROR(IF(VLOOKUP(T_Commission[[#This Row],[NumL]],T_suiviDi[#Data],COLUMN(T_suiviDi[[#This Row],[Avis n+1]]),FALSE)&lt;&gt;"",VLOOKUP(A65,T_suiviDi[#Data],COLUMN(T_suiviDi[[#This Row],[Avis n+1]]),FALSE),""),"")</f>
        <v/>
      </c>
      <c r="L65" s="142" t="str">
        <f>IFERROR(IF(VLOOKUP(A65,ListeDI,27,FALSE)&lt;&gt;"",VLOOKUP(A65,ListeDI,27,FALSE),""),"")</f>
        <v/>
      </c>
      <c r="M65" s="49">
        <v>2</v>
      </c>
      <c r="N65" s="49"/>
      <c r="O65" s="143" t="str">
        <f>IF(C65&lt;&gt;"",IF(N65&lt;&gt;"",MAX(I65,N65),IF(M65&lt;&gt;"",MAX(I65,M65),"")),"")</f>
        <v/>
      </c>
      <c r="P65" s="55" t="s">
        <v>115</v>
      </c>
      <c r="Q65" s="55" t="s">
        <v>3278</v>
      </c>
      <c r="R65" s="55"/>
      <c r="S65" s="56"/>
      <c r="T65" s="144" t="s">
        <v>3618</v>
      </c>
    </row>
    <row r="66" spans="1:20" s="93" customFormat="1" ht="30" customHeight="1" x14ac:dyDescent="0.25">
      <c r="A66" s="90">
        <v>96</v>
      </c>
      <c r="B66" s="130" t="str">
        <f>IFERROR(IF(VLOOKUP(T_Commission[[#This Row],[NumL]],T_TraitDi[#Data],COLUMN(T_TraitDi[[#This Row],[Statut]]),FALSE)&lt;&gt;"",VLOOKUP(T_Commission[[#This Row],[NumL]],T_TraitDi[#Data],COLUMN(T_TraitDi[[#This Row],[Statut]]),FALSE),""),"")</f>
        <v/>
      </c>
      <c r="C66" s="19" t="str">
        <f>IFERROR(IF(VLOOKUP(T_Commission[[#This Row],[NumL]],T_suiviDi[#Data],COLUMN(T_suiviDi[Nom]),FALSE)&lt;&gt;"",VLOOKUP(T_Commission[[#This Row],[NumL]],T_suiviDi[#Data],COLUMN(T_suiviDi[Nom]),FALSE),""),"")</f>
        <v/>
      </c>
      <c r="D66" s="19" t="str">
        <f>IFERROR(IF(VLOOKUP(T_Commission[[#This Row],[NumL]],T_suiviDi[#Data],COLUMN(T_suiviDi[Prénom]),FALSE)&lt;&gt;"",VLOOKUP(T_Commission[[#This Row],[NumL]],T_suiviDi[#Data],COLUMN(T_suiviDi[Prénom]),FALSE),""),"")</f>
        <v/>
      </c>
      <c r="E66" s="20" t="str">
        <f>IFERROR(IF(VLOOKUP(T_Commission[[#This Row],[NumL]],T_suiviDi[#Data],COLUMN(T_suiviDi[Email]),FALSE)&lt;&gt;"",VLOOKUP(T_Commission[[#This Row],[NumL]],T_suiviDi[#Data],COLUMN(T_suiviDi[Email]),FALSE),""),"")</f>
        <v/>
      </c>
      <c r="F66" s="274" t="str">
        <f>IFERROR(IF(VLOOKUP(T_Commission[[#This Row],[NumL]],T_suiviDi[#Data],COLUMN(T_suiviDi[[#This Row],[Nom1]]),FALSE)&lt;&gt;"",VLOOKUP(T_Commission[[#This Row],[NumL]],T_suiviDi[#Data],COLUMN(T_suiviDi[[#This Row],[Nom1]]),FALSE),""),"")</f>
        <v/>
      </c>
      <c r="G66" s="274" t="str">
        <f>IFERROR(IF(VLOOKUP(T_Commission[[#This Row],[NumL]],T_suiviDi[#Data],COLUMN(T_suiviDi[[#This Row],[Prénom1]]),FALSE)&lt;&gt;"",VLOOKUP(T_Commission[[#This Row],[NumL]],T_suiviDi[#Data],COLUMN(T_suiviDi[[#This Row],[Prénom1]]),FALSE),""),"")</f>
        <v/>
      </c>
      <c r="H66" s="274" t="str">
        <f>IFERROR(IF(VLOOKUP(T_Commission[[#This Row],[NumL]],T_suiviDi[#Data],COLUMN(T_suiviDi[[#This Row],[Email1]]),FALSE)&lt;&gt;"",VLOOKUP(T_Commission[[#This Row],[NumL]],T_suiviDi[#Data],COLUMN(T_suiviDi[[#This Row],[Email1]]),FALSE),""),"")</f>
        <v/>
      </c>
      <c r="I66" s="142" t="str">
        <f>IFERROR(VLOOKUP(T_Commission[[#This Row],[NumL]],T_TraitDi[#Data],COLUMN(T_TraitDi[[#This Row],[CTRL_PJ]]),FALSE),"")</f>
        <v/>
      </c>
      <c r="J66" s="142" t="str">
        <f>IF(T_Commission[[#This Row],[Nom]]&lt;&gt;"",IFERROR(VLOOKUP(T_Commission[[#This Row],[NumL]],T_TraitDi[#Data],COLUMN(T_TraitDi[[#This Row],[C10]]),FALSE),""),"")</f>
        <v/>
      </c>
      <c r="K66" s="142" t="str">
        <f>IFERROR(IF(VLOOKUP(T_Commission[[#This Row],[NumL]],T_suiviDi[#Data],COLUMN(T_suiviDi[[#This Row],[Avis n+1]]),FALSE)&lt;&gt;"",VLOOKUP(A66,T_suiviDi[#Data],COLUMN(T_suiviDi[[#This Row],[Avis n+1]]),FALSE),""),"")</f>
        <v/>
      </c>
      <c r="L66" s="142" t="str">
        <f>IFERROR(IF(VLOOKUP(T_Commission[[#This Row],[NumL]],T_suiviDi[#Data],COLUMN(T_suiviDi[[#This Row],[Avis n+2]]),FALSE)&lt;&gt;"",VLOOKUP(T_Commission[[#This Row],[NumL]],T_suiviDi[#Data],COLUMN(T_suiviDi[[#This Row],[Avis n+2]]),FALSE),""),"")</f>
        <v/>
      </c>
      <c r="M66" s="49">
        <v>1</v>
      </c>
      <c r="N66" s="49"/>
      <c r="O66" s="143" t="str">
        <f>IF(T_Commission[[#This Row],[Nom]]&lt;&gt;"",IF(T_Commission[[#This Row],[COM '#2]]&lt;&gt;"",MAX(T_Commission[[#This Row],[PJ]],T_Commission[[#This Row],[COM '#2]]),IF(T_Commission[[#This Row],[COM '#1]]&lt;&gt;"",MAX(T_Commission[[#This Row],[PJ]],T_Commission[[#This Row],[COM '#1]]),"")),"")</f>
        <v/>
      </c>
      <c r="P66" s="55" t="s">
        <v>115</v>
      </c>
      <c r="Q66" s="55" t="s">
        <v>3277</v>
      </c>
      <c r="R66" s="55" t="s">
        <v>3277</v>
      </c>
      <c r="S66" s="56"/>
      <c r="T66" s="144"/>
    </row>
    <row r="67" spans="1:20" s="93" customFormat="1" ht="30" customHeight="1" x14ac:dyDescent="0.25">
      <c r="A67" s="90">
        <v>24</v>
      </c>
      <c r="B67" s="130" t="str">
        <f>IFERROR(IF(VLOOKUP(T_Commission[[#This Row],[NumL]],T_TraitDi[#Data],COLUMN(T_TraitDi[[#This Row],[Statut]]),FALSE)&lt;&gt;"",VLOOKUP(T_Commission[[#This Row],[NumL]],T_TraitDi[#Data],COLUMN(T_TraitDi[[#This Row],[Statut]]),FALSE),""),"")</f>
        <v/>
      </c>
      <c r="C67" s="19" t="str">
        <f>IFERROR(IF(VLOOKUP(T_Commission[[#This Row],[NumL]],T_suiviDi[#Data],COLUMN(T_suiviDi[Nom]),FALSE)&lt;&gt;"",VLOOKUP(T_Commission[[#This Row],[NumL]],T_suiviDi[#Data],COLUMN(T_suiviDi[Nom]),FALSE),""),"")</f>
        <v/>
      </c>
      <c r="D67" s="19" t="str">
        <f>IFERROR(IF(VLOOKUP(T_Commission[[#This Row],[NumL]],T_suiviDi[#Data],COLUMN(T_suiviDi[Prénom]),FALSE)&lt;&gt;"",VLOOKUP(T_Commission[[#This Row],[NumL]],T_suiviDi[#Data],COLUMN(T_suiviDi[Prénom]),FALSE),""),"")</f>
        <v/>
      </c>
      <c r="E67" s="20" t="str">
        <f>IFERROR(IF(VLOOKUP(T_Commission[[#This Row],[NumL]],T_suiviDi[#Data],COLUMN(T_suiviDi[Email]),FALSE)&lt;&gt;"",VLOOKUP(T_Commission[[#This Row],[NumL]],T_suiviDi[#Data],COLUMN(T_suiviDi[Email]),FALSE),""),"")</f>
        <v/>
      </c>
      <c r="F67" s="274" t="str">
        <f>IFERROR(IF(VLOOKUP(T_Commission[[#This Row],[NumL]],T_suiviDi[#Data],COLUMN(T_suiviDi[[#This Row],[Nom1]]),FALSE)&lt;&gt;"",VLOOKUP(T_Commission[[#This Row],[NumL]],T_suiviDi[#Data],COLUMN(T_suiviDi[[#This Row],[Nom1]]),FALSE),""),"")</f>
        <v/>
      </c>
      <c r="G67" s="274" t="str">
        <f>IFERROR(IF(VLOOKUP(T_Commission[[#This Row],[NumL]],T_suiviDi[#Data],COLUMN(T_suiviDi[[#This Row],[Prénom1]]),FALSE)&lt;&gt;"",VLOOKUP(T_Commission[[#This Row],[NumL]],T_suiviDi[#Data],COLUMN(T_suiviDi[[#This Row],[Prénom1]]),FALSE),""),"")</f>
        <v/>
      </c>
      <c r="H67" s="274" t="str">
        <f>IFERROR(IF(VLOOKUP(T_Commission[[#This Row],[NumL]],T_suiviDi[#Data],COLUMN(T_suiviDi[[#This Row],[Email1]]),FALSE)&lt;&gt;"",VLOOKUP(T_Commission[[#This Row],[NumL]],T_suiviDi[#Data],COLUMN(T_suiviDi[[#This Row],[Email1]]),FALSE),""),"")</f>
        <v/>
      </c>
      <c r="I67" s="142" t="str">
        <f>IFERROR(VLOOKUP(T_Commission[[#This Row],[NumL]],T_TraitDi[#Data],COLUMN(T_TraitDi[[#This Row],[CTRL_PJ]]),FALSE),"")</f>
        <v/>
      </c>
      <c r="J67" s="142" t="str">
        <f>IF(T_Commission[[#This Row],[Nom]]&lt;&gt;"",IFERROR(VLOOKUP(T_Commission[[#This Row],[NumL]],T_TraitDi[#Data],COLUMN(T_TraitDi[[#This Row],[C10]]),FALSE),""),"")</f>
        <v/>
      </c>
      <c r="K67" s="142" t="str">
        <f>IFERROR(IF(VLOOKUP(T_Commission[[#This Row],[NumL]],T_suiviDi[#Data],COLUMN(T_suiviDi[[#This Row],[Avis n+1]]),FALSE)&lt;&gt;"",VLOOKUP(A67,T_suiviDi[#Data],COLUMN(T_suiviDi[[#This Row],[Avis n+1]]),FALSE),""),"")</f>
        <v/>
      </c>
      <c r="L67" s="142" t="str">
        <f>IFERROR(IF(VLOOKUP(T_Commission[[#This Row],[NumL]],T_suiviDi[#Data],COLUMN(T_suiviDi[[#This Row],[Avis n+2]]),FALSE)&lt;&gt;"",VLOOKUP(T_Commission[[#This Row],[NumL]],T_suiviDi[#Data],COLUMN(T_suiviDi[[#This Row],[Avis n+2]]),FALSE),""),"")</f>
        <v/>
      </c>
      <c r="M67" s="49">
        <v>1</v>
      </c>
      <c r="N67" s="49"/>
      <c r="O67" s="143" t="str">
        <f>IF(T_Commission[[#This Row],[Nom]]&lt;&gt;"",IF(T_Commission[[#This Row],[COM '#2]]&lt;&gt;"",MAX(T_Commission[[#This Row],[PJ]],T_Commission[[#This Row],[COM '#2]]),IF(T_Commission[[#This Row],[COM '#1]]&lt;&gt;"",MAX(T_Commission[[#This Row],[PJ]],T_Commission[[#This Row],[COM '#1]]),"")),"")</f>
        <v/>
      </c>
      <c r="P67" s="55" t="s">
        <v>115</v>
      </c>
      <c r="Q67" s="55" t="s">
        <v>3277</v>
      </c>
      <c r="R67" s="55" t="s">
        <v>3277</v>
      </c>
      <c r="S67" s="56"/>
      <c r="T67" s="144"/>
    </row>
    <row r="68" spans="1:20" s="93" customFormat="1" ht="30" customHeight="1" x14ac:dyDescent="0.25">
      <c r="A68" s="90">
        <v>227</v>
      </c>
      <c r="B68" s="130" t="str">
        <f>IFERROR(IF(VLOOKUP(T_Commission[[#This Row],[NumL]],T_TraitDi[#Data],COLUMN(T_TraitDi[[#This Row],[Statut]]),FALSE)&lt;&gt;"",VLOOKUP(T_Commission[[#This Row],[NumL]],T_TraitDi[#Data],COLUMN(T_TraitDi[[#This Row],[Statut]]),FALSE),""),"")</f>
        <v/>
      </c>
      <c r="C68" s="19" t="str">
        <f>IFERROR(IF(VLOOKUP(T_Commission[[#This Row],[NumL]],T_suiviDi[#Data],COLUMN(T_suiviDi[Nom]),FALSE)&lt;&gt;"",VLOOKUP(T_Commission[[#This Row],[NumL]],T_suiviDi[#Data],COLUMN(T_suiviDi[Nom]),FALSE),""),"")</f>
        <v/>
      </c>
      <c r="D68" s="19" t="str">
        <f>IFERROR(IF(VLOOKUP(T_Commission[[#This Row],[NumL]],T_suiviDi[#Data],COLUMN(T_suiviDi[Prénom]),FALSE)&lt;&gt;"",VLOOKUP(T_Commission[[#This Row],[NumL]],T_suiviDi[#Data],COLUMN(T_suiviDi[Prénom]),FALSE),""),"")</f>
        <v/>
      </c>
      <c r="E68" s="20" t="str">
        <f>IFERROR(IF(VLOOKUP(T_Commission[[#This Row],[NumL]],T_suiviDi[#Data],COLUMN(T_suiviDi[Email]),FALSE)&lt;&gt;"",VLOOKUP(T_Commission[[#This Row],[NumL]],T_suiviDi[#Data],COLUMN(T_suiviDi[Email]),FALSE),""),"")</f>
        <v/>
      </c>
      <c r="F68" s="274" t="str">
        <f>IFERROR(IF(VLOOKUP(T_Commission[[#This Row],[NumL]],T_suiviDi[#Data],COLUMN(T_suiviDi[[#This Row],[Nom1]]),FALSE)&lt;&gt;"",VLOOKUP(T_Commission[[#This Row],[NumL]],T_suiviDi[#Data],COLUMN(T_suiviDi[[#This Row],[Nom1]]),FALSE),""),"")</f>
        <v/>
      </c>
      <c r="G68" s="274" t="str">
        <f>IFERROR(IF(VLOOKUP(T_Commission[[#This Row],[NumL]],T_suiviDi[#Data],COLUMN(T_suiviDi[[#This Row],[Prénom1]]),FALSE)&lt;&gt;"",VLOOKUP(T_Commission[[#This Row],[NumL]],T_suiviDi[#Data],COLUMN(T_suiviDi[[#This Row],[Prénom1]]),FALSE),""),"")</f>
        <v/>
      </c>
      <c r="H68" s="274" t="str">
        <f>IFERROR(IF(VLOOKUP(T_Commission[[#This Row],[NumL]],T_suiviDi[#Data],COLUMN(T_suiviDi[[#This Row],[Email1]]),FALSE)&lt;&gt;"",VLOOKUP(T_Commission[[#This Row],[NumL]],T_suiviDi[#Data],COLUMN(T_suiviDi[[#This Row],[Email1]]),FALSE),""),"")</f>
        <v/>
      </c>
      <c r="I68" s="142" t="str">
        <f>IFERROR(VLOOKUP(T_Commission[[#This Row],[NumL]],T_TraitDi[#Data],COLUMN(T_TraitDi[[#This Row],[CTRL_PJ]]),FALSE),"")</f>
        <v/>
      </c>
      <c r="J68" s="142" t="str">
        <f>IF(T_Commission[[#This Row],[Nom]]&lt;&gt;"",IFERROR(VLOOKUP(T_Commission[[#This Row],[NumL]],T_TraitDi[#Data],COLUMN(T_TraitDi[[#This Row],[C10]]),FALSE),""),"")</f>
        <v/>
      </c>
      <c r="K68" s="142" t="str">
        <f>IFERROR(IF(VLOOKUP(T_Commission[[#This Row],[NumL]],T_suiviDi[#Data],COLUMN(T_suiviDi[[#This Row],[Avis n+1]]),FALSE)&lt;&gt;"",VLOOKUP(A68,T_suiviDi[#Data],COLUMN(T_suiviDi[[#This Row],[Avis n+1]]),FALSE),""),"")</f>
        <v/>
      </c>
      <c r="L68" s="142" t="str">
        <f>IFERROR(IF(VLOOKUP(T_Commission[[#This Row],[NumL]],T_suiviDi[#Data],COLUMN(T_suiviDi[[#This Row],[Avis n+2]]),FALSE)&lt;&gt;"",VLOOKUP(T_Commission[[#This Row],[NumL]],T_suiviDi[#Data],COLUMN(T_suiviDi[[#This Row],[Avis n+2]]),FALSE),""),"")</f>
        <v/>
      </c>
      <c r="M68" s="49">
        <v>1</v>
      </c>
      <c r="N68" s="49"/>
      <c r="O68" s="143" t="str">
        <f>IF(T_Commission[[#This Row],[Nom]]&lt;&gt;"",IF(T_Commission[[#This Row],[COM '#2]]&lt;&gt;"",MAX(T_Commission[[#This Row],[PJ]],T_Commission[[#This Row],[COM '#2]]),IF(T_Commission[[#This Row],[COM '#1]]&lt;&gt;"",MAX(T_Commission[[#This Row],[PJ]],T_Commission[[#This Row],[COM '#1]]),"")),"")</f>
        <v/>
      </c>
      <c r="P68" s="55" t="s">
        <v>115</v>
      </c>
      <c r="Q68" s="55" t="s">
        <v>3277</v>
      </c>
      <c r="R68" s="55" t="s">
        <v>3277</v>
      </c>
      <c r="S68" s="56"/>
      <c r="T68" s="144"/>
    </row>
    <row r="69" spans="1:20" s="93" customFormat="1" ht="30" customHeight="1" x14ac:dyDescent="0.25">
      <c r="A69" s="90">
        <v>228</v>
      </c>
      <c r="B69" s="130" t="str">
        <f>IFERROR(IF(VLOOKUP(T_Commission[[#This Row],[NumL]],T_TraitDi[#Data],COLUMN(T_TraitDi[[#This Row],[Statut]]),FALSE)&lt;&gt;"",VLOOKUP(T_Commission[[#This Row],[NumL]],T_TraitDi[#Data],COLUMN(T_TraitDi[[#This Row],[Statut]]),FALSE),""),"")</f>
        <v/>
      </c>
      <c r="C69" s="19" t="str">
        <f>IFERROR(IF(VLOOKUP(T_Commission[[#This Row],[NumL]],T_suiviDi[#Data],COLUMN(T_suiviDi[Nom]),FALSE)&lt;&gt;"",VLOOKUP(T_Commission[[#This Row],[NumL]],T_suiviDi[#Data],COLUMN(T_suiviDi[Nom]),FALSE),""),"")</f>
        <v/>
      </c>
      <c r="D69" s="19" t="str">
        <f>IFERROR(IF(VLOOKUP(T_Commission[[#This Row],[NumL]],T_suiviDi[#Data],COLUMN(T_suiviDi[Prénom]),FALSE)&lt;&gt;"",VLOOKUP(T_Commission[[#This Row],[NumL]],T_suiviDi[#Data],COLUMN(T_suiviDi[Prénom]),FALSE),""),"")</f>
        <v/>
      </c>
      <c r="E69" s="20" t="str">
        <f>IFERROR(IF(VLOOKUP(T_Commission[[#This Row],[NumL]],T_suiviDi[#Data],COLUMN(T_suiviDi[Email]),FALSE)&lt;&gt;"",VLOOKUP(T_Commission[[#This Row],[NumL]],T_suiviDi[#Data],COLUMN(T_suiviDi[Email]),FALSE),""),"")</f>
        <v/>
      </c>
      <c r="F69" s="274" t="str">
        <f>IFERROR(IF(VLOOKUP(T_Commission[[#This Row],[NumL]],T_suiviDi[#Data],COLUMN(T_suiviDi[[#This Row],[Nom1]]),FALSE)&lt;&gt;"",VLOOKUP(T_Commission[[#This Row],[NumL]],T_suiviDi[#Data],COLUMN(T_suiviDi[[#This Row],[Nom1]]),FALSE),""),"")</f>
        <v/>
      </c>
      <c r="G69" s="274" t="str">
        <f>IFERROR(IF(VLOOKUP(T_Commission[[#This Row],[NumL]],T_suiviDi[#Data],COLUMN(T_suiviDi[[#This Row],[Prénom1]]),FALSE)&lt;&gt;"",VLOOKUP(T_Commission[[#This Row],[NumL]],T_suiviDi[#Data],COLUMN(T_suiviDi[[#This Row],[Prénom1]]),FALSE),""),"")</f>
        <v/>
      </c>
      <c r="H69" s="274" t="str">
        <f>IFERROR(IF(VLOOKUP(T_Commission[[#This Row],[NumL]],T_suiviDi[#Data],COLUMN(T_suiviDi[[#This Row],[Email1]]),FALSE)&lt;&gt;"",VLOOKUP(T_Commission[[#This Row],[NumL]],T_suiviDi[#Data],COLUMN(T_suiviDi[[#This Row],[Email1]]),FALSE),""),"")</f>
        <v/>
      </c>
      <c r="I69" s="142" t="str">
        <f>IFERROR(VLOOKUP(T_Commission[[#This Row],[NumL]],T_TraitDi[#Data],COLUMN(T_TraitDi[[#This Row],[CTRL_PJ]]),FALSE),"")</f>
        <v/>
      </c>
      <c r="J69" s="142" t="str">
        <f>IF(T_Commission[[#This Row],[Nom]]&lt;&gt;"",IFERROR(VLOOKUP(T_Commission[[#This Row],[NumL]],T_TraitDi[#Data],COLUMN(T_TraitDi[[#This Row],[C10]]),FALSE),""),"")</f>
        <v/>
      </c>
      <c r="K69" s="142" t="str">
        <f>IFERROR(IF(VLOOKUP(T_Commission[[#This Row],[NumL]],T_suiviDi[#Data],COLUMN(T_suiviDi[[#This Row],[Avis n+1]]),FALSE)&lt;&gt;"",VLOOKUP(A69,T_suiviDi[#Data],COLUMN(T_suiviDi[[#This Row],[Avis n+1]]),FALSE),""),"")</f>
        <v/>
      </c>
      <c r="L69" s="142" t="str">
        <f>IFERROR(IF(VLOOKUP(T_Commission[[#This Row],[NumL]],T_suiviDi[#Data],COLUMN(T_suiviDi[[#This Row],[Avis n+2]]),FALSE)&lt;&gt;"",VLOOKUP(T_Commission[[#This Row],[NumL]],T_suiviDi[#Data],COLUMN(T_suiviDi[[#This Row],[Avis n+2]]),FALSE),""),"")</f>
        <v/>
      </c>
      <c r="M69" s="49">
        <v>1</v>
      </c>
      <c r="N69" s="49"/>
      <c r="O69" s="143" t="str">
        <f>IF(T_Commission[[#This Row],[Nom]]&lt;&gt;"",IF(T_Commission[[#This Row],[COM '#2]]&lt;&gt;"",MAX(T_Commission[[#This Row],[PJ]],T_Commission[[#This Row],[COM '#2]]),IF(T_Commission[[#This Row],[COM '#1]]&lt;&gt;"",MAX(T_Commission[[#This Row],[PJ]],T_Commission[[#This Row],[COM '#1]]),"")),"")</f>
        <v/>
      </c>
      <c r="P69" s="55" t="s">
        <v>115</v>
      </c>
      <c r="Q69" s="55" t="s">
        <v>3277</v>
      </c>
      <c r="R69" s="55"/>
      <c r="S69" s="56"/>
      <c r="T69" s="144"/>
    </row>
    <row r="70" spans="1:20" s="93" customFormat="1" ht="30" customHeight="1" x14ac:dyDescent="0.25">
      <c r="A70" s="90">
        <v>255</v>
      </c>
      <c r="B70" s="130" t="str">
        <f>IFERROR(IF(VLOOKUP(T_Commission[[#This Row],[NumL]],T_TraitDi[#Data],COLUMN(T_TraitDi[[#This Row],[Statut]]),FALSE)&lt;&gt;"",VLOOKUP(T_Commission[[#This Row],[NumL]],T_TraitDi[#Data],COLUMN(T_TraitDi[[#This Row],[Statut]]),FALSE),""),"")</f>
        <v/>
      </c>
      <c r="C70" s="19" t="str">
        <f>IFERROR(IF(VLOOKUP(T_Commission[[#This Row],[NumL]],T_suiviDi[#Data],COLUMN(T_suiviDi[Nom]),FALSE)&lt;&gt;"",VLOOKUP(T_Commission[[#This Row],[NumL]],T_suiviDi[#Data],COLUMN(T_suiviDi[Nom]),FALSE),""),"")</f>
        <v/>
      </c>
      <c r="D70" s="19" t="str">
        <f>IFERROR(IF(VLOOKUP(T_Commission[[#This Row],[NumL]],T_suiviDi[#Data],COLUMN(T_suiviDi[Prénom]),FALSE)&lt;&gt;"",VLOOKUP(T_Commission[[#This Row],[NumL]],T_suiviDi[#Data],COLUMN(T_suiviDi[Prénom]),FALSE),""),"")</f>
        <v/>
      </c>
      <c r="E70" s="20" t="str">
        <f>IFERROR(IF(VLOOKUP(T_Commission[[#This Row],[NumL]],T_suiviDi[#Data],COLUMN(T_suiviDi[Email]),FALSE)&lt;&gt;"",VLOOKUP(T_Commission[[#This Row],[NumL]],T_suiviDi[#Data],COLUMN(T_suiviDi[Email]),FALSE),""),"")</f>
        <v/>
      </c>
      <c r="F70" s="274" t="str">
        <f>IFERROR(IF(VLOOKUP(T_Commission[[#This Row],[NumL]],T_suiviDi[#Data],COLUMN(T_suiviDi[[#This Row],[Nom1]]),FALSE)&lt;&gt;"",VLOOKUP(T_Commission[[#This Row],[NumL]],T_suiviDi[#Data],COLUMN(T_suiviDi[[#This Row],[Nom1]]),FALSE),""),"")</f>
        <v/>
      </c>
      <c r="G70" s="274" t="str">
        <f>IFERROR(IF(VLOOKUP(T_Commission[[#This Row],[NumL]],T_suiviDi[#Data],COLUMN(T_suiviDi[[#This Row],[Prénom1]]),FALSE)&lt;&gt;"",VLOOKUP(T_Commission[[#This Row],[NumL]],T_suiviDi[#Data],COLUMN(T_suiviDi[[#This Row],[Prénom1]]),FALSE),""),"")</f>
        <v/>
      </c>
      <c r="H70" s="274" t="str">
        <f>IFERROR(IF(VLOOKUP(T_Commission[[#This Row],[NumL]],T_suiviDi[#Data],COLUMN(T_suiviDi[[#This Row],[Email1]]),FALSE)&lt;&gt;"",VLOOKUP(T_Commission[[#This Row],[NumL]],T_suiviDi[#Data],COLUMN(T_suiviDi[[#This Row],[Email1]]),FALSE),""),"")</f>
        <v/>
      </c>
      <c r="I70" s="142" t="str">
        <f>IFERROR(VLOOKUP(T_Commission[[#This Row],[NumL]],T_TraitDi[#Data],COLUMN(T_TraitDi[[#This Row],[CTRL_PJ]]),FALSE),"")</f>
        <v/>
      </c>
      <c r="J70" s="142" t="str">
        <f>IF(T_Commission[[#This Row],[Nom]]&lt;&gt;"",IFERROR(VLOOKUP(T_Commission[[#This Row],[NumL]],T_TraitDi[#Data],COLUMN(T_TraitDi[[#This Row],[C10]]),FALSE),""),"")</f>
        <v/>
      </c>
      <c r="K70" s="142" t="str">
        <f>IFERROR(IF(VLOOKUP(T_Commission[[#This Row],[NumL]],T_suiviDi[#Data],COLUMN(T_suiviDi[[#This Row],[Avis n+1]]),FALSE)&lt;&gt;"",VLOOKUP(A70,T_suiviDi[#Data],COLUMN(T_suiviDi[[#This Row],[Avis n+1]]),FALSE),""),"")</f>
        <v/>
      </c>
      <c r="L70" s="142" t="str">
        <f>IFERROR(IF(VLOOKUP(T_Commission[[#This Row],[NumL]],T_suiviDi[#Data],COLUMN(T_suiviDi[[#This Row],[Avis n+2]]),FALSE)&lt;&gt;"",VLOOKUP(T_Commission[[#This Row],[NumL]],T_suiviDi[#Data],COLUMN(T_suiviDi[[#This Row],[Avis n+2]]),FALSE),""),"")</f>
        <v/>
      </c>
      <c r="M70" s="49">
        <v>1</v>
      </c>
      <c r="N70" s="49"/>
      <c r="O70" s="143" t="str">
        <f>IF(T_Commission[[#This Row],[Nom]]&lt;&gt;"",IF(T_Commission[[#This Row],[COM '#2]]&lt;&gt;"",MAX(T_Commission[[#This Row],[PJ]],T_Commission[[#This Row],[COM '#2]]),IF(T_Commission[[#This Row],[COM '#1]]&lt;&gt;"",MAX(T_Commission[[#This Row],[PJ]],T_Commission[[#This Row],[COM '#1]]),"")),"")</f>
        <v/>
      </c>
      <c r="P70" s="55" t="s">
        <v>115</v>
      </c>
      <c r="Q70" s="55" t="s">
        <v>3277</v>
      </c>
      <c r="R70" s="55" t="s">
        <v>3277</v>
      </c>
      <c r="S70" s="56"/>
      <c r="T70" s="144"/>
    </row>
    <row r="71" spans="1:20" s="93" customFormat="1" ht="30" customHeight="1" x14ac:dyDescent="0.25">
      <c r="A71" s="90">
        <v>260</v>
      </c>
      <c r="B71" s="130" t="str">
        <f>IFERROR(IF(VLOOKUP(T_Commission[[#This Row],[NumL]],T_TraitDi[#Data],COLUMN(T_TraitDi[[#This Row],[Statut]]),FALSE)&lt;&gt;"",VLOOKUP(T_Commission[[#This Row],[NumL]],T_TraitDi[#Data],COLUMN(T_TraitDi[[#This Row],[Statut]]),FALSE),""),"")</f>
        <v/>
      </c>
      <c r="C71" s="19" t="str">
        <f>IFERROR(IF(VLOOKUP(T_Commission[[#This Row],[NumL]],T_suiviDi[#Data],COLUMN(T_suiviDi[Nom]),FALSE)&lt;&gt;"",VLOOKUP(T_Commission[[#This Row],[NumL]],T_suiviDi[#Data],COLUMN(T_suiviDi[Nom]),FALSE),""),"")</f>
        <v/>
      </c>
      <c r="D71" s="19" t="str">
        <f>IFERROR(IF(VLOOKUP(T_Commission[[#This Row],[NumL]],T_suiviDi[#Data],COLUMN(T_suiviDi[Prénom]),FALSE)&lt;&gt;"",VLOOKUP(T_Commission[[#This Row],[NumL]],T_suiviDi[#Data],COLUMN(T_suiviDi[Prénom]),FALSE),""),"")</f>
        <v/>
      </c>
      <c r="E71" s="20" t="str">
        <f>IFERROR(IF(VLOOKUP(T_Commission[[#This Row],[NumL]],T_suiviDi[#Data],COLUMN(T_suiviDi[Email]),FALSE)&lt;&gt;"",VLOOKUP(T_Commission[[#This Row],[NumL]],T_suiviDi[#Data],COLUMN(T_suiviDi[Email]),FALSE),""),"")</f>
        <v/>
      </c>
      <c r="F71" s="274" t="str">
        <f>IFERROR(IF(VLOOKUP(T_Commission[[#This Row],[NumL]],T_suiviDi[#Data],COLUMN(T_suiviDi[[#This Row],[Nom1]]),FALSE)&lt;&gt;"",VLOOKUP(T_Commission[[#This Row],[NumL]],T_suiviDi[#Data],COLUMN(T_suiviDi[[#This Row],[Nom1]]),FALSE),""),"")</f>
        <v/>
      </c>
      <c r="G71" s="274" t="str">
        <f>IFERROR(IF(VLOOKUP(T_Commission[[#This Row],[NumL]],T_suiviDi[#Data],COLUMN(T_suiviDi[[#This Row],[Prénom1]]),FALSE)&lt;&gt;"",VLOOKUP(T_Commission[[#This Row],[NumL]],T_suiviDi[#Data],COLUMN(T_suiviDi[[#This Row],[Prénom1]]),FALSE),""),"")</f>
        <v/>
      </c>
      <c r="H71" s="274" t="str">
        <f>IFERROR(IF(VLOOKUP(T_Commission[[#This Row],[NumL]],T_suiviDi[#Data],COLUMN(T_suiviDi[[#This Row],[Email1]]),FALSE)&lt;&gt;"",VLOOKUP(T_Commission[[#This Row],[NumL]],T_suiviDi[#Data],COLUMN(T_suiviDi[[#This Row],[Email1]]),FALSE),""),"")</f>
        <v/>
      </c>
      <c r="I71" s="142" t="str">
        <f>IFERROR(VLOOKUP(T_Commission[[#This Row],[NumL]],T_TraitDi[#Data],COLUMN(T_TraitDi[[#This Row],[CTRL_PJ]]),FALSE),"")</f>
        <v/>
      </c>
      <c r="J71" s="142" t="str">
        <f>IF(T_Commission[[#This Row],[Nom]]&lt;&gt;"",IFERROR(VLOOKUP(T_Commission[[#This Row],[NumL]],T_TraitDi[#Data],COLUMN(T_TraitDi[[#This Row],[C10]]),FALSE),""),"")</f>
        <v/>
      </c>
      <c r="K71" s="142" t="str">
        <f>IFERROR(IF(VLOOKUP(T_Commission[[#This Row],[NumL]],T_suiviDi[#Data],COLUMN(T_suiviDi[[#This Row],[Avis n+1]]),FALSE)&lt;&gt;"",VLOOKUP(A71,T_suiviDi[#Data],COLUMN(T_suiviDi[[#This Row],[Avis n+1]]),FALSE),""),"")</f>
        <v/>
      </c>
      <c r="L71" s="142" t="str">
        <f>IFERROR(IF(VLOOKUP(T_Commission[[#This Row],[NumL]],T_suiviDi[#Data],COLUMN(T_suiviDi[[#This Row],[Avis n+2]]),FALSE)&lt;&gt;"",VLOOKUP(T_Commission[[#This Row],[NumL]],T_suiviDi[#Data],COLUMN(T_suiviDi[[#This Row],[Avis n+2]]),FALSE),""),"")</f>
        <v/>
      </c>
      <c r="M71" s="49">
        <v>1</v>
      </c>
      <c r="N71" s="49"/>
      <c r="O71" s="143" t="str">
        <f>IF(T_Commission[[#This Row],[Nom]]&lt;&gt;"",IF(T_Commission[[#This Row],[COM '#2]]&lt;&gt;"",MAX(T_Commission[[#This Row],[PJ]],T_Commission[[#This Row],[COM '#2]]),IF(T_Commission[[#This Row],[COM '#1]]&lt;&gt;"",MAX(T_Commission[[#This Row],[PJ]],T_Commission[[#This Row],[COM '#1]]),"")),"")</f>
        <v/>
      </c>
      <c r="P71" s="55" t="s">
        <v>115</v>
      </c>
      <c r="Q71" s="55" t="s">
        <v>3277</v>
      </c>
      <c r="R71" s="55" t="s">
        <v>3277</v>
      </c>
      <c r="S71" s="56"/>
      <c r="T71" s="144"/>
    </row>
    <row r="72" spans="1:20" s="93" customFormat="1" ht="30" customHeight="1" x14ac:dyDescent="0.25">
      <c r="A72" s="90">
        <v>93</v>
      </c>
      <c r="B72" s="130" t="str">
        <f>IFERROR(IF(VLOOKUP(T_Commission[[#This Row],[NumL]],T_TraitDi[#Data],COLUMN(T_TraitDi[[#This Row],[Statut]]),FALSE)&lt;&gt;"",VLOOKUP(T_Commission[[#This Row],[NumL]],T_TraitDi[#Data],COLUMN(T_TraitDi[[#This Row],[Statut]]),FALSE),""),"")</f>
        <v/>
      </c>
      <c r="C72" s="19" t="str">
        <f>IFERROR(IF(VLOOKUP(T_Commission[[#This Row],[NumL]],T_suiviDi[#Data],COLUMN(T_suiviDi[Nom]),FALSE)&lt;&gt;"",VLOOKUP(T_Commission[[#This Row],[NumL]],T_suiviDi[#Data],COLUMN(T_suiviDi[Nom]),FALSE),""),"")</f>
        <v/>
      </c>
      <c r="D72" s="19" t="str">
        <f>IFERROR(IF(VLOOKUP(T_Commission[[#This Row],[NumL]],T_suiviDi[#Data],COLUMN(T_suiviDi[Prénom]),FALSE)&lt;&gt;"",VLOOKUP(T_Commission[[#This Row],[NumL]],T_suiviDi[#Data],COLUMN(T_suiviDi[Prénom]),FALSE),""),"")</f>
        <v/>
      </c>
      <c r="E72" s="20" t="str">
        <f>IFERROR(IF(VLOOKUP(T_Commission[[#This Row],[NumL]],T_suiviDi[#Data],COLUMN(T_suiviDi[Email]),FALSE)&lt;&gt;"",VLOOKUP(T_Commission[[#This Row],[NumL]],T_suiviDi[#Data],COLUMN(T_suiviDi[Email]),FALSE),""),"")</f>
        <v/>
      </c>
      <c r="F72" s="274" t="str">
        <f>IFERROR(IF(VLOOKUP(T_Commission[[#This Row],[NumL]],T_suiviDi[#Data],COLUMN(T_suiviDi[[#This Row],[Nom1]]),FALSE)&lt;&gt;"",VLOOKUP(T_Commission[[#This Row],[NumL]],T_suiviDi[#Data],COLUMN(T_suiviDi[[#This Row],[Nom1]]),FALSE),""),"")</f>
        <v/>
      </c>
      <c r="G72" s="274" t="str">
        <f>IFERROR(IF(VLOOKUP(T_Commission[[#This Row],[NumL]],T_suiviDi[#Data],COLUMN(T_suiviDi[[#This Row],[Prénom1]]),FALSE)&lt;&gt;"",VLOOKUP(T_Commission[[#This Row],[NumL]],T_suiviDi[#Data],COLUMN(T_suiviDi[[#This Row],[Prénom1]]),FALSE),""),"")</f>
        <v/>
      </c>
      <c r="H72" s="274" t="str">
        <f>IFERROR(IF(VLOOKUP(T_Commission[[#This Row],[NumL]],T_suiviDi[#Data],COLUMN(T_suiviDi[[#This Row],[Email1]]),FALSE)&lt;&gt;"",VLOOKUP(T_Commission[[#This Row],[NumL]],T_suiviDi[#Data],COLUMN(T_suiviDi[[#This Row],[Email1]]),FALSE),""),"")</f>
        <v/>
      </c>
      <c r="I72" s="142" t="str">
        <f>IFERROR(VLOOKUP(T_Commission[[#This Row],[NumL]],T_TraitDi[#Data],COLUMN(T_TraitDi[[#This Row],[CTRL_PJ]]),FALSE),"")</f>
        <v/>
      </c>
      <c r="J72" s="142" t="str">
        <f>IF(T_Commission[[#This Row],[Nom]]&lt;&gt;"",IFERROR(VLOOKUP(T_Commission[[#This Row],[NumL]],T_TraitDi[#Data],COLUMN(T_TraitDi[[#This Row],[C10]]),FALSE),""),"")</f>
        <v/>
      </c>
      <c r="K72" s="142" t="str">
        <f>IFERROR(IF(VLOOKUP(T_Commission[[#This Row],[NumL]],T_suiviDi[#Data],COLUMN(T_suiviDi[[#This Row],[Avis n+1]]),FALSE)&lt;&gt;"",VLOOKUP(A72,T_suiviDi[#Data],COLUMN(T_suiviDi[[#This Row],[Avis n+1]]),FALSE),""),"")</f>
        <v/>
      </c>
      <c r="L72" s="142" t="str">
        <f>IFERROR(IF(VLOOKUP(T_Commission[[#This Row],[NumL]],T_suiviDi[#Data],COLUMN(T_suiviDi[[#This Row],[Avis n+2]]),FALSE)&lt;&gt;"",VLOOKUP(T_Commission[[#This Row],[NumL]],T_suiviDi[#Data],COLUMN(T_suiviDi[[#This Row],[Avis n+2]]),FALSE),""),"")</f>
        <v/>
      </c>
      <c r="M72" s="49">
        <v>1</v>
      </c>
      <c r="N72" s="49"/>
      <c r="O72" s="143" t="str">
        <f>IF(T_Commission[[#This Row],[Nom]]&lt;&gt;"",IF(T_Commission[[#This Row],[COM '#2]]&lt;&gt;"",MAX(T_Commission[[#This Row],[PJ]],T_Commission[[#This Row],[COM '#2]]),IF(T_Commission[[#This Row],[COM '#1]]&lt;&gt;"",MAX(T_Commission[[#This Row],[PJ]],T_Commission[[#This Row],[COM '#1]]),"")),"")</f>
        <v/>
      </c>
      <c r="P72" s="55" t="s">
        <v>115</v>
      </c>
      <c r="Q72" s="55" t="s">
        <v>3277</v>
      </c>
      <c r="R72" s="55" t="s">
        <v>3277</v>
      </c>
      <c r="S72" s="56"/>
      <c r="T72" s="144"/>
    </row>
    <row r="73" spans="1:20" s="93" customFormat="1" ht="30" customHeight="1" x14ac:dyDescent="0.25">
      <c r="A73" s="90">
        <v>220</v>
      </c>
      <c r="B73" s="130" t="str">
        <f>IFERROR(IF(VLOOKUP(T_Commission[[#This Row],[NumL]],T_TraitDi[#Data],COLUMN(T_TraitDi[[#This Row],[Statut]]),FALSE)&lt;&gt;"",VLOOKUP(T_Commission[[#This Row],[NumL]],T_TraitDi[#Data],COLUMN(T_TraitDi[[#This Row],[Statut]]),FALSE),""),"")</f>
        <v/>
      </c>
      <c r="C73" s="19" t="str">
        <f>IFERROR(IF(VLOOKUP(T_Commission[[#This Row],[NumL]],T_suiviDi[#Data],COLUMN(T_suiviDi[Nom]),FALSE)&lt;&gt;"",VLOOKUP(T_Commission[[#This Row],[NumL]],T_suiviDi[#Data],COLUMN(T_suiviDi[Nom]),FALSE),""),"")</f>
        <v/>
      </c>
      <c r="D73" s="19" t="str">
        <f>IFERROR(IF(VLOOKUP(T_Commission[[#This Row],[NumL]],T_suiviDi[#Data],COLUMN(T_suiviDi[Prénom]),FALSE)&lt;&gt;"",VLOOKUP(T_Commission[[#This Row],[NumL]],T_suiviDi[#Data],COLUMN(T_suiviDi[Prénom]),FALSE),""),"")</f>
        <v/>
      </c>
      <c r="E73" s="20" t="str">
        <f>IFERROR(IF(VLOOKUP(T_Commission[[#This Row],[NumL]],T_suiviDi[#Data],COLUMN(T_suiviDi[Email]),FALSE)&lt;&gt;"",VLOOKUP(T_Commission[[#This Row],[NumL]],T_suiviDi[#Data],COLUMN(T_suiviDi[Email]),FALSE),""),"")</f>
        <v/>
      </c>
      <c r="F73" s="274" t="str">
        <f>IFERROR(IF(VLOOKUP(T_Commission[[#This Row],[NumL]],T_suiviDi[#Data],COLUMN(T_suiviDi[[#This Row],[Nom1]]),FALSE)&lt;&gt;"",VLOOKUP(T_Commission[[#This Row],[NumL]],T_suiviDi[#Data],COLUMN(T_suiviDi[[#This Row],[Nom1]]),FALSE),""),"")</f>
        <v/>
      </c>
      <c r="G73" s="274" t="str">
        <f>IFERROR(IF(VLOOKUP(T_Commission[[#This Row],[NumL]],T_suiviDi[#Data],COLUMN(T_suiviDi[[#This Row],[Prénom1]]),FALSE)&lt;&gt;"",VLOOKUP(T_Commission[[#This Row],[NumL]],T_suiviDi[#Data],COLUMN(T_suiviDi[[#This Row],[Prénom1]]),FALSE),""),"")</f>
        <v/>
      </c>
      <c r="H73" s="274" t="str">
        <f>IFERROR(IF(VLOOKUP(T_Commission[[#This Row],[NumL]],T_suiviDi[#Data],COLUMN(T_suiviDi[[#This Row],[Email1]]),FALSE)&lt;&gt;"",VLOOKUP(T_Commission[[#This Row],[NumL]],T_suiviDi[#Data],COLUMN(T_suiviDi[[#This Row],[Email1]]),FALSE),""),"")</f>
        <v/>
      </c>
      <c r="I73" s="142" t="str">
        <f>IFERROR(VLOOKUP(T_Commission[[#This Row],[NumL]],T_TraitDi[#Data],COLUMN(T_TraitDi[[#This Row],[CTRL_PJ]]),FALSE),"")</f>
        <v/>
      </c>
      <c r="J73" s="142" t="str">
        <f>IF(T_Commission[[#This Row],[Nom]]&lt;&gt;"",IFERROR(VLOOKUP(T_Commission[[#This Row],[NumL]],T_TraitDi[#Data],COLUMN(T_TraitDi[[#This Row],[C10]]),FALSE),""),"")</f>
        <v/>
      </c>
      <c r="K73" s="142" t="str">
        <f>IFERROR(IF(VLOOKUP(T_Commission[[#This Row],[NumL]],T_suiviDi[#Data],COLUMN(T_suiviDi[[#This Row],[Avis n+1]]),FALSE)&lt;&gt;"",VLOOKUP(A73,T_suiviDi[#Data],COLUMN(T_suiviDi[[#This Row],[Avis n+1]]),FALSE),""),"")</f>
        <v/>
      </c>
      <c r="L73" s="142" t="str">
        <f>IFERROR(IF(VLOOKUP(T_Commission[[#This Row],[NumL]],T_suiviDi[#Data],COLUMN(T_suiviDi[[#This Row],[Avis n+2]]),FALSE)&lt;&gt;"",VLOOKUP(T_Commission[[#This Row],[NumL]],T_suiviDi[#Data],COLUMN(T_suiviDi[[#This Row],[Avis n+2]]),FALSE),""),"")</f>
        <v/>
      </c>
      <c r="M73" s="49">
        <v>1</v>
      </c>
      <c r="N73" s="49"/>
      <c r="O73" s="143" t="str">
        <f>IF(T_Commission[[#This Row],[Nom]]&lt;&gt;"",IF(T_Commission[[#This Row],[COM '#2]]&lt;&gt;"",MAX(T_Commission[[#This Row],[PJ]],T_Commission[[#This Row],[COM '#2]]),IF(T_Commission[[#This Row],[COM '#1]]&lt;&gt;"",MAX(T_Commission[[#This Row],[PJ]],T_Commission[[#This Row],[COM '#1]]),"")),"")</f>
        <v/>
      </c>
      <c r="P73" s="55" t="s">
        <v>115</v>
      </c>
      <c r="Q73" s="55" t="s">
        <v>3277</v>
      </c>
      <c r="R73" s="55" t="s">
        <v>3277</v>
      </c>
      <c r="S73" s="56"/>
      <c r="T73" s="144"/>
    </row>
    <row r="74" spans="1:20" s="93" customFormat="1" ht="30" customHeight="1" x14ac:dyDescent="0.25">
      <c r="A74" s="90">
        <v>244</v>
      </c>
      <c r="B74" s="130" t="str">
        <f>IFERROR(IF(VLOOKUP(T_Commission[[#This Row],[NumL]],T_TraitDi[#Data],COLUMN(T_TraitDi[[#This Row],[Statut]]),FALSE)&lt;&gt;"",VLOOKUP(T_Commission[[#This Row],[NumL]],T_TraitDi[#Data],COLUMN(T_TraitDi[[#This Row],[Statut]]),FALSE),""),"")</f>
        <v/>
      </c>
      <c r="C74" s="19" t="str">
        <f>IFERROR(IF(VLOOKUP(T_Commission[[#This Row],[NumL]],T_suiviDi[#Data],COLUMN(T_suiviDi[Nom]),FALSE)&lt;&gt;"",VLOOKUP(T_Commission[[#This Row],[NumL]],T_suiviDi[#Data],COLUMN(T_suiviDi[Nom]),FALSE),""),"")</f>
        <v/>
      </c>
      <c r="D74" s="19" t="str">
        <f>IFERROR(IF(VLOOKUP(T_Commission[[#This Row],[NumL]],T_suiviDi[#Data],COLUMN(T_suiviDi[Prénom]),FALSE)&lt;&gt;"",VLOOKUP(T_Commission[[#This Row],[NumL]],T_suiviDi[#Data],COLUMN(T_suiviDi[Prénom]),FALSE),""),"")</f>
        <v/>
      </c>
      <c r="E74" s="20" t="str">
        <f>IFERROR(IF(VLOOKUP(T_Commission[[#This Row],[NumL]],T_suiviDi[#Data],COLUMN(T_suiviDi[Email]),FALSE)&lt;&gt;"",VLOOKUP(T_Commission[[#This Row],[NumL]],T_suiviDi[#Data],COLUMN(T_suiviDi[Email]),FALSE),""),"")</f>
        <v/>
      </c>
      <c r="F74" s="274" t="str">
        <f>IFERROR(IF(VLOOKUP(T_Commission[[#This Row],[NumL]],T_suiviDi[#Data],COLUMN(T_suiviDi[[#This Row],[Nom1]]),FALSE)&lt;&gt;"",VLOOKUP(T_Commission[[#This Row],[NumL]],T_suiviDi[#Data],COLUMN(T_suiviDi[[#This Row],[Nom1]]),FALSE),""),"")</f>
        <v/>
      </c>
      <c r="G74" s="274" t="str">
        <f>IFERROR(IF(VLOOKUP(T_Commission[[#This Row],[NumL]],T_suiviDi[#Data],COLUMN(T_suiviDi[[#This Row],[Prénom1]]),FALSE)&lt;&gt;"",VLOOKUP(T_Commission[[#This Row],[NumL]],T_suiviDi[#Data],COLUMN(T_suiviDi[[#This Row],[Prénom1]]),FALSE),""),"")</f>
        <v/>
      </c>
      <c r="H74" s="274" t="str">
        <f>IFERROR(IF(VLOOKUP(T_Commission[[#This Row],[NumL]],T_suiviDi[#Data],COLUMN(T_suiviDi[[#This Row],[Email1]]),FALSE)&lt;&gt;"",VLOOKUP(T_Commission[[#This Row],[NumL]],T_suiviDi[#Data],COLUMN(T_suiviDi[[#This Row],[Email1]]),FALSE),""),"")</f>
        <v/>
      </c>
      <c r="I74" s="142" t="str">
        <f>IFERROR(VLOOKUP(T_Commission[[#This Row],[NumL]],T_TraitDi[#Data],COLUMN(T_TraitDi[[#This Row],[CTRL_PJ]]),FALSE),"")</f>
        <v/>
      </c>
      <c r="J74" s="142" t="str">
        <f>IF(T_Commission[[#This Row],[Nom]]&lt;&gt;"",IFERROR(VLOOKUP(T_Commission[[#This Row],[NumL]],T_TraitDi[#Data],COLUMN(T_TraitDi[[#This Row],[C10]]),FALSE),""),"")</f>
        <v/>
      </c>
      <c r="K74" s="142" t="str">
        <f>IFERROR(IF(VLOOKUP(T_Commission[[#This Row],[NumL]],T_suiviDi[#Data],COLUMN(T_suiviDi[[#This Row],[Avis n+1]]),FALSE)&lt;&gt;"",VLOOKUP(A74,T_suiviDi[#Data],COLUMN(T_suiviDi[[#This Row],[Avis n+1]]),FALSE),""),"")</f>
        <v/>
      </c>
      <c r="L74" s="142" t="str">
        <f>IFERROR(IF(VLOOKUP(T_Commission[[#This Row],[NumL]],T_suiviDi[#Data],COLUMN(T_suiviDi[[#This Row],[Avis n+2]]),FALSE)&lt;&gt;"",VLOOKUP(T_Commission[[#This Row],[NumL]],T_suiviDi[#Data],COLUMN(T_suiviDi[[#This Row],[Avis n+2]]),FALSE),""),"")</f>
        <v/>
      </c>
      <c r="M74" s="49">
        <v>1</v>
      </c>
      <c r="N74" s="49"/>
      <c r="O74" s="143" t="str">
        <f>IF(T_Commission[[#This Row],[Nom]]&lt;&gt;"",IF(T_Commission[[#This Row],[COM '#2]]&lt;&gt;"",MAX(T_Commission[[#This Row],[PJ]],T_Commission[[#This Row],[COM '#2]]),IF(T_Commission[[#This Row],[COM '#1]]&lt;&gt;"",MAX(T_Commission[[#This Row],[PJ]],T_Commission[[#This Row],[COM '#1]]),"")),"")</f>
        <v/>
      </c>
      <c r="P74" s="55" t="s">
        <v>115</v>
      </c>
      <c r="Q74" s="55" t="s">
        <v>3277</v>
      </c>
      <c r="R74" s="55" t="s">
        <v>3277</v>
      </c>
      <c r="S74" s="56"/>
      <c r="T74" s="144"/>
    </row>
    <row r="75" spans="1:20" s="93" customFormat="1" ht="30" customHeight="1" x14ac:dyDescent="0.25">
      <c r="A75" s="90">
        <v>312</v>
      </c>
      <c r="B75" s="130" t="str">
        <f>IFERROR(IF(VLOOKUP(T_Commission[[#This Row],[NumL]],T_TraitDi[#Data],COLUMN(T_TraitDi[[#This Row],[Statut]]),FALSE)&lt;&gt;"",VLOOKUP(T_Commission[[#This Row],[NumL]],T_TraitDi[#Data],COLUMN(T_TraitDi[[#This Row],[Statut]]),FALSE),""),"")</f>
        <v/>
      </c>
      <c r="C75" s="139" t="str">
        <f>IFERROR(IF(VLOOKUP(T_Commission[[#This Row],[NumL]],T_suiviDi[#Data],COLUMN(T_suiviDi[[#This Row],[Nom]]),FALSE)&lt;&gt;"",VLOOKUP(T_Commission[[#This Row],[NumL]],T_suiviDi[#Data],COLUMN(T_suiviDi[[#This Row],[Nom]]),FALSE),""),"")</f>
        <v/>
      </c>
      <c r="D75" s="139" t="str">
        <f>IFERROR(IF(VLOOKUP(T_Commission[[#This Row],[NumL]],T_suiviDi[#Data],COLUMN(T_suiviDi[[#This Row],[Prénom]]),FALSE)&lt;&gt;"",VLOOKUP(T_Commission[[#This Row],[NumL]],T_suiviDi[#Data],COLUMN(T_suiviDi[[#This Row],[Prénom]]),FALSE),""),"")</f>
        <v/>
      </c>
      <c r="E75" s="140" t="str">
        <f>IFERROR(IF(VLOOKUP(T_Commission[[#This Row],[NumL]],T_suiviDi[#Data],COLUMN(T_suiviDi[[#This Row],[Email]]),FALSE)&lt;&gt;"",VLOOKUP(T_Commission[[#This Row],[NumL]],T_suiviDi[#Data],COLUMN(T_suiviDi[[#This Row],[Email]]),FALSE),""),"")</f>
        <v/>
      </c>
      <c r="F75" s="141" t="str">
        <f>IFERROR(IF(VLOOKUP(T_Commission[[#This Row],[NumL]],T_suiviDi[#Data],COLUMN(T_suiviDi[[#This Row],[Nom1]]),FALSE)&lt;&gt;"",VLOOKUP(T_Commission[[#This Row],[NumL]],T_suiviDi[#Data],COLUMN(T_suiviDi[[#This Row],[Nom1]]),FALSE),""),"")</f>
        <v/>
      </c>
      <c r="G75" s="141" t="str">
        <f>IFERROR(IF(VLOOKUP(T_Commission[[#This Row],[NumL]],T_suiviDi[#Data],COLUMN(T_suiviDi[[#This Row],[Prénom1]]),FALSE)&lt;&gt;"",VLOOKUP(T_Commission[[#This Row],[NumL]],T_suiviDi[#Data],COLUMN(T_suiviDi[[#This Row],[Prénom1]]),FALSE),""),"")</f>
        <v/>
      </c>
      <c r="H75" s="141" t="str">
        <f>IFERROR(IF(VLOOKUP(T_Commission[[#This Row],[NumL]],T_suiviDi[#Data],COLUMN(T_suiviDi[[#This Row],[Email1]]),FALSE)&lt;&gt;"",VLOOKUP(T_Commission[[#This Row],[NumL]],T_suiviDi[#Data],COLUMN(T_suiviDi[[#This Row],[Email1]]),FALSE),""),"")</f>
        <v/>
      </c>
      <c r="I75" s="142" t="str">
        <f>IFERROR(VLOOKUP(T_Commission[[#This Row],[NumL]],T_TraitDi[#Data],COLUMN(T_TraitDi[[#This Row],[CTRL_PJ]]),FALSE),"")</f>
        <v/>
      </c>
      <c r="J75" s="142" t="str">
        <f>IF(C75&lt;&gt;"",IFERROR(VLOOKUP(A75,'2- Traitement des DI'!BV32,FALSE),""),"")</f>
        <v/>
      </c>
      <c r="K75" s="142" t="str">
        <f>IFERROR(IF(VLOOKUP(T_Commission[[#This Row],[NumL]],T_suiviDi[#Data],COLUMN(T_suiviDi[[#This Row],[Avis n+1]]),FALSE)&lt;&gt;"",VLOOKUP(A75,T_suiviDi[#Data],COLUMN(T_suiviDi[[#This Row],[Avis n+1]]),FALSE),""),"")</f>
        <v/>
      </c>
      <c r="L75" s="142" t="str">
        <f>IFERROR(IF(VLOOKUP(A75,ListeDI,27,FALSE)&lt;&gt;"",VLOOKUP(A75,ListeDI,27,FALSE),""),"")</f>
        <v/>
      </c>
      <c r="M75" s="49">
        <v>1</v>
      </c>
      <c r="N75" s="49"/>
      <c r="O75" s="143" t="str">
        <f>IF(C75&lt;&gt;"",IF(N75&lt;&gt;"",MAX(I75,N75),IF(M75&lt;&gt;"",MAX(I75,M75),"")),"")</f>
        <v/>
      </c>
      <c r="P75" s="55" t="s">
        <v>115</v>
      </c>
      <c r="Q75" s="55" t="s">
        <v>3277</v>
      </c>
      <c r="R75" s="55" t="s">
        <v>3277</v>
      </c>
      <c r="S75" s="56"/>
      <c r="T75" s="144"/>
    </row>
    <row r="76" spans="1:20" s="93" customFormat="1" ht="30" customHeight="1" x14ac:dyDescent="0.25">
      <c r="A76" s="90">
        <v>119</v>
      </c>
      <c r="B76" s="130" t="str">
        <f>IFERROR(IF(VLOOKUP(T_Commission[[#This Row],[NumL]],T_TraitDi[#Data],COLUMN(T_TraitDi[[#This Row],[Statut]]),FALSE)&lt;&gt;"",VLOOKUP(T_Commission[[#This Row],[NumL]],T_TraitDi[#Data],COLUMN(T_TraitDi[[#This Row],[Statut]]),FALSE),""),"")</f>
        <v/>
      </c>
      <c r="C76" s="19" t="str">
        <f>IFERROR(IF(VLOOKUP(T_Commission[[#This Row],[NumL]],T_suiviDi[#Data],COLUMN(T_suiviDi[Nom]),FALSE)&lt;&gt;"",VLOOKUP(T_Commission[[#This Row],[NumL]],T_suiviDi[#Data],COLUMN(T_suiviDi[Nom]),FALSE),""),"")</f>
        <v/>
      </c>
      <c r="D76" s="19" t="str">
        <f>IFERROR(IF(VLOOKUP(T_Commission[[#This Row],[NumL]],T_suiviDi[#Data],COLUMN(T_suiviDi[Prénom]),FALSE)&lt;&gt;"",VLOOKUP(T_Commission[[#This Row],[NumL]],T_suiviDi[#Data],COLUMN(T_suiviDi[Prénom]),FALSE),""),"")</f>
        <v/>
      </c>
      <c r="E76" s="20" t="str">
        <f>IFERROR(IF(VLOOKUP(T_Commission[[#This Row],[NumL]],T_suiviDi[#Data],COLUMN(T_suiviDi[Email]),FALSE)&lt;&gt;"",VLOOKUP(T_Commission[[#This Row],[NumL]],T_suiviDi[#Data],COLUMN(T_suiviDi[Email]),FALSE),""),"")</f>
        <v/>
      </c>
      <c r="F76" s="274" t="str">
        <f>IFERROR(IF(VLOOKUP(T_Commission[[#This Row],[NumL]],T_suiviDi[#Data],COLUMN(T_suiviDi[[#This Row],[Nom1]]),FALSE)&lt;&gt;"",VLOOKUP(T_Commission[[#This Row],[NumL]],T_suiviDi[#Data],COLUMN(T_suiviDi[[#This Row],[Nom1]]),FALSE),""),"")</f>
        <v/>
      </c>
      <c r="G76" s="274" t="str">
        <f>IFERROR(IF(VLOOKUP(T_Commission[[#This Row],[NumL]],T_suiviDi[#Data],COLUMN(T_suiviDi[[#This Row],[Prénom1]]),FALSE)&lt;&gt;"",VLOOKUP(T_Commission[[#This Row],[NumL]],T_suiviDi[#Data],COLUMN(T_suiviDi[[#This Row],[Prénom1]]),FALSE),""),"")</f>
        <v/>
      </c>
      <c r="H76" s="274" t="str">
        <f>IFERROR(IF(VLOOKUP(T_Commission[[#This Row],[NumL]],T_suiviDi[#Data],COLUMN(T_suiviDi[[#This Row],[Email1]]),FALSE)&lt;&gt;"",VLOOKUP(T_Commission[[#This Row],[NumL]],T_suiviDi[#Data],COLUMN(T_suiviDi[[#This Row],[Email1]]),FALSE),""),"")</f>
        <v/>
      </c>
      <c r="I76" s="142" t="str">
        <f>IFERROR(VLOOKUP(T_Commission[[#This Row],[NumL]],T_TraitDi[#Data],COLUMN(T_TraitDi[[#This Row],[CTRL_PJ]]),FALSE),"")</f>
        <v/>
      </c>
      <c r="J76" s="142" t="str">
        <f>IF(T_Commission[[#This Row],[Nom]]&lt;&gt;"",IFERROR(VLOOKUP(T_Commission[[#This Row],[NumL]],T_TraitDi[#Data],COLUMN(T_TraitDi[[#This Row],[C10]]),FALSE),""),"")</f>
        <v/>
      </c>
      <c r="K76" s="142" t="str">
        <f>IFERROR(IF(VLOOKUP(T_Commission[[#This Row],[NumL]],T_suiviDi[#Data],COLUMN(T_suiviDi[[#This Row],[Avis n+1]]),FALSE)&lt;&gt;"",VLOOKUP(A76,T_suiviDi[#Data],COLUMN(T_suiviDi[[#This Row],[Avis n+1]]),FALSE),""),"")</f>
        <v/>
      </c>
      <c r="L76" s="142" t="str">
        <f>IFERROR(IF(VLOOKUP(T_Commission[[#This Row],[NumL]],T_suiviDi[#Data],COLUMN(T_suiviDi[[#This Row],[Avis n+2]]),FALSE)&lt;&gt;"",VLOOKUP(T_Commission[[#This Row],[NumL]],T_suiviDi[#Data],COLUMN(T_suiviDi[[#This Row],[Avis n+2]]),FALSE),""),"")</f>
        <v/>
      </c>
      <c r="M76" s="49">
        <v>1</v>
      </c>
      <c r="N76" s="49"/>
      <c r="O76" s="143" t="str">
        <f>IF(T_Commission[[#This Row],[Nom]]&lt;&gt;"",IF(T_Commission[[#This Row],[COM '#2]]&lt;&gt;"",MAX(T_Commission[[#This Row],[PJ]],T_Commission[[#This Row],[COM '#2]]),IF(T_Commission[[#This Row],[COM '#1]]&lt;&gt;"",MAX(T_Commission[[#This Row],[PJ]],T_Commission[[#This Row],[COM '#1]]),"")),"")</f>
        <v/>
      </c>
      <c r="P76" s="55" t="s">
        <v>115</v>
      </c>
      <c r="Q76" s="55" t="s">
        <v>3277</v>
      </c>
      <c r="R76" s="55"/>
      <c r="S76" s="56"/>
      <c r="T76" s="144"/>
    </row>
    <row r="77" spans="1:20" s="93" customFormat="1" ht="30" customHeight="1" x14ac:dyDescent="0.25">
      <c r="A77" s="90">
        <v>113</v>
      </c>
      <c r="B77" s="130" t="str">
        <f>IFERROR(IF(VLOOKUP(T_Commission[[#This Row],[NumL]],T_TraitDi[#Data],COLUMN(T_TraitDi[[#This Row],[Statut]]),FALSE)&lt;&gt;"",VLOOKUP(T_Commission[[#This Row],[NumL]],T_TraitDi[#Data],COLUMN(T_TraitDi[[#This Row],[Statut]]),FALSE),""),"")</f>
        <v/>
      </c>
      <c r="C77" s="19" t="str">
        <f>IFERROR(IF(VLOOKUP(T_Commission[[#This Row],[NumL]],T_suiviDi[#Data],COLUMN(T_suiviDi[Nom]),FALSE)&lt;&gt;"",VLOOKUP(T_Commission[[#This Row],[NumL]],T_suiviDi[#Data],COLUMN(T_suiviDi[Nom]),FALSE),""),"")</f>
        <v/>
      </c>
      <c r="D77" s="19" t="str">
        <f>IFERROR(IF(VLOOKUP(T_Commission[[#This Row],[NumL]],T_suiviDi[#Data],COLUMN(T_suiviDi[Prénom]),FALSE)&lt;&gt;"",VLOOKUP(T_Commission[[#This Row],[NumL]],T_suiviDi[#Data],COLUMN(T_suiviDi[Prénom]),FALSE),""),"")</f>
        <v/>
      </c>
      <c r="E77" s="20" t="str">
        <f>IFERROR(IF(VLOOKUP(T_Commission[[#This Row],[NumL]],T_suiviDi[#Data],COLUMN(T_suiviDi[Email]),FALSE)&lt;&gt;"",VLOOKUP(T_Commission[[#This Row],[NumL]],T_suiviDi[#Data],COLUMN(T_suiviDi[Email]),FALSE),""),"")</f>
        <v/>
      </c>
      <c r="F77" s="274" t="str">
        <f>IFERROR(IF(VLOOKUP(T_Commission[[#This Row],[NumL]],T_suiviDi[#Data],COLUMN(T_suiviDi[[#This Row],[Nom1]]),FALSE)&lt;&gt;"",VLOOKUP(T_Commission[[#This Row],[NumL]],T_suiviDi[#Data],COLUMN(T_suiviDi[[#This Row],[Nom1]]),FALSE),""),"")</f>
        <v/>
      </c>
      <c r="G77" s="274" t="str">
        <f>IFERROR(IF(VLOOKUP(T_Commission[[#This Row],[NumL]],T_suiviDi[#Data],COLUMN(T_suiviDi[[#This Row],[Prénom1]]),FALSE)&lt;&gt;"",VLOOKUP(T_Commission[[#This Row],[NumL]],T_suiviDi[#Data],COLUMN(T_suiviDi[[#This Row],[Prénom1]]),FALSE),""),"")</f>
        <v/>
      </c>
      <c r="H77" s="274" t="str">
        <f>IFERROR(IF(VLOOKUP(T_Commission[[#This Row],[NumL]],T_suiviDi[#Data],COLUMN(T_suiviDi[[#This Row],[Email1]]),FALSE)&lt;&gt;"",VLOOKUP(T_Commission[[#This Row],[NumL]],T_suiviDi[#Data],COLUMN(T_suiviDi[[#This Row],[Email1]]),FALSE),""),"")</f>
        <v/>
      </c>
      <c r="I77" s="142" t="str">
        <f>IFERROR(VLOOKUP(T_Commission[[#This Row],[NumL]],T_TraitDi[#Data],COLUMN(T_TraitDi[[#This Row],[CTRL_PJ]]),FALSE),"")</f>
        <v/>
      </c>
      <c r="J77" s="142" t="str">
        <f>IF(T_Commission[[#This Row],[Nom]]&lt;&gt;"",IFERROR(VLOOKUP(T_Commission[[#This Row],[NumL]],T_TraitDi[#Data],COLUMN(T_TraitDi[[#This Row],[C10]]),FALSE),""),"")</f>
        <v/>
      </c>
      <c r="K77" s="142" t="str">
        <f>IFERROR(IF(VLOOKUP(T_Commission[[#This Row],[NumL]],T_suiviDi[#Data],COLUMN(T_suiviDi[[#This Row],[Avis n+1]]),FALSE)&lt;&gt;"",VLOOKUP(A77,T_suiviDi[#Data],COLUMN(T_suiviDi[[#This Row],[Avis n+1]]),FALSE),""),"")</f>
        <v/>
      </c>
      <c r="L77" s="142" t="str">
        <f>IFERROR(IF(VLOOKUP(T_Commission[[#This Row],[NumL]],T_suiviDi[#Data],COLUMN(T_suiviDi[[#This Row],[Avis n+2]]),FALSE)&lt;&gt;"",VLOOKUP(T_Commission[[#This Row],[NumL]],T_suiviDi[#Data],COLUMN(T_suiviDi[[#This Row],[Avis n+2]]),FALSE),""),"")</f>
        <v/>
      </c>
      <c r="M77" s="49">
        <v>1</v>
      </c>
      <c r="N77" s="49"/>
      <c r="O77" s="143" t="str">
        <f>IF(T_Commission[[#This Row],[Nom]]&lt;&gt;"",IF(T_Commission[[#This Row],[COM '#2]]&lt;&gt;"",MAX(T_Commission[[#This Row],[PJ]],T_Commission[[#This Row],[COM '#2]]),IF(T_Commission[[#This Row],[COM '#1]]&lt;&gt;"",MAX(T_Commission[[#This Row],[PJ]],T_Commission[[#This Row],[COM '#1]]),"")),"")</f>
        <v/>
      </c>
      <c r="P77" s="55" t="s">
        <v>115</v>
      </c>
      <c r="Q77" s="55" t="s">
        <v>3277</v>
      </c>
      <c r="R77" s="55" t="s">
        <v>3277</v>
      </c>
      <c r="S77" s="56"/>
      <c r="T77" s="144"/>
    </row>
    <row r="78" spans="1:20" s="93" customFormat="1" ht="30" customHeight="1" x14ac:dyDescent="0.25">
      <c r="A78" s="90">
        <v>158</v>
      </c>
      <c r="B78" s="130" t="str">
        <f>IFERROR(IF(VLOOKUP(T_Commission[[#This Row],[NumL]],T_TraitDi[#Data],COLUMN(T_TraitDi[[#This Row],[Statut]]),FALSE)&lt;&gt;"",VLOOKUP(T_Commission[[#This Row],[NumL]],T_TraitDi[#Data],COLUMN(T_TraitDi[[#This Row],[Statut]]),FALSE),""),"")</f>
        <v/>
      </c>
      <c r="C78" s="19" t="str">
        <f>IFERROR(IF(VLOOKUP(T_Commission[[#This Row],[NumL]],T_suiviDi[#Data],COLUMN(T_suiviDi[Nom]),FALSE)&lt;&gt;"",VLOOKUP(T_Commission[[#This Row],[NumL]],T_suiviDi[#Data],COLUMN(T_suiviDi[Nom]),FALSE),""),"")</f>
        <v/>
      </c>
      <c r="D78" s="19" t="str">
        <f>IFERROR(IF(VLOOKUP(T_Commission[[#This Row],[NumL]],T_suiviDi[#Data],COLUMN(T_suiviDi[Prénom]),FALSE)&lt;&gt;"",VLOOKUP(T_Commission[[#This Row],[NumL]],T_suiviDi[#Data],COLUMN(T_suiviDi[Prénom]),FALSE),""),"")</f>
        <v/>
      </c>
      <c r="E78" s="20" t="str">
        <f>IFERROR(IF(VLOOKUP(T_Commission[[#This Row],[NumL]],T_suiviDi[#Data],COLUMN(T_suiviDi[Email]),FALSE)&lt;&gt;"",VLOOKUP(T_Commission[[#This Row],[NumL]],T_suiviDi[#Data],COLUMN(T_suiviDi[Email]),FALSE),""),"")</f>
        <v/>
      </c>
      <c r="F78" s="274" t="str">
        <f>IFERROR(IF(VLOOKUP(T_Commission[[#This Row],[NumL]],T_suiviDi[#Data],COLUMN(T_suiviDi[[#This Row],[Nom1]]),FALSE)&lt;&gt;"",VLOOKUP(T_Commission[[#This Row],[NumL]],T_suiviDi[#Data],COLUMN(T_suiviDi[[#This Row],[Nom1]]),FALSE),""),"")</f>
        <v/>
      </c>
      <c r="G78" s="274" t="str">
        <f>IFERROR(IF(VLOOKUP(T_Commission[[#This Row],[NumL]],T_suiviDi[#Data],COLUMN(T_suiviDi[[#This Row],[Prénom1]]),FALSE)&lt;&gt;"",VLOOKUP(T_Commission[[#This Row],[NumL]],T_suiviDi[#Data],COLUMN(T_suiviDi[[#This Row],[Prénom1]]),FALSE),""),"")</f>
        <v/>
      </c>
      <c r="H78" s="274" t="str">
        <f>IFERROR(IF(VLOOKUP(T_Commission[[#This Row],[NumL]],T_suiviDi[#Data],COLUMN(T_suiviDi[[#This Row],[Email1]]),FALSE)&lt;&gt;"",VLOOKUP(T_Commission[[#This Row],[NumL]],T_suiviDi[#Data],COLUMN(T_suiviDi[[#This Row],[Email1]]),FALSE),""),"")</f>
        <v/>
      </c>
      <c r="I78" s="142" t="str">
        <f>IFERROR(VLOOKUP(T_Commission[[#This Row],[NumL]],T_TraitDi[#Data],COLUMN(T_TraitDi[[#This Row],[CTRL_PJ]]),FALSE),"")</f>
        <v/>
      </c>
      <c r="J78" s="142" t="str">
        <f>IF(T_Commission[[#This Row],[Nom]]&lt;&gt;"",IFERROR(VLOOKUP(T_Commission[[#This Row],[NumL]],T_TraitDi[#Data],COLUMN(T_TraitDi[[#This Row],[C10]]),FALSE),""),"")</f>
        <v/>
      </c>
      <c r="K78" s="142" t="str">
        <f>IFERROR(IF(VLOOKUP(T_Commission[[#This Row],[NumL]],T_suiviDi[#Data],COLUMN(T_suiviDi[[#This Row],[Avis n+1]]),FALSE)&lt;&gt;"",VLOOKUP(A78,T_suiviDi[#Data],COLUMN(T_suiviDi[[#This Row],[Avis n+1]]),FALSE),""),"")</f>
        <v/>
      </c>
      <c r="L78" s="142" t="str">
        <f>IFERROR(IF(VLOOKUP(T_Commission[[#This Row],[NumL]],T_suiviDi[#Data],COLUMN(T_suiviDi[[#This Row],[Avis n+2]]),FALSE)&lt;&gt;"",VLOOKUP(T_Commission[[#This Row],[NumL]],T_suiviDi[#Data],COLUMN(T_suiviDi[[#This Row],[Avis n+2]]),FALSE),""),"")</f>
        <v/>
      </c>
      <c r="M78" s="49">
        <v>1</v>
      </c>
      <c r="N78" s="49"/>
      <c r="O78" s="143" t="str">
        <f>IF(T_Commission[[#This Row],[Nom]]&lt;&gt;"",IF(T_Commission[[#This Row],[COM '#2]]&lt;&gt;"",MAX(T_Commission[[#This Row],[PJ]],T_Commission[[#This Row],[COM '#2]]),IF(T_Commission[[#This Row],[COM '#1]]&lt;&gt;"",MAX(T_Commission[[#This Row],[PJ]],T_Commission[[#This Row],[COM '#1]]),"")),"")</f>
        <v/>
      </c>
      <c r="P78" s="55" t="s">
        <v>115</v>
      </c>
      <c r="Q78" s="55" t="s">
        <v>3277</v>
      </c>
      <c r="R78" s="55" t="s">
        <v>3277</v>
      </c>
      <c r="S78" s="56"/>
      <c r="T78" s="144"/>
    </row>
    <row r="79" spans="1:20" s="93" customFormat="1" ht="30" customHeight="1" x14ac:dyDescent="0.25">
      <c r="A79" s="90">
        <v>303</v>
      </c>
      <c r="B79" s="130" t="str">
        <f>IFERROR(IF(VLOOKUP(T_Commission[[#This Row],[NumL]],T_TraitDi[#Data],COLUMN(T_TraitDi[[#This Row],[Statut]]),FALSE)&lt;&gt;"",VLOOKUP(T_Commission[[#This Row],[NumL]],T_TraitDi[#Data],COLUMN(T_TraitDi[[#This Row],[Statut]]),FALSE),""),"")</f>
        <v/>
      </c>
      <c r="C79" s="139" t="str">
        <f>IFERROR(IF(VLOOKUP(T_Commission[[#This Row],[NumL]],T_suiviDi[#Data],COLUMN(T_suiviDi[[#This Row],[Nom]]),FALSE)&lt;&gt;"",VLOOKUP(T_Commission[[#This Row],[NumL]],T_suiviDi[#Data],COLUMN(T_suiviDi[[#This Row],[Nom]]),FALSE),""),"")</f>
        <v/>
      </c>
      <c r="D79" s="139" t="str">
        <f>IFERROR(IF(VLOOKUP(T_Commission[[#This Row],[NumL]],T_suiviDi[#Data],COLUMN(T_suiviDi[[#This Row],[Prénom]]),FALSE)&lt;&gt;"",VLOOKUP(T_Commission[[#This Row],[NumL]],T_suiviDi[#Data],COLUMN(T_suiviDi[[#This Row],[Prénom]]),FALSE),""),"")</f>
        <v/>
      </c>
      <c r="E79" s="140" t="str">
        <f>IFERROR(IF(VLOOKUP(T_Commission[[#This Row],[NumL]],T_suiviDi[#Data],COLUMN(T_suiviDi[[#This Row],[Email]]),FALSE)&lt;&gt;"",VLOOKUP(T_Commission[[#This Row],[NumL]],T_suiviDi[#Data],COLUMN(T_suiviDi[[#This Row],[Email]]),FALSE),""),"")</f>
        <v/>
      </c>
      <c r="F79" s="141" t="str">
        <f>IFERROR(IF(VLOOKUP(T_Commission[[#This Row],[NumL]],T_suiviDi[#Data],COLUMN(T_suiviDi[[#This Row],[Nom1]]),FALSE)&lt;&gt;"",VLOOKUP(T_Commission[[#This Row],[NumL]],T_suiviDi[#Data],COLUMN(T_suiviDi[[#This Row],[Nom1]]),FALSE),""),"")</f>
        <v/>
      </c>
      <c r="G79" s="141" t="str">
        <f>IFERROR(IF(VLOOKUP(T_Commission[[#This Row],[NumL]],T_suiviDi[#Data],COLUMN(T_suiviDi[[#This Row],[Prénom1]]),FALSE)&lt;&gt;"",VLOOKUP(T_Commission[[#This Row],[NumL]],T_suiviDi[#Data],COLUMN(T_suiviDi[[#This Row],[Prénom1]]),FALSE),""),"")</f>
        <v/>
      </c>
      <c r="H79" s="141" t="str">
        <f>IFERROR(IF(VLOOKUP(T_Commission[[#This Row],[NumL]],T_suiviDi[#Data],COLUMN(T_suiviDi[[#This Row],[Email1]]),FALSE)&lt;&gt;"",VLOOKUP(T_Commission[[#This Row],[NumL]],T_suiviDi[#Data],COLUMN(T_suiviDi[[#This Row],[Email1]]),FALSE),""),"")</f>
        <v/>
      </c>
      <c r="I79" s="142" t="str">
        <f>IFERROR(VLOOKUP(T_Commission[[#This Row],[NumL]],T_TraitDi[#Data],COLUMN(T_TraitDi[[#This Row],[CTRL_PJ]]),FALSE),"")</f>
        <v/>
      </c>
      <c r="J79" s="142" t="str">
        <f>IF(C79&lt;&gt;"",IFERROR(VLOOKUP(A79,'2- Traitement des DI'!BV32,FALSE),""),"")</f>
        <v/>
      </c>
      <c r="K79" s="142" t="str">
        <f>IFERROR(IF(VLOOKUP(T_Commission[[#This Row],[NumL]],T_suiviDi[#Data],COLUMN(T_suiviDi[[#This Row],[Avis n+1]]),FALSE)&lt;&gt;"",VLOOKUP(A79,T_suiviDi[#Data],COLUMN(T_suiviDi[[#This Row],[Avis n+1]]),FALSE),""),"")</f>
        <v/>
      </c>
      <c r="L79" s="142" t="str">
        <f>IFERROR(IF(VLOOKUP(A79,ListeDI,27,FALSE)&lt;&gt;"",VLOOKUP(A79,ListeDI,27,FALSE),""),"")</f>
        <v/>
      </c>
      <c r="M79" s="49">
        <v>1</v>
      </c>
      <c r="N79" s="49"/>
      <c r="O79" s="143" t="str">
        <f>IF(C79&lt;&gt;"",IF(N79&lt;&gt;"",MAX(I79,N79),IF(M79&lt;&gt;"",MAX(I79,M79),"")),"")</f>
        <v/>
      </c>
      <c r="P79" s="55" t="s">
        <v>115</v>
      </c>
      <c r="Q79" s="55" t="s">
        <v>3277</v>
      </c>
      <c r="R79" s="55" t="s">
        <v>3277</v>
      </c>
      <c r="S79" s="56"/>
      <c r="T79" s="144" t="s">
        <v>3615</v>
      </c>
    </row>
    <row r="80" spans="1:20" s="93" customFormat="1" ht="30" customHeight="1" x14ac:dyDescent="0.25">
      <c r="A80" s="90">
        <v>160</v>
      </c>
      <c r="B80" s="130" t="str">
        <f>IFERROR(IF(VLOOKUP(T_Commission[[#This Row],[NumL]],T_TraitDi[#Data],COLUMN(T_TraitDi[[#This Row],[Statut]]),FALSE)&lt;&gt;"",VLOOKUP(T_Commission[[#This Row],[NumL]],T_TraitDi[#Data],COLUMN(T_TraitDi[[#This Row],[Statut]]),FALSE),""),"")</f>
        <v/>
      </c>
      <c r="C80" s="19" t="str">
        <f>IFERROR(IF(VLOOKUP(T_Commission[[#This Row],[NumL]],T_suiviDi[#Data],COLUMN(T_suiviDi[Nom]),FALSE)&lt;&gt;"",VLOOKUP(T_Commission[[#This Row],[NumL]],T_suiviDi[#Data],COLUMN(T_suiviDi[Nom]),FALSE),""),"")</f>
        <v/>
      </c>
      <c r="D80" s="19" t="str">
        <f>IFERROR(IF(VLOOKUP(T_Commission[[#This Row],[NumL]],T_suiviDi[#Data],COLUMN(T_suiviDi[Prénom]),FALSE)&lt;&gt;"",VLOOKUP(T_Commission[[#This Row],[NumL]],T_suiviDi[#Data],COLUMN(T_suiviDi[Prénom]),FALSE),""),"")</f>
        <v/>
      </c>
      <c r="E80" s="20" t="str">
        <f>IFERROR(IF(VLOOKUP(T_Commission[[#This Row],[NumL]],T_suiviDi[#Data],COLUMN(T_suiviDi[Email]),FALSE)&lt;&gt;"",VLOOKUP(T_Commission[[#This Row],[NumL]],T_suiviDi[#Data],COLUMN(T_suiviDi[Email]),FALSE),""),"")</f>
        <v/>
      </c>
      <c r="F80" s="274" t="str">
        <f>IFERROR(IF(VLOOKUP(T_Commission[[#This Row],[NumL]],T_suiviDi[#Data],COLUMN(T_suiviDi[[#This Row],[Nom1]]),FALSE)&lt;&gt;"",VLOOKUP(T_Commission[[#This Row],[NumL]],T_suiviDi[#Data],COLUMN(T_suiviDi[[#This Row],[Nom1]]),FALSE),""),"")</f>
        <v/>
      </c>
      <c r="G80" s="274" t="str">
        <f>IFERROR(IF(VLOOKUP(T_Commission[[#This Row],[NumL]],T_suiviDi[#Data],COLUMN(T_suiviDi[[#This Row],[Prénom1]]),FALSE)&lt;&gt;"",VLOOKUP(T_Commission[[#This Row],[NumL]],T_suiviDi[#Data],COLUMN(T_suiviDi[[#This Row],[Prénom1]]),FALSE),""),"")</f>
        <v/>
      </c>
      <c r="H80" s="274" t="str">
        <f>IFERROR(IF(VLOOKUP(T_Commission[[#This Row],[NumL]],T_suiviDi[#Data],COLUMN(T_suiviDi[[#This Row],[Email1]]),FALSE)&lt;&gt;"",VLOOKUP(T_Commission[[#This Row],[NumL]],T_suiviDi[#Data],COLUMN(T_suiviDi[[#This Row],[Email1]]),FALSE),""),"")</f>
        <v/>
      </c>
      <c r="I80" s="142" t="str">
        <f>IFERROR(VLOOKUP(T_Commission[[#This Row],[NumL]],T_TraitDi[#Data],COLUMN(T_TraitDi[[#This Row],[CTRL_PJ]]),FALSE),"")</f>
        <v/>
      </c>
      <c r="J80" s="142" t="str">
        <f>IF(T_Commission[[#This Row],[Nom]]&lt;&gt;"",IFERROR(VLOOKUP(T_Commission[[#This Row],[NumL]],T_TraitDi[#Data],COLUMN(T_TraitDi[[#This Row],[C10]]),FALSE),""),"")</f>
        <v/>
      </c>
      <c r="K80" s="142" t="str">
        <f>IFERROR(IF(VLOOKUP(T_Commission[[#This Row],[NumL]],T_suiviDi[#Data],COLUMN(T_suiviDi[[#This Row],[Avis n+1]]),FALSE)&lt;&gt;"",VLOOKUP(A80,T_suiviDi[#Data],COLUMN(T_suiviDi[[#This Row],[Avis n+1]]),FALSE),""),"")</f>
        <v/>
      </c>
      <c r="L80" s="142" t="str">
        <f>IFERROR(IF(VLOOKUP(T_Commission[[#This Row],[NumL]],T_suiviDi[#Data],COLUMN(T_suiviDi[[#This Row],[Avis n+2]]),FALSE)&lt;&gt;"",VLOOKUP(T_Commission[[#This Row],[NumL]],T_suiviDi[#Data],COLUMN(T_suiviDi[[#This Row],[Avis n+2]]),FALSE),""),"")</f>
        <v/>
      </c>
      <c r="M80" s="49">
        <v>1</v>
      </c>
      <c r="N80" s="49"/>
      <c r="O80" s="143" t="str">
        <f>IF(T_Commission[[#This Row],[Nom]]&lt;&gt;"",IF(T_Commission[[#This Row],[COM '#2]]&lt;&gt;"",MAX(T_Commission[[#This Row],[PJ]],T_Commission[[#This Row],[COM '#2]]),IF(T_Commission[[#This Row],[COM '#1]]&lt;&gt;"",MAX(T_Commission[[#This Row],[PJ]],T_Commission[[#This Row],[COM '#1]]),"")),"")</f>
        <v/>
      </c>
      <c r="P80" s="55" t="s">
        <v>115</v>
      </c>
      <c r="Q80" s="55" t="s">
        <v>3277</v>
      </c>
      <c r="R80" s="55" t="s">
        <v>3277</v>
      </c>
      <c r="S80" s="56"/>
      <c r="T80" s="144"/>
    </row>
    <row r="81" spans="1:20" s="93" customFormat="1" ht="30" customHeight="1" x14ac:dyDescent="0.25">
      <c r="A81" s="90">
        <v>118</v>
      </c>
      <c r="B81" s="130" t="str">
        <f>IFERROR(IF(VLOOKUP(T_Commission[[#This Row],[NumL]],T_TraitDi[#Data],COLUMN(T_TraitDi[[#This Row],[Statut]]),FALSE)&lt;&gt;"",VLOOKUP(T_Commission[[#This Row],[NumL]],T_TraitDi[#Data],COLUMN(T_TraitDi[[#This Row],[Statut]]),FALSE),""),"")</f>
        <v/>
      </c>
      <c r="C81" s="19" t="str">
        <f>IFERROR(IF(VLOOKUP(T_Commission[[#This Row],[NumL]],T_suiviDi[#Data],COLUMN(T_suiviDi[Nom]),FALSE)&lt;&gt;"",VLOOKUP(T_Commission[[#This Row],[NumL]],T_suiviDi[#Data],COLUMN(T_suiviDi[Nom]),FALSE),""),"")</f>
        <v/>
      </c>
      <c r="D81" s="19" t="str">
        <f>IFERROR(IF(VLOOKUP(T_Commission[[#This Row],[NumL]],T_suiviDi[#Data],COLUMN(T_suiviDi[Prénom]),FALSE)&lt;&gt;"",VLOOKUP(T_Commission[[#This Row],[NumL]],T_suiviDi[#Data],COLUMN(T_suiviDi[Prénom]),FALSE),""),"")</f>
        <v/>
      </c>
      <c r="E81" s="20" t="str">
        <f>IFERROR(IF(VLOOKUP(T_Commission[[#This Row],[NumL]],T_suiviDi[#Data],COLUMN(T_suiviDi[Email]),FALSE)&lt;&gt;"",VLOOKUP(T_Commission[[#This Row],[NumL]],T_suiviDi[#Data],COLUMN(T_suiviDi[Email]),FALSE),""),"")</f>
        <v/>
      </c>
      <c r="F81" s="274" t="str">
        <f>IFERROR(IF(VLOOKUP(T_Commission[[#This Row],[NumL]],T_suiviDi[#Data],COLUMN(T_suiviDi[[#This Row],[Nom1]]),FALSE)&lt;&gt;"",VLOOKUP(T_Commission[[#This Row],[NumL]],T_suiviDi[#Data],COLUMN(T_suiviDi[[#This Row],[Nom1]]),FALSE),""),"")</f>
        <v/>
      </c>
      <c r="G81" s="274" t="str">
        <f>IFERROR(IF(VLOOKUP(T_Commission[[#This Row],[NumL]],T_suiviDi[#Data],COLUMN(T_suiviDi[[#This Row],[Prénom1]]),FALSE)&lt;&gt;"",VLOOKUP(T_Commission[[#This Row],[NumL]],T_suiviDi[#Data],COLUMN(T_suiviDi[[#This Row],[Prénom1]]),FALSE),""),"")</f>
        <v/>
      </c>
      <c r="H81" s="274" t="str">
        <f>IFERROR(IF(VLOOKUP(T_Commission[[#This Row],[NumL]],T_suiviDi[#Data],COLUMN(T_suiviDi[[#This Row],[Email1]]),FALSE)&lt;&gt;"",VLOOKUP(T_Commission[[#This Row],[NumL]],T_suiviDi[#Data],COLUMN(T_suiviDi[[#This Row],[Email1]]),FALSE),""),"")</f>
        <v/>
      </c>
      <c r="I81" s="142" t="str">
        <f>IFERROR(VLOOKUP(T_Commission[[#This Row],[NumL]],T_TraitDi[#Data],COLUMN(T_TraitDi[[#This Row],[CTRL_PJ]]),FALSE),"")</f>
        <v/>
      </c>
      <c r="J81" s="142" t="str">
        <f>IF(T_Commission[[#This Row],[Nom]]&lt;&gt;"",IFERROR(VLOOKUP(T_Commission[[#This Row],[NumL]],T_TraitDi[#Data],COLUMN(T_TraitDi[[#This Row],[C10]]),FALSE),""),"")</f>
        <v/>
      </c>
      <c r="K81" s="142" t="str">
        <f>IFERROR(IF(VLOOKUP(T_Commission[[#This Row],[NumL]],T_suiviDi[#Data],COLUMN(T_suiviDi[[#This Row],[Avis n+1]]),FALSE)&lt;&gt;"",VLOOKUP(A81,T_suiviDi[#Data],COLUMN(T_suiviDi[[#This Row],[Avis n+1]]),FALSE),""),"")</f>
        <v/>
      </c>
      <c r="L81" s="142" t="str">
        <f>IFERROR(IF(VLOOKUP(T_Commission[[#This Row],[NumL]],T_suiviDi[#Data],COLUMN(T_suiviDi[[#This Row],[Avis n+2]]),FALSE)&lt;&gt;"",VLOOKUP(T_Commission[[#This Row],[NumL]],T_suiviDi[#Data],COLUMN(T_suiviDi[[#This Row],[Avis n+2]]),FALSE),""),"")</f>
        <v/>
      </c>
      <c r="M81" s="49">
        <v>1</v>
      </c>
      <c r="N81" s="49"/>
      <c r="O81" s="143" t="str">
        <f>IF(T_Commission[[#This Row],[Nom]]&lt;&gt;"",IF(T_Commission[[#This Row],[COM '#2]]&lt;&gt;"",MAX(T_Commission[[#This Row],[PJ]],T_Commission[[#This Row],[COM '#2]]),IF(T_Commission[[#This Row],[COM '#1]]&lt;&gt;"",MAX(T_Commission[[#This Row],[PJ]],T_Commission[[#This Row],[COM '#1]]),"")),"")</f>
        <v/>
      </c>
      <c r="P81" s="55" t="s">
        <v>115</v>
      </c>
      <c r="Q81" s="55" t="s">
        <v>3277</v>
      </c>
      <c r="R81" s="55" t="s">
        <v>3277</v>
      </c>
      <c r="S81" s="56"/>
      <c r="T81" s="144"/>
    </row>
    <row r="82" spans="1:20" s="93" customFormat="1" ht="30" customHeight="1" x14ac:dyDescent="0.25">
      <c r="A82" s="90">
        <v>294</v>
      </c>
      <c r="B82" s="130" t="str">
        <f>IFERROR(IF(VLOOKUP(T_Commission[[#This Row],[NumL]],T_TraitDi[#Data],COLUMN(T_TraitDi[[#This Row],[Statut]]),FALSE)&lt;&gt;"",VLOOKUP(T_Commission[[#This Row],[NumL]],T_TraitDi[#Data],COLUMN(T_TraitDi[[#This Row],[Statut]]),FALSE),""),"")</f>
        <v/>
      </c>
      <c r="C82" s="139" t="str">
        <f>IFERROR(IF(VLOOKUP(T_Commission[[#This Row],[NumL]],T_suiviDi[#Data],COLUMN(T_suiviDi[[#This Row],[Nom]]),FALSE)&lt;&gt;"",VLOOKUP(T_Commission[[#This Row],[NumL]],T_suiviDi[#Data],COLUMN(T_suiviDi[[#This Row],[Nom]]),FALSE),""),"")</f>
        <v/>
      </c>
      <c r="D82" s="139" t="str">
        <f>IFERROR(IF(VLOOKUP(T_Commission[[#This Row],[NumL]],T_suiviDi[#Data],COLUMN(T_suiviDi[[#This Row],[Prénom]]),FALSE)&lt;&gt;"",VLOOKUP(T_Commission[[#This Row],[NumL]],T_suiviDi[#Data],COLUMN(T_suiviDi[[#This Row],[Prénom]]),FALSE),""),"")</f>
        <v/>
      </c>
      <c r="E82" s="140" t="str">
        <f>IFERROR(IF(VLOOKUP(T_Commission[[#This Row],[NumL]],T_suiviDi[#Data],COLUMN(T_suiviDi[[#This Row],[Email]]),FALSE)&lt;&gt;"",VLOOKUP(T_Commission[[#This Row],[NumL]],T_suiviDi[#Data],COLUMN(T_suiviDi[[#This Row],[Email]]),FALSE),""),"")</f>
        <v/>
      </c>
      <c r="F82" s="141" t="str">
        <f>IFERROR(IF(VLOOKUP(T_Commission[[#This Row],[NumL]],T_suiviDi[#Data],COLUMN(T_suiviDi[[#This Row],[Nom1]]),FALSE)&lt;&gt;"",VLOOKUP(T_Commission[[#This Row],[NumL]],T_suiviDi[#Data],COLUMN(T_suiviDi[[#This Row],[Nom1]]),FALSE),""),"")</f>
        <v/>
      </c>
      <c r="G82" s="141" t="str">
        <f>IFERROR(IF(VLOOKUP(T_Commission[[#This Row],[NumL]],T_suiviDi[#Data],COLUMN(T_suiviDi[[#This Row],[Prénom1]]),FALSE)&lt;&gt;"",VLOOKUP(T_Commission[[#This Row],[NumL]],T_suiviDi[#Data],COLUMN(T_suiviDi[[#This Row],[Prénom1]]),FALSE),""),"")</f>
        <v/>
      </c>
      <c r="H82" s="141" t="str">
        <f>IFERROR(IF(VLOOKUP(T_Commission[[#This Row],[NumL]],T_suiviDi[#Data],COLUMN(T_suiviDi[[#This Row],[Email1]]),FALSE)&lt;&gt;"",VLOOKUP(T_Commission[[#This Row],[NumL]],T_suiviDi[#Data],COLUMN(T_suiviDi[[#This Row],[Email1]]),FALSE),""),"")</f>
        <v/>
      </c>
      <c r="I82" s="142" t="str">
        <f>IFERROR(VLOOKUP(T_Commission[[#This Row],[NumL]],T_TraitDi[#Data],COLUMN(T_TraitDi[[#This Row],[CTRL_PJ]]),FALSE),"")</f>
        <v/>
      </c>
      <c r="J82" s="142" t="str">
        <f>IF(C82&lt;&gt;"",IFERROR(VLOOKUP(A82,'2- Traitement des DI'!BV32,FALSE),""),"")</f>
        <v/>
      </c>
      <c r="K82" s="142" t="str">
        <f>IFERROR(IF(VLOOKUP(T_Commission[[#This Row],[NumL]],T_suiviDi[#Data],COLUMN(T_suiviDi[[#This Row],[Avis n+1]]),FALSE)&lt;&gt;"",VLOOKUP(A82,T_suiviDi[#Data],COLUMN(T_suiviDi[[#This Row],[Avis n+1]]),FALSE),""),"")</f>
        <v/>
      </c>
      <c r="L82" s="142" t="str">
        <f>IFERROR(IF(VLOOKUP(A82,ListeDI,27,FALSE)&lt;&gt;"",VLOOKUP(A82,ListeDI,27,FALSE),""),"")</f>
        <v/>
      </c>
      <c r="M82" s="49">
        <v>1</v>
      </c>
      <c r="N82" s="49"/>
      <c r="O82" s="143" t="str">
        <f>IF(C82&lt;&gt;"",IF(N82&lt;&gt;"",MAX(I82,N82),IF(M82&lt;&gt;"",MAX(I82,M82),"")),"")</f>
        <v/>
      </c>
      <c r="P82" s="55" t="s">
        <v>115</v>
      </c>
      <c r="Q82" s="55" t="s">
        <v>3277</v>
      </c>
      <c r="R82" s="55" t="s">
        <v>3277</v>
      </c>
      <c r="S82" s="56"/>
      <c r="T82" s="144"/>
    </row>
    <row r="83" spans="1:20" s="93" customFormat="1" ht="30" customHeight="1" x14ac:dyDescent="0.25">
      <c r="A83" s="90">
        <v>189</v>
      </c>
      <c r="B83" s="130" t="str">
        <f>IFERROR(IF(VLOOKUP(T_Commission[[#This Row],[NumL]],T_TraitDi[#Data],COLUMN(T_TraitDi[[#This Row],[Statut]]),FALSE)&lt;&gt;"",VLOOKUP(T_Commission[[#This Row],[NumL]],T_TraitDi[#Data],COLUMN(T_TraitDi[[#This Row],[Statut]]),FALSE),""),"")</f>
        <v/>
      </c>
      <c r="C83" s="19" t="str">
        <f>IFERROR(IF(VLOOKUP(T_Commission[[#This Row],[NumL]],T_suiviDi[#Data],COLUMN(T_suiviDi[Nom]),FALSE)&lt;&gt;"",VLOOKUP(T_Commission[[#This Row],[NumL]],T_suiviDi[#Data],COLUMN(T_suiviDi[Nom]),FALSE),""),"")</f>
        <v/>
      </c>
      <c r="D83" s="19" t="str">
        <f>IFERROR(IF(VLOOKUP(T_Commission[[#This Row],[NumL]],T_suiviDi[#Data],COLUMN(T_suiviDi[Prénom]),FALSE)&lt;&gt;"",VLOOKUP(T_Commission[[#This Row],[NumL]],T_suiviDi[#Data],COLUMN(T_suiviDi[Prénom]),FALSE),""),"")</f>
        <v/>
      </c>
      <c r="E83" s="20" t="str">
        <f>IFERROR(IF(VLOOKUP(T_Commission[[#This Row],[NumL]],T_suiviDi[#Data],COLUMN(T_suiviDi[Email]),FALSE)&lt;&gt;"",VLOOKUP(T_Commission[[#This Row],[NumL]],T_suiviDi[#Data],COLUMN(T_suiviDi[Email]),FALSE),""),"")</f>
        <v/>
      </c>
      <c r="F83" s="274" t="str">
        <f>IFERROR(IF(VLOOKUP(T_Commission[[#This Row],[NumL]],T_suiviDi[#Data],COLUMN(T_suiviDi[[#This Row],[Nom1]]),FALSE)&lt;&gt;"",VLOOKUP(T_Commission[[#This Row],[NumL]],T_suiviDi[#Data],COLUMN(T_suiviDi[[#This Row],[Nom1]]),FALSE),""),"")</f>
        <v/>
      </c>
      <c r="G83" s="274" t="str">
        <f>IFERROR(IF(VLOOKUP(T_Commission[[#This Row],[NumL]],T_suiviDi[#Data],COLUMN(T_suiviDi[[#This Row],[Prénom1]]),FALSE)&lt;&gt;"",VLOOKUP(T_Commission[[#This Row],[NumL]],T_suiviDi[#Data],COLUMN(T_suiviDi[[#This Row],[Prénom1]]),FALSE),""),"")</f>
        <v/>
      </c>
      <c r="H83" s="274" t="str">
        <f>IFERROR(IF(VLOOKUP(T_Commission[[#This Row],[NumL]],T_suiviDi[#Data],COLUMN(T_suiviDi[[#This Row],[Email1]]),FALSE)&lt;&gt;"",VLOOKUP(T_Commission[[#This Row],[NumL]],T_suiviDi[#Data],COLUMN(T_suiviDi[[#This Row],[Email1]]),FALSE),""),"")</f>
        <v/>
      </c>
      <c r="I83" s="142" t="str">
        <f>IFERROR(VLOOKUP(T_Commission[[#This Row],[NumL]],T_TraitDi[#Data],COLUMN(T_TraitDi[[#This Row],[CTRL_PJ]]),FALSE),"")</f>
        <v/>
      </c>
      <c r="J83" s="142" t="str">
        <f>IF(T_Commission[[#This Row],[Nom]]&lt;&gt;"",IFERROR(VLOOKUP(T_Commission[[#This Row],[NumL]],T_TraitDi[#Data],COLUMN(T_TraitDi[[#This Row],[C10]]),FALSE),""),"")</f>
        <v/>
      </c>
      <c r="K83" s="142" t="str">
        <f>IFERROR(IF(VLOOKUP(T_Commission[[#This Row],[NumL]],T_suiviDi[#Data],COLUMN(T_suiviDi[[#This Row],[Avis n+1]]),FALSE)&lt;&gt;"",VLOOKUP(A83,T_suiviDi[#Data],COLUMN(T_suiviDi[[#This Row],[Avis n+1]]),FALSE),""),"")</f>
        <v/>
      </c>
      <c r="L83" s="142" t="str">
        <f>IFERROR(IF(VLOOKUP(T_Commission[[#This Row],[NumL]],T_suiviDi[#Data],COLUMN(T_suiviDi[[#This Row],[Avis n+2]]),FALSE)&lt;&gt;"",VLOOKUP(T_Commission[[#This Row],[NumL]],T_suiviDi[#Data],COLUMN(T_suiviDi[[#This Row],[Avis n+2]]),FALSE),""),"")</f>
        <v/>
      </c>
      <c r="M83" s="49">
        <v>1</v>
      </c>
      <c r="N83" s="49"/>
      <c r="O83" s="143" t="str">
        <f>IF(T_Commission[[#This Row],[Nom]]&lt;&gt;"",IF(T_Commission[[#This Row],[COM '#2]]&lt;&gt;"",MAX(T_Commission[[#This Row],[PJ]],T_Commission[[#This Row],[COM '#2]]),IF(T_Commission[[#This Row],[COM '#1]]&lt;&gt;"",MAX(T_Commission[[#This Row],[PJ]],T_Commission[[#This Row],[COM '#1]]),"")),"")</f>
        <v/>
      </c>
      <c r="P83" s="55" t="s">
        <v>115</v>
      </c>
      <c r="Q83" s="55" t="s">
        <v>3277</v>
      </c>
      <c r="R83" s="55" t="s">
        <v>3277</v>
      </c>
      <c r="S83" s="56"/>
      <c r="T83" s="144"/>
    </row>
    <row r="84" spans="1:20" s="93" customFormat="1" ht="30" customHeight="1" x14ac:dyDescent="0.25">
      <c r="A84" s="90">
        <v>28</v>
      </c>
      <c r="B84" s="130" t="str">
        <f>IFERROR(IF(VLOOKUP(T_Commission[[#This Row],[NumL]],T_TraitDi[#Data],COLUMN(T_TraitDi[[#This Row],[Statut]]),FALSE)&lt;&gt;"",VLOOKUP(T_Commission[[#This Row],[NumL]],T_TraitDi[#Data],COLUMN(T_TraitDi[[#This Row],[Statut]]),FALSE),""),"")</f>
        <v/>
      </c>
      <c r="C84" s="19" t="str">
        <f>IFERROR(IF(VLOOKUP(T_Commission[[#This Row],[NumL]],T_suiviDi[#Data],COLUMN(T_suiviDi[Nom]),FALSE)&lt;&gt;"",VLOOKUP(T_Commission[[#This Row],[NumL]],T_suiviDi[#Data],COLUMN(T_suiviDi[Nom]),FALSE),""),"")</f>
        <v/>
      </c>
      <c r="D84" s="19" t="str">
        <f>IFERROR(IF(VLOOKUP(T_Commission[[#This Row],[NumL]],T_suiviDi[#Data],COLUMN(T_suiviDi[Prénom]),FALSE)&lt;&gt;"",VLOOKUP(T_Commission[[#This Row],[NumL]],T_suiviDi[#Data],COLUMN(T_suiviDi[Prénom]),FALSE),""),"")</f>
        <v/>
      </c>
      <c r="E84" s="20" t="str">
        <f>IFERROR(IF(VLOOKUP(T_Commission[[#This Row],[NumL]],T_suiviDi[#Data],COLUMN(T_suiviDi[Email]),FALSE)&lt;&gt;"",VLOOKUP(T_Commission[[#This Row],[NumL]],T_suiviDi[#Data],COLUMN(T_suiviDi[Email]),FALSE),""),"")</f>
        <v/>
      </c>
      <c r="F84" s="274" t="str">
        <f>IFERROR(IF(VLOOKUP(T_Commission[[#This Row],[NumL]],T_suiviDi[#Data],COLUMN(T_suiviDi[[#This Row],[Nom1]]),FALSE)&lt;&gt;"",VLOOKUP(T_Commission[[#This Row],[NumL]],T_suiviDi[#Data],COLUMN(T_suiviDi[[#This Row],[Nom1]]),FALSE),""),"")</f>
        <v/>
      </c>
      <c r="G84" s="274" t="str">
        <f>IFERROR(IF(VLOOKUP(T_Commission[[#This Row],[NumL]],T_suiviDi[#Data],COLUMN(T_suiviDi[[#This Row],[Prénom1]]),FALSE)&lt;&gt;"",VLOOKUP(T_Commission[[#This Row],[NumL]],T_suiviDi[#Data],COLUMN(T_suiviDi[[#This Row],[Prénom1]]),FALSE),""),"")</f>
        <v/>
      </c>
      <c r="H84" s="274" t="str">
        <f>IFERROR(IF(VLOOKUP(T_Commission[[#This Row],[NumL]],T_suiviDi[#Data],COLUMN(T_suiviDi[[#This Row],[Email1]]),FALSE)&lt;&gt;"",VLOOKUP(T_Commission[[#This Row],[NumL]],T_suiviDi[#Data],COLUMN(T_suiviDi[[#This Row],[Email1]]),FALSE),""),"")</f>
        <v/>
      </c>
      <c r="I84" s="142" t="str">
        <f>IFERROR(VLOOKUP(T_Commission[[#This Row],[NumL]],T_TraitDi[#Data],COLUMN(T_TraitDi[[#This Row],[CTRL_PJ]]),FALSE),"")</f>
        <v/>
      </c>
      <c r="J84" s="142" t="str">
        <f>IF(T_Commission[[#This Row],[Nom]]&lt;&gt;"",IFERROR(VLOOKUP(T_Commission[[#This Row],[NumL]],T_TraitDi[#Data],COLUMN(T_TraitDi[[#This Row],[C10]]),FALSE),""),"")</f>
        <v/>
      </c>
      <c r="K84" s="142" t="str">
        <f>IFERROR(IF(VLOOKUP(T_Commission[[#This Row],[NumL]],T_suiviDi[#Data],COLUMN(T_suiviDi[[#This Row],[Avis n+1]]),FALSE)&lt;&gt;"",VLOOKUP(A84,T_suiviDi[#Data],COLUMN(T_suiviDi[[#This Row],[Avis n+1]]),FALSE),""),"")</f>
        <v/>
      </c>
      <c r="L84" s="142" t="str">
        <f>IFERROR(IF(VLOOKUP(T_Commission[[#This Row],[NumL]],T_suiviDi[#Data],COLUMN(T_suiviDi[[#This Row],[Avis n+2]]),FALSE)&lt;&gt;"",VLOOKUP(T_Commission[[#This Row],[NumL]],T_suiviDi[#Data],COLUMN(T_suiviDi[[#This Row],[Avis n+2]]),FALSE),""),"")</f>
        <v/>
      </c>
      <c r="M84" s="49">
        <v>1</v>
      </c>
      <c r="N84" s="49"/>
      <c r="O84" s="143" t="str">
        <f>IF(T_Commission[[#This Row],[Nom]]&lt;&gt;"",IF(T_Commission[[#This Row],[COM '#2]]&lt;&gt;"",MAX(T_Commission[[#This Row],[PJ]],T_Commission[[#This Row],[COM '#2]]),IF(T_Commission[[#This Row],[COM '#1]]&lt;&gt;"",MAX(T_Commission[[#This Row],[PJ]],T_Commission[[#This Row],[COM '#1]]),"")),"")</f>
        <v/>
      </c>
      <c r="P84" s="55" t="s">
        <v>115</v>
      </c>
      <c r="Q84" s="55" t="s">
        <v>3277</v>
      </c>
      <c r="R84" s="55" t="s">
        <v>3277</v>
      </c>
      <c r="S84" s="56"/>
      <c r="T84" s="144"/>
    </row>
    <row r="85" spans="1:20" s="93" customFormat="1" ht="30" customHeight="1" x14ac:dyDescent="0.25">
      <c r="A85" s="90">
        <v>222</v>
      </c>
      <c r="B85" s="130" t="str">
        <f>IFERROR(IF(VLOOKUP(T_Commission[[#This Row],[NumL]],T_TraitDi[#Data],COLUMN(T_TraitDi[[#This Row],[Statut]]),FALSE)&lt;&gt;"",VLOOKUP(T_Commission[[#This Row],[NumL]],T_TraitDi[#Data],COLUMN(T_TraitDi[[#This Row],[Statut]]),FALSE),""),"")</f>
        <v/>
      </c>
      <c r="C85" s="19" t="str">
        <f>IFERROR(IF(VLOOKUP(T_Commission[[#This Row],[NumL]],T_suiviDi[#Data],COLUMN(T_suiviDi[Nom]),FALSE)&lt;&gt;"",VLOOKUP(T_Commission[[#This Row],[NumL]],T_suiviDi[#Data],COLUMN(T_suiviDi[Nom]),FALSE),""),"")</f>
        <v/>
      </c>
      <c r="D85" s="19" t="str">
        <f>IFERROR(IF(VLOOKUP(T_Commission[[#This Row],[NumL]],T_suiviDi[#Data],COLUMN(T_suiviDi[Prénom]),FALSE)&lt;&gt;"",VLOOKUP(T_Commission[[#This Row],[NumL]],T_suiviDi[#Data],COLUMN(T_suiviDi[Prénom]),FALSE),""),"")</f>
        <v/>
      </c>
      <c r="E85" s="20" t="str">
        <f>IFERROR(IF(VLOOKUP(T_Commission[[#This Row],[NumL]],T_suiviDi[#Data],COLUMN(T_suiviDi[Email]),FALSE)&lt;&gt;"",VLOOKUP(T_Commission[[#This Row],[NumL]],T_suiviDi[#Data],COLUMN(T_suiviDi[Email]),FALSE),""),"")</f>
        <v/>
      </c>
      <c r="F85" s="274" t="str">
        <f>IFERROR(IF(VLOOKUP(T_Commission[[#This Row],[NumL]],T_suiviDi[#Data],COLUMN(T_suiviDi[[#This Row],[Nom1]]),FALSE)&lt;&gt;"",VLOOKUP(T_Commission[[#This Row],[NumL]],T_suiviDi[#Data],COLUMN(T_suiviDi[[#This Row],[Nom1]]),FALSE),""),"")</f>
        <v/>
      </c>
      <c r="G85" s="274" t="str">
        <f>IFERROR(IF(VLOOKUP(T_Commission[[#This Row],[NumL]],T_suiviDi[#Data],COLUMN(T_suiviDi[[#This Row],[Prénom1]]),FALSE)&lt;&gt;"",VLOOKUP(T_Commission[[#This Row],[NumL]],T_suiviDi[#Data],COLUMN(T_suiviDi[[#This Row],[Prénom1]]),FALSE),""),"")</f>
        <v/>
      </c>
      <c r="H85" s="274" t="str">
        <f>IFERROR(IF(VLOOKUP(T_Commission[[#This Row],[NumL]],T_suiviDi[#Data],COLUMN(T_suiviDi[[#This Row],[Email1]]),FALSE)&lt;&gt;"",VLOOKUP(T_Commission[[#This Row],[NumL]],T_suiviDi[#Data],COLUMN(T_suiviDi[[#This Row],[Email1]]),FALSE),""),"")</f>
        <v/>
      </c>
      <c r="I85" s="142" t="str">
        <f>IFERROR(VLOOKUP(T_Commission[[#This Row],[NumL]],T_TraitDi[#Data],COLUMN(T_TraitDi[[#This Row],[CTRL_PJ]]),FALSE),"")</f>
        <v/>
      </c>
      <c r="J85" s="142" t="str">
        <f>IF(T_Commission[[#This Row],[Nom]]&lt;&gt;"",IFERROR(VLOOKUP(T_Commission[[#This Row],[NumL]],T_TraitDi[#Data],COLUMN(T_TraitDi[[#This Row],[C10]]),FALSE),""),"")</f>
        <v/>
      </c>
      <c r="K85" s="142" t="str">
        <f>IFERROR(IF(VLOOKUP(T_Commission[[#This Row],[NumL]],T_suiviDi[#Data],COLUMN(T_suiviDi[[#This Row],[Avis n+1]]),FALSE)&lt;&gt;"",VLOOKUP(A85,T_suiviDi[#Data],COLUMN(T_suiviDi[[#This Row],[Avis n+1]]),FALSE),""),"")</f>
        <v/>
      </c>
      <c r="L85" s="142" t="str">
        <f>IFERROR(IF(VLOOKUP(T_Commission[[#This Row],[NumL]],T_suiviDi[#Data],COLUMN(T_suiviDi[[#This Row],[Avis n+2]]),FALSE)&lt;&gt;"",VLOOKUP(T_Commission[[#This Row],[NumL]],T_suiviDi[#Data],COLUMN(T_suiviDi[[#This Row],[Avis n+2]]),FALSE),""),"")</f>
        <v/>
      </c>
      <c r="M85" s="49">
        <v>1</v>
      </c>
      <c r="N85" s="49"/>
      <c r="O85" s="143" t="str">
        <f>IF(T_Commission[[#This Row],[Nom]]&lt;&gt;"",IF(T_Commission[[#This Row],[COM '#2]]&lt;&gt;"",MAX(T_Commission[[#This Row],[PJ]],T_Commission[[#This Row],[COM '#2]]),IF(T_Commission[[#This Row],[COM '#1]]&lt;&gt;"",MAX(T_Commission[[#This Row],[PJ]],T_Commission[[#This Row],[COM '#1]]),"")),"")</f>
        <v/>
      </c>
      <c r="P85" s="55" t="s">
        <v>115</v>
      </c>
      <c r="Q85" s="55" t="s">
        <v>3277</v>
      </c>
      <c r="R85" s="55"/>
      <c r="S85" s="56"/>
      <c r="T85" s="144" t="s">
        <v>3640</v>
      </c>
    </row>
    <row r="86" spans="1:20" s="93" customFormat="1" ht="30" customHeight="1" x14ac:dyDescent="0.25">
      <c r="A86" s="90">
        <v>352</v>
      </c>
      <c r="B86" s="130" t="str">
        <f>IFERROR(IF(VLOOKUP(T_Commission[[#This Row],[NumL]],T_TraitDi[#Data],COLUMN(T_TraitDi[[#This Row],[Statut]]),FALSE)&lt;&gt;"",VLOOKUP(T_Commission[[#This Row],[NumL]],T_TraitDi[#Data],COLUMN(T_TraitDi[[#This Row],[Statut]]),FALSE),""),"")</f>
        <v/>
      </c>
      <c r="C86" s="139" t="str">
        <f>IFERROR(IF(VLOOKUP(T_Commission[[#This Row],[NumL]],T_suiviDi[#Data],COLUMN(T_suiviDi[[#This Row],[Nom]]),FALSE)&lt;&gt;"",VLOOKUP(T_Commission[[#This Row],[NumL]],T_suiviDi[#Data],COLUMN(T_suiviDi[[#This Row],[Nom]]),FALSE),""),"")</f>
        <v/>
      </c>
      <c r="D86" s="139" t="str">
        <f>IFERROR(IF(VLOOKUP(T_Commission[[#This Row],[NumL]],T_suiviDi[#Data],COLUMN(T_suiviDi[[#This Row],[Prénom]]),FALSE)&lt;&gt;"",VLOOKUP(T_Commission[[#This Row],[NumL]],T_suiviDi[#Data],COLUMN(T_suiviDi[[#This Row],[Prénom]]),FALSE),""),"")</f>
        <v/>
      </c>
      <c r="E86" s="140" t="str">
        <f>IFERROR(IF(VLOOKUP(T_Commission[[#This Row],[NumL]],T_suiviDi[#Data],COLUMN(T_suiviDi[[#This Row],[Email]]),FALSE)&lt;&gt;"",VLOOKUP(T_Commission[[#This Row],[NumL]],T_suiviDi[#Data],COLUMN(T_suiviDi[[#This Row],[Email]]),FALSE),""),"")</f>
        <v/>
      </c>
      <c r="F86" s="141" t="str">
        <f>IFERROR(IF(VLOOKUP(T_Commission[[#This Row],[NumL]],T_suiviDi[#Data],COLUMN(T_suiviDi[[#This Row],[Nom1]]),FALSE)&lt;&gt;"",VLOOKUP(T_Commission[[#This Row],[NumL]],T_suiviDi[#Data],COLUMN(T_suiviDi[[#This Row],[Nom1]]),FALSE),""),"")</f>
        <v/>
      </c>
      <c r="G86" s="141" t="str">
        <f>IFERROR(IF(VLOOKUP(T_Commission[[#This Row],[NumL]],T_suiviDi[#Data],COLUMN(T_suiviDi[[#This Row],[Prénom1]]),FALSE)&lt;&gt;"",VLOOKUP(T_Commission[[#This Row],[NumL]],T_suiviDi[#Data],COLUMN(T_suiviDi[[#This Row],[Prénom1]]),FALSE),""),"")</f>
        <v/>
      </c>
      <c r="H86" s="141" t="str">
        <f>IFERROR(IF(VLOOKUP(T_Commission[[#This Row],[NumL]],T_suiviDi[#Data],COLUMN(T_suiviDi[[#This Row],[Email1]]),FALSE)&lt;&gt;"",VLOOKUP(T_Commission[[#This Row],[NumL]],T_suiviDi[#Data],COLUMN(T_suiviDi[[#This Row],[Email1]]),FALSE),""),"")</f>
        <v/>
      </c>
      <c r="I86" s="142" t="str">
        <f>IFERROR(VLOOKUP(T_Commission[[#This Row],[NumL]],T_TraitDi[#Data],COLUMN(T_TraitDi[[#This Row],[CTRL_PJ]]),FALSE),"")</f>
        <v/>
      </c>
      <c r="J86" s="142" t="str">
        <f>IF(C86&lt;&gt;"",IFERROR(VLOOKUP(A86,'2- Traitement des DI'!BV32,FALSE),""),"")</f>
        <v/>
      </c>
      <c r="K86" s="142" t="str">
        <f>IFERROR(IF(VLOOKUP(T_Commission[[#This Row],[NumL]],T_suiviDi[#Data],COLUMN(T_suiviDi[[#This Row],[Avis n+1]]),FALSE)&lt;&gt;"",VLOOKUP(A86,T_suiviDi[#Data],COLUMN(T_suiviDi[[#This Row],[Avis n+1]]),FALSE),""),"")</f>
        <v/>
      </c>
      <c r="L86" s="142" t="str">
        <f>IFERROR(IF(VLOOKUP(A86,ListeDI,27,FALSE)&lt;&gt;"",VLOOKUP(A86,ListeDI,27,FALSE),""),"")</f>
        <v/>
      </c>
      <c r="M86" s="49">
        <v>1</v>
      </c>
      <c r="N86" s="49"/>
      <c r="O86" s="143" t="str">
        <f>IF(C86&lt;&gt;"",IF(N86&lt;&gt;"",MAX(I86,N86),IF(M86&lt;&gt;"",MAX(I86,M86),"")),"")</f>
        <v/>
      </c>
      <c r="P86" s="55" t="s">
        <v>115</v>
      </c>
      <c r="Q86" s="55" t="s">
        <v>3277</v>
      </c>
      <c r="R86" s="55" t="s">
        <v>3277</v>
      </c>
      <c r="S86" s="56"/>
      <c r="T86" s="144"/>
    </row>
    <row r="87" spans="1:20" s="93" customFormat="1" ht="30" customHeight="1" x14ac:dyDescent="0.25">
      <c r="A87" s="90">
        <v>283</v>
      </c>
      <c r="B87" s="130" t="str">
        <f>IFERROR(IF(VLOOKUP(T_Commission[[#This Row],[NumL]],T_TraitDi[#Data],COLUMN(T_TraitDi[[#This Row],[Statut]]),FALSE)&lt;&gt;"",VLOOKUP(T_Commission[[#This Row],[NumL]],T_TraitDi[#Data],COLUMN(T_TraitDi[[#This Row],[Statut]]),FALSE),""),"")</f>
        <v/>
      </c>
      <c r="C87" s="19" t="str">
        <f>IFERROR(IF(VLOOKUP(T_Commission[[#This Row],[NumL]],T_suiviDi[#Data],COLUMN(T_suiviDi[Nom]),FALSE)&lt;&gt;"",VLOOKUP(T_Commission[[#This Row],[NumL]],T_suiviDi[#Data],COLUMN(T_suiviDi[Nom]),FALSE),""),"")</f>
        <v/>
      </c>
      <c r="D87" s="19" t="str">
        <f>IFERROR(IF(VLOOKUP(T_Commission[[#This Row],[NumL]],T_suiviDi[#Data],COLUMN(T_suiviDi[Prénom]),FALSE)&lt;&gt;"",VLOOKUP(T_Commission[[#This Row],[NumL]],T_suiviDi[#Data],COLUMN(T_suiviDi[Prénom]),FALSE),""),"")</f>
        <v/>
      </c>
      <c r="E87" s="20" t="str">
        <f>IFERROR(IF(VLOOKUP(T_Commission[[#This Row],[NumL]],T_suiviDi[#Data],COLUMN(T_suiviDi[Email]),FALSE)&lt;&gt;"",VLOOKUP(T_Commission[[#This Row],[NumL]],T_suiviDi[#Data],COLUMN(T_suiviDi[Email]),FALSE),""),"")</f>
        <v/>
      </c>
      <c r="F87" s="274" t="str">
        <f>IFERROR(IF(VLOOKUP(T_Commission[[#This Row],[NumL]],T_suiviDi[#Data],COLUMN(T_suiviDi[[#This Row],[Nom1]]),FALSE)&lt;&gt;"",VLOOKUP(T_Commission[[#This Row],[NumL]],T_suiviDi[#Data],COLUMN(T_suiviDi[[#This Row],[Nom1]]),FALSE),""),"")</f>
        <v/>
      </c>
      <c r="G87" s="274" t="str">
        <f>IFERROR(IF(VLOOKUP(T_Commission[[#This Row],[NumL]],T_suiviDi[#Data],COLUMN(T_suiviDi[[#This Row],[Prénom1]]),FALSE)&lt;&gt;"",VLOOKUP(T_Commission[[#This Row],[NumL]],T_suiviDi[#Data],COLUMN(T_suiviDi[[#This Row],[Prénom1]]),FALSE),""),"")</f>
        <v/>
      </c>
      <c r="H87" s="274" t="str">
        <f>IFERROR(IF(VLOOKUP(T_Commission[[#This Row],[NumL]],T_suiviDi[#Data],COLUMN(T_suiviDi[[#This Row],[Email1]]),FALSE)&lt;&gt;"",VLOOKUP(T_Commission[[#This Row],[NumL]],T_suiviDi[#Data],COLUMN(T_suiviDi[[#This Row],[Email1]]),FALSE),""),"")</f>
        <v/>
      </c>
      <c r="I87" s="142" t="str">
        <f>IFERROR(VLOOKUP(T_Commission[[#This Row],[NumL]],T_TraitDi[#Data],COLUMN(T_TraitDi[[#This Row],[CTRL_PJ]]),FALSE),"")</f>
        <v/>
      </c>
      <c r="J87" s="142" t="str">
        <f>IF(T_Commission[[#This Row],[Nom]]&lt;&gt;"",IFERROR(VLOOKUP(T_Commission[[#This Row],[NumL]],T_TraitDi[#Data],COLUMN(T_TraitDi[[#This Row],[C10]]),FALSE),""),"")</f>
        <v/>
      </c>
      <c r="K87" s="142" t="str">
        <f>IFERROR(IF(VLOOKUP(T_Commission[[#This Row],[NumL]],T_suiviDi[#Data],COLUMN(T_suiviDi[[#This Row],[Avis n+1]]),FALSE)&lt;&gt;"",VLOOKUP(A87,T_suiviDi[#Data],COLUMN(T_suiviDi[[#This Row],[Avis n+1]]),FALSE),""),"")</f>
        <v/>
      </c>
      <c r="L87" s="142" t="str">
        <f>IFERROR(IF(VLOOKUP(T_Commission[[#This Row],[NumL]],T_suiviDi[#Data],COLUMN(T_suiviDi[[#This Row],[Avis n+2]]),FALSE)&lt;&gt;"",VLOOKUP(T_Commission[[#This Row],[NumL]],T_suiviDi[#Data],COLUMN(T_suiviDi[[#This Row],[Avis n+2]]),FALSE),""),"")</f>
        <v/>
      </c>
      <c r="M87" s="49">
        <v>1</v>
      </c>
      <c r="N87" s="49"/>
      <c r="O87" s="143" t="str">
        <f>IF(T_Commission[[#This Row],[Nom]]&lt;&gt;"",IF(T_Commission[[#This Row],[COM '#2]]&lt;&gt;"",MAX(T_Commission[[#This Row],[PJ]],T_Commission[[#This Row],[COM '#2]]),IF(T_Commission[[#This Row],[COM '#1]]&lt;&gt;"",MAX(T_Commission[[#This Row],[PJ]],T_Commission[[#This Row],[COM '#1]]),"")),"")</f>
        <v/>
      </c>
      <c r="P87" s="55" t="s">
        <v>115</v>
      </c>
      <c r="Q87" s="55" t="s">
        <v>3277</v>
      </c>
      <c r="R87" s="55" t="s">
        <v>3277</v>
      </c>
      <c r="S87" s="56"/>
      <c r="T87" s="144"/>
    </row>
    <row r="88" spans="1:20" s="93" customFormat="1" ht="30" customHeight="1" x14ac:dyDescent="0.25">
      <c r="A88" s="90">
        <v>60</v>
      </c>
      <c r="B88" s="130" t="str">
        <f>IFERROR(IF(VLOOKUP(T_Commission[[#This Row],[NumL]],T_TraitDi[#Data],COLUMN(T_TraitDi[[#This Row],[Statut]]),FALSE)&lt;&gt;"",VLOOKUP(T_Commission[[#This Row],[NumL]],T_TraitDi[#Data],COLUMN(T_TraitDi[[#This Row],[Statut]]),FALSE),""),"")</f>
        <v/>
      </c>
      <c r="C88" s="19" t="str">
        <f>IFERROR(IF(VLOOKUP(T_Commission[[#This Row],[NumL]],T_suiviDi[#Data],COLUMN(T_suiviDi[Nom]),FALSE)&lt;&gt;"",VLOOKUP(T_Commission[[#This Row],[NumL]],T_suiviDi[#Data],COLUMN(T_suiviDi[Nom]),FALSE),""),"")</f>
        <v/>
      </c>
      <c r="D88" s="19" t="str">
        <f>IFERROR(IF(VLOOKUP(T_Commission[[#This Row],[NumL]],T_suiviDi[#Data],COLUMN(T_suiviDi[Prénom]),FALSE)&lt;&gt;"",VLOOKUP(T_Commission[[#This Row],[NumL]],T_suiviDi[#Data],COLUMN(T_suiviDi[Prénom]),FALSE),""),"")</f>
        <v/>
      </c>
      <c r="E88" s="20" t="str">
        <f>IFERROR(IF(VLOOKUP(T_Commission[[#This Row],[NumL]],T_suiviDi[#Data],COLUMN(T_suiviDi[Email]),FALSE)&lt;&gt;"",VLOOKUP(T_Commission[[#This Row],[NumL]],T_suiviDi[#Data],COLUMN(T_suiviDi[Email]),FALSE),""),"")</f>
        <v/>
      </c>
      <c r="F88" s="274" t="str">
        <f>IFERROR(IF(VLOOKUP(T_Commission[[#This Row],[NumL]],T_suiviDi[#Data],COLUMN(T_suiviDi[[#This Row],[Nom1]]),FALSE)&lt;&gt;"",VLOOKUP(T_Commission[[#This Row],[NumL]],T_suiviDi[#Data],COLUMN(T_suiviDi[[#This Row],[Nom1]]),FALSE),""),"")</f>
        <v/>
      </c>
      <c r="G88" s="274" t="str">
        <f>IFERROR(IF(VLOOKUP(T_Commission[[#This Row],[NumL]],T_suiviDi[#Data],COLUMN(T_suiviDi[[#This Row],[Prénom1]]),FALSE)&lt;&gt;"",VLOOKUP(T_Commission[[#This Row],[NumL]],T_suiviDi[#Data],COLUMN(T_suiviDi[[#This Row],[Prénom1]]),FALSE),""),"")</f>
        <v/>
      </c>
      <c r="H88" s="274" t="str">
        <f>IFERROR(IF(VLOOKUP(T_Commission[[#This Row],[NumL]],T_suiviDi[#Data],COLUMN(T_suiviDi[[#This Row],[Email1]]),FALSE)&lt;&gt;"",VLOOKUP(T_Commission[[#This Row],[NumL]],T_suiviDi[#Data],COLUMN(T_suiviDi[[#This Row],[Email1]]),FALSE),""),"")</f>
        <v/>
      </c>
      <c r="I88" s="142" t="str">
        <f>IFERROR(VLOOKUP(T_Commission[[#This Row],[NumL]],T_TraitDi[#Data],COLUMN(T_TraitDi[[#This Row],[CTRL_PJ]]),FALSE),"")</f>
        <v/>
      </c>
      <c r="J88" s="142" t="str">
        <f>IF(T_Commission[[#This Row],[Nom]]&lt;&gt;"",IFERROR(VLOOKUP(T_Commission[[#This Row],[NumL]],T_TraitDi[#Data],COLUMN(T_TraitDi[[#This Row],[C10]]),FALSE),""),"")</f>
        <v/>
      </c>
      <c r="K88" s="142" t="str">
        <f>IFERROR(IF(VLOOKUP(T_Commission[[#This Row],[NumL]],T_suiviDi[#Data],COLUMN(T_suiviDi[[#This Row],[Avis n+1]]),FALSE)&lt;&gt;"",VLOOKUP(A88,T_suiviDi[#Data],COLUMN(T_suiviDi[[#This Row],[Avis n+1]]),FALSE),""),"")</f>
        <v/>
      </c>
      <c r="L88" s="142" t="str">
        <f>IFERROR(IF(VLOOKUP(T_Commission[[#This Row],[NumL]],T_suiviDi[#Data],COLUMN(T_suiviDi[[#This Row],[Avis n+2]]),FALSE)&lt;&gt;"",VLOOKUP(T_Commission[[#This Row],[NumL]],T_suiviDi[#Data],COLUMN(T_suiviDi[[#This Row],[Avis n+2]]),FALSE),""),"")</f>
        <v/>
      </c>
      <c r="M88" s="49">
        <v>1</v>
      </c>
      <c r="N88" s="49"/>
      <c r="O88" s="143" t="str">
        <f>IF(T_Commission[[#This Row],[Nom]]&lt;&gt;"",IF(T_Commission[[#This Row],[COM '#2]]&lt;&gt;"",MAX(T_Commission[[#This Row],[PJ]],T_Commission[[#This Row],[COM '#2]]),IF(T_Commission[[#This Row],[COM '#1]]&lt;&gt;"",MAX(T_Commission[[#This Row],[PJ]],T_Commission[[#This Row],[COM '#1]]),"")),"")</f>
        <v/>
      </c>
      <c r="P88" s="55" t="s">
        <v>115</v>
      </c>
      <c r="Q88" s="55" t="s">
        <v>3277</v>
      </c>
      <c r="R88" s="55" t="s">
        <v>3277</v>
      </c>
      <c r="S88" s="56"/>
      <c r="T88" s="144"/>
    </row>
    <row r="89" spans="1:20" s="93" customFormat="1" ht="30" customHeight="1" x14ac:dyDescent="0.25">
      <c r="A89" s="90">
        <v>172</v>
      </c>
      <c r="B89" s="130" t="str">
        <f>IFERROR(IF(VLOOKUP(T_Commission[[#This Row],[NumL]],T_TraitDi[#Data],COLUMN(T_TraitDi[[#This Row],[Statut]]),FALSE)&lt;&gt;"",VLOOKUP(T_Commission[[#This Row],[NumL]],T_TraitDi[#Data],COLUMN(T_TraitDi[[#This Row],[Statut]]),FALSE),""),"")</f>
        <v/>
      </c>
      <c r="C89" s="19" t="str">
        <f>IFERROR(IF(VLOOKUP(T_Commission[[#This Row],[NumL]],T_suiviDi[#Data],COLUMN(T_suiviDi[Nom]),FALSE)&lt;&gt;"",VLOOKUP(T_Commission[[#This Row],[NumL]],T_suiviDi[#Data],COLUMN(T_suiviDi[Nom]),FALSE),""),"")</f>
        <v/>
      </c>
      <c r="D89" s="19" t="str">
        <f>IFERROR(IF(VLOOKUP(T_Commission[[#This Row],[NumL]],T_suiviDi[#Data],COLUMN(T_suiviDi[Prénom]),FALSE)&lt;&gt;"",VLOOKUP(T_Commission[[#This Row],[NumL]],T_suiviDi[#Data],COLUMN(T_suiviDi[Prénom]),FALSE),""),"")</f>
        <v/>
      </c>
      <c r="E89" s="20" t="str">
        <f>IFERROR(IF(VLOOKUP(T_Commission[[#This Row],[NumL]],T_suiviDi[#Data],COLUMN(T_suiviDi[Email]),FALSE)&lt;&gt;"",VLOOKUP(T_Commission[[#This Row],[NumL]],T_suiviDi[#Data],COLUMN(T_suiviDi[Email]),FALSE),""),"")</f>
        <v/>
      </c>
      <c r="F89" s="274" t="str">
        <f>IFERROR(IF(VLOOKUP(T_Commission[[#This Row],[NumL]],T_suiviDi[#Data],COLUMN(T_suiviDi[[#This Row],[Nom1]]),FALSE)&lt;&gt;"",VLOOKUP(T_Commission[[#This Row],[NumL]],T_suiviDi[#Data],COLUMN(T_suiviDi[[#This Row],[Nom1]]),FALSE),""),"")</f>
        <v/>
      </c>
      <c r="G89" s="274" t="str">
        <f>IFERROR(IF(VLOOKUP(T_Commission[[#This Row],[NumL]],T_suiviDi[#Data],COLUMN(T_suiviDi[[#This Row],[Prénom1]]),FALSE)&lt;&gt;"",VLOOKUP(T_Commission[[#This Row],[NumL]],T_suiviDi[#Data],COLUMN(T_suiviDi[[#This Row],[Prénom1]]),FALSE),""),"")</f>
        <v/>
      </c>
      <c r="H89" s="274" t="str">
        <f>IFERROR(IF(VLOOKUP(T_Commission[[#This Row],[NumL]],T_suiviDi[#Data],COLUMN(T_suiviDi[[#This Row],[Email1]]),FALSE)&lt;&gt;"",VLOOKUP(T_Commission[[#This Row],[NumL]],T_suiviDi[#Data],COLUMN(T_suiviDi[[#This Row],[Email1]]),FALSE),""),"")</f>
        <v/>
      </c>
      <c r="I89" s="142" t="str">
        <f>IFERROR(VLOOKUP(T_Commission[[#This Row],[NumL]],T_TraitDi[#Data],COLUMN(T_TraitDi[[#This Row],[CTRL_PJ]]),FALSE),"")</f>
        <v/>
      </c>
      <c r="J89" s="142" t="str">
        <f>IF(T_Commission[[#This Row],[Nom]]&lt;&gt;"",IFERROR(VLOOKUP(T_Commission[[#This Row],[NumL]],T_TraitDi[#Data],COLUMN(T_TraitDi[[#This Row],[C10]]),FALSE),""),"")</f>
        <v/>
      </c>
      <c r="K89" s="142" t="str">
        <f>IFERROR(IF(VLOOKUP(T_Commission[[#This Row],[NumL]],T_suiviDi[#Data],COLUMN(T_suiviDi[[#This Row],[Avis n+1]]),FALSE)&lt;&gt;"",VLOOKUP(A89,T_suiviDi[#Data],COLUMN(T_suiviDi[[#This Row],[Avis n+1]]),FALSE),""),"")</f>
        <v/>
      </c>
      <c r="L89" s="142" t="str">
        <f>IFERROR(IF(VLOOKUP(T_Commission[[#This Row],[NumL]],T_suiviDi[#Data],COLUMN(T_suiviDi[[#This Row],[Avis n+2]]),FALSE)&lt;&gt;"",VLOOKUP(T_Commission[[#This Row],[NumL]],T_suiviDi[#Data],COLUMN(T_suiviDi[[#This Row],[Avis n+2]]),FALSE),""),"")</f>
        <v/>
      </c>
      <c r="M89" s="49">
        <v>1</v>
      </c>
      <c r="N89" s="49"/>
      <c r="O89" s="143" t="str">
        <f>IF(T_Commission[[#This Row],[Nom]]&lt;&gt;"",IF(T_Commission[[#This Row],[COM '#2]]&lt;&gt;"",MAX(T_Commission[[#This Row],[PJ]],T_Commission[[#This Row],[COM '#2]]),IF(T_Commission[[#This Row],[COM '#1]]&lt;&gt;"",MAX(T_Commission[[#This Row],[PJ]],T_Commission[[#This Row],[COM '#1]]),"")),"")</f>
        <v/>
      </c>
      <c r="P89" s="55" t="s">
        <v>115</v>
      </c>
      <c r="Q89" s="55" t="s">
        <v>3277</v>
      </c>
      <c r="R89" s="55"/>
      <c r="S89" s="56"/>
      <c r="T89" s="144"/>
    </row>
    <row r="90" spans="1:20" s="93" customFormat="1" ht="30" customHeight="1" x14ac:dyDescent="0.25">
      <c r="A90" s="90">
        <v>114</v>
      </c>
      <c r="B90" s="130" t="str">
        <f>IFERROR(IF(VLOOKUP(T_Commission[[#This Row],[NumL]],T_TraitDi[#Data],COLUMN(T_TraitDi[[#This Row],[Statut]]),FALSE)&lt;&gt;"",VLOOKUP(T_Commission[[#This Row],[NumL]],T_TraitDi[#Data],COLUMN(T_TraitDi[[#This Row],[Statut]]),FALSE),""),"")</f>
        <v/>
      </c>
      <c r="C90" s="19" t="str">
        <f>IFERROR(IF(VLOOKUP(T_Commission[[#This Row],[NumL]],T_suiviDi[#Data],COLUMN(T_suiviDi[Nom]),FALSE)&lt;&gt;"",VLOOKUP(T_Commission[[#This Row],[NumL]],T_suiviDi[#Data],COLUMN(T_suiviDi[Nom]),FALSE),""),"")</f>
        <v/>
      </c>
      <c r="D90" s="19" t="str">
        <f>IFERROR(IF(VLOOKUP(T_Commission[[#This Row],[NumL]],T_suiviDi[#Data],COLUMN(T_suiviDi[Prénom]),FALSE)&lt;&gt;"",VLOOKUP(T_Commission[[#This Row],[NumL]],T_suiviDi[#Data],COLUMN(T_suiviDi[Prénom]),FALSE),""),"")</f>
        <v/>
      </c>
      <c r="E90" s="20" t="str">
        <f>IFERROR(IF(VLOOKUP(T_Commission[[#This Row],[NumL]],T_suiviDi[#Data],COLUMN(T_suiviDi[Email]),FALSE)&lt;&gt;"",VLOOKUP(T_Commission[[#This Row],[NumL]],T_suiviDi[#Data],COLUMN(T_suiviDi[Email]),FALSE),""),"")</f>
        <v/>
      </c>
      <c r="F90" s="274" t="str">
        <f>IFERROR(IF(VLOOKUP(T_Commission[[#This Row],[NumL]],T_suiviDi[#Data],COLUMN(T_suiviDi[[#This Row],[Nom1]]),FALSE)&lt;&gt;"",VLOOKUP(T_Commission[[#This Row],[NumL]],T_suiviDi[#Data],COLUMN(T_suiviDi[[#This Row],[Nom1]]),FALSE),""),"")</f>
        <v/>
      </c>
      <c r="G90" s="274" t="str">
        <f>IFERROR(IF(VLOOKUP(T_Commission[[#This Row],[NumL]],T_suiviDi[#Data],COLUMN(T_suiviDi[[#This Row],[Prénom1]]),FALSE)&lt;&gt;"",VLOOKUP(T_Commission[[#This Row],[NumL]],T_suiviDi[#Data],COLUMN(T_suiviDi[[#This Row],[Prénom1]]),FALSE),""),"")</f>
        <v/>
      </c>
      <c r="H90" s="274" t="str">
        <f>IFERROR(IF(VLOOKUP(T_Commission[[#This Row],[NumL]],T_suiviDi[#Data],COLUMN(T_suiviDi[[#This Row],[Email1]]),FALSE)&lt;&gt;"",VLOOKUP(T_Commission[[#This Row],[NumL]],T_suiviDi[#Data],COLUMN(T_suiviDi[[#This Row],[Email1]]),FALSE),""),"")</f>
        <v/>
      </c>
      <c r="I90" s="142" t="str">
        <f>IFERROR(VLOOKUP(T_Commission[[#This Row],[NumL]],T_TraitDi[#Data],COLUMN(T_TraitDi[[#This Row],[CTRL_PJ]]),FALSE),"")</f>
        <v/>
      </c>
      <c r="J90" s="142" t="str">
        <f>IF(T_Commission[[#This Row],[Nom]]&lt;&gt;"",IFERROR(VLOOKUP(T_Commission[[#This Row],[NumL]],T_TraitDi[#Data],COLUMN(T_TraitDi[[#This Row],[C10]]),FALSE),""),"")</f>
        <v/>
      </c>
      <c r="K90" s="142" t="str">
        <f>IFERROR(IF(VLOOKUP(T_Commission[[#This Row],[NumL]],T_suiviDi[#Data],COLUMN(T_suiviDi[[#This Row],[Avis n+1]]),FALSE)&lt;&gt;"",VLOOKUP(A90,T_suiviDi[#Data],COLUMN(T_suiviDi[[#This Row],[Avis n+1]]),FALSE),""),"")</f>
        <v/>
      </c>
      <c r="L90" s="142" t="str">
        <f>IFERROR(IF(VLOOKUP(T_Commission[[#This Row],[NumL]],T_suiviDi[#Data],COLUMN(T_suiviDi[[#This Row],[Avis n+2]]),FALSE)&lt;&gt;"",VLOOKUP(T_Commission[[#This Row],[NumL]],T_suiviDi[#Data],COLUMN(T_suiviDi[[#This Row],[Avis n+2]]),FALSE),""),"")</f>
        <v/>
      </c>
      <c r="M90" s="49">
        <v>1</v>
      </c>
      <c r="N90" s="49"/>
      <c r="O90" s="143" t="str">
        <f>IF(T_Commission[[#This Row],[Nom]]&lt;&gt;"",IF(T_Commission[[#This Row],[COM '#2]]&lt;&gt;"",MAX(T_Commission[[#This Row],[PJ]],T_Commission[[#This Row],[COM '#2]]),IF(T_Commission[[#This Row],[COM '#1]]&lt;&gt;"",MAX(T_Commission[[#This Row],[PJ]],T_Commission[[#This Row],[COM '#1]]),"")),"")</f>
        <v/>
      </c>
      <c r="P90" s="55" t="s">
        <v>115</v>
      </c>
      <c r="Q90" s="55" t="s">
        <v>3277</v>
      </c>
      <c r="R90" s="55" t="s">
        <v>3277</v>
      </c>
      <c r="S90" s="56"/>
      <c r="T90" s="144"/>
    </row>
    <row r="91" spans="1:20" s="93" customFormat="1" ht="30" customHeight="1" x14ac:dyDescent="0.25">
      <c r="A91" s="90">
        <v>8</v>
      </c>
      <c r="B91" s="130" t="str">
        <f>IFERROR(IF(VLOOKUP(T_Commission[[#This Row],[NumL]],T_TraitDi[#Data],COLUMN(T_TraitDi[[#This Row],[Statut]]),FALSE)&lt;&gt;"",VLOOKUP(T_Commission[[#This Row],[NumL]],T_TraitDi[#Data],COLUMN(T_TraitDi[[#This Row],[Statut]]),FALSE),""),"")</f>
        <v/>
      </c>
      <c r="C91" s="19" t="str">
        <f>IFERROR(IF(VLOOKUP(T_Commission[[#This Row],[NumL]],T_suiviDi[#Data],COLUMN(T_suiviDi[Nom]),FALSE)&lt;&gt;"",VLOOKUP(T_Commission[[#This Row],[NumL]],T_suiviDi[#Data],COLUMN(T_suiviDi[Nom]),FALSE),""),"")</f>
        <v/>
      </c>
      <c r="D91" s="19" t="str">
        <f>IFERROR(IF(VLOOKUP(T_Commission[[#This Row],[NumL]],T_suiviDi[#Data],COLUMN(T_suiviDi[Prénom]),FALSE)&lt;&gt;"",VLOOKUP(T_Commission[[#This Row],[NumL]],T_suiviDi[#Data],COLUMN(T_suiviDi[Prénom]),FALSE),""),"")</f>
        <v/>
      </c>
      <c r="E91" s="20" t="str">
        <f>IFERROR(IF(VLOOKUP(T_Commission[[#This Row],[NumL]],T_suiviDi[#Data],COLUMN(T_suiviDi[Email]),FALSE)&lt;&gt;"",VLOOKUP(T_Commission[[#This Row],[NumL]],T_suiviDi[#Data],COLUMN(T_suiviDi[Email]),FALSE),""),"")</f>
        <v/>
      </c>
      <c r="F91" s="274" t="str">
        <f>IFERROR(IF(VLOOKUP(T_Commission[[#This Row],[NumL]],T_suiviDi[#Data],COLUMN(T_suiviDi[[#This Row],[Nom1]]),FALSE)&lt;&gt;"",VLOOKUP(T_Commission[[#This Row],[NumL]],T_suiviDi[#Data],COLUMN(T_suiviDi[[#This Row],[Nom1]]),FALSE),""),"")</f>
        <v/>
      </c>
      <c r="G91" s="274" t="str">
        <f>IFERROR(IF(VLOOKUP(T_Commission[[#This Row],[NumL]],T_suiviDi[#Data],COLUMN(T_suiviDi[[#This Row],[Prénom1]]),FALSE)&lt;&gt;"",VLOOKUP(T_Commission[[#This Row],[NumL]],T_suiviDi[#Data],COLUMN(T_suiviDi[[#This Row],[Prénom1]]),FALSE),""),"")</f>
        <v/>
      </c>
      <c r="H91" s="274" t="str">
        <f>IFERROR(IF(VLOOKUP(T_Commission[[#This Row],[NumL]],T_suiviDi[#Data],COLUMN(T_suiviDi[[#This Row],[Email1]]),FALSE)&lt;&gt;"",VLOOKUP(T_Commission[[#This Row],[NumL]],T_suiviDi[#Data],COLUMN(T_suiviDi[[#This Row],[Email1]]),FALSE),""),"")</f>
        <v/>
      </c>
      <c r="I91" s="142" t="str">
        <f>IFERROR(VLOOKUP(T_Commission[[#This Row],[NumL]],T_TraitDi[#Data],COLUMN(T_TraitDi[[#This Row],[CTRL_PJ]]),FALSE),"")</f>
        <v/>
      </c>
      <c r="J91" s="142" t="str">
        <f>IF(T_Commission[[#This Row],[Nom]]&lt;&gt;"",IFERROR(VLOOKUP(T_Commission[[#This Row],[NumL]],T_TraitDi[#Data],COLUMN(T_TraitDi[[#This Row],[C10]]),FALSE),""),"")</f>
        <v/>
      </c>
      <c r="K91" s="142" t="str">
        <f>IFERROR(IF(VLOOKUP(T_Commission[[#This Row],[NumL]],T_suiviDi[#Data],COLUMN(T_suiviDi[[#This Row],[Avis n+1]]),FALSE)&lt;&gt;"",VLOOKUP(A91,T_suiviDi[#Data],COLUMN(T_suiviDi[[#This Row],[Avis n+1]]),FALSE),""),"")</f>
        <v/>
      </c>
      <c r="L91" s="142" t="str">
        <f>IFERROR(IF(VLOOKUP(T_Commission[[#This Row],[NumL]],T_suiviDi[#Data],COLUMN(T_suiviDi[[#This Row],[Avis n+2]]),FALSE)&lt;&gt;"",VLOOKUP(T_Commission[[#This Row],[NumL]],T_suiviDi[#Data],COLUMN(T_suiviDi[[#This Row],[Avis n+2]]),FALSE),""),"")</f>
        <v/>
      </c>
      <c r="M91" s="49">
        <v>1</v>
      </c>
      <c r="N91" s="49"/>
      <c r="O91" s="143" t="str">
        <f>IF(T_Commission[[#This Row],[Nom]]&lt;&gt;"",IF(T_Commission[[#This Row],[COM '#2]]&lt;&gt;"",MAX(T_Commission[[#This Row],[PJ]],T_Commission[[#This Row],[COM '#2]]),IF(T_Commission[[#This Row],[COM '#1]]&lt;&gt;"",MAX(T_Commission[[#This Row],[PJ]],T_Commission[[#This Row],[COM '#1]]),"")),"")</f>
        <v/>
      </c>
      <c r="P91" s="55" t="s">
        <v>115</v>
      </c>
      <c r="Q91" s="55" t="s">
        <v>3277</v>
      </c>
      <c r="R91" s="55" t="s">
        <v>3277</v>
      </c>
      <c r="S91" s="56"/>
      <c r="T91" s="144"/>
    </row>
    <row r="92" spans="1:20" s="93" customFormat="1" ht="30" customHeight="1" x14ac:dyDescent="0.25">
      <c r="A92" s="90">
        <v>51</v>
      </c>
      <c r="B92" s="130" t="str">
        <f>IFERROR(IF(VLOOKUP(T_Commission[[#This Row],[NumL]],T_TraitDi[#Data],COLUMN(T_TraitDi[[#This Row],[Statut]]),FALSE)&lt;&gt;"",VLOOKUP(T_Commission[[#This Row],[NumL]],T_TraitDi[#Data],COLUMN(T_TraitDi[[#This Row],[Statut]]),FALSE),""),"")</f>
        <v/>
      </c>
      <c r="C92" s="19" t="str">
        <f>IFERROR(IF(VLOOKUP(T_Commission[[#This Row],[NumL]],T_suiviDi[#Data],COLUMN(T_suiviDi[Nom]),FALSE)&lt;&gt;"",VLOOKUP(T_Commission[[#This Row],[NumL]],T_suiviDi[#Data],COLUMN(T_suiviDi[Nom]),FALSE),""),"")</f>
        <v/>
      </c>
      <c r="D92" s="19" t="str">
        <f>IFERROR(IF(VLOOKUP(T_Commission[[#This Row],[NumL]],T_suiviDi[#Data],COLUMN(T_suiviDi[Prénom]),FALSE)&lt;&gt;"",VLOOKUP(T_Commission[[#This Row],[NumL]],T_suiviDi[#Data],COLUMN(T_suiviDi[Prénom]),FALSE),""),"")</f>
        <v/>
      </c>
      <c r="E92" s="20" t="str">
        <f>IFERROR(IF(VLOOKUP(T_Commission[[#This Row],[NumL]],T_suiviDi[#Data],COLUMN(T_suiviDi[Email]),FALSE)&lt;&gt;"",VLOOKUP(T_Commission[[#This Row],[NumL]],T_suiviDi[#Data],COLUMN(T_suiviDi[Email]),FALSE),""),"")</f>
        <v/>
      </c>
      <c r="F92" s="274" t="str">
        <f>IFERROR(IF(VLOOKUP(T_Commission[[#This Row],[NumL]],T_suiviDi[#Data],COLUMN(T_suiviDi[[#This Row],[Nom1]]),FALSE)&lt;&gt;"",VLOOKUP(T_Commission[[#This Row],[NumL]],T_suiviDi[#Data],COLUMN(T_suiviDi[[#This Row],[Nom1]]),FALSE),""),"")</f>
        <v/>
      </c>
      <c r="G92" s="274" t="str">
        <f>IFERROR(IF(VLOOKUP(T_Commission[[#This Row],[NumL]],T_suiviDi[#Data],COLUMN(T_suiviDi[[#This Row],[Prénom1]]),FALSE)&lt;&gt;"",VLOOKUP(T_Commission[[#This Row],[NumL]],T_suiviDi[#Data],COLUMN(T_suiviDi[[#This Row],[Prénom1]]),FALSE),""),"")</f>
        <v/>
      </c>
      <c r="H92" s="274" t="str">
        <f>IFERROR(IF(VLOOKUP(T_Commission[[#This Row],[NumL]],T_suiviDi[#Data],COLUMN(T_suiviDi[[#This Row],[Email1]]),FALSE)&lt;&gt;"",VLOOKUP(T_Commission[[#This Row],[NumL]],T_suiviDi[#Data],COLUMN(T_suiviDi[[#This Row],[Email1]]),FALSE),""),"")</f>
        <v/>
      </c>
      <c r="I92" s="142" t="str">
        <f>IFERROR(VLOOKUP(T_Commission[[#This Row],[NumL]],T_TraitDi[#Data],COLUMN(T_TraitDi[[#This Row],[CTRL_PJ]]),FALSE),"")</f>
        <v/>
      </c>
      <c r="J92" s="142" t="str">
        <f>IF(T_Commission[[#This Row],[Nom]]&lt;&gt;"",IFERROR(VLOOKUP(T_Commission[[#This Row],[NumL]],T_TraitDi[#Data],COLUMN(T_TraitDi[[#This Row],[C10]]),FALSE),""),"")</f>
        <v/>
      </c>
      <c r="K92" s="142" t="str">
        <f>IFERROR(IF(VLOOKUP(T_Commission[[#This Row],[NumL]],T_suiviDi[#Data],COLUMN(T_suiviDi[[#This Row],[Avis n+1]]),FALSE)&lt;&gt;"",VLOOKUP(A92,T_suiviDi[#Data],COLUMN(T_suiviDi[[#This Row],[Avis n+1]]),FALSE),""),"")</f>
        <v/>
      </c>
      <c r="L92" s="142" t="str">
        <f>IFERROR(IF(VLOOKUP(T_Commission[[#This Row],[NumL]],T_suiviDi[#Data],COLUMN(T_suiviDi[[#This Row],[Avis n+2]]),FALSE)&lt;&gt;"",VLOOKUP(T_Commission[[#This Row],[NumL]],T_suiviDi[#Data],COLUMN(T_suiviDi[[#This Row],[Avis n+2]]),FALSE),""),"")</f>
        <v/>
      </c>
      <c r="M92" s="49">
        <v>1</v>
      </c>
      <c r="N92" s="49"/>
      <c r="O92" s="143" t="str">
        <f>IF(T_Commission[[#This Row],[Nom]]&lt;&gt;"",IF(T_Commission[[#This Row],[COM '#2]]&lt;&gt;"",MAX(T_Commission[[#This Row],[PJ]],T_Commission[[#This Row],[COM '#2]]),IF(T_Commission[[#This Row],[COM '#1]]&lt;&gt;"",MAX(T_Commission[[#This Row],[PJ]],T_Commission[[#This Row],[COM '#1]]),"")),"")</f>
        <v/>
      </c>
      <c r="P92" s="55" t="s">
        <v>115</v>
      </c>
      <c r="Q92" s="55" t="s">
        <v>3277</v>
      </c>
      <c r="R92" s="55" t="s">
        <v>3277</v>
      </c>
      <c r="S92" s="56"/>
      <c r="T92" s="144"/>
    </row>
    <row r="93" spans="1:20" s="93" customFormat="1" ht="30" customHeight="1" x14ac:dyDescent="0.25">
      <c r="A93" s="90">
        <v>342</v>
      </c>
      <c r="B93" s="130" t="str">
        <f>IFERROR(IF(VLOOKUP(T_Commission[[#This Row],[NumL]],T_TraitDi[#Data],COLUMN(T_TraitDi[[#This Row],[Statut]]),FALSE)&lt;&gt;"",VLOOKUP(T_Commission[[#This Row],[NumL]],T_TraitDi[#Data],COLUMN(T_TraitDi[[#This Row],[Statut]]),FALSE),""),"")</f>
        <v/>
      </c>
      <c r="C93" s="139" t="str">
        <f>IFERROR(IF(VLOOKUP(T_Commission[[#This Row],[NumL]],T_suiviDi[#Data],COLUMN(T_suiviDi[[#This Row],[Nom]]),FALSE)&lt;&gt;"",VLOOKUP(T_Commission[[#This Row],[NumL]],T_suiviDi[#Data],COLUMN(T_suiviDi[[#This Row],[Nom]]),FALSE),""),"")</f>
        <v/>
      </c>
      <c r="D93" s="139" t="str">
        <f>IFERROR(IF(VLOOKUP(T_Commission[[#This Row],[NumL]],T_suiviDi[#Data],COLUMN(T_suiviDi[[#This Row],[Prénom]]),FALSE)&lt;&gt;"",VLOOKUP(T_Commission[[#This Row],[NumL]],T_suiviDi[#Data],COLUMN(T_suiviDi[[#This Row],[Prénom]]),FALSE),""),"")</f>
        <v/>
      </c>
      <c r="E93" s="140" t="str">
        <f>IFERROR(IF(VLOOKUP(T_Commission[[#This Row],[NumL]],T_suiviDi[#Data],COLUMN(T_suiviDi[[#This Row],[Email]]),FALSE)&lt;&gt;"",VLOOKUP(T_Commission[[#This Row],[NumL]],T_suiviDi[#Data],COLUMN(T_suiviDi[[#This Row],[Email]]),FALSE),""),"")</f>
        <v/>
      </c>
      <c r="F93" s="141" t="str">
        <f>IFERROR(IF(VLOOKUP(T_Commission[[#This Row],[NumL]],T_suiviDi[#Data],COLUMN(T_suiviDi[[#This Row],[Nom1]]),FALSE)&lt;&gt;"",VLOOKUP(T_Commission[[#This Row],[NumL]],T_suiviDi[#Data],COLUMN(T_suiviDi[[#This Row],[Nom1]]),FALSE),""),"")</f>
        <v/>
      </c>
      <c r="G93" s="141" t="str">
        <f>IFERROR(IF(VLOOKUP(T_Commission[[#This Row],[NumL]],T_suiviDi[#Data],COLUMN(T_suiviDi[[#This Row],[Prénom1]]),FALSE)&lt;&gt;"",VLOOKUP(T_Commission[[#This Row],[NumL]],T_suiviDi[#Data],COLUMN(T_suiviDi[[#This Row],[Prénom1]]),FALSE),""),"")</f>
        <v/>
      </c>
      <c r="H93" s="141" t="str">
        <f>IFERROR(IF(VLOOKUP(T_Commission[[#This Row],[NumL]],T_suiviDi[#Data],COLUMN(T_suiviDi[[#This Row],[Email1]]),FALSE)&lt;&gt;"",VLOOKUP(T_Commission[[#This Row],[NumL]],T_suiviDi[#Data],COLUMN(T_suiviDi[[#This Row],[Email1]]),FALSE),""),"")</f>
        <v/>
      </c>
      <c r="I93" s="142" t="str">
        <f>IFERROR(VLOOKUP(T_Commission[[#This Row],[NumL]],T_TraitDi[#Data],COLUMN(T_TraitDi[[#This Row],[CTRL_PJ]]),FALSE),"")</f>
        <v/>
      </c>
      <c r="J93" s="142" t="str">
        <f>IF(C93&lt;&gt;"",IFERROR(VLOOKUP(A93,'2- Traitement des DI'!BV32,FALSE),""),"")</f>
        <v/>
      </c>
      <c r="K93" s="142" t="str">
        <f>IFERROR(IF(VLOOKUP(T_Commission[[#This Row],[NumL]],T_suiviDi[#Data],COLUMN(T_suiviDi[[#This Row],[Avis n+1]]),FALSE)&lt;&gt;"",VLOOKUP(A93,T_suiviDi[#Data],COLUMN(T_suiviDi[[#This Row],[Avis n+1]]),FALSE),""),"")</f>
        <v/>
      </c>
      <c r="L93" s="142" t="str">
        <f>IFERROR(IF(VLOOKUP(A93,ListeDI,27,FALSE)&lt;&gt;"",VLOOKUP(A93,ListeDI,27,FALSE),""),"")</f>
        <v/>
      </c>
      <c r="M93" s="49">
        <v>1</v>
      </c>
      <c r="N93" s="49"/>
      <c r="O93" s="143" t="str">
        <f>IF(C93&lt;&gt;"",IF(N93&lt;&gt;"",MAX(I93,N93),IF(M93&lt;&gt;"",MAX(I93,M93),"")),"")</f>
        <v/>
      </c>
      <c r="P93" s="55" t="s">
        <v>115</v>
      </c>
      <c r="Q93" s="55" t="s">
        <v>3277</v>
      </c>
      <c r="R93" s="55" t="s">
        <v>3277</v>
      </c>
      <c r="S93" s="56"/>
      <c r="T93" s="144"/>
    </row>
    <row r="94" spans="1:20" s="93" customFormat="1" ht="30" customHeight="1" x14ac:dyDescent="0.25">
      <c r="A94" s="90">
        <v>164</v>
      </c>
      <c r="B94" s="130" t="str">
        <f>IFERROR(IF(VLOOKUP(T_Commission[[#This Row],[NumL]],T_TraitDi[#Data],COLUMN(T_TraitDi[[#This Row],[Statut]]),FALSE)&lt;&gt;"",VLOOKUP(T_Commission[[#This Row],[NumL]],T_TraitDi[#Data],COLUMN(T_TraitDi[[#This Row],[Statut]]),FALSE),""),"")</f>
        <v/>
      </c>
      <c r="C94" s="19" t="str">
        <f>IFERROR(IF(VLOOKUP(T_Commission[[#This Row],[NumL]],T_suiviDi[#Data],COLUMN(T_suiviDi[Nom]),FALSE)&lt;&gt;"",VLOOKUP(T_Commission[[#This Row],[NumL]],T_suiviDi[#Data],COLUMN(T_suiviDi[Nom]),FALSE),""),"")</f>
        <v/>
      </c>
      <c r="D94" s="19" t="str">
        <f>IFERROR(IF(VLOOKUP(T_Commission[[#This Row],[NumL]],T_suiviDi[#Data],COLUMN(T_suiviDi[Prénom]),FALSE)&lt;&gt;"",VLOOKUP(T_Commission[[#This Row],[NumL]],T_suiviDi[#Data],COLUMN(T_suiviDi[Prénom]),FALSE),""),"")</f>
        <v/>
      </c>
      <c r="E94" s="20" t="str">
        <f>IFERROR(IF(VLOOKUP(T_Commission[[#This Row],[NumL]],T_suiviDi[#Data],COLUMN(T_suiviDi[Email]),FALSE)&lt;&gt;"",VLOOKUP(T_Commission[[#This Row],[NumL]],T_suiviDi[#Data],COLUMN(T_suiviDi[Email]),FALSE),""),"")</f>
        <v/>
      </c>
      <c r="F94" s="274" t="str">
        <f>IFERROR(IF(VLOOKUP(T_Commission[[#This Row],[NumL]],T_suiviDi[#Data],COLUMN(T_suiviDi[[#This Row],[Nom1]]),FALSE)&lt;&gt;"",VLOOKUP(T_Commission[[#This Row],[NumL]],T_suiviDi[#Data],COLUMN(T_suiviDi[[#This Row],[Nom1]]),FALSE),""),"")</f>
        <v/>
      </c>
      <c r="G94" s="274" t="str">
        <f>IFERROR(IF(VLOOKUP(T_Commission[[#This Row],[NumL]],T_suiviDi[#Data],COLUMN(T_suiviDi[[#This Row],[Prénom1]]),FALSE)&lt;&gt;"",VLOOKUP(T_Commission[[#This Row],[NumL]],T_suiviDi[#Data],COLUMN(T_suiviDi[[#This Row],[Prénom1]]),FALSE),""),"")</f>
        <v/>
      </c>
      <c r="H94" s="274" t="str">
        <f>IFERROR(IF(VLOOKUP(T_Commission[[#This Row],[NumL]],T_suiviDi[#Data],COLUMN(T_suiviDi[[#This Row],[Email1]]),FALSE)&lt;&gt;"",VLOOKUP(T_Commission[[#This Row],[NumL]],T_suiviDi[#Data],COLUMN(T_suiviDi[[#This Row],[Email1]]),FALSE),""),"")</f>
        <v/>
      </c>
      <c r="I94" s="142" t="str">
        <f>IFERROR(VLOOKUP(T_Commission[[#This Row],[NumL]],T_TraitDi[#Data],COLUMN(T_TraitDi[[#This Row],[CTRL_PJ]]),FALSE),"")</f>
        <v/>
      </c>
      <c r="J94" s="142" t="str">
        <f>IF(T_Commission[[#This Row],[Nom]]&lt;&gt;"",IFERROR(VLOOKUP(T_Commission[[#This Row],[NumL]],T_TraitDi[#Data],COLUMN(T_TraitDi[[#This Row],[C10]]),FALSE),""),"")</f>
        <v/>
      </c>
      <c r="K94" s="142" t="str">
        <f>IFERROR(IF(VLOOKUP(T_Commission[[#This Row],[NumL]],T_suiviDi[#Data],COLUMN(T_suiviDi[[#This Row],[Avis n+1]]),FALSE)&lt;&gt;"",VLOOKUP(A94,T_suiviDi[#Data],COLUMN(T_suiviDi[[#This Row],[Avis n+1]]),FALSE),""),"")</f>
        <v/>
      </c>
      <c r="L94" s="142" t="str">
        <f>IFERROR(IF(VLOOKUP(T_Commission[[#This Row],[NumL]],T_suiviDi[#Data],COLUMN(T_suiviDi[[#This Row],[Avis n+2]]),FALSE)&lt;&gt;"",VLOOKUP(T_Commission[[#This Row],[NumL]],T_suiviDi[#Data],COLUMN(T_suiviDi[[#This Row],[Avis n+2]]),FALSE),""),"")</f>
        <v/>
      </c>
      <c r="M94" s="49">
        <v>1</v>
      </c>
      <c r="N94" s="49"/>
      <c r="O94" s="143" t="str">
        <f>IF(T_Commission[[#This Row],[Nom]]&lt;&gt;"",IF(T_Commission[[#This Row],[COM '#2]]&lt;&gt;"",MAX(T_Commission[[#This Row],[PJ]],T_Commission[[#This Row],[COM '#2]]),IF(T_Commission[[#This Row],[COM '#1]]&lt;&gt;"",MAX(T_Commission[[#This Row],[PJ]],T_Commission[[#This Row],[COM '#1]]),"")),"")</f>
        <v/>
      </c>
      <c r="P94" s="55" t="s">
        <v>115</v>
      </c>
      <c r="Q94" s="55" t="s">
        <v>3277</v>
      </c>
      <c r="R94" s="55" t="s">
        <v>3277</v>
      </c>
      <c r="S94" s="56"/>
      <c r="T94" s="144"/>
    </row>
    <row r="95" spans="1:20" s="93" customFormat="1" ht="30" customHeight="1" x14ac:dyDescent="0.25">
      <c r="A95" s="90">
        <v>248</v>
      </c>
      <c r="B95" s="130" t="str">
        <f>IFERROR(IF(VLOOKUP(T_Commission[[#This Row],[NumL]],T_TraitDi[#Data],COLUMN(T_TraitDi[[#This Row],[Statut]]),FALSE)&lt;&gt;"",VLOOKUP(T_Commission[[#This Row],[NumL]],T_TraitDi[#Data],COLUMN(T_TraitDi[[#This Row],[Statut]]),FALSE),""),"")</f>
        <v/>
      </c>
      <c r="C95" s="19" t="str">
        <f>IFERROR(IF(VLOOKUP(T_Commission[[#This Row],[NumL]],T_suiviDi[#Data],COLUMN(T_suiviDi[Nom]),FALSE)&lt;&gt;"",VLOOKUP(T_Commission[[#This Row],[NumL]],T_suiviDi[#Data],COLUMN(T_suiviDi[Nom]),FALSE),""),"")</f>
        <v/>
      </c>
      <c r="D95" s="19" t="str">
        <f>IFERROR(IF(VLOOKUP(T_Commission[[#This Row],[NumL]],T_suiviDi[#Data],COLUMN(T_suiviDi[Prénom]),FALSE)&lt;&gt;"",VLOOKUP(T_Commission[[#This Row],[NumL]],T_suiviDi[#Data],COLUMN(T_suiviDi[Prénom]),FALSE),""),"")</f>
        <v/>
      </c>
      <c r="E95" s="20" t="str">
        <f>IFERROR(IF(VLOOKUP(T_Commission[[#This Row],[NumL]],T_suiviDi[#Data],COLUMN(T_suiviDi[Email]),FALSE)&lt;&gt;"",VLOOKUP(T_Commission[[#This Row],[NumL]],T_suiviDi[#Data],COLUMN(T_suiviDi[Email]),FALSE),""),"")</f>
        <v/>
      </c>
      <c r="F95" s="274" t="str">
        <f>IFERROR(IF(VLOOKUP(T_Commission[[#This Row],[NumL]],T_suiviDi[#Data],COLUMN(T_suiviDi[[#This Row],[Nom1]]),FALSE)&lt;&gt;"",VLOOKUP(T_Commission[[#This Row],[NumL]],T_suiviDi[#Data],COLUMN(T_suiviDi[[#This Row],[Nom1]]),FALSE),""),"")</f>
        <v/>
      </c>
      <c r="G95" s="274" t="str">
        <f>IFERROR(IF(VLOOKUP(T_Commission[[#This Row],[NumL]],T_suiviDi[#Data],COLUMN(T_suiviDi[[#This Row],[Prénom1]]),FALSE)&lt;&gt;"",VLOOKUP(T_Commission[[#This Row],[NumL]],T_suiviDi[#Data],COLUMN(T_suiviDi[[#This Row],[Prénom1]]),FALSE),""),"")</f>
        <v/>
      </c>
      <c r="H95" s="274" t="str">
        <f>IFERROR(IF(VLOOKUP(T_Commission[[#This Row],[NumL]],T_suiviDi[#Data],COLUMN(T_suiviDi[[#This Row],[Email1]]),FALSE)&lt;&gt;"",VLOOKUP(T_Commission[[#This Row],[NumL]],T_suiviDi[#Data],COLUMN(T_suiviDi[[#This Row],[Email1]]),FALSE),""),"")</f>
        <v/>
      </c>
      <c r="I95" s="142" t="str">
        <f>IFERROR(VLOOKUP(T_Commission[[#This Row],[NumL]],T_TraitDi[#Data],COLUMN(T_TraitDi[[#This Row],[CTRL_PJ]]),FALSE),"")</f>
        <v/>
      </c>
      <c r="J95" s="142" t="str">
        <f>IF(T_Commission[[#This Row],[Nom]]&lt;&gt;"",IFERROR(VLOOKUP(T_Commission[[#This Row],[NumL]],T_TraitDi[#Data],COLUMN(T_TraitDi[[#This Row],[C10]]),FALSE),""),"")</f>
        <v/>
      </c>
      <c r="K95" s="142" t="str">
        <f>IFERROR(IF(VLOOKUP(T_Commission[[#This Row],[NumL]],T_suiviDi[#Data],COLUMN(T_suiviDi[[#This Row],[Avis n+1]]),FALSE)&lt;&gt;"",VLOOKUP(A95,T_suiviDi[#Data],COLUMN(T_suiviDi[[#This Row],[Avis n+1]]),FALSE),""),"")</f>
        <v/>
      </c>
      <c r="L95" s="142" t="str">
        <f>IFERROR(IF(VLOOKUP(T_Commission[[#This Row],[NumL]],T_suiviDi[#Data],COLUMN(T_suiviDi[[#This Row],[Avis n+2]]),FALSE)&lt;&gt;"",VLOOKUP(T_Commission[[#This Row],[NumL]],T_suiviDi[#Data],COLUMN(T_suiviDi[[#This Row],[Avis n+2]]),FALSE),""),"")</f>
        <v/>
      </c>
      <c r="M95" s="49">
        <v>1</v>
      </c>
      <c r="N95" s="49"/>
      <c r="O95" s="143" t="str">
        <f>IF(T_Commission[[#This Row],[Nom]]&lt;&gt;"",IF(T_Commission[[#This Row],[COM '#2]]&lt;&gt;"",MAX(T_Commission[[#This Row],[PJ]],T_Commission[[#This Row],[COM '#2]]),IF(T_Commission[[#This Row],[COM '#1]]&lt;&gt;"",MAX(T_Commission[[#This Row],[PJ]],T_Commission[[#This Row],[COM '#1]]),"")),"")</f>
        <v/>
      </c>
      <c r="P95" s="55" t="s">
        <v>115</v>
      </c>
      <c r="Q95" s="55" t="s">
        <v>3277</v>
      </c>
      <c r="R95" s="55" t="s">
        <v>3277</v>
      </c>
      <c r="S95" s="56"/>
      <c r="T95" s="144"/>
    </row>
    <row r="96" spans="1:20" s="93" customFormat="1" ht="30" customHeight="1" x14ac:dyDescent="0.25">
      <c r="A96" s="90">
        <v>266</v>
      </c>
      <c r="B96" s="130" t="str">
        <f>IFERROR(IF(VLOOKUP(T_Commission[[#This Row],[NumL]],T_TraitDi[#Data],COLUMN(T_TraitDi[[#This Row],[Statut]]),FALSE)&lt;&gt;"",VLOOKUP(T_Commission[[#This Row],[NumL]],T_TraitDi[#Data],COLUMN(T_TraitDi[[#This Row],[Statut]]),FALSE),""),"")</f>
        <v/>
      </c>
      <c r="C96" s="19" t="str">
        <f>IFERROR(IF(VLOOKUP(T_Commission[[#This Row],[NumL]],T_suiviDi[#Data],COLUMN(T_suiviDi[Nom]),FALSE)&lt;&gt;"",VLOOKUP(T_Commission[[#This Row],[NumL]],T_suiviDi[#Data],COLUMN(T_suiviDi[Nom]),FALSE),""),"")</f>
        <v/>
      </c>
      <c r="D96" s="19" t="str">
        <f>IFERROR(IF(VLOOKUP(T_Commission[[#This Row],[NumL]],T_suiviDi[#Data],COLUMN(T_suiviDi[Prénom]),FALSE)&lt;&gt;"",VLOOKUP(T_Commission[[#This Row],[NumL]],T_suiviDi[#Data],COLUMN(T_suiviDi[Prénom]),FALSE),""),"")</f>
        <v/>
      </c>
      <c r="E96" s="20" t="str">
        <f>IFERROR(IF(VLOOKUP(T_Commission[[#This Row],[NumL]],T_suiviDi[#Data],COLUMN(T_suiviDi[Email]),FALSE)&lt;&gt;"",VLOOKUP(T_Commission[[#This Row],[NumL]],T_suiviDi[#Data],COLUMN(T_suiviDi[Email]),FALSE),""),"")</f>
        <v/>
      </c>
      <c r="F96" s="274" t="str">
        <f>IFERROR(IF(VLOOKUP(T_Commission[[#This Row],[NumL]],T_suiviDi[#Data],COLUMN(T_suiviDi[[#This Row],[Nom1]]),FALSE)&lt;&gt;"",VLOOKUP(T_Commission[[#This Row],[NumL]],T_suiviDi[#Data],COLUMN(T_suiviDi[[#This Row],[Nom1]]),FALSE),""),"")</f>
        <v/>
      </c>
      <c r="G96" s="274" t="str">
        <f>IFERROR(IF(VLOOKUP(T_Commission[[#This Row],[NumL]],T_suiviDi[#Data],COLUMN(T_suiviDi[[#This Row],[Prénom1]]),FALSE)&lt;&gt;"",VLOOKUP(T_Commission[[#This Row],[NumL]],T_suiviDi[#Data],COLUMN(T_suiviDi[[#This Row],[Prénom1]]),FALSE),""),"")</f>
        <v/>
      </c>
      <c r="H96" s="274" t="str">
        <f>IFERROR(IF(VLOOKUP(T_Commission[[#This Row],[NumL]],T_suiviDi[#Data],COLUMN(T_suiviDi[[#This Row],[Email1]]),FALSE)&lt;&gt;"",VLOOKUP(T_Commission[[#This Row],[NumL]],T_suiviDi[#Data],COLUMN(T_suiviDi[[#This Row],[Email1]]),FALSE),""),"")</f>
        <v/>
      </c>
      <c r="I96" s="142" t="str">
        <f>IFERROR(VLOOKUP(T_Commission[[#This Row],[NumL]],T_TraitDi[#Data],COLUMN(T_TraitDi[[#This Row],[CTRL_PJ]]),FALSE),"")</f>
        <v/>
      </c>
      <c r="J96" s="142" t="str">
        <f>IF(T_Commission[[#This Row],[Nom]]&lt;&gt;"",IFERROR(VLOOKUP(T_Commission[[#This Row],[NumL]],T_TraitDi[#Data],COLUMN(T_TraitDi[[#This Row],[C10]]),FALSE),""),"")</f>
        <v/>
      </c>
      <c r="K96" s="142" t="str">
        <f>IFERROR(IF(VLOOKUP(T_Commission[[#This Row],[NumL]],T_suiviDi[#Data],COLUMN(T_suiviDi[[#This Row],[Avis n+1]]),FALSE)&lt;&gt;"",VLOOKUP(A96,T_suiviDi[#Data],COLUMN(T_suiviDi[[#This Row],[Avis n+1]]),FALSE),""),"")</f>
        <v/>
      </c>
      <c r="L96" s="142" t="str">
        <f>IFERROR(IF(VLOOKUP(T_Commission[[#This Row],[NumL]],T_suiviDi[#Data],COLUMN(T_suiviDi[[#This Row],[Avis n+2]]),FALSE)&lt;&gt;"",VLOOKUP(T_Commission[[#This Row],[NumL]],T_suiviDi[#Data],COLUMN(T_suiviDi[[#This Row],[Avis n+2]]),FALSE),""),"")</f>
        <v/>
      </c>
      <c r="M96" s="49">
        <v>1</v>
      </c>
      <c r="N96" s="49"/>
      <c r="O96" s="143" t="str">
        <f>IF(T_Commission[[#This Row],[Nom]]&lt;&gt;"",IF(T_Commission[[#This Row],[COM '#2]]&lt;&gt;"",MAX(T_Commission[[#This Row],[PJ]],T_Commission[[#This Row],[COM '#2]]),IF(T_Commission[[#This Row],[COM '#1]]&lt;&gt;"",MAX(T_Commission[[#This Row],[PJ]],T_Commission[[#This Row],[COM '#1]]),"")),"")</f>
        <v/>
      </c>
      <c r="P96" s="55" t="s">
        <v>115</v>
      </c>
      <c r="Q96" s="55" t="s">
        <v>3277</v>
      </c>
      <c r="R96" s="55"/>
      <c r="S96" s="56"/>
      <c r="T96" s="144"/>
    </row>
    <row r="97" spans="1:20" s="93" customFormat="1" ht="30" customHeight="1" x14ac:dyDescent="0.25">
      <c r="A97" s="90">
        <v>323</v>
      </c>
      <c r="B97" s="130" t="str">
        <f>IFERROR(IF(VLOOKUP(T_Commission[[#This Row],[NumL]],T_TraitDi[#Data],COLUMN(T_TraitDi[[#This Row],[Statut]]),FALSE)&lt;&gt;"",VLOOKUP(T_Commission[[#This Row],[NumL]],T_TraitDi[#Data],COLUMN(T_TraitDi[[#This Row],[Statut]]),FALSE),""),"")</f>
        <v/>
      </c>
      <c r="C97" s="139" t="str">
        <f>IFERROR(IF(VLOOKUP(T_Commission[[#This Row],[NumL]],T_suiviDi[#Data],COLUMN(T_suiviDi[[#This Row],[Nom]]),FALSE)&lt;&gt;"",VLOOKUP(T_Commission[[#This Row],[NumL]],T_suiviDi[#Data],COLUMN(T_suiviDi[[#This Row],[Nom]]),FALSE),""),"")</f>
        <v/>
      </c>
      <c r="D97" s="139" t="str">
        <f>IFERROR(IF(VLOOKUP(T_Commission[[#This Row],[NumL]],T_suiviDi[#Data],COLUMN(T_suiviDi[[#This Row],[Prénom]]),FALSE)&lt;&gt;"",VLOOKUP(T_Commission[[#This Row],[NumL]],T_suiviDi[#Data],COLUMN(T_suiviDi[[#This Row],[Prénom]]),FALSE),""),"")</f>
        <v/>
      </c>
      <c r="E97" s="140" t="str">
        <f>IFERROR(IF(VLOOKUP(T_Commission[[#This Row],[NumL]],T_suiviDi[#Data],COLUMN(T_suiviDi[[#This Row],[Email]]),FALSE)&lt;&gt;"",VLOOKUP(T_Commission[[#This Row],[NumL]],T_suiviDi[#Data],COLUMN(T_suiviDi[[#This Row],[Email]]),FALSE),""),"")</f>
        <v/>
      </c>
      <c r="F97" s="141" t="str">
        <f>IFERROR(IF(VLOOKUP(T_Commission[[#This Row],[NumL]],T_suiviDi[#Data],COLUMN(T_suiviDi[[#This Row],[Nom1]]),FALSE)&lt;&gt;"",VLOOKUP(T_Commission[[#This Row],[NumL]],T_suiviDi[#Data],COLUMN(T_suiviDi[[#This Row],[Nom1]]),FALSE),""),"")</f>
        <v/>
      </c>
      <c r="G97" s="141" t="str">
        <f>IFERROR(IF(VLOOKUP(T_Commission[[#This Row],[NumL]],T_suiviDi[#Data],COLUMN(T_suiviDi[[#This Row],[Prénom1]]),FALSE)&lt;&gt;"",VLOOKUP(T_Commission[[#This Row],[NumL]],T_suiviDi[#Data],COLUMN(T_suiviDi[[#This Row],[Prénom1]]),FALSE),""),"")</f>
        <v/>
      </c>
      <c r="H97" s="141" t="str">
        <f>IFERROR(IF(VLOOKUP(T_Commission[[#This Row],[NumL]],T_suiviDi[#Data],COLUMN(T_suiviDi[[#This Row],[Email1]]),FALSE)&lt;&gt;"",VLOOKUP(T_Commission[[#This Row],[NumL]],T_suiviDi[#Data],COLUMN(T_suiviDi[[#This Row],[Email1]]),FALSE),""),"")</f>
        <v/>
      </c>
      <c r="I97" s="142" t="str">
        <f>IFERROR(VLOOKUP(T_Commission[[#This Row],[NumL]],T_TraitDi[#Data],COLUMN(T_TraitDi[[#This Row],[CTRL_PJ]]),FALSE),"")</f>
        <v/>
      </c>
      <c r="J97" s="142" t="str">
        <f>IF(C97&lt;&gt;"",IFERROR(VLOOKUP(A97,'2- Traitement des DI'!BV32,FALSE),""),"")</f>
        <v/>
      </c>
      <c r="K97" s="142" t="str">
        <f>IFERROR(IF(VLOOKUP(T_Commission[[#This Row],[NumL]],T_suiviDi[#Data],COLUMN(T_suiviDi[[#This Row],[Avis n+1]]),FALSE)&lt;&gt;"",VLOOKUP(A97,T_suiviDi[#Data],COLUMN(T_suiviDi[[#This Row],[Avis n+1]]),FALSE),""),"")</f>
        <v/>
      </c>
      <c r="L97" s="142" t="str">
        <f>IFERROR(IF(VLOOKUP(A97,ListeDI,27,FALSE)&lt;&gt;"",VLOOKUP(A97,ListeDI,27,FALSE),""),"")</f>
        <v/>
      </c>
      <c r="M97" s="49">
        <v>1</v>
      </c>
      <c r="N97" s="49"/>
      <c r="O97" s="143" t="str">
        <f>IF(C97&lt;&gt;"",IF(N97&lt;&gt;"",MAX(I97,N97),IF(M97&lt;&gt;"",MAX(I97,M97),"")),"")</f>
        <v/>
      </c>
      <c r="P97" s="55" t="s">
        <v>115</v>
      </c>
      <c r="Q97" s="55" t="s">
        <v>3277</v>
      </c>
      <c r="R97" s="55" t="s">
        <v>3277</v>
      </c>
      <c r="S97" s="56"/>
      <c r="T97" s="144"/>
    </row>
    <row r="98" spans="1:20" s="93" customFormat="1" ht="30" customHeight="1" x14ac:dyDescent="0.25">
      <c r="A98" s="90">
        <v>90</v>
      </c>
      <c r="B98" s="130" t="str">
        <f>IFERROR(IF(VLOOKUP(T_Commission[[#This Row],[NumL]],T_TraitDi[#Data],COLUMN(T_TraitDi[[#This Row],[Statut]]),FALSE)&lt;&gt;"",VLOOKUP(T_Commission[[#This Row],[NumL]],T_TraitDi[#Data],COLUMN(T_TraitDi[[#This Row],[Statut]]),FALSE),""),"")</f>
        <v/>
      </c>
      <c r="C98" s="19" t="str">
        <f>IFERROR(IF(VLOOKUP(T_Commission[[#This Row],[NumL]],T_suiviDi[#Data],COLUMN(T_suiviDi[Nom]),FALSE)&lt;&gt;"",VLOOKUP(T_Commission[[#This Row],[NumL]],T_suiviDi[#Data],COLUMN(T_suiviDi[Nom]),FALSE),""),"")</f>
        <v/>
      </c>
      <c r="D98" s="19" t="str">
        <f>IFERROR(IF(VLOOKUP(T_Commission[[#This Row],[NumL]],T_suiviDi[#Data],COLUMN(T_suiviDi[Prénom]),FALSE)&lt;&gt;"",VLOOKUP(T_Commission[[#This Row],[NumL]],T_suiviDi[#Data],COLUMN(T_suiviDi[Prénom]),FALSE),""),"")</f>
        <v/>
      </c>
      <c r="E98" s="20" t="str">
        <f>IFERROR(IF(VLOOKUP(T_Commission[[#This Row],[NumL]],T_suiviDi[#Data],COLUMN(T_suiviDi[Email]),FALSE)&lt;&gt;"",VLOOKUP(T_Commission[[#This Row],[NumL]],T_suiviDi[#Data],COLUMN(T_suiviDi[Email]),FALSE),""),"")</f>
        <v/>
      </c>
      <c r="F98" s="274" t="str">
        <f>IFERROR(IF(VLOOKUP(T_Commission[[#This Row],[NumL]],T_suiviDi[#Data],COLUMN(T_suiviDi[[#This Row],[Nom1]]),FALSE)&lt;&gt;"",VLOOKUP(T_Commission[[#This Row],[NumL]],T_suiviDi[#Data],COLUMN(T_suiviDi[[#This Row],[Nom1]]),FALSE),""),"")</f>
        <v/>
      </c>
      <c r="G98" s="274" t="str">
        <f>IFERROR(IF(VLOOKUP(T_Commission[[#This Row],[NumL]],T_suiviDi[#Data],COLUMN(T_suiviDi[[#This Row],[Prénom1]]),FALSE)&lt;&gt;"",VLOOKUP(T_Commission[[#This Row],[NumL]],T_suiviDi[#Data],COLUMN(T_suiviDi[[#This Row],[Prénom1]]),FALSE),""),"")</f>
        <v/>
      </c>
      <c r="H98" s="274" t="str">
        <f>IFERROR(IF(VLOOKUP(T_Commission[[#This Row],[NumL]],T_suiviDi[#Data],COLUMN(T_suiviDi[[#This Row],[Email1]]),FALSE)&lt;&gt;"",VLOOKUP(T_Commission[[#This Row],[NumL]],T_suiviDi[#Data],COLUMN(T_suiviDi[[#This Row],[Email1]]),FALSE),""),"")</f>
        <v/>
      </c>
      <c r="I98" s="142" t="str">
        <f>IFERROR(VLOOKUP(T_Commission[[#This Row],[NumL]],T_TraitDi[#Data],COLUMN(T_TraitDi[[#This Row],[CTRL_PJ]]),FALSE),"")</f>
        <v/>
      </c>
      <c r="J98" s="142" t="str">
        <f>IF(T_Commission[[#This Row],[Nom]]&lt;&gt;"",IFERROR(VLOOKUP(T_Commission[[#This Row],[NumL]],T_TraitDi[#Data],COLUMN(T_TraitDi[[#This Row],[C10]]),FALSE),""),"")</f>
        <v/>
      </c>
      <c r="K98" s="142" t="str">
        <f>IFERROR(IF(VLOOKUP(T_Commission[[#This Row],[NumL]],T_suiviDi[#Data],COLUMN(T_suiviDi[[#This Row],[Avis n+1]]),FALSE)&lt;&gt;"",VLOOKUP(A98,T_suiviDi[#Data],COLUMN(T_suiviDi[[#This Row],[Avis n+1]]),FALSE),""),"")</f>
        <v/>
      </c>
      <c r="L98" s="142" t="str">
        <f>IFERROR(IF(VLOOKUP(T_Commission[[#This Row],[NumL]],T_suiviDi[#Data],COLUMN(T_suiviDi[[#This Row],[Avis n+2]]),FALSE)&lt;&gt;"",VLOOKUP(T_Commission[[#This Row],[NumL]],T_suiviDi[#Data],COLUMN(T_suiviDi[[#This Row],[Avis n+2]]),FALSE),""),"")</f>
        <v/>
      </c>
      <c r="M98" s="49">
        <v>1</v>
      </c>
      <c r="N98" s="49"/>
      <c r="O98" s="143" t="str">
        <f>IF(T_Commission[[#This Row],[Nom]]&lt;&gt;"",IF(T_Commission[[#This Row],[COM '#2]]&lt;&gt;"",MAX(T_Commission[[#This Row],[PJ]],T_Commission[[#This Row],[COM '#2]]),IF(T_Commission[[#This Row],[COM '#1]]&lt;&gt;"",MAX(T_Commission[[#This Row],[PJ]],T_Commission[[#This Row],[COM '#1]]),"")),"")</f>
        <v/>
      </c>
      <c r="P98" s="55" t="s">
        <v>115</v>
      </c>
      <c r="Q98" s="55" t="s">
        <v>3277</v>
      </c>
      <c r="R98" s="55" t="s">
        <v>3277</v>
      </c>
      <c r="S98" s="56"/>
      <c r="T98" s="144"/>
    </row>
    <row r="99" spans="1:20" s="93" customFormat="1" ht="30" customHeight="1" x14ac:dyDescent="0.25">
      <c r="A99" s="90">
        <v>54</v>
      </c>
      <c r="B99" s="130" t="str">
        <f>IFERROR(IF(VLOOKUP(T_Commission[[#This Row],[NumL]],T_TraitDi[#Data],COLUMN(T_TraitDi[[#This Row],[Statut]]),FALSE)&lt;&gt;"",VLOOKUP(T_Commission[[#This Row],[NumL]],T_TraitDi[#Data],COLUMN(T_TraitDi[[#This Row],[Statut]]),FALSE),""),"")</f>
        <v/>
      </c>
      <c r="C99" s="19" t="str">
        <f>IFERROR(IF(VLOOKUP(T_Commission[[#This Row],[NumL]],T_suiviDi[#Data],COLUMN(T_suiviDi[Nom]),FALSE)&lt;&gt;"",VLOOKUP(T_Commission[[#This Row],[NumL]],T_suiviDi[#Data],COLUMN(T_suiviDi[Nom]),FALSE),""),"")</f>
        <v/>
      </c>
      <c r="D99" s="19" t="str">
        <f>IFERROR(IF(VLOOKUP(T_Commission[[#This Row],[NumL]],T_suiviDi[#Data],COLUMN(T_suiviDi[Prénom]),FALSE)&lt;&gt;"",VLOOKUP(T_Commission[[#This Row],[NumL]],T_suiviDi[#Data],COLUMN(T_suiviDi[Prénom]),FALSE),""),"")</f>
        <v/>
      </c>
      <c r="E99" s="20" t="str">
        <f>IFERROR(IF(VLOOKUP(T_Commission[[#This Row],[NumL]],T_suiviDi[#Data],COLUMN(T_suiviDi[Email]),FALSE)&lt;&gt;"",VLOOKUP(T_Commission[[#This Row],[NumL]],T_suiviDi[#Data],COLUMN(T_suiviDi[Email]),FALSE),""),"")</f>
        <v/>
      </c>
      <c r="F99" s="274" t="str">
        <f>IFERROR(IF(VLOOKUP(T_Commission[[#This Row],[NumL]],T_suiviDi[#Data],COLUMN(T_suiviDi[[#This Row],[Nom1]]),FALSE)&lt;&gt;"",VLOOKUP(T_Commission[[#This Row],[NumL]],T_suiviDi[#Data],COLUMN(T_suiviDi[[#This Row],[Nom1]]),FALSE),""),"")</f>
        <v/>
      </c>
      <c r="G99" s="274" t="str">
        <f>IFERROR(IF(VLOOKUP(T_Commission[[#This Row],[NumL]],T_suiviDi[#Data],COLUMN(T_suiviDi[[#This Row],[Prénom1]]),FALSE)&lt;&gt;"",VLOOKUP(T_Commission[[#This Row],[NumL]],T_suiviDi[#Data],COLUMN(T_suiviDi[[#This Row],[Prénom1]]),FALSE),""),"")</f>
        <v/>
      </c>
      <c r="H99" s="274" t="str">
        <f>IFERROR(IF(VLOOKUP(T_Commission[[#This Row],[NumL]],T_suiviDi[#Data],COLUMN(T_suiviDi[[#This Row],[Email1]]),FALSE)&lt;&gt;"",VLOOKUP(T_Commission[[#This Row],[NumL]],T_suiviDi[#Data],COLUMN(T_suiviDi[[#This Row],[Email1]]),FALSE),""),"")</f>
        <v/>
      </c>
      <c r="I99" s="142" t="str">
        <f>IFERROR(VLOOKUP(T_Commission[[#This Row],[NumL]],T_TraitDi[#Data],COLUMN(T_TraitDi[[#This Row],[CTRL_PJ]]),FALSE),"")</f>
        <v/>
      </c>
      <c r="J99" s="142" t="str">
        <f>IF(T_Commission[[#This Row],[Nom]]&lt;&gt;"",IFERROR(VLOOKUP(T_Commission[[#This Row],[NumL]],T_TraitDi[#Data],COLUMN(T_TraitDi[[#This Row],[C10]]),FALSE),""),"")</f>
        <v/>
      </c>
      <c r="K99" s="142" t="str">
        <f>IFERROR(IF(VLOOKUP(T_Commission[[#This Row],[NumL]],T_suiviDi[#Data],COLUMN(T_suiviDi[[#This Row],[Avis n+1]]),FALSE)&lt;&gt;"",VLOOKUP(A99,T_suiviDi[#Data],COLUMN(T_suiviDi[[#This Row],[Avis n+1]]),FALSE),""),"")</f>
        <v/>
      </c>
      <c r="L99" s="142" t="str">
        <f>IFERROR(IF(VLOOKUP(T_Commission[[#This Row],[NumL]],T_suiviDi[#Data],COLUMN(T_suiviDi[[#This Row],[Avis n+2]]),FALSE)&lt;&gt;"",VLOOKUP(T_Commission[[#This Row],[NumL]],T_suiviDi[#Data],COLUMN(T_suiviDi[[#This Row],[Avis n+2]]),FALSE),""),"")</f>
        <v/>
      </c>
      <c r="M99" s="49">
        <v>1</v>
      </c>
      <c r="N99" s="49"/>
      <c r="O99" s="143" t="str">
        <f>IF(T_Commission[[#This Row],[Nom]]&lt;&gt;"",IF(T_Commission[[#This Row],[COM '#2]]&lt;&gt;"",MAX(T_Commission[[#This Row],[PJ]],T_Commission[[#This Row],[COM '#2]]),IF(T_Commission[[#This Row],[COM '#1]]&lt;&gt;"",MAX(T_Commission[[#This Row],[PJ]],T_Commission[[#This Row],[COM '#1]]),"")),"")</f>
        <v/>
      </c>
      <c r="P99" s="55" t="s">
        <v>115</v>
      </c>
      <c r="Q99" s="55" t="s">
        <v>3277</v>
      </c>
      <c r="R99" s="55"/>
      <c r="S99" s="56"/>
      <c r="T99" s="144"/>
    </row>
    <row r="100" spans="1:20" s="93" customFormat="1" ht="30" customHeight="1" x14ac:dyDescent="0.25">
      <c r="A100" s="90">
        <v>218</v>
      </c>
      <c r="B100" s="130" t="str">
        <f>IFERROR(IF(VLOOKUP(T_Commission[[#This Row],[NumL]],T_TraitDi[#Data],COLUMN(T_TraitDi[[#This Row],[Statut]]),FALSE)&lt;&gt;"",VLOOKUP(T_Commission[[#This Row],[NumL]],T_TraitDi[#Data],COLUMN(T_TraitDi[[#This Row],[Statut]]),FALSE),""),"")</f>
        <v/>
      </c>
      <c r="C100" s="19" t="str">
        <f>IFERROR(IF(VLOOKUP(T_Commission[[#This Row],[NumL]],T_suiviDi[#Data],COLUMN(T_suiviDi[Nom]),FALSE)&lt;&gt;"",VLOOKUP(T_Commission[[#This Row],[NumL]],T_suiviDi[#Data],COLUMN(T_suiviDi[Nom]),FALSE),""),"")</f>
        <v/>
      </c>
      <c r="D100" s="19" t="str">
        <f>IFERROR(IF(VLOOKUP(T_Commission[[#This Row],[NumL]],T_suiviDi[#Data],COLUMN(T_suiviDi[Prénom]),FALSE)&lt;&gt;"",VLOOKUP(T_Commission[[#This Row],[NumL]],T_suiviDi[#Data],COLUMN(T_suiviDi[Prénom]),FALSE),""),"")</f>
        <v/>
      </c>
      <c r="E100" s="20" t="str">
        <f>IFERROR(IF(VLOOKUP(T_Commission[[#This Row],[NumL]],T_suiviDi[#Data],COLUMN(T_suiviDi[Email]),FALSE)&lt;&gt;"",VLOOKUP(T_Commission[[#This Row],[NumL]],T_suiviDi[#Data],COLUMN(T_suiviDi[Email]),FALSE),""),"")</f>
        <v/>
      </c>
      <c r="F100" s="274" t="str">
        <f>IFERROR(IF(VLOOKUP(T_Commission[[#This Row],[NumL]],T_suiviDi[#Data],COLUMN(T_suiviDi[[#This Row],[Nom1]]),FALSE)&lt;&gt;"",VLOOKUP(T_Commission[[#This Row],[NumL]],T_suiviDi[#Data],COLUMN(T_suiviDi[[#This Row],[Nom1]]),FALSE),""),"")</f>
        <v/>
      </c>
      <c r="G100" s="274" t="str">
        <f>IFERROR(IF(VLOOKUP(T_Commission[[#This Row],[NumL]],T_suiviDi[#Data],COLUMN(T_suiviDi[[#This Row],[Prénom1]]),FALSE)&lt;&gt;"",VLOOKUP(T_Commission[[#This Row],[NumL]],T_suiviDi[#Data],COLUMN(T_suiviDi[[#This Row],[Prénom1]]),FALSE),""),"")</f>
        <v/>
      </c>
      <c r="H100" s="274" t="str">
        <f>IFERROR(IF(VLOOKUP(T_Commission[[#This Row],[NumL]],T_suiviDi[#Data],COLUMN(T_suiviDi[[#This Row],[Email1]]),FALSE)&lt;&gt;"",VLOOKUP(T_Commission[[#This Row],[NumL]],T_suiviDi[#Data],COLUMN(T_suiviDi[[#This Row],[Email1]]),FALSE),""),"")</f>
        <v/>
      </c>
      <c r="I100" s="142" t="str">
        <f>IFERROR(VLOOKUP(T_Commission[[#This Row],[NumL]],T_TraitDi[#Data],COLUMN(T_TraitDi[[#This Row],[CTRL_PJ]]),FALSE),"")</f>
        <v/>
      </c>
      <c r="J100" s="142" t="str">
        <f>IF(T_Commission[[#This Row],[Nom]]&lt;&gt;"",IFERROR(VLOOKUP(T_Commission[[#This Row],[NumL]],T_TraitDi[#Data],COLUMN(T_TraitDi[[#This Row],[C10]]),FALSE),""),"")</f>
        <v/>
      </c>
      <c r="K100" s="142" t="str">
        <f>IFERROR(IF(VLOOKUP(T_Commission[[#This Row],[NumL]],T_suiviDi[#Data],COLUMN(T_suiviDi[[#This Row],[Avis n+1]]),FALSE)&lt;&gt;"",VLOOKUP(A100,T_suiviDi[#Data],COLUMN(T_suiviDi[[#This Row],[Avis n+1]]),FALSE),""),"")</f>
        <v/>
      </c>
      <c r="L100" s="142" t="str">
        <f>IFERROR(IF(VLOOKUP(T_Commission[[#This Row],[NumL]],T_suiviDi[#Data],COLUMN(T_suiviDi[[#This Row],[Avis n+2]]),FALSE)&lt;&gt;"",VLOOKUP(T_Commission[[#This Row],[NumL]],T_suiviDi[#Data],COLUMN(T_suiviDi[[#This Row],[Avis n+2]]),FALSE),""),"")</f>
        <v/>
      </c>
      <c r="M100" s="49">
        <v>1</v>
      </c>
      <c r="N100" s="49"/>
      <c r="O100" s="143" t="str">
        <f>IF(T_Commission[[#This Row],[Nom]]&lt;&gt;"",IF(T_Commission[[#This Row],[COM '#2]]&lt;&gt;"",MAX(T_Commission[[#This Row],[PJ]],T_Commission[[#This Row],[COM '#2]]),IF(T_Commission[[#This Row],[COM '#1]]&lt;&gt;"",MAX(T_Commission[[#This Row],[PJ]],T_Commission[[#This Row],[COM '#1]]),"")),"")</f>
        <v/>
      </c>
      <c r="P100" s="55" t="s">
        <v>115</v>
      </c>
      <c r="Q100" s="55" t="s">
        <v>3277</v>
      </c>
      <c r="R100" s="55" t="s">
        <v>3277</v>
      </c>
      <c r="S100" s="56"/>
      <c r="T100" s="144"/>
    </row>
    <row r="101" spans="1:20" s="93" customFormat="1" ht="30" customHeight="1" x14ac:dyDescent="0.25">
      <c r="A101" s="90">
        <v>83</v>
      </c>
      <c r="B101" s="130" t="str">
        <f>IFERROR(IF(VLOOKUP(T_Commission[[#This Row],[NumL]],T_TraitDi[#Data],COLUMN(T_TraitDi[[#This Row],[Statut]]),FALSE)&lt;&gt;"",VLOOKUP(T_Commission[[#This Row],[NumL]],T_TraitDi[#Data],COLUMN(T_TraitDi[[#This Row],[Statut]]),FALSE),""),"")</f>
        <v/>
      </c>
      <c r="C101" s="19" t="str">
        <f>IFERROR(IF(VLOOKUP(T_Commission[[#This Row],[NumL]],T_suiviDi[#Data],COLUMN(T_suiviDi[Nom]),FALSE)&lt;&gt;"",VLOOKUP(T_Commission[[#This Row],[NumL]],T_suiviDi[#Data],COLUMN(T_suiviDi[Nom]),FALSE),""),"")</f>
        <v/>
      </c>
      <c r="D101" s="19" t="str">
        <f>IFERROR(IF(VLOOKUP(T_Commission[[#This Row],[NumL]],T_suiviDi[#Data],COLUMN(T_suiviDi[Prénom]),FALSE)&lt;&gt;"",VLOOKUP(T_Commission[[#This Row],[NumL]],T_suiviDi[#Data],COLUMN(T_suiviDi[Prénom]),FALSE),""),"")</f>
        <v/>
      </c>
      <c r="E101" s="20" t="str">
        <f>IFERROR(IF(VLOOKUP(T_Commission[[#This Row],[NumL]],T_suiviDi[#Data],COLUMN(T_suiviDi[Email]),FALSE)&lt;&gt;"",VLOOKUP(T_Commission[[#This Row],[NumL]],T_suiviDi[#Data],COLUMN(T_suiviDi[Email]),FALSE),""),"")</f>
        <v/>
      </c>
      <c r="F101" s="274" t="str">
        <f>IFERROR(IF(VLOOKUP(T_Commission[[#This Row],[NumL]],T_suiviDi[#Data],COLUMN(T_suiviDi[[#This Row],[Nom1]]),FALSE)&lt;&gt;"",VLOOKUP(T_Commission[[#This Row],[NumL]],T_suiviDi[#Data],COLUMN(T_suiviDi[[#This Row],[Nom1]]),FALSE),""),"")</f>
        <v/>
      </c>
      <c r="G101" s="274" t="str">
        <f>IFERROR(IF(VLOOKUP(T_Commission[[#This Row],[NumL]],T_suiviDi[#Data],COLUMN(T_suiviDi[[#This Row],[Prénom1]]),FALSE)&lt;&gt;"",VLOOKUP(T_Commission[[#This Row],[NumL]],T_suiviDi[#Data],COLUMN(T_suiviDi[[#This Row],[Prénom1]]),FALSE),""),"")</f>
        <v/>
      </c>
      <c r="H101" s="274" t="str">
        <f>IFERROR(IF(VLOOKUP(T_Commission[[#This Row],[NumL]],T_suiviDi[#Data],COLUMN(T_suiviDi[[#This Row],[Email1]]),FALSE)&lt;&gt;"",VLOOKUP(T_Commission[[#This Row],[NumL]],T_suiviDi[#Data],COLUMN(T_suiviDi[[#This Row],[Email1]]),FALSE),""),"")</f>
        <v/>
      </c>
      <c r="I101" s="142" t="str">
        <f>IFERROR(VLOOKUP(T_Commission[[#This Row],[NumL]],T_TraitDi[#Data],COLUMN(T_TraitDi[[#This Row],[CTRL_PJ]]),FALSE),"")</f>
        <v/>
      </c>
      <c r="J101" s="142" t="str">
        <f>IF(T_Commission[[#This Row],[Nom]]&lt;&gt;"",IFERROR(VLOOKUP(T_Commission[[#This Row],[NumL]],T_TraitDi[#Data],COLUMN(T_TraitDi[[#This Row],[C10]]),FALSE),""),"")</f>
        <v/>
      </c>
      <c r="K101" s="142" t="str">
        <f>IFERROR(IF(VLOOKUP(T_Commission[[#This Row],[NumL]],T_suiviDi[#Data],COLUMN(T_suiviDi[[#This Row],[Avis n+1]]),FALSE)&lt;&gt;"",VLOOKUP(A101,T_suiviDi[#Data],COLUMN(T_suiviDi[[#This Row],[Avis n+1]]),FALSE),""),"")</f>
        <v/>
      </c>
      <c r="L101" s="142" t="str">
        <f>IFERROR(IF(VLOOKUP(T_Commission[[#This Row],[NumL]],T_suiviDi[#Data],COLUMN(T_suiviDi[[#This Row],[Avis n+2]]),FALSE)&lt;&gt;"",VLOOKUP(T_Commission[[#This Row],[NumL]],T_suiviDi[#Data],COLUMN(T_suiviDi[[#This Row],[Avis n+2]]),FALSE),""),"")</f>
        <v/>
      </c>
      <c r="M101" s="49">
        <v>1</v>
      </c>
      <c r="N101" s="49"/>
      <c r="O101" s="143" t="str">
        <f>IF(T_Commission[[#This Row],[Nom]]&lt;&gt;"",IF(T_Commission[[#This Row],[COM '#2]]&lt;&gt;"",MAX(T_Commission[[#This Row],[PJ]],T_Commission[[#This Row],[COM '#2]]),IF(T_Commission[[#This Row],[COM '#1]]&lt;&gt;"",MAX(T_Commission[[#This Row],[PJ]],T_Commission[[#This Row],[COM '#1]]),"")),"")</f>
        <v/>
      </c>
      <c r="P101" s="55" t="s">
        <v>115</v>
      </c>
      <c r="Q101" s="55" t="s">
        <v>3277</v>
      </c>
      <c r="R101" s="55" t="s">
        <v>3277</v>
      </c>
      <c r="S101" s="56"/>
      <c r="T101" s="144"/>
    </row>
    <row r="102" spans="1:20" s="93" customFormat="1" ht="30" customHeight="1" x14ac:dyDescent="0.25">
      <c r="A102" s="90">
        <v>209</v>
      </c>
      <c r="B102" s="130" t="str">
        <f>IFERROR(IF(VLOOKUP(T_Commission[[#This Row],[NumL]],T_TraitDi[#Data],COLUMN(T_TraitDi[[#This Row],[Statut]]),FALSE)&lt;&gt;"",VLOOKUP(T_Commission[[#This Row],[NumL]],T_TraitDi[#Data],COLUMN(T_TraitDi[[#This Row],[Statut]]),FALSE),""),"")</f>
        <v/>
      </c>
      <c r="C102" s="19" t="str">
        <f>IFERROR(IF(VLOOKUP(T_Commission[[#This Row],[NumL]],T_suiviDi[#Data],COLUMN(T_suiviDi[Nom]),FALSE)&lt;&gt;"",VLOOKUP(T_Commission[[#This Row],[NumL]],T_suiviDi[#Data],COLUMN(T_suiviDi[Nom]),FALSE),""),"")</f>
        <v/>
      </c>
      <c r="D102" s="19" t="str">
        <f>IFERROR(IF(VLOOKUP(T_Commission[[#This Row],[NumL]],T_suiviDi[#Data],COLUMN(T_suiviDi[Prénom]),FALSE)&lt;&gt;"",VLOOKUP(T_Commission[[#This Row],[NumL]],T_suiviDi[#Data],COLUMN(T_suiviDi[Prénom]),FALSE),""),"")</f>
        <v/>
      </c>
      <c r="E102" s="20" t="str">
        <f>IFERROR(IF(VLOOKUP(T_Commission[[#This Row],[NumL]],T_suiviDi[#Data],COLUMN(T_suiviDi[Email]),FALSE)&lt;&gt;"",VLOOKUP(T_Commission[[#This Row],[NumL]],T_suiviDi[#Data],COLUMN(T_suiviDi[Email]),FALSE),""),"")</f>
        <v/>
      </c>
      <c r="F102" s="274" t="str">
        <f>IFERROR(IF(VLOOKUP(T_Commission[[#This Row],[NumL]],T_suiviDi[#Data],COLUMN(T_suiviDi[[#This Row],[Nom1]]),FALSE)&lt;&gt;"",VLOOKUP(T_Commission[[#This Row],[NumL]],T_suiviDi[#Data],COLUMN(T_suiviDi[[#This Row],[Nom1]]),FALSE),""),"")</f>
        <v/>
      </c>
      <c r="G102" s="274" t="str">
        <f>IFERROR(IF(VLOOKUP(T_Commission[[#This Row],[NumL]],T_suiviDi[#Data],COLUMN(T_suiviDi[[#This Row],[Prénom1]]),FALSE)&lt;&gt;"",VLOOKUP(T_Commission[[#This Row],[NumL]],T_suiviDi[#Data],COLUMN(T_suiviDi[[#This Row],[Prénom1]]),FALSE),""),"")</f>
        <v/>
      </c>
      <c r="H102" s="274" t="str">
        <f>IFERROR(IF(VLOOKUP(T_Commission[[#This Row],[NumL]],T_suiviDi[#Data],COLUMN(T_suiviDi[[#This Row],[Email1]]),FALSE)&lt;&gt;"",VLOOKUP(T_Commission[[#This Row],[NumL]],T_suiviDi[#Data],COLUMN(T_suiviDi[[#This Row],[Email1]]),FALSE),""),"")</f>
        <v/>
      </c>
      <c r="I102" s="142" t="str">
        <f>IFERROR(VLOOKUP(T_Commission[[#This Row],[NumL]],T_TraitDi[#Data],COLUMN(T_TraitDi[[#This Row],[CTRL_PJ]]),FALSE),"")</f>
        <v/>
      </c>
      <c r="J102" s="142" t="str">
        <f>IF(T_Commission[[#This Row],[Nom]]&lt;&gt;"",IFERROR(VLOOKUP(T_Commission[[#This Row],[NumL]],T_TraitDi[#Data],COLUMN(T_TraitDi[[#This Row],[C10]]),FALSE),""),"")</f>
        <v/>
      </c>
      <c r="K102" s="142" t="str">
        <f>IFERROR(IF(VLOOKUP(T_Commission[[#This Row],[NumL]],T_suiviDi[#Data],COLUMN(T_suiviDi[[#This Row],[Avis n+1]]),FALSE)&lt;&gt;"",VLOOKUP(A102,T_suiviDi[#Data],COLUMN(T_suiviDi[[#This Row],[Avis n+1]]),FALSE),""),"")</f>
        <v/>
      </c>
      <c r="L102" s="142" t="str">
        <f>IFERROR(IF(VLOOKUP(T_Commission[[#This Row],[NumL]],T_suiviDi[#Data],COLUMN(T_suiviDi[[#This Row],[Avis n+2]]),FALSE)&lt;&gt;"",VLOOKUP(T_Commission[[#This Row],[NumL]],T_suiviDi[#Data],COLUMN(T_suiviDi[[#This Row],[Avis n+2]]),FALSE),""),"")</f>
        <v/>
      </c>
      <c r="M102" s="49">
        <v>1</v>
      </c>
      <c r="N102" s="49"/>
      <c r="O102" s="143" t="str">
        <f>IF(T_Commission[[#This Row],[Nom]]&lt;&gt;"",IF(T_Commission[[#This Row],[COM '#2]]&lt;&gt;"",MAX(T_Commission[[#This Row],[PJ]],T_Commission[[#This Row],[COM '#2]]),IF(T_Commission[[#This Row],[COM '#1]]&lt;&gt;"",MAX(T_Commission[[#This Row],[PJ]],T_Commission[[#This Row],[COM '#1]]),"")),"")</f>
        <v/>
      </c>
      <c r="P102" s="55" t="s">
        <v>115</v>
      </c>
      <c r="Q102" s="55" t="s">
        <v>3277</v>
      </c>
      <c r="R102" s="55" t="s">
        <v>3277</v>
      </c>
      <c r="S102" s="56"/>
      <c r="T102" s="144"/>
    </row>
    <row r="103" spans="1:20" s="93" customFormat="1" ht="30" customHeight="1" x14ac:dyDescent="0.25">
      <c r="A103" s="90">
        <v>162</v>
      </c>
      <c r="B103" s="130" t="str">
        <f>IFERROR(IF(VLOOKUP(T_Commission[[#This Row],[NumL]],T_TraitDi[#Data],COLUMN(T_TraitDi[[#This Row],[Statut]]),FALSE)&lt;&gt;"",VLOOKUP(T_Commission[[#This Row],[NumL]],T_TraitDi[#Data],COLUMN(T_TraitDi[[#This Row],[Statut]]),FALSE),""),"")</f>
        <v/>
      </c>
      <c r="C103" s="19" t="str">
        <f>IFERROR(IF(VLOOKUP(T_Commission[[#This Row],[NumL]],T_suiviDi[#Data],COLUMN(T_suiviDi[Nom]),FALSE)&lt;&gt;"",VLOOKUP(T_Commission[[#This Row],[NumL]],T_suiviDi[#Data],COLUMN(T_suiviDi[Nom]),FALSE),""),"")</f>
        <v/>
      </c>
      <c r="D103" s="19" t="str">
        <f>IFERROR(IF(VLOOKUP(T_Commission[[#This Row],[NumL]],T_suiviDi[#Data],COLUMN(T_suiviDi[Prénom]),FALSE)&lt;&gt;"",VLOOKUP(T_Commission[[#This Row],[NumL]],T_suiviDi[#Data],COLUMN(T_suiviDi[Prénom]),FALSE),""),"")</f>
        <v/>
      </c>
      <c r="E103" s="20" t="str">
        <f>IFERROR(IF(VLOOKUP(T_Commission[[#This Row],[NumL]],T_suiviDi[#Data],COLUMN(T_suiviDi[Email]),FALSE)&lt;&gt;"",VLOOKUP(T_Commission[[#This Row],[NumL]],T_suiviDi[#Data],COLUMN(T_suiviDi[Email]),FALSE),""),"")</f>
        <v/>
      </c>
      <c r="F103" s="274" t="str">
        <f>IFERROR(IF(VLOOKUP(T_Commission[[#This Row],[NumL]],T_suiviDi[#Data],COLUMN(T_suiviDi[[#This Row],[Nom1]]),FALSE)&lt;&gt;"",VLOOKUP(T_Commission[[#This Row],[NumL]],T_suiviDi[#Data],COLUMN(T_suiviDi[[#This Row],[Nom1]]),FALSE),""),"")</f>
        <v/>
      </c>
      <c r="G103" s="274" t="str">
        <f>IFERROR(IF(VLOOKUP(T_Commission[[#This Row],[NumL]],T_suiviDi[#Data],COLUMN(T_suiviDi[[#This Row],[Prénom1]]),FALSE)&lt;&gt;"",VLOOKUP(T_Commission[[#This Row],[NumL]],T_suiviDi[#Data],COLUMN(T_suiviDi[[#This Row],[Prénom1]]),FALSE),""),"")</f>
        <v/>
      </c>
      <c r="H103" s="274" t="str">
        <f>IFERROR(IF(VLOOKUP(T_Commission[[#This Row],[NumL]],T_suiviDi[#Data],COLUMN(T_suiviDi[[#This Row],[Email1]]),FALSE)&lt;&gt;"",VLOOKUP(T_Commission[[#This Row],[NumL]],T_suiviDi[#Data],COLUMN(T_suiviDi[[#This Row],[Email1]]),FALSE),""),"")</f>
        <v/>
      </c>
      <c r="I103" s="142" t="str">
        <f>IFERROR(VLOOKUP(T_Commission[[#This Row],[NumL]],T_TraitDi[#Data],COLUMN(T_TraitDi[[#This Row],[CTRL_PJ]]),FALSE),"")</f>
        <v/>
      </c>
      <c r="J103" s="142" t="str">
        <f>IF(T_Commission[[#This Row],[Nom]]&lt;&gt;"",IFERROR(VLOOKUP(T_Commission[[#This Row],[NumL]],T_TraitDi[#Data],COLUMN(T_TraitDi[[#This Row],[C10]]),FALSE),""),"")</f>
        <v/>
      </c>
      <c r="K103" s="142" t="str">
        <f>IFERROR(IF(VLOOKUP(T_Commission[[#This Row],[NumL]],T_suiviDi[#Data],COLUMN(T_suiviDi[[#This Row],[Avis n+1]]),FALSE)&lt;&gt;"",VLOOKUP(A103,T_suiviDi[#Data],COLUMN(T_suiviDi[[#This Row],[Avis n+1]]),FALSE),""),"")</f>
        <v/>
      </c>
      <c r="L103" s="142" t="str">
        <f>IFERROR(IF(VLOOKUP(T_Commission[[#This Row],[NumL]],T_suiviDi[#Data],COLUMN(T_suiviDi[[#This Row],[Avis n+2]]),FALSE)&lt;&gt;"",VLOOKUP(T_Commission[[#This Row],[NumL]],T_suiviDi[#Data],COLUMN(T_suiviDi[[#This Row],[Avis n+2]]),FALSE),""),"")</f>
        <v/>
      </c>
      <c r="M103" s="49">
        <v>1</v>
      </c>
      <c r="N103" s="49"/>
      <c r="O103" s="143" t="str">
        <f>IF(T_Commission[[#This Row],[Nom]]&lt;&gt;"",IF(T_Commission[[#This Row],[COM '#2]]&lt;&gt;"",MAX(T_Commission[[#This Row],[PJ]],T_Commission[[#This Row],[COM '#2]]),IF(T_Commission[[#This Row],[COM '#1]]&lt;&gt;"",MAX(T_Commission[[#This Row],[PJ]],T_Commission[[#This Row],[COM '#1]]),"")),"")</f>
        <v/>
      </c>
      <c r="P103" s="55" t="s">
        <v>115</v>
      </c>
      <c r="Q103" s="55" t="s">
        <v>3277</v>
      </c>
      <c r="R103" s="55"/>
      <c r="S103" s="56"/>
      <c r="T103" s="144"/>
    </row>
    <row r="104" spans="1:20" s="93" customFormat="1" ht="30" customHeight="1" x14ac:dyDescent="0.25">
      <c r="A104" s="90">
        <v>206</v>
      </c>
      <c r="B104" s="130" t="str">
        <f>IFERROR(IF(VLOOKUP(T_Commission[[#This Row],[NumL]],T_TraitDi[#Data],COLUMN(T_TraitDi[[#This Row],[Statut]]),FALSE)&lt;&gt;"",VLOOKUP(T_Commission[[#This Row],[NumL]],T_TraitDi[#Data],COLUMN(T_TraitDi[[#This Row],[Statut]]),FALSE),""),"")</f>
        <v/>
      </c>
      <c r="C104" s="19" t="str">
        <f>IFERROR(IF(VLOOKUP(T_Commission[[#This Row],[NumL]],T_suiviDi[#Data],COLUMN(T_suiviDi[Nom]),FALSE)&lt;&gt;"",VLOOKUP(T_Commission[[#This Row],[NumL]],T_suiviDi[#Data],COLUMN(T_suiviDi[Nom]),FALSE),""),"")</f>
        <v/>
      </c>
      <c r="D104" s="19" t="str">
        <f>IFERROR(IF(VLOOKUP(T_Commission[[#This Row],[NumL]],T_suiviDi[#Data],COLUMN(T_suiviDi[Prénom]),FALSE)&lt;&gt;"",VLOOKUP(T_Commission[[#This Row],[NumL]],T_suiviDi[#Data],COLUMN(T_suiviDi[Prénom]),FALSE),""),"")</f>
        <v/>
      </c>
      <c r="E104" s="20" t="str">
        <f>IFERROR(IF(VLOOKUP(T_Commission[[#This Row],[NumL]],T_suiviDi[#Data],COLUMN(T_suiviDi[Email]),FALSE)&lt;&gt;"",VLOOKUP(T_Commission[[#This Row],[NumL]],T_suiviDi[#Data],COLUMN(T_suiviDi[Email]),FALSE),""),"")</f>
        <v/>
      </c>
      <c r="F104" s="274" t="str">
        <f>IFERROR(IF(VLOOKUP(T_Commission[[#This Row],[NumL]],T_suiviDi[#Data],COLUMN(T_suiviDi[[#This Row],[Nom1]]),FALSE)&lt;&gt;"",VLOOKUP(T_Commission[[#This Row],[NumL]],T_suiviDi[#Data],COLUMN(T_suiviDi[[#This Row],[Nom1]]),FALSE),""),"")</f>
        <v/>
      </c>
      <c r="G104" s="274" t="str">
        <f>IFERROR(IF(VLOOKUP(T_Commission[[#This Row],[NumL]],T_suiviDi[#Data],COLUMN(T_suiviDi[[#This Row],[Prénom1]]),FALSE)&lt;&gt;"",VLOOKUP(T_Commission[[#This Row],[NumL]],T_suiviDi[#Data],COLUMN(T_suiviDi[[#This Row],[Prénom1]]),FALSE),""),"")</f>
        <v/>
      </c>
      <c r="H104" s="274" t="str">
        <f>IFERROR(IF(VLOOKUP(T_Commission[[#This Row],[NumL]],T_suiviDi[#Data],COLUMN(T_suiviDi[[#This Row],[Email1]]),FALSE)&lt;&gt;"",VLOOKUP(T_Commission[[#This Row],[NumL]],T_suiviDi[#Data],COLUMN(T_suiviDi[[#This Row],[Email1]]),FALSE),""),"")</f>
        <v/>
      </c>
      <c r="I104" s="142" t="str">
        <f>IFERROR(VLOOKUP(T_Commission[[#This Row],[NumL]],T_TraitDi[#Data],COLUMN(T_TraitDi[[#This Row],[CTRL_PJ]]),FALSE),"")</f>
        <v/>
      </c>
      <c r="J104" s="142" t="str">
        <f>IF(T_Commission[[#This Row],[Nom]]&lt;&gt;"",IFERROR(VLOOKUP(T_Commission[[#This Row],[NumL]],T_TraitDi[#Data],COLUMN(T_TraitDi[[#This Row],[C10]]),FALSE),""),"")</f>
        <v/>
      </c>
      <c r="K104" s="142" t="str">
        <f>IFERROR(IF(VLOOKUP(T_Commission[[#This Row],[NumL]],T_suiviDi[#Data],COLUMN(T_suiviDi[[#This Row],[Avis n+1]]),FALSE)&lt;&gt;"",VLOOKUP(A104,T_suiviDi[#Data],COLUMN(T_suiviDi[[#This Row],[Avis n+1]]),FALSE),""),"")</f>
        <v/>
      </c>
      <c r="L104" s="142" t="str">
        <f>IFERROR(IF(VLOOKUP(T_Commission[[#This Row],[NumL]],T_suiviDi[#Data],COLUMN(T_suiviDi[[#This Row],[Avis n+2]]),FALSE)&lt;&gt;"",VLOOKUP(T_Commission[[#This Row],[NumL]],T_suiviDi[#Data],COLUMN(T_suiviDi[[#This Row],[Avis n+2]]),FALSE),""),"")</f>
        <v/>
      </c>
      <c r="M104" s="49">
        <v>1</v>
      </c>
      <c r="N104" s="49"/>
      <c r="O104" s="143" t="str">
        <f>IF(T_Commission[[#This Row],[Nom]]&lt;&gt;"",IF(T_Commission[[#This Row],[COM '#2]]&lt;&gt;"",MAX(T_Commission[[#This Row],[PJ]],T_Commission[[#This Row],[COM '#2]]),IF(T_Commission[[#This Row],[COM '#1]]&lt;&gt;"",MAX(T_Commission[[#This Row],[PJ]],T_Commission[[#This Row],[COM '#1]]),"")),"")</f>
        <v/>
      </c>
      <c r="P104" s="55" t="s">
        <v>115</v>
      </c>
      <c r="Q104" s="55" t="s">
        <v>3277</v>
      </c>
      <c r="R104" s="55" t="s">
        <v>3277</v>
      </c>
      <c r="S104" s="56"/>
      <c r="T104" s="144"/>
    </row>
    <row r="105" spans="1:20" s="93" customFormat="1" ht="30" customHeight="1" x14ac:dyDescent="0.25">
      <c r="A105" s="90">
        <v>201</v>
      </c>
      <c r="B105" s="130" t="str">
        <f>IFERROR(IF(VLOOKUP(T_Commission[[#This Row],[NumL]],T_TraitDi[#Data],COLUMN(T_TraitDi[[#This Row],[Statut]]),FALSE)&lt;&gt;"",VLOOKUP(T_Commission[[#This Row],[NumL]],T_TraitDi[#Data],COLUMN(T_TraitDi[[#This Row],[Statut]]),FALSE),""),"")</f>
        <v/>
      </c>
      <c r="C105" s="19" t="str">
        <f>IFERROR(IF(VLOOKUP(T_Commission[[#This Row],[NumL]],T_suiviDi[#Data],COLUMN(T_suiviDi[Nom]),FALSE)&lt;&gt;"",VLOOKUP(T_Commission[[#This Row],[NumL]],T_suiviDi[#Data],COLUMN(T_suiviDi[Nom]),FALSE),""),"")</f>
        <v/>
      </c>
      <c r="D105" s="19" t="str">
        <f>IFERROR(IF(VLOOKUP(T_Commission[[#This Row],[NumL]],T_suiviDi[#Data],COLUMN(T_suiviDi[Prénom]),FALSE)&lt;&gt;"",VLOOKUP(T_Commission[[#This Row],[NumL]],T_suiviDi[#Data],COLUMN(T_suiviDi[Prénom]),FALSE),""),"")</f>
        <v/>
      </c>
      <c r="E105" s="20" t="str">
        <f>IFERROR(IF(VLOOKUP(T_Commission[[#This Row],[NumL]],T_suiviDi[#Data],COLUMN(T_suiviDi[Email]),FALSE)&lt;&gt;"",VLOOKUP(T_Commission[[#This Row],[NumL]],T_suiviDi[#Data],COLUMN(T_suiviDi[Email]),FALSE),""),"")</f>
        <v/>
      </c>
      <c r="F105" s="274" t="str">
        <f>IFERROR(IF(VLOOKUP(T_Commission[[#This Row],[NumL]],T_suiviDi[#Data],COLUMN(T_suiviDi[[#This Row],[Nom1]]),FALSE)&lt;&gt;"",VLOOKUP(T_Commission[[#This Row],[NumL]],T_suiviDi[#Data],COLUMN(T_suiviDi[[#This Row],[Nom1]]),FALSE),""),"")</f>
        <v/>
      </c>
      <c r="G105" s="274" t="str">
        <f>IFERROR(IF(VLOOKUP(T_Commission[[#This Row],[NumL]],T_suiviDi[#Data],COLUMN(T_suiviDi[[#This Row],[Prénom1]]),FALSE)&lt;&gt;"",VLOOKUP(T_Commission[[#This Row],[NumL]],T_suiviDi[#Data],COLUMN(T_suiviDi[[#This Row],[Prénom1]]),FALSE),""),"")</f>
        <v/>
      </c>
      <c r="H105" s="274" t="str">
        <f>IFERROR(IF(VLOOKUP(T_Commission[[#This Row],[NumL]],T_suiviDi[#Data],COLUMN(T_suiviDi[[#This Row],[Email1]]),FALSE)&lt;&gt;"",VLOOKUP(T_Commission[[#This Row],[NumL]],T_suiviDi[#Data],COLUMN(T_suiviDi[[#This Row],[Email1]]),FALSE),""),"")</f>
        <v/>
      </c>
      <c r="I105" s="142" t="str">
        <f>IFERROR(VLOOKUP(T_Commission[[#This Row],[NumL]],T_TraitDi[#Data],COLUMN(T_TraitDi[[#This Row],[CTRL_PJ]]),FALSE),"")</f>
        <v/>
      </c>
      <c r="J105" s="142" t="str">
        <f>IF(T_Commission[[#This Row],[Nom]]&lt;&gt;"",IFERROR(VLOOKUP(T_Commission[[#This Row],[NumL]],T_TraitDi[#Data],COLUMN(T_TraitDi[[#This Row],[C10]]),FALSE),""),"")</f>
        <v/>
      </c>
      <c r="K105" s="142" t="str">
        <f>IFERROR(IF(VLOOKUP(T_Commission[[#This Row],[NumL]],T_suiviDi[#Data],COLUMN(T_suiviDi[[#This Row],[Avis n+1]]),FALSE)&lt;&gt;"",VLOOKUP(A105,T_suiviDi[#Data],COLUMN(T_suiviDi[[#This Row],[Avis n+1]]),FALSE),""),"")</f>
        <v/>
      </c>
      <c r="L105" s="142" t="str">
        <f>IFERROR(IF(VLOOKUP(T_Commission[[#This Row],[NumL]],T_suiviDi[#Data],COLUMN(T_suiviDi[[#This Row],[Avis n+2]]),FALSE)&lt;&gt;"",VLOOKUP(T_Commission[[#This Row],[NumL]],T_suiviDi[#Data],COLUMN(T_suiviDi[[#This Row],[Avis n+2]]),FALSE),""),"")</f>
        <v/>
      </c>
      <c r="M105" s="49"/>
      <c r="N105" s="49"/>
      <c r="O105" s="143" t="str">
        <f>IF(T_Commission[[#This Row],[Nom]]&lt;&gt;"",IF(T_Commission[[#This Row],[COM '#2]]&lt;&gt;"",MAX(T_Commission[[#This Row],[PJ]],T_Commission[[#This Row],[COM '#2]]),IF(T_Commission[[#This Row],[COM '#1]]&lt;&gt;"",MAX(T_Commission[[#This Row],[PJ]],T_Commission[[#This Row],[COM '#1]]),"")),"")</f>
        <v/>
      </c>
      <c r="P105" s="55"/>
      <c r="Q105" s="55"/>
      <c r="R105" s="55"/>
      <c r="S105" s="56"/>
      <c r="T105" s="144"/>
    </row>
    <row r="106" spans="1:20" s="93" customFormat="1" ht="30" customHeight="1" x14ac:dyDescent="0.25">
      <c r="A106" s="90">
        <v>109</v>
      </c>
      <c r="B106" s="130" t="str">
        <f>IFERROR(IF(VLOOKUP(T_Commission[[#This Row],[NumL]],T_TraitDi[#Data],COLUMN(T_TraitDi[[#This Row],[Statut]]),FALSE)&lt;&gt;"",VLOOKUP(T_Commission[[#This Row],[NumL]],T_TraitDi[#Data],COLUMN(T_TraitDi[[#This Row],[Statut]]),FALSE),""),"")</f>
        <v/>
      </c>
      <c r="C106" s="19" t="str">
        <f>IFERROR(IF(VLOOKUP(T_Commission[[#This Row],[NumL]],T_suiviDi[#Data],COLUMN(T_suiviDi[Nom]),FALSE)&lt;&gt;"",VLOOKUP(T_Commission[[#This Row],[NumL]],T_suiviDi[#Data],COLUMN(T_suiviDi[Nom]),FALSE),""),"")</f>
        <v/>
      </c>
      <c r="D106" s="19" t="str">
        <f>IFERROR(IF(VLOOKUP(T_Commission[[#This Row],[NumL]],T_suiviDi[#Data],COLUMN(T_suiviDi[Prénom]),FALSE)&lt;&gt;"",VLOOKUP(T_Commission[[#This Row],[NumL]],T_suiviDi[#Data],COLUMN(T_suiviDi[Prénom]),FALSE),""),"")</f>
        <v/>
      </c>
      <c r="E106" s="20" t="str">
        <f>IFERROR(IF(VLOOKUP(T_Commission[[#This Row],[NumL]],T_suiviDi[#Data],COLUMN(T_suiviDi[Email]),FALSE)&lt;&gt;"",VLOOKUP(T_Commission[[#This Row],[NumL]],T_suiviDi[#Data],COLUMN(T_suiviDi[Email]),FALSE),""),"")</f>
        <v/>
      </c>
      <c r="F106" s="274" t="str">
        <f>IFERROR(IF(VLOOKUP(T_Commission[[#This Row],[NumL]],T_suiviDi[#Data],COLUMN(T_suiviDi[[#This Row],[Nom1]]),FALSE)&lt;&gt;"",VLOOKUP(T_Commission[[#This Row],[NumL]],T_suiviDi[#Data],COLUMN(T_suiviDi[[#This Row],[Nom1]]),FALSE),""),"")</f>
        <v/>
      </c>
      <c r="G106" s="274" t="str">
        <f>IFERROR(IF(VLOOKUP(T_Commission[[#This Row],[NumL]],T_suiviDi[#Data],COLUMN(T_suiviDi[[#This Row],[Prénom1]]),FALSE)&lt;&gt;"",VLOOKUP(T_Commission[[#This Row],[NumL]],T_suiviDi[#Data],COLUMN(T_suiviDi[[#This Row],[Prénom1]]),FALSE),""),"")</f>
        <v/>
      </c>
      <c r="H106" s="274" t="str">
        <f>IFERROR(IF(VLOOKUP(T_Commission[[#This Row],[NumL]],T_suiviDi[#Data],COLUMN(T_suiviDi[[#This Row],[Email1]]),FALSE)&lt;&gt;"",VLOOKUP(T_Commission[[#This Row],[NumL]],T_suiviDi[#Data],COLUMN(T_suiviDi[[#This Row],[Email1]]),FALSE),""),"")</f>
        <v/>
      </c>
      <c r="I106" s="142" t="str">
        <f>IFERROR(VLOOKUP(T_Commission[[#This Row],[NumL]],T_TraitDi[#Data],COLUMN(T_TraitDi[[#This Row],[CTRL_PJ]]),FALSE),"")</f>
        <v/>
      </c>
      <c r="J106" s="142" t="str">
        <f>IF(T_Commission[[#This Row],[Nom]]&lt;&gt;"",IFERROR(VLOOKUP(T_Commission[[#This Row],[NumL]],T_TraitDi[#Data],COLUMN(T_TraitDi[[#This Row],[C10]]),FALSE),""),"")</f>
        <v/>
      </c>
      <c r="K106" s="142" t="str">
        <f>IFERROR(IF(VLOOKUP(T_Commission[[#This Row],[NumL]],T_suiviDi[#Data],COLUMN(T_suiviDi[[#This Row],[Avis n+1]]),FALSE)&lt;&gt;"",VLOOKUP(A106,T_suiviDi[#Data],COLUMN(T_suiviDi[[#This Row],[Avis n+1]]),FALSE),""),"")</f>
        <v/>
      </c>
      <c r="L106" s="142" t="str">
        <f>IFERROR(IF(VLOOKUP(T_Commission[[#This Row],[NumL]],T_suiviDi[#Data],COLUMN(T_suiviDi[[#This Row],[Avis n+2]]),FALSE)&lt;&gt;"",VLOOKUP(T_Commission[[#This Row],[NumL]],T_suiviDi[#Data],COLUMN(T_suiviDi[[#This Row],[Avis n+2]]),FALSE),""),"")</f>
        <v/>
      </c>
      <c r="M106" s="49">
        <v>1</v>
      </c>
      <c r="N106" s="49"/>
      <c r="O106" s="143" t="str">
        <f>IF(T_Commission[[#This Row],[Nom]]&lt;&gt;"",IF(T_Commission[[#This Row],[COM '#2]]&lt;&gt;"",MAX(T_Commission[[#This Row],[PJ]],T_Commission[[#This Row],[COM '#2]]),IF(T_Commission[[#This Row],[COM '#1]]&lt;&gt;"",MAX(T_Commission[[#This Row],[PJ]],T_Commission[[#This Row],[COM '#1]]),"")),"")</f>
        <v/>
      </c>
      <c r="P106" s="55" t="s">
        <v>115</v>
      </c>
      <c r="Q106" s="55" t="s">
        <v>3277</v>
      </c>
      <c r="R106" s="55"/>
      <c r="S106" s="56"/>
      <c r="T106" s="144"/>
    </row>
    <row r="107" spans="1:20" s="93" customFormat="1" ht="30" customHeight="1" x14ac:dyDescent="0.25">
      <c r="A107" s="90">
        <v>216</v>
      </c>
      <c r="B107" s="130" t="str">
        <f>IFERROR(IF(VLOOKUP(T_Commission[[#This Row],[NumL]],T_TraitDi[#Data],COLUMN(T_TraitDi[[#This Row],[Statut]]),FALSE)&lt;&gt;"",VLOOKUP(T_Commission[[#This Row],[NumL]],T_TraitDi[#Data],COLUMN(T_TraitDi[[#This Row],[Statut]]),FALSE),""),"")</f>
        <v/>
      </c>
      <c r="C107" s="19" t="str">
        <f>IFERROR(IF(VLOOKUP(T_Commission[[#This Row],[NumL]],T_suiviDi[#Data],COLUMN(T_suiviDi[Nom]),FALSE)&lt;&gt;"",VLOOKUP(T_Commission[[#This Row],[NumL]],T_suiviDi[#Data],COLUMN(T_suiviDi[Nom]),FALSE),""),"")</f>
        <v/>
      </c>
      <c r="D107" s="19" t="str">
        <f>IFERROR(IF(VLOOKUP(T_Commission[[#This Row],[NumL]],T_suiviDi[#Data],COLUMN(T_suiviDi[Prénom]),FALSE)&lt;&gt;"",VLOOKUP(T_Commission[[#This Row],[NumL]],T_suiviDi[#Data],COLUMN(T_suiviDi[Prénom]),FALSE),""),"")</f>
        <v/>
      </c>
      <c r="E107" s="20" t="str">
        <f>IFERROR(IF(VLOOKUP(T_Commission[[#This Row],[NumL]],T_suiviDi[#Data],COLUMN(T_suiviDi[Email]),FALSE)&lt;&gt;"",VLOOKUP(T_Commission[[#This Row],[NumL]],T_suiviDi[#Data],COLUMN(T_suiviDi[Email]),FALSE),""),"")</f>
        <v/>
      </c>
      <c r="F107" s="274" t="str">
        <f>IFERROR(IF(VLOOKUP(T_Commission[[#This Row],[NumL]],T_suiviDi[#Data],COLUMN(T_suiviDi[[#This Row],[Nom1]]),FALSE)&lt;&gt;"",VLOOKUP(T_Commission[[#This Row],[NumL]],T_suiviDi[#Data],COLUMN(T_suiviDi[[#This Row],[Nom1]]),FALSE),""),"")</f>
        <v/>
      </c>
      <c r="G107" s="274" t="str">
        <f>IFERROR(IF(VLOOKUP(T_Commission[[#This Row],[NumL]],T_suiviDi[#Data],COLUMN(T_suiviDi[[#This Row],[Prénom1]]),FALSE)&lt;&gt;"",VLOOKUP(T_Commission[[#This Row],[NumL]],T_suiviDi[#Data],COLUMN(T_suiviDi[[#This Row],[Prénom1]]),FALSE),""),"")</f>
        <v/>
      </c>
      <c r="H107" s="274" t="str">
        <f>IFERROR(IF(VLOOKUP(T_Commission[[#This Row],[NumL]],T_suiviDi[#Data],COLUMN(T_suiviDi[[#This Row],[Email1]]),FALSE)&lt;&gt;"",VLOOKUP(T_Commission[[#This Row],[NumL]],T_suiviDi[#Data],COLUMN(T_suiviDi[[#This Row],[Email1]]),FALSE),""),"")</f>
        <v/>
      </c>
      <c r="I107" s="142" t="str">
        <f>IFERROR(VLOOKUP(T_Commission[[#This Row],[NumL]],T_TraitDi[#Data],COLUMN(T_TraitDi[[#This Row],[CTRL_PJ]]),FALSE),"")</f>
        <v/>
      </c>
      <c r="J107" s="142" t="str">
        <f>IF(T_Commission[[#This Row],[Nom]]&lt;&gt;"",IFERROR(VLOOKUP(T_Commission[[#This Row],[NumL]],T_TraitDi[#Data],COLUMN(T_TraitDi[[#This Row],[C10]]),FALSE),""),"")</f>
        <v/>
      </c>
      <c r="K107" s="142" t="str">
        <f>IFERROR(IF(VLOOKUP(T_Commission[[#This Row],[NumL]],T_suiviDi[#Data],COLUMN(T_suiviDi[[#This Row],[Avis n+1]]),FALSE)&lt;&gt;"",VLOOKUP(A107,T_suiviDi[#Data],COLUMN(T_suiviDi[[#This Row],[Avis n+1]]),FALSE),""),"")</f>
        <v/>
      </c>
      <c r="L107" s="142" t="str">
        <f>IFERROR(IF(VLOOKUP(T_Commission[[#This Row],[NumL]],T_suiviDi[#Data],COLUMN(T_suiviDi[[#This Row],[Avis n+2]]),FALSE)&lt;&gt;"",VLOOKUP(T_Commission[[#This Row],[NumL]],T_suiviDi[#Data],COLUMN(T_suiviDi[[#This Row],[Avis n+2]]),FALSE),""),"")</f>
        <v/>
      </c>
      <c r="M107" s="49">
        <v>1</v>
      </c>
      <c r="N107" s="49"/>
      <c r="O107" s="143" t="str">
        <f>IF(T_Commission[[#This Row],[Nom]]&lt;&gt;"",IF(T_Commission[[#This Row],[COM '#2]]&lt;&gt;"",MAX(T_Commission[[#This Row],[PJ]],T_Commission[[#This Row],[COM '#2]]),IF(T_Commission[[#This Row],[COM '#1]]&lt;&gt;"",MAX(T_Commission[[#This Row],[PJ]],T_Commission[[#This Row],[COM '#1]]),"")),"")</f>
        <v/>
      </c>
      <c r="P107" s="55" t="s">
        <v>115</v>
      </c>
      <c r="Q107" s="55" t="s">
        <v>3277</v>
      </c>
      <c r="R107" s="55" t="s">
        <v>3277</v>
      </c>
      <c r="S107" s="56"/>
      <c r="T107" s="144"/>
    </row>
    <row r="108" spans="1:20" s="93" customFormat="1" ht="30" customHeight="1" x14ac:dyDescent="0.25">
      <c r="A108" s="90">
        <v>188</v>
      </c>
      <c r="B108" s="130" t="str">
        <f>IFERROR(IF(VLOOKUP(T_Commission[[#This Row],[NumL]],T_TraitDi[#Data],COLUMN(T_TraitDi[[#This Row],[Statut]]),FALSE)&lt;&gt;"",VLOOKUP(T_Commission[[#This Row],[NumL]],T_TraitDi[#Data],COLUMN(T_TraitDi[[#This Row],[Statut]]),FALSE),""),"")</f>
        <v/>
      </c>
      <c r="C108" s="19" t="str">
        <f>IFERROR(IF(VLOOKUP(T_Commission[[#This Row],[NumL]],T_suiviDi[#Data],COLUMN(T_suiviDi[Nom]),FALSE)&lt;&gt;"",VLOOKUP(T_Commission[[#This Row],[NumL]],T_suiviDi[#Data],COLUMN(T_suiviDi[Nom]),FALSE),""),"")</f>
        <v/>
      </c>
      <c r="D108" s="19" t="str">
        <f>IFERROR(IF(VLOOKUP(T_Commission[[#This Row],[NumL]],T_suiviDi[#Data],COLUMN(T_suiviDi[Prénom]),FALSE)&lt;&gt;"",VLOOKUP(T_Commission[[#This Row],[NumL]],T_suiviDi[#Data],COLUMN(T_suiviDi[Prénom]),FALSE),""),"")</f>
        <v/>
      </c>
      <c r="E108" s="20" t="str">
        <f>IFERROR(IF(VLOOKUP(T_Commission[[#This Row],[NumL]],T_suiviDi[#Data],COLUMN(T_suiviDi[Email]),FALSE)&lt;&gt;"",VLOOKUP(T_Commission[[#This Row],[NumL]],T_suiviDi[#Data],COLUMN(T_suiviDi[Email]),FALSE),""),"")</f>
        <v/>
      </c>
      <c r="F108" s="274" t="str">
        <f>IFERROR(IF(VLOOKUP(T_Commission[[#This Row],[NumL]],T_suiviDi[#Data],COLUMN(T_suiviDi[[#This Row],[Nom1]]),FALSE)&lt;&gt;"",VLOOKUP(T_Commission[[#This Row],[NumL]],T_suiviDi[#Data],COLUMN(T_suiviDi[[#This Row],[Nom1]]),FALSE),""),"")</f>
        <v/>
      </c>
      <c r="G108" s="274" t="str">
        <f>IFERROR(IF(VLOOKUP(T_Commission[[#This Row],[NumL]],T_suiviDi[#Data],COLUMN(T_suiviDi[[#This Row],[Prénom1]]),FALSE)&lt;&gt;"",VLOOKUP(T_Commission[[#This Row],[NumL]],T_suiviDi[#Data],COLUMN(T_suiviDi[[#This Row],[Prénom1]]),FALSE),""),"")</f>
        <v/>
      </c>
      <c r="H108" s="274" t="str">
        <f>IFERROR(IF(VLOOKUP(T_Commission[[#This Row],[NumL]],T_suiviDi[#Data],COLUMN(T_suiviDi[[#This Row],[Email1]]),FALSE)&lt;&gt;"",VLOOKUP(T_Commission[[#This Row],[NumL]],T_suiviDi[#Data],COLUMN(T_suiviDi[[#This Row],[Email1]]),FALSE),""),"")</f>
        <v/>
      </c>
      <c r="I108" s="142" t="str">
        <f>IFERROR(VLOOKUP(T_Commission[[#This Row],[NumL]],T_TraitDi[#Data],COLUMN(T_TraitDi[[#This Row],[CTRL_PJ]]),FALSE),"")</f>
        <v/>
      </c>
      <c r="J108" s="142" t="str">
        <f>IF(T_Commission[[#This Row],[Nom]]&lt;&gt;"",IFERROR(VLOOKUP(T_Commission[[#This Row],[NumL]],T_TraitDi[#Data],COLUMN(T_TraitDi[[#This Row],[C10]]),FALSE),""),"")</f>
        <v/>
      </c>
      <c r="K108" s="142" t="str">
        <f>IFERROR(IF(VLOOKUP(T_Commission[[#This Row],[NumL]],T_suiviDi[#Data],COLUMN(T_suiviDi[[#This Row],[Avis n+1]]),FALSE)&lt;&gt;"",VLOOKUP(A108,T_suiviDi[#Data],COLUMN(T_suiviDi[[#This Row],[Avis n+1]]),FALSE),""),"")</f>
        <v/>
      </c>
      <c r="L108" s="142" t="str">
        <f>IFERROR(IF(VLOOKUP(T_Commission[[#This Row],[NumL]],T_suiviDi[#Data],COLUMN(T_suiviDi[[#This Row],[Avis n+2]]),FALSE)&lt;&gt;"",VLOOKUP(T_Commission[[#This Row],[NumL]],T_suiviDi[#Data],COLUMN(T_suiviDi[[#This Row],[Avis n+2]]),FALSE),""),"")</f>
        <v/>
      </c>
      <c r="M108" s="49">
        <v>1</v>
      </c>
      <c r="N108" s="49"/>
      <c r="O108" s="143" t="str">
        <f>IF(T_Commission[[#This Row],[Nom]]&lt;&gt;"",IF(T_Commission[[#This Row],[COM '#2]]&lt;&gt;"",MAX(T_Commission[[#This Row],[PJ]],T_Commission[[#This Row],[COM '#2]]),IF(T_Commission[[#This Row],[COM '#1]]&lt;&gt;"",MAX(T_Commission[[#This Row],[PJ]],T_Commission[[#This Row],[COM '#1]]),"")),"")</f>
        <v/>
      </c>
      <c r="P108" s="55" t="s">
        <v>115</v>
      </c>
      <c r="Q108" s="55" t="s">
        <v>3277</v>
      </c>
      <c r="R108" s="55" t="s">
        <v>3277</v>
      </c>
      <c r="S108" s="56"/>
      <c r="T108" s="144"/>
    </row>
    <row r="109" spans="1:20" s="93" customFormat="1" ht="30" customHeight="1" x14ac:dyDescent="0.25">
      <c r="A109" s="90">
        <v>306</v>
      </c>
      <c r="B109" s="130" t="str">
        <f>IFERROR(IF(VLOOKUP(T_Commission[[#This Row],[NumL]],T_TraitDi[#Data],COLUMN(T_TraitDi[[#This Row],[Statut]]),FALSE)&lt;&gt;"",VLOOKUP(T_Commission[[#This Row],[NumL]],T_TraitDi[#Data],COLUMN(T_TraitDi[[#This Row],[Statut]]),FALSE),""),"")</f>
        <v/>
      </c>
      <c r="C109" s="139" t="str">
        <f>IFERROR(IF(VLOOKUP(T_Commission[[#This Row],[NumL]],T_suiviDi[#Data],COLUMN(T_suiviDi[[#This Row],[Nom]]),FALSE)&lt;&gt;"",VLOOKUP(T_Commission[[#This Row],[NumL]],T_suiviDi[#Data],COLUMN(T_suiviDi[[#This Row],[Nom]]),FALSE),""),"")</f>
        <v/>
      </c>
      <c r="D109" s="139" t="str">
        <f>IFERROR(IF(VLOOKUP(T_Commission[[#This Row],[NumL]],T_suiviDi[#Data],COLUMN(T_suiviDi[[#This Row],[Prénom]]),FALSE)&lt;&gt;"",VLOOKUP(T_Commission[[#This Row],[NumL]],T_suiviDi[#Data],COLUMN(T_suiviDi[[#This Row],[Prénom]]),FALSE),""),"")</f>
        <v/>
      </c>
      <c r="E109" s="140" t="str">
        <f>IFERROR(IF(VLOOKUP(T_Commission[[#This Row],[NumL]],T_suiviDi[#Data],COLUMN(T_suiviDi[[#This Row],[Email]]),FALSE)&lt;&gt;"",VLOOKUP(T_Commission[[#This Row],[NumL]],T_suiviDi[#Data],COLUMN(T_suiviDi[[#This Row],[Email]]),FALSE),""),"")</f>
        <v/>
      </c>
      <c r="F109" s="141" t="str">
        <f>IFERROR(IF(VLOOKUP(T_Commission[[#This Row],[NumL]],T_suiviDi[#Data],COLUMN(T_suiviDi[[#This Row],[Nom1]]),FALSE)&lt;&gt;"",VLOOKUP(T_Commission[[#This Row],[NumL]],T_suiviDi[#Data],COLUMN(T_suiviDi[[#This Row],[Nom1]]),FALSE),""),"")</f>
        <v/>
      </c>
      <c r="G109" s="141" t="str">
        <f>IFERROR(IF(VLOOKUP(T_Commission[[#This Row],[NumL]],T_suiviDi[#Data],COLUMN(T_suiviDi[[#This Row],[Prénom1]]),FALSE)&lt;&gt;"",VLOOKUP(T_Commission[[#This Row],[NumL]],T_suiviDi[#Data],COLUMN(T_suiviDi[[#This Row],[Prénom1]]),FALSE),""),"")</f>
        <v/>
      </c>
      <c r="H109" s="141" t="str">
        <f>IFERROR(IF(VLOOKUP(T_Commission[[#This Row],[NumL]],T_suiviDi[#Data],COLUMN(T_suiviDi[[#This Row],[Email1]]),FALSE)&lt;&gt;"",VLOOKUP(T_Commission[[#This Row],[NumL]],T_suiviDi[#Data],COLUMN(T_suiviDi[[#This Row],[Email1]]),FALSE),""),"")</f>
        <v/>
      </c>
      <c r="I109" s="142" t="str">
        <f>IFERROR(VLOOKUP(T_Commission[[#This Row],[NumL]],T_TraitDi[#Data],COLUMN(T_TraitDi[[#This Row],[CTRL_PJ]]),FALSE),"")</f>
        <v/>
      </c>
      <c r="J109" s="142" t="str">
        <f>IF(C109&lt;&gt;"",IFERROR(VLOOKUP(A109,'2- Traitement des DI'!BV32,FALSE),""),"")</f>
        <v/>
      </c>
      <c r="K109" s="142" t="str">
        <f>IFERROR(IF(VLOOKUP(T_Commission[[#This Row],[NumL]],T_suiviDi[#Data],COLUMN(T_suiviDi[[#This Row],[Avis n+1]]),FALSE)&lt;&gt;"",VLOOKUP(A109,T_suiviDi[#Data],COLUMN(T_suiviDi[[#This Row],[Avis n+1]]),FALSE),""),"")</f>
        <v/>
      </c>
      <c r="L109" s="142" t="str">
        <f>IFERROR(IF(VLOOKUP(A109,ListeDI,27,FALSE)&lt;&gt;"",VLOOKUP(A109,ListeDI,27,FALSE),""),"")</f>
        <v/>
      </c>
      <c r="M109" s="49">
        <v>1</v>
      </c>
      <c r="N109" s="49"/>
      <c r="O109" s="143" t="str">
        <f>IF(C109&lt;&gt;"",IF(N109&lt;&gt;"",MAX(I109,N109),IF(M109&lt;&gt;"",MAX(I109,M109),"")),"")</f>
        <v/>
      </c>
      <c r="P109" s="55" t="s">
        <v>115</v>
      </c>
      <c r="Q109" s="55" t="s">
        <v>3277</v>
      </c>
      <c r="R109" s="55" t="s">
        <v>3277</v>
      </c>
      <c r="S109" s="56"/>
      <c r="T109" s="144"/>
    </row>
    <row r="110" spans="1:20" s="93" customFormat="1" ht="30" customHeight="1" x14ac:dyDescent="0.25">
      <c r="A110" s="90">
        <v>148</v>
      </c>
      <c r="B110" s="130" t="str">
        <f>IFERROR(IF(VLOOKUP(T_Commission[[#This Row],[NumL]],T_TraitDi[#Data],COLUMN(T_TraitDi[[#This Row],[Statut]]),FALSE)&lt;&gt;"",VLOOKUP(T_Commission[[#This Row],[NumL]],T_TraitDi[#Data],COLUMN(T_TraitDi[[#This Row],[Statut]]),FALSE),""),"")</f>
        <v/>
      </c>
      <c r="C110" s="19" t="str">
        <f>IFERROR(IF(VLOOKUP(T_Commission[[#This Row],[NumL]],T_suiviDi[#Data],COLUMN(T_suiviDi[Nom]),FALSE)&lt;&gt;"",VLOOKUP(T_Commission[[#This Row],[NumL]],T_suiviDi[#Data],COLUMN(T_suiviDi[Nom]),FALSE),""),"")</f>
        <v/>
      </c>
      <c r="D110" s="19" t="str">
        <f>IFERROR(IF(VLOOKUP(T_Commission[[#This Row],[NumL]],T_suiviDi[#Data],COLUMN(T_suiviDi[Prénom]),FALSE)&lt;&gt;"",VLOOKUP(T_Commission[[#This Row],[NumL]],T_suiviDi[#Data],COLUMN(T_suiviDi[Prénom]),FALSE),""),"")</f>
        <v/>
      </c>
      <c r="E110" s="20" t="str">
        <f>IFERROR(IF(VLOOKUP(T_Commission[[#This Row],[NumL]],T_suiviDi[#Data],COLUMN(T_suiviDi[Email]),FALSE)&lt;&gt;"",VLOOKUP(T_Commission[[#This Row],[NumL]],T_suiviDi[#Data],COLUMN(T_suiviDi[Email]),FALSE),""),"")</f>
        <v/>
      </c>
      <c r="F110" s="274" t="str">
        <f>IFERROR(IF(VLOOKUP(T_Commission[[#This Row],[NumL]],T_suiviDi[#Data],COLUMN(T_suiviDi[[#This Row],[Nom1]]),FALSE)&lt;&gt;"",VLOOKUP(T_Commission[[#This Row],[NumL]],T_suiviDi[#Data],COLUMN(T_suiviDi[[#This Row],[Nom1]]),FALSE),""),"")</f>
        <v/>
      </c>
      <c r="G110" s="274" t="str">
        <f>IFERROR(IF(VLOOKUP(T_Commission[[#This Row],[NumL]],T_suiviDi[#Data],COLUMN(T_suiviDi[[#This Row],[Prénom1]]),FALSE)&lt;&gt;"",VLOOKUP(T_Commission[[#This Row],[NumL]],T_suiviDi[#Data],COLUMN(T_suiviDi[[#This Row],[Prénom1]]),FALSE),""),"")</f>
        <v/>
      </c>
      <c r="H110" s="274" t="str">
        <f>IFERROR(IF(VLOOKUP(T_Commission[[#This Row],[NumL]],T_suiviDi[#Data],COLUMN(T_suiviDi[[#This Row],[Email1]]),FALSE)&lt;&gt;"",VLOOKUP(T_Commission[[#This Row],[NumL]],T_suiviDi[#Data],COLUMN(T_suiviDi[[#This Row],[Email1]]),FALSE),""),"")</f>
        <v/>
      </c>
      <c r="I110" s="142" t="str">
        <f>IFERROR(VLOOKUP(T_Commission[[#This Row],[NumL]],T_TraitDi[#Data],COLUMN(T_TraitDi[[#This Row],[CTRL_PJ]]),FALSE),"")</f>
        <v/>
      </c>
      <c r="J110" s="142" t="str">
        <f>IF(T_Commission[[#This Row],[Nom]]&lt;&gt;"",IFERROR(VLOOKUP(T_Commission[[#This Row],[NumL]],T_TraitDi[#Data],COLUMN(T_TraitDi[[#This Row],[C10]]),FALSE),""),"")</f>
        <v/>
      </c>
      <c r="K110" s="142" t="str">
        <f>IFERROR(IF(VLOOKUP(T_Commission[[#This Row],[NumL]],T_suiviDi[#Data],COLUMN(T_suiviDi[[#This Row],[Avis n+1]]),FALSE)&lt;&gt;"",VLOOKUP(A110,T_suiviDi[#Data],COLUMN(T_suiviDi[[#This Row],[Avis n+1]]),FALSE),""),"")</f>
        <v/>
      </c>
      <c r="L110" s="142" t="str">
        <f>IFERROR(IF(VLOOKUP(T_Commission[[#This Row],[NumL]],T_suiviDi[#Data],COLUMN(T_suiviDi[[#This Row],[Avis n+2]]),FALSE)&lt;&gt;"",VLOOKUP(T_Commission[[#This Row],[NumL]],T_suiviDi[#Data],COLUMN(T_suiviDi[[#This Row],[Avis n+2]]),FALSE),""),"")</f>
        <v/>
      </c>
      <c r="M110" s="49">
        <v>1</v>
      </c>
      <c r="N110" s="49"/>
      <c r="O110" s="143" t="str">
        <f>IF(T_Commission[[#This Row],[Nom]]&lt;&gt;"",IF(T_Commission[[#This Row],[COM '#2]]&lt;&gt;"",MAX(T_Commission[[#This Row],[PJ]],T_Commission[[#This Row],[COM '#2]]),IF(T_Commission[[#This Row],[COM '#1]]&lt;&gt;"",MAX(T_Commission[[#This Row],[PJ]],T_Commission[[#This Row],[COM '#1]]),"")),"")</f>
        <v/>
      </c>
      <c r="P110" s="55" t="s">
        <v>115</v>
      </c>
      <c r="Q110" s="55" t="s">
        <v>3277</v>
      </c>
      <c r="R110" s="55"/>
      <c r="S110" s="56"/>
      <c r="T110" s="144"/>
    </row>
    <row r="111" spans="1:20" s="93" customFormat="1" ht="30" customHeight="1" x14ac:dyDescent="0.25">
      <c r="A111" s="90">
        <v>142</v>
      </c>
      <c r="B111" s="130" t="str">
        <f>IFERROR(IF(VLOOKUP(T_Commission[[#This Row],[NumL]],T_TraitDi[#Data],COLUMN(T_TraitDi[[#This Row],[Statut]]),FALSE)&lt;&gt;"",VLOOKUP(T_Commission[[#This Row],[NumL]],T_TraitDi[#Data],COLUMN(T_TraitDi[[#This Row],[Statut]]),FALSE),""),"")</f>
        <v/>
      </c>
      <c r="C111" s="19" t="str">
        <f>IFERROR(IF(VLOOKUP(T_Commission[[#This Row],[NumL]],T_suiviDi[#Data],COLUMN(T_suiviDi[Nom]),FALSE)&lt;&gt;"",VLOOKUP(T_Commission[[#This Row],[NumL]],T_suiviDi[#Data],COLUMN(T_suiviDi[Nom]),FALSE),""),"")</f>
        <v/>
      </c>
      <c r="D111" s="19" t="str">
        <f>IFERROR(IF(VLOOKUP(T_Commission[[#This Row],[NumL]],T_suiviDi[#Data],COLUMN(T_suiviDi[Prénom]),FALSE)&lt;&gt;"",VLOOKUP(T_Commission[[#This Row],[NumL]],T_suiviDi[#Data],COLUMN(T_suiviDi[Prénom]),FALSE),""),"")</f>
        <v/>
      </c>
      <c r="E111" s="20" t="str">
        <f>IFERROR(IF(VLOOKUP(T_Commission[[#This Row],[NumL]],T_suiviDi[#Data],COLUMN(T_suiviDi[Email]),FALSE)&lt;&gt;"",VLOOKUP(T_Commission[[#This Row],[NumL]],T_suiviDi[#Data],COLUMN(T_suiviDi[Email]),FALSE),""),"")</f>
        <v/>
      </c>
      <c r="F111" s="274" t="str">
        <f>IFERROR(IF(VLOOKUP(T_Commission[[#This Row],[NumL]],T_suiviDi[#Data],COLUMN(T_suiviDi[[#This Row],[Nom1]]),FALSE)&lt;&gt;"",VLOOKUP(T_Commission[[#This Row],[NumL]],T_suiviDi[#Data],COLUMN(T_suiviDi[[#This Row],[Nom1]]),FALSE),""),"")</f>
        <v/>
      </c>
      <c r="G111" s="274" t="str">
        <f>IFERROR(IF(VLOOKUP(T_Commission[[#This Row],[NumL]],T_suiviDi[#Data],COLUMN(T_suiviDi[[#This Row],[Prénom1]]),FALSE)&lt;&gt;"",VLOOKUP(T_Commission[[#This Row],[NumL]],T_suiviDi[#Data],COLUMN(T_suiviDi[[#This Row],[Prénom1]]),FALSE),""),"")</f>
        <v/>
      </c>
      <c r="H111" s="274" t="str">
        <f>IFERROR(IF(VLOOKUP(T_Commission[[#This Row],[NumL]],T_suiviDi[#Data],COLUMN(T_suiviDi[[#This Row],[Email1]]),FALSE)&lt;&gt;"",VLOOKUP(T_Commission[[#This Row],[NumL]],T_suiviDi[#Data],COLUMN(T_suiviDi[[#This Row],[Email1]]),FALSE),""),"")</f>
        <v/>
      </c>
      <c r="I111" s="142" t="str">
        <f>IFERROR(VLOOKUP(T_Commission[[#This Row],[NumL]],T_TraitDi[#Data],COLUMN(T_TraitDi[[#This Row],[CTRL_PJ]]),FALSE),"")</f>
        <v/>
      </c>
      <c r="J111" s="142" t="str">
        <f>IF(T_Commission[[#This Row],[Nom]]&lt;&gt;"",IFERROR(VLOOKUP(T_Commission[[#This Row],[NumL]],T_TraitDi[#Data],COLUMN(T_TraitDi[[#This Row],[C10]]),FALSE),""),"")</f>
        <v/>
      </c>
      <c r="K111" s="142" t="str">
        <f>IFERROR(IF(VLOOKUP(T_Commission[[#This Row],[NumL]],T_suiviDi[#Data],COLUMN(T_suiviDi[[#This Row],[Avis n+1]]),FALSE)&lt;&gt;"",VLOOKUP(A111,T_suiviDi[#Data],COLUMN(T_suiviDi[[#This Row],[Avis n+1]]),FALSE),""),"")</f>
        <v/>
      </c>
      <c r="L111" s="142" t="str">
        <f>IFERROR(IF(VLOOKUP(T_Commission[[#This Row],[NumL]],T_suiviDi[#Data],COLUMN(T_suiviDi[[#This Row],[Avis n+2]]),FALSE)&lt;&gt;"",VLOOKUP(T_Commission[[#This Row],[NumL]],T_suiviDi[#Data],COLUMN(T_suiviDi[[#This Row],[Avis n+2]]),FALSE),""),"")</f>
        <v/>
      </c>
      <c r="M111" s="49">
        <v>1</v>
      </c>
      <c r="N111" s="49"/>
      <c r="O111" s="143" t="str">
        <f>IF(T_Commission[[#This Row],[Nom]]&lt;&gt;"",IF(T_Commission[[#This Row],[COM '#2]]&lt;&gt;"",MAX(T_Commission[[#This Row],[PJ]],T_Commission[[#This Row],[COM '#2]]),IF(T_Commission[[#This Row],[COM '#1]]&lt;&gt;"",MAX(T_Commission[[#This Row],[PJ]],T_Commission[[#This Row],[COM '#1]]),"")),"")</f>
        <v/>
      </c>
      <c r="P111" s="55" t="s">
        <v>115</v>
      </c>
      <c r="Q111" s="55" t="s">
        <v>3277</v>
      </c>
      <c r="R111" s="55" t="s">
        <v>3277</v>
      </c>
      <c r="S111" s="56"/>
      <c r="T111" s="144"/>
    </row>
    <row r="112" spans="1:20" s="93" customFormat="1" ht="30" customHeight="1" x14ac:dyDescent="0.25">
      <c r="A112" s="90">
        <v>229</v>
      </c>
      <c r="B112" s="130" t="str">
        <f>IFERROR(IF(VLOOKUP(T_Commission[[#This Row],[NumL]],T_TraitDi[#Data],COLUMN(T_TraitDi[[#This Row],[Statut]]),FALSE)&lt;&gt;"",VLOOKUP(T_Commission[[#This Row],[NumL]],T_TraitDi[#Data],COLUMN(T_TraitDi[[#This Row],[Statut]]),FALSE),""),"")</f>
        <v/>
      </c>
      <c r="C112" s="19" t="str">
        <f>IFERROR(IF(VLOOKUP(T_Commission[[#This Row],[NumL]],T_suiviDi[#Data],COLUMN(T_suiviDi[Nom]),FALSE)&lt;&gt;"",VLOOKUP(T_Commission[[#This Row],[NumL]],T_suiviDi[#Data],COLUMN(T_suiviDi[Nom]),FALSE),""),"")</f>
        <v/>
      </c>
      <c r="D112" s="19" t="str">
        <f>IFERROR(IF(VLOOKUP(T_Commission[[#This Row],[NumL]],T_suiviDi[#Data],COLUMN(T_suiviDi[Prénom]),FALSE)&lt;&gt;"",VLOOKUP(T_Commission[[#This Row],[NumL]],T_suiviDi[#Data],COLUMN(T_suiviDi[Prénom]),FALSE),""),"")</f>
        <v/>
      </c>
      <c r="E112" s="20" t="str">
        <f>IFERROR(IF(VLOOKUP(T_Commission[[#This Row],[NumL]],T_suiviDi[#Data],COLUMN(T_suiviDi[Email]),FALSE)&lt;&gt;"",VLOOKUP(T_Commission[[#This Row],[NumL]],T_suiviDi[#Data],COLUMN(T_suiviDi[Email]),FALSE),""),"")</f>
        <v/>
      </c>
      <c r="F112" s="274" t="str">
        <f>IFERROR(IF(VLOOKUP(T_Commission[[#This Row],[NumL]],T_suiviDi[#Data],COLUMN(T_suiviDi[[#This Row],[Nom1]]),FALSE)&lt;&gt;"",VLOOKUP(T_Commission[[#This Row],[NumL]],T_suiviDi[#Data],COLUMN(T_suiviDi[[#This Row],[Nom1]]),FALSE),""),"")</f>
        <v/>
      </c>
      <c r="G112" s="274" t="str">
        <f>IFERROR(IF(VLOOKUP(T_Commission[[#This Row],[NumL]],T_suiviDi[#Data],COLUMN(T_suiviDi[[#This Row],[Prénom1]]),FALSE)&lt;&gt;"",VLOOKUP(T_Commission[[#This Row],[NumL]],T_suiviDi[#Data],COLUMN(T_suiviDi[[#This Row],[Prénom1]]),FALSE),""),"")</f>
        <v/>
      </c>
      <c r="H112" s="274" t="str">
        <f>IFERROR(IF(VLOOKUP(T_Commission[[#This Row],[NumL]],T_suiviDi[#Data],COLUMN(T_suiviDi[[#This Row],[Email1]]),FALSE)&lt;&gt;"",VLOOKUP(T_Commission[[#This Row],[NumL]],T_suiviDi[#Data],COLUMN(T_suiviDi[[#This Row],[Email1]]),FALSE),""),"")</f>
        <v/>
      </c>
      <c r="I112" s="142" t="str">
        <f>IFERROR(VLOOKUP(T_Commission[[#This Row],[NumL]],T_TraitDi[#Data],COLUMN(T_TraitDi[[#This Row],[CTRL_PJ]]),FALSE),"")</f>
        <v/>
      </c>
      <c r="J112" s="142" t="str">
        <f>IF(T_Commission[[#This Row],[Nom]]&lt;&gt;"",IFERROR(VLOOKUP(T_Commission[[#This Row],[NumL]],T_TraitDi[#Data],COLUMN(T_TraitDi[[#This Row],[C10]]),FALSE),""),"")</f>
        <v/>
      </c>
      <c r="K112" s="142" t="str">
        <f>IFERROR(IF(VLOOKUP(T_Commission[[#This Row],[NumL]],T_suiviDi[#Data],COLUMN(T_suiviDi[[#This Row],[Avis n+1]]),FALSE)&lt;&gt;"",VLOOKUP(A112,T_suiviDi[#Data],COLUMN(T_suiviDi[[#This Row],[Avis n+1]]),FALSE),""),"")</f>
        <v/>
      </c>
      <c r="L112" s="142" t="str">
        <f>IFERROR(IF(VLOOKUP(T_Commission[[#This Row],[NumL]],T_suiviDi[#Data],COLUMN(T_suiviDi[[#This Row],[Avis n+2]]),FALSE)&lt;&gt;"",VLOOKUP(T_Commission[[#This Row],[NumL]],T_suiviDi[#Data],COLUMN(T_suiviDi[[#This Row],[Avis n+2]]),FALSE),""),"")</f>
        <v/>
      </c>
      <c r="M112" s="49">
        <v>1</v>
      </c>
      <c r="N112" s="49"/>
      <c r="O112" s="143" t="str">
        <f>IF(T_Commission[[#This Row],[Nom]]&lt;&gt;"",IF(T_Commission[[#This Row],[COM '#2]]&lt;&gt;"",MAX(T_Commission[[#This Row],[PJ]],T_Commission[[#This Row],[COM '#2]]),IF(T_Commission[[#This Row],[COM '#1]]&lt;&gt;"",MAX(T_Commission[[#This Row],[PJ]],T_Commission[[#This Row],[COM '#1]]),"")),"")</f>
        <v/>
      </c>
      <c r="P112" s="55" t="s">
        <v>115</v>
      </c>
      <c r="Q112" s="55" t="s">
        <v>3277</v>
      </c>
      <c r="R112" s="55" t="s">
        <v>3277</v>
      </c>
      <c r="S112" s="56"/>
      <c r="T112" s="144"/>
    </row>
    <row r="113" spans="1:20" s="93" customFormat="1" ht="30" customHeight="1" x14ac:dyDescent="0.25">
      <c r="A113" s="90">
        <v>95</v>
      </c>
      <c r="B113" s="130" t="str">
        <f>IFERROR(IF(VLOOKUP(T_Commission[[#This Row],[NumL]],T_TraitDi[#Data],COLUMN(T_TraitDi[[#This Row],[Statut]]),FALSE)&lt;&gt;"",VLOOKUP(T_Commission[[#This Row],[NumL]],T_TraitDi[#Data],COLUMN(T_TraitDi[[#This Row],[Statut]]),FALSE),""),"")</f>
        <v/>
      </c>
      <c r="C113" s="19" t="str">
        <f>IFERROR(IF(VLOOKUP(T_Commission[[#This Row],[NumL]],T_suiviDi[#Data],COLUMN(T_suiviDi[Nom]),FALSE)&lt;&gt;"",VLOOKUP(T_Commission[[#This Row],[NumL]],T_suiviDi[#Data],COLUMN(T_suiviDi[Nom]),FALSE),""),"")</f>
        <v/>
      </c>
      <c r="D113" s="19" t="str">
        <f>IFERROR(IF(VLOOKUP(T_Commission[[#This Row],[NumL]],T_suiviDi[#Data],COLUMN(T_suiviDi[Prénom]),FALSE)&lt;&gt;"",VLOOKUP(T_Commission[[#This Row],[NumL]],T_suiviDi[#Data],COLUMN(T_suiviDi[Prénom]),FALSE),""),"")</f>
        <v/>
      </c>
      <c r="E113" s="20" t="str">
        <f>IFERROR(IF(VLOOKUP(T_Commission[[#This Row],[NumL]],T_suiviDi[#Data],COLUMN(T_suiviDi[Email]),FALSE)&lt;&gt;"",VLOOKUP(T_Commission[[#This Row],[NumL]],T_suiviDi[#Data],COLUMN(T_suiviDi[Email]),FALSE),""),"")</f>
        <v/>
      </c>
      <c r="F113" s="274" t="str">
        <f>IFERROR(IF(VLOOKUP(T_Commission[[#This Row],[NumL]],T_suiviDi[#Data],COLUMN(T_suiviDi[[#This Row],[Nom1]]),FALSE)&lt;&gt;"",VLOOKUP(T_Commission[[#This Row],[NumL]],T_suiviDi[#Data],COLUMN(T_suiviDi[[#This Row],[Nom1]]),FALSE),""),"")</f>
        <v/>
      </c>
      <c r="G113" s="274" t="str">
        <f>IFERROR(IF(VLOOKUP(T_Commission[[#This Row],[NumL]],T_suiviDi[#Data],COLUMN(T_suiviDi[[#This Row],[Prénom1]]),FALSE)&lt;&gt;"",VLOOKUP(T_Commission[[#This Row],[NumL]],T_suiviDi[#Data],COLUMN(T_suiviDi[[#This Row],[Prénom1]]),FALSE),""),"")</f>
        <v/>
      </c>
      <c r="H113" s="274" t="str">
        <f>IFERROR(IF(VLOOKUP(T_Commission[[#This Row],[NumL]],T_suiviDi[#Data],COLUMN(T_suiviDi[[#This Row],[Email1]]),FALSE)&lt;&gt;"",VLOOKUP(T_Commission[[#This Row],[NumL]],T_suiviDi[#Data],COLUMN(T_suiviDi[[#This Row],[Email1]]),FALSE),""),"")</f>
        <v/>
      </c>
      <c r="I113" s="142" t="str">
        <f>IFERROR(VLOOKUP(T_Commission[[#This Row],[NumL]],T_TraitDi[#Data],COLUMN(T_TraitDi[[#This Row],[CTRL_PJ]]),FALSE),"")</f>
        <v/>
      </c>
      <c r="J113" s="142" t="str">
        <f>IF(T_Commission[[#This Row],[Nom]]&lt;&gt;"",IFERROR(VLOOKUP(T_Commission[[#This Row],[NumL]],T_TraitDi[#Data],COLUMN(T_TraitDi[[#This Row],[C10]]),FALSE),""),"")</f>
        <v/>
      </c>
      <c r="K113" s="142" t="str">
        <f>IFERROR(IF(VLOOKUP(T_Commission[[#This Row],[NumL]],T_suiviDi[#Data],COLUMN(T_suiviDi[[#This Row],[Avis n+1]]),FALSE)&lt;&gt;"",VLOOKUP(A113,T_suiviDi[#Data],COLUMN(T_suiviDi[[#This Row],[Avis n+1]]),FALSE),""),"")</f>
        <v/>
      </c>
      <c r="L113" s="142" t="str">
        <f>IFERROR(IF(VLOOKUP(T_Commission[[#This Row],[NumL]],T_suiviDi[#Data],COLUMN(T_suiviDi[[#This Row],[Avis n+2]]),FALSE)&lt;&gt;"",VLOOKUP(T_Commission[[#This Row],[NumL]],T_suiviDi[#Data],COLUMN(T_suiviDi[[#This Row],[Avis n+2]]),FALSE),""),"")</f>
        <v/>
      </c>
      <c r="M113" s="49">
        <v>1</v>
      </c>
      <c r="N113" s="49"/>
      <c r="O113" s="143" t="str">
        <f>IF(T_Commission[[#This Row],[Nom]]&lt;&gt;"",IF(T_Commission[[#This Row],[COM '#2]]&lt;&gt;"",MAX(T_Commission[[#This Row],[PJ]],T_Commission[[#This Row],[COM '#2]]),IF(T_Commission[[#This Row],[COM '#1]]&lt;&gt;"",MAX(T_Commission[[#This Row],[PJ]],T_Commission[[#This Row],[COM '#1]]),"")),"")</f>
        <v/>
      </c>
      <c r="P113" s="55" t="s">
        <v>115</v>
      </c>
      <c r="Q113" s="55" t="s">
        <v>3277</v>
      </c>
      <c r="R113" s="55" t="s">
        <v>3277</v>
      </c>
      <c r="S113" s="56"/>
      <c r="T113" s="144"/>
    </row>
    <row r="114" spans="1:20" s="93" customFormat="1" ht="30" customHeight="1" x14ac:dyDescent="0.25">
      <c r="A114" s="90">
        <v>65</v>
      </c>
      <c r="B114" s="130" t="str">
        <f>IFERROR(IF(VLOOKUP(T_Commission[[#This Row],[NumL]],T_TraitDi[#Data],COLUMN(T_TraitDi[[#This Row],[Statut]]),FALSE)&lt;&gt;"",VLOOKUP(T_Commission[[#This Row],[NumL]],T_TraitDi[#Data],COLUMN(T_TraitDi[[#This Row],[Statut]]),FALSE),""),"")</f>
        <v/>
      </c>
      <c r="C114" s="19" t="str">
        <f>IFERROR(IF(VLOOKUP(T_Commission[[#This Row],[NumL]],T_suiviDi[#Data],COLUMN(T_suiviDi[Nom]),FALSE)&lt;&gt;"",VLOOKUP(T_Commission[[#This Row],[NumL]],T_suiviDi[#Data],COLUMN(T_suiviDi[Nom]),FALSE),""),"")</f>
        <v/>
      </c>
      <c r="D114" s="19" t="str">
        <f>IFERROR(IF(VLOOKUP(T_Commission[[#This Row],[NumL]],T_suiviDi[#Data],COLUMN(T_suiviDi[Prénom]),FALSE)&lt;&gt;"",VLOOKUP(T_Commission[[#This Row],[NumL]],T_suiviDi[#Data],COLUMN(T_suiviDi[Prénom]),FALSE),""),"")</f>
        <v/>
      </c>
      <c r="E114" s="20" t="str">
        <f>IFERROR(IF(VLOOKUP(T_Commission[[#This Row],[NumL]],T_suiviDi[#Data],COLUMN(T_suiviDi[Email]),FALSE)&lt;&gt;"",VLOOKUP(T_Commission[[#This Row],[NumL]],T_suiviDi[#Data],COLUMN(T_suiviDi[Email]),FALSE),""),"")</f>
        <v/>
      </c>
      <c r="F114" s="274" t="str">
        <f>IFERROR(IF(VLOOKUP(T_Commission[[#This Row],[NumL]],T_suiviDi[#Data],COLUMN(T_suiviDi[[#This Row],[Nom1]]),FALSE)&lt;&gt;"",VLOOKUP(T_Commission[[#This Row],[NumL]],T_suiviDi[#Data],COLUMN(T_suiviDi[[#This Row],[Nom1]]),FALSE),""),"")</f>
        <v/>
      </c>
      <c r="G114" s="274" t="str">
        <f>IFERROR(IF(VLOOKUP(T_Commission[[#This Row],[NumL]],T_suiviDi[#Data],COLUMN(T_suiviDi[[#This Row],[Prénom1]]),FALSE)&lt;&gt;"",VLOOKUP(T_Commission[[#This Row],[NumL]],T_suiviDi[#Data],COLUMN(T_suiviDi[[#This Row],[Prénom1]]),FALSE),""),"")</f>
        <v/>
      </c>
      <c r="H114" s="274" t="str">
        <f>IFERROR(IF(VLOOKUP(T_Commission[[#This Row],[NumL]],T_suiviDi[#Data],COLUMN(T_suiviDi[[#This Row],[Email1]]),FALSE)&lt;&gt;"",VLOOKUP(T_Commission[[#This Row],[NumL]],T_suiviDi[#Data],COLUMN(T_suiviDi[[#This Row],[Email1]]),FALSE),""),"")</f>
        <v/>
      </c>
      <c r="I114" s="142" t="str">
        <f>IFERROR(VLOOKUP(T_Commission[[#This Row],[NumL]],T_TraitDi[#Data],COLUMN(T_TraitDi[[#This Row],[CTRL_PJ]]),FALSE),"")</f>
        <v/>
      </c>
      <c r="J114" s="142" t="str">
        <f>IF(T_Commission[[#This Row],[Nom]]&lt;&gt;"",IFERROR(VLOOKUP(T_Commission[[#This Row],[NumL]],T_TraitDi[#Data],COLUMN(T_TraitDi[[#This Row],[C10]]),FALSE),""),"")</f>
        <v/>
      </c>
      <c r="K114" s="142" t="str">
        <f>IFERROR(IF(VLOOKUP(T_Commission[[#This Row],[NumL]],T_suiviDi[#Data],COLUMN(T_suiviDi[[#This Row],[Avis n+1]]),FALSE)&lt;&gt;"",VLOOKUP(A114,T_suiviDi[#Data],COLUMN(T_suiviDi[[#This Row],[Avis n+1]]),FALSE),""),"")</f>
        <v/>
      </c>
      <c r="L114" s="142" t="str">
        <f>IFERROR(IF(VLOOKUP(T_Commission[[#This Row],[NumL]],T_suiviDi[#Data],COLUMN(T_suiviDi[[#This Row],[Avis n+2]]),FALSE)&lt;&gt;"",VLOOKUP(T_Commission[[#This Row],[NumL]],T_suiviDi[#Data],COLUMN(T_suiviDi[[#This Row],[Avis n+2]]),FALSE),""),"")</f>
        <v/>
      </c>
      <c r="M114" s="49">
        <v>1</v>
      </c>
      <c r="N114" s="49"/>
      <c r="O114" s="143" t="str">
        <f>IF(T_Commission[[#This Row],[Nom]]&lt;&gt;"",IF(T_Commission[[#This Row],[COM '#2]]&lt;&gt;"",MAX(T_Commission[[#This Row],[PJ]],T_Commission[[#This Row],[COM '#2]]),IF(T_Commission[[#This Row],[COM '#1]]&lt;&gt;"",MAX(T_Commission[[#This Row],[PJ]],T_Commission[[#This Row],[COM '#1]]),"")),"")</f>
        <v/>
      </c>
      <c r="P114" s="55" t="s">
        <v>115</v>
      </c>
      <c r="Q114" s="55" t="s">
        <v>3277</v>
      </c>
      <c r="R114" s="55" t="s">
        <v>3277</v>
      </c>
      <c r="S114" s="56"/>
      <c r="T114" s="144"/>
    </row>
    <row r="115" spans="1:20" s="93" customFormat="1" ht="30" customHeight="1" x14ac:dyDescent="0.25">
      <c r="A115" s="90">
        <v>128</v>
      </c>
      <c r="B115" s="130" t="str">
        <f>IFERROR(IF(VLOOKUP(T_Commission[[#This Row],[NumL]],T_TraitDi[#Data],COLUMN(T_TraitDi[[#This Row],[Statut]]),FALSE)&lt;&gt;"",VLOOKUP(T_Commission[[#This Row],[NumL]],T_TraitDi[#Data],COLUMN(T_TraitDi[[#This Row],[Statut]]),FALSE),""),"")</f>
        <v/>
      </c>
      <c r="C115" s="19" t="str">
        <f>IFERROR(IF(VLOOKUP(T_Commission[[#This Row],[NumL]],T_suiviDi[#Data],COLUMN(T_suiviDi[Nom]),FALSE)&lt;&gt;"",VLOOKUP(T_Commission[[#This Row],[NumL]],T_suiviDi[#Data],COLUMN(T_suiviDi[Nom]),FALSE),""),"")</f>
        <v/>
      </c>
      <c r="D115" s="19" t="str">
        <f>IFERROR(IF(VLOOKUP(T_Commission[[#This Row],[NumL]],T_suiviDi[#Data],COLUMN(T_suiviDi[Prénom]),FALSE)&lt;&gt;"",VLOOKUP(T_Commission[[#This Row],[NumL]],T_suiviDi[#Data],COLUMN(T_suiviDi[Prénom]),FALSE),""),"")</f>
        <v/>
      </c>
      <c r="E115" s="20" t="str">
        <f>IFERROR(IF(VLOOKUP(T_Commission[[#This Row],[NumL]],T_suiviDi[#Data],COLUMN(T_suiviDi[Email]),FALSE)&lt;&gt;"",VLOOKUP(T_Commission[[#This Row],[NumL]],T_suiviDi[#Data],COLUMN(T_suiviDi[Email]),FALSE),""),"")</f>
        <v/>
      </c>
      <c r="F115" s="274" t="str">
        <f>IFERROR(IF(VLOOKUP(T_Commission[[#This Row],[NumL]],T_suiviDi[#Data],COLUMN(T_suiviDi[[#This Row],[Nom1]]),FALSE)&lt;&gt;"",VLOOKUP(T_Commission[[#This Row],[NumL]],T_suiviDi[#Data],COLUMN(T_suiviDi[[#This Row],[Nom1]]),FALSE),""),"")</f>
        <v/>
      </c>
      <c r="G115" s="274" t="str">
        <f>IFERROR(IF(VLOOKUP(T_Commission[[#This Row],[NumL]],T_suiviDi[#Data],COLUMN(T_suiviDi[[#This Row],[Prénom1]]),FALSE)&lt;&gt;"",VLOOKUP(T_Commission[[#This Row],[NumL]],T_suiviDi[#Data],COLUMN(T_suiviDi[[#This Row],[Prénom1]]),FALSE),""),"")</f>
        <v/>
      </c>
      <c r="H115" s="274" t="str">
        <f>IFERROR(IF(VLOOKUP(T_Commission[[#This Row],[NumL]],T_suiviDi[#Data],COLUMN(T_suiviDi[[#This Row],[Email1]]),FALSE)&lt;&gt;"",VLOOKUP(T_Commission[[#This Row],[NumL]],T_suiviDi[#Data],COLUMN(T_suiviDi[[#This Row],[Email1]]),FALSE),""),"")</f>
        <v/>
      </c>
      <c r="I115" s="142" t="str">
        <f>IFERROR(VLOOKUP(T_Commission[[#This Row],[NumL]],T_TraitDi[#Data],COLUMN(T_TraitDi[[#This Row],[CTRL_PJ]]),FALSE),"")</f>
        <v/>
      </c>
      <c r="J115" s="142" t="str">
        <f>IF(T_Commission[[#This Row],[Nom]]&lt;&gt;"",IFERROR(VLOOKUP(T_Commission[[#This Row],[NumL]],T_TraitDi[#Data],COLUMN(T_TraitDi[[#This Row],[C10]]),FALSE),""),"")</f>
        <v/>
      </c>
      <c r="K115" s="142" t="str">
        <f>IFERROR(IF(VLOOKUP(T_Commission[[#This Row],[NumL]],T_suiviDi[#Data],COLUMN(T_suiviDi[[#This Row],[Avis n+1]]),FALSE)&lt;&gt;"",VLOOKUP(A115,T_suiviDi[#Data],COLUMN(T_suiviDi[[#This Row],[Avis n+1]]),FALSE),""),"")</f>
        <v/>
      </c>
      <c r="L115" s="142" t="str">
        <f>IFERROR(IF(VLOOKUP(T_Commission[[#This Row],[NumL]],T_suiviDi[#Data],COLUMN(T_suiviDi[[#This Row],[Avis n+2]]),FALSE)&lt;&gt;"",VLOOKUP(T_Commission[[#This Row],[NumL]],T_suiviDi[#Data],COLUMN(T_suiviDi[[#This Row],[Avis n+2]]),FALSE),""),"")</f>
        <v/>
      </c>
      <c r="M115" s="49">
        <v>1</v>
      </c>
      <c r="N115" s="49"/>
      <c r="O115" s="143" t="str">
        <f>IF(T_Commission[[#This Row],[Nom]]&lt;&gt;"",IF(T_Commission[[#This Row],[COM '#2]]&lt;&gt;"",MAX(T_Commission[[#This Row],[PJ]],T_Commission[[#This Row],[COM '#2]]),IF(T_Commission[[#This Row],[COM '#1]]&lt;&gt;"",MAX(T_Commission[[#This Row],[PJ]],T_Commission[[#This Row],[COM '#1]]),"")),"")</f>
        <v/>
      </c>
      <c r="P115" s="55" t="s">
        <v>115</v>
      </c>
      <c r="Q115" s="55" t="s">
        <v>3277</v>
      </c>
      <c r="R115" s="55" t="s">
        <v>3277</v>
      </c>
      <c r="S115" s="56"/>
      <c r="T115" s="144"/>
    </row>
    <row r="116" spans="1:20" s="93" customFormat="1" ht="30" customHeight="1" x14ac:dyDescent="0.25">
      <c r="A116" s="90">
        <v>147</v>
      </c>
      <c r="B116" s="130" t="str">
        <f>IFERROR(IF(VLOOKUP(T_Commission[[#This Row],[NumL]],T_TraitDi[#Data],COLUMN(T_TraitDi[[#This Row],[Statut]]),FALSE)&lt;&gt;"",VLOOKUP(T_Commission[[#This Row],[NumL]],T_TraitDi[#Data],COLUMN(T_TraitDi[[#This Row],[Statut]]),FALSE),""),"")</f>
        <v/>
      </c>
      <c r="C116" s="19" t="str">
        <f>IFERROR(IF(VLOOKUP(T_Commission[[#This Row],[NumL]],T_suiviDi[#Data],COLUMN(T_suiviDi[Nom]),FALSE)&lt;&gt;"",VLOOKUP(T_Commission[[#This Row],[NumL]],T_suiviDi[#Data],COLUMN(T_suiviDi[Nom]),FALSE),""),"")</f>
        <v/>
      </c>
      <c r="D116" s="19" t="str">
        <f>IFERROR(IF(VLOOKUP(T_Commission[[#This Row],[NumL]],T_suiviDi[#Data],COLUMN(T_suiviDi[Prénom]),FALSE)&lt;&gt;"",VLOOKUP(T_Commission[[#This Row],[NumL]],T_suiviDi[#Data],COLUMN(T_suiviDi[Prénom]),FALSE),""),"")</f>
        <v/>
      </c>
      <c r="E116" s="20" t="str">
        <f>IFERROR(IF(VLOOKUP(T_Commission[[#This Row],[NumL]],T_suiviDi[#Data],COLUMN(T_suiviDi[Email]),FALSE)&lt;&gt;"",VLOOKUP(T_Commission[[#This Row],[NumL]],T_suiviDi[#Data],COLUMN(T_suiviDi[Email]),FALSE),""),"")</f>
        <v/>
      </c>
      <c r="F116" s="274" t="str">
        <f>IFERROR(IF(VLOOKUP(T_Commission[[#This Row],[NumL]],T_suiviDi[#Data],COLUMN(T_suiviDi[[#This Row],[Nom1]]),FALSE)&lt;&gt;"",VLOOKUP(T_Commission[[#This Row],[NumL]],T_suiviDi[#Data],COLUMN(T_suiviDi[[#This Row],[Nom1]]),FALSE),""),"")</f>
        <v/>
      </c>
      <c r="G116" s="274" t="str">
        <f>IFERROR(IF(VLOOKUP(T_Commission[[#This Row],[NumL]],T_suiviDi[#Data],COLUMN(T_suiviDi[[#This Row],[Prénom1]]),FALSE)&lt;&gt;"",VLOOKUP(T_Commission[[#This Row],[NumL]],T_suiviDi[#Data],COLUMN(T_suiviDi[[#This Row],[Prénom1]]),FALSE),""),"")</f>
        <v/>
      </c>
      <c r="H116" s="274" t="str">
        <f>IFERROR(IF(VLOOKUP(T_Commission[[#This Row],[NumL]],T_suiviDi[#Data],COLUMN(T_suiviDi[[#This Row],[Email1]]),FALSE)&lt;&gt;"",VLOOKUP(T_Commission[[#This Row],[NumL]],T_suiviDi[#Data],COLUMN(T_suiviDi[[#This Row],[Email1]]),FALSE),""),"")</f>
        <v/>
      </c>
      <c r="I116" s="142" t="str">
        <f>IFERROR(VLOOKUP(T_Commission[[#This Row],[NumL]],T_TraitDi[#Data],COLUMN(T_TraitDi[[#This Row],[CTRL_PJ]]),FALSE),"")</f>
        <v/>
      </c>
      <c r="J116" s="142" t="str">
        <f>IF(T_Commission[[#This Row],[Nom]]&lt;&gt;"",IFERROR(VLOOKUP(T_Commission[[#This Row],[NumL]],T_TraitDi[#Data],COLUMN(T_TraitDi[[#This Row],[C10]]),FALSE),""),"")</f>
        <v/>
      </c>
      <c r="K116" s="142" t="str">
        <f>IFERROR(IF(VLOOKUP(T_Commission[[#This Row],[NumL]],T_suiviDi[#Data],COLUMN(T_suiviDi[[#This Row],[Avis n+1]]),FALSE)&lt;&gt;"",VLOOKUP(A116,T_suiviDi[#Data],COLUMN(T_suiviDi[[#This Row],[Avis n+1]]),FALSE),""),"")</f>
        <v/>
      </c>
      <c r="L116" s="142" t="str">
        <f>IFERROR(IF(VLOOKUP(T_Commission[[#This Row],[NumL]],T_suiviDi[#Data],COLUMN(T_suiviDi[[#This Row],[Avis n+2]]),FALSE)&lt;&gt;"",VLOOKUP(T_Commission[[#This Row],[NumL]],T_suiviDi[#Data],COLUMN(T_suiviDi[[#This Row],[Avis n+2]]),FALSE),""),"")</f>
        <v/>
      </c>
      <c r="M116" s="49">
        <v>1</v>
      </c>
      <c r="N116" s="49"/>
      <c r="O116" s="143" t="str">
        <f>IF(T_Commission[[#This Row],[Nom]]&lt;&gt;"",IF(T_Commission[[#This Row],[COM '#2]]&lt;&gt;"",MAX(T_Commission[[#This Row],[PJ]],T_Commission[[#This Row],[COM '#2]]),IF(T_Commission[[#This Row],[COM '#1]]&lt;&gt;"",MAX(T_Commission[[#This Row],[PJ]],T_Commission[[#This Row],[COM '#1]]),"")),"")</f>
        <v/>
      </c>
      <c r="P116" s="55" t="s">
        <v>115</v>
      </c>
      <c r="Q116" s="55" t="s">
        <v>3277</v>
      </c>
      <c r="R116" s="55" t="s">
        <v>3277</v>
      </c>
      <c r="S116" s="56"/>
      <c r="T116" s="144"/>
    </row>
    <row r="117" spans="1:20" s="93" customFormat="1" ht="30" customHeight="1" x14ac:dyDescent="0.25">
      <c r="A117" s="90">
        <v>333</v>
      </c>
      <c r="B117" s="130" t="str">
        <f>IFERROR(IF(VLOOKUP(T_Commission[[#This Row],[NumL]],T_TraitDi[#Data],COLUMN(T_TraitDi[[#This Row],[Statut]]),FALSE)&lt;&gt;"",VLOOKUP(T_Commission[[#This Row],[NumL]],T_TraitDi[#Data],COLUMN(T_TraitDi[[#This Row],[Statut]]),FALSE),""),"")</f>
        <v/>
      </c>
      <c r="C117" s="139" t="str">
        <f>IFERROR(IF(VLOOKUP(T_Commission[[#This Row],[NumL]],T_suiviDi[#Data],COLUMN(T_suiviDi[[#This Row],[Nom]]),FALSE)&lt;&gt;"",VLOOKUP(T_Commission[[#This Row],[NumL]],T_suiviDi[#Data],COLUMN(T_suiviDi[[#This Row],[Nom]]),FALSE),""),"")</f>
        <v/>
      </c>
      <c r="D117" s="139" t="str">
        <f>IFERROR(IF(VLOOKUP(T_Commission[[#This Row],[NumL]],T_suiviDi[#Data],COLUMN(T_suiviDi[[#This Row],[Prénom]]),FALSE)&lt;&gt;"",VLOOKUP(T_Commission[[#This Row],[NumL]],T_suiviDi[#Data],COLUMN(T_suiviDi[[#This Row],[Prénom]]),FALSE),""),"")</f>
        <v/>
      </c>
      <c r="E117" s="140" t="str">
        <f>IFERROR(IF(VLOOKUP(T_Commission[[#This Row],[NumL]],T_suiviDi[#Data],COLUMN(T_suiviDi[[#This Row],[Email]]),FALSE)&lt;&gt;"",VLOOKUP(T_Commission[[#This Row],[NumL]],T_suiviDi[#Data],COLUMN(T_suiviDi[[#This Row],[Email]]),FALSE),""),"")</f>
        <v/>
      </c>
      <c r="F117" s="141" t="str">
        <f>IFERROR(IF(VLOOKUP(T_Commission[[#This Row],[NumL]],T_suiviDi[#Data],COLUMN(T_suiviDi[[#This Row],[Nom1]]),FALSE)&lt;&gt;"",VLOOKUP(T_Commission[[#This Row],[NumL]],T_suiviDi[#Data],COLUMN(T_suiviDi[[#This Row],[Nom1]]),FALSE),""),"")</f>
        <v/>
      </c>
      <c r="G117" s="141" t="str">
        <f>IFERROR(IF(VLOOKUP(T_Commission[[#This Row],[NumL]],T_suiviDi[#Data],COLUMN(T_suiviDi[[#This Row],[Prénom1]]),FALSE)&lt;&gt;"",VLOOKUP(T_Commission[[#This Row],[NumL]],T_suiviDi[#Data],COLUMN(T_suiviDi[[#This Row],[Prénom1]]),FALSE),""),"")</f>
        <v/>
      </c>
      <c r="H117" s="141" t="str">
        <f>IFERROR(IF(VLOOKUP(T_Commission[[#This Row],[NumL]],T_suiviDi[#Data],COLUMN(T_suiviDi[[#This Row],[Email1]]),FALSE)&lt;&gt;"",VLOOKUP(T_Commission[[#This Row],[NumL]],T_suiviDi[#Data],COLUMN(T_suiviDi[[#This Row],[Email1]]),FALSE),""),"")</f>
        <v/>
      </c>
      <c r="I117" s="142" t="str">
        <f>IFERROR(VLOOKUP(T_Commission[[#This Row],[NumL]],T_TraitDi[#Data],COLUMN(T_TraitDi[[#This Row],[CTRL_PJ]]),FALSE),"")</f>
        <v/>
      </c>
      <c r="J117" s="142" t="str">
        <f>IF(C117&lt;&gt;"",IFERROR(VLOOKUP(A117,'2- Traitement des DI'!BV32,FALSE),""),"")</f>
        <v/>
      </c>
      <c r="K117" s="142" t="str">
        <f>IFERROR(IF(VLOOKUP(T_Commission[[#This Row],[NumL]],T_suiviDi[#Data],COLUMN(T_suiviDi[[#This Row],[Avis n+1]]),FALSE)&lt;&gt;"",VLOOKUP(A117,T_suiviDi[#Data],COLUMN(T_suiviDi[[#This Row],[Avis n+1]]),FALSE),""),"")</f>
        <v/>
      </c>
      <c r="L117" s="142" t="str">
        <f>IFERROR(IF(VLOOKUP(A117,ListeDI,27,FALSE)&lt;&gt;"",VLOOKUP(A117,ListeDI,27,FALSE),""),"")</f>
        <v/>
      </c>
      <c r="M117" s="49">
        <v>1</v>
      </c>
      <c r="N117" s="49"/>
      <c r="O117" s="143" t="str">
        <f>IF(C117&lt;&gt;"",IF(N117&lt;&gt;"",MAX(I117,N117),IF(M117&lt;&gt;"",MAX(I117,M117),"")),"")</f>
        <v/>
      </c>
      <c r="P117" s="55" t="s">
        <v>115</v>
      </c>
      <c r="Q117" s="55" t="s">
        <v>3277</v>
      </c>
      <c r="R117" s="55" t="s">
        <v>3277</v>
      </c>
      <c r="S117" s="56"/>
      <c r="T117" s="144"/>
    </row>
    <row r="118" spans="1:20" s="93" customFormat="1" ht="30" customHeight="1" x14ac:dyDescent="0.25">
      <c r="A118" s="90">
        <v>127</v>
      </c>
      <c r="B118" s="130" t="str">
        <f>IFERROR(IF(VLOOKUP(T_Commission[[#This Row],[NumL]],T_TraitDi[#Data],COLUMN(T_TraitDi[[#This Row],[Statut]]),FALSE)&lt;&gt;"",VLOOKUP(T_Commission[[#This Row],[NumL]],T_TraitDi[#Data],COLUMN(T_TraitDi[[#This Row],[Statut]]),FALSE),""),"")</f>
        <v/>
      </c>
      <c r="C118" s="19" t="str">
        <f>IFERROR(IF(VLOOKUP(T_Commission[[#This Row],[NumL]],T_suiviDi[#Data],COLUMN(T_suiviDi[Nom]),FALSE)&lt;&gt;"",VLOOKUP(T_Commission[[#This Row],[NumL]],T_suiviDi[#Data],COLUMN(T_suiviDi[Nom]),FALSE),""),"")</f>
        <v/>
      </c>
      <c r="D118" s="19" t="str">
        <f>IFERROR(IF(VLOOKUP(T_Commission[[#This Row],[NumL]],T_suiviDi[#Data],COLUMN(T_suiviDi[Prénom]),FALSE)&lt;&gt;"",VLOOKUP(T_Commission[[#This Row],[NumL]],T_suiviDi[#Data],COLUMN(T_suiviDi[Prénom]),FALSE),""),"")</f>
        <v/>
      </c>
      <c r="E118" s="20" t="str">
        <f>IFERROR(IF(VLOOKUP(T_Commission[[#This Row],[NumL]],T_suiviDi[#Data],COLUMN(T_suiviDi[Email]),FALSE)&lt;&gt;"",VLOOKUP(T_Commission[[#This Row],[NumL]],T_suiviDi[#Data],COLUMN(T_suiviDi[Email]),FALSE),""),"")</f>
        <v/>
      </c>
      <c r="F118" s="274" t="str">
        <f>IFERROR(IF(VLOOKUP(T_Commission[[#This Row],[NumL]],T_suiviDi[#Data],COLUMN(T_suiviDi[[#This Row],[Nom1]]),FALSE)&lt;&gt;"",VLOOKUP(T_Commission[[#This Row],[NumL]],T_suiviDi[#Data],COLUMN(T_suiviDi[[#This Row],[Nom1]]),FALSE),""),"")</f>
        <v/>
      </c>
      <c r="G118" s="274" t="str">
        <f>IFERROR(IF(VLOOKUP(T_Commission[[#This Row],[NumL]],T_suiviDi[#Data],COLUMN(T_suiviDi[[#This Row],[Prénom1]]),FALSE)&lt;&gt;"",VLOOKUP(T_Commission[[#This Row],[NumL]],T_suiviDi[#Data],COLUMN(T_suiviDi[[#This Row],[Prénom1]]),FALSE),""),"")</f>
        <v/>
      </c>
      <c r="H118" s="274" t="str">
        <f>IFERROR(IF(VLOOKUP(T_Commission[[#This Row],[NumL]],T_suiviDi[#Data],COLUMN(T_suiviDi[[#This Row],[Email1]]),FALSE)&lt;&gt;"",VLOOKUP(T_Commission[[#This Row],[NumL]],T_suiviDi[#Data],COLUMN(T_suiviDi[[#This Row],[Email1]]),FALSE),""),"")</f>
        <v/>
      </c>
      <c r="I118" s="142" t="str">
        <f>IFERROR(VLOOKUP(T_Commission[[#This Row],[NumL]],T_TraitDi[#Data],COLUMN(T_TraitDi[[#This Row],[CTRL_PJ]]),FALSE),"")</f>
        <v/>
      </c>
      <c r="J118" s="142" t="str">
        <f>IF(T_Commission[[#This Row],[Nom]]&lt;&gt;"",IFERROR(VLOOKUP(T_Commission[[#This Row],[NumL]],T_TraitDi[#Data],COLUMN(T_TraitDi[[#This Row],[C10]]),FALSE),""),"")</f>
        <v/>
      </c>
      <c r="K118" s="142" t="str">
        <f>IFERROR(IF(VLOOKUP(T_Commission[[#This Row],[NumL]],T_suiviDi[#Data],COLUMN(T_suiviDi[[#This Row],[Avis n+1]]),FALSE)&lt;&gt;"",VLOOKUP(A118,T_suiviDi[#Data],COLUMN(T_suiviDi[[#This Row],[Avis n+1]]),FALSE),""),"")</f>
        <v/>
      </c>
      <c r="L118" s="142" t="str">
        <f>IFERROR(IF(VLOOKUP(T_Commission[[#This Row],[NumL]],T_suiviDi[#Data],COLUMN(T_suiviDi[[#This Row],[Avis n+2]]),FALSE)&lt;&gt;"",VLOOKUP(T_Commission[[#This Row],[NumL]],T_suiviDi[#Data],COLUMN(T_suiviDi[[#This Row],[Avis n+2]]),FALSE),""),"")</f>
        <v/>
      </c>
      <c r="M118" s="49">
        <v>1</v>
      </c>
      <c r="N118" s="49"/>
      <c r="O118" s="143" t="str">
        <f>IF(T_Commission[[#This Row],[Nom]]&lt;&gt;"",IF(T_Commission[[#This Row],[COM '#2]]&lt;&gt;"",MAX(T_Commission[[#This Row],[PJ]],T_Commission[[#This Row],[COM '#2]]),IF(T_Commission[[#This Row],[COM '#1]]&lt;&gt;"",MAX(T_Commission[[#This Row],[PJ]],T_Commission[[#This Row],[COM '#1]]),"")),"")</f>
        <v/>
      </c>
      <c r="P118" s="55" t="s">
        <v>115</v>
      </c>
      <c r="Q118" s="55" t="s">
        <v>3277</v>
      </c>
      <c r="R118" s="55" t="s">
        <v>3277</v>
      </c>
      <c r="S118" s="56"/>
      <c r="T118" s="144"/>
    </row>
    <row r="119" spans="1:20" s="93" customFormat="1" ht="30" customHeight="1" x14ac:dyDescent="0.25">
      <c r="A119" s="90">
        <v>254</v>
      </c>
      <c r="B119" s="130" t="str">
        <f>IFERROR(IF(VLOOKUP(T_Commission[[#This Row],[NumL]],T_TraitDi[#Data],COLUMN(T_TraitDi[[#This Row],[Statut]]),FALSE)&lt;&gt;"",VLOOKUP(T_Commission[[#This Row],[NumL]],T_TraitDi[#Data],COLUMN(T_TraitDi[[#This Row],[Statut]]),FALSE),""),"")</f>
        <v/>
      </c>
      <c r="C119" s="19" t="str">
        <f>IFERROR(IF(VLOOKUP(T_Commission[[#This Row],[NumL]],T_suiviDi[#Data],COLUMN(T_suiviDi[Nom]),FALSE)&lt;&gt;"",VLOOKUP(T_Commission[[#This Row],[NumL]],T_suiviDi[#Data],COLUMN(T_suiviDi[Nom]),FALSE),""),"")</f>
        <v/>
      </c>
      <c r="D119" s="19" t="str">
        <f>IFERROR(IF(VLOOKUP(T_Commission[[#This Row],[NumL]],T_suiviDi[#Data],COLUMN(T_suiviDi[Prénom]),FALSE)&lt;&gt;"",VLOOKUP(T_Commission[[#This Row],[NumL]],T_suiviDi[#Data],COLUMN(T_suiviDi[Prénom]),FALSE),""),"")</f>
        <v/>
      </c>
      <c r="E119" s="20" t="str">
        <f>IFERROR(IF(VLOOKUP(T_Commission[[#This Row],[NumL]],T_suiviDi[#Data],COLUMN(T_suiviDi[Email]),FALSE)&lt;&gt;"",VLOOKUP(T_Commission[[#This Row],[NumL]],T_suiviDi[#Data],COLUMN(T_suiviDi[Email]),FALSE),""),"")</f>
        <v/>
      </c>
      <c r="F119" s="274" t="str">
        <f>IFERROR(IF(VLOOKUP(T_Commission[[#This Row],[NumL]],T_suiviDi[#Data],COLUMN(T_suiviDi[[#This Row],[Nom1]]),FALSE)&lt;&gt;"",VLOOKUP(T_Commission[[#This Row],[NumL]],T_suiviDi[#Data],COLUMN(T_suiviDi[[#This Row],[Nom1]]),FALSE),""),"")</f>
        <v/>
      </c>
      <c r="G119" s="274" t="str">
        <f>IFERROR(IF(VLOOKUP(T_Commission[[#This Row],[NumL]],T_suiviDi[#Data],COLUMN(T_suiviDi[[#This Row],[Prénom1]]),FALSE)&lt;&gt;"",VLOOKUP(T_Commission[[#This Row],[NumL]],T_suiviDi[#Data],COLUMN(T_suiviDi[[#This Row],[Prénom1]]),FALSE),""),"")</f>
        <v/>
      </c>
      <c r="H119" s="274" t="str">
        <f>IFERROR(IF(VLOOKUP(T_Commission[[#This Row],[NumL]],T_suiviDi[#Data],COLUMN(T_suiviDi[[#This Row],[Email1]]),FALSE)&lt;&gt;"",VLOOKUP(T_Commission[[#This Row],[NumL]],T_suiviDi[#Data],COLUMN(T_suiviDi[[#This Row],[Email1]]),FALSE),""),"")</f>
        <v/>
      </c>
      <c r="I119" s="142" t="str">
        <f>IFERROR(VLOOKUP(T_Commission[[#This Row],[NumL]],T_TraitDi[#Data],COLUMN(T_TraitDi[[#This Row],[CTRL_PJ]]),FALSE),"")</f>
        <v/>
      </c>
      <c r="J119" s="142" t="str">
        <f>IF(T_Commission[[#This Row],[Nom]]&lt;&gt;"",IFERROR(VLOOKUP(T_Commission[[#This Row],[NumL]],T_TraitDi[#Data],COLUMN(T_TraitDi[[#This Row],[C10]]),FALSE),""),"")</f>
        <v/>
      </c>
      <c r="K119" s="142" t="str">
        <f>IFERROR(IF(VLOOKUP(T_Commission[[#This Row],[NumL]],T_suiviDi[#Data],COLUMN(T_suiviDi[[#This Row],[Avis n+1]]),FALSE)&lt;&gt;"",VLOOKUP(A119,T_suiviDi[#Data],COLUMN(T_suiviDi[[#This Row],[Avis n+1]]),FALSE),""),"")</f>
        <v/>
      </c>
      <c r="L119" s="142" t="str">
        <f>IFERROR(IF(VLOOKUP(T_Commission[[#This Row],[NumL]],T_suiviDi[#Data],COLUMN(T_suiviDi[[#This Row],[Avis n+2]]),FALSE)&lt;&gt;"",VLOOKUP(T_Commission[[#This Row],[NumL]],T_suiviDi[#Data],COLUMN(T_suiviDi[[#This Row],[Avis n+2]]),FALSE),""),"")</f>
        <v/>
      </c>
      <c r="M119" s="49">
        <v>1</v>
      </c>
      <c r="N119" s="49"/>
      <c r="O119" s="143" t="str">
        <f>IF(T_Commission[[#This Row],[Nom]]&lt;&gt;"",IF(T_Commission[[#This Row],[COM '#2]]&lt;&gt;"",MAX(T_Commission[[#This Row],[PJ]],T_Commission[[#This Row],[COM '#2]]),IF(T_Commission[[#This Row],[COM '#1]]&lt;&gt;"",MAX(T_Commission[[#This Row],[PJ]],T_Commission[[#This Row],[COM '#1]]),"")),"")</f>
        <v/>
      </c>
      <c r="P119" s="55" t="s">
        <v>115</v>
      </c>
      <c r="Q119" s="55" t="s">
        <v>3277</v>
      </c>
      <c r="R119" s="55" t="s">
        <v>3277</v>
      </c>
      <c r="S119" s="56"/>
      <c r="T119" s="144"/>
    </row>
    <row r="120" spans="1:20" s="93" customFormat="1" ht="30" customHeight="1" x14ac:dyDescent="0.25">
      <c r="A120" s="90">
        <v>305</v>
      </c>
      <c r="B120" s="130" t="str">
        <f>IFERROR(IF(VLOOKUP(T_Commission[[#This Row],[NumL]],T_TraitDi[#Data],COLUMN(T_TraitDi[[#This Row],[Statut]]),FALSE)&lt;&gt;"",VLOOKUP(T_Commission[[#This Row],[NumL]],T_TraitDi[#Data],COLUMN(T_TraitDi[[#This Row],[Statut]]),FALSE),""),"")</f>
        <v/>
      </c>
      <c r="C120" s="139" t="str">
        <f>IFERROR(IF(VLOOKUP(T_Commission[[#This Row],[NumL]],T_suiviDi[#Data],COLUMN(T_suiviDi[[#This Row],[Nom]]),FALSE)&lt;&gt;"",VLOOKUP(T_Commission[[#This Row],[NumL]],T_suiviDi[#Data],COLUMN(T_suiviDi[[#This Row],[Nom]]),FALSE),""),"")</f>
        <v/>
      </c>
      <c r="D120" s="139" t="str">
        <f>IFERROR(IF(VLOOKUP(T_Commission[[#This Row],[NumL]],T_suiviDi[#Data],COLUMN(T_suiviDi[[#This Row],[Prénom]]),FALSE)&lt;&gt;"",VLOOKUP(T_Commission[[#This Row],[NumL]],T_suiviDi[#Data],COLUMN(T_suiviDi[[#This Row],[Prénom]]),FALSE),""),"")</f>
        <v/>
      </c>
      <c r="E120" s="140" t="str">
        <f>IFERROR(IF(VLOOKUP(T_Commission[[#This Row],[NumL]],T_suiviDi[#Data],COLUMN(T_suiviDi[[#This Row],[Email]]),FALSE)&lt;&gt;"",VLOOKUP(T_Commission[[#This Row],[NumL]],T_suiviDi[#Data],COLUMN(T_suiviDi[[#This Row],[Email]]),FALSE),""),"")</f>
        <v/>
      </c>
      <c r="F120" s="141" t="str">
        <f>IFERROR(IF(VLOOKUP(T_Commission[[#This Row],[NumL]],T_suiviDi[#Data],COLUMN(T_suiviDi[[#This Row],[Nom1]]),FALSE)&lt;&gt;"",VLOOKUP(T_Commission[[#This Row],[NumL]],T_suiviDi[#Data],COLUMN(T_suiviDi[[#This Row],[Nom1]]),FALSE),""),"")</f>
        <v/>
      </c>
      <c r="G120" s="141" t="str">
        <f>IFERROR(IF(VLOOKUP(T_Commission[[#This Row],[NumL]],T_suiviDi[#Data],COLUMN(T_suiviDi[[#This Row],[Prénom1]]),FALSE)&lt;&gt;"",VLOOKUP(T_Commission[[#This Row],[NumL]],T_suiviDi[#Data],COLUMN(T_suiviDi[[#This Row],[Prénom1]]),FALSE),""),"")</f>
        <v/>
      </c>
      <c r="H120" s="141" t="str">
        <f>IFERROR(IF(VLOOKUP(T_Commission[[#This Row],[NumL]],T_suiviDi[#Data],COLUMN(T_suiviDi[[#This Row],[Email1]]),FALSE)&lt;&gt;"",VLOOKUP(T_Commission[[#This Row],[NumL]],T_suiviDi[#Data],COLUMN(T_suiviDi[[#This Row],[Email1]]),FALSE),""),"")</f>
        <v/>
      </c>
      <c r="I120" s="142" t="str">
        <f>IFERROR(VLOOKUP(T_Commission[[#This Row],[NumL]],T_TraitDi[#Data],COLUMN(T_TraitDi[[#This Row],[CTRL_PJ]]),FALSE),"")</f>
        <v/>
      </c>
      <c r="J120" s="142" t="str">
        <f>IF(C120&lt;&gt;"",IFERROR(VLOOKUP(A120,'2- Traitement des DI'!BV32,FALSE),""),"")</f>
        <v/>
      </c>
      <c r="K120" s="142" t="str">
        <f>IFERROR(IF(VLOOKUP(T_Commission[[#This Row],[NumL]],T_suiviDi[#Data],COLUMN(T_suiviDi[[#This Row],[Avis n+1]]),FALSE)&lt;&gt;"",VLOOKUP(A120,T_suiviDi[#Data],COLUMN(T_suiviDi[[#This Row],[Avis n+1]]),FALSE),""),"")</f>
        <v/>
      </c>
      <c r="L120" s="142" t="str">
        <f>IFERROR(IF(VLOOKUP(A120,ListeDI,27,FALSE)&lt;&gt;"",VLOOKUP(A120,ListeDI,27,FALSE),""),"")</f>
        <v/>
      </c>
      <c r="M120" s="49">
        <v>1</v>
      </c>
      <c r="N120" s="49"/>
      <c r="O120" s="143" t="str">
        <f>IF(C120&lt;&gt;"",IF(N120&lt;&gt;"",MAX(I120,N120),IF(M120&lt;&gt;"",MAX(I120,M120),"")),"")</f>
        <v/>
      </c>
      <c r="P120" s="55" t="s">
        <v>115</v>
      </c>
      <c r="Q120" s="55" t="s">
        <v>3277</v>
      </c>
      <c r="R120" s="55" t="s">
        <v>3277</v>
      </c>
      <c r="S120" s="56"/>
      <c r="T120" s="144"/>
    </row>
    <row r="121" spans="1:20" s="93" customFormat="1" ht="30" customHeight="1" x14ac:dyDescent="0.25">
      <c r="A121" s="90">
        <v>326</v>
      </c>
      <c r="B121" s="130" t="str">
        <f>IFERROR(IF(VLOOKUP(T_Commission[[#This Row],[NumL]],T_TraitDi[#Data],COLUMN(T_TraitDi[[#This Row],[Statut]]),FALSE)&lt;&gt;"",VLOOKUP(T_Commission[[#This Row],[NumL]],T_TraitDi[#Data],COLUMN(T_TraitDi[[#This Row],[Statut]]),FALSE),""),"")</f>
        <v/>
      </c>
      <c r="C121" s="139" t="str">
        <f>IFERROR(IF(VLOOKUP(T_Commission[[#This Row],[NumL]],T_suiviDi[#Data],COLUMN(T_suiviDi[[#This Row],[Nom]]),FALSE)&lt;&gt;"",VLOOKUP(T_Commission[[#This Row],[NumL]],T_suiviDi[#Data],COLUMN(T_suiviDi[[#This Row],[Nom]]),FALSE),""),"")</f>
        <v/>
      </c>
      <c r="D121" s="139" t="str">
        <f>IFERROR(IF(VLOOKUP(T_Commission[[#This Row],[NumL]],T_suiviDi[#Data],COLUMN(T_suiviDi[[#This Row],[Prénom]]),FALSE)&lt;&gt;"",VLOOKUP(T_Commission[[#This Row],[NumL]],T_suiviDi[#Data],COLUMN(T_suiviDi[[#This Row],[Prénom]]),FALSE),""),"")</f>
        <v/>
      </c>
      <c r="E121" s="140" t="str">
        <f>IFERROR(IF(VLOOKUP(T_Commission[[#This Row],[NumL]],T_suiviDi[#Data],COLUMN(T_suiviDi[[#This Row],[Email]]),FALSE)&lt;&gt;"",VLOOKUP(T_Commission[[#This Row],[NumL]],T_suiviDi[#Data],COLUMN(T_suiviDi[[#This Row],[Email]]),FALSE),""),"")</f>
        <v/>
      </c>
      <c r="F121" s="141" t="str">
        <f>IFERROR(IF(VLOOKUP(T_Commission[[#This Row],[NumL]],T_suiviDi[#Data],COLUMN(T_suiviDi[[#This Row],[Nom1]]),FALSE)&lt;&gt;"",VLOOKUP(T_Commission[[#This Row],[NumL]],T_suiviDi[#Data],COLUMN(T_suiviDi[[#This Row],[Nom1]]),FALSE),""),"")</f>
        <v/>
      </c>
      <c r="G121" s="141" t="str">
        <f>IFERROR(IF(VLOOKUP(T_Commission[[#This Row],[NumL]],T_suiviDi[#Data],COLUMN(T_suiviDi[[#This Row],[Prénom1]]),FALSE)&lt;&gt;"",VLOOKUP(T_Commission[[#This Row],[NumL]],T_suiviDi[#Data],COLUMN(T_suiviDi[[#This Row],[Prénom1]]),FALSE),""),"")</f>
        <v/>
      </c>
      <c r="H121" s="141" t="str">
        <f>IFERROR(IF(VLOOKUP(T_Commission[[#This Row],[NumL]],T_suiviDi[#Data],COLUMN(T_suiviDi[[#This Row],[Email1]]),FALSE)&lt;&gt;"",VLOOKUP(T_Commission[[#This Row],[NumL]],T_suiviDi[#Data],COLUMN(T_suiviDi[[#This Row],[Email1]]),FALSE),""),"")</f>
        <v/>
      </c>
      <c r="I121" s="142" t="str">
        <f>IFERROR(VLOOKUP(T_Commission[[#This Row],[NumL]],T_TraitDi[#Data],COLUMN(T_TraitDi[[#This Row],[CTRL_PJ]]),FALSE),"")</f>
        <v/>
      </c>
      <c r="J121" s="142" t="str">
        <f>IF(C121&lt;&gt;"",IFERROR(VLOOKUP(A121,'2- Traitement des DI'!BV32,FALSE),""),"")</f>
        <v/>
      </c>
      <c r="K121" s="142" t="str">
        <f>IFERROR(IF(VLOOKUP(T_Commission[[#This Row],[NumL]],T_suiviDi[#Data],COLUMN(T_suiviDi[[#This Row],[Avis n+1]]),FALSE)&lt;&gt;"",VLOOKUP(A121,T_suiviDi[#Data],COLUMN(T_suiviDi[[#This Row],[Avis n+1]]),FALSE),""),"")</f>
        <v/>
      </c>
      <c r="L121" s="142" t="str">
        <f>IFERROR(IF(VLOOKUP(A121,ListeDI,27,FALSE)&lt;&gt;"",VLOOKUP(A121,ListeDI,27,FALSE),""),"")</f>
        <v/>
      </c>
      <c r="M121" s="49">
        <v>1</v>
      </c>
      <c r="N121" s="49"/>
      <c r="O121" s="143" t="str">
        <f>IF(C121&lt;&gt;"",IF(N121&lt;&gt;"",MAX(I121,N121),IF(M121&lt;&gt;"",MAX(I121,M121),"")),"")</f>
        <v/>
      </c>
      <c r="P121" s="55" t="s">
        <v>115</v>
      </c>
      <c r="Q121" s="55" t="s">
        <v>3277</v>
      </c>
      <c r="R121" s="55" t="s">
        <v>3277</v>
      </c>
      <c r="S121" s="56"/>
      <c r="T121" s="144"/>
    </row>
    <row r="122" spans="1:20" s="93" customFormat="1" ht="30" customHeight="1" x14ac:dyDescent="0.25">
      <c r="A122" s="90">
        <v>343</v>
      </c>
      <c r="B122" s="130" t="str">
        <f>IFERROR(IF(VLOOKUP(T_Commission[[#This Row],[NumL]],T_TraitDi[#Data],COLUMN(T_TraitDi[[#This Row],[Statut]]),FALSE)&lt;&gt;"",VLOOKUP(T_Commission[[#This Row],[NumL]],T_TraitDi[#Data],COLUMN(T_TraitDi[[#This Row],[Statut]]),FALSE),""),"")</f>
        <v/>
      </c>
      <c r="C122" s="139" t="str">
        <f>IFERROR(IF(VLOOKUP(T_Commission[[#This Row],[NumL]],T_suiviDi[#Data],COLUMN(T_suiviDi[[#This Row],[Nom]]),FALSE)&lt;&gt;"",VLOOKUP(T_Commission[[#This Row],[NumL]],T_suiviDi[#Data],COLUMN(T_suiviDi[[#This Row],[Nom]]),FALSE),""),"")</f>
        <v/>
      </c>
      <c r="D122" s="139" t="str">
        <f>IFERROR(IF(VLOOKUP(T_Commission[[#This Row],[NumL]],T_suiviDi[#Data],COLUMN(T_suiviDi[[#This Row],[Prénom]]),FALSE)&lt;&gt;"",VLOOKUP(T_Commission[[#This Row],[NumL]],T_suiviDi[#Data],COLUMN(T_suiviDi[[#This Row],[Prénom]]),FALSE),""),"")</f>
        <v/>
      </c>
      <c r="E122" s="140" t="str">
        <f>IFERROR(IF(VLOOKUP(T_Commission[[#This Row],[NumL]],T_suiviDi[#Data],COLUMN(T_suiviDi[[#This Row],[Email]]),FALSE)&lt;&gt;"",VLOOKUP(T_Commission[[#This Row],[NumL]],T_suiviDi[#Data],COLUMN(T_suiviDi[[#This Row],[Email]]),FALSE),""),"")</f>
        <v/>
      </c>
      <c r="F122" s="141" t="str">
        <f>IFERROR(IF(VLOOKUP(T_Commission[[#This Row],[NumL]],T_suiviDi[#Data],COLUMN(T_suiviDi[[#This Row],[Nom1]]),FALSE)&lt;&gt;"",VLOOKUP(T_Commission[[#This Row],[NumL]],T_suiviDi[#Data],COLUMN(T_suiviDi[[#This Row],[Nom1]]),FALSE),""),"")</f>
        <v/>
      </c>
      <c r="G122" s="141" t="str">
        <f>IFERROR(IF(VLOOKUP(T_Commission[[#This Row],[NumL]],T_suiviDi[#Data],COLUMN(T_suiviDi[[#This Row],[Prénom1]]),FALSE)&lt;&gt;"",VLOOKUP(T_Commission[[#This Row],[NumL]],T_suiviDi[#Data],COLUMN(T_suiviDi[[#This Row],[Prénom1]]),FALSE),""),"")</f>
        <v/>
      </c>
      <c r="H122" s="141" t="str">
        <f>IFERROR(IF(VLOOKUP(T_Commission[[#This Row],[NumL]],T_suiviDi[#Data],COLUMN(T_suiviDi[[#This Row],[Email1]]),FALSE)&lt;&gt;"",VLOOKUP(T_Commission[[#This Row],[NumL]],T_suiviDi[#Data],COLUMN(T_suiviDi[[#This Row],[Email1]]),FALSE),""),"")</f>
        <v/>
      </c>
      <c r="I122" s="142" t="str">
        <f>IFERROR(VLOOKUP(T_Commission[[#This Row],[NumL]],T_TraitDi[#Data],COLUMN(T_TraitDi[[#This Row],[CTRL_PJ]]),FALSE),"")</f>
        <v/>
      </c>
      <c r="J122" s="142" t="str">
        <f>IF(C122&lt;&gt;"",IFERROR(VLOOKUP(A122,'2- Traitement des DI'!BV32,FALSE),""),"")</f>
        <v/>
      </c>
      <c r="K122" s="142" t="str">
        <f>IFERROR(IF(VLOOKUP(T_Commission[[#This Row],[NumL]],T_suiviDi[#Data],COLUMN(T_suiviDi[[#This Row],[Avis n+1]]),FALSE)&lt;&gt;"",VLOOKUP(A122,T_suiviDi[#Data],COLUMN(T_suiviDi[[#This Row],[Avis n+1]]),FALSE),""),"")</f>
        <v/>
      </c>
      <c r="L122" s="142" t="str">
        <f>IFERROR(IF(VLOOKUP(A122,ListeDI,27,FALSE)&lt;&gt;"",VLOOKUP(A122,ListeDI,27,FALSE),""),"")</f>
        <v/>
      </c>
      <c r="M122" s="49">
        <v>1</v>
      </c>
      <c r="N122" s="49"/>
      <c r="O122" s="143" t="str">
        <f>IF(C122&lt;&gt;"",IF(N122&lt;&gt;"",MAX(I122,N122),IF(M122&lt;&gt;"",MAX(I122,M122),"")),"")</f>
        <v/>
      </c>
      <c r="P122" s="55" t="s">
        <v>115</v>
      </c>
      <c r="Q122" s="55" t="s">
        <v>3277</v>
      </c>
      <c r="R122" s="55"/>
      <c r="S122" s="56"/>
      <c r="T122" s="144"/>
    </row>
    <row r="123" spans="1:20" s="93" customFormat="1" ht="30" customHeight="1" x14ac:dyDescent="0.25">
      <c r="A123" s="90">
        <v>29</v>
      </c>
      <c r="B123" s="130" t="str">
        <f>IFERROR(IF(VLOOKUP(T_Commission[[#This Row],[NumL]],T_TraitDi[#Data],COLUMN(T_TraitDi[[#This Row],[Statut]]),FALSE)&lt;&gt;"",VLOOKUP(T_Commission[[#This Row],[NumL]],T_TraitDi[#Data],COLUMN(T_TraitDi[[#This Row],[Statut]]),FALSE),""),"")</f>
        <v/>
      </c>
      <c r="C123" s="19" t="str">
        <f>IFERROR(IF(VLOOKUP(T_Commission[[#This Row],[NumL]],T_suiviDi[#Data],COLUMN(T_suiviDi[Nom]),FALSE)&lt;&gt;"",VLOOKUP(T_Commission[[#This Row],[NumL]],T_suiviDi[#Data],COLUMN(T_suiviDi[Nom]),FALSE),""),"")</f>
        <v/>
      </c>
      <c r="D123" s="19" t="str">
        <f>IFERROR(IF(VLOOKUP(T_Commission[[#This Row],[NumL]],T_suiviDi[#Data],COLUMN(T_suiviDi[Prénom]),FALSE)&lt;&gt;"",VLOOKUP(T_Commission[[#This Row],[NumL]],T_suiviDi[#Data],COLUMN(T_suiviDi[Prénom]),FALSE),""),"")</f>
        <v/>
      </c>
      <c r="E123" s="20" t="str">
        <f>IFERROR(IF(VLOOKUP(T_Commission[[#This Row],[NumL]],T_suiviDi[#Data],COLUMN(T_suiviDi[Email]),FALSE)&lt;&gt;"",VLOOKUP(T_Commission[[#This Row],[NumL]],T_suiviDi[#Data],COLUMN(T_suiviDi[Email]),FALSE),""),"")</f>
        <v/>
      </c>
      <c r="F123" s="274" t="str">
        <f>IFERROR(IF(VLOOKUP(T_Commission[[#This Row],[NumL]],T_suiviDi[#Data],COLUMN(T_suiviDi[[#This Row],[Nom1]]),FALSE)&lt;&gt;"",VLOOKUP(T_Commission[[#This Row],[NumL]],T_suiviDi[#Data],COLUMN(T_suiviDi[[#This Row],[Nom1]]),FALSE),""),"")</f>
        <v/>
      </c>
      <c r="G123" s="274" t="str">
        <f>IFERROR(IF(VLOOKUP(T_Commission[[#This Row],[NumL]],T_suiviDi[#Data],COLUMN(T_suiviDi[[#This Row],[Prénom1]]),FALSE)&lt;&gt;"",VLOOKUP(T_Commission[[#This Row],[NumL]],T_suiviDi[#Data],COLUMN(T_suiviDi[[#This Row],[Prénom1]]),FALSE),""),"")</f>
        <v/>
      </c>
      <c r="H123" s="274" t="str">
        <f>IFERROR(IF(VLOOKUP(T_Commission[[#This Row],[NumL]],T_suiviDi[#Data],COLUMN(T_suiviDi[[#This Row],[Email1]]),FALSE)&lt;&gt;"",VLOOKUP(T_Commission[[#This Row],[NumL]],T_suiviDi[#Data],COLUMN(T_suiviDi[[#This Row],[Email1]]),FALSE),""),"")</f>
        <v/>
      </c>
      <c r="I123" s="142" t="str">
        <f>IFERROR(VLOOKUP(T_Commission[[#This Row],[NumL]],T_TraitDi[#Data],COLUMN(T_TraitDi[[#This Row],[CTRL_PJ]]),FALSE),"")</f>
        <v/>
      </c>
      <c r="J123" s="142" t="str">
        <f>IF(T_Commission[[#This Row],[Nom]]&lt;&gt;"",IFERROR(VLOOKUP(T_Commission[[#This Row],[NumL]],T_TraitDi[#Data],COLUMN(T_TraitDi[[#This Row],[C10]]),FALSE),""),"")</f>
        <v/>
      </c>
      <c r="K123" s="142" t="str">
        <f>IFERROR(IF(VLOOKUP(T_Commission[[#This Row],[NumL]],T_suiviDi[#Data],COLUMN(T_suiviDi[[#This Row],[Avis n+1]]),FALSE)&lt;&gt;"",VLOOKUP(A123,T_suiviDi[#Data],COLUMN(T_suiviDi[[#This Row],[Avis n+1]]),FALSE),""),"")</f>
        <v/>
      </c>
      <c r="L123" s="142" t="str">
        <f>IFERROR(IF(VLOOKUP(T_Commission[[#This Row],[NumL]],T_suiviDi[#Data],COLUMN(T_suiviDi[[#This Row],[Avis n+2]]),FALSE)&lt;&gt;"",VLOOKUP(T_Commission[[#This Row],[NumL]],T_suiviDi[#Data],COLUMN(T_suiviDi[[#This Row],[Avis n+2]]),FALSE),""),"")</f>
        <v/>
      </c>
      <c r="M123" s="49">
        <v>1</v>
      </c>
      <c r="N123" s="49"/>
      <c r="O123" s="143" t="str">
        <f>IF(T_Commission[[#This Row],[Nom]]&lt;&gt;"",IF(T_Commission[[#This Row],[COM '#2]]&lt;&gt;"",MAX(T_Commission[[#This Row],[PJ]],T_Commission[[#This Row],[COM '#2]]),IF(T_Commission[[#This Row],[COM '#1]]&lt;&gt;"",MAX(T_Commission[[#This Row],[PJ]],T_Commission[[#This Row],[COM '#1]]),"")),"")</f>
        <v/>
      </c>
      <c r="P123" s="55" t="s">
        <v>115</v>
      </c>
      <c r="Q123" s="55" t="s">
        <v>3277</v>
      </c>
      <c r="R123" s="55" t="s">
        <v>3277</v>
      </c>
      <c r="S123" s="56"/>
      <c r="T123" s="144"/>
    </row>
    <row r="124" spans="1:20" s="93" customFormat="1" ht="30" customHeight="1" x14ac:dyDescent="0.25">
      <c r="A124" s="90">
        <v>348</v>
      </c>
      <c r="B124" s="130" t="str">
        <f>IFERROR(IF(VLOOKUP(T_Commission[[#This Row],[NumL]],T_TraitDi[#Data],COLUMN(T_TraitDi[[#This Row],[Statut]]),FALSE)&lt;&gt;"",VLOOKUP(T_Commission[[#This Row],[NumL]],T_TraitDi[#Data],COLUMN(T_TraitDi[[#This Row],[Statut]]),FALSE),""),"")</f>
        <v/>
      </c>
      <c r="C124" s="139" t="str">
        <f>IFERROR(IF(VLOOKUP(T_Commission[[#This Row],[NumL]],T_suiviDi[#Data],COLUMN(T_suiviDi[[#This Row],[Nom]]),FALSE)&lt;&gt;"",VLOOKUP(T_Commission[[#This Row],[NumL]],T_suiviDi[#Data],COLUMN(T_suiviDi[[#This Row],[Nom]]),FALSE),""),"")</f>
        <v/>
      </c>
      <c r="D124" s="139" t="str">
        <f>IFERROR(IF(VLOOKUP(T_Commission[[#This Row],[NumL]],T_suiviDi[#Data],COLUMN(T_suiviDi[[#This Row],[Prénom]]),FALSE)&lt;&gt;"",VLOOKUP(T_Commission[[#This Row],[NumL]],T_suiviDi[#Data],COLUMN(T_suiviDi[[#This Row],[Prénom]]),FALSE),""),"")</f>
        <v/>
      </c>
      <c r="E124" s="140" t="str">
        <f>IFERROR(IF(VLOOKUP(T_Commission[[#This Row],[NumL]],T_suiviDi[#Data],COLUMN(T_suiviDi[[#This Row],[Email]]),FALSE)&lt;&gt;"",VLOOKUP(T_Commission[[#This Row],[NumL]],T_suiviDi[#Data],COLUMN(T_suiviDi[[#This Row],[Email]]),FALSE),""),"")</f>
        <v/>
      </c>
      <c r="F124" s="141" t="str">
        <f>IFERROR(IF(VLOOKUP(T_Commission[[#This Row],[NumL]],T_suiviDi[#Data],COLUMN(T_suiviDi[[#This Row],[Nom1]]),FALSE)&lt;&gt;"",VLOOKUP(T_Commission[[#This Row],[NumL]],T_suiviDi[#Data],COLUMN(T_suiviDi[[#This Row],[Nom1]]),FALSE),""),"")</f>
        <v/>
      </c>
      <c r="G124" s="141" t="str">
        <f>IFERROR(IF(VLOOKUP(T_Commission[[#This Row],[NumL]],T_suiviDi[#Data],COLUMN(T_suiviDi[[#This Row],[Prénom1]]),FALSE)&lt;&gt;"",VLOOKUP(T_Commission[[#This Row],[NumL]],T_suiviDi[#Data],COLUMN(T_suiviDi[[#This Row],[Prénom1]]),FALSE),""),"")</f>
        <v/>
      </c>
      <c r="H124" s="141" t="str">
        <f>IFERROR(IF(VLOOKUP(T_Commission[[#This Row],[NumL]],T_suiviDi[#Data],COLUMN(T_suiviDi[[#This Row],[Email1]]),FALSE)&lt;&gt;"",VLOOKUP(T_Commission[[#This Row],[NumL]],T_suiviDi[#Data],COLUMN(T_suiviDi[[#This Row],[Email1]]),FALSE),""),"")</f>
        <v/>
      </c>
      <c r="I124" s="142" t="str">
        <f>IFERROR(VLOOKUP(T_Commission[[#This Row],[NumL]],T_TraitDi[#Data],COLUMN(T_TraitDi[[#This Row],[CTRL_PJ]]),FALSE),"")</f>
        <v/>
      </c>
      <c r="J124" s="142" t="str">
        <f>IF(C124&lt;&gt;"",IFERROR(VLOOKUP(A124,'2- Traitement des DI'!BV32,FALSE),""),"")</f>
        <v/>
      </c>
      <c r="K124" s="142" t="str">
        <f>IFERROR(IF(VLOOKUP(T_Commission[[#This Row],[NumL]],T_suiviDi[#Data],COLUMN(T_suiviDi[[#This Row],[Avis n+1]]),FALSE)&lt;&gt;"",VLOOKUP(A124,T_suiviDi[#Data],COLUMN(T_suiviDi[[#This Row],[Avis n+1]]),FALSE),""),"")</f>
        <v/>
      </c>
      <c r="L124" s="142" t="str">
        <f>IFERROR(IF(VLOOKUP(A124,ListeDI,27,FALSE)&lt;&gt;"",VLOOKUP(A124,ListeDI,27,FALSE),""),"")</f>
        <v/>
      </c>
      <c r="M124" s="49">
        <v>1</v>
      </c>
      <c r="N124" s="49"/>
      <c r="O124" s="143" t="str">
        <f>IF(C124&lt;&gt;"",IF(N124&lt;&gt;"",MAX(I124,N124),IF(M124&lt;&gt;"",MAX(I124,M124),"")),"")</f>
        <v/>
      </c>
      <c r="P124" s="55" t="s">
        <v>115</v>
      </c>
      <c r="Q124" s="55" t="s">
        <v>3277</v>
      </c>
      <c r="R124" s="55" t="s">
        <v>3277</v>
      </c>
      <c r="S124" s="56"/>
      <c r="T124" s="144"/>
    </row>
    <row r="125" spans="1:20" s="93" customFormat="1" ht="30" customHeight="1" x14ac:dyDescent="0.25">
      <c r="A125" s="90">
        <v>265</v>
      </c>
      <c r="B125" s="130" t="str">
        <f>IFERROR(IF(VLOOKUP(T_Commission[[#This Row],[NumL]],T_TraitDi[#Data],COLUMN(T_TraitDi[[#This Row],[Statut]]),FALSE)&lt;&gt;"",VLOOKUP(T_Commission[[#This Row],[NumL]],T_TraitDi[#Data],COLUMN(T_TraitDi[[#This Row],[Statut]]),FALSE),""),"")</f>
        <v/>
      </c>
      <c r="C125" s="19" t="str">
        <f>IFERROR(IF(VLOOKUP(T_Commission[[#This Row],[NumL]],T_suiviDi[#Data],COLUMN(T_suiviDi[Nom]),FALSE)&lt;&gt;"",VLOOKUP(T_Commission[[#This Row],[NumL]],T_suiviDi[#Data],COLUMN(T_suiviDi[Nom]),FALSE),""),"")</f>
        <v/>
      </c>
      <c r="D125" s="19" t="str">
        <f>IFERROR(IF(VLOOKUP(T_Commission[[#This Row],[NumL]],T_suiviDi[#Data],COLUMN(T_suiviDi[Prénom]),FALSE)&lt;&gt;"",VLOOKUP(T_Commission[[#This Row],[NumL]],T_suiviDi[#Data],COLUMN(T_suiviDi[Prénom]),FALSE),""),"")</f>
        <v/>
      </c>
      <c r="E125" s="20" t="str">
        <f>IFERROR(IF(VLOOKUP(T_Commission[[#This Row],[NumL]],T_suiviDi[#Data],COLUMN(T_suiviDi[Email]),FALSE)&lt;&gt;"",VLOOKUP(T_Commission[[#This Row],[NumL]],T_suiviDi[#Data],COLUMN(T_suiviDi[Email]),FALSE),""),"")</f>
        <v/>
      </c>
      <c r="F125" s="274" t="str">
        <f>IFERROR(IF(VLOOKUP(T_Commission[[#This Row],[NumL]],T_suiviDi[#Data],COLUMN(T_suiviDi[[#This Row],[Nom1]]),FALSE)&lt;&gt;"",VLOOKUP(T_Commission[[#This Row],[NumL]],T_suiviDi[#Data],COLUMN(T_suiviDi[[#This Row],[Nom1]]),FALSE),""),"")</f>
        <v/>
      </c>
      <c r="G125" s="274" t="str">
        <f>IFERROR(IF(VLOOKUP(T_Commission[[#This Row],[NumL]],T_suiviDi[#Data],COLUMN(T_suiviDi[[#This Row],[Prénom1]]),FALSE)&lt;&gt;"",VLOOKUP(T_Commission[[#This Row],[NumL]],T_suiviDi[#Data],COLUMN(T_suiviDi[[#This Row],[Prénom1]]),FALSE),""),"")</f>
        <v/>
      </c>
      <c r="H125" s="274" t="str">
        <f>IFERROR(IF(VLOOKUP(T_Commission[[#This Row],[NumL]],T_suiviDi[#Data],COLUMN(T_suiviDi[[#This Row],[Email1]]),FALSE)&lt;&gt;"",VLOOKUP(T_Commission[[#This Row],[NumL]],T_suiviDi[#Data],COLUMN(T_suiviDi[[#This Row],[Email1]]),FALSE),""),"")</f>
        <v/>
      </c>
      <c r="I125" s="142" t="str">
        <f>IFERROR(VLOOKUP(T_Commission[[#This Row],[NumL]],T_TraitDi[#Data],COLUMN(T_TraitDi[[#This Row],[CTRL_PJ]]),FALSE),"")</f>
        <v/>
      </c>
      <c r="J125" s="142" t="str">
        <f>IF(T_Commission[[#This Row],[Nom]]&lt;&gt;"",IFERROR(VLOOKUP(T_Commission[[#This Row],[NumL]],T_TraitDi[#Data],COLUMN(T_TraitDi[[#This Row],[C10]]),FALSE),""),"")</f>
        <v/>
      </c>
      <c r="K125" s="142" t="str">
        <f>IFERROR(IF(VLOOKUP(T_Commission[[#This Row],[NumL]],T_suiviDi[#Data],COLUMN(T_suiviDi[[#This Row],[Avis n+1]]),FALSE)&lt;&gt;"",VLOOKUP(A125,T_suiviDi[#Data],COLUMN(T_suiviDi[[#This Row],[Avis n+1]]),FALSE),""),"")</f>
        <v/>
      </c>
      <c r="L125" s="142" t="str">
        <f>IFERROR(IF(VLOOKUP(T_Commission[[#This Row],[NumL]],T_suiviDi[#Data],COLUMN(T_suiviDi[[#This Row],[Avis n+2]]),FALSE)&lt;&gt;"",VLOOKUP(T_Commission[[#This Row],[NumL]],T_suiviDi[#Data],COLUMN(T_suiviDi[[#This Row],[Avis n+2]]),FALSE),""),"")</f>
        <v/>
      </c>
      <c r="M125" s="49">
        <v>1</v>
      </c>
      <c r="N125" s="49"/>
      <c r="O125" s="143" t="str">
        <f>IF(T_Commission[[#This Row],[Nom]]&lt;&gt;"",IF(T_Commission[[#This Row],[COM '#2]]&lt;&gt;"",MAX(T_Commission[[#This Row],[PJ]],T_Commission[[#This Row],[COM '#2]]),IF(T_Commission[[#This Row],[COM '#1]]&lt;&gt;"",MAX(T_Commission[[#This Row],[PJ]],T_Commission[[#This Row],[COM '#1]]),"")),"")</f>
        <v/>
      </c>
      <c r="P125" s="55" t="s">
        <v>115</v>
      </c>
      <c r="Q125" s="55" t="s">
        <v>3277</v>
      </c>
      <c r="R125" s="55" t="s">
        <v>3277</v>
      </c>
      <c r="S125" s="56"/>
      <c r="T125" s="144"/>
    </row>
    <row r="126" spans="1:20" s="93" customFormat="1" ht="30" customHeight="1" x14ac:dyDescent="0.25">
      <c r="A126" s="90">
        <v>263</v>
      </c>
      <c r="B126" s="130" t="str">
        <f>IFERROR(IF(VLOOKUP(T_Commission[[#This Row],[NumL]],T_TraitDi[#Data],COLUMN(T_TraitDi[[#This Row],[Statut]]),FALSE)&lt;&gt;"",VLOOKUP(T_Commission[[#This Row],[NumL]],T_TraitDi[#Data],COLUMN(T_TraitDi[[#This Row],[Statut]]),FALSE),""),"")</f>
        <v/>
      </c>
      <c r="C126" s="19" t="str">
        <f>IFERROR(IF(VLOOKUP(T_Commission[[#This Row],[NumL]],T_suiviDi[#Data],COLUMN(T_suiviDi[Nom]),FALSE)&lt;&gt;"",VLOOKUP(T_Commission[[#This Row],[NumL]],T_suiviDi[#Data],COLUMN(T_suiviDi[Nom]),FALSE),""),"")</f>
        <v/>
      </c>
      <c r="D126" s="19" t="str">
        <f>IFERROR(IF(VLOOKUP(T_Commission[[#This Row],[NumL]],T_suiviDi[#Data],COLUMN(T_suiviDi[Prénom]),FALSE)&lt;&gt;"",VLOOKUP(T_Commission[[#This Row],[NumL]],T_suiviDi[#Data],COLUMN(T_suiviDi[Prénom]),FALSE),""),"")</f>
        <v/>
      </c>
      <c r="E126" s="20" t="str">
        <f>IFERROR(IF(VLOOKUP(T_Commission[[#This Row],[NumL]],T_suiviDi[#Data],COLUMN(T_suiviDi[Email]),FALSE)&lt;&gt;"",VLOOKUP(T_Commission[[#This Row],[NumL]],T_suiviDi[#Data],COLUMN(T_suiviDi[Email]),FALSE),""),"")</f>
        <v/>
      </c>
      <c r="F126" s="274" t="str">
        <f>IFERROR(IF(VLOOKUP(T_Commission[[#This Row],[NumL]],T_suiviDi[#Data],COLUMN(T_suiviDi[[#This Row],[Nom1]]),FALSE)&lt;&gt;"",VLOOKUP(T_Commission[[#This Row],[NumL]],T_suiviDi[#Data],COLUMN(T_suiviDi[[#This Row],[Nom1]]),FALSE),""),"")</f>
        <v/>
      </c>
      <c r="G126" s="274" t="str">
        <f>IFERROR(IF(VLOOKUP(T_Commission[[#This Row],[NumL]],T_suiviDi[#Data],COLUMN(T_suiviDi[[#This Row],[Prénom1]]),FALSE)&lt;&gt;"",VLOOKUP(T_Commission[[#This Row],[NumL]],T_suiviDi[#Data],COLUMN(T_suiviDi[[#This Row],[Prénom1]]),FALSE),""),"")</f>
        <v/>
      </c>
      <c r="H126" s="274" t="str">
        <f>IFERROR(IF(VLOOKUP(T_Commission[[#This Row],[NumL]],T_suiviDi[#Data],COLUMN(T_suiviDi[[#This Row],[Email1]]),FALSE)&lt;&gt;"",VLOOKUP(T_Commission[[#This Row],[NumL]],T_suiviDi[#Data],COLUMN(T_suiviDi[[#This Row],[Email1]]),FALSE),""),"")</f>
        <v/>
      </c>
      <c r="I126" s="142" t="str">
        <f>IFERROR(VLOOKUP(T_Commission[[#This Row],[NumL]],T_TraitDi[#Data],COLUMN(T_TraitDi[[#This Row],[CTRL_PJ]]),FALSE),"")</f>
        <v/>
      </c>
      <c r="J126" s="142" t="str">
        <f>IF(T_Commission[[#This Row],[Nom]]&lt;&gt;"",IFERROR(VLOOKUP(T_Commission[[#This Row],[NumL]],T_TraitDi[#Data],COLUMN(T_TraitDi[[#This Row],[C10]]),FALSE),""),"")</f>
        <v/>
      </c>
      <c r="K126" s="142" t="str">
        <f>IFERROR(IF(VLOOKUP(T_Commission[[#This Row],[NumL]],T_suiviDi[#Data],COLUMN(T_suiviDi[[#This Row],[Avis n+1]]),FALSE)&lt;&gt;"",VLOOKUP(A126,T_suiviDi[#Data],COLUMN(T_suiviDi[[#This Row],[Avis n+1]]),FALSE),""),"")</f>
        <v/>
      </c>
      <c r="L126" s="142" t="str">
        <f>IFERROR(IF(VLOOKUP(T_Commission[[#This Row],[NumL]],T_suiviDi[#Data],COLUMN(T_suiviDi[[#This Row],[Avis n+2]]),FALSE)&lt;&gt;"",VLOOKUP(T_Commission[[#This Row],[NumL]],T_suiviDi[#Data],COLUMN(T_suiviDi[[#This Row],[Avis n+2]]),FALSE),""),"")</f>
        <v/>
      </c>
      <c r="M126" s="49">
        <v>1</v>
      </c>
      <c r="N126" s="49"/>
      <c r="O126" s="143" t="str">
        <f>IF(T_Commission[[#This Row],[Nom]]&lt;&gt;"",IF(T_Commission[[#This Row],[COM '#2]]&lt;&gt;"",MAX(T_Commission[[#This Row],[PJ]],T_Commission[[#This Row],[COM '#2]]),IF(T_Commission[[#This Row],[COM '#1]]&lt;&gt;"",MAX(T_Commission[[#This Row],[PJ]],T_Commission[[#This Row],[COM '#1]]),"")),"")</f>
        <v/>
      </c>
      <c r="P126" s="55" t="s">
        <v>115</v>
      </c>
      <c r="Q126" s="55" t="s">
        <v>3277</v>
      </c>
      <c r="R126" s="55"/>
      <c r="S126" s="56"/>
      <c r="T126" s="144"/>
    </row>
    <row r="127" spans="1:20" s="93" customFormat="1" ht="30" customHeight="1" x14ac:dyDescent="0.25">
      <c r="A127" s="90">
        <v>215</v>
      </c>
      <c r="B127" s="130" t="str">
        <f>IFERROR(IF(VLOOKUP(T_Commission[[#This Row],[NumL]],T_TraitDi[#Data],COLUMN(T_TraitDi[[#This Row],[Statut]]),FALSE)&lt;&gt;"",VLOOKUP(T_Commission[[#This Row],[NumL]],T_TraitDi[#Data],COLUMN(T_TraitDi[[#This Row],[Statut]]),FALSE),""),"")</f>
        <v/>
      </c>
      <c r="C127" s="19" t="str">
        <f>IFERROR(IF(VLOOKUP(T_Commission[[#This Row],[NumL]],T_suiviDi[#Data],COLUMN(T_suiviDi[Nom]),FALSE)&lt;&gt;"",VLOOKUP(T_Commission[[#This Row],[NumL]],T_suiviDi[#Data],COLUMN(T_suiviDi[Nom]),FALSE),""),"")</f>
        <v/>
      </c>
      <c r="D127" s="19" t="str">
        <f>IFERROR(IF(VLOOKUP(T_Commission[[#This Row],[NumL]],T_suiviDi[#Data],COLUMN(T_suiviDi[Prénom]),FALSE)&lt;&gt;"",VLOOKUP(T_Commission[[#This Row],[NumL]],T_suiviDi[#Data],COLUMN(T_suiviDi[Prénom]),FALSE),""),"")</f>
        <v/>
      </c>
      <c r="E127" s="20" t="str">
        <f>IFERROR(IF(VLOOKUP(T_Commission[[#This Row],[NumL]],T_suiviDi[#Data],COLUMN(T_suiviDi[Email]),FALSE)&lt;&gt;"",VLOOKUP(T_Commission[[#This Row],[NumL]],T_suiviDi[#Data],COLUMN(T_suiviDi[Email]),FALSE),""),"")</f>
        <v/>
      </c>
      <c r="F127" s="274" t="str">
        <f>IFERROR(IF(VLOOKUP(T_Commission[[#This Row],[NumL]],T_suiviDi[#Data],COLUMN(T_suiviDi[[#This Row],[Nom1]]),FALSE)&lt;&gt;"",VLOOKUP(T_Commission[[#This Row],[NumL]],T_suiviDi[#Data],COLUMN(T_suiviDi[[#This Row],[Nom1]]),FALSE),""),"")</f>
        <v/>
      </c>
      <c r="G127" s="274" t="str">
        <f>IFERROR(IF(VLOOKUP(T_Commission[[#This Row],[NumL]],T_suiviDi[#Data],COLUMN(T_suiviDi[[#This Row],[Prénom1]]),FALSE)&lt;&gt;"",VLOOKUP(T_Commission[[#This Row],[NumL]],T_suiviDi[#Data],COLUMN(T_suiviDi[[#This Row],[Prénom1]]),FALSE),""),"")</f>
        <v/>
      </c>
      <c r="H127" s="274" t="str">
        <f>IFERROR(IF(VLOOKUP(T_Commission[[#This Row],[NumL]],T_suiviDi[#Data],COLUMN(T_suiviDi[[#This Row],[Email1]]),FALSE)&lt;&gt;"",VLOOKUP(T_Commission[[#This Row],[NumL]],T_suiviDi[#Data],COLUMN(T_suiviDi[[#This Row],[Email1]]),FALSE),""),"")</f>
        <v/>
      </c>
      <c r="I127" s="142" t="str">
        <f>IFERROR(VLOOKUP(T_Commission[[#This Row],[NumL]],T_TraitDi[#Data],COLUMN(T_TraitDi[[#This Row],[CTRL_PJ]]),FALSE),"")</f>
        <v/>
      </c>
      <c r="J127" s="142" t="str">
        <f>IF(T_Commission[[#This Row],[Nom]]&lt;&gt;"",IFERROR(VLOOKUP(T_Commission[[#This Row],[NumL]],T_TraitDi[#Data],COLUMN(T_TraitDi[[#This Row],[C10]]),FALSE),""),"")</f>
        <v/>
      </c>
      <c r="K127" s="142" t="str">
        <f>IFERROR(IF(VLOOKUP(T_Commission[[#This Row],[NumL]],T_suiviDi[#Data],COLUMN(T_suiviDi[[#This Row],[Avis n+1]]),FALSE)&lt;&gt;"",VLOOKUP(A127,T_suiviDi[#Data],COLUMN(T_suiviDi[[#This Row],[Avis n+1]]),FALSE),""),"")</f>
        <v/>
      </c>
      <c r="L127" s="142" t="str">
        <f>IFERROR(IF(VLOOKUP(T_Commission[[#This Row],[NumL]],T_suiviDi[#Data],COLUMN(T_suiviDi[[#This Row],[Avis n+2]]),FALSE)&lt;&gt;"",VLOOKUP(T_Commission[[#This Row],[NumL]],T_suiviDi[#Data],COLUMN(T_suiviDi[[#This Row],[Avis n+2]]),FALSE),""),"")</f>
        <v/>
      </c>
      <c r="M127" s="49">
        <v>1</v>
      </c>
      <c r="N127" s="49"/>
      <c r="O127" s="143" t="str">
        <f>IF(T_Commission[[#This Row],[Nom]]&lt;&gt;"",IF(T_Commission[[#This Row],[COM '#2]]&lt;&gt;"",MAX(T_Commission[[#This Row],[PJ]],T_Commission[[#This Row],[COM '#2]]),IF(T_Commission[[#This Row],[COM '#1]]&lt;&gt;"",MAX(T_Commission[[#This Row],[PJ]],T_Commission[[#This Row],[COM '#1]]),"")),"")</f>
        <v/>
      </c>
      <c r="P127" s="55" t="s">
        <v>115</v>
      </c>
      <c r="Q127" s="55" t="s">
        <v>3277</v>
      </c>
      <c r="R127" s="55" t="s">
        <v>3277</v>
      </c>
      <c r="S127" s="56"/>
      <c r="T127" s="144"/>
    </row>
    <row r="128" spans="1:20" s="93" customFormat="1" ht="30" customHeight="1" x14ac:dyDescent="0.25">
      <c r="A128" s="90">
        <v>55</v>
      </c>
      <c r="B128" s="130" t="str">
        <f>IFERROR(IF(VLOOKUP(T_Commission[[#This Row],[NumL]],T_TraitDi[#Data],COLUMN(T_TraitDi[[#This Row],[Statut]]),FALSE)&lt;&gt;"",VLOOKUP(T_Commission[[#This Row],[NumL]],T_TraitDi[#Data],COLUMN(T_TraitDi[[#This Row],[Statut]]),FALSE),""),"")</f>
        <v/>
      </c>
      <c r="C128" s="19" t="str">
        <f>IFERROR(IF(VLOOKUP(T_Commission[[#This Row],[NumL]],T_suiviDi[#Data],COLUMN(T_suiviDi[Nom]),FALSE)&lt;&gt;"",VLOOKUP(T_Commission[[#This Row],[NumL]],T_suiviDi[#Data],COLUMN(T_suiviDi[Nom]),FALSE),""),"")</f>
        <v/>
      </c>
      <c r="D128" s="19" t="str">
        <f>IFERROR(IF(VLOOKUP(T_Commission[[#This Row],[NumL]],T_suiviDi[#Data],COLUMN(T_suiviDi[Prénom]),FALSE)&lt;&gt;"",VLOOKUP(T_Commission[[#This Row],[NumL]],T_suiviDi[#Data],COLUMN(T_suiviDi[Prénom]),FALSE),""),"")</f>
        <v/>
      </c>
      <c r="E128" s="20" t="str">
        <f>IFERROR(IF(VLOOKUP(T_Commission[[#This Row],[NumL]],T_suiviDi[#Data],COLUMN(T_suiviDi[Email]),FALSE)&lt;&gt;"",VLOOKUP(T_Commission[[#This Row],[NumL]],T_suiviDi[#Data],COLUMN(T_suiviDi[Email]),FALSE),""),"")</f>
        <v/>
      </c>
      <c r="F128" s="274" t="str">
        <f>IFERROR(IF(VLOOKUP(T_Commission[[#This Row],[NumL]],T_suiviDi[#Data],COLUMN(T_suiviDi[[#This Row],[Nom1]]),FALSE)&lt;&gt;"",VLOOKUP(T_Commission[[#This Row],[NumL]],T_suiviDi[#Data],COLUMN(T_suiviDi[[#This Row],[Nom1]]),FALSE),""),"")</f>
        <v/>
      </c>
      <c r="G128" s="274" t="str">
        <f>IFERROR(IF(VLOOKUP(T_Commission[[#This Row],[NumL]],T_suiviDi[#Data],COLUMN(T_suiviDi[[#This Row],[Prénom1]]),FALSE)&lt;&gt;"",VLOOKUP(T_Commission[[#This Row],[NumL]],T_suiviDi[#Data],COLUMN(T_suiviDi[[#This Row],[Prénom1]]),FALSE),""),"")</f>
        <v/>
      </c>
      <c r="H128" s="274" t="str">
        <f>IFERROR(IF(VLOOKUP(T_Commission[[#This Row],[NumL]],T_suiviDi[#Data],COLUMN(T_suiviDi[[#This Row],[Email1]]),FALSE)&lt;&gt;"",VLOOKUP(T_Commission[[#This Row],[NumL]],T_suiviDi[#Data],COLUMN(T_suiviDi[[#This Row],[Email1]]),FALSE),""),"")</f>
        <v/>
      </c>
      <c r="I128" s="142" t="str">
        <f>IFERROR(VLOOKUP(T_Commission[[#This Row],[NumL]],T_TraitDi[#Data],COLUMN(T_TraitDi[[#This Row],[CTRL_PJ]]),FALSE),"")</f>
        <v/>
      </c>
      <c r="J128" s="142" t="str">
        <f>IF(T_Commission[[#This Row],[Nom]]&lt;&gt;"",IFERROR(VLOOKUP(T_Commission[[#This Row],[NumL]],T_TraitDi[#Data],COLUMN(T_TraitDi[[#This Row],[C10]]),FALSE),""),"")</f>
        <v/>
      </c>
      <c r="K128" s="142" t="str">
        <f>IFERROR(IF(VLOOKUP(T_Commission[[#This Row],[NumL]],T_suiviDi[#Data],COLUMN(T_suiviDi[[#This Row],[Avis n+1]]),FALSE)&lt;&gt;"",VLOOKUP(A128,T_suiviDi[#Data],COLUMN(T_suiviDi[[#This Row],[Avis n+1]]),FALSE),""),"")</f>
        <v/>
      </c>
      <c r="L128" s="142" t="str">
        <f>IFERROR(IF(VLOOKUP(T_Commission[[#This Row],[NumL]],T_suiviDi[#Data],COLUMN(T_suiviDi[[#This Row],[Avis n+2]]),FALSE)&lt;&gt;"",VLOOKUP(T_Commission[[#This Row],[NumL]],T_suiviDi[#Data],COLUMN(T_suiviDi[[#This Row],[Avis n+2]]),FALSE),""),"")</f>
        <v/>
      </c>
      <c r="M128" s="49">
        <v>1</v>
      </c>
      <c r="N128" s="49"/>
      <c r="O128" s="143" t="str">
        <f>IF(T_Commission[[#This Row],[Nom]]&lt;&gt;"",IF(T_Commission[[#This Row],[COM '#2]]&lt;&gt;"",MAX(T_Commission[[#This Row],[PJ]],T_Commission[[#This Row],[COM '#2]]),IF(T_Commission[[#This Row],[COM '#1]]&lt;&gt;"",MAX(T_Commission[[#This Row],[PJ]],T_Commission[[#This Row],[COM '#1]]),"")),"")</f>
        <v/>
      </c>
      <c r="P128" s="55" t="s">
        <v>115</v>
      </c>
      <c r="Q128" s="55" t="s">
        <v>3277</v>
      </c>
      <c r="R128" s="55" t="s">
        <v>3277</v>
      </c>
      <c r="S128" s="56"/>
      <c r="T128" s="144"/>
    </row>
    <row r="129" spans="1:20" s="93" customFormat="1" ht="30" customHeight="1" x14ac:dyDescent="0.25">
      <c r="A129" s="90">
        <v>48</v>
      </c>
      <c r="B129" s="130" t="str">
        <f>IFERROR(IF(VLOOKUP(T_Commission[[#This Row],[NumL]],T_TraitDi[#Data],COLUMN(T_TraitDi[[#This Row],[Statut]]),FALSE)&lt;&gt;"",VLOOKUP(T_Commission[[#This Row],[NumL]],T_TraitDi[#Data],COLUMN(T_TraitDi[[#This Row],[Statut]]),FALSE),""),"")</f>
        <v/>
      </c>
      <c r="C129" s="19" t="str">
        <f>IFERROR(IF(VLOOKUP(T_Commission[[#This Row],[NumL]],T_suiviDi[#Data],COLUMN(T_suiviDi[Nom]),FALSE)&lt;&gt;"",VLOOKUP(T_Commission[[#This Row],[NumL]],T_suiviDi[#Data],COLUMN(T_suiviDi[Nom]),FALSE),""),"")</f>
        <v/>
      </c>
      <c r="D129" s="19" t="str">
        <f>IFERROR(IF(VLOOKUP(T_Commission[[#This Row],[NumL]],T_suiviDi[#Data],COLUMN(T_suiviDi[Prénom]),FALSE)&lt;&gt;"",VLOOKUP(T_Commission[[#This Row],[NumL]],T_suiviDi[#Data],COLUMN(T_suiviDi[Prénom]),FALSE),""),"")</f>
        <v/>
      </c>
      <c r="E129" s="20" t="str">
        <f>IFERROR(IF(VLOOKUP(T_Commission[[#This Row],[NumL]],T_suiviDi[#Data],COLUMN(T_suiviDi[Email]),FALSE)&lt;&gt;"",VLOOKUP(T_Commission[[#This Row],[NumL]],T_suiviDi[#Data],COLUMN(T_suiviDi[Email]),FALSE),""),"")</f>
        <v/>
      </c>
      <c r="F129" s="274" t="str">
        <f>IFERROR(IF(VLOOKUP(T_Commission[[#This Row],[NumL]],T_suiviDi[#Data],COLUMN(T_suiviDi[[#This Row],[Nom1]]),FALSE)&lt;&gt;"",VLOOKUP(T_Commission[[#This Row],[NumL]],T_suiviDi[#Data],COLUMN(T_suiviDi[[#This Row],[Nom1]]),FALSE),""),"")</f>
        <v/>
      </c>
      <c r="G129" s="274" t="str">
        <f>IFERROR(IF(VLOOKUP(T_Commission[[#This Row],[NumL]],T_suiviDi[#Data],COLUMN(T_suiviDi[[#This Row],[Prénom1]]),FALSE)&lt;&gt;"",VLOOKUP(T_Commission[[#This Row],[NumL]],T_suiviDi[#Data],COLUMN(T_suiviDi[[#This Row],[Prénom1]]),FALSE),""),"")</f>
        <v/>
      </c>
      <c r="H129" s="274" t="str">
        <f>IFERROR(IF(VLOOKUP(T_Commission[[#This Row],[NumL]],T_suiviDi[#Data],COLUMN(T_suiviDi[[#This Row],[Email1]]),FALSE)&lt;&gt;"",VLOOKUP(T_Commission[[#This Row],[NumL]],T_suiviDi[#Data],COLUMN(T_suiviDi[[#This Row],[Email1]]),FALSE),""),"")</f>
        <v/>
      </c>
      <c r="I129" s="142" t="str">
        <f>IFERROR(VLOOKUP(T_Commission[[#This Row],[NumL]],T_TraitDi[#Data],COLUMN(T_TraitDi[[#This Row],[CTRL_PJ]]),FALSE),"")</f>
        <v/>
      </c>
      <c r="J129" s="142" t="str">
        <f>IF(T_Commission[[#This Row],[Nom]]&lt;&gt;"",IFERROR(VLOOKUP(T_Commission[[#This Row],[NumL]],T_TraitDi[#Data],COLUMN(T_TraitDi[[#This Row],[C10]]),FALSE),""),"")</f>
        <v/>
      </c>
      <c r="K129" s="142" t="str">
        <f>IFERROR(IF(VLOOKUP(T_Commission[[#This Row],[NumL]],T_suiviDi[#Data],COLUMN(T_suiviDi[[#This Row],[Avis n+1]]),FALSE)&lt;&gt;"",VLOOKUP(A129,T_suiviDi[#Data],COLUMN(T_suiviDi[[#This Row],[Avis n+1]]),FALSE),""),"")</f>
        <v/>
      </c>
      <c r="L129" s="142" t="str">
        <f>IFERROR(IF(VLOOKUP(T_Commission[[#This Row],[NumL]],T_suiviDi[#Data],COLUMN(T_suiviDi[[#This Row],[Avis n+2]]),FALSE)&lt;&gt;"",VLOOKUP(T_Commission[[#This Row],[NumL]],T_suiviDi[#Data],COLUMN(T_suiviDi[[#This Row],[Avis n+2]]),FALSE),""),"")</f>
        <v/>
      </c>
      <c r="M129" s="49">
        <v>1</v>
      </c>
      <c r="N129" s="49"/>
      <c r="O129" s="143" t="str">
        <f>IF(T_Commission[[#This Row],[Nom]]&lt;&gt;"",IF(T_Commission[[#This Row],[COM '#2]]&lt;&gt;"",MAX(T_Commission[[#This Row],[PJ]],T_Commission[[#This Row],[COM '#2]]),IF(T_Commission[[#This Row],[COM '#1]]&lt;&gt;"",MAX(T_Commission[[#This Row],[PJ]],T_Commission[[#This Row],[COM '#1]]),"")),"")</f>
        <v/>
      </c>
      <c r="P129" s="55" t="s">
        <v>115</v>
      </c>
      <c r="Q129" s="55" t="s">
        <v>3277</v>
      </c>
      <c r="R129" s="55" t="s">
        <v>3277</v>
      </c>
      <c r="S129" s="56"/>
      <c r="T129" s="144"/>
    </row>
    <row r="130" spans="1:20" s="93" customFormat="1" ht="30" customHeight="1" x14ac:dyDescent="0.25">
      <c r="A130" s="90">
        <v>13</v>
      </c>
      <c r="B130" s="130" t="str">
        <f>IFERROR(IF(VLOOKUP(T_Commission[[#This Row],[NumL]],T_TraitDi[#Data],COLUMN(T_TraitDi[[#This Row],[Statut]]),FALSE)&lt;&gt;"",VLOOKUP(T_Commission[[#This Row],[NumL]],T_TraitDi[#Data],COLUMN(T_TraitDi[[#This Row],[Statut]]),FALSE),""),"")</f>
        <v/>
      </c>
      <c r="C130" s="19" t="str">
        <f>IFERROR(IF(VLOOKUP(T_Commission[[#This Row],[NumL]],T_suiviDi[#Data],COLUMN(T_suiviDi[Nom]),FALSE)&lt;&gt;"",VLOOKUP(T_Commission[[#This Row],[NumL]],T_suiviDi[#Data],COLUMN(T_suiviDi[Nom]),FALSE),""),"")</f>
        <v/>
      </c>
      <c r="D130" s="19" t="str">
        <f>IFERROR(IF(VLOOKUP(T_Commission[[#This Row],[NumL]],T_suiviDi[#Data],COLUMN(T_suiviDi[Prénom]),FALSE)&lt;&gt;"",VLOOKUP(T_Commission[[#This Row],[NumL]],T_suiviDi[#Data],COLUMN(T_suiviDi[Prénom]),FALSE),""),"")</f>
        <v/>
      </c>
      <c r="E130" s="20" t="str">
        <f>IFERROR(IF(VLOOKUP(T_Commission[[#This Row],[NumL]],T_suiviDi[#Data],COLUMN(T_suiviDi[Email]),FALSE)&lt;&gt;"",VLOOKUP(T_Commission[[#This Row],[NumL]],T_suiviDi[#Data],COLUMN(T_suiviDi[Email]),FALSE),""),"")</f>
        <v/>
      </c>
      <c r="F130" s="274" t="str">
        <f>IFERROR(IF(VLOOKUP(T_Commission[[#This Row],[NumL]],T_suiviDi[#Data],COLUMN(T_suiviDi[[#This Row],[Nom1]]),FALSE)&lt;&gt;"",VLOOKUP(T_Commission[[#This Row],[NumL]],T_suiviDi[#Data],COLUMN(T_suiviDi[[#This Row],[Nom1]]),FALSE),""),"")</f>
        <v/>
      </c>
      <c r="G130" s="274" t="str">
        <f>IFERROR(IF(VLOOKUP(T_Commission[[#This Row],[NumL]],T_suiviDi[#Data],COLUMN(T_suiviDi[[#This Row],[Prénom1]]),FALSE)&lt;&gt;"",VLOOKUP(T_Commission[[#This Row],[NumL]],T_suiviDi[#Data],COLUMN(T_suiviDi[[#This Row],[Prénom1]]),FALSE),""),"")</f>
        <v/>
      </c>
      <c r="H130" s="274" t="str">
        <f>IFERROR(IF(VLOOKUP(T_Commission[[#This Row],[NumL]],T_suiviDi[#Data],COLUMN(T_suiviDi[[#This Row],[Email1]]),FALSE)&lt;&gt;"",VLOOKUP(T_Commission[[#This Row],[NumL]],T_suiviDi[#Data],COLUMN(T_suiviDi[[#This Row],[Email1]]),FALSE),""),"")</f>
        <v/>
      </c>
      <c r="I130" s="142" t="str">
        <f>IFERROR(VLOOKUP(T_Commission[[#This Row],[NumL]],T_TraitDi[#Data],COLUMN(T_TraitDi[[#This Row],[CTRL_PJ]]),FALSE),"")</f>
        <v/>
      </c>
      <c r="J130" s="142" t="str">
        <f>IF(T_Commission[[#This Row],[Nom]]&lt;&gt;"",IFERROR(VLOOKUP(T_Commission[[#This Row],[NumL]],T_TraitDi[#Data],COLUMN(T_TraitDi[[#This Row],[C10]]),FALSE),""),"")</f>
        <v/>
      </c>
      <c r="K130" s="142" t="str">
        <f>IFERROR(IF(VLOOKUP(T_Commission[[#This Row],[NumL]],T_suiviDi[#Data],COLUMN(T_suiviDi[[#This Row],[Avis n+1]]),FALSE)&lt;&gt;"",VLOOKUP(A130,T_suiviDi[#Data],COLUMN(T_suiviDi[[#This Row],[Avis n+1]]),FALSE),""),"")</f>
        <v/>
      </c>
      <c r="L130" s="142" t="str">
        <f>IFERROR(IF(VLOOKUP(T_Commission[[#This Row],[NumL]],T_suiviDi[#Data],COLUMN(T_suiviDi[[#This Row],[Avis n+2]]),FALSE)&lt;&gt;"",VLOOKUP(T_Commission[[#This Row],[NumL]],T_suiviDi[#Data],COLUMN(T_suiviDi[[#This Row],[Avis n+2]]),FALSE),""),"")</f>
        <v/>
      </c>
      <c r="M130" s="49">
        <v>1</v>
      </c>
      <c r="N130" s="49"/>
      <c r="O130" s="143" t="str">
        <f>IF(T_Commission[[#This Row],[Nom]]&lt;&gt;"",IF(T_Commission[[#This Row],[COM '#2]]&lt;&gt;"",MAX(T_Commission[[#This Row],[PJ]],T_Commission[[#This Row],[COM '#2]]),IF(T_Commission[[#This Row],[COM '#1]]&lt;&gt;"",MAX(T_Commission[[#This Row],[PJ]],T_Commission[[#This Row],[COM '#1]]),"")),"")</f>
        <v/>
      </c>
      <c r="P130" s="55" t="s">
        <v>115</v>
      </c>
      <c r="Q130" s="55" t="s">
        <v>3277</v>
      </c>
      <c r="R130" s="55" t="s">
        <v>3277</v>
      </c>
      <c r="S130" s="56"/>
      <c r="T130" s="144"/>
    </row>
    <row r="131" spans="1:20" s="93" customFormat="1" ht="30" customHeight="1" x14ac:dyDescent="0.25">
      <c r="A131" s="90">
        <v>77</v>
      </c>
      <c r="B131" s="130" t="str">
        <f>IFERROR(IF(VLOOKUP(T_Commission[[#This Row],[NumL]],T_TraitDi[#Data],COLUMN(T_TraitDi[[#This Row],[Statut]]),FALSE)&lt;&gt;"",VLOOKUP(T_Commission[[#This Row],[NumL]],T_TraitDi[#Data],COLUMN(T_TraitDi[[#This Row],[Statut]]),FALSE),""),"")</f>
        <v/>
      </c>
      <c r="C131" s="19" t="str">
        <f>IFERROR(IF(VLOOKUP(T_Commission[[#This Row],[NumL]],T_suiviDi[#Data],COLUMN(T_suiviDi[Nom]),FALSE)&lt;&gt;"",VLOOKUP(T_Commission[[#This Row],[NumL]],T_suiviDi[#Data],COLUMN(T_suiviDi[Nom]),FALSE),""),"")</f>
        <v/>
      </c>
      <c r="D131" s="19" t="str">
        <f>IFERROR(IF(VLOOKUP(T_Commission[[#This Row],[NumL]],T_suiviDi[#Data],COLUMN(T_suiviDi[Prénom]),FALSE)&lt;&gt;"",VLOOKUP(T_Commission[[#This Row],[NumL]],T_suiviDi[#Data],COLUMN(T_suiviDi[Prénom]),FALSE),""),"")</f>
        <v/>
      </c>
      <c r="E131" s="20" t="str">
        <f>IFERROR(IF(VLOOKUP(T_Commission[[#This Row],[NumL]],T_suiviDi[#Data],COLUMN(T_suiviDi[Email]),FALSE)&lt;&gt;"",VLOOKUP(T_Commission[[#This Row],[NumL]],T_suiviDi[#Data],COLUMN(T_suiviDi[Email]),FALSE),""),"")</f>
        <v/>
      </c>
      <c r="F131" s="274" t="str">
        <f>IFERROR(IF(VLOOKUP(T_Commission[[#This Row],[NumL]],T_suiviDi[#Data],COLUMN(T_suiviDi[[#This Row],[Nom1]]),FALSE)&lt;&gt;"",VLOOKUP(T_Commission[[#This Row],[NumL]],T_suiviDi[#Data],COLUMN(T_suiviDi[[#This Row],[Nom1]]),FALSE),""),"")</f>
        <v/>
      </c>
      <c r="G131" s="274" t="str">
        <f>IFERROR(IF(VLOOKUP(T_Commission[[#This Row],[NumL]],T_suiviDi[#Data],COLUMN(T_suiviDi[[#This Row],[Prénom1]]),FALSE)&lt;&gt;"",VLOOKUP(T_Commission[[#This Row],[NumL]],T_suiviDi[#Data],COLUMN(T_suiviDi[[#This Row],[Prénom1]]),FALSE),""),"")</f>
        <v/>
      </c>
      <c r="H131" s="274" t="str">
        <f>IFERROR(IF(VLOOKUP(T_Commission[[#This Row],[NumL]],T_suiviDi[#Data],COLUMN(T_suiviDi[[#This Row],[Email1]]),FALSE)&lt;&gt;"",VLOOKUP(T_Commission[[#This Row],[NumL]],T_suiviDi[#Data],COLUMN(T_suiviDi[[#This Row],[Email1]]),FALSE),""),"")</f>
        <v/>
      </c>
      <c r="I131" s="142" t="str">
        <f>IFERROR(VLOOKUP(T_Commission[[#This Row],[NumL]],T_TraitDi[#Data],COLUMN(T_TraitDi[[#This Row],[CTRL_PJ]]),FALSE),"")</f>
        <v/>
      </c>
      <c r="J131" s="142" t="str">
        <f>IF(T_Commission[[#This Row],[Nom]]&lt;&gt;"",IFERROR(VLOOKUP(T_Commission[[#This Row],[NumL]],T_TraitDi[#Data],COLUMN(T_TraitDi[[#This Row],[C10]]),FALSE),""),"")</f>
        <v/>
      </c>
      <c r="K131" s="142" t="str">
        <f>IFERROR(IF(VLOOKUP(T_Commission[[#This Row],[NumL]],T_suiviDi[#Data],COLUMN(T_suiviDi[[#This Row],[Avis n+1]]),FALSE)&lt;&gt;"",VLOOKUP(A131,T_suiviDi[#Data],COLUMN(T_suiviDi[[#This Row],[Avis n+1]]),FALSE),""),"")</f>
        <v/>
      </c>
      <c r="L131" s="142" t="str">
        <f>IFERROR(IF(VLOOKUP(T_Commission[[#This Row],[NumL]],T_suiviDi[#Data],COLUMN(T_suiviDi[[#This Row],[Avis n+2]]),FALSE)&lt;&gt;"",VLOOKUP(T_Commission[[#This Row],[NumL]],T_suiviDi[#Data],COLUMN(T_suiviDi[[#This Row],[Avis n+2]]),FALSE),""),"")</f>
        <v/>
      </c>
      <c r="M131" s="49">
        <v>1</v>
      </c>
      <c r="N131" s="49"/>
      <c r="O131" s="143" t="str">
        <f>IF(T_Commission[[#This Row],[Nom]]&lt;&gt;"",IF(T_Commission[[#This Row],[COM '#2]]&lt;&gt;"",MAX(T_Commission[[#This Row],[PJ]],T_Commission[[#This Row],[COM '#2]]),IF(T_Commission[[#This Row],[COM '#1]]&lt;&gt;"",MAX(T_Commission[[#This Row],[PJ]],T_Commission[[#This Row],[COM '#1]]),"")),"")</f>
        <v/>
      </c>
      <c r="P131" s="55" t="s">
        <v>115</v>
      </c>
      <c r="Q131" s="55" t="s">
        <v>3277</v>
      </c>
      <c r="R131" s="55" t="s">
        <v>3277</v>
      </c>
      <c r="S131" s="56"/>
      <c r="T131" s="144"/>
    </row>
    <row r="132" spans="1:20" s="93" customFormat="1" ht="30" customHeight="1" x14ac:dyDescent="0.25">
      <c r="A132" s="90">
        <v>72</v>
      </c>
      <c r="B132" s="130" t="str">
        <f>IFERROR(IF(VLOOKUP(T_Commission[[#This Row],[NumL]],T_TraitDi[#Data],COLUMN(T_TraitDi[[#This Row],[Statut]]),FALSE)&lt;&gt;"",VLOOKUP(T_Commission[[#This Row],[NumL]],T_TraitDi[#Data],COLUMN(T_TraitDi[[#This Row],[Statut]]),FALSE),""),"")</f>
        <v/>
      </c>
      <c r="C132" s="19" t="str">
        <f>IFERROR(IF(VLOOKUP(T_Commission[[#This Row],[NumL]],T_suiviDi[#Data],COLUMN(T_suiviDi[Nom]),FALSE)&lt;&gt;"",VLOOKUP(T_Commission[[#This Row],[NumL]],T_suiviDi[#Data],COLUMN(T_suiviDi[Nom]),FALSE),""),"")</f>
        <v/>
      </c>
      <c r="D132" s="19" t="str">
        <f>IFERROR(IF(VLOOKUP(T_Commission[[#This Row],[NumL]],T_suiviDi[#Data],COLUMN(T_suiviDi[Prénom]),FALSE)&lt;&gt;"",VLOOKUP(T_Commission[[#This Row],[NumL]],T_suiviDi[#Data],COLUMN(T_suiviDi[Prénom]),FALSE),""),"")</f>
        <v/>
      </c>
      <c r="E132" s="20" t="str">
        <f>IFERROR(IF(VLOOKUP(T_Commission[[#This Row],[NumL]],T_suiviDi[#Data],COLUMN(T_suiviDi[Email]),FALSE)&lt;&gt;"",VLOOKUP(T_Commission[[#This Row],[NumL]],T_suiviDi[#Data],COLUMN(T_suiviDi[Email]),FALSE),""),"")</f>
        <v/>
      </c>
      <c r="F132" s="274" t="str">
        <f>IFERROR(IF(VLOOKUP(T_Commission[[#This Row],[NumL]],T_suiviDi[#Data],COLUMN(T_suiviDi[[#This Row],[Nom1]]),FALSE)&lt;&gt;"",VLOOKUP(T_Commission[[#This Row],[NumL]],T_suiviDi[#Data],COLUMN(T_suiviDi[[#This Row],[Nom1]]),FALSE),""),"")</f>
        <v/>
      </c>
      <c r="G132" s="274" t="str">
        <f>IFERROR(IF(VLOOKUP(T_Commission[[#This Row],[NumL]],T_suiviDi[#Data],COLUMN(T_suiviDi[[#This Row],[Prénom1]]),FALSE)&lt;&gt;"",VLOOKUP(T_Commission[[#This Row],[NumL]],T_suiviDi[#Data],COLUMN(T_suiviDi[[#This Row],[Prénom1]]),FALSE),""),"")</f>
        <v/>
      </c>
      <c r="H132" s="274" t="str">
        <f>IFERROR(IF(VLOOKUP(T_Commission[[#This Row],[NumL]],T_suiviDi[#Data],COLUMN(T_suiviDi[[#This Row],[Email1]]),FALSE)&lt;&gt;"",VLOOKUP(T_Commission[[#This Row],[NumL]],T_suiviDi[#Data],COLUMN(T_suiviDi[[#This Row],[Email1]]),FALSE),""),"")</f>
        <v/>
      </c>
      <c r="I132" s="142" t="str">
        <f>IFERROR(VLOOKUP(T_Commission[[#This Row],[NumL]],T_TraitDi[#Data],COLUMN(T_TraitDi[[#This Row],[CTRL_PJ]]),FALSE),"")</f>
        <v/>
      </c>
      <c r="J132" s="142" t="str">
        <f>IF(T_Commission[[#This Row],[Nom]]&lt;&gt;"",IFERROR(VLOOKUP(T_Commission[[#This Row],[NumL]],T_TraitDi[#Data],COLUMN(T_TraitDi[[#This Row],[C10]]),FALSE),""),"")</f>
        <v/>
      </c>
      <c r="K132" s="142" t="str">
        <f>IFERROR(IF(VLOOKUP(T_Commission[[#This Row],[NumL]],T_suiviDi[#Data],COLUMN(T_suiviDi[[#This Row],[Avis n+1]]),FALSE)&lt;&gt;"",VLOOKUP(A132,T_suiviDi[#Data],COLUMN(T_suiviDi[[#This Row],[Avis n+1]]),FALSE),""),"")</f>
        <v/>
      </c>
      <c r="L132" s="142" t="str">
        <f>IFERROR(IF(VLOOKUP(T_Commission[[#This Row],[NumL]],T_suiviDi[#Data],COLUMN(T_suiviDi[[#This Row],[Avis n+2]]),FALSE)&lt;&gt;"",VLOOKUP(T_Commission[[#This Row],[NumL]],T_suiviDi[#Data],COLUMN(T_suiviDi[[#This Row],[Avis n+2]]),FALSE),""),"")</f>
        <v/>
      </c>
      <c r="M132" s="49">
        <v>1</v>
      </c>
      <c r="N132" s="49"/>
      <c r="O132" s="143" t="str">
        <f>IF(T_Commission[[#This Row],[Nom]]&lt;&gt;"",IF(T_Commission[[#This Row],[COM '#2]]&lt;&gt;"",MAX(T_Commission[[#This Row],[PJ]],T_Commission[[#This Row],[COM '#2]]),IF(T_Commission[[#This Row],[COM '#1]]&lt;&gt;"",MAX(T_Commission[[#This Row],[PJ]],T_Commission[[#This Row],[COM '#1]]),"")),"")</f>
        <v/>
      </c>
      <c r="P132" s="55" t="s">
        <v>115</v>
      </c>
      <c r="Q132" s="55" t="s">
        <v>3277</v>
      </c>
      <c r="R132" s="55" t="s">
        <v>3277</v>
      </c>
      <c r="S132" s="56"/>
      <c r="T132" s="144"/>
    </row>
    <row r="133" spans="1:20" s="93" customFormat="1" ht="30" customHeight="1" x14ac:dyDescent="0.25">
      <c r="A133" s="90">
        <v>161</v>
      </c>
      <c r="B133" s="130" t="str">
        <f>IFERROR(IF(VLOOKUP(T_Commission[[#This Row],[NumL]],T_TraitDi[#Data],COLUMN(T_TraitDi[[#This Row],[Statut]]),FALSE)&lt;&gt;"",VLOOKUP(T_Commission[[#This Row],[NumL]],T_TraitDi[#Data],COLUMN(T_TraitDi[[#This Row],[Statut]]),FALSE),""),"")</f>
        <v/>
      </c>
      <c r="C133" s="19" t="str">
        <f>IFERROR(IF(VLOOKUP(T_Commission[[#This Row],[NumL]],T_suiviDi[#Data],COLUMN(T_suiviDi[Nom]),FALSE)&lt;&gt;"",VLOOKUP(T_Commission[[#This Row],[NumL]],T_suiviDi[#Data],COLUMN(T_suiviDi[Nom]),FALSE),""),"")</f>
        <v/>
      </c>
      <c r="D133" s="19" t="str">
        <f>IFERROR(IF(VLOOKUP(T_Commission[[#This Row],[NumL]],T_suiviDi[#Data],COLUMN(T_suiviDi[Prénom]),FALSE)&lt;&gt;"",VLOOKUP(T_Commission[[#This Row],[NumL]],T_suiviDi[#Data],COLUMN(T_suiviDi[Prénom]),FALSE),""),"")</f>
        <v/>
      </c>
      <c r="E133" s="20" t="str">
        <f>IFERROR(IF(VLOOKUP(T_Commission[[#This Row],[NumL]],T_suiviDi[#Data],COLUMN(T_suiviDi[Email]),FALSE)&lt;&gt;"",VLOOKUP(T_Commission[[#This Row],[NumL]],T_suiviDi[#Data],COLUMN(T_suiviDi[Email]),FALSE),""),"")</f>
        <v/>
      </c>
      <c r="F133" s="274" t="str">
        <f>IFERROR(IF(VLOOKUP(T_Commission[[#This Row],[NumL]],T_suiviDi[#Data],COLUMN(T_suiviDi[[#This Row],[Nom1]]),FALSE)&lt;&gt;"",VLOOKUP(T_Commission[[#This Row],[NumL]],T_suiviDi[#Data],COLUMN(T_suiviDi[[#This Row],[Nom1]]),FALSE),""),"")</f>
        <v/>
      </c>
      <c r="G133" s="274" t="str">
        <f>IFERROR(IF(VLOOKUP(T_Commission[[#This Row],[NumL]],T_suiviDi[#Data],COLUMN(T_suiviDi[[#This Row],[Prénom1]]),FALSE)&lt;&gt;"",VLOOKUP(T_Commission[[#This Row],[NumL]],T_suiviDi[#Data],COLUMN(T_suiviDi[[#This Row],[Prénom1]]),FALSE),""),"")</f>
        <v/>
      </c>
      <c r="H133" s="274" t="str">
        <f>IFERROR(IF(VLOOKUP(T_Commission[[#This Row],[NumL]],T_suiviDi[#Data],COLUMN(T_suiviDi[[#This Row],[Email1]]),FALSE)&lt;&gt;"",VLOOKUP(T_Commission[[#This Row],[NumL]],T_suiviDi[#Data],COLUMN(T_suiviDi[[#This Row],[Email1]]),FALSE),""),"")</f>
        <v/>
      </c>
      <c r="I133" s="142" t="str">
        <f>IFERROR(VLOOKUP(T_Commission[[#This Row],[NumL]],T_TraitDi[#Data],COLUMN(T_TraitDi[[#This Row],[CTRL_PJ]]),FALSE),"")</f>
        <v/>
      </c>
      <c r="J133" s="142" t="str">
        <f>IF(T_Commission[[#This Row],[Nom]]&lt;&gt;"",IFERROR(VLOOKUP(T_Commission[[#This Row],[NumL]],T_TraitDi[#Data],COLUMN(T_TraitDi[[#This Row],[C10]]),FALSE),""),"")</f>
        <v/>
      </c>
      <c r="K133" s="142" t="str">
        <f>IFERROR(IF(VLOOKUP(T_Commission[[#This Row],[NumL]],T_suiviDi[#Data],COLUMN(T_suiviDi[[#This Row],[Avis n+1]]),FALSE)&lt;&gt;"",VLOOKUP(A133,T_suiviDi[#Data],COLUMN(T_suiviDi[[#This Row],[Avis n+1]]),FALSE),""),"")</f>
        <v/>
      </c>
      <c r="L133" s="142" t="str">
        <f>IFERROR(IF(VLOOKUP(T_Commission[[#This Row],[NumL]],T_suiviDi[#Data],COLUMN(T_suiviDi[[#This Row],[Avis n+2]]),FALSE)&lt;&gt;"",VLOOKUP(T_Commission[[#This Row],[NumL]],T_suiviDi[#Data],COLUMN(T_suiviDi[[#This Row],[Avis n+2]]),FALSE),""),"")</f>
        <v/>
      </c>
      <c r="M133" s="49">
        <v>1</v>
      </c>
      <c r="N133" s="49"/>
      <c r="O133" s="143" t="str">
        <f>IF(T_Commission[[#This Row],[Nom]]&lt;&gt;"",IF(T_Commission[[#This Row],[COM '#2]]&lt;&gt;"",MAX(T_Commission[[#This Row],[PJ]],T_Commission[[#This Row],[COM '#2]]),IF(T_Commission[[#This Row],[COM '#1]]&lt;&gt;"",MAX(T_Commission[[#This Row],[PJ]],T_Commission[[#This Row],[COM '#1]]),"")),"")</f>
        <v/>
      </c>
      <c r="P133" s="55" t="s">
        <v>115</v>
      </c>
      <c r="Q133" s="55" t="s">
        <v>3277</v>
      </c>
      <c r="R133" s="55" t="s">
        <v>3277</v>
      </c>
      <c r="S133" s="56"/>
      <c r="T133" s="144"/>
    </row>
    <row r="134" spans="1:20" s="93" customFormat="1" ht="30" customHeight="1" x14ac:dyDescent="0.25">
      <c r="A134" s="90">
        <v>324</v>
      </c>
      <c r="B134" s="130" t="str">
        <f>IFERROR(IF(VLOOKUP(T_Commission[[#This Row],[NumL]],T_TraitDi[#Data],COLUMN(T_TraitDi[[#This Row],[Statut]]),FALSE)&lt;&gt;"",VLOOKUP(T_Commission[[#This Row],[NumL]],T_TraitDi[#Data],COLUMN(T_TraitDi[[#This Row],[Statut]]),FALSE),""),"")</f>
        <v/>
      </c>
      <c r="C134" s="139" t="str">
        <f>IFERROR(IF(VLOOKUP(T_Commission[[#This Row],[NumL]],T_suiviDi[#Data],COLUMN(T_suiviDi[[#This Row],[Nom]]),FALSE)&lt;&gt;"",VLOOKUP(T_Commission[[#This Row],[NumL]],T_suiviDi[#Data],COLUMN(T_suiviDi[[#This Row],[Nom]]),FALSE),""),"")</f>
        <v/>
      </c>
      <c r="D134" s="139" t="str">
        <f>IFERROR(IF(VLOOKUP(T_Commission[[#This Row],[NumL]],T_suiviDi[#Data],COLUMN(T_suiviDi[[#This Row],[Prénom]]),FALSE)&lt;&gt;"",VLOOKUP(T_Commission[[#This Row],[NumL]],T_suiviDi[#Data],COLUMN(T_suiviDi[[#This Row],[Prénom]]),FALSE),""),"")</f>
        <v/>
      </c>
      <c r="E134" s="140" t="str">
        <f>IFERROR(IF(VLOOKUP(T_Commission[[#This Row],[NumL]],T_suiviDi[#Data],COLUMN(T_suiviDi[[#This Row],[Email]]),FALSE)&lt;&gt;"",VLOOKUP(T_Commission[[#This Row],[NumL]],T_suiviDi[#Data],COLUMN(T_suiviDi[[#This Row],[Email]]),FALSE),""),"")</f>
        <v/>
      </c>
      <c r="F134" s="141" t="str">
        <f>IFERROR(IF(VLOOKUP(T_Commission[[#This Row],[NumL]],T_suiviDi[#Data],COLUMN(T_suiviDi[[#This Row],[Nom1]]),FALSE)&lt;&gt;"",VLOOKUP(T_Commission[[#This Row],[NumL]],T_suiviDi[#Data],COLUMN(T_suiviDi[[#This Row],[Nom1]]),FALSE),""),"")</f>
        <v/>
      </c>
      <c r="G134" s="141" t="str">
        <f>IFERROR(IF(VLOOKUP(T_Commission[[#This Row],[NumL]],T_suiviDi[#Data],COLUMN(T_suiviDi[[#This Row],[Prénom1]]),FALSE)&lt;&gt;"",VLOOKUP(T_Commission[[#This Row],[NumL]],T_suiviDi[#Data],COLUMN(T_suiviDi[[#This Row],[Prénom1]]),FALSE),""),"")</f>
        <v/>
      </c>
      <c r="H134" s="141" t="str">
        <f>IFERROR(IF(VLOOKUP(T_Commission[[#This Row],[NumL]],T_suiviDi[#Data],COLUMN(T_suiviDi[[#This Row],[Email1]]),FALSE)&lt;&gt;"",VLOOKUP(T_Commission[[#This Row],[NumL]],T_suiviDi[#Data],COLUMN(T_suiviDi[[#This Row],[Email1]]),FALSE),""),"")</f>
        <v/>
      </c>
      <c r="I134" s="142" t="str">
        <f>IFERROR(VLOOKUP(T_Commission[[#This Row],[NumL]],T_TraitDi[#Data],COLUMN(T_TraitDi[[#This Row],[CTRL_PJ]]),FALSE),"")</f>
        <v/>
      </c>
      <c r="J134" s="142" t="str">
        <f>IF(C134&lt;&gt;"",IFERROR(VLOOKUP(A134,'2- Traitement des DI'!BV32,FALSE),""),"")</f>
        <v/>
      </c>
      <c r="K134" s="142" t="str">
        <f>IFERROR(IF(VLOOKUP(T_Commission[[#This Row],[NumL]],T_suiviDi[#Data],COLUMN(T_suiviDi[[#This Row],[Avis n+1]]),FALSE)&lt;&gt;"",VLOOKUP(A134,T_suiviDi[#Data],COLUMN(T_suiviDi[[#This Row],[Avis n+1]]),FALSE),""),"")</f>
        <v/>
      </c>
      <c r="L134" s="142" t="str">
        <f>IFERROR(IF(VLOOKUP(A134,ListeDI,27,FALSE)&lt;&gt;"",VLOOKUP(A134,ListeDI,27,FALSE),""),"")</f>
        <v/>
      </c>
      <c r="M134" s="49">
        <v>3</v>
      </c>
      <c r="N134" s="49"/>
      <c r="O134" s="143" t="str">
        <f>IF(C134&lt;&gt;"",IF(N134&lt;&gt;"",MAX(I134,N134),IF(M134&lt;&gt;"",MAX(I134,M134),"")),"")</f>
        <v/>
      </c>
      <c r="P134" s="55" t="s">
        <v>115</v>
      </c>
      <c r="Q134" s="55" t="s">
        <v>3278</v>
      </c>
      <c r="R134" s="55"/>
      <c r="S134" s="56"/>
      <c r="T134" s="144" t="s">
        <v>3634</v>
      </c>
    </row>
    <row r="135" spans="1:20" s="93" customFormat="1" ht="30" customHeight="1" x14ac:dyDescent="0.25">
      <c r="A135" s="90">
        <v>322</v>
      </c>
      <c r="B135" s="130" t="str">
        <f>IFERROR(IF(VLOOKUP(T_Commission[[#This Row],[NumL]],T_TraitDi[#Data],COLUMN(T_TraitDi[[#This Row],[Statut]]),FALSE)&lt;&gt;"",VLOOKUP(T_Commission[[#This Row],[NumL]],T_TraitDi[#Data],COLUMN(T_TraitDi[[#This Row],[Statut]]),FALSE),""),"")</f>
        <v/>
      </c>
      <c r="C135" s="139" t="str">
        <f>IFERROR(IF(VLOOKUP(T_Commission[[#This Row],[NumL]],T_suiviDi[#Data],COLUMN(T_suiviDi[[#This Row],[Nom]]),FALSE)&lt;&gt;"",VLOOKUP(T_Commission[[#This Row],[NumL]],T_suiviDi[#Data],COLUMN(T_suiviDi[[#This Row],[Nom]]),FALSE),""),"")</f>
        <v/>
      </c>
      <c r="D135" s="139" t="str">
        <f>IFERROR(IF(VLOOKUP(T_Commission[[#This Row],[NumL]],T_suiviDi[#Data],COLUMN(T_suiviDi[[#This Row],[Prénom]]),FALSE)&lt;&gt;"",VLOOKUP(T_Commission[[#This Row],[NumL]],T_suiviDi[#Data],COLUMN(T_suiviDi[[#This Row],[Prénom]]),FALSE),""),"")</f>
        <v/>
      </c>
      <c r="E135" s="140" t="str">
        <f>IFERROR(IF(VLOOKUP(T_Commission[[#This Row],[NumL]],T_suiviDi[#Data],COLUMN(T_suiviDi[[#This Row],[Email]]),FALSE)&lt;&gt;"",VLOOKUP(T_Commission[[#This Row],[NumL]],T_suiviDi[#Data],COLUMN(T_suiviDi[[#This Row],[Email]]),FALSE),""),"")</f>
        <v/>
      </c>
      <c r="F135" s="141" t="str">
        <f>IFERROR(IF(VLOOKUP(T_Commission[[#This Row],[NumL]],T_suiviDi[#Data],COLUMN(T_suiviDi[[#This Row],[Nom1]]),FALSE)&lt;&gt;"",VLOOKUP(T_Commission[[#This Row],[NumL]],T_suiviDi[#Data],COLUMN(T_suiviDi[[#This Row],[Nom1]]),FALSE),""),"")</f>
        <v/>
      </c>
      <c r="G135" s="141" t="str">
        <f>IFERROR(IF(VLOOKUP(T_Commission[[#This Row],[NumL]],T_suiviDi[#Data],COLUMN(T_suiviDi[[#This Row],[Prénom1]]),FALSE)&lt;&gt;"",VLOOKUP(T_Commission[[#This Row],[NumL]],T_suiviDi[#Data],COLUMN(T_suiviDi[[#This Row],[Prénom1]]),FALSE),""),"")</f>
        <v/>
      </c>
      <c r="H135" s="141" t="str">
        <f>IFERROR(IF(VLOOKUP(T_Commission[[#This Row],[NumL]],T_suiviDi[#Data],COLUMN(T_suiviDi[[#This Row],[Email1]]),FALSE)&lt;&gt;"",VLOOKUP(T_Commission[[#This Row],[NumL]],T_suiviDi[#Data],COLUMN(T_suiviDi[[#This Row],[Email1]]),FALSE),""),"")</f>
        <v/>
      </c>
      <c r="I135" s="142" t="str">
        <f>IFERROR(VLOOKUP(T_Commission[[#This Row],[NumL]],T_TraitDi[#Data],COLUMN(T_TraitDi[[#This Row],[CTRL_PJ]]),FALSE),"")</f>
        <v/>
      </c>
      <c r="J135" s="142" t="str">
        <f>IF(C135&lt;&gt;"",IFERROR(VLOOKUP(A135,'2- Traitement des DI'!BV32,FALSE),""),"")</f>
        <v/>
      </c>
      <c r="K135" s="142" t="str">
        <f>IFERROR(IF(VLOOKUP(T_Commission[[#This Row],[NumL]],T_suiviDi[#Data],COLUMN(T_suiviDi[[#This Row],[Avis n+1]]),FALSE)&lt;&gt;"",VLOOKUP(A135,T_suiviDi[#Data],COLUMN(T_suiviDi[[#This Row],[Avis n+1]]),FALSE),""),"")</f>
        <v/>
      </c>
      <c r="L135" s="142" t="str">
        <f>IFERROR(IF(VLOOKUP(A135,ListeDI,27,FALSE)&lt;&gt;"",VLOOKUP(A135,ListeDI,27,FALSE),""),"")</f>
        <v/>
      </c>
      <c r="M135" s="49">
        <v>1</v>
      </c>
      <c r="N135" s="49"/>
      <c r="O135" s="143" t="str">
        <f>IF(C135&lt;&gt;"",IF(N135&lt;&gt;"",MAX(I135,N135),IF(M135&lt;&gt;"",MAX(I135,M135),"")),"")</f>
        <v/>
      </c>
      <c r="P135" s="55" t="s">
        <v>115</v>
      </c>
      <c r="Q135" s="55" t="s">
        <v>3277</v>
      </c>
      <c r="R135" s="55" t="s">
        <v>3277</v>
      </c>
      <c r="S135" s="56"/>
      <c r="T135" s="144"/>
    </row>
    <row r="136" spans="1:20" s="93" customFormat="1" ht="30" customHeight="1" x14ac:dyDescent="0.25">
      <c r="A136" s="90">
        <v>337</v>
      </c>
      <c r="B136" s="130" t="str">
        <f>IFERROR(IF(VLOOKUP(T_Commission[[#This Row],[NumL]],T_TraitDi[#Data],COLUMN(T_TraitDi[[#This Row],[Statut]]),FALSE)&lt;&gt;"",VLOOKUP(T_Commission[[#This Row],[NumL]],T_TraitDi[#Data],COLUMN(T_TraitDi[[#This Row],[Statut]]),FALSE),""),"")</f>
        <v/>
      </c>
      <c r="C136" s="139" t="str">
        <f>IFERROR(IF(VLOOKUP(T_Commission[[#This Row],[NumL]],T_suiviDi[#Data],COLUMN(T_suiviDi[[#This Row],[Nom]]),FALSE)&lt;&gt;"",VLOOKUP(T_Commission[[#This Row],[NumL]],T_suiviDi[#Data],COLUMN(T_suiviDi[[#This Row],[Nom]]),FALSE),""),"")</f>
        <v/>
      </c>
      <c r="D136" s="139" t="str">
        <f>IFERROR(IF(VLOOKUP(T_Commission[[#This Row],[NumL]],T_suiviDi[#Data],COLUMN(T_suiviDi[[#This Row],[Prénom]]),FALSE)&lt;&gt;"",VLOOKUP(T_Commission[[#This Row],[NumL]],T_suiviDi[#Data],COLUMN(T_suiviDi[[#This Row],[Prénom]]),FALSE),""),"")</f>
        <v/>
      </c>
      <c r="E136" s="140" t="str">
        <f>IFERROR(IF(VLOOKUP(T_Commission[[#This Row],[NumL]],T_suiviDi[#Data],COLUMN(T_suiviDi[[#This Row],[Email]]),FALSE)&lt;&gt;"",VLOOKUP(T_Commission[[#This Row],[NumL]],T_suiviDi[#Data],COLUMN(T_suiviDi[[#This Row],[Email]]),FALSE),""),"")</f>
        <v/>
      </c>
      <c r="F136" s="141" t="str">
        <f>IFERROR(IF(VLOOKUP(T_Commission[[#This Row],[NumL]],T_suiviDi[#Data],COLUMN(T_suiviDi[[#This Row],[Nom1]]),FALSE)&lt;&gt;"",VLOOKUP(T_Commission[[#This Row],[NumL]],T_suiviDi[#Data],COLUMN(T_suiviDi[[#This Row],[Nom1]]),FALSE),""),"")</f>
        <v/>
      </c>
      <c r="G136" s="141" t="str">
        <f>IFERROR(IF(VLOOKUP(T_Commission[[#This Row],[NumL]],T_suiviDi[#Data],COLUMN(T_suiviDi[[#This Row],[Prénom1]]),FALSE)&lt;&gt;"",VLOOKUP(T_Commission[[#This Row],[NumL]],T_suiviDi[#Data],COLUMN(T_suiviDi[[#This Row],[Prénom1]]),FALSE),""),"")</f>
        <v/>
      </c>
      <c r="H136" s="141" t="str">
        <f>IFERROR(IF(VLOOKUP(T_Commission[[#This Row],[NumL]],T_suiviDi[#Data],COLUMN(T_suiviDi[[#This Row],[Email1]]),FALSE)&lt;&gt;"",VLOOKUP(T_Commission[[#This Row],[NumL]],T_suiviDi[#Data],COLUMN(T_suiviDi[[#This Row],[Email1]]),FALSE),""),"")</f>
        <v/>
      </c>
      <c r="I136" s="142" t="str">
        <f>IFERROR(VLOOKUP(T_Commission[[#This Row],[NumL]],T_TraitDi[#Data],COLUMN(T_TraitDi[[#This Row],[CTRL_PJ]]),FALSE),"")</f>
        <v/>
      </c>
      <c r="J136" s="142" t="str">
        <f>IF(C136&lt;&gt;"",IFERROR(VLOOKUP(A136,'2- Traitement des DI'!BV32,FALSE),""),"")</f>
        <v/>
      </c>
      <c r="K136" s="142" t="str">
        <f>IFERROR(IF(VLOOKUP(T_Commission[[#This Row],[NumL]],T_suiviDi[#Data],COLUMN(T_suiviDi[[#This Row],[Avis n+1]]),FALSE)&lt;&gt;"",VLOOKUP(A136,T_suiviDi[#Data],COLUMN(T_suiviDi[[#This Row],[Avis n+1]]),FALSE),""),"")</f>
        <v/>
      </c>
      <c r="L136" s="142" t="str">
        <f>IFERROR(IF(VLOOKUP(A136,ListeDI,27,FALSE)&lt;&gt;"",VLOOKUP(A136,ListeDI,27,FALSE),""),"")</f>
        <v/>
      </c>
      <c r="M136" s="49">
        <v>1</v>
      </c>
      <c r="N136" s="49"/>
      <c r="O136" s="143" t="str">
        <f>IF(C136&lt;&gt;"",IF(N136&lt;&gt;"",MAX(I136,N136),IF(M136&lt;&gt;"",MAX(I136,M136),"")),"")</f>
        <v/>
      </c>
      <c r="P136" s="55" t="s">
        <v>115</v>
      </c>
      <c r="Q136" s="55" t="s">
        <v>3277</v>
      </c>
      <c r="R136" s="55" t="s">
        <v>3277</v>
      </c>
      <c r="S136" s="56"/>
      <c r="T136" s="144"/>
    </row>
    <row r="137" spans="1:20" s="93" customFormat="1" ht="30" customHeight="1" x14ac:dyDescent="0.25">
      <c r="A137" s="90">
        <v>17</v>
      </c>
      <c r="B137" s="130" t="str">
        <f>IFERROR(IF(VLOOKUP(T_Commission[[#This Row],[NumL]],T_TraitDi[#Data],COLUMN(T_TraitDi[[#This Row],[Statut]]),FALSE)&lt;&gt;"",VLOOKUP(T_Commission[[#This Row],[NumL]],T_TraitDi[#Data],COLUMN(T_TraitDi[[#This Row],[Statut]]),FALSE),""),"")</f>
        <v/>
      </c>
      <c r="C137" s="19" t="str">
        <f>IFERROR(IF(VLOOKUP(T_Commission[[#This Row],[NumL]],T_suiviDi[#Data],COLUMN(T_suiviDi[Nom]),FALSE)&lt;&gt;"",VLOOKUP(T_Commission[[#This Row],[NumL]],T_suiviDi[#Data],COLUMN(T_suiviDi[Nom]),FALSE),""),"")</f>
        <v/>
      </c>
      <c r="D137" s="19" t="str">
        <f>IFERROR(IF(VLOOKUP(T_Commission[[#This Row],[NumL]],T_suiviDi[#Data],COLUMN(T_suiviDi[Prénom]),FALSE)&lt;&gt;"",VLOOKUP(T_Commission[[#This Row],[NumL]],T_suiviDi[#Data],COLUMN(T_suiviDi[Prénom]),FALSE),""),"")</f>
        <v/>
      </c>
      <c r="E137" s="20" t="str">
        <f>IFERROR(IF(VLOOKUP(T_Commission[[#This Row],[NumL]],T_suiviDi[#Data],COLUMN(T_suiviDi[Email]),FALSE)&lt;&gt;"",VLOOKUP(T_Commission[[#This Row],[NumL]],T_suiviDi[#Data],COLUMN(T_suiviDi[Email]),FALSE),""),"")</f>
        <v/>
      </c>
      <c r="F137" s="274" t="str">
        <f>IFERROR(IF(VLOOKUP(T_Commission[[#This Row],[NumL]],T_suiviDi[#Data],COLUMN(T_suiviDi[[#This Row],[Nom1]]),FALSE)&lt;&gt;"",VLOOKUP(T_Commission[[#This Row],[NumL]],T_suiviDi[#Data],COLUMN(T_suiviDi[[#This Row],[Nom1]]),FALSE),""),"")</f>
        <v/>
      </c>
      <c r="G137" s="274" t="str">
        <f>IFERROR(IF(VLOOKUP(T_Commission[[#This Row],[NumL]],T_suiviDi[#Data],COLUMN(T_suiviDi[[#This Row],[Prénom1]]),FALSE)&lt;&gt;"",VLOOKUP(T_Commission[[#This Row],[NumL]],T_suiviDi[#Data],COLUMN(T_suiviDi[[#This Row],[Prénom1]]),FALSE),""),"")</f>
        <v/>
      </c>
      <c r="H137" s="274" t="str">
        <f>IFERROR(IF(VLOOKUP(T_Commission[[#This Row],[NumL]],T_suiviDi[#Data],COLUMN(T_suiviDi[[#This Row],[Email1]]),FALSE)&lt;&gt;"",VLOOKUP(T_Commission[[#This Row],[NumL]],T_suiviDi[#Data],COLUMN(T_suiviDi[[#This Row],[Email1]]),FALSE),""),"")</f>
        <v/>
      </c>
      <c r="I137" s="142" t="str">
        <f>IFERROR(VLOOKUP(T_Commission[[#This Row],[NumL]],T_TraitDi[#Data],COLUMN(T_TraitDi[[#This Row],[CTRL_PJ]]),FALSE),"")</f>
        <v/>
      </c>
      <c r="J137" s="142" t="str">
        <f>IF(T_Commission[[#This Row],[Nom]]&lt;&gt;"",IFERROR(VLOOKUP(T_Commission[[#This Row],[NumL]],T_TraitDi[#Data],COLUMN(T_TraitDi[[#This Row],[C10]]),FALSE),""),"")</f>
        <v/>
      </c>
      <c r="K137" s="142" t="str">
        <f>IFERROR(IF(VLOOKUP(T_Commission[[#This Row],[NumL]],T_suiviDi[#Data],COLUMN(T_suiviDi[[#This Row],[Avis n+1]]),FALSE)&lt;&gt;"",VLOOKUP(A137,T_suiviDi[#Data],COLUMN(T_suiviDi[[#This Row],[Avis n+1]]),FALSE),""),"")</f>
        <v/>
      </c>
      <c r="L137" s="142" t="str">
        <f>IFERROR(IF(VLOOKUP(T_Commission[[#This Row],[NumL]],T_suiviDi[#Data],COLUMN(T_suiviDi[[#This Row],[Avis n+2]]),FALSE)&lt;&gt;"",VLOOKUP(T_Commission[[#This Row],[NumL]],T_suiviDi[#Data],COLUMN(T_suiviDi[[#This Row],[Avis n+2]]),FALSE),""),"")</f>
        <v/>
      </c>
      <c r="M137" s="49">
        <v>1</v>
      </c>
      <c r="N137" s="49"/>
      <c r="O137" s="143" t="str">
        <f>IF(T_Commission[[#This Row],[Nom]]&lt;&gt;"",IF(T_Commission[[#This Row],[COM '#2]]&lt;&gt;"",MAX(T_Commission[[#This Row],[PJ]],T_Commission[[#This Row],[COM '#2]]),IF(T_Commission[[#This Row],[COM '#1]]&lt;&gt;"",MAX(T_Commission[[#This Row],[PJ]],T_Commission[[#This Row],[COM '#1]]),"")),"")</f>
        <v/>
      </c>
      <c r="P137" s="55" t="s">
        <v>115</v>
      </c>
      <c r="Q137" s="55" t="s">
        <v>3277</v>
      </c>
      <c r="R137" s="55" t="s">
        <v>3277</v>
      </c>
      <c r="S137" s="56"/>
      <c r="T137" s="144"/>
    </row>
    <row r="138" spans="1:20" s="93" customFormat="1" ht="30" customHeight="1" x14ac:dyDescent="0.25">
      <c r="A138" s="90">
        <v>163</v>
      </c>
      <c r="B138" s="130" t="str">
        <f>IFERROR(IF(VLOOKUP(T_Commission[[#This Row],[NumL]],T_TraitDi[#Data],COLUMN(T_TraitDi[[#This Row],[Statut]]),FALSE)&lt;&gt;"",VLOOKUP(T_Commission[[#This Row],[NumL]],T_TraitDi[#Data],COLUMN(T_TraitDi[[#This Row],[Statut]]),FALSE),""),"")</f>
        <v/>
      </c>
      <c r="C138" s="19" t="str">
        <f>IFERROR(IF(VLOOKUP(T_Commission[[#This Row],[NumL]],T_suiviDi[#Data],COLUMN(T_suiviDi[Nom]),FALSE)&lt;&gt;"",VLOOKUP(T_Commission[[#This Row],[NumL]],T_suiviDi[#Data],COLUMN(T_suiviDi[Nom]),FALSE),""),"")</f>
        <v/>
      </c>
      <c r="D138" s="19" t="str">
        <f>IFERROR(IF(VLOOKUP(T_Commission[[#This Row],[NumL]],T_suiviDi[#Data],COLUMN(T_suiviDi[Prénom]),FALSE)&lt;&gt;"",VLOOKUP(T_Commission[[#This Row],[NumL]],T_suiviDi[#Data],COLUMN(T_suiviDi[Prénom]),FALSE),""),"")</f>
        <v/>
      </c>
      <c r="E138" s="20" t="str">
        <f>IFERROR(IF(VLOOKUP(T_Commission[[#This Row],[NumL]],T_suiviDi[#Data],COLUMN(T_suiviDi[Email]),FALSE)&lt;&gt;"",VLOOKUP(T_Commission[[#This Row],[NumL]],T_suiviDi[#Data],COLUMN(T_suiviDi[Email]),FALSE),""),"")</f>
        <v/>
      </c>
      <c r="F138" s="274" t="str">
        <f>IFERROR(IF(VLOOKUP(T_Commission[[#This Row],[NumL]],T_suiviDi[#Data],COLUMN(T_suiviDi[[#This Row],[Nom1]]),FALSE)&lt;&gt;"",VLOOKUP(T_Commission[[#This Row],[NumL]],T_suiviDi[#Data],COLUMN(T_suiviDi[[#This Row],[Nom1]]),FALSE),""),"")</f>
        <v/>
      </c>
      <c r="G138" s="274" t="str">
        <f>IFERROR(IF(VLOOKUP(T_Commission[[#This Row],[NumL]],T_suiviDi[#Data],COLUMN(T_suiviDi[[#This Row],[Prénom1]]),FALSE)&lt;&gt;"",VLOOKUP(T_Commission[[#This Row],[NumL]],T_suiviDi[#Data],COLUMN(T_suiviDi[[#This Row],[Prénom1]]),FALSE),""),"")</f>
        <v/>
      </c>
      <c r="H138" s="274" t="str">
        <f>IFERROR(IF(VLOOKUP(T_Commission[[#This Row],[NumL]],T_suiviDi[#Data],COLUMN(T_suiviDi[[#This Row],[Email1]]),FALSE)&lt;&gt;"",VLOOKUP(T_Commission[[#This Row],[NumL]],T_suiviDi[#Data],COLUMN(T_suiviDi[[#This Row],[Email1]]),FALSE),""),"")</f>
        <v/>
      </c>
      <c r="I138" s="142" t="str">
        <f>IFERROR(VLOOKUP(T_Commission[[#This Row],[NumL]],T_TraitDi[#Data],COLUMN(T_TraitDi[[#This Row],[CTRL_PJ]]),FALSE),"")</f>
        <v/>
      </c>
      <c r="J138" s="142" t="str">
        <f>IF(T_Commission[[#This Row],[Nom]]&lt;&gt;"",IFERROR(VLOOKUP(T_Commission[[#This Row],[NumL]],T_TraitDi[#Data],COLUMN(T_TraitDi[[#This Row],[C10]]),FALSE),""),"")</f>
        <v/>
      </c>
      <c r="K138" s="142" t="str">
        <f>IFERROR(IF(VLOOKUP(T_Commission[[#This Row],[NumL]],T_suiviDi[#Data],COLUMN(T_suiviDi[[#This Row],[Avis n+1]]),FALSE)&lt;&gt;"",VLOOKUP(A138,T_suiviDi[#Data],COLUMN(T_suiviDi[[#This Row],[Avis n+1]]),FALSE),""),"")</f>
        <v/>
      </c>
      <c r="L138" s="142" t="str">
        <f>IFERROR(IF(VLOOKUP(T_Commission[[#This Row],[NumL]],T_suiviDi[#Data],COLUMN(T_suiviDi[[#This Row],[Avis n+2]]),FALSE)&lt;&gt;"",VLOOKUP(T_Commission[[#This Row],[NumL]],T_suiviDi[#Data],COLUMN(T_suiviDi[[#This Row],[Avis n+2]]),FALSE),""),"")</f>
        <v/>
      </c>
      <c r="M138" s="49">
        <v>1</v>
      </c>
      <c r="N138" s="49"/>
      <c r="O138" s="143" t="str">
        <f>IF(T_Commission[[#This Row],[Nom]]&lt;&gt;"",IF(T_Commission[[#This Row],[COM '#2]]&lt;&gt;"",MAX(T_Commission[[#This Row],[PJ]],T_Commission[[#This Row],[COM '#2]]),IF(T_Commission[[#This Row],[COM '#1]]&lt;&gt;"",MAX(T_Commission[[#This Row],[PJ]],T_Commission[[#This Row],[COM '#1]]),"")),"")</f>
        <v/>
      </c>
      <c r="P138" s="55" t="s">
        <v>115</v>
      </c>
      <c r="Q138" s="55" t="s">
        <v>3277</v>
      </c>
      <c r="R138" s="55" t="s">
        <v>3277</v>
      </c>
      <c r="S138" s="56"/>
      <c r="T138" s="144"/>
    </row>
    <row r="139" spans="1:20" s="93" customFormat="1" ht="30" customHeight="1" x14ac:dyDescent="0.25">
      <c r="A139" s="90">
        <v>79</v>
      </c>
      <c r="B139" s="130" t="str">
        <f>IFERROR(IF(VLOOKUP(T_Commission[[#This Row],[NumL]],T_TraitDi[#Data],COLUMN(T_TraitDi[[#This Row],[Statut]]),FALSE)&lt;&gt;"",VLOOKUP(T_Commission[[#This Row],[NumL]],T_TraitDi[#Data],COLUMN(T_TraitDi[[#This Row],[Statut]]),FALSE),""),"")</f>
        <v/>
      </c>
      <c r="C139" s="19" t="str">
        <f>IFERROR(IF(VLOOKUP(T_Commission[[#This Row],[NumL]],T_suiviDi[#Data],COLUMN(T_suiviDi[Nom]),FALSE)&lt;&gt;"",VLOOKUP(T_Commission[[#This Row],[NumL]],T_suiviDi[#Data],COLUMN(T_suiviDi[Nom]),FALSE),""),"")</f>
        <v/>
      </c>
      <c r="D139" s="19" t="str">
        <f>IFERROR(IF(VLOOKUP(T_Commission[[#This Row],[NumL]],T_suiviDi[#Data],COLUMN(T_suiviDi[Prénom]),FALSE)&lt;&gt;"",VLOOKUP(T_Commission[[#This Row],[NumL]],T_suiviDi[#Data],COLUMN(T_suiviDi[Prénom]),FALSE),""),"")</f>
        <v/>
      </c>
      <c r="E139" s="20" t="str">
        <f>IFERROR(IF(VLOOKUP(T_Commission[[#This Row],[NumL]],T_suiviDi[#Data],COLUMN(T_suiviDi[Email]),FALSE)&lt;&gt;"",VLOOKUP(T_Commission[[#This Row],[NumL]],T_suiviDi[#Data],COLUMN(T_suiviDi[Email]),FALSE),""),"")</f>
        <v/>
      </c>
      <c r="F139" s="274" t="str">
        <f>IFERROR(IF(VLOOKUP(T_Commission[[#This Row],[NumL]],T_suiviDi[#Data],COLUMN(T_suiviDi[[#This Row],[Nom1]]),FALSE)&lt;&gt;"",VLOOKUP(T_Commission[[#This Row],[NumL]],T_suiviDi[#Data],COLUMN(T_suiviDi[[#This Row],[Nom1]]),FALSE),""),"")</f>
        <v/>
      </c>
      <c r="G139" s="274" t="str">
        <f>IFERROR(IF(VLOOKUP(T_Commission[[#This Row],[NumL]],T_suiviDi[#Data],COLUMN(T_suiviDi[[#This Row],[Prénom1]]),FALSE)&lt;&gt;"",VLOOKUP(T_Commission[[#This Row],[NumL]],T_suiviDi[#Data],COLUMN(T_suiviDi[[#This Row],[Prénom1]]),FALSE),""),"")</f>
        <v/>
      </c>
      <c r="H139" s="274" t="str">
        <f>IFERROR(IF(VLOOKUP(T_Commission[[#This Row],[NumL]],T_suiviDi[#Data],COLUMN(T_suiviDi[[#This Row],[Email1]]),FALSE)&lt;&gt;"",VLOOKUP(T_Commission[[#This Row],[NumL]],T_suiviDi[#Data],COLUMN(T_suiviDi[[#This Row],[Email1]]),FALSE),""),"")</f>
        <v/>
      </c>
      <c r="I139" s="142" t="str">
        <f>IFERROR(VLOOKUP(T_Commission[[#This Row],[NumL]],T_TraitDi[#Data],COLUMN(T_TraitDi[[#This Row],[CTRL_PJ]]),FALSE),"")</f>
        <v/>
      </c>
      <c r="J139" s="142" t="str">
        <f>IF(T_Commission[[#This Row],[Nom]]&lt;&gt;"",IFERROR(VLOOKUP(T_Commission[[#This Row],[NumL]],T_TraitDi[#Data],COLUMN(T_TraitDi[[#This Row],[C10]]),FALSE),""),"")</f>
        <v/>
      </c>
      <c r="K139" s="142" t="str">
        <f>IFERROR(IF(VLOOKUP(T_Commission[[#This Row],[NumL]],T_suiviDi[#Data],COLUMN(T_suiviDi[[#This Row],[Avis n+1]]),FALSE)&lt;&gt;"",VLOOKUP(A139,T_suiviDi[#Data],COLUMN(T_suiviDi[[#This Row],[Avis n+1]]),FALSE),""),"")</f>
        <v/>
      </c>
      <c r="L139" s="142" t="str">
        <f>IFERROR(IF(VLOOKUP(T_Commission[[#This Row],[NumL]],T_suiviDi[#Data],COLUMN(T_suiviDi[[#This Row],[Avis n+2]]),FALSE)&lt;&gt;"",VLOOKUP(T_Commission[[#This Row],[NumL]],T_suiviDi[#Data],COLUMN(T_suiviDi[[#This Row],[Avis n+2]]),FALSE),""),"")</f>
        <v/>
      </c>
      <c r="M139" s="49">
        <v>1</v>
      </c>
      <c r="N139" s="49"/>
      <c r="O139" s="143" t="str">
        <f>IF(T_Commission[[#This Row],[Nom]]&lt;&gt;"",IF(T_Commission[[#This Row],[COM '#2]]&lt;&gt;"",MAX(T_Commission[[#This Row],[PJ]],T_Commission[[#This Row],[COM '#2]]),IF(T_Commission[[#This Row],[COM '#1]]&lt;&gt;"",MAX(T_Commission[[#This Row],[PJ]],T_Commission[[#This Row],[COM '#1]]),"")),"")</f>
        <v/>
      </c>
      <c r="P139" s="55" t="s">
        <v>115</v>
      </c>
      <c r="Q139" s="55" t="s">
        <v>3277</v>
      </c>
      <c r="R139" s="55"/>
      <c r="S139" s="56"/>
      <c r="T139" s="144"/>
    </row>
    <row r="140" spans="1:20" s="93" customFormat="1" ht="30" customHeight="1" x14ac:dyDescent="0.25">
      <c r="A140" s="90">
        <v>304</v>
      </c>
      <c r="B140" s="130" t="str">
        <f>IFERROR(IF(VLOOKUP(T_Commission[[#This Row],[NumL]],T_TraitDi[#Data],COLUMN(T_TraitDi[[#This Row],[Statut]]),FALSE)&lt;&gt;"",VLOOKUP(T_Commission[[#This Row],[NumL]],T_TraitDi[#Data],COLUMN(T_TraitDi[[#This Row],[Statut]]),FALSE),""),"")</f>
        <v/>
      </c>
      <c r="C140" s="139" t="str">
        <f>IFERROR(IF(VLOOKUP(T_Commission[[#This Row],[NumL]],T_suiviDi[#Data],COLUMN(T_suiviDi[[#This Row],[Nom]]),FALSE)&lt;&gt;"",VLOOKUP(T_Commission[[#This Row],[NumL]],T_suiviDi[#Data],COLUMN(T_suiviDi[[#This Row],[Nom]]),FALSE),""),"")</f>
        <v/>
      </c>
      <c r="D140" s="139" t="str">
        <f>IFERROR(IF(VLOOKUP(T_Commission[[#This Row],[NumL]],T_suiviDi[#Data],COLUMN(T_suiviDi[[#This Row],[Prénom]]),FALSE)&lt;&gt;"",VLOOKUP(T_Commission[[#This Row],[NumL]],T_suiviDi[#Data],COLUMN(T_suiviDi[[#This Row],[Prénom]]),FALSE),""),"")</f>
        <v/>
      </c>
      <c r="E140" s="140" t="str">
        <f>IFERROR(IF(VLOOKUP(T_Commission[[#This Row],[NumL]],T_suiviDi[#Data],COLUMN(T_suiviDi[[#This Row],[Email]]),FALSE)&lt;&gt;"",VLOOKUP(T_Commission[[#This Row],[NumL]],T_suiviDi[#Data],COLUMN(T_suiviDi[[#This Row],[Email]]),FALSE),""),"")</f>
        <v/>
      </c>
      <c r="F140" s="141" t="str">
        <f>IFERROR(IF(VLOOKUP(T_Commission[[#This Row],[NumL]],T_suiviDi[#Data],COLUMN(T_suiviDi[[#This Row],[Nom1]]),FALSE)&lt;&gt;"",VLOOKUP(T_Commission[[#This Row],[NumL]],T_suiviDi[#Data],COLUMN(T_suiviDi[[#This Row],[Nom1]]),FALSE),""),"")</f>
        <v/>
      </c>
      <c r="G140" s="141" t="str">
        <f>IFERROR(IF(VLOOKUP(T_Commission[[#This Row],[NumL]],T_suiviDi[#Data],COLUMN(T_suiviDi[[#This Row],[Prénom1]]),FALSE)&lt;&gt;"",VLOOKUP(T_Commission[[#This Row],[NumL]],T_suiviDi[#Data],COLUMN(T_suiviDi[[#This Row],[Prénom1]]),FALSE),""),"")</f>
        <v/>
      </c>
      <c r="H140" s="141" t="str">
        <f>IFERROR(IF(VLOOKUP(T_Commission[[#This Row],[NumL]],T_suiviDi[#Data],COLUMN(T_suiviDi[[#This Row],[Email1]]),FALSE)&lt;&gt;"",VLOOKUP(T_Commission[[#This Row],[NumL]],T_suiviDi[#Data],COLUMN(T_suiviDi[[#This Row],[Email1]]),FALSE),""),"")</f>
        <v/>
      </c>
      <c r="I140" s="142" t="str">
        <f>IFERROR(VLOOKUP(T_Commission[[#This Row],[NumL]],T_TraitDi[#Data],COLUMN(T_TraitDi[[#This Row],[CTRL_PJ]]),FALSE),"")</f>
        <v/>
      </c>
      <c r="J140" s="142" t="str">
        <f>IF(C140&lt;&gt;"",IFERROR(VLOOKUP(A140,'2- Traitement des DI'!BV32,FALSE),""),"")</f>
        <v/>
      </c>
      <c r="K140" s="142" t="str">
        <f>IFERROR(IF(VLOOKUP(T_Commission[[#This Row],[NumL]],T_suiviDi[#Data],COLUMN(T_suiviDi[[#This Row],[Avis n+1]]),FALSE)&lt;&gt;"",VLOOKUP(A140,T_suiviDi[#Data],COLUMN(T_suiviDi[[#This Row],[Avis n+1]]),FALSE),""),"")</f>
        <v/>
      </c>
      <c r="L140" s="142" t="str">
        <f>IFERROR(IF(VLOOKUP(A140,ListeDI,27,FALSE)&lt;&gt;"",VLOOKUP(A140,ListeDI,27,FALSE),""),"")</f>
        <v/>
      </c>
      <c r="M140" s="49">
        <v>1</v>
      </c>
      <c r="N140" s="49"/>
      <c r="O140" s="143" t="str">
        <f>IF(C140&lt;&gt;"",IF(N140&lt;&gt;"",MAX(I140,N140),IF(M140&lt;&gt;"",MAX(I140,M140),"")),"")</f>
        <v/>
      </c>
      <c r="P140" s="55" t="s">
        <v>115</v>
      </c>
      <c r="Q140" s="55" t="s">
        <v>3277</v>
      </c>
      <c r="R140" s="55" t="s">
        <v>3277</v>
      </c>
      <c r="S140" s="56"/>
      <c r="T140" s="144"/>
    </row>
    <row r="141" spans="1:20" s="93" customFormat="1" ht="30" customHeight="1" x14ac:dyDescent="0.25">
      <c r="A141" s="90">
        <v>204</v>
      </c>
      <c r="B141" s="130" t="str">
        <f>IFERROR(IF(VLOOKUP(T_Commission[[#This Row],[NumL]],T_TraitDi[#Data],COLUMN(T_TraitDi[[#This Row],[Statut]]),FALSE)&lt;&gt;"",VLOOKUP(T_Commission[[#This Row],[NumL]],T_TraitDi[#Data],COLUMN(T_TraitDi[[#This Row],[Statut]]),FALSE),""),"")</f>
        <v/>
      </c>
      <c r="C141" s="19" t="str">
        <f>IFERROR(IF(VLOOKUP(T_Commission[[#This Row],[NumL]],T_suiviDi[#Data],COLUMN(T_suiviDi[Nom]),FALSE)&lt;&gt;"",VLOOKUP(T_Commission[[#This Row],[NumL]],T_suiviDi[#Data],COLUMN(T_suiviDi[Nom]),FALSE),""),"")</f>
        <v/>
      </c>
      <c r="D141" s="19" t="str">
        <f>IFERROR(IF(VLOOKUP(T_Commission[[#This Row],[NumL]],T_suiviDi[#Data],COLUMN(T_suiviDi[Prénom]),FALSE)&lt;&gt;"",VLOOKUP(T_Commission[[#This Row],[NumL]],T_suiviDi[#Data],COLUMN(T_suiviDi[Prénom]),FALSE),""),"")</f>
        <v/>
      </c>
      <c r="E141" s="20" t="str">
        <f>IFERROR(IF(VLOOKUP(T_Commission[[#This Row],[NumL]],T_suiviDi[#Data],COLUMN(T_suiviDi[Email]),FALSE)&lt;&gt;"",VLOOKUP(T_Commission[[#This Row],[NumL]],T_suiviDi[#Data],COLUMN(T_suiviDi[Email]),FALSE),""),"")</f>
        <v/>
      </c>
      <c r="F141" s="274" t="str">
        <f>IFERROR(IF(VLOOKUP(T_Commission[[#This Row],[NumL]],T_suiviDi[#Data],COLUMN(T_suiviDi[[#This Row],[Nom1]]),FALSE)&lt;&gt;"",VLOOKUP(T_Commission[[#This Row],[NumL]],T_suiviDi[#Data],COLUMN(T_suiviDi[[#This Row],[Nom1]]),FALSE),""),"")</f>
        <v/>
      </c>
      <c r="G141" s="274" t="str">
        <f>IFERROR(IF(VLOOKUP(T_Commission[[#This Row],[NumL]],T_suiviDi[#Data],COLUMN(T_suiviDi[[#This Row],[Prénom1]]),FALSE)&lt;&gt;"",VLOOKUP(T_Commission[[#This Row],[NumL]],T_suiviDi[#Data],COLUMN(T_suiviDi[[#This Row],[Prénom1]]),FALSE),""),"")</f>
        <v/>
      </c>
      <c r="H141" s="274" t="str">
        <f>IFERROR(IF(VLOOKUP(T_Commission[[#This Row],[NumL]],T_suiviDi[#Data],COLUMN(T_suiviDi[[#This Row],[Email1]]),FALSE)&lt;&gt;"",VLOOKUP(T_Commission[[#This Row],[NumL]],T_suiviDi[#Data],COLUMN(T_suiviDi[[#This Row],[Email1]]),FALSE),""),"")</f>
        <v/>
      </c>
      <c r="I141" s="142" t="str">
        <f>IFERROR(VLOOKUP(T_Commission[[#This Row],[NumL]],T_TraitDi[#Data],COLUMN(T_TraitDi[[#This Row],[CTRL_PJ]]),FALSE),"")</f>
        <v/>
      </c>
      <c r="J141" s="142" t="str">
        <f>IF(T_Commission[[#This Row],[Nom]]&lt;&gt;"",IFERROR(VLOOKUP(T_Commission[[#This Row],[NumL]],T_TraitDi[#Data],COLUMN(T_TraitDi[[#This Row],[C10]]),FALSE),""),"")</f>
        <v/>
      </c>
      <c r="K141" s="142" t="str">
        <f>IFERROR(IF(VLOOKUP(T_Commission[[#This Row],[NumL]],T_suiviDi[#Data],COLUMN(T_suiviDi[[#This Row],[Avis n+1]]),FALSE)&lt;&gt;"",VLOOKUP(A141,T_suiviDi[#Data],COLUMN(T_suiviDi[[#This Row],[Avis n+1]]),FALSE),""),"")</f>
        <v/>
      </c>
      <c r="L141" s="142" t="str">
        <f>IFERROR(IF(VLOOKUP(T_Commission[[#This Row],[NumL]],T_suiviDi[#Data],COLUMN(T_suiviDi[[#This Row],[Avis n+2]]),FALSE)&lt;&gt;"",VLOOKUP(T_Commission[[#This Row],[NumL]],T_suiviDi[#Data],COLUMN(T_suiviDi[[#This Row],[Avis n+2]]),FALSE),""),"")</f>
        <v/>
      </c>
      <c r="M141" s="49">
        <v>1</v>
      </c>
      <c r="N141" s="49"/>
      <c r="O141" s="143" t="str">
        <f>IF(T_Commission[[#This Row],[Nom]]&lt;&gt;"",IF(T_Commission[[#This Row],[COM '#2]]&lt;&gt;"",MAX(T_Commission[[#This Row],[PJ]],T_Commission[[#This Row],[COM '#2]]),IF(T_Commission[[#This Row],[COM '#1]]&lt;&gt;"",MAX(T_Commission[[#This Row],[PJ]],T_Commission[[#This Row],[COM '#1]]),"")),"")</f>
        <v/>
      </c>
      <c r="P141" s="55" t="s">
        <v>115</v>
      </c>
      <c r="Q141" s="55" t="s">
        <v>3277</v>
      </c>
      <c r="R141" s="55" t="s">
        <v>3277</v>
      </c>
      <c r="S141" s="56"/>
      <c r="T141" s="144"/>
    </row>
    <row r="142" spans="1:20" s="93" customFormat="1" ht="30" customHeight="1" x14ac:dyDescent="0.25">
      <c r="A142" s="90">
        <v>42</v>
      </c>
      <c r="B142" s="130" t="str">
        <f>IFERROR(IF(VLOOKUP(T_Commission[[#This Row],[NumL]],T_TraitDi[#Data],COLUMN(T_TraitDi[[#This Row],[Statut]]),FALSE)&lt;&gt;"",VLOOKUP(T_Commission[[#This Row],[NumL]],T_TraitDi[#Data],COLUMN(T_TraitDi[[#This Row],[Statut]]),FALSE),""),"")</f>
        <v/>
      </c>
      <c r="C142" s="19" t="str">
        <f>IFERROR(IF(VLOOKUP(T_Commission[[#This Row],[NumL]],T_suiviDi[#Data],COLUMN(T_suiviDi[Nom]),FALSE)&lt;&gt;"",VLOOKUP(T_Commission[[#This Row],[NumL]],T_suiviDi[#Data],COLUMN(T_suiviDi[Nom]),FALSE),""),"")</f>
        <v/>
      </c>
      <c r="D142" s="19" t="str">
        <f>IFERROR(IF(VLOOKUP(T_Commission[[#This Row],[NumL]],T_suiviDi[#Data],COLUMN(T_suiviDi[Prénom]),FALSE)&lt;&gt;"",VLOOKUP(T_Commission[[#This Row],[NumL]],T_suiviDi[#Data],COLUMN(T_suiviDi[Prénom]),FALSE),""),"")</f>
        <v/>
      </c>
      <c r="E142" s="20" t="str">
        <f>IFERROR(IF(VLOOKUP(T_Commission[[#This Row],[NumL]],T_suiviDi[#Data],COLUMN(T_suiviDi[Email]),FALSE)&lt;&gt;"",VLOOKUP(T_Commission[[#This Row],[NumL]],T_suiviDi[#Data],COLUMN(T_suiviDi[Email]),FALSE),""),"")</f>
        <v/>
      </c>
      <c r="F142" s="274" t="str">
        <f>IFERROR(IF(VLOOKUP(T_Commission[[#This Row],[NumL]],T_suiviDi[#Data],COLUMN(T_suiviDi[[#This Row],[Nom1]]),FALSE)&lt;&gt;"",VLOOKUP(T_Commission[[#This Row],[NumL]],T_suiviDi[#Data],COLUMN(T_suiviDi[[#This Row],[Nom1]]),FALSE),""),"")</f>
        <v/>
      </c>
      <c r="G142" s="274" t="str">
        <f>IFERROR(IF(VLOOKUP(T_Commission[[#This Row],[NumL]],T_suiviDi[#Data],COLUMN(T_suiviDi[[#This Row],[Prénom1]]),FALSE)&lt;&gt;"",VLOOKUP(T_Commission[[#This Row],[NumL]],T_suiviDi[#Data],COLUMN(T_suiviDi[[#This Row],[Prénom1]]),FALSE),""),"")</f>
        <v/>
      </c>
      <c r="H142" s="274" t="str">
        <f>IFERROR(IF(VLOOKUP(T_Commission[[#This Row],[NumL]],T_suiviDi[#Data],COLUMN(T_suiviDi[[#This Row],[Email1]]),FALSE)&lt;&gt;"",VLOOKUP(T_Commission[[#This Row],[NumL]],T_suiviDi[#Data],COLUMN(T_suiviDi[[#This Row],[Email1]]),FALSE),""),"")</f>
        <v/>
      </c>
      <c r="I142" s="142" t="str">
        <f>IFERROR(VLOOKUP(T_Commission[[#This Row],[NumL]],T_TraitDi[#Data],COLUMN(T_TraitDi[[#This Row],[CTRL_PJ]]),FALSE),"")</f>
        <v/>
      </c>
      <c r="J142" s="142" t="str">
        <f>IF(T_Commission[[#This Row],[Nom]]&lt;&gt;"",IFERROR(VLOOKUP(T_Commission[[#This Row],[NumL]],T_TraitDi[#Data],COLUMN(T_TraitDi[[#This Row],[C10]]),FALSE),""),"")</f>
        <v/>
      </c>
      <c r="K142" s="142" t="str">
        <f>IFERROR(IF(VLOOKUP(T_Commission[[#This Row],[NumL]],T_suiviDi[#Data],COLUMN(T_suiviDi[[#This Row],[Avis n+1]]),FALSE)&lt;&gt;"",VLOOKUP(A142,T_suiviDi[#Data],COLUMN(T_suiviDi[[#This Row],[Avis n+1]]),FALSE),""),"")</f>
        <v/>
      </c>
      <c r="L142" s="142" t="str">
        <f>IFERROR(IF(VLOOKUP(T_Commission[[#This Row],[NumL]],T_suiviDi[#Data],COLUMN(T_suiviDi[[#This Row],[Avis n+2]]),FALSE)&lt;&gt;"",VLOOKUP(T_Commission[[#This Row],[NumL]],T_suiviDi[#Data],COLUMN(T_suiviDi[[#This Row],[Avis n+2]]),FALSE),""),"")</f>
        <v/>
      </c>
      <c r="M142" s="49">
        <v>1</v>
      </c>
      <c r="N142" s="49"/>
      <c r="O142" s="143" t="str">
        <f>IF(T_Commission[[#This Row],[Nom]]&lt;&gt;"",IF(T_Commission[[#This Row],[COM '#2]]&lt;&gt;"",MAX(T_Commission[[#This Row],[PJ]],T_Commission[[#This Row],[COM '#2]]),IF(T_Commission[[#This Row],[COM '#1]]&lt;&gt;"",MAX(T_Commission[[#This Row],[PJ]],T_Commission[[#This Row],[COM '#1]]),"")),"")</f>
        <v/>
      </c>
      <c r="P142" s="55" t="s">
        <v>115</v>
      </c>
      <c r="Q142" s="55" t="s">
        <v>3277</v>
      </c>
      <c r="R142" s="55" t="s">
        <v>3277</v>
      </c>
      <c r="S142" s="56"/>
      <c r="T142" s="144"/>
    </row>
    <row r="143" spans="1:20" s="93" customFormat="1" ht="30" customHeight="1" x14ac:dyDescent="0.25">
      <c r="A143" s="90">
        <v>241</v>
      </c>
      <c r="B143" s="130" t="str">
        <f>IFERROR(IF(VLOOKUP(T_Commission[[#This Row],[NumL]],T_TraitDi[#Data],COLUMN(T_TraitDi[[#This Row],[Statut]]),FALSE)&lt;&gt;"",VLOOKUP(T_Commission[[#This Row],[NumL]],T_TraitDi[#Data],COLUMN(T_TraitDi[[#This Row],[Statut]]),FALSE),""),"")</f>
        <v/>
      </c>
      <c r="C143" s="19" t="str">
        <f>IFERROR(IF(VLOOKUP(T_Commission[[#This Row],[NumL]],T_suiviDi[#Data],COLUMN(T_suiviDi[Nom]),FALSE)&lt;&gt;"",VLOOKUP(T_Commission[[#This Row],[NumL]],T_suiviDi[#Data],COLUMN(T_suiviDi[Nom]),FALSE),""),"")</f>
        <v/>
      </c>
      <c r="D143" s="19" t="str">
        <f>IFERROR(IF(VLOOKUP(T_Commission[[#This Row],[NumL]],T_suiviDi[#Data],COLUMN(T_suiviDi[Prénom]),FALSE)&lt;&gt;"",VLOOKUP(T_Commission[[#This Row],[NumL]],T_suiviDi[#Data],COLUMN(T_suiviDi[Prénom]),FALSE),""),"")</f>
        <v/>
      </c>
      <c r="E143" s="20" t="str">
        <f>IFERROR(IF(VLOOKUP(T_Commission[[#This Row],[NumL]],T_suiviDi[#Data],COLUMN(T_suiviDi[Email]),FALSE)&lt;&gt;"",VLOOKUP(T_Commission[[#This Row],[NumL]],T_suiviDi[#Data],COLUMN(T_suiviDi[Email]),FALSE),""),"")</f>
        <v/>
      </c>
      <c r="F143" s="274" t="str">
        <f>IFERROR(IF(VLOOKUP(T_Commission[[#This Row],[NumL]],T_suiviDi[#Data],COLUMN(T_suiviDi[[#This Row],[Nom1]]),FALSE)&lt;&gt;"",VLOOKUP(T_Commission[[#This Row],[NumL]],T_suiviDi[#Data],COLUMN(T_suiviDi[[#This Row],[Nom1]]),FALSE),""),"")</f>
        <v/>
      </c>
      <c r="G143" s="274" t="str">
        <f>IFERROR(IF(VLOOKUP(T_Commission[[#This Row],[NumL]],T_suiviDi[#Data],COLUMN(T_suiviDi[[#This Row],[Prénom1]]),FALSE)&lt;&gt;"",VLOOKUP(T_Commission[[#This Row],[NumL]],T_suiviDi[#Data],COLUMN(T_suiviDi[[#This Row],[Prénom1]]),FALSE),""),"")</f>
        <v/>
      </c>
      <c r="H143" s="274" t="str">
        <f>IFERROR(IF(VLOOKUP(T_Commission[[#This Row],[NumL]],T_suiviDi[#Data],COLUMN(T_suiviDi[[#This Row],[Email1]]),FALSE)&lt;&gt;"",VLOOKUP(T_Commission[[#This Row],[NumL]],T_suiviDi[#Data],COLUMN(T_suiviDi[[#This Row],[Email1]]),FALSE),""),"")</f>
        <v/>
      </c>
      <c r="I143" s="142" t="str">
        <f>IFERROR(VLOOKUP(T_Commission[[#This Row],[NumL]],T_TraitDi[#Data],COLUMN(T_TraitDi[[#This Row],[CTRL_PJ]]),FALSE),"")</f>
        <v/>
      </c>
      <c r="J143" s="142" t="str">
        <f>IF(T_Commission[[#This Row],[Nom]]&lt;&gt;"",IFERROR(VLOOKUP(T_Commission[[#This Row],[NumL]],T_TraitDi[#Data],COLUMN(T_TraitDi[[#This Row],[C10]]),FALSE),""),"")</f>
        <v/>
      </c>
      <c r="K143" s="142" t="str">
        <f>IFERROR(IF(VLOOKUP(T_Commission[[#This Row],[NumL]],T_suiviDi[#Data],COLUMN(T_suiviDi[[#This Row],[Avis n+1]]),FALSE)&lt;&gt;"",VLOOKUP(A143,T_suiviDi[#Data],COLUMN(T_suiviDi[[#This Row],[Avis n+1]]),FALSE),""),"")</f>
        <v/>
      </c>
      <c r="L143" s="142" t="str">
        <f>IFERROR(IF(VLOOKUP(T_Commission[[#This Row],[NumL]],T_suiviDi[#Data],COLUMN(T_suiviDi[[#This Row],[Avis n+2]]),FALSE)&lt;&gt;"",VLOOKUP(T_Commission[[#This Row],[NumL]],T_suiviDi[#Data],COLUMN(T_suiviDi[[#This Row],[Avis n+2]]),FALSE),""),"")</f>
        <v/>
      </c>
      <c r="M143" s="49">
        <v>1</v>
      </c>
      <c r="N143" s="49"/>
      <c r="O143" s="143" t="str">
        <f>IF(T_Commission[[#This Row],[Nom]]&lt;&gt;"",IF(T_Commission[[#This Row],[COM '#2]]&lt;&gt;"",MAX(T_Commission[[#This Row],[PJ]],T_Commission[[#This Row],[COM '#2]]),IF(T_Commission[[#This Row],[COM '#1]]&lt;&gt;"",MAX(T_Commission[[#This Row],[PJ]],T_Commission[[#This Row],[COM '#1]]),"")),"")</f>
        <v/>
      </c>
      <c r="P143" s="55" t="s">
        <v>115</v>
      </c>
      <c r="Q143" s="55" t="s">
        <v>3277</v>
      </c>
      <c r="R143" s="55"/>
      <c r="S143" s="56"/>
      <c r="T143" s="144"/>
    </row>
    <row r="144" spans="1:20" s="93" customFormat="1" ht="30" customHeight="1" x14ac:dyDescent="0.25">
      <c r="A144" s="90">
        <v>196</v>
      </c>
      <c r="B144" s="130" t="str">
        <f>IFERROR(IF(VLOOKUP(T_Commission[[#This Row],[NumL]],T_TraitDi[#Data],COLUMN(T_TraitDi[[#This Row],[Statut]]),FALSE)&lt;&gt;"",VLOOKUP(T_Commission[[#This Row],[NumL]],T_TraitDi[#Data],COLUMN(T_TraitDi[[#This Row],[Statut]]),FALSE),""),"")</f>
        <v/>
      </c>
      <c r="C144" s="19" t="str">
        <f>IFERROR(IF(VLOOKUP(T_Commission[[#This Row],[NumL]],T_suiviDi[#Data],COLUMN(T_suiviDi[Nom]),FALSE)&lt;&gt;"",VLOOKUP(T_Commission[[#This Row],[NumL]],T_suiviDi[#Data],COLUMN(T_suiviDi[Nom]),FALSE),""),"")</f>
        <v/>
      </c>
      <c r="D144" s="19" t="str">
        <f>IFERROR(IF(VLOOKUP(T_Commission[[#This Row],[NumL]],T_suiviDi[#Data],COLUMN(T_suiviDi[Prénom]),FALSE)&lt;&gt;"",VLOOKUP(T_Commission[[#This Row],[NumL]],T_suiviDi[#Data],COLUMN(T_suiviDi[Prénom]),FALSE),""),"")</f>
        <v/>
      </c>
      <c r="E144" s="20" t="str">
        <f>IFERROR(IF(VLOOKUP(T_Commission[[#This Row],[NumL]],T_suiviDi[#Data],COLUMN(T_suiviDi[Email]),FALSE)&lt;&gt;"",VLOOKUP(T_Commission[[#This Row],[NumL]],T_suiviDi[#Data],COLUMN(T_suiviDi[Email]),FALSE),""),"")</f>
        <v/>
      </c>
      <c r="F144" s="274" t="str">
        <f>IFERROR(IF(VLOOKUP(T_Commission[[#This Row],[NumL]],T_suiviDi[#Data],COLUMN(T_suiviDi[[#This Row],[Nom1]]),FALSE)&lt;&gt;"",VLOOKUP(T_Commission[[#This Row],[NumL]],T_suiviDi[#Data],COLUMN(T_suiviDi[[#This Row],[Nom1]]),FALSE),""),"")</f>
        <v/>
      </c>
      <c r="G144" s="274" t="str">
        <f>IFERROR(IF(VLOOKUP(T_Commission[[#This Row],[NumL]],T_suiviDi[#Data],COLUMN(T_suiviDi[[#This Row],[Prénom1]]),FALSE)&lt;&gt;"",VLOOKUP(T_Commission[[#This Row],[NumL]],T_suiviDi[#Data],COLUMN(T_suiviDi[[#This Row],[Prénom1]]),FALSE),""),"")</f>
        <v/>
      </c>
      <c r="H144" s="274" t="str">
        <f>IFERROR(IF(VLOOKUP(T_Commission[[#This Row],[NumL]],T_suiviDi[#Data],COLUMN(T_suiviDi[[#This Row],[Email1]]),FALSE)&lt;&gt;"",VLOOKUP(T_Commission[[#This Row],[NumL]],T_suiviDi[#Data],COLUMN(T_suiviDi[[#This Row],[Email1]]),FALSE),""),"")</f>
        <v/>
      </c>
      <c r="I144" s="142" t="str">
        <f>IFERROR(VLOOKUP(T_Commission[[#This Row],[NumL]],T_TraitDi[#Data],COLUMN(T_TraitDi[[#This Row],[CTRL_PJ]]),FALSE),"")</f>
        <v/>
      </c>
      <c r="J144" s="142" t="str">
        <f>IF(T_Commission[[#This Row],[Nom]]&lt;&gt;"",IFERROR(VLOOKUP(T_Commission[[#This Row],[NumL]],T_TraitDi[#Data],COLUMN(T_TraitDi[[#This Row],[C10]]),FALSE),""),"")</f>
        <v/>
      </c>
      <c r="K144" s="142" t="str">
        <f>IFERROR(IF(VLOOKUP(T_Commission[[#This Row],[NumL]],T_suiviDi[#Data],COLUMN(T_suiviDi[[#This Row],[Avis n+1]]),FALSE)&lt;&gt;"",VLOOKUP(A144,T_suiviDi[#Data],COLUMN(T_suiviDi[[#This Row],[Avis n+1]]),FALSE),""),"")</f>
        <v/>
      </c>
      <c r="L144" s="142" t="str">
        <f>IFERROR(IF(VLOOKUP(T_Commission[[#This Row],[NumL]],T_suiviDi[#Data],COLUMN(T_suiviDi[[#This Row],[Avis n+2]]),FALSE)&lt;&gt;"",VLOOKUP(T_Commission[[#This Row],[NumL]],T_suiviDi[#Data],COLUMN(T_suiviDi[[#This Row],[Avis n+2]]),FALSE),""),"")</f>
        <v/>
      </c>
      <c r="M144" s="49">
        <v>1</v>
      </c>
      <c r="N144" s="49"/>
      <c r="O144" s="143" t="str">
        <f>IF(T_Commission[[#This Row],[Nom]]&lt;&gt;"",IF(T_Commission[[#This Row],[COM '#2]]&lt;&gt;"",MAX(T_Commission[[#This Row],[PJ]],T_Commission[[#This Row],[COM '#2]]),IF(T_Commission[[#This Row],[COM '#1]]&lt;&gt;"",MAX(T_Commission[[#This Row],[PJ]],T_Commission[[#This Row],[COM '#1]]),"")),"")</f>
        <v/>
      </c>
      <c r="P144" s="55" t="s">
        <v>115</v>
      </c>
      <c r="Q144" s="55" t="s">
        <v>3277</v>
      </c>
      <c r="R144" s="55" t="s">
        <v>3277</v>
      </c>
      <c r="S144" s="56"/>
      <c r="T144" s="144"/>
    </row>
    <row r="145" spans="1:20" s="93" customFormat="1" ht="30" customHeight="1" x14ac:dyDescent="0.25">
      <c r="A145" s="90">
        <v>47</v>
      </c>
      <c r="B145" s="130" t="str">
        <f>IFERROR(IF(VLOOKUP(T_Commission[[#This Row],[NumL]],T_TraitDi[#Data],COLUMN(T_TraitDi[[#This Row],[Statut]]),FALSE)&lt;&gt;"",VLOOKUP(T_Commission[[#This Row],[NumL]],T_TraitDi[#Data],COLUMN(T_TraitDi[[#This Row],[Statut]]),FALSE),""),"")</f>
        <v/>
      </c>
      <c r="C145" s="19" t="str">
        <f>IFERROR(IF(VLOOKUP(T_Commission[[#This Row],[NumL]],T_suiviDi[#Data],COLUMN(T_suiviDi[Nom]),FALSE)&lt;&gt;"",VLOOKUP(T_Commission[[#This Row],[NumL]],T_suiviDi[#Data],COLUMN(T_suiviDi[Nom]),FALSE),""),"")</f>
        <v/>
      </c>
      <c r="D145" s="19" t="str">
        <f>IFERROR(IF(VLOOKUP(T_Commission[[#This Row],[NumL]],T_suiviDi[#Data],COLUMN(T_suiviDi[Prénom]),FALSE)&lt;&gt;"",VLOOKUP(T_Commission[[#This Row],[NumL]],T_suiviDi[#Data],COLUMN(T_suiviDi[Prénom]),FALSE),""),"")</f>
        <v/>
      </c>
      <c r="E145" s="20" t="str">
        <f>IFERROR(IF(VLOOKUP(T_Commission[[#This Row],[NumL]],T_suiviDi[#Data],COLUMN(T_suiviDi[Email]),FALSE)&lt;&gt;"",VLOOKUP(T_Commission[[#This Row],[NumL]],T_suiviDi[#Data],COLUMN(T_suiviDi[Email]),FALSE),""),"")</f>
        <v/>
      </c>
      <c r="F145" s="274" t="str">
        <f>IFERROR(IF(VLOOKUP(T_Commission[[#This Row],[NumL]],T_suiviDi[#Data],COLUMN(T_suiviDi[[#This Row],[Nom1]]),FALSE)&lt;&gt;"",VLOOKUP(T_Commission[[#This Row],[NumL]],T_suiviDi[#Data],COLUMN(T_suiviDi[[#This Row],[Nom1]]),FALSE),""),"")</f>
        <v/>
      </c>
      <c r="G145" s="274" t="str">
        <f>IFERROR(IF(VLOOKUP(T_Commission[[#This Row],[NumL]],T_suiviDi[#Data],COLUMN(T_suiviDi[[#This Row],[Prénom1]]),FALSE)&lt;&gt;"",VLOOKUP(T_Commission[[#This Row],[NumL]],T_suiviDi[#Data],COLUMN(T_suiviDi[[#This Row],[Prénom1]]),FALSE),""),"")</f>
        <v/>
      </c>
      <c r="H145" s="274" t="str">
        <f>IFERROR(IF(VLOOKUP(T_Commission[[#This Row],[NumL]],T_suiviDi[#Data],COLUMN(T_suiviDi[[#This Row],[Email1]]),FALSE)&lt;&gt;"",VLOOKUP(T_Commission[[#This Row],[NumL]],T_suiviDi[#Data],COLUMN(T_suiviDi[[#This Row],[Email1]]),FALSE),""),"")</f>
        <v/>
      </c>
      <c r="I145" s="142" t="str">
        <f>IFERROR(VLOOKUP(T_Commission[[#This Row],[NumL]],T_TraitDi[#Data],COLUMN(T_TraitDi[[#This Row],[CTRL_PJ]]),FALSE),"")</f>
        <v/>
      </c>
      <c r="J145" s="142" t="str">
        <f>IF(T_Commission[[#This Row],[Nom]]&lt;&gt;"",IFERROR(VLOOKUP(T_Commission[[#This Row],[NumL]],T_TraitDi[#Data],COLUMN(T_TraitDi[[#This Row],[C10]]),FALSE),""),"")</f>
        <v/>
      </c>
      <c r="K145" s="142" t="str">
        <f>IFERROR(IF(VLOOKUP(T_Commission[[#This Row],[NumL]],T_suiviDi[#Data],COLUMN(T_suiviDi[[#This Row],[Avis n+1]]),FALSE)&lt;&gt;"",VLOOKUP(A145,T_suiviDi[#Data],COLUMN(T_suiviDi[[#This Row],[Avis n+1]]),FALSE),""),"")</f>
        <v/>
      </c>
      <c r="L145" s="142" t="str">
        <f>IFERROR(IF(VLOOKUP(T_Commission[[#This Row],[NumL]],T_suiviDi[#Data],COLUMN(T_suiviDi[[#This Row],[Avis n+2]]),FALSE)&lt;&gt;"",VLOOKUP(T_Commission[[#This Row],[NumL]],T_suiviDi[#Data],COLUMN(T_suiviDi[[#This Row],[Avis n+2]]),FALSE),""),"")</f>
        <v/>
      </c>
      <c r="M145" s="49">
        <v>1</v>
      </c>
      <c r="N145" s="49"/>
      <c r="O145" s="143" t="str">
        <f>IF(T_Commission[[#This Row],[Nom]]&lt;&gt;"",IF(T_Commission[[#This Row],[COM '#2]]&lt;&gt;"",MAX(T_Commission[[#This Row],[PJ]],T_Commission[[#This Row],[COM '#2]]),IF(T_Commission[[#This Row],[COM '#1]]&lt;&gt;"",MAX(T_Commission[[#This Row],[PJ]],T_Commission[[#This Row],[COM '#1]]),"")),"")</f>
        <v/>
      </c>
      <c r="P145" s="55" t="s">
        <v>115</v>
      </c>
      <c r="Q145" s="55" t="s">
        <v>3277</v>
      </c>
      <c r="R145" s="55" t="s">
        <v>3277</v>
      </c>
      <c r="S145" s="56"/>
      <c r="T145" s="144"/>
    </row>
    <row r="146" spans="1:20" s="93" customFormat="1" ht="30" customHeight="1" x14ac:dyDescent="0.25">
      <c r="A146" s="90">
        <v>112</v>
      </c>
      <c r="B146" s="130" t="str">
        <f>IFERROR(IF(VLOOKUP(T_Commission[[#This Row],[NumL]],T_TraitDi[#Data],COLUMN(T_TraitDi[[#This Row],[Statut]]),FALSE)&lt;&gt;"",VLOOKUP(T_Commission[[#This Row],[NumL]],T_TraitDi[#Data],COLUMN(T_TraitDi[[#This Row],[Statut]]),FALSE),""),"")</f>
        <v/>
      </c>
      <c r="C146" s="19" t="str">
        <f>IFERROR(IF(VLOOKUP(T_Commission[[#This Row],[NumL]],T_suiviDi[#Data],COLUMN(T_suiviDi[Nom]),FALSE)&lt;&gt;"",VLOOKUP(T_Commission[[#This Row],[NumL]],T_suiviDi[#Data],COLUMN(T_suiviDi[Nom]),FALSE),""),"")</f>
        <v/>
      </c>
      <c r="D146" s="19" t="str">
        <f>IFERROR(IF(VLOOKUP(T_Commission[[#This Row],[NumL]],T_suiviDi[#Data],COLUMN(T_suiviDi[Prénom]),FALSE)&lt;&gt;"",VLOOKUP(T_Commission[[#This Row],[NumL]],T_suiviDi[#Data],COLUMN(T_suiviDi[Prénom]),FALSE),""),"")</f>
        <v/>
      </c>
      <c r="E146" s="20" t="str">
        <f>IFERROR(IF(VLOOKUP(T_Commission[[#This Row],[NumL]],T_suiviDi[#Data],COLUMN(T_suiviDi[Email]),FALSE)&lt;&gt;"",VLOOKUP(T_Commission[[#This Row],[NumL]],T_suiviDi[#Data],COLUMN(T_suiviDi[Email]),FALSE),""),"")</f>
        <v/>
      </c>
      <c r="F146" s="274" t="str">
        <f>IFERROR(IF(VLOOKUP(T_Commission[[#This Row],[NumL]],T_suiviDi[#Data],COLUMN(T_suiviDi[[#This Row],[Nom1]]),FALSE)&lt;&gt;"",VLOOKUP(T_Commission[[#This Row],[NumL]],T_suiviDi[#Data],COLUMN(T_suiviDi[[#This Row],[Nom1]]),FALSE),""),"")</f>
        <v/>
      </c>
      <c r="G146" s="274" t="str">
        <f>IFERROR(IF(VLOOKUP(T_Commission[[#This Row],[NumL]],T_suiviDi[#Data],COLUMN(T_suiviDi[[#This Row],[Prénom1]]),FALSE)&lt;&gt;"",VLOOKUP(T_Commission[[#This Row],[NumL]],T_suiviDi[#Data],COLUMN(T_suiviDi[[#This Row],[Prénom1]]),FALSE),""),"")</f>
        <v/>
      </c>
      <c r="H146" s="274" t="str">
        <f>IFERROR(IF(VLOOKUP(T_Commission[[#This Row],[NumL]],T_suiviDi[#Data],COLUMN(T_suiviDi[[#This Row],[Email1]]),FALSE)&lt;&gt;"",VLOOKUP(T_Commission[[#This Row],[NumL]],T_suiviDi[#Data],COLUMN(T_suiviDi[[#This Row],[Email1]]),FALSE),""),"")</f>
        <v/>
      </c>
      <c r="I146" s="142" t="str">
        <f>IFERROR(VLOOKUP(T_Commission[[#This Row],[NumL]],T_TraitDi[#Data],COLUMN(T_TraitDi[[#This Row],[CTRL_PJ]]),FALSE),"")</f>
        <v/>
      </c>
      <c r="J146" s="142" t="str">
        <f>IF(T_Commission[[#This Row],[Nom]]&lt;&gt;"",IFERROR(VLOOKUP(T_Commission[[#This Row],[NumL]],T_TraitDi[#Data],COLUMN(T_TraitDi[[#This Row],[C10]]),FALSE),""),"")</f>
        <v/>
      </c>
      <c r="K146" s="142" t="str">
        <f>IFERROR(IF(VLOOKUP(T_Commission[[#This Row],[NumL]],T_suiviDi[#Data],COLUMN(T_suiviDi[[#This Row],[Avis n+1]]),FALSE)&lt;&gt;"",VLOOKUP(A146,T_suiviDi[#Data],COLUMN(T_suiviDi[[#This Row],[Avis n+1]]),FALSE),""),"")</f>
        <v/>
      </c>
      <c r="L146" s="142" t="str">
        <f>IFERROR(IF(VLOOKUP(T_Commission[[#This Row],[NumL]],T_suiviDi[#Data],COLUMN(T_suiviDi[[#This Row],[Avis n+2]]),FALSE)&lt;&gt;"",VLOOKUP(T_Commission[[#This Row],[NumL]],T_suiviDi[#Data],COLUMN(T_suiviDi[[#This Row],[Avis n+2]]),FALSE),""),"")</f>
        <v/>
      </c>
      <c r="M146" s="49">
        <v>1</v>
      </c>
      <c r="N146" s="49"/>
      <c r="O146" s="143" t="str">
        <f>IF(T_Commission[[#This Row],[Nom]]&lt;&gt;"",IF(T_Commission[[#This Row],[COM '#2]]&lt;&gt;"",MAX(T_Commission[[#This Row],[PJ]],T_Commission[[#This Row],[COM '#2]]),IF(T_Commission[[#This Row],[COM '#1]]&lt;&gt;"",MAX(T_Commission[[#This Row],[PJ]],T_Commission[[#This Row],[COM '#1]]),"")),"")</f>
        <v/>
      </c>
      <c r="P146" s="55" t="s">
        <v>115</v>
      </c>
      <c r="Q146" s="55" t="s">
        <v>3277</v>
      </c>
      <c r="R146" s="55" t="s">
        <v>3277</v>
      </c>
      <c r="S146" s="56"/>
      <c r="T146" s="144"/>
    </row>
    <row r="147" spans="1:20" s="93" customFormat="1" ht="30" customHeight="1" x14ac:dyDescent="0.25">
      <c r="A147" s="90">
        <v>2</v>
      </c>
      <c r="B147" s="130" t="str">
        <f>IFERROR(IF(VLOOKUP(T_Commission[[#This Row],[NumL]],T_TraitDi[#Data],COLUMN(T_TraitDi[[#This Row],[Statut]]),FALSE)&lt;&gt;"",VLOOKUP(T_Commission[[#This Row],[NumL]],T_TraitDi[#Data],COLUMN(T_TraitDi[[#This Row],[Statut]]),FALSE),""),"")</f>
        <v/>
      </c>
      <c r="C147" s="19" t="str">
        <f>IFERROR(IF(VLOOKUP(T_Commission[[#This Row],[NumL]],T_suiviDi[#Data],COLUMN(T_suiviDi[Nom]),FALSE)&lt;&gt;"",VLOOKUP(T_Commission[[#This Row],[NumL]],T_suiviDi[#Data],COLUMN(T_suiviDi[Nom]),FALSE),""),"")</f>
        <v/>
      </c>
      <c r="D147" s="19" t="str">
        <f>IFERROR(IF(VLOOKUP(T_Commission[[#This Row],[NumL]],T_suiviDi[#Data],COLUMN(T_suiviDi[Prénom]),FALSE)&lt;&gt;"",VLOOKUP(T_Commission[[#This Row],[NumL]],T_suiviDi[#Data],COLUMN(T_suiviDi[Prénom]),FALSE),""),"")</f>
        <v/>
      </c>
      <c r="E147" s="20" t="str">
        <f>IFERROR(IF(VLOOKUP(T_Commission[[#This Row],[NumL]],T_suiviDi[#Data],COLUMN(T_suiviDi[Email]),FALSE)&lt;&gt;"",VLOOKUP(T_Commission[[#This Row],[NumL]],T_suiviDi[#Data],COLUMN(T_suiviDi[Email]),FALSE),""),"")</f>
        <v/>
      </c>
      <c r="F147" s="274" t="str">
        <f>IFERROR(IF(VLOOKUP(A147,ListeDI,10,FALSE)&lt;&gt;"",VLOOKUP(A147,ListeDI,10,FALSE),""),"")</f>
        <v/>
      </c>
      <c r="G147" s="274" t="str">
        <f>IFERROR(IF(VLOOKUP(A147,ListeDI,11,FALSE)&lt;&gt;"",VLOOKUP(A147,ListeDI,11,FALSE),""),"")</f>
        <v/>
      </c>
      <c r="H147" s="274" t="str">
        <f>IFERROR(IF(VLOOKUP(T_Commission[[#This Row],[NumL]],T_suiviDi[#Data],COLUMN(T_suiviDi[[#This Row],[Email1]]),FALSE)&lt;&gt;"",VLOOKUP(T_Commission[[#This Row],[NumL]],T_suiviDi[#Data],COLUMN(T_suiviDi[[#This Row],[Email1]]),FALSE),""),"")</f>
        <v/>
      </c>
      <c r="I147" s="142" t="str">
        <f>IFERROR(VLOOKUP(T_Commission[[#This Row],[NumL]],T_TraitDi[#Data],COLUMN(T_TraitDi[[#This Row],[CTRL_PJ]]),FALSE),"")</f>
        <v/>
      </c>
      <c r="J147" s="142" t="str">
        <f>IF(T_Commission[[#This Row],[Nom]]&lt;&gt;"",IFERROR(VLOOKUP(T_Commission[[#This Row],[NumL]],T_TraitDi[#Data],COLUMN(T_TraitDi[[#This Row],[C10]]),FALSE),""),"")</f>
        <v/>
      </c>
      <c r="K147" s="54" t="str">
        <f>IFERROR(IF(VLOOKUP(T_Commission[[#This Row],[NumL]],T_suiviDi[#Data],COLUMN(T_suiviDi[[#This Row],[Avis n+1]]),FALSE)&lt;&gt;"",VLOOKUP(A147,T_suiviDi[#Data],COLUMN(T_suiviDi[[#This Row],[Avis n+1]]),FALSE),""),"")</f>
        <v/>
      </c>
      <c r="L147" s="142" t="str">
        <f>IFERROR(IF(VLOOKUP(T_Commission[[#This Row],[NumL]],T_suiviDi[#Data],COLUMN(T_suiviDi[[#This Row],[Avis n+2]]),FALSE)&lt;&gt;"",VLOOKUP(T_Commission[[#This Row],[NumL]],T_suiviDi[#Data],COLUMN(T_suiviDi[[#This Row],[Avis n+2]]),FALSE),""),"")</f>
        <v/>
      </c>
      <c r="M147" s="49">
        <v>1</v>
      </c>
      <c r="N147" s="49"/>
      <c r="O147" s="143" t="str">
        <f>IF(T_Commission[[#This Row],[Nom]]&lt;&gt;"",IF(T_Commission[[#This Row],[COM '#2]]&lt;&gt;"",MAX(T_Commission[[#This Row],[PJ]],T_Commission[[#This Row],[COM '#2]]),IF(T_Commission[[#This Row],[COM '#1]]&lt;&gt;"",MAX(T_Commission[[#This Row],[PJ]],T_Commission[[#This Row],[COM '#1]]),"")),"")</f>
        <v/>
      </c>
      <c r="P147" s="55" t="s">
        <v>115</v>
      </c>
      <c r="Q147" s="55" t="s">
        <v>3277</v>
      </c>
      <c r="R147" s="55" t="s">
        <v>3277</v>
      </c>
      <c r="S147" s="56"/>
      <c r="T147" s="144"/>
    </row>
    <row r="148" spans="1:20" s="93" customFormat="1" ht="30" customHeight="1" x14ac:dyDescent="0.25">
      <c r="A148" s="90">
        <v>88</v>
      </c>
      <c r="B148" s="130" t="str">
        <f>IFERROR(IF(VLOOKUP(T_Commission[[#This Row],[NumL]],T_TraitDi[#Data],COLUMN(T_TraitDi[[#This Row],[Statut]]),FALSE)&lt;&gt;"",VLOOKUP(T_Commission[[#This Row],[NumL]],T_TraitDi[#Data],COLUMN(T_TraitDi[[#This Row],[Statut]]),FALSE),""),"")</f>
        <v/>
      </c>
      <c r="C148" s="19" t="str">
        <f>IFERROR(IF(VLOOKUP(T_Commission[[#This Row],[NumL]],T_suiviDi[#Data],COLUMN(T_suiviDi[Nom]),FALSE)&lt;&gt;"",VLOOKUP(T_Commission[[#This Row],[NumL]],T_suiviDi[#Data],COLUMN(T_suiviDi[Nom]),FALSE),""),"")</f>
        <v/>
      </c>
      <c r="D148" s="19" t="str">
        <f>IFERROR(IF(VLOOKUP(T_Commission[[#This Row],[NumL]],T_suiviDi[#Data],COLUMN(T_suiviDi[Prénom]),FALSE)&lt;&gt;"",VLOOKUP(T_Commission[[#This Row],[NumL]],T_suiviDi[#Data],COLUMN(T_suiviDi[Prénom]),FALSE),""),"")</f>
        <v/>
      </c>
      <c r="E148" s="20" t="str">
        <f>IFERROR(IF(VLOOKUP(T_Commission[[#This Row],[NumL]],T_suiviDi[#Data],COLUMN(T_suiviDi[Email]),FALSE)&lt;&gt;"",VLOOKUP(T_Commission[[#This Row],[NumL]],T_suiviDi[#Data],COLUMN(T_suiviDi[Email]),FALSE),""),"")</f>
        <v/>
      </c>
      <c r="F148" s="274" t="str">
        <f>IFERROR(IF(VLOOKUP(T_Commission[[#This Row],[NumL]],T_suiviDi[#Data],COLUMN(T_suiviDi[[#This Row],[Nom1]]),FALSE)&lt;&gt;"",VLOOKUP(T_Commission[[#This Row],[NumL]],T_suiviDi[#Data],COLUMN(T_suiviDi[[#This Row],[Nom1]]),FALSE),""),"")</f>
        <v/>
      </c>
      <c r="G148" s="274" t="str">
        <f>IFERROR(IF(VLOOKUP(T_Commission[[#This Row],[NumL]],T_suiviDi[#Data],COLUMN(T_suiviDi[[#This Row],[Prénom1]]),FALSE)&lt;&gt;"",VLOOKUP(T_Commission[[#This Row],[NumL]],T_suiviDi[#Data],COLUMN(T_suiviDi[[#This Row],[Prénom1]]),FALSE),""),"")</f>
        <v/>
      </c>
      <c r="H148" s="274" t="str">
        <f>IFERROR(IF(VLOOKUP(T_Commission[[#This Row],[NumL]],T_suiviDi[#Data],COLUMN(T_suiviDi[[#This Row],[Email1]]),FALSE)&lt;&gt;"",VLOOKUP(T_Commission[[#This Row],[NumL]],T_suiviDi[#Data],COLUMN(T_suiviDi[[#This Row],[Email1]]),FALSE),""),"")</f>
        <v/>
      </c>
      <c r="I148" s="142" t="str">
        <f>IFERROR(VLOOKUP(T_Commission[[#This Row],[NumL]],T_TraitDi[#Data],COLUMN(T_TraitDi[[#This Row],[CTRL_PJ]]),FALSE),"")</f>
        <v/>
      </c>
      <c r="J148" s="142" t="str">
        <f>IF(T_Commission[[#This Row],[Nom]]&lt;&gt;"",IFERROR(VLOOKUP(T_Commission[[#This Row],[NumL]],T_TraitDi[#Data],COLUMN(T_TraitDi[[#This Row],[C10]]),FALSE),""),"")</f>
        <v/>
      </c>
      <c r="K148" s="142" t="str">
        <f>IFERROR(IF(VLOOKUP(T_Commission[[#This Row],[NumL]],T_suiviDi[#Data],COLUMN(T_suiviDi[[#This Row],[Avis n+1]]),FALSE)&lt;&gt;"",VLOOKUP(A148,T_suiviDi[#Data],COLUMN(T_suiviDi[[#This Row],[Avis n+1]]),FALSE),""),"")</f>
        <v/>
      </c>
      <c r="L148" s="142" t="str">
        <f>IFERROR(IF(VLOOKUP(T_Commission[[#This Row],[NumL]],T_suiviDi[#Data],COLUMN(T_suiviDi[[#This Row],[Avis n+2]]),FALSE)&lt;&gt;"",VLOOKUP(T_Commission[[#This Row],[NumL]],T_suiviDi[#Data],COLUMN(T_suiviDi[[#This Row],[Avis n+2]]),FALSE),""),"")</f>
        <v/>
      </c>
      <c r="M148" s="49">
        <v>1</v>
      </c>
      <c r="N148" s="49"/>
      <c r="O148" s="143" t="str">
        <f>IF(T_Commission[[#This Row],[Nom]]&lt;&gt;"",IF(T_Commission[[#This Row],[COM '#2]]&lt;&gt;"",MAX(T_Commission[[#This Row],[PJ]],T_Commission[[#This Row],[COM '#2]]),IF(T_Commission[[#This Row],[COM '#1]]&lt;&gt;"",MAX(T_Commission[[#This Row],[PJ]],T_Commission[[#This Row],[COM '#1]]),"")),"")</f>
        <v/>
      </c>
      <c r="P148" s="55" t="s">
        <v>115</v>
      </c>
      <c r="Q148" s="55" t="s">
        <v>3277</v>
      </c>
      <c r="R148" s="55" t="s">
        <v>3277</v>
      </c>
      <c r="S148" s="56"/>
      <c r="T148" s="144"/>
    </row>
    <row r="149" spans="1:20" s="93" customFormat="1" ht="30" customHeight="1" x14ac:dyDescent="0.25">
      <c r="A149" s="90">
        <v>11</v>
      </c>
      <c r="B149" s="130" t="str">
        <f>IFERROR(IF(VLOOKUP(T_Commission[[#This Row],[NumL]],T_TraitDi[#Data],COLUMN(T_TraitDi[[#This Row],[Statut]]),FALSE)&lt;&gt;"",VLOOKUP(T_Commission[[#This Row],[NumL]],T_TraitDi[#Data],COLUMN(T_TraitDi[[#This Row],[Statut]]),FALSE),""),"")</f>
        <v/>
      </c>
      <c r="C149" s="19" t="str">
        <f>IFERROR(IF(VLOOKUP(T_Commission[[#This Row],[NumL]],T_suiviDi[#Data],COLUMN(T_suiviDi[Nom]),FALSE)&lt;&gt;"",VLOOKUP(T_Commission[[#This Row],[NumL]],T_suiviDi[#Data],COLUMN(T_suiviDi[Nom]),FALSE),""),"")</f>
        <v/>
      </c>
      <c r="D149" s="19" t="str">
        <f>IFERROR(IF(VLOOKUP(T_Commission[[#This Row],[NumL]],T_suiviDi[#Data],COLUMN(T_suiviDi[Prénom]),FALSE)&lt;&gt;"",VLOOKUP(T_Commission[[#This Row],[NumL]],T_suiviDi[#Data],COLUMN(T_suiviDi[Prénom]),FALSE),""),"")</f>
        <v/>
      </c>
      <c r="E149" s="20" t="str">
        <f>IFERROR(IF(VLOOKUP(T_Commission[[#This Row],[NumL]],T_suiviDi[#Data],COLUMN(T_suiviDi[Email]),FALSE)&lt;&gt;"",VLOOKUP(T_Commission[[#This Row],[NumL]],T_suiviDi[#Data],COLUMN(T_suiviDi[Email]),FALSE),""),"")</f>
        <v/>
      </c>
      <c r="F149" s="274" t="str">
        <f>IFERROR(IF(VLOOKUP(T_Commission[[#This Row],[NumL]],T_suiviDi[#Data],COLUMN(T_suiviDi[[#This Row],[Nom1]]),FALSE)&lt;&gt;"",VLOOKUP(T_Commission[[#This Row],[NumL]],T_suiviDi[#Data],COLUMN(T_suiviDi[[#This Row],[Nom1]]),FALSE),""),"")</f>
        <v/>
      </c>
      <c r="G149" s="274" t="str">
        <f>IFERROR(IF(VLOOKUP(T_Commission[[#This Row],[NumL]],T_suiviDi[#Data],COLUMN(T_suiviDi[[#This Row],[Prénom1]]),FALSE)&lt;&gt;"",VLOOKUP(T_Commission[[#This Row],[NumL]],T_suiviDi[#Data],COLUMN(T_suiviDi[[#This Row],[Prénom1]]),FALSE),""),"")</f>
        <v/>
      </c>
      <c r="H149" s="274" t="str">
        <f>IFERROR(IF(VLOOKUP(T_Commission[[#This Row],[NumL]],T_suiviDi[#Data],COLUMN(T_suiviDi[[#This Row],[Email1]]),FALSE)&lt;&gt;"",VLOOKUP(T_Commission[[#This Row],[NumL]],T_suiviDi[#Data],COLUMN(T_suiviDi[[#This Row],[Email1]]),FALSE),""),"")</f>
        <v/>
      </c>
      <c r="I149" s="142" t="str">
        <f>IFERROR(VLOOKUP(T_Commission[[#This Row],[NumL]],T_TraitDi[#Data],COLUMN(T_TraitDi[[#This Row],[CTRL_PJ]]),FALSE),"")</f>
        <v/>
      </c>
      <c r="J149" s="142" t="str">
        <f>IF(T_Commission[[#This Row],[Nom]]&lt;&gt;"",IFERROR(VLOOKUP(T_Commission[[#This Row],[NumL]],T_TraitDi[#Data],COLUMN(T_TraitDi[[#This Row],[C10]]),FALSE),""),"")</f>
        <v/>
      </c>
      <c r="K149" s="142" t="str">
        <f>IFERROR(IF(VLOOKUP(T_Commission[[#This Row],[NumL]],T_suiviDi[#Data],COLUMN(T_suiviDi[[#This Row],[Avis n+1]]),FALSE)&lt;&gt;"",VLOOKUP(A149,T_suiviDi[#Data],COLUMN(T_suiviDi[[#This Row],[Avis n+1]]),FALSE),""),"")</f>
        <v/>
      </c>
      <c r="L149" s="142" t="str">
        <f>IFERROR(IF(VLOOKUP(T_Commission[[#This Row],[NumL]],T_suiviDi[#Data],COLUMN(T_suiviDi[[#This Row],[Avis n+2]]),FALSE)&lt;&gt;"",VLOOKUP(T_Commission[[#This Row],[NumL]],T_suiviDi[#Data],COLUMN(T_suiviDi[[#This Row],[Avis n+2]]),FALSE),""),"")</f>
        <v/>
      </c>
      <c r="M149" s="49">
        <v>1</v>
      </c>
      <c r="N149" s="49"/>
      <c r="O149" s="143" t="str">
        <f>IF(T_Commission[[#This Row],[Nom]]&lt;&gt;"",IF(T_Commission[[#This Row],[COM '#2]]&lt;&gt;"",MAX(T_Commission[[#This Row],[PJ]],T_Commission[[#This Row],[COM '#2]]),IF(T_Commission[[#This Row],[COM '#1]]&lt;&gt;"",MAX(T_Commission[[#This Row],[PJ]],T_Commission[[#This Row],[COM '#1]]),"")),"")</f>
        <v/>
      </c>
      <c r="P149" s="55" t="s">
        <v>115</v>
      </c>
      <c r="Q149" s="55" t="s">
        <v>3277</v>
      </c>
      <c r="R149" s="55" t="s">
        <v>3277</v>
      </c>
      <c r="S149" s="56"/>
      <c r="T149" s="144"/>
    </row>
    <row r="150" spans="1:20" s="93" customFormat="1" ht="30" customHeight="1" x14ac:dyDescent="0.25">
      <c r="A150" s="90">
        <v>121</v>
      </c>
      <c r="B150" s="130" t="str">
        <f>IFERROR(IF(VLOOKUP(T_Commission[[#This Row],[NumL]],T_TraitDi[#Data],COLUMN(T_TraitDi[[#This Row],[Statut]]),FALSE)&lt;&gt;"",VLOOKUP(T_Commission[[#This Row],[NumL]],T_TraitDi[#Data],COLUMN(T_TraitDi[[#This Row],[Statut]]),FALSE),""),"")</f>
        <v/>
      </c>
      <c r="C150" s="19" t="str">
        <f>IFERROR(IF(VLOOKUP(T_Commission[[#This Row],[NumL]],T_suiviDi[#Data],COLUMN(T_suiviDi[Nom]),FALSE)&lt;&gt;"",VLOOKUP(T_Commission[[#This Row],[NumL]],T_suiviDi[#Data],COLUMN(T_suiviDi[Nom]),FALSE),""),"")</f>
        <v/>
      </c>
      <c r="D150" s="19" t="str">
        <f>IFERROR(IF(VLOOKUP(T_Commission[[#This Row],[NumL]],T_suiviDi[#Data],COLUMN(T_suiviDi[Prénom]),FALSE)&lt;&gt;"",VLOOKUP(T_Commission[[#This Row],[NumL]],T_suiviDi[#Data],COLUMN(T_suiviDi[Prénom]),FALSE),""),"")</f>
        <v/>
      </c>
      <c r="E150" s="20" t="str">
        <f>IFERROR(IF(VLOOKUP(T_Commission[[#This Row],[NumL]],T_suiviDi[#Data],COLUMN(T_suiviDi[Email]),FALSE)&lt;&gt;"",VLOOKUP(T_Commission[[#This Row],[NumL]],T_suiviDi[#Data],COLUMN(T_suiviDi[Email]),FALSE),""),"")</f>
        <v/>
      </c>
      <c r="F150" s="274" t="str">
        <f>IFERROR(IF(VLOOKUP(T_Commission[[#This Row],[NumL]],T_suiviDi[#Data],COLUMN(T_suiviDi[[#This Row],[Nom1]]),FALSE)&lt;&gt;"",VLOOKUP(T_Commission[[#This Row],[NumL]],T_suiviDi[#Data],COLUMN(T_suiviDi[[#This Row],[Nom1]]),FALSE),""),"")</f>
        <v/>
      </c>
      <c r="G150" s="274" t="str">
        <f>IFERROR(IF(VLOOKUP(T_Commission[[#This Row],[NumL]],T_suiviDi[#Data],COLUMN(T_suiviDi[[#This Row],[Prénom1]]),FALSE)&lt;&gt;"",VLOOKUP(T_Commission[[#This Row],[NumL]],T_suiviDi[#Data],COLUMN(T_suiviDi[[#This Row],[Prénom1]]),FALSE),""),"")</f>
        <v/>
      </c>
      <c r="H150" s="274" t="str">
        <f>IFERROR(IF(VLOOKUP(T_Commission[[#This Row],[NumL]],T_suiviDi[#Data],COLUMN(T_suiviDi[[#This Row],[Email1]]),FALSE)&lt;&gt;"",VLOOKUP(T_Commission[[#This Row],[NumL]],T_suiviDi[#Data],COLUMN(T_suiviDi[[#This Row],[Email1]]),FALSE),""),"")</f>
        <v/>
      </c>
      <c r="I150" s="142" t="str">
        <f>IFERROR(VLOOKUP(T_Commission[[#This Row],[NumL]],T_TraitDi[#Data],COLUMN(T_TraitDi[[#This Row],[CTRL_PJ]]),FALSE),"")</f>
        <v/>
      </c>
      <c r="J150" s="142" t="str">
        <f>IF(T_Commission[[#This Row],[Nom]]&lt;&gt;"",IFERROR(VLOOKUP(T_Commission[[#This Row],[NumL]],T_TraitDi[#Data],COLUMN(T_TraitDi[[#This Row],[C10]]),FALSE),""),"")</f>
        <v/>
      </c>
      <c r="K150" s="142" t="str">
        <f>IFERROR(IF(VLOOKUP(T_Commission[[#This Row],[NumL]],T_suiviDi[#Data],COLUMN(T_suiviDi[[#This Row],[Avis n+1]]),FALSE)&lt;&gt;"",VLOOKUP(A150,T_suiviDi[#Data],COLUMN(T_suiviDi[[#This Row],[Avis n+1]]),FALSE),""),"")</f>
        <v/>
      </c>
      <c r="L150" s="142" t="str">
        <f>IFERROR(IF(VLOOKUP(T_Commission[[#This Row],[NumL]],T_suiviDi[#Data],COLUMN(T_suiviDi[[#This Row],[Avis n+2]]),FALSE)&lt;&gt;"",VLOOKUP(T_Commission[[#This Row],[NumL]],T_suiviDi[#Data],COLUMN(T_suiviDi[[#This Row],[Avis n+2]]),FALSE),""),"")</f>
        <v/>
      </c>
      <c r="M150" s="49">
        <v>1</v>
      </c>
      <c r="N150" s="49"/>
      <c r="O150" s="143" t="str">
        <f>IF(T_Commission[[#This Row],[Nom]]&lt;&gt;"",IF(T_Commission[[#This Row],[COM '#2]]&lt;&gt;"",MAX(T_Commission[[#This Row],[PJ]],T_Commission[[#This Row],[COM '#2]]),IF(T_Commission[[#This Row],[COM '#1]]&lt;&gt;"",MAX(T_Commission[[#This Row],[PJ]],T_Commission[[#This Row],[COM '#1]]),"")),"")</f>
        <v/>
      </c>
      <c r="P150" s="55" t="s">
        <v>115</v>
      </c>
      <c r="Q150" s="55" t="s">
        <v>3277</v>
      </c>
      <c r="R150" s="55" t="s">
        <v>3277</v>
      </c>
      <c r="S150" s="56"/>
      <c r="T150" s="144"/>
    </row>
    <row r="151" spans="1:20" s="93" customFormat="1" ht="30" customHeight="1" x14ac:dyDescent="0.25">
      <c r="A151" s="90">
        <v>273</v>
      </c>
      <c r="B151" s="130" t="str">
        <f>IFERROR(IF(VLOOKUP(T_Commission[[#This Row],[NumL]],T_TraitDi[#Data],COLUMN(T_TraitDi[[#This Row],[Statut]]),FALSE)&lt;&gt;"",VLOOKUP(T_Commission[[#This Row],[NumL]],T_TraitDi[#Data],COLUMN(T_TraitDi[[#This Row],[Statut]]),FALSE),""),"")</f>
        <v/>
      </c>
      <c r="C151" s="19" t="str">
        <f>IFERROR(IF(VLOOKUP(T_Commission[[#This Row],[NumL]],T_suiviDi[#Data],COLUMN(T_suiviDi[Nom]),FALSE)&lt;&gt;"",VLOOKUP(T_Commission[[#This Row],[NumL]],T_suiviDi[#Data],COLUMN(T_suiviDi[Nom]),FALSE),""),"")</f>
        <v/>
      </c>
      <c r="D151" s="19" t="str">
        <f>IFERROR(IF(VLOOKUP(T_Commission[[#This Row],[NumL]],T_suiviDi[#Data],COLUMN(T_suiviDi[Prénom]),FALSE)&lt;&gt;"",VLOOKUP(T_Commission[[#This Row],[NumL]],T_suiviDi[#Data],COLUMN(T_suiviDi[Prénom]),FALSE),""),"")</f>
        <v/>
      </c>
      <c r="E151" s="20" t="str">
        <f>IFERROR(IF(VLOOKUP(T_Commission[[#This Row],[NumL]],T_suiviDi[#Data],COLUMN(T_suiviDi[Email]),FALSE)&lt;&gt;"",VLOOKUP(T_Commission[[#This Row],[NumL]],T_suiviDi[#Data],COLUMN(T_suiviDi[Email]),FALSE),""),"")</f>
        <v/>
      </c>
      <c r="F151" s="274" t="str">
        <f>IFERROR(IF(VLOOKUP(T_Commission[[#This Row],[NumL]],T_suiviDi[#Data],COLUMN(T_suiviDi[[#This Row],[Nom1]]),FALSE)&lt;&gt;"",VLOOKUP(T_Commission[[#This Row],[NumL]],T_suiviDi[#Data],COLUMN(T_suiviDi[[#This Row],[Nom1]]),FALSE),""),"")</f>
        <v/>
      </c>
      <c r="G151" s="274" t="str">
        <f>IFERROR(IF(VLOOKUP(T_Commission[[#This Row],[NumL]],T_suiviDi[#Data],COLUMN(T_suiviDi[[#This Row],[Prénom1]]),FALSE)&lt;&gt;"",VLOOKUP(T_Commission[[#This Row],[NumL]],T_suiviDi[#Data],COLUMN(T_suiviDi[[#This Row],[Prénom1]]),FALSE),""),"")</f>
        <v/>
      </c>
      <c r="H151" s="274" t="str">
        <f>IFERROR(IF(VLOOKUP(T_Commission[[#This Row],[NumL]],T_suiviDi[#Data],COLUMN(T_suiviDi[[#This Row],[Email1]]),FALSE)&lt;&gt;"",VLOOKUP(T_Commission[[#This Row],[NumL]],T_suiviDi[#Data],COLUMN(T_suiviDi[[#This Row],[Email1]]),FALSE),""),"")</f>
        <v/>
      </c>
      <c r="I151" s="142" t="str">
        <f>IFERROR(VLOOKUP(T_Commission[[#This Row],[NumL]],T_TraitDi[#Data],COLUMN(T_TraitDi[[#This Row],[CTRL_PJ]]),FALSE),"")</f>
        <v/>
      </c>
      <c r="J151" s="142" t="str">
        <f>IF(T_Commission[[#This Row],[Nom]]&lt;&gt;"",IFERROR(VLOOKUP(T_Commission[[#This Row],[NumL]],T_TraitDi[#Data],COLUMN(T_TraitDi[[#This Row],[C10]]),FALSE),""),"")</f>
        <v/>
      </c>
      <c r="K151" s="142" t="str">
        <f>IFERROR(IF(VLOOKUP(T_Commission[[#This Row],[NumL]],T_suiviDi[#Data],COLUMN(T_suiviDi[[#This Row],[Avis n+1]]),FALSE)&lt;&gt;"",VLOOKUP(A151,T_suiviDi[#Data],COLUMN(T_suiviDi[[#This Row],[Avis n+1]]),FALSE),""),"")</f>
        <v/>
      </c>
      <c r="L151" s="142" t="str">
        <f>IFERROR(IF(VLOOKUP(T_Commission[[#This Row],[NumL]],T_suiviDi[#Data],COLUMN(T_suiviDi[[#This Row],[Avis n+2]]),FALSE)&lt;&gt;"",VLOOKUP(T_Commission[[#This Row],[NumL]],T_suiviDi[#Data],COLUMN(T_suiviDi[[#This Row],[Avis n+2]]),FALSE),""),"")</f>
        <v/>
      </c>
      <c r="M151" s="49">
        <v>1</v>
      </c>
      <c r="N151" s="49"/>
      <c r="O151" s="143" t="str">
        <f>IF(T_Commission[[#This Row],[Nom]]&lt;&gt;"",IF(T_Commission[[#This Row],[COM '#2]]&lt;&gt;"",MAX(T_Commission[[#This Row],[PJ]],T_Commission[[#This Row],[COM '#2]]),IF(T_Commission[[#This Row],[COM '#1]]&lt;&gt;"",MAX(T_Commission[[#This Row],[PJ]],T_Commission[[#This Row],[COM '#1]]),"")),"")</f>
        <v/>
      </c>
      <c r="P151" s="55" t="s">
        <v>115</v>
      </c>
      <c r="Q151" s="55" t="s">
        <v>3277</v>
      </c>
      <c r="R151" s="55" t="s">
        <v>3277</v>
      </c>
      <c r="S151" s="56"/>
      <c r="T151" s="144"/>
    </row>
    <row r="152" spans="1:20" s="93" customFormat="1" ht="30" customHeight="1" x14ac:dyDescent="0.25">
      <c r="A152" s="90">
        <v>211</v>
      </c>
      <c r="B152" s="130" t="str">
        <f>IFERROR(IF(VLOOKUP(T_Commission[[#This Row],[NumL]],T_TraitDi[#Data],COLUMN(T_TraitDi[[#This Row],[Statut]]),FALSE)&lt;&gt;"",VLOOKUP(T_Commission[[#This Row],[NumL]],T_TraitDi[#Data],COLUMN(T_TraitDi[[#This Row],[Statut]]),FALSE),""),"")</f>
        <v/>
      </c>
      <c r="C152" s="19" t="str">
        <f>IFERROR(IF(VLOOKUP(T_Commission[[#This Row],[NumL]],T_suiviDi[#Data],COLUMN(T_suiviDi[Nom]),FALSE)&lt;&gt;"",VLOOKUP(T_Commission[[#This Row],[NumL]],T_suiviDi[#Data],COLUMN(T_suiviDi[Nom]),FALSE),""),"")</f>
        <v/>
      </c>
      <c r="D152" s="19" t="str">
        <f>IFERROR(IF(VLOOKUP(T_Commission[[#This Row],[NumL]],T_suiviDi[#Data],COLUMN(T_suiviDi[Prénom]),FALSE)&lt;&gt;"",VLOOKUP(T_Commission[[#This Row],[NumL]],T_suiviDi[#Data],COLUMN(T_suiviDi[Prénom]),FALSE),""),"")</f>
        <v/>
      </c>
      <c r="E152" s="20" t="str">
        <f>IFERROR(IF(VLOOKUP(T_Commission[[#This Row],[NumL]],T_suiviDi[#Data],COLUMN(T_suiviDi[Email]),FALSE)&lt;&gt;"",VLOOKUP(T_Commission[[#This Row],[NumL]],T_suiviDi[#Data],COLUMN(T_suiviDi[Email]),FALSE),""),"")</f>
        <v/>
      </c>
      <c r="F152" s="274" t="str">
        <f>IFERROR(IF(VLOOKUP(T_Commission[[#This Row],[NumL]],T_suiviDi[#Data],COLUMN(T_suiviDi[[#This Row],[Nom1]]),FALSE)&lt;&gt;"",VLOOKUP(T_Commission[[#This Row],[NumL]],T_suiviDi[#Data],COLUMN(T_suiviDi[[#This Row],[Nom1]]),FALSE),""),"")</f>
        <v/>
      </c>
      <c r="G152" s="274" t="str">
        <f>IFERROR(IF(VLOOKUP(T_Commission[[#This Row],[NumL]],T_suiviDi[#Data],COLUMN(T_suiviDi[[#This Row],[Prénom1]]),FALSE)&lt;&gt;"",VLOOKUP(T_Commission[[#This Row],[NumL]],T_suiviDi[#Data],COLUMN(T_suiviDi[[#This Row],[Prénom1]]),FALSE),""),"")</f>
        <v/>
      </c>
      <c r="H152" s="274" t="str">
        <f>IFERROR(IF(VLOOKUP(T_Commission[[#This Row],[NumL]],T_suiviDi[#Data],COLUMN(T_suiviDi[[#This Row],[Email1]]),FALSE)&lt;&gt;"",VLOOKUP(T_Commission[[#This Row],[NumL]],T_suiviDi[#Data],COLUMN(T_suiviDi[[#This Row],[Email1]]),FALSE),""),"")</f>
        <v/>
      </c>
      <c r="I152" s="142" t="str">
        <f>IFERROR(VLOOKUP(T_Commission[[#This Row],[NumL]],T_TraitDi[#Data],COLUMN(T_TraitDi[[#This Row],[CTRL_PJ]]),FALSE),"")</f>
        <v/>
      </c>
      <c r="J152" s="142" t="str">
        <f>IF(T_Commission[[#This Row],[Nom]]&lt;&gt;"",IFERROR(VLOOKUP(T_Commission[[#This Row],[NumL]],T_TraitDi[#Data],COLUMN(T_TraitDi[[#This Row],[C10]]),FALSE),""),"")</f>
        <v/>
      </c>
      <c r="K152" s="142" t="str">
        <f>IFERROR(IF(VLOOKUP(T_Commission[[#This Row],[NumL]],T_suiviDi[#Data],COLUMN(T_suiviDi[[#This Row],[Avis n+1]]),FALSE)&lt;&gt;"",VLOOKUP(A152,T_suiviDi[#Data],COLUMN(T_suiviDi[[#This Row],[Avis n+1]]),FALSE),""),"")</f>
        <v/>
      </c>
      <c r="L152" s="142" t="str">
        <f>IFERROR(IF(VLOOKUP(T_Commission[[#This Row],[NumL]],T_suiviDi[#Data],COLUMN(T_suiviDi[[#This Row],[Avis n+2]]),FALSE)&lt;&gt;"",VLOOKUP(T_Commission[[#This Row],[NumL]],T_suiviDi[#Data],COLUMN(T_suiviDi[[#This Row],[Avis n+2]]),FALSE),""),"")</f>
        <v/>
      </c>
      <c r="M152" s="49">
        <v>1</v>
      </c>
      <c r="N152" s="49"/>
      <c r="O152" s="143" t="str">
        <f>IF(T_Commission[[#This Row],[Nom]]&lt;&gt;"",IF(T_Commission[[#This Row],[COM '#2]]&lt;&gt;"",MAX(T_Commission[[#This Row],[PJ]],T_Commission[[#This Row],[COM '#2]]),IF(T_Commission[[#This Row],[COM '#1]]&lt;&gt;"",MAX(T_Commission[[#This Row],[PJ]],T_Commission[[#This Row],[COM '#1]]),"")),"")</f>
        <v/>
      </c>
      <c r="P152" s="55" t="s">
        <v>115</v>
      </c>
      <c r="Q152" s="55" t="s">
        <v>3277</v>
      </c>
      <c r="R152" s="55"/>
      <c r="S152" s="56"/>
      <c r="T152" s="144"/>
    </row>
    <row r="153" spans="1:20" s="93" customFormat="1" ht="30" customHeight="1" x14ac:dyDescent="0.25">
      <c r="A153" s="90">
        <v>186</v>
      </c>
      <c r="B153" s="130" t="str">
        <f>IFERROR(IF(VLOOKUP(T_Commission[[#This Row],[NumL]],T_TraitDi[#Data],COLUMN(T_TraitDi[[#This Row],[Statut]]),FALSE)&lt;&gt;"",VLOOKUP(T_Commission[[#This Row],[NumL]],T_TraitDi[#Data],COLUMN(T_TraitDi[[#This Row],[Statut]]),FALSE),""),"")</f>
        <v/>
      </c>
      <c r="C153" s="19" t="str">
        <f>IFERROR(IF(VLOOKUP(T_Commission[[#This Row],[NumL]],T_suiviDi[#Data],COLUMN(T_suiviDi[Nom]),FALSE)&lt;&gt;"",VLOOKUP(T_Commission[[#This Row],[NumL]],T_suiviDi[#Data],COLUMN(T_suiviDi[Nom]),FALSE),""),"")</f>
        <v/>
      </c>
      <c r="D153" s="19" t="str">
        <f>IFERROR(IF(VLOOKUP(T_Commission[[#This Row],[NumL]],T_suiviDi[#Data],COLUMN(T_suiviDi[Prénom]),FALSE)&lt;&gt;"",VLOOKUP(T_Commission[[#This Row],[NumL]],T_suiviDi[#Data],COLUMN(T_suiviDi[Prénom]),FALSE),""),"")</f>
        <v/>
      </c>
      <c r="E153" s="20" t="str">
        <f>IFERROR(IF(VLOOKUP(T_Commission[[#This Row],[NumL]],T_suiviDi[#Data],COLUMN(T_suiviDi[Email]),FALSE)&lt;&gt;"",VLOOKUP(T_Commission[[#This Row],[NumL]],T_suiviDi[#Data],COLUMN(T_suiviDi[Email]),FALSE),""),"")</f>
        <v/>
      </c>
      <c r="F153" s="274" t="str">
        <f>IFERROR(IF(VLOOKUP(T_Commission[[#This Row],[NumL]],T_suiviDi[#Data],COLUMN(T_suiviDi[[#This Row],[Nom1]]),FALSE)&lt;&gt;"",VLOOKUP(T_Commission[[#This Row],[NumL]],T_suiviDi[#Data],COLUMN(T_suiviDi[[#This Row],[Nom1]]),FALSE),""),"")</f>
        <v/>
      </c>
      <c r="G153" s="274" t="str">
        <f>IFERROR(IF(VLOOKUP(T_Commission[[#This Row],[NumL]],T_suiviDi[#Data],COLUMN(T_suiviDi[[#This Row],[Prénom1]]),FALSE)&lt;&gt;"",VLOOKUP(T_Commission[[#This Row],[NumL]],T_suiviDi[#Data],COLUMN(T_suiviDi[[#This Row],[Prénom1]]),FALSE),""),"")</f>
        <v/>
      </c>
      <c r="H153" s="274" t="str">
        <f>IFERROR(IF(VLOOKUP(T_Commission[[#This Row],[NumL]],T_suiviDi[#Data],COLUMN(T_suiviDi[[#This Row],[Email1]]),FALSE)&lt;&gt;"",VLOOKUP(T_Commission[[#This Row],[NumL]],T_suiviDi[#Data],COLUMN(T_suiviDi[[#This Row],[Email1]]),FALSE),""),"")</f>
        <v/>
      </c>
      <c r="I153" s="142" t="str">
        <f>IFERROR(VLOOKUP(T_Commission[[#This Row],[NumL]],T_TraitDi[#Data],COLUMN(T_TraitDi[[#This Row],[CTRL_PJ]]),FALSE),"")</f>
        <v/>
      </c>
      <c r="J153" s="142" t="str">
        <f>IF(T_Commission[[#This Row],[Nom]]&lt;&gt;"",IFERROR(VLOOKUP(T_Commission[[#This Row],[NumL]],T_TraitDi[#Data],COLUMN(T_TraitDi[[#This Row],[C10]]),FALSE),""),"")</f>
        <v/>
      </c>
      <c r="K153" s="142" t="str">
        <f>IFERROR(IF(VLOOKUP(T_Commission[[#This Row],[NumL]],T_suiviDi[#Data],COLUMN(T_suiviDi[[#This Row],[Avis n+1]]),FALSE)&lt;&gt;"",VLOOKUP(A153,T_suiviDi[#Data],COLUMN(T_suiviDi[[#This Row],[Avis n+1]]),FALSE),""),"")</f>
        <v/>
      </c>
      <c r="L153" s="142" t="str">
        <f>IFERROR(IF(VLOOKUP(T_Commission[[#This Row],[NumL]],T_suiviDi[#Data],COLUMN(T_suiviDi[[#This Row],[Avis n+2]]),FALSE)&lt;&gt;"",VLOOKUP(T_Commission[[#This Row],[NumL]],T_suiviDi[#Data],COLUMN(T_suiviDi[[#This Row],[Avis n+2]]),FALSE),""),"")</f>
        <v/>
      </c>
      <c r="M153" s="49">
        <v>1</v>
      </c>
      <c r="N153" s="49"/>
      <c r="O153" s="143" t="str">
        <f>IF(T_Commission[[#This Row],[Nom]]&lt;&gt;"",IF(T_Commission[[#This Row],[COM '#2]]&lt;&gt;"",MAX(T_Commission[[#This Row],[PJ]],T_Commission[[#This Row],[COM '#2]]),IF(T_Commission[[#This Row],[COM '#1]]&lt;&gt;"",MAX(T_Commission[[#This Row],[PJ]],T_Commission[[#This Row],[COM '#1]]),"")),"")</f>
        <v/>
      </c>
      <c r="P153" s="55" t="s">
        <v>115</v>
      </c>
      <c r="Q153" s="55" t="s">
        <v>3277</v>
      </c>
      <c r="R153" s="55" t="s">
        <v>3277</v>
      </c>
      <c r="S153" s="56"/>
      <c r="T153" s="144"/>
    </row>
    <row r="154" spans="1:20" s="93" customFormat="1" ht="30" customHeight="1" x14ac:dyDescent="0.25">
      <c r="A154" s="90">
        <v>355</v>
      </c>
      <c r="B154" s="130" t="str">
        <f>IFERROR(IF(VLOOKUP(T_Commission[[#This Row],[NumL]],T_TraitDi[#Data],COLUMN(T_TraitDi[[#This Row],[Statut]]),FALSE)&lt;&gt;"",VLOOKUP(T_Commission[[#This Row],[NumL]],T_TraitDi[#Data],COLUMN(T_TraitDi[[#This Row],[Statut]]),FALSE),""),"")</f>
        <v/>
      </c>
      <c r="C154" s="139" t="str">
        <f>IFERROR(IF(VLOOKUP(T_Commission[[#This Row],[NumL]],T_suiviDi[#Data],COLUMN(T_suiviDi[[#This Row],[Nom]]),FALSE)&lt;&gt;"",VLOOKUP(T_Commission[[#This Row],[NumL]],T_suiviDi[#Data],COLUMN(T_suiviDi[[#This Row],[Nom]]),FALSE),""),"")</f>
        <v/>
      </c>
      <c r="D154" s="139" t="str">
        <f>IFERROR(IF(VLOOKUP(T_Commission[[#This Row],[NumL]],T_suiviDi[#Data],COLUMN(T_suiviDi[[#This Row],[Prénom]]),FALSE)&lt;&gt;"",VLOOKUP(T_Commission[[#This Row],[NumL]],T_suiviDi[#Data],COLUMN(T_suiviDi[[#This Row],[Prénom]]),FALSE),""),"")</f>
        <v/>
      </c>
      <c r="E154" s="140" t="str">
        <f>IFERROR(IF(VLOOKUP(T_Commission[[#This Row],[NumL]],T_suiviDi[#Data],COLUMN(T_suiviDi[[#This Row],[Email]]),FALSE)&lt;&gt;"",VLOOKUP(T_Commission[[#This Row],[NumL]],T_suiviDi[#Data],COLUMN(T_suiviDi[[#This Row],[Email]]),FALSE),""),"")</f>
        <v/>
      </c>
      <c r="F154" s="141" t="str">
        <f>IFERROR(IF(VLOOKUP(T_Commission[[#This Row],[NumL]],T_suiviDi[#Data],COLUMN(T_suiviDi[[#This Row],[Nom1]]),FALSE)&lt;&gt;"",VLOOKUP(T_Commission[[#This Row],[NumL]],T_suiviDi[#Data],COLUMN(T_suiviDi[[#This Row],[Nom1]]),FALSE),""),"")</f>
        <v/>
      </c>
      <c r="G154" s="141" t="str">
        <f>IFERROR(IF(VLOOKUP(T_Commission[[#This Row],[NumL]],T_suiviDi[#Data],COLUMN(T_suiviDi[[#This Row],[Prénom1]]),FALSE)&lt;&gt;"",VLOOKUP(T_Commission[[#This Row],[NumL]],T_suiviDi[#Data],COLUMN(T_suiviDi[[#This Row],[Prénom1]]),FALSE),""),"")</f>
        <v/>
      </c>
      <c r="H154" s="141" t="str">
        <f>IFERROR(IF(VLOOKUP(T_Commission[[#This Row],[NumL]],T_suiviDi[#Data],COLUMN(T_suiviDi[[#This Row],[Email1]]),FALSE)&lt;&gt;"",VLOOKUP(T_Commission[[#This Row],[NumL]],T_suiviDi[#Data],COLUMN(T_suiviDi[[#This Row],[Email1]]),FALSE),""),"")</f>
        <v/>
      </c>
      <c r="I154" s="142" t="str">
        <f>IFERROR(VLOOKUP(T_Commission[[#This Row],[NumL]],T_TraitDi[#Data],COLUMN(T_TraitDi[[#This Row],[CTRL_PJ]]),FALSE),"")</f>
        <v/>
      </c>
      <c r="J154" s="142" t="str">
        <f>IF(C154&lt;&gt;"",IFERROR(VLOOKUP(A154,'2- Traitement des DI'!BV32,FALSE),""),"")</f>
        <v/>
      </c>
      <c r="K154" s="142" t="str">
        <f>IFERROR(IF(VLOOKUP(T_Commission[[#This Row],[NumL]],T_suiviDi[#Data],COLUMN(T_suiviDi[[#This Row],[Avis n+1]]),FALSE)&lt;&gt;"",VLOOKUP(A154,T_suiviDi[#Data],COLUMN(T_suiviDi[[#This Row],[Avis n+1]]),FALSE),""),"")</f>
        <v/>
      </c>
      <c r="L154" s="142" t="str">
        <f>IFERROR(IF(VLOOKUP(A154,ListeDI,27,FALSE)&lt;&gt;"",VLOOKUP(A154,ListeDI,27,FALSE),""),"")</f>
        <v/>
      </c>
      <c r="M154" s="49">
        <v>1</v>
      </c>
      <c r="N154" s="49"/>
      <c r="O154" s="143" t="str">
        <f>IF(C154&lt;&gt;"",IF(N154&lt;&gt;"",MAX(I154,N154),IF(M154&lt;&gt;"",MAX(I154,M154),"")),"")</f>
        <v/>
      </c>
      <c r="P154" s="55" t="s">
        <v>115</v>
      </c>
      <c r="Q154" s="55" t="s">
        <v>3277</v>
      </c>
      <c r="R154" s="55" t="s">
        <v>3277</v>
      </c>
      <c r="S154" s="56"/>
      <c r="T154" s="144"/>
    </row>
    <row r="155" spans="1:20" s="93" customFormat="1" ht="30" customHeight="1" x14ac:dyDescent="0.25">
      <c r="A155" s="90">
        <v>10</v>
      </c>
      <c r="B155" s="130" t="str">
        <f>IFERROR(IF(VLOOKUP(T_Commission[[#This Row],[NumL]],T_TraitDi[#Data],COLUMN(T_TraitDi[[#This Row],[Statut]]),FALSE)&lt;&gt;"",VLOOKUP(T_Commission[[#This Row],[NumL]],T_TraitDi[#Data],COLUMN(T_TraitDi[[#This Row],[Statut]]),FALSE),""),"")</f>
        <v/>
      </c>
      <c r="C155" s="19" t="str">
        <f>IFERROR(IF(VLOOKUP(T_Commission[[#This Row],[NumL]],T_suiviDi[#Data],COLUMN(T_suiviDi[Nom]),FALSE)&lt;&gt;"",VLOOKUP(T_Commission[[#This Row],[NumL]],T_suiviDi[#Data],COLUMN(T_suiviDi[Nom]),FALSE),""),"")</f>
        <v/>
      </c>
      <c r="D155" s="19" t="str">
        <f>IFERROR(IF(VLOOKUP(T_Commission[[#This Row],[NumL]],T_suiviDi[#Data],COLUMN(T_suiviDi[Prénom]),FALSE)&lt;&gt;"",VLOOKUP(T_Commission[[#This Row],[NumL]],T_suiviDi[#Data],COLUMN(T_suiviDi[Prénom]),FALSE),""),"")</f>
        <v/>
      </c>
      <c r="E155" s="20" t="str">
        <f>IFERROR(IF(VLOOKUP(T_Commission[[#This Row],[NumL]],T_suiviDi[#Data],COLUMN(T_suiviDi[Email]),FALSE)&lt;&gt;"",VLOOKUP(T_Commission[[#This Row],[NumL]],T_suiviDi[#Data],COLUMN(T_suiviDi[Email]),FALSE),""),"")</f>
        <v/>
      </c>
      <c r="F155" s="274" t="str">
        <f>IFERROR(IF(VLOOKUP(T_Commission[[#This Row],[NumL]],T_suiviDi[#Data],COLUMN(T_suiviDi[[#This Row],[Nom1]]),FALSE)&lt;&gt;"",VLOOKUP(T_Commission[[#This Row],[NumL]],T_suiviDi[#Data],COLUMN(T_suiviDi[[#This Row],[Nom1]]),FALSE),""),"")</f>
        <v/>
      </c>
      <c r="G155" s="274" t="str">
        <f>IFERROR(IF(VLOOKUP(T_Commission[[#This Row],[NumL]],T_suiviDi[#Data],COLUMN(T_suiviDi[[#This Row],[Prénom1]]),FALSE)&lt;&gt;"",VLOOKUP(T_Commission[[#This Row],[NumL]],T_suiviDi[#Data],COLUMN(T_suiviDi[[#This Row],[Prénom1]]),FALSE),""),"")</f>
        <v/>
      </c>
      <c r="H155" s="274" t="str">
        <f>IFERROR(IF(VLOOKUP(T_Commission[[#This Row],[NumL]],T_suiviDi[#Data],COLUMN(T_suiviDi[[#This Row],[Email1]]),FALSE)&lt;&gt;"",VLOOKUP(T_Commission[[#This Row],[NumL]],T_suiviDi[#Data],COLUMN(T_suiviDi[[#This Row],[Email1]]),FALSE),""),"")</f>
        <v/>
      </c>
      <c r="I155" s="142" t="str">
        <f>IFERROR(VLOOKUP(T_Commission[[#This Row],[NumL]],T_TraitDi[#Data],COLUMN(T_TraitDi[[#This Row],[CTRL_PJ]]),FALSE),"")</f>
        <v/>
      </c>
      <c r="J155" s="142" t="str">
        <f>IF(T_Commission[[#This Row],[Nom]]&lt;&gt;"",IFERROR(VLOOKUP(T_Commission[[#This Row],[NumL]],T_TraitDi[#Data],COLUMN(T_TraitDi[[#This Row],[C10]]),FALSE),""),"")</f>
        <v/>
      </c>
      <c r="K155" s="142" t="str">
        <f>IFERROR(IF(VLOOKUP(T_Commission[[#This Row],[NumL]],T_suiviDi[#Data],COLUMN(T_suiviDi[[#This Row],[Avis n+1]]),FALSE)&lt;&gt;"",VLOOKUP(A155,T_suiviDi[#Data],COLUMN(T_suiviDi[[#This Row],[Avis n+1]]),FALSE),""),"")</f>
        <v/>
      </c>
      <c r="L155" s="142" t="str">
        <f>IFERROR(IF(VLOOKUP(T_Commission[[#This Row],[NumL]],T_suiviDi[#Data],COLUMN(T_suiviDi[[#This Row],[Avis n+2]]),FALSE)&lt;&gt;"",VLOOKUP(T_Commission[[#This Row],[NumL]],T_suiviDi[#Data],COLUMN(T_suiviDi[[#This Row],[Avis n+2]]),FALSE),""),"")</f>
        <v/>
      </c>
      <c r="M155" s="49">
        <v>1</v>
      </c>
      <c r="N155" s="49"/>
      <c r="O155" s="143" t="str">
        <f>IF(T_Commission[[#This Row],[Nom]]&lt;&gt;"",IF(T_Commission[[#This Row],[COM '#2]]&lt;&gt;"",MAX(T_Commission[[#This Row],[PJ]],T_Commission[[#This Row],[COM '#2]]),IF(T_Commission[[#This Row],[COM '#1]]&lt;&gt;"",MAX(T_Commission[[#This Row],[PJ]],T_Commission[[#This Row],[COM '#1]]),"")),"")</f>
        <v/>
      </c>
      <c r="P155" s="55" t="s">
        <v>115</v>
      </c>
      <c r="Q155" s="55" t="s">
        <v>3277</v>
      </c>
      <c r="R155" s="55" t="s">
        <v>3277</v>
      </c>
      <c r="S155" s="56"/>
      <c r="T155" s="144"/>
    </row>
    <row r="156" spans="1:20" s="93" customFormat="1" ht="30" customHeight="1" x14ac:dyDescent="0.25">
      <c r="A156" s="90">
        <v>87</v>
      </c>
      <c r="B156" s="130" t="str">
        <f>IFERROR(IF(VLOOKUP(T_Commission[[#This Row],[NumL]],T_TraitDi[#Data],COLUMN(T_TraitDi[[#This Row],[Statut]]),FALSE)&lt;&gt;"",VLOOKUP(T_Commission[[#This Row],[NumL]],T_TraitDi[#Data],COLUMN(T_TraitDi[[#This Row],[Statut]]),FALSE),""),"")</f>
        <v/>
      </c>
      <c r="C156" s="19" t="str">
        <f>IFERROR(IF(VLOOKUP(T_Commission[[#This Row],[NumL]],T_suiviDi[#Data],COLUMN(T_suiviDi[Nom]),FALSE)&lt;&gt;"",VLOOKUP(T_Commission[[#This Row],[NumL]],T_suiviDi[#Data],COLUMN(T_suiviDi[Nom]),FALSE),""),"")</f>
        <v/>
      </c>
      <c r="D156" s="19" t="str">
        <f>IFERROR(IF(VLOOKUP(T_Commission[[#This Row],[NumL]],T_suiviDi[#Data],COLUMN(T_suiviDi[Prénom]),FALSE)&lt;&gt;"",VLOOKUP(T_Commission[[#This Row],[NumL]],T_suiviDi[#Data],COLUMN(T_suiviDi[Prénom]),FALSE),""),"")</f>
        <v/>
      </c>
      <c r="E156" s="20" t="str">
        <f>IFERROR(IF(VLOOKUP(T_Commission[[#This Row],[NumL]],T_suiviDi[#Data],COLUMN(T_suiviDi[Email]),FALSE)&lt;&gt;"",VLOOKUP(T_Commission[[#This Row],[NumL]],T_suiviDi[#Data],COLUMN(T_suiviDi[Email]),FALSE),""),"")</f>
        <v/>
      </c>
      <c r="F156" s="274" t="str">
        <f>IFERROR(IF(VLOOKUP(T_Commission[[#This Row],[NumL]],T_suiviDi[#Data],COLUMN(T_suiviDi[[#This Row],[Nom1]]),FALSE)&lt;&gt;"",VLOOKUP(T_Commission[[#This Row],[NumL]],T_suiviDi[#Data],COLUMN(T_suiviDi[[#This Row],[Nom1]]),FALSE),""),"")</f>
        <v/>
      </c>
      <c r="G156" s="274" t="str">
        <f>IFERROR(IF(VLOOKUP(T_Commission[[#This Row],[NumL]],T_suiviDi[#Data],COLUMN(T_suiviDi[[#This Row],[Prénom1]]),FALSE)&lt;&gt;"",VLOOKUP(T_Commission[[#This Row],[NumL]],T_suiviDi[#Data],COLUMN(T_suiviDi[[#This Row],[Prénom1]]),FALSE),""),"")</f>
        <v/>
      </c>
      <c r="H156" s="274" t="str">
        <f>IFERROR(IF(VLOOKUP(T_Commission[[#This Row],[NumL]],T_suiviDi[#Data],COLUMN(T_suiviDi[[#This Row],[Email1]]),FALSE)&lt;&gt;"",VLOOKUP(T_Commission[[#This Row],[NumL]],T_suiviDi[#Data],COLUMN(T_suiviDi[[#This Row],[Email1]]),FALSE),""),"")</f>
        <v/>
      </c>
      <c r="I156" s="142" t="str">
        <f>IFERROR(VLOOKUP(T_Commission[[#This Row],[NumL]],T_TraitDi[#Data],COLUMN(T_TraitDi[[#This Row],[CTRL_PJ]]),FALSE),"")</f>
        <v/>
      </c>
      <c r="J156" s="142" t="str">
        <f>IF(T_Commission[[#This Row],[Nom]]&lt;&gt;"",IFERROR(VLOOKUP(T_Commission[[#This Row],[NumL]],T_TraitDi[#Data],COLUMN(T_TraitDi[[#This Row],[C10]]),FALSE),""),"")</f>
        <v/>
      </c>
      <c r="K156" s="142" t="str">
        <f>IFERROR(IF(VLOOKUP(T_Commission[[#This Row],[NumL]],T_suiviDi[#Data],COLUMN(T_suiviDi[[#This Row],[Avis n+1]]),FALSE)&lt;&gt;"",VLOOKUP(A156,T_suiviDi[#Data],COLUMN(T_suiviDi[[#This Row],[Avis n+1]]),FALSE),""),"")</f>
        <v/>
      </c>
      <c r="L156" s="142" t="str">
        <f>IFERROR(IF(VLOOKUP(T_Commission[[#This Row],[NumL]],T_suiviDi[#Data],COLUMN(T_suiviDi[[#This Row],[Avis n+2]]),FALSE)&lt;&gt;"",VLOOKUP(T_Commission[[#This Row],[NumL]],T_suiviDi[#Data],COLUMN(T_suiviDi[[#This Row],[Avis n+2]]),FALSE),""),"")</f>
        <v/>
      </c>
      <c r="M156" s="49">
        <v>1</v>
      </c>
      <c r="N156" s="49"/>
      <c r="O156" s="143" t="str">
        <f>IF(T_Commission[[#This Row],[Nom]]&lt;&gt;"",IF(T_Commission[[#This Row],[COM '#2]]&lt;&gt;"",MAX(T_Commission[[#This Row],[PJ]],T_Commission[[#This Row],[COM '#2]]),IF(T_Commission[[#This Row],[COM '#1]]&lt;&gt;"",MAX(T_Commission[[#This Row],[PJ]],T_Commission[[#This Row],[COM '#1]]),"")),"")</f>
        <v/>
      </c>
      <c r="P156" s="55" t="s">
        <v>115</v>
      </c>
      <c r="Q156" s="55" t="s">
        <v>3277</v>
      </c>
      <c r="R156" s="55" t="s">
        <v>3277</v>
      </c>
      <c r="S156" s="56"/>
      <c r="T156" s="144"/>
    </row>
    <row r="157" spans="1:20" s="93" customFormat="1" ht="30" customHeight="1" x14ac:dyDescent="0.25">
      <c r="A157" s="90">
        <v>41</v>
      </c>
      <c r="B157" s="130" t="str">
        <f>IFERROR(IF(VLOOKUP(T_Commission[[#This Row],[NumL]],T_TraitDi[#Data],COLUMN(T_TraitDi[[#This Row],[Statut]]),FALSE)&lt;&gt;"",VLOOKUP(T_Commission[[#This Row],[NumL]],T_TraitDi[#Data],COLUMN(T_TraitDi[[#This Row],[Statut]]),FALSE),""),"")</f>
        <v/>
      </c>
      <c r="C157" s="19" t="str">
        <f>IFERROR(IF(VLOOKUP(T_Commission[[#This Row],[NumL]],T_suiviDi[#Data],COLUMN(T_suiviDi[Nom]),FALSE)&lt;&gt;"",VLOOKUP(T_Commission[[#This Row],[NumL]],T_suiviDi[#Data],COLUMN(T_suiviDi[Nom]),FALSE),""),"")</f>
        <v/>
      </c>
      <c r="D157" s="19" t="str">
        <f>IFERROR(IF(VLOOKUP(T_Commission[[#This Row],[NumL]],T_suiviDi[#Data],COLUMN(T_suiviDi[Prénom]),FALSE)&lt;&gt;"",VLOOKUP(T_Commission[[#This Row],[NumL]],T_suiviDi[#Data],COLUMN(T_suiviDi[Prénom]),FALSE),""),"")</f>
        <v/>
      </c>
      <c r="E157" s="20" t="str">
        <f>IFERROR(IF(VLOOKUP(T_Commission[[#This Row],[NumL]],T_suiviDi[#Data],COLUMN(T_suiviDi[Email]),FALSE)&lt;&gt;"",VLOOKUP(T_Commission[[#This Row],[NumL]],T_suiviDi[#Data],COLUMN(T_suiviDi[Email]),FALSE),""),"")</f>
        <v/>
      </c>
      <c r="F157" s="274" t="str">
        <f>IFERROR(IF(VLOOKUP(T_Commission[[#This Row],[NumL]],T_suiviDi[#Data],COLUMN(T_suiviDi[[#This Row],[Nom1]]),FALSE)&lt;&gt;"",VLOOKUP(T_Commission[[#This Row],[NumL]],T_suiviDi[#Data],COLUMN(T_suiviDi[[#This Row],[Nom1]]),FALSE),""),"")</f>
        <v/>
      </c>
      <c r="G157" s="274" t="str">
        <f>IFERROR(IF(VLOOKUP(T_Commission[[#This Row],[NumL]],T_suiviDi[#Data],COLUMN(T_suiviDi[[#This Row],[Prénom1]]),FALSE)&lt;&gt;"",VLOOKUP(T_Commission[[#This Row],[NumL]],T_suiviDi[#Data],COLUMN(T_suiviDi[[#This Row],[Prénom1]]),FALSE),""),"")</f>
        <v/>
      </c>
      <c r="H157" s="274" t="str">
        <f>IFERROR(IF(VLOOKUP(T_Commission[[#This Row],[NumL]],T_suiviDi[#Data],COLUMN(T_suiviDi[[#This Row],[Email1]]),FALSE)&lt;&gt;"",VLOOKUP(T_Commission[[#This Row],[NumL]],T_suiviDi[#Data],COLUMN(T_suiviDi[[#This Row],[Email1]]),FALSE),""),"")</f>
        <v/>
      </c>
      <c r="I157" s="142" t="str">
        <f>IFERROR(VLOOKUP(T_Commission[[#This Row],[NumL]],T_TraitDi[#Data],COLUMN(T_TraitDi[[#This Row],[CTRL_PJ]]),FALSE),"")</f>
        <v/>
      </c>
      <c r="J157" s="142" t="str">
        <f>IF(T_Commission[[#This Row],[Nom]]&lt;&gt;"",IFERROR(VLOOKUP(T_Commission[[#This Row],[NumL]],T_TraitDi[#Data],COLUMN(T_TraitDi[[#This Row],[C10]]),FALSE),""),"")</f>
        <v/>
      </c>
      <c r="K157" s="142" t="str">
        <f>IFERROR(IF(VLOOKUP(T_Commission[[#This Row],[NumL]],T_suiviDi[#Data],COLUMN(T_suiviDi[[#This Row],[Avis n+1]]),FALSE)&lt;&gt;"",VLOOKUP(A157,T_suiviDi[#Data],COLUMN(T_suiviDi[[#This Row],[Avis n+1]]),FALSE),""),"")</f>
        <v/>
      </c>
      <c r="L157" s="142" t="str">
        <f>IFERROR(IF(VLOOKUP(T_Commission[[#This Row],[NumL]],T_suiviDi[#Data],COLUMN(T_suiviDi[[#This Row],[Avis n+2]]),FALSE)&lt;&gt;"",VLOOKUP(T_Commission[[#This Row],[NumL]],T_suiviDi[#Data],COLUMN(T_suiviDi[[#This Row],[Avis n+2]]),FALSE),""),"")</f>
        <v/>
      </c>
      <c r="M157" s="49">
        <v>1</v>
      </c>
      <c r="N157" s="49"/>
      <c r="O157" s="143" t="str">
        <f>IF(T_Commission[[#This Row],[Nom]]&lt;&gt;"",IF(T_Commission[[#This Row],[COM '#2]]&lt;&gt;"",MAX(T_Commission[[#This Row],[PJ]],T_Commission[[#This Row],[COM '#2]]),IF(T_Commission[[#This Row],[COM '#1]]&lt;&gt;"",MAX(T_Commission[[#This Row],[PJ]],T_Commission[[#This Row],[COM '#1]]),"")),"")</f>
        <v/>
      </c>
      <c r="P157" s="55" t="s">
        <v>115</v>
      </c>
      <c r="Q157" s="55" t="s">
        <v>3277</v>
      </c>
      <c r="R157" s="55"/>
      <c r="S157" s="56"/>
      <c r="T157" s="144"/>
    </row>
    <row r="158" spans="1:20" s="93" customFormat="1" ht="30" customHeight="1" x14ac:dyDescent="0.25">
      <c r="A158" s="90">
        <v>177</v>
      </c>
      <c r="B158" s="130" t="str">
        <f>IFERROR(IF(VLOOKUP(T_Commission[[#This Row],[NumL]],T_TraitDi[#Data],COLUMN(T_TraitDi[[#This Row],[Statut]]),FALSE)&lt;&gt;"",VLOOKUP(T_Commission[[#This Row],[NumL]],T_TraitDi[#Data],COLUMN(T_TraitDi[[#This Row],[Statut]]),FALSE),""),"")</f>
        <v/>
      </c>
      <c r="C158" s="19" t="str">
        <f>IFERROR(IF(VLOOKUP(T_Commission[[#This Row],[NumL]],T_suiviDi[#Data],COLUMN(T_suiviDi[Nom]),FALSE)&lt;&gt;"",VLOOKUP(T_Commission[[#This Row],[NumL]],T_suiviDi[#Data],COLUMN(T_suiviDi[Nom]),FALSE),""),"")</f>
        <v/>
      </c>
      <c r="D158" s="19" t="str">
        <f>IFERROR(IF(VLOOKUP(T_Commission[[#This Row],[NumL]],T_suiviDi[#Data],COLUMN(T_suiviDi[Prénom]),FALSE)&lt;&gt;"",VLOOKUP(T_Commission[[#This Row],[NumL]],T_suiviDi[#Data],COLUMN(T_suiviDi[Prénom]),FALSE),""),"")</f>
        <v/>
      </c>
      <c r="E158" s="20" t="str">
        <f>IFERROR(IF(VLOOKUP(T_Commission[[#This Row],[NumL]],T_suiviDi[#Data],COLUMN(T_suiviDi[Email]),FALSE)&lt;&gt;"",VLOOKUP(T_Commission[[#This Row],[NumL]],T_suiviDi[#Data],COLUMN(T_suiviDi[Email]),FALSE),""),"")</f>
        <v/>
      </c>
      <c r="F158" s="274" t="str">
        <f>IFERROR(IF(VLOOKUP(T_Commission[[#This Row],[NumL]],T_suiviDi[#Data],COLUMN(T_suiviDi[[#This Row],[Nom1]]),FALSE)&lt;&gt;"",VLOOKUP(T_Commission[[#This Row],[NumL]],T_suiviDi[#Data],COLUMN(T_suiviDi[[#This Row],[Nom1]]),FALSE),""),"")</f>
        <v/>
      </c>
      <c r="G158" s="274" t="str">
        <f>IFERROR(IF(VLOOKUP(T_Commission[[#This Row],[NumL]],T_suiviDi[#Data],COLUMN(T_suiviDi[[#This Row],[Prénom1]]),FALSE)&lt;&gt;"",VLOOKUP(T_Commission[[#This Row],[NumL]],T_suiviDi[#Data],COLUMN(T_suiviDi[[#This Row],[Prénom1]]),FALSE),""),"")</f>
        <v/>
      </c>
      <c r="H158" s="274" t="str">
        <f>IFERROR(IF(VLOOKUP(T_Commission[[#This Row],[NumL]],T_suiviDi[#Data],COLUMN(T_suiviDi[[#This Row],[Email1]]),FALSE)&lt;&gt;"",VLOOKUP(T_Commission[[#This Row],[NumL]],T_suiviDi[#Data],COLUMN(T_suiviDi[[#This Row],[Email1]]),FALSE),""),"")</f>
        <v/>
      </c>
      <c r="I158" s="142" t="str">
        <f>IFERROR(VLOOKUP(T_Commission[[#This Row],[NumL]],T_TraitDi[#Data],COLUMN(T_TraitDi[[#This Row],[CTRL_PJ]]),FALSE),"")</f>
        <v/>
      </c>
      <c r="J158" s="142" t="str">
        <f>IF(T_Commission[[#This Row],[Nom]]&lt;&gt;"",IFERROR(VLOOKUP(T_Commission[[#This Row],[NumL]],T_TraitDi[#Data],COLUMN(T_TraitDi[[#This Row],[C10]]),FALSE),""),"")</f>
        <v/>
      </c>
      <c r="K158" s="142" t="str">
        <f>IFERROR(IF(VLOOKUP(T_Commission[[#This Row],[NumL]],T_suiviDi[#Data],COLUMN(T_suiviDi[[#This Row],[Avis n+1]]),FALSE)&lt;&gt;"",VLOOKUP(A158,T_suiviDi[#Data],COLUMN(T_suiviDi[[#This Row],[Avis n+1]]),FALSE),""),"")</f>
        <v/>
      </c>
      <c r="L158" s="142" t="str">
        <f>IFERROR(IF(VLOOKUP(T_Commission[[#This Row],[NumL]],T_suiviDi[#Data],COLUMN(T_suiviDi[[#This Row],[Avis n+2]]),FALSE)&lt;&gt;"",VLOOKUP(T_Commission[[#This Row],[NumL]],T_suiviDi[#Data],COLUMN(T_suiviDi[[#This Row],[Avis n+2]]),FALSE),""),"")</f>
        <v/>
      </c>
      <c r="M158" s="49">
        <v>1</v>
      </c>
      <c r="N158" s="49"/>
      <c r="O158" s="143" t="str">
        <f>IF(T_Commission[[#This Row],[Nom]]&lt;&gt;"",IF(T_Commission[[#This Row],[COM '#2]]&lt;&gt;"",MAX(T_Commission[[#This Row],[PJ]],T_Commission[[#This Row],[COM '#2]]),IF(T_Commission[[#This Row],[COM '#1]]&lt;&gt;"",MAX(T_Commission[[#This Row],[PJ]],T_Commission[[#This Row],[COM '#1]]),"")),"")</f>
        <v/>
      </c>
      <c r="P158" s="55" t="s">
        <v>115</v>
      </c>
      <c r="Q158" s="55" t="s">
        <v>3277</v>
      </c>
      <c r="R158" s="55"/>
      <c r="S158" s="56"/>
      <c r="T158" s="144"/>
    </row>
    <row r="159" spans="1:20" s="93" customFormat="1" ht="30" customHeight="1" x14ac:dyDescent="0.25">
      <c r="A159" s="90">
        <v>82</v>
      </c>
      <c r="B159" s="130" t="str">
        <f>IFERROR(IF(VLOOKUP(T_Commission[[#This Row],[NumL]],T_TraitDi[#Data],COLUMN(T_TraitDi[[#This Row],[Statut]]),FALSE)&lt;&gt;"",VLOOKUP(T_Commission[[#This Row],[NumL]],T_TraitDi[#Data],COLUMN(T_TraitDi[[#This Row],[Statut]]),FALSE),""),"")</f>
        <v/>
      </c>
      <c r="C159" s="19" t="str">
        <f>IFERROR(IF(VLOOKUP(T_Commission[[#This Row],[NumL]],T_suiviDi[#Data],COLUMN(T_suiviDi[Nom]),FALSE)&lt;&gt;"",VLOOKUP(T_Commission[[#This Row],[NumL]],T_suiviDi[#Data],COLUMN(T_suiviDi[Nom]),FALSE),""),"")</f>
        <v/>
      </c>
      <c r="D159" s="19" t="str">
        <f>IFERROR(IF(VLOOKUP(T_Commission[[#This Row],[NumL]],T_suiviDi[#Data],COLUMN(T_suiviDi[Prénom]),FALSE)&lt;&gt;"",VLOOKUP(T_Commission[[#This Row],[NumL]],T_suiviDi[#Data],COLUMN(T_suiviDi[Prénom]),FALSE),""),"")</f>
        <v/>
      </c>
      <c r="E159" s="20" t="str">
        <f>IFERROR(IF(VLOOKUP(T_Commission[[#This Row],[NumL]],T_suiviDi[#Data],COLUMN(T_suiviDi[Email]),FALSE)&lt;&gt;"",VLOOKUP(T_Commission[[#This Row],[NumL]],T_suiviDi[#Data],COLUMN(T_suiviDi[Email]),FALSE),""),"")</f>
        <v/>
      </c>
      <c r="F159" s="274" t="str">
        <f>IFERROR(IF(VLOOKUP(T_Commission[[#This Row],[NumL]],T_suiviDi[#Data],COLUMN(T_suiviDi[[#This Row],[Nom1]]),FALSE)&lt;&gt;"",VLOOKUP(T_Commission[[#This Row],[NumL]],T_suiviDi[#Data],COLUMN(T_suiviDi[[#This Row],[Nom1]]),FALSE),""),"")</f>
        <v/>
      </c>
      <c r="G159" s="274" t="str">
        <f>IFERROR(IF(VLOOKUP(T_Commission[[#This Row],[NumL]],T_suiviDi[#Data],COLUMN(T_suiviDi[[#This Row],[Prénom1]]),FALSE)&lt;&gt;"",VLOOKUP(T_Commission[[#This Row],[NumL]],T_suiviDi[#Data],COLUMN(T_suiviDi[[#This Row],[Prénom1]]),FALSE),""),"")</f>
        <v/>
      </c>
      <c r="H159" s="274" t="str">
        <f>IFERROR(IF(VLOOKUP(T_Commission[[#This Row],[NumL]],T_suiviDi[#Data],COLUMN(T_suiviDi[[#This Row],[Email1]]),FALSE)&lt;&gt;"",VLOOKUP(T_Commission[[#This Row],[NumL]],T_suiviDi[#Data],COLUMN(T_suiviDi[[#This Row],[Email1]]),FALSE),""),"")</f>
        <v/>
      </c>
      <c r="I159" s="142" t="str">
        <f>IFERROR(VLOOKUP(T_Commission[[#This Row],[NumL]],T_TraitDi[#Data],COLUMN(T_TraitDi[[#This Row],[CTRL_PJ]]),FALSE),"")</f>
        <v/>
      </c>
      <c r="J159" s="142" t="str">
        <f>IF(T_Commission[[#This Row],[Nom]]&lt;&gt;"",IFERROR(VLOOKUP(T_Commission[[#This Row],[NumL]],T_TraitDi[#Data],COLUMN(T_TraitDi[[#This Row],[C10]]),FALSE),""),"")</f>
        <v/>
      </c>
      <c r="K159" s="142" t="str">
        <f>IFERROR(IF(VLOOKUP(T_Commission[[#This Row],[NumL]],T_suiviDi[#Data],COLUMN(T_suiviDi[[#This Row],[Avis n+1]]),FALSE)&lt;&gt;"",VLOOKUP(A159,T_suiviDi[#Data],COLUMN(T_suiviDi[[#This Row],[Avis n+1]]),FALSE),""),"")</f>
        <v/>
      </c>
      <c r="L159" s="142" t="str">
        <f>IFERROR(IF(VLOOKUP(T_Commission[[#This Row],[NumL]],T_suiviDi[#Data],COLUMN(T_suiviDi[[#This Row],[Avis n+2]]),FALSE)&lt;&gt;"",VLOOKUP(T_Commission[[#This Row],[NumL]],T_suiviDi[#Data],COLUMN(T_suiviDi[[#This Row],[Avis n+2]]),FALSE),""),"")</f>
        <v/>
      </c>
      <c r="M159" s="49">
        <v>1</v>
      </c>
      <c r="N159" s="49"/>
      <c r="O159" s="143" t="str">
        <f>IF(T_Commission[[#This Row],[Nom]]&lt;&gt;"",IF(T_Commission[[#This Row],[COM '#2]]&lt;&gt;"",MAX(T_Commission[[#This Row],[PJ]],T_Commission[[#This Row],[COM '#2]]),IF(T_Commission[[#This Row],[COM '#1]]&lt;&gt;"",MAX(T_Commission[[#This Row],[PJ]],T_Commission[[#This Row],[COM '#1]]),"")),"")</f>
        <v/>
      </c>
      <c r="P159" s="55" t="s">
        <v>115</v>
      </c>
      <c r="Q159" s="55" t="s">
        <v>3277</v>
      </c>
      <c r="R159" s="55" t="s">
        <v>3277</v>
      </c>
      <c r="S159" s="56"/>
      <c r="T159" s="144"/>
    </row>
    <row r="160" spans="1:20" s="93" customFormat="1" ht="30" customHeight="1" x14ac:dyDescent="0.25">
      <c r="A160" s="90">
        <v>338</v>
      </c>
      <c r="B160" s="130" t="str">
        <f>IFERROR(IF(VLOOKUP(T_Commission[[#This Row],[NumL]],T_TraitDi[#Data],COLUMN(T_TraitDi[[#This Row],[Statut]]),FALSE)&lt;&gt;"",VLOOKUP(T_Commission[[#This Row],[NumL]],T_TraitDi[#Data],COLUMN(T_TraitDi[[#This Row],[Statut]]),FALSE),""),"")</f>
        <v/>
      </c>
      <c r="C160" s="139" t="str">
        <f>IFERROR(IF(VLOOKUP(T_Commission[[#This Row],[NumL]],T_suiviDi[#Data],COLUMN(T_suiviDi[[#This Row],[Nom]]),FALSE)&lt;&gt;"",VLOOKUP(T_Commission[[#This Row],[NumL]],T_suiviDi[#Data],COLUMN(T_suiviDi[[#This Row],[Nom]]),FALSE),""),"")</f>
        <v/>
      </c>
      <c r="D160" s="139" t="str">
        <f>IFERROR(IF(VLOOKUP(T_Commission[[#This Row],[NumL]],T_suiviDi[#Data],COLUMN(T_suiviDi[[#This Row],[Prénom]]),FALSE)&lt;&gt;"",VLOOKUP(T_Commission[[#This Row],[NumL]],T_suiviDi[#Data],COLUMN(T_suiviDi[[#This Row],[Prénom]]),FALSE),""),"")</f>
        <v/>
      </c>
      <c r="E160" s="140" t="str">
        <f>IFERROR(IF(VLOOKUP(T_Commission[[#This Row],[NumL]],T_suiviDi[#Data],COLUMN(T_suiviDi[[#This Row],[Email]]),FALSE)&lt;&gt;"",VLOOKUP(T_Commission[[#This Row],[NumL]],T_suiviDi[#Data],COLUMN(T_suiviDi[[#This Row],[Email]]),FALSE),""),"")</f>
        <v/>
      </c>
      <c r="F160" s="141" t="str">
        <f>IFERROR(IF(VLOOKUP(T_Commission[[#This Row],[NumL]],T_suiviDi[#Data],COLUMN(T_suiviDi[[#This Row],[Nom1]]),FALSE)&lt;&gt;"",VLOOKUP(T_Commission[[#This Row],[NumL]],T_suiviDi[#Data],COLUMN(T_suiviDi[[#This Row],[Nom1]]),FALSE),""),"")</f>
        <v/>
      </c>
      <c r="G160" s="141" t="str">
        <f>IFERROR(IF(VLOOKUP(T_Commission[[#This Row],[NumL]],T_suiviDi[#Data],COLUMN(T_suiviDi[[#This Row],[Prénom1]]),FALSE)&lt;&gt;"",VLOOKUP(T_Commission[[#This Row],[NumL]],T_suiviDi[#Data],COLUMN(T_suiviDi[[#This Row],[Prénom1]]),FALSE),""),"")</f>
        <v/>
      </c>
      <c r="H160" s="141" t="str">
        <f>IFERROR(IF(VLOOKUP(T_Commission[[#This Row],[NumL]],T_suiviDi[#Data],COLUMN(T_suiviDi[[#This Row],[Email1]]),FALSE)&lt;&gt;"",VLOOKUP(T_Commission[[#This Row],[NumL]],T_suiviDi[#Data],COLUMN(T_suiviDi[[#This Row],[Email1]]),FALSE),""),"")</f>
        <v/>
      </c>
      <c r="I160" s="142" t="str">
        <f>IFERROR(VLOOKUP(T_Commission[[#This Row],[NumL]],T_TraitDi[#Data],COLUMN(T_TraitDi[[#This Row],[CTRL_PJ]]),FALSE),"")</f>
        <v/>
      </c>
      <c r="J160" s="142" t="str">
        <f>IF(C160&lt;&gt;"",IFERROR(VLOOKUP(A160,'2- Traitement des DI'!BV32,FALSE),""),"")</f>
        <v/>
      </c>
      <c r="K160" s="142" t="str">
        <f>IFERROR(IF(VLOOKUP(T_Commission[[#This Row],[NumL]],T_suiviDi[#Data],COLUMN(T_suiviDi[[#This Row],[Avis n+1]]),FALSE)&lt;&gt;"",VLOOKUP(A160,T_suiviDi[#Data],COLUMN(T_suiviDi[[#This Row],[Avis n+1]]),FALSE),""),"")</f>
        <v/>
      </c>
      <c r="L160" s="142" t="str">
        <f>IFERROR(IF(VLOOKUP(A160,ListeDI,27,FALSE)&lt;&gt;"",VLOOKUP(A160,ListeDI,27,FALSE),""),"")</f>
        <v/>
      </c>
      <c r="M160" s="49">
        <v>3</v>
      </c>
      <c r="N160" s="49"/>
      <c r="O160" s="143" t="str">
        <f>IF(C160&lt;&gt;"",IF(N160&lt;&gt;"",MAX(I160,N160),IF(M160&lt;&gt;"",MAX(I160,M160),"")),"")</f>
        <v/>
      </c>
      <c r="P160" s="55"/>
      <c r="Q160" s="55"/>
      <c r="R160" s="55"/>
      <c r="S160" s="56"/>
      <c r="T160" s="144" t="s">
        <v>3617</v>
      </c>
    </row>
    <row r="161" spans="1:20" s="93" customFormat="1" ht="30" customHeight="1" x14ac:dyDescent="0.25">
      <c r="A161" s="90">
        <v>190</v>
      </c>
      <c r="B161" s="130" t="str">
        <f>IFERROR(IF(VLOOKUP(T_Commission[[#This Row],[NumL]],T_TraitDi[#Data],COLUMN(T_TraitDi[[#This Row],[Statut]]),FALSE)&lt;&gt;"",VLOOKUP(T_Commission[[#This Row],[NumL]],T_TraitDi[#Data],COLUMN(T_TraitDi[[#This Row],[Statut]]),FALSE),""),"")</f>
        <v/>
      </c>
      <c r="C161" s="19" t="str">
        <f>IFERROR(IF(VLOOKUP(T_Commission[[#This Row],[NumL]],T_suiviDi[#Data],COLUMN(T_suiviDi[Nom]),FALSE)&lt;&gt;"",VLOOKUP(T_Commission[[#This Row],[NumL]],T_suiviDi[#Data],COLUMN(T_suiviDi[Nom]),FALSE),""),"")</f>
        <v/>
      </c>
      <c r="D161" s="19" t="str">
        <f>IFERROR(IF(VLOOKUP(T_Commission[[#This Row],[NumL]],T_suiviDi[#Data],COLUMN(T_suiviDi[Prénom]),FALSE)&lt;&gt;"",VLOOKUP(T_Commission[[#This Row],[NumL]],T_suiviDi[#Data],COLUMN(T_suiviDi[Prénom]),FALSE),""),"")</f>
        <v/>
      </c>
      <c r="E161" s="20" t="str">
        <f>IFERROR(IF(VLOOKUP(T_Commission[[#This Row],[NumL]],T_suiviDi[#Data],COLUMN(T_suiviDi[Email]),FALSE)&lt;&gt;"",VLOOKUP(T_Commission[[#This Row],[NumL]],T_suiviDi[#Data],COLUMN(T_suiviDi[Email]),FALSE),""),"")</f>
        <v/>
      </c>
      <c r="F161" s="274" t="str">
        <f>IFERROR(IF(VLOOKUP(T_Commission[[#This Row],[NumL]],T_suiviDi[#Data],COLUMN(T_suiviDi[[#This Row],[Nom1]]),FALSE)&lt;&gt;"",VLOOKUP(T_Commission[[#This Row],[NumL]],T_suiviDi[#Data],COLUMN(T_suiviDi[[#This Row],[Nom1]]),FALSE),""),"")</f>
        <v/>
      </c>
      <c r="G161" s="274" t="str">
        <f>IFERROR(IF(VLOOKUP(T_Commission[[#This Row],[NumL]],T_suiviDi[#Data],COLUMN(T_suiviDi[[#This Row],[Prénom1]]),FALSE)&lt;&gt;"",VLOOKUP(T_Commission[[#This Row],[NumL]],T_suiviDi[#Data],COLUMN(T_suiviDi[[#This Row],[Prénom1]]),FALSE),""),"")</f>
        <v/>
      </c>
      <c r="H161" s="274" t="str">
        <f>IFERROR(IF(VLOOKUP(T_Commission[[#This Row],[NumL]],T_suiviDi[#Data],COLUMN(T_suiviDi[[#This Row],[Email1]]),FALSE)&lt;&gt;"",VLOOKUP(T_Commission[[#This Row],[NumL]],T_suiviDi[#Data],COLUMN(T_suiviDi[[#This Row],[Email1]]),FALSE),""),"")</f>
        <v/>
      </c>
      <c r="I161" s="142" t="str">
        <f>IFERROR(VLOOKUP(T_Commission[[#This Row],[NumL]],T_TraitDi[#Data],COLUMN(T_TraitDi[[#This Row],[CTRL_PJ]]),FALSE),"")</f>
        <v/>
      </c>
      <c r="J161" s="142" t="str">
        <f>IF(T_Commission[[#This Row],[Nom]]&lt;&gt;"",IFERROR(VLOOKUP(T_Commission[[#This Row],[NumL]],T_TraitDi[#Data],COLUMN(T_TraitDi[[#This Row],[C10]]),FALSE),""),"")</f>
        <v/>
      </c>
      <c r="K161" s="142" t="str">
        <f>IFERROR(IF(VLOOKUP(T_Commission[[#This Row],[NumL]],T_suiviDi[#Data],COLUMN(T_suiviDi[[#This Row],[Avis n+1]]),FALSE)&lt;&gt;"",VLOOKUP(A161,T_suiviDi[#Data],COLUMN(T_suiviDi[[#This Row],[Avis n+1]]),FALSE),""),"")</f>
        <v/>
      </c>
      <c r="L161" s="142" t="str">
        <f>IFERROR(IF(VLOOKUP(T_Commission[[#This Row],[NumL]],T_suiviDi[#Data],COLUMN(T_suiviDi[[#This Row],[Avis n+2]]),FALSE)&lt;&gt;"",VLOOKUP(T_Commission[[#This Row],[NumL]],T_suiviDi[#Data],COLUMN(T_suiviDi[[#This Row],[Avis n+2]]),FALSE),""),"")</f>
        <v/>
      </c>
      <c r="M161" s="49">
        <v>1</v>
      </c>
      <c r="N161" s="49"/>
      <c r="O161" s="143" t="str">
        <f>IF(T_Commission[[#This Row],[Nom]]&lt;&gt;"",IF(T_Commission[[#This Row],[COM '#2]]&lt;&gt;"",MAX(T_Commission[[#This Row],[PJ]],T_Commission[[#This Row],[COM '#2]]),IF(T_Commission[[#This Row],[COM '#1]]&lt;&gt;"",MAX(T_Commission[[#This Row],[PJ]],T_Commission[[#This Row],[COM '#1]]),"")),"")</f>
        <v/>
      </c>
      <c r="P161" s="55" t="s">
        <v>115</v>
      </c>
      <c r="Q161" s="55" t="s">
        <v>3277</v>
      </c>
      <c r="R161" s="55" t="s">
        <v>3277</v>
      </c>
      <c r="S161" s="56"/>
      <c r="T161" s="144"/>
    </row>
    <row r="162" spans="1:20" s="93" customFormat="1" ht="30" customHeight="1" x14ac:dyDescent="0.25">
      <c r="A162" s="90">
        <v>285</v>
      </c>
      <c r="B162" s="130" t="str">
        <f>IFERROR(IF(VLOOKUP(T_Commission[[#This Row],[NumL]],T_TraitDi[#Data],COLUMN(T_TraitDi[[#This Row],[Statut]]),FALSE)&lt;&gt;"",VLOOKUP(T_Commission[[#This Row],[NumL]],T_TraitDi[#Data],COLUMN(T_TraitDi[[#This Row],[Statut]]),FALSE),""),"")</f>
        <v/>
      </c>
      <c r="C162" s="19" t="str">
        <f>IFERROR(IF(VLOOKUP(T_Commission[[#This Row],[NumL]],T_suiviDi[#Data],COLUMN(T_suiviDi[Nom]),FALSE)&lt;&gt;"",VLOOKUP(T_Commission[[#This Row],[NumL]],T_suiviDi[#Data],COLUMN(T_suiviDi[Nom]),FALSE),""),"")</f>
        <v/>
      </c>
      <c r="D162" s="19" t="str">
        <f>IFERROR(IF(VLOOKUP(T_Commission[[#This Row],[NumL]],T_suiviDi[#Data],COLUMN(T_suiviDi[Prénom]),FALSE)&lt;&gt;"",VLOOKUP(T_Commission[[#This Row],[NumL]],T_suiviDi[#Data],COLUMN(T_suiviDi[Prénom]),FALSE),""),"")</f>
        <v/>
      </c>
      <c r="E162" s="20" t="str">
        <f>IFERROR(IF(VLOOKUP(T_Commission[[#This Row],[NumL]],T_suiviDi[#Data],COLUMN(T_suiviDi[Email]),FALSE)&lt;&gt;"",VLOOKUP(T_Commission[[#This Row],[NumL]],T_suiviDi[#Data],COLUMN(T_suiviDi[Email]),FALSE),""),"")</f>
        <v/>
      </c>
      <c r="F162" s="274" t="str">
        <f>IFERROR(IF(VLOOKUP(T_Commission[[#This Row],[NumL]],T_suiviDi[#Data],COLUMN(T_suiviDi[[#This Row],[Nom1]]),FALSE)&lt;&gt;"",VLOOKUP(T_Commission[[#This Row],[NumL]],T_suiviDi[#Data],COLUMN(T_suiviDi[[#This Row],[Nom1]]),FALSE),""),"")</f>
        <v/>
      </c>
      <c r="G162" s="274" t="str">
        <f>IFERROR(IF(VLOOKUP(T_Commission[[#This Row],[NumL]],T_suiviDi[#Data],COLUMN(T_suiviDi[[#This Row],[Prénom1]]),FALSE)&lt;&gt;"",VLOOKUP(T_Commission[[#This Row],[NumL]],T_suiviDi[#Data],COLUMN(T_suiviDi[[#This Row],[Prénom1]]),FALSE),""),"")</f>
        <v/>
      </c>
      <c r="H162" s="274" t="str">
        <f>IFERROR(IF(VLOOKUP(T_Commission[[#This Row],[NumL]],T_suiviDi[#Data],COLUMN(T_suiviDi[[#This Row],[Email1]]),FALSE)&lt;&gt;"",VLOOKUP(T_Commission[[#This Row],[NumL]],T_suiviDi[#Data],COLUMN(T_suiviDi[[#This Row],[Email1]]),FALSE),""),"")</f>
        <v/>
      </c>
      <c r="I162" s="142" t="str">
        <f>IFERROR(VLOOKUP(T_Commission[[#This Row],[NumL]],T_TraitDi[#Data],COLUMN(T_TraitDi[[#This Row],[CTRL_PJ]]),FALSE),"")</f>
        <v/>
      </c>
      <c r="J162" s="142" t="str">
        <f>IF(T_Commission[[#This Row],[Nom]]&lt;&gt;"",IFERROR(VLOOKUP(T_Commission[[#This Row],[NumL]],T_TraitDi[#Data],COLUMN(T_TraitDi[[#This Row],[C10]]),FALSE),""),"")</f>
        <v/>
      </c>
      <c r="K162" s="142" t="str">
        <f>IFERROR(IF(VLOOKUP(T_Commission[[#This Row],[NumL]],T_suiviDi[#Data],COLUMN(T_suiviDi[[#This Row],[Avis n+1]]),FALSE)&lt;&gt;"",VLOOKUP(A162,T_suiviDi[#Data],COLUMN(T_suiviDi[[#This Row],[Avis n+1]]),FALSE),""),"")</f>
        <v/>
      </c>
      <c r="L162" s="142" t="str">
        <f>IFERROR(IF(VLOOKUP(T_Commission[[#This Row],[NumL]],T_suiviDi[#Data],COLUMN(T_suiviDi[[#This Row],[Avis n+2]]),FALSE)&lt;&gt;"",VLOOKUP(T_Commission[[#This Row],[NumL]],T_suiviDi[#Data],COLUMN(T_suiviDi[[#This Row],[Avis n+2]]),FALSE),""),"")</f>
        <v/>
      </c>
      <c r="M162" s="49">
        <v>1</v>
      </c>
      <c r="N162" s="49"/>
      <c r="O162" s="143" t="str">
        <f>IF(T_Commission[[#This Row],[Nom]]&lt;&gt;"",IF(T_Commission[[#This Row],[COM '#2]]&lt;&gt;"",MAX(T_Commission[[#This Row],[PJ]],T_Commission[[#This Row],[COM '#2]]),IF(T_Commission[[#This Row],[COM '#1]]&lt;&gt;"",MAX(T_Commission[[#This Row],[PJ]],T_Commission[[#This Row],[COM '#1]]),"")),"")</f>
        <v/>
      </c>
      <c r="P162" s="55" t="s">
        <v>115</v>
      </c>
      <c r="Q162" s="55" t="s">
        <v>3277</v>
      </c>
      <c r="R162" s="55" t="s">
        <v>3277</v>
      </c>
      <c r="S162" s="56"/>
      <c r="T162" s="144"/>
    </row>
    <row r="163" spans="1:20" s="93" customFormat="1" ht="30" customHeight="1" x14ac:dyDescent="0.25">
      <c r="A163" s="90">
        <v>9</v>
      </c>
      <c r="B163" s="130" t="str">
        <f>IFERROR(IF(VLOOKUP(T_Commission[[#This Row],[NumL]],T_TraitDi[#Data],COLUMN(T_TraitDi[[#This Row],[Statut]]),FALSE)&lt;&gt;"",VLOOKUP(T_Commission[[#This Row],[NumL]],T_TraitDi[#Data],COLUMN(T_TraitDi[[#This Row],[Statut]]),FALSE),""),"")</f>
        <v/>
      </c>
      <c r="C163" s="19" t="str">
        <f>IFERROR(IF(VLOOKUP(T_Commission[[#This Row],[NumL]],T_suiviDi[#Data],COLUMN(T_suiviDi[Nom]),FALSE)&lt;&gt;"",VLOOKUP(T_Commission[[#This Row],[NumL]],T_suiviDi[#Data],COLUMN(T_suiviDi[Nom]),FALSE),""),"")</f>
        <v/>
      </c>
      <c r="D163" s="19" t="str">
        <f>IFERROR(IF(VLOOKUP(T_Commission[[#This Row],[NumL]],T_suiviDi[#Data],COLUMN(T_suiviDi[Prénom]),FALSE)&lt;&gt;"",VLOOKUP(T_Commission[[#This Row],[NumL]],T_suiviDi[#Data],COLUMN(T_suiviDi[Prénom]),FALSE),""),"")</f>
        <v/>
      </c>
      <c r="E163" s="20" t="str">
        <f>IFERROR(IF(VLOOKUP(T_Commission[[#This Row],[NumL]],T_suiviDi[#Data],COLUMN(T_suiviDi[Email]),FALSE)&lt;&gt;"",VLOOKUP(T_Commission[[#This Row],[NumL]],T_suiviDi[#Data],COLUMN(T_suiviDi[Email]),FALSE),""),"")</f>
        <v/>
      </c>
      <c r="F163" s="274" t="str">
        <f>IFERROR(IF(VLOOKUP(T_Commission[[#This Row],[NumL]],T_suiviDi[#Data],COLUMN(T_suiviDi[[#This Row],[Nom1]]),FALSE)&lt;&gt;"",VLOOKUP(T_Commission[[#This Row],[NumL]],T_suiviDi[#Data],COLUMN(T_suiviDi[[#This Row],[Nom1]]),FALSE),""),"")</f>
        <v/>
      </c>
      <c r="G163" s="274" t="str">
        <f>IFERROR(IF(VLOOKUP(T_Commission[[#This Row],[NumL]],T_suiviDi[#Data],COLUMN(T_suiviDi[[#This Row],[Prénom1]]),FALSE)&lt;&gt;"",VLOOKUP(T_Commission[[#This Row],[NumL]],T_suiviDi[#Data],COLUMN(T_suiviDi[[#This Row],[Prénom1]]),FALSE),""),"")</f>
        <v/>
      </c>
      <c r="H163" s="274" t="str">
        <f>IFERROR(IF(VLOOKUP(T_Commission[[#This Row],[NumL]],T_suiviDi[#Data],COLUMN(T_suiviDi[[#This Row],[Email1]]),FALSE)&lt;&gt;"",VLOOKUP(T_Commission[[#This Row],[NumL]],T_suiviDi[#Data],COLUMN(T_suiviDi[[#This Row],[Email1]]),FALSE),""),"")</f>
        <v/>
      </c>
      <c r="I163" s="142" t="str">
        <f>IFERROR(VLOOKUP(T_Commission[[#This Row],[NumL]],T_TraitDi[#Data],COLUMN(T_TraitDi[[#This Row],[CTRL_PJ]]),FALSE),"")</f>
        <v/>
      </c>
      <c r="J163" s="142" t="str">
        <f>IF(T_Commission[[#This Row],[Nom]]&lt;&gt;"",IFERROR(VLOOKUP(T_Commission[[#This Row],[NumL]],T_TraitDi[#Data],COLUMN(T_TraitDi[[#This Row],[C10]]),FALSE),""),"")</f>
        <v/>
      </c>
      <c r="K163" s="142" t="str">
        <f>IFERROR(IF(VLOOKUP(T_Commission[[#This Row],[NumL]],T_suiviDi[#Data],COLUMN(T_suiviDi[[#This Row],[Avis n+1]]),FALSE)&lt;&gt;"",VLOOKUP(A163,T_suiviDi[#Data],COLUMN(T_suiviDi[[#This Row],[Avis n+1]]),FALSE),""),"")</f>
        <v/>
      </c>
      <c r="L163" s="142" t="str">
        <f>IFERROR(IF(VLOOKUP(T_Commission[[#This Row],[NumL]],T_suiviDi[#Data],COLUMN(T_suiviDi[[#This Row],[Avis n+2]]),FALSE)&lt;&gt;"",VLOOKUP(T_Commission[[#This Row],[NumL]],T_suiviDi[#Data],COLUMN(T_suiviDi[[#This Row],[Avis n+2]]),FALSE),""),"")</f>
        <v/>
      </c>
      <c r="M163" s="49">
        <v>1</v>
      </c>
      <c r="N163" s="49"/>
      <c r="O163" s="143" t="str">
        <f>IF(T_Commission[[#This Row],[Nom]]&lt;&gt;"",IF(T_Commission[[#This Row],[COM '#2]]&lt;&gt;"",MAX(T_Commission[[#This Row],[PJ]],T_Commission[[#This Row],[COM '#2]]),IF(T_Commission[[#This Row],[COM '#1]]&lt;&gt;"",MAX(T_Commission[[#This Row],[PJ]],T_Commission[[#This Row],[COM '#1]]),"")),"")</f>
        <v/>
      </c>
      <c r="P163" s="55" t="s">
        <v>115</v>
      </c>
      <c r="Q163" s="55" t="s">
        <v>3277</v>
      </c>
      <c r="R163" s="55" t="s">
        <v>3277</v>
      </c>
      <c r="S163" s="56"/>
      <c r="T163" s="144"/>
    </row>
    <row r="164" spans="1:20" s="93" customFormat="1" ht="30" customHeight="1" x14ac:dyDescent="0.25">
      <c r="A164" s="90">
        <v>267</v>
      </c>
      <c r="B164" s="130" t="str">
        <f>IFERROR(IF(VLOOKUP(T_Commission[[#This Row],[NumL]],T_TraitDi[#Data],COLUMN(T_TraitDi[[#This Row],[Statut]]),FALSE)&lt;&gt;"",VLOOKUP(T_Commission[[#This Row],[NumL]],T_TraitDi[#Data],COLUMN(T_TraitDi[[#This Row],[Statut]]),FALSE),""),"")</f>
        <v/>
      </c>
      <c r="C164" s="19" t="str">
        <f>IFERROR(IF(VLOOKUP(T_Commission[[#This Row],[NumL]],T_suiviDi[#Data],COLUMN(T_suiviDi[Nom]),FALSE)&lt;&gt;"",VLOOKUP(T_Commission[[#This Row],[NumL]],T_suiviDi[#Data],COLUMN(T_suiviDi[Nom]),FALSE),""),"")</f>
        <v/>
      </c>
      <c r="D164" s="19" t="str">
        <f>IFERROR(IF(VLOOKUP(T_Commission[[#This Row],[NumL]],T_suiviDi[#Data],COLUMN(T_suiviDi[Prénom]),FALSE)&lt;&gt;"",VLOOKUP(T_Commission[[#This Row],[NumL]],T_suiviDi[#Data],COLUMN(T_suiviDi[Prénom]),FALSE),""),"")</f>
        <v/>
      </c>
      <c r="E164" s="20" t="str">
        <f>IFERROR(IF(VLOOKUP(T_Commission[[#This Row],[NumL]],T_suiviDi[#Data],COLUMN(T_suiviDi[Email]),FALSE)&lt;&gt;"",VLOOKUP(T_Commission[[#This Row],[NumL]],T_suiviDi[#Data],COLUMN(T_suiviDi[Email]),FALSE),""),"")</f>
        <v/>
      </c>
      <c r="F164" s="274" t="str">
        <f>IFERROR(IF(VLOOKUP(T_Commission[[#This Row],[NumL]],T_suiviDi[#Data],COLUMN(T_suiviDi[[#This Row],[Nom1]]),FALSE)&lt;&gt;"",VLOOKUP(T_Commission[[#This Row],[NumL]],T_suiviDi[#Data],COLUMN(T_suiviDi[[#This Row],[Nom1]]),FALSE),""),"")</f>
        <v/>
      </c>
      <c r="G164" s="274" t="str">
        <f>IFERROR(IF(VLOOKUP(T_Commission[[#This Row],[NumL]],T_suiviDi[#Data],COLUMN(T_suiviDi[[#This Row],[Prénom1]]),FALSE)&lt;&gt;"",VLOOKUP(T_Commission[[#This Row],[NumL]],T_suiviDi[#Data],COLUMN(T_suiviDi[[#This Row],[Prénom1]]),FALSE),""),"")</f>
        <v/>
      </c>
      <c r="H164" s="274" t="str">
        <f>IFERROR(IF(VLOOKUP(T_Commission[[#This Row],[NumL]],T_suiviDi[#Data],COLUMN(T_suiviDi[[#This Row],[Email1]]),FALSE)&lt;&gt;"",VLOOKUP(T_Commission[[#This Row],[NumL]],T_suiviDi[#Data],COLUMN(T_suiviDi[[#This Row],[Email1]]),FALSE),""),"")</f>
        <v/>
      </c>
      <c r="I164" s="142" t="str">
        <f>IFERROR(VLOOKUP(T_Commission[[#This Row],[NumL]],T_TraitDi[#Data],COLUMN(T_TraitDi[[#This Row],[CTRL_PJ]]),FALSE),"")</f>
        <v/>
      </c>
      <c r="J164" s="142" t="str">
        <f>IF(T_Commission[[#This Row],[Nom]]&lt;&gt;"",IFERROR(VLOOKUP(T_Commission[[#This Row],[NumL]],T_TraitDi[#Data],COLUMN(T_TraitDi[[#This Row],[C10]]),FALSE),""),"")</f>
        <v/>
      </c>
      <c r="K164" s="142" t="str">
        <f>IFERROR(IF(VLOOKUP(T_Commission[[#This Row],[NumL]],T_suiviDi[#Data],COLUMN(T_suiviDi[[#This Row],[Avis n+1]]),FALSE)&lt;&gt;"",VLOOKUP(A164,T_suiviDi[#Data],COLUMN(T_suiviDi[[#This Row],[Avis n+1]]),FALSE),""),"")</f>
        <v/>
      </c>
      <c r="L164" s="142" t="str">
        <f>IFERROR(IF(VLOOKUP(T_Commission[[#This Row],[NumL]],T_suiviDi[#Data],COLUMN(T_suiviDi[[#This Row],[Avis n+2]]),FALSE)&lt;&gt;"",VLOOKUP(T_Commission[[#This Row],[NumL]],T_suiviDi[#Data],COLUMN(T_suiviDi[[#This Row],[Avis n+2]]),FALSE),""),"")</f>
        <v/>
      </c>
      <c r="M164" s="49">
        <v>1</v>
      </c>
      <c r="N164" s="49"/>
      <c r="O164" s="143" t="str">
        <f>IF(T_Commission[[#This Row],[Nom]]&lt;&gt;"",IF(T_Commission[[#This Row],[COM '#2]]&lt;&gt;"",MAX(T_Commission[[#This Row],[PJ]],T_Commission[[#This Row],[COM '#2]]),IF(T_Commission[[#This Row],[COM '#1]]&lt;&gt;"",MAX(T_Commission[[#This Row],[PJ]],T_Commission[[#This Row],[COM '#1]]),"")),"")</f>
        <v/>
      </c>
      <c r="P164" s="55" t="s">
        <v>115</v>
      </c>
      <c r="Q164" s="55" t="s">
        <v>3277</v>
      </c>
      <c r="R164" s="55" t="s">
        <v>3277</v>
      </c>
      <c r="S164" s="56"/>
      <c r="T164" s="144"/>
    </row>
    <row r="165" spans="1:20" s="93" customFormat="1" ht="30" customHeight="1" x14ac:dyDescent="0.25">
      <c r="A165" s="90">
        <v>182</v>
      </c>
      <c r="B165" s="130" t="str">
        <f>IFERROR(IF(VLOOKUP(T_Commission[[#This Row],[NumL]],T_TraitDi[#Data],COLUMN(T_TraitDi[[#This Row],[Statut]]),FALSE)&lt;&gt;"",VLOOKUP(T_Commission[[#This Row],[NumL]],T_TraitDi[#Data],COLUMN(T_TraitDi[[#This Row],[Statut]]),FALSE),""),"")</f>
        <v/>
      </c>
      <c r="C165" s="19" t="str">
        <f>IFERROR(IF(VLOOKUP(T_Commission[[#This Row],[NumL]],T_suiviDi[#Data],COLUMN(T_suiviDi[Nom]),FALSE)&lt;&gt;"",VLOOKUP(T_Commission[[#This Row],[NumL]],T_suiviDi[#Data],COLUMN(T_suiviDi[Nom]),FALSE),""),"")</f>
        <v/>
      </c>
      <c r="D165" s="19" t="str">
        <f>IFERROR(IF(VLOOKUP(T_Commission[[#This Row],[NumL]],T_suiviDi[#Data],COLUMN(T_suiviDi[Prénom]),FALSE)&lt;&gt;"",VLOOKUP(T_Commission[[#This Row],[NumL]],T_suiviDi[#Data],COLUMN(T_suiviDi[Prénom]),FALSE),""),"")</f>
        <v/>
      </c>
      <c r="E165" s="20" t="str">
        <f>IFERROR(IF(VLOOKUP(T_Commission[[#This Row],[NumL]],T_suiviDi[#Data],COLUMN(T_suiviDi[Email]),FALSE)&lt;&gt;"",VLOOKUP(T_Commission[[#This Row],[NumL]],T_suiviDi[#Data],COLUMN(T_suiviDi[Email]),FALSE),""),"")</f>
        <v/>
      </c>
      <c r="F165" s="274" t="str">
        <f>IFERROR(IF(VLOOKUP(T_Commission[[#This Row],[NumL]],T_suiviDi[#Data],COLUMN(T_suiviDi[[#This Row],[Nom1]]),FALSE)&lt;&gt;"",VLOOKUP(T_Commission[[#This Row],[NumL]],T_suiviDi[#Data],COLUMN(T_suiviDi[[#This Row],[Nom1]]),FALSE),""),"")</f>
        <v/>
      </c>
      <c r="G165" s="274" t="str">
        <f>IFERROR(IF(VLOOKUP(T_Commission[[#This Row],[NumL]],T_suiviDi[#Data],COLUMN(T_suiviDi[[#This Row],[Prénom1]]),FALSE)&lt;&gt;"",VLOOKUP(T_Commission[[#This Row],[NumL]],T_suiviDi[#Data],COLUMN(T_suiviDi[[#This Row],[Prénom1]]),FALSE),""),"")</f>
        <v/>
      </c>
      <c r="H165" s="274" t="str">
        <f>IFERROR(IF(VLOOKUP(T_Commission[[#This Row],[NumL]],T_suiviDi[#Data],COLUMN(T_suiviDi[[#This Row],[Email1]]),FALSE)&lt;&gt;"",VLOOKUP(T_Commission[[#This Row],[NumL]],T_suiviDi[#Data],COLUMN(T_suiviDi[[#This Row],[Email1]]),FALSE),""),"")</f>
        <v/>
      </c>
      <c r="I165" s="142" t="str">
        <f>IFERROR(VLOOKUP(T_Commission[[#This Row],[NumL]],T_TraitDi[#Data],COLUMN(T_TraitDi[[#This Row],[CTRL_PJ]]),FALSE),"")</f>
        <v/>
      </c>
      <c r="J165" s="142" t="str">
        <f>IF(T_Commission[[#This Row],[Nom]]&lt;&gt;"",IFERROR(VLOOKUP(T_Commission[[#This Row],[NumL]],T_TraitDi[#Data],COLUMN(T_TraitDi[[#This Row],[C10]]),FALSE),""),"")</f>
        <v/>
      </c>
      <c r="K165" s="142" t="str">
        <f>IFERROR(IF(VLOOKUP(T_Commission[[#This Row],[NumL]],T_suiviDi[#Data],COLUMN(T_suiviDi[[#This Row],[Avis n+1]]),FALSE)&lt;&gt;"",VLOOKUP(A165,T_suiviDi[#Data],COLUMN(T_suiviDi[[#This Row],[Avis n+1]]),FALSE),""),"")</f>
        <v/>
      </c>
      <c r="L165" s="142" t="str">
        <f>IFERROR(IF(VLOOKUP(T_Commission[[#This Row],[NumL]],T_suiviDi[#Data],COLUMN(T_suiviDi[[#This Row],[Avis n+2]]),FALSE)&lt;&gt;"",VLOOKUP(T_Commission[[#This Row],[NumL]],T_suiviDi[#Data],COLUMN(T_suiviDi[[#This Row],[Avis n+2]]),FALSE),""),"")</f>
        <v/>
      </c>
      <c r="M165" s="49">
        <v>1</v>
      </c>
      <c r="N165" s="49"/>
      <c r="O165" s="143" t="str">
        <f>IF(T_Commission[[#This Row],[Nom]]&lt;&gt;"",IF(T_Commission[[#This Row],[COM '#2]]&lt;&gt;"",MAX(T_Commission[[#This Row],[PJ]],T_Commission[[#This Row],[COM '#2]]),IF(T_Commission[[#This Row],[COM '#1]]&lt;&gt;"",MAX(T_Commission[[#This Row],[PJ]],T_Commission[[#This Row],[COM '#1]]),"")),"")</f>
        <v/>
      </c>
      <c r="P165" s="55" t="s">
        <v>115</v>
      </c>
      <c r="Q165" s="55" t="s">
        <v>3277</v>
      </c>
      <c r="R165" s="55" t="s">
        <v>3277</v>
      </c>
      <c r="S165" s="56"/>
      <c r="T165" s="144"/>
    </row>
    <row r="166" spans="1:20" s="93" customFormat="1" ht="30" customHeight="1" x14ac:dyDescent="0.25">
      <c r="A166" s="90">
        <v>275</v>
      </c>
      <c r="B166" s="130" t="str">
        <f>IFERROR(IF(VLOOKUP(T_Commission[[#This Row],[NumL]],T_TraitDi[#Data],COLUMN(T_TraitDi[[#This Row],[Statut]]),FALSE)&lt;&gt;"",VLOOKUP(T_Commission[[#This Row],[NumL]],T_TraitDi[#Data],COLUMN(T_TraitDi[[#This Row],[Statut]]),FALSE),""),"")</f>
        <v/>
      </c>
      <c r="C166" s="19" t="str">
        <f>IFERROR(IF(VLOOKUP(T_Commission[[#This Row],[NumL]],T_suiviDi[#Data],COLUMN(T_suiviDi[Nom]),FALSE)&lt;&gt;"",VLOOKUP(T_Commission[[#This Row],[NumL]],T_suiviDi[#Data],COLUMN(T_suiviDi[Nom]),FALSE),""),"")</f>
        <v/>
      </c>
      <c r="D166" s="19" t="str">
        <f>IFERROR(IF(VLOOKUP(T_Commission[[#This Row],[NumL]],T_suiviDi[#Data],COLUMN(T_suiviDi[Prénom]),FALSE)&lt;&gt;"",VLOOKUP(T_Commission[[#This Row],[NumL]],T_suiviDi[#Data],COLUMN(T_suiviDi[Prénom]),FALSE),""),"")</f>
        <v/>
      </c>
      <c r="E166" s="20" t="str">
        <f>IFERROR(IF(VLOOKUP(T_Commission[[#This Row],[NumL]],T_suiviDi[#Data],COLUMN(T_suiviDi[Email]),FALSE)&lt;&gt;"",VLOOKUP(T_Commission[[#This Row],[NumL]],T_suiviDi[#Data],COLUMN(T_suiviDi[Email]),FALSE),""),"")</f>
        <v/>
      </c>
      <c r="F166" s="274" t="str">
        <f>IFERROR(IF(VLOOKUP(T_Commission[[#This Row],[NumL]],T_suiviDi[#Data],COLUMN(T_suiviDi[[#This Row],[Nom1]]),FALSE)&lt;&gt;"",VLOOKUP(T_Commission[[#This Row],[NumL]],T_suiviDi[#Data],COLUMN(T_suiviDi[[#This Row],[Nom1]]),FALSE),""),"")</f>
        <v/>
      </c>
      <c r="G166" s="274" t="str">
        <f>IFERROR(IF(VLOOKUP(T_Commission[[#This Row],[NumL]],T_suiviDi[#Data],COLUMN(T_suiviDi[[#This Row],[Prénom1]]),FALSE)&lt;&gt;"",VLOOKUP(T_Commission[[#This Row],[NumL]],T_suiviDi[#Data],COLUMN(T_suiviDi[[#This Row],[Prénom1]]),FALSE),""),"")</f>
        <v/>
      </c>
      <c r="H166" s="274" t="str">
        <f>IFERROR(IF(VLOOKUP(T_Commission[[#This Row],[NumL]],T_suiviDi[#Data],COLUMN(T_suiviDi[[#This Row],[Email1]]),FALSE)&lt;&gt;"",VLOOKUP(T_Commission[[#This Row],[NumL]],T_suiviDi[#Data],COLUMN(T_suiviDi[[#This Row],[Email1]]),FALSE),""),"")</f>
        <v/>
      </c>
      <c r="I166" s="142" t="str">
        <f>IFERROR(VLOOKUP(T_Commission[[#This Row],[NumL]],T_TraitDi[#Data],COLUMN(T_TraitDi[[#This Row],[CTRL_PJ]]),FALSE),"")</f>
        <v/>
      </c>
      <c r="J166" s="142" t="str">
        <f>IF(T_Commission[[#This Row],[Nom]]&lt;&gt;"",IFERROR(VLOOKUP(T_Commission[[#This Row],[NumL]],T_TraitDi[#Data],COLUMN(T_TraitDi[[#This Row],[C10]]),FALSE),""),"")</f>
        <v/>
      </c>
      <c r="K166" s="142" t="str">
        <f>IFERROR(IF(VLOOKUP(T_Commission[[#This Row],[NumL]],T_suiviDi[#Data],COLUMN(T_suiviDi[[#This Row],[Avis n+1]]),FALSE)&lt;&gt;"",VLOOKUP(A166,T_suiviDi[#Data],COLUMN(T_suiviDi[[#This Row],[Avis n+1]]),FALSE),""),"")</f>
        <v/>
      </c>
      <c r="L166" s="142" t="str">
        <f>IFERROR(IF(VLOOKUP(T_Commission[[#This Row],[NumL]],T_suiviDi[#Data],COLUMN(T_suiviDi[[#This Row],[Avis n+2]]),FALSE)&lt;&gt;"",VLOOKUP(T_Commission[[#This Row],[NumL]],T_suiviDi[#Data],COLUMN(T_suiviDi[[#This Row],[Avis n+2]]),FALSE),""),"")</f>
        <v/>
      </c>
      <c r="M166" s="49">
        <v>1</v>
      </c>
      <c r="N166" s="49"/>
      <c r="O166" s="143" t="str">
        <f>IF(T_Commission[[#This Row],[Nom]]&lt;&gt;"",IF(T_Commission[[#This Row],[COM '#2]]&lt;&gt;"",MAX(T_Commission[[#This Row],[PJ]],T_Commission[[#This Row],[COM '#2]]),IF(T_Commission[[#This Row],[COM '#1]]&lt;&gt;"",MAX(T_Commission[[#This Row],[PJ]],T_Commission[[#This Row],[COM '#1]]),"")),"")</f>
        <v/>
      </c>
      <c r="P166" s="55" t="s">
        <v>115</v>
      </c>
      <c r="Q166" s="55" t="s">
        <v>3277</v>
      </c>
      <c r="R166" s="55" t="s">
        <v>3277</v>
      </c>
      <c r="S166" s="56"/>
      <c r="T166" s="144"/>
    </row>
    <row r="167" spans="1:20" s="93" customFormat="1" ht="30" customHeight="1" x14ac:dyDescent="0.25">
      <c r="A167" s="90">
        <v>133</v>
      </c>
      <c r="B167" s="130" t="str">
        <f>IFERROR(IF(VLOOKUP(T_Commission[[#This Row],[NumL]],T_TraitDi[#Data],COLUMN(T_TraitDi[[#This Row],[Statut]]),FALSE)&lt;&gt;"",VLOOKUP(T_Commission[[#This Row],[NumL]],T_TraitDi[#Data],COLUMN(T_TraitDi[[#This Row],[Statut]]),FALSE),""),"")</f>
        <v/>
      </c>
      <c r="C167" s="19" t="str">
        <f>IFERROR(IF(VLOOKUP(T_Commission[[#This Row],[NumL]],T_suiviDi[#Data],COLUMN(T_suiviDi[Nom]),FALSE)&lt;&gt;"",VLOOKUP(T_Commission[[#This Row],[NumL]],T_suiviDi[#Data],COLUMN(T_suiviDi[Nom]),FALSE),""),"")</f>
        <v/>
      </c>
      <c r="D167" s="19" t="str">
        <f>IFERROR(IF(VLOOKUP(T_Commission[[#This Row],[NumL]],T_suiviDi[#Data],COLUMN(T_suiviDi[Prénom]),FALSE)&lt;&gt;"",VLOOKUP(T_Commission[[#This Row],[NumL]],T_suiviDi[#Data],COLUMN(T_suiviDi[Prénom]),FALSE),""),"")</f>
        <v/>
      </c>
      <c r="E167" s="20" t="str">
        <f>IFERROR(IF(VLOOKUP(T_Commission[[#This Row],[NumL]],T_suiviDi[#Data],COLUMN(T_suiviDi[Email]),FALSE)&lt;&gt;"",VLOOKUP(T_Commission[[#This Row],[NumL]],T_suiviDi[#Data],COLUMN(T_suiviDi[Email]),FALSE),""),"")</f>
        <v/>
      </c>
      <c r="F167" s="274" t="str">
        <f>IFERROR(IF(VLOOKUP(T_Commission[[#This Row],[NumL]],T_suiviDi[#Data],COLUMN(T_suiviDi[[#This Row],[Nom1]]),FALSE)&lt;&gt;"",VLOOKUP(T_Commission[[#This Row],[NumL]],T_suiviDi[#Data],COLUMN(T_suiviDi[[#This Row],[Nom1]]),FALSE),""),"")</f>
        <v/>
      </c>
      <c r="G167" s="274" t="str">
        <f>IFERROR(IF(VLOOKUP(T_Commission[[#This Row],[NumL]],T_suiviDi[#Data],COLUMN(T_suiviDi[[#This Row],[Prénom1]]),FALSE)&lt;&gt;"",VLOOKUP(T_Commission[[#This Row],[NumL]],T_suiviDi[#Data],COLUMN(T_suiviDi[[#This Row],[Prénom1]]),FALSE),""),"")</f>
        <v/>
      </c>
      <c r="H167" s="274" t="str">
        <f>IFERROR(IF(VLOOKUP(T_Commission[[#This Row],[NumL]],T_suiviDi[#Data],COLUMN(T_suiviDi[[#This Row],[Email1]]),FALSE)&lt;&gt;"",VLOOKUP(T_Commission[[#This Row],[NumL]],T_suiviDi[#Data],COLUMN(T_suiviDi[[#This Row],[Email1]]),FALSE),""),"")</f>
        <v/>
      </c>
      <c r="I167" s="142" t="str">
        <f>IFERROR(VLOOKUP(T_Commission[[#This Row],[NumL]],T_TraitDi[#Data],COLUMN(T_TraitDi[[#This Row],[CTRL_PJ]]),FALSE),"")</f>
        <v/>
      </c>
      <c r="J167" s="142" t="str">
        <f>IF(T_Commission[[#This Row],[Nom]]&lt;&gt;"",IFERROR(VLOOKUP(T_Commission[[#This Row],[NumL]],T_TraitDi[#Data],COLUMN(T_TraitDi[[#This Row],[C10]]),FALSE),""),"")</f>
        <v/>
      </c>
      <c r="K167" s="142" t="str">
        <f>IFERROR(IF(VLOOKUP(T_Commission[[#This Row],[NumL]],T_suiviDi[#Data],COLUMN(T_suiviDi[[#This Row],[Avis n+1]]),FALSE)&lt;&gt;"",VLOOKUP(A167,T_suiviDi[#Data],COLUMN(T_suiviDi[[#This Row],[Avis n+1]]),FALSE),""),"")</f>
        <v/>
      </c>
      <c r="L167" s="142" t="str">
        <f>IFERROR(IF(VLOOKUP(T_Commission[[#This Row],[NumL]],T_suiviDi[#Data],COLUMN(T_suiviDi[[#This Row],[Avis n+2]]),FALSE)&lt;&gt;"",VLOOKUP(T_Commission[[#This Row],[NumL]],T_suiviDi[#Data],COLUMN(T_suiviDi[[#This Row],[Avis n+2]]),FALSE),""),"")</f>
        <v/>
      </c>
      <c r="M167" s="49">
        <v>1</v>
      </c>
      <c r="N167" s="49"/>
      <c r="O167" s="143" t="str">
        <f>IF(T_Commission[[#This Row],[Nom]]&lt;&gt;"",IF(T_Commission[[#This Row],[COM '#2]]&lt;&gt;"",MAX(T_Commission[[#This Row],[PJ]],T_Commission[[#This Row],[COM '#2]]),IF(T_Commission[[#This Row],[COM '#1]]&lt;&gt;"",MAX(T_Commission[[#This Row],[PJ]],T_Commission[[#This Row],[COM '#1]]),"")),"")</f>
        <v/>
      </c>
      <c r="P167" s="55" t="s">
        <v>115</v>
      </c>
      <c r="Q167" s="55" t="s">
        <v>3277</v>
      </c>
      <c r="R167" s="55"/>
      <c r="S167" s="56"/>
      <c r="T167" s="144"/>
    </row>
    <row r="168" spans="1:20" s="93" customFormat="1" ht="30" customHeight="1" x14ac:dyDescent="0.25">
      <c r="A168" s="90">
        <v>321</v>
      </c>
      <c r="B168" s="130" t="str">
        <f>IFERROR(IF(VLOOKUP(T_Commission[[#This Row],[NumL]],T_TraitDi[#Data],COLUMN(T_TraitDi[[#This Row],[Statut]]),FALSE)&lt;&gt;"",VLOOKUP(T_Commission[[#This Row],[NumL]],T_TraitDi[#Data],COLUMN(T_TraitDi[[#This Row],[Statut]]),FALSE),""),"")</f>
        <v/>
      </c>
      <c r="C168" s="139" t="str">
        <f>IFERROR(IF(VLOOKUP(T_Commission[[#This Row],[NumL]],T_suiviDi[#Data],COLUMN(T_suiviDi[[#This Row],[Nom]]),FALSE)&lt;&gt;"",VLOOKUP(T_Commission[[#This Row],[NumL]],T_suiviDi[#Data],COLUMN(T_suiviDi[[#This Row],[Nom]]),FALSE),""),"")</f>
        <v/>
      </c>
      <c r="D168" s="139" t="str">
        <f>IFERROR(IF(VLOOKUP(T_Commission[[#This Row],[NumL]],T_suiviDi[#Data],COLUMN(T_suiviDi[[#This Row],[Prénom]]),FALSE)&lt;&gt;"",VLOOKUP(T_Commission[[#This Row],[NumL]],T_suiviDi[#Data],COLUMN(T_suiviDi[[#This Row],[Prénom]]),FALSE),""),"")</f>
        <v/>
      </c>
      <c r="E168" s="140" t="str">
        <f>IFERROR(IF(VLOOKUP(T_Commission[[#This Row],[NumL]],T_suiviDi[#Data],COLUMN(T_suiviDi[[#This Row],[Email]]),FALSE)&lt;&gt;"",VLOOKUP(T_Commission[[#This Row],[NumL]],T_suiviDi[#Data],COLUMN(T_suiviDi[[#This Row],[Email]]),FALSE),""),"")</f>
        <v/>
      </c>
      <c r="F168" s="141" t="str">
        <f>IFERROR(IF(VLOOKUP(T_Commission[[#This Row],[NumL]],T_suiviDi[#Data],COLUMN(T_suiviDi[[#This Row],[Nom1]]),FALSE)&lt;&gt;"",VLOOKUP(T_Commission[[#This Row],[NumL]],T_suiviDi[#Data],COLUMN(T_suiviDi[[#This Row],[Nom1]]),FALSE),""),"")</f>
        <v/>
      </c>
      <c r="G168" s="141" t="str">
        <f>IFERROR(IF(VLOOKUP(T_Commission[[#This Row],[NumL]],T_suiviDi[#Data],COLUMN(T_suiviDi[[#This Row],[Prénom1]]),FALSE)&lt;&gt;"",VLOOKUP(T_Commission[[#This Row],[NumL]],T_suiviDi[#Data],COLUMN(T_suiviDi[[#This Row],[Prénom1]]),FALSE),""),"")</f>
        <v/>
      </c>
      <c r="H168" s="141" t="str">
        <f>IFERROR(IF(VLOOKUP(T_Commission[[#This Row],[NumL]],T_suiviDi[#Data],COLUMN(T_suiviDi[[#This Row],[Email1]]),FALSE)&lt;&gt;"",VLOOKUP(T_Commission[[#This Row],[NumL]],T_suiviDi[#Data],COLUMN(T_suiviDi[[#This Row],[Email1]]),FALSE),""),"")</f>
        <v/>
      </c>
      <c r="I168" s="142" t="str">
        <f>IFERROR(VLOOKUP(T_Commission[[#This Row],[NumL]],T_TraitDi[#Data],COLUMN(T_TraitDi[[#This Row],[CTRL_PJ]]),FALSE),"")</f>
        <v/>
      </c>
      <c r="J168" s="142" t="str">
        <f>IF(C168&lt;&gt;"",IFERROR(VLOOKUP(A168,'2- Traitement des DI'!BV32,FALSE),""),"")</f>
        <v/>
      </c>
      <c r="K168" s="142" t="str">
        <f>IFERROR(IF(VLOOKUP(T_Commission[[#This Row],[NumL]],T_suiviDi[#Data],COLUMN(T_suiviDi[[#This Row],[Avis n+1]]),FALSE)&lt;&gt;"",VLOOKUP(A168,T_suiviDi[#Data],COLUMN(T_suiviDi[[#This Row],[Avis n+1]]),FALSE),""),"")</f>
        <v/>
      </c>
      <c r="L168" s="142" t="str">
        <f>IFERROR(IF(VLOOKUP(A168,ListeDI,27,FALSE)&lt;&gt;"",VLOOKUP(A168,ListeDI,27,FALSE),""),"")</f>
        <v/>
      </c>
      <c r="M168" s="49">
        <v>1</v>
      </c>
      <c r="N168" s="49"/>
      <c r="O168" s="143" t="str">
        <f>IF(C168&lt;&gt;"",IF(N168&lt;&gt;"",MAX(I168,N168),IF(M168&lt;&gt;"",MAX(I168,M168),"")),"")</f>
        <v/>
      </c>
      <c r="P168" s="55" t="s">
        <v>115</v>
      </c>
      <c r="Q168" s="55" t="s">
        <v>3277</v>
      </c>
      <c r="R168" s="55" t="s">
        <v>3277</v>
      </c>
      <c r="S168" s="56"/>
      <c r="T168" s="144"/>
    </row>
    <row r="169" spans="1:20" s="93" customFormat="1" ht="30" customHeight="1" x14ac:dyDescent="0.25">
      <c r="A169" s="90">
        <v>238</v>
      </c>
      <c r="B169" s="130" t="str">
        <f>IFERROR(IF(VLOOKUP(T_Commission[[#This Row],[NumL]],T_TraitDi[#Data],COLUMN(T_TraitDi[[#This Row],[Statut]]),FALSE)&lt;&gt;"",VLOOKUP(T_Commission[[#This Row],[NumL]],T_TraitDi[#Data],COLUMN(T_TraitDi[[#This Row],[Statut]]),FALSE),""),"")</f>
        <v/>
      </c>
      <c r="C169" s="19" t="str">
        <f>IFERROR(IF(VLOOKUP(T_Commission[[#This Row],[NumL]],T_suiviDi[#Data],COLUMN(T_suiviDi[Nom]),FALSE)&lt;&gt;"",VLOOKUP(T_Commission[[#This Row],[NumL]],T_suiviDi[#Data],COLUMN(T_suiviDi[Nom]),FALSE),""),"")</f>
        <v/>
      </c>
      <c r="D169" s="19" t="str">
        <f>IFERROR(IF(VLOOKUP(T_Commission[[#This Row],[NumL]],T_suiviDi[#Data],COLUMN(T_suiviDi[Prénom]),FALSE)&lt;&gt;"",VLOOKUP(T_Commission[[#This Row],[NumL]],T_suiviDi[#Data],COLUMN(T_suiviDi[Prénom]),FALSE),""),"")</f>
        <v/>
      </c>
      <c r="E169" s="20" t="str">
        <f>IFERROR(IF(VLOOKUP(T_Commission[[#This Row],[NumL]],T_suiviDi[#Data],COLUMN(T_suiviDi[Email]),FALSE)&lt;&gt;"",VLOOKUP(T_Commission[[#This Row],[NumL]],T_suiviDi[#Data],COLUMN(T_suiviDi[Email]),FALSE),""),"")</f>
        <v/>
      </c>
      <c r="F169" s="274" t="str">
        <f>IFERROR(IF(VLOOKUP(T_Commission[[#This Row],[NumL]],T_suiviDi[#Data],COLUMN(T_suiviDi[[#This Row],[Nom1]]),FALSE)&lt;&gt;"",VLOOKUP(T_Commission[[#This Row],[NumL]],T_suiviDi[#Data],COLUMN(T_suiviDi[[#This Row],[Nom1]]),FALSE),""),"")</f>
        <v/>
      </c>
      <c r="G169" s="274" t="str">
        <f>IFERROR(IF(VLOOKUP(T_Commission[[#This Row],[NumL]],T_suiviDi[#Data],COLUMN(T_suiviDi[[#This Row],[Prénom1]]),FALSE)&lt;&gt;"",VLOOKUP(T_Commission[[#This Row],[NumL]],T_suiviDi[#Data],COLUMN(T_suiviDi[[#This Row],[Prénom1]]),FALSE),""),"")</f>
        <v/>
      </c>
      <c r="H169" s="274" t="str">
        <f>IFERROR(IF(VLOOKUP(T_Commission[[#This Row],[NumL]],T_suiviDi[#Data],COLUMN(T_suiviDi[[#This Row],[Email1]]),FALSE)&lt;&gt;"",VLOOKUP(T_Commission[[#This Row],[NumL]],T_suiviDi[#Data],COLUMN(T_suiviDi[[#This Row],[Email1]]),FALSE),""),"")</f>
        <v/>
      </c>
      <c r="I169" s="142" t="str">
        <f>IFERROR(VLOOKUP(T_Commission[[#This Row],[NumL]],T_TraitDi[#Data],COLUMN(T_TraitDi[[#This Row],[CTRL_PJ]]),FALSE),"")</f>
        <v/>
      </c>
      <c r="J169" s="142" t="str">
        <f>IF(T_Commission[[#This Row],[Nom]]&lt;&gt;"",IFERROR(VLOOKUP(T_Commission[[#This Row],[NumL]],T_TraitDi[#Data],COLUMN(T_TraitDi[[#This Row],[C10]]),FALSE),""),"")</f>
        <v/>
      </c>
      <c r="K169" s="142" t="str">
        <f>IFERROR(IF(VLOOKUP(T_Commission[[#This Row],[NumL]],T_suiviDi[#Data],COLUMN(T_suiviDi[[#This Row],[Avis n+1]]),FALSE)&lt;&gt;"",VLOOKUP(A169,T_suiviDi[#Data],COLUMN(T_suiviDi[[#This Row],[Avis n+1]]),FALSE),""),"")</f>
        <v/>
      </c>
      <c r="L169" s="142" t="str">
        <f>IFERROR(IF(VLOOKUP(T_Commission[[#This Row],[NumL]],T_suiviDi[#Data],COLUMN(T_suiviDi[[#This Row],[Avis n+2]]),FALSE)&lt;&gt;"",VLOOKUP(T_Commission[[#This Row],[NumL]],T_suiviDi[#Data],COLUMN(T_suiviDi[[#This Row],[Avis n+2]]),FALSE),""),"")</f>
        <v/>
      </c>
      <c r="M169" s="49">
        <v>1</v>
      </c>
      <c r="N169" s="49"/>
      <c r="O169" s="143" t="str">
        <f>IF(T_Commission[[#This Row],[Nom]]&lt;&gt;"",IF(T_Commission[[#This Row],[COM '#2]]&lt;&gt;"",MAX(T_Commission[[#This Row],[PJ]],T_Commission[[#This Row],[COM '#2]]),IF(T_Commission[[#This Row],[COM '#1]]&lt;&gt;"",MAX(T_Commission[[#This Row],[PJ]],T_Commission[[#This Row],[COM '#1]]),"")),"")</f>
        <v/>
      </c>
      <c r="P169" s="55" t="s">
        <v>115</v>
      </c>
      <c r="Q169" s="55" t="s">
        <v>3277</v>
      </c>
      <c r="R169" s="55" t="s">
        <v>3277</v>
      </c>
      <c r="S169" s="56"/>
      <c r="T169" s="144"/>
    </row>
    <row r="170" spans="1:20" s="93" customFormat="1" ht="30" customHeight="1" x14ac:dyDescent="0.25">
      <c r="A170" s="90">
        <v>34</v>
      </c>
      <c r="B170" s="130" t="str">
        <f>IFERROR(IF(VLOOKUP(T_Commission[[#This Row],[NumL]],T_TraitDi[#Data],COLUMN(T_TraitDi[[#This Row],[Statut]]),FALSE)&lt;&gt;"",VLOOKUP(T_Commission[[#This Row],[NumL]],T_TraitDi[#Data],COLUMN(T_TraitDi[[#This Row],[Statut]]),FALSE),""),"")</f>
        <v/>
      </c>
      <c r="C170" s="19" t="str">
        <f>IFERROR(IF(VLOOKUP(T_Commission[[#This Row],[NumL]],T_suiviDi[#Data],COLUMN(T_suiviDi[Nom]),FALSE)&lt;&gt;"",VLOOKUP(T_Commission[[#This Row],[NumL]],T_suiviDi[#Data],COLUMN(T_suiviDi[Nom]),FALSE),""),"")</f>
        <v/>
      </c>
      <c r="D170" s="19" t="str">
        <f>IFERROR(IF(VLOOKUP(T_Commission[[#This Row],[NumL]],T_suiviDi[#Data],COLUMN(T_suiviDi[Prénom]),FALSE)&lt;&gt;"",VLOOKUP(T_Commission[[#This Row],[NumL]],T_suiviDi[#Data],COLUMN(T_suiviDi[Prénom]),FALSE),""),"")</f>
        <v/>
      </c>
      <c r="E170" s="20" t="str">
        <f>IFERROR(IF(VLOOKUP(T_Commission[[#This Row],[NumL]],T_suiviDi[#Data],COLUMN(T_suiviDi[Email]),FALSE)&lt;&gt;"",VLOOKUP(T_Commission[[#This Row],[NumL]],T_suiviDi[#Data],COLUMN(T_suiviDi[Email]),FALSE),""),"")</f>
        <v/>
      </c>
      <c r="F170" s="274" t="str">
        <f>IFERROR(IF(VLOOKUP(T_Commission[[#This Row],[NumL]],T_suiviDi[#Data],COLUMN(T_suiviDi[[#This Row],[Nom1]]),FALSE)&lt;&gt;"",VLOOKUP(T_Commission[[#This Row],[NumL]],T_suiviDi[#Data],COLUMN(T_suiviDi[[#This Row],[Nom1]]),FALSE),""),"")</f>
        <v/>
      </c>
      <c r="G170" s="274" t="str">
        <f>IFERROR(IF(VLOOKUP(T_Commission[[#This Row],[NumL]],T_suiviDi[#Data],COLUMN(T_suiviDi[[#This Row],[Prénom1]]),FALSE)&lt;&gt;"",VLOOKUP(T_Commission[[#This Row],[NumL]],T_suiviDi[#Data],COLUMN(T_suiviDi[[#This Row],[Prénom1]]),FALSE),""),"")</f>
        <v/>
      </c>
      <c r="H170" s="274" t="str">
        <f>IFERROR(IF(VLOOKUP(T_Commission[[#This Row],[NumL]],T_suiviDi[#Data],COLUMN(T_suiviDi[[#This Row],[Email1]]),FALSE)&lt;&gt;"",VLOOKUP(T_Commission[[#This Row],[NumL]],T_suiviDi[#Data],COLUMN(T_suiviDi[[#This Row],[Email1]]),FALSE),""),"")</f>
        <v/>
      </c>
      <c r="I170" s="142" t="str">
        <f>IFERROR(VLOOKUP(T_Commission[[#This Row],[NumL]],T_TraitDi[#Data],COLUMN(T_TraitDi[[#This Row],[CTRL_PJ]]),FALSE),"")</f>
        <v/>
      </c>
      <c r="J170" s="142" t="str">
        <f>IF(T_Commission[[#This Row],[Nom]]&lt;&gt;"",IFERROR(VLOOKUP(T_Commission[[#This Row],[NumL]],T_TraitDi[#Data],COLUMN(T_TraitDi[[#This Row],[C10]]),FALSE),""),"")</f>
        <v/>
      </c>
      <c r="K170" s="142" t="str">
        <f>IFERROR(IF(VLOOKUP(T_Commission[[#This Row],[NumL]],T_suiviDi[#Data],COLUMN(T_suiviDi[[#This Row],[Avis n+1]]),FALSE)&lt;&gt;"",VLOOKUP(A170,T_suiviDi[#Data],COLUMN(T_suiviDi[[#This Row],[Avis n+1]]),FALSE),""),"")</f>
        <v/>
      </c>
      <c r="L170" s="142" t="str">
        <f>IFERROR(IF(VLOOKUP(T_Commission[[#This Row],[NumL]],T_suiviDi[#Data],COLUMN(T_suiviDi[[#This Row],[Avis n+2]]),FALSE)&lt;&gt;"",VLOOKUP(T_Commission[[#This Row],[NumL]],T_suiviDi[#Data],COLUMN(T_suiviDi[[#This Row],[Avis n+2]]),FALSE),""),"")</f>
        <v/>
      </c>
      <c r="M170" s="49">
        <v>1</v>
      </c>
      <c r="N170" s="49"/>
      <c r="O170" s="143" t="str">
        <f>IF(T_Commission[[#This Row],[Nom]]&lt;&gt;"",IF(T_Commission[[#This Row],[COM '#2]]&lt;&gt;"",MAX(T_Commission[[#This Row],[PJ]],T_Commission[[#This Row],[COM '#2]]),IF(T_Commission[[#This Row],[COM '#1]]&lt;&gt;"",MAX(T_Commission[[#This Row],[PJ]],T_Commission[[#This Row],[COM '#1]]),"")),"")</f>
        <v/>
      </c>
      <c r="P170" s="55" t="s">
        <v>115</v>
      </c>
      <c r="Q170" s="55" t="s">
        <v>3277</v>
      </c>
      <c r="R170" s="55" t="s">
        <v>3277</v>
      </c>
      <c r="S170" s="56"/>
      <c r="T170" s="144"/>
    </row>
    <row r="171" spans="1:20" s="93" customFormat="1" ht="30" customHeight="1" x14ac:dyDescent="0.25">
      <c r="A171" s="90">
        <v>144</v>
      </c>
      <c r="B171" s="130" t="str">
        <f>IFERROR(IF(VLOOKUP(T_Commission[[#This Row],[NumL]],T_TraitDi[#Data],COLUMN(T_TraitDi[[#This Row],[Statut]]),FALSE)&lt;&gt;"",VLOOKUP(T_Commission[[#This Row],[NumL]],T_TraitDi[#Data],COLUMN(T_TraitDi[[#This Row],[Statut]]),FALSE),""),"")</f>
        <v/>
      </c>
      <c r="C171" s="19" t="str">
        <f>IFERROR(IF(VLOOKUP(T_Commission[[#This Row],[NumL]],T_suiviDi[#Data],COLUMN(T_suiviDi[Nom]),FALSE)&lt;&gt;"",VLOOKUP(T_Commission[[#This Row],[NumL]],T_suiviDi[#Data],COLUMN(T_suiviDi[Nom]),FALSE),""),"")</f>
        <v/>
      </c>
      <c r="D171" s="19" t="str">
        <f>IFERROR(IF(VLOOKUP(T_Commission[[#This Row],[NumL]],T_suiviDi[#Data],COLUMN(T_suiviDi[Prénom]),FALSE)&lt;&gt;"",VLOOKUP(T_Commission[[#This Row],[NumL]],T_suiviDi[#Data],COLUMN(T_suiviDi[Prénom]),FALSE),""),"")</f>
        <v/>
      </c>
      <c r="E171" s="20" t="str">
        <f>IFERROR(IF(VLOOKUP(T_Commission[[#This Row],[NumL]],T_suiviDi[#Data],COLUMN(T_suiviDi[Email]),FALSE)&lt;&gt;"",VLOOKUP(T_Commission[[#This Row],[NumL]],T_suiviDi[#Data],COLUMN(T_suiviDi[Email]),FALSE),""),"")</f>
        <v/>
      </c>
      <c r="F171" s="274" t="str">
        <f>IFERROR(IF(VLOOKUP(T_Commission[[#This Row],[NumL]],T_suiviDi[#Data],COLUMN(T_suiviDi[[#This Row],[Nom1]]),FALSE)&lt;&gt;"",VLOOKUP(T_Commission[[#This Row],[NumL]],T_suiviDi[#Data],COLUMN(T_suiviDi[[#This Row],[Nom1]]),FALSE),""),"")</f>
        <v/>
      </c>
      <c r="G171" s="274" t="str">
        <f>IFERROR(IF(VLOOKUP(T_Commission[[#This Row],[NumL]],T_suiviDi[#Data],COLUMN(T_suiviDi[[#This Row],[Prénom1]]),FALSE)&lt;&gt;"",VLOOKUP(T_Commission[[#This Row],[NumL]],T_suiviDi[#Data],COLUMN(T_suiviDi[[#This Row],[Prénom1]]),FALSE),""),"")</f>
        <v/>
      </c>
      <c r="H171" s="274" t="str">
        <f>IFERROR(IF(VLOOKUP(T_Commission[[#This Row],[NumL]],T_suiviDi[#Data],COLUMN(T_suiviDi[[#This Row],[Email1]]),FALSE)&lt;&gt;"",VLOOKUP(T_Commission[[#This Row],[NumL]],T_suiviDi[#Data],COLUMN(T_suiviDi[[#This Row],[Email1]]),FALSE),""),"")</f>
        <v/>
      </c>
      <c r="I171" s="142" t="str">
        <f>IFERROR(VLOOKUP(T_Commission[[#This Row],[NumL]],T_TraitDi[#Data],COLUMN(T_TraitDi[[#This Row],[CTRL_PJ]]),FALSE),"")</f>
        <v/>
      </c>
      <c r="J171" s="142" t="str">
        <f>IF(T_Commission[[#This Row],[Nom]]&lt;&gt;"",IFERROR(VLOOKUP(T_Commission[[#This Row],[NumL]],T_TraitDi[#Data],COLUMN(T_TraitDi[[#This Row],[C10]]),FALSE),""),"")</f>
        <v/>
      </c>
      <c r="K171" s="142" t="str">
        <f>IFERROR(IF(VLOOKUP(T_Commission[[#This Row],[NumL]],T_suiviDi[#Data],COLUMN(T_suiviDi[[#This Row],[Avis n+1]]),FALSE)&lt;&gt;"",VLOOKUP(A171,T_suiviDi[#Data],COLUMN(T_suiviDi[[#This Row],[Avis n+1]]),FALSE),""),"")</f>
        <v/>
      </c>
      <c r="L171" s="142" t="str">
        <f>IFERROR(IF(VLOOKUP(T_Commission[[#This Row],[NumL]],T_suiviDi[#Data],COLUMN(T_suiviDi[[#This Row],[Avis n+2]]),FALSE)&lt;&gt;"",VLOOKUP(T_Commission[[#This Row],[NumL]],T_suiviDi[#Data],COLUMN(T_suiviDi[[#This Row],[Avis n+2]]),FALSE),""),"")</f>
        <v/>
      </c>
      <c r="M171" s="49">
        <v>1</v>
      </c>
      <c r="N171" s="49"/>
      <c r="O171" s="143" t="str">
        <f>IF(T_Commission[[#This Row],[Nom]]&lt;&gt;"",IF(T_Commission[[#This Row],[COM '#2]]&lt;&gt;"",MAX(T_Commission[[#This Row],[PJ]],T_Commission[[#This Row],[COM '#2]]),IF(T_Commission[[#This Row],[COM '#1]]&lt;&gt;"",MAX(T_Commission[[#This Row],[PJ]],T_Commission[[#This Row],[COM '#1]]),"")),"")</f>
        <v/>
      </c>
      <c r="P171" s="55" t="s">
        <v>115</v>
      </c>
      <c r="Q171" s="55" t="s">
        <v>3277</v>
      </c>
      <c r="R171" s="55" t="s">
        <v>3277</v>
      </c>
      <c r="S171" s="56"/>
      <c r="T171" s="144"/>
    </row>
    <row r="172" spans="1:20" s="93" customFormat="1" ht="30" customHeight="1" x14ac:dyDescent="0.25">
      <c r="A172" s="90">
        <v>101</v>
      </c>
      <c r="B172" s="130" t="str">
        <f>IFERROR(IF(VLOOKUP(T_Commission[[#This Row],[NumL]],T_TraitDi[#Data],COLUMN(T_TraitDi[[#This Row],[Statut]]),FALSE)&lt;&gt;"",VLOOKUP(T_Commission[[#This Row],[NumL]],T_TraitDi[#Data],COLUMN(T_TraitDi[[#This Row],[Statut]]),FALSE),""),"")</f>
        <v/>
      </c>
      <c r="C172" s="19" t="str">
        <f>IFERROR(IF(VLOOKUP(T_Commission[[#This Row],[NumL]],T_suiviDi[#Data],COLUMN(T_suiviDi[Nom]),FALSE)&lt;&gt;"",VLOOKUP(T_Commission[[#This Row],[NumL]],T_suiviDi[#Data],COLUMN(T_suiviDi[Nom]),FALSE),""),"")</f>
        <v/>
      </c>
      <c r="D172" s="19" t="str">
        <f>IFERROR(IF(VLOOKUP(T_Commission[[#This Row],[NumL]],T_suiviDi[#Data],COLUMN(T_suiviDi[Prénom]),FALSE)&lt;&gt;"",VLOOKUP(T_Commission[[#This Row],[NumL]],T_suiviDi[#Data],COLUMN(T_suiviDi[Prénom]),FALSE),""),"")</f>
        <v/>
      </c>
      <c r="E172" s="20" t="str">
        <f>IFERROR(IF(VLOOKUP(T_Commission[[#This Row],[NumL]],T_suiviDi[#Data],COLUMN(T_suiviDi[Email]),FALSE)&lt;&gt;"",VLOOKUP(T_Commission[[#This Row],[NumL]],T_suiviDi[#Data],COLUMN(T_suiviDi[Email]),FALSE),""),"")</f>
        <v/>
      </c>
      <c r="F172" s="274" t="str">
        <f>IFERROR(IF(VLOOKUP(T_Commission[[#This Row],[NumL]],T_suiviDi[#Data],COLUMN(T_suiviDi[[#This Row],[Nom1]]),FALSE)&lt;&gt;"",VLOOKUP(T_Commission[[#This Row],[NumL]],T_suiviDi[#Data],COLUMN(T_suiviDi[[#This Row],[Nom1]]),FALSE),""),"")</f>
        <v/>
      </c>
      <c r="G172" s="274" t="str">
        <f>IFERROR(IF(VLOOKUP(T_Commission[[#This Row],[NumL]],T_suiviDi[#Data],COLUMN(T_suiviDi[[#This Row],[Prénom1]]),FALSE)&lt;&gt;"",VLOOKUP(T_Commission[[#This Row],[NumL]],T_suiviDi[#Data],COLUMN(T_suiviDi[[#This Row],[Prénom1]]),FALSE),""),"")</f>
        <v/>
      </c>
      <c r="H172" s="274" t="str">
        <f>IFERROR(IF(VLOOKUP(T_Commission[[#This Row],[NumL]],T_suiviDi[#Data],COLUMN(T_suiviDi[[#This Row],[Email1]]),FALSE)&lt;&gt;"",VLOOKUP(T_Commission[[#This Row],[NumL]],T_suiviDi[#Data],COLUMN(T_suiviDi[[#This Row],[Email1]]),FALSE),""),"")</f>
        <v/>
      </c>
      <c r="I172" s="142" t="str">
        <f>IFERROR(VLOOKUP(T_Commission[[#This Row],[NumL]],T_TraitDi[#Data],COLUMN(T_TraitDi[[#This Row],[CTRL_PJ]]),FALSE),"")</f>
        <v/>
      </c>
      <c r="J172" s="142" t="str">
        <f>IF(T_Commission[[#This Row],[Nom]]&lt;&gt;"",IFERROR(VLOOKUP(T_Commission[[#This Row],[NumL]],T_TraitDi[#Data],COLUMN(T_TraitDi[[#This Row],[C10]]),FALSE),""),"")</f>
        <v/>
      </c>
      <c r="K172" s="142" t="str">
        <f>IFERROR(IF(VLOOKUP(T_Commission[[#This Row],[NumL]],T_suiviDi[#Data],COLUMN(T_suiviDi[[#This Row],[Avis n+1]]),FALSE)&lt;&gt;"",VLOOKUP(A172,T_suiviDi[#Data],COLUMN(T_suiviDi[[#This Row],[Avis n+1]]),FALSE),""),"")</f>
        <v/>
      </c>
      <c r="L172" s="142" t="str">
        <f>IFERROR(IF(VLOOKUP(T_Commission[[#This Row],[NumL]],T_suiviDi[#Data],COLUMN(T_suiviDi[[#This Row],[Avis n+2]]),FALSE)&lt;&gt;"",VLOOKUP(T_Commission[[#This Row],[NumL]],T_suiviDi[#Data],COLUMN(T_suiviDi[[#This Row],[Avis n+2]]),FALSE),""),"")</f>
        <v/>
      </c>
      <c r="M172" s="49">
        <v>1</v>
      </c>
      <c r="N172" s="49"/>
      <c r="O172" s="143" t="str">
        <f>IF(T_Commission[[#This Row],[Nom]]&lt;&gt;"",IF(T_Commission[[#This Row],[COM '#2]]&lt;&gt;"",MAX(T_Commission[[#This Row],[PJ]],T_Commission[[#This Row],[COM '#2]]),IF(T_Commission[[#This Row],[COM '#1]]&lt;&gt;"",MAX(T_Commission[[#This Row],[PJ]],T_Commission[[#This Row],[COM '#1]]),"")),"")</f>
        <v/>
      </c>
      <c r="P172" s="55" t="s">
        <v>115</v>
      </c>
      <c r="Q172" s="55" t="s">
        <v>3277</v>
      </c>
      <c r="R172" s="55" t="s">
        <v>3277</v>
      </c>
      <c r="S172" s="56"/>
      <c r="T172" s="144"/>
    </row>
    <row r="173" spans="1:20" s="93" customFormat="1" ht="30" customHeight="1" x14ac:dyDescent="0.25">
      <c r="A173" s="90">
        <v>67</v>
      </c>
      <c r="B173" s="130" t="str">
        <f>IFERROR(IF(VLOOKUP(T_Commission[[#This Row],[NumL]],T_TraitDi[#Data],COLUMN(T_TraitDi[[#This Row],[Statut]]),FALSE)&lt;&gt;"",VLOOKUP(T_Commission[[#This Row],[NumL]],T_TraitDi[#Data],COLUMN(T_TraitDi[[#This Row],[Statut]]),FALSE),""),"")</f>
        <v/>
      </c>
      <c r="C173" s="19" t="str">
        <f>IFERROR(IF(VLOOKUP(T_Commission[[#This Row],[NumL]],T_suiviDi[#Data],COLUMN(T_suiviDi[Nom]),FALSE)&lt;&gt;"",VLOOKUP(T_Commission[[#This Row],[NumL]],T_suiviDi[#Data],COLUMN(T_suiviDi[Nom]),FALSE),""),"")</f>
        <v/>
      </c>
      <c r="D173" s="19" t="str">
        <f>IFERROR(IF(VLOOKUP(T_Commission[[#This Row],[NumL]],T_suiviDi[#Data],COLUMN(T_suiviDi[Prénom]),FALSE)&lt;&gt;"",VLOOKUP(T_Commission[[#This Row],[NumL]],T_suiviDi[#Data],COLUMN(T_suiviDi[Prénom]),FALSE),""),"")</f>
        <v/>
      </c>
      <c r="E173" s="20" t="str">
        <f>IFERROR(IF(VLOOKUP(T_Commission[[#This Row],[NumL]],T_suiviDi[#Data],COLUMN(T_suiviDi[Email]),FALSE)&lt;&gt;"",VLOOKUP(T_Commission[[#This Row],[NumL]],T_suiviDi[#Data],COLUMN(T_suiviDi[Email]),FALSE),""),"")</f>
        <v/>
      </c>
      <c r="F173" s="274" t="str">
        <f>IFERROR(IF(VLOOKUP(T_Commission[[#This Row],[NumL]],T_suiviDi[#Data],COLUMN(T_suiviDi[[#This Row],[Nom1]]),FALSE)&lt;&gt;"",VLOOKUP(T_Commission[[#This Row],[NumL]],T_suiviDi[#Data],COLUMN(T_suiviDi[[#This Row],[Nom1]]),FALSE),""),"")</f>
        <v/>
      </c>
      <c r="G173" s="274" t="str">
        <f>IFERROR(IF(VLOOKUP(T_Commission[[#This Row],[NumL]],T_suiviDi[#Data],COLUMN(T_suiviDi[[#This Row],[Prénom1]]),FALSE)&lt;&gt;"",VLOOKUP(T_Commission[[#This Row],[NumL]],T_suiviDi[#Data],COLUMN(T_suiviDi[[#This Row],[Prénom1]]),FALSE),""),"")</f>
        <v/>
      </c>
      <c r="H173" s="274" t="str">
        <f>IFERROR(IF(VLOOKUP(T_Commission[[#This Row],[NumL]],T_suiviDi[#Data],COLUMN(T_suiviDi[[#This Row],[Email1]]),FALSE)&lt;&gt;"",VLOOKUP(T_Commission[[#This Row],[NumL]],T_suiviDi[#Data],COLUMN(T_suiviDi[[#This Row],[Email1]]),FALSE),""),"")</f>
        <v/>
      </c>
      <c r="I173" s="142" t="str">
        <f>IFERROR(VLOOKUP(T_Commission[[#This Row],[NumL]],T_TraitDi[#Data],COLUMN(T_TraitDi[[#This Row],[CTRL_PJ]]),FALSE),"")</f>
        <v/>
      </c>
      <c r="J173" s="142" t="str">
        <f>IF(T_Commission[[#This Row],[Nom]]&lt;&gt;"",IFERROR(VLOOKUP(T_Commission[[#This Row],[NumL]],T_TraitDi[#Data],COLUMN(T_TraitDi[[#This Row],[C10]]),FALSE),""),"")</f>
        <v/>
      </c>
      <c r="K173" s="142" t="str">
        <f>IFERROR(IF(VLOOKUP(T_Commission[[#This Row],[NumL]],T_suiviDi[#Data],COLUMN(T_suiviDi[[#This Row],[Avis n+1]]),FALSE)&lt;&gt;"",VLOOKUP(A173,T_suiviDi[#Data],COLUMN(T_suiviDi[[#This Row],[Avis n+1]]),FALSE),""),"")</f>
        <v/>
      </c>
      <c r="L173" s="142" t="str">
        <f>IFERROR(IF(VLOOKUP(T_Commission[[#This Row],[NumL]],T_suiviDi[#Data],COLUMN(T_suiviDi[[#This Row],[Avis n+2]]),FALSE)&lt;&gt;"",VLOOKUP(T_Commission[[#This Row],[NumL]],T_suiviDi[#Data],COLUMN(T_suiviDi[[#This Row],[Avis n+2]]),FALSE),""),"")</f>
        <v/>
      </c>
      <c r="M173" s="49">
        <v>1</v>
      </c>
      <c r="N173" s="49"/>
      <c r="O173" s="143" t="str">
        <f>IF(T_Commission[[#This Row],[Nom]]&lt;&gt;"",IF(T_Commission[[#This Row],[COM '#2]]&lt;&gt;"",MAX(T_Commission[[#This Row],[PJ]],T_Commission[[#This Row],[COM '#2]]),IF(T_Commission[[#This Row],[COM '#1]]&lt;&gt;"",MAX(T_Commission[[#This Row],[PJ]],T_Commission[[#This Row],[COM '#1]]),"")),"")</f>
        <v/>
      </c>
      <c r="P173" s="55" t="s">
        <v>115</v>
      </c>
      <c r="Q173" s="55" t="s">
        <v>3278</v>
      </c>
      <c r="R173" s="55"/>
      <c r="S173" s="56"/>
      <c r="T173" s="144" t="s">
        <v>3635</v>
      </c>
    </row>
    <row r="174" spans="1:20" s="93" customFormat="1" ht="30" customHeight="1" x14ac:dyDescent="0.25">
      <c r="A174" s="90">
        <v>339</v>
      </c>
      <c r="B174" s="130" t="str">
        <f>IFERROR(IF(VLOOKUP(T_Commission[[#This Row],[NumL]],T_TraitDi[#Data],COLUMN(T_TraitDi[[#This Row],[Statut]]),FALSE)&lt;&gt;"",VLOOKUP(T_Commission[[#This Row],[NumL]],T_TraitDi[#Data],COLUMN(T_TraitDi[[#This Row],[Statut]]),FALSE),""),"")</f>
        <v/>
      </c>
      <c r="C174" s="139" t="str">
        <f>IFERROR(IF(VLOOKUP(T_Commission[[#This Row],[NumL]],T_suiviDi[#Data],COLUMN(T_suiviDi[[#This Row],[Nom]]),FALSE)&lt;&gt;"",VLOOKUP(T_Commission[[#This Row],[NumL]],T_suiviDi[#Data],COLUMN(T_suiviDi[[#This Row],[Nom]]),FALSE),""),"")</f>
        <v/>
      </c>
      <c r="D174" s="139" t="str">
        <f>IFERROR(IF(VLOOKUP(T_Commission[[#This Row],[NumL]],T_suiviDi[#Data],COLUMN(T_suiviDi[[#This Row],[Prénom]]),FALSE)&lt;&gt;"",VLOOKUP(T_Commission[[#This Row],[NumL]],T_suiviDi[#Data],COLUMN(T_suiviDi[[#This Row],[Prénom]]),FALSE),""),"")</f>
        <v/>
      </c>
      <c r="E174" s="140" t="str">
        <f>IFERROR(IF(VLOOKUP(T_Commission[[#This Row],[NumL]],T_suiviDi[#Data],COLUMN(T_suiviDi[[#This Row],[Email]]),FALSE)&lt;&gt;"",VLOOKUP(T_Commission[[#This Row],[NumL]],T_suiviDi[#Data],COLUMN(T_suiviDi[[#This Row],[Email]]),FALSE),""),"")</f>
        <v/>
      </c>
      <c r="F174" s="141" t="str">
        <f>IFERROR(IF(VLOOKUP(T_Commission[[#This Row],[NumL]],T_suiviDi[#Data],COLUMN(T_suiviDi[[#This Row],[Nom1]]),FALSE)&lt;&gt;"",VLOOKUP(T_Commission[[#This Row],[NumL]],T_suiviDi[#Data],COLUMN(T_suiviDi[[#This Row],[Nom1]]),FALSE),""),"")</f>
        <v/>
      </c>
      <c r="G174" s="141" t="str">
        <f>IFERROR(IF(VLOOKUP(T_Commission[[#This Row],[NumL]],T_suiviDi[#Data],COLUMN(T_suiviDi[[#This Row],[Prénom1]]),FALSE)&lt;&gt;"",VLOOKUP(T_Commission[[#This Row],[NumL]],T_suiviDi[#Data],COLUMN(T_suiviDi[[#This Row],[Prénom1]]),FALSE),""),"")</f>
        <v/>
      </c>
      <c r="H174" s="141" t="str">
        <f>IFERROR(IF(VLOOKUP(T_Commission[[#This Row],[NumL]],T_suiviDi[#Data],COLUMN(T_suiviDi[[#This Row],[Email1]]),FALSE)&lt;&gt;"",VLOOKUP(T_Commission[[#This Row],[NumL]],T_suiviDi[#Data],COLUMN(T_suiviDi[[#This Row],[Email1]]),FALSE),""),"")</f>
        <v/>
      </c>
      <c r="I174" s="142" t="str">
        <f>IFERROR(VLOOKUP(T_Commission[[#This Row],[NumL]],T_TraitDi[#Data],COLUMN(T_TraitDi[[#This Row],[CTRL_PJ]]),FALSE),"")</f>
        <v/>
      </c>
      <c r="J174" s="142" t="str">
        <f>IF(C174&lt;&gt;"",IFERROR(VLOOKUP(A174,'2- Traitement des DI'!BV32,FALSE),""),"")</f>
        <v/>
      </c>
      <c r="K174" s="142" t="str">
        <f>IFERROR(IF(VLOOKUP(T_Commission[[#This Row],[NumL]],T_suiviDi[#Data],COLUMN(T_suiviDi[[#This Row],[Avis n+1]]),FALSE)&lt;&gt;"",VLOOKUP(A174,T_suiviDi[#Data],COLUMN(T_suiviDi[[#This Row],[Avis n+1]]),FALSE),""),"")</f>
        <v/>
      </c>
      <c r="L174" s="142" t="str">
        <f>IFERROR(IF(VLOOKUP(A174,ListeDI,27,FALSE)&lt;&gt;"",VLOOKUP(A174,ListeDI,27,FALSE),""),"")</f>
        <v/>
      </c>
      <c r="M174" s="49">
        <v>1</v>
      </c>
      <c r="N174" s="49"/>
      <c r="O174" s="143" t="str">
        <f>IF(C174&lt;&gt;"",IF(N174&lt;&gt;"",MAX(I174,N174),IF(M174&lt;&gt;"",MAX(I174,M174),"")),"")</f>
        <v/>
      </c>
      <c r="P174" s="55" t="s">
        <v>115</v>
      </c>
      <c r="Q174" s="55" t="s">
        <v>3278</v>
      </c>
      <c r="R174" s="55"/>
      <c r="S174" s="56"/>
      <c r="T174" s="144" t="s">
        <v>3631</v>
      </c>
    </row>
    <row r="175" spans="1:20" s="93" customFormat="1" ht="30" customHeight="1" x14ac:dyDescent="0.25">
      <c r="A175" s="90">
        <v>287</v>
      </c>
      <c r="B175" s="130" t="str">
        <f>IFERROR(IF(VLOOKUP(T_Commission[[#This Row],[NumL]],T_TraitDi[#Data],COLUMN(T_TraitDi[[#This Row],[Statut]]),FALSE)&lt;&gt;"",VLOOKUP(T_Commission[[#This Row],[NumL]],T_TraitDi[#Data],COLUMN(T_TraitDi[[#This Row],[Statut]]),FALSE),""),"")</f>
        <v/>
      </c>
      <c r="C175" s="19" t="str">
        <f>IFERROR(IF(VLOOKUP(T_Commission[[#This Row],[NumL]],T_suiviDi[#Data],COLUMN(T_suiviDi[Nom]),FALSE)&lt;&gt;"",VLOOKUP(T_Commission[[#This Row],[NumL]],T_suiviDi[#Data],COLUMN(T_suiviDi[Nom]),FALSE),""),"")</f>
        <v/>
      </c>
      <c r="D175" s="19" t="str">
        <f>IFERROR(IF(VLOOKUP(T_Commission[[#This Row],[NumL]],T_suiviDi[#Data],COLUMN(T_suiviDi[Prénom]),FALSE)&lt;&gt;"",VLOOKUP(T_Commission[[#This Row],[NumL]],T_suiviDi[#Data],COLUMN(T_suiviDi[Prénom]),FALSE),""),"")</f>
        <v/>
      </c>
      <c r="E175" s="20" t="str">
        <f>IFERROR(IF(VLOOKUP(T_Commission[[#This Row],[NumL]],T_suiviDi[#Data],COLUMN(T_suiviDi[Email]),FALSE)&lt;&gt;"",VLOOKUP(T_Commission[[#This Row],[NumL]],T_suiviDi[#Data],COLUMN(T_suiviDi[Email]),FALSE),""),"")</f>
        <v/>
      </c>
      <c r="F175" s="274" t="str">
        <f>IFERROR(IF(VLOOKUP(T_Commission[[#This Row],[NumL]],T_suiviDi[#Data],COLUMN(T_suiviDi[[#This Row],[Nom1]]),FALSE)&lt;&gt;"",VLOOKUP(T_Commission[[#This Row],[NumL]],T_suiviDi[#Data],COLUMN(T_suiviDi[[#This Row],[Nom1]]),FALSE),""),"")</f>
        <v/>
      </c>
      <c r="G175" s="274" t="str">
        <f>IFERROR(IF(VLOOKUP(T_Commission[[#This Row],[NumL]],T_suiviDi[#Data],COLUMN(T_suiviDi[[#This Row],[Prénom1]]),FALSE)&lt;&gt;"",VLOOKUP(T_Commission[[#This Row],[NumL]],T_suiviDi[#Data],COLUMN(T_suiviDi[[#This Row],[Prénom1]]),FALSE),""),"")</f>
        <v/>
      </c>
      <c r="H175" s="274" t="str">
        <f>IFERROR(IF(VLOOKUP(T_Commission[[#This Row],[NumL]],T_suiviDi[#Data],COLUMN(T_suiviDi[[#This Row],[Email1]]),FALSE)&lt;&gt;"",VLOOKUP(T_Commission[[#This Row],[NumL]],T_suiviDi[#Data],COLUMN(T_suiviDi[[#This Row],[Email1]]),FALSE),""),"")</f>
        <v/>
      </c>
      <c r="I175" s="142" t="str">
        <f>IFERROR(VLOOKUP(T_Commission[[#This Row],[NumL]],T_TraitDi[#Data],COLUMN(T_TraitDi[[#This Row],[CTRL_PJ]]),FALSE),"")</f>
        <v/>
      </c>
      <c r="J175" s="142" t="str">
        <f>IF(T_Commission[[#This Row],[Nom]]&lt;&gt;"",IFERROR(VLOOKUP(T_Commission[[#This Row],[NumL]],T_TraitDi[#Data],COLUMN(T_TraitDi[[#This Row],[C10]]),FALSE),""),"")</f>
        <v/>
      </c>
      <c r="K175" s="142" t="str">
        <f>IFERROR(IF(VLOOKUP(T_Commission[[#This Row],[NumL]],T_suiviDi[#Data],COLUMN(T_suiviDi[[#This Row],[Avis n+1]]),FALSE)&lt;&gt;"",VLOOKUP(A175,T_suiviDi[#Data],COLUMN(T_suiviDi[[#This Row],[Avis n+1]]),FALSE),""),"")</f>
        <v/>
      </c>
      <c r="L175" s="142" t="str">
        <f>IFERROR(IF(VLOOKUP(T_Commission[[#This Row],[NumL]],T_suiviDi[#Data],COLUMN(T_suiviDi[[#This Row],[Avis n+2]]),FALSE)&lt;&gt;"",VLOOKUP(T_Commission[[#This Row],[NumL]],T_suiviDi[#Data],COLUMN(T_suiviDi[[#This Row],[Avis n+2]]),FALSE),""),"")</f>
        <v/>
      </c>
      <c r="M175" s="49">
        <v>1</v>
      </c>
      <c r="N175" s="49"/>
      <c r="O175" s="143" t="str">
        <f>IF(T_Commission[[#This Row],[Nom]]&lt;&gt;"",IF(T_Commission[[#This Row],[COM '#2]]&lt;&gt;"",MAX(T_Commission[[#This Row],[PJ]],T_Commission[[#This Row],[COM '#2]]),IF(T_Commission[[#This Row],[COM '#1]]&lt;&gt;"",MAX(T_Commission[[#This Row],[PJ]],T_Commission[[#This Row],[COM '#1]]),"")),"")</f>
        <v/>
      </c>
      <c r="P175" s="55" t="s">
        <v>115</v>
      </c>
      <c r="Q175" s="55" t="s">
        <v>3277</v>
      </c>
      <c r="R175" s="55" t="s">
        <v>3277</v>
      </c>
      <c r="S175" s="56"/>
      <c r="T175" s="144"/>
    </row>
    <row r="176" spans="1:20" s="93" customFormat="1" ht="30" customHeight="1" x14ac:dyDescent="0.25">
      <c r="A176" s="90">
        <v>224</v>
      </c>
      <c r="B176" s="130" t="str">
        <f>IFERROR(IF(VLOOKUP(T_Commission[[#This Row],[NumL]],T_TraitDi[#Data],COLUMN(T_TraitDi[[#This Row],[Statut]]),FALSE)&lt;&gt;"",VLOOKUP(T_Commission[[#This Row],[NumL]],T_TraitDi[#Data],COLUMN(T_TraitDi[[#This Row],[Statut]]),FALSE),""),"")</f>
        <v/>
      </c>
      <c r="C176" s="19" t="str">
        <f>IFERROR(IF(VLOOKUP(T_Commission[[#This Row],[NumL]],T_suiviDi[#Data],COLUMN(T_suiviDi[Nom]),FALSE)&lt;&gt;"",VLOOKUP(T_Commission[[#This Row],[NumL]],T_suiviDi[#Data],COLUMN(T_suiviDi[Nom]),FALSE),""),"")</f>
        <v/>
      </c>
      <c r="D176" s="19" t="str">
        <f>IFERROR(IF(VLOOKUP(T_Commission[[#This Row],[NumL]],T_suiviDi[#Data],COLUMN(T_suiviDi[Prénom]),FALSE)&lt;&gt;"",VLOOKUP(T_Commission[[#This Row],[NumL]],T_suiviDi[#Data],COLUMN(T_suiviDi[Prénom]),FALSE),""),"")</f>
        <v/>
      </c>
      <c r="E176" s="20" t="str">
        <f>IFERROR(IF(VLOOKUP(T_Commission[[#This Row],[NumL]],T_suiviDi[#Data],COLUMN(T_suiviDi[Email]),FALSE)&lt;&gt;"",VLOOKUP(T_Commission[[#This Row],[NumL]],T_suiviDi[#Data],COLUMN(T_suiviDi[Email]),FALSE),""),"")</f>
        <v/>
      </c>
      <c r="F176" s="274" t="str">
        <f>IFERROR(IF(VLOOKUP(T_Commission[[#This Row],[NumL]],T_suiviDi[#Data],COLUMN(T_suiviDi[[#This Row],[Nom1]]),FALSE)&lt;&gt;"",VLOOKUP(T_Commission[[#This Row],[NumL]],T_suiviDi[#Data],COLUMN(T_suiviDi[[#This Row],[Nom1]]),FALSE),""),"")</f>
        <v/>
      </c>
      <c r="G176" s="274" t="str">
        <f>IFERROR(IF(VLOOKUP(T_Commission[[#This Row],[NumL]],T_suiviDi[#Data],COLUMN(T_suiviDi[[#This Row],[Prénom1]]),FALSE)&lt;&gt;"",VLOOKUP(T_Commission[[#This Row],[NumL]],T_suiviDi[#Data],COLUMN(T_suiviDi[[#This Row],[Prénom1]]),FALSE),""),"")</f>
        <v/>
      </c>
      <c r="H176" s="274" t="str">
        <f>IFERROR(IF(VLOOKUP(T_Commission[[#This Row],[NumL]],T_suiviDi[#Data],COLUMN(T_suiviDi[[#This Row],[Email1]]),FALSE)&lt;&gt;"",VLOOKUP(T_Commission[[#This Row],[NumL]],T_suiviDi[#Data],COLUMN(T_suiviDi[[#This Row],[Email1]]),FALSE),""),"")</f>
        <v/>
      </c>
      <c r="I176" s="142" t="str">
        <f>IFERROR(VLOOKUP(T_Commission[[#This Row],[NumL]],T_TraitDi[#Data],COLUMN(T_TraitDi[[#This Row],[CTRL_PJ]]),FALSE),"")</f>
        <v/>
      </c>
      <c r="J176" s="142" t="str">
        <f>IF(T_Commission[[#This Row],[Nom]]&lt;&gt;"",IFERROR(VLOOKUP(T_Commission[[#This Row],[NumL]],T_TraitDi[#Data],COLUMN(T_TraitDi[[#This Row],[C10]]),FALSE),""),"")</f>
        <v/>
      </c>
      <c r="K176" s="142" t="str">
        <f>IFERROR(IF(VLOOKUP(T_Commission[[#This Row],[NumL]],T_suiviDi[#Data],COLUMN(T_suiviDi[[#This Row],[Avis n+1]]),FALSE)&lt;&gt;"",VLOOKUP(A176,T_suiviDi[#Data],COLUMN(T_suiviDi[[#This Row],[Avis n+1]]),FALSE),""),"")</f>
        <v/>
      </c>
      <c r="L176" s="142" t="str">
        <f>IFERROR(IF(VLOOKUP(T_Commission[[#This Row],[NumL]],T_suiviDi[#Data],COLUMN(T_suiviDi[[#This Row],[Avis n+2]]),FALSE)&lt;&gt;"",VLOOKUP(T_Commission[[#This Row],[NumL]],T_suiviDi[#Data],COLUMN(T_suiviDi[[#This Row],[Avis n+2]]),FALSE),""),"")</f>
        <v/>
      </c>
      <c r="M176" s="49">
        <v>1</v>
      </c>
      <c r="N176" s="49"/>
      <c r="O176" s="143" t="str">
        <f>IF(T_Commission[[#This Row],[Nom]]&lt;&gt;"",IF(T_Commission[[#This Row],[COM '#2]]&lt;&gt;"",MAX(T_Commission[[#This Row],[PJ]],T_Commission[[#This Row],[COM '#2]]),IF(T_Commission[[#This Row],[COM '#1]]&lt;&gt;"",MAX(T_Commission[[#This Row],[PJ]],T_Commission[[#This Row],[COM '#1]]),"")),"")</f>
        <v/>
      </c>
      <c r="P176" s="55" t="s">
        <v>115</v>
      </c>
      <c r="Q176" s="55" t="s">
        <v>3277</v>
      </c>
      <c r="R176" s="55" t="s">
        <v>3277</v>
      </c>
      <c r="S176" s="56"/>
      <c r="T176" s="144"/>
    </row>
    <row r="177" spans="1:20" s="93" customFormat="1" ht="30" customHeight="1" x14ac:dyDescent="0.25">
      <c r="A177" s="90">
        <v>250</v>
      </c>
      <c r="B177" s="130" t="str">
        <f>IFERROR(IF(VLOOKUP(T_Commission[[#This Row],[NumL]],T_TraitDi[#Data],COLUMN(T_TraitDi[[#This Row],[Statut]]),FALSE)&lt;&gt;"",VLOOKUP(T_Commission[[#This Row],[NumL]],T_TraitDi[#Data],COLUMN(T_TraitDi[[#This Row],[Statut]]),FALSE),""),"")</f>
        <v/>
      </c>
      <c r="C177" s="19" t="str">
        <f>IFERROR(IF(VLOOKUP(T_Commission[[#This Row],[NumL]],T_suiviDi[#Data],COLUMN(T_suiviDi[Nom]),FALSE)&lt;&gt;"",VLOOKUP(T_Commission[[#This Row],[NumL]],T_suiviDi[#Data],COLUMN(T_suiviDi[Nom]),FALSE),""),"")</f>
        <v/>
      </c>
      <c r="D177" s="19" t="str">
        <f>IFERROR(IF(VLOOKUP(T_Commission[[#This Row],[NumL]],T_suiviDi[#Data],COLUMN(T_suiviDi[Prénom]),FALSE)&lt;&gt;"",VLOOKUP(T_Commission[[#This Row],[NumL]],T_suiviDi[#Data],COLUMN(T_suiviDi[Prénom]),FALSE),""),"")</f>
        <v/>
      </c>
      <c r="E177" s="20" t="str">
        <f>IFERROR(IF(VLOOKUP(T_Commission[[#This Row],[NumL]],T_suiviDi[#Data],COLUMN(T_suiviDi[Email]),FALSE)&lt;&gt;"",VLOOKUP(T_Commission[[#This Row],[NumL]],T_suiviDi[#Data],COLUMN(T_suiviDi[Email]),FALSE),""),"")</f>
        <v/>
      </c>
      <c r="F177" s="274" t="str">
        <f>IFERROR(IF(VLOOKUP(T_Commission[[#This Row],[NumL]],T_suiviDi[#Data],COLUMN(T_suiviDi[[#This Row],[Nom1]]),FALSE)&lt;&gt;"",VLOOKUP(T_Commission[[#This Row],[NumL]],T_suiviDi[#Data],COLUMN(T_suiviDi[[#This Row],[Nom1]]),FALSE),""),"")</f>
        <v/>
      </c>
      <c r="G177" s="274" t="str">
        <f>IFERROR(IF(VLOOKUP(T_Commission[[#This Row],[NumL]],T_suiviDi[#Data],COLUMN(T_suiviDi[[#This Row],[Prénom1]]),FALSE)&lt;&gt;"",VLOOKUP(T_Commission[[#This Row],[NumL]],T_suiviDi[#Data],COLUMN(T_suiviDi[[#This Row],[Prénom1]]),FALSE),""),"")</f>
        <v/>
      </c>
      <c r="H177" s="274" t="str">
        <f>IFERROR(IF(VLOOKUP(T_Commission[[#This Row],[NumL]],T_suiviDi[#Data],COLUMN(T_suiviDi[[#This Row],[Email1]]),FALSE)&lt;&gt;"",VLOOKUP(T_Commission[[#This Row],[NumL]],T_suiviDi[#Data],COLUMN(T_suiviDi[[#This Row],[Email1]]),FALSE),""),"")</f>
        <v/>
      </c>
      <c r="I177" s="142" t="str">
        <f>IFERROR(VLOOKUP(T_Commission[[#This Row],[NumL]],T_TraitDi[#Data],COLUMN(T_TraitDi[[#This Row],[CTRL_PJ]]),FALSE),"")</f>
        <v/>
      </c>
      <c r="J177" s="142" t="str">
        <f>IF(T_Commission[[#This Row],[Nom]]&lt;&gt;"",IFERROR(VLOOKUP(T_Commission[[#This Row],[NumL]],T_TraitDi[#Data],COLUMN(T_TraitDi[[#This Row],[C10]]),FALSE),""),"")</f>
        <v/>
      </c>
      <c r="K177" s="142" t="str">
        <f>IFERROR(IF(VLOOKUP(T_Commission[[#This Row],[NumL]],T_suiviDi[#Data],COLUMN(T_suiviDi[[#This Row],[Avis n+1]]),FALSE)&lt;&gt;"",VLOOKUP(A177,T_suiviDi[#Data],COLUMN(T_suiviDi[[#This Row],[Avis n+1]]),FALSE),""),"")</f>
        <v/>
      </c>
      <c r="L177" s="142" t="str">
        <f>IFERROR(IF(VLOOKUP(T_Commission[[#This Row],[NumL]],T_suiviDi[#Data],COLUMN(T_suiviDi[[#This Row],[Avis n+2]]),FALSE)&lt;&gt;"",VLOOKUP(T_Commission[[#This Row],[NumL]],T_suiviDi[#Data],COLUMN(T_suiviDi[[#This Row],[Avis n+2]]),FALSE),""),"")</f>
        <v/>
      </c>
      <c r="M177" s="49">
        <v>1</v>
      </c>
      <c r="N177" s="49"/>
      <c r="O177" s="143" t="str">
        <f>IF(T_Commission[[#This Row],[Nom]]&lt;&gt;"",IF(T_Commission[[#This Row],[COM '#2]]&lt;&gt;"",MAX(T_Commission[[#This Row],[PJ]],T_Commission[[#This Row],[COM '#2]]),IF(T_Commission[[#This Row],[COM '#1]]&lt;&gt;"",MAX(T_Commission[[#This Row],[PJ]],T_Commission[[#This Row],[COM '#1]]),"")),"")</f>
        <v/>
      </c>
      <c r="P177" s="55" t="s">
        <v>115</v>
      </c>
      <c r="Q177" s="55" t="s">
        <v>3277</v>
      </c>
      <c r="R177" s="55" t="s">
        <v>3277</v>
      </c>
      <c r="S177" s="56"/>
      <c r="T177" s="144"/>
    </row>
    <row r="178" spans="1:20" s="93" customFormat="1" ht="30" customHeight="1" x14ac:dyDescent="0.25">
      <c r="A178" s="90">
        <v>81</v>
      </c>
      <c r="B178" s="130" t="str">
        <f>IFERROR(IF(VLOOKUP(T_Commission[[#This Row],[NumL]],T_TraitDi[#Data],COLUMN(T_TraitDi[[#This Row],[Statut]]),FALSE)&lt;&gt;"",VLOOKUP(T_Commission[[#This Row],[NumL]],T_TraitDi[#Data],COLUMN(T_TraitDi[[#This Row],[Statut]]),FALSE),""),"")</f>
        <v/>
      </c>
      <c r="C178" s="19" t="str">
        <f>IFERROR(IF(VLOOKUP(T_Commission[[#This Row],[NumL]],T_suiviDi[#Data],COLUMN(T_suiviDi[Nom]),FALSE)&lt;&gt;"",VLOOKUP(T_Commission[[#This Row],[NumL]],T_suiviDi[#Data],COLUMN(T_suiviDi[Nom]),FALSE),""),"")</f>
        <v/>
      </c>
      <c r="D178" s="19" t="str">
        <f>IFERROR(IF(VLOOKUP(T_Commission[[#This Row],[NumL]],T_suiviDi[#Data],COLUMN(T_suiviDi[Prénom]),FALSE)&lt;&gt;"",VLOOKUP(T_Commission[[#This Row],[NumL]],T_suiviDi[#Data],COLUMN(T_suiviDi[Prénom]),FALSE),""),"")</f>
        <v/>
      </c>
      <c r="E178" s="20" t="str">
        <f>IFERROR(IF(VLOOKUP(T_Commission[[#This Row],[NumL]],T_suiviDi[#Data],COLUMN(T_suiviDi[Email]),FALSE)&lt;&gt;"",VLOOKUP(T_Commission[[#This Row],[NumL]],T_suiviDi[#Data],COLUMN(T_suiviDi[Email]),FALSE),""),"")</f>
        <v/>
      </c>
      <c r="F178" s="274" t="str">
        <f>IFERROR(IF(VLOOKUP(T_Commission[[#This Row],[NumL]],T_suiviDi[#Data],COLUMN(T_suiviDi[[#This Row],[Nom1]]),FALSE)&lt;&gt;"",VLOOKUP(T_Commission[[#This Row],[NumL]],T_suiviDi[#Data],COLUMN(T_suiviDi[[#This Row],[Nom1]]),FALSE),""),"")</f>
        <v/>
      </c>
      <c r="G178" s="274" t="str">
        <f>IFERROR(IF(VLOOKUP(T_Commission[[#This Row],[NumL]],T_suiviDi[#Data],COLUMN(T_suiviDi[[#This Row],[Prénom1]]),FALSE)&lt;&gt;"",VLOOKUP(T_Commission[[#This Row],[NumL]],T_suiviDi[#Data],COLUMN(T_suiviDi[[#This Row],[Prénom1]]),FALSE),""),"")</f>
        <v/>
      </c>
      <c r="H178" s="274" t="str">
        <f>IFERROR(IF(VLOOKUP(T_Commission[[#This Row],[NumL]],T_suiviDi[#Data],COLUMN(T_suiviDi[[#This Row],[Email1]]),FALSE)&lt;&gt;"",VLOOKUP(T_Commission[[#This Row],[NumL]],T_suiviDi[#Data],COLUMN(T_suiviDi[[#This Row],[Email1]]),FALSE),""),"")</f>
        <v/>
      </c>
      <c r="I178" s="142" t="str">
        <f>IFERROR(VLOOKUP(T_Commission[[#This Row],[NumL]],T_TraitDi[#Data],COLUMN(T_TraitDi[[#This Row],[CTRL_PJ]]),FALSE),"")</f>
        <v/>
      </c>
      <c r="J178" s="142" t="str">
        <f>IF(T_Commission[[#This Row],[Nom]]&lt;&gt;"",IFERROR(VLOOKUP(T_Commission[[#This Row],[NumL]],T_TraitDi[#Data],COLUMN(T_TraitDi[[#This Row],[C10]]),FALSE),""),"")</f>
        <v/>
      </c>
      <c r="K178" s="142" t="str">
        <f>IFERROR(IF(VLOOKUP(T_Commission[[#This Row],[NumL]],T_suiviDi[#Data],COLUMN(T_suiviDi[[#This Row],[Avis n+1]]),FALSE)&lt;&gt;"",VLOOKUP(A178,T_suiviDi[#Data],COLUMN(T_suiviDi[[#This Row],[Avis n+1]]),FALSE),""),"")</f>
        <v/>
      </c>
      <c r="L178" s="142" t="str">
        <f>IFERROR(IF(VLOOKUP(T_Commission[[#This Row],[NumL]],T_suiviDi[#Data],COLUMN(T_suiviDi[[#This Row],[Avis n+2]]),FALSE)&lt;&gt;"",VLOOKUP(T_Commission[[#This Row],[NumL]],T_suiviDi[#Data],COLUMN(T_suiviDi[[#This Row],[Avis n+2]]),FALSE),""),"")</f>
        <v/>
      </c>
      <c r="M178" s="49">
        <v>1</v>
      </c>
      <c r="N178" s="49"/>
      <c r="O178" s="143" t="str">
        <f>IF(T_Commission[[#This Row],[Nom]]&lt;&gt;"",IF(T_Commission[[#This Row],[COM '#2]]&lt;&gt;"",MAX(T_Commission[[#This Row],[PJ]],T_Commission[[#This Row],[COM '#2]]),IF(T_Commission[[#This Row],[COM '#1]]&lt;&gt;"",MAX(T_Commission[[#This Row],[PJ]],T_Commission[[#This Row],[COM '#1]]),"")),"")</f>
        <v/>
      </c>
      <c r="P178" s="55" t="s">
        <v>115</v>
      </c>
      <c r="Q178" s="55" t="s">
        <v>3277</v>
      </c>
      <c r="R178" s="55" t="s">
        <v>3277</v>
      </c>
      <c r="S178" s="56"/>
      <c r="T178" s="144"/>
    </row>
    <row r="179" spans="1:20" s="93" customFormat="1" ht="30" customHeight="1" x14ac:dyDescent="0.25">
      <c r="A179" s="90">
        <v>195</v>
      </c>
      <c r="B179" s="130" t="str">
        <f>IFERROR(IF(VLOOKUP(T_Commission[[#This Row],[NumL]],T_TraitDi[#Data],COLUMN(T_TraitDi[[#This Row],[Statut]]),FALSE)&lt;&gt;"",VLOOKUP(T_Commission[[#This Row],[NumL]],T_TraitDi[#Data],COLUMN(T_TraitDi[[#This Row],[Statut]]),FALSE),""),"")</f>
        <v/>
      </c>
      <c r="C179" s="19" t="str">
        <f>IFERROR(IF(VLOOKUP(T_Commission[[#This Row],[NumL]],T_suiviDi[#Data],COLUMN(T_suiviDi[Nom]),FALSE)&lt;&gt;"",VLOOKUP(T_Commission[[#This Row],[NumL]],T_suiviDi[#Data],COLUMN(T_suiviDi[Nom]),FALSE),""),"")</f>
        <v/>
      </c>
      <c r="D179" s="19" t="str">
        <f>IFERROR(IF(VLOOKUP(T_Commission[[#This Row],[NumL]],T_suiviDi[#Data],COLUMN(T_suiviDi[Prénom]),FALSE)&lt;&gt;"",VLOOKUP(T_Commission[[#This Row],[NumL]],T_suiviDi[#Data],COLUMN(T_suiviDi[Prénom]),FALSE),""),"")</f>
        <v/>
      </c>
      <c r="E179" s="20" t="str">
        <f>IFERROR(IF(VLOOKUP(T_Commission[[#This Row],[NumL]],T_suiviDi[#Data],COLUMN(T_suiviDi[Email]),FALSE)&lt;&gt;"",VLOOKUP(T_Commission[[#This Row],[NumL]],T_suiviDi[#Data],COLUMN(T_suiviDi[Email]),FALSE),""),"")</f>
        <v/>
      </c>
      <c r="F179" s="274" t="str">
        <f>IFERROR(IF(VLOOKUP(T_Commission[[#This Row],[NumL]],T_suiviDi[#Data],COLUMN(T_suiviDi[[#This Row],[Nom1]]),FALSE)&lt;&gt;"",VLOOKUP(T_Commission[[#This Row],[NumL]],T_suiviDi[#Data],COLUMN(T_suiviDi[[#This Row],[Nom1]]),FALSE),""),"")</f>
        <v/>
      </c>
      <c r="G179" s="274" t="str">
        <f>IFERROR(IF(VLOOKUP(T_Commission[[#This Row],[NumL]],T_suiviDi[#Data],COLUMN(T_suiviDi[[#This Row],[Prénom1]]),FALSE)&lt;&gt;"",VLOOKUP(T_Commission[[#This Row],[NumL]],T_suiviDi[#Data],COLUMN(T_suiviDi[[#This Row],[Prénom1]]),FALSE),""),"")</f>
        <v/>
      </c>
      <c r="H179" s="274" t="str">
        <f>IFERROR(IF(VLOOKUP(T_Commission[[#This Row],[NumL]],T_suiviDi[#Data],COLUMN(T_suiviDi[[#This Row],[Email1]]),FALSE)&lt;&gt;"",VLOOKUP(T_Commission[[#This Row],[NumL]],T_suiviDi[#Data],COLUMN(T_suiviDi[[#This Row],[Email1]]),FALSE),""),"")</f>
        <v/>
      </c>
      <c r="I179" s="142" t="str">
        <f>IFERROR(VLOOKUP(T_Commission[[#This Row],[NumL]],T_TraitDi[#Data],COLUMN(T_TraitDi[[#This Row],[CTRL_PJ]]),FALSE),"")</f>
        <v/>
      </c>
      <c r="J179" s="142" t="str">
        <f>IF(T_Commission[[#This Row],[Nom]]&lt;&gt;"",IFERROR(VLOOKUP(T_Commission[[#This Row],[NumL]],T_TraitDi[#Data],COLUMN(T_TraitDi[[#This Row],[C10]]),FALSE),""),"")</f>
        <v/>
      </c>
      <c r="K179" s="142" t="str">
        <f>IFERROR(IF(VLOOKUP(T_Commission[[#This Row],[NumL]],T_suiviDi[#Data],COLUMN(T_suiviDi[[#This Row],[Avis n+1]]),FALSE)&lt;&gt;"",VLOOKUP(A179,T_suiviDi[#Data],COLUMN(T_suiviDi[[#This Row],[Avis n+1]]),FALSE),""),"")</f>
        <v/>
      </c>
      <c r="L179" s="142" t="str">
        <f>IFERROR(IF(VLOOKUP(T_Commission[[#This Row],[NumL]],T_suiviDi[#Data],COLUMN(T_suiviDi[[#This Row],[Avis n+2]]),FALSE)&lt;&gt;"",VLOOKUP(T_Commission[[#This Row],[NumL]],T_suiviDi[#Data],COLUMN(T_suiviDi[[#This Row],[Avis n+2]]),FALSE),""),"")</f>
        <v/>
      </c>
      <c r="M179" s="49">
        <v>1</v>
      </c>
      <c r="N179" s="49"/>
      <c r="O179" s="143" t="str">
        <f>IF(T_Commission[[#This Row],[Nom]]&lt;&gt;"",IF(T_Commission[[#This Row],[COM '#2]]&lt;&gt;"",MAX(T_Commission[[#This Row],[PJ]],T_Commission[[#This Row],[COM '#2]]),IF(T_Commission[[#This Row],[COM '#1]]&lt;&gt;"",MAX(T_Commission[[#This Row],[PJ]],T_Commission[[#This Row],[COM '#1]]),"")),"")</f>
        <v/>
      </c>
      <c r="P179" s="55" t="s">
        <v>115</v>
      </c>
      <c r="Q179" s="55" t="s">
        <v>3277</v>
      </c>
      <c r="R179" s="55" t="s">
        <v>3277</v>
      </c>
      <c r="S179" s="56"/>
      <c r="T179" s="144"/>
    </row>
    <row r="180" spans="1:20" s="93" customFormat="1" ht="30" customHeight="1" x14ac:dyDescent="0.25">
      <c r="A180" s="90">
        <v>289</v>
      </c>
      <c r="B180" s="130" t="str">
        <f>IFERROR(IF(VLOOKUP(T_Commission[[#This Row],[NumL]],T_TraitDi[#Data],COLUMN(T_TraitDi[[#This Row],[Statut]]),FALSE)&lt;&gt;"",VLOOKUP(T_Commission[[#This Row],[NumL]],T_TraitDi[#Data],COLUMN(T_TraitDi[[#This Row],[Statut]]),FALSE),""),"")</f>
        <v/>
      </c>
      <c r="C180" s="19" t="str">
        <f>IFERROR(IF(VLOOKUP(T_Commission[[#This Row],[NumL]],T_suiviDi[#Data],COLUMN(T_suiviDi[Nom]),FALSE)&lt;&gt;"",VLOOKUP(T_Commission[[#This Row],[NumL]],T_suiviDi[#Data],COLUMN(T_suiviDi[Nom]),FALSE),""),"")</f>
        <v/>
      </c>
      <c r="D180" s="19" t="str">
        <f>IFERROR(IF(VLOOKUP(T_Commission[[#This Row],[NumL]],T_suiviDi[#Data],COLUMN(T_suiviDi[Prénom]),FALSE)&lt;&gt;"",VLOOKUP(T_Commission[[#This Row],[NumL]],T_suiviDi[#Data],COLUMN(T_suiviDi[Prénom]),FALSE),""),"")</f>
        <v/>
      </c>
      <c r="E180" s="20" t="str">
        <f>IFERROR(IF(VLOOKUP(T_Commission[[#This Row],[NumL]],T_suiviDi[#Data],COLUMN(T_suiviDi[Email]),FALSE)&lt;&gt;"",VLOOKUP(T_Commission[[#This Row],[NumL]],T_suiviDi[#Data],COLUMN(T_suiviDi[Email]),FALSE),""),"")</f>
        <v/>
      </c>
      <c r="F180" s="274" t="str">
        <f>IFERROR(IF(VLOOKUP(T_Commission[[#This Row],[NumL]],T_suiviDi[#Data],COLUMN(T_suiviDi[[#This Row],[Nom1]]),FALSE)&lt;&gt;"",VLOOKUP(T_Commission[[#This Row],[NumL]],T_suiviDi[#Data],COLUMN(T_suiviDi[[#This Row],[Nom1]]),FALSE),""),"")</f>
        <v/>
      </c>
      <c r="G180" s="274" t="str">
        <f>IFERROR(IF(VLOOKUP(T_Commission[[#This Row],[NumL]],T_suiviDi[#Data],COLUMN(T_suiviDi[[#This Row],[Prénom1]]),FALSE)&lt;&gt;"",VLOOKUP(T_Commission[[#This Row],[NumL]],T_suiviDi[#Data],COLUMN(T_suiviDi[[#This Row],[Prénom1]]),FALSE),""),"")</f>
        <v/>
      </c>
      <c r="H180" s="274" t="str">
        <f>IFERROR(IF(VLOOKUP(T_Commission[[#This Row],[NumL]],T_suiviDi[#Data],COLUMN(T_suiviDi[[#This Row],[Email1]]),FALSE)&lt;&gt;"",VLOOKUP(T_Commission[[#This Row],[NumL]],T_suiviDi[#Data],COLUMN(T_suiviDi[[#This Row],[Email1]]),FALSE),""),"")</f>
        <v/>
      </c>
      <c r="I180" s="142" t="str">
        <f>IFERROR(VLOOKUP(T_Commission[[#This Row],[NumL]],T_TraitDi[#Data],COLUMN(T_TraitDi[[#This Row],[CTRL_PJ]]),FALSE),"")</f>
        <v/>
      </c>
      <c r="J180" s="142" t="str">
        <f>IF(T_Commission[[#This Row],[Nom]]&lt;&gt;"",IFERROR(VLOOKUP(T_Commission[[#This Row],[NumL]],T_TraitDi[#Data],COLUMN(T_TraitDi[[#This Row],[C10]]),FALSE),""),"")</f>
        <v/>
      </c>
      <c r="K180" s="142" t="str">
        <f>IFERROR(IF(VLOOKUP(T_Commission[[#This Row],[NumL]],T_suiviDi[#Data],COLUMN(T_suiviDi[[#This Row],[Avis n+1]]),FALSE)&lt;&gt;"",VLOOKUP(A180,T_suiviDi[#Data],COLUMN(T_suiviDi[[#This Row],[Avis n+1]]),FALSE),""),"")</f>
        <v/>
      </c>
      <c r="L180" s="142" t="str">
        <f>IFERROR(IF(VLOOKUP(T_Commission[[#This Row],[NumL]],T_suiviDi[#Data],COLUMN(T_suiviDi[[#This Row],[Avis n+2]]),FALSE)&lt;&gt;"",VLOOKUP(T_Commission[[#This Row],[NumL]],T_suiviDi[#Data],COLUMN(T_suiviDi[[#This Row],[Avis n+2]]),FALSE),""),"")</f>
        <v/>
      </c>
      <c r="M180" s="49">
        <v>1</v>
      </c>
      <c r="N180" s="49"/>
      <c r="O180" s="143" t="str">
        <f>IF(T_Commission[[#This Row],[Nom]]&lt;&gt;"",IF(T_Commission[[#This Row],[COM '#2]]&lt;&gt;"",MAX(T_Commission[[#This Row],[PJ]],T_Commission[[#This Row],[COM '#2]]),IF(T_Commission[[#This Row],[COM '#1]]&lt;&gt;"",MAX(T_Commission[[#This Row],[PJ]],T_Commission[[#This Row],[COM '#1]]),"")),"")</f>
        <v/>
      </c>
      <c r="P180" s="55" t="s">
        <v>115</v>
      </c>
      <c r="Q180" s="55" t="s">
        <v>3277</v>
      </c>
      <c r="R180" s="55" t="s">
        <v>3277</v>
      </c>
      <c r="S180" s="56"/>
      <c r="T180" s="144"/>
    </row>
    <row r="181" spans="1:20" s="93" customFormat="1" ht="30" customHeight="1" x14ac:dyDescent="0.25">
      <c r="A181" s="90">
        <v>99</v>
      </c>
      <c r="B181" s="130" t="str">
        <f>IFERROR(IF(VLOOKUP(T_Commission[[#This Row],[NumL]],T_TraitDi[#Data],COLUMN(T_TraitDi[[#This Row],[Statut]]),FALSE)&lt;&gt;"",VLOOKUP(T_Commission[[#This Row],[NumL]],T_TraitDi[#Data],COLUMN(T_TraitDi[[#This Row],[Statut]]),FALSE),""),"")</f>
        <v/>
      </c>
      <c r="C181" s="19" t="str">
        <f>IFERROR(IF(VLOOKUP(T_Commission[[#This Row],[NumL]],T_suiviDi[#Data],COLUMN(T_suiviDi[Nom]),FALSE)&lt;&gt;"",VLOOKUP(T_Commission[[#This Row],[NumL]],T_suiviDi[#Data],COLUMN(T_suiviDi[Nom]),FALSE),""),"")</f>
        <v/>
      </c>
      <c r="D181" s="19" t="str">
        <f>IFERROR(IF(VLOOKUP(T_Commission[[#This Row],[NumL]],T_suiviDi[#Data],COLUMN(T_suiviDi[Prénom]),FALSE)&lt;&gt;"",VLOOKUP(T_Commission[[#This Row],[NumL]],T_suiviDi[#Data],COLUMN(T_suiviDi[Prénom]),FALSE),""),"")</f>
        <v/>
      </c>
      <c r="E181" s="20" t="str">
        <f>IFERROR(IF(VLOOKUP(T_Commission[[#This Row],[NumL]],T_suiviDi[#Data],COLUMN(T_suiviDi[Email]),FALSE)&lt;&gt;"",VLOOKUP(T_Commission[[#This Row],[NumL]],T_suiviDi[#Data],COLUMN(T_suiviDi[Email]),FALSE),""),"")</f>
        <v/>
      </c>
      <c r="F181" s="274" t="str">
        <f>IFERROR(IF(VLOOKUP(T_Commission[[#This Row],[NumL]],T_suiviDi[#Data],COLUMN(T_suiviDi[[#This Row],[Nom1]]),FALSE)&lt;&gt;"",VLOOKUP(T_Commission[[#This Row],[NumL]],T_suiviDi[#Data],COLUMN(T_suiviDi[[#This Row],[Nom1]]),FALSE),""),"")</f>
        <v/>
      </c>
      <c r="G181" s="274" t="str">
        <f>IFERROR(IF(VLOOKUP(T_Commission[[#This Row],[NumL]],T_suiviDi[#Data],COLUMN(T_suiviDi[[#This Row],[Prénom1]]),FALSE)&lt;&gt;"",VLOOKUP(T_Commission[[#This Row],[NumL]],T_suiviDi[#Data],COLUMN(T_suiviDi[[#This Row],[Prénom1]]),FALSE),""),"")</f>
        <v/>
      </c>
      <c r="H181" s="274" t="str">
        <f>IFERROR(IF(VLOOKUP(T_Commission[[#This Row],[NumL]],T_suiviDi[#Data],COLUMN(T_suiviDi[[#This Row],[Email1]]),FALSE)&lt;&gt;"",VLOOKUP(T_Commission[[#This Row],[NumL]],T_suiviDi[#Data],COLUMN(T_suiviDi[[#This Row],[Email1]]),FALSE),""),"")</f>
        <v/>
      </c>
      <c r="I181" s="142" t="str">
        <f>IFERROR(VLOOKUP(T_Commission[[#This Row],[NumL]],T_TraitDi[#Data],COLUMN(T_TraitDi[[#This Row],[CTRL_PJ]]),FALSE),"")</f>
        <v/>
      </c>
      <c r="J181" s="142" t="str">
        <f>IF(T_Commission[[#This Row],[Nom]]&lt;&gt;"",IFERROR(VLOOKUP(T_Commission[[#This Row],[NumL]],T_TraitDi[#Data],COLUMN(T_TraitDi[[#This Row],[C10]]),FALSE),""),"")</f>
        <v/>
      </c>
      <c r="K181" s="142" t="str">
        <f>IFERROR(IF(VLOOKUP(T_Commission[[#This Row],[NumL]],T_suiviDi[#Data],COLUMN(T_suiviDi[[#This Row],[Avis n+1]]),FALSE)&lt;&gt;"",VLOOKUP(A181,T_suiviDi[#Data],COLUMN(T_suiviDi[[#This Row],[Avis n+1]]),FALSE),""),"")</f>
        <v/>
      </c>
      <c r="L181" s="142" t="str">
        <f>IFERROR(IF(VLOOKUP(T_Commission[[#This Row],[NumL]],T_suiviDi[#Data],COLUMN(T_suiviDi[[#This Row],[Avis n+2]]),FALSE)&lt;&gt;"",VLOOKUP(T_Commission[[#This Row],[NumL]],T_suiviDi[#Data],COLUMN(T_suiviDi[[#This Row],[Avis n+2]]),FALSE),""),"")</f>
        <v/>
      </c>
      <c r="M181" s="49">
        <v>1</v>
      </c>
      <c r="N181" s="49"/>
      <c r="O181" s="143" t="str">
        <f>IF(T_Commission[[#This Row],[Nom]]&lt;&gt;"",IF(T_Commission[[#This Row],[COM '#2]]&lt;&gt;"",MAX(T_Commission[[#This Row],[PJ]],T_Commission[[#This Row],[COM '#2]]),IF(T_Commission[[#This Row],[COM '#1]]&lt;&gt;"",MAX(T_Commission[[#This Row],[PJ]],T_Commission[[#This Row],[COM '#1]]),"")),"")</f>
        <v/>
      </c>
      <c r="P181" s="55" t="s">
        <v>115</v>
      </c>
      <c r="Q181" s="55" t="s">
        <v>3277</v>
      </c>
      <c r="R181" s="55" t="s">
        <v>3277</v>
      </c>
      <c r="S181" s="56"/>
      <c r="T181" s="144"/>
    </row>
    <row r="182" spans="1:20" s="93" customFormat="1" ht="30" customHeight="1" x14ac:dyDescent="0.25">
      <c r="A182" s="90">
        <v>270</v>
      </c>
      <c r="B182" s="130" t="str">
        <f>IFERROR(IF(VLOOKUP(T_Commission[[#This Row],[NumL]],T_TraitDi[#Data],COLUMN(T_TraitDi[[#This Row],[Statut]]),FALSE)&lt;&gt;"",VLOOKUP(T_Commission[[#This Row],[NumL]],T_TraitDi[#Data],COLUMN(T_TraitDi[[#This Row],[Statut]]),FALSE),""),"")</f>
        <v/>
      </c>
      <c r="C182" s="19" t="str">
        <f>IFERROR(IF(VLOOKUP(T_Commission[[#This Row],[NumL]],T_suiviDi[#Data],COLUMN(T_suiviDi[Nom]),FALSE)&lt;&gt;"",VLOOKUP(T_Commission[[#This Row],[NumL]],T_suiviDi[#Data],COLUMN(T_suiviDi[Nom]),FALSE),""),"")</f>
        <v/>
      </c>
      <c r="D182" s="19" t="str">
        <f>IFERROR(IF(VLOOKUP(T_Commission[[#This Row],[NumL]],T_suiviDi[#Data],COLUMN(T_suiviDi[Prénom]),FALSE)&lt;&gt;"",VLOOKUP(T_Commission[[#This Row],[NumL]],T_suiviDi[#Data],COLUMN(T_suiviDi[Prénom]),FALSE),""),"")</f>
        <v/>
      </c>
      <c r="E182" s="20" t="str">
        <f>IFERROR(IF(VLOOKUP(T_Commission[[#This Row],[NumL]],T_suiviDi[#Data],COLUMN(T_suiviDi[Email]),FALSE)&lt;&gt;"",VLOOKUP(T_Commission[[#This Row],[NumL]],T_suiviDi[#Data],COLUMN(T_suiviDi[Email]),FALSE),""),"")</f>
        <v/>
      </c>
      <c r="F182" s="274" t="str">
        <f>IFERROR(IF(VLOOKUP(T_Commission[[#This Row],[NumL]],T_suiviDi[#Data],COLUMN(T_suiviDi[[#This Row],[Nom1]]),FALSE)&lt;&gt;"",VLOOKUP(T_Commission[[#This Row],[NumL]],T_suiviDi[#Data],COLUMN(T_suiviDi[[#This Row],[Nom1]]),FALSE),""),"")</f>
        <v/>
      </c>
      <c r="G182" s="274" t="str">
        <f>IFERROR(IF(VLOOKUP(T_Commission[[#This Row],[NumL]],T_suiviDi[#Data],COLUMN(T_suiviDi[[#This Row],[Prénom1]]),FALSE)&lt;&gt;"",VLOOKUP(T_Commission[[#This Row],[NumL]],T_suiviDi[#Data],COLUMN(T_suiviDi[[#This Row],[Prénom1]]),FALSE),""),"")</f>
        <v/>
      </c>
      <c r="H182" s="274" t="str">
        <f>IFERROR(IF(VLOOKUP(T_Commission[[#This Row],[NumL]],T_suiviDi[#Data],COLUMN(T_suiviDi[[#This Row],[Email1]]),FALSE)&lt;&gt;"",VLOOKUP(T_Commission[[#This Row],[NumL]],T_suiviDi[#Data],COLUMN(T_suiviDi[[#This Row],[Email1]]),FALSE),""),"")</f>
        <v/>
      </c>
      <c r="I182" s="142" t="str">
        <f>IFERROR(VLOOKUP(T_Commission[[#This Row],[NumL]],T_TraitDi[#Data],COLUMN(T_TraitDi[[#This Row],[CTRL_PJ]]),FALSE),"")</f>
        <v/>
      </c>
      <c r="J182" s="142" t="str">
        <f>IF(T_Commission[[#This Row],[Nom]]&lt;&gt;"",IFERROR(VLOOKUP(T_Commission[[#This Row],[NumL]],T_TraitDi[#Data],COLUMN(T_TraitDi[[#This Row],[C10]]),FALSE),""),"")</f>
        <v/>
      </c>
      <c r="K182" s="142" t="str">
        <f>IFERROR(IF(VLOOKUP(T_Commission[[#This Row],[NumL]],T_suiviDi[#Data],COLUMN(T_suiviDi[[#This Row],[Avis n+1]]),FALSE)&lt;&gt;"",VLOOKUP(A182,T_suiviDi[#Data],COLUMN(T_suiviDi[[#This Row],[Avis n+1]]),FALSE),""),"")</f>
        <v/>
      </c>
      <c r="L182" s="142" t="str">
        <f>IFERROR(IF(VLOOKUP(T_Commission[[#This Row],[NumL]],T_suiviDi[#Data],COLUMN(T_suiviDi[[#This Row],[Avis n+2]]),FALSE)&lt;&gt;"",VLOOKUP(T_Commission[[#This Row],[NumL]],T_suiviDi[#Data],COLUMN(T_suiviDi[[#This Row],[Avis n+2]]),FALSE),""),"")</f>
        <v/>
      </c>
      <c r="M182" s="49">
        <v>1</v>
      </c>
      <c r="N182" s="49"/>
      <c r="O182" s="143" t="str">
        <f>IF(T_Commission[[#This Row],[Nom]]&lt;&gt;"",IF(T_Commission[[#This Row],[COM '#2]]&lt;&gt;"",MAX(T_Commission[[#This Row],[PJ]],T_Commission[[#This Row],[COM '#2]]),IF(T_Commission[[#This Row],[COM '#1]]&lt;&gt;"",MAX(T_Commission[[#This Row],[PJ]],T_Commission[[#This Row],[COM '#1]]),"")),"")</f>
        <v/>
      </c>
      <c r="P182" s="55" t="s">
        <v>115</v>
      </c>
      <c r="Q182" s="55" t="s">
        <v>3277</v>
      </c>
      <c r="R182" s="55"/>
      <c r="S182" s="56"/>
      <c r="T182" s="144"/>
    </row>
    <row r="183" spans="1:20" s="93" customFormat="1" ht="30" customHeight="1" x14ac:dyDescent="0.25">
      <c r="A183" s="90">
        <v>276</v>
      </c>
      <c r="B183" s="130" t="str">
        <f>IFERROR(IF(VLOOKUP(T_Commission[[#This Row],[NumL]],T_TraitDi[#Data],COLUMN(T_TraitDi[[#This Row],[Statut]]),FALSE)&lt;&gt;"",VLOOKUP(T_Commission[[#This Row],[NumL]],T_TraitDi[#Data],COLUMN(T_TraitDi[[#This Row],[Statut]]),FALSE),""),"")</f>
        <v/>
      </c>
      <c r="C183" s="19" t="str">
        <f>IFERROR(IF(VLOOKUP(T_Commission[[#This Row],[NumL]],T_suiviDi[#Data],COLUMN(T_suiviDi[Nom]),FALSE)&lt;&gt;"",VLOOKUP(T_Commission[[#This Row],[NumL]],T_suiviDi[#Data],COLUMN(T_suiviDi[Nom]),FALSE),""),"")</f>
        <v/>
      </c>
      <c r="D183" s="19" t="str">
        <f>IFERROR(IF(VLOOKUP(T_Commission[[#This Row],[NumL]],T_suiviDi[#Data],COLUMN(T_suiviDi[Prénom]),FALSE)&lt;&gt;"",VLOOKUP(T_Commission[[#This Row],[NumL]],T_suiviDi[#Data],COLUMN(T_suiviDi[Prénom]),FALSE),""),"")</f>
        <v/>
      </c>
      <c r="E183" s="20" t="str">
        <f>IFERROR(IF(VLOOKUP(T_Commission[[#This Row],[NumL]],T_suiviDi[#Data],COLUMN(T_suiviDi[Email]),FALSE)&lt;&gt;"",VLOOKUP(T_Commission[[#This Row],[NumL]],T_suiviDi[#Data],COLUMN(T_suiviDi[Email]),FALSE),""),"")</f>
        <v/>
      </c>
      <c r="F183" s="274" t="str">
        <f>IFERROR(IF(VLOOKUP(T_Commission[[#This Row],[NumL]],T_suiviDi[#Data],COLUMN(T_suiviDi[[#This Row],[Nom1]]),FALSE)&lt;&gt;"",VLOOKUP(T_Commission[[#This Row],[NumL]],T_suiviDi[#Data],COLUMN(T_suiviDi[[#This Row],[Nom1]]),FALSE),""),"")</f>
        <v/>
      </c>
      <c r="G183" s="274" t="str">
        <f>IFERROR(IF(VLOOKUP(T_Commission[[#This Row],[NumL]],T_suiviDi[#Data],COLUMN(T_suiviDi[[#This Row],[Prénom1]]),FALSE)&lt;&gt;"",VLOOKUP(T_Commission[[#This Row],[NumL]],T_suiviDi[#Data],COLUMN(T_suiviDi[[#This Row],[Prénom1]]),FALSE),""),"")</f>
        <v/>
      </c>
      <c r="H183" s="274" t="str">
        <f>IFERROR(IF(VLOOKUP(T_Commission[[#This Row],[NumL]],T_suiviDi[#Data],COLUMN(T_suiviDi[[#This Row],[Email1]]),FALSE)&lt;&gt;"",VLOOKUP(T_Commission[[#This Row],[NumL]],T_suiviDi[#Data],COLUMN(T_suiviDi[[#This Row],[Email1]]),FALSE),""),"")</f>
        <v/>
      </c>
      <c r="I183" s="142" t="str">
        <f>IFERROR(VLOOKUP(T_Commission[[#This Row],[NumL]],T_TraitDi[#Data],COLUMN(T_TraitDi[[#This Row],[CTRL_PJ]]),FALSE),"")</f>
        <v/>
      </c>
      <c r="J183" s="142" t="str">
        <f>IF(T_Commission[[#This Row],[Nom]]&lt;&gt;"",IFERROR(VLOOKUP(T_Commission[[#This Row],[NumL]],T_TraitDi[#Data],COLUMN(T_TraitDi[[#This Row],[C10]]),FALSE),""),"")</f>
        <v/>
      </c>
      <c r="K183" s="142" t="str">
        <f>IFERROR(IF(VLOOKUP(T_Commission[[#This Row],[NumL]],T_suiviDi[#Data],COLUMN(T_suiviDi[[#This Row],[Avis n+1]]),FALSE)&lt;&gt;"",VLOOKUP(A183,T_suiviDi[#Data],COLUMN(T_suiviDi[[#This Row],[Avis n+1]]),FALSE),""),"")</f>
        <v/>
      </c>
      <c r="L183" s="142" t="str">
        <f>IFERROR(IF(VLOOKUP(T_Commission[[#This Row],[NumL]],T_suiviDi[#Data],COLUMN(T_suiviDi[[#This Row],[Avis n+2]]),FALSE)&lt;&gt;"",VLOOKUP(T_Commission[[#This Row],[NumL]],T_suiviDi[#Data],COLUMN(T_suiviDi[[#This Row],[Avis n+2]]),FALSE),""),"")</f>
        <v/>
      </c>
      <c r="M183" s="49">
        <v>1</v>
      </c>
      <c r="N183" s="49"/>
      <c r="O183" s="143" t="str">
        <f>IF(T_Commission[[#This Row],[Nom]]&lt;&gt;"",IF(T_Commission[[#This Row],[COM '#2]]&lt;&gt;"",MAX(T_Commission[[#This Row],[PJ]],T_Commission[[#This Row],[COM '#2]]),IF(T_Commission[[#This Row],[COM '#1]]&lt;&gt;"",MAX(T_Commission[[#This Row],[PJ]],T_Commission[[#This Row],[COM '#1]]),"")),"")</f>
        <v/>
      </c>
      <c r="P183" s="55" t="s">
        <v>115</v>
      </c>
      <c r="Q183" s="55" t="s">
        <v>3277</v>
      </c>
      <c r="R183" s="55" t="s">
        <v>3277</v>
      </c>
      <c r="S183" s="56"/>
      <c r="T183" s="144"/>
    </row>
    <row r="184" spans="1:20" s="93" customFormat="1" ht="30" customHeight="1" x14ac:dyDescent="0.25">
      <c r="A184" s="90">
        <v>105</v>
      </c>
      <c r="B184" s="130" t="str">
        <f>IFERROR(IF(VLOOKUP(T_Commission[[#This Row],[NumL]],T_TraitDi[#Data],COLUMN(T_TraitDi[[#This Row],[Statut]]),FALSE)&lt;&gt;"",VLOOKUP(T_Commission[[#This Row],[NumL]],T_TraitDi[#Data],COLUMN(T_TraitDi[[#This Row],[Statut]]),FALSE),""),"")</f>
        <v/>
      </c>
      <c r="C184" s="19" t="str">
        <f>IFERROR(IF(VLOOKUP(T_Commission[[#This Row],[NumL]],T_suiviDi[#Data],COLUMN(T_suiviDi[Nom]),FALSE)&lt;&gt;"",VLOOKUP(T_Commission[[#This Row],[NumL]],T_suiviDi[#Data],COLUMN(T_suiviDi[Nom]),FALSE),""),"")</f>
        <v/>
      </c>
      <c r="D184" s="19" t="str">
        <f>IFERROR(IF(VLOOKUP(T_Commission[[#This Row],[NumL]],T_suiviDi[#Data],COLUMN(T_suiviDi[Prénom]),FALSE)&lt;&gt;"",VLOOKUP(T_Commission[[#This Row],[NumL]],T_suiviDi[#Data],COLUMN(T_suiviDi[Prénom]),FALSE),""),"")</f>
        <v/>
      </c>
      <c r="E184" s="20" t="str">
        <f>IFERROR(IF(VLOOKUP(T_Commission[[#This Row],[NumL]],T_suiviDi[#Data],COLUMN(T_suiviDi[Email]),FALSE)&lt;&gt;"",VLOOKUP(T_Commission[[#This Row],[NumL]],T_suiviDi[#Data],COLUMN(T_suiviDi[Email]),FALSE),""),"")</f>
        <v/>
      </c>
      <c r="F184" s="274" t="str">
        <f>IFERROR(IF(VLOOKUP(T_Commission[[#This Row],[NumL]],T_suiviDi[#Data],COLUMN(T_suiviDi[[#This Row],[Nom1]]),FALSE)&lt;&gt;"",VLOOKUP(T_Commission[[#This Row],[NumL]],T_suiviDi[#Data],COLUMN(T_suiviDi[[#This Row],[Nom1]]),FALSE),""),"")</f>
        <v/>
      </c>
      <c r="G184" s="274" t="str">
        <f>IFERROR(IF(VLOOKUP(T_Commission[[#This Row],[NumL]],T_suiviDi[#Data],COLUMN(T_suiviDi[[#This Row],[Prénom1]]),FALSE)&lt;&gt;"",VLOOKUP(T_Commission[[#This Row],[NumL]],T_suiviDi[#Data],COLUMN(T_suiviDi[[#This Row],[Prénom1]]),FALSE),""),"")</f>
        <v/>
      </c>
      <c r="H184" s="274" t="str">
        <f>IFERROR(IF(VLOOKUP(T_Commission[[#This Row],[NumL]],T_suiviDi[#Data],COLUMN(T_suiviDi[[#This Row],[Email1]]),FALSE)&lt;&gt;"",VLOOKUP(T_Commission[[#This Row],[NumL]],T_suiviDi[#Data],COLUMN(T_suiviDi[[#This Row],[Email1]]),FALSE),""),"")</f>
        <v/>
      </c>
      <c r="I184" s="142" t="str">
        <f>IFERROR(VLOOKUP(T_Commission[[#This Row],[NumL]],T_TraitDi[#Data],COLUMN(T_TraitDi[[#This Row],[CTRL_PJ]]),FALSE),"")</f>
        <v/>
      </c>
      <c r="J184" s="142" t="str">
        <f>IF(T_Commission[[#This Row],[Nom]]&lt;&gt;"",IFERROR(VLOOKUP(T_Commission[[#This Row],[NumL]],T_TraitDi[#Data],COLUMN(T_TraitDi[[#This Row],[C10]]),FALSE),""),"")</f>
        <v/>
      </c>
      <c r="K184" s="142" t="str">
        <f>IFERROR(IF(VLOOKUP(T_Commission[[#This Row],[NumL]],T_suiviDi[#Data],COLUMN(T_suiviDi[[#This Row],[Avis n+1]]),FALSE)&lt;&gt;"",VLOOKUP(A184,T_suiviDi[#Data],COLUMN(T_suiviDi[[#This Row],[Avis n+1]]),FALSE),""),"")</f>
        <v/>
      </c>
      <c r="L184" s="142" t="str">
        <f>IFERROR(IF(VLOOKUP(T_Commission[[#This Row],[NumL]],T_suiviDi[#Data],COLUMN(T_suiviDi[[#This Row],[Avis n+2]]),FALSE)&lt;&gt;"",VLOOKUP(T_Commission[[#This Row],[NumL]],T_suiviDi[#Data],COLUMN(T_suiviDi[[#This Row],[Avis n+2]]),FALSE),""),"")</f>
        <v/>
      </c>
      <c r="M184" s="49">
        <v>1</v>
      </c>
      <c r="N184" s="49"/>
      <c r="O184" s="143" t="str">
        <f>IF(T_Commission[[#This Row],[Nom]]&lt;&gt;"",IF(T_Commission[[#This Row],[COM '#2]]&lt;&gt;"",MAX(T_Commission[[#This Row],[PJ]],T_Commission[[#This Row],[COM '#2]]),IF(T_Commission[[#This Row],[COM '#1]]&lt;&gt;"",MAX(T_Commission[[#This Row],[PJ]],T_Commission[[#This Row],[COM '#1]]),"")),"")</f>
        <v/>
      </c>
      <c r="P184" s="55" t="s">
        <v>115</v>
      </c>
      <c r="Q184" s="55" t="s">
        <v>3277</v>
      </c>
      <c r="R184" s="55" t="s">
        <v>3277</v>
      </c>
      <c r="S184" s="56"/>
      <c r="T184" s="144"/>
    </row>
    <row r="185" spans="1:20" s="93" customFormat="1" ht="30" customHeight="1" x14ac:dyDescent="0.25">
      <c r="A185" s="90">
        <v>356</v>
      </c>
      <c r="B185" s="130" t="str">
        <f>IFERROR(IF(VLOOKUP(T_Commission[[#This Row],[NumL]],T_TraitDi[#Data],COLUMN(T_TraitDi[[#This Row],[Statut]]),FALSE)&lt;&gt;"",VLOOKUP(T_Commission[[#This Row],[NumL]],T_TraitDi[#Data],COLUMN(T_TraitDi[[#This Row],[Statut]]),FALSE),""),"")</f>
        <v/>
      </c>
      <c r="C185" s="139" t="str">
        <f>IFERROR(IF(VLOOKUP(T_Commission[[#This Row],[NumL]],T_suiviDi[#Data],COLUMN(T_suiviDi[[#This Row],[Nom]]),FALSE)&lt;&gt;"",VLOOKUP(T_Commission[[#This Row],[NumL]],T_suiviDi[#Data],COLUMN(T_suiviDi[[#This Row],[Nom]]),FALSE),""),"")</f>
        <v/>
      </c>
      <c r="D185" s="139" t="str">
        <f>IFERROR(IF(VLOOKUP(T_Commission[[#This Row],[NumL]],T_suiviDi[#Data],COLUMN(T_suiviDi[[#This Row],[Prénom]]),FALSE)&lt;&gt;"",VLOOKUP(T_Commission[[#This Row],[NumL]],T_suiviDi[#Data],COLUMN(T_suiviDi[[#This Row],[Prénom]]),FALSE),""),"")</f>
        <v/>
      </c>
      <c r="E185" s="140" t="str">
        <f>IFERROR(IF(VLOOKUP(T_Commission[[#This Row],[NumL]],T_suiviDi[#Data],COLUMN(T_suiviDi[[#This Row],[Email]]),FALSE)&lt;&gt;"",VLOOKUP(T_Commission[[#This Row],[NumL]],T_suiviDi[#Data],COLUMN(T_suiviDi[[#This Row],[Email]]),FALSE),""),"")</f>
        <v/>
      </c>
      <c r="F185" s="141" t="str">
        <f>IFERROR(IF(VLOOKUP(T_Commission[[#This Row],[NumL]],T_suiviDi[#Data],COLUMN(T_suiviDi[[#This Row],[Nom1]]),FALSE)&lt;&gt;"",VLOOKUP(T_Commission[[#This Row],[NumL]],T_suiviDi[#Data],COLUMN(T_suiviDi[[#This Row],[Nom1]]),FALSE),""),"")</f>
        <v/>
      </c>
      <c r="G185" s="141" t="str">
        <f>IFERROR(IF(VLOOKUP(T_Commission[[#This Row],[NumL]],T_suiviDi[#Data],COLUMN(T_suiviDi[[#This Row],[Prénom1]]),FALSE)&lt;&gt;"",VLOOKUP(T_Commission[[#This Row],[NumL]],T_suiviDi[#Data],COLUMN(T_suiviDi[[#This Row],[Prénom1]]),FALSE),""),"")</f>
        <v/>
      </c>
      <c r="H185" s="141" t="str">
        <f>IFERROR(IF(VLOOKUP(T_Commission[[#This Row],[NumL]],T_suiviDi[#Data],COLUMN(T_suiviDi[[#This Row],[Email1]]),FALSE)&lt;&gt;"",VLOOKUP(T_Commission[[#This Row],[NumL]],T_suiviDi[#Data],COLUMN(T_suiviDi[[#This Row],[Email1]]),FALSE),""),"")</f>
        <v/>
      </c>
      <c r="I185" s="142" t="str">
        <f>IFERROR(VLOOKUP(T_Commission[[#This Row],[NumL]],T_TraitDi[#Data],COLUMN(T_TraitDi[[#This Row],[CTRL_PJ]]),FALSE),"")</f>
        <v/>
      </c>
      <c r="J185" s="142" t="str">
        <f>IF(C185&lt;&gt;"",IFERROR(VLOOKUP(A185,'2- Traitement des DI'!BV32,FALSE),""),"")</f>
        <v/>
      </c>
      <c r="K185" s="142" t="str">
        <f>IFERROR(IF(VLOOKUP(T_Commission[[#This Row],[NumL]],T_suiviDi[#Data],COLUMN(T_suiviDi[[#This Row],[Avis n+1]]),FALSE)&lt;&gt;"",VLOOKUP(A185,T_suiviDi[#Data],COLUMN(T_suiviDi[[#This Row],[Avis n+1]]),FALSE),""),"")</f>
        <v/>
      </c>
      <c r="L185" s="142" t="str">
        <f>IFERROR(IF(VLOOKUP(A185,ListeDI,27,FALSE)&lt;&gt;"",VLOOKUP(A185,ListeDI,27,FALSE),""),"")</f>
        <v/>
      </c>
      <c r="M185" s="49">
        <v>1</v>
      </c>
      <c r="N185" s="49"/>
      <c r="O185" s="143" t="str">
        <f>IF(C185&lt;&gt;"",IF(N185&lt;&gt;"",MAX(I185,N185),IF(M185&lt;&gt;"",MAX(I185,M185),"")),"")</f>
        <v/>
      </c>
      <c r="P185" s="55" t="s">
        <v>115</v>
      </c>
      <c r="Q185" s="55" t="s">
        <v>3277</v>
      </c>
      <c r="R185" s="55" t="s">
        <v>3277</v>
      </c>
      <c r="S185" s="56"/>
      <c r="T185" s="144"/>
    </row>
    <row r="186" spans="1:20" s="93" customFormat="1" ht="30" customHeight="1" x14ac:dyDescent="0.25">
      <c r="A186" s="90">
        <v>52</v>
      </c>
      <c r="B186" s="130" t="str">
        <f>IFERROR(IF(VLOOKUP(T_Commission[[#This Row],[NumL]],T_TraitDi[#Data],COLUMN(T_TraitDi[[#This Row],[Statut]]),FALSE)&lt;&gt;"",VLOOKUP(T_Commission[[#This Row],[NumL]],T_TraitDi[#Data],COLUMN(T_TraitDi[[#This Row],[Statut]]),FALSE),""),"")</f>
        <v/>
      </c>
      <c r="C186" s="19" t="str">
        <f>IFERROR(IF(VLOOKUP(T_Commission[[#This Row],[NumL]],T_suiviDi[#Data],COLUMN(T_suiviDi[Nom]),FALSE)&lt;&gt;"",VLOOKUP(T_Commission[[#This Row],[NumL]],T_suiviDi[#Data],COLUMN(T_suiviDi[Nom]),FALSE),""),"")</f>
        <v/>
      </c>
      <c r="D186" s="19" t="str">
        <f>IFERROR(IF(VLOOKUP(T_Commission[[#This Row],[NumL]],T_suiviDi[#Data],COLUMN(T_suiviDi[Prénom]),FALSE)&lt;&gt;"",VLOOKUP(T_Commission[[#This Row],[NumL]],T_suiviDi[#Data],COLUMN(T_suiviDi[Prénom]),FALSE),""),"")</f>
        <v/>
      </c>
      <c r="E186" s="20" t="str">
        <f>IFERROR(IF(VLOOKUP(T_Commission[[#This Row],[NumL]],T_suiviDi[#Data],COLUMN(T_suiviDi[Email]),FALSE)&lt;&gt;"",VLOOKUP(T_Commission[[#This Row],[NumL]],T_suiviDi[#Data],COLUMN(T_suiviDi[Email]),FALSE),""),"")</f>
        <v/>
      </c>
      <c r="F186" s="274" t="str">
        <f>IFERROR(IF(VLOOKUP(T_Commission[[#This Row],[NumL]],T_suiviDi[#Data],COLUMN(T_suiviDi[[#This Row],[Nom1]]),FALSE)&lt;&gt;"",VLOOKUP(T_Commission[[#This Row],[NumL]],T_suiviDi[#Data],COLUMN(T_suiviDi[[#This Row],[Nom1]]),FALSE),""),"")</f>
        <v/>
      </c>
      <c r="G186" s="274" t="str">
        <f>IFERROR(IF(VLOOKUP(T_Commission[[#This Row],[NumL]],T_suiviDi[#Data],COLUMN(T_suiviDi[[#This Row],[Prénom1]]),FALSE)&lt;&gt;"",VLOOKUP(T_Commission[[#This Row],[NumL]],T_suiviDi[#Data],COLUMN(T_suiviDi[[#This Row],[Prénom1]]),FALSE),""),"")</f>
        <v/>
      </c>
      <c r="H186" s="274" t="str">
        <f>IFERROR(IF(VLOOKUP(T_Commission[[#This Row],[NumL]],T_suiviDi[#Data],COLUMN(T_suiviDi[[#This Row],[Email1]]),FALSE)&lt;&gt;"",VLOOKUP(T_Commission[[#This Row],[NumL]],T_suiviDi[#Data],COLUMN(T_suiviDi[[#This Row],[Email1]]),FALSE),""),"")</f>
        <v/>
      </c>
      <c r="I186" s="142" t="str">
        <f>IFERROR(VLOOKUP(T_Commission[[#This Row],[NumL]],T_TraitDi[#Data],COLUMN(T_TraitDi[[#This Row],[CTRL_PJ]]),FALSE),"")</f>
        <v/>
      </c>
      <c r="J186" s="142" t="str">
        <f>IF(T_Commission[[#This Row],[Nom]]&lt;&gt;"",IFERROR(VLOOKUP(T_Commission[[#This Row],[NumL]],T_TraitDi[#Data],COLUMN(T_TraitDi[[#This Row],[C10]]),FALSE),""),"")</f>
        <v/>
      </c>
      <c r="K186" s="142" t="str">
        <f>IFERROR(IF(VLOOKUP(T_Commission[[#This Row],[NumL]],T_suiviDi[#Data],COLUMN(T_suiviDi[[#This Row],[Avis n+1]]),FALSE)&lt;&gt;"",VLOOKUP(A186,T_suiviDi[#Data],COLUMN(T_suiviDi[[#This Row],[Avis n+1]]),FALSE),""),"")</f>
        <v/>
      </c>
      <c r="L186" s="142" t="str">
        <f>IFERROR(IF(VLOOKUP(T_Commission[[#This Row],[NumL]],T_suiviDi[#Data],COLUMN(T_suiviDi[[#This Row],[Avis n+2]]),FALSE)&lt;&gt;"",VLOOKUP(T_Commission[[#This Row],[NumL]],T_suiviDi[#Data],COLUMN(T_suiviDi[[#This Row],[Avis n+2]]),FALSE),""),"")</f>
        <v/>
      </c>
      <c r="M186" s="49">
        <v>1</v>
      </c>
      <c r="N186" s="49"/>
      <c r="O186" s="143" t="str">
        <f>IF(T_Commission[[#This Row],[Nom]]&lt;&gt;"",IF(T_Commission[[#This Row],[COM '#2]]&lt;&gt;"",MAX(T_Commission[[#This Row],[PJ]],T_Commission[[#This Row],[COM '#2]]),IF(T_Commission[[#This Row],[COM '#1]]&lt;&gt;"",MAX(T_Commission[[#This Row],[PJ]],T_Commission[[#This Row],[COM '#1]]),"")),"")</f>
        <v/>
      </c>
      <c r="P186" s="55" t="s">
        <v>115</v>
      </c>
      <c r="Q186" s="55" t="s">
        <v>3277</v>
      </c>
      <c r="R186" s="55" t="s">
        <v>3277</v>
      </c>
      <c r="S186" s="56"/>
      <c r="T186" s="144"/>
    </row>
    <row r="187" spans="1:20" s="93" customFormat="1" ht="30" customHeight="1" x14ac:dyDescent="0.25">
      <c r="A187" s="90">
        <v>309</v>
      </c>
      <c r="B187" s="130" t="str">
        <f>IFERROR(IF(VLOOKUP(T_Commission[[#This Row],[NumL]],T_TraitDi[#Data],COLUMN(T_TraitDi[[#This Row],[Statut]]),FALSE)&lt;&gt;"",VLOOKUP(T_Commission[[#This Row],[NumL]],T_TraitDi[#Data],COLUMN(T_TraitDi[[#This Row],[Statut]]),FALSE),""),"")</f>
        <v/>
      </c>
      <c r="C187" s="139" t="str">
        <f>IFERROR(IF(VLOOKUP(T_Commission[[#This Row],[NumL]],T_suiviDi[#Data],COLUMN(T_suiviDi[[#This Row],[Nom]]),FALSE)&lt;&gt;"",VLOOKUP(T_Commission[[#This Row],[NumL]],T_suiviDi[#Data],COLUMN(T_suiviDi[[#This Row],[Nom]]),FALSE),""),"")</f>
        <v/>
      </c>
      <c r="D187" s="139" t="str">
        <f>IFERROR(IF(VLOOKUP(T_Commission[[#This Row],[NumL]],T_suiviDi[#Data],COLUMN(T_suiviDi[[#This Row],[Prénom]]),FALSE)&lt;&gt;"",VLOOKUP(T_Commission[[#This Row],[NumL]],T_suiviDi[#Data],COLUMN(T_suiviDi[[#This Row],[Prénom]]),FALSE),""),"")</f>
        <v/>
      </c>
      <c r="E187" s="140" t="str">
        <f>IFERROR(IF(VLOOKUP(T_Commission[[#This Row],[NumL]],T_suiviDi[#Data],COLUMN(T_suiviDi[[#This Row],[Email]]),FALSE)&lt;&gt;"",VLOOKUP(T_Commission[[#This Row],[NumL]],T_suiviDi[#Data],COLUMN(T_suiviDi[[#This Row],[Email]]),FALSE),""),"")</f>
        <v/>
      </c>
      <c r="F187" s="141" t="str">
        <f>IFERROR(IF(VLOOKUP(T_Commission[[#This Row],[NumL]],T_suiviDi[#Data],COLUMN(T_suiviDi[[#This Row],[Nom1]]),FALSE)&lt;&gt;"",VLOOKUP(T_Commission[[#This Row],[NumL]],T_suiviDi[#Data],COLUMN(T_suiviDi[[#This Row],[Nom1]]),FALSE),""),"")</f>
        <v/>
      </c>
      <c r="G187" s="141" t="str">
        <f>IFERROR(IF(VLOOKUP(T_Commission[[#This Row],[NumL]],T_suiviDi[#Data],COLUMN(T_suiviDi[[#This Row],[Prénom1]]),FALSE)&lt;&gt;"",VLOOKUP(T_Commission[[#This Row],[NumL]],T_suiviDi[#Data],COLUMN(T_suiviDi[[#This Row],[Prénom1]]),FALSE),""),"")</f>
        <v/>
      </c>
      <c r="H187" s="141" t="str">
        <f>IFERROR(IF(VLOOKUP(T_Commission[[#This Row],[NumL]],T_suiviDi[#Data],COLUMN(T_suiviDi[[#This Row],[Email1]]),FALSE)&lt;&gt;"",VLOOKUP(T_Commission[[#This Row],[NumL]],T_suiviDi[#Data],COLUMN(T_suiviDi[[#This Row],[Email1]]),FALSE),""),"")</f>
        <v/>
      </c>
      <c r="I187" s="142" t="str">
        <f>IFERROR(VLOOKUP(T_Commission[[#This Row],[NumL]],T_TraitDi[#Data],COLUMN(T_TraitDi[[#This Row],[CTRL_PJ]]),FALSE),"")</f>
        <v/>
      </c>
      <c r="J187" s="142" t="str">
        <f>IF(C187&lt;&gt;"",IFERROR(VLOOKUP(A187,'2- Traitement des DI'!BV32,FALSE),""),"")</f>
        <v/>
      </c>
      <c r="K187" s="142" t="str">
        <f>IFERROR(IF(VLOOKUP(T_Commission[[#This Row],[NumL]],T_suiviDi[#Data],COLUMN(T_suiviDi[[#This Row],[Avis n+1]]),FALSE)&lt;&gt;"",VLOOKUP(A187,T_suiviDi[#Data],COLUMN(T_suiviDi[[#This Row],[Avis n+1]]),FALSE),""),"")</f>
        <v/>
      </c>
      <c r="L187" s="142" t="str">
        <f>IFERROR(IF(VLOOKUP(A187,ListeDI,27,FALSE)&lt;&gt;"",VLOOKUP(A187,ListeDI,27,FALSE),""),"")</f>
        <v/>
      </c>
      <c r="M187" s="49">
        <v>1</v>
      </c>
      <c r="N187" s="49"/>
      <c r="O187" s="143" t="str">
        <f>IF(C187&lt;&gt;"",IF(N187&lt;&gt;"",MAX(I187,N187),IF(M187&lt;&gt;"",MAX(I187,M187),"")),"")</f>
        <v/>
      </c>
      <c r="P187" s="55" t="s">
        <v>115</v>
      </c>
      <c r="Q187" s="55" t="s">
        <v>3277</v>
      </c>
      <c r="R187" s="55" t="s">
        <v>3277</v>
      </c>
      <c r="S187" s="56"/>
      <c r="T187" s="144"/>
    </row>
    <row r="188" spans="1:20" s="93" customFormat="1" ht="30" customHeight="1" x14ac:dyDescent="0.25">
      <c r="A188" s="90">
        <v>35</v>
      </c>
      <c r="B188" s="130" t="str">
        <f>IFERROR(IF(VLOOKUP(T_Commission[[#This Row],[NumL]],T_TraitDi[#Data],COLUMN(T_TraitDi[[#This Row],[Statut]]),FALSE)&lt;&gt;"",VLOOKUP(T_Commission[[#This Row],[NumL]],T_TraitDi[#Data],COLUMN(T_TraitDi[[#This Row],[Statut]]),FALSE),""),"")</f>
        <v/>
      </c>
      <c r="C188" s="19" t="str">
        <f>IFERROR(IF(VLOOKUP(T_Commission[[#This Row],[NumL]],T_suiviDi[#Data],COLUMN(T_suiviDi[Nom]),FALSE)&lt;&gt;"",VLOOKUP(T_Commission[[#This Row],[NumL]],T_suiviDi[#Data],COLUMN(T_suiviDi[Nom]),FALSE),""),"")</f>
        <v/>
      </c>
      <c r="D188" s="19" t="str">
        <f>IFERROR(IF(VLOOKUP(T_Commission[[#This Row],[NumL]],T_suiviDi[#Data],COLUMN(T_suiviDi[Prénom]),FALSE)&lt;&gt;"",VLOOKUP(T_Commission[[#This Row],[NumL]],T_suiviDi[#Data],COLUMN(T_suiviDi[Prénom]),FALSE),""),"")</f>
        <v/>
      </c>
      <c r="E188" s="20" t="str">
        <f>IFERROR(IF(VLOOKUP(T_Commission[[#This Row],[NumL]],T_suiviDi[#Data],COLUMN(T_suiviDi[Email]),FALSE)&lt;&gt;"",VLOOKUP(T_Commission[[#This Row],[NumL]],T_suiviDi[#Data],COLUMN(T_suiviDi[Email]),FALSE),""),"")</f>
        <v/>
      </c>
      <c r="F188" s="274" t="str">
        <f>IFERROR(IF(VLOOKUP(T_Commission[[#This Row],[NumL]],T_suiviDi[#Data],COLUMN(T_suiviDi[[#This Row],[Nom1]]),FALSE)&lt;&gt;"",VLOOKUP(T_Commission[[#This Row],[NumL]],T_suiviDi[#Data],COLUMN(T_suiviDi[[#This Row],[Nom1]]),FALSE),""),"")</f>
        <v/>
      </c>
      <c r="G188" s="274" t="str">
        <f>IFERROR(IF(VLOOKUP(T_Commission[[#This Row],[NumL]],T_suiviDi[#Data],COLUMN(T_suiviDi[[#This Row],[Prénom1]]),FALSE)&lt;&gt;"",VLOOKUP(T_Commission[[#This Row],[NumL]],T_suiviDi[#Data],COLUMN(T_suiviDi[[#This Row],[Prénom1]]),FALSE),""),"")</f>
        <v/>
      </c>
      <c r="H188" s="274" t="str">
        <f>IFERROR(IF(VLOOKUP(T_Commission[[#This Row],[NumL]],T_suiviDi[#Data],COLUMN(T_suiviDi[[#This Row],[Email1]]),FALSE)&lt;&gt;"",VLOOKUP(T_Commission[[#This Row],[NumL]],T_suiviDi[#Data],COLUMN(T_suiviDi[[#This Row],[Email1]]),FALSE),""),"")</f>
        <v/>
      </c>
      <c r="I188" s="142" t="str">
        <f>IFERROR(VLOOKUP(T_Commission[[#This Row],[NumL]],T_TraitDi[#Data],COLUMN(T_TraitDi[[#This Row],[CTRL_PJ]]),FALSE),"")</f>
        <v/>
      </c>
      <c r="J188" s="142" t="str">
        <f>IF(T_Commission[[#This Row],[Nom]]&lt;&gt;"",IFERROR(VLOOKUP(T_Commission[[#This Row],[NumL]],T_TraitDi[#Data],COLUMN(T_TraitDi[[#This Row],[C10]]),FALSE),""),"")</f>
        <v/>
      </c>
      <c r="K188" s="142" t="str">
        <f>IFERROR(IF(VLOOKUP(T_Commission[[#This Row],[NumL]],T_suiviDi[#Data],COLUMN(T_suiviDi[[#This Row],[Avis n+1]]),FALSE)&lt;&gt;"",VLOOKUP(A188,T_suiviDi[#Data],COLUMN(T_suiviDi[[#This Row],[Avis n+1]]),FALSE),""),"")</f>
        <v/>
      </c>
      <c r="L188" s="142" t="str">
        <f>IFERROR(IF(VLOOKUP(T_Commission[[#This Row],[NumL]],T_suiviDi[#Data],COLUMN(T_suiviDi[[#This Row],[Avis n+2]]),FALSE)&lt;&gt;"",VLOOKUP(T_Commission[[#This Row],[NumL]],T_suiviDi[#Data],COLUMN(T_suiviDi[[#This Row],[Avis n+2]]),FALSE),""),"")</f>
        <v/>
      </c>
      <c r="M188" s="49">
        <v>1</v>
      </c>
      <c r="N188" s="49"/>
      <c r="O188" s="143" t="str">
        <f>IF(T_Commission[[#This Row],[Nom]]&lt;&gt;"",IF(T_Commission[[#This Row],[COM '#2]]&lt;&gt;"",MAX(T_Commission[[#This Row],[PJ]],T_Commission[[#This Row],[COM '#2]]),IF(T_Commission[[#This Row],[COM '#1]]&lt;&gt;"",MAX(T_Commission[[#This Row],[PJ]],T_Commission[[#This Row],[COM '#1]]),"")),"")</f>
        <v/>
      </c>
      <c r="P188" s="55" t="s">
        <v>115</v>
      </c>
      <c r="Q188" s="55" t="s">
        <v>3277</v>
      </c>
      <c r="R188" s="55" t="s">
        <v>3277</v>
      </c>
      <c r="S188" s="56"/>
      <c r="T188" s="144"/>
    </row>
    <row r="189" spans="1:20" s="93" customFormat="1" ht="30" customHeight="1" x14ac:dyDescent="0.25">
      <c r="A189" s="90">
        <v>75</v>
      </c>
      <c r="B189" s="130" t="str">
        <f>IFERROR(IF(VLOOKUP(T_Commission[[#This Row],[NumL]],T_TraitDi[#Data],COLUMN(T_TraitDi[[#This Row],[Statut]]),FALSE)&lt;&gt;"",VLOOKUP(T_Commission[[#This Row],[NumL]],T_TraitDi[#Data],COLUMN(T_TraitDi[[#This Row],[Statut]]),FALSE),""),"")</f>
        <v/>
      </c>
      <c r="C189" s="19" t="str">
        <f>IFERROR(IF(VLOOKUP(T_Commission[[#This Row],[NumL]],T_suiviDi[#Data],COLUMN(T_suiviDi[Nom]),FALSE)&lt;&gt;"",VLOOKUP(T_Commission[[#This Row],[NumL]],T_suiviDi[#Data],COLUMN(T_suiviDi[Nom]),FALSE),""),"")</f>
        <v/>
      </c>
      <c r="D189" s="19" t="str">
        <f>IFERROR(IF(VLOOKUP(T_Commission[[#This Row],[NumL]],T_suiviDi[#Data],COLUMN(T_suiviDi[Prénom]),FALSE)&lt;&gt;"",VLOOKUP(T_Commission[[#This Row],[NumL]],T_suiviDi[#Data],COLUMN(T_suiviDi[Prénom]),FALSE),""),"")</f>
        <v/>
      </c>
      <c r="E189" s="20" t="str">
        <f>IFERROR(IF(VLOOKUP(T_Commission[[#This Row],[NumL]],T_suiviDi[#Data],COLUMN(T_suiviDi[Email]),FALSE)&lt;&gt;"",VLOOKUP(T_Commission[[#This Row],[NumL]],T_suiviDi[#Data],COLUMN(T_suiviDi[Email]),FALSE),""),"")</f>
        <v/>
      </c>
      <c r="F189" s="274" t="str">
        <f>IFERROR(IF(VLOOKUP(T_Commission[[#This Row],[NumL]],T_suiviDi[#Data],COLUMN(T_suiviDi[[#This Row],[Nom1]]),FALSE)&lt;&gt;"",VLOOKUP(T_Commission[[#This Row],[NumL]],T_suiviDi[#Data],COLUMN(T_suiviDi[[#This Row],[Nom1]]),FALSE),""),"")</f>
        <v/>
      </c>
      <c r="G189" s="274" t="str">
        <f>IFERROR(IF(VLOOKUP(T_Commission[[#This Row],[NumL]],T_suiviDi[#Data],COLUMN(T_suiviDi[[#This Row],[Prénom1]]),FALSE)&lt;&gt;"",VLOOKUP(T_Commission[[#This Row],[NumL]],T_suiviDi[#Data],COLUMN(T_suiviDi[[#This Row],[Prénom1]]),FALSE),""),"")</f>
        <v/>
      </c>
      <c r="H189" s="274" t="str">
        <f>IFERROR(IF(VLOOKUP(T_Commission[[#This Row],[NumL]],T_suiviDi[#Data],COLUMN(T_suiviDi[[#This Row],[Email1]]),FALSE)&lt;&gt;"",VLOOKUP(T_Commission[[#This Row],[NumL]],T_suiviDi[#Data],COLUMN(T_suiviDi[[#This Row],[Email1]]),FALSE),""),"")</f>
        <v/>
      </c>
      <c r="I189" s="142" t="str">
        <f>IFERROR(VLOOKUP(T_Commission[[#This Row],[NumL]],T_TraitDi[#Data],COLUMN(T_TraitDi[[#This Row],[CTRL_PJ]]),FALSE),"")</f>
        <v/>
      </c>
      <c r="J189" s="142" t="str">
        <f>IF(T_Commission[[#This Row],[Nom]]&lt;&gt;"",IFERROR(VLOOKUP(T_Commission[[#This Row],[NumL]],T_TraitDi[#Data],COLUMN(T_TraitDi[[#This Row],[C10]]),FALSE),""),"")</f>
        <v/>
      </c>
      <c r="K189" s="142" t="str">
        <f>IFERROR(IF(VLOOKUP(T_Commission[[#This Row],[NumL]],T_suiviDi[#Data],COLUMN(T_suiviDi[[#This Row],[Avis n+1]]),FALSE)&lt;&gt;"",VLOOKUP(A189,T_suiviDi[#Data],COLUMN(T_suiviDi[[#This Row],[Avis n+1]]),FALSE),""),"")</f>
        <v/>
      </c>
      <c r="L189" s="142" t="str">
        <f>IFERROR(IF(VLOOKUP(T_Commission[[#This Row],[NumL]],T_suiviDi[#Data],COLUMN(T_suiviDi[[#This Row],[Avis n+2]]),FALSE)&lt;&gt;"",VLOOKUP(T_Commission[[#This Row],[NumL]],T_suiviDi[#Data],COLUMN(T_suiviDi[[#This Row],[Avis n+2]]),FALSE),""),"")</f>
        <v/>
      </c>
      <c r="M189" s="49">
        <v>1</v>
      </c>
      <c r="N189" s="49"/>
      <c r="O189" s="143" t="str">
        <f>IF(T_Commission[[#This Row],[Nom]]&lt;&gt;"",IF(T_Commission[[#This Row],[COM '#2]]&lt;&gt;"",MAX(T_Commission[[#This Row],[PJ]],T_Commission[[#This Row],[COM '#2]]),IF(T_Commission[[#This Row],[COM '#1]]&lt;&gt;"",MAX(T_Commission[[#This Row],[PJ]],T_Commission[[#This Row],[COM '#1]]),"")),"")</f>
        <v/>
      </c>
      <c r="P189" s="55" t="s">
        <v>115</v>
      </c>
      <c r="Q189" s="55" t="s">
        <v>3277</v>
      </c>
      <c r="R189" s="55" t="s">
        <v>3277</v>
      </c>
      <c r="S189" s="56"/>
      <c r="T189" s="144"/>
    </row>
    <row r="190" spans="1:20" s="93" customFormat="1" ht="30" customHeight="1" x14ac:dyDescent="0.25">
      <c r="A190" s="90">
        <v>281</v>
      </c>
      <c r="B190" s="130" t="str">
        <f>IFERROR(IF(VLOOKUP(T_Commission[[#This Row],[NumL]],T_TraitDi[#Data],COLUMN(T_TraitDi[[#This Row],[Statut]]),FALSE)&lt;&gt;"",VLOOKUP(T_Commission[[#This Row],[NumL]],T_TraitDi[#Data],COLUMN(T_TraitDi[[#This Row],[Statut]]),FALSE),""),"")</f>
        <v/>
      </c>
      <c r="C190" s="19" t="str">
        <f>IFERROR(IF(VLOOKUP(T_Commission[[#This Row],[NumL]],T_suiviDi[#Data],COLUMN(T_suiviDi[Nom]),FALSE)&lt;&gt;"",VLOOKUP(T_Commission[[#This Row],[NumL]],T_suiviDi[#Data],COLUMN(T_suiviDi[Nom]),FALSE),""),"")</f>
        <v/>
      </c>
      <c r="D190" s="19" t="str">
        <f>IFERROR(IF(VLOOKUP(T_Commission[[#This Row],[NumL]],T_suiviDi[#Data],COLUMN(T_suiviDi[Prénom]),FALSE)&lt;&gt;"",VLOOKUP(T_Commission[[#This Row],[NumL]],T_suiviDi[#Data],COLUMN(T_suiviDi[Prénom]),FALSE),""),"")</f>
        <v/>
      </c>
      <c r="E190" s="20" t="str">
        <f>IFERROR(IF(VLOOKUP(T_Commission[[#This Row],[NumL]],T_suiviDi[#Data],COLUMN(T_suiviDi[Email]),FALSE)&lt;&gt;"",VLOOKUP(T_Commission[[#This Row],[NumL]],T_suiviDi[#Data],COLUMN(T_suiviDi[Email]),FALSE),""),"")</f>
        <v/>
      </c>
      <c r="F190" s="274" t="str">
        <f>IFERROR(IF(VLOOKUP(T_Commission[[#This Row],[NumL]],T_suiviDi[#Data],COLUMN(T_suiviDi[[#This Row],[Nom1]]),FALSE)&lt;&gt;"",VLOOKUP(T_Commission[[#This Row],[NumL]],T_suiviDi[#Data],COLUMN(T_suiviDi[[#This Row],[Nom1]]),FALSE),""),"")</f>
        <v/>
      </c>
      <c r="G190" s="274" t="str">
        <f>IFERROR(IF(VLOOKUP(T_Commission[[#This Row],[NumL]],T_suiviDi[#Data],COLUMN(T_suiviDi[[#This Row],[Prénom1]]),FALSE)&lt;&gt;"",VLOOKUP(T_Commission[[#This Row],[NumL]],T_suiviDi[#Data],COLUMN(T_suiviDi[[#This Row],[Prénom1]]),FALSE),""),"")</f>
        <v/>
      </c>
      <c r="H190" s="274" t="str">
        <f>IFERROR(IF(VLOOKUP(T_Commission[[#This Row],[NumL]],T_suiviDi[#Data],COLUMN(T_suiviDi[[#This Row],[Email1]]),FALSE)&lt;&gt;"",VLOOKUP(T_Commission[[#This Row],[NumL]],T_suiviDi[#Data],COLUMN(T_suiviDi[[#This Row],[Email1]]),FALSE),""),"")</f>
        <v/>
      </c>
      <c r="I190" s="142" t="str">
        <f>IFERROR(VLOOKUP(T_Commission[[#This Row],[NumL]],T_TraitDi[#Data],COLUMN(T_TraitDi[[#This Row],[CTRL_PJ]]),FALSE),"")</f>
        <v/>
      </c>
      <c r="J190" s="142" t="str">
        <f>IF(T_Commission[[#This Row],[Nom]]&lt;&gt;"",IFERROR(VLOOKUP(T_Commission[[#This Row],[NumL]],T_TraitDi[#Data],COLUMN(T_TraitDi[[#This Row],[C10]]),FALSE),""),"")</f>
        <v/>
      </c>
      <c r="K190" s="142" t="str">
        <f>IFERROR(IF(VLOOKUP(T_Commission[[#This Row],[NumL]],T_suiviDi[#Data],COLUMN(T_suiviDi[[#This Row],[Avis n+1]]),FALSE)&lt;&gt;"",VLOOKUP(A190,T_suiviDi[#Data],COLUMN(T_suiviDi[[#This Row],[Avis n+1]]),FALSE),""),"")</f>
        <v/>
      </c>
      <c r="L190" s="142" t="str">
        <f>IFERROR(IF(VLOOKUP(T_Commission[[#This Row],[NumL]],T_suiviDi[#Data],COLUMN(T_suiviDi[[#This Row],[Avis n+2]]),FALSE)&lt;&gt;"",VLOOKUP(T_Commission[[#This Row],[NumL]],T_suiviDi[#Data],COLUMN(T_suiviDi[[#This Row],[Avis n+2]]),FALSE),""),"")</f>
        <v/>
      </c>
      <c r="M190" s="49">
        <v>1</v>
      </c>
      <c r="N190" s="49"/>
      <c r="O190" s="143" t="str">
        <f>IF(T_Commission[[#This Row],[Nom]]&lt;&gt;"",IF(T_Commission[[#This Row],[COM '#2]]&lt;&gt;"",MAX(T_Commission[[#This Row],[PJ]],T_Commission[[#This Row],[COM '#2]]),IF(T_Commission[[#This Row],[COM '#1]]&lt;&gt;"",MAX(T_Commission[[#This Row],[PJ]],T_Commission[[#This Row],[COM '#1]]),"")),"")</f>
        <v/>
      </c>
      <c r="P190" s="55" t="s">
        <v>115</v>
      </c>
      <c r="Q190" s="55" t="s">
        <v>3277</v>
      </c>
      <c r="R190" s="55"/>
      <c r="S190" s="56"/>
      <c r="T190" s="144"/>
    </row>
    <row r="191" spans="1:20" s="93" customFormat="1" ht="30" customHeight="1" x14ac:dyDescent="0.25">
      <c r="A191" s="90">
        <v>181</v>
      </c>
      <c r="B191" s="130" t="str">
        <f>IFERROR(IF(VLOOKUP(T_Commission[[#This Row],[NumL]],T_TraitDi[#Data],COLUMN(T_TraitDi[[#This Row],[Statut]]),FALSE)&lt;&gt;"",VLOOKUP(T_Commission[[#This Row],[NumL]],T_TraitDi[#Data],COLUMN(T_TraitDi[[#This Row],[Statut]]),FALSE),""),"")</f>
        <v/>
      </c>
      <c r="C191" s="19" t="str">
        <f>IFERROR(IF(VLOOKUP(T_Commission[[#This Row],[NumL]],T_suiviDi[#Data],COLUMN(T_suiviDi[Nom]),FALSE)&lt;&gt;"",VLOOKUP(T_Commission[[#This Row],[NumL]],T_suiviDi[#Data],COLUMN(T_suiviDi[Nom]),FALSE),""),"")</f>
        <v/>
      </c>
      <c r="D191" s="19" t="str">
        <f>IFERROR(IF(VLOOKUP(T_Commission[[#This Row],[NumL]],T_suiviDi[#Data],COLUMN(T_suiviDi[Prénom]),FALSE)&lt;&gt;"",VLOOKUP(T_Commission[[#This Row],[NumL]],T_suiviDi[#Data],COLUMN(T_suiviDi[Prénom]),FALSE),""),"")</f>
        <v/>
      </c>
      <c r="E191" s="20" t="str">
        <f>IFERROR(IF(VLOOKUP(T_Commission[[#This Row],[NumL]],T_suiviDi[#Data],COLUMN(T_suiviDi[Email]),FALSE)&lt;&gt;"",VLOOKUP(T_Commission[[#This Row],[NumL]],T_suiviDi[#Data],COLUMN(T_suiviDi[Email]),FALSE),""),"")</f>
        <v/>
      </c>
      <c r="F191" s="274" t="str">
        <f>IFERROR(IF(VLOOKUP(T_Commission[[#This Row],[NumL]],T_suiviDi[#Data],COLUMN(T_suiviDi[[#This Row],[Nom1]]),FALSE)&lt;&gt;"",VLOOKUP(T_Commission[[#This Row],[NumL]],T_suiviDi[#Data],COLUMN(T_suiviDi[[#This Row],[Nom1]]),FALSE),""),"")</f>
        <v/>
      </c>
      <c r="G191" s="274" t="str">
        <f>IFERROR(IF(VLOOKUP(T_Commission[[#This Row],[NumL]],T_suiviDi[#Data],COLUMN(T_suiviDi[[#This Row],[Prénom1]]),FALSE)&lt;&gt;"",VLOOKUP(T_Commission[[#This Row],[NumL]],T_suiviDi[#Data],COLUMN(T_suiviDi[[#This Row],[Prénom1]]),FALSE),""),"")</f>
        <v/>
      </c>
      <c r="H191" s="274" t="str">
        <f>IFERROR(IF(VLOOKUP(T_Commission[[#This Row],[NumL]],T_suiviDi[#Data],COLUMN(T_suiviDi[[#This Row],[Email1]]),FALSE)&lt;&gt;"",VLOOKUP(T_Commission[[#This Row],[NumL]],T_suiviDi[#Data],COLUMN(T_suiviDi[[#This Row],[Email1]]),FALSE),""),"")</f>
        <v/>
      </c>
      <c r="I191" s="142" t="str">
        <f>IFERROR(VLOOKUP(T_Commission[[#This Row],[NumL]],T_TraitDi[#Data],COLUMN(T_TraitDi[[#This Row],[CTRL_PJ]]),FALSE),"")</f>
        <v/>
      </c>
      <c r="J191" s="142" t="str">
        <f>IF(T_Commission[[#This Row],[Nom]]&lt;&gt;"",IFERROR(VLOOKUP(T_Commission[[#This Row],[NumL]],T_TraitDi[#Data],COLUMN(T_TraitDi[[#This Row],[C10]]),FALSE),""),"")</f>
        <v/>
      </c>
      <c r="K191" s="142" t="str">
        <f>IFERROR(IF(VLOOKUP(T_Commission[[#This Row],[NumL]],T_suiviDi[#Data],COLUMN(T_suiviDi[[#This Row],[Avis n+1]]),FALSE)&lt;&gt;"",VLOOKUP(A191,T_suiviDi[#Data],COLUMN(T_suiviDi[[#This Row],[Avis n+1]]),FALSE),""),"")</f>
        <v/>
      </c>
      <c r="L191" s="142" t="str">
        <f>IFERROR(IF(VLOOKUP(T_Commission[[#This Row],[NumL]],T_suiviDi[#Data],COLUMN(T_suiviDi[[#This Row],[Avis n+2]]),FALSE)&lt;&gt;"",VLOOKUP(T_Commission[[#This Row],[NumL]],T_suiviDi[#Data],COLUMN(T_suiviDi[[#This Row],[Avis n+2]]),FALSE),""),"")</f>
        <v/>
      </c>
      <c r="M191" s="49">
        <v>1</v>
      </c>
      <c r="N191" s="49"/>
      <c r="O191" s="143" t="str">
        <f>IF(T_Commission[[#This Row],[Nom]]&lt;&gt;"",IF(T_Commission[[#This Row],[COM '#2]]&lt;&gt;"",MAX(T_Commission[[#This Row],[PJ]],T_Commission[[#This Row],[COM '#2]]),IF(T_Commission[[#This Row],[COM '#1]]&lt;&gt;"",MAX(T_Commission[[#This Row],[PJ]],T_Commission[[#This Row],[COM '#1]]),"")),"")</f>
        <v/>
      </c>
      <c r="P191" s="55" t="s">
        <v>115</v>
      </c>
      <c r="Q191" s="55" t="s">
        <v>3277</v>
      </c>
      <c r="R191" s="55" t="s">
        <v>3277</v>
      </c>
      <c r="S191" s="56"/>
      <c r="T191" s="144"/>
    </row>
    <row r="192" spans="1:20" s="93" customFormat="1" ht="30" customHeight="1" x14ac:dyDescent="0.25">
      <c r="A192" s="90">
        <v>97</v>
      </c>
      <c r="B192" s="130" t="str">
        <f>IFERROR(IF(VLOOKUP(T_Commission[[#This Row],[NumL]],T_TraitDi[#Data],COLUMN(T_TraitDi[[#This Row],[Statut]]),FALSE)&lt;&gt;"",VLOOKUP(T_Commission[[#This Row],[NumL]],T_TraitDi[#Data],COLUMN(T_TraitDi[[#This Row],[Statut]]),FALSE),""),"")</f>
        <v/>
      </c>
      <c r="C192" s="19" t="str">
        <f>IFERROR(IF(VLOOKUP(T_Commission[[#This Row],[NumL]],T_suiviDi[#Data],COLUMN(T_suiviDi[Nom]),FALSE)&lt;&gt;"",VLOOKUP(T_Commission[[#This Row],[NumL]],T_suiviDi[#Data],COLUMN(T_suiviDi[Nom]),FALSE),""),"")</f>
        <v/>
      </c>
      <c r="D192" s="19" t="str">
        <f>IFERROR(IF(VLOOKUP(T_Commission[[#This Row],[NumL]],T_suiviDi[#Data],COLUMN(T_suiviDi[Prénom]),FALSE)&lt;&gt;"",VLOOKUP(T_Commission[[#This Row],[NumL]],T_suiviDi[#Data],COLUMN(T_suiviDi[Prénom]),FALSE),""),"")</f>
        <v/>
      </c>
      <c r="E192" s="20" t="str">
        <f>IFERROR(IF(VLOOKUP(T_Commission[[#This Row],[NumL]],T_suiviDi[#Data],COLUMN(T_suiviDi[Email]),FALSE)&lt;&gt;"",VLOOKUP(T_Commission[[#This Row],[NumL]],T_suiviDi[#Data],COLUMN(T_suiviDi[Email]),FALSE),""),"")</f>
        <v/>
      </c>
      <c r="F192" s="274" t="str">
        <f>IFERROR(IF(VLOOKUP(T_Commission[[#This Row],[NumL]],T_suiviDi[#Data],COLUMN(T_suiviDi[[#This Row],[Nom1]]),FALSE)&lt;&gt;"",VLOOKUP(T_Commission[[#This Row],[NumL]],T_suiviDi[#Data],COLUMN(T_suiviDi[[#This Row],[Nom1]]),FALSE),""),"")</f>
        <v/>
      </c>
      <c r="G192" s="274" t="str">
        <f>IFERROR(IF(VLOOKUP(T_Commission[[#This Row],[NumL]],T_suiviDi[#Data],COLUMN(T_suiviDi[[#This Row],[Prénom1]]),FALSE)&lt;&gt;"",VLOOKUP(T_Commission[[#This Row],[NumL]],T_suiviDi[#Data],COLUMN(T_suiviDi[[#This Row],[Prénom1]]),FALSE),""),"")</f>
        <v/>
      </c>
      <c r="H192" s="274" t="str">
        <f>IFERROR(IF(VLOOKUP(T_Commission[[#This Row],[NumL]],T_suiviDi[#Data],COLUMN(T_suiviDi[[#This Row],[Email1]]),FALSE)&lt;&gt;"",VLOOKUP(T_Commission[[#This Row],[NumL]],T_suiviDi[#Data],COLUMN(T_suiviDi[[#This Row],[Email1]]),FALSE),""),"")</f>
        <v/>
      </c>
      <c r="I192" s="142" t="str">
        <f>IFERROR(VLOOKUP(T_Commission[[#This Row],[NumL]],T_TraitDi[#Data],COLUMN(T_TraitDi[[#This Row],[CTRL_PJ]]),FALSE),"")</f>
        <v/>
      </c>
      <c r="J192" s="142" t="str">
        <f>IF(T_Commission[[#This Row],[Nom]]&lt;&gt;"",IFERROR(VLOOKUP(T_Commission[[#This Row],[NumL]],T_TraitDi[#Data],COLUMN(T_TraitDi[[#This Row],[C10]]),FALSE),""),"")</f>
        <v/>
      </c>
      <c r="K192" s="142" t="str">
        <f>IFERROR(IF(VLOOKUP(T_Commission[[#This Row],[NumL]],T_suiviDi[#Data],COLUMN(T_suiviDi[[#This Row],[Avis n+1]]),FALSE)&lt;&gt;"",VLOOKUP(A192,T_suiviDi[#Data],COLUMN(T_suiviDi[[#This Row],[Avis n+1]]),FALSE),""),"")</f>
        <v/>
      </c>
      <c r="L192" s="142" t="str">
        <f>IFERROR(IF(VLOOKUP(T_Commission[[#This Row],[NumL]],T_suiviDi[#Data],COLUMN(T_suiviDi[[#This Row],[Avis n+2]]),FALSE)&lt;&gt;"",VLOOKUP(T_Commission[[#This Row],[NumL]],T_suiviDi[#Data],COLUMN(T_suiviDi[[#This Row],[Avis n+2]]),FALSE),""),"")</f>
        <v/>
      </c>
      <c r="M192" s="49">
        <v>1</v>
      </c>
      <c r="N192" s="49"/>
      <c r="O192" s="143" t="str">
        <f>IF(T_Commission[[#This Row],[Nom]]&lt;&gt;"",IF(T_Commission[[#This Row],[COM '#2]]&lt;&gt;"",MAX(T_Commission[[#This Row],[PJ]],T_Commission[[#This Row],[COM '#2]]),IF(T_Commission[[#This Row],[COM '#1]]&lt;&gt;"",MAX(T_Commission[[#This Row],[PJ]],T_Commission[[#This Row],[COM '#1]]),"")),"")</f>
        <v/>
      </c>
      <c r="P192" s="55" t="s">
        <v>115</v>
      </c>
      <c r="Q192" s="55" t="s">
        <v>3277</v>
      </c>
      <c r="R192" s="55"/>
      <c r="S192" s="56"/>
      <c r="T192" s="144"/>
    </row>
    <row r="193" spans="1:20" s="93" customFormat="1" ht="30" customHeight="1" x14ac:dyDescent="0.25">
      <c r="A193" s="90">
        <v>219</v>
      </c>
      <c r="B193" s="130" t="str">
        <f>IFERROR(IF(VLOOKUP(T_Commission[[#This Row],[NumL]],T_TraitDi[#Data],COLUMN(T_TraitDi[[#This Row],[Statut]]),FALSE)&lt;&gt;"",VLOOKUP(T_Commission[[#This Row],[NumL]],T_TraitDi[#Data],COLUMN(T_TraitDi[[#This Row],[Statut]]),FALSE),""),"")</f>
        <v/>
      </c>
      <c r="C193" s="19" t="str">
        <f>IFERROR(IF(VLOOKUP(T_Commission[[#This Row],[NumL]],T_suiviDi[#Data],COLUMN(T_suiviDi[Nom]),FALSE)&lt;&gt;"",VLOOKUP(T_Commission[[#This Row],[NumL]],T_suiviDi[#Data],COLUMN(T_suiviDi[Nom]),FALSE),""),"")</f>
        <v/>
      </c>
      <c r="D193" s="19" t="str">
        <f>IFERROR(IF(VLOOKUP(T_Commission[[#This Row],[NumL]],T_suiviDi[#Data],COLUMN(T_suiviDi[Prénom]),FALSE)&lt;&gt;"",VLOOKUP(T_Commission[[#This Row],[NumL]],T_suiviDi[#Data],COLUMN(T_suiviDi[Prénom]),FALSE),""),"")</f>
        <v/>
      </c>
      <c r="E193" s="20" t="str">
        <f>IFERROR(IF(VLOOKUP(T_Commission[[#This Row],[NumL]],T_suiviDi[#Data],COLUMN(T_suiviDi[Email]),FALSE)&lt;&gt;"",VLOOKUP(T_Commission[[#This Row],[NumL]],T_suiviDi[#Data],COLUMN(T_suiviDi[Email]),FALSE),""),"")</f>
        <v/>
      </c>
      <c r="F193" s="274" t="str">
        <f>IFERROR(IF(VLOOKUP(T_Commission[[#This Row],[NumL]],T_suiviDi[#Data],COLUMN(T_suiviDi[[#This Row],[Nom1]]),FALSE)&lt;&gt;"",VLOOKUP(T_Commission[[#This Row],[NumL]],T_suiviDi[#Data],COLUMN(T_suiviDi[[#This Row],[Nom1]]),FALSE),""),"")</f>
        <v/>
      </c>
      <c r="G193" s="274" t="str">
        <f>IFERROR(IF(VLOOKUP(T_Commission[[#This Row],[NumL]],T_suiviDi[#Data],COLUMN(T_suiviDi[[#This Row],[Prénom1]]),FALSE)&lt;&gt;"",VLOOKUP(T_Commission[[#This Row],[NumL]],T_suiviDi[#Data],COLUMN(T_suiviDi[[#This Row],[Prénom1]]),FALSE),""),"")</f>
        <v/>
      </c>
      <c r="H193" s="274" t="str">
        <f>IFERROR(IF(VLOOKUP(T_Commission[[#This Row],[NumL]],T_suiviDi[#Data],COLUMN(T_suiviDi[[#This Row],[Email1]]),FALSE)&lt;&gt;"",VLOOKUP(T_Commission[[#This Row],[NumL]],T_suiviDi[#Data],COLUMN(T_suiviDi[[#This Row],[Email1]]),FALSE),""),"")</f>
        <v/>
      </c>
      <c r="I193" s="142" t="str">
        <f>IFERROR(VLOOKUP(T_Commission[[#This Row],[NumL]],T_TraitDi[#Data],COLUMN(T_TraitDi[[#This Row],[CTRL_PJ]]),FALSE),"")</f>
        <v/>
      </c>
      <c r="J193" s="142" t="str">
        <f>IF(T_Commission[[#This Row],[Nom]]&lt;&gt;"",IFERROR(VLOOKUP(T_Commission[[#This Row],[NumL]],T_TraitDi[#Data],COLUMN(T_TraitDi[[#This Row],[C10]]),FALSE),""),"")</f>
        <v/>
      </c>
      <c r="K193" s="142" t="str">
        <f>IFERROR(IF(VLOOKUP(T_Commission[[#This Row],[NumL]],T_suiviDi[#Data],COLUMN(T_suiviDi[[#This Row],[Avis n+1]]),FALSE)&lt;&gt;"",VLOOKUP(A193,T_suiviDi[#Data],COLUMN(T_suiviDi[[#This Row],[Avis n+1]]),FALSE),""),"")</f>
        <v/>
      </c>
      <c r="L193" s="142" t="str">
        <f>IFERROR(IF(VLOOKUP(T_Commission[[#This Row],[NumL]],T_suiviDi[#Data],COLUMN(T_suiviDi[[#This Row],[Avis n+2]]),FALSE)&lt;&gt;"",VLOOKUP(T_Commission[[#This Row],[NumL]],T_suiviDi[#Data],COLUMN(T_suiviDi[[#This Row],[Avis n+2]]),FALSE),""),"")</f>
        <v/>
      </c>
      <c r="M193" s="49">
        <v>1</v>
      </c>
      <c r="N193" s="49"/>
      <c r="O193" s="143" t="str">
        <f>IF(T_Commission[[#This Row],[Nom]]&lt;&gt;"",IF(T_Commission[[#This Row],[COM '#2]]&lt;&gt;"",MAX(T_Commission[[#This Row],[PJ]],T_Commission[[#This Row],[COM '#2]]),IF(T_Commission[[#This Row],[COM '#1]]&lt;&gt;"",MAX(T_Commission[[#This Row],[PJ]],T_Commission[[#This Row],[COM '#1]]),"")),"")</f>
        <v/>
      </c>
      <c r="P193" s="55" t="s">
        <v>115</v>
      </c>
      <c r="Q193" s="55" t="s">
        <v>3277</v>
      </c>
      <c r="R193" s="55" t="s">
        <v>3277</v>
      </c>
      <c r="S193" s="56"/>
      <c r="T193" s="144"/>
    </row>
    <row r="194" spans="1:20" s="93" customFormat="1" ht="30" customHeight="1" x14ac:dyDescent="0.25">
      <c r="A194" s="90">
        <v>225</v>
      </c>
      <c r="B194" s="130" t="str">
        <f>IFERROR(IF(VLOOKUP(T_Commission[[#This Row],[NumL]],T_TraitDi[#Data],COLUMN(T_TraitDi[[#This Row],[Statut]]),FALSE)&lt;&gt;"",VLOOKUP(T_Commission[[#This Row],[NumL]],T_TraitDi[#Data],COLUMN(T_TraitDi[[#This Row],[Statut]]),FALSE),""),"")</f>
        <v/>
      </c>
      <c r="C194" s="19" t="str">
        <f>IFERROR(IF(VLOOKUP(T_Commission[[#This Row],[NumL]],T_suiviDi[#Data],COLUMN(T_suiviDi[Nom]),FALSE)&lt;&gt;"",VLOOKUP(T_Commission[[#This Row],[NumL]],T_suiviDi[#Data],COLUMN(T_suiviDi[Nom]),FALSE),""),"")</f>
        <v/>
      </c>
      <c r="D194" s="19" t="str">
        <f>IFERROR(IF(VLOOKUP(T_Commission[[#This Row],[NumL]],T_suiviDi[#Data],COLUMN(T_suiviDi[Prénom]),FALSE)&lt;&gt;"",VLOOKUP(T_Commission[[#This Row],[NumL]],T_suiviDi[#Data],COLUMN(T_suiviDi[Prénom]),FALSE),""),"")</f>
        <v/>
      </c>
      <c r="E194" s="20" t="str">
        <f>IFERROR(IF(VLOOKUP(T_Commission[[#This Row],[NumL]],T_suiviDi[#Data],COLUMN(T_suiviDi[Email]),FALSE)&lt;&gt;"",VLOOKUP(T_Commission[[#This Row],[NumL]],T_suiviDi[#Data],COLUMN(T_suiviDi[Email]),FALSE),""),"")</f>
        <v/>
      </c>
      <c r="F194" s="274" t="str">
        <f>IFERROR(IF(VLOOKUP(T_Commission[[#This Row],[NumL]],T_suiviDi[#Data],COLUMN(T_suiviDi[[#This Row],[Nom1]]),FALSE)&lt;&gt;"",VLOOKUP(T_Commission[[#This Row],[NumL]],T_suiviDi[#Data],COLUMN(T_suiviDi[[#This Row],[Nom1]]),FALSE),""),"")</f>
        <v/>
      </c>
      <c r="G194" s="274" t="str">
        <f>IFERROR(IF(VLOOKUP(T_Commission[[#This Row],[NumL]],T_suiviDi[#Data],COLUMN(T_suiviDi[[#This Row],[Prénom1]]),FALSE)&lt;&gt;"",VLOOKUP(T_Commission[[#This Row],[NumL]],T_suiviDi[#Data],COLUMN(T_suiviDi[[#This Row],[Prénom1]]),FALSE),""),"")</f>
        <v/>
      </c>
      <c r="H194" s="274" t="str">
        <f>IFERROR(IF(VLOOKUP(T_Commission[[#This Row],[NumL]],T_suiviDi[#Data],COLUMN(T_suiviDi[[#This Row],[Email1]]),FALSE)&lt;&gt;"",VLOOKUP(T_Commission[[#This Row],[NumL]],T_suiviDi[#Data],COLUMN(T_suiviDi[[#This Row],[Email1]]),FALSE),""),"")</f>
        <v/>
      </c>
      <c r="I194" s="142" t="str">
        <f>IFERROR(VLOOKUP(T_Commission[[#This Row],[NumL]],T_TraitDi[#Data],COLUMN(T_TraitDi[[#This Row],[CTRL_PJ]]),FALSE),"")</f>
        <v/>
      </c>
      <c r="J194" s="142" t="str">
        <f>IF(T_Commission[[#This Row],[Nom]]&lt;&gt;"",IFERROR(VLOOKUP(T_Commission[[#This Row],[NumL]],T_TraitDi[#Data],COLUMN(T_TraitDi[[#This Row],[C10]]),FALSE),""),"")</f>
        <v/>
      </c>
      <c r="K194" s="142" t="str">
        <f>IFERROR(IF(VLOOKUP(T_Commission[[#This Row],[NumL]],T_suiviDi[#Data],COLUMN(T_suiviDi[[#This Row],[Avis n+1]]),FALSE)&lt;&gt;"",VLOOKUP(A194,T_suiviDi[#Data],COLUMN(T_suiviDi[[#This Row],[Avis n+1]]),FALSE),""),"")</f>
        <v/>
      </c>
      <c r="L194" s="142" t="str">
        <f>IFERROR(IF(VLOOKUP(T_Commission[[#This Row],[NumL]],T_suiviDi[#Data],COLUMN(T_suiviDi[[#This Row],[Avis n+2]]),FALSE)&lt;&gt;"",VLOOKUP(T_Commission[[#This Row],[NumL]],T_suiviDi[#Data],COLUMN(T_suiviDi[[#This Row],[Avis n+2]]),FALSE),""),"")</f>
        <v/>
      </c>
      <c r="M194" s="49">
        <v>1</v>
      </c>
      <c r="N194" s="49"/>
      <c r="O194" s="143" t="str">
        <f>IF(T_Commission[[#This Row],[Nom]]&lt;&gt;"",IF(T_Commission[[#This Row],[COM '#2]]&lt;&gt;"",MAX(T_Commission[[#This Row],[PJ]],T_Commission[[#This Row],[COM '#2]]),IF(T_Commission[[#This Row],[COM '#1]]&lt;&gt;"",MAX(T_Commission[[#This Row],[PJ]],T_Commission[[#This Row],[COM '#1]]),"")),"")</f>
        <v/>
      </c>
      <c r="P194" s="55" t="s">
        <v>115</v>
      </c>
      <c r="Q194" s="55" t="s">
        <v>3277</v>
      </c>
      <c r="R194" s="55"/>
      <c r="S194" s="56"/>
      <c r="T194" s="144"/>
    </row>
    <row r="195" spans="1:20" s="93" customFormat="1" ht="30" customHeight="1" x14ac:dyDescent="0.25">
      <c r="A195" s="90">
        <v>242</v>
      </c>
      <c r="B195" s="130" t="str">
        <f>IFERROR(IF(VLOOKUP(T_Commission[[#This Row],[NumL]],T_TraitDi[#Data],COLUMN(T_TraitDi[[#This Row],[Statut]]),FALSE)&lt;&gt;"",VLOOKUP(T_Commission[[#This Row],[NumL]],T_TraitDi[#Data],COLUMN(T_TraitDi[[#This Row],[Statut]]),FALSE),""),"")</f>
        <v/>
      </c>
      <c r="C195" s="19" t="str">
        <f>IFERROR(IF(VLOOKUP(T_Commission[[#This Row],[NumL]],T_suiviDi[#Data],COLUMN(T_suiviDi[Nom]),FALSE)&lt;&gt;"",VLOOKUP(T_Commission[[#This Row],[NumL]],T_suiviDi[#Data],COLUMN(T_suiviDi[Nom]),FALSE),""),"")</f>
        <v/>
      </c>
      <c r="D195" s="19" t="str">
        <f>IFERROR(IF(VLOOKUP(T_Commission[[#This Row],[NumL]],T_suiviDi[#Data],COLUMN(T_suiviDi[Prénom]),FALSE)&lt;&gt;"",VLOOKUP(T_Commission[[#This Row],[NumL]],T_suiviDi[#Data],COLUMN(T_suiviDi[Prénom]),FALSE),""),"")</f>
        <v/>
      </c>
      <c r="E195" s="20" t="str">
        <f>IFERROR(IF(VLOOKUP(T_Commission[[#This Row],[NumL]],T_suiviDi[#Data],COLUMN(T_suiviDi[Email]),FALSE)&lt;&gt;"",VLOOKUP(T_Commission[[#This Row],[NumL]],T_suiviDi[#Data],COLUMN(T_suiviDi[Email]),FALSE),""),"")</f>
        <v/>
      </c>
      <c r="F195" s="274" t="str">
        <f>IFERROR(IF(VLOOKUP(T_Commission[[#This Row],[NumL]],T_suiviDi[#Data],COLUMN(T_suiviDi[[#This Row],[Nom1]]),FALSE)&lt;&gt;"",VLOOKUP(T_Commission[[#This Row],[NumL]],T_suiviDi[#Data],COLUMN(T_suiviDi[[#This Row],[Nom1]]),FALSE),""),"")</f>
        <v/>
      </c>
      <c r="G195" s="274" t="str">
        <f>IFERROR(IF(VLOOKUP(T_Commission[[#This Row],[NumL]],T_suiviDi[#Data],COLUMN(T_suiviDi[[#This Row],[Prénom1]]),FALSE)&lt;&gt;"",VLOOKUP(T_Commission[[#This Row],[NumL]],T_suiviDi[#Data],COLUMN(T_suiviDi[[#This Row],[Prénom1]]),FALSE),""),"")</f>
        <v/>
      </c>
      <c r="H195" s="274" t="str">
        <f>IFERROR(IF(VLOOKUP(T_Commission[[#This Row],[NumL]],T_suiviDi[#Data],COLUMN(T_suiviDi[[#This Row],[Email1]]),FALSE)&lt;&gt;"",VLOOKUP(T_Commission[[#This Row],[NumL]],T_suiviDi[#Data],COLUMN(T_suiviDi[[#This Row],[Email1]]),FALSE),""),"")</f>
        <v/>
      </c>
      <c r="I195" s="142" t="str">
        <f>IFERROR(VLOOKUP(T_Commission[[#This Row],[NumL]],T_TraitDi[#Data],COLUMN(T_TraitDi[[#This Row],[CTRL_PJ]]),FALSE),"")</f>
        <v/>
      </c>
      <c r="J195" s="142" t="str">
        <f>IF(T_Commission[[#This Row],[Nom]]&lt;&gt;"",IFERROR(VLOOKUP(T_Commission[[#This Row],[NumL]],T_TraitDi[#Data],COLUMN(T_TraitDi[[#This Row],[C10]]),FALSE),""),"")</f>
        <v/>
      </c>
      <c r="K195" s="142" t="str">
        <f>IFERROR(IF(VLOOKUP(T_Commission[[#This Row],[NumL]],T_suiviDi[#Data],COLUMN(T_suiviDi[[#This Row],[Avis n+1]]),FALSE)&lt;&gt;"",VLOOKUP(A195,T_suiviDi[#Data],COLUMN(T_suiviDi[[#This Row],[Avis n+1]]),FALSE),""),"")</f>
        <v/>
      </c>
      <c r="L195" s="142" t="str">
        <f>IFERROR(IF(VLOOKUP(T_Commission[[#This Row],[NumL]],T_suiviDi[#Data],COLUMN(T_suiviDi[[#This Row],[Avis n+2]]),FALSE)&lt;&gt;"",VLOOKUP(T_Commission[[#This Row],[NumL]],T_suiviDi[#Data],COLUMN(T_suiviDi[[#This Row],[Avis n+2]]),FALSE),""),"")</f>
        <v/>
      </c>
      <c r="M195" s="49">
        <v>1</v>
      </c>
      <c r="N195" s="49"/>
      <c r="O195" s="143" t="str">
        <f>IF(T_Commission[[#This Row],[Nom]]&lt;&gt;"",IF(T_Commission[[#This Row],[COM '#2]]&lt;&gt;"",MAX(T_Commission[[#This Row],[PJ]],T_Commission[[#This Row],[COM '#2]]),IF(T_Commission[[#This Row],[COM '#1]]&lt;&gt;"",MAX(T_Commission[[#This Row],[PJ]],T_Commission[[#This Row],[COM '#1]]),"")),"")</f>
        <v/>
      </c>
      <c r="P195" s="55" t="s">
        <v>115</v>
      </c>
      <c r="Q195" s="55" t="s">
        <v>3277</v>
      </c>
      <c r="R195" s="55" t="s">
        <v>3277</v>
      </c>
      <c r="S195" s="56"/>
      <c r="T195" s="144"/>
    </row>
    <row r="196" spans="1:20" s="93" customFormat="1" ht="30" customHeight="1" x14ac:dyDescent="0.25">
      <c r="A196" s="90">
        <v>236</v>
      </c>
      <c r="B196" s="130" t="str">
        <f>IFERROR(IF(VLOOKUP(T_Commission[[#This Row],[NumL]],T_TraitDi[#Data],COLUMN(T_TraitDi[[#This Row],[Statut]]),FALSE)&lt;&gt;"",VLOOKUP(T_Commission[[#This Row],[NumL]],T_TraitDi[#Data],COLUMN(T_TraitDi[[#This Row],[Statut]]),FALSE),""),"")</f>
        <v/>
      </c>
      <c r="C196" s="19" t="str">
        <f>IFERROR(IF(VLOOKUP(T_Commission[[#This Row],[NumL]],T_suiviDi[#Data],COLUMN(T_suiviDi[Nom]),FALSE)&lt;&gt;"",VLOOKUP(T_Commission[[#This Row],[NumL]],T_suiviDi[#Data],COLUMN(T_suiviDi[Nom]),FALSE),""),"")</f>
        <v/>
      </c>
      <c r="D196" s="19" t="str">
        <f>IFERROR(IF(VLOOKUP(T_Commission[[#This Row],[NumL]],T_suiviDi[#Data],COLUMN(T_suiviDi[Prénom]),FALSE)&lt;&gt;"",VLOOKUP(T_Commission[[#This Row],[NumL]],T_suiviDi[#Data],COLUMN(T_suiviDi[Prénom]),FALSE),""),"")</f>
        <v/>
      </c>
      <c r="E196" s="20" t="str">
        <f>IFERROR(IF(VLOOKUP(T_Commission[[#This Row],[NumL]],T_suiviDi[#Data],COLUMN(T_suiviDi[Email]),FALSE)&lt;&gt;"",VLOOKUP(T_Commission[[#This Row],[NumL]],T_suiviDi[#Data],COLUMN(T_suiviDi[Email]),FALSE),""),"")</f>
        <v/>
      </c>
      <c r="F196" s="274" t="str">
        <f>IFERROR(IF(VLOOKUP(T_Commission[[#This Row],[NumL]],T_suiviDi[#Data],COLUMN(T_suiviDi[[#This Row],[Nom1]]),FALSE)&lt;&gt;"",VLOOKUP(T_Commission[[#This Row],[NumL]],T_suiviDi[#Data],COLUMN(T_suiviDi[[#This Row],[Nom1]]),FALSE),""),"")</f>
        <v/>
      </c>
      <c r="G196" s="274" t="str">
        <f>IFERROR(IF(VLOOKUP(T_Commission[[#This Row],[NumL]],T_suiviDi[#Data],COLUMN(T_suiviDi[[#This Row],[Prénom1]]),FALSE)&lt;&gt;"",VLOOKUP(T_Commission[[#This Row],[NumL]],T_suiviDi[#Data],COLUMN(T_suiviDi[[#This Row],[Prénom1]]),FALSE),""),"")</f>
        <v/>
      </c>
      <c r="H196" s="274" t="str">
        <f>IFERROR(IF(VLOOKUP(T_Commission[[#This Row],[NumL]],T_suiviDi[#Data],COLUMN(T_suiviDi[[#This Row],[Email1]]),FALSE)&lt;&gt;"",VLOOKUP(T_Commission[[#This Row],[NumL]],T_suiviDi[#Data],COLUMN(T_suiviDi[[#This Row],[Email1]]),FALSE),""),"")</f>
        <v/>
      </c>
      <c r="I196" s="142" t="str">
        <f>IFERROR(VLOOKUP(T_Commission[[#This Row],[NumL]],T_TraitDi[#Data],COLUMN(T_TraitDi[[#This Row],[CTRL_PJ]]),FALSE),"")</f>
        <v/>
      </c>
      <c r="J196" s="142" t="str">
        <f>IF(T_Commission[[#This Row],[Nom]]&lt;&gt;"",IFERROR(VLOOKUP(T_Commission[[#This Row],[NumL]],T_TraitDi[#Data],COLUMN(T_TraitDi[[#This Row],[C10]]),FALSE),""),"")</f>
        <v/>
      </c>
      <c r="K196" s="142" t="str">
        <f>IFERROR(IF(VLOOKUP(T_Commission[[#This Row],[NumL]],T_suiviDi[#Data],COLUMN(T_suiviDi[[#This Row],[Avis n+1]]),FALSE)&lt;&gt;"",VLOOKUP(A196,T_suiviDi[#Data],COLUMN(T_suiviDi[[#This Row],[Avis n+1]]),FALSE),""),"")</f>
        <v/>
      </c>
      <c r="L196" s="142" t="str">
        <f>IFERROR(IF(VLOOKUP(T_Commission[[#This Row],[NumL]],T_suiviDi[#Data],COLUMN(T_suiviDi[[#This Row],[Avis n+2]]),FALSE)&lt;&gt;"",VLOOKUP(T_Commission[[#This Row],[NumL]],T_suiviDi[#Data],COLUMN(T_suiviDi[[#This Row],[Avis n+2]]),FALSE),""),"")</f>
        <v/>
      </c>
      <c r="M196" s="49">
        <v>1</v>
      </c>
      <c r="N196" s="49"/>
      <c r="O196" s="143" t="str">
        <f>IF(T_Commission[[#This Row],[Nom]]&lt;&gt;"",IF(T_Commission[[#This Row],[COM '#2]]&lt;&gt;"",MAX(T_Commission[[#This Row],[PJ]],T_Commission[[#This Row],[COM '#2]]),IF(T_Commission[[#This Row],[COM '#1]]&lt;&gt;"",MAX(T_Commission[[#This Row],[PJ]],T_Commission[[#This Row],[COM '#1]]),"")),"")</f>
        <v/>
      </c>
      <c r="P196" s="55" t="s">
        <v>115</v>
      </c>
      <c r="Q196" s="55" t="s">
        <v>3277</v>
      </c>
      <c r="R196" s="55" t="s">
        <v>3277</v>
      </c>
      <c r="S196" s="56"/>
      <c r="T196" s="144"/>
    </row>
    <row r="197" spans="1:20" s="93" customFormat="1" ht="30" customHeight="1" x14ac:dyDescent="0.25">
      <c r="A197" s="90">
        <v>74</v>
      </c>
      <c r="B197" s="130" t="str">
        <f>IFERROR(IF(VLOOKUP(T_Commission[[#This Row],[NumL]],T_TraitDi[#Data],COLUMN(T_TraitDi[[#This Row],[Statut]]),FALSE)&lt;&gt;"",VLOOKUP(T_Commission[[#This Row],[NumL]],T_TraitDi[#Data],COLUMN(T_TraitDi[[#This Row],[Statut]]),FALSE),""),"")</f>
        <v/>
      </c>
      <c r="C197" s="19" t="str">
        <f>IFERROR(IF(VLOOKUP(T_Commission[[#This Row],[NumL]],T_suiviDi[#Data],COLUMN(T_suiviDi[Nom]),FALSE)&lt;&gt;"",VLOOKUP(T_Commission[[#This Row],[NumL]],T_suiviDi[#Data],COLUMN(T_suiviDi[Nom]),FALSE),""),"")</f>
        <v/>
      </c>
      <c r="D197" s="19" t="str">
        <f>IFERROR(IF(VLOOKUP(T_Commission[[#This Row],[NumL]],T_suiviDi[#Data],COLUMN(T_suiviDi[Prénom]),FALSE)&lt;&gt;"",VLOOKUP(T_Commission[[#This Row],[NumL]],T_suiviDi[#Data],COLUMN(T_suiviDi[Prénom]),FALSE),""),"")</f>
        <v/>
      </c>
      <c r="E197" s="20" t="str">
        <f>IFERROR(IF(VLOOKUP(T_Commission[[#This Row],[NumL]],T_suiviDi[#Data],COLUMN(T_suiviDi[Email]),FALSE)&lt;&gt;"",VLOOKUP(T_Commission[[#This Row],[NumL]],T_suiviDi[#Data],COLUMN(T_suiviDi[Email]),FALSE),""),"")</f>
        <v/>
      </c>
      <c r="F197" s="274" t="str">
        <f>IFERROR(IF(VLOOKUP(T_Commission[[#This Row],[NumL]],T_suiviDi[#Data],COLUMN(T_suiviDi[[#This Row],[Nom1]]),FALSE)&lt;&gt;"",VLOOKUP(T_Commission[[#This Row],[NumL]],T_suiviDi[#Data],COLUMN(T_suiviDi[[#This Row],[Nom1]]),FALSE),""),"")</f>
        <v/>
      </c>
      <c r="G197" s="274" t="str">
        <f>IFERROR(IF(VLOOKUP(T_Commission[[#This Row],[NumL]],T_suiviDi[#Data],COLUMN(T_suiviDi[[#This Row],[Prénom1]]),FALSE)&lt;&gt;"",VLOOKUP(T_Commission[[#This Row],[NumL]],T_suiviDi[#Data],COLUMN(T_suiviDi[[#This Row],[Prénom1]]),FALSE),""),"")</f>
        <v/>
      </c>
      <c r="H197" s="274" t="str">
        <f>IFERROR(IF(VLOOKUP(T_Commission[[#This Row],[NumL]],T_suiviDi[#Data],COLUMN(T_suiviDi[[#This Row],[Email1]]),FALSE)&lt;&gt;"",VLOOKUP(T_Commission[[#This Row],[NumL]],T_suiviDi[#Data],COLUMN(T_suiviDi[[#This Row],[Email1]]),FALSE),""),"")</f>
        <v/>
      </c>
      <c r="I197" s="142" t="str">
        <f>IFERROR(VLOOKUP(T_Commission[[#This Row],[NumL]],T_TraitDi[#Data],COLUMN(T_TraitDi[[#This Row],[CTRL_PJ]]),FALSE),"")</f>
        <v/>
      </c>
      <c r="J197" s="142" t="str">
        <f>IF(T_Commission[[#This Row],[Nom]]&lt;&gt;"",IFERROR(VLOOKUP(T_Commission[[#This Row],[NumL]],T_TraitDi[#Data],COLUMN(T_TraitDi[[#This Row],[C10]]),FALSE),""),"")</f>
        <v/>
      </c>
      <c r="K197" s="142" t="str">
        <f>IFERROR(IF(VLOOKUP(T_Commission[[#This Row],[NumL]],T_suiviDi[#Data],COLUMN(T_suiviDi[[#This Row],[Avis n+1]]),FALSE)&lt;&gt;"",VLOOKUP(A197,T_suiviDi[#Data],COLUMN(T_suiviDi[[#This Row],[Avis n+1]]),FALSE),""),"")</f>
        <v/>
      </c>
      <c r="L197" s="142" t="str">
        <f>IFERROR(IF(VLOOKUP(T_Commission[[#This Row],[NumL]],T_suiviDi[#Data],COLUMN(T_suiviDi[[#This Row],[Avis n+2]]),FALSE)&lt;&gt;"",VLOOKUP(T_Commission[[#This Row],[NumL]],T_suiviDi[#Data],COLUMN(T_suiviDi[[#This Row],[Avis n+2]]),FALSE),""),"")</f>
        <v/>
      </c>
      <c r="M197" s="49">
        <v>1</v>
      </c>
      <c r="N197" s="49"/>
      <c r="O197" s="143" t="str">
        <f>IF(T_Commission[[#This Row],[Nom]]&lt;&gt;"",IF(T_Commission[[#This Row],[COM '#2]]&lt;&gt;"",MAX(T_Commission[[#This Row],[PJ]],T_Commission[[#This Row],[COM '#2]]),IF(T_Commission[[#This Row],[COM '#1]]&lt;&gt;"",MAX(T_Commission[[#This Row],[PJ]],T_Commission[[#This Row],[COM '#1]]),"")),"")</f>
        <v/>
      </c>
      <c r="P197" s="55" t="s">
        <v>115</v>
      </c>
      <c r="Q197" s="55" t="s">
        <v>3277</v>
      </c>
      <c r="R197" s="55" t="s">
        <v>3277</v>
      </c>
      <c r="S197" s="56"/>
      <c r="T197" s="144"/>
    </row>
    <row r="198" spans="1:20" s="93" customFormat="1" ht="30" customHeight="1" x14ac:dyDescent="0.25">
      <c r="A198" s="90">
        <v>256</v>
      </c>
      <c r="B198" s="130" t="str">
        <f>IFERROR(IF(VLOOKUP(T_Commission[[#This Row],[NumL]],T_TraitDi[#Data],COLUMN(T_TraitDi[[#This Row],[Statut]]),FALSE)&lt;&gt;"",VLOOKUP(T_Commission[[#This Row],[NumL]],T_TraitDi[#Data],COLUMN(T_TraitDi[[#This Row],[Statut]]),FALSE),""),"")</f>
        <v/>
      </c>
      <c r="C198" s="19" t="str">
        <f>IFERROR(IF(VLOOKUP(T_Commission[[#This Row],[NumL]],T_suiviDi[#Data],COLUMN(T_suiviDi[Nom]),FALSE)&lt;&gt;"",VLOOKUP(T_Commission[[#This Row],[NumL]],T_suiviDi[#Data],COLUMN(T_suiviDi[Nom]),FALSE),""),"")</f>
        <v/>
      </c>
      <c r="D198" s="19" t="str">
        <f>IFERROR(IF(VLOOKUP(T_Commission[[#This Row],[NumL]],T_suiviDi[#Data],COLUMN(T_suiviDi[Prénom]),FALSE)&lt;&gt;"",VLOOKUP(T_Commission[[#This Row],[NumL]],T_suiviDi[#Data],COLUMN(T_suiviDi[Prénom]),FALSE),""),"")</f>
        <v/>
      </c>
      <c r="E198" s="20" t="str">
        <f>IFERROR(IF(VLOOKUP(T_Commission[[#This Row],[NumL]],T_suiviDi[#Data],COLUMN(T_suiviDi[Email]),FALSE)&lt;&gt;"",VLOOKUP(T_Commission[[#This Row],[NumL]],T_suiviDi[#Data],COLUMN(T_suiviDi[Email]),FALSE),""),"")</f>
        <v/>
      </c>
      <c r="F198" s="274" t="str">
        <f>IFERROR(IF(VLOOKUP(T_Commission[[#This Row],[NumL]],T_suiviDi[#Data],COLUMN(T_suiviDi[[#This Row],[Nom1]]),FALSE)&lt;&gt;"",VLOOKUP(T_Commission[[#This Row],[NumL]],T_suiviDi[#Data],COLUMN(T_suiviDi[[#This Row],[Nom1]]),FALSE),""),"")</f>
        <v/>
      </c>
      <c r="G198" s="274" t="str">
        <f>IFERROR(IF(VLOOKUP(T_Commission[[#This Row],[NumL]],T_suiviDi[#Data],COLUMN(T_suiviDi[[#This Row],[Prénom1]]),FALSE)&lt;&gt;"",VLOOKUP(T_Commission[[#This Row],[NumL]],T_suiviDi[#Data],COLUMN(T_suiviDi[[#This Row],[Prénom1]]),FALSE),""),"")</f>
        <v/>
      </c>
      <c r="H198" s="274" t="str">
        <f>IFERROR(IF(VLOOKUP(T_Commission[[#This Row],[NumL]],T_suiviDi[#Data],COLUMN(T_suiviDi[[#This Row],[Email1]]),FALSE)&lt;&gt;"",VLOOKUP(T_Commission[[#This Row],[NumL]],T_suiviDi[#Data],COLUMN(T_suiviDi[[#This Row],[Email1]]),FALSE),""),"")</f>
        <v/>
      </c>
      <c r="I198" s="142" t="str">
        <f>IFERROR(VLOOKUP(T_Commission[[#This Row],[NumL]],T_TraitDi[#Data],COLUMN(T_TraitDi[[#This Row],[CTRL_PJ]]),FALSE),"")</f>
        <v/>
      </c>
      <c r="J198" s="142" t="str">
        <f>IF(T_Commission[[#This Row],[Nom]]&lt;&gt;"",IFERROR(VLOOKUP(T_Commission[[#This Row],[NumL]],T_TraitDi[#Data],COLUMN(T_TraitDi[[#This Row],[C10]]),FALSE),""),"")</f>
        <v/>
      </c>
      <c r="K198" s="142" t="str">
        <f>IFERROR(IF(VLOOKUP(T_Commission[[#This Row],[NumL]],T_suiviDi[#Data],COLUMN(T_suiviDi[[#This Row],[Avis n+1]]),FALSE)&lt;&gt;"",VLOOKUP(A198,T_suiviDi[#Data],COLUMN(T_suiviDi[[#This Row],[Avis n+1]]),FALSE),""),"")</f>
        <v/>
      </c>
      <c r="L198" s="142" t="str">
        <f>IFERROR(IF(VLOOKUP(T_Commission[[#This Row],[NumL]],T_suiviDi[#Data],COLUMN(T_suiviDi[[#This Row],[Avis n+2]]),FALSE)&lt;&gt;"",VLOOKUP(T_Commission[[#This Row],[NumL]],T_suiviDi[#Data],COLUMN(T_suiviDi[[#This Row],[Avis n+2]]),FALSE),""),"")</f>
        <v/>
      </c>
      <c r="M198" s="49">
        <v>1</v>
      </c>
      <c r="N198" s="49"/>
      <c r="O198" s="143" t="str">
        <f>IF(T_Commission[[#This Row],[Nom]]&lt;&gt;"",IF(T_Commission[[#This Row],[COM '#2]]&lt;&gt;"",MAX(T_Commission[[#This Row],[PJ]],T_Commission[[#This Row],[COM '#2]]),IF(T_Commission[[#This Row],[COM '#1]]&lt;&gt;"",MAX(T_Commission[[#This Row],[PJ]],T_Commission[[#This Row],[COM '#1]]),"")),"")</f>
        <v/>
      </c>
      <c r="P198" s="55" t="s">
        <v>115</v>
      </c>
      <c r="Q198" s="55" t="s">
        <v>3277</v>
      </c>
      <c r="R198" s="55" t="s">
        <v>3277</v>
      </c>
      <c r="S198" s="56"/>
      <c r="T198" s="144"/>
    </row>
    <row r="199" spans="1:20" s="93" customFormat="1" ht="30" customHeight="1" x14ac:dyDescent="0.25">
      <c r="A199" s="90">
        <v>307</v>
      </c>
      <c r="B199" s="130" t="str">
        <f>IFERROR(IF(VLOOKUP(T_Commission[[#This Row],[NumL]],T_TraitDi[#Data],COLUMN(T_TraitDi[[#This Row],[Statut]]),FALSE)&lt;&gt;"",VLOOKUP(T_Commission[[#This Row],[NumL]],T_TraitDi[#Data],COLUMN(T_TraitDi[[#This Row],[Statut]]),FALSE),""),"")</f>
        <v/>
      </c>
      <c r="C199" s="139" t="str">
        <f>IFERROR(IF(VLOOKUP(T_Commission[[#This Row],[NumL]],T_suiviDi[#Data],COLUMN(T_suiviDi[[#This Row],[Nom]]),FALSE)&lt;&gt;"",VLOOKUP(T_Commission[[#This Row],[NumL]],T_suiviDi[#Data],COLUMN(T_suiviDi[[#This Row],[Nom]]),FALSE),""),"")</f>
        <v/>
      </c>
      <c r="D199" s="139" t="str">
        <f>IFERROR(IF(VLOOKUP(T_Commission[[#This Row],[NumL]],T_suiviDi[#Data],COLUMN(T_suiviDi[[#This Row],[Prénom]]),FALSE)&lt;&gt;"",VLOOKUP(T_Commission[[#This Row],[NumL]],T_suiviDi[#Data],COLUMN(T_suiviDi[[#This Row],[Prénom]]),FALSE),""),"")</f>
        <v/>
      </c>
      <c r="E199" s="140" t="str">
        <f>IFERROR(IF(VLOOKUP(T_Commission[[#This Row],[NumL]],T_suiviDi[#Data],COLUMN(T_suiviDi[[#This Row],[Email]]),FALSE)&lt;&gt;"",VLOOKUP(T_Commission[[#This Row],[NumL]],T_suiviDi[#Data],COLUMN(T_suiviDi[[#This Row],[Email]]),FALSE),""),"")</f>
        <v/>
      </c>
      <c r="F199" s="141" t="str">
        <f>IFERROR(IF(VLOOKUP(T_Commission[[#This Row],[NumL]],T_suiviDi[#Data],COLUMN(T_suiviDi[[#This Row],[Nom1]]),FALSE)&lt;&gt;"",VLOOKUP(T_Commission[[#This Row],[NumL]],T_suiviDi[#Data],COLUMN(T_suiviDi[[#This Row],[Nom1]]),FALSE),""),"")</f>
        <v/>
      </c>
      <c r="G199" s="141" t="str">
        <f>IFERROR(IF(VLOOKUP(T_Commission[[#This Row],[NumL]],T_suiviDi[#Data],COLUMN(T_suiviDi[[#This Row],[Prénom1]]),FALSE)&lt;&gt;"",VLOOKUP(T_Commission[[#This Row],[NumL]],T_suiviDi[#Data],COLUMN(T_suiviDi[[#This Row],[Prénom1]]),FALSE),""),"")</f>
        <v/>
      </c>
      <c r="H199" s="141" t="str">
        <f>IFERROR(IF(VLOOKUP(T_Commission[[#This Row],[NumL]],T_suiviDi[#Data],COLUMN(T_suiviDi[[#This Row],[Email1]]),FALSE)&lt;&gt;"",VLOOKUP(T_Commission[[#This Row],[NumL]],T_suiviDi[#Data],COLUMN(T_suiviDi[[#This Row],[Email1]]),FALSE),""),"")</f>
        <v/>
      </c>
      <c r="I199" s="142" t="str">
        <f>IFERROR(VLOOKUP(T_Commission[[#This Row],[NumL]],T_TraitDi[#Data],COLUMN(T_TraitDi[[#This Row],[CTRL_PJ]]),FALSE),"")</f>
        <v/>
      </c>
      <c r="J199" s="142" t="str">
        <f>IF(C199&lt;&gt;"",IFERROR(VLOOKUP(A199,'2- Traitement des DI'!BV32,FALSE),""),"")</f>
        <v/>
      </c>
      <c r="K199" s="142" t="str">
        <f>IFERROR(IF(VLOOKUP(T_Commission[[#This Row],[NumL]],T_suiviDi[#Data],COLUMN(T_suiviDi[[#This Row],[Avis n+1]]),FALSE)&lt;&gt;"",VLOOKUP(A199,T_suiviDi[#Data],COLUMN(T_suiviDi[[#This Row],[Avis n+1]]),FALSE),""),"")</f>
        <v/>
      </c>
      <c r="L199" s="142" t="str">
        <f>IFERROR(IF(VLOOKUP(A199,ListeDI,27,FALSE)&lt;&gt;"",VLOOKUP(A199,ListeDI,27,FALSE),""),"")</f>
        <v/>
      </c>
      <c r="M199" s="49">
        <v>1</v>
      </c>
      <c r="N199" s="49"/>
      <c r="O199" s="143" t="str">
        <f>IF(C199&lt;&gt;"",IF(N199&lt;&gt;"",MAX(I199,N199),IF(M199&lt;&gt;"",MAX(I199,M199),"")),"")</f>
        <v/>
      </c>
      <c r="P199" s="55" t="s">
        <v>115</v>
      </c>
      <c r="Q199" s="55" t="s">
        <v>3277</v>
      </c>
      <c r="R199" s="55" t="s">
        <v>3277</v>
      </c>
      <c r="S199" s="56"/>
      <c r="T199" s="144"/>
    </row>
    <row r="200" spans="1:20" s="93" customFormat="1" ht="30" customHeight="1" x14ac:dyDescent="0.25">
      <c r="A200" s="90">
        <v>330</v>
      </c>
      <c r="B200" s="130" t="str">
        <f>IFERROR(IF(VLOOKUP(T_Commission[[#This Row],[NumL]],T_TraitDi[#Data],COLUMN(T_TraitDi[[#This Row],[Statut]]),FALSE)&lt;&gt;"",VLOOKUP(T_Commission[[#This Row],[NumL]],T_TraitDi[#Data],COLUMN(T_TraitDi[[#This Row],[Statut]]),FALSE),""),"")</f>
        <v/>
      </c>
      <c r="C200" s="139" t="str">
        <f>IFERROR(IF(VLOOKUP(T_Commission[[#This Row],[NumL]],T_suiviDi[#Data],COLUMN(T_suiviDi[[#This Row],[Nom]]),FALSE)&lt;&gt;"",VLOOKUP(T_Commission[[#This Row],[NumL]],T_suiviDi[#Data],COLUMN(T_suiviDi[[#This Row],[Nom]]),FALSE),""),"")</f>
        <v/>
      </c>
      <c r="D200" s="139" t="str">
        <f>IFERROR(IF(VLOOKUP(T_Commission[[#This Row],[NumL]],T_suiviDi[#Data],COLUMN(T_suiviDi[[#This Row],[Prénom]]),FALSE)&lt;&gt;"",VLOOKUP(T_Commission[[#This Row],[NumL]],T_suiviDi[#Data],COLUMN(T_suiviDi[[#This Row],[Prénom]]),FALSE),""),"")</f>
        <v/>
      </c>
      <c r="E200" s="140" t="str">
        <f>IFERROR(IF(VLOOKUP(T_Commission[[#This Row],[NumL]],T_suiviDi[#Data],COLUMN(T_suiviDi[[#This Row],[Email]]),FALSE)&lt;&gt;"",VLOOKUP(T_Commission[[#This Row],[NumL]],T_suiviDi[#Data],COLUMN(T_suiviDi[[#This Row],[Email]]),FALSE),""),"")</f>
        <v/>
      </c>
      <c r="F200" s="141" t="str">
        <f>IFERROR(IF(VLOOKUP(T_Commission[[#This Row],[NumL]],T_suiviDi[#Data],COLUMN(T_suiviDi[[#This Row],[Nom1]]),FALSE)&lt;&gt;"",VLOOKUP(T_Commission[[#This Row],[NumL]],T_suiviDi[#Data],COLUMN(T_suiviDi[[#This Row],[Nom1]]),FALSE),""),"")</f>
        <v/>
      </c>
      <c r="G200" s="141" t="str">
        <f>IFERROR(IF(VLOOKUP(T_Commission[[#This Row],[NumL]],T_suiviDi[#Data],COLUMN(T_suiviDi[[#This Row],[Prénom1]]),FALSE)&lt;&gt;"",VLOOKUP(T_Commission[[#This Row],[NumL]],T_suiviDi[#Data],COLUMN(T_suiviDi[[#This Row],[Prénom1]]),FALSE),""),"")</f>
        <v/>
      </c>
      <c r="H200" s="141" t="str">
        <f>IFERROR(IF(VLOOKUP(T_Commission[[#This Row],[NumL]],T_suiviDi[#Data],COLUMN(T_suiviDi[[#This Row],[Email1]]),FALSE)&lt;&gt;"",VLOOKUP(T_Commission[[#This Row],[NumL]],T_suiviDi[#Data],COLUMN(T_suiviDi[[#This Row],[Email1]]),FALSE),""),"")</f>
        <v/>
      </c>
      <c r="I200" s="142" t="str">
        <f>IFERROR(VLOOKUP(T_Commission[[#This Row],[NumL]],T_TraitDi[#Data],COLUMN(T_TraitDi[[#This Row],[CTRL_PJ]]),FALSE),"")</f>
        <v/>
      </c>
      <c r="J200" s="142" t="str">
        <f>IF(C200&lt;&gt;"",IFERROR(VLOOKUP(A200,'2- Traitement des DI'!BV32,FALSE),""),"")</f>
        <v/>
      </c>
      <c r="K200" s="142" t="str">
        <f>IFERROR(IF(VLOOKUP(T_Commission[[#This Row],[NumL]],T_suiviDi[#Data],COLUMN(T_suiviDi[[#This Row],[Avis n+1]]),FALSE)&lt;&gt;"",VLOOKUP(A200,T_suiviDi[#Data],COLUMN(T_suiviDi[[#This Row],[Avis n+1]]),FALSE),""),"")</f>
        <v/>
      </c>
      <c r="L200" s="142" t="str">
        <f>IFERROR(IF(VLOOKUP(A200,ListeDI,27,FALSE)&lt;&gt;"",VLOOKUP(A200,ListeDI,27,FALSE),""),"")</f>
        <v/>
      </c>
      <c r="M200" s="49">
        <v>1</v>
      </c>
      <c r="N200" s="49"/>
      <c r="O200" s="143" t="str">
        <f>IF(C200&lt;&gt;"",IF(N200&lt;&gt;"",MAX(I200,N200),IF(M200&lt;&gt;"",MAX(I200,M200),"")),"")</f>
        <v/>
      </c>
      <c r="P200" s="55" t="s">
        <v>115</v>
      </c>
      <c r="Q200" s="55" t="s">
        <v>3277</v>
      </c>
      <c r="R200" s="55" t="s">
        <v>3277</v>
      </c>
      <c r="S200" s="56"/>
      <c r="T200" s="144"/>
    </row>
    <row r="201" spans="1:20" s="93" customFormat="1" ht="30" customHeight="1" x14ac:dyDescent="0.25">
      <c r="A201" s="90">
        <v>165</v>
      </c>
      <c r="B201" s="130" t="str">
        <f>IFERROR(IF(VLOOKUP(T_Commission[[#This Row],[NumL]],T_TraitDi[#Data],COLUMN(T_TraitDi[[#This Row],[Statut]]),FALSE)&lt;&gt;"",VLOOKUP(T_Commission[[#This Row],[NumL]],T_TraitDi[#Data],COLUMN(T_TraitDi[[#This Row],[Statut]]),FALSE),""),"")</f>
        <v/>
      </c>
      <c r="C201" s="19" t="str">
        <f>IFERROR(IF(VLOOKUP(T_Commission[[#This Row],[NumL]],T_suiviDi[#Data],COLUMN(T_suiviDi[Nom]),FALSE)&lt;&gt;"",VLOOKUP(T_Commission[[#This Row],[NumL]],T_suiviDi[#Data],COLUMN(T_suiviDi[Nom]),FALSE),""),"")</f>
        <v/>
      </c>
      <c r="D201" s="19" t="str">
        <f>IFERROR(IF(VLOOKUP(T_Commission[[#This Row],[NumL]],T_suiviDi[#Data],COLUMN(T_suiviDi[Prénom]),FALSE)&lt;&gt;"",VLOOKUP(T_Commission[[#This Row],[NumL]],T_suiviDi[#Data],COLUMN(T_suiviDi[Prénom]),FALSE),""),"")</f>
        <v/>
      </c>
      <c r="E201" s="20" t="str">
        <f>IFERROR(IF(VLOOKUP(T_Commission[[#This Row],[NumL]],T_suiviDi[#Data],COLUMN(T_suiviDi[Email]),FALSE)&lt;&gt;"",VLOOKUP(T_Commission[[#This Row],[NumL]],T_suiviDi[#Data],COLUMN(T_suiviDi[Email]),FALSE),""),"")</f>
        <v/>
      </c>
      <c r="F201" s="274" t="str">
        <f>IFERROR(IF(VLOOKUP(T_Commission[[#This Row],[NumL]],T_suiviDi[#Data],COLUMN(T_suiviDi[[#This Row],[Nom1]]),FALSE)&lt;&gt;"",VLOOKUP(T_Commission[[#This Row],[NumL]],T_suiviDi[#Data],COLUMN(T_suiviDi[[#This Row],[Nom1]]),FALSE),""),"")</f>
        <v/>
      </c>
      <c r="G201" s="274" t="str">
        <f>IFERROR(IF(VLOOKUP(T_Commission[[#This Row],[NumL]],T_suiviDi[#Data],COLUMN(T_suiviDi[[#This Row],[Prénom1]]),FALSE)&lt;&gt;"",VLOOKUP(T_Commission[[#This Row],[NumL]],T_suiviDi[#Data],COLUMN(T_suiviDi[[#This Row],[Prénom1]]),FALSE),""),"")</f>
        <v/>
      </c>
      <c r="H201" s="274" t="str">
        <f>IFERROR(IF(VLOOKUP(T_Commission[[#This Row],[NumL]],T_suiviDi[#Data],COLUMN(T_suiviDi[[#This Row],[Email1]]),FALSE)&lt;&gt;"",VLOOKUP(T_Commission[[#This Row],[NumL]],T_suiviDi[#Data],COLUMN(T_suiviDi[[#This Row],[Email1]]),FALSE),""),"")</f>
        <v/>
      </c>
      <c r="I201" s="142" t="str">
        <f>IFERROR(VLOOKUP(T_Commission[[#This Row],[NumL]],T_TraitDi[#Data],COLUMN(T_TraitDi[[#This Row],[CTRL_PJ]]),FALSE),"")</f>
        <v/>
      </c>
      <c r="J201" s="142" t="str">
        <f>IF(T_Commission[[#This Row],[Nom]]&lt;&gt;"",IFERROR(VLOOKUP(T_Commission[[#This Row],[NumL]],T_TraitDi[#Data],COLUMN(T_TraitDi[[#This Row],[C10]]),FALSE),""),"")</f>
        <v/>
      </c>
      <c r="K201" s="142" t="str">
        <f>IFERROR(IF(VLOOKUP(T_Commission[[#This Row],[NumL]],T_suiviDi[#Data],COLUMN(T_suiviDi[[#This Row],[Avis n+1]]),FALSE)&lt;&gt;"",VLOOKUP(A201,T_suiviDi[#Data],COLUMN(T_suiviDi[[#This Row],[Avis n+1]]),FALSE),""),"")</f>
        <v/>
      </c>
      <c r="L201" s="142" t="str">
        <f>IFERROR(IF(VLOOKUP(T_Commission[[#This Row],[NumL]],T_suiviDi[#Data],COLUMN(T_suiviDi[[#This Row],[Avis n+2]]),FALSE)&lt;&gt;"",VLOOKUP(T_Commission[[#This Row],[NumL]],T_suiviDi[#Data],COLUMN(T_suiviDi[[#This Row],[Avis n+2]]),FALSE),""),"")</f>
        <v/>
      </c>
      <c r="M201" s="49">
        <v>1</v>
      </c>
      <c r="N201" s="49"/>
      <c r="O201" s="143" t="str">
        <f>IF(T_Commission[[#This Row],[Nom]]&lt;&gt;"",IF(T_Commission[[#This Row],[COM '#2]]&lt;&gt;"",MAX(T_Commission[[#This Row],[PJ]],T_Commission[[#This Row],[COM '#2]]),IF(T_Commission[[#This Row],[COM '#1]]&lt;&gt;"",MAX(T_Commission[[#This Row],[PJ]],T_Commission[[#This Row],[COM '#1]]),"")),"")</f>
        <v/>
      </c>
      <c r="P201" s="55" t="s">
        <v>115</v>
      </c>
      <c r="Q201" s="55" t="s">
        <v>3277</v>
      </c>
      <c r="R201" s="55" t="s">
        <v>3277</v>
      </c>
      <c r="S201" s="56"/>
      <c r="T201" s="144"/>
    </row>
    <row r="202" spans="1:20" s="93" customFormat="1" ht="30" customHeight="1" x14ac:dyDescent="0.25">
      <c r="A202" s="90">
        <v>122</v>
      </c>
      <c r="B202" s="130" t="str">
        <f>IFERROR(IF(VLOOKUP(T_Commission[[#This Row],[NumL]],T_TraitDi[#Data],COLUMN(T_TraitDi[[#This Row],[Statut]]),FALSE)&lt;&gt;"",VLOOKUP(T_Commission[[#This Row],[NumL]],T_TraitDi[#Data],COLUMN(T_TraitDi[[#This Row],[Statut]]),FALSE),""),"")</f>
        <v/>
      </c>
      <c r="C202" s="19" t="str">
        <f>IFERROR(IF(VLOOKUP(T_Commission[[#This Row],[NumL]],T_suiviDi[#Data],COLUMN(T_suiviDi[Nom]),FALSE)&lt;&gt;"",VLOOKUP(T_Commission[[#This Row],[NumL]],T_suiviDi[#Data],COLUMN(T_suiviDi[Nom]),FALSE),""),"")</f>
        <v/>
      </c>
      <c r="D202" s="19" t="str">
        <f>IFERROR(IF(VLOOKUP(T_Commission[[#This Row],[NumL]],T_suiviDi[#Data],COLUMN(T_suiviDi[Prénom]),FALSE)&lt;&gt;"",VLOOKUP(T_Commission[[#This Row],[NumL]],T_suiviDi[#Data],COLUMN(T_suiviDi[Prénom]),FALSE),""),"")</f>
        <v/>
      </c>
      <c r="E202" s="20" t="str">
        <f>IFERROR(IF(VLOOKUP(T_Commission[[#This Row],[NumL]],T_suiviDi[#Data],COLUMN(T_suiviDi[Email]),FALSE)&lt;&gt;"",VLOOKUP(T_Commission[[#This Row],[NumL]],T_suiviDi[#Data],COLUMN(T_suiviDi[Email]),FALSE),""),"")</f>
        <v/>
      </c>
      <c r="F202" s="274" t="str">
        <f>IFERROR(IF(VLOOKUP(T_Commission[[#This Row],[NumL]],T_suiviDi[#Data],COLUMN(T_suiviDi[[#This Row],[Nom1]]),FALSE)&lt;&gt;"",VLOOKUP(T_Commission[[#This Row],[NumL]],T_suiviDi[#Data],COLUMN(T_suiviDi[[#This Row],[Nom1]]),FALSE),""),"")</f>
        <v/>
      </c>
      <c r="G202" s="274" t="str">
        <f>IFERROR(IF(VLOOKUP(T_Commission[[#This Row],[NumL]],T_suiviDi[#Data],COLUMN(T_suiviDi[[#This Row],[Prénom1]]),FALSE)&lt;&gt;"",VLOOKUP(T_Commission[[#This Row],[NumL]],T_suiviDi[#Data],COLUMN(T_suiviDi[[#This Row],[Prénom1]]),FALSE),""),"")</f>
        <v/>
      </c>
      <c r="H202" s="274" t="str">
        <f>IFERROR(IF(VLOOKUP(T_Commission[[#This Row],[NumL]],T_suiviDi[#Data],COLUMN(T_suiviDi[[#This Row],[Email1]]),FALSE)&lt;&gt;"",VLOOKUP(T_Commission[[#This Row],[NumL]],T_suiviDi[#Data],COLUMN(T_suiviDi[[#This Row],[Email1]]),FALSE),""),"")</f>
        <v/>
      </c>
      <c r="I202" s="142" t="str">
        <f>IFERROR(VLOOKUP(T_Commission[[#This Row],[NumL]],T_TraitDi[#Data],COLUMN(T_TraitDi[[#This Row],[CTRL_PJ]]),FALSE),"")</f>
        <v/>
      </c>
      <c r="J202" s="142" t="str">
        <f>IF(T_Commission[[#This Row],[Nom]]&lt;&gt;"",IFERROR(VLOOKUP(T_Commission[[#This Row],[NumL]],T_TraitDi[#Data],COLUMN(T_TraitDi[[#This Row],[C10]]),FALSE),""),"")</f>
        <v/>
      </c>
      <c r="K202" s="142" t="str">
        <f>IFERROR(IF(VLOOKUP(T_Commission[[#This Row],[NumL]],T_suiviDi[#Data],COLUMN(T_suiviDi[[#This Row],[Avis n+1]]),FALSE)&lt;&gt;"",VLOOKUP(A202,T_suiviDi[#Data],COLUMN(T_suiviDi[[#This Row],[Avis n+1]]),FALSE),""),"")</f>
        <v/>
      </c>
      <c r="L202" s="142" t="str">
        <f>IFERROR(IF(VLOOKUP(T_Commission[[#This Row],[NumL]],T_suiviDi[#Data],COLUMN(T_suiviDi[[#This Row],[Avis n+2]]),FALSE)&lt;&gt;"",VLOOKUP(T_Commission[[#This Row],[NumL]],T_suiviDi[#Data],COLUMN(T_suiviDi[[#This Row],[Avis n+2]]),FALSE),""),"")</f>
        <v/>
      </c>
      <c r="M202" s="49">
        <v>1</v>
      </c>
      <c r="N202" s="49"/>
      <c r="O202" s="143" t="str">
        <f>IF(T_Commission[[#This Row],[Nom]]&lt;&gt;"",IF(T_Commission[[#This Row],[COM '#2]]&lt;&gt;"",MAX(T_Commission[[#This Row],[PJ]],T_Commission[[#This Row],[COM '#2]]),IF(T_Commission[[#This Row],[COM '#1]]&lt;&gt;"",MAX(T_Commission[[#This Row],[PJ]],T_Commission[[#This Row],[COM '#1]]),"")),"")</f>
        <v/>
      </c>
      <c r="P202" s="55" t="s">
        <v>115</v>
      </c>
      <c r="Q202" s="55" t="s">
        <v>3277</v>
      </c>
      <c r="R202" s="55" t="s">
        <v>3277</v>
      </c>
      <c r="S202" s="56"/>
      <c r="T202" s="144"/>
    </row>
    <row r="203" spans="1:20" s="93" customFormat="1" ht="30" customHeight="1" x14ac:dyDescent="0.25">
      <c r="A203" s="90">
        <v>38</v>
      </c>
      <c r="B203" s="130" t="str">
        <f>IFERROR(IF(VLOOKUP(T_Commission[[#This Row],[NumL]],T_TraitDi[#Data],COLUMN(T_TraitDi[[#This Row],[Statut]]),FALSE)&lt;&gt;"",VLOOKUP(T_Commission[[#This Row],[NumL]],T_TraitDi[#Data],COLUMN(T_TraitDi[[#This Row],[Statut]]),FALSE),""),"")</f>
        <v/>
      </c>
      <c r="C203" s="19" t="str">
        <f>IFERROR(IF(VLOOKUP(T_Commission[[#This Row],[NumL]],T_suiviDi[#Data],COLUMN(T_suiviDi[Nom]),FALSE)&lt;&gt;"",VLOOKUP(T_Commission[[#This Row],[NumL]],T_suiviDi[#Data],COLUMN(T_suiviDi[Nom]),FALSE),""),"")</f>
        <v/>
      </c>
      <c r="D203" s="19" t="str">
        <f>IFERROR(IF(VLOOKUP(T_Commission[[#This Row],[NumL]],T_suiviDi[#Data],COLUMN(T_suiviDi[Prénom]),FALSE)&lt;&gt;"",VLOOKUP(T_Commission[[#This Row],[NumL]],T_suiviDi[#Data],COLUMN(T_suiviDi[Prénom]),FALSE),""),"")</f>
        <v/>
      </c>
      <c r="E203" s="20" t="str">
        <f>IFERROR(IF(VLOOKUP(T_Commission[[#This Row],[NumL]],T_suiviDi[#Data],COLUMN(T_suiviDi[Email]),FALSE)&lt;&gt;"",VLOOKUP(T_Commission[[#This Row],[NumL]],T_suiviDi[#Data],COLUMN(T_suiviDi[Email]),FALSE),""),"")</f>
        <v/>
      </c>
      <c r="F203" s="274" t="str">
        <f>IFERROR(IF(VLOOKUP(T_Commission[[#This Row],[NumL]],T_suiviDi[#Data],COLUMN(T_suiviDi[[#This Row],[Nom1]]),FALSE)&lt;&gt;"",VLOOKUP(T_Commission[[#This Row],[NumL]],T_suiviDi[#Data],COLUMN(T_suiviDi[[#This Row],[Nom1]]),FALSE),""),"")</f>
        <v/>
      </c>
      <c r="G203" s="274" t="str">
        <f>IFERROR(IF(VLOOKUP(T_Commission[[#This Row],[NumL]],T_suiviDi[#Data],COLUMN(T_suiviDi[[#This Row],[Prénom1]]),FALSE)&lt;&gt;"",VLOOKUP(T_Commission[[#This Row],[NumL]],T_suiviDi[#Data],COLUMN(T_suiviDi[[#This Row],[Prénom1]]),FALSE),""),"")</f>
        <v/>
      </c>
      <c r="H203" s="274" t="str">
        <f>IFERROR(IF(VLOOKUP(T_Commission[[#This Row],[NumL]],T_suiviDi[#Data],COLUMN(T_suiviDi[[#This Row],[Email1]]),FALSE)&lt;&gt;"",VLOOKUP(T_Commission[[#This Row],[NumL]],T_suiviDi[#Data],COLUMN(T_suiviDi[[#This Row],[Email1]]),FALSE),""),"")</f>
        <v/>
      </c>
      <c r="I203" s="142" t="str">
        <f>IFERROR(VLOOKUP(T_Commission[[#This Row],[NumL]],T_TraitDi[#Data],COLUMN(T_TraitDi[[#This Row],[CTRL_PJ]]),FALSE),"")</f>
        <v/>
      </c>
      <c r="J203" s="142" t="str">
        <f>IF(T_Commission[[#This Row],[Nom]]&lt;&gt;"",IFERROR(VLOOKUP(T_Commission[[#This Row],[NumL]],T_TraitDi[#Data],COLUMN(T_TraitDi[[#This Row],[C10]]),FALSE),""),"")</f>
        <v/>
      </c>
      <c r="K203" s="142" t="str">
        <f>IFERROR(IF(VLOOKUP(T_Commission[[#This Row],[NumL]],T_suiviDi[#Data],COLUMN(T_suiviDi[[#This Row],[Avis n+1]]),FALSE)&lt;&gt;"",VLOOKUP(A203,T_suiviDi[#Data],COLUMN(T_suiviDi[[#This Row],[Avis n+1]]),FALSE),""),"")</f>
        <v/>
      </c>
      <c r="L203" s="142" t="str">
        <f>IFERROR(IF(VLOOKUP(T_Commission[[#This Row],[NumL]],T_suiviDi[#Data],COLUMN(T_suiviDi[[#This Row],[Avis n+2]]),FALSE)&lt;&gt;"",VLOOKUP(T_Commission[[#This Row],[NumL]],T_suiviDi[#Data],COLUMN(T_suiviDi[[#This Row],[Avis n+2]]),FALSE),""),"")</f>
        <v/>
      </c>
      <c r="M203" s="49">
        <v>1</v>
      </c>
      <c r="N203" s="49"/>
      <c r="O203" s="143" t="str">
        <f>IF(T_Commission[[#This Row],[Nom]]&lt;&gt;"",IF(T_Commission[[#This Row],[COM '#2]]&lt;&gt;"",MAX(T_Commission[[#This Row],[PJ]],T_Commission[[#This Row],[COM '#2]]),IF(T_Commission[[#This Row],[COM '#1]]&lt;&gt;"",MAX(T_Commission[[#This Row],[PJ]],T_Commission[[#This Row],[COM '#1]]),"")),"")</f>
        <v/>
      </c>
      <c r="P203" s="55" t="s">
        <v>115</v>
      </c>
      <c r="Q203" s="55" t="s">
        <v>3277</v>
      </c>
      <c r="R203" s="55"/>
      <c r="S203" s="56"/>
      <c r="T203" s="144"/>
    </row>
    <row r="204" spans="1:20" s="93" customFormat="1" ht="30" customHeight="1" x14ac:dyDescent="0.25">
      <c r="A204" s="90">
        <v>110</v>
      </c>
      <c r="B204" s="130" t="str">
        <f>IFERROR(IF(VLOOKUP(T_Commission[[#This Row],[NumL]],T_TraitDi[#Data],COLUMN(T_TraitDi[[#This Row],[Statut]]),FALSE)&lt;&gt;"",VLOOKUP(T_Commission[[#This Row],[NumL]],T_TraitDi[#Data],COLUMN(T_TraitDi[[#This Row],[Statut]]),FALSE),""),"")</f>
        <v/>
      </c>
      <c r="C204" s="19" t="str">
        <f>IFERROR(IF(VLOOKUP(T_Commission[[#This Row],[NumL]],T_suiviDi[#Data],COLUMN(T_suiviDi[Nom]),FALSE)&lt;&gt;"",VLOOKUP(T_Commission[[#This Row],[NumL]],T_suiviDi[#Data],COLUMN(T_suiviDi[Nom]),FALSE),""),"")</f>
        <v/>
      </c>
      <c r="D204" s="19" t="str">
        <f>IFERROR(IF(VLOOKUP(T_Commission[[#This Row],[NumL]],T_suiviDi[#Data],COLUMN(T_suiviDi[Prénom]),FALSE)&lt;&gt;"",VLOOKUP(T_Commission[[#This Row],[NumL]],T_suiviDi[#Data],COLUMN(T_suiviDi[Prénom]),FALSE),""),"")</f>
        <v/>
      </c>
      <c r="E204" s="20" t="str">
        <f>IFERROR(IF(VLOOKUP(T_Commission[[#This Row],[NumL]],T_suiviDi[#Data],COLUMN(T_suiviDi[Email]),FALSE)&lt;&gt;"",VLOOKUP(T_Commission[[#This Row],[NumL]],T_suiviDi[#Data],COLUMN(T_suiviDi[Email]),FALSE),""),"")</f>
        <v/>
      </c>
      <c r="F204" s="274" t="str">
        <f>IFERROR(IF(VLOOKUP(T_Commission[[#This Row],[NumL]],T_suiviDi[#Data],COLUMN(T_suiviDi[[#This Row],[Nom1]]),FALSE)&lt;&gt;"",VLOOKUP(T_Commission[[#This Row],[NumL]],T_suiviDi[#Data],COLUMN(T_suiviDi[[#This Row],[Nom1]]),FALSE),""),"")</f>
        <v/>
      </c>
      <c r="G204" s="274" t="str">
        <f>IFERROR(IF(VLOOKUP(T_Commission[[#This Row],[NumL]],T_suiviDi[#Data],COLUMN(T_suiviDi[[#This Row],[Prénom1]]),FALSE)&lt;&gt;"",VLOOKUP(T_Commission[[#This Row],[NumL]],T_suiviDi[#Data],COLUMN(T_suiviDi[[#This Row],[Prénom1]]),FALSE),""),"")</f>
        <v/>
      </c>
      <c r="H204" s="274" t="str">
        <f>IFERROR(IF(VLOOKUP(T_Commission[[#This Row],[NumL]],T_suiviDi[#Data],COLUMN(T_suiviDi[[#This Row],[Email1]]),FALSE)&lt;&gt;"",VLOOKUP(T_Commission[[#This Row],[NumL]],T_suiviDi[#Data],COLUMN(T_suiviDi[[#This Row],[Email1]]),FALSE),""),"")</f>
        <v/>
      </c>
      <c r="I204" s="142" t="str">
        <f>IFERROR(VLOOKUP(T_Commission[[#This Row],[NumL]],T_TraitDi[#Data],COLUMN(T_TraitDi[[#This Row],[CTRL_PJ]]),FALSE),"")</f>
        <v/>
      </c>
      <c r="J204" s="142" t="str">
        <f>IF(T_Commission[[#This Row],[Nom]]&lt;&gt;"",IFERROR(VLOOKUP(T_Commission[[#This Row],[NumL]],T_TraitDi[#Data],COLUMN(T_TraitDi[[#This Row],[C10]]),FALSE),""),"")</f>
        <v/>
      </c>
      <c r="K204" s="142" t="str">
        <f>IFERROR(IF(VLOOKUP(T_Commission[[#This Row],[NumL]],T_suiviDi[#Data],COLUMN(T_suiviDi[[#This Row],[Avis n+1]]),FALSE)&lt;&gt;"",VLOOKUP(A204,T_suiviDi[#Data],COLUMN(T_suiviDi[[#This Row],[Avis n+1]]),FALSE),""),"")</f>
        <v/>
      </c>
      <c r="L204" s="142" t="str">
        <f>IFERROR(IF(VLOOKUP(T_Commission[[#This Row],[NumL]],T_suiviDi[#Data],COLUMN(T_suiviDi[[#This Row],[Avis n+2]]),FALSE)&lt;&gt;"",VLOOKUP(T_Commission[[#This Row],[NumL]],T_suiviDi[#Data],COLUMN(T_suiviDi[[#This Row],[Avis n+2]]),FALSE),""),"")</f>
        <v/>
      </c>
      <c r="M204" s="49">
        <v>1</v>
      </c>
      <c r="N204" s="49"/>
      <c r="O204" s="143" t="str">
        <f>IF(T_Commission[[#This Row],[Nom]]&lt;&gt;"",IF(T_Commission[[#This Row],[COM '#2]]&lt;&gt;"",MAX(T_Commission[[#This Row],[PJ]],T_Commission[[#This Row],[COM '#2]]),IF(T_Commission[[#This Row],[COM '#1]]&lt;&gt;"",MAX(T_Commission[[#This Row],[PJ]],T_Commission[[#This Row],[COM '#1]]),"")),"")</f>
        <v/>
      </c>
      <c r="P204" s="55" t="s">
        <v>115</v>
      </c>
      <c r="Q204" s="55" t="s">
        <v>3277</v>
      </c>
      <c r="R204" s="55" t="s">
        <v>3277</v>
      </c>
      <c r="S204" s="56"/>
      <c r="T204" s="144"/>
    </row>
    <row r="205" spans="1:20" s="93" customFormat="1" ht="30" customHeight="1" x14ac:dyDescent="0.25">
      <c r="A205" s="90">
        <v>16</v>
      </c>
      <c r="B205" s="130" t="str">
        <f>IFERROR(IF(VLOOKUP(T_Commission[[#This Row],[NumL]],T_TraitDi[#Data],COLUMN(T_TraitDi[[#This Row],[Statut]]),FALSE)&lt;&gt;"",VLOOKUP(T_Commission[[#This Row],[NumL]],T_TraitDi[#Data],COLUMN(T_TraitDi[[#This Row],[Statut]]),FALSE),""),"")</f>
        <v/>
      </c>
      <c r="C205" s="19" t="str">
        <f>IFERROR(IF(VLOOKUP(T_Commission[[#This Row],[NumL]],T_suiviDi[#Data],COLUMN(T_suiviDi[Nom]),FALSE)&lt;&gt;"",VLOOKUP(T_Commission[[#This Row],[NumL]],T_suiviDi[#Data],COLUMN(T_suiviDi[Nom]),FALSE),""),"")</f>
        <v/>
      </c>
      <c r="D205" s="19" t="str">
        <f>IFERROR(IF(VLOOKUP(T_Commission[[#This Row],[NumL]],T_suiviDi[#Data],COLUMN(T_suiviDi[Prénom]),FALSE)&lt;&gt;"",VLOOKUP(T_Commission[[#This Row],[NumL]],T_suiviDi[#Data],COLUMN(T_suiviDi[Prénom]),FALSE),""),"")</f>
        <v/>
      </c>
      <c r="E205" s="20" t="str">
        <f>IFERROR(IF(VLOOKUP(T_Commission[[#This Row],[NumL]],T_suiviDi[#Data],COLUMN(T_suiviDi[Email]),FALSE)&lt;&gt;"",VLOOKUP(T_Commission[[#This Row],[NumL]],T_suiviDi[#Data],COLUMN(T_suiviDi[Email]),FALSE),""),"")</f>
        <v/>
      </c>
      <c r="F205" s="274" t="str">
        <f>IFERROR(IF(VLOOKUP(T_Commission[[#This Row],[NumL]],T_suiviDi[#Data],COLUMN(T_suiviDi[[#This Row],[Nom1]]),FALSE)&lt;&gt;"",VLOOKUP(T_Commission[[#This Row],[NumL]],T_suiviDi[#Data],COLUMN(T_suiviDi[[#This Row],[Nom1]]),FALSE),""),"")</f>
        <v/>
      </c>
      <c r="G205" s="274" t="str">
        <f>IFERROR(IF(VLOOKUP(T_Commission[[#This Row],[NumL]],T_suiviDi[#Data],COLUMN(T_suiviDi[[#This Row],[Prénom1]]),FALSE)&lt;&gt;"",VLOOKUP(T_Commission[[#This Row],[NumL]],T_suiviDi[#Data],COLUMN(T_suiviDi[[#This Row],[Prénom1]]),FALSE),""),"")</f>
        <v/>
      </c>
      <c r="H205" s="274" t="str">
        <f>IFERROR(IF(VLOOKUP(T_Commission[[#This Row],[NumL]],T_suiviDi[#Data],COLUMN(T_suiviDi[[#This Row],[Email1]]),FALSE)&lt;&gt;"",VLOOKUP(T_Commission[[#This Row],[NumL]],T_suiviDi[#Data],COLUMN(T_suiviDi[[#This Row],[Email1]]),FALSE),""),"")</f>
        <v/>
      </c>
      <c r="I205" s="142" t="str">
        <f>IFERROR(VLOOKUP(T_Commission[[#This Row],[NumL]],T_TraitDi[#Data],COLUMN(T_TraitDi[[#This Row],[CTRL_PJ]]),FALSE),"")</f>
        <v/>
      </c>
      <c r="J205" s="142" t="str">
        <f>IF(T_Commission[[#This Row],[Nom]]&lt;&gt;"",IFERROR(VLOOKUP(T_Commission[[#This Row],[NumL]],T_TraitDi[#Data],COLUMN(T_TraitDi[[#This Row],[C10]]),FALSE),""),"")</f>
        <v/>
      </c>
      <c r="K205" s="142" t="str">
        <f>IFERROR(IF(VLOOKUP(T_Commission[[#This Row],[NumL]],T_suiviDi[#Data],COLUMN(T_suiviDi[[#This Row],[Avis n+1]]),FALSE)&lt;&gt;"",VLOOKUP(A205,T_suiviDi[#Data],COLUMN(T_suiviDi[[#This Row],[Avis n+1]]),FALSE),""),"")</f>
        <v/>
      </c>
      <c r="L205" s="142" t="str">
        <f>IFERROR(IF(VLOOKUP(T_Commission[[#This Row],[NumL]],T_suiviDi[#Data],COLUMN(T_suiviDi[[#This Row],[Avis n+2]]),FALSE)&lt;&gt;"",VLOOKUP(T_Commission[[#This Row],[NumL]],T_suiviDi[#Data],COLUMN(T_suiviDi[[#This Row],[Avis n+2]]),FALSE),""),"")</f>
        <v/>
      </c>
      <c r="M205" s="49">
        <v>1</v>
      </c>
      <c r="N205" s="49"/>
      <c r="O205" s="143" t="str">
        <f>IF(T_Commission[[#This Row],[Nom]]&lt;&gt;"",IF(T_Commission[[#This Row],[COM '#2]]&lt;&gt;"",MAX(T_Commission[[#This Row],[PJ]],T_Commission[[#This Row],[COM '#2]]),IF(T_Commission[[#This Row],[COM '#1]]&lt;&gt;"",MAX(T_Commission[[#This Row],[PJ]],T_Commission[[#This Row],[COM '#1]]),"")),"")</f>
        <v/>
      </c>
      <c r="P205" s="55" t="s">
        <v>115</v>
      </c>
      <c r="Q205" s="55" t="s">
        <v>3277</v>
      </c>
      <c r="R205" s="55"/>
      <c r="S205" s="56"/>
      <c r="T205" s="144"/>
    </row>
    <row r="206" spans="1:20" s="93" customFormat="1" ht="30" customHeight="1" x14ac:dyDescent="0.25">
      <c r="A206" s="90">
        <v>335</v>
      </c>
      <c r="B206" s="130" t="str">
        <f>IFERROR(IF(VLOOKUP(T_Commission[[#This Row],[NumL]],T_TraitDi[#Data],COLUMN(T_TraitDi[[#This Row],[Statut]]),FALSE)&lt;&gt;"",VLOOKUP(T_Commission[[#This Row],[NumL]],T_TraitDi[#Data],COLUMN(T_TraitDi[[#This Row],[Statut]]),FALSE),""),"")</f>
        <v/>
      </c>
      <c r="C206" s="139" t="str">
        <f>IFERROR(IF(VLOOKUP(T_Commission[[#This Row],[NumL]],T_suiviDi[#Data],COLUMN(T_suiviDi[[#This Row],[Nom]]),FALSE)&lt;&gt;"",VLOOKUP(T_Commission[[#This Row],[NumL]],T_suiviDi[#Data],COLUMN(T_suiviDi[[#This Row],[Nom]]),FALSE),""),"")</f>
        <v/>
      </c>
      <c r="D206" s="139" t="str">
        <f>IFERROR(IF(VLOOKUP(T_Commission[[#This Row],[NumL]],T_suiviDi[#Data],COLUMN(T_suiviDi[[#This Row],[Prénom]]),FALSE)&lt;&gt;"",VLOOKUP(T_Commission[[#This Row],[NumL]],T_suiviDi[#Data],COLUMN(T_suiviDi[[#This Row],[Prénom]]),FALSE),""),"")</f>
        <v/>
      </c>
      <c r="E206" s="140" t="str">
        <f>IFERROR(IF(VLOOKUP(T_Commission[[#This Row],[NumL]],T_suiviDi[#Data],COLUMN(T_suiviDi[[#This Row],[Email]]),FALSE)&lt;&gt;"",VLOOKUP(T_Commission[[#This Row],[NumL]],T_suiviDi[#Data],COLUMN(T_suiviDi[[#This Row],[Email]]),FALSE),""),"")</f>
        <v/>
      </c>
      <c r="F206" s="141" t="str">
        <f>IFERROR(IF(VLOOKUP(T_Commission[[#This Row],[NumL]],T_suiviDi[#Data],COLUMN(T_suiviDi[[#This Row],[Nom1]]),FALSE)&lt;&gt;"",VLOOKUP(T_Commission[[#This Row],[NumL]],T_suiviDi[#Data],COLUMN(T_suiviDi[[#This Row],[Nom1]]),FALSE),""),"")</f>
        <v/>
      </c>
      <c r="G206" s="141" t="str">
        <f>IFERROR(IF(VLOOKUP(T_Commission[[#This Row],[NumL]],T_suiviDi[#Data],COLUMN(T_suiviDi[[#This Row],[Prénom1]]),FALSE)&lt;&gt;"",VLOOKUP(T_Commission[[#This Row],[NumL]],T_suiviDi[#Data],COLUMN(T_suiviDi[[#This Row],[Prénom1]]),FALSE),""),"")</f>
        <v/>
      </c>
      <c r="H206" s="141" t="str">
        <f>IFERROR(IF(VLOOKUP(T_Commission[[#This Row],[NumL]],T_suiviDi[#Data],COLUMN(T_suiviDi[[#This Row],[Email1]]),FALSE)&lt;&gt;"",VLOOKUP(T_Commission[[#This Row],[NumL]],T_suiviDi[#Data],COLUMN(T_suiviDi[[#This Row],[Email1]]),FALSE),""),"")</f>
        <v/>
      </c>
      <c r="I206" s="142" t="str">
        <f>IFERROR(VLOOKUP(T_Commission[[#This Row],[NumL]],T_TraitDi[#Data],COLUMN(T_TraitDi[[#This Row],[CTRL_PJ]]),FALSE),"")</f>
        <v/>
      </c>
      <c r="J206" s="142" t="str">
        <f>IF(C206&lt;&gt;"",IFERROR(VLOOKUP(A206,'2- Traitement des DI'!BV32,FALSE),""),"")</f>
        <v/>
      </c>
      <c r="K206" s="142" t="str">
        <f>IFERROR(IF(VLOOKUP(T_Commission[[#This Row],[NumL]],T_suiviDi[#Data],COLUMN(T_suiviDi[[#This Row],[Avis n+1]]),FALSE)&lt;&gt;"",VLOOKUP(A206,T_suiviDi[#Data],COLUMN(T_suiviDi[[#This Row],[Avis n+1]]),FALSE),""),"")</f>
        <v/>
      </c>
      <c r="L206" s="142" t="str">
        <f>IFERROR(IF(VLOOKUP(A206,ListeDI,27,FALSE)&lt;&gt;"",VLOOKUP(A206,ListeDI,27,FALSE),""),"")</f>
        <v/>
      </c>
      <c r="M206" s="49">
        <v>1</v>
      </c>
      <c r="N206" s="49"/>
      <c r="O206" s="143" t="str">
        <f>IF(C206&lt;&gt;"",IF(N206&lt;&gt;"",MAX(I206,N206),IF(M206&lt;&gt;"",MAX(I206,M206),"")),"")</f>
        <v/>
      </c>
      <c r="P206" s="55" t="s">
        <v>115</v>
      </c>
      <c r="Q206" s="55" t="s">
        <v>3277</v>
      </c>
      <c r="R206" s="55" t="s">
        <v>3277</v>
      </c>
      <c r="S206" s="56"/>
      <c r="T206" s="144"/>
    </row>
    <row r="207" spans="1:20" s="93" customFormat="1" ht="30" customHeight="1" x14ac:dyDescent="0.25">
      <c r="A207" s="90">
        <v>179</v>
      </c>
      <c r="B207" s="130" t="str">
        <f>IFERROR(IF(VLOOKUP(T_Commission[[#This Row],[NumL]],T_TraitDi[#Data],COLUMN(T_TraitDi[[#This Row],[Statut]]),FALSE)&lt;&gt;"",VLOOKUP(T_Commission[[#This Row],[NumL]],T_TraitDi[#Data],COLUMN(T_TraitDi[[#This Row],[Statut]]),FALSE),""),"")</f>
        <v/>
      </c>
      <c r="C207" s="19" t="str">
        <f>IFERROR(IF(VLOOKUP(T_Commission[[#This Row],[NumL]],T_suiviDi[#Data],COLUMN(T_suiviDi[Nom]),FALSE)&lt;&gt;"",VLOOKUP(T_Commission[[#This Row],[NumL]],T_suiviDi[#Data],COLUMN(T_suiviDi[Nom]),FALSE),""),"")</f>
        <v/>
      </c>
      <c r="D207" s="19" t="str">
        <f>IFERROR(IF(VLOOKUP(T_Commission[[#This Row],[NumL]],T_suiviDi[#Data],COLUMN(T_suiviDi[Prénom]),FALSE)&lt;&gt;"",VLOOKUP(T_Commission[[#This Row],[NumL]],T_suiviDi[#Data],COLUMN(T_suiviDi[Prénom]),FALSE),""),"")</f>
        <v/>
      </c>
      <c r="E207" s="20" t="str">
        <f>IFERROR(IF(VLOOKUP(T_Commission[[#This Row],[NumL]],T_suiviDi[#Data],COLUMN(T_suiviDi[Email]),FALSE)&lt;&gt;"",VLOOKUP(T_Commission[[#This Row],[NumL]],T_suiviDi[#Data],COLUMN(T_suiviDi[Email]),FALSE),""),"")</f>
        <v/>
      </c>
      <c r="F207" s="274" t="str">
        <f>IFERROR(IF(VLOOKUP(T_Commission[[#This Row],[NumL]],T_suiviDi[#Data],COLUMN(T_suiviDi[[#This Row],[Nom1]]),FALSE)&lt;&gt;"",VLOOKUP(T_Commission[[#This Row],[NumL]],T_suiviDi[#Data],COLUMN(T_suiviDi[[#This Row],[Nom1]]),FALSE),""),"")</f>
        <v/>
      </c>
      <c r="G207" s="274" t="str">
        <f>IFERROR(IF(VLOOKUP(T_Commission[[#This Row],[NumL]],T_suiviDi[#Data],COLUMN(T_suiviDi[[#This Row],[Prénom1]]),FALSE)&lt;&gt;"",VLOOKUP(T_Commission[[#This Row],[NumL]],T_suiviDi[#Data],COLUMN(T_suiviDi[[#This Row],[Prénom1]]),FALSE),""),"")</f>
        <v/>
      </c>
      <c r="H207" s="274" t="str">
        <f>IFERROR(IF(VLOOKUP(T_Commission[[#This Row],[NumL]],T_suiviDi[#Data],COLUMN(T_suiviDi[[#This Row],[Email1]]),FALSE)&lt;&gt;"",VLOOKUP(T_Commission[[#This Row],[NumL]],T_suiviDi[#Data],COLUMN(T_suiviDi[[#This Row],[Email1]]),FALSE),""),"")</f>
        <v/>
      </c>
      <c r="I207" s="142" t="str">
        <f>IFERROR(VLOOKUP(T_Commission[[#This Row],[NumL]],T_TraitDi[#Data],COLUMN(T_TraitDi[[#This Row],[CTRL_PJ]]),FALSE),"")</f>
        <v/>
      </c>
      <c r="J207" s="142" t="str">
        <f>IF(T_Commission[[#This Row],[Nom]]&lt;&gt;"",IFERROR(VLOOKUP(T_Commission[[#This Row],[NumL]],T_TraitDi[#Data],COLUMN(T_TraitDi[[#This Row],[C10]]),FALSE),""),"")</f>
        <v/>
      </c>
      <c r="K207" s="142" t="str">
        <f>IFERROR(IF(VLOOKUP(T_Commission[[#This Row],[NumL]],T_suiviDi[#Data],COLUMN(T_suiviDi[[#This Row],[Avis n+1]]),FALSE)&lt;&gt;"",VLOOKUP(A207,T_suiviDi[#Data],COLUMN(T_suiviDi[[#This Row],[Avis n+1]]),FALSE),""),"")</f>
        <v/>
      </c>
      <c r="L207" s="142" t="str">
        <f>IFERROR(IF(VLOOKUP(T_Commission[[#This Row],[NumL]],T_suiviDi[#Data],COLUMN(T_suiviDi[[#This Row],[Avis n+2]]),FALSE)&lt;&gt;"",VLOOKUP(T_Commission[[#This Row],[NumL]],T_suiviDi[#Data],COLUMN(T_suiviDi[[#This Row],[Avis n+2]]),FALSE),""),"")</f>
        <v/>
      </c>
      <c r="M207" s="49">
        <v>1</v>
      </c>
      <c r="N207" s="49"/>
      <c r="O207" s="143" t="str">
        <f>IF(T_Commission[[#This Row],[Nom]]&lt;&gt;"",IF(T_Commission[[#This Row],[COM '#2]]&lt;&gt;"",MAX(T_Commission[[#This Row],[PJ]],T_Commission[[#This Row],[COM '#2]]),IF(T_Commission[[#This Row],[COM '#1]]&lt;&gt;"",MAX(T_Commission[[#This Row],[PJ]],T_Commission[[#This Row],[COM '#1]]),"")),"")</f>
        <v/>
      </c>
      <c r="P207" s="55" t="s">
        <v>115</v>
      </c>
      <c r="Q207" s="55" t="s">
        <v>3277</v>
      </c>
      <c r="R207" s="55" t="s">
        <v>3277</v>
      </c>
      <c r="S207" s="56"/>
      <c r="T207" s="144"/>
    </row>
    <row r="208" spans="1:20" s="93" customFormat="1" ht="30" customHeight="1" x14ac:dyDescent="0.25">
      <c r="A208" s="90">
        <v>33</v>
      </c>
      <c r="B208" s="130" t="str">
        <f>IFERROR(IF(VLOOKUP(T_Commission[[#This Row],[NumL]],T_TraitDi[#Data],COLUMN(T_TraitDi[[#This Row],[Statut]]),FALSE)&lt;&gt;"",VLOOKUP(T_Commission[[#This Row],[NumL]],T_TraitDi[#Data],COLUMN(T_TraitDi[[#This Row],[Statut]]),FALSE),""),"")</f>
        <v/>
      </c>
      <c r="C208" s="19" t="str">
        <f>IFERROR(IF(VLOOKUP(T_Commission[[#This Row],[NumL]],T_suiviDi[#Data],COLUMN(T_suiviDi[Nom]),FALSE)&lt;&gt;"",VLOOKUP(T_Commission[[#This Row],[NumL]],T_suiviDi[#Data],COLUMN(T_suiviDi[Nom]),FALSE),""),"")</f>
        <v/>
      </c>
      <c r="D208" s="19" t="str">
        <f>IFERROR(IF(VLOOKUP(T_Commission[[#This Row],[NumL]],T_suiviDi[#Data],COLUMN(T_suiviDi[Prénom]),FALSE)&lt;&gt;"",VLOOKUP(T_Commission[[#This Row],[NumL]],T_suiviDi[#Data],COLUMN(T_suiviDi[Prénom]),FALSE),""),"")</f>
        <v/>
      </c>
      <c r="E208" s="20" t="str">
        <f>IFERROR(IF(VLOOKUP(T_Commission[[#This Row],[NumL]],T_suiviDi[#Data],COLUMN(T_suiviDi[Email]),FALSE)&lt;&gt;"",VLOOKUP(T_Commission[[#This Row],[NumL]],T_suiviDi[#Data],COLUMN(T_suiviDi[Email]),FALSE),""),"")</f>
        <v/>
      </c>
      <c r="F208" s="274" t="str">
        <f>IFERROR(IF(VLOOKUP(T_Commission[[#This Row],[NumL]],T_suiviDi[#Data],COLUMN(T_suiviDi[[#This Row],[Nom1]]),FALSE)&lt;&gt;"",VLOOKUP(T_Commission[[#This Row],[NumL]],T_suiviDi[#Data],COLUMN(T_suiviDi[[#This Row],[Nom1]]),FALSE),""),"")</f>
        <v/>
      </c>
      <c r="G208" s="274" t="str">
        <f>IFERROR(IF(VLOOKUP(T_Commission[[#This Row],[NumL]],T_suiviDi[#Data],COLUMN(T_suiviDi[[#This Row],[Prénom1]]),FALSE)&lt;&gt;"",VLOOKUP(T_Commission[[#This Row],[NumL]],T_suiviDi[#Data],COLUMN(T_suiviDi[[#This Row],[Prénom1]]),FALSE),""),"")</f>
        <v/>
      </c>
      <c r="H208" s="274" t="str">
        <f>IFERROR(IF(VLOOKUP(T_Commission[[#This Row],[NumL]],T_suiviDi[#Data],COLUMN(T_suiviDi[[#This Row],[Email1]]),FALSE)&lt;&gt;"",VLOOKUP(T_Commission[[#This Row],[NumL]],T_suiviDi[#Data],COLUMN(T_suiviDi[[#This Row],[Email1]]),FALSE),""),"")</f>
        <v/>
      </c>
      <c r="I208" s="142" t="str">
        <f>IFERROR(VLOOKUP(T_Commission[[#This Row],[NumL]],T_TraitDi[#Data],COLUMN(T_TraitDi[[#This Row],[CTRL_PJ]]),FALSE),"")</f>
        <v/>
      </c>
      <c r="J208" s="142" t="str">
        <f>IF(T_Commission[[#This Row],[Nom]]&lt;&gt;"",IFERROR(VLOOKUP(T_Commission[[#This Row],[NumL]],T_TraitDi[#Data],COLUMN(T_TraitDi[[#This Row],[C10]]),FALSE),""),"")</f>
        <v/>
      </c>
      <c r="K208" s="142" t="str">
        <f>IFERROR(IF(VLOOKUP(T_Commission[[#This Row],[NumL]],T_suiviDi[#Data],COLUMN(T_suiviDi[[#This Row],[Avis n+1]]),FALSE)&lt;&gt;"",VLOOKUP(A208,T_suiviDi[#Data],COLUMN(T_suiviDi[[#This Row],[Avis n+1]]),FALSE),""),"")</f>
        <v/>
      </c>
      <c r="L208" s="142" t="str">
        <f>IFERROR(IF(VLOOKUP(T_Commission[[#This Row],[NumL]],T_suiviDi[#Data],COLUMN(T_suiviDi[[#This Row],[Avis n+2]]),FALSE)&lt;&gt;"",VLOOKUP(T_Commission[[#This Row],[NumL]],T_suiviDi[#Data],COLUMN(T_suiviDi[[#This Row],[Avis n+2]]),FALSE),""),"")</f>
        <v/>
      </c>
      <c r="M208" s="49">
        <v>1</v>
      </c>
      <c r="N208" s="49"/>
      <c r="O208" s="143" t="str">
        <f>IF(T_Commission[[#This Row],[Nom]]&lt;&gt;"",IF(T_Commission[[#This Row],[COM '#2]]&lt;&gt;"",MAX(T_Commission[[#This Row],[PJ]],T_Commission[[#This Row],[COM '#2]]),IF(T_Commission[[#This Row],[COM '#1]]&lt;&gt;"",MAX(T_Commission[[#This Row],[PJ]],T_Commission[[#This Row],[COM '#1]]),"")),"")</f>
        <v/>
      </c>
      <c r="P208" s="55" t="s">
        <v>115</v>
      </c>
      <c r="Q208" s="55" t="s">
        <v>3277</v>
      </c>
      <c r="R208" s="55"/>
      <c r="S208" s="56"/>
      <c r="T208" s="144"/>
    </row>
    <row r="209" spans="1:20" s="93" customFormat="1" ht="30" customHeight="1" x14ac:dyDescent="0.25">
      <c r="A209" s="90">
        <v>143</v>
      </c>
      <c r="B209" s="130" t="str">
        <f>IFERROR(IF(VLOOKUP(T_Commission[[#This Row],[NumL]],T_TraitDi[#Data],COLUMN(T_TraitDi[[#This Row],[Statut]]),FALSE)&lt;&gt;"",VLOOKUP(T_Commission[[#This Row],[NumL]],T_TraitDi[#Data],COLUMN(T_TraitDi[[#This Row],[Statut]]),FALSE),""),"")</f>
        <v/>
      </c>
      <c r="C209" s="19" t="str">
        <f>IFERROR(IF(VLOOKUP(T_Commission[[#This Row],[NumL]],T_suiviDi[#Data],COLUMN(T_suiviDi[Nom]),FALSE)&lt;&gt;"",VLOOKUP(T_Commission[[#This Row],[NumL]],T_suiviDi[#Data],COLUMN(T_suiviDi[Nom]),FALSE),""),"")</f>
        <v/>
      </c>
      <c r="D209" s="19" t="str">
        <f>IFERROR(IF(VLOOKUP(T_Commission[[#This Row],[NumL]],T_suiviDi[#Data],COLUMN(T_suiviDi[Prénom]),FALSE)&lt;&gt;"",VLOOKUP(T_Commission[[#This Row],[NumL]],T_suiviDi[#Data],COLUMN(T_suiviDi[Prénom]),FALSE),""),"")</f>
        <v/>
      </c>
      <c r="E209" s="20" t="str">
        <f>IFERROR(IF(VLOOKUP(T_Commission[[#This Row],[NumL]],T_suiviDi[#Data],COLUMN(T_suiviDi[Email]),FALSE)&lt;&gt;"",VLOOKUP(T_Commission[[#This Row],[NumL]],T_suiviDi[#Data],COLUMN(T_suiviDi[Email]),FALSE),""),"")</f>
        <v/>
      </c>
      <c r="F209" s="274" t="str">
        <f>IFERROR(IF(VLOOKUP(T_Commission[[#This Row],[NumL]],T_suiviDi[#Data],COLUMN(T_suiviDi[[#This Row],[Nom1]]),FALSE)&lt;&gt;"",VLOOKUP(T_Commission[[#This Row],[NumL]],T_suiviDi[#Data],COLUMN(T_suiviDi[[#This Row],[Nom1]]),FALSE),""),"")</f>
        <v/>
      </c>
      <c r="G209" s="274" t="str">
        <f>IFERROR(IF(VLOOKUP(T_Commission[[#This Row],[NumL]],T_suiviDi[#Data],COLUMN(T_suiviDi[[#This Row],[Prénom1]]),FALSE)&lt;&gt;"",VLOOKUP(T_Commission[[#This Row],[NumL]],T_suiviDi[#Data],COLUMN(T_suiviDi[[#This Row],[Prénom1]]),FALSE),""),"")</f>
        <v/>
      </c>
      <c r="H209" s="274" t="str">
        <f>IFERROR(IF(VLOOKUP(T_Commission[[#This Row],[NumL]],T_suiviDi[#Data],COLUMN(T_suiviDi[[#This Row],[Email1]]),FALSE)&lt;&gt;"",VLOOKUP(T_Commission[[#This Row],[NumL]],T_suiviDi[#Data],COLUMN(T_suiviDi[[#This Row],[Email1]]),FALSE),""),"")</f>
        <v/>
      </c>
      <c r="I209" s="142" t="str">
        <f>IFERROR(VLOOKUP(T_Commission[[#This Row],[NumL]],T_TraitDi[#Data],COLUMN(T_TraitDi[[#This Row],[CTRL_PJ]]),FALSE),"")</f>
        <v/>
      </c>
      <c r="J209" s="142" t="str">
        <f>IF(T_Commission[[#This Row],[Nom]]&lt;&gt;"",IFERROR(VLOOKUP(T_Commission[[#This Row],[NumL]],T_TraitDi[#Data],COLUMN(T_TraitDi[[#This Row],[C10]]),FALSE),""),"")</f>
        <v/>
      </c>
      <c r="K209" s="142" t="str">
        <f>IFERROR(IF(VLOOKUP(T_Commission[[#This Row],[NumL]],T_suiviDi[#Data],COLUMN(T_suiviDi[[#This Row],[Avis n+1]]),FALSE)&lt;&gt;"",VLOOKUP(A209,T_suiviDi[#Data],COLUMN(T_suiviDi[[#This Row],[Avis n+1]]),FALSE),""),"")</f>
        <v/>
      </c>
      <c r="L209" s="142" t="str">
        <f>IFERROR(IF(VLOOKUP(T_Commission[[#This Row],[NumL]],T_suiviDi[#Data],COLUMN(T_suiviDi[[#This Row],[Avis n+2]]),FALSE)&lt;&gt;"",VLOOKUP(T_Commission[[#This Row],[NumL]],T_suiviDi[#Data],COLUMN(T_suiviDi[[#This Row],[Avis n+2]]),FALSE),""),"")</f>
        <v/>
      </c>
      <c r="M209" s="49">
        <v>1</v>
      </c>
      <c r="N209" s="49"/>
      <c r="O209" s="143" t="str">
        <f>IF(T_Commission[[#This Row],[Nom]]&lt;&gt;"",IF(T_Commission[[#This Row],[COM '#2]]&lt;&gt;"",MAX(T_Commission[[#This Row],[PJ]],T_Commission[[#This Row],[COM '#2]]),IF(T_Commission[[#This Row],[COM '#1]]&lt;&gt;"",MAX(T_Commission[[#This Row],[PJ]],T_Commission[[#This Row],[COM '#1]]),"")),"")</f>
        <v/>
      </c>
      <c r="P209" s="55" t="s">
        <v>115</v>
      </c>
      <c r="Q209" s="55" t="s">
        <v>3277</v>
      </c>
      <c r="R209" s="55"/>
      <c r="S209" s="56"/>
      <c r="T209" s="144"/>
    </row>
    <row r="210" spans="1:20" s="93" customFormat="1" ht="30" customHeight="1" x14ac:dyDescent="0.25">
      <c r="A210" s="90">
        <v>169</v>
      </c>
      <c r="B210" s="130" t="str">
        <f>IFERROR(IF(VLOOKUP(T_Commission[[#This Row],[NumL]],T_TraitDi[#Data],COLUMN(T_TraitDi[[#This Row],[Statut]]),FALSE)&lt;&gt;"",VLOOKUP(T_Commission[[#This Row],[NumL]],T_TraitDi[#Data],COLUMN(T_TraitDi[[#This Row],[Statut]]),FALSE),""),"")</f>
        <v/>
      </c>
      <c r="C210" s="19" t="str">
        <f>IFERROR(IF(VLOOKUP(T_Commission[[#This Row],[NumL]],T_suiviDi[#Data],COLUMN(T_suiviDi[Nom]),FALSE)&lt;&gt;"",VLOOKUP(T_Commission[[#This Row],[NumL]],T_suiviDi[#Data],COLUMN(T_suiviDi[Nom]),FALSE),""),"")</f>
        <v/>
      </c>
      <c r="D210" s="19" t="str">
        <f>IFERROR(IF(VLOOKUP(T_Commission[[#This Row],[NumL]],T_suiviDi[#Data],COLUMN(T_suiviDi[Prénom]),FALSE)&lt;&gt;"",VLOOKUP(T_Commission[[#This Row],[NumL]],T_suiviDi[#Data],COLUMN(T_suiviDi[Prénom]),FALSE),""),"")</f>
        <v/>
      </c>
      <c r="E210" s="20" t="str">
        <f>IFERROR(IF(VLOOKUP(T_Commission[[#This Row],[NumL]],T_suiviDi[#Data],COLUMN(T_suiviDi[Email]),FALSE)&lt;&gt;"",VLOOKUP(T_Commission[[#This Row],[NumL]],T_suiviDi[#Data],COLUMN(T_suiviDi[Email]),FALSE),""),"")</f>
        <v/>
      </c>
      <c r="F210" s="274" t="str">
        <f>IFERROR(IF(VLOOKUP(T_Commission[[#This Row],[NumL]],T_suiviDi[#Data],COLUMN(T_suiviDi[[#This Row],[Nom1]]),FALSE)&lt;&gt;"",VLOOKUP(T_Commission[[#This Row],[NumL]],T_suiviDi[#Data],COLUMN(T_suiviDi[[#This Row],[Nom1]]),FALSE),""),"")</f>
        <v/>
      </c>
      <c r="G210" s="274" t="str">
        <f>IFERROR(IF(VLOOKUP(T_Commission[[#This Row],[NumL]],T_suiviDi[#Data],COLUMN(T_suiviDi[[#This Row],[Prénom1]]),FALSE)&lt;&gt;"",VLOOKUP(T_Commission[[#This Row],[NumL]],T_suiviDi[#Data],COLUMN(T_suiviDi[[#This Row],[Prénom1]]),FALSE),""),"")</f>
        <v/>
      </c>
      <c r="H210" s="274" t="str">
        <f>IFERROR(IF(VLOOKUP(T_Commission[[#This Row],[NumL]],T_suiviDi[#Data],COLUMN(T_suiviDi[[#This Row],[Email1]]),FALSE)&lt;&gt;"",VLOOKUP(T_Commission[[#This Row],[NumL]],T_suiviDi[#Data],COLUMN(T_suiviDi[[#This Row],[Email1]]),FALSE),""),"")</f>
        <v/>
      </c>
      <c r="I210" s="142" t="str">
        <f>IFERROR(VLOOKUP(T_Commission[[#This Row],[NumL]],T_TraitDi[#Data],COLUMN(T_TraitDi[[#This Row],[CTRL_PJ]]),FALSE),"")</f>
        <v/>
      </c>
      <c r="J210" s="142" t="str">
        <f>IF(T_Commission[[#This Row],[Nom]]&lt;&gt;"",IFERROR(VLOOKUP(T_Commission[[#This Row],[NumL]],T_TraitDi[#Data],COLUMN(T_TraitDi[[#This Row],[C10]]),FALSE),""),"")</f>
        <v/>
      </c>
      <c r="K210" s="142" t="str">
        <f>IFERROR(IF(VLOOKUP(T_Commission[[#This Row],[NumL]],T_suiviDi[#Data],COLUMN(T_suiviDi[[#This Row],[Avis n+1]]),FALSE)&lt;&gt;"",VLOOKUP(A210,T_suiviDi[#Data],COLUMN(T_suiviDi[[#This Row],[Avis n+1]]),FALSE),""),"")</f>
        <v/>
      </c>
      <c r="L210" s="142" t="str">
        <f>IFERROR(IF(VLOOKUP(T_Commission[[#This Row],[NumL]],T_suiviDi[#Data],COLUMN(T_suiviDi[[#This Row],[Avis n+2]]),FALSE)&lt;&gt;"",VLOOKUP(T_Commission[[#This Row],[NumL]],T_suiviDi[#Data],COLUMN(T_suiviDi[[#This Row],[Avis n+2]]),FALSE),""),"")</f>
        <v/>
      </c>
      <c r="M210" s="49">
        <v>1</v>
      </c>
      <c r="N210" s="49"/>
      <c r="O210" s="143" t="str">
        <f>IF(T_Commission[[#This Row],[Nom]]&lt;&gt;"",IF(T_Commission[[#This Row],[COM '#2]]&lt;&gt;"",MAX(T_Commission[[#This Row],[PJ]],T_Commission[[#This Row],[COM '#2]]),IF(T_Commission[[#This Row],[COM '#1]]&lt;&gt;"",MAX(T_Commission[[#This Row],[PJ]],T_Commission[[#This Row],[COM '#1]]),"")),"")</f>
        <v/>
      </c>
      <c r="P210" s="55" t="s">
        <v>115</v>
      </c>
      <c r="Q210" s="55" t="s">
        <v>3277</v>
      </c>
      <c r="R210" s="55" t="s">
        <v>3277</v>
      </c>
      <c r="S210" s="56"/>
      <c r="T210" s="144"/>
    </row>
    <row r="211" spans="1:20" s="93" customFormat="1" ht="30" customHeight="1" x14ac:dyDescent="0.25">
      <c r="A211" s="90">
        <v>208</v>
      </c>
      <c r="B211" s="130" t="str">
        <f>IFERROR(IF(VLOOKUP(T_Commission[[#This Row],[NumL]],T_TraitDi[#Data],COLUMN(T_TraitDi[[#This Row],[Statut]]),FALSE)&lt;&gt;"",VLOOKUP(T_Commission[[#This Row],[NumL]],T_TraitDi[#Data],COLUMN(T_TraitDi[[#This Row],[Statut]]),FALSE),""),"")</f>
        <v/>
      </c>
      <c r="C211" s="19" t="str">
        <f>IFERROR(IF(VLOOKUP(T_Commission[[#This Row],[NumL]],T_suiviDi[#Data],COLUMN(T_suiviDi[Nom]),FALSE)&lt;&gt;"",VLOOKUP(T_Commission[[#This Row],[NumL]],T_suiviDi[#Data],COLUMN(T_suiviDi[Nom]),FALSE),""),"")</f>
        <v/>
      </c>
      <c r="D211" s="19" t="str">
        <f>IFERROR(IF(VLOOKUP(T_Commission[[#This Row],[NumL]],T_suiviDi[#Data],COLUMN(T_suiviDi[Prénom]),FALSE)&lt;&gt;"",VLOOKUP(T_Commission[[#This Row],[NumL]],T_suiviDi[#Data],COLUMN(T_suiviDi[Prénom]),FALSE),""),"")</f>
        <v/>
      </c>
      <c r="E211" s="20" t="str">
        <f>IFERROR(IF(VLOOKUP(T_Commission[[#This Row],[NumL]],T_suiviDi[#Data],COLUMN(T_suiviDi[Email]),FALSE)&lt;&gt;"",VLOOKUP(T_Commission[[#This Row],[NumL]],T_suiviDi[#Data],COLUMN(T_suiviDi[Email]),FALSE),""),"")</f>
        <v/>
      </c>
      <c r="F211" s="274" t="str">
        <f>IFERROR(IF(VLOOKUP(T_Commission[[#This Row],[NumL]],T_suiviDi[#Data],COLUMN(T_suiviDi[[#This Row],[Nom1]]),FALSE)&lt;&gt;"",VLOOKUP(T_Commission[[#This Row],[NumL]],T_suiviDi[#Data],COLUMN(T_suiviDi[[#This Row],[Nom1]]),FALSE),""),"")</f>
        <v/>
      </c>
      <c r="G211" s="274" t="str">
        <f>IFERROR(IF(VLOOKUP(T_Commission[[#This Row],[NumL]],T_suiviDi[#Data],COLUMN(T_suiviDi[[#This Row],[Prénom1]]),FALSE)&lt;&gt;"",VLOOKUP(T_Commission[[#This Row],[NumL]],T_suiviDi[#Data],COLUMN(T_suiviDi[[#This Row],[Prénom1]]),FALSE),""),"")</f>
        <v/>
      </c>
      <c r="H211" s="274" t="str">
        <f>IFERROR(IF(VLOOKUP(T_Commission[[#This Row],[NumL]],T_suiviDi[#Data],COLUMN(T_suiviDi[[#This Row],[Email1]]),FALSE)&lt;&gt;"",VLOOKUP(T_Commission[[#This Row],[NumL]],T_suiviDi[#Data],COLUMN(T_suiviDi[[#This Row],[Email1]]),FALSE),""),"")</f>
        <v/>
      </c>
      <c r="I211" s="142" t="str">
        <f>IFERROR(VLOOKUP(T_Commission[[#This Row],[NumL]],T_TraitDi[#Data],COLUMN(T_TraitDi[[#This Row],[CTRL_PJ]]),FALSE),"")</f>
        <v/>
      </c>
      <c r="J211" s="142" t="str">
        <f>IF(T_Commission[[#This Row],[Nom]]&lt;&gt;"",IFERROR(VLOOKUP(T_Commission[[#This Row],[NumL]],T_TraitDi[#Data],COLUMN(T_TraitDi[[#This Row],[C10]]),FALSE),""),"")</f>
        <v/>
      </c>
      <c r="K211" s="142" t="str">
        <f>IFERROR(IF(VLOOKUP(T_Commission[[#This Row],[NumL]],T_suiviDi[#Data],COLUMN(T_suiviDi[[#This Row],[Avis n+1]]),FALSE)&lt;&gt;"",VLOOKUP(A211,T_suiviDi[#Data],COLUMN(T_suiviDi[[#This Row],[Avis n+1]]),FALSE),""),"")</f>
        <v/>
      </c>
      <c r="L211" s="142" t="str">
        <f>IFERROR(IF(VLOOKUP(T_Commission[[#This Row],[NumL]],T_suiviDi[#Data],COLUMN(T_suiviDi[[#This Row],[Avis n+2]]),FALSE)&lt;&gt;"",VLOOKUP(T_Commission[[#This Row],[NumL]],T_suiviDi[#Data],COLUMN(T_suiviDi[[#This Row],[Avis n+2]]),FALSE),""),"")</f>
        <v/>
      </c>
      <c r="M211" s="49">
        <v>1</v>
      </c>
      <c r="N211" s="49"/>
      <c r="O211" s="143" t="str">
        <f>IF(T_Commission[[#This Row],[Nom]]&lt;&gt;"",IF(T_Commission[[#This Row],[COM '#2]]&lt;&gt;"",MAX(T_Commission[[#This Row],[PJ]],T_Commission[[#This Row],[COM '#2]]),IF(T_Commission[[#This Row],[COM '#1]]&lt;&gt;"",MAX(T_Commission[[#This Row],[PJ]],T_Commission[[#This Row],[COM '#1]]),"")),"")</f>
        <v/>
      </c>
      <c r="P211" s="55" t="s">
        <v>115</v>
      </c>
      <c r="Q211" s="55" t="s">
        <v>3277</v>
      </c>
      <c r="R211" s="55" t="s">
        <v>3277</v>
      </c>
      <c r="S211" s="56"/>
      <c r="T211" s="144"/>
    </row>
    <row r="212" spans="1:20" s="93" customFormat="1" ht="30" customHeight="1" x14ac:dyDescent="0.25">
      <c r="A212" s="90">
        <v>198</v>
      </c>
      <c r="B212" s="130" t="str">
        <f>IFERROR(IF(VLOOKUP(T_Commission[[#This Row],[NumL]],T_TraitDi[#Data],COLUMN(T_TraitDi[[#This Row],[Statut]]),FALSE)&lt;&gt;"",VLOOKUP(T_Commission[[#This Row],[NumL]],T_TraitDi[#Data],COLUMN(T_TraitDi[[#This Row],[Statut]]),FALSE),""),"")</f>
        <v/>
      </c>
      <c r="C212" s="19" t="str">
        <f>IFERROR(IF(VLOOKUP(T_Commission[[#This Row],[NumL]],T_suiviDi[#Data],COLUMN(T_suiviDi[Nom]),FALSE)&lt;&gt;"",VLOOKUP(T_Commission[[#This Row],[NumL]],T_suiviDi[#Data],COLUMN(T_suiviDi[Nom]),FALSE),""),"")</f>
        <v/>
      </c>
      <c r="D212" s="19" t="str">
        <f>IFERROR(IF(VLOOKUP(T_Commission[[#This Row],[NumL]],T_suiviDi[#Data],COLUMN(T_suiviDi[Prénom]),FALSE)&lt;&gt;"",VLOOKUP(T_Commission[[#This Row],[NumL]],T_suiviDi[#Data],COLUMN(T_suiviDi[Prénom]),FALSE),""),"")</f>
        <v/>
      </c>
      <c r="E212" s="20" t="str">
        <f>IFERROR(IF(VLOOKUP(T_Commission[[#This Row],[NumL]],T_suiviDi[#Data],COLUMN(T_suiviDi[Email]),FALSE)&lt;&gt;"",VLOOKUP(T_Commission[[#This Row],[NumL]],T_suiviDi[#Data],COLUMN(T_suiviDi[Email]),FALSE),""),"")</f>
        <v/>
      </c>
      <c r="F212" s="274" t="str">
        <f>IFERROR(IF(VLOOKUP(T_Commission[[#This Row],[NumL]],T_suiviDi[#Data],COLUMN(T_suiviDi[[#This Row],[Nom1]]),FALSE)&lt;&gt;"",VLOOKUP(T_Commission[[#This Row],[NumL]],T_suiviDi[#Data],COLUMN(T_suiviDi[[#This Row],[Nom1]]),FALSE),""),"")</f>
        <v/>
      </c>
      <c r="G212" s="274" t="str">
        <f>IFERROR(IF(VLOOKUP(T_Commission[[#This Row],[NumL]],T_suiviDi[#Data],COLUMN(T_suiviDi[[#This Row],[Prénom1]]),FALSE)&lt;&gt;"",VLOOKUP(T_Commission[[#This Row],[NumL]],T_suiviDi[#Data],COLUMN(T_suiviDi[[#This Row],[Prénom1]]),FALSE),""),"")</f>
        <v/>
      </c>
      <c r="H212" s="274" t="str">
        <f>IFERROR(IF(VLOOKUP(T_Commission[[#This Row],[NumL]],T_suiviDi[#Data],COLUMN(T_suiviDi[[#This Row],[Email1]]),FALSE)&lt;&gt;"",VLOOKUP(T_Commission[[#This Row],[NumL]],T_suiviDi[#Data],COLUMN(T_suiviDi[[#This Row],[Email1]]),FALSE),""),"")</f>
        <v/>
      </c>
      <c r="I212" s="142" t="str">
        <f>IFERROR(VLOOKUP(T_Commission[[#This Row],[NumL]],T_TraitDi[#Data],COLUMN(T_TraitDi[[#This Row],[CTRL_PJ]]),FALSE),"")</f>
        <v/>
      </c>
      <c r="J212" s="142" t="str">
        <f>IF(T_Commission[[#This Row],[Nom]]&lt;&gt;"",IFERROR(VLOOKUP(T_Commission[[#This Row],[NumL]],T_TraitDi[#Data],COLUMN(T_TraitDi[[#This Row],[C10]]),FALSE),""),"")</f>
        <v/>
      </c>
      <c r="K212" s="142" t="str">
        <f>IFERROR(IF(VLOOKUP(T_Commission[[#This Row],[NumL]],T_suiviDi[#Data],COLUMN(T_suiviDi[[#This Row],[Avis n+1]]),FALSE)&lt;&gt;"",VLOOKUP(A212,T_suiviDi[#Data],COLUMN(T_suiviDi[[#This Row],[Avis n+1]]),FALSE),""),"")</f>
        <v/>
      </c>
      <c r="L212" s="142" t="str">
        <f>IFERROR(IF(VLOOKUP(T_Commission[[#This Row],[NumL]],T_suiviDi[#Data],COLUMN(T_suiviDi[[#This Row],[Avis n+2]]),FALSE)&lt;&gt;"",VLOOKUP(T_Commission[[#This Row],[NumL]],T_suiviDi[#Data],COLUMN(T_suiviDi[[#This Row],[Avis n+2]]),FALSE),""),"")</f>
        <v/>
      </c>
      <c r="M212" s="49">
        <v>1</v>
      </c>
      <c r="N212" s="49"/>
      <c r="O212" s="143" t="str">
        <f>IF(T_Commission[[#This Row],[Nom]]&lt;&gt;"",IF(T_Commission[[#This Row],[COM '#2]]&lt;&gt;"",MAX(T_Commission[[#This Row],[PJ]],T_Commission[[#This Row],[COM '#2]]),IF(T_Commission[[#This Row],[COM '#1]]&lt;&gt;"",MAX(T_Commission[[#This Row],[PJ]],T_Commission[[#This Row],[COM '#1]]),"")),"")</f>
        <v/>
      </c>
      <c r="P212" s="55" t="s">
        <v>115</v>
      </c>
      <c r="Q212" s="55" t="s">
        <v>3277</v>
      </c>
      <c r="R212" s="55" t="s">
        <v>3277</v>
      </c>
      <c r="S212" s="56"/>
      <c r="T212" s="144"/>
    </row>
    <row r="213" spans="1:20" s="93" customFormat="1" ht="30" customHeight="1" x14ac:dyDescent="0.25">
      <c r="A213" s="90">
        <v>349</v>
      </c>
      <c r="B213" s="130" t="str">
        <f>IFERROR(IF(VLOOKUP(T_Commission[[#This Row],[NumL]],T_TraitDi[#Data],COLUMN(T_TraitDi[[#This Row],[Statut]]),FALSE)&lt;&gt;"",VLOOKUP(T_Commission[[#This Row],[NumL]],T_TraitDi[#Data],COLUMN(T_TraitDi[[#This Row],[Statut]]),FALSE),""),"")</f>
        <v/>
      </c>
      <c r="C213" s="139" t="str">
        <f>IFERROR(IF(VLOOKUP(T_Commission[[#This Row],[NumL]],T_suiviDi[#Data],COLUMN(T_suiviDi[[#This Row],[Nom]]),FALSE)&lt;&gt;"",VLOOKUP(T_Commission[[#This Row],[NumL]],T_suiviDi[#Data],COLUMN(T_suiviDi[[#This Row],[Nom]]),FALSE),""),"")</f>
        <v/>
      </c>
      <c r="D213" s="139" t="str">
        <f>IFERROR(IF(VLOOKUP(T_Commission[[#This Row],[NumL]],T_suiviDi[#Data],COLUMN(T_suiviDi[[#This Row],[Prénom]]),FALSE)&lt;&gt;"",VLOOKUP(T_Commission[[#This Row],[NumL]],T_suiviDi[#Data],COLUMN(T_suiviDi[[#This Row],[Prénom]]),FALSE),""),"")</f>
        <v/>
      </c>
      <c r="E213" s="140" t="str">
        <f>IFERROR(IF(VLOOKUP(T_Commission[[#This Row],[NumL]],T_suiviDi[#Data],COLUMN(T_suiviDi[[#This Row],[Email]]),FALSE)&lt;&gt;"",VLOOKUP(T_Commission[[#This Row],[NumL]],T_suiviDi[#Data],COLUMN(T_suiviDi[[#This Row],[Email]]),FALSE),""),"")</f>
        <v/>
      </c>
      <c r="F213" s="141" t="str">
        <f>IFERROR(IF(VLOOKUP(T_Commission[[#This Row],[NumL]],T_suiviDi[#Data],COLUMN(T_suiviDi[[#This Row],[Nom1]]),FALSE)&lt;&gt;"",VLOOKUP(T_Commission[[#This Row],[NumL]],T_suiviDi[#Data],COLUMN(T_suiviDi[[#This Row],[Nom1]]),FALSE),""),"")</f>
        <v/>
      </c>
      <c r="G213" s="141" t="str">
        <f>IFERROR(IF(VLOOKUP(T_Commission[[#This Row],[NumL]],T_suiviDi[#Data],COLUMN(T_suiviDi[[#This Row],[Prénom1]]),FALSE)&lt;&gt;"",VLOOKUP(T_Commission[[#This Row],[NumL]],T_suiviDi[#Data],COLUMN(T_suiviDi[[#This Row],[Prénom1]]),FALSE),""),"")</f>
        <v/>
      </c>
      <c r="H213" s="141" t="str">
        <f>IFERROR(IF(VLOOKUP(T_Commission[[#This Row],[NumL]],T_suiviDi[#Data],COLUMN(T_suiviDi[[#This Row],[Email1]]),FALSE)&lt;&gt;"",VLOOKUP(T_Commission[[#This Row],[NumL]],T_suiviDi[#Data],COLUMN(T_suiviDi[[#This Row],[Email1]]),FALSE),""),"")</f>
        <v/>
      </c>
      <c r="I213" s="142" t="str">
        <f>IFERROR(VLOOKUP(T_Commission[[#This Row],[NumL]],T_TraitDi[#Data],COLUMN(T_TraitDi[[#This Row],[CTRL_PJ]]),FALSE),"")</f>
        <v/>
      </c>
      <c r="J213" s="142" t="str">
        <f>IF(C213&lt;&gt;"",IFERROR(VLOOKUP(A213,'2- Traitement des DI'!BV32,FALSE),""),"")</f>
        <v/>
      </c>
      <c r="K213" s="142" t="str">
        <f>IFERROR(IF(VLOOKUP(T_Commission[[#This Row],[NumL]],T_suiviDi[#Data],COLUMN(T_suiviDi[[#This Row],[Avis n+1]]),FALSE)&lt;&gt;"",VLOOKUP(A213,T_suiviDi[#Data],COLUMN(T_suiviDi[[#This Row],[Avis n+1]]),FALSE),""),"")</f>
        <v/>
      </c>
      <c r="L213" s="142" t="str">
        <f>IFERROR(IF(VLOOKUP(A213,ListeDI,27,FALSE)&lt;&gt;"",VLOOKUP(A213,ListeDI,27,FALSE),""),"")</f>
        <v/>
      </c>
      <c r="M213" s="49">
        <v>3</v>
      </c>
      <c r="N213" s="49"/>
      <c r="O213" s="143" t="str">
        <f>IF(C213&lt;&gt;"",IF(N213&lt;&gt;"",MAX(I213,N213),IF(M213&lt;&gt;"",MAX(I213,M213),"")),"")</f>
        <v/>
      </c>
      <c r="P213" s="55" t="s">
        <v>115</v>
      </c>
      <c r="Q213" s="55" t="s">
        <v>3278</v>
      </c>
      <c r="R213" s="55"/>
      <c r="S213" s="56"/>
      <c r="T213" s="144" t="s">
        <v>3616</v>
      </c>
    </row>
    <row r="214" spans="1:20" s="93" customFormat="1" ht="30" customHeight="1" x14ac:dyDescent="0.25">
      <c r="A214" s="90">
        <v>332</v>
      </c>
      <c r="B214" s="130" t="str">
        <f>IFERROR(IF(VLOOKUP(T_Commission[[#This Row],[NumL]],T_TraitDi[#Data],COLUMN(T_TraitDi[[#This Row],[Statut]]),FALSE)&lt;&gt;"",VLOOKUP(T_Commission[[#This Row],[NumL]],T_TraitDi[#Data],COLUMN(T_TraitDi[[#This Row],[Statut]]),FALSE),""),"")</f>
        <v/>
      </c>
      <c r="C214" s="139" t="str">
        <f>IFERROR(IF(VLOOKUP(T_Commission[[#This Row],[NumL]],T_suiviDi[#Data],COLUMN(T_suiviDi[[#This Row],[Nom]]),FALSE)&lt;&gt;"",VLOOKUP(T_Commission[[#This Row],[NumL]],T_suiviDi[#Data],COLUMN(T_suiviDi[[#This Row],[Nom]]),FALSE),""),"")</f>
        <v/>
      </c>
      <c r="D214" s="139" t="str">
        <f>IFERROR(IF(VLOOKUP(T_Commission[[#This Row],[NumL]],T_suiviDi[#Data],COLUMN(T_suiviDi[[#This Row],[Prénom]]),FALSE)&lt;&gt;"",VLOOKUP(T_Commission[[#This Row],[NumL]],T_suiviDi[#Data],COLUMN(T_suiviDi[[#This Row],[Prénom]]),FALSE),""),"")</f>
        <v/>
      </c>
      <c r="E214" s="140" t="str">
        <f>IFERROR(IF(VLOOKUP(T_Commission[[#This Row],[NumL]],T_suiviDi[#Data],COLUMN(T_suiviDi[[#This Row],[Email]]),FALSE)&lt;&gt;"",VLOOKUP(T_Commission[[#This Row],[NumL]],T_suiviDi[#Data],COLUMN(T_suiviDi[[#This Row],[Email]]),FALSE),""),"")</f>
        <v/>
      </c>
      <c r="F214" s="141" t="str">
        <f>IFERROR(IF(VLOOKUP(T_Commission[[#This Row],[NumL]],T_suiviDi[#Data],COLUMN(T_suiviDi[[#This Row],[Nom1]]),FALSE)&lt;&gt;"",VLOOKUP(T_Commission[[#This Row],[NumL]],T_suiviDi[#Data],COLUMN(T_suiviDi[[#This Row],[Nom1]]),FALSE),""),"")</f>
        <v/>
      </c>
      <c r="G214" s="141" t="str">
        <f>IFERROR(IF(VLOOKUP(T_Commission[[#This Row],[NumL]],T_suiviDi[#Data],COLUMN(T_suiviDi[[#This Row],[Prénom1]]),FALSE)&lt;&gt;"",VLOOKUP(T_Commission[[#This Row],[NumL]],T_suiviDi[#Data],COLUMN(T_suiviDi[[#This Row],[Prénom1]]),FALSE),""),"")</f>
        <v/>
      </c>
      <c r="H214" s="141" t="str">
        <f>IFERROR(IF(VLOOKUP(T_Commission[[#This Row],[NumL]],T_suiviDi[#Data],COLUMN(T_suiviDi[[#This Row],[Email1]]),FALSE)&lt;&gt;"",VLOOKUP(T_Commission[[#This Row],[NumL]],T_suiviDi[#Data],COLUMN(T_suiviDi[[#This Row],[Email1]]),FALSE),""),"")</f>
        <v/>
      </c>
      <c r="I214" s="142" t="str">
        <f>IFERROR(VLOOKUP(T_Commission[[#This Row],[NumL]],T_TraitDi[#Data],COLUMN(T_TraitDi[[#This Row],[CTRL_PJ]]),FALSE),"")</f>
        <v/>
      </c>
      <c r="J214" s="142" t="str">
        <f>IF(C214&lt;&gt;"",IFERROR(VLOOKUP(A214,'2- Traitement des DI'!BV32,FALSE),""),"")</f>
        <v/>
      </c>
      <c r="K214" s="142" t="str">
        <f>IFERROR(IF(VLOOKUP(T_Commission[[#This Row],[NumL]],T_suiviDi[#Data],COLUMN(T_suiviDi[[#This Row],[Avis n+1]]),FALSE)&lt;&gt;"",VLOOKUP(A214,T_suiviDi[#Data],COLUMN(T_suiviDi[[#This Row],[Avis n+1]]),FALSE),""),"")</f>
        <v/>
      </c>
      <c r="L214" s="142" t="str">
        <f>IFERROR(IF(VLOOKUP(A214,ListeDI,27,FALSE)&lt;&gt;"",VLOOKUP(A214,ListeDI,27,FALSE),""),"")</f>
        <v/>
      </c>
      <c r="M214" s="49">
        <v>1</v>
      </c>
      <c r="N214" s="49"/>
      <c r="O214" s="143" t="str">
        <f>IF(C214&lt;&gt;"",IF(N214&lt;&gt;"",MAX(I214,N214),IF(M214&lt;&gt;"",MAX(I214,M214),"")),"")</f>
        <v/>
      </c>
      <c r="P214" s="55" t="s">
        <v>115</v>
      </c>
      <c r="Q214" s="55" t="s">
        <v>3277</v>
      </c>
      <c r="R214" s="55" t="s">
        <v>3277</v>
      </c>
      <c r="S214" s="56"/>
      <c r="T214" s="144"/>
    </row>
    <row r="215" spans="1:20" s="93" customFormat="1" ht="30" customHeight="1" x14ac:dyDescent="0.25">
      <c r="A215" s="90">
        <v>351</v>
      </c>
      <c r="B215" s="130" t="str">
        <f>IFERROR(IF(VLOOKUP(T_Commission[[#This Row],[NumL]],T_TraitDi[#Data],COLUMN(T_TraitDi[[#This Row],[Statut]]),FALSE)&lt;&gt;"",VLOOKUP(T_Commission[[#This Row],[NumL]],T_TraitDi[#Data],COLUMN(T_TraitDi[[#This Row],[Statut]]),FALSE),""),"")</f>
        <v/>
      </c>
      <c r="C215" s="139" t="str">
        <f>IFERROR(IF(VLOOKUP(T_Commission[[#This Row],[NumL]],T_suiviDi[#Data],COLUMN(T_suiviDi[[#This Row],[Nom]]),FALSE)&lt;&gt;"",VLOOKUP(T_Commission[[#This Row],[NumL]],T_suiviDi[#Data],COLUMN(T_suiviDi[[#This Row],[Nom]]),FALSE),""),"")</f>
        <v/>
      </c>
      <c r="D215" s="139" t="str">
        <f>IFERROR(IF(VLOOKUP(T_Commission[[#This Row],[NumL]],T_suiviDi[#Data],COLUMN(T_suiviDi[[#This Row],[Prénom]]),FALSE)&lt;&gt;"",VLOOKUP(T_Commission[[#This Row],[NumL]],T_suiviDi[#Data],COLUMN(T_suiviDi[[#This Row],[Prénom]]),FALSE),""),"")</f>
        <v/>
      </c>
      <c r="E215" s="140" t="str">
        <f>IFERROR(IF(VLOOKUP(T_Commission[[#This Row],[NumL]],T_suiviDi[#Data],COLUMN(T_suiviDi[[#This Row],[Email]]),FALSE)&lt;&gt;"",VLOOKUP(T_Commission[[#This Row],[NumL]],T_suiviDi[#Data],COLUMN(T_suiviDi[[#This Row],[Email]]),FALSE),""),"")</f>
        <v/>
      </c>
      <c r="F215" s="141" t="str">
        <f>IFERROR(IF(VLOOKUP(T_Commission[[#This Row],[NumL]],T_suiviDi[#Data],COLUMN(T_suiviDi[[#This Row],[Nom1]]),FALSE)&lt;&gt;"",VLOOKUP(T_Commission[[#This Row],[NumL]],T_suiviDi[#Data],COLUMN(T_suiviDi[[#This Row],[Nom1]]),FALSE),""),"")</f>
        <v/>
      </c>
      <c r="G215" s="141" t="str">
        <f>IFERROR(IF(VLOOKUP(T_Commission[[#This Row],[NumL]],T_suiviDi[#Data],COLUMN(T_suiviDi[[#This Row],[Prénom1]]),FALSE)&lt;&gt;"",VLOOKUP(T_Commission[[#This Row],[NumL]],T_suiviDi[#Data],COLUMN(T_suiviDi[[#This Row],[Prénom1]]),FALSE),""),"")</f>
        <v/>
      </c>
      <c r="H215" s="141" t="str">
        <f>IFERROR(IF(VLOOKUP(T_Commission[[#This Row],[NumL]],T_suiviDi[#Data],COLUMN(T_suiviDi[[#This Row],[Email1]]),FALSE)&lt;&gt;"",VLOOKUP(T_Commission[[#This Row],[NumL]],T_suiviDi[#Data],COLUMN(T_suiviDi[[#This Row],[Email1]]),FALSE),""),"")</f>
        <v/>
      </c>
      <c r="I215" s="142" t="str">
        <f>IFERROR(VLOOKUP(T_Commission[[#This Row],[NumL]],T_TraitDi[#Data],COLUMN(T_TraitDi[[#This Row],[CTRL_PJ]]),FALSE),"")</f>
        <v/>
      </c>
      <c r="J215" s="142" t="str">
        <f>IF(C215&lt;&gt;"",IFERROR(VLOOKUP(A215,'2- Traitement des DI'!BV32,FALSE),""),"")</f>
        <v/>
      </c>
      <c r="K215" s="142" t="str">
        <f>IFERROR(IF(VLOOKUP(T_Commission[[#This Row],[NumL]],T_suiviDi[#Data],COLUMN(T_suiviDi[[#This Row],[Avis n+1]]),FALSE)&lt;&gt;"",VLOOKUP(A215,T_suiviDi[#Data],COLUMN(T_suiviDi[[#This Row],[Avis n+1]]),FALSE),""),"")</f>
        <v/>
      </c>
      <c r="L215" s="142" t="str">
        <f>IFERROR(IF(VLOOKUP(A215,ListeDI,27,FALSE)&lt;&gt;"",VLOOKUP(A215,ListeDI,27,FALSE),""),"")</f>
        <v/>
      </c>
      <c r="M215" s="49">
        <v>1</v>
      </c>
      <c r="N215" s="49"/>
      <c r="O215" s="143" t="str">
        <f>IF(C215&lt;&gt;"",IF(N215&lt;&gt;"",MAX(I215,N215),IF(M215&lt;&gt;"",MAX(I215,M215),"")),"")</f>
        <v/>
      </c>
      <c r="P215" s="55" t="s">
        <v>115</v>
      </c>
      <c r="Q215" s="55" t="s">
        <v>3277</v>
      </c>
      <c r="R215" s="55"/>
      <c r="S215" s="56"/>
      <c r="T215" s="144"/>
    </row>
    <row r="216" spans="1:20" s="93" customFormat="1" ht="30" customHeight="1" x14ac:dyDescent="0.25">
      <c r="A216" s="90">
        <v>19</v>
      </c>
      <c r="B216" s="130" t="str">
        <f>IFERROR(IF(VLOOKUP(T_Commission[[#This Row],[NumL]],T_TraitDi[#Data],COLUMN(T_TraitDi[[#This Row],[Statut]]),FALSE)&lt;&gt;"",VLOOKUP(T_Commission[[#This Row],[NumL]],T_TraitDi[#Data],COLUMN(T_TraitDi[[#This Row],[Statut]]),FALSE),""),"")</f>
        <v/>
      </c>
      <c r="C216" s="19" t="str">
        <f>IFERROR(IF(VLOOKUP(T_Commission[[#This Row],[NumL]],T_suiviDi[#Data],COLUMN(T_suiviDi[Nom]),FALSE)&lt;&gt;"",VLOOKUP(T_Commission[[#This Row],[NumL]],T_suiviDi[#Data],COLUMN(T_suiviDi[Nom]),FALSE),""),"")</f>
        <v/>
      </c>
      <c r="D216" s="19" t="str">
        <f>IFERROR(IF(VLOOKUP(T_Commission[[#This Row],[NumL]],T_suiviDi[#Data],COLUMN(T_suiviDi[Prénom]),FALSE)&lt;&gt;"",VLOOKUP(T_Commission[[#This Row],[NumL]],T_suiviDi[#Data],COLUMN(T_suiviDi[Prénom]),FALSE),""),"")</f>
        <v/>
      </c>
      <c r="E216" s="20" t="str">
        <f>IFERROR(IF(VLOOKUP(T_Commission[[#This Row],[NumL]],T_suiviDi[#Data],COLUMN(T_suiviDi[Email]),FALSE)&lt;&gt;"",VLOOKUP(T_Commission[[#This Row],[NumL]],T_suiviDi[#Data],COLUMN(T_suiviDi[Email]),FALSE),""),"")</f>
        <v/>
      </c>
      <c r="F216" s="274" t="str">
        <f>IFERROR(IF(VLOOKUP(T_Commission[[#This Row],[NumL]],T_suiviDi[#Data],COLUMN(T_suiviDi[[#This Row],[Nom1]]),FALSE)&lt;&gt;"",VLOOKUP(T_Commission[[#This Row],[NumL]],T_suiviDi[#Data],COLUMN(T_suiviDi[[#This Row],[Nom1]]),FALSE),""),"")</f>
        <v/>
      </c>
      <c r="G216" s="274" t="str">
        <f>IFERROR(IF(VLOOKUP(T_Commission[[#This Row],[NumL]],T_suiviDi[#Data],COLUMN(T_suiviDi[[#This Row],[Prénom1]]),FALSE)&lt;&gt;"",VLOOKUP(T_Commission[[#This Row],[NumL]],T_suiviDi[#Data],COLUMN(T_suiviDi[[#This Row],[Prénom1]]),FALSE),""),"")</f>
        <v/>
      </c>
      <c r="H216" s="274" t="str">
        <f>IFERROR(IF(VLOOKUP(T_Commission[[#This Row],[NumL]],T_suiviDi[#Data],COLUMN(T_suiviDi[[#This Row],[Email1]]),FALSE)&lt;&gt;"",VLOOKUP(T_Commission[[#This Row],[NumL]],T_suiviDi[#Data],COLUMN(T_suiviDi[[#This Row],[Email1]]),FALSE),""),"")</f>
        <v/>
      </c>
      <c r="I216" s="142" t="str">
        <f>IFERROR(VLOOKUP(T_Commission[[#This Row],[NumL]],T_TraitDi[#Data],COLUMN(T_TraitDi[[#This Row],[CTRL_PJ]]),FALSE),"")</f>
        <v/>
      </c>
      <c r="J216" s="142" t="str">
        <f>IF(T_Commission[[#This Row],[Nom]]&lt;&gt;"",IFERROR(VLOOKUP(T_Commission[[#This Row],[NumL]],T_TraitDi[#Data],COLUMN(T_TraitDi[[#This Row],[C10]]),FALSE),""),"")</f>
        <v/>
      </c>
      <c r="K216" s="142" t="str">
        <f>IFERROR(IF(VLOOKUP(T_Commission[[#This Row],[NumL]],T_suiviDi[#Data],COLUMN(T_suiviDi[[#This Row],[Avis n+1]]),FALSE)&lt;&gt;"",VLOOKUP(A216,T_suiviDi[#Data],COLUMN(T_suiviDi[[#This Row],[Avis n+1]]),FALSE),""),"")</f>
        <v/>
      </c>
      <c r="L216" s="142" t="str">
        <f>IFERROR(IF(VLOOKUP(T_Commission[[#This Row],[NumL]],T_suiviDi[#Data],COLUMN(T_suiviDi[[#This Row],[Avis n+2]]),FALSE)&lt;&gt;"",VLOOKUP(T_Commission[[#This Row],[NumL]],T_suiviDi[#Data],COLUMN(T_suiviDi[[#This Row],[Avis n+2]]),FALSE),""),"")</f>
        <v/>
      </c>
      <c r="M216" s="49">
        <v>1</v>
      </c>
      <c r="N216" s="49"/>
      <c r="O216" s="143" t="str">
        <f>IF(T_Commission[[#This Row],[Nom]]&lt;&gt;"",IF(T_Commission[[#This Row],[COM '#2]]&lt;&gt;"",MAX(T_Commission[[#This Row],[PJ]],T_Commission[[#This Row],[COM '#2]]),IF(T_Commission[[#This Row],[COM '#1]]&lt;&gt;"",MAX(T_Commission[[#This Row],[PJ]],T_Commission[[#This Row],[COM '#1]]),"")),"")</f>
        <v/>
      </c>
      <c r="P216" s="55" t="s">
        <v>115</v>
      </c>
      <c r="Q216" s="55" t="s">
        <v>3277</v>
      </c>
      <c r="R216" s="55"/>
      <c r="S216" s="56"/>
      <c r="T216" s="144"/>
    </row>
    <row r="217" spans="1:20" s="93" customFormat="1" ht="30" customHeight="1" x14ac:dyDescent="0.25">
      <c r="A217" s="90">
        <v>210</v>
      </c>
      <c r="B217" s="130" t="str">
        <f>IFERROR(IF(VLOOKUP(T_Commission[[#This Row],[NumL]],T_TraitDi[#Data],COLUMN(T_TraitDi[[#This Row],[Statut]]),FALSE)&lt;&gt;"",VLOOKUP(T_Commission[[#This Row],[NumL]],T_TraitDi[#Data],COLUMN(T_TraitDi[[#This Row],[Statut]]),FALSE),""),"")</f>
        <v/>
      </c>
      <c r="C217" s="19" t="str">
        <f>IFERROR(IF(VLOOKUP(T_Commission[[#This Row],[NumL]],T_suiviDi[#Data],COLUMN(T_suiviDi[Nom]),FALSE)&lt;&gt;"",VLOOKUP(T_Commission[[#This Row],[NumL]],T_suiviDi[#Data],COLUMN(T_suiviDi[Nom]),FALSE),""),"")</f>
        <v/>
      </c>
      <c r="D217" s="19" t="str">
        <f>IFERROR(IF(VLOOKUP(T_Commission[[#This Row],[NumL]],T_suiviDi[#Data],COLUMN(T_suiviDi[Prénom]),FALSE)&lt;&gt;"",VLOOKUP(T_Commission[[#This Row],[NumL]],T_suiviDi[#Data],COLUMN(T_suiviDi[Prénom]),FALSE),""),"")</f>
        <v/>
      </c>
      <c r="E217" s="20" t="str">
        <f>IFERROR(IF(VLOOKUP(T_Commission[[#This Row],[NumL]],T_suiviDi[#Data],COLUMN(T_suiviDi[Email]),FALSE)&lt;&gt;"",VLOOKUP(T_Commission[[#This Row],[NumL]],T_suiviDi[#Data],COLUMN(T_suiviDi[Email]),FALSE),""),"")</f>
        <v/>
      </c>
      <c r="F217" s="274" t="str">
        <f>IFERROR(IF(VLOOKUP(T_Commission[[#This Row],[NumL]],T_suiviDi[#Data],COLUMN(T_suiviDi[[#This Row],[Nom1]]),FALSE)&lt;&gt;"",VLOOKUP(T_Commission[[#This Row],[NumL]],T_suiviDi[#Data],COLUMN(T_suiviDi[[#This Row],[Nom1]]),FALSE),""),"")</f>
        <v/>
      </c>
      <c r="G217" s="274" t="str">
        <f>IFERROR(IF(VLOOKUP(T_Commission[[#This Row],[NumL]],T_suiviDi[#Data],COLUMN(T_suiviDi[[#This Row],[Prénom1]]),FALSE)&lt;&gt;"",VLOOKUP(T_Commission[[#This Row],[NumL]],T_suiviDi[#Data],COLUMN(T_suiviDi[[#This Row],[Prénom1]]),FALSE),""),"")</f>
        <v/>
      </c>
      <c r="H217" s="274" t="str">
        <f>IFERROR(IF(VLOOKUP(T_Commission[[#This Row],[NumL]],T_suiviDi[#Data],COLUMN(T_suiviDi[[#This Row],[Email1]]),FALSE)&lt;&gt;"",VLOOKUP(T_Commission[[#This Row],[NumL]],T_suiviDi[#Data],COLUMN(T_suiviDi[[#This Row],[Email1]]),FALSE),""),"")</f>
        <v/>
      </c>
      <c r="I217" s="142" t="str">
        <f>IFERROR(VLOOKUP(T_Commission[[#This Row],[NumL]],T_TraitDi[#Data],COLUMN(T_TraitDi[[#This Row],[CTRL_PJ]]),FALSE),"")</f>
        <v/>
      </c>
      <c r="J217" s="142" t="str">
        <f>IF(T_Commission[[#This Row],[Nom]]&lt;&gt;"",IFERROR(VLOOKUP(T_Commission[[#This Row],[NumL]],T_TraitDi[#Data],COLUMN(T_TraitDi[[#This Row],[C10]]),FALSE),""),"")</f>
        <v/>
      </c>
      <c r="K217" s="142" t="str">
        <f>IFERROR(IF(VLOOKUP(T_Commission[[#This Row],[NumL]],T_suiviDi[#Data],COLUMN(T_suiviDi[[#This Row],[Avis n+1]]),FALSE)&lt;&gt;"",VLOOKUP(A217,T_suiviDi[#Data],COLUMN(T_suiviDi[[#This Row],[Avis n+1]]),FALSE),""),"")</f>
        <v/>
      </c>
      <c r="L217" s="142" t="str">
        <f>IFERROR(IF(VLOOKUP(T_Commission[[#This Row],[NumL]],T_suiviDi[#Data],COLUMN(T_suiviDi[[#This Row],[Avis n+2]]),FALSE)&lt;&gt;"",VLOOKUP(T_Commission[[#This Row],[NumL]],T_suiviDi[#Data],COLUMN(T_suiviDi[[#This Row],[Avis n+2]]),FALSE),""),"")</f>
        <v/>
      </c>
      <c r="M217" s="49">
        <v>1</v>
      </c>
      <c r="N217" s="49"/>
      <c r="O217" s="143" t="str">
        <f>IF(T_Commission[[#This Row],[Nom]]&lt;&gt;"",IF(T_Commission[[#This Row],[COM '#2]]&lt;&gt;"",MAX(T_Commission[[#This Row],[PJ]],T_Commission[[#This Row],[COM '#2]]),IF(T_Commission[[#This Row],[COM '#1]]&lt;&gt;"",MAX(T_Commission[[#This Row],[PJ]],T_Commission[[#This Row],[COM '#1]]),"")),"")</f>
        <v/>
      </c>
      <c r="P217" s="55" t="s">
        <v>115</v>
      </c>
      <c r="Q217" s="55" t="s">
        <v>3277</v>
      </c>
      <c r="R217" s="55" t="s">
        <v>3277</v>
      </c>
      <c r="S217" s="56"/>
      <c r="T217" s="144"/>
    </row>
    <row r="218" spans="1:20" s="93" customFormat="1" ht="30" customHeight="1" x14ac:dyDescent="0.25">
      <c r="A218" s="90">
        <v>136</v>
      </c>
      <c r="B218" s="130" t="str">
        <f>IFERROR(IF(VLOOKUP(T_Commission[[#This Row],[NumL]],T_TraitDi[#Data],COLUMN(T_TraitDi[[#This Row],[Statut]]),FALSE)&lt;&gt;"",VLOOKUP(T_Commission[[#This Row],[NumL]],T_TraitDi[#Data],COLUMN(T_TraitDi[[#This Row],[Statut]]),FALSE),""),"")</f>
        <v/>
      </c>
      <c r="C218" s="19" t="str">
        <f>IFERROR(IF(VLOOKUP(T_Commission[[#This Row],[NumL]],T_suiviDi[#Data],COLUMN(T_suiviDi[Nom]),FALSE)&lt;&gt;"",VLOOKUP(T_Commission[[#This Row],[NumL]],T_suiviDi[#Data],COLUMN(T_suiviDi[Nom]),FALSE),""),"")</f>
        <v/>
      </c>
      <c r="D218" s="19" t="str">
        <f>IFERROR(IF(VLOOKUP(T_Commission[[#This Row],[NumL]],T_suiviDi[#Data],COLUMN(T_suiviDi[Prénom]),FALSE)&lt;&gt;"",VLOOKUP(T_Commission[[#This Row],[NumL]],T_suiviDi[#Data],COLUMN(T_suiviDi[Prénom]),FALSE),""),"")</f>
        <v/>
      </c>
      <c r="E218" s="20" t="str">
        <f>IFERROR(IF(VLOOKUP(T_Commission[[#This Row],[NumL]],T_suiviDi[#Data],COLUMN(T_suiviDi[Email]),FALSE)&lt;&gt;"",VLOOKUP(T_Commission[[#This Row],[NumL]],T_suiviDi[#Data],COLUMN(T_suiviDi[Email]),FALSE),""),"")</f>
        <v/>
      </c>
      <c r="F218" s="274" t="str">
        <f>IFERROR(IF(VLOOKUP(T_Commission[[#This Row],[NumL]],T_suiviDi[#Data],COLUMN(T_suiviDi[[#This Row],[Nom1]]),FALSE)&lt;&gt;"",VLOOKUP(T_Commission[[#This Row],[NumL]],T_suiviDi[#Data],COLUMN(T_suiviDi[[#This Row],[Nom1]]),FALSE),""),"")</f>
        <v/>
      </c>
      <c r="G218" s="274" t="str">
        <f>IFERROR(IF(VLOOKUP(T_Commission[[#This Row],[NumL]],T_suiviDi[#Data],COLUMN(T_suiviDi[[#This Row],[Prénom1]]),FALSE)&lt;&gt;"",VLOOKUP(T_Commission[[#This Row],[NumL]],T_suiviDi[#Data],COLUMN(T_suiviDi[[#This Row],[Prénom1]]),FALSE),""),"")</f>
        <v/>
      </c>
      <c r="H218" s="274" t="str">
        <f>IFERROR(IF(VLOOKUP(T_Commission[[#This Row],[NumL]],T_suiviDi[#Data],COLUMN(T_suiviDi[[#This Row],[Email1]]),FALSE)&lt;&gt;"",VLOOKUP(T_Commission[[#This Row],[NumL]],T_suiviDi[#Data],COLUMN(T_suiviDi[[#This Row],[Email1]]),FALSE),""),"")</f>
        <v/>
      </c>
      <c r="I218" s="142" t="str">
        <f>IFERROR(VLOOKUP(T_Commission[[#This Row],[NumL]],T_TraitDi[#Data],COLUMN(T_TraitDi[[#This Row],[CTRL_PJ]]),FALSE),"")</f>
        <v/>
      </c>
      <c r="J218" s="142" t="str">
        <f>IF(T_Commission[[#This Row],[Nom]]&lt;&gt;"",IFERROR(VLOOKUP(T_Commission[[#This Row],[NumL]],T_TraitDi[#Data],COLUMN(T_TraitDi[[#This Row],[C10]]),FALSE),""),"")</f>
        <v/>
      </c>
      <c r="K218" s="142" t="str">
        <f>IFERROR(IF(VLOOKUP(T_Commission[[#This Row],[NumL]],T_suiviDi[#Data],COLUMN(T_suiviDi[[#This Row],[Avis n+1]]),FALSE)&lt;&gt;"",VLOOKUP(A218,T_suiviDi[#Data],COLUMN(T_suiviDi[[#This Row],[Avis n+1]]),FALSE),""),"")</f>
        <v/>
      </c>
      <c r="L218" s="142" t="str">
        <f>IFERROR(IF(VLOOKUP(T_Commission[[#This Row],[NumL]],T_suiviDi[#Data],COLUMN(T_suiviDi[[#This Row],[Avis n+2]]),FALSE)&lt;&gt;"",VLOOKUP(T_Commission[[#This Row],[NumL]],T_suiviDi[#Data],COLUMN(T_suiviDi[[#This Row],[Avis n+2]]),FALSE),""),"")</f>
        <v/>
      </c>
      <c r="M218" s="49">
        <v>1</v>
      </c>
      <c r="N218" s="49"/>
      <c r="O218" s="143" t="str">
        <f>IF(T_Commission[[#This Row],[Nom]]&lt;&gt;"",IF(T_Commission[[#This Row],[COM '#2]]&lt;&gt;"",MAX(T_Commission[[#This Row],[PJ]],T_Commission[[#This Row],[COM '#2]]),IF(T_Commission[[#This Row],[COM '#1]]&lt;&gt;"",MAX(T_Commission[[#This Row],[PJ]],T_Commission[[#This Row],[COM '#1]]),"")),"")</f>
        <v/>
      </c>
      <c r="P218" s="55" t="s">
        <v>115</v>
      </c>
      <c r="Q218" s="55" t="s">
        <v>3277</v>
      </c>
      <c r="R218" s="55" t="s">
        <v>3277</v>
      </c>
      <c r="S218" s="56"/>
      <c r="T218" s="144"/>
    </row>
    <row r="219" spans="1:20" s="93" customFormat="1" ht="30" customHeight="1" x14ac:dyDescent="0.25">
      <c r="A219" s="90">
        <v>167</v>
      </c>
      <c r="B219" s="130" t="str">
        <f>IFERROR(IF(VLOOKUP(T_Commission[[#This Row],[NumL]],T_TraitDi[#Data],COLUMN(T_TraitDi[[#This Row],[Statut]]),FALSE)&lt;&gt;"",VLOOKUP(T_Commission[[#This Row],[NumL]],T_TraitDi[#Data],COLUMN(T_TraitDi[[#This Row],[Statut]]),FALSE),""),"")</f>
        <v/>
      </c>
      <c r="C219" s="19" t="str">
        <f>IFERROR(IF(VLOOKUP(T_Commission[[#This Row],[NumL]],T_suiviDi[#Data],COLUMN(T_suiviDi[Nom]),FALSE)&lt;&gt;"",VLOOKUP(T_Commission[[#This Row],[NumL]],T_suiviDi[#Data],COLUMN(T_suiviDi[Nom]),FALSE),""),"")</f>
        <v/>
      </c>
      <c r="D219" s="19" t="str">
        <f>IFERROR(IF(VLOOKUP(T_Commission[[#This Row],[NumL]],T_suiviDi[#Data],COLUMN(T_suiviDi[Prénom]),FALSE)&lt;&gt;"",VLOOKUP(T_Commission[[#This Row],[NumL]],T_suiviDi[#Data],COLUMN(T_suiviDi[Prénom]),FALSE),""),"")</f>
        <v/>
      </c>
      <c r="E219" s="20" t="str">
        <f>IFERROR(IF(VLOOKUP(T_Commission[[#This Row],[NumL]],T_suiviDi[#Data],COLUMN(T_suiviDi[Email]),FALSE)&lt;&gt;"",VLOOKUP(T_Commission[[#This Row],[NumL]],T_suiviDi[#Data],COLUMN(T_suiviDi[Email]),FALSE),""),"")</f>
        <v/>
      </c>
      <c r="F219" s="274" t="str">
        <f>IFERROR(IF(VLOOKUP(T_Commission[[#This Row],[NumL]],T_suiviDi[#Data],COLUMN(T_suiviDi[[#This Row],[Nom1]]),FALSE)&lt;&gt;"",VLOOKUP(T_Commission[[#This Row],[NumL]],T_suiviDi[#Data],COLUMN(T_suiviDi[[#This Row],[Nom1]]),FALSE),""),"")</f>
        <v/>
      </c>
      <c r="G219" s="274" t="str">
        <f>IFERROR(IF(VLOOKUP(T_Commission[[#This Row],[NumL]],T_suiviDi[#Data],COLUMN(T_suiviDi[[#This Row],[Prénom1]]),FALSE)&lt;&gt;"",VLOOKUP(T_Commission[[#This Row],[NumL]],T_suiviDi[#Data],COLUMN(T_suiviDi[[#This Row],[Prénom1]]),FALSE),""),"")</f>
        <v/>
      </c>
      <c r="H219" s="274" t="str">
        <f>IFERROR(IF(VLOOKUP(T_Commission[[#This Row],[NumL]],T_suiviDi[#Data],COLUMN(T_suiviDi[[#This Row],[Email1]]),FALSE)&lt;&gt;"",VLOOKUP(T_Commission[[#This Row],[NumL]],T_suiviDi[#Data],COLUMN(T_suiviDi[[#This Row],[Email1]]),FALSE),""),"")</f>
        <v/>
      </c>
      <c r="I219" s="142" t="str">
        <f>IFERROR(VLOOKUP(T_Commission[[#This Row],[NumL]],T_TraitDi[#Data],COLUMN(T_TraitDi[[#This Row],[CTRL_PJ]]),FALSE),"")</f>
        <v/>
      </c>
      <c r="J219" s="142" t="str">
        <f>IF(T_Commission[[#This Row],[Nom]]&lt;&gt;"",IFERROR(VLOOKUP(T_Commission[[#This Row],[NumL]],T_TraitDi[#Data],COLUMN(T_TraitDi[[#This Row],[C10]]),FALSE),""),"")</f>
        <v/>
      </c>
      <c r="K219" s="142" t="str">
        <f>IFERROR(IF(VLOOKUP(T_Commission[[#This Row],[NumL]],T_suiviDi[#Data],COLUMN(T_suiviDi[[#This Row],[Avis n+1]]),FALSE)&lt;&gt;"",VLOOKUP(A219,T_suiviDi[#Data],COLUMN(T_suiviDi[[#This Row],[Avis n+1]]),FALSE),""),"")</f>
        <v/>
      </c>
      <c r="L219" s="142" t="str">
        <f>IFERROR(IF(VLOOKUP(T_Commission[[#This Row],[NumL]],T_suiviDi[#Data],COLUMN(T_suiviDi[[#This Row],[Avis n+2]]),FALSE)&lt;&gt;"",VLOOKUP(T_Commission[[#This Row],[NumL]],T_suiviDi[#Data],COLUMN(T_suiviDi[[#This Row],[Avis n+2]]),FALSE),""),"")</f>
        <v/>
      </c>
      <c r="M219" s="49">
        <v>1</v>
      </c>
      <c r="N219" s="49"/>
      <c r="O219" s="143" t="str">
        <f>IF(T_Commission[[#This Row],[Nom]]&lt;&gt;"",IF(T_Commission[[#This Row],[COM '#2]]&lt;&gt;"",MAX(T_Commission[[#This Row],[PJ]],T_Commission[[#This Row],[COM '#2]]),IF(T_Commission[[#This Row],[COM '#1]]&lt;&gt;"",MAX(T_Commission[[#This Row],[PJ]],T_Commission[[#This Row],[COM '#1]]),"")),"")</f>
        <v/>
      </c>
      <c r="P219" s="55" t="s">
        <v>115</v>
      </c>
      <c r="Q219" s="55" t="s">
        <v>3277</v>
      </c>
      <c r="R219" s="55" t="s">
        <v>3277</v>
      </c>
      <c r="S219" s="56"/>
      <c r="T219" s="144"/>
    </row>
    <row r="220" spans="1:20" s="93" customFormat="1" ht="30" customHeight="1" x14ac:dyDescent="0.25">
      <c r="A220" s="90">
        <v>155</v>
      </c>
      <c r="B220" s="130" t="str">
        <f>IFERROR(IF(VLOOKUP(T_Commission[[#This Row],[NumL]],T_TraitDi[#Data],COLUMN(T_TraitDi[[#This Row],[Statut]]),FALSE)&lt;&gt;"",VLOOKUP(T_Commission[[#This Row],[NumL]],T_TraitDi[#Data],COLUMN(T_TraitDi[[#This Row],[Statut]]),FALSE),""),"")</f>
        <v/>
      </c>
      <c r="C220" s="19" t="str">
        <f>IFERROR(IF(VLOOKUP(T_Commission[[#This Row],[NumL]],T_suiviDi[#Data],COLUMN(T_suiviDi[Nom]),FALSE)&lt;&gt;"",VLOOKUP(T_Commission[[#This Row],[NumL]],T_suiviDi[#Data],COLUMN(T_suiviDi[Nom]),FALSE),""),"")</f>
        <v/>
      </c>
      <c r="D220" s="19" t="str">
        <f>IFERROR(IF(VLOOKUP(T_Commission[[#This Row],[NumL]],T_suiviDi[#Data],COLUMN(T_suiviDi[Prénom]),FALSE)&lt;&gt;"",VLOOKUP(T_Commission[[#This Row],[NumL]],T_suiviDi[#Data],COLUMN(T_suiviDi[Prénom]),FALSE),""),"")</f>
        <v/>
      </c>
      <c r="E220" s="20" t="str">
        <f>IFERROR(IF(VLOOKUP(T_Commission[[#This Row],[NumL]],T_suiviDi[#Data],COLUMN(T_suiviDi[Email]),FALSE)&lt;&gt;"",VLOOKUP(T_Commission[[#This Row],[NumL]],T_suiviDi[#Data],COLUMN(T_suiviDi[Email]),FALSE),""),"")</f>
        <v/>
      </c>
      <c r="F220" s="274" t="str">
        <f>IFERROR(IF(VLOOKUP(T_Commission[[#This Row],[NumL]],T_suiviDi[#Data],COLUMN(T_suiviDi[[#This Row],[Nom1]]),FALSE)&lt;&gt;"",VLOOKUP(T_Commission[[#This Row],[NumL]],T_suiviDi[#Data],COLUMN(T_suiviDi[[#This Row],[Nom1]]),FALSE),""),"")</f>
        <v/>
      </c>
      <c r="G220" s="274" t="str">
        <f>IFERROR(IF(VLOOKUP(T_Commission[[#This Row],[NumL]],T_suiviDi[#Data],COLUMN(T_suiviDi[[#This Row],[Prénom1]]),FALSE)&lt;&gt;"",VLOOKUP(T_Commission[[#This Row],[NumL]],T_suiviDi[#Data],COLUMN(T_suiviDi[[#This Row],[Prénom1]]),FALSE),""),"")</f>
        <v/>
      </c>
      <c r="H220" s="274" t="str">
        <f>IFERROR(IF(VLOOKUP(T_Commission[[#This Row],[NumL]],T_suiviDi[#Data],COLUMN(T_suiviDi[[#This Row],[Email1]]),FALSE)&lt;&gt;"",VLOOKUP(T_Commission[[#This Row],[NumL]],T_suiviDi[#Data],COLUMN(T_suiviDi[[#This Row],[Email1]]),FALSE),""),"")</f>
        <v/>
      </c>
      <c r="I220" s="142" t="str">
        <f>IFERROR(VLOOKUP(T_Commission[[#This Row],[NumL]],T_TraitDi[#Data],COLUMN(T_TraitDi[[#This Row],[CTRL_PJ]]),FALSE),"")</f>
        <v/>
      </c>
      <c r="J220" s="142" t="str">
        <f>IF(T_Commission[[#This Row],[Nom]]&lt;&gt;"",IFERROR(VLOOKUP(T_Commission[[#This Row],[NumL]],T_TraitDi[#Data],COLUMN(T_TraitDi[[#This Row],[C10]]),FALSE),""),"")</f>
        <v/>
      </c>
      <c r="K220" s="142" t="str">
        <f>IFERROR(IF(VLOOKUP(T_Commission[[#This Row],[NumL]],T_suiviDi[#Data],COLUMN(T_suiviDi[[#This Row],[Avis n+1]]),FALSE)&lt;&gt;"",VLOOKUP(A220,T_suiviDi[#Data],COLUMN(T_suiviDi[[#This Row],[Avis n+1]]),FALSE),""),"")</f>
        <v/>
      </c>
      <c r="L220" s="142" t="str">
        <f>IFERROR(IF(VLOOKUP(T_Commission[[#This Row],[NumL]],T_suiviDi[#Data],COLUMN(T_suiviDi[[#This Row],[Avis n+2]]),FALSE)&lt;&gt;"",VLOOKUP(T_Commission[[#This Row],[NumL]],T_suiviDi[#Data],COLUMN(T_suiviDi[[#This Row],[Avis n+2]]),FALSE),""),"")</f>
        <v/>
      </c>
      <c r="M220" s="49">
        <v>1</v>
      </c>
      <c r="N220" s="49"/>
      <c r="O220" s="143" t="str">
        <f>IF(T_Commission[[#This Row],[Nom]]&lt;&gt;"",IF(T_Commission[[#This Row],[COM '#2]]&lt;&gt;"",MAX(T_Commission[[#This Row],[PJ]],T_Commission[[#This Row],[COM '#2]]),IF(T_Commission[[#This Row],[COM '#1]]&lt;&gt;"",MAX(T_Commission[[#This Row],[PJ]],T_Commission[[#This Row],[COM '#1]]),"")),"")</f>
        <v/>
      </c>
      <c r="P220" s="55" t="s">
        <v>115</v>
      </c>
      <c r="Q220" s="55" t="s">
        <v>3277</v>
      </c>
      <c r="R220" s="55" t="s">
        <v>3277</v>
      </c>
      <c r="S220" s="56"/>
      <c r="T220" s="144"/>
    </row>
    <row r="221" spans="1:20" s="93" customFormat="1" ht="30" customHeight="1" x14ac:dyDescent="0.25">
      <c r="A221" s="90">
        <v>139</v>
      </c>
      <c r="B221" s="130" t="str">
        <f>IFERROR(IF(VLOOKUP(T_Commission[[#This Row],[NumL]],T_TraitDi[#Data],COLUMN(T_TraitDi[[#This Row],[Statut]]),FALSE)&lt;&gt;"",VLOOKUP(T_Commission[[#This Row],[NumL]],T_TraitDi[#Data],COLUMN(T_TraitDi[[#This Row],[Statut]]),FALSE),""),"")</f>
        <v/>
      </c>
      <c r="C221" s="19" t="str">
        <f>IFERROR(IF(VLOOKUP(T_Commission[[#This Row],[NumL]],T_suiviDi[#Data],COLUMN(T_suiviDi[Nom]),FALSE)&lt;&gt;"",VLOOKUP(T_Commission[[#This Row],[NumL]],T_suiviDi[#Data],COLUMN(T_suiviDi[Nom]),FALSE),""),"")</f>
        <v/>
      </c>
      <c r="D221" s="19" t="str">
        <f>IFERROR(IF(VLOOKUP(T_Commission[[#This Row],[NumL]],T_suiviDi[#Data],COLUMN(T_suiviDi[Prénom]),FALSE)&lt;&gt;"",VLOOKUP(T_Commission[[#This Row],[NumL]],T_suiviDi[#Data],COLUMN(T_suiviDi[Prénom]),FALSE),""),"")</f>
        <v/>
      </c>
      <c r="E221" s="20" t="str">
        <f>IFERROR(IF(VLOOKUP(T_Commission[[#This Row],[NumL]],T_suiviDi[#Data],COLUMN(T_suiviDi[Email]),FALSE)&lt;&gt;"",VLOOKUP(T_Commission[[#This Row],[NumL]],T_suiviDi[#Data],COLUMN(T_suiviDi[Email]),FALSE),""),"")</f>
        <v/>
      </c>
      <c r="F221" s="274" t="str">
        <f>IFERROR(IF(VLOOKUP(T_Commission[[#This Row],[NumL]],T_suiviDi[#Data],COLUMN(T_suiviDi[[#This Row],[Nom1]]),FALSE)&lt;&gt;"",VLOOKUP(T_Commission[[#This Row],[NumL]],T_suiviDi[#Data],COLUMN(T_suiviDi[[#This Row],[Nom1]]),FALSE),""),"")</f>
        <v/>
      </c>
      <c r="G221" s="274" t="str">
        <f>IFERROR(IF(VLOOKUP(T_Commission[[#This Row],[NumL]],T_suiviDi[#Data],COLUMN(T_suiviDi[[#This Row],[Prénom1]]),FALSE)&lt;&gt;"",VLOOKUP(T_Commission[[#This Row],[NumL]],T_suiviDi[#Data],COLUMN(T_suiviDi[[#This Row],[Prénom1]]),FALSE),""),"")</f>
        <v/>
      </c>
      <c r="H221" s="274" t="str">
        <f>IFERROR(IF(VLOOKUP(T_Commission[[#This Row],[NumL]],T_suiviDi[#Data],COLUMN(T_suiviDi[[#This Row],[Email1]]),FALSE)&lt;&gt;"",VLOOKUP(T_Commission[[#This Row],[NumL]],T_suiviDi[#Data],COLUMN(T_suiviDi[[#This Row],[Email1]]),FALSE),""),"")</f>
        <v/>
      </c>
      <c r="I221" s="142" t="str">
        <f>IFERROR(VLOOKUP(T_Commission[[#This Row],[NumL]],T_TraitDi[#Data],COLUMN(T_TraitDi[[#This Row],[CTRL_PJ]]),FALSE),"")</f>
        <v/>
      </c>
      <c r="J221" s="142" t="str">
        <f>IF(T_Commission[[#This Row],[Nom]]&lt;&gt;"",IFERROR(VLOOKUP(T_Commission[[#This Row],[NumL]],T_TraitDi[#Data],COLUMN(T_TraitDi[[#This Row],[C10]]),FALSE),""),"")</f>
        <v/>
      </c>
      <c r="K221" s="142" t="str">
        <f>IFERROR(IF(VLOOKUP(T_Commission[[#This Row],[NumL]],T_suiviDi[#Data],COLUMN(T_suiviDi[[#This Row],[Avis n+1]]),FALSE)&lt;&gt;"",VLOOKUP(A221,T_suiviDi[#Data],COLUMN(T_suiviDi[[#This Row],[Avis n+1]]),FALSE),""),"")</f>
        <v/>
      </c>
      <c r="L221" s="142" t="str">
        <f>IFERROR(IF(VLOOKUP(T_Commission[[#This Row],[NumL]],T_suiviDi[#Data],COLUMN(T_suiviDi[[#This Row],[Avis n+2]]),FALSE)&lt;&gt;"",VLOOKUP(T_Commission[[#This Row],[NumL]],T_suiviDi[#Data],COLUMN(T_suiviDi[[#This Row],[Avis n+2]]),FALSE),""),"")</f>
        <v/>
      </c>
      <c r="M221" s="49">
        <v>1</v>
      </c>
      <c r="N221" s="49"/>
      <c r="O221" s="143" t="str">
        <f>IF(T_Commission[[#This Row],[Nom]]&lt;&gt;"",IF(T_Commission[[#This Row],[COM '#2]]&lt;&gt;"",MAX(T_Commission[[#This Row],[PJ]],T_Commission[[#This Row],[COM '#2]]),IF(T_Commission[[#This Row],[COM '#1]]&lt;&gt;"",MAX(T_Commission[[#This Row],[PJ]],T_Commission[[#This Row],[COM '#1]]),"")),"")</f>
        <v/>
      </c>
      <c r="P221" s="55" t="s">
        <v>115</v>
      </c>
      <c r="Q221" s="55" t="s">
        <v>3277</v>
      </c>
      <c r="R221" s="55" t="s">
        <v>3277</v>
      </c>
      <c r="S221" s="56"/>
      <c r="T221" s="144"/>
    </row>
    <row r="222" spans="1:20" s="93" customFormat="1" ht="30" customHeight="1" x14ac:dyDescent="0.25">
      <c r="A222" s="90">
        <v>317</v>
      </c>
      <c r="B222" s="130" t="str">
        <f>IFERROR(IF(VLOOKUP(T_Commission[[#This Row],[NumL]],T_TraitDi[#Data],COLUMN(T_TraitDi[[#This Row],[Statut]]),FALSE)&lt;&gt;"",VLOOKUP(T_Commission[[#This Row],[NumL]],T_TraitDi[#Data],COLUMN(T_TraitDi[[#This Row],[Statut]]),FALSE),""),"")</f>
        <v/>
      </c>
      <c r="C222" s="139" t="str">
        <f>IFERROR(IF(VLOOKUP(T_Commission[[#This Row],[NumL]],T_suiviDi[#Data],COLUMN(T_suiviDi[[#This Row],[Nom]]),FALSE)&lt;&gt;"",VLOOKUP(T_Commission[[#This Row],[NumL]],T_suiviDi[#Data],COLUMN(T_suiviDi[[#This Row],[Nom]]),FALSE),""),"")</f>
        <v/>
      </c>
      <c r="D222" s="139" t="str">
        <f>IFERROR(IF(VLOOKUP(T_Commission[[#This Row],[NumL]],T_suiviDi[#Data],COLUMN(T_suiviDi[[#This Row],[Prénom]]),FALSE)&lt;&gt;"",VLOOKUP(T_Commission[[#This Row],[NumL]],T_suiviDi[#Data],COLUMN(T_suiviDi[[#This Row],[Prénom]]),FALSE),""),"")</f>
        <v/>
      </c>
      <c r="E222" s="140" t="str">
        <f>IFERROR(IF(VLOOKUP(T_Commission[[#This Row],[NumL]],T_suiviDi[#Data],COLUMN(T_suiviDi[[#This Row],[Email]]),FALSE)&lt;&gt;"",VLOOKUP(T_Commission[[#This Row],[NumL]],T_suiviDi[#Data],COLUMN(T_suiviDi[[#This Row],[Email]]),FALSE),""),"")</f>
        <v/>
      </c>
      <c r="F222" s="141" t="str">
        <f>IFERROR(IF(VLOOKUP(T_Commission[[#This Row],[NumL]],T_suiviDi[#Data],COLUMN(T_suiviDi[[#This Row],[Nom1]]),FALSE)&lt;&gt;"",VLOOKUP(T_Commission[[#This Row],[NumL]],T_suiviDi[#Data],COLUMN(T_suiviDi[[#This Row],[Nom1]]),FALSE),""),"")</f>
        <v/>
      </c>
      <c r="G222" s="141" t="str">
        <f>IFERROR(IF(VLOOKUP(T_Commission[[#This Row],[NumL]],T_suiviDi[#Data],COLUMN(T_suiviDi[[#This Row],[Prénom1]]),FALSE)&lt;&gt;"",VLOOKUP(T_Commission[[#This Row],[NumL]],T_suiviDi[#Data],COLUMN(T_suiviDi[[#This Row],[Prénom1]]),FALSE),""),"")</f>
        <v/>
      </c>
      <c r="H222" s="141" t="str">
        <f>IFERROR(IF(VLOOKUP(T_Commission[[#This Row],[NumL]],T_suiviDi[#Data],COLUMN(T_suiviDi[[#This Row],[Email1]]),FALSE)&lt;&gt;"",VLOOKUP(T_Commission[[#This Row],[NumL]],T_suiviDi[#Data],COLUMN(T_suiviDi[[#This Row],[Email1]]),FALSE),""),"")</f>
        <v/>
      </c>
      <c r="I222" s="142" t="str">
        <f>IFERROR(VLOOKUP(T_Commission[[#This Row],[NumL]],T_TraitDi[#Data],COLUMN(T_TraitDi[[#This Row],[CTRL_PJ]]),FALSE),"")</f>
        <v/>
      </c>
      <c r="J222" s="142" t="str">
        <f>IF(C222&lt;&gt;"",IFERROR(VLOOKUP(A222,'2- Traitement des DI'!BV32,FALSE),""),"")</f>
        <v/>
      </c>
      <c r="K222" s="142" t="str">
        <f>IFERROR(IF(VLOOKUP(T_Commission[[#This Row],[NumL]],T_suiviDi[#Data],COLUMN(T_suiviDi[[#This Row],[Avis n+1]]),FALSE)&lt;&gt;"",VLOOKUP(A222,T_suiviDi[#Data],COLUMN(T_suiviDi[[#This Row],[Avis n+1]]),FALSE),""),"")</f>
        <v/>
      </c>
      <c r="L222" s="142" t="str">
        <f>IFERROR(IF(VLOOKUP(A222,ListeDI,27,FALSE)&lt;&gt;"",VLOOKUP(A222,ListeDI,27,FALSE),""),"")</f>
        <v/>
      </c>
      <c r="M222" s="49">
        <v>1</v>
      </c>
      <c r="N222" s="49"/>
      <c r="O222" s="143" t="str">
        <f>IF(C222&lt;&gt;"",IF(N222&lt;&gt;"",MAX(I222,N222),IF(M222&lt;&gt;"",MAX(I222,M222),"")),"")</f>
        <v/>
      </c>
      <c r="P222" s="55" t="s">
        <v>115</v>
      </c>
      <c r="Q222" s="55" t="s">
        <v>3277</v>
      </c>
      <c r="R222" s="55" t="s">
        <v>3277</v>
      </c>
      <c r="S222" s="56"/>
      <c r="T222" s="144"/>
    </row>
    <row r="223" spans="1:20" s="93" customFormat="1" ht="30" customHeight="1" x14ac:dyDescent="0.25">
      <c r="A223" s="90">
        <v>129</v>
      </c>
      <c r="B223" s="130" t="str">
        <f>IFERROR(IF(VLOOKUP(T_Commission[[#This Row],[NumL]],T_TraitDi[#Data],COLUMN(T_TraitDi[[#This Row],[Statut]]),FALSE)&lt;&gt;"",VLOOKUP(T_Commission[[#This Row],[NumL]],T_TraitDi[#Data],COLUMN(T_TraitDi[[#This Row],[Statut]]),FALSE),""),"")</f>
        <v/>
      </c>
      <c r="C223" s="19" t="str">
        <f>IFERROR(IF(VLOOKUP(T_Commission[[#This Row],[NumL]],T_suiviDi[#Data],COLUMN(T_suiviDi[Nom]),FALSE)&lt;&gt;"",VLOOKUP(T_Commission[[#This Row],[NumL]],T_suiviDi[#Data],COLUMN(T_suiviDi[Nom]),FALSE),""),"")</f>
        <v/>
      </c>
      <c r="D223" s="19" t="str">
        <f>IFERROR(IF(VLOOKUP(T_Commission[[#This Row],[NumL]],T_suiviDi[#Data],COLUMN(T_suiviDi[Prénom]),FALSE)&lt;&gt;"",VLOOKUP(T_Commission[[#This Row],[NumL]],T_suiviDi[#Data],COLUMN(T_suiviDi[Prénom]),FALSE),""),"")</f>
        <v/>
      </c>
      <c r="E223" s="20" t="str">
        <f>IFERROR(IF(VLOOKUP(T_Commission[[#This Row],[NumL]],T_suiviDi[#Data],COLUMN(T_suiviDi[Email]),FALSE)&lt;&gt;"",VLOOKUP(T_Commission[[#This Row],[NumL]],T_suiviDi[#Data],COLUMN(T_suiviDi[Email]),FALSE),""),"")</f>
        <v/>
      </c>
      <c r="F223" s="274" t="str">
        <f>IFERROR(IF(VLOOKUP(T_Commission[[#This Row],[NumL]],T_suiviDi[#Data],COLUMN(T_suiviDi[[#This Row],[Nom1]]),FALSE)&lt;&gt;"",VLOOKUP(T_Commission[[#This Row],[NumL]],T_suiviDi[#Data],COLUMN(T_suiviDi[[#This Row],[Nom1]]),FALSE),""),"")</f>
        <v/>
      </c>
      <c r="G223" s="274" t="str">
        <f>IFERROR(IF(VLOOKUP(T_Commission[[#This Row],[NumL]],T_suiviDi[#Data],COLUMN(T_suiviDi[[#This Row],[Prénom1]]),FALSE)&lt;&gt;"",VLOOKUP(T_Commission[[#This Row],[NumL]],T_suiviDi[#Data],COLUMN(T_suiviDi[[#This Row],[Prénom1]]),FALSE),""),"")</f>
        <v/>
      </c>
      <c r="H223" s="274" t="str">
        <f>IFERROR(IF(VLOOKUP(T_Commission[[#This Row],[NumL]],T_suiviDi[#Data],COLUMN(T_suiviDi[[#This Row],[Email1]]),FALSE)&lt;&gt;"",VLOOKUP(T_Commission[[#This Row],[NumL]],T_suiviDi[#Data],COLUMN(T_suiviDi[[#This Row],[Email1]]),FALSE),""),"")</f>
        <v/>
      </c>
      <c r="I223" s="142" t="str">
        <f>IFERROR(VLOOKUP(T_Commission[[#This Row],[NumL]],T_TraitDi[#Data],COLUMN(T_TraitDi[[#This Row],[CTRL_PJ]]),FALSE),"")</f>
        <v/>
      </c>
      <c r="J223" s="142" t="str">
        <f>IF(T_Commission[[#This Row],[Nom]]&lt;&gt;"",IFERROR(VLOOKUP(T_Commission[[#This Row],[NumL]],T_TraitDi[#Data],COLUMN(T_TraitDi[[#This Row],[C10]]),FALSE),""),"")</f>
        <v/>
      </c>
      <c r="K223" s="142" t="str">
        <f>IFERROR(IF(VLOOKUP(T_Commission[[#This Row],[NumL]],T_suiviDi[#Data],COLUMN(T_suiviDi[[#This Row],[Avis n+1]]),FALSE)&lt;&gt;"",VLOOKUP(A223,T_suiviDi[#Data],COLUMN(T_suiviDi[[#This Row],[Avis n+1]]),FALSE),""),"")</f>
        <v/>
      </c>
      <c r="L223" s="142" t="str">
        <f>IFERROR(IF(VLOOKUP(T_Commission[[#This Row],[NumL]],T_suiviDi[#Data],COLUMN(T_suiviDi[[#This Row],[Avis n+2]]),FALSE)&lt;&gt;"",VLOOKUP(T_Commission[[#This Row],[NumL]],T_suiviDi[#Data],COLUMN(T_suiviDi[[#This Row],[Avis n+2]]),FALSE),""),"")</f>
        <v/>
      </c>
      <c r="M223" s="49">
        <v>1</v>
      </c>
      <c r="N223" s="49"/>
      <c r="O223" s="143" t="str">
        <f>IF(T_Commission[[#This Row],[Nom]]&lt;&gt;"",IF(T_Commission[[#This Row],[COM '#2]]&lt;&gt;"",MAX(T_Commission[[#This Row],[PJ]],T_Commission[[#This Row],[COM '#2]]),IF(T_Commission[[#This Row],[COM '#1]]&lt;&gt;"",MAX(T_Commission[[#This Row],[PJ]],T_Commission[[#This Row],[COM '#1]]),"")),"")</f>
        <v/>
      </c>
      <c r="P223" s="55" t="s">
        <v>115</v>
      </c>
      <c r="Q223" s="55" t="s">
        <v>3277</v>
      </c>
      <c r="R223" s="55" t="s">
        <v>3277</v>
      </c>
      <c r="S223" s="56"/>
      <c r="T223" s="144"/>
    </row>
    <row r="224" spans="1:20" s="93" customFormat="1" ht="30" customHeight="1" x14ac:dyDescent="0.25">
      <c r="A224" s="90">
        <v>18</v>
      </c>
      <c r="B224" s="130" t="str">
        <f>IFERROR(IF(VLOOKUP(T_Commission[[#This Row],[NumL]],T_TraitDi[#Data],COLUMN(T_TraitDi[[#This Row],[Statut]]),FALSE)&lt;&gt;"",VLOOKUP(T_Commission[[#This Row],[NumL]],T_TraitDi[#Data],COLUMN(T_TraitDi[[#This Row],[Statut]]),FALSE),""),"")</f>
        <v/>
      </c>
      <c r="C224" s="19" t="str">
        <f>IFERROR(IF(VLOOKUP(T_Commission[[#This Row],[NumL]],T_suiviDi[#Data],COLUMN(T_suiviDi[Nom]),FALSE)&lt;&gt;"",VLOOKUP(T_Commission[[#This Row],[NumL]],T_suiviDi[#Data],COLUMN(T_suiviDi[Nom]),FALSE),""),"")</f>
        <v/>
      </c>
      <c r="D224" s="19" t="str">
        <f>IFERROR(IF(VLOOKUP(T_Commission[[#This Row],[NumL]],T_suiviDi[#Data],COLUMN(T_suiviDi[Prénom]),FALSE)&lt;&gt;"",VLOOKUP(T_Commission[[#This Row],[NumL]],T_suiviDi[#Data],COLUMN(T_suiviDi[Prénom]),FALSE),""),"")</f>
        <v/>
      </c>
      <c r="E224" s="20" t="str">
        <f>IFERROR(IF(VLOOKUP(T_Commission[[#This Row],[NumL]],T_suiviDi[#Data],COLUMN(T_suiviDi[Email]),FALSE)&lt;&gt;"",VLOOKUP(T_Commission[[#This Row],[NumL]],T_suiviDi[#Data],COLUMN(T_suiviDi[Email]),FALSE),""),"")</f>
        <v/>
      </c>
      <c r="F224" s="274" t="str">
        <f>IFERROR(IF(VLOOKUP(T_Commission[[#This Row],[NumL]],T_suiviDi[#Data],COLUMN(T_suiviDi[[#This Row],[Nom1]]),FALSE)&lt;&gt;"",VLOOKUP(T_Commission[[#This Row],[NumL]],T_suiviDi[#Data],COLUMN(T_suiviDi[[#This Row],[Nom1]]),FALSE),""),"")</f>
        <v/>
      </c>
      <c r="G224" s="274" t="str">
        <f>IFERROR(IF(VLOOKUP(T_Commission[[#This Row],[NumL]],T_suiviDi[#Data],COLUMN(T_suiviDi[[#This Row],[Prénom1]]),FALSE)&lt;&gt;"",VLOOKUP(T_Commission[[#This Row],[NumL]],T_suiviDi[#Data],COLUMN(T_suiviDi[[#This Row],[Prénom1]]),FALSE),""),"")</f>
        <v/>
      </c>
      <c r="H224" s="274" t="str">
        <f>IFERROR(IF(VLOOKUP(T_Commission[[#This Row],[NumL]],T_suiviDi[#Data],COLUMN(T_suiviDi[[#This Row],[Email1]]),FALSE)&lt;&gt;"",VLOOKUP(T_Commission[[#This Row],[NumL]],T_suiviDi[#Data],COLUMN(T_suiviDi[[#This Row],[Email1]]),FALSE),""),"")</f>
        <v/>
      </c>
      <c r="I224" s="142" t="str">
        <f>IFERROR(VLOOKUP(T_Commission[[#This Row],[NumL]],T_TraitDi[#Data],COLUMN(T_TraitDi[[#This Row],[CTRL_PJ]]),FALSE),"")</f>
        <v/>
      </c>
      <c r="J224" s="142" t="str">
        <f>IF(T_Commission[[#This Row],[Nom]]&lt;&gt;"",IFERROR(VLOOKUP(T_Commission[[#This Row],[NumL]],T_TraitDi[#Data],COLUMN(T_TraitDi[[#This Row],[C10]]),FALSE),""),"")</f>
        <v/>
      </c>
      <c r="K224" s="142" t="str">
        <f>IFERROR(IF(VLOOKUP(T_Commission[[#This Row],[NumL]],T_suiviDi[#Data],COLUMN(T_suiviDi[[#This Row],[Avis n+1]]),FALSE)&lt;&gt;"",VLOOKUP(A224,T_suiviDi[#Data],COLUMN(T_suiviDi[[#This Row],[Avis n+1]]),FALSE),""),"")</f>
        <v/>
      </c>
      <c r="L224" s="142" t="str">
        <f>IFERROR(IF(VLOOKUP(T_Commission[[#This Row],[NumL]],T_suiviDi[#Data],COLUMN(T_suiviDi[[#This Row],[Avis n+2]]),FALSE)&lt;&gt;"",VLOOKUP(T_Commission[[#This Row],[NumL]],T_suiviDi[#Data],COLUMN(T_suiviDi[[#This Row],[Avis n+2]]),FALSE),""),"")</f>
        <v/>
      </c>
      <c r="M224" s="49">
        <v>1</v>
      </c>
      <c r="N224" s="49"/>
      <c r="O224" s="143" t="str">
        <f>IF(T_Commission[[#This Row],[Nom]]&lt;&gt;"",IF(T_Commission[[#This Row],[COM '#2]]&lt;&gt;"",MAX(T_Commission[[#This Row],[PJ]],T_Commission[[#This Row],[COM '#2]]),IF(T_Commission[[#This Row],[COM '#1]]&lt;&gt;"",MAX(T_Commission[[#This Row],[PJ]],T_Commission[[#This Row],[COM '#1]]),"")),"")</f>
        <v/>
      </c>
      <c r="P224" s="55" t="s">
        <v>115</v>
      </c>
      <c r="Q224" s="55" t="s">
        <v>3277</v>
      </c>
      <c r="R224" s="55" t="s">
        <v>3277</v>
      </c>
      <c r="S224" s="56"/>
      <c r="T224" s="144"/>
    </row>
    <row r="225" spans="1:20" s="93" customFormat="1" ht="30" customHeight="1" x14ac:dyDescent="0.25">
      <c r="A225" s="90">
        <v>243</v>
      </c>
      <c r="B225" s="130" t="str">
        <f>IFERROR(IF(VLOOKUP(T_Commission[[#This Row],[NumL]],T_TraitDi[#Data],COLUMN(T_TraitDi[[#This Row],[Statut]]),FALSE)&lt;&gt;"",VLOOKUP(T_Commission[[#This Row],[NumL]],T_TraitDi[#Data],COLUMN(T_TraitDi[[#This Row],[Statut]]),FALSE),""),"")</f>
        <v/>
      </c>
      <c r="C225" s="19" t="str">
        <f>IFERROR(IF(VLOOKUP(T_Commission[[#This Row],[NumL]],T_suiviDi[#Data],COLUMN(T_suiviDi[Nom]),FALSE)&lt;&gt;"",VLOOKUP(T_Commission[[#This Row],[NumL]],T_suiviDi[#Data],COLUMN(T_suiviDi[Nom]),FALSE),""),"")</f>
        <v/>
      </c>
      <c r="D225" s="19" t="str">
        <f>IFERROR(IF(VLOOKUP(T_Commission[[#This Row],[NumL]],T_suiviDi[#Data],COLUMN(T_suiviDi[Prénom]),FALSE)&lt;&gt;"",VLOOKUP(T_Commission[[#This Row],[NumL]],T_suiviDi[#Data],COLUMN(T_suiviDi[Prénom]),FALSE),""),"")</f>
        <v/>
      </c>
      <c r="E225" s="20" t="str">
        <f>IFERROR(IF(VLOOKUP(T_Commission[[#This Row],[NumL]],T_suiviDi[#Data],COLUMN(T_suiviDi[Email]),FALSE)&lt;&gt;"",VLOOKUP(T_Commission[[#This Row],[NumL]],T_suiviDi[#Data],COLUMN(T_suiviDi[Email]),FALSE),""),"")</f>
        <v/>
      </c>
      <c r="F225" s="274" t="str">
        <f>IFERROR(IF(VLOOKUP(T_Commission[[#This Row],[NumL]],T_suiviDi[#Data],COLUMN(T_suiviDi[[#This Row],[Nom1]]),FALSE)&lt;&gt;"",VLOOKUP(T_Commission[[#This Row],[NumL]],T_suiviDi[#Data],COLUMN(T_suiviDi[[#This Row],[Nom1]]),FALSE),""),"")</f>
        <v/>
      </c>
      <c r="G225" s="274" t="str">
        <f>IFERROR(IF(VLOOKUP(T_Commission[[#This Row],[NumL]],T_suiviDi[#Data],COLUMN(T_suiviDi[[#This Row],[Prénom1]]),FALSE)&lt;&gt;"",VLOOKUP(T_Commission[[#This Row],[NumL]],T_suiviDi[#Data],COLUMN(T_suiviDi[[#This Row],[Prénom1]]),FALSE),""),"")</f>
        <v/>
      </c>
      <c r="H225" s="274" t="str">
        <f>IFERROR(IF(VLOOKUP(T_Commission[[#This Row],[NumL]],T_suiviDi[#Data],COLUMN(T_suiviDi[[#This Row],[Email1]]),FALSE)&lt;&gt;"",VLOOKUP(T_Commission[[#This Row],[NumL]],T_suiviDi[#Data],COLUMN(T_suiviDi[[#This Row],[Email1]]),FALSE),""),"")</f>
        <v/>
      </c>
      <c r="I225" s="142" t="str">
        <f>IFERROR(VLOOKUP(T_Commission[[#This Row],[NumL]],T_TraitDi[#Data],COLUMN(T_TraitDi[[#This Row],[CTRL_PJ]]),FALSE),"")</f>
        <v/>
      </c>
      <c r="J225" s="142" t="str">
        <f>IF(T_Commission[[#This Row],[Nom]]&lt;&gt;"",IFERROR(VLOOKUP(T_Commission[[#This Row],[NumL]],T_TraitDi[#Data],COLUMN(T_TraitDi[[#This Row],[C10]]),FALSE),""),"")</f>
        <v/>
      </c>
      <c r="K225" s="142" t="str">
        <f>IFERROR(IF(VLOOKUP(T_Commission[[#This Row],[NumL]],T_suiviDi[#Data],COLUMN(T_suiviDi[[#This Row],[Avis n+1]]),FALSE)&lt;&gt;"",VLOOKUP(A225,T_suiviDi[#Data],COLUMN(T_suiviDi[[#This Row],[Avis n+1]]),FALSE),""),"")</f>
        <v/>
      </c>
      <c r="L225" s="142" t="str">
        <f>IFERROR(IF(VLOOKUP(T_Commission[[#This Row],[NumL]],T_suiviDi[#Data],COLUMN(T_suiviDi[[#This Row],[Avis n+2]]),FALSE)&lt;&gt;"",VLOOKUP(T_Commission[[#This Row],[NumL]],T_suiviDi[#Data],COLUMN(T_suiviDi[[#This Row],[Avis n+2]]),FALSE),""),"")</f>
        <v/>
      </c>
      <c r="M225" s="49">
        <v>1</v>
      </c>
      <c r="N225" s="49"/>
      <c r="O225" s="143" t="str">
        <f>IF(T_Commission[[#This Row],[Nom]]&lt;&gt;"",IF(T_Commission[[#This Row],[COM '#2]]&lt;&gt;"",MAX(T_Commission[[#This Row],[PJ]],T_Commission[[#This Row],[COM '#2]]),IF(T_Commission[[#This Row],[COM '#1]]&lt;&gt;"",MAX(T_Commission[[#This Row],[PJ]],T_Commission[[#This Row],[COM '#1]]),"")),"")</f>
        <v/>
      </c>
      <c r="P225" s="55" t="s">
        <v>115</v>
      </c>
      <c r="Q225" s="55" t="s">
        <v>3277</v>
      </c>
      <c r="R225" s="55" t="s">
        <v>3277</v>
      </c>
      <c r="S225" s="56"/>
      <c r="T225" s="144"/>
    </row>
    <row r="226" spans="1:20" s="93" customFormat="1" ht="30" customHeight="1" x14ac:dyDescent="0.25">
      <c r="A226" s="90">
        <v>43</v>
      </c>
      <c r="B226" s="130" t="str">
        <f>IFERROR(IF(VLOOKUP(T_Commission[[#This Row],[NumL]],T_TraitDi[#Data],COLUMN(T_TraitDi[[#This Row],[Statut]]),FALSE)&lt;&gt;"",VLOOKUP(T_Commission[[#This Row],[NumL]],T_TraitDi[#Data],COLUMN(T_TraitDi[[#This Row],[Statut]]),FALSE),""),"")</f>
        <v/>
      </c>
      <c r="C226" s="19" t="str">
        <f>IFERROR(IF(VLOOKUP(T_Commission[[#This Row],[NumL]],T_suiviDi[#Data],COLUMN(T_suiviDi[Nom]),FALSE)&lt;&gt;"",VLOOKUP(T_Commission[[#This Row],[NumL]],T_suiviDi[#Data],COLUMN(T_suiviDi[Nom]),FALSE),""),"")</f>
        <v/>
      </c>
      <c r="D226" s="19" t="str">
        <f>IFERROR(IF(VLOOKUP(T_Commission[[#This Row],[NumL]],T_suiviDi[#Data],COLUMN(T_suiviDi[Prénom]),FALSE)&lt;&gt;"",VLOOKUP(T_Commission[[#This Row],[NumL]],T_suiviDi[#Data],COLUMN(T_suiviDi[Prénom]),FALSE),""),"")</f>
        <v/>
      </c>
      <c r="E226" s="20" t="str">
        <f>IFERROR(IF(VLOOKUP(T_Commission[[#This Row],[NumL]],T_suiviDi[#Data],COLUMN(T_suiviDi[Email]),FALSE)&lt;&gt;"",VLOOKUP(T_Commission[[#This Row],[NumL]],T_suiviDi[#Data],COLUMN(T_suiviDi[Email]),FALSE),""),"")</f>
        <v/>
      </c>
      <c r="F226" s="274" t="str">
        <f>IFERROR(IF(VLOOKUP(T_Commission[[#This Row],[NumL]],T_suiviDi[#Data],COLUMN(T_suiviDi[[#This Row],[Nom1]]),FALSE)&lt;&gt;"",VLOOKUP(T_Commission[[#This Row],[NumL]],T_suiviDi[#Data],COLUMN(T_suiviDi[[#This Row],[Nom1]]),FALSE),""),"")</f>
        <v/>
      </c>
      <c r="G226" s="274" t="str">
        <f>IFERROR(IF(VLOOKUP(T_Commission[[#This Row],[NumL]],T_suiviDi[#Data],COLUMN(T_suiviDi[[#This Row],[Prénom1]]),FALSE)&lt;&gt;"",VLOOKUP(T_Commission[[#This Row],[NumL]],T_suiviDi[#Data],COLUMN(T_suiviDi[[#This Row],[Prénom1]]),FALSE),""),"")</f>
        <v/>
      </c>
      <c r="H226" s="274" t="str">
        <f>IFERROR(IF(VLOOKUP(T_Commission[[#This Row],[NumL]],T_suiviDi[#Data],COLUMN(T_suiviDi[[#This Row],[Email1]]),FALSE)&lt;&gt;"",VLOOKUP(T_Commission[[#This Row],[NumL]],T_suiviDi[#Data],COLUMN(T_suiviDi[[#This Row],[Email1]]),FALSE),""),"")</f>
        <v/>
      </c>
      <c r="I226" s="142" t="str">
        <f>IFERROR(VLOOKUP(T_Commission[[#This Row],[NumL]],T_TraitDi[#Data],COLUMN(T_TraitDi[[#This Row],[CTRL_PJ]]),FALSE),"")</f>
        <v/>
      </c>
      <c r="J226" s="142" t="str">
        <f>IF(T_Commission[[#This Row],[Nom]]&lt;&gt;"",IFERROR(VLOOKUP(T_Commission[[#This Row],[NumL]],T_TraitDi[#Data],COLUMN(T_TraitDi[[#This Row],[C10]]),FALSE),""),"")</f>
        <v/>
      </c>
      <c r="K226" s="142" t="str">
        <f>IFERROR(IF(VLOOKUP(T_Commission[[#This Row],[NumL]],T_suiviDi[#Data],COLUMN(T_suiviDi[[#This Row],[Avis n+1]]),FALSE)&lt;&gt;"",VLOOKUP(A226,T_suiviDi[#Data],COLUMN(T_suiviDi[[#This Row],[Avis n+1]]),FALSE),""),"")</f>
        <v/>
      </c>
      <c r="L226" s="142" t="str">
        <f>IFERROR(IF(VLOOKUP(T_Commission[[#This Row],[NumL]],T_suiviDi[#Data],COLUMN(T_suiviDi[[#This Row],[Avis n+2]]),FALSE)&lt;&gt;"",VLOOKUP(T_Commission[[#This Row],[NumL]],T_suiviDi[#Data],COLUMN(T_suiviDi[[#This Row],[Avis n+2]]),FALSE),""),"")</f>
        <v/>
      </c>
      <c r="M226" s="49">
        <v>1</v>
      </c>
      <c r="N226" s="49"/>
      <c r="O226" s="143" t="str">
        <f>IF(T_Commission[[#This Row],[Nom]]&lt;&gt;"",IF(T_Commission[[#This Row],[COM '#2]]&lt;&gt;"",MAX(T_Commission[[#This Row],[PJ]],T_Commission[[#This Row],[COM '#2]]),IF(T_Commission[[#This Row],[COM '#1]]&lt;&gt;"",MAX(T_Commission[[#This Row],[PJ]],T_Commission[[#This Row],[COM '#1]]),"")),"")</f>
        <v/>
      </c>
      <c r="P226" s="55" t="s">
        <v>115</v>
      </c>
      <c r="Q226" s="55" t="s">
        <v>3277</v>
      </c>
      <c r="R226" s="55" t="s">
        <v>3277</v>
      </c>
      <c r="S226" s="56"/>
      <c r="T226" s="144"/>
    </row>
    <row r="227" spans="1:20" s="93" customFormat="1" ht="30" customHeight="1" x14ac:dyDescent="0.25">
      <c r="A227" s="90">
        <v>354</v>
      </c>
      <c r="B227" s="130" t="str">
        <f>IFERROR(IF(VLOOKUP(T_Commission[[#This Row],[NumL]],T_TraitDi[#Data],COLUMN(T_TraitDi[[#This Row],[Statut]]),FALSE)&lt;&gt;"",VLOOKUP(T_Commission[[#This Row],[NumL]],T_TraitDi[#Data],COLUMN(T_TraitDi[[#This Row],[Statut]]),FALSE),""),"")</f>
        <v/>
      </c>
      <c r="C227" s="139" t="str">
        <f>IFERROR(IF(VLOOKUP(T_Commission[[#This Row],[NumL]],T_suiviDi[#Data],COLUMN(T_suiviDi[[#This Row],[Nom]]),FALSE)&lt;&gt;"",VLOOKUP(T_Commission[[#This Row],[NumL]],T_suiviDi[#Data],COLUMN(T_suiviDi[[#This Row],[Nom]]),FALSE),""),"")</f>
        <v/>
      </c>
      <c r="D227" s="139" t="str">
        <f>IFERROR(IF(VLOOKUP(T_Commission[[#This Row],[NumL]],T_suiviDi[#Data],COLUMN(T_suiviDi[[#This Row],[Prénom]]),FALSE)&lt;&gt;"",VLOOKUP(T_Commission[[#This Row],[NumL]],T_suiviDi[#Data],COLUMN(T_suiviDi[[#This Row],[Prénom]]),FALSE),""),"")</f>
        <v/>
      </c>
      <c r="E227" s="140" t="str">
        <f>IFERROR(IF(VLOOKUP(T_Commission[[#This Row],[NumL]],T_suiviDi[#Data],COLUMN(T_suiviDi[[#This Row],[Email]]),FALSE)&lt;&gt;"",VLOOKUP(T_Commission[[#This Row],[NumL]],T_suiviDi[#Data],COLUMN(T_suiviDi[[#This Row],[Email]]),FALSE),""),"")</f>
        <v/>
      </c>
      <c r="F227" s="141" t="str">
        <f>IFERROR(IF(VLOOKUP(T_Commission[[#This Row],[NumL]],T_suiviDi[#Data],COLUMN(T_suiviDi[[#This Row],[Nom1]]),FALSE)&lt;&gt;"",VLOOKUP(T_Commission[[#This Row],[NumL]],T_suiviDi[#Data],COLUMN(T_suiviDi[[#This Row],[Nom1]]),FALSE),""),"")</f>
        <v/>
      </c>
      <c r="G227" s="141" t="str">
        <f>IFERROR(IF(VLOOKUP(T_Commission[[#This Row],[NumL]],T_suiviDi[#Data],COLUMN(T_suiviDi[[#This Row],[Prénom1]]),FALSE)&lt;&gt;"",VLOOKUP(T_Commission[[#This Row],[NumL]],T_suiviDi[#Data],COLUMN(T_suiviDi[[#This Row],[Prénom1]]),FALSE),""),"")</f>
        <v/>
      </c>
      <c r="H227" s="141" t="str">
        <f>IFERROR(IF(VLOOKUP(T_Commission[[#This Row],[NumL]],T_suiviDi[#Data],COLUMN(T_suiviDi[[#This Row],[Email1]]),FALSE)&lt;&gt;"",VLOOKUP(T_Commission[[#This Row],[NumL]],T_suiviDi[#Data],COLUMN(T_suiviDi[[#This Row],[Email1]]),FALSE),""),"")</f>
        <v/>
      </c>
      <c r="I227" s="142" t="str">
        <f>IFERROR(VLOOKUP(T_Commission[[#This Row],[NumL]],T_TraitDi[#Data],COLUMN(T_TraitDi[[#This Row],[CTRL_PJ]]),FALSE),"")</f>
        <v/>
      </c>
      <c r="J227" s="142" t="str">
        <f>IF(C227&lt;&gt;"",IFERROR(VLOOKUP(A227,'2- Traitement des DI'!BV32,FALSE),""),"")</f>
        <v/>
      </c>
      <c r="K227" s="142" t="str">
        <f>IFERROR(IF(VLOOKUP(T_Commission[[#This Row],[NumL]],T_suiviDi[#Data],COLUMN(T_suiviDi[[#This Row],[Avis n+1]]),FALSE)&lt;&gt;"",VLOOKUP(A227,T_suiviDi[#Data],COLUMN(T_suiviDi[[#This Row],[Avis n+1]]),FALSE),""),"")</f>
        <v/>
      </c>
      <c r="L227" s="142" t="str">
        <f>IFERROR(IF(VLOOKUP(A227,ListeDI,27,FALSE)&lt;&gt;"",VLOOKUP(A227,ListeDI,27,FALSE),""),"")</f>
        <v/>
      </c>
      <c r="M227" s="49">
        <v>3</v>
      </c>
      <c r="N227" s="49"/>
      <c r="O227" s="143" t="str">
        <f>IF(C227&lt;&gt;"",IF(N227&lt;&gt;"",MAX(I227,N227),IF(M227&lt;&gt;"",MAX(I227,M227),"")),"")</f>
        <v/>
      </c>
      <c r="P227" s="55" t="s">
        <v>115</v>
      </c>
      <c r="Q227" s="55" t="s">
        <v>3278</v>
      </c>
      <c r="R227" s="55"/>
      <c r="S227" s="56"/>
      <c r="T227" s="144" t="s">
        <v>3636</v>
      </c>
    </row>
    <row r="228" spans="1:20" s="93" customFormat="1" ht="30" customHeight="1" x14ac:dyDescent="0.25">
      <c r="A228" s="90">
        <v>300</v>
      </c>
      <c r="B228" s="130" t="str">
        <f>IFERROR(IF(VLOOKUP(T_Commission[[#This Row],[NumL]],T_TraitDi[#Data],COLUMN(T_TraitDi[[#This Row],[Statut]]),FALSE)&lt;&gt;"",VLOOKUP(T_Commission[[#This Row],[NumL]],T_TraitDi[#Data],COLUMN(T_TraitDi[[#This Row],[Statut]]),FALSE),""),"")</f>
        <v/>
      </c>
      <c r="C228" s="139" t="str">
        <f>IFERROR(IF(VLOOKUP(T_Commission[[#This Row],[NumL]],T_suiviDi[#Data],COLUMN(T_suiviDi[[#This Row],[Nom]]),FALSE)&lt;&gt;"",VLOOKUP(T_Commission[[#This Row],[NumL]],T_suiviDi[#Data],COLUMN(T_suiviDi[[#This Row],[Nom]]),FALSE),""),"")</f>
        <v/>
      </c>
      <c r="D228" s="139" t="str">
        <f>IFERROR(IF(VLOOKUP(T_Commission[[#This Row],[NumL]],T_suiviDi[#Data],COLUMN(T_suiviDi[[#This Row],[Prénom]]),FALSE)&lt;&gt;"",VLOOKUP(T_Commission[[#This Row],[NumL]],T_suiviDi[#Data],COLUMN(T_suiviDi[[#This Row],[Prénom]]),FALSE),""),"")</f>
        <v/>
      </c>
      <c r="E228" s="140" t="str">
        <f>IFERROR(IF(VLOOKUP(T_Commission[[#This Row],[NumL]],T_suiviDi[#Data],COLUMN(T_suiviDi[[#This Row],[Email]]),FALSE)&lt;&gt;"",VLOOKUP(T_Commission[[#This Row],[NumL]],T_suiviDi[#Data],COLUMN(T_suiviDi[[#This Row],[Email]]),FALSE),""),"")</f>
        <v/>
      </c>
      <c r="F228" s="141" t="str">
        <f>IFERROR(IF(VLOOKUP(T_Commission[[#This Row],[NumL]],T_suiviDi[#Data],COLUMN(T_suiviDi[[#This Row],[Nom1]]),FALSE)&lt;&gt;"",VLOOKUP(T_Commission[[#This Row],[NumL]],T_suiviDi[#Data],COLUMN(T_suiviDi[[#This Row],[Nom1]]),FALSE),""),"")</f>
        <v/>
      </c>
      <c r="G228" s="141" t="str">
        <f>IFERROR(IF(VLOOKUP(T_Commission[[#This Row],[NumL]],T_suiviDi[#Data],COLUMN(T_suiviDi[[#This Row],[Prénom1]]),FALSE)&lt;&gt;"",VLOOKUP(T_Commission[[#This Row],[NumL]],T_suiviDi[#Data],COLUMN(T_suiviDi[[#This Row],[Prénom1]]),FALSE),""),"")</f>
        <v/>
      </c>
      <c r="H228" s="141" t="str">
        <f>IFERROR(IF(VLOOKUP(T_Commission[[#This Row],[NumL]],T_suiviDi[#Data],COLUMN(T_suiviDi[[#This Row],[Email1]]),FALSE)&lt;&gt;"",VLOOKUP(T_Commission[[#This Row],[NumL]],T_suiviDi[#Data],COLUMN(T_suiviDi[[#This Row],[Email1]]),FALSE),""),"")</f>
        <v/>
      </c>
      <c r="I228" s="142" t="str">
        <f>IFERROR(VLOOKUP(T_Commission[[#This Row],[NumL]],T_TraitDi[#Data],COLUMN(T_TraitDi[[#This Row],[CTRL_PJ]]),FALSE),"")</f>
        <v/>
      </c>
      <c r="J228" s="142" t="str">
        <f>IF(C228&lt;&gt;"",IFERROR(VLOOKUP(A228,'2- Traitement des DI'!BV32,FALSE),""),"")</f>
        <v/>
      </c>
      <c r="K228" s="142" t="str">
        <f>IFERROR(IF(VLOOKUP(T_Commission[[#This Row],[NumL]],T_suiviDi[#Data],COLUMN(T_suiviDi[[#This Row],[Avis n+1]]),FALSE)&lt;&gt;"",VLOOKUP(A228,T_suiviDi[#Data],COLUMN(T_suiviDi[[#This Row],[Avis n+1]]),FALSE),""),"")</f>
        <v/>
      </c>
      <c r="L228" s="142" t="str">
        <f>IFERROR(IF(VLOOKUP(A228,ListeDI,27,FALSE)&lt;&gt;"",VLOOKUP(A228,ListeDI,27,FALSE),""),"")</f>
        <v/>
      </c>
      <c r="M228" s="49">
        <v>1</v>
      </c>
      <c r="N228" s="49"/>
      <c r="O228" s="143" t="str">
        <f>IF(C228&lt;&gt;"",IF(N228&lt;&gt;"",MAX(I228,N228),IF(M228&lt;&gt;"",MAX(I228,M228),"")),"")</f>
        <v/>
      </c>
      <c r="P228" s="55" t="s">
        <v>115</v>
      </c>
      <c r="Q228" s="55" t="s">
        <v>3277</v>
      </c>
      <c r="R228" s="55" t="s">
        <v>3277</v>
      </c>
      <c r="S228" s="56"/>
      <c r="T228" s="144"/>
    </row>
    <row r="229" spans="1:20" s="93" customFormat="1" ht="30" customHeight="1" x14ac:dyDescent="0.25">
      <c r="A229" s="90">
        <v>239</v>
      </c>
      <c r="B229" s="130" t="str">
        <f>IFERROR(IF(VLOOKUP(T_Commission[[#This Row],[NumL]],T_TraitDi[#Data],COLUMN(T_TraitDi[[#This Row],[Statut]]),FALSE)&lt;&gt;"",VLOOKUP(T_Commission[[#This Row],[NumL]],T_TraitDi[#Data],COLUMN(T_TraitDi[[#This Row],[Statut]]),FALSE),""),"")</f>
        <v/>
      </c>
      <c r="C229" s="19" t="str">
        <f>IFERROR(IF(VLOOKUP(T_Commission[[#This Row],[NumL]],T_suiviDi[#Data],COLUMN(T_suiviDi[Nom]),FALSE)&lt;&gt;"",VLOOKUP(T_Commission[[#This Row],[NumL]],T_suiviDi[#Data],COLUMN(T_suiviDi[Nom]),FALSE),""),"")</f>
        <v/>
      </c>
      <c r="D229" s="19" t="str">
        <f>IFERROR(IF(VLOOKUP(T_Commission[[#This Row],[NumL]],T_suiviDi[#Data],COLUMN(T_suiviDi[Prénom]),FALSE)&lt;&gt;"",VLOOKUP(T_Commission[[#This Row],[NumL]],T_suiviDi[#Data],COLUMN(T_suiviDi[Prénom]),FALSE),""),"")</f>
        <v/>
      </c>
      <c r="E229" s="20" t="str">
        <f>IFERROR(IF(VLOOKUP(T_Commission[[#This Row],[NumL]],T_suiviDi[#Data],COLUMN(T_suiviDi[Email]),FALSE)&lt;&gt;"",VLOOKUP(T_Commission[[#This Row],[NumL]],T_suiviDi[#Data],COLUMN(T_suiviDi[Email]),FALSE),""),"")</f>
        <v/>
      </c>
      <c r="F229" s="274" t="str">
        <f>IFERROR(IF(VLOOKUP(T_Commission[[#This Row],[NumL]],T_suiviDi[#Data],COLUMN(T_suiviDi[[#This Row],[Nom1]]),FALSE)&lt;&gt;"",VLOOKUP(T_Commission[[#This Row],[NumL]],T_suiviDi[#Data],COLUMN(T_suiviDi[[#This Row],[Nom1]]),FALSE),""),"")</f>
        <v/>
      </c>
      <c r="G229" s="274" t="str">
        <f>IFERROR(IF(VLOOKUP(T_Commission[[#This Row],[NumL]],T_suiviDi[#Data],COLUMN(T_suiviDi[[#This Row],[Prénom1]]),FALSE)&lt;&gt;"",VLOOKUP(T_Commission[[#This Row],[NumL]],T_suiviDi[#Data],COLUMN(T_suiviDi[[#This Row],[Prénom1]]),FALSE),""),"")</f>
        <v/>
      </c>
      <c r="H229" s="274" t="str">
        <f>IFERROR(IF(VLOOKUP(T_Commission[[#This Row],[NumL]],T_suiviDi[#Data],COLUMN(T_suiviDi[[#This Row],[Email1]]),FALSE)&lt;&gt;"",VLOOKUP(T_Commission[[#This Row],[NumL]],T_suiviDi[#Data],COLUMN(T_suiviDi[[#This Row],[Email1]]),FALSE),""),"")</f>
        <v/>
      </c>
      <c r="I229" s="142" t="str">
        <f>IFERROR(VLOOKUP(T_Commission[[#This Row],[NumL]],T_TraitDi[#Data],COLUMN(T_TraitDi[[#This Row],[CTRL_PJ]]),FALSE),"")</f>
        <v/>
      </c>
      <c r="J229" s="142" t="str">
        <f>IF(T_Commission[[#This Row],[Nom]]&lt;&gt;"",IFERROR(VLOOKUP(T_Commission[[#This Row],[NumL]],T_TraitDi[#Data],COLUMN(T_TraitDi[[#This Row],[C10]]),FALSE),""),"")</f>
        <v/>
      </c>
      <c r="K229" s="142" t="str">
        <f>IFERROR(IF(VLOOKUP(T_Commission[[#This Row],[NumL]],T_suiviDi[#Data],COLUMN(T_suiviDi[[#This Row],[Avis n+1]]),FALSE)&lt;&gt;"",VLOOKUP(A229,T_suiviDi[#Data],COLUMN(T_suiviDi[[#This Row],[Avis n+1]]),FALSE),""),"")</f>
        <v/>
      </c>
      <c r="L229" s="142" t="str">
        <f>IFERROR(IF(VLOOKUP(T_Commission[[#This Row],[NumL]],T_suiviDi[#Data],COLUMN(T_suiviDi[[#This Row],[Avis n+2]]),FALSE)&lt;&gt;"",VLOOKUP(T_Commission[[#This Row],[NumL]],T_suiviDi[#Data],COLUMN(T_suiviDi[[#This Row],[Avis n+2]]),FALSE),""),"")</f>
        <v/>
      </c>
      <c r="M229" s="49">
        <v>1</v>
      </c>
      <c r="N229" s="49"/>
      <c r="O229" s="143" t="str">
        <f>IF(T_Commission[[#This Row],[Nom]]&lt;&gt;"",IF(T_Commission[[#This Row],[COM '#2]]&lt;&gt;"",MAX(T_Commission[[#This Row],[PJ]],T_Commission[[#This Row],[COM '#2]]),IF(T_Commission[[#This Row],[COM '#1]]&lt;&gt;"",MAX(T_Commission[[#This Row],[PJ]],T_Commission[[#This Row],[COM '#1]]),"")),"")</f>
        <v/>
      </c>
      <c r="P229" s="55" t="s">
        <v>115</v>
      </c>
      <c r="Q229" s="55" t="s">
        <v>3277</v>
      </c>
      <c r="R229" s="55"/>
      <c r="S229" s="56"/>
      <c r="T229" s="144"/>
    </row>
    <row r="230" spans="1:20" s="93" customFormat="1" ht="30" customHeight="1" x14ac:dyDescent="0.25">
      <c r="A230" s="90">
        <v>4</v>
      </c>
      <c r="B230" s="130" t="str">
        <f>IFERROR(IF(VLOOKUP(T_Commission[[#This Row],[NumL]],T_TraitDi[#Data],COLUMN(T_TraitDi[[#This Row],[Statut]]),FALSE)&lt;&gt;"",VLOOKUP(T_Commission[[#This Row],[NumL]],T_TraitDi[#Data],COLUMN(T_TraitDi[[#This Row],[Statut]]),FALSE),""),"")</f>
        <v/>
      </c>
      <c r="C230" s="19" t="str">
        <f>IFERROR(IF(VLOOKUP(T_Commission[[#This Row],[NumL]],T_suiviDi[#Data],COLUMN(T_suiviDi[Nom]),FALSE)&lt;&gt;"",VLOOKUP(T_Commission[[#This Row],[NumL]],T_suiviDi[#Data],COLUMN(T_suiviDi[Nom]),FALSE),""),"")</f>
        <v/>
      </c>
      <c r="D230" s="19" t="str">
        <f>IFERROR(IF(VLOOKUP(T_Commission[[#This Row],[NumL]],T_suiviDi[#Data],COLUMN(T_suiviDi[Prénom]),FALSE)&lt;&gt;"",VLOOKUP(T_Commission[[#This Row],[NumL]],T_suiviDi[#Data],COLUMN(T_suiviDi[Prénom]),FALSE),""),"")</f>
        <v/>
      </c>
      <c r="E230" s="20" t="str">
        <f>IFERROR(IF(VLOOKUP(T_Commission[[#This Row],[NumL]],T_suiviDi[#Data],COLUMN(T_suiviDi[Email]),FALSE)&lt;&gt;"",VLOOKUP(T_Commission[[#This Row],[NumL]],T_suiviDi[#Data],COLUMN(T_suiviDi[Email]),FALSE),""),"")</f>
        <v/>
      </c>
      <c r="F230" s="274" t="str">
        <f>IFERROR(IF(VLOOKUP(T_Commission[[#This Row],[NumL]],T_suiviDi[#Data],COLUMN(T_suiviDi[[#This Row],[Nom1]]),FALSE)&lt;&gt;"",VLOOKUP(T_Commission[[#This Row],[NumL]],T_suiviDi[#Data],COLUMN(T_suiviDi[[#This Row],[Nom1]]),FALSE),""),"")</f>
        <v/>
      </c>
      <c r="G230" s="274" t="str">
        <f>IFERROR(IF(VLOOKUP(T_Commission[[#This Row],[NumL]],T_suiviDi[#Data],COLUMN(T_suiviDi[[#This Row],[Prénom1]]),FALSE)&lt;&gt;"",VLOOKUP(T_Commission[[#This Row],[NumL]],T_suiviDi[#Data],COLUMN(T_suiviDi[[#This Row],[Prénom1]]),FALSE),""),"")</f>
        <v/>
      </c>
      <c r="H230" s="274" t="str">
        <f>IFERROR(IF(VLOOKUP(T_Commission[[#This Row],[NumL]],T_suiviDi[#Data],COLUMN(T_suiviDi[[#This Row],[Email1]]),FALSE)&lt;&gt;"",VLOOKUP(T_Commission[[#This Row],[NumL]],T_suiviDi[#Data],COLUMN(T_suiviDi[[#This Row],[Email1]]),FALSE),""),"")</f>
        <v/>
      </c>
      <c r="I230" s="142" t="str">
        <f>IFERROR(VLOOKUP(T_Commission[[#This Row],[NumL]],T_TraitDi[#Data],COLUMN(T_TraitDi[[#This Row],[CTRL_PJ]]),FALSE),"")</f>
        <v/>
      </c>
      <c r="J230" s="142" t="str">
        <f>IF(T_Commission[[#This Row],[Nom]]&lt;&gt;"",IFERROR(VLOOKUP(T_Commission[[#This Row],[NumL]],T_TraitDi[#Data],COLUMN(T_TraitDi[[#This Row],[C10]]),FALSE),""),"")</f>
        <v/>
      </c>
      <c r="K230" s="54" t="str">
        <f>IFERROR(IF(VLOOKUP(T_Commission[[#This Row],[NumL]],T_suiviDi[#Data],COLUMN(T_suiviDi[[#This Row],[Avis n+1]]),FALSE)&lt;&gt;"",VLOOKUP(A230,T_suiviDi[#Data],COLUMN(T_suiviDi[[#This Row],[Avis n+1]]),FALSE),""),"")</f>
        <v/>
      </c>
      <c r="L230" s="142" t="str">
        <f>IFERROR(IF(VLOOKUP(T_Commission[[#This Row],[NumL]],T_suiviDi[#Data],COLUMN(T_suiviDi[[#This Row],[Avis n+2]]),FALSE)&lt;&gt;"",VLOOKUP(T_Commission[[#This Row],[NumL]],T_suiviDi[#Data],COLUMN(T_suiviDi[[#This Row],[Avis n+2]]),FALSE),""),"")</f>
        <v/>
      </c>
      <c r="M230" s="49">
        <v>1</v>
      </c>
      <c r="N230" s="49"/>
      <c r="O230" s="143" t="str">
        <f>IF(T_Commission[[#This Row],[Nom]]&lt;&gt;"",IF(T_Commission[[#This Row],[COM '#2]]&lt;&gt;"",MAX(T_Commission[[#This Row],[PJ]],T_Commission[[#This Row],[COM '#2]]),IF(T_Commission[[#This Row],[COM '#1]]&lt;&gt;"",MAX(T_Commission[[#This Row],[PJ]],T_Commission[[#This Row],[COM '#1]]),"")),"")</f>
        <v/>
      </c>
      <c r="P230" s="55" t="s">
        <v>115</v>
      </c>
      <c r="Q230" s="55" t="s">
        <v>3277</v>
      </c>
      <c r="R230" s="55"/>
      <c r="S230" s="56"/>
      <c r="T230" s="144"/>
    </row>
    <row r="231" spans="1:20" s="93" customFormat="1" ht="30" customHeight="1" x14ac:dyDescent="0.25">
      <c r="A231" s="90">
        <v>37</v>
      </c>
      <c r="B231" s="130" t="str">
        <f>IFERROR(IF(VLOOKUP(T_Commission[[#This Row],[NumL]],T_TraitDi[#Data],COLUMN(T_TraitDi[[#This Row],[Statut]]),FALSE)&lt;&gt;"",VLOOKUP(T_Commission[[#This Row],[NumL]],T_TraitDi[#Data],COLUMN(T_TraitDi[[#This Row],[Statut]]),FALSE),""),"")</f>
        <v/>
      </c>
      <c r="C231" s="19" t="str">
        <f>IFERROR(IF(VLOOKUP(T_Commission[[#This Row],[NumL]],T_suiviDi[#Data],COLUMN(T_suiviDi[Nom]),FALSE)&lt;&gt;"",VLOOKUP(T_Commission[[#This Row],[NumL]],T_suiviDi[#Data],COLUMN(T_suiviDi[Nom]),FALSE),""),"")</f>
        <v/>
      </c>
      <c r="D231" s="19" t="str">
        <f>IFERROR(IF(VLOOKUP(T_Commission[[#This Row],[NumL]],T_suiviDi[#Data],COLUMN(T_suiviDi[Prénom]),FALSE)&lt;&gt;"",VLOOKUP(T_Commission[[#This Row],[NumL]],T_suiviDi[#Data],COLUMN(T_suiviDi[Prénom]),FALSE),""),"")</f>
        <v/>
      </c>
      <c r="E231" s="20" t="str">
        <f>IFERROR(IF(VLOOKUP(T_Commission[[#This Row],[NumL]],T_suiviDi[#Data],COLUMN(T_suiviDi[Email]),FALSE)&lt;&gt;"",VLOOKUP(T_Commission[[#This Row],[NumL]],T_suiviDi[#Data],COLUMN(T_suiviDi[Email]),FALSE),""),"")</f>
        <v/>
      </c>
      <c r="F231" s="274" t="str">
        <f>IFERROR(IF(VLOOKUP(T_Commission[[#This Row],[NumL]],T_suiviDi[#Data],COLUMN(T_suiviDi[[#This Row],[Nom1]]),FALSE)&lt;&gt;"",VLOOKUP(T_Commission[[#This Row],[NumL]],T_suiviDi[#Data],COLUMN(T_suiviDi[[#This Row],[Nom1]]),FALSE),""),"")</f>
        <v/>
      </c>
      <c r="G231" s="274" t="str">
        <f>IFERROR(IF(VLOOKUP(T_Commission[[#This Row],[NumL]],T_suiviDi[#Data],COLUMN(T_suiviDi[[#This Row],[Prénom1]]),FALSE)&lt;&gt;"",VLOOKUP(T_Commission[[#This Row],[NumL]],T_suiviDi[#Data],COLUMN(T_suiviDi[[#This Row],[Prénom1]]),FALSE),""),"")</f>
        <v/>
      </c>
      <c r="H231" s="274" t="str">
        <f>IFERROR(IF(VLOOKUP(T_Commission[[#This Row],[NumL]],T_suiviDi[#Data],COLUMN(T_suiviDi[[#This Row],[Email1]]),FALSE)&lt;&gt;"",VLOOKUP(T_Commission[[#This Row],[NumL]],T_suiviDi[#Data],COLUMN(T_suiviDi[[#This Row],[Email1]]),FALSE),""),"")</f>
        <v/>
      </c>
      <c r="I231" s="142" t="str">
        <f>IFERROR(VLOOKUP(T_Commission[[#This Row],[NumL]],T_TraitDi[#Data],COLUMN(T_TraitDi[[#This Row],[CTRL_PJ]]),FALSE),"")</f>
        <v/>
      </c>
      <c r="J231" s="142" t="str">
        <f>IF(T_Commission[[#This Row],[Nom]]&lt;&gt;"",IFERROR(VLOOKUP(T_Commission[[#This Row],[NumL]],T_TraitDi[#Data],COLUMN(T_TraitDi[[#This Row],[C10]]),FALSE),""),"")</f>
        <v/>
      </c>
      <c r="K231" s="142" t="str">
        <f>IFERROR(IF(VLOOKUP(T_Commission[[#This Row],[NumL]],T_suiviDi[#Data],COLUMN(T_suiviDi[[#This Row],[Avis n+1]]),FALSE)&lt;&gt;"",VLOOKUP(A231,T_suiviDi[#Data],COLUMN(T_suiviDi[[#This Row],[Avis n+1]]),FALSE),""),"")</f>
        <v/>
      </c>
      <c r="L231" s="142" t="str">
        <f>IFERROR(IF(VLOOKUP(T_Commission[[#This Row],[NumL]],T_suiviDi[#Data],COLUMN(T_suiviDi[[#This Row],[Avis n+2]]),FALSE)&lt;&gt;"",VLOOKUP(T_Commission[[#This Row],[NumL]],T_suiviDi[#Data],COLUMN(T_suiviDi[[#This Row],[Avis n+2]]),FALSE),""),"")</f>
        <v/>
      </c>
      <c r="M231" s="49">
        <v>1</v>
      </c>
      <c r="N231" s="49"/>
      <c r="O231" s="143" t="str">
        <f>IF(T_Commission[[#This Row],[Nom]]&lt;&gt;"",IF(T_Commission[[#This Row],[COM '#2]]&lt;&gt;"",MAX(T_Commission[[#This Row],[PJ]],T_Commission[[#This Row],[COM '#2]]),IF(T_Commission[[#This Row],[COM '#1]]&lt;&gt;"",MAX(T_Commission[[#This Row],[PJ]],T_Commission[[#This Row],[COM '#1]]),"")),"")</f>
        <v/>
      </c>
      <c r="P231" s="55" t="s">
        <v>115</v>
      </c>
      <c r="Q231" s="55" t="s">
        <v>3277</v>
      </c>
      <c r="R231" s="55" t="s">
        <v>3277</v>
      </c>
      <c r="S231" s="56"/>
      <c r="T231" s="144"/>
    </row>
    <row r="232" spans="1:20" s="93" customFormat="1" ht="30" customHeight="1" x14ac:dyDescent="0.25">
      <c r="A232" s="90">
        <v>328</v>
      </c>
      <c r="B232" s="130" t="str">
        <f>IFERROR(IF(VLOOKUP(T_Commission[[#This Row],[NumL]],T_TraitDi[#Data],COLUMN(T_TraitDi[[#This Row],[Statut]]),FALSE)&lt;&gt;"",VLOOKUP(T_Commission[[#This Row],[NumL]],T_TraitDi[#Data],COLUMN(T_TraitDi[[#This Row],[Statut]]),FALSE),""),"")</f>
        <v/>
      </c>
      <c r="C232" s="139" t="str">
        <f>IFERROR(IF(VLOOKUP(T_Commission[[#This Row],[NumL]],T_suiviDi[#Data],COLUMN(T_suiviDi[[#This Row],[Nom]]),FALSE)&lt;&gt;"",VLOOKUP(T_Commission[[#This Row],[NumL]],T_suiviDi[#Data],COLUMN(T_suiviDi[[#This Row],[Nom]]),FALSE),""),"")</f>
        <v/>
      </c>
      <c r="D232" s="139" t="str">
        <f>IFERROR(IF(VLOOKUP(T_Commission[[#This Row],[NumL]],T_suiviDi[#Data],COLUMN(T_suiviDi[[#This Row],[Prénom]]),FALSE)&lt;&gt;"",VLOOKUP(T_Commission[[#This Row],[NumL]],T_suiviDi[#Data],COLUMN(T_suiviDi[[#This Row],[Prénom]]),FALSE),""),"")</f>
        <v/>
      </c>
      <c r="E232" s="140" t="str">
        <f>IFERROR(IF(VLOOKUP(T_Commission[[#This Row],[NumL]],T_suiviDi[#Data],COLUMN(T_suiviDi[[#This Row],[Email]]),FALSE)&lt;&gt;"",VLOOKUP(T_Commission[[#This Row],[NumL]],T_suiviDi[#Data],COLUMN(T_suiviDi[[#This Row],[Email]]),FALSE),""),"")</f>
        <v/>
      </c>
      <c r="F232" s="141" t="str">
        <f>IFERROR(IF(VLOOKUP(T_Commission[[#This Row],[NumL]],T_suiviDi[#Data],COLUMN(T_suiviDi[[#This Row],[Nom1]]),FALSE)&lt;&gt;"",VLOOKUP(T_Commission[[#This Row],[NumL]],T_suiviDi[#Data],COLUMN(T_suiviDi[[#This Row],[Nom1]]),FALSE),""),"")</f>
        <v/>
      </c>
      <c r="G232" s="141" t="str">
        <f>IFERROR(IF(VLOOKUP(T_Commission[[#This Row],[NumL]],T_suiviDi[#Data],COLUMN(T_suiviDi[[#This Row],[Prénom1]]),FALSE)&lt;&gt;"",VLOOKUP(T_Commission[[#This Row],[NumL]],T_suiviDi[#Data],COLUMN(T_suiviDi[[#This Row],[Prénom1]]),FALSE),""),"")</f>
        <v/>
      </c>
      <c r="H232" s="141" t="str">
        <f>IFERROR(IF(VLOOKUP(T_Commission[[#This Row],[NumL]],T_suiviDi[#Data],COLUMN(T_suiviDi[[#This Row],[Email1]]),FALSE)&lt;&gt;"",VLOOKUP(T_Commission[[#This Row],[NumL]],T_suiviDi[#Data],COLUMN(T_suiviDi[[#This Row],[Email1]]),FALSE),""),"")</f>
        <v/>
      </c>
      <c r="I232" s="142" t="str">
        <f>IFERROR(VLOOKUP(T_Commission[[#This Row],[NumL]],T_TraitDi[#Data],COLUMN(T_TraitDi[[#This Row],[CTRL_PJ]]),FALSE),"")</f>
        <v/>
      </c>
      <c r="J232" s="142" t="str">
        <f>IF(C232&lt;&gt;"",IFERROR(VLOOKUP(A232,'2- Traitement des DI'!BV32,FALSE),""),"")</f>
        <v/>
      </c>
      <c r="K232" s="142" t="str">
        <f>IFERROR(IF(VLOOKUP(T_Commission[[#This Row],[NumL]],T_suiviDi[#Data],COLUMN(T_suiviDi[[#This Row],[Avis n+1]]),FALSE)&lt;&gt;"",VLOOKUP(A232,T_suiviDi[#Data],COLUMN(T_suiviDi[[#This Row],[Avis n+1]]),FALSE),""),"")</f>
        <v/>
      </c>
      <c r="L232" s="142" t="str">
        <f>IFERROR(IF(VLOOKUP(A232,ListeDI,27,FALSE)&lt;&gt;"",VLOOKUP(A232,ListeDI,27,FALSE),""),"")</f>
        <v/>
      </c>
      <c r="M232" s="49">
        <v>1</v>
      </c>
      <c r="N232" s="49"/>
      <c r="O232" s="143" t="str">
        <f>IF(C232&lt;&gt;"",IF(N232&lt;&gt;"",MAX(I232,N232),IF(M232&lt;&gt;"",MAX(I232,M232),"")),"")</f>
        <v/>
      </c>
      <c r="P232" s="55" t="s">
        <v>115</v>
      </c>
      <c r="Q232" s="55" t="s">
        <v>3277</v>
      </c>
      <c r="R232" s="55" t="s">
        <v>3277</v>
      </c>
      <c r="S232" s="56"/>
      <c r="T232" s="144"/>
    </row>
    <row r="233" spans="1:20" s="93" customFormat="1" ht="30" customHeight="1" x14ac:dyDescent="0.25">
      <c r="A233" s="90">
        <v>268</v>
      </c>
      <c r="B233" s="130" t="str">
        <f>IFERROR(IF(VLOOKUP(T_Commission[[#This Row],[NumL]],T_TraitDi[#Data],COLUMN(T_TraitDi[[#This Row],[Statut]]),FALSE)&lt;&gt;"",VLOOKUP(T_Commission[[#This Row],[NumL]],T_TraitDi[#Data],COLUMN(T_TraitDi[[#This Row],[Statut]]),FALSE),""),"")</f>
        <v/>
      </c>
      <c r="C233" s="19" t="str">
        <f>IFERROR(IF(VLOOKUP(T_Commission[[#This Row],[NumL]],T_suiviDi[#Data],COLUMN(T_suiviDi[Nom]),FALSE)&lt;&gt;"",VLOOKUP(T_Commission[[#This Row],[NumL]],T_suiviDi[#Data],COLUMN(T_suiviDi[Nom]),FALSE),""),"")</f>
        <v/>
      </c>
      <c r="D233" s="19" t="str">
        <f>IFERROR(IF(VLOOKUP(T_Commission[[#This Row],[NumL]],T_suiviDi[#Data],COLUMN(T_suiviDi[Prénom]),FALSE)&lt;&gt;"",VLOOKUP(T_Commission[[#This Row],[NumL]],T_suiviDi[#Data],COLUMN(T_suiviDi[Prénom]),FALSE),""),"")</f>
        <v/>
      </c>
      <c r="E233" s="20" t="str">
        <f>IFERROR(IF(VLOOKUP(T_Commission[[#This Row],[NumL]],T_suiviDi[#Data],COLUMN(T_suiviDi[Email]),FALSE)&lt;&gt;"",VLOOKUP(T_Commission[[#This Row],[NumL]],T_suiviDi[#Data],COLUMN(T_suiviDi[Email]),FALSE),""),"")</f>
        <v/>
      </c>
      <c r="F233" s="274" t="str">
        <f>IFERROR(IF(VLOOKUP(T_Commission[[#This Row],[NumL]],T_suiviDi[#Data],COLUMN(T_suiviDi[[#This Row],[Nom1]]),FALSE)&lt;&gt;"",VLOOKUP(T_Commission[[#This Row],[NumL]],T_suiviDi[#Data],COLUMN(T_suiviDi[[#This Row],[Nom1]]),FALSE),""),"")</f>
        <v/>
      </c>
      <c r="G233" s="274" t="str">
        <f>IFERROR(IF(VLOOKUP(T_Commission[[#This Row],[NumL]],T_suiviDi[#Data],COLUMN(T_suiviDi[[#This Row],[Prénom1]]),FALSE)&lt;&gt;"",VLOOKUP(T_Commission[[#This Row],[NumL]],T_suiviDi[#Data],COLUMN(T_suiviDi[[#This Row],[Prénom1]]),FALSE),""),"")</f>
        <v/>
      </c>
      <c r="H233" s="274" t="str">
        <f>IFERROR(IF(VLOOKUP(T_Commission[[#This Row],[NumL]],T_suiviDi[#Data],COLUMN(T_suiviDi[[#This Row],[Email1]]),FALSE)&lt;&gt;"",VLOOKUP(T_Commission[[#This Row],[NumL]],T_suiviDi[#Data],COLUMN(T_suiviDi[[#This Row],[Email1]]),FALSE),""),"")</f>
        <v/>
      </c>
      <c r="I233" s="142" t="str">
        <f>IFERROR(VLOOKUP(T_Commission[[#This Row],[NumL]],T_TraitDi[#Data],COLUMN(T_TraitDi[[#This Row],[CTRL_PJ]]),FALSE),"")</f>
        <v/>
      </c>
      <c r="J233" s="142" t="str">
        <f>IF(T_Commission[[#This Row],[Nom]]&lt;&gt;"",IFERROR(VLOOKUP(T_Commission[[#This Row],[NumL]],T_TraitDi[#Data],COLUMN(T_TraitDi[[#This Row],[C10]]),FALSE),""),"")</f>
        <v/>
      </c>
      <c r="K233" s="142" t="str">
        <f>IFERROR(IF(VLOOKUP(T_Commission[[#This Row],[NumL]],T_suiviDi[#Data],COLUMN(T_suiviDi[[#This Row],[Avis n+1]]),FALSE)&lt;&gt;"",VLOOKUP(A233,T_suiviDi[#Data],COLUMN(T_suiviDi[[#This Row],[Avis n+1]]),FALSE),""),"")</f>
        <v/>
      </c>
      <c r="L233" s="142" t="str">
        <f>IFERROR(IF(VLOOKUP(T_Commission[[#This Row],[NumL]],T_suiviDi[#Data],COLUMN(T_suiviDi[[#This Row],[Avis n+2]]),FALSE)&lt;&gt;"",VLOOKUP(T_Commission[[#This Row],[NumL]],T_suiviDi[#Data],COLUMN(T_suiviDi[[#This Row],[Avis n+2]]),FALSE),""),"")</f>
        <v/>
      </c>
      <c r="M233" s="49">
        <v>1</v>
      </c>
      <c r="N233" s="49"/>
      <c r="O233" s="143" t="str">
        <f>IF(T_Commission[[#This Row],[Nom]]&lt;&gt;"",IF(T_Commission[[#This Row],[COM '#2]]&lt;&gt;"",MAX(T_Commission[[#This Row],[PJ]],T_Commission[[#This Row],[COM '#2]]),IF(T_Commission[[#This Row],[COM '#1]]&lt;&gt;"",MAX(T_Commission[[#This Row],[PJ]],T_Commission[[#This Row],[COM '#1]]),"")),"")</f>
        <v/>
      </c>
      <c r="P233" s="55" t="s">
        <v>115</v>
      </c>
      <c r="Q233" s="55" t="s">
        <v>3277</v>
      </c>
      <c r="R233" s="55"/>
      <c r="S233" s="56"/>
      <c r="T233" s="144"/>
    </row>
    <row r="234" spans="1:20" s="93" customFormat="1" ht="30" customHeight="1" x14ac:dyDescent="0.25">
      <c r="A234" s="90">
        <v>207</v>
      </c>
      <c r="B234" s="130" t="str">
        <f>IFERROR(IF(VLOOKUP(T_Commission[[#This Row],[NumL]],T_TraitDi[#Data],COLUMN(T_TraitDi[[#This Row],[Statut]]),FALSE)&lt;&gt;"",VLOOKUP(T_Commission[[#This Row],[NumL]],T_TraitDi[#Data],COLUMN(T_TraitDi[[#This Row],[Statut]]),FALSE),""),"")</f>
        <v/>
      </c>
      <c r="C234" s="19" t="str">
        <f>IFERROR(IF(VLOOKUP(T_Commission[[#This Row],[NumL]],T_suiviDi[#Data],COLUMN(T_suiviDi[Nom]),FALSE)&lt;&gt;"",VLOOKUP(T_Commission[[#This Row],[NumL]],T_suiviDi[#Data],COLUMN(T_suiviDi[Nom]),FALSE),""),"")</f>
        <v/>
      </c>
      <c r="D234" s="19" t="str">
        <f>IFERROR(IF(VLOOKUP(T_Commission[[#This Row],[NumL]],T_suiviDi[#Data],COLUMN(T_suiviDi[Prénom]),FALSE)&lt;&gt;"",VLOOKUP(T_Commission[[#This Row],[NumL]],T_suiviDi[#Data],COLUMN(T_suiviDi[Prénom]),FALSE),""),"")</f>
        <v/>
      </c>
      <c r="E234" s="20" t="str">
        <f>IFERROR(IF(VLOOKUP(T_Commission[[#This Row],[NumL]],T_suiviDi[#Data],COLUMN(T_suiviDi[Email]),FALSE)&lt;&gt;"",VLOOKUP(T_Commission[[#This Row],[NumL]],T_suiviDi[#Data],COLUMN(T_suiviDi[Email]),FALSE),""),"")</f>
        <v/>
      </c>
      <c r="F234" s="274" t="str">
        <f>IFERROR(IF(VLOOKUP(T_Commission[[#This Row],[NumL]],T_suiviDi[#Data],COLUMN(T_suiviDi[[#This Row],[Nom1]]),FALSE)&lt;&gt;"",VLOOKUP(T_Commission[[#This Row],[NumL]],T_suiviDi[#Data],COLUMN(T_suiviDi[[#This Row],[Nom1]]),FALSE),""),"")</f>
        <v/>
      </c>
      <c r="G234" s="274" t="str">
        <f>IFERROR(IF(VLOOKUP(T_Commission[[#This Row],[NumL]],T_suiviDi[#Data],COLUMN(T_suiviDi[[#This Row],[Prénom1]]),FALSE)&lt;&gt;"",VLOOKUP(T_Commission[[#This Row],[NumL]],T_suiviDi[#Data],COLUMN(T_suiviDi[[#This Row],[Prénom1]]),FALSE),""),"")</f>
        <v/>
      </c>
      <c r="H234" s="274" t="str">
        <f>IFERROR(IF(VLOOKUP(T_Commission[[#This Row],[NumL]],T_suiviDi[#Data],COLUMN(T_suiviDi[[#This Row],[Email1]]),FALSE)&lt;&gt;"",VLOOKUP(T_Commission[[#This Row],[NumL]],T_suiviDi[#Data],COLUMN(T_suiviDi[[#This Row],[Email1]]),FALSE),""),"")</f>
        <v/>
      </c>
      <c r="I234" s="142" t="str">
        <f>IFERROR(VLOOKUP(T_Commission[[#This Row],[NumL]],T_TraitDi[#Data],COLUMN(T_TraitDi[[#This Row],[CTRL_PJ]]),FALSE),"")</f>
        <v/>
      </c>
      <c r="J234" s="142" t="str">
        <f>IF(T_Commission[[#This Row],[Nom]]&lt;&gt;"",IFERROR(VLOOKUP(T_Commission[[#This Row],[NumL]],T_TraitDi[#Data],COLUMN(T_TraitDi[[#This Row],[C10]]),FALSE),""),"")</f>
        <v/>
      </c>
      <c r="K234" s="142" t="str">
        <f>IFERROR(IF(VLOOKUP(T_Commission[[#This Row],[NumL]],T_suiviDi[#Data],COLUMN(T_suiviDi[[#This Row],[Avis n+1]]),FALSE)&lt;&gt;"",VLOOKUP(A234,T_suiviDi[#Data],COLUMN(T_suiviDi[[#This Row],[Avis n+1]]),FALSE),""),"")</f>
        <v/>
      </c>
      <c r="L234" s="142" t="str">
        <f>IFERROR(IF(VLOOKUP(T_Commission[[#This Row],[NumL]],T_suiviDi[#Data],COLUMN(T_suiviDi[[#This Row],[Avis n+2]]),FALSE)&lt;&gt;"",VLOOKUP(T_Commission[[#This Row],[NumL]],T_suiviDi[#Data],COLUMN(T_suiviDi[[#This Row],[Avis n+2]]),FALSE),""),"")</f>
        <v/>
      </c>
      <c r="M234" s="49">
        <v>1</v>
      </c>
      <c r="N234" s="49"/>
      <c r="O234" s="143" t="str">
        <f>IF(T_Commission[[#This Row],[Nom]]&lt;&gt;"",IF(T_Commission[[#This Row],[COM '#2]]&lt;&gt;"",MAX(T_Commission[[#This Row],[PJ]],T_Commission[[#This Row],[COM '#2]]),IF(T_Commission[[#This Row],[COM '#1]]&lt;&gt;"",MAX(T_Commission[[#This Row],[PJ]],T_Commission[[#This Row],[COM '#1]]),"")),"")</f>
        <v/>
      </c>
      <c r="P234" s="55" t="s">
        <v>115</v>
      </c>
      <c r="Q234" s="55" t="s">
        <v>3277</v>
      </c>
      <c r="R234" s="55" t="s">
        <v>3277</v>
      </c>
      <c r="S234" s="56"/>
      <c r="T234" s="144"/>
    </row>
    <row r="235" spans="1:20" s="93" customFormat="1" ht="30" customHeight="1" x14ac:dyDescent="0.25">
      <c r="A235" s="90">
        <v>31</v>
      </c>
      <c r="B235" s="130" t="str">
        <f>IFERROR(IF(VLOOKUP(T_Commission[[#This Row],[NumL]],T_TraitDi[#Data],COLUMN(T_TraitDi[[#This Row],[Statut]]),FALSE)&lt;&gt;"",VLOOKUP(T_Commission[[#This Row],[NumL]],T_TraitDi[#Data],COLUMN(T_TraitDi[[#This Row],[Statut]]),FALSE),""),"")</f>
        <v/>
      </c>
      <c r="C235" s="19" t="str">
        <f>IFERROR(IF(VLOOKUP(T_Commission[[#This Row],[NumL]],T_suiviDi[#Data],COLUMN(T_suiviDi[Nom]),FALSE)&lt;&gt;"",VLOOKUP(T_Commission[[#This Row],[NumL]],T_suiviDi[#Data],COLUMN(T_suiviDi[Nom]),FALSE),""),"")</f>
        <v/>
      </c>
      <c r="D235" s="19" t="str">
        <f>IFERROR(IF(VLOOKUP(T_Commission[[#This Row],[NumL]],T_suiviDi[#Data],COLUMN(T_suiviDi[Prénom]),FALSE)&lt;&gt;"",VLOOKUP(T_Commission[[#This Row],[NumL]],T_suiviDi[#Data],COLUMN(T_suiviDi[Prénom]),FALSE),""),"")</f>
        <v/>
      </c>
      <c r="E235" s="20" t="str">
        <f>IFERROR(IF(VLOOKUP(T_Commission[[#This Row],[NumL]],T_suiviDi[#Data],COLUMN(T_suiviDi[Email]),FALSE)&lt;&gt;"",VLOOKUP(T_Commission[[#This Row],[NumL]],T_suiviDi[#Data],COLUMN(T_suiviDi[Email]),FALSE),""),"")</f>
        <v/>
      </c>
      <c r="F235" s="274" t="str">
        <f>IFERROR(IF(VLOOKUP(T_Commission[[#This Row],[NumL]],T_suiviDi[#Data],COLUMN(T_suiviDi[[#This Row],[Nom1]]),FALSE)&lt;&gt;"",VLOOKUP(T_Commission[[#This Row],[NumL]],T_suiviDi[#Data],COLUMN(T_suiviDi[[#This Row],[Nom1]]),FALSE),""),"")</f>
        <v/>
      </c>
      <c r="G235" s="274" t="str">
        <f>IFERROR(IF(VLOOKUP(T_Commission[[#This Row],[NumL]],T_suiviDi[#Data],COLUMN(T_suiviDi[[#This Row],[Prénom1]]),FALSE)&lt;&gt;"",VLOOKUP(T_Commission[[#This Row],[NumL]],T_suiviDi[#Data],COLUMN(T_suiviDi[[#This Row],[Prénom1]]),FALSE),""),"")</f>
        <v/>
      </c>
      <c r="H235" s="274" t="str">
        <f>IFERROR(IF(VLOOKUP(T_Commission[[#This Row],[NumL]],T_suiviDi[#Data],COLUMN(T_suiviDi[[#This Row],[Email1]]),FALSE)&lt;&gt;"",VLOOKUP(T_Commission[[#This Row],[NumL]],T_suiviDi[#Data],COLUMN(T_suiviDi[[#This Row],[Email1]]),FALSE),""),"")</f>
        <v/>
      </c>
      <c r="I235" s="142" t="str">
        <f>IFERROR(VLOOKUP(T_Commission[[#This Row],[NumL]],T_TraitDi[#Data],COLUMN(T_TraitDi[[#This Row],[CTRL_PJ]]),FALSE),"")</f>
        <v/>
      </c>
      <c r="J235" s="142" t="str">
        <f>IF(T_Commission[[#This Row],[Nom]]&lt;&gt;"",IFERROR(VLOOKUP(T_Commission[[#This Row],[NumL]],T_TraitDi[#Data],COLUMN(T_TraitDi[[#This Row],[C10]]),FALSE),""),"")</f>
        <v/>
      </c>
      <c r="K235" s="142" t="str">
        <f>IFERROR(IF(VLOOKUP(T_Commission[[#This Row],[NumL]],T_suiviDi[#Data],COLUMN(T_suiviDi[[#This Row],[Avis n+1]]),FALSE)&lt;&gt;"",VLOOKUP(A235,T_suiviDi[#Data],COLUMN(T_suiviDi[[#This Row],[Avis n+1]]),FALSE),""),"")</f>
        <v/>
      </c>
      <c r="L235" s="142" t="str">
        <f>IFERROR(IF(VLOOKUP(T_Commission[[#This Row],[NumL]],T_suiviDi[#Data],COLUMN(T_suiviDi[[#This Row],[Avis n+2]]),FALSE)&lt;&gt;"",VLOOKUP(T_Commission[[#This Row],[NumL]],T_suiviDi[#Data],COLUMN(T_suiviDi[[#This Row],[Avis n+2]]),FALSE),""),"")</f>
        <v/>
      </c>
      <c r="M235" s="49">
        <v>1</v>
      </c>
      <c r="N235" s="49"/>
      <c r="O235" s="143" t="str">
        <f>IF(T_Commission[[#This Row],[Nom]]&lt;&gt;"",IF(T_Commission[[#This Row],[COM '#2]]&lt;&gt;"",MAX(T_Commission[[#This Row],[PJ]],T_Commission[[#This Row],[COM '#2]]),IF(T_Commission[[#This Row],[COM '#1]]&lt;&gt;"",MAX(T_Commission[[#This Row],[PJ]],T_Commission[[#This Row],[COM '#1]]),"")),"")</f>
        <v/>
      </c>
      <c r="P235" s="55" t="s">
        <v>115</v>
      </c>
      <c r="Q235" s="55" t="s">
        <v>3277</v>
      </c>
      <c r="R235" s="55" t="s">
        <v>3277</v>
      </c>
      <c r="S235" s="56"/>
      <c r="T235" s="144"/>
    </row>
    <row r="236" spans="1:20" s="93" customFormat="1" ht="30" customHeight="1" x14ac:dyDescent="0.25">
      <c r="A236" s="90">
        <v>3</v>
      </c>
      <c r="B236" s="130" t="str">
        <f>IFERROR(IF(VLOOKUP(T_Commission[[#This Row],[NumL]],T_TraitDi[#Data],COLUMN(T_TraitDi[[#This Row],[Statut]]),FALSE)&lt;&gt;"",VLOOKUP(T_Commission[[#This Row],[NumL]],T_TraitDi[#Data],COLUMN(T_TraitDi[[#This Row],[Statut]]),FALSE),""),"")</f>
        <v/>
      </c>
      <c r="C236" s="19" t="str">
        <f>IFERROR(IF(VLOOKUP(T_Commission[[#This Row],[NumL]],T_suiviDi[#Data],COLUMN(T_suiviDi[Nom]),FALSE)&lt;&gt;"",VLOOKUP(T_Commission[[#This Row],[NumL]],T_suiviDi[#Data],COLUMN(T_suiviDi[Nom]),FALSE),""),"")</f>
        <v/>
      </c>
      <c r="D236" s="19" t="str">
        <f>IFERROR(IF(VLOOKUP(T_Commission[[#This Row],[NumL]],T_suiviDi[#Data],COLUMN(T_suiviDi[Prénom]),FALSE)&lt;&gt;"",VLOOKUP(T_Commission[[#This Row],[NumL]],T_suiviDi[#Data],COLUMN(T_suiviDi[Prénom]),FALSE),""),"")</f>
        <v/>
      </c>
      <c r="E236" s="20" t="str">
        <f>IFERROR(IF(VLOOKUP(T_Commission[[#This Row],[NumL]],T_suiviDi[#Data],COLUMN(T_suiviDi[Email]),FALSE)&lt;&gt;"",VLOOKUP(T_Commission[[#This Row],[NumL]],T_suiviDi[#Data],COLUMN(T_suiviDi[Email]),FALSE),""),"")</f>
        <v/>
      </c>
      <c r="F236" s="274" t="str">
        <f>IFERROR(IF(VLOOKUP(T_Commission[[#This Row],[NumL]],T_suiviDi[#Data],COLUMN(T_suiviDi[[#This Row],[Nom1]]),FALSE)&lt;&gt;"",VLOOKUP(T_Commission[[#This Row],[NumL]],T_suiviDi[#Data],COLUMN(T_suiviDi[[#This Row],[Nom1]]),FALSE),""),"")</f>
        <v/>
      </c>
      <c r="G236" s="274" t="str">
        <f>IFERROR(IF(VLOOKUP(T_Commission[[#This Row],[NumL]],T_suiviDi[#Data],COLUMN(T_suiviDi[[#This Row],[Prénom1]]),FALSE)&lt;&gt;"",VLOOKUP(T_Commission[[#This Row],[NumL]],T_suiviDi[#Data],COLUMN(T_suiviDi[[#This Row],[Prénom1]]),FALSE),""),"")</f>
        <v/>
      </c>
      <c r="H236" s="274" t="str">
        <f>IFERROR(IF(VLOOKUP(T_Commission[[#This Row],[NumL]],T_suiviDi[#Data],COLUMN(T_suiviDi[[#This Row],[Email1]]),FALSE)&lt;&gt;"",VLOOKUP(T_Commission[[#This Row],[NumL]],T_suiviDi[#Data],COLUMN(T_suiviDi[[#This Row],[Email1]]),FALSE),""),"")</f>
        <v/>
      </c>
      <c r="I236" s="142" t="str">
        <f>IFERROR(VLOOKUP(T_Commission[[#This Row],[NumL]],T_TraitDi[#Data],COLUMN(T_TraitDi[[#This Row],[CTRL_PJ]]),FALSE),"")</f>
        <v/>
      </c>
      <c r="J236" s="142" t="str">
        <f>IF(T_Commission[[#This Row],[Nom]]&lt;&gt;"",IFERROR(VLOOKUP(T_Commission[[#This Row],[NumL]],T_TraitDi[#Data],COLUMN(T_TraitDi[[#This Row],[C10]]),FALSE),""),"")</f>
        <v/>
      </c>
      <c r="K236" s="54" t="str">
        <f>IFERROR(IF(VLOOKUP(T_Commission[[#This Row],[NumL]],T_suiviDi[#Data],COLUMN(T_suiviDi[[#This Row],[Avis n+1]]),FALSE)&lt;&gt;"",VLOOKUP(A236,T_suiviDi[#Data],COLUMN(T_suiviDi[[#This Row],[Avis n+1]]),FALSE),""),"")</f>
        <v/>
      </c>
      <c r="L236" s="142" t="str">
        <f>IFERROR(IF(VLOOKUP(T_Commission[[#This Row],[NumL]],T_suiviDi[#Data],COLUMN(T_suiviDi[[#This Row],[Avis n+2]]),FALSE)&lt;&gt;"",VLOOKUP(T_Commission[[#This Row],[NumL]],T_suiviDi[#Data],COLUMN(T_suiviDi[[#This Row],[Avis n+2]]),FALSE),""),"")</f>
        <v/>
      </c>
      <c r="M236" s="49">
        <v>1</v>
      </c>
      <c r="N236" s="49"/>
      <c r="O236" s="143" t="str">
        <f>IF(T_Commission[[#This Row],[Nom]]&lt;&gt;"",IF(T_Commission[[#This Row],[COM '#2]]&lt;&gt;"",MAX(T_Commission[[#This Row],[PJ]],T_Commission[[#This Row],[COM '#2]]),IF(T_Commission[[#This Row],[COM '#1]]&lt;&gt;"",MAX(T_Commission[[#This Row],[PJ]],T_Commission[[#This Row],[COM '#1]]),"")),"")</f>
        <v/>
      </c>
      <c r="P236" s="55" t="s">
        <v>115</v>
      </c>
      <c r="Q236" s="55" t="s">
        <v>3277</v>
      </c>
      <c r="R236" s="55" t="s">
        <v>3277</v>
      </c>
      <c r="S236" s="56"/>
      <c r="T236" s="144"/>
    </row>
    <row r="237" spans="1:20" s="93" customFormat="1" ht="30" customHeight="1" x14ac:dyDescent="0.25">
      <c r="A237" s="90">
        <v>98</v>
      </c>
      <c r="B237" s="130" t="str">
        <f>IFERROR(IF(VLOOKUP(T_Commission[[#This Row],[NumL]],T_TraitDi[#Data],COLUMN(T_TraitDi[[#This Row],[Statut]]),FALSE)&lt;&gt;"",VLOOKUP(T_Commission[[#This Row],[NumL]],T_TraitDi[#Data],COLUMN(T_TraitDi[[#This Row],[Statut]]),FALSE),""),"")</f>
        <v/>
      </c>
      <c r="C237" s="19" t="str">
        <f>IFERROR(IF(VLOOKUP(T_Commission[[#This Row],[NumL]],T_suiviDi[#Data],COLUMN(T_suiviDi[Nom]),FALSE)&lt;&gt;"",VLOOKUP(T_Commission[[#This Row],[NumL]],T_suiviDi[#Data],COLUMN(T_suiviDi[Nom]),FALSE),""),"")</f>
        <v/>
      </c>
      <c r="D237" s="19" t="str">
        <f>IFERROR(IF(VLOOKUP(T_Commission[[#This Row],[NumL]],T_suiviDi[#Data],COLUMN(T_suiviDi[Prénom]),FALSE)&lt;&gt;"",VLOOKUP(T_Commission[[#This Row],[NumL]],T_suiviDi[#Data],COLUMN(T_suiviDi[Prénom]),FALSE),""),"")</f>
        <v/>
      </c>
      <c r="E237" s="20" t="str">
        <f>IFERROR(IF(VLOOKUP(T_Commission[[#This Row],[NumL]],T_suiviDi[#Data],COLUMN(T_suiviDi[Email]),FALSE)&lt;&gt;"",VLOOKUP(T_Commission[[#This Row],[NumL]],T_suiviDi[#Data],COLUMN(T_suiviDi[Email]),FALSE),""),"")</f>
        <v/>
      </c>
      <c r="F237" s="274" t="str">
        <f>IFERROR(IF(VLOOKUP(T_Commission[[#This Row],[NumL]],T_suiviDi[#Data],COLUMN(T_suiviDi[[#This Row],[Nom1]]),FALSE)&lt;&gt;"",VLOOKUP(T_Commission[[#This Row],[NumL]],T_suiviDi[#Data],COLUMN(T_suiviDi[[#This Row],[Nom1]]),FALSE),""),"")</f>
        <v/>
      </c>
      <c r="G237" s="274" t="str">
        <f>IFERROR(IF(VLOOKUP(T_Commission[[#This Row],[NumL]],T_suiviDi[#Data],COLUMN(T_suiviDi[[#This Row],[Prénom1]]),FALSE)&lt;&gt;"",VLOOKUP(T_Commission[[#This Row],[NumL]],T_suiviDi[#Data],COLUMN(T_suiviDi[[#This Row],[Prénom1]]),FALSE),""),"")</f>
        <v/>
      </c>
      <c r="H237" s="274" t="str">
        <f>IFERROR(IF(VLOOKUP(T_Commission[[#This Row],[NumL]],T_suiviDi[#Data],COLUMN(T_suiviDi[[#This Row],[Email1]]),FALSE)&lt;&gt;"",VLOOKUP(T_Commission[[#This Row],[NumL]],T_suiviDi[#Data],COLUMN(T_suiviDi[[#This Row],[Email1]]),FALSE),""),"")</f>
        <v/>
      </c>
      <c r="I237" s="142" t="str">
        <f>IFERROR(VLOOKUP(T_Commission[[#This Row],[NumL]],T_TraitDi[#Data],COLUMN(T_TraitDi[[#This Row],[CTRL_PJ]]),FALSE),"")</f>
        <v/>
      </c>
      <c r="J237" s="142" t="str">
        <f>IF(T_Commission[[#This Row],[Nom]]&lt;&gt;"",IFERROR(VLOOKUP(T_Commission[[#This Row],[NumL]],T_TraitDi[#Data],COLUMN(T_TraitDi[[#This Row],[C10]]),FALSE),""),"")</f>
        <v/>
      </c>
      <c r="K237" s="142" t="str">
        <f>IFERROR(IF(VLOOKUP(T_Commission[[#This Row],[NumL]],T_suiviDi[#Data],COLUMN(T_suiviDi[[#This Row],[Avis n+1]]),FALSE)&lt;&gt;"",VLOOKUP(A237,T_suiviDi[#Data],COLUMN(T_suiviDi[[#This Row],[Avis n+1]]),FALSE),""),"")</f>
        <v/>
      </c>
      <c r="L237" s="142" t="str">
        <f>IFERROR(IF(VLOOKUP(T_Commission[[#This Row],[NumL]],T_suiviDi[#Data],COLUMN(T_suiviDi[[#This Row],[Avis n+2]]),FALSE)&lt;&gt;"",VLOOKUP(T_Commission[[#This Row],[NumL]],T_suiviDi[#Data],COLUMN(T_suiviDi[[#This Row],[Avis n+2]]),FALSE),""),"")</f>
        <v/>
      </c>
      <c r="M237" s="49">
        <v>1</v>
      </c>
      <c r="N237" s="49"/>
      <c r="O237" s="143" t="str">
        <f>IF(T_Commission[[#This Row],[Nom]]&lt;&gt;"",IF(T_Commission[[#This Row],[COM '#2]]&lt;&gt;"",MAX(T_Commission[[#This Row],[PJ]],T_Commission[[#This Row],[COM '#2]]),IF(T_Commission[[#This Row],[COM '#1]]&lt;&gt;"",MAX(T_Commission[[#This Row],[PJ]],T_Commission[[#This Row],[COM '#1]]),"")),"")</f>
        <v/>
      </c>
      <c r="P237" s="55" t="s">
        <v>115</v>
      </c>
      <c r="Q237" s="55" t="s">
        <v>3277</v>
      </c>
      <c r="R237" s="55" t="s">
        <v>3277</v>
      </c>
      <c r="S237" s="56"/>
      <c r="T237" s="144"/>
    </row>
    <row r="238" spans="1:20" s="93" customFormat="1" ht="30" customHeight="1" x14ac:dyDescent="0.25">
      <c r="A238" s="90">
        <v>106</v>
      </c>
      <c r="B238" s="130" t="str">
        <f>IFERROR(IF(VLOOKUP(T_Commission[[#This Row],[NumL]],T_TraitDi[#Data],COLUMN(T_TraitDi[[#This Row],[Statut]]),FALSE)&lt;&gt;"",VLOOKUP(T_Commission[[#This Row],[NumL]],T_TraitDi[#Data],COLUMN(T_TraitDi[[#This Row],[Statut]]),FALSE),""),"")</f>
        <v/>
      </c>
      <c r="C238" s="19" t="str">
        <f>IFERROR(IF(VLOOKUP(T_Commission[[#This Row],[NumL]],T_suiviDi[#Data],COLUMN(T_suiviDi[Nom]),FALSE)&lt;&gt;"",VLOOKUP(T_Commission[[#This Row],[NumL]],T_suiviDi[#Data],COLUMN(T_suiviDi[Nom]),FALSE),""),"")</f>
        <v/>
      </c>
      <c r="D238" s="19" t="str">
        <f>IFERROR(IF(VLOOKUP(T_Commission[[#This Row],[NumL]],T_suiviDi[#Data],COLUMN(T_suiviDi[Prénom]),FALSE)&lt;&gt;"",VLOOKUP(T_Commission[[#This Row],[NumL]],T_suiviDi[#Data],COLUMN(T_suiviDi[Prénom]),FALSE),""),"")</f>
        <v/>
      </c>
      <c r="E238" s="20" t="str">
        <f>IFERROR(IF(VLOOKUP(T_Commission[[#This Row],[NumL]],T_suiviDi[#Data],COLUMN(T_suiviDi[Email]),FALSE)&lt;&gt;"",VLOOKUP(T_Commission[[#This Row],[NumL]],T_suiviDi[#Data],COLUMN(T_suiviDi[Email]),FALSE),""),"")</f>
        <v/>
      </c>
      <c r="F238" s="274" t="str">
        <f>IFERROR(IF(VLOOKUP(T_Commission[[#This Row],[NumL]],T_suiviDi[#Data],COLUMN(T_suiviDi[[#This Row],[Nom1]]),FALSE)&lt;&gt;"",VLOOKUP(T_Commission[[#This Row],[NumL]],T_suiviDi[#Data],COLUMN(T_suiviDi[[#This Row],[Nom1]]),FALSE),""),"")</f>
        <v/>
      </c>
      <c r="G238" s="274" t="str">
        <f>IFERROR(IF(VLOOKUP(T_Commission[[#This Row],[NumL]],T_suiviDi[#Data],COLUMN(T_suiviDi[[#This Row],[Prénom1]]),FALSE)&lt;&gt;"",VLOOKUP(T_Commission[[#This Row],[NumL]],T_suiviDi[#Data],COLUMN(T_suiviDi[[#This Row],[Prénom1]]),FALSE),""),"")</f>
        <v/>
      </c>
      <c r="H238" s="274" t="str">
        <f>IFERROR(IF(VLOOKUP(T_Commission[[#This Row],[NumL]],T_suiviDi[#Data],COLUMN(T_suiviDi[[#This Row],[Email1]]),FALSE)&lt;&gt;"",VLOOKUP(T_Commission[[#This Row],[NumL]],T_suiviDi[#Data],COLUMN(T_suiviDi[[#This Row],[Email1]]),FALSE),""),"")</f>
        <v/>
      </c>
      <c r="I238" s="142" t="str">
        <f>IFERROR(VLOOKUP(T_Commission[[#This Row],[NumL]],T_TraitDi[#Data],COLUMN(T_TraitDi[[#This Row],[CTRL_PJ]]),FALSE),"")</f>
        <v/>
      </c>
      <c r="J238" s="142" t="str">
        <f>IF(T_Commission[[#This Row],[Nom]]&lt;&gt;"",IFERROR(VLOOKUP(T_Commission[[#This Row],[NumL]],T_TraitDi[#Data],COLUMN(T_TraitDi[[#This Row],[C10]]),FALSE),""),"")</f>
        <v/>
      </c>
      <c r="K238" s="142" t="str">
        <f>IFERROR(IF(VLOOKUP(T_Commission[[#This Row],[NumL]],T_suiviDi[#Data],COLUMN(T_suiviDi[[#This Row],[Avis n+1]]),FALSE)&lt;&gt;"",VLOOKUP(A238,T_suiviDi[#Data],COLUMN(T_suiviDi[[#This Row],[Avis n+1]]),FALSE),""),"")</f>
        <v/>
      </c>
      <c r="L238" s="142" t="str">
        <f>IFERROR(IF(VLOOKUP(T_Commission[[#This Row],[NumL]],T_suiviDi[#Data],COLUMN(T_suiviDi[[#This Row],[Avis n+2]]),FALSE)&lt;&gt;"",VLOOKUP(T_Commission[[#This Row],[NumL]],T_suiviDi[#Data],COLUMN(T_suiviDi[[#This Row],[Avis n+2]]),FALSE),""),"")</f>
        <v/>
      </c>
      <c r="M238" s="49">
        <v>1</v>
      </c>
      <c r="N238" s="49"/>
      <c r="O238" s="143" t="str">
        <f>IF(T_Commission[[#This Row],[Nom]]&lt;&gt;"",IF(T_Commission[[#This Row],[COM '#2]]&lt;&gt;"",MAX(T_Commission[[#This Row],[PJ]],T_Commission[[#This Row],[COM '#2]]),IF(T_Commission[[#This Row],[COM '#1]]&lt;&gt;"",MAX(T_Commission[[#This Row],[PJ]],T_Commission[[#This Row],[COM '#1]]),"")),"")</f>
        <v/>
      </c>
      <c r="P238" s="55" t="s">
        <v>115</v>
      </c>
      <c r="Q238" s="55" t="s">
        <v>3277</v>
      </c>
      <c r="R238" s="55" t="s">
        <v>3277</v>
      </c>
      <c r="S238" s="56"/>
      <c r="T238" s="144"/>
    </row>
    <row r="239" spans="1:20" s="93" customFormat="1" ht="30" customHeight="1" x14ac:dyDescent="0.25">
      <c r="A239" s="90">
        <v>44</v>
      </c>
      <c r="B239" s="130" t="str">
        <f>IFERROR(IF(VLOOKUP(T_Commission[[#This Row],[NumL]],T_TraitDi[#Data],COLUMN(T_TraitDi[[#This Row],[Statut]]),FALSE)&lt;&gt;"",VLOOKUP(T_Commission[[#This Row],[NumL]],T_TraitDi[#Data],COLUMN(T_TraitDi[[#This Row],[Statut]]),FALSE),""),"")</f>
        <v/>
      </c>
      <c r="C239" s="19" t="str">
        <f>IFERROR(IF(VLOOKUP(T_Commission[[#This Row],[NumL]],T_suiviDi[#Data],COLUMN(T_suiviDi[Nom]),FALSE)&lt;&gt;"",VLOOKUP(T_Commission[[#This Row],[NumL]],T_suiviDi[#Data],COLUMN(T_suiviDi[Nom]),FALSE),""),"")</f>
        <v/>
      </c>
      <c r="D239" s="19" t="str">
        <f>IFERROR(IF(VLOOKUP(T_Commission[[#This Row],[NumL]],T_suiviDi[#Data],COLUMN(T_suiviDi[Prénom]),FALSE)&lt;&gt;"",VLOOKUP(T_Commission[[#This Row],[NumL]],T_suiviDi[#Data],COLUMN(T_suiviDi[Prénom]),FALSE),""),"")</f>
        <v/>
      </c>
      <c r="E239" s="20" t="str">
        <f>IFERROR(IF(VLOOKUP(T_Commission[[#This Row],[NumL]],T_suiviDi[#Data],COLUMN(T_suiviDi[Email]),FALSE)&lt;&gt;"",VLOOKUP(T_Commission[[#This Row],[NumL]],T_suiviDi[#Data],COLUMN(T_suiviDi[Email]),FALSE),""),"")</f>
        <v/>
      </c>
      <c r="F239" s="274" t="str">
        <f>IFERROR(IF(VLOOKUP(T_Commission[[#This Row],[NumL]],T_suiviDi[#Data],COLUMN(T_suiviDi[[#This Row],[Nom1]]),FALSE)&lt;&gt;"",VLOOKUP(T_Commission[[#This Row],[NumL]],T_suiviDi[#Data],COLUMN(T_suiviDi[[#This Row],[Nom1]]),FALSE),""),"")</f>
        <v/>
      </c>
      <c r="G239" s="274" t="str">
        <f>IFERROR(IF(VLOOKUP(T_Commission[[#This Row],[NumL]],T_suiviDi[#Data],COLUMN(T_suiviDi[[#This Row],[Prénom1]]),FALSE)&lt;&gt;"",VLOOKUP(T_Commission[[#This Row],[NumL]],T_suiviDi[#Data],COLUMN(T_suiviDi[[#This Row],[Prénom1]]),FALSE),""),"")</f>
        <v/>
      </c>
      <c r="H239" s="274" t="str">
        <f>IFERROR(IF(VLOOKUP(T_Commission[[#This Row],[NumL]],T_suiviDi[#Data],COLUMN(T_suiviDi[[#This Row],[Email1]]),FALSE)&lt;&gt;"",VLOOKUP(T_Commission[[#This Row],[NumL]],T_suiviDi[#Data],COLUMN(T_suiviDi[[#This Row],[Email1]]),FALSE),""),"")</f>
        <v/>
      </c>
      <c r="I239" s="142" t="str">
        <f>IFERROR(VLOOKUP(T_Commission[[#This Row],[NumL]],T_TraitDi[#Data],COLUMN(T_TraitDi[[#This Row],[CTRL_PJ]]),FALSE),"")</f>
        <v/>
      </c>
      <c r="J239" s="142" t="str">
        <f>IF(T_Commission[[#This Row],[Nom]]&lt;&gt;"",IFERROR(VLOOKUP(T_Commission[[#This Row],[NumL]],T_TraitDi[#Data],COLUMN(T_TraitDi[[#This Row],[C10]]),FALSE),""),"")</f>
        <v/>
      </c>
      <c r="K239" s="142" t="str">
        <f>IFERROR(IF(VLOOKUP(T_Commission[[#This Row],[NumL]],T_suiviDi[#Data],COLUMN(T_suiviDi[[#This Row],[Avis n+1]]),FALSE)&lt;&gt;"",VLOOKUP(A239,T_suiviDi[#Data],COLUMN(T_suiviDi[[#This Row],[Avis n+1]]),FALSE),""),"")</f>
        <v/>
      </c>
      <c r="L239" s="142" t="str">
        <f>IFERROR(IF(VLOOKUP(T_Commission[[#This Row],[NumL]],T_suiviDi[#Data],COLUMN(T_suiviDi[[#This Row],[Avis n+2]]),FALSE)&lt;&gt;"",VLOOKUP(T_Commission[[#This Row],[NumL]],T_suiviDi[#Data],COLUMN(T_suiviDi[[#This Row],[Avis n+2]]),FALSE),""),"")</f>
        <v/>
      </c>
      <c r="M239" s="49">
        <v>1</v>
      </c>
      <c r="N239" s="49"/>
      <c r="O239" s="143" t="str">
        <f>IF(T_Commission[[#This Row],[Nom]]&lt;&gt;"",IF(T_Commission[[#This Row],[COM '#2]]&lt;&gt;"",MAX(T_Commission[[#This Row],[PJ]],T_Commission[[#This Row],[COM '#2]]),IF(T_Commission[[#This Row],[COM '#1]]&lt;&gt;"",MAX(T_Commission[[#This Row],[PJ]],T_Commission[[#This Row],[COM '#1]]),"")),"")</f>
        <v/>
      </c>
      <c r="P239" s="55" t="s">
        <v>115</v>
      </c>
      <c r="Q239" s="55" t="s">
        <v>3277</v>
      </c>
      <c r="R239" s="55"/>
      <c r="S239" s="56"/>
      <c r="T239" s="144"/>
    </row>
    <row r="240" spans="1:20" s="93" customFormat="1" ht="30" customHeight="1" x14ac:dyDescent="0.25">
      <c r="A240" s="90">
        <v>154</v>
      </c>
      <c r="B240" s="130" t="str">
        <f>IFERROR(IF(VLOOKUP(T_Commission[[#This Row],[NumL]],T_TraitDi[#Data],COLUMN(T_TraitDi[[#This Row],[Statut]]),FALSE)&lt;&gt;"",VLOOKUP(T_Commission[[#This Row],[NumL]],T_TraitDi[#Data],COLUMN(T_TraitDi[[#This Row],[Statut]]),FALSE),""),"")</f>
        <v/>
      </c>
      <c r="C240" s="19" t="str">
        <f>IFERROR(IF(VLOOKUP(T_Commission[[#This Row],[NumL]],T_suiviDi[#Data],COLUMN(T_suiviDi[Nom]),FALSE)&lt;&gt;"",VLOOKUP(T_Commission[[#This Row],[NumL]],T_suiviDi[#Data],COLUMN(T_suiviDi[Nom]),FALSE),""),"")</f>
        <v/>
      </c>
      <c r="D240" s="19" t="str">
        <f>IFERROR(IF(VLOOKUP(T_Commission[[#This Row],[NumL]],T_suiviDi[#Data],COLUMN(T_suiviDi[Prénom]),FALSE)&lt;&gt;"",VLOOKUP(T_Commission[[#This Row],[NumL]],T_suiviDi[#Data],COLUMN(T_suiviDi[Prénom]),FALSE),""),"")</f>
        <v/>
      </c>
      <c r="E240" s="20" t="str">
        <f>IFERROR(IF(VLOOKUP(T_Commission[[#This Row],[NumL]],T_suiviDi[#Data],COLUMN(T_suiviDi[Email]),FALSE)&lt;&gt;"",VLOOKUP(T_Commission[[#This Row],[NumL]],T_suiviDi[#Data],COLUMN(T_suiviDi[Email]),FALSE),""),"")</f>
        <v/>
      </c>
      <c r="F240" s="274" t="str">
        <f>IFERROR(IF(VLOOKUP(T_Commission[[#This Row],[NumL]],T_suiviDi[#Data],COLUMN(T_suiviDi[[#This Row],[Nom1]]),FALSE)&lt;&gt;"",VLOOKUP(T_Commission[[#This Row],[NumL]],T_suiviDi[#Data],COLUMN(T_suiviDi[[#This Row],[Nom1]]),FALSE),""),"")</f>
        <v/>
      </c>
      <c r="G240" s="274" t="str">
        <f>IFERROR(IF(VLOOKUP(T_Commission[[#This Row],[NumL]],T_suiviDi[#Data],COLUMN(T_suiviDi[[#This Row],[Prénom1]]),FALSE)&lt;&gt;"",VLOOKUP(T_Commission[[#This Row],[NumL]],T_suiviDi[#Data],COLUMN(T_suiviDi[[#This Row],[Prénom1]]),FALSE),""),"")</f>
        <v/>
      </c>
      <c r="H240" s="274" t="str">
        <f>IFERROR(IF(VLOOKUP(T_Commission[[#This Row],[NumL]],T_suiviDi[#Data],COLUMN(T_suiviDi[[#This Row],[Email1]]),FALSE)&lt;&gt;"",VLOOKUP(T_Commission[[#This Row],[NumL]],T_suiviDi[#Data],COLUMN(T_suiviDi[[#This Row],[Email1]]),FALSE),""),"")</f>
        <v/>
      </c>
      <c r="I240" s="142" t="str">
        <f>IFERROR(VLOOKUP(T_Commission[[#This Row],[NumL]],T_TraitDi[#Data],COLUMN(T_TraitDi[[#This Row],[CTRL_PJ]]),FALSE),"")</f>
        <v/>
      </c>
      <c r="J240" s="142" t="str">
        <f>IF(T_Commission[[#This Row],[Nom]]&lt;&gt;"",IFERROR(VLOOKUP(T_Commission[[#This Row],[NumL]],T_TraitDi[#Data],COLUMN(T_TraitDi[[#This Row],[C10]]),FALSE),""),"")</f>
        <v/>
      </c>
      <c r="K240" s="142" t="str">
        <f>IFERROR(IF(VLOOKUP(T_Commission[[#This Row],[NumL]],T_suiviDi[#Data],COLUMN(T_suiviDi[[#This Row],[Avis n+1]]),FALSE)&lt;&gt;"",VLOOKUP(A240,T_suiviDi[#Data],COLUMN(T_suiviDi[[#This Row],[Avis n+1]]),FALSE),""),"")</f>
        <v/>
      </c>
      <c r="L240" s="142" t="str">
        <f>IFERROR(IF(VLOOKUP(T_Commission[[#This Row],[NumL]],T_suiviDi[#Data],COLUMN(T_suiviDi[[#This Row],[Avis n+2]]),FALSE)&lt;&gt;"",VLOOKUP(T_Commission[[#This Row],[NumL]],T_suiviDi[#Data],COLUMN(T_suiviDi[[#This Row],[Avis n+2]]),FALSE),""),"")</f>
        <v/>
      </c>
      <c r="M240" s="49">
        <v>1</v>
      </c>
      <c r="N240" s="49"/>
      <c r="O240" s="143" t="str">
        <f>IF(T_Commission[[#This Row],[Nom]]&lt;&gt;"",IF(T_Commission[[#This Row],[COM '#2]]&lt;&gt;"",MAX(T_Commission[[#This Row],[PJ]],T_Commission[[#This Row],[COM '#2]]),IF(T_Commission[[#This Row],[COM '#1]]&lt;&gt;"",MAX(T_Commission[[#This Row],[PJ]],T_Commission[[#This Row],[COM '#1]]),"")),"")</f>
        <v/>
      </c>
      <c r="P240" s="55" t="s">
        <v>115</v>
      </c>
      <c r="Q240" s="55" t="s">
        <v>3277</v>
      </c>
      <c r="R240" s="55" t="s">
        <v>3277</v>
      </c>
      <c r="S240" s="56"/>
      <c r="T240" s="144"/>
    </row>
    <row r="241" spans="1:20" s="93" customFormat="1" ht="30" customHeight="1" x14ac:dyDescent="0.25">
      <c r="A241" s="90">
        <v>171</v>
      </c>
      <c r="B241" s="130" t="str">
        <f>IFERROR(IF(VLOOKUP(T_Commission[[#This Row],[NumL]],T_TraitDi[#Data],COLUMN(T_TraitDi[[#This Row],[Statut]]),FALSE)&lt;&gt;"",VLOOKUP(T_Commission[[#This Row],[NumL]],T_TraitDi[#Data],COLUMN(T_TraitDi[[#This Row],[Statut]]),FALSE),""),"")</f>
        <v/>
      </c>
      <c r="C241" s="19" t="str">
        <f>IFERROR(IF(VLOOKUP(T_Commission[[#This Row],[NumL]],T_suiviDi[#Data],COLUMN(T_suiviDi[Nom]),FALSE)&lt;&gt;"",VLOOKUP(T_Commission[[#This Row],[NumL]],T_suiviDi[#Data],COLUMN(T_suiviDi[Nom]),FALSE),""),"")</f>
        <v/>
      </c>
      <c r="D241" s="19" t="str">
        <f>IFERROR(IF(VLOOKUP(T_Commission[[#This Row],[NumL]],T_suiviDi[#Data],COLUMN(T_suiviDi[Prénom]),FALSE)&lt;&gt;"",VLOOKUP(T_Commission[[#This Row],[NumL]],T_suiviDi[#Data],COLUMN(T_suiviDi[Prénom]),FALSE),""),"")</f>
        <v/>
      </c>
      <c r="E241" s="20" t="str">
        <f>IFERROR(IF(VLOOKUP(T_Commission[[#This Row],[NumL]],T_suiviDi[#Data],COLUMN(T_suiviDi[Email]),FALSE)&lt;&gt;"",VLOOKUP(T_Commission[[#This Row],[NumL]],T_suiviDi[#Data],COLUMN(T_suiviDi[Email]),FALSE),""),"")</f>
        <v/>
      </c>
      <c r="F241" s="274" t="str">
        <f>IFERROR(IF(VLOOKUP(T_Commission[[#This Row],[NumL]],T_suiviDi[#Data],COLUMN(T_suiviDi[[#This Row],[Nom1]]),FALSE)&lt;&gt;"",VLOOKUP(T_Commission[[#This Row],[NumL]],T_suiviDi[#Data],COLUMN(T_suiviDi[[#This Row],[Nom1]]),FALSE),""),"")</f>
        <v/>
      </c>
      <c r="G241" s="274" t="str">
        <f>IFERROR(IF(VLOOKUP(T_Commission[[#This Row],[NumL]],T_suiviDi[#Data],COLUMN(T_suiviDi[[#This Row],[Prénom1]]),FALSE)&lt;&gt;"",VLOOKUP(T_Commission[[#This Row],[NumL]],T_suiviDi[#Data],COLUMN(T_suiviDi[[#This Row],[Prénom1]]),FALSE),""),"")</f>
        <v/>
      </c>
      <c r="H241" s="274" t="str">
        <f>IFERROR(IF(VLOOKUP(T_Commission[[#This Row],[NumL]],T_suiviDi[#Data],COLUMN(T_suiviDi[[#This Row],[Email1]]),FALSE)&lt;&gt;"",VLOOKUP(T_Commission[[#This Row],[NumL]],T_suiviDi[#Data],COLUMN(T_suiviDi[[#This Row],[Email1]]),FALSE),""),"")</f>
        <v/>
      </c>
      <c r="I241" s="142" t="str">
        <f>IFERROR(VLOOKUP(T_Commission[[#This Row],[NumL]],T_TraitDi[#Data],COLUMN(T_TraitDi[[#This Row],[CTRL_PJ]]),FALSE),"")</f>
        <v/>
      </c>
      <c r="J241" s="142" t="str">
        <f>IF(T_Commission[[#This Row],[Nom]]&lt;&gt;"",IFERROR(VLOOKUP(T_Commission[[#This Row],[NumL]],T_TraitDi[#Data],COLUMN(T_TraitDi[[#This Row],[C10]]),FALSE),""),"")</f>
        <v/>
      </c>
      <c r="K241" s="142" t="str">
        <f>IFERROR(IF(VLOOKUP(T_Commission[[#This Row],[NumL]],T_suiviDi[#Data],COLUMN(T_suiviDi[[#This Row],[Avis n+1]]),FALSE)&lt;&gt;"",VLOOKUP(A241,T_suiviDi[#Data],COLUMN(T_suiviDi[[#This Row],[Avis n+1]]),FALSE),""),"")</f>
        <v/>
      </c>
      <c r="L241" s="142" t="str">
        <f>IFERROR(IF(VLOOKUP(T_Commission[[#This Row],[NumL]],T_suiviDi[#Data],COLUMN(T_suiviDi[[#This Row],[Avis n+2]]),FALSE)&lt;&gt;"",VLOOKUP(T_Commission[[#This Row],[NumL]],T_suiviDi[#Data],COLUMN(T_suiviDi[[#This Row],[Avis n+2]]),FALSE),""),"")</f>
        <v/>
      </c>
      <c r="M241" s="49">
        <v>1</v>
      </c>
      <c r="N241" s="49"/>
      <c r="O241" s="143" t="str">
        <f>IF(T_Commission[[#This Row],[Nom]]&lt;&gt;"",IF(T_Commission[[#This Row],[COM '#2]]&lt;&gt;"",MAX(T_Commission[[#This Row],[PJ]],T_Commission[[#This Row],[COM '#2]]),IF(T_Commission[[#This Row],[COM '#1]]&lt;&gt;"",MAX(T_Commission[[#This Row],[PJ]],T_Commission[[#This Row],[COM '#1]]),"")),"")</f>
        <v/>
      </c>
      <c r="P241" s="55" t="s">
        <v>115</v>
      </c>
      <c r="Q241" s="55" t="s">
        <v>3277</v>
      </c>
      <c r="R241" s="55"/>
      <c r="S241" s="56"/>
      <c r="T241" s="144"/>
    </row>
    <row r="242" spans="1:20" s="93" customFormat="1" ht="30" customHeight="1" x14ac:dyDescent="0.25">
      <c r="A242" s="90">
        <v>149</v>
      </c>
      <c r="B242" s="130" t="str">
        <f>IFERROR(IF(VLOOKUP(T_Commission[[#This Row],[NumL]],T_TraitDi[#Data],COLUMN(T_TraitDi[[#This Row],[Statut]]),FALSE)&lt;&gt;"",VLOOKUP(T_Commission[[#This Row],[NumL]],T_TraitDi[#Data],COLUMN(T_TraitDi[[#This Row],[Statut]]),FALSE),""),"")</f>
        <v/>
      </c>
      <c r="C242" s="19" t="str">
        <f>IFERROR(IF(VLOOKUP(T_Commission[[#This Row],[NumL]],T_suiviDi[#Data],COLUMN(T_suiviDi[Nom]),FALSE)&lt;&gt;"",VLOOKUP(T_Commission[[#This Row],[NumL]],T_suiviDi[#Data],COLUMN(T_suiviDi[Nom]),FALSE),""),"")</f>
        <v/>
      </c>
      <c r="D242" s="19" t="str">
        <f>IFERROR(IF(VLOOKUP(T_Commission[[#This Row],[NumL]],T_suiviDi[#Data],COLUMN(T_suiviDi[Prénom]),FALSE)&lt;&gt;"",VLOOKUP(T_Commission[[#This Row],[NumL]],T_suiviDi[#Data],COLUMN(T_suiviDi[Prénom]),FALSE),""),"")</f>
        <v/>
      </c>
      <c r="E242" s="20" t="str">
        <f>IFERROR(IF(VLOOKUP(T_Commission[[#This Row],[NumL]],T_suiviDi[#Data],COLUMN(T_suiviDi[Email]),FALSE)&lt;&gt;"",VLOOKUP(T_Commission[[#This Row],[NumL]],T_suiviDi[#Data],COLUMN(T_suiviDi[Email]),FALSE),""),"")</f>
        <v/>
      </c>
      <c r="F242" s="274" t="str">
        <f>IFERROR(IF(VLOOKUP(T_Commission[[#This Row],[NumL]],T_suiviDi[#Data],COLUMN(T_suiviDi[[#This Row],[Nom1]]),FALSE)&lt;&gt;"",VLOOKUP(T_Commission[[#This Row],[NumL]],T_suiviDi[#Data],COLUMN(T_suiviDi[[#This Row],[Nom1]]),FALSE),""),"")</f>
        <v/>
      </c>
      <c r="G242" s="274" t="str">
        <f>IFERROR(IF(VLOOKUP(T_Commission[[#This Row],[NumL]],T_suiviDi[#Data],COLUMN(T_suiviDi[[#This Row],[Prénom1]]),FALSE)&lt;&gt;"",VLOOKUP(T_Commission[[#This Row],[NumL]],T_suiviDi[#Data],COLUMN(T_suiviDi[[#This Row],[Prénom1]]),FALSE),""),"")</f>
        <v/>
      </c>
      <c r="H242" s="274" t="str">
        <f>IFERROR(IF(VLOOKUP(T_Commission[[#This Row],[NumL]],T_suiviDi[#Data],COLUMN(T_suiviDi[[#This Row],[Email1]]),FALSE)&lt;&gt;"",VLOOKUP(T_Commission[[#This Row],[NumL]],T_suiviDi[#Data],COLUMN(T_suiviDi[[#This Row],[Email1]]),FALSE),""),"")</f>
        <v/>
      </c>
      <c r="I242" s="142" t="str">
        <f>IFERROR(VLOOKUP(T_Commission[[#This Row],[NumL]],T_TraitDi[#Data],COLUMN(T_TraitDi[[#This Row],[CTRL_PJ]]),FALSE),"")</f>
        <v/>
      </c>
      <c r="J242" s="142" t="str">
        <f>IF(T_Commission[[#This Row],[Nom]]&lt;&gt;"",IFERROR(VLOOKUP(T_Commission[[#This Row],[NumL]],T_TraitDi[#Data],COLUMN(T_TraitDi[[#This Row],[C10]]),FALSE),""),"")</f>
        <v/>
      </c>
      <c r="K242" s="142" t="str">
        <f>IFERROR(IF(VLOOKUP(T_Commission[[#This Row],[NumL]],T_suiviDi[#Data],COLUMN(T_suiviDi[[#This Row],[Avis n+1]]),FALSE)&lt;&gt;"",VLOOKUP(A242,T_suiviDi[#Data],COLUMN(T_suiviDi[[#This Row],[Avis n+1]]),FALSE),""),"")</f>
        <v/>
      </c>
      <c r="L242" s="142" t="str">
        <f>IFERROR(IF(VLOOKUP(T_Commission[[#This Row],[NumL]],T_suiviDi[#Data],COLUMN(T_suiviDi[[#This Row],[Avis n+2]]),FALSE)&lt;&gt;"",VLOOKUP(T_Commission[[#This Row],[NumL]],T_suiviDi[#Data],COLUMN(T_suiviDi[[#This Row],[Avis n+2]]),FALSE),""),"")</f>
        <v/>
      </c>
      <c r="M242" s="49">
        <v>1</v>
      </c>
      <c r="N242" s="49"/>
      <c r="O242" s="143" t="str">
        <f>IF(T_Commission[[#This Row],[Nom]]&lt;&gt;"",IF(T_Commission[[#This Row],[COM '#2]]&lt;&gt;"",MAX(T_Commission[[#This Row],[PJ]],T_Commission[[#This Row],[COM '#2]]),IF(T_Commission[[#This Row],[COM '#1]]&lt;&gt;"",MAX(T_Commission[[#This Row],[PJ]],T_Commission[[#This Row],[COM '#1]]),"")),"")</f>
        <v/>
      </c>
      <c r="P242" s="55" t="s">
        <v>115</v>
      </c>
      <c r="Q242" s="55" t="s">
        <v>3277</v>
      </c>
      <c r="R242" s="55" t="s">
        <v>3277</v>
      </c>
      <c r="S242" s="56"/>
      <c r="T242" s="144"/>
    </row>
    <row r="243" spans="1:20" s="93" customFormat="1" ht="30" customHeight="1" x14ac:dyDescent="0.25">
      <c r="A243" s="90">
        <v>14</v>
      </c>
      <c r="B243" s="130" t="str">
        <f>IFERROR(IF(VLOOKUP(T_Commission[[#This Row],[NumL]],T_TraitDi[#Data],COLUMN(T_TraitDi[[#This Row],[Statut]]),FALSE)&lt;&gt;"",VLOOKUP(T_Commission[[#This Row],[NumL]],T_TraitDi[#Data],COLUMN(T_TraitDi[[#This Row],[Statut]]),FALSE),""),"")</f>
        <v/>
      </c>
      <c r="C243" s="19" t="str">
        <f>IFERROR(IF(VLOOKUP(T_Commission[[#This Row],[NumL]],T_suiviDi[#Data],COLUMN(T_suiviDi[Nom]),FALSE)&lt;&gt;"",VLOOKUP(T_Commission[[#This Row],[NumL]],T_suiviDi[#Data],COLUMN(T_suiviDi[Nom]),FALSE),""),"")</f>
        <v/>
      </c>
      <c r="D243" s="19" t="str">
        <f>IFERROR(IF(VLOOKUP(T_Commission[[#This Row],[NumL]],T_suiviDi[#Data],COLUMN(T_suiviDi[Prénom]),FALSE)&lt;&gt;"",VLOOKUP(T_Commission[[#This Row],[NumL]],T_suiviDi[#Data],COLUMN(T_suiviDi[Prénom]),FALSE),""),"")</f>
        <v/>
      </c>
      <c r="E243" s="20" t="str">
        <f>IFERROR(IF(VLOOKUP(T_Commission[[#This Row],[NumL]],T_suiviDi[#Data],COLUMN(T_suiviDi[Email]),FALSE)&lt;&gt;"",VLOOKUP(T_Commission[[#This Row],[NumL]],T_suiviDi[#Data],COLUMN(T_suiviDi[Email]),FALSE),""),"")</f>
        <v/>
      </c>
      <c r="F243" s="274" t="str">
        <f>IFERROR(IF(VLOOKUP(T_Commission[[#This Row],[NumL]],T_suiviDi[#Data],COLUMN(T_suiviDi[[#This Row],[Nom1]]),FALSE)&lt;&gt;"",VLOOKUP(T_Commission[[#This Row],[NumL]],T_suiviDi[#Data],COLUMN(T_suiviDi[[#This Row],[Nom1]]),FALSE),""),"")</f>
        <v/>
      </c>
      <c r="G243" s="274" t="str">
        <f>IFERROR(IF(VLOOKUP(T_Commission[[#This Row],[NumL]],T_suiviDi[#Data],COLUMN(T_suiviDi[[#This Row],[Prénom1]]),FALSE)&lt;&gt;"",VLOOKUP(T_Commission[[#This Row],[NumL]],T_suiviDi[#Data],COLUMN(T_suiviDi[[#This Row],[Prénom1]]),FALSE),""),"")</f>
        <v/>
      </c>
      <c r="H243" s="274" t="str">
        <f>IFERROR(IF(VLOOKUP(T_Commission[[#This Row],[NumL]],T_suiviDi[#Data],COLUMN(T_suiviDi[[#This Row],[Email1]]),FALSE)&lt;&gt;"",VLOOKUP(T_Commission[[#This Row],[NumL]],T_suiviDi[#Data],COLUMN(T_suiviDi[[#This Row],[Email1]]),FALSE),""),"")</f>
        <v/>
      </c>
      <c r="I243" s="142" t="str">
        <f>IFERROR(VLOOKUP(T_Commission[[#This Row],[NumL]],T_TraitDi[#Data],COLUMN(T_TraitDi[[#This Row],[CTRL_PJ]]),FALSE),"")</f>
        <v/>
      </c>
      <c r="J243" s="142" t="str">
        <f>IF(T_Commission[[#This Row],[Nom]]&lt;&gt;"",IFERROR(VLOOKUP(T_Commission[[#This Row],[NumL]],T_TraitDi[#Data],COLUMN(T_TraitDi[[#This Row],[C10]]),FALSE),""),"")</f>
        <v/>
      </c>
      <c r="K243" s="142" t="str">
        <f>IFERROR(IF(VLOOKUP(T_Commission[[#This Row],[NumL]],T_suiviDi[#Data],COLUMN(T_suiviDi[[#This Row],[Avis n+1]]),FALSE)&lt;&gt;"",VLOOKUP(A243,T_suiviDi[#Data],COLUMN(T_suiviDi[[#This Row],[Avis n+1]]),FALSE),""),"")</f>
        <v/>
      </c>
      <c r="L243" s="142" t="str">
        <f>IFERROR(IF(VLOOKUP(T_Commission[[#This Row],[NumL]],T_suiviDi[#Data],COLUMN(T_suiviDi[[#This Row],[Avis n+2]]),FALSE)&lt;&gt;"",VLOOKUP(T_Commission[[#This Row],[NumL]],T_suiviDi[#Data],COLUMN(T_suiviDi[[#This Row],[Avis n+2]]),FALSE),""),"")</f>
        <v/>
      </c>
      <c r="M243" s="49">
        <v>1</v>
      </c>
      <c r="N243" s="49"/>
      <c r="O243" s="143" t="str">
        <f>IF(T_Commission[[#This Row],[Nom]]&lt;&gt;"",IF(T_Commission[[#This Row],[COM '#2]]&lt;&gt;"",MAX(T_Commission[[#This Row],[PJ]],T_Commission[[#This Row],[COM '#2]]),IF(T_Commission[[#This Row],[COM '#1]]&lt;&gt;"",MAX(T_Commission[[#This Row],[PJ]],T_Commission[[#This Row],[COM '#1]]),"")),"")</f>
        <v/>
      </c>
      <c r="P243" s="55" t="s">
        <v>115</v>
      </c>
      <c r="Q243" s="55" t="s">
        <v>3277</v>
      </c>
      <c r="R243" s="55" t="s">
        <v>3277</v>
      </c>
      <c r="S243" s="56"/>
      <c r="T243" s="144"/>
    </row>
    <row r="244" spans="1:20" s="93" customFormat="1" ht="30" customHeight="1" x14ac:dyDescent="0.25">
      <c r="A244" s="90">
        <v>135</v>
      </c>
      <c r="B244" s="130" t="str">
        <f>IFERROR(IF(VLOOKUP(T_Commission[[#This Row],[NumL]],T_TraitDi[#Data],COLUMN(T_TraitDi[[#This Row],[Statut]]),FALSE)&lt;&gt;"",VLOOKUP(T_Commission[[#This Row],[NumL]],T_TraitDi[#Data],COLUMN(T_TraitDi[[#This Row],[Statut]]),FALSE),""),"")</f>
        <v/>
      </c>
      <c r="C244" s="19" t="str">
        <f>IFERROR(IF(VLOOKUP(T_Commission[[#This Row],[NumL]],T_suiviDi[#Data],COLUMN(T_suiviDi[Nom]),FALSE)&lt;&gt;"",VLOOKUP(T_Commission[[#This Row],[NumL]],T_suiviDi[#Data],COLUMN(T_suiviDi[Nom]),FALSE),""),"")</f>
        <v/>
      </c>
      <c r="D244" s="19" t="str">
        <f>IFERROR(IF(VLOOKUP(T_Commission[[#This Row],[NumL]],T_suiviDi[#Data],COLUMN(T_suiviDi[Prénom]),FALSE)&lt;&gt;"",VLOOKUP(T_Commission[[#This Row],[NumL]],T_suiviDi[#Data],COLUMN(T_suiviDi[Prénom]),FALSE),""),"")</f>
        <v/>
      </c>
      <c r="E244" s="20" t="str">
        <f>IFERROR(IF(VLOOKUP(T_Commission[[#This Row],[NumL]],T_suiviDi[#Data],COLUMN(T_suiviDi[Email]),FALSE)&lt;&gt;"",VLOOKUP(T_Commission[[#This Row],[NumL]],T_suiviDi[#Data],COLUMN(T_suiviDi[Email]),FALSE),""),"")</f>
        <v/>
      </c>
      <c r="F244" s="274" t="str">
        <f>IFERROR(IF(VLOOKUP(T_Commission[[#This Row],[NumL]],T_suiviDi[#Data],COLUMN(T_suiviDi[[#This Row],[Nom1]]),FALSE)&lt;&gt;"",VLOOKUP(T_Commission[[#This Row],[NumL]],T_suiviDi[#Data],COLUMN(T_suiviDi[[#This Row],[Nom1]]),FALSE),""),"")</f>
        <v/>
      </c>
      <c r="G244" s="274" t="str">
        <f>IFERROR(IF(VLOOKUP(T_Commission[[#This Row],[NumL]],T_suiviDi[#Data],COLUMN(T_suiviDi[[#This Row],[Prénom1]]),FALSE)&lt;&gt;"",VLOOKUP(T_Commission[[#This Row],[NumL]],T_suiviDi[#Data],COLUMN(T_suiviDi[[#This Row],[Prénom1]]),FALSE),""),"")</f>
        <v/>
      </c>
      <c r="H244" s="274" t="str">
        <f>IFERROR(IF(VLOOKUP(T_Commission[[#This Row],[NumL]],T_suiviDi[#Data],COLUMN(T_suiviDi[[#This Row],[Email1]]),FALSE)&lt;&gt;"",VLOOKUP(T_Commission[[#This Row],[NumL]],T_suiviDi[#Data],COLUMN(T_suiviDi[[#This Row],[Email1]]),FALSE),""),"")</f>
        <v/>
      </c>
      <c r="I244" s="142" t="str">
        <f>IFERROR(VLOOKUP(T_Commission[[#This Row],[NumL]],T_TraitDi[#Data],COLUMN(T_TraitDi[[#This Row],[CTRL_PJ]]),FALSE),"")</f>
        <v/>
      </c>
      <c r="J244" s="142" t="str">
        <f>IF(T_Commission[[#This Row],[Nom]]&lt;&gt;"",IFERROR(VLOOKUP(T_Commission[[#This Row],[NumL]],T_TraitDi[#Data],COLUMN(T_TraitDi[[#This Row],[C10]]),FALSE),""),"")</f>
        <v/>
      </c>
      <c r="K244" s="142" t="str">
        <f>IFERROR(IF(VLOOKUP(T_Commission[[#This Row],[NumL]],T_suiviDi[#Data],COLUMN(T_suiviDi[[#This Row],[Avis n+1]]),FALSE)&lt;&gt;"",VLOOKUP(A244,T_suiviDi[#Data],COLUMN(T_suiviDi[[#This Row],[Avis n+1]]),FALSE),""),"")</f>
        <v/>
      </c>
      <c r="L244" s="142" t="str">
        <f>IFERROR(IF(VLOOKUP(T_Commission[[#This Row],[NumL]],T_suiviDi[#Data],COLUMN(T_suiviDi[[#This Row],[Avis n+2]]),FALSE)&lt;&gt;"",VLOOKUP(T_Commission[[#This Row],[NumL]],T_suiviDi[#Data],COLUMN(T_suiviDi[[#This Row],[Avis n+2]]),FALSE),""),"")</f>
        <v/>
      </c>
      <c r="M244" s="49">
        <v>1</v>
      </c>
      <c r="N244" s="49"/>
      <c r="O244" s="143" t="str">
        <f>IF(T_Commission[[#This Row],[Nom]]&lt;&gt;"",IF(T_Commission[[#This Row],[COM '#2]]&lt;&gt;"",MAX(T_Commission[[#This Row],[PJ]],T_Commission[[#This Row],[COM '#2]]),IF(T_Commission[[#This Row],[COM '#1]]&lt;&gt;"",MAX(T_Commission[[#This Row],[PJ]],T_Commission[[#This Row],[COM '#1]]),"")),"")</f>
        <v/>
      </c>
      <c r="P244" s="55" t="s">
        <v>115</v>
      </c>
      <c r="Q244" s="55" t="s">
        <v>3277</v>
      </c>
      <c r="R244" s="55" t="s">
        <v>3277</v>
      </c>
      <c r="S244" s="56"/>
      <c r="T244" s="144"/>
    </row>
    <row r="245" spans="1:20" s="93" customFormat="1" ht="30" customHeight="1" x14ac:dyDescent="0.25">
      <c r="A245" s="90">
        <v>108</v>
      </c>
      <c r="B245" s="130" t="str">
        <f>IFERROR(IF(VLOOKUP(T_Commission[[#This Row],[NumL]],T_TraitDi[#Data],COLUMN(T_TraitDi[[#This Row],[Statut]]),FALSE)&lt;&gt;"",VLOOKUP(T_Commission[[#This Row],[NumL]],T_TraitDi[#Data],COLUMN(T_TraitDi[[#This Row],[Statut]]),FALSE),""),"")</f>
        <v/>
      </c>
      <c r="C245" s="19" t="str">
        <f>IFERROR(IF(VLOOKUP(T_Commission[[#This Row],[NumL]],T_suiviDi[#Data],COLUMN(T_suiviDi[Nom]),FALSE)&lt;&gt;"",VLOOKUP(T_Commission[[#This Row],[NumL]],T_suiviDi[#Data],COLUMN(T_suiviDi[Nom]),FALSE),""),"")</f>
        <v/>
      </c>
      <c r="D245" s="19" t="str">
        <f>IFERROR(IF(VLOOKUP(T_Commission[[#This Row],[NumL]],T_suiviDi[#Data],COLUMN(T_suiviDi[Prénom]),FALSE)&lt;&gt;"",VLOOKUP(T_Commission[[#This Row],[NumL]],T_suiviDi[#Data],COLUMN(T_suiviDi[Prénom]),FALSE),""),"")</f>
        <v/>
      </c>
      <c r="E245" s="20" t="str">
        <f>IFERROR(IF(VLOOKUP(T_Commission[[#This Row],[NumL]],T_suiviDi[#Data],COLUMN(T_suiviDi[Email]),FALSE)&lt;&gt;"",VLOOKUP(T_Commission[[#This Row],[NumL]],T_suiviDi[#Data],COLUMN(T_suiviDi[Email]),FALSE),""),"")</f>
        <v/>
      </c>
      <c r="F245" s="274" t="str">
        <f>IFERROR(IF(VLOOKUP(T_Commission[[#This Row],[NumL]],T_suiviDi[#Data],COLUMN(T_suiviDi[[#This Row],[Nom1]]),FALSE)&lt;&gt;"",VLOOKUP(T_Commission[[#This Row],[NumL]],T_suiviDi[#Data],COLUMN(T_suiviDi[[#This Row],[Nom1]]),FALSE),""),"")</f>
        <v/>
      </c>
      <c r="G245" s="274" t="str">
        <f>IFERROR(IF(VLOOKUP(T_Commission[[#This Row],[NumL]],T_suiviDi[#Data],COLUMN(T_suiviDi[[#This Row],[Prénom1]]),FALSE)&lt;&gt;"",VLOOKUP(T_Commission[[#This Row],[NumL]],T_suiviDi[#Data],COLUMN(T_suiviDi[[#This Row],[Prénom1]]),FALSE),""),"")</f>
        <v/>
      </c>
      <c r="H245" s="274" t="str">
        <f>IFERROR(IF(VLOOKUP(T_Commission[[#This Row],[NumL]],T_suiviDi[#Data],COLUMN(T_suiviDi[[#This Row],[Email1]]),FALSE)&lt;&gt;"",VLOOKUP(T_Commission[[#This Row],[NumL]],T_suiviDi[#Data],COLUMN(T_suiviDi[[#This Row],[Email1]]),FALSE),""),"")</f>
        <v/>
      </c>
      <c r="I245" s="142" t="str">
        <f>IFERROR(VLOOKUP(T_Commission[[#This Row],[NumL]],T_TraitDi[#Data],COLUMN(T_TraitDi[[#This Row],[CTRL_PJ]]),FALSE),"")</f>
        <v/>
      </c>
      <c r="J245" s="142" t="str">
        <f>IF(T_Commission[[#This Row],[Nom]]&lt;&gt;"",IFERROR(VLOOKUP(T_Commission[[#This Row],[NumL]],T_TraitDi[#Data],COLUMN(T_TraitDi[[#This Row],[C10]]),FALSE),""),"")</f>
        <v/>
      </c>
      <c r="K245" s="142" t="str">
        <f>IFERROR(IF(VLOOKUP(T_Commission[[#This Row],[NumL]],T_suiviDi[#Data],COLUMN(T_suiviDi[[#This Row],[Avis n+1]]),FALSE)&lt;&gt;"",VLOOKUP(A245,T_suiviDi[#Data],COLUMN(T_suiviDi[[#This Row],[Avis n+1]]),FALSE),""),"")</f>
        <v/>
      </c>
      <c r="L245" s="142" t="str">
        <f>IFERROR(IF(VLOOKUP(T_Commission[[#This Row],[NumL]],T_suiviDi[#Data],COLUMN(T_suiviDi[[#This Row],[Avis n+2]]),FALSE)&lt;&gt;"",VLOOKUP(T_Commission[[#This Row],[NumL]],T_suiviDi[#Data],COLUMN(T_suiviDi[[#This Row],[Avis n+2]]),FALSE),""),"")</f>
        <v/>
      </c>
      <c r="M245" s="49">
        <v>1</v>
      </c>
      <c r="N245" s="49"/>
      <c r="O245" s="143" t="str">
        <f>IF(T_Commission[[#This Row],[Nom]]&lt;&gt;"",IF(T_Commission[[#This Row],[COM '#2]]&lt;&gt;"",MAX(T_Commission[[#This Row],[PJ]],T_Commission[[#This Row],[COM '#2]]),IF(T_Commission[[#This Row],[COM '#1]]&lt;&gt;"",MAX(T_Commission[[#This Row],[PJ]],T_Commission[[#This Row],[COM '#1]]),"")),"")</f>
        <v/>
      </c>
      <c r="P245" s="55" t="s">
        <v>115</v>
      </c>
      <c r="Q245" s="55" t="s">
        <v>3277</v>
      </c>
      <c r="R245" s="55" t="s">
        <v>3277</v>
      </c>
      <c r="S245" s="56"/>
      <c r="T245" s="144"/>
    </row>
    <row r="246" spans="1:20" s="93" customFormat="1" ht="30" customHeight="1" x14ac:dyDescent="0.25">
      <c r="A246" s="90">
        <v>311</v>
      </c>
      <c r="B246" s="130" t="str">
        <f>IFERROR(IF(VLOOKUP(T_Commission[[#This Row],[NumL]],T_TraitDi[#Data],COLUMN(T_TraitDi[[#This Row],[Statut]]),FALSE)&lt;&gt;"",VLOOKUP(T_Commission[[#This Row],[NumL]],T_TraitDi[#Data],COLUMN(T_TraitDi[[#This Row],[Statut]]),FALSE),""),"")</f>
        <v/>
      </c>
      <c r="C246" s="139" t="str">
        <f>IFERROR(IF(VLOOKUP(T_Commission[[#This Row],[NumL]],T_suiviDi[#Data],COLUMN(T_suiviDi[[#This Row],[Nom]]),FALSE)&lt;&gt;"",VLOOKUP(T_Commission[[#This Row],[NumL]],T_suiviDi[#Data],COLUMN(T_suiviDi[[#This Row],[Nom]]),FALSE),""),"")</f>
        <v/>
      </c>
      <c r="D246" s="139" t="str">
        <f>IFERROR(IF(VLOOKUP(T_Commission[[#This Row],[NumL]],T_suiviDi[#Data],COLUMN(T_suiviDi[[#This Row],[Prénom]]),FALSE)&lt;&gt;"",VLOOKUP(T_Commission[[#This Row],[NumL]],T_suiviDi[#Data],COLUMN(T_suiviDi[[#This Row],[Prénom]]),FALSE),""),"")</f>
        <v/>
      </c>
      <c r="E246" s="140" t="str">
        <f>IFERROR(IF(VLOOKUP(T_Commission[[#This Row],[NumL]],T_suiviDi[#Data],COLUMN(T_suiviDi[[#This Row],[Email]]),FALSE)&lt;&gt;"",VLOOKUP(T_Commission[[#This Row],[NumL]],T_suiviDi[#Data],COLUMN(T_suiviDi[[#This Row],[Email]]),FALSE),""),"")</f>
        <v/>
      </c>
      <c r="F246" s="141" t="str">
        <f>IFERROR(IF(VLOOKUP(T_Commission[[#This Row],[NumL]],T_suiviDi[#Data],COLUMN(T_suiviDi[[#This Row],[Nom1]]),FALSE)&lt;&gt;"",VLOOKUP(T_Commission[[#This Row],[NumL]],T_suiviDi[#Data],COLUMN(T_suiviDi[[#This Row],[Nom1]]),FALSE),""),"")</f>
        <v/>
      </c>
      <c r="G246" s="141" t="str">
        <f>IFERROR(IF(VLOOKUP(T_Commission[[#This Row],[NumL]],T_suiviDi[#Data],COLUMN(T_suiviDi[[#This Row],[Prénom1]]),FALSE)&lt;&gt;"",VLOOKUP(T_Commission[[#This Row],[NumL]],T_suiviDi[#Data],COLUMN(T_suiviDi[[#This Row],[Prénom1]]),FALSE),""),"")</f>
        <v/>
      </c>
      <c r="H246" s="141" t="str">
        <f>IFERROR(IF(VLOOKUP(T_Commission[[#This Row],[NumL]],T_suiviDi[#Data],COLUMN(T_suiviDi[[#This Row],[Email1]]),FALSE)&lt;&gt;"",VLOOKUP(T_Commission[[#This Row],[NumL]],T_suiviDi[#Data],COLUMN(T_suiviDi[[#This Row],[Email1]]),FALSE),""),"")</f>
        <v/>
      </c>
      <c r="I246" s="142" t="str">
        <f>IFERROR(VLOOKUP(T_Commission[[#This Row],[NumL]],T_TraitDi[#Data],COLUMN(T_TraitDi[[#This Row],[CTRL_PJ]]),FALSE),"")</f>
        <v/>
      </c>
      <c r="J246" s="142" t="str">
        <f>IF(C246&lt;&gt;"",IFERROR(VLOOKUP(A246,'2- Traitement des DI'!BV32,FALSE),""),"")</f>
        <v/>
      </c>
      <c r="K246" s="142" t="str">
        <f>IFERROR(IF(VLOOKUP(T_Commission[[#This Row],[NumL]],T_suiviDi[#Data],COLUMN(T_suiviDi[[#This Row],[Avis n+1]]),FALSE)&lt;&gt;"",VLOOKUP(A246,T_suiviDi[#Data],COLUMN(T_suiviDi[[#This Row],[Avis n+1]]),FALSE),""),"")</f>
        <v/>
      </c>
      <c r="L246" s="142" t="str">
        <f>IFERROR(IF(VLOOKUP(A246,ListeDI,27,FALSE)&lt;&gt;"",VLOOKUP(A246,ListeDI,27,FALSE),""),"")</f>
        <v/>
      </c>
      <c r="M246" s="49">
        <v>3</v>
      </c>
      <c r="N246" s="49"/>
      <c r="O246" s="143" t="str">
        <f>IF(C246&lt;&gt;"",IF(N246&lt;&gt;"",MAX(I246,N246),IF(M246&lt;&gt;"",MAX(I246,M246),"")),"")</f>
        <v/>
      </c>
      <c r="P246" s="55" t="s">
        <v>115</v>
      </c>
      <c r="Q246" s="55" t="s">
        <v>3278</v>
      </c>
      <c r="R246" s="55"/>
      <c r="S246" s="56"/>
      <c r="T246" s="144" t="s">
        <v>3616</v>
      </c>
    </row>
    <row r="247" spans="1:20" s="93" customFormat="1" ht="30" customHeight="1" x14ac:dyDescent="0.25">
      <c r="A247" s="90">
        <v>174</v>
      </c>
      <c r="B247" s="130" t="str">
        <f>IFERROR(IF(VLOOKUP(T_Commission[[#This Row],[NumL]],T_TraitDi[#Data],COLUMN(T_TraitDi[[#This Row],[Statut]]),FALSE)&lt;&gt;"",VLOOKUP(T_Commission[[#This Row],[NumL]],T_TraitDi[#Data],COLUMN(T_TraitDi[[#This Row],[Statut]]),FALSE),""),"")</f>
        <v/>
      </c>
      <c r="C247" s="19" t="str">
        <f>IFERROR(IF(VLOOKUP(T_Commission[[#This Row],[NumL]],T_suiviDi[#Data],COLUMN(T_suiviDi[Nom]),FALSE)&lt;&gt;"",VLOOKUP(T_Commission[[#This Row],[NumL]],T_suiviDi[#Data],COLUMN(T_suiviDi[Nom]),FALSE),""),"")</f>
        <v/>
      </c>
      <c r="D247" s="19" t="str">
        <f>IFERROR(IF(VLOOKUP(T_Commission[[#This Row],[NumL]],T_suiviDi[#Data],COLUMN(T_suiviDi[Prénom]),FALSE)&lt;&gt;"",VLOOKUP(T_Commission[[#This Row],[NumL]],T_suiviDi[#Data],COLUMN(T_suiviDi[Prénom]),FALSE),""),"")</f>
        <v/>
      </c>
      <c r="E247" s="20" t="str">
        <f>IFERROR(IF(VLOOKUP(T_Commission[[#This Row],[NumL]],T_suiviDi[#Data],COLUMN(T_suiviDi[Email]),FALSE)&lt;&gt;"",VLOOKUP(T_Commission[[#This Row],[NumL]],T_suiviDi[#Data],COLUMN(T_suiviDi[Email]),FALSE),""),"")</f>
        <v/>
      </c>
      <c r="F247" s="274" t="str">
        <f>IFERROR(IF(VLOOKUP(T_Commission[[#This Row],[NumL]],T_suiviDi[#Data],COLUMN(T_suiviDi[[#This Row],[Nom1]]),FALSE)&lt;&gt;"",VLOOKUP(T_Commission[[#This Row],[NumL]],T_suiviDi[#Data],COLUMN(T_suiviDi[[#This Row],[Nom1]]),FALSE),""),"")</f>
        <v/>
      </c>
      <c r="G247" s="274" t="str">
        <f>IFERROR(IF(VLOOKUP(T_Commission[[#This Row],[NumL]],T_suiviDi[#Data],COLUMN(T_suiviDi[[#This Row],[Prénom1]]),FALSE)&lt;&gt;"",VLOOKUP(T_Commission[[#This Row],[NumL]],T_suiviDi[#Data],COLUMN(T_suiviDi[[#This Row],[Prénom1]]),FALSE),""),"")</f>
        <v/>
      </c>
      <c r="H247" s="274" t="str">
        <f>IFERROR(IF(VLOOKUP(T_Commission[[#This Row],[NumL]],T_suiviDi[#Data],COLUMN(T_suiviDi[[#This Row],[Email1]]),FALSE)&lt;&gt;"",VLOOKUP(T_Commission[[#This Row],[NumL]],T_suiviDi[#Data],COLUMN(T_suiviDi[[#This Row],[Email1]]),FALSE),""),"")</f>
        <v/>
      </c>
      <c r="I247" s="142" t="str">
        <f>IFERROR(VLOOKUP(T_Commission[[#This Row],[NumL]],T_TraitDi[#Data],COLUMN(T_TraitDi[[#This Row],[CTRL_PJ]]),FALSE),"")</f>
        <v/>
      </c>
      <c r="J247" s="142" t="str">
        <f>IF(T_Commission[[#This Row],[Nom]]&lt;&gt;"",IFERROR(VLOOKUP(T_Commission[[#This Row],[NumL]],T_TraitDi[#Data],COLUMN(T_TraitDi[[#This Row],[C10]]),FALSE),""),"")</f>
        <v/>
      </c>
      <c r="K247" s="142" t="str">
        <f>IFERROR(IF(VLOOKUP(T_Commission[[#This Row],[NumL]],T_suiviDi[#Data],COLUMN(T_suiviDi[[#This Row],[Avis n+1]]),FALSE)&lt;&gt;"",VLOOKUP(A247,T_suiviDi[#Data],COLUMN(T_suiviDi[[#This Row],[Avis n+1]]),FALSE),""),"")</f>
        <v/>
      </c>
      <c r="L247" s="142" t="str">
        <f>IFERROR(IF(VLOOKUP(T_Commission[[#This Row],[NumL]],T_suiviDi[#Data],COLUMN(T_suiviDi[[#This Row],[Avis n+2]]),FALSE)&lt;&gt;"",VLOOKUP(T_Commission[[#This Row],[NumL]],T_suiviDi[#Data],COLUMN(T_suiviDi[[#This Row],[Avis n+2]]),FALSE),""),"")</f>
        <v/>
      </c>
      <c r="M247" s="49">
        <v>1</v>
      </c>
      <c r="N247" s="49"/>
      <c r="O247" s="143" t="str">
        <f>IF(T_Commission[[#This Row],[Nom]]&lt;&gt;"",IF(T_Commission[[#This Row],[COM '#2]]&lt;&gt;"",MAX(T_Commission[[#This Row],[PJ]],T_Commission[[#This Row],[COM '#2]]),IF(T_Commission[[#This Row],[COM '#1]]&lt;&gt;"",MAX(T_Commission[[#This Row],[PJ]],T_Commission[[#This Row],[COM '#1]]),"")),"")</f>
        <v/>
      </c>
      <c r="P247" s="55" t="s">
        <v>115</v>
      </c>
      <c r="Q247" s="55" t="s">
        <v>3277</v>
      </c>
      <c r="R247" s="55" t="s">
        <v>3277</v>
      </c>
      <c r="S247" s="56"/>
      <c r="T247" s="144"/>
    </row>
    <row r="248" spans="1:20" s="93" customFormat="1" ht="30" customHeight="1" x14ac:dyDescent="0.25">
      <c r="A248" s="90">
        <v>49</v>
      </c>
      <c r="B248" s="130" t="str">
        <f>IFERROR(IF(VLOOKUP(T_Commission[[#This Row],[NumL]],T_TraitDi[#Data],COLUMN(T_TraitDi[[#This Row],[Statut]]),FALSE)&lt;&gt;"",VLOOKUP(T_Commission[[#This Row],[NumL]],T_TraitDi[#Data],COLUMN(T_TraitDi[[#This Row],[Statut]]),FALSE),""),"")</f>
        <v/>
      </c>
      <c r="C248" s="19" t="str">
        <f>IFERROR(IF(VLOOKUP(T_Commission[[#This Row],[NumL]],T_suiviDi[#Data],COLUMN(T_suiviDi[Nom]),FALSE)&lt;&gt;"",VLOOKUP(T_Commission[[#This Row],[NumL]],T_suiviDi[#Data],COLUMN(T_suiviDi[Nom]),FALSE),""),"")</f>
        <v/>
      </c>
      <c r="D248" s="19" t="str">
        <f>IFERROR(IF(VLOOKUP(T_Commission[[#This Row],[NumL]],T_suiviDi[#Data],COLUMN(T_suiviDi[Prénom]),FALSE)&lt;&gt;"",VLOOKUP(T_Commission[[#This Row],[NumL]],T_suiviDi[#Data],COLUMN(T_suiviDi[Prénom]),FALSE),""),"")</f>
        <v/>
      </c>
      <c r="E248" s="20" t="str">
        <f>IFERROR(IF(VLOOKUP(T_Commission[[#This Row],[NumL]],T_suiviDi[#Data],COLUMN(T_suiviDi[Email]),FALSE)&lt;&gt;"",VLOOKUP(T_Commission[[#This Row],[NumL]],T_suiviDi[#Data],COLUMN(T_suiviDi[Email]),FALSE),""),"")</f>
        <v/>
      </c>
      <c r="F248" s="274" t="str">
        <f>IFERROR(IF(VLOOKUP(T_Commission[[#This Row],[NumL]],T_suiviDi[#Data],COLUMN(T_suiviDi[[#This Row],[Nom1]]),FALSE)&lt;&gt;"",VLOOKUP(T_Commission[[#This Row],[NumL]],T_suiviDi[#Data],COLUMN(T_suiviDi[[#This Row],[Nom1]]),FALSE),""),"")</f>
        <v/>
      </c>
      <c r="G248" s="274" t="str">
        <f>IFERROR(IF(VLOOKUP(T_Commission[[#This Row],[NumL]],T_suiviDi[#Data],COLUMN(T_suiviDi[[#This Row],[Prénom1]]),FALSE)&lt;&gt;"",VLOOKUP(T_Commission[[#This Row],[NumL]],T_suiviDi[#Data],COLUMN(T_suiviDi[[#This Row],[Prénom1]]),FALSE),""),"")</f>
        <v/>
      </c>
      <c r="H248" s="274" t="str">
        <f>IFERROR(IF(VLOOKUP(T_Commission[[#This Row],[NumL]],T_suiviDi[#Data],COLUMN(T_suiviDi[[#This Row],[Email1]]),FALSE)&lt;&gt;"",VLOOKUP(T_Commission[[#This Row],[NumL]],T_suiviDi[#Data],COLUMN(T_suiviDi[[#This Row],[Email1]]),FALSE),""),"")</f>
        <v/>
      </c>
      <c r="I248" s="142" t="str">
        <f>IFERROR(VLOOKUP(T_Commission[[#This Row],[NumL]],T_TraitDi[#Data],COLUMN(T_TraitDi[[#This Row],[CTRL_PJ]]),FALSE),"")</f>
        <v/>
      </c>
      <c r="J248" s="142" t="str">
        <f>IF(T_Commission[[#This Row],[Nom]]&lt;&gt;"",IFERROR(VLOOKUP(T_Commission[[#This Row],[NumL]],T_TraitDi[#Data],COLUMN(T_TraitDi[[#This Row],[C10]]),FALSE),""),"")</f>
        <v/>
      </c>
      <c r="K248" s="142" t="str">
        <f>IFERROR(IF(VLOOKUP(T_Commission[[#This Row],[NumL]],T_suiviDi[#Data],COLUMN(T_suiviDi[[#This Row],[Avis n+1]]),FALSE)&lt;&gt;"",VLOOKUP(A248,T_suiviDi[#Data],COLUMN(T_suiviDi[[#This Row],[Avis n+1]]),FALSE),""),"")</f>
        <v/>
      </c>
      <c r="L248" s="142" t="str">
        <f>IFERROR(IF(VLOOKUP(T_Commission[[#This Row],[NumL]],T_suiviDi[#Data],COLUMN(T_suiviDi[[#This Row],[Avis n+2]]),FALSE)&lt;&gt;"",VLOOKUP(T_Commission[[#This Row],[NumL]],T_suiviDi[#Data],COLUMN(T_suiviDi[[#This Row],[Avis n+2]]),FALSE),""),"")</f>
        <v/>
      </c>
      <c r="M248" s="49">
        <v>1</v>
      </c>
      <c r="N248" s="49"/>
      <c r="O248" s="143" t="str">
        <f>IF(T_Commission[[#This Row],[Nom]]&lt;&gt;"",IF(T_Commission[[#This Row],[COM '#2]]&lt;&gt;"",MAX(T_Commission[[#This Row],[PJ]],T_Commission[[#This Row],[COM '#2]]),IF(T_Commission[[#This Row],[COM '#1]]&lt;&gt;"",MAX(T_Commission[[#This Row],[PJ]],T_Commission[[#This Row],[COM '#1]]),"")),"")</f>
        <v/>
      </c>
      <c r="P248" s="55" t="s">
        <v>115</v>
      </c>
      <c r="Q248" s="55" t="s">
        <v>3277</v>
      </c>
      <c r="R248" s="55"/>
      <c r="S248" s="56"/>
      <c r="T248" s="144"/>
    </row>
    <row r="249" spans="1:20" s="93" customFormat="1" ht="30" customHeight="1" x14ac:dyDescent="0.25">
      <c r="A249" s="90">
        <v>246</v>
      </c>
      <c r="B249" s="130" t="str">
        <f>IFERROR(IF(VLOOKUP(T_Commission[[#This Row],[NumL]],T_TraitDi[#Data],COLUMN(T_TraitDi[[#This Row],[Statut]]),FALSE)&lt;&gt;"",VLOOKUP(T_Commission[[#This Row],[NumL]],T_TraitDi[#Data],COLUMN(T_TraitDi[[#This Row],[Statut]]),FALSE),""),"")</f>
        <v/>
      </c>
      <c r="C249" s="19" t="str">
        <f>IFERROR(IF(VLOOKUP(T_Commission[[#This Row],[NumL]],T_suiviDi[#Data],COLUMN(T_suiviDi[Nom]),FALSE)&lt;&gt;"",VLOOKUP(T_Commission[[#This Row],[NumL]],T_suiviDi[#Data],COLUMN(T_suiviDi[Nom]),FALSE),""),"")</f>
        <v/>
      </c>
      <c r="D249" s="19" t="str">
        <f>IFERROR(IF(VLOOKUP(T_Commission[[#This Row],[NumL]],T_suiviDi[#Data],COLUMN(T_suiviDi[Prénom]),FALSE)&lt;&gt;"",VLOOKUP(T_Commission[[#This Row],[NumL]],T_suiviDi[#Data],COLUMN(T_suiviDi[Prénom]),FALSE),""),"")</f>
        <v/>
      </c>
      <c r="E249" s="20" t="str">
        <f>IFERROR(IF(VLOOKUP(T_Commission[[#This Row],[NumL]],T_suiviDi[#Data],COLUMN(T_suiviDi[Email]),FALSE)&lt;&gt;"",VLOOKUP(T_Commission[[#This Row],[NumL]],T_suiviDi[#Data],COLUMN(T_suiviDi[Email]),FALSE),""),"")</f>
        <v/>
      </c>
      <c r="F249" s="274" t="str">
        <f>IFERROR(IF(VLOOKUP(T_Commission[[#This Row],[NumL]],T_suiviDi[#Data],COLUMN(T_suiviDi[[#This Row],[Nom1]]),FALSE)&lt;&gt;"",VLOOKUP(T_Commission[[#This Row],[NumL]],T_suiviDi[#Data],COLUMN(T_suiviDi[[#This Row],[Nom1]]),FALSE),""),"")</f>
        <v/>
      </c>
      <c r="G249" s="274" t="str">
        <f>IFERROR(IF(VLOOKUP(T_Commission[[#This Row],[NumL]],T_suiviDi[#Data],COLUMN(T_suiviDi[[#This Row],[Prénom1]]),FALSE)&lt;&gt;"",VLOOKUP(T_Commission[[#This Row],[NumL]],T_suiviDi[#Data],COLUMN(T_suiviDi[[#This Row],[Prénom1]]),FALSE),""),"")</f>
        <v/>
      </c>
      <c r="H249" s="274" t="str">
        <f>IFERROR(IF(VLOOKUP(T_Commission[[#This Row],[NumL]],T_suiviDi[#Data],COLUMN(T_suiviDi[[#This Row],[Email1]]),FALSE)&lt;&gt;"",VLOOKUP(T_Commission[[#This Row],[NumL]],T_suiviDi[#Data],COLUMN(T_suiviDi[[#This Row],[Email1]]),FALSE),""),"")</f>
        <v/>
      </c>
      <c r="I249" s="142" t="str">
        <f>IFERROR(VLOOKUP(T_Commission[[#This Row],[NumL]],T_TraitDi[#Data],COLUMN(T_TraitDi[[#This Row],[CTRL_PJ]]),FALSE),"")</f>
        <v/>
      </c>
      <c r="J249" s="142" t="str">
        <f>IF(T_Commission[[#This Row],[Nom]]&lt;&gt;"",IFERROR(VLOOKUP(T_Commission[[#This Row],[NumL]],T_TraitDi[#Data],COLUMN(T_TraitDi[[#This Row],[C10]]),FALSE),""),"")</f>
        <v/>
      </c>
      <c r="K249" s="142" t="str">
        <f>IFERROR(IF(VLOOKUP(T_Commission[[#This Row],[NumL]],T_suiviDi[#Data],COLUMN(T_suiviDi[[#This Row],[Avis n+1]]),FALSE)&lt;&gt;"",VLOOKUP(A249,T_suiviDi[#Data],COLUMN(T_suiviDi[[#This Row],[Avis n+1]]),FALSE),""),"")</f>
        <v/>
      </c>
      <c r="L249" s="142" t="str">
        <f>IFERROR(IF(VLOOKUP(T_Commission[[#This Row],[NumL]],T_suiviDi[#Data],COLUMN(T_suiviDi[[#This Row],[Avis n+2]]),FALSE)&lt;&gt;"",VLOOKUP(T_Commission[[#This Row],[NumL]],T_suiviDi[#Data],COLUMN(T_suiviDi[[#This Row],[Avis n+2]]),FALSE),""),"")</f>
        <v/>
      </c>
      <c r="M249" s="49">
        <v>1</v>
      </c>
      <c r="N249" s="49"/>
      <c r="O249" s="143" t="str">
        <f>IF(T_Commission[[#This Row],[Nom]]&lt;&gt;"",IF(T_Commission[[#This Row],[COM '#2]]&lt;&gt;"",MAX(T_Commission[[#This Row],[PJ]],T_Commission[[#This Row],[COM '#2]]),IF(T_Commission[[#This Row],[COM '#1]]&lt;&gt;"",MAX(T_Commission[[#This Row],[PJ]],T_Commission[[#This Row],[COM '#1]]),"")),"")</f>
        <v/>
      </c>
      <c r="P249" s="55" t="s">
        <v>115</v>
      </c>
      <c r="Q249" s="55" t="s">
        <v>3277</v>
      </c>
      <c r="R249" s="55" t="s">
        <v>3277</v>
      </c>
      <c r="S249" s="56"/>
      <c r="T249" s="144"/>
    </row>
    <row r="250" spans="1:20" s="93" customFormat="1" ht="30" customHeight="1" x14ac:dyDescent="0.25">
      <c r="A250" s="90">
        <v>138</v>
      </c>
      <c r="B250" s="130" t="str">
        <f>IFERROR(IF(VLOOKUP(T_Commission[[#This Row],[NumL]],T_TraitDi[#Data],COLUMN(T_TraitDi[[#This Row],[Statut]]),FALSE)&lt;&gt;"",VLOOKUP(T_Commission[[#This Row],[NumL]],T_TraitDi[#Data],COLUMN(T_TraitDi[[#This Row],[Statut]]),FALSE),""),"")</f>
        <v/>
      </c>
      <c r="C250" s="19" t="str">
        <f>IFERROR(IF(VLOOKUP(T_Commission[[#This Row],[NumL]],T_suiviDi[#Data],COLUMN(T_suiviDi[Nom]),FALSE)&lt;&gt;"",VLOOKUP(T_Commission[[#This Row],[NumL]],T_suiviDi[#Data],COLUMN(T_suiviDi[Nom]),FALSE),""),"")</f>
        <v/>
      </c>
      <c r="D250" s="19" t="str">
        <f>IFERROR(IF(VLOOKUP(T_Commission[[#This Row],[NumL]],T_suiviDi[#Data],COLUMN(T_suiviDi[Prénom]),FALSE)&lt;&gt;"",VLOOKUP(T_Commission[[#This Row],[NumL]],T_suiviDi[#Data],COLUMN(T_suiviDi[Prénom]),FALSE),""),"")</f>
        <v/>
      </c>
      <c r="E250" s="20" t="str">
        <f>IFERROR(IF(VLOOKUP(T_Commission[[#This Row],[NumL]],T_suiviDi[#Data],COLUMN(T_suiviDi[Email]),FALSE)&lt;&gt;"",VLOOKUP(T_Commission[[#This Row],[NumL]],T_suiviDi[#Data],COLUMN(T_suiviDi[Email]),FALSE),""),"")</f>
        <v/>
      </c>
      <c r="F250" s="274" t="str">
        <f>IFERROR(IF(VLOOKUP(T_Commission[[#This Row],[NumL]],T_suiviDi[#Data],COLUMN(T_suiviDi[[#This Row],[Nom1]]),FALSE)&lt;&gt;"",VLOOKUP(T_Commission[[#This Row],[NumL]],T_suiviDi[#Data],COLUMN(T_suiviDi[[#This Row],[Nom1]]),FALSE),""),"")</f>
        <v/>
      </c>
      <c r="G250" s="274" t="str">
        <f>IFERROR(IF(VLOOKUP(T_Commission[[#This Row],[NumL]],T_suiviDi[#Data],COLUMN(T_suiviDi[[#This Row],[Prénom1]]),FALSE)&lt;&gt;"",VLOOKUP(T_Commission[[#This Row],[NumL]],T_suiviDi[#Data],COLUMN(T_suiviDi[[#This Row],[Prénom1]]),FALSE),""),"")</f>
        <v/>
      </c>
      <c r="H250" s="274" t="str">
        <f>IFERROR(IF(VLOOKUP(T_Commission[[#This Row],[NumL]],T_suiviDi[#Data],COLUMN(T_suiviDi[[#This Row],[Email1]]),FALSE)&lt;&gt;"",VLOOKUP(T_Commission[[#This Row],[NumL]],T_suiviDi[#Data],COLUMN(T_suiviDi[[#This Row],[Email1]]),FALSE),""),"")</f>
        <v/>
      </c>
      <c r="I250" s="142" t="str">
        <f>IFERROR(VLOOKUP(T_Commission[[#This Row],[NumL]],T_TraitDi[#Data],COLUMN(T_TraitDi[[#This Row],[CTRL_PJ]]),FALSE),"")</f>
        <v/>
      </c>
      <c r="J250" s="142" t="str">
        <f>IF(T_Commission[[#This Row],[Nom]]&lt;&gt;"",IFERROR(VLOOKUP(T_Commission[[#This Row],[NumL]],T_TraitDi[#Data],COLUMN(T_TraitDi[[#This Row],[C10]]),FALSE),""),"")</f>
        <v/>
      </c>
      <c r="K250" s="142" t="str">
        <f>IFERROR(IF(VLOOKUP(T_Commission[[#This Row],[NumL]],T_suiviDi[#Data],COLUMN(T_suiviDi[[#This Row],[Avis n+1]]),FALSE)&lt;&gt;"",VLOOKUP(A250,T_suiviDi[#Data],COLUMN(T_suiviDi[[#This Row],[Avis n+1]]),FALSE),""),"")</f>
        <v/>
      </c>
      <c r="L250" s="142" t="str">
        <f>IFERROR(IF(VLOOKUP(T_Commission[[#This Row],[NumL]],T_suiviDi[#Data],COLUMN(T_suiviDi[[#This Row],[Avis n+2]]),FALSE)&lt;&gt;"",VLOOKUP(T_Commission[[#This Row],[NumL]],T_suiviDi[#Data],COLUMN(T_suiviDi[[#This Row],[Avis n+2]]),FALSE),""),"")</f>
        <v/>
      </c>
      <c r="M250" s="49">
        <v>1</v>
      </c>
      <c r="N250" s="49"/>
      <c r="O250" s="143" t="str">
        <f>IF(T_Commission[[#This Row],[Nom]]&lt;&gt;"",IF(T_Commission[[#This Row],[COM '#2]]&lt;&gt;"",MAX(T_Commission[[#This Row],[PJ]],T_Commission[[#This Row],[COM '#2]]),IF(T_Commission[[#This Row],[COM '#1]]&lt;&gt;"",MAX(T_Commission[[#This Row],[PJ]],T_Commission[[#This Row],[COM '#1]]),"")),"")</f>
        <v/>
      </c>
      <c r="P250" s="55" t="s">
        <v>115</v>
      </c>
      <c r="Q250" s="55" t="s">
        <v>3277</v>
      </c>
      <c r="R250" s="55"/>
      <c r="S250" s="56"/>
      <c r="T250" s="144"/>
    </row>
    <row r="251" spans="1:20" s="93" customFormat="1" ht="30" customHeight="1" x14ac:dyDescent="0.25">
      <c r="A251" s="90">
        <v>85</v>
      </c>
      <c r="B251" s="130" t="str">
        <f>IFERROR(IF(VLOOKUP(T_Commission[[#This Row],[NumL]],T_TraitDi[#Data],COLUMN(T_TraitDi[[#This Row],[Statut]]),FALSE)&lt;&gt;"",VLOOKUP(T_Commission[[#This Row],[NumL]],T_TraitDi[#Data],COLUMN(T_TraitDi[[#This Row],[Statut]]),FALSE),""),"")</f>
        <v/>
      </c>
      <c r="C251" s="19" t="str">
        <f>IFERROR(IF(VLOOKUP(T_Commission[[#This Row],[NumL]],T_suiviDi[#Data],COLUMN(T_suiviDi[Nom]),FALSE)&lt;&gt;"",VLOOKUP(T_Commission[[#This Row],[NumL]],T_suiviDi[#Data],COLUMN(T_suiviDi[Nom]),FALSE),""),"")</f>
        <v/>
      </c>
      <c r="D251" s="19" t="str">
        <f>IFERROR(IF(VLOOKUP(T_Commission[[#This Row],[NumL]],T_suiviDi[#Data],COLUMN(T_suiviDi[Prénom]),FALSE)&lt;&gt;"",VLOOKUP(T_Commission[[#This Row],[NumL]],T_suiviDi[#Data],COLUMN(T_suiviDi[Prénom]),FALSE),""),"")</f>
        <v/>
      </c>
      <c r="E251" s="20" t="str">
        <f>IFERROR(IF(VLOOKUP(T_Commission[[#This Row],[NumL]],T_suiviDi[#Data],COLUMN(T_suiviDi[Email]),FALSE)&lt;&gt;"",VLOOKUP(T_Commission[[#This Row],[NumL]],T_suiviDi[#Data],COLUMN(T_suiviDi[Email]),FALSE),""),"")</f>
        <v/>
      </c>
      <c r="F251" s="274" t="str">
        <f>IFERROR(IF(VLOOKUP(T_Commission[[#This Row],[NumL]],T_suiviDi[#Data],COLUMN(T_suiviDi[[#This Row],[Nom1]]),FALSE)&lt;&gt;"",VLOOKUP(T_Commission[[#This Row],[NumL]],T_suiviDi[#Data],COLUMN(T_suiviDi[[#This Row],[Nom1]]),FALSE),""),"")</f>
        <v/>
      </c>
      <c r="G251" s="274" t="str">
        <f>IFERROR(IF(VLOOKUP(T_Commission[[#This Row],[NumL]],T_suiviDi[#Data],COLUMN(T_suiviDi[[#This Row],[Prénom1]]),FALSE)&lt;&gt;"",VLOOKUP(T_Commission[[#This Row],[NumL]],T_suiviDi[#Data],COLUMN(T_suiviDi[[#This Row],[Prénom1]]),FALSE),""),"")</f>
        <v/>
      </c>
      <c r="H251" s="274" t="str">
        <f>IFERROR(IF(VLOOKUP(T_Commission[[#This Row],[NumL]],T_suiviDi[#Data],COLUMN(T_suiviDi[[#This Row],[Email1]]),FALSE)&lt;&gt;"",VLOOKUP(T_Commission[[#This Row],[NumL]],T_suiviDi[#Data],COLUMN(T_suiviDi[[#This Row],[Email1]]),FALSE),""),"")</f>
        <v/>
      </c>
      <c r="I251" s="142" t="str">
        <f>IFERROR(VLOOKUP(T_Commission[[#This Row],[NumL]],T_TraitDi[#Data],COLUMN(T_TraitDi[[#This Row],[CTRL_PJ]]),FALSE),"")</f>
        <v/>
      </c>
      <c r="J251" s="142" t="str">
        <f>IF(T_Commission[[#This Row],[Nom]]&lt;&gt;"",IFERROR(VLOOKUP(T_Commission[[#This Row],[NumL]],T_TraitDi[#Data],COLUMN(T_TraitDi[[#This Row],[C10]]),FALSE),""),"")</f>
        <v/>
      </c>
      <c r="K251" s="142" t="str">
        <f>IFERROR(IF(VLOOKUP(T_Commission[[#This Row],[NumL]],T_suiviDi[#Data],COLUMN(T_suiviDi[[#This Row],[Avis n+1]]),FALSE)&lt;&gt;"",VLOOKUP(A251,T_suiviDi[#Data],COLUMN(T_suiviDi[[#This Row],[Avis n+1]]),FALSE),""),"")</f>
        <v/>
      </c>
      <c r="L251" s="142" t="str">
        <f>IFERROR(IF(VLOOKUP(T_Commission[[#This Row],[NumL]],T_suiviDi[#Data],COLUMN(T_suiviDi[[#This Row],[Avis n+2]]),FALSE)&lt;&gt;"",VLOOKUP(T_Commission[[#This Row],[NumL]],T_suiviDi[#Data],COLUMN(T_suiviDi[[#This Row],[Avis n+2]]),FALSE),""),"")</f>
        <v/>
      </c>
      <c r="M251" s="49">
        <v>1</v>
      </c>
      <c r="N251" s="49"/>
      <c r="O251" s="143" t="str">
        <f>IF(T_Commission[[#This Row],[Nom]]&lt;&gt;"",IF(T_Commission[[#This Row],[COM '#2]]&lt;&gt;"",MAX(T_Commission[[#This Row],[PJ]],T_Commission[[#This Row],[COM '#2]]),IF(T_Commission[[#This Row],[COM '#1]]&lt;&gt;"",MAX(T_Commission[[#This Row],[PJ]],T_Commission[[#This Row],[COM '#1]]),"")),"")</f>
        <v/>
      </c>
      <c r="P251" s="55" t="s">
        <v>115</v>
      </c>
      <c r="Q251" s="55" t="s">
        <v>3277</v>
      </c>
      <c r="R251" s="55" t="s">
        <v>3277</v>
      </c>
      <c r="S251" s="56"/>
      <c r="T251" s="144"/>
    </row>
    <row r="252" spans="1:20" s="93" customFormat="1" ht="30" customHeight="1" x14ac:dyDescent="0.25">
      <c r="A252" s="90">
        <v>203</v>
      </c>
      <c r="B252" s="130" t="str">
        <f>IFERROR(IF(VLOOKUP(T_Commission[[#This Row],[NumL]],T_TraitDi[#Data],COLUMN(T_TraitDi[[#This Row],[Statut]]),FALSE)&lt;&gt;"",VLOOKUP(T_Commission[[#This Row],[NumL]],T_TraitDi[#Data],COLUMN(T_TraitDi[[#This Row],[Statut]]),FALSE),""),"")</f>
        <v/>
      </c>
      <c r="C252" s="19" t="str">
        <f>IFERROR(IF(VLOOKUP(T_Commission[[#This Row],[NumL]],T_suiviDi[#Data],COLUMN(T_suiviDi[Nom]),FALSE)&lt;&gt;"",VLOOKUP(T_Commission[[#This Row],[NumL]],T_suiviDi[#Data],COLUMN(T_suiviDi[Nom]),FALSE),""),"")</f>
        <v/>
      </c>
      <c r="D252" s="19" t="str">
        <f>IFERROR(IF(VLOOKUP(T_Commission[[#This Row],[NumL]],T_suiviDi[#Data],COLUMN(T_suiviDi[Prénom]),FALSE)&lt;&gt;"",VLOOKUP(T_Commission[[#This Row],[NumL]],T_suiviDi[#Data],COLUMN(T_suiviDi[Prénom]),FALSE),""),"")</f>
        <v/>
      </c>
      <c r="E252" s="20" t="str">
        <f>IFERROR(IF(VLOOKUP(T_Commission[[#This Row],[NumL]],T_suiviDi[#Data],COLUMN(T_suiviDi[Email]),FALSE)&lt;&gt;"",VLOOKUP(T_Commission[[#This Row],[NumL]],T_suiviDi[#Data],COLUMN(T_suiviDi[Email]),FALSE),""),"")</f>
        <v/>
      </c>
      <c r="F252" s="274" t="str">
        <f>IFERROR(IF(VLOOKUP(T_Commission[[#This Row],[NumL]],T_suiviDi[#Data],COLUMN(T_suiviDi[[#This Row],[Nom1]]),FALSE)&lt;&gt;"",VLOOKUP(T_Commission[[#This Row],[NumL]],T_suiviDi[#Data],COLUMN(T_suiviDi[[#This Row],[Nom1]]),FALSE),""),"")</f>
        <v/>
      </c>
      <c r="G252" s="274" t="str">
        <f>IFERROR(IF(VLOOKUP(T_Commission[[#This Row],[NumL]],T_suiviDi[#Data],COLUMN(T_suiviDi[[#This Row],[Prénom1]]),FALSE)&lt;&gt;"",VLOOKUP(T_Commission[[#This Row],[NumL]],T_suiviDi[#Data],COLUMN(T_suiviDi[[#This Row],[Prénom1]]),FALSE),""),"")</f>
        <v/>
      </c>
      <c r="H252" s="274" t="str">
        <f>IFERROR(IF(VLOOKUP(T_Commission[[#This Row],[NumL]],T_suiviDi[#Data],COLUMN(T_suiviDi[[#This Row],[Email1]]),FALSE)&lt;&gt;"",VLOOKUP(T_Commission[[#This Row],[NumL]],T_suiviDi[#Data],COLUMN(T_suiviDi[[#This Row],[Email1]]),FALSE),""),"")</f>
        <v/>
      </c>
      <c r="I252" s="142" t="str">
        <f>IFERROR(VLOOKUP(T_Commission[[#This Row],[NumL]],T_TraitDi[#Data],COLUMN(T_TraitDi[[#This Row],[CTRL_PJ]]),FALSE),"")</f>
        <v/>
      </c>
      <c r="J252" s="142" t="str">
        <f>IF(T_Commission[[#This Row],[Nom]]&lt;&gt;"",IFERROR(VLOOKUP(T_Commission[[#This Row],[NumL]],T_TraitDi[#Data],COLUMN(T_TraitDi[[#This Row],[C10]]),FALSE),""),"")</f>
        <v/>
      </c>
      <c r="K252" s="142" t="str">
        <f>IFERROR(IF(VLOOKUP(T_Commission[[#This Row],[NumL]],T_suiviDi[#Data],COLUMN(T_suiviDi[[#This Row],[Avis n+1]]),FALSE)&lt;&gt;"",VLOOKUP(A252,T_suiviDi[#Data],COLUMN(T_suiviDi[[#This Row],[Avis n+1]]),FALSE),""),"")</f>
        <v/>
      </c>
      <c r="L252" s="142" t="str">
        <f>IFERROR(IF(VLOOKUP(T_Commission[[#This Row],[NumL]],T_suiviDi[#Data],COLUMN(T_suiviDi[[#This Row],[Avis n+2]]),FALSE)&lt;&gt;"",VLOOKUP(T_Commission[[#This Row],[NumL]],T_suiviDi[#Data],COLUMN(T_suiviDi[[#This Row],[Avis n+2]]),FALSE),""),"")</f>
        <v/>
      </c>
      <c r="M252" s="49">
        <v>1</v>
      </c>
      <c r="N252" s="49"/>
      <c r="O252" s="143" t="str">
        <f>IF(T_Commission[[#This Row],[Nom]]&lt;&gt;"",IF(T_Commission[[#This Row],[COM '#2]]&lt;&gt;"",MAX(T_Commission[[#This Row],[PJ]],T_Commission[[#This Row],[COM '#2]]),IF(T_Commission[[#This Row],[COM '#1]]&lt;&gt;"",MAX(T_Commission[[#This Row],[PJ]],T_Commission[[#This Row],[COM '#1]]),"")),"")</f>
        <v/>
      </c>
      <c r="P252" s="55" t="s">
        <v>115</v>
      </c>
      <c r="Q252" s="55" t="s">
        <v>3277</v>
      </c>
      <c r="R252" s="55" t="s">
        <v>3277</v>
      </c>
      <c r="S252" s="56"/>
      <c r="T252" s="144"/>
    </row>
    <row r="253" spans="1:20" s="93" customFormat="1" ht="30" customHeight="1" x14ac:dyDescent="0.25">
      <c r="A253" s="90">
        <v>308</v>
      </c>
      <c r="B253" s="130" t="str">
        <f>IFERROR(IF(VLOOKUP(T_Commission[[#This Row],[NumL]],T_TraitDi[#Data],COLUMN(T_TraitDi[[#This Row],[Statut]]),FALSE)&lt;&gt;"",VLOOKUP(T_Commission[[#This Row],[NumL]],T_TraitDi[#Data],COLUMN(T_TraitDi[[#This Row],[Statut]]),FALSE),""),"")</f>
        <v/>
      </c>
      <c r="C253" s="139" t="str">
        <f>IFERROR(IF(VLOOKUP(T_Commission[[#This Row],[NumL]],T_suiviDi[#Data],COLUMN(T_suiviDi[[#This Row],[Nom]]),FALSE)&lt;&gt;"",VLOOKUP(T_Commission[[#This Row],[NumL]],T_suiviDi[#Data],COLUMN(T_suiviDi[[#This Row],[Nom]]),FALSE),""),"")</f>
        <v/>
      </c>
      <c r="D253" s="139" t="str">
        <f>IFERROR(IF(VLOOKUP(T_Commission[[#This Row],[NumL]],T_suiviDi[#Data],COLUMN(T_suiviDi[[#This Row],[Prénom]]),FALSE)&lt;&gt;"",VLOOKUP(T_Commission[[#This Row],[NumL]],T_suiviDi[#Data],COLUMN(T_suiviDi[[#This Row],[Prénom]]),FALSE),""),"")</f>
        <v/>
      </c>
      <c r="E253" s="140" t="str">
        <f>IFERROR(IF(VLOOKUP(T_Commission[[#This Row],[NumL]],T_suiviDi[#Data],COLUMN(T_suiviDi[[#This Row],[Email]]),FALSE)&lt;&gt;"",VLOOKUP(T_Commission[[#This Row],[NumL]],T_suiviDi[#Data],COLUMN(T_suiviDi[[#This Row],[Email]]),FALSE),""),"")</f>
        <v/>
      </c>
      <c r="F253" s="141" t="str">
        <f>IFERROR(IF(VLOOKUP(T_Commission[[#This Row],[NumL]],T_suiviDi[#Data],COLUMN(T_suiviDi[[#This Row],[Nom1]]),FALSE)&lt;&gt;"",VLOOKUP(T_Commission[[#This Row],[NumL]],T_suiviDi[#Data],COLUMN(T_suiviDi[[#This Row],[Nom1]]),FALSE),""),"")</f>
        <v/>
      </c>
      <c r="G253" s="141" t="str">
        <f>IFERROR(IF(VLOOKUP(T_Commission[[#This Row],[NumL]],T_suiviDi[#Data],COLUMN(T_suiviDi[[#This Row],[Prénom1]]),FALSE)&lt;&gt;"",VLOOKUP(T_Commission[[#This Row],[NumL]],T_suiviDi[#Data],COLUMN(T_suiviDi[[#This Row],[Prénom1]]),FALSE),""),"")</f>
        <v/>
      </c>
      <c r="H253" s="141" t="str">
        <f>IFERROR(IF(VLOOKUP(T_Commission[[#This Row],[NumL]],T_suiviDi[#Data],COLUMN(T_suiviDi[[#This Row],[Email1]]),FALSE)&lt;&gt;"",VLOOKUP(T_Commission[[#This Row],[NumL]],T_suiviDi[#Data],COLUMN(T_suiviDi[[#This Row],[Email1]]),FALSE),""),"")</f>
        <v/>
      </c>
      <c r="I253" s="142" t="str">
        <f>IFERROR(VLOOKUP(T_Commission[[#This Row],[NumL]],T_TraitDi[#Data],COLUMN(T_TraitDi[[#This Row],[CTRL_PJ]]),FALSE),"")</f>
        <v/>
      </c>
      <c r="J253" s="142" t="str">
        <f>IF(C253&lt;&gt;"",IFERROR(VLOOKUP(A253,'2- Traitement des DI'!BV32,FALSE),""),"")</f>
        <v/>
      </c>
      <c r="K253" s="142" t="str">
        <f>IFERROR(IF(VLOOKUP(T_Commission[[#This Row],[NumL]],T_suiviDi[#Data],COLUMN(T_suiviDi[[#This Row],[Avis n+1]]),FALSE)&lt;&gt;"",VLOOKUP(A253,T_suiviDi[#Data],COLUMN(T_suiviDi[[#This Row],[Avis n+1]]),FALSE),""),"")</f>
        <v/>
      </c>
      <c r="L253" s="142" t="str">
        <f>IFERROR(IF(VLOOKUP(A253,ListeDI,27,FALSE)&lt;&gt;"",VLOOKUP(A253,ListeDI,27,FALSE),""),"")</f>
        <v/>
      </c>
      <c r="M253" s="49">
        <v>1</v>
      </c>
      <c r="N253" s="49"/>
      <c r="O253" s="143" t="str">
        <f>IF(C253&lt;&gt;"",IF(N253&lt;&gt;"",MAX(I253,N253),IF(M253&lt;&gt;"",MAX(I253,M253),"")),"")</f>
        <v/>
      </c>
      <c r="P253" s="55" t="s">
        <v>115</v>
      </c>
      <c r="Q253" s="55" t="s">
        <v>3277</v>
      </c>
      <c r="R253" s="55" t="s">
        <v>3277</v>
      </c>
      <c r="S253" s="56"/>
      <c r="T253" s="144"/>
    </row>
    <row r="254" spans="1:20" s="93" customFormat="1" ht="30" customHeight="1" x14ac:dyDescent="0.25">
      <c r="A254" s="90">
        <v>320</v>
      </c>
      <c r="B254" s="130" t="str">
        <f>IFERROR(IF(VLOOKUP(T_Commission[[#This Row],[NumL]],T_TraitDi[#Data],COLUMN(T_TraitDi[[#This Row],[Statut]]),FALSE)&lt;&gt;"",VLOOKUP(T_Commission[[#This Row],[NumL]],T_TraitDi[#Data],COLUMN(T_TraitDi[[#This Row],[Statut]]),FALSE),""),"")</f>
        <v/>
      </c>
      <c r="C254" s="139" t="str">
        <f>IFERROR(IF(VLOOKUP(T_Commission[[#This Row],[NumL]],T_suiviDi[#Data],COLUMN(T_suiviDi[[#This Row],[Nom]]),FALSE)&lt;&gt;"",VLOOKUP(T_Commission[[#This Row],[NumL]],T_suiviDi[#Data],COLUMN(T_suiviDi[[#This Row],[Nom]]),FALSE),""),"")</f>
        <v/>
      </c>
      <c r="D254" s="139" t="str">
        <f>IFERROR(IF(VLOOKUP(T_Commission[[#This Row],[NumL]],T_suiviDi[#Data],COLUMN(T_suiviDi[[#This Row],[Prénom]]),FALSE)&lt;&gt;"",VLOOKUP(T_Commission[[#This Row],[NumL]],T_suiviDi[#Data],COLUMN(T_suiviDi[[#This Row],[Prénom]]),FALSE),""),"")</f>
        <v/>
      </c>
      <c r="E254" s="140" t="str">
        <f>IFERROR(IF(VLOOKUP(T_Commission[[#This Row],[NumL]],T_suiviDi[#Data],COLUMN(T_suiviDi[[#This Row],[Email]]),FALSE)&lt;&gt;"",VLOOKUP(T_Commission[[#This Row],[NumL]],T_suiviDi[#Data],COLUMN(T_suiviDi[[#This Row],[Email]]),FALSE),""),"")</f>
        <v/>
      </c>
      <c r="F254" s="141" t="str">
        <f>IFERROR(IF(VLOOKUP(T_Commission[[#This Row],[NumL]],T_suiviDi[#Data],COLUMN(T_suiviDi[[#This Row],[Nom1]]),FALSE)&lt;&gt;"",VLOOKUP(T_Commission[[#This Row],[NumL]],T_suiviDi[#Data],COLUMN(T_suiviDi[[#This Row],[Nom1]]),FALSE),""),"")</f>
        <v/>
      </c>
      <c r="G254" s="141" t="str">
        <f>IFERROR(IF(VLOOKUP(T_Commission[[#This Row],[NumL]],T_suiviDi[#Data],COLUMN(T_suiviDi[[#This Row],[Prénom1]]),FALSE)&lt;&gt;"",VLOOKUP(T_Commission[[#This Row],[NumL]],T_suiviDi[#Data],COLUMN(T_suiviDi[[#This Row],[Prénom1]]),FALSE),""),"")</f>
        <v/>
      </c>
      <c r="H254" s="141" t="str">
        <f>IFERROR(IF(VLOOKUP(T_Commission[[#This Row],[NumL]],T_suiviDi[#Data],COLUMN(T_suiviDi[[#This Row],[Email1]]),FALSE)&lt;&gt;"",VLOOKUP(T_Commission[[#This Row],[NumL]],T_suiviDi[#Data],COLUMN(T_suiviDi[[#This Row],[Email1]]),FALSE),""),"")</f>
        <v/>
      </c>
      <c r="I254" s="142" t="str">
        <f>IFERROR(VLOOKUP(T_Commission[[#This Row],[NumL]],T_TraitDi[#Data],COLUMN(T_TraitDi[[#This Row],[CTRL_PJ]]),FALSE),"")</f>
        <v/>
      </c>
      <c r="J254" s="142" t="str">
        <f>IF(C254&lt;&gt;"",IFERROR(VLOOKUP(A254,'2- Traitement des DI'!BV32,FALSE),""),"")</f>
        <v/>
      </c>
      <c r="K254" s="142" t="str">
        <f>IFERROR(IF(VLOOKUP(T_Commission[[#This Row],[NumL]],T_suiviDi[#Data],COLUMN(T_suiviDi[[#This Row],[Avis n+1]]),FALSE)&lt;&gt;"",VLOOKUP(A254,T_suiviDi[#Data],COLUMN(T_suiviDi[[#This Row],[Avis n+1]]),FALSE),""),"")</f>
        <v/>
      </c>
      <c r="L254" s="142" t="str">
        <f>IFERROR(IF(VLOOKUP(A254,ListeDI,27,FALSE)&lt;&gt;"",VLOOKUP(A254,ListeDI,27,FALSE),""),"")</f>
        <v/>
      </c>
      <c r="M254" s="49">
        <v>1</v>
      </c>
      <c r="N254" s="49"/>
      <c r="O254" s="143" t="str">
        <f>IF(C254&lt;&gt;"",IF(N254&lt;&gt;"",MAX(I254,N254),IF(M254&lt;&gt;"",MAX(I254,M254),"")),"")</f>
        <v/>
      </c>
      <c r="P254" s="55" t="s">
        <v>115</v>
      </c>
      <c r="Q254" s="55" t="s">
        <v>3277</v>
      </c>
      <c r="R254" s="55"/>
      <c r="S254" s="56"/>
      <c r="T254" s="144"/>
    </row>
    <row r="255" spans="1:20" s="93" customFormat="1" ht="30" customHeight="1" x14ac:dyDescent="0.25">
      <c r="A255" s="90">
        <v>274</v>
      </c>
      <c r="B255" s="130" t="str">
        <f>IFERROR(IF(VLOOKUP(T_Commission[[#This Row],[NumL]],T_TraitDi[#Data],COLUMN(T_TraitDi[[#This Row],[Statut]]),FALSE)&lt;&gt;"",VLOOKUP(T_Commission[[#This Row],[NumL]],T_TraitDi[#Data],COLUMN(T_TraitDi[[#This Row],[Statut]]),FALSE),""),"")</f>
        <v/>
      </c>
      <c r="C255" s="19" t="str">
        <f>IFERROR(IF(VLOOKUP(T_Commission[[#This Row],[NumL]],T_suiviDi[#Data],COLUMN(T_suiviDi[Nom]),FALSE)&lt;&gt;"",VLOOKUP(T_Commission[[#This Row],[NumL]],T_suiviDi[#Data],COLUMN(T_suiviDi[Nom]),FALSE),""),"")</f>
        <v/>
      </c>
      <c r="D255" s="19" t="str">
        <f>IFERROR(IF(VLOOKUP(T_Commission[[#This Row],[NumL]],T_suiviDi[#Data],COLUMN(T_suiviDi[Prénom]),FALSE)&lt;&gt;"",VLOOKUP(T_Commission[[#This Row],[NumL]],T_suiviDi[#Data],COLUMN(T_suiviDi[Prénom]),FALSE),""),"")</f>
        <v/>
      </c>
      <c r="E255" s="20" t="str">
        <f>IFERROR(IF(VLOOKUP(T_Commission[[#This Row],[NumL]],T_suiviDi[#Data],COLUMN(T_suiviDi[Email]),FALSE)&lt;&gt;"",VLOOKUP(T_Commission[[#This Row],[NumL]],T_suiviDi[#Data],COLUMN(T_suiviDi[Email]),FALSE),""),"")</f>
        <v/>
      </c>
      <c r="F255" s="274" t="str">
        <f>IFERROR(IF(VLOOKUP(T_Commission[[#This Row],[NumL]],T_suiviDi[#Data],COLUMN(T_suiviDi[[#This Row],[Nom1]]),FALSE)&lt;&gt;"",VLOOKUP(T_Commission[[#This Row],[NumL]],T_suiviDi[#Data],COLUMN(T_suiviDi[[#This Row],[Nom1]]),FALSE),""),"")</f>
        <v/>
      </c>
      <c r="G255" s="274" t="str">
        <f>IFERROR(IF(VLOOKUP(T_Commission[[#This Row],[NumL]],T_suiviDi[#Data],COLUMN(T_suiviDi[[#This Row],[Prénom1]]),FALSE)&lt;&gt;"",VLOOKUP(T_Commission[[#This Row],[NumL]],T_suiviDi[#Data],COLUMN(T_suiviDi[[#This Row],[Prénom1]]),FALSE),""),"")</f>
        <v/>
      </c>
      <c r="H255" s="274" t="str">
        <f>IFERROR(IF(VLOOKUP(T_Commission[[#This Row],[NumL]],T_suiviDi[#Data],COLUMN(T_suiviDi[[#This Row],[Email1]]),FALSE)&lt;&gt;"",VLOOKUP(T_Commission[[#This Row],[NumL]],T_suiviDi[#Data],COLUMN(T_suiviDi[[#This Row],[Email1]]),FALSE),""),"")</f>
        <v/>
      </c>
      <c r="I255" s="142" t="str">
        <f>IFERROR(VLOOKUP(T_Commission[[#This Row],[NumL]],T_TraitDi[#Data],COLUMN(T_TraitDi[[#This Row],[CTRL_PJ]]),FALSE),"")</f>
        <v/>
      </c>
      <c r="J255" s="142" t="str">
        <f>IF(T_Commission[[#This Row],[Nom]]&lt;&gt;"",IFERROR(VLOOKUP(T_Commission[[#This Row],[NumL]],T_TraitDi[#Data],COLUMN(T_TraitDi[[#This Row],[C10]]),FALSE),""),"")</f>
        <v/>
      </c>
      <c r="K255" s="142" t="str">
        <f>IFERROR(IF(VLOOKUP(T_Commission[[#This Row],[NumL]],T_suiviDi[#Data],COLUMN(T_suiviDi[[#This Row],[Avis n+1]]),FALSE)&lt;&gt;"",VLOOKUP(A255,T_suiviDi[#Data],COLUMN(T_suiviDi[[#This Row],[Avis n+1]]),FALSE),""),"")</f>
        <v/>
      </c>
      <c r="L255" s="142" t="str">
        <f>IFERROR(IF(VLOOKUP(T_Commission[[#This Row],[NumL]],T_suiviDi[#Data],COLUMN(T_suiviDi[[#This Row],[Avis n+2]]),FALSE)&lt;&gt;"",VLOOKUP(T_Commission[[#This Row],[NumL]],T_suiviDi[#Data],COLUMN(T_suiviDi[[#This Row],[Avis n+2]]),FALSE),""),"")</f>
        <v/>
      </c>
      <c r="M255" s="49">
        <v>1</v>
      </c>
      <c r="N255" s="49"/>
      <c r="O255" s="143" t="str">
        <f>IF(T_Commission[[#This Row],[Nom]]&lt;&gt;"",IF(T_Commission[[#This Row],[COM '#2]]&lt;&gt;"",MAX(T_Commission[[#This Row],[PJ]],T_Commission[[#This Row],[COM '#2]]),IF(T_Commission[[#This Row],[COM '#1]]&lt;&gt;"",MAX(T_Commission[[#This Row],[PJ]],T_Commission[[#This Row],[COM '#1]]),"")),"")</f>
        <v/>
      </c>
      <c r="P255" s="55" t="s">
        <v>115</v>
      </c>
      <c r="Q255" s="55" t="s">
        <v>3277</v>
      </c>
      <c r="R255" s="55" t="s">
        <v>3277</v>
      </c>
      <c r="S255" s="56"/>
      <c r="T255" s="144"/>
    </row>
    <row r="256" spans="1:20" s="93" customFormat="1" ht="30" customHeight="1" x14ac:dyDescent="0.25">
      <c r="A256" s="90">
        <v>40</v>
      </c>
      <c r="B256" s="130" t="str">
        <f>IFERROR(IF(VLOOKUP(T_Commission[[#This Row],[NumL]],T_TraitDi[#Data],COLUMN(T_TraitDi[[#This Row],[Statut]]),FALSE)&lt;&gt;"",VLOOKUP(T_Commission[[#This Row],[NumL]],T_TraitDi[#Data],COLUMN(T_TraitDi[[#This Row],[Statut]]),FALSE),""),"")</f>
        <v/>
      </c>
      <c r="C256" s="19" t="str">
        <f>IFERROR(IF(VLOOKUP(T_Commission[[#This Row],[NumL]],T_suiviDi[#Data],COLUMN(T_suiviDi[Nom]),FALSE)&lt;&gt;"",VLOOKUP(T_Commission[[#This Row],[NumL]],T_suiviDi[#Data],COLUMN(T_suiviDi[Nom]),FALSE),""),"")</f>
        <v/>
      </c>
      <c r="D256" s="19" t="str">
        <f>IFERROR(IF(VLOOKUP(T_Commission[[#This Row],[NumL]],T_suiviDi[#Data],COLUMN(T_suiviDi[Prénom]),FALSE)&lt;&gt;"",VLOOKUP(T_Commission[[#This Row],[NumL]],T_suiviDi[#Data],COLUMN(T_suiviDi[Prénom]),FALSE),""),"")</f>
        <v/>
      </c>
      <c r="E256" s="20" t="str">
        <f>IFERROR(IF(VLOOKUP(T_Commission[[#This Row],[NumL]],T_suiviDi[#Data],COLUMN(T_suiviDi[Email]),FALSE)&lt;&gt;"",VLOOKUP(T_Commission[[#This Row],[NumL]],T_suiviDi[#Data],COLUMN(T_suiviDi[Email]),FALSE),""),"")</f>
        <v/>
      </c>
      <c r="F256" s="274" t="str">
        <f>IFERROR(IF(VLOOKUP(T_Commission[[#This Row],[NumL]],T_suiviDi[#Data],COLUMN(T_suiviDi[[#This Row],[Nom1]]),FALSE)&lt;&gt;"",VLOOKUP(T_Commission[[#This Row],[NumL]],T_suiviDi[#Data],COLUMN(T_suiviDi[[#This Row],[Nom1]]),FALSE),""),"")</f>
        <v/>
      </c>
      <c r="G256" s="274" t="str">
        <f>IFERROR(IF(VLOOKUP(T_Commission[[#This Row],[NumL]],T_suiviDi[#Data],COLUMN(T_suiviDi[[#This Row],[Prénom1]]),FALSE)&lt;&gt;"",VLOOKUP(T_Commission[[#This Row],[NumL]],T_suiviDi[#Data],COLUMN(T_suiviDi[[#This Row],[Prénom1]]),FALSE),""),"")</f>
        <v/>
      </c>
      <c r="H256" s="274" t="str">
        <f>IFERROR(IF(VLOOKUP(T_Commission[[#This Row],[NumL]],T_suiviDi[#Data],COLUMN(T_suiviDi[[#This Row],[Email1]]),FALSE)&lt;&gt;"",VLOOKUP(T_Commission[[#This Row],[NumL]],T_suiviDi[#Data],COLUMN(T_suiviDi[[#This Row],[Email1]]),FALSE),""),"")</f>
        <v/>
      </c>
      <c r="I256" s="142" t="str">
        <f>IFERROR(VLOOKUP(T_Commission[[#This Row],[NumL]],T_TraitDi[#Data],COLUMN(T_TraitDi[[#This Row],[CTRL_PJ]]),FALSE),"")</f>
        <v/>
      </c>
      <c r="J256" s="142" t="str">
        <f>IF(T_Commission[[#This Row],[Nom]]&lt;&gt;"",IFERROR(VLOOKUP(T_Commission[[#This Row],[NumL]],T_TraitDi[#Data],COLUMN(T_TraitDi[[#This Row],[C10]]),FALSE),""),"")</f>
        <v/>
      </c>
      <c r="K256" s="142" t="str">
        <f>IFERROR(IF(VLOOKUP(T_Commission[[#This Row],[NumL]],T_suiviDi[#Data],COLUMN(T_suiviDi[[#This Row],[Avis n+1]]),FALSE)&lt;&gt;"",VLOOKUP(A256,T_suiviDi[#Data],COLUMN(T_suiviDi[[#This Row],[Avis n+1]]),FALSE),""),"")</f>
        <v/>
      </c>
      <c r="L256" s="142" t="str">
        <f>IFERROR(IF(VLOOKUP(T_Commission[[#This Row],[NumL]],T_suiviDi[#Data],COLUMN(T_suiviDi[[#This Row],[Avis n+2]]),FALSE)&lt;&gt;"",VLOOKUP(T_Commission[[#This Row],[NumL]],T_suiviDi[#Data],COLUMN(T_suiviDi[[#This Row],[Avis n+2]]),FALSE),""),"")</f>
        <v/>
      </c>
      <c r="M256" s="49">
        <v>1</v>
      </c>
      <c r="N256" s="49"/>
      <c r="O256" s="143" t="str">
        <f>IF(T_Commission[[#This Row],[Nom]]&lt;&gt;"",IF(T_Commission[[#This Row],[COM '#2]]&lt;&gt;"",MAX(T_Commission[[#This Row],[PJ]],T_Commission[[#This Row],[COM '#2]]),IF(T_Commission[[#This Row],[COM '#1]]&lt;&gt;"",MAX(T_Commission[[#This Row],[PJ]],T_Commission[[#This Row],[COM '#1]]),"")),"")</f>
        <v/>
      </c>
      <c r="P256" s="55" t="s">
        <v>115</v>
      </c>
      <c r="Q256" s="55" t="s">
        <v>3277</v>
      </c>
      <c r="R256" s="55" t="s">
        <v>3277</v>
      </c>
      <c r="S256" s="56"/>
      <c r="T256" s="144"/>
    </row>
    <row r="257" spans="1:20" s="93" customFormat="1" ht="30" customHeight="1" x14ac:dyDescent="0.25">
      <c r="A257" s="90">
        <v>318</v>
      </c>
      <c r="B257" s="130" t="str">
        <f>IFERROR(IF(VLOOKUP(T_Commission[[#This Row],[NumL]],T_TraitDi[#Data],COLUMN(T_TraitDi[[#This Row],[Statut]]),FALSE)&lt;&gt;"",VLOOKUP(T_Commission[[#This Row],[NumL]],T_TraitDi[#Data],COLUMN(T_TraitDi[[#This Row],[Statut]]),FALSE),""),"")</f>
        <v/>
      </c>
      <c r="C257" s="139" t="str">
        <f>IFERROR(IF(VLOOKUP(T_Commission[[#This Row],[NumL]],T_suiviDi[#Data],COLUMN(T_suiviDi[[#This Row],[Nom]]),FALSE)&lt;&gt;"",VLOOKUP(T_Commission[[#This Row],[NumL]],T_suiviDi[#Data],COLUMN(T_suiviDi[[#This Row],[Nom]]),FALSE),""),"")</f>
        <v/>
      </c>
      <c r="D257" s="139" t="str">
        <f>IFERROR(IF(VLOOKUP(T_Commission[[#This Row],[NumL]],T_suiviDi[#Data],COLUMN(T_suiviDi[[#This Row],[Prénom]]),FALSE)&lt;&gt;"",VLOOKUP(T_Commission[[#This Row],[NumL]],T_suiviDi[#Data],COLUMN(T_suiviDi[[#This Row],[Prénom]]),FALSE),""),"")</f>
        <v/>
      </c>
      <c r="E257" s="140" t="str">
        <f>IFERROR(IF(VLOOKUP(T_Commission[[#This Row],[NumL]],T_suiviDi[#Data],COLUMN(T_suiviDi[[#This Row],[Email]]),FALSE)&lt;&gt;"",VLOOKUP(T_Commission[[#This Row],[NumL]],T_suiviDi[#Data],COLUMN(T_suiviDi[[#This Row],[Email]]),FALSE),""),"")</f>
        <v/>
      </c>
      <c r="F257" s="141" t="str">
        <f>IFERROR(IF(VLOOKUP(T_Commission[[#This Row],[NumL]],T_suiviDi[#Data],COLUMN(T_suiviDi[[#This Row],[Nom1]]),FALSE)&lt;&gt;"",VLOOKUP(T_Commission[[#This Row],[NumL]],T_suiviDi[#Data],COLUMN(T_suiviDi[[#This Row],[Nom1]]),FALSE),""),"")</f>
        <v/>
      </c>
      <c r="G257" s="141" t="str">
        <f>IFERROR(IF(VLOOKUP(T_Commission[[#This Row],[NumL]],T_suiviDi[#Data],COLUMN(T_suiviDi[[#This Row],[Prénom1]]),FALSE)&lt;&gt;"",VLOOKUP(T_Commission[[#This Row],[NumL]],T_suiviDi[#Data],COLUMN(T_suiviDi[[#This Row],[Prénom1]]),FALSE),""),"")</f>
        <v/>
      </c>
      <c r="H257" s="141" t="str">
        <f>IFERROR(IF(VLOOKUP(T_Commission[[#This Row],[NumL]],T_suiviDi[#Data],COLUMN(T_suiviDi[[#This Row],[Email1]]),FALSE)&lt;&gt;"",VLOOKUP(T_Commission[[#This Row],[NumL]],T_suiviDi[#Data],COLUMN(T_suiviDi[[#This Row],[Email1]]),FALSE),""),"")</f>
        <v/>
      </c>
      <c r="I257" s="142" t="str">
        <f>IFERROR(VLOOKUP(T_Commission[[#This Row],[NumL]],T_TraitDi[#Data],COLUMN(T_TraitDi[[#This Row],[CTRL_PJ]]),FALSE),"")</f>
        <v/>
      </c>
      <c r="J257" s="142" t="str">
        <f>IF(C257&lt;&gt;"",IFERROR(VLOOKUP(A257,'2- Traitement des DI'!BV32,FALSE),""),"")</f>
        <v/>
      </c>
      <c r="K257" s="142" t="str">
        <f>IFERROR(IF(VLOOKUP(T_Commission[[#This Row],[NumL]],T_suiviDi[#Data],COLUMN(T_suiviDi[[#This Row],[Avis n+1]]),FALSE)&lt;&gt;"",VLOOKUP(A257,T_suiviDi[#Data],COLUMN(T_suiviDi[[#This Row],[Avis n+1]]),FALSE),""),"")</f>
        <v/>
      </c>
      <c r="L257" s="142" t="str">
        <f>IFERROR(IF(VLOOKUP(A257,ListeDI,27,FALSE)&lt;&gt;"",VLOOKUP(A257,ListeDI,27,FALSE),""),"")</f>
        <v/>
      </c>
      <c r="M257" s="49">
        <v>1</v>
      </c>
      <c r="N257" s="49"/>
      <c r="O257" s="143" t="str">
        <f>IF(C257&lt;&gt;"",IF(N257&lt;&gt;"",MAX(I257,N257),IF(M257&lt;&gt;"",MAX(I257,M257),"")),"")</f>
        <v/>
      </c>
      <c r="P257" s="55" t="s">
        <v>115</v>
      </c>
      <c r="Q257" s="55" t="s">
        <v>3277</v>
      </c>
      <c r="R257" s="55" t="s">
        <v>3277</v>
      </c>
      <c r="S257" s="56"/>
      <c r="T257" s="144"/>
    </row>
    <row r="258" spans="1:20" s="93" customFormat="1" ht="30" customHeight="1" x14ac:dyDescent="0.25">
      <c r="A258" s="90">
        <v>292</v>
      </c>
      <c r="B258" s="130" t="str">
        <f>IFERROR(IF(VLOOKUP(T_Commission[[#This Row],[NumL]],T_TraitDi[#Data],COLUMN(T_TraitDi[[#This Row],[Statut]]),FALSE)&lt;&gt;"",VLOOKUP(T_Commission[[#This Row],[NumL]],T_TraitDi[#Data],COLUMN(T_TraitDi[[#This Row],[Statut]]),FALSE),""),"")</f>
        <v/>
      </c>
      <c r="C258" s="139" t="str">
        <f>IFERROR(IF(VLOOKUP(T_Commission[[#This Row],[NumL]],T_suiviDi[#Data],COLUMN(T_suiviDi[[#This Row],[Nom]]),FALSE)&lt;&gt;"",VLOOKUP(T_Commission[[#This Row],[NumL]],T_suiviDi[#Data],COLUMN(T_suiviDi[[#This Row],[Nom]]),FALSE),""),"")</f>
        <v/>
      </c>
      <c r="D258" s="139" t="str">
        <f>IFERROR(IF(VLOOKUP(T_Commission[[#This Row],[NumL]],T_suiviDi[#Data],COLUMN(T_suiviDi[[#This Row],[Prénom]]),FALSE)&lt;&gt;"",VLOOKUP(T_Commission[[#This Row],[NumL]],T_suiviDi[#Data],COLUMN(T_suiviDi[[#This Row],[Prénom]]),FALSE),""),"")</f>
        <v/>
      </c>
      <c r="E258" s="140" t="str">
        <f>IFERROR(IF(VLOOKUP(T_Commission[[#This Row],[NumL]],T_suiviDi[#Data],COLUMN(T_suiviDi[[#This Row],[Email]]),FALSE)&lt;&gt;"",VLOOKUP(T_Commission[[#This Row],[NumL]],T_suiviDi[#Data],COLUMN(T_suiviDi[[#This Row],[Email]]),FALSE),""),"")</f>
        <v/>
      </c>
      <c r="F258" s="141" t="str">
        <f>IFERROR(IF(VLOOKUP(T_Commission[[#This Row],[NumL]],T_suiviDi[#Data],COLUMN(T_suiviDi[[#This Row],[Nom1]]),FALSE)&lt;&gt;"",VLOOKUP(T_Commission[[#This Row],[NumL]],T_suiviDi[#Data],COLUMN(T_suiviDi[[#This Row],[Nom1]]),FALSE),""),"")</f>
        <v/>
      </c>
      <c r="G258" s="141" t="str">
        <f>IFERROR(IF(VLOOKUP(T_Commission[[#This Row],[NumL]],T_suiviDi[#Data],COLUMN(T_suiviDi[[#This Row],[Prénom1]]),FALSE)&lt;&gt;"",VLOOKUP(T_Commission[[#This Row],[NumL]],T_suiviDi[#Data],COLUMN(T_suiviDi[[#This Row],[Prénom1]]),FALSE),""),"")</f>
        <v/>
      </c>
      <c r="H258" s="141" t="str">
        <f>IFERROR(IF(VLOOKUP(T_Commission[[#This Row],[NumL]],T_suiviDi[#Data],COLUMN(T_suiviDi[[#This Row],[Email1]]),FALSE)&lt;&gt;"",VLOOKUP(T_Commission[[#This Row],[NumL]],T_suiviDi[#Data],COLUMN(T_suiviDi[[#This Row],[Email1]]),FALSE),""),"")</f>
        <v/>
      </c>
      <c r="I258" s="142" t="str">
        <f>IFERROR(VLOOKUP(T_Commission[[#This Row],[NumL]],T_TraitDi[#Data],COLUMN(T_TraitDi[[#This Row],[CTRL_PJ]]),FALSE),"")</f>
        <v/>
      </c>
      <c r="J258" s="142" t="str">
        <f>IF(C258&lt;&gt;"",IFERROR(VLOOKUP(A258,'2- Traitement des DI'!BV32,FALSE),""),"")</f>
        <v/>
      </c>
      <c r="K258" s="142" t="str">
        <f>IFERROR(IF(VLOOKUP(T_Commission[[#This Row],[NumL]],T_suiviDi[#Data],COLUMN(T_suiviDi[[#This Row],[Avis n+1]]),FALSE)&lt;&gt;"",VLOOKUP(A258,T_suiviDi[#Data],COLUMN(T_suiviDi[[#This Row],[Avis n+1]]),FALSE),""),"")</f>
        <v/>
      </c>
      <c r="L258" s="142" t="str">
        <f>IFERROR(IF(VLOOKUP(A258,ListeDI,27,FALSE)&lt;&gt;"",VLOOKUP(A258,ListeDI,27,FALSE),""),"")</f>
        <v/>
      </c>
      <c r="M258" s="49">
        <v>1</v>
      </c>
      <c r="N258" s="49"/>
      <c r="O258" s="143" t="str">
        <f>IF(C258&lt;&gt;"",IF(N258&lt;&gt;"",MAX(I258,N258),IF(M258&lt;&gt;"",MAX(I258,M258),"")),"")</f>
        <v/>
      </c>
      <c r="P258" s="55" t="s">
        <v>115</v>
      </c>
      <c r="Q258" s="55" t="s">
        <v>3277</v>
      </c>
      <c r="R258" s="55" t="s">
        <v>3277</v>
      </c>
      <c r="S258" s="56"/>
      <c r="T258" s="144"/>
    </row>
    <row r="259" spans="1:20" s="93" customFormat="1" ht="30" customHeight="1" x14ac:dyDescent="0.25">
      <c r="A259" s="90">
        <v>20</v>
      </c>
      <c r="B259" s="130" t="str">
        <f>IFERROR(IF(VLOOKUP(T_Commission[[#This Row],[NumL]],T_TraitDi[#Data],COLUMN(T_TraitDi[[#This Row],[Statut]]),FALSE)&lt;&gt;"",VLOOKUP(T_Commission[[#This Row],[NumL]],T_TraitDi[#Data],COLUMN(T_TraitDi[[#This Row],[Statut]]),FALSE),""),"")</f>
        <v/>
      </c>
      <c r="C259" s="19" t="str">
        <f>IFERROR(IF(VLOOKUP(T_Commission[[#This Row],[NumL]],T_suiviDi[#Data],COLUMN(T_suiviDi[Nom]),FALSE)&lt;&gt;"",VLOOKUP(T_Commission[[#This Row],[NumL]],T_suiviDi[#Data],COLUMN(T_suiviDi[Nom]),FALSE),""),"")</f>
        <v/>
      </c>
      <c r="D259" s="19" t="str">
        <f>IFERROR(IF(VLOOKUP(T_Commission[[#This Row],[NumL]],T_suiviDi[#Data],COLUMN(T_suiviDi[Prénom]),FALSE)&lt;&gt;"",VLOOKUP(T_Commission[[#This Row],[NumL]],T_suiviDi[#Data],COLUMN(T_suiviDi[Prénom]),FALSE),""),"")</f>
        <v/>
      </c>
      <c r="E259" s="20" t="str">
        <f>IFERROR(IF(VLOOKUP(T_Commission[[#This Row],[NumL]],T_suiviDi[#Data],COLUMN(T_suiviDi[Email]),FALSE)&lt;&gt;"",VLOOKUP(T_Commission[[#This Row],[NumL]],T_suiviDi[#Data],COLUMN(T_suiviDi[Email]),FALSE),""),"")</f>
        <v/>
      </c>
      <c r="F259" s="274" t="str">
        <f>IFERROR(IF(VLOOKUP(T_Commission[[#This Row],[NumL]],T_suiviDi[#Data],COLUMN(T_suiviDi[[#This Row],[Nom1]]),FALSE)&lt;&gt;"",VLOOKUP(T_Commission[[#This Row],[NumL]],T_suiviDi[#Data],COLUMN(T_suiviDi[[#This Row],[Nom1]]),FALSE),""),"")</f>
        <v/>
      </c>
      <c r="G259" s="274" t="str">
        <f>IFERROR(IF(VLOOKUP(T_Commission[[#This Row],[NumL]],T_suiviDi[#Data],COLUMN(T_suiviDi[[#This Row],[Prénom1]]),FALSE)&lt;&gt;"",VLOOKUP(T_Commission[[#This Row],[NumL]],T_suiviDi[#Data],COLUMN(T_suiviDi[[#This Row],[Prénom1]]),FALSE),""),"")</f>
        <v/>
      </c>
      <c r="H259" s="274" t="str">
        <f>IFERROR(IF(VLOOKUP(T_Commission[[#This Row],[NumL]],T_suiviDi[#Data],COLUMN(T_suiviDi[[#This Row],[Email1]]),FALSE)&lt;&gt;"",VLOOKUP(T_Commission[[#This Row],[NumL]],T_suiviDi[#Data],COLUMN(T_suiviDi[[#This Row],[Email1]]),FALSE),""),"")</f>
        <v/>
      </c>
      <c r="I259" s="142" t="str">
        <f>IFERROR(VLOOKUP(T_Commission[[#This Row],[NumL]],T_TraitDi[#Data],COLUMN(T_TraitDi[[#This Row],[CTRL_PJ]]),FALSE),"")</f>
        <v/>
      </c>
      <c r="J259" s="142" t="str">
        <f>IF(T_Commission[[#This Row],[Nom]]&lt;&gt;"",IFERROR(VLOOKUP(T_Commission[[#This Row],[NumL]],T_TraitDi[#Data],COLUMN(T_TraitDi[[#This Row],[C10]]),FALSE),""),"")</f>
        <v/>
      </c>
      <c r="K259" s="142" t="str">
        <f>IFERROR(IF(VLOOKUP(T_Commission[[#This Row],[NumL]],T_suiviDi[#Data],COLUMN(T_suiviDi[[#This Row],[Avis n+1]]),FALSE)&lt;&gt;"",VLOOKUP(A259,T_suiviDi[#Data],COLUMN(T_suiviDi[[#This Row],[Avis n+1]]),FALSE),""),"")</f>
        <v/>
      </c>
      <c r="L259" s="142" t="str">
        <f>IFERROR(IF(VLOOKUP(T_Commission[[#This Row],[NumL]],T_suiviDi[#Data],COLUMN(T_suiviDi[[#This Row],[Avis n+2]]),FALSE)&lt;&gt;"",VLOOKUP(T_Commission[[#This Row],[NumL]],T_suiviDi[#Data],COLUMN(T_suiviDi[[#This Row],[Avis n+2]]),FALSE),""),"")</f>
        <v/>
      </c>
      <c r="M259" s="49">
        <v>1</v>
      </c>
      <c r="N259" s="49"/>
      <c r="O259" s="143" t="str">
        <f>IF(T_Commission[[#This Row],[Nom]]&lt;&gt;"",IF(T_Commission[[#This Row],[COM '#2]]&lt;&gt;"",MAX(T_Commission[[#This Row],[PJ]],T_Commission[[#This Row],[COM '#2]]),IF(T_Commission[[#This Row],[COM '#1]]&lt;&gt;"",MAX(T_Commission[[#This Row],[PJ]],T_Commission[[#This Row],[COM '#1]]),"")),"")</f>
        <v/>
      </c>
      <c r="P259" s="55" t="s">
        <v>115</v>
      </c>
      <c r="Q259" s="55" t="s">
        <v>3277</v>
      </c>
      <c r="R259" s="55" t="s">
        <v>3277</v>
      </c>
      <c r="S259" s="56"/>
      <c r="T259" s="144"/>
    </row>
    <row r="260" spans="1:20" s="93" customFormat="1" ht="30" customHeight="1" x14ac:dyDescent="0.25">
      <c r="A260" s="90">
        <v>102</v>
      </c>
      <c r="B260" s="130" t="str">
        <f>IFERROR(IF(VLOOKUP(T_Commission[[#This Row],[NumL]],T_TraitDi[#Data],COLUMN(T_TraitDi[[#This Row],[Statut]]),FALSE)&lt;&gt;"",VLOOKUP(T_Commission[[#This Row],[NumL]],T_TraitDi[#Data],COLUMN(T_TraitDi[[#This Row],[Statut]]),FALSE),""),"")</f>
        <v/>
      </c>
      <c r="C260" s="19" t="str">
        <f>IFERROR(IF(VLOOKUP(T_Commission[[#This Row],[NumL]],T_suiviDi[#Data],COLUMN(T_suiviDi[Nom]),FALSE)&lt;&gt;"",VLOOKUP(T_Commission[[#This Row],[NumL]],T_suiviDi[#Data],COLUMN(T_suiviDi[Nom]),FALSE),""),"")</f>
        <v/>
      </c>
      <c r="D260" s="19" t="str">
        <f>IFERROR(IF(VLOOKUP(T_Commission[[#This Row],[NumL]],T_suiviDi[#Data],COLUMN(T_suiviDi[Prénom]),FALSE)&lt;&gt;"",VLOOKUP(T_Commission[[#This Row],[NumL]],T_suiviDi[#Data],COLUMN(T_suiviDi[Prénom]),FALSE),""),"")</f>
        <v/>
      </c>
      <c r="E260" s="20" t="str">
        <f>IFERROR(IF(VLOOKUP(T_Commission[[#This Row],[NumL]],T_suiviDi[#Data],COLUMN(T_suiviDi[Email]),FALSE)&lt;&gt;"",VLOOKUP(T_Commission[[#This Row],[NumL]],T_suiviDi[#Data],COLUMN(T_suiviDi[Email]),FALSE),""),"")</f>
        <v/>
      </c>
      <c r="F260" s="274" t="str">
        <f>IFERROR(IF(VLOOKUP(T_Commission[[#This Row],[NumL]],T_suiviDi[#Data],COLUMN(T_suiviDi[[#This Row],[Nom1]]),FALSE)&lt;&gt;"",VLOOKUP(T_Commission[[#This Row],[NumL]],T_suiviDi[#Data],COLUMN(T_suiviDi[[#This Row],[Nom1]]),FALSE),""),"")</f>
        <v/>
      </c>
      <c r="G260" s="274" t="str">
        <f>IFERROR(IF(VLOOKUP(T_Commission[[#This Row],[NumL]],T_suiviDi[#Data],COLUMN(T_suiviDi[[#This Row],[Prénom1]]),FALSE)&lt;&gt;"",VLOOKUP(T_Commission[[#This Row],[NumL]],T_suiviDi[#Data],COLUMN(T_suiviDi[[#This Row],[Prénom1]]),FALSE),""),"")</f>
        <v/>
      </c>
      <c r="H260" s="274" t="str">
        <f>IFERROR(IF(VLOOKUP(T_Commission[[#This Row],[NumL]],T_suiviDi[#Data],COLUMN(T_suiviDi[[#This Row],[Email1]]),FALSE)&lt;&gt;"",VLOOKUP(T_Commission[[#This Row],[NumL]],T_suiviDi[#Data],COLUMN(T_suiviDi[[#This Row],[Email1]]),FALSE),""),"")</f>
        <v/>
      </c>
      <c r="I260" s="142" t="str">
        <f>IFERROR(VLOOKUP(T_Commission[[#This Row],[NumL]],T_TraitDi[#Data],COLUMN(T_TraitDi[[#This Row],[CTRL_PJ]]),FALSE),"")</f>
        <v/>
      </c>
      <c r="J260" s="142" t="str">
        <f>IF(T_Commission[[#This Row],[Nom]]&lt;&gt;"",IFERROR(VLOOKUP(T_Commission[[#This Row],[NumL]],T_TraitDi[#Data],COLUMN(T_TraitDi[[#This Row],[C10]]),FALSE),""),"")</f>
        <v/>
      </c>
      <c r="K260" s="142" t="str">
        <f>IFERROR(IF(VLOOKUP(T_Commission[[#This Row],[NumL]],T_suiviDi[#Data],COLUMN(T_suiviDi[[#This Row],[Avis n+1]]),FALSE)&lt;&gt;"",VLOOKUP(A260,T_suiviDi[#Data],COLUMN(T_suiviDi[[#This Row],[Avis n+1]]),FALSE),""),"")</f>
        <v/>
      </c>
      <c r="L260" s="142" t="str">
        <f>IFERROR(IF(VLOOKUP(T_Commission[[#This Row],[NumL]],T_suiviDi[#Data],COLUMN(T_suiviDi[[#This Row],[Avis n+2]]),FALSE)&lt;&gt;"",VLOOKUP(T_Commission[[#This Row],[NumL]],T_suiviDi[#Data],COLUMN(T_suiviDi[[#This Row],[Avis n+2]]),FALSE),""),"")</f>
        <v/>
      </c>
      <c r="M260" s="49">
        <v>1</v>
      </c>
      <c r="N260" s="49"/>
      <c r="O260" s="143" t="str">
        <f>IF(T_Commission[[#This Row],[Nom]]&lt;&gt;"",IF(T_Commission[[#This Row],[COM '#2]]&lt;&gt;"",MAX(T_Commission[[#This Row],[PJ]],T_Commission[[#This Row],[COM '#2]]),IF(T_Commission[[#This Row],[COM '#1]]&lt;&gt;"",MAX(T_Commission[[#This Row],[PJ]],T_Commission[[#This Row],[COM '#1]]),"")),"")</f>
        <v/>
      </c>
      <c r="P260" s="55" t="s">
        <v>115</v>
      </c>
      <c r="Q260" s="55" t="s">
        <v>3277</v>
      </c>
      <c r="R260" s="55" t="s">
        <v>3277</v>
      </c>
      <c r="S260" s="56"/>
      <c r="T260" s="144"/>
    </row>
    <row r="261" spans="1:20" s="93" customFormat="1" ht="30" customHeight="1" x14ac:dyDescent="0.25">
      <c r="A261" s="90">
        <v>104</v>
      </c>
      <c r="B261" s="130" t="str">
        <f>IFERROR(IF(VLOOKUP(T_Commission[[#This Row],[NumL]],T_TraitDi[#Data],COLUMN(T_TraitDi[[#This Row],[Statut]]),FALSE)&lt;&gt;"",VLOOKUP(T_Commission[[#This Row],[NumL]],T_TraitDi[#Data],COLUMN(T_TraitDi[[#This Row],[Statut]]),FALSE),""),"")</f>
        <v/>
      </c>
      <c r="C261" s="19" t="str">
        <f>IFERROR(IF(VLOOKUP(T_Commission[[#This Row],[NumL]],T_suiviDi[#Data],COLUMN(T_suiviDi[Nom]),FALSE)&lt;&gt;"",VLOOKUP(T_Commission[[#This Row],[NumL]],T_suiviDi[#Data],COLUMN(T_suiviDi[Nom]),FALSE),""),"")</f>
        <v/>
      </c>
      <c r="D261" s="19" t="str">
        <f>IFERROR(IF(VLOOKUP(T_Commission[[#This Row],[NumL]],T_suiviDi[#Data],COLUMN(T_suiviDi[Prénom]),FALSE)&lt;&gt;"",VLOOKUP(T_Commission[[#This Row],[NumL]],T_suiviDi[#Data],COLUMN(T_suiviDi[Prénom]),FALSE),""),"")</f>
        <v/>
      </c>
      <c r="E261" s="20" t="str">
        <f>IFERROR(IF(VLOOKUP(T_Commission[[#This Row],[NumL]],T_suiviDi[#Data],COLUMN(T_suiviDi[Email]),FALSE)&lt;&gt;"",VLOOKUP(T_Commission[[#This Row],[NumL]],T_suiviDi[#Data],COLUMN(T_suiviDi[Email]),FALSE),""),"")</f>
        <v/>
      </c>
      <c r="F261" s="274" t="str">
        <f>IFERROR(IF(VLOOKUP(T_Commission[[#This Row],[NumL]],T_suiviDi[#Data],COLUMN(T_suiviDi[[#This Row],[Nom1]]),FALSE)&lt;&gt;"",VLOOKUP(T_Commission[[#This Row],[NumL]],T_suiviDi[#Data],COLUMN(T_suiviDi[[#This Row],[Nom1]]),FALSE),""),"")</f>
        <v/>
      </c>
      <c r="G261" s="274" t="str">
        <f>IFERROR(IF(VLOOKUP(T_Commission[[#This Row],[NumL]],T_suiviDi[#Data],COLUMN(T_suiviDi[[#This Row],[Prénom1]]),FALSE)&lt;&gt;"",VLOOKUP(T_Commission[[#This Row],[NumL]],T_suiviDi[#Data],COLUMN(T_suiviDi[[#This Row],[Prénom1]]),FALSE),""),"")</f>
        <v/>
      </c>
      <c r="H261" s="274" t="str">
        <f>IFERROR(IF(VLOOKUP(T_Commission[[#This Row],[NumL]],T_suiviDi[#Data],COLUMN(T_suiviDi[[#This Row],[Email1]]),FALSE)&lt;&gt;"",VLOOKUP(T_Commission[[#This Row],[NumL]],T_suiviDi[#Data],COLUMN(T_suiviDi[[#This Row],[Email1]]),FALSE),""),"")</f>
        <v/>
      </c>
      <c r="I261" s="142" t="str">
        <f>IFERROR(VLOOKUP(T_Commission[[#This Row],[NumL]],T_TraitDi[#Data],COLUMN(T_TraitDi[[#This Row],[CTRL_PJ]]),FALSE),"")</f>
        <v/>
      </c>
      <c r="J261" s="142" t="str">
        <f>IF(T_Commission[[#This Row],[Nom]]&lt;&gt;"",IFERROR(VLOOKUP(T_Commission[[#This Row],[NumL]],T_TraitDi[#Data],COLUMN(T_TraitDi[[#This Row],[C10]]),FALSE),""),"")</f>
        <v/>
      </c>
      <c r="K261" s="142" t="str">
        <f>IFERROR(IF(VLOOKUP(T_Commission[[#This Row],[NumL]],T_suiviDi[#Data],COLUMN(T_suiviDi[[#This Row],[Avis n+1]]),FALSE)&lt;&gt;"",VLOOKUP(A261,T_suiviDi[#Data],COLUMN(T_suiviDi[[#This Row],[Avis n+1]]),FALSE),""),"")</f>
        <v/>
      </c>
      <c r="L261" s="142" t="str">
        <f>IFERROR(IF(VLOOKUP(T_Commission[[#This Row],[NumL]],T_suiviDi[#Data],COLUMN(T_suiviDi[[#This Row],[Avis n+2]]),FALSE)&lt;&gt;"",VLOOKUP(T_Commission[[#This Row],[NumL]],T_suiviDi[#Data],COLUMN(T_suiviDi[[#This Row],[Avis n+2]]),FALSE),""),"")</f>
        <v/>
      </c>
      <c r="M261" s="49">
        <v>1</v>
      </c>
      <c r="N261" s="49"/>
      <c r="O261" s="143" t="str">
        <f>IF(T_Commission[[#This Row],[Nom]]&lt;&gt;"",IF(T_Commission[[#This Row],[COM '#2]]&lt;&gt;"",MAX(T_Commission[[#This Row],[PJ]],T_Commission[[#This Row],[COM '#2]]),IF(T_Commission[[#This Row],[COM '#1]]&lt;&gt;"",MAX(T_Commission[[#This Row],[PJ]],T_Commission[[#This Row],[COM '#1]]),"")),"")</f>
        <v/>
      </c>
      <c r="P261" s="55" t="s">
        <v>115</v>
      </c>
      <c r="Q261" s="55" t="s">
        <v>3277</v>
      </c>
      <c r="R261" s="55"/>
      <c r="S261" s="56"/>
      <c r="T261" s="144"/>
    </row>
    <row r="262" spans="1:20" s="93" customFormat="1" ht="30" customHeight="1" x14ac:dyDescent="0.25">
      <c r="A262" s="90">
        <v>269</v>
      </c>
      <c r="B262" s="130" t="str">
        <f>IFERROR(IF(VLOOKUP(T_Commission[[#This Row],[NumL]],T_TraitDi[#Data],COLUMN(T_TraitDi[[#This Row],[Statut]]),FALSE)&lt;&gt;"",VLOOKUP(T_Commission[[#This Row],[NumL]],T_TraitDi[#Data],COLUMN(T_TraitDi[[#This Row],[Statut]]),FALSE),""),"")</f>
        <v/>
      </c>
      <c r="C262" s="19" t="str">
        <f>IFERROR(IF(VLOOKUP(T_Commission[[#This Row],[NumL]],T_suiviDi[#Data],COLUMN(T_suiviDi[Nom]),FALSE)&lt;&gt;"",VLOOKUP(T_Commission[[#This Row],[NumL]],T_suiviDi[#Data],COLUMN(T_suiviDi[Nom]),FALSE),""),"")</f>
        <v/>
      </c>
      <c r="D262" s="19" t="str">
        <f>IFERROR(IF(VLOOKUP(T_Commission[[#This Row],[NumL]],T_suiviDi[#Data],COLUMN(T_suiviDi[Prénom]),FALSE)&lt;&gt;"",VLOOKUP(T_Commission[[#This Row],[NumL]],T_suiviDi[#Data],COLUMN(T_suiviDi[Prénom]),FALSE),""),"")</f>
        <v/>
      </c>
      <c r="E262" s="20" t="str">
        <f>IFERROR(IF(VLOOKUP(T_Commission[[#This Row],[NumL]],T_suiviDi[#Data],COLUMN(T_suiviDi[Email]),FALSE)&lt;&gt;"",VLOOKUP(T_Commission[[#This Row],[NumL]],T_suiviDi[#Data],COLUMN(T_suiviDi[Email]),FALSE),""),"")</f>
        <v/>
      </c>
      <c r="F262" s="274" t="str">
        <f>IFERROR(IF(VLOOKUP(T_Commission[[#This Row],[NumL]],T_suiviDi[#Data],COLUMN(T_suiviDi[[#This Row],[Nom1]]),FALSE)&lt;&gt;"",VLOOKUP(T_Commission[[#This Row],[NumL]],T_suiviDi[#Data],COLUMN(T_suiviDi[[#This Row],[Nom1]]),FALSE),""),"")</f>
        <v/>
      </c>
      <c r="G262" s="274" t="str">
        <f>IFERROR(IF(VLOOKUP(T_Commission[[#This Row],[NumL]],T_suiviDi[#Data],COLUMN(T_suiviDi[[#This Row],[Prénom1]]),FALSE)&lt;&gt;"",VLOOKUP(T_Commission[[#This Row],[NumL]],T_suiviDi[#Data],COLUMN(T_suiviDi[[#This Row],[Prénom1]]),FALSE),""),"")</f>
        <v/>
      </c>
      <c r="H262" s="274" t="str">
        <f>IFERROR(IF(VLOOKUP(T_Commission[[#This Row],[NumL]],T_suiviDi[#Data],COLUMN(T_suiviDi[[#This Row],[Email1]]),FALSE)&lt;&gt;"",VLOOKUP(T_Commission[[#This Row],[NumL]],T_suiviDi[#Data],COLUMN(T_suiviDi[[#This Row],[Email1]]),FALSE),""),"")</f>
        <v/>
      </c>
      <c r="I262" s="142" t="str">
        <f>IFERROR(VLOOKUP(T_Commission[[#This Row],[NumL]],T_TraitDi[#Data],COLUMN(T_TraitDi[[#This Row],[CTRL_PJ]]),FALSE),"")</f>
        <v/>
      </c>
      <c r="J262" s="142" t="str">
        <f>IF(T_Commission[[#This Row],[Nom]]&lt;&gt;"",IFERROR(VLOOKUP(T_Commission[[#This Row],[NumL]],T_TraitDi[#Data],COLUMN(T_TraitDi[[#This Row],[C10]]),FALSE),""),"")</f>
        <v/>
      </c>
      <c r="K262" s="142" t="str">
        <f>IFERROR(IF(VLOOKUP(T_Commission[[#This Row],[NumL]],T_suiviDi[#Data],COLUMN(T_suiviDi[[#This Row],[Avis n+1]]),FALSE)&lt;&gt;"",VLOOKUP(A262,T_suiviDi[#Data],COLUMN(T_suiviDi[[#This Row],[Avis n+1]]),FALSE),""),"")</f>
        <v/>
      </c>
      <c r="L262" s="142" t="str">
        <f>IFERROR(IF(VLOOKUP(T_Commission[[#This Row],[NumL]],T_suiviDi[#Data],COLUMN(T_suiviDi[[#This Row],[Avis n+2]]),FALSE)&lt;&gt;"",VLOOKUP(T_Commission[[#This Row],[NumL]],T_suiviDi[#Data],COLUMN(T_suiviDi[[#This Row],[Avis n+2]]),FALSE),""),"")</f>
        <v/>
      </c>
      <c r="M262" s="49">
        <v>1</v>
      </c>
      <c r="N262" s="49"/>
      <c r="O262" s="143" t="str">
        <f>IF(T_Commission[[#This Row],[Nom]]&lt;&gt;"",IF(T_Commission[[#This Row],[COM '#2]]&lt;&gt;"",MAX(T_Commission[[#This Row],[PJ]],T_Commission[[#This Row],[COM '#2]]),IF(T_Commission[[#This Row],[COM '#1]]&lt;&gt;"",MAX(T_Commission[[#This Row],[PJ]],T_Commission[[#This Row],[COM '#1]]),"")),"")</f>
        <v/>
      </c>
      <c r="P262" s="55" t="s">
        <v>115</v>
      </c>
      <c r="Q262" s="55" t="s">
        <v>3277</v>
      </c>
      <c r="R262" s="55" t="s">
        <v>3277</v>
      </c>
      <c r="S262" s="56"/>
      <c r="T262" s="144"/>
    </row>
    <row r="263" spans="1:20" s="93" customFormat="1" ht="30" customHeight="1" x14ac:dyDescent="0.25">
      <c r="A263" s="90">
        <v>249</v>
      </c>
      <c r="B263" s="130" t="str">
        <f>IFERROR(IF(VLOOKUP(T_Commission[[#This Row],[NumL]],T_TraitDi[#Data],COLUMN(T_TraitDi[[#This Row],[Statut]]),FALSE)&lt;&gt;"",VLOOKUP(T_Commission[[#This Row],[NumL]],T_TraitDi[#Data],COLUMN(T_TraitDi[[#This Row],[Statut]]),FALSE),""),"")</f>
        <v/>
      </c>
      <c r="C263" s="19" t="str">
        <f>IFERROR(IF(VLOOKUP(T_Commission[[#This Row],[NumL]],T_suiviDi[#Data],COLUMN(T_suiviDi[Nom]),FALSE)&lt;&gt;"",VLOOKUP(T_Commission[[#This Row],[NumL]],T_suiviDi[#Data],COLUMN(T_suiviDi[Nom]),FALSE),""),"")</f>
        <v/>
      </c>
      <c r="D263" s="19" t="str">
        <f>IFERROR(IF(VLOOKUP(T_Commission[[#This Row],[NumL]],T_suiviDi[#Data],COLUMN(T_suiviDi[Prénom]),FALSE)&lt;&gt;"",VLOOKUP(T_Commission[[#This Row],[NumL]],T_suiviDi[#Data],COLUMN(T_suiviDi[Prénom]),FALSE),""),"")</f>
        <v/>
      </c>
      <c r="E263" s="20" t="str">
        <f>IFERROR(IF(VLOOKUP(T_Commission[[#This Row],[NumL]],T_suiviDi[#Data],COLUMN(T_suiviDi[Email]),FALSE)&lt;&gt;"",VLOOKUP(T_Commission[[#This Row],[NumL]],T_suiviDi[#Data],COLUMN(T_suiviDi[Email]),FALSE),""),"")</f>
        <v/>
      </c>
      <c r="F263" s="274" t="str">
        <f>IFERROR(IF(VLOOKUP(T_Commission[[#This Row],[NumL]],T_suiviDi[#Data],COLUMN(T_suiviDi[[#This Row],[Nom1]]),FALSE)&lt;&gt;"",VLOOKUP(T_Commission[[#This Row],[NumL]],T_suiviDi[#Data],COLUMN(T_suiviDi[[#This Row],[Nom1]]),FALSE),""),"")</f>
        <v/>
      </c>
      <c r="G263" s="274" t="str">
        <f>IFERROR(IF(VLOOKUP(T_Commission[[#This Row],[NumL]],T_suiviDi[#Data],COLUMN(T_suiviDi[[#This Row],[Prénom1]]),FALSE)&lt;&gt;"",VLOOKUP(T_Commission[[#This Row],[NumL]],T_suiviDi[#Data],COLUMN(T_suiviDi[[#This Row],[Prénom1]]),FALSE),""),"")</f>
        <v/>
      </c>
      <c r="H263" s="274" t="str">
        <f>IFERROR(IF(VLOOKUP(T_Commission[[#This Row],[NumL]],T_suiviDi[#Data],COLUMN(T_suiviDi[[#This Row],[Email1]]),FALSE)&lt;&gt;"",VLOOKUP(T_Commission[[#This Row],[NumL]],T_suiviDi[#Data],COLUMN(T_suiviDi[[#This Row],[Email1]]),FALSE),""),"")</f>
        <v/>
      </c>
      <c r="I263" s="142" t="str">
        <f>IFERROR(VLOOKUP(T_Commission[[#This Row],[NumL]],T_TraitDi[#Data],COLUMN(T_TraitDi[[#This Row],[CTRL_PJ]]),FALSE),"")</f>
        <v/>
      </c>
      <c r="J263" s="142" t="str">
        <f>IF(T_Commission[[#This Row],[Nom]]&lt;&gt;"",IFERROR(VLOOKUP(T_Commission[[#This Row],[NumL]],T_TraitDi[#Data],COLUMN(T_TraitDi[[#This Row],[C10]]),FALSE),""),"")</f>
        <v/>
      </c>
      <c r="K263" s="142" t="str">
        <f>IFERROR(IF(VLOOKUP(T_Commission[[#This Row],[NumL]],T_suiviDi[#Data],COLUMN(T_suiviDi[[#This Row],[Avis n+1]]),FALSE)&lt;&gt;"",VLOOKUP(A263,T_suiviDi[#Data],COLUMN(T_suiviDi[[#This Row],[Avis n+1]]),FALSE),""),"")</f>
        <v/>
      </c>
      <c r="L263" s="142" t="str">
        <f>IFERROR(IF(VLOOKUP(T_Commission[[#This Row],[NumL]],T_suiviDi[#Data],COLUMN(T_suiviDi[[#This Row],[Avis n+2]]),FALSE)&lt;&gt;"",VLOOKUP(T_Commission[[#This Row],[NumL]],T_suiviDi[#Data],COLUMN(T_suiviDi[[#This Row],[Avis n+2]]),FALSE),""),"")</f>
        <v/>
      </c>
      <c r="M263" s="49">
        <v>1</v>
      </c>
      <c r="N263" s="49"/>
      <c r="O263" s="143" t="str">
        <f>IF(T_Commission[[#This Row],[Nom]]&lt;&gt;"",IF(T_Commission[[#This Row],[COM '#2]]&lt;&gt;"",MAX(T_Commission[[#This Row],[PJ]],T_Commission[[#This Row],[COM '#2]]),IF(T_Commission[[#This Row],[COM '#1]]&lt;&gt;"",MAX(T_Commission[[#This Row],[PJ]],T_Commission[[#This Row],[COM '#1]]),"")),"")</f>
        <v/>
      </c>
      <c r="P263" s="55" t="s">
        <v>115</v>
      </c>
      <c r="Q263" s="55" t="s">
        <v>3277</v>
      </c>
      <c r="R263" s="55"/>
      <c r="S263" s="56"/>
      <c r="T263" s="144"/>
    </row>
    <row r="264" spans="1:20" s="93" customFormat="1" ht="30" customHeight="1" x14ac:dyDescent="0.25">
      <c r="A264" s="90">
        <v>293</v>
      </c>
      <c r="B264" s="130" t="str">
        <f>IFERROR(IF(VLOOKUP(T_Commission[[#This Row],[NumL]],T_TraitDi[#Data],COLUMN(T_TraitDi[[#This Row],[Statut]]),FALSE)&lt;&gt;"",VLOOKUP(T_Commission[[#This Row],[NumL]],T_TraitDi[#Data],COLUMN(T_TraitDi[[#This Row],[Statut]]),FALSE),""),"")</f>
        <v/>
      </c>
      <c r="C264" s="139" t="str">
        <f>IFERROR(IF(VLOOKUP(T_Commission[[#This Row],[NumL]],T_suiviDi[#Data],COLUMN(T_suiviDi[[#This Row],[Nom]]),FALSE)&lt;&gt;"",VLOOKUP(T_Commission[[#This Row],[NumL]],T_suiviDi[#Data],COLUMN(T_suiviDi[[#This Row],[Nom]]),FALSE),""),"")</f>
        <v/>
      </c>
      <c r="D264" s="139" t="str">
        <f>IFERROR(IF(VLOOKUP(T_Commission[[#This Row],[NumL]],T_suiviDi[#Data],COLUMN(T_suiviDi[[#This Row],[Prénom]]),FALSE)&lt;&gt;"",VLOOKUP(T_Commission[[#This Row],[NumL]],T_suiviDi[#Data],COLUMN(T_suiviDi[[#This Row],[Prénom]]),FALSE),""),"")</f>
        <v/>
      </c>
      <c r="E264" s="140" t="str">
        <f>IFERROR(IF(VLOOKUP(T_Commission[[#This Row],[NumL]],T_suiviDi[#Data],COLUMN(T_suiviDi[[#This Row],[Email]]),FALSE)&lt;&gt;"",VLOOKUP(T_Commission[[#This Row],[NumL]],T_suiviDi[#Data],COLUMN(T_suiviDi[[#This Row],[Email]]),FALSE),""),"")</f>
        <v/>
      </c>
      <c r="F264" s="141" t="str">
        <f>IFERROR(IF(VLOOKUP(T_Commission[[#This Row],[NumL]],T_suiviDi[#Data],COLUMN(T_suiviDi[[#This Row],[Nom1]]),FALSE)&lt;&gt;"",VLOOKUP(T_Commission[[#This Row],[NumL]],T_suiviDi[#Data],COLUMN(T_suiviDi[[#This Row],[Nom1]]),FALSE),""),"")</f>
        <v/>
      </c>
      <c r="G264" s="141" t="str">
        <f>IFERROR(IF(VLOOKUP(T_Commission[[#This Row],[NumL]],T_suiviDi[#Data],COLUMN(T_suiviDi[[#This Row],[Prénom1]]),FALSE)&lt;&gt;"",VLOOKUP(T_Commission[[#This Row],[NumL]],T_suiviDi[#Data],COLUMN(T_suiviDi[[#This Row],[Prénom1]]),FALSE),""),"")</f>
        <v/>
      </c>
      <c r="H264" s="141" t="str">
        <f>IFERROR(IF(VLOOKUP(T_Commission[[#This Row],[NumL]],T_suiviDi[#Data],COLUMN(T_suiviDi[[#This Row],[Email1]]),FALSE)&lt;&gt;"",VLOOKUP(T_Commission[[#This Row],[NumL]],T_suiviDi[#Data],COLUMN(T_suiviDi[[#This Row],[Email1]]),FALSE),""),"")</f>
        <v/>
      </c>
      <c r="I264" s="142" t="str">
        <f>IFERROR(VLOOKUP(T_Commission[[#This Row],[NumL]],T_TraitDi[#Data],COLUMN(T_TraitDi[[#This Row],[CTRL_PJ]]),FALSE),"")</f>
        <v/>
      </c>
      <c r="J264" s="142" t="str">
        <f>IF(C264&lt;&gt;"",IFERROR(VLOOKUP(A264,'2- Traitement des DI'!BV32,FALSE),""),"")</f>
        <v/>
      </c>
      <c r="K264" s="142" t="str">
        <f>IFERROR(IF(VLOOKUP(T_Commission[[#This Row],[NumL]],T_suiviDi[#Data],COLUMN(T_suiviDi[[#This Row],[Avis n+1]]),FALSE)&lt;&gt;"",VLOOKUP(A264,T_suiviDi[#Data],COLUMN(T_suiviDi[[#This Row],[Avis n+1]]),FALSE),""),"")</f>
        <v/>
      </c>
      <c r="L264" s="142" t="str">
        <f>IFERROR(IF(VLOOKUP(A264,ListeDI,27,FALSE)&lt;&gt;"",VLOOKUP(A264,ListeDI,27,FALSE),""),"")</f>
        <v/>
      </c>
      <c r="M264" s="49">
        <v>1</v>
      </c>
      <c r="N264" s="49"/>
      <c r="O264" s="143" t="str">
        <f>IF(C264&lt;&gt;"",IF(N264&lt;&gt;"",MAX(I264,N264),IF(M264&lt;&gt;"",MAX(I264,M264),"")),"")</f>
        <v/>
      </c>
      <c r="P264" s="55" t="s">
        <v>115</v>
      </c>
      <c r="Q264" s="55" t="s">
        <v>3277</v>
      </c>
      <c r="R264" s="55" t="s">
        <v>3277</v>
      </c>
      <c r="S264" s="56"/>
      <c r="T264" s="144"/>
    </row>
    <row r="265" spans="1:20" s="93" customFormat="1" ht="30" customHeight="1" x14ac:dyDescent="0.25">
      <c r="A265" s="90">
        <v>345</v>
      </c>
      <c r="B265" s="130" t="str">
        <f>IFERROR(IF(VLOOKUP(T_Commission[[#This Row],[NumL]],T_TraitDi[#Data],COLUMN(T_TraitDi[[#This Row],[Statut]]),FALSE)&lt;&gt;"",VLOOKUP(T_Commission[[#This Row],[NumL]],T_TraitDi[#Data],COLUMN(T_TraitDi[[#This Row],[Statut]]),FALSE),""),"")</f>
        <v/>
      </c>
      <c r="C265" s="139" t="str">
        <f>IFERROR(IF(VLOOKUP(T_Commission[[#This Row],[NumL]],T_suiviDi[#Data],COLUMN(T_suiviDi[[#This Row],[Nom]]),FALSE)&lt;&gt;"",VLOOKUP(T_Commission[[#This Row],[NumL]],T_suiviDi[#Data],COLUMN(T_suiviDi[[#This Row],[Nom]]),FALSE),""),"")</f>
        <v/>
      </c>
      <c r="D265" s="139" t="str">
        <f>IFERROR(IF(VLOOKUP(T_Commission[[#This Row],[NumL]],T_suiviDi[#Data],COLUMN(T_suiviDi[[#This Row],[Prénom]]),FALSE)&lt;&gt;"",VLOOKUP(T_Commission[[#This Row],[NumL]],T_suiviDi[#Data],COLUMN(T_suiviDi[[#This Row],[Prénom]]),FALSE),""),"")</f>
        <v/>
      </c>
      <c r="E265" s="140" t="str">
        <f>IFERROR(IF(VLOOKUP(T_Commission[[#This Row],[NumL]],T_suiviDi[#Data],COLUMN(T_suiviDi[[#This Row],[Email]]),FALSE)&lt;&gt;"",VLOOKUP(T_Commission[[#This Row],[NumL]],T_suiviDi[#Data],COLUMN(T_suiviDi[[#This Row],[Email]]),FALSE),""),"")</f>
        <v/>
      </c>
      <c r="F265" s="141" t="str">
        <f>IFERROR(IF(VLOOKUP(T_Commission[[#This Row],[NumL]],T_suiviDi[#Data],COLUMN(T_suiviDi[[#This Row],[Nom1]]),FALSE)&lt;&gt;"",VLOOKUP(T_Commission[[#This Row],[NumL]],T_suiviDi[#Data],COLUMN(T_suiviDi[[#This Row],[Nom1]]),FALSE),""),"")</f>
        <v/>
      </c>
      <c r="G265" s="141" t="str">
        <f>IFERROR(IF(VLOOKUP(T_Commission[[#This Row],[NumL]],T_suiviDi[#Data],COLUMN(T_suiviDi[[#This Row],[Prénom1]]),FALSE)&lt;&gt;"",VLOOKUP(T_Commission[[#This Row],[NumL]],T_suiviDi[#Data],COLUMN(T_suiviDi[[#This Row],[Prénom1]]),FALSE),""),"")</f>
        <v/>
      </c>
      <c r="H265" s="141" t="str">
        <f>IFERROR(IF(VLOOKUP(T_Commission[[#This Row],[NumL]],T_suiviDi[#Data],COLUMN(T_suiviDi[[#This Row],[Email1]]),FALSE)&lt;&gt;"",VLOOKUP(T_Commission[[#This Row],[NumL]],T_suiviDi[#Data],COLUMN(T_suiviDi[[#This Row],[Email1]]),FALSE),""),"")</f>
        <v/>
      </c>
      <c r="I265" s="142" t="str">
        <f>IFERROR(VLOOKUP(A265,'2- Traitement des DI'!#REF!,FALSE),"")</f>
        <v/>
      </c>
      <c r="J265" s="142" t="str">
        <f>IF(C265&lt;&gt;"",IFERROR(VLOOKUP(A265,'2- Traitement des DI'!BV32,FALSE),""),"")</f>
        <v/>
      </c>
      <c r="K265" s="142" t="str">
        <f>IFERROR(IF(VLOOKUP(T_Commission[[#This Row],[NumL]],T_suiviDi[#Data],COLUMN(T_suiviDi[[#This Row],[Avis n+1]]),FALSE)&lt;&gt;"",VLOOKUP(A265,T_suiviDi[#Data],COLUMN(T_suiviDi[[#This Row],[Avis n+1]]),FALSE),""),"")</f>
        <v/>
      </c>
      <c r="L265" s="142" t="str">
        <f>IFERROR(IF(VLOOKUP(A265,ListeDI,27,FALSE)&lt;&gt;"",VLOOKUP(A265,ListeDI,27,FALSE),""),"")</f>
        <v/>
      </c>
      <c r="M265" s="49"/>
      <c r="N265" s="49"/>
      <c r="O265" s="143" t="str">
        <f>IF(C265&lt;&gt;"",IF(N265&lt;&gt;"",MAX(I265,N265),IF(M265&lt;&gt;"",MAX(I265,M265),"")),"")</f>
        <v/>
      </c>
      <c r="P265" s="55"/>
      <c r="Q265" s="55"/>
      <c r="R265" s="55"/>
      <c r="S265" s="56"/>
      <c r="T265" s="144"/>
    </row>
    <row r="266" spans="1:20" s="93" customFormat="1" ht="30" customHeight="1" x14ac:dyDescent="0.25">
      <c r="A266" s="90">
        <v>345</v>
      </c>
      <c r="B266" s="130" t="str">
        <f>IFERROR(IF(VLOOKUP(T_Commission[[#This Row],[NumL]],T_TraitDi[#Data],COLUMN(T_TraitDi[[#This Row],[Statut]]),FALSE)&lt;&gt;"",VLOOKUP(T_Commission[[#This Row],[NumL]],T_TraitDi[#Data],COLUMN(T_TraitDi[[#This Row],[Statut]]),FALSE),""),"")</f>
        <v/>
      </c>
      <c r="C266" s="380" t="str">
        <f>IFERROR(IF(VLOOKUP(T_Commission[[#This Row],[NumL]],T_suiviDi[#Data],COLUMN(T_suiviDi[[#This Row],[Nom]]),FALSE)&lt;&gt;"",VLOOKUP(T_Commission[[#This Row],[NumL]],T_suiviDi[#Data],COLUMN(T_suiviDi[[#This Row],[Nom]]),FALSE),""),"")</f>
        <v/>
      </c>
      <c r="D266" s="380" t="str">
        <f>IFERROR(IF(VLOOKUP(T_Commission[[#This Row],[NumL]],T_suiviDi[#Data],COLUMN(T_suiviDi[[#This Row],[Prénom]]),FALSE)&lt;&gt;"",VLOOKUP(T_Commission[[#This Row],[NumL]],T_suiviDi[#Data],COLUMN(T_suiviDi[[#This Row],[Prénom]]),FALSE),""),"")</f>
        <v/>
      </c>
      <c r="E266" s="381" t="str">
        <f>IFERROR(IF(VLOOKUP(T_Commission[[#This Row],[NumL]],T_suiviDi[#Data],COLUMN(T_suiviDi[[#This Row],[Email]]),FALSE)&lt;&gt;"",VLOOKUP(T_Commission[[#This Row],[NumL]],T_suiviDi[#Data],COLUMN(T_suiviDi[[#This Row],[Email]]),FALSE),""),"")</f>
        <v/>
      </c>
      <c r="F266" s="382" t="str">
        <f>IFERROR(IF(VLOOKUP(T_Commission[[#This Row],[NumL]],T_suiviDi[#Data],COLUMN(T_suiviDi[[#This Row],[Nom1]]),FALSE)&lt;&gt;"",VLOOKUP(T_Commission[[#This Row],[NumL]],T_suiviDi[#Data],COLUMN(T_suiviDi[[#This Row],[Nom1]]),FALSE),""),"")</f>
        <v/>
      </c>
      <c r="G266" s="382" t="str">
        <f>IFERROR(IF(VLOOKUP(T_Commission[[#This Row],[NumL]],T_suiviDi[#Data],COLUMN(T_suiviDi[[#This Row],[Prénom1]]),FALSE)&lt;&gt;"",VLOOKUP(T_Commission[[#This Row],[NumL]],T_suiviDi[#Data],COLUMN(T_suiviDi[[#This Row],[Prénom1]]),FALSE),""),"")</f>
        <v/>
      </c>
      <c r="H266" s="382" t="str">
        <f>IFERROR(IF(VLOOKUP(T_Commission[[#This Row],[NumL]],T_suiviDi[#Data],COLUMN(T_suiviDi[[#This Row],[Email1]]),FALSE)&lt;&gt;"",VLOOKUP(T_Commission[[#This Row],[NumL]],T_suiviDi[#Data],COLUMN(T_suiviDi[[#This Row],[Email1]]),FALSE),""),"")</f>
        <v/>
      </c>
      <c r="I266" s="383" t="str">
        <f>IFERROR(VLOOKUP(A266,'2- Traitement des DI'!P383,FALSE),"")</f>
        <v/>
      </c>
      <c r="J266" s="383" t="str">
        <f>IF(C266&lt;&gt;"",IFERROR(VLOOKUP(A266,'2- Traitement des DI'!BV387,FALSE),""),"")</f>
        <v/>
      </c>
      <c r="K266" s="383" t="str">
        <f>IFERROR(IF(VLOOKUP(T_Commission[[#This Row],[NumL]],T_suiviDi[#Data],COLUMN(T_suiviDi[[#This Row],[Avis n+1]]),FALSE)&lt;&gt;"",VLOOKUP(A266,T_suiviDi[#Data],COLUMN(T_suiviDi[[#This Row],[Avis n+1]]),FALSE),""),"")</f>
        <v/>
      </c>
      <c r="L266" s="142" t="str">
        <f>IFERROR(IF(VLOOKUP(A266,ListeDI,27,FALSE)&lt;&gt;"",VLOOKUP(A266,ListeDI,27,FALSE),""),"")</f>
        <v/>
      </c>
      <c r="M266" s="49"/>
      <c r="N266" s="49"/>
      <c r="O266" s="143" t="str">
        <f>IF(C266&lt;&gt;"",IF(N266&lt;&gt;"",MAX(I266,N266),IF(M266&lt;&gt;"",MAX(I266,M266),"")),"")</f>
        <v/>
      </c>
      <c r="P266" s="55"/>
      <c r="Q266" s="55"/>
      <c r="R266" s="55"/>
      <c r="S266" s="56"/>
      <c r="T266" s="144"/>
    </row>
    <row r="267" spans="1:20" s="93" customFormat="1" ht="30" customHeight="1" x14ac:dyDescent="0.25">
      <c r="A267" s="90">
        <v>25</v>
      </c>
      <c r="B267" s="130" t="str">
        <f>IFERROR(IF(VLOOKUP(T_Commission[[#This Row],[NumL]],T_TraitDi[#Data],COLUMN(T_TraitDi[[#This Row],[Statut]]),FALSE)&lt;&gt;"",VLOOKUP(T_Commission[[#This Row],[NumL]],T_TraitDi[#Data],COLUMN(T_TraitDi[[#This Row],[Statut]]),FALSE),""),"")</f>
        <v/>
      </c>
      <c r="C267" s="19" t="str">
        <f>IFERROR(IF(VLOOKUP(T_Commission[[#This Row],[NumL]],T_suiviDi[#Data],COLUMN(T_suiviDi[Nom]),FALSE)&lt;&gt;"",VLOOKUP(T_Commission[[#This Row],[NumL]],T_suiviDi[#Data],COLUMN(T_suiviDi[Nom]),FALSE),""),"")</f>
        <v/>
      </c>
      <c r="D267" s="19" t="str">
        <f>IFERROR(IF(VLOOKUP(T_Commission[[#This Row],[NumL]],T_suiviDi[#Data],COLUMN(T_suiviDi[Prénom]),FALSE)&lt;&gt;"",VLOOKUP(T_Commission[[#This Row],[NumL]],T_suiviDi[#Data],COLUMN(T_suiviDi[Prénom]),FALSE),""),"")</f>
        <v/>
      </c>
      <c r="E267" s="20" t="str">
        <f>IFERROR(IF(VLOOKUP(T_Commission[[#This Row],[NumL]],T_suiviDi[#Data],COLUMN(T_suiviDi[Email]),FALSE)&lt;&gt;"",VLOOKUP(T_Commission[[#This Row],[NumL]],T_suiviDi[#Data],COLUMN(T_suiviDi[Email]),FALSE),""),"")</f>
        <v/>
      </c>
      <c r="F267" s="274" t="str">
        <f>IFERROR(IF(VLOOKUP(T_Commission[[#This Row],[NumL]],T_suiviDi[#Data],COLUMN(T_suiviDi[[#This Row],[Nom1]]),FALSE)&lt;&gt;"",VLOOKUP(T_Commission[[#This Row],[NumL]],T_suiviDi[#Data],COLUMN(T_suiviDi[[#This Row],[Nom1]]),FALSE),""),"")</f>
        <v/>
      </c>
      <c r="G267" s="274" t="str">
        <f>IFERROR(IF(VLOOKUP(T_Commission[[#This Row],[NumL]],T_suiviDi[#Data],COLUMN(T_suiviDi[[#This Row],[Prénom1]]),FALSE)&lt;&gt;"",VLOOKUP(T_Commission[[#This Row],[NumL]],T_suiviDi[#Data],COLUMN(T_suiviDi[[#This Row],[Prénom1]]),FALSE),""),"")</f>
        <v/>
      </c>
      <c r="H267" s="274" t="str">
        <f>IFERROR(IF(VLOOKUP(T_Commission[[#This Row],[NumL]],T_suiviDi[#Data],COLUMN(T_suiviDi[[#This Row],[Email1]]),FALSE)&lt;&gt;"",VLOOKUP(T_Commission[[#This Row],[NumL]],T_suiviDi[#Data],COLUMN(T_suiviDi[[#This Row],[Email1]]),FALSE),""),"")</f>
        <v/>
      </c>
      <c r="I267" s="142" t="str">
        <f>IFERROR(VLOOKUP(T_Commission[[#This Row],[NumL]],T_TraitDi[#Data],COLUMN(T_TraitDi[[#This Row],[CTRL_PJ]]),FALSE),"")</f>
        <v/>
      </c>
      <c r="J267" s="142" t="str">
        <f>IF(T_Commission[[#This Row],[Nom]]&lt;&gt;"",IFERROR(VLOOKUP(T_Commission[[#This Row],[NumL]],T_TraitDi[#Data],COLUMN(T_TraitDi[[#This Row],[C10]]),FALSE),""),"")</f>
        <v/>
      </c>
      <c r="K267" s="142" t="str">
        <f>IFERROR(IF(VLOOKUP(T_Commission[[#This Row],[NumL]],T_suiviDi[#Data],COLUMN(T_suiviDi[[#This Row],[Avis n+1]]),FALSE)&lt;&gt;"",VLOOKUP(A267,T_suiviDi[#Data],COLUMN(T_suiviDi[[#This Row],[Avis n+1]]),FALSE),""),"")</f>
        <v/>
      </c>
      <c r="L267" s="142" t="str">
        <f>IFERROR(IF(VLOOKUP(T_Commission[[#This Row],[NumL]],T_suiviDi[#Data],COLUMN(T_suiviDi[[#This Row],[Avis n+2]]),FALSE)&lt;&gt;"",VLOOKUP(T_Commission[[#This Row],[NumL]],T_suiviDi[#Data],COLUMN(T_suiviDi[[#This Row],[Avis n+2]]),FALSE),""),"")</f>
        <v/>
      </c>
      <c r="M267" s="49">
        <v>1</v>
      </c>
      <c r="N267" s="49"/>
      <c r="O267" s="143" t="str">
        <f>IF(T_Commission[[#This Row],[Nom]]&lt;&gt;"",IF(T_Commission[[#This Row],[COM '#2]]&lt;&gt;"",MAX(T_Commission[[#This Row],[PJ]],T_Commission[[#This Row],[COM '#2]]),IF(T_Commission[[#This Row],[COM '#1]]&lt;&gt;"",MAX(T_Commission[[#This Row],[PJ]],T_Commission[[#This Row],[COM '#1]]),"")),"")</f>
        <v/>
      </c>
      <c r="P267" s="55" t="s">
        <v>115</v>
      </c>
      <c r="Q267" s="55" t="s">
        <v>3277</v>
      </c>
      <c r="R267" s="55"/>
      <c r="S267" s="56"/>
      <c r="T267" s="144"/>
    </row>
    <row r="268" spans="1:20" s="93" customFormat="1" ht="30" customHeight="1" x14ac:dyDescent="0.25">
      <c r="A268" s="90">
        <v>180</v>
      </c>
      <c r="B268" s="130" t="str">
        <f>IFERROR(IF(VLOOKUP(T_Commission[[#This Row],[NumL]],T_TraitDi[#Data],COLUMN(T_TraitDi[[#This Row],[Statut]]),FALSE)&lt;&gt;"",VLOOKUP(T_Commission[[#This Row],[NumL]],T_TraitDi[#Data],COLUMN(T_TraitDi[[#This Row],[Statut]]),FALSE),""),"")</f>
        <v/>
      </c>
      <c r="C268" s="19" t="str">
        <f>IFERROR(IF(VLOOKUP(T_Commission[[#This Row],[NumL]],T_suiviDi[#Data],COLUMN(T_suiviDi[Nom]),FALSE)&lt;&gt;"",VLOOKUP(T_Commission[[#This Row],[NumL]],T_suiviDi[#Data],COLUMN(T_suiviDi[Nom]),FALSE),""),"")</f>
        <v/>
      </c>
      <c r="D268" s="19" t="str">
        <f>IFERROR(IF(VLOOKUP(T_Commission[[#This Row],[NumL]],T_suiviDi[#Data],COLUMN(T_suiviDi[Prénom]),FALSE)&lt;&gt;"",VLOOKUP(T_Commission[[#This Row],[NumL]],T_suiviDi[#Data],COLUMN(T_suiviDi[Prénom]),FALSE),""),"")</f>
        <v/>
      </c>
      <c r="E268" s="20" t="str">
        <f>IFERROR(IF(VLOOKUP(T_Commission[[#This Row],[NumL]],T_suiviDi[#Data],COLUMN(T_suiviDi[Email]),FALSE)&lt;&gt;"",VLOOKUP(T_Commission[[#This Row],[NumL]],T_suiviDi[#Data],COLUMN(T_suiviDi[Email]),FALSE),""),"")</f>
        <v/>
      </c>
      <c r="F268" s="274" t="str">
        <f>IFERROR(IF(VLOOKUP(T_Commission[[#This Row],[NumL]],T_suiviDi[#Data],COLUMN(T_suiviDi[[#This Row],[Nom1]]),FALSE)&lt;&gt;"",VLOOKUP(T_Commission[[#This Row],[NumL]],T_suiviDi[#Data],COLUMN(T_suiviDi[[#This Row],[Nom1]]),FALSE),""),"")</f>
        <v/>
      </c>
      <c r="G268" s="274" t="str">
        <f>IFERROR(IF(VLOOKUP(T_Commission[[#This Row],[NumL]],T_suiviDi[#Data],COLUMN(T_suiviDi[[#This Row],[Prénom1]]),FALSE)&lt;&gt;"",VLOOKUP(T_Commission[[#This Row],[NumL]],T_suiviDi[#Data],COLUMN(T_suiviDi[[#This Row],[Prénom1]]),FALSE),""),"")</f>
        <v/>
      </c>
      <c r="H268" s="274" t="str">
        <f>IFERROR(IF(VLOOKUP(T_Commission[[#This Row],[NumL]],T_suiviDi[#Data],COLUMN(T_suiviDi[[#This Row],[Email1]]),FALSE)&lt;&gt;"",VLOOKUP(T_Commission[[#This Row],[NumL]],T_suiviDi[#Data],COLUMN(T_suiviDi[[#This Row],[Email1]]),FALSE),""),"")</f>
        <v/>
      </c>
      <c r="I268" s="142" t="str">
        <f>IFERROR(VLOOKUP(T_Commission[[#This Row],[NumL]],T_TraitDi[#Data],COLUMN(T_TraitDi[[#This Row],[CTRL_PJ]]),FALSE),"")</f>
        <v/>
      </c>
      <c r="J268" s="142" t="str">
        <f>IF(T_Commission[[#This Row],[Nom]]&lt;&gt;"",IFERROR(VLOOKUP(T_Commission[[#This Row],[NumL]],T_TraitDi[#Data],COLUMN(T_TraitDi[[#This Row],[C10]]),FALSE),""),"")</f>
        <v/>
      </c>
      <c r="K268" s="142" t="str">
        <f>IFERROR(IF(VLOOKUP(T_Commission[[#This Row],[NumL]],T_suiviDi[#Data],COLUMN(T_suiviDi[[#This Row],[Avis n+1]]),FALSE)&lt;&gt;"",VLOOKUP(A268,T_suiviDi[#Data],COLUMN(T_suiviDi[[#This Row],[Avis n+1]]),FALSE),""),"")</f>
        <v/>
      </c>
      <c r="L268" s="142" t="str">
        <f>IFERROR(IF(VLOOKUP(T_Commission[[#This Row],[NumL]],T_suiviDi[#Data],COLUMN(T_suiviDi[[#This Row],[Avis n+2]]),FALSE)&lt;&gt;"",VLOOKUP(T_Commission[[#This Row],[NumL]],T_suiviDi[#Data],COLUMN(T_suiviDi[[#This Row],[Avis n+2]]),FALSE),""),"")</f>
        <v/>
      </c>
      <c r="M268" s="49">
        <v>1</v>
      </c>
      <c r="N268" s="49"/>
      <c r="O268" s="143" t="str">
        <f>IF(T_Commission[[#This Row],[Nom]]&lt;&gt;"",IF(T_Commission[[#This Row],[COM '#2]]&lt;&gt;"",MAX(T_Commission[[#This Row],[PJ]],T_Commission[[#This Row],[COM '#2]]),IF(T_Commission[[#This Row],[COM '#1]]&lt;&gt;"",MAX(T_Commission[[#This Row],[PJ]],T_Commission[[#This Row],[COM '#1]]),"")),"")</f>
        <v/>
      </c>
      <c r="P268" s="55" t="s">
        <v>115</v>
      </c>
      <c r="Q268" s="55" t="s">
        <v>3277</v>
      </c>
      <c r="R268" s="55" t="s">
        <v>3277</v>
      </c>
      <c r="S268" s="56"/>
      <c r="T268" s="144"/>
    </row>
    <row r="269" spans="1:20" s="93" customFormat="1" ht="30" customHeight="1" x14ac:dyDescent="0.25">
      <c r="A269" s="90">
        <v>117</v>
      </c>
      <c r="B269" s="130" t="str">
        <f>IFERROR(IF(VLOOKUP(T_Commission[[#This Row],[NumL]],T_TraitDi[#Data],COLUMN(T_TraitDi[[#This Row],[Statut]]),FALSE)&lt;&gt;"",VLOOKUP(T_Commission[[#This Row],[NumL]],T_TraitDi[#Data],COLUMN(T_TraitDi[[#This Row],[Statut]]),FALSE),""),"")</f>
        <v/>
      </c>
      <c r="C269" s="19" t="str">
        <f>IFERROR(IF(VLOOKUP(T_Commission[[#This Row],[NumL]],T_suiviDi[#Data],COLUMN(T_suiviDi[Nom]),FALSE)&lt;&gt;"",VLOOKUP(T_Commission[[#This Row],[NumL]],T_suiviDi[#Data],COLUMN(T_suiviDi[Nom]),FALSE),""),"")</f>
        <v/>
      </c>
      <c r="D269" s="19" t="str">
        <f>IFERROR(IF(VLOOKUP(T_Commission[[#This Row],[NumL]],T_suiviDi[#Data],COLUMN(T_suiviDi[Prénom]),FALSE)&lt;&gt;"",VLOOKUP(T_Commission[[#This Row],[NumL]],T_suiviDi[#Data],COLUMN(T_suiviDi[Prénom]),FALSE),""),"")</f>
        <v/>
      </c>
      <c r="E269" s="20" t="str">
        <f>IFERROR(IF(VLOOKUP(T_Commission[[#This Row],[NumL]],T_suiviDi[#Data],COLUMN(T_suiviDi[Email]),FALSE)&lt;&gt;"",VLOOKUP(T_Commission[[#This Row],[NumL]],T_suiviDi[#Data],COLUMN(T_suiviDi[Email]),FALSE),""),"")</f>
        <v/>
      </c>
      <c r="F269" s="274" t="str">
        <f>IFERROR(IF(VLOOKUP(T_Commission[[#This Row],[NumL]],T_suiviDi[#Data],COLUMN(T_suiviDi[[#This Row],[Nom1]]),FALSE)&lt;&gt;"",VLOOKUP(T_Commission[[#This Row],[NumL]],T_suiviDi[#Data],COLUMN(T_suiviDi[[#This Row],[Nom1]]),FALSE),""),"")</f>
        <v/>
      </c>
      <c r="G269" s="274" t="str">
        <f>IFERROR(IF(VLOOKUP(T_Commission[[#This Row],[NumL]],T_suiviDi[#Data],COLUMN(T_suiviDi[[#This Row],[Prénom1]]),FALSE)&lt;&gt;"",VLOOKUP(T_Commission[[#This Row],[NumL]],T_suiviDi[#Data],COLUMN(T_suiviDi[[#This Row],[Prénom1]]),FALSE),""),"")</f>
        <v/>
      </c>
      <c r="H269" s="274" t="str">
        <f>IFERROR(IF(VLOOKUP(T_Commission[[#This Row],[NumL]],T_suiviDi[#Data],COLUMN(T_suiviDi[[#This Row],[Email1]]),FALSE)&lt;&gt;"",VLOOKUP(T_Commission[[#This Row],[NumL]],T_suiviDi[#Data],COLUMN(T_suiviDi[[#This Row],[Email1]]),FALSE),""),"")</f>
        <v/>
      </c>
      <c r="I269" s="142" t="str">
        <f>IFERROR(VLOOKUP(T_Commission[[#This Row],[NumL]],T_TraitDi[#Data],COLUMN(T_TraitDi[[#This Row],[CTRL_PJ]]),FALSE),"")</f>
        <v/>
      </c>
      <c r="J269" s="142" t="str">
        <f>IF(T_Commission[[#This Row],[Nom]]&lt;&gt;"",IFERROR(VLOOKUP(T_Commission[[#This Row],[NumL]],T_TraitDi[#Data],COLUMN(T_TraitDi[[#This Row],[C10]]),FALSE),""),"")</f>
        <v/>
      </c>
      <c r="K269" s="142" t="str">
        <f>IFERROR(IF(VLOOKUP(T_Commission[[#This Row],[NumL]],T_suiviDi[#Data],COLUMN(T_suiviDi[[#This Row],[Avis n+1]]),FALSE)&lt;&gt;"",VLOOKUP(A269,T_suiviDi[#Data],COLUMN(T_suiviDi[[#This Row],[Avis n+1]]),FALSE),""),"")</f>
        <v/>
      </c>
      <c r="L269" s="142"/>
      <c r="M269" s="49">
        <v>1</v>
      </c>
      <c r="N269" s="49"/>
      <c r="O269" s="143" t="str">
        <f>IF(T_Commission[[#This Row],[Nom]]&lt;&gt;"",IF(T_Commission[[#This Row],[COM '#2]]&lt;&gt;"",MAX(T_Commission[[#This Row],[PJ]],T_Commission[[#This Row],[COM '#2]]),IF(T_Commission[[#This Row],[COM '#1]]&lt;&gt;"",MAX(T_Commission[[#This Row],[PJ]],T_Commission[[#This Row],[COM '#1]]),"")),"")</f>
        <v/>
      </c>
      <c r="P269" s="55" t="s">
        <v>115</v>
      </c>
      <c r="Q269" s="55" t="s">
        <v>3277</v>
      </c>
      <c r="R269" s="55" t="s">
        <v>3277</v>
      </c>
      <c r="S269" s="56"/>
      <c r="T269" s="144"/>
    </row>
    <row r="270" spans="1:20" s="93" customFormat="1" ht="30" customHeight="1" x14ac:dyDescent="0.25">
      <c r="A270" s="90">
        <v>253</v>
      </c>
      <c r="B270" s="130" t="str">
        <f>IFERROR(IF(VLOOKUP(T_Commission[[#This Row],[NumL]],T_TraitDi[#Data],COLUMN(T_TraitDi[[#This Row],[Statut]]),FALSE)&lt;&gt;"",VLOOKUP(T_Commission[[#This Row],[NumL]],T_TraitDi[#Data],COLUMN(T_TraitDi[[#This Row],[Statut]]),FALSE),""),"")</f>
        <v/>
      </c>
      <c r="C270" s="19" t="str">
        <f>IFERROR(IF(VLOOKUP(T_Commission[[#This Row],[NumL]],T_suiviDi[#Data],COLUMN(T_suiviDi[Nom]),FALSE)&lt;&gt;"",VLOOKUP(T_Commission[[#This Row],[NumL]],T_suiviDi[#Data],COLUMN(T_suiviDi[Nom]),FALSE),""),"")</f>
        <v/>
      </c>
      <c r="D270" s="19" t="str">
        <f>IFERROR(IF(VLOOKUP(T_Commission[[#This Row],[NumL]],T_suiviDi[#Data],COLUMN(T_suiviDi[Prénom]),FALSE)&lt;&gt;"",VLOOKUP(T_Commission[[#This Row],[NumL]],T_suiviDi[#Data],COLUMN(T_suiviDi[Prénom]),FALSE),""),"")</f>
        <v/>
      </c>
      <c r="E270" s="20" t="str">
        <f>IFERROR(IF(VLOOKUP(T_Commission[[#This Row],[NumL]],T_suiviDi[#Data],COLUMN(T_suiviDi[Email]),FALSE)&lt;&gt;"",VLOOKUP(T_Commission[[#This Row],[NumL]],T_suiviDi[#Data],COLUMN(T_suiviDi[Email]),FALSE),""),"")</f>
        <v/>
      </c>
      <c r="F270" s="274" t="str">
        <f>IFERROR(IF(VLOOKUP(T_Commission[[#This Row],[NumL]],T_suiviDi[#Data],COLUMN(T_suiviDi[[#This Row],[Nom1]]),FALSE)&lt;&gt;"",VLOOKUP(T_Commission[[#This Row],[NumL]],T_suiviDi[#Data],COLUMN(T_suiviDi[[#This Row],[Nom1]]),FALSE),""),"")</f>
        <v/>
      </c>
      <c r="G270" s="274" t="str">
        <f>IFERROR(IF(VLOOKUP(T_Commission[[#This Row],[NumL]],T_suiviDi[#Data],COLUMN(T_suiviDi[[#This Row],[Prénom1]]),FALSE)&lt;&gt;"",VLOOKUP(T_Commission[[#This Row],[NumL]],T_suiviDi[#Data],COLUMN(T_suiviDi[[#This Row],[Prénom1]]),FALSE),""),"")</f>
        <v/>
      </c>
      <c r="H270" s="274" t="str">
        <f>IFERROR(IF(VLOOKUP(T_Commission[[#This Row],[NumL]],T_suiviDi[#Data],COLUMN(T_suiviDi[[#This Row],[Email1]]),FALSE)&lt;&gt;"",VLOOKUP(T_Commission[[#This Row],[NumL]],T_suiviDi[#Data],COLUMN(T_suiviDi[[#This Row],[Email1]]),FALSE),""),"")</f>
        <v/>
      </c>
      <c r="I270" s="142" t="str">
        <f>IFERROR(VLOOKUP(T_Commission[[#This Row],[NumL]],T_TraitDi[#Data],COLUMN(T_TraitDi[[#This Row],[CTRL_PJ]]),FALSE),"")</f>
        <v/>
      </c>
      <c r="J270" s="142" t="str">
        <f>IF(T_Commission[[#This Row],[Nom]]&lt;&gt;"",IFERROR(VLOOKUP(T_Commission[[#This Row],[NumL]],T_TraitDi[#Data],COLUMN(T_TraitDi[[#This Row],[C10]]),FALSE),""),"")</f>
        <v/>
      </c>
      <c r="K270" s="142" t="str">
        <f>IFERROR(IF(VLOOKUP(T_Commission[[#This Row],[NumL]],T_suiviDi[#Data],COLUMN(T_suiviDi[[#This Row],[Avis n+1]]),FALSE)&lt;&gt;"",VLOOKUP(A270,T_suiviDi[#Data],COLUMN(T_suiviDi[[#This Row],[Avis n+1]]),FALSE),""),"")</f>
        <v/>
      </c>
      <c r="L270" s="142" t="str">
        <f>IFERROR(IF(VLOOKUP(T_Commission[[#This Row],[NumL]],T_suiviDi[#Data],COLUMN(T_suiviDi[[#This Row],[Avis n+2]]),FALSE)&lt;&gt;"",VLOOKUP(T_Commission[[#This Row],[NumL]],T_suiviDi[#Data],COLUMN(T_suiviDi[[#This Row],[Avis n+2]]),FALSE),""),"")</f>
        <v/>
      </c>
      <c r="M270" s="49">
        <v>1</v>
      </c>
      <c r="N270" s="49"/>
      <c r="O270" s="143" t="str">
        <f>IF(T_Commission[[#This Row],[Nom]]&lt;&gt;"",IF(T_Commission[[#This Row],[COM '#2]]&lt;&gt;"",MAX(T_Commission[[#This Row],[PJ]],T_Commission[[#This Row],[COM '#2]]),IF(T_Commission[[#This Row],[COM '#1]]&lt;&gt;"",MAX(T_Commission[[#This Row],[PJ]],T_Commission[[#This Row],[COM '#1]]),"")),"")</f>
        <v/>
      </c>
      <c r="P270" s="55" t="s">
        <v>115</v>
      </c>
      <c r="Q270" s="55" t="s">
        <v>3277</v>
      </c>
      <c r="R270" s="55" t="s">
        <v>3277</v>
      </c>
      <c r="S270" s="56"/>
      <c r="T270" s="144"/>
    </row>
    <row r="271" spans="1:20" s="93" customFormat="1" ht="30" customHeight="1" x14ac:dyDescent="0.25">
      <c r="A271" s="90">
        <v>30</v>
      </c>
      <c r="B271" s="130" t="str">
        <f>IFERROR(IF(VLOOKUP(T_Commission[[#This Row],[NumL]],T_TraitDi[#Data],COLUMN(T_TraitDi[[#This Row],[Statut]]),FALSE)&lt;&gt;"",VLOOKUP(T_Commission[[#This Row],[NumL]],T_TraitDi[#Data],COLUMN(T_TraitDi[[#This Row],[Statut]]),FALSE),""),"")</f>
        <v/>
      </c>
      <c r="C271" s="19" t="str">
        <f>IFERROR(IF(VLOOKUP(T_Commission[[#This Row],[NumL]],T_suiviDi[#Data],COLUMN(T_suiviDi[Nom]),FALSE)&lt;&gt;"",VLOOKUP(T_Commission[[#This Row],[NumL]],T_suiviDi[#Data],COLUMN(T_suiviDi[Nom]),FALSE),""),"")</f>
        <v/>
      </c>
      <c r="D271" s="19" t="str">
        <f>IFERROR(IF(VLOOKUP(T_Commission[[#This Row],[NumL]],T_suiviDi[#Data],COLUMN(T_suiviDi[Prénom]),FALSE)&lt;&gt;"",VLOOKUP(T_Commission[[#This Row],[NumL]],T_suiviDi[#Data],COLUMN(T_suiviDi[Prénom]),FALSE),""),"")</f>
        <v/>
      </c>
      <c r="E271" s="20" t="str">
        <f>IFERROR(IF(VLOOKUP(T_Commission[[#This Row],[NumL]],T_suiviDi[#Data],COLUMN(T_suiviDi[Email]),FALSE)&lt;&gt;"",VLOOKUP(T_Commission[[#This Row],[NumL]],T_suiviDi[#Data],COLUMN(T_suiviDi[Email]),FALSE),""),"")</f>
        <v/>
      </c>
      <c r="F271" s="274" t="str">
        <f>IFERROR(IF(VLOOKUP(T_Commission[[#This Row],[NumL]],T_suiviDi[#Data],COLUMN(T_suiviDi[[#This Row],[Nom1]]),FALSE)&lt;&gt;"",VLOOKUP(T_Commission[[#This Row],[NumL]],T_suiviDi[#Data],COLUMN(T_suiviDi[[#This Row],[Nom1]]),FALSE),""),"")</f>
        <v/>
      </c>
      <c r="G271" s="274" t="str">
        <f>IFERROR(IF(VLOOKUP(T_Commission[[#This Row],[NumL]],T_suiviDi[#Data],COLUMN(T_suiviDi[[#This Row],[Prénom1]]),FALSE)&lt;&gt;"",VLOOKUP(T_Commission[[#This Row],[NumL]],T_suiviDi[#Data],COLUMN(T_suiviDi[[#This Row],[Prénom1]]),FALSE),""),"")</f>
        <v/>
      </c>
      <c r="H271" s="274" t="str">
        <f>IFERROR(IF(VLOOKUP(T_Commission[[#This Row],[NumL]],T_suiviDi[#Data],COLUMN(T_suiviDi[[#This Row],[Email1]]),FALSE)&lt;&gt;"",VLOOKUP(T_Commission[[#This Row],[NumL]],T_suiviDi[#Data],COLUMN(T_suiviDi[[#This Row],[Email1]]),FALSE),""),"")</f>
        <v/>
      </c>
      <c r="I271" s="142" t="str">
        <f>IFERROR(VLOOKUP(T_Commission[[#This Row],[NumL]],T_TraitDi[#Data],COLUMN(T_TraitDi[[#This Row],[CTRL_PJ]]),FALSE),"")</f>
        <v/>
      </c>
      <c r="J271" s="142" t="str">
        <f>IF(T_Commission[[#This Row],[Nom]]&lt;&gt;"",IFERROR(VLOOKUP(T_Commission[[#This Row],[NumL]],T_TraitDi[#Data],COLUMN(T_TraitDi[[#This Row],[C10]]),FALSE),""),"")</f>
        <v/>
      </c>
      <c r="K271" s="142" t="str">
        <f>IFERROR(IF(VLOOKUP(T_Commission[[#This Row],[NumL]],T_suiviDi[#Data],COLUMN(T_suiviDi[[#This Row],[Avis n+1]]),FALSE)&lt;&gt;"",VLOOKUP(A271,T_suiviDi[#Data],COLUMN(T_suiviDi[[#This Row],[Avis n+1]]),FALSE),""),"")</f>
        <v/>
      </c>
      <c r="L271" s="142" t="str">
        <f>IFERROR(IF(VLOOKUP(T_Commission[[#This Row],[NumL]],T_suiviDi[#Data],COLUMN(T_suiviDi[[#This Row],[Avis n+2]]),FALSE)&lt;&gt;"",VLOOKUP(T_Commission[[#This Row],[NumL]],T_suiviDi[#Data],COLUMN(T_suiviDi[[#This Row],[Avis n+2]]),FALSE),""),"")</f>
        <v/>
      </c>
      <c r="M271" s="49">
        <v>1</v>
      </c>
      <c r="N271" s="49"/>
      <c r="O271" s="143" t="str">
        <f>IF(T_Commission[[#This Row],[Nom]]&lt;&gt;"",IF(T_Commission[[#This Row],[COM '#2]]&lt;&gt;"",MAX(T_Commission[[#This Row],[PJ]],T_Commission[[#This Row],[COM '#2]]),IF(T_Commission[[#This Row],[COM '#1]]&lt;&gt;"",MAX(T_Commission[[#This Row],[PJ]],T_Commission[[#This Row],[COM '#1]]),"")),"")</f>
        <v/>
      </c>
      <c r="P271" s="55" t="s">
        <v>115</v>
      </c>
      <c r="Q271" s="55" t="s">
        <v>3277</v>
      </c>
      <c r="R271" s="55" t="s">
        <v>3277</v>
      </c>
      <c r="S271" s="56"/>
      <c r="T271" s="144"/>
    </row>
    <row r="272" spans="1:20" s="93" customFormat="1" ht="30" customHeight="1" x14ac:dyDescent="0.25">
      <c r="A272" s="90">
        <v>223</v>
      </c>
      <c r="B272" s="130" t="str">
        <f>IFERROR(IF(VLOOKUP(T_Commission[[#This Row],[NumL]],T_TraitDi[#Data],COLUMN(T_TraitDi[[#This Row],[Statut]]),FALSE)&lt;&gt;"",VLOOKUP(T_Commission[[#This Row],[NumL]],T_TraitDi[#Data],COLUMN(T_TraitDi[[#This Row],[Statut]]),FALSE),""),"")</f>
        <v/>
      </c>
      <c r="C272" s="19" t="str">
        <f>IFERROR(IF(VLOOKUP(T_Commission[[#This Row],[NumL]],T_suiviDi[#Data],COLUMN(T_suiviDi[Nom]),FALSE)&lt;&gt;"",VLOOKUP(T_Commission[[#This Row],[NumL]],T_suiviDi[#Data],COLUMN(T_suiviDi[Nom]),FALSE),""),"")</f>
        <v/>
      </c>
      <c r="D272" s="19" t="str">
        <f>IFERROR(IF(VLOOKUP(T_Commission[[#This Row],[NumL]],T_suiviDi[#Data],COLUMN(T_suiviDi[Prénom]),FALSE)&lt;&gt;"",VLOOKUP(T_Commission[[#This Row],[NumL]],T_suiviDi[#Data],COLUMN(T_suiviDi[Prénom]),FALSE),""),"")</f>
        <v/>
      </c>
      <c r="E272" s="20" t="str">
        <f>IFERROR(IF(VLOOKUP(T_Commission[[#This Row],[NumL]],T_suiviDi[#Data],COLUMN(T_suiviDi[Email]),FALSE)&lt;&gt;"",VLOOKUP(T_Commission[[#This Row],[NumL]],T_suiviDi[#Data],COLUMN(T_suiviDi[Email]),FALSE),""),"")</f>
        <v/>
      </c>
      <c r="F272" s="274" t="str">
        <f>IFERROR(IF(VLOOKUP(T_Commission[[#This Row],[NumL]],T_suiviDi[#Data],COLUMN(T_suiviDi[[#This Row],[Nom1]]),FALSE)&lt;&gt;"",VLOOKUP(T_Commission[[#This Row],[NumL]],T_suiviDi[#Data],COLUMN(T_suiviDi[[#This Row],[Nom1]]),FALSE),""),"")</f>
        <v/>
      </c>
      <c r="G272" s="274" t="str">
        <f>IFERROR(IF(VLOOKUP(T_Commission[[#This Row],[NumL]],T_suiviDi[#Data],COLUMN(T_suiviDi[[#This Row],[Prénom1]]),FALSE)&lt;&gt;"",VLOOKUP(T_Commission[[#This Row],[NumL]],T_suiviDi[#Data],COLUMN(T_suiviDi[[#This Row],[Prénom1]]),FALSE),""),"")</f>
        <v/>
      </c>
      <c r="H272" s="274" t="str">
        <f>IFERROR(IF(VLOOKUP(T_Commission[[#This Row],[NumL]],T_suiviDi[#Data],COLUMN(T_suiviDi[[#This Row],[Email1]]),FALSE)&lt;&gt;"",VLOOKUP(T_Commission[[#This Row],[NumL]],T_suiviDi[#Data],COLUMN(T_suiviDi[[#This Row],[Email1]]),FALSE),""),"")</f>
        <v/>
      </c>
      <c r="I272" s="142" t="str">
        <f>IFERROR(VLOOKUP(T_Commission[[#This Row],[NumL]],T_TraitDi[#Data],COLUMN(T_TraitDi[[#This Row],[CTRL_PJ]]),FALSE),"")</f>
        <v/>
      </c>
      <c r="J272" s="142" t="str">
        <f>IF(T_Commission[[#This Row],[Nom]]&lt;&gt;"",IFERROR(VLOOKUP(T_Commission[[#This Row],[NumL]],T_TraitDi[#Data],COLUMN(T_TraitDi[[#This Row],[C10]]),FALSE),""),"")</f>
        <v/>
      </c>
      <c r="K272" s="142" t="str">
        <f>IFERROR(IF(VLOOKUP(T_Commission[[#This Row],[NumL]],T_suiviDi[#Data],COLUMN(T_suiviDi[[#This Row],[Avis n+1]]),FALSE)&lt;&gt;"",VLOOKUP(A272,T_suiviDi[#Data],COLUMN(T_suiviDi[[#This Row],[Avis n+1]]),FALSE),""),"")</f>
        <v/>
      </c>
      <c r="L272" s="142" t="str">
        <f>IFERROR(IF(VLOOKUP(T_Commission[[#This Row],[NumL]],T_suiviDi[#Data],COLUMN(T_suiviDi[[#This Row],[Avis n+2]]),FALSE)&lt;&gt;"",VLOOKUP(T_Commission[[#This Row],[NumL]],T_suiviDi[#Data],COLUMN(T_suiviDi[[#This Row],[Avis n+2]]),FALSE),""),"")</f>
        <v/>
      </c>
      <c r="M272" s="49">
        <v>1</v>
      </c>
      <c r="N272" s="49"/>
      <c r="O272" s="143" t="str">
        <f>IF(T_Commission[[#This Row],[Nom]]&lt;&gt;"",IF(T_Commission[[#This Row],[COM '#2]]&lt;&gt;"",MAX(T_Commission[[#This Row],[PJ]],T_Commission[[#This Row],[COM '#2]]),IF(T_Commission[[#This Row],[COM '#1]]&lt;&gt;"",MAX(T_Commission[[#This Row],[PJ]],T_Commission[[#This Row],[COM '#1]]),"")),"")</f>
        <v/>
      </c>
      <c r="P272" s="55" t="s">
        <v>115</v>
      </c>
      <c r="Q272" s="55" t="s">
        <v>3277</v>
      </c>
      <c r="R272" s="55" t="s">
        <v>3277</v>
      </c>
      <c r="S272" s="56"/>
      <c r="T272" s="144"/>
    </row>
    <row r="273" spans="1:20" s="93" customFormat="1" ht="30" customHeight="1" x14ac:dyDescent="0.25">
      <c r="A273" s="90">
        <v>73</v>
      </c>
      <c r="B273" s="130" t="str">
        <f>IFERROR(IF(VLOOKUP(T_Commission[[#This Row],[NumL]],T_TraitDi[#Data],COLUMN(T_TraitDi[[#This Row],[Statut]]),FALSE)&lt;&gt;"",VLOOKUP(T_Commission[[#This Row],[NumL]],T_TraitDi[#Data],COLUMN(T_TraitDi[[#This Row],[Statut]]),FALSE),""),"")</f>
        <v/>
      </c>
      <c r="C273" s="19" t="str">
        <f>IFERROR(IF(VLOOKUP(T_Commission[[#This Row],[NumL]],T_suiviDi[#Data],COLUMN(T_suiviDi[Nom]),FALSE)&lt;&gt;"",VLOOKUP(T_Commission[[#This Row],[NumL]],T_suiviDi[#Data],COLUMN(T_suiviDi[Nom]),FALSE),""),"")</f>
        <v/>
      </c>
      <c r="D273" s="19" t="str">
        <f>IFERROR(IF(VLOOKUP(T_Commission[[#This Row],[NumL]],T_suiviDi[#Data],COLUMN(T_suiviDi[Prénom]),FALSE)&lt;&gt;"",VLOOKUP(T_Commission[[#This Row],[NumL]],T_suiviDi[#Data],COLUMN(T_suiviDi[Prénom]),FALSE),""),"")</f>
        <v/>
      </c>
      <c r="E273" s="20" t="str">
        <f>IFERROR(IF(VLOOKUP(T_Commission[[#This Row],[NumL]],T_suiviDi[#Data],COLUMN(T_suiviDi[Email]),FALSE)&lt;&gt;"",VLOOKUP(T_Commission[[#This Row],[NumL]],T_suiviDi[#Data],COLUMN(T_suiviDi[Email]),FALSE),""),"")</f>
        <v/>
      </c>
      <c r="F273" s="274" t="str">
        <f>IFERROR(IF(VLOOKUP(T_Commission[[#This Row],[NumL]],T_suiviDi[#Data],COLUMN(T_suiviDi[[#This Row],[Nom1]]),FALSE)&lt;&gt;"",VLOOKUP(T_Commission[[#This Row],[NumL]],T_suiviDi[#Data],COLUMN(T_suiviDi[[#This Row],[Nom1]]),FALSE),""),"")</f>
        <v/>
      </c>
      <c r="G273" s="274" t="str">
        <f>IFERROR(IF(VLOOKUP(T_Commission[[#This Row],[NumL]],T_suiviDi[#Data],COLUMN(T_suiviDi[[#This Row],[Prénom1]]),FALSE)&lt;&gt;"",VLOOKUP(T_Commission[[#This Row],[NumL]],T_suiviDi[#Data],COLUMN(T_suiviDi[[#This Row],[Prénom1]]),FALSE),""),"")</f>
        <v/>
      </c>
      <c r="H273" s="274" t="str">
        <f>IFERROR(IF(VLOOKUP(T_Commission[[#This Row],[NumL]],T_suiviDi[#Data],COLUMN(T_suiviDi[[#This Row],[Email1]]),FALSE)&lt;&gt;"",VLOOKUP(T_Commission[[#This Row],[NumL]],T_suiviDi[#Data],COLUMN(T_suiviDi[[#This Row],[Email1]]),FALSE),""),"")</f>
        <v/>
      </c>
      <c r="I273" s="142" t="str">
        <f>IFERROR(VLOOKUP(T_Commission[[#This Row],[NumL]],T_TraitDi[#Data],COLUMN(T_TraitDi[[#This Row],[CTRL_PJ]]),FALSE),"")</f>
        <v/>
      </c>
      <c r="J273" s="142" t="str">
        <f>IF(T_Commission[[#This Row],[Nom]]&lt;&gt;"",IFERROR(VLOOKUP(T_Commission[[#This Row],[NumL]],T_TraitDi[#Data],COLUMN(T_TraitDi[[#This Row],[C10]]),FALSE),""),"")</f>
        <v/>
      </c>
      <c r="K273" s="142" t="str">
        <f>IFERROR(IF(VLOOKUP(T_Commission[[#This Row],[NumL]],T_suiviDi[#Data],COLUMN(T_suiviDi[[#This Row],[Avis n+1]]),FALSE)&lt;&gt;"",VLOOKUP(A273,T_suiviDi[#Data],COLUMN(T_suiviDi[[#This Row],[Avis n+1]]),FALSE),""),"")</f>
        <v/>
      </c>
      <c r="L273" s="142" t="str">
        <f>IFERROR(IF(VLOOKUP(T_Commission[[#This Row],[NumL]],T_suiviDi[#Data],COLUMN(T_suiviDi[[#This Row],[Avis n+2]]),FALSE)&lt;&gt;"",VLOOKUP(T_Commission[[#This Row],[NumL]],T_suiviDi[#Data],COLUMN(T_suiviDi[[#This Row],[Avis n+2]]),FALSE),""),"")</f>
        <v/>
      </c>
      <c r="M273" s="49">
        <v>1</v>
      </c>
      <c r="N273" s="49"/>
      <c r="O273" s="143" t="str">
        <f>IF(T_Commission[[#This Row],[Nom]]&lt;&gt;"",IF(T_Commission[[#This Row],[COM '#2]]&lt;&gt;"",MAX(T_Commission[[#This Row],[PJ]],T_Commission[[#This Row],[COM '#2]]),IF(T_Commission[[#This Row],[COM '#1]]&lt;&gt;"",MAX(T_Commission[[#This Row],[PJ]],T_Commission[[#This Row],[COM '#1]]),"")),"")</f>
        <v/>
      </c>
      <c r="P273" s="55" t="s">
        <v>115</v>
      </c>
      <c r="Q273" s="55" t="s">
        <v>3277</v>
      </c>
      <c r="R273" s="55" t="s">
        <v>3277</v>
      </c>
      <c r="S273" s="56"/>
      <c r="T273" s="144"/>
    </row>
    <row r="274" spans="1:20" s="93" customFormat="1" ht="30" customHeight="1" x14ac:dyDescent="0.25">
      <c r="A274" s="90">
        <v>232</v>
      </c>
      <c r="B274" s="130" t="str">
        <f>IFERROR(IF(VLOOKUP(T_Commission[[#This Row],[NumL]],T_TraitDi[#Data],COLUMN(T_TraitDi[[#This Row],[Statut]]),FALSE)&lt;&gt;"",VLOOKUP(T_Commission[[#This Row],[NumL]],T_TraitDi[#Data],COLUMN(T_TraitDi[[#This Row],[Statut]]),FALSE),""),"")</f>
        <v/>
      </c>
      <c r="C274" s="19" t="str">
        <f>IFERROR(IF(VLOOKUP(T_Commission[[#This Row],[NumL]],T_suiviDi[#Data],COLUMN(T_suiviDi[Nom]),FALSE)&lt;&gt;"",VLOOKUP(T_Commission[[#This Row],[NumL]],T_suiviDi[#Data],COLUMN(T_suiviDi[Nom]),FALSE),""),"")</f>
        <v/>
      </c>
      <c r="D274" s="19" t="str">
        <f>IFERROR(IF(VLOOKUP(T_Commission[[#This Row],[NumL]],T_suiviDi[#Data],COLUMN(T_suiviDi[Prénom]),FALSE)&lt;&gt;"",VLOOKUP(T_Commission[[#This Row],[NumL]],T_suiviDi[#Data],COLUMN(T_suiviDi[Prénom]),FALSE),""),"")</f>
        <v/>
      </c>
      <c r="E274" s="20" t="str">
        <f>IFERROR(IF(VLOOKUP(T_Commission[[#This Row],[NumL]],T_suiviDi[#Data],COLUMN(T_suiviDi[Email]),FALSE)&lt;&gt;"",VLOOKUP(T_Commission[[#This Row],[NumL]],T_suiviDi[#Data],COLUMN(T_suiviDi[Email]),FALSE),""),"")</f>
        <v/>
      </c>
      <c r="F274" s="274" t="str">
        <f>IFERROR(IF(VLOOKUP(T_Commission[[#This Row],[NumL]],T_suiviDi[#Data],COLUMN(T_suiviDi[[#This Row],[Nom1]]),FALSE)&lt;&gt;"",VLOOKUP(T_Commission[[#This Row],[NumL]],T_suiviDi[#Data],COLUMN(T_suiviDi[[#This Row],[Nom1]]),FALSE),""),"")</f>
        <v/>
      </c>
      <c r="G274" s="274" t="str">
        <f>IFERROR(IF(VLOOKUP(T_Commission[[#This Row],[NumL]],T_suiviDi[#Data],COLUMN(T_suiviDi[[#This Row],[Prénom1]]),FALSE)&lt;&gt;"",VLOOKUP(T_Commission[[#This Row],[NumL]],T_suiviDi[#Data],COLUMN(T_suiviDi[[#This Row],[Prénom1]]),FALSE),""),"")</f>
        <v/>
      </c>
      <c r="H274" s="274" t="str">
        <f>IFERROR(IF(VLOOKUP(T_Commission[[#This Row],[NumL]],T_suiviDi[#Data],COLUMN(T_suiviDi[[#This Row],[Email1]]),FALSE)&lt;&gt;"",VLOOKUP(T_Commission[[#This Row],[NumL]],T_suiviDi[#Data],COLUMN(T_suiviDi[[#This Row],[Email1]]),FALSE),""),"")</f>
        <v/>
      </c>
      <c r="I274" s="142" t="str">
        <f>IFERROR(VLOOKUP(T_Commission[[#This Row],[NumL]],T_TraitDi[#Data],COLUMN(T_TraitDi[[#This Row],[CTRL_PJ]]),FALSE),"")</f>
        <v/>
      </c>
      <c r="J274" s="142" t="str">
        <f>IF(T_Commission[[#This Row],[Nom]]&lt;&gt;"",IFERROR(VLOOKUP(T_Commission[[#This Row],[NumL]],T_TraitDi[#Data],COLUMN(T_TraitDi[[#This Row],[C10]]),FALSE),""),"")</f>
        <v/>
      </c>
      <c r="K274" s="142" t="str">
        <f>IFERROR(IF(VLOOKUP(T_Commission[[#This Row],[NumL]],T_suiviDi[#Data],COLUMN(T_suiviDi[[#This Row],[Avis n+1]]),FALSE)&lt;&gt;"",VLOOKUP(A274,T_suiviDi[#Data],COLUMN(T_suiviDi[[#This Row],[Avis n+1]]),FALSE),""),"")</f>
        <v/>
      </c>
      <c r="L274" s="142" t="str">
        <f>IFERROR(IF(VLOOKUP(T_Commission[[#This Row],[NumL]],T_suiviDi[#Data],COLUMN(T_suiviDi[[#This Row],[Avis n+2]]),FALSE)&lt;&gt;"",VLOOKUP(T_Commission[[#This Row],[NumL]],T_suiviDi[#Data],COLUMN(T_suiviDi[[#This Row],[Avis n+2]]),FALSE),""),"")</f>
        <v/>
      </c>
      <c r="M274" s="49">
        <v>1</v>
      </c>
      <c r="N274" s="49"/>
      <c r="O274" s="143" t="str">
        <f>IF(T_Commission[[#This Row],[Nom]]&lt;&gt;"",IF(T_Commission[[#This Row],[COM '#2]]&lt;&gt;"",MAX(T_Commission[[#This Row],[PJ]],T_Commission[[#This Row],[COM '#2]]),IF(T_Commission[[#This Row],[COM '#1]]&lt;&gt;"",MAX(T_Commission[[#This Row],[PJ]],T_Commission[[#This Row],[COM '#1]]),"")),"")</f>
        <v/>
      </c>
      <c r="P274" s="55" t="s">
        <v>115</v>
      </c>
      <c r="Q274" s="55" t="s">
        <v>3277</v>
      </c>
      <c r="R274" s="55"/>
      <c r="S274" s="56"/>
      <c r="T274" s="144"/>
    </row>
    <row r="275" spans="1:20" s="93" customFormat="1" ht="30" customHeight="1" x14ac:dyDescent="0.25">
      <c r="A275" s="90">
        <v>58</v>
      </c>
      <c r="B275" s="130" t="str">
        <f>IFERROR(IF(VLOOKUP(T_Commission[[#This Row],[NumL]],T_TraitDi[#Data],COLUMN(T_TraitDi[[#This Row],[Statut]]),FALSE)&lt;&gt;"",VLOOKUP(T_Commission[[#This Row],[NumL]],T_TraitDi[#Data],COLUMN(T_TraitDi[[#This Row],[Statut]]),FALSE),""),"")</f>
        <v/>
      </c>
      <c r="C275" s="19" t="str">
        <f>IFERROR(IF(VLOOKUP(T_Commission[[#This Row],[NumL]],T_suiviDi[#Data],COLUMN(T_suiviDi[Nom]),FALSE)&lt;&gt;"",VLOOKUP(T_Commission[[#This Row],[NumL]],T_suiviDi[#Data],COLUMN(T_suiviDi[Nom]),FALSE),""),"")</f>
        <v/>
      </c>
      <c r="D275" s="19" t="str">
        <f>IFERROR(IF(VLOOKUP(T_Commission[[#This Row],[NumL]],T_suiviDi[#Data],COLUMN(T_suiviDi[Prénom]),FALSE)&lt;&gt;"",VLOOKUP(T_Commission[[#This Row],[NumL]],T_suiviDi[#Data],COLUMN(T_suiviDi[Prénom]),FALSE),""),"")</f>
        <v/>
      </c>
      <c r="E275" s="20" t="str">
        <f>IFERROR(IF(VLOOKUP(T_Commission[[#This Row],[NumL]],T_suiviDi[#Data],COLUMN(T_suiviDi[Email]),FALSE)&lt;&gt;"",VLOOKUP(T_Commission[[#This Row],[NumL]],T_suiviDi[#Data],COLUMN(T_suiviDi[Email]),FALSE),""),"")</f>
        <v/>
      </c>
      <c r="F275" s="274" t="str">
        <f>IFERROR(IF(VLOOKUP(T_Commission[[#This Row],[NumL]],T_suiviDi[#Data],COLUMN(T_suiviDi[[#This Row],[Nom1]]),FALSE)&lt;&gt;"",VLOOKUP(T_Commission[[#This Row],[NumL]],T_suiviDi[#Data],COLUMN(T_suiviDi[[#This Row],[Nom1]]),FALSE),""),"")</f>
        <v/>
      </c>
      <c r="G275" s="274" t="str">
        <f>IFERROR(IF(VLOOKUP(T_Commission[[#This Row],[NumL]],T_suiviDi[#Data],COLUMN(T_suiviDi[[#This Row],[Prénom1]]),FALSE)&lt;&gt;"",VLOOKUP(T_Commission[[#This Row],[NumL]],T_suiviDi[#Data],COLUMN(T_suiviDi[[#This Row],[Prénom1]]),FALSE),""),"")</f>
        <v/>
      </c>
      <c r="H275" s="274" t="str">
        <f>IFERROR(IF(VLOOKUP(T_Commission[[#This Row],[NumL]],T_suiviDi[#Data],COLUMN(T_suiviDi[[#This Row],[Email1]]),FALSE)&lt;&gt;"",VLOOKUP(T_Commission[[#This Row],[NumL]],T_suiviDi[#Data],COLUMN(T_suiviDi[[#This Row],[Email1]]),FALSE),""),"")</f>
        <v/>
      </c>
      <c r="I275" s="142" t="str">
        <f>IFERROR(VLOOKUP(T_Commission[[#This Row],[NumL]],T_TraitDi[#Data],COLUMN(T_TraitDi[[#This Row],[CTRL_PJ]]),FALSE),"")</f>
        <v/>
      </c>
      <c r="J275" s="142" t="str">
        <f>IF(T_Commission[[#This Row],[Nom]]&lt;&gt;"",IFERROR(VLOOKUP(T_Commission[[#This Row],[NumL]],T_TraitDi[#Data],COLUMN(T_TraitDi[[#This Row],[C10]]),FALSE),""),"")</f>
        <v/>
      </c>
      <c r="K275" s="142" t="str">
        <f>IFERROR(IF(VLOOKUP(T_Commission[[#This Row],[NumL]],T_suiviDi[#Data],COLUMN(T_suiviDi[[#This Row],[Avis n+1]]),FALSE)&lt;&gt;"",VLOOKUP(A275,T_suiviDi[#Data],COLUMN(T_suiviDi[[#This Row],[Avis n+1]]),FALSE),""),"")</f>
        <v/>
      </c>
      <c r="L275" s="142" t="str">
        <f>IFERROR(IF(VLOOKUP(T_Commission[[#This Row],[NumL]],T_suiviDi[#Data],COLUMN(T_suiviDi[[#This Row],[Avis n+2]]),FALSE)&lt;&gt;"",VLOOKUP(T_Commission[[#This Row],[NumL]],T_suiviDi[#Data],COLUMN(T_suiviDi[[#This Row],[Avis n+2]]),FALSE),""),"")</f>
        <v/>
      </c>
      <c r="M275" s="49">
        <v>1</v>
      </c>
      <c r="N275" s="49"/>
      <c r="O275" s="143" t="str">
        <f>IF(T_Commission[[#This Row],[Nom]]&lt;&gt;"",IF(T_Commission[[#This Row],[COM '#2]]&lt;&gt;"",MAX(T_Commission[[#This Row],[PJ]],T_Commission[[#This Row],[COM '#2]]),IF(T_Commission[[#This Row],[COM '#1]]&lt;&gt;"",MAX(T_Commission[[#This Row],[PJ]],T_Commission[[#This Row],[COM '#1]]),"")),"")</f>
        <v/>
      </c>
      <c r="P275" s="55" t="s">
        <v>115</v>
      </c>
      <c r="Q275" s="55" t="s">
        <v>3277</v>
      </c>
      <c r="R275" s="55"/>
      <c r="S275" s="56"/>
      <c r="T275" s="144"/>
    </row>
    <row r="276" spans="1:20" s="93" customFormat="1" ht="30" customHeight="1" x14ac:dyDescent="0.25">
      <c r="A276" s="90">
        <v>116</v>
      </c>
      <c r="B276" s="130" t="str">
        <f>IFERROR(IF(VLOOKUP(T_Commission[[#This Row],[NumL]],T_TraitDi[#Data],COLUMN(T_TraitDi[[#This Row],[Statut]]),FALSE)&lt;&gt;"",VLOOKUP(T_Commission[[#This Row],[NumL]],T_TraitDi[#Data],COLUMN(T_TraitDi[[#This Row],[Statut]]),FALSE),""),"")</f>
        <v/>
      </c>
      <c r="C276" s="19" t="str">
        <f>IFERROR(IF(VLOOKUP(T_Commission[[#This Row],[NumL]],T_suiviDi[#Data],COLUMN(T_suiviDi[Nom]),FALSE)&lt;&gt;"",VLOOKUP(T_Commission[[#This Row],[NumL]],T_suiviDi[#Data],COLUMN(T_suiviDi[Nom]),FALSE),""),"")</f>
        <v/>
      </c>
      <c r="D276" s="19" t="str">
        <f>IFERROR(IF(VLOOKUP(T_Commission[[#This Row],[NumL]],T_suiviDi[#Data],COLUMN(T_suiviDi[Prénom]),FALSE)&lt;&gt;"",VLOOKUP(T_Commission[[#This Row],[NumL]],T_suiviDi[#Data],COLUMN(T_suiviDi[Prénom]),FALSE),""),"")</f>
        <v/>
      </c>
      <c r="E276" s="20" t="str">
        <f>IFERROR(IF(VLOOKUP(T_Commission[[#This Row],[NumL]],T_suiviDi[#Data],COLUMN(T_suiviDi[Email]),FALSE)&lt;&gt;"",VLOOKUP(T_Commission[[#This Row],[NumL]],T_suiviDi[#Data],COLUMN(T_suiviDi[Email]),FALSE),""),"")</f>
        <v/>
      </c>
      <c r="F276" s="274" t="str">
        <f>IFERROR(IF(VLOOKUP(T_Commission[[#This Row],[NumL]],T_suiviDi[#Data],COLUMN(T_suiviDi[[#This Row],[Nom1]]),FALSE)&lt;&gt;"",VLOOKUP(T_Commission[[#This Row],[NumL]],T_suiviDi[#Data],COLUMN(T_suiviDi[[#This Row],[Nom1]]),FALSE),""),"")</f>
        <v/>
      </c>
      <c r="G276" s="274" t="str">
        <f>IFERROR(IF(VLOOKUP(T_Commission[[#This Row],[NumL]],T_suiviDi[#Data],COLUMN(T_suiviDi[[#This Row],[Prénom1]]),FALSE)&lt;&gt;"",VLOOKUP(T_Commission[[#This Row],[NumL]],T_suiviDi[#Data],COLUMN(T_suiviDi[[#This Row],[Prénom1]]),FALSE),""),"")</f>
        <v/>
      </c>
      <c r="H276" s="274" t="str">
        <f>IFERROR(IF(VLOOKUP(T_Commission[[#This Row],[NumL]],T_suiviDi[#Data],COLUMN(T_suiviDi[[#This Row],[Email1]]),FALSE)&lt;&gt;"",VLOOKUP(T_Commission[[#This Row],[NumL]],T_suiviDi[#Data],COLUMN(T_suiviDi[[#This Row],[Email1]]),FALSE),""),"")</f>
        <v/>
      </c>
      <c r="I276" s="142" t="str">
        <f>IFERROR(VLOOKUP(T_Commission[[#This Row],[NumL]],T_TraitDi[#Data],COLUMN(T_TraitDi[[#This Row],[CTRL_PJ]]),FALSE),"")</f>
        <v/>
      </c>
      <c r="J276" s="142" t="str">
        <f>IF(T_Commission[[#This Row],[Nom]]&lt;&gt;"",IFERROR(VLOOKUP(T_Commission[[#This Row],[NumL]],T_TraitDi[#Data],COLUMN(T_TraitDi[[#This Row],[C10]]),FALSE),""),"")</f>
        <v/>
      </c>
      <c r="K276" s="142" t="str">
        <f>IFERROR(IF(VLOOKUP(T_Commission[[#This Row],[NumL]],T_suiviDi[#Data],COLUMN(T_suiviDi[[#This Row],[Avis n+1]]),FALSE)&lt;&gt;"",VLOOKUP(A276,T_suiviDi[#Data],COLUMN(T_suiviDi[[#This Row],[Avis n+1]]),FALSE),""),"")</f>
        <v/>
      </c>
      <c r="L276" s="142" t="str">
        <f>IFERROR(IF(VLOOKUP(T_Commission[[#This Row],[NumL]],T_suiviDi[#Data],COLUMN(T_suiviDi[[#This Row],[Avis n+2]]),FALSE)&lt;&gt;"",VLOOKUP(T_Commission[[#This Row],[NumL]],T_suiviDi[#Data],COLUMN(T_suiviDi[[#This Row],[Avis n+2]]),FALSE),""),"")</f>
        <v/>
      </c>
      <c r="M276" s="49">
        <v>1</v>
      </c>
      <c r="N276" s="49"/>
      <c r="O276" s="143" t="str">
        <f>IF(T_Commission[[#This Row],[Nom]]&lt;&gt;"",IF(T_Commission[[#This Row],[COM '#2]]&lt;&gt;"",MAX(T_Commission[[#This Row],[PJ]],T_Commission[[#This Row],[COM '#2]]),IF(T_Commission[[#This Row],[COM '#1]]&lt;&gt;"",MAX(T_Commission[[#This Row],[PJ]],T_Commission[[#This Row],[COM '#1]]),"")),"")</f>
        <v/>
      </c>
      <c r="P276" s="55" t="s">
        <v>115</v>
      </c>
      <c r="Q276" s="55" t="s">
        <v>3277</v>
      </c>
      <c r="R276" s="55" t="s">
        <v>3277</v>
      </c>
      <c r="S276" s="56"/>
      <c r="T276" s="144"/>
    </row>
    <row r="277" spans="1:20" s="93" customFormat="1" ht="30" customHeight="1" x14ac:dyDescent="0.25">
      <c r="A277" s="90">
        <v>111</v>
      </c>
      <c r="B277" s="130" t="str">
        <f>IFERROR(IF(VLOOKUP(T_Commission[[#This Row],[NumL]],T_TraitDi[#Data],COLUMN(T_TraitDi[[#This Row],[Statut]]),FALSE)&lt;&gt;"",VLOOKUP(T_Commission[[#This Row],[NumL]],T_TraitDi[#Data],COLUMN(T_TraitDi[[#This Row],[Statut]]),FALSE),""),"")</f>
        <v/>
      </c>
      <c r="C277" s="19" t="str">
        <f>IFERROR(IF(VLOOKUP(T_Commission[[#This Row],[NumL]],T_suiviDi[#Data],COLUMN(T_suiviDi[Nom]),FALSE)&lt;&gt;"",VLOOKUP(T_Commission[[#This Row],[NumL]],T_suiviDi[#Data],COLUMN(T_suiviDi[Nom]),FALSE),""),"")</f>
        <v/>
      </c>
      <c r="D277" s="19" t="str">
        <f>IFERROR(IF(VLOOKUP(T_Commission[[#This Row],[NumL]],T_suiviDi[#Data],COLUMN(T_suiviDi[Prénom]),FALSE)&lt;&gt;"",VLOOKUP(T_Commission[[#This Row],[NumL]],T_suiviDi[#Data],COLUMN(T_suiviDi[Prénom]),FALSE),""),"")</f>
        <v/>
      </c>
      <c r="E277" s="20" t="str">
        <f>IFERROR(IF(VLOOKUP(T_Commission[[#This Row],[NumL]],T_suiviDi[#Data],COLUMN(T_suiviDi[Email]),FALSE)&lt;&gt;"",VLOOKUP(T_Commission[[#This Row],[NumL]],T_suiviDi[#Data],COLUMN(T_suiviDi[Email]),FALSE),""),"")</f>
        <v/>
      </c>
      <c r="F277" s="274" t="str">
        <f>IFERROR(IF(VLOOKUP(T_Commission[[#This Row],[NumL]],T_suiviDi[#Data],COLUMN(T_suiviDi[[#This Row],[Nom1]]),FALSE)&lt;&gt;"",VLOOKUP(T_Commission[[#This Row],[NumL]],T_suiviDi[#Data],COLUMN(T_suiviDi[[#This Row],[Nom1]]),FALSE),""),"")</f>
        <v/>
      </c>
      <c r="G277" s="274" t="str">
        <f>IFERROR(IF(VLOOKUP(T_Commission[[#This Row],[NumL]],T_suiviDi[#Data],COLUMN(T_suiviDi[[#This Row],[Prénom1]]),FALSE)&lt;&gt;"",VLOOKUP(T_Commission[[#This Row],[NumL]],T_suiviDi[#Data],COLUMN(T_suiviDi[[#This Row],[Prénom1]]),FALSE),""),"")</f>
        <v/>
      </c>
      <c r="H277" s="274" t="str">
        <f>IFERROR(IF(VLOOKUP(T_Commission[[#This Row],[NumL]],T_suiviDi[#Data],COLUMN(T_suiviDi[[#This Row],[Email1]]),FALSE)&lt;&gt;"",VLOOKUP(T_Commission[[#This Row],[NumL]],T_suiviDi[#Data],COLUMN(T_suiviDi[[#This Row],[Email1]]),FALSE),""),"")</f>
        <v/>
      </c>
      <c r="I277" s="142" t="str">
        <f>IFERROR(VLOOKUP(T_Commission[[#This Row],[NumL]],T_TraitDi[#Data],COLUMN(T_TraitDi[[#This Row],[CTRL_PJ]]),FALSE),"")</f>
        <v/>
      </c>
      <c r="J277" s="142" t="str">
        <f>IF(T_Commission[[#This Row],[Nom]]&lt;&gt;"",IFERROR(VLOOKUP(T_Commission[[#This Row],[NumL]],T_TraitDi[#Data],COLUMN(T_TraitDi[[#This Row],[C10]]),FALSE),""),"")</f>
        <v/>
      </c>
      <c r="K277" s="142" t="str">
        <f>IFERROR(IF(VLOOKUP(T_Commission[[#This Row],[NumL]],T_suiviDi[#Data],COLUMN(T_suiviDi[[#This Row],[Avis n+1]]),FALSE)&lt;&gt;"",VLOOKUP(A277,T_suiviDi[#Data],COLUMN(T_suiviDi[[#This Row],[Avis n+1]]),FALSE),""),"")</f>
        <v/>
      </c>
      <c r="L277" s="142" t="str">
        <f>IFERROR(IF(VLOOKUP(T_Commission[[#This Row],[NumL]],T_suiviDi[#Data],COLUMN(T_suiviDi[[#This Row],[Avis n+2]]),FALSE)&lt;&gt;"",VLOOKUP(T_Commission[[#This Row],[NumL]],T_suiviDi[#Data],COLUMN(T_suiviDi[[#This Row],[Avis n+2]]),FALSE),""),"")</f>
        <v/>
      </c>
      <c r="M277" s="49">
        <v>1</v>
      </c>
      <c r="N277" s="49"/>
      <c r="O277" s="143" t="str">
        <f>IF(T_Commission[[#This Row],[Nom]]&lt;&gt;"",IF(T_Commission[[#This Row],[COM '#2]]&lt;&gt;"",MAX(T_Commission[[#This Row],[PJ]],T_Commission[[#This Row],[COM '#2]]),IF(T_Commission[[#This Row],[COM '#1]]&lt;&gt;"",MAX(T_Commission[[#This Row],[PJ]],T_Commission[[#This Row],[COM '#1]]),"")),"")</f>
        <v/>
      </c>
      <c r="P277" s="55" t="s">
        <v>115</v>
      </c>
      <c r="Q277" s="55" t="s">
        <v>3277</v>
      </c>
      <c r="R277" s="55" t="s">
        <v>3277</v>
      </c>
      <c r="S277" s="56"/>
      <c r="T277" s="144"/>
    </row>
    <row r="278" spans="1:20" s="93" customFormat="1" ht="30" customHeight="1" x14ac:dyDescent="0.25">
      <c r="A278" s="90">
        <v>183</v>
      </c>
      <c r="B278" s="130" t="str">
        <f>IFERROR(IF(VLOOKUP(T_Commission[[#This Row],[NumL]],T_TraitDi[#Data],COLUMN(T_TraitDi[[#This Row],[Statut]]),FALSE)&lt;&gt;"",VLOOKUP(T_Commission[[#This Row],[NumL]],T_TraitDi[#Data],COLUMN(T_TraitDi[[#This Row],[Statut]]),FALSE),""),"")</f>
        <v/>
      </c>
      <c r="C278" s="19" t="str">
        <f>IFERROR(IF(VLOOKUP(T_Commission[[#This Row],[NumL]],T_suiviDi[#Data],COLUMN(T_suiviDi[Nom]),FALSE)&lt;&gt;"",VLOOKUP(T_Commission[[#This Row],[NumL]],T_suiviDi[#Data],COLUMN(T_suiviDi[Nom]),FALSE),""),"")</f>
        <v/>
      </c>
      <c r="D278" s="19" t="str">
        <f>IFERROR(IF(VLOOKUP(T_Commission[[#This Row],[NumL]],T_suiviDi[#Data],COLUMN(T_suiviDi[Prénom]),FALSE)&lt;&gt;"",VLOOKUP(T_Commission[[#This Row],[NumL]],T_suiviDi[#Data],COLUMN(T_suiviDi[Prénom]),FALSE),""),"")</f>
        <v/>
      </c>
      <c r="E278" s="20" t="str">
        <f>IFERROR(IF(VLOOKUP(T_Commission[[#This Row],[NumL]],T_suiviDi[#Data],COLUMN(T_suiviDi[Email]),FALSE)&lt;&gt;"",VLOOKUP(T_Commission[[#This Row],[NumL]],T_suiviDi[#Data],COLUMN(T_suiviDi[Email]),FALSE),""),"")</f>
        <v/>
      </c>
      <c r="F278" s="274" t="str">
        <f>IFERROR(IF(VLOOKUP(T_Commission[[#This Row],[NumL]],T_suiviDi[#Data],COLUMN(T_suiviDi[[#This Row],[Nom1]]),FALSE)&lt;&gt;"",VLOOKUP(T_Commission[[#This Row],[NumL]],T_suiviDi[#Data],COLUMN(T_suiviDi[[#This Row],[Nom1]]),FALSE),""),"")</f>
        <v/>
      </c>
      <c r="G278" s="274" t="str">
        <f>IFERROR(IF(VLOOKUP(T_Commission[[#This Row],[NumL]],T_suiviDi[#Data],COLUMN(T_suiviDi[[#This Row],[Prénom1]]),FALSE)&lt;&gt;"",VLOOKUP(T_Commission[[#This Row],[NumL]],T_suiviDi[#Data],COLUMN(T_suiviDi[[#This Row],[Prénom1]]),FALSE),""),"")</f>
        <v/>
      </c>
      <c r="H278" s="274" t="str">
        <f>IFERROR(IF(VLOOKUP(T_Commission[[#This Row],[NumL]],T_suiviDi[#Data],COLUMN(T_suiviDi[[#This Row],[Email1]]),FALSE)&lt;&gt;"",VLOOKUP(T_Commission[[#This Row],[NumL]],T_suiviDi[#Data],COLUMN(T_suiviDi[[#This Row],[Email1]]),FALSE),""),"")</f>
        <v/>
      </c>
      <c r="I278" s="142" t="str">
        <f>IFERROR(VLOOKUP(T_Commission[[#This Row],[NumL]],T_TraitDi[#Data],COLUMN(T_TraitDi[[#This Row],[CTRL_PJ]]),FALSE),"")</f>
        <v/>
      </c>
      <c r="J278" s="142" t="str">
        <f>IF(T_Commission[[#This Row],[Nom]]&lt;&gt;"",IFERROR(VLOOKUP(T_Commission[[#This Row],[NumL]],T_TraitDi[#Data],COLUMN(T_TraitDi[[#This Row],[C10]]),FALSE),""),"")</f>
        <v/>
      </c>
      <c r="K278" s="142" t="str">
        <f>IFERROR(IF(VLOOKUP(T_Commission[[#This Row],[NumL]],T_suiviDi[#Data],COLUMN(T_suiviDi[[#This Row],[Avis n+1]]),FALSE)&lt;&gt;"",VLOOKUP(A278,T_suiviDi[#Data],COLUMN(T_suiviDi[[#This Row],[Avis n+1]]),FALSE),""),"")</f>
        <v/>
      </c>
      <c r="L278" s="142" t="str">
        <f>IFERROR(IF(VLOOKUP(T_Commission[[#This Row],[NumL]],T_suiviDi[#Data],COLUMN(T_suiviDi[[#This Row],[Avis n+2]]),FALSE)&lt;&gt;"",VLOOKUP(T_Commission[[#This Row],[NumL]],T_suiviDi[#Data],COLUMN(T_suiviDi[[#This Row],[Avis n+2]]),FALSE),""),"")</f>
        <v/>
      </c>
      <c r="M278" s="49">
        <v>1</v>
      </c>
      <c r="N278" s="49"/>
      <c r="O278" s="143" t="str">
        <f>IF(T_Commission[[#This Row],[Nom]]&lt;&gt;"",IF(T_Commission[[#This Row],[COM '#2]]&lt;&gt;"",MAX(T_Commission[[#This Row],[PJ]],T_Commission[[#This Row],[COM '#2]]),IF(T_Commission[[#This Row],[COM '#1]]&lt;&gt;"",MAX(T_Commission[[#This Row],[PJ]],T_Commission[[#This Row],[COM '#1]]),"")),"")</f>
        <v/>
      </c>
      <c r="P278" s="55" t="s">
        <v>115</v>
      </c>
      <c r="Q278" s="55" t="s">
        <v>3277</v>
      </c>
      <c r="R278" s="55"/>
      <c r="S278" s="56"/>
      <c r="T278" s="144"/>
    </row>
    <row r="279" spans="1:20" s="93" customFormat="1" ht="30" customHeight="1" x14ac:dyDescent="0.25">
      <c r="A279" s="90">
        <v>319</v>
      </c>
      <c r="B279" s="130" t="str">
        <f>IFERROR(IF(VLOOKUP(T_Commission[[#This Row],[NumL]],T_TraitDi[#Data],COLUMN(T_TraitDi[[#This Row],[Statut]]),FALSE)&lt;&gt;"",VLOOKUP(T_Commission[[#This Row],[NumL]],T_TraitDi[#Data],COLUMN(T_TraitDi[[#This Row],[Statut]]),FALSE),""),"")</f>
        <v/>
      </c>
      <c r="C279" s="139" t="str">
        <f>IFERROR(IF(VLOOKUP(T_Commission[[#This Row],[NumL]],T_suiviDi[#Data],COLUMN(T_suiviDi[[#This Row],[Nom]]),FALSE)&lt;&gt;"",VLOOKUP(T_Commission[[#This Row],[NumL]],T_suiviDi[#Data],COLUMN(T_suiviDi[[#This Row],[Nom]]),FALSE),""),"")</f>
        <v/>
      </c>
      <c r="D279" s="139" t="str">
        <f>IFERROR(IF(VLOOKUP(T_Commission[[#This Row],[NumL]],T_suiviDi[#Data],COLUMN(T_suiviDi[[#This Row],[Prénom]]),FALSE)&lt;&gt;"",VLOOKUP(T_Commission[[#This Row],[NumL]],T_suiviDi[#Data],COLUMN(T_suiviDi[[#This Row],[Prénom]]),FALSE),""),"")</f>
        <v/>
      </c>
      <c r="E279" s="140" t="str">
        <f>IFERROR(IF(VLOOKUP(T_Commission[[#This Row],[NumL]],T_suiviDi[#Data],COLUMN(T_suiviDi[[#This Row],[Email]]),FALSE)&lt;&gt;"",VLOOKUP(T_Commission[[#This Row],[NumL]],T_suiviDi[#Data],COLUMN(T_suiviDi[[#This Row],[Email]]),FALSE),""),"")</f>
        <v/>
      </c>
      <c r="F279" s="141" t="str">
        <f>IFERROR(IF(VLOOKUP(T_Commission[[#This Row],[NumL]],T_suiviDi[#Data],COLUMN(T_suiviDi[[#This Row],[Nom1]]),FALSE)&lt;&gt;"",VLOOKUP(T_Commission[[#This Row],[NumL]],T_suiviDi[#Data],COLUMN(T_suiviDi[[#This Row],[Nom1]]),FALSE),""),"")</f>
        <v/>
      </c>
      <c r="G279" s="141" t="str">
        <f>IFERROR(IF(VLOOKUP(T_Commission[[#This Row],[NumL]],T_suiviDi[#Data],COLUMN(T_suiviDi[[#This Row],[Prénom1]]),FALSE)&lt;&gt;"",VLOOKUP(T_Commission[[#This Row],[NumL]],T_suiviDi[#Data],COLUMN(T_suiviDi[[#This Row],[Prénom1]]),FALSE),""),"")</f>
        <v/>
      </c>
      <c r="H279" s="141" t="str">
        <f>IFERROR(IF(VLOOKUP(T_Commission[[#This Row],[NumL]],T_suiviDi[#Data],COLUMN(T_suiviDi[[#This Row],[Email1]]),FALSE)&lt;&gt;"",VLOOKUP(T_Commission[[#This Row],[NumL]],T_suiviDi[#Data],COLUMN(T_suiviDi[[#This Row],[Email1]]),FALSE),""),"")</f>
        <v/>
      </c>
      <c r="I279" s="142" t="str">
        <f>IFERROR(VLOOKUP(T_Commission[[#This Row],[NumL]],T_TraitDi[#Data],COLUMN(T_TraitDi[[#This Row],[CTRL_PJ]]),FALSE),"")</f>
        <v/>
      </c>
      <c r="J279" s="142" t="str">
        <f>IF(C279&lt;&gt;"",IFERROR(VLOOKUP(A279,'2- Traitement des DI'!BV32,FALSE),""),"")</f>
        <v/>
      </c>
      <c r="K279" s="142" t="str">
        <f>IFERROR(IF(VLOOKUP(T_Commission[[#This Row],[NumL]],T_suiviDi[#Data],COLUMN(T_suiviDi[[#This Row],[Avis n+1]]),FALSE)&lt;&gt;"",VLOOKUP(A279,T_suiviDi[#Data],COLUMN(T_suiviDi[[#This Row],[Avis n+1]]),FALSE),""),"")</f>
        <v/>
      </c>
      <c r="L279" s="142" t="str">
        <f>IFERROR(IF(VLOOKUP(A279,ListeDI,27,FALSE)&lt;&gt;"",VLOOKUP(A279,ListeDI,27,FALSE),""),"")</f>
        <v/>
      </c>
      <c r="M279" s="49">
        <v>1</v>
      </c>
      <c r="N279" s="49"/>
      <c r="O279" s="143" t="str">
        <f>IF(C279&lt;&gt;"",IF(N279&lt;&gt;"",MAX(I279,N279),IF(M279&lt;&gt;"",MAX(I279,M279),"")),"")</f>
        <v/>
      </c>
      <c r="P279" s="55" t="s">
        <v>115</v>
      </c>
      <c r="Q279" s="55" t="s">
        <v>3277</v>
      </c>
      <c r="R279" s="55"/>
      <c r="S279" s="56"/>
      <c r="T279" s="144"/>
    </row>
    <row r="280" spans="1:20" s="93" customFormat="1" ht="30" customHeight="1" x14ac:dyDescent="0.25">
      <c r="A280" s="90">
        <v>120</v>
      </c>
      <c r="B280" s="130" t="str">
        <f>IFERROR(IF(VLOOKUP(T_Commission[[#This Row],[NumL]],T_TraitDi[#Data],COLUMN(T_TraitDi[[#This Row],[Statut]]),FALSE)&lt;&gt;"",VLOOKUP(T_Commission[[#This Row],[NumL]],T_TraitDi[#Data],COLUMN(T_TraitDi[[#This Row],[Statut]]),FALSE),""),"")</f>
        <v/>
      </c>
      <c r="C280" s="19" t="str">
        <f>IFERROR(IF(VLOOKUP(T_Commission[[#This Row],[NumL]],T_suiviDi[#Data],COLUMN(T_suiviDi[Nom]),FALSE)&lt;&gt;"",VLOOKUP(T_Commission[[#This Row],[NumL]],T_suiviDi[#Data],COLUMN(T_suiviDi[Nom]),FALSE),""),"")</f>
        <v/>
      </c>
      <c r="D280" s="19" t="str">
        <f>IFERROR(IF(VLOOKUP(T_Commission[[#This Row],[NumL]],T_suiviDi[#Data],COLUMN(T_suiviDi[Prénom]),FALSE)&lt;&gt;"",VLOOKUP(T_Commission[[#This Row],[NumL]],T_suiviDi[#Data],COLUMN(T_suiviDi[Prénom]),FALSE),""),"")</f>
        <v/>
      </c>
      <c r="E280" s="20" t="str">
        <f>IFERROR(IF(VLOOKUP(T_Commission[[#This Row],[NumL]],T_suiviDi[#Data],COLUMN(T_suiviDi[Email]),FALSE)&lt;&gt;"",VLOOKUP(T_Commission[[#This Row],[NumL]],T_suiviDi[#Data],COLUMN(T_suiviDi[Email]),FALSE),""),"")</f>
        <v/>
      </c>
      <c r="F280" s="274" t="str">
        <f>IFERROR(IF(VLOOKUP(T_Commission[[#This Row],[NumL]],T_suiviDi[#Data],COLUMN(T_suiviDi[[#This Row],[Nom1]]),FALSE)&lt;&gt;"",VLOOKUP(T_Commission[[#This Row],[NumL]],T_suiviDi[#Data],COLUMN(T_suiviDi[[#This Row],[Nom1]]),FALSE),""),"")</f>
        <v/>
      </c>
      <c r="G280" s="274" t="str">
        <f>IFERROR(IF(VLOOKUP(T_Commission[[#This Row],[NumL]],T_suiviDi[#Data],COLUMN(T_suiviDi[[#This Row],[Prénom1]]),FALSE)&lt;&gt;"",VLOOKUP(T_Commission[[#This Row],[NumL]],T_suiviDi[#Data],COLUMN(T_suiviDi[[#This Row],[Prénom1]]),FALSE),""),"")</f>
        <v/>
      </c>
      <c r="H280" s="274" t="str">
        <f>IFERROR(IF(VLOOKUP(T_Commission[[#This Row],[NumL]],T_suiviDi[#Data],COLUMN(T_suiviDi[[#This Row],[Email1]]),FALSE)&lt;&gt;"",VLOOKUP(T_Commission[[#This Row],[NumL]],T_suiviDi[#Data],COLUMN(T_suiviDi[[#This Row],[Email1]]),FALSE),""),"")</f>
        <v/>
      </c>
      <c r="I280" s="142" t="str">
        <f>IFERROR(VLOOKUP(T_Commission[[#This Row],[NumL]],T_TraitDi[#Data],COLUMN(T_TraitDi[[#This Row],[CTRL_PJ]]),FALSE),"")</f>
        <v/>
      </c>
      <c r="J280" s="142" t="str">
        <f>IF(T_Commission[[#This Row],[Nom]]&lt;&gt;"",IFERROR(VLOOKUP(T_Commission[[#This Row],[NumL]],T_TraitDi[#Data],COLUMN(T_TraitDi[[#This Row],[C10]]),FALSE),""),"")</f>
        <v/>
      </c>
      <c r="K280" s="142" t="str">
        <f>IFERROR(IF(VLOOKUP(T_Commission[[#This Row],[NumL]],T_suiviDi[#Data],COLUMN(T_suiviDi[[#This Row],[Avis n+1]]),FALSE)&lt;&gt;"",VLOOKUP(A280,T_suiviDi[#Data],COLUMN(T_suiviDi[[#This Row],[Avis n+1]]),FALSE),""),"")</f>
        <v/>
      </c>
      <c r="L280" s="142" t="str">
        <f>IFERROR(IF(VLOOKUP(T_Commission[[#This Row],[NumL]],T_suiviDi[#Data],COLUMN(T_suiviDi[[#This Row],[Avis n+2]]),FALSE)&lt;&gt;"",VLOOKUP(T_Commission[[#This Row],[NumL]],T_suiviDi[#Data],COLUMN(T_suiviDi[[#This Row],[Avis n+2]]),FALSE),""),"")</f>
        <v/>
      </c>
      <c r="M280" s="49">
        <v>1</v>
      </c>
      <c r="N280" s="49"/>
      <c r="O280" s="143" t="str">
        <f>IF(T_Commission[[#This Row],[Nom]]&lt;&gt;"",IF(T_Commission[[#This Row],[COM '#2]]&lt;&gt;"",MAX(T_Commission[[#This Row],[PJ]],T_Commission[[#This Row],[COM '#2]]),IF(T_Commission[[#This Row],[COM '#1]]&lt;&gt;"",MAX(T_Commission[[#This Row],[PJ]],T_Commission[[#This Row],[COM '#1]]),"")),"")</f>
        <v/>
      </c>
      <c r="P280" s="55" t="s">
        <v>115</v>
      </c>
      <c r="Q280" s="55" t="s">
        <v>3277</v>
      </c>
      <c r="R280" s="55" t="s">
        <v>3277</v>
      </c>
      <c r="S280" s="56"/>
      <c r="T280" s="144"/>
    </row>
    <row r="281" spans="1:20" s="93" customFormat="1" ht="30" customHeight="1" x14ac:dyDescent="0.25">
      <c r="A281" s="90">
        <v>53</v>
      </c>
      <c r="B281" s="130" t="str">
        <f>IFERROR(IF(VLOOKUP(T_Commission[[#This Row],[NumL]],T_TraitDi[#Data],COLUMN(T_TraitDi[[#This Row],[Statut]]),FALSE)&lt;&gt;"",VLOOKUP(T_Commission[[#This Row],[NumL]],T_TraitDi[#Data],COLUMN(T_TraitDi[[#This Row],[Statut]]),FALSE),""),"")</f>
        <v/>
      </c>
      <c r="C281" s="19" t="str">
        <f>IFERROR(IF(VLOOKUP(T_Commission[[#This Row],[NumL]],T_suiviDi[#Data],COLUMN(T_suiviDi[Nom]),FALSE)&lt;&gt;"",VLOOKUP(T_Commission[[#This Row],[NumL]],T_suiviDi[#Data],COLUMN(T_suiviDi[Nom]),FALSE),""),"")</f>
        <v/>
      </c>
      <c r="D281" s="19" t="str">
        <f>IFERROR(IF(VLOOKUP(T_Commission[[#This Row],[NumL]],T_suiviDi[#Data],COLUMN(T_suiviDi[Prénom]),FALSE)&lt;&gt;"",VLOOKUP(T_Commission[[#This Row],[NumL]],T_suiviDi[#Data],COLUMN(T_suiviDi[Prénom]),FALSE),""),"")</f>
        <v/>
      </c>
      <c r="E281" s="20" t="str">
        <f>IFERROR(IF(VLOOKUP(T_Commission[[#This Row],[NumL]],T_suiviDi[#Data],COLUMN(T_suiviDi[Email]),FALSE)&lt;&gt;"",VLOOKUP(T_Commission[[#This Row],[NumL]],T_suiviDi[#Data],COLUMN(T_suiviDi[Email]),FALSE),""),"")</f>
        <v/>
      </c>
      <c r="F281" s="274" t="str">
        <f>IFERROR(IF(VLOOKUP(T_Commission[[#This Row],[NumL]],T_suiviDi[#Data],COLUMN(T_suiviDi[[#This Row],[Nom1]]),FALSE)&lt;&gt;"",VLOOKUP(T_Commission[[#This Row],[NumL]],T_suiviDi[#Data],COLUMN(T_suiviDi[[#This Row],[Nom1]]),FALSE),""),"")</f>
        <v/>
      </c>
      <c r="G281" s="274" t="str">
        <f>IFERROR(IF(VLOOKUP(T_Commission[[#This Row],[NumL]],T_suiviDi[#Data],COLUMN(T_suiviDi[[#This Row],[Prénom1]]),FALSE)&lt;&gt;"",VLOOKUP(T_Commission[[#This Row],[NumL]],T_suiviDi[#Data],COLUMN(T_suiviDi[[#This Row],[Prénom1]]),FALSE),""),"")</f>
        <v/>
      </c>
      <c r="H281" s="274" t="str">
        <f>IFERROR(IF(VLOOKUP(T_Commission[[#This Row],[NumL]],T_suiviDi[#Data],COLUMN(T_suiviDi[[#This Row],[Email1]]),FALSE)&lt;&gt;"",VLOOKUP(T_Commission[[#This Row],[NumL]],T_suiviDi[#Data],COLUMN(T_suiviDi[[#This Row],[Email1]]),FALSE),""),"")</f>
        <v/>
      </c>
      <c r="I281" s="142" t="str">
        <f>IFERROR(VLOOKUP(T_Commission[[#This Row],[NumL]],T_TraitDi[#Data],COLUMN(T_TraitDi[[#This Row],[CTRL_PJ]]),FALSE),"")</f>
        <v/>
      </c>
      <c r="J281" s="142" t="str">
        <f>IF(T_Commission[[#This Row],[Nom]]&lt;&gt;"",IFERROR(VLOOKUP(T_Commission[[#This Row],[NumL]],T_TraitDi[#Data],COLUMN(T_TraitDi[[#This Row],[C10]]),FALSE),""),"")</f>
        <v/>
      </c>
      <c r="K281" s="142" t="str">
        <f>IFERROR(IF(VLOOKUP(T_Commission[[#This Row],[NumL]],T_suiviDi[#Data],COLUMN(T_suiviDi[[#This Row],[Avis n+1]]),FALSE)&lt;&gt;"",VLOOKUP(A281,T_suiviDi[#Data],COLUMN(T_suiviDi[[#This Row],[Avis n+1]]),FALSE),""),"")</f>
        <v/>
      </c>
      <c r="L281" s="142" t="str">
        <f>IFERROR(IF(VLOOKUP(T_Commission[[#This Row],[NumL]],T_suiviDi[#Data],COLUMN(T_suiviDi[[#This Row],[Avis n+2]]),FALSE)&lt;&gt;"",VLOOKUP(T_Commission[[#This Row],[NumL]],T_suiviDi[#Data],COLUMN(T_suiviDi[[#This Row],[Avis n+2]]),FALSE),""),"")</f>
        <v/>
      </c>
      <c r="M281" s="49">
        <v>2</v>
      </c>
      <c r="N281" s="49"/>
      <c r="O281" s="143" t="str">
        <f>IF(T_Commission[[#This Row],[Nom]]&lt;&gt;"",IF(T_Commission[[#This Row],[COM '#2]]&lt;&gt;"",MAX(T_Commission[[#This Row],[PJ]],T_Commission[[#This Row],[COM '#2]]),IF(T_Commission[[#This Row],[COM '#1]]&lt;&gt;"",MAX(T_Commission[[#This Row],[PJ]],T_Commission[[#This Row],[COM '#1]]),"")),"")</f>
        <v/>
      </c>
      <c r="P281" s="55" t="s">
        <v>115</v>
      </c>
      <c r="Q281" s="55" t="s">
        <v>3278</v>
      </c>
      <c r="R281" s="55"/>
      <c r="S281" s="56"/>
      <c r="T281" s="144" t="s">
        <v>3637</v>
      </c>
    </row>
    <row r="282" spans="1:20" s="93" customFormat="1" ht="30" customHeight="1" x14ac:dyDescent="0.25">
      <c r="A282" s="90">
        <v>301</v>
      </c>
      <c r="B282" s="130" t="str">
        <f>IFERROR(IF(VLOOKUP(T_Commission[[#This Row],[NumL]],T_TraitDi[#Data],COLUMN(T_TraitDi[[#This Row],[Statut]]),FALSE)&lt;&gt;"",VLOOKUP(T_Commission[[#This Row],[NumL]],T_TraitDi[#Data],COLUMN(T_TraitDi[[#This Row],[Statut]]),FALSE),""),"")</f>
        <v/>
      </c>
      <c r="C282" s="139" t="str">
        <f>IFERROR(IF(VLOOKUP(T_Commission[[#This Row],[NumL]],T_suiviDi[#Data],COLUMN(T_suiviDi[[#This Row],[Nom]]),FALSE)&lt;&gt;"",VLOOKUP(T_Commission[[#This Row],[NumL]],T_suiviDi[#Data],COLUMN(T_suiviDi[[#This Row],[Nom]]),FALSE),""),"")</f>
        <v/>
      </c>
      <c r="D282" s="139" t="str">
        <f>IFERROR(IF(VLOOKUP(T_Commission[[#This Row],[NumL]],T_suiviDi[#Data],COLUMN(T_suiviDi[[#This Row],[Prénom]]),FALSE)&lt;&gt;"",VLOOKUP(T_Commission[[#This Row],[NumL]],T_suiviDi[#Data],COLUMN(T_suiviDi[[#This Row],[Prénom]]),FALSE),""),"")</f>
        <v/>
      </c>
      <c r="E282" s="140" t="str">
        <f>IFERROR(IF(VLOOKUP(T_Commission[[#This Row],[NumL]],T_suiviDi[#Data],COLUMN(T_suiviDi[[#This Row],[Email]]),FALSE)&lt;&gt;"",VLOOKUP(T_Commission[[#This Row],[NumL]],T_suiviDi[#Data],COLUMN(T_suiviDi[[#This Row],[Email]]),FALSE),""),"")</f>
        <v/>
      </c>
      <c r="F282" s="141" t="str">
        <f>IFERROR(IF(VLOOKUP(T_Commission[[#This Row],[NumL]],T_suiviDi[#Data],COLUMN(T_suiviDi[[#This Row],[Nom1]]),FALSE)&lt;&gt;"",VLOOKUP(T_Commission[[#This Row],[NumL]],T_suiviDi[#Data],COLUMN(T_suiviDi[[#This Row],[Nom1]]),FALSE),""),"")</f>
        <v/>
      </c>
      <c r="G282" s="141" t="str">
        <f>IFERROR(IF(VLOOKUP(T_Commission[[#This Row],[NumL]],T_suiviDi[#Data],COLUMN(T_suiviDi[[#This Row],[Prénom1]]),FALSE)&lt;&gt;"",VLOOKUP(T_Commission[[#This Row],[NumL]],T_suiviDi[#Data],COLUMN(T_suiviDi[[#This Row],[Prénom1]]),FALSE),""),"")</f>
        <v/>
      </c>
      <c r="H282" s="141" t="str">
        <f>IFERROR(IF(VLOOKUP(T_Commission[[#This Row],[NumL]],T_suiviDi[#Data],COLUMN(T_suiviDi[[#This Row],[Email1]]),FALSE)&lt;&gt;"",VLOOKUP(T_Commission[[#This Row],[NumL]],T_suiviDi[#Data],COLUMN(T_suiviDi[[#This Row],[Email1]]),FALSE),""),"")</f>
        <v/>
      </c>
      <c r="I282" s="142" t="str">
        <f>IFERROR(VLOOKUP(T_Commission[[#This Row],[NumL]],T_TraitDi[#Data],COLUMN(T_TraitDi[[#This Row],[CTRL_PJ]]),FALSE),"")</f>
        <v/>
      </c>
      <c r="J282" s="142" t="str">
        <f>IF(C282&lt;&gt;"",IFERROR(VLOOKUP(A282,'2- Traitement des DI'!BV32,FALSE),""),"")</f>
        <v/>
      </c>
      <c r="K282" s="142" t="str">
        <f>IFERROR(IF(VLOOKUP(T_Commission[[#This Row],[NumL]],T_suiviDi[#Data],COLUMN(T_suiviDi[[#This Row],[Avis n+1]]),FALSE)&lt;&gt;"",VLOOKUP(A282,T_suiviDi[#Data],COLUMN(T_suiviDi[[#This Row],[Avis n+1]]),FALSE),""),"")</f>
        <v/>
      </c>
      <c r="L282" s="142" t="str">
        <f>IFERROR(IF(VLOOKUP(A282,ListeDI,27,FALSE)&lt;&gt;"",VLOOKUP(A282,ListeDI,27,FALSE),""),"")</f>
        <v/>
      </c>
      <c r="M282" s="49">
        <v>1</v>
      </c>
      <c r="N282" s="49"/>
      <c r="O282" s="143" t="str">
        <f>IF(C282&lt;&gt;"",IF(N282&lt;&gt;"",MAX(I282,N282),IF(M282&lt;&gt;"",MAX(I282,M282),"")),"")</f>
        <v/>
      </c>
      <c r="P282" s="55" t="s">
        <v>115</v>
      </c>
      <c r="Q282" s="55" t="s">
        <v>3277</v>
      </c>
      <c r="R282" s="55" t="s">
        <v>3277</v>
      </c>
      <c r="S282" s="56"/>
      <c r="T282" s="144"/>
    </row>
    <row r="283" spans="1:20" s="93" customFormat="1" ht="30" customHeight="1" x14ac:dyDescent="0.25">
      <c r="A283" s="90">
        <v>200</v>
      </c>
      <c r="B283" s="130" t="str">
        <f>IFERROR(IF(VLOOKUP(T_Commission[[#This Row],[NumL]],T_TraitDi[#Data],COLUMN(T_TraitDi[[#This Row],[Statut]]),FALSE)&lt;&gt;"",VLOOKUP(T_Commission[[#This Row],[NumL]],T_TraitDi[#Data],COLUMN(T_TraitDi[[#This Row],[Statut]]),FALSE),""),"")</f>
        <v/>
      </c>
      <c r="C283" s="19" t="str">
        <f>IFERROR(IF(VLOOKUP(T_Commission[[#This Row],[NumL]],T_suiviDi[#Data],COLUMN(T_suiviDi[Nom]),FALSE)&lt;&gt;"",VLOOKUP(T_Commission[[#This Row],[NumL]],T_suiviDi[#Data],COLUMN(T_suiviDi[Nom]),FALSE),""),"")</f>
        <v/>
      </c>
      <c r="D283" s="19" t="str">
        <f>IFERROR(IF(VLOOKUP(T_Commission[[#This Row],[NumL]],T_suiviDi[#Data],COLUMN(T_suiviDi[Prénom]),FALSE)&lt;&gt;"",VLOOKUP(T_Commission[[#This Row],[NumL]],T_suiviDi[#Data],COLUMN(T_suiviDi[Prénom]),FALSE),""),"")</f>
        <v/>
      </c>
      <c r="E283" s="20" t="str">
        <f>IFERROR(IF(VLOOKUP(T_Commission[[#This Row],[NumL]],T_suiviDi[#Data],COLUMN(T_suiviDi[Email]),FALSE)&lt;&gt;"",VLOOKUP(T_Commission[[#This Row],[NumL]],T_suiviDi[#Data],COLUMN(T_suiviDi[Email]),FALSE),""),"")</f>
        <v/>
      </c>
      <c r="F283" s="274" t="str">
        <f>IFERROR(IF(VLOOKUP(T_Commission[[#This Row],[NumL]],T_suiviDi[#Data],COLUMN(T_suiviDi[[#This Row],[Nom1]]),FALSE)&lt;&gt;"",VLOOKUP(T_Commission[[#This Row],[NumL]],T_suiviDi[#Data],COLUMN(T_suiviDi[[#This Row],[Nom1]]),FALSE),""),"")</f>
        <v/>
      </c>
      <c r="G283" s="274" t="str">
        <f>IFERROR(IF(VLOOKUP(T_Commission[[#This Row],[NumL]],T_suiviDi[#Data],COLUMN(T_suiviDi[[#This Row],[Prénom1]]),FALSE)&lt;&gt;"",VLOOKUP(T_Commission[[#This Row],[NumL]],T_suiviDi[#Data],COLUMN(T_suiviDi[[#This Row],[Prénom1]]),FALSE),""),"")</f>
        <v/>
      </c>
      <c r="H283" s="274" t="str">
        <f>IFERROR(IF(VLOOKUP(T_Commission[[#This Row],[NumL]],T_suiviDi[#Data],COLUMN(T_suiviDi[[#This Row],[Email1]]),FALSE)&lt;&gt;"",VLOOKUP(T_Commission[[#This Row],[NumL]],T_suiviDi[#Data],COLUMN(T_suiviDi[[#This Row],[Email1]]),FALSE),""),"")</f>
        <v/>
      </c>
      <c r="I283" s="142" t="str">
        <f>IFERROR(VLOOKUP(T_Commission[[#This Row],[NumL]],T_TraitDi[#Data],COLUMN(T_TraitDi[[#This Row],[CTRL_PJ]]),FALSE),"")</f>
        <v/>
      </c>
      <c r="J283" s="142" t="str">
        <f>IF(T_Commission[[#This Row],[Nom]]&lt;&gt;"",IFERROR(VLOOKUP(T_Commission[[#This Row],[NumL]],T_TraitDi[#Data],COLUMN(T_TraitDi[[#This Row],[C10]]),FALSE),""),"")</f>
        <v/>
      </c>
      <c r="K283" s="142" t="str">
        <f>IFERROR(IF(VLOOKUP(T_Commission[[#This Row],[NumL]],T_suiviDi[#Data],COLUMN(T_suiviDi[[#This Row],[Avis n+1]]),FALSE)&lt;&gt;"",VLOOKUP(A283,T_suiviDi[#Data],COLUMN(T_suiviDi[[#This Row],[Avis n+1]]),FALSE),""),"")</f>
        <v/>
      </c>
      <c r="L283" s="142" t="str">
        <f>IFERROR(IF(VLOOKUP(T_Commission[[#This Row],[NumL]],T_suiviDi[#Data],COLUMN(T_suiviDi[[#This Row],[Avis n+2]]),FALSE)&lt;&gt;"",VLOOKUP(T_Commission[[#This Row],[NumL]],T_suiviDi[#Data],COLUMN(T_suiviDi[[#This Row],[Avis n+2]]),FALSE),""),"")</f>
        <v/>
      </c>
      <c r="M283" s="49">
        <v>1</v>
      </c>
      <c r="N283" s="49"/>
      <c r="O283" s="143" t="str">
        <f>IF(T_Commission[[#This Row],[Nom]]&lt;&gt;"",IF(T_Commission[[#This Row],[COM '#2]]&lt;&gt;"",MAX(T_Commission[[#This Row],[PJ]],T_Commission[[#This Row],[COM '#2]]),IF(T_Commission[[#This Row],[COM '#1]]&lt;&gt;"",MAX(T_Commission[[#This Row],[PJ]],T_Commission[[#This Row],[COM '#1]]),"")),"")</f>
        <v/>
      </c>
      <c r="P283" s="55" t="s">
        <v>115</v>
      </c>
      <c r="Q283" s="55" t="s">
        <v>3277</v>
      </c>
      <c r="R283" s="55"/>
      <c r="S283" s="56"/>
      <c r="T283" s="144"/>
    </row>
    <row r="284" spans="1:20" s="93" customFormat="1" ht="30" customHeight="1" x14ac:dyDescent="0.25">
      <c r="A284" s="90">
        <v>353</v>
      </c>
      <c r="B284" s="130" t="str">
        <f>IFERROR(IF(VLOOKUP(T_Commission[[#This Row],[NumL]],T_TraitDi[#Data],COLUMN(T_TraitDi[[#This Row],[Statut]]),FALSE)&lt;&gt;"",VLOOKUP(T_Commission[[#This Row],[NumL]],T_TraitDi[#Data],COLUMN(T_TraitDi[[#This Row],[Statut]]),FALSE),""),"")</f>
        <v/>
      </c>
      <c r="C284" s="139" t="str">
        <f>IFERROR(IF(VLOOKUP(T_Commission[[#This Row],[NumL]],T_suiviDi[#Data],COLUMN(T_suiviDi[[#This Row],[Nom]]),FALSE)&lt;&gt;"",VLOOKUP(T_Commission[[#This Row],[NumL]],T_suiviDi[#Data],COLUMN(T_suiviDi[[#This Row],[Nom]]),FALSE),""),"")</f>
        <v/>
      </c>
      <c r="D284" s="139" t="str">
        <f>IFERROR(IF(VLOOKUP(T_Commission[[#This Row],[NumL]],T_suiviDi[#Data],COLUMN(T_suiviDi[[#This Row],[Prénom]]),FALSE)&lt;&gt;"",VLOOKUP(T_Commission[[#This Row],[NumL]],T_suiviDi[#Data],COLUMN(T_suiviDi[[#This Row],[Prénom]]),FALSE),""),"")</f>
        <v/>
      </c>
      <c r="E284" s="140" t="str">
        <f>IFERROR(IF(VLOOKUP(T_Commission[[#This Row],[NumL]],T_suiviDi[#Data],COLUMN(T_suiviDi[[#This Row],[Email]]),FALSE)&lt;&gt;"",VLOOKUP(T_Commission[[#This Row],[NumL]],T_suiviDi[#Data],COLUMN(T_suiviDi[[#This Row],[Email]]),FALSE),""),"")</f>
        <v/>
      </c>
      <c r="F284" s="141" t="str">
        <f>IFERROR(IF(VLOOKUP(T_Commission[[#This Row],[NumL]],T_suiviDi[#Data],COLUMN(T_suiviDi[[#This Row],[Nom1]]),FALSE)&lt;&gt;"",VLOOKUP(T_Commission[[#This Row],[NumL]],T_suiviDi[#Data],COLUMN(T_suiviDi[[#This Row],[Nom1]]),FALSE),""),"")</f>
        <v/>
      </c>
      <c r="G284" s="141" t="str">
        <f>IFERROR(IF(VLOOKUP(T_Commission[[#This Row],[NumL]],T_suiviDi[#Data],COLUMN(T_suiviDi[[#This Row],[Prénom1]]),FALSE)&lt;&gt;"",VLOOKUP(T_Commission[[#This Row],[NumL]],T_suiviDi[#Data],COLUMN(T_suiviDi[[#This Row],[Prénom1]]),FALSE),""),"")</f>
        <v/>
      </c>
      <c r="H284" s="141" t="str">
        <f>IFERROR(IF(VLOOKUP(T_Commission[[#This Row],[NumL]],T_suiviDi[#Data],COLUMN(T_suiviDi[[#This Row],[Email1]]),FALSE)&lt;&gt;"",VLOOKUP(T_Commission[[#This Row],[NumL]],T_suiviDi[#Data],COLUMN(T_suiviDi[[#This Row],[Email1]]),FALSE),""),"")</f>
        <v/>
      </c>
      <c r="I284" s="142" t="str">
        <f>IFERROR(VLOOKUP(T_Commission[[#This Row],[NumL]],T_TraitDi[#Data],COLUMN(T_TraitDi[[#This Row],[CTRL_PJ]]),FALSE),"")</f>
        <v/>
      </c>
      <c r="J284" s="142" t="str">
        <f>IF(C284&lt;&gt;"",IFERROR(VLOOKUP(A284,'2- Traitement des DI'!BV32,FALSE),""),"")</f>
        <v/>
      </c>
      <c r="K284" s="142" t="str">
        <f>IFERROR(IF(VLOOKUP(T_Commission[[#This Row],[NumL]],T_suiviDi[#Data],COLUMN(T_suiviDi[[#This Row],[Avis n+1]]),FALSE)&lt;&gt;"",VLOOKUP(A284,T_suiviDi[#Data],COLUMN(T_suiviDi[[#This Row],[Avis n+1]]),FALSE),""),"")</f>
        <v/>
      </c>
      <c r="L284" s="142" t="str">
        <f>IFERROR(IF(VLOOKUP(A284,ListeDI,27,FALSE)&lt;&gt;"",VLOOKUP(A284,ListeDI,27,FALSE),""),"")</f>
        <v/>
      </c>
      <c r="M284" s="49">
        <v>1</v>
      </c>
      <c r="N284" s="49"/>
      <c r="O284" s="143" t="str">
        <f>IF(C284&lt;&gt;"",IF(N284&lt;&gt;"",MAX(I284,N284),IF(M284&lt;&gt;"",MAX(I284,M284),"")),"")</f>
        <v/>
      </c>
      <c r="P284" s="55" t="s">
        <v>115</v>
      </c>
      <c r="Q284" s="55" t="s">
        <v>3277</v>
      </c>
      <c r="R284" s="55" t="s">
        <v>3277</v>
      </c>
      <c r="S284" s="56"/>
      <c r="T284" s="144"/>
    </row>
    <row r="285" spans="1:20" s="93" customFormat="1" ht="30" customHeight="1" x14ac:dyDescent="0.25">
      <c r="A285" s="90">
        <v>192</v>
      </c>
      <c r="B285" s="130" t="str">
        <f>IFERROR(IF(VLOOKUP(T_Commission[[#This Row],[NumL]],T_TraitDi[#Data],COLUMN(T_TraitDi[[#This Row],[Statut]]),FALSE)&lt;&gt;"",VLOOKUP(T_Commission[[#This Row],[NumL]],T_TraitDi[#Data],COLUMN(T_TraitDi[[#This Row],[Statut]]),FALSE),""),"")</f>
        <v/>
      </c>
      <c r="C285" s="19" t="str">
        <f>IFERROR(IF(VLOOKUP(T_Commission[[#This Row],[NumL]],T_suiviDi[#Data],COLUMN(T_suiviDi[Nom]),FALSE)&lt;&gt;"",VLOOKUP(T_Commission[[#This Row],[NumL]],T_suiviDi[#Data],COLUMN(T_suiviDi[Nom]),FALSE),""),"")</f>
        <v/>
      </c>
      <c r="D285" s="19" t="str">
        <f>IFERROR(IF(VLOOKUP(T_Commission[[#This Row],[NumL]],T_suiviDi[#Data],COLUMN(T_suiviDi[Prénom]),FALSE)&lt;&gt;"",VLOOKUP(T_Commission[[#This Row],[NumL]],T_suiviDi[#Data],COLUMN(T_suiviDi[Prénom]),FALSE),""),"")</f>
        <v/>
      </c>
      <c r="E285" s="20" t="str">
        <f>IFERROR(IF(VLOOKUP(T_Commission[[#This Row],[NumL]],T_suiviDi[#Data],COLUMN(T_suiviDi[Email]),FALSE)&lt;&gt;"",VLOOKUP(T_Commission[[#This Row],[NumL]],T_suiviDi[#Data],COLUMN(T_suiviDi[Email]),FALSE),""),"")</f>
        <v/>
      </c>
      <c r="F285" s="274" t="str">
        <f>IFERROR(IF(VLOOKUP(T_Commission[[#This Row],[NumL]],T_suiviDi[#Data],COLUMN(T_suiviDi[[#This Row],[Nom1]]),FALSE)&lt;&gt;"",VLOOKUP(T_Commission[[#This Row],[NumL]],T_suiviDi[#Data],COLUMN(T_suiviDi[[#This Row],[Nom1]]),FALSE),""),"")</f>
        <v/>
      </c>
      <c r="G285" s="274" t="str">
        <f>IFERROR(IF(VLOOKUP(T_Commission[[#This Row],[NumL]],T_suiviDi[#Data],COLUMN(T_suiviDi[[#This Row],[Prénom1]]),FALSE)&lt;&gt;"",VLOOKUP(T_Commission[[#This Row],[NumL]],T_suiviDi[#Data],COLUMN(T_suiviDi[[#This Row],[Prénom1]]),FALSE),""),"")</f>
        <v/>
      </c>
      <c r="H285" s="274" t="str">
        <f>IFERROR(IF(VLOOKUP(T_Commission[[#This Row],[NumL]],T_suiviDi[#Data],COLUMN(T_suiviDi[[#This Row],[Email1]]),FALSE)&lt;&gt;"",VLOOKUP(T_Commission[[#This Row],[NumL]],T_suiviDi[#Data],COLUMN(T_suiviDi[[#This Row],[Email1]]),FALSE),""),"")</f>
        <v/>
      </c>
      <c r="I285" s="142" t="str">
        <f>IFERROR(VLOOKUP(T_Commission[[#This Row],[NumL]],T_TraitDi[#Data],COLUMN(T_TraitDi[[#This Row],[CTRL_PJ]]),FALSE),"")</f>
        <v/>
      </c>
      <c r="J285" s="142" t="str">
        <f>IF(T_Commission[[#This Row],[Nom]]&lt;&gt;"",IFERROR(VLOOKUP(T_Commission[[#This Row],[NumL]],T_TraitDi[#Data],COLUMN(T_TraitDi[[#This Row],[C10]]),FALSE),""),"")</f>
        <v/>
      </c>
      <c r="K285" s="142" t="str">
        <f>IFERROR(IF(VLOOKUP(T_Commission[[#This Row],[NumL]],T_suiviDi[#Data],COLUMN(T_suiviDi[[#This Row],[Avis n+1]]),FALSE)&lt;&gt;"",VLOOKUP(A285,T_suiviDi[#Data],COLUMN(T_suiviDi[[#This Row],[Avis n+1]]),FALSE),""),"")</f>
        <v/>
      </c>
      <c r="L285" s="142" t="str">
        <f>IFERROR(IF(VLOOKUP(T_Commission[[#This Row],[NumL]],T_suiviDi[#Data],COLUMN(T_suiviDi[[#This Row],[Avis n+2]]),FALSE)&lt;&gt;"",VLOOKUP(T_Commission[[#This Row],[NumL]],T_suiviDi[#Data],COLUMN(T_suiviDi[[#This Row],[Avis n+2]]),FALSE),""),"")</f>
        <v/>
      </c>
      <c r="M285" s="49">
        <v>1</v>
      </c>
      <c r="N285" s="49"/>
      <c r="O285" s="143" t="str">
        <f>IF(T_Commission[[#This Row],[Nom]]&lt;&gt;"",IF(T_Commission[[#This Row],[COM '#2]]&lt;&gt;"",MAX(T_Commission[[#This Row],[PJ]],T_Commission[[#This Row],[COM '#2]]),IF(T_Commission[[#This Row],[COM '#1]]&lt;&gt;"",MAX(T_Commission[[#This Row],[PJ]],T_Commission[[#This Row],[COM '#1]]),"")),"")</f>
        <v/>
      </c>
      <c r="P285" s="55" t="s">
        <v>115</v>
      </c>
      <c r="Q285" s="55" t="s">
        <v>3277</v>
      </c>
      <c r="R285" s="55" t="s">
        <v>3277</v>
      </c>
      <c r="S285" s="56"/>
      <c r="T285" s="144"/>
    </row>
    <row r="286" spans="1:20" s="93" customFormat="1" ht="30" customHeight="1" x14ac:dyDescent="0.25">
      <c r="A286" s="90">
        <v>214</v>
      </c>
      <c r="B286" s="130" t="str">
        <f>IFERROR(IF(VLOOKUP(T_Commission[[#This Row],[NumL]],T_TraitDi[#Data],COLUMN(T_TraitDi[[#This Row],[Statut]]),FALSE)&lt;&gt;"",VLOOKUP(T_Commission[[#This Row],[NumL]],T_TraitDi[#Data],COLUMN(T_TraitDi[[#This Row],[Statut]]),FALSE),""),"")</f>
        <v/>
      </c>
      <c r="C286" s="19" t="str">
        <f>IFERROR(IF(VLOOKUP(T_Commission[[#This Row],[NumL]],T_suiviDi[#Data],COLUMN(T_suiviDi[Nom]),FALSE)&lt;&gt;"",VLOOKUP(T_Commission[[#This Row],[NumL]],T_suiviDi[#Data],COLUMN(T_suiviDi[Nom]),FALSE),""),"")</f>
        <v/>
      </c>
      <c r="D286" s="19" t="str">
        <f>IFERROR(IF(VLOOKUP(T_Commission[[#This Row],[NumL]],T_suiviDi[#Data],COLUMN(T_suiviDi[Prénom]),FALSE)&lt;&gt;"",VLOOKUP(T_Commission[[#This Row],[NumL]],T_suiviDi[#Data],COLUMN(T_suiviDi[Prénom]),FALSE),""),"")</f>
        <v/>
      </c>
      <c r="E286" s="20" t="str">
        <f>IFERROR(IF(VLOOKUP(T_Commission[[#This Row],[NumL]],T_suiviDi[#Data],COLUMN(T_suiviDi[Email]),FALSE)&lt;&gt;"",VLOOKUP(T_Commission[[#This Row],[NumL]],T_suiviDi[#Data],COLUMN(T_suiviDi[Email]),FALSE),""),"")</f>
        <v/>
      </c>
      <c r="F286" s="274" t="str">
        <f>IFERROR(IF(VLOOKUP(T_Commission[[#This Row],[NumL]],T_suiviDi[#Data],COLUMN(T_suiviDi[[#This Row],[Nom1]]),FALSE)&lt;&gt;"",VLOOKUP(T_Commission[[#This Row],[NumL]],T_suiviDi[#Data],COLUMN(T_suiviDi[[#This Row],[Nom1]]),FALSE),""),"")</f>
        <v/>
      </c>
      <c r="G286" s="274" t="str">
        <f>IFERROR(IF(VLOOKUP(T_Commission[[#This Row],[NumL]],T_suiviDi[#Data],COLUMN(T_suiviDi[[#This Row],[Prénom1]]),FALSE)&lt;&gt;"",VLOOKUP(T_Commission[[#This Row],[NumL]],T_suiviDi[#Data],COLUMN(T_suiviDi[[#This Row],[Prénom1]]),FALSE),""),"")</f>
        <v/>
      </c>
      <c r="H286" s="274" t="str">
        <f>IFERROR(IF(VLOOKUP(T_Commission[[#This Row],[NumL]],T_suiviDi[#Data],COLUMN(T_suiviDi[[#This Row],[Email1]]),FALSE)&lt;&gt;"",VLOOKUP(T_Commission[[#This Row],[NumL]],T_suiviDi[#Data],COLUMN(T_suiviDi[[#This Row],[Email1]]),FALSE),""),"")</f>
        <v/>
      </c>
      <c r="I286" s="142" t="str">
        <f>IFERROR(VLOOKUP(T_Commission[[#This Row],[NumL]],T_TraitDi[#Data],COLUMN(T_TraitDi[[#This Row],[CTRL_PJ]]),FALSE),"")</f>
        <v/>
      </c>
      <c r="J286" s="142" t="str">
        <f>IF(T_Commission[[#This Row],[Nom]]&lt;&gt;"",IFERROR(VLOOKUP(T_Commission[[#This Row],[NumL]],T_TraitDi[#Data],COLUMN(T_TraitDi[[#This Row],[C10]]),FALSE),""),"")</f>
        <v/>
      </c>
      <c r="K286" s="142" t="str">
        <f>IFERROR(IF(VLOOKUP(T_Commission[[#This Row],[NumL]],T_suiviDi[#Data],COLUMN(T_suiviDi[[#This Row],[Avis n+1]]),FALSE)&lt;&gt;"",VLOOKUP(A286,T_suiviDi[#Data],COLUMN(T_suiviDi[[#This Row],[Avis n+1]]),FALSE),""),"")</f>
        <v/>
      </c>
      <c r="L286" s="142" t="str">
        <f>IFERROR(IF(VLOOKUP(T_Commission[[#This Row],[NumL]],T_suiviDi[#Data],COLUMN(T_suiviDi[[#This Row],[Avis n+2]]),FALSE)&lt;&gt;"",VLOOKUP(T_Commission[[#This Row],[NumL]],T_suiviDi[#Data],COLUMN(T_suiviDi[[#This Row],[Avis n+2]]),FALSE),""),"")</f>
        <v/>
      </c>
      <c r="M286" s="49">
        <v>1</v>
      </c>
      <c r="N286" s="49"/>
      <c r="O286" s="143" t="str">
        <f>IF(T_Commission[[#This Row],[Nom]]&lt;&gt;"",IF(T_Commission[[#This Row],[COM '#2]]&lt;&gt;"",MAX(T_Commission[[#This Row],[PJ]],T_Commission[[#This Row],[COM '#2]]),IF(T_Commission[[#This Row],[COM '#1]]&lt;&gt;"",MAX(T_Commission[[#This Row],[PJ]],T_Commission[[#This Row],[COM '#1]]),"")),"")</f>
        <v/>
      </c>
      <c r="P286" s="55" t="s">
        <v>115</v>
      </c>
      <c r="Q286" s="55" t="s">
        <v>3277</v>
      </c>
      <c r="R286" s="55" t="s">
        <v>3277</v>
      </c>
      <c r="S286" s="56"/>
      <c r="T286" s="144"/>
    </row>
    <row r="287" spans="1:20" s="93" customFormat="1" ht="30" customHeight="1" x14ac:dyDescent="0.25">
      <c r="A287" s="90">
        <v>50</v>
      </c>
      <c r="B287" s="130" t="str">
        <f>IFERROR(IF(VLOOKUP(T_Commission[[#This Row],[NumL]],T_TraitDi[#Data],COLUMN(T_TraitDi[[#This Row],[Statut]]),FALSE)&lt;&gt;"",VLOOKUP(T_Commission[[#This Row],[NumL]],T_TraitDi[#Data],COLUMN(T_TraitDi[[#This Row],[Statut]]),FALSE),""),"")</f>
        <v/>
      </c>
      <c r="C287" s="19" t="str">
        <f>IFERROR(IF(VLOOKUP(T_Commission[[#This Row],[NumL]],T_suiviDi[#Data],COLUMN(T_suiviDi[Nom]),FALSE)&lt;&gt;"",VLOOKUP(T_Commission[[#This Row],[NumL]],T_suiviDi[#Data],COLUMN(T_suiviDi[Nom]),FALSE),""),"")</f>
        <v/>
      </c>
      <c r="D287" s="19" t="str">
        <f>IFERROR(IF(VLOOKUP(T_Commission[[#This Row],[NumL]],T_suiviDi[#Data],COLUMN(T_suiviDi[Prénom]),FALSE)&lt;&gt;"",VLOOKUP(T_Commission[[#This Row],[NumL]],T_suiviDi[#Data],COLUMN(T_suiviDi[Prénom]),FALSE),""),"")</f>
        <v/>
      </c>
      <c r="E287" s="20" t="str">
        <f>IFERROR(IF(VLOOKUP(T_Commission[[#This Row],[NumL]],T_suiviDi[#Data],COLUMN(T_suiviDi[Email]),FALSE)&lt;&gt;"",VLOOKUP(T_Commission[[#This Row],[NumL]],T_suiviDi[#Data],COLUMN(T_suiviDi[Email]),FALSE),""),"")</f>
        <v/>
      </c>
      <c r="F287" s="274" t="str">
        <f>IFERROR(IF(VLOOKUP(T_Commission[[#This Row],[NumL]],T_suiviDi[#Data],COLUMN(T_suiviDi[[#This Row],[Nom1]]),FALSE)&lt;&gt;"",VLOOKUP(T_Commission[[#This Row],[NumL]],T_suiviDi[#Data],COLUMN(T_suiviDi[[#This Row],[Nom1]]),FALSE),""),"")</f>
        <v/>
      </c>
      <c r="G287" s="274" t="str">
        <f>IFERROR(IF(VLOOKUP(T_Commission[[#This Row],[NumL]],T_suiviDi[#Data],COLUMN(T_suiviDi[[#This Row],[Prénom1]]),FALSE)&lt;&gt;"",VLOOKUP(T_Commission[[#This Row],[NumL]],T_suiviDi[#Data],COLUMN(T_suiviDi[[#This Row],[Prénom1]]),FALSE),""),"")</f>
        <v/>
      </c>
      <c r="H287" s="274" t="str">
        <f>IFERROR(IF(VLOOKUP(T_Commission[[#This Row],[NumL]],T_suiviDi[#Data],COLUMN(T_suiviDi[[#This Row],[Email1]]),FALSE)&lt;&gt;"",VLOOKUP(T_Commission[[#This Row],[NumL]],T_suiviDi[#Data],COLUMN(T_suiviDi[[#This Row],[Email1]]),FALSE),""),"")</f>
        <v/>
      </c>
      <c r="I287" s="142" t="str">
        <f>IFERROR(VLOOKUP(T_Commission[[#This Row],[NumL]],T_TraitDi[#Data],COLUMN(T_TraitDi[[#This Row],[CTRL_PJ]]),FALSE),"")</f>
        <v/>
      </c>
      <c r="J287" s="142" t="str">
        <f>IF(T_Commission[[#This Row],[Nom]]&lt;&gt;"",IFERROR(VLOOKUP(T_Commission[[#This Row],[NumL]],T_TraitDi[#Data],COLUMN(T_TraitDi[[#This Row],[C10]]),FALSE),""),"")</f>
        <v/>
      </c>
      <c r="K287" s="142" t="str">
        <f>IFERROR(IF(VLOOKUP(T_Commission[[#This Row],[NumL]],T_suiviDi[#Data],COLUMN(T_suiviDi[[#This Row],[Avis n+1]]),FALSE)&lt;&gt;"",VLOOKUP(A287,T_suiviDi[#Data],COLUMN(T_suiviDi[[#This Row],[Avis n+1]]),FALSE),""),"")</f>
        <v/>
      </c>
      <c r="L287" s="142" t="str">
        <f>IFERROR(IF(VLOOKUP(T_Commission[[#This Row],[NumL]],T_suiviDi[#Data],COLUMN(T_suiviDi[[#This Row],[Avis n+2]]),FALSE)&lt;&gt;"",VLOOKUP(T_Commission[[#This Row],[NumL]],T_suiviDi[#Data],COLUMN(T_suiviDi[[#This Row],[Avis n+2]]),FALSE),""),"")</f>
        <v/>
      </c>
      <c r="M287" s="49">
        <v>1</v>
      </c>
      <c r="N287" s="49"/>
      <c r="O287" s="143" t="str">
        <f>IF(T_Commission[[#This Row],[Nom]]&lt;&gt;"",IF(T_Commission[[#This Row],[COM '#2]]&lt;&gt;"",MAX(T_Commission[[#This Row],[PJ]],T_Commission[[#This Row],[COM '#2]]),IF(T_Commission[[#This Row],[COM '#1]]&lt;&gt;"",MAX(T_Commission[[#This Row],[PJ]],T_Commission[[#This Row],[COM '#1]]),"")),"")</f>
        <v/>
      </c>
      <c r="P287" s="55" t="s">
        <v>115</v>
      </c>
      <c r="Q287" s="55" t="s">
        <v>3277</v>
      </c>
      <c r="R287" s="55" t="s">
        <v>3277</v>
      </c>
      <c r="S287" s="56"/>
      <c r="T287" s="144"/>
    </row>
    <row r="288" spans="1:20" s="93" customFormat="1" ht="30" customHeight="1" x14ac:dyDescent="0.25">
      <c r="A288" s="90">
        <v>262</v>
      </c>
      <c r="B288" s="130" t="str">
        <f>IFERROR(IF(VLOOKUP(T_Commission[[#This Row],[NumL]],T_TraitDi[#Data],COLUMN(T_TraitDi[[#This Row],[Statut]]),FALSE)&lt;&gt;"",VLOOKUP(T_Commission[[#This Row],[NumL]],T_TraitDi[#Data],COLUMN(T_TraitDi[[#This Row],[Statut]]),FALSE),""),"")</f>
        <v/>
      </c>
      <c r="C288" s="19" t="str">
        <f>IFERROR(IF(VLOOKUP(T_Commission[[#This Row],[NumL]],T_suiviDi[#Data],COLUMN(T_suiviDi[Nom]),FALSE)&lt;&gt;"",VLOOKUP(T_Commission[[#This Row],[NumL]],T_suiviDi[#Data],COLUMN(T_suiviDi[Nom]),FALSE),""),"")</f>
        <v/>
      </c>
      <c r="D288" s="19" t="str">
        <f>IFERROR(IF(VLOOKUP(T_Commission[[#This Row],[NumL]],T_suiviDi[#Data],COLUMN(T_suiviDi[Prénom]),FALSE)&lt;&gt;"",VLOOKUP(T_Commission[[#This Row],[NumL]],T_suiviDi[#Data],COLUMN(T_suiviDi[Prénom]),FALSE),""),"")</f>
        <v/>
      </c>
      <c r="E288" s="20" t="str">
        <f>IFERROR(IF(VLOOKUP(T_Commission[[#This Row],[NumL]],T_suiviDi[#Data],COLUMN(T_suiviDi[Email]),FALSE)&lt;&gt;"",VLOOKUP(T_Commission[[#This Row],[NumL]],T_suiviDi[#Data],COLUMN(T_suiviDi[Email]),FALSE),""),"")</f>
        <v/>
      </c>
      <c r="F288" s="274" t="str">
        <f>IFERROR(IF(VLOOKUP(T_Commission[[#This Row],[NumL]],T_suiviDi[#Data],COLUMN(T_suiviDi[[#This Row],[Nom1]]),FALSE)&lt;&gt;"",VLOOKUP(T_Commission[[#This Row],[NumL]],T_suiviDi[#Data],COLUMN(T_suiviDi[[#This Row],[Nom1]]),FALSE),""),"")</f>
        <v/>
      </c>
      <c r="G288" s="274" t="str">
        <f>IFERROR(IF(VLOOKUP(T_Commission[[#This Row],[NumL]],T_suiviDi[#Data],COLUMN(T_suiviDi[[#This Row],[Prénom1]]),FALSE)&lt;&gt;"",VLOOKUP(T_Commission[[#This Row],[NumL]],T_suiviDi[#Data],COLUMN(T_suiviDi[[#This Row],[Prénom1]]),FALSE),""),"")</f>
        <v/>
      </c>
      <c r="H288" s="274" t="str">
        <f>IFERROR(IF(VLOOKUP(T_Commission[[#This Row],[NumL]],T_suiviDi[#Data],COLUMN(T_suiviDi[[#This Row],[Email1]]),FALSE)&lt;&gt;"",VLOOKUP(T_Commission[[#This Row],[NumL]],T_suiviDi[#Data],COLUMN(T_suiviDi[[#This Row],[Email1]]),FALSE),""),"")</f>
        <v/>
      </c>
      <c r="I288" s="142" t="str">
        <f>IFERROR(VLOOKUP(T_Commission[[#This Row],[NumL]],T_TraitDi[#Data],COLUMN(T_TraitDi[[#This Row],[CTRL_PJ]]),FALSE),"")</f>
        <v/>
      </c>
      <c r="J288" s="142" t="str">
        <f>IF(T_Commission[[#This Row],[Nom]]&lt;&gt;"",IFERROR(VLOOKUP(T_Commission[[#This Row],[NumL]],T_TraitDi[#Data],COLUMN(T_TraitDi[[#This Row],[C10]]),FALSE),""),"")</f>
        <v/>
      </c>
      <c r="K288" s="142" t="str">
        <f>IFERROR(IF(VLOOKUP(T_Commission[[#This Row],[NumL]],T_suiviDi[#Data],COLUMN(T_suiviDi[[#This Row],[Avis n+1]]),FALSE)&lt;&gt;"",VLOOKUP(A288,T_suiviDi[#Data],COLUMN(T_suiviDi[[#This Row],[Avis n+1]]),FALSE),""),"")</f>
        <v/>
      </c>
      <c r="L288" s="142" t="str">
        <f>IFERROR(IF(VLOOKUP(T_Commission[[#This Row],[NumL]],T_suiviDi[#Data],COLUMN(T_suiviDi[[#This Row],[Avis n+2]]),FALSE)&lt;&gt;"",VLOOKUP(T_Commission[[#This Row],[NumL]],T_suiviDi[#Data],COLUMN(T_suiviDi[[#This Row],[Avis n+2]]),FALSE),""),"")</f>
        <v/>
      </c>
      <c r="M288" s="49">
        <v>1</v>
      </c>
      <c r="N288" s="49"/>
      <c r="O288" s="143" t="str">
        <f>IF(T_Commission[[#This Row],[Nom]]&lt;&gt;"",IF(T_Commission[[#This Row],[COM '#2]]&lt;&gt;"",MAX(T_Commission[[#This Row],[PJ]],T_Commission[[#This Row],[COM '#2]]),IF(T_Commission[[#This Row],[COM '#1]]&lt;&gt;"",MAX(T_Commission[[#This Row],[PJ]],T_Commission[[#This Row],[COM '#1]]),"")),"")</f>
        <v/>
      </c>
      <c r="P288" s="55" t="s">
        <v>115</v>
      </c>
      <c r="Q288" s="55" t="s">
        <v>3277</v>
      </c>
      <c r="R288" s="55" t="s">
        <v>3277</v>
      </c>
      <c r="S288" s="56"/>
      <c r="T288" s="144"/>
    </row>
    <row r="289" spans="1:20" s="93" customFormat="1" ht="30" customHeight="1" x14ac:dyDescent="0.25">
      <c r="A289" s="90">
        <v>132</v>
      </c>
      <c r="B289" s="130" t="str">
        <f>IFERROR(IF(VLOOKUP(T_Commission[[#This Row],[NumL]],T_TraitDi[#Data],COLUMN(T_TraitDi[[#This Row],[Statut]]),FALSE)&lt;&gt;"",VLOOKUP(T_Commission[[#This Row],[NumL]],T_TraitDi[#Data],COLUMN(T_TraitDi[[#This Row],[Statut]]),FALSE),""),"")</f>
        <v/>
      </c>
      <c r="C289" s="19" t="str">
        <f>IFERROR(IF(VLOOKUP(T_Commission[[#This Row],[NumL]],T_suiviDi[#Data],COLUMN(T_suiviDi[Nom]),FALSE)&lt;&gt;"",VLOOKUP(T_Commission[[#This Row],[NumL]],T_suiviDi[#Data],COLUMN(T_suiviDi[Nom]),FALSE),""),"")</f>
        <v/>
      </c>
      <c r="D289" s="19" t="str">
        <f>IFERROR(IF(VLOOKUP(T_Commission[[#This Row],[NumL]],T_suiviDi[#Data],COLUMN(T_suiviDi[Prénom]),FALSE)&lt;&gt;"",VLOOKUP(T_Commission[[#This Row],[NumL]],T_suiviDi[#Data],COLUMN(T_suiviDi[Prénom]),FALSE),""),"")</f>
        <v/>
      </c>
      <c r="E289" s="20" t="str">
        <f>IFERROR(IF(VLOOKUP(T_Commission[[#This Row],[NumL]],T_suiviDi[#Data],COLUMN(T_suiviDi[Email]),FALSE)&lt;&gt;"",VLOOKUP(T_Commission[[#This Row],[NumL]],T_suiviDi[#Data],COLUMN(T_suiviDi[Email]),FALSE),""),"")</f>
        <v/>
      </c>
      <c r="F289" s="274" t="str">
        <f>IFERROR(IF(VLOOKUP(T_Commission[[#This Row],[NumL]],T_suiviDi[#Data],COLUMN(T_suiviDi[[#This Row],[Nom1]]),FALSE)&lt;&gt;"",VLOOKUP(T_Commission[[#This Row],[NumL]],T_suiviDi[#Data],COLUMN(T_suiviDi[[#This Row],[Nom1]]),FALSE),""),"")</f>
        <v/>
      </c>
      <c r="G289" s="274" t="str">
        <f>IFERROR(IF(VLOOKUP(T_Commission[[#This Row],[NumL]],T_suiviDi[#Data],COLUMN(T_suiviDi[[#This Row],[Prénom1]]),FALSE)&lt;&gt;"",VLOOKUP(T_Commission[[#This Row],[NumL]],T_suiviDi[#Data],COLUMN(T_suiviDi[[#This Row],[Prénom1]]),FALSE),""),"")</f>
        <v/>
      </c>
      <c r="H289" s="274" t="str">
        <f>IFERROR(IF(VLOOKUP(T_Commission[[#This Row],[NumL]],T_suiviDi[#Data],COLUMN(T_suiviDi[[#This Row],[Email1]]),FALSE)&lt;&gt;"",VLOOKUP(T_Commission[[#This Row],[NumL]],T_suiviDi[#Data],COLUMN(T_suiviDi[[#This Row],[Email1]]),FALSE),""),"")</f>
        <v/>
      </c>
      <c r="I289" s="142" t="str">
        <f>IFERROR(VLOOKUP(T_Commission[[#This Row],[NumL]],T_TraitDi[#Data],COLUMN(T_TraitDi[[#This Row],[CTRL_PJ]]),FALSE),"")</f>
        <v/>
      </c>
      <c r="J289" s="142" t="str">
        <f>IF(T_Commission[[#This Row],[Nom]]&lt;&gt;"",IFERROR(VLOOKUP(T_Commission[[#This Row],[NumL]],T_TraitDi[#Data],COLUMN(T_TraitDi[[#This Row],[C10]]),FALSE),""),"")</f>
        <v/>
      </c>
      <c r="K289" s="142" t="str">
        <f>IFERROR(IF(VLOOKUP(T_Commission[[#This Row],[NumL]],T_suiviDi[#Data],COLUMN(T_suiviDi[[#This Row],[Avis n+1]]),FALSE)&lt;&gt;"",VLOOKUP(A289,T_suiviDi[#Data],COLUMN(T_suiviDi[[#This Row],[Avis n+1]]),FALSE),""),"")</f>
        <v/>
      </c>
      <c r="L289" s="142" t="str">
        <f>IFERROR(IF(VLOOKUP(T_Commission[[#This Row],[NumL]],T_suiviDi[#Data],COLUMN(T_suiviDi[[#This Row],[Avis n+2]]),FALSE)&lt;&gt;"",VLOOKUP(T_Commission[[#This Row],[NumL]],T_suiviDi[#Data],COLUMN(T_suiviDi[[#This Row],[Avis n+2]]),FALSE),""),"")</f>
        <v/>
      </c>
      <c r="M289" s="49">
        <v>1</v>
      </c>
      <c r="N289" s="49"/>
      <c r="O289" s="143" t="str">
        <f>IF(T_Commission[[#This Row],[Nom]]&lt;&gt;"",IF(T_Commission[[#This Row],[COM '#2]]&lt;&gt;"",MAX(T_Commission[[#This Row],[PJ]],T_Commission[[#This Row],[COM '#2]]),IF(T_Commission[[#This Row],[COM '#1]]&lt;&gt;"",MAX(T_Commission[[#This Row],[PJ]],T_Commission[[#This Row],[COM '#1]]),"")),"")</f>
        <v/>
      </c>
      <c r="P289" s="55" t="s">
        <v>115</v>
      </c>
      <c r="Q289" s="55" t="s">
        <v>3277</v>
      </c>
      <c r="R289" s="55" t="s">
        <v>3277</v>
      </c>
      <c r="S289" s="56"/>
      <c r="T289" s="144"/>
    </row>
    <row r="290" spans="1:20" s="93" customFormat="1" ht="30" customHeight="1" x14ac:dyDescent="0.25">
      <c r="A290" s="90">
        <v>166</v>
      </c>
      <c r="B290" s="130" t="str">
        <f>IFERROR(IF(VLOOKUP(T_Commission[[#This Row],[NumL]],T_TraitDi[#Data],COLUMN(T_TraitDi[[#This Row],[Statut]]),FALSE)&lt;&gt;"",VLOOKUP(T_Commission[[#This Row],[NumL]],T_TraitDi[#Data],COLUMN(T_TraitDi[[#This Row],[Statut]]),FALSE),""),"")</f>
        <v/>
      </c>
      <c r="C290" s="19" t="str">
        <f>IFERROR(IF(VLOOKUP(T_Commission[[#This Row],[NumL]],T_suiviDi[#Data],COLUMN(T_suiviDi[Nom]),FALSE)&lt;&gt;"",VLOOKUP(T_Commission[[#This Row],[NumL]],T_suiviDi[#Data],COLUMN(T_suiviDi[Nom]),FALSE),""),"")</f>
        <v/>
      </c>
      <c r="D290" s="19" t="str">
        <f>IFERROR(IF(VLOOKUP(T_Commission[[#This Row],[NumL]],T_suiviDi[#Data],COLUMN(T_suiviDi[Prénom]),FALSE)&lt;&gt;"",VLOOKUP(T_Commission[[#This Row],[NumL]],T_suiviDi[#Data],COLUMN(T_suiviDi[Prénom]),FALSE),""),"")</f>
        <v/>
      </c>
      <c r="E290" s="20" t="str">
        <f>IFERROR(IF(VLOOKUP(T_Commission[[#This Row],[NumL]],T_suiviDi[#Data],COLUMN(T_suiviDi[Email]),FALSE)&lt;&gt;"",VLOOKUP(T_Commission[[#This Row],[NumL]],T_suiviDi[#Data],COLUMN(T_suiviDi[Email]),FALSE),""),"")</f>
        <v/>
      </c>
      <c r="F290" s="274" t="str">
        <f>IFERROR(IF(VLOOKUP(T_Commission[[#This Row],[NumL]],T_suiviDi[#Data],COLUMN(T_suiviDi[[#This Row],[Nom1]]),FALSE)&lt;&gt;"",VLOOKUP(T_Commission[[#This Row],[NumL]],T_suiviDi[#Data],COLUMN(T_suiviDi[[#This Row],[Nom1]]),FALSE),""),"")</f>
        <v/>
      </c>
      <c r="G290" s="274" t="str">
        <f>IFERROR(IF(VLOOKUP(T_Commission[[#This Row],[NumL]],T_suiviDi[#Data],COLUMN(T_suiviDi[[#This Row],[Prénom1]]),FALSE)&lt;&gt;"",VLOOKUP(T_Commission[[#This Row],[NumL]],T_suiviDi[#Data],COLUMN(T_suiviDi[[#This Row],[Prénom1]]),FALSE),""),"")</f>
        <v/>
      </c>
      <c r="H290" s="274" t="str">
        <f>IFERROR(IF(VLOOKUP(T_Commission[[#This Row],[NumL]],T_suiviDi[#Data],COLUMN(T_suiviDi[[#This Row],[Email1]]),FALSE)&lt;&gt;"",VLOOKUP(T_Commission[[#This Row],[NumL]],T_suiviDi[#Data],COLUMN(T_suiviDi[[#This Row],[Email1]]),FALSE),""),"")</f>
        <v/>
      </c>
      <c r="I290" s="142" t="str">
        <f>IFERROR(VLOOKUP(T_Commission[[#This Row],[NumL]],T_TraitDi[#Data],COLUMN(T_TraitDi[[#This Row],[CTRL_PJ]]),FALSE),"")</f>
        <v/>
      </c>
      <c r="J290" s="142" t="str">
        <f>IF(T_Commission[[#This Row],[Nom]]&lt;&gt;"",IFERROR(VLOOKUP(T_Commission[[#This Row],[NumL]],T_TraitDi[#Data],COLUMN(T_TraitDi[[#This Row],[C10]]),FALSE),""),"")</f>
        <v/>
      </c>
      <c r="K290" s="142" t="str">
        <f>IFERROR(IF(VLOOKUP(T_Commission[[#This Row],[NumL]],T_suiviDi[#Data],COLUMN(T_suiviDi[[#This Row],[Avis n+1]]),FALSE)&lt;&gt;"",VLOOKUP(A290,T_suiviDi[#Data],COLUMN(T_suiviDi[[#This Row],[Avis n+1]]),FALSE),""),"")</f>
        <v/>
      </c>
      <c r="L290" s="142" t="str">
        <f>IFERROR(IF(VLOOKUP(T_Commission[[#This Row],[NumL]],T_suiviDi[#Data],COLUMN(T_suiviDi[[#This Row],[Avis n+2]]),FALSE)&lt;&gt;"",VLOOKUP(T_Commission[[#This Row],[NumL]],T_suiviDi[#Data],COLUMN(T_suiviDi[[#This Row],[Avis n+2]]),FALSE),""),"")</f>
        <v/>
      </c>
      <c r="M290" s="49">
        <v>1</v>
      </c>
      <c r="N290" s="49"/>
      <c r="O290" s="143" t="str">
        <f>IF(T_Commission[[#This Row],[Nom]]&lt;&gt;"",IF(T_Commission[[#This Row],[COM '#2]]&lt;&gt;"",MAX(T_Commission[[#This Row],[PJ]],T_Commission[[#This Row],[COM '#2]]),IF(T_Commission[[#This Row],[COM '#1]]&lt;&gt;"",MAX(T_Commission[[#This Row],[PJ]],T_Commission[[#This Row],[COM '#1]]),"")),"")</f>
        <v/>
      </c>
      <c r="P290" s="55" t="s">
        <v>115</v>
      </c>
      <c r="Q290" s="55" t="s">
        <v>3277</v>
      </c>
      <c r="R290" s="55" t="s">
        <v>3277</v>
      </c>
      <c r="S290" s="56"/>
      <c r="T290" s="144"/>
    </row>
    <row r="291" spans="1:20" s="93" customFormat="1" ht="30" customHeight="1" x14ac:dyDescent="0.25">
      <c r="A291" s="90">
        <v>325</v>
      </c>
      <c r="B291" s="130" t="str">
        <f>IFERROR(IF(VLOOKUP(T_Commission[[#This Row],[NumL]],T_TraitDi[#Data],COLUMN(T_TraitDi[[#This Row],[Statut]]),FALSE)&lt;&gt;"",VLOOKUP(T_Commission[[#This Row],[NumL]],T_TraitDi[#Data],COLUMN(T_TraitDi[[#This Row],[Statut]]),FALSE),""),"")</f>
        <v/>
      </c>
      <c r="C291" s="139" t="str">
        <f>IFERROR(IF(VLOOKUP(T_Commission[[#This Row],[NumL]],T_suiviDi[#Data],COLUMN(T_suiviDi[[#This Row],[Nom]]),FALSE)&lt;&gt;"",VLOOKUP(T_Commission[[#This Row],[NumL]],T_suiviDi[#Data],COLUMN(T_suiviDi[[#This Row],[Nom]]),FALSE),""),"")</f>
        <v/>
      </c>
      <c r="D291" s="139" t="str">
        <f>IFERROR(IF(VLOOKUP(T_Commission[[#This Row],[NumL]],T_suiviDi[#Data],COLUMN(T_suiviDi[[#This Row],[Prénom]]),FALSE)&lt;&gt;"",VLOOKUP(T_Commission[[#This Row],[NumL]],T_suiviDi[#Data],COLUMN(T_suiviDi[[#This Row],[Prénom]]),FALSE),""),"")</f>
        <v/>
      </c>
      <c r="E291" s="140" t="str">
        <f>IFERROR(IF(VLOOKUP(T_Commission[[#This Row],[NumL]],T_suiviDi[#Data],COLUMN(T_suiviDi[[#This Row],[Email]]),FALSE)&lt;&gt;"",VLOOKUP(T_Commission[[#This Row],[NumL]],T_suiviDi[#Data],COLUMN(T_suiviDi[[#This Row],[Email]]),FALSE),""),"")</f>
        <v/>
      </c>
      <c r="F291" s="141" t="str">
        <f>IFERROR(IF(VLOOKUP(T_Commission[[#This Row],[NumL]],T_suiviDi[#Data],COLUMN(T_suiviDi[[#This Row],[Nom1]]),FALSE)&lt;&gt;"",VLOOKUP(T_Commission[[#This Row],[NumL]],T_suiviDi[#Data],COLUMN(T_suiviDi[[#This Row],[Nom1]]),FALSE),""),"")</f>
        <v/>
      </c>
      <c r="G291" s="141" t="str">
        <f>IFERROR(IF(VLOOKUP(T_Commission[[#This Row],[NumL]],T_suiviDi[#Data],COLUMN(T_suiviDi[[#This Row],[Prénom1]]),FALSE)&lt;&gt;"",VLOOKUP(T_Commission[[#This Row],[NumL]],T_suiviDi[#Data],COLUMN(T_suiviDi[[#This Row],[Prénom1]]),FALSE),""),"")</f>
        <v/>
      </c>
      <c r="H291" s="141" t="str">
        <f>IFERROR(IF(VLOOKUP(T_Commission[[#This Row],[NumL]],T_suiviDi[#Data],COLUMN(T_suiviDi[[#This Row],[Email1]]),FALSE)&lt;&gt;"",VLOOKUP(T_Commission[[#This Row],[NumL]],T_suiviDi[#Data],COLUMN(T_suiviDi[[#This Row],[Email1]]),FALSE),""),"")</f>
        <v/>
      </c>
      <c r="I291" s="142" t="str">
        <f>IFERROR(VLOOKUP(T_Commission[[#This Row],[NumL]],T_TraitDi[#Data],COLUMN(T_TraitDi[[#This Row],[CTRL_PJ]]),FALSE),"")</f>
        <v/>
      </c>
      <c r="J291" s="142" t="str">
        <f>IF(C291&lt;&gt;"",IFERROR(VLOOKUP(A291,'2- Traitement des DI'!BV32,FALSE),""),"")</f>
        <v/>
      </c>
      <c r="K291" s="142" t="str">
        <f>IFERROR(IF(VLOOKUP(T_Commission[[#This Row],[NumL]],T_suiviDi[#Data],COLUMN(T_suiviDi[[#This Row],[Avis n+1]]),FALSE)&lt;&gt;"",VLOOKUP(A291,T_suiviDi[#Data],COLUMN(T_suiviDi[[#This Row],[Avis n+1]]),FALSE),""),"")</f>
        <v/>
      </c>
      <c r="L291" s="142" t="str">
        <f>IFERROR(IF(VLOOKUP(A291,ListeDI,27,FALSE)&lt;&gt;"",VLOOKUP(A291,ListeDI,27,FALSE),""),"")</f>
        <v/>
      </c>
      <c r="M291" s="49">
        <v>1</v>
      </c>
      <c r="N291" s="49"/>
      <c r="O291" s="143" t="str">
        <f>IF(C291&lt;&gt;"",IF(N291&lt;&gt;"",MAX(I291,N291),IF(M291&lt;&gt;"",MAX(I291,M291),"")),"")</f>
        <v/>
      </c>
      <c r="P291" s="55" t="s">
        <v>115</v>
      </c>
      <c r="Q291" s="55" t="s">
        <v>3277</v>
      </c>
      <c r="R291" s="55"/>
      <c r="S291" s="56"/>
      <c r="T291" s="144"/>
    </row>
    <row r="292" spans="1:20" s="93" customFormat="1" ht="30" customHeight="1" x14ac:dyDescent="0.25">
      <c r="A292" s="90">
        <v>175</v>
      </c>
      <c r="B292" s="130" t="str">
        <f>IFERROR(IF(VLOOKUP(T_Commission[[#This Row],[NumL]],T_TraitDi[#Data],COLUMN(T_TraitDi[[#This Row],[Statut]]),FALSE)&lt;&gt;"",VLOOKUP(T_Commission[[#This Row],[NumL]],T_TraitDi[#Data],COLUMN(T_TraitDi[[#This Row],[Statut]]),FALSE),""),"")</f>
        <v/>
      </c>
      <c r="C292" s="19" t="str">
        <f>IFERROR(IF(VLOOKUP(T_Commission[[#This Row],[NumL]],T_suiviDi[#Data],COLUMN(T_suiviDi[Nom]),FALSE)&lt;&gt;"",VLOOKUP(T_Commission[[#This Row],[NumL]],T_suiviDi[#Data],COLUMN(T_suiviDi[Nom]),FALSE),""),"")</f>
        <v/>
      </c>
      <c r="D292" s="19" t="str">
        <f>IFERROR(IF(VLOOKUP(T_Commission[[#This Row],[NumL]],T_suiviDi[#Data],COLUMN(T_suiviDi[Prénom]),FALSE)&lt;&gt;"",VLOOKUP(T_Commission[[#This Row],[NumL]],T_suiviDi[#Data],COLUMN(T_suiviDi[Prénom]),FALSE),""),"")</f>
        <v/>
      </c>
      <c r="E292" s="20" t="str">
        <f>IFERROR(IF(VLOOKUP(T_Commission[[#This Row],[NumL]],T_suiviDi[#Data],COLUMN(T_suiviDi[Email]),FALSE)&lt;&gt;"",VLOOKUP(T_Commission[[#This Row],[NumL]],T_suiviDi[#Data],COLUMN(T_suiviDi[Email]),FALSE),""),"")</f>
        <v/>
      </c>
      <c r="F292" s="274" t="str">
        <f>IFERROR(IF(VLOOKUP(T_Commission[[#This Row],[NumL]],T_suiviDi[#Data],COLUMN(T_suiviDi[[#This Row],[Nom1]]),FALSE)&lt;&gt;"",VLOOKUP(T_Commission[[#This Row],[NumL]],T_suiviDi[#Data],COLUMN(T_suiviDi[[#This Row],[Nom1]]),FALSE),""),"")</f>
        <v/>
      </c>
      <c r="G292" s="274" t="str">
        <f>IFERROR(IF(VLOOKUP(T_Commission[[#This Row],[NumL]],T_suiviDi[#Data],COLUMN(T_suiviDi[[#This Row],[Prénom1]]),FALSE)&lt;&gt;"",VLOOKUP(T_Commission[[#This Row],[NumL]],T_suiviDi[#Data],COLUMN(T_suiviDi[[#This Row],[Prénom1]]),FALSE),""),"")</f>
        <v/>
      </c>
      <c r="H292" s="274" t="str">
        <f>IFERROR(IF(VLOOKUP(T_Commission[[#This Row],[NumL]],T_suiviDi[#Data],COLUMN(T_suiviDi[[#This Row],[Email1]]),FALSE)&lt;&gt;"",VLOOKUP(T_Commission[[#This Row],[NumL]],T_suiviDi[#Data],COLUMN(T_suiviDi[[#This Row],[Email1]]),FALSE),""),"")</f>
        <v/>
      </c>
      <c r="I292" s="142" t="str">
        <f>IFERROR(VLOOKUP(T_Commission[[#This Row],[NumL]],T_TraitDi[#Data],COLUMN(T_TraitDi[[#This Row],[CTRL_PJ]]),FALSE),"")</f>
        <v/>
      </c>
      <c r="J292" s="142" t="str">
        <f>IF(T_Commission[[#This Row],[Nom]]&lt;&gt;"",IFERROR(VLOOKUP(T_Commission[[#This Row],[NumL]],T_TraitDi[#Data],COLUMN(T_TraitDi[[#This Row],[C10]]),FALSE),""),"")</f>
        <v/>
      </c>
      <c r="K292" s="142" t="str">
        <f>IFERROR(IF(VLOOKUP(T_Commission[[#This Row],[NumL]],T_suiviDi[#Data],COLUMN(T_suiviDi[[#This Row],[Avis n+1]]),FALSE)&lt;&gt;"",VLOOKUP(A292,T_suiviDi[#Data],COLUMN(T_suiviDi[[#This Row],[Avis n+1]]),FALSE),""),"")</f>
        <v/>
      </c>
      <c r="L292" s="142" t="str">
        <f>IFERROR(IF(VLOOKUP(T_Commission[[#This Row],[NumL]],T_suiviDi[#Data],COLUMN(T_suiviDi[[#This Row],[Avis n+2]]),FALSE)&lt;&gt;"",VLOOKUP(T_Commission[[#This Row],[NumL]],T_suiviDi[#Data],COLUMN(T_suiviDi[[#This Row],[Avis n+2]]),FALSE),""),"")</f>
        <v/>
      </c>
      <c r="M292" s="49">
        <v>1</v>
      </c>
      <c r="N292" s="49"/>
      <c r="O292" s="143" t="str">
        <f>IF(T_Commission[[#This Row],[Nom]]&lt;&gt;"",IF(T_Commission[[#This Row],[COM '#2]]&lt;&gt;"",MAX(T_Commission[[#This Row],[PJ]],T_Commission[[#This Row],[COM '#2]]),IF(T_Commission[[#This Row],[COM '#1]]&lt;&gt;"",MAX(T_Commission[[#This Row],[PJ]],T_Commission[[#This Row],[COM '#1]]),"")),"")</f>
        <v/>
      </c>
      <c r="P292" s="55" t="s">
        <v>115</v>
      </c>
      <c r="Q292" s="55" t="s">
        <v>3277</v>
      </c>
      <c r="R292" s="55" t="s">
        <v>3277</v>
      </c>
      <c r="S292" s="56"/>
      <c r="T292" s="144"/>
    </row>
    <row r="293" spans="1:20" s="93" customFormat="1" ht="30" customHeight="1" x14ac:dyDescent="0.25">
      <c r="A293" s="90">
        <v>230</v>
      </c>
      <c r="B293" s="130" t="str">
        <f>IFERROR(IF(VLOOKUP(T_Commission[[#This Row],[NumL]],T_TraitDi[#Data],COLUMN(T_TraitDi[[#This Row],[Statut]]),FALSE)&lt;&gt;"",VLOOKUP(T_Commission[[#This Row],[NumL]],T_TraitDi[#Data],COLUMN(T_TraitDi[[#This Row],[Statut]]),FALSE),""),"")</f>
        <v/>
      </c>
      <c r="C293" s="19" t="str">
        <f>IFERROR(IF(VLOOKUP(T_Commission[[#This Row],[NumL]],T_suiviDi[#Data],COLUMN(T_suiviDi[Nom]),FALSE)&lt;&gt;"",VLOOKUP(T_Commission[[#This Row],[NumL]],T_suiviDi[#Data],COLUMN(T_suiviDi[Nom]),FALSE),""),"")</f>
        <v/>
      </c>
      <c r="D293" s="19" t="str">
        <f>IFERROR(IF(VLOOKUP(T_Commission[[#This Row],[NumL]],T_suiviDi[#Data],COLUMN(T_suiviDi[Prénom]),FALSE)&lt;&gt;"",VLOOKUP(T_Commission[[#This Row],[NumL]],T_suiviDi[#Data],COLUMN(T_suiviDi[Prénom]),FALSE),""),"")</f>
        <v/>
      </c>
      <c r="E293" s="20" t="str">
        <f>IFERROR(IF(VLOOKUP(T_Commission[[#This Row],[NumL]],T_suiviDi[#Data],COLUMN(T_suiviDi[Email]),FALSE)&lt;&gt;"",VLOOKUP(T_Commission[[#This Row],[NumL]],T_suiviDi[#Data],COLUMN(T_suiviDi[Email]),FALSE),""),"")</f>
        <v/>
      </c>
      <c r="F293" s="274" t="str">
        <f>IFERROR(IF(VLOOKUP(T_Commission[[#This Row],[NumL]],T_suiviDi[#Data],COLUMN(T_suiviDi[[#This Row],[Nom1]]),FALSE)&lt;&gt;"",VLOOKUP(T_Commission[[#This Row],[NumL]],T_suiviDi[#Data],COLUMN(T_suiviDi[[#This Row],[Nom1]]),FALSE),""),"")</f>
        <v/>
      </c>
      <c r="G293" s="274" t="str">
        <f>IFERROR(IF(VLOOKUP(T_Commission[[#This Row],[NumL]],T_suiviDi[#Data],COLUMN(T_suiviDi[[#This Row],[Prénom1]]),FALSE)&lt;&gt;"",VLOOKUP(T_Commission[[#This Row],[NumL]],T_suiviDi[#Data],COLUMN(T_suiviDi[[#This Row],[Prénom1]]),FALSE),""),"")</f>
        <v/>
      </c>
      <c r="H293" s="274" t="str">
        <f>IFERROR(IF(VLOOKUP(T_Commission[[#This Row],[NumL]],T_suiviDi[#Data],COLUMN(T_suiviDi[[#This Row],[Email1]]),FALSE)&lt;&gt;"",VLOOKUP(T_Commission[[#This Row],[NumL]],T_suiviDi[#Data],COLUMN(T_suiviDi[[#This Row],[Email1]]),FALSE),""),"")</f>
        <v/>
      </c>
      <c r="I293" s="142" t="str">
        <f>IFERROR(VLOOKUP(T_Commission[[#This Row],[NumL]],T_TraitDi[#Data],COLUMN(T_TraitDi[[#This Row],[CTRL_PJ]]),FALSE),"")</f>
        <v/>
      </c>
      <c r="J293" s="142" t="str">
        <f>IF(T_Commission[[#This Row],[Nom]]&lt;&gt;"",IFERROR(VLOOKUP(T_Commission[[#This Row],[NumL]],T_TraitDi[#Data],COLUMN(T_TraitDi[[#This Row],[C10]]),FALSE),""),"")</f>
        <v/>
      </c>
      <c r="K293" s="142" t="str">
        <f>IFERROR(IF(VLOOKUP(T_Commission[[#This Row],[NumL]],T_suiviDi[#Data],COLUMN(T_suiviDi[[#This Row],[Avis n+1]]),FALSE)&lt;&gt;"",VLOOKUP(A293,T_suiviDi[#Data],COLUMN(T_suiviDi[[#This Row],[Avis n+1]]),FALSE),""),"")</f>
        <v/>
      </c>
      <c r="L293" s="142" t="str">
        <f>IFERROR(IF(VLOOKUP(T_Commission[[#This Row],[NumL]],T_suiviDi[#Data],COLUMN(T_suiviDi[[#This Row],[Avis n+2]]),FALSE)&lt;&gt;"",VLOOKUP(T_Commission[[#This Row],[NumL]],T_suiviDi[#Data],COLUMN(T_suiviDi[[#This Row],[Avis n+2]]),FALSE),""),"")</f>
        <v/>
      </c>
      <c r="M293" s="49">
        <v>1</v>
      </c>
      <c r="N293" s="49"/>
      <c r="O293" s="143" t="str">
        <f>IF(T_Commission[[#This Row],[Nom]]&lt;&gt;"",IF(T_Commission[[#This Row],[COM '#2]]&lt;&gt;"",MAX(T_Commission[[#This Row],[PJ]],T_Commission[[#This Row],[COM '#2]]),IF(T_Commission[[#This Row],[COM '#1]]&lt;&gt;"",MAX(T_Commission[[#This Row],[PJ]],T_Commission[[#This Row],[COM '#1]]),"")),"")</f>
        <v/>
      </c>
      <c r="P293" s="55" t="s">
        <v>115</v>
      </c>
      <c r="Q293" s="55" t="s">
        <v>3277</v>
      </c>
      <c r="R293" s="55" t="s">
        <v>3277</v>
      </c>
      <c r="S293" s="56"/>
      <c r="T293" s="144"/>
    </row>
    <row r="294" spans="1:20" s="93" customFormat="1" ht="30" customHeight="1" x14ac:dyDescent="0.25">
      <c r="A294" s="90">
        <v>344</v>
      </c>
      <c r="B294" s="130" t="str">
        <f>IFERROR(IF(VLOOKUP(T_Commission[[#This Row],[NumL]],T_TraitDi[#Data],COLUMN(T_TraitDi[[#This Row],[Statut]]),FALSE)&lt;&gt;"",VLOOKUP(T_Commission[[#This Row],[NumL]],T_TraitDi[#Data],COLUMN(T_TraitDi[[#This Row],[Statut]]),FALSE),""),"")</f>
        <v/>
      </c>
      <c r="C294" s="139" t="str">
        <f>IFERROR(IF(VLOOKUP(T_Commission[[#This Row],[NumL]],T_suiviDi[#Data],COLUMN(T_suiviDi[[#This Row],[Nom]]),FALSE)&lt;&gt;"",VLOOKUP(T_Commission[[#This Row],[NumL]],T_suiviDi[#Data],COLUMN(T_suiviDi[[#This Row],[Nom]]),FALSE),""),"")</f>
        <v/>
      </c>
      <c r="D294" s="139" t="str">
        <f>IFERROR(IF(VLOOKUP(T_Commission[[#This Row],[NumL]],T_suiviDi[#Data],COLUMN(T_suiviDi[[#This Row],[Prénom]]),FALSE)&lt;&gt;"",VLOOKUP(T_Commission[[#This Row],[NumL]],T_suiviDi[#Data],COLUMN(T_suiviDi[[#This Row],[Prénom]]),FALSE),""),"")</f>
        <v/>
      </c>
      <c r="E294" s="140" t="str">
        <f>IFERROR(IF(VLOOKUP(T_Commission[[#This Row],[NumL]],T_suiviDi[#Data],COLUMN(T_suiviDi[[#This Row],[Email]]),FALSE)&lt;&gt;"",VLOOKUP(T_Commission[[#This Row],[NumL]],T_suiviDi[#Data],COLUMN(T_suiviDi[[#This Row],[Email]]),FALSE),""),"")</f>
        <v/>
      </c>
      <c r="F294" s="141" t="str">
        <f>IFERROR(IF(VLOOKUP(T_Commission[[#This Row],[NumL]],T_suiviDi[#Data],COLUMN(T_suiviDi[[#This Row],[Nom1]]),FALSE)&lt;&gt;"",VLOOKUP(T_Commission[[#This Row],[NumL]],T_suiviDi[#Data],COLUMN(T_suiviDi[[#This Row],[Nom1]]),FALSE),""),"")</f>
        <v/>
      </c>
      <c r="G294" s="141" t="str">
        <f>IFERROR(IF(VLOOKUP(T_Commission[[#This Row],[NumL]],T_suiviDi[#Data],COLUMN(T_suiviDi[[#This Row],[Prénom1]]),FALSE)&lt;&gt;"",VLOOKUP(T_Commission[[#This Row],[NumL]],T_suiviDi[#Data],COLUMN(T_suiviDi[[#This Row],[Prénom1]]),FALSE),""),"")</f>
        <v/>
      </c>
      <c r="H294" s="141" t="str">
        <f>IFERROR(IF(VLOOKUP(T_Commission[[#This Row],[NumL]],T_suiviDi[#Data],COLUMN(T_suiviDi[[#This Row],[Email1]]),FALSE)&lt;&gt;"",VLOOKUP(T_Commission[[#This Row],[NumL]],T_suiviDi[#Data],COLUMN(T_suiviDi[[#This Row],[Email1]]),FALSE),""),"")</f>
        <v/>
      </c>
      <c r="I294" s="142" t="str">
        <f>IFERROR(VLOOKUP(T_Commission[[#This Row],[NumL]],T_TraitDi[#Data],COLUMN(T_TraitDi[[#This Row],[CTRL_PJ]]),FALSE),"")</f>
        <v/>
      </c>
      <c r="J294" s="142" t="str">
        <f>IF(C294&lt;&gt;"",IFERROR(VLOOKUP(A294,'2- Traitement des DI'!BV32,FALSE),""),"")</f>
        <v/>
      </c>
      <c r="K294" s="142" t="str">
        <f>IFERROR(IF(VLOOKUP(T_Commission[[#This Row],[NumL]],T_suiviDi[#Data],COLUMN(T_suiviDi[[#This Row],[Avis n+1]]),FALSE)&lt;&gt;"",VLOOKUP(A294,T_suiviDi[#Data],COLUMN(T_suiviDi[[#This Row],[Avis n+1]]),FALSE),""),"")</f>
        <v/>
      </c>
      <c r="L294" s="142" t="str">
        <f>IFERROR(IF(VLOOKUP(A294,ListeDI,27,FALSE)&lt;&gt;"",VLOOKUP(A294,ListeDI,27,FALSE),""),"")</f>
        <v/>
      </c>
      <c r="M294" s="49">
        <v>2</v>
      </c>
      <c r="N294" s="49"/>
      <c r="O294" s="143" t="str">
        <f>IF(C294&lt;&gt;"",IF(N294&lt;&gt;"",MAX(I294,N294),IF(M294&lt;&gt;"",MAX(I294,M294),"")),"")</f>
        <v/>
      </c>
      <c r="P294" s="55" t="s">
        <v>115</v>
      </c>
      <c r="Q294" s="55" t="s">
        <v>3278</v>
      </c>
      <c r="R294" s="55"/>
      <c r="S294" s="56"/>
      <c r="T294" s="144" t="s">
        <v>3638</v>
      </c>
    </row>
    <row r="295" spans="1:20" s="93" customFormat="1" ht="30" customHeight="1" x14ac:dyDescent="0.25">
      <c r="A295" s="90">
        <v>123</v>
      </c>
      <c r="B295" s="130" t="str">
        <f>IFERROR(IF(VLOOKUP(T_Commission[[#This Row],[NumL]],T_TraitDi[#Data],COLUMN(T_TraitDi[[#This Row],[Statut]]),FALSE)&lt;&gt;"",VLOOKUP(T_Commission[[#This Row],[NumL]],T_TraitDi[#Data],COLUMN(T_TraitDi[[#This Row],[Statut]]),FALSE),""),"")</f>
        <v/>
      </c>
      <c r="C295" s="19" t="str">
        <f>IFERROR(IF(VLOOKUP(T_Commission[[#This Row],[NumL]],T_suiviDi[#Data],COLUMN(T_suiviDi[Nom]),FALSE)&lt;&gt;"",VLOOKUP(T_Commission[[#This Row],[NumL]],T_suiviDi[#Data],COLUMN(T_suiviDi[Nom]),FALSE),""),"")</f>
        <v/>
      </c>
      <c r="D295" s="19" t="str">
        <f>IFERROR(IF(VLOOKUP(T_Commission[[#This Row],[NumL]],T_suiviDi[#Data],COLUMN(T_suiviDi[Prénom]),FALSE)&lt;&gt;"",VLOOKUP(T_Commission[[#This Row],[NumL]],T_suiviDi[#Data],COLUMN(T_suiviDi[Prénom]),FALSE),""),"")</f>
        <v/>
      </c>
      <c r="E295" s="20" t="str">
        <f>IFERROR(IF(VLOOKUP(T_Commission[[#This Row],[NumL]],T_suiviDi[#Data],COLUMN(T_suiviDi[Email]),FALSE)&lt;&gt;"",VLOOKUP(T_Commission[[#This Row],[NumL]],T_suiviDi[#Data],COLUMN(T_suiviDi[Email]),FALSE),""),"")</f>
        <v/>
      </c>
      <c r="F295" s="274" t="str">
        <f>IFERROR(IF(VLOOKUP(T_Commission[[#This Row],[NumL]],T_suiviDi[#Data],COLUMN(T_suiviDi[[#This Row],[Nom1]]),FALSE)&lt;&gt;"",VLOOKUP(T_Commission[[#This Row],[NumL]],T_suiviDi[#Data],COLUMN(T_suiviDi[[#This Row],[Nom1]]),FALSE),""),"")</f>
        <v/>
      </c>
      <c r="G295" s="274" t="str">
        <f>IFERROR(IF(VLOOKUP(T_Commission[[#This Row],[NumL]],T_suiviDi[#Data],COLUMN(T_suiviDi[[#This Row],[Prénom1]]),FALSE)&lt;&gt;"",VLOOKUP(T_Commission[[#This Row],[NumL]],T_suiviDi[#Data],COLUMN(T_suiviDi[[#This Row],[Prénom1]]),FALSE),""),"")</f>
        <v/>
      </c>
      <c r="H295" s="274" t="str">
        <f>IFERROR(IF(VLOOKUP(T_Commission[[#This Row],[NumL]],T_suiviDi[#Data],COLUMN(T_suiviDi[[#This Row],[Email1]]),FALSE)&lt;&gt;"",VLOOKUP(T_Commission[[#This Row],[NumL]],T_suiviDi[#Data],COLUMN(T_suiviDi[[#This Row],[Email1]]),FALSE),""),"")</f>
        <v/>
      </c>
      <c r="I295" s="142" t="str">
        <f>IFERROR(VLOOKUP(T_Commission[[#This Row],[NumL]],T_TraitDi[#Data],COLUMN(T_TraitDi[[#This Row],[CTRL_PJ]]),FALSE),"")</f>
        <v/>
      </c>
      <c r="J295" s="142" t="str">
        <f>IF(T_Commission[[#This Row],[Nom]]&lt;&gt;"",IFERROR(VLOOKUP(T_Commission[[#This Row],[NumL]],T_TraitDi[#Data],COLUMN(T_TraitDi[[#This Row],[C10]]),FALSE),""),"")</f>
        <v/>
      </c>
      <c r="K295" s="142" t="str">
        <f>IFERROR(IF(VLOOKUP(T_Commission[[#This Row],[NumL]],T_suiviDi[#Data],COLUMN(T_suiviDi[[#This Row],[Avis n+1]]),FALSE)&lt;&gt;"",VLOOKUP(A295,T_suiviDi[#Data],COLUMN(T_suiviDi[[#This Row],[Avis n+1]]),FALSE),""),"")</f>
        <v/>
      </c>
      <c r="L295" s="142" t="str">
        <f>IFERROR(IF(VLOOKUP(T_Commission[[#This Row],[NumL]],T_suiviDi[#Data],COLUMN(T_suiviDi[[#This Row],[Avis n+2]]),FALSE)&lt;&gt;"",VLOOKUP(T_Commission[[#This Row],[NumL]],T_suiviDi[#Data],COLUMN(T_suiviDi[[#This Row],[Avis n+2]]),FALSE),""),"")</f>
        <v/>
      </c>
      <c r="M295" s="49">
        <v>1</v>
      </c>
      <c r="N295" s="49"/>
      <c r="O295" s="143" t="str">
        <f>IF(T_Commission[[#This Row],[Nom]]&lt;&gt;"",IF(T_Commission[[#This Row],[COM '#2]]&lt;&gt;"",MAX(T_Commission[[#This Row],[PJ]],T_Commission[[#This Row],[COM '#2]]),IF(T_Commission[[#This Row],[COM '#1]]&lt;&gt;"",MAX(T_Commission[[#This Row],[PJ]],T_Commission[[#This Row],[COM '#1]]),"")),"")</f>
        <v/>
      </c>
      <c r="P295" s="55" t="s">
        <v>115</v>
      </c>
      <c r="Q295" s="55" t="s">
        <v>3277</v>
      </c>
      <c r="R295" s="55" t="s">
        <v>3277</v>
      </c>
      <c r="S295" s="56"/>
      <c r="T295" s="144"/>
    </row>
    <row r="296" spans="1:20" s="93" customFormat="1" ht="30" customHeight="1" x14ac:dyDescent="0.25">
      <c r="A296" s="90">
        <v>107</v>
      </c>
      <c r="B296" s="130" t="str">
        <f>IFERROR(IF(VLOOKUP(T_Commission[[#This Row],[NumL]],T_TraitDi[#Data],COLUMN(T_TraitDi[[#This Row],[Statut]]),FALSE)&lt;&gt;"",VLOOKUP(T_Commission[[#This Row],[NumL]],T_TraitDi[#Data],COLUMN(T_TraitDi[[#This Row],[Statut]]),FALSE),""),"")</f>
        <v/>
      </c>
      <c r="C296" s="19" t="str">
        <f>IFERROR(IF(VLOOKUP(T_Commission[[#This Row],[NumL]],T_suiviDi[#Data],COLUMN(T_suiviDi[Nom]),FALSE)&lt;&gt;"",VLOOKUP(T_Commission[[#This Row],[NumL]],T_suiviDi[#Data],COLUMN(T_suiviDi[Nom]),FALSE),""),"")</f>
        <v>A</v>
      </c>
      <c r="D296" s="19" t="str">
        <f>IFERROR(IF(VLOOKUP(T_Commission[[#This Row],[NumL]],T_suiviDi[#Data],COLUMN(T_suiviDi[Prénom]),FALSE)&lt;&gt;"",VLOOKUP(T_Commission[[#This Row],[NumL]],T_suiviDi[#Data],COLUMN(T_suiviDi[Prénom]),FALSE),""),"")</f>
        <v>Cécile</v>
      </c>
      <c r="E296" s="20" t="str">
        <f>IFERROR(IF(VLOOKUP(T_Commission[[#This Row],[NumL]],T_suiviDi[#Data],COLUMN(T_suiviDi[Email]),FALSE)&lt;&gt;"",VLOOKUP(T_Commission[[#This Row],[NumL]],T_suiviDi[#Data],COLUMN(T_suiviDi[Email]),FALSE),""),"")</f>
        <v/>
      </c>
      <c r="F296" s="274" t="str">
        <f>IFERROR(IF(VLOOKUP(T_Commission[[#This Row],[NumL]],T_suiviDi[#Data],COLUMN(T_suiviDi[Nom1]),FALSE)&lt;&gt;"",VLOOKUP(T_Commission[[#This Row],[NumL]],T_suiviDi[#Data],COLUMN(T_suiviDi[Nom1]),FALSE),""),"")</f>
        <v>B</v>
      </c>
      <c r="G296" s="274" t="str">
        <f>IFERROR(IF(VLOOKUP(T_Commission[[#This Row],[NumL]],T_suiviDi[#Data],COLUMN(T_suiviDi[Prénom1]),FALSE)&lt;&gt;"",VLOOKUP(T_Commission[[#This Row],[NumL]],T_suiviDi[#Data],COLUMN(T_suiviDi[Prénom1]),FALSE),""),"")</f>
        <v>Anne-Sophie</v>
      </c>
      <c r="H296" s="274" t="str">
        <f>IFERROR(IF(VLOOKUP(T_Commission[[#This Row],[NumL]],T_suiviDi[#Data],COLUMN(T_suiviDi[Email1]),FALSE)&lt;&gt;"",VLOOKUP(T_Commission[[#This Row],[NumL]],T_suiviDi[#Data],COLUMN(T_suiviDi[Email1]),FALSE),""),"")</f>
        <v/>
      </c>
      <c r="I296" s="142" t="str">
        <f>IFERROR(VLOOKUP(T_Commission[[#This Row],[NumL]],T_TraitDi[#Data],COLUMN(T_TraitDi[[#This Row],[CTRL_PJ]]),FALSE),"")</f>
        <v/>
      </c>
      <c r="J296" s="142" t="str">
        <f>IF(T_Commission[[#This Row],[Nom]]&lt;&gt;"",IFERROR(VLOOKUP(T_Commission[[#This Row],[NumL]],T_TraitDi[#Data],COLUMN(T_TraitDi[[#This Row],[C10]]),FALSE),""),"")</f>
        <v/>
      </c>
      <c r="K296" s="142" t="str">
        <f>IFERROR(IF(VLOOKUP(T_Commission[[#This Row],[NumL]],T_suiviDi[#Data],COLUMN(T_suiviDi[[#This Row],[Avis n+1]]),FALSE)&lt;&gt;"",VLOOKUP(A296,T_suiviDi[#Data],COLUMN(T_suiviDi[[#This Row],[Avis n+1]]),FALSE),""),"")</f>
        <v/>
      </c>
      <c r="L296" s="142" t="str">
        <f>IFERROR(IF(VLOOKUP(T_Commission[[#This Row],[NumL]],T_suiviDi[#Data],COLUMN(T_suiviDi[[#This Row],[Avis n+2]]),FALSE)&lt;&gt;"",VLOOKUP(T_Commission[[#This Row],[NumL]],T_suiviDi[#Data],COLUMN(T_suiviDi[[#This Row],[Avis n+2]]),FALSE),""),"")</f>
        <v/>
      </c>
      <c r="M296" s="49">
        <v>1</v>
      </c>
      <c r="N296" s="49"/>
      <c r="O296" s="143">
        <f>IF(T_Commission[[#This Row],[Nom]]&lt;&gt;"",IF(T_Commission[[#This Row],[COM '#2]]&lt;&gt;"",MAX(T_Commission[[#This Row],[PJ]],T_Commission[[#This Row],[COM '#2]]),IF(T_Commission[[#This Row],[COM '#1]]&lt;&gt;"",MAX(T_Commission[[#This Row],[PJ]],T_Commission[[#This Row],[COM '#1]]),"")),"")</f>
        <v>1</v>
      </c>
      <c r="P296" s="55" t="s">
        <v>115</v>
      </c>
      <c r="Q296" s="55" t="s">
        <v>3277</v>
      </c>
      <c r="R296" s="55" t="s">
        <v>3277</v>
      </c>
      <c r="S296" s="56"/>
      <c r="T296" s="144"/>
    </row>
    <row r="297" spans="1:20" s="93" customFormat="1" ht="30" customHeight="1" x14ac:dyDescent="0.25">
      <c r="A297" s="90">
        <v>264</v>
      </c>
      <c r="B297" s="130" t="str">
        <f>IFERROR(IF(VLOOKUP(T_Commission[[#This Row],[NumL]],T_TraitDi[#Data],COLUMN(T_TraitDi[[#This Row],[Statut]]),FALSE)&lt;&gt;"",VLOOKUP(T_Commission[[#This Row],[NumL]],T_TraitDi[#Data],COLUMN(T_TraitDi[[#This Row],[Statut]]),FALSE),""),"")</f>
        <v/>
      </c>
      <c r="C297" s="19" t="str">
        <f>IFERROR(IF(VLOOKUP(T_Commission[[#This Row],[NumL]],T_suiviDi[#Data],COLUMN(T_suiviDi[Nom]),FALSE)&lt;&gt;"",VLOOKUP(T_Commission[[#This Row],[NumL]],T_suiviDi[#Data],COLUMN(T_suiviDi[Nom]),FALSE),""),"")</f>
        <v>A</v>
      </c>
      <c r="D297" s="19" t="str">
        <f>IFERROR(IF(VLOOKUP(T_Commission[[#This Row],[NumL]],T_suiviDi[#Data],COLUMN(T_suiviDi[Prénom]),FALSE)&lt;&gt;"",VLOOKUP(T_Commission[[#This Row],[NumL]],T_suiviDi[#Data],COLUMN(T_suiviDi[Prénom]),FALSE),""),"")</f>
        <v>Anne-Sophie</v>
      </c>
      <c r="E297" s="20" t="str">
        <f>IFERROR(IF(VLOOKUP(T_Commission[[#This Row],[NumL]],T_suiviDi[#Data],COLUMN(T_suiviDi[Email]),FALSE)&lt;&gt;"",VLOOKUP(T_Commission[[#This Row],[NumL]],T_suiviDi[#Data],COLUMN(T_suiviDi[Email]),FALSE),""),"")</f>
        <v/>
      </c>
      <c r="F297" s="274" t="str">
        <f>IFERROR(IF(VLOOKUP(T_Commission[[#This Row],[NumL]],T_suiviDi[#Data],COLUMN(T_suiviDi[[#This Row],[Nom1]]),FALSE)&lt;&gt;"",VLOOKUP(T_Commission[[#This Row],[NumL]],T_suiviDi[#Data],COLUMN(T_suiviDi[[#This Row],[Nom1]]),FALSE),""),"")</f>
        <v/>
      </c>
      <c r="G297" s="274" t="str">
        <f>IFERROR(IF(VLOOKUP(T_Commission[[#This Row],[NumL]],T_suiviDi[#Data],COLUMN(T_suiviDi[[#This Row],[Prénom1]]),FALSE)&lt;&gt;"",VLOOKUP(T_Commission[[#This Row],[NumL]],T_suiviDi[#Data],COLUMN(T_suiviDi[[#This Row],[Prénom1]]),FALSE),""),"")</f>
        <v/>
      </c>
      <c r="H297" s="274" t="str">
        <f>IFERROR(IF(VLOOKUP(T_Commission[[#This Row],[NumL]],T_suiviDi[#Data],COLUMN(T_suiviDi[[#This Row],[Email1]]),FALSE)&lt;&gt;"",VLOOKUP(T_Commission[[#This Row],[NumL]],T_suiviDi[#Data],COLUMN(T_suiviDi[[#This Row],[Email1]]),FALSE),""),"")</f>
        <v/>
      </c>
      <c r="I297" s="142" t="str">
        <f>IFERROR(VLOOKUP(T_Commission[[#This Row],[NumL]],T_TraitDi[#Data],COLUMN(T_TraitDi[[#This Row],[CTRL_PJ]]),FALSE),"")</f>
        <v/>
      </c>
      <c r="J297" s="142" t="str">
        <f>IF(T_Commission[[#This Row],[Nom]]&lt;&gt;"",IFERROR(VLOOKUP(T_Commission[[#This Row],[NumL]],T_TraitDi[#Data],COLUMN(T_TraitDi[[#This Row],[C10]]),FALSE),""),"")</f>
        <v/>
      </c>
      <c r="K297" s="142" t="str">
        <f>IFERROR(IF(VLOOKUP(T_Commission[[#This Row],[NumL]],T_suiviDi[#Data],COLUMN(T_suiviDi[[#This Row],[Avis n+1]]),FALSE)&lt;&gt;"",VLOOKUP(A297,T_suiviDi[#Data],COLUMN(T_suiviDi[[#This Row],[Avis n+1]]),FALSE),""),"")</f>
        <v/>
      </c>
      <c r="L297" s="142"/>
      <c r="M297" s="49">
        <v>1</v>
      </c>
      <c r="N297" s="49"/>
      <c r="O297" s="143">
        <f>IF(T_Commission[[#This Row],[Nom]]&lt;&gt;"",IF(T_Commission[[#This Row],[COM '#2]]&lt;&gt;"",MAX(T_Commission[[#This Row],[PJ]],T_Commission[[#This Row],[COM '#2]]),IF(T_Commission[[#This Row],[COM '#1]]&lt;&gt;"",MAX(T_Commission[[#This Row],[PJ]],T_Commission[[#This Row],[COM '#1]]),"")),"")</f>
        <v>1</v>
      </c>
      <c r="P297" s="55" t="s">
        <v>115</v>
      </c>
      <c r="Q297" s="55" t="s">
        <v>3277</v>
      </c>
      <c r="R297" s="55" t="s">
        <v>3277</v>
      </c>
      <c r="S297" s="56"/>
      <c r="T297" s="144"/>
    </row>
    <row r="298" spans="1:20" s="93" customFormat="1" ht="30" customHeight="1" x14ac:dyDescent="0.25">
      <c r="A298" s="90">
        <v>346</v>
      </c>
      <c r="B298" s="130" t="str">
        <f>IFERROR(IF(VLOOKUP(T_Commission[[#This Row],[NumL]],T_TraitDi[#Data],COLUMN(T_TraitDi[[#This Row],[Statut]]),FALSE)&lt;&gt;"",VLOOKUP(T_Commission[[#This Row],[NumL]],T_TraitDi[#Data],COLUMN(T_TraitDi[[#This Row],[Statut]]),FALSE),""),"")</f>
        <v/>
      </c>
      <c r="C298" s="139" t="str">
        <f>IFERROR(IF(VLOOKUP(T_Commission[[#This Row],[NumL]],T_suiviDi[#Data],COLUMN(T_suiviDi[[#This Row],[Nom]]),FALSE)&lt;&gt;"",VLOOKUP(T_Commission[[#This Row],[NumL]],T_suiviDi[#Data],COLUMN(T_suiviDi[[#This Row],[Nom]]),FALSE),""),"")</f>
        <v/>
      </c>
      <c r="D298" s="139" t="str">
        <f>IFERROR(IF(VLOOKUP(T_Commission[[#This Row],[NumL]],T_suiviDi[#Data],COLUMN(T_suiviDi[[#This Row],[Prénom]]),FALSE)&lt;&gt;"",VLOOKUP(T_Commission[[#This Row],[NumL]],T_suiviDi[#Data],COLUMN(T_suiviDi[[#This Row],[Prénom]]),FALSE),""),"")</f>
        <v/>
      </c>
      <c r="E298" s="140" t="str">
        <f>IFERROR(IF(VLOOKUP(T_Commission[[#This Row],[NumL]],T_suiviDi[#Data],COLUMN(T_suiviDi[[#This Row],[Email]]),FALSE)&lt;&gt;"",VLOOKUP(T_Commission[[#This Row],[NumL]],T_suiviDi[#Data],COLUMN(T_suiviDi[[#This Row],[Email]]),FALSE),""),"")</f>
        <v/>
      </c>
      <c r="F298" s="141" t="str">
        <f>IFERROR(IF(VLOOKUP(T_Commission[[#This Row],[NumL]],T_suiviDi[#Data],COLUMN(T_suiviDi[[#This Row],[Nom1]]),FALSE)&lt;&gt;"",VLOOKUP(T_Commission[[#This Row],[NumL]],T_suiviDi[#Data],COLUMN(T_suiviDi[[#This Row],[Nom1]]),FALSE),""),"")</f>
        <v/>
      </c>
      <c r="G298" s="141" t="str">
        <f>IFERROR(IF(VLOOKUP(T_Commission[[#This Row],[NumL]],T_suiviDi[#Data],COLUMN(T_suiviDi[[#This Row],[Prénom1]]),FALSE)&lt;&gt;"",VLOOKUP(T_Commission[[#This Row],[NumL]],T_suiviDi[#Data],COLUMN(T_suiviDi[[#This Row],[Prénom1]]),FALSE),""),"")</f>
        <v/>
      </c>
      <c r="H298" s="141" t="str">
        <f>IFERROR(IF(VLOOKUP(T_Commission[[#This Row],[NumL]],T_suiviDi[#Data],COLUMN(T_suiviDi[[#This Row],[Email1]]),FALSE)&lt;&gt;"",VLOOKUP(T_Commission[[#This Row],[NumL]],T_suiviDi[#Data],COLUMN(T_suiviDi[[#This Row],[Email1]]),FALSE),""),"")</f>
        <v/>
      </c>
      <c r="I298" s="142" t="str">
        <f>IFERROR(VLOOKUP(T_Commission[[#This Row],[NumL]],T_TraitDi[#Data],COLUMN(T_TraitDi[[#This Row],[CTRL_PJ]]),FALSE),"")</f>
        <v/>
      </c>
      <c r="J298" s="142" t="str">
        <f>IF(C298&lt;&gt;"",IFERROR(VLOOKUP(A298,'2- Traitement des DI'!BV32,FALSE),""),"")</f>
        <v/>
      </c>
      <c r="K298" s="142" t="str">
        <f>IFERROR(IF(VLOOKUP(T_Commission[[#This Row],[NumL]],T_suiviDi[#Data],COLUMN(T_suiviDi[[#This Row],[Avis n+1]]),FALSE)&lt;&gt;"",VLOOKUP(A298,T_suiviDi[#Data],COLUMN(T_suiviDi[[#This Row],[Avis n+1]]),FALSE),""),"")</f>
        <v/>
      </c>
      <c r="L298" s="142">
        <f>IFERROR(IF(VLOOKUP(A298,ListeDI,27,FALSE)&lt;&gt;"",VLOOKUP(A298,ListeDI,27,FALSE),""),"")</f>
        <v>2</v>
      </c>
      <c r="M298" s="49">
        <v>1</v>
      </c>
      <c r="N298" s="49"/>
      <c r="O298" s="143" t="str">
        <f>IF(C298&lt;&gt;"",IF(N298&lt;&gt;"",MAX(I298,N298),IF(M298&lt;&gt;"",MAX(I298,M298),"")),"")</f>
        <v/>
      </c>
      <c r="P298" s="55" t="s">
        <v>115</v>
      </c>
      <c r="Q298" s="55" t="s">
        <v>3277</v>
      </c>
      <c r="R298" s="55" t="s">
        <v>3277</v>
      </c>
      <c r="S298" s="56"/>
      <c r="T298" s="144"/>
    </row>
    <row r="299" spans="1:20" s="93" customFormat="1" ht="30" customHeight="1" x14ac:dyDescent="0.25">
      <c r="A299" s="90">
        <v>221</v>
      </c>
      <c r="B299" s="130" t="str">
        <f>IFERROR(IF(VLOOKUP(T_Commission[[#This Row],[NumL]],T_TraitDi[#Data],COLUMN(T_TraitDi[[#This Row],[Statut]]),FALSE)&lt;&gt;"",VLOOKUP(T_Commission[[#This Row],[NumL]],T_TraitDi[#Data],COLUMN(T_TraitDi[[#This Row],[Statut]]),FALSE),""),"")</f>
        <v/>
      </c>
      <c r="C299" s="19" t="str">
        <f>IFERROR(IF(VLOOKUP(T_Commission[[#This Row],[NumL]],T_suiviDi[#Data],COLUMN(T_suiviDi[Nom]),FALSE)&lt;&gt;"",VLOOKUP(T_Commission[[#This Row],[NumL]],T_suiviDi[#Data],COLUMN(T_suiviDi[Nom]),FALSE),""),"")</f>
        <v>A</v>
      </c>
      <c r="D299" s="19" t="str">
        <f>IFERROR(IF(VLOOKUP(T_Commission[[#This Row],[NumL]],T_suiviDi[#Data],COLUMN(T_suiviDi[Prénom]),FALSE)&lt;&gt;"",VLOOKUP(T_Commission[[#This Row],[NumL]],T_suiviDi[#Data],COLUMN(T_suiviDi[Prénom]),FALSE),""),"")</f>
        <v>Marie</v>
      </c>
      <c r="E299" s="20" t="str">
        <f>IFERROR(IF(VLOOKUP(T_Commission[[#This Row],[NumL]],T_suiviDi[#Data],COLUMN(T_suiviDi[Email]),FALSE)&lt;&gt;"",VLOOKUP(T_Commission[[#This Row],[NumL]],T_suiviDi[#Data],COLUMN(T_suiviDi[Email]),FALSE),""),"")</f>
        <v/>
      </c>
      <c r="F299" s="274" t="str">
        <f>IFERROR(IF(VLOOKUP(T_Commission[[#This Row],[NumL]],T_suiviDi[#Data],COLUMN(T_suiviDi[[#This Row],[Nom1]]),FALSE)&lt;&gt;"",VLOOKUP(T_Commission[[#This Row],[NumL]],T_suiviDi[#Data],COLUMN(T_suiviDi[[#This Row],[Nom1]]),FALSE),""),"")</f>
        <v/>
      </c>
      <c r="G299" s="274" t="str">
        <f>IFERROR(IF(VLOOKUP(T_Commission[[#This Row],[NumL]],T_suiviDi[#Data],COLUMN(T_suiviDi[[#This Row],[Prénom1]]),FALSE)&lt;&gt;"",VLOOKUP(T_Commission[[#This Row],[NumL]],T_suiviDi[#Data],COLUMN(T_suiviDi[[#This Row],[Prénom1]]),FALSE),""),"")</f>
        <v/>
      </c>
      <c r="H299" s="274" t="str">
        <f>IFERROR(IF(VLOOKUP(T_Commission[[#This Row],[NumL]],T_suiviDi[#Data],COLUMN(T_suiviDi[[#This Row],[Email1]]),FALSE)&lt;&gt;"",VLOOKUP(T_Commission[[#This Row],[NumL]],T_suiviDi[#Data],COLUMN(T_suiviDi[[#This Row],[Email1]]),FALSE),""),"")</f>
        <v/>
      </c>
      <c r="I299" s="142" t="str">
        <f>IFERROR(VLOOKUP(T_Commission[[#This Row],[NumL]],T_TraitDi[#Data],COLUMN(T_TraitDi[[#This Row],[CTRL_PJ]]),FALSE),"")</f>
        <v/>
      </c>
      <c r="J299" s="142" t="str">
        <f>IF(T_Commission[[#This Row],[Nom]]&lt;&gt;"",IFERROR(VLOOKUP(T_Commission[[#This Row],[NumL]],T_TraitDi[#Data],COLUMN(T_TraitDi[C10]),FALSE),""),"")</f>
        <v>OK</v>
      </c>
      <c r="K299" s="142" t="str">
        <f>IFERROR(IF(VLOOKUP(T_Commission[[#This Row],[NumL]],T_suiviDi[#Data],COLUMN(T_suiviDi[[#This Row],[Avis n+1]]),FALSE)&lt;&gt;"",VLOOKUP(A299,T_suiviDi[#Data],COLUMN(T_suiviDi[[#This Row],[Avis n+1]]),FALSE),""),"")</f>
        <v/>
      </c>
      <c r="L299" s="142" t="str">
        <f>IFERROR(IF(VLOOKUP(T_Commission[[#This Row],[NumL]],T_suiviDi[#Data],COLUMN(T_suiviDi[[#This Row],[Avis n+2]]),FALSE)&lt;&gt;"",VLOOKUP(T_Commission[[#This Row],[NumL]],T_suiviDi[#Data],COLUMN(T_suiviDi[[#This Row],[Avis n+2]]),FALSE),""),"")</f>
        <v/>
      </c>
      <c r="M299" s="49">
        <v>1</v>
      </c>
      <c r="N299" s="49"/>
      <c r="O299" s="143">
        <f>IF(T_Commission[[#This Row],[Nom]]&lt;&gt;"",IF(T_Commission[[#This Row],[COM '#2]]&lt;&gt;"",MAX(T_Commission[[#This Row],[PJ]],T_Commission[[#This Row],[COM '#2]]),IF(T_Commission[[#This Row],[COM '#1]]&lt;&gt;"",MAX(T_Commission[[#This Row],[PJ]],T_Commission[[#This Row],[COM '#1]]),"")),"")</f>
        <v>1</v>
      </c>
      <c r="P299" s="55" t="s">
        <v>115</v>
      </c>
      <c r="Q299" s="55" t="s">
        <v>3277</v>
      </c>
      <c r="R299" s="55" t="s">
        <v>3277</v>
      </c>
      <c r="S299" s="56"/>
      <c r="T299" s="144"/>
    </row>
    <row r="300" spans="1:20" s="93" customFormat="1" ht="30" customHeight="1" x14ac:dyDescent="0.25">
      <c r="A300" s="90">
        <v>340</v>
      </c>
      <c r="B300" s="130" t="str">
        <f>IFERROR(IF(VLOOKUP(T_Commission[[#This Row],[NumL]],T_TraitDi[#Data],COLUMN(T_TraitDi[[#This Row],[Statut]]),FALSE)&lt;&gt;"",VLOOKUP(T_Commission[[#This Row],[NumL]],T_TraitDi[#Data],COLUMN(T_TraitDi[[#This Row],[Statut]]),FALSE),""),"")</f>
        <v/>
      </c>
      <c r="C300" s="139" t="str">
        <f>IFERROR(IF(VLOOKUP(T_Commission[[#This Row],[NumL]],T_suiviDi[#Data],COLUMN(T_suiviDi[[#This Row],[Nom]]),FALSE)&lt;&gt;"",VLOOKUP(T_Commission[[#This Row],[NumL]],T_suiviDi[#Data],COLUMN(T_suiviDi[[#This Row],[Nom]]),FALSE),""),"")</f>
        <v/>
      </c>
      <c r="D300" s="139" t="str">
        <f>IFERROR(IF(VLOOKUP(T_Commission[[#This Row],[NumL]],T_suiviDi[#Data],COLUMN(T_suiviDi[[#This Row],[Prénom]]),FALSE)&lt;&gt;"",VLOOKUP(T_Commission[[#This Row],[NumL]],T_suiviDi[#Data],COLUMN(T_suiviDi[[#This Row],[Prénom]]),FALSE),""),"")</f>
        <v/>
      </c>
      <c r="E300" s="140" t="str">
        <f>IFERROR(IF(VLOOKUP(T_Commission[[#This Row],[NumL]],T_suiviDi[#Data],COLUMN(T_suiviDi[[#This Row],[Email]]),FALSE)&lt;&gt;"",VLOOKUP(T_Commission[[#This Row],[NumL]],T_suiviDi[#Data],COLUMN(T_suiviDi[[#This Row],[Email]]),FALSE),""),"")</f>
        <v/>
      </c>
      <c r="F300" s="141" t="str">
        <f>IFERROR(IF(VLOOKUP(T_Commission[[#This Row],[NumL]],T_suiviDi[#Data],COLUMN(T_suiviDi[[#This Row],[Nom1]]),FALSE)&lt;&gt;"",VLOOKUP(T_Commission[[#This Row],[NumL]],T_suiviDi[#Data],COLUMN(T_suiviDi[[#This Row],[Nom1]]),FALSE),""),"")</f>
        <v/>
      </c>
      <c r="G300" s="141" t="str">
        <f>IFERROR(IF(VLOOKUP(T_Commission[[#This Row],[NumL]],T_suiviDi[#Data],COLUMN(T_suiviDi[[#This Row],[Prénom1]]),FALSE)&lt;&gt;"",VLOOKUP(T_Commission[[#This Row],[NumL]],T_suiviDi[#Data],COLUMN(T_suiviDi[[#This Row],[Prénom1]]),FALSE),""),"")</f>
        <v/>
      </c>
      <c r="H300" s="141" t="str">
        <f>IFERROR(IF(VLOOKUP(T_Commission[[#This Row],[NumL]],T_suiviDi[#Data],COLUMN(T_suiviDi[[#This Row],[Email1]]),FALSE)&lt;&gt;"",VLOOKUP(T_Commission[[#This Row],[NumL]],T_suiviDi[#Data],COLUMN(T_suiviDi[[#This Row],[Email1]]),FALSE),""),"")</f>
        <v/>
      </c>
      <c r="I300" s="142" t="str">
        <f>IFERROR(VLOOKUP(T_Commission[[#This Row],[NumL]],T_TraitDi[#Data],COLUMN(T_TraitDi[[#This Row],[CTRL_PJ]]),FALSE),"")</f>
        <v/>
      </c>
      <c r="J300" s="142" t="str">
        <f>IF(C300&lt;&gt;"",IFERROR(VLOOKUP(A300,'2- Traitement des DI'!BV32,FALSE),""),"")</f>
        <v/>
      </c>
      <c r="K300" s="142" t="str">
        <f>IFERROR(IF(VLOOKUP(T_Commission[[#This Row],[NumL]],T_suiviDi[#Data],COLUMN(T_suiviDi[[#This Row],[Avis n+1]]),FALSE)&lt;&gt;"",VLOOKUP(A300,T_suiviDi[#Data],COLUMN(T_suiviDi[[#This Row],[Avis n+1]]),FALSE),""),"")</f>
        <v/>
      </c>
      <c r="L300" s="142">
        <f>IFERROR(IF(VLOOKUP(A300,ListeDI,27,FALSE)&lt;&gt;"",VLOOKUP(A300,ListeDI,27,FALSE),""),"")</f>
        <v>1</v>
      </c>
      <c r="M300" s="49">
        <v>1</v>
      </c>
      <c r="N300" s="49"/>
      <c r="O300" s="143" t="str">
        <f>IF(C300&lt;&gt;"",IF(N300&lt;&gt;"",MAX(I300,N300),IF(M300&lt;&gt;"",MAX(I300,M300),"")),"")</f>
        <v/>
      </c>
      <c r="P300" s="55" t="s">
        <v>115</v>
      </c>
      <c r="Q300" s="55" t="s">
        <v>3277</v>
      </c>
      <c r="R300" s="55" t="s">
        <v>3277</v>
      </c>
      <c r="S300" s="56"/>
      <c r="T300" s="144"/>
    </row>
    <row r="301" spans="1:20" s="93" customFormat="1" ht="30" customHeight="1" x14ac:dyDescent="0.25">
      <c r="A301" s="90">
        <v>12</v>
      </c>
      <c r="B301" s="130" t="str">
        <f>IFERROR(IF(VLOOKUP(T_Commission[[#This Row],[NumL]],T_TraitDi[#Data],COLUMN(T_TraitDi[[#This Row],[Statut]]),FALSE)&lt;&gt;"",VLOOKUP(T_Commission[[#This Row],[NumL]],T_TraitDi[#Data],COLUMN(T_TraitDi[[#This Row],[Statut]]),FALSE),""),"")</f>
        <v/>
      </c>
      <c r="C301" s="19" t="str">
        <f>IFERROR(IF(VLOOKUP(T_Commission[[#This Row],[NumL]],T_suiviDi[#Data],COLUMN(T_suiviDi[Nom]),FALSE)&lt;&gt;"",VLOOKUP(T_Commission[[#This Row],[NumL]],T_suiviDi[#Data],COLUMN(T_suiviDi[Nom]),FALSE),""),"")</f>
        <v>A</v>
      </c>
      <c r="D301" s="19" t="str">
        <f>IFERROR(IF(VLOOKUP(T_Commission[[#This Row],[NumL]],T_suiviDi[#Data],COLUMN(T_suiviDi[Prénom]),FALSE)&lt;&gt;"",VLOOKUP(T_Commission[[#This Row],[NumL]],T_suiviDi[#Data],COLUMN(T_suiviDi[Prénom]),FALSE),""),"")</f>
        <v>Manuel</v>
      </c>
      <c r="E301" s="20" t="str">
        <f>IFERROR(IF(VLOOKUP(T_Commission[[#This Row],[NumL]],T_suiviDi[#Data],COLUMN(T_suiviDi[Email]),FALSE)&lt;&gt;"",VLOOKUP(T_Commission[[#This Row],[NumL]],T_suiviDi[#Data],COLUMN(T_suiviDi[Email]),FALSE),""),"")</f>
        <v/>
      </c>
      <c r="F301" s="274" t="str">
        <f>IFERROR(IF(VLOOKUP(T_Commission[[#This Row],[NumL]],T_suiviDi[#Data],COLUMN(T_suiviDi[[#This Row],[Nom1]]),FALSE)&lt;&gt;"",VLOOKUP(T_Commission[[#This Row],[NumL]],T_suiviDi[#Data],COLUMN(T_suiviDi[[#This Row],[Nom1]]),FALSE),""),"")</f>
        <v/>
      </c>
      <c r="G301" s="274" t="str">
        <f>IFERROR(IF(VLOOKUP(T_Commission[[#This Row],[NumL]],T_suiviDi[#Data],COLUMN(T_suiviDi[[#This Row],[Prénom1]]),FALSE)&lt;&gt;"",VLOOKUP(T_Commission[[#This Row],[NumL]],T_suiviDi[#Data],COLUMN(T_suiviDi[[#This Row],[Prénom1]]),FALSE),""),"")</f>
        <v/>
      </c>
      <c r="H301" s="274" t="str">
        <f>IFERROR(IF(VLOOKUP(T_Commission[[#This Row],[NumL]],T_suiviDi[#Data],COLUMN(T_suiviDi[[#This Row],[Email1]]),FALSE)&lt;&gt;"",VLOOKUP(T_Commission[[#This Row],[NumL]],T_suiviDi[#Data],COLUMN(T_suiviDi[[#This Row],[Email1]]),FALSE),""),"")</f>
        <v/>
      </c>
      <c r="I301" s="142" t="str">
        <f>IFERROR(VLOOKUP(T_Commission[[#This Row],[NumL]],T_TraitDi[#Data],COLUMN(T_TraitDi[[#This Row],[CTRL_PJ]]),FALSE),"")</f>
        <v/>
      </c>
      <c r="J301" s="142" t="str">
        <f>IF(T_Commission[[#This Row],[Nom]]&lt;&gt;"",IFERROR(VLOOKUP(T_Commission[[#This Row],[NumL]],T_TraitDi[#Data],COLUMN(T_TraitDi[[#This Row],[C10]]),FALSE),""),"")</f>
        <v/>
      </c>
      <c r="K301" s="142" t="str">
        <f>IFERROR(IF(VLOOKUP(T_Commission[[#This Row],[NumL]],T_suiviDi[#Data],COLUMN(T_suiviDi[[#This Row],[Avis n+1]]),FALSE)&lt;&gt;"",VLOOKUP(A301,T_suiviDi[#Data],COLUMN(T_suiviDi[[#This Row],[Avis n+1]]),FALSE),""),"")</f>
        <v/>
      </c>
      <c r="L301" s="142" t="str">
        <f>IFERROR(IF(VLOOKUP(T_Commission[[#This Row],[NumL]],T_suiviDi[#Data],COLUMN(T_suiviDi[[#This Row],[Avis n+2]]),FALSE)&lt;&gt;"",VLOOKUP(T_Commission[[#This Row],[NumL]],T_suiviDi[#Data],COLUMN(T_suiviDi[[#This Row],[Avis n+2]]),FALSE),""),"")</f>
        <v/>
      </c>
      <c r="M301" s="49">
        <v>1</v>
      </c>
      <c r="N301" s="49"/>
      <c r="O301" s="143">
        <f>IF(T_Commission[[#This Row],[Nom]]&lt;&gt;"",IF(T_Commission[[#This Row],[COM '#2]]&lt;&gt;"",MAX(T_Commission[[#This Row],[PJ]],T_Commission[[#This Row],[COM '#2]]),IF(T_Commission[[#This Row],[COM '#1]]&lt;&gt;"",MAX(T_Commission[[#This Row],[PJ]],T_Commission[[#This Row],[COM '#1]]),"")),"")</f>
        <v>1</v>
      </c>
      <c r="P301" s="55" t="s">
        <v>115</v>
      </c>
      <c r="Q301" s="55" t="s">
        <v>3277</v>
      </c>
      <c r="R301" s="55" t="s">
        <v>3277</v>
      </c>
      <c r="S301" s="56"/>
      <c r="T301" s="144"/>
    </row>
    <row r="302" spans="1:20" s="93" customFormat="1" ht="30" customHeight="1" x14ac:dyDescent="0.25">
      <c r="A302" s="90">
        <v>298</v>
      </c>
      <c r="B302" s="130" t="str">
        <f>IFERROR(IF(VLOOKUP(T_Commission[[#This Row],[NumL]],T_TraitDi[#Data],COLUMN(T_TraitDi[[#This Row],[Statut]]),FALSE)&lt;&gt;"",VLOOKUP(T_Commission[[#This Row],[NumL]],T_TraitDi[#Data],COLUMN(T_TraitDi[[#This Row],[Statut]]),FALSE),""),"")</f>
        <v/>
      </c>
      <c r="C302" s="139" t="str">
        <f>IFERROR(IF(VLOOKUP(T_Commission[[#This Row],[NumL]],T_suiviDi[#Data],COLUMN(T_suiviDi[[#This Row],[Nom]]),FALSE)&lt;&gt;"",VLOOKUP(T_Commission[[#This Row],[NumL]],T_suiviDi[#Data],COLUMN(T_suiviDi[[#This Row],[Nom]]),FALSE),""),"")</f>
        <v/>
      </c>
      <c r="D302" s="139" t="str">
        <f>IFERROR(IF(VLOOKUP(T_Commission[[#This Row],[NumL]],T_suiviDi[#Data],COLUMN(T_suiviDi[[#This Row],[Prénom]]),FALSE)&lt;&gt;"",VLOOKUP(T_Commission[[#This Row],[NumL]],T_suiviDi[#Data],COLUMN(T_suiviDi[[#This Row],[Prénom]]),FALSE),""),"")</f>
        <v/>
      </c>
      <c r="E302" s="140" t="str">
        <f>IFERROR(IF(VLOOKUP(T_Commission[[#This Row],[NumL]],T_suiviDi[#Data],COLUMN(T_suiviDi[[#This Row],[Email]]),FALSE)&lt;&gt;"",VLOOKUP(T_Commission[[#This Row],[NumL]],T_suiviDi[#Data],COLUMN(T_suiviDi[[#This Row],[Email]]),FALSE),""),"")</f>
        <v/>
      </c>
      <c r="F302" s="141" t="str">
        <f>IFERROR(IF(VLOOKUP(T_Commission[[#This Row],[NumL]],T_suiviDi[#Data],COLUMN(T_suiviDi[[#This Row],[Nom1]]),FALSE)&lt;&gt;"",VLOOKUP(T_Commission[[#This Row],[NumL]],T_suiviDi[#Data],COLUMN(T_suiviDi[[#This Row],[Nom1]]),FALSE),""),"")</f>
        <v/>
      </c>
      <c r="G302" s="141" t="str">
        <f>IFERROR(IF(VLOOKUP(T_Commission[[#This Row],[NumL]],T_suiviDi[#Data],COLUMN(T_suiviDi[[#This Row],[Prénom1]]),FALSE)&lt;&gt;"",VLOOKUP(T_Commission[[#This Row],[NumL]],T_suiviDi[#Data],COLUMN(T_suiviDi[[#This Row],[Prénom1]]),FALSE),""),"")</f>
        <v/>
      </c>
      <c r="H302" s="141" t="str">
        <f>IFERROR(IF(VLOOKUP(T_Commission[[#This Row],[NumL]],T_suiviDi[#Data],COLUMN(T_suiviDi[[#This Row],[Email1]]),FALSE)&lt;&gt;"",VLOOKUP(T_Commission[[#This Row],[NumL]],T_suiviDi[#Data],COLUMN(T_suiviDi[[#This Row],[Email1]]),FALSE),""),"")</f>
        <v/>
      </c>
      <c r="I302" s="142" t="str">
        <f>IFERROR(VLOOKUP(T_Commission[[#This Row],[NumL]],T_TraitDi[#Data],COLUMN(T_TraitDi[[#This Row],[CTRL_PJ]]),FALSE),"")</f>
        <v/>
      </c>
      <c r="J302" s="142" t="str">
        <f>IF(C302&lt;&gt;"",IFERROR(VLOOKUP(A302,'2- Traitement des DI'!BV32,FALSE),""),"")</f>
        <v/>
      </c>
      <c r="K302" s="142" t="str">
        <f>IFERROR(IF(VLOOKUP(T_Commission[[#This Row],[NumL]],T_suiviDi[#Data],COLUMN(T_suiviDi[[#This Row],[Avis n+1]]),FALSE)&lt;&gt;"",VLOOKUP(A302,T_suiviDi[#Data],COLUMN(T_suiviDi[[#This Row],[Avis n+1]]),FALSE),""),"")</f>
        <v/>
      </c>
      <c r="L302" s="142">
        <f>IFERROR(IF(VLOOKUP(A302,ListeDI,27,FALSE)&lt;&gt;"",VLOOKUP(A302,ListeDI,27,FALSE),""),"")</f>
        <v>1</v>
      </c>
      <c r="M302" s="49">
        <v>1</v>
      </c>
      <c r="N302" s="49"/>
      <c r="O302" s="143" t="str">
        <f>IF(C302&lt;&gt;"",IF(N302&lt;&gt;"",MAX(I302,N302),IF(M302&lt;&gt;"",MAX(I302,M302),"")),"")</f>
        <v/>
      </c>
      <c r="P302" s="55" t="s">
        <v>115</v>
      </c>
      <c r="Q302" s="55" t="s">
        <v>3277</v>
      </c>
      <c r="R302" s="55" t="s">
        <v>3277</v>
      </c>
      <c r="S302" s="56"/>
      <c r="T302" s="144"/>
    </row>
    <row r="303" spans="1:20" s="93" customFormat="1" ht="30" customHeight="1" x14ac:dyDescent="0.25">
      <c r="A303" s="90">
        <v>291</v>
      </c>
      <c r="B303" s="130" t="str">
        <f>IFERROR(IF(VLOOKUP(T_Commission[[#This Row],[NumL]],T_TraitDi[#Data],COLUMN(T_TraitDi[[#This Row],[Statut]]),FALSE)&lt;&gt;"",VLOOKUP(T_Commission[[#This Row],[NumL]],T_TraitDi[#Data],COLUMN(T_TraitDi[[#This Row],[Statut]]),FALSE),""),"")</f>
        <v/>
      </c>
      <c r="C303" s="139" t="str">
        <f>IFERROR(IF(VLOOKUP(T_Commission[[#This Row],[NumL]],T_suiviDi[#Data],COLUMN(T_suiviDi[[#This Row],[Nom]]),FALSE)&lt;&gt;"",VLOOKUP(T_Commission[[#This Row],[NumL]],T_suiviDi[#Data],COLUMN(T_suiviDi[[#This Row],[Nom]]),FALSE),""),"")</f>
        <v/>
      </c>
      <c r="D303" s="139" t="str">
        <f>IFERROR(IF(VLOOKUP(T_Commission[[#This Row],[NumL]],T_suiviDi[#Data],COLUMN(T_suiviDi[[#This Row],[Prénom]]),FALSE)&lt;&gt;"",VLOOKUP(T_Commission[[#This Row],[NumL]],T_suiviDi[#Data],COLUMN(T_suiviDi[[#This Row],[Prénom]]),FALSE),""),"")</f>
        <v/>
      </c>
      <c r="E303" s="140" t="str">
        <f>IFERROR(IF(VLOOKUP(T_Commission[[#This Row],[NumL]],T_suiviDi[#Data],COLUMN(T_suiviDi[[#This Row],[Email]]),FALSE)&lt;&gt;"",VLOOKUP(T_Commission[[#This Row],[NumL]],T_suiviDi[#Data],COLUMN(T_suiviDi[[#This Row],[Email]]),FALSE),""),"")</f>
        <v/>
      </c>
      <c r="F303" s="141" t="str">
        <f>IFERROR(IF(VLOOKUP(T_Commission[[#This Row],[NumL]],T_suiviDi[#Data],COLUMN(T_suiviDi[[#This Row],[Nom1]]),FALSE)&lt;&gt;"",VLOOKUP(T_Commission[[#This Row],[NumL]],T_suiviDi[#Data],COLUMN(T_suiviDi[[#This Row],[Nom1]]),FALSE),""),"")</f>
        <v/>
      </c>
      <c r="G303" s="141" t="str">
        <f>IFERROR(IF(VLOOKUP(T_Commission[[#This Row],[NumL]],T_suiviDi[#Data],COLUMN(T_suiviDi[[#This Row],[Prénom1]]),FALSE)&lt;&gt;"",VLOOKUP(T_Commission[[#This Row],[NumL]],T_suiviDi[#Data],COLUMN(T_suiviDi[[#This Row],[Prénom1]]),FALSE),""),"")</f>
        <v/>
      </c>
      <c r="H303" s="141" t="str">
        <f>IFERROR(IF(VLOOKUP(T_Commission[[#This Row],[NumL]],T_suiviDi[#Data],COLUMN(T_suiviDi[[#This Row],[Email1]]),FALSE)&lt;&gt;"",VLOOKUP(T_Commission[[#This Row],[NumL]],T_suiviDi[#Data],COLUMN(T_suiviDi[[#This Row],[Email1]]),FALSE),""),"")</f>
        <v/>
      </c>
      <c r="I303" s="142" t="str">
        <f>IFERROR(VLOOKUP(T_Commission[[#This Row],[NumL]],T_TraitDi[#Data],COLUMN(T_TraitDi[[#This Row],[CTRL_PJ]]),FALSE),"")</f>
        <v/>
      </c>
      <c r="J303" s="142" t="str">
        <f>IF(C303&lt;&gt;"",IFERROR(VLOOKUP(A303,'2- Traitement des DI'!BV32,FALSE),""),"")</f>
        <v/>
      </c>
      <c r="K303" s="142" t="str">
        <f>IFERROR(IF(VLOOKUP(T_Commission[[#This Row],[NumL]],T_suiviDi[#Data],COLUMN(T_suiviDi[[#This Row],[Avis n+1]]),FALSE)&lt;&gt;"",VLOOKUP(A303,T_suiviDi[#Data],COLUMN(T_suiviDi[[#This Row],[Avis n+1]]),FALSE),""),"")</f>
        <v/>
      </c>
      <c r="L303" s="142">
        <f>IFERROR(IF(VLOOKUP(A303,ListeDI,27,FALSE)&lt;&gt;"",VLOOKUP(A303,ListeDI,27,FALSE),""),"")</f>
        <v>1</v>
      </c>
      <c r="M303" s="49">
        <v>1</v>
      </c>
      <c r="N303" s="49"/>
      <c r="O303" s="143" t="str">
        <f>IF(C303&lt;&gt;"",IF(N303&lt;&gt;"",MAX(I303,N303),IF(M303&lt;&gt;"",MAX(I303,M303),"")),"")</f>
        <v/>
      </c>
      <c r="P303" s="55" t="s">
        <v>115</v>
      </c>
      <c r="Q303" s="55" t="s">
        <v>3277</v>
      </c>
      <c r="R303" s="55" t="s">
        <v>3277</v>
      </c>
      <c r="S303" s="56"/>
      <c r="T303" s="144"/>
    </row>
    <row r="304" spans="1:20" s="93" customFormat="1" ht="30" customHeight="1" x14ac:dyDescent="0.25">
      <c r="A304" s="90">
        <v>234</v>
      </c>
      <c r="B304" s="130" t="str">
        <f>IFERROR(IF(VLOOKUP(T_Commission[[#This Row],[NumL]],T_TraitDi[#Data],COLUMN(T_TraitDi[[#This Row],[Statut]]),FALSE)&lt;&gt;"",VLOOKUP(T_Commission[[#This Row],[NumL]],T_TraitDi[#Data],COLUMN(T_TraitDi[[#This Row],[Statut]]),FALSE),""),"")</f>
        <v/>
      </c>
      <c r="C304" s="19" t="str">
        <f>IFERROR(IF(VLOOKUP(T_Commission[[#This Row],[NumL]],T_suiviDi[#Data],COLUMN(T_suiviDi[Nom]),FALSE)&lt;&gt;"",VLOOKUP(T_Commission[[#This Row],[NumL]],T_suiviDi[#Data],COLUMN(T_suiviDi[Nom]),FALSE),""),"")</f>
        <v>A</v>
      </c>
      <c r="D304" s="19" t="str">
        <f>IFERROR(IF(VLOOKUP(T_Commission[[#This Row],[NumL]],T_suiviDi[#Data],COLUMN(T_suiviDi[Prénom]),FALSE)&lt;&gt;"",VLOOKUP(T_Commission[[#This Row],[NumL]],T_suiviDi[#Data],COLUMN(T_suiviDi[Prénom]),FALSE),""),"")</f>
        <v>Aline</v>
      </c>
      <c r="E304" s="20" t="str">
        <f>IFERROR(IF(VLOOKUP(T_Commission[[#This Row],[NumL]],T_suiviDi[#Data],COLUMN(T_suiviDi[Email]),FALSE)&lt;&gt;"",VLOOKUP(T_Commission[[#This Row],[NumL]],T_suiviDi[#Data],COLUMN(T_suiviDi[Email]),FALSE),""),"")</f>
        <v/>
      </c>
      <c r="F304" s="274" t="str">
        <f>IFERROR(IF(VLOOKUP(T_Commission[[#This Row],[NumL]],T_suiviDi[#Data],COLUMN(T_suiviDi[[#This Row],[Nom1]]),FALSE)&lt;&gt;"",VLOOKUP(T_Commission[[#This Row],[NumL]],T_suiviDi[#Data],COLUMN(T_suiviDi[[#This Row],[Nom1]]),FALSE),""),"")</f>
        <v/>
      </c>
      <c r="G304" s="274" t="str">
        <f>IFERROR(IF(VLOOKUP(T_Commission[[#This Row],[NumL]],T_suiviDi[#Data],COLUMN(T_suiviDi[[#This Row],[Prénom1]]),FALSE)&lt;&gt;"",VLOOKUP(T_Commission[[#This Row],[NumL]],T_suiviDi[#Data],COLUMN(T_suiviDi[[#This Row],[Prénom1]]),FALSE),""),"")</f>
        <v/>
      </c>
      <c r="H304" s="274" t="str">
        <f>IFERROR(IF(VLOOKUP(T_Commission[[#This Row],[NumL]],T_suiviDi[#Data],COLUMN(T_suiviDi[[#This Row],[Email1]]),FALSE)&lt;&gt;"",VLOOKUP(T_Commission[[#This Row],[NumL]],T_suiviDi[#Data],COLUMN(T_suiviDi[[#This Row],[Email1]]),FALSE),""),"")</f>
        <v/>
      </c>
      <c r="I304" s="142" t="str">
        <f>IFERROR(VLOOKUP(T_Commission[[#This Row],[NumL]],T_TraitDi[#Data],COLUMN(T_TraitDi[[#This Row],[CTRL_PJ]]),FALSE),"")</f>
        <v/>
      </c>
      <c r="J304" s="142" t="str">
        <f>IF(T_Commission[[#This Row],[Nom]]&lt;&gt;"",IFERROR(VLOOKUP(T_Commission[[#This Row],[NumL]],T_TraitDi[#Data],COLUMN(T_TraitDi[[#This Row],[C10]]),FALSE),""),"")</f>
        <v/>
      </c>
      <c r="K304" s="142" t="str">
        <f>IFERROR(IF(VLOOKUP(T_Commission[[#This Row],[NumL]],T_suiviDi[#Data],COLUMN(T_suiviDi[[#This Row],[Avis n+1]]),FALSE)&lt;&gt;"",VLOOKUP(A304,T_suiviDi[#Data],COLUMN(T_suiviDi[[#This Row],[Avis n+1]]),FALSE),""),"")</f>
        <v/>
      </c>
      <c r="L304" s="142" t="str">
        <f>IFERROR(IF(VLOOKUP(T_Commission[[#This Row],[NumL]],T_suiviDi[#Data],COLUMN(T_suiviDi[[#This Row],[Avis n+2]]),FALSE)&lt;&gt;"",VLOOKUP(T_Commission[[#This Row],[NumL]],T_suiviDi[#Data],COLUMN(T_suiviDi[[#This Row],[Avis n+2]]),FALSE),""),"")</f>
        <v/>
      </c>
      <c r="M304" s="49">
        <v>1</v>
      </c>
      <c r="N304" s="49"/>
      <c r="O304" s="143">
        <f>IF(T_Commission[[#This Row],[Nom]]&lt;&gt;"",IF(T_Commission[[#This Row],[COM '#2]]&lt;&gt;"",MAX(T_Commission[[#This Row],[PJ]],T_Commission[[#This Row],[COM '#2]]),IF(T_Commission[[#This Row],[COM '#1]]&lt;&gt;"",MAX(T_Commission[[#This Row],[PJ]],T_Commission[[#This Row],[COM '#1]]),"")),"")</f>
        <v>1</v>
      </c>
      <c r="P304" s="55" t="s">
        <v>115</v>
      </c>
      <c r="Q304" s="55" t="s">
        <v>3277</v>
      </c>
      <c r="R304" s="55" t="s">
        <v>3277</v>
      </c>
      <c r="S304" s="56"/>
      <c r="T304" s="144"/>
    </row>
    <row r="305" spans="1:20" s="93" customFormat="1" ht="30" customHeight="1" x14ac:dyDescent="0.25">
      <c r="A305" s="90">
        <v>62</v>
      </c>
      <c r="B305" s="130" t="str">
        <f>IFERROR(IF(VLOOKUP(T_Commission[[#This Row],[NumL]],T_TraitDi[#Data],COLUMN(T_TraitDi[[#This Row],[Statut]]),FALSE)&lt;&gt;"",VLOOKUP(T_Commission[[#This Row],[NumL]],T_TraitDi[#Data],COLUMN(T_TraitDi[[#This Row],[Statut]]),FALSE),""),"")</f>
        <v/>
      </c>
      <c r="C305" s="19" t="str">
        <f>IFERROR(IF(VLOOKUP(T_Commission[[#This Row],[NumL]],T_suiviDi[#Data],COLUMN(T_suiviDi[Nom]),FALSE)&lt;&gt;"",VLOOKUP(T_Commission[[#This Row],[NumL]],T_suiviDi[#Data],COLUMN(T_suiviDi[Nom]),FALSE),""),"")</f>
        <v>A</v>
      </c>
      <c r="D305" s="19" t="str">
        <f>IFERROR(IF(VLOOKUP(T_Commission[[#This Row],[NumL]],T_suiviDi[#Data],COLUMN(T_suiviDi[Prénom]),FALSE)&lt;&gt;"",VLOOKUP(T_Commission[[#This Row],[NumL]],T_suiviDi[#Data],COLUMN(T_suiviDi[Prénom]),FALSE),""),"")</f>
        <v>Jean-Baptiste</v>
      </c>
      <c r="E305" s="20" t="str">
        <f>IFERROR(IF(VLOOKUP(T_Commission[[#This Row],[NumL]],T_suiviDi[#Data],COLUMN(T_suiviDi[Email]),FALSE)&lt;&gt;"",VLOOKUP(T_Commission[[#This Row],[NumL]],T_suiviDi[#Data],COLUMN(T_suiviDi[Email]),FALSE),""),"")</f>
        <v/>
      </c>
      <c r="F305" s="274" t="str">
        <f>IFERROR(IF(VLOOKUP(T_Commission[[#This Row],[NumL]],T_suiviDi[#Data],COLUMN(T_suiviDi[[#This Row],[Nom1]]),FALSE)&lt;&gt;"",VLOOKUP(T_Commission[[#This Row],[NumL]],T_suiviDi[#Data],COLUMN(T_suiviDi[[#This Row],[Nom1]]),FALSE),""),"")</f>
        <v/>
      </c>
      <c r="G305" s="274" t="str">
        <f>IFERROR(IF(VLOOKUP(T_Commission[[#This Row],[NumL]],T_suiviDi[#Data],COLUMN(T_suiviDi[[#This Row],[Prénom1]]),FALSE)&lt;&gt;"",VLOOKUP(T_Commission[[#This Row],[NumL]],T_suiviDi[#Data],COLUMN(T_suiviDi[[#This Row],[Prénom1]]),FALSE),""),"")</f>
        <v/>
      </c>
      <c r="H305" s="274" t="str">
        <f>IFERROR(IF(VLOOKUP(T_Commission[[#This Row],[NumL]],T_suiviDi[#Data],COLUMN(T_suiviDi[[#This Row],[Email1]]),FALSE)&lt;&gt;"",VLOOKUP(T_Commission[[#This Row],[NumL]],T_suiviDi[#Data],COLUMN(T_suiviDi[[#This Row],[Email1]]),FALSE),""),"")</f>
        <v/>
      </c>
      <c r="I305" s="142" t="str">
        <f>IFERROR(VLOOKUP(T_Commission[[#This Row],[NumL]],T_TraitDi[#Data],COLUMN(T_TraitDi[[#This Row],[CTRL_PJ]]),FALSE),"")</f>
        <v/>
      </c>
      <c r="J305" s="142" t="str">
        <f>IF(T_Commission[[#This Row],[Nom]]&lt;&gt;"",IFERROR(VLOOKUP(T_Commission[[#This Row],[NumL]],T_TraitDi[#Data],COLUMN(T_TraitDi[[#This Row],[C10]]),FALSE),""),"")</f>
        <v/>
      </c>
      <c r="K305" s="142" t="str">
        <f>IFERROR(IF(VLOOKUP(T_Commission[[#This Row],[NumL]],T_suiviDi[#Data],COLUMN(T_suiviDi[[#This Row],[Avis n+1]]),FALSE)&lt;&gt;"",VLOOKUP(A305,T_suiviDi[#Data],COLUMN(T_suiviDi[[#This Row],[Avis n+1]]),FALSE),""),"")</f>
        <v/>
      </c>
      <c r="L305" s="142" t="str">
        <f>IFERROR(IF(VLOOKUP(T_Commission[[#This Row],[NumL]],T_suiviDi[#Data],COLUMN(T_suiviDi[[#This Row],[Avis n+2]]),FALSE)&lt;&gt;"",VLOOKUP(T_Commission[[#This Row],[NumL]],T_suiviDi[#Data],COLUMN(T_suiviDi[[#This Row],[Avis n+2]]),FALSE),""),"")</f>
        <v/>
      </c>
      <c r="M305" s="49">
        <v>1</v>
      </c>
      <c r="N305" s="49"/>
      <c r="O305" s="143">
        <f>IF(T_Commission[[#This Row],[Nom]]&lt;&gt;"",IF(T_Commission[[#This Row],[COM '#2]]&lt;&gt;"",MAX(T_Commission[[#This Row],[PJ]],T_Commission[[#This Row],[COM '#2]]),IF(T_Commission[[#This Row],[COM '#1]]&lt;&gt;"",MAX(T_Commission[[#This Row],[PJ]],T_Commission[[#This Row],[COM '#1]]),"")),"")</f>
        <v>1</v>
      </c>
      <c r="P305" s="55" t="s">
        <v>115</v>
      </c>
      <c r="Q305" s="55" t="s">
        <v>3277</v>
      </c>
      <c r="R305" s="55" t="s">
        <v>3277</v>
      </c>
      <c r="S305" s="56"/>
      <c r="T305" s="144"/>
    </row>
    <row r="306" spans="1:20" s="93" customFormat="1" ht="30" customHeight="1" x14ac:dyDescent="0.25">
      <c r="A306" s="90">
        <v>176</v>
      </c>
      <c r="B306" s="130" t="str">
        <f>IFERROR(IF(VLOOKUP(T_Commission[[#This Row],[NumL]],T_TraitDi[#Data],COLUMN(T_TraitDi[[#This Row],[Statut]]),FALSE)&lt;&gt;"",VLOOKUP(T_Commission[[#This Row],[NumL]],T_TraitDi[#Data],COLUMN(T_TraitDi[[#This Row],[Statut]]),FALSE),""),"")</f>
        <v/>
      </c>
      <c r="C306" s="19" t="str">
        <f>IFERROR(IF(VLOOKUP(T_Commission[[#This Row],[NumL]],T_suiviDi[#Data],COLUMN(T_suiviDi[Nom]),FALSE)&lt;&gt;"",VLOOKUP(T_Commission[[#This Row],[NumL]],T_suiviDi[#Data],COLUMN(T_suiviDi[Nom]),FALSE),""),"")</f>
        <v>A</v>
      </c>
      <c r="D306" s="19" t="str">
        <f>IFERROR(IF(VLOOKUP(T_Commission[[#This Row],[NumL]],T_suiviDi[#Data],COLUMN(T_suiviDi[Prénom]),FALSE)&lt;&gt;"",VLOOKUP(T_Commission[[#This Row],[NumL]],T_suiviDi[#Data],COLUMN(T_suiviDi[Prénom]),FALSE),""),"")</f>
        <v>Annie</v>
      </c>
      <c r="E306" s="20" t="str">
        <f>IFERROR(IF(VLOOKUP(T_Commission[[#This Row],[NumL]],T_suiviDi[#Data],COLUMN(T_suiviDi[Email]),FALSE)&lt;&gt;"",VLOOKUP(T_Commission[[#This Row],[NumL]],T_suiviDi[#Data],COLUMN(T_suiviDi[Email]),FALSE),""),"")</f>
        <v/>
      </c>
      <c r="F306" s="274" t="str">
        <f>IFERROR(IF(VLOOKUP(T_Commission[[#This Row],[NumL]],T_suiviDi[#Data],COLUMN(T_suiviDi[[#This Row],[Nom1]]),FALSE)&lt;&gt;"",VLOOKUP(T_Commission[[#This Row],[NumL]],T_suiviDi[#Data],COLUMN(T_suiviDi[[#This Row],[Nom1]]),FALSE),""),"")</f>
        <v/>
      </c>
      <c r="G306" s="274" t="str">
        <f>IFERROR(IF(VLOOKUP(T_Commission[[#This Row],[NumL]],T_suiviDi[#Data],COLUMN(T_suiviDi[[#This Row],[Prénom1]]),FALSE)&lt;&gt;"",VLOOKUP(T_Commission[[#This Row],[NumL]],T_suiviDi[#Data],COLUMN(T_suiviDi[[#This Row],[Prénom1]]),FALSE),""),"")</f>
        <v/>
      </c>
      <c r="H306" s="274" t="str">
        <f>IFERROR(IF(VLOOKUP(T_Commission[[#This Row],[NumL]],T_suiviDi[#Data],COLUMN(T_suiviDi[[#This Row],[Email1]]),FALSE)&lt;&gt;"",VLOOKUP(T_Commission[[#This Row],[NumL]],T_suiviDi[#Data],COLUMN(T_suiviDi[[#This Row],[Email1]]),FALSE),""),"")</f>
        <v/>
      </c>
      <c r="I306" s="142" t="str">
        <f>IFERROR(VLOOKUP(T_Commission[[#This Row],[NumL]],T_TraitDi[#Data],COLUMN(T_TraitDi[[#This Row],[CTRL_PJ]]),FALSE),"")</f>
        <v/>
      </c>
      <c r="J306" s="142" t="str">
        <f>IF(T_Commission[[#This Row],[Nom]]&lt;&gt;"",IFERROR(VLOOKUP(T_Commission[[#This Row],[NumL]],T_TraitDi[#Data],COLUMN(T_TraitDi[[#This Row],[C10]]),FALSE),""),"")</f>
        <v/>
      </c>
      <c r="K306" s="142" t="str">
        <f>IFERROR(IF(VLOOKUP(T_Commission[[#This Row],[NumL]],T_suiviDi[#Data],COLUMN(T_suiviDi[[#This Row],[Avis n+1]]),FALSE)&lt;&gt;"",VLOOKUP(A306,T_suiviDi[#Data],COLUMN(T_suiviDi[[#This Row],[Avis n+1]]),FALSE),""),"")</f>
        <v/>
      </c>
      <c r="L306" s="142" t="str">
        <f>IFERROR(IF(VLOOKUP(T_Commission[[#This Row],[NumL]],T_suiviDi[#Data],COLUMN(T_suiviDi[[#This Row],[Avis n+2]]),FALSE)&lt;&gt;"",VLOOKUP(T_Commission[[#This Row],[NumL]],T_suiviDi[#Data],COLUMN(T_suiviDi[[#This Row],[Avis n+2]]),FALSE),""),"")</f>
        <v/>
      </c>
      <c r="M306" s="49">
        <v>1</v>
      </c>
      <c r="N306" s="49"/>
      <c r="O306" s="143">
        <f>IF(T_Commission[[#This Row],[Nom]]&lt;&gt;"",IF(T_Commission[[#This Row],[COM '#2]]&lt;&gt;"",MAX(T_Commission[[#This Row],[PJ]],T_Commission[[#This Row],[COM '#2]]),IF(T_Commission[[#This Row],[COM '#1]]&lt;&gt;"",MAX(T_Commission[[#This Row],[PJ]],T_Commission[[#This Row],[COM '#1]]),"")),"")</f>
        <v>1</v>
      </c>
      <c r="P306" s="55" t="s">
        <v>115</v>
      </c>
      <c r="Q306" s="55" t="s">
        <v>3277</v>
      </c>
      <c r="R306" s="55" t="s">
        <v>3277</v>
      </c>
      <c r="S306" s="56"/>
      <c r="T306" s="144"/>
    </row>
    <row r="307" spans="1:20" s="93" customFormat="1" ht="30" customHeight="1" x14ac:dyDescent="0.25">
      <c r="A307" s="90">
        <v>57</v>
      </c>
      <c r="B307" s="130" t="str">
        <f>IFERROR(IF(VLOOKUP(T_Commission[[#This Row],[NumL]],T_TraitDi[#Data],COLUMN(T_TraitDi[[#This Row],[Statut]]),FALSE)&lt;&gt;"",VLOOKUP(T_Commission[[#This Row],[NumL]],T_TraitDi[#Data],COLUMN(T_TraitDi[[#This Row],[Statut]]),FALSE),""),"")</f>
        <v/>
      </c>
      <c r="C307" s="19" t="str">
        <f>IFERROR(IF(VLOOKUP(T_Commission[[#This Row],[NumL]],T_suiviDi[#Data],COLUMN(T_suiviDi[Nom]),FALSE)&lt;&gt;"",VLOOKUP(T_Commission[[#This Row],[NumL]],T_suiviDi[#Data],COLUMN(T_suiviDi[Nom]),FALSE),""),"")</f>
        <v>A</v>
      </c>
      <c r="D307" s="19" t="str">
        <f>IFERROR(IF(VLOOKUP(T_Commission[[#This Row],[NumL]],T_suiviDi[#Data],COLUMN(T_suiviDi[Prénom]),FALSE)&lt;&gt;"",VLOOKUP(T_Commission[[#This Row],[NumL]],T_suiviDi[#Data],COLUMN(T_suiviDi[Prénom]),FALSE),""),"")</f>
        <v>Lionel</v>
      </c>
      <c r="E307" s="20" t="str">
        <f>IFERROR(IF(VLOOKUP(T_Commission[[#This Row],[NumL]],T_suiviDi[#Data],COLUMN(T_suiviDi[Email]),FALSE)&lt;&gt;"",VLOOKUP(T_Commission[[#This Row],[NumL]],T_suiviDi[#Data],COLUMN(T_suiviDi[Email]),FALSE),""),"")</f>
        <v/>
      </c>
      <c r="F307" s="274" t="str">
        <f>IFERROR(IF(VLOOKUP(T_Commission[[#This Row],[NumL]],T_suiviDi[#Data],COLUMN(T_suiviDi[[#This Row],[Nom1]]),FALSE)&lt;&gt;"",VLOOKUP(T_Commission[[#This Row],[NumL]],T_suiviDi[#Data],COLUMN(T_suiviDi[[#This Row],[Nom1]]),FALSE),""),"")</f>
        <v/>
      </c>
      <c r="G307" s="274" t="str">
        <f>IFERROR(IF(VLOOKUP(T_Commission[[#This Row],[NumL]],T_suiviDi[#Data],COLUMN(T_suiviDi[[#This Row],[Prénom1]]),FALSE)&lt;&gt;"",VLOOKUP(T_Commission[[#This Row],[NumL]],T_suiviDi[#Data],COLUMN(T_suiviDi[[#This Row],[Prénom1]]),FALSE),""),"")</f>
        <v/>
      </c>
      <c r="H307" s="274" t="str">
        <f>IFERROR(IF(VLOOKUP(T_Commission[[#This Row],[NumL]],T_suiviDi[#Data],COLUMN(T_suiviDi[[#This Row],[Email1]]),FALSE)&lt;&gt;"",VLOOKUP(T_Commission[[#This Row],[NumL]],T_suiviDi[#Data],COLUMN(T_suiviDi[[#This Row],[Email1]]),FALSE),""),"")</f>
        <v/>
      </c>
      <c r="I307" s="142" t="str">
        <f>IFERROR(VLOOKUP(T_Commission[[#This Row],[NumL]],T_TraitDi[#Data],COLUMN(T_TraitDi[[#This Row],[CTRL_PJ]]),FALSE),"")</f>
        <v/>
      </c>
      <c r="J307" s="142" t="str">
        <f>IF(T_Commission[[#This Row],[Nom]]&lt;&gt;"",IFERROR(VLOOKUP(T_Commission[[#This Row],[NumL]],T_TraitDi[#Data],COLUMN(T_TraitDi[[#This Row],[C10]]),FALSE),""),"")</f>
        <v/>
      </c>
      <c r="K307" s="142" t="str">
        <f>IFERROR(IF(VLOOKUP(T_Commission[[#This Row],[NumL]],T_suiviDi[#Data],COLUMN(T_suiviDi[[#This Row],[Avis n+1]]),FALSE)&lt;&gt;"",VLOOKUP(A307,T_suiviDi[#Data],COLUMN(T_suiviDi[[#This Row],[Avis n+1]]),FALSE),""),"")</f>
        <v/>
      </c>
      <c r="L307" s="142" t="str">
        <f>IFERROR(IF(VLOOKUP(T_Commission[[#This Row],[NumL]],T_suiviDi[#Data],COLUMN(T_suiviDi[[#This Row],[Avis n+2]]),FALSE)&lt;&gt;"",VLOOKUP(T_Commission[[#This Row],[NumL]],T_suiviDi[#Data],COLUMN(T_suiviDi[[#This Row],[Avis n+2]]),FALSE),""),"")</f>
        <v/>
      </c>
      <c r="M307" s="49">
        <v>1</v>
      </c>
      <c r="N307" s="49"/>
      <c r="O307" s="143">
        <f>IF(T_Commission[[#This Row],[Nom]]&lt;&gt;"",IF(T_Commission[[#This Row],[COM '#2]]&lt;&gt;"",MAX(T_Commission[[#This Row],[PJ]],T_Commission[[#This Row],[COM '#2]]),IF(T_Commission[[#This Row],[COM '#1]]&lt;&gt;"",MAX(T_Commission[[#This Row],[PJ]],T_Commission[[#This Row],[COM '#1]]),"")),"")</f>
        <v>1</v>
      </c>
      <c r="P307" s="55" t="s">
        <v>115</v>
      </c>
      <c r="Q307" s="55" t="s">
        <v>3277</v>
      </c>
      <c r="R307" s="55" t="s">
        <v>3277</v>
      </c>
      <c r="S307" s="56"/>
      <c r="T307" s="144"/>
    </row>
    <row r="308" spans="1:20" s="93" customFormat="1" ht="30" customHeight="1" x14ac:dyDescent="0.25">
      <c r="A308" s="90">
        <v>310</v>
      </c>
      <c r="B308" s="130" t="str">
        <f>IFERROR(IF(VLOOKUP(T_Commission[[#This Row],[NumL]],T_TraitDi[#Data],COLUMN(T_TraitDi[[#This Row],[Statut]]),FALSE)&lt;&gt;"",VLOOKUP(T_Commission[[#This Row],[NumL]],T_TraitDi[#Data],COLUMN(T_TraitDi[[#This Row],[Statut]]),FALSE),""),"")</f>
        <v/>
      </c>
      <c r="C308" s="139" t="str">
        <f>IFERROR(IF(VLOOKUP(T_Commission[[#This Row],[NumL]],T_suiviDi[#Data],COLUMN(T_suiviDi[[#This Row],[Nom]]),FALSE)&lt;&gt;"",VLOOKUP(T_Commission[[#This Row],[NumL]],T_suiviDi[#Data],COLUMN(T_suiviDi[[#This Row],[Nom]]),FALSE),""),"")</f>
        <v/>
      </c>
      <c r="D308" s="139" t="str">
        <f>IFERROR(IF(VLOOKUP(T_Commission[[#This Row],[NumL]],T_suiviDi[#Data],COLUMN(T_suiviDi[[#This Row],[Prénom]]),FALSE)&lt;&gt;"",VLOOKUP(T_Commission[[#This Row],[NumL]],T_suiviDi[#Data],COLUMN(T_suiviDi[[#This Row],[Prénom]]),FALSE),""),"")</f>
        <v/>
      </c>
      <c r="E308" s="140" t="str">
        <f>IFERROR(IF(VLOOKUP(T_Commission[[#This Row],[NumL]],T_suiviDi[#Data],COLUMN(T_suiviDi[[#This Row],[Email]]),FALSE)&lt;&gt;"",VLOOKUP(T_Commission[[#This Row],[NumL]],T_suiviDi[#Data],COLUMN(T_suiviDi[[#This Row],[Email]]),FALSE),""),"")</f>
        <v/>
      </c>
      <c r="F308" s="141" t="str">
        <f>IFERROR(IF(VLOOKUP(T_Commission[[#This Row],[NumL]],T_suiviDi[#Data],COLUMN(T_suiviDi[[#This Row],[Nom1]]),FALSE)&lt;&gt;"",VLOOKUP(T_Commission[[#This Row],[NumL]],T_suiviDi[#Data],COLUMN(T_suiviDi[[#This Row],[Nom1]]),FALSE),""),"")</f>
        <v/>
      </c>
      <c r="G308" s="141" t="str">
        <f>IFERROR(IF(VLOOKUP(T_Commission[[#This Row],[NumL]],T_suiviDi[#Data],COLUMN(T_suiviDi[[#This Row],[Prénom1]]),FALSE)&lt;&gt;"",VLOOKUP(T_Commission[[#This Row],[NumL]],T_suiviDi[#Data],COLUMN(T_suiviDi[[#This Row],[Prénom1]]),FALSE),""),"")</f>
        <v/>
      </c>
      <c r="H308" s="141" t="str">
        <f>IFERROR(IF(VLOOKUP(T_Commission[[#This Row],[NumL]],T_suiviDi[#Data],COLUMN(T_suiviDi[[#This Row],[Email1]]),FALSE)&lt;&gt;"",VLOOKUP(T_Commission[[#This Row],[NumL]],T_suiviDi[#Data],COLUMN(T_suiviDi[[#This Row],[Email1]]),FALSE),""),"")</f>
        <v/>
      </c>
      <c r="I308" s="142" t="str">
        <f>IFERROR(VLOOKUP(T_Commission[[#This Row],[NumL]],T_TraitDi[#Data],COLUMN(T_TraitDi[[#This Row],[CTRL_PJ]]),FALSE),"")</f>
        <v/>
      </c>
      <c r="J308" s="142" t="str">
        <f>IF(C308&lt;&gt;"",IFERROR(VLOOKUP(A308,'2- Traitement des DI'!BV32,FALSE),""),"")</f>
        <v/>
      </c>
      <c r="K308" s="142" t="str">
        <f>IFERROR(IF(VLOOKUP(T_Commission[[#This Row],[NumL]],T_suiviDi[#Data],COLUMN(T_suiviDi[[#This Row],[Avis n+1]]),FALSE)&lt;&gt;"",VLOOKUP(A308,T_suiviDi[#Data],COLUMN(T_suiviDi[[#This Row],[Avis n+1]]),FALSE),""),"")</f>
        <v/>
      </c>
      <c r="L308" s="142">
        <f>IFERROR(IF(VLOOKUP(A308,ListeDI,27,FALSE)&lt;&gt;"",VLOOKUP(A308,ListeDI,27,FALSE),""),"")</f>
        <v>1</v>
      </c>
      <c r="M308" s="49">
        <v>1</v>
      </c>
      <c r="N308" s="49"/>
      <c r="O308" s="143" t="str">
        <f>IF(C308&lt;&gt;"",IF(N308&lt;&gt;"",MAX(I308,N308),IF(M308&lt;&gt;"",MAX(I308,M308),"")),"")</f>
        <v/>
      </c>
      <c r="P308" s="55" t="s">
        <v>115</v>
      </c>
      <c r="Q308" s="55" t="s">
        <v>3277</v>
      </c>
      <c r="R308" s="55" t="s">
        <v>3277</v>
      </c>
      <c r="S308" s="56"/>
      <c r="T308" s="144"/>
    </row>
    <row r="309" spans="1:20" s="93" customFormat="1" ht="30" customHeight="1" x14ac:dyDescent="0.25">
      <c r="A309" s="90">
        <v>245</v>
      </c>
      <c r="B309" s="130" t="str">
        <f>IFERROR(IF(VLOOKUP(T_Commission[[#This Row],[NumL]],T_TraitDi[#Data],COLUMN(T_TraitDi[[#This Row],[Statut]]),FALSE)&lt;&gt;"",VLOOKUP(T_Commission[[#This Row],[NumL]],T_TraitDi[#Data],COLUMN(T_TraitDi[[#This Row],[Statut]]),FALSE),""),"")</f>
        <v/>
      </c>
      <c r="C309" s="19" t="str">
        <f>IFERROR(IF(VLOOKUP(T_Commission[[#This Row],[NumL]],T_suiviDi[#Data],COLUMN(T_suiviDi[Nom]),FALSE)&lt;&gt;"",VLOOKUP(T_Commission[[#This Row],[NumL]],T_suiviDi[#Data],COLUMN(T_suiviDi[Nom]),FALSE),""),"")</f>
        <v>A</v>
      </c>
      <c r="D309" s="19" t="str">
        <f>IFERROR(IF(VLOOKUP(T_Commission[[#This Row],[NumL]],T_suiviDi[#Data],COLUMN(T_suiviDi[Prénom]),FALSE)&lt;&gt;"",VLOOKUP(T_Commission[[#This Row],[NumL]],T_suiviDi[#Data],COLUMN(T_suiviDi[Prénom]),FALSE),""),"")</f>
        <v>Christelle</v>
      </c>
      <c r="E309" s="20" t="str">
        <f>IFERROR(IF(VLOOKUP(T_Commission[[#This Row],[NumL]],T_suiviDi[#Data],COLUMN(T_suiviDi[Email]),FALSE)&lt;&gt;"",VLOOKUP(T_Commission[[#This Row],[NumL]],T_suiviDi[#Data],COLUMN(T_suiviDi[Email]),FALSE),""),"")</f>
        <v/>
      </c>
      <c r="F309" s="274" t="str">
        <f>IFERROR(IF(VLOOKUP(T_Commission[[#This Row],[NumL]],T_suiviDi[#Data],COLUMN(T_suiviDi[[#This Row],[Nom1]]),FALSE)&lt;&gt;"",VLOOKUP(T_Commission[[#This Row],[NumL]],T_suiviDi[#Data],COLUMN(T_suiviDi[[#This Row],[Nom1]]),FALSE),""),"")</f>
        <v/>
      </c>
      <c r="G309" s="274" t="str">
        <f>IFERROR(IF(VLOOKUP(T_Commission[[#This Row],[NumL]],T_suiviDi[#Data],COLUMN(T_suiviDi[[#This Row],[Prénom1]]),FALSE)&lt;&gt;"",VLOOKUP(T_Commission[[#This Row],[NumL]],T_suiviDi[#Data],COLUMN(T_suiviDi[[#This Row],[Prénom1]]),FALSE),""),"")</f>
        <v/>
      </c>
      <c r="H309" s="274" t="str">
        <f>IFERROR(IF(VLOOKUP(T_Commission[[#This Row],[NumL]],T_suiviDi[#Data],COLUMN(T_suiviDi[[#This Row],[Email1]]),FALSE)&lt;&gt;"",VLOOKUP(T_Commission[[#This Row],[NumL]],T_suiviDi[#Data],COLUMN(T_suiviDi[[#This Row],[Email1]]),FALSE),""),"")</f>
        <v/>
      </c>
      <c r="I309" s="142" t="str">
        <f>IFERROR(VLOOKUP(T_Commission[[#This Row],[NumL]],T_TraitDi[#Data],COLUMN(T_TraitDi[[#This Row],[CTRL_PJ]]),FALSE),"")</f>
        <v/>
      </c>
      <c r="J309" s="142" t="str">
        <f>IF(T_Commission[[#This Row],[Nom]]&lt;&gt;"",IFERROR(VLOOKUP(T_Commission[[#This Row],[NumL]],T_TraitDi[#Data],COLUMN(T_TraitDi[[#This Row],[C10]]),FALSE),""),"")</f>
        <v/>
      </c>
      <c r="K309" s="142" t="str">
        <f>IFERROR(IF(VLOOKUP(T_Commission[[#This Row],[NumL]],T_suiviDi[#Data],COLUMN(T_suiviDi[[#This Row],[Avis n+1]]),FALSE)&lt;&gt;"",VLOOKUP(A309,T_suiviDi[#Data],COLUMN(T_suiviDi[[#This Row],[Avis n+1]]),FALSE),""),"")</f>
        <v/>
      </c>
      <c r="L309" s="142" t="str">
        <f>IFERROR(IF(VLOOKUP(T_Commission[[#This Row],[NumL]],T_suiviDi[#Data],COLUMN(T_suiviDi[[#This Row],[Avis n+2]]),FALSE)&lt;&gt;"",VLOOKUP(T_Commission[[#This Row],[NumL]],T_suiviDi[#Data],COLUMN(T_suiviDi[[#This Row],[Avis n+2]]),FALSE),""),"")</f>
        <v/>
      </c>
      <c r="M309" s="49">
        <v>1</v>
      </c>
      <c r="N309" s="49"/>
      <c r="O309" s="143">
        <f>IF(T_Commission[[#This Row],[Nom]]&lt;&gt;"",IF(T_Commission[[#This Row],[COM '#2]]&lt;&gt;"",MAX(T_Commission[[#This Row],[PJ]],T_Commission[[#This Row],[COM '#2]]),IF(T_Commission[[#This Row],[COM '#1]]&lt;&gt;"",MAX(T_Commission[[#This Row],[PJ]],T_Commission[[#This Row],[COM '#1]]),"")),"")</f>
        <v>1</v>
      </c>
      <c r="P309" s="55" t="s">
        <v>115</v>
      </c>
      <c r="Q309" s="55" t="s">
        <v>3277</v>
      </c>
      <c r="R309" s="55" t="s">
        <v>3277</v>
      </c>
      <c r="S309" s="56"/>
      <c r="T309" s="144"/>
    </row>
    <row r="310" spans="1:20" s="93" customFormat="1" ht="30" customHeight="1" x14ac:dyDescent="0.25">
      <c r="A310" s="90">
        <v>137</v>
      </c>
      <c r="B310" s="130" t="str">
        <f>IFERROR(IF(VLOOKUP(T_Commission[[#This Row],[NumL]],T_TraitDi[#Data],COLUMN(T_TraitDi[[#This Row],[Statut]]),FALSE)&lt;&gt;"",VLOOKUP(T_Commission[[#This Row],[NumL]],T_TraitDi[#Data],COLUMN(T_TraitDi[[#This Row],[Statut]]),FALSE),""),"")</f>
        <v/>
      </c>
      <c r="C310" s="19" t="str">
        <f>IFERROR(IF(VLOOKUP(T_Commission[[#This Row],[NumL]],T_suiviDi[#Data],COLUMN(T_suiviDi[Nom]),FALSE)&lt;&gt;"",VLOOKUP(T_Commission[[#This Row],[NumL]],T_suiviDi[#Data],COLUMN(T_suiviDi[Nom]),FALSE),""),"")</f>
        <v>A</v>
      </c>
      <c r="D310" s="19" t="str">
        <f>IFERROR(IF(VLOOKUP(T_Commission[[#This Row],[NumL]],T_suiviDi[#Data],COLUMN(T_suiviDi[Prénom]),FALSE)&lt;&gt;"",VLOOKUP(T_Commission[[#This Row],[NumL]],T_suiviDi[#Data],COLUMN(T_suiviDi[Prénom]),FALSE),""),"")</f>
        <v>Babak</v>
      </c>
      <c r="E310" s="20" t="str">
        <f>IFERROR(IF(VLOOKUP(T_Commission[[#This Row],[NumL]],T_suiviDi[#Data],COLUMN(T_suiviDi[Email]),FALSE)&lt;&gt;"",VLOOKUP(T_Commission[[#This Row],[NumL]],T_suiviDi[#Data],COLUMN(T_suiviDi[Email]),FALSE),""),"")</f>
        <v/>
      </c>
      <c r="F310" s="274" t="str">
        <f>IFERROR(IF(VLOOKUP(T_Commission[[#This Row],[NumL]],T_suiviDi[#Data],COLUMN(T_suiviDi[[#This Row],[Nom1]]),FALSE)&lt;&gt;"",VLOOKUP(T_Commission[[#This Row],[NumL]],T_suiviDi[#Data],COLUMN(T_suiviDi[[#This Row],[Nom1]]),FALSE),""),"")</f>
        <v/>
      </c>
      <c r="G310" s="274" t="str">
        <f>IFERROR(IF(VLOOKUP(T_Commission[[#This Row],[NumL]],T_suiviDi[#Data],COLUMN(T_suiviDi[[#This Row],[Prénom1]]),FALSE)&lt;&gt;"",VLOOKUP(T_Commission[[#This Row],[NumL]],T_suiviDi[#Data],COLUMN(T_suiviDi[[#This Row],[Prénom1]]),FALSE),""),"")</f>
        <v/>
      </c>
      <c r="H310" s="274" t="str">
        <f>IFERROR(IF(VLOOKUP(T_Commission[[#This Row],[NumL]],T_suiviDi[#Data],COLUMN(T_suiviDi[[#This Row],[Email1]]),FALSE)&lt;&gt;"",VLOOKUP(T_Commission[[#This Row],[NumL]],T_suiviDi[#Data],COLUMN(T_suiviDi[[#This Row],[Email1]]),FALSE),""),"")</f>
        <v/>
      </c>
      <c r="I310" s="142" t="str">
        <f>IFERROR(VLOOKUP(T_Commission[[#This Row],[NumL]],T_TraitDi[#Data],COLUMN(T_TraitDi[[#This Row],[CTRL_PJ]]),FALSE),"")</f>
        <v/>
      </c>
      <c r="J310" s="142" t="str">
        <f>IF(T_Commission[[#This Row],[Nom]]&lt;&gt;"",IFERROR(VLOOKUP(T_Commission[[#This Row],[NumL]],T_TraitDi[#Data],COLUMN(T_TraitDi[[#This Row],[C10]]),FALSE),""),"")</f>
        <v/>
      </c>
      <c r="K310" s="142" t="str">
        <f>IFERROR(IF(VLOOKUP(T_Commission[[#This Row],[NumL]],T_suiviDi[#Data],COLUMN(T_suiviDi[[#This Row],[Avis n+1]]),FALSE)&lt;&gt;"",VLOOKUP(A310,T_suiviDi[#Data],COLUMN(T_suiviDi[[#This Row],[Avis n+1]]),FALSE),""),"")</f>
        <v/>
      </c>
      <c r="L310" s="142" t="str">
        <f>IFERROR(IF(VLOOKUP(T_Commission[[#This Row],[NumL]],T_suiviDi[#Data],COLUMN(T_suiviDi[[#This Row],[Avis n+2]]),FALSE)&lt;&gt;"",VLOOKUP(T_Commission[[#This Row],[NumL]],T_suiviDi[#Data],COLUMN(T_suiviDi[[#This Row],[Avis n+2]]),FALSE),""),"")</f>
        <v/>
      </c>
      <c r="M310" s="49">
        <v>1</v>
      </c>
      <c r="N310" s="49"/>
      <c r="O310" s="143">
        <f>IF(T_Commission[[#This Row],[Nom]]&lt;&gt;"",IF(T_Commission[[#This Row],[COM '#2]]&lt;&gt;"",MAX(T_Commission[[#This Row],[PJ]],T_Commission[[#This Row],[COM '#2]]),IF(T_Commission[[#This Row],[COM '#1]]&lt;&gt;"",MAX(T_Commission[[#This Row],[PJ]],T_Commission[[#This Row],[COM '#1]]),"")),"")</f>
        <v>1</v>
      </c>
      <c r="P310" s="55" t="s">
        <v>115</v>
      </c>
      <c r="Q310" s="55" t="s">
        <v>3277</v>
      </c>
      <c r="R310" s="55" t="s">
        <v>3277</v>
      </c>
      <c r="S310" s="56"/>
      <c r="T310" s="144"/>
    </row>
    <row r="311" spans="1:20" s="93" customFormat="1" ht="30" customHeight="1" x14ac:dyDescent="0.25">
      <c r="A311" s="90">
        <v>288</v>
      </c>
      <c r="B311" s="130" t="str">
        <f>IFERROR(IF(VLOOKUP(T_Commission[[#This Row],[NumL]],T_TraitDi[#Data],COLUMN(T_TraitDi[[#This Row],[Statut]]),FALSE)&lt;&gt;"",VLOOKUP(T_Commission[[#This Row],[NumL]],T_TraitDi[#Data],COLUMN(T_TraitDi[[#This Row],[Statut]]),FALSE),""),"")</f>
        <v/>
      </c>
      <c r="C311" s="19" t="str">
        <f>IFERROR(IF(VLOOKUP(T_Commission[[#This Row],[NumL]],T_suiviDi[#Data],COLUMN(T_suiviDi[Nom]),FALSE)&lt;&gt;"",VLOOKUP(T_Commission[[#This Row],[NumL]],T_suiviDi[#Data],COLUMN(T_suiviDi[Nom]),FALSE),""),"")</f>
        <v>A</v>
      </c>
      <c r="D311" s="19" t="str">
        <f>IFERROR(IF(VLOOKUP(T_Commission[[#This Row],[NumL]],T_suiviDi[#Data],COLUMN(T_suiviDi[Prénom]),FALSE)&lt;&gt;"",VLOOKUP(T_Commission[[#This Row],[NumL]],T_suiviDi[#Data],COLUMN(T_suiviDi[Prénom]),FALSE),""),"")</f>
        <v>Ilidia</v>
      </c>
      <c r="E311" s="20" t="str">
        <f>IFERROR(IF(VLOOKUP(T_Commission[[#This Row],[NumL]],T_suiviDi[#Data],COLUMN(T_suiviDi[Email]),FALSE)&lt;&gt;"",VLOOKUP(T_Commission[[#This Row],[NumL]],T_suiviDi[#Data],COLUMN(T_suiviDi[Email]),FALSE),""),"")</f>
        <v/>
      </c>
      <c r="F311" s="274" t="str">
        <f>IFERROR(IF(VLOOKUP(T_Commission[[#This Row],[NumL]],T_suiviDi[#Data],COLUMN(T_suiviDi[[#This Row],[Nom1]]),FALSE)&lt;&gt;"",VLOOKUP(T_Commission[[#This Row],[NumL]],T_suiviDi[#Data],COLUMN(T_suiviDi[[#This Row],[Nom1]]),FALSE),""),"")</f>
        <v/>
      </c>
      <c r="G311" s="274" t="str">
        <f>IFERROR(IF(VLOOKUP(T_Commission[[#This Row],[NumL]],T_suiviDi[#Data],COLUMN(T_suiviDi[[#This Row],[Prénom1]]),FALSE)&lt;&gt;"",VLOOKUP(T_Commission[[#This Row],[NumL]],T_suiviDi[#Data],COLUMN(T_suiviDi[[#This Row],[Prénom1]]),FALSE),""),"")</f>
        <v/>
      </c>
      <c r="H311" s="274" t="str">
        <f>IFERROR(IF(VLOOKUP(T_Commission[[#This Row],[NumL]],T_suiviDi[#Data],COLUMN(T_suiviDi[[#This Row],[Email1]]),FALSE)&lt;&gt;"",VLOOKUP(T_Commission[[#This Row],[NumL]],T_suiviDi[#Data],COLUMN(T_suiviDi[[#This Row],[Email1]]),FALSE),""),"")</f>
        <v/>
      </c>
      <c r="I311" s="142" t="str">
        <f>IFERROR(VLOOKUP(T_Commission[[#This Row],[NumL]],T_TraitDi[#Data],COLUMN(T_TraitDi[[#This Row],[CTRL_PJ]]),FALSE),"")</f>
        <v/>
      </c>
      <c r="J311" s="142" t="str">
        <f>IF(C311&lt;&gt;"",IFERROR(VLOOKUP(A311,'2- Traitement des DI'!BT32,FALSE),""),"")</f>
        <v/>
      </c>
      <c r="K311" s="142" t="str">
        <f>IFERROR(IF(VLOOKUP(T_Commission[[#This Row],[NumL]],T_suiviDi[#Data],COLUMN(T_suiviDi[[#This Row],[Avis n+1]]),FALSE)&lt;&gt;"",VLOOKUP(A311,T_suiviDi[#Data],COLUMN(T_suiviDi[[#This Row],[Avis n+1]]),FALSE),""),"")</f>
        <v/>
      </c>
      <c r="L311" s="142" t="str">
        <f>IFERROR(IF(VLOOKUP(T_Commission[[#This Row],[NumL]],T_suiviDi[#Data],COLUMN(T_suiviDi[[#This Row],[Avis n+2]]),FALSE)&lt;&gt;"",VLOOKUP(T_Commission[[#This Row],[NumL]],T_suiviDi[#Data],COLUMN(T_suiviDi[[#This Row],[Avis n+2]]),FALSE),""),"")</f>
        <v/>
      </c>
      <c r="M311" s="49">
        <v>1</v>
      </c>
      <c r="N311" s="49"/>
      <c r="O311" s="143">
        <f>IF(T_Commission[[#This Row],[Nom]]&lt;&gt;"",IF(T_Commission[[#This Row],[COM '#2]]&lt;&gt;"",MAX(T_Commission[[#This Row],[PJ]],T_Commission[[#This Row],[COM '#2]]),IF(T_Commission[[#This Row],[COM '#1]]&lt;&gt;"",MAX(T_Commission[[#This Row],[PJ]],T_Commission[[#This Row],[COM '#1]]),"")),"")</f>
        <v>1</v>
      </c>
      <c r="P311" s="55" t="s">
        <v>115</v>
      </c>
      <c r="Q311" s="55" t="s">
        <v>3277</v>
      </c>
      <c r="R311" s="55" t="s">
        <v>3277</v>
      </c>
      <c r="S311" s="56"/>
      <c r="T311" s="144" t="s">
        <v>3615</v>
      </c>
    </row>
    <row r="312" spans="1:20" s="93" customFormat="1" ht="30" customHeight="1" x14ac:dyDescent="0.25">
      <c r="A312" s="90">
        <v>259</v>
      </c>
      <c r="B312" s="130" t="str">
        <f>IFERROR(IF(VLOOKUP(T_Commission[[#This Row],[NumL]],T_TraitDi[#Data],COLUMN(T_TraitDi[[#This Row],[Statut]]),FALSE)&lt;&gt;"",VLOOKUP(T_Commission[[#This Row],[NumL]],T_TraitDi[#Data],COLUMN(T_TraitDi[[#This Row],[Statut]]),FALSE),""),"")</f>
        <v/>
      </c>
      <c r="C312" s="19" t="str">
        <f>IFERROR(IF(VLOOKUP(T_Commission[[#This Row],[NumL]],T_suiviDi[#Data],COLUMN(T_suiviDi[Nom]),FALSE)&lt;&gt;"",VLOOKUP(T_Commission[[#This Row],[NumL]],T_suiviDi[#Data],COLUMN(T_suiviDi[Nom]),FALSE),""),"")</f>
        <v>A</v>
      </c>
      <c r="D312" s="19" t="str">
        <f>IFERROR(IF(VLOOKUP(T_Commission[[#This Row],[NumL]],T_suiviDi[#Data],COLUMN(T_suiviDi[Prénom]),FALSE)&lt;&gt;"",VLOOKUP(T_Commission[[#This Row],[NumL]],T_suiviDi[#Data],COLUMN(T_suiviDi[Prénom]),FALSE),""),"")</f>
        <v>Aude</v>
      </c>
      <c r="E312" s="20" t="str">
        <f>IFERROR(IF(VLOOKUP(T_Commission[[#This Row],[NumL]],T_suiviDi[#Data],COLUMN(T_suiviDi[Email]),FALSE)&lt;&gt;"",VLOOKUP(T_Commission[[#This Row],[NumL]],T_suiviDi[#Data],COLUMN(T_suiviDi[Email]),FALSE),""),"")</f>
        <v/>
      </c>
      <c r="F312" s="274" t="str">
        <f>IFERROR(IF(VLOOKUP(T_Commission[[#This Row],[NumL]],T_suiviDi[#Data],COLUMN(T_suiviDi[[#This Row],[Nom1]]),FALSE)&lt;&gt;"",VLOOKUP(T_Commission[[#This Row],[NumL]],T_suiviDi[#Data],COLUMN(T_suiviDi[[#This Row],[Nom1]]),FALSE),""),"")</f>
        <v/>
      </c>
      <c r="G312" s="274" t="str">
        <f>IFERROR(IF(VLOOKUP(T_Commission[[#This Row],[NumL]],T_suiviDi[#Data],COLUMN(T_suiviDi[[#This Row],[Prénom1]]),FALSE)&lt;&gt;"",VLOOKUP(T_Commission[[#This Row],[NumL]],T_suiviDi[#Data],COLUMN(T_suiviDi[[#This Row],[Prénom1]]),FALSE),""),"")</f>
        <v/>
      </c>
      <c r="H312" s="274" t="str">
        <f>IFERROR(IF(VLOOKUP(T_Commission[[#This Row],[NumL]],T_suiviDi[#Data],COLUMN(T_suiviDi[[#This Row],[Email1]]),FALSE)&lt;&gt;"",VLOOKUP(T_Commission[[#This Row],[NumL]],T_suiviDi[#Data],COLUMN(T_suiviDi[[#This Row],[Email1]]),FALSE),""),"")</f>
        <v/>
      </c>
      <c r="I312" s="142" t="str">
        <f>IFERROR(VLOOKUP(T_Commission[[#This Row],[NumL]],T_TraitDi[#Data],COLUMN(T_TraitDi[[#This Row],[CTRL_PJ]]),FALSE),"")</f>
        <v/>
      </c>
      <c r="J312" s="142" t="str">
        <f>IF(T_Commission[[#This Row],[Nom]]&lt;&gt;"",IFERROR(VLOOKUP(T_Commission[[#This Row],[NumL]],T_TraitDi[#Data],COLUMN(T_TraitDi[[#This Row],[C10]]),FALSE),""),"")</f>
        <v/>
      </c>
      <c r="K312" s="142" t="str">
        <f>IFERROR(IF(VLOOKUP(T_Commission[[#This Row],[NumL]],T_suiviDi[#Data],COLUMN(T_suiviDi[[#This Row],[Avis n+1]]),FALSE)&lt;&gt;"",VLOOKUP(A312,T_suiviDi[#Data],COLUMN(T_suiviDi[[#This Row],[Avis n+1]]),FALSE),""),"")</f>
        <v/>
      </c>
      <c r="L312" s="142" t="str">
        <f>IFERROR(IF(VLOOKUP(T_Commission[[#This Row],[NumL]],T_suiviDi[#Data],COLUMN(T_suiviDi[[#This Row],[Avis n+2]]),FALSE)&lt;&gt;"",VLOOKUP(T_Commission[[#This Row],[NumL]],T_suiviDi[#Data],COLUMN(T_suiviDi[[#This Row],[Avis n+2]]),FALSE),""),"")</f>
        <v/>
      </c>
      <c r="M312" s="49">
        <v>1</v>
      </c>
      <c r="N312" s="49"/>
      <c r="O312" s="143">
        <f>IF(T_Commission[[#This Row],[Nom]]&lt;&gt;"",IF(T_Commission[[#This Row],[COM '#2]]&lt;&gt;"",MAX(T_Commission[[#This Row],[PJ]],T_Commission[[#This Row],[COM '#2]]),IF(T_Commission[[#This Row],[COM '#1]]&lt;&gt;"",MAX(T_Commission[[#This Row],[PJ]],T_Commission[[#This Row],[COM '#1]]),"")),"")</f>
        <v>1</v>
      </c>
      <c r="P312" s="55" t="s">
        <v>115</v>
      </c>
      <c r="Q312" s="55" t="s">
        <v>3277</v>
      </c>
      <c r="R312" s="55" t="s">
        <v>3277</v>
      </c>
      <c r="S312" s="56"/>
      <c r="T312" s="144"/>
    </row>
    <row r="313" spans="1:20" s="93" customFormat="1" ht="30" customHeight="1" x14ac:dyDescent="0.25">
      <c r="A313" s="90">
        <v>78</v>
      </c>
      <c r="B313" s="130" t="str">
        <f>IFERROR(IF(VLOOKUP(T_Commission[[#This Row],[NumL]],T_TraitDi[#Data],COLUMN(T_TraitDi[[#This Row],[Statut]]),FALSE)&lt;&gt;"",VLOOKUP(T_Commission[[#This Row],[NumL]],T_TraitDi[#Data],COLUMN(T_TraitDi[[#This Row],[Statut]]),FALSE),""),"")</f>
        <v/>
      </c>
      <c r="C313" s="19" t="str">
        <f>IFERROR(IF(VLOOKUP(T_Commission[[#This Row],[NumL]],T_suiviDi[#Data],COLUMN(T_suiviDi[Nom]),FALSE)&lt;&gt;"",VLOOKUP(T_Commission[[#This Row],[NumL]],T_suiviDi[#Data],COLUMN(T_suiviDi[Nom]),FALSE),""),"")</f>
        <v>A</v>
      </c>
      <c r="D313" s="19" t="str">
        <f>IFERROR(IF(VLOOKUP(T_Commission[[#This Row],[NumL]],T_suiviDi[#Data],COLUMN(T_suiviDi[Prénom]),FALSE)&lt;&gt;"",VLOOKUP(T_Commission[[#This Row],[NumL]],T_suiviDi[#Data],COLUMN(T_suiviDi[Prénom]),FALSE),""),"")</f>
        <v>Marianne</v>
      </c>
      <c r="E313" s="20" t="str">
        <f>IFERROR(IF(VLOOKUP(T_Commission[[#This Row],[NumL]],T_suiviDi[#Data],COLUMN(T_suiviDi[Email]),FALSE)&lt;&gt;"",VLOOKUP(T_Commission[[#This Row],[NumL]],T_suiviDi[#Data],COLUMN(T_suiviDi[Email]),FALSE),""),"")</f>
        <v/>
      </c>
      <c r="F313" s="274" t="str">
        <f>IFERROR(IF(VLOOKUP(T_Commission[[#This Row],[NumL]],T_suiviDi[#Data],COLUMN(T_suiviDi[[#This Row],[Nom1]]),FALSE)&lt;&gt;"",VLOOKUP(T_Commission[[#This Row],[NumL]],T_suiviDi[#Data],COLUMN(T_suiviDi[[#This Row],[Nom1]]),FALSE),""),"")</f>
        <v/>
      </c>
      <c r="G313" s="274" t="str">
        <f>IFERROR(IF(VLOOKUP(T_Commission[[#This Row],[NumL]],T_suiviDi[#Data],COLUMN(T_suiviDi[[#This Row],[Prénom1]]),FALSE)&lt;&gt;"",VLOOKUP(T_Commission[[#This Row],[NumL]],T_suiviDi[#Data],COLUMN(T_suiviDi[[#This Row],[Prénom1]]),FALSE),""),"")</f>
        <v/>
      </c>
      <c r="H313" s="274" t="str">
        <f>IFERROR(IF(VLOOKUP(T_Commission[[#This Row],[NumL]],T_suiviDi[#Data],COLUMN(T_suiviDi[[#This Row],[Email1]]),FALSE)&lt;&gt;"",VLOOKUP(T_Commission[[#This Row],[NumL]],T_suiviDi[#Data],COLUMN(T_suiviDi[[#This Row],[Email1]]),FALSE),""),"")</f>
        <v/>
      </c>
      <c r="I313" s="142" t="str">
        <f>IFERROR(VLOOKUP(T_Commission[[#This Row],[NumL]],T_TraitDi[#Data],COLUMN(T_TraitDi[[#This Row],[CTRL_PJ]]),FALSE),"")</f>
        <v/>
      </c>
      <c r="J313" s="142" t="str">
        <f>IF(T_Commission[[#This Row],[Nom]]&lt;&gt;"",IFERROR(VLOOKUP(T_Commission[[#This Row],[NumL]],T_TraitDi[#Data],COLUMN(T_TraitDi[[#This Row],[C10]]),FALSE),""),"")</f>
        <v/>
      </c>
      <c r="K313" s="142" t="str">
        <f>IFERROR(IF(VLOOKUP(T_Commission[[#This Row],[NumL]],T_suiviDi[#Data],COLUMN(T_suiviDi[[#This Row],[Avis n+1]]),FALSE)&lt;&gt;"",VLOOKUP(A313,T_suiviDi[#Data],COLUMN(T_suiviDi[[#This Row],[Avis n+1]]),FALSE),""),"")</f>
        <v/>
      </c>
      <c r="L313" s="142" t="str">
        <f>IFERROR(IF(VLOOKUP(T_Commission[[#This Row],[NumL]],T_suiviDi[#Data],COLUMN(T_suiviDi[[#This Row],[Avis n+2]]),FALSE)&lt;&gt;"",VLOOKUP(T_Commission[[#This Row],[NumL]],T_suiviDi[#Data],COLUMN(T_suiviDi[[#This Row],[Avis n+2]]),FALSE),""),"")</f>
        <v/>
      </c>
      <c r="M313" s="49">
        <v>1</v>
      </c>
      <c r="N313" s="49"/>
      <c r="O313" s="143">
        <f>IF(T_Commission[[#This Row],[Nom]]&lt;&gt;"",IF(T_Commission[[#This Row],[COM '#2]]&lt;&gt;"",MAX(T_Commission[[#This Row],[PJ]],T_Commission[[#This Row],[COM '#2]]),IF(T_Commission[[#This Row],[COM '#1]]&lt;&gt;"",MAX(T_Commission[[#This Row],[PJ]],T_Commission[[#This Row],[COM '#1]]),"")),"")</f>
        <v>1</v>
      </c>
      <c r="P313" s="55" t="s">
        <v>115</v>
      </c>
      <c r="Q313" s="55" t="s">
        <v>3277</v>
      </c>
      <c r="R313" s="55" t="s">
        <v>3277</v>
      </c>
      <c r="S313" s="56"/>
      <c r="T313" s="144"/>
    </row>
    <row r="314" spans="1:20" s="93" customFormat="1" ht="30" customHeight="1" x14ac:dyDescent="0.25">
      <c r="A314" s="90">
        <v>296</v>
      </c>
      <c r="B314" s="130" t="str">
        <f>IFERROR(IF(VLOOKUP(T_Commission[[#This Row],[NumL]],T_TraitDi[#Data],COLUMN(T_TraitDi[[#This Row],[Statut]]),FALSE)&lt;&gt;"",VLOOKUP(T_Commission[[#This Row],[NumL]],T_TraitDi[#Data],COLUMN(T_TraitDi[[#This Row],[Statut]]),FALSE),""),"")</f>
        <v/>
      </c>
      <c r="C314" s="139" t="str">
        <f>IFERROR(IF(VLOOKUP(T_Commission[[#This Row],[NumL]],T_suiviDi[#Data],COLUMN(T_suiviDi[[#This Row],[Nom]]),FALSE)&lt;&gt;"",VLOOKUP(T_Commission[[#This Row],[NumL]],T_suiviDi[#Data],COLUMN(T_suiviDi[[#This Row],[Nom]]),FALSE),""),"")</f>
        <v/>
      </c>
      <c r="D314" s="139" t="str">
        <f>IFERROR(IF(VLOOKUP(T_Commission[[#This Row],[NumL]],T_suiviDi[#Data],COLUMN(T_suiviDi[[#This Row],[Prénom]]),FALSE)&lt;&gt;"",VLOOKUP(T_Commission[[#This Row],[NumL]],T_suiviDi[#Data],COLUMN(T_suiviDi[[#This Row],[Prénom]]),FALSE),""),"")</f>
        <v/>
      </c>
      <c r="E314" s="140" t="str">
        <f>IFERROR(IF(VLOOKUP(T_Commission[[#This Row],[NumL]],T_suiviDi[#Data],COLUMN(T_suiviDi[[#This Row],[Email]]),FALSE)&lt;&gt;"",VLOOKUP(T_Commission[[#This Row],[NumL]],T_suiviDi[#Data],COLUMN(T_suiviDi[[#This Row],[Email]]),FALSE),""),"")</f>
        <v/>
      </c>
      <c r="F314" s="141" t="str">
        <f>IFERROR(IF(VLOOKUP(T_Commission[[#This Row],[NumL]],T_suiviDi[#Data],COLUMN(T_suiviDi[[#This Row],[Nom1]]),FALSE)&lt;&gt;"",VLOOKUP(T_Commission[[#This Row],[NumL]],T_suiviDi[#Data],COLUMN(T_suiviDi[[#This Row],[Nom1]]),FALSE),""),"")</f>
        <v/>
      </c>
      <c r="G314" s="141" t="str">
        <f>IFERROR(IF(VLOOKUP(T_Commission[[#This Row],[NumL]],T_suiviDi[#Data],COLUMN(T_suiviDi[[#This Row],[Prénom1]]),FALSE)&lt;&gt;"",VLOOKUP(T_Commission[[#This Row],[NumL]],T_suiviDi[#Data],COLUMN(T_suiviDi[[#This Row],[Prénom1]]),FALSE),""),"")</f>
        <v/>
      </c>
      <c r="H314" s="141" t="str">
        <f>IFERROR(IF(VLOOKUP(T_Commission[[#This Row],[NumL]],T_suiviDi[#Data],COLUMN(T_suiviDi[[#This Row],[Email1]]),FALSE)&lt;&gt;"",VLOOKUP(T_Commission[[#This Row],[NumL]],T_suiviDi[#Data],COLUMN(T_suiviDi[[#This Row],[Email1]]),FALSE),""),"")</f>
        <v/>
      </c>
      <c r="I314" s="142" t="str">
        <f>IFERROR(VLOOKUP(T_Commission[[#This Row],[NumL]],T_TraitDi[#Data],COLUMN(T_TraitDi[[#This Row],[CTRL_PJ]]),FALSE),"")</f>
        <v/>
      </c>
      <c r="J314" s="142" t="str">
        <f>IF(C314&lt;&gt;"",IFERROR(VLOOKUP(A314,'2- Traitement des DI'!BV32,FALSE),""),"")</f>
        <v/>
      </c>
      <c r="K314" s="142" t="str">
        <f>IFERROR(IF(VLOOKUP(T_Commission[[#This Row],[NumL]],T_suiviDi[#Data],COLUMN(T_suiviDi[[#This Row],[Avis n+1]]),FALSE)&lt;&gt;"",VLOOKUP(A314,T_suiviDi[#Data],COLUMN(T_suiviDi[[#This Row],[Avis n+1]]),FALSE),""),"")</f>
        <v/>
      </c>
      <c r="L314" s="142">
        <f>IFERROR(IF(VLOOKUP(A314,ListeDI,27,FALSE)&lt;&gt;"",VLOOKUP(A314,ListeDI,27,FALSE),""),"")</f>
        <v>1</v>
      </c>
      <c r="M314" s="49">
        <v>1</v>
      </c>
      <c r="N314" s="49"/>
      <c r="O314" s="143" t="str">
        <f>IF(C314&lt;&gt;"",IF(N314&lt;&gt;"",MAX(I314,N314),IF(M314&lt;&gt;"",MAX(I314,M314),"")),"")</f>
        <v/>
      </c>
      <c r="P314" s="55" t="s">
        <v>115</v>
      </c>
      <c r="Q314" s="55" t="s">
        <v>3277</v>
      </c>
      <c r="R314" s="55" t="s">
        <v>3277</v>
      </c>
      <c r="S314" s="56"/>
      <c r="T314" s="144"/>
    </row>
    <row r="315" spans="1:20" s="93" customFormat="1" ht="30" customHeight="1" x14ac:dyDescent="0.25">
      <c r="A315" s="90">
        <v>80</v>
      </c>
      <c r="B315" s="130" t="str">
        <f>IFERROR(IF(VLOOKUP(T_Commission[[#This Row],[NumL]],T_TraitDi[#Data],COLUMN(T_TraitDi[[#This Row],[Statut]]),FALSE)&lt;&gt;"",VLOOKUP(T_Commission[[#This Row],[NumL]],T_TraitDi[#Data],COLUMN(T_TraitDi[[#This Row],[Statut]]),FALSE),""),"")</f>
        <v/>
      </c>
      <c r="C315" s="19" t="str">
        <f>IFERROR(IF(VLOOKUP(T_Commission[[#This Row],[NumL]],T_suiviDi[#Data],COLUMN(T_suiviDi[Nom]),FALSE)&lt;&gt;"",VLOOKUP(T_Commission[[#This Row],[NumL]],T_suiviDi[#Data],COLUMN(T_suiviDi[Nom]),FALSE),""),"")</f>
        <v>A</v>
      </c>
      <c r="D315" s="19" t="str">
        <f>IFERROR(IF(VLOOKUP(T_Commission[[#This Row],[NumL]],T_suiviDi[#Data],COLUMN(T_suiviDi[Prénom]),FALSE)&lt;&gt;"",VLOOKUP(T_Commission[[#This Row],[NumL]],T_suiviDi[#Data],COLUMN(T_suiviDi[Prénom]),FALSE),""),"")</f>
        <v>Anne-Laure</v>
      </c>
      <c r="E315" s="20" t="str">
        <f>IFERROR(IF(VLOOKUP(T_Commission[[#This Row],[NumL]],T_suiviDi[#Data],COLUMN(T_suiviDi[Email]),FALSE)&lt;&gt;"",VLOOKUP(T_Commission[[#This Row],[NumL]],T_suiviDi[#Data],COLUMN(T_suiviDi[Email]),FALSE),""),"")</f>
        <v/>
      </c>
      <c r="F315" s="274" t="str">
        <f>IFERROR(IF(VLOOKUP(T_Commission[[#This Row],[NumL]],T_suiviDi[#Data],COLUMN(T_suiviDi[[#This Row],[Nom1]]),FALSE)&lt;&gt;"",VLOOKUP(T_Commission[[#This Row],[NumL]],T_suiviDi[#Data],COLUMN(T_suiviDi[[#This Row],[Nom1]]),FALSE),""),"")</f>
        <v/>
      </c>
      <c r="G315" s="274" t="str">
        <f>IFERROR(IF(VLOOKUP(T_Commission[[#This Row],[NumL]],T_suiviDi[#Data],COLUMN(T_suiviDi[[#This Row],[Prénom1]]),FALSE)&lt;&gt;"",VLOOKUP(T_Commission[[#This Row],[NumL]],T_suiviDi[#Data],COLUMN(T_suiviDi[[#This Row],[Prénom1]]),FALSE),""),"")</f>
        <v/>
      </c>
      <c r="H315" s="274" t="str">
        <f>IFERROR(IF(VLOOKUP(T_Commission[[#This Row],[NumL]],T_suiviDi[#Data],COLUMN(T_suiviDi[[#This Row],[Email1]]),FALSE)&lt;&gt;"",VLOOKUP(T_Commission[[#This Row],[NumL]],T_suiviDi[#Data],COLUMN(T_suiviDi[[#This Row],[Email1]]),FALSE),""),"")</f>
        <v/>
      </c>
      <c r="I315" s="142" t="str">
        <f>IFERROR(VLOOKUP(T_Commission[[#This Row],[NumL]],T_TraitDi[#Data],COLUMN(T_TraitDi[[#This Row],[CTRL_PJ]]),FALSE),"")</f>
        <v/>
      </c>
      <c r="J315" s="142" t="str">
        <f>IF(T_Commission[[#This Row],[Nom]]&lt;&gt;"",IFERROR(VLOOKUP(T_Commission[[#This Row],[NumL]],T_TraitDi[#Data],COLUMN(T_TraitDi[[#This Row],[C10]]),FALSE),""),"")</f>
        <v/>
      </c>
      <c r="K315" s="142" t="str">
        <f>IFERROR(IF(VLOOKUP(T_Commission[[#This Row],[NumL]],T_suiviDi[#Data],COLUMN(T_suiviDi[[#This Row],[Avis n+1]]),FALSE)&lt;&gt;"",VLOOKUP(A315,T_suiviDi[#Data],COLUMN(T_suiviDi[[#This Row],[Avis n+1]]),FALSE),""),"")</f>
        <v/>
      </c>
      <c r="L315" s="142" t="str">
        <f>IFERROR(IF(VLOOKUP(T_Commission[[#This Row],[NumL]],T_suiviDi[#Data],COLUMN(T_suiviDi[[#This Row],[Avis n+2]]),FALSE)&lt;&gt;"",VLOOKUP(T_Commission[[#This Row],[NumL]],T_suiviDi[#Data],COLUMN(T_suiviDi[[#This Row],[Avis n+2]]),FALSE),""),"")</f>
        <v/>
      </c>
      <c r="M315" s="49">
        <v>1</v>
      </c>
      <c r="N315" s="49"/>
      <c r="O315" s="143">
        <f>IF(T_Commission[[#This Row],[Nom]]&lt;&gt;"",IF(T_Commission[[#This Row],[COM '#2]]&lt;&gt;"",MAX(T_Commission[[#This Row],[PJ]],T_Commission[[#This Row],[COM '#2]]),IF(T_Commission[[#This Row],[COM '#1]]&lt;&gt;"",MAX(T_Commission[[#This Row],[PJ]],T_Commission[[#This Row],[COM '#1]]),"")),"")</f>
        <v>1</v>
      </c>
      <c r="P315" s="55" t="s">
        <v>115</v>
      </c>
      <c r="Q315" s="55" t="s">
        <v>3277</v>
      </c>
      <c r="R315" s="55"/>
      <c r="S315" s="56"/>
      <c r="T315" s="144"/>
    </row>
    <row r="316" spans="1:20" s="93" customFormat="1" ht="30" customHeight="1" x14ac:dyDescent="0.25">
      <c r="A316" s="90">
        <v>280</v>
      </c>
      <c r="B316" s="130" t="str">
        <f>IFERROR(IF(VLOOKUP(T_Commission[[#This Row],[NumL]],T_TraitDi[#Data],COLUMN(T_TraitDi[[#This Row],[Statut]]),FALSE)&lt;&gt;"",VLOOKUP(T_Commission[[#This Row],[NumL]],T_TraitDi[#Data],COLUMN(T_TraitDi[[#This Row],[Statut]]),FALSE),""),"")</f>
        <v/>
      </c>
      <c r="C316" s="19" t="str">
        <f>IFERROR(IF(VLOOKUP(T_Commission[[#This Row],[NumL]],T_suiviDi[#Data],COLUMN(T_suiviDi[Nom]),FALSE)&lt;&gt;"",VLOOKUP(T_Commission[[#This Row],[NumL]],T_suiviDi[#Data],COLUMN(T_suiviDi[Nom]),FALSE),""),"")</f>
        <v>A</v>
      </c>
      <c r="D316" s="19" t="str">
        <f>IFERROR(IF(VLOOKUP(T_Commission[[#This Row],[NumL]],T_suiviDi[#Data],COLUMN(T_suiviDi[Prénom]),FALSE)&lt;&gt;"",VLOOKUP(T_Commission[[#This Row],[NumL]],T_suiviDi[#Data],COLUMN(T_suiviDi[Prénom]),FALSE),""),"")</f>
        <v>Morgane</v>
      </c>
      <c r="E316" s="20" t="str">
        <f>IFERROR(IF(VLOOKUP(T_Commission[[#This Row],[NumL]],T_suiviDi[#Data],COLUMN(T_suiviDi[Email]),FALSE)&lt;&gt;"",VLOOKUP(T_Commission[[#This Row],[NumL]],T_suiviDi[#Data],COLUMN(T_suiviDi[Email]),FALSE),""),"")</f>
        <v/>
      </c>
      <c r="F316" s="274" t="str">
        <f>IFERROR(IF(VLOOKUP(T_Commission[[#This Row],[NumL]],T_suiviDi[#Data],COLUMN(T_suiviDi[[#This Row],[Nom1]]),FALSE)&lt;&gt;"",VLOOKUP(T_Commission[[#This Row],[NumL]],T_suiviDi[#Data],COLUMN(T_suiviDi[[#This Row],[Nom1]]),FALSE),""),"")</f>
        <v/>
      </c>
      <c r="G316" s="274" t="str">
        <f>IFERROR(IF(VLOOKUP(T_Commission[[#This Row],[NumL]],T_suiviDi[#Data],COLUMN(T_suiviDi[[#This Row],[Prénom1]]),FALSE)&lt;&gt;"",VLOOKUP(T_Commission[[#This Row],[NumL]],T_suiviDi[#Data],COLUMN(T_suiviDi[[#This Row],[Prénom1]]),FALSE),""),"")</f>
        <v/>
      </c>
      <c r="H316" s="274" t="str">
        <f>IFERROR(IF(VLOOKUP(T_Commission[[#This Row],[NumL]],T_suiviDi[#Data],COLUMN(T_suiviDi[[#This Row],[Email1]]),FALSE)&lt;&gt;"",VLOOKUP(T_Commission[[#This Row],[NumL]],T_suiviDi[#Data],COLUMN(T_suiviDi[[#This Row],[Email1]]),FALSE),""),"")</f>
        <v/>
      </c>
      <c r="I316" s="142" t="str">
        <f>IFERROR(VLOOKUP(T_Commission[[#This Row],[NumL]],T_TraitDi[#Data],COLUMN(T_TraitDi[[#This Row],[CTRL_PJ]]),FALSE),"")</f>
        <v/>
      </c>
      <c r="J316" s="142" t="str">
        <f>IF(T_Commission[[#This Row],[Nom]]&lt;&gt;"",IFERROR(VLOOKUP(T_Commission[[#This Row],[NumL]],T_TraitDi[#Data],COLUMN(T_TraitDi[[#This Row],[C10]]),FALSE),""),"")</f>
        <v/>
      </c>
      <c r="K316" s="142" t="str">
        <f>IFERROR(IF(VLOOKUP(T_Commission[[#This Row],[NumL]],T_suiviDi[#Data],COLUMN(T_suiviDi[[#This Row],[Avis n+1]]),FALSE)&lt;&gt;"",VLOOKUP(A316,T_suiviDi[#Data],COLUMN(T_suiviDi[[#This Row],[Avis n+1]]),FALSE),""),"")</f>
        <v/>
      </c>
      <c r="L316" s="142" t="str">
        <f>IFERROR(IF(VLOOKUP(T_Commission[[#This Row],[NumL]],T_suiviDi[#Data],COLUMN(T_suiviDi[[#This Row],[Avis n+2]]),FALSE)&lt;&gt;"",VLOOKUP(T_Commission[[#This Row],[NumL]],T_suiviDi[#Data],COLUMN(T_suiviDi[[#This Row],[Avis n+2]]),FALSE),""),"")</f>
        <v/>
      </c>
      <c r="M316" s="49">
        <v>1</v>
      </c>
      <c r="N316" s="49"/>
      <c r="O316" s="143">
        <f>IF(T_Commission[[#This Row],[Nom]]&lt;&gt;"",IF(T_Commission[[#This Row],[COM '#2]]&lt;&gt;"",MAX(T_Commission[[#This Row],[PJ]],T_Commission[[#This Row],[COM '#2]]),IF(T_Commission[[#This Row],[COM '#1]]&lt;&gt;"",MAX(T_Commission[[#This Row],[PJ]],T_Commission[[#This Row],[COM '#1]]),"")),"")</f>
        <v>1</v>
      </c>
      <c r="P316" s="55" t="s">
        <v>115</v>
      </c>
      <c r="Q316" s="55" t="s">
        <v>3277</v>
      </c>
      <c r="R316" s="55" t="s">
        <v>3277</v>
      </c>
      <c r="S316" s="56"/>
      <c r="T316" s="144"/>
    </row>
    <row r="317" spans="1:20" s="93" customFormat="1" ht="30" customHeight="1" x14ac:dyDescent="0.25">
      <c r="A317" s="90">
        <v>152</v>
      </c>
      <c r="B317" s="130" t="str">
        <f>IFERROR(IF(VLOOKUP(T_Commission[[#This Row],[NumL]],T_TraitDi[#Data],COLUMN(T_TraitDi[[#This Row],[Statut]]),FALSE)&lt;&gt;"",VLOOKUP(T_Commission[[#This Row],[NumL]],T_TraitDi[#Data],COLUMN(T_TraitDi[[#This Row],[Statut]]),FALSE),""),"")</f>
        <v/>
      </c>
      <c r="C317" s="19" t="str">
        <f>IFERROR(IF(VLOOKUP(T_Commission[[#This Row],[NumL]],T_suiviDi[#Data],COLUMN(T_suiviDi[Nom]),FALSE)&lt;&gt;"",VLOOKUP(T_Commission[[#This Row],[NumL]],T_suiviDi[#Data],COLUMN(T_suiviDi[Nom]),FALSE),""),"")</f>
        <v>A</v>
      </c>
      <c r="D317" s="19" t="str">
        <f>IFERROR(IF(VLOOKUP(T_Commission[[#This Row],[NumL]],T_suiviDi[#Data],COLUMN(T_suiviDi[Prénom]),FALSE)&lt;&gt;"",VLOOKUP(T_Commission[[#This Row],[NumL]],T_suiviDi[#Data],COLUMN(T_suiviDi[Prénom]),FALSE),""),"")</f>
        <v>Elodie</v>
      </c>
      <c r="E317" s="20" t="str">
        <f>IFERROR(IF(VLOOKUP(T_Commission[[#This Row],[NumL]],T_suiviDi[#Data],COLUMN(T_suiviDi[Email]),FALSE)&lt;&gt;"",VLOOKUP(T_Commission[[#This Row],[NumL]],T_suiviDi[#Data],COLUMN(T_suiviDi[Email]),FALSE),""),"")</f>
        <v/>
      </c>
      <c r="F317" s="274" t="str">
        <f>IFERROR(IF(VLOOKUP(T_Commission[[#This Row],[NumL]],T_suiviDi[#Data],COLUMN(T_suiviDi[[#This Row],[Nom1]]),FALSE)&lt;&gt;"",VLOOKUP(T_Commission[[#This Row],[NumL]],T_suiviDi[#Data],COLUMN(T_suiviDi[[#This Row],[Nom1]]),FALSE),""),"")</f>
        <v/>
      </c>
      <c r="G317" s="274" t="str">
        <f>IFERROR(IF(VLOOKUP(T_Commission[[#This Row],[NumL]],T_suiviDi[#Data],COLUMN(T_suiviDi[[#This Row],[Prénom1]]),FALSE)&lt;&gt;"",VLOOKUP(T_Commission[[#This Row],[NumL]],T_suiviDi[#Data],COLUMN(T_suiviDi[[#This Row],[Prénom1]]),FALSE),""),"")</f>
        <v/>
      </c>
      <c r="H317" s="274" t="str">
        <f>IFERROR(IF(VLOOKUP(T_Commission[[#This Row],[NumL]],T_suiviDi[#Data],COLUMN(T_suiviDi[[#This Row],[Email1]]),FALSE)&lt;&gt;"",VLOOKUP(T_Commission[[#This Row],[NumL]],T_suiviDi[#Data],COLUMN(T_suiviDi[[#This Row],[Email1]]),FALSE),""),"")</f>
        <v/>
      </c>
      <c r="I317" s="142" t="str">
        <f>IFERROR(VLOOKUP(T_Commission[[#This Row],[NumL]],T_TraitDi[#Data],COLUMN(T_TraitDi[[#This Row],[CTRL_PJ]]),FALSE),"")</f>
        <v/>
      </c>
      <c r="J317" s="142" t="str">
        <f>IF(T_Commission[[#This Row],[Nom]]&lt;&gt;"",IFERROR(VLOOKUP(T_Commission[[#This Row],[NumL]],T_TraitDi[#Data],COLUMN(T_TraitDi[[#This Row],[C10]]),FALSE),""),"")</f>
        <v/>
      </c>
      <c r="K317" s="142" t="str">
        <f>IFERROR(IF(VLOOKUP(T_Commission[[#This Row],[NumL]],T_suiviDi[#Data],COLUMN(T_suiviDi[[#This Row],[Avis n+1]]),FALSE)&lt;&gt;"",VLOOKUP(A317,T_suiviDi[#Data],COLUMN(T_suiviDi[[#This Row],[Avis n+1]]),FALSE),""),"")</f>
        <v/>
      </c>
      <c r="L317" s="142" t="str">
        <f>IFERROR(IF(VLOOKUP(T_Commission[[#This Row],[NumL]],T_suiviDi[#Data],COLUMN(T_suiviDi[[#This Row],[Avis n+2]]),FALSE)&lt;&gt;"",VLOOKUP(T_Commission[[#This Row],[NumL]],T_suiviDi[#Data],COLUMN(T_suiviDi[[#This Row],[Avis n+2]]),FALSE),""),"")</f>
        <v/>
      </c>
      <c r="M317" s="49">
        <v>1</v>
      </c>
      <c r="N317" s="49"/>
      <c r="O317" s="143">
        <f>IF(T_Commission[[#This Row],[Nom]]&lt;&gt;"",IF(T_Commission[[#This Row],[COM '#2]]&lt;&gt;"",MAX(T_Commission[[#This Row],[PJ]],T_Commission[[#This Row],[COM '#2]]),IF(T_Commission[[#This Row],[COM '#1]]&lt;&gt;"",MAX(T_Commission[[#This Row],[PJ]],T_Commission[[#This Row],[COM '#1]]),"")),"")</f>
        <v>1</v>
      </c>
      <c r="P317" s="55" t="s">
        <v>115</v>
      </c>
      <c r="Q317" s="55" t="s">
        <v>3277</v>
      </c>
      <c r="R317" s="55" t="s">
        <v>3277</v>
      </c>
      <c r="S317" s="56"/>
      <c r="T317" s="144"/>
    </row>
    <row r="318" spans="1:20" s="93" customFormat="1" ht="30" customHeight="1" x14ac:dyDescent="0.25">
      <c r="A318" s="90">
        <v>178</v>
      </c>
      <c r="B318" s="130" t="str">
        <f>IFERROR(IF(VLOOKUP(T_Commission[[#This Row],[NumL]],T_TraitDi[#Data],COLUMN(T_TraitDi[[#This Row],[Statut]]),FALSE)&lt;&gt;"",VLOOKUP(T_Commission[[#This Row],[NumL]],T_TraitDi[#Data],COLUMN(T_TraitDi[[#This Row],[Statut]]),FALSE),""),"")</f>
        <v/>
      </c>
      <c r="C318" s="19" t="str">
        <f>IFERROR(IF(VLOOKUP(T_Commission[[#This Row],[NumL]],T_suiviDi[#Data],COLUMN(T_suiviDi[Nom]),FALSE)&lt;&gt;"",VLOOKUP(T_Commission[[#This Row],[NumL]],T_suiviDi[#Data],COLUMN(T_suiviDi[Nom]),FALSE),""),"")</f>
        <v>A</v>
      </c>
      <c r="D318" s="19" t="str">
        <f>IFERROR(IF(VLOOKUP(T_Commission[[#This Row],[NumL]],T_suiviDi[#Data],COLUMN(T_suiviDi[Prénom]),FALSE)&lt;&gt;"",VLOOKUP(T_Commission[[#This Row],[NumL]],T_suiviDi[#Data],COLUMN(T_suiviDi[Prénom]),FALSE),""),"")</f>
        <v>Cécile</v>
      </c>
      <c r="E318" s="20" t="str">
        <f>IFERROR(IF(VLOOKUP(T_Commission[[#This Row],[NumL]],T_suiviDi[#Data],COLUMN(T_suiviDi[Email]),FALSE)&lt;&gt;"",VLOOKUP(T_Commission[[#This Row],[NumL]],T_suiviDi[#Data],COLUMN(T_suiviDi[Email]),FALSE),""),"")</f>
        <v/>
      </c>
      <c r="F318" s="274" t="str">
        <f>IFERROR(IF(VLOOKUP(T_Commission[[#This Row],[NumL]],T_suiviDi[#Data],COLUMN(T_suiviDi[[#This Row],[Nom1]]),FALSE)&lt;&gt;"",VLOOKUP(T_Commission[[#This Row],[NumL]],T_suiviDi[#Data],COLUMN(T_suiviDi[[#This Row],[Nom1]]),FALSE),""),"")</f>
        <v/>
      </c>
      <c r="G318" s="274" t="str">
        <f>IFERROR(IF(VLOOKUP(T_Commission[[#This Row],[NumL]],T_suiviDi[#Data],COLUMN(T_suiviDi[[#This Row],[Prénom1]]),FALSE)&lt;&gt;"",VLOOKUP(T_Commission[[#This Row],[NumL]],T_suiviDi[#Data],COLUMN(T_suiviDi[[#This Row],[Prénom1]]),FALSE),""),"")</f>
        <v/>
      </c>
      <c r="H318" s="274" t="str">
        <f>IFERROR(IF(VLOOKUP(T_Commission[[#This Row],[NumL]],T_suiviDi[#Data],COLUMN(T_suiviDi[[#This Row],[Email1]]),FALSE)&lt;&gt;"",VLOOKUP(T_Commission[[#This Row],[NumL]],T_suiviDi[#Data],COLUMN(T_suiviDi[[#This Row],[Email1]]),FALSE),""),"")</f>
        <v/>
      </c>
      <c r="I318" s="142" t="str">
        <f>IFERROR(VLOOKUP(T_Commission[[#This Row],[NumL]],T_TraitDi[#Data],COLUMN(T_TraitDi[[#This Row],[CTRL_PJ]]),FALSE),"")</f>
        <v/>
      </c>
      <c r="J318" s="142" t="str">
        <f>IF(T_Commission[[#This Row],[Nom]]&lt;&gt;"",IFERROR(VLOOKUP(T_Commission[[#This Row],[NumL]],T_TraitDi[#Data],COLUMN(T_TraitDi[[#This Row],[C10]]),FALSE),""),"")</f>
        <v/>
      </c>
      <c r="K318" s="142" t="str">
        <f>IFERROR(IF(VLOOKUP(T_Commission[[#This Row],[NumL]],T_suiviDi[#Data],COLUMN(T_suiviDi[[#This Row],[Avis n+1]]),FALSE)&lt;&gt;"",VLOOKUP(A318,T_suiviDi[#Data],COLUMN(T_suiviDi[[#This Row],[Avis n+1]]),FALSE),""),"")</f>
        <v/>
      </c>
      <c r="L318" s="142" t="str">
        <f>IFERROR(IF(VLOOKUP(T_Commission[[#This Row],[NumL]],T_suiviDi[#Data],COLUMN(T_suiviDi[[#This Row],[Avis n+2]]),FALSE)&lt;&gt;"",VLOOKUP(T_Commission[[#This Row],[NumL]],T_suiviDi[#Data],COLUMN(T_suiviDi[[#This Row],[Avis n+2]]),FALSE),""),"")</f>
        <v/>
      </c>
      <c r="M318" s="49">
        <v>1</v>
      </c>
      <c r="N318" s="49"/>
      <c r="O318" s="143">
        <f>IF(T_Commission[[#This Row],[Nom]]&lt;&gt;"",IF(T_Commission[[#This Row],[COM '#2]]&lt;&gt;"",MAX(T_Commission[[#This Row],[PJ]],T_Commission[[#This Row],[COM '#2]]),IF(T_Commission[[#This Row],[COM '#1]]&lt;&gt;"",MAX(T_Commission[[#This Row],[PJ]],T_Commission[[#This Row],[COM '#1]]),"")),"")</f>
        <v>1</v>
      </c>
      <c r="P318" s="55" t="s">
        <v>115</v>
      </c>
      <c r="Q318" s="55" t="s">
        <v>3277</v>
      </c>
      <c r="R318" s="55" t="s">
        <v>3277</v>
      </c>
      <c r="S318" s="56"/>
      <c r="T318" s="144"/>
    </row>
    <row r="319" spans="1:20" s="93" customFormat="1" ht="30" customHeight="1" x14ac:dyDescent="0.25">
      <c r="A319" s="90">
        <v>134</v>
      </c>
      <c r="B319" s="130" t="str">
        <f>IFERROR(IF(VLOOKUP(T_Commission[[#This Row],[NumL]],T_TraitDi[#Data],COLUMN(T_TraitDi[[#This Row],[Statut]]),FALSE)&lt;&gt;"",VLOOKUP(T_Commission[[#This Row],[NumL]],T_TraitDi[#Data],COLUMN(T_TraitDi[[#This Row],[Statut]]),FALSE),""),"")</f>
        <v/>
      </c>
      <c r="C319" s="19" t="str">
        <f>IFERROR(IF(VLOOKUP(T_Commission[[#This Row],[NumL]],T_suiviDi[#Data],COLUMN(T_suiviDi[Nom]),FALSE)&lt;&gt;"",VLOOKUP(T_Commission[[#This Row],[NumL]],T_suiviDi[#Data],COLUMN(T_suiviDi[Nom]),FALSE),""),"")</f>
        <v>A</v>
      </c>
      <c r="D319" s="19" t="str">
        <f>IFERROR(IF(VLOOKUP(T_Commission[[#This Row],[NumL]],T_suiviDi[#Data],COLUMN(T_suiviDi[Prénom]),FALSE)&lt;&gt;"",VLOOKUP(T_Commission[[#This Row],[NumL]],T_suiviDi[#Data],COLUMN(T_suiviDi[Prénom]),FALSE),""),"")</f>
        <v>Laetitia</v>
      </c>
      <c r="E319" s="20" t="str">
        <f>IFERROR(IF(VLOOKUP(T_Commission[[#This Row],[NumL]],T_suiviDi[#Data],COLUMN(T_suiviDi[Email]),FALSE)&lt;&gt;"",VLOOKUP(T_Commission[[#This Row],[NumL]],T_suiviDi[#Data],COLUMN(T_suiviDi[Email]),FALSE),""),"")</f>
        <v/>
      </c>
      <c r="F319" s="274" t="str">
        <f>IFERROR(IF(VLOOKUP(T_Commission[[#This Row],[NumL]],T_suiviDi[#Data],COLUMN(T_suiviDi[[#This Row],[Nom1]]),FALSE)&lt;&gt;"",VLOOKUP(T_Commission[[#This Row],[NumL]],T_suiviDi[#Data],COLUMN(T_suiviDi[[#This Row],[Nom1]]),FALSE),""),"")</f>
        <v/>
      </c>
      <c r="G319" s="274" t="str">
        <f>IFERROR(IF(VLOOKUP(T_Commission[[#This Row],[NumL]],T_suiviDi[#Data],COLUMN(T_suiviDi[[#This Row],[Prénom1]]),FALSE)&lt;&gt;"",VLOOKUP(T_Commission[[#This Row],[NumL]],T_suiviDi[#Data],COLUMN(T_suiviDi[[#This Row],[Prénom1]]),FALSE),""),"")</f>
        <v/>
      </c>
      <c r="H319" s="274" t="str">
        <f>IFERROR(IF(VLOOKUP(T_Commission[[#This Row],[NumL]],T_suiviDi[#Data],COLUMN(T_suiviDi[[#This Row],[Email1]]),FALSE)&lt;&gt;"",VLOOKUP(T_Commission[[#This Row],[NumL]],T_suiviDi[#Data],COLUMN(T_suiviDi[[#This Row],[Email1]]),FALSE),""),"")</f>
        <v/>
      </c>
      <c r="I319" s="142" t="str">
        <f>IFERROR(VLOOKUP(T_Commission[[#This Row],[NumL]],T_TraitDi[#Data],COLUMN(T_TraitDi[[#This Row],[CTRL_PJ]]),FALSE),"")</f>
        <v/>
      </c>
      <c r="J319" s="142" t="str">
        <f>IF(T_Commission[[#This Row],[Nom]]&lt;&gt;"",IFERROR(VLOOKUP(T_Commission[[#This Row],[NumL]],T_TraitDi[#Data],COLUMN(T_TraitDi[[#This Row],[C10]]),FALSE),""),"")</f>
        <v/>
      </c>
      <c r="K319" s="142" t="str">
        <f>IFERROR(IF(VLOOKUP(T_Commission[[#This Row],[NumL]],T_suiviDi[#Data],COLUMN(T_suiviDi[[#This Row],[Avis n+1]]),FALSE)&lt;&gt;"",VLOOKUP(A319,T_suiviDi[#Data],COLUMN(T_suiviDi[[#This Row],[Avis n+1]]),FALSE),""),"")</f>
        <v/>
      </c>
      <c r="L319" s="142" t="str">
        <f>IFERROR(IF(VLOOKUP(T_Commission[[#This Row],[NumL]],T_suiviDi[#Data],COLUMN(T_suiviDi[[#This Row],[Avis n+2]]),FALSE)&lt;&gt;"",VLOOKUP(T_Commission[[#This Row],[NumL]],T_suiviDi[#Data],COLUMN(T_suiviDi[[#This Row],[Avis n+2]]),FALSE),""),"")</f>
        <v/>
      </c>
      <c r="M319" s="49">
        <v>1</v>
      </c>
      <c r="N319" s="49"/>
      <c r="O319" s="143">
        <f>IF(T_Commission[[#This Row],[Nom]]&lt;&gt;"",IF(T_Commission[[#This Row],[COM '#2]]&lt;&gt;"",MAX(T_Commission[[#This Row],[PJ]],T_Commission[[#This Row],[COM '#2]]),IF(T_Commission[[#This Row],[COM '#1]]&lt;&gt;"",MAX(T_Commission[[#This Row],[PJ]],T_Commission[[#This Row],[COM '#1]]),"")),"")</f>
        <v>1</v>
      </c>
      <c r="P319" s="55" t="s">
        <v>115</v>
      </c>
      <c r="Q319" s="55" t="s">
        <v>3277</v>
      </c>
      <c r="R319" s="55" t="s">
        <v>3277</v>
      </c>
      <c r="S319" s="56"/>
      <c r="T319" s="144"/>
    </row>
    <row r="320" spans="1:20" s="93" customFormat="1" ht="30" customHeight="1" x14ac:dyDescent="0.25">
      <c r="A320" s="90">
        <v>212</v>
      </c>
      <c r="B320" s="130" t="str">
        <f>IFERROR(IF(VLOOKUP(T_Commission[[#This Row],[NumL]],T_TraitDi[#Data],COLUMN(T_TraitDi[[#This Row],[Statut]]),FALSE)&lt;&gt;"",VLOOKUP(T_Commission[[#This Row],[NumL]],T_TraitDi[#Data],COLUMN(T_TraitDi[[#This Row],[Statut]]),FALSE),""),"")</f>
        <v/>
      </c>
      <c r="C320" s="19" t="str">
        <f>IFERROR(IF(VLOOKUP(T_Commission[[#This Row],[NumL]],T_suiviDi[#Data],COLUMN(T_suiviDi[Nom]),FALSE)&lt;&gt;"",VLOOKUP(T_Commission[[#This Row],[NumL]],T_suiviDi[#Data],COLUMN(T_suiviDi[Nom]),FALSE),""),"")</f>
        <v>A</v>
      </c>
      <c r="D320" s="19" t="str">
        <f>IFERROR(IF(VLOOKUP(T_Commission[[#This Row],[NumL]],T_suiviDi[#Data],COLUMN(T_suiviDi[Prénom]),FALSE)&lt;&gt;"",VLOOKUP(T_Commission[[#This Row],[NumL]],T_suiviDi[#Data],COLUMN(T_suiviDi[Prénom]),FALSE),""),"")</f>
        <v>Audrey</v>
      </c>
      <c r="E320" s="20" t="str">
        <f>IFERROR(IF(VLOOKUP(T_Commission[[#This Row],[NumL]],T_suiviDi[#Data],COLUMN(T_suiviDi[Email]),FALSE)&lt;&gt;"",VLOOKUP(T_Commission[[#This Row],[NumL]],T_suiviDi[#Data],COLUMN(T_suiviDi[Email]),FALSE),""),"")</f>
        <v/>
      </c>
      <c r="F320" s="274" t="str">
        <f>IFERROR(IF(VLOOKUP(T_Commission[[#This Row],[NumL]],T_suiviDi[#Data],COLUMN(T_suiviDi[[#This Row],[Nom1]]),FALSE)&lt;&gt;"",VLOOKUP(T_Commission[[#This Row],[NumL]],T_suiviDi[#Data],COLUMN(T_suiviDi[[#This Row],[Nom1]]),FALSE),""),"")</f>
        <v/>
      </c>
      <c r="G320" s="274" t="str">
        <f>IFERROR(IF(VLOOKUP(T_Commission[[#This Row],[NumL]],T_suiviDi[#Data],COLUMN(T_suiviDi[[#This Row],[Prénom1]]),FALSE)&lt;&gt;"",VLOOKUP(T_Commission[[#This Row],[NumL]],T_suiviDi[#Data],COLUMN(T_suiviDi[[#This Row],[Prénom1]]),FALSE),""),"")</f>
        <v/>
      </c>
      <c r="H320" s="274" t="str">
        <f>IFERROR(IF(VLOOKUP(T_Commission[[#This Row],[NumL]],T_suiviDi[#Data],COLUMN(T_suiviDi[[#This Row],[Email1]]),FALSE)&lt;&gt;"",VLOOKUP(T_Commission[[#This Row],[NumL]],T_suiviDi[#Data],COLUMN(T_suiviDi[[#This Row],[Email1]]),FALSE),""),"")</f>
        <v/>
      </c>
      <c r="I320" s="142" t="str">
        <f>IFERROR(VLOOKUP(T_Commission[[#This Row],[NumL]],T_TraitDi[#Data],COLUMN(T_TraitDi[[#This Row],[CTRL_PJ]]),FALSE),"")</f>
        <v/>
      </c>
      <c r="J320" s="142" t="str">
        <f>IF(T_Commission[[#This Row],[Nom]]&lt;&gt;"",IFERROR(VLOOKUP(T_Commission[[#This Row],[NumL]],T_TraitDi[#Data],COLUMN(T_TraitDi[[#This Row],[C10]]),FALSE),""),"")</f>
        <v/>
      </c>
      <c r="K320" s="142" t="str">
        <f>IFERROR(IF(VLOOKUP(T_Commission[[#This Row],[NumL]],T_suiviDi[#Data],COLUMN(T_suiviDi[[#This Row],[Avis n+1]]),FALSE)&lt;&gt;"",VLOOKUP(A320,T_suiviDi[#Data],COLUMN(T_suiviDi[[#This Row],[Avis n+1]]),FALSE),""),"")</f>
        <v/>
      </c>
      <c r="L320" s="142" t="str">
        <f>IFERROR(IF(VLOOKUP(T_Commission[[#This Row],[NumL]],T_suiviDi[#Data],COLUMN(T_suiviDi[[#This Row],[Avis n+2]]),FALSE)&lt;&gt;"",VLOOKUP(T_Commission[[#This Row],[NumL]],T_suiviDi[#Data],COLUMN(T_suiviDi[[#This Row],[Avis n+2]]),FALSE),""),"")</f>
        <v/>
      </c>
      <c r="M320" s="49">
        <v>1</v>
      </c>
      <c r="N320" s="49"/>
      <c r="O320" s="143">
        <f>IF(T_Commission[[#This Row],[Nom]]&lt;&gt;"",IF(T_Commission[[#This Row],[COM '#2]]&lt;&gt;"",MAX(T_Commission[[#This Row],[PJ]],T_Commission[[#This Row],[COM '#2]]),IF(T_Commission[[#This Row],[COM '#1]]&lt;&gt;"",MAX(T_Commission[[#This Row],[PJ]],T_Commission[[#This Row],[COM '#1]]),"")),"")</f>
        <v>1</v>
      </c>
      <c r="P320" s="55" t="s">
        <v>115</v>
      </c>
      <c r="Q320" s="55" t="s">
        <v>3277</v>
      </c>
      <c r="R320" s="55" t="s">
        <v>3277</v>
      </c>
      <c r="S320" s="56"/>
      <c r="T320" s="144"/>
    </row>
    <row r="321" spans="1:20" s="93" customFormat="1" ht="30" customHeight="1" x14ac:dyDescent="0.25">
      <c r="A321" s="90">
        <v>314</v>
      </c>
      <c r="B321" s="130" t="str">
        <f>IFERROR(IF(VLOOKUP(T_Commission[[#This Row],[NumL]],T_TraitDi[#Data],COLUMN(T_TraitDi[[#This Row],[Statut]]),FALSE)&lt;&gt;"",VLOOKUP(T_Commission[[#This Row],[NumL]],T_TraitDi[#Data],COLUMN(T_TraitDi[[#This Row],[Statut]]),FALSE),""),"")</f>
        <v/>
      </c>
      <c r="C321" s="139" t="str">
        <f>IFERROR(IF(VLOOKUP(T_Commission[[#This Row],[NumL]],T_suiviDi[#Data],COLUMN(T_suiviDi[[#This Row],[Nom]]),FALSE)&lt;&gt;"",VLOOKUP(T_Commission[[#This Row],[NumL]],T_suiviDi[#Data],COLUMN(T_suiviDi[[#This Row],[Nom]]),FALSE),""),"")</f>
        <v/>
      </c>
      <c r="D321" s="139" t="str">
        <f>IFERROR(IF(VLOOKUP(T_Commission[[#This Row],[NumL]],T_suiviDi[#Data],COLUMN(T_suiviDi[[#This Row],[Prénom]]),FALSE)&lt;&gt;"",VLOOKUP(T_Commission[[#This Row],[NumL]],T_suiviDi[#Data],COLUMN(T_suiviDi[[#This Row],[Prénom]]),FALSE),""),"")</f>
        <v/>
      </c>
      <c r="E321" s="140" t="str">
        <f>IFERROR(IF(VLOOKUP(T_Commission[[#This Row],[NumL]],T_suiviDi[#Data],COLUMN(T_suiviDi[[#This Row],[Email]]),FALSE)&lt;&gt;"",VLOOKUP(T_Commission[[#This Row],[NumL]],T_suiviDi[#Data],COLUMN(T_suiviDi[[#This Row],[Email]]),FALSE),""),"")</f>
        <v/>
      </c>
      <c r="F321" s="141" t="str">
        <f>IFERROR(IF(VLOOKUP(T_Commission[[#This Row],[NumL]],T_suiviDi[#Data],COLUMN(T_suiviDi[[#This Row],[Nom1]]),FALSE)&lt;&gt;"",VLOOKUP(T_Commission[[#This Row],[NumL]],T_suiviDi[#Data],COLUMN(T_suiviDi[[#This Row],[Nom1]]),FALSE),""),"")</f>
        <v/>
      </c>
      <c r="G321" s="141" t="str">
        <f>IFERROR(IF(VLOOKUP(T_Commission[[#This Row],[NumL]],T_suiviDi[#Data],COLUMN(T_suiviDi[[#This Row],[Prénom1]]),FALSE)&lt;&gt;"",VLOOKUP(T_Commission[[#This Row],[NumL]],T_suiviDi[#Data],COLUMN(T_suiviDi[[#This Row],[Prénom1]]),FALSE),""),"")</f>
        <v/>
      </c>
      <c r="H321" s="141" t="str">
        <f>IFERROR(IF(VLOOKUP(T_Commission[[#This Row],[NumL]],T_suiviDi[#Data],COLUMN(T_suiviDi[[#This Row],[Email1]]),FALSE)&lt;&gt;"",VLOOKUP(T_Commission[[#This Row],[NumL]],T_suiviDi[#Data],COLUMN(T_suiviDi[[#This Row],[Email1]]),FALSE),""),"")</f>
        <v/>
      </c>
      <c r="I321" s="142" t="str">
        <f>IFERROR(VLOOKUP(T_Commission[[#This Row],[NumL]],T_TraitDi[#Data],COLUMN(T_TraitDi[[#This Row],[CTRL_PJ]]),FALSE),"")</f>
        <v/>
      </c>
      <c r="J321" s="142" t="str">
        <f>IF(C321&lt;&gt;"",IFERROR(VLOOKUP(A321,'2- Traitement des DI'!BV32,FALSE),""),"")</f>
        <v/>
      </c>
      <c r="K321" s="142" t="str">
        <f>IFERROR(IF(VLOOKUP(T_Commission[[#This Row],[NumL]],T_suiviDi[#Data],COLUMN(T_suiviDi[[#This Row],[Avis n+1]]),FALSE)&lt;&gt;"",VLOOKUP(A321,T_suiviDi[#Data],COLUMN(T_suiviDi[[#This Row],[Avis n+1]]),FALSE),""),"")</f>
        <v/>
      </c>
      <c r="L321" s="142">
        <f>IFERROR(IF(VLOOKUP(A321,ListeDI,27,FALSE)&lt;&gt;"",VLOOKUP(A321,ListeDI,27,FALSE),""),"")</f>
        <v>1</v>
      </c>
      <c r="M321" s="49">
        <v>1</v>
      </c>
      <c r="N321" s="49"/>
      <c r="O321" s="143" t="str">
        <f>IF(C321&lt;&gt;"",IF(N321&lt;&gt;"",MAX(I321,N321),IF(M321&lt;&gt;"",MAX(I321,M321),"")),"")</f>
        <v/>
      </c>
      <c r="P321" s="55" t="s">
        <v>115</v>
      </c>
      <c r="Q321" s="55" t="s">
        <v>3277</v>
      </c>
      <c r="R321" s="55"/>
      <c r="S321" s="56"/>
      <c r="T321" s="144"/>
    </row>
    <row r="322" spans="1:20" s="93" customFormat="1" ht="30" customHeight="1" x14ac:dyDescent="0.25">
      <c r="A322" s="379">
        <v>76</v>
      </c>
      <c r="B322" s="130" t="str">
        <f>IFERROR(IF(VLOOKUP(T_Commission[[#This Row],[NumL]],T_TraitDi[#Data],COLUMN(T_TraitDi[[#This Row],[Statut]]),FALSE)&lt;&gt;"",VLOOKUP(T_Commission[[#This Row],[NumL]],T_TraitDi[#Data],COLUMN(T_TraitDi[[#This Row],[Statut]]),FALSE),""),"")</f>
        <v/>
      </c>
      <c r="C322" s="19" t="str">
        <f>IFERROR(IF(VLOOKUP(T_Commission[[#This Row],[NumL]],T_suiviDi[#Data],COLUMN(T_suiviDi[Nom]),FALSE)&lt;&gt;"",VLOOKUP(T_Commission[[#This Row],[NumL]],T_suiviDi[#Data],COLUMN(T_suiviDi[Nom]),FALSE),""),"")</f>
        <v>A</v>
      </c>
      <c r="D322" s="19" t="str">
        <f>IFERROR(IF(VLOOKUP(T_Commission[[#This Row],[NumL]],T_suiviDi[#Data],COLUMN(T_suiviDi[Prénom]),FALSE)&lt;&gt;"",VLOOKUP(T_Commission[[#This Row],[NumL]],T_suiviDi[#Data],COLUMN(T_suiviDi[Prénom]),FALSE),""),"")</f>
        <v>Yann</v>
      </c>
      <c r="E322" s="20" t="str">
        <f>IFERROR(IF(VLOOKUP(T_Commission[[#This Row],[NumL]],T_suiviDi[#Data],COLUMN(T_suiviDi[Email]),FALSE)&lt;&gt;"",VLOOKUP(T_Commission[[#This Row],[NumL]],T_suiviDi[#Data],COLUMN(T_suiviDi[Email]),FALSE),""),"")</f>
        <v/>
      </c>
      <c r="F322" s="274" t="str">
        <f>IFERROR(IF(VLOOKUP(T_Commission[[#This Row],[NumL]],T_suiviDi[#Data],COLUMN(T_suiviDi[[#This Row],[Nom1]]),FALSE)&lt;&gt;"",VLOOKUP(T_Commission[[#This Row],[NumL]],T_suiviDi[#Data],COLUMN(T_suiviDi[[#This Row],[Nom1]]),FALSE),""),"")</f>
        <v/>
      </c>
      <c r="G322" s="274" t="str">
        <f>IFERROR(IF(VLOOKUP(T_Commission[[#This Row],[NumL]],T_suiviDi[#Data],COLUMN(T_suiviDi[[#This Row],[Prénom1]]),FALSE)&lt;&gt;"",VLOOKUP(T_Commission[[#This Row],[NumL]],T_suiviDi[#Data],COLUMN(T_suiviDi[[#This Row],[Prénom1]]),FALSE),""),"")</f>
        <v/>
      </c>
      <c r="H322" s="274" t="str">
        <f>IFERROR(IF(VLOOKUP(T_Commission[[#This Row],[NumL]],T_suiviDi[#Data],COLUMN(T_suiviDi[[#This Row],[Email1]]),FALSE)&lt;&gt;"",VLOOKUP(T_Commission[[#This Row],[NumL]],T_suiviDi[#Data],COLUMN(T_suiviDi[[#This Row],[Email1]]),FALSE),""),"")</f>
        <v/>
      </c>
      <c r="I322" s="142" t="str">
        <f>IFERROR(VLOOKUP(T_Commission[[#This Row],[NumL]],T_TraitDi[#Data],COLUMN(T_TraitDi[[#This Row],[CTRL_PJ]]),FALSE),"")</f>
        <v/>
      </c>
      <c r="J322" s="142" t="str">
        <f>IF(T_Commission[[#This Row],[Nom]]&lt;&gt;"",IFERROR(VLOOKUP(T_Commission[[#This Row],[NumL]],T_TraitDi[#Data],COLUMN(T_TraitDi[[#This Row],[C10]]),FALSE),""),"")</f>
        <v/>
      </c>
      <c r="K322" s="142" t="str">
        <f>IFERROR(IF(VLOOKUP(T_Commission[[#This Row],[NumL]],T_suiviDi[#Data],COLUMN(T_suiviDi[[#This Row],[Avis n+1]]),FALSE)&lt;&gt;"",VLOOKUP(A322,T_suiviDi[#Data],COLUMN(T_suiviDi[[#This Row],[Avis n+1]]),FALSE),""),"")</f>
        <v/>
      </c>
      <c r="L322" s="142" t="str">
        <f>IFERROR(IF(VLOOKUP(T_Commission[[#This Row],[NumL]],T_suiviDi[#Data],COLUMN(T_suiviDi[[#This Row],[Avis n+2]]),FALSE)&lt;&gt;"",VLOOKUP(T_Commission[[#This Row],[NumL]],T_suiviDi[#Data],COLUMN(T_suiviDi[[#This Row],[Avis n+2]]),FALSE),""),"")</f>
        <v/>
      </c>
      <c r="M322" s="49">
        <v>1</v>
      </c>
      <c r="N322" s="49"/>
      <c r="O322" s="143">
        <f>IF(T_Commission[[#This Row],[Nom]]&lt;&gt;"",IF(T_Commission[[#This Row],[COM '#2]]&lt;&gt;"",MAX(T_Commission[[#This Row],[PJ]],T_Commission[[#This Row],[COM '#2]]),IF(T_Commission[[#This Row],[COM '#1]]&lt;&gt;"",MAX(T_Commission[[#This Row],[PJ]],T_Commission[[#This Row],[COM '#1]]),"")),"")</f>
        <v>1</v>
      </c>
      <c r="P322" s="55" t="s">
        <v>115</v>
      </c>
      <c r="Q322" s="55" t="s">
        <v>3277</v>
      </c>
      <c r="R322" s="55" t="s">
        <v>3277</v>
      </c>
      <c r="S322" s="56"/>
      <c r="T322" s="144"/>
    </row>
    <row r="323" spans="1:20" s="93" customFormat="1" ht="30" customHeight="1" x14ac:dyDescent="0.25">
      <c r="A323" s="15"/>
      <c r="B323" s="113"/>
      <c r="C323" s="1"/>
      <c r="D323" s="1"/>
      <c r="E323" s="1"/>
      <c r="F323" s="1"/>
      <c r="G323" s="1"/>
      <c r="H323" s="1"/>
      <c r="I323" s="2"/>
      <c r="J323" s="2"/>
      <c r="K323" s="7"/>
      <c r="L323" s="7"/>
      <c r="M323" s="7"/>
      <c r="N323" s="7"/>
      <c r="O323"/>
      <c r="P323" s="7"/>
      <c r="Q323" s="7"/>
      <c r="R323" s="7"/>
      <c r="S323" s="7"/>
      <c r="T323" s="6"/>
    </row>
    <row r="324" spans="1:20" s="93" customFormat="1" ht="30" customHeight="1" x14ac:dyDescent="0.25">
      <c r="A324" s="15"/>
      <c r="B324" s="15"/>
      <c r="C324" s="15"/>
      <c r="D324" s="15"/>
      <c r="E324" s="15"/>
      <c r="F324" s="15"/>
      <c r="G324" s="15"/>
      <c r="H324" s="15"/>
      <c r="I324" s="15"/>
      <c r="J324" s="15"/>
      <c r="K324" s="15"/>
      <c r="L324" s="15"/>
      <c r="M324" s="15"/>
      <c r="N324" s="15"/>
      <c r="O324" s="15"/>
      <c r="P324" s="15"/>
      <c r="Q324" s="15"/>
      <c r="R324" s="15"/>
      <c r="S324" s="15"/>
      <c r="T324" s="6"/>
    </row>
    <row r="325" spans="1:20" s="93" customFormat="1" ht="30" customHeight="1" x14ac:dyDescent="0.25">
      <c r="A325" s="15"/>
      <c r="B325" s="113"/>
      <c r="C325" s="1"/>
      <c r="D325" s="1"/>
      <c r="E325" s="1"/>
      <c r="F325" s="1"/>
      <c r="G325" s="1"/>
      <c r="H325" s="1"/>
      <c r="I325" s="2"/>
      <c r="J325" s="2"/>
      <c r="K325" s="7"/>
      <c r="L325" s="7"/>
      <c r="M325" s="7"/>
      <c r="N325" s="7"/>
      <c r="O325"/>
      <c r="P325" s="7"/>
      <c r="Q325" s="7"/>
      <c r="R325" s="7"/>
      <c r="S325" s="7"/>
      <c r="T325" s="6"/>
    </row>
    <row r="326" spans="1:20" s="93" customFormat="1" ht="30" customHeight="1" x14ac:dyDescent="0.25">
      <c r="A326" s="15"/>
      <c r="B326" s="113"/>
      <c r="C326" s="1"/>
      <c r="D326" s="1"/>
      <c r="E326" s="1"/>
      <c r="F326" s="1"/>
      <c r="G326" s="1"/>
      <c r="H326" s="1"/>
      <c r="I326" s="2"/>
      <c r="J326" s="2"/>
      <c r="K326" s="7"/>
      <c r="L326" s="7"/>
      <c r="M326" s="7"/>
      <c r="N326" s="7"/>
      <c r="O326"/>
      <c r="P326" s="7"/>
      <c r="Q326" s="7"/>
      <c r="R326" s="7"/>
      <c r="S326" s="7"/>
      <c r="T326" s="6"/>
    </row>
    <row r="327" spans="1:20" s="93" customFormat="1" ht="30" customHeight="1" x14ac:dyDescent="0.25">
      <c r="A327" s="15"/>
      <c r="B327" s="113"/>
      <c r="C327" s="1"/>
      <c r="D327" s="1"/>
      <c r="E327" s="1"/>
      <c r="F327" s="1"/>
      <c r="G327" s="1"/>
      <c r="H327" s="1"/>
      <c r="I327" s="2"/>
      <c r="J327" s="2"/>
      <c r="K327" s="7"/>
      <c r="L327" s="7"/>
      <c r="M327" s="7"/>
      <c r="N327" s="7"/>
      <c r="O327"/>
      <c r="P327" s="7"/>
      <c r="Q327" s="7"/>
      <c r="R327" s="7"/>
      <c r="S327" s="7"/>
      <c r="T327" s="6"/>
    </row>
    <row r="328" spans="1:20" s="93" customFormat="1" ht="30" customHeight="1" x14ac:dyDescent="0.25">
      <c r="A328" s="15"/>
      <c r="B328" s="113"/>
      <c r="C328" s="1"/>
      <c r="D328" s="1"/>
      <c r="E328" s="1"/>
      <c r="F328" s="1"/>
      <c r="G328" s="1"/>
      <c r="H328" s="1"/>
      <c r="I328" s="2"/>
      <c r="J328" s="2"/>
      <c r="K328" s="7"/>
      <c r="L328" s="7"/>
      <c r="M328" s="7"/>
      <c r="N328" s="7"/>
      <c r="O328"/>
      <c r="P328" s="7"/>
      <c r="Q328" s="7"/>
      <c r="R328" s="7"/>
      <c r="S328" s="7"/>
      <c r="T328" s="6"/>
    </row>
    <row r="329" spans="1:20" s="93" customFormat="1" ht="30" customHeight="1" x14ac:dyDescent="0.25">
      <c r="A329" s="15"/>
      <c r="B329" s="113"/>
      <c r="C329" s="1"/>
      <c r="D329" s="1"/>
      <c r="E329" s="1"/>
      <c r="F329" s="1"/>
      <c r="G329" s="1"/>
      <c r="H329" s="1"/>
      <c r="I329" s="2"/>
      <c r="J329" s="2"/>
      <c r="K329" s="7"/>
      <c r="L329" s="7"/>
      <c r="M329" s="7"/>
      <c r="N329" s="7"/>
      <c r="O329"/>
      <c r="P329" s="7"/>
      <c r="Q329" s="7"/>
      <c r="R329" s="7"/>
      <c r="S329" s="7"/>
      <c r="T329" s="6"/>
    </row>
    <row r="330" spans="1:20" s="93" customFormat="1" ht="30" customHeight="1" x14ac:dyDescent="0.25">
      <c r="A330" s="15"/>
      <c r="B330" s="113"/>
      <c r="C330" s="1"/>
      <c r="D330" s="1"/>
      <c r="E330" s="1"/>
      <c r="F330" s="1"/>
      <c r="G330" s="1"/>
      <c r="H330" s="1"/>
      <c r="I330" s="2"/>
      <c r="J330" s="2"/>
      <c r="K330" s="7"/>
      <c r="L330" s="7"/>
      <c r="M330" s="7"/>
      <c r="N330" s="7"/>
      <c r="O330"/>
      <c r="P330" s="7"/>
      <c r="Q330" s="7"/>
      <c r="R330" s="7"/>
      <c r="S330" s="7"/>
      <c r="T330" s="6"/>
    </row>
    <row r="331" spans="1:20" s="93" customFormat="1" ht="30" customHeight="1" x14ac:dyDescent="0.25">
      <c r="A331" s="15"/>
      <c r="B331" s="113"/>
      <c r="C331" s="1"/>
      <c r="D331" s="1"/>
      <c r="E331" s="1"/>
      <c r="F331" s="1"/>
      <c r="G331" s="1"/>
      <c r="H331" s="1"/>
      <c r="I331" s="2"/>
      <c r="J331" s="2"/>
      <c r="K331" s="7"/>
      <c r="L331" s="7"/>
      <c r="M331" s="7"/>
      <c r="N331" s="7"/>
      <c r="O331"/>
      <c r="P331" s="7"/>
      <c r="Q331" s="7"/>
      <c r="R331" s="7"/>
      <c r="S331" s="7"/>
      <c r="T331" s="6"/>
    </row>
    <row r="332" spans="1:20" s="93" customFormat="1" ht="30" customHeight="1" x14ac:dyDescent="0.25">
      <c r="A332" s="15"/>
      <c r="B332" s="113"/>
      <c r="C332" s="1"/>
      <c r="D332" s="1"/>
      <c r="E332" s="1"/>
      <c r="F332" s="1"/>
      <c r="G332" s="1"/>
      <c r="H332" s="1"/>
      <c r="I332" s="2"/>
      <c r="J332" s="2"/>
      <c r="K332" s="7"/>
      <c r="L332" s="7"/>
      <c r="M332" s="7"/>
      <c r="N332" s="7"/>
      <c r="O332"/>
      <c r="P332" s="7"/>
      <c r="Q332" s="7"/>
      <c r="R332" s="7"/>
      <c r="S332" s="7"/>
      <c r="T332" s="6"/>
    </row>
    <row r="333" spans="1:20" s="93" customFormat="1" ht="30" customHeight="1" x14ac:dyDescent="0.25">
      <c r="A333" s="15"/>
      <c r="B333" s="113"/>
      <c r="C333" s="1"/>
      <c r="D333" s="1"/>
      <c r="E333" s="1"/>
      <c r="F333" s="1"/>
      <c r="G333" s="1"/>
      <c r="H333" s="1"/>
      <c r="I333" s="2"/>
      <c r="J333" s="2"/>
      <c r="K333" s="7"/>
      <c r="L333" s="7"/>
      <c r="M333" s="7"/>
      <c r="N333" s="7"/>
      <c r="O333"/>
      <c r="P333" s="7"/>
      <c r="Q333" s="7"/>
      <c r="R333" s="7"/>
      <c r="S333" s="7"/>
      <c r="T333" s="6"/>
    </row>
    <row r="334" spans="1:20" s="93" customFormat="1" ht="30" customHeight="1" x14ac:dyDescent="0.25">
      <c r="A334" s="15"/>
      <c r="B334" s="113"/>
      <c r="C334" s="1"/>
      <c r="D334" s="1"/>
      <c r="E334" s="1"/>
      <c r="F334" s="1"/>
      <c r="G334" s="1"/>
      <c r="H334" s="1"/>
      <c r="I334" s="2"/>
      <c r="J334" s="2"/>
      <c r="K334" s="7"/>
      <c r="L334" s="7"/>
      <c r="M334" s="7"/>
      <c r="N334" s="7"/>
      <c r="O334"/>
      <c r="P334" s="7"/>
      <c r="Q334" s="7"/>
      <c r="R334" s="7"/>
      <c r="S334" s="7"/>
      <c r="T334" s="6"/>
    </row>
    <row r="335" spans="1:20" s="93" customFormat="1" ht="30" customHeight="1" x14ac:dyDescent="0.25">
      <c r="A335" s="15"/>
      <c r="B335" s="113"/>
      <c r="C335" s="1"/>
      <c r="D335" s="1"/>
      <c r="E335" s="1"/>
      <c r="F335" s="1"/>
      <c r="G335" s="1"/>
      <c r="H335" s="1"/>
      <c r="I335" s="2"/>
      <c r="J335" s="2"/>
      <c r="K335" s="7"/>
      <c r="L335" s="7"/>
      <c r="M335" s="7"/>
      <c r="N335" s="7"/>
      <c r="O335"/>
      <c r="P335" s="7"/>
      <c r="Q335" s="7"/>
      <c r="R335" s="7"/>
      <c r="S335" s="7"/>
      <c r="T335" s="6"/>
    </row>
    <row r="336" spans="1:20" s="93" customFormat="1" ht="30" customHeight="1" x14ac:dyDescent="0.25">
      <c r="A336" s="15"/>
      <c r="B336" s="113"/>
      <c r="C336" s="1"/>
      <c r="D336" s="1"/>
      <c r="E336" s="1"/>
      <c r="F336" s="1"/>
      <c r="G336" s="1"/>
      <c r="H336" s="1"/>
      <c r="I336" s="2"/>
      <c r="J336" s="2"/>
      <c r="K336" s="7"/>
      <c r="L336" s="7"/>
      <c r="M336" s="7"/>
      <c r="N336" s="7"/>
      <c r="O336"/>
      <c r="P336" s="7"/>
      <c r="Q336" s="7"/>
      <c r="R336" s="7"/>
      <c r="S336" s="7"/>
      <c r="T336" s="6"/>
    </row>
    <row r="337" spans="1:20" s="93" customFormat="1" ht="30" customHeight="1" x14ac:dyDescent="0.25">
      <c r="A337" s="15"/>
      <c r="B337" s="113"/>
      <c r="C337" s="1"/>
      <c r="D337" s="1"/>
      <c r="E337" s="1"/>
      <c r="F337" s="1"/>
      <c r="G337" s="1"/>
      <c r="H337" s="1"/>
      <c r="I337" s="2"/>
      <c r="J337" s="2"/>
      <c r="K337" s="7"/>
      <c r="L337" s="7"/>
      <c r="M337" s="7"/>
      <c r="N337" s="7"/>
      <c r="O337"/>
      <c r="P337" s="7"/>
      <c r="Q337" s="7"/>
      <c r="R337" s="7"/>
      <c r="S337" s="7"/>
      <c r="T337" s="6"/>
    </row>
    <row r="338" spans="1:20" s="93" customFormat="1" ht="30" customHeight="1" x14ac:dyDescent="0.25">
      <c r="A338" s="15"/>
      <c r="B338" s="113"/>
      <c r="C338" s="1"/>
      <c r="D338" s="1"/>
      <c r="E338" s="1"/>
      <c r="F338" s="1"/>
      <c r="G338" s="1"/>
      <c r="H338" s="1"/>
      <c r="I338" s="2"/>
      <c r="J338" s="2"/>
      <c r="K338" s="7"/>
      <c r="L338" s="7"/>
      <c r="M338" s="7"/>
      <c r="N338" s="7"/>
      <c r="O338"/>
      <c r="P338" s="7"/>
      <c r="Q338" s="7"/>
      <c r="R338" s="7"/>
      <c r="S338" s="7"/>
      <c r="T338" s="6"/>
    </row>
    <row r="339" spans="1:20" s="93" customFormat="1" ht="30" customHeight="1" x14ac:dyDescent="0.25">
      <c r="A339" s="15"/>
      <c r="B339" s="113"/>
      <c r="C339" s="1"/>
      <c r="D339" s="1"/>
      <c r="E339" s="1"/>
      <c r="F339" s="1"/>
      <c r="G339" s="1"/>
      <c r="H339" s="1"/>
      <c r="I339" s="2"/>
      <c r="J339" s="2"/>
      <c r="K339" s="7"/>
      <c r="L339" s="7"/>
      <c r="M339" s="7"/>
      <c r="N339" s="7"/>
      <c r="O339"/>
      <c r="P339" s="7"/>
      <c r="Q339" s="7"/>
      <c r="R339" s="7"/>
      <c r="S339" s="7"/>
      <c r="T339" s="6"/>
    </row>
    <row r="340" spans="1:20" s="93" customFormat="1" ht="30" customHeight="1" x14ac:dyDescent="0.25">
      <c r="A340" s="15"/>
      <c r="B340" s="113"/>
      <c r="C340" s="1"/>
      <c r="D340" s="1"/>
      <c r="E340" s="1"/>
      <c r="F340" s="1"/>
      <c r="G340" s="1"/>
      <c r="H340" s="1"/>
      <c r="I340" s="2"/>
      <c r="J340" s="2"/>
      <c r="K340" s="7"/>
      <c r="L340" s="7"/>
      <c r="M340" s="7"/>
      <c r="N340" s="7"/>
      <c r="O340"/>
      <c r="P340" s="7"/>
      <c r="Q340" s="7"/>
      <c r="R340" s="7"/>
      <c r="S340" s="7"/>
      <c r="T340" s="6"/>
    </row>
    <row r="341" spans="1:20" s="93" customFormat="1" ht="30" customHeight="1" x14ac:dyDescent="0.25">
      <c r="A341" s="15"/>
      <c r="B341" s="113"/>
      <c r="C341" s="1"/>
      <c r="D341" s="1"/>
      <c r="E341" s="1"/>
      <c r="F341" s="1"/>
      <c r="G341" s="1"/>
      <c r="H341" s="1"/>
      <c r="I341" s="2"/>
      <c r="J341" s="2"/>
      <c r="K341" s="7"/>
      <c r="L341" s="7"/>
      <c r="M341" s="7"/>
      <c r="N341" s="7"/>
      <c r="O341"/>
      <c r="P341" s="7"/>
      <c r="Q341" s="7"/>
      <c r="R341" s="7"/>
      <c r="S341" s="7"/>
      <c r="T341" s="6"/>
    </row>
    <row r="342" spans="1:20" s="93" customFormat="1" ht="30" customHeight="1" x14ac:dyDescent="0.25">
      <c r="A342" s="15"/>
      <c r="B342" s="113"/>
      <c r="C342" s="1"/>
      <c r="D342" s="1"/>
      <c r="E342" s="1"/>
      <c r="F342" s="1"/>
      <c r="G342" s="1"/>
      <c r="H342" s="1"/>
      <c r="I342" s="2"/>
      <c r="J342" s="2"/>
      <c r="K342" s="7"/>
      <c r="L342" s="7"/>
      <c r="M342" s="7"/>
      <c r="N342" s="7"/>
      <c r="O342"/>
      <c r="P342" s="7"/>
      <c r="Q342" s="7"/>
      <c r="R342" s="7"/>
      <c r="S342" s="7"/>
      <c r="T342" s="6"/>
    </row>
    <row r="343" spans="1:20" s="93" customFormat="1" ht="30" customHeight="1" x14ac:dyDescent="0.25">
      <c r="A343" s="15"/>
      <c r="B343" s="113"/>
      <c r="C343" s="1"/>
      <c r="D343" s="1"/>
      <c r="E343" s="1"/>
      <c r="F343" s="1"/>
      <c r="G343" s="1"/>
      <c r="H343" s="1"/>
      <c r="I343" s="2"/>
      <c r="J343" s="2"/>
      <c r="K343" s="7"/>
      <c r="L343" s="7"/>
      <c r="M343" s="7"/>
      <c r="N343" s="7"/>
      <c r="O343"/>
      <c r="P343" s="7"/>
      <c r="Q343" s="7"/>
      <c r="R343" s="7"/>
      <c r="S343" s="7"/>
      <c r="T343" s="6"/>
    </row>
    <row r="344" spans="1:20" s="93" customFormat="1" ht="30" customHeight="1" x14ac:dyDescent="0.25">
      <c r="A344" s="15"/>
      <c r="B344" s="113"/>
      <c r="C344" s="1"/>
      <c r="D344" s="1"/>
      <c r="E344" s="1"/>
      <c r="F344" s="1"/>
      <c r="G344" s="1"/>
      <c r="H344" s="1"/>
      <c r="I344" s="2"/>
      <c r="J344" s="2"/>
      <c r="K344" s="7"/>
      <c r="L344" s="7"/>
      <c r="M344" s="7"/>
      <c r="N344" s="7"/>
      <c r="O344"/>
      <c r="P344" s="7"/>
      <c r="Q344" s="7"/>
      <c r="R344" s="7"/>
      <c r="S344" s="7"/>
      <c r="T344" s="6"/>
    </row>
    <row r="345" spans="1:20" s="93" customFormat="1" ht="30" customHeight="1" x14ac:dyDescent="0.25">
      <c r="A345" s="15"/>
      <c r="B345" s="113"/>
      <c r="C345" s="1"/>
      <c r="D345" s="1"/>
      <c r="E345" s="1"/>
      <c r="F345" s="1"/>
      <c r="G345" s="1"/>
      <c r="H345" s="1"/>
      <c r="I345" s="2"/>
      <c r="J345" s="2"/>
      <c r="K345" s="7"/>
      <c r="L345" s="7"/>
      <c r="M345" s="7"/>
      <c r="N345" s="7"/>
      <c r="O345"/>
      <c r="P345" s="7"/>
      <c r="Q345" s="7"/>
      <c r="R345" s="7"/>
      <c r="S345" s="7"/>
      <c r="T345" s="6"/>
    </row>
    <row r="346" spans="1:20" s="93" customFormat="1" ht="30" customHeight="1" x14ac:dyDescent="0.25">
      <c r="A346" s="15"/>
      <c r="B346" s="113"/>
      <c r="C346" s="1"/>
      <c r="D346" s="1"/>
      <c r="E346" s="1"/>
      <c r="F346" s="1"/>
      <c r="G346" s="1"/>
      <c r="H346" s="1"/>
      <c r="I346" s="2"/>
      <c r="J346" s="2"/>
      <c r="K346" s="7"/>
      <c r="L346" s="7"/>
      <c r="M346" s="7"/>
      <c r="N346" s="7"/>
      <c r="O346"/>
      <c r="P346" s="7"/>
      <c r="Q346" s="7"/>
      <c r="R346" s="7"/>
      <c r="S346" s="7"/>
      <c r="T346" s="6"/>
    </row>
    <row r="347" spans="1:20" s="93" customFormat="1" ht="30" customHeight="1" x14ac:dyDescent="0.25">
      <c r="A347" s="15"/>
      <c r="B347" s="113"/>
      <c r="C347" s="1"/>
      <c r="D347" s="1"/>
      <c r="E347" s="1"/>
      <c r="F347" s="1"/>
      <c r="G347" s="1"/>
      <c r="H347" s="1"/>
      <c r="I347" s="2"/>
      <c r="J347" s="2"/>
      <c r="K347" s="7"/>
      <c r="L347" s="7"/>
      <c r="M347" s="7"/>
      <c r="N347" s="7"/>
      <c r="O347"/>
      <c r="P347" s="7"/>
      <c r="Q347" s="7"/>
      <c r="R347" s="7"/>
      <c r="S347" s="7"/>
      <c r="T347" s="6"/>
    </row>
    <row r="348" spans="1:20" s="93" customFormat="1" ht="30" customHeight="1" x14ac:dyDescent="0.25">
      <c r="A348" s="15"/>
      <c r="B348" s="113"/>
      <c r="C348" s="1"/>
      <c r="D348" s="1"/>
      <c r="E348" s="1"/>
      <c r="F348" s="1"/>
      <c r="G348" s="1"/>
      <c r="H348" s="1"/>
      <c r="I348" s="2"/>
      <c r="J348" s="2"/>
      <c r="K348" s="7"/>
      <c r="L348" s="7"/>
      <c r="M348" s="7"/>
      <c r="N348" s="7"/>
      <c r="O348"/>
      <c r="P348" s="7"/>
      <c r="Q348" s="7"/>
      <c r="R348" s="7"/>
      <c r="S348" s="7"/>
      <c r="T348" s="6"/>
    </row>
    <row r="349" spans="1:20" s="93" customFormat="1" ht="30" customHeight="1" x14ac:dyDescent="0.25">
      <c r="A349" s="15"/>
      <c r="B349" s="113"/>
      <c r="C349" s="1"/>
      <c r="D349" s="1"/>
      <c r="E349" s="1"/>
      <c r="F349" s="1"/>
      <c r="G349" s="1"/>
      <c r="H349" s="1"/>
      <c r="I349" s="2"/>
      <c r="J349" s="2"/>
      <c r="K349" s="7"/>
      <c r="L349" s="7"/>
      <c r="M349" s="7"/>
      <c r="N349" s="7"/>
      <c r="O349"/>
      <c r="P349" s="7"/>
      <c r="Q349" s="7"/>
      <c r="R349" s="7"/>
      <c r="S349" s="7"/>
      <c r="T349" s="6"/>
    </row>
    <row r="350" spans="1:20" s="93" customFormat="1" ht="30" customHeight="1" x14ac:dyDescent="0.25">
      <c r="A350" s="15"/>
      <c r="B350" s="113"/>
      <c r="C350" s="1"/>
      <c r="D350" s="1"/>
      <c r="E350" s="1"/>
      <c r="F350" s="1"/>
      <c r="G350" s="1"/>
      <c r="H350" s="1"/>
      <c r="I350" s="2"/>
      <c r="J350" s="2"/>
      <c r="K350" s="7"/>
      <c r="L350" s="7"/>
      <c r="M350" s="7"/>
      <c r="N350" s="7"/>
      <c r="O350"/>
      <c r="P350" s="7"/>
      <c r="Q350" s="7"/>
      <c r="R350" s="7"/>
      <c r="S350" s="7"/>
      <c r="T350" s="6"/>
    </row>
    <row r="351" spans="1:20" s="93" customFormat="1" ht="30" customHeight="1" x14ac:dyDescent="0.25">
      <c r="A351" s="15"/>
      <c r="B351" s="113"/>
      <c r="C351" s="1"/>
      <c r="D351" s="1"/>
      <c r="E351" s="1"/>
      <c r="F351" s="1"/>
      <c r="G351" s="1"/>
      <c r="H351" s="1"/>
      <c r="I351" s="2"/>
      <c r="J351" s="2"/>
      <c r="K351" s="7"/>
      <c r="L351" s="7"/>
      <c r="M351" s="7"/>
      <c r="N351" s="7"/>
      <c r="O351"/>
      <c r="P351" s="7"/>
      <c r="Q351" s="7"/>
      <c r="R351" s="7"/>
      <c r="S351" s="7"/>
      <c r="T351" s="6"/>
    </row>
    <row r="352" spans="1:20" s="93" customFormat="1" ht="30" customHeight="1" x14ac:dyDescent="0.25">
      <c r="A352" s="15"/>
      <c r="B352" s="113"/>
      <c r="C352" s="1"/>
      <c r="D352" s="1"/>
      <c r="E352" s="1"/>
      <c r="F352" s="1"/>
      <c r="G352" s="1"/>
      <c r="H352" s="1"/>
      <c r="I352" s="2"/>
      <c r="J352" s="2"/>
      <c r="K352" s="7"/>
      <c r="L352" s="7"/>
      <c r="M352" s="7"/>
      <c r="N352" s="7"/>
      <c r="O352"/>
      <c r="P352" s="7"/>
      <c r="Q352" s="7"/>
      <c r="R352" s="7"/>
      <c r="S352" s="7"/>
      <c r="T352" s="6"/>
    </row>
    <row r="353" spans="1:20" s="93" customFormat="1" ht="30" customHeight="1" x14ac:dyDescent="0.25">
      <c r="A353" s="15"/>
      <c r="B353" s="113"/>
      <c r="C353" s="1"/>
      <c r="D353" s="1"/>
      <c r="E353" s="1"/>
      <c r="F353" s="1"/>
      <c r="G353" s="1"/>
      <c r="H353" s="1"/>
      <c r="I353" s="2"/>
      <c r="J353" s="2"/>
      <c r="K353" s="7"/>
      <c r="L353" s="7"/>
      <c r="M353" s="7"/>
      <c r="N353" s="7"/>
      <c r="O353"/>
      <c r="P353" s="7"/>
      <c r="Q353" s="7"/>
      <c r="R353" s="7"/>
      <c r="S353" s="7"/>
      <c r="T353" s="6"/>
    </row>
    <row r="354" spans="1:20" s="93" customFormat="1" ht="30" customHeight="1" x14ac:dyDescent="0.25">
      <c r="A354" s="15"/>
      <c r="B354" s="113"/>
      <c r="C354" s="1"/>
      <c r="D354" s="1"/>
      <c r="E354" s="1"/>
      <c r="F354" s="1"/>
      <c r="G354" s="1"/>
      <c r="H354" s="1"/>
      <c r="I354" s="2"/>
      <c r="J354" s="2"/>
      <c r="K354" s="7"/>
      <c r="L354" s="7"/>
      <c r="M354" s="7"/>
      <c r="N354" s="7"/>
      <c r="O354"/>
      <c r="P354" s="7"/>
      <c r="Q354" s="7"/>
      <c r="R354" s="7"/>
      <c r="S354" s="7"/>
      <c r="T354" s="6"/>
    </row>
    <row r="355" spans="1:20" s="93" customFormat="1" ht="30" customHeight="1" x14ac:dyDescent="0.25">
      <c r="A355" s="15"/>
      <c r="B355" s="113"/>
      <c r="C355" s="1"/>
      <c r="D355" s="1"/>
      <c r="E355" s="1"/>
      <c r="F355" s="1"/>
      <c r="G355" s="1"/>
      <c r="H355" s="1"/>
      <c r="I355" s="2"/>
      <c r="J355" s="2"/>
      <c r="K355" s="7"/>
      <c r="L355" s="7"/>
      <c r="M355" s="7"/>
      <c r="N355" s="7"/>
      <c r="O355"/>
      <c r="P355" s="7"/>
      <c r="Q355" s="7"/>
      <c r="R355" s="7"/>
      <c r="S355" s="7"/>
      <c r="T355" s="6"/>
    </row>
    <row r="356" spans="1:20" s="93" customFormat="1" ht="30" customHeight="1" x14ac:dyDescent="0.25">
      <c r="A356" s="15"/>
      <c r="B356" s="113"/>
      <c r="C356" s="1"/>
      <c r="D356" s="1"/>
      <c r="E356" s="1"/>
      <c r="F356" s="1"/>
      <c r="G356" s="1"/>
      <c r="H356" s="1"/>
      <c r="I356" s="2"/>
      <c r="J356" s="2"/>
      <c r="K356" s="7"/>
      <c r="L356" s="7"/>
      <c r="M356" s="7"/>
      <c r="N356" s="7"/>
      <c r="O356"/>
      <c r="P356" s="7"/>
      <c r="Q356" s="7"/>
      <c r="R356" s="7"/>
      <c r="S356" s="7"/>
      <c r="T356" s="6"/>
    </row>
    <row r="357" spans="1:20" s="93" customFormat="1" ht="30" customHeight="1" x14ac:dyDescent="0.25">
      <c r="A357" s="15"/>
      <c r="B357" s="113"/>
      <c r="C357" s="1"/>
      <c r="D357" s="1"/>
      <c r="E357" s="1"/>
      <c r="F357" s="1"/>
      <c r="G357" s="1"/>
      <c r="H357" s="1"/>
      <c r="I357" s="2"/>
      <c r="J357" s="2"/>
      <c r="K357" s="7"/>
      <c r="L357" s="7"/>
      <c r="M357" s="7"/>
      <c r="N357" s="7"/>
      <c r="O357"/>
      <c r="P357" s="7"/>
      <c r="Q357" s="7"/>
      <c r="R357" s="7"/>
      <c r="S357" s="7"/>
      <c r="T357" s="6"/>
    </row>
    <row r="358" spans="1:20" s="93" customFormat="1" ht="30" customHeight="1" x14ac:dyDescent="0.25">
      <c r="A358" s="15"/>
      <c r="B358" s="113"/>
      <c r="C358" s="1"/>
      <c r="D358" s="1"/>
      <c r="E358" s="1"/>
      <c r="F358" s="1"/>
      <c r="G358" s="1"/>
      <c r="H358" s="1"/>
      <c r="I358" s="2"/>
      <c r="J358" s="2"/>
      <c r="K358" s="7"/>
      <c r="L358" s="7"/>
      <c r="M358" s="7"/>
      <c r="N358" s="7"/>
      <c r="O358"/>
      <c r="P358" s="7"/>
      <c r="Q358" s="7"/>
      <c r="R358" s="7"/>
      <c r="S358" s="7"/>
      <c r="T358" s="6"/>
    </row>
    <row r="359" spans="1:20" s="93" customFormat="1" ht="30" customHeight="1" x14ac:dyDescent="0.25">
      <c r="A359" s="15"/>
      <c r="B359" s="113"/>
      <c r="C359" s="1"/>
      <c r="D359" s="1"/>
      <c r="E359" s="1"/>
      <c r="F359" s="1"/>
      <c r="G359" s="1"/>
      <c r="H359" s="1"/>
      <c r="I359" s="2"/>
      <c r="J359" s="2"/>
      <c r="K359" s="7"/>
      <c r="L359" s="7"/>
      <c r="M359" s="7"/>
      <c r="N359" s="7"/>
      <c r="O359"/>
      <c r="P359" s="7"/>
      <c r="Q359" s="7"/>
      <c r="R359" s="7"/>
      <c r="S359" s="7"/>
      <c r="T359" s="6"/>
    </row>
    <row r="360" spans="1:20" s="93" customFormat="1" ht="30" customHeight="1" x14ac:dyDescent="0.25">
      <c r="A360" s="15"/>
      <c r="B360" s="113"/>
      <c r="C360" s="1"/>
      <c r="D360" s="1"/>
      <c r="E360" s="1"/>
      <c r="F360" s="1"/>
      <c r="G360" s="1"/>
      <c r="H360" s="1"/>
      <c r="I360" s="2"/>
      <c r="J360" s="2"/>
      <c r="K360" s="7"/>
      <c r="L360" s="7"/>
      <c r="M360" s="7"/>
      <c r="N360" s="7"/>
      <c r="O360"/>
      <c r="P360" s="7"/>
      <c r="Q360" s="7"/>
      <c r="R360" s="7"/>
      <c r="S360" s="7"/>
      <c r="T360" s="6"/>
    </row>
    <row r="361" spans="1:20" s="93" customFormat="1" ht="24" customHeight="1" x14ac:dyDescent="0.25">
      <c r="A361" s="15"/>
      <c r="B361" s="113"/>
      <c r="C361" s="1"/>
      <c r="D361" s="1"/>
      <c r="E361" s="1"/>
      <c r="F361" s="1"/>
      <c r="G361" s="1"/>
      <c r="H361" s="1"/>
      <c r="I361" s="2"/>
      <c r="J361" s="2"/>
      <c r="K361" s="7"/>
      <c r="L361" s="7"/>
      <c r="M361" s="7"/>
      <c r="N361" s="7"/>
      <c r="O361"/>
      <c r="P361" s="7"/>
      <c r="Q361" s="7"/>
      <c r="R361" s="7"/>
      <c r="S361" s="7"/>
      <c r="T361" s="6"/>
    </row>
    <row r="362" spans="1:20" s="93" customFormat="1" ht="24" customHeight="1" x14ac:dyDescent="0.25">
      <c r="A362" s="15"/>
      <c r="B362" s="113"/>
      <c r="C362" s="1"/>
      <c r="D362" s="1"/>
      <c r="E362" s="1"/>
      <c r="F362" s="1"/>
      <c r="G362" s="1"/>
      <c r="H362" s="1"/>
      <c r="I362" s="2"/>
      <c r="J362" s="2"/>
      <c r="K362" s="7"/>
      <c r="L362" s="7"/>
      <c r="M362" s="7"/>
      <c r="N362" s="7"/>
      <c r="O362"/>
      <c r="P362" s="7"/>
      <c r="Q362" s="7"/>
      <c r="R362" s="7"/>
      <c r="S362" s="7"/>
      <c r="T362" s="6"/>
    </row>
    <row r="363" spans="1:20" s="93" customFormat="1" ht="24" customHeight="1" x14ac:dyDescent="0.25">
      <c r="A363" s="15"/>
      <c r="B363" s="113"/>
      <c r="C363" s="1"/>
      <c r="D363" s="1"/>
      <c r="E363" s="1"/>
      <c r="F363" s="1"/>
      <c r="G363" s="1"/>
      <c r="H363" s="1"/>
      <c r="I363" s="2"/>
      <c r="J363" s="2"/>
      <c r="K363" s="7"/>
      <c r="L363" s="7"/>
      <c r="M363" s="7"/>
      <c r="N363" s="7"/>
      <c r="O363"/>
      <c r="P363" s="7"/>
      <c r="Q363" s="7"/>
      <c r="R363" s="7"/>
      <c r="S363" s="7"/>
      <c r="T363" s="6"/>
    </row>
    <row r="364" spans="1:20" s="93" customFormat="1" ht="24" customHeight="1" x14ac:dyDescent="0.25">
      <c r="A364" s="15"/>
      <c r="B364" s="113"/>
      <c r="C364" s="1"/>
      <c r="D364" s="1"/>
      <c r="E364" s="1"/>
      <c r="F364" s="1"/>
      <c r="G364" s="1"/>
      <c r="H364" s="1"/>
      <c r="I364" s="2"/>
      <c r="J364" s="2"/>
      <c r="K364" s="7"/>
      <c r="L364" s="7"/>
      <c r="M364" s="7"/>
      <c r="N364" s="7"/>
      <c r="O364"/>
      <c r="P364" s="7"/>
      <c r="Q364" s="7"/>
      <c r="R364" s="7"/>
      <c r="S364" s="7"/>
      <c r="T364" s="6"/>
    </row>
    <row r="365" spans="1:20" s="93" customFormat="1" ht="24" customHeight="1" x14ac:dyDescent="0.25">
      <c r="A365" s="15"/>
      <c r="B365" s="113"/>
      <c r="C365" s="1"/>
      <c r="D365" s="1"/>
      <c r="E365" s="1"/>
      <c r="F365" s="1"/>
      <c r="G365" s="1"/>
      <c r="H365" s="1"/>
      <c r="I365" s="2"/>
      <c r="J365" s="2"/>
      <c r="K365" s="7"/>
      <c r="L365" s="7"/>
      <c r="M365" s="7"/>
      <c r="N365" s="7"/>
      <c r="O365"/>
      <c r="P365" s="7"/>
      <c r="Q365" s="7"/>
      <c r="R365" s="7"/>
      <c r="S365" s="7"/>
      <c r="T365" s="6"/>
    </row>
    <row r="366" spans="1:20" s="93" customFormat="1" ht="24" customHeight="1" x14ac:dyDescent="0.25">
      <c r="A366" s="15"/>
      <c r="B366" s="113"/>
      <c r="C366" s="1"/>
      <c r="D366" s="1"/>
      <c r="E366" s="1"/>
      <c r="F366" s="1"/>
      <c r="G366" s="1"/>
      <c r="H366" s="1"/>
      <c r="I366" s="2"/>
      <c r="J366" s="2"/>
      <c r="K366" s="7"/>
      <c r="L366" s="7"/>
      <c r="M366" s="7"/>
      <c r="N366" s="7"/>
      <c r="O366"/>
      <c r="P366" s="7"/>
      <c r="Q366" s="7"/>
      <c r="R366" s="7"/>
      <c r="S366" s="7"/>
      <c r="T366" s="6"/>
    </row>
    <row r="367" spans="1:20" s="93" customFormat="1" ht="24" customHeight="1" x14ac:dyDescent="0.25">
      <c r="A367" s="15"/>
      <c r="B367" s="113"/>
      <c r="C367" s="1"/>
      <c r="D367" s="1"/>
      <c r="E367" s="1"/>
      <c r="F367" s="1"/>
      <c r="G367" s="1"/>
      <c r="H367" s="1"/>
      <c r="I367" s="2"/>
      <c r="J367" s="2"/>
      <c r="K367" s="7"/>
      <c r="L367" s="7"/>
      <c r="M367" s="7"/>
      <c r="N367" s="7"/>
      <c r="O367"/>
      <c r="P367" s="7"/>
      <c r="Q367" s="7"/>
      <c r="R367" s="7"/>
      <c r="S367" s="7"/>
      <c r="T367" s="6"/>
    </row>
  </sheetData>
  <sheetProtection sheet="1" scenarios="1" sort="0" autoFilter="0"/>
  <mergeCells count="2">
    <mergeCell ref="C1:E1"/>
    <mergeCell ref="I1:L1"/>
  </mergeCells>
  <conditionalFormatting sqref="C64:C322">
    <cfRule type="expression" dxfId="501" priority="137">
      <formula>OR($B64="REMOD",$B64="ENCOURS")</formula>
    </cfRule>
    <cfRule type="expression" dxfId="500" priority="139">
      <formula>$B64="NOUV"</formula>
    </cfRule>
  </conditionalFormatting>
  <conditionalFormatting sqref="M65:M67">
    <cfRule type="iconSet" priority="136">
      <iconSet iconSet="4TrafficLights" showValue="0" reverse="1">
        <cfvo type="percent" val="0"/>
        <cfvo type="num" val="2"/>
        <cfvo type="num" val="3"/>
        <cfvo type="num" val="4"/>
      </iconSet>
    </cfRule>
  </conditionalFormatting>
  <conditionalFormatting sqref="M69">
    <cfRule type="iconSet" priority="135">
      <iconSet iconSet="4TrafficLights" showValue="0" reverse="1">
        <cfvo type="percent" val="0"/>
        <cfvo type="num" val="2"/>
        <cfvo type="num" val="3"/>
        <cfvo type="num" val="4"/>
      </iconSet>
    </cfRule>
  </conditionalFormatting>
  <conditionalFormatting sqref="M70:M78">
    <cfRule type="iconSet" priority="134">
      <iconSet iconSet="4TrafficLights" showValue="0" reverse="1">
        <cfvo type="percent" val="0"/>
        <cfvo type="num" val="2"/>
        <cfvo type="num" val="3"/>
        <cfvo type="num" val="4"/>
      </iconSet>
    </cfRule>
  </conditionalFormatting>
  <conditionalFormatting sqref="M80">
    <cfRule type="iconSet" priority="133">
      <iconSet iconSet="4TrafficLights" showValue="0" reverse="1">
        <cfvo type="percent" val="0"/>
        <cfvo type="num" val="2"/>
        <cfvo type="num" val="3"/>
        <cfvo type="num" val="4"/>
      </iconSet>
    </cfRule>
  </conditionalFormatting>
  <conditionalFormatting sqref="M82:M83">
    <cfRule type="iconSet" priority="132">
      <iconSet iconSet="4TrafficLights" showValue="0" reverse="1">
        <cfvo type="percent" val="0"/>
        <cfvo type="num" val="2"/>
        <cfvo type="num" val="3"/>
        <cfvo type="num" val="4"/>
      </iconSet>
    </cfRule>
  </conditionalFormatting>
  <conditionalFormatting sqref="M85:M92">
    <cfRule type="iconSet" priority="131">
      <iconSet iconSet="4TrafficLights" showValue="0" reverse="1">
        <cfvo type="percent" val="0"/>
        <cfvo type="num" val="2"/>
        <cfvo type="num" val="3"/>
        <cfvo type="num" val="4"/>
      </iconSet>
    </cfRule>
  </conditionalFormatting>
  <conditionalFormatting sqref="M94:M95">
    <cfRule type="iconSet" priority="130">
      <iconSet iconSet="4TrafficLights" showValue="0" reverse="1">
        <cfvo type="percent" val="0"/>
        <cfvo type="num" val="2"/>
        <cfvo type="num" val="3"/>
        <cfvo type="num" val="4"/>
      </iconSet>
    </cfRule>
  </conditionalFormatting>
  <conditionalFormatting sqref="M97:M106">
    <cfRule type="iconSet" priority="129">
      <iconSet iconSet="4TrafficLights" showValue="0" reverse="1">
        <cfvo type="percent" val="0"/>
        <cfvo type="num" val="2"/>
        <cfvo type="num" val="3"/>
        <cfvo type="num" val="4"/>
      </iconSet>
    </cfRule>
  </conditionalFormatting>
  <conditionalFormatting sqref="M108:M131">
    <cfRule type="iconSet" priority="128">
      <iconSet iconSet="4TrafficLights" showValue="0" reverse="1">
        <cfvo type="percent" val="0"/>
        <cfvo type="num" val="2"/>
        <cfvo type="num" val="3"/>
        <cfvo type="num" val="4"/>
      </iconSet>
    </cfRule>
  </conditionalFormatting>
  <conditionalFormatting sqref="M176:M181">
    <cfRule type="iconSet" priority="126">
      <iconSet iconSet="4TrafficLights" showValue="0" reverse="1">
        <cfvo type="percent" val="0"/>
        <cfvo type="num" val="2"/>
        <cfvo type="num" val="3"/>
        <cfvo type="num" val="4"/>
      </iconSet>
    </cfRule>
  </conditionalFormatting>
  <conditionalFormatting sqref="C3:C322">
    <cfRule type="expression" dxfId="499" priority="138">
      <formula>OR($B3="SUPPR",$B3="ASUPP")</formula>
    </cfRule>
  </conditionalFormatting>
  <conditionalFormatting sqref="P77:P79 P70:P75">
    <cfRule type="iconSet" priority="124">
      <iconSet iconSet="4TrafficLights" showValue="0" reverse="1">
        <cfvo type="percent" val="0"/>
        <cfvo type="num" val="2"/>
        <cfvo type="num" val="3"/>
        <cfvo type="num" val="4"/>
      </iconSet>
    </cfRule>
  </conditionalFormatting>
  <conditionalFormatting sqref="P156:P162 P140:P154 P134:P138 P126:P132 P106:P124 P101:P104 P80:P99">
    <cfRule type="iconSet" priority="123">
      <iconSet iconSet="4TrafficLights" showValue="0" reverse="1">
        <cfvo type="percent" val="0"/>
        <cfvo type="num" val="2"/>
        <cfvo type="num" val="3"/>
        <cfvo type="num" val="4"/>
      </iconSet>
    </cfRule>
  </conditionalFormatting>
  <conditionalFormatting sqref="R5">
    <cfRule type="iconSet" priority="117">
      <iconSet iconSet="4TrafficLights" showValue="0" reverse="1">
        <cfvo type="percent" val="0"/>
        <cfvo type="num" val="2"/>
        <cfvo type="num" val="3"/>
        <cfvo type="num" val="4"/>
      </iconSet>
    </cfRule>
  </conditionalFormatting>
  <conditionalFormatting sqref="R6">
    <cfRule type="iconSet" priority="116">
      <iconSet iconSet="4TrafficLights" showValue="0" reverse="1">
        <cfvo type="percent" val="0"/>
        <cfvo type="num" val="2"/>
        <cfvo type="num" val="3"/>
        <cfvo type="num" val="4"/>
      </iconSet>
    </cfRule>
  </conditionalFormatting>
  <conditionalFormatting sqref="R10">
    <cfRule type="iconSet" priority="115">
      <iconSet iconSet="4TrafficLights" showValue="0" reverse="1">
        <cfvo type="percent" val="0"/>
        <cfvo type="num" val="2"/>
        <cfvo type="num" val="3"/>
        <cfvo type="num" val="4"/>
      </iconSet>
    </cfRule>
  </conditionalFormatting>
  <conditionalFormatting sqref="R11">
    <cfRule type="iconSet" priority="114">
      <iconSet iconSet="4TrafficLights" showValue="0" reverse="1">
        <cfvo type="percent" val="0"/>
        <cfvo type="num" val="2"/>
        <cfvo type="num" val="3"/>
        <cfvo type="num" val="4"/>
      </iconSet>
    </cfRule>
  </conditionalFormatting>
  <conditionalFormatting sqref="R14">
    <cfRule type="iconSet" priority="113">
      <iconSet iconSet="4TrafficLights" showValue="0" reverse="1">
        <cfvo type="percent" val="0"/>
        <cfvo type="num" val="2"/>
        <cfvo type="num" val="3"/>
        <cfvo type="num" val="4"/>
      </iconSet>
    </cfRule>
  </conditionalFormatting>
  <conditionalFormatting sqref="R15">
    <cfRule type="iconSet" priority="112">
      <iconSet iconSet="4TrafficLights" showValue="0" reverse="1">
        <cfvo type="percent" val="0"/>
        <cfvo type="num" val="2"/>
        <cfvo type="num" val="3"/>
        <cfvo type="num" val="4"/>
      </iconSet>
    </cfRule>
  </conditionalFormatting>
  <conditionalFormatting sqref="R16">
    <cfRule type="iconSet" priority="111">
      <iconSet iconSet="4TrafficLights" showValue="0" reverse="1">
        <cfvo type="percent" val="0"/>
        <cfvo type="num" val="2"/>
        <cfvo type="num" val="3"/>
        <cfvo type="num" val="4"/>
      </iconSet>
    </cfRule>
  </conditionalFormatting>
  <conditionalFormatting sqref="R17">
    <cfRule type="iconSet" priority="110">
      <iconSet iconSet="4TrafficLights" showValue="0" reverse="1">
        <cfvo type="percent" val="0"/>
        <cfvo type="num" val="2"/>
        <cfvo type="num" val="3"/>
        <cfvo type="num" val="4"/>
      </iconSet>
    </cfRule>
  </conditionalFormatting>
  <conditionalFormatting sqref="R18">
    <cfRule type="iconSet" priority="109">
      <iconSet iconSet="4TrafficLights" showValue="0" reverse="1">
        <cfvo type="percent" val="0"/>
        <cfvo type="num" val="2"/>
        <cfvo type="num" val="3"/>
        <cfvo type="num" val="4"/>
      </iconSet>
    </cfRule>
  </conditionalFormatting>
  <conditionalFormatting sqref="R19">
    <cfRule type="iconSet" priority="108">
      <iconSet iconSet="4TrafficLights" showValue="0" reverse="1">
        <cfvo type="percent" val="0"/>
        <cfvo type="num" val="2"/>
        <cfvo type="num" val="3"/>
        <cfvo type="num" val="4"/>
      </iconSet>
    </cfRule>
  </conditionalFormatting>
  <conditionalFormatting sqref="R7">
    <cfRule type="iconSet" priority="106">
      <iconSet iconSet="4TrafficLights" showValue="0" reverse="1">
        <cfvo type="percent" val="0"/>
        <cfvo type="num" val="2"/>
        <cfvo type="num" val="3"/>
        <cfvo type="num" val="4"/>
      </iconSet>
    </cfRule>
  </conditionalFormatting>
  <conditionalFormatting sqref="R22">
    <cfRule type="iconSet" priority="105">
      <iconSet iconSet="4TrafficLights" showValue="0" reverse="1">
        <cfvo type="percent" val="0"/>
        <cfvo type="num" val="2"/>
        <cfvo type="num" val="3"/>
        <cfvo type="num" val="4"/>
      </iconSet>
    </cfRule>
  </conditionalFormatting>
  <conditionalFormatting sqref="R23">
    <cfRule type="iconSet" priority="103">
      <iconSet iconSet="4TrafficLights" showValue="0" reverse="1">
        <cfvo type="percent" val="0"/>
        <cfvo type="num" val="2"/>
        <cfvo type="num" val="3"/>
        <cfvo type="num" val="4"/>
      </iconSet>
    </cfRule>
  </conditionalFormatting>
  <conditionalFormatting sqref="R28">
    <cfRule type="iconSet" priority="102">
      <iconSet iconSet="4TrafficLights" showValue="0" reverse="1">
        <cfvo type="percent" val="0"/>
        <cfvo type="num" val="2"/>
        <cfvo type="num" val="3"/>
        <cfvo type="num" val="4"/>
      </iconSet>
    </cfRule>
  </conditionalFormatting>
  <conditionalFormatting sqref="R29">
    <cfRule type="iconSet" priority="101">
      <iconSet iconSet="4TrafficLights" showValue="0" reverse="1">
        <cfvo type="percent" val="0"/>
        <cfvo type="num" val="2"/>
        <cfvo type="num" val="3"/>
        <cfvo type="num" val="4"/>
      </iconSet>
    </cfRule>
  </conditionalFormatting>
  <conditionalFormatting sqref="R275">
    <cfRule type="iconSet" priority="100">
      <iconSet iconSet="4TrafficLights" showValue="0" reverse="1">
        <cfvo type="percent" val="0"/>
        <cfvo type="num" val="2"/>
        <cfvo type="num" val="3"/>
        <cfvo type="num" val="4"/>
      </iconSet>
    </cfRule>
  </conditionalFormatting>
  <conditionalFormatting sqref="R31">
    <cfRule type="iconSet" priority="99">
      <iconSet iconSet="4TrafficLights" showValue="0" reverse="1">
        <cfvo type="percent" val="0"/>
        <cfvo type="num" val="2"/>
        <cfvo type="num" val="3"/>
        <cfvo type="num" val="4"/>
      </iconSet>
    </cfRule>
  </conditionalFormatting>
  <conditionalFormatting sqref="R33">
    <cfRule type="iconSet" priority="98">
      <iconSet iconSet="4TrafficLights" showValue="0" reverse="1">
        <cfvo type="percent" val="0"/>
        <cfvo type="num" val="2"/>
        <cfvo type="num" val="3"/>
        <cfvo type="num" val="4"/>
      </iconSet>
    </cfRule>
  </conditionalFormatting>
  <conditionalFormatting sqref="R34">
    <cfRule type="iconSet" priority="97">
      <iconSet iconSet="4TrafficLights" showValue="0" reverse="1">
        <cfvo type="percent" val="0"/>
        <cfvo type="num" val="2"/>
        <cfvo type="num" val="3"/>
        <cfvo type="num" val="4"/>
      </iconSet>
    </cfRule>
  </conditionalFormatting>
  <conditionalFormatting sqref="R35">
    <cfRule type="iconSet" priority="96">
      <iconSet iconSet="4TrafficLights" showValue="0" reverse="1">
        <cfvo type="percent" val="0"/>
        <cfvo type="num" val="2"/>
        <cfvo type="num" val="3"/>
        <cfvo type="num" val="4"/>
      </iconSet>
    </cfRule>
  </conditionalFormatting>
  <conditionalFormatting sqref="R36">
    <cfRule type="iconSet" priority="95">
      <iconSet iconSet="4TrafficLights" showValue="0" reverse="1">
        <cfvo type="percent" val="0"/>
        <cfvo type="num" val="2"/>
        <cfvo type="num" val="3"/>
        <cfvo type="num" val="4"/>
      </iconSet>
    </cfRule>
  </conditionalFormatting>
  <conditionalFormatting sqref="R41">
    <cfRule type="iconSet" priority="94">
      <iconSet iconSet="4TrafficLights" showValue="0" reverse="1">
        <cfvo type="percent" val="0"/>
        <cfvo type="num" val="2"/>
        <cfvo type="num" val="3"/>
        <cfvo type="num" val="4"/>
      </iconSet>
    </cfRule>
  </conditionalFormatting>
  <conditionalFormatting sqref="R43">
    <cfRule type="iconSet" priority="93">
      <iconSet iconSet="4TrafficLights" showValue="0" reverse="1">
        <cfvo type="percent" val="0"/>
        <cfvo type="num" val="2"/>
        <cfvo type="num" val="3"/>
        <cfvo type="num" val="4"/>
      </iconSet>
    </cfRule>
  </conditionalFormatting>
  <conditionalFormatting sqref="R44">
    <cfRule type="iconSet" priority="92">
      <iconSet iconSet="4TrafficLights" showValue="0" reverse="1">
        <cfvo type="percent" val="0"/>
        <cfvo type="num" val="2"/>
        <cfvo type="num" val="3"/>
        <cfvo type="num" val="4"/>
      </iconSet>
    </cfRule>
  </conditionalFormatting>
  <conditionalFormatting sqref="R47">
    <cfRule type="iconSet" priority="91">
      <iconSet iconSet="4TrafficLights" showValue="0" reverse="1">
        <cfvo type="percent" val="0"/>
        <cfvo type="num" val="2"/>
        <cfvo type="num" val="3"/>
        <cfvo type="num" val="4"/>
      </iconSet>
    </cfRule>
  </conditionalFormatting>
  <conditionalFormatting sqref="R52">
    <cfRule type="iconSet" priority="90">
      <iconSet iconSet="4TrafficLights" showValue="0" reverse="1">
        <cfvo type="percent" val="0"/>
        <cfvo type="num" val="2"/>
        <cfvo type="num" val="3"/>
        <cfvo type="num" val="4"/>
      </iconSet>
    </cfRule>
  </conditionalFormatting>
  <conditionalFormatting sqref="R55">
    <cfRule type="iconSet" priority="89">
      <iconSet iconSet="4TrafficLights" showValue="0" reverse="1">
        <cfvo type="percent" val="0"/>
        <cfvo type="num" val="2"/>
        <cfvo type="num" val="3"/>
        <cfvo type="num" val="4"/>
      </iconSet>
    </cfRule>
  </conditionalFormatting>
  <conditionalFormatting sqref="R56">
    <cfRule type="iconSet" priority="88">
      <iconSet iconSet="4TrafficLights" showValue="0" reverse="1">
        <cfvo type="percent" val="0"/>
        <cfvo type="num" val="2"/>
        <cfvo type="num" val="3"/>
        <cfvo type="num" val="4"/>
      </iconSet>
    </cfRule>
  </conditionalFormatting>
  <conditionalFormatting sqref="R57">
    <cfRule type="iconSet" priority="87">
      <iconSet iconSet="4TrafficLights" showValue="0" reverse="1">
        <cfvo type="percent" val="0"/>
        <cfvo type="num" val="2"/>
        <cfvo type="num" val="3"/>
        <cfvo type="num" val="4"/>
      </iconSet>
    </cfRule>
  </conditionalFormatting>
  <conditionalFormatting sqref="R62">
    <cfRule type="iconSet" priority="84">
      <iconSet iconSet="4TrafficLights" showValue="0" reverse="1">
        <cfvo type="percent" val="0"/>
        <cfvo type="num" val="2"/>
        <cfvo type="num" val="3"/>
        <cfvo type="num" val="4"/>
      </iconSet>
    </cfRule>
  </conditionalFormatting>
  <conditionalFormatting sqref="R63">
    <cfRule type="iconSet" priority="83">
      <iconSet iconSet="4TrafficLights" showValue="0" reverse="1">
        <cfvo type="percent" val="0"/>
        <cfvo type="num" val="2"/>
        <cfvo type="num" val="3"/>
        <cfvo type="num" val="4"/>
      </iconSet>
    </cfRule>
  </conditionalFormatting>
  <conditionalFormatting sqref="R66">
    <cfRule type="iconSet" priority="80">
      <iconSet iconSet="4TrafficLights" showValue="0" reverse="1">
        <cfvo type="percent" val="0"/>
        <cfvo type="num" val="2"/>
        <cfvo type="num" val="3"/>
        <cfvo type="num" val="4"/>
      </iconSet>
    </cfRule>
  </conditionalFormatting>
  <conditionalFormatting sqref="R69">
    <cfRule type="iconSet" priority="79">
      <iconSet iconSet="4TrafficLights" showValue="0" reverse="1">
        <cfvo type="percent" val="0"/>
        <cfvo type="num" val="2"/>
        <cfvo type="num" val="3"/>
        <cfvo type="num" val="4"/>
      </iconSet>
    </cfRule>
  </conditionalFormatting>
  <conditionalFormatting sqref="R71">
    <cfRule type="iconSet" priority="77">
      <iconSet iconSet="4TrafficLights" showValue="0" reverse="1">
        <cfvo type="percent" val="0"/>
        <cfvo type="num" val="2"/>
        <cfvo type="num" val="3"/>
        <cfvo type="num" val="4"/>
      </iconSet>
    </cfRule>
  </conditionalFormatting>
  <conditionalFormatting sqref="R72">
    <cfRule type="iconSet" priority="76">
      <iconSet iconSet="4TrafficLights" showValue="0" reverse="1">
        <cfvo type="percent" val="0"/>
        <cfvo type="num" val="2"/>
        <cfvo type="num" val="3"/>
        <cfvo type="num" val="4"/>
      </iconSet>
    </cfRule>
  </conditionalFormatting>
  <conditionalFormatting sqref="R73">
    <cfRule type="iconSet" priority="75">
      <iconSet iconSet="4TrafficLights" showValue="0" reverse="1">
        <cfvo type="percent" val="0"/>
        <cfvo type="num" val="2"/>
        <cfvo type="num" val="3"/>
        <cfvo type="num" val="4"/>
      </iconSet>
    </cfRule>
  </conditionalFormatting>
  <conditionalFormatting sqref="R75">
    <cfRule type="iconSet" priority="74">
      <iconSet iconSet="4TrafficLights" showValue="0" reverse="1">
        <cfvo type="percent" val="0"/>
        <cfvo type="num" val="2"/>
        <cfvo type="num" val="3"/>
        <cfvo type="num" val="4"/>
      </iconSet>
    </cfRule>
  </conditionalFormatting>
  <conditionalFormatting sqref="R78">
    <cfRule type="iconSet" priority="72">
      <iconSet iconSet="4TrafficLights" showValue="0" reverse="1">
        <cfvo type="percent" val="0"/>
        <cfvo type="num" val="2"/>
        <cfvo type="num" val="3"/>
        <cfvo type="num" val="4"/>
      </iconSet>
    </cfRule>
  </conditionalFormatting>
  <conditionalFormatting sqref="R9">
    <cfRule type="iconSet" priority="71">
      <iconSet iconSet="4TrafficLights" showValue="0" reverse="1">
        <cfvo type="percent" val="0"/>
        <cfvo type="num" val="2"/>
        <cfvo type="num" val="3"/>
        <cfvo type="num" val="4"/>
      </iconSet>
    </cfRule>
  </conditionalFormatting>
  <conditionalFormatting sqref="R8">
    <cfRule type="iconSet" priority="70">
      <iconSet iconSet="4TrafficLights" showValue="0" reverse="1">
        <cfvo type="percent" val="0"/>
        <cfvo type="num" val="2"/>
        <cfvo type="num" val="3"/>
        <cfvo type="num" val="4"/>
      </iconSet>
    </cfRule>
  </conditionalFormatting>
  <conditionalFormatting sqref="R80">
    <cfRule type="iconSet" priority="69">
      <iconSet iconSet="4TrafficLights" showValue="0" reverse="1">
        <cfvo type="percent" val="0"/>
        <cfvo type="num" val="2"/>
        <cfvo type="num" val="3"/>
        <cfvo type="num" val="4"/>
      </iconSet>
    </cfRule>
  </conditionalFormatting>
  <conditionalFormatting sqref="R83">
    <cfRule type="iconSet" priority="68">
      <iconSet iconSet="4TrafficLights" showValue="0" reverse="1">
        <cfvo type="percent" val="0"/>
        <cfvo type="num" val="2"/>
        <cfvo type="num" val="3"/>
        <cfvo type="num" val="4"/>
      </iconSet>
    </cfRule>
  </conditionalFormatting>
  <conditionalFormatting sqref="R85">
    <cfRule type="iconSet" priority="67">
      <iconSet iconSet="4TrafficLights" showValue="0" reverse="1">
        <cfvo type="percent" val="0"/>
        <cfvo type="num" val="2"/>
        <cfvo type="num" val="3"/>
        <cfvo type="num" val="4"/>
      </iconSet>
    </cfRule>
  </conditionalFormatting>
  <conditionalFormatting sqref="R86">
    <cfRule type="iconSet" priority="66">
      <iconSet iconSet="4TrafficLights" showValue="0" reverse="1">
        <cfvo type="percent" val="0"/>
        <cfvo type="num" val="2"/>
        <cfvo type="num" val="3"/>
        <cfvo type="num" val="4"/>
      </iconSet>
    </cfRule>
  </conditionalFormatting>
  <conditionalFormatting sqref="R87">
    <cfRule type="iconSet" priority="65">
      <iconSet iconSet="4TrafficLights" showValue="0" reverse="1">
        <cfvo type="percent" val="0"/>
        <cfvo type="num" val="2"/>
        <cfvo type="num" val="3"/>
        <cfvo type="num" val="4"/>
      </iconSet>
    </cfRule>
  </conditionalFormatting>
  <conditionalFormatting sqref="R89">
    <cfRule type="iconSet" priority="64">
      <iconSet iconSet="4TrafficLights" showValue="0" reverse="1">
        <cfvo type="percent" val="0"/>
        <cfvo type="num" val="2"/>
        <cfvo type="num" val="3"/>
        <cfvo type="num" val="4"/>
      </iconSet>
    </cfRule>
  </conditionalFormatting>
  <conditionalFormatting sqref="R90">
    <cfRule type="iconSet" priority="63">
      <iconSet iconSet="4TrafficLights" showValue="0" reverse="1">
        <cfvo type="percent" val="0"/>
        <cfvo type="num" val="2"/>
        <cfvo type="num" val="3"/>
        <cfvo type="num" val="4"/>
      </iconSet>
    </cfRule>
  </conditionalFormatting>
  <conditionalFormatting sqref="R27">
    <cfRule type="iconSet" priority="62">
      <iconSet iconSet="4TrafficLights" showValue="0" reverse="1">
        <cfvo type="percent" val="0"/>
        <cfvo type="num" val="2"/>
        <cfvo type="num" val="3"/>
        <cfvo type="num" val="4"/>
      </iconSet>
    </cfRule>
  </conditionalFormatting>
  <conditionalFormatting sqref="R94">
    <cfRule type="iconSet" priority="61">
      <iconSet iconSet="4TrafficLights" showValue="0" reverse="1">
        <cfvo type="percent" val="0"/>
        <cfvo type="num" val="2"/>
        <cfvo type="num" val="3"/>
        <cfvo type="num" val="4"/>
      </iconSet>
    </cfRule>
  </conditionalFormatting>
  <conditionalFormatting sqref="R95">
    <cfRule type="iconSet" priority="60">
      <iconSet iconSet="4TrafficLights" showValue="0" reverse="1">
        <cfvo type="percent" val="0"/>
        <cfvo type="num" val="2"/>
        <cfvo type="num" val="3"/>
        <cfvo type="num" val="4"/>
      </iconSet>
    </cfRule>
  </conditionalFormatting>
  <conditionalFormatting sqref="R68">
    <cfRule type="iconSet" priority="59">
      <iconSet iconSet="4TrafficLights" showValue="0" reverse="1">
        <cfvo type="percent" val="0"/>
        <cfvo type="num" val="2"/>
        <cfvo type="num" val="3"/>
        <cfvo type="num" val="4"/>
      </iconSet>
    </cfRule>
  </conditionalFormatting>
  <conditionalFormatting sqref="R98">
    <cfRule type="iconSet" priority="58">
      <iconSet iconSet="4TrafficLights" showValue="0" reverse="1">
        <cfvo type="percent" val="0"/>
        <cfvo type="num" val="2"/>
        <cfvo type="num" val="3"/>
        <cfvo type="num" val="4"/>
      </iconSet>
    </cfRule>
  </conditionalFormatting>
  <conditionalFormatting sqref="R99">
    <cfRule type="iconSet" priority="57">
      <iconSet iconSet="4TrafficLights" showValue="0" reverse="1">
        <cfvo type="percent" val="0"/>
        <cfvo type="num" val="2"/>
        <cfvo type="num" val="3"/>
        <cfvo type="num" val="4"/>
      </iconSet>
    </cfRule>
  </conditionalFormatting>
  <conditionalFormatting sqref="R101">
    <cfRule type="iconSet" priority="55">
      <iconSet iconSet="4TrafficLights" showValue="0" reverse="1">
        <cfvo type="percent" val="0"/>
        <cfvo type="num" val="2"/>
        <cfvo type="num" val="3"/>
        <cfvo type="num" val="4"/>
      </iconSet>
    </cfRule>
  </conditionalFormatting>
  <conditionalFormatting sqref="R102">
    <cfRule type="iconSet" priority="54">
      <iconSet iconSet="4TrafficLights" showValue="0" reverse="1">
        <cfvo type="percent" val="0"/>
        <cfvo type="num" val="2"/>
        <cfvo type="num" val="3"/>
        <cfvo type="num" val="4"/>
      </iconSet>
    </cfRule>
  </conditionalFormatting>
  <conditionalFormatting sqref="R103">
    <cfRule type="iconSet" priority="53">
      <iconSet iconSet="4TrafficLights" showValue="0" reverse="1">
        <cfvo type="percent" val="0"/>
        <cfvo type="num" val="2"/>
        <cfvo type="num" val="3"/>
        <cfvo type="num" val="4"/>
      </iconSet>
    </cfRule>
  </conditionalFormatting>
  <conditionalFormatting sqref="R88">
    <cfRule type="iconSet" priority="51">
      <iconSet iconSet="4TrafficLights" showValue="0" reverse="1">
        <cfvo type="percent" val="0"/>
        <cfvo type="num" val="2"/>
        <cfvo type="num" val="3"/>
        <cfvo type="num" val="4"/>
      </iconSet>
    </cfRule>
  </conditionalFormatting>
  <conditionalFormatting sqref="R107">
    <cfRule type="iconSet" priority="50">
      <iconSet iconSet="4TrafficLights" showValue="0" reverse="1">
        <cfvo type="percent" val="0"/>
        <cfvo type="num" val="2"/>
        <cfvo type="num" val="3"/>
        <cfvo type="num" val="4"/>
      </iconSet>
    </cfRule>
  </conditionalFormatting>
  <conditionalFormatting sqref="R32">
    <cfRule type="iconSet" priority="49">
      <iconSet iconSet="4TrafficLights" showValue="0" reverse="1">
        <cfvo type="percent" val="0"/>
        <cfvo type="num" val="2"/>
        <cfvo type="num" val="3"/>
        <cfvo type="num" val="4"/>
      </iconSet>
    </cfRule>
  </conditionalFormatting>
  <conditionalFormatting sqref="R58">
    <cfRule type="iconSet" priority="48">
      <iconSet iconSet="4TrafficLights" showValue="0" reverse="1">
        <cfvo type="percent" val="0"/>
        <cfvo type="num" val="2"/>
        <cfvo type="num" val="3"/>
        <cfvo type="num" val="4"/>
      </iconSet>
    </cfRule>
  </conditionalFormatting>
  <conditionalFormatting sqref="R46">
    <cfRule type="iconSet" priority="47">
      <iconSet iconSet="4TrafficLights" showValue="0" reverse="1">
        <cfvo type="percent" val="0"/>
        <cfvo type="num" val="2"/>
        <cfvo type="num" val="3"/>
        <cfvo type="num" val="4"/>
      </iconSet>
    </cfRule>
  </conditionalFormatting>
  <conditionalFormatting sqref="R53">
    <cfRule type="iconSet" priority="46">
      <iconSet iconSet="4TrafficLights" showValue="0" reverse="1">
        <cfvo type="percent" val="0"/>
        <cfvo type="num" val="2"/>
        <cfvo type="num" val="3"/>
        <cfvo type="num" val="4"/>
      </iconSet>
    </cfRule>
  </conditionalFormatting>
  <conditionalFormatting sqref="R51">
    <cfRule type="iconSet" priority="45">
      <iconSet iconSet="4TrafficLights" showValue="0" reverse="1">
        <cfvo type="percent" val="0"/>
        <cfvo type="num" val="2"/>
        <cfvo type="num" val="3"/>
        <cfvo type="num" val="4"/>
      </iconSet>
    </cfRule>
  </conditionalFormatting>
  <conditionalFormatting sqref="R271">
    <cfRule type="iconSet" priority="44">
      <iconSet iconSet="4TrafficLights" showValue="0" reverse="1">
        <cfvo type="percent" val="0"/>
        <cfvo type="num" val="2"/>
        <cfvo type="num" val="3"/>
        <cfvo type="num" val="4"/>
      </iconSet>
    </cfRule>
  </conditionalFormatting>
  <conditionalFormatting sqref="R273">
    <cfRule type="iconSet" priority="43">
      <iconSet iconSet="4TrafficLights" showValue="0" reverse="1">
        <cfvo type="percent" val="0"/>
        <cfvo type="num" val="2"/>
        <cfvo type="num" val="3"/>
        <cfvo type="num" val="4"/>
      </iconSet>
    </cfRule>
  </conditionalFormatting>
  <conditionalFormatting sqref="R277">
    <cfRule type="iconSet" priority="42">
      <iconSet iconSet="4TrafficLights" showValue="0" reverse="1">
        <cfvo type="percent" val="0"/>
        <cfvo type="num" val="2"/>
        <cfvo type="num" val="3"/>
        <cfvo type="num" val="4"/>
      </iconSet>
    </cfRule>
  </conditionalFormatting>
  <conditionalFormatting sqref="R281">
    <cfRule type="iconSet" priority="40">
      <iconSet iconSet="4TrafficLights" showValue="0" reverse="1">
        <cfvo type="percent" val="0"/>
        <cfvo type="num" val="2"/>
        <cfvo type="num" val="3"/>
        <cfvo type="num" val="4"/>
      </iconSet>
    </cfRule>
  </conditionalFormatting>
  <conditionalFormatting sqref="R283">
    <cfRule type="iconSet" priority="39">
      <iconSet iconSet="4TrafficLights" showValue="0" reverse="1">
        <cfvo type="percent" val="0"/>
        <cfvo type="num" val="2"/>
        <cfvo type="num" val="3"/>
        <cfvo type="num" val="4"/>
      </iconSet>
    </cfRule>
  </conditionalFormatting>
  <conditionalFormatting sqref="R287">
    <cfRule type="iconSet" priority="38">
      <iconSet iconSet="4TrafficLights" showValue="0" reverse="1">
        <cfvo type="percent" val="0"/>
        <cfvo type="num" val="2"/>
        <cfvo type="num" val="3"/>
        <cfvo type="num" val="4"/>
      </iconSet>
    </cfRule>
  </conditionalFormatting>
  <conditionalFormatting sqref="R286">
    <cfRule type="iconSet" priority="37">
      <iconSet iconSet="4TrafficLights" showValue="0" reverse="1">
        <cfvo type="percent" val="0"/>
        <cfvo type="num" val="2"/>
        <cfvo type="num" val="3"/>
        <cfvo type="num" val="4"/>
      </iconSet>
    </cfRule>
  </conditionalFormatting>
  <conditionalFormatting sqref="R288">
    <cfRule type="iconSet" priority="36">
      <iconSet iconSet="4TrafficLights" showValue="0" reverse="1">
        <cfvo type="percent" val="0"/>
        <cfvo type="num" val="2"/>
        <cfvo type="num" val="3"/>
        <cfvo type="num" val="4"/>
      </iconSet>
    </cfRule>
  </conditionalFormatting>
  <conditionalFormatting sqref="R290">
    <cfRule type="iconSet" priority="35">
      <iconSet iconSet="4TrafficLights" showValue="0" reverse="1">
        <cfvo type="percent" val="0"/>
        <cfvo type="num" val="2"/>
        <cfvo type="num" val="3"/>
        <cfvo type="num" val="4"/>
      </iconSet>
    </cfRule>
  </conditionalFormatting>
  <conditionalFormatting sqref="R292">
    <cfRule type="iconSet" priority="34">
      <iconSet iconSet="4TrafficLights" showValue="0" reverse="1">
        <cfvo type="percent" val="0"/>
        <cfvo type="num" val="2"/>
        <cfvo type="num" val="3"/>
        <cfvo type="num" val="4"/>
      </iconSet>
    </cfRule>
  </conditionalFormatting>
  <conditionalFormatting sqref="R294">
    <cfRule type="iconSet" priority="33">
      <iconSet iconSet="4TrafficLights" showValue="0" reverse="1">
        <cfvo type="percent" val="0"/>
        <cfvo type="num" val="2"/>
        <cfvo type="num" val="3"/>
        <cfvo type="num" val="4"/>
      </iconSet>
    </cfRule>
  </conditionalFormatting>
  <conditionalFormatting sqref="R296">
    <cfRule type="iconSet" priority="32">
      <iconSet iconSet="4TrafficLights" showValue="0" reverse="1">
        <cfvo type="percent" val="0"/>
        <cfvo type="num" val="2"/>
        <cfvo type="num" val="3"/>
        <cfvo type="num" val="4"/>
      </iconSet>
    </cfRule>
  </conditionalFormatting>
  <conditionalFormatting sqref="R298">
    <cfRule type="iconSet" priority="31">
      <iconSet iconSet="4TrafficLights" showValue="0" reverse="1">
        <cfvo type="percent" val="0"/>
        <cfvo type="num" val="2"/>
        <cfvo type="num" val="3"/>
        <cfvo type="num" val="4"/>
      </iconSet>
    </cfRule>
  </conditionalFormatting>
  <conditionalFormatting sqref="R302">
    <cfRule type="iconSet" priority="30">
      <iconSet iconSet="4TrafficLights" showValue="0" reverse="1">
        <cfvo type="percent" val="0"/>
        <cfvo type="num" val="2"/>
        <cfvo type="num" val="3"/>
        <cfvo type="num" val="4"/>
      </iconSet>
    </cfRule>
  </conditionalFormatting>
  <conditionalFormatting sqref="R304">
    <cfRule type="iconSet" priority="28">
      <iconSet iconSet="4TrafficLights" showValue="0" reverse="1">
        <cfvo type="percent" val="0"/>
        <cfvo type="num" val="2"/>
        <cfvo type="num" val="3"/>
        <cfvo type="num" val="4"/>
      </iconSet>
    </cfRule>
  </conditionalFormatting>
  <conditionalFormatting sqref="R308">
    <cfRule type="iconSet" priority="27">
      <iconSet iconSet="4TrafficLights" showValue="0" reverse="1">
        <cfvo type="percent" val="0"/>
        <cfvo type="num" val="2"/>
        <cfvo type="num" val="3"/>
        <cfvo type="num" val="4"/>
      </iconSet>
    </cfRule>
  </conditionalFormatting>
  <conditionalFormatting sqref="R310">
    <cfRule type="iconSet" priority="26">
      <iconSet iconSet="4TrafficLights" showValue="0" reverse="1">
        <cfvo type="percent" val="0"/>
        <cfvo type="num" val="2"/>
        <cfvo type="num" val="3"/>
        <cfvo type="num" val="4"/>
      </iconSet>
    </cfRule>
  </conditionalFormatting>
  <conditionalFormatting sqref="R312">
    <cfRule type="iconSet" priority="25">
      <iconSet iconSet="4TrafficLights" showValue="0" reverse="1">
        <cfvo type="percent" val="0"/>
        <cfvo type="num" val="2"/>
        <cfvo type="num" val="3"/>
        <cfvo type="num" val="4"/>
      </iconSet>
    </cfRule>
  </conditionalFormatting>
  <conditionalFormatting sqref="R313">
    <cfRule type="iconSet" priority="24">
      <iconSet iconSet="4TrafficLights" showValue="0" reverse="1">
        <cfvo type="percent" val="0"/>
        <cfvo type="num" val="2"/>
        <cfvo type="num" val="3"/>
        <cfvo type="num" val="4"/>
      </iconSet>
    </cfRule>
  </conditionalFormatting>
  <conditionalFormatting sqref="R316">
    <cfRule type="iconSet" priority="23">
      <iconSet iconSet="4TrafficLights" showValue="0" reverse="1">
        <cfvo type="percent" val="0"/>
        <cfvo type="num" val="2"/>
        <cfvo type="num" val="3"/>
        <cfvo type="num" val="4"/>
      </iconSet>
    </cfRule>
  </conditionalFormatting>
  <conditionalFormatting sqref="R319">
    <cfRule type="iconSet" priority="22">
      <iconSet iconSet="4TrafficLights" showValue="0" reverse="1">
        <cfvo type="percent" val="0"/>
        <cfvo type="num" val="2"/>
        <cfvo type="num" val="3"/>
        <cfvo type="num" val="4"/>
      </iconSet>
    </cfRule>
  </conditionalFormatting>
  <conditionalFormatting sqref="R321:R322">
    <cfRule type="iconSet" priority="21">
      <iconSet iconSet="4TrafficLights" showValue="0" reverse="1">
        <cfvo type="percent" val="0"/>
        <cfvo type="num" val="2"/>
        <cfvo type="num" val="3"/>
        <cfvo type="num" val="4"/>
      </iconSet>
    </cfRule>
  </conditionalFormatting>
  <conditionalFormatting sqref="R311">
    <cfRule type="iconSet" priority="20">
      <iconSet iconSet="4TrafficLights" showValue="0" reverse="1">
        <cfvo type="percent" val="0"/>
        <cfvo type="num" val="2"/>
        <cfvo type="num" val="3"/>
        <cfvo type="num" val="4"/>
      </iconSet>
    </cfRule>
  </conditionalFormatting>
  <conditionalFormatting sqref="R314">
    <cfRule type="iconSet" priority="19">
      <iconSet iconSet="4TrafficLights" showValue="0" reverse="1">
        <cfvo type="percent" val="0"/>
        <cfvo type="num" val="2"/>
        <cfvo type="num" val="3"/>
        <cfvo type="num" val="4"/>
      </iconSet>
    </cfRule>
  </conditionalFormatting>
  <conditionalFormatting sqref="R26">
    <cfRule type="iconSet" priority="18">
      <iconSet iconSet="4TrafficLights" showValue="0" reverse="1">
        <cfvo type="percent" val="0"/>
        <cfvo type="num" val="2"/>
        <cfvo type="num" val="3"/>
        <cfvo type="num" val="4"/>
      </iconSet>
    </cfRule>
  </conditionalFormatting>
  <conditionalFormatting sqref="R91">
    <cfRule type="iconSet" priority="17">
      <iconSet iconSet="4TrafficLights" showValue="0" reverse="1">
        <cfvo type="percent" val="0"/>
        <cfvo type="num" val="2"/>
        <cfvo type="num" val="3"/>
        <cfvo type="num" val="4"/>
      </iconSet>
    </cfRule>
  </conditionalFormatting>
  <conditionalFormatting sqref="R297">
    <cfRule type="iconSet" priority="16">
      <iconSet iconSet="4TrafficLights" showValue="0" reverse="1">
        <cfvo type="percent" val="0"/>
        <cfvo type="num" val="2"/>
        <cfvo type="num" val="3"/>
        <cfvo type="num" val="4"/>
      </iconSet>
    </cfRule>
  </conditionalFormatting>
  <conditionalFormatting sqref="R295">
    <cfRule type="iconSet" priority="15">
      <iconSet iconSet="4TrafficLights" showValue="0" reverse="1">
        <cfvo type="percent" val="0"/>
        <cfvo type="num" val="2"/>
        <cfvo type="num" val="3"/>
        <cfvo type="num" val="4"/>
      </iconSet>
    </cfRule>
  </conditionalFormatting>
  <conditionalFormatting sqref="R82">
    <cfRule type="iconSet" priority="14">
      <iconSet iconSet="4TrafficLights" showValue="0" reverse="1">
        <cfvo type="percent" val="0"/>
        <cfvo type="num" val="2"/>
        <cfvo type="num" val="3"/>
        <cfvo type="num" val="4"/>
      </iconSet>
    </cfRule>
  </conditionalFormatting>
  <conditionalFormatting sqref="R299">
    <cfRule type="iconSet" priority="13">
      <iconSet iconSet="4TrafficLights" showValue="0" reverse="1">
        <cfvo type="percent" val="0"/>
        <cfvo type="num" val="2"/>
        <cfvo type="num" val="3"/>
        <cfvo type="num" val="4"/>
      </iconSet>
    </cfRule>
  </conditionalFormatting>
  <conditionalFormatting sqref="R240">
    <cfRule type="iconSet" priority="12">
      <iconSet iconSet="4TrafficLights" showValue="0" reverse="1">
        <cfvo type="percent" val="0"/>
        <cfvo type="num" val="2"/>
        <cfvo type="num" val="3"/>
        <cfvo type="num" val="4"/>
      </iconSet>
    </cfRule>
  </conditionalFormatting>
  <conditionalFormatting sqref="R253">
    <cfRule type="iconSet" priority="11">
      <iconSet iconSet="4TrafficLights" showValue="0" reverse="1">
        <cfvo type="percent" val="0"/>
        <cfvo type="num" val="2"/>
        <cfvo type="num" val="3"/>
        <cfvo type="num" val="4"/>
      </iconSet>
    </cfRule>
  </conditionalFormatting>
  <conditionalFormatting sqref="R160">
    <cfRule type="iconSet" priority="10">
      <iconSet iconSet="4TrafficLights" showValue="0" reverse="1">
        <cfvo type="percent" val="0"/>
        <cfvo type="num" val="2"/>
        <cfvo type="num" val="3"/>
        <cfvo type="num" val="4"/>
      </iconSet>
    </cfRule>
  </conditionalFormatting>
  <conditionalFormatting sqref="R115">
    <cfRule type="iconSet" priority="9">
      <iconSet iconSet="4TrafficLights" showValue="0" reverse="1">
        <cfvo type="percent" val="0"/>
        <cfvo type="num" val="2"/>
        <cfvo type="num" val="3"/>
        <cfvo type="num" val="4"/>
      </iconSet>
    </cfRule>
  </conditionalFormatting>
  <conditionalFormatting sqref="R12">
    <cfRule type="iconSet" priority="8">
      <iconSet iconSet="4TrafficLights" showValue="0" reverse="1">
        <cfvo type="percent" val="0"/>
        <cfvo type="num" val="2"/>
        <cfvo type="num" val="3"/>
        <cfvo type="num" val="4"/>
      </iconSet>
    </cfRule>
  </conditionalFormatting>
  <conditionalFormatting sqref="R77">
    <cfRule type="iconSet" priority="7">
      <iconSet iconSet="4TrafficLights" showValue="0" reverse="1">
        <cfvo type="percent" val="0"/>
        <cfvo type="num" val="2"/>
        <cfvo type="num" val="3"/>
        <cfvo type="num" val="4"/>
      </iconSet>
    </cfRule>
  </conditionalFormatting>
  <conditionalFormatting sqref="R272">
    <cfRule type="iconSet" priority="6">
      <iconSet iconSet="4TrafficLights" showValue="0" reverse="1">
        <cfvo type="percent" val="0"/>
        <cfvo type="num" val="2"/>
        <cfvo type="num" val="3"/>
        <cfvo type="num" val="4"/>
      </iconSet>
    </cfRule>
  </conditionalFormatting>
  <conditionalFormatting sqref="R279">
    <cfRule type="iconSet" priority="5">
      <iconSet iconSet="4TrafficLights" showValue="0" reverse="1">
        <cfvo type="percent" val="0"/>
        <cfvo type="num" val="2"/>
        <cfvo type="num" val="3"/>
        <cfvo type="num" val="4"/>
      </iconSet>
    </cfRule>
  </conditionalFormatting>
  <conditionalFormatting sqref="R106">
    <cfRule type="iconSet" priority="4">
      <iconSet iconSet="4TrafficLights" showValue="0" reverse="1">
        <cfvo type="percent" val="0"/>
        <cfvo type="num" val="2"/>
        <cfvo type="num" val="3"/>
        <cfvo type="num" val="4"/>
      </iconSet>
    </cfRule>
  </conditionalFormatting>
  <conditionalFormatting sqref="R285">
    <cfRule type="iconSet" priority="3">
      <iconSet iconSet="4TrafficLights" showValue="0" reverse="1">
        <cfvo type="percent" val="0"/>
        <cfvo type="num" val="2"/>
        <cfvo type="num" val="3"/>
        <cfvo type="num" val="4"/>
      </iconSet>
    </cfRule>
  </conditionalFormatting>
  <conditionalFormatting sqref="R37">
    <cfRule type="iconSet" priority="1">
      <iconSet iconSet="4TrafficLights" showValue="0" reverse="1">
        <cfvo type="percent" val="0"/>
        <cfvo type="num" val="2"/>
        <cfvo type="num" val="3"/>
        <cfvo type="num" val="4"/>
      </iconSet>
    </cfRule>
  </conditionalFormatting>
  <conditionalFormatting sqref="Q62:Q63 Q60 Q49:Q58 Q5:Q19 Q22:Q47">
    <cfRule type="iconSet" priority="4100">
      <iconSet iconSet="4TrafficLights" showValue="0" reverse="1">
        <cfvo type="percent" val="0"/>
        <cfvo type="num" val="2"/>
        <cfvo type="num" val="3"/>
        <cfvo type="num" val="4"/>
      </iconSet>
    </cfRule>
  </conditionalFormatting>
  <conditionalFormatting sqref="P66:P69">
    <cfRule type="iconSet" priority="4330">
      <iconSet iconSet="4TrafficLights" showValue="0" reverse="1">
        <cfvo type="percent" val="0"/>
        <cfvo type="num" val="2"/>
        <cfvo type="num" val="3"/>
        <cfvo type="num" val="4"/>
      </iconSet>
    </cfRule>
  </conditionalFormatting>
  <conditionalFormatting sqref="M134:M174">
    <cfRule type="iconSet" priority="7578">
      <iconSet iconSet="4TrafficLights" showValue="0" reverse="1">
        <cfvo type="percent" val="0"/>
        <cfvo type="num" val="2"/>
        <cfvo type="num" val="3"/>
        <cfvo type="num" val="4"/>
      </iconSet>
    </cfRule>
  </conditionalFormatting>
  <conditionalFormatting sqref="P176:P186 P174 P166:P172 P164">
    <cfRule type="iconSet" priority="7862">
      <iconSet iconSet="4TrafficLights" showValue="0" reverse="1">
        <cfvo type="percent" val="0"/>
        <cfvo type="num" val="2"/>
        <cfvo type="num" val="3"/>
        <cfvo type="num" val="4"/>
      </iconSet>
    </cfRule>
  </conditionalFormatting>
  <conditionalFormatting sqref="P321:P322 P281:P302 P271:P279 P267:P269 P255:P265 P247:P253 P244:P245 P232:P242 P227:P230 P223:P225 P216:P221 P199:P214 P197 P189:P195 P304:P319">
    <cfRule type="iconSet" priority="12277">
      <iconSet iconSet="4TrafficLights" showValue="0" reverse="1">
        <cfvo type="percent" val="0"/>
        <cfvo type="num" val="2"/>
        <cfvo type="num" val="3"/>
        <cfvo type="num" val="4"/>
      </iconSet>
    </cfRule>
  </conditionalFormatting>
  <conditionalFormatting sqref="Q321:Q322 Q281:Q302 Q271:Q279 Q267:Q269 Q255:Q265 Q247:Q253 Q244:Q245 Q232:Q242 Q227:Q230 Q223:Q225 Q216:Q221 Q199:Q214 Q197 Q188:Q195 Q176:Q186 Q174 Q166:Q172 Q164 Q156:Q162 Q140:Q154 Q126:Q132 Q106:Q124 Q101:Q104 Q71:Q75 Q66:Q69 Q134:Q138 Q304:Q319 Q77:Q99">
    <cfRule type="iconSet" priority="12292">
      <iconSet iconSet="4TrafficLights" showValue="0" reverse="1">
        <cfvo type="percent" val="0"/>
        <cfvo type="num" val="2"/>
        <cfvo type="num" val="3"/>
        <cfvo type="num" val="4"/>
      </iconSet>
    </cfRule>
  </conditionalFormatting>
  <conditionalFormatting sqref="P320:S320 P303:S303 P280:S280 P270:S270 P266:S266 P254:S254 P246:S246 P243:S243 P231:S231 P226:S226 P222:S222 P215:S215 P198:S198 P196:S196 P187:S187 P175:S175 P173:S173 P165:S165 P163:S163 P155:S155 P139:S139 P125:S125 P105:S105 P100:S100 P76:S76 P65:S65 Q70:S70 R104:S104 P133:S133 R282:S282 R67:S67 R74:S74 P188 R276:S276 S275 S66 S71:S73 S75 R79:S79 S77:S78 R81:S81 S80 R84:S84 R92:S93 R96:S97 S94:S95 S68:S69 S98:S99 S101:S103 S106:S107 R108:S114 R134:S138 R126:S132 R164:S164 R174:S174 R176:S186 R197:S197 R216:S221 R223:S225 R247:S252 R244:S245 R227:S230 R199:S214 R267:S269 R274:S274 S271:S273 R278:S278 S277 S281 R284:S284 S283 R289:S289 R291:S291 S290 R293:S293 S292 R300:S301 S302 S304 R309:S309 S308 R315:S315 R317:S318 S316 S319 S321:S322 R255:S265 S310:S314 S85:S91 R188:S195 S82:S83 S294:S299 R156:S159 R232:S239 R305:S307 R166:S172 R241:S242 S240 S253 R161:S162 S160 R116:S124 S115 S279 R140:S154 S285:S288">
    <cfRule type="iconSet" priority="12420">
      <iconSet iconSet="4TrafficLights" showValue="0" reverse="1">
        <cfvo type="percent" val="0"/>
        <cfvo type="num" val="2"/>
        <cfvo type="num" val="3"/>
        <cfvo type="num" val="4"/>
      </iconSet>
    </cfRule>
  </conditionalFormatting>
  <conditionalFormatting sqref="M175:N175 M132:N133 M107:N107 M79:N79 M68:N68 N65:N67 N69:N78 M81:N81 N80 M84:N84 N82:N83 M93:N93 N85:N92 M96:N96 N94:N95 N97:N106 N108:N131 N134:N174 N176:N181 M182:N322">
    <cfRule type="iconSet" priority="12529">
      <iconSet iconSet="4TrafficLights" showValue="0" reverse="1">
        <cfvo type="percent" val="0"/>
        <cfvo type="num" val="2"/>
        <cfvo type="num" val="3"/>
        <cfvo type="num" val="4"/>
      </iconSet>
    </cfRule>
  </conditionalFormatting>
  <conditionalFormatting sqref="K65:L322 O65:O322 K3:S4 K64:S64 K5:P19 K20:S21 K22:P47 R24:S25 K59:S59 K49:P58 R49:S50 K61:S61 K60:P60 R60:S60 K62:P63 R13:S13 S14:S19 S22:S23 R30:S30 R38:S40 R42:S42 S41 R45:S45 S43:S44 R54:S54 S55:S58 S62:S63 S46:S47 S51:S53 S26:S29 S5:S12 K48:S48 S31:S37">
    <cfRule type="iconSet" priority="12549">
      <iconSet iconSet="4TrafficLights" showValue="0" reverse="1">
        <cfvo type="percent" val="0"/>
        <cfvo type="num" val="2"/>
        <cfvo type="num" val="3"/>
        <cfvo type="num" val="4"/>
      </iconSet>
    </cfRule>
  </conditionalFormatting>
  <conditionalFormatting sqref="I3:I322">
    <cfRule type="iconSet" priority="12582">
      <iconSet showValue="0" reverse="1">
        <cfvo type="percent" val="0"/>
        <cfvo type="num" val="1" gte="0"/>
        <cfvo type="num" val="2" gte="0"/>
      </iconSet>
    </cfRule>
  </conditionalFormatting>
  <conditionalFormatting sqref="J3:J322">
    <cfRule type="iconSet" priority="12583">
      <iconSet showValue="0" reverse="1">
        <cfvo type="percent" val="0"/>
        <cfvo type="num" val="1" gte="0"/>
        <cfvo type="num" val="2" gte="0"/>
      </iconSet>
    </cfRule>
  </conditionalFormatting>
  <dataValidations xWindow="541" yWindow="805" count="11">
    <dataValidation type="list" allowBlank="1" showInputMessage="1" showErrorMessage="1" promptTitle="Aide à la saisie" prompt="Ce champ est utilisé pour filtrer les actions de publipostage concernant la notifiation de la décision au télétravailleur et à son encadrant. _x000a__x000a_" sqref="Q3:R4 P3:P322" xr:uid="{00000000-0002-0000-0300-000000000000}">
      <formula1>Etatmailing1</formula1>
    </dataValidation>
    <dataValidation allowBlank="1" showInputMessage="1" showErrorMessage="1" promptTitle="Précision d'affichage" prompt="Avis de l'encadrant n+2_x000a_Vert =&gt; Favorable_x000a_Jaune =&gt; Sous réserve_x000a_Rouge =&gt; Défavorable_x000a_Vide =&gt; Non renseigné_x000a_" sqref="L2:L63" xr:uid="{00000000-0002-0000-0300-000005000000}"/>
    <dataValidation allowBlank="1" showInputMessage="1" showErrorMessage="1" promptTitle="Précision d'affichage" prompt="Avis de l'encadrant n+1_x000a_Vert =&gt; Favorable_x000a_Jaune =&gt; Sous réserve_x000a_Rouge =&gt; Défavorable_x000a__x000a_" sqref="K2:K319 L64:L322" xr:uid="{00000000-0002-0000-0300-000004000000}"/>
    <dataValidation allowBlank="1" showInputMessage="1" showErrorMessage="1" promptTitle="Précision d'affichage" prompt="Vert =&gt; Le dossier comporte l'ensemble des PJ spécifiées dans l'onglet #2_x000a_Rouge =&gt; Le dossier est incomplet. _x000a__x000a_L'information est réccupérée automatiquement. Ne rien saisir." sqref="I2:I322" xr:uid="{00000000-0002-0000-0300-000002000000}"/>
    <dataValidation allowBlank="1" showInputMessage="1" showErrorMessage="1" promptTitle="Précision d'affichage" prompt="Vert =&gt; Les contrôles de base n'ont relevé aucune anomalies_x000a_Rouge =&gt; Des anomalies ont été identifiées ou les informations saisies ne permettent pas d'effectuer tous les contrôles. " sqref="J2:J322" xr:uid="{00000000-0002-0000-0300-000003000000}"/>
    <dataValidation allowBlank="1" showInputMessage="1" showErrorMessage="1" promptTitle="Précision d'affichage" prompt="Etat final de la demande. _x000a__x000a_Pour etre en &quot;vert&quot;, un demandeur doit :_x000a_- avoir un dossier complet (PJ) _x000a_- avoir un avis positif de la commission_x000a_" sqref="O2:O322" xr:uid="{00000000-0002-0000-0300-000008000000}"/>
    <dataValidation type="list" allowBlank="1" showInputMessage="1" showErrorMessage="1" promptTitle="Aide à la saisie" prompt="Ce champ est libre. Vous pouvez y inscrire la valeur que vous souhaitez. Il a comme utilité de pouvoir être filtré lors d'un publipostage. " sqref="S3:S322" xr:uid="{00000000-0002-0000-0300-000001000000}">
      <formula1>Etatmailing2</formula1>
    </dataValidation>
    <dataValidation allowBlank="1" showInputMessage="1" showErrorMessage="1" promptTitle="Aide à la saisie" prompt="Premier avis de la commission _x000a_1 =&gt; Favorable_x000a_2 =&gt; Sous réserve_x000a_3 =&gt; Refusé_x000a_4 =&gt; Demande annulée_x000a__x000a_Note : la valeur saisie est automatiquement transformée en indicateur visuel. " sqref="M3:M322" xr:uid="{00000000-0002-0000-0300-000006000000}"/>
    <dataValidation allowBlank="1" showInputMessage="1" showErrorMessage="1" promptTitle="Aide à la saisie" prompt="Avis final de la commission _x000a_1 =&gt; Favorable_x000a_2 =&gt; Sous réserve_x000a_3 =&gt; Refusé_x000a_4 =&gt; Demande annulée_x000a__x000a_Note : la valeur saisie est automatiquement transformée en indicateur visuel. " sqref="N3:N322" xr:uid="{00000000-0002-0000-0300-000007000000}"/>
    <dataValidation allowBlank="1" showInputMessage="1" showErrorMessage="1" promptTitle="Aide à la saisie" prompt="Le champ commentaire est intégré à la notification de décision à la suite d'une commission. Il peut servir à demander des pièces supplémentaires ou à justifier un refu. " sqref="T3:T322" xr:uid="{00000000-0002-0000-0300-000009000000}"/>
    <dataValidation type="list" allowBlank="1" showInputMessage="1" showErrorMessage="1" sqref="Q5:R322" xr:uid="{360DBD7C-8568-442C-AC28-DD3D61C5F7B6}">
      <formula1>"Oui,Non"</formula1>
    </dataValidation>
  </dataValidations>
  <pageMargins left="0.23622047244094491" right="0.23622047244094491" top="0.74803149606299213" bottom="0.74803149606299213" header="0.31496062992125984" footer="0.31496062992125984"/>
  <pageSetup paperSize="8" scale="14" fitToHeight="2" orientation="landscape" horizontalDpi="4294967293"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theme="9"/>
    <pageSetUpPr fitToPage="1"/>
  </sheetPr>
  <dimension ref="A1:T325"/>
  <sheetViews>
    <sheetView showGridLines="0" workbookViewId="0">
      <pane xSplit="3" ySplit="2" topLeftCell="D39" activePane="bottomRight" state="frozen"/>
      <selection pane="topRight" activeCell="D1" sqref="D1"/>
      <selection pane="bottomLeft" activeCell="A3" sqref="A3"/>
      <selection pane="bottomRight" activeCell="H4" sqref="H4"/>
    </sheetView>
  </sheetViews>
  <sheetFormatPr baseColWidth="10" defaultRowHeight="24" customHeight="1" x14ac:dyDescent="0.25"/>
  <cols>
    <col min="1" max="1" width="7.7109375" style="2" customWidth="1"/>
    <col min="2" max="2" width="29.140625" style="1" customWidth="1"/>
    <col min="3" max="3" width="23.28515625" style="1" customWidth="1"/>
    <col min="4" max="4" width="28.85546875" style="1" bestFit="1" customWidth="1"/>
    <col min="5" max="5" width="20" style="1" bestFit="1" customWidth="1"/>
    <col min="6" max="6" width="22.7109375" style="1" bestFit="1" customWidth="1"/>
    <col min="7" max="7" width="28.85546875" style="1" bestFit="1" customWidth="1"/>
    <col min="8" max="9" width="15.42578125" customWidth="1"/>
    <col min="10" max="10" width="17.28515625" customWidth="1"/>
    <col min="11" max="11" width="13.140625" customWidth="1"/>
    <col min="12" max="12" width="39.28515625" style="6" bestFit="1" customWidth="1"/>
    <col min="13" max="19" width="15.7109375" style="6" customWidth="1"/>
    <col min="20" max="20" width="11.42578125" hidden="1" customWidth="1"/>
  </cols>
  <sheetData>
    <row r="1" spans="1:20" ht="24" customHeight="1" x14ac:dyDescent="0.25">
      <c r="A1" s="218"/>
      <c r="B1" s="406" t="s">
        <v>76</v>
      </c>
      <c r="C1" s="406"/>
      <c r="D1" s="406"/>
      <c r="E1" s="58"/>
      <c r="F1" s="58"/>
      <c r="G1" s="58"/>
      <c r="H1" s="408" t="s">
        <v>144</v>
      </c>
      <c r="I1" s="408"/>
      <c r="J1" s="408"/>
      <c r="K1" s="408"/>
      <c r="L1" s="409" t="s">
        <v>155</v>
      </c>
      <c r="M1" s="409"/>
      <c r="N1" s="409"/>
      <c r="O1" s="409"/>
      <c r="P1" s="409"/>
      <c r="Q1" s="409"/>
      <c r="R1" s="409"/>
      <c r="S1" s="409"/>
    </row>
    <row r="2" spans="1:20" ht="24" customHeight="1" x14ac:dyDescent="0.25">
      <c r="A2" s="158" t="s">
        <v>236</v>
      </c>
      <c r="B2" s="145" t="s">
        <v>0</v>
      </c>
      <c r="C2" s="145" t="s">
        <v>1</v>
      </c>
      <c r="D2" s="145" t="s">
        <v>2</v>
      </c>
      <c r="E2" s="145" t="s">
        <v>111</v>
      </c>
      <c r="F2" s="145" t="s">
        <v>112</v>
      </c>
      <c r="G2" s="145" t="s">
        <v>113</v>
      </c>
      <c r="H2" s="146" t="s">
        <v>3360</v>
      </c>
      <c r="I2" s="146" t="s">
        <v>143</v>
      </c>
      <c r="J2" s="145" t="s">
        <v>145</v>
      </c>
      <c r="K2" s="145" t="s">
        <v>146</v>
      </c>
      <c r="L2" s="146" t="s">
        <v>147</v>
      </c>
      <c r="M2" s="146" t="s">
        <v>148</v>
      </c>
      <c r="N2" s="146" t="s">
        <v>149</v>
      </c>
      <c r="O2" s="146" t="s">
        <v>150</v>
      </c>
      <c r="P2" s="146" t="s">
        <v>151</v>
      </c>
      <c r="Q2" s="146" t="s">
        <v>152</v>
      </c>
      <c r="R2" s="146" t="s">
        <v>153</v>
      </c>
      <c r="S2" s="146" t="s">
        <v>154</v>
      </c>
      <c r="T2" s="261" t="s">
        <v>3361</v>
      </c>
    </row>
    <row r="3" spans="1:20" ht="24" hidden="1" customHeight="1" x14ac:dyDescent="0.25">
      <c r="A3" s="90">
        <v>0</v>
      </c>
      <c r="B3" s="51" t="str">
        <f>IFERROR(IF(VLOOKUP(T_Equipement[[#This Row],[NumL]],T_suiviDi[#Data],COLUMN(T_suiviDi[Nom]),FALSE)&lt;&gt;"",VLOOKUP(T_Equipement[[#This Row],[NumL]],T_suiviDi[#Data],COLUMN(T_suiviDi[Nom]),FALSE),""),"")</f>
        <v/>
      </c>
      <c r="C3" s="51" t="str">
        <f>IFERROR(IF(VLOOKUP(T_Equipement[[#This Row],[NumL]],T_suiviDi[#Data],COLUMN(T_suiviDi[Prénom]),FALSE)&lt;&gt;"",VLOOKUP(T_Equipement[[#This Row],[NumL]],T_suiviDi[#Data],COLUMN(T_suiviDi[Prénom]),FALSE),""),"")</f>
        <v/>
      </c>
      <c r="D3" s="52" t="str">
        <f>IFERROR(IF(VLOOKUP(T_Equipement[[#This Row],[NumL]],T_suiviDi[#Data],COLUMN(T_suiviDi[Email]),FALSE)&lt;&gt;"",VLOOKUP(T_Equipement[[#This Row],[NumL]],T_suiviDi[#Data],COLUMN(T_suiviDi[Email]),FALSE),""),"")</f>
        <v/>
      </c>
      <c r="E3" s="53" t="str">
        <f>IFERROR(IF(VLOOKUP(T_Equipement[[#This Row],[NumL]],T_suiviDi[#Data],COLUMN(T_suiviDi[Nom1]),FALSE)&lt;&gt;"",VLOOKUP(T_Equipement[[#This Row],[NumL]],T_suiviDi[#Data],COLUMN(T_suiviDi[Nom1]),FALSE),""),"")</f>
        <v/>
      </c>
      <c r="F3" s="53" t="str">
        <f>IFERROR(IF(VLOOKUP(T_Equipement[[#This Row],[NumL]],T_suiviDi[#Data],COLUMN(T_suiviDi[Prénom1]),FALSE)&lt;&gt;"",VLOOKUP(T_Equipement[[#This Row],[NumL]],T_suiviDi[#Data],COLUMN(T_suiviDi[Prénom1]),FALSE),""),"")</f>
        <v/>
      </c>
      <c r="G3" s="53" t="str">
        <f>IFERROR(IF(VLOOKUP(T_Equipement[[#This Row],[NumL]],T_suiviDi[#Data],COLUMN(T_suiviDi[Email1]),FALSE)&lt;&gt;"",VLOOKUP(T_Equipement[[#This Row],[NumL]],T_suiviDi[#Data],COLUMN(T_suiviDi[Email1]),FALSE),""),"")</f>
        <v/>
      </c>
      <c r="H3" s="59"/>
      <c r="I3" s="61"/>
      <c r="J3" s="60"/>
      <c r="K3" s="61"/>
      <c r="L3" s="62"/>
      <c r="M3" s="59"/>
      <c r="N3" s="59"/>
      <c r="O3" s="59"/>
      <c r="P3" s="59"/>
      <c r="Q3" s="59"/>
      <c r="R3" s="59"/>
      <c r="S3" s="61"/>
      <c r="T3" s="260" t="s">
        <v>311</v>
      </c>
    </row>
    <row r="4" spans="1:20" ht="24" customHeight="1" x14ac:dyDescent="0.25">
      <c r="A4" s="90">
        <v>278</v>
      </c>
      <c r="B4" s="51" t="str">
        <f>IFERROR(IF(VLOOKUP(T_Equipement[[#This Row],[NumL]],T_suiviDi[#Data],COLUMN(T_suiviDi[Nom]),FALSE)&lt;&gt;"",VLOOKUP(T_Equipement[[#This Row],[NumL]],T_suiviDi[#Data],COLUMN(T_suiviDi[Nom]),FALSE),""),"")</f>
        <v/>
      </c>
      <c r="C4" s="51" t="str">
        <f>IFERROR(IF(VLOOKUP(T_Equipement[[#This Row],[NumL]],T_suiviDi[#Data],COLUMN(T_suiviDi[Prénom]),FALSE)&lt;&gt;"",VLOOKUP(T_Equipement[[#This Row],[NumL]],T_suiviDi[#Data],COLUMN(T_suiviDi[Prénom]),FALSE),""),"")</f>
        <v/>
      </c>
      <c r="D4" s="52" t="str">
        <f>IFERROR(IF(VLOOKUP(T_Equipement[[#This Row],[NumL]],T_suiviDi[#Data],COLUMN(T_suiviDi[Email]),FALSE)&lt;&gt;"",VLOOKUP(T_Equipement[[#This Row],[NumL]],T_suiviDi[#Data],COLUMN(T_suiviDi[Email]),FALSE),""),"")</f>
        <v/>
      </c>
      <c r="E4" s="53" t="str">
        <f>IFERROR(IF(VLOOKUP(T_Equipement[[#This Row],[NumL]],T_suiviDi[#Data],COLUMN(T_suiviDi[Nom1]),FALSE)&lt;&gt;"",VLOOKUP(T_Equipement[[#This Row],[NumL]],T_suiviDi[#Data],COLUMN(T_suiviDi[Nom1]),FALSE),""),"")</f>
        <v/>
      </c>
      <c r="F4" s="53" t="str">
        <f>IFERROR(IF(VLOOKUP(T_Equipement[[#This Row],[NumL]],T_suiviDi[#Data],COLUMN(T_suiviDi[Prénom1]),FALSE)&lt;&gt;"",VLOOKUP(T_Equipement[[#This Row],[NumL]],T_suiviDi[#Data],COLUMN(T_suiviDi[Prénom1]),FALSE),""),"")</f>
        <v/>
      </c>
      <c r="G4" s="53" t="str">
        <f>IFERROR(IF(VLOOKUP(T_Equipement[[#This Row],[NumL]],T_suiviDi[#Data],COLUMN(T_suiviDi[Email1]),FALSE)&lt;&gt;"",VLOOKUP(T_Equipement[[#This Row],[NumL]],T_suiviDi[#Data],COLUMN(T_suiviDi[Email1]),FALSE),""),"")</f>
        <v/>
      </c>
      <c r="H4" s="59" t="s">
        <v>3278</v>
      </c>
      <c r="I4" s="61"/>
      <c r="J4" s="60" t="s">
        <v>3045</v>
      </c>
      <c r="K4" s="61"/>
      <c r="L4" s="62"/>
      <c r="M4" s="59"/>
      <c r="N4" s="59"/>
      <c r="O4" s="59"/>
      <c r="P4" s="59"/>
      <c r="Q4" s="59"/>
      <c r="R4" s="59"/>
      <c r="S4" s="61"/>
      <c r="T4" s="260" t="e">
        <f>VLOOKUP(T_Equipement[[#This Row],[NumL]],T_TraitDi[#Data],COLUMN(#REF!),FALSE)</f>
        <v>#REF!</v>
      </c>
    </row>
    <row r="5" spans="1:20" ht="24" customHeight="1" x14ac:dyDescent="0.25">
      <c r="A5" s="90">
        <v>68</v>
      </c>
      <c r="B5" s="51" t="str">
        <f>IFERROR(IF(VLOOKUP(T_Equipement[[#This Row],[NumL]],T_suiviDi[#Data],COLUMN(T_suiviDi[Nom]),FALSE)&lt;&gt;"",VLOOKUP(T_Equipement[[#This Row],[NumL]],T_suiviDi[#Data],COLUMN(T_suiviDi[Nom]),FALSE),""),"")</f>
        <v/>
      </c>
      <c r="C5" s="51" t="str">
        <f>IFERROR(IF(VLOOKUP(T_Equipement[[#This Row],[NumL]],T_suiviDi[#Data],COLUMN(T_suiviDi[Prénom]),FALSE)&lt;&gt;"",VLOOKUP(T_Equipement[[#This Row],[NumL]],T_suiviDi[#Data],COLUMN(T_suiviDi[Prénom]),FALSE),""),"")</f>
        <v/>
      </c>
      <c r="D5" s="52" t="str">
        <f>IFERROR(IF(VLOOKUP(T_Equipement[[#This Row],[NumL]],T_suiviDi[#Data],COLUMN(T_suiviDi[Email]),FALSE)&lt;&gt;"",VLOOKUP(T_Equipement[[#This Row],[NumL]],T_suiviDi[#Data],COLUMN(T_suiviDi[Email]),FALSE),""),"")</f>
        <v/>
      </c>
      <c r="E5" s="53" t="str">
        <f>IFERROR(IF(VLOOKUP(T_Equipement[[#This Row],[NumL]],T_suiviDi[#Data],COLUMN(T_suiviDi[Nom1]),FALSE)&lt;&gt;"",VLOOKUP(T_Equipement[[#This Row],[NumL]],T_suiviDi[#Data],COLUMN(T_suiviDi[Nom1]),FALSE),""),"")</f>
        <v/>
      </c>
      <c r="F5" s="53" t="str">
        <f>IFERROR(IF(VLOOKUP(T_Equipement[[#This Row],[NumL]],T_suiviDi[#Data],COLUMN(T_suiviDi[Prénom1]),FALSE)&lt;&gt;"",VLOOKUP(T_Equipement[[#This Row],[NumL]],T_suiviDi[#Data],COLUMN(T_suiviDi[Prénom1]),FALSE),""),"")</f>
        <v/>
      </c>
      <c r="G5" s="53" t="str">
        <f>IFERROR(IF(VLOOKUP(T_Equipement[[#This Row],[NumL]],T_suiviDi[#Data],COLUMN(T_suiviDi[Email1]),FALSE)&lt;&gt;"",VLOOKUP(T_Equipement[[#This Row],[NumL]],T_suiviDi[#Data],COLUMN(T_suiviDi[Email1]),FALSE),""),"")</f>
        <v/>
      </c>
      <c r="H5" s="59" t="s">
        <v>3362</v>
      </c>
      <c r="I5" s="61"/>
      <c r="J5" s="60" t="s">
        <v>3046</v>
      </c>
      <c r="K5" s="61"/>
      <c r="L5" s="62"/>
      <c r="M5" s="59"/>
      <c r="N5" s="59"/>
      <c r="O5" s="59"/>
      <c r="P5" s="59"/>
      <c r="Q5" s="59"/>
      <c r="R5" s="59"/>
      <c r="S5" s="61"/>
      <c r="T5" s="260" t="e">
        <f>VLOOKUP(T_Equipement[[#This Row],[NumL]],T_TraitDi[#Data],COLUMN(#REF!),FALSE)</f>
        <v>#REF!</v>
      </c>
    </row>
    <row r="6" spans="1:20" ht="24" customHeight="1" x14ac:dyDescent="0.25">
      <c r="A6" s="90">
        <v>251</v>
      </c>
      <c r="B6" s="51" t="str">
        <f>IFERROR(IF(VLOOKUP(T_Equipement[[#This Row],[NumL]],T_suiviDi[#Data],COLUMN(T_suiviDi[Nom]),FALSE)&lt;&gt;"",VLOOKUP(T_Equipement[[#This Row],[NumL]],T_suiviDi[#Data],COLUMN(T_suiviDi[Nom]),FALSE),""),"")</f>
        <v/>
      </c>
      <c r="C6" s="51" t="str">
        <f>IFERROR(IF(VLOOKUP(T_Equipement[[#This Row],[NumL]],T_suiviDi[#Data],COLUMN(T_suiviDi[Prénom]),FALSE)&lt;&gt;"",VLOOKUP(T_Equipement[[#This Row],[NumL]],T_suiviDi[#Data],COLUMN(T_suiviDi[Prénom]),FALSE),""),"")</f>
        <v/>
      </c>
      <c r="D6" s="52" t="str">
        <f>IFERROR(IF(VLOOKUP(T_Equipement[[#This Row],[NumL]],T_suiviDi[#Data],COLUMN(T_suiviDi[Email]),FALSE)&lt;&gt;"",VLOOKUP(T_Equipement[[#This Row],[NumL]],T_suiviDi[#Data],COLUMN(T_suiviDi[Email]),FALSE),""),"")</f>
        <v/>
      </c>
      <c r="E6" s="53" t="str">
        <f>IFERROR(IF(VLOOKUP(T_Equipement[[#This Row],[NumL]],T_suiviDi[#Data],COLUMN(T_suiviDi[Nom1]),FALSE)&lt;&gt;"",VLOOKUP(T_Equipement[[#This Row],[NumL]],T_suiviDi[#Data],COLUMN(T_suiviDi[Nom1]),FALSE),""),"")</f>
        <v/>
      </c>
      <c r="F6" s="53" t="str">
        <f>IFERROR(IF(VLOOKUP(T_Equipement[[#This Row],[NumL]],T_suiviDi[#Data],COLUMN(T_suiviDi[Prénom1]),FALSE)&lt;&gt;"",VLOOKUP(T_Equipement[[#This Row],[NumL]],T_suiviDi[#Data],COLUMN(T_suiviDi[Prénom1]),FALSE),""),"")</f>
        <v/>
      </c>
      <c r="G6" s="53" t="str">
        <f>IFERROR(IF(VLOOKUP(T_Equipement[[#This Row],[NumL]],T_suiviDi[#Data],COLUMN(T_suiviDi[Email1]),FALSE)&lt;&gt;"",VLOOKUP(T_Equipement[[#This Row],[NumL]],T_suiviDi[#Data],COLUMN(T_suiviDi[Email1]),FALSE),""),"")</f>
        <v/>
      </c>
      <c r="H6" s="59" t="s">
        <v>3278</v>
      </c>
      <c r="I6" s="251">
        <v>44165</v>
      </c>
      <c r="J6" s="60" t="s">
        <v>3047</v>
      </c>
      <c r="K6" s="61"/>
      <c r="L6" s="62"/>
      <c r="M6" s="59"/>
      <c r="N6" s="59"/>
      <c r="O6" s="59"/>
      <c r="P6" s="59"/>
      <c r="Q6" s="59"/>
      <c r="R6" s="59"/>
      <c r="S6" s="61"/>
      <c r="T6" s="260" t="e">
        <f>VLOOKUP(T_Equipement[[#This Row],[NumL]],T_TraitDi[#Data],COLUMN(#REF!),FALSE)</f>
        <v>#REF!</v>
      </c>
    </row>
    <row r="7" spans="1:20" ht="24" customHeight="1" x14ac:dyDescent="0.25">
      <c r="A7" s="90">
        <v>170</v>
      </c>
      <c r="B7" s="51" t="str">
        <f>IFERROR(IF(VLOOKUP(T_Equipement[[#This Row],[NumL]],T_suiviDi[#Data],COLUMN(T_suiviDi[Nom]),FALSE)&lt;&gt;"",VLOOKUP(T_Equipement[[#This Row],[NumL]],T_suiviDi[#Data],COLUMN(T_suiviDi[Nom]),FALSE),""),"")</f>
        <v/>
      </c>
      <c r="C7" s="51" t="str">
        <f>IFERROR(IF(VLOOKUP(T_Equipement[[#This Row],[NumL]],T_suiviDi[#Data],COLUMN(T_suiviDi[Prénom]),FALSE)&lt;&gt;"",VLOOKUP(T_Equipement[[#This Row],[NumL]],T_suiviDi[#Data],COLUMN(T_suiviDi[Prénom]),FALSE),""),"")</f>
        <v/>
      </c>
      <c r="D7" s="52" t="str">
        <f>IFERROR(IF(VLOOKUP(T_Equipement[[#This Row],[NumL]],T_suiviDi[#Data],COLUMN(T_suiviDi[Email]),FALSE)&lt;&gt;"",VLOOKUP(T_Equipement[[#This Row],[NumL]],T_suiviDi[#Data],COLUMN(T_suiviDi[Email]),FALSE),""),"")</f>
        <v/>
      </c>
      <c r="E7" s="53" t="str">
        <f>IFERROR(IF(VLOOKUP(T_Equipement[[#This Row],[NumL]],T_suiviDi[#Data],COLUMN(T_suiviDi[Nom1]),FALSE)&lt;&gt;"",VLOOKUP(T_Equipement[[#This Row],[NumL]],T_suiviDi[#Data],COLUMN(T_suiviDi[Nom1]),FALSE),""),"")</f>
        <v/>
      </c>
      <c r="F7" s="53" t="str">
        <f>IFERROR(IF(VLOOKUP(T_Equipement[[#This Row],[NumL]],T_suiviDi[#Data],COLUMN(T_suiviDi[Prénom1]),FALSE)&lt;&gt;"",VLOOKUP(T_Equipement[[#This Row],[NumL]],T_suiviDi[#Data],COLUMN(T_suiviDi[Prénom1]),FALSE),""),"")</f>
        <v/>
      </c>
      <c r="G7" s="53" t="str">
        <f>IFERROR(IF(VLOOKUP(T_Equipement[[#This Row],[NumL]],T_suiviDi[#Data],COLUMN(T_suiviDi[Email1]),FALSE)&lt;&gt;"",VLOOKUP(T_Equipement[[#This Row],[NumL]],T_suiviDi[#Data],COLUMN(T_suiviDi[Email1]),FALSE),""),"")</f>
        <v/>
      </c>
      <c r="H7" s="59" t="s">
        <v>3277</v>
      </c>
      <c r="I7" s="251">
        <v>44165</v>
      </c>
      <c r="J7" s="60" t="s">
        <v>3048</v>
      </c>
      <c r="K7" s="61"/>
      <c r="L7" s="62"/>
      <c r="M7" s="59"/>
      <c r="N7" s="59"/>
      <c r="O7" s="59"/>
      <c r="P7" s="59"/>
      <c r="Q7" s="59"/>
      <c r="R7" s="59"/>
      <c r="S7" s="61"/>
      <c r="T7" s="260" t="e">
        <f>VLOOKUP(T_Equipement[[#This Row],[NumL]],T_TraitDi[#Data],COLUMN(#REF!),FALSE)</f>
        <v>#REF!</v>
      </c>
    </row>
    <row r="8" spans="1:20" ht="24" customHeight="1" x14ac:dyDescent="0.25">
      <c r="A8" s="90">
        <v>213</v>
      </c>
      <c r="B8" s="51" t="str">
        <f>IFERROR(IF(VLOOKUP(T_Equipement[[#This Row],[NumL]],T_suiviDi[#Data],COLUMN(T_suiviDi[Nom]),FALSE)&lt;&gt;"",VLOOKUP(T_Equipement[[#This Row],[NumL]],T_suiviDi[#Data],COLUMN(T_suiviDi[Nom]),FALSE),""),"")</f>
        <v/>
      </c>
      <c r="C8" s="51" t="str">
        <f>IFERROR(IF(VLOOKUP(T_Equipement[[#This Row],[NumL]],T_suiviDi[#Data],COLUMN(T_suiviDi[Prénom]),FALSE)&lt;&gt;"",VLOOKUP(T_Equipement[[#This Row],[NumL]],T_suiviDi[#Data],COLUMN(T_suiviDi[Prénom]),FALSE),""),"")</f>
        <v/>
      </c>
      <c r="D8" s="52" t="str">
        <f>IFERROR(IF(VLOOKUP(T_Equipement[[#This Row],[NumL]],T_suiviDi[#Data],COLUMN(T_suiviDi[Email]),FALSE)&lt;&gt;"",VLOOKUP(T_Equipement[[#This Row],[NumL]],T_suiviDi[#Data],COLUMN(T_suiviDi[Email]),FALSE),""),"")</f>
        <v/>
      </c>
      <c r="E8" s="53" t="str">
        <f>IFERROR(IF(VLOOKUP(T_Equipement[[#This Row],[NumL]],T_suiviDi[#Data],COLUMN(T_suiviDi[Nom1]),FALSE)&lt;&gt;"",VLOOKUP(T_Equipement[[#This Row],[NumL]],T_suiviDi[#Data],COLUMN(T_suiviDi[Nom1]),FALSE),""),"")</f>
        <v/>
      </c>
      <c r="F8" s="53" t="str">
        <f>IFERROR(IF(VLOOKUP(T_Equipement[[#This Row],[NumL]],T_suiviDi[#Data],COLUMN(T_suiviDi[Prénom1]),FALSE)&lt;&gt;"",VLOOKUP(T_Equipement[[#This Row],[NumL]],T_suiviDi[#Data],COLUMN(T_suiviDi[Prénom1]),FALSE),""),"")</f>
        <v/>
      </c>
      <c r="G8" s="53" t="str">
        <f>IFERROR(IF(VLOOKUP(T_Equipement[[#This Row],[NumL]],T_suiviDi[#Data],COLUMN(T_suiviDi[Email1]),FALSE)&lt;&gt;"",VLOOKUP(T_Equipement[[#This Row],[NumL]],T_suiviDi[#Data],COLUMN(T_suiviDi[Email1]),FALSE),""),"")</f>
        <v/>
      </c>
      <c r="H8" s="59" t="s">
        <v>3277</v>
      </c>
      <c r="I8" s="251">
        <v>44165</v>
      </c>
      <c r="J8" s="60" t="s">
        <v>3049</v>
      </c>
      <c r="K8" s="61"/>
      <c r="L8" s="62"/>
      <c r="M8" s="59"/>
      <c r="N8" s="59"/>
      <c r="O8" s="59"/>
      <c r="P8" s="59"/>
      <c r="Q8" s="59"/>
      <c r="R8" s="59"/>
      <c r="S8" s="61"/>
      <c r="T8" s="260" t="e">
        <f>VLOOKUP(T_Equipement[[#This Row],[NumL]],T_TraitDi[#Data],COLUMN(#REF!),FALSE)</f>
        <v>#REF!</v>
      </c>
    </row>
    <row r="9" spans="1:20" ht="24" customHeight="1" x14ac:dyDescent="0.25">
      <c r="A9" s="90">
        <v>140</v>
      </c>
      <c r="B9" s="51" t="str">
        <f>IFERROR(IF(VLOOKUP(T_Equipement[[#This Row],[NumL]],T_suiviDi[#Data],COLUMN(T_suiviDi[Nom]),FALSE)&lt;&gt;"",VLOOKUP(T_Equipement[[#This Row],[NumL]],T_suiviDi[#Data],COLUMN(T_suiviDi[Nom]),FALSE),""),"")</f>
        <v/>
      </c>
      <c r="C9" s="51" t="str">
        <f>IFERROR(IF(VLOOKUP(T_Equipement[[#This Row],[NumL]],T_suiviDi[#Data],COLUMN(T_suiviDi[Prénom]),FALSE)&lt;&gt;"",VLOOKUP(T_Equipement[[#This Row],[NumL]],T_suiviDi[#Data],COLUMN(T_suiviDi[Prénom]),FALSE),""),"")</f>
        <v/>
      </c>
      <c r="D9" s="52" t="str">
        <f>IFERROR(IF(VLOOKUP(T_Equipement[[#This Row],[NumL]],T_suiviDi[#Data],COLUMN(T_suiviDi[Email]),FALSE)&lt;&gt;"",VLOOKUP(T_Equipement[[#This Row],[NumL]],T_suiviDi[#Data],COLUMN(T_suiviDi[Email]),FALSE),""),"")</f>
        <v/>
      </c>
      <c r="E9" s="53" t="str">
        <f>IFERROR(IF(VLOOKUP(T_Equipement[[#This Row],[NumL]],T_suiviDi[#Data],COLUMN(T_suiviDi[Nom1]),FALSE)&lt;&gt;"",VLOOKUP(T_Equipement[[#This Row],[NumL]],T_suiviDi[#Data],COLUMN(T_suiviDi[Nom1]),FALSE),""),"")</f>
        <v/>
      </c>
      <c r="F9" s="53" t="str">
        <f>IFERROR(IF(VLOOKUP(T_Equipement[[#This Row],[NumL]],T_suiviDi[#Data],COLUMN(T_suiviDi[Prénom1]),FALSE)&lt;&gt;"",VLOOKUP(T_Equipement[[#This Row],[NumL]],T_suiviDi[#Data],COLUMN(T_suiviDi[Prénom1]),FALSE),""),"")</f>
        <v/>
      </c>
      <c r="G9" s="53" t="str">
        <f>IFERROR(IF(VLOOKUP(T_Equipement[[#This Row],[NumL]],T_suiviDi[#Data],COLUMN(T_suiviDi[Email1]),FALSE)&lt;&gt;"",VLOOKUP(T_Equipement[[#This Row],[NumL]],T_suiviDi[#Data],COLUMN(T_suiviDi[Email1]),FALSE),""),"")</f>
        <v/>
      </c>
      <c r="H9" s="59" t="s">
        <v>3278</v>
      </c>
      <c r="I9" s="61"/>
      <c r="J9" s="60" t="s">
        <v>3050</v>
      </c>
      <c r="K9" s="61"/>
      <c r="L9" s="62"/>
      <c r="M9" s="59"/>
      <c r="N9" s="59"/>
      <c r="O9" s="59"/>
      <c r="P9" s="59"/>
      <c r="Q9" s="59"/>
      <c r="R9" s="59"/>
      <c r="S9" s="61"/>
      <c r="T9" s="260" t="e">
        <f>VLOOKUP(T_Equipement[[#This Row],[NumL]],T_TraitDi[#Data],COLUMN(#REF!),FALSE)</f>
        <v>#REF!</v>
      </c>
    </row>
    <row r="10" spans="1:20" ht="24" customHeight="1" x14ac:dyDescent="0.25">
      <c r="A10" s="90">
        <v>185</v>
      </c>
      <c r="B10" s="51" t="str">
        <f>IFERROR(IF(VLOOKUP(T_Equipement[[#This Row],[NumL]],T_suiviDi[#Data],COLUMN(T_suiviDi[Nom]),FALSE)&lt;&gt;"",VLOOKUP(T_Equipement[[#This Row],[NumL]],T_suiviDi[#Data],COLUMN(T_suiviDi[Nom]),FALSE),""),"")</f>
        <v/>
      </c>
      <c r="C10" s="51" t="str">
        <f>IFERROR(IF(VLOOKUP(T_Equipement[[#This Row],[NumL]],T_suiviDi[#Data],COLUMN(T_suiviDi[Prénom]),FALSE)&lt;&gt;"",VLOOKUP(T_Equipement[[#This Row],[NumL]],T_suiviDi[#Data],COLUMN(T_suiviDi[Prénom]),FALSE),""),"")</f>
        <v/>
      </c>
      <c r="D10" s="52" t="str">
        <f>IFERROR(IF(VLOOKUP(T_Equipement[[#This Row],[NumL]],T_suiviDi[#Data],COLUMN(T_suiviDi[Email]),FALSE)&lt;&gt;"",VLOOKUP(T_Equipement[[#This Row],[NumL]],T_suiviDi[#Data],COLUMN(T_suiviDi[Email]),FALSE),""),"")</f>
        <v/>
      </c>
      <c r="E10" s="53" t="str">
        <f>IFERROR(IF(VLOOKUP(T_Equipement[[#This Row],[NumL]],T_suiviDi[#Data],COLUMN(T_suiviDi[Nom1]),FALSE)&lt;&gt;"",VLOOKUP(T_Equipement[[#This Row],[NumL]],T_suiviDi[#Data],COLUMN(T_suiviDi[Nom1]),FALSE),""),"")</f>
        <v/>
      </c>
      <c r="F10" s="53" t="str">
        <f>IFERROR(IF(VLOOKUP(T_Equipement[[#This Row],[NumL]],T_suiviDi[#Data],COLUMN(T_suiviDi[Prénom1]),FALSE)&lt;&gt;"",VLOOKUP(T_Equipement[[#This Row],[NumL]],T_suiviDi[#Data],COLUMN(T_suiviDi[Prénom1]),FALSE),""),"")</f>
        <v/>
      </c>
      <c r="G10" s="53" t="str">
        <f>IFERROR(IF(VLOOKUP(T_Equipement[[#This Row],[NumL]],T_suiviDi[#Data],COLUMN(T_suiviDi[Email1]),FALSE)&lt;&gt;"",VLOOKUP(T_Equipement[[#This Row],[NumL]],T_suiviDi[#Data],COLUMN(T_suiviDi[Email1]),FALSE),""),"")</f>
        <v/>
      </c>
      <c r="H10" s="59" t="s">
        <v>3278</v>
      </c>
      <c r="I10" s="61"/>
      <c r="J10" s="60" t="s">
        <v>3051</v>
      </c>
      <c r="K10" s="61"/>
      <c r="L10" s="62"/>
      <c r="M10" s="59"/>
      <c r="N10" s="59"/>
      <c r="O10" s="59"/>
      <c r="P10" s="59"/>
      <c r="Q10" s="59"/>
      <c r="R10" s="59"/>
      <c r="S10" s="61"/>
      <c r="T10" s="260" t="e">
        <f>VLOOKUP(T_Equipement[[#This Row],[NumL]],T_TraitDi[#Data],COLUMN(#REF!),FALSE)</f>
        <v>#REF!</v>
      </c>
    </row>
    <row r="11" spans="1:20" ht="24" customHeight="1" x14ac:dyDescent="0.25">
      <c r="A11" s="90">
        <v>89</v>
      </c>
      <c r="B11" s="51" t="str">
        <f>IFERROR(IF(VLOOKUP(T_Equipement[[#This Row],[NumL]],T_suiviDi[#Data],COLUMN(T_suiviDi[Nom]),FALSE)&lt;&gt;"",VLOOKUP(T_Equipement[[#This Row],[NumL]],T_suiviDi[#Data],COLUMN(T_suiviDi[Nom]),FALSE),""),"")</f>
        <v/>
      </c>
      <c r="C11" s="51" t="str">
        <f>IFERROR(IF(VLOOKUP(T_Equipement[[#This Row],[NumL]],T_suiviDi[#Data],COLUMN(T_suiviDi[Prénom]),FALSE)&lt;&gt;"",VLOOKUP(T_Equipement[[#This Row],[NumL]],T_suiviDi[#Data],COLUMN(T_suiviDi[Prénom]),FALSE),""),"")</f>
        <v/>
      </c>
      <c r="D11" s="52" t="str">
        <f>IFERROR(IF(VLOOKUP(T_Equipement[[#This Row],[NumL]],T_suiviDi[#Data],COLUMN(T_suiviDi[Email]),FALSE)&lt;&gt;"",VLOOKUP(T_Equipement[[#This Row],[NumL]],T_suiviDi[#Data],COLUMN(T_suiviDi[Email]),FALSE),""),"")</f>
        <v/>
      </c>
      <c r="E11" s="53" t="str">
        <f>IFERROR(IF(VLOOKUP(T_Equipement[[#This Row],[NumL]],T_suiviDi[#Data],COLUMN(T_suiviDi[Nom1]),FALSE)&lt;&gt;"",VLOOKUP(T_Equipement[[#This Row],[NumL]],T_suiviDi[#Data],COLUMN(T_suiviDi[Nom1]),FALSE),""),"")</f>
        <v/>
      </c>
      <c r="F11" s="53" t="str">
        <f>IFERROR(IF(VLOOKUP(T_Equipement[[#This Row],[NumL]],T_suiviDi[#Data],COLUMN(T_suiviDi[Prénom1]),FALSE)&lt;&gt;"",VLOOKUP(T_Equipement[[#This Row],[NumL]],T_suiviDi[#Data],COLUMN(T_suiviDi[Prénom1]),FALSE),""),"")</f>
        <v/>
      </c>
      <c r="G11" s="53" t="str">
        <f>IFERROR(IF(VLOOKUP(T_Equipement[[#This Row],[NumL]],T_suiviDi[#Data],COLUMN(T_suiviDi[Email1]),FALSE)&lt;&gt;"",VLOOKUP(T_Equipement[[#This Row],[NumL]],T_suiviDi[#Data],COLUMN(T_suiviDi[Email1]),FALSE),""),"")</f>
        <v/>
      </c>
      <c r="H11" s="59" t="s">
        <v>3277</v>
      </c>
      <c r="I11" s="251">
        <v>44165</v>
      </c>
      <c r="J11" s="60" t="s">
        <v>3052</v>
      </c>
      <c r="K11" s="61"/>
      <c r="L11" s="62"/>
      <c r="M11" s="59"/>
      <c r="N11" s="59"/>
      <c r="O11" s="59"/>
      <c r="P11" s="59"/>
      <c r="Q11" s="59"/>
      <c r="R11" s="59"/>
      <c r="S11" s="61"/>
      <c r="T11" s="260" t="e">
        <f>VLOOKUP(T_Equipement[[#This Row],[NumL]],T_TraitDi[#Data],COLUMN(#REF!),FALSE)</f>
        <v>#REF!</v>
      </c>
    </row>
    <row r="12" spans="1:20" ht="24" customHeight="1" x14ac:dyDescent="0.25">
      <c r="A12" s="90">
        <v>235</v>
      </c>
      <c r="B12" s="51" t="str">
        <f>IFERROR(IF(VLOOKUP(T_Equipement[[#This Row],[NumL]],T_suiviDi[#Data],COLUMN(T_suiviDi[Nom]),FALSE)&lt;&gt;"",VLOOKUP(T_Equipement[[#This Row],[NumL]],T_suiviDi[#Data],COLUMN(T_suiviDi[Nom]),FALSE),""),"")</f>
        <v/>
      </c>
      <c r="C12" s="51" t="str">
        <f>IFERROR(IF(VLOOKUP(T_Equipement[[#This Row],[NumL]],T_suiviDi[#Data],COLUMN(T_suiviDi[Prénom]),FALSE)&lt;&gt;"",VLOOKUP(T_Equipement[[#This Row],[NumL]],T_suiviDi[#Data],COLUMN(T_suiviDi[Prénom]),FALSE),""),"")</f>
        <v/>
      </c>
      <c r="D12" s="52" t="str">
        <f>IFERROR(IF(VLOOKUP(T_Equipement[[#This Row],[NumL]],T_suiviDi[#Data],COLUMN(T_suiviDi[Email]),FALSE)&lt;&gt;"",VLOOKUP(T_Equipement[[#This Row],[NumL]],T_suiviDi[#Data],COLUMN(T_suiviDi[Email]),FALSE),""),"")</f>
        <v/>
      </c>
      <c r="E12" s="53" t="str">
        <f>IFERROR(IF(VLOOKUP(T_Equipement[[#This Row],[NumL]],T_suiviDi[#Data],COLUMN(T_suiviDi[Nom1]),FALSE)&lt;&gt;"",VLOOKUP(T_Equipement[[#This Row],[NumL]],T_suiviDi[#Data],COLUMN(T_suiviDi[Nom1]),FALSE),""),"")</f>
        <v/>
      </c>
      <c r="F12" s="53" t="str">
        <f>IFERROR(IF(VLOOKUP(T_Equipement[[#This Row],[NumL]],T_suiviDi[#Data],COLUMN(T_suiviDi[Prénom1]),FALSE)&lt;&gt;"",VLOOKUP(T_Equipement[[#This Row],[NumL]],T_suiviDi[#Data],COLUMN(T_suiviDi[Prénom1]),FALSE),""),"")</f>
        <v/>
      </c>
      <c r="G12" s="53" t="str">
        <f>IFERROR(IF(VLOOKUP(T_Equipement[[#This Row],[NumL]],T_suiviDi[#Data],COLUMN(T_suiviDi[Email1]),FALSE)&lt;&gt;"",VLOOKUP(T_Equipement[[#This Row],[NumL]],T_suiviDi[#Data],COLUMN(T_suiviDi[Email1]),FALSE),""),"")</f>
        <v/>
      </c>
      <c r="H12" s="59" t="s">
        <v>3278</v>
      </c>
      <c r="I12" s="61"/>
      <c r="J12" s="60" t="s">
        <v>3053</v>
      </c>
      <c r="K12" s="61"/>
      <c r="L12" s="62"/>
      <c r="M12" s="59"/>
      <c r="N12" s="59"/>
      <c r="O12" s="59"/>
      <c r="P12" s="59"/>
      <c r="Q12" s="59"/>
      <c r="R12" s="59"/>
      <c r="S12" s="61"/>
      <c r="T12" s="260" t="e">
        <f>VLOOKUP(T_Equipement[[#This Row],[NumL]],T_TraitDi[#Data],COLUMN(#REF!),FALSE)</f>
        <v>#REF!</v>
      </c>
    </row>
    <row r="13" spans="1:20" ht="24" customHeight="1" x14ac:dyDescent="0.25">
      <c r="A13" s="90">
        <v>70</v>
      </c>
      <c r="B13" s="51" t="str">
        <f>IFERROR(IF(VLOOKUP(T_Equipement[[#This Row],[NumL]],T_suiviDi[#Data],COLUMN(T_suiviDi[Nom]),FALSE)&lt;&gt;"",VLOOKUP(T_Equipement[[#This Row],[NumL]],T_suiviDi[#Data],COLUMN(T_suiviDi[Nom]),FALSE),""),"")</f>
        <v/>
      </c>
      <c r="C13" s="51" t="str">
        <f>IFERROR(IF(VLOOKUP(T_Equipement[[#This Row],[NumL]],T_suiviDi[#Data],COLUMN(T_suiviDi[Prénom]),FALSE)&lt;&gt;"",VLOOKUP(T_Equipement[[#This Row],[NumL]],T_suiviDi[#Data],COLUMN(T_suiviDi[Prénom]),FALSE),""),"")</f>
        <v/>
      </c>
      <c r="D13" s="52" t="str">
        <f>IFERROR(IF(VLOOKUP(T_Equipement[[#This Row],[NumL]],T_suiviDi[#Data],COLUMN(T_suiviDi[Email]),FALSE)&lt;&gt;"",VLOOKUP(T_Equipement[[#This Row],[NumL]],T_suiviDi[#Data],COLUMN(T_suiviDi[Email]),FALSE),""),"")</f>
        <v/>
      </c>
      <c r="E13" s="53" t="str">
        <f>IFERROR(IF(VLOOKUP(T_Equipement[[#This Row],[NumL]],T_suiviDi[#Data],COLUMN(T_suiviDi[Nom1]),FALSE)&lt;&gt;"",VLOOKUP(T_Equipement[[#This Row],[NumL]],T_suiviDi[#Data],COLUMN(T_suiviDi[Nom1]),FALSE),""),"")</f>
        <v/>
      </c>
      <c r="F13" s="53" t="str">
        <f>IFERROR(IF(VLOOKUP(T_Equipement[[#This Row],[NumL]],T_suiviDi[#Data],COLUMN(T_suiviDi[Prénom1]),FALSE)&lt;&gt;"",VLOOKUP(T_Equipement[[#This Row],[NumL]],T_suiviDi[#Data],COLUMN(T_suiviDi[Prénom1]),FALSE),""),"")</f>
        <v/>
      </c>
      <c r="G13" s="53" t="str">
        <f>IFERROR(IF(VLOOKUP(T_Equipement[[#This Row],[NumL]],T_suiviDi[#Data],COLUMN(T_suiviDi[Email1]),FALSE)&lt;&gt;"",VLOOKUP(T_Equipement[[#This Row],[NumL]],T_suiviDi[#Data],COLUMN(T_suiviDi[Email1]),FALSE),""),"")</f>
        <v/>
      </c>
      <c r="H13" s="59" t="s">
        <v>3277</v>
      </c>
      <c r="I13" s="251">
        <v>44165</v>
      </c>
      <c r="J13" s="60" t="s">
        <v>3054</v>
      </c>
      <c r="K13" s="61"/>
      <c r="L13" s="62"/>
      <c r="M13" s="59"/>
      <c r="N13" s="59"/>
      <c r="O13" s="59"/>
      <c r="P13" s="59"/>
      <c r="Q13" s="59"/>
      <c r="R13" s="59"/>
      <c r="S13" s="61"/>
      <c r="T13" s="260" t="e">
        <f>VLOOKUP(T_Equipement[[#This Row],[NumL]],T_TraitDi[#Data],COLUMN(#REF!),FALSE)</f>
        <v>#REF!</v>
      </c>
    </row>
    <row r="14" spans="1:20" ht="24" customHeight="1" x14ac:dyDescent="0.25">
      <c r="A14" s="90">
        <v>94</v>
      </c>
      <c r="B14" s="51" t="str">
        <f>IFERROR(IF(VLOOKUP(T_Equipement[[#This Row],[NumL]],T_suiviDi[#Data],COLUMN(T_suiviDi[Nom]),FALSE)&lt;&gt;"",VLOOKUP(T_Equipement[[#This Row],[NumL]],T_suiviDi[#Data],COLUMN(T_suiviDi[Nom]),FALSE),""),"")</f>
        <v/>
      </c>
      <c r="C14" s="51" t="str">
        <f>IFERROR(IF(VLOOKUP(T_Equipement[[#This Row],[NumL]],T_suiviDi[#Data],COLUMN(T_suiviDi[Prénom]),FALSE)&lt;&gt;"",VLOOKUP(T_Equipement[[#This Row],[NumL]],T_suiviDi[#Data],COLUMN(T_suiviDi[Prénom]),FALSE),""),"")</f>
        <v/>
      </c>
      <c r="D14" s="52" t="str">
        <f>IFERROR(IF(VLOOKUP(T_Equipement[[#This Row],[NumL]],T_suiviDi[#Data],COLUMN(T_suiviDi[Email]),FALSE)&lt;&gt;"",VLOOKUP(T_Equipement[[#This Row],[NumL]],T_suiviDi[#Data],COLUMN(T_suiviDi[Email]),FALSE),""),"")</f>
        <v/>
      </c>
      <c r="E14" s="53" t="str">
        <f>IFERROR(IF(VLOOKUP(T_Equipement[[#This Row],[NumL]],T_suiviDi[#Data],COLUMN(T_suiviDi[Nom1]),FALSE)&lt;&gt;"",VLOOKUP(T_Equipement[[#This Row],[NumL]],T_suiviDi[#Data],COLUMN(T_suiviDi[Nom1]),FALSE),""),"")</f>
        <v/>
      </c>
      <c r="F14" s="53" t="str">
        <f>IFERROR(IF(VLOOKUP(T_Equipement[[#This Row],[NumL]],T_suiviDi[#Data],COLUMN(T_suiviDi[Prénom1]),FALSE)&lt;&gt;"",VLOOKUP(T_Equipement[[#This Row],[NumL]],T_suiviDi[#Data],COLUMN(T_suiviDi[Prénom1]),FALSE),""),"")</f>
        <v/>
      </c>
      <c r="G14" s="53" t="str">
        <f>IFERROR(IF(VLOOKUP(T_Equipement[[#This Row],[NumL]],T_suiviDi[#Data],COLUMN(T_suiviDi[Email1]),FALSE)&lt;&gt;"",VLOOKUP(T_Equipement[[#This Row],[NumL]],T_suiviDi[#Data],COLUMN(T_suiviDi[Email1]),FALSE),""),"")</f>
        <v/>
      </c>
      <c r="H14" s="59"/>
      <c r="I14" s="61"/>
      <c r="J14" s="60" t="s">
        <v>3055</v>
      </c>
      <c r="K14" s="61"/>
      <c r="L14" s="62"/>
      <c r="M14" s="59"/>
      <c r="N14" s="59"/>
      <c r="O14" s="59"/>
      <c r="P14" s="59"/>
      <c r="Q14" s="59"/>
      <c r="R14" s="59"/>
      <c r="S14" s="61"/>
      <c r="T14" s="260" t="e">
        <f>VLOOKUP(T_Equipement[[#This Row],[NumL]],T_TraitDi[#Data],COLUMN(#REF!),FALSE)</f>
        <v>#REF!</v>
      </c>
    </row>
    <row r="15" spans="1:20" ht="24" customHeight="1" x14ac:dyDescent="0.25">
      <c r="A15" s="90">
        <v>7</v>
      </c>
      <c r="B15" s="51" t="str">
        <f>IFERROR(IF(VLOOKUP(T_Equipement[[#This Row],[NumL]],T_suiviDi[#Data],COLUMN(T_suiviDi[Nom]),FALSE)&lt;&gt;"",VLOOKUP(T_Equipement[[#This Row],[NumL]],T_suiviDi[#Data],COLUMN(T_suiviDi[Nom]),FALSE),""),"")</f>
        <v/>
      </c>
      <c r="C15" s="51" t="str">
        <f>IFERROR(IF(VLOOKUP(T_Equipement[[#This Row],[NumL]],T_suiviDi[#Data],COLUMN(T_suiviDi[Prénom]),FALSE)&lt;&gt;"",VLOOKUP(T_Equipement[[#This Row],[NumL]],T_suiviDi[#Data],COLUMN(T_suiviDi[Prénom]),FALSE),""),"")</f>
        <v/>
      </c>
      <c r="D15" s="52" t="str">
        <f>IFERROR(IF(VLOOKUP(T_Equipement[[#This Row],[NumL]],T_suiviDi[#Data],COLUMN(T_suiviDi[Email]),FALSE)&lt;&gt;"",VLOOKUP(T_Equipement[[#This Row],[NumL]],T_suiviDi[#Data],COLUMN(T_suiviDi[Email]),FALSE),""),"")</f>
        <v/>
      </c>
      <c r="E15" s="53" t="str">
        <f>IFERROR(IF(VLOOKUP(T_Equipement[[#This Row],[NumL]],T_suiviDi[#Data],COLUMN(T_suiviDi[Nom1]),FALSE)&lt;&gt;"",VLOOKUP(T_Equipement[[#This Row],[NumL]],T_suiviDi[#Data],COLUMN(T_suiviDi[Nom1]),FALSE),""),"")</f>
        <v/>
      </c>
      <c r="F15" s="53" t="str">
        <f>IFERROR(IF(VLOOKUP(T_Equipement[[#This Row],[NumL]],T_suiviDi[#Data],COLUMN(T_suiviDi[Prénom1]),FALSE)&lt;&gt;"",VLOOKUP(T_Equipement[[#This Row],[NumL]],T_suiviDi[#Data],COLUMN(T_suiviDi[Prénom1]),FALSE),""),"")</f>
        <v/>
      </c>
      <c r="G15" s="53" t="str">
        <f>IFERROR(IF(VLOOKUP(T_Equipement[[#This Row],[NumL]],T_suiviDi[#Data],COLUMN(T_suiviDi[Email1]),FALSE)&lt;&gt;"",VLOOKUP(T_Equipement[[#This Row],[NumL]],T_suiviDi[#Data],COLUMN(T_suiviDi[Email1]),FALSE),""),"")</f>
        <v/>
      </c>
      <c r="H15" s="59"/>
      <c r="I15" s="61"/>
      <c r="J15" s="60" t="s">
        <v>3056</v>
      </c>
      <c r="K15" s="61"/>
      <c r="L15" s="62"/>
      <c r="M15" s="59"/>
      <c r="N15" s="59"/>
      <c r="O15" s="59"/>
      <c r="P15" s="59"/>
      <c r="Q15" s="59"/>
      <c r="R15" s="59"/>
      <c r="S15" s="61"/>
      <c r="T15" s="260" t="e">
        <f>VLOOKUP(T_Equipement[[#This Row],[NumL]],T_TraitDi[#Data],COLUMN(#REF!),FALSE)</f>
        <v>#REF!</v>
      </c>
    </row>
    <row r="16" spans="1:20" ht="24" customHeight="1" x14ac:dyDescent="0.25">
      <c r="A16" s="90">
        <v>316</v>
      </c>
      <c r="B16" s="51" t="str">
        <f>IFERROR(IF(VLOOKUP(T_Equipement[[#This Row],[NumL]],T_suiviDi[#Data],COLUMN(T_suiviDi[Nom]),FALSE)&lt;&gt;"",VLOOKUP(T_Equipement[[#This Row],[NumL]],T_suiviDi[#Data],COLUMN(T_suiviDi[Nom]),FALSE),""),"")</f>
        <v/>
      </c>
      <c r="C16" s="51" t="str">
        <f>IFERROR(IF(VLOOKUP(T_Equipement[[#This Row],[NumL]],T_suiviDi[#Data],COLUMN(T_suiviDi[Prénom]),FALSE)&lt;&gt;"",VLOOKUP(T_Equipement[[#This Row],[NumL]],T_suiviDi[#Data],COLUMN(T_suiviDi[Prénom]),FALSE),""),"")</f>
        <v/>
      </c>
      <c r="D16" s="52" t="str">
        <f>IFERROR(IF(VLOOKUP(T_Equipement[[#This Row],[NumL]],T_suiviDi[#Data],COLUMN(T_suiviDi[Email]),FALSE)&lt;&gt;"",VLOOKUP(T_Equipement[[#This Row],[NumL]],T_suiviDi[#Data],COLUMN(T_suiviDi[Email]),FALSE),""),"")</f>
        <v/>
      </c>
      <c r="E16" s="53" t="str">
        <f>IFERROR(IF(VLOOKUP(T_Equipement[[#This Row],[NumL]],T_suiviDi[#Data],COLUMN(T_suiviDi[Nom1]),FALSE)&lt;&gt;"",VLOOKUP(T_Equipement[[#This Row],[NumL]],T_suiviDi[#Data],COLUMN(T_suiviDi[Nom1]),FALSE),""),"")</f>
        <v/>
      </c>
      <c r="F16" s="53" t="str">
        <f>IFERROR(IF(VLOOKUP(T_Equipement[[#This Row],[NumL]],T_suiviDi[#Data],COLUMN(T_suiviDi[Prénom1]),FALSE)&lt;&gt;"",VLOOKUP(T_Equipement[[#This Row],[NumL]],T_suiviDi[#Data],COLUMN(T_suiviDi[Prénom1]),FALSE),""),"")</f>
        <v/>
      </c>
      <c r="G16" s="53" t="str">
        <f>IFERROR(IF(VLOOKUP(T_Equipement[[#This Row],[NumL]],T_suiviDi[#Data],COLUMN(T_suiviDi[Email1]),FALSE)&lt;&gt;"",VLOOKUP(T_Equipement[[#This Row],[NumL]],T_suiviDi[#Data],COLUMN(T_suiviDi[Email1]),FALSE),""),"")</f>
        <v/>
      </c>
      <c r="H16" s="59"/>
      <c r="I16" s="61"/>
      <c r="J16" s="60"/>
      <c r="K16" s="61"/>
      <c r="L16" s="62"/>
      <c r="M16" s="59"/>
      <c r="N16" s="59"/>
      <c r="O16" s="59"/>
      <c r="P16" s="59"/>
      <c r="Q16" s="59"/>
      <c r="R16" s="59"/>
      <c r="S16" s="61"/>
      <c r="T16" s="260"/>
    </row>
    <row r="17" spans="1:20" ht="24" customHeight="1" x14ac:dyDescent="0.25">
      <c r="A17" s="90">
        <v>150</v>
      </c>
      <c r="B17" s="51" t="str">
        <f>IFERROR(IF(VLOOKUP(T_Equipement[[#This Row],[NumL]],T_suiviDi[#Data],COLUMN(T_suiviDi[Nom]),FALSE)&lt;&gt;"",VLOOKUP(T_Equipement[[#This Row],[NumL]],T_suiviDi[#Data],COLUMN(T_suiviDi[Nom]),FALSE),""),"")</f>
        <v/>
      </c>
      <c r="C17" s="51" t="str">
        <f>IFERROR(IF(VLOOKUP(T_Equipement[[#This Row],[NumL]],T_suiviDi[#Data],COLUMN(T_suiviDi[Prénom]),FALSE)&lt;&gt;"",VLOOKUP(T_Equipement[[#This Row],[NumL]],T_suiviDi[#Data],COLUMN(T_suiviDi[Prénom]),FALSE),""),"")</f>
        <v/>
      </c>
      <c r="D17" s="52" t="str">
        <f>IFERROR(IF(VLOOKUP(T_Equipement[[#This Row],[NumL]],T_suiviDi[#Data],COLUMN(T_suiviDi[Email]),FALSE)&lt;&gt;"",VLOOKUP(T_Equipement[[#This Row],[NumL]],T_suiviDi[#Data],COLUMN(T_suiviDi[Email]),FALSE),""),"")</f>
        <v/>
      </c>
      <c r="E17" s="53" t="str">
        <f>IFERROR(IF(VLOOKUP(T_Equipement[[#This Row],[NumL]],T_suiviDi[#Data],COLUMN(T_suiviDi[Nom1]),FALSE)&lt;&gt;"",VLOOKUP(T_Equipement[[#This Row],[NumL]],T_suiviDi[#Data],COLUMN(T_suiviDi[Nom1]),FALSE),""),"")</f>
        <v/>
      </c>
      <c r="F17" s="53" t="str">
        <f>IFERROR(IF(VLOOKUP(T_Equipement[[#This Row],[NumL]],T_suiviDi[#Data],COLUMN(T_suiviDi[Prénom1]),FALSE)&lt;&gt;"",VLOOKUP(T_Equipement[[#This Row],[NumL]],T_suiviDi[#Data],COLUMN(T_suiviDi[Prénom1]),FALSE),""),"")</f>
        <v/>
      </c>
      <c r="G17" s="53" t="str">
        <f>IFERROR(IF(VLOOKUP(T_Equipement[[#This Row],[NumL]],T_suiviDi[#Data],COLUMN(T_suiviDi[Email1]),FALSE)&lt;&gt;"",VLOOKUP(T_Equipement[[#This Row],[NumL]],T_suiviDi[#Data],COLUMN(T_suiviDi[Email1]),FALSE),""),"")</f>
        <v/>
      </c>
      <c r="H17" s="59"/>
      <c r="I17" s="61"/>
      <c r="J17" s="60" t="s">
        <v>3057</v>
      </c>
      <c r="K17" s="61"/>
      <c r="L17" s="62"/>
      <c r="M17" s="59"/>
      <c r="N17" s="59"/>
      <c r="O17" s="59"/>
      <c r="P17" s="59"/>
      <c r="Q17" s="59"/>
      <c r="R17" s="59"/>
      <c r="S17" s="61"/>
      <c r="T17" s="260" t="e">
        <f>VLOOKUP(T_Equipement[[#This Row],[NumL]],T_TraitDi[#Data],COLUMN(#REF!),FALSE)</f>
        <v>#REF!</v>
      </c>
    </row>
    <row r="18" spans="1:20" ht="24" customHeight="1" x14ac:dyDescent="0.25">
      <c r="A18" s="90">
        <v>23</v>
      </c>
      <c r="B18" s="51" t="str">
        <f>IFERROR(IF(VLOOKUP(T_Equipement[[#This Row],[NumL]],T_suiviDi[#Data],COLUMN(T_suiviDi[Nom]),FALSE)&lt;&gt;"",VLOOKUP(T_Equipement[[#This Row],[NumL]],T_suiviDi[#Data],COLUMN(T_suiviDi[Nom]),FALSE),""),"")</f>
        <v/>
      </c>
      <c r="C18" s="51" t="str">
        <f>IFERROR(IF(VLOOKUP(T_Equipement[[#This Row],[NumL]],T_suiviDi[#Data],COLUMN(T_suiviDi[Prénom]),FALSE)&lt;&gt;"",VLOOKUP(T_Equipement[[#This Row],[NumL]],T_suiviDi[#Data],COLUMN(T_suiviDi[Prénom]),FALSE),""),"")</f>
        <v/>
      </c>
      <c r="D18" s="52" t="str">
        <f>IFERROR(IF(VLOOKUP(T_Equipement[[#This Row],[NumL]],T_suiviDi[#Data],COLUMN(T_suiviDi[Email]),FALSE)&lt;&gt;"",VLOOKUP(T_Equipement[[#This Row],[NumL]],T_suiviDi[#Data],COLUMN(T_suiviDi[Email]),FALSE),""),"")</f>
        <v/>
      </c>
      <c r="E18" s="53" t="str">
        <f>IFERROR(IF(VLOOKUP(T_Equipement[[#This Row],[NumL]],T_suiviDi[#Data],COLUMN(T_suiviDi[Nom1]),FALSE)&lt;&gt;"",VLOOKUP(T_Equipement[[#This Row],[NumL]],T_suiviDi[#Data],COLUMN(T_suiviDi[Nom1]),FALSE),""),"")</f>
        <v/>
      </c>
      <c r="F18" s="53" t="str">
        <f>IFERROR(IF(VLOOKUP(T_Equipement[[#This Row],[NumL]],T_suiviDi[#Data],COLUMN(T_suiviDi[Prénom1]),FALSE)&lt;&gt;"",VLOOKUP(T_Equipement[[#This Row],[NumL]],T_suiviDi[#Data],COLUMN(T_suiviDi[Prénom1]),FALSE),""),"")</f>
        <v/>
      </c>
      <c r="G18" s="53" t="str">
        <f>IFERROR(IF(VLOOKUP(T_Equipement[[#This Row],[NumL]],T_suiviDi[#Data],COLUMN(T_suiviDi[Email1]),FALSE)&lt;&gt;"",VLOOKUP(T_Equipement[[#This Row],[NumL]],T_suiviDi[#Data],COLUMN(T_suiviDi[Email1]),FALSE),""),"")</f>
        <v/>
      </c>
      <c r="H18" s="59"/>
      <c r="I18" s="61"/>
      <c r="J18" s="60" t="s">
        <v>3058</v>
      </c>
      <c r="K18" s="61"/>
      <c r="L18" s="62"/>
      <c r="M18" s="59"/>
      <c r="N18" s="59"/>
      <c r="O18" s="59"/>
      <c r="P18" s="59"/>
      <c r="Q18" s="59"/>
      <c r="R18" s="59"/>
      <c r="S18" s="61"/>
      <c r="T18" s="260" t="e">
        <f>VLOOKUP(T_Equipement[[#This Row],[NumL]],T_TraitDi[#Data],COLUMN(#REF!),FALSE)</f>
        <v>#REF!</v>
      </c>
    </row>
    <row r="19" spans="1:20" ht="24" customHeight="1" x14ac:dyDescent="0.25">
      <c r="A19" s="90">
        <v>336</v>
      </c>
      <c r="B19" s="51" t="str">
        <f>IFERROR(IF(VLOOKUP(T_Equipement[[#This Row],[NumL]],T_suiviDi[#Data],COLUMN(T_suiviDi[Nom]),FALSE)&lt;&gt;"",VLOOKUP(T_Equipement[[#This Row],[NumL]],T_suiviDi[#Data],COLUMN(T_suiviDi[Nom]),FALSE),""),"")</f>
        <v/>
      </c>
      <c r="C19" s="51" t="str">
        <f>IFERROR(IF(VLOOKUP(T_Equipement[[#This Row],[NumL]],T_suiviDi[#Data],COLUMN(T_suiviDi[Prénom]),FALSE)&lt;&gt;"",VLOOKUP(T_Equipement[[#This Row],[NumL]],T_suiviDi[#Data],COLUMN(T_suiviDi[Prénom]),FALSE),""),"")</f>
        <v/>
      </c>
      <c r="D19" s="52" t="str">
        <f>IFERROR(IF(VLOOKUP(T_Equipement[[#This Row],[NumL]],T_suiviDi[#Data],COLUMN(T_suiviDi[Email]),FALSE)&lt;&gt;"",VLOOKUP(T_Equipement[[#This Row],[NumL]],T_suiviDi[#Data],COLUMN(T_suiviDi[Email]),FALSE),""),"")</f>
        <v/>
      </c>
      <c r="E19" s="53" t="str">
        <f>IFERROR(IF(VLOOKUP(T_Equipement[[#This Row],[NumL]],T_suiviDi[#Data],COLUMN(T_suiviDi[Nom1]),FALSE)&lt;&gt;"",VLOOKUP(T_Equipement[[#This Row],[NumL]],T_suiviDi[#Data],COLUMN(T_suiviDi[Nom1]),FALSE),""),"")</f>
        <v/>
      </c>
      <c r="F19" s="53" t="str">
        <f>IFERROR(IF(VLOOKUP(T_Equipement[[#This Row],[NumL]],T_suiviDi[#Data],COLUMN(T_suiviDi[Prénom1]),FALSE)&lt;&gt;"",VLOOKUP(T_Equipement[[#This Row],[NumL]],T_suiviDi[#Data],COLUMN(T_suiviDi[Prénom1]),FALSE),""),"")</f>
        <v/>
      </c>
      <c r="G19" s="53" t="str">
        <f>IFERROR(IF(VLOOKUP(T_Equipement[[#This Row],[NumL]],T_suiviDi[#Data],COLUMN(T_suiviDi[Email1]),FALSE)&lt;&gt;"",VLOOKUP(T_Equipement[[#This Row],[NumL]],T_suiviDi[#Data],COLUMN(T_suiviDi[Email1]),FALSE),""),"")</f>
        <v/>
      </c>
      <c r="H19" s="59"/>
      <c r="I19" s="61"/>
      <c r="J19" s="60"/>
      <c r="K19" s="61"/>
      <c r="L19" s="62"/>
      <c r="M19" s="59"/>
      <c r="N19" s="59"/>
      <c r="O19" s="59"/>
      <c r="P19" s="59"/>
      <c r="Q19" s="59"/>
      <c r="R19" s="59"/>
      <c r="S19" s="61"/>
      <c r="T19" s="260"/>
    </row>
    <row r="20" spans="1:20" ht="24" customHeight="1" x14ac:dyDescent="0.25">
      <c r="A20" s="90">
        <v>202</v>
      </c>
      <c r="B20" s="51" t="str">
        <f>IFERROR(IF(VLOOKUP(T_Equipement[[#This Row],[NumL]],T_suiviDi[#Data],COLUMN(T_suiviDi[Nom]),FALSE)&lt;&gt;"",VLOOKUP(T_Equipement[[#This Row],[NumL]],T_suiviDi[#Data],COLUMN(T_suiviDi[Nom]),FALSE),""),"")</f>
        <v/>
      </c>
      <c r="C20" s="51" t="str">
        <f>IFERROR(IF(VLOOKUP(T_Equipement[[#This Row],[NumL]],T_suiviDi[#Data],COLUMN(T_suiviDi[Prénom]),FALSE)&lt;&gt;"",VLOOKUP(T_Equipement[[#This Row],[NumL]],T_suiviDi[#Data],COLUMN(T_suiviDi[Prénom]),FALSE),""),"")</f>
        <v/>
      </c>
      <c r="D20" s="52" t="str">
        <f>IFERROR(IF(VLOOKUP(T_Equipement[[#This Row],[NumL]],T_suiviDi[#Data],COLUMN(T_suiviDi[Email]),FALSE)&lt;&gt;"",VLOOKUP(T_Equipement[[#This Row],[NumL]],T_suiviDi[#Data],COLUMN(T_suiviDi[Email]),FALSE),""),"")</f>
        <v/>
      </c>
      <c r="E20" s="53" t="str">
        <f>IFERROR(IF(VLOOKUP(T_Equipement[[#This Row],[NumL]],T_suiviDi[#Data],COLUMN(T_suiviDi[Nom1]),FALSE)&lt;&gt;"",VLOOKUP(T_Equipement[[#This Row],[NumL]],T_suiviDi[#Data],COLUMN(T_suiviDi[Nom1]),FALSE),""),"")</f>
        <v/>
      </c>
      <c r="F20" s="53" t="str">
        <f>IFERROR(IF(VLOOKUP(T_Equipement[[#This Row],[NumL]],T_suiviDi[#Data],COLUMN(T_suiviDi[Prénom1]),FALSE)&lt;&gt;"",VLOOKUP(T_Equipement[[#This Row],[NumL]],T_suiviDi[#Data],COLUMN(T_suiviDi[Prénom1]),FALSE),""),"")</f>
        <v/>
      </c>
      <c r="G20" s="53" t="str">
        <f>IFERROR(IF(VLOOKUP(T_Equipement[[#This Row],[NumL]],T_suiviDi[#Data],COLUMN(T_suiviDi[Email1]),FALSE)&lt;&gt;"",VLOOKUP(T_Equipement[[#This Row],[NumL]],T_suiviDi[#Data],COLUMN(T_suiviDi[Email1]),FALSE),""),"")</f>
        <v/>
      </c>
      <c r="H20" s="59" t="s">
        <v>3277</v>
      </c>
      <c r="I20" s="61"/>
      <c r="J20" s="60" t="s">
        <v>3059</v>
      </c>
      <c r="K20" s="61"/>
      <c r="L20" s="62"/>
      <c r="M20" s="59"/>
      <c r="N20" s="59"/>
      <c r="O20" s="59"/>
      <c r="P20" s="59"/>
      <c r="Q20" s="59"/>
      <c r="R20" s="59"/>
      <c r="S20" s="61"/>
      <c r="T20" s="260" t="e">
        <f>VLOOKUP(T_Equipement[[#This Row],[NumL]],T_TraitDi[#Data],COLUMN(#REF!),FALSE)</f>
        <v>#REF!</v>
      </c>
    </row>
    <row r="21" spans="1:20" ht="24" customHeight="1" x14ac:dyDescent="0.25">
      <c r="A21" s="90">
        <v>66</v>
      </c>
      <c r="B21" s="51" t="str">
        <f>IFERROR(IF(VLOOKUP(T_Equipement[[#This Row],[NumL]],T_suiviDi[#Data],COLUMN(T_suiviDi[Nom]),FALSE)&lt;&gt;"",VLOOKUP(T_Equipement[[#This Row],[NumL]],T_suiviDi[#Data],COLUMN(T_suiviDi[Nom]),FALSE),""),"")</f>
        <v/>
      </c>
      <c r="C21" s="51" t="str">
        <f>IFERROR(IF(VLOOKUP(T_Equipement[[#This Row],[NumL]],T_suiviDi[#Data],COLUMN(T_suiviDi[Prénom]),FALSE)&lt;&gt;"",VLOOKUP(T_Equipement[[#This Row],[NumL]],T_suiviDi[#Data],COLUMN(T_suiviDi[Prénom]),FALSE),""),"")</f>
        <v/>
      </c>
      <c r="D21" s="52" t="str">
        <f>IFERROR(IF(VLOOKUP(T_Equipement[[#This Row],[NumL]],T_suiviDi[#Data],COLUMN(T_suiviDi[Email]),FALSE)&lt;&gt;"",VLOOKUP(T_Equipement[[#This Row],[NumL]],T_suiviDi[#Data],COLUMN(T_suiviDi[Email]),FALSE),""),"")</f>
        <v/>
      </c>
      <c r="E21" s="53" t="str">
        <f>IFERROR(IF(VLOOKUP(T_Equipement[[#This Row],[NumL]],T_suiviDi[#Data],COLUMN(T_suiviDi[Nom1]),FALSE)&lt;&gt;"",VLOOKUP(T_Equipement[[#This Row],[NumL]],T_suiviDi[#Data],COLUMN(T_suiviDi[Nom1]),FALSE),""),"")</f>
        <v/>
      </c>
      <c r="F21" s="53" t="str">
        <f>IFERROR(IF(VLOOKUP(T_Equipement[[#This Row],[NumL]],T_suiviDi[#Data],COLUMN(T_suiviDi[Prénom1]),FALSE)&lt;&gt;"",VLOOKUP(T_Equipement[[#This Row],[NumL]],T_suiviDi[#Data],COLUMN(T_suiviDi[Prénom1]),FALSE),""),"")</f>
        <v/>
      </c>
      <c r="G21" s="53" t="str">
        <f>IFERROR(IF(VLOOKUP(T_Equipement[[#This Row],[NumL]],T_suiviDi[#Data],COLUMN(T_suiviDi[Email1]),FALSE)&lt;&gt;"",VLOOKUP(T_Equipement[[#This Row],[NumL]],T_suiviDi[#Data],COLUMN(T_suiviDi[Email1]),FALSE),""),"")</f>
        <v/>
      </c>
      <c r="H21" s="59"/>
      <c r="I21" s="61"/>
      <c r="J21" s="60" t="s">
        <v>3060</v>
      </c>
      <c r="K21" s="61"/>
      <c r="L21" s="62"/>
      <c r="M21" s="59"/>
      <c r="N21" s="59"/>
      <c r="O21" s="59"/>
      <c r="P21" s="59"/>
      <c r="Q21" s="59"/>
      <c r="R21" s="59"/>
      <c r="S21" s="61"/>
      <c r="T21" s="260" t="e">
        <f>VLOOKUP(T_Equipement[[#This Row],[NumL]],T_TraitDi[#Data],COLUMN(#REF!),FALSE)</f>
        <v>#REF!</v>
      </c>
    </row>
    <row r="22" spans="1:20" ht="24" customHeight="1" x14ac:dyDescent="0.25">
      <c r="A22" s="90">
        <v>36</v>
      </c>
      <c r="B22" s="51" t="str">
        <f>IFERROR(IF(VLOOKUP(T_Equipement[[#This Row],[NumL]],T_suiviDi[#Data],COLUMN(T_suiviDi[Nom]),FALSE)&lt;&gt;"",VLOOKUP(T_Equipement[[#This Row],[NumL]],T_suiviDi[#Data],COLUMN(T_suiviDi[Nom]),FALSE),""),"")</f>
        <v/>
      </c>
      <c r="C22" s="51" t="str">
        <f>IFERROR(IF(VLOOKUP(T_Equipement[[#This Row],[NumL]],T_suiviDi[#Data],COLUMN(T_suiviDi[Prénom]),FALSE)&lt;&gt;"",VLOOKUP(T_Equipement[[#This Row],[NumL]],T_suiviDi[#Data],COLUMN(T_suiviDi[Prénom]),FALSE),""),"")</f>
        <v/>
      </c>
      <c r="D22" s="52" t="str">
        <f>IFERROR(IF(VLOOKUP(T_Equipement[[#This Row],[NumL]],T_suiviDi[#Data],COLUMN(T_suiviDi[Email]),FALSE)&lt;&gt;"",VLOOKUP(T_Equipement[[#This Row],[NumL]],T_suiviDi[#Data],COLUMN(T_suiviDi[Email]),FALSE),""),"")</f>
        <v/>
      </c>
      <c r="E22" s="53" t="str">
        <f>IFERROR(IF(VLOOKUP(T_Equipement[[#This Row],[NumL]],T_suiviDi[#Data],COLUMN(T_suiviDi[Nom1]),FALSE)&lt;&gt;"",VLOOKUP(T_Equipement[[#This Row],[NumL]],T_suiviDi[#Data],COLUMN(T_suiviDi[Nom1]),FALSE),""),"")</f>
        <v/>
      </c>
      <c r="F22" s="53" t="str">
        <f>IFERROR(IF(VLOOKUP(T_Equipement[[#This Row],[NumL]],T_suiviDi[#Data],COLUMN(T_suiviDi[Prénom1]),FALSE)&lt;&gt;"",VLOOKUP(T_Equipement[[#This Row],[NumL]],T_suiviDi[#Data],COLUMN(T_suiviDi[Prénom1]),FALSE),""),"")</f>
        <v/>
      </c>
      <c r="G22" s="53" t="str">
        <f>IFERROR(IF(VLOOKUP(T_Equipement[[#This Row],[NumL]],T_suiviDi[#Data],COLUMN(T_suiviDi[Email1]),FALSE)&lt;&gt;"",VLOOKUP(T_Equipement[[#This Row],[NumL]],T_suiviDi[#Data],COLUMN(T_suiviDi[Email1]),FALSE),""),"")</f>
        <v/>
      </c>
      <c r="H22" s="59" t="s">
        <v>3277</v>
      </c>
      <c r="I22" s="251">
        <v>44165</v>
      </c>
      <c r="J22" s="60" t="s">
        <v>3061</v>
      </c>
      <c r="K22" s="61"/>
      <c r="L22" s="62"/>
      <c r="M22" s="59"/>
      <c r="N22" s="59"/>
      <c r="O22" s="59"/>
      <c r="P22" s="59"/>
      <c r="Q22" s="59"/>
      <c r="R22" s="59"/>
      <c r="S22" s="61"/>
      <c r="T22" s="260" t="e">
        <f>VLOOKUP(T_Equipement[[#This Row],[NumL]],T_TraitDi[#Data],COLUMN(#REF!),FALSE)</f>
        <v>#REF!</v>
      </c>
    </row>
    <row r="23" spans="1:20" ht="24" customHeight="1" x14ac:dyDescent="0.25">
      <c r="A23" s="90">
        <v>315</v>
      </c>
      <c r="B23" s="51" t="str">
        <f>IFERROR(IF(VLOOKUP(T_Equipement[[#This Row],[NumL]],T_suiviDi[#Data],COLUMN(T_suiviDi[Nom]),FALSE)&lt;&gt;"",VLOOKUP(T_Equipement[[#This Row],[NumL]],T_suiviDi[#Data],COLUMN(T_suiviDi[Nom]),FALSE),""),"")</f>
        <v/>
      </c>
      <c r="C23" s="51" t="str">
        <f>IFERROR(IF(VLOOKUP(T_Equipement[[#This Row],[NumL]],T_suiviDi[#Data],COLUMN(T_suiviDi[Prénom]),FALSE)&lt;&gt;"",VLOOKUP(T_Equipement[[#This Row],[NumL]],T_suiviDi[#Data],COLUMN(T_suiviDi[Prénom]),FALSE),""),"")</f>
        <v/>
      </c>
      <c r="D23" s="52" t="str">
        <f>IFERROR(IF(VLOOKUP(T_Equipement[[#This Row],[NumL]],T_suiviDi[#Data],COLUMN(T_suiviDi[Email]),FALSE)&lt;&gt;"",VLOOKUP(T_Equipement[[#This Row],[NumL]],T_suiviDi[#Data],COLUMN(T_suiviDi[Email]),FALSE),""),"")</f>
        <v/>
      </c>
      <c r="E23" s="53" t="str">
        <f>IFERROR(IF(VLOOKUP(T_Equipement[[#This Row],[NumL]],T_suiviDi[#Data],COLUMN(T_suiviDi[Nom1]),FALSE)&lt;&gt;"",VLOOKUP(T_Equipement[[#This Row],[NumL]],T_suiviDi[#Data],COLUMN(T_suiviDi[Nom1]),FALSE),""),"")</f>
        <v/>
      </c>
      <c r="F23" s="53" t="str">
        <f>IFERROR(IF(VLOOKUP(T_Equipement[[#This Row],[NumL]],T_suiviDi[#Data],COLUMN(T_suiviDi[Prénom1]),FALSE)&lt;&gt;"",VLOOKUP(T_Equipement[[#This Row],[NumL]],T_suiviDi[#Data],COLUMN(T_suiviDi[Prénom1]),FALSE),""),"")</f>
        <v/>
      </c>
      <c r="G23" s="53" t="str">
        <f>IFERROR(IF(VLOOKUP(T_Equipement[[#This Row],[NumL]],T_suiviDi[#Data],COLUMN(T_suiviDi[Email1]),FALSE)&lt;&gt;"",VLOOKUP(T_Equipement[[#This Row],[NumL]],T_suiviDi[#Data],COLUMN(T_suiviDi[Email1]),FALSE),""),"")</f>
        <v/>
      </c>
      <c r="H23" s="59"/>
      <c r="I23" s="61"/>
      <c r="J23" s="60"/>
      <c r="K23" s="61"/>
      <c r="L23" s="62"/>
      <c r="M23" s="59"/>
      <c r="N23" s="59"/>
      <c r="O23" s="59"/>
      <c r="P23" s="59"/>
      <c r="Q23" s="59"/>
      <c r="R23" s="59"/>
      <c r="S23" s="61"/>
      <c r="T23" s="260"/>
    </row>
    <row r="24" spans="1:20" ht="24" customHeight="1" x14ac:dyDescent="0.25">
      <c r="A24" s="90">
        <v>168</v>
      </c>
      <c r="B24" s="51" t="str">
        <f>IFERROR(IF(VLOOKUP(T_Equipement[[#This Row],[NumL]],T_suiviDi[#Data],COLUMN(T_suiviDi[Nom]),FALSE)&lt;&gt;"",VLOOKUP(T_Equipement[[#This Row],[NumL]],T_suiviDi[#Data],COLUMN(T_suiviDi[Nom]),FALSE),""),"")</f>
        <v/>
      </c>
      <c r="C24" s="51" t="str">
        <f>IFERROR(IF(VLOOKUP(T_Equipement[[#This Row],[NumL]],T_suiviDi[#Data],COLUMN(T_suiviDi[Prénom]),FALSE)&lt;&gt;"",VLOOKUP(T_Equipement[[#This Row],[NumL]],T_suiviDi[#Data],COLUMN(T_suiviDi[Prénom]),FALSE),""),"")</f>
        <v/>
      </c>
      <c r="D24" s="52" t="str">
        <f>IFERROR(IF(VLOOKUP(T_Equipement[[#This Row],[NumL]],T_suiviDi[#Data],COLUMN(T_suiviDi[Email]),FALSE)&lt;&gt;"",VLOOKUP(T_Equipement[[#This Row],[NumL]],T_suiviDi[#Data],COLUMN(T_suiviDi[Email]),FALSE),""),"")</f>
        <v/>
      </c>
      <c r="E24" s="53" t="str">
        <f>IFERROR(IF(VLOOKUP(T_Equipement[[#This Row],[NumL]],T_suiviDi[#Data],COLUMN(T_suiviDi[Nom1]),FALSE)&lt;&gt;"",VLOOKUP(T_Equipement[[#This Row],[NumL]],T_suiviDi[#Data],COLUMN(T_suiviDi[Nom1]),FALSE),""),"")</f>
        <v/>
      </c>
      <c r="F24" s="53" t="str">
        <f>IFERROR(IF(VLOOKUP(T_Equipement[[#This Row],[NumL]],T_suiviDi[#Data],COLUMN(T_suiviDi[Prénom1]),FALSE)&lt;&gt;"",VLOOKUP(T_Equipement[[#This Row],[NumL]],T_suiviDi[#Data],COLUMN(T_suiviDi[Prénom1]),FALSE),""),"")</f>
        <v/>
      </c>
      <c r="G24" s="53" t="str">
        <f>IFERROR(IF(VLOOKUP(T_Equipement[[#This Row],[NumL]],T_suiviDi[#Data],COLUMN(T_suiviDi[Email1]),FALSE)&lt;&gt;"",VLOOKUP(T_Equipement[[#This Row],[NumL]],T_suiviDi[#Data],COLUMN(T_suiviDi[Email1]),FALSE),""),"")</f>
        <v/>
      </c>
      <c r="H24" s="59" t="s">
        <v>3362</v>
      </c>
      <c r="I24" s="251">
        <v>44165</v>
      </c>
      <c r="J24" s="60" t="s">
        <v>3062</v>
      </c>
      <c r="K24" s="61"/>
      <c r="L24" s="62"/>
      <c r="M24" s="59"/>
      <c r="N24" s="59"/>
      <c r="O24" s="59"/>
      <c r="P24" s="59"/>
      <c r="Q24" s="59"/>
      <c r="R24" s="59"/>
      <c r="S24" s="61"/>
      <c r="T24" s="260" t="e">
        <f>VLOOKUP(T_Equipement[[#This Row],[NumL]],T_TraitDi[#Data],COLUMN(#REF!),FALSE)</f>
        <v>#REF!</v>
      </c>
    </row>
    <row r="25" spans="1:20" ht="24" customHeight="1" x14ac:dyDescent="0.25">
      <c r="A25" s="90">
        <v>21</v>
      </c>
      <c r="B25" s="51" t="str">
        <f>IFERROR(IF(VLOOKUP(T_Equipement[[#This Row],[NumL]],T_suiviDi[#Data],COLUMN(T_suiviDi[Nom]),FALSE)&lt;&gt;"",VLOOKUP(T_Equipement[[#This Row],[NumL]],T_suiviDi[#Data],COLUMN(T_suiviDi[Nom]),FALSE),""),"")</f>
        <v/>
      </c>
      <c r="C25" s="51" t="str">
        <f>IFERROR(IF(VLOOKUP(T_Equipement[[#This Row],[NumL]],T_suiviDi[#Data],COLUMN(T_suiviDi[Prénom]),FALSE)&lt;&gt;"",VLOOKUP(T_Equipement[[#This Row],[NumL]],T_suiviDi[#Data],COLUMN(T_suiviDi[Prénom]),FALSE),""),"")</f>
        <v/>
      </c>
      <c r="D25" s="52" t="str">
        <f>IFERROR(IF(VLOOKUP(T_Equipement[[#This Row],[NumL]],T_suiviDi[#Data],COLUMN(T_suiviDi[Email]),FALSE)&lt;&gt;"",VLOOKUP(T_Equipement[[#This Row],[NumL]],T_suiviDi[#Data],COLUMN(T_suiviDi[Email]),FALSE),""),"")</f>
        <v/>
      </c>
      <c r="E25" s="53" t="str">
        <f>IFERROR(IF(VLOOKUP(T_Equipement[[#This Row],[NumL]],T_suiviDi[#Data],COLUMN(T_suiviDi[Nom1]),FALSE)&lt;&gt;"",VLOOKUP(T_Equipement[[#This Row],[NumL]],T_suiviDi[#Data],COLUMN(T_suiviDi[Nom1]),FALSE),""),"")</f>
        <v/>
      </c>
      <c r="F25" s="53" t="str">
        <f>IFERROR(IF(VLOOKUP(T_Equipement[[#This Row],[NumL]],T_suiviDi[#Data],COLUMN(T_suiviDi[Prénom1]),FALSE)&lt;&gt;"",VLOOKUP(T_Equipement[[#This Row],[NumL]],T_suiviDi[#Data],COLUMN(T_suiviDi[Prénom1]),FALSE),""),"")</f>
        <v/>
      </c>
      <c r="G25" s="53" t="str">
        <f>IFERROR(IF(VLOOKUP(T_Equipement[[#This Row],[NumL]],T_suiviDi[#Data],COLUMN(T_suiviDi[Email1]),FALSE)&lt;&gt;"",VLOOKUP(T_Equipement[[#This Row],[NumL]],T_suiviDi[#Data],COLUMN(T_suiviDi[Email1]),FALSE),""),"")</f>
        <v/>
      </c>
      <c r="H25" s="59"/>
      <c r="I25" s="61"/>
      <c r="J25" s="60" t="s">
        <v>3169</v>
      </c>
      <c r="K25" s="61"/>
      <c r="L25" s="62"/>
      <c r="M25" s="59"/>
      <c r="N25" s="59"/>
      <c r="O25" s="59"/>
      <c r="P25" s="59"/>
      <c r="Q25" s="59"/>
      <c r="R25" s="59"/>
      <c r="S25" s="61"/>
      <c r="T25" s="260" t="e">
        <f>VLOOKUP(T_Equipement[[#This Row],[NumL]],T_TraitDi[#Data],COLUMN(#REF!),FALSE)</f>
        <v>#REF!</v>
      </c>
    </row>
    <row r="26" spans="1:20" ht="24" customHeight="1" x14ac:dyDescent="0.25">
      <c r="A26" s="90">
        <v>187</v>
      </c>
      <c r="B26" s="51" t="str">
        <f>IFERROR(IF(VLOOKUP(T_Equipement[[#This Row],[NumL]],T_suiviDi[#Data],COLUMN(T_suiviDi[Nom]),FALSE)&lt;&gt;"",VLOOKUP(T_Equipement[[#This Row],[NumL]],T_suiviDi[#Data],COLUMN(T_suiviDi[Nom]),FALSE),""),"")</f>
        <v/>
      </c>
      <c r="C26" s="51" t="str">
        <f>IFERROR(IF(VLOOKUP(T_Equipement[[#This Row],[NumL]],T_suiviDi[#Data],COLUMN(T_suiviDi[Prénom]),FALSE)&lt;&gt;"",VLOOKUP(T_Equipement[[#This Row],[NumL]],T_suiviDi[#Data],COLUMN(T_suiviDi[Prénom]),FALSE),""),"")</f>
        <v/>
      </c>
      <c r="D26" s="52" t="str">
        <f>IFERROR(IF(VLOOKUP(T_Equipement[[#This Row],[NumL]],T_suiviDi[#Data],COLUMN(T_suiviDi[Email]),FALSE)&lt;&gt;"",VLOOKUP(T_Equipement[[#This Row],[NumL]],T_suiviDi[#Data],COLUMN(T_suiviDi[Email]),FALSE),""),"")</f>
        <v/>
      </c>
      <c r="E26" s="53" t="str">
        <f>IFERROR(IF(VLOOKUP(T_Equipement[[#This Row],[NumL]],T_suiviDi[#Data],COLUMN(T_suiviDi[Nom1]),FALSE)&lt;&gt;"",VLOOKUP(T_Equipement[[#This Row],[NumL]],T_suiviDi[#Data],COLUMN(T_suiviDi[Nom1]),FALSE),""),"")</f>
        <v/>
      </c>
      <c r="F26" s="53" t="str">
        <f>IFERROR(IF(VLOOKUP(T_Equipement[[#This Row],[NumL]],T_suiviDi[#Data],COLUMN(T_suiviDi[Prénom1]),FALSE)&lt;&gt;"",VLOOKUP(T_Equipement[[#This Row],[NumL]],T_suiviDi[#Data],COLUMN(T_suiviDi[Prénom1]),FALSE),""),"")</f>
        <v/>
      </c>
      <c r="G26" s="53" t="str">
        <f>IFERROR(IF(VLOOKUP(T_Equipement[[#This Row],[NumL]],T_suiviDi[#Data],COLUMN(T_suiviDi[Email1]),FALSE)&lt;&gt;"",VLOOKUP(T_Equipement[[#This Row],[NumL]],T_suiviDi[#Data],COLUMN(T_suiviDi[Email1]),FALSE),""),"")</f>
        <v/>
      </c>
      <c r="H26" s="59"/>
      <c r="I26" s="61"/>
      <c r="J26" s="60" t="s">
        <v>3063</v>
      </c>
      <c r="K26" s="61"/>
      <c r="L26" s="62"/>
      <c r="M26" s="59"/>
      <c r="N26" s="59"/>
      <c r="O26" s="59"/>
      <c r="P26" s="59"/>
      <c r="Q26" s="59"/>
      <c r="R26" s="59"/>
      <c r="S26" s="61"/>
      <c r="T26" s="260" t="e">
        <f>VLOOKUP(T_Equipement[[#This Row],[NumL]],T_TraitDi[#Data],COLUMN(#REF!),FALSE)</f>
        <v>#REF!</v>
      </c>
    </row>
    <row r="27" spans="1:20" ht="24" customHeight="1" x14ac:dyDescent="0.25">
      <c r="A27" s="90">
        <v>173</v>
      </c>
      <c r="B27" s="51" t="str">
        <f>IFERROR(IF(VLOOKUP(T_Equipement[[#This Row],[NumL]],T_suiviDi[#Data],COLUMN(T_suiviDi[Nom]),FALSE)&lt;&gt;"",VLOOKUP(T_Equipement[[#This Row],[NumL]],T_suiviDi[#Data],COLUMN(T_suiviDi[Nom]),FALSE),""),"")</f>
        <v/>
      </c>
      <c r="C27" s="51" t="str">
        <f>IFERROR(IF(VLOOKUP(T_Equipement[[#This Row],[NumL]],T_suiviDi[#Data],COLUMN(T_suiviDi[Prénom]),FALSE)&lt;&gt;"",VLOOKUP(T_Equipement[[#This Row],[NumL]],T_suiviDi[#Data],COLUMN(T_suiviDi[Prénom]),FALSE),""),"")</f>
        <v/>
      </c>
      <c r="D27" s="52" t="str">
        <f>IFERROR(IF(VLOOKUP(T_Equipement[[#This Row],[NumL]],T_suiviDi[#Data],COLUMN(T_suiviDi[Email]),FALSE)&lt;&gt;"",VLOOKUP(T_Equipement[[#This Row],[NumL]],T_suiviDi[#Data],COLUMN(T_suiviDi[Email]),FALSE),""),"")</f>
        <v/>
      </c>
      <c r="E27" s="53" t="str">
        <f>IFERROR(IF(VLOOKUP(T_Equipement[[#This Row],[NumL]],T_suiviDi[#Data],COLUMN(T_suiviDi[Nom1]),FALSE)&lt;&gt;"",VLOOKUP(T_Equipement[[#This Row],[NumL]],T_suiviDi[#Data],COLUMN(T_suiviDi[Nom1]),FALSE),""),"")</f>
        <v/>
      </c>
      <c r="F27" s="53" t="str">
        <f>IFERROR(IF(VLOOKUP(T_Equipement[[#This Row],[NumL]],T_suiviDi[#Data],COLUMN(T_suiviDi[Prénom1]),FALSE)&lt;&gt;"",VLOOKUP(T_Equipement[[#This Row],[NumL]],T_suiviDi[#Data],COLUMN(T_suiviDi[Prénom1]),FALSE),""),"")</f>
        <v/>
      </c>
      <c r="G27" s="53" t="str">
        <f>IFERROR(IF(VLOOKUP(T_Equipement[[#This Row],[NumL]],T_suiviDi[#Data],COLUMN(T_suiviDi[Email1]),FALSE)&lt;&gt;"",VLOOKUP(T_Equipement[[#This Row],[NumL]],T_suiviDi[#Data],COLUMN(T_suiviDi[Email1]),FALSE),""),"")</f>
        <v/>
      </c>
      <c r="H27" s="59" t="s">
        <v>3278</v>
      </c>
      <c r="I27" s="251">
        <v>44165</v>
      </c>
      <c r="J27" s="60" t="s">
        <v>3064</v>
      </c>
      <c r="K27" s="61"/>
      <c r="L27" s="62"/>
      <c r="M27" s="59"/>
      <c r="N27" s="59"/>
      <c r="O27" s="59"/>
      <c r="P27" s="59"/>
      <c r="Q27" s="59"/>
      <c r="R27" s="59"/>
      <c r="S27" s="61"/>
      <c r="T27" s="260" t="e">
        <f>VLOOKUP(T_Equipement[[#This Row],[NumL]],T_TraitDi[#Data],COLUMN(#REF!),FALSE)</f>
        <v>#REF!</v>
      </c>
    </row>
    <row r="28" spans="1:20" ht="24" customHeight="1" x14ac:dyDescent="0.25">
      <c r="A28" s="90">
        <v>184</v>
      </c>
      <c r="B28" s="51" t="str">
        <f>IFERROR(IF(VLOOKUP(T_Equipement[[#This Row],[NumL]],T_suiviDi[#Data],COLUMN(T_suiviDi[Nom]),FALSE)&lt;&gt;"",VLOOKUP(T_Equipement[[#This Row],[NumL]],T_suiviDi[#Data],COLUMN(T_suiviDi[Nom]),FALSE),""),"")</f>
        <v/>
      </c>
      <c r="C28" s="51" t="str">
        <f>IFERROR(IF(VLOOKUP(T_Equipement[[#This Row],[NumL]],T_suiviDi[#Data],COLUMN(T_suiviDi[Prénom]),FALSE)&lt;&gt;"",VLOOKUP(T_Equipement[[#This Row],[NumL]],T_suiviDi[#Data],COLUMN(T_suiviDi[Prénom]),FALSE),""),"")</f>
        <v/>
      </c>
      <c r="D28" s="52" t="str">
        <f>IFERROR(IF(VLOOKUP(T_Equipement[[#This Row],[NumL]],T_suiviDi[#Data],COLUMN(T_suiviDi[Email]),FALSE)&lt;&gt;"",VLOOKUP(T_Equipement[[#This Row],[NumL]],T_suiviDi[#Data],COLUMN(T_suiviDi[Email]),FALSE),""),"")</f>
        <v/>
      </c>
      <c r="E28" s="53" t="str">
        <f>IFERROR(IF(VLOOKUP(T_Equipement[[#This Row],[NumL]],T_suiviDi[#Data],COLUMN(T_suiviDi[Nom1]),FALSE)&lt;&gt;"",VLOOKUP(T_Equipement[[#This Row],[NumL]],T_suiviDi[#Data],COLUMN(T_suiviDi[Nom1]),FALSE),""),"")</f>
        <v/>
      </c>
      <c r="F28" s="53" t="str">
        <f>IFERROR(IF(VLOOKUP(T_Equipement[[#This Row],[NumL]],T_suiviDi[#Data],COLUMN(T_suiviDi[Prénom1]),FALSE)&lt;&gt;"",VLOOKUP(T_Equipement[[#This Row],[NumL]],T_suiviDi[#Data],COLUMN(T_suiviDi[Prénom1]),FALSE),""),"")</f>
        <v/>
      </c>
      <c r="G28" s="53" t="str">
        <f>IFERROR(IF(VLOOKUP(T_Equipement[[#This Row],[NumL]],T_suiviDi[#Data],COLUMN(T_suiviDi[Email1]),FALSE)&lt;&gt;"",VLOOKUP(T_Equipement[[#This Row],[NumL]],T_suiviDi[#Data],COLUMN(T_suiviDi[Email1]),FALSE),""),"")</f>
        <v/>
      </c>
      <c r="H28" s="59" t="s">
        <v>3277</v>
      </c>
      <c r="I28" s="61"/>
      <c r="J28" s="60" t="s">
        <v>3065</v>
      </c>
      <c r="K28" s="61"/>
      <c r="L28" s="62"/>
      <c r="M28" s="59"/>
      <c r="N28" s="59"/>
      <c r="O28" s="59"/>
      <c r="P28" s="59"/>
      <c r="Q28" s="59"/>
      <c r="R28" s="59"/>
      <c r="S28" s="61"/>
      <c r="T28" s="260" t="e">
        <f>VLOOKUP(T_Equipement[[#This Row],[NumL]],T_TraitDi[#Data],COLUMN(#REF!),FALSE)</f>
        <v>#REF!</v>
      </c>
    </row>
    <row r="29" spans="1:20" ht="24" customHeight="1" x14ac:dyDescent="0.25">
      <c r="A29" s="90">
        <v>56</v>
      </c>
      <c r="B29" s="51" t="str">
        <f>IFERROR(IF(VLOOKUP(T_Equipement[[#This Row],[NumL]],T_suiviDi[#Data],COLUMN(T_suiviDi[Nom]),FALSE)&lt;&gt;"",VLOOKUP(T_Equipement[[#This Row],[NumL]],T_suiviDi[#Data],COLUMN(T_suiviDi[Nom]),FALSE),""),"")</f>
        <v/>
      </c>
      <c r="C29" s="51" t="str">
        <f>IFERROR(IF(VLOOKUP(T_Equipement[[#This Row],[NumL]],T_suiviDi[#Data],COLUMN(T_suiviDi[Prénom]),FALSE)&lt;&gt;"",VLOOKUP(T_Equipement[[#This Row],[NumL]],T_suiviDi[#Data],COLUMN(T_suiviDi[Prénom]),FALSE),""),"")</f>
        <v/>
      </c>
      <c r="D29" s="52" t="str">
        <f>IFERROR(IF(VLOOKUP(T_Equipement[[#This Row],[NumL]],T_suiviDi[#Data],COLUMN(T_suiviDi[Email]),FALSE)&lt;&gt;"",VLOOKUP(T_Equipement[[#This Row],[NumL]],T_suiviDi[#Data],COLUMN(T_suiviDi[Email]),FALSE),""),"")</f>
        <v/>
      </c>
      <c r="E29" s="53" t="str">
        <f>IFERROR(IF(VLOOKUP(T_Equipement[[#This Row],[NumL]],T_suiviDi[#Data],COLUMN(T_suiviDi[Nom1]),FALSE)&lt;&gt;"",VLOOKUP(T_Equipement[[#This Row],[NumL]],T_suiviDi[#Data],COLUMN(T_suiviDi[Nom1]),FALSE),""),"")</f>
        <v/>
      </c>
      <c r="F29" s="53" t="str">
        <f>IFERROR(IF(VLOOKUP(T_Equipement[[#This Row],[NumL]],T_suiviDi[#Data],COLUMN(T_suiviDi[Prénom1]),FALSE)&lt;&gt;"",VLOOKUP(T_Equipement[[#This Row],[NumL]],T_suiviDi[#Data],COLUMN(T_suiviDi[Prénom1]),FALSE),""),"")</f>
        <v/>
      </c>
      <c r="G29" s="53" t="str">
        <f>IFERROR(IF(VLOOKUP(T_Equipement[[#This Row],[NumL]],T_suiviDi[#Data],COLUMN(T_suiviDi[Email1]),FALSE)&lt;&gt;"",VLOOKUP(T_Equipement[[#This Row],[NumL]],T_suiviDi[#Data],COLUMN(T_suiviDi[Email1]),FALSE),""),"")</f>
        <v/>
      </c>
      <c r="H29" s="59"/>
      <c r="I29" s="61"/>
      <c r="J29" s="60" t="s">
        <v>3066</v>
      </c>
      <c r="K29" s="61"/>
      <c r="L29" s="62"/>
      <c r="M29" s="59"/>
      <c r="N29" s="59"/>
      <c r="O29" s="59"/>
      <c r="P29" s="59"/>
      <c r="Q29" s="59"/>
      <c r="R29" s="59"/>
      <c r="S29" s="61"/>
      <c r="T29" s="260" t="e">
        <f>VLOOKUP(T_Equipement[[#This Row],[NumL]],T_TraitDi[#Data],COLUMN(#REF!),FALSE)</f>
        <v>#REF!</v>
      </c>
    </row>
    <row r="30" spans="1:20" ht="24" customHeight="1" x14ac:dyDescent="0.25">
      <c r="A30" s="90">
        <v>257</v>
      </c>
      <c r="B30" s="51" t="str">
        <f>IFERROR(IF(VLOOKUP(T_Equipement[[#This Row],[NumL]],T_suiviDi[#Data],COLUMN(T_suiviDi[Nom]),FALSE)&lt;&gt;"",VLOOKUP(T_Equipement[[#This Row],[NumL]],T_suiviDi[#Data],COLUMN(T_suiviDi[Nom]),FALSE),""),"")</f>
        <v/>
      </c>
      <c r="C30" s="51" t="str">
        <f>IFERROR(IF(VLOOKUP(T_Equipement[[#This Row],[NumL]],T_suiviDi[#Data],COLUMN(T_suiviDi[Prénom]),FALSE)&lt;&gt;"",VLOOKUP(T_Equipement[[#This Row],[NumL]],T_suiviDi[#Data],COLUMN(T_suiviDi[Prénom]),FALSE),""),"")</f>
        <v/>
      </c>
      <c r="D30" s="52" t="str">
        <f>IFERROR(IF(VLOOKUP(T_Equipement[[#This Row],[NumL]],T_suiviDi[#Data],COLUMN(T_suiviDi[Email]),FALSE)&lt;&gt;"",VLOOKUP(T_Equipement[[#This Row],[NumL]],T_suiviDi[#Data],COLUMN(T_suiviDi[Email]),FALSE),""),"")</f>
        <v/>
      </c>
      <c r="E30" s="53" t="str">
        <f>IFERROR(IF(VLOOKUP(T_Equipement[[#This Row],[NumL]],T_suiviDi[#Data],COLUMN(T_suiviDi[Nom1]),FALSE)&lt;&gt;"",VLOOKUP(T_Equipement[[#This Row],[NumL]],T_suiviDi[#Data],COLUMN(T_suiviDi[Nom1]),FALSE),""),"")</f>
        <v/>
      </c>
      <c r="F30" s="53" t="str">
        <f>IFERROR(IF(VLOOKUP(T_Equipement[[#This Row],[NumL]],T_suiviDi[#Data],COLUMN(T_suiviDi[Prénom1]),FALSE)&lt;&gt;"",VLOOKUP(T_Equipement[[#This Row],[NumL]],T_suiviDi[#Data],COLUMN(T_suiviDi[Prénom1]),FALSE),""),"")</f>
        <v/>
      </c>
      <c r="G30" s="53" t="str">
        <f>IFERROR(IF(VLOOKUP(T_Equipement[[#This Row],[NumL]],T_suiviDi[#Data],COLUMN(T_suiviDi[Email1]),FALSE)&lt;&gt;"",VLOOKUP(T_Equipement[[#This Row],[NumL]],T_suiviDi[#Data],COLUMN(T_suiviDi[Email1]),FALSE),""),"")</f>
        <v/>
      </c>
      <c r="H30" s="59" t="s">
        <v>3277</v>
      </c>
      <c r="I30" s="61"/>
      <c r="J30" s="60" t="s">
        <v>3067</v>
      </c>
      <c r="K30" s="61"/>
      <c r="L30" s="62"/>
      <c r="M30" s="59"/>
      <c r="N30" s="59"/>
      <c r="O30" s="59"/>
      <c r="P30" s="59"/>
      <c r="Q30" s="59"/>
      <c r="R30" s="59"/>
      <c r="S30" s="61"/>
      <c r="T30" s="260" t="e">
        <f>VLOOKUP(T_Equipement[[#This Row],[NumL]],T_TraitDi[#Data],COLUMN(#REF!),FALSE)</f>
        <v>#REF!</v>
      </c>
    </row>
    <row r="31" spans="1:20" ht="24" customHeight="1" x14ac:dyDescent="0.25">
      <c r="A31" s="90">
        <v>32</v>
      </c>
      <c r="B31" s="51" t="str">
        <f>IFERROR(IF(VLOOKUP(T_Equipement[[#This Row],[NumL]],T_suiviDi[#Data],COLUMN(T_suiviDi[Nom]),FALSE)&lt;&gt;"",VLOOKUP(T_Equipement[[#This Row],[NumL]],T_suiviDi[#Data],COLUMN(T_suiviDi[Nom]),FALSE),""),"")</f>
        <v/>
      </c>
      <c r="C31" s="51" t="str">
        <f>IFERROR(IF(VLOOKUP(T_Equipement[[#This Row],[NumL]],T_suiviDi[#Data],COLUMN(T_suiviDi[Prénom]),FALSE)&lt;&gt;"",VLOOKUP(T_Equipement[[#This Row],[NumL]],T_suiviDi[#Data],COLUMN(T_suiviDi[Prénom]),FALSE),""),"")</f>
        <v/>
      </c>
      <c r="D31" s="52" t="str">
        <f>IFERROR(IF(VLOOKUP(T_Equipement[[#This Row],[NumL]],T_suiviDi[#Data],COLUMN(T_suiviDi[Email]),FALSE)&lt;&gt;"",VLOOKUP(T_Equipement[[#This Row],[NumL]],T_suiviDi[#Data],COLUMN(T_suiviDi[Email]),FALSE),""),"")</f>
        <v/>
      </c>
      <c r="E31" s="53" t="str">
        <f>IFERROR(IF(VLOOKUP(T_Equipement[[#This Row],[NumL]],T_suiviDi[#Data],COLUMN(T_suiviDi[Nom1]),FALSE)&lt;&gt;"",VLOOKUP(T_Equipement[[#This Row],[NumL]],T_suiviDi[#Data],COLUMN(T_suiviDi[Nom1]),FALSE),""),"")</f>
        <v/>
      </c>
      <c r="F31" s="53" t="str">
        <f>IFERROR(IF(VLOOKUP(T_Equipement[[#This Row],[NumL]],T_suiviDi[#Data],COLUMN(T_suiviDi[Prénom1]),FALSE)&lt;&gt;"",VLOOKUP(T_Equipement[[#This Row],[NumL]],T_suiviDi[#Data],COLUMN(T_suiviDi[Prénom1]),FALSE),""),"")</f>
        <v/>
      </c>
      <c r="G31" s="53" t="str">
        <f>IFERROR(IF(VLOOKUP(T_Equipement[[#This Row],[NumL]],T_suiviDi[#Data],COLUMN(T_suiviDi[Email1]),FALSE)&lt;&gt;"",VLOOKUP(T_Equipement[[#This Row],[NumL]],T_suiviDi[#Data],COLUMN(T_suiviDi[Email1]),FALSE),""),"")</f>
        <v/>
      </c>
      <c r="H31" s="59"/>
      <c r="I31" s="61"/>
      <c r="J31" s="60" t="s">
        <v>3068</v>
      </c>
      <c r="K31" s="61"/>
      <c r="L31" s="62"/>
      <c r="M31" s="59"/>
      <c r="N31" s="59"/>
      <c r="O31" s="59"/>
      <c r="P31" s="59"/>
      <c r="Q31" s="59"/>
      <c r="R31" s="59"/>
      <c r="S31" s="61"/>
      <c r="T31" s="260" t="e">
        <f>VLOOKUP(T_Equipement[[#This Row],[NumL]],T_TraitDi[#Data],COLUMN(#REF!),FALSE)</f>
        <v>#REF!</v>
      </c>
    </row>
    <row r="32" spans="1:20" ht="24" customHeight="1" x14ac:dyDescent="0.25">
      <c r="A32" s="90">
        <v>130</v>
      </c>
      <c r="B32" s="51" t="str">
        <f>IFERROR(IF(VLOOKUP(T_Equipement[[#This Row],[NumL]],T_suiviDi[#Data],COLUMN(T_suiviDi[Nom]),FALSE)&lt;&gt;"",VLOOKUP(T_Equipement[[#This Row],[NumL]],T_suiviDi[#Data],COLUMN(T_suiviDi[Nom]),FALSE),""),"")</f>
        <v/>
      </c>
      <c r="C32" s="51" t="str">
        <f>IFERROR(IF(VLOOKUP(T_Equipement[[#This Row],[NumL]],T_suiviDi[#Data],COLUMN(T_suiviDi[Prénom]),FALSE)&lt;&gt;"",VLOOKUP(T_Equipement[[#This Row],[NumL]],T_suiviDi[#Data],COLUMN(T_suiviDi[Prénom]),FALSE),""),"")</f>
        <v/>
      </c>
      <c r="D32" s="52" t="str">
        <f>IFERROR(IF(VLOOKUP(T_Equipement[[#This Row],[NumL]],T_suiviDi[#Data],COLUMN(T_suiviDi[Email]),FALSE)&lt;&gt;"",VLOOKUP(T_Equipement[[#This Row],[NumL]],T_suiviDi[#Data],COLUMN(T_suiviDi[Email]),FALSE),""),"")</f>
        <v/>
      </c>
      <c r="E32" s="53" t="str">
        <f>IFERROR(IF(VLOOKUP(T_Equipement[[#This Row],[NumL]],T_suiviDi[#Data],COLUMN(T_suiviDi[Nom1]),FALSE)&lt;&gt;"",VLOOKUP(T_Equipement[[#This Row],[NumL]],T_suiviDi[#Data],COLUMN(T_suiviDi[Nom1]),FALSE),""),"")</f>
        <v/>
      </c>
      <c r="F32" s="53" t="str">
        <f>IFERROR(IF(VLOOKUP(T_Equipement[[#This Row],[NumL]],T_suiviDi[#Data],COLUMN(T_suiviDi[Prénom1]),FALSE)&lt;&gt;"",VLOOKUP(T_Equipement[[#This Row],[NumL]],T_suiviDi[#Data],COLUMN(T_suiviDi[Prénom1]),FALSE),""),"")</f>
        <v/>
      </c>
      <c r="G32" s="53" t="str">
        <f>IFERROR(IF(VLOOKUP(T_Equipement[[#This Row],[NumL]],T_suiviDi[#Data],COLUMN(T_suiviDi[Email1]),FALSE)&lt;&gt;"",VLOOKUP(T_Equipement[[#This Row],[NumL]],T_suiviDi[#Data],COLUMN(T_suiviDi[Email1]),FALSE),""),"")</f>
        <v/>
      </c>
      <c r="H32" s="59"/>
      <c r="I32" s="61"/>
      <c r="J32" s="60" t="s">
        <v>3069</v>
      </c>
      <c r="K32" s="61"/>
      <c r="L32" s="62"/>
      <c r="M32" s="59"/>
      <c r="N32" s="59"/>
      <c r="O32" s="59"/>
      <c r="P32" s="59"/>
      <c r="Q32" s="59"/>
      <c r="R32" s="59"/>
      <c r="S32" s="61"/>
      <c r="T32" s="260" t="e">
        <f>VLOOKUP(T_Equipement[[#This Row],[NumL]],T_TraitDi[#Data],COLUMN(#REF!),FALSE)</f>
        <v>#REF!</v>
      </c>
    </row>
    <row r="33" spans="1:20" ht="24" customHeight="1" x14ac:dyDescent="0.25">
      <c r="A33" s="90">
        <v>329</v>
      </c>
      <c r="B33" s="51" t="str">
        <f>IFERROR(IF(VLOOKUP(T_Equipement[[#This Row],[NumL]],T_suiviDi[#Data],COLUMN(T_suiviDi[Nom]),FALSE)&lt;&gt;"",VLOOKUP(T_Equipement[[#This Row],[NumL]],T_suiviDi[#Data],COLUMN(T_suiviDi[Nom]),FALSE),""),"")</f>
        <v/>
      </c>
      <c r="C33" s="51" t="str">
        <f>IFERROR(IF(VLOOKUP(T_Equipement[[#This Row],[NumL]],T_suiviDi[#Data],COLUMN(T_suiviDi[Prénom]),FALSE)&lt;&gt;"",VLOOKUP(T_Equipement[[#This Row],[NumL]],T_suiviDi[#Data],COLUMN(T_suiviDi[Prénom]),FALSE),""),"")</f>
        <v/>
      </c>
      <c r="D33" s="52" t="str">
        <f>IFERROR(IF(VLOOKUP(T_Equipement[[#This Row],[NumL]],T_suiviDi[#Data],COLUMN(T_suiviDi[Email]),FALSE)&lt;&gt;"",VLOOKUP(T_Equipement[[#This Row],[NumL]],T_suiviDi[#Data],COLUMN(T_suiviDi[Email]),FALSE),""),"")</f>
        <v/>
      </c>
      <c r="E33" s="53" t="str">
        <f>IFERROR(IF(VLOOKUP(T_Equipement[[#This Row],[NumL]],T_suiviDi[#Data],COLUMN(T_suiviDi[Nom1]),FALSE)&lt;&gt;"",VLOOKUP(T_Equipement[[#This Row],[NumL]],T_suiviDi[#Data],COLUMN(T_suiviDi[Nom1]),FALSE),""),"")</f>
        <v/>
      </c>
      <c r="F33" s="53" t="str">
        <f>IFERROR(IF(VLOOKUP(T_Equipement[[#This Row],[NumL]],T_suiviDi[#Data],COLUMN(T_suiviDi[Prénom1]),FALSE)&lt;&gt;"",VLOOKUP(T_Equipement[[#This Row],[NumL]],T_suiviDi[#Data],COLUMN(T_suiviDi[Prénom1]),FALSE),""),"")</f>
        <v/>
      </c>
      <c r="G33" s="53" t="str">
        <f>IFERROR(IF(VLOOKUP(T_Equipement[[#This Row],[NumL]],T_suiviDi[#Data],COLUMN(T_suiviDi[Email1]),FALSE)&lt;&gt;"",VLOOKUP(T_Equipement[[#This Row],[NumL]],T_suiviDi[#Data],COLUMN(T_suiviDi[Email1]),FALSE),""),"")</f>
        <v/>
      </c>
      <c r="H33" s="59"/>
      <c r="I33" s="61"/>
      <c r="J33" s="60"/>
      <c r="K33" s="61"/>
      <c r="L33" s="62"/>
      <c r="M33" s="59"/>
      <c r="N33" s="59"/>
      <c r="O33" s="59"/>
      <c r="P33" s="59"/>
      <c r="Q33" s="59"/>
      <c r="R33" s="59"/>
      <c r="S33" s="61"/>
      <c r="T33" s="260"/>
    </row>
    <row r="34" spans="1:20" ht="24" customHeight="1" x14ac:dyDescent="0.25">
      <c r="A34" s="90">
        <v>258</v>
      </c>
      <c r="B34" s="51" t="str">
        <f>IFERROR(IF(VLOOKUP(T_Equipement[[#This Row],[NumL]],T_suiviDi[#Data],COLUMN(T_suiviDi[Nom]),FALSE)&lt;&gt;"",VLOOKUP(T_Equipement[[#This Row],[NumL]],T_suiviDi[#Data],COLUMN(T_suiviDi[Nom]),FALSE),""),"")</f>
        <v/>
      </c>
      <c r="C34" s="51" t="str">
        <f>IFERROR(IF(VLOOKUP(T_Equipement[[#This Row],[NumL]],T_suiviDi[#Data],COLUMN(T_suiviDi[Prénom]),FALSE)&lt;&gt;"",VLOOKUP(T_Equipement[[#This Row],[NumL]],T_suiviDi[#Data],COLUMN(T_suiviDi[Prénom]),FALSE),""),"")</f>
        <v/>
      </c>
      <c r="D34" s="52" t="str">
        <f>IFERROR(IF(VLOOKUP(T_Equipement[[#This Row],[NumL]],T_suiviDi[#Data],COLUMN(T_suiviDi[Email]),FALSE)&lt;&gt;"",VLOOKUP(T_Equipement[[#This Row],[NumL]],T_suiviDi[#Data],COLUMN(T_suiviDi[Email]),FALSE),""),"")</f>
        <v/>
      </c>
      <c r="E34" s="53" t="str">
        <f>IFERROR(IF(VLOOKUP(T_Equipement[[#This Row],[NumL]],T_suiviDi[#Data],COLUMN(T_suiviDi[Nom1]),FALSE)&lt;&gt;"",VLOOKUP(T_Equipement[[#This Row],[NumL]],T_suiviDi[#Data],COLUMN(T_suiviDi[Nom1]),FALSE),""),"")</f>
        <v/>
      </c>
      <c r="F34" s="53" t="str">
        <f>IFERROR(IF(VLOOKUP(T_Equipement[[#This Row],[NumL]],T_suiviDi[#Data],COLUMN(T_suiviDi[Prénom1]),FALSE)&lt;&gt;"",VLOOKUP(T_Equipement[[#This Row],[NumL]],T_suiviDi[#Data],COLUMN(T_suiviDi[Prénom1]),FALSE),""),"")</f>
        <v/>
      </c>
      <c r="G34" s="53" t="str">
        <f>IFERROR(IF(VLOOKUP(T_Equipement[[#This Row],[NumL]],T_suiviDi[#Data],COLUMN(T_suiviDi[Email1]),FALSE)&lt;&gt;"",VLOOKUP(T_Equipement[[#This Row],[NumL]],T_suiviDi[#Data],COLUMN(T_suiviDi[Email1]),FALSE),""),"")</f>
        <v/>
      </c>
      <c r="H34" s="59" t="s">
        <v>3277</v>
      </c>
      <c r="I34" s="61"/>
      <c r="J34" s="60" t="s">
        <v>3070</v>
      </c>
      <c r="K34" s="61"/>
      <c r="L34" s="62"/>
      <c r="M34" s="59"/>
      <c r="N34" s="59"/>
      <c r="O34" s="59"/>
      <c r="P34" s="59"/>
      <c r="Q34" s="59"/>
      <c r="R34" s="59"/>
      <c r="S34" s="61"/>
      <c r="T34" s="260" t="e">
        <f>VLOOKUP(T_Equipement[[#This Row],[NumL]],T_TraitDi[#Data],COLUMN(#REF!),FALSE)</f>
        <v>#REF!</v>
      </c>
    </row>
    <row r="35" spans="1:20" ht="24" customHeight="1" x14ac:dyDescent="0.25">
      <c r="A35" s="90">
        <v>295</v>
      </c>
      <c r="B35" s="51" t="str">
        <f>IFERROR(IF(VLOOKUP(T_Equipement[[#This Row],[NumL]],T_suiviDi[#Data],COLUMN(T_suiviDi[Nom]),FALSE)&lt;&gt;"",VLOOKUP(T_Equipement[[#This Row],[NumL]],T_suiviDi[#Data],COLUMN(T_suiviDi[Nom]),FALSE),""),"")</f>
        <v/>
      </c>
      <c r="C35" s="51" t="str">
        <f>IFERROR(IF(VLOOKUP(T_Equipement[[#This Row],[NumL]],T_suiviDi[#Data],COLUMN(T_suiviDi[Prénom]),FALSE)&lt;&gt;"",VLOOKUP(T_Equipement[[#This Row],[NumL]],T_suiviDi[#Data],COLUMN(T_suiviDi[Prénom]),FALSE),""),"")</f>
        <v/>
      </c>
      <c r="D35" s="52" t="str">
        <f>IFERROR(IF(VLOOKUP(T_Equipement[[#This Row],[NumL]],T_suiviDi[#Data],COLUMN(T_suiviDi[Email]),FALSE)&lt;&gt;"",VLOOKUP(T_Equipement[[#This Row],[NumL]],T_suiviDi[#Data],COLUMN(T_suiviDi[Email]),FALSE),""),"")</f>
        <v/>
      </c>
      <c r="E35" s="53" t="str">
        <f>IFERROR(IF(VLOOKUP(T_Equipement[[#This Row],[NumL]],T_suiviDi[#Data],COLUMN(T_suiviDi[Nom1]),FALSE)&lt;&gt;"",VLOOKUP(T_Equipement[[#This Row],[NumL]],T_suiviDi[#Data],COLUMN(T_suiviDi[Nom1]),FALSE),""),"")</f>
        <v/>
      </c>
      <c r="F35" s="53" t="str">
        <f>IFERROR(IF(VLOOKUP(T_Equipement[[#This Row],[NumL]],T_suiviDi[#Data],COLUMN(T_suiviDi[Prénom1]),FALSE)&lt;&gt;"",VLOOKUP(T_Equipement[[#This Row],[NumL]],T_suiviDi[#Data],COLUMN(T_suiviDi[Prénom1]),FALSE),""),"")</f>
        <v/>
      </c>
      <c r="G35" s="53" t="str">
        <f>IFERROR(IF(VLOOKUP(T_Equipement[[#This Row],[NumL]],T_suiviDi[#Data],COLUMN(T_suiviDi[Email1]),FALSE)&lt;&gt;"",VLOOKUP(T_Equipement[[#This Row],[NumL]],T_suiviDi[#Data],COLUMN(T_suiviDi[Email1]),FALSE),""),"")</f>
        <v/>
      </c>
      <c r="H35" s="59"/>
      <c r="I35" s="61"/>
      <c r="J35" s="60"/>
      <c r="K35" s="61"/>
      <c r="L35" s="62"/>
      <c r="M35" s="59"/>
      <c r="N35" s="59"/>
      <c r="O35" s="59"/>
      <c r="P35" s="59"/>
      <c r="Q35" s="59"/>
      <c r="R35" s="59"/>
      <c r="S35" s="61"/>
      <c r="T35" s="260"/>
    </row>
    <row r="36" spans="1:20" ht="24" customHeight="1" x14ac:dyDescent="0.25">
      <c r="A36" s="90">
        <v>71</v>
      </c>
      <c r="B36" s="51" t="str">
        <f>IFERROR(IF(VLOOKUP(T_Equipement[[#This Row],[NumL]],T_suiviDi[#Data],COLUMN(T_suiviDi[Nom]),FALSE)&lt;&gt;"",VLOOKUP(T_Equipement[[#This Row],[NumL]],T_suiviDi[#Data],COLUMN(T_suiviDi[Nom]),FALSE),""),"")</f>
        <v/>
      </c>
      <c r="C36" s="51" t="str">
        <f>IFERROR(IF(VLOOKUP(T_Equipement[[#This Row],[NumL]],T_suiviDi[#Data],COLUMN(T_suiviDi[Prénom]),FALSE)&lt;&gt;"",VLOOKUP(T_Equipement[[#This Row],[NumL]],T_suiviDi[#Data],COLUMN(T_suiviDi[Prénom]),FALSE),""),"")</f>
        <v/>
      </c>
      <c r="D36" s="52" t="str">
        <f>IFERROR(IF(VLOOKUP(T_Equipement[[#This Row],[NumL]],T_suiviDi[#Data],COLUMN(T_suiviDi[Email]),FALSE)&lt;&gt;"",VLOOKUP(T_Equipement[[#This Row],[NumL]],T_suiviDi[#Data],COLUMN(T_suiviDi[Email]),FALSE),""),"")</f>
        <v/>
      </c>
      <c r="E36" s="53" t="str">
        <f>IFERROR(IF(VLOOKUP(T_Equipement[[#This Row],[NumL]],T_suiviDi[#Data],COLUMN(T_suiviDi[Nom1]),FALSE)&lt;&gt;"",VLOOKUP(T_Equipement[[#This Row],[NumL]],T_suiviDi[#Data],COLUMN(T_suiviDi[Nom1]),FALSE),""),"")</f>
        <v/>
      </c>
      <c r="F36" s="53" t="str">
        <f>IFERROR(IF(VLOOKUP(T_Equipement[[#This Row],[NumL]],T_suiviDi[#Data],COLUMN(T_suiviDi[Prénom1]),FALSE)&lt;&gt;"",VLOOKUP(T_Equipement[[#This Row],[NumL]],T_suiviDi[#Data],COLUMN(T_suiviDi[Prénom1]),FALSE),""),"")</f>
        <v/>
      </c>
      <c r="G36" s="53" t="str">
        <f>IFERROR(IF(VLOOKUP(T_Equipement[[#This Row],[NumL]],T_suiviDi[#Data],COLUMN(T_suiviDi[Email1]),FALSE)&lt;&gt;"",VLOOKUP(T_Equipement[[#This Row],[NumL]],T_suiviDi[#Data],COLUMN(T_suiviDi[Email1]),FALSE),""),"")</f>
        <v/>
      </c>
      <c r="H36" s="59"/>
      <c r="I36" s="61"/>
      <c r="J36" s="60" t="s">
        <v>3071</v>
      </c>
      <c r="K36" s="61"/>
      <c r="L36" s="62"/>
      <c r="M36" s="59"/>
      <c r="N36" s="59"/>
      <c r="O36" s="59"/>
      <c r="P36" s="59"/>
      <c r="Q36" s="59"/>
      <c r="R36" s="59"/>
      <c r="S36" s="61"/>
      <c r="T36" s="260" t="e">
        <f>VLOOKUP(T_Equipement[[#This Row],[NumL]],T_TraitDi[#Data],COLUMN(#REF!),FALSE)</f>
        <v>#REF!</v>
      </c>
    </row>
    <row r="37" spans="1:20" ht="24" customHeight="1" x14ac:dyDescent="0.25">
      <c r="A37" s="90">
        <v>6</v>
      </c>
      <c r="B37" s="51" t="str">
        <f>IFERROR(IF(VLOOKUP(T_Equipement[[#This Row],[NumL]],T_suiviDi[#Data],COLUMN(T_suiviDi[Nom]),FALSE)&lt;&gt;"",VLOOKUP(T_Equipement[[#This Row],[NumL]],T_suiviDi[#Data],COLUMN(T_suiviDi[Nom]),FALSE),""),"")</f>
        <v/>
      </c>
      <c r="C37" s="51" t="str">
        <f>IFERROR(IF(VLOOKUP(T_Equipement[[#This Row],[NumL]],T_suiviDi[#Data],COLUMN(T_suiviDi[Prénom]),FALSE)&lt;&gt;"",VLOOKUP(T_Equipement[[#This Row],[NumL]],T_suiviDi[#Data],COLUMN(T_suiviDi[Prénom]),FALSE),""),"")</f>
        <v/>
      </c>
      <c r="D37" s="52" t="str">
        <f>IFERROR(IF(VLOOKUP(T_Equipement[[#This Row],[NumL]],T_suiviDi[#Data],COLUMN(T_suiviDi[Email]),FALSE)&lt;&gt;"",VLOOKUP(T_Equipement[[#This Row],[NumL]],T_suiviDi[#Data],COLUMN(T_suiviDi[Email]),FALSE),""),"")</f>
        <v/>
      </c>
      <c r="E37" s="53" t="str">
        <f>IFERROR(IF(VLOOKUP(T_Equipement[[#This Row],[NumL]],T_suiviDi[#Data],COLUMN(T_suiviDi[Nom1]),FALSE)&lt;&gt;"",VLOOKUP(T_Equipement[[#This Row],[NumL]],T_suiviDi[#Data],COLUMN(T_suiviDi[Nom1]),FALSE),""),"")</f>
        <v/>
      </c>
      <c r="F37" s="53" t="str">
        <f>IFERROR(IF(VLOOKUP(T_Equipement[[#This Row],[NumL]],T_suiviDi[#Data],COLUMN(T_suiviDi[Prénom1]),FALSE)&lt;&gt;"",VLOOKUP(T_Equipement[[#This Row],[NumL]],T_suiviDi[#Data],COLUMN(T_suiviDi[Prénom1]),FALSE),""),"")</f>
        <v/>
      </c>
      <c r="G37" s="53" t="str">
        <f>IFERROR(IF(VLOOKUP(T_Equipement[[#This Row],[NumL]],T_suiviDi[#Data],COLUMN(T_suiviDi[Email1]),FALSE)&lt;&gt;"",VLOOKUP(T_Equipement[[#This Row],[NumL]],T_suiviDi[#Data],COLUMN(T_suiviDi[Email1]),FALSE),""),"")</f>
        <v/>
      </c>
      <c r="H37" s="59" t="s">
        <v>3277</v>
      </c>
      <c r="I37" s="251">
        <v>44165</v>
      </c>
      <c r="J37" s="60" t="s">
        <v>3072</v>
      </c>
      <c r="K37" s="61"/>
      <c r="L37" s="62"/>
      <c r="M37" s="59"/>
      <c r="N37" s="59"/>
      <c r="O37" s="59"/>
      <c r="P37" s="59"/>
      <c r="Q37" s="59"/>
      <c r="R37" s="59"/>
      <c r="S37" s="61"/>
      <c r="T37" s="260" t="e">
        <f>VLOOKUP(T_Equipement[[#This Row],[NumL]],T_TraitDi[#Data],COLUMN(#REF!),FALSE)</f>
        <v>#REF!</v>
      </c>
    </row>
    <row r="38" spans="1:20" ht="24" customHeight="1" x14ac:dyDescent="0.25">
      <c r="A38" s="90">
        <v>126</v>
      </c>
      <c r="B38" s="51" t="str">
        <f>IFERROR(IF(VLOOKUP(T_Equipement[[#This Row],[NumL]],T_suiviDi[#Data],COLUMN(T_suiviDi[Nom]),FALSE)&lt;&gt;"",VLOOKUP(T_Equipement[[#This Row],[NumL]],T_suiviDi[#Data],COLUMN(T_suiviDi[Nom]),FALSE),""),"")</f>
        <v/>
      </c>
      <c r="C38" s="51" t="str">
        <f>IFERROR(IF(VLOOKUP(T_Equipement[[#This Row],[NumL]],T_suiviDi[#Data],COLUMN(T_suiviDi[Prénom]),FALSE)&lt;&gt;"",VLOOKUP(T_Equipement[[#This Row],[NumL]],T_suiviDi[#Data],COLUMN(T_suiviDi[Prénom]),FALSE),""),"")</f>
        <v/>
      </c>
      <c r="D38" s="52" t="str">
        <f>IFERROR(IF(VLOOKUP(T_Equipement[[#This Row],[NumL]],T_suiviDi[#Data],COLUMN(T_suiviDi[Email]),FALSE)&lt;&gt;"",VLOOKUP(T_Equipement[[#This Row],[NumL]],T_suiviDi[#Data],COLUMN(T_suiviDi[Email]),FALSE),""),"")</f>
        <v/>
      </c>
      <c r="E38" s="53" t="str">
        <f>IFERROR(IF(VLOOKUP(T_Equipement[[#This Row],[NumL]],T_suiviDi[#Data],COLUMN(T_suiviDi[Nom1]),FALSE)&lt;&gt;"",VLOOKUP(T_Equipement[[#This Row],[NumL]],T_suiviDi[#Data],COLUMN(T_suiviDi[Nom1]),FALSE),""),"")</f>
        <v/>
      </c>
      <c r="F38" s="53" t="str">
        <f>IFERROR(IF(VLOOKUP(T_Equipement[[#This Row],[NumL]],T_suiviDi[#Data],COLUMN(T_suiviDi[Prénom1]),FALSE)&lt;&gt;"",VLOOKUP(T_Equipement[[#This Row],[NumL]],T_suiviDi[#Data],COLUMN(T_suiviDi[Prénom1]),FALSE),""),"")</f>
        <v/>
      </c>
      <c r="G38" s="53" t="str">
        <f>IFERROR(IF(VLOOKUP(T_Equipement[[#This Row],[NumL]],T_suiviDi[#Data],COLUMN(T_suiviDi[Email1]),FALSE)&lt;&gt;"",VLOOKUP(T_Equipement[[#This Row],[NumL]],T_suiviDi[#Data],COLUMN(T_suiviDi[Email1]),FALSE),""),"")</f>
        <v/>
      </c>
      <c r="H38" s="59"/>
      <c r="I38" s="61"/>
      <c r="J38" s="60" t="s">
        <v>3073</v>
      </c>
      <c r="K38" s="61"/>
      <c r="L38" s="62"/>
      <c r="M38" s="59"/>
      <c r="N38" s="59"/>
      <c r="O38" s="59"/>
      <c r="P38" s="59"/>
      <c r="Q38" s="59"/>
      <c r="R38" s="59"/>
      <c r="S38" s="61"/>
      <c r="T38" s="260" t="e">
        <f>VLOOKUP(T_Equipement[[#This Row],[NumL]],T_TraitDi[#Data],COLUMN(#REF!),FALSE)</f>
        <v>#REF!</v>
      </c>
    </row>
    <row r="39" spans="1:20" ht="24" customHeight="1" x14ac:dyDescent="0.25">
      <c r="A39" s="90">
        <v>350</v>
      </c>
      <c r="B39" s="51" t="str">
        <f>IFERROR(IF(VLOOKUP(T_Equipement[[#This Row],[NumL]],T_suiviDi[#Data],COLUMN(T_suiviDi[Nom]),FALSE)&lt;&gt;"",VLOOKUP(T_Equipement[[#This Row],[NumL]],T_suiviDi[#Data],COLUMN(T_suiviDi[Nom]),FALSE),""),"")</f>
        <v/>
      </c>
      <c r="C39" s="51" t="str">
        <f>IFERROR(IF(VLOOKUP(T_Equipement[[#This Row],[NumL]],T_suiviDi[#Data],COLUMN(T_suiviDi[Prénom]),FALSE)&lt;&gt;"",VLOOKUP(T_Equipement[[#This Row],[NumL]],T_suiviDi[#Data],COLUMN(T_suiviDi[Prénom]),FALSE),""),"")</f>
        <v/>
      </c>
      <c r="D39" s="52" t="str">
        <f>IFERROR(IF(VLOOKUP(T_Equipement[[#This Row],[NumL]],T_suiviDi[#Data],COLUMN(T_suiviDi[Email]),FALSE)&lt;&gt;"",VLOOKUP(T_Equipement[[#This Row],[NumL]],T_suiviDi[#Data],COLUMN(T_suiviDi[Email]),FALSE),""),"")</f>
        <v/>
      </c>
      <c r="E39" s="53" t="str">
        <f>IFERROR(IF(VLOOKUP(T_Equipement[[#This Row],[NumL]],T_suiviDi[#Data],COLUMN(T_suiviDi[Nom1]),FALSE)&lt;&gt;"",VLOOKUP(T_Equipement[[#This Row],[NumL]],T_suiviDi[#Data],COLUMN(T_suiviDi[Nom1]),FALSE),""),"")</f>
        <v/>
      </c>
      <c r="F39" s="53" t="str">
        <f>IFERROR(IF(VLOOKUP(T_Equipement[[#This Row],[NumL]],T_suiviDi[#Data],COLUMN(T_suiviDi[Prénom1]),FALSE)&lt;&gt;"",VLOOKUP(T_Equipement[[#This Row],[NumL]],T_suiviDi[#Data],COLUMN(T_suiviDi[Prénom1]),FALSE),""),"")</f>
        <v/>
      </c>
      <c r="G39" s="53" t="str">
        <f>IFERROR(IF(VLOOKUP(T_Equipement[[#This Row],[NumL]],T_suiviDi[#Data],COLUMN(T_suiviDi[Email1]),FALSE)&lt;&gt;"",VLOOKUP(T_Equipement[[#This Row],[NumL]],T_suiviDi[#Data],COLUMN(T_suiviDi[Email1]),FALSE),""),"")</f>
        <v/>
      </c>
      <c r="H39" s="59"/>
      <c r="I39" s="61"/>
      <c r="J39" s="60"/>
      <c r="K39" s="61"/>
      <c r="L39" s="62"/>
      <c r="M39" s="59"/>
      <c r="N39" s="59"/>
      <c r="O39" s="59"/>
      <c r="P39" s="59"/>
      <c r="Q39" s="59"/>
      <c r="R39" s="59"/>
      <c r="S39" s="61"/>
      <c r="T39" s="260"/>
    </row>
    <row r="40" spans="1:20" ht="24" customHeight="1" x14ac:dyDescent="0.25">
      <c r="A40" s="90">
        <v>205</v>
      </c>
      <c r="B40" s="51" t="str">
        <f>IFERROR(IF(VLOOKUP(T_Equipement[[#This Row],[NumL]],T_suiviDi[#Data],COLUMN(T_suiviDi[Nom]),FALSE)&lt;&gt;"",VLOOKUP(T_Equipement[[#This Row],[NumL]],T_suiviDi[#Data],COLUMN(T_suiviDi[Nom]),FALSE),""),"")</f>
        <v/>
      </c>
      <c r="C40" s="51" t="str">
        <f>IFERROR(IF(VLOOKUP(T_Equipement[[#This Row],[NumL]],T_suiviDi[#Data],COLUMN(T_suiviDi[Prénom]),FALSE)&lt;&gt;"",VLOOKUP(T_Equipement[[#This Row],[NumL]],T_suiviDi[#Data],COLUMN(T_suiviDi[Prénom]),FALSE),""),"")</f>
        <v/>
      </c>
      <c r="D40" s="52" t="str">
        <f>IFERROR(IF(VLOOKUP(T_Equipement[[#This Row],[NumL]],T_suiviDi[#Data],COLUMN(T_suiviDi[Email]),FALSE)&lt;&gt;"",VLOOKUP(T_Equipement[[#This Row],[NumL]],T_suiviDi[#Data],COLUMN(T_suiviDi[Email]),FALSE),""),"")</f>
        <v/>
      </c>
      <c r="E40" s="53" t="str">
        <f>IFERROR(IF(VLOOKUP(T_Equipement[[#This Row],[NumL]],T_suiviDi[#Data],COLUMN(T_suiviDi[Nom1]),FALSE)&lt;&gt;"",VLOOKUP(T_Equipement[[#This Row],[NumL]],T_suiviDi[#Data],COLUMN(T_suiviDi[Nom1]),FALSE),""),"")</f>
        <v/>
      </c>
      <c r="F40" s="53" t="str">
        <f>IFERROR(IF(VLOOKUP(T_Equipement[[#This Row],[NumL]],T_suiviDi[#Data],COLUMN(T_suiviDi[Prénom1]),FALSE)&lt;&gt;"",VLOOKUP(T_Equipement[[#This Row],[NumL]],T_suiviDi[#Data],COLUMN(T_suiviDi[Prénom1]),FALSE),""),"")</f>
        <v/>
      </c>
      <c r="G40" s="53" t="str">
        <f>IFERROR(IF(VLOOKUP(T_Equipement[[#This Row],[NumL]],T_suiviDi[#Data],COLUMN(T_suiviDi[Email1]),FALSE)&lt;&gt;"",VLOOKUP(T_Equipement[[#This Row],[NumL]],T_suiviDi[#Data],COLUMN(T_suiviDi[Email1]),FALSE),""),"")</f>
        <v/>
      </c>
      <c r="H40" s="59" t="s">
        <v>3362</v>
      </c>
      <c r="I40" s="251">
        <v>44165</v>
      </c>
      <c r="J40" s="60" t="s">
        <v>3074</v>
      </c>
      <c r="K40" s="61"/>
      <c r="L40" s="62"/>
      <c r="M40" s="59"/>
      <c r="N40" s="59"/>
      <c r="O40" s="59"/>
      <c r="P40" s="59"/>
      <c r="Q40" s="59"/>
      <c r="R40" s="59"/>
      <c r="S40" s="61"/>
      <c r="T40" s="260" t="e">
        <f>VLOOKUP(T_Equipement[[#This Row],[NumL]],T_TraitDi[#Data],COLUMN(#REF!),FALSE)</f>
        <v>#REF!</v>
      </c>
    </row>
    <row r="41" spans="1:20" ht="24" customHeight="1" x14ac:dyDescent="0.25">
      <c r="A41" s="90">
        <v>145</v>
      </c>
      <c r="B41" s="51" t="str">
        <f>IFERROR(IF(VLOOKUP(T_Equipement[[#This Row],[NumL]],T_suiviDi[#Data],COLUMN(T_suiviDi[Nom]),FALSE)&lt;&gt;"",VLOOKUP(T_Equipement[[#This Row],[NumL]],T_suiviDi[#Data],COLUMN(T_suiviDi[Nom]),FALSE),""),"")</f>
        <v/>
      </c>
      <c r="C41" s="51" t="str">
        <f>IFERROR(IF(VLOOKUP(T_Equipement[[#This Row],[NumL]],T_suiviDi[#Data],COLUMN(T_suiviDi[Prénom]),FALSE)&lt;&gt;"",VLOOKUP(T_Equipement[[#This Row],[NumL]],T_suiviDi[#Data],COLUMN(T_suiviDi[Prénom]),FALSE),""),"")</f>
        <v/>
      </c>
      <c r="D41" s="52" t="str">
        <f>IFERROR(IF(VLOOKUP(T_Equipement[[#This Row],[NumL]],T_suiviDi[#Data],COLUMN(T_suiviDi[Email]),FALSE)&lt;&gt;"",VLOOKUP(T_Equipement[[#This Row],[NumL]],T_suiviDi[#Data],COLUMN(T_suiviDi[Email]),FALSE),""),"")</f>
        <v/>
      </c>
      <c r="E41" s="53" t="str">
        <f>IFERROR(IF(VLOOKUP(T_Equipement[[#This Row],[NumL]],T_suiviDi[#Data],COLUMN(T_suiviDi[Nom1]),FALSE)&lt;&gt;"",VLOOKUP(T_Equipement[[#This Row],[NumL]],T_suiviDi[#Data],COLUMN(T_suiviDi[Nom1]),FALSE),""),"")</f>
        <v/>
      </c>
      <c r="F41" s="53" t="str">
        <f>IFERROR(IF(VLOOKUP(T_Equipement[[#This Row],[NumL]],T_suiviDi[#Data],COLUMN(T_suiviDi[Prénom1]),FALSE)&lt;&gt;"",VLOOKUP(T_Equipement[[#This Row],[NumL]],T_suiviDi[#Data],COLUMN(T_suiviDi[Prénom1]),FALSE),""),"")</f>
        <v/>
      </c>
      <c r="G41" s="53" t="str">
        <f>IFERROR(IF(VLOOKUP(T_Equipement[[#This Row],[NumL]],T_suiviDi[#Data],COLUMN(T_suiviDi[Email1]),FALSE)&lt;&gt;"",VLOOKUP(T_Equipement[[#This Row],[NumL]],T_suiviDi[#Data],COLUMN(T_suiviDi[Email1]),FALSE),""),"")</f>
        <v/>
      </c>
      <c r="H41" s="59" t="s">
        <v>3278</v>
      </c>
      <c r="I41" s="251">
        <v>44165</v>
      </c>
      <c r="J41" s="60" t="s">
        <v>3075</v>
      </c>
      <c r="K41" s="61"/>
      <c r="L41" s="62"/>
      <c r="M41" s="59"/>
      <c r="N41" s="59"/>
      <c r="O41" s="59"/>
      <c r="P41" s="59"/>
      <c r="Q41" s="59"/>
      <c r="R41" s="59"/>
      <c r="S41" s="61"/>
      <c r="T41" s="260" t="e">
        <f>VLOOKUP(T_Equipement[[#This Row],[NumL]],T_TraitDi[#Data],COLUMN(#REF!),FALSE)</f>
        <v>#REF!</v>
      </c>
    </row>
    <row r="42" spans="1:20" ht="24" customHeight="1" x14ac:dyDescent="0.25">
      <c r="A42" s="90">
        <v>231</v>
      </c>
      <c r="B42" s="51" t="str">
        <f>IFERROR(IF(VLOOKUP(T_Equipement[[#This Row],[NumL]],T_suiviDi[#Data],COLUMN(T_suiviDi[Nom]),FALSE)&lt;&gt;"",VLOOKUP(T_Equipement[[#This Row],[NumL]],T_suiviDi[#Data],COLUMN(T_suiviDi[Nom]),FALSE),""),"")</f>
        <v/>
      </c>
      <c r="C42" s="51" t="str">
        <f>IFERROR(IF(VLOOKUP(T_Equipement[[#This Row],[NumL]],T_suiviDi[#Data],COLUMN(T_suiviDi[Prénom]),FALSE)&lt;&gt;"",VLOOKUP(T_Equipement[[#This Row],[NumL]],T_suiviDi[#Data],COLUMN(T_suiviDi[Prénom]),FALSE),""),"")</f>
        <v/>
      </c>
      <c r="D42" s="52" t="str">
        <f>IFERROR(IF(VLOOKUP(T_Equipement[[#This Row],[NumL]],T_suiviDi[#Data],COLUMN(T_suiviDi[Email]),FALSE)&lt;&gt;"",VLOOKUP(T_Equipement[[#This Row],[NumL]],T_suiviDi[#Data],COLUMN(T_suiviDi[Email]),FALSE),""),"")</f>
        <v/>
      </c>
      <c r="E42" s="53" t="str">
        <f>IFERROR(IF(VLOOKUP(T_Equipement[[#This Row],[NumL]],T_suiviDi[#Data],COLUMN(T_suiviDi[Nom1]),FALSE)&lt;&gt;"",VLOOKUP(T_Equipement[[#This Row],[NumL]],T_suiviDi[#Data],COLUMN(T_suiviDi[Nom1]),FALSE),""),"")</f>
        <v/>
      </c>
      <c r="F42" s="53" t="str">
        <f>IFERROR(IF(VLOOKUP(T_Equipement[[#This Row],[NumL]],T_suiviDi[#Data],COLUMN(T_suiviDi[Prénom1]),FALSE)&lt;&gt;"",VLOOKUP(T_Equipement[[#This Row],[NumL]],T_suiviDi[#Data],COLUMN(T_suiviDi[Prénom1]),FALSE),""),"")</f>
        <v/>
      </c>
      <c r="G42" s="53" t="str">
        <f>IFERROR(IF(VLOOKUP(T_Equipement[[#This Row],[NumL]],T_suiviDi[#Data],COLUMN(T_suiviDi[Email1]),FALSE)&lt;&gt;"",VLOOKUP(T_Equipement[[#This Row],[NumL]],T_suiviDi[#Data],COLUMN(T_suiviDi[Email1]),FALSE),""),"")</f>
        <v/>
      </c>
      <c r="H42" s="59" t="s">
        <v>3277</v>
      </c>
      <c r="I42" s="61"/>
      <c r="J42" s="60" t="s">
        <v>3076</v>
      </c>
      <c r="K42" s="61"/>
      <c r="L42" s="62"/>
      <c r="M42" s="59"/>
      <c r="N42" s="59"/>
      <c r="O42" s="59"/>
      <c r="P42" s="59"/>
      <c r="Q42" s="59"/>
      <c r="R42" s="59"/>
      <c r="S42" s="61"/>
      <c r="T42" s="260" t="e">
        <f>VLOOKUP(T_Equipement[[#This Row],[NumL]],T_TraitDi[#Data],COLUMN(#REF!),FALSE)</f>
        <v>#REF!</v>
      </c>
    </row>
    <row r="43" spans="1:20" ht="24" customHeight="1" x14ac:dyDescent="0.25">
      <c r="A43" s="90">
        <v>247</v>
      </c>
      <c r="B43" s="51" t="str">
        <f>IFERROR(IF(VLOOKUP(T_Equipement[[#This Row],[NumL]],T_suiviDi[#Data],COLUMN(T_suiviDi[Nom]),FALSE)&lt;&gt;"",VLOOKUP(T_Equipement[[#This Row],[NumL]],T_suiviDi[#Data],COLUMN(T_suiviDi[Nom]),FALSE),""),"")</f>
        <v/>
      </c>
      <c r="C43" s="51" t="str">
        <f>IFERROR(IF(VLOOKUP(T_Equipement[[#This Row],[NumL]],T_suiviDi[#Data],COLUMN(T_suiviDi[Prénom]),FALSE)&lt;&gt;"",VLOOKUP(T_Equipement[[#This Row],[NumL]],T_suiviDi[#Data],COLUMN(T_suiviDi[Prénom]),FALSE),""),"")</f>
        <v/>
      </c>
      <c r="D43" s="52" t="str">
        <f>IFERROR(IF(VLOOKUP(T_Equipement[[#This Row],[NumL]],T_suiviDi[#Data],COLUMN(T_suiviDi[Email]),FALSE)&lt;&gt;"",VLOOKUP(T_Equipement[[#This Row],[NumL]],T_suiviDi[#Data],COLUMN(T_suiviDi[Email]),FALSE),""),"")</f>
        <v/>
      </c>
      <c r="E43" s="53" t="str">
        <f>IFERROR(IF(VLOOKUP(T_Equipement[[#This Row],[NumL]],T_suiviDi[#Data],COLUMN(T_suiviDi[Nom1]),FALSE)&lt;&gt;"",VLOOKUP(T_Equipement[[#This Row],[NumL]],T_suiviDi[#Data],COLUMN(T_suiviDi[Nom1]),FALSE),""),"")</f>
        <v/>
      </c>
      <c r="F43" s="53" t="str">
        <f>IFERROR(IF(VLOOKUP(T_Equipement[[#This Row],[NumL]],T_suiviDi[#Data],COLUMN(T_suiviDi[Prénom1]),FALSE)&lt;&gt;"",VLOOKUP(T_Equipement[[#This Row],[NumL]],T_suiviDi[#Data],COLUMN(T_suiviDi[Prénom1]),FALSE),""),"")</f>
        <v/>
      </c>
      <c r="G43" s="53" t="str">
        <f>IFERROR(IF(VLOOKUP(T_Equipement[[#This Row],[NumL]],T_suiviDi[#Data],COLUMN(T_suiviDi[Email1]),FALSE)&lt;&gt;"",VLOOKUP(T_Equipement[[#This Row],[NumL]],T_suiviDi[#Data],COLUMN(T_suiviDi[Email1]),FALSE),""),"")</f>
        <v/>
      </c>
      <c r="H43" s="59" t="s">
        <v>3277</v>
      </c>
      <c r="I43" s="61"/>
      <c r="J43" s="60" t="s">
        <v>3077</v>
      </c>
      <c r="K43" s="61"/>
      <c r="L43" s="62"/>
      <c r="M43" s="59"/>
      <c r="N43" s="59"/>
      <c r="O43" s="59"/>
      <c r="P43" s="59"/>
      <c r="Q43" s="59"/>
      <c r="R43" s="59"/>
      <c r="S43" s="61"/>
      <c r="T43" s="260" t="e">
        <f>VLOOKUP(T_Equipement[[#This Row],[NumL]],T_TraitDi[#Data],COLUMN(#REF!),FALSE)</f>
        <v>#REF!</v>
      </c>
    </row>
    <row r="44" spans="1:20" ht="24" customHeight="1" x14ac:dyDescent="0.25">
      <c r="A44" s="90">
        <v>84</v>
      </c>
      <c r="B44" s="51" t="str">
        <f>IFERROR(IF(VLOOKUP(T_Equipement[[#This Row],[NumL]],T_suiviDi[#Data],COLUMN(T_suiviDi[Nom]),FALSE)&lt;&gt;"",VLOOKUP(T_Equipement[[#This Row],[NumL]],T_suiviDi[#Data],COLUMN(T_suiviDi[Nom]),FALSE),""),"")</f>
        <v/>
      </c>
      <c r="C44" s="51" t="str">
        <f>IFERROR(IF(VLOOKUP(T_Equipement[[#This Row],[NumL]],T_suiviDi[#Data],COLUMN(T_suiviDi[Prénom]),FALSE)&lt;&gt;"",VLOOKUP(T_Equipement[[#This Row],[NumL]],T_suiviDi[#Data],COLUMN(T_suiviDi[Prénom]),FALSE),""),"")</f>
        <v/>
      </c>
      <c r="D44" s="52" t="str">
        <f>IFERROR(IF(VLOOKUP(T_Equipement[[#This Row],[NumL]],T_suiviDi[#Data],COLUMN(T_suiviDi[Email]),FALSE)&lt;&gt;"",VLOOKUP(T_Equipement[[#This Row],[NumL]],T_suiviDi[#Data],COLUMN(T_suiviDi[Email]),FALSE),""),"")</f>
        <v/>
      </c>
      <c r="E44" s="53" t="str">
        <f>IFERROR(IF(VLOOKUP(T_Equipement[[#This Row],[NumL]],T_suiviDi[#Data],COLUMN(T_suiviDi[Nom1]),FALSE)&lt;&gt;"",VLOOKUP(T_Equipement[[#This Row],[NumL]],T_suiviDi[#Data],COLUMN(T_suiviDi[Nom1]),FALSE),""),"")</f>
        <v/>
      </c>
      <c r="F44" s="53" t="str">
        <f>IFERROR(IF(VLOOKUP(T_Equipement[[#This Row],[NumL]],T_suiviDi[#Data],COLUMN(T_suiviDi[Prénom1]),FALSE)&lt;&gt;"",VLOOKUP(T_Equipement[[#This Row],[NumL]],T_suiviDi[#Data],COLUMN(T_suiviDi[Prénom1]),FALSE),""),"")</f>
        <v/>
      </c>
      <c r="G44" s="53" t="str">
        <f>IFERROR(IF(VLOOKUP(T_Equipement[[#This Row],[NumL]],T_suiviDi[#Data],COLUMN(T_suiviDi[Email1]),FALSE)&lt;&gt;"",VLOOKUP(T_Equipement[[#This Row],[NumL]],T_suiviDi[#Data],COLUMN(T_suiviDi[Email1]),FALSE),""),"")</f>
        <v/>
      </c>
      <c r="H44" s="59" t="s">
        <v>3277</v>
      </c>
      <c r="I44" s="251">
        <v>44165</v>
      </c>
      <c r="J44" s="60" t="s">
        <v>3078</v>
      </c>
      <c r="K44" s="61"/>
      <c r="L44" s="62"/>
      <c r="M44" s="59"/>
      <c r="N44" s="59"/>
      <c r="O44" s="59"/>
      <c r="P44" s="59"/>
      <c r="Q44" s="59"/>
      <c r="R44" s="59"/>
      <c r="S44" s="61"/>
      <c r="T44" s="260" t="e">
        <f>VLOOKUP(T_Equipement[[#This Row],[NumL]],T_TraitDi[#Data],COLUMN(#REF!),FALSE)</f>
        <v>#REF!</v>
      </c>
    </row>
    <row r="45" spans="1:20" ht="24" customHeight="1" x14ac:dyDescent="0.25">
      <c r="A45" s="90">
        <v>69</v>
      </c>
      <c r="B45" s="51" t="str">
        <f>IFERROR(IF(VLOOKUP(T_Equipement[[#This Row],[NumL]],T_suiviDi[#Data],COLUMN(T_suiviDi[Nom]),FALSE)&lt;&gt;"",VLOOKUP(T_Equipement[[#This Row],[NumL]],T_suiviDi[#Data],COLUMN(T_suiviDi[Nom]),FALSE),""),"")</f>
        <v/>
      </c>
      <c r="C45" s="51" t="str">
        <f>IFERROR(IF(VLOOKUP(T_Equipement[[#This Row],[NumL]],T_suiviDi[#Data],COLUMN(T_suiviDi[Prénom]),FALSE)&lt;&gt;"",VLOOKUP(T_Equipement[[#This Row],[NumL]],T_suiviDi[#Data],COLUMN(T_suiviDi[Prénom]),FALSE),""),"")</f>
        <v/>
      </c>
      <c r="D45" s="52" t="str">
        <f>IFERROR(IF(VLOOKUP(T_Equipement[[#This Row],[NumL]],T_suiviDi[#Data],COLUMN(T_suiviDi[Email]),FALSE)&lt;&gt;"",VLOOKUP(T_Equipement[[#This Row],[NumL]],T_suiviDi[#Data],COLUMN(T_suiviDi[Email]),FALSE),""),"")</f>
        <v/>
      </c>
      <c r="E45" s="53" t="str">
        <f>IFERROR(IF(VLOOKUP(T_Equipement[[#This Row],[NumL]],T_suiviDi[#Data],COLUMN(T_suiviDi[Nom1]),FALSE)&lt;&gt;"",VLOOKUP(T_Equipement[[#This Row],[NumL]],T_suiviDi[#Data],COLUMN(T_suiviDi[Nom1]),FALSE),""),"")</f>
        <v/>
      </c>
      <c r="F45" s="53" t="str">
        <f>IFERROR(IF(VLOOKUP(T_Equipement[[#This Row],[NumL]],T_suiviDi[#Data],COLUMN(T_suiviDi[Prénom1]),FALSE)&lt;&gt;"",VLOOKUP(T_Equipement[[#This Row],[NumL]],T_suiviDi[#Data],COLUMN(T_suiviDi[Prénom1]),FALSE),""),"")</f>
        <v/>
      </c>
      <c r="G45" s="53" t="str">
        <f>IFERROR(IF(VLOOKUP(T_Equipement[[#This Row],[NumL]],T_suiviDi[#Data],COLUMN(T_suiviDi[Email1]),FALSE)&lt;&gt;"",VLOOKUP(T_Equipement[[#This Row],[NumL]],T_suiviDi[#Data],COLUMN(T_suiviDi[Email1]),FALSE),""),"")</f>
        <v/>
      </c>
      <c r="H45" s="59"/>
      <c r="I45" s="61"/>
      <c r="J45" s="60" t="s">
        <v>3079</v>
      </c>
      <c r="K45" s="61"/>
      <c r="L45" s="62"/>
      <c r="M45" s="59"/>
      <c r="N45" s="59"/>
      <c r="O45" s="59"/>
      <c r="P45" s="59"/>
      <c r="Q45" s="59"/>
      <c r="R45" s="59"/>
      <c r="S45" s="61"/>
      <c r="T45" s="260" t="e">
        <f>VLOOKUP(T_Equipement[[#This Row],[NumL]],T_TraitDi[#Data],COLUMN(#REF!),FALSE)</f>
        <v>#REF!</v>
      </c>
    </row>
    <row r="46" spans="1:20" ht="24" customHeight="1" x14ac:dyDescent="0.25">
      <c r="A46" s="90">
        <v>64</v>
      </c>
      <c r="B46" s="51" t="str">
        <f>IFERROR(IF(VLOOKUP(T_Equipement[[#This Row],[NumL]],T_suiviDi[#Data],COLUMN(T_suiviDi[Nom]),FALSE)&lt;&gt;"",VLOOKUP(T_Equipement[[#This Row],[NumL]],T_suiviDi[#Data],COLUMN(T_suiviDi[Nom]),FALSE),""),"")</f>
        <v/>
      </c>
      <c r="C46" s="51" t="str">
        <f>IFERROR(IF(VLOOKUP(T_Equipement[[#This Row],[NumL]],T_suiviDi[#Data],COLUMN(T_suiviDi[Prénom]),FALSE)&lt;&gt;"",VLOOKUP(T_Equipement[[#This Row],[NumL]],T_suiviDi[#Data],COLUMN(T_suiviDi[Prénom]),FALSE),""),"")</f>
        <v/>
      </c>
      <c r="D46" s="52" t="str">
        <f>IFERROR(IF(VLOOKUP(T_Equipement[[#This Row],[NumL]],T_suiviDi[#Data],COLUMN(T_suiviDi[Email]),FALSE)&lt;&gt;"",VLOOKUP(T_Equipement[[#This Row],[NumL]],T_suiviDi[#Data],COLUMN(T_suiviDi[Email]),FALSE),""),"")</f>
        <v/>
      </c>
      <c r="E46" s="53" t="str">
        <f>IFERROR(IF(VLOOKUP(T_Equipement[[#This Row],[NumL]],T_suiviDi[#Data],COLUMN(T_suiviDi[Nom1]),FALSE)&lt;&gt;"",VLOOKUP(T_Equipement[[#This Row],[NumL]],T_suiviDi[#Data],COLUMN(T_suiviDi[Nom1]),FALSE),""),"")</f>
        <v/>
      </c>
      <c r="F46" s="53" t="str">
        <f>IFERROR(IF(VLOOKUP(T_Equipement[[#This Row],[NumL]],T_suiviDi[#Data],COLUMN(T_suiviDi[Prénom1]),FALSE)&lt;&gt;"",VLOOKUP(T_Equipement[[#This Row],[NumL]],T_suiviDi[#Data],COLUMN(T_suiviDi[Prénom1]),FALSE),""),"")</f>
        <v/>
      </c>
      <c r="G46" s="53" t="str">
        <f>IFERROR(IF(VLOOKUP(T_Equipement[[#This Row],[NumL]],T_suiviDi[#Data],COLUMN(T_suiviDi[Email1]),FALSE)&lt;&gt;"",VLOOKUP(T_Equipement[[#This Row],[NumL]],T_suiviDi[#Data],COLUMN(T_suiviDi[Email1]),FALSE),""),"")</f>
        <v/>
      </c>
      <c r="H46" s="59" t="s">
        <v>3362</v>
      </c>
      <c r="I46" s="61"/>
      <c r="J46" s="60" t="s">
        <v>3080</v>
      </c>
      <c r="K46" s="61"/>
      <c r="L46" s="62"/>
      <c r="M46" s="59"/>
      <c r="N46" s="59"/>
      <c r="O46" s="59"/>
      <c r="P46" s="59"/>
      <c r="Q46" s="59"/>
      <c r="R46" s="59"/>
      <c r="S46" s="61"/>
      <c r="T46" s="260" t="e">
        <f>VLOOKUP(T_Equipement[[#This Row],[NumL]],T_TraitDi[#Data],COLUMN(#REF!),FALSE)</f>
        <v>#REF!</v>
      </c>
    </row>
    <row r="47" spans="1:20" ht="24" customHeight="1" x14ac:dyDescent="0.25">
      <c r="A47" s="90">
        <v>22</v>
      </c>
      <c r="B47" s="51" t="str">
        <f>IFERROR(IF(VLOOKUP(T_Equipement[[#This Row],[NumL]],T_suiviDi[#Data],COLUMN(T_suiviDi[Nom]),FALSE)&lt;&gt;"",VLOOKUP(T_Equipement[[#This Row],[NumL]],T_suiviDi[#Data],COLUMN(T_suiviDi[Nom]),FALSE),""),"")</f>
        <v/>
      </c>
      <c r="C47" s="51" t="str">
        <f>IFERROR(IF(VLOOKUP(T_Equipement[[#This Row],[NumL]],T_suiviDi[#Data],COLUMN(T_suiviDi[Prénom]),FALSE)&lt;&gt;"",VLOOKUP(T_Equipement[[#This Row],[NumL]],T_suiviDi[#Data],COLUMN(T_suiviDi[Prénom]),FALSE),""),"")</f>
        <v/>
      </c>
      <c r="D47" s="52" t="str">
        <f>IFERROR(IF(VLOOKUP(T_Equipement[[#This Row],[NumL]],T_suiviDi[#Data],COLUMN(T_suiviDi[Email]),FALSE)&lt;&gt;"",VLOOKUP(T_Equipement[[#This Row],[NumL]],T_suiviDi[#Data],COLUMN(T_suiviDi[Email]),FALSE),""),"")</f>
        <v/>
      </c>
      <c r="E47" s="53" t="str">
        <f>IFERROR(IF(VLOOKUP(T_Equipement[[#This Row],[NumL]],T_suiviDi[#Data],COLUMN(T_suiviDi[Nom1]),FALSE)&lt;&gt;"",VLOOKUP(T_Equipement[[#This Row],[NumL]],T_suiviDi[#Data],COLUMN(T_suiviDi[Nom1]),FALSE),""),"")</f>
        <v/>
      </c>
      <c r="F47" s="53" t="str">
        <f>IFERROR(IF(VLOOKUP(T_Equipement[[#This Row],[NumL]],T_suiviDi[#Data],COLUMN(T_suiviDi[Prénom1]),FALSE)&lt;&gt;"",VLOOKUP(T_Equipement[[#This Row],[NumL]],T_suiviDi[#Data],COLUMN(T_suiviDi[Prénom1]),FALSE),""),"")</f>
        <v/>
      </c>
      <c r="G47" s="53" t="str">
        <f>IFERROR(IF(VLOOKUP(T_Equipement[[#This Row],[NumL]],T_suiviDi[#Data],COLUMN(T_suiviDi[Email1]),FALSE)&lt;&gt;"",VLOOKUP(T_Equipement[[#This Row],[NumL]],T_suiviDi[#Data],COLUMN(T_suiviDi[Email1]),FALSE),""),"")</f>
        <v/>
      </c>
      <c r="H47" s="59" t="s">
        <v>3277</v>
      </c>
      <c r="I47" s="61"/>
      <c r="J47" s="60" t="s">
        <v>3081</v>
      </c>
      <c r="K47" s="61"/>
      <c r="L47" s="62"/>
      <c r="M47" s="59"/>
      <c r="N47" s="59"/>
      <c r="O47" s="59"/>
      <c r="P47" s="59"/>
      <c r="Q47" s="59"/>
      <c r="R47" s="59"/>
      <c r="S47" s="61"/>
      <c r="T47" s="260" t="e">
        <f>VLOOKUP(T_Equipement[[#This Row],[NumL]],T_TraitDi[#Data],COLUMN(#REF!),FALSE)</f>
        <v>#REF!</v>
      </c>
    </row>
    <row r="48" spans="1:20" ht="24" customHeight="1" x14ac:dyDescent="0.25">
      <c r="A48" s="90">
        <v>277</v>
      </c>
      <c r="B48" s="51" t="str">
        <f>IFERROR(IF(VLOOKUP(T_Equipement[[#This Row],[NumL]],T_suiviDi[#Data],COLUMN(T_suiviDi[Nom]),FALSE)&lt;&gt;"",VLOOKUP(T_Equipement[[#This Row],[NumL]],T_suiviDi[#Data],COLUMN(T_suiviDi[Nom]),FALSE),""),"")</f>
        <v/>
      </c>
      <c r="C48" s="51" t="str">
        <f>IFERROR(IF(VLOOKUP(T_Equipement[[#This Row],[NumL]],T_suiviDi[#Data],COLUMN(T_suiviDi[Prénom]),FALSE)&lt;&gt;"",VLOOKUP(T_Equipement[[#This Row],[NumL]],T_suiviDi[#Data],COLUMN(T_suiviDi[Prénom]),FALSE),""),"")</f>
        <v/>
      </c>
      <c r="D48" s="52" t="str">
        <f>IFERROR(IF(VLOOKUP(T_Equipement[[#This Row],[NumL]],T_suiviDi[#Data],COLUMN(T_suiviDi[Email]),FALSE)&lt;&gt;"",VLOOKUP(T_Equipement[[#This Row],[NumL]],T_suiviDi[#Data],COLUMN(T_suiviDi[Email]),FALSE),""),"")</f>
        <v/>
      </c>
      <c r="E48" s="53" t="str">
        <f>IFERROR(IF(VLOOKUP(T_Equipement[[#This Row],[NumL]],T_suiviDi[#Data],COLUMN(T_suiviDi[Nom1]),FALSE)&lt;&gt;"",VLOOKUP(T_Equipement[[#This Row],[NumL]],T_suiviDi[#Data],COLUMN(T_suiviDi[Nom1]),FALSE),""),"")</f>
        <v/>
      </c>
      <c r="F48" s="53" t="str">
        <f>IFERROR(IF(VLOOKUP(T_Equipement[[#This Row],[NumL]],T_suiviDi[#Data],COLUMN(T_suiviDi[Prénom1]),FALSE)&lt;&gt;"",VLOOKUP(T_Equipement[[#This Row],[NumL]],T_suiviDi[#Data],COLUMN(T_suiviDi[Prénom1]),FALSE),""),"")</f>
        <v/>
      </c>
      <c r="G48" s="53" t="str">
        <f>IFERROR(IF(VLOOKUP(T_Equipement[[#This Row],[NumL]],T_suiviDi[#Data],COLUMN(T_suiviDi[Email1]),FALSE)&lt;&gt;"",VLOOKUP(T_Equipement[[#This Row],[NumL]],T_suiviDi[#Data],COLUMN(T_suiviDi[Email1]),FALSE),""),"")</f>
        <v/>
      </c>
      <c r="H48" s="59" t="s">
        <v>3278</v>
      </c>
      <c r="I48" s="251">
        <v>44165</v>
      </c>
      <c r="J48" s="60" t="s">
        <v>3082</v>
      </c>
      <c r="K48" s="61"/>
      <c r="L48" s="62"/>
      <c r="M48" s="59"/>
      <c r="N48" s="59"/>
      <c r="O48" s="59"/>
      <c r="P48" s="59"/>
      <c r="Q48" s="59"/>
      <c r="R48" s="59"/>
      <c r="S48" s="61"/>
      <c r="T48" s="260" t="e">
        <f>VLOOKUP(T_Equipement[[#This Row],[NumL]],T_TraitDi[#Data],COLUMN(#REF!),FALSE)</f>
        <v>#REF!</v>
      </c>
    </row>
    <row r="49" spans="1:20" ht="24" customHeight="1" x14ac:dyDescent="0.25">
      <c r="A49" s="90">
        <v>240</v>
      </c>
      <c r="B49" s="51" t="str">
        <f>IFERROR(IF(VLOOKUP(T_Equipement[[#This Row],[NumL]],T_suiviDi[#Data],COLUMN(T_suiviDi[Nom]),FALSE)&lt;&gt;"",VLOOKUP(T_Equipement[[#This Row],[NumL]],T_suiviDi[#Data],COLUMN(T_suiviDi[Nom]),FALSE),""),"")</f>
        <v/>
      </c>
      <c r="C49" s="51" t="str">
        <f>IFERROR(IF(VLOOKUP(T_Equipement[[#This Row],[NumL]],T_suiviDi[#Data],COLUMN(T_suiviDi[Prénom]),FALSE)&lt;&gt;"",VLOOKUP(T_Equipement[[#This Row],[NumL]],T_suiviDi[#Data],COLUMN(T_suiviDi[Prénom]),FALSE),""),"")</f>
        <v/>
      </c>
      <c r="D49" s="52" t="str">
        <f>IFERROR(IF(VLOOKUP(T_Equipement[[#This Row],[NumL]],T_suiviDi[#Data],COLUMN(T_suiviDi[Email]),FALSE)&lt;&gt;"",VLOOKUP(T_Equipement[[#This Row],[NumL]],T_suiviDi[#Data],COLUMN(T_suiviDi[Email]),FALSE),""),"")</f>
        <v/>
      </c>
      <c r="E49" s="53" t="str">
        <f>IFERROR(IF(VLOOKUP(T_Equipement[[#This Row],[NumL]],T_suiviDi[#Data],COLUMN(T_suiviDi[Nom1]),FALSE)&lt;&gt;"",VLOOKUP(T_Equipement[[#This Row],[NumL]],T_suiviDi[#Data],COLUMN(T_suiviDi[Nom1]),FALSE),""),"")</f>
        <v/>
      </c>
      <c r="F49" s="53" t="str">
        <f>IFERROR(IF(VLOOKUP(T_Equipement[[#This Row],[NumL]],T_suiviDi[#Data],COLUMN(T_suiviDi[Prénom1]),FALSE)&lt;&gt;"",VLOOKUP(T_Equipement[[#This Row],[NumL]],T_suiviDi[#Data],COLUMN(T_suiviDi[Prénom1]),FALSE),""),"")</f>
        <v/>
      </c>
      <c r="G49" s="53" t="str">
        <f>IFERROR(IF(VLOOKUP(T_Equipement[[#This Row],[NumL]],T_suiviDi[#Data],COLUMN(T_suiviDi[Email1]),FALSE)&lt;&gt;"",VLOOKUP(T_Equipement[[#This Row],[NumL]],T_suiviDi[#Data],COLUMN(T_suiviDi[Email1]),FALSE),""),"")</f>
        <v/>
      </c>
      <c r="H49" s="59" t="s">
        <v>3277</v>
      </c>
      <c r="I49" s="251">
        <v>44165</v>
      </c>
      <c r="J49" s="60" t="s">
        <v>3083</v>
      </c>
      <c r="K49" s="61"/>
      <c r="L49" s="62"/>
      <c r="M49" s="59"/>
      <c r="N49" s="59"/>
      <c r="O49" s="59"/>
      <c r="P49" s="59"/>
      <c r="Q49" s="59"/>
      <c r="R49" s="59"/>
      <c r="S49" s="61"/>
      <c r="T49" s="260" t="e">
        <f>VLOOKUP(T_Equipement[[#This Row],[NumL]],T_TraitDi[#Data],COLUMN(#REF!),FALSE)</f>
        <v>#REF!</v>
      </c>
    </row>
    <row r="50" spans="1:20" ht="24" customHeight="1" x14ac:dyDescent="0.25">
      <c r="A50" s="90">
        <v>1</v>
      </c>
      <c r="B50" s="51" t="str">
        <f>IFERROR(IF(VLOOKUP(T_Equipement[[#This Row],[NumL]],T_suiviDi[#Data],COLUMN(T_suiviDi[Nom]),FALSE)&lt;&gt;"",VLOOKUP(T_Equipement[[#This Row],[NumL]],T_suiviDi[#Data],COLUMN(T_suiviDi[Nom]),FALSE),""),"")</f>
        <v/>
      </c>
      <c r="C50" s="51" t="str">
        <f>IFERROR(IF(VLOOKUP(T_Equipement[[#This Row],[NumL]],T_suiviDi[#Data],COLUMN(T_suiviDi[Prénom]),FALSE)&lt;&gt;"",VLOOKUP(T_Equipement[[#This Row],[NumL]],T_suiviDi[#Data],COLUMN(T_suiviDi[Prénom]),FALSE),""),"")</f>
        <v/>
      </c>
      <c r="D50" s="52" t="str">
        <f>IFERROR(IF(VLOOKUP(T_Equipement[[#This Row],[NumL]],T_suiviDi[#Data],COLUMN(T_suiviDi[Email]),FALSE)&lt;&gt;"",VLOOKUP(T_Equipement[[#This Row],[NumL]],T_suiviDi[#Data],COLUMN(T_suiviDi[Email]),FALSE),""),"")</f>
        <v/>
      </c>
      <c r="E50" s="53" t="str">
        <f>IFERROR(IF(VLOOKUP(T_Equipement[[#This Row],[NumL]],T_suiviDi[#Data],COLUMN(T_suiviDi[Nom1]),FALSE)&lt;&gt;"",VLOOKUP(T_Equipement[[#This Row],[NumL]],T_suiviDi[#Data],COLUMN(T_suiviDi[Nom1]),FALSE),""),"")</f>
        <v/>
      </c>
      <c r="F50" s="53" t="str">
        <f>IFERROR(IF(VLOOKUP(T_Equipement[[#This Row],[NumL]],T_suiviDi[#Data],COLUMN(T_suiviDi[Prénom1]),FALSE)&lt;&gt;"",VLOOKUP(T_Equipement[[#This Row],[NumL]],T_suiviDi[#Data],COLUMN(T_suiviDi[Prénom1]),FALSE),""),"")</f>
        <v/>
      </c>
      <c r="G50" s="53" t="str">
        <f>IFERROR(IF(VLOOKUP(T_Equipement[[#This Row],[NumL]],T_suiviDi[#Data],COLUMN(T_suiviDi[Email1]),FALSE)&lt;&gt;"",VLOOKUP(T_Equipement[[#This Row],[NumL]],T_suiviDi[#Data],COLUMN(T_suiviDi[Email1]),FALSE),""),"")</f>
        <v/>
      </c>
      <c r="H50" s="59" t="s">
        <v>3277</v>
      </c>
      <c r="I50" s="61"/>
      <c r="J50" s="60" t="s">
        <v>3084</v>
      </c>
      <c r="K50" s="61"/>
      <c r="L50" s="62"/>
      <c r="M50" s="59"/>
      <c r="N50" s="59"/>
      <c r="O50" s="59"/>
      <c r="P50" s="59"/>
      <c r="Q50" s="59"/>
      <c r="R50" s="59"/>
      <c r="S50" s="61"/>
      <c r="T50" s="260" t="e">
        <f>VLOOKUP(T_Equipement[[#This Row],[NumL]],T_TraitDi[#Data],COLUMN(#REF!),FALSE)</f>
        <v>#REF!</v>
      </c>
    </row>
    <row r="51" spans="1:20" ht="24" customHeight="1" x14ac:dyDescent="0.25">
      <c r="A51" s="90">
        <v>131</v>
      </c>
      <c r="B51" s="51" t="str">
        <f>IFERROR(IF(VLOOKUP(T_Equipement[[#This Row],[NumL]],T_suiviDi[#Data],COLUMN(T_suiviDi[Nom]),FALSE)&lt;&gt;"",VLOOKUP(T_Equipement[[#This Row],[NumL]],T_suiviDi[#Data],COLUMN(T_suiviDi[Nom]),FALSE),""),"")</f>
        <v/>
      </c>
      <c r="C51" s="51" t="str">
        <f>IFERROR(IF(VLOOKUP(T_Equipement[[#This Row],[NumL]],T_suiviDi[#Data],COLUMN(T_suiviDi[Prénom]),FALSE)&lt;&gt;"",VLOOKUP(T_Equipement[[#This Row],[NumL]],T_suiviDi[#Data],COLUMN(T_suiviDi[Prénom]),FALSE),""),"")</f>
        <v/>
      </c>
      <c r="D51" s="52" t="str">
        <f>IFERROR(IF(VLOOKUP(T_Equipement[[#This Row],[NumL]],T_suiviDi[#Data],COLUMN(T_suiviDi[Email]),FALSE)&lt;&gt;"",VLOOKUP(T_Equipement[[#This Row],[NumL]],T_suiviDi[#Data],COLUMN(T_suiviDi[Email]),FALSE),""),"")</f>
        <v/>
      </c>
      <c r="E51" s="53" t="str">
        <f>IFERROR(IF(VLOOKUP(T_Equipement[[#This Row],[NumL]],T_suiviDi[#Data],COLUMN(T_suiviDi[Nom1]),FALSE)&lt;&gt;"",VLOOKUP(T_Equipement[[#This Row],[NumL]],T_suiviDi[#Data],COLUMN(T_suiviDi[Nom1]),FALSE),""),"")</f>
        <v/>
      </c>
      <c r="F51" s="53" t="str">
        <f>IFERROR(IF(VLOOKUP(T_Equipement[[#This Row],[NumL]],T_suiviDi[#Data],COLUMN(T_suiviDi[Prénom1]),FALSE)&lt;&gt;"",VLOOKUP(T_Equipement[[#This Row],[NumL]],T_suiviDi[#Data],COLUMN(T_suiviDi[Prénom1]),FALSE),""),"")</f>
        <v/>
      </c>
      <c r="G51" s="53" t="str">
        <f>IFERROR(IF(VLOOKUP(T_Equipement[[#This Row],[NumL]],T_suiviDi[#Data],COLUMN(T_suiviDi[Email1]),FALSE)&lt;&gt;"",VLOOKUP(T_Equipement[[#This Row],[NumL]],T_suiviDi[#Data],COLUMN(T_suiviDi[Email1]),FALSE),""),"")</f>
        <v/>
      </c>
      <c r="H51" s="59" t="s">
        <v>3277</v>
      </c>
      <c r="I51" s="251">
        <v>44165</v>
      </c>
      <c r="J51" s="60" t="s">
        <v>3085</v>
      </c>
      <c r="K51" s="61"/>
      <c r="L51" s="62"/>
      <c r="M51" s="59"/>
      <c r="N51" s="59"/>
      <c r="O51" s="59"/>
      <c r="P51" s="59"/>
      <c r="Q51" s="59"/>
      <c r="R51" s="59"/>
      <c r="S51" s="61"/>
      <c r="T51" s="260" t="e">
        <f>VLOOKUP(T_Equipement[[#This Row],[NumL]],T_TraitDi[#Data],COLUMN(#REF!),FALSE)</f>
        <v>#REF!</v>
      </c>
    </row>
    <row r="52" spans="1:20" ht="24" customHeight="1" x14ac:dyDescent="0.25">
      <c r="A52" s="90">
        <v>347</v>
      </c>
      <c r="B52" s="51" t="str">
        <f>IFERROR(IF(VLOOKUP(T_Equipement[[#This Row],[NumL]],T_suiviDi[#Data],COLUMN(T_suiviDi[Nom]),FALSE)&lt;&gt;"",VLOOKUP(T_Equipement[[#This Row],[NumL]],T_suiviDi[#Data],COLUMN(T_suiviDi[Nom]),FALSE),""),"")</f>
        <v/>
      </c>
      <c r="C52" s="51" t="str">
        <f>IFERROR(IF(VLOOKUP(T_Equipement[[#This Row],[NumL]],T_suiviDi[#Data],COLUMN(T_suiviDi[Prénom]),FALSE)&lt;&gt;"",VLOOKUP(T_Equipement[[#This Row],[NumL]],T_suiviDi[#Data],COLUMN(T_suiviDi[Prénom]),FALSE),""),"")</f>
        <v/>
      </c>
      <c r="D52" s="52" t="str">
        <f>IFERROR(IF(VLOOKUP(T_Equipement[[#This Row],[NumL]],T_suiviDi[#Data],COLUMN(T_suiviDi[Email]),FALSE)&lt;&gt;"",VLOOKUP(T_Equipement[[#This Row],[NumL]],T_suiviDi[#Data],COLUMN(T_suiviDi[Email]),FALSE),""),"")</f>
        <v/>
      </c>
      <c r="E52" s="53" t="str">
        <f>IFERROR(IF(VLOOKUP(T_Equipement[[#This Row],[NumL]],T_suiviDi[#Data],COLUMN(T_suiviDi[Nom1]),FALSE)&lt;&gt;"",VLOOKUP(T_Equipement[[#This Row],[NumL]],T_suiviDi[#Data],COLUMN(T_suiviDi[Nom1]),FALSE),""),"")</f>
        <v/>
      </c>
      <c r="F52" s="53" t="str">
        <f>IFERROR(IF(VLOOKUP(T_Equipement[[#This Row],[NumL]],T_suiviDi[#Data],COLUMN(T_suiviDi[Prénom1]),FALSE)&lt;&gt;"",VLOOKUP(T_Equipement[[#This Row],[NumL]],T_suiviDi[#Data],COLUMN(T_suiviDi[Prénom1]),FALSE),""),"")</f>
        <v/>
      </c>
      <c r="G52" s="53" t="str">
        <f>IFERROR(IF(VLOOKUP(T_Equipement[[#This Row],[NumL]],T_suiviDi[#Data],COLUMN(T_suiviDi[Email1]),FALSE)&lt;&gt;"",VLOOKUP(T_Equipement[[#This Row],[NumL]],T_suiviDi[#Data],COLUMN(T_suiviDi[Email1]),FALSE),""),"")</f>
        <v/>
      </c>
      <c r="H52" s="59"/>
      <c r="I52" s="61"/>
      <c r="J52" s="60"/>
      <c r="K52" s="61"/>
      <c r="L52" s="62"/>
      <c r="M52" s="59"/>
      <c r="N52" s="59"/>
      <c r="O52" s="59"/>
      <c r="P52" s="59"/>
      <c r="Q52" s="59"/>
      <c r="R52" s="59"/>
      <c r="S52" s="61"/>
      <c r="T52" s="260"/>
    </row>
    <row r="53" spans="1:20" ht="24" customHeight="1" x14ac:dyDescent="0.25">
      <c r="A53" s="90">
        <v>299</v>
      </c>
      <c r="B53" s="51" t="str">
        <f>IFERROR(IF(VLOOKUP(T_Equipement[[#This Row],[NumL]],T_suiviDi[#Data],COLUMN(T_suiviDi[Nom]),FALSE)&lt;&gt;"",VLOOKUP(T_Equipement[[#This Row],[NumL]],T_suiviDi[#Data],COLUMN(T_suiviDi[Nom]),FALSE),""),"")</f>
        <v/>
      </c>
      <c r="C53" s="51" t="str">
        <f>IFERROR(IF(VLOOKUP(T_Equipement[[#This Row],[NumL]],T_suiviDi[#Data],COLUMN(T_suiviDi[Prénom]),FALSE)&lt;&gt;"",VLOOKUP(T_Equipement[[#This Row],[NumL]],T_suiviDi[#Data],COLUMN(T_suiviDi[Prénom]),FALSE),""),"")</f>
        <v/>
      </c>
      <c r="D53" s="52" t="str">
        <f>IFERROR(IF(VLOOKUP(T_Equipement[[#This Row],[NumL]],T_suiviDi[#Data],COLUMN(T_suiviDi[Email]),FALSE)&lt;&gt;"",VLOOKUP(T_Equipement[[#This Row],[NumL]],T_suiviDi[#Data],COLUMN(T_suiviDi[Email]),FALSE),""),"")</f>
        <v/>
      </c>
      <c r="E53" s="53" t="str">
        <f>IFERROR(IF(VLOOKUP(T_Equipement[[#This Row],[NumL]],T_suiviDi[#Data],COLUMN(T_suiviDi[Nom1]),FALSE)&lt;&gt;"",VLOOKUP(T_Equipement[[#This Row],[NumL]],T_suiviDi[#Data],COLUMN(T_suiviDi[Nom1]),FALSE),""),"")</f>
        <v/>
      </c>
      <c r="F53" s="53" t="str">
        <f>IFERROR(IF(VLOOKUP(T_Equipement[[#This Row],[NumL]],T_suiviDi[#Data],COLUMN(T_suiviDi[Prénom1]),FALSE)&lt;&gt;"",VLOOKUP(T_Equipement[[#This Row],[NumL]],T_suiviDi[#Data],COLUMN(T_suiviDi[Prénom1]),FALSE),""),"")</f>
        <v/>
      </c>
      <c r="G53" s="53" t="str">
        <f>IFERROR(IF(VLOOKUP(T_Equipement[[#This Row],[NumL]],T_suiviDi[#Data],COLUMN(T_suiviDi[Email1]),FALSE)&lt;&gt;"",VLOOKUP(T_Equipement[[#This Row],[NumL]],T_suiviDi[#Data],COLUMN(T_suiviDi[Email1]),FALSE),""),"")</f>
        <v/>
      </c>
      <c r="H53" s="59"/>
      <c r="I53" s="61"/>
      <c r="J53" s="60"/>
      <c r="K53" s="61"/>
      <c r="L53" s="62"/>
      <c r="M53" s="59"/>
      <c r="N53" s="59"/>
      <c r="O53" s="59"/>
      <c r="P53" s="59"/>
      <c r="Q53" s="59"/>
      <c r="R53" s="59"/>
      <c r="S53" s="61"/>
      <c r="T53" s="260"/>
    </row>
    <row r="54" spans="1:20" ht="24" customHeight="1" x14ac:dyDescent="0.25">
      <c r="A54" s="90">
        <v>261</v>
      </c>
      <c r="B54" s="51" t="str">
        <f>IFERROR(IF(VLOOKUP(T_Equipement[[#This Row],[NumL]],T_suiviDi[#Data],COLUMN(T_suiviDi[Nom]),FALSE)&lt;&gt;"",VLOOKUP(T_Equipement[[#This Row],[NumL]],T_suiviDi[#Data],COLUMN(T_suiviDi[Nom]),FALSE),""),"")</f>
        <v/>
      </c>
      <c r="C54" s="51" t="str">
        <f>IFERROR(IF(VLOOKUP(T_Equipement[[#This Row],[NumL]],T_suiviDi[#Data],COLUMN(T_suiviDi[Prénom]),FALSE)&lt;&gt;"",VLOOKUP(T_Equipement[[#This Row],[NumL]],T_suiviDi[#Data],COLUMN(T_suiviDi[Prénom]),FALSE),""),"")</f>
        <v/>
      </c>
      <c r="D54" s="52" t="str">
        <f>IFERROR(IF(VLOOKUP(T_Equipement[[#This Row],[NumL]],T_suiviDi[#Data],COLUMN(T_suiviDi[Email]),FALSE)&lt;&gt;"",VLOOKUP(T_Equipement[[#This Row],[NumL]],T_suiviDi[#Data],COLUMN(T_suiviDi[Email]),FALSE),""),"")</f>
        <v/>
      </c>
      <c r="E54" s="53" t="str">
        <f>IFERROR(IF(VLOOKUP(T_Equipement[[#This Row],[NumL]],T_suiviDi[#Data],COLUMN(T_suiviDi[Nom1]),FALSE)&lt;&gt;"",VLOOKUP(T_Equipement[[#This Row],[NumL]],T_suiviDi[#Data],COLUMN(T_suiviDi[Nom1]),FALSE),""),"")</f>
        <v/>
      </c>
      <c r="F54" s="53" t="str">
        <f>IFERROR(IF(VLOOKUP(T_Equipement[[#This Row],[NumL]],T_suiviDi[#Data],COLUMN(T_suiviDi[Prénom1]),FALSE)&lt;&gt;"",VLOOKUP(T_Equipement[[#This Row],[NumL]],T_suiviDi[#Data],COLUMN(T_suiviDi[Prénom1]),FALSE),""),"")</f>
        <v/>
      </c>
      <c r="G54" s="53" t="str">
        <f>IFERROR(IF(VLOOKUP(T_Equipement[[#This Row],[NumL]],T_suiviDi[#Data],COLUMN(T_suiviDi[Email1]),FALSE)&lt;&gt;"",VLOOKUP(T_Equipement[[#This Row],[NumL]],T_suiviDi[#Data],COLUMN(T_suiviDi[Email1]),FALSE),""),"")</f>
        <v/>
      </c>
      <c r="H54" s="59" t="s">
        <v>3278</v>
      </c>
      <c r="I54" s="61"/>
      <c r="J54" s="60" t="s">
        <v>3086</v>
      </c>
      <c r="K54" s="61"/>
      <c r="L54" s="62"/>
      <c r="M54" s="59"/>
      <c r="N54" s="59"/>
      <c r="O54" s="59"/>
      <c r="P54" s="59"/>
      <c r="Q54" s="59"/>
      <c r="R54" s="59"/>
      <c r="S54" s="61"/>
      <c r="T54" s="260" t="e">
        <f>VLOOKUP(T_Equipement[[#This Row],[NumL]],T_TraitDi[#Data],COLUMN(#REF!),FALSE)</f>
        <v>#REF!</v>
      </c>
    </row>
    <row r="55" spans="1:20" ht="24" customHeight="1" x14ac:dyDescent="0.25">
      <c r="A55" s="90">
        <v>331</v>
      </c>
      <c r="B55" s="51" t="str">
        <f>IFERROR(IF(VLOOKUP(T_Equipement[[#This Row],[NumL]],T_suiviDi[#Data],COLUMN(T_suiviDi[Nom]),FALSE)&lt;&gt;"",VLOOKUP(T_Equipement[[#This Row],[NumL]],T_suiviDi[#Data],COLUMN(T_suiviDi[Nom]),FALSE),""),"")</f>
        <v/>
      </c>
      <c r="C55" s="51" t="str">
        <f>IFERROR(IF(VLOOKUP(T_Equipement[[#This Row],[NumL]],T_suiviDi[#Data],COLUMN(T_suiviDi[Prénom]),FALSE)&lt;&gt;"",VLOOKUP(T_Equipement[[#This Row],[NumL]],T_suiviDi[#Data],COLUMN(T_suiviDi[Prénom]),FALSE),""),"")</f>
        <v/>
      </c>
      <c r="D55" s="52" t="str">
        <f>IFERROR(IF(VLOOKUP(T_Equipement[[#This Row],[NumL]],T_suiviDi[#Data],COLUMN(T_suiviDi[Email]),FALSE)&lt;&gt;"",VLOOKUP(T_Equipement[[#This Row],[NumL]],T_suiviDi[#Data],COLUMN(T_suiviDi[Email]),FALSE),""),"")</f>
        <v/>
      </c>
      <c r="E55" s="53" t="str">
        <f>IFERROR(IF(VLOOKUP(T_Equipement[[#This Row],[NumL]],T_suiviDi[#Data],COLUMN(T_suiviDi[Nom1]),FALSE)&lt;&gt;"",VLOOKUP(T_Equipement[[#This Row],[NumL]],T_suiviDi[#Data],COLUMN(T_suiviDi[Nom1]),FALSE),""),"")</f>
        <v/>
      </c>
      <c r="F55" s="53" t="str">
        <f>IFERROR(IF(VLOOKUP(T_Equipement[[#This Row],[NumL]],T_suiviDi[#Data],COLUMN(T_suiviDi[Prénom1]),FALSE)&lt;&gt;"",VLOOKUP(T_Equipement[[#This Row],[NumL]],T_suiviDi[#Data],COLUMN(T_suiviDi[Prénom1]),FALSE),""),"")</f>
        <v/>
      </c>
      <c r="G55" s="53" t="str">
        <f>IFERROR(IF(VLOOKUP(T_Equipement[[#This Row],[NumL]],T_suiviDi[#Data],COLUMN(T_suiviDi[Email1]),FALSE)&lt;&gt;"",VLOOKUP(T_Equipement[[#This Row],[NumL]],T_suiviDi[#Data],COLUMN(T_suiviDi[Email1]),FALSE),""),"")</f>
        <v/>
      </c>
      <c r="H55" s="59"/>
      <c r="I55" s="61"/>
      <c r="J55" s="60"/>
      <c r="K55" s="61"/>
      <c r="L55" s="62"/>
      <c r="M55" s="59"/>
      <c r="N55" s="59"/>
      <c r="O55" s="59"/>
      <c r="P55" s="59"/>
      <c r="Q55" s="59"/>
      <c r="R55" s="59"/>
      <c r="S55" s="61"/>
      <c r="T55" s="260"/>
    </row>
    <row r="56" spans="1:20" ht="24" customHeight="1" x14ac:dyDescent="0.25">
      <c r="A56" s="90">
        <v>302</v>
      </c>
      <c r="B56" s="51" t="str">
        <f>IFERROR(IF(VLOOKUP(T_Equipement[[#This Row],[NumL]],T_suiviDi[#Data],COLUMN(T_suiviDi[Nom]),FALSE)&lt;&gt;"",VLOOKUP(T_Equipement[[#This Row],[NumL]],T_suiviDi[#Data],COLUMN(T_suiviDi[Nom]),FALSE),""),"")</f>
        <v/>
      </c>
      <c r="C56" s="51" t="str">
        <f>IFERROR(IF(VLOOKUP(T_Equipement[[#This Row],[NumL]],T_suiviDi[#Data],COLUMN(T_suiviDi[Prénom]),FALSE)&lt;&gt;"",VLOOKUP(T_Equipement[[#This Row],[NumL]],T_suiviDi[#Data],COLUMN(T_suiviDi[Prénom]),FALSE),""),"")</f>
        <v/>
      </c>
      <c r="D56" s="52" t="str">
        <f>IFERROR(IF(VLOOKUP(T_Equipement[[#This Row],[NumL]],T_suiviDi[#Data],COLUMN(T_suiviDi[Email]),FALSE)&lt;&gt;"",VLOOKUP(T_Equipement[[#This Row],[NumL]],T_suiviDi[#Data],COLUMN(T_suiviDi[Email]),FALSE),""),"")</f>
        <v/>
      </c>
      <c r="E56" s="53" t="str">
        <f>IFERROR(IF(VLOOKUP(T_Equipement[[#This Row],[NumL]],T_suiviDi[#Data],COLUMN(T_suiviDi[Nom1]),FALSE)&lt;&gt;"",VLOOKUP(T_Equipement[[#This Row],[NumL]],T_suiviDi[#Data],COLUMN(T_suiviDi[Nom1]),FALSE),""),"")</f>
        <v/>
      </c>
      <c r="F56" s="53" t="str">
        <f>IFERROR(IF(VLOOKUP(T_Equipement[[#This Row],[NumL]],T_suiviDi[#Data],COLUMN(T_suiviDi[Prénom1]),FALSE)&lt;&gt;"",VLOOKUP(T_Equipement[[#This Row],[NumL]],T_suiviDi[#Data],COLUMN(T_suiviDi[Prénom1]),FALSE),""),"")</f>
        <v/>
      </c>
      <c r="G56" s="53" t="str">
        <f>IFERROR(IF(VLOOKUP(T_Equipement[[#This Row],[NumL]],T_suiviDi[#Data],COLUMN(T_suiviDi[Email1]),FALSE)&lt;&gt;"",VLOOKUP(T_Equipement[[#This Row],[NumL]],T_suiviDi[#Data],COLUMN(T_suiviDi[Email1]),FALSE),""),"")</f>
        <v/>
      </c>
      <c r="H56" s="59"/>
      <c r="I56" s="61"/>
      <c r="J56" s="60"/>
      <c r="K56" s="61"/>
      <c r="L56" s="62"/>
      <c r="M56" s="59"/>
      <c r="N56" s="59"/>
      <c r="O56" s="59"/>
      <c r="P56" s="59"/>
      <c r="Q56" s="59"/>
      <c r="R56" s="59"/>
      <c r="S56" s="61"/>
      <c r="T56" s="260"/>
    </row>
    <row r="57" spans="1:20" ht="24" customHeight="1" x14ac:dyDescent="0.25">
      <c r="A57" s="90">
        <v>194</v>
      </c>
      <c r="B57" s="51" t="str">
        <f>IFERROR(IF(VLOOKUP(T_Equipement[[#This Row],[NumL]],T_suiviDi[#Data],COLUMN(T_suiviDi[Nom]),FALSE)&lt;&gt;"",VLOOKUP(T_Equipement[[#This Row],[NumL]],T_suiviDi[#Data],COLUMN(T_suiviDi[Nom]),FALSE),""),"")</f>
        <v/>
      </c>
      <c r="C57" s="51" t="str">
        <f>IFERROR(IF(VLOOKUP(T_Equipement[[#This Row],[NumL]],T_suiviDi[#Data],COLUMN(T_suiviDi[Prénom]),FALSE)&lt;&gt;"",VLOOKUP(T_Equipement[[#This Row],[NumL]],T_suiviDi[#Data],COLUMN(T_suiviDi[Prénom]),FALSE),""),"")</f>
        <v/>
      </c>
      <c r="D57" s="52" t="str">
        <f>IFERROR(IF(VLOOKUP(T_Equipement[[#This Row],[NumL]],T_suiviDi[#Data],COLUMN(T_suiviDi[Email]),FALSE)&lt;&gt;"",VLOOKUP(T_Equipement[[#This Row],[NumL]],T_suiviDi[#Data],COLUMN(T_suiviDi[Email]),FALSE),""),"")</f>
        <v/>
      </c>
      <c r="E57" s="53" t="str">
        <f>IFERROR(IF(VLOOKUP(T_Equipement[[#This Row],[NumL]],T_suiviDi[#Data],COLUMN(T_suiviDi[Nom1]),FALSE)&lt;&gt;"",VLOOKUP(T_Equipement[[#This Row],[NumL]],T_suiviDi[#Data],COLUMN(T_suiviDi[Nom1]),FALSE),""),"")</f>
        <v/>
      </c>
      <c r="F57" s="53" t="str">
        <f>IFERROR(IF(VLOOKUP(T_Equipement[[#This Row],[NumL]],T_suiviDi[#Data],COLUMN(T_suiviDi[Prénom1]),FALSE)&lt;&gt;"",VLOOKUP(T_Equipement[[#This Row],[NumL]],T_suiviDi[#Data],COLUMN(T_suiviDi[Prénom1]),FALSE),""),"")</f>
        <v/>
      </c>
      <c r="G57" s="53" t="str">
        <f>IFERROR(IF(VLOOKUP(T_Equipement[[#This Row],[NumL]],T_suiviDi[#Data],COLUMN(T_suiviDi[Email1]),FALSE)&lt;&gt;"",VLOOKUP(T_Equipement[[#This Row],[NumL]],T_suiviDi[#Data],COLUMN(T_suiviDi[Email1]),FALSE),""),"")</f>
        <v/>
      </c>
      <c r="H57" s="59" t="s">
        <v>3277</v>
      </c>
      <c r="I57" s="61"/>
      <c r="J57" s="60" t="s">
        <v>3087</v>
      </c>
      <c r="K57" s="61"/>
      <c r="L57" s="62"/>
      <c r="M57" s="59"/>
      <c r="N57" s="59"/>
      <c r="O57" s="59"/>
      <c r="P57" s="59"/>
      <c r="Q57" s="59"/>
      <c r="R57" s="59"/>
      <c r="S57" s="61"/>
      <c r="T57" s="260" t="e">
        <f>VLOOKUP(T_Equipement[[#This Row],[NumL]],T_TraitDi[#Data],COLUMN(#REF!),FALSE)</f>
        <v>#REF!</v>
      </c>
    </row>
    <row r="58" spans="1:20" ht="24" customHeight="1" x14ac:dyDescent="0.25">
      <c r="A58" s="90">
        <v>100</v>
      </c>
      <c r="B58" s="51" t="str">
        <f>IFERROR(IF(VLOOKUP(T_Equipement[[#This Row],[NumL]],T_suiviDi[#Data],COLUMN(T_suiviDi[Nom]),FALSE)&lt;&gt;"",VLOOKUP(T_Equipement[[#This Row],[NumL]],T_suiviDi[#Data],COLUMN(T_suiviDi[Nom]),FALSE),""),"")</f>
        <v/>
      </c>
      <c r="C58" s="51" t="str">
        <f>IFERROR(IF(VLOOKUP(T_Equipement[[#This Row],[NumL]],T_suiviDi[#Data],COLUMN(T_suiviDi[Prénom]),FALSE)&lt;&gt;"",VLOOKUP(T_Equipement[[#This Row],[NumL]],T_suiviDi[#Data],COLUMN(T_suiviDi[Prénom]),FALSE),""),"")</f>
        <v/>
      </c>
      <c r="D58" s="52" t="str">
        <f>IFERROR(IF(VLOOKUP(T_Equipement[[#This Row],[NumL]],T_suiviDi[#Data],COLUMN(T_suiviDi[Email]),FALSE)&lt;&gt;"",VLOOKUP(T_Equipement[[#This Row],[NumL]],T_suiviDi[#Data],COLUMN(T_suiviDi[Email]),FALSE),""),"")</f>
        <v/>
      </c>
      <c r="E58" s="53" t="str">
        <f>IFERROR(IF(VLOOKUP(T_Equipement[[#This Row],[NumL]],T_suiviDi[#Data],COLUMN(T_suiviDi[Nom1]),FALSE)&lt;&gt;"",VLOOKUP(T_Equipement[[#This Row],[NumL]],T_suiviDi[#Data],COLUMN(T_suiviDi[Nom1]),FALSE),""),"")</f>
        <v/>
      </c>
      <c r="F58" s="53" t="str">
        <f>IFERROR(IF(VLOOKUP(T_Equipement[[#This Row],[NumL]],T_suiviDi[#Data],COLUMN(T_suiviDi[Prénom1]),FALSE)&lt;&gt;"",VLOOKUP(T_Equipement[[#This Row],[NumL]],T_suiviDi[#Data],COLUMN(T_suiviDi[Prénom1]),FALSE),""),"")</f>
        <v/>
      </c>
      <c r="G58" s="53" t="str">
        <f>IFERROR(IF(VLOOKUP(T_Equipement[[#This Row],[NumL]],T_suiviDi[#Data],COLUMN(T_suiviDi[Email1]),FALSE)&lt;&gt;"",VLOOKUP(T_Equipement[[#This Row],[NumL]],T_suiviDi[#Data],COLUMN(T_suiviDi[Email1]),FALSE),""),"")</f>
        <v/>
      </c>
      <c r="H58" s="59" t="s">
        <v>3278</v>
      </c>
      <c r="I58" s="61"/>
      <c r="J58" s="60" t="s">
        <v>3088</v>
      </c>
      <c r="K58" s="61"/>
      <c r="L58" s="62"/>
      <c r="M58" s="59"/>
      <c r="N58" s="59"/>
      <c r="O58" s="59"/>
      <c r="P58" s="59"/>
      <c r="Q58" s="59"/>
      <c r="R58" s="59"/>
      <c r="S58" s="61"/>
      <c r="T58" s="260" t="e">
        <f>VLOOKUP(T_Equipement[[#This Row],[NumL]],T_TraitDi[#Data],COLUMN(#REF!),FALSE)</f>
        <v>#REF!</v>
      </c>
    </row>
    <row r="59" spans="1:20" ht="24" customHeight="1" x14ac:dyDescent="0.25">
      <c r="A59" s="90">
        <v>151</v>
      </c>
      <c r="B59" s="51" t="str">
        <f>IFERROR(IF(VLOOKUP(T_Equipement[[#This Row],[NumL]],T_suiviDi[#Data],COLUMN(T_suiviDi[Nom]),FALSE)&lt;&gt;"",VLOOKUP(T_Equipement[[#This Row],[NumL]],T_suiviDi[#Data],COLUMN(T_suiviDi[Nom]),FALSE),""),"")</f>
        <v/>
      </c>
      <c r="C59" s="51" t="str">
        <f>IFERROR(IF(VLOOKUP(T_Equipement[[#This Row],[NumL]],T_suiviDi[#Data],COLUMN(T_suiviDi[Prénom]),FALSE)&lt;&gt;"",VLOOKUP(T_Equipement[[#This Row],[NumL]],T_suiviDi[#Data],COLUMN(T_suiviDi[Prénom]),FALSE),""),"")</f>
        <v/>
      </c>
      <c r="D59" s="52" t="str">
        <f>IFERROR(IF(VLOOKUP(T_Equipement[[#This Row],[NumL]],T_suiviDi[#Data],COLUMN(T_suiviDi[Email]),FALSE)&lt;&gt;"",VLOOKUP(T_Equipement[[#This Row],[NumL]],T_suiviDi[#Data],COLUMN(T_suiviDi[Email]),FALSE),""),"")</f>
        <v/>
      </c>
      <c r="E59" s="53" t="str">
        <f>IFERROR(IF(VLOOKUP(T_Equipement[[#This Row],[NumL]],T_suiviDi[#Data],COLUMN(T_suiviDi[Nom1]),FALSE)&lt;&gt;"",VLOOKUP(T_Equipement[[#This Row],[NumL]],T_suiviDi[#Data],COLUMN(T_suiviDi[Nom1]),FALSE),""),"")</f>
        <v/>
      </c>
      <c r="F59" s="53" t="str">
        <f>IFERROR(IF(VLOOKUP(T_Equipement[[#This Row],[NumL]],T_suiviDi[#Data],COLUMN(T_suiviDi[Prénom1]),FALSE)&lt;&gt;"",VLOOKUP(T_Equipement[[#This Row],[NumL]],T_suiviDi[#Data],COLUMN(T_suiviDi[Prénom1]),FALSE),""),"")</f>
        <v/>
      </c>
      <c r="G59" s="53" t="str">
        <f>IFERROR(IF(VLOOKUP(T_Equipement[[#This Row],[NumL]],T_suiviDi[#Data],COLUMN(T_suiviDi[Email1]),FALSE)&lt;&gt;"",VLOOKUP(T_Equipement[[#This Row],[NumL]],T_suiviDi[#Data],COLUMN(T_suiviDi[Email1]),FALSE),""),"")</f>
        <v/>
      </c>
      <c r="H59" s="59"/>
      <c r="I59" s="61"/>
      <c r="J59" s="60" t="s">
        <v>3089</v>
      </c>
      <c r="K59" s="61"/>
      <c r="L59" s="62"/>
      <c r="M59" s="59"/>
      <c r="N59" s="59"/>
      <c r="O59" s="59"/>
      <c r="P59" s="59"/>
      <c r="Q59" s="59"/>
      <c r="R59" s="59"/>
      <c r="S59" s="61"/>
      <c r="T59" s="260" t="e">
        <f>VLOOKUP(T_Equipement[[#This Row],[NumL]],T_TraitDi[#Data],COLUMN(#REF!),FALSE)</f>
        <v>#REF!</v>
      </c>
    </row>
    <row r="60" spans="1:20" ht="24" customHeight="1" x14ac:dyDescent="0.25">
      <c r="A60" s="90">
        <v>157</v>
      </c>
      <c r="B60" s="51" t="str">
        <f>IFERROR(IF(VLOOKUP(T_Equipement[[#This Row],[NumL]],T_suiviDi[#Data],COLUMN(T_suiviDi[Nom]),FALSE)&lt;&gt;"",VLOOKUP(T_Equipement[[#This Row],[NumL]],T_suiviDi[#Data],COLUMN(T_suiviDi[Nom]),FALSE),""),"")</f>
        <v/>
      </c>
      <c r="C60" s="51" t="str">
        <f>IFERROR(IF(VLOOKUP(T_Equipement[[#This Row],[NumL]],T_suiviDi[#Data],COLUMN(T_suiviDi[Prénom]),FALSE)&lt;&gt;"",VLOOKUP(T_Equipement[[#This Row],[NumL]],T_suiviDi[#Data],COLUMN(T_suiviDi[Prénom]),FALSE),""),"")</f>
        <v/>
      </c>
      <c r="D60" s="52" t="str">
        <f>IFERROR(IF(VLOOKUP(T_Equipement[[#This Row],[NumL]],T_suiviDi[#Data],COLUMN(T_suiviDi[Email]),FALSE)&lt;&gt;"",VLOOKUP(T_Equipement[[#This Row],[NumL]],T_suiviDi[#Data],COLUMN(T_suiviDi[Email]),FALSE),""),"")</f>
        <v/>
      </c>
      <c r="E60" s="53" t="str">
        <f>IFERROR(IF(VLOOKUP(T_Equipement[[#This Row],[NumL]],T_suiviDi[#Data],COLUMN(T_suiviDi[Nom1]),FALSE)&lt;&gt;"",VLOOKUP(T_Equipement[[#This Row],[NumL]],T_suiviDi[#Data],COLUMN(T_suiviDi[Nom1]),FALSE),""),"")</f>
        <v/>
      </c>
      <c r="F60" s="53" t="str">
        <f>IFERROR(IF(VLOOKUP(T_Equipement[[#This Row],[NumL]],T_suiviDi[#Data],COLUMN(T_suiviDi[Prénom1]),FALSE)&lt;&gt;"",VLOOKUP(T_Equipement[[#This Row],[NumL]],T_suiviDi[#Data],COLUMN(T_suiviDi[Prénom1]),FALSE),""),"")</f>
        <v/>
      </c>
      <c r="G60" s="53" t="str">
        <f>IFERROR(IF(VLOOKUP(T_Equipement[[#This Row],[NumL]],T_suiviDi[#Data],COLUMN(T_suiviDi[Email1]),FALSE)&lt;&gt;"",VLOOKUP(T_Equipement[[#This Row],[NumL]],T_suiviDi[#Data],COLUMN(T_suiviDi[Email1]),FALSE),""),"")</f>
        <v/>
      </c>
      <c r="H60" s="59" t="s">
        <v>3277</v>
      </c>
      <c r="I60" s="251">
        <v>44165</v>
      </c>
      <c r="J60" s="60" t="s">
        <v>3090</v>
      </c>
      <c r="K60" s="61"/>
      <c r="L60" s="62"/>
      <c r="M60" s="59"/>
      <c r="N60" s="59"/>
      <c r="O60" s="59"/>
      <c r="P60" s="59"/>
      <c r="Q60" s="59"/>
      <c r="R60" s="59"/>
      <c r="S60" s="61"/>
      <c r="T60" s="260" t="e">
        <f>VLOOKUP(T_Equipement[[#This Row],[NumL]],T_TraitDi[#Data],COLUMN(#REF!),FALSE)</f>
        <v>#REF!</v>
      </c>
    </row>
    <row r="61" spans="1:20" ht="24" customHeight="1" x14ac:dyDescent="0.25">
      <c r="A61" s="90">
        <v>39</v>
      </c>
      <c r="B61" s="51" t="str">
        <f>IFERROR(IF(VLOOKUP(T_Equipement[[#This Row],[NumL]],T_suiviDi[#Data],COLUMN(T_suiviDi[Nom]),FALSE)&lt;&gt;"",VLOOKUP(T_Equipement[[#This Row],[NumL]],T_suiviDi[#Data],COLUMN(T_suiviDi[Nom]),FALSE),""),"")</f>
        <v/>
      </c>
      <c r="C61" s="51" t="str">
        <f>IFERROR(IF(VLOOKUP(T_Equipement[[#This Row],[NumL]],T_suiviDi[#Data],COLUMN(T_suiviDi[Prénom]),FALSE)&lt;&gt;"",VLOOKUP(T_Equipement[[#This Row],[NumL]],T_suiviDi[#Data],COLUMN(T_suiviDi[Prénom]),FALSE),""),"")</f>
        <v/>
      </c>
      <c r="D61" s="52" t="str">
        <f>IFERROR(IF(VLOOKUP(T_Equipement[[#This Row],[NumL]],T_suiviDi[#Data],COLUMN(T_suiviDi[Email]),FALSE)&lt;&gt;"",VLOOKUP(T_Equipement[[#This Row],[NumL]],T_suiviDi[#Data],COLUMN(T_suiviDi[Email]),FALSE),""),"")</f>
        <v/>
      </c>
      <c r="E61" s="53" t="str">
        <f>IFERROR(IF(VLOOKUP(T_Equipement[[#This Row],[NumL]],T_suiviDi[#Data],COLUMN(T_suiviDi[Nom1]),FALSE)&lt;&gt;"",VLOOKUP(T_Equipement[[#This Row],[NumL]],T_suiviDi[#Data],COLUMN(T_suiviDi[Nom1]),FALSE),""),"")</f>
        <v/>
      </c>
      <c r="F61" s="53" t="str">
        <f>IFERROR(IF(VLOOKUP(T_Equipement[[#This Row],[NumL]],T_suiviDi[#Data],COLUMN(T_suiviDi[Prénom1]),FALSE)&lt;&gt;"",VLOOKUP(T_Equipement[[#This Row],[NumL]],T_suiviDi[#Data],COLUMN(T_suiviDi[Prénom1]),FALSE),""),"")</f>
        <v/>
      </c>
      <c r="G61" s="53" t="str">
        <f>IFERROR(IF(VLOOKUP(T_Equipement[[#This Row],[NumL]],T_suiviDi[#Data],COLUMN(T_suiviDi[Email1]),FALSE)&lt;&gt;"",VLOOKUP(T_Equipement[[#This Row],[NumL]],T_suiviDi[#Data],COLUMN(T_suiviDi[Email1]),FALSE),""),"")</f>
        <v/>
      </c>
      <c r="H61" s="59"/>
      <c r="I61" s="61"/>
      <c r="J61" s="60" t="s">
        <v>3091</v>
      </c>
      <c r="K61" s="61"/>
      <c r="L61" s="62"/>
      <c r="M61" s="59"/>
      <c r="N61" s="59"/>
      <c r="O61" s="59"/>
      <c r="P61" s="59"/>
      <c r="Q61" s="59"/>
      <c r="R61" s="59"/>
      <c r="S61" s="61"/>
      <c r="T61" s="260" t="e">
        <f>VLOOKUP(T_Equipement[[#This Row],[NumL]],T_TraitDi[#Data],COLUMN(#REF!),FALSE)</f>
        <v>#REF!</v>
      </c>
    </row>
    <row r="62" spans="1:20" ht="24" customHeight="1" x14ac:dyDescent="0.25">
      <c r="A62" s="90">
        <v>279</v>
      </c>
      <c r="B62" s="51" t="str">
        <f>IFERROR(IF(VLOOKUP(T_Equipement[[#This Row],[NumL]],T_suiviDi[#Data],COLUMN(T_suiviDi[Nom]),FALSE)&lt;&gt;"",VLOOKUP(T_Equipement[[#This Row],[NumL]],T_suiviDi[#Data],COLUMN(T_suiviDi[Nom]),FALSE),""),"")</f>
        <v/>
      </c>
      <c r="C62" s="51" t="str">
        <f>IFERROR(IF(VLOOKUP(T_Equipement[[#This Row],[NumL]],T_suiviDi[#Data],COLUMN(T_suiviDi[Prénom]),FALSE)&lt;&gt;"",VLOOKUP(T_Equipement[[#This Row],[NumL]],T_suiviDi[#Data],COLUMN(T_suiviDi[Prénom]),FALSE),""),"")</f>
        <v/>
      </c>
      <c r="D62" s="52" t="str">
        <f>IFERROR(IF(VLOOKUP(T_Equipement[[#This Row],[NumL]],T_suiviDi[#Data],COLUMN(T_suiviDi[Email]),FALSE)&lt;&gt;"",VLOOKUP(T_Equipement[[#This Row],[NumL]],T_suiviDi[#Data],COLUMN(T_suiviDi[Email]),FALSE),""),"")</f>
        <v/>
      </c>
      <c r="E62" s="53" t="str">
        <f>IFERROR(IF(VLOOKUP(T_Equipement[[#This Row],[NumL]],T_suiviDi[#Data],COLUMN(T_suiviDi[Nom1]),FALSE)&lt;&gt;"",VLOOKUP(T_Equipement[[#This Row],[NumL]],T_suiviDi[#Data],COLUMN(T_suiviDi[Nom1]),FALSE),""),"")</f>
        <v/>
      </c>
      <c r="F62" s="53" t="str">
        <f>IFERROR(IF(VLOOKUP(T_Equipement[[#This Row],[NumL]],T_suiviDi[#Data],COLUMN(T_suiviDi[Prénom1]),FALSE)&lt;&gt;"",VLOOKUP(T_Equipement[[#This Row],[NumL]],T_suiviDi[#Data],COLUMN(T_suiviDi[Prénom1]),FALSE),""),"")</f>
        <v/>
      </c>
      <c r="G62" s="53" t="str">
        <f>IFERROR(IF(VLOOKUP(T_Equipement[[#This Row],[NumL]],T_suiviDi[#Data],COLUMN(T_suiviDi[Email1]),FALSE)&lt;&gt;"",VLOOKUP(T_Equipement[[#This Row],[NumL]],T_suiviDi[#Data],COLUMN(T_suiviDi[Email1]),FALSE),""),"")</f>
        <v/>
      </c>
      <c r="H62" s="59" t="s">
        <v>3278</v>
      </c>
      <c r="I62" s="61"/>
      <c r="J62" s="60" t="s">
        <v>3092</v>
      </c>
      <c r="K62" s="61"/>
      <c r="L62" s="62"/>
      <c r="M62" s="59"/>
      <c r="N62" s="59"/>
      <c r="O62" s="59"/>
      <c r="P62" s="59"/>
      <c r="Q62" s="59"/>
      <c r="R62" s="59"/>
      <c r="S62" s="61"/>
      <c r="T62" s="260" t="e">
        <f>VLOOKUP(T_Equipement[[#This Row],[NumL]],T_TraitDi[#Data],COLUMN(#REF!),FALSE)</f>
        <v>#REF!</v>
      </c>
    </row>
    <row r="63" spans="1:20" ht="24" customHeight="1" x14ac:dyDescent="0.25">
      <c r="A63" s="90">
        <v>290</v>
      </c>
      <c r="B63" s="51" t="str">
        <f>IFERROR(IF(VLOOKUP(T_Equipement[[#This Row],[NumL]],T_suiviDi[#Data],COLUMN(T_suiviDi[Nom]),FALSE)&lt;&gt;"",VLOOKUP(T_Equipement[[#This Row],[NumL]],T_suiviDi[#Data],COLUMN(T_suiviDi[Nom]),FALSE),""),"")</f>
        <v/>
      </c>
      <c r="C63" s="51" t="str">
        <f>IFERROR(IF(VLOOKUP(T_Equipement[[#This Row],[NumL]],T_suiviDi[#Data],COLUMN(T_suiviDi[Prénom]),FALSE)&lt;&gt;"",VLOOKUP(T_Equipement[[#This Row],[NumL]],T_suiviDi[#Data],COLUMN(T_suiviDi[Prénom]),FALSE),""),"")</f>
        <v/>
      </c>
      <c r="D63" s="52" t="str">
        <f>IFERROR(IF(VLOOKUP(T_Equipement[[#This Row],[NumL]],T_suiviDi[#Data],COLUMN(T_suiviDi[Email]),FALSE)&lt;&gt;"",VLOOKUP(T_Equipement[[#This Row],[NumL]],T_suiviDi[#Data],COLUMN(T_suiviDi[Email]),FALSE),""),"")</f>
        <v/>
      </c>
      <c r="E63" s="53" t="str">
        <f>IFERROR(IF(VLOOKUP(T_Equipement[[#This Row],[NumL]],T_suiviDi[#Data],COLUMN(T_suiviDi[Nom1]),FALSE)&lt;&gt;"",VLOOKUP(T_Equipement[[#This Row],[NumL]],T_suiviDi[#Data],COLUMN(T_suiviDi[Nom1]),FALSE),""),"")</f>
        <v/>
      </c>
      <c r="F63" s="53" t="str">
        <f>IFERROR(IF(VLOOKUP(T_Equipement[[#This Row],[NumL]],T_suiviDi[#Data],COLUMN(T_suiviDi[Prénom1]),FALSE)&lt;&gt;"",VLOOKUP(T_Equipement[[#This Row],[NumL]],T_suiviDi[#Data],COLUMN(T_suiviDi[Prénom1]),FALSE),""),"")</f>
        <v/>
      </c>
      <c r="G63" s="53" t="str">
        <f>IFERROR(IF(VLOOKUP(T_Equipement[[#This Row],[NumL]],T_suiviDi[#Data],COLUMN(T_suiviDi[Email1]),FALSE)&lt;&gt;"",VLOOKUP(T_Equipement[[#This Row],[NumL]],T_suiviDi[#Data],COLUMN(T_suiviDi[Email1]),FALSE),""),"")</f>
        <v/>
      </c>
      <c r="H63" s="59" t="s">
        <v>3278</v>
      </c>
      <c r="I63" s="61"/>
      <c r="J63" s="60" t="s">
        <v>3407</v>
      </c>
      <c r="K63" s="61"/>
      <c r="L63" s="62"/>
      <c r="M63" s="59"/>
      <c r="N63" s="59"/>
      <c r="O63" s="59"/>
      <c r="P63" s="59"/>
      <c r="Q63" s="59"/>
      <c r="R63" s="59"/>
      <c r="S63" s="61"/>
      <c r="T63" s="260" t="e">
        <f>VLOOKUP(T_Equipement[[#This Row],[NumL]],T_TraitDi[#Data],COLUMN(#REF!),FALSE)</f>
        <v>#REF!</v>
      </c>
    </row>
    <row r="64" spans="1:20" ht="24" customHeight="1" x14ac:dyDescent="0.25">
      <c r="A64" s="90">
        <v>286</v>
      </c>
      <c r="B64" s="51" t="str">
        <f>IFERROR(IF(VLOOKUP(T_Equipement[[#This Row],[NumL]],T_suiviDi[#Data],COLUMN(T_suiviDi[Nom]),FALSE)&lt;&gt;"",VLOOKUP(T_Equipement[[#This Row],[NumL]],T_suiviDi[#Data],COLUMN(T_suiviDi[Nom]),FALSE),""),"")</f>
        <v/>
      </c>
      <c r="C64" s="51" t="str">
        <f>IFERROR(IF(VLOOKUP(T_Equipement[[#This Row],[NumL]],T_suiviDi[#Data],COLUMN(T_suiviDi[Prénom]),FALSE)&lt;&gt;"",VLOOKUP(T_Equipement[[#This Row],[NumL]],T_suiviDi[#Data],COLUMN(T_suiviDi[Prénom]),FALSE),""),"")</f>
        <v/>
      </c>
      <c r="D64" s="52" t="str">
        <f>IFERROR(IF(VLOOKUP(T_Equipement[[#This Row],[NumL]],T_suiviDi[#Data],COLUMN(T_suiviDi[Email]),FALSE)&lt;&gt;"",VLOOKUP(T_Equipement[[#This Row],[NumL]],T_suiviDi[#Data],COLUMN(T_suiviDi[Email]),FALSE),""),"")</f>
        <v/>
      </c>
      <c r="E64" s="53" t="str">
        <f>IFERROR(IF(VLOOKUP(T_Equipement[[#This Row],[NumL]],T_suiviDi[#Data],COLUMN(T_suiviDi[Nom1]),FALSE)&lt;&gt;"",VLOOKUP(T_Equipement[[#This Row],[NumL]],T_suiviDi[#Data],COLUMN(T_suiviDi[Nom1]),FALSE),""),"")</f>
        <v/>
      </c>
      <c r="F64" s="53" t="str">
        <f>IFERROR(IF(VLOOKUP(T_Equipement[[#This Row],[NumL]],T_suiviDi[#Data],COLUMN(T_suiviDi[Prénom1]),FALSE)&lt;&gt;"",VLOOKUP(T_Equipement[[#This Row],[NumL]],T_suiviDi[#Data],COLUMN(T_suiviDi[Prénom1]),FALSE),""),"")</f>
        <v/>
      </c>
      <c r="G64" s="53" t="str">
        <f>IFERROR(IF(VLOOKUP(T_Equipement[[#This Row],[NumL]],T_suiviDi[#Data],COLUMN(T_suiviDi[Email1]),FALSE)&lt;&gt;"",VLOOKUP(T_Equipement[[#This Row],[NumL]],T_suiviDi[#Data],COLUMN(T_suiviDi[Email1]),FALSE),""),"")</f>
        <v/>
      </c>
      <c r="H64" s="59" t="s">
        <v>3277</v>
      </c>
      <c r="I64" s="251">
        <v>44165</v>
      </c>
      <c r="J64" s="60" t="s">
        <v>3093</v>
      </c>
      <c r="K64" s="61"/>
      <c r="L64" s="62"/>
      <c r="M64" s="59"/>
      <c r="N64" s="59"/>
      <c r="O64" s="59"/>
      <c r="P64" s="59"/>
      <c r="Q64" s="59"/>
      <c r="R64" s="59"/>
      <c r="S64" s="61"/>
      <c r="T64" s="59" t="e">
        <f>VLOOKUP(T_Equipement[[#This Row],[NumL]],T_TraitDi[#Data],COLUMN(#REF!),FALSE)</f>
        <v>#REF!</v>
      </c>
    </row>
    <row r="65" spans="1:20" ht="24" customHeight="1" x14ac:dyDescent="0.25">
      <c r="A65" s="90">
        <v>313</v>
      </c>
      <c r="B65" s="51" t="str">
        <f>IFERROR(IF(VLOOKUP(T_Equipement[[#This Row],[NumL]],T_suiviDi[#Data],COLUMN(T_suiviDi[Nom]),FALSE)&lt;&gt;"",VLOOKUP(T_Equipement[[#This Row],[NumL]],T_suiviDi[#Data],COLUMN(T_suiviDi[Nom]),FALSE),""),"")</f>
        <v/>
      </c>
      <c r="C65" s="51" t="str">
        <f>IFERROR(IF(VLOOKUP(T_Equipement[[#This Row],[NumL]],T_suiviDi[#Data],COLUMN(T_suiviDi[Prénom]),FALSE)&lt;&gt;"",VLOOKUP(T_Equipement[[#This Row],[NumL]],T_suiviDi[#Data],COLUMN(T_suiviDi[Prénom]),FALSE),""),"")</f>
        <v/>
      </c>
      <c r="D65" s="52" t="str">
        <f>IFERROR(IF(VLOOKUP(T_Equipement[[#This Row],[NumL]],T_suiviDi[#Data],COLUMN(T_suiviDi[Email]),FALSE)&lt;&gt;"",VLOOKUP(T_Equipement[[#This Row],[NumL]],T_suiviDi[#Data],COLUMN(T_suiviDi[Email]),FALSE),""),"")</f>
        <v/>
      </c>
      <c r="E65" s="53" t="str">
        <f>IFERROR(IF(VLOOKUP(T_Equipement[[#This Row],[NumL]],T_suiviDi[#Data],COLUMN(T_suiviDi[Nom1]),FALSE)&lt;&gt;"",VLOOKUP(T_Equipement[[#This Row],[NumL]],T_suiviDi[#Data],COLUMN(T_suiviDi[Nom1]),FALSE),""),"")</f>
        <v/>
      </c>
      <c r="F65" s="53" t="str">
        <f>IFERROR(IF(VLOOKUP(T_Equipement[[#This Row],[NumL]],T_suiviDi[#Data],COLUMN(T_suiviDi[Prénom1]),FALSE)&lt;&gt;"",VLOOKUP(T_Equipement[[#This Row],[NumL]],T_suiviDi[#Data],COLUMN(T_suiviDi[Prénom1]),FALSE),""),"")</f>
        <v/>
      </c>
      <c r="G65" s="53" t="str">
        <f>IFERROR(IF(VLOOKUP(T_Equipement[[#This Row],[NumL]],T_suiviDi[#Data],COLUMN(T_suiviDi[Email1]),FALSE)&lt;&gt;"",VLOOKUP(T_Equipement[[#This Row],[NumL]],T_suiviDi[#Data],COLUMN(T_suiviDi[Email1]),FALSE),""),"")</f>
        <v/>
      </c>
      <c r="H65" s="59"/>
      <c r="I65" s="61"/>
      <c r="J65" s="60"/>
      <c r="K65" s="61"/>
      <c r="L65" s="62"/>
      <c r="M65" s="59"/>
      <c r="N65" s="59"/>
      <c r="O65" s="59"/>
      <c r="P65" s="59"/>
      <c r="Q65" s="59"/>
      <c r="R65" s="59"/>
      <c r="S65" s="61"/>
      <c r="T65" s="59"/>
    </row>
    <row r="66" spans="1:20" ht="24" customHeight="1" x14ac:dyDescent="0.25">
      <c r="A66" s="90">
        <v>96</v>
      </c>
      <c r="B66" s="51" t="str">
        <f>IFERROR(IF(VLOOKUP(T_Equipement[[#This Row],[NumL]],T_suiviDi[#Data],COLUMN(T_suiviDi[Nom]),FALSE)&lt;&gt;"",VLOOKUP(T_Equipement[[#This Row],[NumL]],T_suiviDi[#Data],COLUMN(T_suiviDi[Nom]),FALSE),""),"")</f>
        <v/>
      </c>
      <c r="C66" s="51" t="str">
        <f>IFERROR(IF(VLOOKUP(T_Equipement[[#This Row],[NumL]],T_suiviDi[#Data],COLUMN(T_suiviDi[Prénom]),FALSE)&lt;&gt;"",VLOOKUP(T_Equipement[[#This Row],[NumL]],T_suiviDi[#Data],COLUMN(T_suiviDi[Prénom]),FALSE),""),"")</f>
        <v/>
      </c>
      <c r="D66" s="52" t="str">
        <f>IFERROR(IF(VLOOKUP(T_Equipement[[#This Row],[NumL]],T_suiviDi[#Data],COLUMN(T_suiviDi[Email]),FALSE)&lt;&gt;"",VLOOKUP(T_Equipement[[#This Row],[NumL]],T_suiviDi[#Data],COLUMN(T_suiviDi[Email]),FALSE),""),"")</f>
        <v/>
      </c>
      <c r="E66" s="53" t="str">
        <f>IFERROR(IF(VLOOKUP(T_Equipement[[#This Row],[NumL]],T_suiviDi[#Data],COLUMN(T_suiviDi[Nom1]),FALSE)&lt;&gt;"",VLOOKUP(T_Equipement[[#This Row],[NumL]],T_suiviDi[#Data],COLUMN(T_suiviDi[Nom1]),FALSE),""),"")</f>
        <v/>
      </c>
      <c r="F66" s="53" t="str">
        <f>IFERROR(IF(VLOOKUP(T_Equipement[[#This Row],[NumL]],T_suiviDi[#Data],COLUMN(T_suiviDi[Prénom1]),FALSE)&lt;&gt;"",VLOOKUP(T_Equipement[[#This Row],[NumL]],T_suiviDi[#Data],COLUMN(T_suiviDi[Prénom1]),FALSE),""),"")</f>
        <v/>
      </c>
      <c r="G66" s="53" t="str">
        <f>IFERROR(IF(VLOOKUP(T_Equipement[[#This Row],[NumL]],T_suiviDi[#Data],COLUMN(T_suiviDi[Email1]),FALSE)&lt;&gt;"",VLOOKUP(T_Equipement[[#This Row],[NumL]],T_suiviDi[#Data],COLUMN(T_suiviDi[Email1]),FALSE),""),"")</f>
        <v/>
      </c>
      <c r="H66" s="59"/>
      <c r="I66" s="61"/>
      <c r="J66" s="60" t="s">
        <v>3094</v>
      </c>
      <c r="K66" s="61"/>
      <c r="L66" s="62"/>
      <c r="M66" s="59"/>
      <c r="N66" s="59"/>
      <c r="O66" s="59"/>
      <c r="P66" s="59"/>
      <c r="Q66" s="59"/>
      <c r="R66" s="59"/>
      <c r="S66" s="61"/>
      <c r="T66" s="59" t="e">
        <f>VLOOKUP(T_Equipement[[#This Row],[NumL]],T_TraitDi[#Data],COLUMN(#REF!),FALSE)</f>
        <v>#REF!</v>
      </c>
    </row>
    <row r="67" spans="1:20" ht="24" customHeight="1" x14ac:dyDescent="0.25">
      <c r="A67" s="90">
        <v>24</v>
      </c>
      <c r="B67" s="51" t="str">
        <f>IFERROR(IF(VLOOKUP(T_Equipement[[#This Row],[NumL]],T_suiviDi[#Data],COLUMN(T_suiviDi[Nom]),FALSE)&lt;&gt;"",VLOOKUP(T_Equipement[[#This Row],[NumL]],T_suiviDi[#Data],COLUMN(T_suiviDi[Nom]),FALSE),""),"")</f>
        <v/>
      </c>
      <c r="C67" s="51" t="str">
        <f>IFERROR(IF(VLOOKUP(T_Equipement[[#This Row],[NumL]],T_suiviDi[#Data],COLUMN(T_suiviDi[Prénom]),FALSE)&lt;&gt;"",VLOOKUP(T_Equipement[[#This Row],[NumL]],T_suiviDi[#Data],COLUMN(T_suiviDi[Prénom]),FALSE),""),"")</f>
        <v/>
      </c>
      <c r="D67" s="52" t="str">
        <f>IFERROR(IF(VLOOKUP(T_Equipement[[#This Row],[NumL]],T_suiviDi[#Data],COLUMN(T_suiviDi[Email]),FALSE)&lt;&gt;"",VLOOKUP(T_Equipement[[#This Row],[NumL]],T_suiviDi[#Data],COLUMN(T_suiviDi[Email]),FALSE),""),"")</f>
        <v/>
      </c>
      <c r="E67" s="53" t="str">
        <f>IFERROR(IF(VLOOKUP(T_Equipement[[#This Row],[NumL]],T_suiviDi[#Data],COLUMN(T_suiviDi[Nom1]),FALSE)&lt;&gt;"",VLOOKUP(T_Equipement[[#This Row],[NumL]],T_suiviDi[#Data],COLUMN(T_suiviDi[Nom1]),FALSE),""),"")</f>
        <v/>
      </c>
      <c r="F67" s="53" t="str">
        <f>IFERROR(IF(VLOOKUP(T_Equipement[[#This Row],[NumL]],T_suiviDi[#Data],COLUMN(T_suiviDi[Prénom1]),FALSE)&lt;&gt;"",VLOOKUP(T_Equipement[[#This Row],[NumL]],T_suiviDi[#Data],COLUMN(T_suiviDi[Prénom1]),FALSE),""),"")</f>
        <v/>
      </c>
      <c r="G67" s="53" t="str">
        <f>IFERROR(IF(VLOOKUP(T_Equipement[[#This Row],[NumL]],T_suiviDi[#Data],COLUMN(T_suiviDi[Email1]),FALSE)&lt;&gt;"",VLOOKUP(T_Equipement[[#This Row],[NumL]],T_suiviDi[#Data],COLUMN(T_suiviDi[Email1]),FALSE),""),"")</f>
        <v/>
      </c>
      <c r="H67" s="59" t="s">
        <v>3277</v>
      </c>
      <c r="I67" s="251">
        <v>44165</v>
      </c>
      <c r="J67" s="60" t="s">
        <v>3095</v>
      </c>
      <c r="K67" s="61"/>
      <c r="L67" s="62"/>
      <c r="M67" s="59"/>
      <c r="N67" s="59"/>
      <c r="O67" s="59"/>
      <c r="P67" s="59"/>
      <c r="Q67" s="59"/>
      <c r="R67" s="59"/>
      <c r="S67" s="61"/>
      <c r="T67" s="59" t="e">
        <f>VLOOKUP(T_Equipement[[#This Row],[NumL]],T_TraitDi[#Data],COLUMN(#REF!),FALSE)</f>
        <v>#REF!</v>
      </c>
    </row>
    <row r="68" spans="1:20" ht="24" customHeight="1" x14ac:dyDescent="0.25">
      <c r="A68" s="90">
        <v>227</v>
      </c>
      <c r="B68" s="51" t="str">
        <f>IFERROR(IF(VLOOKUP(T_Equipement[[#This Row],[NumL]],T_suiviDi[#Data],COLUMN(T_suiviDi[Nom]),FALSE)&lt;&gt;"",VLOOKUP(T_Equipement[[#This Row],[NumL]],T_suiviDi[#Data],COLUMN(T_suiviDi[Nom]),FALSE),""),"")</f>
        <v/>
      </c>
      <c r="C68" s="51" t="str">
        <f>IFERROR(IF(VLOOKUP(T_Equipement[[#This Row],[NumL]],T_suiviDi[#Data],COLUMN(T_suiviDi[Prénom]),FALSE)&lt;&gt;"",VLOOKUP(T_Equipement[[#This Row],[NumL]],T_suiviDi[#Data],COLUMN(T_suiviDi[Prénom]),FALSE),""),"")</f>
        <v/>
      </c>
      <c r="D68" s="52" t="str">
        <f>IFERROR(IF(VLOOKUP(T_Equipement[[#This Row],[NumL]],T_suiviDi[#Data],COLUMN(T_suiviDi[Email]),FALSE)&lt;&gt;"",VLOOKUP(T_Equipement[[#This Row],[NumL]],T_suiviDi[#Data],COLUMN(T_suiviDi[Email]),FALSE),""),"")</f>
        <v/>
      </c>
      <c r="E68" s="53" t="str">
        <f>IFERROR(IF(VLOOKUP(T_Equipement[[#This Row],[NumL]],T_suiviDi[#Data],COLUMN(T_suiviDi[Nom1]),FALSE)&lt;&gt;"",VLOOKUP(T_Equipement[[#This Row],[NumL]],T_suiviDi[#Data],COLUMN(T_suiviDi[Nom1]),FALSE),""),"")</f>
        <v/>
      </c>
      <c r="F68" s="53" t="str">
        <f>IFERROR(IF(VLOOKUP(T_Equipement[[#This Row],[NumL]],T_suiviDi[#Data],COLUMN(T_suiviDi[Prénom1]),FALSE)&lt;&gt;"",VLOOKUP(T_Equipement[[#This Row],[NumL]],T_suiviDi[#Data],COLUMN(T_suiviDi[Prénom1]),FALSE),""),"")</f>
        <v/>
      </c>
      <c r="G68" s="53" t="str">
        <f>IFERROR(IF(VLOOKUP(T_Equipement[[#This Row],[NumL]],T_suiviDi[#Data],COLUMN(T_suiviDi[Email1]),FALSE)&lt;&gt;"",VLOOKUP(T_Equipement[[#This Row],[NumL]],T_suiviDi[#Data],COLUMN(T_suiviDi[Email1]),FALSE),""),"")</f>
        <v/>
      </c>
      <c r="H68" s="59" t="s">
        <v>3278</v>
      </c>
      <c r="I68" s="251">
        <v>44165</v>
      </c>
      <c r="J68" s="60" t="s">
        <v>3096</v>
      </c>
      <c r="K68" s="61"/>
      <c r="L68" s="62"/>
      <c r="M68" s="59"/>
      <c r="N68" s="59"/>
      <c r="O68" s="59"/>
      <c r="P68" s="59"/>
      <c r="Q68" s="59"/>
      <c r="R68" s="59"/>
      <c r="S68" s="61"/>
      <c r="T68" s="59" t="e">
        <f>VLOOKUP(T_Equipement[[#This Row],[NumL]],T_TraitDi[#Data],COLUMN(#REF!),FALSE)</f>
        <v>#REF!</v>
      </c>
    </row>
    <row r="69" spans="1:20" ht="24" customHeight="1" x14ac:dyDescent="0.25">
      <c r="A69" s="90">
        <v>228</v>
      </c>
      <c r="B69" s="51" t="str">
        <f>IFERROR(IF(VLOOKUP(T_Equipement[[#This Row],[NumL]],T_suiviDi[#Data],COLUMN(T_suiviDi[Nom]),FALSE)&lt;&gt;"",VLOOKUP(T_Equipement[[#This Row],[NumL]],T_suiviDi[#Data],COLUMN(T_suiviDi[Nom]),FALSE),""),"")</f>
        <v/>
      </c>
      <c r="C69" s="51" t="str">
        <f>IFERROR(IF(VLOOKUP(T_Equipement[[#This Row],[NumL]],T_suiviDi[#Data],COLUMN(T_suiviDi[Prénom]),FALSE)&lt;&gt;"",VLOOKUP(T_Equipement[[#This Row],[NumL]],T_suiviDi[#Data],COLUMN(T_suiviDi[Prénom]),FALSE),""),"")</f>
        <v/>
      </c>
      <c r="D69" s="52" t="str">
        <f>IFERROR(IF(VLOOKUP(T_Equipement[[#This Row],[NumL]],T_suiviDi[#Data],COLUMN(T_suiviDi[Email]),FALSE)&lt;&gt;"",VLOOKUP(T_Equipement[[#This Row],[NumL]],T_suiviDi[#Data],COLUMN(T_suiviDi[Email]),FALSE),""),"")</f>
        <v/>
      </c>
      <c r="E69" s="53" t="str">
        <f>IFERROR(IF(VLOOKUP(T_Equipement[[#This Row],[NumL]],T_suiviDi[#Data],COLUMN(T_suiviDi[Nom1]),FALSE)&lt;&gt;"",VLOOKUP(T_Equipement[[#This Row],[NumL]],T_suiviDi[#Data],COLUMN(T_suiviDi[Nom1]),FALSE),""),"")</f>
        <v/>
      </c>
      <c r="F69" s="53" t="str">
        <f>IFERROR(IF(VLOOKUP(T_Equipement[[#This Row],[NumL]],T_suiviDi[#Data],COLUMN(T_suiviDi[Prénom1]),FALSE)&lt;&gt;"",VLOOKUP(T_Equipement[[#This Row],[NumL]],T_suiviDi[#Data],COLUMN(T_suiviDi[Prénom1]),FALSE),""),"")</f>
        <v/>
      </c>
      <c r="G69" s="53" t="str">
        <f>IFERROR(IF(VLOOKUP(T_Equipement[[#This Row],[NumL]],T_suiviDi[#Data],COLUMN(T_suiviDi[Email1]),FALSE)&lt;&gt;"",VLOOKUP(T_Equipement[[#This Row],[NumL]],T_suiviDi[#Data],COLUMN(T_suiviDi[Email1]),FALSE),""),"")</f>
        <v/>
      </c>
      <c r="H69" s="59" t="s">
        <v>3277</v>
      </c>
      <c r="I69" s="251">
        <v>44165</v>
      </c>
      <c r="J69" s="60" t="s">
        <v>3097</v>
      </c>
      <c r="K69" s="61"/>
      <c r="L69" s="62"/>
      <c r="M69" s="59"/>
      <c r="N69" s="59"/>
      <c r="O69" s="59"/>
      <c r="P69" s="59"/>
      <c r="Q69" s="59"/>
      <c r="R69" s="59"/>
      <c r="S69" s="61"/>
      <c r="T69" s="59" t="e">
        <f>VLOOKUP(T_Equipement[[#This Row],[NumL]],T_TraitDi[#Data],COLUMN(#REF!),FALSE)</f>
        <v>#REF!</v>
      </c>
    </row>
    <row r="70" spans="1:20" ht="24" customHeight="1" x14ac:dyDescent="0.25">
      <c r="A70" s="90">
        <v>255</v>
      </c>
      <c r="B70" s="51" t="str">
        <f>IFERROR(IF(VLOOKUP(T_Equipement[[#This Row],[NumL]],T_suiviDi[#Data],COLUMN(T_suiviDi[Nom]),FALSE)&lt;&gt;"",VLOOKUP(T_Equipement[[#This Row],[NumL]],T_suiviDi[#Data],COLUMN(T_suiviDi[Nom]),FALSE),""),"")</f>
        <v/>
      </c>
      <c r="C70" s="51" t="str">
        <f>IFERROR(IF(VLOOKUP(T_Equipement[[#This Row],[NumL]],T_suiviDi[#Data],COLUMN(T_suiviDi[Prénom]),FALSE)&lt;&gt;"",VLOOKUP(T_Equipement[[#This Row],[NumL]],T_suiviDi[#Data],COLUMN(T_suiviDi[Prénom]),FALSE),""),"")</f>
        <v/>
      </c>
      <c r="D70" s="52" t="str">
        <f>IFERROR(IF(VLOOKUP(T_Equipement[[#This Row],[NumL]],T_suiviDi[#Data],COLUMN(T_suiviDi[Email]),FALSE)&lt;&gt;"",VLOOKUP(T_Equipement[[#This Row],[NumL]],T_suiviDi[#Data],COLUMN(T_suiviDi[Email]),FALSE),""),"")</f>
        <v/>
      </c>
      <c r="E70" s="53" t="str">
        <f>IFERROR(IF(VLOOKUP(T_Equipement[[#This Row],[NumL]],T_suiviDi[#Data],COLUMN(T_suiviDi[Nom1]),FALSE)&lt;&gt;"",VLOOKUP(T_Equipement[[#This Row],[NumL]],T_suiviDi[#Data],COLUMN(T_suiviDi[Nom1]),FALSE),""),"")</f>
        <v/>
      </c>
      <c r="F70" s="53" t="str">
        <f>IFERROR(IF(VLOOKUP(T_Equipement[[#This Row],[NumL]],T_suiviDi[#Data],COLUMN(T_suiviDi[Prénom1]),FALSE)&lt;&gt;"",VLOOKUP(T_Equipement[[#This Row],[NumL]],T_suiviDi[#Data],COLUMN(T_suiviDi[Prénom1]),FALSE),""),"")</f>
        <v/>
      </c>
      <c r="G70" s="53" t="str">
        <f>IFERROR(IF(VLOOKUP(T_Equipement[[#This Row],[NumL]],T_suiviDi[#Data],COLUMN(T_suiviDi[Email1]),FALSE)&lt;&gt;"",VLOOKUP(T_Equipement[[#This Row],[NumL]],T_suiviDi[#Data],COLUMN(T_suiviDi[Email1]),FALSE),""),"")</f>
        <v/>
      </c>
      <c r="H70" s="59" t="s">
        <v>3278</v>
      </c>
      <c r="I70" s="61"/>
      <c r="J70" s="60" t="s">
        <v>3098</v>
      </c>
      <c r="K70" s="61"/>
      <c r="L70" s="62"/>
      <c r="M70" s="59"/>
      <c r="N70" s="59"/>
      <c r="O70" s="59"/>
      <c r="P70" s="59"/>
      <c r="Q70" s="59"/>
      <c r="R70" s="59"/>
      <c r="S70" s="61"/>
      <c r="T70" s="59" t="e">
        <f>VLOOKUP(T_Equipement[[#This Row],[NumL]],T_TraitDi[#Data],COLUMN(#REF!),FALSE)</f>
        <v>#REF!</v>
      </c>
    </row>
    <row r="71" spans="1:20" ht="24" customHeight="1" x14ac:dyDescent="0.25">
      <c r="A71" s="90">
        <v>260</v>
      </c>
      <c r="B71" s="51" t="str">
        <f>IFERROR(IF(VLOOKUP(T_Equipement[[#This Row],[NumL]],T_suiviDi[#Data],COLUMN(T_suiviDi[Nom]),FALSE)&lt;&gt;"",VLOOKUP(T_Equipement[[#This Row],[NumL]],T_suiviDi[#Data],COLUMN(T_suiviDi[Nom]),FALSE),""),"")</f>
        <v/>
      </c>
      <c r="C71" s="51" t="str">
        <f>IFERROR(IF(VLOOKUP(T_Equipement[[#This Row],[NumL]],T_suiviDi[#Data],COLUMN(T_suiviDi[Prénom]),FALSE)&lt;&gt;"",VLOOKUP(T_Equipement[[#This Row],[NumL]],T_suiviDi[#Data],COLUMN(T_suiviDi[Prénom]),FALSE),""),"")</f>
        <v/>
      </c>
      <c r="D71" s="52" t="str">
        <f>IFERROR(IF(VLOOKUP(T_Equipement[[#This Row],[NumL]],T_suiviDi[#Data],COLUMN(T_suiviDi[Email]),FALSE)&lt;&gt;"",VLOOKUP(T_Equipement[[#This Row],[NumL]],T_suiviDi[#Data],COLUMN(T_suiviDi[Email]),FALSE),""),"")</f>
        <v/>
      </c>
      <c r="E71" s="53" t="str">
        <f>IFERROR(IF(VLOOKUP(T_Equipement[[#This Row],[NumL]],T_suiviDi[#Data],COLUMN(T_suiviDi[Nom1]),FALSE)&lt;&gt;"",VLOOKUP(T_Equipement[[#This Row],[NumL]],T_suiviDi[#Data],COLUMN(T_suiviDi[Nom1]),FALSE),""),"")</f>
        <v/>
      </c>
      <c r="F71" s="53" t="str">
        <f>IFERROR(IF(VLOOKUP(T_Equipement[[#This Row],[NumL]],T_suiviDi[#Data],COLUMN(T_suiviDi[Prénom1]),FALSE)&lt;&gt;"",VLOOKUP(T_Equipement[[#This Row],[NumL]],T_suiviDi[#Data],COLUMN(T_suiviDi[Prénom1]),FALSE),""),"")</f>
        <v/>
      </c>
      <c r="G71" s="53" t="str">
        <f>IFERROR(IF(VLOOKUP(T_Equipement[[#This Row],[NumL]],T_suiviDi[#Data],COLUMN(T_suiviDi[Email1]),FALSE)&lt;&gt;"",VLOOKUP(T_Equipement[[#This Row],[NumL]],T_suiviDi[#Data],COLUMN(T_suiviDi[Email1]),FALSE),""),"")</f>
        <v/>
      </c>
      <c r="H71" s="59" t="s">
        <v>3362</v>
      </c>
      <c r="I71" s="61"/>
      <c r="J71" s="60" t="s">
        <v>3099</v>
      </c>
      <c r="K71" s="61"/>
      <c r="L71" s="62"/>
      <c r="M71" s="59"/>
      <c r="N71" s="59"/>
      <c r="O71" s="59"/>
      <c r="P71" s="59"/>
      <c r="Q71" s="59"/>
      <c r="R71" s="59"/>
      <c r="S71" s="61"/>
      <c r="T71" s="59" t="e">
        <f>VLOOKUP(T_Equipement[[#This Row],[NumL]],T_TraitDi[#Data],COLUMN(#REF!),FALSE)</f>
        <v>#REF!</v>
      </c>
    </row>
    <row r="72" spans="1:20" ht="24" customHeight="1" x14ac:dyDescent="0.25">
      <c r="A72" s="90">
        <v>93</v>
      </c>
      <c r="B72" s="51" t="str">
        <f>IFERROR(IF(VLOOKUP(T_Equipement[[#This Row],[NumL]],T_suiviDi[#Data],COLUMN(T_suiviDi[Nom]),FALSE)&lt;&gt;"",VLOOKUP(T_Equipement[[#This Row],[NumL]],T_suiviDi[#Data],COLUMN(T_suiviDi[Nom]),FALSE),""),"")</f>
        <v/>
      </c>
      <c r="C72" s="51" t="str">
        <f>IFERROR(IF(VLOOKUP(T_Equipement[[#This Row],[NumL]],T_suiviDi[#Data],COLUMN(T_suiviDi[Prénom]),FALSE)&lt;&gt;"",VLOOKUP(T_Equipement[[#This Row],[NumL]],T_suiviDi[#Data],COLUMN(T_suiviDi[Prénom]),FALSE),""),"")</f>
        <v/>
      </c>
      <c r="D72" s="52" t="str">
        <f>IFERROR(IF(VLOOKUP(T_Equipement[[#This Row],[NumL]],T_suiviDi[#Data],COLUMN(T_suiviDi[Email]),FALSE)&lt;&gt;"",VLOOKUP(T_Equipement[[#This Row],[NumL]],T_suiviDi[#Data],COLUMN(T_suiviDi[Email]),FALSE),""),"")</f>
        <v/>
      </c>
      <c r="E72" s="53" t="str">
        <f>IFERROR(IF(VLOOKUP(T_Equipement[[#This Row],[NumL]],T_suiviDi[#Data],COLUMN(T_suiviDi[Nom1]),FALSE)&lt;&gt;"",VLOOKUP(T_Equipement[[#This Row],[NumL]],T_suiviDi[#Data],COLUMN(T_suiviDi[Nom1]),FALSE),""),"")</f>
        <v/>
      </c>
      <c r="F72" s="53" t="str">
        <f>IFERROR(IF(VLOOKUP(T_Equipement[[#This Row],[NumL]],T_suiviDi[#Data],COLUMN(T_suiviDi[Prénom1]),FALSE)&lt;&gt;"",VLOOKUP(T_Equipement[[#This Row],[NumL]],T_suiviDi[#Data],COLUMN(T_suiviDi[Prénom1]),FALSE),""),"")</f>
        <v/>
      </c>
      <c r="G72" s="53" t="str">
        <f>IFERROR(IF(VLOOKUP(T_Equipement[[#This Row],[NumL]],T_suiviDi[#Data],COLUMN(T_suiviDi[Email1]),FALSE)&lt;&gt;"",VLOOKUP(T_Equipement[[#This Row],[NumL]],T_suiviDi[#Data],COLUMN(T_suiviDi[Email1]),FALSE),""),"")</f>
        <v/>
      </c>
      <c r="H72" s="59" t="s">
        <v>3277</v>
      </c>
      <c r="I72" s="61"/>
      <c r="J72" s="60" t="s">
        <v>3100</v>
      </c>
      <c r="K72" s="61"/>
      <c r="L72" s="62"/>
      <c r="M72" s="59"/>
      <c r="N72" s="59"/>
      <c r="O72" s="59"/>
      <c r="P72" s="59"/>
      <c r="Q72" s="59"/>
      <c r="R72" s="59"/>
      <c r="S72" s="61"/>
      <c r="T72" s="59" t="e">
        <f>VLOOKUP(T_Equipement[[#This Row],[NumL]],T_TraitDi[#Data],COLUMN(#REF!),FALSE)</f>
        <v>#REF!</v>
      </c>
    </row>
    <row r="73" spans="1:20" ht="24" customHeight="1" x14ac:dyDescent="0.25">
      <c r="A73" s="90">
        <v>220</v>
      </c>
      <c r="B73" s="51" t="str">
        <f>IFERROR(IF(VLOOKUP(T_Equipement[[#This Row],[NumL]],T_suiviDi[#Data],COLUMN(T_suiviDi[Nom]),FALSE)&lt;&gt;"",VLOOKUP(T_Equipement[[#This Row],[NumL]],T_suiviDi[#Data],COLUMN(T_suiviDi[Nom]),FALSE),""),"")</f>
        <v/>
      </c>
      <c r="C73" s="51" t="str">
        <f>IFERROR(IF(VLOOKUP(T_Equipement[[#This Row],[NumL]],T_suiviDi[#Data],COLUMN(T_suiviDi[Prénom]),FALSE)&lt;&gt;"",VLOOKUP(T_Equipement[[#This Row],[NumL]],T_suiviDi[#Data],COLUMN(T_suiviDi[Prénom]),FALSE),""),"")</f>
        <v/>
      </c>
      <c r="D73" s="52" t="str">
        <f>IFERROR(IF(VLOOKUP(T_Equipement[[#This Row],[NumL]],T_suiviDi[#Data],COLUMN(T_suiviDi[Email]),FALSE)&lt;&gt;"",VLOOKUP(T_Equipement[[#This Row],[NumL]],T_suiviDi[#Data],COLUMN(T_suiviDi[Email]),FALSE),""),"")</f>
        <v/>
      </c>
      <c r="E73" s="53" t="str">
        <f>IFERROR(IF(VLOOKUP(T_Equipement[[#This Row],[NumL]],T_suiviDi[#Data],COLUMN(T_suiviDi[Nom1]),FALSE)&lt;&gt;"",VLOOKUP(T_Equipement[[#This Row],[NumL]],T_suiviDi[#Data],COLUMN(T_suiviDi[Nom1]),FALSE),""),"")</f>
        <v/>
      </c>
      <c r="F73" s="53" t="str">
        <f>IFERROR(IF(VLOOKUP(T_Equipement[[#This Row],[NumL]],T_suiviDi[#Data],COLUMN(T_suiviDi[Prénom1]),FALSE)&lt;&gt;"",VLOOKUP(T_Equipement[[#This Row],[NumL]],T_suiviDi[#Data],COLUMN(T_suiviDi[Prénom1]),FALSE),""),"")</f>
        <v/>
      </c>
      <c r="G73" s="53" t="str">
        <f>IFERROR(IF(VLOOKUP(T_Equipement[[#This Row],[NumL]],T_suiviDi[#Data],COLUMN(T_suiviDi[Email1]),FALSE)&lt;&gt;"",VLOOKUP(T_Equipement[[#This Row],[NumL]],T_suiviDi[#Data],COLUMN(T_suiviDi[Email1]),FALSE),""),"")</f>
        <v/>
      </c>
      <c r="H73" s="59"/>
      <c r="I73" s="61"/>
      <c r="J73" s="60" t="s">
        <v>3101</v>
      </c>
      <c r="K73" s="61"/>
      <c r="L73" s="62"/>
      <c r="M73" s="59"/>
      <c r="N73" s="59"/>
      <c r="O73" s="59"/>
      <c r="P73" s="59"/>
      <c r="Q73" s="59"/>
      <c r="R73" s="59"/>
      <c r="S73" s="61"/>
      <c r="T73" s="59" t="e">
        <f>VLOOKUP(T_Equipement[[#This Row],[NumL]],T_TraitDi[#Data],COLUMN(#REF!),FALSE)</f>
        <v>#REF!</v>
      </c>
    </row>
    <row r="74" spans="1:20" ht="24" customHeight="1" x14ac:dyDescent="0.25">
      <c r="A74" s="90">
        <v>244</v>
      </c>
      <c r="B74" s="51" t="str">
        <f>IFERROR(IF(VLOOKUP(T_Equipement[[#This Row],[NumL]],T_suiviDi[#Data],COLUMN(T_suiviDi[Nom]),FALSE)&lt;&gt;"",VLOOKUP(T_Equipement[[#This Row],[NumL]],T_suiviDi[#Data],COLUMN(T_suiviDi[Nom]),FALSE),""),"")</f>
        <v/>
      </c>
      <c r="C74" s="51" t="str">
        <f>IFERROR(IF(VLOOKUP(T_Equipement[[#This Row],[NumL]],T_suiviDi[#Data],COLUMN(T_suiviDi[Prénom]),FALSE)&lt;&gt;"",VLOOKUP(T_Equipement[[#This Row],[NumL]],T_suiviDi[#Data],COLUMN(T_suiviDi[Prénom]),FALSE),""),"")</f>
        <v/>
      </c>
      <c r="D74" s="52" t="str">
        <f>IFERROR(IF(VLOOKUP(T_Equipement[[#This Row],[NumL]],T_suiviDi[#Data],COLUMN(T_suiviDi[Email]),FALSE)&lt;&gt;"",VLOOKUP(T_Equipement[[#This Row],[NumL]],T_suiviDi[#Data],COLUMN(T_suiviDi[Email]),FALSE),""),"")</f>
        <v/>
      </c>
      <c r="E74" s="53" t="str">
        <f>IFERROR(IF(VLOOKUP(T_Equipement[[#This Row],[NumL]],T_suiviDi[#Data],COLUMN(T_suiviDi[Nom1]),FALSE)&lt;&gt;"",VLOOKUP(T_Equipement[[#This Row],[NumL]],T_suiviDi[#Data],COLUMN(T_suiviDi[Nom1]),FALSE),""),"")</f>
        <v/>
      </c>
      <c r="F74" s="53" t="str">
        <f>IFERROR(IF(VLOOKUP(T_Equipement[[#This Row],[NumL]],T_suiviDi[#Data],COLUMN(T_suiviDi[Prénom1]),FALSE)&lt;&gt;"",VLOOKUP(T_Equipement[[#This Row],[NumL]],T_suiviDi[#Data],COLUMN(T_suiviDi[Prénom1]),FALSE),""),"")</f>
        <v/>
      </c>
      <c r="G74" s="53" t="str">
        <f>IFERROR(IF(VLOOKUP(T_Equipement[[#This Row],[NumL]],T_suiviDi[#Data],COLUMN(T_suiviDi[Email1]),FALSE)&lt;&gt;"",VLOOKUP(T_Equipement[[#This Row],[NumL]],T_suiviDi[#Data],COLUMN(T_suiviDi[Email1]),FALSE),""),"")</f>
        <v/>
      </c>
      <c r="H74" s="59"/>
      <c r="I74" s="61"/>
      <c r="J74" s="60" t="s">
        <v>3102</v>
      </c>
      <c r="K74" s="61"/>
      <c r="L74" s="62"/>
      <c r="M74" s="59"/>
      <c r="N74" s="59"/>
      <c r="O74" s="59"/>
      <c r="P74" s="59"/>
      <c r="Q74" s="59"/>
      <c r="R74" s="59"/>
      <c r="S74" s="61"/>
      <c r="T74" s="59" t="e">
        <f>VLOOKUP(T_Equipement[[#This Row],[NumL]],T_TraitDi[#Data],COLUMN(#REF!),FALSE)</f>
        <v>#REF!</v>
      </c>
    </row>
    <row r="75" spans="1:20" ht="24" customHeight="1" x14ac:dyDescent="0.25">
      <c r="A75" s="90">
        <v>312</v>
      </c>
      <c r="B75" s="51" t="str">
        <f>IFERROR(IF(VLOOKUP(T_Equipement[[#This Row],[NumL]],T_suiviDi[#Data],COLUMN(T_suiviDi[Nom]),FALSE)&lt;&gt;"",VLOOKUP(T_Equipement[[#This Row],[NumL]],T_suiviDi[#Data],COLUMN(T_suiviDi[Nom]),FALSE),""),"")</f>
        <v/>
      </c>
      <c r="C75" s="51" t="str">
        <f>IFERROR(IF(VLOOKUP(T_Equipement[[#This Row],[NumL]],T_suiviDi[#Data],COLUMN(T_suiviDi[Prénom]),FALSE)&lt;&gt;"",VLOOKUP(T_Equipement[[#This Row],[NumL]],T_suiviDi[#Data],COLUMN(T_suiviDi[Prénom]),FALSE),""),"")</f>
        <v/>
      </c>
      <c r="D75" s="52" t="str">
        <f>IFERROR(IF(VLOOKUP(T_Equipement[[#This Row],[NumL]],T_suiviDi[#Data],COLUMN(T_suiviDi[Email]),FALSE)&lt;&gt;"",VLOOKUP(T_Equipement[[#This Row],[NumL]],T_suiviDi[#Data],COLUMN(T_suiviDi[Email]),FALSE),""),"")</f>
        <v/>
      </c>
      <c r="E75" s="53" t="str">
        <f>IFERROR(IF(VLOOKUP(T_Equipement[[#This Row],[NumL]],T_suiviDi[#Data],COLUMN(T_suiviDi[Nom1]),FALSE)&lt;&gt;"",VLOOKUP(T_Equipement[[#This Row],[NumL]],T_suiviDi[#Data],COLUMN(T_suiviDi[Nom1]),FALSE),""),"")</f>
        <v/>
      </c>
      <c r="F75" s="53" t="str">
        <f>IFERROR(IF(VLOOKUP(T_Equipement[[#This Row],[NumL]],T_suiviDi[#Data],COLUMN(T_suiviDi[Prénom1]),FALSE)&lt;&gt;"",VLOOKUP(T_Equipement[[#This Row],[NumL]],T_suiviDi[#Data],COLUMN(T_suiviDi[Prénom1]),FALSE),""),"")</f>
        <v/>
      </c>
      <c r="G75" s="53" t="str">
        <f>IFERROR(IF(VLOOKUP(T_Equipement[[#This Row],[NumL]],T_suiviDi[#Data],COLUMN(T_suiviDi[Email1]),FALSE)&lt;&gt;"",VLOOKUP(T_Equipement[[#This Row],[NumL]],T_suiviDi[#Data],COLUMN(T_suiviDi[Email1]),FALSE),""),"")</f>
        <v/>
      </c>
      <c r="H75" s="59"/>
      <c r="I75" s="61"/>
      <c r="J75" s="60"/>
      <c r="K75" s="61"/>
      <c r="L75" s="62"/>
      <c r="M75" s="59"/>
      <c r="N75" s="59"/>
      <c r="O75" s="59"/>
      <c r="P75" s="59"/>
      <c r="Q75" s="59"/>
      <c r="R75" s="59"/>
      <c r="S75" s="61"/>
      <c r="T75" s="59"/>
    </row>
    <row r="76" spans="1:20" ht="24" customHeight="1" x14ac:dyDescent="0.25">
      <c r="A76" s="90">
        <v>119</v>
      </c>
      <c r="B76" s="51" t="str">
        <f>IFERROR(IF(VLOOKUP(T_Equipement[[#This Row],[NumL]],T_suiviDi[#Data],COLUMN(T_suiviDi[Nom]),FALSE)&lt;&gt;"",VLOOKUP(T_Equipement[[#This Row],[NumL]],T_suiviDi[#Data],COLUMN(T_suiviDi[Nom]),FALSE),""),"")</f>
        <v/>
      </c>
      <c r="C76" s="51" t="str">
        <f>IFERROR(IF(VLOOKUP(T_Equipement[[#This Row],[NumL]],T_suiviDi[#Data],COLUMN(T_suiviDi[Prénom]),FALSE)&lt;&gt;"",VLOOKUP(T_Equipement[[#This Row],[NumL]],T_suiviDi[#Data],COLUMN(T_suiviDi[Prénom]),FALSE),""),"")</f>
        <v/>
      </c>
      <c r="D76" s="52" t="str">
        <f>IFERROR(IF(VLOOKUP(T_Equipement[[#This Row],[NumL]],T_suiviDi[#Data],COLUMN(T_suiviDi[Email]),FALSE)&lt;&gt;"",VLOOKUP(T_Equipement[[#This Row],[NumL]],T_suiviDi[#Data],COLUMN(T_suiviDi[Email]),FALSE),""),"")</f>
        <v/>
      </c>
      <c r="E76" s="53" t="str">
        <f>IFERROR(IF(VLOOKUP(T_Equipement[[#This Row],[NumL]],T_suiviDi[#Data],COLUMN(T_suiviDi[Nom1]),FALSE)&lt;&gt;"",VLOOKUP(T_Equipement[[#This Row],[NumL]],T_suiviDi[#Data],COLUMN(T_suiviDi[Nom1]),FALSE),""),"")</f>
        <v/>
      </c>
      <c r="F76" s="53" t="str">
        <f>IFERROR(IF(VLOOKUP(T_Equipement[[#This Row],[NumL]],T_suiviDi[#Data],COLUMN(T_suiviDi[Prénom1]),FALSE)&lt;&gt;"",VLOOKUP(T_Equipement[[#This Row],[NumL]],T_suiviDi[#Data],COLUMN(T_suiviDi[Prénom1]),FALSE),""),"")</f>
        <v/>
      </c>
      <c r="G76" s="53" t="str">
        <f>IFERROR(IF(VLOOKUP(T_Equipement[[#This Row],[NumL]],T_suiviDi[#Data],COLUMN(T_suiviDi[Email1]),FALSE)&lt;&gt;"",VLOOKUP(T_Equipement[[#This Row],[NumL]],T_suiviDi[#Data],COLUMN(T_suiviDi[Email1]),FALSE),""),"")</f>
        <v/>
      </c>
      <c r="H76" s="59" t="s">
        <v>3278</v>
      </c>
      <c r="I76" s="251">
        <v>44165</v>
      </c>
      <c r="J76" s="60" t="s">
        <v>3103</v>
      </c>
      <c r="K76" s="61"/>
      <c r="L76" s="62"/>
      <c r="M76" s="59"/>
      <c r="N76" s="59"/>
      <c r="O76" s="59"/>
      <c r="P76" s="59"/>
      <c r="Q76" s="59"/>
      <c r="R76" s="59"/>
      <c r="S76" s="61"/>
      <c r="T76" s="59" t="e">
        <f>VLOOKUP(T_Equipement[[#This Row],[NumL]],T_TraitDi[#Data],COLUMN(#REF!),FALSE)</f>
        <v>#REF!</v>
      </c>
    </row>
    <row r="77" spans="1:20" ht="24" customHeight="1" x14ac:dyDescent="0.25">
      <c r="A77" s="90">
        <v>113</v>
      </c>
      <c r="B77" s="51" t="str">
        <f>IFERROR(IF(VLOOKUP(T_Equipement[[#This Row],[NumL]],T_suiviDi[#Data],COLUMN(T_suiviDi[Nom]),FALSE)&lt;&gt;"",VLOOKUP(T_Equipement[[#This Row],[NumL]],T_suiviDi[#Data],COLUMN(T_suiviDi[Nom]),FALSE),""),"")</f>
        <v/>
      </c>
      <c r="C77" s="51" t="str">
        <f>IFERROR(IF(VLOOKUP(T_Equipement[[#This Row],[NumL]],T_suiviDi[#Data],COLUMN(T_suiviDi[Prénom]),FALSE)&lt;&gt;"",VLOOKUP(T_Equipement[[#This Row],[NumL]],T_suiviDi[#Data],COLUMN(T_suiviDi[Prénom]),FALSE),""),"")</f>
        <v/>
      </c>
      <c r="D77" s="52" t="str">
        <f>IFERROR(IF(VLOOKUP(T_Equipement[[#This Row],[NumL]],T_suiviDi[#Data],COLUMN(T_suiviDi[Email]),FALSE)&lt;&gt;"",VLOOKUP(T_Equipement[[#This Row],[NumL]],T_suiviDi[#Data],COLUMN(T_suiviDi[Email]),FALSE),""),"")</f>
        <v/>
      </c>
      <c r="E77" s="53" t="str">
        <f>IFERROR(IF(VLOOKUP(T_Equipement[[#This Row],[NumL]],T_suiviDi[#Data],COLUMN(T_suiviDi[Nom1]),FALSE)&lt;&gt;"",VLOOKUP(T_Equipement[[#This Row],[NumL]],T_suiviDi[#Data],COLUMN(T_suiviDi[Nom1]),FALSE),""),"")</f>
        <v/>
      </c>
      <c r="F77" s="53" t="str">
        <f>IFERROR(IF(VLOOKUP(T_Equipement[[#This Row],[NumL]],T_suiviDi[#Data],COLUMN(T_suiviDi[Prénom1]),FALSE)&lt;&gt;"",VLOOKUP(T_Equipement[[#This Row],[NumL]],T_suiviDi[#Data],COLUMN(T_suiviDi[Prénom1]),FALSE),""),"")</f>
        <v/>
      </c>
      <c r="G77" s="53" t="str">
        <f>IFERROR(IF(VLOOKUP(T_Equipement[[#This Row],[NumL]],T_suiviDi[#Data],COLUMN(T_suiviDi[Email1]),FALSE)&lt;&gt;"",VLOOKUP(T_Equipement[[#This Row],[NumL]],T_suiviDi[#Data],COLUMN(T_suiviDi[Email1]),FALSE),""),"")</f>
        <v/>
      </c>
      <c r="H77" s="59" t="s">
        <v>3277</v>
      </c>
      <c r="I77" s="251">
        <v>44165</v>
      </c>
      <c r="J77" s="60" t="s">
        <v>3104</v>
      </c>
      <c r="K77" s="61"/>
      <c r="L77" s="62"/>
      <c r="M77" s="59"/>
      <c r="N77" s="59"/>
      <c r="O77" s="59"/>
      <c r="P77" s="59"/>
      <c r="Q77" s="59"/>
      <c r="R77" s="59"/>
      <c r="S77" s="61"/>
      <c r="T77" s="59" t="e">
        <f>VLOOKUP(T_Equipement[[#This Row],[NumL]],T_TraitDi[#Data],COLUMN(#REF!),FALSE)</f>
        <v>#REF!</v>
      </c>
    </row>
    <row r="78" spans="1:20" ht="24" customHeight="1" x14ac:dyDescent="0.25">
      <c r="A78" s="90">
        <v>158</v>
      </c>
      <c r="B78" s="51" t="str">
        <f>IFERROR(IF(VLOOKUP(T_Equipement[[#This Row],[NumL]],T_suiviDi[#Data],COLUMN(T_suiviDi[Nom]),FALSE)&lt;&gt;"",VLOOKUP(T_Equipement[[#This Row],[NumL]],T_suiviDi[#Data],COLUMN(T_suiviDi[Nom]),FALSE),""),"")</f>
        <v/>
      </c>
      <c r="C78" s="51" t="str">
        <f>IFERROR(IF(VLOOKUP(T_Equipement[[#This Row],[NumL]],T_suiviDi[#Data],COLUMN(T_suiviDi[Prénom]),FALSE)&lt;&gt;"",VLOOKUP(T_Equipement[[#This Row],[NumL]],T_suiviDi[#Data],COLUMN(T_suiviDi[Prénom]),FALSE),""),"")</f>
        <v/>
      </c>
      <c r="D78" s="52" t="str">
        <f>IFERROR(IF(VLOOKUP(T_Equipement[[#This Row],[NumL]],T_suiviDi[#Data],COLUMN(T_suiviDi[Email]),FALSE)&lt;&gt;"",VLOOKUP(T_Equipement[[#This Row],[NumL]],T_suiviDi[#Data],COLUMN(T_suiviDi[Email]),FALSE),""),"")</f>
        <v/>
      </c>
      <c r="E78" s="53" t="str">
        <f>IFERROR(IF(VLOOKUP(T_Equipement[[#This Row],[NumL]],T_suiviDi[#Data],COLUMN(T_suiviDi[Nom1]),FALSE)&lt;&gt;"",VLOOKUP(T_Equipement[[#This Row],[NumL]],T_suiviDi[#Data],COLUMN(T_suiviDi[Nom1]),FALSE),""),"")</f>
        <v/>
      </c>
      <c r="F78" s="53" t="str">
        <f>IFERROR(IF(VLOOKUP(T_Equipement[[#This Row],[NumL]],T_suiviDi[#Data],COLUMN(T_suiviDi[Prénom1]),FALSE)&lt;&gt;"",VLOOKUP(T_Equipement[[#This Row],[NumL]],T_suiviDi[#Data],COLUMN(T_suiviDi[Prénom1]),FALSE),""),"")</f>
        <v/>
      </c>
      <c r="G78" s="53" t="str">
        <f>IFERROR(IF(VLOOKUP(T_Equipement[[#This Row],[NumL]],T_suiviDi[#Data],COLUMN(T_suiviDi[Email1]),FALSE)&lt;&gt;"",VLOOKUP(T_Equipement[[#This Row],[NumL]],T_suiviDi[#Data],COLUMN(T_suiviDi[Email1]),FALSE),""),"")</f>
        <v/>
      </c>
      <c r="H78" s="59" t="s">
        <v>3277</v>
      </c>
      <c r="I78" s="61"/>
      <c r="J78" s="60" t="s">
        <v>3105</v>
      </c>
      <c r="K78" s="61"/>
      <c r="L78" s="62"/>
      <c r="M78" s="59"/>
      <c r="N78" s="59"/>
      <c r="O78" s="59"/>
      <c r="P78" s="59"/>
      <c r="Q78" s="59"/>
      <c r="R78" s="59"/>
      <c r="S78" s="61"/>
      <c r="T78" s="59" t="e">
        <f>VLOOKUP(T_Equipement[[#This Row],[NumL]],T_TraitDi[#Data],COLUMN(#REF!),FALSE)</f>
        <v>#REF!</v>
      </c>
    </row>
    <row r="79" spans="1:20" ht="24" customHeight="1" x14ac:dyDescent="0.25">
      <c r="A79" s="90">
        <v>303</v>
      </c>
      <c r="B79" s="51" t="str">
        <f>IFERROR(IF(VLOOKUP(T_Equipement[[#This Row],[NumL]],T_suiviDi[#Data],COLUMN(T_suiviDi[Nom]),FALSE)&lt;&gt;"",VLOOKUP(T_Equipement[[#This Row],[NumL]],T_suiviDi[#Data],COLUMN(T_suiviDi[Nom]),FALSE),""),"")</f>
        <v/>
      </c>
      <c r="C79" s="51" t="str">
        <f>IFERROR(IF(VLOOKUP(T_Equipement[[#This Row],[NumL]],T_suiviDi[#Data],COLUMN(T_suiviDi[Prénom]),FALSE)&lt;&gt;"",VLOOKUP(T_Equipement[[#This Row],[NumL]],T_suiviDi[#Data],COLUMN(T_suiviDi[Prénom]),FALSE),""),"")</f>
        <v/>
      </c>
      <c r="D79" s="52" t="str">
        <f>IFERROR(IF(VLOOKUP(T_Equipement[[#This Row],[NumL]],T_suiviDi[#Data],COLUMN(T_suiviDi[Email]),FALSE)&lt;&gt;"",VLOOKUP(T_Equipement[[#This Row],[NumL]],T_suiviDi[#Data],COLUMN(T_suiviDi[Email]),FALSE),""),"")</f>
        <v/>
      </c>
      <c r="E79" s="53" t="str">
        <f>IFERROR(IF(VLOOKUP(T_Equipement[[#This Row],[NumL]],T_suiviDi[#Data],COLUMN(T_suiviDi[Nom1]),FALSE)&lt;&gt;"",VLOOKUP(T_Equipement[[#This Row],[NumL]],T_suiviDi[#Data],COLUMN(T_suiviDi[Nom1]),FALSE),""),"")</f>
        <v/>
      </c>
      <c r="F79" s="53" t="str">
        <f>IFERROR(IF(VLOOKUP(T_Equipement[[#This Row],[NumL]],T_suiviDi[#Data],COLUMN(T_suiviDi[Prénom1]),FALSE)&lt;&gt;"",VLOOKUP(T_Equipement[[#This Row],[NumL]],T_suiviDi[#Data],COLUMN(T_suiviDi[Prénom1]),FALSE),""),"")</f>
        <v/>
      </c>
      <c r="G79" s="53" t="str">
        <f>IFERROR(IF(VLOOKUP(T_Equipement[[#This Row],[NumL]],T_suiviDi[#Data],COLUMN(T_suiviDi[Email1]),FALSE)&lt;&gt;"",VLOOKUP(T_Equipement[[#This Row],[NumL]],T_suiviDi[#Data],COLUMN(T_suiviDi[Email1]),FALSE),""),"")</f>
        <v/>
      </c>
      <c r="H79" s="59"/>
      <c r="I79" s="61"/>
      <c r="J79" s="60"/>
      <c r="K79" s="61"/>
      <c r="L79" s="62"/>
      <c r="M79" s="59"/>
      <c r="N79" s="59"/>
      <c r="O79" s="59"/>
      <c r="P79" s="59"/>
      <c r="Q79" s="59"/>
      <c r="R79" s="59"/>
      <c r="S79" s="61"/>
      <c r="T79" s="59"/>
    </row>
    <row r="80" spans="1:20" ht="24" customHeight="1" x14ac:dyDescent="0.25">
      <c r="A80" s="90">
        <v>160</v>
      </c>
      <c r="B80" s="51" t="str">
        <f>IFERROR(IF(VLOOKUP(T_Equipement[[#This Row],[NumL]],T_suiviDi[#Data],COLUMN(T_suiviDi[Nom]),FALSE)&lt;&gt;"",VLOOKUP(T_Equipement[[#This Row],[NumL]],T_suiviDi[#Data],COLUMN(T_suiviDi[Nom]),FALSE),""),"")</f>
        <v/>
      </c>
      <c r="C80" s="51" t="str">
        <f>IFERROR(IF(VLOOKUP(T_Equipement[[#This Row],[NumL]],T_suiviDi[#Data],COLUMN(T_suiviDi[Prénom]),FALSE)&lt;&gt;"",VLOOKUP(T_Equipement[[#This Row],[NumL]],T_suiviDi[#Data],COLUMN(T_suiviDi[Prénom]),FALSE),""),"")</f>
        <v/>
      </c>
      <c r="D80" s="52" t="str">
        <f>IFERROR(IF(VLOOKUP(T_Equipement[[#This Row],[NumL]],T_suiviDi[#Data],COLUMN(T_suiviDi[Email]),FALSE)&lt;&gt;"",VLOOKUP(T_Equipement[[#This Row],[NumL]],T_suiviDi[#Data],COLUMN(T_suiviDi[Email]),FALSE),""),"")</f>
        <v/>
      </c>
      <c r="E80" s="53" t="str">
        <f>IFERROR(IF(VLOOKUP(T_Equipement[[#This Row],[NumL]],T_suiviDi[#Data],COLUMN(T_suiviDi[Nom1]),FALSE)&lt;&gt;"",VLOOKUP(T_Equipement[[#This Row],[NumL]],T_suiviDi[#Data],COLUMN(T_suiviDi[Nom1]),FALSE),""),"")</f>
        <v/>
      </c>
      <c r="F80" s="53" t="str">
        <f>IFERROR(IF(VLOOKUP(T_Equipement[[#This Row],[NumL]],T_suiviDi[#Data],COLUMN(T_suiviDi[Prénom1]),FALSE)&lt;&gt;"",VLOOKUP(T_Equipement[[#This Row],[NumL]],T_suiviDi[#Data],COLUMN(T_suiviDi[Prénom1]),FALSE),""),"")</f>
        <v/>
      </c>
      <c r="G80" s="53" t="str">
        <f>IFERROR(IF(VLOOKUP(T_Equipement[[#This Row],[NumL]],T_suiviDi[#Data],COLUMN(T_suiviDi[Email1]),FALSE)&lt;&gt;"",VLOOKUP(T_Equipement[[#This Row],[NumL]],T_suiviDi[#Data],COLUMN(T_suiviDi[Email1]),FALSE),""),"")</f>
        <v/>
      </c>
      <c r="H80" s="59" t="s">
        <v>3277</v>
      </c>
      <c r="I80" s="251">
        <v>44165</v>
      </c>
      <c r="J80" s="60" t="s">
        <v>3107</v>
      </c>
      <c r="K80" s="61"/>
      <c r="L80" s="62"/>
      <c r="M80" s="59"/>
      <c r="N80" s="59"/>
      <c r="O80" s="59"/>
      <c r="P80" s="59"/>
      <c r="Q80" s="59"/>
      <c r="R80" s="59"/>
      <c r="S80" s="61"/>
      <c r="T80" s="59" t="e">
        <f>VLOOKUP(T_Equipement[[#This Row],[NumL]],T_TraitDi[#Data],COLUMN(#REF!),FALSE)</f>
        <v>#REF!</v>
      </c>
    </row>
    <row r="81" spans="1:20" ht="24" customHeight="1" x14ac:dyDescent="0.25">
      <c r="A81" s="90">
        <v>118</v>
      </c>
      <c r="B81" s="51" t="str">
        <f>IFERROR(IF(VLOOKUP(T_Equipement[[#This Row],[NumL]],T_suiviDi[#Data],COLUMN(T_suiviDi[Nom]),FALSE)&lt;&gt;"",VLOOKUP(T_Equipement[[#This Row],[NumL]],T_suiviDi[#Data],COLUMN(T_suiviDi[Nom]),FALSE),""),"")</f>
        <v/>
      </c>
      <c r="C81" s="51" t="str">
        <f>IFERROR(IF(VLOOKUP(T_Equipement[[#This Row],[NumL]],T_suiviDi[#Data],COLUMN(T_suiviDi[Prénom]),FALSE)&lt;&gt;"",VLOOKUP(T_Equipement[[#This Row],[NumL]],T_suiviDi[#Data],COLUMN(T_suiviDi[Prénom]),FALSE),""),"")</f>
        <v/>
      </c>
      <c r="D81" s="52" t="str">
        <f>IFERROR(IF(VLOOKUP(T_Equipement[[#This Row],[NumL]],T_suiviDi[#Data],COLUMN(T_suiviDi[Email]),FALSE)&lt;&gt;"",VLOOKUP(T_Equipement[[#This Row],[NumL]],T_suiviDi[#Data],COLUMN(T_suiviDi[Email]),FALSE),""),"")</f>
        <v/>
      </c>
      <c r="E81" s="53" t="str">
        <f>IFERROR(IF(VLOOKUP(T_Equipement[[#This Row],[NumL]],T_suiviDi[#Data],COLUMN(T_suiviDi[Nom1]),FALSE)&lt;&gt;"",VLOOKUP(T_Equipement[[#This Row],[NumL]],T_suiviDi[#Data],COLUMN(T_suiviDi[Nom1]),FALSE),""),"")</f>
        <v/>
      </c>
      <c r="F81" s="53" t="str">
        <f>IFERROR(IF(VLOOKUP(T_Equipement[[#This Row],[NumL]],T_suiviDi[#Data],COLUMN(T_suiviDi[Prénom1]),FALSE)&lt;&gt;"",VLOOKUP(T_Equipement[[#This Row],[NumL]],T_suiviDi[#Data],COLUMN(T_suiviDi[Prénom1]),FALSE),""),"")</f>
        <v/>
      </c>
      <c r="G81" s="53" t="str">
        <f>IFERROR(IF(VLOOKUP(T_Equipement[[#This Row],[NumL]],T_suiviDi[#Data],COLUMN(T_suiviDi[Email1]),FALSE)&lt;&gt;"",VLOOKUP(T_Equipement[[#This Row],[NumL]],T_suiviDi[#Data],COLUMN(T_suiviDi[Email1]),FALSE),""),"")</f>
        <v/>
      </c>
      <c r="H81" s="59" t="s">
        <v>3277</v>
      </c>
      <c r="I81" s="251">
        <v>44165</v>
      </c>
      <c r="J81" s="60" t="s">
        <v>3106</v>
      </c>
      <c r="K81" s="61"/>
      <c r="L81" s="62"/>
      <c r="M81" s="59"/>
      <c r="N81" s="59"/>
      <c r="O81" s="59"/>
      <c r="P81" s="59"/>
      <c r="Q81" s="59"/>
      <c r="R81" s="59"/>
      <c r="S81" s="61"/>
      <c r="T81" s="59" t="e">
        <f>VLOOKUP(T_Equipement[[#This Row],[NumL]],T_TraitDi[#Data],COLUMN(#REF!),FALSE)</f>
        <v>#REF!</v>
      </c>
    </row>
    <row r="82" spans="1:20" ht="24" customHeight="1" x14ac:dyDescent="0.25">
      <c r="A82" s="90">
        <v>294</v>
      </c>
      <c r="B82" s="51" t="str">
        <f>IFERROR(IF(VLOOKUP(T_Equipement[[#This Row],[NumL]],T_suiviDi[#Data],COLUMN(T_suiviDi[Nom]),FALSE)&lt;&gt;"",VLOOKUP(T_Equipement[[#This Row],[NumL]],T_suiviDi[#Data],COLUMN(T_suiviDi[Nom]),FALSE),""),"")</f>
        <v/>
      </c>
      <c r="C82" s="51" t="str">
        <f>IFERROR(IF(VLOOKUP(T_Equipement[[#This Row],[NumL]],T_suiviDi[#Data],COLUMN(T_suiviDi[Prénom]),FALSE)&lt;&gt;"",VLOOKUP(T_Equipement[[#This Row],[NumL]],T_suiviDi[#Data],COLUMN(T_suiviDi[Prénom]),FALSE),""),"")</f>
        <v/>
      </c>
      <c r="D82" s="52" t="str">
        <f>IFERROR(IF(VLOOKUP(T_Equipement[[#This Row],[NumL]],T_suiviDi[#Data],COLUMN(T_suiviDi[Email]),FALSE)&lt;&gt;"",VLOOKUP(T_Equipement[[#This Row],[NumL]],T_suiviDi[#Data],COLUMN(T_suiviDi[Email]),FALSE),""),"")</f>
        <v/>
      </c>
      <c r="E82" s="53" t="str">
        <f>IFERROR(IF(VLOOKUP(T_Equipement[[#This Row],[NumL]],T_suiviDi[#Data],COLUMN(T_suiviDi[Nom1]),FALSE)&lt;&gt;"",VLOOKUP(T_Equipement[[#This Row],[NumL]],T_suiviDi[#Data],COLUMN(T_suiviDi[Nom1]),FALSE),""),"")</f>
        <v/>
      </c>
      <c r="F82" s="53" t="str">
        <f>IFERROR(IF(VLOOKUP(T_Equipement[[#This Row],[NumL]],T_suiviDi[#Data],COLUMN(T_suiviDi[Prénom1]),FALSE)&lt;&gt;"",VLOOKUP(T_Equipement[[#This Row],[NumL]],T_suiviDi[#Data],COLUMN(T_suiviDi[Prénom1]),FALSE),""),"")</f>
        <v/>
      </c>
      <c r="G82" s="53" t="str">
        <f>IFERROR(IF(VLOOKUP(T_Equipement[[#This Row],[NumL]],T_suiviDi[#Data],COLUMN(T_suiviDi[Email1]),FALSE)&lt;&gt;"",VLOOKUP(T_Equipement[[#This Row],[NumL]],T_suiviDi[#Data],COLUMN(T_suiviDi[Email1]),FALSE),""),"")</f>
        <v/>
      </c>
      <c r="H82" s="59"/>
      <c r="I82" s="61"/>
      <c r="J82" s="60"/>
      <c r="K82" s="61"/>
      <c r="L82" s="62"/>
      <c r="M82" s="59"/>
      <c r="N82" s="59"/>
      <c r="O82" s="59"/>
      <c r="P82" s="59"/>
      <c r="Q82" s="59"/>
      <c r="R82" s="59"/>
      <c r="S82" s="61"/>
      <c r="T82" s="59"/>
    </row>
    <row r="83" spans="1:20" ht="24" customHeight="1" x14ac:dyDescent="0.25">
      <c r="A83" s="90">
        <v>189</v>
      </c>
      <c r="B83" s="51" t="str">
        <f>IFERROR(IF(VLOOKUP(T_Equipement[[#This Row],[NumL]],T_suiviDi[#Data],COLUMN(T_suiviDi[Nom]),FALSE)&lt;&gt;"",VLOOKUP(T_Equipement[[#This Row],[NumL]],T_suiviDi[#Data],COLUMN(T_suiviDi[Nom]),FALSE),""),"")</f>
        <v/>
      </c>
      <c r="C83" s="51" t="str">
        <f>IFERROR(IF(VLOOKUP(T_Equipement[[#This Row],[NumL]],T_suiviDi[#Data],COLUMN(T_suiviDi[Prénom]),FALSE)&lt;&gt;"",VLOOKUP(T_Equipement[[#This Row],[NumL]],T_suiviDi[#Data],COLUMN(T_suiviDi[Prénom]),FALSE),""),"")</f>
        <v/>
      </c>
      <c r="D83" s="52" t="str">
        <f>IFERROR(IF(VLOOKUP(T_Equipement[[#This Row],[NumL]],T_suiviDi[#Data],COLUMN(T_suiviDi[Email]),FALSE)&lt;&gt;"",VLOOKUP(T_Equipement[[#This Row],[NumL]],T_suiviDi[#Data],COLUMN(T_suiviDi[Email]),FALSE),""),"")</f>
        <v/>
      </c>
      <c r="E83" s="53" t="str">
        <f>IFERROR(IF(VLOOKUP(T_Equipement[[#This Row],[NumL]],T_suiviDi[#Data],COLUMN(T_suiviDi[Nom1]),FALSE)&lt;&gt;"",VLOOKUP(T_Equipement[[#This Row],[NumL]],T_suiviDi[#Data],COLUMN(T_suiviDi[Nom1]),FALSE),""),"")</f>
        <v/>
      </c>
      <c r="F83" s="53" t="str">
        <f>IFERROR(IF(VLOOKUP(T_Equipement[[#This Row],[NumL]],T_suiviDi[#Data],COLUMN(T_suiviDi[Prénom1]),FALSE)&lt;&gt;"",VLOOKUP(T_Equipement[[#This Row],[NumL]],T_suiviDi[#Data],COLUMN(T_suiviDi[Prénom1]),FALSE),""),"")</f>
        <v/>
      </c>
      <c r="G83" s="53" t="str">
        <f>IFERROR(IF(VLOOKUP(T_Equipement[[#This Row],[NumL]],T_suiviDi[#Data],COLUMN(T_suiviDi[Email1]),FALSE)&lt;&gt;"",VLOOKUP(T_Equipement[[#This Row],[NumL]],T_suiviDi[#Data],COLUMN(T_suiviDi[Email1]),FALSE),""),"")</f>
        <v/>
      </c>
      <c r="H83" s="59" t="s">
        <v>3277</v>
      </c>
      <c r="I83" s="61"/>
      <c r="J83" s="60" t="s">
        <v>3108</v>
      </c>
      <c r="K83" s="61"/>
      <c r="L83" s="62"/>
      <c r="M83" s="59"/>
      <c r="N83" s="59"/>
      <c r="O83" s="59"/>
      <c r="P83" s="59"/>
      <c r="Q83" s="59"/>
      <c r="R83" s="59"/>
      <c r="S83" s="61"/>
      <c r="T83" s="59" t="e">
        <f>VLOOKUP(T_Equipement[[#This Row],[NumL]],T_TraitDi[#Data],COLUMN(#REF!),FALSE)</f>
        <v>#REF!</v>
      </c>
    </row>
    <row r="84" spans="1:20" ht="24" customHeight="1" x14ac:dyDescent="0.25">
      <c r="A84" s="90">
        <v>28</v>
      </c>
      <c r="B84" s="51" t="str">
        <f>IFERROR(IF(VLOOKUP(T_Equipement[[#This Row],[NumL]],T_suiviDi[#Data],COLUMN(T_suiviDi[Nom]),FALSE)&lt;&gt;"",VLOOKUP(T_Equipement[[#This Row],[NumL]],T_suiviDi[#Data],COLUMN(T_suiviDi[Nom]),FALSE),""),"")</f>
        <v/>
      </c>
      <c r="C84" s="51" t="str">
        <f>IFERROR(IF(VLOOKUP(T_Equipement[[#This Row],[NumL]],T_suiviDi[#Data],COLUMN(T_suiviDi[Prénom]),FALSE)&lt;&gt;"",VLOOKUP(T_Equipement[[#This Row],[NumL]],T_suiviDi[#Data],COLUMN(T_suiviDi[Prénom]),FALSE),""),"")</f>
        <v/>
      </c>
      <c r="D84" s="52" t="str">
        <f>IFERROR(IF(VLOOKUP(T_Equipement[[#This Row],[NumL]],T_suiviDi[#Data],COLUMN(T_suiviDi[Email]),FALSE)&lt;&gt;"",VLOOKUP(T_Equipement[[#This Row],[NumL]],T_suiviDi[#Data],COLUMN(T_suiviDi[Email]),FALSE),""),"")</f>
        <v/>
      </c>
      <c r="E84" s="53" t="str">
        <f>IFERROR(IF(VLOOKUP(T_Equipement[[#This Row],[NumL]],T_suiviDi[#Data],COLUMN(T_suiviDi[Nom1]),FALSE)&lt;&gt;"",VLOOKUP(T_Equipement[[#This Row],[NumL]],T_suiviDi[#Data],COLUMN(T_suiviDi[Nom1]),FALSE),""),"")</f>
        <v/>
      </c>
      <c r="F84" s="53" t="str">
        <f>IFERROR(IF(VLOOKUP(T_Equipement[[#This Row],[NumL]],T_suiviDi[#Data],COLUMN(T_suiviDi[Prénom1]),FALSE)&lt;&gt;"",VLOOKUP(T_Equipement[[#This Row],[NumL]],T_suiviDi[#Data],COLUMN(T_suiviDi[Prénom1]),FALSE),""),"")</f>
        <v/>
      </c>
      <c r="G84" s="53" t="str">
        <f>IFERROR(IF(VLOOKUP(T_Equipement[[#This Row],[NumL]],T_suiviDi[#Data],COLUMN(T_suiviDi[Email1]),FALSE)&lt;&gt;"",VLOOKUP(T_Equipement[[#This Row],[NumL]],T_suiviDi[#Data],COLUMN(T_suiviDi[Email1]),FALSE),""),"")</f>
        <v/>
      </c>
      <c r="H84" s="59" t="s">
        <v>3278</v>
      </c>
      <c r="I84" s="251">
        <v>44165</v>
      </c>
      <c r="J84" s="60" t="s">
        <v>3109</v>
      </c>
      <c r="K84" s="61"/>
      <c r="L84" s="62"/>
      <c r="M84" s="59"/>
      <c r="N84" s="59"/>
      <c r="O84" s="59"/>
      <c r="P84" s="59"/>
      <c r="Q84" s="59"/>
      <c r="R84" s="59"/>
      <c r="S84" s="61"/>
      <c r="T84" s="59" t="e">
        <f>VLOOKUP(T_Equipement[[#This Row],[NumL]],T_TraitDi[#Data],COLUMN(#REF!),FALSE)</f>
        <v>#REF!</v>
      </c>
    </row>
    <row r="85" spans="1:20" ht="24" customHeight="1" x14ac:dyDescent="0.25">
      <c r="A85" s="90">
        <v>222</v>
      </c>
      <c r="B85" s="51" t="str">
        <f>IFERROR(IF(VLOOKUP(T_Equipement[[#This Row],[NumL]],T_suiviDi[#Data],COLUMN(T_suiviDi[Nom]),FALSE)&lt;&gt;"",VLOOKUP(T_Equipement[[#This Row],[NumL]],T_suiviDi[#Data],COLUMN(T_suiviDi[Nom]),FALSE),""),"")</f>
        <v/>
      </c>
      <c r="C85" s="51" t="str">
        <f>IFERROR(IF(VLOOKUP(T_Equipement[[#This Row],[NumL]],T_suiviDi[#Data],COLUMN(T_suiviDi[Prénom]),FALSE)&lt;&gt;"",VLOOKUP(T_Equipement[[#This Row],[NumL]],T_suiviDi[#Data],COLUMN(T_suiviDi[Prénom]),FALSE),""),"")</f>
        <v/>
      </c>
      <c r="D85" s="52" t="str">
        <f>IFERROR(IF(VLOOKUP(T_Equipement[[#This Row],[NumL]],T_suiviDi[#Data],COLUMN(T_suiviDi[Email]),FALSE)&lt;&gt;"",VLOOKUP(T_Equipement[[#This Row],[NumL]],T_suiviDi[#Data],COLUMN(T_suiviDi[Email]),FALSE),""),"")</f>
        <v/>
      </c>
      <c r="E85" s="53" t="str">
        <f>IFERROR(IF(VLOOKUP(T_Equipement[[#This Row],[NumL]],T_suiviDi[#Data],COLUMN(T_suiviDi[Nom1]),FALSE)&lt;&gt;"",VLOOKUP(T_Equipement[[#This Row],[NumL]],T_suiviDi[#Data],COLUMN(T_suiviDi[Nom1]),FALSE),""),"")</f>
        <v/>
      </c>
      <c r="F85" s="53" t="str">
        <f>IFERROR(IF(VLOOKUP(T_Equipement[[#This Row],[NumL]],T_suiviDi[#Data],COLUMN(T_suiviDi[Prénom1]),FALSE)&lt;&gt;"",VLOOKUP(T_Equipement[[#This Row],[NumL]],T_suiviDi[#Data],COLUMN(T_suiviDi[Prénom1]),FALSE),""),"")</f>
        <v/>
      </c>
      <c r="G85" s="53" t="str">
        <f>IFERROR(IF(VLOOKUP(T_Equipement[[#This Row],[NumL]],T_suiviDi[#Data],COLUMN(T_suiviDi[Email1]),FALSE)&lt;&gt;"",VLOOKUP(T_Equipement[[#This Row],[NumL]],T_suiviDi[#Data],COLUMN(T_suiviDi[Email1]),FALSE),""),"")</f>
        <v/>
      </c>
      <c r="H85" s="59"/>
      <c r="I85" s="61"/>
      <c r="J85" s="60" t="s">
        <v>3110</v>
      </c>
      <c r="K85" s="61"/>
      <c r="L85" s="62"/>
      <c r="M85" s="59"/>
      <c r="N85" s="59"/>
      <c r="O85" s="59"/>
      <c r="P85" s="59"/>
      <c r="Q85" s="59"/>
      <c r="R85" s="59"/>
      <c r="S85" s="61"/>
      <c r="T85" s="59" t="e">
        <f>VLOOKUP(T_Equipement[[#This Row],[NumL]],T_TraitDi[#Data],COLUMN(#REF!),FALSE)</f>
        <v>#REF!</v>
      </c>
    </row>
    <row r="86" spans="1:20" ht="24" customHeight="1" x14ac:dyDescent="0.25">
      <c r="A86" s="90">
        <v>352</v>
      </c>
      <c r="B86" s="51" t="str">
        <f>IFERROR(IF(VLOOKUP(T_Equipement[[#This Row],[NumL]],T_suiviDi[#Data],COLUMN(T_suiviDi[Nom]),FALSE)&lt;&gt;"",VLOOKUP(T_Equipement[[#This Row],[NumL]],T_suiviDi[#Data],COLUMN(T_suiviDi[Nom]),FALSE),""),"")</f>
        <v/>
      </c>
      <c r="C86" s="51" t="str">
        <f>IFERROR(IF(VLOOKUP(T_Equipement[[#This Row],[NumL]],T_suiviDi[#Data],COLUMN(T_suiviDi[Prénom]),FALSE)&lt;&gt;"",VLOOKUP(T_Equipement[[#This Row],[NumL]],T_suiviDi[#Data],COLUMN(T_suiviDi[Prénom]),FALSE),""),"")</f>
        <v/>
      </c>
      <c r="D86" s="52" t="str">
        <f>IFERROR(IF(VLOOKUP(T_Equipement[[#This Row],[NumL]],T_suiviDi[#Data],COLUMN(T_suiviDi[Email]),FALSE)&lt;&gt;"",VLOOKUP(T_Equipement[[#This Row],[NumL]],T_suiviDi[#Data],COLUMN(T_suiviDi[Email]),FALSE),""),"")</f>
        <v/>
      </c>
      <c r="E86" s="53" t="str">
        <f>IFERROR(IF(VLOOKUP(T_Equipement[[#This Row],[NumL]],T_suiviDi[#Data],COLUMN(T_suiviDi[Nom1]),FALSE)&lt;&gt;"",VLOOKUP(T_Equipement[[#This Row],[NumL]],T_suiviDi[#Data],COLUMN(T_suiviDi[Nom1]),FALSE),""),"")</f>
        <v/>
      </c>
      <c r="F86" s="53" t="str">
        <f>IFERROR(IF(VLOOKUP(T_Equipement[[#This Row],[NumL]],T_suiviDi[#Data],COLUMN(T_suiviDi[Prénom1]),FALSE)&lt;&gt;"",VLOOKUP(T_Equipement[[#This Row],[NumL]],T_suiviDi[#Data],COLUMN(T_suiviDi[Prénom1]),FALSE),""),"")</f>
        <v/>
      </c>
      <c r="G86" s="53" t="str">
        <f>IFERROR(IF(VLOOKUP(T_Equipement[[#This Row],[NumL]],T_suiviDi[#Data],COLUMN(T_suiviDi[Email1]),FALSE)&lt;&gt;"",VLOOKUP(T_Equipement[[#This Row],[NumL]],T_suiviDi[#Data],COLUMN(T_suiviDi[Email1]),FALSE),""),"")</f>
        <v/>
      </c>
      <c r="H86" s="59"/>
      <c r="I86" s="61"/>
      <c r="J86" s="60"/>
      <c r="K86" s="61"/>
      <c r="L86" s="62"/>
      <c r="M86" s="59"/>
      <c r="N86" s="59"/>
      <c r="O86" s="59"/>
      <c r="P86" s="59"/>
      <c r="Q86" s="59"/>
      <c r="R86" s="59"/>
      <c r="S86" s="61"/>
      <c r="T86" s="59"/>
    </row>
    <row r="87" spans="1:20" ht="24" customHeight="1" x14ac:dyDescent="0.25">
      <c r="A87" s="90">
        <v>283</v>
      </c>
      <c r="B87" s="51" t="str">
        <f>IFERROR(IF(VLOOKUP(T_Equipement[[#This Row],[NumL]],T_suiviDi[#Data],COLUMN(T_suiviDi[Nom]),FALSE)&lt;&gt;"",VLOOKUP(T_Equipement[[#This Row],[NumL]],T_suiviDi[#Data],COLUMN(T_suiviDi[Nom]),FALSE),""),"")</f>
        <v/>
      </c>
      <c r="C87" s="51" t="str">
        <f>IFERROR(IF(VLOOKUP(T_Equipement[[#This Row],[NumL]],T_suiviDi[#Data],COLUMN(T_suiviDi[Prénom]),FALSE)&lt;&gt;"",VLOOKUP(T_Equipement[[#This Row],[NumL]],T_suiviDi[#Data],COLUMN(T_suiviDi[Prénom]),FALSE),""),"")</f>
        <v/>
      </c>
      <c r="D87" s="52" t="str">
        <f>IFERROR(IF(VLOOKUP(T_Equipement[[#This Row],[NumL]],T_suiviDi[#Data],COLUMN(T_suiviDi[Email]),FALSE)&lt;&gt;"",VLOOKUP(T_Equipement[[#This Row],[NumL]],T_suiviDi[#Data],COLUMN(T_suiviDi[Email]),FALSE),""),"")</f>
        <v/>
      </c>
      <c r="E87" s="53" t="str">
        <f>IFERROR(IF(VLOOKUP(T_Equipement[[#This Row],[NumL]],T_suiviDi[#Data],COLUMN(T_suiviDi[Nom1]),FALSE)&lt;&gt;"",VLOOKUP(T_Equipement[[#This Row],[NumL]],T_suiviDi[#Data],COLUMN(T_suiviDi[Nom1]),FALSE),""),"")</f>
        <v/>
      </c>
      <c r="F87" s="53" t="str">
        <f>IFERROR(IF(VLOOKUP(T_Equipement[[#This Row],[NumL]],T_suiviDi[#Data],COLUMN(T_suiviDi[Prénom1]),FALSE)&lt;&gt;"",VLOOKUP(T_Equipement[[#This Row],[NumL]],T_suiviDi[#Data],COLUMN(T_suiviDi[Prénom1]),FALSE),""),"")</f>
        <v/>
      </c>
      <c r="G87" s="53" t="str">
        <f>IFERROR(IF(VLOOKUP(T_Equipement[[#This Row],[NumL]],T_suiviDi[#Data],COLUMN(T_suiviDi[Email1]),FALSE)&lt;&gt;"",VLOOKUP(T_Equipement[[#This Row],[NumL]],T_suiviDi[#Data],COLUMN(T_suiviDi[Email1]),FALSE),""),"")</f>
        <v/>
      </c>
      <c r="H87" s="59"/>
      <c r="I87" s="61"/>
      <c r="J87" s="60" t="s">
        <v>3111</v>
      </c>
      <c r="K87" s="61"/>
      <c r="L87" s="62"/>
      <c r="M87" s="59"/>
      <c r="N87" s="59"/>
      <c r="O87" s="59"/>
      <c r="P87" s="59"/>
      <c r="Q87" s="59"/>
      <c r="R87" s="59"/>
      <c r="S87" s="61"/>
      <c r="T87" s="59" t="e">
        <f>VLOOKUP(T_Equipement[[#This Row],[NumL]],T_TraitDi[#Data],COLUMN(#REF!),FALSE)</f>
        <v>#REF!</v>
      </c>
    </row>
    <row r="88" spans="1:20" ht="24" customHeight="1" x14ac:dyDescent="0.25">
      <c r="A88" s="90">
        <v>60</v>
      </c>
      <c r="B88" s="51" t="str">
        <f>IFERROR(IF(VLOOKUP(T_Equipement[[#This Row],[NumL]],T_suiviDi[#Data],COLUMN(T_suiviDi[Nom]),FALSE)&lt;&gt;"",VLOOKUP(T_Equipement[[#This Row],[NumL]],T_suiviDi[#Data],COLUMN(T_suiviDi[Nom]),FALSE),""),"")</f>
        <v/>
      </c>
      <c r="C88" s="51" t="str">
        <f>IFERROR(IF(VLOOKUP(T_Equipement[[#This Row],[NumL]],T_suiviDi[#Data],COLUMN(T_suiviDi[Prénom]),FALSE)&lt;&gt;"",VLOOKUP(T_Equipement[[#This Row],[NumL]],T_suiviDi[#Data],COLUMN(T_suiviDi[Prénom]),FALSE),""),"")</f>
        <v/>
      </c>
      <c r="D88" s="52" t="str">
        <f>IFERROR(IF(VLOOKUP(T_Equipement[[#This Row],[NumL]],T_suiviDi[#Data],COLUMN(T_suiviDi[Email]),FALSE)&lt;&gt;"",VLOOKUP(T_Equipement[[#This Row],[NumL]],T_suiviDi[#Data],COLUMN(T_suiviDi[Email]),FALSE),""),"")</f>
        <v/>
      </c>
      <c r="E88" s="53" t="str">
        <f>IFERROR(IF(VLOOKUP(T_Equipement[[#This Row],[NumL]],T_suiviDi[#Data],COLUMN(T_suiviDi[Nom1]),FALSE)&lt;&gt;"",VLOOKUP(T_Equipement[[#This Row],[NumL]],T_suiviDi[#Data],COLUMN(T_suiviDi[Nom1]),FALSE),""),"")</f>
        <v/>
      </c>
      <c r="F88" s="53" t="str">
        <f>IFERROR(IF(VLOOKUP(T_Equipement[[#This Row],[NumL]],T_suiviDi[#Data],COLUMN(T_suiviDi[Prénom1]),FALSE)&lt;&gt;"",VLOOKUP(T_Equipement[[#This Row],[NumL]],T_suiviDi[#Data],COLUMN(T_suiviDi[Prénom1]),FALSE),""),"")</f>
        <v/>
      </c>
      <c r="G88" s="53" t="str">
        <f>IFERROR(IF(VLOOKUP(T_Equipement[[#This Row],[NumL]],T_suiviDi[#Data],COLUMN(T_suiviDi[Email1]),FALSE)&lt;&gt;"",VLOOKUP(T_Equipement[[#This Row],[NumL]],T_suiviDi[#Data],COLUMN(T_suiviDi[Email1]),FALSE),""),"")</f>
        <v/>
      </c>
      <c r="H88" s="59" t="s">
        <v>3277</v>
      </c>
      <c r="I88" s="251">
        <v>44165</v>
      </c>
      <c r="J88" s="60" t="s">
        <v>3112</v>
      </c>
      <c r="K88" s="61"/>
      <c r="L88" s="62"/>
      <c r="M88" s="59"/>
      <c r="N88" s="59"/>
      <c r="O88" s="59"/>
      <c r="P88" s="59"/>
      <c r="Q88" s="59"/>
      <c r="R88" s="59"/>
      <c r="S88" s="61"/>
      <c r="T88" s="59" t="e">
        <f>VLOOKUP(T_Equipement[[#This Row],[NumL]],T_TraitDi[#Data],COLUMN(#REF!),FALSE)</f>
        <v>#REF!</v>
      </c>
    </row>
    <row r="89" spans="1:20" ht="24" customHeight="1" x14ac:dyDescent="0.25">
      <c r="A89" s="90">
        <v>172</v>
      </c>
      <c r="B89" s="51" t="str">
        <f>IFERROR(IF(VLOOKUP(T_Equipement[[#This Row],[NumL]],T_suiviDi[#Data],COLUMN(T_suiviDi[Nom]),FALSE)&lt;&gt;"",VLOOKUP(T_Equipement[[#This Row],[NumL]],T_suiviDi[#Data],COLUMN(T_suiviDi[Nom]),FALSE),""),"")</f>
        <v/>
      </c>
      <c r="C89" s="51" t="str">
        <f>IFERROR(IF(VLOOKUP(T_Equipement[[#This Row],[NumL]],T_suiviDi[#Data],COLUMN(T_suiviDi[Prénom]),FALSE)&lt;&gt;"",VLOOKUP(T_Equipement[[#This Row],[NumL]],T_suiviDi[#Data],COLUMN(T_suiviDi[Prénom]),FALSE),""),"")</f>
        <v/>
      </c>
      <c r="D89" s="52" t="str">
        <f>IFERROR(IF(VLOOKUP(T_Equipement[[#This Row],[NumL]],T_suiviDi[#Data],COLUMN(T_suiviDi[Email]),FALSE)&lt;&gt;"",VLOOKUP(T_Equipement[[#This Row],[NumL]],T_suiviDi[#Data],COLUMN(T_suiviDi[Email]),FALSE),""),"")</f>
        <v/>
      </c>
      <c r="E89" s="53" t="str">
        <f>IFERROR(IF(VLOOKUP(T_Equipement[[#This Row],[NumL]],T_suiviDi[#Data],COLUMN(T_suiviDi[Nom1]),FALSE)&lt;&gt;"",VLOOKUP(T_Equipement[[#This Row],[NumL]],T_suiviDi[#Data],COLUMN(T_suiviDi[Nom1]),FALSE),""),"")</f>
        <v/>
      </c>
      <c r="F89" s="53" t="str">
        <f>IFERROR(IF(VLOOKUP(T_Equipement[[#This Row],[NumL]],T_suiviDi[#Data],COLUMN(T_suiviDi[Prénom1]),FALSE)&lt;&gt;"",VLOOKUP(T_Equipement[[#This Row],[NumL]],T_suiviDi[#Data],COLUMN(T_suiviDi[Prénom1]),FALSE),""),"")</f>
        <v/>
      </c>
      <c r="G89" s="53" t="str">
        <f>IFERROR(IF(VLOOKUP(T_Equipement[[#This Row],[NumL]],T_suiviDi[#Data],COLUMN(T_suiviDi[Email1]),FALSE)&lt;&gt;"",VLOOKUP(T_Equipement[[#This Row],[NumL]],T_suiviDi[#Data],COLUMN(T_suiviDi[Email1]),FALSE),""),"")</f>
        <v/>
      </c>
      <c r="H89" s="59" t="s">
        <v>3362</v>
      </c>
      <c r="I89" s="61"/>
      <c r="J89" s="252" t="s">
        <v>3113</v>
      </c>
      <c r="K89" s="61"/>
      <c r="L89" s="62"/>
      <c r="M89" s="59"/>
      <c r="N89" s="59"/>
      <c r="O89" s="59"/>
      <c r="P89" s="59"/>
      <c r="Q89" s="59"/>
      <c r="R89" s="59"/>
      <c r="S89" s="61"/>
      <c r="T89" s="59" t="e">
        <f>VLOOKUP(T_Equipement[[#This Row],[NumL]],T_TraitDi[#Data],COLUMN(#REF!),FALSE)</f>
        <v>#REF!</v>
      </c>
    </row>
    <row r="90" spans="1:20" ht="24" customHeight="1" x14ac:dyDescent="0.25">
      <c r="A90" s="90">
        <v>114</v>
      </c>
      <c r="B90" s="51" t="str">
        <f>IFERROR(IF(VLOOKUP(T_Equipement[[#This Row],[NumL]],T_suiviDi[#Data],COLUMN(T_suiviDi[Nom]),FALSE)&lt;&gt;"",VLOOKUP(T_Equipement[[#This Row],[NumL]],T_suiviDi[#Data],COLUMN(T_suiviDi[Nom]),FALSE),""),"")</f>
        <v/>
      </c>
      <c r="C90" s="51" t="str">
        <f>IFERROR(IF(VLOOKUP(T_Equipement[[#This Row],[NumL]],T_suiviDi[#Data],COLUMN(T_suiviDi[Prénom]),FALSE)&lt;&gt;"",VLOOKUP(T_Equipement[[#This Row],[NumL]],T_suiviDi[#Data],COLUMN(T_suiviDi[Prénom]),FALSE),""),"")</f>
        <v/>
      </c>
      <c r="D90" s="52" t="str">
        <f>IFERROR(IF(VLOOKUP(T_Equipement[[#This Row],[NumL]],T_suiviDi[#Data],COLUMN(T_suiviDi[Email]),FALSE)&lt;&gt;"",VLOOKUP(T_Equipement[[#This Row],[NumL]],T_suiviDi[#Data],COLUMN(T_suiviDi[Email]),FALSE),""),"")</f>
        <v/>
      </c>
      <c r="E90" s="53" t="str">
        <f>IFERROR(IF(VLOOKUP(T_Equipement[[#This Row],[NumL]],T_suiviDi[#Data],COLUMN(T_suiviDi[Nom1]),FALSE)&lt;&gt;"",VLOOKUP(T_Equipement[[#This Row],[NumL]],T_suiviDi[#Data],COLUMN(T_suiviDi[Nom1]),FALSE),""),"")</f>
        <v/>
      </c>
      <c r="F90" s="53" t="str">
        <f>IFERROR(IF(VLOOKUP(T_Equipement[[#This Row],[NumL]],T_suiviDi[#Data],COLUMN(T_suiviDi[Prénom1]),FALSE)&lt;&gt;"",VLOOKUP(T_Equipement[[#This Row],[NumL]],T_suiviDi[#Data],COLUMN(T_suiviDi[Prénom1]),FALSE),""),"")</f>
        <v/>
      </c>
      <c r="G90" s="53" t="str">
        <f>IFERROR(IF(VLOOKUP(T_Equipement[[#This Row],[NumL]],T_suiviDi[#Data],COLUMN(T_suiviDi[Email1]),FALSE)&lt;&gt;"",VLOOKUP(T_Equipement[[#This Row],[NumL]],T_suiviDi[#Data],COLUMN(T_suiviDi[Email1]),FALSE),""),"")</f>
        <v/>
      </c>
      <c r="H90" s="59" t="s">
        <v>3277</v>
      </c>
      <c r="I90" s="61"/>
      <c r="J90" s="252" t="s">
        <v>3114</v>
      </c>
      <c r="K90" s="61"/>
      <c r="L90" s="62"/>
      <c r="M90" s="59"/>
      <c r="N90" s="59"/>
      <c r="O90" s="59"/>
      <c r="P90" s="59"/>
      <c r="Q90" s="59"/>
      <c r="R90" s="59"/>
      <c r="S90" s="61"/>
      <c r="T90" s="59" t="e">
        <f>VLOOKUP(T_Equipement[[#This Row],[NumL]],T_TraitDi[#Data],COLUMN(#REF!),FALSE)</f>
        <v>#REF!</v>
      </c>
    </row>
    <row r="91" spans="1:20" ht="24" customHeight="1" x14ac:dyDescent="0.25">
      <c r="A91" s="90">
        <v>8</v>
      </c>
      <c r="B91" s="51" t="str">
        <f>IFERROR(IF(VLOOKUP(T_Equipement[[#This Row],[NumL]],T_suiviDi[#Data],COLUMN(T_suiviDi[Nom]),FALSE)&lt;&gt;"",VLOOKUP(T_Equipement[[#This Row],[NumL]],T_suiviDi[#Data],COLUMN(T_suiviDi[Nom]),FALSE),""),"")</f>
        <v/>
      </c>
      <c r="C91" s="51" t="str">
        <f>IFERROR(IF(VLOOKUP(T_Equipement[[#This Row],[NumL]],T_suiviDi[#Data],COLUMN(T_suiviDi[Prénom]),FALSE)&lt;&gt;"",VLOOKUP(T_Equipement[[#This Row],[NumL]],T_suiviDi[#Data],COLUMN(T_suiviDi[Prénom]),FALSE),""),"")</f>
        <v/>
      </c>
      <c r="D91" s="52" t="str">
        <f>IFERROR(IF(VLOOKUP(T_Equipement[[#This Row],[NumL]],T_suiviDi[#Data],COLUMN(T_suiviDi[Email]),FALSE)&lt;&gt;"",VLOOKUP(T_Equipement[[#This Row],[NumL]],T_suiviDi[#Data],COLUMN(T_suiviDi[Email]),FALSE),""),"")</f>
        <v/>
      </c>
      <c r="E91" s="53" t="str">
        <f>IFERROR(IF(VLOOKUP(T_Equipement[[#This Row],[NumL]],T_suiviDi[#Data],COLUMN(T_suiviDi[Nom1]),FALSE)&lt;&gt;"",VLOOKUP(T_Equipement[[#This Row],[NumL]],T_suiviDi[#Data],COLUMN(T_suiviDi[Nom1]),FALSE),""),"")</f>
        <v/>
      </c>
      <c r="F91" s="53" t="str">
        <f>IFERROR(IF(VLOOKUP(T_Equipement[[#This Row],[NumL]],T_suiviDi[#Data],COLUMN(T_suiviDi[Prénom1]),FALSE)&lt;&gt;"",VLOOKUP(T_Equipement[[#This Row],[NumL]],T_suiviDi[#Data],COLUMN(T_suiviDi[Prénom1]),FALSE),""),"")</f>
        <v/>
      </c>
      <c r="G91" s="53" t="str">
        <f>IFERROR(IF(VLOOKUP(T_Equipement[[#This Row],[NumL]],T_suiviDi[#Data],COLUMN(T_suiviDi[Email1]),FALSE)&lt;&gt;"",VLOOKUP(T_Equipement[[#This Row],[NumL]],T_suiviDi[#Data],COLUMN(T_suiviDi[Email1]),FALSE),""),"")</f>
        <v/>
      </c>
      <c r="H91" s="59" t="s">
        <v>3362</v>
      </c>
      <c r="I91" s="61"/>
      <c r="J91" s="60" t="s">
        <v>3115</v>
      </c>
      <c r="K91" s="61"/>
      <c r="L91" s="62"/>
      <c r="M91" s="59"/>
      <c r="N91" s="59"/>
      <c r="O91" s="59"/>
      <c r="P91" s="59"/>
      <c r="Q91" s="59"/>
      <c r="R91" s="59"/>
      <c r="S91" s="61"/>
      <c r="T91" s="59" t="e">
        <f>VLOOKUP(T_Equipement[[#This Row],[NumL]],T_TraitDi[#Data],COLUMN(#REF!),FALSE)</f>
        <v>#REF!</v>
      </c>
    </row>
    <row r="92" spans="1:20" ht="24" customHeight="1" x14ac:dyDescent="0.25">
      <c r="A92" s="90">
        <v>51</v>
      </c>
      <c r="B92" s="51" t="str">
        <f>IFERROR(IF(VLOOKUP(T_Equipement[[#This Row],[NumL]],T_suiviDi[#Data],COLUMN(T_suiviDi[Nom]),FALSE)&lt;&gt;"",VLOOKUP(T_Equipement[[#This Row],[NumL]],T_suiviDi[#Data],COLUMN(T_suiviDi[Nom]),FALSE),""),"")</f>
        <v/>
      </c>
      <c r="C92" s="51" t="str">
        <f>IFERROR(IF(VLOOKUP(T_Equipement[[#This Row],[NumL]],T_suiviDi[#Data],COLUMN(T_suiviDi[Prénom]),FALSE)&lt;&gt;"",VLOOKUP(T_Equipement[[#This Row],[NumL]],T_suiviDi[#Data],COLUMN(T_suiviDi[Prénom]),FALSE),""),"")</f>
        <v/>
      </c>
      <c r="D92" s="52" t="str">
        <f>IFERROR(IF(VLOOKUP(T_Equipement[[#This Row],[NumL]],T_suiviDi[#Data],COLUMN(T_suiviDi[Email]),FALSE)&lt;&gt;"",VLOOKUP(T_Equipement[[#This Row],[NumL]],T_suiviDi[#Data],COLUMN(T_suiviDi[Email]),FALSE),""),"")</f>
        <v/>
      </c>
      <c r="E92" s="53" t="str">
        <f>IFERROR(IF(VLOOKUP(T_Equipement[[#This Row],[NumL]],T_suiviDi[#Data],COLUMN(T_suiviDi[Nom1]),FALSE)&lt;&gt;"",VLOOKUP(T_Equipement[[#This Row],[NumL]],T_suiviDi[#Data],COLUMN(T_suiviDi[Nom1]),FALSE),""),"")</f>
        <v/>
      </c>
      <c r="F92" s="53" t="str">
        <f>IFERROR(IF(VLOOKUP(T_Equipement[[#This Row],[NumL]],T_suiviDi[#Data],COLUMN(T_suiviDi[Prénom1]),FALSE)&lt;&gt;"",VLOOKUP(T_Equipement[[#This Row],[NumL]],T_suiviDi[#Data],COLUMN(T_suiviDi[Prénom1]),FALSE),""),"")</f>
        <v/>
      </c>
      <c r="G92" s="53" t="str">
        <f>IFERROR(IF(VLOOKUP(T_Equipement[[#This Row],[NumL]],T_suiviDi[#Data],COLUMN(T_suiviDi[Email1]),FALSE)&lt;&gt;"",VLOOKUP(T_Equipement[[#This Row],[NumL]],T_suiviDi[#Data],COLUMN(T_suiviDi[Email1]),FALSE),""),"")</f>
        <v/>
      </c>
      <c r="H92" s="59" t="s">
        <v>3277</v>
      </c>
      <c r="I92" s="251">
        <v>44165</v>
      </c>
      <c r="J92" s="60" t="s">
        <v>3116</v>
      </c>
      <c r="K92" s="61"/>
      <c r="L92" s="62"/>
      <c r="M92" s="59"/>
      <c r="N92" s="59"/>
      <c r="O92" s="59"/>
      <c r="P92" s="59"/>
      <c r="Q92" s="59"/>
      <c r="R92" s="59"/>
      <c r="S92" s="61"/>
      <c r="T92" s="59" t="e">
        <f>VLOOKUP(T_Equipement[[#This Row],[NumL]],T_TraitDi[#Data],COLUMN(#REF!),FALSE)</f>
        <v>#REF!</v>
      </c>
    </row>
    <row r="93" spans="1:20" ht="24" customHeight="1" x14ac:dyDescent="0.25">
      <c r="A93" s="90">
        <v>342</v>
      </c>
      <c r="B93" s="51" t="str">
        <f>IFERROR(IF(VLOOKUP(T_Equipement[[#This Row],[NumL]],T_suiviDi[#Data],COLUMN(T_suiviDi[Nom]),FALSE)&lt;&gt;"",VLOOKUP(T_Equipement[[#This Row],[NumL]],T_suiviDi[#Data],COLUMN(T_suiviDi[Nom]),FALSE),""),"")</f>
        <v/>
      </c>
      <c r="C93" s="51" t="str">
        <f>IFERROR(IF(VLOOKUP(T_Equipement[[#This Row],[NumL]],T_suiviDi[#Data],COLUMN(T_suiviDi[Prénom]),FALSE)&lt;&gt;"",VLOOKUP(T_Equipement[[#This Row],[NumL]],T_suiviDi[#Data],COLUMN(T_suiviDi[Prénom]),FALSE),""),"")</f>
        <v/>
      </c>
      <c r="D93" s="52" t="str">
        <f>IFERROR(IF(VLOOKUP(T_Equipement[[#This Row],[NumL]],T_suiviDi[#Data],COLUMN(T_suiviDi[Email]),FALSE)&lt;&gt;"",VLOOKUP(T_Equipement[[#This Row],[NumL]],T_suiviDi[#Data],COLUMN(T_suiviDi[Email]),FALSE),""),"")</f>
        <v/>
      </c>
      <c r="E93" s="53" t="str">
        <f>IFERROR(IF(VLOOKUP(T_Equipement[[#This Row],[NumL]],T_suiviDi[#Data],COLUMN(T_suiviDi[Nom1]),FALSE)&lt;&gt;"",VLOOKUP(T_Equipement[[#This Row],[NumL]],T_suiviDi[#Data],COLUMN(T_suiviDi[Nom1]),FALSE),""),"")</f>
        <v/>
      </c>
      <c r="F93" s="53" t="str">
        <f>IFERROR(IF(VLOOKUP(T_Equipement[[#This Row],[NumL]],T_suiviDi[#Data],COLUMN(T_suiviDi[Prénom1]),FALSE)&lt;&gt;"",VLOOKUP(T_Equipement[[#This Row],[NumL]],T_suiviDi[#Data],COLUMN(T_suiviDi[Prénom1]),FALSE),""),"")</f>
        <v/>
      </c>
      <c r="G93" s="53" t="str">
        <f>IFERROR(IF(VLOOKUP(T_Equipement[[#This Row],[NumL]],T_suiviDi[#Data],COLUMN(T_suiviDi[Email1]),FALSE)&lt;&gt;"",VLOOKUP(T_Equipement[[#This Row],[NumL]],T_suiviDi[#Data],COLUMN(T_suiviDi[Email1]),FALSE),""),"")</f>
        <v/>
      </c>
      <c r="H93" s="59"/>
      <c r="I93" s="61"/>
      <c r="J93" s="60"/>
      <c r="K93" s="61"/>
      <c r="L93" s="62"/>
      <c r="M93" s="59"/>
      <c r="N93" s="59"/>
      <c r="O93" s="59"/>
      <c r="P93" s="59"/>
      <c r="Q93" s="59"/>
      <c r="R93" s="59"/>
      <c r="S93" s="61"/>
      <c r="T93" s="59"/>
    </row>
    <row r="94" spans="1:20" ht="24" customHeight="1" x14ac:dyDescent="0.25">
      <c r="A94" s="90">
        <v>164</v>
      </c>
      <c r="B94" s="51" t="str">
        <f>IFERROR(IF(VLOOKUP(T_Equipement[[#This Row],[NumL]],T_suiviDi[#Data],COLUMN(T_suiviDi[Nom]),FALSE)&lt;&gt;"",VLOOKUP(T_Equipement[[#This Row],[NumL]],T_suiviDi[#Data],COLUMN(T_suiviDi[Nom]),FALSE),""),"")</f>
        <v/>
      </c>
      <c r="C94" s="51" t="str">
        <f>IFERROR(IF(VLOOKUP(T_Equipement[[#This Row],[NumL]],T_suiviDi[#Data],COLUMN(T_suiviDi[Prénom]),FALSE)&lt;&gt;"",VLOOKUP(T_Equipement[[#This Row],[NumL]],T_suiviDi[#Data],COLUMN(T_suiviDi[Prénom]),FALSE),""),"")</f>
        <v/>
      </c>
      <c r="D94" s="52" t="str">
        <f>IFERROR(IF(VLOOKUP(T_Equipement[[#This Row],[NumL]],T_suiviDi[#Data],COLUMN(T_suiviDi[Email]),FALSE)&lt;&gt;"",VLOOKUP(T_Equipement[[#This Row],[NumL]],T_suiviDi[#Data],COLUMN(T_suiviDi[Email]),FALSE),""),"")</f>
        <v/>
      </c>
      <c r="E94" s="53" t="str">
        <f>IFERROR(IF(VLOOKUP(T_Equipement[[#This Row],[NumL]],T_suiviDi[#Data],COLUMN(T_suiviDi[Nom1]),FALSE)&lt;&gt;"",VLOOKUP(T_Equipement[[#This Row],[NumL]],T_suiviDi[#Data],COLUMN(T_suiviDi[Nom1]),FALSE),""),"")</f>
        <v/>
      </c>
      <c r="F94" s="53" t="str">
        <f>IFERROR(IF(VLOOKUP(T_Equipement[[#This Row],[NumL]],T_suiviDi[#Data],COLUMN(T_suiviDi[Prénom1]),FALSE)&lt;&gt;"",VLOOKUP(T_Equipement[[#This Row],[NumL]],T_suiviDi[#Data],COLUMN(T_suiviDi[Prénom1]),FALSE),""),"")</f>
        <v/>
      </c>
      <c r="G94" s="53" t="str">
        <f>IFERROR(IF(VLOOKUP(T_Equipement[[#This Row],[NumL]],T_suiviDi[#Data],COLUMN(T_suiviDi[Email1]),FALSE)&lt;&gt;"",VLOOKUP(T_Equipement[[#This Row],[NumL]],T_suiviDi[#Data],COLUMN(T_suiviDi[Email1]),FALSE),""),"")</f>
        <v/>
      </c>
      <c r="H94" s="59" t="s">
        <v>3277</v>
      </c>
      <c r="I94" s="251">
        <v>44165</v>
      </c>
      <c r="J94" s="60" t="s">
        <v>3117</v>
      </c>
      <c r="K94" s="61"/>
      <c r="L94" s="62"/>
      <c r="M94" s="59"/>
      <c r="N94" s="59"/>
      <c r="O94" s="59"/>
      <c r="P94" s="59"/>
      <c r="Q94" s="59"/>
      <c r="R94" s="59"/>
      <c r="S94" s="61"/>
      <c r="T94" s="59" t="e">
        <f>VLOOKUP(T_Equipement[[#This Row],[NumL]],T_TraitDi[#Data],COLUMN(#REF!),FALSE)</f>
        <v>#REF!</v>
      </c>
    </row>
    <row r="95" spans="1:20" ht="24" customHeight="1" x14ac:dyDescent="0.25">
      <c r="A95" s="90">
        <v>248</v>
      </c>
      <c r="B95" s="51" t="str">
        <f>IFERROR(IF(VLOOKUP(T_Equipement[[#This Row],[NumL]],T_suiviDi[#Data],COLUMN(T_suiviDi[Nom]),FALSE)&lt;&gt;"",VLOOKUP(T_Equipement[[#This Row],[NumL]],T_suiviDi[#Data],COLUMN(T_suiviDi[Nom]),FALSE),""),"")</f>
        <v/>
      </c>
      <c r="C95" s="51" t="str">
        <f>IFERROR(IF(VLOOKUP(T_Equipement[[#This Row],[NumL]],T_suiviDi[#Data],COLUMN(T_suiviDi[Prénom]),FALSE)&lt;&gt;"",VLOOKUP(T_Equipement[[#This Row],[NumL]],T_suiviDi[#Data],COLUMN(T_suiviDi[Prénom]),FALSE),""),"")</f>
        <v/>
      </c>
      <c r="D95" s="52" t="str">
        <f>IFERROR(IF(VLOOKUP(T_Equipement[[#This Row],[NumL]],T_suiviDi[#Data],COLUMN(T_suiviDi[Email]),FALSE)&lt;&gt;"",VLOOKUP(T_Equipement[[#This Row],[NumL]],T_suiviDi[#Data],COLUMN(T_suiviDi[Email]),FALSE),""),"")</f>
        <v/>
      </c>
      <c r="E95" s="53" t="str">
        <f>IFERROR(IF(VLOOKUP(T_Equipement[[#This Row],[NumL]],T_suiviDi[#Data],COLUMN(T_suiviDi[Nom1]),FALSE)&lt;&gt;"",VLOOKUP(T_Equipement[[#This Row],[NumL]],T_suiviDi[#Data],COLUMN(T_suiviDi[Nom1]),FALSE),""),"")</f>
        <v/>
      </c>
      <c r="F95" s="53" t="str">
        <f>IFERROR(IF(VLOOKUP(T_Equipement[[#This Row],[NumL]],T_suiviDi[#Data],COLUMN(T_suiviDi[Prénom1]),FALSE)&lt;&gt;"",VLOOKUP(T_Equipement[[#This Row],[NumL]],T_suiviDi[#Data],COLUMN(T_suiviDi[Prénom1]),FALSE),""),"")</f>
        <v/>
      </c>
      <c r="G95" s="53" t="str">
        <f>IFERROR(IF(VLOOKUP(T_Equipement[[#This Row],[NumL]],T_suiviDi[#Data],COLUMN(T_suiviDi[Email1]),FALSE)&lt;&gt;"",VLOOKUP(T_Equipement[[#This Row],[NumL]],T_suiviDi[#Data],COLUMN(T_suiviDi[Email1]),FALSE),""),"")</f>
        <v/>
      </c>
      <c r="H95" s="59" t="s">
        <v>3277</v>
      </c>
      <c r="I95" s="61"/>
      <c r="J95" s="60" t="s">
        <v>3118</v>
      </c>
      <c r="K95" s="61"/>
      <c r="L95" s="62"/>
      <c r="M95" s="59"/>
      <c r="N95" s="59"/>
      <c r="O95" s="59"/>
      <c r="P95" s="59"/>
      <c r="Q95" s="59"/>
      <c r="R95" s="59"/>
      <c r="S95" s="61"/>
      <c r="T95" s="59" t="e">
        <f>VLOOKUP(T_Equipement[[#This Row],[NumL]],T_TraitDi[#Data],COLUMN(#REF!),FALSE)</f>
        <v>#REF!</v>
      </c>
    </row>
    <row r="96" spans="1:20" ht="24" customHeight="1" x14ac:dyDescent="0.25">
      <c r="A96" s="90">
        <v>266</v>
      </c>
      <c r="B96" s="51" t="str">
        <f>IFERROR(IF(VLOOKUP(T_Equipement[[#This Row],[NumL]],T_suiviDi[#Data],COLUMN(T_suiviDi[Nom]),FALSE)&lt;&gt;"",VLOOKUP(T_Equipement[[#This Row],[NumL]],T_suiviDi[#Data],COLUMN(T_suiviDi[Nom]),FALSE),""),"")</f>
        <v/>
      </c>
      <c r="C96" s="51" t="str">
        <f>IFERROR(IF(VLOOKUP(T_Equipement[[#This Row],[NumL]],T_suiviDi[#Data],COLUMN(T_suiviDi[Prénom]),FALSE)&lt;&gt;"",VLOOKUP(T_Equipement[[#This Row],[NumL]],T_suiviDi[#Data],COLUMN(T_suiviDi[Prénom]),FALSE),""),"")</f>
        <v/>
      </c>
      <c r="D96" s="52" t="str">
        <f>IFERROR(IF(VLOOKUP(T_Equipement[[#This Row],[NumL]],T_suiviDi[#Data],COLUMN(T_suiviDi[Email]),FALSE)&lt;&gt;"",VLOOKUP(T_Equipement[[#This Row],[NumL]],T_suiviDi[#Data],COLUMN(T_suiviDi[Email]),FALSE),""),"")</f>
        <v/>
      </c>
      <c r="E96" s="53" t="str">
        <f>IFERROR(IF(VLOOKUP(T_Equipement[[#This Row],[NumL]],T_suiviDi[#Data],COLUMN(T_suiviDi[Nom1]),FALSE)&lt;&gt;"",VLOOKUP(T_Equipement[[#This Row],[NumL]],T_suiviDi[#Data],COLUMN(T_suiviDi[Nom1]),FALSE),""),"")</f>
        <v/>
      </c>
      <c r="F96" s="53" t="str">
        <f>IFERROR(IF(VLOOKUP(T_Equipement[[#This Row],[NumL]],T_suiviDi[#Data],COLUMN(T_suiviDi[Prénom1]),FALSE)&lt;&gt;"",VLOOKUP(T_Equipement[[#This Row],[NumL]],T_suiviDi[#Data],COLUMN(T_suiviDi[Prénom1]),FALSE),""),"")</f>
        <v/>
      </c>
      <c r="G96" s="53" t="str">
        <f>IFERROR(IF(VLOOKUP(T_Equipement[[#This Row],[NumL]],T_suiviDi[#Data],COLUMN(T_suiviDi[Email1]),FALSE)&lt;&gt;"",VLOOKUP(T_Equipement[[#This Row],[NumL]],T_suiviDi[#Data],COLUMN(T_suiviDi[Email1]),FALSE),""),"")</f>
        <v/>
      </c>
      <c r="H96" s="59" t="s">
        <v>3278</v>
      </c>
      <c r="I96" s="251">
        <v>44165</v>
      </c>
      <c r="J96" s="60" t="s">
        <v>3119</v>
      </c>
      <c r="K96" s="61"/>
      <c r="L96" s="62"/>
      <c r="M96" s="59"/>
      <c r="N96" s="59"/>
      <c r="O96" s="59"/>
      <c r="P96" s="59"/>
      <c r="Q96" s="59"/>
      <c r="R96" s="59"/>
      <c r="S96" s="61"/>
      <c r="T96" s="59" t="e">
        <f>VLOOKUP(T_Equipement[[#This Row],[NumL]],T_TraitDi[#Data],COLUMN(#REF!),FALSE)</f>
        <v>#REF!</v>
      </c>
    </row>
    <row r="97" spans="1:20" ht="24" customHeight="1" x14ac:dyDescent="0.25">
      <c r="A97" s="90">
        <v>323</v>
      </c>
      <c r="B97" s="51" t="str">
        <f>IFERROR(IF(VLOOKUP(T_Equipement[[#This Row],[NumL]],T_suiviDi[#Data],COLUMN(T_suiviDi[Nom]),FALSE)&lt;&gt;"",VLOOKUP(T_Equipement[[#This Row],[NumL]],T_suiviDi[#Data],COLUMN(T_suiviDi[Nom]),FALSE),""),"")</f>
        <v/>
      </c>
      <c r="C97" s="51" t="str">
        <f>IFERROR(IF(VLOOKUP(T_Equipement[[#This Row],[NumL]],T_suiviDi[#Data],COLUMN(T_suiviDi[Prénom]),FALSE)&lt;&gt;"",VLOOKUP(T_Equipement[[#This Row],[NumL]],T_suiviDi[#Data],COLUMN(T_suiviDi[Prénom]),FALSE),""),"")</f>
        <v/>
      </c>
      <c r="D97" s="52" t="str">
        <f>IFERROR(IF(VLOOKUP(T_Equipement[[#This Row],[NumL]],T_suiviDi[#Data],COLUMN(T_suiviDi[Email]),FALSE)&lt;&gt;"",VLOOKUP(T_Equipement[[#This Row],[NumL]],T_suiviDi[#Data],COLUMN(T_suiviDi[Email]),FALSE),""),"")</f>
        <v/>
      </c>
      <c r="E97" s="53" t="str">
        <f>IFERROR(IF(VLOOKUP(T_Equipement[[#This Row],[NumL]],T_suiviDi[#Data],COLUMN(T_suiviDi[Nom1]),FALSE)&lt;&gt;"",VLOOKUP(T_Equipement[[#This Row],[NumL]],T_suiviDi[#Data],COLUMN(T_suiviDi[Nom1]),FALSE),""),"")</f>
        <v/>
      </c>
      <c r="F97" s="53" t="str">
        <f>IFERROR(IF(VLOOKUP(T_Equipement[[#This Row],[NumL]],T_suiviDi[#Data],COLUMN(T_suiviDi[Prénom1]),FALSE)&lt;&gt;"",VLOOKUP(T_Equipement[[#This Row],[NumL]],T_suiviDi[#Data],COLUMN(T_suiviDi[Prénom1]),FALSE),""),"")</f>
        <v/>
      </c>
      <c r="G97" s="53" t="str">
        <f>IFERROR(IF(VLOOKUP(T_Equipement[[#This Row],[NumL]],T_suiviDi[#Data],COLUMN(T_suiviDi[Email1]),FALSE)&lt;&gt;"",VLOOKUP(T_Equipement[[#This Row],[NumL]],T_suiviDi[#Data],COLUMN(T_suiviDi[Email1]),FALSE),""),"")</f>
        <v/>
      </c>
      <c r="H97" s="59"/>
      <c r="I97" s="61"/>
      <c r="J97" s="60"/>
      <c r="K97" s="61"/>
      <c r="L97" s="62"/>
      <c r="M97" s="59"/>
      <c r="N97" s="59"/>
      <c r="O97" s="59"/>
      <c r="P97" s="59"/>
      <c r="Q97" s="59"/>
      <c r="R97" s="59"/>
      <c r="S97" s="61"/>
      <c r="T97" s="59"/>
    </row>
    <row r="98" spans="1:20" ht="24" customHeight="1" x14ac:dyDescent="0.25">
      <c r="A98" s="90">
        <v>90</v>
      </c>
      <c r="B98" s="51" t="str">
        <f>IFERROR(IF(VLOOKUP(T_Equipement[[#This Row],[NumL]],T_suiviDi[#Data],COLUMN(T_suiviDi[Nom]),FALSE)&lt;&gt;"",VLOOKUP(T_Equipement[[#This Row],[NumL]],T_suiviDi[#Data],COLUMN(T_suiviDi[Nom]),FALSE),""),"")</f>
        <v/>
      </c>
      <c r="C98" s="51" t="str">
        <f>IFERROR(IF(VLOOKUP(T_Equipement[[#This Row],[NumL]],T_suiviDi[#Data],COLUMN(T_suiviDi[Prénom]),FALSE)&lt;&gt;"",VLOOKUP(T_Equipement[[#This Row],[NumL]],T_suiviDi[#Data],COLUMN(T_suiviDi[Prénom]),FALSE),""),"")</f>
        <v/>
      </c>
      <c r="D98" s="52" t="str">
        <f>IFERROR(IF(VLOOKUP(T_Equipement[[#This Row],[NumL]],T_suiviDi[#Data],COLUMN(T_suiviDi[Email]),FALSE)&lt;&gt;"",VLOOKUP(T_Equipement[[#This Row],[NumL]],T_suiviDi[#Data],COLUMN(T_suiviDi[Email]),FALSE),""),"")</f>
        <v/>
      </c>
      <c r="E98" s="53" t="str">
        <f>IFERROR(IF(VLOOKUP(T_Equipement[[#This Row],[NumL]],T_suiviDi[#Data],COLUMN(T_suiviDi[Nom1]),FALSE)&lt;&gt;"",VLOOKUP(T_Equipement[[#This Row],[NumL]],T_suiviDi[#Data],COLUMN(T_suiviDi[Nom1]),FALSE),""),"")</f>
        <v/>
      </c>
      <c r="F98" s="53" t="str">
        <f>IFERROR(IF(VLOOKUP(T_Equipement[[#This Row],[NumL]],T_suiviDi[#Data],COLUMN(T_suiviDi[Prénom1]),FALSE)&lt;&gt;"",VLOOKUP(T_Equipement[[#This Row],[NumL]],T_suiviDi[#Data],COLUMN(T_suiviDi[Prénom1]),FALSE),""),"")</f>
        <v/>
      </c>
      <c r="G98" s="53" t="str">
        <f>IFERROR(IF(VLOOKUP(T_Equipement[[#This Row],[NumL]],T_suiviDi[#Data],COLUMN(T_suiviDi[Email1]),FALSE)&lt;&gt;"",VLOOKUP(T_Equipement[[#This Row],[NumL]],T_suiviDi[#Data],COLUMN(T_suiviDi[Email1]),FALSE),""),"")</f>
        <v/>
      </c>
      <c r="H98" s="59"/>
      <c r="I98" s="61"/>
      <c r="J98" s="60" t="s">
        <v>3120</v>
      </c>
      <c r="K98" s="61"/>
      <c r="L98" s="62"/>
      <c r="M98" s="59"/>
      <c r="N98" s="59"/>
      <c r="O98" s="59"/>
      <c r="P98" s="59"/>
      <c r="Q98" s="59"/>
      <c r="R98" s="59"/>
      <c r="S98" s="61"/>
      <c r="T98" s="59" t="e">
        <f>VLOOKUP(T_Equipement[[#This Row],[NumL]],T_TraitDi[#Data],COLUMN(#REF!),FALSE)</f>
        <v>#REF!</v>
      </c>
    </row>
    <row r="99" spans="1:20" ht="24" customHeight="1" x14ac:dyDescent="0.25">
      <c r="A99" s="90">
        <v>54</v>
      </c>
      <c r="B99" s="51" t="str">
        <f>IFERROR(IF(VLOOKUP(T_Equipement[[#This Row],[NumL]],T_suiviDi[#Data],COLUMN(T_suiviDi[Nom]),FALSE)&lt;&gt;"",VLOOKUP(T_Equipement[[#This Row],[NumL]],T_suiviDi[#Data],COLUMN(T_suiviDi[Nom]),FALSE),""),"")</f>
        <v/>
      </c>
      <c r="C99" s="51" t="str">
        <f>IFERROR(IF(VLOOKUP(T_Equipement[[#This Row],[NumL]],T_suiviDi[#Data],COLUMN(T_suiviDi[Prénom]),FALSE)&lt;&gt;"",VLOOKUP(T_Equipement[[#This Row],[NumL]],T_suiviDi[#Data],COLUMN(T_suiviDi[Prénom]),FALSE),""),"")</f>
        <v/>
      </c>
      <c r="D99" s="52" t="str">
        <f>IFERROR(IF(VLOOKUP(T_Equipement[[#This Row],[NumL]],T_suiviDi[#Data],COLUMN(T_suiviDi[Email]),FALSE)&lt;&gt;"",VLOOKUP(T_Equipement[[#This Row],[NumL]],T_suiviDi[#Data],COLUMN(T_suiviDi[Email]),FALSE),""),"")</f>
        <v/>
      </c>
      <c r="E99" s="53" t="str">
        <f>IFERROR(IF(VLOOKUP(T_Equipement[[#This Row],[NumL]],T_suiviDi[#Data],COLUMN(T_suiviDi[Nom1]),FALSE)&lt;&gt;"",VLOOKUP(T_Equipement[[#This Row],[NumL]],T_suiviDi[#Data],COLUMN(T_suiviDi[Nom1]),FALSE),""),"")</f>
        <v/>
      </c>
      <c r="F99" s="53" t="str">
        <f>IFERROR(IF(VLOOKUP(T_Equipement[[#This Row],[NumL]],T_suiviDi[#Data],COLUMN(T_suiviDi[Prénom1]),FALSE)&lt;&gt;"",VLOOKUP(T_Equipement[[#This Row],[NumL]],T_suiviDi[#Data],COLUMN(T_suiviDi[Prénom1]),FALSE),""),"")</f>
        <v/>
      </c>
      <c r="G99" s="53" t="str">
        <f>IFERROR(IF(VLOOKUP(T_Equipement[[#This Row],[NumL]],T_suiviDi[#Data],COLUMN(T_suiviDi[Email1]),FALSE)&lt;&gt;"",VLOOKUP(T_Equipement[[#This Row],[NumL]],T_suiviDi[#Data],COLUMN(T_suiviDi[Email1]),FALSE),""),"")</f>
        <v/>
      </c>
      <c r="H99" s="59"/>
      <c r="I99" s="61"/>
      <c r="J99" s="60" t="s">
        <v>3121</v>
      </c>
      <c r="K99" s="61"/>
      <c r="L99" s="62"/>
      <c r="M99" s="59"/>
      <c r="N99" s="59"/>
      <c r="O99" s="59"/>
      <c r="P99" s="59"/>
      <c r="Q99" s="59"/>
      <c r="R99" s="59"/>
      <c r="S99" s="61"/>
      <c r="T99" s="59" t="e">
        <f>VLOOKUP(T_Equipement[[#This Row],[NumL]],T_TraitDi[#Data],COLUMN(#REF!),FALSE)</f>
        <v>#REF!</v>
      </c>
    </row>
    <row r="100" spans="1:20" ht="24" customHeight="1" x14ac:dyDescent="0.25">
      <c r="A100" s="90">
        <v>218</v>
      </c>
      <c r="B100" s="51" t="str">
        <f>IFERROR(IF(VLOOKUP(T_Equipement[[#This Row],[NumL]],T_suiviDi[#Data],COLUMN(T_suiviDi[Nom]),FALSE)&lt;&gt;"",VLOOKUP(T_Equipement[[#This Row],[NumL]],T_suiviDi[#Data],COLUMN(T_suiviDi[Nom]),FALSE),""),"")</f>
        <v/>
      </c>
      <c r="C100" s="51" t="str">
        <f>IFERROR(IF(VLOOKUP(T_Equipement[[#This Row],[NumL]],T_suiviDi[#Data],COLUMN(T_suiviDi[Prénom]),FALSE)&lt;&gt;"",VLOOKUP(T_Equipement[[#This Row],[NumL]],T_suiviDi[#Data],COLUMN(T_suiviDi[Prénom]),FALSE),""),"")</f>
        <v/>
      </c>
      <c r="D100" s="52" t="str">
        <f>IFERROR(IF(VLOOKUP(T_Equipement[[#This Row],[NumL]],T_suiviDi[#Data],COLUMN(T_suiviDi[Email]),FALSE)&lt;&gt;"",VLOOKUP(T_Equipement[[#This Row],[NumL]],T_suiviDi[#Data],COLUMN(T_suiviDi[Email]),FALSE),""),"")</f>
        <v/>
      </c>
      <c r="E100" s="53" t="str">
        <f>IFERROR(IF(VLOOKUP(T_Equipement[[#This Row],[NumL]],T_suiviDi[#Data],COLUMN(T_suiviDi[Nom1]),FALSE)&lt;&gt;"",VLOOKUP(T_Equipement[[#This Row],[NumL]],T_suiviDi[#Data],COLUMN(T_suiviDi[Nom1]),FALSE),""),"")</f>
        <v/>
      </c>
      <c r="F100" s="53" t="str">
        <f>IFERROR(IF(VLOOKUP(T_Equipement[[#This Row],[NumL]],T_suiviDi[#Data],COLUMN(T_suiviDi[Prénom1]),FALSE)&lt;&gt;"",VLOOKUP(T_Equipement[[#This Row],[NumL]],T_suiviDi[#Data],COLUMN(T_suiviDi[Prénom1]),FALSE),""),"")</f>
        <v/>
      </c>
      <c r="G100" s="53" t="str">
        <f>IFERROR(IF(VLOOKUP(T_Equipement[[#This Row],[NumL]],T_suiviDi[#Data],COLUMN(T_suiviDi[Email1]),FALSE)&lt;&gt;"",VLOOKUP(T_Equipement[[#This Row],[NumL]],T_suiviDi[#Data],COLUMN(T_suiviDi[Email1]),FALSE),""),"")</f>
        <v/>
      </c>
      <c r="H100" s="59" t="s">
        <v>3277</v>
      </c>
      <c r="I100" s="61"/>
      <c r="J100" s="60" t="s">
        <v>3122</v>
      </c>
      <c r="K100" s="61"/>
      <c r="L100" s="62"/>
      <c r="M100" s="59"/>
      <c r="N100" s="59"/>
      <c r="O100" s="59"/>
      <c r="P100" s="59"/>
      <c r="Q100" s="59"/>
      <c r="R100" s="59"/>
      <c r="S100" s="61"/>
      <c r="T100" s="59" t="e">
        <f>VLOOKUP(T_Equipement[[#This Row],[NumL]],T_TraitDi[#Data],COLUMN(#REF!),FALSE)</f>
        <v>#REF!</v>
      </c>
    </row>
    <row r="101" spans="1:20" ht="24" customHeight="1" x14ac:dyDescent="0.25">
      <c r="A101" s="90">
        <v>83</v>
      </c>
      <c r="B101" s="51" t="str">
        <f>IFERROR(IF(VLOOKUP(T_Equipement[[#This Row],[NumL]],T_suiviDi[#Data],COLUMN(T_suiviDi[Nom]),FALSE)&lt;&gt;"",VLOOKUP(T_Equipement[[#This Row],[NumL]],T_suiviDi[#Data],COLUMN(T_suiviDi[Nom]),FALSE),""),"")</f>
        <v/>
      </c>
      <c r="C101" s="51" t="str">
        <f>IFERROR(IF(VLOOKUP(T_Equipement[[#This Row],[NumL]],T_suiviDi[#Data],COLUMN(T_suiviDi[Prénom]),FALSE)&lt;&gt;"",VLOOKUP(T_Equipement[[#This Row],[NumL]],T_suiviDi[#Data],COLUMN(T_suiviDi[Prénom]),FALSE),""),"")</f>
        <v/>
      </c>
      <c r="D101" s="52" t="str">
        <f>IFERROR(IF(VLOOKUP(T_Equipement[[#This Row],[NumL]],T_suiviDi[#Data],COLUMN(T_suiviDi[Email]),FALSE)&lt;&gt;"",VLOOKUP(T_Equipement[[#This Row],[NumL]],T_suiviDi[#Data],COLUMN(T_suiviDi[Email]),FALSE),""),"")</f>
        <v/>
      </c>
      <c r="E101" s="53" t="str">
        <f>IFERROR(IF(VLOOKUP(T_Equipement[[#This Row],[NumL]],T_suiviDi[#Data],COLUMN(T_suiviDi[Nom1]),FALSE)&lt;&gt;"",VLOOKUP(T_Equipement[[#This Row],[NumL]],T_suiviDi[#Data],COLUMN(T_suiviDi[Nom1]),FALSE),""),"")</f>
        <v/>
      </c>
      <c r="F101" s="53" t="str">
        <f>IFERROR(IF(VLOOKUP(T_Equipement[[#This Row],[NumL]],T_suiviDi[#Data],COLUMN(T_suiviDi[Prénom1]),FALSE)&lt;&gt;"",VLOOKUP(T_Equipement[[#This Row],[NumL]],T_suiviDi[#Data],COLUMN(T_suiviDi[Prénom1]),FALSE),""),"")</f>
        <v/>
      </c>
      <c r="G101" s="53" t="str">
        <f>IFERROR(IF(VLOOKUP(T_Equipement[[#This Row],[NumL]],T_suiviDi[#Data],COLUMN(T_suiviDi[Email1]),FALSE)&lt;&gt;"",VLOOKUP(T_Equipement[[#This Row],[NumL]],T_suiviDi[#Data],COLUMN(T_suiviDi[Email1]),FALSE),""),"")</f>
        <v/>
      </c>
      <c r="H101" s="59" t="s">
        <v>3277</v>
      </c>
      <c r="I101" s="251">
        <v>44165</v>
      </c>
      <c r="J101" s="60" t="s">
        <v>3123</v>
      </c>
      <c r="K101" s="61"/>
      <c r="L101" s="62"/>
      <c r="M101" s="59"/>
      <c r="N101" s="59"/>
      <c r="O101" s="59"/>
      <c r="P101" s="59"/>
      <c r="Q101" s="59"/>
      <c r="R101" s="59"/>
      <c r="S101" s="61"/>
      <c r="T101" s="59" t="e">
        <f>VLOOKUP(T_Equipement[[#This Row],[NumL]],T_TraitDi[#Data],COLUMN(#REF!),FALSE)</f>
        <v>#REF!</v>
      </c>
    </row>
    <row r="102" spans="1:20" ht="24" customHeight="1" x14ac:dyDescent="0.25">
      <c r="A102" s="90">
        <v>209</v>
      </c>
      <c r="B102" s="51" t="str">
        <f>IFERROR(IF(VLOOKUP(T_Equipement[[#This Row],[NumL]],T_suiviDi[#Data],COLUMN(T_suiviDi[Nom]),FALSE)&lt;&gt;"",VLOOKUP(T_Equipement[[#This Row],[NumL]],T_suiviDi[#Data],COLUMN(T_suiviDi[Nom]),FALSE),""),"")</f>
        <v/>
      </c>
      <c r="C102" s="51" t="str">
        <f>IFERROR(IF(VLOOKUP(T_Equipement[[#This Row],[NumL]],T_suiviDi[#Data],COLUMN(T_suiviDi[Prénom]),FALSE)&lt;&gt;"",VLOOKUP(T_Equipement[[#This Row],[NumL]],T_suiviDi[#Data],COLUMN(T_suiviDi[Prénom]),FALSE),""),"")</f>
        <v/>
      </c>
      <c r="D102" s="52" t="str">
        <f>IFERROR(IF(VLOOKUP(T_Equipement[[#This Row],[NumL]],T_suiviDi[#Data],COLUMN(T_suiviDi[Email]),FALSE)&lt;&gt;"",VLOOKUP(T_Equipement[[#This Row],[NumL]],T_suiviDi[#Data],COLUMN(T_suiviDi[Email]),FALSE),""),"")</f>
        <v/>
      </c>
      <c r="E102" s="53" t="str">
        <f>IFERROR(IF(VLOOKUP(T_Equipement[[#This Row],[NumL]],T_suiviDi[#Data],COLUMN(T_suiviDi[Nom1]),FALSE)&lt;&gt;"",VLOOKUP(T_Equipement[[#This Row],[NumL]],T_suiviDi[#Data],COLUMN(T_suiviDi[Nom1]),FALSE),""),"")</f>
        <v/>
      </c>
      <c r="F102" s="53" t="str">
        <f>IFERROR(IF(VLOOKUP(T_Equipement[[#This Row],[NumL]],T_suiviDi[#Data],COLUMN(T_suiviDi[Prénom1]),FALSE)&lt;&gt;"",VLOOKUP(T_Equipement[[#This Row],[NumL]],T_suiviDi[#Data],COLUMN(T_suiviDi[Prénom1]),FALSE),""),"")</f>
        <v/>
      </c>
      <c r="G102" s="53" t="str">
        <f>IFERROR(IF(VLOOKUP(T_Equipement[[#This Row],[NumL]],T_suiviDi[#Data],COLUMN(T_suiviDi[Email1]),FALSE)&lt;&gt;"",VLOOKUP(T_Equipement[[#This Row],[NumL]],T_suiviDi[#Data],COLUMN(T_suiviDi[Email1]),FALSE),""),"")</f>
        <v/>
      </c>
      <c r="H102" s="59" t="s">
        <v>3277</v>
      </c>
      <c r="I102" s="61"/>
      <c r="J102" s="60" t="s">
        <v>3124</v>
      </c>
      <c r="K102" s="61"/>
      <c r="L102" s="62"/>
      <c r="M102" s="59"/>
      <c r="N102" s="59"/>
      <c r="O102" s="59"/>
      <c r="P102" s="59"/>
      <c r="Q102" s="59"/>
      <c r="R102" s="59"/>
      <c r="S102" s="61"/>
      <c r="T102" s="59" t="e">
        <f>VLOOKUP(T_Equipement[[#This Row],[NumL]],T_TraitDi[#Data],COLUMN(#REF!),FALSE)</f>
        <v>#REF!</v>
      </c>
    </row>
    <row r="103" spans="1:20" ht="24" customHeight="1" x14ac:dyDescent="0.25">
      <c r="A103" s="90">
        <v>162</v>
      </c>
      <c r="B103" s="51" t="str">
        <f>IFERROR(IF(VLOOKUP(T_Equipement[[#This Row],[NumL]],T_suiviDi[#Data],COLUMN(T_suiviDi[Nom]),FALSE)&lt;&gt;"",VLOOKUP(T_Equipement[[#This Row],[NumL]],T_suiviDi[#Data],COLUMN(T_suiviDi[Nom]),FALSE),""),"")</f>
        <v/>
      </c>
      <c r="C103" s="51" t="str">
        <f>IFERROR(IF(VLOOKUP(T_Equipement[[#This Row],[NumL]],T_suiviDi[#Data],COLUMN(T_suiviDi[Prénom]),FALSE)&lt;&gt;"",VLOOKUP(T_Equipement[[#This Row],[NumL]],T_suiviDi[#Data],COLUMN(T_suiviDi[Prénom]),FALSE),""),"")</f>
        <v/>
      </c>
      <c r="D103" s="52" t="str">
        <f>IFERROR(IF(VLOOKUP(T_Equipement[[#This Row],[NumL]],T_suiviDi[#Data],COLUMN(T_suiviDi[Email]),FALSE)&lt;&gt;"",VLOOKUP(T_Equipement[[#This Row],[NumL]],T_suiviDi[#Data],COLUMN(T_suiviDi[Email]),FALSE),""),"")</f>
        <v/>
      </c>
      <c r="E103" s="53" t="str">
        <f>IFERROR(IF(VLOOKUP(T_Equipement[[#This Row],[NumL]],T_suiviDi[#Data],COLUMN(T_suiviDi[Nom1]),FALSE)&lt;&gt;"",VLOOKUP(T_Equipement[[#This Row],[NumL]],T_suiviDi[#Data],COLUMN(T_suiviDi[Nom1]),FALSE),""),"")</f>
        <v/>
      </c>
      <c r="F103" s="53" t="str">
        <f>IFERROR(IF(VLOOKUP(T_Equipement[[#This Row],[NumL]],T_suiviDi[#Data],COLUMN(T_suiviDi[Prénom1]),FALSE)&lt;&gt;"",VLOOKUP(T_Equipement[[#This Row],[NumL]],T_suiviDi[#Data],COLUMN(T_suiviDi[Prénom1]),FALSE),""),"")</f>
        <v/>
      </c>
      <c r="G103" s="53" t="str">
        <f>IFERROR(IF(VLOOKUP(T_Equipement[[#This Row],[NumL]],T_suiviDi[#Data],COLUMN(T_suiviDi[Email1]),FALSE)&lt;&gt;"",VLOOKUP(T_Equipement[[#This Row],[NumL]],T_suiviDi[#Data],COLUMN(T_suiviDi[Email1]),FALSE),""),"")</f>
        <v/>
      </c>
      <c r="H103" s="59" t="s">
        <v>3277</v>
      </c>
      <c r="I103" s="251">
        <v>44165</v>
      </c>
      <c r="J103" s="60" t="s">
        <v>3125</v>
      </c>
      <c r="K103" s="61"/>
      <c r="L103" s="62"/>
      <c r="M103" s="59"/>
      <c r="N103" s="59"/>
      <c r="O103" s="59"/>
      <c r="P103" s="59"/>
      <c r="Q103" s="59"/>
      <c r="R103" s="59"/>
      <c r="S103" s="61"/>
      <c r="T103" s="59" t="e">
        <f>VLOOKUP(T_Equipement[[#This Row],[NumL]],T_TraitDi[#Data],COLUMN(#REF!),FALSE)</f>
        <v>#REF!</v>
      </c>
    </row>
    <row r="104" spans="1:20" ht="24" customHeight="1" x14ac:dyDescent="0.25">
      <c r="A104" s="90">
        <v>206</v>
      </c>
      <c r="B104" s="51" t="str">
        <f>IFERROR(IF(VLOOKUP(T_Equipement[[#This Row],[NumL]],T_suiviDi[#Data],COLUMN(T_suiviDi[Nom]),FALSE)&lt;&gt;"",VLOOKUP(T_Equipement[[#This Row],[NumL]],T_suiviDi[#Data],COLUMN(T_suiviDi[Nom]),FALSE),""),"")</f>
        <v/>
      </c>
      <c r="C104" s="51" t="str">
        <f>IFERROR(IF(VLOOKUP(T_Equipement[[#This Row],[NumL]],T_suiviDi[#Data],COLUMN(T_suiviDi[Prénom]),FALSE)&lt;&gt;"",VLOOKUP(T_Equipement[[#This Row],[NumL]],T_suiviDi[#Data],COLUMN(T_suiviDi[Prénom]),FALSE),""),"")</f>
        <v/>
      </c>
      <c r="D104" s="52" t="str">
        <f>IFERROR(IF(VLOOKUP(T_Equipement[[#This Row],[NumL]],T_suiviDi[#Data],COLUMN(T_suiviDi[Email]),FALSE)&lt;&gt;"",VLOOKUP(T_Equipement[[#This Row],[NumL]],T_suiviDi[#Data],COLUMN(T_suiviDi[Email]),FALSE),""),"")</f>
        <v/>
      </c>
      <c r="E104" s="53" t="str">
        <f>IFERROR(IF(VLOOKUP(T_Equipement[[#This Row],[NumL]],T_suiviDi[#Data],COLUMN(T_suiviDi[Nom1]),FALSE)&lt;&gt;"",VLOOKUP(T_Equipement[[#This Row],[NumL]],T_suiviDi[#Data],COLUMN(T_suiviDi[Nom1]),FALSE),""),"")</f>
        <v/>
      </c>
      <c r="F104" s="53" t="str">
        <f>IFERROR(IF(VLOOKUP(T_Equipement[[#This Row],[NumL]],T_suiviDi[#Data],COLUMN(T_suiviDi[Prénom1]),FALSE)&lt;&gt;"",VLOOKUP(T_Equipement[[#This Row],[NumL]],T_suiviDi[#Data],COLUMN(T_suiviDi[Prénom1]),FALSE),""),"")</f>
        <v/>
      </c>
      <c r="G104" s="53" t="str">
        <f>IFERROR(IF(VLOOKUP(T_Equipement[[#This Row],[NumL]],T_suiviDi[#Data],COLUMN(T_suiviDi[Email1]),FALSE)&lt;&gt;"",VLOOKUP(T_Equipement[[#This Row],[NumL]],T_suiviDi[#Data],COLUMN(T_suiviDi[Email1]),FALSE),""),"")</f>
        <v/>
      </c>
      <c r="H104" s="59" t="s">
        <v>3277</v>
      </c>
      <c r="I104" s="251">
        <v>44165</v>
      </c>
      <c r="J104" s="60" t="s">
        <v>3126</v>
      </c>
      <c r="K104" s="61"/>
      <c r="L104" s="62"/>
      <c r="M104" s="59"/>
      <c r="N104" s="59"/>
      <c r="O104" s="59"/>
      <c r="P104" s="59"/>
      <c r="Q104" s="59"/>
      <c r="R104" s="59"/>
      <c r="S104" s="61"/>
      <c r="T104" s="59" t="e">
        <f>VLOOKUP(T_Equipement[[#This Row],[NumL]],T_TraitDi[#Data],COLUMN(#REF!),FALSE)</f>
        <v>#REF!</v>
      </c>
    </row>
    <row r="105" spans="1:20" ht="24" customHeight="1" x14ac:dyDescent="0.25">
      <c r="A105" s="90">
        <v>201</v>
      </c>
      <c r="B105" s="51" t="str">
        <f>IFERROR(IF(VLOOKUP(T_Equipement[[#This Row],[NumL]],T_suiviDi[#Data],COLUMN(T_suiviDi[Nom]),FALSE)&lt;&gt;"",VLOOKUP(T_Equipement[[#This Row],[NumL]],T_suiviDi[#Data],COLUMN(T_suiviDi[Nom]),FALSE),""),"")</f>
        <v/>
      </c>
      <c r="C105" s="51" t="str">
        <f>IFERROR(IF(VLOOKUP(T_Equipement[[#This Row],[NumL]],T_suiviDi[#Data],COLUMN(T_suiviDi[Prénom]),FALSE)&lt;&gt;"",VLOOKUP(T_Equipement[[#This Row],[NumL]],T_suiviDi[#Data],COLUMN(T_suiviDi[Prénom]),FALSE),""),"")</f>
        <v/>
      </c>
      <c r="D105" s="52" t="str">
        <f>IFERROR(IF(VLOOKUP(T_Equipement[[#This Row],[NumL]],T_suiviDi[#Data],COLUMN(T_suiviDi[Email]),FALSE)&lt;&gt;"",VLOOKUP(T_Equipement[[#This Row],[NumL]],T_suiviDi[#Data],COLUMN(T_suiviDi[Email]),FALSE),""),"")</f>
        <v/>
      </c>
      <c r="E105" s="53" t="str">
        <f>IFERROR(IF(VLOOKUP(T_Equipement[[#This Row],[NumL]],T_suiviDi[#Data],COLUMN(T_suiviDi[Nom1]),FALSE)&lt;&gt;"",VLOOKUP(T_Equipement[[#This Row],[NumL]],T_suiviDi[#Data],COLUMN(T_suiviDi[Nom1]),FALSE),""),"")</f>
        <v/>
      </c>
      <c r="F105" s="53" t="str">
        <f>IFERROR(IF(VLOOKUP(T_Equipement[[#This Row],[NumL]],T_suiviDi[#Data],COLUMN(T_suiviDi[Prénom1]),FALSE)&lt;&gt;"",VLOOKUP(T_Equipement[[#This Row],[NumL]],T_suiviDi[#Data],COLUMN(T_suiviDi[Prénom1]),FALSE),""),"")</f>
        <v/>
      </c>
      <c r="G105" s="53" t="str">
        <f>IFERROR(IF(VLOOKUP(T_Equipement[[#This Row],[NumL]],T_suiviDi[#Data],COLUMN(T_suiviDi[Email1]),FALSE)&lt;&gt;"",VLOOKUP(T_Equipement[[#This Row],[NumL]],T_suiviDi[#Data],COLUMN(T_suiviDi[Email1]),FALSE),""),"")</f>
        <v/>
      </c>
      <c r="H105" s="59" t="s">
        <v>3278</v>
      </c>
      <c r="I105" s="61"/>
      <c r="J105" s="60" t="s">
        <v>3127</v>
      </c>
      <c r="K105" s="61"/>
      <c r="L105" s="62"/>
      <c r="M105" s="59"/>
      <c r="N105" s="59"/>
      <c r="O105" s="59"/>
      <c r="P105" s="59"/>
      <c r="Q105" s="59"/>
      <c r="R105" s="59"/>
      <c r="S105" s="61"/>
      <c r="T105" s="59" t="e">
        <f>VLOOKUP(T_Equipement[[#This Row],[NumL]],T_TraitDi[#Data],COLUMN(#REF!),FALSE)</f>
        <v>#REF!</v>
      </c>
    </row>
    <row r="106" spans="1:20" ht="24" customHeight="1" x14ac:dyDescent="0.25">
      <c r="A106" s="90">
        <v>109</v>
      </c>
      <c r="B106" s="51" t="str">
        <f>IFERROR(IF(VLOOKUP(T_Equipement[[#This Row],[NumL]],T_suiviDi[#Data],COLUMN(T_suiviDi[Nom]),FALSE)&lt;&gt;"",VLOOKUP(T_Equipement[[#This Row],[NumL]],T_suiviDi[#Data],COLUMN(T_suiviDi[Nom]),FALSE),""),"")</f>
        <v/>
      </c>
      <c r="C106" s="51" t="str">
        <f>IFERROR(IF(VLOOKUP(T_Equipement[[#This Row],[NumL]],T_suiviDi[#Data],COLUMN(T_suiviDi[Prénom]),FALSE)&lt;&gt;"",VLOOKUP(T_Equipement[[#This Row],[NumL]],T_suiviDi[#Data],COLUMN(T_suiviDi[Prénom]),FALSE),""),"")</f>
        <v/>
      </c>
      <c r="D106" s="52" t="str">
        <f>IFERROR(IF(VLOOKUP(T_Equipement[[#This Row],[NumL]],T_suiviDi[#Data],COLUMN(T_suiviDi[Email]),FALSE)&lt;&gt;"",VLOOKUP(T_Equipement[[#This Row],[NumL]],T_suiviDi[#Data],COLUMN(T_suiviDi[Email]),FALSE),""),"")</f>
        <v/>
      </c>
      <c r="E106" s="53" t="str">
        <f>IFERROR(IF(VLOOKUP(T_Equipement[[#This Row],[NumL]],T_suiviDi[#Data],COLUMN(T_suiviDi[Nom1]),FALSE)&lt;&gt;"",VLOOKUP(T_Equipement[[#This Row],[NumL]],T_suiviDi[#Data],COLUMN(T_suiviDi[Nom1]),FALSE),""),"")</f>
        <v/>
      </c>
      <c r="F106" s="53" t="str">
        <f>IFERROR(IF(VLOOKUP(T_Equipement[[#This Row],[NumL]],T_suiviDi[#Data],COLUMN(T_suiviDi[Prénom1]),FALSE)&lt;&gt;"",VLOOKUP(T_Equipement[[#This Row],[NumL]],T_suiviDi[#Data],COLUMN(T_suiviDi[Prénom1]),FALSE),""),"")</f>
        <v/>
      </c>
      <c r="G106" s="53" t="str">
        <f>IFERROR(IF(VLOOKUP(T_Equipement[[#This Row],[NumL]],T_suiviDi[#Data],COLUMN(T_suiviDi[Email1]),FALSE)&lt;&gt;"",VLOOKUP(T_Equipement[[#This Row],[NumL]],T_suiviDi[#Data],COLUMN(T_suiviDi[Email1]),FALSE),""),"")</f>
        <v/>
      </c>
      <c r="H106" s="59"/>
      <c r="I106" s="61"/>
      <c r="J106" s="60" t="s">
        <v>3128</v>
      </c>
      <c r="K106" s="61"/>
      <c r="L106" s="62"/>
      <c r="M106" s="59"/>
      <c r="N106" s="59"/>
      <c r="O106" s="59"/>
      <c r="P106" s="59"/>
      <c r="Q106" s="59"/>
      <c r="R106" s="59"/>
      <c r="S106" s="61"/>
      <c r="T106" s="59" t="e">
        <f>VLOOKUP(T_Equipement[[#This Row],[NumL]],T_TraitDi[#Data],COLUMN(#REF!),FALSE)</f>
        <v>#REF!</v>
      </c>
    </row>
    <row r="107" spans="1:20" ht="24" customHeight="1" x14ac:dyDescent="0.25">
      <c r="A107" s="90">
        <v>216</v>
      </c>
      <c r="B107" s="51" t="str">
        <f>IFERROR(IF(VLOOKUP(T_Equipement[[#This Row],[NumL]],T_suiviDi[#Data],COLUMN(T_suiviDi[Nom]),FALSE)&lt;&gt;"",VLOOKUP(T_Equipement[[#This Row],[NumL]],T_suiviDi[#Data],COLUMN(T_suiviDi[Nom]),FALSE),""),"")</f>
        <v/>
      </c>
      <c r="C107" s="51" t="str">
        <f>IFERROR(IF(VLOOKUP(T_Equipement[[#This Row],[NumL]],T_suiviDi[#Data],COLUMN(T_suiviDi[Prénom]),FALSE)&lt;&gt;"",VLOOKUP(T_Equipement[[#This Row],[NumL]],T_suiviDi[#Data],COLUMN(T_suiviDi[Prénom]),FALSE),""),"")</f>
        <v/>
      </c>
      <c r="D107" s="52" t="str">
        <f>IFERROR(IF(VLOOKUP(T_Equipement[[#This Row],[NumL]],T_suiviDi[#Data],COLUMN(T_suiviDi[Email]),FALSE)&lt;&gt;"",VLOOKUP(T_Equipement[[#This Row],[NumL]],T_suiviDi[#Data],COLUMN(T_suiviDi[Email]),FALSE),""),"")</f>
        <v/>
      </c>
      <c r="E107" s="53" t="str">
        <f>IFERROR(IF(VLOOKUP(T_Equipement[[#This Row],[NumL]],T_suiviDi[#Data],COLUMN(T_suiviDi[Nom1]),FALSE)&lt;&gt;"",VLOOKUP(T_Equipement[[#This Row],[NumL]],T_suiviDi[#Data],COLUMN(T_suiviDi[Nom1]),FALSE),""),"")</f>
        <v/>
      </c>
      <c r="F107" s="53" t="str">
        <f>IFERROR(IF(VLOOKUP(T_Equipement[[#This Row],[NumL]],T_suiviDi[#Data],COLUMN(T_suiviDi[Prénom1]),FALSE)&lt;&gt;"",VLOOKUP(T_Equipement[[#This Row],[NumL]],T_suiviDi[#Data],COLUMN(T_suiviDi[Prénom1]),FALSE),""),"")</f>
        <v/>
      </c>
      <c r="G107" s="53" t="str">
        <f>IFERROR(IF(VLOOKUP(T_Equipement[[#This Row],[NumL]],T_suiviDi[#Data],COLUMN(T_suiviDi[Email1]),FALSE)&lt;&gt;"",VLOOKUP(T_Equipement[[#This Row],[NumL]],T_suiviDi[#Data],COLUMN(T_suiviDi[Email1]),FALSE),""),"")</f>
        <v/>
      </c>
      <c r="H107" s="59" t="s">
        <v>3277</v>
      </c>
      <c r="I107" s="251">
        <v>44165</v>
      </c>
      <c r="J107" s="60" t="s">
        <v>3129</v>
      </c>
      <c r="K107" s="61"/>
      <c r="L107" s="62"/>
      <c r="M107" s="59"/>
      <c r="N107" s="59"/>
      <c r="O107" s="59"/>
      <c r="P107" s="59"/>
      <c r="Q107" s="59"/>
      <c r="R107" s="59"/>
      <c r="S107" s="61"/>
      <c r="T107" s="59" t="e">
        <f>VLOOKUP(T_Equipement[[#This Row],[NumL]],T_TraitDi[#Data],COLUMN(#REF!),FALSE)</f>
        <v>#REF!</v>
      </c>
    </row>
    <row r="108" spans="1:20" ht="24" customHeight="1" x14ac:dyDescent="0.25">
      <c r="A108" s="90">
        <v>188</v>
      </c>
      <c r="B108" s="51" t="str">
        <f>IFERROR(IF(VLOOKUP(T_Equipement[[#This Row],[NumL]],T_suiviDi[#Data],COLUMN(T_suiviDi[Nom]),FALSE)&lt;&gt;"",VLOOKUP(T_Equipement[[#This Row],[NumL]],T_suiviDi[#Data],COLUMN(T_suiviDi[Nom]),FALSE),""),"")</f>
        <v/>
      </c>
      <c r="C108" s="51" t="str">
        <f>IFERROR(IF(VLOOKUP(T_Equipement[[#This Row],[NumL]],T_suiviDi[#Data],COLUMN(T_suiviDi[Prénom]),FALSE)&lt;&gt;"",VLOOKUP(T_Equipement[[#This Row],[NumL]],T_suiviDi[#Data],COLUMN(T_suiviDi[Prénom]),FALSE),""),"")</f>
        <v/>
      </c>
      <c r="D108" s="52" t="str">
        <f>IFERROR(IF(VLOOKUP(T_Equipement[[#This Row],[NumL]],T_suiviDi[#Data],COLUMN(T_suiviDi[Email]),FALSE)&lt;&gt;"",VLOOKUP(T_Equipement[[#This Row],[NumL]],T_suiviDi[#Data],COLUMN(T_suiviDi[Email]),FALSE),""),"")</f>
        <v/>
      </c>
      <c r="E108" s="53" t="str">
        <f>IFERROR(IF(VLOOKUP(T_Equipement[[#This Row],[NumL]],T_suiviDi[#Data],COLUMN(T_suiviDi[Nom1]),FALSE)&lt;&gt;"",VLOOKUP(T_Equipement[[#This Row],[NumL]],T_suiviDi[#Data],COLUMN(T_suiviDi[Nom1]),FALSE),""),"")</f>
        <v/>
      </c>
      <c r="F108" s="53" t="str">
        <f>IFERROR(IF(VLOOKUP(T_Equipement[[#This Row],[NumL]],T_suiviDi[#Data],COLUMN(T_suiviDi[Prénom1]),FALSE)&lt;&gt;"",VLOOKUP(T_Equipement[[#This Row],[NumL]],T_suiviDi[#Data],COLUMN(T_suiviDi[Prénom1]),FALSE),""),"")</f>
        <v/>
      </c>
      <c r="G108" s="53" t="str">
        <f>IFERROR(IF(VLOOKUP(T_Equipement[[#This Row],[NumL]],T_suiviDi[#Data],COLUMN(T_suiviDi[Email1]),FALSE)&lt;&gt;"",VLOOKUP(T_Equipement[[#This Row],[NumL]],T_suiviDi[#Data],COLUMN(T_suiviDi[Email1]),FALSE),""),"")</f>
        <v/>
      </c>
      <c r="H108" s="59" t="s">
        <v>3278</v>
      </c>
      <c r="I108" s="251">
        <v>44165</v>
      </c>
      <c r="J108" s="60" t="s">
        <v>3130</v>
      </c>
      <c r="K108" s="61"/>
      <c r="L108" s="62"/>
      <c r="M108" s="59"/>
      <c r="N108" s="59"/>
      <c r="O108" s="59"/>
      <c r="P108" s="59"/>
      <c r="Q108" s="59"/>
      <c r="R108" s="59"/>
      <c r="S108" s="61"/>
      <c r="T108" s="59" t="e">
        <f>VLOOKUP(T_Equipement[[#This Row],[NumL]],T_TraitDi[#Data],COLUMN(#REF!),FALSE)</f>
        <v>#REF!</v>
      </c>
    </row>
    <row r="109" spans="1:20" ht="24" customHeight="1" x14ac:dyDescent="0.25">
      <c r="A109" s="90">
        <v>306</v>
      </c>
      <c r="B109" s="51" t="str">
        <f>IFERROR(IF(VLOOKUP(T_Equipement[[#This Row],[NumL]],T_suiviDi[#Data],COLUMN(T_suiviDi[Nom]),FALSE)&lt;&gt;"",VLOOKUP(T_Equipement[[#This Row],[NumL]],T_suiviDi[#Data],COLUMN(T_suiviDi[Nom]),FALSE),""),"")</f>
        <v/>
      </c>
      <c r="C109" s="51" t="str">
        <f>IFERROR(IF(VLOOKUP(T_Equipement[[#This Row],[NumL]],T_suiviDi[#Data],COLUMN(T_suiviDi[Prénom]),FALSE)&lt;&gt;"",VLOOKUP(T_Equipement[[#This Row],[NumL]],T_suiviDi[#Data],COLUMN(T_suiviDi[Prénom]),FALSE),""),"")</f>
        <v/>
      </c>
      <c r="D109" s="52" t="str">
        <f>IFERROR(IF(VLOOKUP(T_Equipement[[#This Row],[NumL]],T_suiviDi[#Data],COLUMN(T_suiviDi[Email]),FALSE)&lt;&gt;"",VLOOKUP(T_Equipement[[#This Row],[NumL]],T_suiviDi[#Data],COLUMN(T_suiviDi[Email]),FALSE),""),"")</f>
        <v/>
      </c>
      <c r="E109" s="53" t="str">
        <f>IFERROR(IF(VLOOKUP(T_Equipement[[#This Row],[NumL]],T_suiviDi[#Data],COLUMN(T_suiviDi[Nom1]),FALSE)&lt;&gt;"",VLOOKUP(T_Equipement[[#This Row],[NumL]],T_suiviDi[#Data],COLUMN(T_suiviDi[Nom1]),FALSE),""),"")</f>
        <v/>
      </c>
      <c r="F109" s="53" t="str">
        <f>IFERROR(IF(VLOOKUP(T_Equipement[[#This Row],[NumL]],T_suiviDi[#Data],COLUMN(T_suiviDi[Prénom1]),FALSE)&lt;&gt;"",VLOOKUP(T_Equipement[[#This Row],[NumL]],T_suiviDi[#Data],COLUMN(T_suiviDi[Prénom1]),FALSE),""),"")</f>
        <v/>
      </c>
      <c r="G109" s="53" t="str">
        <f>IFERROR(IF(VLOOKUP(T_Equipement[[#This Row],[NumL]],T_suiviDi[#Data],COLUMN(T_suiviDi[Email1]),FALSE)&lt;&gt;"",VLOOKUP(T_Equipement[[#This Row],[NumL]],T_suiviDi[#Data],COLUMN(T_suiviDi[Email1]),FALSE),""),"")</f>
        <v/>
      </c>
      <c r="H109" s="59"/>
      <c r="I109" s="61"/>
      <c r="J109" s="60"/>
      <c r="K109" s="61"/>
      <c r="L109" s="62"/>
      <c r="M109" s="59"/>
      <c r="N109" s="59"/>
      <c r="O109" s="59"/>
      <c r="P109" s="59"/>
      <c r="Q109" s="59"/>
      <c r="R109" s="59"/>
      <c r="S109" s="61"/>
      <c r="T109" s="59"/>
    </row>
    <row r="110" spans="1:20" ht="24" customHeight="1" x14ac:dyDescent="0.25">
      <c r="A110" s="90">
        <v>148</v>
      </c>
      <c r="B110" s="51" t="str">
        <f>IFERROR(IF(VLOOKUP(T_Equipement[[#This Row],[NumL]],T_suiviDi[#Data],COLUMN(T_suiviDi[Nom]),FALSE)&lt;&gt;"",VLOOKUP(T_Equipement[[#This Row],[NumL]],T_suiviDi[#Data],COLUMN(T_suiviDi[Nom]),FALSE),""),"")</f>
        <v/>
      </c>
      <c r="C110" s="51" t="str">
        <f>IFERROR(IF(VLOOKUP(T_Equipement[[#This Row],[NumL]],T_suiviDi[#Data],COLUMN(T_suiviDi[Prénom]),FALSE)&lt;&gt;"",VLOOKUP(T_Equipement[[#This Row],[NumL]],T_suiviDi[#Data],COLUMN(T_suiviDi[Prénom]),FALSE),""),"")</f>
        <v/>
      </c>
      <c r="D110" s="52" t="str">
        <f>IFERROR(IF(VLOOKUP(T_Equipement[[#This Row],[NumL]],T_suiviDi[#Data],COLUMN(T_suiviDi[Email]),FALSE)&lt;&gt;"",VLOOKUP(T_Equipement[[#This Row],[NumL]],T_suiviDi[#Data],COLUMN(T_suiviDi[Email]),FALSE),""),"")</f>
        <v/>
      </c>
      <c r="E110" s="53" t="str">
        <f>IFERROR(IF(VLOOKUP(T_Equipement[[#This Row],[NumL]],T_suiviDi[#Data],COLUMN(T_suiviDi[Nom1]),FALSE)&lt;&gt;"",VLOOKUP(T_Equipement[[#This Row],[NumL]],T_suiviDi[#Data],COLUMN(T_suiviDi[Nom1]),FALSE),""),"")</f>
        <v/>
      </c>
      <c r="F110" s="53" t="str">
        <f>IFERROR(IF(VLOOKUP(T_Equipement[[#This Row],[NumL]],T_suiviDi[#Data],COLUMN(T_suiviDi[Prénom1]),FALSE)&lt;&gt;"",VLOOKUP(T_Equipement[[#This Row],[NumL]],T_suiviDi[#Data],COLUMN(T_suiviDi[Prénom1]),FALSE),""),"")</f>
        <v/>
      </c>
      <c r="G110" s="53" t="str">
        <f>IFERROR(IF(VLOOKUP(T_Equipement[[#This Row],[NumL]],T_suiviDi[#Data],COLUMN(T_suiviDi[Email1]),FALSE)&lt;&gt;"",VLOOKUP(T_Equipement[[#This Row],[NumL]],T_suiviDi[#Data],COLUMN(T_suiviDi[Email1]),FALSE),""),"")</f>
        <v/>
      </c>
      <c r="H110" s="59" t="s">
        <v>3277</v>
      </c>
      <c r="I110" s="61"/>
      <c r="J110" s="60" t="s">
        <v>3131</v>
      </c>
      <c r="K110" s="61"/>
      <c r="L110" s="62"/>
      <c r="M110" s="59"/>
      <c r="N110" s="59"/>
      <c r="O110" s="59"/>
      <c r="P110" s="59"/>
      <c r="Q110" s="59"/>
      <c r="R110" s="59"/>
      <c r="S110" s="61"/>
      <c r="T110" s="59" t="e">
        <f>VLOOKUP(T_Equipement[[#This Row],[NumL]],T_TraitDi[#Data],COLUMN(#REF!),FALSE)</f>
        <v>#REF!</v>
      </c>
    </row>
    <row r="111" spans="1:20" ht="24" customHeight="1" x14ac:dyDescent="0.25">
      <c r="A111" s="90">
        <v>142</v>
      </c>
      <c r="B111" s="51" t="str">
        <f>IFERROR(IF(VLOOKUP(T_Equipement[[#This Row],[NumL]],T_suiviDi[#Data],COLUMN(T_suiviDi[Nom]),FALSE)&lt;&gt;"",VLOOKUP(T_Equipement[[#This Row],[NumL]],T_suiviDi[#Data],COLUMN(T_suiviDi[Nom]),FALSE),""),"")</f>
        <v/>
      </c>
      <c r="C111" s="51" t="str">
        <f>IFERROR(IF(VLOOKUP(T_Equipement[[#This Row],[NumL]],T_suiviDi[#Data],COLUMN(T_suiviDi[Prénom]),FALSE)&lt;&gt;"",VLOOKUP(T_Equipement[[#This Row],[NumL]],T_suiviDi[#Data],COLUMN(T_suiviDi[Prénom]),FALSE),""),"")</f>
        <v/>
      </c>
      <c r="D111" s="52" t="str">
        <f>IFERROR(IF(VLOOKUP(T_Equipement[[#This Row],[NumL]],T_suiviDi[#Data],COLUMN(T_suiviDi[Email]),FALSE)&lt;&gt;"",VLOOKUP(T_Equipement[[#This Row],[NumL]],T_suiviDi[#Data],COLUMN(T_suiviDi[Email]),FALSE),""),"")</f>
        <v/>
      </c>
      <c r="E111" s="53" t="str">
        <f>IFERROR(IF(VLOOKUP(T_Equipement[[#This Row],[NumL]],T_suiviDi[#Data],COLUMN(T_suiviDi[Nom1]),FALSE)&lt;&gt;"",VLOOKUP(T_Equipement[[#This Row],[NumL]],T_suiviDi[#Data],COLUMN(T_suiviDi[Nom1]),FALSE),""),"")</f>
        <v/>
      </c>
      <c r="F111" s="53" t="str">
        <f>IFERROR(IF(VLOOKUP(T_Equipement[[#This Row],[NumL]],T_suiviDi[#Data],COLUMN(T_suiviDi[Prénom1]),FALSE)&lt;&gt;"",VLOOKUP(T_Equipement[[#This Row],[NumL]],T_suiviDi[#Data],COLUMN(T_suiviDi[Prénom1]),FALSE),""),"")</f>
        <v/>
      </c>
      <c r="G111" s="53" t="str">
        <f>IFERROR(IF(VLOOKUP(T_Equipement[[#This Row],[NumL]],T_suiviDi[#Data],COLUMN(T_suiviDi[Email1]),FALSE)&lt;&gt;"",VLOOKUP(T_Equipement[[#This Row],[NumL]],T_suiviDi[#Data],COLUMN(T_suiviDi[Email1]),FALSE),""),"")</f>
        <v/>
      </c>
      <c r="H111" s="59" t="s">
        <v>3278</v>
      </c>
      <c r="I111" s="251">
        <v>44165</v>
      </c>
      <c r="J111" s="60" t="s">
        <v>3132</v>
      </c>
      <c r="K111" s="61"/>
      <c r="L111" s="62"/>
      <c r="M111" s="59"/>
      <c r="N111" s="59"/>
      <c r="O111" s="59"/>
      <c r="P111" s="59"/>
      <c r="Q111" s="59"/>
      <c r="R111" s="59"/>
      <c r="S111" s="61"/>
      <c r="T111" s="59" t="e">
        <f>VLOOKUP(T_Equipement[[#This Row],[NumL]],T_TraitDi[#Data],COLUMN(#REF!),FALSE)</f>
        <v>#REF!</v>
      </c>
    </row>
    <row r="112" spans="1:20" ht="24" customHeight="1" x14ac:dyDescent="0.25">
      <c r="A112" s="90">
        <v>229</v>
      </c>
      <c r="B112" s="51" t="str">
        <f>IFERROR(IF(VLOOKUP(T_Equipement[[#This Row],[NumL]],T_suiviDi[#Data],COLUMN(T_suiviDi[Nom]),FALSE)&lt;&gt;"",VLOOKUP(T_Equipement[[#This Row],[NumL]],T_suiviDi[#Data],COLUMN(T_suiviDi[Nom]),FALSE),""),"")</f>
        <v/>
      </c>
      <c r="C112" s="51" t="str">
        <f>IFERROR(IF(VLOOKUP(T_Equipement[[#This Row],[NumL]],T_suiviDi[#Data],COLUMN(T_suiviDi[Prénom]),FALSE)&lt;&gt;"",VLOOKUP(T_Equipement[[#This Row],[NumL]],T_suiviDi[#Data],COLUMN(T_suiviDi[Prénom]),FALSE),""),"")</f>
        <v/>
      </c>
      <c r="D112" s="52" t="str">
        <f>IFERROR(IF(VLOOKUP(T_Equipement[[#This Row],[NumL]],T_suiviDi[#Data],COLUMN(T_suiviDi[Email]),FALSE)&lt;&gt;"",VLOOKUP(T_Equipement[[#This Row],[NumL]],T_suiviDi[#Data],COLUMN(T_suiviDi[Email]),FALSE),""),"")</f>
        <v/>
      </c>
      <c r="E112" s="53" t="str">
        <f>IFERROR(IF(VLOOKUP(T_Equipement[[#This Row],[NumL]],T_suiviDi[#Data],COLUMN(T_suiviDi[Nom1]),FALSE)&lt;&gt;"",VLOOKUP(T_Equipement[[#This Row],[NumL]],T_suiviDi[#Data],COLUMN(T_suiviDi[Nom1]),FALSE),""),"")</f>
        <v/>
      </c>
      <c r="F112" s="53" t="str">
        <f>IFERROR(IF(VLOOKUP(T_Equipement[[#This Row],[NumL]],T_suiviDi[#Data],COLUMN(T_suiviDi[Prénom1]),FALSE)&lt;&gt;"",VLOOKUP(T_Equipement[[#This Row],[NumL]],T_suiviDi[#Data],COLUMN(T_suiviDi[Prénom1]),FALSE),""),"")</f>
        <v/>
      </c>
      <c r="G112" s="53" t="str">
        <f>IFERROR(IF(VLOOKUP(T_Equipement[[#This Row],[NumL]],T_suiviDi[#Data],COLUMN(T_suiviDi[Email1]),FALSE)&lt;&gt;"",VLOOKUP(T_Equipement[[#This Row],[NumL]],T_suiviDi[#Data],COLUMN(T_suiviDi[Email1]),FALSE),""),"")</f>
        <v/>
      </c>
      <c r="H112" s="59" t="s">
        <v>3277</v>
      </c>
      <c r="I112" s="251">
        <v>44165</v>
      </c>
      <c r="J112" s="60" t="s">
        <v>3133</v>
      </c>
      <c r="K112" s="61"/>
      <c r="L112" s="62"/>
      <c r="M112" s="59"/>
      <c r="N112" s="59"/>
      <c r="O112" s="59"/>
      <c r="P112" s="59"/>
      <c r="Q112" s="59"/>
      <c r="R112" s="59"/>
      <c r="S112" s="61"/>
      <c r="T112" s="59" t="e">
        <f>VLOOKUP(T_Equipement[[#This Row],[NumL]],T_TraitDi[#Data],COLUMN(#REF!),FALSE)</f>
        <v>#REF!</v>
      </c>
    </row>
    <row r="113" spans="1:20" ht="24" customHeight="1" x14ac:dyDescent="0.25">
      <c r="A113" s="90">
        <v>95</v>
      </c>
      <c r="B113" s="51" t="str">
        <f>IFERROR(IF(VLOOKUP(T_Equipement[[#This Row],[NumL]],T_suiviDi[#Data],COLUMN(T_suiviDi[Nom]),FALSE)&lt;&gt;"",VLOOKUP(T_Equipement[[#This Row],[NumL]],T_suiviDi[#Data],COLUMN(T_suiviDi[Nom]),FALSE),""),"")</f>
        <v/>
      </c>
      <c r="C113" s="51" t="str">
        <f>IFERROR(IF(VLOOKUP(T_Equipement[[#This Row],[NumL]],T_suiviDi[#Data],COLUMN(T_suiviDi[Prénom]),FALSE)&lt;&gt;"",VLOOKUP(T_Equipement[[#This Row],[NumL]],T_suiviDi[#Data],COLUMN(T_suiviDi[Prénom]),FALSE),""),"")</f>
        <v/>
      </c>
      <c r="D113" s="52" t="str">
        <f>IFERROR(IF(VLOOKUP(T_Equipement[[#This Row],[NumL]],T_suiviDi[#Data],COLUMN(T_suiviDi[Email]),FALSE)&lt;&gt;"",VLOOKUP(T_Equipement[[#This Row],[NumL]],T_suiviDi[#Data],COLUMN(T_suiviDi[Email]),FALSE),""),"")</f>
        <v/>
      </c>
      <c r="E113" s="53" t="str">
        <f>IFERROR(IF(VLOOKUP(T_Equipement[[#This Row],[NumL]],T_suiviDi[#Data],COLUMN(T_suiviDi[Nom1]),FALSE)&lt;&gt;"",VLOOKUP(T_Equipement[[#This Row],[NumL]],T_suiviDi[#Data],COLUMN(T_suiviDi[Nom1]),FALSE),""),"")</f>
        <v/>
      </c>
      <c r="F113" s="53" t="str">
        <f>IFERROR(IF(VLOOKUP(T_Equipement[[#This Row],[NumL]],T_suiviDi[#Data],COLUMN(T_suiviDi[Prénom1]),FALSE)&lt;&gt;"",VLOOKUP(T_Equipement[[#This Row],[NumL]],T_suiviDi[#Data],COLUMN(T_suiviDi[Prénom1]),FALSE),""),"")</f>
        <v/>
      </c>
      <c r="G113" s="53" t="str">
        <f>IFERROR(IF(VLOOKUP(T_Equipement[[#This Row],[NumL]],T_suiviDi[#Data],COLUMN(T_suiviDi[Email1]),FALSE)&lt;&gt;"",VLOOKUP(T_Equipement[[#This Row],[NumL]],T_suiviDi[#Data],COLUMN(T_suiviDi[Email1]),FALSE),""),"")</f>
        <v/>
      </c>
      <c r="H113" s="59"/>
      <c r="I113" s="61"/>
      <c r="J113" s="60" t="s">
        <v>3134</v>
      </c>
      <c r="K113" s="61"/>
      <c r="L113" s="62"/>
      <c r="M113" s="59"/>
      <c r="N113" s="59"/>
      <c r="O113" s="59"/>
      <c r="P113" s="59"/>
      <c r="Q113" s="59"/>
      <c r="R113" s="59"/>
      <c r="S113" s="61"/>
      <c r="T113" s="59" t="e">
        <f>VLOOKUP(T_Equipement[[#This Row],[NumL]],T_TraitDi[#Data],COLUMN(#REF!),FALSE)</f>
        <v>#REF!</v>
      </c>
    </row>
    <row r="114" spans="1:20" ht="24" customHeight="1" x14ac:dyDescent="0.25">
      <c r="A114" s="90">
        <v>65</v>
      </c>
      <c r="B114" s="51" t="str">
        <f>IFERROR(IF(VLOOKUP(T_Equipement[[#This Row],[NumL]],T_suiviDi[#Data],COLUMN(T_suiviDi[Nom]),FALSE)&lt;&gt;"",VLOOKUP(T_Equipement[[#This Row],[NumL]],T_suiviDi[#Data],COLUMN(T_suiviDi[Nom]),FALSE),""),"")</f>
        <v/>
      </c>
      <c r="C114" s="51" t="str">
        <f>IFERROR(IF(VLOOKUP(T_Equipement[[#This Row],[NumL]],T_suiviDi[#Data],COLUMN(T_suiviDi[Prénom]),FALSE)&lt;&gt;"",VLOOKUP(T_Equipement[[#This Row],[NumL]],T_suiviDi[#Data],COLUMN(T_suiviDi[Prénom]),FALSE),""),"")</f>
        <v/>
      </c>
      <c r="D114" s="52" t="str">
        <f>IFERROR(IF(VLOOKUP(T_Equipement[[#This Row],[NumL]],T_suiviDi[#Data],COLUMN(T_suiviDi[Email]),FALSE)&lt;&gt;"",VLOOKUP(T_Equipement[[#This Row],[NumL]],T_suiviDi[#Data],COLUMN(T_suiviDi[Email]),FALSE),""),"")</f>
        <v/>
      </c>
      <c r="E114" s="53" t="str">
        <f>IFERROR(IF(VLOOKUP(T_Equipement[[#This Row],[NumL]],T_suiviDi[#Data],COLUMN(T_suiviDi[Nom1]),FALSE)&lt;&gt;"",VLOOKUP(T_Equipement[[#This Row],[NumL]],T_suiviDi[#Data],COLUMN(T_suiviDi[Nom1]),FALSE),""),"")</f>
        <v/>
      </c>
      <c r="F114" s="53" t="str">
        <f>IFERROR(IF(VLOOKUP(T_Equipement[[#This Row],[NumL]],T_suiviDi[#Data],COLUMN(T_suiviDi[Prénom1]),FALSE)&lt;&gt;"",VLOOKUP(T_Equipement[[#This Row],[NumL]],T_suiviDi[#Data],COLUMN(T_suiviDi[Prénom1]),FALSE),""),"")</f>
        <v/>
      </c>
      <c r="G114" s="53" t="str">
        <f>IFERROR(IF(VLOOKUP(T_Equipement[[#This Row],[NumL]],T_suiviDi[#Data],COLUMN(T_suiviDi[Email1]),FALSE)&lt;&gt;"",VLOOKUP(T_Equipement[[#This Row],[NumL]],T_suiviDi[#Data],COLUMN(T_suiviDi[Email1]),FALSE),""),"")</f>
        <v/>
      </c>
      <c r="H114" s="59" t="s">
        <v>3278</v>
      </c>
      <c r="I114" s="61"/>
      <c r="J114" s="60" t="s">
        <v>3135</v>
      </c>
      <c r="K114" s="61"/>
      <c r="L114" s="62"/>
      <c r="M114" s="59"/>
      <c r="N114" s="59"/>
      <c r="O114" s="59"/>
      <c r="P114" s="59"/>
      <c r="Q114" s="59"/>
      <c r="R114" s="59"/>
      <c r="S114" s="61"/>
      <c r="T114" s="59" t="e">
        <f>VLOOKUP(T_Equipement[[#This Row],[NumL]],T_TraitDi[#Data],COLUMN(#REF!),FALSE)</f>
        <v>#REF!</v>
      </c>
    </row>
    <row r="115" spans="1:20" ht="24" customHeight="1" x14ac:dyDescent="0.25">
      <c r="A115" s="90">
        <v>128</v>
      </c>
      <c r="B115" s="51" t="str">
        <f>IFERROR(IF(VLOOKUP(T_Equipement[[#This Row],[NumL]],T_suiviDi[#Data],COLUMN(T_suiviDi[Nom]),FALSE)&lt;&gt;"",VLOOKUP(T_Equipement[[#This Row],[NumL]],T_suiviDi[#Data],COLUMN(T_suiviDi[Nom]),FALSE),""),"")</f>
        <v/>
      </c>
      <c r="C115" s="51" t="str">
        <f>IFERROR(IF(VLOOKUP(T_Equipement[[#This Row],[NumL]],T_suiviDi[#Data],COLUMN(T_suiviDi[Prénom]),FALSE)&lt;&gt;"",VLOOKUP(T_Equipement[[#This Row],[NumL]],T_suiviDi[#Data],COLUMN(T_suiviDi[Prénom]),FALSE),""),"")</f>
        <v/>
      </c>
      <c r="D115" s="52" t="str">
        <f>IFERROR(IF(VLOOKUP(T_Equipement[[#This Row],[NumL]],T_suiviDi[#Data],COLUMN(T_suiviDi[Email]),FALSE)&lt;&gt;"",VLOOKUP(T_Equipement[[#This Row],[NumL]],T_suiviDi[#Data],COLUMN(T_suiviDi[Email]),FALSE),""),"")</f>
        <v/>
      </c>
      <c r="E115" s="53" t="str">
        <f>IFERROR(IF(VLOOKUP(T_Equipement[[#This Row],[NumL]],T_suiviDi[#Data],COLUMN(T_suiviDi[Nom1]),FALSE)&lt;&gt;"",VLOOKUP(T_Equipement[[#This Row],[NumL]],T_suiviDi[#Data],COLUMN(T_suiviDi[Nom1]),FALSE),""),"")</f>
        <v/>
      </c>
      <c r="F115" s="53" t="str">
        <f>IFERROR(IF(VLOOKUP(T_Equipement[[#This Row],[NumL]],T_suiviDi[#Data],COLUMN(T_suiviDi[Prénom1]),FALSE)&lt;&gt;"",VLOOKUP(T_Equipement[[#This Row],[NumL]],T_suiviDi[#Data],COLUMN(T_suiviDi[Prénom1]),FALSE),""),"")</f>
        <v/>
      </c>
      <c r="G115" s="53" t="str">
        <f>IFERROR(IF(VLOOKUP(T_Equipement[[#This Row],[NumL]],T_suiviDi[#Data],COLUMN(T_suiviDi[Email1]),FALSE)&lt;&gt;"",VLOOKUP(T_Equipement[[#This Row],[NumL]],T_suiviDi[#Data],COLUMN(T_suiviDi[Email1]),FALSE),""),"")</f>
        <v/>
      </c>
      <c r="H115" s="59" t="s">
        <v>3277</v>
      </c>
      <c r="I115" s="61"/>
      <c r="J115" s="60" t="s">
        <v>3136</v>
      </c>
      <c r="K115" s="61"/>
      <c r="L115" s="62"/>
      <c r="M115" s="59"/>
      <c r="N115" s="59"/>
      <c r="O115" s="59"/>
      <c r="P115" s="59"/>
      <c r="Q115" s="59"/>
      <c r="R115" s="59"/>
      <c r="S115" s="61"/>
      <c r="T115" s="59" t="e">
        <f>VLOOKUP(T_Equipement[[#This Row],[NumL]],T_TraitDi[#Data],COLUMN(#REF!),FALSE)</f>
        <v>#REF!</v>
      </c>
    </row>
    <row r="116" spans="1:20" ht="24" customHeight="1" x14ac:dyDescent="0.25">
      <c r="A116" s="90">
        <v>147</v>
      </c>
      <c r="B116" s="51" t="str">
        <f>IFERROR(IF(VLOOKUP(T_Equipement[[#This Row],[NumL]],T_suiviDi[#Data],COLUMN(T_suiviDi[Nom]),FALSE)&lt;&gt;"",VLOOKUP(T_Equipement[[#This Row],[NumL]],T_suiviDi[#Data],COLUMN(T_suiviDi[Nom]),FALSE),""),"")</f>
        <v/>
      </c>
      <c r="C116" s="51" t="str">
        <f>IFERROR(IF(VLOOKUP(T_Equipement[[#This Row],[NumL]],T_suiviDi[#Data],COLUMN(T_suiviDi[Prénom]),FALSE)&lt;&gt;"",VLOOKUP(T_Equipement[[#This Row],[NumL]],T_suiviDi[#Data],COLUMN(T_suiviDi[Prénom]),FALSE),""),"")</f>
        <v/>
      </c>
      <c r="D116" s="52" t="str">
        <f>IFERROR(IF(VLOOKUP(T_Equipement[[#This Row],[NumL]],T_suiviDi[#Data],COLUMN(T_suiviDi[Email]),FALSE)&lt;&gt;"",VLOOKUP(T_Equipement[[#This Row],[NumL]],T_suiviDi[#Data],COLUMN(T_suiviDi[Email]),FALSE),""),"")</f>
        <v/>
      </c>
      <c r="E116" s="53" t="str">
        <f>IFERROR(IF(VLOOKUP(T_Equipement[[#This Row],[NumL]],T_suiviDi[#Data],COLUMN(T_suiviDi[Nom1]),FALSE)&lt;&gt;"",VLOOKUP(T_Equipement[[#This Row],[NumL]],T_suiviDi[#Data],COLUMN(T_suiviDi[Nom1]),FALSE),""),"")</f>
        <v/>
      </c>
      <c r="F116" s="53" t="str">
        <f>IFERROR(IF(VLOOKUP(T_Equipement[[#This Row],[NumL]],T_suiviDi[#Data],COLUMN(T_suiviDi[Prénom1]),FALSE)&lt;&gt;"",VLOOKUP(T_Equipement[[#This Row],[NumL]],T_suiviDi[#Data],COLUMN(T_suiviDi[Prénom1]),FALSE),""),"")</f>
        <v/>
      </c>
      <c r="G116" s="53" t="str">
        <f>IFERROR(IF(VLOOKUP(T_Equipement[[#This Row],[NumL]],T_suiviDi[#Data],COLUMN(T_suiviDi[Email1]),FALSE)&lt;&gt;"",VLOOKUP(T_Equipement[[#This Row],[NumL]],T_suiviDi[#Data],COLUMN(T_suiviDi[Email1]),FALSE),""),"")</f>
        <v/>
      </c>
      <c r="H116" s="59"/>
      <c r="I116" s="61"/>
      <c r="J116" s="60" t="s">
        <v>3137</v>
      </c>
      <c r="K116" s="61"/>
      <c r="L116" s="62"/>
      <c r="M116" s="59"/>
      <c r="N116" s="59"/>
      <c r="O116" s="59"/>
      <c r="P116" s="59"/>
      <c r="Q116" s="59"/>
      <c r="R116" s="59"/>
      <c r="S116" s="61"/>
      <c r="T116" s="59" t="e">
        <f>VLOOKUP(T_Equipement[[#This Row],[NumL]],T_TraitDi[#Data],COLUMN(#REF!),FALSE)</f>
        <v>#REF!</v>
      </c>
    </row>
    <row r="117" spans="1:20" ht="24" customHeight="1" x14ac:dyDescent="0.25">
      <c r="A117" s="90">
        <v>333</v>
      </c>
      <c r="B117" s="51" t="str">
        <f>IFERROR(IF(VLOOKUP(T_Equipement[[#This Row],[NumL]],T_suiviDi[#Data],COLUMN(T_suiviDi[Nom]),FALSE)&lt;&gt;"",VLOOKUP(T_Equipement[[#This Row],[NumL]],T_suiviDi[#Data],COLUMN(T_suiviDi[Nom]),FALSE),""),"")</f>
        <v/>
      </c>
      <c r="C117" s="51" t="str">
        <f>IFERROR(IF(VLOOKUP(T_Equipement[[#This Row],[NumL]],T_suiviDi[#Data],COLUMN(T_suiviDi[Prénom]),FALSE)&lt;&gt;"",VLOOKUP(T_Equipement[[#This Row],[NumL]],T_suiviDi[#Data],COLUMN(T_suiviDi[Prénom]),FALSE),""),"")</f>
        <v/>
      </c>
      <c r="D117" s="52" t="str">
        <f>IFERROR(IF(VLOOKUP(T_Equipement[[#This Row],[NumL]],T_suiviDi[#Data],COLUMN(T_suiviDi[Email]),FALSE)&lt;&gt;"",VLOOKUP(T_Equipement[[#This Row],[NumL]],T_suiviDi[#Data],COLUMN(T_suiviDi[Email]),FALSE),""),"")</f>
        <v/>
      </c>
      <c r="E117" s="53" t="str">
        <f>IFERROR(IF(VLOOKUP(T_Equipement[[#This Row],[NumL]],T_suiviDi[#Data],COLUMN(T_suiviDi[Nom1]),FALSE)&lt;&gt;"",VLOOKUP(T_Equipement[[#This Row],[NumL]],T_suiviDi[#Data],COLUMN(T_suiviDi[Nom1]),FALSE),""),"")</f>
        <v/>
      </c>
      <c r="F117" s="53" t="str">
        <f>IFERROR(IF(VLOOKUP(T_Equipement[[#This Row],[NumL]],T_suiviDi[#Data],COLUMN(T_suiviDi[Prénom1]),FALSE)&lt;&gt;"",VLOOKUP(T_Equipement[[#This Row],[NumL]],T_suiviDi[#Data],COLUMN(T_suiviDi[Prénom1]),FALSE),""),"")</f>
        <v/>
      </c>
      <c r="G117" s="53" t="str">
        <f>IFERROR(IF(VLOOKUP(T_Equipement[[#This Row],[NumL]],T_suiviDi[#Data],COLUMN(T_suiviDi[Email1]),FALSE)&lt;&gt;"",VLOOKUP(T_Equipement[[#This Row],[NumL]],T_suiviDi[#Data],COLUMN(T_suiviDi[Email1]),FALSE),""),"")</f>
        <v/>
      </c>
      <c r="H117" s="59"/>
      <c r="I117" s="61"/>
      <c r="J117" s="60"/>
      <c r="K117" s="61"/>
      <c r="L117" s="62"/>
      <c r="M117" s="59"/>
      <c r="N117" s="59"/>
      <c r="O117" s="59"/>
      <c r="P117" s="59"/>
      <c r="Q117" s="59"/>
      <c r="R117" s="59"/>
      <c r="S117" s="61"/>
      <c r="T117" s="59"/>
    </row>
    <row r="118" spans="1:20" ht="24" customHeight="1" x14ac:dyDescent="0.25">
      <c r="A118" s="90">
        <v>127</v>
      </c>
      <c r="B118" s="51" t="str">
        <f>IFERROR(IF(VLOOKUP(T_Equipement[[#This Row],[NumL]],T_suiviDi[#Data],COLUMN(T_suiviDi[Nom]),FALSE)&lt;&gt;"",VLOOKUP(T_Equipement[[#This Row],[NumL]],T_suiviDi[#Data],COLUMN(T_suiviDi[Nom]),FALSE),""),"")</f>
        <v/>
      </c>
      <c r="C118" s="51" t="str">
        <f>IFERROR(IF(VLOOKUP(T_Equipement[[#This Row],[NumL]],T_suiviDi[#Data],COLUMN(T_suiviDi[Prénom]),FALSE)&lt;&gt;"",VLOOKUP(T_Equipement[[#This Row],[NumL]],T_suiviDi[#Data],COLUMN(T_suiviDi[Prénom]),FALSE),""),"")</f>
        <v/>
      </c>
      <c r="D118" s="52" t="str">
        <f>IFERROR(IF(VLOOKUP(T_Equipement[[#This Row],[NumL]],T_suiviDi[#Data],COLUMN(T_suiviDi[Email]),FALSE)&lt;&gt;"",VLOOKUP(T_Equipement[[#This Row],[NumL]],T_suiviDi[#Data],COLUMN(T_suiviDi[Email]),FALSE),""),"")</f>
        <v/>
      </c>
      <c r="E118" s="53" t="str">
        <f>IFERROR(IF(VLOOKUP(T_Equipement[[#This Row],[NumL]],T_suiviDi[#Data],COLUMN(T_suiviDi[Nom1]),FALSE)&lt;&gt;"",VLOOKUP(T_Equipement[[#This Row],[NumL]],T_suiviDi[#Data],COLUMN(T_suiviDi[Nom1]),FALSE),""),"")</f>
        <v/>
      </c>
      <c r="F118" s="53" t="str">
        <f>IFERROR(IF(VLOOKUP(T_Equipement[[#This Row],[NumL]],T_suiviDi[#Data],COLUMN(T_suiviDi[Prénom1]),FALSE)&lt;&gt;"",VLOOKUP(T_Equipement[[#This Row],[NumL]],T_suiviDi[#Data],COLUMN(T_suiviDi[Prénom1]),FALSE),""),"")</f>
        <v/>
      </c>
      <c r="G118" s="53" t="str">
        <f>IFERROR(IF(VLOOKUP(T_Equipement[[#This Row],[NumL]],T_suiviDi[#Data],COLUMN(T_suiviDi[Email1]),FALSE)&lt;&gt;"",VLOOKUP(T_Equipement[[#This Row],[NumL]],T_suiviDi[#Data],COLUMN(T_suiviDi[Email1]),FALSE),""),"")</f>
        <v/>
      </c>
      <c r="H118" s="59"/>
      <c r="I118" s="61"/>
      <c r="J118" s="60" t="s">
        <v>3138</v>
      </c>
      <c r="K118" s="61"/>
      <c r="L118" s="62"/>
      <c r="M118" s="59"/>
      <c r="N118" s="59"/>
      <c r="O118" s="59"/>
      <c r="P118" s="59"/>
      <c r="Q118" s="59"/>
      <c r="R118" s="59"/>
      <c r="S118" s="61"/>
      <c r="T118" s="59" t="e">
        <f>VLOOKUP(T_Equipement[[#This Row],[NumL]],T_TraitDi[#Data],COLUMN(#REF!),FALSE)</f>
        <v>#REF!</v>
      </c>
    </row>
    <row r="119" spans="1:20" ht="24" customHeight="1" x14ac:dyDescent="0.25">
      <c r="A119" s="90">
        <v>254</v>
      </c>
      <c r="B119" s="51" t="str">
        <f>IFERROR(IF(VLOOKUP(T_Equipement[[#This Row],[NumL]],T_suiviDi[#Data],COLUMN(T_suiviDi[Nom]),FALSE)&lt;&gt;"",VLOOKUP(T_Equipement[[#This Row],[NumL]],T_suiviDi[#Data],COLUMN(T_suiviDi[Nom]),FALSE),""),"")</f>
        <v/>
      </c>
      <c r="C119" s="51" t="str">
        <f>IFERROR(IF(VLOOKUP(T_Equipement[[#This Row],[NumL]],T_suiviDi[#Data],COLUMN(T_suiviDi[Prénom]),FALSE)&lt;&gt;"",VLOOKUP(T_Equipement[[#This Row],[NumL]],T_suiviDi[#Data],COLUMN(T_suiviDi[Prénom]),FALSE),""),"")</f>
        <v/>
      </c>
      <c r="D119" s="52" t="str">
        <f>IFERROR(IF(VLOOKUP(T_Equipement[[#This Row],[NumL]],T_suiviDi[#Data],COLUMN(T_suiviDi[Email]),FALSE)&lt;&gt;"",VLOOKUP(T_Equipement[[#This Row],[NumL]],T_suiviDi[#Data],COLUMN(T_suiviDi[Email]),FALSE),""),"")</f>
        <v/>
      </c>
      <c r="E119" s="53" t="str">
        <f>IFERROR(IF(VLOOKUP(T_Equipement[[#This Row],[NumL]],T_suiviDi[#Data],COLUMN(T_suiviDi[Nom1]),FALSE)&lt;&gt;"",VLOOKUP(T_Equipement[[#This Row],[NumL]],T_suiviDi[#Data],COLUMN(T_suiviDi[Nom1]),FALSE),""),"")</f>
        <v/>
      </c>
      <c r="F119" s="53" t="str">
        <f>IFERROR(IF(VLOOKUP(T_Equipement[[#This Row],[NumL]],T_suiviDi[#Data],COLUMN(T_suiviDi[Prénom1]),FALSE)&lt;&gt;"",VLOOKUP(T_Equipement[[#This Row],[NumL]],T_suiviDi[#Data],COLUMN(T_suiviDi[Prénom1]),FALSE),""),"")</f>
        <v/>
      </c>
      <c r="G119" s="53" t="str">
        <f>IFERROR(IF(VLOOKUP(T_Equipement[[#This Row],[NumL]],T_suiviDi[#Data],COLUMN(T_suiviDi[Email1]),FALSE)&lt;&gt;"",VLOOKUP(T_Equipement[[#This Row],[NumL]],T_suiviDi[#Data],COLUMN(T_suiviDi[Email1]),FALSE),""),"")</f>
        <v/>
      </c>
      <c r="H119" s="59" t="s">
        <v>3277</v>
      </c>
      <c r="I119" s="251">
        <v>44165</v>
      </c>
      <c r="J119" s="60" t="s">
        <v>3139</v>
      </c>
      <c r="K119" s="61"/>
      <c r="L119" s="62"/>
      <c r="M119" s="59"/>
      <c r="N119" s="59"/>
      <c r="O119" s="59"/>
      <c r="P119" s="59"/>
      <c r="Q119" s="59"/>
      <c r="R119" s="59"/>
      <c r="S119" s="61"/>
      <c r="T119" s="59" t="e">
        <f>VLOOKUP(T_Equipement[[#This Row],[NumL]],T_TraitDi[#Data],COLUMN(#REF!),FALSE)</f>
        <v>#REF!</v>
      </c>
    </row>
    <row r="120" spans="1:20" ht="24" customHeight="1" x14ac:dyDescent="0.25">
      <c r="A120" s="90">
        <v>305</v>
      </c>
      <c r="B120" s="51" t="str">
        <f>IFERROR(IF(VLOOKUP(T_Equipement[[#This Row],[NumL]],T_suiviDi[#Data],COLUMN(T_suiviDi[Nom]),FALSE)&lt;&gt;"",VLOOKUP(T_Equipement[[#This Row],[NumL]],T_suiviDi[#Data],COLUMN(T_suiviDi[Nom]),FALSE),""),"")</f>
        <v/>
      </c>
      <c r="C120" s="51" t="str">
        <f>IFERROR(IF(VLOOKUP(T_Equipement[[#This Row],[NumL]],T_suiviDi[#Data],COLUMN(T_suiviDi[Prénom]),FALSE)&lt;&gt;"",VLOOKUP(T_Equipement[[#This Row],[NumL]],T_suiviDi[#Data],COLUMN(T_suiviDi[Prénom]),FALSE),""),"")</f>
        <v/>
      </c>
      <c r="D120" s="52" t="str">
        <f>IFERROR(IF(VLOOKUP(T_Equipement[[#This Row],[NumL]],T_suiviDi[#Data],COLUMN(T_suiviDi[Email]),FALSE)&lt;&gt;"",VLOOKUP(T_Equipement[[#This Row],[NumL]],T_suiviDi[#Data],COLUMN(T_suiviDi[Email]),FALSE),""),"")</f>
        <v/>
      </c>
      <c r="E120" s="53" t="str">
        <f>IFERROR(IF(VLOOKUP(T_Equipement[[#This Row],[NumL]],T_suiviDi[#Data],COLUMN(T_suiviDi[Nom1]),FALSE)&lt;&gt;"",VLOOKUP(T_Equipement[[#This Row],[NumL]],T_suiviDi[#Data],COLUMN(T_suiviDi[Nom1]),FALSE),""),"")</f>
        <v/>
      </c>
      <c r="F120" s="53" t="str">
        <f>IFERROR(IF(VLOOKUP(T_Equipement[[#This Row],[NumL]],T_suiviDi[#Data],COLUMN(T_suiviDi[Prénom1]),FALSE)&lt;&gt;"",VLOOKUP(T_Equipement[[#This Row],[NumL]],T_suiviDi[#Data],COLUMN(T_suiviDi[Prénom1]),FALSE),""),"")</f>
        <v/>
      </c>
      <c r="G120" s="53" t="str">
        <f>IFERROR(IF(VLOOKUP(T_Equipement[[#This Row],[NumL]],T_suiviDi[#Data],COLUMN(T_suiviDi[Email1]),FALSE)&lt;&gt;"",VLOOKUP(T_Equipement[[#This Row],[NumL]],T_suiviDi[#Data],COLUMN(T_suiviDi[Email1]),FALSE),""),"")</f>
        <v/>
      </c>
      <c r="H120" s="59"/>
      <c r="I120" s="61"/>
      <c r="J120" s="60"/>
      <c r="K120" s="61"/>
      <c r="L120" s="62"/>
      <c r="M120" s="59"/>
      <c r="N120" s="59"/>
      <c r="O120" s="59"/>
      <c r="P120" s="59"/>
      <c r="Q120" s="59"/>
      <c r="R120" s="59"/>
      <c r="S120" s="61"/>
      <c r="T120" s="59"/>
    </row>
    <row r="121" spans="1:20" ht="24" customHeight="1" x14ac:dyDescent="0.25">
      <c r="A121" s="90">
        <v>326</v>
      </c>
      <c r="B121" s="51" t="str">
        <f>IFERROR(IF(VLOOKUP(T_Equipement[[#This Row],[NumL]],T_suiviDi[#Data],COLUMN(T_suiviDi[Nom]),FALSE)&lt;&gt;"",VLOOKUP(T_Equipement[[#This Row],[NumL]],T_suiviDi[#Data],COLUMN(T_suiviDi[Nom]),FALSE),""),"")</f>
        <v/>
      </c>
      <c r="C121" s="51" t="str">
        <f>IFERROR(IF(VLOOKUP(T_Equipement[[#This Row],[NumL]],T_suiviDi[#Data],COLUMN(T_suiviDi[Prénom]),FALSE)&lt;&gt;"",VLOOKUP(T_Equipement[[#This Row],[NumL]],T_suiviDi[#Data],COLUMN(T_suiviDi[Prénom]),FALSE),""),"")</f>
        <v/>
      </c>
      <c r="D121" s="52" t="str">
        <f>IFERROR(IF(VLOOKUP(T_Equipement[[#This Row],[NumL]],T_suiviDi[#Data],COLUMN(T_suiviDi[Email]),FALSE)&lt;&gt;"",VLOOKUP(T_Equipement[[#This Row],[NumL]],T_suiviDi[#Data],COLUMN(T_suiviDi[Email]),FALSE),""),"")</f>
        <v/>
      </c>
      <c r="E121" s="53" t="str">
        <f>IFERROR(IF(VLOOKUP(T_Equipement[[#This Row],[NumL]],T_suiviDi[#Data],COLUMN(T_suiviDi[Nom1]),FALSE)&lt;&gt;"",VLOOKUP(T_Equipement[[#This Row],[NumL]],T_suiviDi[#Data],COLUMN(T_suiviDi[Nom1]),FALSE),""),"")</f>
        <v/>
      </c>
      <c r="F121" s="53" t="str">
        <f>IFERROR(IF(VLOOKUP(T_Equipement[[#This Row],[NumL]],T_suiviDi[#Data],COLUMN(T_suiviDi[Prénom1]),FALSE)&lt;&gt;"",VLOOKUP(T_Equipement[[#This Row],[NumL]],T_suiviDi[#Data],COLUMN(T_suiviDi[Prénom1]),FALSE),""),"")</f>
        <v/>
      </c>
      <c r="G121" s="53" t="str">
        <f>IFERROR(IF(VLOOKUP(T_Equipement[[#This Row],[NumL]],T_suiviDi[#Data],COLUMN(T_suiviDi[Email1]),FALSE)&lt;&gt;"",VLOOKUP(T_Equipement[[#This Row],[NumL]],T_suiviDi[#Data],COLUMN(T_suiviDi[Email1]),FALSE),""),"")</f>
        <v/>
      </c>
      <c r="H121" s="59"/>
      <c r="I121" s="61"/>
      <c r="J121" s="60"/>
      <c r="K121" s="61"/>
      <c r="L121" s="62"/>
      <c r="M121" s="59"/>
      <c r="N121" s="59"/>
      <c r="O121" s="59"/>
      <c r="P121" s="59"/>
      <c r="Q121" s="59"/>
      <c r="R121" s="59"/>
      <c r="S121" s="61"/>
      <c r="T121" s="59"/>
    </row>
    <row r="122" spans="1:20" ht="24" customHeight="1" x14ac:dyDescent="0.25">
      <c r="A122" s="90">
        <v>343</v>
      </c>
      <c r="B122" s="51" t="str">
        <f>IFERROR(IF(VLOOKUP(T_Equipement[[#This Row],[NumL]],T_suiviDi[#Data],COLUMN(T_suiviDi[Nom]),FALSE)&lt;&gt;"",VLOOKUP(T_Equipement[[#This Row],[NumL]],T_suiviDi[#Data],COLUMN(T_suiviDi[Nom]),FALSE),""),"")</f>
        <v/>
      </c>
      <c r="C122" s="51" t="str">
        <f>IFERROR(IF(VLOOKUP(T_Equipement[[#This Row],[NumL]],T_suiviDi[#Data],COLUMN(T_suiviDi[Prénom]),FALSE)&lt;&gt;"",VLOOKUP(T_Equipement[[#This Row],[NumL]],T_suiviDi[#Data],COLUMN(T_suiviDi[Prénom]),FALSE),""),"")</f>
        <v/>
      </c>
      <c r="D122" s="52" t="str">
        <f>IFERROR(IF(VLOOKUP(T_Equipement[[#This Row],[NumL]],T_suiviDi[#Data],COLUMN(T_suiviDi[Email]),FALSE)&lt;&gt;"",VLOOKUP(T_Equipement[[#This Row],[NumL]],T_suiviDi[#Data],COLUMN(T_suiviDi[Email]),FALSE),""),"")</f>
        <v/>
      </c>
      <c r="E122" s="53" t="str">
        <f>IFERROR(IF(VLOOKUP(T_Equipement[[#This Row],[NumL]],T_suiviDi[#Data],COLUMN(T_suiviDi[Nom1]),FALSE)&lt;&gt;"",VLOOKUP(T_Equipement[[#This Row],[NumL]],T_suiviDi[#Data],COLUMN(T_suiviDi[Nom1]),FALSE),""),"")</f>
        <v/>
      </c>
      <c r="F122" s="53" t="str">
        <f>IFERROR(IF(VLOOKUP(T_Equipement[[#This Row],[NumL]],T_suiviDi[#Data],COLUMN(T_suiviDi[Prénom1]),FALSE)&lt;&gt;"",VLOOKUP(T_Equipement[[#This Row],[NumL]],T_suiviDi[#Data],COLUMN(T_suiviDi[Prénom1]),FALSE),""),"")</f>
        <v/>
      </c>
      <c r="G122" s="53" t="str">
        <f>IFERROR(IF(VLOOKUP(T_Equipement[[#This Row],[NumL]],T_suiviDi[#Data],COLUMN(T_suiviDi[Email1]),FALSE)&lt;&gt;"",VLOOKUP(T_Equipement[[#This Row],[NumL]],T_suiviDi[#Data],COLUMN(T_suiviDi[Email1]),FALSE),""),"")</f>
        <v/>
      </c>
      <c r="H122" s="59"/>
      <c r="I122" s="61"/>
      <c r="J122" s="60"/>
      <c r="K122" s="61"/>
      <c r="L122" s="62"/>
      <c r="M122" s="59"/>
      <c r="N122" s="59"/>
      <c r="O122" s="59"/>
      <c r="P122" s="59"/>
      <c r="Q122" s="59"/>
      <c r="R122" s="59"/>
      <c r="S122" s="61"/>
      <c r="T122" s="59"/>
    </row>
    <row r="123" spans="1:20" ht="24" customHeight="1" x14ac:dyDescent="0.25">
      <c r="A123" s="90">
        <v>29</v>
      </c>
      <c r="B123" s="51" t="str">
        <f>IFERROR(IF(VLOOKUP(T_Equipement[[#This Row],[NumL]],T_suiviDi[#Data],COLUMN(T_suiviDi[Nom]),FALSE)&lt;&gt;"",VLOOKUP(T_Equipement[[#This Row],[NumL]],T_suiviDi[#Data],COLUMN(T_suiviDi[Nom]),FALSE),""),"")</f>
        <v/>
      </c>
      <c r="C123" s="51" t="str">
        <f>IFERROR(IF(VLOOKUP(T_Equipement[[#This Row],[NumL]],T_suiviDi[#Data],COLUMN(T_suiviDi[Prénom]),FALSE)&lt;&gt;"",VLOOKUP(T_Equipement[[#This Row],[NumL]],T_suiviDi[#Data],COLUMN(T_suiviDi[Prénom]),FALSE),""),"")</f>
        <v/>
      </c>
      <c r="D123" s="52" t="str">
        <f>IFERROR(IF(VLOOKUP(T_Equipement[[#This Row],[NumL]],T_suiviDi[#Data],COLUMN(T_suiviDi[Email]),FALSE)&lt;&gt;"",VLOOKUP(T_Equipement[[#This Row],[NumL]],T_suiviDi[#Data],COLUMN(T_suiviDi[Email]),FALSE),""),"")</f>
        <v/>
      </c>
      <c r="E123" s="53" t="str">
        <f>IFERROR(IF(VLOOKUP(T_Equipement[[#This Row],[NumL]],T_suiviDi[#Data],COLUMN(T_suiviDi[Nom1]),FALSE)&lt;&gt;"",VLOOKUP(T_Equipement[[#This Row],[NumL]],T_suiviDi[#Data],COLUMN(T_suiviDi[Nom1]),FALSE),""),"")</f>
        <v/>
      </c>
      <c r="F123" s="53" t="str">
        <f>IFERROR(IF(VLOOKUP(T_Equipement[[#This Row],[NumL]],T_suiviDi[#Data],COLUMN(T_suiviDi[Prénom1]),FALSE)&lt;&gt;"",VLOOKUP(T_Equipement[[#This Row],[NumL]],T_suiviDi[#Data],COLUMN(T_suiviDi[Prénom1]),FALSE),""),"")</f>
        <v/>
      </c>
      <c r="G123" s="53" t="str">
        <f>IFERROR(IF(VLOOKUP(T_Equipement[[#This Row],[NumL]],T_suiviDi[#Data],COLUMN(T_suiviDi[Email1]),FALSE)&lt;&gt;"",VLOOKUP(T_Equipement[[#This Row],[NumL]],T_suiviDi[#Data],COLUMN(T_suiviDi[Email1]),FALSE),""),"")</f>
        <v/>
      </c>
      <c r="H123" s="59" t="s">
        <v>3277</v>
      </c>
      <c r="I123" s="251">
        <v>44165</v>
      </c>
      <c r="J123" s="60" t="s">
        <v>3140</v>
      </c>
      <c r="K123" s="61"/>
      <c r="L123" s="62"/>
      <c r="M123" s="59"/>
      <c r="N123" s="59"/>
      <c r="O123" s="59"/>
      <c r="P123" s="59"/>
      <c r="Q123" s="59"/>
      <c r="R123" s="59"/>
      <c r="S123" s="61"/>
      <c r="T123" s="59" t="e">
        <f>VLOOKUP(T_Equipement[[#This Row],[NumL]],T_TraitDi[#Data],COLUMN(#REF!),FALSE)</f>
        <v>#REF!</v>
      </c>
    </row>
    <row r="124" spans="1:20" ht="24" customHeight="1" x14ac:dyDescent="0.25">
      <c r="A124" s="90">
        <v>348</v>
      </c>
      <c r="B124" s="51" t="str">
        <f>IFERROR(IF(VLOOKUP(T_Equipement[[#This Row],[NumL]],T_suiviDi[#Data],COLUMN(T_suiviDi[Nom]),FALSE)&lt;&gt;"",VLOOKUP(T_Equipement[[#This Row],[NumL]],T_suiviDi[#Data],COLUMN(T_suiviDi[Nom]),FALSE),""),"")</f>
        <v/>
      </c>
      <c r="C124" s="51" t="str">
        <f>IFERROR(IF(VLOOKUP(T_Equipement[[#This Row],[NumL]],T_suiviDi[#Data],COLUMN(T_suiviDi[Prénom]),FALSE)&lt;&gt;"",VLOOKUP(T_Equipement[[#This Row],[NumL]],T_suiviDi[#Data],COLUMN(T_suiviDi[Prénom]),FALSE),""),"")</f>
        <v/>
      </c>
      <c r="D124" s="52" t="str">
        <f>IFERROR(IF(VLOOKUP(T_Equipement[[#This Row],[NumL]],T_suiviDi[#Data],COLUMN(T_suiviDi[Email]),FALSE)&lt;&gt;"",VLOOKUP(T_Equipement[[#This Row],[NumL]],T_suiviDi[#Data],COLUMN(T_suiviDi[Email]),FALSE),""),"")</f>
        <v/>
      </c>
      <c r="E124" s="53" t="str">
        <f>IFERROR(IF(VLOOKUP(T_Equipement[[#This Row],[NumL]],T_suiviDi[#Data],COLUMN(T_suiviDi[Nom1]),FALSE)&lt;&gt;"",VLOOKUP(T_Equipement[[#This Row],[NumL]],T_suiviDi[#Data],COLUMN(T_suiviDi[Nom1]),FALSE),""),"")</f>
        <v/>
      </c>
      <c r="F124" s="53" t="str">
        <f>IFERROR(IF(VLOOKUP(T_Equipement[[#This Row],[NumL]],T_suiviDi[#Data],COLUMN(T_suiviDi[Prénom1]),FALSE)&lt;&gt;"",VLOOKUP(T_Equipement[[#This Row],[NumL]],T_suiviDi[#Data],COLUMN(T_suiviDi[Prénom1]),FALSE),""),"")</f>
        <v/>
      </c>
      <c r="G124" s="53" t="str">
        <f>IFERROR(IF(VLOOKUP(T_Equipement[[#This Row],[NumL]],T_suiviDi[#Data],COLUMN(T_suiviDi[Email1]),FALSE)&lt;&gt;"",VLOOKUP(T_Equipement[[#This Row],[NumL]],T_suiviDi[#Data],COLUMN(T_suiviDi[Email1]),FALSE),""),"")</f>
        <v/>
      </c>
      <c r="H124" s="59"/>
      <c r="I124" s="61"/>
      <c r="J124" s="60"/>
      <c r="K124" s="61"/>
      <c r="L124" s="62"/>
      <c r="M124" s="59"/>
      <c r="N124" s="59"/>
      <c r="O124" s="59"/>
      <c r="P124" s="59"/>
      <c r="Q124" s="59"/>
      <c r="R124" s="59"/>
      <c r="S124" s="61"/>
      <c r="T124" s="59"/>
    </row>
    <row r="125" spans="1:20" ht="24" customHeight="1" x14ac:dyDescent="0.25">
      <c r="A125" s="90">
        <v>265</v>
      </c>
      <c r="B125" s="51" t="str">
        <f>IFERROR(IF(VLOOKUP(T_Equipement[[#This Row],[NumL]],T_suiviDi[#Data],COLUMN(T_suiviDi[Nom]),FALSE)&lt;&gt;"",VLOOKUP(T_Equipement[[#This Row],[NumL]],T_suiviDi[#Data],COLUMN(T_suiviDi[Nom]),FALSE),""),"")</f>
        <v/>
      </c>
      <c r="C125" s="51" t="str">
        <f>IFERROR(IF(VLOOKUP(T_Equipement[[#This Row],[NumL]],T_suiviDi[#Data],COLUMN(T_suiviDi[Prénom]),FALSE)&lt;&gt;"",VLOOKUP(T_Equipement[[#This Row],[NumL]],T_suiviDi[#Data],COLUMN(T_suiviDi[Prénom]),FALSE),""),"")</f>
        <v/>
      </c>
      <c r="D125" s="52" t="str">
        <f>IFERROR(IF(VLOOKUP(T_Equipement[[#This Row],[NumL]],T_suiviDi[#Data],COLUMN(T_suiviDi[Email]),FALSE)&lt;&gt;"",VLOOKUP(T_Equipement[[#This Row],[NumL]],T_suiviDi[#Data],COLUMN(T_suiviDi[Email]),FALSE),""),"")</f>
        <v/>
      </c>
      <c r="E125" s="53" t="str">
        <f>IFERROR(IF(VLOOKUP(T_Equipement[[#This Row],[NumL]],T_suiviDi[#Data],COLUMN(T_suiviDi[Nom1]),FALSE)&lt;&gt;"",VLOOKUP(T_Equipement[[#This Row],[NumL]],T_suiviDi[#Data],COLUMN(T_suiviDi[Nom1]),FALSE),""),"")</f>
        <v/>
      </c>
      <c r="F125" s="53" t="str">
        <f>IFERROR(IF(VLOOKUP(T_Equipement[[#This Row],[NumL]],T_suiviDi[#Data],COLUMN(T_suiviDi[Prénom1]),FALSE)&lt;&gt;"",VLOOKUP(T_Equipement[[#This Row],[NumL]],T_suiviDi[#Data],COLUMN(T_suiviDi[Prénom1]),FALSE),""),"")</f>
        <v/>
      </c>
      <c r="G125" s="53" t="str">
        <f>IFERROR(IF(VLOOKUP(T_Equipement[[#This Row],[NumL]],T_suiviDi[#Data],COLUMN(T_suiviDi[Email1]),FALSE)&lt;&gt;"",VLOOKUP(T_Equipement[[#This Row],[NumL]],T_suiviDi[#Data],COLUMN(T_suiviDi[Email1]),FALSE),""),"")</f>
        <v/>
      </c>
      <c r="H125" s="59" t="s">
        <v>3278</v>
      </c>
      <c r="I125" s="251">
        <v>44165</v>
      </c>
      <c r="J125" s="60" t="s">
        <v>3141</v>
      </c>
      <c r="K125" s="61"/>
      <c r="L125" s="62"/>
      <c r="M125" s="59"/>
      <c r="N125" s="59"/>
      <c r="O125" s="59"/>
      <c r="P125" s="59"/>
      <c r="Q125" s="59"/>
      <c r="R125" s="59"/>
      <c r="S125" s="61"/>
      <c r="T125" s="59" t="e">
        <f>VLOOKUP(T_Equipement[[#This Row],[NumL]],T_TraitDi[#Data],COLUMN(#REF!),FALSE)</f>
        <v>#REF!</v>
      </c>
    </row>
    <row r="126" spans="1:20" ht="24" customHeight="1" x14ac:dyDescent="0.25">
      <c r="A126" s="90">
        <v>263</v>
      </c>
      <c r="B126" s="51" t="str">
        <f>IFERROR(IF(VLOOKUP(T_Equipement[[#This Row],[NumL]],T_suiviDi[#Data],COLUMN(T_suiviDi[Nom]),FALSE)&lt;&gt;"",VLOOKUP(T_Equipement[[#This Row],[NumL]],T_suiviDi[#Data],COLUMN(T_suiviDi[Nom]),FALSE),""),"")</f>
        <v/>
      </c>
      <c r="C126" s="51" t="str">
        <f>IFERROR(IF(VLOOKUP(T_Equipement[[#This Row],[NumL]],T_suiviDi[#Data],COLUMN(T_suiviDi[Prénom]),FALSE)&lt;&gt;"",VLOOKUP(T_Equipement[[#This Row],[NumL]],T_suiviDi[#Data],COLUMN(T_suiviDi[Prénom]),FALSE),""),"")</f>
        <v/>
      </c>
      <c r="D126" s="52" t="str">
        <f>IFERROR(IF(VLOOKUP(T_Equipement[[#This Row],[NumL]],T_suiviDi[#Data],COLUMN(T_suiviDi[Email]),FALSE)&lt;&gt;"",VLOOKUP(T_Equipement[[#This Row],[NumL]],T_suiviDi[#Data],COLUMN(T_suiviDi[Email]),FALSE),""),"")</f>
        <v/>
      </c>
      <c r="E126" s="53" t="str">
        <f>IFERROR(IF(VLOOKUP(T_Equipement[[#This Row],[NumL]],T_suiviDi[#Data],COLUMN(T_suiviDi[Nom1]),FALSE)&lt;&gt;"",VLOOKUP(T_Equipement[[#This Row],[NumL]],T_suiviDi[#Data],COLUMN(T_suiviDi[Nom1]),FALSE),""),"")</f>
        <v/>
      </c>
      <c r="F126" s="53" t="str">
        <f>IFERROR(IF(VLOOKUP(T_Equipement[[#This Row],[NumL]],T_suiviDi[#Data],COLUMN(T_suiviDi[Prénom1]),FALSE)&lt;&gt;"",VLOOKUP(T_Equipement[[#This Row],[NumL]],T_suiviDi[#Data],COLUMN(T_suiviDi[Prénom1]),FALSE),""),"")</f>
        <v/>
      </c>
      <c r="G126" s="53" t="str">
        <f>IFERROR(IF(VLOOKUP(T_Equipement[[#This Row],[NumL]],T_suiviDi[#Data],COLUMN(T_suiviDi[Email1]),FALSE)&lt;&gt;"",VLOOKUP(T_Equipement[[#This Row],[NumL]],T_suiviDi[#Data],COLUMN(T_suiviDi[Email1]),FALSE),""),"")</f>
        <v/>
      </c>
      <c r="H126" s="59" t="s">
        <v>3278</v>
      </c>
      <c r="I126" s="251"/>
      <c r="J126" s="60" t="s">
        <v>3142</v>
      </c>
      <c r="K126" s="61"/>
      <c r="L126" s="62"/>
      <c r="M126" s="59"/>
      <c r="N126" s="59"/>
      <c r="O126" s="59"/>
      <c r="P126" s="59"/>
      <c r="Q126" s="59"/>
      <c r="R126" s="59"/>
      <c r="S126" s="61"/>
      <c r="T126" s="59" t="e">
        <f>VLOOKUP(T_Equipement[[#This Row],[NumL]],T_TraitDi[#Data],COLUMN(#REF!),FALSE)</f>
        <v>#REF!</v>
      </c>
    </row>
    <row r="127" spans="1:20" ht="24" customHeight="1" x14ac:dyDescent="0.25">
      <c r="A127" s="90">
        <v>215</v>
      </c>
      <c r="B127" s="51" t="str">
        <f>IFERROR(IF(VLOOKUP(T_Equipement[[#This Row],[NumL]],T_suiviDi[#Data],COLUMN(T_suiviDi[Nom]),FALSE)&lt;&gt;"",VLOOKUP(T_Equipement[[#This Row],[NumL]],T_suiviDi[#Data],COLUMN(T_suiviDi[Nom]),FALSE),""),"")</f>
        <v/>
      </c>
      <c r="C127" s="51" t="str">
        <f>IFERROR(IF(VLOOKUP(T_Equipement[[#This Row],[NumL]],T_suiviDi[#Data],COLUMN(T_suiviDi[Prénom]),FALSE)&lt;&gt;"",VLOOKUP(T_Equipement[[#This Row],[NumL]],T_suiviDi[#Data],COLUMN(T_suiviDi[Prénom]),FALSE),""),"")</f>
        <v/>
      </c>
      <c r="D127" s="52" t="str">
        <f>IFERROR(IF(VLOOKUP(T_Equipement[[#This Row],[NumL]],T_suiviDi[#Data],COLUMN(T_suiviDi[Email]),FALSE)&lt;&gt;"",VLOOKUP(T_Equipement[[#This Row],[NumL]],T_suiviDi[#Data],COLUMN(T_suiviDi[Email]),FALSE),""),"")</f>
        <v/>
      </c>
      <c r="E127" s="53" t="str">
        <f>IFERROR(IF(VLOOKUP(T_Equipement[[#This Row],[NumL]],T_suiviDi[#Data],COLUMN(T_suiviDi[Nom1]),FALSE)&lt;&gt;"",VLOOKUP(T_Equipement[[#This Row],[NumL]],T_suiviDi[#Data],COLUMN(T_suiviDi[Nom1]),FALSE),""),"")</f>
        <v/>
      </c>
      <c r="F127" s="53" t="str">
        <f>IFERROR(IF(VLOOKUP(T_Equipement[[#This Row],[NumL]],T_suiviDi[#Data],COLUMN(T_suiviDi[Prénom1]),FALSE)&lt;&gt;"",VLOOKUP(T_Equipement[[#This Row],[NumL]],T_suiviDi[#Data],COLUMN(T_suiviDi[Prénom1]),FALSE),""),"")</f>
        <v/>
      </c>
      <c r="G127" s="53" t="str">
        <f>IFERROR(IF(VLOOKUP(T_Equipement[[#This Row],[NumL]],T_suiviDi[#Data],COLUMN(T_suiviDi[Email1]),FALSE)&lt;&gt;"",VLOOKUP(T_Equipement[[#This Row],[NumL]],T_suiviDi[#Data],COLUMN(T_suiviDi[Email1]),FALSE),""),"")</f>
        <v/>
      </c>
      <c r="H127" s="59" t="s">
        <v>3277</v>
      </c>
      <c r="I127" s="251">
        <v>44165</v>
      </c>
      <c r="J127" s="253" t="s">
        <v>3279</v>
      </c>
      <c r="K127" s="61"/>
      <c r="L127" s="62"/>
      <c r="M127" s="59"/>
      <c r="N127" s="59"/>
      <c r="O127" s="59"/>
      <c r="P127" s="59"/>
      <c r="Q127" s="59"/>
      <c r="R127" s="59"/>
      <c r="S127" s="61"/>
      <c r="T127" s="59" t="e">
        <f>VLOOKUP(T_Equipement[[#This Row],[NumL]],T_TraitDi[#Data],COLUMN(#REF!),FALSE)</f>
        <v>#REF!</v>
      </c>
    </row>
    <row r="128" spans="1:20" ht="24" customHeight="1" x14ac:dyDescent="0.25">
      <c r="A128" s="90">
        <v>55</v>
      </c>
      <c r="B128" s="51" t="str">
        <f>IFERROR(IF(VLOOKUP(T_Equipement[[#This Row],[NumL]],T_suiviDi[#Data],COLUMN(T_suiviDi[Nom]),FALSE)&lt;&gt;"",VLOOKUP(T_Equipement[[#This Row],[NumL]],T_suiviDi[#Data],COLUMN(T_suiviDi[Nom]),FALSE),""),"")</f>
        <v/>
      </c>
      <c r="C128" s="51" t="str">
        <f>IFERROR(IF(VLOOKUP(T_Equipement[[#This Row],[NumL]],T_suiviDi[#Data],COLUMN(T_suiviDi[Prénom]),FALSE)&lt;&gt;"",VLOOKUP(T_Equipement[[#This Row],[NumL]],T_suiviDi[#Data],COLUMN(T_suiviDi[Prénom]),FALSE),""),"")</f>
        <v/>
      </c>
      <c r="D128" s="52" t="str">
        <f>IFERROR(IF(VLOOKUP(T_Equipement[[#This Row],[NumL]],T_suiviDi[#Data],COLUMN(T_suiviDi[Email]),FALSE)&lt;&gt;"",VLOOKUP(T_Equipement[[#This Row],[NumL]],T_suiviDi[#Data],COLUMN(T_suiviDi[Email]),FALSE),""),"")</f>
        <v/>
      </c>
      <c r="E128" s="53" t="str">
        <f>IFERROR(IF(VLOOKUP(T_Equipement[[#This Row],[NumL]],T_suiviDi[#Data],COLUMN(T_suiviDi[Nom1]),FALSE)&lt;&gt;"",VLOOKUP(T_Equipement[[#This Row],[NumL]],T_suiviDi[#Data],COLUMN(T_suiviDi[Nom1]),FALSE),""),"")</f>
        <v/>
      </c>
      <c r="F128" s="53" t="str">
        <f>IFERROR(IF(VLOOKUP(T_Equipement[[#This Row],[NumL]],T_suiviDi[#Data],COLUMN(T_suiviDi[Prénom1]),FALSE)&lt;&gt;"",VLOOKUP(T_Equipement[[#This Row],[NumL]],T_suiviDi[#Data],COLUMN(T_suiviDi[Prénom1]),FALSE),""),"")</f>
        <v/>
      </c>
      <c r="G128" s="53" t="str">
        <f>IFERROR(IF(VLOOKUP(T_Equipement[[#This Row],[NumL]],T_suiviDi[#Data],COLUMN(T_suiviDi[Email1]),FALSE)&lt;&gt;"",VLOOKUP(T_Equipement[[#This Row],[NumL]],T_suiviDi[#Data],COLUMN(T_suiviDi[Email1]),FALSE),""),"")</f>
        <v/>
      </c>
      <c r="H128" s="59"/>
      <c r="I128" s="61"/>
      <c r="J128" s="60" t="s">
        <v>3143</v>
      </c>
      <c r="K128" s="61"/>
      <c r="L128" s="62"/>
      <c r="M128" s="59"/>
      <c r="N128" s="59"/>
      <c r="O128" s="59"/>
      <c r="P128" s="59"/>
      <c r="Q128" s="59"/>
      <c r="R128" s="59"/>
      <c r="S128" s="61"/>
      <c r="T128" s="59" t="e">
        <f>VLOOKUP(T_Equipement[[#This Row],[NumL]],T_TraitDi[#Data],COLUMN(#REF!),FALSE)</f>
        <v>#REF!</v>
      </c>
    </row>
    <row r="129" spans="1:20" ht="24" customHeight="1" x14ac:dyDescent="0.25">
      <c r="A129" s="90">
        <v>48</v>
      </c>
      <c r="B129" s="51" t="str">
        <f>IFERROR(IF(VLOOKUP(T_Equipement[[#This Row],[NumL]],T_suiviDi[#Data],COLUMN(T_suiviDi[Nom]),FALSE)&lt;&gt;"",VLOOKUP(T_Equipement[[#This Row],[NumL]],T_suiviDi[#Data],COLUMN(T_suiviDi[Nom]),FALSE),""),"")</f>
        <v/>
      </c>
      <c r="C129" s="51" t="str">
        <f>IFERROR(IF(VLOOKUP(T_Equipement[[#This Row],[NumL]],T_suiviDi[#Data],COLUMN(T_suiviDi[Prénom]),FALSE)&lt;&gt;"",VLOOKUP(T_Equipement[[#This Row],[NumL]],T_suiviDi[#Data],COLUMN(T_suiviDi[Prénom]),FALSE),""),"")</f>
        <v/>
      </c>
      <c r="D129" s="52" t="str">
        <f>IFERROR(IF(VLOOKUP(T_Equipement[[#This Row],[NumL]],T_suiviDi[#Data],COLUMN(T_suiviDi[Email]),FALSE)&lt;&gt;"",VLOOKUP(T_Equipement[[#This Row],[NumL]],T_suiviDi[#Data],COLUMN(T_suiviDi[Email]),FALSE),""),"")</f>
        <v/>
      </c>
      <c r="E129" s="53" t="str">
        <f>IFERROR(IF(VLOOKUP(T_Equipement[[#This Row],[NumL]],T_suiviDi[#Data],COLUMN(T_suiviDi[Nom1]),FALSE)&lt;&gt;"",VLOOKUP(T_Equipement[[#This Row],[NumL]],T_suiviDi[#Data],COLUMN(T_suiviDi[Nom1]),FALSE),""),"")</f>
        <v/>
      </c>
      <c r="F129" s="53" t="str">
        <f>IFERROR(IF(VLOOKUP(T_Equipement[[#This Row],[NumL]],T_suiviDi[#Data],COLUMN(T_suiviDi[Prénom1]),FALSE)&lt;&gt;"",VLOOKUP(T_Equipement[[#This Row],[NumL]],T_suiviDi[#Data],COLUMN(T_suiviDi[Prénom1]),FALSE),""),"")</f>
        <v/>
      </c>
      <c r="G129" s="53" t="str">
        <f>IFERROR(IF(VLOOKUP(T_Equipement[[#This Row],[NumL]],T_suiviDi[#Data],COLUMN(T_suiviDi[Email1]),FALSE)&lt;&gt;"",VLOOKUP(T_Equipement[[#This Row],[NumL]],T_suiviDi[#Data],COLUMN(T_suiviDi[Email1]),FALSE),""),"")</f>
        <v/>
      </c>
      <c r="H129" s="59" t="s">
        <v>3277</v>
      </c>
      <c r="I129" s="61"/>
      <c r="J129" s="60" t="s">
        <v>3144</v>
      </c>
      <c r="K129" s="61"/>
      <c r="L129" s="62"/>
      <c r="M129" s="59"/>
      <c r="N129" s="59"/>
      <c r="O129" s="59"/>
      <c r="P129" s="59"/>
      <c r="Q129" s="59"/>
      <c r="R129" s="59"/>
      <c r="S129" s="61"/>
      <c r="T129" s="59" t="e">
        <f>VLOOKUP(T_Equipement[[#This Row],[NumL]],T_TraitDi[#Data],COLUMN(#REF!),FALSE)</f>
        <v>#REF!</v>
      </c>
    </row>
    <row r="130" spans="1:20" ht="24" customHeight="1" x14ac:dyDescent="0.25">
      <c r="A130" s="90">
        <v>13</v>
      </c>
      <c r="B130" s="51" t="str">
        <f>IFERROR(IF(VLOOKUP(T_Equipement[[#This Row],[NumL]],T_suiviDi[#Data],COLUMN(T_suiviDi[Nom]),FALSE)&lt;&gt;"",VLOOKUP(T_Equipement[[#This Row],[NumL]],T_suiviDi[#Data],COLUMN(T_suiviDi[Nom]),FALSE),""),"")</f>
        <v/>
      </c>
      <c r="C130" s="51" t="str">
        <f>IFERROR(IF(VLOOKUP(T_Equipement[[#This Row],[NumL]],T_suiviDi[#Data],COLUMN(T_suiviDi[Prénom]),FALSE)&lt;&gt;"",VLOOKUP(T_Equipement[[#This Row],[NumL]],T_suiviDi[#Data],COLUMN(T_suiviDi[Prénom]),FALSE),""),"")</f>
        <v/>
      </c>
      <c r="D130" s="52" t="str">
        <f>IFERROR(IF(VLOOKUP(T_Equipement[[#This Row],[NumL]],T_suiviDi[#Data],COLUMN(T_suiviDi[Email]),FALSE)&lt;&gt;"",VLOOKUP(T_Equipement[[#This Row],[NumL]],T_suiviDi[#Data],COLUMN(T_suiviDi[Email]),FALSE),""),"")</f>
        <v/>
      </c>
      <c r="E130" s="53" t="str">
        <f>IFERROR(IF(VLOOKUP(T_Equipement[[#This Row],[NumL]],T_suiviDi[#Data],COLUMN(T_suiviDi[Nom1]),FALSE)&lt;&gt;"",VLOOKUP(T_Equipement[[#This Row],[NumL]],T_suiviDi[#Data],COLUMN(T_suiviDi[Nom1]),FALSE),""),"")</f>
        <v/>
      </c>
      <c r="F130" s="53" t="str">
        <f>IFERROR(IF(VLOOKUP(T_Equipement[[#This Row],[NumL]],T_suiviDi[#Data],COLUMN(T_suiviDi[Prénom1]),FALSE)&lt;&gt;"",VLOOKUP(T_Equipement[[#This Row],[NumL]],T_suiviDi[#Data],COLUMN(T_suiviDi[Prénom1]),FALSE),""),"")</f>
        <v/>
      </c>
      <c r="G130" s="53" t="str">
        <f>IFERROR(IF(VLOOKUP(T_Equipement[[#This Row],[NumL]],T_suiviDi[#Data],COLUMN(T_suiviDi[Email1]),FALSE)&lt;&gt;"",VLOOKUP(T_Equipement[[#This Row],[NumL]],T_suiviDi[#Data],COLUMN(T_suiviDi[Email1]),FALSE),""),"")</f>
        <v/>
      </c>
      <c r="H130" s="59"/>
      <c r="I130" s="61"/>
      <c r="J130" s="60" t="s">
        <v>395</v>
      </c>
      <c r="K130" s="61"/>
      <c r="L130" s="62"/>
      <c r="M130" s="59"/>
      <c r="N130" s="59"/>
      <c r="O130" s="59"/>
      <c r="P130" s="59"/>
      <c r="Q130" s="59"/>
      <c r="R130" s="59"/>
      <c r="S130" s="61"/>
      <c r="T130" s="59" t="e">
        <f>VLOOKUP(T_Equipement[[#This Row],[NumL]],T_TraitDi[#Data],COLUMN(#REF!),FALSE)</f>
        <v>#REF!</v>
      </c>
    </row>
    <row r="131" spans="1:20" ht="24" customHeight="1" x14ac:dyDescent="0.25">
      <c r="A131" s="90">
        <v>77</v>
      </c>
      <c r="B131" s="51" t="str">
        <f>IFERROR(IF(VLOOKUP(T_Equipement[[#This Row],[NumL]],T_suiviDi[#Data],COLUMN(T_suiviDi[Nom]),FALSE)&lt;&gt;"",VLOOKUP(T_Equipement[[#This Row],[NumL]],T_suiviDi[#Data],COLUMN(T_suiviDi[Nom]),FALSE),""),"")</f>
        <v/>
      </c>
      <c r="C131" s="51" t="str">
        <f>IFERROR(IF(VLOOKUP(T_Equipement[[#This Row],[NumL]],T_suiviDi[#Data],COLUMN(T_suiviDi[Prénom]),FALSE)&lt;&gt;"",VLOOKUP(T_Equipement[[#This Row],[NumL]],T_suiviDi[#Data],COLUMN(T_suiviDi[Prénom]),FALSE),""),"")</f>
        <v/>
      </c>
      <c r="D131" s="52" t="str">
        <f>IFERROR(IF(VLOOKUP(T_Equipement[[#This Row],[NumL]],T_suiviDi[#Data],COLUMN(T_suiviDi[Email]),FALSE)&lt;&gt;"",VLOOKUP(T_Equipement[[#This Row],[NumL]],T_suiviDi[#Data],COLUMN(T_suiviDi[Email]),FALSE),""),"")</f>
        <v/>
      </c>
      <c r="E131" s="53" t="str">
        <f>IFERROR(IF(VLOOKUP(T_Equipement[[#This Row],[NumL]],T_suiviDi[#Data],COLUMN(T_suiviDi[Nom1]),FALSE)&lt;&gt;"",VLOOKUP(T_Equipement[[#This Row],[NumL]],T_suiviDi[#Data],COLUMN(T_suiviDi[Nom1]),FALSE),""),"")</f>
        <v/>
      </c>
      <c r="F131" s="53" t="str">
        <f>IFERROR(IF(VLOOKUP(T_Equipement[[#This Row],[NumL]],T_suiviDi[#Data],COLUMN(T_suiviDi[Prénom1]),FALSE)&lt;&gt;"",VLOOKUP(T_Equipement[[#This Row],[NumL]],T_suiviDi[#Data],COLUMN(T_suiviDi[Prénom1]),FALSE),""),"")</f>
        <v/>
      </c>
      <c r="G131" s="53" t="str">
        <f>IFERROR(IF(VLOOKUP(T_Equipement[[#This Row],[NumL]],T_suiviDi[#Data],COLUMN(T_suiviDi[Email1]),FALSE)&lt;&gt;"",VLOOKUP(T_Equipement[[#This Row],[NumL]],T_suiviDi[#Data],COLUMN(T_suiviDi[Email1]),FALSE),""),"")</f>
        <v/>
      </c>
      <c r="H131" s="59" t="s">
        <v>3277</v>
      </c>
      <c r="I131" s="251">
        <v>44165</v>
      </c>
      <c r="J131" s="60" t="s">
        <v>3145</v>
      </c>
      <c r="K131" s="61"/>
      <c r="L131" s="62"/>
      <c r="M131" s="59"/>
      <c r="N131" s="59"/>
      <c r="O131" s="59"/>
      <c r="P131" s="59"/>
      <c r="Q131" s="59"/>
      <c r="R131" s="59"/>
      <c r="S131" s="61"/>
      <c r="T131" s="59" t="e">
        <f>VLOOKUP(T_Equipement[[#This Row],[NumL]],T_TraitDi[#Data],COLUMN(#REF!),FALSE)</f>
        <v>#REF!</v>
      </c>
    </row>
    <row r="132" spans="1:20" ht="24" customHeight="1" x14ac:dyDescent="0.25">
      <c r="A132" s="90">
        <v>72</v>
      </c>
      <c r="B132" s="51" t="str">
        <f>IFERROR(IF(VLOOKUP(T_Equipement[[#This Row],[NumL]],T_suiviDi[#Data],COLUMN(T_suiviDi[Nom]),FALSE)&lt;&gt;"",VLOOKUP(T_Equipement[[#This Row],[NumL]],T_suiviDi[#Data],COLUMN(T_suiviDi[Nom]),FALSE),""),"")</f>
        <v/>
      </c>
      <c r="C132" s="51" t="str">
        <f>IFERROR(IF(VLOOKUP(T_Equipement[[#This Row],[NumL]],T_suiviDi[#Data],COLUMN(T_suiviDi[Prénom]),FALSE)&lt;&gt;"",VLOOKUP(T_Equipement[[#This Row],[NumL]],T_suiviDi[#Data],COLUMN(T_suiviDi[Prénom]),FALSE),""),"")</f>
        <v/>
      </c>
      <c r="D132" s="52" t="str">
        <f>IFERROR(IF(VLOOKUP(T_Equipement[[#This Row],[NumL]],T_suiviDi[#Data],COLUMN(T_suiviDi[Email]),FALSE)&lt;&gt;"",VLOOKUP(T_Equipement[[#This Row],[NumL]],T_suiviDi[#Data],COLUMN(T_suiviDi[Email]),FALSE),""),"")</f>
        <v/>
      </c>
      <c r="E132" s="53" t="str">
        <f>IFERROR(IF(VLOOKUP(T_Equipement[[#This Row],[NumL]],T_suiviDi[#Data],COLUMN(T_suiviDi[Nom1]),FALSE)&lt;&gt;"",VLOOKUP(T_Equipement[[#This Row],[NumL]],T_suiviDi[#Data],COLUMN(T_suiviDi[Nom1]),FALSE),""),"")</f>
        <v/>
      </c>
      <c r="F132" s="53" t="str">
        <f>IFERROR(IF(VLOOKUP(T_Equipement[[#This Row],[NumL]],T_suiviDi[#Data],COLUMN(T_suiviDi[Prénom1]),FALSE)&lt;&gt;"",VLOOKUP(T_Equipement[[#This Row],[NumL]],T_suiviDi[#Data],COLUMN(T_suiviDi[Prénom1]),FALSE),""),"")</f>
        <v/>
      </c>
      <c r="G132" s="53" t="str">
        <f>IFERROR(IF(VLOOKUP(T_Equipement[[#This Row],[NumL]],T_suiviDi[#Data],COLUMN(T_suiviDi[Email1]),FALSE)&lt;&gt;"",VLOOKUP(T_Equipement[[#This Row],[NumL]],T_suiviDi[#Data],COLUMN(T_suiviDi[Email1]),FALSE),""),"")</f>
        <v/>
      </c>
      <c r="H132" s="59" t="s">
        <v>3277</v>
      </c>
      <c r="I132" s="61"/>
      <c r="J132" s="60" t="s">
        <v>3146</v>
      </c>
      <c r="K132" s="61"/>
      <c r="L132" s="62"/>
      <c r="M132" s="59"/>
      <c r="N132" s="59"/>
      <c r="O132" s="59"/>
      <c r="P132" s="59"/>
      <c r="Q132" s="59"/>
      <c r="R132" s="59"/>
      <c r="S132" s="61"/>
      <c r="T132" s="59" t="e">
        <f>VLOOKUP(T_Equipement[[#This Row],[NumL]],T_TraitDi[#Data],COLUMN(#REF!),FALSE)</f>
        <v>#REF!</v>
      </c>
    </row>
    <row r="133" spans="1:20" ht="24" customHeight="1" x14ac:dyDescent="0.25">
      <c r="A133" s="90">
        <v>161</v>
      </c>
      <c r="B133" s="51" t="str">
        <f>IFERROR(IF(VLOOKUP(T_Equipement[[#This Row],[NumL]],T_suiviDi[#Data],COLUMN(T_suiviDi[Nom]),FALSE)&lt;&gt;"",VLOOKUP(T_Equipement[[#This Row],[NumL]],T_suiviDi[#Data],COLUMN(T_suiviDi[Nom]),FALSE),""),"")</f>
        <v/>
      </c>
      <c r="C133" s="51" t="str">
        <f>IFERROR(IF(VLOOKUP(T_Equipement[[#This Row],[NumL]],T_suiviDi[#Data],COLUMN(T_suiviDi[Prénom]),FALSE)&lt;&gt;"",VLOOKUP(T_Equipement[[#This Row],[NumL]],T_suiviDi[#Data],COLUMN(T_suiviDi[Prénom]),FALSE),""),"")</f>
        <v/>
      </c>
      <c r="D133" s="52" t="str">
        <f>IFERROR(IF(VLOOKUP(T_Equipement[[#This Row],[NumL]],T_suiviDi[#Data],COLUMN(T_suiviDi[Email]),FALSE)&lt;&gt;"",VLOOKUP(T_Equipement[[#This Row],[NumL]],T_suiviDi[#Data],COLUMN(T_suiviDi[Email]),FALSE),""),"")</f>
        <v/>
      </c>
      <c r="E133" s="53" t="str">
        <f>IFERROR(IF(VLOOKUP(T_Equipement[[#This Row],[NumL]],T_suiviDi[#Data],COLUMN(T_suiviDi[Nom1]),FALSE)&lt;&gt;"",VLOOKUP(T_Equipement[[#This Row],[NumL]],T_suiviDi[#Data],COLUMN(T_suiviDi[Nom1]),FALSE),""),"")</f>
        <v/>
      </c>
      <c r="F133" s="53" t="str">
        <f>IFERROR(IF(VLOOKUP(T_Equipement[[#This Row],[NumL]],T_suiviDi[#Data],COLUMN(T_suiviDi[Prénom1]),FALSE)&lt;&gt;"",VLOOKUP(T_Equipement[[#This Row],[NumL]],T_suiviDi[#Data],COLUMN(T_suiviDi[Prénom1]),FALSE),""),"")</f>
        <v/>
      </c>
      <c r="G133" s="53" t="str">
        <f>IFERROR(IF(VLOOKUP(T_Equipement[[#This Row],[NumL]],T_suiviDi[#Data],COLUMN(T_suiviDi[Email1]),FALSE)&lt;&gt;"",VLOOKUP(T_Equipement[[#This Row],[NumL]],T_suiviDi[#Data],COLUMN(T_suiviDi[Email1]),FALSE),""),"")</f>
        <v/>
      </c>
      <c r="H133" s="59" t="s">
        <v>3277</v>
      </c>
      <c r="I133" s="61"/>
      <c r="J133" s="60" t="s">
        <v>3147</v>
      </c>
      <c r="K133" s="61"/>
      <c r="L133" s="62"/>
      <c r="M133" s="59"/>
      <c r="N133" s="59"/>
      <c r="O133" s="59"/>
      <c r="P133" s="59"/>
      <c r="Q133" s="59"/>
      <c r="R133" s="59"/>
      <c r="S133" s="61"/>
      <c r="T133" s="59" t="e">
        <f>VLOOKUP(T_Equipement[[#This Row],[NumL]],T_TraitDi[#Data],COLUMN(#REF!),FALSE)</f>
        <v>#REF!</v>
      </c>
    </row>
    <row r="134" spans="1:20" ht="24" customHeight="1" x14ac:dyDescent="0.25">
      <c r="A134" s="90">
        <v>324</v>
      </c>
      <c r="B134" s="51" t="str">
        <f>IFERROR(IF(VLOOKUP(T_Equipement[[#This Row],[NumL]],T_suiviDi[#Data],COLUMN(T_suiviDi[Nom]),FALSE)&lt;&gt;"",VLOOKUP(T_Equipement[[#This Row],[NumL]],T_suiviDi[#Data],COLUMN(T_suiviDi[Nom]),FALSE),""),"")</f>
        <v/>
      </c>
      <c r="C134" s="51" t="str">
        <f>IFERROR(IF(VLOOKUP(T_Equipement[[#This Row],[NumL]],T_suiviDi[#Data],COLUMN(T_suiviDi[Prénom]),FALSE)&lt;&gt;"",VLOOKUP(T_Equipement[[#This Row],[NumL]],T_suiviDi[#Data],COLUMN(T_suiviDi[Prénom]),FALSE),""),"")</f>
        <v/>
      </c>
      <c r="D134" s="52" t="str">
        <f>IFERROR(IF(VLOOKUP(T_Equipement[[#This Row],[NumL]],T_suiviDi[#Data],COLUMN(T_suiviDi[Email]),FALSE)&lt;&gt;"",VLOOKUP(T_Equipement[[#This Row],[NumL]],T_suiviDi[#Data],COLUMN(T_suiviDi[Email]),FALSE),""),"")</f>
        <v/>
      </c>
      <c r="E134" s="53" t="str">
        <f>IFERROR(IF(VLOOKUP(T_Equipement[[#This Row],[NumL]],T_suiviDi[#Data],COLUMN(T_suiviDi[Nom1]),FALSE)&lt;&gt;"",VLOOKUP(T_Equipement[[#This Row],[NumL]],T_suiviDi[#Data],COLUMN(T_suiviDi[Nom1]),FALSE),""),"")</f>
        <v/>
      </c>
      <c r="F134" s="53" t="str">
        <f>IFERROR(IF(VLOOKUP(T_Equipement[[#This Row],[NumL]],T_suiviDi[#Data],COLUMN(T_suiviDi[Prénom1]),FALSE)&lt;&gt;"",VLOOKUP(T_Equipement[[#This Row],[NumL]],T_suiviDi[#Data],COLUMN(T_suiviDi[Prénom1]),FALSE),""),"")</f>
        <v/>
      </c>
      <c r="G134" s="53" t="str">
        <f>IFERROR(IF(VLOOKUP(T_Equipement[[#This Row],[NumL]],T_suiviDi[#Data],COLUMN(T_suiviDi[Email1]),FALSE)&lt;&gt;"",VLOOKUP(T_Equipement[[#This Row],[NumL]],T_suiviDi[#Data],COLUMN(T_suiviDi[Email1]),FALSE),""),"")</f>
        <v/>
      </c>
      <c r="H134" s="59"/>
      <c r="I134" s="61"/>
      <c r="J134" s="60"/>
      <c r="K134" s="61"/>
      <c r="L134" s="62"/>
      <c r="M134" s="59"/>
      <c r="N134" s="59"/>
      <c r="O134" s="59"/>
      <c r="P134" s="59"/>
      <c r="Q134" s="59"/>
      <c r="R134" s="59"/>
      <c r="S134" s="61"/>
      <c r="T134" s="59"/>
    </row>
    <row r="135" spans="1:20" ht="24" customHeight="1" x14ac:dyDescent="0.25">
      <c r="A135" s="90">
        <v>322</v>
      </c>
      <c r="B135" s="51" t="str">
        <f>IFERROR(IF(VLOOKUP(T_Equipement[[#This Row],[NumL]],T_suiviDi[#Data],COLUMN(T_suiviDi[Nom]),FALSE)&lt;&gt;"",VLOOKUP(T_Equipement[[#This Row],[NumL]],T_suiviDi[#Data],COLUMN(T_suiviDi[Nom]),FALSE),""),"")</f>
        <v/>
      </c>
      <c r="C135" s="51" t="str">
        <f>IFERROR(IF(VLOOKUP(T_Equipement[[#This Row],[NumL]],T_suiviDi[#Data],COLUMN(T_suiviDi[Prénom]),FALSE)&lt;&gt;"",VLOOKUP(T_Equipement[[#This Row],[NumL]],T_suiviDi[#Data],COLUMN(T_suiviDi[Prénom]),FALSE),""),"")</f>
        <v/>
      </c>
      <c r="D135" s="52" t="str">
        <f>IFERROR(IF(VLOOKUP(T_Equipement[[#This Row],[NumL]],T_suiviDi[#Data],COLUMN(T_suiviDi[Email]),FALSE)&lt;&gt;"",VLOOKUP(T_Equipement[[#This Row],[NumL]],T_suiviDi[#Data],COLUMN(T_suiviDi[Email]),FALSE),""),"")</f>
        <v/>
      </c>
      <c r="E135" s="53" t="str">
        <f>IFERROR(IF(VLOOKUP(T_Equipement[[#This Row],[NumL]],T_suiviDi[#Data],COLUMN(T_suiviDi[Nom1]),FALSE)&lt;&gt;"",VLOOKUP(T_Equipement[[#This Row],[NumL]],T_suiviDi[#Data],COLUMN(T_suiviDi[Nom1]),FALSE),""),"")</f>
        <v/>
      </c>
      <c r="F135" s="53" t="str">
        <f>IFERROR(IF(VLOOKUP(T_Equipement[[#This Row],[NumL]],T_suiviDi[#Data],COLUMN(T_suiviDi[Prénom1]),FALSE)&lt;&gt;"",VLOOKUP(T_Equipement[[#This Row],[NumL]],T_suiviDi[#Data],COLUMN(T_suiviDi[Prénom1]),FALSE),""),"")</f>
        <v/>
      </c>
      <c r="G135" s="53" t="str">
        <f>IFERROR(IF(VLOOKUP(T_Equipement[[#This Row],[NumL]],T_suiviDi[#Data],COLUMN(T_suiviDi[Email1]),FALSE)&lt;&gt;"",VLOOKUP(T_Equipement[[#This Row],[NumL]],T_suiviDi[#Data],COLUMN(T_suiviDi[Email1]),FALSE),""),"")</f>
        <v/>
      </c>
      <c r="H135" s="59"/>
      <c r="I135" s="61"/>
      <c r="J135" s="60"/>
      <c r="K135" s="61"/>
      <c r="L135" s="62"/>
      <c r="M135" s="59"/>
      <c r="N135" s="59"/>
      <c r="O135" s="59"/>
      <c r="P135" s="59"/>
      <c r="Q135" s="59"/>
      <c r="R135" s="59"/>
      <c r="S135" s="61"/>
      <c r="T135" s="59"/>
    </row>
    <row r="136" spans="1:20" ht="24" customHeight="1" x14ac:dyDescent="0.25">
      <c r="A136" s="90">
        <v>337</v>
      </c>
      <c r="B136" s="51" t="str">
        <f>IFERROR(IF(VLOOKUP(T_Equipement[[#This Row],[NumL]],T_suiviDi[#Data],COLUMN(T_suiviDi[Nom]),FALSE)&lt;&gt;"",VLOOKUP(T_Equipement[[#This Row],[NumL]],T_suiviDi[#Data],COLUMN(T_suiviDi[Nom]),FALSE),""),"")</f>
        <v/>
      </c>
      <c r="C136" s="51" t="str">
        <f>IFERROR(IF(VLOOKUP(T_Equipement[[#This Row],[NumL]],T_suiviDi[#Data],COLUMN(T_suiviDi[Prénom]),FALSE)&lt;&gt;"",VLOOKUP(T_Equipement[[#This Row],[NumL]],T_suiviDi[#Data],COLUMN(T_suiviDi[Prénom]),FALSE),""),"")</f>
        <v/>
      </c>
      <c r="D136" s="52" t="str">
        <f>IFERROR(IF(VLOOKUP(T_Equipement[[#This Row],[NumL]],T_suiviDi[#Data],COLUMN(T_suiviDi[Email]),FALSE)&lt;&gt;"",VLOOKUP(T_Equipement[[#This Row],[NumL]],T_suiviDi[#Data],COLUMN(T_suiviDi[Email]),FALSE),""),"")</f>
        <v/>
      </c>
      <c r="E136" s="53" t="str">
        <f>IFERROR(IF(VLOOKUP(T_Equipement[[#This Row],[NumL]],T_suiviDi[#Data],COLUMN(T_suiviDi[Nom1]),FALSE)&lt;&gt;"",VLOOKUP(T_Equipement[[#This Row],[NumL]],T_suiviDi[#Data],COLUMN(T_suiviDi[Nom1]),FALSE),""),"")</f>
        <v/>
      </c>
      <c r="F136" s="53" t="str">
        <f>IFERROR(IF(VLOOKUP(T_Equipement[[#This Row],[NumL]],T_suiviDi[#Data],COLUMN(T_suiviDi[Prénom1]),FALSE)&lt;&gt;"",VLOOKUP(T_Equipement[[#This Row],[NumL]],T_suiviDi[#Data],COLUMN(T_suiviDi[Prénom1]),FALSE),""),"")</f>
        <v/>
      </c>
      <c r="G136" s="53" t="str">
        <f>IFERROR(IF(VLOOKUP(T_Equipement[[#This Row],[NumL]],T_suiviDi[#Data],COLUMN(T_suiviDi[Email1]),FALSE)&lt;&gt;"",VLOOKUP(T_Equipement[[#This Row],[NumL]],T_suiviDi[#Data],COLUMN(T_suiviDi[Email1]),FALSE),""),"")</f>
        <v/>
      </c>
      <c r="H136" s="59"/>
      <c r="I136" s="61"/>
      <c r="J136" s="60"/>
      <c r="K136" s="61"/>
      <c r="L136" s="62"/>
      <c r="M136" s="59"/>
      <c r="N136" s="59"/>
      <c r="O136" s="59"/>
      <c r="P136" s="59"/>
      <c r="Q136" s="59"/>
      <c r="R136" s="59"/>
      <c r="S136" s="61"/>
      <c r="T136" s="59"/>
    </row>
    <row r="137" spans="1:20" ht="24" customHeight="1" x14ac:dyDescent="0.25">
      <c r="A137" s="90">
        <v>17</v>
      </c>
      <c r="B137" s="51" t="str">
        <f>IFERROR(IF(VLOOKUP(T_Equipement[[#This Row],[NumL]],T_suiviDi[#Data],COLUMN(T_suiviDi[Nom]),FALSE)&lt;&gt;"",VLOOKUP(T_Equipement[[#This Row],[NumL]],T_suiviDi[#Data],COLUMN(T_suiviDi[Nom]),FALSE),""),"")</f>
        <v/>
      </c>
      <c r="C137" s="51" t="str">
        <f>IFERROR(IF(VLOOKUP(T_Equipement[[#This Row],[NumL]],T_suiviDi[#Data],COLUMN(T_suiviDi[Prénom]),FALSE)&lt;&gt;"",VLOOKUP(T_Equipement[[#This Row],[NumL]],T_suiviDi[#Data],COLUMN(T_suiviDi[Prénom]),FALSE),""),"")</f>
        <v/>
      </c>
      <c r="D137" s="52" t="str">
        <f>IFERROR(IF(VLOOKUP(T_Equipement[[#This Row],[NumL]],T_suiviDi[#Data],COLUMN(T_suiviDi[Email]),FALSE)&lt;&gt;"",VLOOKUP(T_Equipement[[#This Row],[NumL]],T_suiviDi[#Data],COLUMN(T_suiviDi[Email]),FALSE),""),"")</f>
        <v/>
      </c>
      <c r="E137" s="53" t="str">
        <f>IFERROR(IF(VLOOKUP(T_Equipement[[#This Row],[NumL]],T_suiviDi[#Data],COLUMN(T_suiviDi[Nom1]),FALSE)&lt;&gt;"",VLOOKUP(T_Equipement[[#This Row],[NumL]],T_suiviDi[#Data],COLUMN(T_suiviDi[Nom1]),FALSE),""),"")</f>
        <v/>
      </c>
      <c r="F137" s="53" t="str">
        <f>IFERROR(IF(VLOOKUP(T_Equipement[[#This Row],[NumL]],T_suiviDi[#Data],COLUMN(T_suiviDi[Prénom1]),FALSE)&lt;&gt;"",VLOOKUP(T_Equipement[[#This Row],[NumL]],T_suiviDi[#Data],COLUMN(T_suiviDi[Prénom1]),FALSE),""),"")</f>
        <v/>
      </c>
      <c r="G137" s="53" t="str">
        <f>IFERROR(IF(VLOOKUP(T_Equipement[[#This Row],[NumL]],T_suiviDi[#Data],COLUMN(T_suiviDi[Email1]),FALSE)&lt;&gt;"",VLOOKUP(T_Equipement[[#This Row],[NumL]],T_suiviDi[#Data],COLUMN(T_suiviDi[Email1]),FALSE),""),"")</f>
        <v/>
      </c>
      <c r="H137" s="59"/>
      <c r="I137" s="61"/>
      <c r="J137" s="60" t="s">
        <v>3148</v>
      </c>
      <c r="K137" s="61"/>
      <c r="L137" s="62"/>
      <c r="M137" s="59"/>
      <c r="N137" s="59"/>
      <c r="O137" s="59"/>
      <c r="P137" s="59"/>
      <c r="Q137" s="59"/>
      <c r="R137" s="59"/>
      <c r="S137" s="61"/>
      <c r="T137" s="59" t="e">
        <f>VLOOKUP(T_Equipement[[#This Row],[NumL]],T_TraitDi[#Data],COLUMN(#REF!),FALSE)</f>
        <v>#REF!</v>
      </c>
    </row>
    <row r="138" spans="1:20" ht="24" customHeight="1" x14ac:dyDescent="0.25">
      <c r="A138" s="90">
        <v>163</v>
      </c>
      <c r="B138" s="51" t="str">
        <f>IFERROR(IF(VLOOKUP(T_Equipement[[#This Row],[NumL]],T_suiviDi[#Data],COLUMN(T_suiviDi[Nom]),FALSE)&lt;&gt;"",VLOOKUP(T_Equipement[[#This Row],[NumL]],T_suiviDi[#Data],COLUMN(T_suiviDi[Nom]),FALSE),""),"")</f>
        <v/>
      </c>
      <c r="C138" s="51" t="str">
        <f>IFERROR(IF(VLOOKUP(T_Equipement[[#This Row],[NumL]],T_suiviDi[#Data],COLUMN(T_suiviDi[Prénom]),FALSE)&lt;&gt;"",VLOOKUP(T_Equipement[[#This Row],[NumL]],T_suiviDi[#Data],COLUMN(T_suiviDi[Prénom]),FALSE),""),"")</f>
        <v/>
      </c>
      <c r="D138" s="52" t="str">
        <f>IFERROR(IF(VLOOKUP(T_Equipement[[#This Row],[NumL]],T_suiviDi[#Data],COLUMN(T_suiviDi[Email]),FALSE)&lt;&gt;"",VLOOKUP(T_Equipement[[#This Row],[NumL]],T_suiviDi[#Data],COLUMN(T_suiviDi[Email]),FALSE),""),"")</f>
        <v/>
      </c>
      <c r="E138" s="53" t="str">
        <f>IFERROR(IF(VLOOKUP(T_Equipement[[#This Row],[NumL]],T_suiviDi[#Data],COLUMN(T_suiviDi[Nom1]),FALSE)&lt;&gt;"",VLOOKUP(T_Equipement[[#This Row],[NumL]],T_suiviDi[#Data],COLUMN(T_suiviDi[Nom1]),FALSE),""),"")</f>
        <v/>
      </c>
      <c r="F138" s="53" t="str">
        <f>IFERROR(IF(VLOOKUP(T_Equipement[[#This Row],[NumL]],T_suiviDi[#Data],COLUMN(T_suiviDi[Prénom1]),FALSE)&lt;&gt;"",VLOOKUP(T_Equipement[[#This Row],[NumL]],T_suiviDi[#Data],COLUMN(T_suiviDi[Prénom1]),FALSE),""),"")</f>
        <v/>
      </c>
      <c r="G138" s="53" t="str">
        <f>IFERROR(IF(VLOOKUP(T_Equipement[[#This Row],[NumL]],T_suiviDi[#Data],COLUMN(T_suiviDi[Email1]),FALSE)&lt;&gt;"",VLOOKUP(T_Equipement[[#This Row],[NumL]],T_suiviDi[#Data],COLUMN(T_suiviDi[Email1]),FALSE),""),"")</f>
        <v/>
      </c>
      <c r="H138" s="59"/>
      <c r="I138" s="61"/>
      <c r="J138" s="60" t="s">
        <v>3149</v>
      </c>
      <c r="K138" s="61"/>
      <c r="L138" s="62"/>
      <c r="M138" s="59"/>
      <c r="N138" s="59"/>
      <c r="O138" s="59"/>
      <c r="P138" s="59"/>
      <c r="Q138" s="59"/>
      <c r="R138" s="59"/>
      <c r="S138" s="61"/>
      <c r="T138" s="59" t="e">
        <f>VLOOKUP(T_Equipement[[#This Row],[NumL]],T_TraitDi[#Data],COLUMN(#REF!),FALSE)</f>
        <v>#REF!</v>
      </c>
    </row>
    <row r="139" spans="1:20" ht="24" customHeight="1" x14ac:dyDescent="0.25">
      <c r="A139" s="90">
        <v>79</v>
      </c>
      <c r="B139" s="51" t="str">
        <f>IFERROR(IF(VLOOKUP(T_Equipement[[#This Row],[NumL]],T_suiviDi[#Data],COLUMN(T_suiviDi[Nom]),FALSE)&lt;&gt;"",VLOOKUP(T_Equipement[[#This Row],[NumL]],T_suiviDi[#Data],COLUMN(T_suiviDi[Nom]),FALSE),""),"")</f>
        <v/>
      </c>
      <c r="C139" s="51" t="str">
        <f>IFERROR(IF(VLOOKUP(T_Equipement[[#This Row],[NumL]],T_suiviDi[#Data],COLUMN(T_suiviDi[Prénom]),FALSE)&lt;&gt;"",VLOOKUP(T_Equipement[[#This Row],[NumL]],T_suiviDi[#Data],COLUMN(T_suiviDi[Prénom]),FALSE),""),"")</f>
        <v/>
      </c>
      <c r="D139" s="52" t="str">
        <f>IFERROR(IF(VLOOKUP(T_Equipement[[#This Row],[NumL]],T_suiviDi[#Data],COLUMN(T_suiviDi[Email]),FALSE)&lt;&gt;"",VLOOKUP(T_Equipement[[#This Row],[NumL]],T_suiviDi[#Data],COLUMN(T_suiviDi[Email]),FALSE),""),"")</f>
        <v/>
      </c>
      <c r="E139" s="53" t="str">
        <f>IFERROR(IF(VLOOKUP(T_Equipement[[#This Row],[NumL]],T_suiviDi[#Data],COLUMN(T_suiviDi[Nom1]),FALSE)&lt;&gt;"",VLOOKUP(T_Equipement[[#This Row],[NumL]],T_suiviDi[#Data],COLUMN(T_suiviDi[Nom1]),FALSE),""),"")</f>
        <v/>
      </c>
      <c r="F139" s="53" t="str">
        <f>IFERROR(IF(VLOOKUP(T_Equipement[[#This Row],[NumL]],T_suiviDi[#Data],COLUMN(T_suiviDi[Prénom1]),FALSE)&lt;&gt;"",VLOOKUP(T_Equipement[[#This Row],[NumL]],T_suiviDi[#Data],COLUMN(T_suiviDi[Prénom1]),FALSE),""),"")</f>
        <v/>
      </c>
      <c r="G139" s="53" t="str">
        <f>IFERROR(IF(VLOOKUP(T_Equipement[[#This Row],[NumL]],T_suiviDi[#Data],COLUMN(T_suiviDi[Email1]),FALSE)&lt;&gt;"",VLOOKUP(T_Equipement[[#This Row],[NumL]],T_suiviDi[#Data],COLUMN(T_suiviDi[Email1]),FALSE),""),"")</f>
        <v/>
      </c>
      <c r="H139" s="59"/>
      <c r="I139" s="61"/>
      <c r="J139" s="60" t="s">
        <v>3150</v>
      </c>
      <c r="K139" s="61"/>
      <c r="L139" s="62"/>
      <c r="M139" s="59"/>
      <c r="N139" s="59"/>
      <c r="O139" s="59"/>
      <c r="P139" s="59"/>
      <c r="Q139" s="59"/>
      <c r="R139" s="59"/>
      <c r="S139" s="61"/>
      <c r="T139" s="59" t="e">
        <f>VLOOKUP(T_Equipement[[#This Row],[NumL]],T_TraitDi[#Data],COLUMN(#REF!),FALSE)</f>
        <v>#REF!</v>
      </c>
    </row>
    <row r="140" spans="1:20" ht="24" customHeight="1" x14ac:dyDescent="0.25">
      <c r="A140" s="90">
        <v>304</v>
      </c>
      <c r="B140" s="51" t="str">
        <f>IFERROR(IF(VLOOKUP(T_Equipement[[#This Row],[NumL]],T_suiviDi[#Data],COLUMN(T_suiviDi[Nom]),FALSE)&lt;&gt;"",VLOOKUP(T_Equipement[[#This Row],[NumL]],T_suiviDi[#Data],COLUMN(T_suiviDi[Nom]),FALSE),""),"")</f>
        <v/>
      </c>
      <c r="C140" s="51" t="str">
        <f>IFERROR(IF(VLOOKUP(T_Equipement[[#This Row],[NumL]],T_suiviDi[#Data],COLUMN(T_suiviDi[Prénom]),FALSE)&lt;&gt;"",VLOOKUP(T_Equipement[[#This Row],[NumL]],T_suiviDi[#Data],COLUMN(T_suiviDi[Prénom]),FALSE),""),"")</f>
        <v/>
      </c>
      <c r="D140" s="52" t="str">
        <f>IFERROR(IF(VLOOKUP(T_Equipement[[#This Row],[NumL]],T_suiviDi[#Data],COLUMN(T_suiviDi[Email]),FALSE)&lt;&gt;"",VLOOKUP(T_Equipement[[#This Row],[NumL]],T_suiviDi[#Data],COLUMN(T_suiviDi[Email]),FALSE),""),"")</f>
        <v/>
      </c>
      <c r="E140" s="53" t="str">
        <f>IFERROR(IF(VLOOKUP(T_Equipement[[#This Row],[NumL]],T_suiviDi[#Data],COLUMN(T_suiviDi[Nom1]),FALSE)&lt;&gt;"",VLOOKUP(T_Equipement[[#This Row],[NumL]],T_suiviDi[#Data],COLUMN(T_suiviDi[Nom1]),FALSE),""),"")</f>
        <v/>
      </c>
      <c r="F140" s="53" t="str">
        <f>IFERROR(IF(VLOOKUP(T_Equipement[[#This Row],[NumL]],T_suiviDi[#Data],COLUMN(T_suiviDi[Prénom1]),FALSE)&lt;&gt;"",VLOOKUP(T_Equipement[[#This Row],[NumL]],T_suiviDi[#Data],COLUMN(T_suiviDi[Prénom1]),FALSE),""),"")</f>
        <v/>
      </c>
      <c r="G140" s="53" t="str">
        <f>IFERROR(IF(VLOOKUP(T_Equipement[[#This Row],[NumL]],T_suiviDi[#Data],COLUMN(T_suiviDi[Email1]),FALSE)&lt;&gt;"",VLOOKUP(T_Equipement[[#This Row],[NumL]],T_suiviDi[#Data],COLUMN(T_suiviDi[Email1]),FALSE),""),"")</f>
        <v/>
      </c>
      <c r="H140" s="59"/>
      <c r="I140" s="61"/>
      <c r="J140" s="60"/>
      <c r="K140" s="61"/>
      <c r="L140" s="62"/>
      <c r="M140" s="59"/>
      <c r="N140" s="59"/>
      <c r="O140" s="59"/>
      <c r="P140" s="59"/>
      <c r="Q140" s="59"/>
      <c r="R140" s="59"/>
      <c r="S140" s="61"/>
      <c r="T140" s="59"/>
    </row>
    <row r="141" spans="1:20" ht="24" customHeight="1" x14ac:dyDescent="0.25">
      <c r="A141" s="90">
        <v>204</v>
      </c>
      <c r="B141" s="51" t="str">
        <f>IFERROR(IF(VLOOKUP(T_Equipement[[#This Row],[NumL]],T_suiviDi[#Data],COLUMN(T_suiviDi[Nom]),FALSE)&lt;&gt;"",VLOOKUP(T_Equipement[[#This Row],[NumL]],T_suiviDi[#Data],COLUMN(T_suiviDi[Nom]),FALSE),""),"")</f>
        <v/>
      </c>
      <c r="C141" s="51" t="str">
        <f>IFERROR(IF(VLOOKUP(T_Equipement[[#This Row],[NumL]],T_suiviDi[#Data],COLUMN(T_suiviDi[Prénom]),FALSE)&lt;&gt;"",VLOOKUP(T_Equipement[[#This Row],[NumL]],T_suiviDi[#Data],COLUMN(T_suiviDi[Prénom]),FALSE),""),"")</f>
        <v/>
      </c>
      <c r="D141" s="52" t="str">
        <f>IFERROR(IF(VLOOKUP(T_Equipement[[#This Row],[NumL]],T_suiviDi[#Data],COLUMN(T_suiviDi[Email]),FALSE)&lt;&gt;"",VLOOKUP(T_Equipement[[#This Row],[NumL]],T_suiviDi[#Data],COLUMN(T_suiviDi[Email]),FALSE),""),"")</f>
        <v/>
      </c>
      <c r="E141" s="53" t="str">
        <f>IFERROR(IF(VLOOKUP(T_Equipement[[#This Row],[NumL]],T_suiviDi[#Data],COLUMN(T_suiviDi[Nom1]),FALSE)&lt;&gt;"",VLOOKUP(T_Equipement[[#This Row],[NumL]],T_suiviDi[#Data],COLUMN(T_suiviDi[Nom1]),FALSE),""),"")</f>
        <v/>
      </c>
      <c r="F141" s="53" t="str">
        <f>IFERROR(IF(VLOOKUP(T_Equipement[[#This Row],[NumL]],T_suiviDi[#Data],COLUMN(T_suiviDi[Prénom1]),FALSE)&lt;&gt;"",VLOOKUP(T_Equipement[[#This Row],[NumL]],T_suiviDi[#Data],COLUMN(T_suiviDi[Prénom1]),FALSE),""),"")</f>
        <v/>
      </c>
      <c r="G141" s="53" t="str">
        <f>IFERROR(IF(VLOOKUP(T_Equipement[[#This Row],[NumL]],T_suiviDi[#Data],COLUMN(T_suiviDi[Email1]),FALSE)&lt;&gt;"",VLOOKUP(T_Equipement[[#This Row],[NumL]],T_suiviDi[#Data],COLUMN(T_suiviDi[Email1]),FALSE),""),"")</f>
        <v/>
      </c>
      <c r="H141" s="59" t="s">
        <v>3278</v>
      </c>
      <c r="I141" s="61"/>
      <c r="J141" s="60" t="s">
        <v>3151</v>
      </c>
      <c r="K141" s="61"/>
      <c r="L141" s="62"/>
      <c r="M141" s="59"/>
      <c r="N141" s="59"/>
      <c r="O141" s="59"/>
      <c r="P141" s="59"/>
      <c r="Q141" s="59"/>
      <c r="R141" s="59"/>
      <c r="S141" s="61"/>
      <c r="T141" s="59" t="e">
        <f>VLOOKUP(T_Equipement[[#This Row],[NumL]],T_TraitDi[#Data],COLUMN(#REF!),FALSE)</f>
        <v>#REF!</v>
      </c>
    </row>
    <row r="142" spans="1:20" ht="24" customHeight="1" x14ac:dyDescent="0.25">
      <c r="A142" s="90">
        <v>42</v>
      </c>
      <c r="B142" s="51" t="str">
        <f>IFERROR(IF(VLOOKUP(T_Equipement[[#This Row],[NumL]],T_suiviDi[#Data],COLUMN(T_suiviDi[Nom]),FALSE)&lt;&gt;"",VLOOKUP(T_Equipement[[#This Row],[NumL]],T_suiviDi[#Data],COLUMN(T_suiviDi[Nom]),FALSE),""),"")</f>
        <v/>
      </c>
      <c r="C142" s="51" t="str">
        <f>IFERROR(IF(VLOOKUP(T_Equipement[[#This Row],[NumL]],T_suiviDi[#Data],COLUMN(T_suiviDi[Prénom]),FALSE)&lt;&gt;"",VLOOKUP(T_Equipement[[#This Row],[NumL]],T_suiviDi[#Data],COLUMN(T_suiviDi[Prénom]),FALSE),""),"")</f>
        <v/>
      </c>
      <c r="D142" s="52" t="str">
        <f>IFERROR(IF(VLOOKUP(T_Equipement[[#This Row],[NumL]],T_suiviDi[#Data],COLUMN(T_suiviDi[Email]),FALSE)&lt;&gt;"",VLOOKUP(T_Equipement[[#This Row],[NumL]],T_suiviDi[#Data],COLUMN(T_suiviDi[Email]),FALSE),""),"")</f>
        <v/>
      </c>
      <c r="E142" s="53" t="str">
        <f>IFERROR(IF(VLOOKUP(T_Equipement[[#This Row],[NumL]],T_suiviDi[#Data],COLUMN(T_suiviDi[Nom1]),FALSE)&lt;&gt;"",VLOOKUP(T_Equipement[[#This Row],[NumL]],T_suiviDi[#Data],COLUMN(T_suiviDi[Nom1]),FALSE),""),"")</f>
        <v/>
      </c>
      <c r="F142" s="53" t="str">
        <f>IFERROR(IF(VLOOKUP(T_Equipement[[#This Row],[NumL]],T_suiviDi[#Data],COLUMN(T_suiviDi[Prénom1]),FALSE)&lt;&gt;"",VLOOKUP(T_Equipement[[#This Row],[NumL]],T_suiviDi[#Data],COLUMN(T_suiviDi[Prénom1]),FALSE),""),"")</f>
        <v/>
      </c>
      <c r="G142" s="53" t="str">
        <f>IFERROR(IF(VLOOKUP(T_Equipement[[#This Row],[NumL]],T_suiviDi[#Data],COLUMN(T_suiviDi[Email1]),FALSE)&lt;&gt;"",VLOOKUP(T_Equipement[[#This Row],[NumL]],T_suiviDi[#Data],COLUMN(T_suiviDi[Email1]),FALSE),""),"")</f>
        <v/>
      </c>
      <c r="H142" s="59" t="s">
        <v>3278</v>
      </c>
      <c r="I142" s="61"/>
      <c r="J142" s="60" t="s">
        <v>3152</v>
      </c>
      <c r="K142" s="61"/>
      <c r="L142" s="62"/>
      <c r="M142" s="59"/>
      <c r="N142" s="59"/>
      <c r="O142" s="59"/>
      <c r="P142" s="59"/>
      <c r="Q142" s="59"/>
      <c r="R142" s="59"/>
      <c r="S142" s="61"/>
      <c r="T142" s="59" t="e">
        <f>VLOOKUP(T_Equipement[[#This Row],[NumL]],T_TraitDi[#Data],COLUMN(#REF!),FALSE)</f>
        <v>#REF!</v>
      </c>
    </row>
    <row r="143" spans="1:20" ht="24" customHeight="1" x14ac:dyDescent="0.25">
      <c r="A143" s="90">
        <v>241</v>
      </c>
      <c r="B143" s="51" t="str">
        <f>IFERROR(IF(VLOOKUP(T_Equipement[[#This Row],[NumL]],T_suiviDi[#Data],COLUMN(T_suiviDi[Nom]),FALSE)&lt;&gt;"",VLOOKUP(T_Equipement[[#This Row],[NumL]],T_suiviDi[#Data],COLUMN(T_suiviDi[Nom]),FALSE),""),"")</f>
        <v/>
      </c>
      <c r="C143" s="51" t="str">
        <f>IFERROR(IF(VLOOKUP(T_Equipement[[#This Row],[NumL]],T_suiviDi[#Data],COLUMN(T_suiviDi[Prénom]),FALSE)&lt;&gt;"",VLOOKUP(T_Equipement[[#This Row],[NumL]],T_suiviDi[#Data],COLUMN(T_suiviDi[Prénom]),FALSE),""),"")</f>
        <v/>
      </c>
      <c r="D143" s="52" t="str">
        <f>IFERROR(IF(VLOOKUP(T_Equipement[[#This Row],[NumL]],T_suiviDi[#Data],COLUMN(T_suiviDi[Email]),FALSE)&lt;&gt;"",VLOOKUP(T_Equipement[[#This Row],[NumL]],T_suiviDi[#Data],COLUMN(T_suiviDi[Email]),FALSE),""),"")</f>
        <v/>
      </c>
      <c r="E143" s="53" t="str">
        <f>IFERROR(IF(VLOOKUP(T_Equipement[[#This Row],[NumL]],T_suiviDi[#Data],COLUMN(T_suiviDi[Nom1]),FALSE)&lt;&gt;"",VLOOKUP(T_Equipement[[#This Row],[NumL]],T_suiviDi[#Data],COLUMN(T_suiviDi[Nom1]),FALSE),""),"")</f>
        <v/>
      </c>
      <c r="F143" s="53" t="str">
        <f>IFERROR(IF(VLOOKUP(T_Equipement[[#This Row],[NumL]],T_suiviDi[#Data],COLUMN(T_suiviDi[Prénom1]),FALSE)&lt;&gt;"",VLOOKUP(T_Equipement[[#This Row],[NumL]],T_suiviDi[#Data],COLUMN(T_suiviDi[Prénom1]),FALSE),""),"")</f>
        <v/>
      </c>
      <c r="G143" s="53" t="str">
        <f>IFERROR(IF(VLOOKUP(T_Equipement[[#This Row],[NumL]],T_suiviDi[#Data],COLUMN(T_suiviDi[Email1]),FALSE)&lt;&gt;"",VLOOKUP(T_Equipement[[#This Row],[NumL]],T_suiviDi[#Data],COLUMN(T_suiviDi[Email1]),FALSE),""),"")</f>
        <v/>
      </c>
      <c r="H143" s="59" t="s">
        <v>3277</v>
      </c>
      <c r="I143" s="251">
        <v>44165</v>
      </c>
      <c r="J143" s="60" t="s">
        <v>3153</v>
      </c>
      <c r="K143" s="61"/>
      <c r="L143" s="62"/>
      <c r="M143" s="59"/>
      <c r="N143" s="59"/>
      <c r="O143" s="59"/>
      <c r="P143" s="59"/>
      <c r="Q143" s="59"/>
      <c r="R143" s="59"/>
      <c r="S143" s="61"/>
      <c r="T143" s="59" t="e">
        <f>VLOOKUP(T_Equipement[[#This Row],[NumL]],T_TraitDi[#Data],COLUMN(#REF!),FALSE)</f>
        <v>#REF!</v>
      </c>
    </row>
    <row r="144" spans="1:20" ht="24" customHeight="1" x14ac:dyDescent="0.25">
      <c r="A144" s="90">
        <v>196</v>
      </c>
      <c r="B144" s="51" t="str">
        <f>IFERROR(IF(VLOOKUP(T_Equipement[[#This Row],[NumL]],T_suiviDi[#Data],COLUMN(T_suiviDi[Nom]),FALSE)&lt;&gt;"",VLOOKUP(T_Equipement[[#This Row],[NumL]],T_suiviDi[#Data],COLUMN(T_suiviDi[Nom]),FALSE),""),"")</f>
        <v/>
      </c>
      <c r="C144" s="51" t="str">
        <f>IFERROR(IF(VLOOKUP(T_Equipement[[#This Row],[NumL]],T_suiviDi[#Data],COLUMN(T_suiviDi[Prénom]),FALSE)&lt;&gt;"",VLOOKUP(T_Equipement[[#This Row],[NumL]],T_suiviDi[#Data],COLUMN(T_suiviDi[Prénom]),FALSE),""),"")</f>
        <v/>
      </c>
      <c r="D144" s="52" t="str">
        <f>IFERROR(IF(VLOOKUP(T_Equipement[[#This Row],[NumL]],T_suiviDi[#Data],COLUMN(T_suiviDi[Email]),FALSE)&lt;&gt;"",VLOOKUP(T_Equipement[[#This Row],[NumL]],T_suiviDi[#Data],COLUMN(T_suiviDi[Email]),FALSE),""),"")</f>
        <v/>
      </c>
      <c r="E144" s="53" t="str">
        <f>IFERROR(IF(VLOOKUP(T_Equipement[[#This Row],[NumL]],T_suiviDi[#Data],COLUMN(T_suiviDi[Nom1]),FALSE)&lt;&gt;"",VLOOKUP(T_Equipement[[#This Row],[NumL]],T_suiviDi[#Data],COLUMN(T_suiviDi[Nom1]),FALSE),""),"")</f>
        <v/>
      </c>
      <c r="F144" s="53" t="str">
        <f>IFERROR(IF(VLOOKUP(T_Equipement[[#This Row],[NumL]],T_suiviDi[#Data],COLUMN(T_suiviDi[Prénom1]),FALSE)&lt;&gt;"",VLOOKUP(T_Equipement[[#This Row],[NumL]],T_suiviDi[#Data],COLUMN(T_suiviDi[Prénom1]),FALSE),""),"")</f>
        <v/>
      </c>
      <c r="G144" s="53" t="str">
        <f>IFERROR(IF(VLOOKUP(T_Equipement[[#This Row],[NumL]],T_suiviDi[#Data],COLUMN(T_suiviDi[Email1]),FALSE)&lt;&gt;"",VLOOKUP(T_Equipement[[#This Row],[NumL]],T_suiviDi[#Data],COLUMN(T_suiviDi[Email1]),FALSE),""),"")</f>
        <v/>
      </c>
      <c r="H144" s="59" t="s">
        <v>3277</v>
      </c>
      <c r="I144" s="61"/>
      <c r="J144" s="60" t="s">
        <v>3154</v>
      </c>
      <c r="K144" s="61"/>
      <c r="L144" s="62"/>
      <c r="M144" s="59"/>
      <c r="N144" s="59"/>
      <c r="O144" s="59"/>
      <c r="P144" s="59"/>
      <c r="Q144" s="59"/>
      <c r="R144" s="59"/>
      <c r="S144" s="61"/>
      <c r="T144" s="59" t="e">
        <f>VLOOKUP(T_Equipement[[#This Row],[NumL]],T_TraitDi[#Data],COLUMN(#REF!),FALSE)</f>
        <v>#REF!</v>
      </c>
    </row>
    <row r="145" spans="1:20" ht="24" customHeight="1" x14ac:dyDescent="0.25">
      <c r="A145" s="90">
        <v>47</v>
      </c>
      <c r="B145" s="51" t="str">
        <f>IFERROR(IF(VLOOKUP(T_Equipement[[#This Row],[NumL]],T_suiviDi[#Data],COLUMN(T_suiviDi[Nom]),FALSE)&lt;&gt;"",VLOOKUP(T_Equipement[[#This Row],[NumL]],T_suiviDi[#Data],COLUMN(T_suiviDi[Nom]),FALSE),""),"")</f>
        <v/>
      </c>
      <c r="C145" s="51" t="str">
        <f>IFERROR(IF(VLOOKUP(T_Equipement[[#This Row],[NumL]],T_suiviDi[#Data],COLUMN(T_suiviDi[Prénom]),FALSE)&lt;&gt;"",VLOOKUP(T_Equipement[[#This Row],[NumL]],T_suiviDi[#Data],COLUMN(T_suiviDi[Prénom]),FALSE),""),"")</f>
        <v/>
      </c>
      <c r="D145" s="52" t="str">
        <f>IFERROR(IF(VLOOKUP(T_Equipement[[#This Row],[NumL]],T_suiviDi[#Data],COLUMN(T_suiviDi[Email]),FALSE)&lt;&gt;"",VLOOKUP(T_Equipement[[#This Row],[NumL]],T_suiviDi[#Data],COLUMN(T_suiviDi[Email]),FALSE),""),"")</f>
        <v/>
      </c>
      <c r="E145" s="53" t="str">
        <f>IFERROR(IF(VLOOKUP(T_Equipement[[#This Row],[NumL]],T_suiviDi[#Data],COLUMN(T_suiviDi[Nom1]),FALSE)&lt;&gt;"",VLOOKUP(T_Equipement[[#This Row],[NumL]],T_suiviDi[#Data],COLUMN(T_suiviDi[Nom1]),FALSE),""),"")</f>
        <v/>
      </c>
      <c r="F145" s="53" t="str">
        <f>IFERROR(IF(VLOOKUP(T_Equipement[[#This Row],[NumL]],T_suiviDi[#Data],COLUMN(T_suiviDi[Prénom1]),FALSE)&lt;&gt;"",VLOOKUP(T_Equipement[[#This Row],[NumL]],T_suiviDi[#Data],COLUMN(T_suiviDi[Prénom1]),FALSE),""),"")</f>
        <v/>
      </c>
      <c r="G145" s="53" t="str">
        <f>IFERROR(IF(VLOOKUP(T_Equipement[[#This Row],[NumL]],T_suiviDi[#Data],COLUMN(T_suiviDi[Email1]),FALSE)&lt;&gt;"",VLOOKUP(T_Equipement[[#This Row],[NumL]],T_suiviDi[#Data],COLUMN(T_suiviDi[Email1]),FALSE),""),"")</f>
        <v/>
      </c>
      <c r="H145" s="59"/>
      <c r="I145" s="61"/>
      <c r="J145" s="60" t="s">
        <v>3155</v>
      </c>
      <c r="K145" s="61"/>
      <c r="L145" s="62"/>
      <c r="M145" s="59"/>
      <c r="N145" s="59"/>
      <c r="O145" s="59"/>
      <c r="P145" s="59"/>
      <c r="Q145" s="59"/>
      <c r="R145" s="59"/>
      <c r="S145" s="61"/>
      <c r="T145" s="59" t="e">
        <f>VLOOKUP(T_Equipement[[#This Row],[NumL]],T_TraitDi[#Data],COLUMN(#REF!),FALSE)</f>
        <v>#REF!</v>
      </c>
    </row>
    <row r="146" spans="1:20" ht="24" customHeight="1" x14ac:dyDescent="0.25">
      <c r="A146" s="90">
        <v>112</v>
      </c>
      <c r="B146" s="51" t="str">
        <f>IFERROR(IF(VLOOKUP(T_Equipement[[#This Row],[NumL]],T_suiviDi[#Data],COLUMN(T_suiviDi[Nom]),FALSE)&lt;&gt;"",VLOOKUP(T_Equipement[[#This Row],[NumL]],T_suiviDi[#Data],COLUMN(T_suiviDi[Nom]),FALSE),""),"")</f>
        <v/>
      </c>
      <c r="C146" s="51" t="str">
        <f>IFERROR(IF(VLOOKUP(T_Equipement[[#This Row],[NumL]],T_suiviDi[#Data],COLUMN(T_suiviDi[Prénom]),FALSE)&lt;&gt;"",VLOOKUP(T_Equipement[[#This Row],[NumL]],T_suiviDi[#Data],COLUMN(T_suiviDi[Prénom]),FALSE),""),"")</f>
        <v/>
      </c>
      <c r="D146" s="52" t="str">
        <f>IFERROR(IF(VLOOKUP(T_Equipement[[#This Row],[NumL]],T_suiviDi[#Data],COLUMN(T_suiviDi[Email]),FALSE)&lt;&gt;"",VLOOKUP(T_Equipement[[#This Row],[NumL]],T_suiviDi[#Data],COLUMN(T_suiviDi[Email]),FALSE),""),"")</f>
        <v/>
      </c>
      <c r="E146" s="53" t="str">
        <f>IFERROR(IF(VLOOKUP(T_Equipement[[#This Row],[NumL]],T_suiviDi[#Data],COLUMN(T_suiviDi[Nom1]),FALSE)&lt;&gt;"",VLOOKUP(T_Equipement[[#This Row],[NumL]],T_suiviDi[#Data],COLUMN(T_suiviDi[Nom1]),FALSE),""),"")</f>
        <v/>
      </c>
      <c r="F146" s="53" t="str">
        <f>IFERROR(IF(VLOOKUP(T_Equipement[[#This Row],[NumL]],T_suiviDi[#Data],COLUMN(T_suiviDi[Prénom1]),FALSE)&lt;&gt;"",VLOOKUP(T_Equipement[[#This Row],[NumL]],T_suiviDi[#Data],COLUMN(T_suiviDi[Prénom1]),FALSE),""),"")</f>
        <v/>
      </c>
      <c r="G146" s="53" t="str">
        <f>IFERROR(IF(VLOOKUP(T_Equipement[[#This Row],[NumL]],T_suiviDi[#Data],COLUMN(T_suiviDi[Email1]),FALSE)&lt;&gt;"",VLOOKUP(T_Equipement[[#This Row],[NumL]],T_suiviDi[#Data],COLUMN(T_suiviDi[Email1]),FALSE),""),"")</f>
        <v/>
      </c>
      <c r="H146" s="59" t="s">
        <v>3277</v>
      </c>
      <c r="I146" s="61"/>
      <c r="J146" s="60" t="s">
        <v>3156</v>
      </c>
      <c r="K146" s="61"/>
      <c r="L146" s="62"/>
      <c r="M146" s="59"/>
      <c r="N146" s="59"/>
      <c r="O146" s="59"/>
      <c r="P146" s="59"/>
      <c r="Q146" s="59"/>
      <c r="R146" s="59"/>
      <c r="S146" s="61"/>
      <c r="T146" s="59" t="e">
        <f>VLOOKUP(T_Equipement[[#This Row],[NumL]],T_TraitDi[#Data],COLUMN(#REF!),FALSE)</f>
        <v>#REF!</v>
      </c>
    </row>
    <row r="147" spans="1:20" ht="24" customHeight="1" x14ac:dyDescent="0.25">
      <c r="A147" s="90">
        <v>2</v>
      </c>
      <c r="B147" s="51" t="str">
        <f>IFERROR(IF(VLOOKUP(T_Equipement[[#This Row],[NumL]],T_suiviDi[#Data],COLUMN(T_suiviDi[Nom]),FALSE)&lt;&gt;"",VLOOKUP(T_Equipement[[#This Row],[NumL]],T_suiviDi[#Data],COLUMN(T_suiviDi[Nom]),FALSE),""),"")</f>
        <v/>
      </c>
      <c r="C147" s="51" t="str">
        <f>IFERROR(IF(VLOOKUP(T_Equipement[[#This Row],[NumL]],T_suiviDi[#Data],COLUMN(T_suiviDi[Prénom]),FALSE)&lt;&gt;"",VLOOKUP(T_Equipement[[#This Row],[NumL]],T_suiviDi[#Data],COLUMN(T_suiviDi[Prénom]),FALSE),""),"")</f>
        <v/>
      </c>
      <c r="D147" s="52" t="str">
        <f>IFERROR(IF(VLOOKUP(T_Equipement[[#This Row],[NumL]],T_suiviDi[#Data],COLUMN(T_suiviDi[Email]),FALSE)&lt;&gt;"",VLOOKUP(T_Equipement[[#This Row],[NumL]],T_suiviDi[#Data],COLUMN(T_suiviDi[Email]),FALSE),""),"")</f>
        <v/>
      </c>
      <c r="E147" s="53" t="str">
        <f>IFERROR(IF(VLOOKUP(T_Equipement[[#This Row],[NumL]],T_suiviDi[#Data],COLUMN(T_suiviDi[Nom1]),FALSE)&lt;&gt;"",VLOOKUP(T_Equipement[[#This Row],[NumL]],T_suiviDi[#Data],COLUMN(T_suiviDi[Nom1]),FALSE),""),"")</f>
        <v/>
      </c>
      <c r="F147" s="53" t="str">
        <f>IFERROR(IF(VLOOKUP(T_Equipement[[#This Row],[NumL]],T_suiviDi[#Data],COLUMN(T_suiviDi[Prénom1]),FALSE)&lt;&gt;"",VLOOKUP(T_Equipement[[#This Row],[NumL]],T_suiviDi[#Data],COLUMN(T_suiviDi[Prénom1]),FALSE),""),"")</f>
        <v/>
      </c>
      <c r="G147" s="53" t="str">
        <f>IFERROR(IF(VLOOKUP(T_Equipement[[#This Row],[NumL]],T_suiviDi[#Data],COLUMN(T_suiviDi[Email1]),FALSE)&lt;&gt;"",VLOOKUP(T_Equipement[[#This Row],[NumL]],T_suiviDi[#Data],COLUMN(T_suiviDi[Email1]),FALSE),""),"")</f>
        <v/>
      </c>
      <c r="H147" s="59" t="s">
        <v>3277</v>
      </c>
      <c r="I147" s="61"/>
      <c r="J147" s="60" t="s">
        <v>3157</v>
      </c>
      <c r="K147" s="61"/>
      <c r="L147" s="62"/>
      <c r="M147" s="59"/>
      <c r="N147" s="59"/>
      <c r="O147" s="59"/>
      <c r="P147" s="59"/>
      <c r="Q147" s="59"/>
      <c r="R147" s="59"/>
      <c r="S147" s="61"/>
      <c r="T147" s="59" t="e">
        <f>VLOOKUP(T_Equipement[[#This Row],[NumL]],T_TraitDi[#Data],COLUMN(#REF!),FALSE)</f>
        <v>#REF!</v>
      </c>
    </row>
    <row r="148" spans="1:20" ht="24" customHeight="1" x14ac:dyDescent="0.25">
      <c r="A148" s="90">
        <v>88</v>
      </c>
      <c r="B148" s="51" t="str">
        <f>IFERROR(IF(VLOOKUP(T_Equipement[[#This Row],[NumL]],T_suiviDi[#Data],COLUMN(T_suiviDi[Nom]),FALSE)&lt;&gt;"",VLOOKUP(T_Equipement[[#This Row],[NumL]],T_suiviDi[#Data],COLUMN(T_suiviDi[Nom]),FALSE),""),"")</f>
        <v/>
      </c>
      <c r="C148" s="51" t="str">
        <f>IFERROR(IF(VLOOKUP(T_Equipement[[#This Row],[NumL]],T_suiviDi[#Data],COLUMN(T_suiviDi[Prénom]),FALSE)&lt;&gt;"",VLOOKUP(T_Equipement[[#This Row],[NumL]],T_suiviDi[#Data],COLUMN(T_suiviDi[Prénom]),FALSE),""),"")</f>
        <v/>
      </c>
      <c r="D148" s="52" t="str">
        <f>IFERROR(IF(VLOOKUP(T_Equipement[[#This Row],[NumL]],T_suiviDi[#Data],COLUMN(T_suiviDi[Email]),FALSE)&lt;&gt;"",VLOOKUP(T_Equipement[[#This Row],[NumL]],T_suiviDi[#Data],COLUMN(T_suiviDi[Email]),FALSE),""),"")</f>
        <v/>
      </c>
      <c r="E148" s="53" t="str">
        <f>IFERROR(IF(VLOOKUP(T_Equipement[[#This Row],[NumL]],T_suiviDi[#Data],COLUMN(T_suiviDi[Nom1]),FALSE)&lt;&gt;"",VLOOKUP(T_Equipement[[#This Row],[NumL]],T_suiviDi[#Data],COLUMN(T_suiviDi[Nom1]),FALSE),""),"")</f>
        <v/>
      </c>
      <c r="F148" s="53" t="str">
        <f>IFERROR(IF(VLOOKUP(T_Equipement[[#This Row],[NumL]],T_suiviDi[#Data],COLUMN(T_suiviDi[Prénom1]),FALSE)&lt;&gt;"",VLOOKUP(T_Equipement[[#This Row],[NumL]],T_suiviDi[#Data],COLUMN(T_suiviDi[Prénom1]),FALSE),""),"")</f>
        <v/>
      </c>
      <c r="G148" s="53" t="str">
        <f>IFERROR(IF(VLOOKUP(T_Equipement[[#This Row],[NumL]],T_suiviDi[#Data],COLUMN(T_suiviDi[Email1]),FALSE)&lt;&gt;"",VLOOKUP(T_Equipement[[#This Row],[NumL]],T_suiviDi[#Data],COLUMN(T_suiviDi[Email1]),FALSE),""),"")</f>
        <v/>
      </c>
      <c r="H148" s="59" t="s">
        <v>3277</v>
      </c>
      <c r="I148" s="61"/>
      <c r="J148" s="60" t="s">
        <v>3158</v>
      </c>
      <c r="K148" s="61"/>
      <c r="L148" s="62"/>
      <c r="M148" s="59"/>
      <c r="N148" s="59"/>
      <c r="O148" s="59"/>
      <c r="P148" s="59"/>
      <c r="Q148" s="59"/>
      <c r="R148" s="59"/>
      <c r="S148" s="61"/>
      <c r="T148" s="59" t="e">
        <f>VLOOKUP(T_Equipement[[#This Row],[NumL]],T_TraitDi[#Data],COLUMN(#REF!),FALSE)</f>
        <v>#REF!</v>
      </c>
    </row>
    <row r="149" spans="1:20" ht="24" customHeight="1" x14ac:dyDescent="0.25">
      <c r="A149" s="90">
        <v>11</v>
      </c>
      <c r="B149" s="51" t="str">
        <f>IFERROR(IF(VLOOKUP(T_Equipement[[#This Row],[NumL]],T_suiviDi[#Data],COLUMN(T_suiviDi[Nom]),FALSE)&lt;&gt;"",VLOOKUP(T_Equipement[[#This Row],[NumL]],T_suiviDi[#Data],COLUMN(T_suiviDi[Nom]),FALSE),""),"")</f>
        <v/>
      </c>
      <c r="C149" s="51" t="str">
        <f>IFERROR(IF(VLOOKUP(T_Equipement[[#This Row],[NumL]],T_suiviDi[#Data],COLUMN(T_suiviDi[Prénom]),FALSE)&lt;&gt;"",VLOOKUP(T_Equipement[[#This Row],[NumL]],T_suiviDi[#Data],COLUMN(T_suiviDi[Prénom]),FALSE),""),"")</f>
        <v/>
      </c>
      <c r="D149" s="52" t="str">
        <f>IFERROR(IF(VLOOKUP(T_Equipement[[#This Row],[NumL]],T_suiviDi[#Data],COLUMN(T_suiviDi[Email]),FALSE)&lt;&gt;"",VLOOKUP(T_Equipement[[#This Row],[NumL]],T_suiviDi[#Data],COLUMN(T_suiviDi[Email]),FALSE),""),"")</f>
        <v/>
      </c>
      <c r="E149" s="53" t="str">
        <f>IFERROR(IF(VLOOKUP(T_Equipement[[#This Row],[NumL]],T_suiviDi[#Data],COLUMN(T_suiviDi[Nom1]),FALSE)&lt;&gt;"",VLOOKUP(T_Equipement[[#This Row],[NumL]],T_suiviDi[#Data],COLUMN(T_suiviDi[Nom1]),FALSE),""),"")</f>
        <v/>
      </c>
      <c r="F149" s="53" t="str">
        <f>IFERROR(IF(VLOOKUP(T_Equipement[[#This Row],[NumL]],T_suiviDi[#Data],COLUMN(T_suiviDi[Prénom1]),FALSE)&lt;&gt;"",VLOOKUP(T_Equipement[[#This Row],[NumL]],T_suiviDi[#Data],COLUMN(T_suiviDi[Prénom1]),FALSE),""),"")</f>
        <v/>
      </c>
      <c r="G149" s="53" t="str">
        <f>IFERROR(IF(VLOOKUP(T_Equipement[[#This Row],[NumL]],T_suiviDi[#Data],COLUMN(T_suiviDi[Email1]),FALSE)&lt;&gt;"",VLOOKUP(T_Equipement[[#This Row],[NumL]],T_suiviDi[#Data],COLUMN(T_suiviDi[Email1]),FALSE),""),"")</f>
        <v/>
      </c>
      <c r="H149" s="59"/>
      <c r="I149" s="61"/>
      <c r="J149" s="60" t="s">
        <v>3159</v>
      </c>
      <c r="K149" s="61"/>
      <c r="L149" s="62"/>
      <c r="M149" s="59"/>
      <c r="N149" s="59"/>
      <c r="O149" s="59"/>
      <c r="P149" s="59"/>
      <c r="Q149" s="59"/>
      <c r="R149" s="59"/>
      <c r="S149" s="61"/>
      <c r="T149" s="59" t="e">
        <f>VLOOKUP(T_Equipement[[#This Row],[NumL]],T_TraitDi[#Data],COLUMN(#REF!),FALSE)</f>
        <v>#REF!</v>
      </c>
    </row>
    <row r="150" spans="1:20" ht="24" customHeight="1" x14ac:dyDescent="0.25">
      <c r="A150" s="90">
        <v>121</v>
      </c>
      <c r="B150" s="51" t="str">
        <f>IFERROR(IF(VLOOKUP(T_Equipement[[#This Row],[NumL]],T_suiviDi[#Data],COLUMN(T_suiviDi[Nom]),FALSE)&lt;&gt;"",VLOOKUP(T_Equipement[[#This Row],[NumL]],T_suiviDi[#Data],COLUMN(T_suiviDi[Nom]),FALSE),""),"")</f>
        <v/>
      </c>
      <c r="C150" s="51" t="str">
        <f>IFERROR(IF(VLOOKUP(T_Equipement[[#This Row],[NumL]],T_suiviDi[#Data],COLUMN(T_suiviDi[Prénom]),FALSE)&lt;&gt;"",VLOOKUP(T_Equipement[[#This Row],[NumL]],T_suiviDi[#Data],COLUMN(T_suiviDi[Prénom]),FALSE),""),"")</f>
        <v/>
      </c>
      <c r="D150" s="52" t="str">
        <f>IFERROR(IF(VLOOKUP(T_Equipement[[#This Row],[NumL]],T_suiviDi[#Data],COLUMN(T_suiviDi[Email]),FALSE)&lt;&gt;"",VLOOKUP(T_Equipement[[#This Row],[NumL]],T_suiviDi[#Data],COLUMN(T_suiviDi[Email]),FALSE),""),"")</f>
        <v/>
      </c>
      <c r="E150" s="53" t="str">
        <f>IFERROR(IF(VLOOKUP(T_Equipement[[#This Row],[NumL]],T_suiviDi[#Data],COLUMN(T_suiviDi[Nom1]),FALSE)&lt;&gt;"",VLOOKUP(T_Equipement[[#This Row],[NumL]],T_suiviDi[#Data],COLUMN(T_suiviDi[Nom1]),FALSE),""),"")</f>
        <v/>
      </c>
      <c r="F150" s="53" t="str">
        <f>IFERROR(IF(VLOOKUP(T_Equipement[[#This Row],[NumL]],T_suiviDi[#Data],COLUMN(T_suiviDi[Prénom1]),FALSE)&lt;&gt;"",VLOOKUP(T_Equipement[[#This Row],[NumL]],T_suiviDi[#Data],COLUMN(T_suiviDi[Prénom1]),FALSE),""),"")</f>
        <v/>
      </c>
      <c r="G150" s="53" t="str">
        <f>IFERROR(IF(VLOOKUP(T_Equipement[[#This Row],[NumL]],T_suiviDi[#Data],COLUMN(T_suiviDi[Email1]),FALSE)&lt;&gt;"",VLOOKUP(T_Equipement[[#This Row],[NumL]],T_suiviDi[#Data],COLUMN(T_suiviDi[Email1]),FALSE),""),"")</f>
        <v/>
      </c>
      <c r="H150" s="59" t="s">
        <v>3277</v>
      </c>
      <c r="I150" s="251">
        <v>44165</v>
      </c>
      <c r="J150" s="60" t="s">
        <v>3160</v>
      </c>
      <c r="K150" s="61"/>
      <c r="L150" s="62"/>
      <c r="M150" s="59"/>
      <c r="N150" s="59"/>
      <c r="O150" s="59"/>
      <c r="P150" s="59"/>
      <c r="Q150" s="59"/>
      <c r="R150" s="59"/>
      <c r="S150" s="61"/>
      <c r="T150" s="59" t="e">
        <f>VLOOKUP(T_Equipement[[#This Row],[NumL]],T_TraitDi[#Data],COLUMN(#REF!),FALSE)</f>
        <v>#REF!</v>
      </c>
    </row>
    <row r="151" spans="1:20" ht="24" customHeight="1" x14ac:dyDescent="0.25">
      <c r="A151" s="90">
        <v>273</v>
      </c>
      <c r="B151" s="51" t="str">
        <f>IFERROR(IF(VLOOKUP(T_Equipement[[#This Row],[NumL]],T_suiviDi[#Data],COLUMN(T_suiviDi[Nom]),FALSE)&lt;&gt;"",VLOOKUP(T_Equipement[[#This Row],[NumL]],T_suiviDi[#Data],COLUMN(T_suiviDi[Nom]),FALSE),""),"")</f>
        <v/>
      </c>
      <c r="C151" s="51" t="str">
        <f>IFERROR(IF(VLOOKUP(T_Equipement[[#This Row],[NumL]],T_suiviDi[#Data],COLUMN(T_suiviDi[Prénom]),FALSE)&lt;&gt;"",VLOOKUP(T_Equipement[[#This Row],[NumL]],T_suiviDi[#Data],COLUMN(T_suiviDi[Prénom]),FALSE),""),"")</f>
        <v/>
      </c>
      <c r="D151" s="52" t="str">
        <f>IFERROR(IF(VLOOKUP(T_Equipement[[#This Row],[NumL]],T_suiviDi[#Data],COLUMN(T_suiviDi[Email]),FALSE)&lt;&gt;"",VLOOKUP(T_Equipement[[#This Row],[NumL]],T_suiviDi[#Data],COLUMN(T_suiviDi[Email]),FALSE),""),"")</f>
        <v/>
      </c>
      <c r="E151" s="53" t="str">
        <f>IFERROR(IF(VLOOKUP(T_Equipement[[#This Row],[NumL]],T_suiviDi[#Data],COLUMN(T_suiviDi[Nom1]),FALSE)&lt;&gt;"",VLOOKUP(T_Equipement[[#This Row],[NumL]],T_suiviDi[#Data],COLUMN(T_suiviDi[Nom1]),FALSE),""),"")</f>
        <v/>
      </c>
      <c r="F151" s="53" t="str">
        <f>IFERROR(IF(VLOOKUP(T_Equipement[[#This Row],[NumL]],T_suiviDi[#Data],COLUMN(T_suiviDi[Prénom1]),FALSE)&lt;&gt;"",VLOOKUP(T_Equipement[[#This Row],[NumL]],T_suiviDi[#Data],COLUMN(T_suiviDi[Prénom1]),FALSE),""),"")</f>
        <v/>
      </c>
      <c r="G151" s="53" t="str">
        <f>IFERROR(IF(VLOOKUP(T_Equipement[[#This Row],[NumL]],T_suiviDi[#Data],COLUMN(T_suiviDi[Email1]),FALSE)&lt;&gt;"",VLOOKUP(T_Equipement[[#This Row],[NumL]],T_suiviDi[#Data],COLUMN(T_suiviDi[Email1]),FALSE),""),"")</f>
        <v/>
      </c>
      <c r="H151" s="59" t="s">
        <v>3278</v>
      </c>
      <c r="I151" s="61"/>
      <c r="J151" s="60" t="s">
        <v>3161</v>
      </c>
      <c r="K151" s="61"/>
      <c r="L151" s="62"/>
      <c r="M151" s="59"/>
      <c r="N151" s="59"/>
      <c r="O151" s="59"/>
      <c r="P151" s="59"/>
      <c r="Q151" s="59"/>
      <c r="R151" s="59"/>
      <c r="S151" s="61"/>
      <c r="T151" s="59" t="e">
        <f>VLOOKUP(T_Equipement[[#This Row],[NumL]],T_TraitDi[#Data],COLUMN(#REF!),FALSE)</f>
        <v>#REF!</v>
      </c>
    </row>
    <row r="152" spans="1:20" ht="24" customHeight="1" x14ac:dyDescent="0.25">
      <c r="A152" s="90">
        <v>211</v>
      </c>
      <c r="B152" s="51" t="str">
        <f>IFERROR(IF(VLOOKUP(T_Equipement[[#This Row],[NumL]],T_suiviDi[#Data],COLUMN(T_suiviDi[Nom]),FALSE)&lt;&gt;"",VLOOKUP(T_Equipement[[#This Row],[NumL]],T_suiviDi[#Data],COLUMN(T_suiviDi[Nom]),FALSE),""),"")</f>
        <v/>
      </c>
      <c r="C152" s="51" t="str">
        <f>IFERROR(IF(VLOOKUP(T_Equipement[[#This Row],[NumL]],T_suiviDi[#Data],COLUMN(T_suiviDi[Prénom]),FALSE)&lt;&gt;"",VLOOKUP(T_Equipement[[#This Row],[NumL]],T_suiviDi[#Data],COLUMN(T_suiviDi[Prénom]),FALSE),""),"")</f>
        <v/>
      </c>
      <c r="D152" s="52" t="str">
        <f>IFERROR(IF(VLOOKUP(T_Equipement[[#This Row],[NumL]],T_suiviDi[#Data],COLUMN(T_suiviDi[Email]),FALSE)&lt;&gt;"",VLOOKUP(T_Equipement[[#This Row],[NumL]],T_suiviDi[#Data],COLUMN(T_suiviDi[Email]),FALSE),""),"")</f>
        <v/>
      </c>
      <c r="E152" s="53" t="str">
        <f>IFERROR(IF(VLOOKUP(T_Equipement[[#This Row],[NumL]],T_suiviDi[#Data],COLUMN(T_suiviDi[Nom1]),FALSE)&lt;&gt;"",VLOOKUP(T_Equipement[[#This Row],[NumL]],T_suiviDi[#Data],COLUMN(T_suiviDi[Nom1]),FALSE),""),"")</f>
        <v/>
      </c>
      <c r="F152" s="53" t="str">
        <f>IFERROR(IF(VLOOKUP(T_Equipement[[#This Row],[NumL]],T_suiviDi[#Data],COLUMN(T_suiviDi[Prénom1]),FALSE)&lt;&gt;"",VLOOKUP(T_Equipement[[#This Row],[NumL]],T_suiviDi[#Data],COLUMN(T_suiviDi[Prénom1]),FALSE),""),"")</f>
        <v/>
      </c>
      <c r="G152" s="53" t="str">
        <f>IFERROR(IF(VLOOKUP(T_Equipement[[#This Row],[NumL]],T_suiviDi[#Data],COLUMN(T_suiviDi[Email1]),FALSE)&lt;&gt;"",VLOOKUP(T_Equipement[[#This Row],[NumL]],T_suiviDi[#Data],COLUMN(T_suiviDi[Email1]),FALSE),""),"")</f>
        <v/>
      </c>
      <c r="H152" s="59" t="s">
        <v>3277</v>
      </c>
      <c r="I152" s="61"/>
      <c r="J152" s="60" t="s">
        <v>3162</v>
      </c>
      <c r="K152" s="61"/>
      <c r="L152" s="62"/>
      <c r="M152" s="59"/>
      <c r="N152" s="59"/>
      <c r="O152" s="59"/>
      <c r="P152" s="59"/>
      <c r="Q152" s="59"/>
      <c r="R152" s="59"/>
      <c r="S152" s="61"/>
      <c r="T152" s="59" t="e">
        <f>VLOOKUP(T_Equipement[[#This Row],[NumL]],T_TraitDi[#Data],COLUMN(#REF!),FALSE)</f>
        <v>#REF!</v>
      </c>
    </row>
    <row r="153" spans="1:20" ht="24" customHeight="1" x14ac:dyDescent="0.25">
      <c r="A153" s="90">
        <v>186</v>
      </c>
      <c r="B153" s="51" t="str">
        <f>IFERROR(IF(VLOOKUP(T_Equipement[[#This Row],[NumL]],T_suiviDi[#Data],COLUMN(T_suiviDi[Nom]),FALSE)&lt;&gt;"",VLOOKUP(T_Equipement[[#This Row],[NumL]],T_suiviDi[#Data],COLUMN(T_suiviDi[Nom]),FALSE),""),"")</f>
        <v/>
      </c>
      <c r="C153" s="51" t="str">
        <f>IFERROR(IF(VLOOKUP(T_Equipement[[#This Row],[NumL]],T_suiviDi[#Data],COLUMN(T_suiviDi[Prénom]),FALSE)&lt;&gt;"",VLOOKUP(T_Equipement[[#This Row],[NumL]],T_suiviDi[#Data],COLUMN(T_suiviDi[Prénom]),FALSE),""),"")</f>
        <v/>
      </c>
      <c r="D153" s="52" t="str">
        <f>IFERROR(IF(VLOOKUP(T_Equipement[[#This Row],[NumL]],T_suiviDi[#Data],COLUMN(T_suiviDi[Email]),FALSE)&lt;&gt;"",VLOOKUP(T_Equipement[[#This Row],[NumL]],T_suiviDi[#Data],COLUMN(T_suiviDi[Email]),FALSE),""),"")</f>
        <v/>
      </c>
      <c r="E153" s="53" t="str">
        <f>IFERROR(IF(VLOOKUP(T_Equipement[[#This Row],[NumL]],T_suiviDi[#Data],COLUMN(T_suiviDi[Nom1]),FALSE)&lt;&gt;"",VLOOKUP(T_Equipement[[#This Row],[NumL]],T_suiviDi[#Data],COLUMN(T_suiviDi[Nom1]),FALSE),""),"")</f>
        <v/>
      </c>
      <c r="F153" s="53" t="str">
        <f>IFERROR(IF(VLOOKUP(T_Equipement[[#This Row],[NumL]],T_suiviDi[#Data],COLUMN(T_suiviDi[Prénom1]),FALSE)&lt;&gt;"",VLOOKUP(T_Equipement[[#This Row],[NumL]],T_suiviDi[#Data],COLUMN(T_suiviDi[Prénom1]),FALSE),""),"")</f>
        <v/>
      </c>
      <c r="G153" s="53" t="str">
        <f>IFERROR(IF(VLOOKUP(T_Equipement[[#This Row],[NumL]],T_suiviDi[#Data],COLUMN(T_suiviDi[Email1]),FALSE)&lt;&gt;"",VLOOKUP(T_Equipement[[#This Row],[NumL]],T_suiviDi[#Data],COLUMN(T_suiviDi[Email1]),FALSE),""),"")</f>
        <v/>
      </c>
      <c r="H153" s="59" t="s">
        <v>3277</v>
      </c>
      <c r="I153" s="61"/>
      <c r="J153" s="60" t="s">
        <v>3163</v>
      </c>
      <c r="K153" s="61"/>
      <c r="L153" s="62"/>
      <c r="M153" s="59"/>
      <c r="N153" s="59"/>
      <c r="O153" s="59"/>
      <c r="P153" s="59"/>
      <c r="Q153" s="59"/>
      <c r="R153" s="59"/>
      <c r="S153" s="61"/>
      <c r="T153" s="59" t="e">
        <f>VLOOKUP(T_Equipement[[#This Row],[NumL]],T_TraitDi[#Data],COLUMN(#REF!),FALSE)</f>
        <v>#REF!</v>
      </c>
    </row>
    <row r="154" spans="1:20" ht="24" customHeight="1" x14ac:dyDescent="0.25">
      <c r="A154" s="90">
        <v>355</v>
      </c>
      <c r="B154" s="51" t="str">
        <f>IFERROR(IF(VLOOKUP(T_Equipement[[#This Row],[NumL]],T_suiviDi[#Data],COLUMN(T_suiviDi[Nom]),FALSE)&lt;&gt;"",VLOOKUP(T_Equipement[[#This Row],[NumL]],T_suiviDi[#Data],COLUMN(T_suiviDi[Nom]),FALSE),""),"")</f>
        <v/>
      </c>
      <c r="C154" s="51" t="str">
        <f>IFERROR(IF(VLOOKUP(T_Equipement[[#This Row],[NumL]],T_suiviDi[#Data],COLUMN(T_suiviDi[Prénom]),FALSE)&lt;&gt;"",VLOOKUP(T_Equipement[[#This Row],[NumL]],T_suiviDi[#Data],COLUMN(T_suiviDi[Prénom]),FALSE),""),"")</f>
        <v/>
      </c>
      <c r="D154" s="52" t="str">
        <f>IFERROR(IF(VLOOKUP(T_Equipement[[#This Row],[NumL]],T_suiviDi[#Data],COLUMN(T_suiviDi[Email]),FALSE)&lt;&gt;"",VLOOKUP(T_Equipement[[#This Row],[NumL]],T_suiviDi[#Data],COLUMN(T_suiviDi[Email]),FALSE),""),"")</f>
        <v/>
      </c>
      <c r="E154" s="53" t="str">
        <f>IFERROR(IF(VLOOKUP(T_Equipement[[#This Row],[NumL]],T_suiviDi[#Data],COLUMN(T_suiviDi[Nom1]),FALSE)&lt;&gt;"",VLOOKUP(T_Equipement[[#This Row],[NumL]],T_suiviDi[#Data],COLUMN(T_suiviDi[Nom1]),FALSE),""),"")</f>
        <v/>
      </c>
      <c r="F154" s="53" t="str">
        <f>IFERROR(IF(VLOOKUP(T_Equipement[[#This Row],[NumL]],T_suiviDi[#Data],COLUMN(T_suiviDi[Prénom1]),FALSE)&lt;&gt;"",VLOOKUP(T_Equipement[[#This Row],[NumL]],T_suiviDi[#Data],COLUMN(T_suiviDi[Prénom1]),FALSE),""),"")</f>
        <v/>
      </c>
      <c r="G154" s="53" t="str">
        <f>IFERROR(IF(VLOOKUP(T_Equipement[[#This Row],[NumL]],T_suiviDi[#Data],COLUMN(T_suiviDi[Email1]),FALSE)&lt;&gt;"",VLOOKUP(T_Equipement[[#This Row],[NumL]],T_suiviDi[#Data],COLUMN(T_suiviDi[Email1]),FALSE),""),"")</f>
        <v/>
      </c>
      <c r="H154" s="59"/>
      <c r="I154" s="61"/>
      <c r="J154" s="60"/>
      <c r="K154" s="61"/>
      <c r="L154" s="62"/>
      <c r="M154" s="59"/>
      <c r="N154" s="59"/>
      <c r="O154" s="59"/>
      <c r="P154" s="59"/>
      <c r="Q154" s="59"/>
      <c r="R154" s="59"/>
      <c r="S154" s="61"/>
      <c r="T154" s="59"/>
    </row>
    <row r="155" spans="1:20" ht="24" customHeight="1" x14ac:dyDescent="0.25">
      <c r="A155" s="90">
        <v>10</v>
      </c>
      <c r="B155" s="51" t="str">
        <f>IFERROR(IF(VLOOKUP(T_Equipement[[#This Row],[NumL]],T_suiviDi[#Data],COLUMN(T_suiviDi[Nom]),FALSE)&lt;&gt;"",VLOOKUP(T_Equipement[[#This Row],[NumL]],T_suiviDi[#Data],COLUMN(T_suiviDi[Nom]),FALSE),""),"")</f>
        <v/>
      </c>
      <c r="C155" s="51" t="str">
        <f>IFERROR(IF(VLOOKUP(T_Equipement[[#This Row],[NumL]],T_suiviDi[#Data],COLUMN(T_suiviDi[Prénom]),FALSE)&lt;&gt;"",VLOOKUP(T_Equipement[[#This Row],[NumL]],T_suiviDi[#Data],COLUMN(T_suiviDi[Prénom]),FALSE),""),"")</f>
        <v/>
      </c>
      <c r="D155" s="52" t="str">
        <f>IFERROR(IF(VLOOKUP(T_Equipement[[#This Row],[NumL]],T_suiviDi[#Data],COLUMN(T_suiviDi[Email]),FALSE)&lt;&gt;"",VLOOKUP(T_Equipement[[#This Row],[NumL]],T_suiviDi[#Data],COLUMN(T_suiviDi[Email]),FALSE),""),"")</f>
        <v/>
      </c>
      <c r="E155" s="53" t="str">
        <f>IFERROR(IF(VLOOKUP(T_Equipement[[#This Row],[NumL]],T_suiviDi[#Data],COLUMN(T_suiviDi[Nom1]),FALSE)&lt;&gt;"",VLOOKUP(T_Equipement[[#This Row],[NumL]],T_suiviDi[#Data],COLUMN(T_suiviDi[Nom1]),FALSE),""),"")</f>
        <v/>
      </c>
      <c r="F155" s="53" t="str">
        <f>IFERROR(IF(VLOOKUP(T_Equipement[[#This Row],[NumL]],T_suiviDi[#Data],COLUMN(T_suiviDi[Prénom1]),FALSE)&lt;&gt;"",VLOOKUP(T_Equipement[[#This Row],[NumL]],T_suiviDi[#Data],COLUMN(T_suiviDi[Prénom1]),FALSE),""),"")</f>
        <v/>
      </c>
      <c r="G155" s="53" t="str">
        <f>IFERROR(IF(VLOOKUP(T_Equipement[[#This Row],[NumL]],T_suiviDi[#Data],COLUMN(T_suiviDi[Email1]),FALSE)&lt;&gt;"",VLOOKUP(T_Equipement[[#This Row],[NumL]],T_suiviDi[#Data],COLUMN(T_suiviDi[Email1]),FALSE),""),"")</f>
        <v/>
      </c>
      <c r="H155" s="59" t="s">
        <v>3277</v>
      </c>
      <c r="I155" s="251">
        <v>44165</v>
      </c>
      <c r="J155" s="60" t="s">
        <v>3164</v>
      </c>
      <c r="K155" s="61"/>
      <c r="L155" s="62"/>
      <c r="M155" s="59"/>
      <c r="N155" s="59"/>
      <c r="O155" s="59"/>
      <c r="P155" s="59"/>
      <c r="Q155" s="59"/>
      <c r="R155" s="59"/>
      <c r="S155" s="61"/>
      <c r="T155" s="59" t="e">
        <f>VLOOKUP(T_Equipement[[#This Row],[NumL]],T_TraitDi[#Data],COLUMN(#REF!),FALSE)</f>
        <v>#REF!</v>
      </c>
    </row>
    <row r="156" spans="1:20" ht="24" customHeight="1" x14ac:dyDescent="0.25">
      <c r="A156" s="90">
        <v>87</v>
      </c>
      <c r="B156" s="51" t="str">
        <f>IFERROR(IF(VLOOKUP(T_Equipement[[#This Row],[NumL]],T_suiviDi[#Data],COLUMN(T_suiviDi[Nom]),FALSE)&lt;&gt;"",VLOOKUP(T_Equipement[[#This Row],[NumL]],T_suiviDi[#Data],COLUMN(T_suiviDi[Nom]),FALSE),""),"")</f>
        <v/>
      </c>
      <c r="C156" s="51" t="str">
        <f>IFERROR(IF(VLOOKUP(T_Equipement[[#This Row],[NumL]],T_suiviDi[#Data],COLUMN(T_suiviDi[Prénom]),FALSE)&lt;&gt;"",VLOOKUP(T_Equipement[[#This Row],[NumL]],T_suiviDi[#Data],COLUMN(T_suiviDi[Prénom]),FALSE),""),"")</f>
        <v/>
      </c>
      <c r="D156" s="52" t="str">
        <f>IFERROR(IF(VLOOKUP(T_Equipement[[#This Row],[NumL]],T_suiviDi[#Data],COLUMN(T_suiviDi[Email]),FALSE)&lt;&gt;"",VLOOKUP(T_Equipement[[#This Row],[NumL]],T_suiviDi[#Data],COLUMN(T_suiviDi[Email]),FALSE),""),"")</f>
        <v/>
      </c>
      <c r="E156" s="53" t="str">
        <f>IFERROR(IF(VLOOKUP(T_Equipement[[#This Row],[NumL]],T_suiviDi[#Data],COLUMN(T_suiviDi[Nom1]),FALSE)&lt;&gt;"",VLOOKUP(T_Equipement[[#This Row],[NumL]],T_suiviDi[#Data],COLUMN(T_suiviDi[Nom1]),FALSE),""),"")</f>
        <v/>
      </c>
      <c r="F156" s="53" t="str">
        <f>IFERROR(IF(VLOOKUP(T_Equipement[[#This Row],[NumL]],T_suiviDi[#Data],COLUMN(T_suiviDi[Prénom1]),FALSE)&lt;&gt;"",VLOOKUP(T_Equipement[[#This Row],[NumL]],T_suiviDi[#Data],COLUMN(T_suiviDi[Prénom1]),FALSE),""),"")</f>
        <v/>
      </c>
      <c r="G156" s="53" t="str">
        <f>IFERROR(IF(VLOOKUP(T_Equipement[[#This Row],[NumL]],T_suiviDi[#Data],COLUMN(T_suiviDi[Email1]),FALSE)&lt;&gt;"",VLOOKUP(T_Equipement[[#This Row],[NumL]],T_suiviDi[#Data],COLUMN(T_suiviDi[Email1]),FALSE),""),"")</f>
        <v/>
      </c>
      <c r="H156" s="59"/>
      <c r="I156" s="61"/>
      <c r="J156" s="60" t="s">
        <v>3165</v>
      </c>
      <c r="K156" s="61"/>
      <c r="L156" s="62"/>
      <c r="M156" s="59"/>
      <c r="N156" s="59"/>
      <c r="O156" s="59"/>
      <c r="P156" s="59"/>
      <c r="Q156" s="59"/>
      <c r="R156" s="59"/>
      <c r="S156" s="61"/>
      <c r="T156" s="59" t="e">
        <f>VLOOKUP(T_Equipement[[#This Row],[NumL]],T_TraitDi[#Data],COLUMN(#REF!),FALSE)</f>
        <v>#REF!</v>
      </c>
    </row>
    <row r="157" spans="1:20" ht="24" customHeight="1" x14ac:dyDescent="0.25">
      <c r="A157" s="90">
        <v>41</v>
      </c>
      <c r="B157" s="51" t="str">
        <f>IFERROR(IF(VLOOKUP(T_Equipement[[#This Row],[NumL]],T_suiviDi[#Data],COLUMN(T_suiviDi[Nom]),FALSE)&lt;&gt;"",VLOOKUP(T_Equipement[[#This Row],[NumL]],T_suiviDi[#Data],COLUMN(T_suiviDi[Nom]),FALSE),""),"")</f>
        <v/>
      </c>
      <c r="C157" s="51" t="str">
        <f>IFERROR(IF(VLOOKUP(T_Equipement[[#This Row],[NumL]],T_suiviDi[#Data],COLUMN(T_suiviDi[Prénom]),FALSE)&lt;&gt;"",VLOOKUP(T_Equipement[[#This Row],[NumL]],T_suiviDi[#Data],COLUMN(T_suiviDi[Prénom]),FALSE),""),"")</f>
        <v/>
      </c>
      <c r="D157" s="52" t="str">
        <f>IFERROR(IF(VLOOKUP(T_Equipement[[#This Row],[NumL]],T_suiviDi[#Data],COLUMN(T_suiviDi[Email]),FALSE)&lt;&gt;"",VLOOKUP(T_Equipement[[#This Row],[NumL]],T_suiviDi[#Data],COLUMN(T_suiviDi[Email]),FALSE),""),"")</f>
        <v/>
      </c>
      <c r="E157" s="53" t="str">
        <f>IFERROR(IF(VLOOKUP(T_Equipement[[#This Row],[NumL]],T_suiviDi[#Data],COLUMN(T_suiviDi[Nom1]),FALSE)&lt;&gt;"",VLOOKUP(T_Equipement[[#This Row],[NumL]],T_suiviDi[#Data],COLUMN(T_suiviDi[Nom1]),FALSE),""),"")</f>
        <v/>
      </c>
      <c r="F157" s="53" t="str">
        <f>IFERROR(IF(VLOOKUP(T_Equipement[[#This Row],[NumL]],T_suiviDi[#Data],COLUMN(T_suiviDi[Prénom1]),FALSE)&lt;&gt;"",VLOOKUP(T_Equipement[[#This Row],[NumL]],T_suiviDi[#Data],COLUMN(T_suiviDi[Prénom1]),FALSE),""),"")</f>
        <v/>
      </c>
      <c r="G157" s="53" t="str">
        <f>IFERROR(IF(VLOOKUP(T_Equipement[[#This Row],[NumL]],T_suiviDi[#Data],COLUMN(T_suiviDi[Email1]),FALSE)&lt;&gt;"",VLOOKUP(T_Equipement[[#This Row],[NumL]],T_suiviDi[#Data],COLUMN(T_suiviDi[Email1]),FALSE),""),"")</f>
        <v/>
      </c>
      <c r="H157" s="59" t="s">
        <v>3277</v>
      </c>
      <c r="I157" s="251">
        <v>44165</v>
      </c>
      <c r="J157" s="60" t="s">
        <v>3166</v>
      </c>
      <c r="K157" s="61"/>
      <c r="L157" s="62"/>
      <c r="M157" s="59"/>
      <c r="N157" s="59"/>
      <c r="O157" s="59"/>
      <c r="P157" s="59"/>
      <c r="Q157" s="59"/>
      <c r="R157" s="59"/>
      <c r="S157" s="61"/>
      <c r="T157" s="59" t="e">
        <f>VLOOKUP(T_Equipement[[#This Row],[NumL]],T_TraitDi[#Data],COLUMN(#REF!),FALSE)</f>
        <v>#REF!</v>
      </c>
    </row>
    <row r="158" spans="1:20" ht="24" customHeight="1" x14ac:dyDescent="0.25">
      <c r="A158" s="90">
        <v>177</v>
      </c>
      <c r="B158" s="51" t="str">
        <f>IFERROR(IF(VLOOKUP(T_Equipement[[#This Row],[NumL]],T_suiviDi[#Data],COLUMN(T_suiviDi[Nom]),FALSE)&lt;&gt;"",VLOOKUP(T_Equipement[[#This Row],[NumL]],T_suiviDi[#Data],COLUMN(T_suiviDi[Nom]),FALSE),""),"")</f>
        <v/>
      </c>
      <c r="C158" s="51" t="str">
        <f>IFERROR(IF(VLOOKUP(T_Equipement[[#This Row],[NumL]],T_suiviDi[#Data],COLUMN(T_suiviDi[Prénom]),FALSE)&lt;&gt;"",VLOOKUP(T_Equipement[[#This Row],[NumL]],T_suiviDi[#Data],COLUMN(T_suiviDi[Prénom]),FALSE),""),"")</f>
        <v/>
      </c>
      <c r="D158" s="52" t="str">
        <f>IFERROR(IF(VLOOKUP(T_Equipement[[#This Row],[NumL]],T_suiviDi[#Data],COLUMN(T_suiviDi[Email]),FALSE)&lt;&gt;"",VLOOKUP(T_Equipement[[#This Row],[NumL]],T_suiviDi[#Data],COLUMN(T_suiviDi[Email]),FALSE),""),"")</f>
        <v/>
      </c>
      <c r="E158" s="53" t="str">
        <f>IFERROR(IF(VLOOKUP(T_Equipement[[#This Row],[NumL]],T_suiviDi[#Data],COLUMN(T_suiviDi[Nom1]),FALSE)&lt;&gt;"",VLOOKUP(T_Equipement[[#This Row],[NumL]],T_suiviDi[#Data],COLUMN(T_suiviDi[Nom1]),FALSE),""),"")</f>
        <v/>
      </c>
      <c r="F158" s="53" t="str">
        <f>IFERROR(IF(VLOOKUP(T_Equipement[[#This Row],[NumL]],T_suiviDi[#Data],COLUMN(T_suiviDi[Prénom1]),FALSE)&lt;&gt;"",VLOOKUP(T_Equipement[[#This Row],[NumL]],T_suiviDi[#Data],COLUMN(T_suiviDi[Prénom1]),FALSE),""),"")</f>
        <v/>
      </c>
      <c r="G158" s="53" t="str">
        <f>IFERROR(IF(VLOOKUP(T_Equipement[[#This Row],[NumL]],T_suiviDi[#Data],COLUMN(T_suiviDi[Email1]),FALSE)&lt;&gt;"",VLOOKUP(T_Equipement[[#This Row],[NumL]],T_suiviDi[#Data],COLUMN(T_suiviDi[Email1]),FALSE),""),"")</f>
        <v/>
      </c>
      <c r="H158" s="59" t="s">
        <v>3277</v>
      </c>
      <c r="I158" s="251">
        <v>44165</v>
      </c>
      <c r="J158" s="60" t="s">
        <v>3167</v>
      </c>
      <c r="K158" s="61"/>
      <c r="L158" s="62"/>
      <c r="M158" s="59"/>
      <c r="N158" s="59"/>
      <c r="O158" s="59"/>
      <c r="P158" s="59"/>
      <c r="Q158" s="59"/>
      <c r="R158" s="59"/>
      <c r="S158" s="61"/>
      <c r="T158" s="59" t="e">
        <f>VLOOKUP(T_Equipement[[#This Row],[NumL]],T_TraitDi[#Data],COLUMN(#REF!),FALSE)</f>
        <v>#REF!</v>
      </c>
    </row>
    <row r="159" spans="1:20" ht="24" customHeight="1" x14ac:dyDescent="0.25">
      <c r="A159" s="90">
        <v>82</v>
      </c>
      <c r="B159" s="51" t="str">
        <f>IFERROR(IF(VLOOKUP(T_Equipement[[#This Row],[NumL]],T_suiviDi[#Data],COLUMN(T_suiviDi[Nom]),FALSE)&lt;&gt;"",VLOOKUP(T_Equipement[[#This Row],[NumL]],T_suiviDi[#Data],COLUMN(T_suiviDi[Nom]),FALSE),""),"")</f>
        <v/>
      </c>
      <c r="C159" s="51" t="str">
        <f>IFERROR(IF(VLOOKUP(T_Equipement[[#This Row],[NumL]],T_suiviDi[#Data],COLUMN(T_suiviDi[Prénom]),FALSE)&lt;&gt;"",VLOOKUP(T_Equipement[[#This Row],[NumL]],T_suiviDi[#Data],COLUMN(T_suiviDi[Prénom]),FALSE),""),"")</f>
        <v/>
      </c>
      <c r="D159" s="52" t="str">
        <f>IFERROR(IF(VLOOKUP(T_Equipement[[#This Row],[NumL]],T_suiviDi[#Data],COLUMN(T_suiviDi[Email]),FALSE)&lt;&gt;"",VLOOKUP(T_Equipement[[#This Row],[NumL]],T_suiviDi[#Data],COLUMN(T_suiviDi[Email]),FALSE),""),"")</f>
        <v/>
      </c>
      <c r="E159" s="53" t="str">
        <f>IFERROR(IF(VLOOKUP(T_Equipement[[#This Row],[NumL]],T_suiviDi[#Data],COLUMN(T_suiviDi[Nom1]),FALSE)&lt;&gt;"",VLOOKUP(T_Equipement[[#This Row],[NumL]],T_suiviDi[#Data],COLUMN(T_suiviDi[Nom1]),FALSE),""),"")</f>
        <v/>
      </c>
      <c r="F159" s="53" t="str">
        <f>IFERROR(IF(VLOOKUP(T_Equipement[[#This Row],[NumL]],T_suiviDi[#Data],COLUMN(T_suiviDi[Prénom1]),FALSE)&lt;&gt;"",VLOOKUP(T_Equipement[[#This Row],[NumL]],T_suiviDi[#Data],COLUMN(T_suiviDi[Prénom1]),FALSE),""),"")</f>
        <v/>
      </c>
      <c r="G159" s="53" t="str">
        <f>IFERROR(IF(VLOOKUP(T_Equipement[[#This Row],[NumL]],T_suiviDi[#Data],COLUMN(T_suiviDi[Email1]),FALSE)&lt;&gt;"",VLOOKUP(T_Equipement[[#This Row],[NumL]],T_suiviDi[#Data],COLUMN(T_suiviDi[Email1]),FALSE),""),"")</f>
        <v/>
      </c>
      <c r="H159" s="59" t="s">
        <v>3277</v>
      </c>
      <c r="I159" s="61"/>
      <c r="J159" s="60" t="s">
        <v>3168</v>
      </c>
      <c r="K159" s="61"/>
      <c r="L159" s="62"/>
      <c r="M159" s="59"/>
      <c r="N159" s="59"/>
      <c r="O159" s="59"/>
      <c r="P159" s="59"/>
      <c r="Q159" s="59"/>
      <c r="R159" s="59"/>
      <c r="S159" s="61"/>
      <c r="T159" s="59" t="e">
        <f>VLOOKUP(T_Equipement[[#This Row],[NumL]],T_TraitDi[#Data],COLUMN(#REF!),FALSE)</f>
        <v>#REF!</v>
      </c>
    </row>
    <row r="160" spans="1:20" ht="24" customHeight="1" x14ac:dyDescent="0.25">
      <c r="A160" s="90">
        <v>338</v>
      </c>
      <c r="B160" s="51" t="str">
        <f>IFERROR(IF(VLOOKUP(T_Equipement[[#This Row],[NumL]],T_suiviDi[#Data],COLUMN(T_suiviDi[Nom]),FALSE)&lt;&gt;"",VLOOKUP(T_Equipement[[#This Row],[NumL]],T_suiviDi[#Data],COLUMN(T_suiviDi[Nom]),FALSE),""),"")</f>
        <v/>
      </c>
      <c r="C160" s="51" t="str">
        <f>IFERROR(IF(VLOOKUP(T_Equipement[[#This Row],[NumL]],T_suiviDi[#Data],COLUMN(T_suiviDi[Prénom]),FALSE)&lt;&gt;"",VLOOKUP(T_Equipement[[#This Row],[NumL]],T_suiviDi[#Data],COLUMN(T_suiviDi[Prénom]),FALSE),""),"")</f>
        <v/>
      </c>
      <c r="D160" s="52" t="str">
        <f>IFERROR(IF(VLOOKUP(T_Equipement[[#This Row],[NumL]],T_suiviDi[#Data],COLUMN(T_suiviDi[Email]),FALSE)&lt;&gt;"",VLOOKUP(T_Equipement[[#This Row],[NumL]],T_suiviDi[#Data],COLUMN(T_suiviDi[Email]),FALSE),""),"")</f>
        <v/>
      </c>
      <c r="E160" s="53" t="str">
        <f>IFERROR(IF(VLOOKUP(T_Equipement[[#This Row],[NumL]],T_suiviDi[#Data],COLUMN(T_suiviDi[Nom1]),FALSE)&lt;&gt;"",VLOOKUP(T_Equipement[[#This Row],[NumL]],T_suiviDi[#Data],COLUMN(T_suiviDi[Nom1]),FALSE),""),"")</f>
        <v/>
      </c>
      <c r="F160" s="53" t="str">
        <f>IFERROR(IF(VLOOKUP(T_Equipement[[#This Row],[NumL]],T_suiviDi[#Data],COLUMN(T_suiviDi[Prénom1]),FALSE)&lt;&gt;"",VLOOKUP(T_Equipement[[#This Row],[NumL]],T_suiviDi[#Data],COLUMN(T_suiviDi[Prénom1]),FALSE),""),"")</f>
        <v/>
      </c>
      <c r="G160" s="53" t="str">
        <f>IFERROR(IF(VLOOKUP(T_Equipement[[#This Row],[NumL]],T_suiviDi[#Data],COLUMN(T_suiviDi[Email1]),FALSE)&lt;&gt;"",VLOOKUP(T_Equipement[[#This Row],[NumL]],T_suiviDi[#Data],COLUMN(T_suiviDi[Email1]),FALSE),""),"")</f>
        <v/>
      </c>
      <c r="H160" s="59"/>
      <c r="I160" s="61"/>
      <c r="J160" s="60"/>
      <c r="K160" s="61"/>
      <c r="L160" s="62"/>
      <c r="M160" s="59"/>
      <c r="N160" s="59"/>
      <c r="O160" s="59"/>
      <c r="P160" s="59"/>
      <c r="Q160" s="59"/>
      <c r="R160" s="59"/>
      <c r="S160" s="61"/>
      <c r="T160" s="59"/>
    </row>
    <row r="161" spans="1:20" ht="24" customHeight="1" x14ac:dyDescent="0.25">
      <c r="A161" s="90">
        <v>190</v>
      </c>
      <c r="B161" s="51" t="str">
        <f>IFERROR(IF(VLOOKUP(T_Equipement[[#This Row],[NumL]],T_suiviDi[#Data],COLUMN(T_suiviDi[Nom]),FALSE)&lt;&gt;"",VLOOKUP(T_Equipement[[#This Row],[NumL]],T_suiviDi[#Data],COLUMN(T_suiviDi[Nom]),FALSE),""),"")</f>
        <v/>
      </c>
      <c r="C161" s="51" t="str">
        <f>IFERROR(IF(VLOOKUP(T_Equipement[[#This Row],[NumL]],T_suiviDi[#Data],COLUMN(T_suiviDi[Prénom]),FALSE)&lt;&gt;"",VLOOKUP(T_Equipement[[#This Row],[NumL]],T_suiviDi[#Data],COLUMN(T_suiviDi[Prénom]),FALSE),""),"")</f>
        <v/>
      </c>
      <c r="D161" s="52" t="str">
        <f>IFERROR(IF(VLOOKUP(T_Equipement[[#This Row],[NumL]],T_suiviDi[#Data],COLUMN(T_suiviDi[Email]),FALSE)&lt;&gt;"",VLOOKUP(T_Equipement[[#This Row],[NumL]],T_suiviDi[#Data],COLUMN(T_suiviDi[Email]),FALSE),""),"")</f>
        <v/>
      </c>
      <c r="E161" s="53" t="str">
        <f>IFERROR(IF(VLOOKUP(T_Equipement[[#This Row],[NumL]],T_suiviDi[#Data],COLUMN(T_suiviDi[Nom1]),FALSE)&lt;&gt;"",VLOOKUP(T_Equipement[[#This Row],[NumL]],T_suiviDi[#Data],COLUMN(T_suiviDi[Nom1]),FALSE),""),"")</f>
        <v/>
      </c>
      <c r="F161" s="53" t="str">
        <f>IFERROR(IF(VLOOKUP(T_Equipement[[#This Row],[NumL]],T_suiviDi[#Data],COLUMN(T_suiviDi[Prénom1]),FALSE)&lt;&gt;"",VLOOKUP(T_Equipement[[#This Row],[NumL]],T_suiviDi[#Data],COLUMN(T_suiviDi[Prénom1]),FALSE),""),"")</f>
        <v/>
      </c>
      <c r="G161" s="53" t="str">
        <f>IFERROR(IF(VLOOKUP(T_Equipement[[#This Row],[NumL]],T_suiviDi[#Data],COLUMN(T_suiviDi[Email1]),FALSE)&lt;&gt;"",VLOOKUP(T_Equipement[[#This Row],[NumL]],T_suiviDi[#Data],COLUMN(T_suiviDi[Email1]),FALSE),""),"")</f>
        <v/>
      </c>
      <c r="H161" s="59" t="s">
        <v>3277</v>
      </c>
      <c r="I161" s="251">
        <v>44165</v>
      </c>
      <c r="J161" s="60" t="s">
        <v>3170</v>
      </c>
      <c r="K161" s="61"/>
      <c r="L161" s="62"/>
      <c r="M161" s="59"/>
      <c r="N161" s="59"/>
      <c r="O161" s="59"/>
      <c r="P161" s="59"/>
      <c r="Q161" s="59"/>
      <c r="R161" s="59"/>
      <c r="S161" s="61"/>
      <c r="T161" s="59" t="e">
        <f>VLOOKUP(T_Equipement[[#This Row],[NumL]],T_TraitDi[#Data],COLUMN(#REF!),FALSE)</f>
        <v>#REF!</v>
      </c>
    </row>
    <row r="162" spans="1:20" ht="24" customHeight="1" x14ac:dyDescent="0.25">
      <c r="A162" s="90">
        <v>285</v>
      </c>
      <c r="B162" s="51" t="str">
        <f>IFERROR(IF(VLOOKUP(T_Equipement[[#This Row],[NumL]],T_suiviDi[#Data],COLUMN(T_suiviDi[Nom]),FALSE)&lt;&gt;"",VLOOKUP(T_Equipement[[#This Row],[NumL]],T_suiviDi[#Data],COLUMN(T_suiviDi[Nom]),FALSE),""),"")</f>
        <v/>
      </c>
      <c r="C162" s="51" t="str">
        <f>IFERROR(IF(VLOOKUP(T_Equipement[[#This Row],[NumL]],T_suiviDi[#Data],COLUMN(T_suiviDi[Prénom]),FALSE)&lt;&gt;"",VLOOKUP(T_Equipement[[#This Row],[NumL]],T_suiviDi[#Data],COLUMN(T_suiviDi[Prénom]),FALSE),""),"")</f>
        <v/>
      </c>
      <c r="D162" s="52" t="str">
        <f>IFERROR(IF(VLOOKUP(T_Equipement[[#This Row],[NumL]],T_suiviDi[#Data],COLUMN(T_suiviDi[Email]),FALSE)&lt;&gt;"",VLOOKUP(T_Equipement[[#This Row],[NumL]],T_suiviDi[#Data],COLUMN(T_suiviDi[Email]),FALSE),""),"")</f>
        <v/>
      </c>
      <c r="E162" s="53" t="str">
        <f>IFERROR(IF(VLOOKUP(T_Equipement[[#This Row],[NumL]],T_suiviDi[#Data],COLUMN(T_suiviDi[Nom1]),FALSE)&lt;&gt;"",VLOOKUP(T_Equipement[[#This Row],[NumL]],T_suiviDi[#Data],COLUMN(T_suiviDi[Nom1]),FALSE),""),"")</f>
        <v/>
      </c>
      <c r="F162" s="53" t="str">
        <f>IFERROR(IF(VLOOKUP(T_Equipement[[#This Row],[NumL]],T_suiviDi[#Data],COLUMN(T_suiviDi[Prénom1]),FALSE)&lt;&gt;"",VLOOKUP(T_Equipement[[#This Row],[NumL]],T_suiviDi[#Data],COLUMN(T_suiviDi[Prénom1]),FALSE),""),"")</f>
        <v/>
      </c>
      <c r="G162" s="53" t="str">
        <f>IFERROR(IF(VLOOKUP(T_Equipement[[#This Row],[NumL]],T_suiviDi[#Data],COLUMN(T_suiviDi[Email1]),FALSE)&lt;&gt;"",VLOOKUP(T_Equipement[[#This Row],[NumL]],T_suiviDi[#Data],COLUMN(T_suiviDi[Email1]),FALSE),""),"")</f>
        <v/>
      </c>
      <c r="H162" s="59" t="s">
        <v>3278</v>
      </c>
      <c r="I162" s="61"/>
      <c r="J162" s="60" t="s">
        <v>3171</v>
      </c>
      <c r="K162" s="61"/>
      <c r="L162" s="62"/>
      <c r="M162" s="59"/>
      <c r="N162" s="59"/>
      <c r="O162" s="59"/>
      <c r="P162" s="59"/>
      <c r="Q162" s="59"/>
      <c r="R162" s="59"/>
      <c r="S162" s="61"/>
      <c r="T162" s="59" t="e">
        <f>VLOOKUP(T_Equipement[[#This Row],[NumL]],T_TraitDi[#Data],COLUMN(#REF!),FALSE)</f>
        <v>#REF!</v>
      </c>
    </row>
    <row r="163" spans="1:20" ht="24" customHeight="1" x14ac:dyDescent="0.25">
      <c r="A163" s="90">
        <v>9</v>
      </c>
      <c r="B163" s="51" t="str">
        <f>IFERROR(IF(VLOOKUP(T_Equipement[[#This Row],[NumL]],T_suiviDi[#Data],COLUMN(T_suiviDi[Nom]),FALSE)&lt;&gt;"",VLOOKUP(T_Equipement[[#This Row],[NumL]],T_suiviDi[#Data],COLUMN(T_suiviDi[Nom]),FALSE),""),"")</f>
        <v/>
      </c>
      <c r="C163" s="51" t="str">
        <f>IFERROR(IF(VLOOKUP(T_Equipement[[#This Row],[NumL]],T_suiviDi[#Data],COLUMN(T_suiviDi[Prénom]),FALSE)&lt;&gt;"",VLOOKUP(T_Equipement[[#This Row],[NumL]],T_suiviDi[#Data],COLUMN(T_suiviDi[Prénom]),FALSE),""),"")</f>
        <v/>
      </c>
      <c r="D163" s="52" t="str">
        <f>IFERROR(IF(VLOOKUP(T_Equipement[[#This Row],[NumL]],T_suiviDi[#Data],COLUMN(T_suiviDi[Email]),FALSE)&lt;&gt;"",VLOOKUP(T_Equipement[[#This Row],[NumL]],T_suiviDi[#Data],COLUMN(T_suiviDi[Email]),FALSE),""),"")</f>
        <v/>
      </c>
      <c r="E163" s="53" t="str">
        <f>IFERROR(IF(VLOOKUP(T_Equipement[[#This Row],[NumL]],T_suiviDi[#Data],COLUMN(T_suiviDi[Nom1]),FALSE)&lt;&gt;"",VLOOKUP(T_Equipement[[#This Row],[NumL]],T_suiviDi[#Data],COLUMN(T_suiviDi[Nom1]),FALSE),""),"")</f>
        <v/>
      </c>
      <c r="F163" s="53" t="str">
        <f>IFERROR(IF(VLOOKUP(T_Equipement[[#This Row],[NumL]],T_suiviDi[#Data],COLUMN(T_suiviDi[Prénom1]),FALSE)&lt;&gt;"",VLOOKUP(T_Equipement[[#This Row],[NumL]],T_suiviDi[#Data],COLUMN(T_suiviDi[Prénom1]),FALSE),""),"")</f>
        <v/>
      </c>
      <c r="G163" s="53" t="str">
        <f>IFERROR(IF(VLOOKUP(T_Equipement[[#This Row],[NumL]],T_suiviDi[#Data],COLUMN(T_suiviDi[Email1]),FALSE)&lt;&gt;"",VLOOKUP(T_Equipement[[#This Row],[NumL]],T_suiviDi[#Data],COLUMN(T_suiviDi[Email1]),FALSE),""),"")</f>
        <v/>
      </c>
      <c r="H163" s="59"/>
      <c r="I163" s="61"/>
      <c r="J163" s="252" t="s">
        <v>3172</v>
      </c>
      <c r="K163" s="61"/>
      <c r="L163" s="62"/>
      <c r="M163" s="59"/>
      <c r="N163" s="59"/>
      <c r="O163" s="59"/>
      <c r="P163" s="59"/>
      <c r="Q163" s="59"/>
      <c r="R163" s="59"/>
      <c r="S163" s="61"/>
      <c r="T163" s="59" t="e">
        <f>VLOOKUP(T_Equipement[[#This Row],[NumL]],T_TraitDi[#Data],COLUMN(#REF!),FALSE)</f>
        <v>#REF!</v>
      </c>
    </row>
    <row r="164" spans="1:20" ht="24" customHeight="1" x14ac:dyDescent="0.25">
      <c r="A164" s="90">
        <v>267</v>
      </c>
      <c r="B164" s="51" t="str">
        <f>IFERROR(IF(VLOOKUP(T_Equipement[[#This Row],[NumL]],T_suiviDi[#Data],COLUMN(T_suiviDi[Nom]),FALSE)&lt;&gt;"",VLOOKUP(T_Equipement[[#This Row],[NumL]],T_suiviDi[#Data],COLUMN(T_suiviDi[Nom]),FALSE),""),"")</f>
        <v/>
      </c>
      <c r="C164" s="51" t="str">
        <f>IFERROR(IF(VLOOKUP(T_Equipement[[#This Row],[NumL]],T_suiviDi[#Data],COLUMN(T_suiviDi[Prénom]),FALSE)&lt;&gt;"",VLOOKUP(T_Equipement[[#This Row],[NumL]],T_suiviDi[#Data],COLUMN(T_suiviDi[Prénom]),FALSE),""),"")</f>
        <v/>
      </c>
      <c r="D164" s="52" t="str">
        <f>IFERROR(IF(VLOOKUP(T_Equipement[[#This Row],[NumL]],T_suiviDi[#Data],COLUMN(T_suiviDi[Email]),FALSE)&lt;&gt;"",VLOOKUP(T_Equipement[[#This Row],[NumL]],T_suiviDi[#Data],COLUMN(T_suiviDi[Email]),FALSE),""),"")</f>
        <v/>
      </c>
      <c r="E164" s="53" t="str">
        <f>IFERROR(IF(VLOOKUP(T_Equipement[[#This Row],[NumL]],T_suiviDi[#Data],COLUMN(T_suiviDi[Nom1]),FALSE)&lt;&gt;"",VLOOKUP(T_Equipement[[#This Row],[NumL]],T_suiviDi[#Data],COLUMN(T_suiviDi[Nom1]),FALSE),""),"")</f>
        <v/>
      </c>
      <c r="F164" s="53" t="str">
        <f>IFERROR(IF(VLOOKUP(T_Equipement[[#This Row],[NumL]],T_suiviDi[#Data],COLUMN(T_suiviDi[Prénom1]),FALSE)&lt;&gt;"",VLOOKUP(T_Equipement[[#This Row],[NumL]],T_suiviDi[#Data],COLUMN(T_suiviDi[Prénom1]),FALSE),""),"")</f>
        <v/>
      </c>
      <c r="G164" s="53" t="str">
        <f>IFERROR(IF(VLOOKUP(T_Equipement[[#This Row],[NumL]],T_suiviDi[#Data],COLUMN(T_suiviDi[Email1]),FALSE)&lt;&gt;"",VLOOKUP(T_Equipement[[#This Row],[NumL]],T_suiviDi[#Data],COLUMN(T_suiviDi[Email1]),FALSE),""),"")</f>
        <v/>
      </c>
      <c r="H164" s="59" t="s">
        <v>3278</v>
      </c>
      <c r="I164" s="251">
        <v>44165</v>
      </c>
      <c r="J164" s="252" t="s">
        <v>3173</v>
      </c>
      <c r="K164" s="61"/>
      <c r="L164" s="62"/>
      <c r="M164" s="59"/>
      <c r="N164" s="59"/>
      <c r="O164" s="59"/>
      <c r="P164" s="59"/>
      <c r="Q164" s="59"/>
      <c r="R164" s="59"/>
      <c r="S164" s="61"/>
      <c r="T164" s="59" t="e">
        <f>VLOOKUP(T_Equipement[[#This Row],[NumL]],T_TraitDi[#Data],COLUMN(#REF!),FALSE)</f>
        <v>#REF!</v>
      </c>
    </row>
    <row r="165" spans="1:20" ht="24" customHeight="1" x14ac:dyDescent="0.25">
      <c r="A165" s="90">
        <v>182</v>
      </c>
      <c r="B165" s="51" t="str">
        <f>IFERROR(IF(VLOOKUP(T_Equipement[[#This Row],[NumL]],T_suiviDi[#Data],COLUMN(T_suiviDi[Nom]),FALSE)&lt;&gt;"",VLOOKUP(T_Equipement[[#This Row],[NumL]],T_suiviDi[#Data],COLUMN(T_suiviDi[Nom]),FALSE),""),"")</f>
        <v/>
      </c>
      <c r="C165" s="51" t="str">
        <f>IFERROR(IF(VLOOKUP(T_Equipement[[#This Row],[NumL]],T_suiviDi[#Data],COLUMN(T_suiviDi[Prénom]),FALSE)&lt;&gt;"",VLOOKUP(T_Equipement[[#This Row],[NumL]],T_suiviDi[#Data],COLUMN(T_suiviDi[Prénom]),FALSE),""),"")</f>
        <v/>
      </c>
      <c r="D165" s="52" t="str">
        <f>IFERROR(IF(VLOOKUP(T_Equipement[[#This Row],[NumL]],T_suiviDi[#Data],COLUMN(T_suiviDi[Email]),FALSE)&lt;&gt;"",VLOOKUP(T_Equipement[[#This Row],[NumL]],T_suiviDi[#Data],COLUMN(T_suiviDi[Email]),FALSE),""),"")</f>
        <v/>
      </c>
      <c r="E165" s="53" t="str">
        <f>IFERROR(IF(VLOOKUP(T_Equipement[[#This Row],[NumL]],T_suiviDi[#Data],COLUMN(T_suiviDi[Nom1]),FALSE)&lt;&gt;"",VLOOKUP(T_Equipement[[#This Row],[NumL]],T_suiviDi[#Data],COLUMN(T_suiviDi[Nom1]),FALSE),""),"")</f>
        <v/>
      </c>
      <c r="F165" s="53" t="str">
        <f>IFERROR(IF(VLOOKUP(T_Equipement[[#This Row],[NumL]],T_suiviDi[#Data],COLUMN(T_suiviDi[Prénom1]),FALSE)&lt;&gt;"",VLOOKUP(T_Equipement[[#This Row],[NumL]],T_suiviDi[#Data],COLUMN(T_suiviDi[Prénom1]),FALSE),""),"")</f>
        <v/>
      </c>
      <c r="G165" s="53" t="str">
        <f>IFERROR(IF(VLOOKUP(T_Equipement[[#This Row],[NumL]],T_suiviDi[#Data],COLUMN(T_suiviDi[Email1]),FALSE)&lt;&gt;"",VLOOKUP(T_Equipement[[#This Row],[NumL]],T_suiviDi[#Data],COLUMN(T_suiviDi[Email1]),FALSE),""),"")</f>
        <v/>
      </c>
      <c r="H165" s="59" t="s">
        <v>3277</v>
      </c>
      <c r="I165" s="251">
        <v>44165</v>
      </c>
      <c r="J165" s="60" t="s">
        <v>3174</v>
      </c>
      <c r="K165" s="61"/>
      <c r="L165" s="62"/>
      <c r="M165" s="59"/>
      <c r="N165" s="59"/>
      <c r="O165" s="59"/>
      <c r="P165" s="59"/>
      <c r="Q165" s="59"/>
      <c r="R165" s="59"/>
      <c r="S165" s="61"/>
      <c r="T165" s="59" t="e">
        <f>VLOOKUP(T_Equipement[[#This Row],[NumL]],T_TraitDi[#Data],COLUMN(#REF!),FALSE)</f>
        <v>#REF!</v>
      </c>
    </row>
    <row r="166" spans="1:20" ht="24" customHeight="1" x14ac:dyDescent="0.25">
      <c r="A166" s="90">
        <v>275</v>
      </c>
      <c r="B166" s="51" t="str">
        <f>IFERROR(IF(VLOOKUP(T_Equipement[[#This Row],[NumL]],T_suiviDi[#Data],COLUMN(T_suiviDi[Nom]),FALSE)&lt;&gt;"",VLOOKUP(T_Equipement[[#This Row],[NumL]],T_suiviDi[#Data],COLUMN(T_suiviDi[Nom]),FALSE),""),"")</f>
        <v/>
      </c>
      <c r="C166" s="51" t="str">
        <f>IFERROR(IF(VLOOKUP(T_Equipement[[#This Row],[NumL]],T_suiviDi[#Data],COLUMN(T_suiviDi[Prénom]),FALSE)&lt;&gt;"",VLOOKUP(T_Equipement[[#This Row],[NumL]],T_suiviDi[#Data],COLUMN(T_suiviDi[Prénom]),FALSE),""),"")</f>
        <v/>
      </c>
      <c r="D166" s="52" t="str">
        <f>IFERROR(IF(VLOOKUP(T_Equipement[[#This Row],[NumL]],T_suiviDi[#Data],COLUMN(T_suiviDi[Email]),FALSE)&lt;&gt;"",VLOOKUP(T_Equipement[[#This Row],[NumL]],T_suiviDi[#Data],COLUMN(T_suiviDi[Email]),FALSE),""),"")</f>
        <v/>
      </c>
      <c r="E166" s="53" t="str">
        <f>IFERROR(IF(VLOOKUP(T_Equipement[[#This Row],[NumL]],T_suiviDi[#Data],COLUMN(T_suiviDi[Nom1]),FALSE)&lt;&gt;"",VLOOKUP(T_Equipement[[#This Row],[NumL]],T_suiviDi[#Data],COLUMN(T_suiviDi[Nom1]),FALSE),""),"")</f>
        <v/>
      </c>
      <c r="F166" s="53" t="str">
        <f>IFERROR(IF(VLOOKUP(T_Equipement[[#This Row],[NumL]],T_suiviDi[#Data],COLUMN(T_suiviDi[Prénom1]),FALSE)&lt;&gt;"",VLOOKUP(T_Equipement[[#This Row],[NumL]],T_suiviDi[#Data],COLUMN(T_suiviDi[Prénom1]),FALSE),""),"")</f>
        <v/>
      </c>
      <c r="G166" s="53" t="str">
        <f>IFERROR(IF(VLOOKUP(T_Equipement[[#This Row],[NumL]],T_suiviDi[#Data],COLUMN(T_suiviDi[Email1]),FALSE)&lt;&gt;"",VLOOKUP(T_Equipement[[#This Row],[NumL]],T_suiviDi[#Data],COLUMN(T_suiviDi[Email1]),FALSE),""),"")</f>
        <v/>
      </c>
      <c r="H166" s="59" t="s">
        <v>3277</v>
      </c>
      <c r="I166" s="61"/>
      <c r="J166" s="60" t="s">
        <v>3175</v>
      </c>
      <c r="K166" s="61"/>
      <c r="L166" s="62"/>
      <c r="M166" s="59"/>
      <c r="N166" s="59"/>
      <c r="O166" s="59"/>
      <c r="P166" s="59"/>
      <c r="Q166" s="59"/>
      <c r="R166" s="59"/>
      <c r="S166" s="61"/>
      <c r="T166" s="59" t="e">
        <f>VLOOKUP(T_Equipement[[#This Row],[NumL]],T_TraitDi[#Data],COLUMN(#REF!),FALSE)</f>
        <v>#REF!</v>
      </c>
    </row>
    <row r="167" spans="1:20" ht="24" customHeight="1" x14ac:dyDescent="0.25">
      <c r="A167" s="90">
        <v>133</v>
      </c>
      <c r="B167" s="51" t="str">
        <f>IFERROR(IF(VLOOKUP(T_Equipement[[#This Row],[NumL]],T_suiviDi[#Data],COLUMN(T_suiviDi[Nom]),FALSE)&lt;&gt;"",VLOOKUP(T_Equipement[[#This Row],[NumL]],T_suiviDi[#Data],COLUMN(T_suiviDi[Nom]),FALSE),""),"")</f>
        <v/>
      </c>
      <c r="C167" s="51" t="str">
        <f>IFERROR(IF(VLOOKUP(T_Equipement[[#This Row],[NumL]],T_suiviDi[#Data],COLUMN(T_suiviDi[Prénom]),FALSE)&lt;&gt;"",VLOOKUP(T_Equipement[[#This Row],[NumL]],T_suiviDi[#Data],COLUMN(T_suiviDi[Prénom]),FALSE),""),"")</f>
        <v/>
      </c>
      <c r="D167" s="52" t="str">
        <f>IFERROR(IF(VLOOKUP(T_Equipement[[#This Row],[NumL]],T_suiviDi[#Data],COLUMN(T_suiviDi[Email]),FALSE)&lt;&gt;"",VLOOKUP(T_Equipement[[#This Row],[NumL]],T_suiviDi[#Data],COLUMN(T_suiviDi[Email]),FALSE),""),"")</f>
        <v/>
      </c>
      <c r="E167" s="53" t="str">
        <f>IFERROR(IF(VLOOKUP(T_Equipement[[#This Row],[NumL]],T_suiviDi[#Data],COLUMN(T_suiviDi[Nom1]),FALSE)&lt;&gt;"",VLOOKUP(T_Equipement[[#This Row],[NumL]],T_suiviDi[#Data],COLUMN(T_suiviDi[Nom1]),FALSE),""),"")</f>
        <v/>
      </c>
      <c r="F167" s="53" t="str">
        <f>IFERROR(IF(VLOOKUP(T_Equipement[[#This Row],[NumL]],T_suiviDi[#Data],COLUMN(T_suiviDi[Prénom1]),FALSE)&lt;&gt;"",VLOOKUP(T_Equipement[[#This Row],[NumL]],T_suiviDi[#Data],COLUMN(T_suiviDi[Prénom1]),FALSE),""),"")</f>
        <v/>
      </c>
      <c r="G167" s="53" t="str">
        <f>IFERROR(IF(VLOOKUP(T_Equipement[[#This Row],[NumL]],T_suiviDi[#Data],COLUMN(T_suiviDi[Email1]),FALSE)&lt;&gt;"",VLOOKUP(T_Equipement[[#This Row],[NumL]],T_suiviDi[#Data],COLUMN(T_suiviDi[Email1]),FALSE),""),"")</f>
        <v/>
      </c>
      <c r="H167" s="59"/>
      <c r="I167" s="61"/>
      <c r="J167" s="60" t="s">
        <v>3176</v>
      </c>
      <c r="K167" s="61"/>
      <c r="L167" s="62"/>
      <c r="M167" s="59"/>
      <c r="N167" s="59"/>
      <c r="O167" s="59"/>
      <c r="P167" s="59"/>
      <c r="Q167" s="59"/>
      <c r="R167" s="59"/>
      <c r="S167" s="61"/>
      <c r="T167" s="59" t="e">
        <f>VLOOKUP(T_Equipement[[#This Row],[NumL]],T_TraitDi[#Data],COLUMN(#REF!),FALSE)</f>
        <v>#REF!</v>
      </c>
    </row>
    <row r="168" spans="1:20" ht="24" customHeight="1" x14ac:dyDescent="0.25">
      <c r="A168" s="90">
        <v>321</v>
      </c>
      <c r="B168" s="51" t="str">
        <f>IFERROR(IF(VLOOKUP(T_Equipement[[#This Row],[NumL]],T_suiviDi[#Data],COLUMN(T_suiviDi[Nom]),FALSE)&lt;&gt;"",VLOOKUP(T_Equipement[[#This Row],[NumL]],T_suiviDi[#Data],COLUMN(T_suiviDi[Nom]),FALSE),""),"")</f>
        <v/>
      </c>
      <c r="C168" s="51" t="str">
        <f>IFERROR(IF(VLOOKUP(T_Equipement[[#This Row],[NumL]],T_suiviDi[#Data],COLUMN(T_suiviDi[Prénom]),FALSE)&lt;&gt;"",VLOOKUP(T_Equipement[[#This Row],[NumL]],T_suiviDi[#Data],COLUMN(T_suiviDi[Prénom]),FALSE),""),"")</f>
        <v/>
      </c>
      <c r="D168" s="52" t="str">
        <f>IFERROR(IF(VLOOKUP(T_Equipement[[#This Row],[NumL]],T_suiviDi[#Data],COLUMN(T_suiviDi[Email]),FALSE)&lt;&gt;"",VLOOKUP(T_Equipement[[#This Row],[NumL]],T_suiviDi[#Data],COLUMN(T_suiviDi[Email]),FALSE),""),"")</f>
        <v/>
      </c>
      <c r="E168" s="53" t="str">
        <f>IFERROR(IF(VLOOKUP(T_Equipement[[#This Row],[NumL]],T_suiviDi[#Data],COLUMN(T_suiviDi[Nom1]),FALSE)&lt;&gt;"",VLOOKUP(T_Equipement[[#This Row],[NumL]],T_suiviDi[#Data],COLUMN(T_suiviDi[Nom1]),FALSE),""),"")</f>
        <v/>
      </c>
      <c r="F168" s="53" t="str">
        <f>IFERROR(IF(VLOOKUP(T_Equipement[[#This Row],[NumL]],T_suiviDi[#Data],COLUMN(T_suiviDi[Prénom1]),FALSE)&lt;&gt;"",VLOOKUP(T_Equipement[[#This Row],[NumL]],T_suiviDi[#Data],COLUMN(T_suiviDi[Prénom1]),FALSE),""),"")</f>
        <v/>
      </c>
      <c r="G168" s="53" t="str">
        <f>IFERROR(IF(VLOOKUP(T_Equipement[[#This Row],[NumL]],T_suiviDi[#Data],COLUMN(T_suiviDi[Email1]),FALSE)&lt;&gt;"",VLOOKUP(T_Equipement[[#This Row],[NumL]],T_suiviDi[#Data],COLUMN(T_suiviDi[Email1]),FALSE),""),"")</f>
        <v/>
      </c>
      <c r="H168" s="59"/>
      <c r="I168" s="61"/>
      <c r="J168" s="60"/>
      <c r="K168" s="61"/>
      <c r="L168" s="62"/>
      <c r="M168" s="59"/>
      <c r="N168" s="59"/>
      <c r="O168" s="59"/>
      <c r="P168" s="59"/>
      <c r="Q168" s="59"/>
      <c r="R168" s="59"/>
      <c r="S168" s="61"/>
      <c r="T168" s="59"/>
    </row>
    <row r="169" spans="1:20" ht="24" customHeight="1" x14ac:dyDescent="0.25">
      <c r="A169" s="90">
        <v>238</v>
      </c>
      <c r="B169" s="51" t="str">
        <f>IFERROR(IF(VLOOKUP(T_Equipement[[#This Row],[NumL]],T_suiviDi[#Data],COLUMN(T_suiviDi[Nom]),FALSE)&lt;&gt;"",VLOOKUP(T_Equipement[[#This Row],[NumL]],T_suiviDi[#Data],COLUMN(T_suiviDi[Nom]),FALSE),""),"")</f>
        <v/>
      </c>
      <c r="C169" s="51" t="str">
        <f>IFERROR(IF(VLOOKUP(T_Equipement[[#This Row],[NumL]],T_suiviDi[#Data],COLUMN(T_suiviDi[Prénom]),FALSE)&lt;&gt;"",VLOOKUP(T_Equipement[[#This Row],[NumL]],T_suiviDi[#Data],COLUMN(T_suiviDi[Prénom]),FALSE),""),"")</f>
        <v/>
      </c>
      <c r="D169" s="52" t="str">
        <f>IFERROR(IF(VLOOKUP(T_Equipement[[#This Row],[NumL]],T_suiviDi[#Data],COLUMN(T_suiviDi[Email]),FALSE)&lt;&gt;"",VLOOKUP(T_Equipement[[#This Row],[NumL]],T_suiviDi[#Data],COLUMN(T_suiviDi[Email]),FALSE),""),"")</f>
        <v/>
      </c>
      <c r="E169" s="53" t="str">
        <f>IFERROR(IF(VLOOKUP(T_Equipement[[#This Row],[NumL]],T_suiviDi[#Data],COLUMN(T_suiviDi[Nom1]),FALSE)&lt;&gt;"",VLOOKUP(T_Equipement[[#This Row],[NumL]],T_suiviDi[#Data],COLUMN(T_suiviDi[Nom1]),FALSE),""),"")</f>
        <v/>
      </c>
      <c r="F169" s="53" t="str">
        <f>IFERROR(IF(VLOOKUP(T_Equipement[[#This Row],[NumL]],T_suiviDi[#Data],COLUMN(T_suiviDi[Prénom1]),FALSE)&lt;&gt;"",VLOOKUP(T_Equipement[[#This Row],[NumL]],T_suiviDi[#Data],COLUMN(T_suiviDi[Prénom1]),FALSE),""),"")</f>
        <v/>
      </c>
      <c r="G169" s="53" t="str">
        <f>IFERROR(IF(VLOOKUP(T_Equipement[[#This Row],[NumL]],T_suiviDi[#Data],COLUMN(T_suiviDi[Email1]),FALSE)&lt;&gt;"",VLOOKUP(T_Equipement[[#This Row],[NumL]],T_suiviDi[#Data],COLUMN(T_suiviDi[Email1]),FALSE),""),"")</f>
        <v/>
      </c>
      <c r="H169" s="59" t="s">
        <v>3277</v>
      </c>
      <c r="I169" s="251">
        <v>44165</v>
      </c>
      <c r="J169" s="60" t="s">
        <v>3177</v>
      </c>
      <c r="K169" s="61"/>
      <c r="L169" s="62"/>
      <c r="M169" s="59"/>
      <c r="N169" s="59"/>
      <c r="O169" s="59"/>
      <c r="P169" s="59"/>
      <c r="Q169" s="59"/>
      <c r="R169" s="59"/>
      <c r="S169" s="61"/>
      <c r="T169" s="59" t="e">
        <f>VLOOKUP(T_Equipement[[#This Row],[NumL]],T_TraitDi[#Data],COLUMN(#REF!),FALSE)</f>
        <v>#REF!</v>
      </c>
    </row>
    <row r="170" spans="1:20" ht="24" customHeight="1" x14ac:dyDescent="0.25">
      <c r="A170" s="90">
        <v>34</v>
      </c>
      <c r="B170" s="51" t="str">
        <f>IFERROR(IF(VLOOKUP(T_Equipement[[#This Row],[NumL]],T_suiviDi[#Data],COLUMN(T_suiviDi[Nom]),FALSE)&lt;&gt;"",VLOOKUP(T_Equipement[[#This Row],[NumL]],T_suiviDi[#Data],COLUMN(T_suiviDi[Nom]),FALSE),""),"")</f>
        <v/>
      </c>
      <c r="C170" s="51" t="str">
        <f>IFERROR(IF(VLOOKUP(T_Equipement[[#This Row],[NumL]],T_suiviDi[#Data],COLUMN(T_suiviDi[Prénom]),FALSE)&lt;&gt;"",VLOOKUP(T_Equipement[[#This Row],[NumL]],T_suiviDi[#Data],COLUMN(T_suiviDi[Prénom]),FALSE),""),"")</f>
        <v/>
      </c>
      <c r="D170" s="52" t="str">
        <f>IFERROR(IF(VLOOKUP(T_Equipement[[#This Row],[NumL]],T_suiviDi[#Data],COLUMN(T_suiviDi[Email]),FALSE)&lt;&gt;"",VLOOKUP(T_Equipement[[#This Row],[NumL]],T_suiviDi[#Data],COLUMN(T_suiviDi[Email]),FALSE),""),"")</f>
        <v/>
      </c>
      <c r="E170" s="53" t="str">
        <f>IFERROR(IF(VLOOKUP(T_Equipement[[#This Row],[NumL]],T_suiviDi[#Data],COLUMN(T_suiviDi[Nom1]),FALSE)&lt;&gt;"",VLOOKUP(T_Equipement[[#This Row],[NumL]],T_suiviDi[#Data],COLUMN(T_suiviDi[Nom1]),FALSE),""),"")</f>
        <v/>
      </c>
      <c r="F170" s="53" t="str">
        <f>IFERROR(IF(VLOOKUP(T_Equipement[[#This Row],[NumL]],T_suiviDi[#Data],COLUMN(T_suiviDi[Prénom1]),FALSE)&lt;&gt;"",VLOOKUP(T_Equipement[[#This Row],[NumL]],T_suiviDi[#Data],COLUMN(T_suiviDi[Prénom1]),FALSE),""),"")</f>
        <v/>
      </c>
      <c r="G170" s="53" t="str">
        <f>IFERROR(IF(VLOOKUP(T_Equipement[[#This Row],[NumL]],T_suiviDi[#Data],COLUMN(T_suiviDi[Email1]),FALSE)&lt;&gt;"",VLOOKUP(T_Equipement[[#This Row],[NumL]],T_suiviDi[#Data],COLUMN(T_suiviDi[Email1]),FALSE),""),"")</f>
        <v/>
      </c>
      <c r="H170" s="59"/>
      <c r="I170" s="61"/>
      <c r="J170" s="60" t="s">
        <v>3178</v>
      </c>
      <c r="K170" s="61"/>
      <c r="L170" s="62"/>
      <c r="M170" s="59"/>
      <c r="N170" s="59"/>
      <c r="O170" s="59"/>
      <c r="P170" s="59"/>
      <c r="Q170" s="59"/>
      <c r="R170" s="59"/>
      <c r="S170" s="61"/>
      <c r="T170" s="59" t="e">
        <f>VLOOKUP(T_Equipement[[#This Row],[NumL]],T_TraitDi[#Data],COLUMN(#REF!),FALSE)</f>
        <v>#REF!</v>
      </c>
    </row>
    <row r="171" spans="1:20" ht="24" customHeight="1" x14ac:dyDescent="0.25">
      <c r="A171" s="90">
        <v>144</v>
      </c>
      <c r="B171" s="51" t="str">
        <f>IFERROR(IF(VLOOKUP(T_Equipement[[#This Row],[NumL]],T_suiviDi[#Data],COLUMN(T_suiviDi[Nom]),FALSE)&lt;&gt;"",VLOOKUP(T_Equipement[[#This Row],[NumL]],T_suiviDi[#Data],COLUMN(T_suiviDi[Nom]),FALSE),""),"")</f>
        <v/>
      </c>
      <c r="C171" s="51" t="str">
        <f>IFERROR(IF(VLOOKUP(T_Equipement[[#This Row],[NumL]],T_suiviDi[#Data],COLUMN(T_suiviDi[Prénom]),FALSE)&lt;&gt;"",VLOOKUP(T_Equipement[[#This Row],[NumL]],T_suiviDi[#Data],COLUMN(T_suiviDi[Prénom]),FALSE),""),"")</f>
        <v/>
      </c>
      <c r="D171" s="52" t="str">
        <f>IFERROR(IF(VLOOKUP(T_Equipement[[#This Row],[NumL]],T_suiviDi[#Data],COLUMN(T_suiviDi[Email]),FALSE)&lt;&gt;"",VLOOKUP(T_Equipement[[#This Row],[NumL]],T_suiviDi[#Data],COLUMN(T_suiviDi[Email]),FALSE),""),"")</f>
        <v/>
      </c>
      <c r="E171" s="53" t="str">
        <f>IFERROR(IF(VLOOKUP(T_Equipement[[#This Row],[NumL]],T_suiviDi[#Data],COLUMN(T_suiviDi[Nom1]),FALSE)&lt;&gt;"",VLOOKUP(T_Equipement[[#This Row],[NumL]],T_suiviDi[#Data],COLUMN(T_suiviDi[Nom1]),FALSE),""),"")</f>
        <v/>
      </c>
      <c r="F171" s="53" t="str">
        <f>IFERROR(IF(VLOOKUP(T_Equipement[[#This Row],[NumL]],T_suiviDi[#Data],COLUMN(T_suiviDi[Prénom1]),FALSE)&lt;&gt;"",VLOOKUP(T_Equipement[[#This Row],[NumL]],T_suiviDi[#Data],COLUMN(T_suiviDi[Prénom1]),FALSE),""),"")</f>
        <v/>
      </c>
      <c r="G171" s="53" t="str">
        <f>IFERROR(IF(VLOOKUP(T_Equipement[[#This Row],[NumL]],T_suiviDi[#Data],COLUMN(T_suiviDi[Email1]),FALSE)&lt;&gt;"",VLOOKUP(T_Equipement[[#This Row],[NumL]],T_suiviDi[#Data],COLUMN(T_suiviDi[Email1]),FALSE),""),"")</f>
        <v/>
      </c>
      <c r="H171" s="59" t="s">
        <v>3278</v>
      </c>
      <c r="I171" s="61"/>
      <c r="J171" s="60" t="s">
        <v>3521</v>
      </c>
      <c r="K171" s="61"/>
      <c r="L171" s="62"/>
      <c r="M171" s="59"/>
      <c r="N171" s="59"/>
      <c r="O171" s="59"/>
      <c r="P171" s="59"/>
      <c r="Q171" s="59"/>
      <c r="R171" s="59"/>
      <c r="S171" s="61"/>
      <c r="T171" s="59" t="e">
        <f>VLOOKUP(T_Equipement[[#This Row],[NumL]],T_TraitDi[#Data],COLUMN(#REF!),FALSE)</f>
        <v>#REF!</v>
      </c>
    </row>
    <row r="172" spans="1:20" ht="24" customHeight="1" x14ac:dyDescent="0.25">
      <c r="A172" s="90">
        <v>101</v>
      </c>
      <c r="B172" s="51" t="str">
        <f>IFERROR(IF(VLOOKUP(T_Equipement[[#This Row],[NumL]],T_suiviDi[#Data],COLUMN(T_suiviDi[Nom]),FALSE)&lt;&gt;"",VLOOKUP(T_Equipement[[#This Row],[NumL]],T_suiviDi[#Data],COLUMN(T_suiviDi[Nom]),FALSE),""),"")</f>
        <v/>
      </c>
      <c r="C172" s="51" t="str">
        <f>IFERROR(IF(VLOOKUP(T_Equipement[[#This Row],[NumL]],T_suiviDi[#Data],COLUMN(T_suiviDi[Prénom]),FALSE)&lt;&gt;"",VLOOKUP(T_Equipement[[#This Row],[NumL]],T_suiviDi[#Data],COLUMN(T_suiviDi[Prénom]),FALSE),""),"")</f>
        <v/>
      </c>
      <c r="D172" s="52" t="str">
        <f>IFERROR(IF(VLOOKUP(T_Equipement[[#This Row],[NumL]],T_suiviDi[#Data],COLUMN(T_suiviDi[Email]),FALSE)&lt;&gt;"",VLOOKUP(T_Equipement[[#This Row],[NumL]],T_suiviDi[#Data],COLUMN(T_suiviDi[Email]),FALSE),""),"")</f>
        <v/>
      </c>
      <c r="E172" s="53" t="str">
        <f>IFERROR(IF(VLOOKUP(T_Equipement[[#This Row],[NumL]],T_suiviDi[#Data],COLUMN(T_suiviDi[Nom1]),FALSE)&lt;&gt;"",VLOOKUP(T_Equipement[[#This Row],[NumL]],T_suiviDi[#Data],COLUMN(T_suiviDi[Nom1]),FALSE),""),"")</f>
        <v/>
      </c>
      <c r="F172" s="53" t="str">
        <f>IFERROR(IF(VLOOKUP(T_Equipement[[#This Row],[NumL]],T_suiviDi[#Data],COLUMN(T_suiviDi[Prénom1]),FALSE)&lt;&gt;"",VLOOKUP(T_Equipement[[#This Row],[NumL]],T_suiviDi[#Data],COLUMN(T_suiviDi[Prénom1]),FALSE),""),"")</f>
        <v/>
      </c>
      <c r="G172" s="53" t="str">
        <f>IFERROR(IF(VLOOKUP(T_Equipement[[#This Row],[NumL]],T_suiviDi[#Data],COLUMN(T_suiviDi[Email1]),FALSE)&lt;&gt;"",VLOOKUP(T_Equipement[[#This Row],[NumL]],T_suiviDi[#Data],COLUMN(T_suiviDi[Email1]),FALSE),""),"")</f>
        <v/>
      </c>
      <c r="H172" s="59"/>
      <c r="I172" s="61"/>
      <c r="J172" s="60" t="s">
        <v>3179</v>
      </c>
      <c r="K172" s="61"/>
      <c r="L172" s="62"/>
      <c r="M172" s="59"/>
      <c r="N172" s="59"/>
      <c r="O172" s="59"/>
      <c r="P172" s="59"/>
      <c r="Q172" s="59"/>
      <c r="R172" s="59"/>
      <c r="S172" s="61"/>
      <c r="T172" s="59" t="e">
        <f>VLOOKUP(T_Equipement[[#This Row],[NumL]],T_TraitDi[#Data],COLUMN(#REF!),FALSE)</f>
        <v>#REF!</v>
      </c>
    </row>
    <row r="173" spans="1:20" ht="24" customHeight="1" x14ac:dyDescent="0.25">
      <c r="A173" s="90">
        <v>67</v>
      </c>
      <c r="B173" s="51" t="str">
        <f>IFERROR(IF(VLOOKUP(T_Equipement[[#This Row],[NumL]],T_suiviDi[#Data],COLUMN(T_suiviDi[Nom]),FALSE)&lt;&gt;"",VLOOKUP(T_Equipement[[#This Row],[NumL]],T_suiviDi[#Data],COLUMN(T_suiviDi[Nom]),FALSE),""),"")</f>
        <v/>
      </c>
      <c r="C173" s="51" t="str">
        <f>IFERROR(IF(VLOOKUP(T_Equipement[[#This Row],[NumL]],T_suiviDi[#Data],COLUMN(T_suiviDi[Prénom]),FALSE)&lt;&gt;"",VLOOKUP(T_Equipement[[#This Row],[NumL]],T_suiviDi[#Data],COLUMN(T_suiviDi[Prénom]),FALSE),""),"")</f>
        <v/>
      </c>
      <c r="D173" s="52" t="str">
        <f>IFERROR(IF(VLOOKUP(T_Equipement[[#This Row],[NumL]],T_suiviDi[#Data],COLUMN(T_suiviDi[Email]),FALSE)&lt;&gt;"",VLOOKUP(T_Equipement[[#This Row],[NumL]],T_suiviDi[#Data],COLUMN(T_suiviDi[Email]),FALSE),""),"")</f>
        <v/>
      </c>
      <c r="E173" s="53" t="str">
        <f>IFERROR(IF(VLOOKUP(T_Equipement[[#This Row],[NumL]],T_suiviDi[#Data],COLUMN(T_suiviDi[Nom1]),FALSE)&lt;&gt;"",VLOOKUP(T_Equipement[[#This Row],[NumL]],T_suiviDi[#Data],COLUMN(T_suiviDi[Nom1]),FALSE),""),"")</f>
        <v/>
      </c>
      <c r="F173" s="53" t="str">
        <f>IFERROR(IF(VLOOKUP(T_Equipement[[#This Row],[NumL]],T_suiviDi[#Data],COLUMN(T_suiviDi[Prénom1]),FALSE)&lt;&gt;"",VLOOKUP(T_Equipement[[#This Row],[NumL]],T_suiviDi[#Data],COLUMN(T_suiviDi[Prénom1]),FALSE),""),"")</f>
        <v/>
      </c>
      <c r="G173" s="53" t="str">
        <f>IFERROR(IF(VLOOKUP(T_Equipement[[#This Row],[NumL]],T_suiviDi[#Data],COLUMN(T_suiviDi[Email1]),FALSE)&lt;&gt;"",VLOOKUP(T_Equipement[[#This Row],[NumL]],T_suiviDi[#Data],COLUMN(T_suiviDi[Email1]),FALSE),""),"")</f>
        <v/>
      </c>
      <c r="H173" s="59" t="s">
        <v>3277</v>
      </c>
      <c r="I173" s="61"/>
      <c r="J173" s="60" t="s">
        <v>3180</v>
      </c>
      <c r="K173" s="61"/>
      <c r="L173" s="62"/>
      <c r="M173" s="59"/>
      <c r="N173" s="59"/>
      <c r="O173" s="59"/>
      <c r="P173" s="59"/>
      <c r="Q173" s="59"/>
      <c r="R173" s="59"/>
      <c r="S173" s="61"/>
      <c r="T173" s="59" t="e">
        <f>VLOOKUP(T_Equipement[[#This Row],[NumL]],T_TraitDi[#Data],COLUMN(#REF!),FALSE)</f>
        <v>#REF!</v>
      </c>
    </row>
    <row r="174" spans="1:20" ht="24" customHeight="1" x14ac:dyDescent="0.25">
      <c r="A174" s="90">
        <v>339</v>
      </c>
      <c r="B174" s="51" t="str">
        <f>IFERROR(IF(VLOOKUP(T_Equipement[[#This Row],[NumL]],T_suiviDi[#Data],COLUMN(T_suiviDi[Nom]),FALSE)&lt;&gt;"",VLOOKUP(T_Equipement[[#This Row],[NumL]],T_suiviDi[#Data],COLUMN(T_suiviDi[Nom]),FALSE),""),"")</f>
        <v/>
      </c>
      <c r="C174" s="51" t="str">
        <f>IFERROR(IF(VLOOKUP(T_Equipement[[#This Row],[NumL]],T_suiviDi[#Data],COLUMN(T_suiviDi[Prénom]),FALSE)&lt;&gt;"",VLOOKUP(T_Equipement[[#This Row],[NumL]],T_suiviDi[#Data],COLUMN(T_suiviDi[Prénom]),FALSE),""),"")</f>
        <v/>
      </c>
      <c r="D174" s="52" t="str">
        <f>IFERROR(IF(VLOOKUP(T_Equipement[[#This Row],[NumL]],T_suiviDi[#Data],COLUMN(T_suiviDi[Email]),FALSE)&lt;&gt;"",VLOOKUP(T_Equipement[[#This Row],[NumL]],T_suiviDi[#Data],COLUMN(T_suiviDi[Email]),FALSE),""),"")</f>
        <v/>
      </c>
      <c r="E174" s="53" t="str">
        <f>IFERROR(IF(VLOOKUP(T_Equipement[[#This Row],[NumL]],T_suiviDi[#Data],COLUMN(T_suiviDi[Nom1]),FALSE)&lt;&gt;"",VLOOKUP(T_Equipement[[#This Row],[NumL]],T_suiviDi[#Data],COLUMN(T_suiviDi[Nom1]),FALSE),""),"")</f>
        <v/>
      </c>
      <c r="F174" s="53" t="str">
        <f>IFERROR(IF(VLOOKUP(T_Equipement[[#This Row],[NumL]],T_suiviDi[#Data],COLUMN(T_suiviDi[Prénom1]),FALSE)&lt;&gt;"",VLOOKUP(T_Equipement[[#This Row],[NumL]],T_suiviDi[#Data],COLUMN(T_suiviDi[Prénom1]),FALSE),""),"")</f>
        <v/>
      </c>
      <c r="G174" s="53" t="str">
        <f>IFERROR(IF(VLOOKUP(T_Equipement[[#This Row],[NumL]],T_suiviDi[#Data],COLUMN(T_suiviDi[Email1]),FALSE)&lt;&gt;"",VLOOKUP(T_Equipement[[#This Row],[NumL]],T_suiviDi[#Data],COLUMN(T_suiviDi[Email1]),FALSE),""),"")</f>
        <v/>
      </c>
      <c r="H174" s="59"/>
      <c r="I174" s="61"/>
      <c r="J174" s="60"/>
      <c r="K174" s="61"/>
      <c r="L174" s="62"/>
      <c r="M174" s="59"/>
      <c r="N174" s="59"/>
      <c r="O174" s="59"/>
      <c r="P174" s="59"/>
      <c r="Q174" s="59"/>
      <c r="R174" s="59"/>
      <c r="S174" s="61"/>
      <c r="T174" s="59"/>
    </row>
    <row r="175" spans="1:20" ht="24" customHeight="1" x14ac:dyDescent="0.25">
      <c r="A175" s="90">
        <v>287</v>
      </c>
      <c r="B175" s="51" t="str">
        <f>IFERROR(IF(VLOOKUP(T_Equipement[[#This Row],[NumL]],T_suiviDi[#Data],COLUMN(T_suiviDi[Nom]),FALSE)&lt;&gt;"",VLOOKUP(T_Equipement[[#This Row],[NumL]],T_suiviDi[#Data],COLUMN(T_suiviDi[Nom]),FALSE),""),"")</f>
        <v/>
      </c>
      <c r="C175" s="51" t="str">
        <f>IFERROR(IF(VLOOKUP(T_Equipement[[#This Row],[NumL]],T_suiviDi[#Data],COLUMN(T_suiviDi[Prénom]),FALSE)&lt;&gt;"",VLOOKUP(T_Equipement[[#This Row],[NumL]],T_suiviDi[#Data],COLUMN(T_suiviDi[Prénom]),FALSE),""),"")</f>
        <v/>
      </c>
      <c r="D175" s="52" t="str">
        <f>IFERROR(IF(VLOOKUP(T_Equipement[[#This Row],[NumL]],T_suiviDi[#Data],COLUMN(T_suiviDi[Email]),FALSE)&lt;&gt;"",VLOOKUP(T_Equipement[[#This Row],[NumL]],T_suiviDi[#Data],COLUMN(T_suiviDi[Email]),FALSE),""),"")</f>
        <v/>
      </c>
      <c r="E175" s="53" t="str">
        <f>IFERROR(IF(VLOOKUP(T_Equipement[[#This Row],[NumL]],T_suiviDi[#Data],COLUMN(T_suiviDi[Nom1]),FALSE)&lt;&gt;"",VLOOKUP(T_Equipement[[#This Row],[NumL]],T_suiviDi[#Data],COLUMN(T_suiviDi[Nom1]),FALSE),""),"")</f>
        <v/>
      </c>
      <c r="F175" s="53" t="str">
        <f>IFERROR(IF(VLOOKUP(T_Equipement[[#This Row],[NumL]],T_suiviDi[#Data],COLUMN(T_suiviDi[Prénom1]),FALSE)&lt;&gt;"",VLOOKUP(T_Equipement[[#This Row],[NumL]],T_suiviDi[#Data],COLUMN(T_suiviDi[Prénom1]),FALSE),""),"")</f>
        <v/>
      </c>
      <c r="G175" s="53" t="str">
        <f>IFERROR(IF(VLOOKUP(T_Equipement[[#This Row],[NumL]],T_suiviDi[#Data],COLUMN(T_suiviDi[Email1]),FALSE)&lt;&gt;"",VLOOKUP(T_Equipement[[#This Row],[NumL]],T_suiviDi[#Data],COLUMN(T_suiviDi[Email1]),FALSE),""),"")</f>
        <v/>
      </c>
      <c r="H175" s="59" t="s">
        <v>3362</v>
      </c>
      <c r="I175" s="61"/>
      <c r="J175" s="60" t="s">
        <v>3181</v>
      </c>
      <c r="K175" s="61"/>
      <c r="L175" s="62"/>
      <c r="M175" s="59"/>
      <c r="N175" s="59"/>
      <c r="O175" s="59"/>
      <c r="P175" s="59"/>
      <c r="Q175" s="59"/>
      <c r="R175" s="59"/>
      <c r="S175" s="61"/>
      <c r="T175" s="59" t="e">
        <f>VLOOKUP(T_Equipement[[#This Row],[NumL]],T_TraitDi[#Data],COLUMN(#REF!),FALSE)</f>
        <v>#REF!</v>
      </c>
    </row>
    <row r="176" spans="1:20" ht="24" customHeight="1" x14ac:dyDescent="0.25">
      <c r="A176" s="90">
        <v>224</v>
      </c>
      <c r="B176" s="51" t="str">
        <f>IFERROR(IF(VLOOKUP(T_Equipement[[#This Row],[NumL]],T_suiviDi[#Data],COLUMN(T_suiviDi[Nom]),FALSE)&lt;&gt;"",VLOOKUP(T_Equipement[[#This Row],[NumL]],T_suiviDi[#Data],COLUMN(T_suiviDi[Nom]),FALSE),""),"")</f>
        <v/>
      </c>
      <c r="C176" s="51" t="str">
        <f>IFERROR(IF(VLOOKUP(T_Equipement[[#This Row],[NumL]],T_suiviDi[#Data],COLUMN(T_suiviDi[Prénom]),FALSE)&lt;&gt;"",VLOOKUP(T_Equipement[[#This Row],[NumL]],T_suiviDi[#Data],COLUMN(T_suiviDi[Prénom]),FALSE),""),"")</f>
        <v/>
      </c>
      <c r="D176" s="52" t="str">
        <f>IFERROR(IF(VLOOKUP(T_Equipement[[#This Row],[NumL]],T_suiviDi[#Data],COLUMN(T_suiviDi[Email]),FALSE)&lt;&gt;"",VLOOKUP(T_Equipement[[#This Row],[NumL]],T_suiviDi[#Data],COLUMN(T_suiviDi[Email]),FALSE),""),"")</f>
        <v/>
      </c>
      <c r="E176" s="53" t="str">
        <f>IFERROR(IF(VLOOKUP(T_Equipement[[#This Row],[NumL]],T_suiviDi[#Data],COLUMN(T_suiviDi[Nom1]),FALSE)&lt;&gt;"",VLOOKUP(T_Equipement[[#This Row],[NumL]],T_suiviDi[#Data],COLUMN(T_suiviDi[Nom1]),FALSE),""),"")</f>
        <v/>
      </c>
      <c r="F176" s="53" t="str">
        <f>IFERROR(IF(VLOOKUP(T_Equipement[[#This Row],[NumL]],T_suiviDi[#Data],COLUMN(T_suiviDi[Prénom1]),FALSE)&lt;&gt;"",VLOOKUP(T_Equipement[[#This Row],[NumL]],T_suiviDi[#Data],COLUMN(T_suiviDi[Prénom1]),FALSE),""),"")</f>
        <v/>
      </c>
      <c r="G176" s="53" t="str">
        <f>IFERROR(IF(VLOOKUP(T_Equipement[[#This Row],[NumL]],T_suiviDi[#Data],COLUMN(T_suiviDi[Email1]),FALSE)&lt;&gt;"",VLOOKUP(T_Equipement[[#This Row],[NumL]],T_suiviDi[#Data],COLUMN(T_suiviDi[Email1]),FALSE),""),"")</f>
        <v/>
      </c>
      <c r="H176" s="59" t="s">
        <v>3277</v>
      </c>
      <c r="I176" s="61"/>
      <c r="J176" s="60" t="s">
        <v>3182</v>
      </c>
      <c r="K176" s="61"/>
      <c r="L176" s="62"/>
      <c r="M176" s="59"/>
      <c r="N176" s="59"/>
      <c r="O176" s="59"/>
      <c r="P176" s="59"/>
      <c r="Q176" s="59"/>
      <c r="R176" s="59"/>
      <c r="S176" s="61"/>
      <c r="T176" s="59" t="e">
        <f>VLOOKUP(T_Equipement[[#This Row],[NumL]],T_TraitDi[#Data],COLUMN(#REF!),FALSE)</f>
        <v>#REF!</v>
      </c>
    </row>
    <row r="177" spans="1:20" ht="24" customHeight="1" x14ac:dyDescent="0.25">
      <c r="A177" s="90">
        <v>250</v>
      </c>
      <c r="B177" s="51" t="str">
        <f>IFERROR(IF(VLOOKUP(T_Equipement[[#This Row],[NumL]],T_suiviDi[#Data],COLUMN(T_suiviDi[Nom]),FALSE)&lt;&gt;"",VLOOKUP(T_Equipement[[#This Row],[NumL]],T_suiviDi[#Data],COLUMN(T_suiviDi[Nom]),FALSE),""),"")</f>
        <v/>
      </c>
      <c r="C177" s="51" t="str">
        <f>IFERROR(IF(VLOOKUP(T_Equipement[[#This Row],[NumL]],T_suiviDi[#Data],COLUMN(T_suiviDi[Prénom]),FALSE)&lt;&gt;"",VLOOKUP(T_Equipement[[#This Row],[NumL]],T_suiviDi[#Data],COLUMN(T_suiviDi[Prénom]),FALSE),""),"")</f>
        <v/>
      </c>
      <c r="D177" s="52" t="str">
        <f>IFERROR(IF(VLOOKUP(T_Equipement[[#This Row],[NumL]],T_suiviDi[#Data],COLUMN(T_suiviDi[Email]),FALSE)&lt;&gt;"",VLOOKUP(T_Equipement[[#This Row],[NumL]],T_suiviDi[#Data],COLUMN(T_suiviDi[Email]),FALSE),""),"")</f>
        <v/>
      </c>
      <c r="E177" s="53" t="str">
        <f>IFERROR(IF(VLOOKUP(T_Equipement[[#This Row],[NumL]],T_suiviDi[#Data],COLUMN(T_suiviDi[Nom1]),FALSE)&lt;&gt;"",VLOOKUP(T_Equipement[[#This Row],[NumL]],T_suiviDi[#Data],COLUMN(T_suiviDi[Nom1]),FALSE),""),"")</f>
        <v/>
      </c>
      <c r="F177" s="53" t="str">
        <f>IFERROR(IF(VLOOKUP(T_Equipement[[#This Row],[NumL]],T_suiviDi[#Data],COLUMN(T_suiviDi[Prénom1]),FALSE)&lt;&gt;"",VLOOKUP(T_Equipement[[#This Row],[NumL]],T_suiviDi[#Data],COLUMN(T_suiviDi[Prénom1]),FALSE),""),"")</f>
        <v/>
      </c>
      <c r="G177" s="53" t="str">
        <f>IFERROR(IF(VLOOKUP(T_Equipement[[#This Row],[NumL]],T_suiviDi[#Data],COLUMN(T_suiviDi[Email1]),FALSE)&lt;&gt;"",VLOOKUP(T_Equipement[[#This Row],[NumL]],T_suiviDi[#Data],COLUMN(T_suiviDi[Email1]),FALSE),""),"")</f>
        <v/>
      </c>
      <c r="H177" s="59" t="s">
        <v>3278</v>
      </c>
      <c r="I177" s="251">
        <v>44165</v>
      </c>
      <c r="J177" s="60" t="s">
        <v>3183</v>
      </c>
      <c r="K177" s="61"/>
      <c r="L177" s="62"/>
      <c r="M177" s="59"/>
      <c r="N177" s="59"/>
      <c r="O177" s="59"/>
      <c r="P177" s="59"/>
      <c r="Q177" s="59"/>
      <c r="R177" s="59"/>
      <c r="S177" s="61"/>
      <c r="T177" s="59" t="e">
        <f>VLOOKUP(T_Equipement[[#This Row],[NumL]],T_TraitDi[#Data],COLUMN(#REF!),FALSE)</f>
        <v>#REF!</v>
      </c>
    </row>
    <row r="178" spans="1:20" ht="24" customHeight="1" x14ac:dyDescent="0.25">
      <c r="A178" s="90">
        <v>81</v>
      </c>
      <c r="B178" s="51" t="str">
        <f>IFERROR(IF(VLOOKUP(T_Equipement[[#This Row],[NumL]],T_suiviDi[#Data],COLUMN(T_suiviDi[Nom]),FALSE)&lt;&gt;"",VLOOKUP(T_Equipement[[#This Row],[NumL]],T_suiviDi[#Data],COLUMN(T_suiviDi[Nom]),FALSE),""),"")</f>
        <v/>
      </c>
      <c r="C178" s="51" t="str">
        <f>IFERROR(IF(VLOOKUP(T_Equipement[[#This Row],[NumL]],T_suiviDi[#Data],COLUMN(T_suiviDi[Prénom]),FALSE)&lt;&gt;"",VLOOKUP(T_Equipement[[#This Row],[NumL]],T_suiviDi[#Data],COLUMN(T_suiviDi[Prénom]),FALSE),""),"")</f>
        <v/>
      </c>
      <c r="D178" s="52" t="str">
        <f>IFERROR(IF(VLOOKUP(T_Equipement[[#This Row],[NumL]],T_suiviDi[#Data],COLUMN(T_suiviDi[Email]),FALSE)&lt;&gt;"",VLOOKUP(T_Equipement[[#This Row],[NumL]],T_suiviDi[#Data],COLUMN(T_suiviDi[Email]),FALSE),""),"")</f>
        <v/>
      </c>
      <c r="E178" s="53" t="str">
        <f>IFERROR(IF(VLOOKUP(T_Equipement[[#This Row],[NumL]],T_suiviDi[#Data],COLUMN(T_suiviDi[Nom1]),FALSE)&lt;&gt;"",VLOOKUP(T_Equipement[[#This Row],[NumL]],T_suiviDi[#Data],COLUMN(T_suiviDi[Nom1]),FALSE),""),"")</f>
        <v/>
      </c>
      <c r="F178" s="53" t="str">
        <f>IFERROR(IF(VLOOKUP(T_Equipement[[#This Row],[NumL]],T_suiviDi[#Data],COLUMN(T_suiviDi[Prénom1]),FALSE)&lt;&gt;"",VLOOKUP(T_Equipement[[#This Row],[NumL]],T_suiviDi[#Data],COLUMN(T_suiviDi[Prénom1]),FALSE),""),"")</f>
        <v/>
      </c>
      <c r="G178" s="53" t="str">
        <f>IFERROR(IF(VLOOKUP(T_Equipement[[#This Row],[NumL]],T_suiviDi[#Data],COLUMN(T_suiviDi[Email1]),FALSE)&lt;&gt;"",VLOOKUP(T_Equipement[[#This Row],[NumL]],T_suiviDi[#Data],COLUMN(T_suiviDi[Email1]),FALSE),""),"")</f>
        <v/>
      </c>
      <c r="H178" s="59"/>
      <c r="I178" s="61"/>
      <c r="J178" s="60" t="s">
        <v>3184</v>
      </c>
      <c r="K178" s="61"/>
      <c r="L178" s="62"/>
      <c r="M178" s="59"/>
      <c r="N178" s="59"/>
      <c r="O178" s="59"/>
      <c r="P178" s="59"/>
      <c r="Q178" s="59"/>
      <c r="R178" s="59"/>
      <c r="S178" s="61"/>
      <c r="T178" s="59" t="e">
        <f>VLOOKUP(T_Equipement[[#This Row],[NumL]],T_TraitDi[#Data],COLUMN(#REF!),FALSE)</f>
        <v>#REF!</v>
      </c>
    </row>
    <row r="179" spans="1:20" ht="24" customHeight="1" x14ac:dyDescent="0.25">
      <c r="A179" s="90">
        <v>195</v>
      </c>
      <c r="B179" s="51" t="str">
        <f>IFERROR(IF(VLOOKUP(T_Equipement[[#This Row],[NumL]],T_suiviDi[#Data],COLUMN(T_suiviDi[Nom]),FALSE)&lt;&gt;"",VLOOKUP(T_Equipement[[#This Row],[NumL]],T_suiviDi[#Data],COLUMN(T_suiviDi[Nom]),FALSE),""),"")</f>
        <v/>
      </c>
      <c r="C179" s="51" t="str">
        <f>IFERROR(IF(VLOOKUP(T_Equipement[[#This Row],[NumL]],T_suiviDi[#Data],COLUMN(T_suiviDi[Prénom]),FALSE)&lt;&gt;"",VLOOKUP(T_Equipement[[#This Row],[NumL]],T_suiviDi[#Data],COLUMN(T_suiviDi[Prénom]),FALSE),""),"")</f>
        <v/>
      </c>
      <c r="D179" s="52" t="str">
        <f>IFERROR(IF(VLOOKUP(T_Equipement[[#This Row],[NumL]],T_suiviDi[#Data],COLUMN(T_suiviDi[Email]),FALSE)&lt;&gt;"",VLOOKUP(T_Equipement[[#This Row],[NumL]],T_suiviDi[#Data],COLUMN(T_suiviDi[Email]),FALSE),""),"")</f>
        <v/>
      </c>
      <c r="E179" s="53" t="str">
        <f>IFERROR(IF(VLOOKUP(T_Equipement[[#This Row],[NumL]],T_suiviDi[#Data],COLUMN(T_suiviDi[Nom1]),FALSE)&lt;&gt;"",VLOOKUP(T_Equipement[[#This Row],[NumL]],T_suiviDi[#Data],COLUMN(T_suiviDi[Nom1]),FALSE),""),"")</f>
        <v/>
      </c>
      <c r="F179" s="53" t="str">
        <f>IFERROR(IF(VLOOKUP(T_Equipement[[#This Row],[NumL]],T_suiviDi[#Data],COLUMN(T_suiviDi[Prénom1]),FALSE)&lt;&gt;"",VLOOKUP(T_Equipement[[#This Row],[NumL]],T_suiviDi[#Data],COLUMN(T_suiviDi[Prénom1]),FALSE),""),"")</f>
        <v/>
      </c>
      <c r="G179" s="53" t="str">
        <f>IFERROR(IF(VLOOKUP(T_Equipement[[#This Row],[NumL]],T_suiviDi[#Data],COLUMN(T_suiviDi[Email1]),FALSE)&lt;&gt;"",VLOOKUP(T_Equipement[[#This Row],[NumL]],T_suiviDi[#Data],COLUMN(T_suiviDi[Email1]),FALSE),""),"")</f>
        <v/>
      </c>
      <c r="H179" s="59" t="s">
        <v>3277</v>
      </c>
      <c r="I179" s="251">
        <v>44165</v>
      </c>
      <c r="J179" s="60" t="s">
        <v>3185</v>
      </c>
      <c r="K179" s="61"/>
      <c r="L179" s="62"/>
      <c r="M179" s="59"/>
      <c r="N179" s="59"/>
      <c r="O179" s="59"/>
      <c r="P179" s="59"/>
      <c r="Q179" s="59"/>
      <c r="R179" s="59"/>
      <c r="S179" s="61"/>
      <c r="T179" s="59" t="e">
        <f>VLOOKUP(T_Equipement[[#This Row],[NumL]],T_TraitDi[#Data],COLUMN(#REF!),FALSE)</f>
        <v>#REF!</v>
      </c>
    </row>
    <row r="180" spans="1:20" ht="24" customHeight="1" x14ac:dyDescent="0.25">
      <c r="A180" s="90">
        <v>289</v>
      </c>
      <c r="B180" s="51" t="str">
        <f>IFERROR(IF(VLOOKUP(T_Equipement[[#This Row],[NumL]],T_suiviDi[#Data],COLUMN(T_suiviDi[Nom]),FALSE)&lt;&gt;"",VLOOKUP(T_Equipement[[#This Row],[NumL]],T_suiviDi[#Data],COLUMN(T_suiviDi[Nom]),FALSE),""),"")</f>
        <v/>
      </c>
      <c r="C180" s="51" t="str">
        <f>IFERROR(IF(VLOOKUP(T_Equipement[[#This Row],[NumL]],T_suiviDi[#Data],COLUMN(T_suiviDi[Prénom]),FALSE)&lt;&gt;"",VLOOKUP(T_Equipement[[#This Row],[NumL]],T_suiviDi[#Data],COLUMN(T_suiviDi[Prénom]),FALSE),""),"")</f>
        <v/>
      </c>
      <c r="D180" s="52" t="str">
        <f>IFERROR(IF(VLOOKUP(T_Equipement[[#This Row],[NumL]],T_suiviDi[#Data],COLUMN(T_suiviDi[Email]),FALSE)&lt;&gt;"",VLOOKUP(T_Equipement[[#This Row],[NumL]],T_suiviDi[#Data],COLUMN(T_suiviDi[Email]),FALSE),""),"")</f>
        <v/>
      </c>
      <c r="E180" s="53" t="str">
        <f>IFERROR(IF(VLOOKUP(T_Equipement[[#This Row],[NumL]],T_suiviDi[#Data],COLUMN(T_suiviDi[Nom1]),FALSE)&lt;&gt;"",VLOOKUP(T_Equipement[[#This Row],[NumL]],T_suiviDi[#Data],COLUMN(T_suiviDi[Nom1]),FALSE),""),"")</f>
        <v/>
      </c>
      <c r="F180" s="53" t="str">
        <f>IFERROR(IF(VLOOKUP(T_Equipement[[#This Row],[NumL]],T_suiviDi[#Data],COLUMN(T_suiviDi[Prénom1]),FALSE)&lt;&gt;"",VLOOKUP(T_Equipement[[#This Row],[NumL]],T_suiviDi[#Data],COLUMN(T_suiviDi[Prénom1]),FALSE),""),"")</f>
        <v/>
      </c>
      <c r="G180" s="53" t="str">
        <f>IFERROR(IF(VLOOKUP(T_Equipement[[#This Row],[NumL]],T_suiviDi[#Data],COLUMN(T_suiviDi[Email1]),FALSE)&lt;&gt;"",VLOOKUP(T_Equipement[[#This Row],[NumL]],T_suiviDi[#Data],COLUMN(T_suiviDi[Email1]),FALSE),""),"")</f>
        <v/>
      </c>
      <c r="H180" s="59" t="s">
        <v>3278</v>
      </c>
      <c r="I180" s="61"/>
      <c r="J180" s="60" t="s">
        <v>3406</v>
      </c>
      <c r="K180" s="61"/>
      <c r="L180" s="62"/>
      <c r="M180" s="59"/>
      <c r="N180" s="59"/>
      <c r="O180" s="59"/>
      <c r="P180" s="59"/>
      <c r="Q180" s="59"/>
      <c r="R180" s="59"/>
      <c r="S180" s="61"/>
      <c r="T180" s="59" t="e">
        <f>VLOOKUP(T_Equipement[[#This Row],[NumL]],T_TraitDi[#Data],COLUMN(#REF!),FALSE)</f>
        <v>#REF!</v>
      </c>
    </row>
    <row r="181" spans="1:20" ht="24" customHeight="1" x14ac:dyDescent="0.25">
      <c r="A181" s="90">
        <v>99</v>
      </c>
      <c r="B181" s="51" t="str">
        <f>IFERROR(IF(VLOOKUP(T_Equipement[[#This Row],[NumL]],T_suiviDi[#Data],COLUMN(T_suiviDi[Nom]),FALSE)&lt;&gt;"",VLOOKUP(T_Equipement[[#This Row],[NumL]],T_suiviDi[#Data],COLUMN(T_suiviDi[Nom]),FALSE),""),"")</f>
        <v/>
      </c>
      <c r="C181" s="51" t="str">
        <f>IFERROR(IF(VLOOKUP(T_Equipement[[#This Row],[NumL]],T_suiviDi[#Data],COLUMN(T_suiviDi[Prénom]),FALSE)&lt;&gt;"",VLOOKUP(T_Equipement[[#This Row],[NumL]],T_suiviDi[#Data],COLUMN(T_suiviDi[Prénom]),FALSE),""),"")</f>
        <v/>
      </c>
      <c r="D181" s="52" t="str">
        <f>IFERROR(IF(VLOOKUP(T_Equipement[[#This Row],[NumL]],T_suiviDi[#Data],COLUMN(T_suiviDi[Email]),FALSE)&lt;&gt;"",VLOOKUP(T_Equipement[[#This Row],[NumL]],T_suiviDi[#Data],COLUMN(T_suiviDi[Email]),FALSE),""),"")</f>
        <v/>
      </c>
      <c r="E181" s="53" t="str">
        <f>IFERROR(IF(VLOOKUP(T_Equipement[[#This Row],[NumL]],T_suiviDi[#Data],COLUMN(T_suiviDi[Nom1]),FALSE)&lt;&gt;"",VLOOKUP(T_Equipement[[#This Row],[NumL]],T_suiviDi[#Data],COLUMN(T_suiviDi[Nom1]),FALSE),""),"")</f>
        <v/>
      </c>
      <c r="F181" s="53" t="str">
        <f>IFERROR(IF(VLOOKUP(T_Equipement[[#This Row],[NumL]],T_suiviDi[#Data],COLUMN(T_suiviDi[Prénom1]),FALSE)&lt;&gt;"",VLOOKUP(T_Equipement[[#This Row],[NumL]],T_suiviDi[#Data],COLUMN(T_suiviDi[Prénom1]),FALSE),""),"")</f>
        <v/>
      </c>
      <c r="G181" s="53" t="str">
        <f>IFERROR(IF(VLOOKUP(T_Equipement[[#This Row],[NumL]],T_suiviDi[#Data],COLUMN(T_suiviDi[Email1]),FALSE)&lt;&gt;"",VLOOKUP(T_Equipement[[#This Row],[NumL]],T_suiviDi[#Data],COLUMN(T_suiviDi[Email1]),FALSE),""),"")</f>
        <v/>
      </c>
      <c r="H181" s="59" t="s">
        <v>3277</v>
      </c>
      <c r="I181" s="61"/>
      <c r="J181" s="60" t="s">
        <v>3186</v>
      </c>
      <c r="K181" s="61"/>
      <c r="L181" s="62"/>
      <c r="M181" s="59"/>
      <c r="N181" s="59"/>
      <c r="O181" s="59"/>
      <c r="P181" s="59"/>
      <c r="Q181" s="59"/>
      <c r="R181" s="59"/>
      <c r="S181" s="61"/>
      <c r="T181" s="59" t="e">
        <f>VLOOKUP(T_Equipement[[#This Row],[NumL]],T_TraitDi[#Data],COLUMN(#REF!),FALSE)</f>
        <v>#REF!</v>
      </c>
    </row>
    <row r="182" spans="1:20" ht="24" customHeight="1" x14ac:dyDescent="0.25">
      <c r="A182" s="90">
        <v>270</v>
      </c>
      <c r="B182" s="51" t="str">
        <f>IFERROR(IF(VLOOKUP(T_Equipement[[#This Row],[NumL]],T_suiviDi[#Data],COLUMN(T_suiviDi[Nom]),FALSE)&lt;&gt;"",VLOOKUP(T_Equipement[[#This Row],[NumL]],T_suiviDi[#Data],COLUMN(T_suiviDi[Nom]),FALSE),""),"")</f>
        <v/>
      </c>
      <c r="C182" s="51" t="str">
        <f>IFERROR(IF(VLOOKUP(T_Equipement[[#This Row],[NumL]],T_suiviDi[#Data],COLUMN(T_suiviDi[Prénom]),FALSE)&lt;&gt;"",VLOOKUP(T_Equipement[[#This Row],[NumL]],T_suiviDi[#Data],COLUMN(T_suiviDi[Prénom]),FALSE),""),"")</f>
        <v/>
      </c>
      <c r="D182" s="52" t="str">
        <f>IFERROR(IF(VLOOKUP(T_Equipement[[#This Row],[NumL]],T_suiviDi[#Data],COLUMN(T_suiviDi[Email]),FALSE)&lt;&gt;"",VLOOKUP(T_Equipement[[#This Row],[NumL]],T_suiviDi[#Data],COLUMN(T_suiviDi[Email]),FALSE),""),"")</f>
        <v/>
      </c>
      <c r="E182" s="53" t="str">
        <f>IFERROR(IF(VLOOKUP(T_Equipement[[#This Row],[NumL]],T_suiviDi[#Data],COLUMN(T_suiviDi[Nom1]),FALSE)&lt;&gt;"",VLOOKUP(T_Equipement[[#This Row],[NumL]],T_suiviDi[#Data],COLUMN(T_suiviDi[Nom1]),FALSE),""),"")</f>
        <v/>
      </c>
      <c r="F182" s="53" t="str">
        <f>IFERROR(IF(VLOOKUP(T_Equipement[[#This Row],[NumL]],T_suiviDi[#Data],COLUMN(T_suiviDi[Prénom1]),FALSE)&lt;&gt;"",VLOOKUP(T_Equipement[[#This Row],[NumL]],T_suiviDi[#Data],COLUMN(T_suiviDi[Prénom1]),FALSE),""),"")</f>
        <v/>
      </c>
      <c r="G182" s="53" t="str">
        <f>IFERROR(IF(VLOOKUP(T_Equipement[[#This Row],[NumL]],T_suiviDi[#Data],COLUMN(T_suiviDi[Email1]),FALSE)&lt;&gt;"",VLOOKUP(T_Equipement[[#This Row],[NumL]],T_suiviDi[#Data],COLUMN(T_suiviDi[Email1]),FALSE),""),"")</f>
        <v/>
      </c>
      <c r="H182" s="59" t="s">
        <v>3277</v>
      </c>
      <c r="I182" s="61"/>
      <c r="J182" s="60" t="s">
        <v>3187</v>
      </c>
      <c r="K182" s="61"/>
      <c r="L182" s="62"/>
      <c r="M182" s="59"/>
      <c r="N182" s="59"/>
      <c r="O182" s="59"/>
      <c r="P182" s="59"/>
      <c r="Q182" s="59"/>
      <c r="R182" s="59"/>
      <c r="S182" s="61"/>
      <c r="T182" s="59" t="e">
        <f>VLOOKUP(T_Equipement[[#This Row],[NumL]],T_TraitDi[#Data],COLUMN(#REF!),FALSE)</f>
        <v>#REF!</v>
      </c>
    </row>
    <row r="183" spans="1:20" ht="24" customHeight="1" x14ac:dyDescent="0.25">
      <c r="A183" s="90">
        <v>276</v>
      </c>
      <c r="B183" s="51" t="str">
        <f>IFERROR(IF(VLOOKUP(T_Equipement[[#This Row],[NumL]],T_suiviDi[#Data],COLUMN(T_suiviDi[Nom]),FALSE)&lt;&gt;"",VLOOKUP(T_Equipement[[#This Row],[NumL]],T_suiviDi[#Data],COLUMN(T_suiviDi[Nom]),FALSE),""),"")</f>
        <v/>
      </c>
      <c r="C183" s="51" t="str">
        <f>IFERROR(IF(VLOOKUP(T_Equipement[[#This Row],[NumL]],T_suiviDi[#Data],COLUMN(T_suiviDi[Prénom]),FALSE)&lt;&gt;"",VLOOKUP(T_Equipement[[#This Row],[NumL]],T_suiviDi[#Data],COLUMN(T_suiviDi[Prénom]),FALSE),""),"")</f>
        <v/>
      </c>
      <c r="D183" s="52" t="str">
        <f>IFERROR(IF(VLOOKUP(T_Equipement[[#This Row],[NumL]],T_suiviDi[#Data],COLUMN(T_suiviDi[Email]),FALSE)&lt;&gt;"",VLOOKUP(T_Equipement[[#This Row],[NumL]],T_suiviDi[#Data],COLUMN(T_suiviDi[Email]),FALSE),""),"")</f>
        <v/>
      </c>
      <c r="E183" s="53" t="str">
        <f>IFERROR(IF(VLOOKUP(T_Equipement[[#This Row],[NumL]],T_suiviDi[#Data],COLUMN(T_suiviDi[Nom1]),FALSE)&lt;&gt;"",VLOOKUP(T_Equipement[[#This Row],[NumL]],T_suiviDi[#Data],COLUMN(T_suiviDi[Nom1]),FALSE),""),"")</f>
        <v/>
      </c>
      <c r="F183" s="53" t="str">
        <f>IFERROR(IF(VLOOKUP(T_Equipement[[#This Row],[NumL]],T_suiviDi[#Data],COLUMN(T_suiviDi[Prénom1]),FALSE)&lt;&gt;"",VLOOKUP(T_Equipement[[#This Row],[NumL]],T_suiviDi[#Data],COLUMN(T_suiviDi[Prénom1]),FALSE),""),"")</f>
        <v/>
      </c>
      <c r="G183" s="53" t="str">
        <f>IFERROR(IF(VLOOKUP(T_Equipement[[#This Row],[NumL]],T_suiviDi[#Data],COLUMN(T_suiviDi[Email1]),FALSE)&lt;&gt;"",VLOOKUP(T_Equipement[[#This Row],[NumL]],T_suiviDi[#Data],COLUMN(T_suiviDi[Email1]),FALSE),""),"")</f>
        <v/>
      </c>
      <c r="H183" s="59" t="s">
        <v>3277</v>
      </c>
      <c r="I183" s="61"/>
      <c r="J183" s="60" t="s">
        <v>3188</v>
      </c>
      <c r="K183" s="61"/>
      <c r="L183" s="62"/>
      <c r="M183" s="59"/>
      <c r="N183" s="59"/>
      <c r="O183" s="59"/>
      <c r="P183" s="59"/>
      <c r="Q183" s="59"/>
      <c r="R183" s="59"/>
      <c r="S183" s="61"/>
      <c r="T183" s="59" t="e">
        <f>VLOOKUP(T_Equipement[[#This Row],[NumL]],T_TraitDi[#Data],COLUMN(#REF!),FALSE)</f>
        <v>#REF!</v>
      </c>
    </row>
    <row r="184" spans="1:20" ht="24" customHeight="1" x14ac:dyDescent="0.25">
      <c r="A184" s="90">
        <v>105</v>
      </c>
      <c r="B184" s="51" t="str">
        <f>IFERROR(IF(VLOOKUP(T_Equipement[[#This Row],[NumL]],T_suiviDi[#Data],COLUMN(T_suiviDi[Nom]),FALSE)&lt;&gt;"",VLOOKUP(T_Equipement[[#This Row],[NumL]],T_suiviDi[#Data],COLUMN(T_suiviDi[Nom]),FALSE),""),"")</f>
        <v/>
      </c>
      <c r="C184" s="51" t="str">
        <f>IFERROR(IF(VLOOKUP(T_Equipement[[#This Row],[NumL]],T_suiviDi[#Data],COLUMN(T_suiviDi[Prénom]),FALSE)&lt;&gt;"",VLOOKUP(T_Equipement[[#This Row],[NumL]],T_suiviDi[#Data],COLUMN(T_suiviDi[Prénom]),FALSE),""),"")</f>
        <v/>
      </c>
      <c r="D184" s="52" t="str">
        <f>IFERROR(IF(VLOOKUP(T_Equipement[[#This Row],[NumL]],T_suiviDi[#Data],COLUMN(T_suiviDi[Email]),FALSE)&lt;&gt;"",VLOOKUP(T_Equipement[[#This Row],[NumL]],T_suiviDi[#Data],COLUMN(T_suiviDi[Email]),FALSE),""),"")</f>
        <v/>
      </c>
      <c r="E184" s="53" t="str">
        <f>IFERROR(IF(VLOOKUP(T_Equipement[[#This Row],[NumL]],T_suiviDi[#Data],COLUMN(T_suiviDi[Nom1]),FALSE)&lt;&gt;"",VLOOKUP(T_Equipement[[#This Row],[NumL]],T_suiviDi[#Data],COLUMN(T_suiviDi[Nom1]),FALSE),""),"")</f>
        <v/>
      </c>
      <c r="F184" s="53" t="str">
        <f>IFERROR(IF(VLOOKUP(T_Equipement[[#This Row],[NumL]],T_suiviDi[#Data],COLUMN(T_suiviDi[Prénom1]),FALSE)&lt;&gt;"",VLOOKUP(T_Equipement[[#This Row],[NumL]],T_suiviDi[#Data],COLUMN(T_suiviDi[Prénom1]),FALSE),""),"")</f>
        <v/>
      </c>
      <c r="G184" s="53" t="str">
        <f>IFERROR(IF(VLOOKUP(T_Equipement[[#This Row],[NumL]],T_suiviDi[#Data],COLUMN(T_suiviDi[Email1]),FALSE)&lt;&gt;"",VLOOKUP(T_Equipement[[#This Row],[NumL]],T_suiviDi[#Data],COLUMN(T_suiviDi[Email1]),FALSE),""),"")</f>
        <v/>
      </c>
      <c r="H184" s="59"/>
      <c r="I184" s="61"/>
      <c r="J184" s="60" t="s">
        <v>3189</v>
      </c>
      <c r="K184" s="61"/>
      <c r="L184" s="62"/>
      <c r="M184" s="59"/>
      <c r="N184" s="59"/>
      <c r="O184" s="59"/>
      <c r="P184" s="59"/>
      <c r="Q184" s="59"/>
      <c r="R184" s="59"/>
      <c r="S184" s="61"/>
      <c r="T184" s="59" t="e">
        <f>VLOOKUP(T_Equipement[[#This Row],[NumL]],T_TraitDi[#Data],COLUMN(#REF!),FALSE)</f>
        <v>#REF!</v>
      </c>
    </row>
    <row r="185" spans="1:20" ht="24" customHeight="1" x14ac:dyDescent="0.25">
      <c r="A185" s="90">
        <v>356</v>
      </c>
      <c r="B185" s="51" t="str">
        <f>IFERROR(IF(VLOOKUP(T_Equipement[[#This Row],[NumL]],T_suiviDi[#Data],COLUMN(T_suiviDi[Nom]),FALSE)&lt;&gt;"",VLOOKUP(T_Equipement[[#This Row],[NumL]],T_suiviDi[#Data],COLUMN(T_suiviDi[Nom]),FALSE),""),"")</f>
        <v/>
      </c>
      <c r="C185" s="51" t="str">
        <f>IFERROR(IF(VLOOKUP(T_Equipement[[#This Row],[NumL]],T_suiviDi[#Data],COLUMN(T_suiviDi[Prénom]),FALSE)&lt;&gt;"",VLOOKUP(T_Equipement[[#This Row],[NumL]],T_suiviDi[#Data],COLUMN(T_suiviDi[Prénom]),FALSE),""),"")</f>
        <v/>
      </c>
      <c r="D185" s="52" t="str">
        <f>IFERROR(IF(VLOOKUP(T_Equipement[[#This Row],[NumL]],T_suiviDi[#Data],COLUMN(T_suiviDi[Email]),FALSE)&lt;&gt;"",VLOOKUP(T_Equipement[[#This Row],[NumL]],T_suiviDi[#Data],COLUMN(T_suiviDi[Email]),FALSE),""),"")</f>
        <v/>
      </c>
      <c r="E185" s="53" t="str">
        <f>IFERROR(IF(VLOOKUP(T_Equipement[[#This Row],[NumL]],T_suiviDi[#Data],COLUMN(T_suiviDi[Nom1]),FALSE)&lt;&gt;"",VLOOKUP(T_Equipement[[#This Row],[NumL]],T_suiviDi[#Data],COLUMN(T_suiviDi[Nom1]),FALSE),""),"")</f>
        <v/>
      </c>
      <c r="F185" s="53" t="str">
        <f>IFERROR(IF(VLOOKUP(T_Equipement[[#This Row],[NumL]],T_suiviDi[#Data],COLUMN(T_suiviDi[Prénom1]),FALSE)&lt;&gt;"",VLOOKUP(T_Equipement[[#This Row],[NumL]],T_suiviDi[#Data],COLUMN(T_suiviDi[Prénom1]),FALSE),""),"")</f>
        <v/>
      </c>
      <c r="G185" s="53" t="str">
        <f>IFERROR(IF(VLOOKUP(T_Equipement[[#This Row],[NumL]],T_suiviDi[#Data],COLUMN(T_suiviDi[Email1]),FALSE)&lt;&gt;"",VLOOKUP(T_Equipement[[#This Row],[NumL]],T_suiviDi[#Data],COLUMN(T_suiviDi[Email1]),FALSE),""),"")</f>
        <v/>
      </c>
      <c r="H185" s="59"/>
      <c r="I185" s="61"/>
      <c r="J185" s="60"/>
      <c r="K185" s="61"/>
      <c r="L185" s="62"/>
      <c r="M185" s="59"/>
      <c r="N185" s="59"/>
      <c r="O185" s="59"/>
      <c r="P185" s="59"/>
      <c r="Q185" s="59"/>
      <c r="R185" s="59"/>
      <c r="S185" s="61"/>
      <c r="T185" s="59"/>
    </row>
    <row r="186" spans="1:20" ht="24" customHeight="1" x14ac:dyDescent="0.25">
      <c r="A186" s="90">
        <v>52</v>
      </c>
      <c r="B186" s="51" t="str">
        <f>IFERROR(IF(VLOOKUP(T_Equipement[[#This Row],[NumL]],T_suiviDi[#Data],COLUMN(T_suiviDi[Nom]),FALSE)&lt;&gt;"",VLOOKUP(T_Equipement[[#This Row],[NumL]],T_suiviDi[#Data],COLUMN(T_suiviDi[Nom]),FALSE),""),"")</f>
        <v/>
      </c>
      <c r="C186" s="51" t="str">
        <f>IFERROR(IF(VLOOKUP(T_Equipement[[#This Row],[NumL]],T_suiviDi[#Data],COLUMN(T_suiviDi[Prénom]),FALSE)&lt;&gt;"",VLOOKUP(T_Equipement[[#This Row],[NumL]],T_suiviDi[#Data],COLUMN(T_suiviDi[Prénom]),FALSE),""),"")</f>
        <v/>
      </c>
      <c r="D186" s="52" t="str">
        <f>IFERROR(IF(VLOOKUP(T_Equipement[[#This Row],[NumL]],T_suiviDi[#Data],COLUMN(T_suiviDi[Email]),FALSE)&lt;&gt;"",VLOOKUP(T_Equipement[[#This Row],[NumL]],T_suiviDi[#Data],COLUMN(T_suiviDi[Email]),FALSE),""),"")</f>
        <v/>
      </c>
      <c r="E186" s="53" t="str">
        <f>IFERROR(IF(VLOOKUP(T_Equipement[[#This Row],[NumL]],T_suiviDi[#Data],COLUMN(T_suiviDi[Nom1]),FALSE)&lt;&gt;"",VLOOKUP(T_Equipement[[#This Row],[NumL]],T_suiviDi[#Data],COLUMN(T_suiviDi[Nom1]),FALSE),""),"")</f>
        <v/>
      </c>
      <c r="F186" s="53" t="str">
        <f>IFERROR(IF(VLOOKUP(T_Equipement[[#This Row],[NumL]],T_suiviDi[#Data],COLUMN(T_suiviDi[Prénom1]),FALSE)&lt;&gt;"",VLOOKUP(T_Equipement[[#This Row],[NumL]],T_suiviDi[#Data],COLUMN(T_suiviDi[Prénom1]),FALSE),""),"")</f>
        <v/>
      </c>
      <c r="G186" s="53" t="str">
        <f>IFERROR(IF(VLOOKUP(T_Equipement[[#This Row],[NumL]],T_suiviDi[#Data],COLUMN(T_suiviDi[Email1]),FALSE)&lt;&gt;"",VLOOKUP(T_Equipement[[#This Row],[NumL]],T_suiviDi[#Data],COLUMN(T_suiviDi[Email1]),FALSE),""),"")</f>
        <v/>
      </c>
      <c r="H186" s="59" t="s">
        <v>3277</v>
      </c>
      <c r="I186" s="61"/>
      <c r="J186" s="60" t="s">
        <v>3190</v>
      </c>
      <c r="K186" s="61"/>
      <c r="L186" s="62"/>
      <c r="M186" s="59"/>
      <c r="N186" s="59"/>
      <c r="O186" s="59"/>
      <c r="P186" s="59"/>
      <c r="Q186" s="59"/>
      <c r="R186" s="59"/>
      <c r="S186" s="61"/>
      <c r="T186" s="59" t="e">
        <f>VLOOKUP(T_Equipement[[#This Row],[NumL]],T_TraitDi[#Data],COLUMN(#REF!),FALSE)</f>
        <v>#REF!</v>
      </c>
    </row>
    <row r="187" spans="1:20" ht="24" customHeight="1" x14ac:dyDescent="0.25">
      <c r="A187" s="90">
        <v>309</v>
      </c>
      <c r="B187" s="51" t="str">
        <f>IFERROR(IF(VLOOKUP(T_Equipement[[#This Row],[NumL]],T_suiviDi[#Data],COLUMN(T_suiviDi[Nom]),FALSE)&lt;&gt;"",VLOOKUP(T_Equipement[[#This Row],[NumL]],T_suiviDi[#Data],COLUMN(T_suiviDi[Nom]),FALSE),""),"")</f>
        <v/>
      </c>
      <c r="C187" s="51" t="str">
        <f>IFERROR(IF(VLOOKUP(T_Equipement[[#This Row],[NumL]],T_suiviDi[#Data],COLUMN(T_suiviDi[Prénom]),FALSE)&lt;&gt;"",VLOOKUP(T_Equipement[[#This Row],[NumL]],T_suiviDi[#Data],COLUMN(T_suiviDi[Prénom]),FALSE),""),"")</f>
        <v/>
      </c>
      <c r="D187" s="52" t="str">
        <f>IFERROR(IF(VLOOKUP(T_Equipement[[#This Row],[NumL]],T_suiviDi[#Data],COLUMN(T_suiviDi[Email]),FALSE)&lt;&gt;"",VLOOKUP(T_Equipement[[#This Row],[NumL]],T_suiviDi[#Data],COLUMN(T_suiviDi[Email]),FALSE),""),"")</f>
        <v/>
      </c>
      <c r="E187" s="53" t="str">
        <f>IFERROR(IF(VLOOKUP(T_Equipement[[#This Row],[NumL]],T_suiviDi[#Data],COLUMN(T_suiviDi[Nom1]),FALSE)&lt;&gt;"",VLOOKUP(T_Equipement[[#This Row],[NumL]],T_suiviDi[#Data],COLUMN(T_suiviDi[Nom1]),FALSE),""),"")</f>
        <v/>
      </c>
      <c r="F187" s="53" t="str">
        <f>IFERROR(IF(VLOOKUP(T_Equipement[[#This Row],[NumL]],T_suiviDi[#Data],COLUMN(T_suiviDi[Prénom1]),FALSE)&lt;&gt;"",VLOOKUP(T_Equipement[[#This Row],[NumL]],T_suiviDi[#Data],COLUMN(T_suiviDi[Prénom1]),FALSE),""),"")</f>
        <v/>
      </c>
      <c r="G187" s="53" t="str">
        <f>IFERROR(IF(VLOOKUP(T_Equipement[[#This Row],[NumL]],T_suiviDi[#Data],COLUMN(T_suiviDi[Email1]),FALSE)&lt;&gt;"",VLOOKUP(T_Equipement[[#This Row],[NumL]],T_suiviDi[#Data],COLUMN(T_suiviDi[Email1]),FALSE),""),"")</f>
        <v/>
      </c>
      <c r="H187" s="59"/>
      <c r="I187" s="61"/>
      <c r="J187" s="60"/>
      <c r="K187" s="61"/>
      <c r="L187" s="62"/>
      <c r="M187" s="59"/>
      <c r="N187" s="59"/>
      <c r="O187" s="59"/>
      <c r="P187" s="59"/>
      <c r="Q187" s="59"/>
      <c r="R187" s="59"/>
      <c r="S187" s="61"/>
      <c r="T187" s="59"/>
    </row>
    <row r="188" spans="1:20" ht="24" customHeight="1" x14ac:dyDescent="0.25">
      <c r="A188" s="90">
        <v>35</v>
      </c>
      <c r="B188" s="51" t="str">
        <f>IFERROR(IF(VLOOKUP(T_Equipement[[#This Row],[NumL]],T_suiviDi[#Data],COLUMN(T_suiviDi[Nom]),FALSE)&lt;&gt;"",VLOOKUP(T_Equipement[[#This Row],[NumL]],T_suiviDi[#Data],COLUMN(T_suiviDi[Nom]),FALSE),""),"")</f>
        <v/>
      </c>
      <c r="C188" s="51" t="str">
        <f>IFERROR(IF(VLOOKUP(T_Equipement[[#This Row],[NumL]],T_suiviDi[#Data],COLUMN(T_suiviDi[Prénom]),FALSE)&lt;&gt;"",VLOOKUP(T_Equipement[[#This Row],[NumL]],T_suiviDi[#Data],COLUMN(T_suiviDi[Prénom]),FALSE),""),"")</f>
        <v/>
      </c>
      <c r="D188" s="52" t="str">
        <f>IFERROR(IF(VLOOKUP(T_Equipement[[#This Row],[NumL]],T_suiviDi[#Data],COLUMN(T_suiviDi[Email]),FALSE)&lt;&gt;"",VLOOKUP(T_Equipement[[#This Row],[NumL]],T_suiviDi[#Data],COLUMN(T_suiviDi[Email]),FALSE),""),"")</f>
        <v/>
      </c>
      <c r="E188" s="53" t="str">
        <f>IFERROR(IF(VLOOKUP(T_Equipement[[#This Row],[NumL]],T_suiviDi[#Data],COLUMN(T_suiviDi[Nom1]),FALSE)&lt;&gt;"",VLOOKUP(T_Equipement[[#This Row],[NumL]],T_suiviDi[#Data],COLUMN(T_suiviDi[Nom1]),FALSE),""),"")</f>
        <v/>
      </c>
      <c r="F188" s="53" t="str">
        <f>IFERROR(IF(VLOOKUP(T_Equipement[[#This Row],[NumL]],T_suiviDi[#Data],COLUMN(T_suiviDi[Prénom1]),FALSE)&lt;&gt;"",VLOOKUP(T_Equipement[[#This Row],[NumL]],T_suiviDi[#Data],COLUMN(T_suiviDi[Prénom1]),FALSE),""),"")</f>
        <v/>
      </c>
      <c r="G188" s="53" t="str">
        <f>IFERROR(IF(VLOOKUP(T_Equipement[[#This Row],[NumL]],T_suiviDi[#Data],COLUMN(T_suiviDi[Email1]),FALSE)&lt;&gt;"",VLOOKUP(T_Equipement[[#This Row],[NumL]],T_suiviDi[#Data],COLUMN(T_suiviDi[Email1]),FALSE),""),"")</f>
        <v/>
      </c>
      <c r="H188" s="59"/>
      <c r="I188" s="61"/>
      <c r="J188" s="60" t="s">
        <v>3191</v>
      </c>
      <c r="K188" s="61"/>
      <c r="L188" s="62"/>
      <c r="M188" s="59"/>
      <c r="N188" s="59"/>
      <c r="O188" s="59"/>
      <c r="P188" s="59"/>
      <c r="Q188" s="59"/>
      <c r="R188" s="59"/>
      <c r="S188" s="61"/>
      <c r="T188" s="59" t="e">
        <f>VLOOKUP(T_Equipement[[#This Row],[NumL]],T_TraitDi[#Data],COLUMN(#REF!),FALSE)</f>
        <v>#REF!</v>
      </c>
    </row>
    <row r="189" spans="1:20" ht="24" customHeight="1" x14ac:dyDescent="0.25">
      <c r="A189" s="90">
        <v>75</v>
      </c>
      <c r="B189" s="51" t="str">
        <f>IFERROR(IF(VLOOKUP(T_Equipement[[#This Row],[NumL]],T_suiviDi[#Data],COLUMN(T_suiviDi[Nom]),FALSE)&lt;&gt;"",VLOOKUP(T_Equipement[[#This Row],[NumL]],T_suiviDi[#Data],COLUMN(T_suiviDi[Nom]),FALSE),""),"")</f>
        <v/>
      </c>
      <c r="C189" s="51" t="str">
        <f>IFERROR(IF(VLOOKUP(T_Equipement[[#This Row],[NumL]],T_suiviDi[#Data],COLUMN(T_suiviDi[Prénom]),FALSE)&lt;&gt;"",VLOOKUP(T_Equipement[[#This Row],[NumL]],T_suiviDi[#Data],COLUMN(T_suiviDi[Prénom]),FALSE),""),"")</f>
        <v/>
      </c>
      <c r="D189" s="52" t="str">
        <f>IFERROR(IF(VLOOKUP(T_Equipement[[#This Row],[NumL]],T_suiviDi[#Data],COLUMN(T_suiviDi[Email]),FALSE)&lt;&gt;"",VLOOKUP(T_Equipement[[#This Row],[NumL]],T_suiviDi[#Data],COLUMN(T_suiviDi[Email]),FALSE),""),"")</f>
        <v/>
      </c>
      <c r="E189" s="53" t="str">
        <f>IFERROR(IF(VLOOKUP(T_Equipement[[#This Row],[NumL]],T_suiviDi[#Data],COLUMN(T_suiviDi[Nom1]),FALSE)&lt;&gt;"",VLOOKUP(T_Equipement[[#This Row],[NumL]],T_suiviDi[#Data],COLUMN(T_suiviDi[Nom1]),FALSE),""),"")</f>
        <v/>
      </c>
      <c r="F189" s="53" t="str">
        <f>IFERROR(IF(VLOOKUP(T_Equipement[[#This Row],[NumL]],T_suiviDi[#Data],COLUMN(T_suiviDi[Prénom1]),FALSE)&lt;&gt;"",VLOOKUP(T_Equipement[[#This Row],[NumL]],T_suiviDi[#Data],COLUMN(T_suiviDi[Prénom1]),FALSE),""),"")</f>
        <v/>
      </c>
      <c r="G189" s="53" t="str">
        <f>IFERROR(IF(VLOOKUP(T_Equipement[[#This Row],[NumL]],T_suiviDi[#Data],COLUMN(T_suiviDi[Email1]),FALSE)&lt;&gt;"",VLOOKUP(T_Equipement[[#This Row],[NumL]],T_suiviDi[#Data],COLUMN(T_suiviDi[Email1]),FALSE),""),"")</f>
        <v/>
      </c>
      <c r="H189" s="59"/>
      <c r="I189" s="61"/>
      <c r="J189" s="60" t="s">
        <v>3192</v>
      </c>
      <c r="K189" s="61"/>
      <c r="L189" s="62"/>
      <c r="M189" s="59"/>
      <c r="N189" s="59"/>
      <c r="O189" s="59"/>
      <c r="P189" s="59"/>
      <c r="Q189" s="59"/>
      <c r="R189" s="59"/>
      <c r="S189" s="61"/>
      <c r="T189" s="59" t="e">
        <f>VLOOKUP(T_Equipement[[#This Row],[NumL]],T_TraitDi[#Data],COLUMN(#REF!),FALSE)</f>
        <v>#REF!</v>
      </c>
    </row>
    <row r="190" spans="1:20" ht="24" customHeight="1" x14ac:dyDescent="0.25">
      <c r="A190" s="90">
        <v>281</v>
      </c>
      <c r="B190" s="51" t="str">
        <f>IFERROR(IF(VLOOKUP(T_Equipement[[#This Row],[NumL]],T_suiviDi[#Data],COLUMN(T_suiviDi[Nom]),FALSE)&lt;&gt;"",VLOOKUP(T_Equipement[[#This Row],[NumL]],T_suiviDi[#Data],COLUMN(T_suiviDi[Nom]),FALSE),""),"")</f>
        <v/>
      </c>
      <c r="C190" s="51" t="str">
        <f>IFERROR(IF(VLOOKUP(T_Equipement[[#This Row],[NumL]],T_suiviDi[#Data],COLUMN(T_suiviDi[Prénom]),FALSE)&lt;&gt;"",VLOOKUP(T_Equipement[[#This Row],[NumL]],T_suiviDi[#Data],COLUMN(T_suiviDi[Prénom]),FALSE),""),"")</f>
        <v/>
      </c>
      <c r="D190" s="52" t="str">
        <f>IFERROR(IF(VLOOKUP(T_Equipement[[#This Row],[NumL]],T_suiviDi[#Data],COLUMN(T_suiviDi[Email]),FALSE)&lt;&gt;"",VLOOKUP(T_Equipement[[#This Row],[NumL]],T_suiviDi[#Data],COLUMN(T_suiviDi[Email]),FALSE),""),"")</f>
        <v/>
      </c>
      <c r="E190" s="53" t="str">
        <f>IFERROR(IF(VLOOKUP(T_Equipement[[#This Row],[NumL]],T_suiviDi[#Data],COLUMN(T_suiviDi[Nom1]),FALSE)&lt;&gt;"",VLOOKUP(T_Equipement[[#This Row],[NumL]],T_suiviDi[#Data],COLUMN(T_suiviDi[Nom1]),FALSE),""),"")</f>
        <v/>
      </c>
      <c r="F190" s="53" t="str">
        <f>IFERROR(IF(VLOOKUP(T_Equipement[[#This Row],[NumL]],T_suiviDi[#Data],COLUMN(T_suiviDi[Prénom1]),FALSE)&lt;&gt;"",VLOOKUP(T_Equipement[[#This Row],[NumL]],T_suiviDi[#Data],COLUMN(T_suiviDi[Prénom1]),FALSE),""),"")</f>
        <v/>
      </c>
      <c r="G190" s="53" t="str">
        <f>IFERROR(IF(VLOOKUP(T_Equipement[[#This Row],[NumL]],T_suiviDi[#Data],COLUMN(T_suiviDi[Email1]),FALSE)&lt;&gt;"",VLOOKUP(T_Equipement[[#This Row],[NumL]],T_suiviDi[#Data],COLUMN(T_suiviDi[Email1]),FALSE),""),"")</f>
        <v/>
      </c>
      <c r="H190" s="59" t="s">
        <v>3277</v>
      </c>
      <c r="I190" s="61"/>
      <c r="J190" s="60" t="s">
        <v>3193</v>
      </c>
      <c r="K190" s="61"/>
      <c r="L190" s="62"/>
      <c r="M190" s="59"/>
      <c r="N190" s="59"/>
      <c r="O190" s="59"/>
      <c r="P190" s="59"/>
      <c r="Q190" s="59"/>
      <c r="R190" s="59"/>
      <c r="S190" s="61"/>
      <c r="T190" s="59" t="e">
        <f>VLOOKUP(T_Equipement[[#This Row],[NumL]],T_TraitDi[#Data],COLUMN(#REF!),FALSE)</f>
        <v>#REF!</v>
      </c>
    </row>
    <row r="191" spans="1:20" ht="24" customHeight="1" x14ac:dyDescent="0.25">
      <c r="A191" s="90">
        <v>181</v>
      </c>
      <c r="B191" s="51" t="str">
        <f>IFERROR(IF(VLOOKUP(T_Equipement[[#This Row],[NumL]],T_suiviDi[#Data],COLUMN(T_suiviDi[Nom]),FALSE)&lt;&gt;"",VLOOKUP(T_Equipement[[#This Row],[NumL]],T_suiviDi[#Data],COLUMN(T_suiviDi[Nom]),FALSE),""),"")</f>
        <v/>
      </c>
      <c r="C191" s="51" t="str">
        <f>IFERROR(IF(VLOOKUP(T_Equipement[[#This Row],[NumL]],T_suiviDi[#Data],COLUMN(T_suiviDi[Prénom]),FALSE)&lt;&gt;"",VLOOKUP(T_Equipement[[#This Row],[NumL]],T_suiviDi[#Data],COLUMN(T_suiviDi[Prénom]),FALSE),""),"")</f>
        <v/>
      </c>
      <c r="D191" s="52" t="str">
        <f>IFERROR(IF(VLOOKUP(T_Equipement[[#This Row],[NumL]],T_suiviDi[#Data],COLUMN(T_suiviDi[Email]),FALSE)&lt;&gt;"",VLOOKUP(T_Equipement[[#This Row],[NumL]],T_suiviDi[#Data],COLUMN(T_suiviDi[Email]),FALSE),""),"")</f>
        <v/>
      </c>
      <c r="E191" s="53" t="str">
        <f>IFERROR(IF(VLOOKUP(T_Equipement[[#This Row],[NumL]],T_suiviDi[#Data],COLUMN(T_suiviDi[Nom1]),FALSE)&lt;&gt;"",VLOOKUP(T_Equipement[[#This Row],[NumL]],T_suiviDi[#Data],COLUMN(T_suiviDi[Nom1]),FALSE),""),"")</f>
        <v/>
      </c>
      <c r="F191" s="53" t="str">
        <f>IFERROR(IF(VLOOKUP(T_Equipement[[#This Row],[NumL]],T_suiviDi[#Data],COLUMN(T_suiviDi[Prénom1]),FALSE)&lt;&gt;"",VLOOKUP(T_Equipement[[#This Row],[NumL]],T_suiviDi[#Data],COLUMN(T_suiviDi[Prénom1]),FALSE),""),"")</f>
        <v/>
      </c>
      <c r="G191" s="53" t="str">
        <f>IFERROR(IF(VLOOKUP(T_Equipement[[#This Row],[NumL]],T_suiviDi[#Data],COLUMN(T_suiviDi[Email1]),FALSE)&lt;&gt;"",VLOOKUP(T_Equipement[[#This Row],[NumL]],T_suiviDi[#Data],COLUMN(T_suiviDi[Email1]),FALSE),""),"")</f>
        <v/>
      </c>
      <c r="H191" s="59" t="s">
        <v>3277</v>
      </c>
      <c r="I191" s="251">
        <v>44165</v>
      </c>
      <c r="J191" s="60" t="s">
        <v>3194</v>
      </c>
      <c r="K191" s="61"/>
      <c r="L191" s="62"/>
      <c r="M191" s="59"/>
      <c r="N191" s="59"/>
      <c r="O191" s="59"/>
      <c r="P191" s="59"/>
      <c r="Q191" s="59"/>
      <c r="R191" s="59"/>
      <c r="S191" s="61"/>
      <c r="T191" s="59" t="e">
        <f>VLOOKUP(T_Equipement[[#This Row],[NumL]],T_TraitDi[#Data],COLUMN(#REF!),FALSE)</f>
        <v>#REF!</v>
      </c>
    </row>
    <row r="192" spans="1:20" ht="24" customHeight="1" x14ac:dyDescent="0.25">
      <c r="A192" s="90">
        <v>97</v>
      </c>
      <c r="B192" s="51" t="str">
        <f>IFERROR(IF(VLOOKUP(T_Equipement[[#This Row],[NumL]],T_suiviDi[#Data],COLUMN(T_suiviDi[Nom]),FALSE)&lt;&gt;"",VLOOKUP(T_Equipement[[#This Row],[NumL]],T_suiviDi[#Data],COLUMN(T_suiviDi[Nom]),FALSE),""),"")</f>
        <v/>
      </c>
      <c r="C192" s="51" t="str">
        <f>IFERROR(IF(VLOOKUP(T_Equipement[[#This Row],[NumL]],T_suiviDi[#Data],COLUMN(T_suiviDi[Prénom]),FALSE)&lt;&gt;"",VLOOKUP(T_Equipement[[#This Row],[NumL]],T_suiviDi[#Data],COLUMN(T_suiviDi[Prénom]),FALSE),""),"")</f>
        <v/>
      </c>
      <c r="D192" s="52" t="str">
        <f>IFERROR(IF(VLOOKUP(T_Equipement[[#This Row],[NumL]],T_suiviDi[#Data],COLUMN(T_suiviDi[Email]),FALSE)&lt;&gt;"",VLOOKUP(T_Equipement[[#This Row],[NumL]],T_suiviDi[#Data],COLUMN(T_suiviDi[Email]),FALSE),""),"")</f>
        <v/>
      </c>
      <c r="E192" s="53" t="str">
        <f>IFERROR(IF(VLOOKUP(T_Equipement[[#This Row],[NumL]],T_suiviDi[#Data],COLUMN(T_suiviDi[Nom1]),FALSE)&lt;&gt;"",VLOOKUP(T_Equipement[[#This Row],[NumL]],T_suiviDi[#Data],COLUMN(T_suiviDi[Nom1]),FALSE),""),"")</f>
        <v/>
      </c>
      <c r="F192" s="53" t="str">
        <f>IFERROR(IF(VLOOKUP(T_Equipement[[#This Row],[NumL]],T_suiviDi[#Data],COLUMN(T_suiviDi[Prénom1]),FALSE)&lt;&gt;"",VLOOKUP(T_Equipement[[#This Row],[NumL]],T_suiviDi[#Data],COLUMN(T_suiviDi[Prénom1]),FALSE),""),"")</f>
        <v/>
      </c>
      <c r="G192" s="53" t="str">
        <f>IFERROR(IF(VLOOKUP(T_Equipement[[#This Row],[NumL]],T_suiviDi[#Data],COLUMN(T_suiviDi[Email1]),FALSE)&lt;&gt;"",VLOOKUP(T_Equipement[[#This Row],[NumL]],T_suiviDi[#Data],COLUMN(T_suiviDi[Email1]),FALSE),""),"")</f>
        <v/>
      </c>
      <c r="H192" s="59" t="s">
        <v>3277</v>
      </c>
      <c r="I192" s="251">
        <v>44165</v>
      </c>
      <c r="J192" s="60" t="s">
        <v>3195</v>
      </c>
      <c r="K192" s="61"/>
      <c r="L192" s="62"/>
      <c r="M192" s="59"/>
      <c r="N192" s="59"/>
      <c r="O192" s="59"/>
      <c r="P192" s="59"/>
      <c r="Q192" s="59"/>
      <c r="R192" s="59"/>
      <c r="S192" s="61"/>
      <c r="T192" s="59" t="e">
        <f>VLOOKUP(T_Equipement[[#This Row],[NumL]],T_TraitDi[#Data],COLUMN(#REF!),FALSE)</f>
        <v>#REF!</v>
      </c>
    </row>
    <row r="193" spans="1:20" ht="24" customHeight="1" x14ac:dyDescent="0.25">
      <c r="A193" s="90">
        <v>219</v>
      </c>
      <c r="B193" s="51" t="str">
        <f>IFERROR(IF(VLOOKUP(T_Equipement[[#This Row],[NumL]],T_suiviDi[#Data],COLUMN(T_suiviDi[Nom]),FALSE)&lt;&gt;"",VLOOKUP(T_Equipement[[#This Row],[NumL]],T_suiviDi[#Data],COLUMN(T_suiviDi[Nom]),FALSE),""),"")</f>
        <v/>
      </c>
      <c r="C193" s="51" t="str">
        <f>IFERROR(IF(VLOOKUP(T_Equipement[[#This Row],[NumL]],T_suiviDi[#Data],COLUMN(T_suiviDi[Prénom]),FALSE)&lt;&gt;"",VLOOKUP(T_Equipement[[#This Row],[NumL]],T_suiviDi[#Data],COLUMN(T_suiviDi[Prénom]),FALSE),""),"")</f>
        <v/>
      </c>
      <c r="D193" s="52" t="str">
        <f>IFERROR(IF(VLOOKUP(T_Equipement[[#This Row],[NumL]],T_suiviDi[#Data],COLUMN(T_suiviDi[Email]),FALSE)&lt;&gt;"",VLOOKUP(T_Equipement[[#This Row],[NumL]],T_suiviDi[#Data],COLUMN(T_suiviDi[Email]),FALSE),""),"")</f>
        <v/>
      </c>
      <c r="E193" s="53" t="str">
        <f>IFERROR(IF(VLOOKUP(T_Equipement[[#This Row],[NumL]],T_suiviDi[#Data],COLUMN(T_suiviDi[Nom1]),FALSE)&lt;&gt;"",VLOOKUP(T_Equipement[[#This Row],[NumL]],T_suiviDi[#Data],COLUMN(T_suiviDi[Nom1]),FALSE),""),"")</f>
        <v/>
      </c>
      <c r="F193" s="53" t="str">
        <f>IFERROR(IF(VLOOKUP(T_Equipement[[#This Row],[NumL]],T_suiviDi[#Data],COLUMN(T_suiviDi[Prénom1]),FALSE)&lt;&gt;"",VLOOKUP(T_Equipement[[#This Row],[NumL]],T_suiviDi[#Data],COLUMN(T_suiviDi[Prénom1]),FALSE),""),"")</f>
        <v/>
      </c>
      <c r="G193" s="53" t="str">
        <f>IFERROR(IF(VLOOKUP(T_Equipement[[#This Row],[NumL]],T_suiviDi[#Data],COLUMN(T_suiviDi[Email1]),FALSE)&lt;&gt;"",VLOOKUP(T_Equipement[[#This Row],[NumL]],T_suiviDi[#Data],COLUMN(T_suiviDi[Email1]),FALSE),""),"")</f>
        <v/>
      </c>
      <c r="H193" s="59" t="s">
        <v>3278</v>
      </c>
      <c r="I193" s="61"/>
      <c r="J193" s="60" t="s">
        <v>3196</v>
      </c>
      <c r="K193" s="61"/>
      <c r="L193" s="62"/>
      <c r="M193" s="59"/>
      <c r="N193" s="59"/>
      <c r="O193" s="59"/>
      <c r="P193" s="59"/>
      <c r="Q193" s="59"/>
      <c r="R193" s="59"/>
      <c r="S193" s="61"/>
      <c r="T193" s="59" t="e">
        <f>VLOOKUP(T_Equipement[[#This Row],[NumL]],T_TraitDi[#Data],COLUMN(#REF!),FALSE)</f>
        <v>#REF!</v>
      </c>
    </row>
    <row r="194" spans="1:20" ht="24" customHeight="1" x14ac:dyDescent="0.25">
      <c r="A194" s="90">
        <v>225</v>
      </c>
      <c r="B194" s="51" t="str">
        <f>IFERROR(IF(VLOOKUP(T_Equipement[[#This Row],[NumL]],T_suiviDi[#Data],COLUMN(T_suiviDi[Nom]),FALSE)&lt;&gt;"",VLOOKUP(T_Equipement[[#This Row],[NumL]],T_suiviDi[#Data],COLUMN(T_suiviDi[Nom]),FALSE),""),"")</f>
        <v/>
      </c>
      <c r="C194" s="51" t="str">
        <f>IFERROR(IF(VLOOKUP(T_Equipement[[#This Row],[NumL]],T_suiviDi[#Data],COLUMN(T_suiviDi[Prénom]),FALSE)&lt;&gt;"",VLOOKUP(T_Equipement[[#This Row],[NumL]],T_suiviDi[#Data],COLUMN(T_suiviDi[Prénom]),FALSE),""),"")</f>
        <v/>
      </c>
      <c r="D194" s="52" t="str">
        <f>IFERROR(IF(VLOOKUP(T_Equipement[[#This Row],[NumL]],T_suiviDi[#Data],COLUMN(T_suiviDi[Email]),FALSE)&lt;&gt;"",VLOOKUP(T_Equipement[[#This Row],[NumL]],T_suiviDi[#Data],COLUMN(T_suiviDi[Email]),FALSE),""),"")</f>
        <v/>
      </c>
      <c r="E194" s="53" t="str">
        <f>IFERROR(IF(VLOOKUP(T_Equipement[[#This Row],[NumL]],T_suiviDi[#Data],COLUMN(T_suiviDi[Nom1]),FALSE)&lt;&gt;"",VLOOKUP(T_Equipement[[#This Row],[NumL]],T_suiviDi[#Data],COLUMN(T_suiviDi[Nom1]),FALSE),""),"")</f>
        <v/>
      </c>
      <c r="F194" s="53" t="str">
        <f>IFERROR(IF(VLOOKUP(T_Equipement[[#This Row],[NumL]],T_suiviDi[#Data],COLUMN(T_suiviDi[Prénom1]),FALSE)&lt;&gt;"",VLOOKUP(T_Equipement[[#This Row],[NumL]],T_suiviDi[#Data],COLUMN(T_suiviDi[Prénom1]),FALSE),""),"")</f>
        <v/>
      </c>
      <c r="G194" s="53" t="str">
        <f>IFERROR(IF(VLOOKUP(T_Equipement[[#This Row],[NumL]],T_suiviDi[#Data],COLUMN(T_suiviDi[Email1]),FALSE)&lt;&gt;"",VLOOKUP(T_Equipement[[#This Row],[NumL]],T_suiviDi[#Data],COLUMN(T_suiviDi[Email1]),FALSE),""),"")</f>
        <v/>
      </c>
      <c r="H194" s="59" t="s">
        <v>3277</v>
      </c>
      <c r="I194" s="61"/>
      <c r="J194" s="60" t="s">
        <v>3197</v>
      </c>
      <c r="K194" s="61"/>
      <c r="L194" s="62"/>
      <c r="M194" s="59"/>
      <c r="N194" s="59"/>
      <c r="O194" s="59"/>
      <c r="P194" s="59"/>
      <c r="Q194" s="59"/>
      <c r="R194" s="59"/>
      <c r="S194" s="61"/>
      <c r="T194" s="59" t="e">
        <f>VLOOKUP(T_Equipement[[#This Row],[NumL]],T_TraitDi[#Data],COLUMN(#REF!),FALSE)</f>
        <v>#REF!</v>
      </c>
    </row>
    <row r="195" spans="1:20" ht="24" customHeight="1" x14ac:dyDescent="0.25">
      <c r="A195" s="90">
        <v>242</v>
      </c>
      <c r="B195" s="51" t="str">
        <f>IFERROR(IF(VLOOKUP(T_Equipement[[#This Row],[NumL]],T_suiviDi[#Data],COLUMN(T_suiviDi[Nom]),FALSE)&lt;&gt;"",VLOOKUP(T_Equipement[[#This Row],[NumL]],T_suiviDi[#Data],COLUMN(T_suiviDi[Nom]),FALSE),""),"")</f>
        <v/>
      </c>
      <c r="C195" s="51" t="str">
        <f>IFERROR(IF(VLOOKUP(T_Equipement[[#This Row],[NumL]],T_suiviDi[#Data],COLUMN(T_suiviDi[Prénom]),FALSE)&lt;&gt;"",VLOOKUP(T_Equipement[[#This Row],[NumL]],T_suiviDi[#Data],COLUMN(T_suiviDi[Prénom]),FALSE),""),"")</f>
        <v/>
      </c>
      <c r="D195" s="52" t="str">
        <f>IFERROR(IF(VLOOKUP(T_Equipement[[#This Row],[NumL]],T_suiviDi[#Data],COLUMN(T_suiviDi[Email]),FALSE)&lt;&gt;"",VLOOKUP(T_Equipement[[#This Row],[NumL]],T_suiviDi[#Data],COLUMN(T_suiviDi[Email]),FALSE),""),"")</f>
        <v/>
      </c>
      <c r="E195" s="53" t="str">
        <f>IFERROR(IF(VLOOKUP(T_Equipement[[#This Row],[NumL]],T_suiviDi[#Data],COLUMN(T_suiviDi[Nom1]),FALSE)&lt;&gt;"",VLOOKUP(T_Equipement[[#This Row],[NumL]],T_suiviDi[#Data],COLUMN(T_suiviDi[Nom1]),FALSE),""),"")</f>
        <v/>
      </c>
      <c r="F195" s="53" t="str">
        <f>IFERROR(IF(VLOOKUP(T_Equipement[[#This Row],[NumL]],T_suiviDi[#Data],COLUMN(T_suiviDi[Prénom1]),FALSE)&lt;&gt;"",VLOOKUP(T_Equipement[[#This Row],[NumL]],T_suiviDi[#Data],COLUMN(T_suiviDi[Prénom1]),FALSE),""),"")</f>
        <v/>
      </c>
      <c r="G195" s="53" t="str">
        <f>IFERROR(IF(VLOOKUP(T_Equipement[[#This Row],[NumL]],T_suiviDi[#Data],COLUMN(T_suiviDi[Email1]),FALSE)&lt;&gt;"",VLOOKUP(T_Equipement[[#This Row],[NumL]],T_suiviDi[#Data],COLUMN(T_suiviDi[Email1]),FALSE),""),"")</f>
        <v/>
      </c>
      <c r="H195" s="59" t="s">
        <v>3277</v>
      </c>
      <c r="I195" s="251">
        <v>44165</v>
      </c>
      <c r="J195" s="60" t="s">
        <v>3198</v>
      </c>
      <c r="K195" s="61"/>
      <c r="L195" s="62"/>
      <c r="M195" s="59"/>
      <c r="N195" s="59"/>
      <c r="O195" s="59"/>
      <c r="P195" s="59"/>
      <c r="Q195" s="59"/>
      <c r="R195" s="59"/>
      <c r="S195" s="61"/>
      <c r="T195" s="59" t="e">
        <f>VLOOKUP(T_Equipement[[#This Row],[NumL]],T_TraitDi[#Data],COLUMN(#REF!),FALSE)</f>
        <v>#REF!</v>
      </c>
    </row>
    <row r="196" spans="1:20" ht="24" customHeight="1" x14ac:dyDescent="0.25">
      <c r="A196" s="90">
        <v>236</v>
      </c>
      <c r="B196" s="51" t="str">
        <f>IFERROR(IF(VLOOKUP(T_Equipement[[#This Row],[NumL]],T_suiviDi[#Data],COLUMN(T_suiviDi[Nom]),FALSE)&lt;&gt;"",VLOOKUP(T_Equipement[[#This Row],[NumL]],T_suiviDi[#Data],COLUMN(T_suiviDi[Nom]),FALSE),""),"")</f>
        <v/>
      </c>
      <c r="C196" s="51" t="str">
        <f>IFERROR(IF(VLOOKUP(T_Equipement[[#This Row],[NumL]],T_suiviDi[#Data],COLUMN(T_suiviDi[Prénom]),FALSE)&lt;&gt;"",VLOOKUP(T_Equipement[[#This Row],[NumL]],T_suiviDi[#Data],COLUMN(T_suiviDi[Prénom]),FALSE),""),"")</f>
        <v/>
      </c>
      <c r="D196" s="52" t="str">
        <f>IFERROR(IF(VLOOKUP(T_Equipement[[#This Row],[NumL]],T_suiviDi[#Data],COLUMN(T_suiviDi[Email]),FALSE)&lt;&gt;"",VLOOKUP(T_Equipement[[#This Row],[NumL]],T_suiviDi[#Data],COLUMN(T_suiviDi[Email]),FALSE),""),"")</f>
        <v/>
      </c>
      <c r="E196" s="53" t="str">
        <f>IFERROR(IF(VLOOKUP(T_Equipement[[#This Row],[NumL]],T_suiviDi[#Data],COLUMN(T_suiviDi[Nom1]),FALSE)&lt;&gt;"",VLOOKUP(T_Equipement[[#This Row],[NumL]],T_suiviDi[#Data],COLUMN(T_suiviDi[Nom1]),FALSE),""),"")</f>
        <v/>
      </c>
      <c r="F196" s="53" t="str">
        <f>IFERROR(IF(VLOOKUP(T_Equipement[[#This Row],[NumL]],T_suiviDi[#Data],COLUMN(T_suiviDi[Prénom1]),FALSE)&lt;&gt;"",VLOOKUP(T_Equipement[[#This Row],[NumL]],T_suiviDi[#Data],COLUMN(T_suiviDi[Prénom1]),FALSE),""),"")</f>
        <v/>
      </c>
      <c r="G196" s="53" t="str">
        <f>IFERROR(IF(VLOOKUP(T_Equipement[[#This Row],[NumL]],T_suiviDi[#Data],COLUMN(T_suiviDi[Email1]),FALSE)&lt;&gt;"",VLOOKUP(T_Equipement[[#This Row],[NumL]],T_suiviDi[#Data],COLUMN(T_suiviDi[Email1]),FALSE),""),"")</f>
        <v/>
      </c>
      <c r="H196" s="59" t="s">
        <v>3277</v>
      </c>
      <c r="I196" s="251">
        <v>44165</v>
      </c>
      <c r="J196" s="60" t="s">
        <v>3199</v>
      </c>
      <c r="K196" s="61"/>
      <c r="L196" s="62"/>
      <c r="M196" s="59"/>
      <c r="N196" s="59"/>
      <c r="O196" s="59"/>
      <c r="P196" s="59"/>
      <c r="Q196" s="59"/>
      <c r="R196" s="59"/>
      <c r="S196" s="61"/>
      <c r="T196" s="59" t="e">
        <f>VLOOKUP(T_Equipement[[#This Row],[NumL]],T_TraitDi[#Data],COLUMN(#REF!),FALSE)</f>
        <v>#REF!</v>
      </c>
    </row>
    <row r="197" spans="1:20" ht="24" customHeight="1" x14ac:dyDescent="0.25">
      <c r="A197" s="90">
        <v>74</v>
      </c>
      <c r="B197" s="51" t="str">
        <f>IFERROR(IF(VLOOKUP(T_Equipement[[#This Row],[NumL]],T_suiviDi[#Data],COLUMN(T_suiviDi[Nom]),FALSE)&lt;&gt;"",VLOOKUP(T_Equipement[[#This Row],[NumL]],T_suiviDi[#Data],COLUMN(T_suiviDi[Nom]),FALSE),""),"")</f>
        <v/>
      </c>
      <c r="C197" s="51" t="str">
        <f>IFERROR(IF(VLOOKUP(T_Equipement[[#This Row],[NumL]],T_suiviDi[#Data],COLUMN(T_suiviDi[Prénom]),FALSE)&lt;&gt;"",VLOOKUP(T_Equipement[[#This Row],[NumL]],T_suiviDi[#Data],COLUMN(T_suiviDi[Prénom]),FALSE),""),"")</f>
        <v/>
      </c>
      <c r="D197" s="52" t="str">
        <f>IFERROR(IF(VLOOKUP(T_Equipement[[#This Row],[NumL]],T_suiviDi[#Data],COLUMN(T_suiviDi[Email]),FALSE)&lt;&gt;"",VLOOKUP(T_Equipement[[#This Row],[NumL]],T_suiviDi[#Data],COLUMN(T_suiviDi[Email]),FALSE),""),"")</f>
        <v/>
      </c>
      <c r="E197" s="53" t="str">
        <f>IFERROR(IF(VLOOKUP(T_Equipement[[#This Row],[NumL]],T_suiviDi[#Data],COLUMN(T_suiviDi[Nom1]),FALSE)&lt;&gt;"",VLOOKUP(T_Equipement[[#This Row],[NumL]],T_suiviDi[#Data],COLUMN(T_suiviDi[Nom1]),FALSE),""),"")</f>
        <v/>
      </c>
      <c r="F197" s="53" t="str">
        <f>IFERROR(IF(VLOOKUP(T_Equipement[[#This Row],[NumL]],T_suiviDi[#Data],COLUMN(T_suiviDi[Prénom1]),FALSE)&lt;&gt;"",VLOOKUP(T_Equipement[[#This Row],[NumL]],T_suiviDi[#Data],COLUMN(T_suiviDi[Prénom1]),FALSE),""),"")</f>
        <v/>
      </c>
      <c r="G197" s="53" t="str">
        <f>IFERROR(IF(VLOOKUP(T_Equipement[[#This Row],[NumL]],T_suiviDi[#Data],COLUMN(T_suiviDi[Email1]),FALSE)&lt;&gt;"",VLOOKUP(T_Equipement[[#This Row],[NumL]],T_suiviDi[#Data],COLUMN(T_suiviDi[Email1]),FALSE),""),"")</f>
        <v/>
      </c>
      <c r="H197" s="59" t="s">
        <v>3277</v>
      </c>
      <c r="I197" s="61"/>
      <c r="J197" s="60" t="s">
        <v>3200</v>
      </c>
      <c r="K197" s="61"/>
      <c r="L197" s="62"/>
      <c r="M197" s="59"/>
      <c r="N197" s="59"/>
      <c r="O197" s="59"/>
      <c r="P197" s="59"/>
      <c r="Q197" s="59"/>
      <c r="R197" s="59"/>
      <c r="S197" s="61"/>
      <c r="T197" s="59" t="e">
        <f>VLOOKUP(T_Equipement[[#This Row],[NumL]],T_TraitDi[#Data],COLUMN(#REF!),FALSE)</f>
        <v>#REF!</v>
      </c>
    </row>
    <row r="198" spans="1:20" ht="24" customHeight="1" x14ac:dyDescent="0.25">
      <c r="A198" s="90">
        <v>256</v>
      </c>
      <c r="B198" s="51" t="str">
        <f>IFERROR(IF(VLOOKUP(T_Equipement[[#This Row],[NumL]],T_suiviDi[#Data],COLUMN(T_suiviDi[Nom]),FALSE)&lt;&gt;"",VLOOKUP(T_Equipement[[#This Row],[NumL]],T_suiviDi[#Data],COLUMN(T_suiviDi[Nom]),FALSE),""),"")</f>
        <v/>
      </c>
      <c r="C198" s="51" t="str">
        <f>IFERROR(IF(VLOOKUP(T_Equipement[[#This Row],[NumL]],T_suiviDi[#Data],COLUMN(T_suiviDi[Prénom]),FALSE)&lt;&gt;"",VLOOKUP(T_Equipement[[#This Row],[NumL]],T_suiviDi[#Data],COLUMN(T_suiviDi[Prénom]),FALSE),""),"")</f>
        <v/>
      </c>
      <c r="D198" s="52" t="str">
        <f>IFERROR(IF(VLOOKUP(T_Equipement[[#This Row],[NumL]],T_suiviDi[#Data],COLUMN(T_suiviDi[Email]),FALSE)&lt;&gt;"",VLOOKUP(T_Equipement[[#This Row],[NumL]],T_suiviDi[#Data],COLUMN(T_suiviDi[Email]),FALSE),""),"")</f>
        <v/>
      </c>
      <c r="E198" s="53" t="str">
        <f>IFERROR(IF(VLOOKUP(T_Equipement[[#This Row],[NumL]],T_suiviDi[#Data],COLUMN(T_suiviDi[Nom1]),FALSE)&lt;&gt;"",VLOOKUP(T_Equipement[[#This Row],[NumL]],T_suiviDi[#Data],COLUMN(T_suiviDi[Nom1]),FALSE),""),"")</f>
        <v/>
      </c>
      <c r="F198" s="53" t="str">
        <f>IFERROR(IF(VLOOKUP(T_Equipement[[#This Row],[NumL]],T_suiviDi[#Data],COLUMN(T_suiviDi[Prénom1]),FALSE)&lt;&gt;"",VLOOKUP(T_Equipement[[#This Row],[NumL]],T_suiviDi[#Data],COLUMN(T_suiviDi[Prénom1]),FALSE),""),"")</f>
        <v/>
      </c>
      <c r="G198" s="53" t="str">
        <f>IFERROR(IF(VLOOKUP(T_Equipement[[#This Row],[NumL]],T_suiviDi[#Data],COLUMN(T_suiviDi[Email1]),FALSE)&lt;&gt;"",VLOOKUP(T_Equipement[[#This Row],[NumL]],T_suiviDi[#Data],COLUMN(T_suiviDi[Email1]),FALSE),""),"")</f>
        <v/>
      </c>
      <c r="H198" s="59"/>
      <c r="I198" s="61"/>
      <c r="J198" s="60" t="s">
        <v>3201</v>
      </c>
      <c r="K198" s="61"/>
      <c r="L198" s="62"/>
      <c r="M198" s="59"/>
      <c r="N198" s="59"/>
      <c r="O198" s="59"/>
      <c r="P198" s="59"/>
      <c r="Q198" s="59"/>
      <c r="R198" s="59"/>
      <c r="S198" s="61"/>
      <c r="T198" s="59" t="e">
        <f>VLOOKUP(T_Equipement[[#This Row],[NumL]],T_TraitDi[#Data],COLUMN(#REF!),FALSE)</f>
        <v>#REF!</v>
      </c>
    </row>
    <row r="199" spans="1:20" ht="24" customHeight="1" x14ac:dyDescent="0.25">
      <c r="A199" s="90">
        <v>307</v>
      </c>
      <c r="B199" s="51" t="str">
        <f>IFERROR(IF(VLOOKUP(T_Equipement[[#This Row],[NumL]],T_suiviDi[#Data],COLUMN(T_suiviDi[Nom]),FALSE)&lt;&gt;"",VLOOKUP(T_Equipement[[#This Row],[NumL]],T_suiviDi[#Data],COLUMN(T_suiviDi[Nom]),FALSE),""),"")</f>
        <v/>
      </c>
      <c r="C199" s="51" t="str">
        <f>IFERROR(IF(VLOOKUP(T_Equipement[[#This Row],[NumL]],T_suiviDi[#Data],COLUMN(T_suiviDi[Prénom]),FALSE)&lt;&gt;"",VLOOKUP(T_Equipement[[#This Row],[NumL]],T_suiviDi[#Data],COLUMN(T_suiviDi[Prénom]),FALSE),""),"")</f>
        <v/>
      </c>
      <c r="D199" s="52" t="str">
        <f>IFERROR(IF(VLOOKUP(T_Equipement[[#This Row],[NumL]],T_suiviDi[#Data],COLUMN(T_suiviDi[Email]),FALSE)&lt;&gt;"",VLOOKUP(T_Equipement[[#This Row],[NumL]],T_suiviDi[#Data],COLUMN(T_suiviDi[Email]),FALSE),""),"")</f>
        <v/>
      </c>
      <c r="E199" s="53" t="str">
        <f>IFERROR(IF(VLOOKUP(T_Equipement[[#This Row],[NumL]],T_suiviDi[#Data],COLUMN(T_suiviDi[Nom1]),FALSE)&lt;&gt;"",VLOOKUP(T_Equipement[[#This Row],[NumL]],T_suiviDi[#Data],COLUMN(T_suiviDi[Nom1]),FALSE),""),"")</f>
        <v/>
      </c>
      <c r="F199" s="53" t="str">
        <f>IFERROR(IF(VLOOKUP(T_Equipement[[#This Row],[NumL]],T_suiviDi[#Data],COLUMN(T_suiviDi[Prénom1]),FALSE)&lt;&gt;"",VLOOKUP(T_Equipement[[#This Row],[NumL]],T_suiviDi[#Data],COLUMN(T_suiviDi[Prénom1]),FALSE),""),"")</f>
        <v/>
      </c>
      <c r="G199" s="53" t="str">
        <f>IFERROR(IF(VLOOKUP(T_Equipement[[#This Row],[NumL]],T_suiviDi[#Data],COLUMN(T_suiviDi[Email1]),FALSE)&lt;&gt;"",VLOOKUP(T_Equipement[[#This Row],[NumL]],T_suiviDi[#Data],COLUMN(T_suiviDi[Email1]),FALSE),""),"")</f>
        <v/>
      </c>
      <c r="H199" s="59"/>
      <c r="I199" s="61"/>
      <c r="J199" s="60"/>
      <c r="K199" s="61"/>
      <c r="L199" s="62"/>
      <c r="M199" s="59"/>
      <c r="N199" s="59"/>
      <c r="O199" s="59"/>
      <c r="P199" s="59"/>
      <c r="Q199" s="59"/>
      <c r="R199" s="59"/>
      <c r="S199" s="61"/>
      <c r="T199" s="59"/>
    </row>
    <row r="200" spans="1:20" ht="24" customHeight="1" x14ac:dyDescent="0.25">
      <c r="A200" s="90">
        <v>330</v>
      </c>
      <c r="B200" s="51" t="str">
        <f>IFERROR(IF(VLOOKUP(T_Equipement[[#This Row],[NumL]],T_suiviDi[#Data],COLUMN(T_suiviDi[Nom]),FALSE)&lt;&gt;"",VLOOKUP(T_Equipement[[#This Row],[NumL]],T_suiviDi[#Data],COLUMN(T_suiviDi[Nom]),FALSE),""),"")</f>
        <v/>
      </c>
      <c r="C200" s="51" t="str">
        <f>IFERROR(IF(VLOOKUP(T_Equipement[[#This Row],[NumL]],T_suiviDi[#Data],COLUMN(T_suiviDi[Prénom]),FALSE)&lt;&gt;"",VLOOKUP(T_Equipement[[#This Row],[NumL]],T_suiviDi[#Data],COLUMN(T_suiviDi[Prénom]),FALSE),""),"")</f>
        <v/>
      </c>
      <c r="D200" s="52" t="str">
        <f>IFERROR(IF(VLOOKUP(T_Equipement[[#This Row],[NumL]],T_suiviDi[#Data],COLUMN(T_suiviDi[Email]),FALSE)&lt;&gt;"",VLOOKUP(T_Equipement[[#This Row],[NumL]],T_suiviDi[#Data],COLUMN(T_suiviDi[Email]),FALSE),""),"")</f>
        <v/>
      </c>
      <c r="E200" s="53" t="str">
        <f>IFERROR(IF(VLOOKUP(T_Equipement[[#This Row],[NumL]],T_suiviDi[#Data],COLUMN(T_suiviDi[Nom1]),FALSE)&lt;&gt;"",VLOOKUP(T_Equipement[[#This Row],[NumL]],T_suiviDi[#Data],COLUMN(T_suiviDi[Nom1]),FALSE),""),"")</f>
        <v/>
      </c>
      <c r="F200" s="53" t="str">
        <f>IFERROR(IF(VLOOKUP(T_Equipement[[#This Row],[NumL]],T_suiviDi[#Data],COLUMN(T_suiviDi[Prénom1]),FALSE)&lt;&gt;"",VLOOKUP(T_Equipement[[#This Row],[NumL]],T_suiviDi[#Data],COLUMN(T_suiviDi[Prénom1]),FALSE),""),"")</f>
        <v/>
      </c>
      <c r="G200" s="53" t="str">
        <f>IFERROR(IF(VLOOKUP(T_Equipement[[#This Row],[NumL]],T_suiviDi[#Data],COLUMN(T_suiviDi[Email1]),FALSE)&lt;&gt;"",VLOOKUP(T_Equipement[[#This Row],[NumL]],T_suiviDi[#Data],COLUMN(T_suiviDi[Email1]),FALSE),""),"")</f>
        <v/>
      </c>
      <c r="H200" s="59"/>
      <c r="I200" s="61"/>
      <c r="J200" s="60"/>
      <c r="K200" s="61"/>
      <c r="L200" s="62"/>
      <c r="M200" s="59"/>
      <c r="N200" s="59"/>
      <c r="O200" s="59"/>
      <c r="P200" s="59"/>
      <c r="Q200" s="59"/>
      <c r="R200" s="59"/>
      <c r="S200" s="61"/>
      <c r="T200" s="59"/>
    </row>
    <row r="201" spans="1:20" ht="24" customHeight="1" x14ac:dyDescent="0.25">
      <c r="A201" s="90">
        <v>165</v>
      </c>
      <c r="B201" s="51" t="str">
        <f>IFERROR(IF(VLOOKUP(T_Equipement[[#This Row],[NumL]],T_suiviDi[#Data],COLUMN(T_suiviDi[Nom]),FALSE)&lt;&gt;"",VLOOKUP(T_Equipement[[#This Row],[NumL]],T_suiviDi[#Data],COLUMN(T_suiviDi[Nom]),FALSE),""),"")</f>
        <v/>
      </c>
      <c r="C201" s="51" t="str">
        <f>IFERROR(IF(VLOOKUP(T_Equipement[[#This Row],[NumL]],T_suiviDi[#Data],COLUMN(T_suiviDi[Prénom]),FALSE)&lt;&gt;"",VLOOKUP(T_Equipement[[#This Row],[NumL]],T_suiviDi[#Data],COLUMN(T_suiviDi[Prénom]),FALSE),""),"")</f>
        <v/>
      </c>
      <c r="D201" s="52" t="str">
        <f>IFERROR(IF(VLOOKUP(T_Equipement[[#This Row],[NumL]],T_suiviDi[#Data],COLUMN(T_suiviDi[Email]),FALSE)&lt;&gt;"",VLOOKUP(T_Equipement[[#This Row],[NumL]],T_suiviDi[#Data],COLUMN(T_suiviDi[Email]),FALSE),""),"")</f>
        <v/>
      </c>
      <c r="E201" s="53" t="str">
        <f>IFERROR(IF(VLOOKUP(T_Equipement[[#This Row],[NumL]],T_suiviDi[#Data],COLUMN(T_suiviDi[Nom1]),FALSE)&lt;&gt;"",VLOOKUP(T_Equipement[[#This Row],[NumL]],T_suiviDi[#Data],COLUMN(T_suiviDi[Nom1]),FALSE),""),"")</f>
        <v/>
      </c>
      <c r="F201" s="53" t="str">
        <f>IFERROR(IF(VLOOKUP(T_Equipement[[#This Row],[NumL]],T_suiviDi[#Data],COLUMN(T_suiviDi[Prénom1]),FALSE)&lt;&gt;"",VLOOKUP(T_Equipement[[#This Row],[NumL]],T_suiviDi[#Data],COLUMN(T_suiviDi[Prénom1]),FALSE),""),"")</f>
        <v/>
      </c>
      <c r="G201" s="53" t="str">
        <f>IFERROR(IF(VLOOKUP(T_Equipement[[#This Row],[NumL]],T_suiviDi[#Data],COLUMN(T_suiviDi[Email1]),FALSE)&lt;&gt;"",VLOOKUP(T_Equipement[[#This Row],[NumL]],T_suiviDi[#Data],COLUMN(T_suiviDi[Email1]),FALSE),""),"")</f>
        <v/>
      </c>
      <c r="H201" s="59"/>
      <c r="I201" s="61"/>
      <c r="J201" s="60" t="s">
        <v>3202</v>
      </c>
      <c r="K201" s="61"/>
      <c r="L201" s="62"/>
      <c r="M201" s="59"/>
      <c r="N201" s="59"/>
      <c r="O201" s="59"/>
      <c r="P201" s="59"/>
      <c r="Q201" s="59"/>
      <c r="R201" s="59"/>
      <c r="S201" s="61"/>
      <c r="T201" s="59" t="e">
        <f>VLOOKUP(T_Equipement[[#This Row],[NumL]],T_TraitDi[#Data],COLUMN(#REF!),FALSE)</f>
        <v>#REF!</v>
      </c>
    </row>
    <row r="202" spans="1:20" ht="24" customHeight="1" x14ac:dyDescent="0.25">
      <c r="A202" s="90">
        <v>122</v>
      </c>
      <c r="B202" s="51" t="str">
        <f>IFERROR(IF(VLOOKUP(T_Equipement[[#This Row],[NumL]],T_suiviDi[#Data],COLUMN(T_suiviDi[Nom]),FALSE)&lt;&gt;"",VLOOKUP(T_Equipement[[#This Row],[NumL]],T_suiviDi[#Data],COLUMN(T_suiviDi[Nom]),FALSE),""),"")</f>
        <v/>
      </c>
      <c r="C202" s="51" t="str">
        <f>IFERROR(IF(VLOOKUP(T_Equipement[[#This Row],[NumL]],T_suiviDi[#Data],COLUMN(T_suiviDi[Prénom]),FALSE)&lt;&gt;"",VLOOKUP(T_Equipement[[#This Row],[NumL]],T_suiviDi[#Data],COLUMN(T_suiviDi[Prénom]),FALSE),""),"")</f>
        <v/>
      </c>
      <c r="D202" s="52" t="str">
        <f>IFERROR(IF(VLOOKUP(T_Equipement[[#This Row],[NumL]],T_suiviDi[#Data],COLUMN(T_suiviDi[Email]),FALSE)&lt;&gt;"",VLOOKUP(T_Equipement[[#This Row],[NumL]],T_suiviDi[#Data],COLUMN(T_suiviDi[Email]),FALSE),""),"")</f>
        <v/>
      </c>
      <c r="E202" s="53" t="str">
        <f>IFERROR(IF(VLOOKUP(T_Equipement[[#This Row],[NumL]],T_suiviDi[#Data],COLUMN(T_suiviDi[Nom1]),FALSE)&lt;&gt;"",VLOOKUP(T_Equipement[[#This Row],[NumL]],T_suiviDi[#Data],COLUMN(T_suiviDi[Nom1]),FALSE),""),"")</f>
        <v/>
      </c>
      <c r="F202" s="53" t="str">
        <f>IFERROR(IF(VLOOKUP(T_Equipement[[#This Row],[NumL]],T_suiviDi[#Data],COLUMN(T_suiviDi[Prénom1]),FALSE)&lt;&gt;"",VLOOKUP(T_Equipement[[#This Row],[NumL]],T_suiviDi[#Data],COLUMN(T_suiviDi[Prénom1]),FALSE),""),"")</f>
        <v/>
      </c>
      <c r="G202" s="53" t="str">
        <f>IFERROR(IF(VLOOKUP(T_Equipement[[#This Row],[NumL]],T_suiviDi[#Data],COLUMN(T_suiviDi[Email1]),FALSE)&lt;&gt;"",VLOOKUP(T_Equipement[[#This Row],[NumL]],T_suiviDi[#Data],COLUMN(T_suiviDi[Email1]),FALSE),""),"")</f>
        <v/>
      </c>
      <c r="H202" s="59" t="s">
        <v>3277</v>
      </c>
      <c r="I202" s="61"/>
      <c r="J202" s="60" t="s">
        <v>3203</v>
      </c>
      <c r="K202" s="61"/>
      <c r="L202" s="62"/>
      <c r="M202" s="59"/>
      <c r="N202" s="59"/>
      <c r="O202" s="59"/>
      <c r="P202" s="59"/>
      <c r="Q202" s="59"/>
      <c r="R202" s="59"/>
      <c r="S202" s="61"/>
      <c r="T202" s="59" t="e">
        <f>VLOOKUP(T_Equipement[[#This Row],[NumL]],T_TraitDi[#Data],COLUMN(#REF!),FALSE)</f>
        <v>#REF!</v>
      </c>
    </row>
    <row r="203" spans="1:20" ht="24" customHeight="1" x14ac:dyDescent="0.25">
      <c r="A203" s="90">
        <v>38</v>
      </c>
      <c r="B203" s="51" t="str">
        <f>IFERROR(IF(VLOOKUP(T_Equipement[[#This Row],[NumL]],T_suiviDi[#Data],COLUMN(T_suiviDi[Nom]),FALSE)&lt;&gt;"",VLOOKUP(T_Equipement[[#This Row],[NumL]],T_suiviDi[#Data],COLUMN(T_suiviDi[Nom]),FALSE),""),"")</f>
        <v/>
      </c>
      <c r="C203" s="51" t="str">
        <f>IFERROR(IF(VLOOKUP(T_Equipement[[#This Row],[NumL]],T_suiviDi[#Data],COLUMN(T_suiviDi[Prénom]),FALSE)&lt;&gt;"",VLOOKUP(T_Equipement[[#This Row],[NumL]],T_suiviDi[#Data],COLUMN(T_suiviDi[Prénom]),FALSE),""),"")</f>
        <v/>
      </c>
      <c r="D203" s="52" t="str">
        <f>IFERROR(IF(VLOOKUP(T_Equipement[[#This Row],[NumL]],T_suiviDi[#Data],COLUMN(T_suiviDi[Email]),FALSE)&lt;&gt;"",VLOOKUP(T_Equipement[[#This Row],[NumL]],T_suiviDi[#Data],COLUMN(T_suiviDi[Email]),FALSE),""),"")</f>
        <v/>
      </c>
      <c r="E203" s="53" t="str">
        <f>IFERROR(IF(VLOOKUP(T_Equipement[[#This Row],[NumL]],T_suiviDi[#Data],COLUMN(T_suiviDi[Nom1]),FALSE)&lt;&gt;"",VLOOKUP(T_Equipement[[#This Row],[NumL]],T_suiviDi[#Data],COLUMN(T_suiviDi[Nom1]),FALSE),""),"")</f>
        <v/>
      </c>
      <c r="F203" s="53" t="str">
        <f>IFERROR(IF(VLOOKUP(T_Equipement[[#This Row],[NumL]],T_suiviDi[#Data],COLUMN(T_suiviDi[Prénom1]),FALSE)&lt;&gt;"",VLOOKUP(T_Equipement[[#This Row],[NumL]],T_suiviDi[#Data],COLUMN(T_suiviDi[Prénom1]),FALSE),""),"")</f>
        <v/>
      </c>
      <c r="G203" s="53" t="str">
        <f>IFERROR(IF(VLOOKUP(T_Equipement[[#This Row],[NumL]],T_suiviDi[#Data],COLUMN(T_suiviDi[Email1]),FALSE)&lt;&gt;"",VLOOKUP(T_Equipement[[#This Row],[NumL]],T_suiviDi[#Data],COLUMN(T_suiviDi[Email1]),FALSE),""),"")</f>
        <v/>
      </c>
      <c r="H203" s="59" t="s">
        <v>3277</v>
      </c>
      <c r="I203" s="61"/>
      <c r="J203" s="60" t="s">
        <v>3204</v>
      </c>
      <c r="K203" s="61"/>
      <c r="L203" s="62"/>
      <c r="M203" s="59"/>
      <c r="N203" s="59"/>
      <c r="O203" s="59"/>
      <c r="P203" s="59"/>
      <c r="Q203" s="59"/>
      <c r="R203" s="59"/>
      <c r="S203" s="61"/>
      <c r="T203" s="59" t="e">
        <f>VLOOKUP(T_Equipement[[#This Row],[NumL]],T_TraitDi[#Data],COLUMN(#REF!),FALSE)</f>
        <v>#REF!</v>
      </c>
    </row>
    <row r="204" spans="1:20" ht="24" customHeight="1" x14ac:dyDescent="0.25">
      <c r="A204" s="90">
        <v>110</v>
      </c>
      <c r="B204" s="51" t="str">
        <f>IFERROR(IF(VLOOKUP(T_Equipement[[#This Row],[NumL]],T_suiviDi[#Data],COLUMN(T_suiviDi[Nom]),FALSE)&lt;&gt;"",VLOOKUP(T_Equipement[[#This Row],[NumL]],T_suiviDi[#Data],COLUMN(T_suiviDi[Nom]),FALSE),""),"")</f>
        <v/>
      </c>
      <c r="C204" s="51" t="str">
        <f>IFERROR(IF(VLOOKUP(T_Equipement[[#This Row],[NumL]],T_suiviDi[#Data],COLUMN(T_suiviDi[Prénom]),FALSE)&lt;&gt;"",VLOOKUP(T_Equipement[[#This Row],[NumL]],T_suiviDi[#Data],COLUMN(T_suiviDi[Prénom]),FALSE),""),"")</f>
        <v/>
      </c>
      <c r="D204" s="52" t="str">
        <f>IFERROR(IF(VLOOKUP(T_Equipement[[#This Row],[NumL]],T_suiviDi[#Data],COLUMN(T_suiviDi[Email]),FALSE)&lt;&gt;"",VLOOKUP(T_Equipement[[#This Row],[NumL]],T_suiviDi[#Data],COLUMN(T_suiviDi[Email]),FALSE),""),"")</f>
        <v/>
      </c>
      <c r="E204" s="53" t="str">
        <f>IFERROR(IF(VLOOKUP(T_Equipement[[#This Row],[NumL]],T_suiviDi[#Data],COLUMN(T_suiviDi[Nom1]),FALSE)&lt;&gt;"",VLOOKUP(T_Equipement[[#This Row],[NumL]],T_suiviDi[#Data],COLUMN(T_suiviDi[Nom1]),FALSE),""),"")</f>
        <v/>
      </c>
      <c r="F204" s="53" t="str">
        <f>IFERROR(IF(VLOOKUP(T_Equipement[[#This Row],[NumL]],T_suiviDi[#Data],COLUMN(T_suiviDi[Prénom1]),FALSE)&lt;&gt;"",VLOOKUP(T_Equipement[[#This Row],[NumL]],T_suiviDi[#Data],COLUMN(T_suiviDi[Prénom1]),FALSE),""),"")</f>
        <v/>
      </c>
      <c r="G204" s="53" t="str">
        <f>IFERROR(IF(VLOOKUP(T_Equipement[[#This Row],[NumL]],T_suiviDi[#Data],COLUMN(T_suiviDi[Email1]),FALSE)&lt;&gt;"",VLOOKUP(T_Equipement[[#This Row],[NumL]],T_suiviDi[#Data],COLUMN(T_suiviDi[Email1]),FALSE),""),"")</f>
        <v/>
      </c>
      <c r="H204" s="59" t="s">
        <v>3277</v>
      </c>
      <c r="I204" s="251">
        <v>44165</v>
      </c>
      <c r="J204" s="60" t="s">
        <v>3205</v>
      </c>
      <c r="K204" s="61"/>
      <c r="L204" s="62"/>
      <c r="M204" s="59"/>
      <c r="N204" s="59"/>
      <c r="O204" s="59"/>
      <c r="P204" s="59"/>
      <c r="Q204" s="59"/>
      <c r="R204" s="59"/>
      <c r="S204" s="61"/>
      <c r="T204" s="59" t="e">
        <f>VLOOKUP(T_Equipement[[#This Row],[NumL]],T_TraitDi[#Data],COLUMN(#REF!),FALSE)</f>
        <v>#REF!</v>
      </c>
    </row>
    <row r="205" spans="1:20" ht="24" customHeight="1" x14ac:dyDescent="0.25">
      <c r="A205" s="90">
        <v>16</v>
      </c>
      <c r="B205" s="51" t="str">
        <f>IFERROR(IF(VLOOKUP(T_Equipement[[#This Row],[NumL]],T_suiviDi[#Data],COLUMN(T_suiviDi[Nom]),FALSE)&lt;&gt;"",VLOOKUP(T_Equipement[[#This Row],[NumL]],T_suiviDi[#Data],COLUMN(T_suiviDi[Nom]),FALSE),""),"")</f>
        <v/>
      </c>
      <c r="C205" s="51" t="str">
        <f>IFERROR(IF(VLOOKUP(T_Equipement[[#This Row],[NumL]],T_suiviDi[#Data],COLUMN(T_suiviDi[Prénom]),FALSE)&lt;&gt;"",VLOOKUP(T_Equipement[[#This Row],[NumL]],T_suiviDi[#Data],COLUMN(T_suiviDi[Prénom]),FALSE),""),"")</f>
        <v/>
      </c>
      <c r="D205" s="52" t="str">
        <f>IFERROR(IF(VLOOKUP(T_Equipement[[#This Row],[NumL]],T_suiviDi[#Data],COLUMN(T_suiviDi[Email]),FALSE)&lt;&gt;"",VLOOKUP(T_Equipement[[#This Row],[NumL]],T_suiviDi[#Data],COLUMN(T_suiviDi[Email]),FALSE),""),"")</f>
        <v/>
      </c>
      <c r="E205" s="53" t="str">
        <f>IFERROR(IF(VLOOKUP(T_Equipement[[#This Row],[NumL]],T_suiviDi[#Data],COLUMN(T_suiviDi[Nom1]),FALSE)&lt;&gt;"",VLOOKUP(T_Equipement[[#This Row],[NumL]],T_suiviDi[#Data],COLUMN(T_suiviDi[Nom1]),FALSE),""),"")</f>
        <v/>
      </c>
      <c r="F205" s="53" t="str">
        <f>IFERROR(IF(VLOOKUP(T_Equipement[[#This Row],[NumL]],T_suiviDi[#Data],COLUMN(T_suiviDi[Prénom1]),FALSE)&lt;&gt;"",VLOOKUP(T_Equipement[[#This Row],[NumL]],T_suiviDi[#Data],COLUMN(T_suiviDi[Prénom1]),FALSE),""),"")</f>
        <v/>
      </c>
      <c r="G205" s="53" t="str">
        <f>IFERROR(IF(VLOOKUP(T_Equipement[[#This Row],[NumL]],T_suiviDi[#Data],COLUMN(T_suiviDi[Email1]),FALSE)&lt;&gt;"",VLOOKUP(T_Equipement[[#This Row],[NumL]],T_suiviDi[#Data],COLUMN(T_suiviDi[Email1]),FALSE),""),"")</f>
        <v/>
      </c>
      <c r="H205" s="59"/>
      <c r="I205" s="61"/>
      <c r="J205" s="60" t="s">
        <v>3206</v>
      </c>
      <c r="K205" s="61"/>
      <c r="L205" s="62"/>
      <c r="M205" s="59"/>
      <c r="N205" s="59"/>
      <c r="O205" s="59"/>
      <c r="P205" s="59"/>
      <c r="Q205" s="59"/>
      <c r="R205" s="59"/>
      <c r="S205" s="61"/>
      <c r="T205" s="59" t="e">
        <f>VLOOKUP(T_Equipement[[#This Row],[NumL]],T_TraitDi[#Data],COLUMN(#REF!),FALSE)</f>
        <v>#REF!</v>
      </c>
    </row>
    <row r="206" spans="1:20" ht="24" customHeight="1" x14ac:dyDescent="0.25">
      <c r="A206" s="90">
        <v>335</v>
      </c>
      <c r="B206" s="51" t="str">
        <f>IFERROR(IF(VLOOKUP(T_Equipement[[#This Row],[NumL]],T_suiviDi[#Data],COLUMN(T_suiviDi[Nom]),FALSE)&lt;&gt;"",VLOOKUP(T_Equipement[[#This Row],[NumL]],T_suiviDi[#Data],COLUMN(T_suiviDi[Nom]),FALSE),""),"")</f>
        <v/>
      </c>
      <c r="C206" s="51" t="str">
        <f>IFERROR(IF(VLOOKUP(T_Equipement[[#This Row],[NumL]],T_suiviDi[#Data],COLUMN(T_suiviDi[Prénom]),FALSE)&lt;&gt;"",VLOOKUP(T_Equipement[[#This Row],[NumL]],T_suiviDi[#Data],COLUMN(T_suiviDi[Prénom]),FALSE),""),"")</f>
        <v/>
      </c>
      <c r="D206" s="52" t="str">
        <f>IFERROR(IF(VLOOKUP(T_Equipement[[#This Row],[NumL]],T_suiviDi[#Data],COLUMN(T_suiviDi[Email]),FALSE)&lt;&gt;"",VLOOKUP(T_Equipement[[#This Row],[NumL]],T_suiviDi[#Data],COLUMN(T_suiviDi[Email]),FALSE),""),"")</f>
        <v/>
      </c>
      <c r="E206" s="53" t="str">
        <f>IFERROR(IF(VLOOKUP(T_Equipement[[#This Row],[NumL]],T_suiviDi[#Data],COLUMN(T_suiviDi[Nom1]),FALSE)&lt;&gt;"",VLOOKUP(T_Equipement[[#This Row],[NumL]],T_suiviDi[#Data],COLUMN(T_suiviDi[Nom1]),FALSE),""),"")</f>
        <v/>
      </c>
      <c r="F206" s="53" t="str">
        <f>IFERROR(IF(VLOOKUP(T_Equipement[[#This Row],[NumL]],T_suiviDi[#Data],COLUMN(T_suiviDi[Prénom1]),FALSE)&lt;&gt;"",VLOOKUP(T_Equipement[[#This Row],[NumL]],T_suiviDi[#Data],COLUMN(T_suiviDi[Prénom1]),FALSE),""),"")</f>
        <v/>
      </c>
      <c r="G206" s="53" t="str">
        <f>IFERROR(IF(VLOOKUP(T_Equipement[[#This Row],[NumL]],T_suiviDi[#Data],COLUMN(T_suiviDi[Email1]),FALSE)&lt;&gt;"",VLOOKUP(T_Equipement[[#This Row],[NumL]],T_suiviDi[#Data],COLUMN(T_suiviDi[Email1]),FALSE),""),"")</f>
        <v/>
      </c>
      <c r="H206" s="59"/>
      <c r="I206" s="61"/>
      <c r="J206" s="60"/>
      <c r="K206" s="61"/>
      <c r="L206" s="62"/>
      <c r="M206" s="59"/>
      <c r="N206" s="59"/>
      <c r="O206" s="59"/>
      <c r="P206" s="59"/>
      <c r="Q206" s="59"/>
      <c r="R206" s="59"/>
      <c r="S206" s="61"/>
      <c r="T206" s="59"/>
    </row>
    <row r="207" spans="1:20" ht="24" customHeight="1" x14ac:dyDescent="0.25">
      <c r="A207" s="90">
        <v>179</v>
      </c>
      <c r="B207" s="51" t="str">
        <f>IFERROR(IF(VLOOKUP(T_Equipement[[#This Row],[NumL]],T_suiviDi[#Data],COLUMN(T_suiviDi[Nom]),FALSE)&lt;&gt;"",VLOOKUP(T_Equipement[[#This Row],[NumL]],T_suiviDi[#Data],COLUMN(T_suiviDi[Nom]),FALSE),""),"")</f>
        <v/>
      </c>
      <c r="C207" s="51" t="str">
        <f>IFERROR(IF(VLOOKUP(T_Equipement[[#This Row],[NumL]],T_suiviDi[#Data],COLUMN(T_suiviDi[Prénom]),FALSE)&lt;&gt;"",VLOOKUP(T_Equipement[[#This Row],[NumL]],T_suiviDi[#Data],COLUMN(T_suiviDi[Prénom]),FALSE),""),"")</f>
        <v/>
      </c>
      <c r="D207" s="52" t="str">
        <f>IFERROR(IF(VLOOKUP(T_Equipement[[#This Row],[NumL]],T_suiviDi[#Data],COLUMN(T_suiviDi[Email]),FALSE)&lt;&gt;"",VLOOKUP(T_Equipement[[#This Row],[NumL]],T_suiviDi[#Data],COLUMN(T_suiviDi[Email]),FALSE),""),"")</f>
        <v/>
      </c>
      <c r="E207" s="53" t="str">
        <f>IFERROR(IF(VLOOKUP(T_Equipement[[#This Row],[NumL]],T_suiviDi[#Data],COLUMN(T_suiviDi[Nom1]),FALSE)&lt;&gt;"",VLOOKUP(T_Equipement[[#This Row],[NumL]],T_suiviDi[#Data],COLUMN(T_suiviDi[Nom1]),FALSE),""),"")</f>
        <v/>
      </c>
      <c r="F207" s="53" t="str">
        <f>IFERROR(IF(VLOOKUP(T_Equipement[[#This Row],[NumL]],T_suiviDi[#Data],COLUMN(T_suiviDi[Prénom1]),FALSE)&lt;&gt;"",VLOOKUP(T_Equipement[[#This Row],[NumL]],T_suiviDi[#Data],COLUMN(T_suiviDi[Prénom1]),FALSE),""),"")</f>
        <v/>
      </c>
      <c r="G207" s="53" t="str">
        <f>IFERROR(IF(VLOOKUP(T_Equipement[[#This Row],[NumL]],T_suiviDi[#Data],COLUMN(T_suiviDi[Email1]),FALSE)&lt;&gt;"",VLOOKUP(T_Equipement[[#This Row],[NumL]],T_suiviDi[#Data],COLUMN(T_suiviDi[Email1]),FALSE),""),"")</f>
        <v/>
      </c>
      <c r="H207" s="59" t="s">
        <v>3278</v>
      </c>
      <c r="I207" s="251">
        <v>44165</v>
      </c>
      <c r="J207" s="60" t="s">
        <v>3207</v>
      </c>
      <c r="K207" s="61"/>
      <c r="L207" s="62"/>
      <c r="M207" s="59"/>
      <c r="N207" s="59"/>
      <c r="O207" s="59"/>
      <c r="P207" s="59"/>
      <c r="Q207" s="59"/>
      <c r="R207" s="59"/>
      <c r="S207" s="61"/>
      <c r="T207" s="59" t="e">
        <f>VLOOKUP(T_Equipement[[#This Row],[NumL]],T_TraitDi[#Data],COLUMN(#REF!),FALSE)</f>
        <v>#REF!</v>
      </c>
    </row>
    <row r="208" spans="1:20" ht="24" customHeight="1" x14ac:dyDescent="0.25">
      <c r="A208" s="90">
        <v>33</v>
      </c>
      <c r="B208" s="51" t="str">
        <f>IFERROR(IF(VLOOKUP(T_Equipement[[#This Row],[NumL]],T_suiviDi[#Data],COLUMN(T_suiviDi[Nom]),FALSE)&lt;&gt;"",VLOOKUP(T_Equipement[[#This Row],[NumL]],T_suiviDi[#Data],COLUMN(T_suiviDi[Nom]),FALSE),""),"")</f>
        <v/>
      </c>
      <c r="C208" s="51" t="str">
        <f>IFERROR(IF(VLOOKUP(T_Equipement[[#This Row],[NumL]],T_suiviDi[#Data],COLUMN(T_suiviDi[Prénom]),FALSE)&lt;&gt;"",VLOOKUP(T_Equipement[[#This Row],[NumL]],T_suiviDi[#Data],COLUMN(T_suiviDi[Prénom]),FALSE),""),"")</f>
        <v/>
      </c>
      <c r="D208" s="52" t="str">
        <f>IFERROR(IF(VLOOKUP(T_Equipement[[#This Row],[NumL]],T_suiviDi[#Data],COLUMN(T_suiviDi[Email]),FALSE)&lt;&gt;"",VLOOKUP(T_Equipement[[#This Row],[NumL]],T_suiviDi[#Data],COLUMN(T_suiviDi[Email]),FALSE),""),"")</f>
        <v/>
      </c>
      <c r="E208" s="53" t="str">
        <f>IFERROR(IF(VLOOKUP(T_Equipement[[#This Row],[NumL]],T_suiviDi[#Data],COLUMN(T_suiviDi[Nom1]),FALSE)&lt;&gt;"",VLOOKUP(T_Equipement[[#This Row],[NumL]],T_suiviDi[#Data],COLUMN(T_suiviDi[Nom1]),FALSE),""),"")</f>
        <v/>
      </c>
      <c r="F208" s="53" t="str">
        <f>IFERROR(IF(VLOOKUP(T_Equipement[[#This Row],[NumL]],T_suiviDi[#Data],COLUMN(T_suiviDi[Prénom1]),FALSE)&lt;&gt;"",VLOOKUP(T_Equipement[[#This Row],[NumL]],T_suiviDi[#Data],COLUMN(T_suiviDi[Prénom1]),FALSE),""),"")</f>
        <v/>
      </c>
      <c r="G208" s="53" t="str">
        <f>IFERROR(IF(VLOOKUP(T_Equipement[[#This Row],[NumL]],T_suiviDi[#Data],COLUMN(T_suiviDi[Email1]),FALSE)&lt;&gt;"",VLOOKUP(T_Equipement[[#This Row],[NumL]],T_suiviDi[#Data],COLUMN(T_suiviDi[Email1]),FALSE),""),"")</f>
        <v/>
      </c>
      <c r="H208" s="59" t="s">
        <v>3278</v>
      </c>
      <c r="I208" s="61"/>
      <c r="J208" s="60" t="s">
        <v>3208</v>
      </c>
      <c r="K208" s="61"/>
      <c r="L208" s="62"/>
      <c r="M208" s="59"/>
      <c r="N208" s="59"/>
      <c r="O208" s="59"/>
      <c r="P208" s="59"/>
      <c r="Q208" s="59"/>
      <c r="R208" s="59"/>
      <c r="S208" s="61"/>
      <c r="T208" s="59" t="e">
        <f>VLOOKUP(T_Equipement[[#This Row],[NumL]],T_TraitDi[#Data],COLUMN(#REF!),FALSE)</f>
        <v>#REF!</v>
      </c>
    </row>
    <row r="209" spans="1:20" ht="24" customHeight="1" x14ac:dyDescent="0.25">
      <c r="A209" s="90">
        <v>143</v>
      </c>
      <c r="B209" s="51" t="str">
        <f>IFERROR(IF(VLOOKUP(T_Equipement[[#This Row],[NumL]],T_suiviDi[#Data],COLUMN(T_suiviDi[Nom]),FALSE)&lt;&gt;"",VLOOKUP(T_Equipement[[#This Row],[NumL]],T_suiviDi[#Data],COLUMN(T_suiviDi[Nom]),FALSE),""),"")</f>
        <v/>
      </c>
      <c r="C209" s="51" t="str">
        <f>IFERROR(IF(VLOOKUP(T_Equipement[[#This Row],[NumL]],T_suiviDi[#Data],COLUMN(T_suiviDi[Prénom]),FALSE)&lt;&gt;"",VLOOKUP(T_Equipement[[#This Row],[NumL]],T_suiviDi[#Data],COLUMN(T_suiviDi[Prénom]),FALSE),""),"")</f>
        <v/>
      </c>
      <c r="D209" s="52" t="str">
        <f>IFERROR(IF(VLOOKUP(T_Equipement[[#This Row],[NumL]],T_suiviDi[#Data],COLUMN(T_suiviDi[Email]),FALSE)&lt;&gt;"",VLOOKUP(T_Equipement[[#This Row],[NumL]],T_suiviDi[#Data],COLUMN(T_suiviDi[Email]),FALSE),""),"")</f>
        <v/>
      </c>
      <c r="E209" s="53" t="str">
        <f>IFERROR(IF(VLOOKUP(T_Equipement[[#This Row],[NumL]],T_suiviDi[#Data],COLUMN(T_suiviDi[Nom1]),FALSE)&lt;&gt;"",VLOOKUP(T_Equipement[[#This Row],[NumL]],T_suiviDi[#Data],COLUMN(T_suiviDi[Nom1]),FALSE),""),"")</f>
        <v/>
      </c>
      <c r="F209" s="53" t="str">
        <f>IFERROR(IF(VLOOKUP(T_Equipement[[#This Row],[NumL]],T_suiviDi[#Data],COLUMN(T_suiviDi[Prénom1]),FALSE)&lt;&gt;"",VLOOKUP(T_Equipement[[#This Row],[NumL]],T_suiviDi[#Data],COLUMN(T_suiviDi[Prénom1]),FALSE),""),"")</f>
        <v/>
      </c>
      <c r="G209" s="53" t="str">
        <f>IFERROR(IF(VLOOKUP(T_Equipement[[#This Row],[NumL]],T_suiviDi[#Data],COLUMN(T_suiviDi[Email1]),FALSE)&lt;&gt;"",VLOOKUP(T_Equipement[[#This Row],[NumL]],T_suiviDi[#Data],COLUMN(T_suiviDi[Email1]),FALSE),""),"")</f>
        <v/>
      </c>
      <c r="H209" s="59" t="s">
        <v>3278</v>
      </c>
      <c r="I209" s="251">
        <v>44165</v>
      </c>
      <c r="J209" s="60" t="s">
        <v>3209</v>
      </c>
      <c r="K209" s="61"/>
      <c r="L209" s="62"/>
      <c r="M209" s="59"/>
      <c r="N209" s="59"/>
      <c r="O209" s="59"/>
      <c r="P209" s="59"/>
      <c r="Q209" s="59"/>
      <c r="R209" s="59"/>
      <c r="S209" s="61"/>
      <c r="T209" s="59" t="e">
        <f>VLOOKUP(T_Equipement[[#This Row],[NumL]],T_TraitDi[#Data],COLUMN(#REF!),FALSE)</f>
        <v>#REF!</v>
      </c>
    </row>
    <row r="210" spans="1:20" ht="24" customHeight="1" x14ac:dyDescent="0.25">
      <c r="A210" s="90">
        <v>169</v>
      </c>
      <c r="B210" s="51" t="str">
        <f>IFERROR(IF(VLOOKUP(T_Equipement[[#This Row],[NumL]],T_suiviDi[#Data],COLUMN(T_suiviDi[Nom]),FALSE)&lt;&gt;"",VLOOKUP(T_Equipement[[#This Row],[NumL]],T_suiviDi[#Data],COLUMN(T_suiviDi[Nom]),FALSE),""),"")</f>
        <v/>
      </c>
      <c r="C210" s="51" t="str">
        <f>IFERROR(IF(VLOOKUP(T_Equipement[[#This Row],[NumL]],T_suiviDi[#Data],COLUMN(T_suiviDi[Prénom]),FALSE)&lt;&gt;"",VLOOKUP(T_Equipement[[#This Row],[NumL]],T_suiviDi[#Data],COLUMN(T_suiviDi[Prénom]),FALSE),""),"")</f>
        <v/>
      </c>
      <c r="D210" s="52" t="str">
        <f>IFERROR(IF(VLOOKUP(T_Equipement[[#This Row],[NumL]],T_suiviDi[#Data],COLUMN(T_suiviDi[Email]),FALSE)&lt;&gt;"",VLOOKUP(T_Equipement[[#This Row],[NumL]],T_suiviDi[#Data],COLUMN(T_suiviDi[Email]),FALSE),""),"")</f>
        <v/>
      </c>
      <c r="E210" s="53" t="str">
        <f>IFERROR(IF(VLOOKUP(T_Equipement[[#This Row],[NumL]],T_suiviDi[#Data],COLUMN(T_suiviDi[Nom1]),FALSE)&lt;&gt;"",VLOOKUP(T_Equipement[[#This Row],[NumL]],T_suiviDi[#Data],COLUMN(T_suiviDi[Nom1]),FALSE),""),"")</f>
        <v/>
      </c>
      <c r="F210" s="53" t="str">
        <f>IFERROR(IF(VLOOKUP(T_Equipement[[#This Row],[NumL]],T_suiviDi[#Data],COLUMN(T_suiviDi[Prénom1]),FALSE)&lt;&gt;"",VLOOKUP(T_Equipement[[#This Row],[NumL]],T_suiviDi[#Data],COLUMN(T_suiviDi[Prénom1]),FALSE),""),"")</f>
        <v/>
      </c>
      <c r="G210" s="53" t="str">
        <f>IFERROR(IF(VLOOKUP(T_Equipement[[#This Row],[NumL]],T_suiviDi[#Data],COLUMN(T_suiviDi[Email1]),FALSE)&lt;&gt;"",VLOOKUP(T_Equipement[[#This Row],[NumL]],T_suiviDi[#Data],COLUMN(T_suiviDi[Email1]),FALSE),""),"")</f>
        <v/>
      </c>
      <c r="H210" s="59" t="s">
        <v>3277</v>
      </c>
      <c r="I210" s="251">
        <v>44165</v>
      </c>
      <c r="J210" s="60" t="s">
        <v>3210</v>
      </c>
      <c r="K210" s="61"/>
      <c r="L210" s="62"/>
      <c r="M210" s="59"/>
      <c r="N210" s="59"/>
      <c r="O210" s="59"/>
      <c r="P210" s="59"/>
      <c r="Q210" s="59"/>
      <c r="R210" s="59"/>
      <c r="S210" s="61"/>
      <c r="T210" s="59" t="e">
        <f>VLOOKUP(T_Equipement[[#This Row],[NumL]],T_TraitDi[#Data],COLUMN(#REF!),FALSE)</f>
        <v>#REF!</v>
      </c>
    </row>
    <row r="211" spans="1:20" ht="24" customHeight="1" x14ac:dyDescent="0.25">
      <c r="A211" s="90">
        <v>208</v>
      </c>
      <c r="B211" s="51" t="str">
        <f>IFERROR(IF(VLOOKUP(T_Equipement[[#This Row],[NumL]],T_suiviDi[#Data],COLUMN(T_suiviDi[Nom]),FALSE)&lt;&gt;"",VLOOKUP(T_Equipement[[#This Row],[NumL]],T_suiviDi[#Data],COLUMN(T_suiviDi[Nom]),FALSE),""),"")</f>
        <v/>
      </c>
      <c r="C211" s="51" t="str">
        <f>IFERROR(IF(VLOOKUP(T_Equipement[[#This Row],[NumL]],T_suiviDi[#Data],COLUMN(T_suiviDi[Prénom]),FALSE)&lt;&gt;"",VLOOKUP(T_Equipement[[#This Row],[NumL]],T_suiviDi[#Data],COLUMN(T_suiviDi[Prénom]),FALSE),""),"")</f>
        <v/>
      </c>
      <c r="D211" s="52" t="str">
        <f>IFERROR(IF(VLOOKUP(T_Equipement[[#This Row],[NumL]],T_suiviDi[#Data],COLUMN(T_suiviDi[Email]),FALSE)&lt;&gt;"",VLOOKUP(T_Equipement[[#This Row],[NumL]],T_suiviDi[#Data],COLUMN(T_suiviDi[Email]),FALSE),""),"")</f>
        <v/>
      </c>
      <c r="E211" s="53" t="str">
        <f>IFERROR(IF(VLOOKUP(T_Equipement[[#This Row],[NumL]],T_suiviDi[#Data],COLUMN(T_suiviDi[Nom1]),FALSE)&lt;&gt;"",VLOOKUP(T_Equipement[[#This Row],[NumL]],T_suiviDi[#Data],COLUMN(T_suiviDi[Nom1]),FALSE),""),"")</f>
        <v/>
      </c>
      <c r="F211" s="53" t="str">
        <f>IFERROR(IF(VLOOKUP(T_Equipement[[#This Row],[NumL]],T_suiviDi[#Data],COLUMN(T_suiviDi[Prénom1]),FALSE)&lt;&gt;"",VLOOKUP(T_Equipement[[#This Row],[NumL]],T_suiviDi[#Data],COLUMN(T_suiviDi[Prénom1]),FALSE),""),"")</f>
        <v/>
      </c>
      <c r="G211" s="53" t="str">
        <f>IFERROR(IF(VLOOKUP(T_Equipement[[#This Row],[NumL]],T_suiviDi[#Data],COLUMN(T_suiviDi[Email1]),FALSE)&lt;&gt;"",VLOOKUP(T_Equipement[[#This Row],[NumL]],T_suiviDi[#Data],COLUMN(T_suiviDi[Email1]),FALSE),""),"")</f>
        <v/>
      </c>
      <c r="H211" s="59" t="s">
        <v>3278</v>
      </c>
      <c r="I211" s="61"/>
      <c r="J211" s="60" t="s">
        <v>3211</v>
      </c>
      <c r="K211" s="61"/>
      <c r="L211" s="62"/>
      <c r="M211" s="59"/>
      <c r="N211" s="59"/>
      <c r="O211" s="59"/>
      <c r="P211" s="59"/>
      <c r="Q211" s="59"/>
      <c r="R211" s="59"/>
      <c r="S211" s="61"/>
      <c r="T211" s="59" t="e">
        <f>VLOOKUP(T_Equipement[[#This Row],[NumL]],T_TraitDi[#Data],COLUMN(#REF!),FALSE)</f>
        <v>#REF!</v>
      </c>
    </row>
    <row r="212" spans="1:20" ht="24" customHeight="1" x14ac:dyDescent="0.25">
      <c r="A212" s="90">
        <v>198</v>
      </c>
      <c r="B212" s="51" t="str">
        <f>IFERROR(IF(VLOOKUP(T_Equipement[[#This Row],[NumL]],T_suiviDi[#Data],COLUMN(T_suiviDi[Nom]),FALSE)&lt;&gt;"",VLOOKUP(T_Equipement[[#This Row],[NumL]],T_suiviDi[#Data],COLUMN(T_suiviDi[Nom]),FALSE),""),"")</f>
        <v/>
      </c>
      <c r="C212" s="51" t="str">
        <f>IFERROR(IF(VLOOKUP(T_Equipement[[#This Row],[NumL]],T_suiviDi[#Data],COLUMN(T_suiviDi[Prénom]),FALSE)&lt;&gt;"",VLOOKUP(T_Equipement[[#This Row],[NumL]],T_suiviDi[#Data],COLUMN(T_suiviDi[Prénom]),FALSE),""),"")</f>
        <v/>
      </c>
      <c r="D212" s="52" t="str">
        <f>IFERROR(IF(VLOOKUP(T_Equipement[[#This Row],[NumL]],T_suiviDi[#Data],COLUMN(T_suiviDi[Email]),FALSE)&lt;&gt;"",VLOOKUP(T_Equipement[[#This Row],[NumL]],T_suiviDi[#Data],COLUMN(T_suiviDi[Email]),FALSE),""),"")</f>
        <v/>
      </c>
      <c r="E212" s="53" t="str">
        <f>IFERROR(IF(VLOOKUP(T_Equipement[[#This Row],[NumL]],T_suiviDi[#Data],COLUMN(T_suiviDi[Nom1]),FALSE)&lt;&gt;"",VLOOKUP(T_Equipement[[#This Row],[NumL]],T_suiviDi[#Data],COLUMN(T_suiviDi[Nom1]),FALSE),""),"")</f>
        <v/>
      </c>
      <c r="F212" s="53" t="str">
        <f>IFERROR(IF(VLOOKUP(T_Equipement[[#This Row],[NumL]],T_suiviDi[#Data],COLUMN(T_suiviDi[Prénom1]),FALSE)&lt;&gt;"",VLOOKUP(T_Equipement[[#This Row],[NumL]],T_suiviDi[#Data],COLUMN(T_suiviDi[Prénom1]),FALSE),""),"")</f>
        <v/>
      </c>
      <c r="G212" s="53" t="str">
        <f>IFERROR(IF(VLOOKUP(T_Equipement[[#This Row],[NumL]],T_suiviDi[#Data],COLUMN(T_suiviDi[Email1]),FALSE)&lt;&gt;"",VLOOKUP(T_Equipement[[#This Row],[NumL]],T_suiviDi[#Data],COLUMN(T_suiviDi[Email1]),FALSE),""),"")</f>
        <v/>
      </c>
      <c r="H212" s="59"/>
      <c r="I212" s="61"/>
      <c r="J212" s="60" t="s">
        <v>3212</v>
      </c>
      <c r="K212" s="61"/>
      <c r="L212" s="62"/>
      <c r="M212" s="59"/>
      <c r="N212" s="59"/>
      <c r="O212" s="59"/>
      <c r="P212" s="59"/>
      <c r="Q212" s="59"/>
      <c r="R212" s="59"/>
      <c r="S212" s="61"/>
      <c r="T212" s="59" t="e">
        <f>VLOOKUP(T_Equipement[[#This Row],[NumL]],T_TraitDi[#Data],COLUMN(#REF!),FALSE)</f>
        <v>#REF!</v>
      </c>
    </row>
    <row r="213" spans="1:20" ht="24" customHeight="1" x14ac:dyDescent="0.25">
      <c r="A213" s="90">
        <v>349</v>
      </c>
      <c r="B213" s="51" t="str">
        <f>IFERROR(IF(VLOOKUP(T_Equipement[[#This Row],[NumL]],T_suiviDi[#Data],COLUMN(T_suiviDi[Nom]),FALSE)&lt;&gt;"",VLOOKUP(T_Equipement[[#This Row],[NumL]],T_suiviDi[#Data],COLUMN(T_suiviDi[Nom]),FALSE),""),"")</f>
        <v/>
      </c>
      <c r="C213" s="51" t="str">
        <f>IFERROR(IF(VLOOKUP(T_Equipement[[#This Row],[NumL]],T_suiviDi[#Data],COLUMN(T_suiviDi[Prénom]),FALSE)&lt;&gt;"",VLOOKUP(T_Equipement[[#This Row],[NumL]],T_suiviDi[#Data],COLUMN(T_suiviDi[Prénom]),FALSE),""),"")</f>
        <v/>
      </c>
      <c r="D213" s="52" t="str">
        <f>IFERROR(IF(VLOOKUP(T_Equipement[[#This Row],[NumL]],T_suiviDi[#Data],COLUMN(T_suiviDi[Email]),FALSE)&lt;&gt;"",VLOOKUP(T_Equipement[[#This Row],[NumL]],T_suiviDi[#Data],COLUMN(T_suiviDi[Email]),FALSE),""),"")</f>
        <v/>
      </c>
      <c r="E213" s="53" t="str">
        <f>IFERROR(IF(VLOOKUP(T_Equipement[[#This Row],[NumL]],T_suiviDi[#Data],COLUMN(T_suiviDi[Nom1]),FALSE)&lt;&gt;"",VLOOKUP(T_Equipement[[#This Row],[NumL]],T_suiviDi[#Data],COLUMN(T_suiviDi[Nom1]),FALSE),""),"")</f>
        <v/>
      </c>
      <c r="F213" s="53" t="str">
        <f>IFERROR(IF(VLOOKUP(T_Equipement[[#This Row],[NumL]],T_suiviDi[#Data],COLUMN(T_suiviDi[Prénom1]),FALSE)&lt;&gt;"",VLOOKUP(T_Equipement[[#This Row],[NumL]],T_suiviDi[#Data],COLUMN(T_suiviDi[Prénom1]),FALSE),""),"")</f>
        <v/>
      </c>
      <c r="G213" s="53" t="str">
        <f>IFERROR(IF(VLOOKUP(T_Equipement[[#This Row],[NumL]],T_suiviDi[#Data],COLUMN(T_suiviDi[Email1]),FALSE)&lt;&gt;"",VLOOKUP(T_Equipement[[#This Row],[NumL]],T_suiviDi[#Data],COLUMN(T_suiviDi[Email1]),FALSE),""),"")</f>
        <v/>
      </c>
      <c r="H213" s="59"/>
      <c r="I213" s="61"/>
      <c r="J213" s="60"/>
      <c r="K213" s="61"/>
      <c r="L213" s="62"/>
      <c r="M213" s="59"/>
      <c r="N213" s="59"/>
      <c r="O213" s="59"/>
      <c r="P213" s="59"/>
      <c r="Q213" s="59"/>
      <c r="R213" s="59"/>
      <c r="S213" s="61"/>
      <c r="T213" s="59"/>
    </row>
    <row r="214" spans="1:20" ht="24" customHeight="1" x14ac:dyDescent="0.25">
      <c r="A214" s="90">
        <v>332</v>
      </c>
      <c r="B214" s="51" t="str">
        <f>IFERROR(IF(VLOOKUP(T_Equipement[[#This Row],[NumL]],T_suiviDi[#Data],COLUMN(T_suiviDi[Nom]),FALSE)&lt;&gt;"",VLOOKUP(T_Equipement[[#This Row],[NumL]],T_suiviDi[#Data],COLUMN(T_suiviDi[Nom]),FALSE),""),"")</f>
        <v/>
      </c>
      <c r="C214" s="51" t="str">
        <f>IFERROR(IF(VLOOKUP(T_Equipement[[#This Row],[NumL]],T_suiviDi[#Data],COLUMN(T_suiviDi[Prénom]),FALSE)&lt;&gt;"",VLOOKUP(T_Equipement[[#This Row],[NumL]],T_suiviDi[#Data],COLUMN(T_suiviDi[Prénom]),FALSE),""),"")</f>
        <v/>
      </c>
      <c r="D214" s="52" t="str">
        <f>IFERROR(IF(VLOOKUP(T_Equipement[[#This Row],[NumL]],T_suiviDi[#Data],COLUMN(T_suiviDi[Email]),FALSE)&lt;&gt;"",VLOOKUP(T_Equipement[[#This Row],[NumL]],T_suiviDi[#Data],COLUMN(T_suiviDi[Email]),FALSE),""),"")</f>
        <v/>
      </c>
      <c r="E214" s="53" t="str">
        <f>IFERROR(IF(VLOOKUP(T_Equipement[[#This Row],[NumL]],T_suiviDi[#Data],COLUMN(T_suiviDi[Nom1]),FALSE)&lt;&gt;"",VLOOKUP(T_Equipement[[#This Row],[NumL]],T_suiviDi[#Data],COLUMN(T_suiviDi[Nom1]),FALSE),""),"")</f>
        <v/>
      </c>
      <c r="F214" s="53" t="str">
        <f>IFERROR(IF(VLOOKUP(T_Equipement[[#This Row],[NumL]],T_suiviDi[#Data],COLUMN(T_suiviDi[Prénom1]),FALSE)&lt;&gt;"",VLOOKUP(T_Equipement[[#This Row],[NumL]],T_suiviDi[#Data],COLUMN(T_suiviDi[Prénom1]),FALSE),""),"")</f>
        <v/>
      </c>
      <c r="G214" s="53" t="str">
        <f>IFERROR(IF(VLOOKUP(T_Equipement[[#This Row],[NumL]],T_suiviDi[#Data],COLUMN(T_suiviDi[Email1]),FALSE)&lt;&gt;"",VLOOKUP(T_Equipement[[#This Row],[NumL]],T_suiviDi[#Data],COLUMN(T_suiviDi[Email1]),FALSE),""),"")</f>
        <v/>
      </c>
      <c r="H214" s="59"/>
      <c r="I214" s="61"/>
      <c r="J214" s="252"/>
      <c r="K214" s="61"/>
      <c r="L214" s="62"/>
      <c r="M214" s="59"/>
      <c r="N214" s="59"/>
      <c r="O214" s="59"/>
      <c r="P214" s="59"/>
      <c r="Q214" s="59"/>
      <c r="R214" s="59"/>
      <c r="S214" s="61"/>
      <c r="T214" s="59"/>
    </row>
    <row r="215" spans="1:20" ht="24" customHeight="1" x14ac:dyDescent="0.25">
      <c r="A215" s="90">
        <v>351</v>
      </c>
      <c r="B215" s="51" t="str">
        <f>IFERROR(IF(VLOOKUP(T_Equipement[[#This Row],[NumL]],T_suiviDi[#Data],COLUMN(T_suiviDi[Nom]),FALSE)&lt;&gt;"",VLOOKUP(T_Equipement[[#This Row],[NumL]],T_suiviDi[#Data],COLUMN(T_suiviDi[Nom]),FALSE),""),"")</f>
        <v/>
      </c>
      <c r="C215" s="51" t="str">
        <f>IFERROR(IF(VLOOKUP(T_Equipement[[#This Row],[NumL]],T_suiviDi[#Data],COLUMN(T_suiviDi[Prénom]),FALSE)&lt;&gt;"",VLOOKUP(T_Equipement[[#This Row],[NumL]],T_suiviDi[#Data],COLUMN(T_suiviDi[Prénom]),FALSE),""),"")</f>
        <v/>
      </c>
      <c r="D215" s="52" t="str">
        <f>IFERROR(IF(VLOOKUP(T_Equipement[[#This Row],[NumL]],T_suiviDi[#Data],COLUMN(T_suiviDi[Email]),FALSE)&lt;&gt;"",VLOOKUP(T_Equipement[[#This Row],[NumL]],T_suiviDi[#Data],COLUMN(T_suiviDi[Email]),FALSE),""),"")</f>
        <v/>
      </c>
      <c r="E215" s="53" t="str">
        <f>IFERROR(IF(VLOOKUP(T_Equipement[[#This Row],[NumL]],T_suiviDi[#Data],COLUMN(T_suiviDi[Nom1]),FALSE)&lt;&gt;"",VLOOKUP(T_Equipement[[#This Row],[NumL]],T_suiviDi[#Data],COLUMN(T_suiviDi[Nom1]),FALSE),""),"")</f>
        <v/>
      </c>
      <c r="F215" s="53" t="str">
        <f>IFERROR(IF(VLOOKUP(T_Equipement[[#This Row],[NumL]],T_suiviDi[#Data],COLUMN(T_suiviDi[Prénom1]),FALSE)&lt;&gt;"",VLOOKUP(T_Equipement[[#This Row],[NumL]],T_suiviDi[#Data],COLUMN(T_suiviDi[Prénom1]),FALSE),""),"")</f>
        <v/>
      </c>
      <c r="G215" s="53" t="str">
        <f>IFERROR(IF(VLOOKUP(T_Equipement[[#This Row],[NumL]],T_suiviDi[#Data],COLUMN(T_suiviDi[Email1]),FALSE)&lt;&gt;"",VLOOKUP(T_Equipement[[#This Row],[NumL]],T_suiviDi[#Data],COLUMN(T_suiviDi[Email1]),FALSE),""),"")</f>
        <v/>
      </c>
      <c r="H215" s="59"/>
      <c r="I215" s="61"/>
      <c r="J215" s="60"/>
      <c r="K215" s="61"/>
      <c r="L215" s="62"/>
      <c r="M215" s="59"/>
      <c r="N215" s="59"/>
      <c r="O215" s="59"/>
      <c r="P215" s="59"/>
      <c r="Q215" s="59"/>
      <c r="R215" s="59"/>
      <c r="S215" s="61"/>
      <c r="T215" s="59"/>
    </row>
    <row r="216" spans="1:20" ht="24" customHeight="1" x14ac:dyDescent="0.25">
      <c r="A216" s="90">
        <v>19</v>
      </c>
      <c r="B216" s="51" t="str">
        <f>IFERROR(IF(VLOOKUP(T_Equipement[[#This Row],[NumL]],T_suiviDi[#Data],COLUMN(T_suiviDi[Nom]),FALSE)&lt;&gt;"",VLOOKUP(T_Equipement[[#This Row],[NumL]],T_suiviDi[#Data],COLUMN(T_suiviDi[Nom]),FALSE),""),"")</f>
        <v/>
      </c>
      <c r="C216" s="51" t="str">
        <f>IFERROR(IF(VLOOKUP(T_Equipement[[#This Row],[NumL]],T_suiviDi[#Data],COLUMN(T_suiviDi[Prénom]),FALSE)&lt;&gt;"",VLOOKUP(T_Equipement[[#This Row],[NumL]],T_suiviDi[#Data],COLUMN(T_suiviDi[Prénom]),FALSE),""),"")</f>
        <v/>
      </c>
      <c r="D216" s="52" t="str">
        <f>IFERROR(IF(VLOOKUP(T_Equipement[[#This Row],[NumL]],T_suiviDi[#Data],COLUMN(T_suiviDi[Email]),FALSE)&lt;&gt;"",VLOOKUP(T_Equipement[[#This Row],[NumL]],T_suiviDi[#Data],COLUMN(T_suiviDi[Email]),FALSE),""),"")</f>
        <v/>
      </c>
      <c r="E216" s="53" t="str">
        <f>IFERROR(IF(VLOOKUP(T_Equipement[[#This Row],[NumL]],T_suiviDi[#Data],COLUMN(T_suiviDi[Nom1]),FALSE)&lt;&gt;"",VLOOKUP(T_Equipement[[#This Row],[NumL]],T_suiviDi[#Data],COLUMN(T_suiviDi[Nom1]),FALSE),""),"")</f>
        <v/>
      </c>
      <c r="F216" s="53" t="str">
        <f>IFERROR(IF(VLOOKUP(T_Equipement[[#This Row],[NumL]],T_suiviDi[#Data],COLUMN(T_suiviDi[Prénom1]),FALSE)&lt;&gt;"",VLOOKUP(T_Equipement[[#This Row],[NumL]],T_suiviDi[#Data],COLUMN(T_suiviDi[Prénom1]),FALSE),""),"")</f>
        <v/>
      </c>
      <c r="G216" s="53" t="str">
        <f>IFERROR(IF(VLOOKUP(T_Equipement[[#This Row],[NumL]],T_suiviDi[#Data],COLUMN(T_suiviDi[Email1]),FALSE)&lt;&gt;"",VLOOKUP(T_Equipement[[#This Row],[NumL]],T_suiviDi[#Data],COLUMN(T_suiviDi[Email1]),FALSE),""),"")</f>
        <v/>
      </c>
      <c r="H216" s="59"/>
      <c r="I216" s="61"/>
      <c r="J216" s="60" t="s">
        <v>3213</v>
      </c>
      <c r="K216" s="61"/>
      <c r="L216" s="62"/>
      <c r="M216" s="59"/>
      <c r="N216" s="59"/>
      <c r="O216" s="59"/>
      <c r="P216" s="59"/>
      <c r="Q216" s="59"/>
      <c r="R216" s="59"/>
      <c r="S216" s="61"/>
      <c r="T216" s="59" t="e">
        <f>VLOOKUP(T_Equipement[[#This Row],[NumL]],T_TraitDi[#Data],COLUMN(#REF!),FALSE)</f>
        <v>#REF!</v>
      </c>
    </row>
    <row r="217" spans="1:20" ht="24" customHeight="1" x14ac:dyDescent="0.25">
      <c r="A217" s="90">
        <v>210</v>
      </c>
      <c r="B217" s="51" t="str">
        <f>IFERROR(IF(VLOOKUP(T_Equipement[[#This Row],[NumL]],T_suiviDi[#Data],COLUMN(T_suiviDi[Nom]),FALSE)&lt;&gt;"",VLOOKUP(T_Equipement[[#This Row],[NumL]],T_suiviDi[#Data],COLUMN(T_suiviDi[Nom]),FALSE),""),"")</f>
        <v/>
      </c>
      <c r="C217" s="51" t="str">
        <f>IFERROR(IF(VLOOKUP(T_Equipement[[#This Row],[NumL]],T_suiviDi[#Data],COLUMN(T_suiviDi[Prénom]),FALSE)&lt;&gt;"",VLOOKUP(T_Equipement[[#This Row],[NumL]],T_suiviDi[#Data],COLUMN(T_suiviDi[Prénom]),FALSE),""),"")</f>
        <v/>
      </c>
      <c r="D217" s="52" t="str">
        <f>IFERROR(IF(VLOOKUP(T_Equipement[[#This Row],[NumL]],T_suiviDi[#Data],COLUMN(T_suiviDi[Email]),FALSE)&lt;&gt;"",VLOOKUP(T_Equipement[[#This Row],[NumL]],T_suiviDi[#Data],COLUMN(T_suiviDi[Email]),FALSE),""),"")</f>
        <v/>
      </c>
      <c r="E217" s="53" t="str">
        <f>IFERROR(IF(VLOOKUP(T_Equipement[[#This Row],[NumL]],T_suiviDi[#Data],COLUMN(T_suiviDi[Nom1]),FALSE)&lt;&gt;"",VLOOKUP(T_Equipement[[#This Row],[NumL]],T_suiviDi[#Data],COLUMN(T_suiviDi[Nom1]),FALSE),""),"")</f>
        <v/>
      </c>
      <c r="F217" s="53" t="str">
        <f>IFERROR(IF(VLOOKUP(T_Equipement[[#This Row],[NumL]],T_suiviDi[#Data],COLUMN(T_suiviDi[Prénom1]),FALSE)&lt;&gt;"",VLOOKUP(T_Equipement[[#This Row],[NumL]],T_suiviDi[#Data],COLUMN(T_suiviDi[Prénom1]),FALSE),""),"")</f>
        <v/>
      </c>
      <c r="G217" s="53" t="str">
        <f>IFERROR(IF(VLOOKUP(T_Equipement[[#This Row],[NumL]],T_suiviDi[#Data],COLUMN(T_suiviDi[Email1]),FALSE)&lt;&gt;"",VLOOKUP(T_Equipement[[#This Row],[NumL]],T_suiviDi[#Data],COLUMN(T_suiviDi[Email1]),FALSE),""),"")</f>
        <v/>
      </c>
      <c r="H217" s="59" t="s">
        <v>3277</v>
      </c>
      <c r="I217" s="251">
        <v>44165</v>
      </c>
      <c r="J217" s="60" t="s">
        <v>3214</v>
      </c>
      <c r="K217" s="61"/>
      <c r="L217" s="62"/>
      <c r="M217" s="59"/>
      <c r="N217" s="59"/>
      <c r="O217" s="59"/>
      <c r="P217" s="59"/>
      <c r="Q217" s="59"/>
      <c r="R217" s="59"/>
      <c r="S217" s="61"/>
      <c r="T217" s="59" t="e">
        <f>VLOOKUP(T_Equipement[[#This Row],[NumL]],T_TraitDi[#Data],COLUMN(#REF!),FALSE)</f>
        <v>#REF!</v>
      </c>
    </row>
    <row r="218" spans="1:20" ht="24" customHeight="1" x14ac:dyDescent="0.25">
      <c r="A218" s="90">
        <v>136</v>
      </c>
      <c r="B218" s="51" t="str">
        <f>IFERROR(IF(VLOOKUP(T_Equipement[[#This Row],[NumL]],T_suiviDi[#Data],COLUMN(T_suiviDi[Nom]),FALSE)&lt;&gt;"",VLOOKUP(T_Equipement[[#This Row],[NumL]],T_suiviDi[#Data],COLUMN(T_suiviDi[Nom]),FALSE),""),"")</f>
        <v/>
      </c>
      <c r="C218" s="51" t="str">
        <f>IFERROR(IF(VLOOKUP(T_Equipement[[#This Row],[NumL]],T_suiviDi[#Data],COLUMN(T_suiviDi[Prénom]),FALSE)&lt;&gt;"",VLOOKUP(T_Equipement[[#This Row],[NumL]],T_suiviDi[#Data],COLUMN(T_suiviDi[Prénom]),FALSE),""),"")</f>
        <v/>
      </c>
      <c r="D218" s="52" t="str">
        <f>IFERROR(IF(VLOOKUP(T_Equipement[[#This Row],[NumL]],T_suiviDi[#Data],COLUMN(T_suiviDi[Email]),FALSE)&lt;&gt;"",VLOOKUP(T_Equipement[[#This Row],[NumL]],T_suiviDi[#Data],COLUMN(T_suiviDi[Email]),FALSE),""),"")</f>
        <v/>
      </c>
      <c r="E218" s="53" t="str">
        <f>IFERROR(IF(VLOOKUP(T_Equipement[[#This Row],[NumL]],T_suiviDi[#Data],COLUMN(T_suiviDi[Nom1]),FALSE)&lt;&gt;"",VLOOKUP(T_Equipement[[#This Row],[NumL]],T_suiviDi[#Data],COLUMN(T_suiviDi[Nom1]),FALSE),""),"")</f>
        <v/>
      </c>
      <c r="F218" s="53" t="str">
        <f>IFERROR(IF(VLOOKUP(T_Equipement[[#This Row],[NumL]],T_suiviDi[#Data],COLUMN(T_suiviDi[Prénom1]),FALSE)&lt;&gt;"",VLOOKUP(T_Equipement[[#This Row],[NumL]],T_suiviDi[#Data],COLUMN(T_suiviDi[Prénom1]),FALSE),""),"")</f>
        <v/>
      </c>
      <c r="G218" s="53" t="str">
        <f>IFERROR(IF(VLOOKUP(T_Equipement[[#This Row],[NumL]],T_suiviDi[#Data],COLUMN(T_suiviDi[Email1]),FALSE)&lt;&gt;"",VLOOKUP(T_Equipement[[#This Row],[NumL]],T_suiviDi[#Data],COLUMN(T_suiviDi[Email1]),FALSE),""),"")</f>
        <v/>
      </c>
      <c r="H218" s="59" t="s">
        <v>3278</v>
      </c>
      <c r="I218" s="251"/>
      <c r="J218" s="60" t="s">
        <v>3215</v>
      </c>
      <c r="K218" s="61"/>
      <c r="L218" s="62"/>
      <c r="M218" s="59"/>
      <c r="N218" s="59"/>
      <c r="O218" s="59"/>
      <c r="P218" s="59"/>
      <c r="Q218" s="59"/>
      <c r="R218" s="59"/>
      <c r="S218" s="61"/>
      <c r="T218" s="59" t="e">
        <f>VLOOKUP(T_Equipement[[#This Row],[NumL]],T_TraitDi[#Data],COLUMN(#REF!),FALSE)</f>
        <v>#REF!</v>
      </c>
    </row>
    <row r="219" spans="1:20" ht="24" customHeight="1" x14ac:dyDescent="0.25">
      <c r="A219" s="90">
        <v>167</v>
      </c>
      <c r="B219" s="51" t="str">
        <f>IFERROR(IF(VLOOKUP(T_Equipement[[#This Row],[NumL]],T_suiviDi[#Data],COLUMN(T_suiviDi[Nom]),FALSE)&lt;&gt;"",VLOOKUP(T_Equipement[[#This Row],[NumL]],T_suiviDi[#Data],COLUMN(T_suiviDi[Nom]),FALSE),""),"")</f>
        <v/>
      </c>
      <c r="C219" s="51" t="str">
        <f>IFERROR(IF(VLOOKUP(T_Equipement[[#This Row],[NumL]],T_suiviDi[#Data],COLUMN(T_suiviDi[Prénom]),FALSE)&lt;&gt;"",VLOOKUP(T_Equipement[[#This Row],[NumL]],T_suiviDi[#Data],COLUMN(T_suiviDi[Prénom]),FALSE),""),"")</f>
        <v/>
      </c>
      <c r="D219" s="52" t="str">
        <f>IFERROR(IF(VLOOKUP(T_Equipement[[#This Row],[NumL]],T_suiviDi[#Data],COLUMN(T_suiviDi[Email]),FALSE)&lt;&gt;"",VLOOKUP(T_Equipement[[#This Row],[NumL]],T_suiviDi[#Data],COLUMN(T_suiviDi[Email]),FALSE),""),"")</f>
        <v/>
      </c>
      <c r="E219" s="53" t="str">
        <f>IFERROR(IF(VLOOKUP(T_Equipement[[#This Row],[NumL]],T_suiviDi[#Data],COLUMN(T_suiviDi[Nom1]),FALSE)&lt;&gt;"",VLOOKUP(T_Equipement[[#This Row],[NumL]],T_suiviDi[#Data],COLUMN(T_suiviDi[Nom1]),FALSE),""),"")</f>
        <v/>
      </c>
      <c r="F219" s="53" t="str">
        <f>IFERROR(IF(VLOOKUP(T_Equipement[[#This Row],[NumL]],T_suiviDi[#Data],COLUMN(T_suiviDi[Prénom1]),FALSE)&lt;&gt;"",VLOOKUP(T_Equipement[[#This Row],[NumL]],T_suiviDi[#Data],COLUMN(T_suiviDi[Prénom1]),FALSE),""),"")</f>
        <v/>
      </c>
      <c r="G219" s="53" t="str">
        <f>IFERROR(IF(VLOOKUP(T_Equipement[[#This Row],[NumL]],T_suiviDi[#Data],COLUMN(T_suiviDi[Email1]),FALSE)&lt;&gt;"",VLOOKUP(T_Equipement[[#This Row],[NumL]],T_suiviDi[#Data],COLUMN(T_suiviDi[Email1]),FALSE),""),"")</f>
        <v/>
      </c>
      <c r="H219" s="59" t="s">
        <v>3277</v>
      </c>
      <c r="I219" s="61"/>
      <c r="J219" s="60" t="s">
        <v>3216</v>
      </c>
      <c r="K219" s="61"/>
      <c r="L219" s="62"/>
      <c r="M219" s="59"/>
      <c r="N219" s="59"/>
      <c r="O219" s="59"/>
      <c r="P219" s="59"/>
      <c r="Q219" s="59"/>
      <c r="R219" s="59"/>
      <c r="S219" s="61"/>
      <c r="T219" s="59" t="e">
        <f>VLOOKUP(T_Equipement[[#This Row],[NumL]],T_TraitDi[#Data],COLUMN(#REF!),FALSE)</f>
        <v>#REF!</v>
      </c>
    </row>
    <row r="220" spans="1:20" ht="24" customHeight="1" x14ac:dyDescent="0.25">
      <c r="A220" s="90">
        <v>155</v>
      </c>
      <c r="B220" s="51" t="str">
        <f>IFERROR(IF(VLOOKUP(T_Equipement[[#This Row],[NumL]],T_suiviDi[#Data],COLUMN(T_suiviDi[Nom]),FALSE)&lt;&gt;"",VLOOKUP(T_Equipement[[#This Row],[NumL]],T_suiviDi[#Data],COLUMN(T_suiviDi[Nom]),FALSE),""),"")</f>
        <v/>
      </c>
      <c r="C220" s="51" t="str">
        <f>IFERROR(IF(VLOOKUP(T_Equipement[[#This Row],[NumL]],T_suiviDi[#Data],COLUMN(T_suiviDi[Prénom]),FALSE)&lt;&gt;"",VLOOKUP(T_Equipement[[#This Row],[NumL]],T_suiviDi[#Data],COLUMN(T_suiviDi[Prénom]),FALSE),""),"")</f>
        <v/>
      </c>
      <c r="D220" s="52" t="str">
        <f>IFERROR(IF(VLOOKUP(T_Equipement[[#This Row],[NumL]],T_suiviDi[#Data],COLUMN(T_suiviDi[Email]),FALSE)&lt;&gt;"",VLOOKUP(T_Equipement[[#This Row],[NumL]],T_suiviDi[#Data],COLUMN(T_suiviDi[Email]),FALSE),""),"")</f>
        <v/>
      </c>
      <c r="E220" s="53" t="str">
        <f>IFERROR(IF(VLOOKUP(T_Equipement[[#This Row],[NumL]],T_suiviDi[#Data],COLUMN(T_suiviDi[Nom1]),FALSE)&lt;&gt;"",VLOOKUP(T_Equipement[[#This Row],[NumL]],T_suiviDi[#Data],COLUMN(T_suiviDi[Nom1]),FALSE),""),"")</f>
        <v/>
      </c>
      <c r="F220" s="53" t="str">
        <f>IFERROR(IF(VLOOKUP(T_Equipement[[#This Row],[NumL]],T_suiviDi[#Data],COLUMN(T_suiviDi[Prénom1]),FALSE)&lt;&gt;"",VLOOKUP(T_Equipement[[#This Row],[NumL]],T_suiviDi[#Data],COLUMN(T_suiviDi[Prénom1]),FALSE),""),"")</f>
        <v/>
      </c>
      <c r="G220" s="53" t="str">
        <f>IFERROR(IF(VLOOKUP(T_Equipement[[#This Row],[NumL]],T_suiviDi[#Data],COLUMN(T_suiviDi[Email1]),FALSE)&lt;&gt;"",VLOOKUP(T_Equipement[[#This Row],[NumL]],T_suiviDi[#Data],COLUMN(T_suiviDi[Email1]),FALSE),""),"")</f>
        <v/>
      </c>
      <c r="H220" s="59" t="s">
        <v>3277</v>
      </c>
      <c r="I220" s="61"/>
      <c r="J220" s="60" t="s">
        <v>3217</v>
      </c>
      <c r="K220" s="61"/>
      <c r="L220" s="62"/>
      <c r="M220" s="59"/>
      <c r="N220" s="59"/>
      <c r="O220" s="59"/>
      <c r="P220" s="59"/>
      <c r="Q220" s="59"/>
      <c r="R220" s="59"/>
      <c r="S220" s="61"/>
      <c r="T220" s="59" t="e">
        <f>VLOOKUP(T_Equipement[[#This Row],[NumL]],T_TraitDi[#Data],COLUMN(#REF!),FALSE)</f>
        <v>#REF!</v>
      </c>
    </row>
    <row r="221" spans="1:20" ht="24" customHeight="1" x14ac:dyDescent="0.25">
      <c r="A221" s="90">
        <v>139</v>
      </c>
      <c r="B221" s="51" t="str">
        <f>IFERROR(IF(VLOOKUP(T_Equipement[[#This Row],[NumL]],T_suiviDi[#Data],COLUMN(T_suiviDi[Nom]),FALSE)&lt;&gt;"",VLOOKUP(T_Equipement[[#This Row],[NumL]],T_suiviDi[#Data],COLUMN(T_suiviDi[Nom]),FALSE),""),"")</f>
        <v/>
      </c>
      <c r="C221" s="51" t="str">
        <f>IFERROR(IF(VLOOKUP(T_Equipement[[#This Row],[NumL]],T_suiviDi[#Data],COLUMN(T_suiviDi[Prénom]),FALSE)&lt;&gt;"",VLOOKUP(T_Equipement[[#This Row],[NumL]],T_suiviDi[#Data],COLUMN(T_suiviDi[Prénom]),FALSE),""),"")</f>
        <v/>
      </c>
      <c r="D221" s="52" t="str">
        <f>IFERROR(IF(VLOOKUP(T_Equipement[[#This Row],[NumL]],T_suiviDi[#Data],COLUMN(T_suiviDi[Email]),FALSE)&lt;&gt;"",VLOOKUP(T_Equipement[[#This Row],[NumL]],T_suiviDi[#Data],COLUMN(T_suiviDi[Email]),FALSE),""),"")</f>
        <v/>
      </c>
      <c r="E221" s="53" t="str">
        <f>IFERROR(IF(VLOOKUP(T_Equipement[[#This Row],[NumL]],T_suiviDi[#Data],COLUMN(T_suiviDi[Nom1]),FALSE)&lt;&gt;"",VLOOKUP(T_Equipement[[#This Row],[NumL]],T_suiviDi[#Data],COLUMN(T_suiviDi[Nom1]),FALSE),""),"")</f>
        <v/>
      </c>
      <c r="F221" s="53" t="str">
        <f>IFERROR(IF(VLOOKUP(T_Equipement[[#This Row],[NumL]],T_suiviDi[#Data],COLUMN(T_suiviDi[Prénom1]),FALSE)&lt;&gt;"",VLOOKUP(T_Equipement[[#This Row],[NumL]],T_suiviDi[#Data],COLUMN(T_suiviDi[Prénom1]),FALSE),""),"")</f>
        <v/>
      </c>
      <c r="G221" s="53" t="str">
        <f>IFERROR(IF(VLOOKUP(T_Equipement[[#This Row],[NumL]],T_suiviDi[#Data],COLUMN(T_suiviDi[Email1]),FALSE)&lt;&gt;"",VLOOKUP(T_Equipement[[#This Row],[NumL]],T_suiviDi[#Data],COLUMN(T_suiviDi[Email1]),FALSE),""),"")</f>
        <v/>
      </c>
      <c r="H221" s="59" t="s">
        <v>3277</v>
      </c>
      <c r="I221" s="251">
        <v>44165</v>
      </c>
      <c r="J221" s="60" t="s">
        <v>3218</v>
      </c>
      <c r="K221" s="61"/>
      <c r="L221" s="62"/>
      <c r="M221" s="59"/>
      <c r="N221" s="59"/>
      <c r="O221" s="59"/>
      <c r="P221" s="59"/>
      <c r="Q221" s="59"/>
      <c r="R221" s="59"/>
      <c r="S221" s="61"/>
      <c r="T221" s="59" t="e">
        <f>VLOOKUP(T_Equipement[[#This Row],[NumL]],T_TraitDi[#Data],COLUMN(#REF!),FALSE)</f>
        <v>#REF!</v>
      </c>
    </row>
    <row r="222" spans="1:20" ht="24" customHeight="1" x14ac:dyDescent="0.25">
      <c r="A222" s="90">
        <v>317</v>
      </c>
      <c r="B222" s="51" t="str">
        <f>IFERROR(IF(VLOOKUP(T_Equipement[[#This Row],[NumL]],T_suiviDi[#Data],COLUMN(T_suiviDi[Nom]),FALSE)&lt;&gt;"",VLOOKUP(T_Equipement[[#This Row],[NumL]],T_suiviDi[#Data],COLUMN(T_suiviDi[Nom]),FALSE),""),"")</f>
        <v/>
      </c>
      <c r="C222" s="51" t="str">
        <f>IFERROR(IF(VLOOKUP(T_Equipement[[#This Row],[NumL]],T_suiviDi[#Data],COLUMN(T_suiviDi[Prénom]),FALSE)&lt;&gt;"",VLOOKUP(T_Equipement[[#This Row],[NumL]],T_suiviDi[#Data],COLUMN(T_suiviDi[Prénom]),FALSE),""),"")</f>
        <v/>
      </c>
      <c r="D222" s="52" t="str">
        <f>IFERROR(IF(VLOOKUP(T_Equipement[[#This Row],[NumL]],T_suiviDi[#Data],COLUMN(T_suiviDi[Email]),FALSE)&lt;&gt;"",VLOOKUP(T_Equipement[[#This Row],[NumL]],T_suiviDi[#Data],COLUMN(T_suiviDi[Email]),FALSE),""),"")</f>
        <v/>
      </c>
      <c r="E222" s="53" t="str">
        <f>IFERROR(IF(VLOOKUP(T_Equipement[[#This Row],[NumL]],T_suiviDi[#Data],COLUMN(T_suiviDi[Nom1]),FALSE)&lt;&gt;"",VLOOKUP(T_Equipement[[#This Row],[NumL]],T_suiviDi[#Data],COLUMN(T_suiviDi[Nom1]),FALSE),""),"")</f>
        <v/>
      </c>
      <c r="F222" s="53" t="str">
        <f>IFERROR(IF(VLOOKUP(T_Equipement[[#This Row],[NumL]],T_suiviDi[#Data],COLUMN(T_suiviDi[Prénom1]),FALSE)&lt;&gt;"",VLOOKUP(T_Equipement[[#This Row],[NumL]],T_suiviDi[#Data],COLUMN(T_suiviDi[Prénom1]),FALSE),""),"")</f>
        <v/>
      </c>
      <c r="G222" s="53" t="str">
        <f>IFERROR(IF(VLOOKUP(T_Equipement[[#This Row],[NumL]],T_suiviDi[#Data],COLUMN(T_suiviDi[Email1]),FALSE)&lt;&gt;"",VLOOKUP(T_Equipement[[#This Row],[NumL]],T_suiviDi[#Data],COLUMN(T_suiviDi[Email1]),FALSE),""),"")</f>
        <v/>
      </c>
      <c r="H222" s="59"/>
      <c r="I222" s="61"/>
      <c r="J222" s="60"/>
      <c r="K222" s="61"/>
      <c r="L222" s="62"/>
      <c r="M222" s="59"/>
      <c r="N222" s="59"/>
      <c r="O222" s="59"/>
      <c r="P222" s="59"/>
      <c r="Q222" s="59"/>
      <c r="R222" s="59"/>
      <c r="S222" s="61"/>
      <c r="T222" s="59"/>
    </row>
    <row r="223" spans="1:20" ht="24" customHeight="1" x14ac:dyDescent="0.25">
      <c r="A223" s="90">
        <v>129</v>
      </c>
      <c r="B223" s="51" t="str">
        <f>IFERROR(IF(VLOOKUP(T_Equipement[[#This Row],[NumL]],T_suiviDi[#Data],COLUMN(T_suiviDi[Nom]),FALSE)&lt;&gt;"",VLOOKUP(T_Equipement[[#This Row],[NumL]],T_suiviDi[#Data],COLUMN(T_suiviDi[Nom]),FALSE),""),"")</f>
        <v/>
      </c>
      <c r="C223" s="51" t="str">
        <f>IFERROR(IF(VLOOKUP(T_Equipement[[#This Row],[NumL]],T_suiviDi[#Data],COLUMN(T_suiviDi[Prénom]),FALSE)&lt;&gt;"",VLOOKUP(T_Equipement[[#This Row],[NumL]],T_suiviDi[#Data],COLUMN(T_suiviDi[Prénom]),FALSE),""),"")</f>
        <v/>
      </c>
      <c r="D223" s="52" t="str">
        <f>IFERROR(IF(VLOOKUP(T_Equipement[[#This Row],[NumL]],T_suiviDi[#Data],COLUMN(T_suiviDi[Email]),FALSE)&lt;&gt;"",VLOOKUP(T_Equipement[[#This Row],[NumL]],T_suiviDi[#Data],COLUMN(T_suiviDi[Email]),FALSE),""),"")</f>
        <v/>
      </c>
      <c r="E223" s="53" t="str">
        <f>IFERROR(IF(VLOOKUP(T_Equipement[[#This Row],[NumL]],T_suiviDi[#Data],COLUMN(T_suiviDi[Nom1]),FALSE)&lt;&gt;"",VLOOKUP(T_Equipement[[#This Row],[NumL]],T_suiviDi[#Data],COLUMN(T_suiviDi[Nom1]),FALSE),""),"")</f>
        <v/>
      </c>
      <c r="F223" s="53" t="str">
        <f>IFERROR(IF(VLOOKUP(T_Equipement[[#This Row],[NumL]],T_suiviDi[#Data],COLUMN(T_suiviDi[Prénom1]),FALSE)&lt;&gt;"",VLOOKUP(T_Equipement[[#This Row],[NumL]],T_suiviDi[#Data],COLUMN(T_suiviDi[Prénom1]),FALSE),""),"")</f>
        <v/>
      </c>
      <c r="G223" s="53" t="str">
        <f>IFERROR(IF(VLOOKUP(T_Equipement[[#This Row],[NumL]],T_suiviDi[#Data],COLUMN(T_suiviDi[Email1]),FALSE)&lt;&gt;"",VLOOKUP(T_Equipement[[#This Row],[NumL]],T_suiviDi[#Data],COLUMN(T_suiviDi[Email1]),FALSE),""),"")</f>
        <v/>
      </c>
      <c r="H223" s="59"/>
      <c r="I223" s="61"/>
      <c r="J223" s="60" t="s">
        <v>3219</v>
      </c>
      <c r="K223" s="61"/>
      <c r="L223" s="62"/>
      <c r="M223" s="59"/>
      <c r="N223" s="59"/>
      <c r="O223" s="59"/>
      <c r="P223" s="59"/>
      <c r="Q223" s="59"/>
      <c r="R223" s="59"/>
      <c r="S223" s="61"/>
      <c r="T223" s="59" t="e">
        <f>VLOOKUP(T_Equipement[[#This Row],[NumL]],T_TraitDi[#Data],COLUMN(#REF!),FALSE)</f>
        <v>#REF!</v>
      </c>
    </row>
    <row r="224" spans="1:20" ht="24" customHeight="1" x14ac:dyDescent="0.25">
      <c r="A224" s="90">
        <v>18</v>
      </c>
      <c r="B224" s="51" t="str">
        <f>IFERROR(IF(VLOOKUP(T_Equipement[[#This Row],[NumL]],T_suiviDi[#Data],COLUMN(T_suiviDi[Nom]),FALSE)&lt;&gt;"",VLOOKUP(T_Equipement[[#This Row],[NumL]],T_suiviDi[#Data],COLUMN(T_suiviDi[Nom]),FALSE),""),"")</f>
        <v/>
      </c>
      <c r="C224" s="51" t="str">
        <f>IFERROR(IF(VLOOKUP(T_Equipement[[#This Row],[NumL]],T_suiviDi[#Data],COLUMN(T_suiviDi[Prénom]),FALSE)&lt;&gt;"",VLOOKUP(T_Equipement[[#This Row],[NumL]],T_suiviDi[#Data],COLUMN(T_suiviDi[Prénom]),FALSE),""),"")</f>
        <v/>
      </c>
      <c r="D224" s="52" t="str">
        <f>IFERROR(IF(VLOOKUP(T_Equipement[[#This Row],[NumL]],T_suiviDi[#Data],COLUMN(T_suiviDi[Email]),FALSE)&lt;&gt;"",VLOOKUP(T_Equipement[[#This Row],[NumL]],T_suiviDi[#Data],COLUMN(T_suiviDi[Email]),FALSE),""),"")</f>
        <v/>
      </c>
      <c r="E224" s="53" t="str">
        <f>IFERROR(IF(VLOOKUP(T_Equipement[[#This Row],[NumL]],T_suiviDi[#Data],COLUMN(T_suiviDi[Nom1]),FALSE)&lt;&gt;"",VLOOKUP(T_Equipement[[#This Row],[NumL]],T_suiviDi[#Data],COLUMN(T_suiviDi[Nom1]),FALSE),""),"")</f>
        <v/>
      </c>
      <c r="F224" s="53" t="str">
        <f>IFERROR(IF(VLOOKUP(T_Equipement[[#This Row],[NumL]],T_suiviDi[#Data],COLUMN(T_suiviDi[Prénom1]),FALSE)&lt;&gt;"",VLOOKUP(T_Equipement[[#This Row],[NumL]],T_suiviDi[#Data],COLUMN(T_suiviDi[Prénom1]),FALSE),""),"")</f>
        <v/>
      </c>
      <c r="G224" s="53" t="str">
        <f>IFERROR(IF(VLOOKUP(T_Equipement[[#This Row],[NumL]],T_suiviDi[#Data],COLUMN(T_suiviDi[Email1]),FALSE)&lt;&gt;"",VLOOKUP(T_Equipement[[#This Row],[NumL]],T_suiviDi[#Data],COLUMN(T_suiviDi[Email1]),FALSE),""),"")</f>
        <v/>
      </c>
      <c r="H224" s="59"/>
      <c r="I224" s="61"/>
      <c r="J224" s="60" t="s">
        <v>3220</v>
      </c>
      <c r="K224" s="61"/>
      <c r="L224" s="62"/>
      <c r="M224" s="59"/>
      <c r="N224" s="59"/>
      <c r="O224" s="59"/>
      <c r="P224" s="59"/>
      <c r="Q224" s="59"/>
      <c r="R224" s="59"/>
      <c r="S224" s="61"/>
      <c r="T224" s="59" t="e">
        <f>VLOOKUP(T_Equipement[[#This Row],[NumL]],T_TraitDi[#Data],COLUMN(#REF!),FALSE)</f>
        <v>#REF!</v>
      </c>
    </row>
    <row r="225" spans="1:20" ht="24" customHeight="1" x14ac:dyDescent="0.25">
      <c r="A225" s="90">
        <v>243</v>
      </c>
      <c r="B225" s="51" t="str">
        <f>IFERROR(IF(VLOOKUP(T_Equipement[[#This Row],[NumL]],T_suiviDi[#Data],COLUMN(T_suiviDi[Nom]),FALSE)&lt;&gt;"",VLOOKUP(T_Equipement[[#This Row],[NumL]],T_suiviDi[#Data],COLUMN(T_suiviDi[Nom]),FALSE),""),"")</f>
        <v/>
      </c>
      <c r="C225" s="51" t="str">
        <f>IFERROR(IF(VLOOKUP(T_Equipement[[#This Row],[NumL]],T_suiviDi[#Data],COLUMN(T_suiviDi[Prénom]),FALSE)&lt;&gt;"",VLOOKUP(T_Equipement[[#This Row],[NumL]],T_suiviDi[#Data],COLUMN(T_suiviDi[Prénom]),FALSE),""),"")</f>
        <v/>
      </c>
      <c r="D225" s="52" t="str">
        <f>IFERROR(IF(VLOOKUP(T_Equipement[[#This Row],[NumL]],T_suiviDi[#Data],COLUMN(T_suiviDi[Email]),FALSE)&lt;&gt;"",VLOOKUP(T_Equipement[[#This Row],[NumL]],T_suiviDi[#Data],COLUMN(T_suiviDi[Email]),FALSE),""),"")</f>
        <v/>
      </c>
      <c r="E225" s="53" t="str">
        <f>IFERROR(IF(VLOOKUP(T_Equipement[[#This Row],[NumL]],T_suiviDi[#Data],COLUMN(T_suiviDi[Nom1]),FALSE)&lt;&gt;"",VLOOKUP(T_Equipement[[#This Row],[NumL]],T_suiviDi[#Data],COLUMN(T_suiviDi[Nom1]),FALSE),""),"")</f>
        <v/>
      </c>
      <c r="F225" s="53" t="str">
        <f>IFERROR(IF(VLOOKUP(T_Equipement[[#This Row],[NumL]],T_suiviDi[#Data],COLUMN(T_suiviDi[Prénom1]),FALSE)&lt;&gt;"",VLOOKUP(T_Equipement[[#This Row],[NumL]],T_suiviDi[#Data],COLUMN(T_suiviDi[Prénom1]),FALSE),""),"")</f>
        <v/>
      </c>
      <c r="G225" s="53" t="str">
        <f>IFERROR(IF(VLOOKUP(T_Equipement[[#This Row],[NumL]],T_suiviDi[#Data],COLUMN(T_suiviDi[Email1]),FALSE)&lt;&gt;"",VLOOKUP(T_Equipement[[#This Row],[NumL]],T_suiviDi[#Data],COLUMN(T_suiviDi[Email1]),FALSE),""),"")</f>
        <v/>
      </c>
      <c r="H225" s="59"/>
      <c r="I225" s="61"/>
      <c r="J225" s="60" t="s">
        <v>3221</v>
      </c>
      <c r="K225" s="61"/>
      <c r="L225" s="62"/>
      <c r="M225" s="59"/>
      <c r="N225" s="59"/>
      <c r="O225" s="59"/>
      <c r="P225" s="59"/>
      <c r="Q225" s="59"/>
      <c r="R225" s="59"/>
      <c r="S225" s="61"/>
      <c r="T225" s="59" t="e">
        <f>VLOOKUP(T_Equipement[[#This Row],[NumL]],T_TraitDi[#Data],COLUMN(#REF!),FALSE)</f>
        <v>#REF!</v>
      </c>
    </row>
    <row r="226" spans="1:20" ht="24" customHeight="1" x14ac:dyDescent="0.25">
      <c r="A226" s="90">
        <v>43</v>
      </c>
      <c r="B226" s="51" t="str">
        <f>IFERROR(IF(VLOOKUP(T_Equipement[[#This Row],[NumL]],T_suiviDi[#Data],COLUMN(T_suiviDi[Nom]),FALSE)&lt;&gt;"",VLOOKUP(T_Equipement[[#This Row],[NumL]],T_suiviDi[#Data],COLUMN(T_suiviDi[Nom]),FALSE),""),"")</f>
        <v/>
      </c>
      <c r="C226" s="51" t="str">
        <f>IFERROR(IF(VLOOKUP(T_Equipement[[#This Row],[NumL]],T_suiviDi[#Data],COLUMN(T_suiviDi[Prénom]),FALSE)&lt;&gt;"",VLOOKUP(T_Equipement[[#This Row],[NumL]],T_suiviDi[#Data],COLUMN(T_suiviDi[Prénom]),FALSE),""),"")</f>
        <v/>
      </c>
      <c r="D226" s="52" t="str">
        <f>IFERROR(IF(VLOOKUP(T_Equipement[[#This Row],[NumL]],T_suiviDi[#Data],COLUMN(T_suiviDi[Email]),FALSE)&lt;&gt;"",VLOOKUP(T_Equipement[[#This Row],[NumL]],T_suiviDi[#Data],COLUMN(T_suiviDi[Email]),FALSE),""),"")</f>
        <v/>
      </c>
      <c r="E226" s="53" t="str">
        <f>IFERROR(IF(VLOOKUP(T_Equipement[[#This Row],[NumL]],T_suiviDi[#Data],COLUMN(T_suiviDi[Nom1]),FALSE)&lt;&gt;"",VLOOKUP(T_Equipement[[#This Row],[NumL]],T_suiviDi[#Data],COLUMN(T_suiviDi[Nom1]),FALSE),""),"")</f>
        <v/>
      </c>
      <c r="F226" s="53" t="str">
        <f>IFERROR(IF(VLOOKUP(T_Equipement[[#This Row],[NumL]],T_suiviDi[#Data],COLUMN(T_suiviDi[Prénom1]),FALSE)&lt;&gt;"",VLOOKUP(T_Equipement[[#This Row],[NumL]],T_suiviDi[#Data],COLUMN(T_suiviDi[Prénom1]),FALSE),""),"")</f>
        <v/>
      </c>
      <c r="G226" s="53" t="str">
        <f>IFERROR(IF(VLOOKUP(T_Equipement[[#This Row],[NumL]],T_suiviDi[#Data],COLUMN(T_suiviDi[Email1]),FALSE)&lt;&gt;"",VLOOKUP(T_Equipement[[#This Row],[NumL]],T_suiviDi[#Data],COLUMN(T_suiviDi[Email1]),FALSE),""),"")</f>
        <v/>
      </c>
      <c r="H226" s="59" t="s">
        <v>3277</v>
      </c>
      <c r="I226" s="251">
        <v>44165</v>
      </c>
      <c r="J226" s="60" t="s">
        <v>3222</v>
      </c>
      <c r="K226" s="61"/>
      <c r="L226" s="62"/>
      <c r="M226" s="59"/>
      <c r="N226" s="59"/>
      <c r="O226" s="59"/>
      <c r="P226" s="59"/>
      <c r="Q226" s="59"/>
      <c r="R226" s="59"/>
      <c r="S226" s="61"/>
      <c r="T226" s="59" t="e">
        <f>VLOOKUP(T_Equipement[[#This Row],[NumL]],T_TraitDi[#Data],COLUMN(#REF!),FALSE)</f>
        <v>#REF!</v>
      </c>
    </row>
    <row r="227" spans="1:20" ht="24" customHeight="1" x14ac:dyDescent="0.25">
      <c r="A227" s="90">
        <v>354</v>
      </c>
      <c r="B227" s="51" t="str">
        <f>IFERROR(IF(VLOOKUP(T_Equipement[[#This Row],[NumL]],T_suiviDi[#Data],COLUMN(T_suiviDi[Nom]),FALSE)&lt;&gt;"",VLOOKUP(T_Equipement[[#This Row],[NumL]],T_suiviDi[#Data],COLUMN(T_suiviDi[Nom]),FALSE),""),"")</f>
        <v/>
      </c>
      <c r="C227" s="51" t="str">
        <f>IFERROR(IF(VLOOKUP(T_Equipement[[#This Row],[NumL]],T_suiviDi[#Data],COLUMN(T_suiviDi[Prénom]),FALSE)&lt;&gt;"",VLOOKUP(T_Equipement[[#This Row],[NumL]],T_suiviDi[#Data],COLUMN(T_suiviDi[Prénom]),FALSE),""),"")</f>
        <v/>
      </c>
      <c r="D227" s="52" t="str">
        <f>IFERROR(IF(VLOOKUP(T_Equipement[[#This Row],[NumL]],T_suiviDi[#Data],COLUMN(T_suiviDi[Email]),FALSE)&lt;&gt;"",VLOOKUP(T_Equipement[[#This Row],[NumL]],T_suiviDi[#Data],COLUMN(T_suiviDi[Email]),FALSE),""),"")</f>
        <v/>
      </c>
      <c r="E227" s="53" t="str">
        <f>IFERROR(IF(VLOOKUP(T_Equipement[[#This Row],[NumL]],T_suiviDi[#Data],COLUMN(T_suiviDi[Nom1]),FALSE)&lt;&gt;"",VLOOKUP(T_Equipement[[#This Row],[NumL]],T_suiviDi[#Data],COLUMN(T_suiviDi[Nom1]),FALSE),""),"")</f>
        <v/>
      </c>
      <c r="F227" s="53" t="str">
        <f>IFERROR(IF(VLOOKUP(T_Equipement[[#This Row],[NumL]],T_suiviDi[#Data],COLUMN(T_suiviDi[Prénom1]),FALSE)&lt;&gt;"",VLOOKUP(T_Equipement[[#This Row],[NumL]],T_suiviDi[#Data],COLUMN(T_suiviDi[Prénom1]),FALSE),""),"")</f>
        <v/>
      </c>
      <c r="G227" s="53" t="str">
        <f>IFERROR(IF(VLOOKUP(T_Equipement[[#This Row],[NumL]],T_suiviDi[#Data],COLUMN(T_suiviDi[Email1]),FALSE)&lt;&gt;"",VLOOKUP(T_Equipement[[#This Row],[NumL]],T_suiviDi[#Data],COLUMN(T_suiviDi[Email1]),FALSE),""),"")</f>
        <v/>
      </c>
      <c r="H227" s="59"/>
      <c r="I227" s="61"/>
      <c r="J227" s="60"/>
      <c r="K227" s="61"/>
      <c r="L227" s="62"/>
      <c r="M227" s="59"/>
      <c r="N227" s="59"/>
      <c r="O227" s="59"/>
      <c r="P227" s="59"/>
      <c r="Q227" s="59"/>
      <c r="R227" s="59"/>
      <c r="S227" s="61"/>
      <c r="T227" s="59"/>
    </row>
    <row r="228" spans="1:20" ht="24" customHeight="1" x14ac:dyDescent="0.25">
      <c r="A228" s="90">
        <v>300</v>
      </c>
      <c r="B228" s="51" t="str">
        <f>IFERROR(IF(VLOOKUP(T_Equipement[[#This Row],[NumL]],T_suiviDi[#Data],COLUMN(T_suiviDi[Nom]),FALSE)&lt;&gt;"",VLOOKUP(T_Equipement[[#This Row],[NumL]],T_suiviDi[#Data],COLUMN(T_suiviDi[Nom]),FALSE),""),"")</f>
        <v/>
      </c>
      <c r="C228" s="51" t="str">
        <f>IFERROR(IF(VLOOKUP(T_Equipement[[#This Row],[NumL]],T_suiviDi[#Data],COLUMN(T_suiviDi[Prénom]),FALSE)&lt;&gt;"",VLOOKUP(T_Equipement[[#This Row],[NumL]],T_suiviDi[#Data],COLUMN(T_suiviDi[Prénom]),FALSE),""),"")</f>
        <v/>
      </c>
      <c r="D228" s="52" t="str">
        <f>IFERROR(IF(VLOOKUP(T_Equipement[[#This Row],[NumL]],T_suiviDi[#Data],COLUMN(T_suiviDi[Email]),FALSE)&lt;&gt;"",VLOOKUP(T_Equipement[[#This Row],[NumL]],T_suiviDi[#Data],COLUMN(T_suiviDi[Email]),FALSE),""),"")</f>
        <v/>
      </c>
      <c r="E228" s="53" t="str">
        <f>IFERROR(IF(VLOOKUP(T_Equipement[[#This Row],[NumL]],T_suiviDi[#Data],COLUMN(T_suiviDi[Nom1]),FALSE)&lt;&gt;"",VLOOKUP(T_Equipement[[#This Row],[NumL]],T_suiviDi[#Data],COLUMN(T_suiviDi[Nom1]),FALSE),""),"")</f>
        <v/>
      </c>
      <c r="F228" s="53" t="str">
        <f>IFERROR(IF(VLOOKUP(T_Equipement[[#This Row],[NumL]],T_suiviDi[#Data],COLUMN(T_suiviDi[Prénom1]),FALSE)&lt;&gt;"",VLOOKUP(T_Equipement[[#This Row],[NumL]],T_suiviDi[#Data],COLUMN(T_suiviDi[Prénom1]),FALSE),""),"")</f>
        <v/>
      </c>
      <c r="G228" s="53" t="str">
        <f>IFERROR(IF(VLOOKUP(T_Equipement[[#This Row],[NumL]],T_suiviDi[#Data],COLUMN(T_suiviDi[Email1]),FALSE)&lt;&gt;"",VLOOKUP(T_Equipement[[#This Row],[NumL]],T_suiviDi[#Data],COLUMN(T_suiviDi[Email1]),FALSE),""),"")</f>
        <v/>
      </c>
      <c r="H228" s="59"/>
      <c r="I228" s="61"/>
      <c r="J228" s="60"/>
      <c r="K228" s="61"/>
      <c r="L228" s="62"/>
      <c r="M228" s="59"/>
      <c r="N228" s="59"/>
      <c r="O228" s="59"/>
      <c r="P228" s="59"/>
      <c r="Q228" s="59"/>
      <c r="R228" s="59"/>
      <c r="S228" s="61"/>
      <c r="T228" s="59"/>
    </row>
    <row r="229" spans="1:20" ht="24" customHeight="1" x14ac:dyDescent="0.25">
      <c r="A229" s="90">
        <v>239</v>
      </c>
      <c r="B229" s="51" t="str">
        <f>IFERROR(IF(VLOOKUP(T_Equipement[[#This Row],[NumL]],T_suiviDi[#Data],COLUMN(T_suiviDi[Nom]),FALSE)&lt;&gt;"",VLOOKUP(T_Equipement[[#This Row],[NumL]],T_suiviDi[#Data],COLUMN(T_suiviDi[Nom]),FALSE),""),"")</f>
        <v/>
      </c>
      <c r="C229" s="51" t="str">
        <f>IFERROR(IF(VLOOKUP(T_Equipement[[#This Row],[NumL]],T_suiviDi[#Data],COLUMN(T_suiviDi[Prénom]),FALSE)&lt;&gt;"",VLOOKUP(T_Equipement[[#This Row],[NumL]],T_suiviDi[#Data],COLUMN(T_suiviDi[Prénom]),FALSE),""),"")</f>
        <v/>
      </c>
      <c r="D229" s="52" t="str">
        <f>IFERROR(IF(VLOOKUP(T_Equipement[[#This Row],[NumL]],T_suiviDi[#Data],COLUMN(T_suiviDi[Email]),FALSE)&lt;&gt;"",VLOOKUP(T_Equipement[[#This Row],[NumL]],T_suiviDi[#Data],COLUMN(T_suiviDi[Email]),FALSE),""),"")</f>
        <v/>
      </c>
      <c r="E229" s="53" t="str">
        <f>IFERROR(IF(VLOOKUP(T_Equipement[[#This Row],[NumL]],T_suiviDi[#Data],COLUMN(T_suiviDi[Nom1]),FALSE)&lt;&gt;"",VLOOKUP(T_Equipement[[#This Row],[NumL]],T_suiviDi[#Data],COLUMN(T_suiviDi[Nom1]),FALSE),""),"")</f>
        <v/>
      </c>
      <c r="F229" s="53" t="str">
        <f>IFERROR(IF(VLOOKUP(T_Equipement[[#This Row],[NumL]],T_suiviDi[#Data],COLUMN(T_suiviDi[Prénom1]),FALSE)&lt;&gt;"",VLOOKUP(T_Equipement[[#This Row],[NumL]],T_suiviDi[#Data],COLUMN(T_suiviDi[Prénom1]),FALSE),""),"")</f>
        <v/>
      </c>
      <c r="G229" s="53" t="str">
        <f>IFERROR(IF(VLOOKUP(T_Equipement[[#This Row],[NumL]],T_suiviDi[#Data],COLUMN(T_suiviDi[Email1]),FALSE)&lt;&gt;"",VLOOKUP(T_Equipement[[#This Row],[NumL]],T_suiviDi[#Data],COLUMN(T_suiviDi[Email1]),FALSE),""),"")</f>
        <v/>
      </c>
      <c r="H229" s="59" t="s">
        <v>3277</v>
      </c>
      <c r="I229" s="61"/>
      <c r="J229" s="60" t="s">
        <v>3223</v>
      </c>
      <c r="K229" s="61"/>
      <c r="L229" s="62"/>
      <c r="M229" s="59"/>
      <c r="N229" s="59"/>
      <c r="O229" s="59"/>
      <c r="P229" s="59"/>
      <c r="Q229" s="59"/>
      <c r="R229" s="59"/>
      <c r="S229" s="61"/>
      <c r="T229" s="59" t="e">
        <f>VLOOKUP(T_Equipement[[#This Row],[NumL]],T_TraitDi[#Data],COLUMN(#REF!),FALSE)</f>
        <v>#REF!</v>
      </c>
    </row>
    <row r="230" spans="1:20" ht="24" customHeight="1" x14ac:dyDescent="0.25">
      <c r="A230" s="90">
        <v>4</v>
      </c>
      <c r="B230" s="51" t="str">
        <f>IFERROR(IF(VLOOKUP(T_Equipement[[#This Row],[NumL]],T_suiviDi[#Data],COLUMN(T_suiviDi[Nom]),FALSE)&lt;&gt;"",VLOOKUP(T_Equipement[[#This Row],[NumL]],T_suiviDi[#Data],COLUMN(T_suiviDi[Nom]),FALSE),""),"")</f>
        <v/>
      </c>
      <c r="C230" s="51" t="str">
        <f>IFERROR(IF(VLOOKUP(T_Equipement[[#This Row],[NumL]],T_suiviDi[#Data],COLUMN(T_suiviDi[Prénom]),FALSE)&lt;&gt;"",VLOOKUP(T_Equipement[[#This Row],[NumL]],T_suiviDi[#Data],COLUMN(T_suiviDi[Prénom]),FALSE),""),"")</f>
        <v/>
      </c>
      <c r="D230" s="52" t="str">
        <f>IFERROR(IF(VLOOKUP(T_Equipement[[#This Row],[NumL]],T_suiviDi[#Data],COLUMN(T_suiviDi[Email]),FALSE)&lt;&gt;"",VLOOKUP(T_Equipement[[#This Row],[NumL]],T_suiviDi[#Data],COLUMN(T_suiviDi[Email]),FALSE),""),"")</f>
        <v/>
      </c>
      <c r="E230" s="53" t="str">
        <f>IFERROR(IF(VLOOKUP(T_Equipement[[#This Row],[NumL]],T_suiviDi[#Data],COLUMN(T_suiviDi[Nom1]),FALSE)&lt;&gt;"",VLOOKUP(T_Equipement[[#This Row],[NumL]],T_suiviDi[#Data],COLUMN(T_suiviDi[Nom1]),FALSE),""),"")</f>
        <v/>
      </c>
      <c r="F230" s="53" t="str">
        <f>IFERROR(IF(VLOOKUP(T_Equipement[[#This Row],[NumL]],T_suiviDi[#Data],COLUMN(T_suiviDi[Prénom1]),FALSE)&lt;&gt;"",VLOOKUP(T_Equipement[[#This Row],[NumL]],T_suiviDi[#Data],COLUMN(T_suiviDi[Prénom1]),FALSE),""),"")</f>
        <v/>
      </c>
      <c r="G230" s="53" t="str">
        <f>IFERROR(IF(VLOOKUP(T_Equipement[[#This Row],[NumL]],T_suiviDi[#Data],COLUMN(T_suiviDi[Email1]),FALSE)&lt;&gt;"",VLOOKUP(T_Equipement[[#This Row],[NumL]],T_suiviDi[#Data],COLUMN(T_suiviDi[Email1]),FALSE),""),"")</f>
        <v/>
      </c>
      <c r="H230" s="59" t="s">
        <v>3277</v>
      </c>
      <c r="I230" s="251">
        <v>44165</v>
      </c>
      <c r="J230" s="60" t="s">
        <v>3224</v>
      </c>
      <c r="K230" s="61"/>
      <c r="L230" s="62"/>
      <c r="M230" s="59"/>
      <c r="N230" s="59"/>
      <c r="O230" s="59"/>
      <c r="P230" s="59"/>
      <c r="Q230" s="59"/>
      <c r="R230" s="59"/>
      <c r="S230" s="61"/>
      <c r="T230" s="59" t="e">
        <f>VLOOKUP(T_Equipement[[#This Row],[NumL]],T_TraitDi[#Data],COLUMN(#REF!),FALSE)</f>
        <v>#REF!</v>
      </c>
    </row>
    <row r="231" spans="1:20" ht="24" customHeight="1" x14ac:dyDescent="0.25">
      <c r="A231" s="90">
        <v>37</v>
      </c>
      <c r="B231" s="51" t="str">
        <f>IFERROR(IF(VLOOKUP(T_Equipement[[#This Row],[NumL]],T_suiviDi[#Data],COLUMN(T_suiviDi[Nom]),FALSE)&lt;&gt;"",VLOOKUP(T_Equipement[[#This Row],[NumL]],T_suiviDi[#Data],COLUMN(T_suiviDi[Nom]),FALSE),""),"")</f>
        <v/>
      </c>
      <c r="C231" s="51" t="str">
        <f>IFERROR(IF(VLOOKUP(T_Equipement[[#This Row],[NumL]],T_suiviDi[#Data],COLUMN(T_suiviDi[Prénom]),FALSE)&lt;&gt;"",VLOOKUP(T_Equipement[[#This Row],[NumL]],T_suiviDi[#Data],COLUMN(T_suiviDi[Prénom]),FALSE),""),"")</f>
        <v/>
      </c>
      <c r="D231" s="52" t="str">
        <f>IFERROR(IF(VLOOKUP(T_Equipement[[#This Row],[NumL]],T_suiviDi[#Data],COLUMN(T_suiviDi[Email]),FALSE)&lt;&gt;"",VLOOKUP(T_Equipement[[#This Row],[NumL]],T_suiviDi[#Data],COLUMN(T_suiviDi[Email]),FALSE),""),"")</f>
        <v/>
      </c>
      <c r="E231" s="53" t="str">
        <f>IFERROR(IF(VLOOKUP(T_Equipement[[#This Row],[NumL]],T_suiviDi[#Data],COLUMN(T_suiviDi[Nom1]),FALSE)&lt;&gt;"",VLOOKUP(T_Equipement[[#This Row],[NumL]],T_suiviDi[#Data],COLUMN(T_suiviDi[Nom1]),FALSE),""),"")</f>
        <v/>
      </c>
      <c r="F231" s="53" t="str">
        <f>IFERROR(IF(VLOOKUP(T_Equipement[[#This Row],[NumL]],T_suiviDi[#Data],COLUMN(T_suiviDi[Prénom1]),FALSE)&lt;&gt;"",VLOOKUP(T_Equipement[[#This Row],[NumL]],T_suiviDi[#Data],COLUMN(T_suiviDi[Prénom1]),FALSE),""),"")</f>
        <v/>
      </c>
      <c r="G231" s="53" t="str">
        <f>IFERROR(IF(VLOOKUP(T_Equipement[[#This Row],[NumL]],T_suiviDi[#Data],COLUMN(T_suiviDi[Email1]),FALSE)&lt;&gt;"",VLOOKUP(T_Equipement[[#This Row],[NumL]],T_suiviDi[#Data],COLUMN(T_suiviDi[Email1]),FALSE),""),"")</f>
        <v/>
      </c>
      <c r="H231" s="59"/>
      <c r="I231" s="61"/>
      <c r="J231" s="60" t="s">
        <v>3225</v>
      </c>
      <c r="K231" s="61"/>
      <c r="L231" s="62"/>
      <c r="M231" s="59"/>
      <c r="N231" s="59"/>
      <c r="O231" s="59"/>
      <c r="P231" s="59"/>
      <c r="Q231" s="59"/>
      <c r="R231" s="59"/>
      <c r="S231" s="61"/>
      <c r="T231" s="59" t="e">
        <f>VLOOKUP(T_Equipement[[#This Row],[NumL]],T_TraitDi[#Data],COLUMN(#REF!),FALSE)</f>
        <v>#REF!</v>
      </c>
    </row>
    <row r="232" spans="1:20" ht="24" customHeight="1" x14ac:dyDescent="0.25">
      <c r="A232" s="90">
        <v>328</v>
      </c>
      <c r="B232" s="51" t="str">
        <f>IFERROR(IF(VLOOKUP(T_Equipement[[#This Row],[NumL]],T_suiviDi[#Data],COLUMN(T_suiviDi[Nom]),FALSE)&lt;&gt;"",VLOOKUP(T_Equipement[[#This Row],[NumL]],T_suiviDi[#Data],COLUMN(T_suiviDi[Nom]),FALSE),""),"")</f>
        <v/>
      </c>
      <c r="C232" s="51" t="str">
        <f>IFERROR(IF(VLOOKUP(T_Equipement[[#This Row],[NumL]],T_suiviDi[#Data],COLUMN(T_suiviDi[Prénom]),FALSE)&lt;&gt;"",VLOOKUP(T_Equipement[[#This Row],[NumL]],T_suiviDi[#Data],COLUMN(T_suiviDi[Prénom]),FALSE),""),"")</f>
        <v/>
      </c>
      <c r="D232" s="52" t="str">
        <f>IFERROR(IF(VLOOKUP(T_Equipement[[#This Row],[NumL]],T_suiviDi[#Data],COLUMN(T_suiviDi[Email]),FALSE)&lt;&gt;"",VLOOKUP(T_Equipement[[#This Row],[NumL]],T_suiviDi[#Data],COLUMN(T_suiviDi[Email]),FALSE),""),"")</f>
        <v/>
      </c>
      <c r="E232" s="53" t="str">
        <f>IFERROR(IF(VLOOKUP(T_Equipement[[#This Row],[NumL]],T_suiviDi[#Data],COLUMN(T_suiviDi[Nom1]),FALSE)&lt;&gt;"",VLOOKUP(T_Equipement[[#This Row],[NumL]],T_suiviDi[#Data],COLUMN(T_suiviDi[Nom1]),FALSE),""),"")</f>
        <v/>
      </c>
      <c r="F232" s="53" t="str">
        <f>IFERROR(IF(VLOOKUP(T_Equipement[[#This Row],[NumL]],T_suiviDi[#Data],COLUMN(T_suiviDi[Prénom1]),FALSE)&lt;&gt;"",VLOOKUP(T_Equipement[[#This Row],[NumL]],T_suiviDi[#Data],COLUMN(T_suiviDi[Prénom1]),FALSE),""),"")</f>
        <v/>
      </c>
      <c r="G232" s="53" t="str">
        <f>IFERROR(IF(VLOOKUP(T_Equipement[[#This Row],[NumL]],T_suiviDi[#Data],COLUMN(T_suiviDi[Email1]),FALSE)&lt;&gt;"",VLOOKUP(T_Equipement[[#This Row],[NumL]],T_suiviDi[#Data],COLUMN(T_suiviDi[Email1]),FALSE),""),"")</f>
        <v/>
      </c>
      <c r="H232" s="59"/>
      <c r="I232" s="61"/>
      <c r="J232" s="60"/>
      <c r="K232" s="61"/>
      <c r="L232" s="62"/>
      <c r="M232" s="59"/>
      <c r="N232" s="59"/>
      <c r="O232" s="59"/>
      <c r="P232" s="59"/>
      <c r="Q232" s="59"/>
      <c r="R232" s="59"/>
      <c r="S232" s="61"/>
      <c r="T232" s="59"/>
    </row>
    <row r="233" spans="1:20" ht="24" customHeight="1" x14ac:dyDescent="0.25">
      <c r="A233" s="90">
        <v>268</v>
      </c>
      <c r="B233" s="51" t="str">
        <f>IFERROR(IF(VLOOKUP(T_Equipement[[#This Row],[NumL]],T_suiviDi[#Data],COLUMN(T_suiviDi[Nom]),FALSE)&lt;&gt;"",VLOOKUP(T_Equipement[[#This Row],[NumL]],T_suiviDi[#Data],COLUMN(T_suiviDi[Nom]),FALSE),""),"")</f>
        <v/>
      </c>
      <c r="C233" s="51" t="str">
        <f>IFERROR(IF(VLOOKUP(T_Equipement[[#This Row],[NumL]],T_suiviDi[#Data],COLUMN(T_suiviDi[Prénom]),FALSE)&lt;&gt;"",VLOOKUP(T_Equipement[[#This Row],[NumL]],T_suiviDi[#Data],COLUMN(T_suiviDi[Prénom]),FALSE),""),"")</f>
        <v/>
      </c>
      <c r="D233" s="52" t="str">
        <f>IFERROR(IF(VLOOKUP(T_Equipement[[#This Row],[NumL]],T_suiviDi[#Data],COLUMN(T_suiviDi[Email]),FALSE)&lt;&gt;"",VLOOKUP(T_Equipement[[#This Row],[NumL]],T_suiviDi[#Data],COLUMN(T_suiviDi[Email]),FALSE),""),"")</f>
        <v/>
      </c>
      <c r="E233" s="53" t="str">
        <f>IFERROR(IF(VLOOKUP(T_Equipement[[#This Row],[NumL]],T_suiviDi[#Data],COLUMN(T_suiviDi[Nom1]),FALSE)&lt;&gt;"",VLOOKUP(T_Equipement[[#This Row],[NumL]],T_suiviDi[#Data],COLUMN(T_suiviDi[Nom1]),FALSE),""),"")</f>
        <v/>
      </c>
      <c r="F233" s="53" t="str">
        <f>IFERROR(IF(VLOOKUP(T_Equipement[[#This Row],[NumL]],T_suiviDi[#Data],COLUMN(T_suiviDi[Prénom1]),FALSE)&lt;&gt;"",VLOOKUP(T_Equipement[[#This Row],[NumL]],T_suiviDi[#Data],COLUMN(T_suiviDi[Prénom1]),FALSE),""),"")</f>
        <v/>
      </c>
      <c r="G233" s="53" t="str">
        <f>IFERROR(IF(VLOOKUP(T_Equipement[[#This Row],[NumL]],T_suiviDi[#Data],COLUMN(T_suiviDi[Email1]),FALSE)&lt;&gt;"",VLOOKUP(T_Equipement[[#This Row],[NumL]],T_suiviDi[#Data],COLUMN(T_suiviDi[Email1]),FALSE),""),"")</f>
        <v/>
      </c>
      <c r="H233" s="59" t="s">
        <v>3362</v>
      </c>
      <c r="I233" s="251">
        <v>44165</v>
      </c>
      <c r="J233" s="60" t="s">
        <v>3226</v>
      </c>
      <c r="K233" s="61"/>
      <c r="L233" s="62"/>
      <c r="M233" s="59"/>
      <c r="N233" s="59"/>
      <c r="O233" s="59"/>
      <c r="P233" s="59"/>
      <c r="Q233" s="59"/>
      <c r="R233" s="59"/>
      <c r="S233" s="61"/>
      <c r="T233" s="59" t="e">
        <f>VLOOKUP(T_Equipement[[#This Row],[NumL]],T_TraitDi[#Data],COLUMN(#REF!),FALSE)</f>
        <v>#REF!</v>
      </c>
    </row>
    <row r="234" spans="1:20" ht="24" customHeight="1" x14ac:dyDescent="0.25">
      <c r="A234" s="90">
        <v>207</v>
      </c>
      <c r="B234" s="51" t="str">
        <f>IFERROR(IF(VLOOKUP(T_Equipement[[#This Row],[NumL]],T_suiviDi[#Data],COLUMN(T_suiviDi[Nom]),FALSE)&lt;&gt;"",VLOOKUP(T_Equipement[[#This Row],[NumL]],T_suiviDi[#Data],COLUMN(T_suiviDi[Nom]),FALSE),""),"")</f>
        <v/>
      </c>
      <c r="C234" s="51" t="str">
        <f>IFERROR(IF(VLOOKUP(T_Equipement[[#This Row],[NumL]],T_suiviDi[#Data],COLUMN(T_suiviDi[Prénom]),FALSE)&lt;&gt;"",VLOOKUP(T_Equipement[[#This Row],[NumL]],T_suiviDi[#Data],COLUMN(T_suiviDi[Prénom]),FALSE),""),"")</f>
        <v/>
      </c>
      <c r="D234" s="52" t="str">
        <f>IFERROR(IF(VLOOKUP(T_Equipement[[#This Row],[NumL]],T_suiviDi[#Data],COLUMN(T_suiviDi[Email]),FALSE)&lt;&gt;"",VLOOKUP(T_Equipement[[#This Row],[NumL]],T_suiviDi[#Data],COLUMN(T_suiviDi[Email]),FALSE),""),"")</f>
        <v/>
      </c>
      <c r="E234" s="53" t="str">
        <f>IFERROR(IF(VLOOKUP(T_Equipement[[#This Row],[NumL]],T_suiviDi[#Data],COLUMN(T_suiviDi[Nom1]),FALSE)&lt;&gt;"",VLOOKUP(T_Equipement[[#This Row],[NumL]],T_suiviDi[#Data],COLUMN(T_suiviDi[Nom1]),FALSE),""),"")</f>
        <v/>
      </c>
      <c r="F234" s="53" t="str">
        <f>IFERROR(IF(VLOOKUP(T_Equipement[[#This Row],[NumL]],T_suiviDi[#Data],COLUMN(T_suiviDi[Prénom1]),FALSE)&lt;&gt;"",VLOOKUP(T_Equipement[[#This Row],[NumL]],T_suiviDi[#Data],COLUMN(T_suiviDi[Prénom1]),FALSE),""),"")</f>
        <v/>
      </c>
      <c r="G234" s="53" t="str">
        <f>IFERROR(IF(VLOOKUP(T_Equipement[[#This Row],[NumL]],T_suiviDi[#Data],COLUMN(T_suiviDi[Email1]),FALSE)&lt;&gt;"",VLOOKUP(T_Equipement[[#This Row],[NumL]],T_suiviDi[#Data],COLUMN(T_suiviDi[Email1]),FALSE),""),"")</f>
        <v/>
      </c>
      <c r="H234" s="59" t="s">
        <v>3278</v>
      </c>
      <c r="I234" s="251">
        <v>44165</v>
      </c>
      <c r="J234" s="60" t="s">
        <v>3227</v>
      </c>
      <c r="K234" s="61"/>
      <c r="L234" s="62"/>
      <c r="M234" s="59"/>
      <c r="N234" s="59"/>
      <c r="O234" s="59"/>
      <c r="P234" s="59"/>
      <c r="Q234" s="59"/>
      <c r="R234" s="59"/>
      <c r="S234" s="61"/>
      <c r="T234" s="59" t="e">
        <f>VLOOKUP(T_Equipement[[#This Row],[NumL]],T_TraitDi[#Data],COLUMN(#REF!),FALSE)</f>
        <v>#REF!</v>
      </c>
    </row>
    <row r="235" spans="1:20" ht="24" customHeight="1" x14ac:dyDescent="0.25">
      <c r="A235" s="90">
        <v>31</v>
      </c>
      <c r="B235" s="51" t="str">
        <f>IFERROR(IF(VLOOKUP(T_Equipement[[#This Row],[NumL]],T_suiviDi[#Data],COLUMN(T_suiviDi[Nom]),FALSE)&lt;&gt;"",VLOOKUP(T_Equipement[[#This Row],[NumL]],T_suiviDi[#Data],COLUMN(T_suiviDi[Nom]),FALSE),""),"")</f>
        <v/>
      </c>
      <c r="C235" s="51" t="str">
        <f>IFERROR(IF(VLOOKUP(T_Equipement[[#This Row],[NumL]],T_suiviDi[#Data],COLUMN(T_suiviDi[Prénom]),FALSE)&lt;&gt;"",VLOOKUP(T_Equipement[[#This Row],[NumL]],T_suiviDi[#Data],COLUMN(T_suiviDi[Prénom]),FALSE),""),"")</f>
        <v/>
      </c>
      <c r="D235" s="52" t="str">
        <f>IFERROR(IF(VLOOKUP(T_Equipement[[#This Row],[NumL]],T_suiviDi[#Data],COLUMN(T_suiviDi[Email]),FALSE)&lt;&gt;"",VLOOKUP(T_Equipement[[#This Row],[NumL]],T_suiviDi[#Data],COLUMN(T_suiviDi[Email]),FALSE),""),"")</f>
        <v/>
      </c>
      <c r="E235" s="53" t="str">
        <f>IFERROR(IF(VLOOKUP(T_Equipement[[#This Row],[NumL]],T_suiviDi[#Data],COLUMN(T_suiviDi[Nom1]),FALSE)&lt;&gt;"",VLOOKUP(T_Equipement[[#This Row],[NumL]],T_suiviDi[#Data],COLUMN(T_suiviDi[Nom1]),FALSE),""),"")</f>
        <v/>
      </c>
      <c r="F235" s="53" t="str">
        <f>IFERROR(IF(VLOOKUP(T_Equipement[[#This Row],[NumL]],T_suiviDi[#Data],COLUMN(T_suiviDi[Prénom1]),FALSE)&lt;&gt;"",VLOOKUP(T_Equipement[[#This Row],[NumL]],T_suiviDi[#Data],COLUMN(T_suiviDi[Prénom1]),FALSE),""),"")</f>
        <v/>
      </c>
      <c r="G235" s="53" t="str">
        <f>IFERROR(IF(VLOOKUP(T_Equipement[[#This Row],[NumL]],T_suiviDi[#Data],COLUMN(T_suiviDi[Email1]),FALSE)&lt;&gt;"",VLOOKUP(T_Equipement[[#This Row],[NumL]],T_suiviDi[#Data],COLUMN(T_suiviDi[Email1]),FALSE),""),"")</f>
        <v/>
      </c>
      <c r="H235" s="59" t="s">
        <v>3277</v>
      </c>
      <c r="I235" s="251">
        <v>44165</v>
      </c>
      <c r="J235" s="60" t="s">
        <v>3228</v>
      </c>
      <c r="K235" s="61"/>
      <c r="L235" s="62"/>
      <c r="M235" s="59"/>
      <c r="N235" s="59"/>
      <c r="O235" s="59"/>
      <c r="P235" s="59"/>
      <c r="Q235" s="59"/>
      <c r="R235" s="59"/>
      <c r="S235" s="61"/>
      <c r="T235" s="59" t="e">
        <f>VLOOKUP(T_Equipement[[#This Row],[NumL]],T_TraitDi[#Data],COLUMN(#REF!),FALSE)</f>
        <v>#REF!</v>
      </c>
    </row>
    <row r="236" spans="1:20" ht="24" customHeight="1" x14ac:dyDescent="0.25">
      <c r="A236" s="90">
        <v>3</v>
      </c>
      <c r="B236" s="51" t="str">
        <f>IFERROR(IF(VLOOKUP(T_Equipement[[#This Row],[NumL]],T_suiviDi[#Data],COLUMN(T_suiviDi[Nom]),FALSE)&lt;&gt;"",VLOOKUP(T_Equipement[[#This Row],[NumL]],T_suiviDi[#Data],COLUMN(T_suiviDi[Nom]),FALSE),""),"")</f>
        <v/>
      </c>
      <c r="C236" s="51" t="str">
        <f>IFERROR(IF(VLOOKUP(T_Equipement[[#This Row],[NumL]],T_suiviDi[#Data],COLUMN(T_suiviDi[Prénom]),FALSE)&lt;&gt;"",VLOOKUP(T_Equipement[[#This Row],[NumL]],T_suiviDi[#Data],COLUMN(T_suiviDi[Prénom]),FALSE),""),"")</f>
        <v/>
      </c>
      <c r="D236" s="52" t="str">
        <f>IFERROR(IF(VLOOKUP(T_Equipement[[#This Row],[NumL]],T_suiviDi[#Data],COLUMN(T_suiviDi[Email]),FALSE)&lt;&gt;"",VLOOKUP(T_Equipement[[#This Row],[NumL]],T_suiviDi[#Data],COLUMN(T_suiviDi[Email]),FALSE),""),"")</f>
        <v/>
      </c>
      <c r="E236" s="53" t="str">
        <f>IFERROR(IF(VLOOKUP(T_Equipement[[#This Row],[NumL]],T_suiviDi[#Data],COLUMN(T_suiviDi[Nom1]),FALSE)&lt;&gt;"",VLOOKUP(T_Equipement[[#This Row],[NumL]],T_suiviDi[#Data],COLUMN(T_suiviDi[Nom1]),FALSE),""),"")</f>
        <v/>
      </c>
      <c r="F236" s="53" t="str">
        <f>IFERROR(IF(VLOOKUP(T_Equipement[[#This Row],[NumL]],T_suiviDi[#Data],COLUMN(T_suiviDi[Prénom1]),FALSE)&lt;&gt;"",VLOOKUP(T_Equipement[[#This Row],[NumL]],T_suiviDi[#Data],COLUMN(T_suiviDi[Prénom1]),FALSE),""),"")</f>
        <v/>
      </c>
      <c r="G236" s="53" t="str">
        <f>IFERROR(IF(VLOOKUP(T_Equipement[[#This Row],[NumL]],T_suiviDi[#Data],COLUMN(T_suiviDi[Email1]),FALSE)&lt;&gt;"",VLOOKUP(T_Equipement[[#This Row],[NumL]],T_suiviDi[#Data],COLUMN(T_suiviDi[Email1]),FALSE),""),"")</f>
        <v/>
      </c>
      <c r="H236" s="59" t="s">
        <v>3278</v>
      </c>
      <c r="I236" s="251">
        <v>44165</v>
      </c>
      <c r="J236" s="60" t="s">
        <v>3229</v>
      </c>
      <c r="K236" s="61"/>
      <c r="L236" s="62"/>
      <c r="M236" s="59"/>
      <c r="N236" s="59"/>
      <c r="O236" s="59"/>
      <c r="P236" s="59"/>
      <c r="Q236" s="59"/>
      <c r="R236" s="59"/>
      <c r="S236" s="61"/>
      <c r="T236" s="59" t="e">
        <f>VLOOKUP(T_Equipement[[#This Row],[NumL]],T_TraitDi[#Data],COLUMN(#REF!),FALSE)</f>
        <v>#REF!</v>
      </c>
    </row>
    <row r="237" spans="1:20" ht="24" customHeight="1" x14ac:dyDescent="0.25">
      <c r="A237" s="90">
        <v>98</v>
      </c>
      <c r="B237" s="51" t="str">
        <f>IFERROR(IF(VLOOKUP(T_Equipement[[#This Row],[NumL]],T_suiviDi[#Data],COLUMN(T_suiviDi[Nom]),FALSE)&lt;&gt;"",VLOOKUP(T_Equipement[[#This Row],[NumL]],T_suiviDi[#Data],COLUMN(T_suiviDi[Nom]),FALSE),""),"")</f>
        <v/>
      </c>
      <c r="C237" s="51" t="str">
        <f>IFERROR(IF(VLOOKUP(T_Equipement[[#This Row],[NumL]],T_suiviDi[#Data],COLUMN(T_suiviDi[Prénom]),FALSE)&lt;&gt;"",VLOOKUP(T_Equipement[[#This Row],[NumL]],T_suiviDi[#Data],COLUMN(T_suiviDi[Prénom]),FALSE),""),"")</f>
        <v/>
      </c>
      <c r="D237" s="52" t="str">
        <f>IFERROR(IF(VLOOKUP(T_Equipement[[#This Row],[NumL]],T_suiviDi[#Data],COLUMN(T_suiviDi[Email]),FALSE)&lt;&gt;"",VLOOKUP(T_Equipement[[#This Row],[NumL]],T_suiviDi[#Data],COLUMN(T_suiviDi[Email]),FALSE),""),"")</f>
        <v/>
      </c>
      <c r="E237" s="53" t="str">
        <f>IFERROR(IF(VLOOKUP(T_Equipement[[#This Row],[NumL]],T_suiviDi[#Data],COLUMN(T_suiviDi[Nom1]),FALSE)&lt;&gt;"",VLOOKUP(T_Equipement[[#This Row],[NumL]],T_suiviDi[#Data],COLUMN(T_suiviDi[Nom1]),FALSE),""),"")</f>
        <v/>
      </c>
      <c r="F237" s="53" t="str">
        <f>IFERROR(IF(VLOOKUP(T_Equipement[[#This Row],[NumL]],T_suiviDi[#Data],COLUMN(T_suiviDi[Prénom1]),FALSE)&lt;&gt;"",VLOOKUP(T_Equipement[[#This Row],[NumL]],T_suiviDi[#Data],COLUMN(T_suiviDi[Prénom1]),FALSE),""),"")</f>
        <v/>
      </c>
      <c r="G237" s="53" t="str">
        <f>IFERROR(IF(VLOOKUP(T_Equipement[[#This Row],[NumL]],T_suiviDi[#Data],COLUMN(T_suiviDi[Email1]),FALSE)&lt;&gt;"",VLOOKUP(T_Equipement[[#This Row],[NumL]],T_suiviDi[#Data],COLUMN(T_suiviDi[Email1]),FALSE),""),"")</f>
        <v/>
      </c>
      <c r="H237" s="59" t="s">
        <v>3277</v>
      </c>
      <c r="I237" s="251">
        <v>44165</v>
      </c>
      <c r="J237" s="253" t="s">
        <v>3280</v>
      </c>
      <c r="K237" s="61"/>
      <c r="L237" s="62"/>
      <c r="M237" s="59"/>
      <c r="N237" s="59"/>
      <c r="O237" s="59"/>
      <c r="P237" s="59"/>
      <c r="Q237" s="59"/>
      <c r="R237" s="59"/>
      <c r="S237" s="61"/>
      <c r="T237" s="59" t="e">
        <f>VLOOKUP(T_Equipement[[#This Row],[NumL]],T_TraitDi[#Data],COLUMN(#REF!),FALSE)</f>
        <v>#REF!</v>
      </c>
    </row>
    <row r="238" spans="1:20" ht="24" customHeight="1" x14ac:dyDescent="0.25">
      <c r="A238" s="90">
        <v>106</v>
      </c>
      <c r="B238" s="51" t="str">
        <f>IFERROR(IF(VLOOKUP(T_Equipement[[#This Row],[NumL]],T_suiviDi[#Data],COLUMN(T_suiviDi[Nom]),FALSE)&lt;&gt;"",VLOOKUP(T_Equipement[[#This Row],[NumL]],T_suiviDi[#Data],COLUMN(T_suiviDi[Nom]),FALSE),""),"")</f>
        <v/>
      </c>
      <c r="C238" s="51" t="str">
        <f>IFERROR(IF(VLOOKUP(T_Equipement[[#This Row],[NumL]],T_suiviDi[#Data],COLUMN(T_suiviDi[Prénom]),FALSE)&lt;&gt;"",VLOOKUP(T_Equipement[[#This Row],[NumL]],T_suiviDi[#Data],COLUMN(T_suiviDi[Prénom]),FALSE),""),"")</f>
        <v/>
      </c>
      <c r="D238" s="52" t="str">
        <f>IFERROR(IF(VLOOKUP(T_Equipement[[#This Row],[NumL]],T_suiviDi[#Data],COLUMN(T_suiviDi[Email]),FALSE)&lt;&gt;"",VLOOKUP(T_Equipement[[#This Row],[NumL]],T_suiviDi[#Data],COLUMN(T_suiviDi[Email]),FALSE),""),"")</f>
        <v/>
      </c>
      <c r="E238" s="53" t="str">
        <f>IFERROR(IF(VLOOKUP(T_Equipement[[#This Row],[NumL]],T_suiviDi[#Data],COLUMN(T_suiviDi[Nom1]),FALSE)&lt;&gt;"",VLOOKUP(T_Equipement[[#This Row],[NumL]],T_suiviDi[#Data],COLUMN(T_suiviDi[Nom1]),FALSE),""),"")</f>
        <v/>
      </c>
      <c r="F238" s="53" t="str">
        <f>IFERROR(IF(VLOOKUP(T_Equipement[[#This Row],[NumL]],T_suiviDi[#Data],COLUMN(T_suiviDi[Prénom1]),FALSE)&lt;&gt;"",VLOOKUP(T_Equipement[[#This Row],[NumL]],T_suiviDi[#Data],COLUMN(T_suiviDi[Prénom1]),FALSE),""),"")</f>
        <v/>
      </c>
      <c r="G238" s="53" t="str">
        <f>IFERROR(IF(VLOOKUP(T_Equipement[[#This Row],[NumL]],T_suiviDi[#Data],COLUMN(T_suiviDi[Email1]),FALSE)&lt;&gt;"",VLOOKUP(T_Equipement[[#This Row],[NumL]],T_suiviDi[#Data],COLUMN(T_suiviDi[Email1]),FALSE),""),"")</f>
        <v/>
      </c>
      <c r="H238" s="59" t="s">
        <v>3362</v>
      </c>
      <c r="I238" s="61"/>
      <c r="J238" s="60" t="s">
        <v>3230</v>
      </c>
      <c r="K238" s="61"/>
      <c r="L238" s="62"/>
      <c r="M238" s="59"/>
      <c r="N238" s="59"/>
      <c r="O238" s="59"/>
      <c r="P238" s="59"/>
      <c r="Q238" s="59"/>
      <c r="R238" s="59"/>
      <c r="S238" s="61"/>
      <c r="T238" s="59" t="e">
        <f>VLOOKUP(T_Equipement[[#This Row],[NumL]],T_TraitDi[#Data],COLUMN(#REF!),FALSE)</f>
        <v>#REF!</v>
      </c>
    </row>
    <row r="239" spans="1:20" ht="24" customHeight="1" x14ac:dyDescent="0.25">
      <c r="A239" s="90">
        <v>44</v>
      </c>
      <c r="B239" s="51" t="str">
        <f>IFERROR(IF(VLOOKUP(T_Equipement[[#This Row],[NumL]],T_suiviDi[#Data],COLUMN(T_suiviDi[Nom]),FALSE)&lt;&gt;"",VLOOKUP(T_Equipement[[#This Row],[NumL]],T_suiviDi[#Data],COLUMN(T_suiviDi[Nom]),FALSE),""),"")</f>
        <v/>
      </c>
      <c r="C239" s="51" t="str">
        <f>IFERROR(IF(VLOOKUP(T_Equipement[[#This Row],[NumL]],T_suiviDi[#Data],COLUMN(T_suiviDi[Prénom]),FALSE)&lt;&gt;"",VLOOKUP(T_Equipement[[#This Row],[NumL]],T_suiviDi[#Data],COLUMN(T_suiviDi[Prénom]),FALSE),""),"")</f>
        <v/>
      </c>
      <c r="D239" s="52" t="str">
        <f>IFERROR(IF(VLOOKUP(T_Equipement[[#This Row],[NumL]],T_suiviDi[#Data],COLUMN(T_suiviDi[Email]),FALSE)&lt;&gt;"",VLOOKUP(T_Equipement[[#This Row],[NumL]],T_suiviDi[#Data],COLUMN(T_suiviDi[Email]),FALSE),""),"")</f>
        <v/>
      </c>
      <c r="E239" s="53" t="str">
        <f>IFERROR(IF(VLOOKUP(T_Equipement[[#This Row],[NumL]],T_suiviDi[#Data],COLUMN(T_suiviDi[Nom1]),FALSE)&lt;&gt;"",VLOOKUP(T_Equipement[[#This Row],[NumL]],T_suiviDi[#Data],COLUMN(T_suiviDi[Nom1]),FALSE),""),"")</f>
        <v/>
      </c>
      <c r="F239" s="53" t="str">
        <f>IFERROR(IF(VLOOKUP(T_Equipement[[#This Row],[NumL]],T_suiviDi[#Data],COLUMN(T_suiviDi[Prénom1]),FALSE)&lt;&gt;"",VLOOKUP(T_Equipement[[#This Row],[NumL]],T_suiviDi[#Data],COLUMN(T_suiviDi[Prénom1]),FALSE),""),"")</f>
        <v/>
      </c>
      <c r="G239" s="53" t="str">
        <f>IFERROR(IF(VLOOKUP(T_Equipement[[#This Row],[NumL]],T_suiviDi[#Data],COLUMN(T_suiviDi[Email1]),FALSE)&lt;&gt;"",VLOOKUP(T_Equipement[[#This Row],[NumL]],T_suiviDi[#Data],COLUMN(T_suiviDi[Email1]),FALSE),""),"")</f>
        <v/>
      </c>
      <c r="H239" s="59" t="s">
        <v>3277</v>
      </c>
      <c r="I239" s="61"/>
      <c r="J239" s="60" t="s">
        <v>3231</v>
      </c>
      <c r="K239" s="61"/>
      <c r="L239" s="62"/>
      <c r="M239" s="59"/>
      <c r="N239" s="59"/>
      <c r="O239" s="59"/>
      <c r="P239" s="59"/>
      <c r="Q239" s="59"/>
      <c r="R239" s="59"/>
      <c r="S239" s="61"/>
      <c r="T239" s="59" t="e">
        <f>VLOOKUP(T_Equipement[[#This Row],[NumL]],T_TraitDi[#Data],COLUMN(#REF!),FALSE)</f>
        <v>#REF!</v>
      </c>
    </row>
    <row r="240" spans="1:20" ht="24" customHeight="1" x14ac:dyDescent="0.25">
      <c r="A240" s="90">
        <v>154</v>
      </c>
      <c r="B240" s="51" t="str">
        <f>IFERROR(IF(VLOOKUP(T_Equipement[[#This Row],[NumL]],T_suiviDi[#Data],COLUMN(T_suiviDi[Nom]),FALSE)&lt;&gt;"",VLOOKUP(T_Equipement[[#This Row],[NumL]],T_suiviDi[#Data],COLUMN(T_suiviDi[Nom]),FALSE),""),"")</f>
        <v/>
      </c>
      <c r="C240" s="51" t="str">
        <f>IFERROR(IF(VLOOKUP(T_Equipement[[#This Row],[NumL]],T_suiviDi[#Data],COLUMN(T_suiviDi[Prénom]),FALSE)&lt;&gt;"",VLOOKUP(T_Equipement[[#This Row],[NumL]],T_suiviDi[#Data],COLUMN(T_suiviDi[Prénom]),FALSE),""),"")</f>
        <v/>
      </c>
      <c r="D240" s="52" t="str">
        <f>IFERROR(IF(VLOOKUP(T_Equipement[[#This Row],[NumL]],T_suiviDi[#Data],COLUMN(T_suiviDi[Email]),FALSE)&lt;&gt;"",VLOOKUP(T_Equipement[[#This Row],[NumL]],T_suiviDi[#Data],COLUMN(T_suiviDi[Email]),FALSE),""),"")</f>
        <v/>
      </c>
      <c r="E240" s="53" t="str">
        <f>IFERROR(IF(VLOOKUP(T_Equipement[[#This Row],[NumL]],T_suiviDi[#Data],COLUMN(T_suiviDi[Nom1]),FALSE)&lt;&gt;"",VLOOKUP(T_Equipement[[#This Row],[NumL]],T_suiviDi[#Data],COLUMN(T_suiviDi[Nom1]),FALSE),""),"")</f>
        <v/>
      </c>
      <c r="F240" s="53" t="str">
        <f>IFERROR(IF(VLOOKUP(T_Equipement[[#This Row],[NumL]],T_suiviDi[#Data],COLUMN(T_suiviDi[Prénom1]),FALSE)&lt;&gt;"",VLOOKUP(T_Equipement[[#This Row],[NumL]],T_suiviDi[#Data],COLUMN(T_suiviDi[Prénom1]),FALSE),""),"")</f>
        <v/>
      </c>
      <c r="G240" s="53" t="str">
        <f>IFERROR(IF(VLOOKUP(T_Equipement[[#This Row],[NumL]],T_suiviDi[#Data],COLUMN(T_suiviDi[Email1]),FALSE)&lt;&gt;"",VLOOKUP(T_Equipement[[#This Row],[NumL]],T_suiviDi[#Data],COLUMN(T_suiviDi[Email1]),FALSE),""),"")</f>
        <v/>
      </c>
      <c r="H240" s="59" t="s">
        <v>3277</v>
      </c>
      <c r="I240" s="251">
        <v>44165</v>
      </c>
      <c r="J240" s="60" t="s">
        <v>3232</v>
      </c>
      <c r="K240" s="61"/>
      <c r="L240" s="62"/>
      <c r="M240" s="59"/>
      <c r="N240" s="59"/>
      <c r="O240" s="59"/>
      <c r="P240" s="59"/>
      <c r="Q240" s="59"/>
      <c r="R240" s="59"/>
      <c r="S240" s="61"/>
      <c r="T240" s="59" t="e">
        <f>VLOOKUP(T_Equipement[[#This Row],[NumL]],T_TraitDi[#Data],COLUMN(#REF!),FALSE)</f>
        <v>#REF!</v>
      </c>
    </row>
    <row r="241" spans="1:20" ht="24" customHeight="1" x14ac:dyDescent="0.25">
      <c r="A241" s="90">
        <v>171</v>
      </c>
      <c r="B241" s="51" t="str">
        <f>IFERROR(IF(VLOOKUP(T_Equipement[[#This Row],[NumL]],T_suiviDi[#Data],COLUMN(T_suiviDi[Nom]),FALSE)&lt;&gt;"",VLOOKUP(T_Equipement[[#This Row],[NumL]],T_suiviDi[#Data],COLUMN(T_suiviDi[Nom]),FALSE),""),"")</f>
        <v/>
      </c>
      <c r="C241" s="51" t="str">
        <f>IFERROR(IF(VLOOKUP(T_Equipement[[#This Row],[NumL]],T_suiviDi[#Data],COLUMN(T_suiviDi[Prénom]),FALSE)&lt;&gt;"",VLOOKUP(T_Equipement[[#This Row],[NumL]],T_suiviDi[#Data],COLUMN(T_suiviDi[Prénom]),FALSE),""),"")</f>
        <v/>
      </c>
      <c r="D241" s="52" t="str">
        <f>IFERROR(IF(VLOOKUP(T_Equipement[[#This Row],[NumL]],T_suiviDi[#Data],COLUMN(T_suiviDi[Email]),FALSE)&lt;&gt;"",VLOOKUP(T_Equipement[[#This Row],[NumL]],T_suiviDi[#Data],COLUMN(T_suiviDi[Email]),FALSE),""),"")</f>
        <v/>
      </c>
      <c r="E241" s="53" t="str">
        <f>IFERROR(IF(VLOOKUP(T_Equipement[[#This Row],[NumL]],T_suiviDi[#Data],COLUMN(T_suiviDi[Nom1]),FALSE)&lt;&gt;"",VLOOKUP(T_Equipement[[#This Row],[NumL]],T_suiviDi[#Data],COLUMN(T_suiviDi[Nom1]),FALSE),""),"")</f>
        <v/>
      </c>
      <c r="F241" s="53" t="str">
        <f>IFERROR(IF(VLOOKUP(T_Equipement[[#This Row],[NumL]],T_suiviDi[#Data],COLUMN(T_suiviDi[Prénom1]),FALSE)&lt;&gt;"",VLOOKUP(T_Equipement[[#This Row],[NumL]],T_suiviDi[#Data],COLUMN(T_suiviDi[Prénom1]),FALSE),""),"")</f>
        <v/>
      </c>
      <c r="G241" s="53" t="str">
        <f>IFERROR(IF(VLOOKUP(T_Equipement[[#This Row],[NumL]],T_suiviDi[#Data],COLUMN(T_suiviDi[Email1]),FALSE)&lt;&gt;"",VLOOKUP(T_Equipement[[#This Row],[NumL]],T_suiviDi[#Data],COLUMN(T_suiviDi[Email1]),FALSE),""),"")</f>
        <v/>
      </c>
      <c r="H241" s="59" t="s">
        <v>3278</v>
      </c>
      <c r="I241" s="61"/>
      <c r="J241" s="60" t="s">
        <v>3233</v>
      </c>
      <c r="K241" s="61"/>
      <c r="L241" s="62"/>
      <c r="M241" s="59"/>
      <c r="N241" s="59"/>
      <c r="O241" s="59"/>
      <c r="P241" s="59"/>
      <c r="Q241" s="59"/>
      <c r="R241" s="59"/>
      <c r="S241" s="61"/>
      <c r="T241" s="59" t="e">
        <f>VLOOKUP(T_Equipement[[#This Row],[NumL]],T_TraitDi[#Data],COLUMN(#REF!),FALSE)</f>
        <v>#REF!</v>
      </c>
    </row>
    <row r="242" spans="1:20" ht="24" customHeight="1" x14ac:dyDescent="0.25">
      <c r="A242" s="90">
        <v>149</v>
      </c>
      <c r="B242" s="51" t="str">
        <f>IFERROR(IF(VLOOKUP(T_Equipement[[#This Row],[NumL]],T_suiviDi[#Data],COLUMN(T_suiviDi[Nom]),FALSE)&lt;&gt;"",VLOOKUP(T_Equipement[[#This Row],[NumL]],T_suiviDi[#Data],COLUMN(T_suiviDi[Nom]),FALSE),""),"")</f>
        <v/>
      </c>
      <c r="C242" s="51" t="str">
        <f>IFERROR(IF(VLOOKUP(T_Equipement[[#This Row],[NumL]],T_suiviDi[#Data],COLUMN(T_suiviDi[Prénom]),FALSE)&lt;&gt;"",VLOOKUP(T_Equipement[[#This Row],[NumL]],T_suiviDi[#Data],COLUMN(T_suiviDi[Prénom]),FALSE),""),"")</f>
        <v/>
      </c>
      <c r="D242" s="52" t="str">
        <f>IFERROR(IF(VLOOKUP(T_Equipement[[#This Row],[NumL]],T_suiviDi[#Data],COLUMN(T_suiviDi[Email]),FALSE)&lt;&gt;"",VLOOKUP(T_Equipement[[#This Row],[NumL]],T_suiviDi[#Data],COLUMN(T_suiviDi[Email]),FALSE),""),"")</f>
        <v/>
      </c>
      <c r="E242" s="53" t="str">
        <f>IFERROR(IF(VLOOKUP(T_Equipement[[#This Row],[NumL]],T_suiviDi[#Data],COLUMN(T_suiviDi[Nom1]),FALSE)&lt;&gt;"",VLOOKUP(T_Equipement[[#This Row],[NumL]],T_suiviDi[#Data],COLUMN(T_suiviDi[Nom1]),FALSE),""),"")</f>
        <v/>
      </c>
      <c r="F242" s="53" t="str">
        <f>IFERROR(IF(VLOOKUP(T_Equipement[[#This Row],[NumL]],T_suiviDi[#Data],COLUMN(T_suiviDi[Prénom1]),FALSE)&lt;&gt;"",VLOOKUP(T_Equipement[[#This Row],[NumL]],T_suiviDi[#Data],COLUMN(T_suiviDi[Prénom1]),FALSE),""),"")</f>
        <v/>
      </c>
      <c r="G242" s="53" t="str">
        <f>IFERROR(IF(VLOOKUP(T_Equipement[[#This Row],[NumL]],T_suiviDi[#Data],COLUMN(T_suiviDi[Email1]),FALSE)&lt;&gt;"",VLOOKUP(T_Equipement[[#This Row],[NumL]],T_suiviDi[#Data],COLUMN(T_suiviDi[Email1]),FALSE),""),"")</f>
        <v/>
      </c>
      <c r="H242" s="59" t="s">
        <v>3277</v>
      </c>
      <c r="I242" s="251">
        <v>44165</v>
      </c>
      <c r="J242" s="60" t="s">
        <v>3234</v>
      </c>
      <c r="K242" s="61"/>
      <c r="L242" s="62"/>
      <c r="M242" s="59"/>
      <c r="N242" s="59"/>
      <c r="O242" s="59"/>
      <c r="P242" s="59"/>
      <c r="Q242" s="59"/>
      <c r="R242" s="59"/>
      <c r="S242" s="61"/>
      <c r="T242" s="59" t="e">
        <f>VLOOKUP(T_Equipement[[#This Row],[NumL]],T_TraitDi[#Data],COLUMN(#REF!),FALSE)</f>
        <v>#REF!</v>
      </c>
    </row>
    <row r="243" spans="1:20" ht="24" customHeight="1" x14ac:dyDescent="0.25">
      <c r="A243" s="90">
        <v>14</v>
      </c>
      <c r="B243" s="51" t="str">
        <f>IFERROR(IF(VLOOKUP(T_Equipement[[#This Row],[NumL]],T_suiviDi[#Data],COLUMN(T_suiviDi[Nom]),FALSE)&lt;&gt;"",VLOOKUP(T_Equipement[[#This Row],[NumL]],T_suiviDi[#Data],COLUMN(T_suiviDi[Nom]),FALSE),""),"")</f>
        <v/>
      </c>
      <c r="C243" s="51" t="str">
        <f>IFERROR(IF(VLOOKUP(T_Equipement[[#This Row],[NumL]],T_suiviDi[#Data],COLUMN(T_suiviDi[Prénom]),FALSE)&lt;&gt;"",VLOOKUP(T_Equipement[[#This Row],[NumL]],T_suiviDi[#Data],COLUMN(T_suiviDi[Prénom]),FALSE),""),"")</f>
        <v/>
      </c>
      <c r="D243" s="52" t="str">
        <f>IFERROR(IF(VLOOKUP(T_Equipement[[#This Row],[NumL]],T_suiviDi[#Data],COLUMN(T_suiviDi[Email]),FALSE)&lt;&gt;"",VLOOKUP(T_Equipement[[#This Row],[NumL]],T_suiviDi[#Data],COLUMN(T_suiviDi[Email]),FALSE),""),"")</f>
        <v/>
      </c>
      <c r="E243" s="53" t="str">
        <f>IFERROR(IF(VLOOKUP(T_Equipement[[#This Row],[NumL]],T_suiviDi[#Data],COLUMN(T_suiviDi[Nom1]),FALSE)&lt;&gt;"",VLOOKUP(T_Equipement[[#This Row],[NumL]],T_suiviDi[#Data],COLUMN(T_suiviDi[Nom1]),FALSE),""),"")</f>
        <v/>
      </c>
      <c r="F243" s="53" t="str">
        <f>IFERROR(IF(VLOOKUP(T_Equipement[[#This Row],[NumL]],T_suiviDi[#Data],COLUMN(T_suiviDi[Prénom1]),FALSE)&lt;&gt;"",VLOOKUP(T_Equipement[[#This Row],[NumL]],T_suiviDi[#Data],COLUMN(T_suiviDi[Prénom1]),FALSE),""),"")</f>
        <v/>
      </c>
      <c r="G243" s="53" t="str">
        <f>IFERROR(IF(VLOOKUP(T_Equipement[[#This Row],[NumL]],T_suiviDi[#Data],COLUMN(T_suiviDi[Email1]),FALSE)&lt;&gt;"",VLOOKUP(T_Equipement[[#This Row],[NumL]],T_suiviDi[#Data],COLUMN(T_suiviDi[Email1]),FALSE),""),"")</f>
        <v/>
      </c>
      <c r="H243" s="59" t="s">
        <v>3362</v>
      </c>
      <c r="I243" s="61"/>
      <c r="J243" s="60" t="s">
        <v>3235</v>
      </c>
      <c r="K243" s="61"/>
      <c r="L243" s="62"/>
      <c r="M243" s="59"/>
      <c r="N243" s="59"/>
      <c r="O243" s="59"/>
      <c r="P243" s="59"/>
      <c r="Q243" s="59"/>
      <c r="R243" s="59"/>
      <c r="S243" s="61"/>
      <c r="T243" s="59" t="e">
        <f>VLOOKUP(T_Equipement[[#This Row],[NumL]],T_TraitDi[#Data],COLUMN(#REF!),FALSE)</f>
        <v>#REF!</v>
      </c>
    </row>
    <row r="244" spans="1:20" ht="24" customHeight="1" x14ac:dyDescent="0.25">
      <c r="A244" s="90">
        <v>135</v>
      </c>
      <c r="B244" s="51" t="str">
        <f>IFERROR(IF(VLOOKUP(T_Equipement[[#This Row],[NumL]],T_suiviDi[#Data],COLUMN(T_suiviDi[Nom]),FALSE)&lt;&gt;"",VLOOKUP(T_Equipement[[#This Row],[NumL]],T_suiviDi[#Data],COLUMN(T_suiviDi[Nom]),FALSE),""),"")</f>
        <v/>
      </c>
      <c r="C244" s="51" t="str">
        <f>IFERROR(IF(VLOOKUP(T_Equipement[[#This Row],[NumL]],T_suiviDi[#Data],COLUMN(T_suiviDi[Prénom]),FALSE)&lt;&gt;"",VLOOKUP(T_Equipement[[#This Row],[NumL]],T_suiviDi[#Data],COLUMN(T_suiviDi[Prénom]),FALSE),""),"")</f>
        <v/>
      </c>
      <c r="D244" s="52" t="str">
        <f>IFERROR(IF(VLOOKUP(T_Equipement[[#This Row],[NumL]],T_suiviDi[#Data],COLUMN(T_suiviDi[Email]),FALSE)&lt;&gt;"",VLOOKUP(T_Equipement[[#This Row],[NumL]],T_suiviDi[#Data],COLUMN(T_suiviDi[Email]),FALSE),""),"")</f>
        <v/>
      </c>
      <c r="E244" s="53" t="str">
        <f>IFERROR(IF(VLOOKUP(T_Equipement[[#This Row],[NumL]],T_suiviDi[#Data],COLUMN(T_suiviDi[Nom1]),FALSE)&lt;&gt;"",VLOOKUP(T_Equipement[[#This Row],[NumL]],T_suiviDi[#Data],COLUMN(T_suiviDi[Nom1]),FALSE),""),"")</f>
        <v/>
      </c>
      <c r="F244" s="53" t="str">
        <f>IFERROR(IF(VLOOKUP(T_Equipement[[#This Row],[NumL]],T_suiviDi[#Data],COLUMN(T_suiviDi[Prénom1]),FALSE)&lt;&gt;"",VLOOKUP(T_Equipement[[#This Row],[NumL]],T_suiviDi[#Data],COLUMN(T_suiviDi[Prénom1]),FALSE),""),"")</f>
        <v/>
      </c>
      <c r="G244" s="53" t="str">
        <f>IFERROR(IF(VLOOKUP(T_Equipement[[#This Row],[NumL]],T_suiviDi[#Data],COLUMN(T_suiviDi[Email1]),FALSE)&lt;&gt;"",VLOOKUP(T_Equipement[[#This Row],[NumL]],T_suiviDi[#Data],COLUMN(T_suiviDi[Email1]),FALSE),""),"")</f>
        <v/>
      </c>
      <c r="H244" s="59" t="s">
        <v>3277</v>
      </c>
      <c r="I244" s="251">
        <v>44165</v>
      </c>
      <c r="J244" s="60" t="s">
        <v>3236</v>
      </c>
      <c r="K244" s="61"/>
      <c r="L244" s="62"/>
      <c r="M244" s="59"/>
      <c r="N244" s="59"/>
      <c r="O244" s="59"/>
      <c r="P244" s="59"/>
      <c r="Q244" s="59"/>
      <c r="R244" s="59"/>
      <c r="S244" s="61"/>
      <c r="T244" s="59" t="e">
        <f>VLOOKUP(T_Equipement[[#This Row],[NumL]],T_TraitDi[#Data],COLUMN(#REF!),FALSE)</f>
        <v>#REF!</v>
      </c>
    </row>
    <row r="245" spans="1:20" ht="24" customHeight="1" x14ac:dyDescent="0.25">
      <c r="A245" s="90">
        <v>108</v>
      </c>
      <c r="B245" s="51" t="str">
        <f>IFERROR(IF(VLOOKUP(T_Equipement[[#This Row],[NumL]],T_suiviDi[#Data],COLUMN(T_suiviDi[Nom]),FALSE)&lt;&gt;"",VLOOKUP(T_Equipement[[#This Row],[NumL]],T_suiviDi[#Data],COLUMN(T_suiviDi[Nom]),FALSE),""),"")</f>
        <v/>
      </c>
      <c r="C245" s="51" t="str">
        <f>IFERROR(IF(VLOOKUP(T_Equipement[[#This Row],[NumL]],T_suiviDi[#Data],COLUMN(T_suiviDi[Prénom]),FALSE)&lt;&gt;"",VLOOKUP(T_Equipement[[#This Row],[NumL]],T_suiviDi[#Data],COLUMN(T_suiviDi[Prénom]),FALSE),""),"")</f>
        <v/>
      </c>
      <c r="D245" s="52" t="str">
        <f>IFERROR(IF(VLOOKUP(T_Equipement[[#This Row],[NumL]],T_suiviDi[#Data],COLUMN(T_suiviDi[Email]),FALSE)&lt;&gt;"",VLOOKUP(T_Equipement[[#This Row],[NumL]],T_suiviDi[#Data],COLUMN(T_suiviDi[Email]),FALSE),""),"")</f>
        <v/>
      </c>
      <c r="E245" s="53" t="str">
        <f>IFERROR(IF(VLOOKUP(T_Equipement[[#This Row],[NumL]],T_suiviDi[#Data],COLUMN(T_suiviDi[Nom1]),FALSE)&lt;&gt;"",VLOOKUP(T_Equipement[[#This Row],[NumL]],T_suiviDi[#Data],COLUMN(T_suiviDi[Nom1]),FALSE),""),"")</f>
        <v/>
      </c>
      <c r="F245" s="53" t="str">
        <f>IFERROR(IF(VLOOKUP(T_Equipement[[#This Row],[NumL]],T_suiviDi[#Data],COLUMN(T_suiviDi[Prénom1]),FALSE)&lt;&gt;"",VLOOKUP(T_Equipement[[#This Row],[NumL]],T_suiviDi[#Data],COLUMN(T_suiviDi[Prénom1]),FALSE),""),"")</f>
        <v/>
      </c>
      <c r="G245" s="53" t="str">
        <f>IFERROR(IF(VLOOKUP(T_Equipement[[#This Row],[NumL]],T_suiviDi[#Data],COLUMN(T_suiviDi[Email1]),FALSE)&lt;&gt;"",VLOOKUP(T_Equipement[[#This Row],[NumL]],T_suiviDi[#Data],COLUMN(T_suiviDi[Email1]),FALSE),""),"")</f>
        <v/>
      </c>
      <c r="H245" s="59" t="s">
        <v>3277</v>
      </c>
      <c r="I245" s="251">
        <v>44165</v>
      </c>
      <c r="J245" s="60" t="s">
        <v>3237</v>
      </c>
      <c r="K245" s="61"/>
      <c r="L245" s="62"/>
      <c r="M245" s="59"/>
      <c r="N245" s="59"/>
      <c r="O245" s="59"/>
      <c r="P245" s="59"/>
      <c r="Q245" s="59"/>
      <c r="R245" s="59"/>
      <c r="S245" s="61"/>
      <c r="T245" s="59" t="e">
        <f>VLOOKUP(T_Equipement[[#This Row],[NumL]],T_TraitDi[#Data],COLUMN(#REF!),FALSE)</f>
        <v>#REF!</v>
      </c>
    </row>
    <row r="246" spans="1:20" ht="24" customHeight="1" x14ac:dyDescent="0.25">
      <c r="A246" s="90">
        <v>311</v>
      </c>
      <c r="B246" s="51" t="str">
        <f>IFERROR(IF(VLOOKUP(T_Equipement[[#This Row],[NumL]],T_suiviDi[#Data],COLUMN(T_suiviDi[Nom]),FALSE)&lt;&gt;"",VLOOKUP(T_Equipement[[#This Row],[NumL]],T_suiviDi[#Data],COLUMN(T_suiviDi[Nom]),FALSE),""),"")</f>
        <v/>
      </c>
      <c r="C246" s="51" t="str">
        <f>IFERROR(IF(VLOOKUP(T_Equipement[[#This Row],[NumL]],T_suiviDi[#Data],COLUMN(T_suiviDi[Prénom]),FALSE)&lt;&gt;"",VLOOKUP(T_Equipement[[#This Row],[NumL]],T_suiviDi[#Data],COLUMN(T_suiviDi[Prénom]),FALSE),""),"")</f>
        <v/>
      </c>
      <c r="D246" s="52" t="str">
        <f>IFERROR(IF(VLOOKUP(T_Equipement[[#This Row],[NumL]],T_suiviDi[#Data],COLUMN(T_suiviDi[Email]),FALSE)&lt;&gt;"",VLOOKUP(T_Equipement[[#This Row],[NumL]],T_suiviDi[#Data],COLUMN(T_suiviDi[Email]),FALSE),""),"")</f>
        <v/>
      </c>
      <c r="E246" s="53" t="str">
        <f>IFERROR(IF(VLOOKUP(T_Equipement[[#This Row],[NumL]],T_suiviDi[#Data],COLUMN(T_suiviDi[Nom1]),FALSE)&lt;&gt;"",VLOOKUP(T_Equipement[[#This Row],[NumL]],T_suiviDi[#Data],COLUMN(T_suiviDi[Nom1]),FALSE),""),"")</f>
        <v/>
      </c>
      <c r="F246" s="53" t="str">
        <f>IFERROR(IF(VLOOKUP(T_Equipement[[#This Row],[NumL]],T_suiviDi[#Data],COLUMN(T_suiviDi[Prénom1]),FALSE)&lt;&gt;"",VLOOKUP(T_Equipement[[#This Row],[NumL]],T_suiviDi[#Data],COLUMN(T_suiviDi[Prénom1]),FALSE),""),"")</f>
        <v/>
      </c>
      <c r="G246" s="53" t="str">
        <f>IFERROR(IF(VLOOKUP(T_Equipement[[#This Row],[NumL]],T_suiviDi[#Data],COLUMN(T_suiviDi[Email1]),FALSE)&lt;&gt;"",VLOOKUP(T_Equipement[[#This Row],[NumL]],T_suiviDi[#Data],COLUMN(T_suiviDi[Email1]),FALSE),""),"")</f>
        <v/>
      </c>
      <c r="H246" s="59"/>
      <c r="I246" s="61"/>
      <c r="J246" s="60"/>
      <c r="K246" s="61"/>
      <c r="L246" s="62"/>
      <c r="M246" s="59"/>
      <c r="N246" s="59"/>
      <c r="O246" s="59"/>
      <c r="P246" s="59"/>
      <c r="Q246" s="59"/>
      <c r="R246" s="59"/>
      <c r="S246" s="61"/>
      <c r="T246" s="59"/>
    </row>
    <row r="247" spans="1:20" ht="24" customHeight="1" x14ac:dyDescent="0.25">
      <c r="A247" s="90">
        <v>174</v>
      </c>
      <c r="B247" s="51" t="str">
        <f>IFERROR(IF(VLOOKUP(T_Equipement[[#This Row],[NumL]],T_suiviDi[#Data],COLUMN(T_suiviDi[Nom]),FALSE)&lt;&gt;"",VLOOKUP(T_Equipement[[#This Row],[NumL]],T_suiviDi[#Data],COLUMN(T_suiviDi[Nom]),FALSE),""),"")</f>
        <v/>
      </c>
      <c r="C247" s="51" t="str">
        <f>IFERROR(IF(VLOOKUP(T_Equipement[[#This Row],[NumL]],T_suiviDi[#Data],COLUMN(T_suiviDi[Prénom]),FALSE)&lt;&gt;"",VLOOKUP(T_Equipement[[#This Row],[NumL]],T_suiviDi[#Data],COLUMN(T_suiviDi[Prénom]),FALSE),""),"")</f>
        <v/>
      </c>
      <c r="D247" s="52" t="str">
        <f>IFERROR(IF(VLOOKUP(T_Equipement[[#This Row],[NumL]],T_suiviDi[#Data],COLUMN(T_suiviDi[Email]),FALSE)&lt;&gt;"",VLOOKUP(T_Equipement[[#This Row],[NumL]],T_suiviDi[#Data],COLUMN(T_suiviDi[Email]),FALSE),""),"")</f>
        <v/>
      </c>
      <c r="E247" s="53" t="str">
        <f>IFERROR(IF(VLOOKUP(T_Equipement[[#This Row],[NumL]],T_suiviDi[#Data],COLUMN(T_suiviDi[Nom1]),FALSE)&lt;&gt;"",VLOOKUP(T_Equipement[[#This Row],[NumL]],T_suiviDi[#Data],COLUMN(T_suiviDi[Nom1]),FALSE),""),"")</f>
        <v/>
      </c>
      <c r="F247" s="53" t="str">
        <f>IFERROR(IF(VLOOKUP(T_Equipement[[#This Row],[NumL]],T_suiviDi[#Data],COLUMN(T_suiviDi[Prénom1]),FALSE)&lt;&gt;"",VLOOKUP(T_Equipement[[#This Row],[NumL]],T_suiviDi[#Data],COLUMN(T_suiviDi[Prénom1]),FALSE),""),"")</f>
        <v/>
      </c>
      <c r="G247" s="53" t="str">
        <f>IFERROR(IF(VLOOKUP(T_Equipement[[#This Row],[NumL]],T_suiviDi[#Data],COLUMN(T_suiviDi[Email1]),FALSE)&lt;&gt;"",VLOOKUP(T_Equipement[[#This Row],[NumL]],T_suiviDi[#Data],COLUMN(T_suiviDi[Email1]),FALSE),""),"")</f>
        <v/>
      </c>
      <c r="H247" s="59" t="s">
        <v>3278</v>
      </c>
      <c r="I247" s="61"/>
      <c r="J247" s="60" t="s">
        <v>3043</v>
      </c>
      <c r="K247" s="61"/>
      <c r="L247" s="62"/>
      <c r="M247" s="59"/>
      <c r="N247" s="59"/>
      <c r="O247" s="59"/>
      <c r="P247" s="59"/>
      <c r="Q247" s="59"/>
      <c r="R247" s="59"/>
      <c r="S247" s="61"/>
      <c r="T247" s="59" t="e">
        <f>VLOOKUP(T_Equipement[[#This Row],[NumL]],T_TraitDi[#Data],COLUMN(#REF!),FALSE)</f>
        <v>#REF!</v>
      </c>
    </row>
    <row r="248" spans="1:20" ht="24" customHeight="1" x14ac:dyDescent="0.25">
      <c r="A248" s="90">
        <v>49</v>
      </c>
      <c r="B248" s="51" t="str">
        <f>IFERROR(IF(VLOOKUP(T_Equipement[[#This Row],[NumL]],T_suiviDi[#Data],COLUMN(T_suiviDi[Nom]),FALSE)&lt;&gt;"",VLOOKUP(T_Equipement[[#This Row],[NumL]],T_suiviDi[#Data],COLUMN(T_suiviDi[Nom]),FALSE),""),"")</f>
        <v/>
      </c>
      <c r="C248" s="51" t="str">
        <f>IFERROR(IF(VLOOKUP(T_Equipement[[#This Row],[NumL]],T_suiviDi[#Data],COLUMN(T_suiviDi[Prénom]),FALSE)&lt;&gt;"",VLOOKUP(T_Equipement[[#This Row],[NumL]],T_suiviDi[#Data],COLUMN(T_suiviDi[Prénom]),FALSE),""),"")</f>
        <v/>
      </c>
      <c r="D248" s="52" t="str">
        <f>IFERROR(IF(VLOOKUP(T_Equipement[[#This Row],[NumL]],T_suiviDi[#Data],COLUMN(T_suiviDi[Email]),FALSE)&lt;&gt;"",VLOOKUP(T_Equipement[[#This Row],[NumL]],T_suiviDi[#Data],COLUMN(T_suiviDi[Email]),FALSE),""),"")</f>
        <v/>
      </c>
      <c r="E248" s="53" t="str">
        <f>IFERROR(IF(VLOOKUP(T_Equipement[[#This Row],[NumL]],T_suiviDi[#Data],COLUMN(T_suiviDi[Nom1]),FALSE)&lt;&gt;"",VLOOKUP(T_Equipement[[#This Row],[NumL]],T_suiviDi[#Data],COLUMN(T_suiviDi[Nom1]),FALSE),""),"")</f>
        <v/>
      </c>
      <c r="F248" s="53" t="str">
        <f>IFERROR(IF(VLOOKUP(T_Equipement[[#This Row],[NumL]],T_suiviDi[#Data],COLUMN(T_suiviDi[Prénom1]),FALSE)&lt;&gt;"",VLOOKUP(T_Equipement[[#This Row],[NumL]],T_suiviDi[#Data],COLUMN(T_suiviDi[Prénom1]),FALSE),""),"")</f>
        <v/>
      </c>
      <c r="G248" s="53" t="str">
        <f>IFERROR(IF(VLOOKUP(T_Equipement[[#This Row],[NumL]],T_suiviDi[#Data],COLUMN(T_suiviDi[Email1]),FALSE)&lt;&gt;"",VLOOKUP(T_Equipement[[#This Row],[NumL]],T_suiviDi[#Data],COLUMN(T_suiviDi[Email1]),FALSE),""),"")</f>
        <v/>
      </c>
      <c r="H248" s="59" t="s">
        <v>3277</v>
      </c>
      <c r="I248" s="61"/>
      <c r="J248" s="60" t="s">
        <v>3238</v>
      </c>
      <c r="K248" s="61"/>
      <c r="L248" s="62"/>
      <c r="M248" s="59"/>
      <c r="N248" s="59"/>
      <c r="O248" s="59"/>
      <c r="P248" s="59"/>
      <c r="Q248" s="59"/>
      <c r="R248" s="59"/>
      <c r="S248" s="61"/>
      <c r="T248" s="59" t="e">
        <f>VLOOKUP(T_Equipement[[#This Row],[NumL]],T_TraitDi[#Data],COLUMN(#REF!),FALSE)</f>
        <v>#REF!</v>
      </c>
    </row>
    <row r="249" spans="1:20" ht="24" customHeight="1" x14ac:dyDescent="0.25">
      <c r="A249" s="90">
        <v>246</v>
      </c>
      <c r="B249" s="51" t="str">
        <f>IFERROR(IF(VLOOKUP(T_Equipement[[#This Row],[NumL]],T_suiviDi[#Data],COLUMN(T_suiviDi[Nom]),FALSE)&lt;&gt;"",VLOOKUP(T_Equipement[[#This Row],[NumL]],T_suiviDi[#Data],COLUMN(T_suiviDi[Nom]),FALSE),""),"")</f>
        <v/>
      </c>
      <c r="C249" s="51" t="str">
        <f>IFERROR(IF(VLOOKUP(T_Equipement[[#This Row],[NumL]],T_suiviDi[#Data],COLUMN(T_suiviDi[Prénom]),FALSE)&lt;&gt;"",VLOOKUP(T_Equipement[[#This Row],[NumL]],T_suiviDi[#Data],COLUMN(T_suiviDi[Prénom]),FALSE),""),"")</f>
        <v/>
      </c>
      <c r="D249" s="52" t="str">
        <f>IFERROR(IF(VLOOKUP(T_Equipement[[#This Row],[NumL]],T_suiviDi[#Data],COLUMN(T_suiviDi[Email]),FALSE)&lt;&gt;"",VLOOKUP(T_Equipement[[#This Row],[NumL]],T_suiviDi[#Data],COLUMN(T_suiviDi[Email]),FALSE),""),"")</f>
        <v/>
      </c>
      <c r="E249" s="53" t="str">
        <f>IFERROR(IF(VLOOKUP(T_Equipement[[#This Row],[NumL]],T_suiviDi[#Data],COLUMN(T_suiviDi[Nom1]),FALSE)&lt;&gt;"",VLOOKUP(T_Equipement[[#This Row],[NumL]],T_suiviDi[#Data],COLUMN(T_suiviDi[Nom1]),FALSE),""),"")</f>
        <v/>
      </c>
      <c r="F249" s="53" t="str">
        <f>IFERROR(IF(VLOOKUP(T_Equipement[[#This Row],[NumL]],T_suiviDi[#Data],COLUMN(T_suiviDi[Prénom1]),FALSE)&lt;&gt;"",VLOOKUP(T_Equipement[[#This Row],[NumL]],T_suiviDi[#Data],COLUMN(T_suiviDi[Prénom1]),FALSE),""),"")</f>
        <v/>
      </c>
      <c r="G249" s="53" t="str">
        <f>IFERROR(IF(VLOOKUP(T_Equipement[[#This Row],[NumL]],T_suiviDi[#Data],COLUMN(T_suiviDi[Email1]),FALSE)&lt;&gt;"",VLOOKUP(T_Equipement[[#This Row],[NumL]],T_suiviDi[#Data],COLUMN(T_suiviDi[Email1]),FALSE),""),"")</f>
        <v/>
      </c>
      <c r="H249" s="59" t="s">
        <v>3277</v>
      </c>
      <c r="I249" s="251">
        <v>44165</v>
      </c>
      <c r="J249" s="60" t="s">
        <v>3239</v>
      </c>
      <c r="K249" s="61"/>
      <c r="L249" s="62"/>
      <c r="M249" s="59"/>
      <c r="N249" s="59"/>
      <c r="O249" s="59"/>
      <c r="P249" s="59"/>
      <c r="Q249" s="59"/>
      <c r="R249" s="59"/>
      <c r="S249" s="61"/>
      <c r="T249" s="59" t="e">
        <f>VLOOKUP(T_Equipement[[#This Row],[NumL]],T_TraitDi[#Data],COLUMN(#REF!),FALSE)</f>
        <v>#REF!</v>
      </c>
    </row>
    <row r="250" spans="1:20" ht="24" customHeight="1" x14ac:dyDescent="0.25">
      <c r="A250" s="90">
        <v>138</v>
      </c>
      <c r="B250" s="51" t="str">
        <f>IFERROR(IF(VLOOKUP(T_Equipement[[#This Row],[NumL]],T_suiviDi[#Data],COLUMN(T_suiviDi[Nom]),FALSE)&lt;&gt;"",VLOOKUP(T_Equipement[[#This Row],[NumL]],T_suiviDi[#Data],COLUMN(T_suiviDi[Nom]),FALSE),""),"")</f>
        <v/>
      </c>
      <c r="C250" s="51" t="str">
        <f>IFERROR(IF(VLOOKUP(T_Equipement[[#This Row],[NumL]],T_suiviDi[#Data],COLUMN(T_suiviDi[Prénom]),FALSE)&lt;&gt;"",VLOOKUP(T_Equipement[[#This Row],[NumL]],T_suiviDi[#Data],COLUMN(T_suiviDi[Prénom]),FALSE),""),"")</f>
        <v/>
      </c>
      <c r="D250" s="52" t="str">
        <f>IFERROR(IF(VLOOKUP(T_Equipement[[#This Row],[NumL]],T_suiviDi[#Data],COLUMN(T_suiviDi[Email]),FALSE)&lt;&gt;"",VLOOKUP(T_Equipement[[#This Row],[NumL]],T_suiviDi[#Data],COLUMN(T_suiviDi[Email]),FALSE),""),"")</f>
        <v/>
      </c>
      <c r="E250" s="53" t="str">
        <f>IFERROR(IF(VLOOKUP(T_Equipement[[#This Row],[NumL]],T_suiviDi[#Data],COLUMN(T_suiviDi[Nom1]),FALSE)&lt;&gt;"",VLOOKUP(T_Equipement[[#This Row],[NumL]],T_suiviDi[#Data],COLUMN(T_suiviDi[Nom1]),FALSE),""),"")</f>
        <v/>
      </c>
      <c r="F250" s="53" t="str">
        <f>IFERROR(IF(VLOOKUP(T_Equipement[[#This Row],[NumL]],T_suiviDi[#Data],COLUMN(T_suiviDi[Prénom1]),FALSE)&lt;&gt;"",VLOOKUP(T_Equipement[[#This Row],[NumL]],T_suiviDi[#Data],COLUMN(T_suiviDi[Prénom1]),FALSE),""),"")</f>
        <v/>
      </c>
      <c r="G250" s="53" t="str">
        <f>IFERROR(IF(VLOOKUP(T_Equipement[[#This Row],[NumL]],T_suiviDi[#Data],COLUMN(T_suiviDi[Email1]),FALSE)&lt;&gt;"",VLOOKUP(T_Equipement[[#This Row],[NumL]],T_suiviDi[#Data],COLUMN(T_suiviDi[Email1]),FALSE),""),"")</f>
        <v/>
      </c>
      <c r="H250" s="59" t="s">
        <v>3278</v>
      </c>
      <c r="I250" s="251">
        <v>44165</v>
      </c>
      <c r="J250" s="60" t="s">
        <v>3240</v>
      </c>
      <c r="K250" s="61"/>
      <c r="L250" s="62"/>
      <c r="M250" s="59"/>
      <c r="N250" s="59"/>
      <c r="O250" s="59"/>
      <c r="P250" s="59"/>
      <c r="Q250" s="59"/>
      <c r="R250" s="59"/>
      <c r="S250" s="61"/>
      <c r="T250" s="59" t="e">
        <f>VLOOKUP(T_Equipement[[#This Row],[NumL]],T_TraitDi[#Data],COLUMN(#REF!),FALSE)</f>
        <v>#REF!</v>
      </c>
    </row>
    <row r="251" spans="1:20" ht="24" customHeight="1" x14ac:dyDescent="0.25">
      <c r="A251" s="90">
        <v>85</v>
      </c>
      <c r="B251" s="51" t="str">
        <f>IFERROR(IF(VLOOKUP(T_Equipement[[#This Row],[NumL]],T_suiviDi[#Data],COLUMN(T_suiviDi[Nom]),FALSE)&lt;&gt;"",VLOOKUP(T_Equipement[[#This Row],[NumL]],T_suiviDi[#Data],COLUMN(T_suiviDi[Nom]),FALSE),""),"")</f>
        <v/>
      </c>
      <c r="C251" s="51" t="str">
        <f>IFERROR(IF(VLOOKUP(T_Equipement[[#This Row],[NumL]],T_suiviDi[#Data],COLUMN(T_suiviDi[Prénom]),FALSE)&lt;&gt;"",VLOOKUP(T_Equipement[[#This Row],[NumL]],T_suiviDi[#Data],COLUMN(T_suiviDi[Prénom]),FALSE),""),"")</f>
        <v/>
      </c>
      <c r="D251" s="52" t="str">
        <f>IFERROR(IF(VLOOKUP(T_Equipement[[#This Row],[NumL]],T_suiviDi[#Data],COLUMN(T_suiviDi[Email]),FALSE)&lt;&gt;"",VLOOKUP(T_Equipement[[#This Row],[NumL]],T_suiviDi[#Data],COLUMN(T_suiviDi[Email]),FALSE),""),"")</f>
        <v/>
      </c>
      <c r="E251" s="53" t="str">
        <f>IFERROR(IF(VLOOKUP(T_Equipement[[#This Row],[NumL]],T_suiviDi[#Data],COLUMN(T_suiviDi[Nom1]),FALSE)&lt;&gt;"",VLOOKUP(T_Equipement[[#This Row],[NumL]],T_suiviDi[#Data],COLUMN(T_suiviDi[Nom1]),FALSE),""),"")</f>
        <v/>
      </c>
      <c r="F251" s="53" t="str">
        <f>IFERROR(IF(VLOOKUP(T_Equipement[[#This Row],[NumL]],T_suiviDi[#Data],COLUMN(T_suiviDi[Prénom1]),FALSE)&lt;&gt;"",VLOOKUP(T_Equipement[[#This Row],[NumL]],T_suiviDi[#Data],COLUMN(T_suiviDi[Prénom1]),FALSE),""),"")</f>
        <v/>
      </c>
      <c r="G251" s="53" t="str">
        <f>IFERROR(IF(VLOOKUP(T_Equipement[[#This Row],[NumL]],T_suiviDi[#Data],COLUMN(T_suiviDi[Email1]),FALSE)&lt;&gt;"",VLOOKUP(T_Equipement[[#This Row],[NumL]],T_suiviDi[#Data],COLUMN(T_suiviDi[Email1]),FALSE),""),"")</f>
        <v/>
      </c>
      <c r="H251" s="59" t="s">
        <v>3277</v>
      </c>
      <c r="I251" s="61"/>
      <c r="J251" s="60" t="s">
        <v>3241</v>
      </c>
      <c r="K251" s="61"/>
      <c r="L251" s="62"/>
      <c r="M251" s="59"/>
      <c r="N251" s="59"/>
      <c r="O251" s="59"/>
      <c r="P251" s="59"/>
      <c r="Q251" s="59"/>
      <c r="R251" s="59"/>
      <c r="S251" s="61"/>
      <c r="T251" s="59" t="e">
        <f>VLOOKUP(T_Equipement[[#This Row],[NumL]],T_TraitDi[#Data],COLUMN(#REF!),FALSE)</f>
        <v>#REF!</v>
      </c>
    </row>
    <row r="252" spans="1:20" ht="24" customHeight="1" x14ac:dyDescent="0.25">
      <c r="A252" s="90">
        <v>203</v>
      </c>
      <c r="B252" s="51" t="str">
        <f>IFERROR(IF(VLOOKUP(T_Equipement[[#This Row],[NumL]],T_suiviDi[#Data],COLUMN(T_suiviDi[Nom]),FALSE)&lt;&gt;"",VLOOKUP(T_Equipement[[#This Row],[NumL]],T_suiviDi[#Data],COLUMN(T_suiviDi[Nom]),FALSE),""),"")</f>
        <v/>
      </c>
      <c r="C252" s="51" t="str">
        <f>IFERROR(IF(VLOOKUP(T_Equipement[[#This Row],[NumL]],T_suiviDi[#Data],COLUMN(T_suiviDi[Prénom]),FALSE)&lt;&gt;"",VLOOKUP(T_Equipement[[#This Row],[NumL]],T_suiviDi[#Data],COLUMN(T_suiviDi[Prénom]),FALSE),""),"")</f>
        <v/>
      </c>
      <c r="D252" s="52" t="str">
        <f>IFERROR(IF(VLOOKUP(T_Equipement[[#This Row],[NumL]],T_suiviDi[#Data],COLUMN(T_suiviDi[Email]),FALSE)&lt;&gt;"",VLOOKUP(T_Equipement[[#This Row],[NumL]],T_suiviDi[#Data],COLUMN(T_suiviDi[Email]),FALSE),""),"")</f>
        <v/>
      </c>
      <c r="E252" s="53" t="str">
        <f>IFERROR(IF(VLOOKUP(T_Equipement[[#This Row],[NumL]],T_suiviDi[#Data],COLUMN(T_suiviDi[Nom1]),FALSE)&lt;&gt;"",VLOOKUP(T_Equipement[[#This Row],[NumL]],T_suiviDi[#Data],COLUMN(T_suiviDi[Nom1]),FALSE),""),"")</f>
        <v/>
      </c>
      <c r="F252" s="53" t="str">
        <f>IFERROR(IF(VLOOKUP(T_Equipement[[#This Row],[NumL]],T_suiviDi[#Data],COLUMN(T_suiviDi[Prénom1]),FALSE)&lt;&gt;"",VLOOKUP(T_Equipement[[#This Row],[NumL]],T_suiviDi[#Data],COLUMN(T_suiviDi[Prénom1]),FALSE),""),"")</f>
        <v/>
      </c>
      <c r="G252" s="53" t="str">
        <f>IFERROR(IF(VLOOKUP(T_Equipement[[#This Row],[NumL]],T_suiviDi[#Data],COLUMN(T_suiviDi[Email1]),FALSE)&lt;&gt;"",VLOOKUP(T_Equipement[[#This Row],[NumL]],T_suiviDi[#Data],COLUMN(T_suiviDi[Email1]),FALSE),""),"")</f>
        <v/>
      </c>
      <c r="H252" s="59" t="s">
        <v>3277</v>
      </c>
      <c r="I252" s="251">
        <v>44165</v>
      </c>
      <c r="J252" s="60" t="s">
        <v>3242</v>
      </c>
      <c r="K252" s="61"/>
      <c r="L252" s="62"/>
      <c r="M252" s="59"/>
      <c r="N252" s="59"/>
      <c r="O252" s="59"/>
      <c r="P252" s="59"/>
      <c r="Q252" s="59"/>
      <c r="R252" s="59"/>
      <c r="S252" s="61"/>
      <c r="T252" s="59" t="e">
        <f>VLOOKUP(T_Equipement[[#This Row],[NumL]],T_TraitDi[#Data],COLUMN(#REF!),FALSE)</f>
        <v>#REF!</v>
      </c>
    </row>
    <row r="253" spans="1:20" ht="24" customHeight="1" x14ac:dyDescent="0.25">
      <c r="A253" s="90">
        <v>308</v>
      </c>
      <c r="B253" s="51" t="str">
        <f>IFERROR(IF(VLOOKUP(T_Equipement[[#This Row],[NumL]],T_suiviDi[#Data],COLUMN(T_suiviDi[Nom]),FALSE)&lt;&gt;"",VLOOKUP(T_Equipement[[#This Row],[NumL]],T_suiviDi[#Data],COLUMN(T_suiviDi[Nom]),FALSE),""),"")</f>
        <v/>
      </c>
      <c r="C253" s="51" t="str">
        <f>IFERROR(IF(VLOOKUP(T_Equipement[[#This Row],[NumL]],T_suiviDi[#Data],COLUMN(T_suiviDi[Prénom]),FALSE)&lt;&gt;"",VLOOKUP(T_Equipement[[#This Row],[NumL]],T_suiviDi[#Data],COLUMN(T_suiviDi[Prénom]),FALSE),""),"")</f>
        <v/>
      </c>
      <c r="D253" s="52" t="str">
        <f>IFERROR(IF(VLOOKUP(T_Equipement[[#This Row],[NumL]],T_suiviDi[#Data],COLUMN(T_suiviDi[Email]),FALSE)&lt;&gt;"",VLOOKUP(T_Equipement[[#This Row],[NumL]],T_suiviDi[#Data],COLUMN(T_suiviDi[Email]),FALSE),""),"")</f>
        <v/>
      </c>
      <c r="E253" s="53" t="str">
        <f>IFERROR(IF(VLOOKUP(T_Equipement[[#This Row],[NumL]],T_suiviDi[#Data],COLUMN(T_suiviDi[Nom1]),FALSE)&lt;&gt;"",VLOOKUP(T_Equipement[[#This Row],[NumL]],T_suiviDi[#Data],COLUMN(T_suiviDi[Nom1]),FALSE),""),"")</f>
        <v/>
      </c>
      <c r="F253" s="53" t="str">
        <f>IFERROR(IF(VLOOKUP(T_Equipement[[#This Row],[NumL]],T_suiviDi[#Data],COLUMN(T_suiviDi[Prénom1]),FALSE)&lt;&gt;"",VLOOKUP(T_Equipement[[#This Row],[NumL]],T_suiviDi[#Data],COLUMN(T_suiviDi[Prénom1]),FALSE),""),"")</f>
        <v/>
      </c>
      <c r="G253" s="53" t="str">
        <f>IFERROR(IF(VLOOKUP(T_Equipement[[#This Row],[NumL]],T_suiviDi[#Data],COLUMN(T_suiviDi[Email1]),FALSE)&lt;&gt;"",VLOOKUP(T_Equipement[[#This Row],[NumL]],T_suiviDi[#Data],COLUMN(T_suiviDi[Email1]),FALSE),""),"")</f>
        <v/>
      </c>
      <c r="H253" s="59"/>
      <c r="I253" s="61"/>
      <c r="J253" s="60"/>
      <c r="K253" s="61"/>
      <c r="L253" s="62"/>
      <c r="M253" s="59"/>
      <c r="N253" s="59"/>
      <c r="O253" s="59"/>
      <c r="P253" s="59"/>
      <c r="Q253" s="59"/>
      <c r="R253" s="59"/>
      <c r="S253" s="61"/>
      <c r="T253" s="59"/>
    </row>
    <row r="254" spans="1:20" ht="24" customHeight="1" x14ac:dyDescent="0.25">
      <c r="A254" s="90">
        <v>320</v>
      </c>
      <c r="B254" s="51" t="str">
        <f>IFERROR(IF(VLOOKUP(T_Equipement[[#This Row],[NumL]],T_suiviDi[#Data],COLUMN(T_suiviDi[Nom]),FALSE)&lt;&gt;"",VLOOKUP(T_Equipement[[#This Row],[NumL]],T_suiviDi[#Data],COLUMN(T_suiviDi[Nom]),FALSE),""),"")</f>
        <v/>
      </c>
      <c r="C254" s="51" t="str">
        <f>IFERROR(IF(VLOOKUP(T_Equipement[[#This Row],[NumL]],T_suiviDi[#Data],COLUMN(T_suiviDi[Prénom]),FALSE)&lt;&gt;"",VLOOKUP(T_Equipement[[#This Row],[NumL]],T_suiviDi[#Data],COLUMN(T_suiviDi[Prénom]),FALSE),""),"")</f>
        <v/>
      </c>
      <c r="D254" s="52" t="str">
        <f>IFERROR(IF(VLOOKUP(T_Equipement[[#This Row],[NumL]],T_suiviDi[#Data],COLUMN(T_suiviDi[Email]),FALSE)&lt;&gt;"",VLOOKUP(T_Equipement[[#This Row],[NumL]],T_suiviDi[#Data],COLUMN(T_suiviDi[Email]),FALSE),""),"")</f>
        <v/>
      </c>
      <c r="E254" s="53" t="str">
        <f>IFERROR(IF(VLOOKUP(T_Equipement[[#This Row],[NumL]],T_suiviDi[#Data],COLUMN(T_suiviDi[Nom1]),FALSE)&lt;&gt;"",VLOOKUP(T_Equipement[[#This Row],[NumL]],T_suiviDi[#Data],COLUMN(T_suiviDi[Nom1]),FALSE),""),"")</f>
        <v/>
      </c>
      <c r="F254" s="53" t="str">
        <f>IFERROR(IF(VLOOKUP(T_Equipement[[#This Row],[NumL]],T_suiviDi[#Data],COLUMN(T_suiviDi[Prénom1]),FALSE)&lt;&gt;"",VLOOKUP(T_Equipement[[#This Row],[NumL]],T_suiviDi[#Data],COLUMN(T_suiviDi[Prénom1]),FALSE),""),"")</f>
        <v/>
      </c>
      <c r="G254" s="53" t="str">
        <f>IFERROR(IF(VLOOKUP(T_Equipement[[#This Row],[NumL]],T_suiviDi[#Data],COLUMN(T_suiviDi[Email1]),FALSE)&lt;&gt;"",VLOOKUP(T_Equipement[[#This Row],[NumL]],T_suiviDi[#Data],COLUMN(T_suiviDi[Email1]),FALSE),""),"")</f>
        <v/>
      </c>
      <c r="H254" s="59"/>
      <c r="I254" s="61"/>
      <c r="J254" s="60"/>
      <c r="K254" s="61"/>
      <c r="L254" s="62"/>
      <c r="M254" s="59"/>
      <c r="N254" s="59"/>
      <c r="O254" s="59"/>
      <c r="P254" s="59"/>
      <c r="Q254" s="59"/>
      <c r="R254" s="59"/>
      <c r="S254" s="61"/>
      <c r="T254" s="59"/>
    </row>
    <row r="255" spans="1:20" ht="24" customHeight="1" x14ac:dyDescent="0.25">
      <c r="A255" s="90">
        <v>274</v>
      </c>
      <c r="B255" s="51" t="str">
        <f>IFERROR(IF(VLOOKUP(T_Equipement[[#This Row],[NumL]],T_suiviDi[#Data],COLUMN(T_suiviDi[Nom]),FALSE)&lt;&gt;"",VLOOKUP(T_Equipement[[#This Row],[NumL]],T_suiviDi[#Data],COLUMN(T_suiviDi[Nom]),FALSE),""),"")</f>
        <v/>
      </c>
      <c r="C255" s="51" t="str">
        <f>IFERROR(IF(VLOOKUP(T_Equipement[[#This Row],[NumL]],T_suiviDi[#Data],COLUMN(T_suiviDi[Prénom]),FALSE)&lt;&gt;"",VLOOKUP(T_Equipement[[#This Row],[NumL]],T_suiviDi[#Data],COLUMN(T_suiviDi[Prénom]),FALSE),""),"")</f>
        <v/>
      </c>
      <c r="D255" s="52" t="str">
        <f>IFERROR(IF(VLOOKUP(T_Equipement[[#This Row],[NumL]],T_suiviDi[#Data],COLUMN(T_suiviDi[Email]),FALSE)&lt;&gt;"",VLOOKUP(T_Equipement[[#This Row],[NumL]],T_suiviDi[#Data],COLUMN(T_suiviDi[Email]),FALSE),""),"")</f>
        <v/>
      </c>
      <c r="E255" s="53" t="str">
        <f>IFERROR(IF(VLOOKUP(T_Equipement[[#This Row],[NumL]],T_suiviDi[#Data],COLUMN(T_suiviDi[Nom1]),FALSE)&lt;&gt;"",VLOOKUP(T_Equipement[[#This Row],[NumL]],T_suiviDi[#Data],COLUMN(T_suiviDi[Nom1]),FALSE),""),"")</f>
        <v/>
      </c>
      <c r="F255" s="53" t="str">
        <f>IFERROR(IF(VLOOKUP(T_Equipement[[#This Row],[NumL]],T_suiviDi[#Data],COLUMN(T_suiviDi[Prénom1]),FALSE)&lt;&gt;"",VLOOKUP(T_Equipement[[#This Row],[NumL]],T_suiviDi[#Data],COLUMN(T_suiviDi[Prénom1]),FALSE),""),"")</f>
        <v/>
      </c>
      <c r="G255" s="53" t="str">
        <f>IFERROR(IF(VLOOKUP(T_Equipement[[#This Row],[NumL]],T_suiviDi[#Data],COLUMN(T_suiviDi[Email1]),FALSE)&lt;&gt;"",VLOOKUP(T_Equipement[[#This Row],[NumL]],T_suiviDi[#Data],COLUMN(T_suiviDi[Email1]),FALSE),""),"")</f>
        <v/>
      </c>
      <c r="H255" s="59" t="s">
        <v>3278</v>
      </c>
      <c r="I255" s="61"/>
      <c r="J255" s="60" t="s">
        <v>3243</v>
      </c>
      <c r="K255" s="61"/>
      <c r="L255" s="62"/>
      <c r="M255" s="59"/>
      <c r="N255" s="59"/>
      <c r="O255" s="59"/>
      <c r="P255" s="59"/>
      <c r="Q255" s="59"/>
      <c r="R255" s="59"/>
      <c r="S255" s="61"/>
      <c r="T255" s="59" t="e">
        <f>VLOOKUP(T_Equipement[[#This Row],[NumL]],T_TraitDi[#Data],COLUMN(#REF!),FALSE)</f>
        <v>#REF!</v>
      </c>
    </row>
    <row r="256" spans="1:20" ht="24" customHeight="1" x14ac:dyDescent="0.25">
      <c r="A256" s="90">
        <v>40</v>
      </c>
      <c r="B256" s="51" t="str">
        <f>IFERROR(IF(VLOOKUP(T_Equipement[[#This Row],[NumL]],T_suiviDi[#Data],COLUMN(T_suiviDi[Nom]),FALSE)&lt;&gt;"",VLOOKUP(T_Equipement[[#This Row],[NumL]],T_suiviDi[#Data],COLUMN(T_suiviDi[Nom]),FALSE),""),"")</f>
        <v/>
      </c>
      <c r="C256" s="51" t="str">
        <f>IFERROR(IF(VLOOKUP(T_Equipement[[#This Row],[NumL]],T_suiviDi[#Data],COLUMN(T_suiviDi[Prénom]),FALSE)&lt;&gt;"",VLOOKUP(T_Equipement[[#This Row],[NumL]],T_suiviDi[#Data],COLUMN(T_suiviDi[Prénom]),FALSE),""),"")</f>
        <v/>
      </c>
      <c r="D256" s="52" t="str">
        <f>IFERROR(IF(VLOOKUP(T_Equipement[[#This Row],[NumL]],T_suiviDi[#Data],COLUMN(T_suiviDi[Email]),FALSE)&lt;&gt;"",VLOOKUP(T_Equipement[[#This Row],[NumL]],T_suiviDi[#Data],COLUMN(T_suiviDi[Email]),FALSE),""),"")</f>
        <v/>
      </c>
      <c r="E256" s="53" t="str">
        <f>IFERROR(IF(VLOOKUP(T_Equipement[[#This Row],[NumL]],T_suiviDi[#Data],COLUMN(T_suiviDi[Nom1]),FALSE)&lt;&gt;"",VLOOKUP(T_Equipement[[#This Row],[NumL]],T_suiviDi[#Data],COLUMN(T_suiviDi[Nom1]),FALSE),""),"")</f>
        <v/>
      </c>
      <c r="F256" s="53" t="str">
        <f>IFERROR(IF(VLOOKUP(T_Equipement[[#This Row],[NumL]],T_suiviDi[#Data],COLUMN(T_suiviDi[Prénom1]),FALSE)&lt;&gt;"",VLOOKUP(T_Equipement[[#This Row],[NumL]],T_suiviDi[#Data],COLUMN(T_suiviDi[Prénom1]),FALSE),""),"")</f>
        <v/>
      </c>
      <c r="G256" s="53" t="str">
        <f>IFERROR(IF(VLOOKUP(T_Equipement[[#This Row],[NumL]],T_suiviDi[#Data],COLUMN(T_suiviDi[Email1]),FALSE)&lt;&gt;"",VLOOKUP(T_Equipement[[#This Row],[NumL]],T_suiviDi[#Data],COLUMN(T_suiviDi[Email1]),FALSE),""),"")</f>
        <v/>
      </c>
      <c r="H256" s="59" t="s">
        <v>3277</v>
      </c>
      <c r="I256" s="61"/>
      <c r="J256" s="60" t="s">
        <v>3244</v>
      </c>
      <c r="K256" s="61"/>
      <c r="L256" s="62"/>
      <c r="M256" s="59"/>
      <c r="N256" s="59"/>
      <c r="O256" s="59"/>
      <c r="P256" s="59"/>
      <c r="Q256" s="59"/>
      <c r="R256" s="59"/>
      <c r="S256" s="61"/>
      <c r="T256" s="59" t="e">
        <f>VLOOKUP(T_Equipement[[#This Row],[NumL]],T_TraitDi[#Data],COLUMN(#REF!),FALSE)</f>
        <v>#REF!</v>
      </c>
    </row>
    <row r="257" spans="1:20" ht="24" customHeight="1" x14ac:dyDescent="0.25">
      <c r="A257" s="90">
        <v>318</v>
      </c>
      <c r="B257" s="51" t="str">
        <f>IFERROR(IF(VLOOKUP(T_Equipement[[#This Row],[NumL]],T_suiviDi[#Data],COLUMN(T_suiviDi[Nom]),FALSE)&lt;&gt;"",VLOOKUP(T_Equipement[[#This Row],[NumL]],T_suiviDi[#Data],COLUMN(T_suiviDi[Nom]),FALSE),""),"")</f>
        <v/>
      </c>
      <c r="C257" s="51" t="str">
        <f>IFERROR(IF(VLOOKUP(T_Equipement[[#This Row],[NumL]],T_suiviDi[#Data],COLUMN(T_suiviDi[Prénom]),FALSE)&lt;&gt;"",VLOOKUP(T_Equipement[[#This Row],[NumL]],T_suiviDi[#Data],COLUMN(T_suiviDi[Prénom]),FALSE),""),"")</f>
        <v/>
      </c>
      <c r="D257" s="52" t="str">
        <f>IFERROR(IF(VLOOKUP(T_Equipement[[#This Row],[NumL]],T_suiviDi[#Data],COLUMN(T_suiviDi[Email]),FALSE)&lt;&gt;"",VLOOKUP(T_Equipement[[#This Row],[NumL]],T_suiviDi[#Data],COLUMN(T_suiviDi[Email]),FALSE),""),"")</f>
        <v/>
      </c>
      <c r="E257" s="53" t="str">
        <f>IFERROR(IF(VLOOKUP(T_Equipement[[#This Row],[NumL]],T_suiviDi[#Data],COLUMN(T_suiviDi[Nom1]),FALSE)&lt;&gt;"",VLOOKUP(T_Equipement[[#This Row],[NumL]],T_suiviDi[#Data],COLUMN(T_suiviDi[Nom1]),FALSE),""),"")</f>
        <v/>
      </c>
      <c r="F257" s="53" t="str">
        <f>IFERROR(IF(VLOOKUP(T_Equipement[[#This Row],[NumL]],T_suiviDi[#Data],COLUMN(T_suiviDi[Prénom1]),FALSE)&lt;&gt;"",VLOOKUP(T_Equipement[[#This Row],[NumL]],T_suiviDi[#Data],COLUMN(T_suiviDi[Prénom1]),FALSE),""),"")</f>
        <v/>
      </c>
      <c r="G257" s="53" t="str">
        <f>IFERROR(IF(VLOOKUP(T_Equipement[[#This Row],[NumL]],T_suiviDi[#Data],COLUMN(T_suiviDi[Email1]),FALSE)&lt;&gt;"",VLOOKUP(T_Equipement[[#This Row],[NumL]],T_suiviDi[#Data],COLUMN(T_suiviDi[Email1]),FALSE),""),"")</f>
        <v/>
      </c>
      <c r="H257" s="59"/>
      <c r="I257" s="61"/>
      <c r="J257" s="60"/>
      <c r="K257" s="61"/>
      <c r="L257" s="62"/>
      <c r="M257" s="59"/>
      <c r="N257" s="59"/>
      <c r="O257" s="59"/>
      <c r="P257" s="59"/>
      <c r="Q257" s="59"/>
      <c r="R257" s="59"/>
      <c r="S257" s="61"/>
      <c r="T257" s="59"/>
    </row>
    <row r="258" spans="1:20" ht="24" customHeight="1" x14ac:dyDescent="0.25">
      <c r="A258" s="90">
        <v>292</v>
      </c>
      <c r="B258" s="51" t="str">
        <f>IFERROR(IF(VLOOKUP(T_Equipement[[#This Row],[NumL]],T_suiviDi[#Data],COLUMN(T_suiviDi[Nom]),FALSE)&lt;&gt;"",VLOOKUP(T_Equipement[[#This Row],[NumL]],T_suiviDi[#Data],COLUMN(T_suiviDi[Nom]),FALSE),""),"")</f>
        <v/>
      </c>
      <c r="C258" s="51" t="str">
        <f>IFERROR(IF(VLOOKUP(T_Equipement[[#This Row],[NumL]],T_suiviDi[#Data],COLUMN(T_suiviDi[Prénom]),FALSE)&lt;&gt;"",VLOOKUP(T_Equipement[[#This Row],[NumL]],T_suiviDi[#Data],COLUMN(T_suiviDi[Prénom]),FALSE),""),"")</f>
        <v/>
      </c>
      <c r="D258" s="52" t="str">
        <f>IFERROR(IF(VLOOKUP(T_Equipement[[#This Row],[NumL]],T_suiviDi[#Data],COLUMN(T_suiviDi[Email]),FALSE)&lt;&gt;"",VLOOKUP(T_Equipement[[#This Row],[NumL]],T_suiviDi[#Data],COLUMN(T_suiviDi[Email]),FALSE),""),"")</f>
        <v/>
      </c>
      <c r="E258" s="53" t="str">
        <f>IFERROR(IF(VLOOKUP(T_Equipement[[#This Row],[NumL]],T_suiviDi[#Data],COLUMN(T_suiviDi[Nom1]),FALSE)&lt;&gt;"",VLOOKUP(T_Equipement[[#This Row],[NumL]],T_suiviDi[#Data],COLUMN(T_suiviDi[Nom1]),FALSE),""),"")</f>
        <v/>
      </c>
      <c r="F258" s="53" t="str">
        <f>IFERROR(IF(VLOOKUP(T_Equipement[[#This Row],[NumL]],T_suiviDi[#Data],COLUMN(T_suiviDi[Prénom1]),FALSE)&lt;&gt;"",VLOOKUP(T_Equipement[[#This Row],[NumL]],T_suiviDi[#Data],COLUMN(T_suiviDi[Prénom1]),FALSE),""),"")</f>
        <v/>
      </c>
      <c r="G258" s="53" t="str">
        <f>IFERROR(IF(VLOOKUP(T_Equipement[[#This Row],[NumL]],T_suiviDi[#Data],COLUMN(T_suiviDi[Email1]),FALSE)&lt;&gt;"",VLOOKUP(T_Equipement[[#This Row],[NumL]],T_suiviDi[#Data],COLUMN(T_suiviDi[Email1]),FALSE),""),"")</f>
        <v/>
      </c>
      <c r="H258" s="59"/>
      <c r="I258" s="61"/>
      <c r="J258" s="60"/>
      <c r="K258" s="61"/>
      <c r="L258" s="62"/>
      <c r="M258" s="59"/>
      <c r="N258" s="59"/>
      <c r="O258" s="59"/>
      <c r="P258" s="59"/>
      <c r="Q258" s="59"/>
      <c r="R258" s="59"/>
      <c r="S258" s="61"/>
      <c r="T258" s="59"/>
    </row>
    <row r="259" spans="1:20" ht="24" customHeight="1" x14ac:dyDescent="0.25">
      <c r="A259" s="90">
        <v>20</v>
      </c>
      <c r="B259" s="51" t="str">
        <f>IFERROR(IF(VLOOKUP(T_Equipement[[#This Row],[NumL]],T_suiviDi[#Data],COLUMN(T_suiviDi[Nom]),FALSE)&lt;&gt;"",VLOOKUP(T_Equipement[[#This Row],[NumL]],T_suiviDi[#Data],COLUMN(T_suiviDi[Nom]),FALSE),""),"")</f>
        <v/>
      </c>
      <c r="C259" s="51" t="str">
        <f>IFERROR(IF(VLOOKUP(T_Equipement[[#This Row],[NumL]],T_suiviDi[#Data],COLUMN(T_suiviDi[Prénom]),FALSE)&lt;&gt;"",VLOOKUP(T_Equipement[[#This Row],[NumL]],T_suiviDi[#Data],COLUMN(T_suiviDi[Prénom]),FALSE),""),"")</f>
        <v/>
      </c>
      <c r="D259" s="52" t="str">
        <f>IFERROR(IF(VLOOKUP(T_Equipement[[#This Row],[NumL]],T_suiviDi[#Data],COLUMN(T_suiviDi[Email]),FALSE)&lt;&gt;"",VLOOKUP(T_Equipement[[#This Row],[NumL]],T_suiviDi[#Data],COLUMN(T_suiviDi[Email]),FALSE),""),"")</f>
        <v/>
      </c>
      <c r="E259" s="53" t="str">
        <f>IFERROR(IF(VLOOKUP(T_Equipement[[#This Row],[NumL]],T_suiviDi[#Data],COLUMN(T_suiviDi[Nom1]),FALSE)&lt;&gt;"",VLOOKUP(T_Equipement[[#This Row],[NumL]],T_suiviDi[#Data],COLUMN(T_suiviDi[Nom1]),FALSE),""),"")</f>
        <v/>
      </c>
      <c r="F259" s="53" t="str">
        <f>IFERROR(IF(VLOOKUP(T_Equipement[[#This Row],[NumL]],T_suiviDi[#Data],COLUMN(T_suiviDi[Prénom1]),FALSE)&lt;&gt;"",VLOOKUP(T_Equipement[[#This Row],[NumL]],T_suiviDi[#Data],COLUMN(T_suiviDi[Prénom1]),FALSE),""),"")</f>
        <v/>
      </c>
      <c r="G259" s="53" t="str">
        <f>IFERROR(IF(VLOOKUP(T_Equipement[[#This Row],[NumL]],T_suiviDi[#Data],COLUMN(T_suiviDi[Email1]),FALSE)&lt;&gt;"",VLOOKUP(T_Equipement[[#This Row],[NumL]],T_suiviDi[#Data],COLUMN(T_suiviDi[Email1]),FALSE),""),"")</f>
        <v/>
      </c>
      <c r="H259" s="59" t="s">
        <v>3277</v>
      </c>
      <c r="I259" s="61"/>
      <c r="J259" s="60" t="s">
        <v>3245</v>
      </c>
      <c r="K259" s="61"/>
      <c r="L259" s="62"/>
      <c r="M259" s="59"/>
      <c r="N259" s="59"/>
      <c r="O259" s="59"/>
      <c r="P259" s="59"/>
      <c r="Q259" s="59"/>
      <c r="R259" s="59"/>
      <c r="S259" s="61"/>
      <c r="T259" s="59" t="e">
        <f>VLOOKUP(T_Equipement[[#This Row],[NumL]],T_TraitDi[#Data],COLUMN(#REF!),FALSE)</f>
        <v>#REF!</v>
      </c>
    </row>
    <row r="260" spans="1:20" ht="24" customHeight="1" x14ac:dyDescent="0.25">
      <c r="A260" s="90">
        <v>102</v>
      </c>
      <c r="B260" s="51" t="str">
        <f>IFERROR(IF(VLOOKUP(T_Equipement[[#This Row],[NumL]],T_suiviDi[#Data],COLUMN(T_suiviDi[Nom]),FALSE)&lt;&gt;"",VLOOKUP(T_Equipement[[#This Row],[NumL]],T_suiviDi[#Data],COLUMN(T_suiviDi[Nom]),FALSE),""),"")</f>
        <v/>
      </c>
      <c r="C260" s="51" t="str">
        <f>IFERROR(IF(VLOOKUP(T_Equipement[[#This Row],[NumL]],T_suiviDi[#Data],COLUMN(T_suiviDi[Prénom]),FALSE)&lt;&gt;"",VLOOKUP(T_Equipement[[#This Row],[NumL]],T_suiviDi[#Data],COLUMN(T_suiviDi[Prénom]),FALSE),""),"")</f>
        <v/>
      </c>
      <c r="D260" s="52" t="str">
        <f>IFERROR(IF(VLOOKUP(T_Equipement[[#This Row],[NumL]],T_suiviDi[#Data],COLUMN(T_suiviDi[Email]),FALSE)&lt;&gt;"",VLOOKUP(T_Equipement[[#This Row],[NumL]],T_suiviDi[#Data],COLUMN(T_suiviDi[Email]),FALSE),""),"")</f>
        <v/>
      </c>
      <c r="E260" s="53" t="str">
        <f>IFERROR(IF(VLOOKUP(T_Equipement[[#This Row],[NumL]],T_suiviDi[#Data],COLUMN(T_suiviDi[Nom1]),FALSE)&lt;&gt;"",VLOOKUP(T_Equipement[[#This Row],[NumL]],T_suiviDi[#Data],COLUMN(T_suiviDi[Nom1]),FALSE),""),"")</f>
        <v/>
      </c>
      <c r="F260" s="53" t="str">
        <f>IFERROR(IF(VLOOKUP(T_Equipement[[#This Row],[NumL]],T_suiviDi[#Data],COLUMN(T_suiviDi[Prénom1]),FALSE)&lt;&gt;"",VLOOKUP(T_Equipement[[#This Row],[NumL]],T_suiviDi[#Data],COLUMN(T_suiviDi[Prénom1]),FALSE),""),"")</f>
        <v/>
      </c>
      <c r="G260" s="53" t="str">
        <f>IFERROR(IF(VLOOKUP(T_Equipement[[#This Row],[NumL]],T_suiviDi[#Data],COLUMN(T_suiviDi[Email1]),FALSE)&lt;&gt;"",VLOOKUP(T_Equipement[[#This Row],[NumL]],T_suiviDi[#Data],COLUMN(T_suiviDi[Email1]),FALSE),""),"")</f>
        <v/>
      </c>
      <c r="H260" s="59" t="s">
        <v>3277</v>
      </c>
      <c r="I260" s="251">
        <v>44165</v>
      </c>
      <c r="J260" s="60" t="s">
        <v>3246</v>
      </c>
      <c r="K260" s="61"/>
      <c r="L260" s="62"/>
      <c r="M260" s="59"/>
      <c r="N260" s="59"/>
      <c r="O260" s="59"/>
      <c r="P260" s="59"/>
      <c r="Q260" s="59"/>
      <c r="R260" s="59"/>
      <c r="S260" s="61"/>
      <c r="T260" s="59" t="e">
        <f>VLOOKUP(T_Equipement[[#This Row],[NumL]],T_TraitDi[#Data],COLUMN(#REF!),FALSE)</f>
        <v>#REF!</v>
      </c>
    </row>
    <row r="261" spans="1:20" ht="24" customHeight="1" x14ac:dyDescent="0.25">
      <c r="A261" s="90">
        <v>104</v>
      </c>
      <c r="B261" s="51" t="str">
        <f>IFERROR(IF(VLOOKUP(T_Equipement[[#This Row],[NumL]],T_suiviDi[#Data],COLUMN(T_suiviDi[Nom]),FALSE)&lt;&gt;"",VLOOKUP(T_Equipement[[#This Row],[NumL]],T_suiviDi[#Data],COLUMN(T_suiviDi[Nom]),FALSE),""),"")</f>
        <v/>
      </c>
      <c r="C261" s="51" t="str">
        <f>IFERROR(IF(VLOOKUP(T_Equipement[[#This Row],[NumL]],T_suiviDi[#Data],COLUMN(T_suiviDi[Prénom]),FALSE)&lt;&gt;"",VLOOKUP(T_Equipement[[#This Row],[NumL]],T_suiviDi[#Data],COLUMN(T_suiviDi[Prénom]),FALSE),""),"")</f>
        <v/>
      </c>
      <c r="D261" s="52" t="str">
        <f>IFERROR(IF(VLOOKUP(T_Equipement[[#This Row],[NumL]],T_suiviDi[#Data],COLUMN(T_suiviDi[Email]),FALSE)&lt;&gt;"",VLOOKUP(T_Equipement[[#This Row],[NumL]],T_suiviDi[#Data],COLUMN(T_suiviDi[Email]),FALSE),""),"")</f>
        <v/>
      </c>
      <c r="E261" s="53" t="str">
        <f>IFERROR(IF(VLOOKUP(T_Equipement[[#This Row],[NumL]],T_suiviDi[#Data],COLUMN(T_suiviDi[Nom1]),FALSE)&lt;&gt;"",VLOOKUP(T_Equipement[[#This Row],[NumL]],T_suiviDi[#Data],COLUMN(T_suiviDi[Nom1]),FALSE),""),"")</f>
        <v/>
      </c>
      <c r="F261" s="53" t="str">
        <f>IFERROR(IF(VLOOKUP(T_Equipement[[#This Row],[NumL]],T_suiviDi[#Data],COLUMN(T_suiviDi[Prénom1]),FALSE)&lt;&gt;"",VLOOKUP(T_Equipement[[#This Row],[NumL]],T_suiviDi[#Data],COLUMN(T_suiviDi[Prénom1]),FALSE),""),"")</f>
        <v/>
      </c>
      <c r="G261" s="53" t="str">
        <f>IFERROR(IF(VLOOKUP(T_Equipement[[#This Row],[NumL]],T_suiviDi[#Data],COLUMN(T_suiviDi[Email1]),FALSE)&lt;&gt;"",VLOOKUP(T_Equipement[[#This Row],[NumL]],T_suiviDi[#Data],COLUMN(T_suiviDi[Email1]),FALSE),""),"")</f>
        <v/>
      </c>
      <c r="H261" s="59" t="s">
        <v>3277</v>
      </c>
      <c r="I261" s="251">
        <v>44165</v>
      </c>
      <c r="J261" s="60" t="s">
        <v>3247</v>
      </c>
      <c r="K261" s="61"/>
      <c r="L261" s="62"/>
      <c r="M261" s="59"/>
      <c r="N261" s="59"/>
      <c r="O261" s="59"/>
      <c r="P261" s="59"/>
      <c r="Q261" s="59"/>
      <c r="R261" s="59"/>
      <c r="S261" s="61"/>
      <c r="T261" s="59" t="e">
        <f>VLOOKUP(T_Equipement[[#This Row],[NumL]],T_TraitDi[#Data],COLUMN(#REF!),FALSE)</f>
        <v>#REF!</v>
      </c>
    </row>
    <row r="262" spans="1:20" ht="24" customHeight="1" x14ac:dyDescent="0.25">
      <c r="A262" s="90">
        <v>269</v>
      </c>
      <c r="B262" s="51" t="str">
        <f>IFERROR(IF(VLOOKUP(T_Equipement[[#This Row],[NumL]],T_suiviDi[#Data],COLUMN(T_suiviDi[Nom]),FALSE)&lt;&gt;"",VLOOKUP(T_Equipement[[#This Row],[NumL]],T_suiviDi[#Data],COLUMN(T_suiviDi[Nom]),FALSE),""),"")</f>
        <v/>
      </c>
      <c r="C262" s="51" t="str">
        <f>IFERROR(IF(VLOOKUP(T_Equipement[[#This Row],[NumL]],T_suiviDi[#Data],COLUMN(T_suiviDi[Prénom]),FALSE)&lt;&gt;"",VLOOKUP(T_Equipement[[#This Row],[NumL]],T_suiviDi[#Data],COLUMN(T_suiviDi[Prénom]),FALSE),""),"")</f>
        <v/>
      </c>
      <c r="D262" s="52" t="str">
        <f>IFERROR(IF(VLOOKUP(T_Equipement[[#This Row],[NumL]],T_suiviDi[#Data],COLUMN(T_suiviDi[Email]),FALSE)&lt;&gt;"",VLOOKUP(T_Equipement[[#This Row],[NumL]],T_suiviDi[#Data],COLUMN(T_suiviDi[Email]),FALSE),""),"")</f>
        <v/>
      </c>
      <c r="E262" s="53" t="str">
        <f>IFERROR(IF(VLOOKUP(T_Equipement[[#This Row],[NumL]],T_suiviDi[#Data],COLUMN(T_suiviDi[Nom1]),FALSE)&lt;&gt;"",VLOOKUP(T_Equipement[[#This Row],[NumL]],T_suiviDi[#Data],COLUMN(T_suiviDi[Nom1]),FALSE),""),"")</f>
        <v/>
      </c>
      <c r="F262" s="53" t="str">
        <f>IFERROR(IF(VLOOKUP(T_Equipement[[#This Row],[NumL]],T_suiviDi[#Data],COLUMN(T_suiviDi[Prénom1]),FALSE)&lt;&gt;"",VLOOKUP(T_Equipement[[#This Row],[NumL]],T_suiviDi[#Data],COLUMN(T_suiviDi[Prénom1]),FALSE),""),"")</f>
        <v/>
      </c>
      <c r="G262" s="53" t="str">
        <f>IFERROR(IF(VLOOKUP(T_Equipement[[#This Row],[NumL]],T_suiviDi[#Data],COLUMN(T_suiviDi[Email1]),FALSE)&lt;&gt;"",VLOOKUP(T_Equipement[[#This Row],[NumL]],T_suiviDi[#Data],COLUMN(T_suiviDi[Email1]),FALSE),""),"")</f>
        <v/>
      </c>
      <c r="H262" s="59" t="s">
        <v>3362</v>
      </c>
      <c r="I262" s="251">
        <v>44165</v>
      </c>
      <c r="J262" s="60" t="s">
        <v>3248</v>
      </c>
      <c r="K262" s="61"/>
      <c r="L262" s="62"/>
      <c r="M262" s="59"/>
      <c r="N262" s="59"/>
      <c r="O262" s="59"/>
      <c r="P262" s="59"/>
      <c r="Q262" s="59"/>
      <c r="R262" s="59"/>
      <c r="S262" s="61"/>
      <c r="T262" s="59" t="e">
        <f>VLOOKUP(T_Equipement[[#This Row],[NumL]],T_TraitDi[#Data],COLUMN(#REF!),FALSE)</f>
        <v>#REF!</v>
      </c>
    </row>
    <row r="263" spans="1:20" ht="24" customHeight="1" x14ac:dyDescent="0.25">
      <c r="A263" s="90">
        <v>249</v>
      </c>
      <c r="B263" s="51" t="str">
        <f>IFERROR(IF(VLOOKUP(T_Equipement[[#This Row],[NumL]],T_suiviDi[#Data],COLUMN(T_suiviDi[Nom]),FALSE)&lt;&gt;"",VLOOKUP(T_Equipement[[#This Row],[NumL]],T_suiviDi[#Data],COLUMN(T_suiviDi[Nom]),FALSE),""),"")</f>
        <v/>
      </c>
      <c r="C263" s="51" t="str">
        <f>IFERROR(IF(VLOOKUP(T_Equipement[[#This Row],[NumL]],T_suiviDi[#Data],COLUMN(T_suiviDi[Prénom]),FALSE)&lt;&gt;"",VLOOKUP(T_Equipement[[#This Row],[NumL]],T_suiviDi[#Data],COLUMN(T_suiviDi[Prénom]),FALSE),""),"")</f>
        <v/>
      </c>
      <c r="D263" s="52" t="str">
        <f>IFERROR(IF(VLOOKUP(T_Equipement[[#This Row],[NumL]],T_suiviDi[#Data],COLUMN(T_suiviDi[Email]),FALSE)&lt;&gt;"",VLOOKUP(T_Equipement[[#This Row],[NumL]],T_suiviDi[#Data],COLUMN(T_suiviDi[Email]),FALSE),""),"")</f>
        <v/>
      </c>
      <c r="E263" s="53" t="str">
        <f>IFERROR(IF(VLOOKUP(T_Equipement[[#This Row],[NumL]],T_suiviDi[#Data],COLUMN(T_suiviDi[Nom1]),FALSE)&lt;&gt;"",VLOOKUP(T_Equipement[[#This Row],[NumL]],T_suiviDi[#Data],COLUMN(T_suiviDi[Nom1]),FALSE),""),"")</f>
        <v/>
      </c>
      <c r="F263" s="53" t="str">
        <f>IFERROR(IF(VLOOKUP(T_Equipement[[#This Row],[NumL]],T_suiviDi[#Data],COLUMN(T_suiviDi[Prénom1]),FALSE)&lt;&gt;"",VLOOKUP(T_Equipement[[#This Row],[NumL]],T_suiviDi[#Data],COLUMN(T_suiviDi[Prénom1]),FALSE),""),"")</f>
        <v/>
      </c>
      <c r="G263" s="53" t="str">
        <f>IFERROR(IF(VLOOKUP(T_Equipement[[#This Row],[NumL]],T_suiviDi[#Data],COLUMN(T_suiviDi[Email1]),FALSE)&lt;&gt;"",VLOOKUP(T_Equipement[[#This Row],[NumL]],T_suiviDi[#Data],COLUMN(T_suiviDi[Email1]),FALSE),""),"")</f>
        <v/>
      </c>
      <c r="H263" s="59" t="s">
        <v>3278</v>
      </c>
      <c r="I263" s="251"/>
      <c r="J263" s="60" t="s">
        <v>3249</v>
      </c>
      <c r="K263" s="61"/>
      <c r="L263" s="62"/>
      <c r="M263" s="59"/>
      <c r="N263" s="59"/>
      <c r="O263" s="59"/>
      <c r="P263" s="59"/>
      <c r="Q263" s="59"/>
      <c r="R263" s="59"/>
      <c r="S263" s="61"/>
      <c r="T263" s="59" t="e">
        <f>VLOOKUP(T_Equipement[[#This Row],[NumL]],T_TraitDi[#Data],COLUMN(#REF!),FALSE)</f>
        <v>#REF!</v>
      </c>
    </row>
    <row r="264" spans="1:20" ht="24" customHeight="1" x14ac:dyDescent="0.25">
      <c r="A264" s="90">
        <v>293</v>
      </c>
      <c r="B264" s="51" t="str">
        <f>IFERROR(IF(VLOOKUP(T_Equipement[[#This Row],[NumL]],T_suiviDi[#Data],COLUMN(T_suiviDi[Nom]),FALSE)&lt;&gt;"",VLOOKUP(T_Equipement[[#This Row],[NumL]],T_suiviDi[#Data],COLUMN(T_suiviDi[Nom]),FALSE),""),"")</f>
        <v/>
      </c>
      <c r="C264" s="51" t="str">
        <f>IFERROR(IF(VLOOKUP(T_Equipement[[#This Row],[NumL]],T_suiviDi[#Data],COLUMN(T_suiviDi[Prénom]),FALSE)&lt;&gt;"",VLOOKUP(T_Equipement[[#This Row],[NumL]],T_suiviDi[#Data],COLUMN(T_suiviDi[Prénom]),FALSE),""),"")</f>
        <v/>
      </c>
      <c r="D264" s="52" t="str">
        <f>IFERROR(IF(VLOOKUP(T_Equipement[[#This Row],[NumL]],T_suiviDi[#Data],COLUMN(T_suiviDi[Email]),FALSE)&lt;&gt;"",VLOOKUP(T_Equipement[[#This Row],[NumL]],T_suiviDi[#Data],COLUMN(T_suiviDi[Email]),FALSE),""),"")</f>
        <v/>
      </c>
      <c r="E264" s="53" t="str">
        <f>IFERROR(IF(VLOOKUP(T_Equipement[[#This Row],[NumL]],T_suiviDi[#Data],COLUMN(T_suiviDi[Nom1]),FALSE)&lt;&gt;"",VLOOKUP(T_Equipement[[#This Row],[NumL]],T_suiviDi[#Data],COLUMN(T_suiviDi[Nom1]),FALSE),""),"")</f>
        <v/>
      </c>
      <c r="F264" s="53" t="str">
        <f>IFERROR(IF(VLOOKUP(T_Equipement[[#This Row],[NumL]],T_suiviDi[#Data],COLUMN(T_suiviDi[Prénom1]),FALSE)&lt;&gt;"",VLOOKUP(T_Equipement[[#This Row],[NumL]],T_suiviDi[#Data],COLUMN(T_suiviDi[Prénom1]),FALSE),""),"")</f>
        <v/>
      </c>
      <c r="G264" s="53" t="str">
        <f>IFERROR(IF(VLOOKUP(T_Equipement[[#This Row],[NumL]],T_suiviDi[#Data],COLUMN(T_suiviDi[Email1]),FALSE)&lt;&gt;"",VLOOKUP(T_Equipement[[#This Row],[NumL]],T_suiviDi[#Data],COLUMN(T_suiviDi[Email1]),FALSE),""),"")</f>
        <v/>
      </c>
      <c r="H264" s="59"/>
      <c r="I264" s="61"/>
      <c r="J264" s="60"/>
      <c r="K264" s="61"/>
      <c r="L264" s="62"/>
      <c r="M264" s="59"/>
      <c r="N264" s="59"/>
      <c r="O264" s="59"/>
      <c r="P264" s="59"/>
      <c r="Q264" s="59"/>
      <c r="R264" s="59"/>
      <c r="S264" s="61"/>
      <c r="T264" s="59"/>
    </row>
    <row r="265" spans="1:20" ht="24" customHeight="1" x14ac:dyDescent="0.25">
      <c r="A265" s="90">
        <v>345</v>
      </c>
      <c r="B265" s="51" t="str">
        <f>IFERROR(IF(VLOOKUP(T_Equipement[[#This Row],[NumL]],T_suiviDi[#Data],COLUMN(T_suiviDi[Nom]),FALSE)&lt;&gt;"",VLOOKUP(T_Equipement[[#This Row],[NumL]],T_suiviDi[#Data],COLUMN(T_suiviDi[Nom]),FALSE),""),"")</f>
        <v/>
      </c>
      <c r="C265" s="51" t="str">
        <f>IFERROR(IF(VLOOKUP(T_Equipement[[#This Row],[NumL]],T_suiviDi[#Data],COLUMN(T_suiviDi[Prénom]),FALSE)&lt;&gt;"",VLOOKUP(T_Equipement[[#This Row],[NumL]],T_suiviDi[#Data],COLUMN(T_suiviDi[Prénom]),FALSE),""),"")</f>
        <v/>
      </c>
      <c r="D265" s="52" t="str">
        <f>IFERROR(IF(VLOOKUP(T_Equipement[[#This Row],[NumL]],T_suiviDi[#Data],COLUMN(T_suiviDi[Email]),FALSE)&lt;&gt;"",VLOOKUP(T_Equipement[[#This Row],[NumL]],T_suiviDi[#Data],COLUMN(T_suiviDi[Email]),FALSE),""),"")</f>
        <v/>
      </c>
      <c r="E265" s="53" t="str">
        <f>IFERROR(IF(VLOOKUP(T_Equipement[[#This Row],[NumL]],T_suiviDi[#Data],COLUMN(T_suiviDi[Nom1]),FALSE)&lt;&gt;"",VLOOKUP(T_Equipement[[#This Row],[NumL]],T_suiviDi[#Data],COLUMN(T_suiviDi[Nom1]),FALSE),""),"")</f>
        <v/>
      </c>
      <c r="F265" s="53" t="str">
        <f>IFERROR(IF(VLOOKUP(T_Equipement[[#This Row],[NumL]],T_suiviDi[#Data],COLUMN(T_suiviDi[Prénom1]),FALSE)&lt;&gt;"",VLOOKUP(T_Equipement[[#This Row],[NumL]],T_suiviDi[#Data],COLUMN(T_suiviDi[Prénom1]),FALSE),""),"")</f>
        <v/>
      </c>
      <c r="G265" s="53" t="str">
        <f>IFERROR(IF(VLOOKUP(T_Equipement[[#This Row],[NumL]],T_suiviDi[#Data],COLUMN(T_suiviDi[Email1]),FALSE)&lt;&gt;"",VLOOKUP(T_Equipement[[#This Row],[NumL]],T_suiviDi[#Data],COLUMN(T_suiviDi[Email1]),FALSE),""),"")</f>
        <v/>
      </c>
      <c r="H265" s="59"/>
      <c r="I265" s="61"/>
      <c r="J265" s="60"/>
      <c r="K265" s="61"/>
      <c r="L265" s="62"/>
      <c r="M265" s="59"/>
      <c r="N265" s="59"/>
      <c r="O265" s="59"/>
      <c r="P265" s="59"/>
      <c r="Q265" s="59"/>
      <c r="R265" s="59"/>
      <c r="S265" s="61"/>
      <c r="T265" s="59"/>
    </row>
    <row r="266" spans="1:20" ht="24" customHeight="1" x14ac:dyDescent="0.25">
      <c r="A266" s="90">
        <v>25</v>
      </c>
      <c r="B266" s="51" t="str">
        <f>IFERROR(IF(VLOOKUP(T_Equipement[[#This Row],[NumL]],T_suiviDi[#Data],COLUMN(T_suiviDi[Nom]),FALSE)&lt;&gt;"",VLOOKUP(T_Equipement[[#This Row],[NumL]],T_suiviDi[#Data],COLUMN(T_suiviDi[Nom]),FALSE),""),"")</f>
        <v/>
      </c>
      <c r="C266" s="51" t="str">
        <f>IFERROR(IF(VLOOKUP(T_Equipement[[#This Row],[NumL]],T_suiviDi[#Data],COLUMN(T_suiviDi[Prénom]),FALSE)&lt;&gt;"",VLOOKUP(T_Equipement[[#This Row],[NumL]],T_suiviDi[#Data],COLUMN(T_suiviDi[Prénom]),FALSE),""),"")</f>
        <v/>
      </c>
      <c r="D266" s="52" t="str">
        <f>IFERROR(IF(VLOOKUP(T_Equipement[[#This Row],[NumL]],T_suiviDi[#Data],COLUMN(T_suiviDi[Email]),FALSE)&lt;&gt;"",VLOOKUP(T_Equipement[[#This Row],[NumL]],T_suiviDi[#Data],COLUMN(T_suiviDi[Email]),FALSE),""),"")</f>
        <v/>
      </c>
      <c r="E266" s="53" t="str">
        <f>IFERROR(IF(VLOOKUP(T_Equipement[[#This Row],[NumL]],T_suiviDi[#Data],COLUMN(T_suiviDi[Nom1]),FALSE)&lt;&gt;"",VLOOKUP(T_Equipement[[#This Row],[NumL]],T_suiviDi[#Data],COLUMN(T_suiviDi[Nom1]),FALSE),""),"")</f>
        <v/>
      </c>
      <c r="F266" s="53" t="str">
        <f>IFERROR(IF(VLOOKUP(T_Equipement[[#This Row],[NumL]],T_suiviDi[#Data],COLUMN(T_suiviDi[Prénom1]),FALSE)&lt;&gt;"",VLOOKUP(T_Equipement[[#This Row],[NumL]],T_suiviDi[#Data],COLUMN(T_suiviDi[Prénom1]),FALSE),""),"")</f>
        <v/>
      </c>
      <c r="G266" s="53" t="str">
        <f>IFERROR(IF(VLOOKUP(T_Equipement[[#This Row],[NumL]],T_suiviDi[#Data],COLUMN(T_suiviDi[Email1]),FALSE)&lt;&gt;"",VLOOKUP(T_Equipement[[#This Row],[NumL]],T_suiviDi[#Data],COLUMN(T_suiviDi[Email1]),FALSE),""),"")</f>
        <v/>
      </c>
      <c r="H266" s="59"/>
      <c r="I266" s="61"/>
      <c r="J266" s="60" t="s">
        <v>3250</v>
      </c>
      <c r="K266" s="61"/>
      <c r="L266" s="62"/>
      <c r="M266" s="59"/>
      <c r="N266" s="59"/>
      <c r="O266" s="59"/>
      <c r="P266" s="59"/>
      <c r="Q266" s="59"/>
      <c r="R266" s="59"/>
      <c r="S266" s="61"/>
      <c r="T266" s="59" t="e">
        <f>VLOOKUP(T_Equipement[[#This Row],[NumL]],T_TraitDi[#Data],COLUMN(#REF!),FALSE)</f>
        <v>#REF!</v>
      </c>
    </row>
    <row r="267" spans="1:20" ht="24" customHeight="1" x14ac:dyDescent="0.25">
      <c r="A267" s="90">
        <v>180</v>
      </c>
      <c r="B267" s="51" t="str">
        <f>IFERROR(IF(VLOOKUP(T_Equipement[[#This Row],[NumL]],T_suiviDi[#Data],COLUMN(T_suiviDi[Nom]),FALSE)&lt;&gt;"",VLOOKUP(T_Equipement[[#This Row],[NumL]],T_suiviDi[#Data],COLUMN(T_suiviDi[Nom]),FALSE),""),"")</f>
        <v/>
      </c>
      <c r="C267" s="51" t="str">
        <f>IFERROR(IF(VLOOKUP(T_Equipement[[#This Row],[NumL]],T_suiviDi[#Data],COLUMN(T_suiviDi[Prénom]),FALSE)&lt;&gt;"",VLOOKUP(T_Equipement[[#This Row],[NumL]],T_suiviDi[#Data],COLUMN(T_suiviDi[Prénom]),FALSE),""),"")</f>
        <v/>
      </c>
      <c r="D267" s="52" t="str">
        <f>IFERROR(IF(VLOOKUP(T_Equipement[[#This Row],[NumL]],T_suiviDi[#Data],COLUMN(T_suiviDi[Email]),FALSE)&lt;&gt;"",VLOOKUP(T_Equipement[[#This Row],[NumL]],T_suiviDi[#Data],COLUMN(T_suiviDi[Email]),FALSE),""),"")</f>
        <v/>
      </c>
      <c r="E267" s="53" t="str">
        <f>IFERROR(IF(VLOOKUP(T_Equipement[[#This Row],[NumL]],T_suiviDi[#Data],COLUMN(T_suiviDi[Nom1]),FALSE)&lt;&gt;"",VLOOKUP(T_Equipement[[#This Row],[NumL]],T_suiviDi[#Data],COLUMN(T_suiviDi[Nom1]),FALSE),""),"")</f>
        <v/>
      </c>
      <c r="F267" s="53" t="str">
        <f>IFERROR(IF(VLOOKUP(T_Equipement[[#This Row],[NumL]],T_suiviDi[#Data],COLUMN(T_suiviDi[Prénom1]),FALSE)&lt;&gt;"",VLOOKUP(T_Equipement[[#This Row],[NumL]],T_suiviDi[#Data],COLUMN(T_suiviDi[Prénom1]),FALSE),""),"")</f>
        <v/>
      </c>
      <c r="G267" s="53" t="str">
        <f>IFERROR(IF(VLOOKUP(T_Equipement[[#This Row],[NumL]],T_suiviDi[#Data],COLUMN(T_suiviDi[Email1]),FALSE)&lt;&gt;"",VLOOKUP(T_Equipement[[#This Row],[NumL]],T_suiviDi[#Data],COLUMN(T_suiviDi[Email1]),FALSE),""),"")</f>
        <v/>
      </c>
      <c r="H267" s="59" t="s">
        <v>3277</v>
      </c>
      <c r="I267" s="61"/>
      <c r="J267" s="60" t="s">
        <v>3251</v>
      </c>
      <c r="K267" s="61"/>
      <c r="L267" s="62"/>
      <c r="M267" s="59"/>
      <c r="N267" s="59"/>
      <c r="O267" s="59"/>
      <c r="P267" s="59"/>
      <c r="Q267" s="59"/>
      <c r="R267" s="59"/>
      <c r="S267" s="61"/>
      <c r="T267" s="59" t="e">
        <f>VLOOKUP(T_Equipement[[#This Row],[NumL]],T_TraitDi[#Data],COLUMN(#REF!),FALSE)</f>
        <v>#REF!</v>
      </c>
    </row>
    <row r="268" spans="1:20" ht="24" customHeight="1" x14ac:dyDescent="0.25">
      <c r="A268" s="90">
        <v>117</v>
      </c>
      <c r="B268" s="51" t="str">
        <f>IFERROR(IF(VLOOKUP(T_Equipement[[#This Row],[NumL]],T_suiviDi[#Data],COLUMN(T_suiviDi[Nom]),FALSE)&lt;&gt;"",VLOOKUP(T_Equipement[[#This Row],[NumL]],T_suiviDi[#Data],COLUMN(T_suiviDi[Nom]),FALSE),""),"")</f>
        <v/>
      </c>
      <c r="C268" s="51" t="str">
        <f>IFERROR(IF(VLOOKUP(T_Equipement[[#This Row],[NumL]],T_suiviDi[#Data],COLUMN(T_suiviDi[Prénom]),FALSE)&lt;&gt;"",VLOOKUP(T_Equipement[[#This Row],[NumL]],T_suiviDi[#Data],COLUMN(T_suiviDi[Prénom]),FALSE),""),"")</f>
        <v/>
      </c>
      <c r="D268" s="52" t="str">
        <f>IFERROR(IF(VLOOKUP(T_Equipement[[#This Row],[NumL]],T_suiviDi[#Data],COLUMN(T_suiviDi[Email]),FALSE)&lt;&gt;"",VLOOKUP(T_Equipement[[#This Row],[NumL]],T_suiviDi[#Data],COLUMN(T_suiviDi[Email]),FALSE),""),"")</f>
        <v/>
      </c>
      <c r="E268" s="53" t="str">
        <f>IFERROR(IF(VLOOKUP(T_Equipement[[#This Row],[NumL]],T_suiviDi[#Data],COLUMN(T_suiviDi[Nom1]),FALSE)&lt;&gt;"",VLOOKUP(T_Equipement[[#This Row],[NumL]],T_suiviDi[#Data],COLUMN(T_suiviDi[Nom1]),FALSE),""),"")</f>
        <v/>
      </c>
      <c r="F268" s="53" t="str">
        <f>IFERROR(IF(VLOOKUP(T_Equipement[[#This Row],[NumL]],T_suiviDi[#Data],COLUMN(T_suiviDi[Prénom1]),FALSE)&lt;&gt;"",VLOOKUP(T_Equipement[[#This Row],[NumL]],T_suiviDi[#Data],COLUMN(T_suiviDi[Prénom1]),FALSE),""),"")</f>
        <v/>
      </c>
      <c r="G268" s="53" t="str">
        <f>IFERROR(IF(VLOOKUP(T_Equipement[[#This Row],[NumL]],T_suiviDi[#Data],COLUMN(T_suiviDi[Email1]),FALSE)&lt;&gt;"",VLOOKUP(T_Equipement[[#This Row],[NumL]],T_suiviDi[#Data],COLUMN(T_suiviDi[Email1]),FALSE),""),"")</f>
        <v/>
      </c>
      <c r="H268" s="59" t="s">
        <v>3277</v>
      </c>
      <c r="I268" s="251">
        <v>44165</v>
      </c>
      <c r="J268" s="60" t="s">
        <v>3252</v>
      </c>
      <c r="K268" s="61"/>
      <c r="L268" s="62"/>
      <c r="M268" s="59"/>
      <c r="N268" s="59"/>
      <c r="O268" s="59"/>
      <c r="P268" s="59"/>
      <c r="Q268" s="59"/>
      <c r="R268" s="59"/>
      <c r="S268" s="61"/>
      <c r="T268" s="59" t="e">
        <f>VLOOKUP(T_Equipement[[#This Row],[NumL]],T_TraitDi[#Data],COLUMN(#REF!),FALSE)</f>
        <v>#REF!</v>
      </c>
    </row>
    <row r="269" spans="1:20" ht="24" customHeight="1" x14ac:dyDescent="0.25">
      <c r="A269" s="90">
        <v>253</v>
      </c>
      <c r="B269" s="51" t="str">
        <f>IFERROR(IF(VLOOKUP(T_Equipement[[#This Row],[NumL]],T_suiviDi[#Data],COLUMN(T_suiviDi[Nom]),FALSE)&lt;&gt;"",VLOOKUP(T_Equipement[[#This Row],[NumL]],T_suiviDi[#Data],COLUMN(T_suiviDi[Nom]),FALSE),""),"")</f>
        <v/>
      </c>
      <c r="C269" s="51" t="str">
        <f>IFERROR(IF(VLOOKUP(T_Equipement[[#This Row],[NumL]],T_suiviDi[#Data],COLUMN(T_suiviDi[Prénom]),FALSE)&lt;&gt;"",VLOOKUP(T_Equipement[[#This Row],[NumL]],T_suiviDi[#Data],COLUMN(T_suiviDi[Prénom]),FALSE),""),"")</f>
        <v/>
      </c>
      <c r="D269" s="52" t="str">
        <f>IFERROR(IF(VLOOKUP(T_Equipement[[#This Row],[NumL]],T_suiviDi[#Data],COLUMN(T_suiviDi[Email]),FALSE)&lt;&gt;"",VLOOKUP(T_Equipement[[#This Row],[NumL]],T_suiviDi[#Data],COLUMN(T_suiviDi[Email]),FALSE),""),"")</f>
        <v/>
      </c>
      <c r="E269" s="53" t="str">
        <f>IFERROR(IF(VLOOKUP(T_Equipement[[#This Row],[NumL]],T_suiviDi[#Data],COLUMN(T_suiviDi[Nom1]),FALSE)&lt;&gt;"",VLOOKUP(T_Equipement[[#This Row],[NumL]],T_suiviDi[#Data],COLUMN(T_suiviDi[Nom1]),FALSE),""),"")</f>
        <v/>
      </c>
      <c r="F269" s="53" t="str">
        <f>IFERROR(IF(VLOOKUP(T_Equipement[[#This Row],[NumL]],T_suiviDi[#Data],COLUMN(T_suiviDi[Prénom1]),FALSE)&lt;&gt;"",VLOOKUP(T_Equipement[[#This Row],[NumL]],T_suiviDi[#Data],COLUMN(T_suiviDi[Prénom1]),FALSE),""),"")</f>
        <v/>
      </c>
      <c r="G269" s="53" t="str">
        <f>IFERROR(IF(VLOOKUP(T_Equipement[[#This Row],[NumL]],T_suiviDi[#Data],COLUMN(T_suiviDi[Email1]),FALSE)&lt;&gt;"",VLOOKUP(T_Equipement[[#This Row],[NumL]],T_suiviDi[#Data],COLUMN(T_suiviDi[Email1]),FALSE),""),"")</f>
        <v/>
      </c>
      <c r="H269" s="59" t="s">
        <v>3278</v>
      </c>
      <c r="I269" s="61"/>
      <c r="J269" s="60" t="s">
        <v>3253</v>
      </c>
      <c r="K269" s="61"/>
      <c r="L269" s="62"/>
      <c r="M269" s="59"/>
      <c r="N269" s="59"/>
      <c r="O269" s="59"/>
      <c r="P269" s="59"/>
      <c r="Q269" s="59"/>
      <c r="R269" s="59"/>
      <c r="S269" s="61"/>
      <c r="T269" s="59" t="e">
        <f>VLOOKUP(T_Equipement[[#This Row],[NumL]],T_TraitDi[#Data],COLUMN(#REF!),FALSE)</f>
        <v>#REF!</v>
      </c>
    </row>
    <row r="270" spans="1:20" ht="24" customHeight="1" x14ac:dyDescent="0.25">
      <c r="A270" s="90">
        <v>30</v>
      </c>
      <c r="B270" s="51" t="str">
        <f>IFERROR(IF(VLOOKUP(T_Equipement[[#This Row],[NumL]],T_suiviDi[#Data],COLUMN(T_suiviDi[Nom]),FALSE)&lt;&gt;"",VLOOKUP(T_Equipement[[#This Row],[NumL]],T_suiviDi[#Data],COLUMN(T_suiviDi[Nom]),FALSE),""),"")</f>
        <v/>
      </c>
      <c r="C270" s="51" t="str">
        <f>IFERROR(IF(VLOOKUP(T_Equipement[[#This Row],[NumL]],T_suiviDi[#Data],COLUMN(T_suiviDi[Prénom]),FALSE)&lt;&gt;"",VLOOKUP(T_Equipement[[#This Row],[NumL]],T_suiviDi[#Data],COLUMN(T_suiviDi[Prénom]),FALSE),""),"")</f>
        <v/>
      </c>
      <c r="D270" s="52" t="str">
        <f>IFERROR(IF(VLOOKUP(T_Equipement[[#This Row],[NumL]],T_suiviDi[#Data],COLUMN(T_suiviDi[Email]),FALSE)&lt;&gt;"",VLOOKUP(T_Equipement[[#This Row],[NumL]],T_suiviDi[#Data],COLUMN(T_suiviDi[Email]),FALSE),""),"")</f>
        <v/>
      </c>
      <c r="E270" s="53" t="str">
        <f>IFERROR(IF(VLOOKUP(T_Equipement[[#This Row],[NumL]],T_suiviDi[#Data],COLUMN(T_suiviDi[Nom1]),FALSE)&lt;&gt;"",VLOOKUP(T_Equipement[[#This Row],[NumL]],T_suiviDi[#Data],COLUMN(T_suiviDi[Nom1]),FALSE),""),"")</f>
        <v/>
      </c>
      <c r="F270" s="53" t="str">
        <f>IFERROR(IF(VLOOKUP(T_Equipement[[#This Row],[NumL]],T_suiviDi[#Data],COLUMN(T_suiviDi[Prénom1]),FALSE)&lt;&gt;"",VLOOKUP(T_Equipement[[#This Row],[NumL]],T_suiviDi[#Data],COLUMN(T_suiviDi[Prénom1]),FALSE),""),"")</f>
        <v/>
      </c>
      <c r="G270" s="53" t="str">
        <f>IFERROR(IF(VLOOKUP(T_Equipement[[#This Row],[NumL]],T_suiviDi[#Data],COLUMN(T_suiviDi[Email1]),FALSE)&lt;&gt;"",VLOOKUP(T_Equipement[[#This Row],[NumL]],T_suiviDi[#Data],COLUMN(T_suiviDi[Email1]),FALSE),""),"")</f>
        <v/>
      </c>
      <c r="H270" s="59"/>
      <c r="I270" s="61"/>
      <c r="J270" s="60" t="s">
        <v>3254</v>
      </c>
      <c r="K270" s="61"/>
      <c r="L270" s="62"/>
      <c r="M270" s="59"/>
      <c r="N270" s="59"/>
      <c r="O270" s="59"/>
      <c r="P270" s="59"/>
      <c r="Q270" s="59"/>
      <c r="R270" s="59"/>
      <c r="S270" s="61"/>
      <c r="T270" s="59" t="e">
        <f>VLOOKUP(T_Equipement[[#This Row],[NumL]],T_TraitDi[#Data],COLUMN(#REF!),FALSE)</f>
        <v>#REF!</v>
      </c>
    </row>
    <row r="271" spans="1:20" ht="24" customHeight="1" x14ac:dyDescent="0.25">
      <c r="A271" s="90">
        <v>223</v>
      </c>
      <c r="B271" s="51" t="str">
        <f>IFERROR(IF(VLOOKUP(T_Equipement[[#This Row],[NumL]],T_suiviDi[#Data],COLUMN(T_suiviDi[Nom]),FALSE)&lt;&gt;"",VLOOKUP(T_Equipement[[#This Row],[NumL]],T_suiviDi[#Data],COLUMN(T_suiviDi[Nom]),FALSE),""),"")</f>
        <v/>
      </c>
      <c r="C271" s="51" t="str">
        <f>IFERROR(IF(VLOOKUP(T_Equipement[[#This Row],[NumL]],T_suiviDi[#Data],COLUMN(T_suiviDi[Prénom]),FALSE)&lt;&gt;"",VLOOKUP(T_Equipement[[#This Row],[NumL]],T_suiviDi[#Data],COLUMN(T_suiviDi[Prénom]),FALSE),""),"")</f>
        <v/>
      </c>
      <c r="D271" s="52" t="str">
        <f>IFERROR(IF(VLOOKUP(T_Equipement[[#This Row],[NumL]],T_suiviDi[#Data],COLUMN(T_suiviDi[Email]),FALSE)&lt;&gt;"",VLOOKUP(T_Equipement[[#This Row],[NumL]],T_suiviDi[#Data],COLUMN(T_suiviDi[Email]),FALSE),""),"")</f>
        <v/>
      </c>
      <c r="E271" s="53" t="str">
        <f>IFERROR(IF(VLOOKUP(T_Equipement[[#This Row],[NumL]],T_suiviDi[#Data],COLUMN(T_suiviDi[Nom1]),FALSE)&lt;&gt;"",VLOOKUP(T_Equipement[[#This Row],[NumL]],T_suiviDi[#Data],COLUMN(T_suiviDi[Nom1]),FALSE),""),"")</f>
        <v/>
      </c>
      <c r="F271" s="53" t="str">
        <f>IFERROR(IF(VLOOKUP(T_Equipement[[#This Row],[NumL]],T_suiviDi[#Data],COLUMN(T_suiviDi[Prénom1]),FALSE)&lt;&gt;"",VLOOKUP(T_Equipement[[#This Row],[NumL]],T_suiviDi[#Data],COLUMN(T_suiviDi[Prénom1]),FALSE),""),"")</f>
        <v/>
      </c>
      <c r="G271" s="53" t="str">
        <f>IFERROR(IF(VLOOKUP(T_Equipement[[#This Row],[NumL]],T_suiviDi[#Data],COLUMN(T_suiviDi[Email1]),FALSE)&lt;&gt;"",VLOOKUP(T_Equipement[[#This Row],[NumL]],T_suiviDi[#Data],COLUMN(T_suiviDi[Email1]),FALSE),""),"")</f>
        <v/>
      </c>
      <c r="H271" s="59" t="s">
        <v>3277</v>
      </c>
      <c r="I271" s="251">
        <v>44165</v>
      </c>
      <c r="J271" s="60" t="s">
        <v>3255</v>
      </c>
      <c r="K271" s="61"/>
      <c r="L271" s="62"/>
      <c r="M271" s="59"/>
      <c r="N271" s="59"/>
      <c r="O271" s="59"/>
      <c r="P271" s="59"/>
      <c r="Q271" s="59"/>
      <c r="R271" s="59"/>
      <c r="S271" s="61"/>
      <c r="T271" s="59" t="e">
        <f>VLOOKUP(T_Equipement[[#This Row],[NumL]],T_TraitDi[#Data],COLUMN(#REF!),FALSE)</f>
        <v>#REF!</v>
      </c>
    </row>
    <row r="272" spans="1:20" ht="24" customHeight="1" x14ac:dyDescent="0.25">
      <c r="A272" s="90">
        <v>73</v>
      </c>
      <c r="B272" s="51" t="str">
        <f>IFERROR(IF(VLOOKUP(T_Equipement[[#This Row],[NumL]],T_suiviDi[#Data],COLUMN(T_suiviDi[Nom]),FALSE)&lt;&gt;"",VLOOKUP(T_Equipement[[#This Row],[NumL]],T_suiviDi[#Data],COLUMN(T_suiviDi[Nom]),FALSE),""),"")</f>
        <v/>
      </c>
      <c r="C272" s="51" t="str">
        <f>IFERROR(IF(VLOOKUP(T_Equipement[[#This Row],[NumL]],T_suiviDi[#Data],COLUMN(T_suiviDi[Prénom]),FALSE)&lt;&gt;"",VLOOKUP(T_Equipement[[#This Row],[NumL]],T_suiviDi[#Data],COLUMN(T_suiviDi[Prénom]),FALSE),""),"")</f>
        <v/>
      </c>
      <c r="D272" s="52" t="str">
        <f>IFERROR(IF(VLOOKUP(T_Equipement[[#This Row],[NumL]],T_suiviDi[#Data],COLUMN(T_suiviDi[Email]),FALSE)&lt;&gt;"",VLOOKUP(T_Equipement[[#This Row],[NumL]],T_suiviDi[#Data],COLUMN(T_suiviDi[Email]),FALSE),""),"")</f>
        <v/>
      </c>
      <c r="E272" s="53" t="str">
        <f>IFERROR(IF(VLOOKUP(T_Equipement[[#This Row],[NumL]],T_suiviDi[#Data],COLUMN(T_suiviDi[Nom1]),FALSE)&lt;&gt;"",VLOOKUP(T_Equipement[[#This Row],[NumL]],T_suiviDi[#Data],COLUMN(T_suiviDi[Nom1]),FALSE),""),"")</f>
        <v/>
      </c>
      <c r="F272" s="53" t="str">
        <f>IFERROR(IF(VLOOKUP(T_Equipement[[#This Row],[NumL]],T_suiviDi[#Data],COLUMN(T_suiviDi[Prénom1]),FALSE)&lt;&gt;"",VLOOKUP(T_Equipement[[#This Row],[NumL]],T_suiviDi[#Data],COLUMN(T_suiviDi[Prénom1]),FALSE),""),"")</f>
        <v/>
      </c>
      <c r="G272" s="53" t="str">
        <f>IFERROR(IF(VLOOKUP(T_Equipement[[#This Row],[NumL]],T_suiviDi[#Data],COLUMN(T_suiviDi[Email1]),FALSE)&lt;&gt;"",VLOOKUP(T_Equipement[[#This Row],[NumL]],T_suiviDi[#Data],COLUMN(T_suiviDi[Email1]),FALSE),""),"")</f>
        <v/>
      </c>
      <c r="H272" s="59" t="s">
        <v>3278</v>
      </c>
      <c r="I272" s="251">
        <v>44165</v>
      </c>
      <c r="J272" s="60" t="s">
        <v>3256</v>
      </c>
      <c r="K272" s="61"/>
      <c r="L272" s="62"/>
      <c r="M272" s="59"/>
      <c r="N272" s="59"/>
      <c r="O272" s="59"/>
      <c r="P272" s="59"/>
      <c r="Q272" s="59"/>
      <c r="R272" s="59"/>
      <c r="S272" s="61"/>
      <c r="T272" s="59" t="e">
        <f>VLOOKUP(T_Equipement[[#This Row],[NumL]],T_TraitDi[#Data],COLUMN(#REF!),FALSE)</f>
        <v>#REF!</v>
      </c>
    </row>
    <row r="273" spans="1:20" ht="24" customHeight="1" x14ac:dyDescent="0.25">
      <c r="A273" s="90">
        <v>232</v>
      </c>
      <c r="B273" s="51" t="str">
        <f>IFERROR(IF(VLOOKUP(T_Equipement[[#This Row],[NumL]],T_suiviDi[#Data],COLUMN(T_suiviDi[Nom]),FALSE)&lt;&gt;"",VLOOKUP(T_Equipement[[#This Row],[NumL]],T_suiviDi[#Data],COLUMN(T_suiviDi[Nom]),FALSE),""),"")</f>
        <v/>
      </c>
      <c r="C273" s="51" t="str">
        <f>IFERROR(IF(VLOOKUP(T_Equipement[[#This Row],[NumL]],T_suiviDi[#Data],COLUMN(T_suiviDi[Prénom]),FALSE)&lt;&gt;"",VLOOKUP(T_Equipement[[#This Row],[NumL]],T_suiviDi[#Data],COLUMN(T_suiviDi[Prénom]),FALSE),""),"")</f>
        <v/>
      </c>
      <c r="D273" s="52" t="str">
        <f>IFERROR(IF(VLOOKUP(T_Equipement[[#This Row],[NumL]],T_suiviDi[#Data],COLUMN(T_suiviDi[Email]),FALSE)&lt;&gt;"",VLOOKUP(T_Equipement[[#This Row],[NumL]],T_suiviDi[#Data],COLUMN(T_suiviDi[Email]),FALSE),""),"")</f>
        <v/>
      </c>
      <c r="E273" s="53" t="str">
        <f>IFERROR(IF(VLOOKUP(T_Equipement[[#This Row],[NumL]],T_suiviDi[#Data],COLUMN(T_suiviDi[Nom1]),FALSE)&lt;&gt;"",VLOOKUP(T_Equipement[[#This Row],[NumL]],T_suiviDi[#Data],COLUMN(T_suiviDi[Nom1]),FALSE),""),"")</f>
        <v/>
      </c>
      <c r="F273" s="53" t="str">
        <f>IFERROR(IF(VLOOKUP(T_Equipement[[#This Row],[NumL]],T_suiviDi[#Data],COLUMN(T_suiviDi[Prénom1]),FALSE)&lt;&gt;"",VLOOKUP(T_Equipement[[#This Row],[NumL]],T_suiviDi[#Data],COLUMN(T_suiviDi[Prénom1]),FALSE),""),"")</f>
        <v/>
      </c>
      <c r="G273" s="53" t="str">
        <f>IFERROR(IF(VLOOKUP(T_Equipement[[#This Row],[NumL]],T_suiviDi[#Data],COLUMN(T_suiviDi[Email1]),FALSE)&lt;&gt;"",VLOOKUP(T_Equipement[[#This Row],[NumL]],T_suiviDi[#Data],COLUMN(T_suiviDi[Email1]),FALSE),""),"")</f>
        <v/>
      </c>
      <c r="H273" s="59"/>
      <c r="I273" s="61"/>
      <c r="J273" s="60" t="s">
        <v>3257</v>
      </c>
      <c r="K273" s="61"/>
      <c r="L273" s="62"/>
      <c r="M273" s="59"/>
      <c r="N273" s="59"/>
      <c r="O273" s="59"/>
      <c r="P273" s="59"/>
      <c r="Q273" s="59"/>
      <c r="R273" s="59"/>
      <c r="S273" s="61"/>
      <c r="T273" s="59" t="e">
        <f>VLOOKUP(T_Equipement[[#This Row],[NumL]],T_TraitDi[#Data],COLUMN(#REF!),FALSE)</f>
        <v>#REF!</v>
      </c>
    </row>
    <row r="274" spans="1:20" ht="24" customHeight="1" x14ac:dyDescent="0.25">
      <c r="A274" s="90">
        <v>58</v>
      </c>
      <c r="B274" s="51" t="str">
        <f>IFERROR(IF(VLOOKUP(T_Equipement[[#This Row],[NumL]],T_suiviDi[#Data],COLUMN(T_suiviDi[Nom]),FALSE)&lt;&gt;"",VLOOKUP(T_Equipement[[#This Row],[NumL]],T_suiviDi[#Data],COLUMN(T_suiviDi[Nom]),FALSE),""),"")</f>
        <v/>
      </c>
      <c r="C274" s="51" t="str">
        <f>IFERROR(IF(VLOOKUP(T_Equipement[[#This Row],[NumL]],T_suiviDi[#Data],COLUMN(T_suiviDi[Prénom]),FALSE)&lt;&gt;"",VLOOKUP(T_Equipement[[#This Row],[NumL]],T_suiviDi[#Data],COLUMN(T_suiviDi[Prénom]),FALSE),""),"")</f>
        <v/>
      </c>
      <c r="D274" s="52" t="str">
        <f>IFERROR(IF(VLOOKUP(T_Equipement[[#This Row],[NumL]],T_suiviDi[#Data],COLUMN(T_suiviDi[Email]),FALSE)&lt;&gt;"",VLOOKUP(T_Equipement[[#This Row],[NumL]],T_suiviDi[#Data],COLUMN(T_suiviDi[Email]),FALSE),""),"")</f>
        <v/>
      </c>
      <c r="E274" s="53" t="str">
        <f>IFERROR(IF(VLOOKUP(T_Equipement[[#This Row],[NumL]],T_suiviDi[#Data],COLUMN(T_suiviDi[Nom1]),FALSE)&lt;&gt;"",VLOOKUP(T_Equipement[[#This Row],[NumL]],T_suiviDi[#Data],COLUMN(T_suiviDi[Nom1]),FALSE),""),"")</f>
        <v/>
      </c>
      <c r="F274" s="53" t="str">
        <f>IFERROR(IF(VLOOKUP(T_Equipement[[#This Row],[NumL]],T_suiviDi[#Data],COLUMN(T_suiviDi[Prénom1]),FALSE)&lt;&gt;"",VLOOKUP(T_Equipement[[#This Row],[NumL]],T_suiviDi[#Data],COLUMN(T_suiviDi[Prénom1]),FALSE),""),"")</f>
        <v/>
      </c>
      <c r="G274" s="53" t="str">
        <f>IFERROR(IF(VLOOKUP(T_Equipement[[#This Row],[NumL]],T_suiviDi[#Data],COLUMN(T_suiviDi[Email1]),FALSE)&lt;&gt;"",VLOOKUP(T_Equipement[[#This Row],[NumL]],T_suiviDi[#Data],COLUMN(T_suiviDi[Email1]),FALSE),""),"")</f>
        <v/>
      </c>
      <c r="H274" s="59"/>
      <c r="I274" s="61"/>
      <c r="J274" s="60" t="s">
        <v>3258</v>
      </c>
      <c r="K274" s="61"/>
      <c r="L274" s="62"/>
      <c r="M274" s="59"/>
      <c r="N274" s="59"/>
      <c r="O274" s="59"/>
      <c r="P274" s="59"/>
      <c r="Q274" s="59"/>
      <c r="R274" s="59"/>
      <c r="S274" s="61"/>
      <c r="T274" s="59" t="e">
        <f>VLOOKUP(T_Equipement[[#This Row],[NumL]],T_TraitDi[#Data],COLUMN(#REF!),FALSE)</f>
        <v>#REF!</v>
      </c>
    </row>
    <row r="275" spans="1:20" ht="24" customHeight="1" x14ac:dyDescent="0.25">
      <c r="A275" s="90">
        <v>116</v>
      </c>
      <c r="B275" s="51" t="str">
        <f>IFERROR(IF(VLOOKUP(T_Equipement[[#This Row],[NumL]],T_suiviDi[#Data],COLUMN(T_suiviDi[Nom]),FALSE)&lt;&gt;"",VLOOKUP(T_Equipement[[#This Row],[NumL]],T_suiviDi[#Data],COLUMN(T_suiviDi[Nom]),FALSE),""),"")</f>
        <v/>
      </c>
      <c r="C275" s="51" t="str">
        <f>IFERROR(IF(VLOOKUP(T_Equipement[[#This Row],[NumL]],T_suiviDi[#Data],COLUMN(T_suiviDi[Prénom]),FALSE)&lt;&gt;"",VLOOKUP(T_Equipement[[#This Row],[NumL]],T_suiviDi[#Data],COLUMN(T_suiviDi[Prénom]),FALSE),""),"")</f>
        <v/>
      </c>
      <c r="D275" s="52" t="str">
        <f>IFERROR(IF(VLOOKUP(T_Equipement[[#This Row],[NumL]],T_suiviDi[#Data],COLUMN(T_suiviDi[Email]),FALSE)&lt;&gt;"",VLOOKUP(T_Equipement[[#This Row],[NumL]],T_suiviDi[#Data],COLUMN(T_suiviDi[Email]),FALSE),""),"")</f>
        <v/>
      </c>
      <c r="E275" s="53" t="str">
        <f>IFERROR(IF(VLOOKUP(T_Equipement[[#This Row],[NumL]],T_suiviDi[#Data],COLUMN(T_suiviDi[Nom1]),FALSE)&lt;&gt;"",VLOOKUP(T_Equipement[[#This Row],[NumL]],T_suiviDi[#Data],COLUMN(T_suiviDi[Nom1]),FALSE),""),"")</f>
        <v/>
      </c>
      <c r="F275" s="53" t="str">
        <f>IFERROR(IF(VLOOKUP(T_Equipement[[#This Row],[NumL]],T_suiviDi[#Data],COLUMN(T_suiviDi[Prénom1]),FALSE)&lt;&gt;"",VLOOKUP(T_Equipement[[#This Row],[NumL]],T_suiviDi[#Data],COLUMN(T_suiviDi[Prénom1]),FALSE),""),"")</f>
        <v/>
      </c>
      <c r="G275" s="53" t="str">
        <f>IFERROR(IF(VLOOKUP(T_Equipement[[#This Row],[NumL]],T_suiviDi[#Data],COLUMN(T_suiviDi[Email1]),FALSE)&lt;&gt;"",VLOOKUP(T_Equipement[[#This Row],[NumL]],T_suiviDi[#Data],COLUMN(T_suiviDi[Email1]),FALSE),""),"")</f>
        <v/>
      </c>
      <c r="H275" s="59" t="s">
        <v>3277</v>
      </c>
      <c r="I275" s="61"/>
      <c r="J275" s="60" t="s">
        <v>3259</v>
      </c>
      <c r="K275" s="61"/>
      <c r="L275" s="62"/>
      <c r="M275" s="59"/>
      <c r="N275" s="59"/>
      <c r="O275" s="59"/>
      <c r="P275" s="59"/>
      <c r="Q275" s="59"/>
      <c r="R275" s="59"/>
      <c r="S275" s="61"/>
      <c r="T275" s="59" t="e">
        <f>VLOOKUP(T_Equipement[[#This Row],[NumL]],T_TraitDi[#Data],COLUMN(#REF!),FALSE)</f>
        <v>#REF!</v>
      </c>
    </row>
    <row r="276" spans="1:20" ht="24" customHeight="1" x14ac:dyDescent="0.25">
      <c r="A276" s="90">
        <v>111</v>
      </c>
      <c r="B276" s="51" t="str">
        <f>IFERROR(IF(VLOOKUP(T_Equipement[[#This Row],[NumL]],T_suiviDi[#Data],COLUMN(T_suiviDi[Nom]),FALSE)&lt;&gt;"",VLOOKUP(T_Equipement[[#This Row],[NumL]],T_suiviDi[#Data],COLUMN(T_suiviDi[Nom]),FALSE),""),"")</f>
        <v/>
      </c>
      <c r="C276" s="51" t="str">
        <f>IFERROR(IF(VLOOKUP(T_Equipement[[#This Row],[NumL]],T_suiviDi[#Data],COLUMN(T_suiviDi[Prénom]),FALSE)&lt;&gt;"",VLOOKUP(T_Equipement[[#This Row],[NumL]],T_suiviDi[#Data],COLUMN(T_suiviDi[Prénom]),FALSE),""),"")</f>
        <v/>
      </c>
      <c r="D276" s="52" t="str">
        <f>IFERROR(IF(VLOOKUP(T_Equipement[[#This Row],[NumL]],T_suiviDi[#Data],COLUMN(T_suiviDi[Email]),FALSE)&lt;&gt;"",VLOOKUP(T_Equipement[[#This Row],[NumL]],T_suiviDi[#Data],COLUMN(T_suiviDi[Email]),FALSE),""),"")</f>
        <v/>
      </c>
      <c r="E276" s="53" t="str">
        <f>IFERROR(IF(VLOOKUP(T_Equipement[[#This Row],[NumL]],T_suiviDi[#Data],COLUMN(T_suiviDi[Nom1]),FALSE)&lt;&gt;"",VLOOKUP(T_Equipement[[#This Row],[NumL]],T_suiviDi[#Data],COLUMN(T_suiviDi[Nom1]),FALSE),""),"")</f>
        <v/>
      </c>
      <c r="F276" s="53" t="str">
        <f>IFERROR(IF(VLOOKUP(T_Equipement[[#This Row],[NumL]],T_suiviDi[#Data],COLUMN(T_suiviDi[Prénom1]),FALSE)&lt;&gt;"",VLOOKUP(T_Equipement[[#This Row],[NumL]],T_suiviDi[#Data],COLUMN(T_suiviDi[Prénom1]),FALSE),""),"")</f>
        <v/>
      </c>
      <c r="G276" s="53" t="str">
        <f>IFERROR(IF(VLOOKUP(T_Equipement[[#This Row],[NumL]],T_suiviDi[#Data],COLUMN(T_suiviDi[Email1]),FALSE)&lt;&gt;"",VLOOKUP(T_Equipement[[#This Row],[NumL]],T_suiviDi[#Data],COLUMN(T_suiviDi[Email1]),FALSE),""),"")</f>
        <v/>
      </c>
      <c r="H276" s="59" t="s">
        <v>3277</v>
      </c>
      <c r="I276" s="61"/>
      <c r="J276" s="60" t="s">
        <v>3260</v>
      </c>
      <c r="K276" s="61"/>
      <c r="L276" s="62"/>
      <c r="M276" s="59"/>
      <c r="N276" s="59"/>
      <c r="O276" s="59"/>
      <c r="P276" s="59"/>
      <c r="Q276" s="59"/>
      <c r="R276" s="59"/>
      <c r="S276" s="61"/>
      <c r="T276" s="59" t="e">
        <f>VLOOKUP(T_Equipement[[#This Row],[NumL]],T_TraitDi[#Data],COLUMN(#REF!),FALSE)</f>
        <v>#REF!</v>
      </c>
    </row>
    <row r="277" spans="1:20" ht="24" customHeight="1" x14ac:dyDescent="0.25">
      <c r="A277" s="90">
        <v>183</v>
      </c>
      <c r="B277" s="51" t="str">
        <f>IFERROR(IF(VLOOKUP(T_Equipement[[#This Row],[NumL]],T_suiviDi[#Data],COLUMN(T_suiviDi[Nom]),FALSE)&lt;&gt;"",VLOOKUP(T_Equipement[[#This Row],[NumL]],T_suiviDi[#Data],COLUMN(T_suiviDi[Nom]),FALSE),""),"")</f>
        <v/>
      </c>
      <c r="C277" s="51" t="str">
        <f>IFERROR(IF(VLOOKUP(T_Equipement[[#This Row],[NumL]],T_suiviDi[#Data],COLUMN(T_suiviDi[Prénom]),FALSE)&lt;&gt;"",VLOOKUP(T_Equipement[[#This Row],[NumL]],T_suiviDi[#Data],COLUMN(T_suiviDi[Prénom]),FALSE),""),"")</f>
        <v/>
      </c>
      <c r="D277" s="52" t="str">
        <f>IFERROR(IF(VLOOKUP(T_Equipement[[#This Row],[NumL]],T_suiviDi[#Data],COLUMN(T_suiviDi[Email]),FALSE)&lt;&gt;"",VLOOKUP(T_Equipement[[#This Row],[NumL]],T_suiviDi[#Data],COLUMN(T_suiviDi[Email]),FALSE),""),"")</f>
        <v/>
      </c>
      <c r="E277" s="53" t="str">
        <f>IFERROR(IF(VLOOKUP(T_Equipement[[#This Row],[NumL]],T_suiviDi[#Data],COLUMN(T_suiviDi[Nom1]),FALSE)&lt;&gt;"",VLOOKUP(T_Equipement[[#This Row],[NumL]],T_suiviDi[#Data],COLUMN(T_suiviDi[Nom1]),FALSE),""),"")</f>
        <v/>
      </c>
      <c r="F277" s="53" t="str">
        <f>IFERROR(IF(VLOOKUP(T_Equipement[[#This Row],[NumL]],T_suiviDi[#Data],COLUMN(T_suiviDi[Prénom1]),FALSE)&lt;&gt;"",VLOOKUP(T_Equipement[[#This Row],[NumL]],T_suiviDi[#Data],COLUMN(T_suiviDi[Prénom1]),FALSE),""),"")</f>
        <v/>
      </c>
      <c r="G277" s="53" t="str">
        <f>IFERROR(IF(VLOOKUP(T_Equipement[[#This Row],[NumL]],T_suiviDi[#Data],COLUMN(T_suiviDi[Email1]),FALSE)&lt;&gt;"",VLOOKUP(T_Equipement[[#This Row],[NumL]],T_suiviDi[#Data],COLUMN(T_suiviDi[Email1]),FALSE),""),"")</f>
        <v/>
      </c>
      <c r="H277" s="59" t="s">
        <v>3278</v>
      </c>
      <c r="I277" s="251">
        <v>44165</v>
      </c>
      <c r="J277" s="60" t="s">
        <v>3261</v>
      </c>
      <c r="K277" s="61"/>
      <c r="L277" s="62"/>
      <c r="M277" s="59"/>
      <c r="N277" s="59"/>
      <c r="O277" s="59"/>
      <c r="P277" s="59"/>
      <c r="Q277" s="59"/>
      <c r="R277" s="59"/>
      <c r="S277" s="61"/>
      <c r="T277" s="59" t="e">
        <f>VLOOKUP(T_Equipement[[#This Row],[NumL]],T_TraitDi[#Data],COLUMN(#REF!),FALSE)</f>
        <v>#REF!</v>
      </c>
    </row>
    <row r="278" spans="1:20" ht="24" customHeight="1" x14ac:dyDescent="0.25">
      <c r="A278" s="90">
        <v>319</v>
      </c>
      <c r="B278" s="51" t="str">
        <f>IFERROR(IF(VLOOKUP(T_Equipement[[#This Row],[NumL]],T_suiviDi[#Data],COLUMN(T_suiviDi[Nom]),FALSE)&lt;&gt;"",VLOOKUP(T_Equipement[[#This Row],[NumL]],T_suiviDi[#Data],COLUMN(T_suiviDi[Nom]),FALSE),""),"")</f>
        <v/>
      </c>
      <c r="C278" s="51" t="str">
        <f>IFERROR(IF(VLOOKUP(T_Equipement[[#This Row],[NumL]],T_suiviDi[#Data],COLUMN(T_suiviDi[Prénom]),FALSE)&lt;&gt;"",VLOOKUP(T_Equipement[[#This Row],[NumL]],T_suiviDi[#Data],COLUMN(T_suiviDi[Prénom]),FALSE),""),"")</f>
        <v/>
      </c>
      <c r="D278" s="52" t="str">
        <f>IFERROR(IF(VLOOKUP(T_Equipement[[#This Row],[NumL]],T_suiviDi[#Data],COLUMN(T_suiviDi[Email]),FALSE)&lt;&gt;"",VLOOKUP(T_Equipement[[#This Row],[NumL]],T_suiviDi[#Data],COLUMN(T_suiviDi[Email]),FALSE),""),"")</f>
        <v/>
      </c>
      <c r="E278" s="53" t="str">
        <f>IFERROR(IF(VLOOKUP(T_Equipement[[#This Row],[NumL]],T_suiviDi[#Data],COLUMN(T_suiviDi[Nom1]),FALSE)&lt;&gt;"",VLOOKUP(T_Equipement[[#This Row],[NumL]],T_suiviDi[#Data],COLUMN(T_suiviDi[Nom1]),FALSE),""),"")</f>
        <v/>
      </c>
      <c r="F278" s="53" t="str">
        <f>IFERROR(IF(VLOOKUP(T_Equipement[[#This Row],[NumL]],T_suiviDi[#Data],COLUMN(T_suiviDi[Prénom1]),FALSE)&lt;&gt;"",VLOOKUP(T_Equipement[[#This Row],[NumL]],T_suiviDi[#Data],COLUMN(T_suiviDi[Prénom1]),FALSE),""),"")</f>
        <v/>
      </c>
      <c r="G278" s="53" t="str">
        <f>IFERROR(IF(VLOOKUP(T_Equipement[[#This Row],[NumL]],T_suiviDi[#Data],COLUMN(T_suiviDi[Email1]),FALSE)&lt;&gt;"",VLOOKUP(T_Equipement[[#This Row],[NumL]],T_suiviDi[#Data],COLUMN(T_suiviDi[Email1]),FALSE),""),"")</f>
        <v/>
      </c>
      <c r="H278" s="59"/>
      <c r="I278" s="61"/>
      <c r="J278" s="60"/>
      <c r="K278" s="61"/>
      <c r="L278" s="62"/>
      <c r="M278" s="59"/>
      <c r="N278" s="59"/>
      <c r="O278" s="59"/>
      <c r="P278" s="59"/>
      <c r="Q278" s="59"/>
      <c r="R278" s="59"/>
      <c r="S278" s="61"/>
      <c r="T278" s="59"/>
    </row>
    <row r="279" spans="1:20" ht="24" customHeight="1" x14ac:dyDescent="0.25">
      <c r="A279" s="90">
        <v>120</v>
      </c>
      <c r="B279" s="51" t="str">
        <f>IFERROR(IF(VLOOKUP(T_Equipement[[#This Row],[NumL]],T_suiviDi[#Data],COLUMN(T_suiviDi[Nom]),FALSE)&lt;&gt;"",VLOOKUP(T_Equipement[[#This Row],[NumL]],T_suiviDi[#Data],COLUMN(T_suiviDi[Nom]),FALSE),""),"")</f>
        <v/>
      </c>
      <c r="C279" s="51" t="str">
        <f>IFERROR(IF(VLOOKUP(T_Equipement[[#This Row],[NumL]],T_suiviDi[#Data],COLUMN(T_suiviDi[Prénom]),FALSE)&lt;&gt;"",VLOOKUP(T_Equipement[[#This Row],[NumL]],T_suiviDi[#Data],COLUMN(T_suiviDi[Prénom]),FALSE),""),"")</f>
        <v/>
      </c>
      <c r="D279" s="52" t="str">
        <f>IFERROR(IF(VLOOKUP(T_Equipement[[#This Row],[NumL]],T_suiviDi[#Data],COLUMN(T_suiviDi[Email]),FALSE)&lt;&gt;"",VLOOKUP(T_Equipement[[#This Row],[NumL]],T_suiviDi[#Data],COLUMN(T_suiviDi[Email]),FALSE),""),"")</f>
        <v/>
      </c>
      <c r="E279" s="53" t="str">
        <f>IFERROR(IF(VLOOKUP(T_Equipement[[#This Row],[NumL]],T_suiviDi[#Data],COLUMN(T_suiviDi[Nom1]),FALSE)&lt;&gt;"",VLOOKUP(T_Equipement[[#This Row],[NumL]],T_suiviDi[#Data],COLUMN(T_suiviDi[Nom1]),FALSE),""),"")</f>
        <v/>
      </c>
      <c r="F279" s="53" t="str">
        <f>IFERROR(IF(VLOOKUP(T_Equipement[[#This Row],[NumL]],T_suiviDi[#Data],COLUMN(T_suiviDi[Prénom1]),FALSE)&lt;&gt;"",VLOOKUP(T_Equipement[[#This Row],[NumL]],T_suiviDi[#Data],COLUMN(T_suiviDi[Prénom1]),FALSE),""),"")</f>
        <v/>
      </c>
      <c r="G279" s="53" t="str">
        <f>IFERROR(IF(VLOOKUP(T_Equipement[[#This Row],[NumL]],T_suiviDi[#Data],COLUMN(T_suiviDi[Email1]),FALSE)&lt;&gt;"",VLOOKUP(T_Equipement[[#This Row],[NumL]],T_suiviDi[#Data],COLUMN(T_suiviDi[Email1]),FALSE),""),"")</f>
        <v/>
      </c>
      <c r="H279" s="59"/>
      <c r="I279" s="61"/>
      <c r="J279" s="60" t="s">
        <v>3262</v>
      </c>
      <c r="K279" s="61"/>
      <c r="L279" s="62"/>
      <c r="M279" s="59"/>
      <c r="N279" s="59"/>
      <c r="O279" s="59"/>
      <c r="P279" s="59"/>
      <c r="Q279" s="59"/>
      <c r="R279" s="59"/>
      <c r="S279" s="61"/>
      <c r="T279" s="59" t="e">
        <f>VLOOKUP(T_Equipement[[#This Row],[NumL]],T_TraitDi[#Data],COLUMN(#REF!),FALSE)</f>
        <v>#REF!</v>
      </c>
    </row>
    <row r="280" spans="1:20" ht="24" customHeight="1" x14ac:dyDescent="0.25">
      <c r="A280" s="90">
        <v>53</v>
      </c>
      <c r="B280" s="51" t="str">
        <f>IFERROR(IF(VLOOKUP(T_Equipement[[#This Row],[NumL]],T_suiviDi[#Data],COLUMN(T_suiviDi[Nom]),FALSE)&lt;&gt;"",VLOOKUP(T_Equipement[[#This Row],[NumL]],T_suiviDi[#Data],COLUMN(T_suiviDi[Nom]),FALSE),""),"")</f>
        <v/>
      </c>
      <c r="C280" s="51" t="str">
        <f>IFERROR(IF(VLOOKUP(T_Equipement[[#This Row],[NumL]],T_suiviDi[#Data],COLUMN(T_suiviDi[Prénom]),FALSE)&lt;&gt;"",VLOOKUP(T_Equipement[[#This Row],[NumL]],T_suiviDi[#Data],COLUMN(T_suiviDi[Prénom]),FALSE),""),"")</f>
        <v/>
      </c>
      <c r="D280" s="52" t="str">
        <f>IFERROR(IF(VLOOKUP(T_Equipement[[#This Row],[NumL]],T_suiviDi[#Data],COLUMN(T_suiviDi[Email]),FALSE)&lt;&gt;"",VLOOKUP(T_Equipement[[#This Row],[NumL]],T_suiviDi[#Data],COLUMN(T_suiviDi[Email]),FALSE),""),"")</f>
        <v/>
      </c>
      <c r="E280" s="53" t="str">
        <f>IFERROR(IF(VLOOKUP(T_Equipement[[#This Row],[NumL]],T_suiviDi[#Data],COLUMN(T_suiviDi[Nom1]),FALSE)&lt;&gt;"",VLOOKUP(T_Equipement[[#This Row],[NumL]],T_suiviDi[#Data],COLUMN(T_suiviDi[Nom1]),FALSE),""),"")</f>
        <v/>
      </c>
      <c r="F280" s="53" t="str">
        <f>IFERROR(IF(VLOOKUP(T_Equipement[[#This Row],[NumL]],T_suiviDi[#Data],COLUMN(T_suiviDi[Prénom1]),FALSE)&lt;&gt;"",VLOOKUP(T_Equipement[[#This Row],[NumL]],T_suiviDi[#Data],COLUMN(T_suiviDi[Prénom1]),FALSE),""),"")</f>
        <v/>
      </c>
      <c r="G280" s="53" t="str">
        <f>IFERROR(IF(VLOOKUP(T_Equipement[[#This Row],[NumL]],T_suiviDi[#Data],COLUMN(T_suiviDi[Email1]),FALSE)&lt;&gt;"",VLOOKUP(T_Equipement[[#This Row],[NumL]],T_suiviDi[#Data],COLUMN(T_suiviDi[Email1]),FALSE),""),"")</f>
        <v/>
      </c>
      <c r="H280" s="59"/>
      <c r="I280" s="61"/>
      <c r="J280" s="60" t="s">
        <v>3263</v>
      </c>
      <c r="K280" s="61"/>
      <c r="L280" s="62"/>
      <c r="M280" s="59"/>
      <c r="N280" s="59"/>
      <c r="O280" s="59"/>
      <c r="P280" s="59"/>
      <c r="Q280" s="59"/>
      <c r="R280" s="59"/>
      <c r="S280" s="61"/>
      <c r="T280" s="59" t="e">
        <f>VLOOKUP(T_Equipement[[#This Row],[NumL]],T_TraitDi[#Data],COLUMN(#REF!),FALSE)</f>
        <v>#REF!</v>
      </c>
    </row>
    <row r="281" spans="1:20" ht="24" customHeight="1" x14ac:dyDescent="0.25">
      <c r="A281" s="90">
        <v>301</v>
      </c>
      <c r="B281" s="51" t="str">
        <f>IFERROR(IF(VLOOKUP(T_Equipement[[#This Row],[NumL]],T_suiviDi[#Data],COLUMN(T_suiviDi[Nom]),FALSE)&lt;&gt;"",VLOOKUP(T_Equipement[[#This Row],[NumL]],T_suiviDi[#Data],COLUMN(T_suiviDi[Nom]),FALSE),""),"")</f>
        <v/>
      </c>
      <c r="C281" s="51" t="str">
        <f>IFERROR(IF(VLOOKUP(T_Equipement[[#This Row],[NumL]],T_suiviDi[#Data],COLUMN(T_suiviDi[Prénom]),FALSE)&lt;&gt;"",VLOOKUP(T_Equipement[[#This Row],[NumL]],T_suiviDi[#Data],COLUMN(T_suiviDi[Prénom]),FALSE),""),"")</f>
        <v/>
      </c>
      <c r="D281" s="52" t="str">
        <f>IFERROR(IF(VLOOKUP(T_Equipement[[#This Row],[NumL]],T_suiviDi[#Data],COLUMN(T_suiviDi[Email]),FALSE)&lt;&gt;"",VLOOKUP(T_Equipement[[#This Row],[NumL]],T_suiviDi[#Data],COLUMN(T_suiviDi[Email]),FALSE),""),"")</f>
        <v/>
      </c>
      <c r="E281" s="53" t="str">
        <f>IFERROR(IF(VLOOKUP(T_Equipement[[#This Row],[NumL]],T_suiviDi[#Data],COLUMN(T_suiviDi[Nom1]),FALSE)&lt;&gt;"",VLOOKUP(T_Equipement[[#This Row],[NumL]],T_suiviDi[#Data],COLUMN(T_suiviDi[Nom1]),FALSE),""),"")</f>
        <v/>
      </c>
      <c r="F281" s="53" t="str">
        <f>IFERROR(IF(VLOOKUP(T_Equipement[[#This Row],[NumL]],T_suiviDi[#Data],COLUMN(T_suiviDi[Prénom1]),FALSE)&lt;&gt;"",VLOOKUP(T_Equipement[[#This Row],[NumL]],T_suiviDi[#Data],COLUMN(T_suiviDi[Prénom1]),FALSE),""),"")</f>
        <v/>
      </c>
      <c r="G281" s="53" t="str">
        <f>IFERROR(IF(VLOOKUP(T_Equipement[[#This Row],[NumL]],T_suiviDi[#Data],COLUMN(T_suiviDi[Email1]),FALSE)&lt;&gt;"",VLOOKUP(T_Equipement[[#This Row],[NumL]],T_suiviDi[#Data],COLUMN(T_suiviDi[Email1]),FALSE),""),"")</f>
        <v/>
      </c>
      <c r="H281" s="59"/>
      <c r="I281" s="61"/>
      <c r="J281" s="60"/>
      <c r="K281" s="61"/>
      <c r="L281" s="62"/>
      <c r="M281" s="59"/>
      <c r="N281" s="59"/>
      <c r="O281" s="59"/>
      <c r="P281" s="59"/>
      <c r="Q281" s="59"/>
      <c r="R281" s="59"/>
      <c r="S281" s="61"/>
      <c r="T281" s="59"/>
    </row>
    <row r="282" spans="1:20" ht="24" customHeight="1" x14ac:dyDescent="0.25">
      <c r="A282" s="90">
        <v>200</v>
      </c>
      <c r="B282" s="51" t="str">
        <f>IFERROR(IF(VLOOKUP(T_Equipement[[#This Row],[NumL]],T_suiviDi[#Data],COLUMN(T_suiviDi[Nom]),FALSE)&lt;&gt;"",VLOOKUP(T_Equipement[[#This Row],[NumL]],T_suiviDi[#Data],COLUMN(T_suiviDi[Nom]),FALSE),""),"")</f>
        <v/>
      </c>
      <c r="C282" s="51" t="str">
        <f>IFERROR(IF(VLOOKUP(T_Equipement[[#This Row],[NumL]],T_suiviDi[#Data],COLUMN(T_suiviDi[Prénom]),FALSE)&lt;&gt;"",VLOOKUP(T_Equipement[[#This Row],[NumL]],T_suiviDi[#Data],COLUMN(T_suiviDi[Prénom]),FALSE),""),"")</f>
        <v/>
      </c>
      <c r="D282" s="52" t="str">
        <f>IFERROR(IF(VLOOKUP(T_Equipement[[#This Row],[NumL]],T_suiviDi[#Data],COLUMN(T_suiviDi[Email]),FALSE)&lt;&gt;"",VLOOKUP(T_Equipement[[#This Row],[NumL]],T_suiviDi[#Data],COLUMN(T_suiviDi[Email]),FALSE),""),"")</f>
        <v/>
      </c>
      <c r="E282" s="53" t="str">
        <f>IFERROR(IF(VLOOKUP(T_Equipement[[#This Row],[NumL]],T_suiviDi[#Data],COLUMN(T_suiviDi[Nom1]),FALSE)&lt;&gt;"",VLOOKUP(T_Equipement[[#This Row],[NumL]],T_suiviDi[#Data],COLUMN(T_suiviDi[Nom1]),FALSE),""),"")</f>
        <v/>
      </c>
      <c r="F282" s="53" t="str">
        <f>IFERROR(IF(VLOOKUP(T_Equipement[[#This Row],[NumL]],T_suiviDi[#Data],COLUMN(T_suiviDi[Prénom1]),FALSE)&lt;&gt;"",VLOOKUP(T_Equipement[[#This Row],[NumL]],T_suiviDi[#Data],COLUMN(T_suiviDi[Prénom1]),FALSE),""),"")</f>
        <v/>
      </c>
      <c r="G282" s="53" t="str">
        <f>IFERROR(IF(VLOOKUP(T_Equipement[[#This Row],[NumL]],T_suiviDi[#Data],COLUMN(T_suiviDi[Email1]),FALSE)&lt;&gt;"",VLOOKUP(T_Equipement[[#This Row],[NumL]],T_suiviDi[#Data],COLUMN(T_suiviDi[Email1]),FALSE),""),"")</f>
        <v/>
      </c>
      <c r="H282" s="59" t="s">
        <v>3277</v>
      </c>
      <c r="I282" s="251">
        <v>44165</v>
      </c>
      <c r="J282" s="60" t="s">
        <v>3264</v>
      </c>
      <c r="K282" s="61"/>
      <c r="L282" s="62"/>
      <c r="M282" s="59"/>
      <c r="N282" s="59"/>
      <c r="O282" s="59"/>
      <c r="P282" s="59"/>
      <c r="Q282" s="59"/>
      <c r="R282" s="59"/>
      <c r="S282" s="61"/>
      <c r="T282" s="59" t="e">
        <f>VLOOKUP(T_Equipement[[#This Row],[NumL]],T_TraitDi[#Data],COLUMN(#REF!),FALSE)</f>
        <v>#REF!</v>
      </c>
    </row>
    <row r="283" spans="1:20" ht="24" customHeight="1" x14ac:dyDescent="0.25">
      <c r="A283" s="90">
        <v>353</v>
      </c>
      <c r="B283" s="51" t="str">
        <f>IFERROR(IF(VLOOKUP(T_Equipement[[#This Row],[NumL]],T_suiviDi[#Data],COLUMN(T_suiviDi[Nom]),FALSE)&lt;&gt;"",VLOOKUP(T_Equipement[[#This Row],[NumL]],T_suiviDi[#Data],COLUMN(T_suiviDi[Nom]),FALSE),""),"")</f>
        <v/>
      </c>
      <c r="C283" s="51" t="str">
        <f>IFERROR(IF(VLOOKUP(T_Equipement[[#This Row],[NumL]],T_suiviDi[#Data],COLUMN(T_suiviDi[Prénom]),FALSE)&lt;&gt;"",VLOOKUP(T_Equipement[[#This Row],[NumL]],T_suiviDi[#Data],COLUMN(T_suiviDi[Prénom]),FALSE),""),"")</f>
        <v/>
      </c>
      <c r="D283" s="52" t="str">
        <f>IFERROR(IF(VLOOKUP(T_Equipement[[#This Row],[NumL]],T_suiviDi[#Data],COLUMN(T_suiviDi[Email]),FALSE)&lt;&gt;"",VLOOKUP(T_Equipement[[#This Row],[NumL]],T_suiviDi[#Data],COLUMN(T_suiviDi[Email]),FALSE),""),"")</f>
        <v/>
      </c>
      <c r="E283" s="53" t="str">
        <f>IFERROR(IF(VLOOKUP(T_Equipement[[#This Row],[NumL]],T_suiviDi[#Data],COLUMN(T_suiviDi[Nom1]),FALSE)&lt;&gt;"",VLOOKUP(T_Equipement[[#This Row],[NumL]],T_suiviDi[#Data],COLUMN(T_suiviDi[Nom1]),FALSE),""),"")</f>
        <v/>
      </c>
      <c r="F283" s="53" t="str">
        <f>IFERROR(IF(VLOOKUP(T_Equipement[[#This Row],[NumL]],T_suiviDi[#Data],COLUMN(T_suiviDi[Prénom1]),FALSE)&lt;&gt;"",VLOOKUP(T_Equipement[[#This Row],[NumL]],T_suiviDi[#Data],COLUMN(T_suiviDi[Prénom1]),FALSE),""),"")</f>
        <v/>
      </c>
      <c r="G283" s="53" t="str">
        <f>IFERROR(IF(VLOOKUP(T_Equipement[[#This Row],[NumL]],T_suiviDi[#Data],COLUMN(T_suiviDi[Email1]),FALSE)&lt;&gt;"",VLOOKUP(T_Equipement[[#This Row],[NumL]],T_suiviDi[#Data],COLUMN(T_suiviDi[Email1]),FALSE),""),"")</f>
        <v/>
      </c>
      <c r="H283" s="59"/>
      <c r="I283" s="61"/>
      <c r="J283" s="60"/>
      <c r="K283" s="61"/>
      <c r="L283" s="62"/>
      <c r="M283" s="59"/>
      <c r="N283" s="59"/>
      <c r="O283" s="59"/>
      <c r="P283" s="59"/>
      <c r="Q283" s="59"/>
      <c r="R283" s="59"/>
      <c r="S283" s="61"/>
      <c r="T283" s="59"/>
    </row>
    <row r="284" spans="1:20" ht="24" customHeight="1" x14ac:dyDescent="0.25">
      <c r="A284" s="90">
        <v>192</v>
      </c>
      <c r="B284" s="51" t="str">
        <f>IFERROR(IF(VLOOKUP(T_Equipement[[#This Row],[NumL]],T_suiviDi[#Data],COLUMN(T_suiviDi[Nom]),FALSE)&lt;&gt;"",VLOOKUP(T_Equipement[[#This Row],[NumL]],T_suiviDi[#Data],COLUMN(T_suiviDi[Nom]),FALSE),""),"")</f>
        <v/>
      </c>
      <c r="C284" s="51" t="str">
        <f>IFERROR(IF(VLOOKUP(T_Equipement[[#This Row],[NumL]],T_suiviDi[#Data],COLUMN(T_suiviDi[Prénom]),FALSE)&lt;&gt;"",VLOOKUP(T_Equipement[[#This Row],[NumL]],T_suiviDi[#Data],COLUMN(T_suiviDi[Prénom]),FALSE),""),"")</f>
        <v/>
      </c>
      <c r="D284" s="52" t="str">
        <f>IFERROR(IF(VLOOKUP(T_Equipement[[#This Row],[NumL]],T_suiviDi[#Data],COLUMN(T_suiviDi[Email]),FALSE)&lt;&gt;"",VLOOKUP(T_Equipement[[#This Row],[NumL]],T_suiviDi[#Data],COLUMN(T_suiviDi[Email]),FALSE),""),"")</f>
        <v/>
      </c>
      <c r="E284" s="53" t="str">
        <f>IFERROR(IF(VLOOKUP(T_Equipement[[#This Row],[NumL]],T_suiviDi[#Data],COLUMN(T_suiviDi[Nom1]),FALSE)&lt;&gt;"",VLOOKUP(T_Equipement[[#This Row],[NumL]],T_suiviDi[#Data],COLUMN(T_suiviDi[Nom1]),FALSE),""),"")</f>
        <v/>
      </c>
      <c r="F284" s="53" t="str">
        <f>IFERROR(IF(VLOOKUP(T_Equipement[[#This Row],[NumL]],T_suiviDi[#Data],COLUMN(T_suiviDi[Prénom1]),FALSE)&lt;&gt;"",VLOOKUP(T_Equipement[[#This Row],[NumL]],T_suiviDi[#Data],COLUMN(T_suiviDi[Prénom1]),FALSE),""),"")</f>
        <v/>
      </c>
      <c r="G284" s="53" t="str">
        <f>IFERROR(IF(VLOOKUP(T_Equipement[[#This Row],[NumL]],T_suiviDi[#Data],COLUMN(T_suiviDi[Email1]),FALSE)&lt;&gt;"",VLOOKUP(T_Equipement[[#This Row],[NumL]],T_suiviDi[#Data],COLUMN(T_suiviDi[Email1]),FALSE),""),"")</f>
        <v/>
      </c>
      <c r="H284" s="59"/>
      <c r="I284" s="61"/>
      <c r="J284" s="60" t="s">
        <v>3265</v>
      </c>
      <c r="K284" s="61"/>
      <c r="L284" s="62"/>
      <c r="M284" s="59"/>
      <c r="N284" s="59"/>
      <c r="O284" s="59"/>
      <c r="P284" s="59"/>
      <c r="Q284" s="59"/>
      <c r="R284" s="59"/>
      <c r="S284" s="61"/>
      <c r="T284" s="59" t="e">
        <f>VLOOKUP(T_Equipement[[#This Row],[NumL]],T_TraitDi[#Data],COLUMN(#REF!),FALSE)</f>
        <v>#REF!</v>
      </c>
    </row>
    <row r="285" spans="1:20" ht="24" customHeight="1" x14ac:dyDescent="0.25">
      <c r="A285" s="90">
        <v>214</v>
      </c>
      <c r="B285" s="51" t="str">
        <f>IFERROR(IF(VLOOKUP(T_Equipement[[#This Row],[NumL]],T_suiviDi[#Data],COLUMN(T_suiviDi[Nom]),FALSE)&lt;&gt;"",VLOOKUP(T_Equipement[[#This Row],[NumL]],T_suiviDi[#Data],COLUMN(T_suiviDi[Nom]),FALSE),""),"")</f>
        <v/>
      </c>
      <c r="C285" s="51" t="str">
        <f>IFERROR(IF(VLOOKUP(T_Equipement[[#This Row],[NumL]],T_suiviDi[#Data],COLUMN(T_suiviDi[Prénom]),FALSE)&lt;&gt;"",VLOOKUP(T_Equipement[[#This Row],[NumL]],T_suiviDi[#Data],COLUMN(T_suiviDi[Prénom]),FALSE),""),"")</f>
        <v/>
      </c>
      <c r="D285" s="52" t="str">
        <f>IFERROR(IF(VLOOKUP(T_Equipement[[#This Row],[NumL]],T_suiviDi[#Data],COLUMN(T_suiviDi[Email]),FALSE)&lt;&gt;"",VLOOKUP(T_Equipement[[#This Row],[NumL]],T_suiviDi[#Data],COLUMN(T_suiviDi[Email]),FALSE),""),"")</f>
        <v/>
      </c>
      <c r="E285" s="53" t="str">
        <f>IFERROR(IF(VLOOKUP(T_Equipement[[#This Row],[NumL]],T_suiviDi[#Data],COLUMN(T_suiviDi[Nom1]),FALSE)&lt;&gt;"",VLOOKUP(T_Equipement[[#This Row],[NumL]],T_suiviDi[#Data],COLUMN(T_suiviDi[Nom1]),FALSE),""),"")</f>
        <v/>
      </c>
      <c r="F285" s="53" t="str">
        <f>IFERROR(IF(VLOOKUP(T_Equipement[[#This Row],[NumL]],T_suiviDi[#Data],COLUMN(T_suiviDi[Prénom1]),FALSE)&lt;&gt;"",VLOOKUP(T_Equipement[[#This Row],[NumL]],T_suiviDi[#Data],COLUMN(T_suiviDi[Prénom1]),FALSE),""),"")</f>
        <v/>
      </c>
      <c r="G285" s="53" t="str">
        <f>IFERROR(IF(VLOOKUP(T_Equipement[[#This Row],[NumL]],T_suiviDi[#Data],COLUMN(T_suiviDi[Email1]),FALSE)&lt;&gt;"",VLOOKUP(T_Equipement[[#This Row],[NumL]],T_suiviDi[#Data],COLUMN(T_suiviDi[Email1]),FALSE),""),"")</f>
        <v/>
      </c>
      <c r="H285" s="59" t="s">
        <v>3277</v>
      </c>
      <c r="I285" s="251">
        <v>44165</v>
      </c>
      <c r="J285" s="60" t="s">
        <v>3266</v>
      </c>
      <c r="K285" s="61"/>
      <c r="L285" s="62"/>
      <c r="M285" s="59"/>
      <c r="N285" s="59"/>
      <c r="O285" s="59"/>
      <c r="P285" s="59"/>
      <c r="Q285" s="59"/>
      <c r="R285" s="59"/>
      <c r="S285" s="61"/>
      <c r="T285" s="59" t="e">
        <f>VLOOKUP(T_Equipement[[#This Row],[NumL]],T_TraitDi[#Data],COLUMN(#REF!),FALSE)</f>
        <v>#REF!</v>
      </c>
    </row>
    <row r="286" spans="1:20" ht="24" customHeight="1" x14ac:dyDescent="0.25">
      <c r="A286" s="90">
        <v>50</v>
      </c>
      <c r="B286" s="51" t="str">
        <f>IFERROR(IF(VLOOKUP(T_Equipement[[#This Row],[NumL]],T_suiviDi[#Data],COLUMN(T_suiviDi[Nom]),FALSE)&lt;&gt;"",VLOOKUP(T_Equipement[[#This Row],[NumL]],T_suiviDi[#Data],COLUMN(T_suiviDi[Nom]),FALSE),""),"")</f>
        <v/>
      </c>
      <c r="C286" s="51" t="str">
        <f>IFERROR(IF(VLOOKUP(T_Equipement[[#This Row],[NumL]],T_suiviDi[#Data],COLUMN(T_suiviDi[Prénom]),FALSE)&lt;&gt;"",VLOOKUP(T_Equipement[[#This Row],[NumL]],T_suiviDi[#Data],COLUMN(T_suiviDi[Prénom]),FALSE),""),"")</f>
        <v/>
      </c>
      <c r="D286" s="52" t="str">
        <f>IFERROR(IF(VLOOKUP(T_Equipement[[#This Row],[NumL]],T_suiviDi[#Data],COLUMN(T_suiviDi[Email]),FALSE)&lt;&gt;"",VLOOKUP(T_Equipement[[#This Row],[NumL]],T_suiviDi[#Data],COLUMN(T_suiviDi[Email]),FALSE),""),"")</f>
        <v/>
      </c>
      <c r="E286" s="53" t="str">
        <f>IFERROR(IF(VLOOKUP(T_Equipement[[#This Row],[NumL]],T_suiviDi[#Data],COLUMN(T_suiviDi[Nom1]),FALSE)&lt;&gt;"",VLOOKUP(T_Equipement[[#This Row],[NumL]],T_suiviDi[#Data],COLUMN(T_suiviDi[Nom1]),FALSE),""),"")</f>
        <v/>
      </c>
      <c r="F286" s="53" t="str">
        <f>IFERROR(IF(VLOOKUP(T_Equipement[[#This Row],[NumL]],T_suiviDi[#Data],COLUMN(T_suiviDi[Prénom1]),FALSE)&lt;&gt;"",VLOOKUP(T_Equipement[[#This Row],[NumL]],T_suiviDi[#Data],COLUMN(T_suiviDi[Prénom1]),FALSE),""),"")</f>
        <v/>
      </c>
      <c r="G286" s="53" t="str">
        <f>IFERROR(IF(VLOOKUP(T_Equipement[[#This Row],[NumL]],T_suiviDi[#Data],COLUMN(T_suiviDi[Email1]),FALSE)&lt;&gt;"",VLOOKUP(T_Equipement[[#This Row],[NumL]],T_suiviDi[#Data],COLUMN(T_suiviDi[Email1]),FALSE),""),"")</f>
        <v/>
      </c>
      <c r="H286" s="59"/>
      <c r="I286" s="61"/>
      <c r="J286" s="60" t="s">
        <v>3267</v>
      </c>
      <c r="K286" s="61"/>
      <c r="L286" s="62"/>
      <c r="M286" s="59"/>
      <c r="N286" s="59"/>
      <c r="O286" s="59"/>
      <c r="P286" s="59"/>
      <c r="Q286" s="59"/>
      <c r="R286" s="59"/>
      <c r="S286" s="61"/>
      <c r="T286" s="59" t="e">
        <f>VLOOKUP(T_Equipement[[#This Row],[NumL]],T_TraitDi[#Data],COLUMN(#REF!),FALSE)</f>
        <v>#REF!</v>
      </c>
    </row>
    <row r="287" spans="1:20" ht="24" customHeight="1" x14ac:dyDescent="0.25">
      <c r="A287" s="90">
        <v>262</v>
      </c>
      <c r="B287" s="51" t="str">
        <f>IFERROR(IF(VLOOKUP(T_Equipement[[#This Row],[NumL]],T_suiviDi[#Data],COLUMN(T_suiviDi[Nom]),FALSE)&lt;&gt;"",VLOOKUP(T_Equipement[[#This Row],[NumL]],T_suiviDi[#Data],COLUMN(T_suiviDi[Nom]),FALSE),""),"")</f>
        <v/>
      </c>
      <c r="C287" s="51" t="str">
        <f>IFERROR(IF(VLOOKUP(T_Equipement[[#This Row],[NumL]],T_suiviDi[#Data],COLUMN(T_suiviDi[Prénom]),FALSE)&lt;&gt;"",VLOOKUP(T_Equipement[[#This Row],[NumL]],T_suiviDi[#Data],COLUMN(T_suiviDi[Prénom]),FALSE),""),"")</f>
        <v/>
      </c>
      <c r="D287" s="52" t="str">
        <f>IFERROR(IF(VLOOKUP(T_Equipement[[#This Row],[NumL]],T_suiviDi[#Data],COLUMN(T_suiviDi[Email]),FALSE)&lt;&gt;"",VLOOKUP(T_Equipement[[#This Row],[NumL]],T_suiviDi[#Data],COLUMN(T_suiviDi[Email]),FALSE),""),"")</f>
        <v/>
      </c>
      <c r="E287" s="53" t="str">
        <f>IFERROR(IF(VLOOKUP(T_Equipement[[#This Row],[NumL]],T_suiviDi[#Data],COLUMN(T_suiviDi[Nom1]),FALSE)&lt;&gt;"",VLOOKUP(T_Equipement[[#This Row],[NumL]],T_suiviDi[#Data],COLUMN(T_suiviDi[Nom1]),FALSE),""),"")</f>
        <v/>
      </c>
      <c r="F287" s="53" t="str">
        <f>IFERROR(IF(VLOOKUP(T_Equipement[[#This Row],[NumL]],T_suiviDi[#Data],COLUMN(T_suiviDi[Prénom1]),FALSE)&lt;&gt;"",VLOOKUP(T_Equipement[[#This Row],[NumL]],T_suiviDi[#Data],COLUMN(T_suiviDi[Prénom1]),FALSE),""),"")</f>
        <v/>
      </c>
      <c r="G287" s="53" t="str">
        <f>IFERROR(IF(VLOOKUP(T_Equipement[[#This Row],[NumL]],T_suiviDi[#Data],COLUMN(T_suiviDi[Email1]),FALSE)&lt;&gt;"",VLOOKUP(T_Equipement[[#This Row],[NumL]],T_suiviDi[#Data],COLUMN(T_suiviDi[Email1]),FALSE),""),"")</f>
        <v/>
      </c>
      <c r="H287" s="59" t="s">
        <v>3277</v>
      </c>
      <c r="I287" s="251">
        <v>44165</v>
      </c>
      <c r="J287" s="60" t="s">
        <v>3268</v>
      </c>
      <c r="K287" s="61"/>
      <c r="L287" s="62"/>
      <c r="M287" s="59"/>
      <c r="N287" s="59"/>
      <c r="O287" s="59"/>
      <c r="P287" s="59"/>
      <c r="Q287" s="59"/>
      <c r="R287" s="59"/>
      <c r="S287" s="61"/>
      <c r="T287" s="59" t="e">
        <f>VLOOKUP(T_Equipement[[#This Row],[NumL]],T_TraitDi[#Data],COLUMN(#REF!),FALSE)</f>
        <v>#REF!</v>
      </c>
    </row>
    <row r="288" spans="1:20" ht="24" customHeight="1" x14ac:dyDescent="0.25">
      <c r="A288" s="90">
        <v>132</v>
      </c>
      <c r="B288" s="51" t="str">
        <f>IFERROR(IF(VLOOKUP(T_Equipement[[#This Row],[NumL]],T_suiviDi[#Data],COLUMN(T_suiviDi[Nom]),FALSE)&lt;&gt;"",VLOOKUP(T_Equipement[[#This Row],[NumL]],T_suiviDi[#Data],COLUMN(T_suiviDi[Nom]),FALSE),""),"")</f>
        <v/>
      </c>
      <c r="C288" s="51" t="str">
        <f>IFERROR(IF(VLOOKUP(T_Equipement[[#This Row],[NumL]],T_suiviDi[#Data],COLUMN(T_suiviDi[Prénom]),FALSE)&lt;&gt;"",VLOOKUP(T_Equipement[[#This Row],[NumL]],T_suiviDi[#Data],COLUMN(T_suiviDi[Prénom]),FALSE),""),"")</f>
        <v/>
      </c>
      <c r="D288" s="52" t="str">
        <f>IFERROR(IF(VLOOKUP(T_Equipement[[#This Row],[NumL]],T_suiviDi[#Data],COLUMN(T_suiviDi[Email]),FALSE)&lt;&gt;"",VLOOKUP(T_Equipement[[#This Row],[NumL]],T_suiviDi[#Data],COLUMN(T_suiviDi[Email]),FALSE),""),"")</f>
        <v/>
      </c>
      <c r="E288" s="53" t="str">
        <f>IFERROR(IF(VLOOKUP(T_Equipement[[#This Row],[NumL]],T_suiviDi[#Data],COLUMN(T_suiviDi[Nom1]),FALSE)&lt;&gt;"",VLOOKUP(T_Equipement[[#This Row],[NumL]],T_suiviDi[#Data],COLUMN(T_suiviDi[Nom1]),FALSE),""),"")</f>
        <v/>
      </c>
      <c r="F288" s="53" t="str">
        <f>IFERROR(IF(VLOOKUP(T_Equipement[[#This Row],[NumL]],T_suiviDi[#Data],COLUMN(T_suiviDi[Prénom1]),FALSE)&lt;&gt;"",VLOOKUP(T_Equipement[[#This Row],[NumL]],T_suiviDi[#Data],COLUMN(T_suiviDi[Prénom1]),FALSE),""),"")</f>
        <v/>
      </c>
      <c r="G288" s="53" t="str">
        <f>IFERROR(IF(VLOOKUP(T_Equipement[[#This Row],[NumL]],T_suiviDi[#Data],COLUMN(T_suiviDi[Email1]),FALSE)&lt;&gt;"",VLOOKUP(T_Equipement[[#This Row],[NumL]],T_suiviDi[#Data],COLUMN(T_suiviDi[Email1]),FALSE),""),"")</f>
        <v/>
      </c>
      <c r="H288" s="59" t="s">
        <v>3277</v>
      </c>
      <c r="I288" s="251">
        <v>44165</v>
      </c>
      <c r="J288" s="60" t="s">
        <v>3269</v>
      </c>
      <c r="K288" s="61"/>
      <c r="L288" s="62"/>
      <c r="M288" s="59"/>
      <c r="N288" s="59"/>
      <c r="O288" s="59"/>
      <c r="P288" s="59"/>
      <c r="Q288" s="59"/>
      <c r="R288" s="59"/>
      <c r="S288" s="61"/>
      <c r="T288" s="59" t="e">
        <f>VLOOKUP(T_Equipement[[#This Row],[NumL]],T_TraitDi[#Data],COLUMN(#REF!),FALSE)</f>
        <v>#REF!</v>
      </c>
    </row>
    <row r="289" spans="1:20" ht="24" customHeight="1" x14ac:dyDescent="0.25">
      <c r="A289" s="90">
        <v>166</v>
      </c>
      <c r="B289" s="51" t="str">
        <f>IFERROR(IF(VLOOKUP(T_Equipement[[#This Row],[NumL]],T_suiviDi[#Data],COLUMN(T_suiviDi[Nom]),FALSE)&lt;&gt;"",VLOOKUP(T_Equipement[[#This Row],[NumL]],T_suiviDi[#Data],COLUMN(T_suiviDi[Nom]),FALSE),""),"")</f>
        <v/>
      </c>
      <c r="C289" s="51" t="str">
        <f>IFERROR(IF(VLOOKUP(T_Equipement[[#This Row],[NumL]],T_suiviDi[#Data],COLUMN(T_suiviDi[Prénom]),FALSE)&lt;&gt;"",VLOOKUP(T_Equipement[[#This Row],[NumL]],T_suiviDi[#Data],COLUMN(T_suiviDi[Prénom]),FALSE),""),"")</f>
        <v/>
      </c>
      <c r="D289" s="52" t="str">
        <f>IFERROR(IF(VLOOKUP(T_Equipement[[#This Row],[NumL]],T_suiviDi[#Data],COLUMN(T_suiviDi[Email]),FALSE)&lt;&gt;"",VLOOKUP(T_Equipement[[#This Row],[NumL]],T_suiviDi[#Data],COLUMN(T_suiviDi[Email]),FALSE),""),"")</f>
        <v/>
      </c>
      <c r="E289" s="53" t="str">
        <f>IFERROR(IF(VLOOKUP(T_Equipement[[#This Row],[NumL]],T_suiviDi[#Data],COLUMN(T_suiviDi[Nom1]),FALSE)&lt;&gt;"",VLOOKUP(T_Equipement[[#This Row],[NumL]],T_suiviDi[#Data],COLUMN(T_suiviDi[Nom1]),FALSE),""),"")</f>
        <v/>
      </c>
      <c r="F289" s="53" t="str">
        <f>IFERROR(IF(VLOOKUP(T_Equipement[[#This Row],[NumL]],T_suiviDi[#Data],COLUMN(T_suiviDi[Prénom1]),FALSE)&lt;&gt;"",VLOOKUP(T_Equipement[[#This Row],[NumL]],T_suiviDi[#Data],COLUMN(T_suiviDi[Prénom1]),FALSE),""),"")</f>
        <v/>
      </c>
      <c r="G289" s="53" t="str">
        <f>IFERROR(IF(VLOOKUP(T_Equipement[[#This Row],[NumL]],T_suiviDi[#Data],COLUMN(T_suiviDi[Email1]),FALSE)&lt;&gt;"",VLOOKUP(T_Equipement[[#This Row],[NumL]],T_suiviDi[#Data],COLUMN(T_suiviDi[Email1]),FALSE),""),"")</f>
        <v/>
      </c>
      <c r="H289" s="59"/>
      <c r="I289" s="61"/>
      <c r="J289" s="60" t="s">
        <v>3270</v>
      </c>
      <c r="K289" s="61"/>
      <c r="L289" s="62"/>
      <c r="M289" s="59"/>
      <c r="N289" s="59"/>
      <c r="O289" s="59"/>
      <c r="P289" s="59"/>
      <c r="Q289" s="59"/>
      <c r="R289" s="59"/>
      <c r="S289" s="61"/>
      <c r="T289" s="59" t="e">
        <f>VLOOKUP(T_Equipement[[#This Row],[NumL]],T_TraitDi[#Data],COLUMN(#REF!),FALSE)</f>
        <v>#REF!</v>
      </c>
    </row>
    <row r="290" spans="1:20" ht="24" customHeight="1" x14ac:dyDescent="0.25">
      <c r="A290" s="90">
        <v>325</v>
      </c>
      <c r="B290" s="51" t="str">
        <f>IFERROR(IF(VLOOKUP(T_Equipement[[#This Row],[NumL]],T_suiviDi[#Data],COLUMN(T_suiviDi[Nom]),FALSE)&lt;&gt;"",VLOOKUP(T_Equipement[[#This Row],[NumL]],T_suiviDi[#Data],COLUMN(T_suiviDi[Nom]),FALSE),""),"")</f>
        <v/>
      </c>
      <c r="C290" s="51" t="str">
        <f>IFERROR(IF(VLOOKUP(T_Equipement[[#This Row],[NumL]],T_suiviDi[#Data],COLUMN(T_suiviDi[Prénom]),FALSE)&lt;&gt;"",VLOOKUP(T_Equipement[[#This Row],[NumL]],T_suiviDi[#Data],COLUMN(T_suiviDi[Prénom]),FALSE),""),"")</f>
        <v/>
      </c>
      <c r="D290" s="52" t="str">
        <f>IFERROR(IF(VLOOKUP(T_Equipement[[#This Row],[NumL]],T_suiviDi[#Data],COLUMN(T_suiviDi[Email]),FALSE)&lt;&gt;"",VLOOKUP(T_Equipement[[#This Row],[NumL]],T_suiviDi[#Data],COLUMN(T_suiviDi[Email]),FALSE),""),"")</f>
        <v/>
      </c>
      <c r="E290" s="53" t="str">
        <f>IFERROR(IF(VLOOKUP(T_Equipement[[#This Row],[NumL]],T_suiviDi[#Data],COLUMN(T_suiviDi[Nom1]),FALSE)&lt;&gt;"",VLOOKUP(T_Equipement[[#This Row],[NumL]],T_suiviDi[#Data],COLUMN(T_suiviDi[Nom1]),FALSE),""),"")</f>
        <v/>
      </c>
      <c r="F290" s="53" t="str">
        <f>IFERROR(IF(VLOOKUP(T_Equipement[[#This Row],[NumL]],T_suiviDi[#Data],COLUMN(T_suiviDi[Prénom1]),FALSE)&lt;&gt;"",VLOOKUP(T_Equipement[[#This Row],[NumL]],T_suiviDi[#Data],COLUMN(T_suiviDi[Prénom1]),FALSE),""),"")</f>
        <v/>
      </c>
      <c r="G290" s="53" t="str">
        <f>IFERROR(IF(VLOOKUP(T_Equipement[[#This Row],[NumL]],T_suiviDi[#Data],COLUMN(T_suiviDi[Email1]),FALSE)&lt;&gt;"",VLOOKUP(T_Equipement[[#This Row],[NumL]],T_suiviDi[#Data],COLUMN(T_suiviDi[Email1]),FALSE),""),"")</f>
        <v/>
      </c>
      <c r="H290" s="59"/>
      <c r="I290" s="61"/>
      <c r="J290" s="60"/>
      <c r="K290" s="61"/>
      <c r="L290" s="62"/>
      <c r="M290" s="59"/>
      <c r="N290" s="59"/>
      <c r="O290" s="59"/>
      <c r="P290" s="59"/>
      <c r="Q290" s="59"/>
      <c r="R290" s="59"/>
      <c r="S290" s="61"/>
      <c r="T290" s="59"/>
    </row>
    <row r="291" spans="1:20" ht="24" customHeight="1" x14ac:dyDescent="0.25">
      <c r="A291" s="90">
        <v>175</v>
      </c>
      <c r="B291" s="51" t="str">
        <f>IFERROR(IF(VLOOKUP(T_Equipement[[#This Row],[NumL]],T_suiviDi[#Data],COLUMN(T_suiviDi[Nom]),FALSE)&lt;&gt;"",VLOOKUP(T_Equipement[[#This Row],[NumL]],T_suiviDi[#Data],COLUMN(T_suiviDi[Nom]),FALSE),""),"")</f>
        <v/>
      </c>
      <c r="C291" s="51" t="str">
        <f>IFERROR(IF(VLOOKUP(T_Equipement[[#This Row],[NumL]],T_suiviDi[#Data],COLUMN(T_suiviDi[Prénom]),FALSE)&lt;&gt;"",VLOOKUP(T_Equipement[[#This Row],[NumL]],T_suiviDi[#Data],COLUMN(T_suiviDi[Prénom]),FALSE),""),"")</f>
        <v/>
      </c>
      <c r="D291" s="52" t="str">
        <f>IFERROR(IF(VLOOKUP(T_Equipement[[#This Row],[NumL]],T_suiviDi[#Data],COLUMN(T_suiviDi[Email]),FALSE)&lt;&gt;"",VLOOKUP(T_Equipement[[#This Row],[NumL]],T_suiviDi[#Data],COLUMN(T_suiviDi[Email]),FALSE),""),"")</f>
        <v/>
      </c>
      <c r="E291" s="53" t="str">
        <f>IFERROR(IF(VLOOKUP(T_Equipement[[#This Row],[NumL]],T_suiviDi[#Data],COLUMN(T_suiviDi[Nom1]),FALSE)&lt;&gt;"",VLOOKUP(T_Equipement[[#This Row],[NumL]],T_suiviDi[#Data],COLUMN(T_suiviDi[Nom1]),FALSE),""),"")</f>
        <v/>
      </c>
      <c r="F291" s="53" t="str">
        <f>IFERROR(IF(VLOOKUP(T_Equipement[[#This Row],[NumL]],T_suiviDi[#Data],COLUMN(T_suiviDi[Prénom1]),FALSE)&lt;&gt;"",VLOOKUP(T_Equipement[[#This Row],[NumL]],T_suiviDi[#Data],COLUMN(T_suiviDi[Prénom1]),FALSE),""),"")</f>
        <v/>
      </c>
      <c r="G291" s="53" t="str">
        <f>IFERROR(IF(VLOOKUP(T_Equipement[[#This Row],[NumL]],T_suiviDi[#Data],COLUMN(T_suiviDi[Email1]),FALSE)&lt;&gt;"",VLOOKUP(T_Equipement[[#This Row],[NumL]],T_suiviDi[#Data],COLUMN(T_suiviDi[Email1]),FALSE),""),"")</f>
        <v/>
      </c>
      <c r="H291" s="59" t="s">
        <v>3277</v>
      </c>
      <c r="I291" s="251">
        <v>44165</v>
      </c>
      <c r="J291" s="60" t="s">
        <v>3271</v>
      </c>
      <c r="K291" s="61"/>
      <c r="L291" s="62"/>
      <c r="M291" s="59"/>
      <c r="N291" s="59"/>
      <c r="O291" s="59"/>
      <c r="P291" s="59"/>
      <c r="Q291" s="59"/>
      <c r="R291" s="59"/>
      <c r="S291" s="61"/>
      <c r="T291" s="59" t="e">
        <f>VLOOKUP(T_Equipement[[#This Row],[NumL]],T_TraitDi[#Data],COLUMN(#REF!),FALSE)</f>
        <v>#REF!</v>
      </c>
    </row>
    <row r="292" spans="1:20" ht="24" customHeight="1" x14ac:dyDescent="0.25">
      <c r="A292" s="90">
        <v>230</v>
      </c>
      <c r="B292" s="51" t="str">
        <f>IFERROR(IF(VLOOKUP(T_Equipement[[#This Row],[NumL]],T_suiviDi[#Data],COLUMN(T_suiviDi[Nom]),FALSE)&lt;&gt;"",VLOOKUP(T_Equipement[[#This Row],[NumL]],T_suiviDi[#Data],COLUMN(T_suiviDi[Nom]),FALSE),""),"")</f>
        <v/>
      </c>
      <c r="C292" s="51" t="str">
        <f>IFERROR(IF(VLOOKUP(T_Equipement[[#This Row],[NumL]],T_suiviDi[#Data],COLUMN(T_suiviDi[Prénom]),FALSE)&lt;&gt;"",VLOOKUP(T_Equipement[[#This Row],[NumL]],T_suiviDi[#Data],COLUMN(T_suiviDi[Prénom]),FALSE),""),"")</f>
        <v/>
      </c>
      <c r="D292" s="52" t="str">
        <f>IFERROR(IF(VLOOKUP(T_Equipement[[#This Row],[NumL]],T_suiviDi[#Data],COLUMN(T_suiviDi[Email]),FALSE)&lt;&gt;"",VLOOKUP(T_Equipement[[#This Row],[NumL]],T_suiviDi[#Data],COLUMN(T_suiviDi[Email]),FALSE),""),"")</f>
        <v/>
      </c>
      <c r="E292" s="53" t="str">
        <f>IFERROR(IF(VLOOKUP(T_Equipement[[#This Row],[NumL]],T_suiviDi[#Data],COLUMN(T_suiviDi[Nom1]),FALSE)&lt;&gt;"",VLOOKUP(T_Equipement[[#This Row],[NumL]],T_suiviDi[#Data],COLUMN(T_suiviDi[Nom1]),FALSE),""),"")</f>
        <v/>
      </c>
      <c r="F292" s="53" t="str">
        <f>IFERROR(IF(VLOOKUP(T_Equipement[[#This Row],[NumL]],T_suiviDi[#Data],COLUMN(T_suiviDi[Prénom1]),FALSE)&lt;&gt;"",VLOOKUP(T_Equipement[[#This Row],[NumL]],T_suiviDi[#Data],COLUMN(T_suiviDi[Prénom1]),FALSE),""),"")</f>
        <v/>
      </c>
      <c r="G292" s="53" t="str">
        <f>IFERROR(IF(VLOOKUP(T_Equipement[[#This Row],[NumL]],T_suiviDi[#Data],COLUMN(T_suiviDi[Email1]),FALSE)&lt;&gt;"",VLOOKUP(T_Equipement[[#This Row],[NumL]],T_suiviDi[#Data],COLUMN(T_suiviDi[Email1]),FALSE),""),"")</f>
        <v/>
      </c>
      <c r="H292" s="59"/>
      <c r="I292" s="61"/>
      <c r="J292" s="60" t="s">
        <v>3272</v>
      </c>
      <c r="K292" s="61"/>
      <c r="L292" s="62"/>
      <c r="M292" s="59"/>
      <c r="N292" s="59"/>
      <c r="O292" s="59"/>
      <c r="P292" s="59"/>
      <c r="Q292" s="59"/>
      <c r="R292" s="59"/>
      <c r="S292" s="61"/>
      <c r="T292" s="59" t="e">
        <f>VLOOKUP(T_Equipement[[#This Row],[NumL]],T_TraitDi[#Data],COLUMN(#REF!),FALSE)</f>
        <v>#REF!</v>
      </c>
    </row>
    <row r="293" spans="1:20" ht="24" customHeight="1" x14ac:dyDescent="0.25">
      <c r="A293" s="90">
        <v>344</v>
      </c>
      <c r="B293" s="51" t="str">
        <f>IFERROR(IF(VLOOKUP(T_Equipement[[#This Row],[NumL]],T_suiviDi[#Data],COLUMN(T_suiviDi[Nom]),FALSE)&lt;&gt;"",VLOOKUP(T_Equipement[[#This Row],[NumL]],T_suiviDi[#Data],COLUMN(T_suiviDi[Nom]),FALSE),""),"")</f>
        <v/>
      </c>
      <c r="C293" s="51" t="str">
        <f>IFERROR(IF(VLOOKUP(T_Equipement[[#This Row],[NumL]],T_suiviDi[#Data],COLUMN(T_suiviDi[Prénom]),FALSE)&lt;&gt;"",VLOOKUP(T_Equipement[[#This Row],[NumL]],T_suiviDi[#Data],COLUMN(T_suiviDi[Prénom]),FALSE),""),"")</f>
        <v/>
      </c>
      <c r="D293" s="52" t="str">
        <f>IFERROR(IF(VLOOKUP(T_Equipement[[#This Row],[NumL]],T_suiviDi[#Data],COLUMN(T_suiviDi[Email]),FALSE)&lt;&gt;"",VLOOKUP(T_Equipement[[#This Row],[NumL]],T_suiviDi[#Data],COLUMN(T_suiviDi[Email]),FALSE),""),"")</f>
        <v/>
      </c>
      <c r="E293" s="53" t="str">
        <f>IFERROR(IF(VLOOKUP(T_Equipement[[#This Row],[NumL]],T_suiviDi[#Data],COLUMN(T_suiviDi[Nom1]),FALSE)&lt;&gt;"",VLOOKUP(T_Equipement[[#This Row],[NumL]],T_suiviDi[#Data],COLUMN(T_suiviDi[Nom1]),FALSE),""),"")</f>
        <v/>
      </c>
      <c r="F293" s="53" t="str">
        <f>IFERROR(IF(VLOOKUP(T_Equipement[[#This Row],[NumL]],T_suiviDi[#Data],COLUMN(T_suiviDi[Prénom1]),FALSE)&lt;&gt;"",VLOOKUP(T_Equipement[[#This Row],[NumL]],T_suiviDi[#Data],COLUMN(T_suiviDi[Prénom1]),FALSE),""),"")</f>
        <v/>
      </c>
      <c r="G293" s="53" t="str">
        <f>IFERROR(IF(VLOOKUP(T_Equipement[[#This Row],[NumL]],T_suiviDi[#Data],COLUMN(T_suiviDi[Email1]),FALSE)&lt;&gt;"",VLOOKUP(T_Equipement[[#This Row],[NumL]],T_suiviDi[#Data],COLUMN(T_suiviDi[Email1]),FALSE),""),"")</f>
        <v/>
      </c>
      <c r="H293" s="59"/>
      <c r="I293" s="61"/>
      <c r="J293" s="60"/>
      <c r="K293" s="61"/>
      <c r="L293" s="62"/>
      <c r="M293" s="59"/>
      <c r="N293" s="59"/>
      <c r="O293" s="59"/>
      <c r="P293" s="59"/>
      <c r="Q293" s="59"/>
      <c r="R293" s="59"/>
      <c r="S293" s="61"/>
      <c r="T293" s="59"/>
    </row>
    <row r="294" spans="1:20" ht="24" customHeight="1" x14ac:dyDescent="0.25">
      <c r="A294" s="90">
        <v>123</v>
      </c>
      <c r="B294" s="51" t="str">
        <f>IFERROR(IF(VLOOKUP(T_Equipement[[#This Row],[NumL]],T_suiviDi[#Data],COLUMN(T_suiviDi[Nom]),FALSE)&lt;&gt;"",VLOOKUP(T_Equipement[[#This Row],[NumL]],T_suiviDi[#Data],COLUMN(T_suiviDi[Nom]),FALSE),""),"")</f>
        <v/>
      </c>
      <c r="C294" s="51" t="str">
        <f>IFERROR(IF(VLOOKUP(T_Equipement[[#This Row],[NumL]],T_suiviDi[#Data],COLUMN(T_suiviDi[Prénom]),FALSE)&lt;&gt;"",VLOOKUP(T_Equipement[[#This Row],[NumL]],T_suiviDi[#Data],COLUMN(T_suiviDi[Prénom]),FALSE),""),"")</f>
        <v/>
      </c>
      <c r="D294" s="52" t="str">
        <f>IFERROR(IF(VLOOKUP(T_Equipement[[#This Row],[NumL]],T_suiviDi[#Data],COLUMN(T_suiviDi[Email]),FALSE)&lt;&gt;"",VLOOKUP(T_Equipement[[#This Row],[NumL]],T_suiviDi[#Data],COLUMN(T_suiviDi[Email]),FALSE),""),"")</f>
        <v/>
      </c>
      <c r="E294" s="53" t="str">
        <f>IFERROR(IF(VLOOKUP(T_Equipement[[#This Row],[NumL]],T_suiviDi[#Data],COLUMN(T_suiviDi[Nom1]),FALSE)&lt;&gt;"",VLOOKUP(T_Equipement[[#This Row],[NumL]],T_suiviDi[#Data],COLUMN(T_suiviDi[Nom1]),FALSE),""),"")</f>
        <v/>
      </c>
      <c r="F294" s="53" t="str">
        <f>IFERROR(IF(VLOOKUP(T_Equipement[[#This Row],[NumL]],T_suiviDi[#Data],COLUMN(T_suiviDi[Prénom1]),FALSE)&lt;&gt;"",VLOOKUP(T_Equipement[[#This Row],[NumL]],T_suiviDi[#Data],COLUMN(T_suiviDi[Prénom1]),FALSE),""),"")</f>
        <v/>
      </c>
      <c r="G294" s="53" t="str">
        <f>IFERROR(IF(VLOOKUP(T_Equipement[[#This Row],[NumL]],T_suiviDi[#Data],COLUMN(T_suiviDi[Email1]),FALSE)&lt;&gt;"",VLOOKUP(T_Equipement[[#This Row],[NumL]],T_suiviDi[#Data],COLUMN(T_suiviDi[Email1]),FALSE),""),"")</f>
        <v/>
      </c>
      <c r="H294" s="59" t="s">
        <v>3278</v>
      </c>
      <c r="I294" s="251">
        <v>44165</v>
      </c>
      <c r="J294" s="60" t="s">
        <v>3273</v>
      </c>
      <c r="K294" s="61"/>
      <c r="L294" s="62"/>
      <c r="M294" s="59"/>
      <c r="N294" s="59"/>
      <c r="O294" s="59"/>
      <c r="P294" s="59"/>
      <c r="Q294" s="59"/>
      <c r="R294" s="59"/>
      <c r="S294" s="61"/>
      <c r="T294" s="59" t="e">
        <f>VLOOKUP(T_Equipement[[#This Row],[NumL]],T_TraitDi[#Data],COLUMN(#REF!),FALSE)</f>
        <v>#REF!</v>
      </c>
    </row>
    <row r="295" spans="1:20" ht="24" customHeight="1" x14ac:dyDescent="0.25">
      <c r="A295" s="90">
        <v>107</v>
      </c>
      <c r="B295" s="51" t="str">
        <f>IFERROR(IF(VLOOKUP(T_Equipement[[#This Row],[NumL]],T_suiviDi[#Data],COLUMN(T_suiviDi[Nom]),FALSE)&lt;&gt;"",VLOOKUP(T_Equipement[[#This Row],[NumL]],T_suiviDi[#Data],COLUMN(T_suiviDi[Nom]),FALSE),""),"")</f>
        <v>A</v>
      </c>
      <c r="C295" s="51" t="str">
        <f>IFERROR(IF(VLOOKUP(T_Equipement[[#This Row],[NumL]],T_suiviDi[#Data],COLUMN(T_suiviDi[Prénom]),FALSE)&lt;&gt;"",VLOOKUP(T_Equipement[[#This Row],[NumL]],T_suiviDi[#Data],COLUMN(T_suiviDi[Prénom]),FALSE),""),"")</f>
        <v>Cécile</v>
      </c>
      <c r="D295" s="52" t="str">
        <f>IFERROR(IF(VLOOKUP(T_Equipement[[#This Row],[NumL]],T_suiviDi[#Data],COLUMN(T_suiviDi[Email]),FALSE)&lt;&gt;"",VLOOKUP(T_Equipement[[#This Row],[NumL]],T_suiviDi[#Data],COLUMN(T_suiviDi[Email]),FALSE),""),"")</f>
        <v/>
      </c>
      <c r="E295" s="53" t="str">
        <f>IFERROR(IF(VLOOKUP(T_Equipement[[#This Row],[NumL]],T_suiviDi[#Data],COLUMN(T_suiviDi[Nom1]),FALSE)&lt;&gt;"",VLOOKUP(T_Equipement[[#This Row],[NumL]],T_suiviDi[#Data],COLUMN(T_suiviDi[Nom1]),FALSE),""),"")</f>
        <v>B</v>
      </c>
      <c r="F295" s="53" t="str">
        <f>IFERROR(IF(VLOOKUP(T_Equipement[[#This Row],[NumL]],T_suiviDi[#Data],COLUMN(T_suiviDi[Prénom1]),FALSE)&lt;&gt;"",VLOOKUP(T_Equipement[[#This Row],[NumL]],T_suiviDi[#Data],COLUMN(T_suiviDi[Prénom1]),FALSE),""),"")</f>
        <v>Anne-Sophie</v>
      </c>
      <c r="G295" s="53" t="str">
        <f>IFERROR(IF(VLOOKUP(T_Equipement[[#This Row],[NumL]],T_suiviDi[#Data],COLUMN(T_suiviDi[Email1]),FALSE)&lt;&gt;"",VLOOKUP(T_Equipement[[#This Row],[NumL]],T_suiviDi[#Data],COLUMN(T_suiviDi[Email1]),FALSE),""),"")</f>
        <v/>
      </c>
      <c r="H295" s="59" t="s">
        <v>3362</v>
      </c>
      <c r="I295" s="251">
        <v>44165</v>
      </c>
      <c r="J295" s="60" t="s">
        <v>3026</v>
      </c>
      <c r="K295" s="61"/>
      <c r="L295" s="62"/>
      <c r="M295" s="59"/>
      <c r="N295" s="59"/>
      <c r="O295" s="59"/>
      <c r="P295" s="59"/>
      <c r="Q295" s="59"/>
      <c r="R295" s="59"/>
      <c r="S295" s="61"/>
      <c r="T295" s="59" t="e">
        <f>VLOOKUP(T_Equipement[[#This Row],[NumL]],T_TraitDi[#Data],COLUMN(#REF!),FALSE)</f>
        <v>#REF!</v>
      </c>
    </row>
    <row r="296" spans="1:20" ht="24" customHeight="1" x14ac:dyDescent="0.25">
      <c r="A296" s="90">
        <v>264</v>
      </c>
      <c r="B296" s="51" t="str">
        <f>IFERROR(IF(VLOOKUP(T_Equipement[[#This Row],[NumL]],T_suiviDi[#Data],COLUMN(T_suiviDi[Nom]),FALSE)&lt;&gt;"",VLOOKUP(T_Equipement[[#This Row],[NumL]],T_suiviDi[#Data],COLUMN(T_suiviDi[Nom]),FALSE),""),"")</f>
        <v>A</v>
      </c>
      <c r="C296" s="51" t="str">
        <f>IFERROR(IF(VLOOKUP(T_Equipement[[#This Row],[NumL]],T_suiviDi[#Data],COLUMN(T_suiviDi[Prénom]),FALSE)&lt;&gt;"",VLOOKUP(T_Equipement[[#This Row],[NumL]],T_suiviDi[#Data],COLUMN(T_suiviDi[Prénom]),FALSE),""),"")</f>
        <v>Anne-Sophie</v>
      </c>
      <c r="D296" s="52" t="str">
        <f>IFERROR(IF(VLOOKUP(T_Equipement[[#This Row],[NumL]],T_suiviDi[#Data],COLUMN(T_suiviDi[Email]),FALSE)&lt;&gt;"",VLOOKUP(T_Equipement[[#This Row],[NumL]],T_suiviDi[#Data],COLUMN(T_suiviDi[Email]),FALSE),""),"")</f>
        <v/>
      </c>
      <c r="E296" s="53" t="str">
        <f>IFERROR(IF(VLOOKUP(T_Equipement[[#This Row],[NumL]],T_suiviDi[#Data],COLUMN(T_suiviDi[Nom1]),FALSE)&lt;&gt;"",VLOOKUP(T_Equipement[[#This Row],[NumL]],T_suiviDi[#Data],COLUMN(T_suiviDi[Nom1]),FALSE),""),"")</f>
        <v>B</v>
      </c>
      <c r="F296" s="53" t="str">
        <f>IFERROR(IF(VLOOKUP(T_Equipement[[#This Row],[NumL]],T_suiviDi[#Data],COLUMN(T_suiviDi[Prénom1]),FALSE)&lt;&gt;"",VLOOKUP(T_Equipement[[#This Row],[NumL]],T_suiviDi[#Data],COLUMN(T_suiviDi[Prénom1]),FALSE),""),"")</f>
        <v>Anne</v>
      </c>
      <c r="G296" s="53" t="str">
        <f>IFERROR(IF(VLOOKUP(T_Equipement[[#This Row],[NumL]],T_suiviDi[#Data],COLUMN(T_suiviDi[Email1]),FALSE)&lt;&gt;"",VLOOKUP(T_Equipement[[#This Row],[NumL]],T_suiviDi[#Data],COLUMN(T_suiviDi[Email1]),FALSE),""),"")</f>
        <v/>
      </c>
      <c r="H296" s="59" t="s">
        <v>3277</v>
      </c>
      <c r="I296" s="61"/>
      <c r="J296" s="60" t="s">
        <v>3027</v>
      </c>
      <c r="K296" s="61"/>
      <c r="L296" s="62"/>
      <c r="M296" s="59"/>
      <c r="N296" s="59"/>
      <c r="O296" s="59"/>
      <c r="P296" s="59"/>
      <c r="Q296" s="59"/>
      <c r="R296" s="59"/>
      <c r="S296" s="61"/>
      <c r="T296" s="59" t="e">
        <f>VLOOKUP(T_Equipement[[#This Row],[NumL]],T_TraitDi[#Data],COLUMN(#REF!),FALSE)</f>
        <v>#REF!</v>
      </c>
    </row>
    <row r="297" spans="1:20" ht="24" customHeight="1" x14ac:dyDescent="0.25">
      <c r="A297" s="90">
        <v>346</v>
      </c>
      <c r="B297" s="51" t="str">
        <f>IFERROR(IF(VLOOKUP(T_Equipement[[#This Row],[NumL]],T_suiviDi[#Data],COLUMN(T_suiviDi[Nom]),FALSE)&lt;&gt;"",VLOOKUP(T_Equipement[[#This Row],[NumL]],T_suiviDi[#Data],COLUMN(T_suiviDi[Nom]),FALSE),""),"")</f>
        <v>A</v>
      </c>
      <c r="C297" s="51" t="str">
        <f>IFERROR(IF(VLOOKUP(T_Equipement[[#This Row],[NumL]],T_suiviDi[#Data],COLUMN(T_suiviDi[Prénom]),FALSE)&lt;&gt;"",VLOOKUP(T_Equipement[[#This Row],[NumL]],T_suiviDi[#Data],COLUMN(T_suiviDi[Prénom]),FALSE),""),"")</f>
        <v>Julie</v>
      </c>
      <c r="D297" s="52" t="str">
        <f>IFERROR(IF(VLOOKUP(T_Equipement[[#This Row],[NumL]],T_suiviDi[#Data],COLUMN(T_suiviDi[Email]),FALSE)&lt;&gt;"",VLOOKUP(T_Equipement[[#This Row],[NumL]],T_suiviDi[#Data],COLUMN(T_suiviDi[Email]),FALSE),""),"")</f>
        <v/>
      </c>
      <c r="E297" s="53" t="str">
        <f>IFERROR(IF(VLOOKUP(T_Equipement[[#This Row],[NumL]],T_suiviDi[#Data],COLUMN(T_suiviDi[Nom1]),FALSE)&lt;&gt;"",VLOOKUP(T_Equipement[[#This Row],[NumL]],T_suiviDi[#Data],COLUMN(T_suiviDi[Nom1]),FALSE),""),"")</f>
        <v>B</v>
      </c>
      <c r="F297" s="53" t="str">
        <f>IFERROR(IF(VLOOKUP(T_Equipement[[#This Row],[NumL]],T_suiviDi[#Data],COLUMN(T_suiviDi[Prénom1]),FALSE)&lt;&gt;"",VLOOKUP(T_Equipement[[#This Row],[NumL]],T_suiviDi[#Data],COLUMN(T_suiviDi[Prénom1]),FALSE),""),"")</f>
        <v>Martine</v>
      </c>
      <c r="G297" s="53" t="str">
        <f>IFERROR(IF(VLOOKUP(T_Equipement[[#This Row],[NumL]],T_suiviDi[#Data],COLUMN(T_suiviDi[Email1]),FALSE)&lt;&gt;"",VLOOKUP(T_Equipement[[#This Row],[NumL]],T_suiviDi[#Data],COLUMN(T_suiviDi[Email1]),FALSE),""),"")</f>
        <v/>
      </c>
      <c r="H297" s="59"/>
      <c r="I297" s="61"/>
      <c r="J297" s="60"/>
      <c r="K297" s="61"/>
      <c r="L297" s="62"/>
      <c r="M297" s="59"/>
      <c r="N297" s="59"/>
      <c r="O297" s="59"/>
      <c r="P297" s="59"/>
      <c r="Q297" s="59"/>
      <c r="R297" s="59"/>
      <c r="S297" s="61"/>
      <c r="T297" s="59"/>
    </row>
    <row r="298" spans="1:20" ht="24" customHeight="1" x14ac:dyDescent="0.25">
      <c r="A298" s="90">
        <v>221</v>
      </c>
      <c r="B298" s="51" t="str">
        <f>IFERROR(IF(VLOOKUP(T_Equipement[[#This Row],[NumL]],T_suiviDi[#Data],COLUMN(T_suiviDi[Nom]),FALSE)&lt;&gt;"",VLOOKUP(T_Equipement[[#This Row],[NumL]],T_suiviDi[#Data],COLUMN(T_suiviDi[Nom]),FALSE),""),"")</f>
        <v>A</v>
      </c>
      <c r="C298" s="51" t="str">
        <f>IFERROR(IF(VLOOKUP(T_Equipement[[#This Row],[NumL]],T_suiviDi[#Data],COLUMN(T_suiviDi[Prénom]),FALSE)&lt;&gt;"",VLOOKUP(T_Equipement[[#This Row],[NumL]],T_suiviDi[#Data],COLUMN(T_suiviDi[Prénom]),FALSE),""),"")</f>
        <v>Marie</v>
      </c>
      <c r="D298" s="52" t="str">
        <f>IFERROR(IF(VLOOKUP(T_Equipement[[#This Row],[NumL]],T_suiviDi[#Data],COLUMN(T_suiviDi[Email]),FALSE)&lt;&gt;"",VLOOKUP(T_Equipement[[#This Row],[NumL]],T_suiviDi[#Data],COLUMN(T_suiviDi[Email]),FALSE),""),"")</f>
        <v/>
      </c>
      <c r="E298" s="53" t="str">
        <f>IFERROR(IF(VLOOKUP(T_Equipement[[#This Row],[NumL]],T_suiviDi[#Data],COLUMN(T_suiviDi[Nom1]),FALSE)&lt;&gt;"",VLOOKUP(T_Equipement[[#This Row],[NumL]],T_suiviDi[#Data],COLUMN(T_suiviDi[Nom1]),FALSE),""),"")</f>
        <v>B</v>
      </c>
      <c r="F298" s="53" t="str">
        <f>IFERROR(IF(VLOOKUP(T_Equipement[[#This Row],[NumL]],T_suiviDi[#Data],COLUMN(T_suiviDi[Prénom1]),FALSE)&lt;&gt;"",VLOOKUP(T_Equipement[[#This Row],[NumL]],T_suiviDi[#Data],COLUMN(T_suiviDi[Prénom1]),FALSE),""),"")</f>
        <v>Aurélien</v>
      </c>
      <c r="G298" s="53" t="str">
        <f>IFERROR(IF(VLOOKUP(T_Equipement[[#This Row],[NumL]],T_suiviDi[#Data],COLUMN(T_suiviDi[Email1]),FALSE)&lt;&gt;"",VLOOKUP(T_Equipement[[#This Row],[NumL]],T_suiviDi[#Data],COLUMN(T_suiviDi[Email1]),FALSE),""),"")</f>
        <v/>
      </c>
      <c r="H298" s="59" t="s">
        <v>3277</v>
      </c>
      <c r="I298" s="251">
        <v>44165</v>
      </c>
      <c r="J298" s="60" t="s">
        <v>3028</v>
      </c>
      <c r="K298" s="61"/>
      <c r="L298" s="62"/>
      <c r="M298" s="59"/>
      <c r="N298" s="59"/>
      <c r="O298" s="59"/>
      <c r="P298" s="59"/>
      <c r="Q298" s="59"/>
      <c r="R298" s="59"/>
      <c r="S298" s="61"/>
      <c r="T298" s="59" t="e">
        <f>VLOOKUP(T_Equipement[[#This Row],[NumL]],T_TraitDi[#Data],COLUMN(#REF!),FALSE)</f>
        <v>#REF!</v>
      </c>
    </row>
    <row r="299" spans="1:20" ht="24" customHeight="1" x14ac:dyDescent="0.25">
      <c r="A299" s="90">
        <v>340</v>
      </c>
      <c r="B299" s="51" t="str">
        <f>IFERROR(IF(VLOOKUP(T_Equipement[[#This Row],[NumL]],T_suiviDi[#Data],COLUMN(T_suiviDi[Nom]),FALSE)&lt;&gt;"",VLOOKUP(T_Equipement[[#This Row],[NumL]],T_suiviDi[#Data],COLUMN(T_suiviDi[Nom]),FALSE),""),"")</f>
        <v>A</v>
      </c>
      <c r="C299" s="51" t="str">
        <f>IFERROR(IF(VLOOKUP(T_Equipement[[#This Row],[NumL]],T_suiviDi[#Data],COLUMN(T_suiviDi[Prénom]),FALSE)&lt;&gt;"",VLOOKUP(T_Equipement[[#This Row],[NumL]],T_suiviDi[#Data],COLUMN(T_suiviDi[Prénom]),FALSE),""),"")</f>
        <v>Tiphaine</v>
      </c>
      <c r="D299" s="52" t="str">
        <f>IFERROR(IF(VLOOKUP(T_Equipement[[#This Row],[NumL]],T_suiviDi[#Data],COLUMN(T_suiviDi[Email]),FALSE)&lt;&gt;"",VLOOKUP(T_Equipement[[#This Row],[NumL]],T_suiviDi[#Data],COLUMN(T_suiviDi[Email]),FALSE),""),"")</f>
        <v/>
      </c>
      <c r="E299" s="53" t="str">
        <f>IFERROR(IF(VLOOKUP(T_Equipement[[#This Row],[NumL]],T_suiviDi[#Data],COLUMN(T_suiviDi[Nom1]),FALSE)&lt;&gt;"",VLOOKUP(T_Equipement[[#This Row],[NumL]],T_suiviDi[#Data],COLUMN(T_suiviDi[Nom1]),FALSE),""),"")</f>
        <v>B</v>
      </c>
      <c r="F299" s="53" t="str">
        <f>IFERROR(IF(VLOOKUP(T_Equipement[[#This Row],[NumL]],T_suiviDi[#Data],COLUMN(T_suiviDi[Prénom1]),FALSE)&lt;&gt;"",VLOOKUP(T_Equipement[[#This Row],[NumL]],T_suiviDi[#Data],COLUMN(T_suiviDi[Prénom1]),FALSE),""),"")</f>
        <v>Laurent</v>
      </c>
      <c r="G299" s="53" t="str">
        <f>IFERROR(IF(VLOOKUP(T_Equipement[[#This Row],[NumL]],T_suiviDi[#Data],COLUMN(T_suiviDi[Email1]),FALSE)&lt;&gt;"",VLOOKUP(T_Equipement[[#This Row],[NumL]],T_suiviDi[#Data],COLUMN(T_suiviDi[Email1]),FALSE),""),"")</f>
        <v/>
      </c>
      <c r="H299" s="59"/>
      <c r="I299" s="61"/>
      <c r="J299" s="60"/>
      <c r="K299" s="61"/>
      <c r="L299" s="62"/>
      <c r="M299" s="59"/>
      <c r="N299" s="59"/>
      <c r="O299" s="59"/>
      <c r="P299" s="59"/>
      <c r="Q299" s="59"/>
      <c r="R299" s="59"/>
      <c r="S299" s="61"/>
      <c r="T299" s="59"/>
    </row>
    <row r="300" spans="1:20" ht="24" customHeight="1" x14ac:dyDescent="0.25">
      <c r="A300" s="90">
        <v>12</v>
      </c>
      <c r="B300" s="51" t="str">
        <f>IFERROR(IF(VLOOKUP(T_Equipement[[#This Row],[NumL]],T_suiviDi[#Data],COLUMN(T_suiviDi[Nom]),FALSE)&lt;&gt;"",VLOOKUP(T_Equipement[[#This Row],[NumL]],T_suiviDi[#Data],COLUMN(T_suiviDi[Nom]),FALSE),""),"")</f>
        <v>A</v>
      </c>
      <c r="C300" s="51" t="str">
        <f>IFERROR(IF(VLOOKUP(T_Equipement[[#This Row],[NumL]],T_suiviDi[#Data],COLUMN(T_suiviDi[Prénom]),FALSE)&lt;&gt;"",VLOOKUP(T_Equipement[[#This Row],[NumL]],T_suiviDi[#Data],COLUMN(T_suiviDi[Prénom]),FALSE),""),"")</f>
        <v>Manuel</v>
      </c>
      <c r="D300" s="52" t="str">
        <f>IFERROR(IF(VLOOKUP(T_Equipement[[#This Row],[NumL]],T_suiviDi[#Data],COLUMN(T_suiviDi[Email]),FALSE)&lt;&gt;"",VLOOKUP(T_Equipement[[#This Row],[NumL]],T_suiviDi[#Data],COLUMN(T_suiviDi[Email]),FALSE),""),"")</f>
        <v/>
      </c>
      <c r="E300" s="53" t="str">
        <f>IFERROR(IF(VLOOKUP(T_Equipement[[#This Row],[NumL]],T_suiviDi[#Data],COLUMN(T_suiviDi[Nom1]),FALSE)&lt;&gt;"",VLOOKUP(T_Equipement[[#This Row],[NumL]],T_suiviDi[#Data],COLUMN(T_suiviDi[Nom1]),FALSE),""),"")</f>
        <v>B</v>
      </c>
      <c r="F300" s="53" t="str">
        <f>IFERROR(IF(VLOOKUP(T_Equipement[[#This Row],[NumL]],T_suiviDi[#Data],COLUMN(T_suiviDi[Prénom1]),FALSE)&lt;&gt;"",VLOOKUP(T_Equipement[[#This Row],[NumL]],T_suiviDi[#Data],COLUMN(T_suiviDi[Prénom1]),FALSE),""),"")</f>
        <v>Sylviane</v>
      </c>
      <c r="G300" s="53" t="str">
        <f>IFERROR(IF(VLOOKUP(T_Equipement[[#This Row],[NumL]],T_suiviDi[#Data],COLUMN(T_suiviDi[Email1]),FALSE)&lt;&gt;"",VLOOKUP(T_Equipement[[#This Row],[NumL]],T_suiviDi[#Data],COLUMN(T_suiviDi[Email1]),FALSE),""),"")</f>
        <v/>
      </c>
      <c r="H300" s="59" t="s">
        <v>3277</v>
      </c>
      <c r="I300" s="61"/>
      <c r="J300" s="60" t="s">
        <v>3029</v>
      </c>
      <c r="K300" s="61"/>
      <c r="L300" s="62"/>
      <c r="M300" s="59"/>
      <c r="N300" s="59"/>
      <c r="O300" s="59"/>
      <c r="P300" s="59"/>
      <c r="Q300" s="59"/>
      <c r="R300" s="59"/>
      <c r="S300" s="61"/>
      <c r="T300" s="59" t="e">
        <f>VLOOKUP(T_Equipement[[#This Row],[NumL]],T_TraitDi[#Data],COLUMN(#REF!),FALSE)</f>
        <v>#REF!</v>
      </c>
    </row>
    <row r="301" spans="1:20" ht="24" customHeight="1" x14ac:dyDescent="0.25">
      <c r="A301" s="90">
        <v>298</v>
      </c>
      <c r="B301" s="51" t="str">
        <f>IFERROR(IF(VLOOKUP(T_Equipement[[#This Row],[NumL]],T_suiviDi[#Data],COLUMN(T_suiviDi[Nom]),FALSE)&lt;&gt;"",VLOOKUP(T_Equipement[[#This Row],[NumL]],T_suiviDi[#Data],COLUMN(T_suiviDi[Nom]),FALSE),""),"")</f>
        <v>A</v>
      </c>
      <c r="C301" s="51" t="str">
        <f>IFERROR(IF(VLOOKUP(T_Equipement[[#This Row],[NumL]],T_suiviDi[#Data],COLUMN(T_suiviDi[Prénom]),FALSE)&lt;&gt;"",VLOOKUP(T_Equipement[[#This Row],[NumL]],T_suiviDi[#Data],COLUMN(T_suiviDi[Prénom]),FALSE),""),"")</f>
        <v>Souad</v>
      </c>
      <c r="D301" s="52" t="str">
        <f>IFERROR(IF(VLOOKUP(T_Equipement[[#This Row],[NumL]],T_suiviDi[#Data],COLUMN(T_suiviDi[Email]),FALSE)&lt;&gt;"",VLOOKUP(T_Equipement[[#This Row],[NumL]],T_suiviDi[#Data],COLUMN(T_suiviDi[Email]),FALSE),""),"")</f>
        <v/>
      </c>
      <c r="E301" s="53" t="str">
        <f>IFERROR(IF(VLOOKUP(T_Equipement[[#This Row],[NumL]],T_suiviDi[#Data],COLUMN(T_suiviDi[Nom1]),FALSE)&lt;&gt;"",VLOOKUP(T_Equipement[[#This Row],[NumL]],T_suiviDi[#Data],COLUMN(T_suiviDi[Nom1]),FALSE),""),"")</f>
        <v>B</v>
      </c>
      <c r="F301" s="53" t="str">
        <f>IFERROR(IF(VLOOKUP(T_Equipement[[#This Row],[NumL]],T_suiviDi[#Data],COLUMN(T_suiviDi[Prénom1]),FALSE)&lt;&gt;"",VLOOKUP(T_Equipement[[#This Row],[NumL]],T_suiviDi[#Data],COLUMN(T_suiviDi[Prénom1]),FALSE),""),"")</f>
        <v>Laurence</v>
      </c>
      <c r="G301" s="53" t="str">
        <f>IFERROR(IF(VLOOKUP(T_Equipement[[#This Row],[NumL]],T_suiviDi[#Data],COLUMN(T_suiviDi[Email1]),FALSE)&lt;&gt;"",VLOOKUP(T_Equipement[[#This Row],[NumL]],T_suiviDi[#Data],COLUMN(T_suiviDi[Email1]),FALSE),""),"")</f>
        <v/>
      </c>
      <c r="H301" s="59"/>
      <c r="I301" s="61"/>
      <c r="J301" s="60"/>
      <c r="K301" s="61"/>
      <c r="L301" s="62"/>
      <c r="M301" s="59"/>
      <c r="N301" s="59"/>
      <c r="O301" s="59"/>
      <c r="P301" s="59"/>
      <c r="Q301" s="59"/>
      <c r="R301" s="59"/>
      <c r="S301" s="61"/>
      <c r="T301" s="59"/>
    </row>
    <row r="302" spans="1:20" ht="24" customHeight="1" x14ac:dyDescent="0.25">
      <c r="A302" s="90">
        <v>291</v>
      </c>
      <c r="B302" s="51" t="str">
        <f>IFERROR(IF(VLOOKUP(T_Equipement[[#This Row],[NumL]],T_suiviDi[#Data],COLUMN(T_suiviDi[Nom]),FALSE)&lt;&gt;"",VLOOKUP(T_Equipement[[#This Row],[NumL]],T_suiviDi[#Data],COLUMN(T_suiviDi[Nom]),FALSE),""),"")</f>
        <v>A</v>
      </c>
      <c r="C302" s="51" t="str">
        <f>IFERROR(IF(VLOOKUP(T_Equipement[[#This Row],[NumL]],T_suiviDi[#Data],COLUMN(T_suiviDi[Prénom]),FALSE)&lt;&gt;"",VLOOKUP(T_Equipement[[#This Row],[NumL]],T_suiviDi[#Data],COLUMN(T_suiviDi[Prénom]),FALSE),""),"")</f>
        <v>Nelly</v>
      </c>
      <c r="D302" s="52" t="str">
        <f>IFERROR(IF(VLOOKUP(T_Equipement[[#This Row],[NumL]],T_suiviDi[#Data],COLUMN(T_suiviDi[Email]),FALSE)&lt;&gt;"",VLOOKUP(T_Equipement[[#This Row],[NumL]],T_suiviDi[#Data],COLUMN(T_suiviDi[Email]),FALSE),""),"")</f>
        <v/>
      </c>
      <c r="E302" s="53" t="str">
        <f>IFERROR(IF(VLOOKUP(T_Equipement[[#This Row],[NumL]],T_suiviDi[#Data],COLUMN(T_suiviDi[Nom1]),FALSE)&lt;&gt;"",VLOOKUP(T_Equipement[[#This Row],[NumL]],T_suiviDi[#Data],COLUMN(T_suiviDi[Nom1]),FALSE),""),"")</f>
        <v>B</v>
      </c>
      <c r="F302" s="53" t="str">
        <f>IFERROR(IF(VLOOKUP(T_Equipement[[#This Row],[NumL]],T_suiviDi[#Data],COLUMN(T_suiviDi[Prénom1]),FALSE)&lt;&gt;"",VLOOKUP(T_Equipement[[#This Row],[NumL]],T_suiviDi[#Data],COLUMN(T_suiviDi[Prénom1]),FALSE),""),"")</f>
        <v>Jean-Louis</v>
      </c>
      <c r="G302" s="53" t="str">
        <f>IFERROR(IF(VLOOKUP(T_Equipement[[#This Row],[NumL]],T_suiviDi[#Data],COLUMN(T_suiviDi[Email1]),FALSE)&lt;&gt;"",VLOOKUP(T_Equipement[[#This Row],[NumL]],T_suiviDi[#Data],COLUMN(T_suiviDi[Email1]),FALSE),""),"")</f>
        <v/>
      </c>
      <c r="H302" s="59"/>
      <c r="I302" s="61"/>
      <c r="J302" s="60"/>
      <c r="K302" s="61"/>
      <c r="L302" s="62"/>
      <c r="M302" s="59"/>
      <c r="N302" s="59"/>
      <c r="O302" s="59"/>
      <c r="P302" s="59"/>
      <c r="Q302" s="59"/>
      <c r="R302" s="59"/>
      <c r="S302" s="61"/>
      <c r="T302" s="59"/>
    </row>
    <row r="303" spans="1:20" ht="24" customHeight="1" x14ac:dyDescent="0.25">
      <c r="A303" s="90">
        <v>234</v>
      </c>
      <c r="B303" s="51" t="str">
        <f>IFERROR(IF(VLOOKUP(T_Equipement[[#This Row],[NumL]],T_suiviDi[#Data],COLUMN(T_suiviDi[Nom]),FALSE)&lt;&gt;"",VLOOKUP(T_Equipement[[#This Row],[NumL]],T_suiviDi[#Data],COLUMN(T_suiviDi[Nom]),FALSE),""),"")</f>
        <v>A</v>
      </c>
      <c r="C303" s="51" t="str">
        <f>IFERROR(IF(VLOOKUP(T_Equipement[[#This Row],[NumL]],T_suiviDi[#Data],COLUMN(T_suiviDi[Prénom]),FALSE)&lt;&gt;"",VLOOKUP(T_Equipement[[#This Row],[NumL]],T_suiviDi[#Data],COLUMN(T_suiviDi[Prénom]),FALSE),""),"")</f>
        <v>Aline</v>
      </c>
      <c r="D303" s="52" t="str">
        <f>IFERROR(IF(VLOOKUP(T_Equipement[[#This Row],[NumL]],T_suiviDi[#Data],COLUMN(T_suiviDi[Email]),FALSE)&lt;&gt;"",VLOOKUP(T_Equipement[[#This Row],[NumL]],T_suiviDi[#Data],COLUMN(T_suiviDi[Email]),FALSE),""),"")</f>
        <v/>
      </c>
      <c r="E303" s="53" t="str">
        <f>IFERROR(IF(VLOOKUP(T_Equipement[[#This Row],[NumL]],T_suiviDi[#Data],COLUMN(T_suiviDi[Nom1]),FALSE)&lt;&gt;"",VLOOKUP(T_Equipement[[#This Row],[NumL]],T_suiviDi[#Data],COLUMN(T_suiviDi[Nom1]),FALSE),""),"")</f>
        <v>B</v>
      </c>
      <c r="F303" s="53" t="str">
        <f>IFERROR(IF(VLOOKUP(T_Equipement[[#This Row],[NumL]],T_suiviDi[#Data],COLUMN(T_suiviDi[Prénom1]),FALSE)&lt;&gt;"",VLOOKUP(T_Equipement[[#This Row],[NumL]],T_suiviDi[#Data],COLUMN(T_suiviDi[Prénom1]),FALSE),""),"")</f>
        <v>Anne-Sophie</v>
      </c>
      <c r="G303" s="53" t="str">
        <f>IFERROR(IF(VLOOKUP(T_Equipement[[#This Row],[NumL]],T_suiviDi[#Data],COLUMN(T_suiviDi[Email1]),FALSE)&lt;&gt;"",VLOOKUP(T_Equipement[[#This Row],[NumL]],T_suiviDi[#Data],COLUMN(T_suiviDi[Email1]),FALSE),""),"")</f>
        <v/>
      </c>
      <c r="H303" s="59" t="s">
        <v>3362</v>
      </c>
      <c r="I303" s="61"/>
      <c r="J303" s="60" t="s">
        <v>3030</v>
      </c>
      <c r="K303" s="61"/>
      <c r="L303" s="62"/>
      <c r="M303" s="59"/>
      <c r="N303" s="59"/>
      <c r="O303" s="59"/>
      <c r="P303" s="59"/>
      <c r="Q303" s="59"/>
      <c r="R303" s="59"/>
      <c r="S303" s="61"/>
      <c r="T303" s="59" t="e">
        <f>VLOOKUP(T_Equipement[[#This Row],[NumL]],T_TraitDi[#Data],COLUMN(#REF!),FALSE)</f>
        <v>#REF!</v>
      </c>
    </row>
    <row r="304" spans="1:20" ht="24" customHeight="1" x14ac:dyDescent="0.25">
      <c r="A304" s="90">
        <v>62</v>
      </c>
      <c r="B304" s="51" t="str">
        <f>IFERROR(IF(VLOOKUP(T_Equipement[[#This Row],[NumL]],T_suiviDi[#Data],COLUMN(T_suiviDi[Nom]),FALSE)&lt;&gt;"",VLOOKUP(T_Equipement[[#This Row],[NumL]],T_suiviDi[#Data],COLUMN(T_suiviDi[Nom]),FALSE),""),"")</f>
        <v>A</v>
      </c>
      <c r="C304" s="51" t="str">
        <f>IFERROR(IF(VLOOKUP(T_Equipement[[#This Row],[NumL]],T_suiviDi[#Data],COLUMN(T_suiviDi[Prénom]),FALSE)&lt;&gt;"",VLOOKUP(T_Equipement[[#This Row],[NumL]],T_suiviDi[#Data],COLUMN(T_suiviDi[Prénom]),FALSE),""),"")</f>
        <v>Jean-Baptiste</v>
      </c>
      <c r="D304" s="52" t="str">
        <f>IFERROR(IF(VLOOKUP(T_Equipement[[#This Row],[NumL]],T_suiviDi[#Data],COLUMN(T_suiviDi[Email]),FALSE)&lt;&gt;"",VLOOKUP(T_Equipement[[#This Row],[NumL]],T_suiviDi[#Data],COLUMN(T_suiviDi[Email]),FALSE),""),"")</f>
        <v/>
      </c>
      <c r="E304" s="53" t="str">
        <f>IFERROR(IF(VLOOKUP(T_Equipement[[#This Row],[NumL]],T_suiviDi[#Data],COLUMN(T_suiviDi[Nom1]),FALSE)&lt;&gt;"",VLOOKUP(T_Equipement[[#This Row],[NumL]],T_suiviDi[#Data],COLUMN(T_suiviDi[Nom1]),FALSE),""),"")</f>
        <v>B</v>
      </c>
      <c r="F304" s="53" t="str">
        <f>IFERROR(IF(VLOOKUP(T_Equipement[[#This Row],[NumL]],T_suiviDi[#Data],COLUMN(T_suiviDi[Prénom1]),FALSE)&lt;&gt;"",VLOOKUP(T_Equipement[[#This Row],[NumL]],T_suiviDi[#Data],COLUMN(T_suiviDi[Prénom1]),FALSE),""),"")</f>
        <v>Marie-Cécile</v>
      </c>
      <c r="G304" s="53" t="str">
        <f>IFERROR(IF(VLOOKUP(T_Equipement[[#This Row],[NumL]],T_suiviDi[#Data],COLUMN(T_suiviDi[Email1]),FALSE)&lt;&gt;"",VLOOKUP(T_Equipement[[#This Row],[NumL]],T_suiviDi[#Data],COLUMN(T_suiviDi[Email1]),FALSE),""),"")</f>
        <v/>
      </c>
      <c r="H304" s="59" t="s">
        <v>3278</v>
      </c>
      <c r="I304" s="61"/>
      <c r="J304" s="60" t="s">
        <v>3031</v>
      </c>
      <c r="K304" s="61"/>
      <c r="L304" s="62"/>
      <c r="M304" s="59"/>
      <c r="N304" s="59"/>
      <c r="O304" s="59"/>
      <c r="P304" s="59"/>
      <c r="Q304" s="59"/>
      <c r="R304" s="59"/>
      <c r="S304" s="61"/>
      <c r="T304" s="59" t="e">
        <f>VLOOKUP(T_Equipement[[#This Row],[NumL]],T_TraitDi[#Data],COLUMN(#REF!),FALSE)</f>
        <v>#REF!</v>
      </c>
    </row>
    <row r="305" spans="1:20" ht="24" customHeight="1" x14ac:dyDescent="0.25">
      <c r="A305" s="90">
        <v>176</v>
      </c>
      <c r="B305" s="51" t="str">
        <f>IFERROR(IF(VLOOKUP(T_Equipement[[#This Row],[NumL]],T_suiviDi[#Data],COLUMN(T_suiviDi[Nom]),FALSE)&lt;&gt;"",VLOOKUP(T_Equipement[[#This Row],[NumL]],T_suiviDi[#Data],COLUMN(T_suiviDi[Nom]),FALSE),""),"")</f>
        <v>A</v>
      </c>
      <c r="C305" s="51" t="str">
        <f>IFERROR(IF(VLOOKUP(T_Equipement[[#This Row],[NumL]],T_suiviDi[#Data],COLUMN(T_suiviDi[Prénom]),FALSE)&lt;&gt;"",VLOOKUP(T_Equipement[[#This Row],[NumL]],T_suiviDi[#Data],COLUMN(T_suiviDi[Prénom]),FALSE),""),"")</f>
        <v>Annie</v>
      </c>
      <c r="D305" s="52" t="str">
        <f>IFERROR(IF(VLOOKUP(T_Equipement[[#This Row],[NumL]],T_suiviDi[#Data],COLUMN(T_suiviDi[Email]),FALSE)&lt;&gt;"",VLOOKUP(T_Equipement[[#This Row],[NumL]],T_suiviDi[#Data],COLUMN(T_suiviDi[Email]),FALSE),""),"")</f>
        <v/>
      </c>
      <c r="E305" s="53" t="str">
        <f>IFERROR(IF(VLOOKUP(T_Equipement[[#This Row],[NumL]],T_suiviDi[#Data],COLUMN(T_suiviDi[Nom1]),FALSE)&lt;&gt;"",VLOOKUP(T_Equipement[[#This Row],[NumL]],T_suiviDi[#Data],COLUMN(T_suiviDi[Nom1]),FALSE),""),"")</f>
        <v>B</v>
      </c>
      <c r="F305" s="53" t="str">
        <f>IFERROR(IF(VLOOKUP(T_Equipement[[#This Row],[NumL]],T_suiviDi[#Data],COLUMN(T_suiviDi[Prénom1]),FALSE)&lt;&gt;"",VLOOKUP(T_Equipement[[#This Row],[NumL]],T_suiviDi[#Data],COLUMN(T_suiviDi[Prénom1]),FALSE),""),"")</f>
        <v>Martine</v>
      </c>
      <c r="G305" s="53" t="str">
        <f>IFERROR(IF(VLOOKUP(T_Equipement[[#This Row],[NumL]],T_suiviDi[#Data],COLUMN(T_suiviDi[Email1]),FALSE)&lt;&gt;"",VLOOKUP(T_Equipement[[#This Row],[NumL]],T_suiviDi[#Data],COLUMN(T_suiviDi[Email1]),FALSE),""),"")</f>
        <v/>
      </c>
      <c r="H305" s="59" t="s">
        <v>3277</v>
      </c>
      <c r="I305" s="251">
        <v>44165</v>
      </c>
      <c r="J305" s="60" t="s">
        <v>3032</v>
      </c>
      <c r="K305" s="61"/>
      <c r="L305" s="62"/>
      <c r="M305" s="59"/>
      <c r="N305" s="59"/>
      <c r="O305" s="59"/>
      <c r="P305" s="59"/>
      <c r="Q305" s="59"/>
      <c r="R305" s="59"/>
      <c r="S305" s="61"/>
      <c r="T305" s="59" t="e">
        <f>VLOOKUP(T_Equipement[[#This Row],[NumL]],T_TraitDi[#Data],COLUMN(#REF!),FALSE)</f>
        <v>#REF!</v>
      </c>
    </row>
    <row r="306" spans="1:20" ht="24" customHeight="1" x14ac:dyDescent="0.25">
      <c r="A306" s="90">
        <v>57</v>
      </c>
      <c r="B306" s="51" t="str">
        <f>IFERROR(IF(VLOOKUP(T_Equipement[[#This Row],[NumL]],T_suiviDi[#Data],COLUMN(T_suiviDi[Nom]),FALSE)&lt;&gt;"",VLOOKUP(T_Equipement[[#This Row],[NumL]],T_suiviDi[#Data],COLUMN(T_suiviDi[Nom]),FALSE),""),"")</f>
        <v>A</v>
      </c>
      <c r="C306" s="51" t="str">
        <f>IFERROR(IF(VLOOKUP(T_Equipement[[#This Row],[NumL]],T_suiviDi[#Data],COLUMN(T_suiviDi[Prénom]),FALSE)&lt;&gt;"",VLOOKUP(T_Equipement[[#This Row],[NumL]],T_suiviDi[#Data],COLUMN(T_suiviDi[Prénom]),FALSE),""),"")</f>
        <v>Lionel</v>
      </c>
      <c r="D306" s="52" t="str">
        <f>IFERROR(IF(VLOOKUP(T_Equipement[[#This Row],[NumL]],T_suiviDi[#Data],COLUMN(T_suiviDi[Email]),FALSE)&lt;&gt;"",VLOOKUP(T_Equipement[[#This Row],[NumL]],T_suiviDi[#Data],COLUMN(T_suiviDi[Email]),FALSE),""),"")</f>
        <v/>
      </c>
      <c r="E306" s="53" t="str">
        <f>IFERROR(IF(VLOOKUP(T_Equipement[[#This Row],[NumL]],T_suiviDi[#Data],COLUMN(T_suiviDi[Nom1]),FALSE)&lt;&gt;"",VLOOKUP(T_Equipement[[#This Row],[NumL]],T_suiviDi[#Data],COLUMN(T_suiviDi[Nom1]),FALSE),""),"")</f>
        <v>B</v>
      </c>
      <c r="F306" s="53" t="str">
        <f>IFERROR(IF(VLOOKUP(T_Equipement[[#This Row],[NumL]],T_suiviDi[#Data],COLUMN(T_suiviDi[Prénom1]),FALSE)&lt;&gt;"",VLOOKUP(T_Equipement[[#This Row],[NumL]],T_suiviDi[#Data],COLUMN(T_suiviDi[Prénom1]),FALSE),""),"")</f>
        <v>Guillaume</v>
      </c>
      <c r="G306" s="53" t="str">
        <f>IFERROR(IF(VLOOKUP(T_Equipement[[#This Row],[NumL]],T_suiviDi[#Data],COLUMN(T_suiviDi[Email1]),FALSE)&lt;&gt;"",VLOOKUP(T_Equipement[[#This Row],[NumL]],T_suiviDi[#Data],COLUMN(T_suiviDi[Email1]),FALSE),""),"")</f>
        <v/>
      </c>
      <c r="H306" s="59"/>
      <c r="I306" s="61"/>
      <c r="J306" s="60" t="s">
        <v>3033</v>
      </c>
      <c r="K306" s="61"/>
      <c r="L306" s="62"/>
      <c r="M306" s="59"/>
      <c r="N306" s="59"/>
      <c r="O306" s="59"/>
      <c r="P306" s="59"/>
      <c r="Q306" s="59"/>
      <c r="R306" s="59"/>
      <c r="S306" s="61"/>
      <c r="T306" s="59" t="e">
        <f>VLOOKUP(T_Equipement[[#This Row],[NumL]],T_TraitDi[#Data],COLUMN(#REF!),FALSE)</f>
        <v>#REF!</v>
      </c>
    </row>
    <row r="307" spans="1:20" ht="24" customHeight="1" x14ac:dyDescent="0.25">
      <c r="A307" s="90">
        <v>310</v>
      </c>
      <c r="B307" s="51" t="str">
        <f>IFERROR(IF(VLOOKUP(T_Equipement[[#This Row],[NumL]],T_suiviDi[#Data],COLUMN(T_suiviDi[Nom]),FALSE)&lt;&gt;"",VLOOKUP(T_Equipement[[#This Row],[NumL]],T_suiviDi[#Data],COLUMN(T_suiviDi[Nom]),FALSE),""),"")</f>
        <v>A</v>
      </c>
      <c r="C307" s="51" t="str">
        <f>IFERROR(IF(VLOOKUP(T_Equipement[[#This Row],[NumL]],T_suiviDi[#Data],COLUMN(T_suiviDi[Prénom]),FALSE)&lt;&gt;"",VLOOKUP(T_Equipement[[#This Row],[NumL]],T_suiviDi[#Data],COLUMN(T_suiviDi[Prénom]),FALSE),""),"")</f>
        <v>Marie-Cécile</v>
      </c>
      <c r="D307" s="52" t="str">
        <f>IFERROR(IF(VLOOKUP(T_Equipement[[#This Row],[NumL]],T_suiviDi[#Data],COLUMN(T_suiviDi[Email]),FALSE)&lt;&gt;"",VLOOKUP(T_Equipement[[#This Row],[NumL]],T_suiviDi[#Data],COLUMN(T_suiviDi[Email]),FALSE),""),"")</f>
        <v/>
      </c>
      <c r="E307" s="53" t="str">
        <f>IFERROR(IF(VLOOKUP(T_Equipement[[#This Row],[NumL]],T_suiviDi[#Data],COLUMN(T_suiviDi[Nom1]),FALSE)&lt;&gt;"",VLOOKUP(T_Equipement[[#This Row],[NumL]],T_suiviDi[#Data],COLUMN(T_suiviDi[Nom1]),FALSE),""),"")</f>
        <v>B</v>
      </c>
      <c r="F307" s="53" t="str">
        <f>IFERROR(IF(VLOOKUP(T_Equipement[[#This Row],[NumL]],T_suiviDi[#Data],COLUMN(T_suiviDi[Prénom1]),FALSE)&lt;&gt;"",VLOOKUP(T_Equipement[[#This Row],[NumL]],T_suiviDi[#Data],COLUMN(T_suiviDi[Prénom1]),FALSE),""),"")</f>
        <v>Sophie</v>
      </c>
      <c r="G307" s="53" t="str">
        <f>IFERROR(IF(VLOOKUP(T_Equipement[[#This Row],[NumL]],T_suiviDi[#Data],COLUMN(T_suiviDi[Email1]),FALSE)&lt;&gt;"",VLOOKUP(T_Equipement[[#This Row],[NumL]],T_suiviDi[#Data],COLUMN(T_suiviDi[Email1]),FALSE),""),"")</f>
        <v/>
      </c>
      <c r="H307" s="59"/>
      <c r="I307" s="61"/>
      <c r="J307" s="60"/>
      <c r="K307" s="61"/>
      <c r="L307" s="62"/>
      <c r="M307" s="59"/>
      <c r="N307" s="59"/>
      <c r="O307" s="59"/>
      <c r="P307" s="59"/>
      <c r="Q307" s="59"/>
      <c r="R307" s="59"/>
      <c r="S307" s="61"/>
      <c r="T307" s="59"/>
    </row>
    <row r="308" spans="1:20" ht="24" customHeight="1" x14ac:dyDescent="0.25">
      <c r="A308" s="90">
        <v>245</v>
      </c>
      <c r="B308" s="51" t="str">
        <f>IFERROR(IF(VLOOKUP(T_Equipement[[#This Row],[NumL]],T_suiviDi[#Data],COLUMN(T_suiviDi[Nom]),FALSE)&lt;&gt;"",VLOOKUP(T_Equipement[[#This Row],[NumL]],T_suiviDi[#Data],COLUMN(T_suiviDi[Nom]),FALSE),""),"")</f>
        <v>A</v>
      </c>
      <c r="C308" s="51" t="str">
        <f>IFERROR(IF(VLOOKUP(T_Equipement[[#This Row],[NumL]],T_suiviDi[#Data],COLUMN(T_suiviDi[Prénom]),FALSE)&lt;&gt;"",VLOOKUP(T_Equipement[[#This Row],[NumL]],T_suiviDi[#Data],COLUMN(T_suiviDi[Prénom]),FALSE),""),"")</f>
        <v>Christelle</v>
      </c>
      <c r="D308" s="52" t="str">
        <f>IFERROR(IF(VLOOKUP(T_Equipement[[#This Row],[NumL]],T_suiviDi[#Data],COLUMN(T_suiviDi[Email]),FALSE)&lt;&gt;"",VLOOKUP(T_Equipement[[#This Row],[NumL]],T_suiviDi[#Data],COLUMN(T_suiviDi[Email]),FALSE),""),"")</f>
        <v/>
      </c>
      <c r="E308" s="53" t="str">
        <f>IFERROR(IF(VLOOKUP(T_Equipement[[#This Row],[NumL]],T_suiviDi[#Data],COLUMN(T_suiviDi[Nom1]),FALSE)&lt;&gt;"",VLOOKUP(T_Equipement[[#This Row],[NumL]],T_suiviDi[#Data],COLUMN(T_suiviDi[Nom1]),FALSE),""),"")</f>
        <v>B</v>
      </c>
      <c r="F308" s="53" t="str">
        <f>IFERROR(IF(VLOOKUP(T_Equipement[[#This Row],[NumL]],T_suiviDi[#Data],COLUMN(T_suiviDi[Prénom1]),FALSE)&lt;&gt;"",VLOOKUP(T_Equipement[[#This Row],[NumL]],T_suiviDi[#Data],COLUMN(T_suiviDi[Prénom1]),FALSE),""),"")</f>
        <v>Laurence</v>
      </c>
      <c r="G308" s="53" t="str">
        <f>IFERROR(IF(VLOOKUP(T_Equipement[[#This Row],[NumL]],T_suiviDi[#Data],COLUMN(T_suiviDi[Email1]),FALSE)&lt;&gt;"",VLOOKUP(T_Equipement[[#This Row],[NumL]],T_suiviDi[#Data],COLUMN(T_suiviDi[Email1]),FALSE),""),"")</f>
        <v/>
      </c>
      <c r="H308" s="59" t="s">
        <v>3277</v>
      </c>
      <c r="I308" s="61"/>
      <c r="J308" s="60" t="s">
        <v>3034</v>
      </c>
      <c r="K308" s="61"/>
      <c r="L308" s="62"/>
      <c r="M308" s="59"/>
      <c r="N308" s="59"/>
      <c r="O308" s="59"/>
      <c r="P308" s="59"/>
      <c r="Q308" s="59"/>
      <c r="R308" s="59"/>
      <c r="S308" s="61"/>
      <c r="T308" s="59" t="e">
        <f>VLOOKUP(T_Equipement[[#This Row],[NumL]],T_TraitDi[#Data],COLUMN(#REF!),FALSE)</f>
        <v>#REF!</v>
      </c>
    </row>
    <row r="309" spans="1:20" ht="24" customHeight="1" x14ac:dyDescent="0.25">
      <c r="A309" s="90">
        <v>137</v>
      </c>
      <c r="B309" s="51" t="str">
        <f>IFERROR(IF(VLOOKUP(T_Equipement[[#This Row],[NumL]],T_suiviDi[#Data],COLUMN(T_suiviDi[Nom]),FALSE)&lt;&gt;"",VLOOKUP(T_Equipement[[#This Row],[NumL]],T_suiviDi[#Data],COLUMN(T_suiviDi[Nom]),FALSE),""),"")</f>
        <v>A</v>
      </c>
      <c r="C309" s="51" t="str">
        <f>IFERROR(IF(VLOOKUP(T_Equipement[[#This Row],[NumL]],T_suiviDi[#Data],COLUMN(T_suiviDi[Prénom]),FALSE)&lt;&gt;"",VLOOKUP(T_Equipement[[#This Row],[NumL]],T_suiviDi[#Data],COLUMN(T_suiviDi[Prénom]),FALSE),""),"")</f>
        <v>Babak</v>
      </c>
      <c r="D309" s="52" t="str">
        <f>IFERROR(IF(VLOOKUP(T_Equipement[[#This Row],[NumL]],T_suiviDi[#Data],COLUMN(T_suiviDi[Email]),FALSE)&lt;&gt;"",VLOOKUP(T_Equipement[[#This Row],[NumL]],T_suiviDi[#Data],COLUMN(T_suiviDi[Email]),FALSE),""),"")</f>
        <v/>
      </c>
      <c r="E309" s="53" t="str">
        <f>IFERROR(IF(VLOOKUP(T_Equipement[[#This Row],[NumL]],T_suiviDi[#Data],COLUMN(T_suiviDi[Nom1]),FALSE)&lt;&gt;"",VLOOKUP(T_Equipement[[#This Row],[NumL]],T_suiviDi[#Data],COLUMN(T_suiviDi[Nom1]),FALSE),""),"")</f>
        <v>B</v>
      </c>
      <c r="F309" s="53" t="str">
        <f>IFERROR(IF(VLOOKUP(T_Equipement[[#This Row],[NumL]],T_suiviDi[#Data],COLUMN(T_suiviDi[Prénom1]),FALSE)&lt;&gt;"",VLOOKUP(T_Equipement[[#This Row],[NumL]],T_suiviDi[#Data],COLUMN(T_suiviDi[Prénom1]),FALSE),""),"")</f>
        <v>Serge</v>
      </c>
      <c r="G309" s="53" t="str">
        <f>IFERROR(IF(VLOOKUP(T_Equipement[[#This Row],[NumL]],T_suiviDi[#Data],COLUMN(T_suiviDi[Email1]),FALSE)&lt;&gt;"",VLOOKUP(T_Equipement[[#This Row],[NumL]],T_suiviDi[#Data],COLUMN(T_suiviDi[Email1]),FALSE),""),"")</f>
        <v/>
      </c>
      <c r="H309" s="59" t="s">
        <v>3278</v>
      </c>
      <c r="I309" s="61"/>
      <c r="J309" s="60" t="s">
        <v>3035</v>
      </c>
      <c r="K309" s="61"/>
      <c r="L309" s="62"/>
      <c r="M309" s="59"/>
      <c r="N309" s="59"/>
      <c r="O309" s="59"/>
      <c r="P309" s="59"/>
      <c r="Q309" s="59"/>
      <c r="R309" s="59"/>
      <c r="S309" s="61"/>
      <c r="T309" s="59" t="e">
        <f>VLOOKUP(T_Equipement[[#This Row],[NumL]],T_TraitDi[#Data],COLUMN(#REF!),FALSE)</f>
        <v>#REF!</v>
      </c>
    </row>
    <row r="310" spans="1:20" ht="24" customHeight="1" x14ac:dyDescent="0.25">
      <c r="A310" s="90">
        <v>288</v>
      </c>
      <c r="B310" s="51" t="str">
        <f>IFERROR(IF(VLOOKUP(T_Equipement[[#This Row],[NumL]],T_suiviDi[#Data],COLUMN(T_suiviDi[Nom]),FALSE)&lt;&gt;"",VLOOKUP(T_Equipement[[#This Row],[NumL]],T_suiviDi[#Data],COLUMN(T_suiviDi[Nom]),FALSE),""),"")</f>
        <v>A</v>
      </c>
      <c r="C310" s="51" t="str">
        <f>IFERROR(IF(VLOOKUP(T_Equipement[[#This Row],[NumL]],T_suiviDi[#Data],COLUMN(T_suiviDi[Prénom]),FALSE)&lt;&gt;"",VLOOKUP(T_Equipement[[#This Row],[NumL]],T_suiviDi[#Data],COLUMN(T_suiviDi[Prénom]),FALSE),""),"")</f>
        <v>Ilidia</v>
      </c>
      <c r="D310" s="52" t="str">
        <f>IFERROR(IF(VLOOKUP(T_Equipement[[#This Row],[NumL]],T_suiviDi[#Data],COLUMN(T_suiviDi[Email]),FALSE)&lt;&gt;"",VLOOKUP(T_Equipement[[#This Row],[NumL]],T_suiviDi[#Data],COLUMN(T_suiviDi[Email]),FALSE),""),"")</f>
        <v/>
      </c>
      <c r="E310" s="53" t="str">
        <f>IFERROR(IF(VLOOKUP(T_Equipement[[#This Row],[NumL]],T_suiviDi[#Data],COLUMN(T_suiviDi[Nom1]),FALSE)&lt;&gt;"",VLOOKUP(T_Equipement[[#This Row],[NumL]],T_suiviDi[#Data],COLUMN(T_suiviDi[Nom1]),FALSE),""),"")</f>
        <v>B</v>
      </c>
      <c r="F310" s="53" t="str">
        <f>IFERROR(IF(VLOOKUP(T_Equipement[[#This Row],[NumL]],T_suiviDi[#Data],COLUMN(T_suiviDi[Prénom1]),FALSE)&lt;&gt;"",VLOOKUP(T_Equipement[[#This Row],[NumL]],T_suiviDi[#Data],COLUMN(T_suiviDi[Prénom1]),FALSE),""),"")</f>
        <v>Christel</v>
      </c>
      <c r="G310" s="53" t="str">
        <f>IFERROR(IF(VLOOKUP(T_Equipement[[#This Row],[NumL]],T_suiviDi[#Data],COLUMN(T_suiviDi[Email1]),FALSE)&lt;&gt;"",VLOOKUP(T_Equipement[[#This Row],[NumL]],T_suiviDi[#Data],COLUMN(T_suiviDi[Email1]),FALSE),""),"")</f>
        <v/>
      </c>
      <c r="H310" s="59" t="s">
        <v>3277</v>
      </c>
      <c r="I310" s="61"/>
      <c r="J310" s="60" t="s">
        <v>3408</v>
      </c>
      <c r="K310" s="61"/>
      <c r="L310" s="62"/>
      <c r="M310" s="59"/>
      <c r="N310" s="59"/>
      <c r="O310" s="59"/>
      <c r="P310" s="59"/>
      <c r="Q310" s="59"/>
      <c r="R310" s="59"/>
      <c r="S310" s="61"/>
      <c r="T310" s="59" t="e">
        <f>VLOOKUP(T_Equipement[[#This Row],[NumL]],T_TraitDi[#Data],COLUMN(#REF!),FALSE)</f>
        <v>#REF!</v>
      </c>
    </row>
    <row r="311" spans="1:20" ht="24" customHeight="1" x14ac:dyDescent="0.25">
      <c r="A311" s="90">
        <v>259</v>
      </c>
      <c r="B311" s="51" t="str">
        <f>IFERROR(IF(VLOOKUP(T_Equipement[[#This Row],[NumL]],T_suiviDi[#Data],COLUMN(T_suiviDi[Nom]),FALSE)&lt;&gt;"",VLOOKUP(T_Equipement[[#This Row],[NumL]],T_suiviDi[#Data],COLUMN(T_suiviDi[Nom]),FALSE),""),"")</f>
        <v>A</v>
      </c>
      <c r="C311" s="51" t="str">
        <f>IFERROR(IF(VLOOKUP(T_Equipement[[#This Row],[NumL]],T_suiviDi[#Data],COLUMN(T_suiviDi[Prénom]),FALSE)&lt;&gt;"",VLOOKUP(T_Equipement[[#This Row],[NumL]],T_suiviDi[#Data],COLUMN(T_suiviDi[Prénom]),FALSE),""),"")</f>
        <v>Aude</v>
      </c>
      <c r="D311" s="52" t="str">
        <f>IFERROR(IF(VLOOKUP(T_Equipement[[#This Row],[NumL]],T_suiviDi[#Data],COLUMN(T_suiviDi[Email]),FALSE)&lt;&gt;"",VLOOKUP(T_Equipement[[#This Row],[NumL]],T_suiviDi[#Data],COLUMN(T_suiviDi[Email]),FALSE),""),"")</f>
        <v/>
      </c>
      <c r="E311" s="53" t="str">
        <f>IFERROR(IF(VLOOKUP(T_Equipement[[#This Row],[NumL]],T_suiviDi[#Data],COLUMN(T_suiviDi[Nom1]),FALSE)&lt;&gt;"",VLOOKUP(T_Equipement[[#This Row],[NumL]],T_suiviDi[#Data],COLUMN(T_suiviDi[Nom1]),FALSE),""),"")</f>
        <v>B</v>
      </c>
      <c r="F311" s="53" t="str">
        <f>IFERROR(IF(VLOOKUP(T_Equipement[[#This Row],[NumL]],T_suiviDi[#Data],COLUMN(T_suiviDi[Prénom1]),FALSE)&lt;&gt;"",VLOOKUP(T_Equipement[[#This Row],[NumL]],T_suiviDi[#Data],COLUMN(T_suiviDi[Prénom1]),FALSE),""),"")</f>
        <v>Laurence</v>
      </c>
      <c r="G311" s="53" t="str">
        <f>IFERROR(IF(VLOOKUP(T_Equipement[[#This Row],[NumL]],T_suiviDi[#Data],COLUMN(T_suiviDi[Email1]),FALSE)&lt;&gt;"",VLOOKUP(T_Equipement[[#This Row],[NumL]],T_suiviDi[#Data],COLUMN(T_suiviDi[Email1]),FALSE),""),"")</f>
        <v/>
      </c>
      <c r="H311" s="59" t="s">
        <v>3277</v>
      </c>
      <c r="I311" s="61"/>
      <c r="J311" s="60" t="s">
        <v>3282</v>
      </c>
      <c r="K311" s="61"/>
      <c r="L311" s="62"/>
      <c r="M311" s="59"/>
      <c r="N311" s="59"/>
      <c r="O311" s="59"/>
      <c r="P311" s="59"/>
      <c r="Q311" s="59"/>
      <c r="R311" s="59"/>
      <c r="S311" s="61"/>
      <c r="T311" s="59" t="e">
        <f>VLOOKUP(T_Equipement[[#This Row],[NumL]],T_TraitDi[#Data],COLUMN(#REF!),FALSE)</f>
        <v>#REF!</v>
      </c>
    </row>
    <row r="312" spans="1:20" ht="24" customHeight="1" x14ac:dyDescent="0.25">
      <c r="A312" s="90">
        <v>78</v>
      </c>
      <c r="B312" s="51" t="str">
        <f>IFERROR(IF(VLOOKUP(T_Equipement[[#This Row],[NumL]],T_suiviDi[#Data],COLUMN(T_suiviDi[Nom]),FALSE)&lt;&gt;"",VLOOKUP(T_Equipement[[#This Row],[NumL]],T_suiviDi[#Data],COLUMN(T_suiviDi[Nom]),FALSE),""),"")</f>
        <v>A</v>
      </c>
      <c r="C312" s="51" t="str">
        <f>IFERROR(IF(VLOOKUP(T_Equipement[[#This Row],[NumL]],T_suiviDi[#Data],COLUMN(T_suiviDi[Prénom]),FALSE)&lt;&gt;"",VLOOKUP(T_Equipement[[#This Row],[NumL]],T_suiviDi[#Data],COLUMN(T_suiviDi[Prénom]),FALSE),""),"")</f>
        <v>Marianne</v>
      </c>
      <c r="D312" s="52" t="str">
        <f>IFERROR(IF(VLOOKUP(T_Equipement[[#This Row],[NumL]],T_suiviDi[#Data],COLUMN(T_suiviDi[Email]),FALSE)&lt;&gt;"",VLOOKUP(T_Equipement[[#This Row],[NumL]],T_suiviDi[#Data],COLUMN(T_suiviDi[Email]),FALSE),""),"")</f>
        <v/>
      </c>
      <c r="E312" s="53" t="str">
        <f>IFERROR(IF(VLOOKUP(T_Equipement[[#This Row],[NumL]],T_suiviDi[#Data],COLUMN(T_suiviDi[Nom1]),FALSE)&lt;&gt;"",VLOOKUP(T_Equipement[[#This Row],[NumL]],T_suiviDi[#Data],COLUMN(T_suiviDi[Nom1]),FALSE),""),"")</f>
        <v>B</v>
      </c>
      <c r="F312" s="53" t="str">
        <f>IFERROR(IF(VLOOKUP(T_Equipement[[#This Row],[NumL]],T_suiviDi[#Data],COLUMN(T_suiviDi[Prénom1]),FALSE)&lt;&gt;"",VLOOKUP(T_Equipement[[#This Row],[NumL]],T_suiviDi[#Data],COLUMN(T_suiviDi[Prénom1]),FALSE),""),"")</f>
        <v>Sarah</v>
      </c>
      <c r="G312" s="53" t="str">
        <f>IFERROR(IF(VLOOKUP(T_Equipement[[#This Row],[NumL]],T_suiviDi[#Data],COLUMN(T_suiviDi[Email1]),FALSE)&lt;&gt;"",VLOOKUP(T_Equipement[[#This Row],[NumL]],T_suiviDi[#Data],COLUMN(T_suiviDi[Email1]),FALSE),""),"")</f>
        <v/>
      </c>
      <c r="H312" s="59" t="s">
        <v>3362</v>
      </c>
      <c r="I312" s="251">
        <v>44165</v>
      </c>
      <c r="J312" s="60" t="s">
        <v>3036</v>
      </c>
      <c r="K312" s="61"/>
      <c r="L312" s="62"/>
      <c r="M312" s="59"/>
      <c r="N312" s="59"/>
      <c r="O312" s="59"/>
      <c r="P312" s="59"/>
      <c r="Q312" s="59"/>
      <c r="R312" s="59"/>
      <c r="S312" s="61"/>
      <c r="T312" s="59" t="e">
        <f>VLOOKUP(T_Equipement[[#This Row],[NumL]],T_TraitDi[#Data],COLUMN(#REF!),FALSE)</f>
        <v>#REF!</v>
      </c>
    </row>
    <row r="313" spans="1:20" ht="24" customHeight="1" x14ac:dyDescent="0.25">
      <c r="A313" s="90">
        <v>296</v>
      </c>
      <c r="B313" s="51" t="str">
        <f>IFERROR(IF(VLOOKUP(T_Equipement[[#This Row],[NumL]],T_suiviDi[#Data],COLUMN(T_suiviDi[Nom]),FALSE)&lt;&gt;"",VLOOKUP(T_Equipement[[#This Row],[NumL]],T_suiviDi[#Data],COLUMN(T_suiviDi[Nom]),FALSE),""),"")</f>
        <v>A</v>
      </c>
      <c r="C313" s="51" t="str">
        <f>IFERROR(IF(VLOOKUP(T_Equipement[[#This Row],[NumL]],T_suiviDi[#Data],COLUMN(T_suiviDi[Prénom]),FALSE)&lt;&gt;"",VLOOKUP(T_Equipement[[#This Row],[NumL]],T_suiviDi[#Data],COLUMN(T_suiviDi[Prénom]),FALSE),""),"")</f>
        <v>Dominique</v>
      </c>
      <c r="D313" s="52" t="str">
        <f>IFERROR(IF(VLOOKUP(T_Equipement[[#This Row],[NumL]],T_suiviDi[#Data],COLUMN(T_suiviDi[Email]),FALSE)&lt;&gt;"",VLOOKUP(T_Equipement[[#This Row],[NumL]],T_suiviDi[#Data],COLUMN(T_suiviDi[Email]),FALSE),""),"")</f>
        <v/>
      </c>
      <c r="E313" s="53" t="str">
        <f>IFERROR(IF(VLOOKUP(T_Equipement[[#This Row],[NumL]],T_suiviDi[#Data],COLUMN(T_suiviDi[Nom1]),FALSE)&lt;&gt;"",VLOOKUP(T_Equipement[[#This Row],[NumL]],T_suiviDi[#Data],COLUMN(T_suiviDi[Nom1]),FALSE),""),"")</f>
        <v>B</v>
      </c>
      <c r="F313" s="53" t="str">
        <f>IFERROR(IF(VLOOKUP(T_Equipement[[#This Row],[NumL]],T_suiviDi[#Data],COLUMN(T_suiviDi[Prénom1]),FALSE)&lt;&gt;"",VLOOKUP(T_Equipement[[#This Row],[NumL]],T_suiviDi[#Data],COLUMN(T_suiviDi[Prénom1]),FALSE),""),"")</f>
        <v>Marie</v>
      </c>
      <c r="G313" s="53" t="str">
        <f>IFERROR(IF(VLOOKUP(T_Equipement[[#This Row],[NumL]],T_suiviDi[#Data],COLUMN(T_suiviDi[Email1]),FALSE)&lt;&gt;"",VLOOKUP(T_Equipement[[#This Row],[NumL]],T_suiviDi[#Data],COLUMN(T_suiviDi[Email1]),FALSE),""),"")</f>
        <v/>
      </c>
      <c r="H313" s="59"/>
      <c r="I313" s="61"/>
      <c r="J313" s="60"/>
      <c r="K313" s="61"/>
      <c r="L313" s="62"/>
      <c r="M313" s="59"/>
      <c r="N313" s="59"/>
      <c r="O313" s="59"/>
      <c r="P313" s="59"/>
      <c r="Q313" s="59"/>
      <c r="R313" s="59"/>
      <c r="S313" s="61"/>
      <c r="T313" s="59"/>
    </row>
    <row r="314" spans="1:20" ht="24" customHeight="1" x14ac:dyDescent="0.25">
      <c r="A314" s="90">
        <v>80</v>
      </c>
      <c r="B314" s="51" t="str">
        <f>IFERROR(IF(VLOOKUP(T_Equipement[[#This Row],[NumL]],T_suiviDi[#Data],COLUMN(T_suiviDi[Nom]),FALSE)&lt;&gt;"",VLOOKUP(T_Equipement[[#This Row],[NumL]],T_suiviDi[#Data],COLUMN(T_suiviDi[Nom]),FALSE),""),"")</f>
        <v>A</v>
      </c>
      <c r="C314" s="51" t="str">
        <f>IFERROR(IF(VLOOKUP(T_Equipement[[#This Row],[NumL]],T_suiviDi[#Data],COLUMN(T_suiviDi[Prénom]),FALSE)&lt;&gt;"",VLOOKUP(T_Equipement[[#This Row],[NumL]],T_suiviDi[#Data],COLUMN(T_suiviDi[Prénom]),FALSE),""),"")</f>
        <v>Anne-Laure</v>
      </c>
      <c r="D314" s="52" t="str">
        <f>IFERROR(IF(VLOOKUP(T_Equipement[[#This Row],[NumL]],T_suiviDi[#Data],COLUMN(T_suiviDi[Email]),FALSE)&lt;&gt;"",VLOOKUP(T_Equipement[[#This Row],[NumL]],T_suiviDi[#Data],COLUMN(T_suiviDi[Email]),FALSE),""),"")</f>
        <v/>
      </c>
      <c r="E314" s="53" t="str">
        <f>IFERROR(IF(VLOOKUP(T_Equipement[[#This Row],[NumL]],T_suiviDi[#Data],COLUMN(T_suiviDi[Nom1]),FALSE)&lt;&gt;"",VLOOKUP(T_Equipement[[#This Row],[NumL]],T_suiviDi[#Data],COLUMN(T_suiviDi[Nom1]),FALSE),""),"")</f>
        <v>B</v>
      </c>
      <c r="F314" s="53" t="str">
        <f>IFERROR(IF(VLOOKUP(T_Equipement[[#This Row],[NumL]],T_suiviDi[#Data],COLUMN(T_suiviDi[Prénom1]),FALSE)&lt;&gt;"",VLOOKUP(T_Equipement[[#This Row],[NumL]],T_suiviDi[#Data],COLUMN(T_suiviDi[Prénom1]),FALSE),""),"")</f>
        <v>Catherine</v>
      </c>
      <c r="G314" s="53" t="str">
        <f>IFERROR(IF(VLOOKUP(T_Equipement[[#This Row],[NumL]],T_suiviDi[#Data],COLUMN(T_suiviDi[Email1]),FALSE)&lt;&gt;"",VLOOKUP(T_Equipement[[#This Row],[NumL]],T_suiviDi[#Data],COLUMN(T_suiviDi[Email1]),FALSE),""),"")</f>
        <v/>
      </c>
      <c r="H314" s="59"/>
      <c r="I314" s="61"/>
      <c r="J314" s="60" t="s">
        <v>3037</v>
      </c>
      <c r="K314" s="61"/>
      <c r="L314" s="62"/>
      <c r="M314" s="59"/>
      <c r="N314" s="59"/>
      <c r="O314" s="59"/>
      <c r="P314" s="59"/>
      <c r="Q314" s="59"/>
      <c r="R314" s="59"/>
      <c r="S314" s="61"/>
      <c r="T314" s="59" t="e">
        <f>VLOOKUP(T_Equipement[[#This Row],[NumL]],T_TraitDi[#Data],COLUMN(#REF!),FALSE)</f>
        <v>#REF!</v>
      </c>
    </row>
    <row r="315" spans="1:20" ht="24" customHeight="1" x14ac:dyDescent="0.25">
      <c r="A315" s="90">
        <v>280</v>
      </c>
      <c r="B315" s="51" t="str">
        <f>IFERROR(IF(VLOOKUP(T_Equipement[[#This Row],[NumL]],T_suiviDi[#Data],COLUMN(T_suiviDi[Nom]),FALSE)&lt;&gt;"",VLOOKUP(T_Equipement[[#This Row],[NumL]],T_suiviDi[#Data],COLUMN(T_suiviDi[Nom]),FALSE),""),"")</f>
        <v>A</v>
      </c>
      <c r="C315" s="51" t="str">
        <f>IFERROR(IF(VLOOKUP(T_Equipement[[#This Row],[NumL]],T_suiviDi[#Data],COLUMN(T_suiviDi[Prénom]),FALSE)&lt;&gt;"",VLOOKUP(T_Equipement[[#This Row],[NumL]],T_suiviDi[#Data],COLUMN(T_suiviDi[Prénom]),FALSE),""),"")</f>
        <v>Morgane</v>
      </c>
      <c r="D315" s="52" t="str">
        <f>IFERROR(IF(VLOOKUP(T_Equipement[[#This Row],[NumL]],T_suiviDi[#Data],COLUMN(T_suiviDi[Email]),FALSE)&lt;&gt;"",VLOOKUP(T_Equipement[[#This Row],[NumL]],T_suiviDi[#Data],COLUMN(T_suiviDi[Email]),FALSE),""),"")</f>
        <v/>
      </c>
      <c r="E315" s="53" t="str">
        <f>IFERROR(IF(VLOOKUP(T_Equipement[[#This Row],[NumL]],T_suiviDi[#Data],COLUMN(T_suiviDi[Nom1]),FALSE)&lt;&gt;"",VLOOKUP(T_Equipement[[#This Row],[NumL]],T_suiviDi[#Data],COLUMN(T_suiviDi[Nom1]),FALSE),""),"")</f>
        <v>B</v>
      </c>
      <c r="F315" s="53" t="str">
        <f>IFERROR(IF(VLOOKUP(T_Equipement[[#This Row],[NumL]],T_suiviDi[#Data],COLUMN(T_suiviDi[Prénom1]),FALSE)&lt;&gt;"",VLOOKUP(T_Equipement[[#This Row],[NumL]],T_suiviDi[#Data],COLUMN(T_suiviDi[Prénom1]),FALSE),""),"")</f>
        <v>Agnès</v>
      </c>
      <c r="G315" s="53" t="str">
        <f>IFERROR(IF(VLOOKUP(T_Equipement[[#This Row],[NumL]],T_suiviDi[#Data],COLUMN(T_suiviDi[Email1]),FALSE)&lt;&gt;"",VLOOKUP(T_Equipement[[#This Row],[NumL]],T_suiviDi[#Data],COLUMN(T_suiviDi[Email1]),FALSE),""),"")</f>
        <v/>
      </c>
      <c r="H315" s="59" t="s">
        <v>3278</v>
      </c>
      <c r="I315" s="61"/>
      <c r="J315" s="60" t="s">
        <v>3038</v>
      </c>
      <c r="K315" s="61"/>
      <c r="L315" s="62"/>
      <c r="M315" s="59"/>
      <c r="N315" s="59"/>
      <c r="O315" s="59"/>
      <c r="P315" s="59"/>
      <c r="Q315" s="59"/>
      <c r="R315" s="59"/>
      <c r="S315" s="61"/>
      <c r="T315" s="59" t="e">
        <f>VLOOKUP(T_Equipement[[#This Row],[NumL]],T_TraitDi[#Data],COLUMN(#REF!),FALSE)</f>
        <v>#REF!</v>
      </c>
    </row>
    <row r="316" spans="1:20" ht="24" customHeight="1" x14ac:dyDescent="0.25">
      <c r="A316" s="90">
        <v>152</v>
      </c>
      <c r="B316" s="51" t="str">
        <f>IFERROR(IF(VLOOKUP(T_Equipement[[#This Row],[NumL]],T_suiviDi[#Data],COLUMN(T_suiviDi[Nom]),FALSE)&lt;&gt;"",VLOOKUP(T_Equipement[[#This Row],[NumL]],T_suiviDi[#Data],COLUMN(T_suiviDi[Nom]),FALSE),""),"")</f>
        <v>A</v>
      </c>
      <c r="C316" s="51" t="str">
        <f>IFERROR(IF(VLOOKUP(T_Equipement[[#This Row],[NumL]],T_suiviDi[#Data],COLUMN(T_suiviDi[Prénom]),FALSE)&lt;&gt;"",VLOOKUP(T_Equipement[[#This Row],[NumL]],T_suiviDi[#Data],COLUMN(T_suiviDi[Prénom]),FALSE),""),"")</f>
        <v>Elodie</v>
      </c>
      <c r="D316" s="52" t="str">
        <f>IFERROR(IF(VLOOKUP(T_Equipement[[#This Row],[NumL]],T_suiviDi[#Data],COLUMN(T_suiviDi[Email]),FALSE)&lt;&gt;"",VLOOKUP(T_Equipement[[#This Row],[NumL]],T_suiviDi[#Data],COLUMN(T_suiviDi[Email]),FALSE),""),"")</f>
        <v/>
      </c>
      <c r="E316" s="53" t="str">
        <f>IFERROR(IF(VLOOKUP(T_Equipement[[#This Row],[NumL]],T_suiviDi[#Data],COLUMN(T_suiviDi[Nom1]),FALSE)&lt;&gt;"",VLOOKUP(T_Equipement[[#This Row],[NumL]],T_suiviDi[#Data],COLUMN(T_suiviDi[Nom1]),FALSE),""),"")</f>
        <v>B</v>
      </c>
      <c r="F316" s="53" t="str">
        <f>IFERROR(IF(VLOOKUP(T_Equipement[[#This Row],[NumL]],T_suiviDi[#Data],COLUMN(T_suiviDi[Prénom1]),FALSE)&lt;&gt;"",VLOOKUP(T_Equipement[[#This Row],[NumL]],T_suiviDi[#Data],COLUMN(T_suiviDi[Prénom1]),FALSE),""),"")</f>
        <v>Franck</v>
      </c>
      <c r="G316" s="53" t="str">
        <f>IFERROR(IF(VLOOKUP(T_Equipement[[#This Row],[NumL]],T_suiviDi[#Data],COLUMN(T_suiviDi[Email1]),FALSE)&lt;&gt;"",VLOOKUP(T_Equipement[[#This Row],[NumL]],T_suiviDi[#Data],COLUMN(T_suiviDi[Email1]),FALSE),""),"")</f>
        <v/>
      </c>
      <c r="H316" s="59"/>
      <c r="I316" s="61"/>
      <c r="J316" s="60" t="s">
        <v>3039</v>
      </c>
      <c r="K316" s="61"/>
      <c r="L316" s="62"/>
      <c r="M316" s="59"/>
      <c r="N316" s="59"/>
      <c r="O316" s="59"/>
      <c r="P316" s="59"/>
      <c r="Q316" s="59"/>
      <c r="R316" s="59"/>
      <c r="S316" s="61"/>
      <c r="T316" s="59" t="e">
        <f>VLOOKUP(T_Equipement[[#This Row],[NumL]],T_TraitDi[#Data],COLUMN(#REF!),FALSE)</f>
        <v>#REF!</v>
      </c>
    </row>
    <row r="317" spans="1:20" ht="24" customHeight="1" x14ac:dyDescent="0.25">
      <c r="A317" s="90">
        <v>178</v>
      </c>
      <c r="B317" s="51" t="str">
        <f>IFERROR(IF(VLOOKUP(T_Equipement[[#This Row],[NumL]],T_suiviDi[#Data],COLUMN(T_suiviDi[Nom]),FALSE)&lt;&gt;"",VLOOKUP(T_Equipement[[#This Row],[NumL]],T_suiviDi[#Data],COLUMN(T_suiviDi[Nom]),FALSE),""),"")</f>
        <v>A</v>
      </c>
      <c r="C317" s="51" t="str">
        <f>IFERROR(IF(VLOOKUP(T_Equipement[[#This Row],[NumL]],T_suiviDi[#Data],COLUMN(T_suiviDi[Prénom]),FALSE)&lt;&gt;"",VLOOKUP(T_Equipement[[#This Row],[NumL]],T_suiviDi[#Data],COLUMN(T_suiviDi[Prénom]),FALSE),""),"")</f>
        <v>Cécile</v>
      </c>
      <c r="D317" s="52" t="str">
        <f>IFERROR(IF(VLOOKUP(T_Equipement[[#This Row],[NumL]],T_suiviDi[#Data],COLUMN(T_suiviDi[Email]),FALSE)&lt;&gt;"",VLOOKUP(T_Equipement[[#This Row],[NumL]],T_suiviDi[#Data],COLUMN(T_suiviDi[Email]),FALSE),""),"")</f>
        <v/>
      </c>
      <c r="E317" s="53" t="str">
        <f>IFERROR(IF(VLOOKUP(T_Equipement[[#This Row],[NumL]],T_suiviDi[#Data],COLUMN(T_suiviDi[Nom1]),FALSE)&lt;&gt;"",VLOOKUP(T_Equipement[[#This Row],[NumL]],T_suiviDi[#Data],COLUMN(T_suiviDi[Nom1]),FALSE),""),"")</f>
        <v>B</v>
      </c>
      <c r="F317" s="53" t="str">
        <f>IFERROR(IF(VLOOKUP(T_Equipement[[#This Row],[NumL]],T_suiviDi[#Data],COLUMN(T_suiviDi[Prénom1]),FALSE)&lt;&gt;"",VLOOKUP(T_Equipement[[#This Row],[NumL]],T_suiviDi[#Data],COLUMN(T_suiviDi[Prénom1]),FALSE),""),"")</f>
        <v>Christel</v>
      </c>
      <c r="G317" s="53" t="str">
        <f>IFERROR(IF(VLOOKUP(T_Equipement[[#This Row],[NumL]],T_suiviDi[#Data],COLUMN(T_suiviDi[Email1]),FALSE)&lt;&gt;"",VLOOKUP(T_Equipement[[#This Row],[NumL]],T_suiviDi[#Data],COLUMN(T_suiviDi[Email1]),FALSE),""),"")</f>
        <v/>
      </c>
      <c r="H317" s="59" t="s">
        <v>3277</v>
      </c>
      <c r="I317" s="61"/>
      <c r="J317" s="60" t="s">
        <v>3040</v>
      </c>
      <c r="K317" s="61"/>
      <c r="L317" s="62"/>
      <c r="M317" s="59"/>
      <c r="N317" s="59"/>
      <c r="O317" s="59"/>
      <c r="P317" s="59"/>
      <c r="Q317" s="59"/>
      <c r="R317" s="59"/>
      <c r="S317" s="61"/>
      <c r="T317" s="59" t="e">
        <f>VLOOKUP(T_Equipement[[#This Row],[NumL]],T_TraitDi[#Data],COLUMN(#REF!),FALSE)</f>
        <v>#REF!</v>
      </c>
    </row>
    <row r="318" spans="1:20" ht="24" customHeight="1" x14ac:dyDescent="0.25">
      <c r="A318" s="90">
        <v>134</v>
      </c>
      <c r="B318" s="51" t="str">
        <f>IFERROR(IF(VLOOKUP(T_Equipement[[#This Row],[NumL]],T_suiviDi[#Data],COLUMN(T_suiviDi[Nom]),FALSE)&lt;&gt;"",VLOOKUP(T_Equipement[[#This Row],[NumL]],T_suiviDi[#Data],COLUMN(T_suiviDi[Nom]),FALSE),""),"")</f>
        <v>A</v>
      </c>
      <c r="C318" s="51" t="str">
        <f>IFERROR(IF(VLOOKUP(T_Equipement[[#This Row],[NumL]],T_suiviDi[#Data],COLUMN(T_suiviDi[Prénom]),FALSE)&lt;&gt;"",VLOOKUP(T_Equipement[[#This Row],[NumL]],T_suiviDi[#Data],COLUMN(T_suiviDi[Prénom]),FALSE),""),"")</f>
        <v>Laetitia</v>
      </c>
      <c r="D318" s="52" t="str">
        <f>IFERROR(IF(VLOOKUP(T_Equipement[[#This Row],[NumL]],T_suiviDi[#Data],COLUMN(T_suiviDi[Email]),FALSE)&lt;&gt;"",VLOOKUP(T_Equipement[[#This Row],[NumL]],T_suiviDi[#Data],COLUMN(T_suiviDi[Email]),FALSE),""),"")</f>
        <v/>
      </c>
      <c r="E318" s="53" t="str">
        <f>IFERROR(IF(VLOOKUP(T_Equipement[[#This Row],[NumL]],T_suiviDi[#Data],COLUMN(T_suiviDi[Nom1]),FALSE)&lt;&gt;"",VLOOKUP(T_Equipement[[#This Row],[NumL]],T_suiviDi[#Data],COLUMN(T_suiviDi[Nom1]),FALSE),""),"")</f>
        <v>B</v>
      </c>
      <c r="F318" s="53" t="str">
        <f>IFERROR(IF(VLOOKUP(T_Equipement[[#This Row],[NumL]],T_suiviDi[#Data],COLUMN(T_suiviDi[Prénom1]),FALSE)&lt;&gt;"",VLOOKUP(T_Equipement[[#This Row],[NumL]],T_suiviDi[#Data],COLUMN(T_suiviDi[Prénom1]),FALSE),""),"")</f>
        <v>Camille</v>
      </c>
      <c r="G318" s="53" t="str">
        <f>IFERROR(IF(VLOOKUP(T_Equipement[[#This Row],[NumL]],T_suiviDi[#Data],COLUMN(T_suiviDi[Email1]),FALSE)&lt;&gt;"",VLOOKUP(T_Equipement[[#This Row],[NumL]],T_suiviDi[#Data],COLUMN(T_suiviDi[Email1]),FALSE),""),"")</f>
        <v/>
      </c>
      <c r="H318" s="59" t="s">
        <v>3278</v>
      </c>
      <c r="I318" s="251">
        <v>44165</v>
      </c>
      <c r="J318" s="60" t="s">
        <v>3041</v>
      </c>
      <c r="K318" s="61"/>
      <c r="L318" s="62"/>
      <c r="M318" s="59"/>
      <c r="N318" s="59"/>
      <c r="O318" s="59"/>
      <c r="P318" s="59"/>
      <c r="Q318" s="59"/>
      <c r="R318" s="59"/>
      <c r="S318" s="61"/>
      <c r="T318" s="59" t="e">
        <f>VLOOKUP(T_Equipement[[#This Row],[NumL]],T_TraitDi[#Data],COLUMN(#REF!),FALSE)</f>
        <v>#REF!</v>
      </c>
    </row>
    <row r="319" spans="1:20" ht="24" customHeight="1" x14ac:dyDescent="0.25">
      <c r="A319" s="90">
        <v>212</v>
      </c>
      <c r="B319" s="51" t="str">
        <f>IFERROR(IF(VLOOKUP(T_Equipement[[#This Row],[NumL]],T_suiviDi[#Data],COLUMN(T_suiviDi[Nom]),FALSE)&lt;&gt;"",VLOOKUP(T_Equipement[[#This Row],[NumL]],T_suiviDi[#Data],COLUMN(T_suiviDi[Nom]),FALSE),""),"")</f>
        <v>A</v>
      </c>
      <c r="C319" s="51" t="str">
        <f>IFERROR(IF(VLOOKUP(T_Equipement[[#This Row],[NumL]],T_suiviDi[#Data],COLUMN(T_suiviDi[Prénom]),FALSE)&lt;&gt;"",VLOOKUP(T_Equipement[[#This Row],[NumL]],T_suiviDi[#Data],COLUMN(T_suiviDi[Prénom]),FALSE),""),"")</f>
        <v>Audrey</v>
      </c>
      <c r="D319" s="52" t="str">
        <f>IFERROR(IF(VLOOKUP(T_Equipement[[#This Row],[NumL]],T_suiviDi[#Data],COLUMN(T_suiviDi[Email]),FALSE)&lt;&gt;"",VLOOKUP(T_Equipement[[#This Row],[NumL]],T_suiviDi[#Data],COLUMN(T_suiviDi[Email]),FALSE),""),"")</f>
        <v/>
      </c>
      <c r="E319" s="53" t="str">
        <f>IFERROR(IF(VLOOKUP(T_Equipement[[#This Row],[NumL]],T_suiviDi[#Data],COLUMN(T_suiviDi[Nom1]),FALSE)&lt;&gt;"",VLOOKUP(T_Equipement[[#This Row],[NumL]],T_suiviDi[#Data],COLUMN(T_suiviDi[Nom1]),FALSE),""),"")</f>
        <v>B</v>
      </c>
      <c r="F319" s="53" t="str">
        <f>IFERROR(IF(VLOOKUP(T_Equipement[[#This Row],[NumL]],T_suiviDi[#Data],COLUMN(T_suiviDi[Prénom1]),FALSE)&lt;&gt;"",VLOOKUP(T_Equipement[[#This Row],[NumL]],T_suiviDi[#Data],COLUMN(T_suiviDi[Prénom1]),FALSE),""),"")</f>
        <v>Fatima</v>
      </c>
      <c r="G319" s="53" t="str">
        <f>IFERROR(IF(VLOOKUP(T_Equipement[[#This Row],[NumL]],T_suiviDi[#Data],COLUMN(T_suiviDi[Email1]),FALSE)&lt;&gt;"",VLOOKUP(T_Equipement[[#This Row],[NumL]],T_suiviDi[#Data],COLUMN(T_suiviDi[Email1]),FALSE),""),"")</f>
        <v/>
      </c>
      <c r="H319" s="59" t="s">
        <v>3277</v>
      </c>
      <c r="I319" s="61"/>
      <c r="J319" s="60" t="s">
        <v>3042</v>
      </c>
      <c r="K319" s="61"/>
      <c r="L319" s="62"/>
      <c r="M319" s="59"/>
      <c r="N319" s="59"/>
      <c r="O319" s="59"/>
      <c r="P319" s="59"/>
      <c r="Q319" s="59"/>
      <c r="R319" s="59"/>
      <c r="S319" s="61"/>
      <c r="T319" s="59" t="e">
        <f>VLOOKUP(T_Equipement[[#This Row],[NumL]],T_TraitDi[#Data],COLUMN(#REF!),FALSE)</f>
        <v>#REF!</v>
      </c>
    </row>
    <row r="320" spans="1:20" ht="24" customHeight="1" x14ac:dyDescent="0.25">
      <c r="A320" s="90">
        <v>314</v>
      </c>
      <c r="B320" s="51" t="str">
        <f>IFERROR(IF(VLOOKUP(T_Equipement[[#This Row],[NumL]],T_suiviDi[#Data],COLUMN(T_suiviDi[Nom]),FALSE)&lt;&gt;"",VLOOKUP(T_Equipement[[#This Row],[NumL]],T_suiviDi[#Data],COLUMN(T_suiviDi[Nom]),FALSE),""),"")</f>
        <v>A</v>
      </c>
      <c r="C320" s="51" t="str">
        <f>IFERROR(IF(VLOOKUP(T_Equipement[[#This Row],[NumL]],T_suiviDi[#Data],COLUMN(T_suiviDi[Prénom]),FALSE)&lt;&gt;"",VLOOKUP(T_Equipement[[#This Row],[NumL]],T_suiviDi[#Data],COLUMN(T_suiviDi[Prénom]),FALSE),""),"")</f>
        <v>Stéphanie</v>
      </c>
      <c r="D320" s="52" t="str">
        <f>IFERROR(IF(VLOOKUP(T_Equipement[[#This Row],[NumL]],T_suiviDi[#Data],COLUMN(T_suiviDi[Email]),FALSE)&lt;&gt;"",VLOOKUP(T_Equipement[[#This Row],[NumL]],T_suiviDi[#Data],COLUMN(T_suiviDi[Email]),FALSE),""),"")</f>
        <v/>
      </c>
      <c r="E320" s="53" t="str">
        <f>IFERROR(IF(VLOOKUP(T_Equipement[[#This Row],[NumL]],T_suiviDi[#Data],COLUMN(T_suiviDi[Nom1]),FALSE)&lt;&gt;"",VLOOKUP(T_Equipement[[#This Row],[NumL]],T_suiviDi[#Data],COLUMN(T_suiviDi[Nom1]),FALSE),""),"")</f>
        <v>B</v>
      </c>
      <c r="F320" s="53" t="str">
        <f>IFERROR(IF(VLOOKUP(T_Equipement[[#This Row],[NumL]],T_suiviDi[#Data],COLUMN(T_suiviDi[Prénom1]),FALSE)&lt;&gt;"",VLOOKUP(T_Equipement[[#This Row],[NumL]],T_suiviDi[#Data],COLUMN(T_suiviDi[Prénom1]),FALSE),""),"")</f>
        <v>Christel</v>
      </c>
      <c r="G320" s="53" t="str">
        <f>IFERROR(IF(VLOOKUP(T_Equipement[[#This Row],[NumL]],T_suiviDi[#Data],COLUMN(T_suiviDi[Email1]),FALSE)&lt;&gt;"",VLOOKUP(T_Equipement[[#This Row],[NumL]],T_suiviDi[#Data],COLUMN(T_suiviDi[Email1]),FALSE),""),"")</f>
        <v/>
      </c>
      <c r="H320" s="59"/>
      <c r="I320" s="61"/>
      <c r="J320" s="60"/>
      <c r="K320" s="61"/>
      <c r="L320" s="62"/>
      <c r="M320" s="59"/>
      <c r="N320" s="59"/>
      <c r="O320" s="59"/>
      <c r="P320" s="59"/>
      <c r="Q320" s="59"/>
      <c r="R320" s="59"/>
      <c r="S320" s="61"/>
      <c r="T320" s="59"/>
    </row>
    <row r="321" spans="1:20" ht="24" customHeight="1" x14ac:dyDescent="0.25">
      <c r="A321" s="90">
        <v>76</v>
      </c>
      <c r="B321" s="51" t="str">
        <f>IFERROR(IF(VLOOKUP(T_Equipement[[#This Row],[NumL]],T_suiviDi[#Data],COLUMN(T_suiviDi[Nom]),FALSE)&lt;&gt;"",VLOOKUP(T_Equipement[[#This Row],[NumL]],T_suiviDi[#Data],COLUMN(T_suiviDi[Nom]),FALSE),""),"")</f>
        <v>A</v>
      </c>
      <c r="C321" s="51" t="str">
        <f>IFERROR(IF(VLOOKUP(T_Equipement[[#This Row],[NumL]],T_suiviDi[#Data],COLUMN(T_suiviDi[Prénom]),FALSE)&lt;&gt;"",VLOOKUP(T_Equipement[[#This Row],[NumL]],T_suiviDi[#Data],COLUMN(T_suiviDi[Prénom]),FALSE),""),"")</f>
        <v>Yann</v>
      </c>
      <c r="D321" s="52" t="str">
        <f>IFERROR(IF(VLOOKUP(T_Equipement[[#This Row],[NumL]],T_suiviDi[#Data],COLUMN(T_suiviDi[Email]),FALSE)&lt;&gt;"",VLOOKUP(T_Equipement[[#This Row],[NumL]],T_suiviDi[#Data],COLUMN(T_suiviDi[Email]),FALSE),""),"")</f>
        <v/>
      </c>
      <c r="E321" s="53" t="str">
        <f>IFERROR(IF(VLOOKUP(T_Equipement[[#This Row],[NumL]],T_suiviDi[#Data],COLUMN(T_suiviDi[Nom1]),FALSE)&lt;&gt;"",VLOOKUP(T_Equipement[[#This Row],[NumL]],T_suiviDi[#Data],COLUMN(T_suiviDi[Nom1]),FALSE),""),"")</f>
        <v>B</v>
      </c>
      <c r="F321" s="53" t="str">
        <f>IFERROR(IF(VLOOKUP(T_Equipement[[#This Row],[NumL]],T_suiviDi[#Data],COLUMN(T_suiviDi[Prénom1]),FALSE)&lt;&gt;"",VLOOKUP(T_Equipement[[#This Row],[NumL]],T_suiviDi[#Data],COLUMN(T_suiviDi[Prénom1]),FALSE),""),"")</f>
        <v>Laurence</v>
      </c>
      <c r="G321" s="53" t="str">
        <f>IFERROR(IF(VLOOKUP(T_Equipement[[#This Row],[NumL]],T_suiviDi[#Data],COLUMN(T_suiviDi[Email1]),FALSE)&lt;&gt;"",VLOOKUP(T_Equipement[[#This Row],[NumL]],T_suiviDi[#Data],COLUMN(T_suiviDi[Email1]),FALSE),""),"")</f>
        <v/>
      </c>
      <c r="H321" s="59" t="s">
        <v>3277</v>
      </c>
      <c r="I321" s="61"/>
      <c r="J321" s="60" t="s">
        <v>3044</v>
      </c>
      <c r="K321" s="61"/>
      <c r="L321" s="62"/>
      <c r="M321" s="59"/>
      <c r="N321" s="59"/>
      <c r="O321" s="59"/>
      <c r="P321" s="59"/>
      <c r="Q321" s="59"/>
      <c r="R321" s="59"/>
      <c r="S321" s="61"/>
      <c r="T321" s="59" t="e">
        <f>VLOOKUP(T_Equipement[[#This Row],[NumL]],T_TraitDi[#Data],COLUMN(#REF!),FALSE)</f>
        <v>#REF!</v>
      </c>
    </row>
    <row r="325" spans="1:20" ht="24" customHeight="1" x14ac:dyDescent="0.25">
      <c r="B325" s="2"/>
      <c r="C325" s="2"/>
      <c r="D325" s="2"/>
      <c r="E325" s="2"/>
      <c r="F325" s="2"/>
      <c r="G325" s="2"/>
      <c r="H325" s="2"/>
      <c r="I325" s="2"/>
      <c r="J325" s="2"/>
      <c r="K325" s="2"/>
      <c r="L325" s="2"/>
    </row>
  </sheetData>
  <sheetProtection sheet="1" scenarios="1" selectLockedCells="1" sort="0" autoFilter="0"/>
  <mergeCells count="3">
    <mergeCell ref="B1:D1"/>
    <mergeCell ref="H1:K1"/>
    <mergeCell ref="L1:S1"/>
  </mergeCells>
  <conditionalFormatting sqref="H3:S63 I64:S64 J68:J70 J75:J78 J98:J101 J123:J125 J138:J140 J154:J157 J162 J165:J174 J186:J189 J195:J197 J215:J218 J223:J226 J231:J234 J240:J245 J253:J258 J265:J270 J280:J295 K65:S321 H64:H321 I65:I321 J312:J321">
    <cfRule type="cellIs" dxfId="476" priority="69" operator="equal">
      <formula>"T"</formula>
    </cfRule>
  </conditionalFormatting>
  <conditionalFormatting sqref="J65:J67">
    <cfRule type="cellIs" dxfId="475" priority="64" operator="equal">
      <formula>"T"</formula>
    </cfRule>
  </conditionalFormatting>
  <conditionalFormatting sqref="J71:J74">
    <cfRule type="cellIs" dxfId="474" priority="62" operator="equal">
      <formula>"T"</formula>
    </cfRule>
  </conditionalFormatting>
  <conditionalFormatting sqref="J79:J84">
    <cfRule type="cellIs" dxfId="473" priority="60" operator="equal">
      <formula>"T"</formula>
    </cfRule>
  </conditionalFormatting>
  <conditionalFormatting sqref="J85:J88">
    <cfRule type="cellIs" dxfId="472" priority="59" operator="equal">
      <formula>"T"</formula>
    </cfRule>
  </conditionalFormatting>
  <conditionalFormatting sqref="J91:J92">
    <cfRule type="cellIs" dxfId="471" priority="58" operator="equal">
      <formula>"T"</formula>
    </cfRule>
  </conditionalFormatting>
  <conditionalFormatting sqref="J93:J97">
    <cfRule type="cellIs" dxfId="470" priority="57" operator="equal">
      <formula>"T"</formula>
    </cfRule>
  </conditionalFormatting>
  <conditionalFormatting sqref="J102:J103">
    <cfRule type="cellIs" dxfId="469" priority="55" operator="equal">
      <formula>"T"</formula>
    </cfRule>
  </conditionalFormatting>
  <conditionalFormatting sqref="J105">
    <cfRule type="cellIs" dxfId="468" priority="53" operator="equal">
      <formula>"T"</formula>
    </cfRule>
  </conditionalFormatting>
  <conditionalFormatting sqref="J106:J107">
    <cfRule type="cellIs" dxfId="467" priority="52" operator="equal">
      <formula>"T"</formula>
    </cfRule>
  </conditionalFormatting>
  <conditionalFormatting sqref="J108:J110">
    <cfRule type="cellIs" dxfId="466" priority="51" operator="equal">
      <formula>"T"</formula>
    </cfRule>
  </conditionalFormatting>
  <conditionalFormatting sqref="J111:J114">
    <cfRule type="cellIs" dxfId="465" priority="50" operator="equal">
      <formula>"T"</formula>
    </cfRule>
  </conditionalFormatting>
  <conditionalFormatting sqref="J115:J118">
    <cfRule type="cellIs" dxfId="464" priority="49" operator="equal">
      <formula>"T"</formula>
    </cfRule>
  </conditionalFormatting>
  <conditionalFormatting sqref="J119:J122">
    <cfRule type="cellIs" dxfId="463" priority="48" operator="equal">
      <formula>"T"</formula>
    </cfRule>
  </conditionalFormatting>
  <conditionalFormatting sqref="J126:J129">
    <cfRule type="cellIs" dxfId="462" priority="46" operator="equal">
      <formula>"T"</formula>
    </cfRule>
  </conditionalFormatting>
  <conditionalFormatting sqref="J130:J133">
    <cfRule type="cellIs" dxfId="461" priority="45" operator="equal">
      <formula>"T"</formula>
    </cfRule>
  </conditionalFormatting>
  <conditionalFormatting sqref="J134:J137">
    <cfRule type="cellIs" dxfId="460" priority="44" operator="equal">
      <formula>"T"</formula>
    </cfRule>
  </conditionalFormatting>
  <conditionalFormatting sqref="J141:J144">
    <cfRule type="cellIs" dxfId="459" priority="42" operator="equal">
      <formula>"T"</formula>
    </cfRule>
  </conditionalFormatting>
  <conditionalFormatting sqref="J145:J148">
    <cfRule type="cellIs" dxfId="458" priority="41" operator="equal">
      <formula>"T"</formula>
    </cfRule>
  </conditionalFormatting>
  <conditionalFormatting sqref="J149:J153">
    <cfRule type="cellIs" dxfId="457" priority="40" operator="equal">
      <formula>"T"</formula>
    </cfRule>
  </conditionalFormatting>
  <conditionalFormatting sqref="J158:J161">
    <cfRule type="cellIs" dxfId="456" priority="38" operator="equal">
      <formula>"T"</formula>
    </cfRule>
  </conditionalFormatting>
  <conditionalFormatting sqref="J175:J179">
    <cfRule type="cellIs" dxfId="455" priority="34" operator="equal">
      <formula>"T"</formula>
    </cfRule>
  </conditionalFormatting>
  <conditionalFormatting sqref="J180:J185">
    <cfRule type="cellIs" dxfId="454" priority="33" operator="equal">
      <formula>"T"</formula>
    </cfRule>
  </conditionalFormatting>
  <conditionalFormatting sqref="J190:J194">
    <cfRule type="cellIs" dxfId="453" priority="31" operator="equal">
      <formula>"T"</formula>
    </cfRule>
  </conditionalFormatting>
  <conditionalFormatting sqref="J198:J202">
    <cfRule type="cellIs" dxfId="452" priority="29" operator="equal">
      <formula>"T"</formula>
    </cfRule>
  </conditionalFormatting>
  <conditionalFormatting sqref="J203:J208">
    <cfRule type="cellIs" dxfId="451" priority="28" operator="equal">
      <formula>"T"</formula>
    </cfRule>
  </conditionalFormatting>
  <conditionalFormatting sqref="J209:J213">
    <cfRule type="cellIs" dxfId="450" priority="27" operator="equal">
      <formula>"T"</formula>
    </cfRule>
  </conditionalFormatting>
  <conditionalFormatting sqref="J104">
    <cfRule type="cellIs" dxfId="449" priority="25" operator="equal">
      <formula>"T"</formula>
    </cfRule>
  </conditionalFormatting>
  <conditionalFormatting sqref="J219:J221">
    <cfRule type="cellIs" dxfId="448" priority="23" operator="equal">
      <formula>"T"</formula>
    </cfRule>
  </conditionalFormatting>
  <conditionalFormatting sqref="J227:J230">
    <cfRule type="cellIs" dxfId="447" priority="21" operator="equal">
      <formula>"T"</formula>
    </cfRule>
  </conditionalFormatting>
  <conditionalFormatting sqref="J235:J239">
    <cfRule type="cellIs" dxfId="446" priority="18" operator="equal">
      <formula>"T"</formula>
    </cfRule>
  </conditionalFormatting>
  <conditionalFormatting sqref="J246:J252">
    <cfRule type="cellIs" dxfId="445" priority="16" operator="equal">
      <formula>"T"</formula>
    </cfRule>
  </conditionalFormatting>
  <conditionalFormatting sqref="J259:J264">
    <cfRule type="cellIs" dxfId="444" priority="14" operator="equal">
      <formula>"T"</formula>
    </cfRule>
  </conditionalFormatting>
  <conditionalFormatting sqref="J271:J279">
    <cfRule type="cellIs" dxfId="443" priority="12" operator="equal">
      <formula>"T"</formula>
    </cfRule>
  </conditionalFormatting>
  <conditionalFormatting sqref="J296:J302">
    <cfRule type="cellIs" dxfId="442" priority="10" operator="equal">
      <formula>"T"</formula>
    </cfRule>
  </conditionalFormatting>
  <conditionalFormatting sqref="J303:J305">
    <cfRule type="cellIs" dxfId="441" priority="8" operator="equal">
      <formula>"T"</formula>
    </cfRule>
  </conditionalFormatting>
  <conditionalFormatting sqref="J222">
    <cfRule type="cellIs" dxfId="440" priority="7" operator="equal">
      <formula>"T"</formula>
    </cfRule>
  </conditionalFormatting>
  <conditionalFormatting sqref="J306:J311">
    <cfRule type="cellIs" dxfId="439" priority="6" operator="equal">
      <formula>"T"</formula>
    </cfRule>
  </conditionalFormatting>
  <conditionalFormatting sqref="B64:B321">
    <cfRule type="expression" dxfId="438" priority="2">
      <formula>T64="N"</formula>
    </cfRule>
  </conditionalFormatting>
  <dataValidations disablePrompts="1" count="3">
    <dataValidation type="list" allowBlank="1" showInputMessage="1" showErrorMessage="1" prompt="R: Renouvellement_x000a_N: Nouveau télétravailleur" sqref="T2:T63" xr:uid="{DA4812A7-CD80-409A-81E1-D43DA8210EFA}">
      <formula1>"R,N"</formula1>
    </dataValidation>
    <dataValidation type="list" allowBlank="1" showInputMessage="1" showErrorMessage="1" sqref="H64:H321" xr:uid="{3F13A448-E418-4F64-A0AF-87BFB551CE46}">
      <formula1>"Oui,Non,En cours"</formula1>
    </dataValidation>
    <dataValidation allowBlank="1" showInputMessage="1" showErrorMessage="1" prompt="R: Renouvellement_x000a_N: Nouveau télétravailleur" sqref="T64:T321" xr:uid="{C1F47D59-87F1-474C-BFB0-EB93E2498E6D}"/>
  </dataValidations>
  <pageMargins left="0.23622047244094491" right="0.23622047244094491" top="0.74803149606299213" bottom="0.74803149606299213" header="0.31496062992125984" footer="0.31496062992125984"/>
  <pageSetup paperSize="8" scale="14" fitToHeight="2" orientation="landscape" horizont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7"/>
  </sheetPr>
  <dimension ref="A1:CD500"/>
  <sheetViews>
    <sheetView showZeros="0" zoomScale="115" zoomScaleNormal="115" workbookViewId="0">
      <pane xSplit="7" ySplit="2" topLeftCell="BW3" activePane="bottomRight" state="frozen"/>
      <selection activeCell="A2" sqref="A2"/>
      <selection pane="topRight" activeCell="I2" sqref="I2"/>
      <selection pane="bottomLeft" activeCell="A3" sqref="A3"/>
      <selection pane="bottomRight" activeCell="A3" sqref="A3:CD320"/>
    </sheetView>
  </sheetViews>
  <sheetFormatPr baseColWidth="10" defaultColWidth="11.42578125" defaultRowHeight="18.75" customHeight="1" x14ac:dyDescent="0.25"/>
  <cols>
    <col min="1" max="1" width="8.5703125" style="1" customWidth="1"/>
    <col min="2" max="2" width="9.42578125" style="12" customWidth="1"/>
    <col min="3" max="3" width="14.7109375" style="2" customWidth="1"/>
    <col min="4" max="4" width="10" style="2" customWidth="1"/>
    <col min="5" max="5" width="11.140625" style="1" customWidth="1"/>
    <col min="6" max="6" width="6.28515625" style="1" customWidth="1"/>
    <col min="7" max="7" width="18.28515625" style="1" customWidth="1"/>
    <col min="8" max="8" width="23" style="1" customWidth="1"/>
    <col min="9" max="9" width="22.42578125" style="1" customWidth="1"/>
    <col min="10" max="10" width="24.140625" style="1" customWidth="1"/>
    <col min="11" max="11" width="19.7109375" style="1" customWidth="1"/>
    <col min="12" max="12" width="12.28515625" style="1" customWidth="1"/>
    <col min="13" max="13" width="11.140625" style="1" customWidth="1"/>
    <col min="14" max="14" width="13.5703125" style="2" customWidth="1"/>
    <col min="15" max="21" width="11.42578125" style="1"/>
    <col min="22" max="22" width="11" style="2" customWidth="1"/>
    <col min="23" max="23" width="8.140625" style="2" customWidth="1"/>
    <col min="24" max="24" width="7.42578125" style="2" customWidth="1"/>
    <col min="25" max="25" width="9.7109375" style="2" customWidth="1"/>
    <col min="26" max="26" width="9.28515625" style="2" customWidth="1"/>
    <col min="27" max="27" width="7.7109375" style="2" customWidth="1"/>
    <col min="28" max="28" width="8.140625" style="2" customWidth="1"/>
    <col min="29" max="29" width="7.28515625" style="2" customWidth="1"/>
    <col min="30" max="30" width="8.7109375" style="2" customWidth="1"/>
    <col min="31" max="31" width="8.85546875" style="2" customWidth="1"/>
    <col min="32" max="32" width="7.42578125" style="2" customWidth="1"/>
    <col min="33" max="33" width="9.28515625" style="2" customWidth="1"/>
    <col min="34" max="34" width="8.7109375" style="2" customWidth="1"/>
    <col min="35" max="35" width="9" style="2" customWidth="1"/>
    <col min="36" max="36" width="8.7109375" style="2" customWidth="1"/>
    <col min="37" max="37" width="8.42578125" style="2" customWidth="1"/>
    <col min="38" max="38" width="9.85546875" style="2" customWidth="1"/>
    <col min="39" max="39" width="10" style="2" customWidth="1"/>
    <col min="40" max="40" width="11.5703125" style="2" customWidth="1"/>
    <col min="41" max="41" width="8.7109375" style="2" customWidth="1"/>
    <col min="42" max="42" width="9.7109375" style="2" customWidth="1"/>
    <col min="43" max="43" width="8.7109375" style="2" customWidth="1"/>
    <col min="44" max="44" width="8.140625" style="2" customWidth="1"/>
    <col min="45" max="45" width="8.7109375" style="2" customWidth="1"/>
    <col min="46" max="46" width="9" style="2" customWidth="1"/>
    <col min="47" max="47" width="9.7109375" style="2" customWidth="1"/>
    <col min="48" max="49" width="12.85546875" style="2" customWidth="1"/>
    <col min="50" max="50" width="10.28515625" style="2" customWidth="1"/>
    <col min="51" max="51" width="11.7109375" style="2" customWidth="1"/>
    <col min="52" max="52" width="12.85546875" style="2" customWidth="1"/>
    <col min="53" max="53" width="9.42578125" style="2" customWidth="1"/>
    <col min="54" max="54" width="10.7109375" style="2" customWidth="1"/>
    <col min="55" max="55" width="9.5703125" style="2" customWidth="1"/>
    <col min="56" max="56" width="10.28515625" style="2" customWidth="1"/>
    <col min="57" max="57" width="12.85546875" style="2" customWidth="1"/>
    <col min="58" max="59" width="9.42578125" style="2" customWidth="1"/>
    <col min="60" max="60" width="8.5703125" style="2" customWidth="1"/>
    <col min="61" max="61" width="11.85546875" style="1" customWidth="1"/>
    <col min="62" max="62" width="11.42578125" style="1" customWidth="1"/>
    <col min="63" max="63" width="13.140625" style="50" customWidth="1"/>
    <col min="64" max="64" width="10.140625" style="219" customWidth="1"/>
    <col min="65" max="65" width="23.7109375" style="1" customWidth="1"/>
    <col min="66" max="66" width="9" style="1" customWidth="1"/>
    <col min="67" max="67" width="17.42578125" style="1" customWidth="1"/>
    <col min="68" max="68" width="8.85546875" style="219" customWidth="1"/>
    <col min="69" max="69" width="20.140625" style="1" customWidth="1"/>
    <col min="70" max="70" width="14.7109375" style="1" customWidth="1"/>
    <col min="71" max="71" width="19.7109375" style="1" customWidth="1"/>
    <col min="72" max="72" width="11.42578125" style="1"/>
    <col min="73" max="73" width="15.28515625" style="50" customWidth="1"/>
    <col min="74" max="74" width="30.7109375" style="1" customWidth="1"/>
    <col min="75" max="75" width="9.85546875" style="1" customWidth="1"/>
    <col min="76" max="76" width="9.140625" style="219" customWidth="1"/>
    <col min="77" max="77" width="18.5703125" style="1" customWidth="1"/>
    <col min="78" max="78" width="25.7109375" style="1" customWidth="1"/>
    <col min="79" max="79" width="22.7109375" style="1" customWidth="1"/>
    <col min="80" max="80" width="8" style="1" customWidth="1"/>
    <col min="81" max="81" width="5.7109375" style="2" customWidth="1"/>
    <col min="82" max="16384" width="11.42578125" style="1"/>
  </cols>
  <sheetData>
    <row r="1" spans="1:82" s="384" customFormat="1" ht="20.25" customHeight="1" x14ac:dyDescent="0.25">
      <c r="A1" s="384">
        <v>1</v>
      </c>
      <c r="B1" s="384">
        <v>3</v>
      </c>
      <c r="D1" s="384">
        <v>4</v>
      </c>
      <c r="E1" s="384">
        <v>5</v>
      </c>
      <c r="F1" s="384">
        <v>6</v>
      </c>
      <c r="G1" s="384">
        <v>7</v>
      </c>
      <c r="H1" s="384">
        <v>8</v>
      </c>
      <c r="I1" s="384">
        <v>9</v>
      </c>
      <c r="J1" s="384">
        <v>10</v>
      </c>
      <c r="K1" s="384">
        <v>11</v>
      </c>
      <c r="L1" s="384">
        <v>12</v>
      </c>
      <c r="M1" s="384">
        <v>13</v>
      </c>
      <c r="N1" s="385">
        <v>14</v>
      </c>
      <c r="O1" s="384">
        <v>15</v>
      </c>
      <c r="P1" s="384">
        <v>16</v>
      </c>
      <c r="Q1" s="384">
        <v>17</v>
      </c>
      <c r="R1" s="384">
        <v>18</v>
      </c>
      <c r="S1" s="384">
        <v>19</v>
      </c>
      <c r="T1" s="384">
        <v>20</v>
      </c>
      <c r="U1" s="384">
        <v>21</v>
      </c>
      <c r="V1" s="384">
        <v>22</v>
      </c>
      <c r="W1" s="384">
        <v>23</v>
      </c>
      <c r="X1" s="384">
        <v>24</v>
      </c>
      <c r="Y1" s="384">
        <v>25</v>
      </c>
      <c r="Z1" s="384">
        <v>26</v>
      </c>
      <c r="AA1" s="384">
        <v>27</v>
      </c>
      <c r="AB1" s="384">
        <v>28</v>
      </c>
      <c r="AC1" s="384">
        <v>29</v>
      </c>
      <c r="AD1" s="384">
        <v>30</v>
      </c>
      <c r="AE1" s="384">
        <v>31</v>
      </c>
      <c r="AF1" s="384">
        <v>32</v>
      </c>
      <c r="AG1" s="384">
        <v>33</v>
      </c>
      <c r="AH1" s="384">
        <v>34</v>
      </c>
      <c r="AI1" s="384">
        <v>35</v>
      </c>
      <c r="AJ1" s="384">
        <v>36</v>
      </c>
      <c r="AK1" s="384">
        <v>37</v>
      </c>
      <c r="AL1" s="384">
        <v>38</v>
      </c>
      <c r="AM1" s="384">
        <v>39</v>
      </c>
      <c r="AN1" s="384">
        <v>40</v>
      </c>
      <c r="AO1" s="384">
        <v>41</v>
      </c>
      <c r="AP1" s="384">
        <v>42</v>
      </c>
      <c r="AQ1" s="384">
        <v>43</v>
      </c>
      <c r="AR1" s="384">
        <v>44</v>
      </c>
      <c r="AS1" s="384">
        <v>45</v>
      </c>
      <c r="AT1" s="384">
        <v>46</v>
      </c>
      <c r="AU1" s="384">
        <v>47</v>
      </c>
      <c r="AV1" s="384">
        <v>48</v>
      </c>
      <c r="AW1" s="384">
        <v>49</v>
      </c>
      <c r="AX1" s="384">
        <v>50</v>
      </c>
      <c r="AY1" s="384">
        <v>51</v>
      </c>
      <c r="AZ1" s="384">
        <v>52</v>
      </c>
      <c r="BA1" s="384">
        <v>53</v>
      </c>
      <c r="BB1" s="384">
        <v>54</v>
      </c>
      <c r="BC1" s="384">
        <v>55</v>
      </c>
      <c r="BD1" s="384">
        <v>56</v>
      </c>
      <c r="BE1" s="384">
        <v>57</v>
      </c>
      <c r="BF1" s="384">
        <v>58</v>
      </c>
      <c r="BG1" s="384">
        <v>59</v>
      </c>
      <c r="BH1" s="384">
        <v>60</v>
      </c>
      <c r="BI1" s="384">
        <v>61</v>
      </c>
      <c r="BJ1" s="384">
        <v>62</v>
      </c>
      <c r="BK1" s="384">
        <v>63</v>
      </c>
      <c r="BL1" s="386">
        <v>64</v>
      </c>
      <c r="BM1" s="384">
        <v>65</v>
      </c>
      <c r="BN1" s="384">
        <v>66</v>
      </c>
      <c r="BP1" s="386"/>
      <c r="BX1" s="386"/>
      <c r="CC1" s="385"/>
    </row>
    <row r="2" spans="1:82" ht="18.75" customHeight="1" x14ac:dyDescent="0.25">
      <c r="A2" s="145" t="s">
        <v>236</v>
      </c>
      <c r="B2" s="145" t="s">
        <v>136</v>
      </c>
      <c r="C2" s="127" t="s">
        <v>172</v>
      </c>
      <c r="D2" s="145" t="s">
        <v>190</v>
      </c>
      <c r="E2" s="145" t="s">
        <v>135</v>
      </c>
      <c r="F2" s="127" t="s">
        <v>123</v>
      </c>
      <c r="G2" s="127" t="s">
        <v>0</v>
      </c>
      <c r="H2" s="127" t="s">
        <v>124</v>
      </c>
      <c r="I2" s="127" t="s">
        <v>2</v>
      </c>
      <c r="J2" s="127" t="s">
        <v>78</v>
      </c>
      <c r="K2" s="127" t="s">
        <v>107</v>
      </c>
      <c r="L2" s="127" t="s">
        <v>125</v>
      </c>
      <c r="M2" s="127" t="s">
        <v>126</v>
      </c>
      <c r="N2" s="127" t="s">
        <v>130</v>
      </c>
      <c r="O2" s="127" t="s">
        <v>129</v>
      </c>
      <c r="P2" s="128" t="s">
        <v>79</v>
      </c>
      <c r="Q2" s="128" t="s">
        <v>80</v>
      </c>
      <c r="R2" s="128" t="s">
        <v>81</v>
      </c>
      <c r="S2" s="128" t="s">
        <v>82</v>
      </c>
      <c r="T2" s="128" t="s">
        <v>83</v>
      </c>
      <c r="U2" s="128" t="s">
        <v>84</v>
      </c>
      <c r="V2" s="128" t="s">
        <v>156</v>
      </c>
      <c r="W2" s="128" t="s">
        <v>137</v>
      </c>
      <c r="X2" s="128" t="s">
        <v>296</v>
      </c>
      <c r="Y2" s="128" t="s">
        <v>297</v>
      </c>
      <c r="Z2" s="131" t="s">
        <v>101</v>
      </c>
      <c r="AA2" s="147" t="s">
        <v>237</v>
      </c>
      <c r="AB2" s="147" t="s">
        <v>238</v>
      </c>
      <c r="AC2" s="147" t="s">
        <v>239</v>
      </c>
      <c r="AD2" s="147" t="s">
        <v>240</v>
      </c>
      <c r="AE2" s="147" t="s">
        <v>241</v>
      </c>
      <c r="AF2" s="147" t="s">
        <v>242</v>
      </c>
      <c r="AG2" s="131" t="s">
        <v>102</v>
      </c>
      <c r="AH2" s="147" t="s">
        <v>232</v>
      </c>
      <c r="AI2" s="147" t="s">
        <v>243</v>
      </c>
      <c r="AJ2" s="147" t="s">
        <v>234</v>
      </c>
      <c r="AK2" s="147" t="s">
        <v>244</v>
      </c>
      <c r="AL2" s="147" t="s">
        <v>245</v>
      </c>
      <c r="AM2" s="147" t="s">
        <v>246</v>
      </c>
      <c r="AN2" s="131" t="s">
        <v>103</v>
      </c>
      <c r="AO2" s="147" t="s">
        <v>247</v>
      </c>
      <c r="AP2" s="147" t="s">
        <v>248</v>
      </c>
      <c r="AQ2" s="147" t="s">
        <v>249</v>
      </c>
      <c r="AR2" s="147" t="s">
        <v>250</v>
      </c>
      <c r="AS2" s="147" t="s">
        <v>251</v>
      </c>
      <c r="AT2" s="147" t="s">
        <v>252</v>
      </c>
      <c r="AU2" s="131" t="s">
        <v>104</v>
      </c>
      <c r="AV2" s="147" t="s">
        <v>253</v>
      </c>
      <c r="AW2" s="147" t="s">
        <v>254</v>
      </c>
      <c r="AX2" s="147" t="s">
        <v>255</v>
      </c>
      <c r="AY2" s="147" t="s">
        <v>256</v>
      </c>
      <c r="AZ2" s="147" t="s">
        <v>257</v>
      </c>
      <c r="BA2" s="147" t="s">
        <v>258</v>
      </c>
      <c r="BB2" s="131" t="s">
        <v>105</v>
      </c>
      <c r="BC2" s="147" t="s">
        <v>259</v>
      </c>
      <c r="BD2" s="147" t="s">
        <v>260</v>
      </c>
      <c r="BE2" s="147" t="s">
        <v>261</v>
      </c>
      <c r="BF2" s="147" t="s">
        <v>262</v>
      </c>
      <c r="BG2" s="147" t="s">
        <v>263</v>
      </c>
      <c r="BH2" s="148" t="s">
        <v>264</v>
      </c>
      <c r="BI2" s="127" t="s">
        <v>46</v>
      </c>
      <c r="BJ2" s="127" t="s">
        <v>127</v>
      </c>
      <c r="BK2" s="127" t="s">
        <v>128</v>
      </c>
      <c r="BL2" s="127" t="s">
        <v>291</v>
      </c>
      <c r="BM2" s="138" t="s">
        <v>292</v>
      </c>
      <c r="BN2" s="127" t="s">
        <v>293</v>
      </c>
      <c r="BO2" s="127" t="s">
        <v>298</v>
      </c>
      <c r="BP2" s="127" t="s">
        <v>287</v>
      </c>
      <c r="BQ2" s="138" t="s">
        <v>288</v>
      </c>
      <c r="BR2" s="127" t="s">
        <v>289</v>
      </c>
      <c r="BS2" s="127" t="s">
        <v>299</v>
      </c>
      <c r="BT2" s="127" t="s">
        <v>157</v>
      </c>
      <c r="BU2" s="127" t="s">
        <v>158</v>
      </c>
      <c r="BV2" s="127" t="s">
        <v>213</v>
      </c>
      <c r="BW2" s="127" t="s">
        <v>6</v>
      </c>
      <c r="BX2" s="127" t="s">
        <v>3276</v>
      </c>
      <c r="BY2" s="138" t="s">
        <v>3281</v>
      </c>
      <c r="BZ2" s="127" t="s">
        <v>15</v>
      </c>
      <c r="CA2" s="127" t="s">
        <v>3604</v>
      </c>
      <c r="CB2" s="127" t="s">
        <v>3619</v>
      </c>
      <c r="CC2" s="127" t="s">
        <v>3620</v>
      </c>
      <c r="CD2" s="127" t="s">
        <v>3629</v>
      </c>
    </row>
    <row r="3" spans="1:82" s="106" customFormat="1" ht="18.75" customHeight="1" x14ac:dyDescent="0.25">
      <c r="A3" s="90">
        <v>201</v>
      </c>
      <c r="B3" s="161" t="str">
        <f>VLOOKUP(T_Convention[[#This Row],[NumL]],T_Commission[#Data],COLUMN(T_Commission[FINAL]),FALSE)</f>
        <v/>
      </c>
      <c r="C3" s="309"/>
      <c r="D3" s="95" t="e">
        <f>IF(VLOOKUP(T_Convention[[#This Row],[NumL]],T_TraitDi[#Data],COLUMN(T_TraitDi[WebC]),FALSE)="","",VLOOKUP(T_Convention[[#This Row],[NumL]],T_TraitDi[#Data],COLUMN(T_TraitDi[WebC]),FALSE))</f>
        <v>#N/A</v>
      </c>
      <c r="E3" s="95" t="str">
        <f t="shared" ref="E3:E66" si="0">TEXT(DateEdition,"jj mmmm aaaa")</f>
        <v>12 janvier 2021</v>
      </c>
      <c r="F3" s="282" t="str">
        <f>IF(T_Convention[[#This Row],[Final]]&lt;&gt;"",VLOOKUP(T_Convention[[#This Row],[NumL]],T_suiviDi[#Data],COLUMN((T_suiviDi[Civ.])),FALSE),"")</f>
        <v/>
      </c>
      <c r="G3" s="283" t="str">
        <f>IF(T_Convention[[#This Row],[Final]]&lt;&gt;"",VLOOKUP(T_Convention[[#This Row],[NumL]],T_suiviDi[#Data],COLUMN((T_suiviDi[Nom])),FALSE),"")</f>
        <v/>
      </c>
      <c r="H3" s="282" t="str">
        <f>IF(T_Convention[[#This Row],[Final]]&lt;&gt;"",VLOOKUP(T_Convention[[#This Row],[NumL]],T_suiviDi[#Data],COLUMN((T_suiviDi[Prénom])),FALSE),"")</f>
        <v/>
      </c>
      <c r="I3" s="282" t="e">
        <f>VLOOKUP(T_Convention[[#This Row],[NumL]],T_suiviDi[#Data],COLUMN((T_suiviDi[[#This Row],[Email]])),FALSE)</f>
        <v>#N/A</v>
      </c>
      <c r="J3" s="282" t="e">
        <f>IF(VLOOKUP(T_Convention[[#This Row],[NumL]],T_suiviDi[#Data],COLUMN(T_suiviDi[[#This Row],[Fonction]]),FALSE)="","",VLOOKUP(T_Convention[[#This Row],[NumL]],T_suiviDi[#Data],COLUMN(T_suiviDi[[#This Row],[Fonction]]),FALSE))</f>
        <v>#N/A</v>
      </c>
      <c r="K3" s="282" t="e">
        <f>IF(VLOOKUP(T_Convention[[#This Row],[NumL]],T_suiviDi[#Data],COLUMN(T_suiviDi[[#This Row],[Grade]]),FALSE)="","",VLOOKUP(T_Convention[[#This Row],[NumL]],T_suiviDi[#Data],COLUMN(T_suiviDi[[#This Row],[Grade]]),FALSE))</f>
        <v>#N/A</v>
      </c>
      <c r="L3" s="282" t="e">
        <f>IF(VLOOKUP(T_Convention[[#This Row],[NumL]],T_suiviDi[#Data],COLUMN(T_suiviDi[[#This Row],[Service ]]),FALSE)="","",VLOOKUP(T_Convention[[#This Row],[NumL]],T_suiviDi[#Data],COLUMN(T_suiviDi[[#This Row],[Service ]]),FALSE))</f>
        <v>#N/A</v>
      </c>
      <c r="M3" s="96" t="str">
        <f t="shared" ref="M3:M66" si="1">TEXT(Dateeffet,"jj mmmm aaaa")</f>
        <v>01 septembre 2021</v>
      </c>
      <c r="N3" s="96" t="str">
        <f t="shared" ref="N3:N66" si="2">TEXT(DateFinadapt,"jj mmmm aaaa")</f>
        <v>30 novembre 2021</v>
      </c>
      <c r="O3" s="284" t="str">
        <f t="shared" ref="O3:O66" si="3">TEXT(Datebilan,"jj mmmm aaaa")</f>
        <v>30 novembre 2021</v>
      </c>
      <c r="P3" s="282" t="e">
        <f>IF(VLOOKUP(T_Convention[[#This Row],[NumL]],T_TraitDi[#Data],COLUMN(T_TraitDi[M1]),FALSE)="","",VLOOKUP(T_Convention[[#This Row],[NumL]],T_TraitDi[#Data],COLUMN(T_TraitDi[M1]),FALSE))</f>
        <v>#N/A</v>
      </c>
      <c r="Q3" s="282" t="e">
        <f>IF(VLOOKUP(T_Convention[[#This Row],[NumL]],T_TraitDi[#Data],COLUMN(T_TraitDi[M2]),FALSE)="","",VLOOKUP(T_Convention[[#This Row],[NumL]],T_TraitDi[#Data],COLUMN(T_TraitDi[M2]),FALSE))</f>
        <v>#N/A</v>
      </c>
      <c r="R3" s="282" t="e">
        <f>IF(VLOOKUP(T_Convention[[#This Row],[NumL]],T_TraitDi[#Data],COLUMN(T_TraitDi[M3]),FALSE)="","",VLOOKUP(T_Convention[[#This Row],[NumL]],T_TraitDi[#Data],COLUMN(T_TraitDi[M3]),FALSE))</f>
        <v>#N/A</v>
      </c>
      <c r="S3" s="282" t="e">
        <f>IF(VLOOKUP(T_Convention[[#This Row],[NumL]],T_TraitDi[#Data],COLUMN(T_TraitDi[M4]),FALSE)="","",VLOOKUP(T_Convention[[#This Row],[NumL]],T_TraitDi[#Data],COLUMN(T_TraitDi[M4]),FALSE))</f>
        <v>#N/A</v>
      </c>
      <c r="T3" s="282" t="e">
        <f>IF(VLOOKUP(T_Convention[[#This Row],[NumL]],T_TraitDi[#Data],COLUMN(T_TraitDi[M5]),FALSE)="","",VLOOKUP(T_Convention[[#This Row],[NumL]],T_TraitDi[#Data],COLUMN(T_TraitDi[M5]),FALSE))</f>
        <v>#N/A</v>
      </c>
      <c r="U3" s="282" t="e">
        <f>IF(VLOOKUP(T_Convention[[#This Row],[NumL]],T_TraitDi[#Data],COLUMN(T_TraitDi[M6]),FALSE)="","",VLOOKUP(T_Convention[[#This Row],[NumL]],T_TraitDi[#Data],COLUMN(T_TraitDi[M6]),FALSE))</f>
        <v>#N/A</v>
      </c>
      <c r="V3" s="312" t="e">
        <f t="shared" ref="V3:V66" si="4">P3&amp;Q3&amp;R3&amp;S3&amp;T3&amp;U3</f>
        <v>#N/A</v>
      </c>
      <c r="W3" s="284" t="str">
        <f>IFERROR(TEXT(VLOOKUP(T_Convention[[#This Row],[NumL]],T_TraitDi[#Data],COLUMN(T_TraitDi[Q2]),FALSE),"###%"),"")</f>
        <v/>
      </c>
      <c r="X3" s="97" t="e">
        <f>VLOOKUP(T_Convention[[#This Row],[NumL]],T_TraitDi[#Data],COLUMN(T_TraitDi[Reg Ponct]),FALSE)</f>
        <v>#N/A</v>
      </c>
      <c r="Y3" s="97" t="e">
        <f>VLOOKUP(T_Convention[NumL],T_TraitDi[#Data],COLUMN(T_TraitDi[Jours flottants]),FALSE)</f>
        <v>#N/A</v>
      </c>
      <c r="Z3" s="284" t="str">
        <f>IFERROR(VLOOKUP(T_Convention[[#This Row],[NumL]],T_TraitDi[#Data],COLUMN(T_TraitDi[Lundi]),FALSE),"")</f>
        <v/>
      </c>
      <c r="AA3" s="284" t="e">
        <f>IF(VLOOKUP(T_Convention[[#This Row],[NumL]],T_TraitDi[#Data],COLUMN(T_TraitDi[Colonne3]),FALSE)=0,"",TEXT(IFERROR(VLOOKUP(T_Convention[[#This Row],[NumL]],T_TraitDi[#Data],COLUMN(T_TraitDi[Colonne3]),FALSE),""),"[hh]:mm"))</f>
        <v>#N/A</v>
      </c>
      <c r="AB3" s="284" t="e">
        <f>IF(VLOOKUP(T_Convention[[#This Row],[NumL]],T_TraitDi[#Data],COLUMN(T_TraitDi[Colonne4]),FALSE)=0,"",TEXT(IFERROR(VLOOKUP(T_Convention[[#This Row],[NumL]],T_TraitDi[#Data],COLUMN(T_TraitDi[Colonne4]),FALSE),""),"[hh]:mm"))</f>
        <v>#N/A</v>
      </c>
      <c r="AC3" s="284" t="e">
        <f>IF(VLOOKUP(T_Convention[[#This Row],[NumL]],T_TraitDi[#Data],COLUMN(T_TraitDi[Colonne5]),FALSE)=0,"",TEXT(IFERROR(VLOOKUP(T_Convention[[#This Row],[NumL]],T_TraitDi[#Data],COLUMN(T_TraitDi[Colonne5]),FALSE),""),"[hh]:mm"))</f>
        <v>#N/A</v>
      </c>
      <c r="AD3" s="284" t="e">
        <f>IF(VLOOKUP(T_Convention[[#This Row],[NumL]],T_TraitDi[#Data],COLUMN(T_TraitDi[Colonne6]),FALSE)=0,"",TEXT(IFERROR(VLOOKUP(T_Convention[[#This Row],[NumL]],T_TraitDi[#Data],COLUMN(T_TraitDi[Colonne6]),FALSE),""),"[hh]:mm"))</f>
        <v>#N/A</v>
      </c>
      <c r="AE3" s="284" t="e">
        <f>IF(VLOOKUP(T_Convention[[#This Row],[NumL]],T_TraitDi[#Data],COLUMN(T_TraitDi[Colonne7]),FALSE)=0,"",TEXT(IFERROR(VLOOKUP(T_Convention[[#This Row],[NumL]],T_TraitDi[#Data],COLUMN(T_TraitDi[Colonne7]),FALSE),""),"[hh]:mm"))</f>
        <v>#N/A</v>
      </c>
      <c r="AF3" s="284" t="e">
        <f>IF(VLOOKUP(T_Convention[[#This Row],[NumL]],T_TraitDi[#Data],COLUMN(T_TraitDi[Colonne8]),FALSE)=0,"",TEXT(IFERROR(VLOOKUP(T_Convention[[#This Row],[NumL]],T_TraitDi[#Data],COLUMN(T_TraitDi[Colonne8]),FALSE),""),"[hh]:mm"))</f>
        <v>#N/A</v>
      </c>
      <c r="AG3" s="284" t="str">
        <f>IFERROR(VLOOKUP(T_Convention[[#This Row],[NumL]],T_TraitDi[#Data],COLUMN(T_TraitDi[Mardi]),FALSE),"")</f>
        <v/>
      </c>
      <c r="AH3" s="284" t="e">
        <f>IF(VLOOKUP(T_Convention[[#This Row],[NumL]],T_TraitDi[#Data],COLUMN(T_TraitDi[Colonne1]),FALSE)=0,"",TEXT(IFERROR(VLOOKUP(T_Convention[[#This Row],[NumL]],T_TraitDi[#Data],COLUMN(T_TraitDi[Colonne1]),FALSE),""),"[hh]:mm"))</f>
        <v>#N/A</v>
      </c>
      <c r="AI3" s="284" t="e">
        <f>IF(VLOOKUP(T_Convention[[#This Row],[NumL]],T_TraitDi[#Data],COLUMN(T_TraitDi[Colonne9]),FALSE)=0,"",TEXT(IFERROR(VLOOKUP(T_Convention[[#This Row],[NumL]],T_TraitDi[#Data],COLUMN(T_TraitDi[Colonne9]),FALSE),""),"[hh]:mm"))</f>
        <v>#N/A</v>
      </c>
      <c r="AJ3" s="284" t="str">
        <f>IFERROR(VLOOKUP(T_Convention[[#This Row],[NumL]],T_TraitDi[#Data],COLUMN(T_TraitDi[Colonne10]),FALSE),"")</f>
        <v/>
      </c>
      <c r="AK3" s="284" t="e">
        <f>IF(VLOOKUP(T_Convention[[#This Row],[NumL]],T_TraitDi[#Data],COLUMN(T_TraitDi[Colonne11]),FALSE)=0,"",TEXT(IFERROR(VLOOKUP(T_Convention[[#This Row],[NumL]],T_TraitDi[#Data],COLUMN(T_TraitDi[Colonne11]),FALSE),""),"[hh]:mm"))</f>
        <v>#N/A</v>
      </c>
      <c r="AL3" s="284" t="e">
        <f>IF(VLOOKUP(T_Convention[[#This Row],[NumL]],T_TraitDi[#Data],COLUMN(T_TraitDi[Colonne12]),FALSE)=0,"",TEXT(IFERROR(VLOOKUP(T_Convention[[#This Row],[NumL]],T_TraitDi[#Data],COLUMN(T_TraitDi[Colonne12]),FALSE),""),"[hh]:mm"))</f>
        <v>#N/A</v>
      </c>
      <c r="AM3" s="284" t="e">
        <f>IF(VLOOKUP(T_Convention[[#This Row],[NumL]],T_TraitDi[#Data],COLUMN(T_TraitDi[Colonne14]),FALSE)=0,"",TEXT(IFERROR(VLOOKUP(T_Convention[[#This Row],[NumL]],T_TraitDi[#Data],COLUMN(T_TraitDi[Colonne14]),FALSE),""),"[hh]:mm"))</f>
        <v>#N/A</v>
      </c>
      <c r="AN3" s="284" t="str">
        <f>IFERROR(VLOOKUP(T_Convention[[#This Row],[NumL]],T_TraitDi[#Data],COLUMN(T_TraitDi[Mercredi]),FALSE),"")</f>
        <v/>
      </c>
      <c r="AO3" s="284" t="e">
        <f>IF(VLOOKUP(T_Convention[[#This Row],[NumL]],T_TraitDi[#Data],COLUMN(T_TraitDi[Colonne15]),FALSE)=0,"",TEXT(IFERROR(VLOOKUP(T_Convention[[#This Row],[NumL]],T_TraitDi[#Data],COLUMN(T_TraitDi[Colonne15]),FALSE),""),"[hh]:mm"))</f>
        <v>#N/A</v>
      </c>
      <c r="AP3" s="284" t="e">
        <f>IF(VLOOKUP(T_Convention[[#This Row],[NumL]],T_TraitDi[#Data],COLUMN(T_TraitDi[Colonne16]),FALSE)=0,"",TEXT(IFERROR(VLOOKUP(T_Convention[[#This Row],[NumL]],T_TraitDi[#Data],COLUMN(T_TraitDi[Colonne16]),FALSE),""),"[hh]:mm"))</f>
        <v>#N/A</v>
      </c>
      <c r="AQ3" s="284" t="str">
        <f>IFERROR(VLOOKUP(T_Convention[[#This Row],[NumL]],T_TraitDi[#Data],COLUMN(T_TraitDi[Colonne17]),FALSE),"")</f>
        <v/>
      </c>
      <c r="AR3" s="284" t="e">
        <f>IF(VLOOKUP(T_Convention[[#This Row],[NumL]],T_TraitDi[#Data],COLUMN(T_TraitDi[Colonne18]),FALSE)=0,"",TEXT(IFERROR(VLOOKUP(T_Convention[[#This Row],[NumL]],T_TraitDi[#Data],COLUMN(T_TraitDi[Colonne18]),FALSE),""),"[hh]:mm"))</f>
        <v>#N/A</v>
      </c>
      <c r="AS3" s="284" t="e">
        <f>IF(VLOOKUP(T_Convention[[#This Row],[NumL]],T_TraitDi[#Data],COLUMN(T_TraitDi[Colonne19]),FALSE)=0,"",TEXT(IFERROR(VLOOKUP(T_Convention[[#This Row],[NumL]],T_TraitDi[#Data],COLUMN(T_TraitDi[Colonne19]),FALSE),""),"[hh]:mm"))</f>
        <v>#N/A</v>
      </c>
      <c r="AT3" s="284" t="e">
        <f>IF(VLOOKUP(T_Convention[[#This Row],[NumL]],T_TraitDi[#Data],COLUMN(T_TraitDi[Colonne20]),FALSE)=0,"",TEXT(IFERROR(VLOOKUP(T_Convention[[#This Row],[NumL]],T_TraitDi[#Data],COLUMN(T_TraitDi[Colonne20]),FALSE),""),"[hh]:mm"))</f>
        <v>#N/A</v>
      </c>
      <c r="AU3" s="284" t="str">
        <f>IFERROR(VLOOKUP(T_Convention[[#This Row],[NumL]],T_TraitDi[#Data],COLUMN(T_TraitDi[Jeudi]),FALSE),"")</f>
        <v/>
      </c>
      <c r="AV3" s="284" t="e">
        <f>IF(VLOOKUP(T_Convention[[#This Row],[NumL]],T_TraitDi[#Data],COLUMN(T_TraitDi[Colonne21]),FALSE)=0,"",TEXT(IFERROR(VLOOKUP(T_Convention[[#This Row],[NumL]],T_TraitDi[#Data],COLUMN(T_TraitDi[Colonne21]),FALSE),""),"[hh]:mm"))</f>
        <v>#N/A</v>
      </c>
      <c r="AW3" s="284" t="e">
        <f>IF(VLOOKUP(T_Convention[[#This Row],[NumL]],T_TraitDi[#Data],COLUMN(T_TraitDi[Colonne22]),FALSE)=0,"",TEXT(IFERROR(VLOOKUP(T_Convention[[#This Row],[NumL]],T_TraitDi[#Data],COLUMN(T_TraitDi[Colonne22]),FALSE),""),"[hh]:mm"))</f>
        <v>#N/A</v>
      </c>
      <c r="AX3" s="284" t="str">
        <f>IFERROR(VLOOKUP(T_Convention[[#This Row],[NumL]],T_TraitDi[#Data],COLUMN(T_TraitDi[Colonne23]),FALSE),"")</f>
        <v/>
      </c>
      <c r="AY3" s="284" t="e">
        <f>IF(VLOOKUP(T_Convention[[#This Row],[NumL]],T_TraitDi[#Data],COLUMN(T_TraitDi[Colonne24]),FALSE)=0,"",TEXT(IFERROR(VLOOKUP(T_Convention[[#This Row],[NumL]],T_TraitDi[#Data],COLUMN(T_TraitDi[Colonne24]),FALSE),""),"[hh]:mm"))</f>
        <v>#N/A</v>
      </c>
      <c r="AZ3" s="284" t="e">
        <f>IF(VLOOKUP(T_Convention[[#This Row],[NumL]],T_TraitDi[#Data],COLUMN(T_TraitDi[Colonne25]),FALSE)=0,"",TEXT(IFERROR(VLOOKUP(T_Convention[[#This Row],[NumL]],T_TraitDi[#Data],COLUMN(T_TraitDi[Colonne25]),FALSE),""),"[hh]:mm"))</f>
        <v>#N/A</v>
      </c>
      <c r="BA3" s="284" t="e">
        <f>IF(VLOOKUP(T_Convention[[#This Row],[NumL]],T_TraitDi[#Data],COLUMN(T_TraitDi[Colonne26]),FALSE)=0,"",TEXT(IFERROR(VLOOKUP(T_Convention[[#This Row],[NumL]],T_TraitDi[#Data],COLUMN(T_TraitDi[Colonne26]),FALSE),""),"[hh]:mm"))</f>
        <v>#N/A</v>
      </c>
      <c r="BB3" s="284" t="str">
        <f>IFERROR(VLOOKUP(T_Convention[[#This Row],[NumL]],T_TraitDi[#Data],COLUMN(T_TraitDi[Vendredi]),FALSE),"")</f>
        <v/>
      </c>
      <c r="BC3" s="284" t="e">
        <f>IF(VLOOKUP(T_Convention[[#This Row],[NumL]],T_TraitDi[#Data],COLUMN(T_TraitDi[Colonne27]),FALSE)=0,"",TEXT(IFERROR(VLOOKUP(T_Convention[[#This Row],[NumL]],T_TraitDi[#Data],COLUMN(T_TraitDi[Colonne27]),FALSE),""),"[hh]:mm"))</f>
        <v>#N/A</v>
      </c>
      <c r="BD3" s="284" t="e">
        <f>IF(VLOOKUP(T_Convention[[#This Row],[NumL]],T_TraitDi[#Data],COLUMN(T_TraitDi[Colonne28]),FALSE)=0,"",TEXT(IFERROR(VLOOKUP(T_Convention[[#This Row],[NumL]],T_TraitDi[#Data],COLUMN(T_TraitDi[Colonne28]),FALSE),""),"[hh]:mm"))</f>
        <v>#N/A</v>
      </c>
      <c r="BE3" s="284" t="str">
        <f>IFERROR(VLOOKUP(T_Convention[[#This Row],[NumL]],T_TraitDi[#Data],COLUMN(T_TraitDi[Colonne29]),FALSE),"")</f>
        <v/>
      </c>
      <c r="BF3" s="284" t="e">
        <f>IF(VLOOKUP(T_Convention[[#This Row],[NumL]],T_TraitDi[#Data],COLUMN(T_TraitDi[Colonne30]),FALSE)=0,"",TEXT(IFERROR(VLOOKUP(T_Convention[[#This Row],[NumL]],T_TraitDi[#Data],COLUMN(T_TraitDi[Colonne30]),FALSE),""),"[hh]:mm"))</f>
        <v>#N/A</v>
      </c>
      <c r="BG3" s="284" t="e">
        <f>IF(VLOOKUP(T_Convention[[#This Row],[NumL]],T_TraitDi[#Data],COLUMN(T_TraitDi[Colonne31]),FALSE)=0,"",TEXT(IFERROR(VLOOKUP(T_Convention[[#This Row],[NumL]],T_TraitDi[#Data],COLUMN(T_TraitDi[Colonne31]),FALSE),""),"[hh]:mm"))</f>
        <v>#N/A</v>
      </c>
      <c r="BH3" s="284" t="e">
        <f>IF(VLOOKUP(T_Convention[[#This Row],[NumL]],T_TraitDi[#Data],COLUMN(T_TraitDi[Colonne32]),FALSE)=0,"",TEXT(IFERROR(VLOOKUP(T_Convention[[#This Row],[NumL]],T_TraitDi[#Data],COLUMN(T_TraitDi[Colonne32]),FALSE),""),"[hh]:mm"))</f>
        <v>#N/A</v>
      </c>
      <c r="BI3" s="284" t="str">
        <f>IFERROR(VLOOKUP(T_Convention[[#This Row],[NumL]],T_TraitDi[#Data],COLUMN(T_TraitDi[NbJTW]),FALSE),"")</f>
        <v/>
      </c>
      <c r="BJ3" s="284" t="e">
        <f>IF(VLOOKUP(T_Convention[[#This Row],[NumL]],T_TraitDi[#Data],COLUMN(T_TraitDi[NbhTW]),FALSE)=0,"",TEXT(IFERROR(VLOOKUP(T_Convention[[#This Row],[NumL]],T_TraitDi[#Data],COLUMN(T_TraitDi[NbhTW]),FALSE),""),"[hh]:mm"))</f>
        <v>#N/A</v>
      </c>
      <c r="BK3" s="286" t="e">
        <f>IF(VLOOKUP(T_Convention[[#This Row],[NumL]],T_TraitDi[#Data],COLUMN(T_TraitDi[Nbhheb]),FALSE)=0,"",TEXT(IFERROR(VLOOKUP(T_Convention[[#This Row],[NumL]],T_TraitDi[#Data],COLUMN(T_TraitDi[Nbhheb]),FALSE),""),"[hh]:mm"))</f>
        <v>#N/A</v>
      </c>
      <c r="BL3" s="287" t="str">
        <f>IFERROR(VLOOKUP(VLOOKUP(T_Convention[[#This Row],[NumL]],T_TraitDi[#Data],COLUMN(T_TraitDi[Type1]),FALSE),TypeTW,2,FALSE),"")</f>
        <v/>
      </c>
      <c r="BM3" s="288" t="str">
        <f>IFERROR(VLOOKUP(T_Convention[[#This Row],[NumL]],T_TraitDi[#Data],COLUMN(T_TraitDi[Rue1]),FALSE),"")</f>
        <v/>
      </c>
      <c r="BN3" s="289" t="str">
        <f>IFERROR(VLOOKUP(T_Convention[[#This Row],[NumL]],T_TraitDi[#Data],COLUMN(T_TraitDi[CP1]),FALSE),"")</f>
        <v/>
      </c>
      <c r="BO3" s="282" t="str">
        <f>IFERROR(VLOOKUP(T_Convention[[#This Row],[NumL]],T_TraitDi[#Data],COLUMN(T_TraitDi[VILLE1]),FALSE),"")</f>
        <v/>
      </c>
      <c r="BP3" s="290" t="str">
        <f>IFERROR(VLOOKUP(VLOOKUP(T_Convention[[#This Row],[NumL]],T_TraitDi[#Data],COLUMN(T_TraitDi[Type2]),FALSE),TypeTW,2,FALSE),"")</f>
        <v/>
      </c>
      <c r="BQ3" s="182" t="str">
        <f>IFERROR(VLOOKUP(T_Convention[[#This Row],[NumL]],T_TraitDi[#Data],COLUMN(T_TraitDi[Rue2]),FALSE),"")</f>
        <v/>
      </c>
      <c r="BR3" s="173" t="str">
        <f>IFERROR(VLOOKUP(T_Convention[[#This Row],[NumL]],T_TraitDi[#Data],COLUMN(T_TraitDi[CP2]),FALSE),"")</f>
        <v/>
      </c>
      <c r="BS3" s="173" t="str">
        <f>IFERROR(VLOOKUP(T_Convention[[#This Row],[NumL]],T_TraitDi[#Data],COLUMN(T_TraitDi[VILLE2]),FALSE),"")</f>
        <v/>
      </c>
      <c r="BT3" s="313" t="str">
        <f>IF(VLOOKUP(T_Convention[[#This Row],[NumL]],T_Equipement[#Data],COLUMN(T_Equipement[PC]),FALSE)="","Aucun équipement spécifique directement lié au télétravail",VLOOKUP(T_Convention[[#This Row],[NumL]],T_Equipement[#Data],COLUMN(T_Equipement[PC]),FALSE))</f>
        <v xml:space="preserve">20-273	</v>
      </c>
      <c r="BU3" s="296" t="str">
        <f>IFERROR(IF(VLOOKUP(T_Convention[[#This Row],[NumL]],T_TraitDi[#Data],COLUMN(T_TraitDi[Plan]),FALSE)="OK","Un planning spécifique de télétravail est annexé à la présente convention.",""),"")</f>
        <v/>
      </c>
      <c r="BV3" s="185"/>
      <c r="BW3" s="164" t="e">
        <f>IF(VLOOKUP(T_Convention[[#This Row],[NumL]],T_suiviDi[#Data],COLUMN(T_suiviDi[Entité]),FALSE)="","",VLOOKUP(T_Convention[[#This Row],[NumL]],T_suiviDi[#Data],COLUMN(T_suiviDi[Entité]),FALSE))</f>
        <v>#N/A</v>
      </c>
      <c r="BX3" s="164" t="str">
        <f>IF(VLOOKUP(T_Convention[[#This Row],[NumL]],T_Commission[#Data],COLUMN(T_Commission[envoi confirm TW]),FALSE)="","",VLOOKUP(T_Convention[[#This Row],[NumL]],T_Commission[#Data],COLUMN(T_Commission[envoi confirm TW]),FALSE))</f>
        <v/>
      </c>
      <c r="BY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 s="264">
        <f>VLOOKUP(T_Convention[[#This Row],[NumL]],T_Commission[#Data],COLUMN(T_Commission[Commentaire]),FALSE)</f>
        <v>0</v>
      </c>
      <c r="CA3" s="254" t="str">
        <f>IF(VLOOKUP(T_Convention[[#This Row],[NumL]],T_Commission[#Data],COLUMN(T_Commission[Encadrant Email]),FALSE)="","",VLOOKUP(T_Convention[[#This Row],[NumL]],T_Commission[#Data],COLUMN(T_Commission[Encadrant Email]),FALSE))</f>
        <v/>
      </c>
      <c r="CB3" s="254" t="e">
        <f>VLOOKUP(T_Convention[[#This Row],[NumL]],T_TraitDi[#Data],COLUMN(T_TraitDi[NbJTot]),FALSE)</f>
        <v>#N/A</v>
      </c>
      <c r="CC3" s="352" t="e">
        <f>VLOOKUP(T_Convention[[#This Row],[NumL]],T_TraitDi[#Data],COLUMN(T_TraitDi[Reg Ponct]),FALSE)</f>
        <v>#N/A</v>
      </c>
      <c r="CD3" s="348" t="str">
        <f>IF(T_Convention[[#This Row],[Final]]&lt;&gt;"",VLOOKUP(T_Convention[[#This Row],[NumL]],T_suiviDi[#Data],COLUMN((T_suiviDi[Statut])),FALSE),"")</f>
        <v/>
      </c>
    </row>
    <row r="4" spans="1:82" s="106" customFormat="1" ht="18.75" customHeight="1" x14ac:dyDescent="0.25">
      <c r="A4" s="90">
        <v>345</v>
      </c>
      <c r="B4" s="281" t="str">
        <f>VLOOKUP(T_Convention[[#This Row],[NumL]],T_Commission[#Data],COLUMN(T_Commission[FINAL]),FALSE)</f>
        <v/>
      </c>
      <c r="C4" s="309"/>
      <c r="D4" s="95" t="e">
        <f>IF(VLOOKUP(T_Convention[[#This Row],[NumL]],T_TraitDi[#Data],COLUMN(T_TraitDi[WebC]),FALSE)="","",VLOOKUP(T_Convention[[#This Row],[NumL]],T_TraitDi[#Data],COLUMN(T_TraitDi[WebC]),FALSE))</f>
        <v>#N/A</v>
      </c>
      <c r="E4" s="95" t="str">
        <f t="shared" si="0"/>
        <v>12 janvier 2021</v>
      </c>
      <c r="F4" s="282" t="str">
        <f>IF(T_Convention[[#This Row],[Final]]&lt;&gt;"",VLOOKUP(T_Convention[[#This Row],[NumL]],T_suiviDi[#Data],COLUMN((T_suiviDi[Civ.])),FALSE),"")</f>
        <v/>
      </c>
      <c r="G4" s="283" t="str">
        <f>IF(T_Convention[[#This Row],[Final]]&lt;&gt;"",VLOOKUP(T_Convention[[#This Row],[NumL]],T_suiviDi[#Data],COLUMN((T_suiviDi[Nom])),FALSE),"")</f>
        <v/>
      </c>
      <c r="H4" s="282" t="str">
        <f>IF(T_Convention[[#This Row],[Final]]&lt;&gt;"",VLOOKUP(T_Convention[[#This Row],[NumL]],T_suiviDi[#Data],COLUMN((T_suiviDi[Prénom])),FALSE),"")</f>
        <v/>
      </c>
      <c r="I4" s="282" t="e">
        <f>VLOOKUP(T_Convention[[#This Row],[NumL]],T_suiviDi[#Data],COLUMN((T_suiviDi[[#This Row],[Email]])),FALSE)</f>
        <v>#N/A</v>
      </c>
      <c r="J4" s="282" t="e">
        <f>IF(VLOOKUP(T_Convention[[#This Row],[NumL]],T_suiviDi[#Data],COLUMN(T_suiviDi[[#This Row],[Fonction]]),FALSE)="","",VLOOKUP(T_Convention[[#This Row],[NumL]],T_suiviDi[#Data],COLUMN(T_suiviDi[[#This Row],[Fonction]]),FALSE))</f>
        <v>#N/A</v>
      </c>
      <c r="K4" s="282" t="e">
        <f>IF(VLOOKUP(T_Convention[[#This Row],[NumL]],T_suiviDi[#Data],COLUMN(T_suiviDi[[#This Row],[Grade]]),FALSE)="","",VLOOKUP(T_Convention[[#This Row],[NumL]],T_suiviDi[#Data],COLUMN(T_suiviDi[[#This Row],[Grade]]),FALSE))</f>
        <v>#N/A</v>
      </c>
      <c r="L4" s="282" t="e">
        <f>IF(VLOOKUP(T_Convention[[#This Row],[NumL]],T_suiviDi[#Data],COLUMN(T_suiviDi[[#This Row],[Service ]]),FALSE)="","",VLOOKUP(T_Convention[[#This Row],[NumL]],T_suiviDi[#Data],COLUMN(T_suiviDi[[#This Row],[Service ]]),FALSE))</f>
        <v>#N/A</v>
      </c>
      <c r="M4" s="282" t="str">
        <f t="shared" si="1"/>
        <v>01 septembre 2021</v>
      </c>
      <c r="N4" s="282" t="str">
        <f t="shared" si="2"/>
        <v>30 novembre 2021</v>
      </c>
      <c r="O4" s="284" t="str">
        <f t="shared" si="3"/>
        <v>30 novembre 2021</v>
      </c>
      <c r="P4" s="282" t="e">
        <f>IF(VLOOKUP(T_Convention[[#This Row],[NumL]],T_TraitDi[#Data],COLUMN(T_TraitDi[M1]),FALSE)="","",VLOOKUP(T_Convention[[#This Row],[NumL]],T_TraitDi[#Data],COLUMN(T_TraitDi[M1]),FALSE))</f>
        <v>#N/A</v>
      </c>
      <c r="Q4" s="282" t="e">
        <f>IF(VLOOKUP(T_Convention[[#This Row],[NumL]],T_TraitDi[#Data],COLUMN(T_TraitDi[M2]),FALSE)="","",VLOOKUP(T_Convention[[#This Row],[NumL]],T_TraitDi[#Data],COLUMN(T_TraitDi[M2]),FALSE))</f>
        <v>#N/A</v>
      </c>
      <c r="R4" s="282" t="e">
        <f>IF(VLOOKUP(T_Convention[[#This Row],[NumL]],T_TraitDi[#Data],COLUMN(T_TraitDi[M3]),FALSE)="","",VLOOKUP(T_Convention[[#This Row],[NumL]],T_TraitDi[#Data],COLUMN(T_TraitDi[M3]),FALSE))</f>
        <v>#N/A</v>
      </c>
      <c r="S4" s="282" t="e">
        <f>IF(VLOOKUP(T_Convention[[#This Row],[NumL]],T_TraitDi[#Data],COLUMN(T_TraitDi[M4]),FALSE)="","",VLOOKUP(T_Convention[[#This Row],[NumL]],T_TraitDi[#Data],COLUMN(T_TraitDi[M4]),FALSE))</f>
        <v>#N/A</v>
      </c>
      <c r="T4" s="282" t="e">
        <f>IF(VLOOKUP(T_Convention[[#This Row],[NumL]],T_TraitDi[#Data],COLUMN(T_TraitDi[M5]),FALSE)="","",VLOOKUP(T_Convention[[#This Row],[NumL]],T_TraitDi[#Data],COLUMN(T_TraitDi[M5]),FALSE))</f>
        <v>#N/A</v>
      </c>
      <c r="U4" s="282" t="e">
        <f>IF(VLOOKUP(T_Convention[[#This Row],[NumL]],T_TraitDi[#Data],COLUMN(T_TraitDi[M6]),FALSE)="","",VLOOKUP(T_Convention[[#This Row],[NumL]],T_TraitDi[#Data],COLUMN(T_TraitDi[M6]),FALSE))</f>
        <v>#N/A</v>
      </c>
      <c r="V4" s="282" t="e">
        <f t="shared" si="4"/>
        <v>#N/A</v>
      </c>
      <c r="W4" s="284" t="str">
        <f>IFERROR(TEXT(VLOOKUP(T_Convention[[#This Row],[NumL]],T_TraitDi[#Data],COLUMN(T_TraitDi[Q2]),FALSE),"###%"),"")</f>
        <v/>
      </c>
      <c r="X4" s="285" t="e">
        <f>VLOOKUP(T_Convention[[#This Row],[NumL]],T_TraitDi[#Data],COLUMN(T_TraitDi[Reg Ponct]),FALSE)</f>
        <v>#N/A</v>
      </c>
      <c r="Y4" s="285" t="e">
        <f>VLOOKUP(T_Convention[NumL],T_TraitDi[#Data],COLUMN(T_TraitDi[Jours flottants]),FALSE)</f>
        <v>#N/A</v>
      </c>
      <c r="Z4" s="284" t="str">
        <f>IFERROR(VLOOKUP(T_Convention[[#This Row],[NumL]],T_TraitDi[#Data],COLUMN(T_TraitDi[Lundi]),FALSE),"")</f>
        <v/>
      </c>
      <c r="AA4" s="284" t="e">
        <f>IF(VLOOKUP(T_Convention[[#This Row],[NumL]],T_TraitDi[#Data],COLUMN(T_TraitDi[Colonne3]),FALSE)=0,"",TEXT(IFERROR(VLOOKUP(T_Convention[[#This Row],[NumL]],T_TraitDi[#Data],COLUMN(T_TraitDi[Colonne3]),FALSE),""),"[hh]:mm"))</f>
        <v>#N/A</v>
      </c>
      <c r="AB4" s="284" t="e">
        <f>IF(VLOOKUP(T_Convention[[#This Row],[NumL]],T_TraitDi[#Data],COLUMN(T_TraitDi[Colonne4]),FALSE)=0,"",TEXT(IFERROR(VLOOKUP(T_Convention[[#This Row],[NumL]],T_TraitDi[#Data],COLUMN(T_TraitDi[Colonne4]),FALSE),""),"[hh]:mm"))</f>
        <v>#N/A</v>
      </c>
      <c r="AC4" s="284" t="e">
        <f>IF(VLOOKUP(T_Convention[[#This Row],[NumL]],T_TraitDi[#Data],COLUMN(T_TraitDi[Colonne5]),FALSE)=0,"",TEXT(IFERROR(VLOOKUP(T_Convention[[#This Row],[NumL]],T_TraitDi[#Data],COLUMN(T_TraitDi[Colonne5]),FALSE),""),"[hh]:mm"))</f>
        <v>#N/A</v>
      </c>
      <c r="AD4" s="284" t="e">
        <f>IF(VLOOKUP(T_Convention[[#This Row],[NumL]],T_TraitDi[#Data],COLUMN(T_TraitDi[Colonne6]),FALSE)=0,"",TEXT(IFERROR(VLOOKUP(T_Convention[[#This Row],[NumL]],T_TraitDi[#Data],COLUMN(T_TraitDi[Colonne6]),FALSE),""),"[hh]:mm"))</f>
        <v>#N/A</v>
      </c>
      <c r="AE4" s="284" t="e">
        <f>IF(VLOOKUP(T_Convention[[#This Row],[NumL]],T_TraitDi[#Data],COLUMN(T_TraitDi[Colonne7]),FALSE)=0,"",TEXT(IFERROR(VLOOKUP(T_Convention[[#This Row],[NumL]],T_TraitDi[#Data],COLUMN(T_TraitDi[Colonne7]),FALSE),""),"[hh]:mm"))</f>
        <v>#N/A</v>
      </c>
      <c r="AF4" s="284" t="e">
        <f>IF(VLOOKUP(T_Convention[[#This Row],[NumL]],T_TraitDi[#Data],COLUMN(T_TraitDi[Colonne8]),FALSE)=0,"",TEXT(IFERROR(VLOOKUP(T_Convention[[#This Row],[NumL]],T_TraitDi[#Data],COLUMN(T_TraitDi[Colonne8]),FALSE),""),"[hh]:mm"))</f>
        <v>#N/A</v>
      </c>
      <c r="AG4" s="284" t="str">
        <f>IFERROR(VLOOKUP(T_Convention[[#This Row],[NumL]],T_TraitDi[#Data],COLUMN(T_TraitDi[Mardi]),FALSE),"")</f>
        <v/>
      </c>
      <c r="AH4" s="284" t="e">
        <f>IF(VLOOKUP(T_Convention[[#This Row],[NumL]],T_TraitDi[#Data],COLUMN(T_TraitDi[Colonne1]),FALSE)=0,"",TEXT(IFERROR(VLOOKUP(T_Convention[[#This Row],[NumL]],T_TraitDi[#Data],COLUMN(T_TraitDi[Colonne1]),FALSE),""),"[hh]:mm"))</f>
        <v>#N/A</v>
      </c>
      <c r="AI4" s="284" t="e">
        <f>IF(VLOOKUP(T_Convention[[#This Row],[NumL]],T_TraitDi[#Data],COLUMN(T_TraitDi[Colonne9]),FALSE)=0,"",TEXT(IFERROR(VLOOKUP(T_Convention[[#This Row],[NumL]],T_TraitDi[#Data],COLUMN(T_TraitDi[Colonne9]),FALSE),""),"[hh]:mm"))</f>
        <v>#N/A</v>
      </c>
      <c r="AJ4" s="284" t="str">
        <f>IFERROR(VLOOKUP(T_Convention[[#This Row],[NumL]],T_TraitDi[#Data],COLUMN(T_TraitDi[Colonne10]),FALSE),"")</f>
        <v/>
      </c>
      <c r="AK4" s="284" t="e">
        <f>IF(VLOOKUP(T_Convention[[#This Row],[NumL]],T_TraitDi[#Data],COLUMN(T_TraitDi[Colonne11]),FALSE)=0,"",TEXT(IFERROR(VLOOKUP(T_Convention[[#This Row],[NumL]],T_TraitDi[#Data],COLUMN(T_TraitDi[Colonne11]),FALSE),""),"[hh]:mm"))</f>
        <v>#N/A</v>
      </c>
      <c r="AL4" s="284" t="e">
        <f>IF(VLOOKUP(T_Convention[[#This Row],[NumL]],T_TraitDi[#Data],COLUMN(T_TraitDi[Colonne12]),FALSE)=0,"",TEXT(IFERROR(VLOOKUP(T_Convention[[#This Row],[NumL]],T_TraitDi[#Data],COLUMN(T_TraitDi[Colonne12]),FALSE),""),"[hh]:mm"))</f>
        <v>#N/A</v>
      </c>
      <c r="AM4" s="284" t="e">
        <f>IF(VLOOKUP(T_Convention[[#This Row],[NumL]],T_TraitDi[#Data],COLUMN(T_TraitDi[Colonne14]),FALSE)=0,"",TEXT(IFERROR(VLOOKUP(T_Convention[[#This Row],[NumL]],T_TraitDi[#Data],COLUMN(T_TraitDi[Colonne14]),FALSE),""),"[hh]:mm"))</f>
        <v>#N/A</v>
      </c>
      <c r="AN4" s="284" t="str">
        <f>IFERROR(VLOOKUP(T_Convention[[#This Row],[NumL]],T_TraitDi[#Data],COLUMN(T_TraitDi[Mercredi]),FALSE),"")</f>
        <v/>
      </c>
      <c r="AO4" s="284" t="e">
        <f>IF(VLOOKUP(T_Convention[[#This Row],[NumL]],T_TraitDi[#Data],COLUMN(T_TraitDi[Colonne15]),FALSE)=0,"",TEXT(IFERROR(VLOOKUP(T_Convention[[#This Row],[NumL]],T_TraitDi[#Data],COLUMN(T_TraitDi[Colonne15]),FALSE),""),"[hh]:mm"))</f>
        <v>#N/A</v>
      </c>
      <c r="AP4" s="284" t="e">
        <f>IF(VLOOKUP(T_Convention[[#This Row],[NumL]],T_TraitDi[#Data],COLUMN(T_TraitDi[Colonne16]),FALSE)=0,"",TEXT(IFERROR(VLOOKUP(T_Convention[[#This Row],[NumL]],T_TraitDi[#Data],COLUMN(T_TraitDi[Colonne16]),FALSE),""),"[hh]:mm"))</f>
        <v>#N/A</v>
      </c>
      <c r="AQ4" s="284" t="str">
        <f>IFERROR(VLOOKUP(T_Convention[[#This Row],[NumL]],T_TraitDi[#Data],COLUMN(T_TraitDi[Colonne17]),FALSE),"")</f>
        <v/>
      </c>
      <c r="AR4" s="284" t="e">
        <f>IF(VLOOKUP(T_Convention[[#This Row],[NumL]],T_TraitDi[#Data],COLUMN(T_TraitDi[Colonne18]),FALSE)=0,"",TEXT(IFERROR(VLOOKUP(T_Convention[[#This Row],[NumL]],T_TraitDi[#Data],COLUMN(T_TraitDi[Colonne18]),FALSE),""),"[hh]:mm"))</f>
        <v>#N/A</v>
      </c>
      <c r="AS4" s="284" t="e">
        <f>IF(VLOOKUP(T_Convention[[#This Row],[NumL]],T_TraitDi[#Data],COLUMN(T_TraitDi[Colonne19]),FALSE)=0,"",TEXT(IFERROR(VLOOKUP(T_Convention[[#This Row],[NumL]],T_TraitDi[#Data],COLUMN(T_TraitDi[Colonne19]),FALSE),""),"[hh]:mm"))</f>
        <v>#N/A</v>
      </c>
      <c r="AT4" s="284" t="e">
        <f>IF(VLOOKUP(T_Convention[[#This Row],[NumL]],T_TraitDi[#Data],COLUMN(T_TraitDi[Colonne20]),FALSE)=0,"",TEXT(IFERROR(VLOOKUP(T_Convention[[#This Row],[NumL]],T_TraitDi[#Data],COLUMN(T_TraitDi[Colonne20]),FALSE),""),"[hh]:mm"))</f>
        <v>#N/A</v>
      </c>
      <c r="AU4" s="284" t="str">
        <f>IFERROR(VLOOKUP(T_Convention[[#This Row],[NumL]],T_TraitDi[#Data],COLUMN(T_TraitDi[Jeudi]),FALSE),"")</f>
        <v/>
      </c>
      <c r="AV4" s="284" t="e">
        <f>IF(VLOOKUP(T_Convention[[#This Row],[NumL]],T_TraitDi[#Data],COLUMN(T_TraitDi[Colonne21]),FALSE)=0,"",TEXT(IFERROR(VLOOKUP(T_Convention[[#This Row],[NumL]],T_TraitDi[#Data],COLUMN(T_TraitDi[Colonne21]),FALSE),""),"[hh]:mm"))</f>
        <v>#N/A</v>
      </c>
      <c r="AW4" s="284" t="e">
        <f>IF(VLOOKUP(T_Convention[[#This Row],[NumL]],T_TraitDi[#Data],COLUMN(T_TraitDi[Colonne22]),FALSE)=0,"",TEXT(IFERROR(VLOOKUP(T_Convention[[#This Row],[NumL]],T_TraitDi[#Data],COLUMN(T_TraitDi[Colonne22]),FALSE),""),"[hh]:mm"))</f>
        <v>#N/A</v>
      </c>
      <c r="AX4" s="284" t="str">
        <f>IFERROR(VLOOKUP(T_Convention[[#This Row],[NumL]],T_TraitDi[#Data],COLUMN(T_TraitDi[Colonne23]),FALSE),"")</f>
        <v/>
      </c>
      <c r="AY4" s="284" t="e">
        <f>IF(VLOOKUP(T_Convention[[#This Row],[NumL]],T_TraitDi[#Data],COLUMN(T_TraitDi[Colonne24]),FALSE)=0,"",TEXT(IFERROR(VLOOKUP(T_Convention[[#This Row],[NumL]],T_TraitDi[#Data],COLUMN(T_TraitDi[Colonne24]),FALSE),""),"[hh]:mm"))</f>
        <v>#N/A</v>
      </c>
      <c r="AZ4" s="284" t="e">
        <f>IF(VLOOKUP(T_Convention[[#This Row],[NumL]],T_TraitDi[#Data],COLUMN(T_TraitDi[Colonne25]),FALSE)=0,"",TEXT(IFERROR(VLOOKUP(T_Convention[[#This Row],[NumL]],T_TraitDi[#Data],COLUMN(T_TraitDi[Colonne25]),FALSE),""),"[hh]:mm"))</f>
        <v>#N/A</v>
      </c>
      <c r="BA4" s="284" t="e">
        <f>IF(VLOOKUP(T_Convention[[#This Row],[NumL]],T_TraitDi[#Data],COLUMN(T_TraitDi[Colonne26]),FALSE)=0,"",TEXT(IFERROR(VLOOKUP(T_Convention[[#This Row],[NumL]],T_TraitDi[#Data],COLUMN(T_TraitDi[Colonne26]),FALSE),""),"[hh]:mm"))</f>
        <v>#N/A</v>
      </c>
      <c r="BB4" s="284" t="str">
        <f>IFERROR(VLOOKUP(T_Convention[[#This Row],[NumL]],T_TraitDi[#Data],COLUMN(T_TraitDi[Vendredi]),FALSE),"")</f>
        <v/>
      </c>
      <c r="BC4" s="284" t="e">
        <f>IF(VLOOKUP(T_Convention[[#This Row],[NumL]],T_TraitDi[#Data],COLUMN(T_TraitDi[Colonne27]),FALSE)=0,"",TEXT(IFERROR(VLOOKUP(T_Convention[[#This Row],[NumL]],T_TraitDi[#Data],COLUMN(T_TraitDi[Colonne27]),FALSE),""),"[hh]:mm"))</f>
        <v>#N/A</v>
      </c>
      <c r="BD4" s="284" t="e">
        <f>IF(VLOOKUP(T_Convention[[#This Row],[NumL]],T_TraitDi[#Data],COLUMN(T_TraitDi[Colonne28]),FALSE)=0,"",TEXT(IFERROR(VLOOKUP(T_Convention[[#This Row],[NumL]],T_TraitDi[#Data],COLUMN(T_TraitDi[Colonne28]),FALSE),""),"[hh]:mm"))</f>
        <v>#N/A</v>
      </c>
      <c r="BE4" s="284" t="str">
        <f>IFERROR(VLOOKUP(T_Convention[[#This Row],[NumL]],T_TraitDi[#Data],COLUMN(T_TraitDi[Colonne29]),FALSE),"")</f>
        <v/>
      </c>
      <c r="BF4" s="284" t="e">
        <f>IF(VLOOKUP(T_Convention[[#This Row],[NumL]],T_TraitDi[#Data],COLUMN(T_TraitDi[Colonne30]),FALSE)=0,"",TEXT(IFERROR(VLOOKUP(T_Convention[[#This Row],[NumL]],T_TraitDi[#Data],COLUMN(T_TraitDi[Colonne30]),FALSE),""),"[hh]:mm"))</f>
        <v>#N/A</v>
      </c>
      <c r="BG4" s="284" t="e">
        <f>IF(VLOOKUP(T_Convention[[#This Row],[NumL]],T_TraitDi[#Data],COLUMN(T_TraitDi[Colonne31]),FALSE)=0,"",TEXT(IFERROR(VLOOKUP(T_Convention[[#This Row],[NumL]],T_TraitDi[#Data],COLUMN(T_TraitDi[Colonne31]),FALSE),""),"[hh]:mm"))</f>
        <v>#N/A</v>
      </c>
      <c r="BH4" s="284" t="e">
        <f>IF(VLOOKUP(T_Convention[[#This Row],[NumL]],T_TraitDi[#Data],COLUMN(T_TraitDi[Colonne32]),FALSE)=0,"",TEXT(IFERROR(VLOOKUP(T_Convention[[#This Row],[NumL]],T_TraitDi[#Data],COLUMN(T_TraitDi[Colonne32]),FALSE),""),"[hh]:mm"))</f>
        <v>#N/A</v>
      </c>
      <c r="BI4" s="284" t="str">
        <f>IFERROR(VLOOKUP(T_Convention[[#This Row],[NumL]],T_TraitDi[#Data],COLUMN(T_TraitDi[NbJTW]),FALSE),"")</f>
        <v/>
      </c>
      <c r="BJ4" s="284" t="e">
        <f>IF(VLOOKUP(T_Convention[[#This Row],[NumL]],T_TraitDi[#Data],COLUMN(T_TraitDi[NbhTW]),FALSE)=0,"",TEXT(IFERROR(VLOOKUP(T_Convention[[#This Row],[NumL]],T_TraitDi[#Data],COLUMN(T_TraitDi[NbhTW]),FALSE),""),"[hh]:mm"))</f>
        <v>#N/A</v>
      </c>
      <c r="BK4" s="315" t="e">
        <f>IF(VLOOKUP(T_Convention[[#This Row],[NumL]],T_TraitDi[#Data],COLUMN(T_TraitDi[Nbhheb]),FALSE)=0,"",TEXT(IFERROR(VLOOKUP(T_Convention[[#This Row],[NumL]],T_TraitDi[#Data],COLUMN(T_TraitDi[Nbhheb]),FALSE),""),"[hh]:mm"))</f>
        <v>#N/A</v>
      </c>
      <c r="BL4" s="287" t="str">
        <f>IFERROR(VLOOKUP(VLOOKUP(T_Convention[[#This Row],[NumL]],T_TraitDi[#Data],COLUMN(T_TraitDi[Type1]),FALSE),TypeTW,2,FALSE),"")</f>
        <v/>
      </c>
      <c r="BM4" s="288" t="str">
        <f>IFERROR(VLOOKUP(T_Convention[[#This Row],[NumL]],T_TraitDi[#Data],COLUMN(T_TraitDi[Rue1]),FALSE),"")</f>
        <v/>
      </c>
      <c r="BN4" s="289" t="str">
        <f>IFERROR(VLOOKUP(T_Convention[[#This Row],[NumL]],T_TraitDi[#Data],COLUMN(T_TraitDi[CP1]),FALSE),"")</f>
        <v/>
      </c>
      <c r="BO4" s="282" t="str">
        <f>IFERROR(VLOOKUP(T_Convention[[#This Row],[NumL]],T_TraitDi[#Data],COLUMN(T_TraitDi[VILLE1]),FALSE),"")</f>
        <v/>
      </c>
      <c r="BP4" s="290" t="str">
        <f>IFERROR(VLOOKUP(VLOOKUP(T_Convention[[#This Row],[NumL]],T_TraitDi[#Data],COLUMN(T_TraitDi[Type2]),FALSE),TypeTW,2,FALSE),"")</f>
        <v/>
      </c>
      <c r="BQ4" s="310" t="str">
        <f>IFERROR(VLOOKUP(T_Convention[[#This Row],[NumL]],T_TraitDi[#Data],COLUMN(T_TraitDi[Rue2]),FALSE),"")</f>
        <v/>
      </c>
      <c r="BR4" s="290" t="str">
        <f>IFERROR(VLOOKUP(T_Convention[[#This Row],[NumL]],T_TraitDi[#Data],COLUMN(T_TraitDi[CP2]),FALSE),"")</f>
        <v/>
      </c>
      <c r="BS4" s="290" t="str">
        <f>IFERROR(VLOOKUP(T_Convention[[#This Row],[NumL]],T_TraitDi[#Data],COLUMN(T_TraitDi[VILLE2]),FALSE),"")</f>
        <v/>
      </c>
      <c r="BT4" s="329"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4" s="329" t="str">
        <f>IFERROR(IF(VLOOKUP(T_Convention[[#This Row],[NumL]],T_TraitDi[#Data],COLUMN(T_TraitDi[Plan]),FALSE)="OK","Un planning spécifique de télétravail est annexé à la présente convention.",""),"")</f>
        <v/>
      </c>
      <c r="BV4" s="291"/>
      <c r="BW4" s="292" t="e">
        <f>IF(VLOOKUP(T_Convention[[#This Row],[NumL]],T_suiviDi[#Data],COLUMN(T_suiviDi[Entité]),FALSE)="","",VLOOKUP(T_Convention[[#This Row],[NumL]],T_suiviDi[#Data],COLUMN(T_suiviDi[Entité]),FALSE))</f>
        <v>#N/A</v>
      </c>
      <c r="BX4" s="311" t="str">
        <f>IF(VLOOKUP(T_Convention[[#This Row],[NumL]],T_Commission[#Data],COLUMN(T_Commission[envoi confirm TW]),FALSE)="","",VLOOKUP(T_Convention[[#This Row],[NumL]],T_Commission[#Data],COLUMN(T_Commission[envoi confirm TW]),FALSE))</f>
        <v/>
      </c>
      <c r="BY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 s="265">
        <f>VLOOKUP(T_Convention[[#This Row],[NumL]],T_Commission[#Data],COLUMN(T_Commission[Commentaire]),FALSE)</f>
        <v>0</v>
      </c>
      <c r="CA4" s="255" t="str">
        <f>IF(VLOOKUP(T_Convention[[#This Row],[NumL]],T_Commission[#Data],COLUMN(T_Commission[Encadrant Email]),FALSE)="","",VLOOKUP(T_Convention[[#This Row],[NumL]],T_Commission[#Data],COLUMN(T_Commission[Encadrant Email]),FALSE))</f>
        <v/>
      </c>
      <c r="CB4" s="254" t="e">
        <f>VLOOKUP(T_Convention[[#This Row],[NumL]],T_TraitDi[#Data],COLUMN(T_TraitDi[NbJTot]),FALSE)</f>
        <v>#N/A</v>
      </c>
      <c r="CC4" s="352" t="e">
        <f>VLOOKUP(T_Convention[[#This Row],[NumL]],T_TraitDi[#Data],COLUMN(T_TraitDi[Reg Ponct]),FALSE)</f>
        <v>#N/A</v>
      </c>
      <c r="CD4" s="348" t="str">
        <f>IF(T_Convention[[#This Row],[Final]]&lt;&gt;"",VLOOKUP(T_Convention[[#This Row],[NumL]],T_suiviDi[#Data],COLUMN((T_suiviDi[Statut])),FALSE),"")</f>
        <v/>
      </c>
    </row>
    <row r="5" spans="1:82" s="106" customFormat="1" ht="18.75" customHeight="1" x14ac:dyDescent="0.25">
      <c r="A5" s="90">
        <v>278</v>
      </c>
      <c r="B5" s="161" t="str">
        <f>VLOOKUP(T_Convention[[#This Row],[NumL]],T_Commission[#Data],COLUMN(T_Commission[FINAL]),FALSE)</f>
        <v/>
      </c>
      <c r="C5" s="309"/>
      <c r="D5" s="95" t="e">
        <f>IF(VLOOKUP(T_Convention[[#This Row],[NumL]],T_TraitDi[#Data],COLUMN(T_TraitDi[WebC]),FALSE)="","",VLOOKUP(T_Convention[[#This Row],[NumL]],T_TraitDi[#Data],COLUMN(T_TraitDi[WebC]),FALSE))</f>
        <v>#N/A</v>
      </c>
      <c r="E5" s="95" t="str">
        <f t="shared" si="0"/>
        <v>12 janvier 2021</v>
      </c>
      <c r="F5" s="282" t="str">
        <f>IF(T_Convention[[#This Row],[Final]]&lt;&gt;"",VLOOKUP(T_Convention[[#This Row],[NumL]],T_suiviDi[#Data],COLUMN((T_suiviDi[Civ.])),FALSE),"")</f>
        <v/>
      </c>
      <c r="G5" s="283" t="str">
        <f>IF(T_Convention[[#This Row],[Final]]&lt;&gt;"",VLOOKUP(T_Convention[[#This Row],[NumL]],T_suiviDi[#Data],COLUMN((T_suiviDi[Nom])),FALSE),"")</f>
        <v/>
      </c>
      <c r="H5" s="282" t="str">
        <f>IF(T_Convention[[#This Row],[Final]]&lt;&gt;"",VLOOKUP(T_Convention[[#This Row],[NumL]],T_suiviDi[#Data],COLUMN((T_suiviDi[Prénom])),FALSE),"")</f>
        <v/>
      </c>
      <c r="I5" s="282" t="e">
        <f>VLOOKUP(T_Convention[[#This Row],[NumL]],T_suiviDi[#Data],COLUMN((T_suiviDi[[#This Row],[Email]])),FALSE)</f>
        <v>#N/A</v>
      </c>
      <c r="J5" s="282" t="e">
        <f>IF(VLOOKUP(T_Convention[[#This Row],[NumL]],T_suiviDi[#Data],COLUMN(T_suiviDi[[#This Row],[Fonction]]),FALSE)="","",VLOOKUP(T_Convention[[#This Row],[NumL]],T_suiviDi[#Data],COLUMN(T_suiviDi[[#This Row],[Fonction]]),FALSE))</f>
        <v>#N/A</v>
      </c>
      <c r="K5" s="282" t="e">
        <f>IF(VLOOKUP(T_Convention[[#This Row],[NumL]],T_suiviDi[#Data],COLUMN(T_suiviDi[[#This Row],[Grade]]),FALSE)="","",VLOOKUP(T_Convention[[#This Row],[NumL]],T_suiviDi[#Data],COLUMN(T_suiviDi[[#This Row],[Grade]]),FALSE))</f>
        <v>#N/A</v>
      </c>
      <c r="L5" s="282" t="e">
        <f>IF(VLOOKUP(T_Convention[[#This Row],[NumL]],T_suiviDi[#Data],COLUMN(T_suiviDi[[#This Row],[Service ]]),FALSE)="","",VLOOKUP(T_Convention[[#This Row],[NumL]],T_suiviDi[#Data],COLUMN(T_suiviDi[[#This Row],[Service ]]),FALSE))</f>
        <v>#N/A</v>
      </c>
      <c r="M5" s="96" t="str">
        <f t="shared" si="1"/>
        <v>01 septembre 2021</v>
      </c>
      <c r="N5" s="96" t="str">
        <f t="shared" si="2"/>
        <v>30 novembre 2021</v>
      </c>
      <c r="O5" s="284" t="str">
        <f t="shared" si="3"/>
        <v>30 novembre 2021</v>
      </c>
      <c r="P5" s="282" t="e">
        <f>IF(VLOOKUP(T_Convention[[#This Row],[NumL]],T_TraitDi[#Data],COLUMN(T_TraitDi[M1]),FALSE)="","",VLOOKUP(T_Convention[[#This Row],[NumL]],T_TraitDi[#Data],COLUMN(T_TraitDi[M1]),FALSE))</f>
        <v>#N/A</v>
      </c>
      <c r="Q5" s="282" t="e">
        <f>IF(VLOOKUP(T_Convention[[#This Row],[NumL]],T_TraitDi[#Data],COLUMN(T_TraitDi[M2]),FALSE)="","",VLOOKUP(T_Convention[[#This Row],[NumL]],T_TraitDi[#Data],COLUMN(T_TraitDi[M2]),FALSE))</f>
        <v>#N/A</v>
      </c>
      <c r="R5" s="282" t="e">
        <f>IF(VLOOKUP(T_Convention[[#This Row],[NumL]],T_TraitDi[#Data],COLUMN(T_TraitDi[M3]),FALSE)="","",VLOOKUP(T_Convention[[#This Row],[NumL]],T_TraitDi[#Data],COLUMN(T_TraitDi[M3]),FALSE))</f>
        <v>#N/A</v>
      </c>
      <c r="S5" s="282" t="e">
        <f>IF(VLOOKUP(T_Convention[[#This Row],[NumL]],T_TraitDi[#Data],COLUMN(T_TraitDi[M4]),FALSE)="","",VLOOKUP(T_Convention[[#This Row],[NumL]],T_TraitDi[#Data],COLUMN(T_TraitDi[M4]),FALSE))</f>
        <v>#N/A</v>
      </c>
      <c r="T5" s="282" t="e">
        <f>IF(VLOOKUP(T_Convention[[#This Row],[NumL]],T_TraitDi[#Data],COLUMN(T_TraitDi[M5]),FALSE)="","",VLOOKUP(T_Convention[[#This Row],[NumL]],T_TraitDi[#Data],COLUMN(T_TraitDi[M5]),FALSE))</f>
        <v>#N/A</v>
      </c>
      <c r="U5" s="282" t="e">
        <f>IF(VLOOKUP(T_Convention[[#This Row],[NumL]],T_TraitDi[#Data],COLUMN(T_TraitDi[M6]),FALSE)="","",VLOOKUP(T_Convention[[#This Row],[NumL]],T_TraitDi[#Data],COLUMN(T_TraitDi[M6]),FALSE))</f>
        <v>#N/A</v>
      </c>
      <c r="V5" s="312" t="e">
        <f t="shared" si="4"/>
        <v>#N/A</v>
      </c>
      <c r="W5" s="284" t="str">
        <f>IFERROR(TEXT(VLOOKUP(T_Convention[[#This Row],[NumL]],T_TraitDi[#Data],COLUMN(T_TraitDi[Q2]),FALSE),"###%"),"")</f>
        <v/>
      </c>
      <c r="X5" s="97" t="e">
        <f>VLOOKUP(T_Convention[[#This Row],[NumL]],T_TraitDi[#Data],COLUMN(T_TraitDi[Reg Ponct]),FALSE)</f>
        <v>#N/A</v>
      </c>
      <c r="Y5" s="97" t="e">
        <f>VLOOKUP(T_Convention[NumL],T_TraitDi[#Data],COLUMN(T_TraitDi[Jours flottants]),FALSE)</f>
        <v>#N/A</v>
      </c>
      <c r="Z5" s="284" t="str">
        <f>IFERROR(VLOOKUP(T_Convention[[#This Row],[NumL]],T_TraitDi[#Data],COLUMN(T_TraitDi[Lundi]),FALSE),"")</f>
        <v/>
      </c>
      <c r="AA5" s="284" t="e">
        <f>IF(VLOOKUP(T_Convention[[#This Row],[NumL]],T_TraitDi[#Data],COLUMN(T_TraitDi[Colonne3]),FALSE)=0,"",TEXT(IFERROR(VLOOKUP(T_Convention[[#This Row],[NumL]],T_TraitDi[#Data],COLUMN(T_TraitDi[Colonne3]),FALSE),""),"[hh]:mm"))</f>
        <v>#N/A</v>
      </c>
      <c r="AB5" s="284" t="e">
        <f>IF(VLOOKUP(T_Convention[[#This Row],[NumL]],T_TraitDi[#Data],COLUMN(T_TraitDi[Colonne4]),FALSE)=0,"",TEXT(IFERROR(VLOOKUP(T_Convention[[#This Row],[NumL]],T_TraitDi[#Data],COLUMN(T_TraitDi[Colonne4]),FALSE),""),"[hh]:mm"))</f>
        <v>#N/A</v>
      </c>
      <c r="AC5" s="284" t="e">
        <f>IF(VLOOKUP(T_Convention[[#This Row],[NumL]],T_TraitDi[#Data],COLUMN(T_TraitDi[Colonne5]),FALSE)=0,"",TEXT(IFERROR(VLOOKUP(T_Convention[[#This Row],[NumL]],T_TraitDi[#Data],COLUMN(T_TraitDi[Colonne5]),FALSE),""),"[hh]:mm"))</f>
        <v>#N/A</v>
      </c>
      <c r="AD5" s="284" t="e">
        <f>IF(VLOOKUP(T_Convention[[#This Row],[NumL]],T_TraitDi[#Data],COLUMN(T_TraitDi[Colonne6]),FALSE)=0,"",TEXT(IFERROR(VLOOKUP(T_Convention[[#This Row],[NumL]],T_TraitDi[#Data],COLUMN(T_TraitDi[Colonne6]),FALSE),""),"[hh]:mm"))</f>
        <v>#N/A</v>
      </c>
      <c r="AE5" s="284" t="e">
        <f>IF(VLOOKUP(T_Convention[[#This Row],[NumL]],T_TraitDi[#Data],COLUMN(T_TraitDi[Colonne7]),FALSE)=0,"",TEXT(IFERROR(VLOOKUP(T_Convention[[#This Row],[NumL]],T_TraitDi[#Data],COLUMN(T_TraitDi[Colonne7]),FALSE),""),"[hh]:mm"))</f>
        <v>#N/A</v>
      </c>
      <c r="AF5" s="284" t="e">
        <f>IF(VLOOKUP(T_Convention[[#This Row],[NumL]],T_TraitDi[#Data],COLUMN(T_TraitDi[Colonne8]),FALSE)=0,"",TEXT(IFERROR(VLOOKUP(T_Convention[[#This Row],[NumL]],T_TraitDi[#Data],COLUMN(T_TraitDi[Colonne8]),FALSE),""),"[hh]:mm"))</f>
        <v>#N/A</v>
      </c>
      <c r="AG5" s="284" t="str">
        <f>IFERROR(VLOOKUP(T_Convention[[#This Row],[NumL]],T_TraitDi[#Data],COLUMN(T_TraitDi[Mardi]),FALSE),"")</f>
        <v/>
      </c>
      <c r="AH5" s="284" t="e">
        <f>IF(VLOOKUP(T_Convention[[#This Row],[NumL]],T_TraitDi[#Data],COLUMN(T_TraitDi[Colonne1]),FALSE)=0,"",TEXT(IFERROR(VLOOKUP(T_Convention[[#This Row],[NumL]],T_TraitDi[#Data],COLUMN(T_TraitDi[Colonne1]),FALSE),""),"[hh]:mm"))</f>
        <v>#N/A</v>
      </c>
      <c r="AI5" s="284" t="e">
        <f>IF(VLOOKUP(T_Convention[[#This Row],[NumL]],T_TraitDi[#Data],COLUMN(T_TraitDi[Colonne9]),FALSE)=0,"",TEXT(IFERROR(VLOOKUP(T_Convention[[#This Row],[NumL]],T_TraitDi[#Data],COLUMN(T_TraitDi[Colonne9]),FALSE),""),"[hh]:mm"))</f>
        <v>#N/A</v>
      </c>
      <c r="AJ5" s="284" t="str">
        <f>IFERROR(VLOOKUP(T_Convention[[#This Row],[NumL]],T_TraitDi[#Data],COLUMN(T_TraitDi[Colonne10]),FALSE),"")</f>
        <v/>
      </c>
      <c r="AK5" s="284" t="e">
        <f>IF(VLOOKUP(T_Convention[[#This Row],[NumL]],T_TraitDi[#Data],COLUMN(T_TraitDi[Colonne11]),FALSE)=0,"",TEXT(IFERROR(VLOOKUP(T_Convention[[#This Row],[NumL]],T_TraitDi[#Data],COLUMN(T_TraitDi[Colonne11]),FALSE),""),"[hh]:mm"))</f>
        <v>#N/A</v>
      </c>
      <c r="AL5" s="284" t="e">
        <f>IF(VLOOKUP(T_Convention[[#This Row],[NumL]],T_TraitDi[#Data],COLUMN(T_TraitDi[Colonne12]),FALSE)=0,"",TEXT(IFERROR(VLOOKUP(T_Convention[[#This Row],[NumL]],T_TraitDi[#Data],COLUMN(T_TraitDi[Colonne12]),FALSE),""),"[hh]:mm"))</f>
        <v>#N/A</v>
      </c>
      <c r="AM5" s="284" t="e">
        <f>IF(VLOOKUP(T_Convention[[#This Row],[NumL]],T_TraitDi[#Data],COLUMN(T_TraitDi[Colonne14]),FALSE)=0,"",TEXT(IFERROR(VLOOKUP(T_Convention[[#This Row],[NumL]],T_TraitDi[#Data],COLUMN(T_TraitDi[Colonne14]),FALSE),""),"[hh]:mm"))</f>
        <v>#N/A</v>
      </c>
      <c r="AN5" s="284" t="str">
        <f>IFERROR(VLOOKUP(T_Convention[[#This Row],[NumL]],T_TraitDi[#Data],COLUMN(T_TraitDi[Mercredi]),FALSE),"")</f>
        <v/>
      </c>
      <c r="AO5" s="284" t="e">
        <f>IF(VLOOKUP(T_Convention[[#This Row],[NumL]],T_TraitDi[#Data],COLUMN(T_TraitDi[Colonne15]),FALSE)=0,"",TEXT(IFERROR(VLOOKUP(T_Convention[[#This Row],[NumL]],T_TraitDi[#Data],COLUMN(T_TraitDi[Colonne15]),FALSE),""),"[hh]:mm"))</f>
        <v>#N/A</v>
      </c>
      <c r="AP5" s="284" t="e">
        <f>IF(VLOOKUP(T_Convention[[#This Row],[NumL]],T_TraitDi[#Data],COLUMN(T_TraitDi[Colonne16]),FALSE)=0,"",TEXT(IFERROR(VLOOKUP(T_Convention[[#This Row],[NumL]],T_TraitDi[#Data],COLUMN(T_TraitDi[Colonne16]),FALSE),""),"[hh]:mm"))</f>
        <v>#N/A</v>
      </c>
      <c r="AQ5" s="284" t="str">
        <f>IFERROR(VLOOKUP(T_Convention[[#This Row],[NumL]],T_TraitDi[#Data],COLUMN(T_TraitDi[Colonne17]),FALSE),"")</f>
        <v/>
      </c>
      <c r="AR5" s="284" t="e">
        <f>IF(VLOOKUP(T_Convention[[#This Row],[NumL]],T_TraitDi[#Data],COLUMN(T_TraitDi[Colonne18]),FALSE)=0,"",TEXT(IFERROR(VLOOKUP(T_Convention[[#This Row],[NumL]],T_TraitDi[#Data],COLUMN(T_TraitDi[Colonne18]),FALSE),""),"[hh]:mm"))</f>
        <v>#N/A</v>
      </c>
      <c r="AS5" s="284" t="e">
        <f>IF(VLOOKUP(T_Convention[[#This Row],[NumL]],T_TraitDi[#Data],COLUMN(T_TraitDi[Colonne19]),FALSE)=0,"",TEXT(IFERROR(VLOOKUP(T_Convention[[#This Row],[NumL]],T_TraitDi[#Data],COLUMN(T_TraitDi[Colonne19]),FALSE),""),"[hh]:mm"))</f>
        <v>#N/A</v>
      </c>
      <c r="AT5" s="284" t="e">
        <f>IF(VLOOKUP(T_Convention[[#This Row],[NumL]],T_TraitDi[#Data],COLUMN(T_TraitDi[Colonne20]),FALSE)=0,"",TEXT(IFERROR(VLOOKUP(T_Convention[[#This Row],[NumL]],T_TraitDi[#Data],COLUMN(T_TraitDi[Colonne20]),FALSE),""),"[hh]:mm"))</f>
        <v>#N/A</v>
      </c>
      <c r="AU5" s="284" t="str">
        <f>IFERROR(VLOOKUP(T_Convention[[#This Row],[NumL]],T_TraitDi[#Data],COLUMN(T_TraitDi[Jeudi]),FALSE),"")</f>
        <v/>
      </c>
      <c r="AV5" s="284" t="e">
        <f>IF(VLOOKUP(T_Convention[[#This Row],[NumL]],T_TraitDi[#Data],COLUMN(T_TraitDi[Colonne21]),FALSE)=0,"",TEXT(IFERROR(VLOOKUP(T_Convention[[#This Row],[NumL]],T_TraitDi[#Data],COLUMN(T_TraitDi[Colonne21]),FALSE),""),"[hh]:mm"))</f>
        <v>#N/A</v>
      </c>
      <c r="AW5" s="284" t="e">
        <f>IF(VLOOKUP(T_Convention[[#This Row],[NumL]],T_TraitDi[#Data],COLUMN(T_TraitDi[Colonne22]),FALSE)=0,"",TEXT(IFERROR(VLOOKUP(T_Convention[[#This Row],[NumL]],T_TraitDi[#Data],COLUMN(T_TraitDi[Colonne22]),FALSE),""),"[hh]:mm"))</f>
        <v>#N/A</v>
      </c>
      <c r="AX5" s="284" t="str">
        <f>IFERROR(VLOOKUP(T_Convention[[#This Row],[NumL]],T_TraitDi[#Data],COLUMN(T_TraitDi[Colonne23]),FALSE),"")</f>
        <v/>
      </c>
      <c r="AY5" s="284" t="e">
        <f>IF(VLOOKUP(T_Convention[[#This Row],[NumL]],T_TraitDi[#Data],COLUMN(T_TraitDi[Colonne24]),FALSE)=0,"",TEXT(IFERROR(VLOOKUP(T_Convention[[#This Row],[NumL]],T_TraitDi[#Data],COLUMN(T_TraitDi[Colonne24]),FALSE),""),"[hh]:mm"))</f>
        <v>#N/A</v>
      </c>
      <c r="AZ5" s="284" t="e">
        <f>IF(VLOOKUP(T_Convention[[#This Row],[NumL]],T_TraitDi[#Data],COLUMN(T_TraitDi[Colonne25]),FALSE)=0,"",TEXT(IFERROR(VLOOKUP(T_Convention[[#This Row],[NumL]],T_TraitDi[#Data],COLUMN(T_TraitDi[Colonne25]),FALSE),""),"[hh]:mm"))</f>
        <v>#N/A</v>
      </c>
      <c r="BA5" s="284" t="e">
        <f>IF(VLOOKUP(T_Convention[[#This Row],[NumL]],T_TraitDi[#Data],COLUMN(T_TraitDi[Colonne26]),FALSE)=0,"",TEXT(IFERROR(VLOOKUP(T_Convention[[#This Row],[NumL]],T_TraitDi[#Data],COLUMN(T_TraitDi[Colonne26]),FALSE),""),"[hh]:mm"))</f>
        <v>#N/A</v>
      </c>
      <c r="BB5" s="284" t="str">
        <f>IFERROR(VLOOKUP(T_Convention[[#This Row],[NumL]],T_TraitDi[#Data],COLUMN(T_TraitDi[Vendredi]),FALSE),"")</f>
        <v/>
      </c>
      <c r="BC5" s="284" t="e">
        <f>IF(VLOOKUP(T_Convention[[#This Row],[NumL]],T_TraitDi[#Data],COLUMN(T_TraitDi[Colonne27]),FALSE)=0,"",TEXT(IFERROR(VLOOKUP(T_Convention[[#This Row],[NumL]],T_TraitDi[#Data],COLUMN(T_TraitDi[Colonne27]),FALSE),""),"[hh]:mm"))</f>
        <v>#N/A</v>
      </c>
      <c r="BD5" s="284" t="e">
        <f>IF(VLOOKUP(T_Convention[[#This Row],[NumL]],T_TraitDi[#Data],COLUMN(T_TraitDi[Colonne28]),FALSE)=0,"",TEXT(IFERROR(VLOOKUP(T_Convention[[#This Row],[NumL]],T_TraitDi[#Data],COLUMN(T_TraitDi[Colonne28]),FALSE),""),"[hh]:mm"))</f>
        <v>#N/A</v>
      </c>
      <c r="BE5" s="284" t="str">
        <f>IFERROR(VLOOKUP(T_Convention[[#This Row],[NumL]],T_TraitDi[#Data],COLUMN(T_TraitDi[Colonne29]),FALSE),"")</f>
        <v/>
      </c>
      <c r="BF5" s="284" t="e">
        <f>IF(VLOOKUP(T_Convention[[#This Row],[NumL]],T_TraitDi[#Data],COLUMN(T_TraitDi[Colonne30]),FALSE)=0,"",TEXT(IFERROR(VLOOKUP(T_Convention[[#This Row],[NumL]],T_TraitDi[#Data],COLUMN(T_TraitDi[Colonne30]),FALSE),""),"[hh]:mm"))</f>
        <v>#N/A</v>
      </c>
      <c r="BG5" s="284" t="e">
        <f>IF(VLOOKUP(T_Convention[[#This Row],[NumL]],T_TraitDi[#Data],COLUMN(T_TraitDi[Colonne31]),FALSE)=0,"",TEXT(IFERROR(VLOOKUP(T_Convention[[#This Row],[NumL]],T_TraitDi[#Data],COLUMN(T_TraitDi[Colonne31]),FALSE),""),"[hh]:mm"))</f>
        <v>#N/A</v>
      </c>
      <c r="BH5" s="284" t="e">
        <f>IF(VLOOKUP(T_Convention[[#This Row],[NumL]],T_TraitDi[#Data],COLUMN(T_TraitDi[Colonne32]),FALSE)=0,"",TEXT(IFERROR(VLOOKUP(T_Convention[[#This Row],[NumL]],T_TraitDi[#Data],COLUMN(T_TraitDi[Colonne32]),FALSE),""),"[hh]:mm"))</f>
        <v>#N/A</v>
      </c>
      <c r="BI5" s="284" t="str">
        <f>IFERROR(VLOOKUP(T_Convention[[#This Row],[NumL]],T_TraitDi[#Data],COLUMN(T_TraitDi[NbJTW]),FALSE),"")</f>
        <v/>
      </c>
      <c r="BJ5" s="284" t="e">
        <f>IF(VLOOKUP(T_Convention[[#This Row],[NumL]],T_TraitDi[#Data],COLUMN(T_TraitDi[NbhTW]),FALSE)=0,"",TEXT(IFERROR(VLOOKUP(T_Convention[[#This Row],[NumL]],T_TraitDi[#Data],COLUMN(T_TraitDi[NbhTW]),FALSE),""),"[hh]:mm"))</f>
        <v>#N/A</v>
      </c>
      <c r="BK5" s="286" t="e">
        <f>IF(VLOOKUP(T_Convention[[#This Row],[NumL]],T_TraitDi[#Data],COLUMN(T_TraitDi[Nbhheb]),FALSE)=0,"",TEXT(IFERROR(VLOOKUP(T_Convention[[#This Row],[NumL]],T_TraitDi[#Data],COLUMN(T_TraitDi[Nbhheb]),FALSE),""),"[hh]:mm"))</f>
        <v>#N/A</v>
      </c>
      <c r="BL5" s="287" t="str">
        <f>IFERROR(VLOOKUP(VLOOKUP(T_Convention[[#This Row],[NumL]],T_TraitDi[#Data],COLUMN(T_TraitDi[Type1]),FALSE),TypeTW,2,FALSE),"")</f>
        <v/>
      </c>
      <c r="BM5" s="288" t="str">
        <f>IFERROR(VLOOKUP(T_Convention[[#This Row],[NumL]],T_TraitDi[#Data],COLUMN(T_TraitDi[Rue1]),FALSE),"")</f>
        <v/>
      </c>
      <c r="BN5" s="289" t="str">
        <f>IFERROR(VLOOKUP(T_Convention[[#This Row],[NumL]],T_TraitDi[#Data],COLUMN(T_TraitDi[CP1]),FALSE),"")</f>
        <v/>
      </c>
      <c r="BO5" s="282" t="str">
        <f>IFERROR(VLOOKUP(T_Convention[[#This Row],[NumL]],T_TraitDi[#Data],COLUMN(T_TraitDi[VILLE1]),FALSE),"")</f>
        <v/>
      </c>
      <c r="BP5" s="290" t="str">
        <f>IFERROR(VLOOKUP(VLOOKUP(T_Convention[[#This Row],[NumL]],T_TraitDi[#Data],COLUMN(T_TraitDi[Type2]),FALSE),TypeTW,2,FALSE),"")</f>
        <v/>
      </c>
      <c r="BQ5" s="182" t="str">
        <f>IFERROR(VLOOKUP(T_Convention[[#This Row],[NumL]],T_TraitDi[#Data],COLUMN(T_TraitDi[Rue2]),FALSE),"")</f>
        <v/>
      </c>
      <c r="BR5" s="173" t="str">
        <f>IFERROR(VLOOKUP(T_Convention[[#This Row],[NumL]],T_TraitDi[#Data],COLUMN(T_TraitDi[CP2]),FALSE),"")</f>
        <v/>
      </c>
      <c r="BS5" s="173" t="str">
        <f>IFERROR(VLOOKUP(T_Convention[[#This Row],[NumL]],T_TraitDi[#Data],COLUMN(T_TraitDi[VILLE2]),FALSE),"")</f>
        <v/>
      </c>
      <c r="BT5" s="313" t="str">
        <f>IF(VLOOKUP(T_Convention[[#This Row],[NumL]],T_Equipement[#Data],COLUMN(T_Equipement[PC]),FALSE)="","Aucun équipement spécifique directement lié au télétravail",VLOOKUP(T_Convention[[#This Row],[NumL]],T_Equipement[#Data],COLUMN(T_Equipement[PC]),FALSE))</f>
        <v xml:space="preserve">16-411	</v>
      </c>
      <c r="BU5" s="296" t="str">
        <f>IFERROR(IF(VLOOKUP(T_Convention[[#This Row],[NumL]],T_TraitDi[#Data],COLUMN(T_TraitDi[Plan]),FALSE)="OK","Un planning spécifique de télétravail est annexé à la présente convention.",""),"")</f>
        <v/>
      </c>
      <c r="BV5" s="185"/>
      <c r="BW5" s="164" t="e">
        <f>IF(VLOOKUP(T_Convention[[#This Row],[NumL]],T_suiviDi[#Data],COLUMN(T_suiviDi[Entité]),FALSE)="","",VLOOKUP(T_Convention[[#This Row],[NumL]],T_suiviDi[#Data],COLUMN(T_suiviDi[Entité]),FALSE))</f>
        <v>#N/A</v>
      </c>
      <c r="BX5" s="164" t="str">
        <f>IF(VLOOKUP(T_Convention[[#This Row],[NumL]],T_Commission[#Data],COLUMN(T_Commission[envoi confirm TW]),FALSE)="","",VLOOKUP(T_Convention[[#This Row],[NumL]],T_Commission[#Data],COLUMN(T_Commission[envoi confirm TW]),FALSE))</f>
        <v>Oui</v>
      </c>
      <c r="BY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 s="264">
        <f>VLOOKUP(T_Convention[[#This Row],[NumL]],T_Commission[#Data],COLUMN(T_Commission[Commentaire]),FALSE)</f>
        <v>0</v>
      </c>
      <c r="CA5" s="254" t="str">
        <f>IF(VLOOKUP(T_Convention[[#This Row],[NumL]],T_Commission[#Data],COLUMN(T_Commission[Encadrant Email]),FALSE)="","",VLOOKUP(T_Convention[[#This Row],[NumL]],T_Commission[#Data],COLUMN(T_Commission[Encadrant Email]),FALSE))</f>
        <v/>
      </c>
      <c r="CB5" s="352" t="e">
        <f>VLOOKUP(T_Convention[[#This Row],[NumL]],T_TraitDi[#Data],COLUMN(T_TraitDi[NbJTot]),FALSE)</f>
        <v>#N/A</v>
      </c>
      <c r="CC5" s="352" t="e">
        <f>VLOOKUP(T_Convention[[#This Row],[NumL]],T_TraitDi[#Data],COLUMN(T_TraitDi[Reg Ponct]),FALSE)</f>
        <v>#N/A</v>
      </c>
      <c r="CD5" s="348" t="str">
        <f>IF(T_Convention[[#This Row],[Final]]&lt;&gt;"",VLOOKUP(T_Convention[[#This Row],[NumL]],T_suiviDi[#Data],COLUMN((T_suiviDi[Statut])),FALSE),"")</f>
        <v/>
      </c>
    </row>
    <row r="6" spans="1:82" s="106" customFormat="1" ht="18.75" customHeight="1" x14ac:dyDescent="0.25">
      <c r="A6" s="90">
        <v>68</v>
      </c>
      <c r="B6" s="161" t="str">
        <f>VLOOKUP(T_Convention[[#This Row],[NumL]],T_Commission[#Data],COLUMN(T_Commission[FINAL]),FALSE)</f>
        <v/>
      </c>
      <c r="C6" s="309"/>
      <c r="D6" s="95" t="e">
        <f>IF(VLOOKUP(T_Convention[[#This Row],[NumL]],T_TraitDi[#Data],COLUMN(T_TraitDi[WebC]),FALSE)="","",VLOOKUP(T_Convention[[#This Row],[NumL]],T_TraitDi[#Data],COLUMN(T_TraitDi[WebC]),FALSE))</f>
        <v>#N/A</v>
      </c>
      <c r="E6" s="95" t="str">
        <f t="shared" si="0"/>
        <v>12 janvier 2021</v>
      </c>
      <c r="F6" s="282" t="str">
        <f>IF(T_Convention[[#This Row],[Final]]&lt;&gt;"",VLOOKUP(T_Convention[[#This Row],[NumL]],T_suiviDi[#Data],COLUMN((T_suiviDi[Civ.])),FALSE),"")</f>
        <v/>
      </c>
      <c r="G6" s="283" t="str">
        <f>IF(T_Convention[[#This Row],[Final]]&lt;&gt;"",VLOOKUP(T_Convention[[#This Row],[NumL]],T_suiviDi[#Data],COLUMN((T_suiviDi[Nom])),FALSE),"")</f>
        <v/>
      </c>
      <c r="H6" s="282" t="str">
        <f>IF(T_Convention[[#This Row],[Final]]&lt;&gt;"",VLOOKUP(T_Convention[[#This Row],[NumL]],T_suiviDi[#Data],COLUMN((T_suiviDi[Prénom])),FALSE),"")</f>
        <v/>
      </c>
      <c r="I6" s="282" t="e">
        <f>VLOOKUP(T_Convention[[#This Row],[NumL]],T_suiviDi[#Data],COLUMN((T_suiviDi[[#This Row],[Email]])),FALSE)</f>
        <v>#N/A</v>
      </c>
      <c r="J6" s="282" t="e">
        <f>IF(VLOOKUP(T_Convention[[#This Row],[NumL]],T_suiviDi[#Data],COLUMN(T_suiviDi[[#This Row],[Fonction]]),FALSE)="","",VLOOKUP(T_Convention[[#This Row],[NumL]],T_suiviDi[#Data],COLUMN(T_suiviDi[[#This Row],[Fonction]]),FALSE))</f>
        <v>#N/A</v>
      </c>
      <c r="K6" s="282" t="e">
        <f>IF(VLOOKUP(T_Convention[[#This Row],[NumL]],T_suiviDi[#Data],COLUMN(T_suiviDi[[#This Row],[Grade]]),FALSE)="","",VLOOKUP(T_Convention[[#This Row],[NumL]],T_suiviDi[#Data],COLUMN(T_suiviDi[[#This Row],[Grade]]),FALSE))</f>
        <v>#N/A</v>
      </c>
      <c r="L6" s="282" t="e">
        <f>IF(VLOOKUP(T_Convention[[#This Row],[NumL]],T_suiviDi[#Data],COLUMN(T_suiviDi[[#This Row],[Service ]]),FALSE)="","",VLOOKUP(T_Convention[[#This Row],[NumL]],T_suiviDi[#Data],COLUMN(T_suiviDi[[#This Row],[Service ]]),FALSE))</f>
        <v>#N/A</v>
      </c>
      <c r="M6" s="96" t="str">
        <f t="shared" si="1"/>
        <v>01 septembre 2021</v>
      </c>
      <c r="N6" s="96" t="str">
        <f t="shared" si="2"/>
        <v>30 novembre 2021</v>
      </c>
      <c r="O6" s="284" t="str">
        <f t="shared" si="3"/>
        <v>30 novembre 2021</v>
      </c>
      <c r="P6" s="282" t="e">
        <f>IF(VLOOKUP(T_Convention[[#This Row],[NumL]],T_TraitDi[#Data],COLUMN(T_TraitDi[M1]),FALSE)="","",VLOOKUP(T_Convention[[#This Row],[NumL]],T_TraitDi[#Data],COLUMN(T_TraitDi[M1]),FALSE))</f>
        <v>#N/A</v>
      </c>
      <c r="Q6" s="282" t="e">
        <f>IF(VLOOKUP(T_Convention[[#This Row],[NumL]],T_TraitDi[#Data],COLUMN(T_TraitDi[M2]),FALSE)="","",VLOOKUP(T_Convention[[#This Row],[NumL]],T_TraitDi[#Data],COLUMN(T_TraitDi[M2]),FALSE))</f>
        <v>#N/A</v>
      </c>
      <c r="R6" s="282" t="e">
        <f>IF(VLOOKUP(T_Convention[[#This Row],[NumL]],T_TraitDi[#Data],COLUMN(T_TraitDi[M3]),FALSE)="","",VLOOKUP(T_Convention[[#This Row],[NumL]],T_TraitDi[#Data],COLUMN(T_TraitDi[M3]),FALSE))</f>
        <v>#N/A</v>
      </c>
      <c r="S6" s="282" t="e">
        <f>IF(VLOOKUP(T_Convention[[#This Row],[NumL]],T_TraitDi[#Data],COLUMN(T_TraitDi[M4]),FALSE)="","",VLOOKUP(T_Convention[[#This Row],[NumL]],T_TraitDi[#Data],COLUMN(T_TraitDi[M4]),FALSE))</f>
        <v>#N/A</v>
      </c>
      <c r="T6" s="282" t="e">
        <f>IF(VLOOKUP(T_Convention[[#This Row],[NumL]],T_TraitDi[#Data],COLUMN(T_TraitDi[M5]),FALSE)="","",VLOOKUP(T_Convention[[#This Row],[NumL]],T_TraitDi[#Data],COLUMN(T_TraitDi[M5]),FALSE))</f>
        <v>#N/A</v>
      </c>
      <c r="U6" s="282" t="e">
        <f>IF(VLOOKUP(T_Convention[[#This Row],[NumL]],T_TraitDi[#Data],COLUMN(T_TraitDi[M6]),FALSE)="","",VLOOKUP(T_Convention[[#This Row],[NumL]],T_TraitDi[#Data],COLUMN(T_TraitDi[M6]),FALSE))</f>
        <v>#N/A</v>
      </c>
      <c r="V6" s="312" t="e">
        <f t="shared" si="4"/>
        <v>#N/A</v>
      </c>
      <c r="W6" s="284" t="str">
        <f>IFERROR(TEXT(VLOOKUP(T_Convention[[#This Row],[NumL]],T_TraitDi[#Data],COLUMN(T_TraitDi[Q2]),FALSE),"###%"),"")</f>
        <v/>
      </c>
      <c r="X6" s="97" t="e">
        <f>VLOOKUP(T_Convention[[#This Row],[NumL]],T_TraitDi[#Data],COLUMN(T_TraitDi[Reg Ponct]),FALSE)</f>
        <v>#N/A</v>
      </c>
      <c r="Y6" s="97" t="e">
        <f>VLOOKUP(T_Convention[NumL],T_TraitDi[#Data],COLUMN(T_TraitDi[Jours flottants]),FALSE)</f>
        <v>#N/A</v>
      </c>
      <c r="Z6" s="284" t="str">
        <f>IFERROR(VLOOKUP(T_Convention[[#This Row],[NumL]],T_TraitDi[#Data],COLUMN(T_TraitDi[Lundi]),FALSE),"")</f>
        <v/>
      </c>
      <c r="AA6" s="284" t="e">
        <f>IF(VLOOKUP(T_Convention[[#This Row],[NumL]],T_TraitDi[#Data],COLUMN(T_TraitDi[Colonne3]),FALSE)=0,"",TEXT(IFERROR(VLOOKUP(T_Convention[[#This Row],[NumL]],T_TraitDi[#Data],COLUMN(T_TraitDi[Colonne3]),FALSE),""),"[hh]:mm"))</f>
        <v>#N/A</v>
      </c>
      <c r="AB6" s="284" t="e">
        <f>IF(VLOOKUP(T_Convention[[#This Row],[NumL]],T_TraitDi[#Data],COLUMN(T_TraitDi[Colonne4]),FALSE)=0,"",TEXT(IFERROR(VLOOKUP(T_Convention[[#This Row],[NumL]],T_TraitDi[#Data],COLUMN(T_TraitDi[Colonne4]),FALSE),""),"[hh]:mm"))</f>
        <v>#N/A</v>
      </c>
      <c r="AC6" s="284" t="e">
        <f>IF(VLOOKUP(T_Convention[[#This Row],[NumL]],T_TraitDi[#Data],COLUMN(T_TraitDi[Colonne5]),FALSE)=0,"",TEXT(IFERROR(VLOOKUP(T_Convention[[#This Row],[NumL]],T_TraitDi[#Data],COLUMN(T_TraitDi[Colonne5]),FALSE),""),"[hh]:mm"))</f>
        <v>#N/A</v>
      </c>
      <c r="AD6" s="284" t="e">
        <f>IF(VLOOKUP(T_Convention[[#This Row],[NumL]],T_TraitDi[#Data],COLUMN(T_TraitDi[Colonne6]),FALSE)=0,"",TEXT(IFERROR(VLOOKUP(T_Convention[[#This Row],[NumL]],T_TraitDi[#Data],COLUMN(T_TraitDi[Colonne6]),FALSE),""),"[hh]:mm"))</f>
        <v>#N/A</v>
      </c>
      <c r="AE6" s="284" t="e">
        <f>IF(VLOOKUP(T_Convention[[#This Row],[NumL]],T_TraitDi[#Data],COLUMN(T_TraitDi[Colonne7]),FALSE)=0,"",TEXT(IFERROR(VLOOKUP(T_Convention[[#This Row],[NumL]],T_TraitDi[#Data],COLUMN(T_TraitDi[Colonne7]),FALSE),""),"[hh]:mm"))</f>
        <v>#N/A</v>
      </c>
      <c r="AF6" s="284" t="e">
        <f>IF(VLOOKUP(T_Convention[[#This Row],[NumL]],T_TraitDi[#Data],COLUMN(T_TraitDi[Colonne8]),FALSE)=0,"",TEXT(IFERROR(VLOOKUP(T_Convention[[#This Row],[NumL]],T_TraitDi[#Data],COLUMN(T_TraitDi[Colonne8]),FALSE),""),"[hh]:mm"))</f>
        <v>#N/A</v>
      </c>
      <c r="AG6" s="284" t="str">
        <f>IFERROR(VLOOKUP(T_Convention[[#This Row],[NumL]],T_TraitDi[#Data],COLUMN(T_TraitDi[Mardi]),FALSE),"")</f>
        <v/>
      </c>
      <c r="AH6" s="284" t="e">
        <f>IF(VLOOKUP(T_Convention[[#This Row],[NumL]],T_TraitDi[#Data],COLUMN(T_TraitDi[Colonne1]),FALSE)=0,"",TEXT(IFERROR(VLOOKUP(T_Convention[[#This Row],[NumL]],T_TraitDi[#Data],COLUMN(T_TraitDi[Colonne1]),FALSE),""),"[hh]:mm"))</f>
        <v>#N/A</v>
      </c>
      <c r="AI6" s="284" t="e">
        <f>IF(VLOOKUP(T_Convention[[#This Row],[NumL]],T_TraitDi[#Data],COLUMN(T_TraitDi[Colonne9]),FALSE)=0,"",TEXT(IFERROR(VLOOKUP(T_Convention[[#This Row],[NumL]],T_TraitDi[#Data],COLUMN(T_TraitDi[Colonne9]),FALSE),""),"[hh]:mm"))</f>
        <v>#N/A</v>
      </c>
      <c r="AJ6" s="284" t="str">
        <f>IFERROR(VLOOKUP(T_Convention[[#This Row],[NumL]],T_TraitDi[#Data],COLUMN(T_TraitDi[Colonne10]),FALSE),"")</f>
        <v/>
      </c>
      <c r="AK6" s="284" t="e">
        <f>IF(VLOOKUP(T_Convention[[#This Row],[NumL]],T_TraitDi[#Data],COLUMN(T_TraitDi[Colonne11]),FALSE)=0,"",TEXT(IFERROR(VLOOKUP(T_Convention[[#This Row],[NumL]],T_TraitDi[#Data],COLUMN(T_TraitDi[Colonne11]),FALSE),""),"[hh]:mm"))</f>
        <v>#N/A</v>
      </c>
      <c r="AL6" s="284" t="e">
        <f>IF(VLOOKUP(T_Convention[[#This Row],[NumL]],T_TraitDi[#Data],COLUMN(T_TraitDi[Colonne12]),FALSE)=0,"",TEXT(IFERROR(VLOOKUP(T_Convention[[#This Row],[NumL]],T_TraitDi[#Data],COLUMN(T_TraitDi[Colonne12]),FALSE),""),"[hh]:mm"))</f>
        <v>#N/A</v>
      </c>
      <c r="AM6" s="284" t="e">
        <f>IF(VLOOKUP(T_Convention[[#This Row],[NumL]],T_TraitDi[#Data],COLUMN(T_TraitDi[Colonne14]),FALSE)=0,"",TEXT(IFERROR(VLOOKUP(T_Convention[[#This Row],[NumL]],T_TraitDi[#Data],COLUMN(T_TraitDi[Colonne14]),FALSE),""),"[hh]:mm"))</f>
        <v>#N/A</v>
      </c>
      <c r="AN6" s="284" t="str">
        <f>IFERROR(VLOOKUP(T_Convention[[#This Row],[NumL]],T_TraitDi[#Data],COLUMN(T_TraitDi[Mercredi]),FALSE),"")</f>
        <v/>
      </c>
      <c r="AO6" s="284" t="e">
        <f>IF(VLOOKUP(T_Convention[[#This Row],[NumL]],T_TraitDi[#Data],COLUMN(T_TraitDi[Colonne15]),FALSE)=0,"",TEXT(IFERROR(VLOOKUP(T_Convention[[#This Row],[NumL]],T_TraitDi[#Data],COLUMN(T_TraitDi[Colonne15]),FALSE),""),"[hh]:mm"))</f>
        <v>#N/A</v>
      </c>
      <c r="AP6" s="284" t="e">
        <f>IF(VLOOKUP(T_Convention[[#This Row],[NumL]],T_TraitDi[#Data],COLUMN(T_TraitDi[Colonne16]),FALSE)=0,"",TEXT(IFERROR(VLOOKUP(T_Convention[[#This Row],[NumL]],T_TraitDi[#Data],COLUMN(T_TraitDi[Colonne16]),FALSE),""),"[hh]:mm"))</f>
        <v>#N/A</v>
      </c>
      <c r="AQ6" s="284" t="str">
        <f>IFERROR(VLOOKUP(T_Convention[[#This Row],[NumL]],T_TraitDi[#Data],COLUMN(T_TraitDi[Colonne17]),FALSE),"")</f>
        <v/>
      </c>
      <c r="AR6" s="284" t="e">
        <f>IF(VLOOKUP(T_Convention[[#This Row],[NumL]],T_TraitDi[#Data],COLUMN(T_TraitDi[Colonne18]),FALSE)=0,"",TEXT(IFERROR(VLOOKUP(T_Convention[[#This Row],[NumL]],T_TraitDi[#Data],COLUMN(T_TraitDi[Colonne18]),FALSE),""),"[hh]:mm"))</f>
        <v>#N/A</v>
      </c>
      <c r="AS6" s="284" t="e">
        <f>IF(VLOOKUP(T_Convention[[#This Row],[NumL]],T_TraitDi[#Data],COLUMN(T_TraitDi[Colonne19]),FALSE)=0,"",TEXT(IFERROR(VLOOKUP(T_Convention[[#This Row],[NumL]],T_TraitDi[#Data],COLUMN(T_TraitDi[Colonne19]),FALSE),""),"[hh]:mm"))</f>
        <v>#N/A</v>
      </c>
      <c r="AT6" s="284" t="e">
        <f>IF(VLOOKUP(T_Convention[[#This Row],[NumL]],T_TraitDi[#Data],COLUMN(T_TraitDi[Colonne20]),FALSE)=0,"",TEXT(IFERROR(VLOOKUP(T_Convention[[#This Row],[NumL]],T_TraitDi[#Data],COLUMN(T_TraitDi[Colonne20]),FALSE),""),"[hh]:mm"))</f>
        <v>#N/A</v>
      </c>
      <c r="AU6" s="284" t="str">
        <f>IFERROR(VLOOKUP(T_Convention[[#This Row],[NumL]],T_TraitDi[#Data],COLUMN(T_TraitDi[Jeudi]),FALSE),"")</f>
        <v/>
      </c>
      <c r="AV6" s="284" t="e">
        <f>IF(VLOOKUP(T_Convention[[#This Row],[NumL]],T_TraitDi[#Data],COLUMN(T_TraitDi[Colonne21]),FALSE)=0,"",TEXT(IFERROR(VLOOKUP(T_Convention[[#This Row],[NumL]],T_TraitDi[#Data],COLUMN(T_TraitDi[Colonne21]),FALSE),""),"[hh]:mm"))</f>
        <v>#N/A</v>
      </c>
      <c r="AW6" s="284" t="e">
        <f>IF(VLOOKUP(T_Convention[[#This Row],[NumL]],T_TraitDi[#Data],COLUMN(T_TraitDi[Colonne22]),FALSE)=0,"",TEXT(IFERROR(VLOOKUP(T_Convention[[#This Row],[NumL]],T_TraitDi[#Data],COLUMN(T_TraitDi[Colonne22]),FALSE),""),"[hh]:mm"))</f>
        <v>#N/A</v>
      </c>
      <c r="AX6" s="284" t="str">
        <f>IFERROR(VLOOKUP(T_Convention[[#This Row],[NumL]],T_TraitDi[#Data],COLUMN(T_TraitDi[Colonne23]),FALSE),"")</f>
        <v/>
      </c>
      <c r="AY6" s="284" t="e">
        <f>IF(VLOOKUP(T_Convention[[#This Row],[NumL]],T_TraitDi[#Data],COLUMN(T_TraitDi[Colonne24]),FALSE)=0,"",TEXT(IFERROR(VLOOKUP(T_Convention[[#This Row],[NumL]],T_TraitDi[#Data],COLUMN(T_TraitDi[Colonne24]),FALSE),""),"[hh]:mm"))</f>
        <v>#N/A</v>
      </c>
      <c r="AZ6" s="284" t="e">
        <f>IF(VLOOKUP(T_Convention[[#This Row],[NumL]],T_TraitDi[#Data],COLUMN(T_TraitDi[Colonne25]),FALSE)=0,"",TEXT(IFERROR(VLOOKUP(T_Convention[[#This Row],[NumL]],T_TraitDi[#Data],COLUMN(T_TraitDi[Colonne25]),FALSE),""),"[hh]:mm"))</f>
        <v>#N/A</v>
      </c>
      <c r="BA6" s="284" t="e">
        <f>IF(VLOOKUP(T_Convention[[#This Row],[NumL]],T_TraitDi[#Data],COLUMN(T_TraitDi[Colonne26]),FALSE)=0,"",TEXT(IFERROR(VLOOKUP(T_Convention[[#This Row],[NumL]],T_TraitDi[#Data],COLUMN(T_TraitDi[Colonne26]),FALSE),""),"[hh]:mm"))</f>
        <v>#N/A</v>
      </c>
      <c r="BB6" s="284" t="str">
        <f>IFERROR(VLOOKUP(T_Convention[[#This Row],[NumL]],T_TraitDi[#Data],COLUMN(T_TraitDi[Vendredi]),FALSE),"")</f>
        <v/>
      </c>
      <c r="BC6" s="284" t="e">
        <f>IF(VLOOKUP(T_Convention[[#This Row],[NumL]],T_TraitDi[#Data],COLUMN(T_TraitDi[Colonne27]),FALSE)=0,"",TEXT(IFERROR(VLOOKUP(T_Convention[[#This Row],[NumL]],T_TraitDi[#Data],COLUMN(T_TraitDi[Colonne27]),FALSE),""),"[hh]:mm"))</f>
        <v>#N/A</v>
      </c>
      <c r="BD6" s="284" t="e">
        <f>IF(VLOOKUP(T_Convention[[#This Row],[NumL]],T_TraitDi[#Data],COLUMN(T_TraitDi[Colonne28]),FALSE)=0,"",TEXT(IFERROR(VLOOKUP(T_Convention[[#This Row],[NumL]],T_TraitDi[#Data],COLUMN(T_TraitDi[Colonne28]),FALSE),""),"[hh]:mm"))</f>
        <v>#N/A</v>
      </c>
      <c r="BE6" s="284" t="str">
        <f>IFERROR(VLOOKUP(T_Convention[[#This Row],[NumL]],T_TraitDi[#Data],COLUMN(T_TraitDi[Colonne29]),FALSE),"")</f>
        <v/>
      </c>
      <c r="BF6" s="284" t="e">
        <f>IF(VLOOKUP(T_Convention[[#This Row],[NumL]],T_TraitDi[#Data],COLUMN(T_TraitDi[Colonne30]),FALSE)=0,"",TEXT(IFERROR(VLOOKUP(T_Convention[[#This Row],[NumL]],T_TraitDi[#Data],COLUMN(T_TraitDi[Colonne30]),FALSE),""),"[hh]:mm"))</f>
        <v>#N/A</v>
      </c>
      <c r="BG6" s="284" t="e">
        <f>IF(VLOOKUP(T_Convention[[#This Row],[NumL]],T_TraitDi[#Data],COLUMN(T_TraitDi[Colonne31]),FALSE)=0,"",TEXT(IFERROR(VLOOKUP(T_Convention[[#This Row],[NumL]],T_TraitDi[#Data],COLUMN(T_TraitDi[Colonne31]),FALSE),""),"[hh]:mm"))</f>
        <v>#N/A</v>
      </c>
      <c r="BH6" s="284" t="e">
        <f>IF(VLOOKUP(T_Convention[[#This Row],[NumL]],T_TraitDi[#Data],COLUMN(T_TraitDi[Colonne32]),FALSE)=0,"",TEXT(IFERROR(VLOOKUP(T_Convention[[#This Row],[NumL]],T_TraitDi[#Data],COLUMN(T_TraitDi[Colonne32]),FALSE),""),"[hh]:mm"))</f>
        <v>#N/A</v>
      </c>
      <c r="BI6" s="284" t="str">
        <f>IFERROR(VLOOKUP(T_Convention[[#This Row],[NumL]],T_TraitDi[#Data],COLUMN(T_TraitDi[NbJTW]),FALSE),"")</f>
        <v/>
      </c>
      <c r="BJ6" s="284" t="e">
        <f>IF(VLOOKUP(T_Convention[[#This Row],[NumL]],T_TraitDi[#Data],COLUMN(T_TraitDi[NbhTW]),FALSE)=0,"",TEXT(IFERROR(VLOOKUP(T_Convention[[#This Row],[NumL]],T_TraitDi[#Data],COLUMN(T_TraitDi[NbhTW]),FALSE),""),"[hh]:mm"))</f>
        <v>#N/A</v>
      </c>
      <c r="BK6" s="286" t="e">
        <f>IF(VLOOKUP(T_Convention[[#This Row],[NumL]],T_TraitDi[#Data],COLUMN(T_TraitDi[Nbhheb]),FALSE)=0,"",TEXT(IFERROR(VLOOKUP(T_Convention[[#This Row],[NumL]],T_TraitDi[#Data],COLUMN(T_TraitDi[Nbhheb]),FALSE),""),"[hh]:mm"))</f>
        <v>#N/A</v>
      </c>
      <c r="BL6" s="287" t="str">
        <f>IFERROR(VLOOKUP(VLOOKUP(T_Convention[[#This Row],[NumL]],T_TraitDi[#Data],COLUMN(T_TraitDi[Type1]),FALSE),TypeTW,2,FALSE),"")</f>
        <v/>
      </c>
      <c r="BM6" s="288" t="str">
        <f>IFERROR(VLOOKUP(T_Convention[[#This Row],[NumL]],T_TraitDi[#Data],COLUMN(T_TraitDi[Rue1]),FALSE),"")</f>
        <v/>
      </c>
      <c r="BN6" s="289" t="str">
        <f>IFERROR(VLOOKUP(T_Convention[[#This Row],[NumL]],T_TraitDi[#Data],COLUMN(T_TraitDi[CP1]),FALSE),"")</f>
        <v/>
      </c>
      <c r="BO6" s="282" t="str">
        <f>IFERROR(VLOOKUP(T_Convention[[#This Row],[NumL]],T_TraitDi[#Data],COLUMN(T_TraitDi[VILLE1]),FALSE),"")</f>
        <v/>
      </c>
      <c r="BP6" s="290" t="str">
        <f>IFERROR(VLOOKUP(VLOOKUP(T_Convention[[#This Row],[NumL]],T_TraitDi[#Data],COLUMN(T_TraitDi[Type2]),FALSE),TypeTW,2,FALSE),"")</f>
        <v/>
      </c>
      <c r="BQ6" s="182" t="str">
        <f>IFERROR(VLOOKUP(T_Convention[[#This Row],[NumL]],T_TraitDi[#Data],COLUMN(T_TraitDi[Rue2]),FALSE),"")</f>
        <v/>
      </c>
      <c r="BR6" s="173" t="str">
        <f>IFERROR(VLOOKUP(T_Convention[[#This Row],[NumL]],T_TraitDi[#Data],COLUMN(T_TraitDi[CP2]),FALSE),"")</f>
        <v/>
      </c>
      <c r="BS6" s="173" t="str">
        <f>IFERROR(VLOOKUP(T_Convention[[#This Row],[NumL]],T_TraitDi[#Data],COLUMN(T_TraitDi[VILLE2]),FALSE),"")</f>
        <v/>
      </c>
      <c r="BT6" s="313" t="str">
        <f>IF(VLOOKUP(T_Convention[[#This Row],[NumL]],T_Equipement[#Data],COLUMN(T_Equipement[PC]),FALSE)="","Aucun équipement spécifique directement lié au télétravail",VLOOKUP(T_Convention[[#This Row],[NumL]],T_Equipement[#Data],COLUMN(T_Equipement[PC]),FALSE))</f>
        <v xml:space="preserve">20-292	</v>
      </c>
      <c r="BU6" s="296" t="str">
        <f>IFERROR(IF(VLOOKUP(T_Convention[[#This Row],[NumL]],T_TraitDi[#Data],COLUMN(T_TraitDi[Plan]),FALSE)="OK","Un planning spécifique de télétravail est annexé à la présente convention.",""),"")</f>
        <v/>
      </c>
      <c r="BV6" s="185" t="s">
        <v>3371</v>
      </c>
      <c r="BW6" s="164" t="e">
        <f>IF(VLOOKUP(T_Convention[[#This Row],[NumL]],T_suiviDi[#Data],COLUMN(T_suiviDi[Entité]),FALSE)="","",VLOOKUP(T_Convention[[#This Row],[NumL]],T_suiviDi[#Data],COLUMN(T_suiviDi[Entité]),FALSE))</f>
        <v>#N/A</v>
      </c>
      <c r="BX6" s="164" t="str">
        <f>IF(VLOOKUP(T_Convention[[#This Row],[NumL]],T_Commission[#Data],COLUMN(T_Commission[envoi confirm TW]),FALSE)="","",VLOOKUP(T_Convention[[#This Row],[NumL]],T_Commission[#Data],COLUMN(T_Commission[envoi confirm TW]),FALSE))</f>
        <v>Oui</v>
      </c>
      <c r="BY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 s="264">
        <f>VLOOKUP(T_Convention[[#This Row],[NumL]],T_Commission[#Data],COLUMN(T_Commission[Commentaire]),FALSE)</f>
        <v>0</v>
      </c>
      <c r="CA6" s="254" t="str">
        <f>IF(VLOOKUP(T_Convention[[#This Row],[NumL]],T_Commission[#Data],COLUMN(T_Commission[Encadrant Email]),FALSE)="","",VLOOKUP(T_Convention[[#This Row],[NumL]],T_Commission[#Data],COLUMN(T_Commission[Encadrant Email]),FALSE))</f>
        <v/>
      </c>
      <c r="CB6" s="352" t="e">
        <f>VLOOKUP(T_Convention[[#This Row],[NumL]],T_TraitDi[#Data],COLUMN(T_TraitDi[NbJTot]),FALSE)</f>
        <v>#N/A</v>
      </c>
      <c r="CC6" s="352" t="e">
        <f>VLOOKUP(T_Convention[[#This Row],[NumL]],T_TraitDi[#Data],COLUMN(T_TraitDi[Reg Ponct]),FALSE)</f>
        <v>#N/A</v>
      </c>
      <c r="CD6" s="348" t="str">
        <f>IF(T_Convention[[#This Row],[Final]]&lt;&gt;"",VLOOKUP(T_Convention[[#This Row],[NumL]],T_suiviDi[#Data],COLUMN((T_suiviDi[Statut])),FALSE),"")</f>
        <v/>
      </c>
    </row>
    <row r="7" spans="1:82" s="106" customFormat="1" ht="18.75" customHeight="1" x14ac:dyDescent="0.25">
      <c r="A7" s="90">
        <v>251</v>
      </c>
      <c r="B7" s="161" t="str">
        <f>VLOOKUP(T_Convention[[#This Row],[NumL]],T_Commission[#Data],COLUMN(T_Commission[FINAL]),FALSE)</f>
        <v/>
      </c>
      <c r="C7" s="309"/>
      <c r="D7" s="95" t="e">
        <f>IF(VLOOKUP(T_Convention[[#This Row],[NumL]],T_TraitDi[#Data],COLUMN(T_TraitDi[WebC]),FALSE)="","",VLOOKUP(T_Convention[[#This Row],[NumL]],T_TraitDi[#Data],COLUMN(T_TraitDi[WebC]),FALSE))</f>
        <v>#N/A</v>
      </c>
      <c r="E7" s="95" t="str">
        <f t="shared" si="0"/>
        <v>12 janvier 2021</v>
      </c>
      <c r="F7" s="282" t="str">
        <f>IF(T_Convention[[#This Row],[Final]]&lt;&gt;"",VLOOKUP(T_Convention[[#This Row],[NumL]],T_suiviDi[#Data],COLUMN((T_suiviDi[Civ.])),FALSE),"")</f>
        <v/>
      </c>
      <c r="G7" s="283" t="str">
        <f>IF(T_Convention[[#This Row],[Final]]&lt;&gt;"",VLOOKUP(T_Convention[[#This Row],[NumL]],T_suiviDi[#Data],COLUMN((T_suiviDi[Nom])),FALSE),"")</f>
        <v/>
      </c>
      <c r="H7" s="282" t="str">
        <f>IF(T_Convention[[#This Row],[Final]]&lt;&gt;"",VLOOKUP(T_Convention[[#This Row],[NumL]],T_suiviDi[#Data],COLUMN((T_suiviDi[Prénom])),FALSE),"")</f>
        <v/>
      </c>
      <c r="I7" s="282" t="e">
        <f>VLOOKUP(T_Convention[[#This Row],[NumL]],T_suiviDi[#Data],COLUMN((T_suiviDi[[#This Row],[Email]])),FALSE)</f>
        <v>#N/A</v>
      </c>
      <c r="J7" s="282" t="e">
        <f>IF(VLOOKUP(T_Convention[[#This Row],[NumL]],T_suiviDi[#Data],COLUMN(T_suiviDi[[#This Row],[Fonction]]),FALSE)="","",VLOOKUP(T_Convention[[#This Row],[NumL]],T_suiviDi[#Data],COLUMN(T_suiviDi[[#This Row],[Fonction]]),FALSE))</f>
        <v>#N/A</v>
      </c>
      <c r="K7" s="282" t="e">
        <f>IF(VLOOKUP(T_Convention[[#This Row],[NumL]],T_suiviDi[#Data],COLUMN(T_suiviDi[[#This Row],[Grade]]),FALSE)="","",VLOOKUP(T_Convention[[#This Row],[NumL]],T_suiviDi[#Data],COLUMN(T_suiviDi[[#This Row],[Grade]]),FALSE))</f>
        <v>#N/A</v>
      </c>
      <c r="L7" s="282" t="e">
        <f>IF(VLOOKUP(T_Convention[[#This Row],[NumL]],T_suiviDi[#Data],COLUMN(T_suiviDi[[#This Row],[Service ]]),FALSE)="","",VLOOKUP(T_Convention[[#This Row],[NumL]],T_suiviDi[#Data],COLUMN(T_suiviDi[[#This Row],[Service ]]),FALSE))</f>
        <v>#N/A</v>
      </c>
      <c r="M7" s="96" t="str">
        <f t="shared" si="1"/>
        <v>01 septembre 2021</v>
      </c>
      <c r="N7" s="96" t="str">
        <f t="shared" si="2"/>
        <v>30 novembre 2021</v>
      </c>
      <c r="O7" s="284" t="str">
        <f t="shared" si="3"/>
        <v>30 novembre 2021</v>
      </c>
      <c r="P7" s="282" t="e">
        <f>IF(VLOOKUP(T_Convention[[#This Row],[NumL]],T_TraitDi[#Data],COLUMN(T_TraitDi[M1]),FALSE)="","",VLOOKUP(T_Convention[[#This Row],[NumL]],T_TraitDi[#Data],COLUMN(T_TraitDi[M1]),FALSE))</f>
        <v>#N/A</v>
      </c>
      <c r="Q7" s="282" t="e">
        <f>IF(VLOOKUP(T_Convention[[#This Row],[NumL]],T_TraitDi[#Data],COLUMN(T_TraitDi[M2]),FALSE)="","",VLOOKUP(T_Convention[[#This Row],[NumL]],T_TraitDi[#Data],COLUMN(T_TraitDi[M2]),FALSE))</f>
        <v>#N/A</v>
      </c>
      <c r="R7" s="282" t="e">
        <f>IF(VLOOKUP(T_Convention[[#This Row],[NumL]],T_TraitDi[#Data],COLUMN(T_TraitDi[M3]),FALSE)="","",VLOOKUP(T_Convention[[#This Row],[NumL]],T_TraitDi[#Data],COLUMN(T_TraitDi[M3]),FALSE))</f>
        <v>#N/A</v>
      </c>
      <c r="S7" s="282" t="e">
        <f>IF(VLOOKUP(T_Convention[[#This Row],[NumL]],T_TraitDi[#Data],COLUMN(T_TraitDi[M4]),FALSE)="","",VLOOKUP(T_Convention[[#This Row],[NumL]],T_TraitDi[#Data],COLUMN(T_TraitDi[M4]),FALSE))</f>
        <v>#N/A</v>
      </c>
      <c r="T7" s="282" t="e">
        <f>IF(VLOOKUP(T_Convention[[#This Row],[NumL]],T_TraitDi[#Data],COLUMN(T_TraitDi[M5]),FALSE)="","",VLOOKUP(T_Convention[[#This Row],[NumL]],T_TraitDi[#Data],COLUMN(T_TraitDi[M5]),FALSE))</f>
        <v>#N/A</v>
      </c>
      <c r="U7" s="282" t="e">
        <f>IF(VLOOKUP(T_Convention[[#This Row],[NumL]],T_TraitDi[#Data],COLUMN(T_TraitDi[M6]),FALSE)="","",VLOOKUP(T_Convention[[#This Row],[NumL]],T_TraitDi[#Data],COLUMN(T_TraitDi[M6]),FALSE))</f>
        <v>#N/A</v>
      </c>
      <c r="V7" s="312" t="e">
        <f t="shared" si="4"/>
        <v>#N/A</v>
      </c>
      <c r="W7" s="284" t="str">
        <f>IFERROR(TEXT(VLOOKUP(T_Convention[[#This Row],[NumL]],T_TraitDi[#Data],COLUMN(T_TraitDi[Q2]),FALSE),"###%"),"")</f>
        <v/>
      </c>
      <c r="X7" s="97" t="e">
        <f>VLOOKUP(T_Convention[[#This Row],[NumL]],T_TraitDi[#Data],COLUMN(T_TraitDi[Reg Ponct]),FALSE)</f>
        <v>#N/A</v>
      </c>
      <c r="Y7" s="97" t="e">
        <f>VLOOKUP(T_Convention[NumL],T_TraitDi[#Data],COLUMN(T_TraitDi[Jours flottants]),FALSE)</f>
        <v>#N/A</v>
      </c>
      <c r="Z7" s="284" t="str">
        <f>IFERROR(VLOOKUP(T_Convention[[#This Row],[NumL]],T_TraitDi[#Data],COLUMN(T_TraitDi[Lundi]),FALSE),"")</f>
        <v/>
      </c>
      <c r="AA7" s="284" t="e">
        <f>IF(VLOOKUP(T_Convention[[#This Row],[NumL]],T_TraitDi[#Data],COLUMN(T_TraitDi[Colonne3]),FALSE)=0,"",TEXT(IFERROR(VLOOKUP(T_Convention[[#This Row],[NumL]],T_TraitDi[#Data],COLUMN(T_TraitDi[Colonne3]),FALSE),""),"[hh]:mm"))</f>
        <v>#N/A</v>
      </c>
      <c r="AB7" s="284" t="e">
        <f>IF(VLOOKUP(T_Convention[[#This Row],[NumL]],T_TraitDi[#Data],COLUMN(T_TraitDi[Colonne4]),FALSE)=0,"",TEXT(IFERROR(VLOOKUP(T_Convention[[#This Row],[NumL]],T_TraitDi[#Data],COLUMN(T_TraitDi[Colonne4]),FALSE),""),"[hh]:mm"))</f>
        <v>#N/A</v>
      </c>
      <c r="AC7" s="284" t="e">
        <f>IF(VLOOKUP(T_Convention[[#This Row],[NumL]],T_TraitDi[#Data],COLUMN(T_TraitDi[Colonne5]),FALSE)=0,"",TEXT(IFERROR(VLOOKUP(T_Convention[[#This Row],[NumL]],T_TraitDi[#Data],COLUMN(T_TraitDi[Colonne5]),FALSE),""),"[hh]:mm"))</f>
        <v>#N/A</v>
      </c>
      <c r="AD7" s="284" t="e">
        <f>IF(VLOOKUP(T_Convention[[#This Row],[NumL]],T_TraitDi[#Data],COLUMN(T_TraitDi[Colonne6]),FALSE)=0,"",TEXT(IFERROR(VLOOKUP(T_Convention[[#This Row],[NumL]],T_TraitDi[#Data],COLUMN(T_TraitDi[Colonne6]),FALSE),""),"[hh]:mm"))</f>
        <v>#N/A</v>
      </c>
      <c r="AE7" s="284" t="e">
        <f>IF(VLOOKUP(T_Convention[[#This Row],[NumL]],T_TraitDi[#Data],COLUMN(T_TraitDi[Colonne7]),FALSE)=0,"",TEXT(IFERROR(VLOOKUP(T_Convention[[#This Row],[NumL]],T_TraitDi[#Data],COLUMN(T_TraitDi[Colonne7]),FALSE),""),"[hh]:mm"))</f>
        <v>#N/A</v>
      </c>
      <c r="AF7" s="284" t="e">
        <f>IF(VLOOKUP(T_Convention[[#This Row],[NumL]],T_TraitDi[#Data],COLUMN(T_TraitDi[Colonne8]),FALSE)=0,"",TEXT(IFERROR(VLOOKUP(T_Convention[[#This Row],[NumL]],T_TraitDi[#Data],COLUMN(T_TraitDi[Colonne8]),FALSE),""),"[hh]:mm"))</f>
        <v>#N/A</v>
      </c>
      <c r="AG7" s="284" t="str">
        <f>IFERROR(VLOOKUP(T_Convention[[#This Row],[NumL]],T_TraitDi[#Data],COLUMN(T_TraitDi[Mardi]),FALSE),"")</f>
        <v/>
      </c>
      <c r="AH7" s="284" t="e">
        <f>IF(VLOOKUP(T_Convention[[#This Row],[NumL]],T_TraitDi[#Data],COLUMN(T_TraitDi[Colonne1]),FALSE)=0,"",TEXT(IFERROR(VLOOKUP(T_Convention[[#This Row],[NumL]],T_TraitDi[#Data],COLUMN(T_TraitDi[Colonne1]),FALSE),""),"[hh]:mm"))</f>
        <v>#N/A</v>
      </c>
      <c r="AI7" s="284" t="e">
        <f>IF(VLOOKUP(T_Convention[[#This Row],[NumL]],T_TraitDi[#Data],COLUMN(T_TraitDi[Colonne9]),FALSE)=0,"",TEXT(IFERROR(VLOOKUP(T_Convention[[#This Row],[NumL]],T_TraitDi[#Data],COLUMN(T_TraitDi[Colonne9]),FALSE),""),"[hh]:mm"))</f>
        <v>#N/A</v>
      </c>
      <c r="AJ7" s="284" t="str">
        <f>IFERROR(VLOOKUP(T_Convention[[#This Row],[NumL]],T_TraitDi[#Data],COLUMN(T_TraitDi[Colonne10]),FALSE),"")</f>
        <v/>
      </c>
      <c r="AK7" s="284" t="e">
        <f>IF(VLOOKUP(T_Convention[[#This Row],[NumL]],T_TraitDi[#Data],COLUMN(T_TraitDi[Colonne11]),FALSE)=0,"",TEXT(IFERROR(VLOOKUP(T_Convention[[#This Row],[NumL]],T_TraitDi[#Data],COLUMN(T_TraitDi[Colonne11]),FALSE),""),"[hh]:mm"))</f>
        <v>#N/A</v>
      </c>
      <c r="AL7" s="284" t="e">
        <f>IF(VLOOKUP(T_Convention[[#This Row],[NumL]],T_TraitDi[#Data],COLUMN(T_TraitDi[Colonne12]),FALSE)=0,"",TEXT(IFERROR(VLOOKUP(T_Convention[[#This Row],[NumL]],T_TraitDi[#Data],COLUMN(T_TraitDi[Colonne12]),FALSE),""),"[hh]:mm"))</f>
        <v>#N/A</v>
      </c>
      <c r="AM7" s="284" t="e">
        <f>IF(VLOOKUP(T_Convention[[#This Row],[NumL]],T_TraitDi[#Data],COLUMN(T_TraitDi[Colonne14]),FALSE)=0,"",TEXT(IFERROR(VLOOKUP(T_Convention[[#This Row],[NumL]],T_TraitDi[#Data],COLUMN(T_TraitDi[Colonne14]),FALSE),""),"[hh]:mm"))</f>
        <v>#N/A</v>
      </c>
      <c r="AN7" s="284" t="str">
        <f>IFERROR(VLOOKUP(T_Convention[[#This Row],[NumL]],T_TraitDi[#Data],COLUMN(T_TraitDi[Mercredi]),FALSE),"")</f>
        <v/>
      </c>
      <c r="AO7" s="284" t="e">
        <f>IF(VLOOKUP(T_Convention[[#This Row],[NumL]],T_TraitDi[#Data],COLUMN(T_TraitDi[Colonne15]),FALSE)=0,"",TEXT(IFERROR(VLOOKUP(T_Convention[[#This Row],[NumL]],T_TraitDi[#Data],COLUMN(T_TraitDi[Colonne15]),FALSE),""),"[hh]:mm"))</f>
        <v>#N/A</v>
      </c>
      <c r="AP7" s="284" t="e">
        <f>IF(VLOOKUP(T_Convention[[#This Row],[NumL]],T_TraitDi[#Data],COLUMN(T_TraitDi[Colonne16]),FALSE)=0,"",TEXT(IFERROR(VLOOKUP(T_Convention[[#This Row],[NumL]],T_TraitDi[#Data],COLUMN(T_TraitDi[Colonne16]),FALSE),""),"[hh]:mm"))</f>
        <v>#N/A</v>
      </c>
      <c r="AQ7" s="284" t="str">
        <f>IFERROR(VLOOKUP(T_Convention[[#This Row],[NumL]],T_TraitDi[#Data],COLUMN(T_TraitDi[Colonne17]),FALSE),"")</f>
        <v/>
      </c>
      <c r="AR7" s="284" t="e">
        <f>IF(VLOOKUP(T_Convention[[#This Row],[NumL]],T_TraitDi[#Data],COLUMN(T_TraitDi[Colonne18]),FALSE)=0,"",TEXT(IFERROR(VLOOKUP(T_Convention[[#This Row],[NumL]],T_TraitDi[#Data],COLUMN(T_TraitDi[Colonne18]),FALSE),""),"[hh]:mm"))</f>
        <v>#N/A</v>
      </c>
      <c r="AS7" s="284" t="e">
        <f>IF(VLOOKUP(T_Convention[[#This Row],[NumL]],T_TraitDi[#Data],COLUMN(T_TraitDi[Colonne19]),FALSE)=0,"",TEXT(IFERROR(VLOOKUP(T_Convention[[#This Row],[NumL]],T_TraitDi[#Data],COLUMN(T_TraitDi[Colonne19]),FALSE),""),"[hh]:mm"))</f>
        <v>#N/A</v>
      </c>
      <c r="AT7" s="284" t="e">
        <f>IF(VLOOKUP(T_Convention[[#This Row],[NumL]],T_TraitDi[#Data],COLUMN(T_TraitDi[Colonne20]),FALSE)=0,"",TEXT(IFERROR(VLOOKUP(T_Convention[[#This Row],[NumL]],T_TraitDi[#Data],COLUMN(T_TraitDi[Colonne20]),FALSE),""),"[hh]:mm"))</f>
        <v>#N/A</v>
      </c>
      <c r="AU7" s="284" t="str">
        <f>IFERROR(VLOOKUP(T_Convention[[#This Row],[NumL]],T_TraitDi[#Data],COLUMN(T_TraitDi[Jeudi]),FALSE),"")</f>
        <v/>
      </c>
      <c r="AV7" s="284" t="e">
        <f>IF(VLOOKUP(T_Convention[[#This Row],[NumL]],T_TraitDi[#Data],COLUMN(T_TraitDi[Colonne21]),FALSE)=0,"",TEXT(IFERROR(VLOOKUP(T_Convention[[#This Row],[NumL]],T_TraitDi[#Data],COLUMN(T_TraitDi[Colonne21]),FALSE),""),"[hh]:mm"))</f>
        <v>#N/A</v>
      </c>
      <c r="AW7" s="284" t="e">
        <f>IF(VLOOKUP(T_Convention[[#This Row],[NumL]],T_TraitDi[#Data],COLUMN(T_TraitDi[Colonne22]),FALSE)=0,"",TEXT(IFERROR(VLOOKUP(T_Convention[[#This Row],[NumL]],T_TraitDi[#Data],COLUMN(T_TraitDi[Colonne22]),FALSE),""),"[hh]:mm"))</f>
        <v>#N/A</v>
      </c>
      <c r="AX7" s="284" t="str">
        <f>IFERROR(VLOOKUP(T_Convention[[#This Row],[NumL]],T_TraitDi[#Data],COLUMN(T_TraitDi[Colonne23]),FALSE),"")</f>
        <v/>
      </c>
      <c r="AY7" s="284" t="e">
        <f>IF(VLOOKUP(T_Convention[[#This Row],[NumL]],T_TraitDi[#Data],COLUMN(T_TraitDi[Colonne24]),FALSE)=0,"",TEXT(IFERROR(VLOOKUP(T_Convention[[#This Row],[NumL]],T_TraitDi[#Data],COLUMN(T_TraitDi[Colonne24]),FALSE),""),"[hh]:mm"))</f>
        <v>#N/A</v>
      </c>
      <c r="AZ7" s="284" t="e">
        <f>IF(VLOOKUP(T_Convention[[#This Row],[NumL]],T_TraitDi[#Data],COLUMN(T_TraitDi[Colonne25]),FALSE)=0,"",TEXT(IFERROR(VLOOKUP(T_Convention[[#This Row],[NumL]],T_TraitDi[#Data],COLUMN(T_TraitDi[Colonne25]),FALSE),""),"[hh]:mm"))</f>
        <v>#N/A</v>
      </c>
      <c r="BA7" s="284" t="e">
        <f>IF(VLOOKUP(T_Convention[[#This Row],[NumL]],T_TraitDi[#Data],COLUMN(T_TraitDi[Colonne26]),FALSE)=0,"",TEXT(IFERROR(VLOOKUP(T_Convention[[#This Row],[NumL]],T_TraitDi[#Data],COLUMN(T_TraitDi[Colonne26]),FALSE),""),"[hh]:mm"))</f>
        <v>#N/A</v>
      </c>
      <c r="BB7" s="284" t="str">
        <f>IFERROR(VLOOKUP(T_Convention[[#This Row],[NumL]],T_TraitDi[#Data],COLUMN(T_TraitDi[Vendredi]),FALSE),"")</f>
        <v/>
      </c>
      <c r="BC7" s="284" t="e">
        <f>IF(VLOOKUP(T_Convention[[#This Row],[NumL]],T_TraitDi[#Data],COLUMN(T_TraitDi[Colonne27]),FALSE)=0,"",TEXT(IFERROR(VLOOKUP(T_Convention[[#This Row],[NumL]],T_TraitDi[#Data],COLUMN(T_TraitDi[Colonne27]),FALSE),""),"[hh]:mm"))</f>
        <v>#N/A</v>
      </c>
      <c r="BD7" s="284" t="e">
        <f>IF(VLOOKUP(T_Convention[[#This Row],[NumL]],T_TraitDi[#Data],COLUMN(T_TraitDi[Colonne28]),FALSE)=0,"",TEXT(IFERROR(VLOOKUP(T_Convention[[#This Row],[NumL]],T_TraitDi[#Data],COLUMN(T_TraitDi[Colonne28]),FALSE),""),"[hh]:mm"))</f>
        <v>#N/A</v>
      </c>
      <c r="BE7" s="284" t="str">
        <f>IFERROR(VLOOKUP(T_Convention[[#This Row],[NumL]],T_TraitDi[#Data],COLUMN(T_TraitDi[Colonne29]),FALSE),"")</f>
        <v/>
      </c>
      <c r="BF7" s="284" t="e">
        <f>IF(VLOOKUP(T_Convention[[#This Row],[NumL]],T_TraitDi[#Data],COLUMN(T_TraitDi[Colonne30]),FALSE)=0,"",TEXT(IFERROR(VLOOKUP(T_Convention[[#This Row],[NumL]],T_TraitDi[#Data],COLUMN(T_TraitDi[Colonne30]),FALSE),""),"[hh]:mm"))</f>
        <v>#N/A</v>
      </c>
      <c r="BG7" s="284" t="e">
        <f>IF(VLOOKUP(T_Convention[[#This Row],[NumL]],T_TraitDi[#Data],COLUMN(T_TraitDi[Colonne31]),FALSE)=0,"",TEXT(IFERROR(VLOOKUP(T_Convention[[#This Row],[NumL]],T_TraitDi[#Data],COLUMN(T_TraitDi[Colonne31]),FALSE),""),"[hh]:mm"))</f>
        <v>#N/A</v>
      </c>
      <c r="BH7" s="284" t="e">
        <f>IF(VLOOKUP(T_Convention[[#This Row],[NumL]],T_TraitDi[#Data],COLUMN(T_TraitDi[Colonne32]),FALSE)=0,"",TEXT(IFERROR(VLOOKUP(T_Convention[[#This Row],[NumL]],T_TraitDi[#Data],COLUMN(T_TraitDi[Colonne32]),FALSE),""),"[hh]:mm"))</f>
        <v>#N/A</v>
      </c>
      <c r="BI7" s="284" t="str">
        <f>IFERROR(VLOOKUP(T_Convention[[#This Row],[NumL]],T_TraitDi[#Data],COLUMN(T_TraitDi[NbJTW]),FALSE),"")</f>
        <v/>
      </c>
      <c r="BJ7" s="284" t="e">
        <f>IF(VLOOKUP(T_Convention[[#This Row],[NumL]],T_TraitDi[#Data],COLUMN(T_TraitDi[NbhTW]),FALSE)=0,"",TEXT(IFERROR(VLOOKUP(T_Convention[[#This Row],[NumL]],T_TraitDi[#Data],COLUMN(T_TraitDi[NbhTW]),FALSE),""),"[hh]:mm"))</f>
        <v>#N/A</v>
      </c>
      <c r="BK7" s="286" t="e">
        <f>IF(VLOOKUP(T_Convention[[#This Row],[NumL]],T_TraitDi[#Data],COLUMN(T_TraitDi[Nbhheb]),FALSE)=0,"",TEXT(IFERROR(VLOOKUP(T_Convention[[#This Row],[NumL]],T_TraitDi[#Data],COLUMN(T_TraitDi[Nbhheb]),FALSE),""),"[hh]:mm"))</f>
        <v>#N/A</v>
      </c>
      <c r="BL7" s="287" t="str">
        <f>IFERROR(VLOOKUP(VLOOKUP(T_Convention[[#This Row],[NumL]],T_TraitDi[#Data],COLUMN(T_TraitDi[Type1]),FALSE),TypeTW,2,FALSE),"")</f>
        <v/>
      </c>
      <c r="BM7" s="288" t="str">
        <f>IFERROR(VLOOKUP(T_Convention[[#This Row],[NumL]],T_TraitDi[#Data],COLUMN(T_TraitDi[Rue1]),FALSE),"")</f>
        <v/>
      </c>
      <c r="BN7" s="289" t="str">
        <f>IFERROR(VLOOKUP(T_Convention[[#This Row],[NumL]],T_TraitDi[#Data],COLUMN(T_TraitDi[CP1]),FALSE),"")</f>
        <v/>
      </c>
      <c r="BO7" s="282" t="str">
        <f>IFERROR(VLOOKUP(T_Convention[[#This Row],[NumL]],T_TraitDi[#Data],COLUMN(T_TraitDi[VILLE1]),FALSE),"")</f>
        <v/>
      </c>
      <c r="BP7" s="290" t="str">
        <f>IFERROR(VLOOKUP(VLOOKUP(T_Convention[[#This Row],[NumL]],T_TraitDi[#Data],COLUMN(T_TraitDi[Type2]),FALSE),TypeTW,2,FALSE),"")</f>
        <v/>
      </c>
      <c r="BQ7" s="182" t="str">
        <f>IFERROR(VLOOKUP(T_Convention[[#This Row],[NumL]],T_TraitDi[#Data],COLUMN(T_TraitDi[Rue2]),FALSE),"")</f>
        <v/>
      </c>
      <c r="BR7" s="173" t="str">
        <f>IFERROR(VLOOKUP(T_Convention[[#This Row],[NumL]],T_TraitDi[#Data],COLUMN(T_TraitDi[CP2]),FALSE),"")</f>
        <v/>
      </c>
      <c r="BS7" s="173" t="str">
        <f>IFERROR(VLOOKUP(T_Convention[[#This Row],[NumL]],T_TraitDi[#Data],COLUMN(T_TraitDi[VILLE2]),FALSE),"")</f>
        <v/>
      </c>
      <c r="BT7" s="313" t="str">
        <f>IF(VLOOKUP(T_Convention[[#This Row],[NumL]],T_Equipement[#Data],COLUMN(T_Equipement[PC]),FALSE)="","Aucun équipement spécifique directement lié au télétravail",VLOOKUP(T_Convention[[#This Row],[NumL]],T_Equipement[#Data],COLUMN(T_Equipement[PC]),FALSE))</f>
        <v xml:space="preserve">20-334	</v>
      </c>
      <c r="BU7" s="296" t="str">
        <f>IFERROR(IF(VLOOKUP(T_Convention[[#This Row],[NumL]],T_TraitDi[#Data],COLUMN(T_TraitDi[Plan]),FALSE)="OK","Un planning spécifique de télétravail est annexé à la présente convention.",""),"")</f>
        <v/>
      </c>
      <c r="BV7" s="185" t="s">
        <v>3402</v>
      </c>
      <c r="BW7" s="164" t="e">
        <f>IF(VLOOKUP(T_Convention[[#This Row],[NumL]],T_suiviDi[#Data],COLUMN(T_suiviDi[Entité]),FALSE)="","",VLOOKUP(T_Convention[[#This Row],[NumL]],T_suiviDi[#Data],COLUMN(T_suiviDi[Entité]),FALSE))</f>
        <v>#N/A</v>
      </c>
      <c r="BX7" s="164" t="str">
        <f>IF(VLOOKUP(T_Convention[[#This Row],[NumL]],T_Commission[#Data],COLUMN(T_Commission[envoi confirm TW]),FALSE)="","",VLOOKUP(T_Convention[[#This Row],[NumL]],T_Commission[#Data],COLUMN(T_Commission[envoi confirm TW]),FALSE))</f>
        <v>Oui</v>
      </c>
      <c r="BY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 s="264">
        <f>VLOOKUP(T_Convention[[#This Row],[NumL]],T_Commission[#Data],COLUMN(T_Commission[Commentaire]),FALSE)</f>
        <v>0</v>
      </c>
      <c r="CA7" s="254" t="str">
        <f>IF(VLOOKUP(T_Convention[[#This Row],[NumL]],T_Commission[#Data],COLUMN(T_Commission[Encadrant Email]),FALSE)="","",VLOOKUP(T_Convention[[#This Row],[NumL]],T_Commission[#Data],COLUMN(T_Commission[Encadrant Email]),FALSE))</f>
        <v/>
      </c>
      <c r="CB7" s="352" t="e">
        <f>VLOOKUP(T_Convention[[#This Row],[NumL]],T_TraitDi[#Data],COLUMN(T_TraitDi[NbJTot]),FALSE)</f>
        <v>#N/A</v>
      </c>
      <c r="CC7" s="352" t="e">
        <f>VLOOKUP(T_Convention[[#This Row],[NumL]],T_TraitDi[#Data],COLUMN(T_TraitDi[Reg Ponct]),FALSE)</f>
        <v>#N/A</v>
      </c>
      <c r="CD7" s="348" t="str">
        <f>IF(T_Convention[[#This Row],[Final]]&lt;&gt;"",VLOOKUP(T_Convention[[#This Row],[NumL]],T_suiviDi[#Data],COLUMN((T_suiviDi[Statut])),FALSE),"")</f>
        <v/>
      </c>
    </row>
    <row r="8" spans="1:82" s="106" customFormat="1" ht="18.75" customHeight="1" x14ac:dyDescent="0.25">
      <c r="A8" s="90">
        <v>170</v>
      </c>
      <c r="B8" s="161" t="str">
        <f>VLOOKUP(T_Convention[[#This Row],[NumL]],T_Commission[#Data],COLUMN(T_Commission[FINAL]),FALSE)</f>
        <v/>
      </c>
      <c r="C8" s="309"/>
      <c r="D8" s="95" t="e">
        <f>IF(VLOOKUP(T_Convention[[#This Row],[NumL]],T_TraitDi[#Data],COLUMN(T_TraitDi[WebC]),FALSE)="","",VLOOKUP(T_Convention[[#This Row],[NumL]],T_TraitDi[#Data],COLUMN(T_TraitDi[WebC]),FALSE))</f>
        <v>#N/A</v>
      </c>
      <c r="E8" s="95" t="str">
        <f t="shared" si="0"/>
        <v>12 janvier 2021</v>
      </c>
      <c r="F8" s="282" t="str">
        <f>IF(T_Convention[[#This Row],[Final]]&lt;&gt;"",VLOOKUP(T_Convention[[#This Row],[NumL]],T_suiviDi[#Data],COLUMN((T_suiviDi[Civ.])),FALSE),"")</f>
        <v/>
      </c>
      <c r="G8" s="283" t="str">
        <f>IF(T_Convention[[#This Row],[Final]]&lt;&gt;"",VLOOKUP(T_Convention[[#This Row],[NumL]],T_suiviDi[#Data],COLUMN((T_suiviDi[Nom])),FALSE),"")</f>
        <v/>
      </c>
      <c r="H8" s="282" t="str">
        <f>IF(T_Convention[[#This Row],[Final]]&lt;&gt;"",VLOOKUP(T_Convention[[#This Row],[NumL]],T_suiviDi[#Data],COLUMN((T_suiviDi[Prénom])),FALSE),"")</f>
        <v/>
      </c>
      <c r="I8" s="282" t="e">
        <f>VLOOKUP(T_Convention[[#This Row],[NumL]],T_suiviDi[#Data],COLUMN((T_suiviDi[[#This Row],[Email]])),FALSE)</f>
        <v>#N/A</v>
      </c>
      <c r="J8" s="282" t="e">
        <f>IF(VLOOKUP(T_Convention[[#This Row],[NumL]],T_suiviDi[#Data],COLUMN(T_suiviDi[[#This Row],[Fonction]]),FALSE)="","",VLOOKUP(T_Convention[[#This Row],[NumL]],T_suiviDi[#Data],COLUMN(T_suiviDi[[#This Row],[Fonction]]),FALSE))</f>
        <v>#N/A</v>
      </c>
      <c r="K8" s="282" t="e">
        <f>IF(VLOOKUP(T_Convention[[#This Row],[NumL]],T_suiviDi[#Data],COLUMN(T_suiviDi[[#This Row],[Grade]]),FALSE)="","",VLOOKUP(T_Convention[[#This Row],[NumL]],T_suiviDi[#Data],COLUMN(T_suiviDi[[#This Row],[Grade]]),FALSE))</f>
        <v>#N/A</v>
      </c>
      <c r="L8" s="282" t="e">
        <f>IF(VLOOKUP(T_Convention[[#This Row],[NumL]],T_suiviDi[#Data],COLUMN(T_suiviDi[[#This Row],[Service ]]),FALSE)="","",VLOOKUP(T_Convention[[#This Row],[NumL]],T_suiviDi[#Data],COLUMN(T_suiviDi[[#This Row],[Service ]]),FALSE))</f>
        <v>#N/A</v>
      </c>
      <c r="M8" s="96" t="str">
        <f t="shared" si="1"/>
        <v>01 septembre 2021</v>
      </c>
      <c r="N8" s="96" t="str">
        <f t="shared" si="2"/>
        <v>30 novembre 2021</v>
      </c>
      <c r="O8" s="284" t="str">
        <f t="shared" si="3"/>
        <v>30 novembre 2021</v>
      </c>
      <c r="P8" s="282" t="e">
        <f>IF(VLOOKUP(T_Convention[[#This Row],[NumL]],T_TraitDi[#Data],COLUMN(T_TraitDi[M1]),FALSE)="","",VLOOKUP(T_Convention[[#This Row],[NumL]],T_TraitDi[#Data],COLUMN(T_TraitDi[M1]),FALSE))</f>
        <v>#N/A</v>
      </c>
      <c r="Q8" s="282" t="e">
        <f>IF(VLOOKUP(T_Convention[[#This Row],[NumL]],T_TraitDi[#Data],COLUMN(T_TraitDi[M2]),FALSE)="","",VLOOKUP(T_Convention[[#This Row],[NumL]],T_TraitDi[#Data],COLUMN(T_TraitDi[M2]),FALSE))</f>
        <v>#N/A</v>
      </c>
      <c r="R8" s="282" t="e">
        <f>IF(VLOOKUP(T_Convention[[#This Row],[NumL]],T_TraitDi[#Data],COLUMN(T_TraitDi[M3]),FALSE)="","",VLOOKUP(T_Convention[[#This Row],[NumL]],T_TraitDi[#Data],COLUMN(T_TraitDi[M3]),FALSE))</f>
        <v>#N/A</v>
      </c>
      <c r="S8" s="282" t="e">
        <f>IF(VLOOKUP(T_Convention[[#This Row],[NumL]],T_TraitDi[#Data],COLUMN(T_TraitDi[M4]),FALSE)="","",VLOOKUP(T_Convention[[#This Row],[NumL]],T_TraitDi[#Data],COLUMN(T_TraitDi[M4]),FALSE))</f>
        <v>#N/A</v>
      </c>
      <c r="T8" s="282" t="e">
        <f>IF(VLOOKUP(T_Convention[[#This Row],[NumL]],T_TraitDi[#Data],COLUMN(T_TraitDi[M5]),FALSE)="","",VLOOKUP(T_Convention[[#This Row],[NumL]],T_TraitDi[#Data],COLUMN(T_TraitDi[M5]),FALSE))</f>
        <v>#N/A</v>
      </c>
      <c r="U8" s="282" t="e">
        <f>IF(VLOOKUP(T_Convention[[#This Row],[NumL]],T_TraitDi[#Data],COLUMN(T_TraitDi[M6]),FALSE)="","",VLOOKUP(T_Convention[[#This Row],[NumL]],T_TraitDi[#Data],COLUMN(T_TraitDi[M6]),FALSE))</f>
        <v>#N/A</v>
      </c>
      <c r="V8" s="312" t="e">
        <f t="shared" si="4"/>
        <v>#N/A</v>
      </c>
      <c r="W8" s="284" t="str">
        <f>IFERROR(TEXT(VLOOKUP(T_Convention[[#This Row],[NumL]],T_TraitDi[#Data],COLUMN(T_TraitDi[Q2]),FALSE),"###%"),"")</f>
        <v/>
      </c>
      <c r="X8" s="97" t="e">
        <f>VLOOKUP(T_Convention[[#This Row],[NumL]],T_TraitDi[#Data],COLUMN(T_TraitDi[Reg Ponct]),FALSE)</f>
        <v>#N/A</v>
      </c>
      <c r="Y8" s="97" t="e">
        <f>VLOOKUP(T_Convention[NumL],T_TraitDi[#Data],COLUMN(T_TraitDi[Jours flottants]),FALSE)</f>
        <v>#N/A</v>
      </c>
      <c r="Z8" s="284" t="str">
        <f>IFERROR(VLOOKUP(T_Convention[[#This Row],[NumL]],T_TraitDi[#Data],COLUMN(T_TraitDi[Lundi]),FALSE),"")</f>
        <v/>
      </c>
      <c r="AA8" s="284" t="e">
        <f>IF(VLOOKUP(T_Convention[[#This Row],[NumL]],T_TraitDi[#Data],COLUMN(T_TraitDi[Colonne3]),FALSE)=0,"",TEXT(IFERROR(VLOOKUP(T_Convention[[#This Row],[NumL]],T_TraitDi[#Data],COLUMN(T_TraitDi[Colonne3]),FALSE),""),"[hh]:mm"))</f>
        <v>#N/A</v>
      </c>
      <c r="AB8" s="284" t="e">
        <f>IF(VLOOKUP(T_Convention[[#This Row],[NumL]],T_TraitDi[#Data],COLUMN(T_TraitDi[Colonne4]),FALSE)=0,"",TEXT(IFERROR(VLOOKUP(T_Convention[[#This Row],[NumL]],T_TraitDi[#Data],COLUMN(T_TraitDi[Colonne4]),FALSE),""),"[hh]:mm"))</f>
        <v>#N/A</v>
      </c>
      <c r="AC8" s="284" t="e">
        <f>IF(VLOOKUP(T_Convention[[#This Row],[NumL]],T_TraitDi[#Data],COLUMN(T_TraitDi[Colonne5]),FALSE)=0,"",TEXT(IFERROR(VLOOKUP(T_Convention[[#This Row],[NumL]],T_TraitDi[#Data],COLUMN(T_TraitDi[Colonne5]),FALSE),""),"[hh]:mm"))</f>
        <v>#N/A</v>
      </c>
      <c r="AD8" s="284" t="e">
        <f>IF(VLOOKUP(T_Convention[[#This Row],[NumL]],T_TraitDi[#Data],COLUMN(T_TraitDi[Colonne6]),FALSE)=0,"",TEXT(IFERROR(VLOOKUP(T_Convention[[#This Row],[NumL]],T_TraitDi[#Data],COLUMN(T_TraitDi[Colonne6]),FALSE),""),"[hh]:mm"))</f>
        <v>#N/A</v>
      </c>
      <c r="AE8" s="284" t="e">
        <f>IF(VLOOKUP(T_Convention[[#This Row],[NumL]],T_TraitDi[#Data],COLUMN(T_TraitDi[Colonne7]),FALSE)=0,"",TEXT(IFERROR(VLOOKUP(T_Convention[[#This Row],[NumL]],T_TraitDi[#Data],COLUMN(T_TraitDi[Colonne7]),FALSE),""),"[hh]:mm"))</f>
        <v>#N/A</v>
      </c>
      <c r="AF8" s="284" t="e">
        <f>IF(VLOOKUP(T_Convention[[#This Row],[NumL]],T_TraitDi[#Data],COLUMN(T_TraitDi[Colonne8]),FALSE)=0,"",TEXT(IFERROR(VLOOKUP(T_Convention[[#This Row],[NumL]],T_TraitDi[#Data],COLUMN(T_TraitDi[Colonne8]),FALSE),""),"[hh]:mm"))</f>
        <v>#N/A</v>
      </c>
      <c r="AG8" s="284" t="str">
        <f>IFERROR(VLOOKUP(T_Convention[[#This Row],[NumL]],T_TraitDi[#Data],COLUMN(T_TraitDi[Mardi]),FALSE),"")</f>
        <v/>
      </c>
      <c r="AH8" s="284" t="e">
        <f>IF(VLOOKUP(T_Convention[[#This Row],[NumL]],T_TraitDi[#Data],COLUMN(T_TraitDi[Colonne1]),FALSE)=0,"",TEXT(IFERROR(VLOOKUP(T_Convention[[#This Row],[NumL]],T_TraitDi[#Data],COLUMN(T_TraitDi[Colonne1]),FALSE),""),"[hh]:mm"))</f>
        <v>#N/A</v>
      </c>
      <c r="AI8" s="284" t="e">
        <f>IF(VLOOKUP(T_Convention[[#This Row],[NumL]],T_TraitDi[#Data],COLUMN(T_TraitDi[Colonne9]),FALSE)=0,"",TEXT(IFERROR(VLOOKUP(T_Convention[[#This Row],[NumL]],T_TraitDi[#Data],COLUMN(T_TraitDi[Colonne9]),FALSE),""),"[hh]:mm"))</f>
        <v>#N/A</v>
      </c>
      <c r="AJ8" s="284" t="str">
        <f>IFERROR(VLOOKUP(T_Convention[[#This Row],[NumL]],T_TraitDi[#Data],COLUMN(T_TraitDi[Colonne10]),FALSE),"")</f>
        <v/>
      </c>
      <c r="AK8" s="284" t="e">
        <f>IF(VLOOKUP(T_Convention[[#This Row],[NumL]],T_TraitDi[#Data],COLUMN(T_TraitDi[Colonne11]),FALSE)=0,"",TEXT(IFERROR(VLOOKUP(T_Convention[[#This Row],[NumL]],T_TraitDi[#Data],COLUMN(T_TraitDi[Colonne11]),FALSE),""),"[hh]:mm"))</f>
        <v>#N/A</v>
      </c>
      <c r="AL8" s="284" t="e">
        <f>IF(VLOOKUP(T_Convention[[#This Row],[NumL]],T_TraitDi[#Data],COLUMN(T_TraitDi[Colonne12]),FALSE)=0,"",TEXT(IFERROR(VLOOKUP(T_Convention[[#This Row],[NumL]],T_TraitDi[#Data],COLUMN(T_TraitDi[Colonne12]),FALSE),""),"[hh]:mm"))</f>
        <v>#N/A</v>
      </c>
      <c r="AM8" s="284" t="e">
        <f>IF(VLOOKUP(T_Convention[[#This Row],[NumL]],T_TraitDi[#Data],COLUMN(T_TraitDi[Colonne14]),FALSE)=0,"",TEXT(IFERROR(VLOOKUP(T_Convention[[#This Row],[NumL]],T_TraitDi[#Data],COLUMN(T_TraitDi[Colonne14]),FALSE),""),"[hh]:mm"))</f>
        <v>#N/A</v>
      </c>
      <c r="AN8" s="284" t="str">
        <f>IFERROR(VLOOKUP(T_Convention[[#This Row],[NumL]],T_TraitDi[#Data],COLUMN(T_TraitDi[Mercredi]),FALSE),"")</f>
        <v/>
      </c>
      <c r="AO8" s="284" t="e">
        <f>IF(VLOOKUP(T_Convention[[#This Row],[NumL]],T_TraitDi[#Data],COLUMN(T_TraitDi[Colonne15]),FALSE)=0,"",TEXT(IFERROR(VLOOKUP(T_Convention[[#This Row],[NumL]],T_TraitDi[#Data],COLUMN(T_TraitDi[Colonne15]),FALSE),""),"[hh]:mm"))</f>
        <v>#N/A</v>
      </c>
      <c r="AP8" s="284" t="e">
        <f>IF(VLOOKUP(T_Convention[[#This Row],[NumL]],T_TraitDi[#Data],COLUMN(T_TraitDi[Colonne16]),FALSE)=0,"",TEXT(IFERROR(VLOOKUP(T_Convention[[#This Row],[NumL]],T_TraitDi[#Data],COLUMN(T_TraitDi[Colonne16]),FALSE),""),"[hh]:mm"))</f>
        <v>#N/A</v>
      </c>
      <c r="AQ8" s="284" t="str">
        <f>IFERROR(VLOOKUP(T_Convention[[#This Row],[NumL]],T_TraitDi[#Data],COLUMN(T_TraitDi[Colonne17]),FALSE),"")</f>
        <v/>
      </c>
      <c r="AR8" s="284" t="e">
        <f>IF(VLOOKUP(T_Convention[[#This Row],[NumL]],T_TraitDi[#Data],COLUMN(T_TraitDi[Colonne18]),FALSE)=0,"",TEXT(IFERROR(VLOOKUP(T_Convention[[#This Row],[NumL]],T_TraitDi[#Data],COLUMN(T_TraitDi[Colonne18]),FALSE),""),"[hh]:mm"))</f>
        <v>#N/A</v>
      </c>
      <c r="AS8" s="284" t="e">
        <f>IF(VLOOKUP(T_Convention[[#This Row],[NumL]],T_TraitDi[#Data],COLUMN(T_TraitDi[Colonne19]),FALSE)=0,"",TEXT(IFERROR(VLOOKUP(T_Convention[[#This Row],[NumL]],T_TraitDi[#Data],COLUMN(T_TraitDi[Colonne19]),FALSE),""),"[hh]:mm"))</f>
        <v>#N/A</v>
      </c>
      <c r="AT8" s="284" t="e">
        <f>IF(VLOOKUP(T_Convention[[#This Row],[NumL]],T_TraitDi[#Data],COLUMN(T_TraitDi[Colonne20]),FALSE)=0,"",TEXT(IFERROR(VLOOKUP(T_Convention[[#This Row],[NumL]],T_TraitDi[#Data],COLUMN(T_TraitDi[Colonne20]),FALSE),""),"[hh]:mm"))</f>
        <v>#N/A</v>
      </c>
      <c r="AU8" s="284" t="str">
        <f>IFERROR(VLOOKUP(T_Convention[[#This Row],[NumL]],T_TraitDi[#Data],COLUMN(T_TraitDi[Jeudi]),FALSE),"")</f>
        <v/>
      </c>
      <c r="AV8" s="284" t="e">
        <f>IF(VLOOKUP(T_Convention[[#This Row],[NumL]],T_TraitDi[#Data],COLUMN(T_TraitDi[Colonne21]),FALSE)=0,"",TEXT(IFERROR(VLOOKUP(T_Convention[[#This Row],[NumL]],T_TraitDi[#Data],COLUMN(T_TraitDi[Colonne21]),FALSE),""),"[hh]:mm"))</f>
        <v>#N/A</v>
      </c>
      <c r="AW8" s="284" t="e">
        <f>IF(VLOOKUP(T_Convention[[#This Row],[NumL]],T_TraitDi[#Data],COLUMN(T_TraitDi[Colonne22]),FALSE)=0,"",TEXT(IFERROR(VLOOKUP(T_Convention[[#This Row],[NumL]],T_TraitDi[#Data],COLUMN(T_TraitDi[Colonne22]),FALSE),""),"[hh]:mm"))</f>
        <v>#N/A</v>
      </c>
      <c r="AX8" s="284" t="str">
        <f>IFERROR(VLOOKUP(T_Convention[[#This Row],[NumL]],T_TraitDi[#Data],COLUMN(T_TraitDi[Colonne23]),FALSE),"")</f>
        <v/>
      </c>
      <c r="AY8" s="284" t="e">
        <f>IF(VLOOKUP(T_Convention[[#This Row],[NumL]],T_TraitDi[#Data],COLUMN(T_TraitDi[Colonne24]),FALSE)=0,"",TEXT(IFERROR(VLOOKUP(T_Convention[[#This Row],[NumL]],T_TraitDi[#Data],COLUMN(T_TraitDi[Colonne24]),FALSE),""),"[hh]:mm"))</f>
        <v>#N/A</v>
      </c>
      <c r="AZ8" s="284" t="e">
        <f>IF(VLOOKUP(T_Convention[[#This Row],[NumL]],T_TraitDi[#Data],COLUMN(T_TraitDi[Colonne25]),FALSE)=0,"",TEXT(IFERROR(VLOOKUP(T_Convention[[#This Row],[NumL]],T_TraitDi[#Data],COLUMN(T_TraitDi[Colonne25]),FALSE),""),"[hh]:mm"))</f>
        <v>#N/A</v>
      </c>
      <c r="BA8" s="284" t="e">
        <f>IF(VLOOKUP(T_Convention[[#This Row],[NumL]],T_TraitDi[#Data],COLUMN(T_TraitDi[Colonne26]),FALSE)=0,"",TEXT(IFERROR(VLOOKUP(T_Convention[[#This Row],[NumL]],T_TraitDi[#Data],COLUMN(T_TraitDi[Colonne26]),FALSE),""),"[hh]:mm"))</f>
        <v>#N/A</v>
      </c>
      <c r="BB8" s="284" t="str">
        <f>IFERROR(VLOOKUP(T_Convention[[#This Row],[NumL]],T_TraitDi[#Data],COLUMN(T_TraitDi[Vendredi]),FALSE),"")</f>
        <v/>
      </c>
      <c r="BC8" s="284" t="e">
        <f>IF(VLOOKUP(T_Convention[[#This Row],[NumL]],T_TraitDi[#Data],COLUMN(T_TraitDi[Colonne27]),FALSE)=0,"",TEXT(IFERROR(VLOOKUP(T_Convention[[#This Row],[NumL]],T_TraitDi[#Data],COLUMN(T_TraitDi[Colonne27]),FALSE),""),"[hh]:mm"))</f>
        <v>#N/A</v>
      </c>
      <c r="BD8" s="284" t="e">
        <f>IF(VLOOKUP(T_Convention[[#This Row],[NumL]],T_TraitDi[#Data],COLUMN(T_TraitDi[Colonne28]),FALSE)=0,"",TEXT(IFERROR(VLOOKUP(T_Convention[[#This Row],[NumL]],T_TraitDi[#Data],COLUMN(T_TraitDi[Colonne28]),FALSE),""),"[hh]:mm"))</f>
        <v>#N/A</v>
      </c>
      <c r="BE8" s="284" t="str">
        <f>IFERROR(VLOOKUP(T_Convention[[#This Row],[NumL]],T_TraitDi[#Data],COLUMN(T_TraitDi[Colonne29]),FALSE),"")</f>
        <v/>
      </c>
      <c r="BF8" s="284" t="e">
        <f>IF(VLOOKUP(T_Convention[[#This Row],[NumL]],T_TraitDi[#Data],COLUMN(T_TraitDi[Colonne30]),FALSE)=0,"",TEXT(IFERROR(VLOOKUP(T_Convention[[#This Row],[NumL]],T_TraitDi[#Data],COLUMN(T_TraitDi[Colonne30]),FALSE),""),"[hh]:mm"))</f>
        <v>#N/A</v>
      </c>
      <c r="BG8" s="284" t="e">
        <f>IF(VLOOKUP(T_Convention[[#This Row],[NumL]],T_TraitDi[#Data],COLUMN(T_TraitDi[Colonne31]),FALSE)=0,"",TEXT(IFERROR(VLOOKUP(T_Convention[[#This Row],[NumL]],T_TraitDi[#Data],COLUMN(T_TraitDi[Colonne31]),FALSE),""),"[hh]:mm"))</f>
        <v>#N/A</v>
      </c>
      <c r="BH8" s="284" t="e">
        <f>IF(VLOOKUP(T_Convention[[#This Row],[NumL]],T_TraitDi[#Data],COLUMN(T_TraitDi[Colonne32]),FALSE)=0,"",TEXT(IFERROR(VLOOKUP(T_Convention[[#This Row],[NumL]],T_TraitDi[#Data],COLUMN(T_TraitDi[Colonne32]),FALSE),""),"[hh]:mm"))</f>
        <v>#N/A</v>
      </c>
      <c r="BI8" s="284" t="str">
        <f>IFERROR(VLOOKUP(T_Convention[[#This Row],[NumL]],T_TraitDi[#Data],COLUMN(T_TraitDi[NbJTW]),FALSE),"")</f>
        <v/>
      </c>
      <c r="BJ8" s="284" t="e">
        <f>IF(VLOOKUP(T_Convention[[#This Row],[NumL]],T_TraitDi[#Data],COLUMN(T_TraitDi[NbhTW]),FALSE)=0,"",TEXT(IFERROR(VLOOKUP(T_Convention[[#This Row],[NumL]],T_TraitDi[#Data],COLUMN(T_TraitDi[NbhTW]),FALSE),""),"[hh]:mm"))</f>
        <v>#N/A</v>
      </c>
      <c r="BK8" s="286" t="e">
        <f>IF(VLOOKUP(T_Convention[[#This Row],[NumL]],T_TraitDi[#Data],COLUMN(T_TraitDi[Nbhheb]),FALSE)=0,"",TEXT(IFERROR(VLOOKUP(T_Convention[[#This Row],[NumL]],T_TraitDi[#Data],COLUMN(T_TraitDi[Nbhheb]),FALSE),""),"[hh]:mm"))</f>
        <v>#N/A</v>
      </c>
      <c r="BL8" s="287" t="str">
        <f>IFERROR(VLOOKUP(VLOOKUP(T_Convention[[#This Row],[NumL]],T_TraitDi[#Data],COLUMN(T_TraitDi[Type1]),FALSE),TypeTW,2,FALSE),"")</f>
        <v/>
      </c>
      <c r="BM8" s="288" t="str">
        <f>IFERROR(VLOOKUP(T_Convention[[#This Row],[NumL]],T_TraitDi[#Data],COLUMN(T_TraitDi[Rue1]),FALSE),"")</f>
        <v/>
      </c>
      <c r="BN8" s="289" t="str">
        <f>IFERROR(VLOOKUP(T_Convention[[#This Row],[NumL]],T_TraitDi[#Data],COLUMN(T_TraitDi[CP1]),FALSE),"")</f>
        <v/>
      </c>
      <c r="BO8" s="282" t="str">
        <f>IFERROR(VLOOKUP(T_Convention[[#This Row],[NumL]],T_TraitDi[#Data],COLUMN(T_TraitDi[VILLE1]),FALSE),"")</f>
        <v/>
      </c>
      <c r="BP8" s="290" t="str">
        <f>IFERROR(VLOOKUP(VLOOKUP(T_Convention[[#This Row],[NumL]],T_TraitDi[#Data],COLUMN(T_TraitDi[Type2]),FALSE),TypeTW,2,FALSE),"")</f>
        <v/>
      </c>
      <c r="BQ8" s="182" t="str">
        <f>IFERROR(VLOOKUP(T_Convention[[#This Row],[NumL]],T_TraitDi[#Data],COLUMN(T_TraitDi[Rue2]),FALSE),"")</f>
        <v/>
      </c>
      <c r="BR8" s="173" t="str">
        <f>IFERROR(VLOOKUP(T_Convention[[#This Row],[NumL]],T_TraitDi[#Data],COLUMN(T_TraitDi[CP2]),FALSE),"")</f>
        <v/>
      </c>
      <c r="BS8" s="173" t="str">
        <f>IFERROR(VLOOKUP(T_Convention[[#This Row],[NumL]],T_TraitDi[#Data],COLUMN(T_TraitDi[VILLE2]),FALSE),"")</f>
        <v/>
      </c>
      <c r="BT8" s="313" t="str">
        <f>IF(VLOOKUP(T_Convention[[#This Row],[NumL]],T_Equipement[#Data],COLUMN(T_Equipement[PC]),FALSE)="","Aucun équipement spécifique directement lié au télétravail",VLOOKUP(T_Convention[[#This Row],[NumL]],T_Equipement[#Data],COLUMN(T_Equipement[PC]),FALSE))</f>
        <v xml:space="preserve">15-550	</v>
      </c>
      <c r="BU8" s="296" t="str">
        <f>IFERROR(IF(VLOOKUP(T_Convention[[#This Row],[NumL]],T_TraitDi[#Data],COLUMN(T_TraitDi[Plan]),FALSE)="OK","Un planning spécifique de télétravail est annexé à la présente convention.",""),"")</f>
        <v/>
      </c>
      <c r="BV8" s="185" t="s">
        <v>3436</v>
      </c>
      <c r="BW8" s="164" t="e">
        <f>IF(VLOOKUP(T_Convention[[#This Row],[NumL]],T_suiviDi[#Data],COLUMN(T_suiviDi[Entité]),FALSE)="","",VLOOKUP(T_Convention[[#This Row],[NumL]],T_suiviDi[#Data],COLUMN(T_suiviDi[Entité]),FALSE))</f>
        <v>#N/A</v>
      </c>
      <c r="BX8" s="164" t="str">
        <f>IF(VLOOKUP(T_Convention[[#This Row],[NumL]],T_Commission[#Data],COLUMN(T_Commission[envoi confirm TW]),FALSE)="","",VLOOKUP(T_Convention[[#This Row],[NumL]],T_Commission[#Data],COLUMN(T_Commission[envoi confirm TW]),FALSE))</f>
        <v>Oui</v>
      </c>
      <c r="BY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 s="264">
        <f>VLOOKUP(T_Convention[[#This Row],[NumL]],T_Commission[#Data],COLUMN(T_Commission[Commentaire]),FALSE)</f>
        <v>0</v>
      </c>
      <c r="CA8" s="254" t="str">
        <f>IF(VLOOKUP(T_Convention[[#This Row],[NumL]],T_Commission[#Data],COLUMN(T_Commission[Encadrant Email]),FALSE)="","",VLOOKUP(T_Convention[[#This Row],[NumL]],T_Commission[#Data],COLUMN(T_Commission[Encadrant Email]),FALSE))</f>
        <v/>
      </c>
      <c r="CB8" s="352" t="e">
        <f>VLOOKUP(T_Convention[[#This Row],[NumL]],T_TraitDi[#Data],COLUMN(T_TraitDi[NbJTot]),FALSE)</f>
        <v>#N/A</v>
      </c>
      <c r="CC8" s="352" t="e">
        <f>VLOOKUP(T_Convention[[#This Row],[NumL]],T_TraitDi[#Data],COLUMN(T_TraitDi[Reg Ponct]),FALSE)</f>
        <v>#N/A</v>
      </c>
      <c r="CD8" s="348" t="str">
        <f>IF(T_Convention[[#This Row],[Final]]&lt;&gt;"",VLOOKUP(T_Convention[[#This Row],[NumL]],T_suiviDi[#Data],COLUMN((T_suiviDi[Statut])),FALSE),"")</f>
        <v/>
      </c>
    </row>
    <row r="9" spans="1:82" s="106" customFormat="1" ht="18.75" customHeight="1" x14ac:dyDescent="0.25">
      <c r="A9" s="90">
        <v>213</v>
      </c>
      <c r="B9" s="161" t="str">
        <f>VLOOKUP(T_Convention[[#This Row],[NumL]],T_Commission[#Data],COLUMN(T_Commission[FINAL]),FALSE)</f>
        <v/>
      </c>
      <c r="C9" s="309"/>
      <c r="D9" s="95" t="e">
        <f>IF(VLOOKUP(T_Convention[[#This Row],[NumL]],T_TraitDi[#Data],COLUMN(T_TraitDi[WebC]),FALSE)="","",VLOOKUP(T_Convention[[#This Row],[NumL]],T_TraitDi[#Data],COLUMN(T_TraitDi[WebC]),FALSE))</f>
        <v>#N/A</v>
      </c>
      <c r="E9" s="95" t="str">
        <f t="shared" si="0"/>
        <v>12 janvier 2021</v>
      </c>
      <c r="F9" s="282" t="str">
        <f>IF(T_Convention[[#This Row],[Final]]&lt;&gt;"",VLOOKUP(T_Convention[[#This Row],[NumL]],T_suiviDi[#Data],COLUMN((T_suiviDi[Civ.])),FALSE),"")</f>
        <v/>
      </c>
      <c r="G9" s="283" t="str">
        <f>IF(T_Convention[[#This Row],[Final]]&lt;&gt;"",VLOOKUP(T_Convention[[#This Row],[NumL]],T_suiviDi[#Data],COLUMN((T_suiviDi[Nom])),FALSE),"")</f>
        <v/>
      </c>
      <c r="H9" s="282" t="str">
        <f>IF(T_Convention[[#This Row],[Final]]&lt;&gt;"",VLOOKUP(T_Convention[[#This Row],[NumL]],T_suiviDi[#Data],COLUMN((T_suiviDi[Prénom])),FALSE),"")</f>
        <v/>
      </c>
      <c r="I9" s="282" t="e">
        <f>VLOOKUP(T_Convention[[#This Row],[NumL]],T_suiviDi[#Data],COLUMN((T_suiviDi[[#This Row],[Email]])),FALSE)</f>
        <v>#N/A</v>
      </c>
      <c r="J9" s="282" t="e">
        <f>IF(VLOOKUP(T_Convention[[#This Row],[NumL]],T_suiviDi[#Data],COLUMN(T_suiviDi[[#This Row],[Fonction]]),FALSE)="","",VLOOKUP(T_Convention[[#This Row],[NumL]],T_suiviDi[#Data],COLUMN(T_suiviDi[[#This Row],[Fonction]]),FALSE))</f>
        <v>#N/A</v>
      </c>
      <c r="K9" s="282" t="e">
        <f>IF(VLOOKUP(T_Convention[[#This Row],[NumL]],T_suiviDi[#Data],COLUMN(T_suiviDi[[#This Row],[Grade]]),FALSE)="","",VLOOKUP(T_Convention[[#This Row],[NumL]],T_suiviDi[#Data],COLUMN(T_suiviDi[[#This Row],[Grade]]),FALSE))</f>
        <v>#N/A</v>
      </c>
      <c r="L9" s="282" t="e">
        <f>IF(VLOOKUP(T_Convention[[#This Row],[NumL]],T_suiviDi[#Data],COLUMN(T_suiviDi[[#This Row],[Service ]]),FALSE)="","",VLOOKUP(T_Convention[[#This Row],[NumL]],T_suiviDi[#Data],COLUMN(T_suiviDi[[#This Row],[Service ]]),FALSE))</f>
        <v>#N/A</v>
      </c>
      <c r="M9" s="96" t="str">
        <f t="shared" si="1"/>
        <v>01 septembre 2021</v>
      </c>
      <c r="N9" s="96" t="str">
        <f t="shared" si="2"/>
        <v>30 novembre 2021</v>
      </c>
      <c r="O9" s="284" t="str">
        <f t="shared" si="3"/>
        <v>30 novembre 2021</v>
      </c>
      <c r="P9" s="282" t="e">
        <f>IF(VLOOKUP(T_Convention[[#This Row],[NumL]],T_TraitDi[#Data],COLUMN(T_TraitDi[M1]),FALSE)="","",VLOOKUP(T_Convention[[#This Row],[NumL]],T_TraitDi[#Data],COLUMN(T_TraitDi[M1]),FALSE))</f>
        <v>#N/A</v>
      </c>
      <c r="Q9" s="282" t="e">
        <f>IF(VLOOKUP(T_Convention[[#This Row],[NumL]],T_TraitDi[#Data],COLUMN(T_TraitDi[M2]),FALSE)="","",VLOOKUP(T_Convention[[#This Row],[NumL]],T_TraitDi[#Data],COLUMN(T_TraitDi[M2]),FALSE))</f>
        <v>#N/A</v>
      </c>
      <c r="R9" s="282" t="e">
        <f>IF(VLOOKUP(T_Convention[[#This Row],[NumL]],T_TraitDi[#Data],COLUMN(T_TraitDi[M3]),FALSE)="","",VLOOKUP(T_Convention[[#This Row],[NumL]],T_TraitDi[#Data],COLUMN(T_TraitDi[M3]),FALSE))</f>
        <v>#N/A</v>
      </c>
      <c r="S9" s="282" t="e">
        <f>IF(VLOOKUP(T_Convention[[#This Row],[NumL]],T_TraitDi[#Data],COLUMN(T_TraitDi[M4]),FALSE)="","",VLOOKUP(T_Convention[[#This Row],[NumL]],T_TraitDi[#Data],COLUMN(T_TraitDi[M4]),FALSE))</f>
        <v>#N/A</v>
      </c>
      <c r="T9" s="282" t="e">
        <f>IF(VLOOKUP(T_Convention[[#This Row],[NumL]],T_TraitDi[#Data],COLUMN(T_TraitDi[M5]),FALSE)="","",VLOOKUP(T_Convention[[#This Row],[NumL]],T_TraitDi[#Data],COLUMN(T_TraitDi[M5]),FALSE))</f>
        <v>#N/A</v>
      </c>
      <c r="U9" s="282" t="e">
        <f>IF(VLOOKUP(T_Convention[[#This Row],[NumL]],T_TraitDi[#Data],COLUMN(T_TraitDi[M6]),FALSE)="","",VLOOKUP(T_Convention[[#This Row],[NumL]],T_TraitDi[#Data],COLUMN(T_TraitDi[M6]),FALSE))</f>
        <v>#N/A</v>
      </c>
      <c r="V9" s="312" t="e">
        <f t="shared" si="4"/>
        <v>#N/A</v>
      </c>
      <c r="W9" s="284" t="str">
        <f>IFERROR(TEXT(VLOOKUP(T_Convention[[#This Row],[NumL]],T_TraitDi[#Data],COLUMN(T_TraitDi[Q2]),FALSE),"###%"),"")</f>
        <v/>
      </c>
      <c r="X9" s="97" t="e">
        <f>VLOOKUP(T_Convention[[#This Row],[NumL]],T_TraitDi[#Data],COLUMN(T_TraitDi[Reg Ponct]),FALSE)</f>
        <v>#N/A</v>
      </c>
      <c r="Y9" s="97" t="e">
        <f>VLOOKUP(T_Convention[NumL],T_TraitDi[#Data],COLUMN(T_TraitDi[Jours flottants]),FALSE)</f>
        <v>#N/A</v>
      </c>
      <c r="Z9" s="284" t="str">
        <f>IFERROR(VLOOKUP(T_Convention[[#This Row],[NumL]],T_TraitDi[#Data],COLUMN(T_TraitDi[Lundi]),FALSE),"")</f>
        <v/>
      </c>
      <c r="AA9" s="284" t="e">
        <f>IF(VLOOKUP(T_Convention[[#This Row],[NumL]],T_TraitDi[#Data],COLUMN(T_TraitDi[Colonne3]),FALSE)=0,"",TEXT(IFERROR(VLOOKUP(T_Convention[[#This Row],[NumL]],T_TraitDi[#Data],COLUMN(T_TraitDi[Colonne3]),FALSE),""),"[hh]:mm"))</f>
        <v>#N/A</v>
      </c>
      <c r="AB9" s="284" t="e">
        <f>IF(VLOOKUP(T_Convention[[#This Row],[NumL]],T_TraitDi[#Data],COLUMN(T_TraitDi[Colonne4]),FALSE)=0,"",TEXT(IFERROR(VLOOKUP(T_Convention[[#This Row],[NumL]],T_TraitDi[#Data],COLUMN(T_TraitDi[Colonne4]),FALSE),""),"[hh]:mm"))</f>
        <v>#N/A</v>
      </c>
      <c r="AC9" s="284" t="e">
        <f>IF(VLOOKUP(T_Convention[[#This Row],[NumL]],T_TraitDi[#Data],COLUMN(T_TraitDi[Colonne5]),FALSE)=0,"",TEXT(IFERROR(VLOOKUP(T_Convention[[#This Row],[NumL]],T_TraitDi[#Data],COLUMN(T_TraitDi[Colonne5]),FALSE),""),"[hh]:mm"))</f>
        <v>#N/A</v>
      </c>
      <c r="AD9" s="284" t="e">
        <f>IF(VLOOKUP(T_Convention[[#This Row],[NumL]],T_TraitDi[#Data],COLUMN(T_TraitDi[Colonne6]),FALSE)=0,"",TEXT(IFERROR(VLOOKUP(T_Convention[[#This Row],[NumL]],T_TraitDi[#Data],COLUMN(T_TraitDi[Colonne6]),FALSE),""),"[hh]:mm"))</f>
        <v>#N/A</v>
      </c>
      <c r="AE9" s="284" t="e">
        <f>IF(VLOOKUP(T_Convention[[#This Row],[NumL]],T_TraitDi[#Data],COLUMN(T_TraitDi[Colonne7]),FALSE)=0,"",TEXT(IFERROR(VLOOKUP(T_Convention[[#This Row],[NumL]],T_TraitDi[#Data],COLUMN(T_TraitDi[Colonne7]),FALSE),""),"[hh]:mm"))</f>
        <v>#N/A</v>
      </c>
      <c r="AF9" s="284" t="e">
        <f>IF(VLOOKUP(T_Convention[[#This Row],[NumL]],T_TraitDi[#Data],COLUMN(T_TraitDi[Colonne8]),FALSE)=0,"",TEXT(IFERROR(VLOOKUP(T_Convention[[#This Row],[NumL]],T_TraitDi[#Data],COLUMN(T_TraitDi[Colonne8]),FALSE),""),"[hh]:mm"))</f>
        <v>#N/A</v>
      </c>
      <c r="AG9" s="284" t="str">
        <f>IFERROR(VLOOKUP(T_Convention[[#This Row],[NumL]],T_TraitDi[#Data],COLUMN(T_TraitDi[Mardi]),FALSE),"")</f>
        <v/>
      </c>
      <c r="AH9" s="284" t="e">
        <f>IF(VLOOKUP(T_Convention[[#This Row],[NumL]],T_TraitDi[#Data],COLUMN(T_TraitDi[Colonne1]),FALSE)=0,"",TEXT(IFERROR(VLOOKUP(T_Convention[[#This Row],[NumL]],T_TraitDi[#Data],COLUMN(T_TraitDi[Colonne1]),FALSE),""),"[hh]:mm"))</f>
        <v>#N/A</v>
      </c>
      <c r="AI9" s="284" t="e">
        <f>IF(VLOOKUP(T_Convention[[#This Row],[NumL]],T_TraitDi[#Data],COLUMN(T_TraitDi[Colonne9]),FALSE)=0,"",TEXT(IFERROR(VLOOKUP(T_Convention[[#This Row],[NumL]],T_TraitDi[#Data],COLUMN(T_TraitDi[Colonne9]),FALSE),""),"[hh]:mm"))</f>
        <v>#N/A</v>
      </c>
      <c r="AJ9" s="284" t="str">
        <f>IFERROR(VLOOKUP(T_Convention[[#This Row],[NumL]],T_TraitDi[#Data],COLUMN(T_TraitDi[Colonne10]),FALSE),"")</f>
        <v/>
      </c>
      <c r="AK9" s="284" t="e">
        <f>IF(VLOOKUP(T_Convention[[#This Row],[NumL]],T_TraitDi[#Data],COLUMN(T_TraitDi[Colonne11]),FALSE)=0,"",TEXT(IFERROR(VLOOKUP(T_Convention[[#This Row],[NumL]],T_TraitDi[#Data],COLUMN(T_TraitDi[Colonne11]),FALSE),""),"[hh]:mm"))</f>
        <v>#N/A</v>
      </c>
      <c r="AL9" s="284" t="e">
        <f>IF(VLOOKUP(T_Convention[[#This Row],[NumL]],T_TraitDi[#Data],COLUMN(T_TraitDi[Colonne12]),FALSE)=0,"",TEXT(IFERROR(VLOOKUP(T_Convention[[#This Row],[NumL]],T_TraitDi[#Data],COLUMN(T_TraitDi[Colonne12]),FALSE),""),"[hh]:mm"))</f>
        <v>#N/A</v>
      </c>
      <c r="AM9" s="284" t="e">
        <f>IF(VLOOKUP(T_Convention[[#This Row],[NumL]],T_TraitDi[#Data],COLUMN(T_TraitDi[Colonne14]),FALSE)=0,"",TEXT(IFERROR(VLOOKUP(T_Convention[[#This Row],[NumL]],T_TraitDi[#Data],COLUMN(T_TraitDi[Colonne14]),FALSE),""),"[hh]:mm"))</f>
        <v>#N/A</v>
      </c>
      <c r="AN9" s="284" t="str">
        <f>IFERROR(VLOOKUP(T_Convention[[#This Row],[NumL]],T_TraitDi[#Data],COLUMN(T_TraitDi[Mercredi]),FALSE),"")</f>
        <v/>
      </c>
      <c r="AO9" s="284" t="e">
        <f>IF(VLOOKUP(T_Convention[[#This Row],[NumL]],T_TraitDi[#Data],COLUMN(T_TraitDi[Colonne15]),FALSE)=0,"",TEXT(IFERROR(VLOOKUP(T_Convention[[#This Row],[NumL]],T_TraitDi[#Data],COLUMN(T_TraitDi[Colonne15]),FALSE),""),"[hh]:mm"))</f>
        <v>#N/A</v>
      </c>
      <c r="AP9" s="284" t="e">
        <f>IF(VLOOKUP(T_Convention[[#This Row],[NumL]],T_TraitDi[#Data],COLUMN(T_TraitDi[Colonne16]),FALSE)=0,"",TEXT(IFERROR(VLOOKUP(T_Convention[[#This Row],[NumL]],T_TraitDi[#Data],COLUMN(T_TraitDi[Colonne16]),FALSE),""),"[hh]:mm"))</f>
        <v>#N/A</v>
      </c>
      <c r="AQ9" s="284" t="str">
        <f>IFERROR(VLOOKUP(T_Convention[[#This Row],[NumL]],T_TraitDi[#Data],COLUMN(T_TraitDi[Colonne17]),FALSE),"")</f>
        <v/>
      </c>
      <c r="AR9" s="284" t="e">
        <f>IF(VLOOKUP(T_Convention[[#This Row],[NumL]],T_TraitDi[#Data],COLUMN(T_TraitDi[Colonne18]),FALSE)=0,"",TEXT(IFERROR(VLOOKUP(T_Convention[[#This Row],[NumL]],T_TraitDi[#Data],COLUMN(T_TraitDi[Colonne18]),FALSE),""),"[hh]:mm"))</f>
        <v>#N/A</v>
      </c>
      <c r="AS9" s="284" t="e">
        <f>IF(VLOOKUP(T_Convention[[#This Row],[NumL]],T_TraitDi[#Data],COLUMN(T_TraitDi[Colonne19]),FALSE)=0,"",TEXT(IFERROR(VLOOKUP(T_Convention[[#This Row],[NumL]],T_TraitDi[#Data],COLUMN(T_TraitDi[Colonne19]),FALSE),""),"[hh]:mm"))</f>
        <v>#N/A</v>
      </c>
      <c r="AT9" s="284" t="e">
        <f>IF(VLOOKUP(T_Convention[[#This Row],[NumL]],T_TraitDi[#Data],COLUMN(T_TraitDi[Colonne20]),FALSE)=0,"",TEXT(IFERROR(VLOOKUP(T_Convention[[#This Row],[NumL]],T_TraitDi[#Data],COLUMN(T_TraitDi[Colonne20]),FALSE),""),"[hh]:mm"))</f>
        <v>#N/A</v>
      </c>
      <c r="AU9" s="284" t="str">
        <f>IFERROR(VLOOKUP(T_Convention[[#This Row],[NumL]],T_TraitDi[#Data],COLUMN(T_TraitDi[Jeudi]),FALSE),"")</f>
        <v/>
      </c>
      <c r="AV9" s="284" t="e">
        <f>IF(VLOOKUP(T_Convention[[#This Row],[NumL]],T_TraitDi[#Data],COLUMN(T_TraitDi[Colonne21]),FALSE)=0,"",TEXT(IFERROR(VLOOKUP(T_Convention[[#This Row],[NumL]],T_TraitDi[#Data],COLUMN(T_TraitDi[Colonne21]),FALSE),""),"[hh]:mm"))</f>
        <v>#N/A</v>
      </c>
      <c r="AW9" s="284" t="e">
        <f>IF(VLOOKUP(T_Convention[[#This Row],[NumL]],T_TraitDi[#Data],COLUMN(T_TraitDi[Colonne22]),FALSE)=0,"",TEXT(IFERROR(VLOOKUP(T_Convention[[#This Row],[NumL]],T_TraitDi[#Data],COLUMN(T_TraitDi[Colonne22]),FALSE),""),"[hh]:mm"))</f>
        <v>#N/A</v>
      </c>
      <c r="AX9" s="284" t="str">
        <f>IFERROR(VLOOKUP(T_Convention[[#This Row],[NumL]],T_TraitDi[#Data],COLUMN(T_TraitDi[Colonne23]),FALSE),"")</f>
        <v/>
      </c>
      <c r="AY9" s="284" t="e">
        <f>IF(VLOOKUP(T_Convention[[#This Row],[NumL]],T_TraitDi[#Data],COLUMN(T_TraitDi[Colonne24]),FALSE)=0,"",TEXT(IFERROR(VLOOKUP(T_Convention[[#This Row],[NumL]],T_TraitDi[#Data],COLUMN(T_TraitDi[Colonne24]),FALSE),""),"[hh]:mm"))</f>
        <v>#N/A</v>
      </c>
      <c r="AZ9" s="284" t="e">
        <f>IF(VLOOKUP(T_Convention[[#This Row],[NumL]],T_TraitDi[#Data],COLUMN(T_TraitDi[Colonne25]),FALSE)=0,"",TEXT(IFERROR(VLOOKUP(T_Convention[[#This Row],[NumL]],T_TraitDi[#Data],COLUMN(T_TraitDi[Colonne25]),FALSE),""),"[hh]:mm"))</f>
        <v>#N/A</v>
      </c>
      <c r="BA9" s="284" t="e">
        <f>IF(VLOOKUP(T_Convention[[#This Row],[NumL]],T_TraitDi[#Data],COLUMN(T_TraitDi[Colonne26]),FALSE)=0,"",TEXT(IFERROR(VLOOKUP(T_Convention[[#This Row],[NumL]],T_TraitDi[#Data],COLUMN(T_TraitDi[Colonne26]),FALSE),""),"[hh]:mm"))</f>
        <v>#N/A</v>
      </c>
      <c r="BB9" s="284" t="str">
        <f>IFERROR(VLOOKUP(T_Convention[[#This Row],[NumL]],T_TraitDi[#Data],COLUMN(T_TraitDi[Vendredi]),FALSE),"")</f>
        <v/>
      </c>
      <c r="BC9" s="284" t="e">
        <f>IF(VLOOKUP(T_Convention[[#This Row],[NumL]],T_TraitDi[#Data],COLUMN(T_TraitDi[Colonne27]),FALSE)=0,"",TEXT(IFERROR(VLOOKUP(T_Convention[[#This Row],[NumL]],T_TraitDi[#Data],COLUMN(T_TraitDi[Colonne27]),FALSE),""),"[hh]:mm"))</f>
        <v>#N/A</v>
      </c>
      <c r="BD9" s="284" t="e">
        <f>IF(VLOOKUP(T_Convention[[#This Row],[NumL]],T_TraitDi[#Data],COLUMN(T_TraitDi[Colonne28]),FALSE)=0,"",TEXT(IFERROR(VLOOKUP(T_Convention[[#This Row],[NumL]],T_TraitDi[#Data],COLUMN(T_TraitDi[Colonne28]),FALSE),""),"[hh]:mm"))</f>
        <v>#N/A</v>
      </c>
      <c r="BE9" s="284" t="str">
        <f>IFERROR(VLOOKUP(T_Convention[[#This Row],[NumL]],T_TraitDi[#Data],COLUMN(T_TraitDi[Colonne29]),FALSE),"")</f>
        <v/>
      </c>
      <c r="BF9" s="284" t="e">
        <f>IF(VLOOKUP(T_Convention[[#This Row],[NumL]],T_TraitDi[#Data],COLUMN(T_TraitDi[Colonne30]),FALSE)=0,"",TEXT(IFERROR(VLOOKUP(T_Convention[[#This Row],[NumL]],T_TraitDi[#Data],COLUMN(T_TraitDi[Colonne30]),FALSE),""),"[hh]:mm"))</f>
        <v>#N/A</v>
      </c>
      <c r="BG9" s="284" t="e">
        <f>IF(VLOOKUP(T_Convention[[#This Row],[NumL]],T_TraitDi[#Data],COLUMN(T_TraitDi[Colonne31]),FALSE)=0,"",TEXT(IFERROR(VLOOKUP(T_Convention[[#This Row],[NumL]],T_TraitDi[#Data],COLUMN(T_TraitDi[Colonne31]),FALSE),""),"[hh]:mm"))</f>
        <v>#N/A</v>
      </c>
      <c r="BH9" s="284" t="e">
        <f>IF(VLOOKUP(T_Convention[[#This Row],[NumL]],T_TraitDi[#Data],COLUMN(T_TraitDi[Colonne32]),FALSE)=0,"",TEXT(IFERROR(VLOOKUP(T_Convention[[#This Row],[NumL]],T_TraitDi[#Data],COLUMN(T_TraitDi[Colonne32]),FALSE),""),"[hh]:mm"))</f>
        <v>#N/A</v>
      </c>
      <c r="BI9" s="284" t="str">
        <f>IFERROR(VLOOKUP(T_Convention[[#This Row],[NumL]],T_TraitDi[#Data],COLUMN(T_TraitDi[NbJTW]),FALSE),"")</f>
        <v/>
      </c>
      <c r="BJ9" s="284" t="e">
        <f>IF(VLOOKUP(T_Convention[[#This Row],[NumL]],T_TraitDi[#Data],COLUMN(T_TraitDi[NbhTW]),FALSE)=0,"",TEXT(IFERROR(VLOOKUP(T_Convention[[#This Row],[NumL]],T_TraitDi[#Data],COLUMN(T_TraitDi[NbhTW]),FALSE),""),"[hh]:mm"))</f>
        <v>#N/A</v>
      </c>
      <c r="BK9" s="286" t="e">
        <f>IF(VLOOKUP(T_Convention[[#This Row],[NumL]],T_TraitDi[#Data],COLUMN(T_TraitDi[Nbhheb]),FALSE)=0,"",TEXT(IFERROR(VLOOKUP(T_Convention[[#This Row],[NumL]],T_TraitDi[#Data],COLUMN(T_TraitDi[Nbhheb]),FALSE),""),"[hh]:mm"))</f>
        <v>#N/A</v>
      </c>
      <c r="BL9" s="287" t="str">
        <f>IFERROR(VLOOKUP(VLOOKUP(T_Convention[[#This Row],[NumL]],T_TraitDi[#Data],COLUMN(T_TraitDi[Type1]),FALSE),TypeTW,2,FALSE),"")</f>
        <v/>
      </c>
      <c r="BM9" s="288" t="str">
        <f>IFERROR(VLOOKUP(T_Convention[[#This Row],[NumL]],T_TraitDi[#Data],COLUMN(T_TraitDi[Rue1]),FALSE),"")</f>
        <v/>
      </c>
      <c r="BN9" s="289" t="str">
        <f>IFERROR(VLOOKUP(T_Convention[[#This Row],[NumL]],T_TraitDi[#Data],COLUMN(T_TraitDi[CP1]),FALSE),"")</f>
        <v/>
      </c>
      <c r="BO9" s="282" t="str">
        <f>IFERROR(VLOOKUP(T_Convention[[#This Row],[NumL]],T_TraitDi[#Data],COLUMN(T_TraitDi[VILLE1]),FALSE),"")</f>
        <v/>
      </c>
      <c r="BP9" s="290" t="str">
        <f>IFERROR(VLOOKUP(VLOOKUP(T_Convention[[#This Row],[NumL]],T_TraitDi[#Data],COLUMN(T_TraitDi[Type2]),FALSE),TypeTW,2,FALSE),"")</f>
        <v/>
      </c>
      <c r="BQ9" s="182" t="str">
        <f>IFERROR(VLOOKUP(T_Convention[[#This Row],[NumL]],T_TraitDi[#Data],COLUMN(T_TraitDi[Rue2]),FALSE),"")</f>
        <v/>
      </c>
      <c r="BR9" s="173" t="str">
        <f>IFERROR(VLOOKUP(T_Convention[[#This Row],[NumL]],T_TraitDi[#Data],COLUMN(T_TraitDi[CP2]),FALSE),"")</f>
        <v/>
      </c>
      <c r="BS9" s="173" t="str">
        <f>IFERROR(VLOOKUP(T_Convention[[#This Row],[NumL]],T_TraitDi[#Data],COLUMN(T_TraitDi[VILLE2]),FALSE),"")</f>
        <v/>
      </c>
      <c r="BT9" s="313" t="str">
        <f>IF(VLOOKUP(T_Convention[[#This Row],[NumL]],T_Equipement[#Data],COLUMN(T_Equipement[PC]),FALSE)="","Aucun équipement spécifique directement lié au télétravail",VLOOKUP(T_Convention[[#This Row],[NumL]],T_Equipement[#Data],COLUMN(T_Equipement[PC]),FALSE))</f>
        <v>SCD2014MANU13</v>
      </c>
      <c r="BU9" s="296" t="str">
        <f>IFERROR(IF(VLOOKUP(T_Convention[[#This Row],[NumL]],T_TraitDi[#Data],COLUMN(T_TraitDi[Plan]),FALSE)="OK","Un planning spécifique de télétravail est annexé à la présente convention.",""),"")</f>
        <v/>
      </c>
      <c r="BV9" s="185" t="s">
        <v>3308</v>
      </c>
      <c r="BW9" s="164" t="e">
        <f>IF(VLOOKUP(T_Convention[[#This Row],[NumL]],T_suiviDi[#Data],COLUMN(T_suiviDi[Entité]),FALSE)="","",VLOOKUP(T_Convention[[#This Row],[NumL]],T_suiviDi[#Data],COLUMN(T_suiviDi[Entité]),FALSE))</f>
        <v>#N/A</v>
      </c>
      <c r="BX9" s="164" t="str">
        <f>IF(VLOOKUP(T_Convention[[#This Row],[NumL]],T_Commission[#Data],COLUMN(T_Commission[envoi confirm TW]),FALSE)="","",VLOOKUP(T_Convention[[#This Row],[NumL]],T_Commission[#Data],COLUMN(T_Commission[envoi confirm TW]),FALSE))</f>
        <v>Oui</v>
      </c>
      <c r="BY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 s="264">
        <f>VLOOKUP(T_Convention[[#This Row],[NumL]],T_Commission[#Data],COLUMN(T_Commission[Commentaire]),FALSE)</f>
        <v>0</v>
      </c>
      <c r="CA9" s="254" t="str">
        <f>IF(VLOOKUP(T_Convention[[#This Row],[NumL]],T_Commission[#Data],COLUMN(T_Commission[Encadrant Email]),FALSE)="","",VLOOKUP(T_Convention[[#This Row],[NumL]],T_Commission[#Data],COLUMN(T_Commission[Encadrant Email]),FALSE))</f>
        <v/>
      </c>
      <c r="CB9" s="352" t="e">
        <f>VLOOKUP(T_Convention[[#This Row],[NumL]],T_TraitDi[#Data],COLUMN(T_TraitDi[NbJTot]),FALSE)</f>
        <v>#N/A</v>
      </c>
      <c r="CC9" s="352" t="e">
        <f>VLOOKUP(T_Convention[[#This Row],[NumL]],T_TraitDi[#Data],COLUMN(T_TraitDi[Reg Ponct]),FALSE)</f>
        <v>#N/A</v>
      </c>
      <c r="CD9" s="348" t="str">
        <f>IF(T_Convention[[#This Row],[Final]]&lt;&gt;"",VLOOKUP(T_Convention[[#This Row],[NumL]],T_suiviDi[#Data],COLUMN((T_suiviDi[Statut])),FALSE),"")</f>
        <v/>
      </c>
    </row>
    <row r="10" spans="1:82" s="106" customFormat="1" ht="18.75" customHeight="1" x14ac:dyDescent="0.25">
      <c r="A10" s="90">
        <v>140</v>
      </c>
      <c r="B10" s="161" t="str">
        <f>VLOOKUP(T_Convention[[#This Row],[NumL]],T_Commission[#Data],COLUMN(T_Commission[FINAL]),FALSE)</f>
        <v/>
      </c>
      <c r="C10" s="309"/>
      <c r="D10" s="95" t="e">
        <f>IF(VLOOKUP(T_Convention[[#This Row],[NumL]],T_TraitDi[#Data],COLUMN(T_TraitDi[WebC]),FALSE)="","",VLOOKUP(T_Convention[[#This Row],[NumL]],T_TraitDi[#Data],COLUMN(T_TraitDi[WebC]),FALSE))</f>
        <v>#N/A</v>
      </c>
      <c r="E10" s="95" t="str">
        <f t="shared" si="0"/>
        <v>12 janvier 2021</v>
      </c>
      <c r="F10" s="282" t="str">
        <f>IF(T_Convention[[#This Row],[Final]]&lt;&gt;"",VLOOKUP(T_Convention[[#This Row],[NumL]],T_suiviDi[#Data],COLUMN((T_suiviDi[Civ.])),FALSE),"")</f>
        <v/>
      </c>
      <c r="G10" s="283" t="str">
        <f>IF(T_Convention[[#This Row],[Final]]&lt;&gt;"",VLOOKUP(T_Convention[[#This Row],[NumL]],T_suiviDi[#Data],COLUMN((T_suiviDi[Nom])),FALSE),"")</f>
        <v/>
      </c>
      <c r="H10" s="282" t="str">
        <f>IF(T_Convention[[#This Row],[Final]]&lt;&gt;"",VLOOKUP(T_Convention[[#This Row],[NumL]],T_suiviDi[#Data],COLUMN((T_suiviDi[Prénom])),FALSE),"")</f>
        <v/>
      </c>
      <c r="I10" s="282" t="e">
        <f>VLOOKUP(T_Convention[[#This Row],[NumL]],T_suiviDi[#Data],COLUMN((T_suiviDi[[#This Row],[Email]])),FALSE)</f>
        <v>#N/A</v>
      </c>
      <c r="J10" s="282" t="e">
        <f>IF(VLOOKUP(T_Convention[[#This Row],[NumL]],T_suiviDi[#Data],COLUMN(T_suiviDi[[#This Row],[Fonction]]),FALSE)="","",VLOOKUP(T_Convention[[#This Row],[NumL]],T_suiviDi[#Data],COLUMN(T_suiviDi[[#This Row],[Fonction]]),FALSE))</f>
        <v>#N/A</v>
      </c>
      <c r="K10" s="282" t="e">
        <f>IF(VLOOKUP(T_Convention[[#This Row],[NumL]],T_suiviDi[#Data],COLUMN(T_suiviDi[[#This Row],[Grade]]),FALSE)="","",VLOOKUP(T_Convention[[#This Row],[NumL]],T_suiviDi[#Data],COLUMN(T_suiviDi[[#This Row],[Grade]]),FALSE))</f>
        <v>#N/A</v>
      </c>
      <c r="L10" s="282" t="e">
        <f>IF(VLOOKUP(T_Convention[[#This Row],[NumL]],T_suiviDi[#Data],COLUMN(T_suiviDi[[#This Row],[Service ]]),FALSE)="","",VLOOKUP(T_Convention[[#This Row],[NumL]],T_suiviDi[#Data],COLUMN(T_suiviDi[[#This Row],[Service ]]),FALSE))</f>
        <v>#N/A</v>
      </c>
      <c r="M10" s="96" t="str">
        <f t="shared" si="1"/>
        <v>01 septembre 2021</v>
      </c>
      <c r="N10" s="96" t="str">
        <f t="shared" si="2"/>
        <v>30 novembre 2021</v>
      </c>
      <c r="O10" s="284" t="str">
        <f t="shared" si="3"/>
        <v>30 novembre 2021</v>
      </c>
      <c r="P10" s="282" t="e">
        <f>IF(VLOOKUP(T_Convention[[#This Row],[NumL]],T_TraitDi[#Data],COLUMN(T_TraitDi[M1]),FALSE)="","",VLOOKUP(T_Convention[[#This Row],[NumL]],T_TraitDi[#Data],COLUMN(T_TraitDi[M1]),FALSE))</f>
        <v>#N/A</v>
      </c>
      <c r="Q10" s="282" t="e">
        <f>IF(VLOOKUP(T_Convention[[#This Row],[NumL]],T_TraitDi[#Data],COLUMN(T_TraitDi[M2]),FALSE)="","",VLOOKUP(T_Convention[[#This Row],[NumL]],T_TraitDi[#Data],COLUMN(T_TraitDi[M2]),FALSE))</f>
        <v>#N/A</v>
      </c>
      <c r="R10" s="282" t="e">
        <f>IF(VLOOKUP(T_Convention[[#This Row],[NumL]],T_TraitDi[#Data],COLUMN(T_TraitDi[M3]),FALSE)="","",VLOOKUP(T_Convention[[#This Row],[NumL]],T_TraitDi[#Data],COLUMN(T_TraitDi[M3]),FALSE))</f>
        <v>#N/A</v>
      </c>
      <c r="S10" s="282" t="e">
        <f>IF(VLOOKUP(T_Convention[[#This Row],[NumL]],T_TraitDi[#Data],COLUMN(T_TraitDi[M4]),FALSE)="","",VLOOKUP(T_Convention[[#This Row],[NumL]],T_TraitDi[#Data],COLUMN(T_TraitDi[M4]),FALSE))</f>
        <v>#N/A</v>
      </c>
      <c r="T10" s="282" t="e">
        <f>IF(VLOOKUP(T_Convention[[#This Row],[NumL]],T_TraitDi[#Data],COLUMN(T_TraitDi[M5]),FALSE)="","",VLOOKUP(T_Convention[[#This Row],[NumL]],T_TraitDi[#Data],COLUMN(T_TraitDi[M5]),FALSE))</f>
        <v>#N/A</v>
      </c>
      <c r="U10" s="282" t="e">
        <f>IF(VLOOKUP(T_Convention[[#This Row],[NumL]],T_TraitDi[#Data],COLUMN(T_TraitDi[M6]),FALSE)="","",VLOOKUP(T_Convention[[#This Row],[NumL]],T_TraitDi[#Data],COLUMN(T_TraitDi[M6]),FALSE))</f>
        <v>#N/A</v>
      </c>
      <c r="V10" s="312" t="e">
        <f t="shared" si="4"/>
        <v>#N/A</v>
      </c>
      <c r="W10" s="284" t="str">
        <f>IFERROR(TEXT(VLOOKUP(T_Convention[[#This Row],[NumL]],T_TraitDi[#Data],COLUMN(T_TraitDi[Q2]),FALSE),"###%"),"")</f>
        <v/>
      </c>
      <c r="X10" s="97" t="e">
        <f>VLOOKUP(T_Convention[[#This Row],[NumL]],T_TraitDi[#Data],COLUMN(T_TraitDi[Reg Ponct]),FALSE)</f>
        <v>#N/A</v>
      </c>
      <c r="Y10" s="97" t="e">
        <f>VLOOKUP(T_Convention[NumL],T_TraitDi[#Data],COLUMN(T_TraitDi[Jours flottants]),FALSE)</f>
        <v>#N/A</v>
      </c>
      <c r="Z10" s="284" t="str">
        <f>IFERROR(VLOOKUP(T_Convention[[#This Row],[NumL]],T_TraitDi[#Data],COLUMN(T_TraitDi[Lundi]),FALSE),"")</f>
        <v/>
      </c>
      <c r="AA10" s="284" t="e">
        <f>IF(VLOOKUP(T_Convention[[#This Row],[NumL]],T_TraitDi[#Data],COLUMN(T_TraitDi[Colonne3]),FALSE)=0,"",TEXT(IFERROR(VLOOKUP(T_Convention[[#This Row],[NumL]],T_TraitDi[#Data],COLUMN(T_TraitDi[Colonne3]),FALSE),""),"[hh]:mm"))</f>
        <v>#N/A</v>
      </c>
      <c r="AB10" s="284" t="e">
        <f>IF(VLOOKUP(T_Convention[[#This Row],[NumL]],T_TraitDi[#Data],COLUMN(T_TraitDi[Colonne4]),FALSE)=0,"",TEXT(IFERROR(VLOOKUP(T_Convention[[#This Row],[NumL]],T_TraitDi[#Data],COLUMN(T_TraitDi[Colonne4]),FALSE),""),"[hh]:mm"))</f>
        <v>#N/A</v>
      </c>
      <c r="AC10" s="284" t="e">
        <f>IF(VLOOKUP(T_Convention[[#This Row],[NumL]],T_TraitDi[#Data],COLUMN(T_TraitDi[Colonne5]),FALSE)=0,"",TEXT(IFERROR(VLOOKUP(T_Convention[[#This Row],[NumL]],T_TraitDi[#Data],COLUMN(T_TraitDi[Colonne5]),FALSE),""),"[hh]:mm"))</f>
        <v>#N/A</v>
      </c>
      <c r="AD10" s="284" t="e">
        <f>IF(VLOOKUP(T_Convention[[#This Row],[NumL]],T_TraitDi[#Data],COLUMN(T_TraitDi[Colonne6]),FALSE)=0,"",TEXT(IFERROR(VLOOKUP(T_Convention[[#This Row],[NumL]],T_TraitDi[#Data],COLUMN(T_TraitDi[Colonne6]),FALSE),""),"[hh]:mm"))</f>
        <v>#N/A</v>
      </c>
      <c r="AE10" s="284" t="e">
        <f>IF(VLOOKUP(T_Convention[[#This Row],[NumL]],T_TraitDi[#Data],COLUMN(T_TraitDi[Colonne7]),FALSE)=0,"",TEXT(IFERROR(VLOOKUP(T_Convention[[#This Row],[NumL]],T_TraitDi[#Data],COLUMN(T_TraitDi[Colonne7]),FALSE),""),"[hh]:mm"))</f>
        <v>#N/A</v>
      </c>
      <c r="AF10" s="284" t="e">
        <f>IF(VLOOKUP(T_Convention[[#This Row],[NumL]],T_TraitDi[#Data],COLUMN(T_TraitDi[Colonne8]),FALSE)=0,"",TEXT(IFERROR(VLOOKUP(T_Convention[[#This Row],[NumL]],T_TraitDi[#Data],COLUMN(T_TraitDi[Colonne8]),FALSE),""),"[hh]:mm"))</f>
        <v>#N/A</v>
      </c>
      <c r="AG10" s="284" t="str">
        <f>IFERROR(VLOOKUP(T_Convention[[#This Row],[NumL]],T_TraitDi[#Data],COLUMN(T_TraitDi[Mardi]),FALSE),"")</f>
        <v/>
      </c>
      <c r="AH10" s="284" t="e">
        <f>IF(VLOOKUP(T_Convention[[#This Row],[NumL]],T_TraitDi[#Data],COLUMN(T_TraitDi[Colonne1]),FALSE)=0,"",TEXT(IFERROR(VLOOKUP(T_Convention[[#This Row],[NumL]],T_TraitDi[#Data],COLUMN(T_TraitDi[Colonne1]),FALSE),""),"[hh]:mm"))</f>
        <v>#N/A</v>
      </c>
      <c r="AI10" s="284" t="e">
        <f>IF(VLOOKUP(T_Convention[[#This Row],[NumL]],T_TraitDi[#Data],COLUMN(T_TraitDi[Colonne9]),FALSE)=0,"",TEXT(IFERROR(VLOOKUP(T_Convention[[#This Row],[NumL]],T_TraitDi[#Data],COLUMN(T_TraitDi[Colonne9]),FALSE),""),"[hh]:mm"))</f>
        <v>#N/A</v>
      </c>
      <c r="AJ10" s="284" t="str">
        <f>IFERROR(VLOOKUP(T_Convention[[#This Row],[NumL]],T_TraitDi[#Data],COLUMN(T_TraitDi[Colonne10]),FALSE),"")</f>
        <v/>
      </c>
      <c r="AK10" s="284" t="e">
        <f>IF(VLOOKUP(T_Convention[[#This Row],[NumL]],T_TraitDi[#Data],COLUMN(T_TraitDi[Colonne11]),FALSE)=0,"",TEXT(IFERROR(VLOOKUP(T_Convention[[#This Row],[NumL]],T_TraitDi[#Data],COLUMN(T_TraitDi[Colonne11]),FALSE),""),"[hh]:mm"))</f>
        <v>#N/A</v>
      </c>
      <c r="AL10" s="284" t="e">
        <f>IF(VLOOKUP(T_Convention[[#This Row],[NumL]],T_TraitDi[#Data],COLUMN(T_TraitDi[Colonne12]),FALSE)=0,"",TEXT(IFERROR(VLOOKUP(T_Convention[[#This Row],[NumL]],T_TraitDi[#Data],COLUMN(T_TraitDi[Colonne12]),FALSE),""),"[hh]:mm"))</f>
        <v>#N/A</v>
      </c>
      <c r="AM10" s="284" t="e">
        <f>IF(VLOOKUP(T_Convention[[#This Row],[NumL]],T_TraitDi[#Data],COLUMN(T_TraitDi[Colonne14]),FALSE)=0,"",TEXT(IFERROR(VLOOKUP(T_Convention[[#This Row],[NumL]],T_TraitDi[#Data],COLUMN(T_TraitDi[Colonne14]),FALSE),""),"[hh]:mm"))</f>
        <v>#N/A</v>
      </c>
      <c r="AN10" s="284" t="str">
        <f>IFERROR(VLOOKUP(T_Convention[[#This Row],[NumL]],T_TraitDi[#Data],COLUMN(T_TraitDi[Mercredi]),FALSE),"")</f>
        <v/>
      </c>
      <c r="AO10" s="284" t="e">
        <f>IF(VLOOKUP(T_Convention[[#This Row],[NumL]],T_TraitDi[#Data],COLUMN(T_TraitDi[Colonne15]),FALSE)=0,"",TEXT(IFERROR(VLOOKUP(T_Convention[[#This Row],[NumL]],T_TraitDi[#Data],COLUMN(T_TraitDi[Colonne15]),FALSE),""),"[hh]:mm"))</f>
        <v>#N/A</v>
      </c>
      <c r="AP10" s="284" t="e">
        <f>IF(VLOOKUP(T_Convention[[#This Row],[NumL]],T_TraitDi[#Data],COLUMN(T_TraitDi[Colonne16]),FALSE)=0,"",TEXT(IFERROR(VLOOKUP(T_Convention[[#This Row],[NumL]],T_TraitDi[#Data],COLUMN(T_TraitDi[Colonne16]),FALSE),""),"[hh]:mm"))</f>
        <v>#N/A</v>
      </c>
      <c r="AQ10" s="284" t="str">
        <f>IFERROR(VLOOKUP(T_Convention[[#This Row],[NumL]],T_TraitDi[#Data],COLUMN(T_TraitDi[Colonne17]),FALSE),"")</f>
        <v/>
      </c>
      <c r="AR10" s="284" t="e">
        <f>IF(VLOOKUP(T_Convention[[#This Row],[NumL]],T_TraitDi[#Data],COLUMN(T_TraitDi[Colonne18]),FALSE)=0,"",TEXT(IFERROR(VLOOKUP(T_Convention[[#This Row],[NumL]],T_TraitDi[#Data],COLUMN(T_TraitDi[Colonne18]),FALSE),""),"[hh]:mm"))</f>
        <v>#N/A</v>
      </c>
      <c r="AS10" s="284" t="e">
        <f>IF(VLOOKUP(T_Convention[[#This Row],[NumL]],T_TraitDi[#Data],COLUMN(T_TraitDi[Colonne19]),FALSE)=0,"",TEXT(IFERROR(VLOOKUP(T_Convention[[#This Row],[NumL]],T_TraitDi[#Data],COLUMN(T_TraitDi[Colonne19]),FALSE),""),"[hh]:mm"))</f>
        <v>#N/A</v>
      </c>
      <c r="AT10" s="284" t="e">
        <f>IF(VLOOKUP(T_Convention[[#This Row],[NumL]],T_TraitDi[#Data],COLUMN(T_TraitDi[Colonne20]),FALSE)=0,"",TEXT(IFERROR(VLOOKUP(T_Convention[[#This Row],[NumL]],T_TraitDi[#Data],COLUMN(T_TraitDi[Colonne20]),FALSE),""),"[hh]:mm"))</f>
        <v>#N/A</v>
      </c>
      <c r="AU10" s="284" t="str">
        <f>IFERROR(VLOOKUP(T_Convention[[#This Row],[NumL]],T_TraitDi[#Data],COLUMN(T_TraitDi[Jeudi]),FALSE),"")</f>
        <v/>
      </c>
      <c r="AV10" s="284" t="e">
        <f>IF(VLOOKUP(T_Convention[[#This Row],[NumL]],T_TraitDi[#Data],COLUMN(T_TraitDi[Colonne21]),FALSE)=0,"",TEXT(IFERROR(VLOOKUP(T_Convention[[#This Row],[NumL]],T_TraitDi[#Data],COLUMN(T_TraitDi[Colonne21]),FALSE),""),"[hh]:mm"))</f>
        <v>#N/A</v>
      </c>
      <c r="AW10" s="284" t="e">
        <f>IF(VLOOKUP(T_Convention[[#This Row],[NumL]],T_TraitDi[#Data],COLUMN(T_TraitDi[Colonne22]),FALSE)=0,"",TEXT(IFERROR(VLOOKUP(T_Convention[[#This Row],[NumL]],T_TraitDi[#Data],COLUMN(T_TraitDi[Colonne22]),FALSE),""),"[hh]:mm"))</f>
        <v>#N/A</v>
      </c>
      <c r="AX10" s="284" t="str">
        <f>IFERROR(VLOOKUP(T_Convention[[#This Row],[NumL]],T_TraitDi[#Data],COLUMN(T_TraitDi[Colonne23]),FALSE),"")</f>
        <v/>
      </c>
      <c r="AY10" s="284" t="e">
        <f>IF(VLOOKUP(T_Convention[[#This Row],[NumL]],T_TraitDi[#Data],COLUMN(T_TraitDi[Colonne24]),FALSE)=0,"",TEXT(IFERROR(VLOOKUP(T_Convention[[#This Row],[NumL]],T_TraitDi[#Data],COLUMN(T_TraitDi[Colonne24]),FALSE),""),"[hh]:mm"))</f>
        <v>#N/A</v>
      </c>
      <c r="AZ10" s="284" t="e">
        <f>IF(VLOOKUP(T_Convention[[#This Row],[NumL]],T_TraitDi[#Data],COLUMN(T_TraitDi[Colonne25]),FALSE)=0,"",TEXT(IFERROR(VLOOKUP(T_Convention[[#This Row],[NumL]],T_TraitDi[#Data],COLUMN(T_TraitDi[Colonne25]),FALSE),""),"[hh]:mm"))</f>
        <v>#N/A</v>
      </c>
      <c r="BA10" s="284" t="e">
        <f>IF(VLOOKUP(T_Convention[[#This Row],[NumL]],T_TraitDi[#Data],COLUMN(T_TraitDi[Colonne26]),FALSE)=0,"",TEXT(IFERROR(VLOOKUP(T_Convention[[#This Row],[NumL]],T_TraitDi[#Data],COLUMN(T_TraitDi[Colonne26]),FALSE),""),"[hh]:mm"))</f>
        <v>#N/A</v>
      </c>
      <c r="BB10" s="284" t="str">
        <f>IFERROR(VLOOKUP(T_Convention[[#This Row],[NumL]],T_TraitDi[#Data],COLUMN(T_TraitDi[Vendredi]),FALSE),"")</f>
        <v/>
      </c>
      <c r="BC10" s="284" t="e">
        <f>IF(VLOOKUP(T_Convention[[#This Row],[NumL]],T_TraitDi[#Data],COLUMN(T_TraitDi[Colonne27]),FALSE)=0,"",TEXT(IFERROR(VLOOKUP(T_Convention[[#This Row],[NumL]],T_TraitDi[#Data],COLUMN(T_TraitDi[Colonne27]),FALSE),""),"[hh]:mm"))</f>
        <v>#N/A</v>
      </c>
      <c r="BD10" s="284" t="e">
        <f>IF(VLOOKUP(T_Convention[[#This Row],[NumL]],T_TraitDi[#Data],COLUMN(T_TraitDi[Colonne28]),FALSE)=0,"",TEXT(IFERROR(VLOOKUP(T_Convention[[#This Row],[NumL]],T_TraitDi[#Data],COLUMN(T_TraitDi[Colonne28]),FALSE),""),"[hh]:mm"))</f>
        <v>#N/A</v>
      </c>
      <c r="BE10" s="284" t="str">
        <f>IFERROR(VLOOKUP(T_Convention[[#This Row],[NumL]],T_TraitDi[#Data],COLUMN(T_TraitDi[Colonne29]),FALSE),"")</f>
        <v/>
      </c>
      <c r="BF10" s="284" t="e">
        <f>IF(VLOOKUP(T_Convention[[#This Row],[NumL]],T_TraitDi[#Data],COLUMN(T_TraitDi[Colonne30]),FALSE)=0,"",TEXT(IFERROR(VLOOKUP(T_Convention[[#This Row],[NumL]],T_TraitDi[#Data],COLUMN(T_TraitDi[Colonne30]),FALSE),""),"[hh]:mm"))</f>
        <v>#N/A</v>
      </c>
      <c r="BG10" s="284" t="e">
        <f>IF(VLOOKUP(T_Convention[[#This Row],[NumL]],T_TraitDi[#Data],COLUMN(T_TraitDi[Colonne31]),FALSE)=0,"",TEXT(IFERROR(VLOOKUP(T_Convention[[#This Row],[NumL]],T_TraitDi[#Data],COLUMN(T_TraitDi[Colonne31]),FALSE),""),"[hh]:mm"))</f>
        <v>#N/A</v>
      </c>
      <c r="BH10" s="284" t="e">
        <f>IF(VLOOKUP(T_Convention[[#This Row],[NumL]],T_TraitDi[#Data],COLUMN(T_TraitDi[Colonne32]),FALSE)=0,"",TEXT(IFERROR(VLOOKUP(T_Convention[[#This Row],[NumL]],T_TraitDi[#Data],COLUMN(T_TraitDi[Colonne32]),FALSE),""),"[hh]:mm"))</f>
        <v>#N/A</v>
      </c>
      <c r="BI10" s="284" t="str">
        <f>IFERROR(VLOOKUP(T_Convention[[#This Row],[NumL]],T_TraitDi[#Data],COLUMN(T_TraitDi[NbJTW]),FALSE),"")</f>
        <v/>
      </c>
      <c r="BJ10" s="284" t="e">
        <f>IF(VLOOKUP(T_Convention[[#This Row],[NumL]],T_TraitDi[#Data],COLUMN(T_TraitDi[NbhTW]),FALSE)=0,"",TEXT(IFERROR(VLOOKUP(T_Convention[[#This Row],[NumL]],T_TraitDi[#Data],COLUMN(T_TraitDi[NbhTW]),FALSE),""),"[hh]:mm"))</f>
        <v>#N/A</v>
      </c>
      <c r="BK10" s="286" t="e">
        <f>IF(VLOOKUP(T_Convention[[#This Row],[NumL]],T_TraitDi[#Data],COLUMN(T_TraitDi[Nbhheb]),FALSE)=0,"",TEXT(IFERROR(VLOOKUP(T_Convention[[#This Row],[NumL]],T_TraitDi[#Data],COLUMN(T_TraitDi[Nbhheb]),FALSE),""),"[hh]:mm"))</f>
        <v>#N/A</v>
      </c>
      <c r="BL10" s="287" t="str">
        <f>IFERROR(VLOOKUP(VLOOKUP(T_Convention[[#This Row],[NumL]],T_TraitDi[#Data],COLUMN(T_TraitDi[Type1]),FALSE),TypeTW,2,FALSE),"")</f>
        <v/>
      </c>
      <c r="BM10" s="288" t="str">
        <f>IFERROR(VLOOKUP(T_Convention[[#This Row],[NumL]],T_TraitDi[#Data],COLUMN(T_TraitDi[Rue1]),FALSE),"")</f>
        <v/>
      </c>
      <c r="BN10" s="289" t="str">
        <f>IFERROR(VLOOKUP(T_Convention[[#This Row],[NumL]],T_TraitDi[#Data],COLUMN(T_TraitDi[CP1]),FALSE),"")</f>
        <v/>
      </c>
      <c r="BO10" s="282" t="str">
        <f>IFERROR(VLOOKUP(T_Convention[[#This Row],[NumL]],T_TraitDi[#Data],COLUMN(T_TraitDi[VILLE1]),FALSE),"")</f>
        <v/>
      </c>
      <c r="BP10" s="290" t="str">
        <f>IFERROR(VLOOKUP(VLOOKUP(T_Convention[[#This Row],[NumL]],T_TraitDi[#Data],COLUMN(T_TraitDi[Type2]),FALSE),TypeTW,2,FALSE),"")</f>
        <v/>
      </c>
      <c r="BQ10" s="182" t="str">
        <f>IFERROR(VLOOKUP(T_Convention[[#This Row],[NumL]],T_TraitDi[#Data],COLUMN(T_TraitDi[Rue2]),FALSE),"")</f>
        <v/>
      </c>
      <c r="BR10" s="173" t="str">
        <f>IFERROR(VLOOKUP(T_Convention[[#This Row],[NumL]],T_TraitDi[#Data],COLUMN(T_TraitDi[CP2]),FALSE),"")</f>
        <v/>
      </c>
      <c r="BS10" s="173" t="str">
        <f>IFERROR(VLOOKUP(T_Convention[[#This Row],[NumL]],T_TraitDi[#Data],COLUMN(T_TraitDi[VILLE2]),FALSE),"")</f>
        <v/>
      </c>
      <c r="BT10" s="313" t="str">
        <f>IF(VLOOKUP(T_Convention[[#This Row],[NumL]],T_Equipement[#Data],COLUMN(T_Equipement[PC]),FALSE)="","Aucun équipement spécifique directement lié au télétravail",VLOOKUP(T_Convention[[#This Row],[NumL]],T_Equipement[#Data],COLUMN(T_Equipement[PC]),FALSE))</f>
        <v xml:space="preserve">20-374	</v>
      </c>
      <c r="BU10" s="296" t="str">
        <f>IFERROR(IF(VLOOKUP(T_Convention[[#This Row],[NumL]],T_TraitDi[#Data],COLUMN(T_TraitDi[Plan]),FALSE)="OK","Un planning spécifique de télétravail est annexé à la présente convention.",""),"")</f>
        <v/>
      </c>
      <c r="BV10" s="185" t="s">
        <v>3528</v>
      </c>
      <c r="BW10" s="164" t="e">
        <f>IF(VLOOKUP(T_Convention[[#This Row],[NumL]],T_suiviDi[#Data],COLUMN(T_suiviDi[Entité]),FALSE)="","",VLOOKUP(T_Convention[[#This Row],[NumL]],T_suiviDi[#Data],COLUMN(T_suiviDi[Entité]),FALSE))</f>
        <v>#N/A</v>
      </c>
      <c r="BX10" s="164" t="str">
        <f>IF(VLOOKUP(T_Convention[[#This Row],[NumL]],T_Commission[#Data],COLUMN(T_Commission[envoi confirm TW]),FALSE)="","",VLOOKUP(T_Convention[[#This Row],[NumL]],T_Commission[#Data],COLUMN(T_Commission[envoi confirm TW]),FALSE))</f>
        <v>Oui</v>
      </c>
      <c r="BY1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 s="264">
        <f>VLOOKUP(T_Convention[[#This Row],[NumL]],T_Commission[#Data],COLUMN(T_Commission[Commentaire]),FALSE)</f>
        <v>0</v>
      </c>
      <c r="CA10" s="254" t="str">
        <f>IF(VLOOKUP(T_Convention[[#This Row],[NumL]],T_Commission[#Data],COLUMN(T_Commission[Encadrant Email]),FALSE)="","",VLOOKUP(T_Convention[[#This Row],[NumL]],T_Commission[#Data],COLUMN(T_Commission[Encadrant Email]),FALSE))</f>
        <v/>
      </c>
      <c r="CB10" s="352" t="e">
        <f>VLOOKUP(T_Convention[[#This Row],[NumL]],T_TraitDi[#Data],COLUMN(T_TraitDi[NbJTot]),FALSE)</f>
        <v>#N/A</v>
      </c>
      <c r="CC10" s="352" t="e">
        <f>VLOOKUP(T_Convention[[#This Row],[NumL]],T_TraitDi[#Data],COLUMN(T_TraitDi[Reg Ponct]),FALSE)</f>
        <v>#N/A</v>
      </c>
      <c r="CD10" s="348" t="str">
        <f>IF(T_Convention[[#This Row],[Final]]&lt;&gt;"",VLOOKUP(T_Convention[[#This Row],[NumL]],T_suiviDi[#Data],COLUMN((T_suiviDi[Statut])),FALSE),"")</f>
        <v/>
      </c>
    </row>
    <row r="11" spans="1:82" s="106" customFormat="1" ht="18.75" customHeight="1" x14ac:dyDescent="0.25">
      <c r="A11" s="90">
        <v>185</v>
      </c>
      <c r="B11" s="161" t="str">
        <f>VLOOKUP(T_Convention[[#This Row],[NumL]],T_Commission[#Data],COLUMN(T_Commission[FINAL]),FALSE)</f>
        <v/>
      </c>
      <c r="C11" s="309"/>
      <c r="D11" s="95" t="e">
        <f>IF(VLOOKUP(T_Convention[[#This Row],[NumL]],T_TraitDi[#Data],COLUMN(T_TraitDi[WebC]),FALSE)="","",VLOOKUP(T_Convention[[#This Row],[NumL]],T_TraitDi[#Data],COLUMN(T_TraitDi[WebC]),FALSE))</f>
        <v>#N/A</v>
      </c>
      <c r="E11" s="95" t="str">
        <f t="shared" si="0"/>
        <v>12 janvier 2021</v>
      </c>
      <c r="F11" s="282" t="str">
        <f>IF(T_Convention[[#This Row],[Final]]&lt;&gt;"",VLOOKUP(T_Convention[[#This Row],[NumL]],T_suiviDi[#Data],COLUMN((T_suiviDi[Civ.])),FALSE),"")</f>
        <v/>
      </c>
      <c r="G11" s="283" t="str">
        <f>IF(T_Convention[[#This Row],[Final]]&lt;&gt;"",VLOOKUP(T_Convention[[#This Row],[NumL]],T_suiviDi[#Data],COLUMN((T_suiviDi[Nom])),FALSE),"")</f>
        <v/>
      </c>
      <c r="H11" s="282" t="str">
        <f>IF(T_Convention[[#This Row],[Final]]&lt;&gt;"",VLOOKUP(T_Convention[[#This Row],[NumL]],T_suiviDi[#Data],COLUMN((T_suiviDi[Prénom])),FALSE),"")</f>
        <v/>
      </c>
      <c r="I11" s="282" t="e">
        <f>VLOOKUP(T_Convention[[#This Row],[NumL]],T_suiviDi[#Data],COLUMN((T_suiviDi[[#This Row],[Email]])),FALSE)</f>
        <v>#N/A</v>
      </c>
      <c r="J11" s="282" t="e">
        <f>IF(VLOOKUP(T_Convention[[#This Row],[NumL]],T_suiviDi[#Data],COLUMN(T_suiviDi[[#This Row],[Fonction]]),FALSE)="","",VLOOKUP(T_Convention[[#This Row],[NumL]],T_suiviDi[#Data],COLUMN(T_suiviDi[[#This Row],[Fonction]]),FALSE))</f>
        <v>#N/A</v>
      </c>
      <c r="K11" s="282" t="e">
        <f>IF(VLOOKUP(T_Convention[[#This Row],[NumL]],T_suiviDi[#Data],COLUMN(T_suiviDi[[#This Row],[Grade]]),FALSE)="","",VLOOKUP(T_Convention[[#This Row],[NumL]],T_suiviDi[#Data],COLUMN(T_suiviDi[[#This Row],[Grade]]),FALSE))</f>
        <v>#N/A</v>
      </c>
      <c r="L11" s="282" t="e">
        <f>IF(VLOOKUP(T_Convention[[#This Row],[NumL]],T_suiviDi[#Data],COLUMN(T_suiviDi[[#This Row],[Service ]]),FALSE)="","",VLOOKUP(T_Convention[[#This Row],[NumL]],T_suiviDi[#Data],COLUMN(T_suiviDi[[#This Row],[Service ]]),FALSE))</f>
        <v>#N/A</v>
      </c>
      <c r="M11" s="96" t="str">
        <f t="shared" si="1"/>
        <v>01 septembre 2021</v>
      </c>
      <c r="N11" s="96" t="str">
        <f t="shared" si="2"/>
        <v>30 novembre 2021</v>
      </c>
      <c r="O11" s="284" t="str">
        <f t="shared" si="3"/>
        <v>30 novembre 2021</v>
      </c>
      <c r="P11" s="282" t="e">
        <f>IF(VLOOKUP(T_Convention[[#This Row],[NumL]],T_TraitDi[#Data],COLUMN(T_TraitDi[M1]),FALSE)="","",VLOOKUP(T_Convention[[#This Row],[NumL]],T_TraitDi[#Data],COLUMN(T_TraitDi[M1]),FALSE))</f>
        <v>#N/A</v>
      </c>
      <c r="Q11" s="282" t="e">
        <f>IF(VLOOKUP(T_Convention[[#This Row],[NumL]],T_TraitDi[#Data],COLUMN(T_TraitDi[M2]),FALSE)="","",VLOOKUP(T_Convention[[#This Row],[NumL]],T_TraitDi[#Data],COLUMN(T_TraitDi[M2]),FALSE))</f>
        <v>#N/A</v>
      </c>
      <c r="R11" s="282" t="e">
        <f>IF(VLOOKUP(T_Convention[[#This Row],[NumL]],T_TraitDi[#Data],COLUMN(T_TraitDi[M3]),FALSE)="","",VLOOKUP(T_Convention[[#This Row],[NumL]],T_TraitDi[#Data],COLUMN(T_TraitDi[M3]),FALSE))</f>
        <v>#N/A</v>
      </c>
      <c r="S11" s="282" t="e">
        <f>IF(VLOOKUP(T_Convention[[#This Row],[NumL]],T_TraitDi[#Data],COLUMN(T_TraitDi[M4]),FALSE)="","",VLOOKUP(T_Convention[[#This Row],[NumL]],T_TraitDi[#Data],COLUMN(T_TraitDi[M4]),FALSE))</f>
        <v>#N/A</v>
      </c>
      <c r="T11" s="282" t="e">
        <f>IF(VLOOKUP(T_Convention[[#This Row],[NumL]],T_TraitDi[#Data],COLUMN(T_TraitDi[M5]),FALSE)="","",VLOOKUP(T_Convention[[#This Row],[NumL]],T_TraitDi[#Data],COLUMN(T_TraitDi[M5]),FALSE))</f>
        <v>#N/A</v>
      </c>
      <c r="U11" s="282" t="e">
        <f>IF(VLOOKUP(T_Convention[[#This Row],[NumL]],T_TraitDi[#Data],COLUMN(T_TraitDi[M6]),FALSE)="","",VLOOKUP(T_Convention[[#This Row],[NumL]],T_TraitDi[#Data],COLUMN(T_TraitDi[M6]),FALSE))</f>
        <v>#N/A</v>
      </c>
      <c r="V11" s="312" t="e">
        <f t="shared" si="4"/>
        <v>#N/A</v>
      </c>
      <c r="W11" s="284" t="str">
        <f>IFERROR(TEXT(VLOOKUP(T_Convention[[#This Row],[NumL]],T_TraitDi[#Data],COLUMN(T_TraitDi[Q2]),FALSE),"###%"),"")</f>
        <v/>
      </c>
      <c r="X11" s="97" t="e">
        <f>VLOOKUP(T_Convention[[#This Row],[NumL]],T_TraitDi[#Data],COLUMN(T_TraitDi[Reg Ponct]),FALSE)</f>
        <v>#N/A</v>
      </c>
      <c r="Y11" s="97" t="e">
        <f>VLOOKUP(T_Convention[NumL],T_TraitDi[#Data],COLUMN(T_TraitDi[Jours flottants]),FALSE)</f>
        <v>#N/A</v>
      </c>
      <c r="Z11" s="284" t="str">
        <f>IFERROR(VLOOKUP(T_Convention[[#This Row],[NumL]],T_TraitDi[#Data],COLUMN(T_TraitDi[Lundi]),FALSE),"")</f>
        <v/>
      </c>
      <c r="AA11" s="284" t="e">
        <f>IF(VLOOKUP(T_Convention[[#This Row],[NumL]],T_TraitDi[#Data],COLUMN(T_TraitDi[Colonne3]),FALSE)=0,"",TEXT(IFERROR(VLOOKUP(T_Convention[[#This Row],[NumL]],T_TraitDi[#Data],COLUMN(T_TraitDi[Colonne3]),FALSE),""),"[hh]:mm"))</f>
        <v>#N/A</v>
      </c>
      <c r="AB11" s="284" t="e">
        <f>IF(VLOOKUP(T_Convention[[#This Row],[NumL]],T_TraitDi[#Data],COLUMN(T_TraitDi[Colonne4]),FALSE)=0,"",TEXT(IFERROR(VLOOKUP(T_Convention[[#This Row],[NumL]],T_TraitDi[#Data],COLUMN(T_TraitDi[Colonne4]),FALSE),""),"[hh]:mm"))</f>
        <v>#N/A</v>
      </c>
      <c r="AC11" s="284" t="e">
        <f>IF(VLOOKUP(T_Convention[[#This Row],[NumL]],T_TraitDi[#Data],COLUMN(T_TraitDi[Colonne5]),FALSE)=0,"",TEXT(IFERROR(VLOOKUP(T_Convention[[#This Row],[NumL]],T_TraitDi[#Data],COLUMN(T_TraitDi[Colonne5]),FALSE),""),"[hh]:mm"))</f>
        <v>#N/A</v>
      </c>
      <c r="AD11" s="284" t="e">
        <f>IF(VLOOKUP(T_Convention[[#This Row],[NumL]],T_TraitDi[#Data],COLUMN(T_TraitDi[Colonne6]),FALSE)=0,"",TEXT(IFERROR(VLOOKUP(T_Convention[[#This Row],[NumL]],T_TraitDi[#Data],COLUMN(T_TraitDi[Colonne6]),FALSE),""),"[hh]:mm"))</f>
        <v>#N/A</v>
      </c>
      <c r="AE11" s="284" t="e">
        <f>IF(VLOOKUP(T_Convention[[#This Row],[NumL]],T_TraitDi[#Data],COLUMN(T_TraitDi[Colonne7]),FALSE)=0,"",TEXT(IFERROR(VLOOKUP(T_Convention[[#This Row],[NumL]],T_TraitDi[#Data],COLUMN(T_TraitDi[Colonne7]),FALSE),""),"[hh]:mm"))</f>
        <v>#N/A</v>
      </c>
      <c r="AF11" s="284" t="e">
        <f>IF(VLOOKUP(T_Convention[[#This Row],[NumL]],T_TraitDi[#Data],COLUMN(T_TraitDi[Colonne8]),FALSE)=0,"",TEXT(IFERROR(VLOOKUP(T_Convention[[#This Row],[NumL]],T_TraitDi[#Data],COLUMN(T_TraitDi[Colonne8]),FALSE),""),"[hh]:mm"))</f>
        <v>#N/A</v>
      </c>
      <c r="AG11" s="284" t="str">
        <f>IFERROR(VLOOKUP(T_Convention[[#This Row],[NumL]],T_TraitDi[#Data],COLUMN(T_TraitDi[Mardi]),FALSE),"")</f>
        <v/>
      </c>
      <c r="AH11" s="284" t="e">
        <f>IF(VLOOKUP(T_Convention[[#This Row],[NumL]],T_TraitDi[#Data],COLUMN(T_TraitDi[Colonne1]),FALSE)=0,"",TEXT(IFERROR(VLOOKUP(T_Convention[[#This Row],[NumL]],T_TraitDi[#Data],COLUMN(T_TraitDi[Colonne1]),FALSE),""),"[hh]:mm"))</f>
        <v>#N/A</v>
      </c>
      <c r="AI11" s="284" t="e">
        <f>IF(VLOOKUP(T_Convention[[#This Row],[NumL]],T_TraitDi[#Data],COLUMN(T_TraitDi[Colonne9]),FALSE)=0,"",TEXT(IFERROR(VLOOKUP(T_Convention[[#This Row],[NumL]],T_TraitDi[#Data],COLUMN(T_TraitDi[Colonne9]),FALSE),""),"[hh]:mm"))</f>
        <v>#N/A</v>
      </c>
      <c r="AJ11" s="284" t="str">
        <f>IFERROR(VLOOKUP(T_Convention[[#This Row],[NumL]],T_TraitDi[#Data],COLUMN(T_TraitDi[Colonne10]),FALSE),"")</f>
        <v/>
      </c>
      <c r="AK11" s="284" t="e">
        <f>IF(VLOOKUP(T_Convention[[#This Row],[NumL]],T_TraitDi[#Data],COLUMN(T_TraitDi[Colonne11]),FALSE)=0,"",TEXT(IFERROR(VLOOKUP(T_Convention[[#This Row],[NumL]],T_TraitDi[#Data],COLUMN(T_TraitDi[Colonne11]),FALSE),""),"[hh]:mm"))</f>
        <v>#N/A</v>
      </c>
      <c r="AL11" s="284" t="e">
        <f>IF(VLOOKUP(T_Convention[[#This Row],[NumL]],T_TraitDi[#Data],COLUMN(T_TraitDi[Colonne12]),FALSE)=0,"",TEXT(IFERROR(VLOOKUP(T_Convention[[#This Row],[NumL]],T_TraitDi[#Data],COLUMN(T_TraitDi[Colonne12]),FALSE),""),"[hh]:mm"))</f>
        <v>#N/A</v>
      </c>
      <c r="AM11" s="284" t="e">
        <f>IF(VLOOKUP(T_Convention[[#This Row],[NumL]],T_TraitDi[#Data],COLUMN(T_TraitDi[Colonne14]),FALSE)=0,"",TEXT(IFERROR(VLOOKUP(T_Convention[[#This Row],[NumL]],T_TraitDi[#Data],COLUMN(T_TraitDi[Colonne14]),FALSE),""),"[hh]:mm"))</f>
        <v>#N/A</v>
      </c>
      <c r="AN11" s="284" t="str">
        <f>IFERROR(VLOOKUP(T_Convention[[#This Row],[NumL]],T_TraitDi[#Data],COLUMN(T_TraitDi[Mercredi]),FALSE),"")</f>
        <v/>
      </c>
      <c r="AO11" s="284" t="e">
        <f>IF(VLOOKUP(T_Convention[[#This Row],[NumL]],T_TraitDi[#Data],COLUMN(T_TraitDi[Colonne15]),FALSE)=0,"",TEXT(IFERROR(VLOOKUP(T_Convention[[#This Row],[NumL]],T_TraitDi[#Data],COLUMN(T_TraitDi[Colonne15]),FALSE),""),"[hh]:mm"))</f>
        <v>#N/A</v>
      </c>
      <c r="AP11" s="284" t="e">
        <f>IF(VLOOKUP(T_Convention[[#This Row],[NumL]],T_TraitDi[#Data],COLUMN(T_TraitDi[Colonne16]),FALSE)=0,"",TEXT(IFERROR(VLOOKUP(T_Convention[[#This Row],[NumL]],T_TraitDi[#Data],COLUMN(T_TraitDi[Colonne16]),FALSE),""),"[hh]:mm"))</f>
        <v>#N/A</v>
      </c>
      <c r="AQ11" s="284" t="str">
        <f>IFERROR(VLOOKUP(T_Convention[[#This Row],[NumL]],T_TraitDi[#Data],COLUMN(T_TraitDi[Colonne17]),FALSE),"")</f>
        <v/>
      </c>
      <c r="AR11" s="284" t="e">
        <f>IF(VLOOKUP(T_Convention[[#This Row],[NumL]],T_TraitDi[#Data],COLUMN(T_TraitDi[Colonne18]),FALSE)=0,"",TEXT(IFERROR(VLOOKUP(T_Convention[[#This Row],[NumL]],T_TraitDi[#Data],COLUMN(T_TraitDi[Colonne18]),FALSE),""),"[hh]:mm"))</f>
        <v>#N/A</v>
      </c>
      <c r="AS11" s="284" t="e">
        <f>IF(VLOOKUP(T_Convention[[#This Row],[NumL]],T_TraitDi[#Data],COLUMN(T_TraitDi[Colonne19]),FALSE)=0,"",TEXT(IFERROR(VLOOKUP(T_Convention[[#This Row],[NumL]],T_TraitDi[#Data],COLUMN(T_TraitDi[Colonne19]),FALSE),""),"[hh]:mm"))</f>
        <v>#N/A</v>
      </c>
      <c r="AT11" s="284" t="e">
        <f>IF(VLOOKUP(T_Convention[[#This Row],[NumL]],T_TraitDi[#Data],COLUMN(T_TraitDi[Colonne20]),FALSE)=0,"",TEXT(IFERROR(VLOOKUP(T_Convention[[#This Row],[NumL]],T_TraitDi[#Data],COLUMN(T_TraitDi[Colonne20]),FALSE),""),"[hh]:mm"))</f>
        <v>#N/A</v>
      </c>
      <c r="AU11" s="284" t="str">
        <f>IFERROR(VLOOKUP(T_Convention[[#This Row],[NumL]],T_TraitDi[#Data],COLUMN(T_TraitDi[Jeudi]),FALSE),"")</f>
        <v/>
      </c>
      <c r="AV11" s="284" t="e">
        <f>IF(VLOOKUP(T_Convention[[#This Row],[NumL]],T_TraitDi[#Data],COLUMN(T_TraitDi[Colonne21]),FALSE)=0,"",TEXT(IFERROR(VLOOKUP(T_Convention[[#This Row],[NumL]],T_TraitDi[#Data],COLUMN(T_TraitDi[Colonne21]),FALSE),""),"[hh]:mm"))</f>
        <v>#N/A</v>
      </c>
      <c r="AW11" s="284" t="e">
        <f>IF(VLOOKUP(T_Convention[[#This Row],[NumL]],T_TraitDi[#Data],COLUMN(T_TraitDi[Colonne22]),FALSE)=0,"",TEXT(IFERROR(VLOOKUP(T_Convention[[#This Row],[NumL]],T_TraitDi[#Data],COLUMN(T_TraitDi[Colonne22]),FALSE),""),"[hh]:mm"))</f>
        <v>#N/A</v>
      </c>
      <c r="AX11" s="284" t="str">
        <f>IFERROR(VLOOKUP(T_Convention[[#This Row],[NumL]],T_TraitDi[#Data],COLUMN(T_TraitDi[Colonne23]),FALSE),"")</f>
        <v/>
      </c>
      <c r="AY11" s="284" t="e">
        <f>IF(VLOOKUP(T_Convention[[#This Row],[NumL]],T_TraitDi[#Data],COLUMN(T_TraitDi[Colonne24]),FALSE)=0,"",TEXT(IFERROR(VLOOKUP(T_Convention[[#This Row],[NumL]],T_TraitDi[#Data],COLUMN(T_TraitDi[Colonne24]),FALSE),""),"[hh]:mm"))</f>
        <v>#N/A</v>
      </c>
      <c r="AZ11" s="284" t="e">
        <f>IF(VLOOKUP(T_Convention[[#This Row],[NumL]],T_TraitDi[#Data],COLUMN(T_TraitDi[Colonne25]),FALSE)=0,"",TEXT(IFERROR(VLOOKUP(T_Convention[[#This Row],[NumL]],T_TraitDi[#Data],COLUMN(T_TraitDi[Colonne25]),FALSE),""),"[hh]:mm"))</f>
        <v>#N/A</v>
      </c>
      <c r="BA11" s="284" t="e">
        <f>IF(VLOOKUP(T_Convention[[#This Row],[NumL]],T_TraitDi[#Data],COLUMN(T_TraitDi[Colonne26]),FALSE)=0,"",TEXT(IFERROR(VLOOKUP(T_Convention[[#This Row],[NumL]],T_TraitDi[#Data],COLUMN(T_TraitDi[Colonne26]),FALSE),""),"[hh]:mm"))</f>
        <v>#N/A</v>
      </c>
      <c r="BB11" s="284" t="str">
        <f>IFERROR(VLOOKUP(T_Convention[[#This Row],[NumL]],T_TraitDi[#Data],COLUMN(T_TraitDi[Vendredi]),FALSE),"")</f>
        <v/>
      </c>
      <c r="BC11" s="284" t="e">
        <f>IF(VLOOKUP(T_Convention[[#This Row],[NumL]],T_TraitDi[#Data],COLUMN(T_TraitDi[Colonne27]),FALSE)=0,"",TEXT(IFERROR(VLOOKUP(T_Convention[[#This Row],[NumL]],T_TraitDi[#Data],COLUMN(T_TraitDi[Colonne27]),FALSE),""),"[hh]:mm"))</f>
        <v>#N/A</v>
      </c>
      <c r="BD11" s="284" t="e">
        <f>IF(VLOOKUP(T_Convention[[#This Row],[NumL]],T_TraitDi[#Data],COLUMN(T_TraitDi[Colonne28]),FALSE)=0,"",TEXT(IFERROR(VLOOKUP(T_Convention[[#This Row],[NumL]],T_TraitDi[#Data],COLUMN(T_TraitDi[Colonne28]),FALSE),""),"[hh]:mm"))</f>
        <v>#N/A</v>
      </c>
      <c r="BE11" s="284" t="str">
        <f>IFERROR(VLOOKUP(T_Convention[[#This Row],[NumL]],T_TraitDi[#Data],COLUMN(T_TraitDi[Colonne29]),FALSE),"")</f>
        <v/>
      </c>
      <c r="BF11" s="284" t="e">
        <f>IF(VLOOKUP(T_Convention[[#This Row],[NumL]],T_TraitDi[#Data],COLUMN(T_TraitDi[Colonne30]),FALSE)=0,"",TEXT(IFERROR(VLOOKUP(T_Convention[[#This Row],[NumL]],T_TraitDi[#Data],COLUMN(T_TraitDi[Colonne30]),FALSE),""),"[hh]:mm"))</f>
        <v>#N/A</v>
      </c>
      <c r="BG11" s="284" t="e">
        <f>IF(VLOOKUP(T_Convention[[#This Row],[NumL]],T_TraitDi[#Data],COLUMN(T_TraitDi[Colonne31]),FALSE)=0,"",TEXT(IFERROR(VLOOKUP(T_Convention[[#This Row],[NumL]],T_TraitDi[#Data],COLUMN(T_TraitDi[Colonne31]),FALSE),""),"[hh]:mm"))</f>
        <v>#N/A</v>
      </c>
      <c r="BH11" s="284" t="e">
        <f>IF(VLOOKUP(T_Convention[[#This Row],[NumL]],T_TraitDi[#Data],COLUMN(T_TraitDi[Colonne32]),FALSE)=0,"",TEXT(IFERROR(VLOOKUP(T_Convention[[#This Row],[NumL]],T_TraitDi[#Data],COLUMN(T_TraitDi[Colonne32]),FALSE),""),"[hh]:mm"))</f>
        <v>#N/A</v>
      </c>
      <c r="BI11" s="284" t="str">
        <f>IFERROR(VLOOKUP(T_Convention[[#This Row],[NumL]],T_TraitDi[#Data],COLUMN(T_TraitDi[NbJTW]),FALSE),"")</f>
        <v/>
      </c>
      <c r="BJ11" s="284" t="e">
        <f>IF(VLOOKUP(T_Convention[[#This Row],[NumL]],T_TraitDi[#Data],COLUMN(T_TraitDi[NbhTW]),FALSE)=0,"",TEXT(IFERROR(VLOOKUP(T_Convention[[#This Row],[NumL]],T_TraitDi[#Data],COLUMN(T_TraitDi[NbhTW]),FALSE),""),"[hh]:mm"))</f>
        <v>#N/A</v>
      </c>
      <c r="BK11" s="286" t="e">
        <f>IF(VLOOKUP(T_Convention[[#This Row],[NumL]],T_TraitDi[#Data],COLUMN(T_TraitDi[Nbhheb]),FALSE)=0,"",TEXT(IFERROR(VLOOKUP(T_Convention[[#This Row],[NumL]],T_TraitDi[#Data],COLUMN(T_TraitDi[Nbhheb]),FALSE),""),"[hh]:mm"))</f>
        <v>#N/A</v>
      </c>
      <c r="BL11" s="287" t="str">
        <f>IFERROR(VLOOKUP(VLOOKUP(T_Convention[[#This Row],[NumL]],T_TraitDi[#Data],COLUMN(T_TraitDi[Type1]),FALSE),TypeTW,2,FALSE),"")</f>
        <v/>
      </c>
      <c r="BM11" s="288" t="str">
        <f>IFERROR(VLOOKUP(T_Convention[[#This Row],[NumL]],T_TraitDi[#Data],COLUMN(T_TraitDi[Rue1]),FALSE),"")</f>
        <v/>
      </c>
      <c r="BN11" s="289" t="str">
        <f>IFERROR(VLOOKUP(T_Convention[[#This Row],[NumL]],T_TraitDi[#Data],COLUMN(T_TraitDi[CP1]),FALSE),"")</f>
        <v/>
      </c>
      <c r="BO11" s="282" t="str">
        <f>IFERROR(VLOOKUP(T_Convention[[#This Row],[NumL]],T_TraitDi[#Data],COLUMN(T_TraitDi[VILLE1]),FALSE),"")</f>
        <v/>
      </c>
      <c r="BP11" s="290" t="str">
        <f>IFERROR(VLOOKUP(VLOOKUP(T_Convention[[#This Row],[NumL]],T_TraitDi[#Data],COLUMN(T_TraitDi[Type2]),FALSE),TypeTW,2,FALSE),"")</f>
        <v/>
      </c>
      <c r="BQ11" s="182" t="str">
        <f>IFERROR(VLOOKUP(T_Convention[[#This Row],[NumL]],T_TraitDi[#Data],COLUMN(T_TraitDi[Rue2]),FALSE),"")</f>
        <v/>
      </c>
      <c r="BR11" s="173" t="str">
        <f>IFERROR(VLOOKUP(T_Convention[[#This Row],[NumL]],T_TraitDi[#Data],COLUMN(T_TraitDi[CP2]),FALSE),"")</f>
        <v/>
      </c>
      <c r="BS11" s="173" t="str">
        <f>IFERROR(VLOOKUP(T_Convention[[#This Row],[NumL]],T_TraitDi[#Data],COLUMN(T_TraitDi[VILLE2]),FALSE),"")</f>
        <v/>
      </c>
      <c r="BT11" s="313" t="str">
        <f>IF(VLOOKUP(T_Convention[[#This Row],[NumL]],T_Equipement[#Data],COLUMN(T_Equipement[PC]),FALSE)="","Aucun équipement spécifique directement lié au télétravail",VLOOKUP(T_Convention[[#This Row],[NumL]],T_Equipement[#Data],COLUMN(T_Equipement[PC]),FALSE))</f>
        <v xml:space="preserve">20-326	</v>
      </c>
      <c r="BU11" s="296" t="str">
        <f>IFERROR(IF(VLOOKUP(T_Convention[[#This Row],[NumL]],T_TraitDi[#Data],COLUMN(T_TraitDi[Plan]),FALSE)="OK","Un planning spécifique de télétravail est annexé à la présente convention.",""),"")</f>
        <v/>
      </c>
      <c r="BV11" s="185"/>
      <c r="BW11" s="164" t="e">
        <f>IF(VLOOKUP(T_Convention[[#This Row],[NumL]],T_suiviDi[#Data],COLUMN(T_suiviDi[Entité]),FALSE)="","",VLOOKUP(T_Convention[[#This Row],[NumL]],T_suiviDi[#Data],COLUMN(T_suiviDi[Entité]),FALSE))</f>
        <v>#N/A</v>
      </c>
      <c r="BX11" s="164" t="str">
        <f>IF(VLOOKUP(T_Convention[[#This Row],[NumL]],T_Commission[#Data],COLUMN(T_Commission[envoi confirm TW]),FALSE)="","",VLOOKUP(T_Convention[[#This Row],[NumL]],T_Commission[#Data],COLUMN(T_Commission[envoi confirm TW]),FALSE))</f>
        <v>Oui</v>
      </c>
      <c r="BY1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 s="264">
        <f>VLOOKUP(T_Convention[[#This Row],[NumL]],T_Commission[#Data],COLUMN(T_Commission[Commentaire]),FALSE)</f>
        <v>0</v>
      </c>
      <c r="CA11" s="254" t="str">
        <f>IF(VLOOKUP(T_Convention[[#This Row],[NumL]],T_Commission[#Data],COLUMN(T_Commission[Encadrant Email]),FALSE)="","",VLOOKUP(T_Convention[[#This Row],[NumL]],T_Commission[#Data],COLUMN(T_Commission[Encadrant Email]),FALSE))</f>
        <v/>
      </c>
      <c r="CB11" s="352" t="e">
        <f>VLOOKUP(T_Convention[[#This Row],[NumL]],T_TraitDi[#Data],COLUMN(T_TraitDi[NbJTot]),FALSE)</f>
        <v>#N/A</v>
      </c>
      <c r="CC11" s="352" t="e">
        <f>VLOOKUP(T_Convention[[#This Row],[NumL]],T_TraitDi[#Data],COLUMN(T_TraitDi[Reg Ponct]),FALSE)</f>
        <v>#N/A</v>
      </c>
      <c r="CD11" s="348" t="str">
        <f>IF(T_Convention[[#This Row],[Final]]&lt;&gt;"",VLOOKUP(T_Convention[[#This Row],[NumL]],T_suiviDi[#Data],COLUMN((T_suiviDi[Statut])),FALSE),"")</f>
        <v/>
      </c>
    </row>
    <row r="12" spans="1:82" s="106" customFormat="1" ht="18.75" customHeight="1" x14ac:dyDescent="0.25">
      <c r="A12" s="90">
        <v>89</v>
      </c>
      <c r="B12" s="161" t="str">
        <f>VLOOKUP(T_Convention[[#This Row],[NumL]],T_Commission[#Data],COLUMN(T_Commission[FINAL]),FALSE)</f>
        <v/>
      </c>
      <c r="C12" s="309"/>
      <c r="D12" s="95" t="e">
        <f>IF(VLOOKUP(T_Convention[[#This Row],[NumL]],T_TraitDi[#Data],COLUMN(T_TraitDi[WebC]),FALSE)="","",VLOOKUP(T_Convention[[#This Row],[NumL]],T_TraitDi[#Data],COLUMN(T_TraitDi[WebC]),FALSE))</f>
        <v>#N/A</v>
      </c>
      <c r="E12" s="95" t="str">
        <f t="shared" si="0"/>
        <v>12 janvier 2021</v>
      </c>
      <c r="F12" s="282" t="str">
        <f>IF(T_Convention[[#This Row],[Final]]&lt;&gt;"",VLOOKUP(T_Convention[[#This Row],[NumL]],T_suiviDi[#Data],COLUMN((T_suiviDi[Civ.])),FALSE),"")</f>
        <v/>
      </c>
      <c r="G12" s="283" t="str">
        <f>IF(T_Convention[[#This Row],[Final]]&lt;&gt;"",VLOOKUP(T_Convention[[#This Row],[NumL]],T_suiviDi[#Data],COLUMN((T_suiviDi[Nom])),FALSE),"")</f>
        <v/>
      </c>
      <c r="H12" s="282" t="str">
        <f>IF(T_Convention[[#This Row],[Final]]&lt;&gt;"",VLOOKUP(T_Convention[[#This Row],[NumL]],T_suiviDi[#Data],COLUMN((T_suiviDi[Prénom])),FALSE),"")</f>
        <v/>
      </c>
      <c r="I12" s="282" t="e">
        <f>VLOOKUP(T_Convention[[#This Row],[NumL]],T_suiviDi[#Data],COLUMN((T_suiviDi[[#This Row],[Email]])),FALSE)</f>
        <v>#N/A</v>
      </c>
      <c r="J12" s="282" t="e">
        <f>IF(VLOOKUP(T_Convention[[#This Row],[NumL]],T_suiviDi[#Data],COLUMN(T_suiviDi[[#This Row],[Fonction]]),FALSE)="","",VLOOKUP(T_Convention[[#This Row],[NumL]],T_suiviDi[#Data],COLUMN(T_suiviDi[[#This Row],[Fonction]]),FALSE))</f>
        <v>#N/A</v>
      </c>
      <c r="K12" s="282" t="e">
        <f>IF(VLOOKUP(T_Convention[[#This Row],[NumL]],T_suiviDi[#Data],COLUMN(T_suiviDi[[#This Row],[Grade]]),FALSE)="","",VLOOKUP(T_Convention[[#This Row],[NumL]],T_suiviDi[#Data],COLUMN(T_suiviDi[[#This Row],[Grade]]),FALSE))</f>
        <v>#N/A</v>
      </c>
      <c r="L12" s="282" t="e">
        <f>IF(VLOOKUP(T_Convention[[#This Row],[NumL]],T_suiviDi[#Data],COLUMN(T_suiviDi[[#This Row],[Service ]]),FALSE)="","",VLOOKUP(T_Convention[[#This Row],[NumL]],T_suiviDi[#Data],COLUMN(T_suiviDi[[#This Row],[Service ]]),FALSE))</f>
        <v>#N/A</v>
      </c>
      <c r="M12" s="96" t="str">
        <f t="shared" si="1"/>
        <v>01 septembre 2021</v>
      </c>
      <c r="N12" s="96" t="str">
        <f t="shared" si="2"/>
        <v>30 novembre 2021</v>
      </c>
      <c r="O12" s="284" t="str">
        <f t="shared" si="3"/>
        <v>30 novembre 2021</v>
      </c>
      <c r="P12" s="282" t="e">
        <f>IF(VLOOKUP(T_Convention[[#This Row],[NumL]],T_TraitDi[#Data],COLUMN(T_TraitDi[M1]),FALSE)="","",VLOOKUP(T_Convention[[#This Row],[NumL]],T_TraitDi[#Data],COLUMN(T_TraitDi[M1]),FALSE))</f>
        <v>#N/A</v>
      </c>
      <c r="Q12" s="282" t="e">
        <f>IF(VLOOKUP(T_Convention[[#This Row],[NumL]],T_TraitDi[#Data],COLUMN(T_TraitDi[M2]),FALSE)="","",VLOOKUP(T_Convention[[#This Row],[NumL]],T_TraitDi[#Data],COLUMN(T_TraitDi[M2]),FALSE))</f>
        <v>#N/A</v>
      </c>
      <c r="R12" s="282" t="e">
        <f>IF(VLOOKUP(T_Convention[[#This Row],[NumL]],T_TraitDi[#Data],COLUMN(T_TraitDi[M3]),FALSE)="","",VLOOKUP(T_Convention[[#This Row],[NumL]],T_TraitDi[#Data],COLUMN(T_TraitDi[M3]),FALSE))</f>
        <v>#N/A</v>
      </c>
      <c r="S12" s="282" t="e">
        <f>IF(VLOOKUP(T_Convention[[#This Row],[NumL]],T_TraitDi[#Data],COLUMN(T_TraitDi[M4]),FALSE)="","",VLOOKUP(T_Convention[[#This Row],[NumL]],T_TraitDi[#Data],COLUMN(T_TraitDi[M4]),FALSE))</f>
        <v>#N/A</v>
      </c>
      <c r="T12" s="282" t="e">
        <f>IF(VLOOKUP(T_Convention[[#This Row],[NumL]],T_TraitDi[#Data],COLUMN(T_TraitDi[M5]),FALSE)="","",VLOOKUP(T_Convention[[#This Row],[NumL]],T_TraitDi[#Data],COLUMN(T_TraitDi[M5]),FALSE))</f>
        <v>#N/A</v>
      </c>
      <c r="U12" s="282" t="e">
        <f>IF(VLOOKUP(T_Convention[[#This Row],[NumL]],T_TraitDi[#Data],COLUMN(T_TraitDi[M6]),FALSE)="","",VLOOKUP(T_Convention[[#This Row],[NumL]],T_TraitDi[#Data],COLUMN(T_TraitDi[M6]),FALSE))</f>
        <v>#N/A</v>
      </c>
      <c r="V12" s="312" t="e">
        <f t="shared" si="4"/>
        <v>#N/A</v>
      </c>
      <c r="W12" s="284" t="str">
        <f>IFERROR(TEXT(VLOOKUP(T_Convention[[#This Row],[NumL]],T_TraitDi[#Data],COLUMN(T_TraitDi[Q2]),FALSE),"###%"),"")</f>
        <v/>
      </c>
      <c r="X12" s="97" t="e">
        <f>VLOOKUP(T_Convention[[#This Row],[NumL]],T_TraitDi[#Data],COLUMN(T_TraitDi[Reg Ponct]),FALSE)</f>
        <v>#N/A</v>
      </c>
      <c r="Y12" s="97" t="e">
        <f>VLOOKUP(T_Convention[NumL],T_TraitDi[#Data],COLUMN(T_TraitDi[Jours flottants]),FALSE)</f>
        <v>#N/A</v>
      </c>
      <c r="Z12" s="284" t="str">
        <f>IFERROR(VLOOKUP(T_Convention[[#This Row],[NumL]],T_TraitDi[#Data],COLUMN(T_TraitDi[Lundi]),FALSE),"")</f>
        <v/>
      </c>
      <c r="AA12" s="284" t="e">
        <f>IF(VLOOKUP(T_Convention[[#This Row],[NumL]],T_TraitDi[#Data],COLUMN(T_TraitDi[Colonne3]),FALSE)=0,"",TEXT(IFERROR(VLOOKUP(T_Convention[[#This Row],[NumL]],T_TraitDi[#Data],COLUMN(T_TraitDi[Colonne3]),FALSE),""),"[hh]:mm"))</f>
        <v>#N/A</v>
      </c>
      <c r="AB12" s="284" t="e">
        <f>IF(VLOOKUP(T_Convention[[#This Row],[NumL]],T_TraitDi[#Data],COLUMN(T_TraitDi[Colonne4]),FALSE)=0,"",TEXT(IFERROR(VLOOKUP(T_Convention[[#This Row],[NumL]],T_TraitDi[#Data],COLUMN(T_TraitDi[Colonne4]),FALSE),""),"[hh]:mm"))</f>
        <v>#N/A</v>
      </c>
      <c r="AC12" s="284" t="e">
        <f>IF(VLOOKUP(T_Convention[[#This Row],[NumL]],T_TraitDi[#Data],COLUMN(T_TraitDi[Colonne5]),FALSE)=0,"",TEXT(IFERROR(VLOOKUP(T_Convention[[#This Row],[NumL]],T_TraitDi[#Data],COLUMN(T_TraitDi[Colonne5]),FALSE),""),"[hh]:mm"))</f>
        <v>#N/A</v>
      </c>
      <c r="AD12" s="284" t="e">
        <f>IF(VLOOKUP(T_Convention[[#This Row],[NumL]],T_TraitDi[#Data],COLUMN(T_TraitDi[Colonne6]),FALSE)=0,"",TEXT(IFERROR(VLOOKUP(T_Convention[[#This Row],[NumL]],T_TraitDi[#Data],COLUMN(T_TraitDi[Colonne6]),FALSE),""),"[hh]:mm"))</f>
        <v>#N/A</v>
      </c>
      <c r="AE12" s="284" t="e">
        <f>IF(VLOOKUP(T_Convention[[#This Row],[NumL]],T_TraitDi[#Data],COLUMN(T_TraitDi[Colonne7]),FALSE)=0,"",TEXT(IFERROR(VLOOKUP(T_Convention[[#This Row],[NumL]],T_TraitDi[#Data],COLUMN(T_TraitDi[Colonne7]),FALSE),""),"[hh]:mm"))</f>
        <v>#N/A</v>
      </c>
      <c r="AF12" s="284" t="e">
        <f>IF(VLOOKUP(T_Convention[[#This Row],[NumL]],T_TraitDi[#Data],COLUMN(T_TraitDi[Colonne8]),FALSE)=0,"",TEXT(IFERROR(VLOOKUP(T_Convention[[#This Row],[NumL]],T_TraitDi[#Data],COLUMN(T_TraitDi[Colonne8]),FALSE),""),"[hh]:mm"))</f>
        <v>#N/A</v>
      </c>
      <c r="AG12" s="284" t="str">
        <f>IFERROR(VLOOKUP(T_Convention[[#This Row],[NumL]],T_TraitDi[#Data],COLUMN(T_TraitDi[Mardi]),FALSE),"")</f>
        <v/>
      </c>
      <c r="AH12" s="284" t="e">
        <f>IF(VLOOKUP(T_Convention[[#This Row],[NumL]],T_TraitDi[#Data],COLUMN(T_TraitDi[Colonne1]),FALSE)=0,"",TEXT(IFERROR(VLOOKUP(T_Convention[[#This Row],[NumL]],T_TraitDi[#Data],COLUMN(T_TraitDi[Colonne1]),FALSE),""),"[hh]:mm"))</f>
        <v>#N/A</v>
      </c>
      <c r="AI12" s="284" t="e">
        <f>IF(VLOOKUP(T_Convention[[#This Row],[NumL]],T_TraitDi[#Data],COLUMN(T_TraitDi[Colonne9]),FALSE)=0,"",TEXT(IFERROR(VLOOKUP(T_Convention[[#This Row],[NumL]],T_TraitDi[#Data],COLUMN(T_TraitDi[Colonne9]),FALSE),""),"[hh]:mm"))</f>
        <v>#N/A</v>
      </c>
      <c r="AJ12" s="284" t="str">
        <f>IFERROR(VLOOKUP(T_Convention[[#This Row],[NumL]],T_TraitDi[#Data],COLUMN(T_TraitDi[Colonne10]),FALSE),"")</f>
        <v/>
      </c>
      <c r="AK12" s="284" t="e">
        <f>IF(VLOOKUP(T_Convention[[#This Row],[NumL]],T_TraitDi[#Data],COLUMN(T_TraitDi[Colonne11]),FALSE)=0,"",TEXT(IFERROR(VLOOKUP(T_Convention[[#This Row],[NumL]],T_TraitDi[#Data],COLUMN(T_TraitDi[Colonne11]),FALSE),""),"[hh]:mm"))</f>
        <v>#N/A</v>
      </c>
      <c r="AL12" s="284" t="e">
        <f>IF(VLOOKUP(T_Convention[[#This Row],[NumL]],T_TraitDi[#Data],COLUMN(T_TraitDi[Colonne12]),FALSE)=0,"",TEXT(IFERROR(VLOOKUP(T_Convention[[#This Row],[NumL]],T_TraitDi[#Data],COLUMN(T_TraitDi[Colonne12]),FALSE),""),"[hh]:mm"))</f>
        <v>#N/A</v>
      </c>
      <c r="AM12" s="284" t="e">
        <f>IF(VLOOKUP(T_Convention[[#This Row],[NumL]],T_TraitDi[#Data],COLUMN(T_TraitDi[Colonne14]),FALSE)=0,"",TEXT(IFERROR(VLOOKUP(T_Convention[[#This Row],[NumL]],T_TraitDi[#Data],COLUMN(T_TraitDi[Colonne14]),FALSE),""),"[hh]:mm"))</f>
        <v>#N/A</v>
      </c>
      <c r="AN12" s="284" t="str">
        <f>IFERROR(VLOOKUP(T_Convention[[#This Row],[NumL]],T_TraitDi[#Data],COLUMN(T_TraitDi[Mercredi]),FALSE),"")</f>
        <v/>
      </c>
      <c r="AO12" s="284" t="e">
        <f>IF(VLOOKUP(T_Convention[[#This Row],[NumL]],T_TraitDi[#Data],COLUMN(T_TraitDi[Colonne15]),FALSE)=0,"",TEXT(IFERROR(VLOOKUP(T_Convention[[#This Row],[NumL]],T_TraitDi[#Data],COLUMN(T_TraitDi[Colonne15]),FALSE),""),"[hh]:mm"))</f>
        <v>#N/A</v>
      </c>
      <c r="AP12" s="284" t="e">
        <f>IF(VLOOKUP(T_Convention[[#This Row],[NumL]],T_TraitDi[#Data],COLUMN(T_TraitDi[Colonne16]),FALSE)=0,"",TEXT(IFERROR(VLOOKUP(T_Convention[[#This Row],[NumL]],T_TraitDi[#Data],COLUMN(T_TraitDi[Colonne16]),FALSE),""),"[hh]:mm"))</f>
        <v>#N/A</v>
      </c>
      <c r="AQ12" s="284" t="str">
        <f>IFERROR(VLOOKUP(T_Convention[[#This Row],[NumL]],T_TraitDi[#Data],COLUMN(T_TraitDi[Colonne17]),FALSE),"")</f>
        <v/>
      </c>
      <c r="AR12" s="284" t="e">
        <f>IF(VLOOKUP(T_Convention[[#This Row],[NumL]],T_TraitDi[#Data],COLUMN(T_TraitDi[Colonne18]),FALSE)=0,"",TEXT(IFERROR(VLOOKUP(T_Convention[[#This Row],[NumL]],T_TraitDi[#Data],COLUMN(T_TraitDi[Colonne18]),FALSE),""),"[hh]:mm"))</f>
        <v>#N/A</v>
      </c>
      <c r="AS12" s="284" t="e">
        <f>IF(VLOOKUP(T_Convention[[#This Row],[NumL]],T_TraitDi[#Data],COLUMN(T_TraitDi[Colonne19]),FALSE)=0,"",TEXT(IFERROR(VLOOKUP(T_Convention[[#This Row],[NumL]],T_TraitDi[#Data],COLUMN(T_TraitDi[Colonne19]),FALSE),""),"[hh]:mm"))</f>
        <v>#N/A</v>
      </c>
      <c r="AT12" s="284" t="e">
        <f>IF(VLOOKUP(T_Convention[[#This Row],[NumL]],T_TraitDi[#Data],COLUMN(T_TraitDi[Colonne20]),FALSE)=0,"",TEXT(IFERROR(VLOOKUP(T_Convention[[#This Row],[NumL]],T_TraitDi[#Data],COLUMN(T_TraitDi[Colonne20]),FALSE),""),"[hh]:mm"))</f>
        <v>#N/A</v>
      </c>
      <c r="AU12" s="284" t="str">
        <f>IFERROR(VLOOKUP(T_Convention[[#This Row],[NumL]],T_TraitDi[#Data],COLUMN(T_TraitDi[Jeudi]),FALSE),"")</f>
        <v/>
      </c>
      <c r="AV12" s="284" t="e">
        <f>IF(VLOOKUP(T_Convention[[#This Row],[NumL]],T_TraitDi[#Data],COLUMN(T_TraitDi[Colonne21]),FALSE)=0,"",TEXT(IFERROR(VLOOKUP(T_Convention[[#This Row],[NumL]],T_TraitDi[#Data],COLUMN(T_TraitDi[Colonne21]),FALSE),""),"[hh]:mm"))</f>
        <v>#N/A</v>
      </c>
      <c r="AW12" s="284" t="e">
        <f>IF(VLOOKUP(T_Convention[[#This Row],[NumL]],T_TraitDi[#Data],COLUMN(T_TraitDi[Colonne22]),FALSE)=0,"",TEXT(IFERROR(VLOOKUP(T_Convention[[#This Row],[NumL]],T_TraitDi[#Data],COLUMN(T_TraitDi[Colonne22]),FALSE),""),"[hh]:mm"))</f>
        <v>#N/A</v>
      </c>
      <c r="AX12" s="284" t="str">
        <f>IFERROR(VLOOKUP(T_Convention[[#This Row],[NumL]],T_TraitDi[#Data],COLUMN(T_TraitDi[Colonne23]),FALSE),"")</f>
        <v/>
      </c>
      <c r="AY12" s="284" t="e">
        <f>IF(VLOOKUP(T_Convention[[#This Row],[NumL]],T_TraitDi[#Data],COLUMN(T_TraitDi[Colonne24]),FALSE)=0,"",TEXT(IFERROR(VLOOKUP(T_Convention[[#This Row],[NumL]],T_TraitDi[#Data],COLUMN(T_TraitDi[Colonne24]),FALSE),""),"[hh]:mm"))</f>
        <v>#N/A</v>
      </c>
      <c r="AZ12" s="284" t="e">
        <f>IF(VLOOKUP(T_Convention[[#This Row],[NumL]],T_TraitDi[#Data],COLUMN(T_TraitDi[Colonne25]),FALSE)=0,"",TEXT(IFERROR(VLOOKUP(T_Convention[[#This Row],[NumL]],T_TraitDi[#Data],COLUMN(T_TraitDi[Colonne25]),FALSE),""),"[hh]:mm"))</f>
        <v>#N/A</v>
      </c>
      <c r="BA12" s="284" t="e">
        <f>IF(VLOOKUP(T_Convention[[#This Row],[NumL]],T_TraitDi[#Data],COLUMN(T_TraitDi[Colonne26]),FALSE)=0,"",TEXT(IFERROR(VLOOKUP(T_Convention[[#This Row],[NumL]],T_TraitDi[#Data],COLUMN(T_TraitDi[Colonne26]),FALSE),""),"[hh]:mm"))</f>
        <v>#N/A</v>
      </c>
      <c r="BB12" s="284" t="str">
        <f>IFERROR(VLOOKUP(T_Convention[[#This Row],[NumL]],T_TraitDi[#Data],COLUMN(T_TraitDi[Vendredi]),FALSE),"")</f>
        <v/>
      </c>
      <c r="BC12" s="284" t="e">
        <f>IF(VLOOKUP(T_Convention[[#This Row],[NumL]],T_TraitDi[#Data],COLUMN(T_TraitDi[Colonne27]),FALSE)=0,"",TEXT(IFERROR(VLOOKUP(T_Convention[[#This Row],[NumL]],T_TraitDi[#Data],COLUMN(T_TraitDi[Colonne27]),FALSE),""),"[hh]:mm"))</f>
        <v>#N/A</v>
      </c>
      <c r="BD12" s="284" t="e">
        <f>IF(VLOOKUP(T_Convention[[#This Row],[NumL]],T_TraitDi[#Data],COLUMN(T_TraitDi[Colonne28]),FALSE)=0,"",TEXT(IFERROR(VLOOKUP(T_Convention[[#This Row],[NumL]],T_TraitDi[#Data],COLUMN(T_TraitDi[Colonne28]),FALSE),""),"[hh]:mm"))</f>
        <v>#N/A</v>
      </c>
      <c r="BE12" s="284" t="str">
        <f>IFERROR(VLOOKUP(T_Convention[[#This Row],[NumL]],T_TraitDi[#Data],COLUMN(T_TraitDi[Colonne29]),FALSE),"")</f>
        <v/>
      </c>
      <c r="BF12" s="284" t="e">
        <f>IF(VLOOKUP(T_Convention[[#This Row],[NumL]],T_TraitDi[#Data],COLUMN(T_TraitDi[Colonne30]),FALSE)=0,"",TEXT(IFERROR(VLOOKUP(T_Convention[[#This Row],[NumL]],T_TraitDi[#Data],COLUMN(T_TraitDi[Colonne30]),FALSE),""),"[hh]:mm"))</f>
        <v>#N/A</v>
      </c>
      <c r="BG12" s="284" t="e">
        <f>IF(VLOOKUP(T_Convention[[#This Row],[NumL]],T_TraitDi[#Data],COLUMN(T_TraitDi[Colonne31]),FALSE)=0,"",TEXT(IFERROR(VLOOKUP(T_Convention[[#This Row],[NumL]],T_TraitDi[#Data],COLUMN(T_TraitDi[Colonne31]),FALSE),""),"[hh]:mm"))</f>
        <v>#N/A</v>
      </c>
      <c r="BH12" s="284" t="e">
        <f>IF(VLOOKUP(T_Convention[[#This Row],[NumL]],T_TraitDi[#Data],COLUMN(T_TraitDi[Colonne32]),FALSE)=0,"",TEXT(IFERROR(VLOOKUP(T_Convention[[#This Row],[NumL]],T_TraitDi[#Data],COLUMN(T_TraitDi[Colonne32]),FALSE),""),"[hh]:mm"))</f>
        <v>#N/A</v>
      </c>
      <c r="BI12" s="284" t="str">
        <f>IFERROR(VLOOKUP(T_Convention[[#This Row],[NumL]],T_TraitDi[#Data],COLUMN(T_TraitDi[NbJTW]),FALSE),"")</f>
        <v/>
      </c>
      <c r="BJ12" s="284" t="e">
        <f>IF(VLOOKUP(T_Convention[[#This Row],[NumL]],T_TraitDi[#Data],COLUMN(T_TraitDi[NbhTW]),FALSE)=0,"",TEXT(IFERROR(VLOOKUP(T_Convention[[#This Row],[NumL]],T_TraitDi[#Data],COLUMN(T_TraitDi[NbhTW]),FALSE),""),"[hh]:mm"))</f>
        <v>#N/A</v>
      </c>
      <c r="BK12" s="286" t="e">
        <f>IF(VLOOKUP(T_Convention[[#This Row],[NumL]],T_TraitDi[#Data],COLUMN(T_TraitDi[Nbhheb]),FALSE)=0,"",TEXT(IFERROR(VLOOKUP(T_Convention[[#This Row],[NumL]],T_TraitDi[#Data],COLUMN(T_TraitDi[Nbhheb]),FALSE),""),"[hh]:mm"))</f>
        <v>#N/A</v>
      </c>
      <c r="BL12" s="287" t="str">
        <f>IFERROR(VLOOKUP(VLOOKUP(T_Convention[[#This Row],[NumL]],T_TraitDi[#Data],COLUMN(T_TraitDi[Type1]),FALSE),TypeTW,2,FALSE),"")</f>
        <v/>
      </c>
      <c r="BM12" s="288" t="str">
        <f>IFERROR(VLOOKUP(T_Convention[[#This Row],[NumL]],T_TraitDi[#Data],COLUMN(T_TraitDi[Rue1]),FALSE),"")</f>
        <v/>
      </c>
      <c r="BN12" s="289" t="str">
        <f>IFERROR(VLOOKUP(T_Convention[[#This Row],[NumL]],T_TraitDi[#Data],COLUMN(T_TraitDi[CP1]),FALSE),"")</f>
        <v/>
      </c>
      <c r="BO12" s="282" t="str">
        <f>IFERROR(VLOOKUP(T_Convention[[#This Row],[NumL]],T_TraitDi[#Data],COLUMN(T_TraitDi[VILLE1]),FALSE),"")</f>
        <v/>
      </c>
      <c r="BP12" s="290" t="str">
        <f>IFERROR(VLOOKUP(VLOOKUP(T_Convention[[#This Row],[NumL]],T_TraitDi[#Data],COLUMN(T_TraitDi[Type2]),FALSE),TypeTW,2,FALSE),"")</f>
        <v/>
      </c>
      <c r="BQ12" s="182" t="str">
        <f>IFERROR(VLOOKUP(T_Convention[[#This Row],[NumL]],T_TraitDi[#Data],COLUMN(T_TraitDi[Rue2]),FALSE),"")</f>
        <v/>
      </c>
      <c r="BR12" s="173" t="str">
        <f>IFERROR(VLOOKUP(T_Convention[[#This Row],[NumL]],T_TraitDi[#Data],COLUMN(T_TraitDi[CP2]),FALSE),"")</f>
        <v/>
      </c>
      <c r="BS12" s="173" t="str">
        <f>IFERROR(VLOOKUP(T_Convention[[#This Row],[NumL]],T_TraitDi[#Data],COLUMN(T_TraitDi[VILLE2]),FALSE),"")</f>
        <v/>
      </c>
      <c r="BT12" s="313" t="str">
        <f>IF(VLOOKUP(T_Convention[[#This Row],[NumL]],T_Equipement[#Data],COLUMN(T_Equipement[PC]),FALSE)="","Aucun équipement spécifique directement lié au télétravail",VLOOKUP(T_Convention[[#This Row],[NumL]],T_Equipement[#Data],COLUMN(T_Equipement[PC]),FALSE))</f>
        <v xml:space="preserve">18-008	</v>
      </c>
      <c r="BU12" s="296" t="str">
        <f>IFERROR(IF(VLOOKUP(T_Convention[[#This Row],[NumL]],T_TraitDi[#Data],COLUMN(T_TraitDi[Plan]),FALSE)="OK","Un planning spécifique de télétravail est annexé à la présente convention.",""),"")</f>
        <v/>
      </c>
      <c r="BV12" s="185"/>
      <c r="BW12" s="164" t="e">
        <f>IF(VLOOKUP(T_Convention[[#This Row],[NumL]],T_suiviDi[#Data],COLUMN(T_suiviDi[Entité]),FALSE)="","",VLOOKUP(T_Convention[[#This Row],[NumL]],T_suiviDi[#Data],COLUMN(T_suiviDi[Entité]),FALSE))</f>
        <v>#N/A</v>
      </c>
      <c r="BX12" s="164" t="str">
        <f>IF(VLOOKUP(T_Convention[[#This Row],[NumL]],T_Commission[#Data],COLUMN(T_Commission[envoi confirm TW]),FALSE)="","",VLOOKUP(T_Convention[[#This Row],[NumL]],T_Commission[#Data],COLUMN(T_Commission[envoi confirm TW]),FALSE))</f>
        <v>Oui</v>
      </c>
      <c r="BY1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 s="264">
        <f>VLOOKUP(T_Convention[[#This Row],[NumL]],T_Commission[#Data],COLUMN(T_Commission[Commentaire]),FALSE)</f>
        <v>0</v>
      </c>
      <c r="CA12" s="254" t="str">
        <f>IF(VLOOKUP(T_Convention[[#This Row],[NumL]],T_Commission[#Data],COLUMN(T_Commission[Encadrant Email]),FALSE)="","",VLOOKUP(T_Convention[[#This Row],[NumL]],T_Commission[#Data],COLUMN(T_Commission[Encadrant Email]),FALSE))</f>
        <v/>
      </c>
      <c r="CB12" s="352" t="e">
        <f>VLOOKUP(T_Convention[[#This Row],[NumL]],T_TraitDi[#Data],COLUMN(T_TraitDi[NbJTot]),FALSE)</f>
        <v>#N/A</v>
      </c>
      <c r="CC12" s="352" t="e">
        <f>VLOOKUP(T_Convention[[#This Row],[NumL]],T_TraitDi[#Data],COLUMN(T_TraitDi[Reg Ponct]),FALSE)</f>
        <v>#N/A</v>
      </c>
      <c r="CD12" s="348" t="str">
        <f>IF(T_Convention[[#This Row],[Final]]&lt;&gt;"",VLOOKUP(T_Convention[[#This Row],[NumL]],T_suiviDi[#Data],COLUMN((T_suiviDi[Statut])),FALSE),"")</f>
        <v/>
      </c>
    </row>
    <row r="13" spans="1:82" s="106" customFormat="1" ht="18.75" customHeight="1" x14ac:dyDescent="0.25">
      <c r="A13" s="90">
        <v>235</v>
      </c>
      <c r="B13" s="161" t="str">
        <f>VLOOKUP(T_Convention[[#This Row],[NumL]],T_Commission[#Data],COLUMN(T_Commission[FINAL]),FALSE)</f>
        <v/>
      </c>
      <c r="C13" s="309"/>
      <c r="D13" s="95" t="e">
        <f>IF(VLOOKUP(T_Convention[[#This Row],[NumL]],T_TraitDi[#Data],COLUMN(T_TraitDi[WebC]),FALSE)="","",VLOOKUP(T_Convention[[#This Row],[NumL]],T_TraitDi[#Data],COLUMN(T_TraitDi[WebC]),FALSE))</f>
        <v>#N/A</v>
      </c>
      <c r="E13" s="95" t="str">
        <f t="shared" si="0"/>
        <v>12 janvier 2021</v>
      </c>
      <c r="F13" s="282" t="str">
        <f>IF(T_Convention[[#This Row],[Final]]&lt;&gt;"",VLOOKUP(T_Convention[[#This Row],[NumL]],T_suiviDi[#Data],COLUMN((T_suiviDi[Civ.])),FALSE),"")</f>
        <v/>
      </c>
      <c r="G13" s="283" t="str">
        <f>IF(T_Convention[[#This Row],[Final]]&lt;&gt;"",VLOOKUP(T_Convention[[#This Row],[NumL]],T_suiviDi[#Data],COLUMN((T_suiviDi[Nom])),FALSE),"")</f>
        <v/>
      </c>
      <c r="H13" s="282" t="str">
        <f>IF(T_Convention[[#This Row],[Final]]&lt;&gt;"",VLOOKUP(T_Convention[[#This Row],[NumL]],T_suiviDi[#Data],COLUMN((T_suiviDi[Prénom])),FALSE),"")</f>
        <v/>
      </c>
      <c r="I13" s="282" t="e">
        <f>VLOOKUP(T_Convention[[#This Row],[NumL]],T_suiviDi[#Data],COLUMN((T_suiviDi[[#This Row],[Email]])),FALSE)</f>
        <v>#N/A</v>
      </c>
      <c r="J13" s="282" t="e">
        <f>IF(VLOOKUP(T_Convention[[#This Row],[NumL]],T_suiviDi[#Data],COLUMN(T_suiviDi[[#This Row],[Fonction]]),FALSE)="","",VLOOKUP(T_Convention[[#This Row],[NumL]],T_suiviDi[#Data],COLUMN(T_suiviDi[[#This Row],[Fonction]]),FALSE))</f>
        <v>#N/A</v>
      </c>
      <c r="K13" s="282" t="e">
        <f>IF(VLOOKUP(T_Convention[[#This Row],[NumL]],T_suiviDi[#Data],COLUMN(T_suiviDi[[#This Row],[Grade]]),FALSE)="","",VLOOKUP(T_Convention[[#This Row],[NumL]],T_suiviDi[#Data],COLUMN(T_suiviDi[[#This Row],[Grade]]),FALSE))</f>
        <v>#N/A</v>
      </c>
      <c r="L13" s="282" t="e">
        <f>IF(VLOOKUP(T_Convention[[#This Row],[NumL]],T_suiviDi[#Data],COLUMN(T_suiviDi[[#This Row],[Service ]]),FALSE)="","",VLOOKUP(T_Convention[[#This Row],[NumL]],T_suiviDi[#Data],COLUMN(T_suiviDi[[#This Row],[Service ]]),FALSE))</f>
        <v>#N/A</v>
      </c>
      <c r="M13" s="96" t="str">
        <f t="shared" si="1"/>
        <v>01 septembre 2021</v>
      </c>
      <c r="N13" s="96" t="str">
        <f t="shared" si="2"/>
        <v>30 novembre 2021</v>
      </c>
      <c r="O13" s="284" t="str">
        <f t="shared" si="3"/>
        <v>30 novembre 2021</v>
      </c>
      <c r="P13" s="282" t="e">
        <f>IF(VLOOKUP(T_Convention[[#This Row],[NumL]],T_TraitDi[#Data],COLUMN(T_TraitDi[M1]),FALSE)="","",VLOOKUP(T_Convention[[#This Row],[NumL]],T_TraitDi[#Data],COLUMN(T_TraitDi[M1]),FALSE))</f>
        <v>#N/A</v>
      </c>
      <c r="Q13" s="282" t="e">
        <f>IF(VLOOKUP(T_Convention[[#This Row],[NumL]],T_TraitDi[#Data],COLUMN(T_TraitDi[M2]),FALSE)="","",VLOOKUP(T_Convention[[#This Row],[NumL]],T_TraitDi[#Data],COLUMN(T_TraitDi[M2]),FALSE))</f>
        <v>#N/A</v>
      </c>
      <c r="R13" s="282" t="e">
        <f>IF(VLOOKUP(T_Convention[[#This Row],[NumL]],T_TraitDi[#Data],COLUMN(T_TraitDi[M3]),FALSE)="","",VLOOKUP(T_Convention[[#This Row],[NumL]],T_TraitDi[#Data],COLUMN(T_TraitDi[M3]),FALSE))</f>
        <v>#N/A</v>
      </c>
      <c r="S13" s="282" t="e">
        <f>IF(VLOOKUP(T_Convention[[#This Row],[NumL]],T_TraitDi[#Data],COLUMN(T_TraitDi[M4]),FALSE)="","",VLOOKUP(T_Convention[[#This Row],[NumL]],T_TraitDi[#Data],COLUMN(T_TraitDi[M4]),FALSE))</f>
        <v>#N/A</v>
      </c>
      <c r="T13" s="282" t="e">
        <f>IF(VLOOKUP(T_Convention[[#This Row],[NumL]],T_TraitDi[#Data],COLUMN(T_TraitDi[M5]),FALSE)="","",VLOOKUP(T_Convention[[#This Row],[NumL]],T_TraitDi[#Data],COLUMN(T_TraitDi[M5]),FALSE))</f>
        <v>#N/A</v>
      </c>
      <c r="U13" s="282" t="e">
        <f>IF(VLOOKUP(T_Convention[[#This Row],[NumL]],T_TraitDi[#Data],COLUMN(T_TraitDi[M6]),FALSE)="","",VLOOKUP(T_Convention[[#This Row],[NumL]],T_TraitDi[#Data],COLUMN(T_TraitDi[M6]),FALSE))</f>
        <v>#N/A</v>
      </c>
      <c r="V13" s="312" t="e">
        <f t="shared" si="4"/>
        <v>#N/A</v>
      </c>
      <c r="W13" s="284" t="str">
        <f>IFERROR(TEXT(VLOOKUP(T_Convention[[#This Row],[NumL]],T_TraitDi[#Data],COLUMN(T_TraitDi[Q2]),FALSE),"###%"),"")</f>
        <v/>
      </c>
      <c r="X13" s="97" t="e">
        <f>VLOOKUP(T_Convention[[#This Row],[NumL]],T_TraitDi[#Data],COLUMN(T_TraitDi[Reg Ponct]),FALSE)</f>
        <v>#N/A</v>
      </c>
      <c r="Y13" s="97" t="e">
        <f>VLOOKUP(T_Convention[NumL],T_TraitDi[#Data],COLUMN(T_TraitDi[Jours flottants]),FALSE)</f>
        <v>#N/A</v>
      </c>
      <c r="Z13" s="284" t="str">
        <f>IFERROR(VLOOKUP(T_Convention[[#This Row],[NumL]],T_TraitDi[#Data],COLUMN(T_TraitDi[Lundi]),FALSE),"")</f>
        <v/>
      </c>
      <c r="AA13" s="284" t="e">
        <f>IF(VLOOKUP(T_Convention[[#This Row],[NumL]],T_TraitDi[#Data],COLUMN(T_TraitDi[Colonne3]),FALSE)=0,"",TEXT(IFERROR(VLOOKUP(T_Convention[[#This Row],[NumL]],T_TraitDi[#Data],COLUMN(T_TraitDi[Colonne3]),FALSE),""),"[hh]:mm"))</f>
        <v>#N/A</v>
      </c>
      <c r="AB13" s="284" t="e">
        <f>IF(VLOOKUP(T_Convention[[#This Row],[NumL]],T_TraitDi[#Data],COLUMN(T_TraitDi[Colonne4]),FALSE)=0,"",TEXT(IFERROR(VLOOKUP(T_Convention[[#This Row],[NumL]],T_TraitDi[#Data],COLUMN(T_TraitDi[Colonne4]),FALSE),""),"[hh]:mm"))</f>
        <v>#N/A</v>
      </c>
      <c r="AC13" s="284" t="e">
        <f>IF(VLOOKUP(T_Convention[[#This Row],[NumL]],T_TraitDi[#Data],COLUMN(T_TraitDi[Colonne5]),FALSE)=0,"",TEXT(IFERROR(VLOOKUP(T_Convention[[#This Row],[NumL]],T_TraitDi[#Data],COLUMN(T_TraitDi[Colonne5]),FALSE),""),"[hh]:mm"))</f>
        <v>#N/A</v>
      </c>
      <c r="AD13" s="284" t="e">
        <f>IF(VLOOKUP(T_Convention[[#This Row],[NumL]],T_TraitDi[#Data],COLUMN(T_TraitDi[Colonne6]),FALSE)=0,"",TEXT(IFERROR(VLOOKUP(T_Convention[[#This Row],[NumL]],T_TraitDi[#Data],COLUMN(T_TraitDi[Colonne6]),FALSE),""),"[hh]:mm"))</f>
        <v>#N/A</v>
      </c>
      <c r="AE13" s="284" t="e">
        <f>IF(VLOOKUP(T_Convention[[#This Row],[NumL]],T_TraitDi[#Data],COLUMN(T_TraitDi[Colonne7]),FALSE)=0,"",TEXT(IFERROR(VLOOKUP(T_Convention[[#This Row],[NumL]],T_TraitDi[#Data],COLUMN(T_TraitDi[Colonne7]),FALSE),""),"[hh]:mm"))</f>
        <v>#N/A</v>
      </c>
      <c r="AF13" s="284" t="e">
        <f>IF(VLOOKUP(T_Convention[[#This Row],[NumL]],T_TraitDi[#Data],COLUMN(T_TraitDi[Colonne8]),FALSE)=0,"",TEXT(IFERROR(VLOOKUP(T_Convention[[#This Row],[NumL]],T_TraitDi[#Data],COLUMN(T_TraitDi[Colonne8]),FALSE),""),"[hh]:mm"))</f>
        <v>#N/A</v>
      </c>
      <c r="AG13" s="284" t="str">
        <f>IFERROR(VLOOKUP(T_Convention[[#This Row],[NumL]],T_TraitDi[#Data],COLUMN(T_TraitDi[Mardi]),FALSE),"")</f>
        <v/>
      </c>
      <c r="AH13" s="284" t="e">
        <f>IF(VLOOKUP(T_Convention[[#This Row],[NumL]],T_TraitDi[#Data],COLUMN(T_TraitDi[Colonne1]),FALSE)=0,"",TEXT(IFERROR(VLOOKUP(T_Convention[[#This Row],[NumL]],T_TraitDi[#Data],COLUMN(T_TraitDi[Colonne1]),FALSE),""),"[hh]:mm"))</f>
        <v>#N/A</v>
      </c>
      <c r="AI13" s="284" t="e">
        <f>IF(VLOOKUP(T_Convention[[#This Row],[NumL]],T_TraitDi[#Data],COLUMN(T_TraitDi[Colonne9]),FALSE)=0,"",TEXT(IFERROR(VLOOKUP(T_Convention[[#This Row],[NumL]],T_TraitDi[#Data],COLUMN(T_TraitDi[Colonne9]),FALSE),""),"[hh]:mm"))</f>
        <v>#N/A</v>
      </c>
      <c r="AJ13" s="284" t="str">
        <f>IFERROR(VLOOKUP(T_Convention[[#This Row],[NumL]],T_TraitDi[#Data],COLUMN(T_TraitDi[Colonne10]),FALSE),"")</f>
        <v/>
      </c>
      <c r="AK13" s="284" t="e">
        <f>IF(VLOOKUP(T_Convention[[#This Row],[NumL]],T_TraitDi[#Data],COLUMN(T_TraitDi[Colonne11]),FALSE)=0,"",TEXT(IFERROR(VLOOKUP(T_Convention[[#This Row],[NumL]],T_TraitDi[#Data],COLUMN(T_TraitDi[Colonne11]),FALSE),""),"[hh]:mm"))</f>
        <v>#N/A</v>
      </c>
      <c r="AL13" s="284" t="e">
        <f>IF(VLOOKUP(T_Convention[[#This Row],[NumL]],T_TraitDi[#Data],COLUMN(T_TraitDi[Colonne12]),FALSE)=0,"",TEXT(IFERROR(VLOOKUP(T_Convention[[#This Row],[NumL]],T_TraitDi[#Data],COLUMN(T_TraitDi[Colonne12]),FALSE),""),"[hh]:mm"))</f>
        <v>#N/A</v>
      </c>
      <c r="AM13" s="284" t="e">
        <f>IF(VLOOKUP(T_Convention[[#This Row],[NumL]],T_TraitDi[#Data],COLUMN(T_TraitDi[Colonne14]),FALSE)=0,"",TEXT(IFERROR(VLOOKUP(T_Convention[[#This Row],[NumL]],T_TraitDi[#Data],COLUMN(T_TraitDi[Colonne14]),FALSE),""),"[hh]:mm"))</f>
        <v>#N/A</v>
      </c>
      <c r="AN13" s="284" t="str">
        <f>IFERROR(VLOOKUP(T_Convention[[#This Row],[NumL]],T_TraitDi[#Data],COLUMN(T_TraitDi[Mercredi]),FALSE),"")</f>
        <v/>
      </c>
      <c r="AO13" s="284" t="e">
        <f>IF(VLOOKUP(T_Convention[[#This Row],[NumL]],T_TraitDi[#Data],COLUMN(T_TraitDi[Colonne15]),FALSE)=0,"",TEXT(IFERROR(VLOOKUP(T_Convention[[#This Row],[NumL]],T_TraitDi[#Data],COLUMN(T_TraitDi[Colonne15]),FALSE),""),"[hh]:mm"))</f>
        <v>#N/A</v>
      </c>
      <c r="AP13" s="284" t="e">
        <f>IF(VLOOKUP(T_Convention[[#This Row],[NumL]],T_TraitDi[#Data],COLUMN(T_TraitDi[Colonne16]),FALSE)=0,"",TEXT(IFERROR(VLOOKUP(T_Convention[[#This Row],[NumL]],T_TraitDi[#Data],COLUMN(T_TraitDi[Colonne16]),FALSE),""),"[hh]:mm"))</f>
        <v>#N/A</v>
      </c>
      <c r="AQ13" s="284" t="str">
        <f>IFERROR(VLOOKUP(T_Convention[[#This Row],[NumL]],T_TraitDi[#Data],COLUMN(T_TraitDi[Colonne17]),FALSE),"")</f>
        <v/>
      </c>
      <c r="AR13" s="284" t="e">
        <f>IF(VLOOKUP(T_Convention[[#This Row],[NumL]],T_TraitDi[#Data],COLUMN(T_TraitDi[Colonne18]),FALSE)=0,"",TEXT(IFERROR(VLOOKUP(T_Convention[[#This Row],[NumL]],T_TraitDi[#Data],COLUMN(T_TraitDi[Colonne18]),FALSE),""),"[hh]:mm"))</f>
        <v>#N/A</v>
      </c>
      <c r="AS13" s="284" t="e">
        <f>IF(VLOOKUP(T_Convention[[#This Row],[NumL]],T_TraitDi[#Data],COLUMN(T_TraitDi[Colonne19]),FALSE)=0,"",TEXT(IFERROR(VLOOKUP(T_Convention[[#This Row],[NumL]],T_TraitDi[#Data],COLUMN(T_TraitDi[Colonne19]),FALSE),""),"[hh]:mm"))</f>
        <v>#N/A</v>
      </c>
      <c r="AT13" s="284" t="e">
        <f>IF(VLOOKUP(T_Convention[[#This Row],[NumL]],T_TraitDi[#Data],COLUMN(T_TraitDi[Colonne20]),FALSE)=0,"",TEXT(IFERROR(VLOOKUP(T_Convention[[#This Row],[NumL]],T_TraitDi[#Data],COLUMN(T_TraitDi[Colonne20]),FALSE),""),"[hh]:mm"))</f>
        <v>#N/A</v>
      </c>
      <c r="AU13" s="284" t="str">
        <f>IFERROR(VLOOKUP(T_Convention[[#This Row],[NumL]],T_TraitDi[#Data],COLUMN(T_TraitDi[Jeudi]),FALSE),"")</f>
        <v/>
      </c>
      <c r="AV13" s="284" t="e">
        <f>IF(VLOOKUP(T_Convention[[#This Row],[NumL]],T_TraitDi[#Data],COLUMN(T_TraitDi[Colonne21]),FALSE)=0,"",TEXT(IFERROR(VLOOKUP(T_Convention[[#This Row],[NumL]],T_TraitDi[#Data],COLUMN(T_TraitDi[Colonne21]),FALSE),""),"[hh]:mm"))</f>
        <v>#N/A</v>
      </c>
      <c r="AW13" s="284" t="e">
        <f>IF(VLOOKUP(T_Convention[[#This Row],[NumL]],T_TraitDi[#Data],COLUMN(T_TraitDi[Colonne22]),FALSE)=0,"",TEXT(IFERROR(VLOOKUP(T_Convention[[#This Row],[NumL]],T_TraitDi[#Data],COLUMN(T_TraitDi[Colonne22]),FALSE),""),"[hh]:mm"))</f>
        <v>#N/A</v>
      </c>
      <c r="AX13" s="284" t="str">
        <f>IFERROR(VLOOKUP(T_Convention[[#This Row],[NumL]],T_TraitDi[#Data],COLUMN(T_TraitDi[Colonne23]),FALSE),"")</f>
        <v/>
      </c>
      <c r="AY13" s="284" t="e">
        <f>IF(VLOOKUP(T_Convention[[#This Row],[NumL]],T_TraitDi[#Data],COLUMN(T_TraitDi[Colonne24]),FALSE)=0,"",TEXT(IFERROR(VLOOKUP(T_Convention[[#This Row],[NumL]],T_TraitDi[#Data],COLUMN(T_TraitDi[Colonne24]),FALSE),""),"[hh]:mm"))</f>
        <v>#N/A</v>
      </c>
      <c r="AZ13" s="284" t="e">
        <f>IF(VLOOKUP(T_Convention[[#This Row],[NumL]],T_TraitDi[#Data],COLUMN(T_TraitDi[Colonne25]),FALSE)=0,"",TEXT(IFERROR(VLOOKUP(T_Convention[[#This Row],[NumL]],T_TraitDi[#Data],COLUMN(T_TraitDi[Colonne25]),FALSE),""),"[hh]:mm"))</f>
        <v>#N/A</v>
      </c>
      <c r="BA13" s="284" t="e">
        <f>IF(VLOOKUP(T_Convention[[#This Row],[NumL]],T_TraitDi[#Data],COLUMN(T_TraitDi[Colonne26]),FALSE)=0,"",TEXT(IFERROR(VLOOKUP(T_Convention[[#This Row],[NumL]],T_TraitDi[#Data],COLUMN(T_TraitDi[Colonne26]),FALSE),""),"[hh]:mm"))</f>
        <v>#N/A</v>
      </c>
      <c r="BB13" s="284" t="str">
        <f>IFERROR(VLOOKUP(T_Convention[[#This Row],[NumL]],T_TraitDi[#Data],COLUMN(T_TraitDi[Vendredi]),FALSE),"")</f>
        <v/>
      </c>
      <c r="BC13" s="284" t="e">
        <f>IF(VLOOKUP(T_Convention[[#This Row],[NumL]],T_TraitDi[#Data],COLUMN(T_TraitDi[Colonne27]),FALSE)=0,"",TEXT(IFERROR(VLOOKUP(T_Convention[[#This Row],[NumL]],T_TraitDi[#Data],COLUMN(T_TraitDi[Colonne27]),FALSE),""),"[hh]:mm"))</f>
        <v>#N/A</v>
      </c>
      <c r="BD13" s="284" t="e">
        <f>IF(VLOOKUP(T_Convention[[#This Row],[NumL]],T_TraitDi[#Data],COLUMN(T_TraitDi[Colonne28]),FALSE)=0,"",TEXT(IFERROR(VLOOKUP(T_Convention[[#This Row],[NumL]],T_TraitDi[#Data],COLUMN(T_TraitDi[Colonne28]),FALSE),""),"[hh]:mm"))</f>
        <v>#N/A</v>
      </c>
      <c r="BE13" s="284" t="str">
        <f>IFERROR(VLOOKUP(T_Convention[[#This Row],[NumL]],T_TraitDi[#Data],COLUMN(T_TraitDi[Colonne29]),FALSE),"")</f>
        <v/>
      </c>
      <c r="BF13" s="284" t="e">
        <f>IF(VLOOKUP(T_Convention[[#This Row],[NumL]],T_TraitDi[#Data],COLUMN(T_TraitDi[Colonne30]),FALSE)=0,"",TEXT(IFERROR(VLOOKUP(T_Convention[[#This Row],[NumL]],T_TraitDi[#Data],COLUMN(T_TraitDi[Colonne30]),FALSE),""),"[hh]:mm"))</f>
        <v>#N/A</v>
      </c>
      <c r="BG13" s="284" t="e">
        <f>IF(VLOOKUP(T_Convention[[#This Row],[NumL]],T_TraitDi[#Data],COLUMN(T_TraitDi[Colonne31]),FALSE)=0,"",TEXT(IFERROR(VLOOKUP(T_Convention[[#This Row],[NumL]],T_TraitDi[#Data],COLUMN(T_TraitDi[Colonne31]),FALSE),""),"[hh]:mm"))</f>
        <v>#N/A</v>
      </c>
      <c r="BH13" s="284" t="e">
        <f>IF(VLOOKUP(T_Convention[[#This Row],[NumL]],T_TraitDi[#Data],COLUMN(T_TraitDi[Colonne32]),FALSE)=0,"",TEXT(IFERROR(VLOOKUP(T_Convention[[#This Row],[NumL]],T_TraitDi[#Data],COLUMN(T_TraitDi[Colonne32]),FALSE),""),"[hh]:mm"))</f>
        <v>#N/A</v>
      </c>
      <c r="BI13" s="284" t="str">
        <f>IFERROR(VLOOKUP(T_Convention[[#This Row],[NumL]],T_TraitDi[#Data],COLUMN(T_TraitDi[NbJTW]),FALSE),"")</f>
        <v/>
      </c>
      <c r="BJ13" s="284" t="e">
        <f>IF(VLOOKUP(T_Convention[[#This Row],[NumL]],T_TraitDi[#Data],COLUMN(T_TraitDi[NbhTW]),FALSE)=0,"",TEXT(IFERROR(VLOOKUP(T_Convention[[#This Row],[NumL]],T_TraitDi[#Data],COLUMN(T_TraitDi[NbhTW]),FALSE),""),"[hh]:mm"))</f>
        <v>#N/A</v>
      </c>
      <c r="BK13" s="286" t="e">
        <f>IF(VLOOKUP(T_Convention[[#This Row],[NumL]],T_TraitDi[#Data],COLUMN(T_TraitDi[Nbhheb]),FALSE)=0,"",TEXT(IFERROR(VLOOKUP(T_Convention[[#This Row],[NumL]],T_TraitDi[#Data],COLUMN(T_TraitDi[Nbhheb]),FALSE),""),"[hh]:mm"))</f>
        <v>#N/A</v>
      </c>
      <c r="BL13" s="287" t="str">
        <f>IFERROR(VLOOKUP(VLOOKUP(T_Convention[[#This Row],[NumL]],T_TraitDi[#Data],COLUMN(T_TraitDi[Type1]),FALSE),TypeTW,2,FALSE),"")</f>
        <v/>
      </c>
      <c r="BM13" s="288" t="str">
        <f>IFERROR(VLOOKUP(T_Convention[[#This Row],[NumL]],T_TraitDi[#Data],COLUMN(T_TraitDi[Rue1]),FALSE),"")</f>
        <v/>
      </c>
      <c r="BN13" s="289" t="str">
        <f>IFERROR(VLOOKUP(T_Convention[[#This Row],[NumL]],T_TraitDi[#Data],COLUMN(T_TraitDi[CP1]),FALSE),"")</f>
        <v/>
      </c>
      <c r="BO13" s="282" t="str">
        <f>IFERROR(VLOOKUP(T_Convention[[#This Row],[NumL]],T_TraitDi[#Data],COLUMN(T_TraitDi[VILLE1]),FALSE),"")</f>
        <v/>
      </c>
      <c r="BP13" s="290" t="str">
        <f>IFERROR(VLOOKUP(VLOOKUP(T_Convention[[#This Row],[NumL]],T_TraitDi[#Data],COLUMN(T_TraitDi[Type2]),FALSE),TypeTW,2,FALSE),"")</f>
        <v/>
      </c>
      <c r="BQ13" s="182" t="str">
        <f>IFERROR(VLOOKUP(T_Convention[[#This Row],[NumL]],T_TraitDi[#Data],COLUMN(T_TraitDi[Rue2]),FALSE),"")</f>
        <v/>
      </c>
      <c r="BR13" s="173" t="str">
        <f>IFERROR(VLOOKUP(T_Convention[[#This Row],[NumL]],T_TraitDi[#Data],COLUMN(T_TraitDi[CP2]),FALSE),"")</f>
        <v/>
      </c>
      <c r="BS13" s="173" t="str">
        <f>IFERROR(VLOOKUP(T_Convention[[#This Row],[NumL]],T_TraitDi[#Data],COLUMN(T_TraitDi[VILLE2]),FALSE),"")</f>
        <v/>
      </c>
      <c r="BT13" s="313" t="str">
        <f>IF(VLOOKUP(T_Convention[[#This Row],[NumL]],T_Equipement[#Data],COLUMN(T_Equipement[PC]),FALSE)="","Aucun équipement spécifique directement lié au télétravail",VLOOKUP(T_Convention[[#This Row],[NumL]],T_Equipement[#Data],COLUMN(T_Equipement[PC]),FALSE))</f>
        <v xml:space="preserve">18-036	</v>
      </c>
      <c r="BU13" s="296" t="str">
        <f>IFERROR(IF(VLOOKUP(T_Convention[[#This Row],[NumL]],T_TraitDi[#Data],COLUMN(T_TraitDi[Plan]),FALSE)="OK","Un planning spécifique de télétravail est annexé à la présente convention.",""),"")</f>
        <v/>
      </c>
      <c r="BV13" s="185"/>
      <c r="BW13" s="164" t="e">
        <f>IF(VLOOKUP(T_Convention[[#This Row],[NumL]],T_suiviDi[#Data],COLUMN(T_suiviDi[Entité]),FALSE)="","",VLOOKUP(T_Convention[[#This Row],[NumL]],T_suiviDi[#Data],COLUMN(T_suiviDi[Entité]),FALSE))</f>
        <v>#N/A</v>
      </c>
      <c r="BX13" s="164" t="str">
        <f>IF(VLOOKUP(T_Convention[[#This Row],[NumL]],T_Commission[#Data],COLUMN(T_Commission[envoi confirm TW]),FALSE)="","",VLOOKUP(T_Convention[[#This Row],[NumL]],T_Commission[#Data],COLUMN(T_Commission[envoi confirm TW]),FALSE))</f>
        <v>Oui</v>
      </c>
      <c r="BY1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 s="264">
        <f>VLOOKUP(T_Convention[[#This Row],[NumL]],T_Commission[#Data],COLUMN(T_Commission[Commentaire]),FALSE)</f>
        <v>0</v>
      </c>
      <c r="CA13" s="254" t="str">
        <f>IF(VLOOKUP(T_Convention[[#This Row],[NumL]],T_Commission[#Data],COLUMN(T_Commission[Encadrant Email]),FALSE)="","",VLOOKUP(T_Convention[[#This Row],[NumL]],T_Commission[#Data],COLUMN(T_Commission[Encadrant Email]),FALSE))</f>
        <v/>
      </c>
      <c r="CB13" s="352" t="e">
        <f>VLOOKUP(T_Convention[[#This Row],[NumL]],T_TraitDi[#Data],COLUMN(T_TraitDi[NbJTot]),FALSE)</f>
        <v>#N/A</v>
      </c>
      <c r="CC13" s="352" t="e">
        <f>VLOOKUP(T_Convention[[#This Row],[NumL]],T_TraitDi[#Data],COLUMN(T_TraitDi[Reg Ponct]),FALSE)</f>
        <v>#N/A</v>
      </c>
      <c r="CD13" s="348" t="str">
        <f>IF(T_Convention[[#This Row],[Final]]&lt;&gt;"",VLOOKUP(T_Convention[[#This Row],[NumL]],T_suiviDi[#Data],COLUMN((T_suiviDi[Statut])),FALSE),"")</f>
        <v/>
      </c>
    </row>
    <row r="14" spans="1:82" s="106" customFormat="1" ht="18.75" customHeight="1" x14ac:dyDescent="0.25">
      <c r="A14" s="90">
        <v>70</v>
      </c>
      <c r="B14" s="161" t="str">
        <f>VLOOKUP(T_Convention[[#This Row],[NumL]],T_Commission[#Data],COLUMN(T_Commission[FINAL]),FALSE)</f>
        <v/>
      </c>
      <c r="C14" s="309"/>
      <c r="D14" s="95" t="e">
        <f>IF(VLOOKUP(T_Convention[[#This Row],[NumL]],T_TraitDi[#Data],COLUMN(T_TraitDi[WebC]),FALSE)="","",VLOOKUP(T_Convention[[#This Row],[NumL]],T_TraitDi[#Data],COLUMN(T_TraitDi[WebC]),FALSE))</f>
        <v>#N/A</v>
      </c>
      <c r="E14" s="95" t="str">
        <f t="shared" si="0"/>
        <v>12 janvier 2021</v>
      </c>
      <c r="F14" s="282" t="str">
        <f>IF(T_Convention[[#This Row],[Final]]&lt;&gt;"",VLOOKUP(T_Convention[[#This Row],[NumL]],T_suiviDi[#Data],COLUMN((T_suiviDi[Civ.])),FALSE),"")</f>
        <v/>
      </c>
      <c r="G14" s="283" t="str">
        <f>IF(T_Convention[[#This Row],[Final]]&lt;&gt;"",VLOOKUP(T_Convention[[#This Row],[NumL]],T_suiviDi[#Data],COLUMN((T_suiviDi[Nom])),FALSE),"")</f>
        <v/>
      </c>
      <c r="H14" s="282" t="str">
        <f>IF(T_Convention[[#This Row],[Final]]&lt;&gt;"",VLOOKUP(T_Convention[[#This Row],[NumL]],T_suiviDi[#Data],COLUMN((T_suiviDi[Prénom])),FALSE),"")</f>
        <v/>
      </c>
      <c r="I14" s="282" t="e">
        <f>VLOOKUP(T_Convention[[#This Row],[NumL]],T_suiviDi[#Data],COLUMN((T_suiviDi[[#This Row],[Email]])),FALSE)</f>
        <v>#N/A</v>
      </c>
      <c r="J14" s="282" t="e">
        <f>IF(VLOOKUP(T_Convention[[#This Row],[NumL]],T_suiviDi[#Data],COLUMN(T_suiviDi[[#This Row],[Fonction]]),FALSE)="","",VLOOKUP(T_Convention[[#This Row],[NumL]],T_suiviDi[#Data],COLUMN(T_suiviDi[[#This Row],[Fonction]]),FALSE))</f>
        <v>#N/A</v>
      </c>
      <c r="K14" s="282" t="e">
        <f>IF(VLOOKUP(T_Convention[[#This Row],[NumL]],T_suiviDi[#Data],COLUMN(T_suiviDi[[#This Row],[Grade]]),FALSE)="","",VLOOKUP(T_Convention[[#This Row],[NumL]],T_suiviDi[#Data],COLUMN(T_suiviDi[[#This Row],[Grade]]),FALSE))</f>
        <v>#N/A</v>
      </c>
      <c r="L14" s="282" t="e">
        <f>IF(VLOOKUP(T_Convention[[#This Row],[NumL]],T_suiviDi[#Data],COLUMN(T_suiviDi[[#This Row],[Service ]]),FALSE)="","",VLOOKUP(T_Convention[[#This Row],[NumL]],T_suiviDi[#Data],COLUMN(T_suiviDi[[#This Row],[Service ]]),FALSE))</f>
        <v>#N/A</v>
      </c>
      <c r="M14" s="96" t="str">
        <f t="shared" si="1"/>
        <v>01 septembre 2021</v>
      </c>
      <c r="N14" s="96" t="str">
        <f t="shared" si="2"/>
        <v>30 novembre 2021</v>
      </c>
      <c r="O14" s="284" t="str">
        <f t="shared" si="3"/>
        <v>30 novembre 2021</v>
      </c>
      <c r="P14" s="282" t="e">
        <f>IF(VLOOKUP(T_Convention[[#This Row],[NumL]],T_TraitDi[#Data],COLUMN(T_TraitDi[M1]),FALSE)="","",VLOOKUP(T_Convention[[#This Row],[NumL]],T_TraitDi[#Data],COLUMN(T_TraitDi[M1]),FALSE))</f>
        <v>#N/A</v>
      </c>
      <c r="Q14" s="282" t="e">
        <f>IF(VLOOKUP(T_Convention[[#This Row],[NumL]],T_TraitDi[#Data],COLUMN(T_TraitDi[M2]),FALSE)="","",VLOOKUP(T_Convention[[#This Row],[NumL]],T_TraitDi[#Data],COLUMN(T_TraitDi[M2]),FALSE))</f>
        <v>#N/A</v>
      </c>
      <c r="R14" s="282" t="e">
        <f>IF(VLOOKUP(T_Convention[[#This Row],[NumL]],T_TraitDi[#Data],COLUMN(T_TraitDi[M3]),FALSE)="","",VLOOKUP(T_Convention[[#This Row],[NumL]],T_TraitDi[#Data],COLUMN(T_TraitDi[M3]),FALSE))</f>
        <v>#N/A</v>
      </c>
      <c r="S14" s="282" t="e">
        <f>IF(VLOOKUP(T_Convention[[#This Row],[NumL]],T_TraitDi[#Data],COLUMN(T_TraitDi[M4]),FALSE)="","",VLOOKUP(T_Convention[[#This Row],[NumL]],T_TraitDi[#Data],COLUMN(T_TraitDi[M4]),FALSE))</f>
        <v>#N/A</v>
      </c>
      <c r="T14" s="282" t="e">
        <f>IF(VLOOKUP(T_Convention[[#This Row],[NumL]],T_TraitDi[#Data],COLUMN(T_TraitDi[M5]),FALSE)="","",VLOOKUP(T_Convention[[#This Row],[NumL]],T_TraitDi[#Data],COLUMN(T_TraitDi[M5]),FALSE))</f>
        <v>#N/A</v>
      </c>
      <c r="U14" s="282" t="e">
        <f>IF(VLOOKUP(T_Convention[[#This Row],[NumL]],T_TraitDi[#Data],COLUMN(T_TraitDi[M6]),FALSE)="","",VLOOKUP(T_Convention[[#This Row],[NumL]],T_TraitDi[#Data],COLUMN(T_TraitDi[M6]),FALSE))</f>
        <v>#N/A</v>
      </c>
      <c r="V14" s="312" t="e">
        <f t="shared" si="4"/>
        <v>#N/A</v>
      </c>
      <c r="W14" s="284" t="str">
        <f>IFERROR(TEXT(VLOOKUP(T_Convention[[#This Row],[NumL]],T_TraitDi[#Data],COLUMN(T_TraitDi[Q2]),FALSE),"###%"),"")</f>
        <v/>
      </c>
      <c r="X14" s="97" t="e">
        <f>VLOOKUP(T_Convention[[#This Row],[NumL]],T_TraitDi[#Data],COLUMN(T_TraitDi[Reg Ponct]),FALSE)</f>
        <v>#N/A</v>
      </c>
      <c r="Y14" s="97" t="e">
        <f>VLOOKUP(T_Convention[NumL],T_TraitDi[#Data],COLUMN(T_TraitDi[Jours flottants]),FALSE)</f>
        <v>#N/A</v>
      </c>
      <c r="Z14" s="284" t="str">
        <f>IFERROR(VLOOKUP(T_Convention[[#This Row],[NumL]],T_TraitDi[#Data],COLUMN(T_TraitDi[Lundi]),FALSE),"")</f>
        <v/>
      </c>
      <c r="AA14" s="284" t="e">
        <f>IF(VLOOKUP(T_Convention[[#This Row],[NumL]],T_TraitDi[#Data],COLUMN(T_TraitDi[Colonne3]),FALSE)=0,"",TEXT(IFERROR(VLOOKUP(T_Convention[[#This Row],[NumL]],T_TraitDi[#Data],COLUMN(T_TraitDi[Colonne3]),FALSE),""),"[hh]:mm"))</f>
        <v>#N/A</v>
      </c>
      <c r="AB14" s="284" t="e">
        <f>IF(VLOOKUP(T_Convention[[#This Row],[NumL]],T_TraitDi[#Data],COLUMN(T_TraitDi[Colonne4]),FALSE)=0,"",TEXT(IFERROR(VLOOKUP(T_Convention[[#This Row],[NumL]],T_TraitDi[#Data],COLUMN(T_TraitDi[Colonne4]),FALSE),""),"[hh]:mm"))</f>
        <v>#N/A</v>
      </c>
      <c r="AC14" s="284" t="e">
        <f>IF(VLOOKUP(T_Convention[[#This Row],[NumL]],T_TraitDi[#Data],COLUMN(T_TraitDi[Colonne5]),FALSE)=0,"",TEXT(IFERROR(VLOOKUP(T_Convention[[#This Row],[NumL]],T_TraitDi[#Data],COLUMN(T_TraitDi[Colonne5]),FALSE),""),"[hh]:mm"))</f>
        <v>#N/A</v>
      </c>
      <c r="AD14" s="284" t="e">
        <f>IF(VLOOKUP(T_Convention[[#This Row],[NumL]],T_TraitDi[#Data],COLUMN(T_TraitDi[Colonne6]),FALSE)=0,"",TEXT(IFERROR(VLOOKUP(T_Convention[[#This Row],[NumL]],T_TraitDi[#Data],COLUMN(T_TraitDi[Colonne6]),FALSE),""),"[hh]:mm"))</f>
        <v>#N/A</v>
      </c>
      <c r="AE14" s="284" t="e">
        <f>IF(VLOOKUP(T_Convention[[#This Row],[NumL]],T_TraitDi[#Data],COLUMN(T_TraitDi[Colonne7]),FALSE)=0,"",TEXT(IFERROR(VLOOKUP(T_Convention[[#This Row],[NumL]],T_TraitDi[#Data],COLUMN(T_TraitDi[Colonne7]),FALSE),""),"[hh]:mm"))</f>
        <v>#N/A</v>
      </c>
      <c r="AF14" s="284" t="e">
        <f>IF(VLOOKUP(T_Convention[[#This Row],[NumL]],T_TraitDi[#Data],COLUMN(T_TraitDi[Colonne8]),FALSE)=0,"",TEXT(IFERROR(VLOOKUP(T_Convention[[#This Row],[NumL]],T_TraitDi[#Data],COLUMN(T_TraitDi[Colonne8]),FALSE),""),"[hh]:mm"))</f>
        <v>#N/A</v>
      </c>
      <c r="AG14" s="284" t="str">
        <f>IFERROR(VLOOKUP(T_Convention[[#This Row],[NumL]],T_TraitDi[#Data],COLUMN(T_TraitDi[Mardi]),FALSE),"")</f>
        <v/>
      </c>
      <c r="AH14" s="284" t="e">
        <f>IF(VLOOKUP(T_Convention[[#This Row],[NumL]],T_TraitDi[#Data],COLUMN(T_TraitDi[Colonne1]),FALSE)=0,"",TEXT(IFERROR(VLOOKUP(T_Convention[[#This Row],[NumL]],T_TraitDi[#Data],COLUMN(T_TraitDi[Colonne1]),FALSE),""),"[hh]:mm"))</f>
        <v>#N/A</v>
      </c>
      <c r="AI14" s="284" t="e">
        <f>IF(VLOOKUP(T_Convention[[#This Row],[NumL]],T_TraitDi[#Data],COLUMN(T_TraitDi[Colonne9]),FALSE)=0,"",TEXT(IFERROR(VLOOKUP(T_Convention[[#This Row],[NumL]],T_TraitDi[#Data],COLUMN(T_TraitDi[Colonne9]),FALSE),""),"[hh]:mm"))</f>
        <v>#N/A</v>
      </c>
      <c r="AJ14" s="284" t="str">
        <f>IFERROR(VLOOKUP(T_Convention[[#This Row],[NumL]],T_TraitDi[#Data],COLUMN(T_TraitDi[Colonne10]),FALSE),"")</f>
        <v/>
      </c>
      <c r="AK14" s="284" t="e">
        <f>IF(VLOOKUP(T_Convention[[#This Row],[NumL]],T_TraitDi[#Data],COLUMN(T_TraitDi[Colonne11]),FALSE)=0,"",TEXT(IFERROR(VLOOKUP(T_Convention[[#This Row],[NumL]],T_TraitDi[#Data],COLUMN(T_TraitDi[Colonne11]),FALSE),""),"[hh]:mm"))</f>
        <v>#N/A</v>
      </c>
      <c r="AL14" s="284" t="e">
        <f>IF(VLOOKUP(T_Convention[[#This Row],[NumL]],T_TraitDi[#Data],COLUMN(T_TraitDi[Colonne12]),FALSE)=0,"",TEXT(IFERROR(VLOOKUP(T_Convention[[#This Row],[NumL]],T_TraitDi[#Data],COLUMN(T_TraitDi[Colonne12]),FALSE),""),"[hh]:mm"))</f>
        <v>#N/A</v>
      </c>
      <c r="AM14" s="284" t="e">
        <f>IF(VLOOKUP(T_Convention[[#This Row],[NumL]],T_TraitDi[#Data],COLUMN(T_TraitDi[Colonne14]),FALSE)=0,"",TEXT(IFERROR(VLOOKUP(T_Convention[[#This Row],[NumL]],T_TraitDi[#Data],COLUMN(T_TraitDi[Colonne14]),FALSE),""),"[hh]:mm"))</f>
        <v>#N/A</v>
      </c>
      <c r="AN14" s="284" t="str">
        <f>IFERROR(VLOOKUP(T_Convention[[#This Row],[NumL]],T_TraitDi[#Data],COLUMN(T_TraitDi[Mercredi]),FALSE),"")</f>
        <v/>
      </c>
      <c r="AO14" s="284" t="e">
        <f>IF(VLOOKUP(T_Convention[[#This Row],[NumL]],T_TraitDi[#Data],COLUMN(T_TraitDi[Colonne15]),FALSE)=0,"",TEXT(IFERROR(VLOOKUP(T_Convention[[#This Row],[NumL]],T_TraitDi[#Data],COLUMN(T_TraitDi[Colonne15]),FALSE),""),"[hh]:mm"))</f>
        <v>#N/A</v>
      </c>
      <c r="AP14" s="284" t="e">
        <f>IF(VLOOKUP(T_Convention[[#This Row],[NumL]],T_TraitDi[#Data],COLUMN(T_TraitDi[Colonne16]),FALSE)=0,"",TEXT(IFERROR(VLOOKUP(T_Convention[[#This Row],[NumL]],T_TraitDi[#Data],COLUMN(T_TraitDi[Colonne16]),FALSE),""),"[hh]:mm"))</f>
        <v>#N/A</v>
      </c>
      <c r="AQ14" s="284" t="str">
        <f>IFERROR(VLOOKUP(T_Convention[[#This Row],[NumL]],T_TraitDi[#Data],COLUMN(T_TraitDi[Colonne17]),FALSE),"")</f>
        <v/>
      </c>
      <c r="AR14" s="284" t="e">
        <f>IF(VLOOKUP(T_Convention[[#This Row],[NumL]],T_TraitDi[#Data],COLUMN(T_TraitDi[Colonne18]),FALSE)=0,"",TEXT(IFERROR(VLOOKUP(T_Convention[[#This Row],[NumL]],T_TraitDi[#Data],COLUMN(T_TraitDi[Colonne18]),FALSE),""),"[hh]:mm"))</f>
        <v>#N/A</v>
      </c>
      <c r="AS14" s="284" t="e">
        <f>IF(VLOOKUP(T_Convention[[#This Row],[NumL]],T_TraitDi[#Data],COLUMN(T_TraitDi[Colonne19]),FALSE)=0,"",TEXT(IFERROR(VLOOKUP(T_Convention[[#This Row],[NumL]],T_TraitDi[#Data],COLUMN(T_TraitDi[Colonne19]),FALSE),""),"[hh]:mm"))</f>
        <v>#N/A</v>
      </c>
      <c r="AT14" s="284" t="e">
        <f>IF(VLOOKUP(T_Convention[[#This Row],[NumL]],T_TraitDi[#Data],COLUMN(T_TraitDi[Colonne20]),FALSE)=0,"",TEXT(IFERROR(VLOOKUP(T_Convention[[#This Row],[NumL]],T_TraitDi[#Data],COLUMN(T_TraitDi[Colonne20]),FALSE),""),"[hh]:mm"))</f>
        <v>#N/A</v>
      </c>
      <c r="AU14" s="284" t="str">
        <f>IFERROR(VLOOKUP(T_Convention[[#This Row],[NumL]],T_TraitDi[#Data],COLUMN(T_TraitDi[Jeudi]),FALSE),"")</f>
        <v/>
      </c>
      <c r="AV14" s="284" t="e">
        <f>IF(VLOOKUP(T_Convention[[#This Row],[NumL]],T_TraitDi[#Data],COLUMN(T_TraitDi[Colonne21]),FALSE)=0,"",TEXT(IFERROR(VLOOKUP(T_Convention[[#This Row],[NumL]],T_TraitDi[#Data],COLUMN(T_TraitDi[Colonne21]),FALSE),""),"[hh]:mm"))</f>
        <v>#N/A</v>
      </c>
      <c r="AW14" s="284" t="e">
        <f>IF(VLOOKUP(T_Convention[[#This Row],[NumL]],T_TraitDi[#Data],COLUMN(T_TraitDi[Colonne22]),FALSE)=0,"",TEXT(IFERROR(VLOOKUP(T_Convention[[#This Row],[NumL]],T_TraitDi[#Data],COLUMN(T_TraitDi[Colonne22]),FALSE),""),"[hh]:mm"))</f>
        <v>#N/A</v>
      </c>
      <c r="AX14" s="284" t="str">
        <f>IFERROR(VLOOKUP(T_Convention[[#This Row],[NumL]],T_TraitDi[#Data],COLUMN(T_TraitDi[Colonne23]),FALSE),"")</f>
        <v/>
      </c>
      <c r="AY14" s="284" t="e">
        <f>IF(VLOOKUP(T_Convention[[#This Row],[NumL]],T_TraitDi[#Data],COLUMN(T_TraitDi[Colonne24]),FALSE)=0,"",TEXT(IFERROR(VLOOKUP(T_Convention[[#This Row],[NumL]],T_TraitDi[#Data],COLUMN(T_TraitDi[Colonne24]),FALSE),""),"[hh]:mm"))</f>
        <v>#N/A</v>
      </c>
      <c r="AZ14" s="284" t="e">
        <f>IF(VLOOKUP(T_Convention[[#This Row],[NumL]],T_TraitDi[#Data],COLUMN(T_TraitDi[Colonne25]),FALSE)=0,"",TEXT(IFERROR(VLOOKUP(T_Convention[[#This Row],[NumL]],T_TraitDi[#Data],COLUMN(T_TraitDi[Colonne25]),FALSE),""),"[hh]:mm"))</f>
        <v>#N/A</v>
      </c>
      <c r="BA14" s="284" t="e">
        <f>IF(VLOOKUP(T_Convention[[#This Row],[NumL]],T_TraitDi[#Data],COLUMN(T_TraitDi[Colonne26]),FALSE)=0,"",TEXT(IFERROR(VLOOKUP(T_Convention[[#This Row],[NumL]],T_TraitDi[#Data],COLUMN(T_TraitDi[Colonne26]),FALSE),""),"[hh]:mm"))</f>
        <v>#N/A</v>
      </c>
      <c r="BB14" s="284" t="str">
        <f>IFERROR(VLOOKUP(T_Convention[[#This Row],[NumL]],T_TraitDi[#Data],COLUMN(T_TraitDi[Vendredi]),FALSE),"")</f>
        <v/>
      </c>
      <c r="BC14" s="284" t="e">
        <f>IF(VLOOKUP(T_Convention[[#This Row],[NumL]],T_TraitDi[#Data],COLUMN(T_TraitDi[Colonne27]),FALSE)=0,"",TEXT(IFERROR(VLOOKUP(T_Convention[[#This Row],[NumL]],T_TraitDi[#Data],COLUMN(T_TraitDi[Colonne27]),FALSE),""),"[hh]:mm"))</f>
        <v>#N/A</v>
      </c>
      <c r="BD14" s="284" t="e">
        <f>IF(VLOOKUP(T_Convention[[#This Row],[NumL]],T_TraitDi[#Data],COLUMN(T_TraitDi[Colonne28]),FALSE)=0,"",TEXT(IFERROR(VLOOKUP(T_Convention[[#This Row],[NumL]],T_TraitDi[#Data],COLUMN(T_TraitDi[Colonne28]),FALSE),""),"[hh]:mm"))</f>
        <v>#N/A</v>
      </c>
      <c r="BE14" s="284" t="str">
        <f>IFERROR(VLOOKUP(T_Convention[[#This Row],[NumL]],T_TraitDi[#Data],COLUMN(T_TraitDi[Colonne29]),FALSE),"")</f>
        <v/>
      </c>
      <c r="BF14" s="284" t="e">
        <f>IF(VLOOKUP(T_Convention[[#This Row],[NumL]],T_TraitDi[#Data],COLUMN(T_TraitDi[Colonne30]),FALSE)=0,"",TEXT(IFERROR(VLOOKUP(T_Convention[[#This Row],[NumL]],T_TraitDi[#Data],COLUMN(T_TraitDi[Colonne30]),FALSE),""),"[hh]:mm"))</f>
        <v>#N/A</v>
      </c>
      <c r="BG14" s="284" t="e">
        <f>IF(VLOOKUP(T_Convention[[#This Row],[NumL]],T_TraitDi[#Data],COLUMN(T_TraitDi[Colonne31]),FALSE)=0,"",TEXT(IFERROR(VLOOKUP(T_Convention[[#This Row],[NumL]],T_TraitDi[#Data],COLUMN(T_TraitDi[Colonne31]),FALSE),""),"[hh]:mm"))</f>
        <v>#N/A</v>
      </c>
      <c r="BH14" s="284" t="e">
        <f>IF(VLOOKUP(T_Convention[[#This Row],[NumL]],T_TraitDi[#Data],COLUMN(T_TraitDi[Colonne32]),FALSE)=0,"",TEXT(IFERROR(VLOOKUP(T_Convention[[#This Row],[NumL]],T_TraitDi[#Data],COLUMN(T_TraitDi[Colonne32]),FALSE),""),"[hh]:mm"))</f>
        <v>#N/A</v>
      </c>
      <c r="BI14" s="284" t="str">
        <f>IFERROR(VLOOKUP(T_Convention[[#This Row],[NumL]],T_TraitDi[#Data],COLUMN(T_TraitDi[NbJTW]),FALSE),"")</f>
        <v/>
      </c>
      <c r="BJ14" s="284" t="e">
        <f>IF(VLOOKUP(T_Convention[[#This Row],[NumL]],T_TraitDi[#Data],COLUMN(T_TraitDi[NbhTW]),FALSE)=0,"",TEXT(IFERROR(VLOOKUP(T_Convention[[#This Row],[NumL]],T_TraitDi[#Data],COLUMN(T_TraitDi[NbhTW]),FALSE),""),"[hh]:mm"))</f>
        <v>#N/A</v>
      </c>
      <c r="BK14" s="286" t="e">
        <f>IF(VLOOKUP(T_Convention[[#This Row],[NumL]],T_TraitDi[#Data],COLUMN(T_TraitDi[Nbhheb]),FALSE)=0,"",TEXT(IFERROR(VLOOKUP(T_Convention[[#This Row],[NumL]],T_TraitDi[#Data],COLUMN(T_TraitDi[Nbhheb]),FALSE),""),"[hh]:mm"))</f>
        <v>#N/A</v>
      </c>
      <c r="BL14" s="287" t="str">
        <f>IFERROR(VLOOKUP(VLOOKUP(T_Convention[[#This Row],[NumL]],T_TraitDi[#Data],COLUMN(T_TraitDi[Type1]),FALSE),TypeTW,2,FALSE),"")</f>
        <v/>
      </c>
      <c r="BM14" s="288" t="str">
        <f>IFERROR(VLOOKUP(T_Convention[[#This Row],[NumL]],T_TraitDi[#Data],COLUMN(T_TraitDi[Rue1]),FALSE),"")</f>
        <v/>
      </c>
      <c r="BN14" s="289" t="str">
        <f>IFERROR(VLOOKUP(T_Convention[[#This Row],[NumL]],T_TraitDi[#Data],COLUMN(T_TraitDi[CP1]),FALSE),"")</f>
        <v/>
      </c>
      <c r="BO14" s="282" t="str">
        <f>IFERROR(VLOOKUP(T_Convention[[#This Row],[NumL]],T_TraitDi[#Data],COLUMN(T_TraitDi[VILLE1]),FALSE),"")</f>
        <v/>
      </c>
      <c r="BP14" s="290" t="str">
        <f>IFERROR(VLOOKUP(VLOOKUP(T_Convention[[#This Row],[NumL]],T_TraitDi[#Data],COLUMN(T_TraitDi[Type2]),FALSE),TypeTW,2,FALSE),"")</f>
        <v/>
      </c>
      <c r="BQ14" s="182" t="str">
        <f>IFERROR(VLOOKUP(T_Convention[[#This Row],[NumL]],T_TraitDi[#Data],COLUMN(T_TraitDi[Rue2]),FALSE),"")</f>
        <v/>
      </c>
      <c r="BR14" s="173" t="str">
        <f>IFERROR(VLOOKUP(T_Convention[[#This Row],[NumL]],T_TraitDi[#Data],COLUMN(T_TraitDi[CP2]),FALSE),"")</f>
        <v/>
      </c>
      <c r="BS14" s="173" t="str">
        <f>IFERROR(VLOOKUP(T_Convention[[#This Row],[NumL]],T_TraitDi[#Data],COLUMN(T_TraitDi[VILLE2]),FALSE),"")</f>
        <v/>
      </c>
      <c r="BT14" s="313" t="str">
        <f>IF(VLOOKUP(T_Convention[[#This Row],[NumL]],T_Equipement[#Data],COLUMN(T_Equipement[PC]),FALSE)="","Aucun équipement spécifique directement lié au télétravail",VLOOKUP(T_Convention[[#This Row],[NumL]],T_Equipement[#Data],COLUMN(T_Equipement[PC]),FALSE))</f>
        <v xml:space="preserve">20-405	</v>
      </c>
      <c r="BU14" s="296" t="str">
        <f>IFERROR(IF(VLOOKUP(T_Convention[[#This Row],[NumL]],T_TraitDi[#Data],COLUMN(T_TraitDi[Plan]),FALSE)="OK","Un planning spécifique de télétravail est annexé à la présente convention.",""),"")</f>
        <v/>
      </c>
      <c r="BV14" s="185" t="s">
        <v>3372</v>
      </c>
      <c r="BW14" s="164" t="e">
        <f>IF(VLOOKUP(T_Convention[[#This Row],[NumL]],T_suiviDi[#Data],COLUMN(T_suiviDi[Entité]),FALSE)="","",VLOOKUP(T_Convention[[#This Row],[NumL]],T_suiviDi[#Data],COLUMN(T_suiviDi[Entité]),FALSE))</f>
        <v>#N/A</v>
      </c>
      <c r="BX14" s="164" t="str">
        <f>IF(VLOOKUP(T_Convention[[#This Row],[NumL]],T_Commission[#Data],COLUMN(T_Commission[envoi confirm TW]),FALSE)="","",VLOOKUP(T_Convention[[#This Row],[NumL]],T_Commission[#Data],COLUMN(T_Commission[envoi confirm TW]),FALSE))</f>
        <v>Oui</v>
      </c>
      <c r="BY1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 s="264">
        <f>VLOOKUP(T_Convention[[#This Row],[NumL]],T_Commission[#Data],COLUMN(T_Commission[Commentaire]),FALSE)</f>
        <v>0</v>
      </c>
      <c r="CA14" s="254" t="str">
        <f>IF(VLOOKUP(T_Convention[[#This Row],[NumL]],T_Commission[#Data],COLUMN(T_Commission[Encadrant Email]),FALSE)="","",VLOOKUP(T_Convention[[#This Row],[NumL]],T_Commission[#Data],COLUMN(T_Commission[Encadrant Email]),FALSE))</f>
        <v/>
      </c>
      <c r="CB14" s="352" t="e">
        <f>VLOOKUP(T_Convention[[#This Row],[NumL]],T_TraitDi[#Data],COLUMN(T_TraitDi[NbJTot]),FALSE)</f>
        <v>#N/A</v>
      </c>
      <c r="CC14" s="352" t="e">
        <f>VLOOKUP(T_Convention[[#This Row],[NumL]],T_TraitDi[#Data],COLUMN(T_TraitDi[Reg Ponct]),FALSE)</f>
        <v>#N/A</v>
      </c>
      <c r="CD14" s="348" t="str">
        <f>IF(T_Convention[[#This Row],[Final]]&lt;&gt;"",VLOOKUP(T_Convention[[#This Row],[NumL]],T_suiviDi[#Data],COLUMN((T_suiviDi[Statut])),FALSE),"")</f>
        <v/>
      </c>
    </row>
    <row r="15" spans="1:82" s="106" customFormat="1" ht="18.75" customHeight="1" x14ac:dyDescent="0.25">
      <c r="A15" s="90">
        <v>94</v>
      </c>
      <c r="B15" s="161" t="str">
        <f>VLOOKUP(T_Convention[[#This Row],[NumL]],T_Commission[#Data],COLUMN(T_Commission[FINAL]),FALSE)</f>
        <v/>
      </c>
      <c r="C15" s="309"/>
      <c r="D15" s="95" t="e">
        <f>IF(VLOOKUP(T_Convention[[#This Row],[NumL]],T_TraitDi[#Data],COLUMN(T_TraitDi[WebC]),FALSE)="","",VLOOKUP(T_Convention[[#This Row],[NumL]],T_TraitDi[#Data],COLUMN(T_TraitDi[WebC]),FALSE))</f>
        <v>#N/A</v>
      </c>
      <c r="E15" s="95" t="str">
        <f t="shared" si="0"/>
        <v>12 janvier 2021</v>
      </c>
      <c r="F15" s="282" t="str">
        <f>IF(T_Convention[[#This Row],[Final]]&lt;&gt;"",VLOOKUP(T_Convention[[#This Row],[NumL]],T_suiviDi[#Data],COLUMN((T_suiviDi[Civ.])),FALSE),"")</f>
        <v/>
      </c>
      <c r="G15" s="283" t="str">
        <f>IF(T_Convention[[#This Row],[Final]]&lt;&gt;"",VLOOKUP(T_Convention[[#This Row],[NumL]],T_suiviDi[#Data],COLUMN((T_suiviDi[Nom])),FALSE),"")</f>
        <v/>
      </c>
      <c r="H15" s="282" t="str">
        <f>IF(T_Convention[[#This Row],[Final]]&lt;&gt;"",VLOOKUP(T_Convention[[#This Row],[NumL]],T_suiviDi[#Data],COLUMN((T_suiviDi[Prénom])),FALSE),"")</f>
        <v/>
      </c>
      <c r="I15" s="282" t="e">
        <f>VLOOKUP(T_Convention[[#This Row],[NumL]],T_suiviDi[#Data],COLUMN((T_suiviDi[[#This Row],[Email]])),FALSE)</f>
        <v>#N/A</v>
      </c>
      <c r="J15" s="282" t="e">
        <f>IF(VLOOKUP(T_Convention[[#This Row],[NumL]],T_suiviDi[#Data],COLUMN(T_suiviDi[[#This Row],[Fonction]]),FALSE)="","",VLOOKUP(T_Convention[[#This Row],[NumL]],T_suiviDi[#Data],COLUMN(T_suiviDi[[#This Row],[Fonction]]),FALSE))</f>
        <v>#N/A</v>
      </c>
      <c r="K15" s="282" t="e">
        <f>IF(VLOOKUP(T_Convention[[#This Row],[NumL]],T_suiviDi[#Data],COLUMN(T_suiviDi[[#This Row],[Grade]]),FALSE)="","",VLOOKUP(T_Convention[[#This Row],[NumL]],T_suiviDi[#Data],COLUMN(T_suiviDi[[#This Row],[Grade]]),FALSE))</f>
        <v>#N/A</v>
      </c>
      <c r="L15" s="282" t="e">
        <f>IF(VLOOKUP(T_Convention[[#This Row],[NumL]],T_suiviDi[#Data],COLUMN(T_suiviDi[[#This Row],[Service ]]),FALSE)="","",VLOOKUP(T_Convention[[#This Row],[NumL]],T_suiviDi[#Data],COLUMN(T_suiviDi[[#This Row],[Service ]]),FALSE))</f>
        <v>#N/A</v>
      </c>
      <c r="M15" s="96" t="str">
        <f t="shared" si="1"/>
        <v>01 septembre 2021</v>
      </c>
      <c r="N15" s="96" t="str">
        <f t="shared" si="2"/>
        <v>30 novembre 2021</v>
      </c>
      <c r="O15" s="284" t="str">
        <f t="shared" si="3"/>
        <v>30 novembre 2021</v>
      </c>
      <c r="P15" s="282" t="e">
        <f>IF(VLOOKUP(T_Convention[[#This Row],[NumL]],T_TraitDi[#Data],COLUMN(T_TraitDi[M1]),FALSE)="","",VLOOKUP(T_Convention[[#This Row],[NumL]],T_TraitDi[#Data],COLUMN(T_TraitDi[M1]),FALSE))</f>
        <v>#N/A</v>
      </c>
      <c r="Q15" s="282" t="e">
        <f>IF(VLOOKUP(T_Convention[[#This Row],[NumL]],T_TraitDi[#Data],COLUMN(T_TraitDi[M2]),FALSE)="","",VLOOKUP(T_Convention[[#This Row],[NumL]],T_TraitDi[#Data],COLUMN(T_TraitDi[M2]),FALSE))</f>
        <v>#N/A</v>
      </c>
      <c r="R15" s="282" t="e">
        <f>IF(VLOOKUP(T_Convention[[#This Row],[NumL]],T_TraitDi[#Data],COLUMN(T_TraitDi[M3]),FALSE)="","",VLOOKUP(T_Convention[[#This Row],[NumL]],T_TraitDi[#Data],COLUMN(T_TraitDi[M3]),FALSE))</f>
        <v>#N/A</v>
      </c>
      <c r="S15" s="282" t="e">
        <f>IF(VLOOKUP(T_Convention[[#This Row],[NumL]],T_TraitDi[#Data],COLUMN(T_TraitDi[M4]),FALSE)="","",VLOOKUP(T_Convention[[#This Row],[NumL]],T_TraitDi[#Data],COLUMN(T_TraitDi[M4]),FALSE))</f>
        <v>#N/A</v>
      </c>
      <c r="T15" s="282" t="e">
        <f>IF(VLOOKUP(T_Convention[[#This Row],[NumL]],T_TraitDi[#Data],COLUMN(T_TraitDi[M5]),FALSE)="","",VLOOKUP(T_Convention[[#This Row],[NumL]],T_TraitDi[#Data],COLUMN(T_TraitDi[M5]),FALSE))</f>
        <v>#N/A</v>
      </c>
      <c r="U15" s="282" t="e">
        <f>IF(VLOOKUP(T_Convention[[#This Row],[NumL]],T_TraitDi[#Data],COLUMN(T_TraitDi[M6]),FALSE)="","",VLOOKUP(T_Convention[[#This Row],[NumL]],T_TraitDi[#Data],COLUMN(T_TraitDi[M6]),FALSE))</f>
        <v>#N/A</v>
      </c>
      <c r="V15" s="312" t="e">
        <f t="shared" si="4"/>
        <v>#N/A</v>
      </c>
      <c r="W15" s="284" t="str">
        <f>IFERROR(TEXT(VLOOKUP(T_Convention[[#This Row],[NumL]],T_TraitDi[#Data],COLUMN(T_TraitDi[Q2]),FALSE),"###%"),"")</f>
        <v/>
      </c>
      <c r="X15" s="97" t="e">
        <f>VLOOKUP(T_Convention[[#This Row],[NumL]],T_TraitDi[#Data],COLUMN(T_TraitDi[Reg Ponct]),FALSE)</f>
        <v>#N/A</v>
      </c>
      <c r="Y15" s="97" t="e">
        <f>VLOOKUP(T_Convention[NumL],T_TraitDi[#Data],COLUMN(T_TraitDi[Jours flottants]),FALSE)</f>
        <v>#N/A</v>
      </c>
      <c r="Z15" s="284" t="str">
        <f>IFERROR(VLOOKUP(T_Convention[[#This Row],[NumL]],T_TraitDi[#Data],COLUMN(T_TraitDi[Lundi]),FALSE),"")</f>
        <v/>
      </c>
      <c r="AA15" s="284" t="e">
        <f>IF(VLOOKUP(T_Convention[[#This Row],[NumL]],T_TraitDi[#Data],COLUMN(T_TraitDi[Colonne3]),FALSE)=0,"",TEXT(IFERROR(VLOOKUP(T_Convention[[#This Row],[NumL]],T_TraitDi[#Data],COLUMN(T_TraitDi[Colonne3]),FALSE),""),"[hh]:mm"))</f>
        <v>#N/A</v>
      </c>
      <c r="AB15" s="284" t="e">
        <f>IF(VLOOKUP(T_Convention[[#This Row],[NumL]],T_TraitDi[#Data],COLUMN(T_TraitDi[Colonne4]),FALSE)=0,"",TEXT(IFERROR(VLOOKUP(T_Convention[[#This Row],[NumL]],T_TraitDi[#Data],COLUMN(T_TraitDi[Colonne4]),FALSE),""),"[hh]:mm"))</f>
        <v>#N/A</v>
      </c>
      <c r="AC15" s="284" t="e">
        <f>IF(VLOOKUP(T_Convention[[#This Row],[NumL]],T_TraitDi[#Data],COLUMN(T_TraitDi[Colonne5]),FALSE)=0,"",TEXT(IFERROR(VLOOKUP(T_Convention[[#This Row],[NumL]],T_TraitDi[#Data],COLUMN(T_TraitDi[Colonne5]),FALSE),""),"[hh]:mm"))</f>
        <v>#N/A</v>
      </c>
      <c r="AD15" s="284" t="e">
        <f>IF(VLOOKUP(T_Convention[[#This Row],[NumL]],T_TraitDi[#Data],COLUMN(T_TraitDi[Colonne6]),FALSE)=0,"",TEXT(IFERROR(VLOOKUP(T_Convention[[#This Row],[NumL]],T_TraitDi[#Data],COLUMN(T_TraitDi[Colonne6]),FALSE),""),"[hh]:mm"))</f>
        <v>#N/A</v>
      </c>
      <c r="AE15" s="284" t="e">
        <f>IF(VLOOKUP(T_Convention[[#This Row],[NumL]],T_TraitDi[#Data],COLUMN(T_TraitDi[Colonne7]),FALSE)=0,"",TEXT(IFERROR(VLOOKUP(T_Convention[[#This Row],[NumL]],T_TraitDi[#Data],COLUMN(T_TraitDi[Colonne7]),FALSE),""),"[hh]:mm"))</f>
        <v>#N/A</v>
      </c>
      <c r="AF15" s="284" t="e">
        <f>IF(VLOOKUP(T_Convention[[#This Row],[NumL]],T_TraitDi[#Data],COLUMN(T_TraitDi[Colonne8]),FALSE)=0,"",TEXT(IFERROR(VLOOKUP(T_Convention[[#This Row],[NumL]],T_TraitDi[#Data],COLUMN(T_TraitDi[Colonne8]),FALSE),""),"[hh]:mm"))</f>
        <v>#N/A</v>
      </c>
      <c r="AG15" s="284" t="str">
        <f>IFERROR(VLOOKUP(T_Convention[[#This Row],[NumL]],T_TraitDi[#Data],COLUMN(T_TraitDi[Mardi]),FALSE),"")</f>
        <v/>
      </c>
      <c r="AH15" s="284" t="e">
        <f>IF(VLOOKUP(T_Convention[[#This Row],[NumL]],T_TraitDi[#Data],COLUMN(T_TraitDi[Colonne1]),FALSE)=0,"",TEXT(IFERROR(VLOOKUP(T_Convention[[#This Row],[NumL]],T_TraitDi[#Data],COLUMN(T_TraitDi[Colonne1]),FALSE),""),"[hh]:mm"))</f>
        <v>#N/A</v>
      </c>
      <c r="AI15" s="284" t="e">
        <f>IF(VLOOKUP(T_Convention[[#This Row],[NumL]],T_TraitDi[#Data],COLUMN(T_TraitDi[Colonne9]),FALSE)=0,"",TEXT(IFERROR(VLOOKUP(T_Convention[[#This Row],[NumL]],T_TraitDi[#Data],COLUMN(T_TraitDi[Colonne9]),FALSE),""),"[hh]:mm"))</f>
        <v>#N/A</v>
      </c>
      <c r="AJ15" s="284" t="str">
        <f>IFERROR(VLOOKUP(T_Convention[[#This Row],[NumL]],T_TraitDi[#Data],COLUMN(T_TraitDi[Colonne10]),FALSE),"")</f>
        <v/>
      </c>
      <c r="AK15" s="284" t="e">
        <f>IF(VLOOKUP(T_Convention[[#This Row],[NumL]],T_TraitDi[#Data],COLUMN(T_TraitDi[Colonne11]),FALSE)=0,"",TEXT(IFERROR(VLOOKUP(T_Convention[[#This Row],[NumL]],T_TraitDi[#Data],COLUMN(T_TraitDi[Colonne11]),FALSE),""),"[hh]:mm"))</f>
        <v>#N/A</v>
      </c>
      <c r="AL15" s="284" t="e">
        <f>IF(VLOOKUP(T_Convention[[#This Row],[NumL]],T_TraitDi[#Data],COLUMN(T_TraitDi[Colonne12]),FALSE)=0,"",TEXT(IFERROR(VLOOKUP(T_Convention[[#This Row],[NumL]],T_TraitDi[#Data],COLUMN(T_TraitDi[Colonne12]),FALSE),""),"[hh]:mm"))</f>
        <v>#N/A</v>
      </c>
      <c r="AM15" s="284" t="e">
        <f>IF(VLOOKUP(T_Convention[[#This Row],[NumL]],T_TraitDi[#Data],COLUMN(T_TraitDi[Colonne14]),FALSE)=0,"",TEXT(IFERROR(VLOOKUP(T_Convention[[#This Row],[NumL]],T_TraitDi[#Data],COLUMN(T_TraitDi[Colonne14]),FALSE),""),"[hh]:mm"))</f>
        <v>#N/A</v>
      </c>
      <c r="AN15" s="284" t="str">
        <f>IFERROR(VLOOKUP(T_Convention[[#This Row],[NumL]],T_TraitDi[#Data],COLUMN(T_TraitDi[Mercredi]),FALSE),"")</f>
        <v/>
      </c>
      <c r="AO15" s="284" t="e">
        <f>IF(VLOOKUP(T_Convention[[#This Row],[NumL]],T_TraitDi[#Data],COLUMN(T_TraitDi[Colonne15]),FALSE)=0,"",TEXT(IFERROR(VLOOKUP(T_Convention[[#This Row],[NumL]],T_TraitDi[#Data],COLUMN(T_TraitDi[Colonne15]),FALSE),""),"[hh]:mm"))</f>
        <v>#N/A</v>
      </c>
      <c r="AP15" s="284" t="e">
        <f>IF(VLOOKUP(T_Convention[[#This Row],[NumL]],T_TraitDi[#Data],COLUMN(T_TraitDi[Colonne16]),FALSE)=0,"",TEXT(IFERROR(VLOOKUP(T_Convention[[#This Row],[NumL]],T_TraitDi[#Data],COLUMN(T_TraitDi[Colonne16]),FALSE),""),"[hh]:mm"))</f>
        <v>#N/A</v>
      </c>
      <c r="AQ15" s="284" t="str">
        <f>IFERROR(VLOOKUP(T_Convention[[#This Row],[NumL]],T_TraitDi[#Data],COLUMN(T_TraitDi[Colonne17]),FALSE),"")</f>
        <v/>
      </c>
      <c r="AR15" s="284" t="e">
        <f>IF(VLOOKUP(T_Convention[[#This Row],[NumL]],T_TraitDi[#Data],COLUMN(T_TraitDi[Colonne18]),FALSE)=0,"",TEXT(IFERROR(VLOOKUP(T_Convention[[#This Row],[NumL]],T_TraitDi[#Data],COLUMN(T_TraitDi[Colonne18]),FALSE),""),"[hh]:mm"))</f>
        <v>#N/A</v>
      </c>
      <c r="AS15" s="284" t="e">
        <f>IF(VLOOKUP(T_Convention[[#This Row],[NumL]],T_TraitDi[#Data],COLUMN(T_TraitDi[Colonne19]),FALSE)=0,"",TEXT(IFERROR(VLOOKUP(T_Convention[[#This Row],[NumL]],T_TraitDi[#Data],COLUMN(T_TraitDi[Colonne19]),FALSE),""),"[hh]:mm"))</f>
        <v>#N/A</v>
      </c>
      <c r="AT15" s="284" t="e">
        <f>IF(VLOOKUP(T_Convention[[#This Row],[NumL]],T_TraitDi[#Data],COLUMN(T_TraitDi[Colonne20]),FALSE)=0,"",TEXT(IFERROR(VLOOKUP(T_Convention[[#This Row],[NumL]],T_TraitDi[#Data],COLUMN(T_TraitDi[Colonne20]),FALSE),""),"[hh]:mm"))</f>
        <v>#N/A</v>
      </c>
      <c r="AU15" s="284" t="str">
        <f>IFERROR(VLOOKUP(T_Convention[[#This Row],[NumL]],T_TraitDi[#Data],COLUMN(T_TraitDi[Jeudi]),FALSE),"")</f>
        <v/>
      </c>
      <c r="AV15" s="284" t="e">
        <f>IF(VLOOKUP(T_Convention[[#This Row],[NumL]],T_TraitDi[#Data],COLUMN(T_TraitDi[Colonne21]),FALSE)=0,"",TEXT(IFERROR(VLOOKUP(T_Convention[[#This Row],[NumL]],T_TraitDi[#Data],COLUMN(T_TraitDi[Colonne21]),FALSE),""),"[hh]:mm"))</f>
        <v>#N/A</v>
      </c>
      <c r="AW15" s="284" t="e">
        <f>IF(VLOOKUP(T_Convention[[#This Row],[NumL]],T_TraitDi[#Data],COLUMN(T_TraitDi[Colonne22]),FALSE)=0,"",TEXT(IFERROR(VLOOKUP(T_Convention[[#This Row],[NumL]],T_TraitDi[#Data],COLUMN(T_TraitDi[Colonne22]),FALSE),""),"[hh]:mm"))</f>
        <v>#N/A</v>
      </c>
      <c r="AX15" s="284" t="str">
        <f>IFERROR(VLOOKUP(T_Convention[[#This Row],[NumL]],T_TraitDi[#Data],COLUMN(T_TraitDi[Colonne23]),FALSE),"")</f>
        <v/>
      </c>
      <c r="AY15" s="284" t="e">
        <f>IF(VLOOKUP(T_Convention[[#This Row],[NumL]],T_TraitDi[#Data],COLUMN(T_TraitDi[Colonne24]),FALSE)=0,"",TEXT(IFERROR(VLOOKUP(T_Convention[[#This Row],[NumL]],T_TraitDi[#Data],COLUMN(T_TraitDi[Colonne24]),FALSE),""),"[hh]:mm"))</f>
        <v>#N/A</v>
      </c>
      <c r="AZ15" s="284" t="e">
        <f>IF(VLOOKUP(T_Convention[[#This Row],[NumL]],T_TraitDi[#Data],COLUMN(T_TraitDi[Colonne25]),FALSE)=0,"",TEXT(IFERROR(VLOOKUP(T_Convention[[#This Row],[NumL]],T_TraitDi[#Data],COLUMN(T_TraitDi[Colonne25]),FALSE),""),"[hh]:mm"))</f>
        <v>#N/A</v>
      </c>
      <c r="BA15" s="284" t="e">
        <f>IF(VLOOKUP(T_Convention[[#This Row],[NumL]],T_TraitDi[#Data],COLUMN(T_TraitDi[Colonne26]),FALSE)=0,"",TEXT(IFERROR(VLOOKUP(T_Convention[[#This Row],[NumL]],T_TraitDi[#Data],COLUMN(T_TraitDi[Colonne26]),FALSE),""),"[hh]:mm"))</f>
        <v>#N/A</v>
      </c>
      <c r="BB15" s="284" t="str">
        <f>IFERROR(VLOOKUP(T_Convention[[#This Row],[NumL]],T_TraitDi[#Data],COLUMN(T_TraitDi[Vendredi]),FALSE),"")</f>
        <v/>
      </c>
      <c r="BC15" s="284" t="e">
        <f>IF(VLOOKUP(T_Convention[[#This Row],[NumL]],T_TraitDi[#Data],COLUMN(T_TraitDi[Colonne27]),FALSE)=0,"",TEXT(IFERROR(VLOOKUP(T_Convention[[#This Row],[NumL]],T_TraitDi[#Data],COLUMN(T_TraitDi[Colonne27]),FALSE),""),"[hh]:mm"))</f>
        <v>#N/A</v>
      </c>
      <c r="BD15" s="284" t="e">
        <f>IF(VLOOKUP(T_Convention[[#This Row],[NumL]],T_TraitDi[#Data],COLUMN(T_TraitDi[Colonne28]),FALSE)=0,"",TEXT(IFERROR(VLOOKUP(T_Convention[[#This Row],[NumL]],T_TraitDi[#Data],COLUMN(T_TraitDi[Colonne28]),FALSE),""),"[hh]:mm"))</f>
        <v>#N/A</v>
      </c>
      <c r="BE15" s="284" t="str">
        <f>IFERROR(VLOOKUP(T_Convention[[#This Row],[NumL]],T_TraitDi[#Data],COLUMN(T_TraitDi[Colonne29]),FALSE),"")</f>
        <v/>
      </c>
      <c r="BF15" s="284" t="e">
        <f>IF(VLOOKUP(T_Convention[[#This Row],[NumL]],T_TraitDi[#Data],COLUMN(T_TraitDi[Colonne30]),FALSE)=0,"",TEXT(IFERROR(VLOOKUP(T_Convention[[#This Row],[NumL]],T_TraitDi[#Data],COLUMN(T_TraitDi[Colonne30]),FALSE),""),"[hh]:mm"))</f>
        <v>#N/A</v>
      </c>
      <c r="BG15" s="284" t="e">
        <f>IF(VLOOKUP(T_Convention[[#This Row],[NumL]],T_TraitDi[#Data],COLUMN(T_TraitDi[Colonne31]),FALSE)=0,"",TEXT(IFERROR(VLOOKUP(T_Convention[[#This Row],[NumL]],T_TraitDi[#Data],COLUMN(T_TraitDi[Colonne31]),FALSE),""),"[hh]:mm"))</f>
        <v>#N/A</v>
      </c>
      <c r="BH15" s="284" t="e">
        <f>IF(VLOOKUP(T_Convention[[#This Row],[NumL]],T_TraitDi[#Data],COLUMN(T_TraitDi[Colonne32]),FALSE)=0,"",TEXT(IFERROR(VLOOKUP(T_Convention[[#This Row],[NumL]],T_TraitDi[#Data],COLUMN(T_TraitDi[Colonne32]),FALSE),""),"[hh]:mm"))</f>
        <v>#N/A</v>
      </c>
      <c r="BI15" s="284" t="str">
        <f>IFERROR(VLOOKUP(T_Convention[[#This Row],[NumL]],T_TraitDi[#Data],COLUMN(T_TraitDi[NbJTW]),FALSE),"")</f>
        <v/>
      </c>
      <c r="BJ15" s="284" t="e">
        <f>IF(VLOOKUP(T_Convention[[#This Row],[NumL]],T_TraitDi[#Data],COLUMN(T_TraitDi[NbhTW]),FALSE)=0,"",TEXT(IFERROR(VLOOKUP(T_Convention[[#This Row],[NumL]],T_TraitDi[#Data],COLUMN(T_TraitDi[NbhTW]),FALSE),""),"[hh]:mm"))</f>
        <v>#N/A</v>
      </c>
      <c r="BK15" s="286" t="e">
        <f>IF(VLOOKUP(T_Convention[[#This Row],[NumL]],T_TraitDi[#Data],COLUMN(T_TraitDi[Nbhheb]),FALSE)=0,"",TEXT(IFERROR(VLOOKUP(T_Convention[[#This Row],[NumL]],T_TraitDi[#Data],COLUMN(T_TraitDi[Nbhheb]),FALSE),""),"[hh]:mm"))</f>
        <v>#N/A</v>
      </c>
      <c r="BL15" s="287" t="str">
        <f>IFERROR(VLOOKUP(VLOOKUP(T_Convention[[#This Row],[NumL]],T_TraitDi[#Data],COLUMN(T_TraitDi[Type1]),FALSE),TypeTW,2,FALSE),"")</f>
        <v/>
      </c>
      <c r="BM15" s="288" t="str">
        <f>IFERROR(VLOOKUP(T_Convention[[#This Row],[NumL]],T_TraitDi[#Data],COLUMN(T_TraitDi[Rue1]),FALSE),"")</f>
        <v/>
      </c>
      <c r="BN15" s="289" t="str">
        <f>IFERROR(VLOOKUP(T_Convention[[#This Row],[NumL]],T_TraitDi[#Data],COLUMN(T_TraitDi[CP1]),FALSE),"")</f>
        <v/>
      </c>
      <c r="BO15" s="282" t="str">
        <f>IFERROR(VLOOKUP(T_Convention[[#This Row],[NumL]],T_TraitDi[#Data],COLUMN(T_TraitDi[VILLE1]),FALSE),"")</f>
        <v/>
      </c>
      <c r="BP15" s="290" t="str">
        <f>IFERROR(VLOOKUP(VLOOKUP(T_Convention[[#This Row],[NumL]],T_TraitDi[#Data],COLUMN(T_TraitDi[Type2]),FALSE),TypeTW,2,FALSE),"")</f>
        <v/>
      </c>
      <c r="BQ15" s="182" t="str">
        <f>IFERROR(VLOOKUP(T_Convention[[#This Row],[NumL]],T_TraitDi[#Data],COLUMN(T_TraitDi[Rue2]),FALSE),"")</f>
        <v/>
      </c>
      <c r="BR15" s="173" t="str">
        <f>IFERROR(VLOOKUP(T_Convention[[#This Row],[NumL]],T_TraitDi[#Data],COLUMN(T_TraitDi[CP2]),FALSE),"")</f>
        <v/>
      </c>
      <c r="BS15" s="173" t="str">
        <f>IFERROR(VLOOKUP(T_Convention[[#This Row],[NumL]],T_TraitDi[#Data],COLUMN(T_TraitDi[VILLE2]),FALSE),"")</f>
        <v/>
      </c>
      <c r="BT15" s="313" t="str">
        <f>IF(VLOOKUP(T_Convention[[#This Row],[NumL]],T_Equipement[#Data],COLUMN(T_Equipement[PC]),FALSE)="","Aucun équipement spécifique directement lié au télétravail",VLOOKUP(T_Convention[[#This Row],[NumL]],T_Equipement[#Data],COLUMN(T_Equipement[PC]),FALSE))</f>
        <v xml:space="preserve">18-023	</v>
      </c>
      <c r="BU15" s="296" t="str">
        <f>IFERROR(IF(VLOOKUP(T_Convention[[#This Row],[NumL]],T_TraitDi[#Data],COLUMN(T_TraitDi[Plan]),FALSE)="OK","Un planning spécifique de télétravail est annexé à la présente convention.",""),"")</f>
        <v/>
      </c>
      <c r="BV15" s="185" t="s">
        <v>3376</v>
      </c>
      <c r="BW15" s="164" t="e">
        <f>IF(VLOOKUP(T_Convention[[#This Row],[NumL]],T_suiviDi[#Data],COLUMN(T_suiviDi[Entité]),FALSE)="","",VLOOKUP(T_Convention[[#This Row],[NumL]],T_suiviDi[#Data],COLUMN(T_suiviDi[Entité]),FALSE))</f>
        <v>#N/A</v>
      </c>
      <c r="BX15" s="164" t="str">
        <f>IF(VLOOKUP(T_Convention[[#This Row],[NumL]],T_Commission[#Data],COLUMN(T_Commission[envoi confirm TW]),FALSE)="","",VLOOKUP(T_Convention[[#This Row],[NumL]],T_Commission[#Data],COLUMN(T_Commission[envoi confirm TW]),FALSE))</f>
        <v>Oui</v>
      </c>
      <c r="BY1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 s="264">
        <f>VLOOKUP(T_Convention[[#This Row],[NumL]],T_Commission[#Data],COLUMN(T_Commission[Commentaire]),FALSE)</f>
        <v>0</v>
      </c>
      <c r="CA15" s="254" t="str">
        <f>IF(VLOOKUP(T_Convention[[#This Row],[NumL]],T_Commission[#Data],COLUMN(T_Commission[Encadrant Email]),FALSE)="","",VLOOKUP(T_Convention[[#This Row],[NumL]],T_Commission[#Data],COLUMN(T_Commission[Encadrant Email]),FALSE))</f>
        <v/>
      </c>
      <c r="CB15" s="352" t="e">
        <f>VLOOKUP(T_Convention[[#This Row],[NumL]],T_TraitDi[#Data],COLUMN(T_TraitDi[NbJTot]),FALSE)</f>
        <v>#N/A</v>
      </c>
      <c r="CC15" s="352" t="e">
        <f>VLOOKUP(T_Convention[[#This Row],[NumL]],T_TraitDi[#Data],COLUMN(T_TraitDi[Reg Ponct]),FALSE)</f>
        <v>#N/A</v>
      </c>
      <c r="CD15" s="348" t="str">
        <f>IF(T_Convention[[#This Row],[Final]]&lt;&gt;"",VLOOKUP(T_Convention[[#This Row],[NumL]],T_suiviDi[#Data],COLUMN((T_suiviDi[Statut])),FALSE),"")</f>
        <v/>
      </c>
    </row>
    <row r="16" spans="1:82" s="106" customFormat="1" ht="18.75" customHeight="1" x14ac:dyDescent="0.25">
      <c r="A16" s="90">
        <v>7</v>
      </c>
      <c r="B16" s="161" t="str">
        <f>VLOOKUP(T_Convention[[#This Row],[NumL]],T_Commission[#Data],COLUMN(T_Commission[FINAL]),FALSE)</f>
        <v/>
      </c>
      <c r="C16" s="309"/>
      <c r="D16" s="95" t="e">
        <f>IF(VLOOKUP(T_Convention[[#This Row],[NumL]],T_TraitDi[#Data],COLUMN(T_TraitDi[WebC]),FALSE)="","",VLOOKUP(T_Convention[[#This Row],[NumL]],T_TraitDi[#Data],COLUMN(T_TraitDi[WebC]),FALSE))</f>
        <v>#N/A</v>
      </c>
      <c r="E16" s="95" t="str">
        <f t="shared" si="0"/>
        <v>12 janvier 2021</v>
      </c>
      <c r="F16" s="282" t="str">
        <f>IF(T_Convention[[#This Row],[Final]]&lt;&gt;"",VLOOKUP(T_Convention[[#This Row],[NumL]],T_suiviDi[#Data],COLUMN((T_suiviDi[Civ.])),FALSE),"")</f>
        <v/>
      </c>
      <c r="G16" s="283" t="str">
        <f>IF(T_Convention[[#This Row],[Final]]&lt;&gt;"",VLOOKUP(T_Convention[[#This Row],[NumL]],T_suiviDi[#Data],COLUMN((T_suiviDi[Nom])),FALSE),"")</f>
        <v/>
      </c>
      <c r="H16" s="282" t="str">
        <f>IF(T_Convention[[#This Row],[Final]]&lt;&gt;"",VLOOKUP(T_Convention[[#This Row],[NumL]],T_suiviDi[#Data],COLUMN((T_suiviDi[Prénom])),FALSE),"")</f>
        <v/>
      </c>
      <c r="I16" s="282" t="e">
        <f>VLOOKUP(T_Convention[[#This Row],[NumL]],T_suiviDi[#Data],COLUMN((T_suiviDi[[#This Row],[Email]])),FALSE)</f>
        <v>#N/A</v>
      </c>
      <c r="J16" s="282" t="e">
        <f>IF(VLOOKUP(T_Convention[[#This Row],[NumL]],T_suiviDi[#Data],COLUMN(T_suiviDi[[#This Row],[Fonction]]),FALSE)="","",VLOOKUP(T_Convention[[#This Row],[NumL]],T_suiviDi[#Data],COLUMN(T_suiviDi[[#This Row],[Fonction]]),FALSE))</f>
        <v>#N/A</v>
      </c>
      <c r="K16" s="282" t="e">
        <f>IF(VLOOKUP(T_Convention[[#This Row],[NumL]],T_suiviDi[#Data],COLUMN(T_suiviDi[[#This Row],[Grade]]),FALSE)="","",VLOOKUP(T_Convention[[#This Row],[NumL]],T_suiviDi[#Data],COLUMN(T_suiviDi[[#This Row],[Grade]]),FALSE))</f>
        <v>#N/A</v>
      </c>
      <c r="L16" s="282" t="e">
        <f>IF(VLOOKUP(T_Convention[[#This Row],[NumL]],T_suiviDi[#Data],COLUMN(T_suiviDi[[#This Row],[Service ]]),FALSE)="","",VLOOKUP(T_Convention[[#This Row],[NumL]],T_suiviDi[#Data],COLUMN(T_suiviDi[[#This Row],[Service ]]),FALSE))</f>
        <v>#N/A</v>
      </c>
      <c r="M16" s="150" t="str">
        <f t="shared" si="1"/>
        <v>01 septembre 2021</v>
      </c>
      <c r="N16" s="150" t="str">
        <f t="shared" si="2"/>
        <v>30 novembre 2021</v>
      </c>
      <c r="O16" s="284" t="str">
        <f t="shared" si="3"/>
        <v>30 novembre 2021</v>
      </c>
      <c r="P16" s="282" t="e">
        <f>IF(VLOOKUP(T_Convention[[#This Row],[NumL]],T_TraitDi[#Data],COLUMN(T_TraitDi[M1]),FALSE)="","",VLOOKUP(T_Convention[[#This Row],[NumL]],T_TraitDi[#Data],COLUMN(T_TraitDi[M1]),FALSE))</f>
        <v>#N/A</v>
      </c>
      <c r="Q16" s="282" t="e">
        <f>IF(VLOOKUP(T_Convention[[#This Row],[NumL]],T_TraitDi[#Data],COLUMN(T_TraitDi[M2]),FALSE)="","",VLOOKUP(T_Convention[[#This Row],[NumL]],T_TraitDi[#Data],COLUMN(T_TraitDi[M2]),FALSE))</f>
        <v>#N/A</v>
      </c>
      <c r="R16" s="282" t="e">
        <f>IF(VLOOKUP(T_Convention[[#This Row],[NumL]],T_TraitDi[#Data],COLUMN(T_TraitDi[M3]),FALSE)="","",VLOOKUP(T_Convention[[#This Row],[NumL]],T_TraitDi[#Data],COLUMN(T_TraitDi[M3]),FALSE))</f>
        <v>#N/A</v>
      </c>
      <c r="S16" s="282" t="e">
        <f>IF(VLOOKUP(T_Convention[[#This Row],[NumL]],T_TraitDi[#Data],COLUMN(T_TraitDi[M4]),FALSE)="","",VLOOKUP(T_Convention[[#This Row],[NumL]],T_TraitDi[#Data],COLUMN(T_TraitDi[M4]),FALSE))</f>
        <v>#N/A</v>
      </c>
      <c r="T16" s="282" t="e">
        <f>IF(VLOOKUP(T_Convention[[#This Row],[NumL]],T_TraitDi[#Data],COLUMN(T_TraitDi[M5]),FALSE)="","",VLOOKUP(T_Convention[[#This Row],[NumL]],T_TraitDi[#Data],COLUMN(T_TraitDi[M5]),FALSE))</f>
        <v>#N/A</v>
      </c>
      <c r="U16" s="282" t="e">
        <f>IF(VLOOKUP(T_Convention[[#This Row],[NumL]],T_TraitDi[#Data],COLUMN(T_TraitDi[M6]),FALSE)="","",VLOOKUP(T_Convention[[#This Row],[NumL]],T_TraitDi[#Data],COLUMN(T_TraitDi[M6]),FALSE))</f>
        <v>#N/A</v>
      </c>
      <c r="V16" s="312" t="e">
        <f t="shared" si="4"/>
        <v>#N/A</v>
      </c>
      <c r="W16" s="284" t="str">
        <f>IFERROR(TEXT(VLOOKUP(T_Convention[[#This Row],[NumL]],T_TraitDi[#Data],COLUMN(T_TraitDi[Q2]),FALSE),"###%"),"")</f>
        <v/>
      </c>
      <c r="X16" s="97" t="e">
        <f>VLOOKUP(T_Convention[[#This Row],[NumL]],T_TraitDi[#Data],COLUMN(T_TraitDi[Reg Ponct]),FALSE)</f>
        <v>#N/A</v>
      </c>
      <c r="Y16" s="97" t="e">
        <f>VLOOKUP(T_Convention[NumL],T_TraitDi[#Data],COLUMN(T_TraitDi[Jours flottants]),FALSE)</f>
        <v>#N/A</v>
      </c>
      <c r="Z16" s="284" t="str">
        <f>IFERROR(VLOOKUP(T_Convention[[#This Row],[NumL]],T_TraitDi[#Data],COLUMN(T_TraitDi[Lundi]),FALSE),"")</f>
        <v/>
      </c>
      <c r="AA16" s="284" t="e">
        <f>IF(VLOOKUP(T_Convention[[#This Row],[NumL]],T_TraitDi[#Data],COLUMN(T_TraitDi[Colonne3]),FALSE)=0,"",TEXT(IFERROR(VLOOKUP(T_Convention[[#This Row],[NumL]],T_TraitDi[#Data],COLUMN(T_TraitDi[Colonne3]),FALSE),""),"[hh]:mm"))</f>
        <v>#N/A</v>
      </c>
      <c r="AB16" s="284" t="e">
        <f>IF(VLOOKUP(T_Convention[[#This Row],[NumL]],T_TraitDi[#Data],COLUMN(T_TraitDi[Colonne4]),FALSE)=0,"",TEXT(IFERROR(VLOOKUP(T_Convention[[#This Row],[NumL]],T_TraitDi[#Data],COLUMN(T_TraitDi[Colonne4]),FALSE),""),"[hh]:mm"))</f>
        <v>#N/A</v>
      </c>
      <c r="AC16" s="284" t="e">
        <f>IF(VLOOKUP(T_Convention[[#This Row],[NumL]],T_TraitDi[#Data],COLUMN(T_TraitDi[Colonne5]),FALSE)=0,"",TEXT(IFERROR(VLOOKUP(T_Convention[[#This Row],[NumL]],T_TraitDi[#Data],COLUMN(T_TraitDi[Colonne5]),FALSE),""),"[hh]:mm"))</f>
        <v>#N/A</v>
      </c>
      <c r="AD16" s="284" t="e">
        <f>IF(VLOOKUP(T_Convention[[#This Row],[NumL]],T_TraitDi[#Data],COLUMN(T_TraitDi[Colonne6]),FALSE)=0,"",TEXT(IFERROR(VLOOKUP(T_Convention[[#This Row],[NumL]],T_TraitDi[#Data],COLUMN(T_TraitDi[Colonne6]),FALSE),""),"[hh]:mm"))</f>
        <v>#N/A</v>
      </c>
      <c r="AE16" s="284" t="e">
        <f>IF(VLOOKUP(T_Convention[[#This Row],[NumL]],T_TraitDi[#Data],COLUMN(T_TraitDi[Colonne7]),FALSE)=0,"",TEXT(IFERROR(VLOOKUP(T_Convention[[#This Row],[NumL]],T_TraitDi[#Data],COLUMN(T_TraitDi[Colonne7]),FALSE),""),"[hh]:mm"))</f>
        <v>#N/A</v>
      </c>
      <c r="AF16" s="284" t="e">
        <f>IF(VLOOKUP(T_Convention[[#This Row],[NumL]],T_TraitDi[#Data],COLUMN(T_TraitDi[Colonne8]),FALSE)=0,"",TEXT(IFERROR(VLOOKUP(T_Convention[[#This Row],[NumL]],T_TraitDi[#Data],COLUMN(T_TraitDi[Colonne8]),FALSE),""),"[hh]:mm"))</f>
        <v>#N/A</v>
      </c>
      <c r="AG16" s="284" t="str">
        <f>IFERROR(VLOOKUP(T_Convention[[#This Row],[NumL]],T_TraitDi[#Data],COLUMN(T_TraitDi[Mardi]),FALSE),"")</f>
        <v/>
      </c>
      <c r="AH16" s="284" t="e">
        <f>IF(VLOOKUP(T_Convention[[#This Row],[NumL]],T_TraitDi[#Data],COLUMN(T_TraitDi[Colonne1]),FALSE)=0,"",TEXT(IFERROR(VLOOKUP(T_Convention[[#This Row],[NumL]],T_TraitDi[#Data],COLUMN(T_TraitDi[Colonne1]),FALSE),""),"[hh]:mm"))</f>
        <v>#N/A</v>
      </c>
      <c r="AI16" s="284" t="e">
        <f>IF(VLOOKUP(T_Convention[[#This Row],[NumL]],T_TraitDi[#Data],COLUMN(T_TraitDi[Colonne9]),FALSE)=0,"",TEXT(IFERROR(VLOOKUP(T_Convention[[#This Row],[NumL]],T_TraitDi[#Data],COLUMN(T_TraitDi[Colonne9]),FALSE),""),"[hh]:mm"))</f>
        <v>#N/A</v>
      </c>
      <c r="AJ16" s="284" t="str">
        <f>IFERROR(VLOOKUP(T_Convention[[#This Row],[NumL]],T_TraitDi[#Data],COLUMN(T_TraitDi[Colonne10]),FALSE),"")</f>
        <v/>
      </c>
      <c r="AK16" s="284" t="e">
        <f>IF(VLOOKUP(T_Convention[[#This Row],[NumL]],T_TraitDi[#Data],COLUMN(T_TraitDi[Colonne11]),FALSE)=0,"",TEXT(IFERROR(VLOOKUP(T_Convention[[#This Row],[NumL]],T_TraitDi[#Data],COLUMN(T_TraitDi[Colonne11]),FALSE),""),"[hh]:mm"))</f>
        <v>#N/A</v>
      </c>
      <c r="AL16" s="284" t="e">
        <f>IF(VLOOKUP(T_Convention[[#This Row],[NumL]],T_TraitDi[#Data],COLUMN(T_TraitDi[Colonne12]),FALSE)=0,"",TEXT(IFERROR(VLOOKUP(T_Convention[[#This Row],[NumL]],T_TraitDi[#Data],COLUMN(T_TraitDi[Colonne12]),FALSE),""),"[hh]:mm"))</f>
        <v>#N/A</v>
      </c>
      <c r="AM16" s="284" t="e">
        <f>IF(VLOOKUP(T_Convention[[#This Row],[NumL]],T_TraitDi[#Data],COLUMN(T_TraitDi[Colonne14]),FALSE)=0,"",TEXT(IFERROR(VLOOKUP(T_Convention[[#This Row],[NumL]],T_TraitDi[#Data],COLUMN(T_TraitDi[Colonne14]),FALSE),""),"[hh]:mm"))</f>
        <v>#N/A</v>
      </c>
      <c r="AN16" s="284" t="str">
        <f>IFERROR(VLOOKUP(T_Convention[[#This Row],[NumL]],T_TraitDi[#Data],COLUMN(T_TraitDi[Mercredi]),FALSE),"")</f>
        <v/>
      </c>
      <c r="AO16" s="284" t="e">
        <f>IF(VLOOKUP(T_Convention[[#This Row],[NumL]],T_TraitDi[#Data],COLUMN(T_TraitDi[Colonne15]),FALSE)=0,"",TEXT(IFERROR(VLOOKUP(T_Convention[[#This Row],[NumL]],T_TraitDi[#Data],COLUMN(T_TraitDi[Colonne15]),FALSE),""),"[hh]:mm"))</f>
        <v>#N/A</v>
      </c>
      <c r="AP16" s="284" t="e">
        <f>IF(VLOOKUP(T_Convention[[#This Row],[NumL]],T_TraitDi[#Data],COLUMN(T_TraitDi[Colonne16]),FALSE)=0,"",TEXT(IFERROR(VLOOKUP(T_Convention[[#This Row],[NumL]],T_TraitDi[#Data],COLUMN(T_TraitDi[Colonne16]),FALSE),""),"[hh]:mm"))</f>
        <v>#N/A</v>
      </c>
      <c r="AQ16" s="284" t="str">
        <f>IFERROR(VLOOKUP(T_Convention[[#This Row],[NumL]],T_TraitDi[#Data],COLUMN(T_TraitDi[Colonne17]),FALSE),"")</f>
        <v/>
      </c>
      <c r="AR16" s="284" t="e">
        <f>IF(VLOOKUP(T_Convention[[#This Row],[NumL]],T_TraitDi[#Data],COLUMN(T_TraitDi[Colonne18]),FALSE)=0,"",TEXT(IFERROR(VLOOKUP(T_Convention[[#This Row],[NumL]],T_TraitDi[#Data],COLUMN(T_TraitDi[Colonne18]),FALSE),""),"[hh]:mm"))</f>
        <v>#N/A</v>
      </c>
      <c r="AS16" s="284" t="e">
        <f>IF(VLOOKUP(T_Convention[[#This Row],[NumL]],T_TraitDi[#Data],COLUMN(T_TraitDi[Colonne19]),FALSE)=0,"",TEXT(IFERROR(VLOOKUP(T_Convention[[#This Row],[NumL]],T_TraitDi[#Data],COLUMN(T_TraitDi[Colonne19]),FALSE),""),"[hh]:mm"))</f>
        <v>#N/A</v>
      </c>
      <c r="AT16" s="284" t="e">
        <f>IF(VLOOKUP(T_Convention[[#This Row],[NumL]],T_TraitDi[#Data],COLUMN(T_TraitDi[Colonne20]),FALSE)=0,"",TEXT(IFERROR(VLOOKUP(T_Convention[[#This Row],[NumL]],T_TraitDi[#Data],COLUMN(T_TraitDi[Colonne20]),FALSE),""),"[hh]:mm"))</f>
        <v>#N/A</v>
      </c>
      <c r="AU16" s="284" t="str">
        <f>IFERROR(VLOOKUP(T_Convention[[#This Row],[NumL]],T_TraitDi[#Data],COLUMN(T_TraitDi[Jeudi]),FALSE),"")</f>
        <v/>
      </c>
      <c r="AV16" s="284" t="e">
        <f>IF(VLOOKUP(T_Convention[[#This Row],[NumL]],T_TraitDi[#Data],COLUMN(T_TraitDi[Colonne21]),FALSE)=0,"",TEXT(IFERROR(VLOOKUP(T_Convention[[#This Row],[NumL]],T_TraitDi[#Data],COLUMN(T_TraitDi[Colonne21]),FALSE),""),"[hh]:mm"))</f>
        <v>#N/A</v>
      </c>
      <c r="AW16" s="284" t="e">
        <f>IF(VLOOKUP(T_Convention[[#This Row],[NumL]],T_TraitDi[#Data],COLUMN(T_TraitDi[Colonne22]),FALSE)=0,"",TEXT(IFERROR(VLOOKUP(T_Convention[[#This Row],[NumL]],T_TraitDi[#Data],COLUMN(T_TraitDi[Colonne22]),FALSE),""),"[hh]:mm"))</f>
        <v>#N/A</v>
      </c>
      <c r="AX16" s="284" t="str">
        <f>IFERROR(VLOOKUP(T_Convention[[#This Row],[NumL]],T_TraitDi[#Data],COLUMN(T_TraitDi[Colonne23]),FALSE),"")</f>
        <v/>
      </c>
      <c r="AY16" s="284" t="e">
        <f>IF(VLOOKUP(T_Convention[[#This Row],[NumL]],T_TraitDi[#Data],COLUMN(T_TraitDi[Colonne24]),FALSE)=0,"",TEXT(IFERROR(VLOOKUP(T_Convention[[#This Row],[NumL]],T_TraitDi[#Data],COLUMN(T_TraitDi[Colonne24]),FALSE),""),"[hh]:mm"))</f>
        <v>#N/A</v>
      </c>
      <c r="AZ16" s="284" t="e">
        <f>IF(VLOOKUP(T_Convention[[#This Row],[NumL]],T_TraitDi[#Data],COLUMN(T_TraitDi[Colonne25]),FALSE)=0,"",TEXT(IFERROR(VLOOKUP(T_Convention[[#This Row],[NumL]],T_TraitDi[#Data],COLUMN(T_TraitDi[Colonne25]),FALSE),""),"[hh]:mm"))</f>
        <v>#N/A</v>
      </c>
      <c r="BA16" s="284" t="e">
        <f>IF(VLOOKUP(T_Convention[[#This Row],[NumL]],T_TraitDi[#Data],COLUMN(T_TraitDi[Colonne26]),FALSE)=0,"",TEXT(IFERROR(VLOOKUP(T_Convention[[#This Row],[NumL]],T_TraitDi[#Data],COLUMN(T_TraitDi[Colonne26]),FALSE),""),"[hh]:mm"))</f>
        <v>#N/A</v>
      </c>
      <c r="BB16" s="284" t="str">
        <f>IFERROR(VLOOKUP(T_Convention[[#This Row],[NumL]],T_TraitDi[#Data],COLUMN(T_TraitDi[Vendredi]),FALSE),"")</f>
        <v/>
      </c>
      <c r="BC16" s="284" t="e">
        <f>IF(VLOOKUP(T_Convention[[#This Row],[NumL]],T_TraitDi[#Data],COLUMN(T_TraitDi[Colonne27]),FALSE)=0,"",TEXT(IFERROR(VLOOKUP(T_Convention[[#This Row],[NumL]],T_TraitDi[#Data],COLUMN(T_TraitDi[Colonne27]),FALSE),""),"[hh]:mm"))</f>
        <v>#N/A</v>
      </c>
      <c r="BD16" s="284" t="e">
        <f>IF(VLOOKUP(T_Convention[[#This Row],[NumL]],T_TraitDi[#Data],COLUMN(T_TraitDi[Colonne28]),FALSE)=0,"",TEXT(IFERROR(VLOOKUP(T_Convention[[#This Row],[NumL]],T_TraitDi[#Data],COLUMN(T_TraitDi[Colonne28]),FALSE),""),"[hh]:mm"))</f>
        <v>#N/A</v>
      </c>
      <c r="BE16" s="284" t="str">
        <f>IFERROR(VLOOKUP(T_Convention[[#This Row],[NumL]],T_TraitDi[#Data],COLUMN(T_TraitDi[Colonne29]),FALSE),"")</f>
        <v/>
      </c>
      <c r="BF16" s="284" t="e">
        <f>IF(VLOOKUP(T_Convention[[#This Row],[NumL]],T_TraitDi[#Data],COLUMN(T_TraitDi[Colonne30]),FALSE)=0,"",TEXT(IFERROR(VLOOKUP(T_Convention[[#This Row],[NumL]],T_TraitDi[#Data],COLUMN(T_TraitDi[Colonne30]),FALSE),""),"[hh]:mm"))</f>
        <v>#N/A</v>
      </c>
      <c r="BG16" s="284" t="e">
        <f>IF(VLOOKUP(T_Convention[[#This Row],[NumL]],T_TraitDi[#Data],COLUMN(T_TraitDi[Colonne31]),FALSE)=0,"",TEXT(IFERROR(VLOOKUP(T_Convention[[#This Row],[NumL]],T_TraitDi[#Data],COLUMN(T_TraitDi[Colonne31]),FALSE),""),"[hh]:mm"))</f>
        <v>#N/A</v>
      </c>
      <c r="BH16" s="284" t="e">
        <f>IF(VLOOKUP(T_Convention[[#This Row],[NumL]],T_TraitDi[#Data],COLUMN(T_TraitDi[Colonne32]),FALSE)=0,"",TEXT(IFERROR(VLOOKUP(T_Convention[[#This Row],[NumL]],T_TraitDi[#Data],COLUMN(T_TraitDi[Colonne32]),FALSE),""),"[hh]:mm"))</f>
        <v>#N/A</v>
      </c>
      <c r="BI16" s="284" t="str">
        <f>IFERROR(VLOOKUP(T_Convention[[#This Row],[NumL]],T_TraitDi[#Data],COLUMN(T_TraitDi[NbJTW]),FALSE),"")</f>
        <v/>
      </c>
      <c r="BJ16" s="284" t="e">
        <f>IF(VLOOKUP(T_Convention[[#This Row],[NumL]],T_TraitDi[#Data],COLUMN(T_TraitDi[NbhTW]),FALSE)=0,"",TEXT(IFERROR(VLOOKUP(T_Convention[[#This Row],[NumL]],T_TraitDi[#Data],COLUMN(T_TraitDi[NbhTW]),FALSE),""),"[hh]:mm"))</f>
        <v>#N/A</v>
      </c>
      <c r="BK16" s="286" t="e">
        <f>IF(VLOOKUP(T_Convention[[#This Row],[NumL]],T_TraitDi[#Data],COLUMN(T_TraitDi[Nbhheb]),FALSE)=0,"",TEXT(IFERROR(VLOOKUP(T_Convention[[#This Row],[NumL]],T_TraitDi[#Data],COLUMN(T_TraitDi[Nbhheb]),FALSE),""),"[hh]:mm"))</f>
        <v>#N/A</v>
      </c>
      <c r="BL16" s="287" t="str">
        <f>IFERROR(VLOOKUP(VLOOKUP(T_Convention[[#This Row],[NumL]],T_TraitDi[#Data],COLUMN(T_TraitDi[Type1]),FALSE),TypeTW,2,FALSE),"")</f>
        <v/>
      </c>
      <c r="BM16" s="288" t="str">
        <f>IFERROR(VLOOKUP(T_Convention[[#This Row],[NumL]],T_TraitDi[#Data],COLUMN(T_TraitDi[Rue1]),FALSE),"")</f>
        <v/>
      </c>
      <c r="BN16" s="289" t="str">
        <f>IFERROR(VLOOKUP(T_Convention[[#This Row],[NumL]],T_TraitDi[#Data],COLUMN(T_TraitDi[CP1]),FALSE),"")</f>
        <v/>
      </c>
      <c r="BO16" s="282" t="str">
        <f>IFERROR(VLOOKUP(T_Convention[[#This Row],[NumL]],T_TraitDi[#Data],COLUMN(T_TraitDi[VILLE1]),FALSE),"")</f>
        <v/>
      </c>
      <c r="BP16" s="290" t="str">
        <f>IFERROR(VLOOKUP(VLOOKUP(T_Convention[[#This Row],[NumL]],T_TraitDi[#Data],COLUMN(T_TraitDi[Type2]),FALSE),TypeTW,2,FALSE),"")</f>
        <v/>
      </c>
      <c r="BQ16" s="182" t="str">
        <f>IFERROR(VLOOKUP(T_Convention[[#This Row],[NumL]],T_TraitDi[#Data],COLUMN(T_TraitDi[Rue2]),FALSE),"")</f>
        <v/>
      </c>
      <c r="BR16" s="173" t="str">
        <f>IFERROR(VLOOKUP(T_Convention[[#This Row],[NumL]],T_TraitDi[#Data],COLUMN(T_TraitDi[CP2]),FALSE),"")</f>
        <v/>
      </c>
      <c r="BS16" s="173" t="str">
        <f>IFERROR(VLOOKUP(T_Convention[[#This Row],[NumL]],T_TraitDi[#Data],COLUMN(T_TraitDi[VILLE2]),FALSE),"")</f>
        <v/>
      </c>
      <c r="BT16" s="313" t="str">
        <f>IF(VLOOKUP(T_Convention[[#This Row],[NumL]],T_Equipement[#Data],COLUMN(T_Equipement[PC]),FALSE)="","Aucun équipement spécifique directement lié au télétravail",VLOOKUP(T_Convention[[#This Row],[NumL]],T_Equipement[#Data],COLUMN(T_Equipement[PC]),FALSE))</f>
        <v xml:space="preserve">18-016	</v>
      </c>
      <c r="BU16" s="296" t="str">
        <f>IFERROR(IF(VLOOKUP(T_Convention[[#This Row],[NumL]],T_TraitDi[#Data],COLUMN(T_TraitDi[Plan]),FALSE)="OK","Un planning spécifique de télétravail est annexé à la présente convention.",""),"")</f>
        <v/>
      </c>
      <c r="BV16" s="270" t="s">
        <v>3324</v>
      </c>
      <c r="BW16" s="164" t="e">
        <f>IF(VLOOKUP(T_Convention[[#This Row],[NumL]],T_suiviDi[#Data],COLUMN(T_suiviDi[Entité]),FALSE)="","",VLOOKUP(T_Convention[[#This Row],[NumL]],T_suiviDi[#Data],COLUMN(T_suiviDi[Entité]),FALSE))</f>
        <v>#N/A</v>
      </c>
      <c r="BX16" s="164" t="str">
        <f>IF(VLOOKUP(T_Convention[[#This Row],[NumL]],T_Commission[#Data],COLUMN(T_Commission[envoi confirm TW]),FALSE)="","",VLOOKUP(T_Convention[[#This Row],[NumL]],T_Commission[#Data],COLUMN(T_Commission[envoi confirm TW]),FALSE))</f>
        <v>Oui</v>
      </c>
      <c r="BY1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 s="264">
        <f>VLOOKUP(T_Convention[[#This Row],[NumL]],T_Commission[#Data],COLUMN(T_Commission[Commentaire]),FALSE)</f>
        <v>0</v>
      </c>
      <c r="CA16" s="254" t="str">
        <f>IF(VLOOKUP(T_Convention[[#This Row],[NumL]],T_Commission[#Data],COLUMN(T_Commission[Encadrant Email]),FALSE)="","",VLOOKUP(T_Convention[[#This Row],[NumL]],T_Commission[#Data],COLUMN(T_Commission[Encadrant Email]),FALSE))</f>
        <v/>
      </c>
      <c r="CB16" s="352" t="e">
        <f>VLOOKUP(T_Convention[[#This Row],[NumL]],T_TraitDi[#Data],COLUMN(T_TraitDi[NbJTot]),FALSE)</f>
        <v>#N/A</v>
      </c>
      <c r="CC16" s="352" t="e">
        <f>VLOOKUP(T_Convention[[#This Row],[NumL]],T_TraitDi[#Data],COLUMN(T_TraitDi[Reg Ponct]),FALSE)</f>
        <v>#N/A</v>
      </c>
      <c r="CD16" s="348" t="str">
        <f>IF(T_Convention[[#This Row],[Final]]&lt;&gt;"",VLOOKUP(T_Convention[[#This Row],[NumL]],T_suiviDi[#Data],COLUMN((T_suiviDi[Statut])),FALSE),"")</f>
        <v/>
      </c>
    </row>
    <row r="17" spans="1:82" s="106" customFormat="1" ht="18.75" customHeight="1" x14ac:dyDescent="0.25">
      <c r="A17" s="90">
        <v>316</v>
      </c>
      <c r="B17" s="281" t="str">
        <f>VLOOKUP(T_Convention[[#This Row],[NumL]],T_Commission[#Data],COLUMN(T_Commission[FINAL]),FALSE)</f>
        <v/>
      </c>
      <c r="C17" s="309"/>
      <c r="D17" s="95" t="e">
        <f>IF(VLOOKUP(T_Convention[[#This Row],[NumL]],T_TraitDi[#Data],COLUMN(T_TraitDi[WebC]),FALSE)="","",VLOOKUP(T_Convention[[#This Row],[NumL]],T_TraitDi[#Data],COLUMN(T_TraitDi[WebC]),FALSE))</f>
        <v>#N/A</v>
      </c>
      <c r="E17" s="95" t="str">
        <f t="shared" si="0"/>
        <v>12 janvier 2021</v>
      </c>
      <c r="F17" s="282" t="str">
        <f>IF(T_Convention[[#This Row],[Final]]&lt;&gt;"",VLOOKUP(T_Convention[[#This Row],[NumL]],T_suiviDi[#Data],COLUMN((T_suiviDi[Civ.])),FALSE),"")</f>
        <v/>
      </c>
      <c r="G17" s="283" t="str">
        <f>IF(T_Convention[[#This Row],[Final]]&lt;&gt;"",VLOOKUP(T_Convention[[#This Row],[NumL]],T_suiviDi[#Data],COLUMN((T_suiviDi[Nom])),FALSE),"")</f>
        <v/>
      </c>
      <c r="H17" s="282" t="str">
        <f>IF(T_Convention[[#This Row],[Final]]&lt;&gt;"",VLOOKUP(T_Convention[[#This Row],[NumL]],T_suiviDi[#Data],COLUMN((T_suiviDi[Prénom])),FALSE),"")</f>
        <v/>
      </c>
      <c r="I17" s="282" t="e">
        <f>VLOOKUP(T_Convention[[#This Row],[NumL]],T_suiviDi[#Data],COLUMN((T_suiviDi[[#This Row],[Email]])),FALSE)</f>
        <v>#N/A</v>
      </c>
      <c r="J17" s="282" t="e">
        <f>IF(VLOOKUP(T_Convention[[#This Row],[NumL]],T_suiviDi[#Data],COLUMN(T_suiviDi[[#This Row],[Fonction]]),FALSE)="","",VLOOKUP(T_Convention[[#This Row],[NumL]],T_suiviDi[#Data],COLUMN(T_suiviDi[[#This Row],[Fonction]]),FALSE))</f>
        <v>#N/A</v>
      </c>
      <c r="K17" s="282" t="e">
        <f>IF(VLOOKUP(T_Convention[[#This Row],[NumL]],T_suiviDi[#Data],COLUMN(T_suiviDi[[#This Row],[Grade]]),FALSE)="","",VLOOKUP(T_Convention[[#This Row],[NumL]],T_suiviDi[#Data],COLUMN(T_suiviDi[[#This Row],[Grade]]),FALSE))</f>
        <v>#N/A</v>
      </c>
      <c r="L17" s="282" t="e">
        <f>IF(VLOOKUP(T_Convention[[#This Row],[NumL]],T_suiviDi[#Data],COLUMN(T_suiviDi[[#This Row],[Service ]]),FALSE)="","",VLOOKUP(T_Convention[[#This Row],[NumL]],T_suiviDi[#Data],COLUMN(T_suiviDi[[#This Row],[Service ]]),FALSE))</f>
        <v>#N/A</v>
      </c>
      <c r="M17" s="282" t="str">
        <f t="shared" si="1"/>
        <v>01 septembre 2021</v>
      </c>
      <c r="N17" s="282" t="str">
        <f t="shared" si="2"/>
        <v>30 novembre 2021</v>
      </c>
      <c r="O17" s="284" t="str">
        <f t="shared" si="3"/>
        <v>30 novembre 2021</v>
      </c>
      <c r="P17" s="282" t="e">
        <f>IF(VLOOKUP(T_Convention[[#This Row],[NumL]],T_TraitDi[#Data],COLUMN(T_TraitDi[M1]),FALSE)="","",VLOOKUP(T_Convention[[#This Row],[NumL]],T_TraitDi[#Data],COLUMN(T_TraitDi[M1]),FALSE))</f>
        <v>#N/A</v>
      </c>
      <c r="Q17" s="282" t="e">
        <f>IF(VLOOKUP(T_Convention[[#This Row],[NumL]],T_TraitDi[#Data],COLUMN(T_TraitDi[M2]),FALSE)="","",VLOOKUP(T_Convention[[#This Row],[NumL]],T_TraitDi[#Data],COLUMN(T_TraitDi[M2]),FALSE))</f>
        <v>#N/A</v>
      </c>
      <c r="R17" s="282" t="e">
        <f>IF(VLOOKUP(T_Convention[[#This Row],[NumL]],T_TraitDi[#Data],COLUMN(T_TraitDi[M3]),FALSE)="","",VLOOKUP(T_Convention[[#This Row],[NumL]],T_TraitDi[#Data],COLUMN(T_TraitDi[M3]),FALSE))</f>
        <v>#N/A</v>
      </c>
      <c r="S17" s="282" t="e">
        <f>IF(VLOOKUP(T_Convention[[#This Row],[NumL]],T_TraitDi[#Data],COLUMN(T_TraitDi[M4]),FALSE)="","",VLOOKUP(T_Convention[[#This Row],[NumL]],T_TraitDi[#Data],COLUMN(T_TraitDi[M4]),FALSE))</f>
        <v>#N/A</v>
      </c>
      <c r="T17" s="282" t="e">
        <f>IF(VLOOKUP(T_Convention[[#This Row],[NumL]],T_TraitDi[#Data],COLUMN(T_TraitDi[M5]),FALSE)="","",VLOOKUP(T_Convention[[#This Row],[NumL]],T_TraitDi[#Data],COLUMN(T_TraitDi[M5]),FALSE))</f>
        <v>#N/A</v>
      </c>
      <c r="U17" s="282" t="e">
        <f>IF(VLOOKUP(T_Convention[[#This Row],[NumL]],T_TraitDi[#Data],COLUMN(T_TraitDi[M6]),FALSE)="","",VLOOKUP(T_Convention[[#This Row],[NumL]],T_TraitDi[#Data],COLUMN(T_TraitDi[M6]),FALSE))</f>
        <v>#N/A</v>
      </c>
      <c r="V17" s="282" t="e">
        <f t="shared" si="4"/>
        <v>#N/A</v>
      </c>
      <c r="W17" s="284" t="str">
        <f>IFERROR(TEXT(VLOOKUP(T_Convention[[#This Row],[NumL]],T_TraitDi[#Data],COLUMN(T_TraitDi[Q2]),FALSE),"###%"),"")</f>
        <v/>
      </c>
      <c r="X17" s="285" t="e">
        <f>VLOOKUP(T_Convention[[#This Row],[NumL]],T_TraitDi[#Data],COLUMN(T_TraitDi[Reg Ponct]),FALSE)</f>
        <v>#N/A</v>
      </c>
      <c r="Y17" s="285" t="e">
        <f>VLOOKUP(T_Convention[NumL],T_TraitDi[#Data],COLUMN(T_TraitDi[Jours flottants]),FALSE)</f>
        <v>#N/A</v>
      </c>
      <c r="Z17" s="284" t="str">
        <f>IFERROR(VLOOKUP(T_Convention[[#This Row],[NumL]],T_TraitDi[#Data],COLUMN(T_TraitDi[Lundi]),FALSE),"")</f>
        <v/>
      </c>
      <c r="AA17" s="284" t="e">
        <f>IF(VLOOKUP(T_Convention[[#This Row],[NumL]],T_TraitDi[#Data],COLUMN(T_TraitDi[Colonne3]),FALSE)=0,"",TEXT(IFERROR(VLOOKUP(T_Convention[[#This Row],[NumL]],T_TraitDi[#Data],COLUMN(T_TraitDi[Colonne3]),FALSE),""),"[hh]:mm"))</f>
        <v>#N/A</v>
      </c>
      <c r="AB17" s="284" t="e">
        <f>IF(VLOOKUP(T_Convention[[#This Row],[NumL]],T_TraitDi[#Data],COLUMN(T_TraitDi[Colonne4]),FALSE)=0,"",TEXT(IFERROR(VLOOKUP(T_Convention[[#This Row],[NumL]],T_TraitDi[#Data],COLUMN(T_TraitDi[Colonne4]),FALSE),""),"[hh]:mm"))</f>
        <v>#N/A</v>
      </c>
      <c r="AC17" s="284" t="e">
        <f>IF(VLOOKUP(T_Convention[[#This Row],[NumL]],T_TraitDi[#Data],COLUMN(T_TraitDi[Colonne5]),FALSE)=0,"",TEXT(IFERROR(VLOOKUP(T_Convention[[#This Row],[NumL]],T_TraitDi[#Data],COLUMN(T_TraitDi[Colonne5]),FALSE),""),"[hh]:mm"))</f>
        <v>#N/A</v>
      </c>
      <c r="AD17" s="284" t="e">
        <f>IF(VLOOKUP(T_Convention[[#This Row],[NumL]],T_TraitDi[#Data],COLUMN(T_TraitDi[Colonne6]),FALSE)=0,"",TEXT(IFERROR(VLOOKUP(T_Convention[[#This Row],[NumL]],T_TraitDi[#Data],COLUMN(T_TraitDi[Colonne6]),FALSE),""),"[hh]:mm"))</f>
        <v>#N/A</v>
      </c>
      <c r="AE17" s="284" t="e">
        <f>IF(VLOOKUP(T_Convention[[#This Row],[NumL]],T_TraitDi[#Data],COLUMN(T_TraitDi[Colonne7]),FALSE)=0,"",TEXT(IFERROR(VLOOKUP(T_Convention[[#This Row],[NumL]],T_TraitDi[#Data],COLUMN(T_TraitDi[Colonne7]),FALSE),""),"[hh]:mm"))</f>
        <v>#N/A</v>
      </c>
      <c r="AF17" s="284" t="e">
        <f>IF(VLOOKUP(T_Convention[[#This Row],[NumL]],T_TraitDi[#Data],COLUMN(T_TraitDi[Colonne8]),FALSE)=0,"",TEXT(IFERROR(VLOOKUP(T_Convention[[#This Row],[NumL]],T_TraitDi[#Data],COLUMN(T_TraitDi[Colonne8]),FALSE),""),"[hh]:mm"))</f>
        <v>#N/A</v>
      </c>
      <c r="AG17" s="284" t="str">
        <f>IFERROR(VLOOKUP(T_Convention[[#This Row],[NumL]],T_TraitDi[#Data],COLUMN(T_TraitDi[Mardi]),FALSE),"")</f>
        <v/>
      </c>
      <c r="AH17" s="284" t="e">
        <f>IF(VLOOKUP(T_Convention[[#This Row],[NumL]],T_TraitDi[#Data],COLUMN(T_TraitDi[Colonne1]),FALSE)=0,"",TEXT(IFERROR(VLOOKUP(T_Convention[[#This Row],[NumL]],T_TraitDi[#Data],COLUMN(T_TraitDi[Colonne1]),FALSE),""),"[hh]:mm"))</f>
        <v>#N/A</v>
      </c>
      <c r="AI17" s="284" t="e">
        <f>IF(VLOOKUP(T_Convention[[#This Row],[NumL]],T_TraitDi[#Data],COLUMN(T_TraitDi[Colonne9]),FALSE)=0,"",TEXT(IFERROR(VLOOKUP(T_Convention[[#This Row],[NumL]],T_TraitDi[#Data],COLUMN(T_TraitDi[Colonne9]),FALSE),""),"[hh]:mm"))</f>
        <v>#N/A</v>
      </c>
      <c r="AJ17" s="284" t="str">
        <f>IFERROR(VLOOKUP(T_Convention[[#This Row],[NumL]],T_TraitDi[#Data],COLUMN(T_TraitDi[Colonne10]),FALSE),"")</f>
        <v/>
      </c>
      <c r="AK17" s="284" t="e">
        <f>IF(VLOOKUP(T_Convention[[#This Row],[NumL]],T_TraitDi[#Data],COLUMN(T_TraitDi[Colonne11]),FALSE)=0,"",TEXT(IFERROR(VLOOKUP(T_Convention[[#This Row],[NumL]],T_TraitDi[#Data],COLUMN(T_TraitDi[Colonne11]),FALSE),""),"[hh]:mm"))</f>
        <v>#N/A</v>
      </c>
      <c r="AL17" s="284" t="e">
        <f>IF(VLOOKUP(T_Convention[[#This Row],[NumL]],T_TraitDi[#Data],COLUMN(T_TraitDi[Colonne12]),FALSE)=0,"",TEXT(IFERROR(VLOOKUP(T_Convention[[#This Row],[NumL]],T_TraitDi[#Data],COLUMN(T_TraitDi[Colonne12]),FALSE),""),"[hh]:mm"))</f>
        <v>#N/A</v>
      </c>
      <c r="AM17" s="284" t="e">
        <f>IF(VLOOKUP(T_Convention[[#This Row],[NumL]],T_TraitDi[#Data],COLUMN(T_TraitDi[Colonne14]),FALSE)=0,"",TEXT(IFERROR(VLOOKUP(T_Convention[[#This Row],[NumL]],T_TraitDi[#Data],COLUMN(T_TraitDi[Colonne14]),FALSE),""),"[hh]:mm"))</f>
        <v>#N/A</v>
      </c>
      <c r="AN17" s="284" t="str">
        <f>IFERROR(VLOOKUP(T_Convention[[#This Row],[NumL]],T_TraitDi[#Data],COLUMN(T_TraitDi[Mercredi]),FALSE),"")</f>
        <v/>
      </c>
      <c r="AO17" s="284" t="e">
        <f>IF(VLOOKUP(T_Convention[[#This Row],[NumL]],T_TraitDi[#Data],COLUMN(T_TraitDi[Colonne15]),FALSE)=0,"",TEXT(IFERROR(VLOOKUP(T_Convention[[#This Row],[NumL]],T_TraitDi[#Data],COLUMN(T_TraitDi[Colonne15]),FALSE),""),"[hh]:mm"))</f>
        <v>#N/A</v>
      </c>
      <c r="AP17" s="284" t="e">
        <f>IF(VLOOKUP(T_Convention[[#This Row],[NumL]],T_TraitDi[#Data],COLUMN(T_TraitDi[Colonne16]),FALSE)=0,"",TEXT(IFERROR(VLOOKUP(T_Convention[[#This Row],[NumL]],T_TraitDi[#Data],COLUMN(T_TraitDi[Colonne16]),FALSE),""),"[hh]:mm"))</f>
        <v>#N/A</v>
      </c>
      <c r="AQ17" s="284" t="str">
        <f>IFERROR(VLOOKUP(T_Convention[[#This Row],[NumL]],T_TraitDi[#Data],COLUMN(T_TraitDi[Colonne17]),FALSE),"")</f>
        <v/>
      </c>
      <c r="AR17" s="284" t="e">
        <f>IF(VLOOKUP(T_Convention[[#This Row],[NumL]],T_TraitDi[#Data],COLUMN(T_TraitDi[Colonne18]),FALSE)=0,"",TEXT(IFERROR(VLOOKUP(T_Convention[[#This Row],[NumL]],T_TraitDi[#Data],COLUMN(T_TraitDi[Colonne18]),FALSE),""),"[hh]:mm"))</f>
        <v>#N/A</v>
      </c>
      <c r="AS17" s="284" t="e">
        <f>IF(VLOOKUP(T_Convention[[#This Row],[NumL]],T_TraitDi[#Data],COLUMN(T_TraitDi[Colonne19]),FALSE)=0,"",TEXT(IFERROR(VLOOKUP(T_Convention[[#This Row],[NumL]],T_TraitDi[#Data],COLUMN(T_TraitDi[Colonne19]),FALSE),""),"[hh]:mm"))</f>
        <v>#N/A</v>
      </c>
      <c r="AT17" s="284" t="e">
        <f>IF(VLOOKUP(T_Convention[[#This Row],[NumL]],T_TraitDi[#Data],COLUMN(T_TraitDi[Colonne20]),FALSE)=0,"",TEXT(IFERROR(VLOOKUP(T_Convention[[#This Row],[NumL]],T_TraitDi[#Data],COLUMN(T_TraitDi[Colonne20]),FALSE),""),"[hh]:mm"))</f>
        <v>#N/A</v>
      </c>
      <c r="AU17" s="284" t="str">
        <f>IFERROR(VLOOKUP(T_Convention[[#This Row],[NumL]],T_TraitDi[#Data],COLUMN(T_TraitDi[Jeudi]),FALSE),"")</f>
        <v/>
      </c>
      <c r="AV17" s="284" t="e">
        <f>IF(VLOOKUP(T_Convention[[#This Row],[NumL]],T_TraitDi[#Data],COLUMN(T_TraitDi[Colonne21]),FALSE)=0,"",TEXT(IFERROR(VLOOKUP(T_Convention[[#This Row],[NumL]],T_TraitDi[#Data],COLUMN(T_TraitDi[Colonne21]),FALSE),""),"[hh]:mm"))</f>
        <v>#N/A</v>
      </c>
      <c r="AW17" s="284" t="e">
        <f>IF(VLOOKUP(T_Convention[[#This Row],[NumL]],T_TraitDi[#Data],COLUMN(T_TraitDi[Colonne22]),FALSE)=0,"",TEXT(IFERROR(VLOOKUP(T_Convention[[#This Row],[NumL]],T_TraitDi[#Data],COLUMN(T_TraitDi[Colonne22]),FALSE),""),"[hh]:mm"))</f>
        <v>#N/A</v>
      </c>
      <c r="AX17" s="284" t="str">
        <f>IFERROR(VLOOKUP(T_Convention[[#This Row],[NumL]],T_TraitDi[#Data],COLUMN(T_TraitDi[Colonne23]),FALSE),"")</f>
        <v/>
      </c>
      <c r="AY17" s="284" t="e">
        <f>IF(VLOOKUP(T_Convention[[#This Row],[NumL]],T_TraitDi[#Data],COLUMN(T_TraitDi[Colonne24]),FALSE)=0,"",TEXT(IFERROR(VLOOKUP(T_Convention[[#This Row],[NumL]],T_TraitDi[#Data],COLUMN(T_TraitDi[Colonne24]),FALSE),""),"[hh]:mm"))</f>
        <v>#N/A</v>
      </c>
      <c r="AZ17" s="284" t="e">
        <f>IF(VLOOKUP(T_Convention[[#This Row],[NumL]],T_TraitDi[#Data],COLUMN(T_TraitDi[Colonne25]),FALSE)=0,"",TEXT(IFERROR(VLOOKUP(T_Convention[[#This Row],[NumL]],T_TraitDi[#Data],COLUMN(T_TraitDi[Colonne25]),FALSE),""),"[hh]:mm"))</f>
        <v>#N/A</v>
      </c>
      <c r="BA17" s="284" t="e">
        <f>IF(VLOOKUP(T_Convention[[#This Row],[NumL]],T_TraitDi[#Data],COLUMN(T_TraitDi[Colonne26]),FALSE)=0,"",TEXT(IFERROR(VLOOKUP(T_Convention[[#This Row],[NumL]],T_TraitDi[#Data],COLUMN(T_TraitDi[Colonne26]),FALSE),""),"[hh]:mm"))</f>
        <v>#N/A</v>
      </c>
      <c r="BB17" s="284" t="str">
        <f>IFERROR(VLOOKUP(T_Convention[[#This Row],[NumL]],T_TraitDi[#Data],COLUMN(T_TraitDi[Vendredi]),FALSE),"")</f>
        <v/>
      </c>
      <c r="BC17" s="284" t="e">
        <f>IF(VLOOKUP(T_Convention[[#This Row],[NumL]],T_TraitDi[#Data],COLUMN(T_TraitDi[Colonne27]),FALSE)=0,"",TEXT(IFERROR(VLOOKUP(T_Convention[[#This Row],[NumL]],T_TraitDi[#Data],COLUMN(T_TraitDi[Colonne27]),FALSE),""),"[hh]:mm"))</f>
        <v>#N/A</v>
      </c>
      <c r="BD17" s="284" t="e">
        <f>IF(VLOOKUP(T_Convention[[#This Row],[NumL]],T_TraitDi[#Data],COLUMN(T_TraitDi[Colonne28]),FALSE)=0,"",TEXT(IFERROR(VLOOKUP(T_Convention[[#This Row],[NumL]],T_TraitDi[#Data],COLUMN(T_TraitDi[Colonne28]),FALSE),""),"[hh]:mm"))</f>
        <v>#N/A</v>
      </c>
      <c r="BE17" s="284" t="str">
        <f>IFERROR(VLOOKUP(T_Convention[[#This Row],[NumL]],T_TraitDi[#Data],COLUMN(T_TraitDi[Colonne29]),FALSE),"")</f>
        <v/>
      </c>
      <c r="BF17" s="284" t="e">
        <f>IF(VLOOKUP(T_Convention[[#This Row],[NumL]],T_TraitDi[#Data],COLUMN(T_TraitDi[Colonne30]),FALSE)=0,"",TEXT(IFERROR(VLOOKUP(T_Convention[[#This Row],[NumL]],T_TraitDi[#Data],COLUMN(T_TraitDi[Colonne30]),FALSE),""),"[hh]:mm"))</f>
        <v>#N/A</v>
      </c>
      <c r="BG17" s="284" t="e">
        <f>IF(VLOOKUP(T_Convention[[#This Row],[NumL]],T_TraitDi[#Data],COLUMN(T_TraitDi[Colonne31]),FALSE)=0,"",TEXT(IFERROR(VLOOKUP(T_Convention[[#This Row],[NumL]],T_TraitDi[#Data],COLUMN(T_TraitDi[Colonne31]),FALSE),""),"[hh]:mm"))</f>
        <v>#N/A</v>
      </c>
      <c r="BH17" s="284" t="e">
        <f>IF(VLOOKUP(T_Convention[[#This Row],[NumL]],T_TraitDi[#Data],COLUMN(T_TraitDi[Colonne32]),FALSE)=0,"",TEXT(IFERROR(VLOOKUP(T_Convention[[#This Row],[NumL]],T_TraitDi[#Data],COLUMN(T_TraitDi[Colonne32]),FALSE),""),"[hh]:mm"))</f>
        <v>#N/A</v>
      </c>
      <c r="BI17" s="284" t="str">
        <f>IFERROR(VLOOKUP(T_Convention[[#This Row],[NumL]],T_TraitDi[#Data],COLUMN(T_TraitDi[NbJTW]),FALSE),"")</f>
        <v/>
      </c>
      <c r="BJ17" s="284" t="e">
        <f>IF(VLOOKUP(T_Convention[[#This Row],[NumL]],T_TraitDi[#Data],COLUMN(T_TraitDi[NbhTW]),FALSE)=0,"",TEXT(IFERROR(VLOOKUP(T_Convention[[#This Row],[NumL]],T_TraitDi[#Data],COLUMN(T_TraitDi[NbhTW]),FALSE),""),"[hh]:mm"))</f>
        <v>#N/A</v>
      </c>
      <c r="BK17" s="315" t="e">
        <f>IF(VLOOKUP(T_Convention[[#This Row],[NumL]],T_TraitDi[#Data],COLUMN(T_TraitDi[Nbhheb]),FALSE)=0,"",TEXT(IFERROR(VLOOKUP(T_Convention[[#This Row],[NumL]],T_TraitDi[#Data],COLUMN(T_TraitDi[Nbhheb]),FALSE),""),"[hh]:mm"))</f>
        <v>#N/A</v>
      </c>
      <c r="BL17" s="287" t="str">
        <f>IFERROR(VLOOKUP(VLOOKUP(T_Convention[[#This Row],[NumL]],T_TraitDi[#Data],COLUMN(T_TraitDi[Type1]),FALSE),TypeTW,2,FALSE),"")</f>
        <v/>
      </c>
      <c r="BM17" s="288" t="str">
        <f>IFERROR(VLOOKUP(T_Convention[[#This Row],[NumL]],T_TraitDi[#Data],COLUMN(T_TraitDi[Rue1]),FALSE),"")</f>
        <v/>
      </c>
      <c r="BN17" s="289" t="str">
        <f>IFERROR(VLOOKUP(T_Convention[[#This Row],[NumL]],T_TraitDi[#Data],COLUMN(T_TraitDi[CP1]),FALSE),"")</f>
        <v/>
      </c>
      <c r="BO17" s="282" t="str">
        <f>IFERROR(VLOOKUP(T_Convention[[#This Row],[NumL]],T_TraitDi[#Data],COLUMN(T_TraitDi[VILLE1]),FALSE),"")</f>
        <v/>
      </c>
      <c r="BP17" s="290" t="str">
        <f>IFERROR(VLOOKUP(VLOOKUP(T_Convention[[#This Row],[NumL]],T_TraitDi[#Data],COLUMN(T_TraitDi[Type2]),FALSE),TypeTW,2,FALSE),"")</f>
        <v/>
      </c>
      <c r="BQ17" s="310" t="str">
        <f>IFERROR(VLOOKUP(T_Convention[[#This Row],[NumL]],T_TraitDi[#Data],COLUMN(T_TraitDi[Rue2]),FALSE),"")</f>
        <v/>
      </c>
      <c r="BR17" s="290" t="str">
        <f>IFERROR(VLOOKUP(T_Convention[[#This Row],[NumL]],T_TraitDi[#Data],COLUMN(T_TraitDi[CP2]),FALSE),"")</f>
        <v/>
      </c>
      <c r="BS17" s="290" t="str">
        <f>IFERROR(VLOOKUP(T_Convention[[#This Row],[NumL]],T_TraitDi[#Data],COLUMN(T_TraitDi[VILLE2]),FALSE),"")</f>
        <v/>
      </c>
      <c r="BT17" s="329"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7" s="329" t="str">
        <f>IFERROR(IF(VLOOKUP(T_Convention[[#This Row],[NumL]],T_TraitDi[#Data],COLUMN(T_TraitDi[Plan]),FALSE)="OK","Un planning spécifique de télétravail est annexé à la présente convention.",""),"")</f>
        <v/>
      </c>
      <c r="BV17" s="291"/>
      <c r="BW17" s="292" t="e">
        <f>IF(VLOOKUP(T_Convention[[#This Row],[NumL]],T_suiviDi[#Data],COLUMN(T_suiviDi[Entité]),FALSE)="","",VLOOKUP(T_Convention[[#This Row],[NumL]],T_suiviDi[#Data],COLUMN(T_suiviDi[Entité]),FALSE))</f>
        <v>#N/A</v>
      </c>
      <c r="BX17" s="311" t="str">
        <f>IF(VLOOKUP(T_Convention[[#This Row],[NumL]],T_Commission[#Data],COLUMN(T_Commission[envoi confirm TW]),FALSE)="","",VLOOKUP(T_Convention[[#This Row],[NumL]],T_Commission[#Data],COLUMN(T_Commission[envoi confirm TW]),FALSE))</f>
        <v>Oui</v>
      </c>
      <c r="BY1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 s="265">
        <f>VLOOKUP(T_Convention[[#This Row],[NumL]],T_Commission[#Data],COLUMN(T_Commission[Commentaire]),FALSE)</f>
        <v>0</v>
      </c>
      <c r="CA17" s="255" t="str">
        <f>IF(VLOOKUP(T_Convention[[#This Row],[NumL]],T_Commission[#Data],COLUMN(T_Commission[Encadrant Email]),FALSE)="","",VLOOKUP(T_Convention[[#This Row],[NumL]],T_Commission[#Data],COLUMN(T_Commission[Encadrant Email]),FALSE))</f>
        <v/>
      </c>
      <c r="CB17" s="352" t="e">
        <f>VLOOKUP(T_Convention[[#This Row],[NumL]],T_TraitDi[#Data],COLUMN(T_TraitDi[NbJTot]),FALSE)</f>
        <v>#N/A</v>
      </c>
      <c r="CC17" s="352" t="e">
        <f>VLOOKUP(T_Convention[[#This Row],[NumL]],T_TraitDi[#Data],COLUMN(T_TraitDi[Reg Ponct]),FALSE)</f>
        <v>#N/A</v>
      </c>
      <c r="CD17" s="348" t="str">
        <f>IF(T_Convention[[#This Row],[Final]]&lt;&gt;"",VLOOKUP(T_Convention[[#This Row],[NumL]],T_suiviDi[#Data],COLUMN((T_suiviDi[Statut])),FALSE),"")</f>
        <v/>
      </c>
    </row>
    <row r="18" spans="1:82" s="106" customFormat="1" ht="18.75" customHeight="1" x14ac:dyDescent="0.25">
      <c r="A18" s="90">
        <v>150</v>
      </c>
      <c r="B18" s="161" t="str">
        <f>VLOOKUP(T_Convention[[#This Row],[NumL]],T_Commission[#Data],COLUMN(T_Commission[FINAL]),FALSE)</f>
        <v/>
      </c>
      <c r="C18" s="309"/>
      <c r="D18" s="95" t="e">
        <f>IF(VLOOKUP(T_Convention[[#This Row],[NumL]],T_TraitDi[#Data],COLUMN(T_TraitDi[WebC]),FALSE)="","",VLOOKUP(T_Convention[[#This Row],[NumL]],T_TraitDi[#Data],COLUMN(T_TraitDi[WebC]),FALSE))</f>
        <v>#N/A</v>
      </c>
      <c r="E18" s="95" t="str">
        <f t="shared" si="0"/>
        <v>12 janvier 2021</v>
      </c>
      <c r="F18" s="282" t="str">
        <f>IF(T_Convention[[#This Row],[Final]]&lt;&gt;"",VLOOKUP(T_Convention[[#This Row],[NumL]],T_suiviDi[#Data],COLUMN((T_suiviDi[Civ.])),FALSE),"")</f>
        <v/>
      </c>
      <c r="G18" s="283" t="str">
        <f>IF(T_Convention[[#This Row],[Final]]&lt;&gt;"",VLOOKUP(T_Convention[[#This Row],[NumL]],T_suiviDi[#Data],COLUMN((T_suiviDi[Nom])),FALSE),"")</f>
        <v/>
      </c>
      <c r="H18" s="282" t="str">
        <f>IF(T_Convention[[#This Row],[Final]]&lt;&gt;"",VLOOKUP(T_Convention[[#This Row],[NumL]],T_suiviDi[#Data],COLUMN((T_suiviDi[Prénom])),FALSE),"")</f>
        <v/>
      </c>
      <c r="I18" s="282" t="e">
        <f>VLOOKUP(T_Convention[[#This Row],[NumL]],T_suiviDi[#Data],COLUMN((T_suiviDi[[#This Row],[Email]])),FALSE)</f>
        <v>#N/A</v>
      </c>
      <c r="J18" s="282" t="e">
        <f>IF(VLOOKUP(T_Convention[[#This Row],[NumL]],T_suiviDi[#Data],COLUMN(T_suiviDi[[#This Row],[Fonction]]),FALSE)="","",VLOOKUP(T_Convention[[#This Row],[NumL]],T_suiviDi[#Data],COLUMN(T_suiviDi[[#This Row],[Fonction]]),FALSE))</f>
        <v>#N/A</v>
      </c>
      <c r="K18" s="282" t="e">
        <f>IF(VLOOKUP(T_Convention[[#This Row],[NumL]],T_suiviDi[#Data],COLUMN(T_suiviDi[[#This Row],[Grade]]),FALSE)="","",VLOOKUP(T_Convention[[#This Row],[NumL]],T_suiviDi[#Data],COLUMN(T_suiviDi[[#This Row],[Grade]]),FALSE))</f>
        <v>#N/A</v>
      </c>
      <c r="L18" s="282" t="e">
        <f>IF(VLOOKUP(T_Convention[[#This Row],[NumL]],T_suiviDi[#Data],COLUMN(T_suiviDi[[#This Row],[Service ]]),FALSE)="","",VLOOKUP(T_Convention[[#This Row],[NumL]],T_suiviDi[#Data],COLUMN(T_suiviDi[[#This Row],[Service ]]),FALSE))</f>
        <v>#N/A</v>
      </c>
      <c r="M18" s="96" t="str">
        <f t="shared" si="1"/>
        <v>01 septembre 2021</v>
      </c>
      <c r="N18" s="96" t="str">
        <f t="shared" si="2"/>
        <v>30 novembre 2021</v>
      </c>
      <c r="O18" s="284" t="str">
        <f t="shared" si="3"/>
        <v>30 novembre 2021</v>
      </c>
      <c r="P18" s="282" t="e">
        <f>IF(VLOOKUP(T_Convention[[#This Row],[NumL]],T_TraitDi[#Data],COLUMN(T_TraitDi[M1]),FALSE)="","",VLOOKUP(T_Convention[[#This Row],[NumL]],T_TraitDi[#Data],COLUMN(T_TraitDi[M1]),FALSE))</f>
        <v>#N/A</v>
      </c>
      <c r="Q18" s="282" t="e">
        <f>IF(VLOOKUP(T_Convention[[#This Row],[NumL]],T_TraitDi[#Data],COLUMN(T_TraitDi[M2]),FALSE)="","",VLOOKUP(T_Convention[[#This Row],[NumL]],T_TraitDi[#Data],COLUMN(T_TraitDi[M2]),FALSE))</f>
        <v>#N/A</v>
      </c>
      <c r="R18" s="282" t="e">
        <f>IF(VLOOKUP(T_Convention[[#This Row],[NumL]],T_TraitDi[#Data],COLUMN(T_TraitDi[M3]),FALSE)="","",VLOOKUP(T_Convention[[#This Row],[NumL]],T_TraitDi[#Data],COLUMN(T_TraitDi[M3]),FALSE))</f>
        <v>#N/A</v>
      </c>
      <c r="S18" s="282" t="e">
        <f>IF(VLOOKUP(T_Convention[[#This Row],[NumL]],T_TraitDi[#Data],COLUMN(T_TraitDi[M4]),FALSE)="","",VLOOKUP(T_Convention[[#This Row],[NumL]],T_TraitDi[#Data],COLUMN(T_TraitDi[M4]),FALSE))</f>
        <v>#N/A</v>
      </c>
      <c r="T18" s="282" t="e">
        <f>IF(VLOOKUP(T_Convention[[#This Row],[NumL]],T_TraitDi[#Data],COLUMN(T_TraitDi[M5]),FALSE)="","",VLOOKUP(T_Convention[[#This Row],[NumL]],T_TraitDi[#Data],COLUMN(T_TraitDi[M5]),FALSE))</f>
        <v>#N/A</v>
      </c>
      <c r="U18" s="282" t="e">
        <f>IF(VLOOKUP(T_Convention[[#This Row],[NumL]],T_TraitDi[#Data],COLUMN(T_TraitDi[M6]),FALSE)="","",VLOOKUP(T_Convention[[#This Row],[NumL]],T_TraitDi[#Data],COLUMN(T_TraitDi[M6]),FALSE))</f>
        <v>#N/A</v>
      </c>
      <c r="V18" s="312" t="e">
        <f t="shared" si="4"/>
        <v>#N/A</v>
      </c>
      <c r="W18" s="284" t="str">
        <f>IFERROR(TEXT(VLOOKUP(T_Convention[[#This Row],[NumL]],T_TraitDi[#Data],COLUMN(T_TraitDi[Q2]),FALSE),"###%"),"")</f>
        <v/>
      </c>
      <c r="X18" s="97" t="e">
        <f>VLOOKUP(T_Convention[[#This Row],[NumL]],T_TraitDi[#Data],COLUMN(T_TraitDi[Reg Ponct]),FALSE)</f>
        <v>#N/A</v>
      </c>
      <c r="Y18" s="97" t="e">
        <f>VLOOKUP(T_Convention[NumL],T_TraitDi[#Data],COLUMN(T_TraitDi[Jours flottants]),FALSE)</f>
        <v>#N/A</v>
      </c>
      <c r="Z18" s="284" t="str">
        <f>IFERROR(VLOOKUP(T_Convention[[#This Row],[NumL]],T_TraitDi[#Data],COLUMN(T_TraitDi[Lundi]),FALSE),"")</f>
        <v/>
      </c>
      <c r="AA18" s="284" t="e">
        <f>IF(VLOOKUP(T_Convention[[#This Row],[NumL]],T_TraitDi[#Data],COLUMN(T_TraitDi[Colonne3]),FALSE)=0,"",TEXT(IFERROR(VLOOKUP(T_Convention[[#This Row],[NumL]],T_TraitDi[#Data],COLUMN(T_TraitDi[Colonne3]),FALSE),""),"[hh]:mm"))</f>
        <v>#N/A</v>
      </c>
      <c r="AB18" s="284" t="e">
        <f>IF(VLOOKUP(T_Convention[[#This Row],[NumL]],T_TraitDi[#Data],COLUMN(T_TraitDi[Colonne4]),FALSE)=0,"",TEXT(IFERROR(VLOOKUP(T_Convention[[#This Row],[NumL]],T_TraitDi[#Data],COLUMN(T_TraitDi[Colonne4]),FALSE),""),"[hh]:mm"))</f>
        <v>#N/A</v>
      </c>
      <c r="AC18" s="284" t="e">
        <f>IF(VLOOKUP(T_Convention[[#This Row],[NumL]],T_TraitDi[#Data],COLUMN(T_TraitDi[Colonne5]),FALSE)=0,"",TEXT(IFERROR(VLOOKUP(T_Convention[[#This Row],[NumL]],T_TraitDi[#Data],COLUMN(T_TraitDi[Colonne5]),FALSE),""),"[hh]:mm"))</f>
        <v>#N/A</v>
      </c>
      <c r="AD18" s="284" t="e">
        <f>IF(VLOOKUP(T_Convention[[#This Row],[NumL]],T_TraitDi[#Data],COLUMN(T_TraitDi[Colonne6]),FALSE)=0,"",TEXT(IFERROR(VLOOKUP(T_Convention[[#This Row],[NumL]],T_TraitDi[#Data],COLUMN(T_TraitDi[Colonne6]),FALSE),""),"[hh]:mm"))</f>
        <v>#N/A</v>
      </c>
      <c r="AE18" s="284" t="e">
        <f>IF(VLOOKUP(T_Convention[[#This Row],[NumL]],T_TraitDi[#Data],COLUMN(T_TraitDi[Colonne7]),FALSE)=0,"",TEXT(IFERROR(VLOOKUP(T_Convention[[#This Row],[NumL]],T_TraitDi[#Data],COLUMN(T_TraitDi[Colonne7]),FALSE),""),"[hh]:mm"))</f>
        <v>#N/A</v>
      </c>
      <c r="AF18" s="284" t="e">
        <f>IF(VLOOKUP(T_Convention[[#This Row],[NumL]],T_TraitDi[#Data],COLUMN(T_TraitDi[Colonne8]),FALSE)=0,"",TEXT(IFERROR(VLOOKUP(T_Convention[[#This Row],[NumL]],T_TraitDi[#Data],COLUMN(T_TraitDi[Colonne8]),FALSE),""),"[hh]:mm"))</f>
        <v>#N/A</v>
      </c>
      <c r="AG18" s="284" t="str">
        <f>IFERROR(VLOOKUP(T_Convention[[#This Row],[NumL]],T_TraitDi[#Data],COLUMN(T_TraitDi[Mardi]),FALSE),"")</f>
        <v/>
      </c>
      <c r="AH18" s="284" t="e">
        <f>IF(VLOOKUP(T_Convention[[#This Row],[NumL]],T_TraitDi[#Data],COLUMN(T_TraitDi[Colonne1]),FALSE)=0,"",TEXT(IFERROR(VLOOKUP(T_Convention[[#This Row],[NumL]],T_TraitDi[#Data],COLUMN(T_TraitDi[Colonne1]),FALSE),""),"[hh]:mm"))</f>
        <v>#N/A</v>
      </c>
      <c r="AI18" s="284" t="e">
        <f>IF(VLOOKUP(T_Convention[[#This Row],[NumL]],T_TraitDi[#Data],COLUMN(T_TraitDi[Colonne9]),FALSE)=0,"",TEXT(IFERROR(VLOOKUP(T_Convention[[#This Row],[NumL]],T_TraitDi[#Data],COLUMN(T_TraitDi[Colonne9]),FALSE),""),"[hh]:mm"))</f>
        <v>#N/A</v>
      </c>
      <c r="AJ18" s="284" t="str">
        <f>IFERROR(VLOOKUP(T_Convention[[#This Row],[NumL]],T_TraitDi[#Data],COLUMN(T_TraitDi[Colonne10]),FALSE),"")</f>
        <v/>
      </c>
      <c r="AK18" s="284" t="e">
        <f>IF(VLOOKUP(T_Convention[[#This Row],[NumL]],T_TraitDi[#Data],COLUMN(T_TraitDi[Colonne11]),FALSE)=0,"",TEXT(IFERROR(VLOOKUP(T_Convention[[#This Row],[NumL]],T_TraitDi[#Data],COLUMN(T_TraitDi[Colonne11]),FALSE),""),"[hh]:mm"))</f>
        <v>#N/A</v>
      </c>
      <c r="AL18" s="284" t="e">
        <f>IF(VLOOKUP(T_Convention[[#This Row],[NumL]],T_TraitDi[#Data],COLUMN(T_TraitDi[Colonne12]),FALSE)=0,"",TEXT(IFERROR(VLOOKUP(T_Convention[[#This Row],[NumL]],T_TraitDi[#Data],COLUMN(T_TraitDi[Colonne12]),FALSE),""),"[hh]:mm"))</f>
        <v>#N/A</v>
      </c>
      <c r="AM18" s="284" t="e">
        <f>IF(VLOOKUP(T_Convention[[#This Row],[NumL]],T_TraitDi[#Data],COLUMN(T_TraitDi[Colonne14]),FALSE)=0,"",TEXT(IFERROR(VLOOKUP(T_Convention[[#This Row],[NumL]],T_TraitDi[#Data],COLUMN(T_TraitDi[Colonne14]),FALSE),""),"[hh]:mm"))</f>
        <v>#N/A</v>
      </c>
      <c r="AN18" s="284" t="str">
        <f>IFERROR(VLOOKUP(T_Convention[[#This Row],[NumL]],T_TraitDi[#Data],COLUMN(T_TraitDi[Mercredi]),FALSE),"")</f>
        <v/>
      </c>
      <c r="AO18" s="284" t="e">
        <f>IF(VLOOKUP(T_Convention[[#This Row],[NumL]],T_TraitDi[#Data],COLUMN(T_TraitDi[Colonne15]),FALSE)=0,"",TEXT(IFERROR(VLOOKUP(T_Convention[[#This Row],[NumL]],T_TraitDi[#Data],COLUMN(T_TraitDi[Colonne15]),FALSE),""),"[hh]:mm"))</f>
        <v>#N/A</v>
      </c>
      <c r="AP18" s="284" t="e">
        <f>IF(VLOOKUP(T_Convention[[#This Row],[NumL]],T_TraitDi[#Data],COLUMN(T_TraitDi[Colonne16]),FALSE)=0,"",TEXT(IFERROR(VLOOKUP(T_Convention[[#This Row],[NumL]],T_TraitDi[#Data],COLUMN(T_TraitDi[Colonne16]),FALSE),""),"[hh]:mm"))</f>
        <v>#N/A</v>
      </c>
      <c r="AQ18" s="284" t="str">
        <f>IFERROR(VLOOKUP(T_Convention[[#This Row],[NumL]],T_TraitDi[#Data],COLUMN(T_TraitDi[Colonne17]),FALSE),"")</f>
        <v/>
      </c>
      <c r="AR18" s="284" t="e">
        <f>IF(VLOOKUP(T_Convention[[#This Row],[NumL]],T_TraitDi[#Data],COLUMN(T_TraitDi[Colonne18]),FALSE)=0,"",TEXT(IFERROR(VLOOKUP(T_Convention[[#This Row],[NumL]],T_TraitDi[#Data],COLUMN(T_TraitDi[Colonne18]),FALSE),""),"[hh]:mm"))</f>
        <v>#N/A</v>
      </c>
      <c r="AS18" s="284" t="e">
        <f>IF(VLOOKUP(T_Convention[[#This Row],[NumL]],T_TraitDi[#Data],COLUMN(T_TraitDi[Colonne19]),FALSE)=0,"",TEXT(IFERROR(VLOOKUP(T_Convention[[#This Row],[NumL]],T_TraitDi[#Data],COLUMN(T_TraitDi[Colonne19]),FALSE),""),"[hh]:mm"))</f>
        <v>#N/A</v>
      </c>
      <c r="AT18" s="284" t="e">
        <f>IF(VLOOKUP(T_Convention[[#This Row],[NumL]],T_TraitDi[#Data],COLUMN(T_TraitDi[Colonne20]),FALSE)=0,"",TEXT(IFERROR(VLOOKUP(T_Convention[[#This Row],[NumL]],T_TraitDi[#Data],COLUMN(T_TraitDi[Colonne20]),FALSE),""),"[hh]:mm"))</f>
        <v>#N/A</v>
      </c>
      <c r="AU18" s="284" t="str">
        <f>IFERROR(VLOOKUP(T_Convention[[#This Row],[NumL]],T_TraitDi[#Data],COLUMN(T_TraitDi[Jeudi]),FALSE),"")</f>
        <v/>
      </c>
      <c r="AV18" s="284" t="e">
        <f>IF(VLOOKUP(T_Convention[[#This Row],[NumL]],T_TraitDi[#Data],COLUMN(T_TraitDi[Colonne21]),FALSE)=0,"",TEXT(IFERROR(VLOOKUP(T_Convention[[#This Row],[NumL]],T_TraitDi[#Data],COLUMN(T_TraitDi[Colonne21]),FALSE),""),"[hh]:mm"))</f>
        <v>#N/A</v>
      </c>
      <c r="AW18" s="284" t="e">
        <f>IF(VLOOKUP(T_Convention[[#This Row],[NumL]],T_TraitDi[#Data],COLUMN(T_TraitDi[Colonne22]),FALSE)=0,"",TEXT(IFERROR(VLOOKUP(T_Convention[[#This Row],[NumL]],T_TraitDi[#Data],COLUMN(T_TraitDi[Colonne22]),FALSE),""),"[hh]:mm"))</f>
        <v>#N/A</v>
      </c>
      <c r="AX18" s="284" t="str">
        <f>IFERROR(VLOOKUP(T_Convention[[#This Row],[NumL]],T_TraitDi[#Data],COLUMN(T_TraitDi[Colonne23]),FALSE),"")</f>
        <v/>
      </c>
      <c r="AY18" s="284" t="e">
        <f>IF(VLOOKUP(T_Convention[[#This Row],[NumL]],T_TraitDi[#Data],COLUMN(T_TraitDi[Colonne24]),FALSE)=0,"",TEXT(IFERROR(VLOOKUP(T_Convention[[#This Row],[NumL]],T_TraitDi[#Data],COLUMN(T_TraitDi[Colonne24]),FALSE),""),"[hh]:mm"))</f>
        <v>#N/A</v>
      </c>
      <c r="AZ18" s="284" t="e">
        <f>IF(VLOOKUP(T_Convention[[#This Row],[NumL]],T_TraitDi[#Data],COLUMN(T_TraitDi[Colonne25]),FALSE)=0,"",TEXT(IFERROR(VLOOKUP(T_Convention[[#This Row],[NumL]],T_TraitDi[#Data],COLUMN(T_TraitDi[Colonne25]),FALSE),""),"[hh]:mm"))</f>
        <v>#N/A</v>
      </c>
      <c r="BA18" s="284" t="e">
        <f>IF(VLOOKUP(T_Convention[[#This Row],[NumL]],T_TraitDi[#Data],COLUMN(T_TraitDi[Colonne26]),FALSE)=0,"",TEXT(IFERROR(VLOOKUP(T_Convention[[#This Row],[NumL]],T_TraitDi[#Data],COLUMN(T_TraitDi[Colonne26]),FALSE),""),"[hh]:mm"))</f>
        <v>#N/A</v>
      </c>
      <c r="BB18" s="284" t="str">
        <f>IFERROR(VLOOKUP(T_Convention[[#This Row],[NumL]],T_TraitDi[#Data],COLUMN(T_TraitDi[Vendredi]),FALSE),"")</f>
        <v/>
      </c>
      <c r="BC18" s="284" t="e">
        <f>IF(VLOOKUP(T_Convention[[#This Row],[NumL]],T_TraitDi[#Data],COLUMN(T_TraitDi[Colonne27]),FALSE)=0,"",TEXT(IFERROR(VLOOKUP(T_Convention[[#This Row],[NumL]],T_TraitDi[#Data],COLUMN(T_TraitDi[Colonne27]),FALSE),""),"[hh]:mm"))</f>
        <v>#N/A</v>
      </c>
      <c r="BD18" s="284" t="e">
        <f>IF(VLOOKUP(T_Convention[[#This Row],[NumL]],T_TraitDi[#Data],COLUMN(T_TraitDi[Colonne28]),FALSE)=0,"",TEXT(IFERROR(VLOOKUP(T_Convention[[#This Row],[NumL]],T_TraitDi[#Data],COLUMN(T_TraitDi[Colonne28]),FALSE),""),"[hh]:mm"))</f>
        <v>#N/A</v>
      </c>
      <c r="BE18" s="284" t="str">
        <f>IFERROR(VLOOKUP(T_Convention[[#This Row],[NumL]],T_TraitDi[#Data],COLUMN(T_TraitDi[Colonne29]),FALSE),"")</f>
        <v/>
      </c>
      <c r="BF18" s="284" t="e">
        <f>IF(VLOOKUP(T_Convention[[#This Row],[NumL]],T_TraitDi[#Data],COLUMN(T_TraitDi[Colonne30]),FALSE)=0,"",TEXT(IFERROR(VLOOKUP(T_Convention[[#This Row],[NumL]],T_TraitDi[#Data],COLUMN(T_TraitDi[Colonne30]),FALSE),""),"[hh]:mm"))</f>
        <v>#N/A</v>
      </c>
      <c r="BG18" s="284" t="e">
        <f>IF(VLOOKUP(T_Convention[[#This Row],[NumL]],T_TraitDi[#Data],COLUMN(T_TraitDi[Colonne31]),FALSE)=0,"",TEXT(IFERROR(VLOOKUP(T_Convention[[#This Row],[NumL]],T_TraitDi[#Data],COLUMN(T_TraitDi[Colonne31]),FALSE),""),"[hh]:mm"))</f>
        <v>#N/A</v>
      </c>
      <c r="BH18" s="284" t="e">
        <f>IF(VLOOKUP(T_Convention[[#This Row],[NumL]],T_TraitDi[#Data],COLUMN(T_TraitDi[Colonne32]),FALSE)=0,"",TEXT(IFERROR(VLOOKUP(T_Convention[[#This Row],[NumL]],T_TraitDi[#Data],COLUMN(T_TraitDi[Colonne32]),FALSE),""),"[hh]:mm"))</f>
        <v>#N/A</v>
      </c>
      <c r="BI18" s="284" t="str">
        <f>IFERROR(VLOOKUP(T_Convention[[#This Row],[NumL]],T_TraitDi[#Data],COLUMN(T_TraitDi[NbJTW]),FALSE),"")</f>
        <v/>
      </c>
      <c r="BJ18" s="284" t="e">
        <f>IF(VLOOKUP(T_Convention[[#This Row],[NumL]],T_TraitDi[#Data],COLUMN(T_TraitDi[NbhTW]),FALSE)=0,"",TEXT(IFERROR(VLOOKUP(T_Convention[[#This Row],[NumL]],T_TraitDi[#Data],COLUMN(T_TraitDi[NbhTW]),FALSE),""),"[hh]:mm"))</f>
        <v>#N/A</v>
      </c>
      <c r="BK18" s="286" t="e">
        <f>IF(VLOOKUP(T_Convention[[#This Row],[NumL]],T_TraitDi[#Data],COLUMN(T_TraitDi[Nbhheb]),FALSE)=0,"",TEXT(IFERROR(VLOOKUP(T_Convention[[#This Row],[NumL]],T_TraitDi[#Data],COLUMN(T_TraitDi[Nbhheb]),FALSE),""),"[hh]:mm"))</f>
        <v>#N/A</v>
      </c>
      <c r="BL18" s="287" t="str">
        <f>IFERROR(VLOOKUP(VLOOKUP(T_Convention[[#This Row],[NumL]],T_TraitDi[#Data],COLUMN(T_TraitDi[Type1]),FALSE),TypeTW,2,FALSE),"")</f>
        <v/>
      </c>
      <c r="BM18" s="288" t="str">
        <f>IFERROR(VLOOKUP(T_Convention[[#This Row],[NumL]],T_TraitDi[#Data],COLUMN(T_TraitDi[Rue1]),FALSE),"")</f>
        <v/>
      </c>
      <c r="BN18" s="289" t="str">
        <f>IFERROR(VLOOKUP(T_Convention[[#This Row],[NumL]],T_TraitDi[#Data],COLUMN(T_TraitDi[CP1]),FALSE),"")</f>
        <v/>
      </c>
      <c r="BO18" s="282" t="str">
        <f>IFERROR(VLOOKUP(T_Convention[[#This Row],[NumL]],T_TraitDi[#Data],COLUMN(T_TraitDi[VILLE1]),FALSE),"")</f>
        <v/>
      </c>
      <c r="BP18" s="290" t="str">
        <f>IFERROR(VLOOKUP(VLOOKUP(T_Convention[[#This Row],[NumL]],T_TraitDi[#Data],COLUMN(T_TraitDi[Type2]),FALSE),TypeTW,2,FALSE),"")</f>
        <v/>
      </c>
      <c r="BQ18" s="182" t="str">
        <f>IFERROR(VLOOKUP(T_Convention[[#This Row],[NumL]],T_TraitDi[#Data],COLUMN(T_TraitDi[Rue2]),FALSE),"")</f>
        <v/>
      </c>
      <c r="BR18" s="173" t="str">
        <f>IFERROR(VLOOKUP(T_Convention[[#This Row],[NumL]],T_TraitDi[#Data],COLUMN(T_TraitDi[CP2]),FALSE),"")</f>
        <v/>
      </c>
      <c r="BS18" s="173" t="str">
        <f>IFERROR(VLOOKUP(T_Convention[[#This Row],[NumL]],T_TraitDi[#Data],COLUMN(T_TraitDi[VILLE2]),FALSE),"")</f>
        <v/>
      </c>
      <c r="BT18" s="313" t="str">
        <f>IF(VLOOKUP(T_Convention[[#This Row],[NumL]],T_Equipement[#Data],COLUMN(T_Equipement[PC]),FALSE)="","Aucun équipement spécifique directement lié au télétravail",VLOOKUP(T_Convention[[#This Row],[NumL]],T_Equipement[#Data],COLUMN(T_Equipement[PC]),FALSE))</f>
        <v xml:space="preserve">17-015	</v>
      </c>
      <c r="BU18" s="296" t="str">
        <f>IFERROR(IF(VLOOKUP(T_Convention[[#This Row],[NumL]],T_TraitDi[#Data],COLUMN(T_TraitDi[Plan]),FALSE)="OK","Un planning spécifique de télétravail est annexé à la présente convention.",""),"")</f>
        <v/>
      </c>
      <c r="BV18" s="185"/>
      <c r="BW18" s="164" t="e">
        <f>IF(VLOOKUP(T_Convention[[#This Row],[NumL]],T_suiviDi[#Data],COLUMN(T_suiviDi[Entité]),FALSE)="","",VLOOKUP(T_Convention[[#This Row],[NumL]],T_suiviDi[#Data],COLUMN(T_suiviDi[Entité]),FALSE))</f>
        <v>#N/A</v>
      </c>
      <c r="BX18" s="164" t="str">
        <f>IF(VLOOKUP(T_Convention[[#This Row],[NumL]],T_Commission[#Data],COLUMN(T_Commission[envoi confirm TW]),FALSE)="","",VLOOKUP(T_Convention[[#This Row],[NumL]],T_Commission[#Data],COLUMN(T_Commission[envoi confirm TW]),FALSE))</f>
        <v>Oui</v>
      </c>
      <c r="BY1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 s="264">
        <f>VLOOKUP(T_Convention[[#This Row],[NumL]],T_Commission[#Data],COLUMN(T_Commission[Commentaire]),FALSE)</f>
        <v>0</v>
      </c>
      <c r="CA18" s="254" t="str">
        <f>IF(VLOOKUP(T_Convention[[#This Row],[NumL]],T_Commission[#Data],COLUMN(T_Commission[Encadrant Email]),FALSE)="","",VLOOKUP(T_Convention[[#This Row],[NumL]],T_Commission[#Data],COLUMN(T_Commission[Encadrant Email]),FALSE))</f>
        <v/>
      </c>
      <c r="CB18" s="352" t="e">
        <f>VLOOKUP(T_Convention[[#This Row],[NumL]],T_TraitDi[#Data],COLUMN(T_TraitDi[NbJTot]),FALSE)</f>
        <v>#N/A</v>
      </c>
      <c r="CC18" s="352" t="e">
        <f>VLOOKUP(T_Convention[[#This Row],[NumL]],T_TraitDi[#Data],COLUMN(T_TraitDi[Reg Ponct]),FALSE)</f>
        <v>#N/A</v>
      </c>
      <c r="CD18" s="348" t="str">
        <f>IF(T_Convention[[#This Row],[Final]]&lt;&gt;"",VLOOKUP(T_Convention[[#This Row],[NumL]],T_suiviDi[#Data],COLUMN((T_suiviDi[Statut])),FALSE),"")</f>
        <v/>
      </c>
    </row>
    <row r="19" spans="1:82" s="106" customFormat="1" ht="18.75" customHeight="1" x14ac:dyDescent="0.25">
      <c r="A19" s="90">
        <v>23</v>
      </c>
      <c r="B19" s="161" t="str">
        <f>VLOOKUP(T_Convention[[#This Row],[NumL]],T_Commission[#Data],COLUMN(T_Commission[FINAL]),FALSE)</f>
        <v/>
      </c>
      <c r="C19" s="309"/>
      <c r="D19" s="95" t="e">
        <f>IF(VLOOKUP(T_Convention[[#This Row],[NumL]],T_TraitDi[#Data],COLUMN(T_TraitDi[WebC]),FALSE)="","",VLOOKUP(T_Convention[[#This Row],[NumL]],T_TraitDi[#Data],COLUMN(T_TraitDi[WebC]),FALSE))</f>
        <v>#N/A</v>
      </c>
      <c r="E19" s="95" t="str">
        <f t="shared" si="0"/>
        <v>12 janvier 2021</v>
      </c>
      <c r="F19" s="282" t="str">
        <f>IF(T_Convention[[#This Row],[Final]]&lt;&gt;"",VLOOKUP(T_Convention[[#This Row],[NumL]],T_suiviDi[#Data],COLUMN((T_suiviDi[Civ.])),FALSE),"")</f>
        <v/>
      </c>
      <c r="G19" s="283" t="str">
        <f>IF(T_Convention[[#This Row],[Final]]&lt;&gt;"",VLOOKUP(T_Convention[[#This Row],[NumL]],T_suiviDi[#Data],COLUMN((T_suiviDi[Nom])),FALSE),"")</f>
        <v/>
      </c>
      <c r="H19" s="282" t="str">
        <f>IF(T_Convention[[#This Row],[Final]]&lt;&gt;"",VLOOKUP(T_Convention[[#This Row],[NumL]],T_suiviDi[#Data],COLUMN((T_suiviDi[Prénom])),FALSE),"")</f>
        <v/>
      </c>
      <c r="I19" s="282" t="e">
        <f>VLOOKUP(T_Convention[[#This Row],[NumL]],T_suiviDi[#Data],COLUMN((T_suiviDi[[#This Row],[Email]])),FALSE)</f>
        <v>#N/A</v>
      </c>
      <c r="J19" s="282" t="e">
        <f>IF(VLOOKUP(T_Convention[[#This Row],[NumL]],T_suiviDi[#Data],COLUMN(T_suiviDi[[#This Row],[Fonction]]),FALSE)="","",VLOOKUP(T_Convention[[#This Row],[NumL]],T_suiviDi[#Data],COLUMN(T_suiviDi[[#This Row],[Fonction]]),FALSE))</f>
        <v>#N/A</v>
      </c>
      <c r="K19" s="282" t="e">
        <f>IF(VLOOKUP(T_Convention[[#This Row],[NumL]],T_suiviDi[#Data],COLUMN(T_suiviDi[[#This Row],[Grade]]),FALSE)="","",VLOOKUP(T_Convention[[#This Row],[NumL]],T_suiviDi[#Data],COLUMN(T_suiviDi[[#This Row],[Grade]]),FALSE))</f>
        <v>#N/A</v>
      </c>
      <c r="L19" s="282" t="e">
        <f>IF(VLOOKUP(T_Convention[[#This Row],[NumL]],T_suiviDi[#Data],COLUMN(T_suiviDi[[#This Row],[Service ]]),FALSE)="","",VLOOKUP(T_Convention[[#This Row],[NumL]],T_suiviDi[#Data],COLUMN(T_suiviDi[[#This Row],[Service ]]),FALSE))</f>
        <v>#N/A</v>
      </c>
      <c r="M19" s="96" t="str">
        <f t="shared" si="1"/>
        <v>01 septembre 2021</v>
      </c>
      <c r="N19" s="96" t="str">
        <f t="shared" si="2"/>
        <v>30 novembre 2021</v>
      </c>
      <c r="O19" s="284" t="str">
        <f t="shared" si="3"/>
        <v>30 novembre 2021</v>
      </c>
      <c r="P19" s="282" t="e">
        <f>IF(VLOOKUP(T_Convention[[#This Row],[NumL]],T_TraitDi[#Data],COLUMN(T_TraitDi[M1]),FALSE)="","",VLOOKUP(T_Convention[[#This Row],[NumL]],T_TraitDi[#Data],COLUMN(T_TraitDi[M1]),FALSE))</f>
        <v>#N/A</v>
      </c>
      <c r="Q19" s="282" t="e">
        <f>IF(VLOOKUP(T_Convention[[#This Row],[NumL]],T_TraitDi[#Data],COLUMN(T_TraitDi[M2]),FALSE)="","",VLOOKUP(T_Convention[[#This Row],[NumL]],T_TraitDi[#Data],COLUMN(T_TraitDi[M2]),FALSE))</f>
        <v>#N/A</v>
      </c>
      <c r="R19" s="282" t="e">
        <f>IF(VLOOKUP(T_Convention[[#This Row],[NumL]],T_TraitDi[#Data],COLUMN(T_TraitDi[M3]),FALSE)="","",VLOOKUP(T_Convention[[#This Row],[NumL]],T_TraitDi[#Data],COLUMN(T_TraitDi[M3]),FALSE))</f>
        <v>#N/A</v>
      </c>
      <c r="S19" s="282" t="e">
        <f>IF(VLOOKUP(T_Convention[[#This Row],[NumL]],T_TraitDi[#Data],COLUMN(T_TraitDi[M4]),FALSE)="","",VLOOKUP(T_Convention[[#This Row],[NumL]],T_TraitDi[#Data],COLUMN(T_TraitDi[M4]),FALSE))</f>
        <v>#N/A</v>
      </c>
      <c r="T19" s="282" t="e">
        <f>IF(VLOOKUP(T_Convention[[#This Row],[NumL]],T_TraitDi[#Data],COLUMN(T_TraitDi[M5]),FALSE)="","",VLOOKUP(T_Convention[[#This Row],[NumL]],T_TraitDi[#Data],COLUMN(T_TraitDi[M5]),FALSE))</f>
        <v>#N/A</v>
      </c>
      <c r="U19" s="282" t="e">
        <f>IF(VLOOKUP(T_Convention[[#This Row],[NumL]],T_TraitDi[#Data],COLUMN(T_TraitDi[M6]),FALSE)="","",VLOOKUP(T_Convention[[#This Row],[NumL]],T_TraitDi[#Data],COLUMN(T_TraitDi[M6]),FALSE))</f>
        <v>#N/A</v>
      </c>
      <c r="V19" s="312" t="e">
        <f t="shared" si="4"/>
        <v>#N/A</v>
      </c>
      <c r="W19" s="284" t="str">
        <f>IFERROR(TEXT(VLOOKUP(T_Convention[[#This Row],[NumL]],T_TraitDi[#Data],COLUMN(T_TraitDi[Q2]),FALSE),"###%"),"")</f>
        <v/>
      </c>
      <c r="X19" s="97" t="e">
        <f>VLOOKUP(T_Convention[[#This Row],[NumL]],T_TraitDi[#Data],COLUMN(T_TraitDi[Reg Ponct]),FALSE)</f>
        <v>#N/A</v>
      </c>
      <c r="Y19" s="97" t="e">
        <f>VLOOKUP(T_Convention[NumL],T_TraitDi[#Data],COLUMN(T_TraitDi[Jours flottants]),FALSE)</f>
        <v>#N/A</v>
      </c>
      <c r="Z19" s="284" t="str">
        <f>IFERROR(VLOOKUP(T_Convention[[#This Row],[NumL]],T_TraitDi[#Data],COLUMN(T_TraitDi[Lundi]),FALSE),"")</f>
        <v/>
      </c>
      <c r="AA19" s="284" t="e">
        <f>IF(VLOOKUP(T_Convention[[#This Row],[NumL]],T_TraitDi[#Data],COLUMN(T_TraitDi[Colonne3]),FALSE)=0,"",TEXT(IFERROR(VLOOKUP(T_Convention[[#This Row],[NumL]],T_TraitDi[#Data],COLUMN(T_TraitDi[Colonne3]),FALSE),""),"[hh]:mm"))</f>
        <v>#N/A</v>
      </c>
      <c r="AB19" s="284" t="e">
        <f>IF(VLOOKUP(T_Convention[[#This Row],[NumL]],T_TraitDi[#Data],COLUMN(T_TraitDi[Colonne4]),FALSE)=0,"",TEXT(IFERROR(VLOOKUP(T_Convention[[#This Row],[NumL]],T_TraitDi[#Data],COLUMN(T_TraitDi[Colonne4]),FALSE),""),"[hh]:mm"))</f>
        <v>#N/A</v>
      </c>
      <c r="AC19" s="284" t="e">
        <f>IF(VLOOKUP(T_Convention[[#This Row],[NumL]],T_TraitDi[#Data],COLUMN(T_TraitDi[Colonne5]),FALSE)=0,"",TEXT(IFERROR(VLOOKUP(T_Convention[[#This Row],[NumL]],T_TraitDi[#Data],COLUMN(T_TraitDi[Colonne5]),FALSE),""),"[hh]:mm"))</f>
        <v>#N/A</v>
      </c>
      <c r="AD19" s="284" t="e">
        <f>IF(VLOOKUP(T_Convention[[#This Row],[NumL]],T_TraitDi[#Data],COLUMN(T_TraitDi[Colonne6]),FALSE)=0,"",TEXT(IFERROR(VLOOKUP(T_Convention[[#This Row],[NumL]],T_TraitDi[#Data],COLUMN(T_TraitDi[Colonne6]),FALSE),""),"[hh]:mm"))</f>
        <v>#N/A</v>
      </c>
      <c r="AE19" s="284" t="e">
        <f>IF(VLOOKUP(T_Convention[[#This Row],[NumL]],T_TraitDi[#Data],COLUMN(T_TraitDi[Colonne7]),FALSE)=0,"",TEXT(IFERROR(VLOOKUP(T_Convention[[#This Row],[NumL]],T_TraitDi[#Data],COLUMN(T_TraitDi[Colonne7]),FALSE),""),"[hh]:mm"))</f>
        <v>#N/A</v>
      </c>
      <c r="AF19" s="284" t="e">
        <f>IF(VLOOKUP(T_Convention[[#This Row],[NumL]],T_TraitDi[#Data],COLUMN(T_TraitDi[Colonne8]),FALSE)=0,"",TEXT(IFERROR(VLOOKUP(T_Convention[[#This Row],[NumL]],T_TraitDi[#Data],COLUMN(T_TraitDi[Colonne8]),FALSE),""),"[hh]:mm"))</f>
        <v>#N/A</v>
      </c>
      <c r="AG19" s="284" t="str">
        <f>IFERROR(VLOOKUP(T_Convention[[#This Row],[NumL]],T_TraitDi[#Data],COLUMN(T_TraitDi[Mardi]),FALSE),"")</f>
        <v/>
      </c>
      <c r="AH19" s="284" t="e">
        <f>IF(VLOOKUP(T_Convention[[#This Row],[NumL]],T_TraitDi[#Data],COLUMN(T_TraitDi[Colonne1]),FALSE)=0,"",TEXT(IFERROR(VLOOKUP(T_Convention[[#This Row],[NumL]],T_TraitDi[#Data],COLUMN(T_TraitDi[Colonne1]),FALSE),""),"[hh]:mm"))</f>
        <v>#N/A</v>
      </c>
      <c r="AI19" s="284" t="e">
        <f>IF(VLOOKUP(T_Convention[[#This Row],[NumL]],T_TraitDi[#Data],COLUMN(T_TraitDi[Colonne9]),FALSE)=0,"",TEXT(IFERROR(VLOOKUP(T_Convention[[#This Row],[NumL]],T_TraitDi[#Data],COLUMN(T_TraitDi[Colonne9]),FALSE),""),"[hh]:mm"))</f>
        <v>#N/A</v>
      </c>
      <c r="AJ19" s="284" t="str">
        <f>IFERROR(VLOOKUP(T_Convention[[#This Row],[NumL]],T_TraitDi[#Data],COLUMN(T_TraitDi[Colonne10]),FALSE),"")</f>
        <v/>
      </c>
      <c r="AK19" s="284" t="e">
        <f>IF(VLOOKUP(T_Convention[[#This Row],[NumL]],T_TraitDi[#Data],COLUMN(T_TraitDi[Colonne11]),FALSE)=0,"",TEXT(IFERROR(VLOOKUP(T_Convention[[#This Row],[NumL]],T_TraitDi[#Data],COLUMN(T_TraitDi[Colonne11]),FALSE),""),"[hh]:mm"))</f>
        <v>#N/A</v>
      </c>
      <c r="AL19" s="284" t="e">
        <f>IF(VLOOKUP(T_Convention[[#This Row],[NumL]],T_TraitDi[#Data],COLUMN(T_TraitDi[Colonne12]),FALSE)=0,"",TEXT(IFERROR(VLOOKUP(T_Convention[[#This Row],[NumL]],T_TraitDi[#Data],COLUMN(T_TraitDi[Colonne12]),FALSE),""),"[hh]:mm"))</f>
        <v>#N/A</v>
      </c>
      <c r="AM19" s="284" t="e">
        <f>IF(VLOOKUP(T_Convention[[#This Row],[NumL]],T_TraitDi[#Data],COLUMN(T_TraitDi[Colonne14]),FALSE)=0,"",TEXT(IFERROR(VLOOKUP(T_Convention[[#This Row],[NumL]],T_TraitDi[#Data],COLUMN(T_TraitDi[Colonne14]),FALSE),""),"[hh]:mm"))</f>
        <v>#N/A</v>
      </c>
      <c r="AN19" s="284" t="str">
        <f>IFERROR(VLOOKUP(T_Convention[[#This Row],[NumL]],T_TraitDi[#Data],COLUMN(T_TraitDi[Mercredi]),FALSE),"")</f>
        <v/>
      </c>
      <c r="AO19" s="284" t="e">
        <f>IF(VLOOKUP(T_Convention[[#This Row],[NumL]],T_TraitDi[#Data],COLUMN(T_TraitDi[Colonne15]),FALSE)=0,"",TEXT(IFERROR(VLOOKUP(T_Convention[[#This Row],[NumL]],T_TraitDi[#Data],COLUMN(T_TraitDi[Colonne15]),FALSE),""),"[hh]:mm"))</f>
        <v>#N/A</v>
      </c>
      <c r="AP19" s="284" t="e">
        <f>IF(VLOOKUP(T_Convention[[#This Row],[NumL]],T_TraitDi[#Data],COLUMN(T_TraitDi[Colonne16]),FALSE)=0,"",TEXT(IFERROR(VLOOKUP(T_Convention[[#This Row],[NumL]],T_TraitDi[#Data],COLUMN(T_TraitDi[Colonne16]),FALSE),""),"[hh]:mm"))</f>
        <v>#N/A</v>
      </c>
      <c r="AQ19" s="284" t="str">
        <f>IFERROR(VLOOKUP(T_Convention[[#This Row],[NumL]],T_TraitDi[#Data],COLUMN(T_TraitDi[Colonne17]),FALSE),"")</f>
        <v/>
      </c>
      <c r="AR19" s="284" t="e">
        <f>IF(VLOOKUP(T_Convention[[#This Row],[NumL]],T_TraitDi[#Data],COLUMN(T_TraitDi[Colonne18]),FALSE)=0,"",TEXT(IFERROR(VLOOKUP(T_Convention[[#This Row],[NumL]],T_TraitDi[#Data],COLUMN(T_TraitDi[Colonne18]),FALSE),""),"[hh]:mm"))</f>
        <v>#N/A</v>
      </c>
      <c r="AS19" s="284" t="e">
        <f>IF(VLOOKUP(T_Convention[[#This Row],[NumL]],T_TraitDi[#Data],COLUMN(T_TraitDi[Colonne19]),FALSE)=0,"",TEXT(IFERROR(VLOOKUP(T_Convention[[#This Row],[NumL]],T_TraitDi[#Data],COLUMN(T_TraitDi[Colonne19]),FALSE),""),"[hh]:mm"))</f>
        <v>#N/A</v>
      </c>
      <c r="AT19" s="284" t="e">
        <f>IF(VLOOKUP(T_Convention[[#This Row],[NumL]],T_TraitDi[#Data],COLUMN(T_TraitDi[Colonne20]),FALSE)=0,"",TEXT(IFERROR(VLOOKUP(T_Convention[[#This Row],[NumL]],T_TraitDi[#Data],COLUMN(T_TraitDi[Colonne20]),FALSE),""),"[hh]:mm"))</f>
        <v>#N/A</v>
      </c>
      <c r="AU19" s="284" t="str">
        <f>IFERROR(VLOOKUP(T_Convention[[#This Row],[NumL]],T_TraitDi[#Data],COLUMN(T_TraitDi[Jeudi]),FALSE),"")</f>
        <v/>
      </c>
      <c r="AV19" s="284" t="e">
        <f>IF(VLOOKUP(T_Convention[[#This Row],[NumL]],T_TraitDi[#Data],COLUMN(T_TraitDi[Colonne21]),FALSE)=0,"",TEXT(IFERROR(VLOOKUP(T_Convention[[#This Row],[NumL]],T_TraitDi[#Data],COLUMN(T_TraitDi[Colonne21]),FALSE),""),"[hh]:mm"))</f>
        <v>#N/A</v>
      </c>
      <c r="AW19" s="284" t="e">
        <f>IF(VLOOKUP(T_Convention[[#This Row],[NumL]],T_TraitDi[#Data],COLUMN(T_TraitDi[Colonne22]),FALSE)=0,"",TEXT(IFERROR(VLOOKUP(T_Convention[[#This Row],[NumL]],T_TraitDi[#Data],COLUMN(T_TraitDi[Colonne22]),FALSE),""),"[hh]:mm"))</f>
        <v>#N/A</v>
      </c>
      <c r="AX19" s="284" t="str">
        <f>IFERROR(VLOOKUP(T_Convention[[#This Row],[NumL]],T_TraitDi[#Data],COLUMN(T_TraitDi[Colonne23]),FALSE),"")</f>
        <v/>
      </c>
      <c r="AY19" s="284" t="e">
        <f>IF(VLOOKUP(T_Convention[[#This Row],[NumL]],T_TraitDi[#Data],COLUMN(T_TraitDi[Colonne24]),FALSE)=0,"",TEXT(IFERROR(VLOOKUP(T_Convention[[#This Row],[NumL]],T_TraitDi[#Data],COLUMN(T_TraitDi[Colonne24]),FALSE),""),"[hh]:mm"))</f>
        <v>#N/A</v>
      </c>
      <c r="AZ19" s="284" t="e">
        <f>IF(VLOOKUP(T_Convention[[#This Row],[NumL]],T_TraitDi[#Data],COLUMN(T_TraitDi[Colonne25]),FALSE)=0,"",TEXT(IFERROR(VLOOKUP(T_Convention[[#This Row],[NumL]],T_TraitDi[#Data],COLUMN(T_TraitDi[Colonne25]),FALSE),""),"[hh]:mm"))</f>
        <v>#N/A</v>
      </c>
      <c r="BA19" s="284" t="e">
        <f>IF(VLOOKUP(T_Convention[[#This Row],[NumL]],T_TraitDi[#Data],COLUMN(T_TraitDi[Colonne26]),FALSE)=0,"",TEXT(IFERROR(VLOOKUP(T_Convention[[#This Row],[NumL]],T_TraitDi[#Data],COLUMN(T_TraitDi[Colonne26]),FALSE),""),"[hh]:mm"))</f>
        <v>#N/A</v>
      </c>
      <c r="BB19" s="284" t="str">
        <f>IFERROR(VLOOKUP(T_Convention[[#This Row],[NumL]],T_TraitDi[#Data],COLUMN(T_TraitDi[Vendredi]),FALSE),"")</f>
        <v/>
      </c>
      <c r="BC19" s="284" t="e">
        <f>IF(VLOOKUP(T_Convention[[#This Row],[NumL]],T_TraitDi[#Data],COLUMN(T_TraitDi[Colonne27]),FALSE)=0,"",TEXT(IFERROR(VLOOKUP(T_Convention[[#This Row],[NumL]],T_TraitDi[#Data],COLUMN(T_TraitDi[Colonne27]),FALSE),""),"[hh]:mm"))</f>
        <v>#N/A</v>
      </c>
      <c r="BD19" s="284" t="e">
        <f>IF(VLOOKUP(T_Convention[[#This Row],[NumL]],T_TraitDi[#Data],COLUMN(T_TraitDi[Colonne28]),FALSE)=0,"",TEXT(IFERROR(VLOOKUP(T_Convention[[#This Row],[NumL]],T_TraitDi[#Data],COLUMN(T_TraitDi[Colonne28]),FALSE),""),"[hh]:mm"))</f>
        <v>#N/A</v>
      </c>
      <c r="BE19" s="284" t="str">
        <f>IFERROR(VLOOKUP(T_Convention[[#This Row],[NumL]],T_TraitDi[#Data],COLUMN(T_TraitDi[Colonne29]),FALSE),"")</f>
        <v/>
      </c>
      <c r="BF19" s="284" t="e">
        <f>IF(VLOOKUP(T_Convention[[#This Row],[NumL]],T_TraitDi[#Data],COLUMN(T_TraitDi[Colonne30]),FALSE)=0,"",TEXT(IFERROR(VLOOKUP(T_Convention[[#This Row],[NumL]],T_TraitDi[#Data],COLUMN(T_TraitDi[Colonne30]),FALSE),""),"[hh]:mm"))</f>
        <v>#N/A</v>
      </c>
      <c r="BG19" s="284" t="e">
        <f>IF(VLOOKUP(T_Convention[[#This Row],[NumL]],T_TraitDi[#Data],COLUMN(T_TraitDi[Colonne31]),FALSE)=0,"",TEXT(IFERROR(VLOOKUP(T_Convention[[#This Row],[NumL]],T_TraitDi[#Data],COLUMN(T_TraitDi[Colonne31]),FALSE),""),"[hh]:mm"))</f>
        <v>#N/A</v>
      </c>
      <c r="BH19" s="284" t="e">
        <f>IF(VLOOKUP(T_Convention[[#This Row],[NumL]],T_TraitDi[#Data],COLUMN(T_TraitDi[Colonne32]),FALSE)=0,"",TEXT(IFERROR(VLOOKUP(T_Convention[[#This Row],[NumL]],T_TraitDi[#Data],COLUMN(T_TraitDi[Colonne32]),FALSE),""),"[hh]:mm"))</f>
        <v>#N/A</v>
      </c>
      <c r="BI19" s="284" t="str">
        <f>IFERROR(VLOOKUP(T_Convention[[#This Row],[NumL]],T_TraitDi[#Data],COLUMN(T_TraitDi[NbJTW]),FALSE),"")</f>
        <v/>
      </c>
      <c r="BJ19" s="284" t="e">
        <f>IF(VLOOKUP(T_Convention[[#This Row],[NumL]],T_TraitDi[#Data],COLUMN(T_TraitDi[NbhTW]),FALSE)=0,"",TEXT(IFERROR(VLOOKUP(T_Convention[[#This Row],[NumL]],T_TraitDi[#Data],COLUMN(T_TraitDi[NbhTW]),FALSE),""),"[hh]:mm"))</f>
        <v>#N/A</v>
      </c>
      <c r="BK19" s="286" t="e">
        <f>IF(VLOOKUP(T_Convention[[#This Row],[NumL]],T_TraitDi[#Data],COLUMN(T_TraitDi[Nbhheb]),FALSE)=0,"",TEXT(IFERROR(VLOOKUP(T_Convention[[#This Row],[NumL]],T_TraitDi[#Data],COLUMN(T_TraitDi[Nbhheb]),FALSE),""),"[hh]:mm"))</f>
        <v>#N/A</v>
      </c>
      <c r="BL19" s="287" t="str">
        <f>IFERROR(VLOOKUP(VLOOKUP(T_Convention[[#This Row],[NumL]],T_TraitDi[#Data],COLUMN(T_TraitDi[Type1]),FALSE),TypeTW,2,FALSE),"")</f>
        <v/>
      </c>
      <c r="BM19" s="288" t="str">
        <f>IFERROR(VLOOKUP(T_Convention[[#This Row],[NumL]],T_TraitDi[#Data],COLUMN(T_TraitDi[Rue1]),FALSE),"")</f>
        <v/>
      </c>
      <c r="BN19" s="289" t="str">
        <f>IFERROR(VLOOKUP(T_Convention[[#This Row],[NumL]],T_TraitDi[#Data],COLUMN(T_TraitDi[CP1]),FALSE),"")</f>
        <v/>
      </c>
      <c r="BO19" s="282" t="str">
        <f>IFERROR(VLOOKUP(T_Convention[[#This Row],[NumL]],T_TraitDi[#Data],COLUMN(T_TraitDi[VILLE1]),FALSE),"")</f>
        <v/>
      </c>
      <c r="BP19" s="290" t="str">
        <f>IFERROR(VLOOKUP(VLOOKUP(T_Convention[[#This Row],[NumL]],T_TraitDi[#Data],COLUMN(T_TraitDi[Type2]),FALSE),TypeTW,2,FALSE),"")</f>
        <v/>
      </c>
      <c r="BQ19" s="182" t="str">
        <f>IFERROR(VLOOKUP(T_Convention[[#This Row],[NumL]],T_TraitDi[#Data],COLUMN(T_TraitDi[Rue2]),FALSE),"")</f>
        <v/>
      </c>
      <c r="BR19" s="173" t="str">
        <f>IFERROR(VLOOKUP(T_Convention[[#This Row],[NumL]],T_TraitDi[#Data],COLUMN(T_TraitDi[CP2]),FALSE),"")</f>
        <v/>
      </c>
      <c r="BS19" s="173" t="str">
        <f>IFERROR(VLOOKUP(T_Convention[[#This Row],[NumL]],T_TraitDi[#Data],COLUMN(T_TraitDi[VILLE2]),FALSE),"")</f>
        <v/>
      </c>
      <c r="BT19" s="313" t="str">
        <f>IF(VLOOKUP(T_Convention[[#This Row],[NumL]],T_Equipement[#Data],COLUMN(T_Equipement[PC]),FALSE)="","Aucun équipement spécifique directement lié au télétravail",VLOOKUP(T_Convention[[#This Row],[NumL]],T_Equipement[#Data],COLUMN(T_Equipement[PC]),FALSE))</f>
        <v xml:space="preserve">15-268	</v>
      </c>
      <c r="BU19" s="296" t="str">
        <f>IFERROR(IF(VLOOKUP(T_Convention[[#This Row],[NumL]],T_TraitDi[#Data],COLUMN(T_TraitDi[Plan]),FALSE)="OK","Un planning spécifique de télétravail est annexé à la présente convention.",""),"")</f>
        <v/>
      </c>
      <c r="BV19" s="185" t="s">
        <v>3366</v>
      </c>
      <c r="BW19" s="164" t="e">
        <f>IF(VLOOKUP(T_Convention[[#This Row],[NumL]],T_suiviDi[#Data],COLUMN(T_suiviDi[Entité]),FALSE)="","",VLOOKUP(T_Convention[[#This Row],[NumL]],T_suiviDi[#Data],COLUMN(T_suiviDi[Entité]),FALSE))</f>
        <v>#N/A</v>
      </c>
      <c r="BX19" s="164" t="str">
        <f>IF(VLOOKUP(T_Convention[[#This Row],[NumL]],T_Commission[#Data],COLUMN(T_Commission[envoi confirm TW]),FALSE)="","",VLOOKUP(T_Convention[[#This Row],[NumL]],T_Commission[#Data],COLUMN(T_Commission[envoi confirm TW]),FALSE))</f>
        <v>Oui</v>
      </c>
      <c r="BY1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 s="264">
        <f>VLOOKUP(T_Convention[[#This Row],[NumL]],T_Commission[#Data],COLUMN(T_Commission[Commentaire]),FALSE)</f>
        <v>0</v>
      </c>
      <c r="CA19" s="254" t="str">
        <f>IF(VLOOKUP(T_Convention[[#This Row],[NumL]],T_Commission[#Data],COLUMN(T_Commission[Encadrant Email]),FALSE)="","",VLOOKUP(T_Convention[[#This Row],[NumL]],T_Commission[#Data],COLUMN(T_Commission[Encadrant Email]),FALSE))</f>
        <v/>
      </c>
      <c r="CB19" s="352" t="e">
        <f>VLOOKUP(T_Convention[[#This Row],[NumL]],T_TraitDi[#Data],COLUMN(T_TraitDi[NbJTot]),FALSE)</f>
        <v>#N/A</v>
      </c>
      <c r="CC19" s="352" t="e">
        <f>VLOOKUP(T_Convention[[#This Row],[NumL]],T_TraitDi[#Data],COLUMN(T_TraitDi[Reg Ponct]),FALSE)</f>
        <v>#N/A</v>
      </c>
      <c r="CD19" s="348" t="str">
        <f>IF(T_Convention[[#This Row],[Final]]&lt;&gt;"",VLOOKUP(T_Convention[[#This Row],[NumL]],T_suiviDi[#Data],COLUMN((T_suiviDi[Statut])),FALSE),"")</f>
        <v/>
      </c>
    </row>
    <row r="20" spans="1:82" s="106" customFormat="1" ht="18.75" customHeight="1" x14ac:dyDescent="0.25">
      <c r="A20" s="90">
        <v>336</v>
      </c>
      <c r="B20" s="281" t="str">
        <f>VLOOKUP(T_Convention[[#This Row],[NumL]],T_Commission[#Data],COLUMN(T_Commission[FINAL]),FALSE)</f>
        <v/>
      </c>
      <c r="C20" s="309"/>
      <c r="D20" s="95" t="e">
        <f>IF(VLOOKUP(T_Convention[[#This Row],[NumL]],T_TraitDi[#Data],COLUMN(T_TraitDi[WebC]),FALSE)="","",VLOOKUP(T_Convention[[#This Row],[NumL]],T_TraitDi[#Data],COLUMN(T_TraitDi[WebC]),FALSE))</f>
        <v>#N/A</v>
      </c>
      <c r="E20" s="95" t="str">
        <f t="shared" si="0"/>
        <v>12 janvier 2021</v>
      </c>
      <c r="F20" s="282" t="str">
        <f>IF(T_Convention[[#This Row],[Final]]&lt;&gt;"",VLOOKUP(T_Convention[[#This Row],[NumL]],T_suiviDi[#Data],COLUMN((T_suiviDi[Civ.])),FALSE),"")</f>
        <v/>
      </c>
      <c r="G20" s="283" t="str">
        <f>IF(T_Convention[[#This Row],[Final]]&lt;&gt;"",VLOOKUP(T_Convention[[#This Row],[NumL]],T_suiviDi[#Data],COLUMN((T_suiviDi[Nom])),FALSE),"")</f>
        <v/>
      </c>
      <c r="H20" s="282" t="str">
        <f>IF(T_Convention[[#This Row],[Final]]&lt;&gt;"",VLOOKUP(T_Convention[[#This Row],[NumL]],T_suiviDi[#Data],COLUMN((T_suiviDi[Prénom])),FALSE),"")</f>
        <v/>
      </c>
      <c r="I20" s="282" t="e">
        <f>VLOOKUP(T_Convention[[#This Row],[NumL]],T_suiviDi[#Data],COLUMN((T_suiviDi[[#This Row],[Email]])),FALSE)</f>
        <v>#N/A</v>
      </c>
      <c r="J20" s="282" t="e">
        <f>IF(VLOOKUP(T_Convention[[#This Row],[NumL]],T_suiviDi[#Data],COLUMN(T_suiviDi[[#This Row],[Fonction]]),FALSE)="","",VLOOKUP(T_Convention[[#This Row],[NumL]],T_suiviDi[#Data],COLUMN(T_suiviDi[[#This Row],[Fonction]]),FALSE))</f>
        <v>#N/A</v>
      </c>
      <c r="K20" s="282" t="e">
        <f>IF(VLOOKUP(T_Convention[[#This Row],[NumL]],T_suiviDi[#Data],COLUMN(T_suiviDi[[#This Row],[Grade]]),FALSE)="","",VLOOKUP(T_Convention[[#This Row],[NumL]],T_suiviDi[#Data],COLUMN(T_suiviDi[[#This Row],[Grade]]),FALSE))</f>
        <v>#N/A</v>
      </c>
      <c r="L20" s="282" t="e">
        <f>IF(VLOOKUP(T_Convention[[#This Row],[NumL]],T_suiviDi[#Data],COLUMN(T_suiviDi[[#This Row],[Service ]]),FALSE)="","",VLOOKUP(T_Convention[[#This Row],[NumL]],T_suiviDi[#Data],COLUMN(T_suiviDi[[#This Row],[Service ]]),FALSE))</f>
        <v>#N/A</v>
      </c>
      <c r="M20" s="282" t="str">
        <f t="shared" si="1"/>
        <v>01 septembre 2021</v>
      </c>
      <c r="N20" s="282" t="str">
        <f t="shared" si="2"/>
        <v>30 novembre 2021</v>
      </c>
      <c r="O20" s="284" t="str">
        <f t="shared" si="3"/>
        <v>30 novembre 2021</v>
      </c>
      <c r="P20" s="282" t="e">
        <f>IF(VLOOKUP(T_Convention[[#This Row],[NumL]],T_TraitDi[#Data],COLUMN(T_TraitDi[M1]),FALSE)="","",VLOOKUP(T_Convention[[#This Row],[NumL]],T_TraitDi[#Data],COLUMN(T_TraitDi[M1]),FALSE))</f>
        <v>#N/A</v>
      </c>
      <c r="Q20" s="282" t="e">
        <f>IF(VLOOKUP(T_Convention[[#This Row],[NumL]],T_TraitDi[#Data],COLUMN(T_TraitDi[M2]),FALSE)="","",VLOOKUP(T_Convention[[#This Row],[NumL]],T_TraitDi[#Data],COLUMN(T_TraitDi[M2]),FALSE))</f>
        <v>#N/A</v>
      </c>
      <c r="R20" s="282" t="e">
        <f>IF(VLOOKUP(T_Convention[[#This Row],[NumL]],T_TraitDi[#Data],COLUMN(T_TraitDi[M3]),FALSE)="","",VLOOKUP(T_Convention[[#This Row],[NumL]],T_TraitDi[#Data],COLUMN(T_TraitDi[M3]),FALSE))</f>
        <v>#N/A</v>
      </c>
      <c r="S20" s="282" t="e">
        <f>IF(VLOOKUP(T_Convention[[#This Row],[NumL]],T_TraitDi[#Data],COLUMN(T_TraitDi[M4]),FALSE)="","",VLOOKUP(T_Convention[[#This Row],[NumL]],T_TraitDi[#Data],COLUMN(T_TraitDi[M4]),FALSE))</f>
        <v>#N/A</v>
      </c>
      <c r="T20" s="282" t="e">
        <f>IF(VLOOKUP(T_Convention[[#This Row],[NumL]],T_TraitDi[#Data],COLUMN(T_TraitDi[M5]),FALSE)="","",VLOOKUP(T_Convention[[#This Row],[NumL]],T_TraitDi[#Data],COLUMN(T_TraitDi[M5]),FALSE))</f>
        <v>#N/A</v>
      </c>
      <c r="U20" s="282" t="e">
        <f>IF(VLOOKUP(T_Convention[[#This Row],[NumL]],T_TraitDi[#Data],COLUMN(T_TraitDi[M6]),FALSE)="","",VLOOKUP(T_Convention[[#This Row],[NumL]],T_TraitDi[#Data],COLUMN(T_TraitDi[M6]),FALSE))</f>
        <v>#N/A</v>
      </c>
      <c r="V20" s="282" t="e">
        <f t="shared" si="4"/>
        <v>#N/A</v>
      </c>
      <c r="W20" s="284" t="str">
        <f>IFERROR(TEXT(VLOOKUP(T_Convention[[#This Row],[NumL]],T_TraitDi[#Data],COLUMN(T_TraitDi[Q2]),FALSE),"###%"),"")</f>
        <v/>
      </c>
      <c r="X20" s="285" t="e">
        <f>VLOOKUP(T_Convention[[#This Row],[NumL]],T_TraitDi[#Data],COLUMN(T_TraitDi[Reg Ponct]),FALSE)</f>
        <v>#N/A</v>
      </c>
      <c r="Y20" s="285" t="e">
        <f>VLOOKUP(T_Convention[NumL],T_TraitDi[#Data],COLUMN(T_TraitDi[Jours flottants]),FALSE)</f>
        <v>#N/A</v>
      </c>
      <c r="Z20" s="284" t="str">
        <f>IFERROR(VLOOKUP(T_Convention[[#This Row],[NumL]],T_TraitDi[#Data],COLUMN(T_TraitDi[Lundi]),FALSE),"")</f>
        <v/>
      </c>
      <c r="AA20" s="284" t="e">
        <f>IF(VLOOKUP(T_Convention[[#This Row],[NumL]],T_TraitDi[#Data],COLUMN(T_TraitDi[Colonne3]),FALSE)=0,"",TEXT(IFERROR(VLOOKUP(T_Convention[[#This Row],[NumL]],T_TraitDi[#Data],COLUMN(T_TraitDi[Colonne3]),FALSE),""),"[hh]:mm"))</f>
        <v>#N/A</v>
      </c>
      <c r="AB20" s="284" t="e">
        <f>IF(VLOOKUP(T_Convention[[#This Row],[NumL]],T_TraitDi[#Data],COLUMN(T_TraitDi[Colonne4]),FALSE)=0,"",TEXT(IFERROR(VLOOKUP(T_Convention[[#This Row],[NumL]],T_TraitDi[#Data],COLUMN(T_TraitDi[Colonne4]),FALSE),""),"[hh]:mm"))</f>
        <v>#N/A</v>
      </c>
      <c r="AC20" s="284" t="e">
        <f>IF(VLOOKUP(T_Convention[[#This Row],[NumL]],T_TraitDi[#Data],COLUMN(T_TraitDi[Colonne5]),FALSE)=0,"",TEXT(IFERROR(VLOOKUP(T_Convention[[#This Row],[NumL]],T_TraitDi[#Data],COLUMN(T_TraitDi[Colonne5]),FALSE),""),"[hh]:mm"))</f>
        <v>#N/A</v>
      </c>
      <c r="AD20" s="284" t="e">
        <f>IF(VLOOKUP(T_Convention[[#This Row],[NumL]],T_TraitDi[#Data],COLUMN(T_TraitDi[Colonne6]),FALSE)=0,"",TEXT(IFERROR(VLOOKUP(T_Convention[[#This Row],[NumL]],T_TraitDi[#Data],COLUMN(T_TraitDi[Colonne6]),FALSE),""),"[hh]:mm"))</f>
        <v>#N/A</v>
      </c>
      <c r="AE20" s="284" t="e">
        <f>IF(VLOOKUP(T_Convention[[#This Row],[NumL]],T_TraitDi[#Data],COLUMN(T_TraitDi[Colonne7]),FALSE)=0,"",TEXT(IFERROR(VLOOKUP(T_Convention[[#This Row],[NumL]],T_TraitDi[#Data],COLUMN(T_TraitDi[Colonne7]),FALSE),""),"[hh]:mm"))</f>
        <v>#N/A</v>
      </c>
      <c r="AF20" s="284" t="e">
        <f>IF(VLOOKUP(T_Convention[[#This Row],[NumL]],T_TraitDi[#Data],COLUMN(T_TraitDi[Colonne8]),FALSE)=0,"",TEXT(IFERROR(VLOOKUP(T_Convention[[#This Row],[NumL]],T_TraitDi[#Data],COLUMN(T_TraitDi[Colonne8]),FALSE),""),"[hh]:mm"))</f>
        <v>#N/A</v>
      </c>
      <c r="AG20" s="284" t="str">
        <f>IFERROR(VLOOKUP(T_Convention[[#This Row],[NumL]],T_TraitDi[#Data],COLUMN(T_TraitDi[Mardi]),FALSE),"")</f>
        <v/>
      </c>
      <c r="AH20" s="284" t="e">
        <f>IF(VLOOKUP(T_Convention[[#This Row],[NumL]],T_TraitDi[#Data],COLUMN(T_TraitDi[Colonne1]),FALSE)=0,"",TEXT(IFERROR(VLOOKUP(T_Convention[[#This Row],[NumL]],T_TraitDi[#Data],COLUMN(T_TraitDi[Colonne1]),FALSE),""),"[hh]:mm"))</f>
        <v>#N/A</v>
      </c>
      <c r="AI20" s="284" t="e">
        <f>IF(VLOOKUP(T_Convention[[#This Row],[NumL]],T_TraitDi[#Data],COLUMN(T_TraitDi[Colonne9]),FALSE)=0,"",TEXT(IFERROR(VLOOKUP(T_Convention[[#This Row],[NumL]],T_TraitDi[#Data],COLUMN(T_TraitDi[Colonne9]),FALSE),""),"[hh]:mm"))</f>
        <v>#N/A</v>
      </c>
      <c r="AJ20" s="284" t="str">
        <f>IFERROR(VLOOKUP(T_Convention[[#This Row],[NumL]],T_TraitDi[#Data],COLUMN(T_TraitDi[Colonne10]),FALSE),"")</f>
        <v/>
      </c>
      <c r="AK20" s="284" t="e">
        <f>IF(VLOOKUP(T_Convention[[#This Row],[NumL]],T_TraitDi[#Data],COLUMN(T_TraitDi[Colonne11]),FALSE)=0,"",TEXT(IFERROR(VLOOKUP(T_Convention[[#This Row],[NumL]],T_TraitDi[#Data],COLUMN(T_TraitDi[Colonne11]),FALSE),""),"[hh]:mm"))</f>
        <v>#N/A</v>
      </c>
      <c r="AL20" s="284" t="e">
        <f>IF(VLOOKUP(T_Convention[[#This Row],[NumL]],T_TraitDi[#Data],COLUMN(T_TraitDi[Colonne12]),FALSE)=0,"",TEXT(IFERROR(VLOOKUP(T_Convention[[#This Row],[NumL]],T_TraitDi[#Data],COLUMN(T_TraitDi[Colonne12]),FALSE),""),"[hh]:mm"))</f>
        <v>#N/A</v>
      </c>
      <c r="AM20" s="284" t="e">
        <f>IF(VLOOKUP(T_Convention[[#This Row],[NumL]],T_TraitDi[#Data],COLUMN(T_TraitDi[Colonne14]),FALSE)=0,"",TEXT(IFERROR(VLOOKUP(T_Convention[[#This Row],[NumL]],T_TraitDi[#Data],COLUMN(T_TraitDi[Colonne14]),FALSE),""),"[hh]:mm"))</f>
        <v>#N/A</v>
      </c>
      <c r="AN20" s="284" t="str">
        <f>IFERROR(VLOOKUP(T_Convention[[#This Row],[NumL]],T_TraitDi[#Data],COLUMN(T_TraitDi[Mercredi]),FALSE),"")</f>
        <v/>
      </c>
      <c r="AO20" s="284" t="e">
        <f>IF(VLOOKUP(T_Convention[[#This Row],[NumL]],T_TraitDi[#Data],COLUMN(T_TraitDi[Colonne15]),FALSE)=0,"",TEXT(IFERROR(VLOOKUP(T_Convention[[#This Row],[NumL]],T_TraitDi[#Data],COLUMN(T_TraitDi[Colonne15]),FALSE),""),"[hh]:mm"))</f>
        <v>#N/A</v>
      </c>
      <c r="AP20" s="284" t="e">
        <f>IF(VLOOKUP(T_Convention[[#This Row],[NumL]],T_TraitDi[#Data],COLUMN(T_TraitDi[Colonne16]),FALSE)=0,"",TEXT(IFERROR(VLOOKUP(T_Convention[[#This Row],[NumL]],T_TraitDi[#Data],COLUMN(T_TraitDi[Colonne16]),FALSE),""),"[hh]:mm"))</f>
        <v>#N/A</v>
      </c>
      <c r="AQ20" s="284" t="str">
        <f>IFERROR(VLOOKUP(T_Convention[[#This Row],[NumL]],T_TraitDi[#Data],COLUMN(T_TraitDi[Colonne17]),FALSE),"")</f>
        <v/>
      </c>
      <c r="AR20" s="284" t="e">
        <f>IF(VLOOKUP(T_Convention[[#This Row],[NumL]],T_TraitDi[#Data],COLUMN(T_TraitDi[Colonne18]),FALSE)=0,"",TEXT(IFERROR(VLOOKUP(T_Convention[[#This Row],[NumL]],T_TraitDi[#Data],COLUMN(T_TraitDi[Colonne18]),FALSE),""),"[hh]:mm"))</f>
        <v>#N/A</v>
      </c>
      <c r="AS20" s="284" t="e">
        <f>IF(VLOOKUP(T_Convention[[#This Row],[NumL]],T_TraitDi[#Data],COLUMN(T_TraitDi[Colonne19]),FALSE)=0,"",TEXT(IFERROR(VLOOKUP(T_Convention[[#This Row],[NumL]],T_TraitDi[#Data],COLUMN(T_TraitDi[Colonne19]),FALSE),""),"[hh]:mm"))</f>
        <v>#N/A</v>
      </c>
      <c r="AT20" s="284" t="e">
        <f>IF(VLOOKUP(T_Convention[[#This Row],[NumL]],T_TraitDi[#Data],COLUMN(T_TraitDi[Colonne20]),FALSE)=0,"",TEXT(IFERROR(VLOOKUP(T_Convention[[#This Row],[NumL]],T_TraitDi[#Data],COLUMN(T_TraitDi[Colonne20]),FALSE),""),"[hh]:mm"))</f>
        <v>#N/A</v>
      </c>
      <c r="AU20" s="284" t="str">
        <f>IFERROR(VLOOKUP(T_Convention[[#This Row],[NumL]],T_TraitDi[#Data],COLUMN(T_TraitDi[Jeudi]),FALSE),"")</f>
        <v/>
      </c>
      <c r="AV20" s="284" t="e">
        <f>IF(VLOOKUP(T_Convention[[#This Row],[NumL]],T_TraitDi[#Data],COLUMN(T_TraitDi[Colonne21]),FALSE)=0,"",TEXT(IFERROR(VLOOKUP(T_Convention[[#This Row],[NumL]],T_TraitDi[#Data],COLUMN(T_TraitDi[Colonne21]),FALSE),""),"[hh]:mm"))</f>
        <v>#N/A</v>
      </c>
      <c r="AW20" s="284" t="e">
        <f>IF(VLOOKUP(T_Convention[[#This Row],[NumL]],T_TraitDi[#Data],COLUMN(T_TraitDi[Colonne22]),FALSE)=0,"",TEXT(IFERROR(VLOOKUP(T_Convention[[#This Row],[NumL]],T_TraitDi[#Data],COLUMN(T_TraitDi[Colonne22]),FALSE),""),"[hh]:mm"))</f>
        <v>#N/A</v>
      </c>
      <c r="AX20" s="284" t="str">
        <f>IFERROR(VLOOKUP(T_Convention[[#This Row],[NumL]],T_TraitDi[#Data],COLUMN(T_TraitDi[Colonne23]),FALSE),"")</f>
        <v/>
      </c>
      <c r="AY20" s="284" t="e">
        <f>IF(VLOOKUP(T_Convention[[#This Row],[NumL]],T_TraitDi[#Data],COLUMN(T_TraitDi[Colonne24]),FALSE)=0,"",TEXT(IFERROR(VLOOKUP(T_Convention[[#This Row],[NumL]],T_TraitDi[#Data],COLUMN(T_TraitDi[Colonne24]),FALSE),""),"[hh]:mm"))</f>
        <v>#N/A</v>
      </c>
      <c r="AZ20" s="284" t="e">
        <f>IF(VLOOKUP(T_Convention[[#This Row],[NumL]],T_TraitDi[#Data],COLUMN(T_TraitDi[Colonne25]),FALSE)=0,"",TEXT(IFERROR(VLOOKUP(T_Convention[[#This Row],[NumL]],T_TraitDi[#Data],COLUMN(T_TraitDi[Colonne25]),FALSE),""),"[hh]:mm"))</f>
        <v>#N/A</v>
      </c>
      <c r="BA20" s="284" t="e">
        <f>IF(VLOOKUP(T_Convention[[#This Row],[NumL]],T_TraitDi[#Data],COLUMN(T_TraitDi[Colonne26]),FALSE)=0,"",TEXT(IFERROR(VLOOKUP(T_Convention[[#This Row],[NumL]],T_TraitDi[#Data],COLUMN(T_TraitDi[Colonne26]),FALSE),""),"[hh]:mm"))</f>
        <v>#N/A</v>
      </c>
      <c r="BB20" s="284" t="str">
        <f>IFERROR(VLOOKUP(T_Convention[[#This Row],[NumL]],T_TraitDi[#Data],COLUMN(T_TraitDi[Vendredi]),FALSE),"")</f>
        <v/>
      </c>
      <c r="BC20" s="284" t="e">
        <f>IF(VLOOKUP(T_Convention[[#This Row],[NumL]],T_TraitDi[#Data],COLUMN(T_TraitDi[Colonne27]),FALSE)=0,"",TEXT(IFERROR(VLOOKUP(T_Convention[[#This Row],[NumL]],T_TraitDi[#Data],COLUMN(T_TraitDi[Colonne27]),FALSE),""),"[hh]:mm"))</f>
        <v>#N/A</v>
      </c>
      <c r="BD20" s="284" t="e">
        <f>IF(VLOOKUP(T_Convention[[#This Row],[NumL]],T_TraitDi[#Data],COLUMN(T_TraitDi[Colonne28]),FALSE)=0,"",TEXT(IFERROR(VLOOKUP(T_Convention[[#This Row],[NumL]],T_TraitDi[#Data],COLUMN(T_TraitDi[Colonne28]),FALSE),""),"[hh]:mm"))</f>
        <v>#N/A</v>
      </c>
      <c r="BE20" s="284" t="str">
        <f>IFERROR(VLOOKUP(T_Convention[[#This Row],[NumL]],T_TraitDi[#Data],COLUMN(T_TraitDi[Colonne29]),FALSE),"")</f>
        <v/>
      </c>
      <c r="BF20" s="284" t="e">
        <f>IF(VLOOKUP(T_Convention[[#This Row],[NumL]],T_TraitDi[#Data],COLUMN(T_TraitDi[Colonne30]),FALSE)=0,"",TEXT(IFERROR(VLOOKUP(T_Convention[[#This Row],[NumL]],T_TraitDi[#Data],COLUMN(T_TraitDi[Colonne30]),FALSE),""),"[hh]:mm"))</f>
        <v>#N/A</v>
      </c>
      <c r="BG20" s="284" t="e">
        <f>IF(VLOOKUP(T_Convention[[#This Row],[NumL]],T_TraitDi[#Data],COLUMN(T_TraitDi[Colonne31]),FALSE)=0,"",TEXT(IFERROR(VLOOKUP(T_Convention[[#This Row],[NumL]],T_TraitDi[#Data],COLUMN(T_TraitDi[Colonne31]),FALSE),""),"[hh]:mm"))</f>
        <v>#N/A</v>
      </c>
      <c r="BH20" s="284" t="e">
        <f>IF(VLOOKUP(T_Convention[[#This Row],[NumL]],T_TraitDi[#Data],COLUMN(T_TraitDi[Colonne32]),FALSE)=0,"",TEXT(IFERROR(VLOOKUP(T_Convention[[#This Row],[NumL]],T_TraitDi[#Data],COLUMN(T_TraitDi[Colonne32]),FALSE),""),"[hh]:mm"))</f>
        <v>#N/A</v>
      </c>
      <c r="BI20" s="284" t="str">
        <f>IFERROR(VLOOKUP(T_Convention[[#This Row],[NumL]],T_TraitDi[#Data],COLUMN(T_TraitDi[NbJTW]),FALSE),"")</f>
        <v/>
      </c>
      <c r="BJ20" s="284" t="e">
        <f>IF(VLOOKUP(T_Convention[[#This Row],[NumL]],T_TraitDi[#Data],COLUMN(T_TraitDi[NbhTW]),FALSE)=0,"",TEXT(IFERROR(VLOOKUP(T_Convention[[#This Row],[NumL]],T_TraitDi[#Data],COLUMN(T_TraitDi[NbhTW]),FALSE),""),"[hh]:mm"))</f>
        <v>#N/A</v>
      </c>
      <c r="BK20" s="315" t="e">
        <f>IF(VLOOKUP(T_Convention[[#This Row],[NumL]],T_TraitDi[#Data],COLUMN(T_TraitDi[Nbhheb]),FALSE)=0,"",TEXT(IFERROR(VLOOKUP(T_Convention[[#This Row],[NumL]],T_TraitDi[#Data],COLUMN(T_TraitDi[Nbhheb]),FALSE),""),"[hh]:mm"))</f>
        <v>#N/A</v>
      </c>
      <c r="BL20" s="287" t="str">
        <f>IFERROR(VLOOKUP(VLOOKUP(T_Convention[[#This Row],[NumL]],T_TraitDi[#Data],COLUMN(T_TraitDi[Type1]),FALSE),TypeTW,2,FALSE),"")</f>
        <v/>
      </c>
      <c r="BM20" s="288" t="str">
        <f>IFERROR(VLOOKUP(T_Convention[[#This Row],[NumL]],T_TraitDi[#Data],COLUMN(T_TraitDi[Rue1]),FALSE),"")</f>
        <v/>
      </c>
      <c r="BN20" s="289" t="str">
        <f>IFERROR(VLOOKUP(T_Convention[[#This Row],[NumL]],T_TraitDi[#Data],COLUMN(T_TraitDi[CP1]),FALSE),"")</f>
        <v/>
      </c>
      <c r="BO20" s="282" t="str">
        <f>IFERROR(VLOOKUP(T_Convention[[#This Row],[NumL]],T_TraitDi[#Data],COLUMN(T_TraitDi[VILLE1]),FALSE),"")</f>
        <v/>
      </c>
      <c r="BP20" s="290" t="str">
        <f>IFERROR(VLOOKUP(VLOOKUP(T_Convention[[#This Row],[NumL]],T_TraitDi[#Data],COLUMN(T_TraitDi[Type2]),FALSE),TypeTW,2,FALSE),"")</f>
        <v/>
      </c>
      <c r="BQ20" s="310" t="str">
        <f>IFERROR(VLOOKUP(T_Convention[[#This Row],[NumL]],T_TraitDi[#Data],COLUMN(T_TraitDi[Rue2]),FALSE),"")</f>
        <v/>
      </c>
      <c r="BR20" s="290" t="str">
        <f>IFERROR(VLOOKUP(T_Convention[[#This Row],[NumL]],T_TraitDi[#Data],COLUMN(T_TraitDi[CP2]),FALSE),"")</f>
        <v/>
      </c>
      <c r="BS20" s="290" t="str">
        <f>IFERROR(VLOOKUP(T_Convention[[#This Row],[NumL]],T_TraitDi[#Data],COLUMN(T_TraitDi[VILLE2]),FALSE),"")</f>
        <v/>
      </c>
      <c r="BT20" s="329"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0" s="329" t="str">
        <f>IFERROR(IF(VLOOKUP(T_Convention[[#This Row],[NumL]],T_TraitDi[#Data],COLUMN(T_TraitDi[Plan]),FALSE)="OK","Un planning spécifique de télétravail est annexé à la présente convention.",""),"")</f>
        <v/>
      </c>
      <c r="BV20" s="291"/>
      <c r="BW20" s="292" t="e">
        <f>IF(VLOOKUP(T_Convention[[#This Row],[NumL]],T_suiviDi[#Data],COLUMN(T_suiviDi[Entité]),FALSE)="","",VLOOKUP(T_Convention[[#This Row],[NumL]],T_suiviDi[#Data],COLUMN(T_suiviDi[Entité]),FALSE))</f>
        <v>#N/A</v>
      </c>
      <c r="BX20" s="311" t="str">
        <f>IF(VLOOKUP(T_Convention[[#This Row],[NumL]],T_Commission[#Data],COLUMN(T_Commission[envoi confirm TW]),FALSE)="","",VLOOKUP(T_Convention[[#This Row],[NumL]],T_Commission[#Data],COLUMN(T_Commission[envoi confirm TW]),FALSE))</f>
        <v>Oui</v>
      </c>
      <c r="BY2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 s="265">
        <f>VLOOKUP(T_Convention[[#This Row],[NumL]],T_Commission[#Data],COLUMN(T_Commission[Commentaire]),FALSE)</f>
        <v>0</v>
      </c>
      <c r="CA20" s="255" t="str">
        <f>IF(VLOOKUP(T_Convention[[#This Row],[NumL]],T_Commission[#Data],COLUMN(T_Commission[Encadrant Email]),FALSE)="","",VLOOKUP(T_Convention[[#This Row],[NumL]],T_Commission[#Data],COLUMN(T_Commission[Encadrant Email]),FALSE))</f>
        <v/>
      </c>
      <c r="CB20" s="352" t="e">
        <f>VLOOKUP(T_Convention[[#This Row],[NumL]],T_TraitDi[#Data],COLUMN(T_TraitDi[NbJTot]),FALSE)</f>
        <v>#N/A</v>
      </c>
      <c r="CC20" s="352" t="e">
        <f>VLOOKUP(T_Convention[[#This Row],[NumL]],T_TraitDi[#Data],COLUMN(T_TraitDi[Reg Ponct]),FALSE)</f>
        <v>#N/A</v>
      </c>
      <c r="CD20" s="348" t="str">
        <f>IF(T_Convention[[#This Row],[Final]]&lt;&gt;"",VLOOKUP(T_Convention[[#This Row],[NumL]],T_suiviDi[#Data],COLUMN((T_suiviDi[Statut])),FALSE),"")</f>
        <v/>
      </c>
    </row>
    <row r="21" spans="1:82" s="106" customFormat="1" ht="18.75" customHeight="1" x14ac:dyDescent="0.25">
      <c r="A21" s="90">
        <v>202</v>
      </c>
      <c r="B21" s="161" t="str">
        <f>VLOOKUP(T_Convention[[#This Row],[NumL]],T_Commission[#Data],COLUMN(T_Commission[FINAL]),FALSE)</f>
        <v/>
      </c>
      <c r="C21" s="309"/>
      <c r="D21" s="95" t="e">
        <f>IF(VLOOKUP(T_Convention[[#This Row],[NumL]],T_TraitDi[#Data],COLUMN(T_TraitDi[WebC]),FALSE)="","",VLOOKUP(T_Convention[[#This Row],[NumL]],T_TraitDi[#Data],COLUMN(T_TraitDi[WebC]),FALSE))</f>
        <v>#N/A</v>
      </c>
      <c r="E21" s="95" t="str">
        <f t="shared" si="0"/>
        <v>12 janvier 2021</v>
      </c>
      <c r="F21" s="282" t="str">
        <f>IF(T_Convention[[#This Row],[Final]]&lt;&gt;"",VLOOKUP(T_Convention[[#This Row],[NumL]],T_suiviDi[#Data],COLUMN((T_suiviDi[Civ.])),FALSE),"")</f>
        <v/>
      </c>
      <c r="G21" s="283" t="str">
        <f>IF(T_Convention[[#This Row],[Final]]&lt;&gt;"",VLOOKUP(T_Convention[[#This Row],[NumL]],T_suiviDi[#Data],COLUMN((T_suiviDi[Nom])),FALSE),"")</f>
        <v/>
      </c>
      <c r="H21" s="282" t="str">
        <f>IF(T_Convention[[#This Row],[Final]]&lt;&gt;"",VLOOKUP(T_Convention[[#This Row],[NumL]],T_suiviDi[#Data],COLUMN((T_suiviDi[Prénom])),FALSE),"")</f>
        <v/>
      </c>
      <c r="I21" s="282" t="e">
        <f>VLOOKUP(T_Convention[[#This Row],[NumL]],T_suiviDi[#Data],COLUMN((T_suiviDi[[#This Row],[Email]])),FALSE)</f>
        <v>#N/A</v>
      </c>
      <c r="J21" s="282" t="e">
        <f>IF(VLOOKUP(T_Convention[[#This Row],[NumL]],T_suiviDi[#Data],COLUMN(T_suiviDi[[#This Row],[Fonction]]),FALSE)="","",VLOOKUP(T_Convention[[#This Row],[NumL]],T_suiviDi[#Data],COLUMN(T_suiviDi[[#This Row],[Fonction]]),FALSE))</f>
        <v>#N/A</v>
      </c>
      <c r="K21" s="282" t="e">
        <f>IF(VLOOKUP(T_Convention[[#This Row],[NumL]],T_suiviDi[#Data],COLUMN(T_suiviDi[[#This Row],[Grade]]),FALSE)="","",VLOOKUP(T_Convention[[#This Row],[NumL]],T_suiviDi[#Data],COLUMN(T_suiviDi[[#This Row],[Grade]]),FALSE))</f>
        <v>#N/A</v>
      </c>
      <c r="L21" s="282" t="e">
        <f>IF(VLOOKUP(T_Convention[[#This Row],[NumL]],T_suiviDi[#Data],COLUMN(T_suiviDi[[#This Row],[Service ]]),FALSE)="","",VLOOKUP(T_Convention[[#This Row],[NumL]],T_suiviDi[#Data],COLUMN(T_suiviDi[[#This Row],[Service ]]),FALSE))</f>
        <v>#N/A</v>
      </c>
      <c r="M21" s="96" t="str">
        <f t="shared" si="1"/>
        <v>01 septembre 2021</v>
      </c>
      <c r="N21" s="96" t="str">
        <f t="shared" si="2"/>
        <v>30 novembre 2021</v>
      </c>
      <c r="O21" s="284" t="str">
        <f t="shared" si="3"/>
        <v>30 novembre 2021</v>
      </c>
      <c r="P21" s="282" t="e">
        <f>IF(VLOOKUP(T_Convention[[#This Row],[NumL]],T_TraitDi[#Data],COLUMN(T_TraitDi[M1]),FALSE)="","",VLOOKUP(T_Convention[[#This Row],[NumL]],T_TraitDi[#Data],COLUMN(T_TraitDi[M1]),FALSE))</f>
        <v>#N/A</v>
      </c>
      <c r="Q21" s="282" t="e">
        <f>IF(VLOOKUP(T_Convention[[#This Row],[NumL]],T_TraitDi[#Data],COLUMN(T_TraitDi[M2]),FALSE)="","",VLOOKUP(T_Convention[[#This Row],[NumL]],T_TraitDi[#Data],COLUMN(T_TraitDi[M2]),FALSE))</f>
        <v>#N/A</v>
      </c>
      <c r="R21" s="282" t="e">
        <f>IF(VLOOKUP(T_Convention[[#This Row],[NumL]],T_TraitDi[#Data],COLUMN(T_TraitDi[M3]),FALSE)="","",VLOOKUP(T_Convention[[#This Row],[NumL]],T_TraitDi[#Data],COLUMN(T_TraitDi[M3]),FALSE))</f>
        <v>#N/A</v>
      </c>
      <c r="S21" s="282" t="e">
        <f>IF(VLOOKUP(T_Convention[[#This Row],[NumL]],T_TraitDi[#Data],COLUMN(T_TraitDi[M4]),FALSE)="","",VLOOKUP(T_Convention[[#This Row],[NumL]],T_TraitDi[#Data],COLUMN(T_TraitDi[M4]),FALSE))</f>
        <v>#N/A</v>
      </c>
      <c r="T21" s="282" t="e">
        <f>IF(VLOOKUP(T_Convention[[#This Row],[NumL]],T_TraitDi[#Data],COLUMN(T_TraitDi[M5]),FALSE)="","",VLOOKUP(T_Convention[[#This Row],[NumL]],T_TraitDi[#Data],COLUMN(T_TraitDi[M5]),FALSE))</f>
        <v>#N/A</v>
      </c>
      <c r="U21" s="282" t="e">
        <f>IF(VLOOKUP(T_Convention[[#This Row],[NumL]],T_TraitDi[#Data],COLUMN(T_TraitDi[M6]),FALSE)="","",VLOOKUP(T_Convention[[#This Row],[NumL]],T_TraitDi[#Data],COLUMN(T_TraitDi[M6]),FALSE))</f>
        <v>#N/A</v>
      </c>
      <c r="V21" s="312" t="e">
        <f t="shared" si="4"/>
        <v>#N/A</v>
      </c>
      <c r="W21" s="284" t="str">
        <f>IFERROR(TEXT(VLOOKUP(T_Convention[[#This Row],[NumL]],T_TraitDi[#Data],COLUMN(T_TraitDi[Q2]),FALSE),"###%"),"")</f>
        <v/>
      </c>
      <c r="X21" s="97" t="e">
        <f>VLOOKUP(T_Convention[[#This Row],[NumL]],T_TraitDi[#Data],COLUMN(T_TraitDi[Reg Ponct]),FALSE)</f>
        <v>#N/A</v>
      </c>
      <c r="Y21" s="97" t="e">
        <f>VLOOKUP(T_Convention[NumL],T_TraitDi[#Data],COLUMN(T_TraitDi[Jours flottants]),FALSE)</f>
        <v>#N/A</v>
      </c>
      <c r="Z21" s="284" t="str">
        <f>IFERROR(VLOOKUP(T_Convention[[#This Row],[NumL]],T_TraitDi[#Data],COLUMN(T_TraitDi[Lundi]),FALSE),"")</f>
        <v/>
      </c>
      <c r="AA21" s="284" t="e">
        <f>IF(VLOOKUP(T_Convention[[#This Row],[NumL]],T_TraitDi[#Data],COLUMN(T_TraitDi[Colonne3]),FALSE)=0,"",TEXT(IFERROR(VLOOKUP(T_Convention[[#This Row],[NumL]],T_TraitDi[#Data],COLUMN(T_TraitDi[Colonne3]),FALSE),""),"[hh]:mm"))</f>
        <v>#N/A</v>
      </c>
      <c r="AB21" s="284" t="e">
        <f>IF(VLOOKUP(T_Convention[[#This Row],[NumL]],T_TraitDi[#Data],COLUMN(T_TraitDi[Colonne4]),FALSE)=0,"",TEXT(IFERROR(VLOOKUP(T_Convention[[#This Row],[NumL]],T_TraitDi[#Data],COLUMN(T_TraitDi[Colonne4]),FALSE),""),"[hh]:mm"))</f>
        <v>#N/A</v>
      </c>
      <c r="AC21" s="284" t="e">
        <f>IF(VLOOKUP(T_Convention[[#This Row],[NumL]],T_TraitDi[#Data],COLUMN(T_TraitDi[Colonne5]),FALSE)=0,"",TEXT(IFERROR(VLOOKUP(T_Convention[[#This Row],[NumL]],T_TraitDi[#Data],COLUMN(T_TraitDi[Colonne5]),FALSE),""),"[hh]:mm"))</f>
        <v>#N/A</v>
      </c>
      <c r="AD21" s="284" t="e">
        <f>IF(VLOOKUP(T_Convention[[#This Row],[NumL]],T_TraitDi[#Data],COLUMN(T_TraitDi[Colonne6]),FALSE)=0,"",TEXT(IFERROR(VLOOKUP(T_Convention[[#This Row],[NumL]],T_TraitDi[#Data],COLUMN(T_TraitDi[Colonne6]),FALSE),""),"[hh]:mm"))</f>
        <v>#N/A</v>
      </c>
      <c r="AE21" s="284" t="e">
        <f>IF(VLOOKUP(T_Convention[[#This Row],[NumL]],T_TraitDi[#Data],COLUMN(T_TraitDi[Colonne7]),FALSE)=0,"",TEXT(IFERROR(VLOOKUP(T_Convention[[#This Row],[NumL]],T_TraitDi[#Data],COLUMN(T_TraitDi[Colonne7]),FALSE),""),"[hh]:mm"))</f>
        <v>#N/A</v>
      </c>
      <c r="AF21" s="284" t="e">
        <f>IF(VLOOKUP(T_Convention[[#This Row],[NumL]],T_TraitDi[#Data],COLUMN(T_TraitDi[Colonne8]),FALSE)=0,"",TEXT(IFERROR(VLOOKUP(T_Convention[[#This Row],[NumL]],T_TraitDi[#Data],COLUMN(T_TraitDi[Colonne8]),FALSE),""),"[hh]:mm"))</f>
        <v>#N/A</v>
      </c>
      <c r="AG21" s="284" t="str">
        <f>IFERROR(VLOOKUP(T_Convention[[#This Row],[NumL]],T_TraitDi[#Data],COLUMN(T_TraitDi[Mardi]),FALSE),"")</f>
        <v/>
      </c>
      <c r="AH21" s="284" t="e">
        <f>IF(VLOOKUP(T_Convention[[#This Row],[NumL]],T_TraitDi[#Data],COLUMN(T_TraitDi[Colonne1]),FALSE)=0,"",TEXT(IFERROR(VLOOKUP(T_Convention[[#This Row],[NumL]],T_TraitDi[#Data],COLUMN(T_TraitDi[Colonne1]),FALSE),""),"[hh]:mm"))</f>
        <v>#N/A</v>
      </c>
      <c r="AI21" s="284" t="e">
        <f>IF(VLOOKUP(T_Convention[[#This Row],[NumL]],T_TraitDi[#Data],COLUMN(T_TraitDi[Colonne9]),FALSE)=0,"",TEXT(IFERROR(VLOOKUP(T_Convention[[#This Row],[NumL]],T_TraitDi[#Data],COLUMN(T_TraitDi[Colonne9]),FALSE),""),"[hh]:mm"))</f>
        <v>#N/A</v>
      </c>
      <c r="AJ21" s="284" t="str">
        <f>IFERROR(VLOOKUP(T_Convention[[#This Row],[NumL]],T_TraitDi[#Data],COLUMN(T_TraitDi[Colonne10]),FALSE),"")</f>
        <v/>
      </c>
      <c r="AK21" s="284" t="e">
        <f>IF(VLOOKUP(T_Convention[[#This Row],[NumL]],T_TraitDi[#Data],COLUMN(T_TraitDi[Colonne11]),FALSE)=0,"",TEXT(IFERROR(VLOOKUP(T_Convention[[#This Row],[NumL]],T_TraitDi[#Data],COLUMN(T_TraitDi[Colonne11]),FALSE),""),"[hh]:mm"))</f>
        <v>#N/A</v>
      </c>
      <c r="AL21" s="284" t="e">
        <f>IF(VLOOKUP(T_Convention[[#This Row],[NumL]],T_TraitDi[#Data],COLUMN(T_TraitDi[Colonne12]),FALSE)=0,"",TEXT(IFERROR(VLOOKUP(T_Convention[[#This Row],[NumL]],T_TraitDi[#Data],COLUMN(T_TraitDi[Colonne12]),FALSE),""),"[hh]:mm"))</f>
        <v>#N/A</v>
      </c>
      <c r="AM21" s="284" t="e">
        <f>IF(VLOOKUP(T_Convention[[#This Row],[NumL]],T_TraitDi[#Data],COLUMN(T_TraitDi[Colonne14]),FALSE)=0,"",TEXT(IFERROR(VLOOKUP(T_Convention[[#This Row],[NumL]],T_TraitDi[#Data],COLUMN(T_TraitDi[Colonne14]),FALSE),""),"[hh]:mm"))</f>
        <v>#N/A</v>
      </c>
      <c r="AN21" s="284" t="str">
        <f>IFERROR(VLOOKUP(T_Convention[[#This Row],[NumL]],T_TraitDi[#Data],COLUMN(T_TraitDi[Mercredi]),FALSE),"")</f>
        <v/>
      </c>
      <c r="AO21" s="284" t="e">
        <f>IF(VLOOKUP(T_Convention[[#This Row],[NumL]],T_TraitDi[#Data],COLUMN(T_TraitDi[Colonne15]),FALSE)=0,"",TEXT(IFERROR(VLOOKUP(T_Convention[[#This Row],[NumL]],T_TraitDi[#Data],COLUMN(T_TraitDi[Colonne15]),FALSE),""),"[hh]:mm"))</f>
        <v>#N/A</v>
      </c>
      <c r="AP21" s="284" t="e">
        <f>IF(VLOOKUP(T_Convention[[#This Row],[NumL]],T_TraitDi[#Data],COLUMN(T_TraitDi[Colonne16]),FALSE)=0,"",TEXT(IFERROR(VLOOKUP(T_Convention[[#This Row],[NumL]],T_TraitDi[#Data],COLUMN(T_TraitDi[Colonne16]),FALSE),""),"[hh]:mm"))</f>
        <v>#N/A</v>
      </c>
      <c r="AQ21" s="284" t="str">
        <f>IFERROR(VLOOKUP(T_Convention[[#This Row],[NumL]],T_TraitDi[#Data],COLUMN(T_TraitDi[Colonne17]),FALSE),"")</f>
        <v/>
      </c>
      <c r="AR21" s="284" t="e">
        <f>IF(VLOOKUP(T_Convention[[#This Row],[NumL]],T_TraitDi[#Data],COLUMN(T_TraitDi[Colonne18]),FALSE)=0,"",TEXT(IFERROR(VLOOKUP(T_Convention[[#This Row],[NumL]],T_TraitDi[#Data],COLUMN(T_TraitDi[Colonne18]),FALSE),""),"[hh]:mm"))</f>
        <v>#N/A</v>
      </c>
      <c r="AS21" s="284" t="e">
        <f>IF(VLOOKUP(T_Convention[[#This Row],[NumL]],T_TraitDi[#Data],COLUMN(T_TraitDi[Colonne19]),FALSE)=0,"",TEXT(IFERROR(VLOOKUP(T_Convention[[#This Row],[NumL]],T_TraitDi[#Data],COLUMN(T_TraitDi[Colonne19]),FALSE),""),"[hh]:mm"))</f>
        <v>#N/A</v>
      </c>
      <c r="AT21" s="284" t="e">
        <f>IF(VLOOKUP(T_Convention[[#This Row],[NumL]],T_TraitDi[#Data],COLUMN(T_TraitDi[Colonne20]),FALSE)=0,"",TEXT(IFERROR(VLOOKUP(T_Convention[[#This Row],[NumL]],T_TraitDi[#Data],COLUMN(T_TraitDi[Colonne20]),FALSE),""),"[hh]:mm"))</f>
        <v>#N/A</v>
      </c>
      <c r="AU21" s="284" t="str">
        <f>IFERROR(VLOOKUP(T_Convention[[#This Row],[NumL]],T_TraitDi[#Data],COLUMN(T_TraitDi[Jeudi]),FALSE),"")</f>
        <v/>
      </c>
      <c r="AV21" s="284" t="e">
        <f>IF(VLOOKUP(T_Convention[[#This Row],[NumL]],T_TraitDi[#Data],COLUMN(T_TraitDi[Colonne21]),FALSE)=0,"",TEXT(IFERROR(VLOOKUP(T_Convention[[#This Row],[NumL]],T_TraitDi[#Data],COLUMN(T_TraitDi[Colonne21]),FALSE),""),"[hh]:mm"))</f>
        <v>#N/A</v>
      </c>
      <c r="AW21" s="284" t="e">
        <f>IF(VLOOKUP(T_Convention[[#This Row],[NumL]],T_TraitDi[#Data],COLUMN(T_TraitDi[Colonne22]),FALSE)=0,"",TEXT(IFERROR(VLOOKUP(T_Convention[[#This Row],[NumL]],T_TraitDi[#Data],COLUMN(T_TraitDi[Colonne22]),FALSE),""),"[hh]:mm"))</f>
        <v>#N/A</v>
      </c>
      <c r="AX21" s="284" t="str">
        <f>IFERROR(VLOOKUP(T_Convention[[#This Row],[NumL]],T_TraitDi[#Data],COLUMN(T_TraitDi[Colonne23]),FALSE),"")</f>
        <v/>
      </c>
      <c r="AY21" s="284" t="e">
        <f>IF(VLOOKUP(T_Convention[[#This Row],[NumL]],T_TraitDi[#Data],COLUMN(T_TraitDi[Colonne24]),FALSE)=0,"",TEXT(IFERROR(VLOOKUP(T_Convention[[#This Row],[NumL]],T_TraitDi[#Data],COLUMN(T_TraitDi[Colonne24]),FALSE),""),"[hh]:mm"))</f>
        <v>#N/A</v>
      </c>
      <c r="AZ21" s="284" t="e">
        <f>IF(VLOOKUP(T_Convention[[#This Row],[NumL]],T_TraitDi[#Data],COLUMN(T_TraitDi[Colonne25]),FALSE)=0,"",TEXT(IFERROR(VLOOKUP(T_Convention[[#This Row],[NumL]],T_TraitDi[#Data],COLUMN(T_TraitDi[Colonne25]),FALSE),""),"[hh]:mm"))</f>
        <v>#N/A</v>
      </c>
      <c r="BA21" s="284" t="e">
        <f>IF(VLOOKUP(T_Convention[[#This Row],[NumL]],T_TraitDi[#Data],COLUMN(T_TraitDi[Colonne26]),FALSE)=0,"",TEXT(IFERROR(VLOOKUP(T_Convention[[#This Row],[NumL]],T_TraitDi[#Data],COLUMN(T_TraitDi[Colonne26]),FALSE),""),"[hh]:mm"))</f>
        <v>#N/A</v>
      </c>
      <c r="BB21" s="284" t="str">
        <f>IFERROR(VLOOKUP(T_Convention[[#This Row],[NumL]],T_TraitDi[#Data],COLUMN(T_TraitDi[Vendredi]),FALSE),"")</f>
        <v/>
      </c>
      <c r="BC21" s="284" t="e">
        <f>IF(VLOOKUP(T_Convention[[#This Row],[NumL]],T_TraitDi[#Data],COLUMN(T_TraitDi[Colonne27]),FALSE)=0,"",TEXT(IFERROR(VLOOKUP(T_Convention[[#This Row],[NumL]],T_TraitDi[#Data],COLUMN(T_TraitDi[Colonne27]),FALSE),""),"[hh]:mm"))</f>
        <v>#N/A</v>
      </c>
      <c r="BD21" s="284" t="e">
        <f>IF(VLOOKUP(T_Convention[[#This Row],[NumL]],T_TraitDi[#Data],COLUMN(T_TraitDi[Colonne28]),FALSE)=0,"",TEXT(IFERROR(VLOOKUP(T_Convention[[#This Row],[NumL]],T_TraitDi[#Data],COLUMN(T_TraitDi[Colonne28]),FALSE),""),"[hh]:mm"))</f>
        <v>#N/A</v>
      </c>
      <c r="BE21" s="284" t="str">
        <f>IFERROR(VLOOKUP(T_Convention[[#This Row],[NumL]],T_TraitDi[#Data],COLUMN(T_TraitDi[Colonne29]),FALSE),"")</f>
        <v/>
      </c>
      <c r="BF21" s="284" t="e">
        <f>IF(VLOOKUP(T_Convention[[#This Row],[NumL]],T_TraitDi[#Data],COLUMN(T_TraitDi[Colonne30]),FALSE)=0,"",TEXT(IFERROR(VLOOKUP(T_Convention[[#This Row],[NumL]],T_TraitDi[#Data],COLUMN(T_TraitDi[Colonne30]),FALSE),""),"[hh]:mm"))</f>
        <v>#N/A</v>
      </c>
      <c r="BG21" s="284" t="e">
        <f>IF(VLOOKUP(T_Convention[[#This Row],[NumL]],T_TraitDi[#Data],COLUMN(T_TraitDi[Colonne31]),FALSE)=0,"",TEXT(IFERROR(VLOOKUP(T_Convention[[#This Row],[NumL]],T_TraitDi[#Data],COLUMN(T_TraitDi[Colonne31]),FALSE),""),"[hh]:mm"))</f>
        <v>#N/A</v>
      </c>
      <c r="BH21" s="284" t="e">
        <f>IF(VLOOKUP(T_Convention[[#This Row],[NumL]],T_TraitDi[#Data],COLUMN(T_TraitDi[Colonne32]),FALSE)=0,"",TEXT(IFERROR(VLOOKUP(T_Convention[[#This Row],[NumL]],T_TraitDi[#Data],COLUMN(T_TraitDi[Colonne32]),FALSE),""),"[hh]:mm"))</f>
        <v>#N/A</v>
      </c>
      <c r="BI21" s="284" t="str">
        <f>IFERROR(VLOOKUP(T_Convention[[#This Row],[NumL]],T_TraitDi[#Data],COLUMN(T_TraitDi[NbJTW]),FALSE),"")</f>
        <v/>
      </c>
      <c r="BJ21" s="284" t="e">
        <f>IF(VLOOKUP(T_Convention[[#This Row],[NumL]],T_TraitDi[#Data],COLUMN(T_TraitDi[NbhTW]),FALSE)=0,"",TEXT(IFERROR(VLOOKUP(T_Convention[[#This Row],[NumL]],T_TraitDi[#Data],COLUMN(T_TraitDi[NbhTW]),FALSE),""),"[hh]:mm"))</f>
        <v>#N/A</v>
      </c>
      <c r="BK21" s="286" t="e">
        <f>IF(VLOOKUP(T_Convention[[#This Row],[NumL]],T_TraitDi[#Data],COLUMN(T_TraitDi[Nbhheb]),FALSE)=0,"",TEXT(IFERROR(VLOOKUP(T_Convention[[#This Row],[NumL]],T_TraitDi[#Data],COLUMN(T_TraitDi[Nbhheb]),FALSE),""),"[hh]:mm"))</f>
        <v>#N/A</v>
      </c>
      <c r="BL21" s="287" t="str">
        <f>IFERROR(VLOOKUP(VLOOKUP(T_Convention[[#This Row],[NumL]],T_TraitDi[#Data],COLUMN(T_TraitDi[Type1]),FALSE),TypeTW,2,FALSE),"")</f>
        <v/>
      </c>
      <c r="BM21" s="288" t="str">
        <f>IFERROR(VLOOKUP(T_Convention[[#This Row],[NumL]],T_TraitDi[#Data],COLUMN(T_TraitDi[Rue1]),FALSE),"")</f>
        <v/>
      </c>
      <c r="BN21" s="289" t="str">
        <f>IFERROR(VLOOKUP(T_Convention[[#This Row],[NumL]],T_TraitDi[#Data],COLUMN(T_TraitDi[CP1]),FALSE),"")</f>
        <v/>
      </c>
      <c r="BO21" s="282" t="str">
        <f>IFERROR(VLOOKUP(T_Convention[[#This Row],[NumL]],T_TraitDi[#Data],COLUMN(T_TraitDi[VILLE1]),FALSE),"")</f>
        <v/>
      </c>
      <c r="BP21" s="290" t="str">
        <f>IFERROR(VLOOKUP(VLOOKUP(T_Convention[[#This Row],[NumL]],T_TraitDi[#Data],COLUMN(T_TraitDi[Type2]),FALSE),TypeTW,2,FALSE),"")</f>
        <v/>
      </c>
      <c r="BQ21" s="182" t="str">
        <f>IFERROR(VLOOKUP(T_Convention[[#This Row],[NumL]],T_TraitDi[#Data],COLUMN(T_TraitDi[Rue2]),FALSE),"")</f>
        <v/>
      </c>
      <c r="BR21" s="173" t="str">
        <f>IFERROR(VLOOKUP(T_Convention[[#This Row],[NumL]],T_TraitDi[#Data],COLUMN(T_TraitDi[CP2]),FALSE),"")</f>
        <v/>
      </c>
      <c r="BS21" s="173" t="str">
        <f>IFERROR(VLOOKUP(T_Convention[[#This Row],[NumL]],T_TraitDi[#Data],COLUMN(T_TraitDi[VILLE2]),FALSE),"")</f>
        <v/>
      </c>
      <c r="BT21" s="313" t="str">
        <f>IF(VLOOKUP(T_Convention[[#This Row],[NumL]],T_Equipement[#Data],COLUMN(T_Equipement[PC]),FALSE)="","Aucun équipement spécifique directement lié au télétravail",VLOOKUP(T_Convention[[#This Row],[NumL]],T_Equipement[#Data],COLUMN(T_Equipement[PC]),FALSE))</f>
        <v xml:space="preserve">20-271	</v>
      </c>
      <c r="BU21" s="296" t="str">
        <f>IFERROR(IF(VLOOKUP(T_Convention[[#This Row],[NumL]],T_TraitDi[#Data],COLUMN(T_TraitDi[Plan]),FALSE)="OK","Un planning spécifique de télétravail est annexé à la présente convention.",""),"")</f>
        <v/>
      </c>
      <c r="BV21" s="185" t="s">
        <v>3426</v>
      </c>
      <c r="BW21" s="164" t="e">
        <f>IF(VLOOKUP(T_Convention[[#This Row],[NumL]],T_suiviDi[#Data],COLUMN(T_suiviDi[Entité]),FALSE)="","",VLOOKUP(T_Convention[[#This Row],[NumL]],T_suiviDi[#Data],COLUMN(T_suiviDi[Entité]),FALSE))</f>
        <v>#N/A</v>
      </c>
      <c r="BX21" s="164" t="str">
        <f>IF(VLOOKUP(T_Convention[[#This Row],[NumL]],T_Commission[#Data],COLUMN(T_Commission[envoi confirm TW]),FALSE)="","",VLOOKUP(T_Convention[[#This Row],[NumL]],T_Commission[#Data],COLUMN(T_Commission[envoi confirm TW]),FALSE))</f>
        <v>Oui</v>
      </c>
      <c r="BY2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 s="264">
        <f>VLOOKUP(T_Convention[[#This Row],[NumL]],T_Commission[#Data],COLUMN(T_Commission[Commentaire]),FALSE)</f>
        <v>0</v>
      </c>
      <c r="CA21" s="254" t="str">
        <f>IF(VLOOKUP(T_Convention[[#This Row],[NumL]],T_Commission[#Data],COLUMN(T_Commission[Encadrant Email]),FALSE)="","",VLOOKUP(T_Convention[[#This Row],[NumL]],T_Commission[#Data],COLUMN(T_Commission[Encadrant Email]),FALSE))</f>
        <v/>
      </c>
      <c r="CB21" s="254" t="e">
        <f>VLOOKUP(T_Convention[[#This Row],[NumL]],T_TraitDi[#Data],COLUMN(T_TraitDi[NbJTot]),FALSE)</f>
        <v>#N/A</v>
      </c>
      <c r="CC21" s="352" t="e">
        <f>VLOOKUP(T_Convention[[#This Row],[NumL]],T_TraitDi[#Data],COLUMN(T_TraitDi[Reg Ponct]),FALSE)</f>
        <v>#N/A</v>
      </c>
      <c r="CD21" s="348" t="str">
        <f>IF(T_Convention[[#This Row],[Final]]&lt;&gt;"",VLOOKUP(T_Convention[[#This Row],[NumL]],T_suiviDi[#Data],COLUMN((T_suiviDi[Statut])),FALSE),"")</f>
        <v/>
      </c>
    </row>
    <row r="22" spans="1:82" s="106" customFormat="1" ht="18.75" customHeight="1" x14ac:dyDescent="0.25">
      <c r="A22" s="90">
        <v>66</v>
      </c>
      <c r="B22" s="161" t="str">
        <f>VLOOKUP(T_Convention[[#This Row],[NumL]],T_Commission[#Data],COLUMN(T_Commission[FINAL]),FALSE)</f>
        <v/>
      </c>
      <c r="C22" s="309"/>
      <c r="D22" s="95" t="e">
        <f>IF(VLOOKUP(T_Convention[[#This Row],[NumL]],T_TraitDi[#Data],COLUMN(T_TraitDi[WebC]),FALSE)="","",VLOOKUP(T_Convention[[#This Row],[NumL]],T_TraitDi[#Data],COLUMN(T_TraitDi[WebC]),FALSE))</f>
        <v>#N/A</v>
      </c>
      <c r="E22" s="95" t="str">
        <f t="shared" si="0"/>
        <v>12 janvier 2021</v>
      </c>
      <c r="F22" s="282" t="str">
        <f>IF(T_Convention[[#This Row],[Final]]&lt;&gt;"",VLOOKUP(T_Convention[[#This Row],[NumL]],T_suiviDi[#Data],COLUMN((T_suiviDi[Civ.])),FALSE),"")</f>
        <v/>
      </c>
      <c r="G22" s="283" t="str">
        <f>IF(T_Convention[[#This Row],[Final]]&lt;&gt;"",VLOOKUP(T_Convention[[#This Row],[NumL]],T_suiviDi[#Data],COLUMN((T_suiviDi[Nom])),FALSE),"")</f>
        <v/>
      </c>
      <c r="H22" s="282" t="str">
        <f>IF(T_Convention[[#This Row],[Final]]&lt;&gt;"",VLOOKUP(T_Convention[[#This Row],[NumL]],T_suiviDi[#Data],COLUMN((T_suiviDi[Prénom])),FALSE),"")</f>
        <v/>
      </c>
      <c r="I22" s="282" t="e">
        <f>VLOOKUP(T_Convention[[#This Row],[NumL]],T_suiviDi[#Data],COLUMN((T_suiviDi[[#This Row],[Email]])),FALSE)</f>
        <v>#N/A</v>
      </c>
      <c r="J22" s="282" t="e">
        <f>IF(VLOOKUP(T_Convention[[#This Row],[NumL]],T_suiviDi[#Data],COLUMN(T_suiviDi[[#This Row],[Fonction]]),FALSE)="","",VLOOKUP(T_Convention[[#This Row],[NumL]],T_suiviDi[#Data],COLUMN(T_suiviDi[[#This Row],[Fonction]]),FALSE))</f>
        <v>#N/A</v>
      </c>
      <c r="K22" s="282" t="e">
        <f>IF(VLOOKUP(T_Convention[[#This Row],[NumL]],T_suiviDi[#Data],COLUMN(T_suiviDi[[#This Row],[Grade]]),FALSE)="","",VLOOKUP(T_Convention[[#This Row],[NumL]],T_suiviDi[#Data],COLUMN(T_suiviDi[[#This Row],[Grade]]),FALSE))</f>
        <v>#N/A</v>
      </c>
      <c r="L22" s="282" t="e">
        <f>IF(VLOOKUP(T_Convention[[#This Row],[NumL]],T_suiviDi[#Data],COLUMN(T_suiviDi[[#This Row],[Service ]]),FALSE)="","",VLOOKUP(T_Convention[[#This Row],[NumL]],T_suiviDi[#Data],COLUMN(T_suiviDi[[#This Row],[Service ]]),FALSE))</f>
        <v>#N/A</v>
      </c>
      <c r="M22" s="96" t="str">
        <f t="shared" si="1"/>
        <v>01 septembre 2021</v>
      </c>
      <c r="N22" s="96" t="str">
        <f t="shared" si="2"/>
        <v>30 novembre 2021</v>
      </c>
      <c r="O22" s="284" t="str">
        <f t="shared" si="3"/>
        <v>30 novembre 2021</v>
      </c>
      <c r="P22" s="282" t="e">
        <f>IF(VLOOKUP(T_Convention[[#This Row],[NumL]],T_TraitDi[#Data],COLUMN(T_TraitDi[M1]),FALSE)="","",VLOOKUP(T_Convention[[#This Row],[NumL]],T_TraitDi[#Data],COLUMN(T_TraitDi[M1]),FALSE))</f>
        <v>#N/A</v>
      </c>
      <c r="Q22" s="282" t="e">
        <f>IF(VLOOKUP(T_Convention[[#This Row],[NumL]],T_TraitDi[#Data],COLUMN(T_TraitDi[M2]),FALSE)="","",VLOOKUP(T_Convention[[#This Row],[NumL]],T_TraitDi[#Data],COLUMN(T_TraitDi[M2]),FALSE))</f>
        <v>#N/A</v>
      </c>
      <c r="R22" s="282" t="e">
        <f>IF(VLOOKUP(T_Convention[[#This Row],[NumL]],T_TraitDi[#Data],COLUMN(T_TraitDi[M3]),FALSE)="","",VLOOKUP(T_Convention[[#This Row],[NumL]],T_TraitDi[#Data],COLUMN(T_TraitDi[M3]),FALSE))</f>
        <v>#N/A</v>
      </c>
      <c r="S22" s="282" t="e">
        <f>IF(VLOOKUP(T_Convention[[#This Row],[NumL]],T_TraitDi[#Data],COLUMN(T_TraitDi[M4]),FALSE)="","",VLOOKUP(T_Convention[[#This Row],[NumL]],T_TraitDi[#Data],COLUMN(T_TraitDi[M4]),FALSE))</f>
        <v>#N/A</v>
      </c>
      <c r="T22" s="282" t="e">
        <f>IF(VLOOKUP(T_Convention[[#This Row],[NumL]],T_TraitDi[#Data],COLUMN(T_TraitDi[M5]),FALSE)="","",VLOOKUP(T_Convention[[#This Row],[NumL]],T_TraitDi[#Data],COLUMN(T_TraitDi[M5]),FALSE))</f>
        <v>#N/A</v>
      </c>
      <c r="U22" s="282" t="e">
        <f>IF(VLOOKUP(T_Convention[[#This Row],[NumL]],T_TraitDi[#Data],COLUMN(T_TraitDi[M6]),FALSE)="","",VLOOKUP(T_Convention[[#This Row],[NumL]],T_TraitDi[#Data],COLUMN(T_TraitDi[M6]),FALSE))</f>
        <v>#N/A</v>
      </c>
      <c r="V22" s="312" t="e">
        <f t="shared" si="4"/>
        <v>#N/A</v>
      </c>
      <c r="W22" s="284" t="str">
        <f>IFERROR(TEXT(VLOOKUP(T_Convention[[#This Row],[NumL]],T_TraitDi[#Data],COLUMN(T_TraitDi[Q2]),FALSE),"###%"),"")</f>
        <v/>
      </c>
      <c r="X22" s="97" t="e">
        <f>VLOOKUP(T_Convention[[#This Row],[NumL]],T_TraitDi[#Data],COLUMN(T_TraitDi[Reg Ponct]),FALSE)</f>
        <v>#N/A</v>
      </c>
      <c r="Y22" s="97" t="e">
        <f>VLOOKUP(T_Convention[NumL],T_TraitDi[#Data],COLUMN(T_TraitDi[Jours flottants]),FALSE)</f>
        <v>#N/A</v>
      </c>
      <c r="Z22" s="284" t="str">
        <f>IFERROR(VLOOKUP(T_Convention[[#This Row],[NumL]],T_TraitDi[#Data],COLUMN(T_TraitDi[Lundi]),FALSE),"")</f>
        <v/>
      </c>
      <c r="AA22" s="284" t="e">
        <f>IF(VLOOKUP(T_Convention[[#This Row],[NumL]],T_TraitDi[#Data],COLUMN(T_TraitDi[Colonne3]),FALSE)=0,"",TEXT(IFERROR(VLOOKUP(T_Convention[[#This Row],[NumL]],T_TraitDi[#Data],COLUMN(T_TraitDi[Colonne3]),FALSE),""),"[hh]:mm"))</f>
        <v>#N/A</v>
      </c>
      <c r="AB22" s="284" t="e">
        <f>IF(VLOOKUP(T_Convention[[#This Row],[NumL]],T_TraitDi[#Data],COLUMN(T_TraitDi[Colonne4]),FALSE)=0,"",TEXT(IFERROR(VLOOKUP(T_Convention[[#This Row],[NumL]],T_TraitDi[#Data],COLUMN(T_TraitDi[Colonne4]),FALSE),""),"[hh]:mm"))</f>
        <v>#N/A</v>
      </c>
      <c r="AC22" s="284" t="e">
        <f>IF(VLOOKUP(T_Convention[[#This Row],[NumL]],T_TraitDi[#Data],COLUMN(T_TraitDi[Colonne5]),FALSE)=0,"",TEXT(IFERROR(VLOOKUP(T_Convention[[#This Row],[NumL]],T_TraitDi[#Data],COLUMN(T_TraitDi[Colonne5]),FALSE),""),"[hh]:mm"))</f>
        <v>#N/A</v>
      </c>
      <c r="AD22" s="284" t="e">
        <f>IF(VLOOKUP(T_Convention[[#This Row],[NumL]],T_TraitDi[#Data],COLUMN(T_TraitDi[Colonne6]),FALSE)=0,"",TEXT(IFERROR(VLOOKUP(T_Convention[[#This Row],[NumL]],T_TraitDi[#Data],COLUMN(T_TraitDi[Colonne6]),FALSE),""),"[hh]:mm"))</f>
        <v>#N/A</v>
      </c>
      <c r="AE22" s="284" t="e">
        <f>IF(VLOOKUP(T_Convention[[#This Row],[NumL]],T_TraitDi[#Data],COLUMN(T_TraitDi[Colonne7]),FALSE)=0,"",TEXT(IFERROR(VLOOKUP(T_Convention[[#This Row],[NumL]],T_TraitDi[#Data],COLUMN(T_TraitDi[Colonne7]),FALSE),""),"[hh]:mm"))</f>
        <v>#N/A</v>
      </c>
      <c r="AF22" s="284" t="e">
        <f>IF(VLOOKUP(T_Convention[[#This Row],[NumL]],T_TraitDi[#Data],COLUMN(T_TraitDi[Colonne8]),FALSE)=0,"",TEXT(IFERROR(VLOOKUP(T_Convention[[#This Row],[NumL]],T_TraitDi[#Data],COLUMN(T_TraitDi[Colonne8]),FALSE),""),"[hh]:mm"))</f>
        <v>#N/A</v>
      </c>
      <c r="AG22" s="284" t="str">
        <f>IFERROR(VLOOKUP(T_Convention[[#This Row],[NumL]],T_TraitDi[#Data],COLUMN(T_TraitDi[Mardi]),FALSE),"")</f>
        <v/>
      </c>
      <c r="AH22" s="284" t="e">
        <f>IF(VLOOKUP(T_Convention[[#This Row],[NumL]],T_TraitDi[#Data],COLUMN(T_TraitDi[Colonne1]),FALSE)=0,"",TEXT(IFERROR(VLOOKUP(T_Convention[[#This Row],[NumL]],T_TraitDi[#Data],COLUMN(T_TraitDi[Colonne1]),FALSE),""),"[hh]:mm"))</f>
        <v>#N/A</v>
      </c>
      <c r="AI22" s="284" t="e">
        <f>IF(VLOOKUP(T_Convention[[#This Row],[NumL]],T_TraitDi[#Data],COLUMN(T_TraitDi[Colonne9]),FALSE)=0,"",TEXT(IFERROR(VLOOKUP(T_Convention[[#This Row],[NumL]],T_TraitDi[#Data],COLUMN(T_TraitDi[Colonne9]),FALSE),""),"[hh]:mm"))</f>
        <v>#N/A</v>
      </c>
      <c r="AJ22" s="284" t="str">
        <f>IFERROR(VLOOKUP(T_Convention[[#This Row],[NumL]],T_TraitDi[#Data],COLUMN(T_TraitDi[Colonne10]),FALSE),"")</f>
        <v/>
      </c>
      <c r="AK22" s="284" t="e">
        <f>IF(VLOOKUP(T_Convention[[#This Row],[NumL]],T_TraitDi[#Data],COLUMN(T_TraitDi[Colonne11]),FALSE)=0,"",TEXT(IFERROR(VLOOKUP(T_Convention[[#This Row],[NumL]],T_TraitDi[#Data],COLUMN(T_TraitDi[Colonne11]),FALSE),""),"[hh]:mm"))</f>
        <v>#N/A</v>
      </c>
      <c r="AL22" s="284" t="e">
        <f>IF(VLOOKUP(T_Convention[[#This Row],[NumL]],T_TraitDi[#Data],COLUMN(T_TraitDi[Colonne12]),FALSE)=0,"",TEXT(IFERROR(VLOOKUP(T_Convention[[#This Row],[NumL]],T_TraitDi[#Data],COLUMN(T_TraitDi[Colonne12]),FALSE),""),"[hh]:mm"))</f>
        <v>#N/A</v>
      </c>
      <c r="AM22" s="284" t="e">
        <f>IF(VLOOKUP(T_Convention[[#This Row],[NumL]],T_TraitDi[#Data],COLUMN(T_TraitDi[Colonne14]),FALSE)=0,"",TEXT(IFERROR(VLOOKUP(T_Convention[[#This Row],[NumL]],T_TraitDi[#Data],COLUMN(T_TraitDi[Colonne14]),FALSE),""),"[hh]:mm"))</f>
        <v>#N/A</v>
      </c>
      <c r="AN22" s="284" t="str">
        <f>IFERROR(VLOOKUP(T_Convention[[#This Row],[NumL]],T_TraitDi[#Data],COLUMN(T_TraitDi[Mercredi]),FALSE),"")</f>
        <v/>
      </c>
      <c r="AO22" s="284" t="e">
        <f>IF(VLOOKUP(T_Convention[[#This Row],[NumL]],T_TraitDi[#Data],COLUMN(T_TraitDi[Colonne15]),FALSE)=0,"",TEXT(IFERROR(VLOOKUP(T_Convention[[#This Row],[NumL]],T_TraitDi[#Data],COLUMN(T_TraitDi[Colonne15]),FALSE),""),"[hh]:mm"))</f>
        <v>#N/A</v>
      </c>
      <c r="AP22" s="284" t="e">
        <f>IF(VLOOKUP(T_Convention[[#This Row],[NumL]],T_TraitDi[#Data],COLUMN(T_TraitDi[Colonne16]),FALSE)=0,"",TEXT(IFERROR(VLOOKUP(T_Convention[[#This Row],[NumL]],T_TraitDi[#Data],COLUMN(T_TraitDi[Colonne16]),FALSE),""),"[hh]:mm"))</f>
        <v>#N/A</v>
      </c>
      <c r="AQ22" s="284" t="str">
        <f>IFERROR(VLOOKUP(T_Convention[[#This Row],[NumL]],T_TraitDi[#Data],COLUMN(T_TraitDi[Colonne17]),FALSE),"")</f>
        <v/>
      </c>
      <c r="AR22" s="284" t="e">
        <f>IF(VLOOKUP(T_Convention[[#This Row],[NumL]],T_TraitDi[#Data],COLUMN(T_TraitDi[Colonne18]),FALSE)=0,"",TEXT(IFERROR(VLOOKUP(T_Convention[[#This Row],[NumL]],T_TraitDi[#Data],COLUMN(T_TraitDi[Colonne18]),FALSE),""),"[hh]:mm"))</f>
        <v>#N/A</v>
      </c>
      <c r="AS22" s="284" t="e">
        <f>IF(VLOOKUP(T_Convention[[#This Row],[NumL]],T_TraitDi[#Data],COLUMN(T_TraitDi[Colonne19]),FALSE)=0,"",TEXT(IFERROR(VLOOKUP(T_Convention[[#This Row],[NumL]],T_TraitDi[#Data],COLUMN(T_TraitDi[Colonne19]),FALSE),""),"[hh]:mm"))</f>
        <v>#N/A</v>
      </c>
      <c r="AT22" s="284" t="e">
        <f>IF(VLOOKUP(T_Convention[[#This Row],[NumL]],T_TraitDi[#Data],COLUMN(T_TraitDi[Colonne20]),FALSE)=0,"",TEXT(IFERROR(VLOOKUP(T_Convention[[#This Row],[NumL]],T_TraitDi[#Data],COLUMN(T_TraitDi[Colonne20]),FALSE),""),"[hh]:mm"))</f>
        <v>#N/A</v>
      </c>
      <c r="AU22" s="284" t="str">
        <f>IFERROR(VLOOKUP(T_Convention[[#This Row],[NumL]],T_TraitDi[#Data],COLUMN(T_TraitDi[Jeudi]),FALSE),"")</f>
        <v/>
      </c>
      <c r="AV22" s="284" t="e">
        <f>IF(VLOOKUP(T_Convention[[#This Row],[NumL]],T_TraitDi[#Data],COLUMN(T_TraitDi[Colonne21]),FALSE)=0,"",TEXT(IFERROR(VLOOKUP(T_Convention[[#This Row],[NumL]],T_TraitDi[#Data],COLUMN(T_TraitDi[Colonne21]),FALSE),""),"[hh]:mm"))</f>
        <v>#N/A</v>
      </c>
      <c r="AW22" s="284" t="e">
        <f>IF(VLOOKUP(T_Convention[[#This Row],[NumL]],T_TraitDi[#Data],COLUMN(T_TraitDi[Colonne22]),FALSE)=0,"",TEXT(IFERROR(VLOOKUP(T_Convention[[#This Row],[NumL]],T_TraitDi[#Data],COLUMN(T_TraitDi[Colonne22]),FALSE),""),"[hh]:mm"))</f>
        <v>#N/A</v>
      </c>
      <c r="AX22" s="284" t="str">
        <f>IFERROR(VLOOKUP(T_Convention[[#This Row],[NumL]],T_TraitDi[#Data],COLUMN(T_TraitDi[Colonne23]),FALSE),"")</f>
        <v/>
      </c>
      <c r="AY22" s="284" t="e">
        <f>IF(VLOOKUP(T_Convention[[#This Row],[NumL]],T_TraitDi[#Data],COLUMN(T_TraitDi[Colonne24]),FALSE)=0,"",TEXT(IFERROR(VLOOKUP(T_Convention[[#This Row],[NumL]],T_TraitDi[#Data],COLUMN(T_TraitDi[Colonne24]),FALSE),""),"[hh]:mm"))</f>
        <v>#N/A</v>
      </c>
      <c r="AZ22" s="284" t="e">
        <f>IF(VLOOKUP(T_Convention[[#This Row],[NumL]],T_TraitDi[#Data],COLUMN(T_TraitDi[Colonne25]),FALSE)=0,"",TEXT(IFERROR(VLOOKUP(T_Convention[[#This Row],[NumL]],T_TraitDi[#Data],COLUMN(T_TraitDi[Colonne25]),FALSE),""),"[hh]:mm"))</f>
        <v>#N/A</v>
      </c>
      <c r="BA22" s="284" t="e">
        <f>IF(VLOOKUP(T_Convention[[#This Row],[NumL]],T_TraitDi[#Data],COLUMN(T_TraitDi[Colonne26]),FALSE)=0,"",TEXT(IFERROR(VLOOKUP(T_Convention[[#This Row],[NumL]],T_TraitDi[#Data],COLUMN(T_TraitDi[Colonne26]),FALSE),""),"[hh]:mm"))</f>
        <v>#N/A</v>
      </c>
      <c r="BB22" s="284" t="str">
        <f>IFERROR(VLOOKUP(T_Convention[[#This Row],[NumL]],T_TraitDi[#Data],COLUMN(T_TraitDi[Vendredi]),FALSE),"")</f>
        <v/>
      </c>
      <c r="BC22" s="284" t="e">
        <f>IF(VLOOKUP(T_Convention[[#This Row],[NumL]],T_TraitDi[#Data],COLUMN(T_TraitDi[Colonne27]),FALSE)=0,"",TEXT(IFERROR(VLOOKUP(T_Convention[[#This Row],[NumL]],T_TraitDi[#Data],COLUMN(T_TraitDi[Colonne27]),FALSE),""),"[hh]:mm"))</f>
        <v>#N/A</v>
      </c>
      <c r="BD22" s="284" t="e">
        <f>IF(VLOOKUP(T_Convention[[#This Row],[NumL]],T_TraitDi[#Data],COLUMN(T_TraitDi[Colonne28]),FALSE)=0,"",TEXT(IFERROR(VLOOKUP(T_Convention[[#This Row],[NumL]],T_TraitDi[#Data],COLUMN(T_TraitDi[Colonne28]),FALSE),""),"[hh]:mm"))</f>
        <v>#N/A</v>
      </c>
      <c r="BE22" s="284" t="str">
        <f>IFERROR(VLOOKUP(T_Convention[[#This Row],[NumL]],T_TraitDi[#Data],COLUMN(T_TraitDi[Colonne29]),FALSE),"")</f>
        <v/>
      </c>
      <c r="BF22" s="284" t="e">
        <f>IF(VLOOKUP(T_Convention[[#This Row],[NumL]],T_TraitDi[#Data],COLUMN(T_TraitDi[Colonne30]),FALSE)=0,"",TEXT(IFERROR(VLOOKUP(T_Convention[[#This Row],[NumL]],T_TraitDi[#Data],COLUMN(T_TraitDi[Colonne30]),FALSE),""),"[hh]:mm"))</f>
        <v>#N/A</v>
      </c>
      <c r="BG22" s="284" t="e">
        <f>IF(VLOOKUP(T_Convention[[#This Row],[NumL]],T_TraitDi[#Data],COLUMN(T_TraitDi[Colonne31]),FALSE)=0,"",TEXT(IFERROR(VLOOKUP(T_Convention[[#This Row],[NumL]],T_TraitDi[#Data],COLUMN(T_TraitDi[Colonne31]),FALSE),""),"[hh]:mm"))</f>
        <v>#N/A</v>
      </c>
      <c r="BH22" s="284" t="e">
        <f>IF(VLOOKUP(T_Convention[[#This Row],[NumL]],T_TraitDi[#Data],COLUMN(T_TraitDi[Colonne32]),FALSE)=0,"",TEXT(IFERROR(VLOOKUP(T_Convention[[#This Row],[NumL]],T_TraitDi[#Data],COLUMN(T_TraitDi[Colonne32]),FALSE),""),"[hh]:mm"))</f>
        <v>#N/A</v>
      </c>
      <c r="BI22" s="284" t="str">
        <f>IFERROR(VLOOKUP(T_Convention[[#This Row],[NumL]],T_TraitDi[#Data],COLUMN(T_TraitDi[NbJTW]),FALSE),"")</f>
        <v/>
      </c>
      <c r="BJ22" s="284" t="e">
        <f>IF(VLOOKUP(T_Convention[[#This Row],[NumL]],T_TraitDi[#Data],COLUMN(T_TraitDi[NbhTW]),FALSE)=0,"",TEXT(IFERROR(VLOOKUP(T_Convention[[#This Row],[NumL]],T_TraitDi[#Data],COLUMN(T_TraitDi[NbhTW]),FALSE),""),"[hh]:mm"))</f>
        <v>#N/A</v>
      </c>
      <c r="BK22" s="286" t="e">
        <f>IF(VLOOKUP(T_Convention[[#This Row],[NumL]],T_TraitDi[#Data],COLUMN(T_TraitDi[Nbhheb]),FALSE)=0,"",TEXT(IFERROR(VLOOKUP(T_Convention[[#This Row],[NumL]],T_TraitDi[#Data],COLUMN(T_TraitDi[Nbhheb]),FALSE),""),"[hh]:mm"))</f>
        <v>#N/A</v>
      </c>
      <c r="BL22" s="287" t="str">
        <f>IFERROR(VLOOKUP(VLOOKUP(T_Convention[[#This Row],[NumL]],T_TraitDi[#Data],COLUMN(T_TraitDi[Type1]),FALSE),TypeTW,2,FALSE),"")</f>
        <v/>
      </c>
      <c r="BM22" s="288" t="str">
        <f>IFERROR(VLOOKUP(T_Convention[[#This Row],[NumL]],T_TraitDi[#Data],COLUMN(T_TraitDi[Rue1]),FALSE),"")</f>
        <v/>
      </c>
      <c r="BN22" s="289" t="str">
        <f>IFERROR(VLOOKUP(T_Convention[[#This Row],[NumL]],T_TraitDi[#Data],COLUMN(T_TraitDi[CP1]),FALSE),"")</f>
        <v/>
      </c>
      <c r="BO22" s="282" t="str">
        <f>IFERROR(VLOOKUP(T_Convention[[#This Row],[NumL]],T_TraitDi[#Data],COLUMN(T_TraitDi[VILLE1]),FALSE),"")</f>
        <v/>
      </c>
      <c r="BP22" s="290" t="str">
        <f>IFERROR(VLOOKUP(VLOOKUP(T_Convention[[#This Row],[NumL]],T_TraitDi[#Data],COLUMN(T_TraitDi[Type2]),FALSE),TypeTW,2,FALSE),"")</f>
        <v/>
      </c>
      <c r="BQ22" s="182" t="str">
        <f>IFERROR(VLOOKUP(T_Convention[[#This Row],[NumL]],T_TraitDi[#Data],COLUMN(T_TraitDi[Rue2]),FALSE),"")</f>
        <v/>
      </c>
      <c r="BR22" s="173" t="str">
        <f>IFERROR(VLOOKUP(T_Convention[[#This Row],[NumL]],T_TraitDi[#Data],COLUMN(T_TraitDi[CP2]),FALSE),"")</f>
        <v/>
      </c>
      <c r="BS22" s="173" t="str">
        <f>IFERROR(VLOOKUP(T_Convention[[#This Row],[NumL]],T_TraitDi[#Data],COLUMN(T_TraitDi[VILLE2]),FALSE),"")</f>
        <v/>
      </c>
      <c r="BT22" s="313" t="str">
        <f>IF(VLOOKUP(T_Convention[[#This Row],[NumL]],T_Equipement[#Data],COLUMN(T_Equipement[PC]),FALSE)="","Aucun équipement spécifique directement lié au télétravail",VLOOKUP(T_Convention[[#This Row],[NumL]],T_Equipement[#Data],COLUMN(T_Equipement[PC]),FALSE))</f>
        <v xml:space="preserve">17-026	</v>
      </c>
      <c r="BU22" s="296" t="str">
        <f>IFERROR(IF(VLOOKUP(T_Convention[[#This Row],[NumL]],T_TraitDi[#Data],COLUMN(T_TraitDi[Plan]),FALSE)="OK","Un planning spécifique de télétravail est annexé à la présente convention.",""),"")</f>
        <v/>
      </c>
      <c r="BV22" s="185"/>
      <c r="BW22" s="164" t="e">
        <f>IF(VLOOKUP(T_Convention[[#This Row],[NumL]],T_suiviDi[#Data],COLUMN(T_suiviDi[Entité]),FALSE)="","",VLOOKUP(T_Convention[[#This Row],[NumL]],T_suiviDi[#Data],COLUMN(T_suiviDi[Entité]),FALSE))</f>
        <v>#N/A</v>
      </c>
      <c r="BX22" s="164" t="str">
        <f>IF(VLOOKUP(T_Convention[[#This Row],[NumL]],T_Commission[#Data],COLUMN(T_Commission[envoi confirm TW]),FALSE)="","",VLOOKUP(T_Convention[[#This Row],[NumL]],T_Commission[#Data],COLUMN(T_Commission[envoi confirm TW]),FALSE))</f>
        <v>Non</v>
      </c>
      <c r="BY2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 s="264" t="str">
        <f>VLOOKUP(T_Convention[[#This Row],[NumL]],T_Commission[#Data],COLUMN(T_Commission[Commentaire]),FALSE)</f>
        <v>La demande de télétravail est accordée sous réserve de fourniture des pièces demandées.</v>
      </c>
      <c r="CA22" s="254" t="str">
        <f>IF(VLOOKUP(T_Convention[[#This Row],[NumL]],T_Commission[#Data],COLUMN(T_Commission[Encadrant Email]),FALSE)="","",VLOOKUP(T_Convention[[#This Row],[NumL]],T_Commission[#Data],COLUMN(T_Commission[Encadrant Email]),FALSE))</f>
        <v/>
      </c>
      <c r="CB22" s="352" t="e">
        <f>VLOOKUP(T_Convention[[#This Row],[NumL]],T_TraitDi[#Data],COLUMN(T_TraitDi[NbJTot]),FALSE)</f>
        <v>#N/A</v>
      </c>
      <c r="CC22" s="352" t="e">
        <f>VLOOKUP(T_Convention[[#This Row],[NumL]],T_TraitDi[#Data],COLUMN(T_TraitDi[Reg Ponct]),FALSE)</f>
        <v>#N/A</v>
      </c>
      <c r="CD22" s="348" t="str">
        <f>IF(T_Convention[[#This Row],[Final]]&lt;&gt;"",VLOOKUP(T_Convention[[#This Row],[NumL]],T_suiviDi[#Data],COLUMN((T_suiviDi[Statut])),FALSE),"")</f>
        <v/>
      </c>
    </row>
    <row r="23" spans="1:82" s="106" customFormat="1" ht="18.75" customHeight="1" x14ac:dyDescent="0.25">
      <c r="A23" s="90">
        <v>36</v>
      </c>
      <c r="B23" s="161" t="str">
        <f>VLOOKUP(T_Convention[[#This Row],[NumL]],T_Commission[#Data],COLUMN(T_Commission[FINAL]),FALSE)</f>
        <v/>
      </c>
      <c r="C23" s="309"/>
      <c r="D23" s="95" t="e">
        <f>IF(VLOOKUP(T_Convention[[#This Row],[NumL]],T_TraitDi[#Data],COLUMN(T_TraitDi[WebC]),FALSE)="","",VLOOKUP(T_Convention[[#This Row],[NumL]],T_TraitDi[#Data],COLUMN(T_TraitDi[WebC]),FALSE))</f>
        <v>#N/A</v>
      </c>
      <c r="E23" s="95" t="str">
        <f t="shared" si="0"/>
        <v>12 janvier 2021</v>
      </c>
      <c r="F23" s="282" t="str">
        <f>IF(T_Convention[[#This Row],[Final]]&lt;&gt;"",VLOOKUP(T_Convention[[#This Row],[NumL]],T_suiviDi[#Data],COLUMN((T_suiviDi[Civ.])),FALSE),"")</f>
        <v/>
      </c>
      <c r="G23" s="283" t="str">
        <f>IF(T_Convention[[#This Row],[Final]]&lt;&gt;"",VLOOKUP(T_Convention[[#This Row],[NumL]],T_suiviDi[#Data],COLUMN((T_suiviDi[Nom])),FALSE),"")</f>
        <v/>
      </c>
      <c r="H23" s="282" t="str">
        <f>IF(T_Convention[[#This Row],[Final]]&lt;&gt;"",VLOOKUP(T_Convention[[#This Row],[NumL]],T_suiviDi[#Data],COLUMN((T_suiviDi[Prénom])),FALSE),"")</f>
        <v/>
      </c>
      <c r="I23" s="282" t="e">
        <f>VLOOKUP(T_Convention[[#This Row],[NumL]],T_suiviDi[#Data],COLUMN((T_suiviDi[[#This Row],[Email]])),FALSE)</f>
        <v>#N/A</v>
      </c>
      <c r="J23" s="282" t="e">
        <f>IF(VLOOKUP(T_Convention[[#This Row],[NumL]],T_suiviDi[#Data],COLUMN(T_suiviDi[[#This Row],[Fonction]]),FALSE)="","",VLOOKUP(T_Convention[[#This Row],[NumL]],T_suiviDi[#Data],COLUMN(T_suiviDi[[#This Row],[Fonction]]),FALSE))</f>
        <v>#N/A</v>
      </c>
      <c r="K23" s="282" t="e">
        <f>IF(VLOOKUP(T_Convention[[#This Row],[NumL]],T_suiviDi[#Data],COLUMN(T_suiviDi[[#This Row],[Grade]]),FALSE)="","",VLOOKUP(T_Convention[[#This Row],[NumL]],T_suiviDi[#Data],COLUMN(T_suiviDi[[#This Row],[Grade]]),FALSE))</f>
        <v>#N/A</v>
      </c>
      <c r="L23" s="282" t="e">
        <f>IF(VLOOKUP(T_Convention[[#This Row],[NumL]],T_suiviDi[#Data],COLUMN(T_suiviDi[[#This Row],[Service ]]),FALSE)="","",VLOOKUP(T_Convention[[#This Row],[NumL]],T_suiviDi[#Data],COLUMN(T_suiviDi[[#This Row],[Service ]]),FALSE))</f>
        <v>#N/A</v>
      </c>
      <c r="M23" s="96" t="str">
        <f t="shared" si="1"/>
        <v>01 septembre 2021</v>
      </c>
      <c r="N23" s="96" t="str">
        <f t="shared" si="2"/>
        <v>30 novembre 2021</v>
      </c>
      <c r="O23" s="284" t="str">
        <f t="shared" si="3"/>
        <v>30 novembre 2021</v>
      </c>
      <c r="P23" s="282" t="e">
        <f>IF(VLOOKUP(T_Convention[[#This Row],[NumL]],T_TraitDi[#Data],COLUMN(T_TraitDi[M1]),FALSE)="","",VLOOKUP(T_Convention[[#This Row],[NumL]],T_TraitDi[#Data],COLUMN(T_TraitDi[M1]),FALSE))</f>
        <v>#N/A</v>
      </c>
      <c r="Q23" s="282" t="e">
        <f>IF(VLOOKUP(T_Convention[[#This Row],[NumL]],T_TraitDi[#Data],COLUMN(T_TraitDi[M2]),FALSE)="","",VLOOKUP(T_Convention[[#This Row],[NumL]],T_TraitDi[#Data],COLUMN(T_TraitDi[M2]),FALSE))</f>
        <v>#N/A</v>
      </c>
      <c r="R23" s="282" t="e">
        <f>IF(VLOOKUP(T_Convention[[#This Row],[NumL]],T_TraitDi[#Data],COLUMN(T_TraitDi[M3]),FALSE)="","",VLOOKUP(T_Convention[[#This Row],[NumL]],T_TraitDi[#Data],COLUMN(T_TraitDi[M3]),FALSE))</f>
        <v>#N/A</v>
      </c>
      <c r="S23" s="282" t="e">
        <f>IF(VLOOKUP(T_Convention[[#This Row],[NumL]],T_TraitDi[#Data],COLUMN(T_TraitDi[M4]),FALSE)="","",VLOOKUP(T_Convention[[#This Row],[NumL]],T_TraitDi[#Data],COLUMN(T_TraitDi[M4]),FALSE))</f>
        <v>#N/A</v>
      </c>
      <c r="T23" s="282" t="e">
        <f>IF(VLOOKUP(T_Convention[[#This Row],[NumL]],T_TraitDi[#Data],COLUMN(T_TraitDi[M5]),FALSE)="","",VLOOKUP(T_Convention[[#This Row],[NumL]],T_TraitDi[#Data],COLUMN(T_TraitDi[M5]),FALSE))</f>
        <v>#N/A</v>
      </c>
      <c r="U23" s="282" t="e">
        <f>IF(VLOOKUP(T_Convention[[#This Row],[NumL]],T_TraitDi[#Data],COLUMN(T_TraitDi[M6]),FALSE)="","",VLOOKUP(T_Convention[[#This Row],[NumL]],T_TraitDi[#Data],COLUMN(T_TraitDi[M6]),FALSE))</f>
        <v>#N/A</v>
      </c>
      <c r="V23" s="312" t="e">
        <f t="shared" si="4"/>
        <v>#N/A</v>
      </c>
      <c r="W23" s="284" t="str">
        <f>IFERROR(TEXT(VLOOKUP(T_Convention[[#This Row],[NumL]],T_TraitDi[#Data],COLUMN(T_TraitDi[Q2]),FALSE),"###%"),"")</f>
        <v/>
      </c>
      <c r="X23" s="97" t="e">
        <f>VLOOKUP(T_Convention[[#This Row],[NumL]],T_TraitDi[#Data],COLUMN(T_TraitDi[Reg Ponct]),FALSE)</f>
        <v>#N/A</v>
      </c>
      <c r="Y23" s="97" t="e">
        <f>VLOOKUP(T_Convention[NumL],T_TraitDi[#Data],COLUMN(T_TraitDi[Jours flottants]),FALSE)</f>
        <v>#N/A</v>
      </c>
      <c r="Z23" s="284" t="str">
        <f>IFERROR(VLOOKUP(T_Convention[[#This Row],[NumL]],T_TraitDi[#Data],COLUMN(T_TraitDi[Lundi]),FALSE),"")</f>
        <v/>
      </c>
      <c r="AA23" s="284" t="e">
        <f>IF(VLOOKUP(T_Convention[[#This Row],[NumL]],T_TraitDi[#Data],COLUMN(T_TraitDi[Colonne3]),FALSE)=0,"",TEXT(IFERROR(VLOOKUP(T_Convention[[#This Row],[NumL]],T_TraitDi[#Data],COLUMN(T_TraitDi[Colonne3]),FALSE),""),"[hh]:mm"))</f>
        <v>#N/A</v>
      </c>
      <c r="AB23" s="284" t="e">
        <f>IF(VLOOKUP(T_Convention[[#This Row],[NumL]],T_TraitDi[#Data],COLUMN(T_TraitDi[Colonne4]),FALSE)=0,"",TEXT(IFERROR(VLOOKUP(T_Convention[[#This Row],[NumL]],T_TraitDi[#Data],COLUMN(T_TraitDi[Colonne4]),FALSE),""),"[hh]:mm"))</f>
        <v>#N/A</v>
      </c>
      <c r="AC23" s="284" t="e">
        <f>IF(VLOOKUP(T_Convention[[#This Row],[NumL]],T_TraitDi[#Data],COLUMN(T_TraitDi[Colonne5]),FALSE)=0,"",TEXT(IFERROR(VLOOKUP(T_Convention[[#This Row],[NumL]],T_TraitDi[#Data],COLUMN(T_TraitDi[Colonne5]),FALSE),""),"[hh]:mm"))</f>
        <v>#N/A</v>
      </c>
      <c r="AD23" s="284" t="e">
        <f>IF(VLOOKUP(T_Convention[[#This Row],[NumL]],T_TraitDi[#Data],COLUMN(T_TraitDi[Colonne6]),FALSE)=0,"",TEXT(IFERROR(VLOOKUP(T_Convention[[#This Row],[NumL]],T_TraitDi[#Data],COLUMN(T_TraitDi[Colonne6]),FALSE),""),"[hh]:mm"))</f>
        <v>#N/A</v>
      </c>
      <c r="AE23" s="284" t="e">
        <f>IF(VLOOKUP(T_Convention[[#This Row],[NumL]],T_TraitDi[#Data],COLUMN(T_TraitDi[Colonne7]),FALSE)=0,"",TEXT(IFERROR(VLOOKUP(T_Convention[[#This Row],[NumL]],T_TraitDi[#Data],COLUMN(T_TraitDi[Colonne7]),FALSE),""),"[hh]:mm"))</f>
        <v>#N/A</v>
      </c>
      <c r="AF23" s="284" t="e">
        <f>IF(VLOOKUP(T_Convention[[#This Row],[NumL]],T_TraitDi[#Data],COLUMN(T_TraitDi[Colonne8]),FALSE)=0,"",TEXT(IFERROR(VLOOKUP(T_Convention[[#This Row],[NumL]],T_TraitDi[#Data],COLUMN(T_TraitDi[Colonne8]),FALSE),""),"[hh]:mm"))</f>
        <v>#N/A</v>
      </c>
      <c r="AG23" s="284" t="str">
        <f>IFERROR(VLOOKUP(T_Convention[[#This Row],[NumL]],T_TraitDi[#Data],COLUMN(T_TraitDi[Mardi]),FALSE),"")</f>
        <v/>
      </c>
      <c r="AH23" s="284" t="e">
        <f>IF(VLOOKUP(T_Convention[[#This Row],[NumL]],T_TraitDi[#Data],COLUMN(T_TraitDi[Colonne1]),FALSE)=0,"",TEXT(IFERROR(VLOOKUP(T_Convention[[#This Row],[NumL]],T_TraitDi[#Data],COLUMN(T_TraitDi[Colonne1]),FALSE),""),"[hh]:mm"))</f>
        <v>#N/A</v>
      </c>
      <c r="AI23" s="284" t="e">
        <f>IF(VLOOKUP(T_Convention[[#This Row],[NumL]],T_TraitDi[#Data],COLUMN(T_TraitDi[Colonne9]),FALSE)=0,"",TEXT(IFERROR(VLOOKUP(T_Convention[[#This Row],[NumL]],T_TraitDi[#Data],COLUMN(T_TraitDi[Colonne9]),FALSE),""),"[hh]:mm"))</f>
        <v>#N/A</v>
      </c>
      <c r="AJ23" s="284" t="str">
        <f>IFERROR(VLOOKUP(T_Convention[[#This Row],[NumL]],T_TraitDi[#Data],COLUMN(T_TraitDi[Colonne10]),FALSE),"")</f>
        <v/>
      </c>
      <c r="AK23" s="284" t="e">
        <f>IF(VLOOKUP(T_Convention[[#This Row],[NumL]],T_TraitDi[#Data],COLUMN(T_TraitDi[Colonne11]),FALSE)=0,"",TEXT(IFERROR(VLOOKUP(T_Convention[[#This Row],[NumL]],T_TraitDi[#Data],COLUMN(T_TraitDi[Colonne11]),FALSE),""),"[hh]:mm"))</f>
        <v>#N/A</v>
      </c>
      <c r="AL23" s="284" t="e">
        <f>IF(VLOOKUP(T_Convention[[#This Row],[NumL]],T_TraitDi[#Data],COLUMN(T_TraitDi[Colonne12]),FALSE)=0,"",TEXT(IFERROR(VLOOKUP(T_Convention[[#This Row],[NumL]],T_TraitDi[#Data],COLUMN(T_TraitDi[Colonne12]),FALSE),""),"[hh]:mm"))</f>
        <v>#N/A</v>
      </c>
      <c r="AM23" s="284" t="e">
        <f>IF(VLOOKUP(T_Convention[[#This Row],[NumL]],T_TraitDi[#Data],COLUMN(T_TraitDi[Colonne14]),FALSE)=0,"",TEXT(IFERROR(VLOOKUP(T_Convention[[#This Row],[NumL]],T_TraitDi[#Data],COLUMN(T_TraitDi[Colonne14]),FALSE),""),"[hh]:mm"))</f>
        <v>#N/A</v>
      </c>
      <c r="AN23" s="284" t="str">
        <f>IFERROR(VLOOKUP(T_Convention[[#This Row],[NumL]],T_TraitDi[#Data],COLUMN(T_TraitDi[Mercredi]),FALSE),"")</f>
        <v/>
      </c>
      <c r="AO23" s="284" t="e">
        <f>IF(VLOOKUP(T_Convention[[#This Row],[NumL]],T_TraitDi[#Data],COLUMN(T_TraitDi[Colonne15]),FALSE)=0,"",TEXT(IFERROR(VLOOKUP(T_Convention[[#This Row],[NumL]],T_TraitDi[#Data],COLUMN(T_TraitDi[Colonne15]),FALSE),""),"[hh]:mm"))</f>
        <v>#N/A</v>
      </c>
      <c r="AP23" s="284" t="e">
        <f>IF(VLOOKUP(T_Convention[[#This Row],[NumL]],T_TraitDi[#Data],COLUMN(T_TraitDi[Colonne16]),FALSE)=0,"",TEXT(IFERROR(VLOOKUP(T_Convention[[#This Row],[NumL]],T_TraitDi[#Data],COLUMN(T_TraitDi[Colonne16]),FALSE),""),"[hh]:mm"))</f>
        <v>#N/A</v>
      </c>
      <c r="AQ23" s="284" t="str">
        <f>IFERROR(VLOOKUP(T_Convention[[#This Row],[NumL]],T_TraitDi[#Data],COLUMN(T_TraitDi[Colonne17]),FALSE),"")</f>
        <v/>
      </c>
      <c r="AR23" s="284" t="e">
        <f>IF(VLOOKUP(T_Convention[[#This Row],[NumL]],T_TraitDi[#Data],COLUMN(T_TraitDi[Colonne18]),FALSE)=0,"",TEXT(IFERROR(VLOOKUP(T_Convention[[#This Row],[NumL]],T_TraitDi[#Data],COLUMN(T_TraitDi[Colonne18]),FALSE),""),"[hh]:mm"))</f>
        <v>#N/A</v>
      </c>
      <c r="AS23" s="284" t="e">
        <f>IF(VLOOKUP(T_Convention[[#This Row],[NumL]],T_TraitDi[#Data],COLUMN(T_TraitDi[Colonne19]),FALSE)=0,"",TEXT(IFERROR(VLOOKUP(T_Convention[[#This Row],[NumL]],T_TraitDi[#Data],COLUMN(T_TraitDi[Colonne19]),FALSE),""),"[hh]:mm"))</f>
        <v>#N/A</v>
      </c>
      <c r="AT23" s="284" t="e">
        <f>IF(VLOOKUP(T_Convention[[#This Row],[NumL]],T_TraitDi[#Data],COLUMN(T_TraitDi[Colonne20]),FALSE)=0,"",TEXT(IFERROR(VLOOKUP(T_Convention[[#This Row],[NumL]],T_TraitDi[#Data],COLUMN(T_TraitDi[Colonne20]),FALSE),""),"[hh]:mm"))</f>
        <v>#N/A</v>
      </c>
      <c r="AU23" s="284" t="str">
        <f>IFERROR(VLOOKUP(T_Convention[[#This Row],[NumL]],T_TraitDi[#Data],COLUMN(T_TraitDi[Jeudi]),FALSE),"")</f>
        <v/>
      </c>
      <c r="AV23" s="284" t="e">
        <f>IF(VLOOKUP(T_Convention[[#This Row],[NumL]],T_TraitDi[#Data],COLUMN(T_TraitDi[Colonne21]),FALSE)=0,"",TEXT(IFERROR(VLOOKUP(T_Convention[[#This Row],[NumL]],T_TraitDi[#Data],COLUMN(T_TraitDi[Colonne21]),FALSE),""),"[hh]:mm"))</f>
        <v>#N/A</v>
      </c>
      <c r="AW23" s="284" t="e">
        <f>IF(VLOOKUP(T_Convention[[#This Row],[NumL]],T_TraitDi[#Data],COLUMN(T_TraitDi[Colonne22]),FALSE)=0,"",TEXT(IFERROR(VLOOKUP(T_Convention[[#This Row],[NumL]],T_TraitDi[#Data],COLUMN(T_TraitDi[Colonne22]),FALSE),""),"[hh]:mm"))</f>
        <v>#N/A</v>
      </c>
      <c r="AX23" s="284" t="str">
        <f>IFERROR(VLOOKUP(T_Convention[[#This Row],[NumL]],T_TraitDi[#Data],COLUMN(T_TraitDi[Colonne23]),FALSE),"")</f>
        <v/>
      </c>
      <c r="AY23" s="284" t="e">
        <f>IF(VLOOKUP(T_Convention[[#This Row],[NumL]],T_TraitDi[#Data],COLUMN(T_TraitDi[Colonne24]),FALSE)=0,"",TEXT(IFERROR(VLOOKUP(T_Convention[[#This Row],[NumL]],T_TraitDi[#Data],COLUMN(T_TraitDi[Colonne24]),FALSE),""),"[hh]:mm"))</f>
        <v>#N/A</v>
      </c>
      <c r="AZ23" s="284" t="e">
        <f>IF(VLOOKUP(T_Convention[[#This Row],[NumL]],T_TraitDi[#Data],COLUMN(T_TraitDi[Colonne25]),FALSE)=0,"",TEXT(IFERROR(VLOOKUP(T_Convention[[#This Row],[NumL]],T_TraitDi[#Data],COLUMN(T_TraitDi[Colonne25]),FALSE),""),"[hh]:mm"))</f>
        <v>#N/A</v>
      </c>
      <c r="BA23" s="284" t="e">
        <f>IF(VLOOKUP(T_Convention[[#This Row],[NumL]],T_TraitDi[#Data],COLUMN(T_TraitDi[Colonne26]),FALSE)=0,"",TEXT(IFERROR(VLOOKUP(T_Convention[[#This Row],[NumL]],T_TraitDi[#Data],COLUMN(T_TraitDi[Colonne26]),FALSE),""),"[hh]:mm"))</f>
        <v>#N/A</v>
      </c>
      <c r="BB23" s="284" t="str">
        <f>IFERROR(VLOOKUP(T_Convention[[#This Row],[NumL]],T_TraitDi[#Data],COLUMN(T_TraitDi[Vendredi]),FALSE),"")</f>
        <v/>
      </c>
      <c r="BC23" s="284" t="e">
        <f>IF(VLOOKUP(T_Convention[[#This Row],[NumL]],T_TraitDi[#Data],COLUMN(T_TraitDi[Colonne27]),FALSE)=0,"",TEXT(IFERROR(VLOOKUP(T_Convention[[#This Row],[NumL]],T_TraitDi[#Data],COLUMN(T_TraitDi[Colonne27]),FALSE),""),"[hh]:mm"))</f>
        <v>#N/A</v>
      </c>
      <c r="BD23" s="284" t="e">
        <f>IF(VLOOKUP(T_Convention[[#This Row],[NumL]],T_TraitDi[#Data],COLUMN(T_TraitDi[Colonne28]),FALSE)=0,"",TEXT(IFERROR(VLOOKUP(T_Convention[[#This Row],[NumL]],T_TraitDi[#Data],COLUMN(T_TraitDi[Colonne28]),FALSE),""),"[hh]:mm"))</f>
        <v>#N/A</v>
      </c>
      <c r="BE23" s="284" t="str">
        <f>IFERROR(VLOOKUP(T_Convention[[#This Row],[NumL]],T_TraitDi[#Data],COLUMN(T_TraitDi[Colonne29]),FALSE),"")</f>
        <v/>
      </c>
      <c r="BF23" s="284" t="e">
        <f>IF(VLOOKUP(T_Convention[[#This Row],[NumL]],T_TraitDi[#Data],COLUMN(T_TraitDi[Colonne30]),FALSE)=0,"",TEXT(IFERROR(VLOOKUP(T_Convention[[#This Row],[NumL]],T_TraitDi[#Data],COLUMN(T_TraitDi[Colonne30]),FALSE),""),"[hh]:mm"))</f>
        <v>#N/A</v>
      </c>
      <c r="BG23" s="284" t="e">
        <f>IF(VLOOKUP(T_Convention[[#This Row],[NumL]],T_TraitDi[#Data],COLUMN(T_TraitDi[Colonne31]),FALSE)=0,"",TEXT(IFERROR(VLOOKUP(T_Convention[[#This Row],[NumL]],T_TraitDi[#Data],COLUMN(T_TraitDi[Colonne31]),FALSE),""),"[hh]:mm"))</f>
        <v>#N/A</v>
      </c>
      <c r="BH23" s="284" t="e">
        <f>IF(VLOOKUP(T_Convention[[#This Row],[NumL]],T_TraitDi[#Data],COLUMN(T_TraitDi[Colonne32]),FALSE)=0,"",TEXT(IFERROR(VLOOKUP(T_Convention[[#This Row],[NumL]],T_TraitDi[#Data],COLUMN(T_TraitDi[Colonne32]),FALSE),""),"[hh]:mm"))</f>
        <v>#N/A</v>
      </c>
      <c r="BI23" s="284" t="str">
        <f>IFERROR(VLOOKUP(T_Convention[[#This Row],[NumL]],T_TraitDi[#Data],COLUMN(T_TraitDi[NbJTW]),FALSE),"")</f>
        <v/>
      </c>
      <c r="BJ23" s="284" t="e">
        <f>IF(VLOOKUP(T_Convention[[#This Row],[NumL]],T_TraitDi[#Data],COLUMN(T_TraitDi[NbhTW]),FALSE)=0,"",TEXT(IFERROR(VLOOKUP(T_Convention[[#This Row],[NumL]],T_TraitDi[#Data],COLUMN(T_TraitDi[NbhTW]),FALSE),""),"[hh]:mm"))</f>
        <v>#N/A</v>
      </c>
      <c r="BK23" s="286" t="e">
        <f>IF(VLOOKUP(T_Convention[[#This Row],[NumL]],T_TraitDi[#Data],COLUMN(T_TraitDi[Nbhheb]),FALSE)=0,"",TEXT(IFERROR(VLOOKUP(T_Convention[[#This Row],[NumL]],T_TraitDi[#Data],COLUMN(T_TraitDi[Nbhheb]),FALSE),""),"[hh]:mm"))</f>
        <v>#N/A</v>
      </c>
      <c r="BL23" s="287" t="str">
        <f>IFERROR(VLOOKUP(VLOOKUP(T_Convention[[#This Row],[NumL]],T_TraitDi[#Data],COLUMN(T_TraitDi[Type1]),FALSE),TypeTW,2,FALSE),"")</f>
        <v/>
      </c>
      <c r="BM23" s="288" t="str">
        <f>IFERROR(VLOOKUP(T_Convention[[#This Row],[NumL]],T_TraitDi[#Data],COLUMN(T_TraitDi[Rue1]),FALSE),"")</f>
        <v/>
      </c>
      <c r="BN23" s="289" t="str">
        <f>IFERROR(VLOOKUP(T_Convention[[#This Row],[NumL]],T_TraitDi[#Data],COLUMN(T_TraitDi[CP1]),FALSE),"")</f>
        <v/>
      </c>
      <c r="BO23" s="282" t="str">
        <f>IFERROR(VLOOKUP(T_Convention[[#This Row],[NumL]],T_TraitDi[#Data],COLUMN(T_TraitDi[VILLE1]),FALSE),"")</f>
        <v/>
      </c>
      <c r="BP23" s="290" t="str">
        <f>IFERROR(VLOOKUP(VLOOKUP(T_Convention[[#This Row],[NumL]],T_TraitDi[#Data],COLUMN(T_TraitDi[Type2]),FALSE),TypeTW,2,FALSE),"")</f>
        <v/>
      </c>
      <c r="BQ23" s="182" t="str">
        <f>IFERROR(VLOOKUP(T_Convention[[#This Row],[NumL]],T_TraitDi[#Data],COLUMN(T_TraitDi[Rue2]),FALSE),"")</f>
        <v/>
      </c>
      <c r="BR23" s="173" t="str">
        <f>IFERROR(VLOOKUP(T_Convention[[#This Row],[NumL]],T_TraitDi[#Data],COLUMN(T_TraitDi[CP2]),FALSE),"")</f>
        <v/>
      </c>
      <c r="BS23" s="173" t="str">
        <f>IFERROR(VLOOKUP(T_Convention[[#This Row],[NumL]],T_TraitDi[#Data],COLUMN(T_TraitDi[VILLE2]),FALSE),"")</f>
        <v/>
      </c>
      <c r="BT23" s="313" t="str">
        <f>IF(VLOOKUP(T_Convention[[#This Row],[NumL]],T_Equipement[#Data],COLUMN(T_Equipement[PC]),FALSE)="","Aucun équipement spécifique directement lié au télétravail",VLOOKUP(T_Convention[[#This Row],[NumL]],T_Equipement[#Data],COLUMN(T_Equipement[PC]),FALSE))</f>
        <v xml:space="preserve">20-089	</v>
      </c>
      <c r="BU23" s="296" t="str">
        <f>IFERROR(IF(VLOOKUP(T_Convention[[#This Row],[NumL]],T_TraitDi[#Data],COLUMN(T_TraitDi[Plan]),FALSE)="OK","Un planning spécifique de télétravail est annexé à la présente convention.",""),"")</f>
        <v/>
      </c>
      <c r="BV23" s="185" t="s">
        <v>3292</v>
      </c>
      <c r="BW23" s="164" t="e">
        <f>IF(VLOOKUP(T_Convention[[#This Row],[NumL]],T_suiviDi[#Data],COLUMN(T_suiviDi[Entité]),FALSE)="","",VLOOKUP(T_Convention[[#This Row],[NumL]],T_suiviDi[#Data],COLUMN(T_suiviDi[Entité]),FALSE))</f>
        <v>#N/A</v>
      </c>
      <c r="BX23" s="164" t="str">
        <f>IF(VLOOKUP(T_Convention[[#This Row],[NumL]],T_Commission[#Data],COLUMN(T_Commission[envoi confirm TW]),FALSE)="","",VLOOKUP(T_Convention[[#This Row],[NumL]],T_Commission[#Data],COLUMN(T_Commission[envoi confirm TW]),FALSE))</f>
        <v>Oui</v>
      </c>
      <c r="BY2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 s="264">
        <f>VLOOKUP(T_Convention[[#This Row],[NumL]],T_Commission[#Data],COLUMN(T_Commission[Commentaire]),FALSE)</f>
        <v>0</v>
      </c>
      <c r="CA23" s="254" t="str">
        <f>IF(VLOOKUP(T_Convention[[#This Row],[NumL]],T_Commission[#Data],COLUMN(T_Commission[Encadrant Email]),FALSE)="","",VLOOKUP(T_Convention[[#This Row],[NumL]],T_Commission[#Data],COLUMN(T_Commission[Encadrant Email]),FALSE))</f>
        <v/>
      </c>
      <c r="CB23" s="352" t="e">
        <f>VLOOKUP(T_Convention[[#This Row],[NumL]],T_TraitDi[#Data],COLUMN(T_TraitDi[NbJTot]),FALSE)</f>
        <v>#N/A</v>
      </c>
      <c r="CC23" s="352" t="e">
        <f>VLOOKUP(T_Convention[[#This Row],[NumL]],T_TraitDi[#Data],COLUMN(T_TraitDi[Reg Ponct]),FALSE)</f>
        <v>#N/A</v>
      </c>
      <c r="CD23" s="348" t="str">
        <f>IF(T_Convention[[#This Row],[Final]]&lt;&gt;"",VLOOKUP(T_Convention[[#This Row],[NumL]],T_suiviDi[#Data],COLUMN((T_suiviDi[Statut])),FALSE),"")</f>
        <v/>
      </c>
    </row>
    <row r="24" spans="1:82" s="106" customFormat="1" ht="18.75" customHeight="1" x14ac:dyDescent="0.25">
      <c r="A24" s="90">
        <v>315</v>
      </c>
      <c r="B24" s="281" t="str">
        <f>VLOOKUP(T_Convention[[#This Row],[NumL]],T_Commission[#Data],COLUMN(T_Commission[FINAL]),FALSE)</f>
        <v/>
      </c>
      <c r="C24" s="309"/>
      <c r="D24" s="95" t="e">
        <f>IF(VLOOKUP(T_Convention[[#This Row],[NumL]],T_TraitDi[#Data],COLUMN(T_TraitDi[WebC]),FALSE)="","",VLOOKUP(T_Convention[[#This Row],[NumL]],T_TraitDi[#Data],COLUMN(T_TraitDi[WebC]),FALSE))</f>
        <v>#N/A</v>
      </c>
      <c r="E24" s="95" t="str">
        <f t="shared" si="0"/>
        <v>12 janvier 2021</v>
      </c>
      <c r="F24" s="282" t="str">
        <f>IF(T_Convention[[#This Row],[Final]]&lt;&gt;"",VLOOKUP(T_Convention[[#This Row],[NumL]],T_suiviDi[#Data],COLUMN((T_suiviDi[Civ.])),FALSE),"")</f>
        <v/>
      </c>
      <c r="G24" s="283" t="str">
        <f>IF(T_Convention[[#This Row],[Final]]&lt;&gt;"",VLOOKUP(T_Convention[[#This Row],[NumL]],T_suiviDi[#Data],COLUMN((T_suiviDi[Nom])),FALSE),"")</f>
        <v/>
      </c>
      <c r="H24" s="282" t="str">
        <f>IF(T_Convention[[#This Row],[Final]]&lt;&gt;"",VLOOKUP(T_Convention[[#This Row],[NumL]],T_suiviDi[#Data],COLUMN((T_suiviDi[Prénom])),FALSE),"")</f>
        <v/>
      </c>
      <c r="I24" s="282" t="e">
        <f>VLOOKUP(T_Convention[[#This Row],[NumL]],T_suiviDi[#Data],COLUMN((T_suiviDi[[#This Row],[Email]])),FALSE)</f>
        <v>#N/A</v>
      </c>
      <c r="J24" s="282" t="e">
        <f>IF(VLOOKUP(T_Convention[[#This Row],[NumL]],T_suiviDi[#Data],COLUMN(T_suiviDi[[#This Row],[Fonction]]),FALSE)="","",VLOOKUP(T_Convention[[#This Row],[NumL]],T_suiviDi[#Data],COLUMN(T_suiviDi[[#This Row],[Fonction]]),FALSE))</f>
        <v>#N/A</v>
      </c>
      <c r="K24" s="282" t="e">
        <f>IF(VLOOKUP(T_Convention[[#This Row],[NumL]],T_suiviDi[#Data],COLUMN(T_suiviDi[[#This Row],[Grade]]),FALSE)="","",VLOOKUP(T_Convention[[#This Row],[NumL]],T_suiviDi[#Data],COLUMN(T_suiviDi[[#This Row],[Grade]]),FALSE))</f>
        <v>#N/A</v>
      </c>
      <c r="L24" s="282" t="e">
        <f>IF(VLOOKUP(T_Convention[[#This Row],[NumL]],T_suiviDi[#Data],COLUMN(T_suiviDi[[#This Row],[Service ]]),FALSE)="","",VLOOKUP(T_Convention[[#This Row],[NumL]],T_suiviDi[#Data],COLUMN(T_suiviDi[[#This Row],[Service ]]),FALSE))</f>
        <v>#N/A</v>
      </c>
      <c r="M24" s="282" t="str">
        <f t="shared" si="1"/>
        <v>01 septembre 2021</v>
      </c>
      <c r="N24" s="282" t="str">
        <f t="shared" si="2"/>
        <v>30 novembre 2021</v>
      </c>
      <c r="O24" s="284" t="str">
        <f t="shared" si="3"/>
        <v>30 novembre 2021</v>
      </c>
      <c r="P24" s="282" t="e">
        <f>IF(VLOOKUP(T_Convention[[#This Row],[NumL]],T_TraitDi[#Data],COLUMN(T_TraitDi[M1]),FALSE)="","",VLOOKUP(T_Convention[[#This Row],[NumL]],T_TraitDi[#Data],COLUMN(T_TraitDi[M1]),FALSE))</f>
        <v>#N/A</v>
      </c>
      <c r="Q24" s="282" t="e">
        <f>IF(VLOOKUP(T_Convention[[#This Row],[NumL]],T_TraitDi[#Data],COLUMN(T_TraitDi[M2]),FALSE)="","",VLOOKUP(T_Convention[[#This Row],[NumL]],T_TraitDi[#Data],COLUMN(T_TraitDi[M2]),FALSE))</f>
        <v>#N/A</v>
      </c>
      <c r="R24" s="282" t="e">
        <f>IF(VLOOKUP(T_Convention[[#This Row],[NumL]],T_TraitDi[#Data],COLUMN(T_TraitDi[M3]),FALSE)="","",VLOOKUP(T_Convention[[#This Row],[NumL]],T_TraitDi[#Data],COLUMN(T_TraitDi[M3]),FALSE))</f>
        <v>#N/A</v>
      </c>
      <c r="S24" s="282" t="e">
        <f>IF(VLOOKUP(T_Convention[[#This Row],[NumL]],T_TraitDi[#Data],COLUMN(T_TraitDi[M4]),FALSE)="","",VLOOKUP(T_Convention[[#This Row],[NumL]],T_TraitDi[#Data],COLUMN(T_TraitDi[M4]),FALSE))</f>
        <v>#N/A</v>
      </c>
      <c r="T24" s="282" t="e">
        <f>IF(VLOOKUP(T_Convention[[#This Row],[NumL]],T_TraitDi[#Data],COLUMN(T_TraitDi[M5]),FALSE)="","",VLOOKUP(T_Convention[[#This Row],[NumL]],T_TraitDi[#Data],COLUMN(T_TraitDi[M5]),FALSE))</f>
        <v>#N/A</v>
      </c>
      <c r="U24" s="282" t="e">
        <f>IF(VLOOKUP(T_Convention[[#This Row],[NumL]],T_TraitDi[#Data],COLUMN(T_TraitDi[M6]),FALSE)="","",VLOOKUP(T_Convention[[#This Row],[NumL]],T_TraitDi[#Data],COLUMN(T_TraitDi[M6]),FALSE))</f>
        <v>#N/A</v>
      </c>
      <c r="V24" s="282" t="e">
        <f t="shared" si="4"/>
        <v>#N/A</v>
      </c>
      <c r="W24" s="284" t="str">
        <f>IFERROR(TEXT(VLOOKUP(T_Convention[[#This Row],[NumL]],T_TraitDi[#Data],COLUMN(T_TraitDi[Q2]),FALSE),"###%"),"")</f>
        <v/>
      </c>
      <c r="X24" s="285" t="e">
        <f>VLOOKUP(T_Convention[[#This Row],[NumL]],T_TraitDi[#Data],COLUMN(T_TraitDi[Reg Ponct]),FALSE)</f>
        <v>#N/A</v>
      </c>
      <c r="Y24" s="285" t="e">
        <f>VLOOKUP(T_Convention[NumL],T_TraitDi[#Data],COLUMN(T_TraitDi[Jours flottants]),FALSE)</f>
        <v>#N/A</v>
      </c>
      <c r="Z24" s="284" t="str">
        <f>IFERROR(VLOOKUP(T_Convention[[#This Row],[NumL]],T_TraitDi[#Data],COLUMN(T_TraitDi[Lundi]),FALSE),"")</f>
        <v/>
      </c>
      <c r="AA24" s="284" t="e">
        <f>IF(VLOOKUP(T_Convention[[#This Row],[NumL]],T_TraitDi[#Data],COLUMN(T_TraitDi[Colonne3]),FALSE)=0,"",TEXT(IFERROR(VLOOKUP(T_Convention[[#This Row],[NumL]],T_TraitDi[#Data],COLUMN(T_TraitDi[Colonne3]),FALSE),""),"[hh]:mm"))</f>
        <v>#N/A</v>
      </c>
      <c r="AB24" s="284" t="e">
        <f>IF(VLOOKUP(T_Convention[[#This Row],[NumL]],T_TraitDi[#Data],COLUMN(T_TraitDi[Colonne4]),FALSE)=0,"",TEXT(IFERROR(VLOOKUP(T_Convention[[#This Row],[NumL]],T_TraitDi[#Data],COLUMN(T_TraitDi[Colonne4]),FALSE),""),"[hh]:mm"))</f>
        <v>#N/A</v>
      </c>
      <c r="AC24" s="284" t="e">
        <f>IF(VLOOKUP(T_Convention[[#This Row],[NumL]],T_TraitDi[#Data],COLUMN(T_TraitDi[Colonne5]),FALSE)=0,"",TEXT(IFERROR(VLOOKUP(T_Convention[[#This Row],[NumL]],T_TraitDi[#Data],COLUMN(T_TraitDi[Colonne5]),FALSE),""),"[hh]:mm"))</f>
        <v>#N/A</v>
      </c>
      <c r="AD24" s="284" t="e">
        <f>IF(VLOOKUP(T_Convention[[#This Row],[NumL]],T_TraitDi[#Data],COLUMN(T_TraitDi[Colonne6]),FALSE)=0,"",TEXT(IFERROR(VLOOKUP(T_Convention[[#This Row],[NumL]],T_TraitDi[#Data],COLUMN(T_TraitDi[Colonne6]),FALSE),""),"[hh]:mm"))</f>
        <v>#N/A</v>
      </c>
      <c r="AE24" s="284" t="e">
        <f>IF(VLOOKUP(T_Convention[[#This Row],[NumL]],T_TraitDi[#Data],COLUMN(T_TraitDi[Colonne7]),FALSE)=0,"",TEXT(IFERROR(VLOOKUP(T_Convention[[#This Row],[NumL]],T_TraitDi[#Data],COLUMN(T_TraitDi[Colonne7]),FALSE),""),"[hh]:mm"))</f>
        <v>#N/A</v>
      </c>
      <c r="AF24" s="284" t="e">
        <f>IF(VLOOKUP(T_Convention[[#This Row],[NumL]],T_TraitDi[#Data],COLUMN(T_TraitDi[Colonne8]),FALSE)=0,"",TEXT(IFERROR(VLOOKUP(T_Convention[[#This Row],[NumL]],T_TraitDi[#Data],COLUMN(T_TraitDi[Colonne8]),FALSE),""),"[hh]:mm"))</f>
        <v>#N/A</v>
      </c>
      <c r="AG24" s="284" t="str">
        <f>IFERROR(VLOOKUP(T_Convention[[#This Row],[NumL]],T_TraitDi[#Data],COLUMN(T_TraitDi[Mardi]),FALSE),"")</f>
        <v/>
      </c>
      <c r="AH24" s="284" t="e">
        <f>IF(VLOOKUP(T_Convention[[#This Row],[NumL]],T_TraitDi[#Data],COLUMN(T_TraitDi[Colonne1]),FALSE)=0,"",TEXT(IFERROR(VLOOKUP(T_Convention[[#This Row],[NumL]],T_TraitDi[#Data],COLUMN(T_TraitDi[Colonne1]),FALSE),""),"[hh]:mm"))</f>
        <v>#N/A</v>
      </c>
      <c r="AI24" s="284" t="e">
        <f>IF(VLOOKUP(T_Convention[[#This Row],[NumL]],T_TraitDi[#Data],COLUMN(T_TraitDi[Colonne9]),FALSE)=0,"",TEXT(IFERROR(VLOOKUP(T_Convention[[#This Row],[NumL]],T_TraitDi[#Data],COLUMN(T_TraitDi[Colonne9]),FALSE),""),"[hh]:mm"))</f>
        <v>#N/A</v>
      </c>
      <c r="AJ24" s="284" t="str">
        <f>IFERROR(VLOOKUP(T_Convention[[#This Row],[NumL]],T_TraitDi[#Data],COLUMN(T_TraitDi[Colonne10]),FALSE),"")</f>
        <v/>
      </c>
      <c r="AK24" s="284" t="e">
        <f>IF(VLOOKUP(T_Convention[[#This Row],[NumL]],T_TraitDi[#Data],COLUMN(T_TraitDi[Colonne11]),FALSE)=0,"",TEXT(IFERROR(VLOOKUP(T_Convention[[#This Row],[NumL]],T_TraitDi[#Data],COLUMN(T_TraitDi[Colonne11]),FALSE),""),"[hh]:mm"))</f>
        <v>#N/A</v>
      </c>
      <c r="AL24" s="284" t="e">
        <f>IF(VLOOKUP(T_Convention[[#This Row],[NumL]],T_TraitDi[#Data],COLUMN(T_TraitDi[Colonne12]),FALSE)=0,"",TEXT(IFERROR(VLOOKUP(T_Convention[[#This Row],[NumL]],T_TraitDi[#Data],COLUMN(T_TraitDi[Colonne12]),FALSE),""),"[hh]:mm"))</f>
        <v>#N/A</v>
      </c>
      <c r="AM24" s="284" t="e">
        <f>IF(VLOOKUP(T_Convention[[#This Row],[NumL]],T_TraitDi[#Data],COLUMN(T_TraitDi[Colonne14]),FALSE)=0,"",TEXT(IFERROR(VLOOKUP(T_Convention[[#This Row],[NumL]],T_TraitDi[#Data],COLUMN(T_TraitDi[Colonne14]),FALSE),""),"[hh]:mm"))</f>
        <v>#N/A</v>
      </c>
      <c r="AN24" s="284" t="str">
        <f>IFERROR(VLOOKUP(T_Convention[[#This Row],[NumL]],T_TraitDi[#Data],COLUMN(T_TraitDi[Mercredi]),FALSE),"")</f>
        <v/>
      </c>
      <c r="AO24" s="284" t="e">
        <f>IF(VLOOKUP(T_Convention[[#This Row],[NumL]],T_TraitDi[#Data],COLUMN(T_TraitDi[Colonne15]),FALSE)=0,"",TEXT(IFERROR(VLOOKUP(T_Convention[[#This Row],[NumL]],T_TraitDi[#Data],COLUMN(T_TraitDi[Colonne15]),FALSE),""),"[hh]:mm"))</f>
        <v>#N/A</v>
      </c>
      <c r="AP24" s="284" t="e">
        <f>IF(VLOOKUP(T_Convention[[#This Row],[NumL]],T_TraitDi[#Data],COLUMN(T_TraitDi[Colonne16]),FALSE)=0,"",TEXT(IFERROR(VLOOKUP(T_Convention[[#This Row],[NumL]],T_TraitDi[#Data],COLUMN(T_TraitDi[Colonne16]),FALSE),""),"[hh]:mm"))</f>
        <v>#N/A</v>
      </c>
      <c r="AQ24" s="284" t="str">
        <f>IFERROR(VLOOKUP(T_Convention[[#This Row],[NumL]],T_TraitDi[#Data],COLUMN(T_TraitDi[Colonne17]),FALSE),"")</f>
        <v/>
      </c>
      <c r="AR24" s="284" t="e">
        <f>IF(VLOOKUP(T_Convention[[#This Row],[NumL]],T_TraitDi[#Data],COLUMN(T_TraitDi[Colonne18]),FALSE)=0,"",TEXT(IFERROR(VLOOKUP(T_Convention[[#This Row],[NumL]],T_TraitDi[#Data],COLUMN(T_TraitDi[Colonne18]),FALSE),""),"[hh]:mm"))</f>
        <v>#N/A</v>
      </c>
      <c r="AS24" s="284" t="e">
        <f>IF(VLOOKUP(T_Convention[[#This Row],[NumL]],T_TraitDi[#Data],COLUMN(T_TraitDi[Colonne19]),FALSE)=0,"",TEXT(IFERROR(VLOOKUP(T_Convention[[#This Row],[NumL]],T_TraitDi[#Data],COLUMN(T_TraitDi[Colonne19]),FALSE),""),"[hh]:mm"))</f>
        <v>#N/A</v>
      </c>
      <c r="AT24" s="284" t="e">
        <f>IF(VLOOKUP(T_Convention[[#This Row],[NumL]],T_TraitDi[#Data],COLUMN(T_TraitDi[Colonne20]),FALSE)=0,"",TEXT(IFERROR(VLOOKUP(T_Convention[[#This Row],[NumL]],T_TraitDi[#Data],COLUMN(T_TraitDi[Colonne20]),FALSE),""),"[hh]:mm"))</f>
        <v>#N/A</v>
      </c>
      <c r="AU24" s="284" t="str">
        <f>IFERROR(VLOOKUP(T_Convention[[#This Row],[NumL]],T_TraitDi[#Data],COLUMN(T_TraitDi[Jeudi]),FALSE),"")</f>
        <v/>
      </c>
      <c r="AV24" s="284" t="e">
        <f>IF(VLOOKUP(T_Convention[[#This Row],[NumL]],T_TraitDi[#Data],COLUMN(T_TraitDi[Colonne21]),FALSE)=0,"",TEXT(IFERROR(VLOOKUP(T_Convention[[#This Row],[NumL]],T_TraitDi[#Data],COLUMN(T_TraitDi[Colonne21]),FALSE),""),"[hh]:mm"))</f>
        <v>#N/A</v>
      </c>
      <c r="AW24" s="284" t="e">
        <f>IF(VLOOKUP(T_Convention[[#This Row],[NumL]],T_TraitDi[#Data],COLUMN(T_TraitDi[Colonne22]),FALSE)=0,"",TEXT(IFERROR(VLOOKUP(T_Convention[[#This Row],[NumL]],T_TraitDi[#Data],COLUMN(T_TraitDi[Colonne22]),FALSE),""),"[hh]:mm"))</f>
        <v>#N/A</v>
      </c>
      <c r="AX24" s="284" t="str">
        <f>IFERROR(VLOOKUP(T_Convention[[#This Row],[NumL]],T_TraitDi[#Data],COLUMN(T_TraitDi[Colonne23]),FALSE),"")</f>
        <v/>
      </c>
      <c r="AY24" s="284" t="e">
        <f>IF(VLOOKUP(T_Convention[[#This Row],[NumL]],T_TraitDi[#Data],COLUMN(T_TraitDi[Colonne24]),FALSE)=0,"",TEXT(IFERROR(VLOOKUP(T_Convention[[#This Row],[NumL]],T_TraitDi[#Data],COLUMN(T_TraitDi[Colonne24]),FALSE),""),"[hh]:mm"))</f>
        <v>#N/A</v>
      </c>
      <c r="AZ24" s="284" t="e">
        <f>IF(VLOOKUP(T_Convention[[#This Row],[NumL]],T_TraitDi[#Data],COLUMN(T_TraitDi[Colonne25]),FALSE)=0,"",TEXT(IFERROR(VLOOKUP(T_Convention[[#This Row],[NumL]],T_TraitDi[#Data],COLUMN(T_TraitDi[Colonne25]),FALSE),""),"[hh]:mm"))</f>
        <v>#N/A</v>
      </c>
      <c r="BA24" s="284" t="e">
        <f>IF(VLOOKUP(T_Convention[[#This Row],[NumL]],T_TraitDi[#Data],COLUMN(T_TraitDi[Colonne26]),FALSE)=0,"",TEXT(IFERROR(VLOOKUP(T_Convention[[#This Row],[NumL]],T_TraitDi[#Data],COLUMN(T_TraitDi[Colonne26]),FALSE),""),"[hh]:mm"))</f>
        <v>#N/A</v>
      </c>
      <c r="BB24" s="284" t="str">
        <f>IFERROR(VLOOKUP(T_Convention[[#This Row],[NumL]],T_TraitDi[#Data],COLUMN(T_TraitDi[Vendredi]),FALSE),"")</f>
        <v/>
      </c>
      <c r="BC24" s="284" t="e">
        <f>IF(VLOOKUP(T_Convention[[#This Row],[NumL]],T_TraitDi[#Data],COLUMN(T_TraitDi[Colonne27]),FALSE)=0,"",TEXT(IFERROR(VLOOKUP(T_Convention[[#This Row],[NumL]],T_TraitDi[#Data],COLUMN(T_TraitDi[Colonne27]),FALSE),""),"[hh]:mm"))</f>
        <v>#N/A</v>
      </c>
      <c r="BD24" s="284" t="e">
        <f>IF(VLOOKUP(T_Convention[[#This Row],[NumL]],T_TraitDi[#Data],COLUMN(T_TraitDi[Colonne28]),FALSE)=0,"",TEXT(IFERROR(VLOOKUP(T_Convention[[#This Row],[NumL]],T_TraitDi[#Data],COLUMN(T_TraitDi[Colonne28]),FALSE),""),"[hh]:mm"))</f>
        <v>#N/A</v>
      </c>
      <c r="BE24" s="284" t="str">
        <f>IFERROR(VLOOKUP(T_Convention[[#This Row],[NumL]],T_TraitDi[#Data],COLUMN(T_TraitDi[Colonne29]),FALSE),"")</f>
        <v/>
      </c>
      <c r="BF24" s="284" t="e">
        <f>IF(VLOOKUP(T_Convention[[#This Row],[NumL]],T_TraitDi[#Data],COLUMN(T_TraitDi[Colonne30]),FALSE)=0,"",TEXT(IFERROR(VLOOKUP(T_Convention[[#This Row],[NumL]],T_TraitDi[#Data],COLUMN(T_TraitDi[Colonne30]),FALSE),""),"[hh]:mm"))</f>
        <v>#N/A</v>
      </c>
      <c r="BG24" s="284" t="e">
        <f>IF(VLOOKUP(T_Convention[[#This Row],[NumL]],T_TraitDi[#Data],COLUMN(T_TraitDi[Colonne31]),FALSE)=0,"",TEXT(IFERROR(VLOOKUP(T_Convention[[#This Row],[NumL]],T_TraitDi[#Data],COLUMN(T_TraitDi[Colonne31]),FALSE),""),"[hh]:mm"))</f>
        <v>#N/A</v>
      </c>
      <c r="BH24" s="284" t="e">
        <f>IF(VLOOKUP(T_Convention[[#This Row],[NumL]],T_TraitDi[#Data],COLUMN(T_TraitDi[Colonne32]),FALSE)=0,"",TEXT(IFERROR(VLOOKUP(T_Convention[[#This Row],[NumL]],T_TraitDi[#Data],COLUMN(T_TraitDi[Colonne32]),FALSE),""),"[hh]:mm"))</f>
        <v>#N/A</v>
      </c>
      <c r="BI24" s="284" t="str">
        <f>IFERROR(VLOOKUP(T_Convention[[#This Row],[NumL]],T_TraitDi[#Data],COLUMN(T_TraitDi[NbJTW]),FALSE),"")</f>
        <v/>
      </c>
      <c r="BJ24" s="284" t="e">
        <f>IF(VLOOKUP(T_Convention[[#This Row],[NumL]],T_TraitDi[#Data],COLUMN(T_TraitDi[NbhTW]),FALSE)=0,"",TEXT(IFERROR(VLOOKUP(T_Convention[[#This Row],[NumL]],T_TraitDi[#Data],COLUMN(T_TraitDi[NbhTW]),FALSE),""),"[hh]:mm"))</f>
        <v>#N/A</v>
      </c>
      <c r="BK24" s="315" t="e">
        <f>IF(VLOOKUP(T_Convention[[#This Row],[NumL]],T_TraitDi[#Data],COLUMN(T_TraitDi[Nbhheb]),FALSE)=0,"",TEXT(IFERROR(VLOOKUP(T_Convention[[#This Row],[NumL]],T_TraitDi[#Data],COLUMN(T_TraitDi[Nbhheb]),FALSE),""),"[hh]:mm"))</f>
        <v>#N/A</v>
      </c>
      <c r="BL24" s="287" t="str">
        <f>IFERROR(VLOOKUP(VLOOKUP(T_Convention[[#This Row],[NumL]],T_TraitDi[#Data],COLUMN(T_TraitDi[Type1]),FALSE),TypeTW,2,FALSE),"")</f>
        <v/>
      </c>
      <c r="BM24" s="288" t="str">
        <f>IFERROR(VLOOKUP(T_Convention[[#This Row],[NumL]],T_TraitDi[#Data],COLUMN(T_TraitDi[Rue1]),FALSE),"")</f>
        <v/>
      </c>
      <c r="BN24" s="289" t="str">
        <f>IFERROR(VLOOKUP(T_Convention[[#This Row],[NumL]],T_TraitDi[#Data],COLUMN(T_TraitDi[CP1]),FALSE),"")</f>
        <v/>
      </c>
      <c r="BO24" s="282" t="str">
        <f>IFERROR(VLOOKUP(T_Convention[[#This Row],[NumL]],T_TraitDi[#Data],COLUMN(T_TraitDi[VILLE1]),FALSE),"")</f>
        <v/>
      </c>
      <c r="BP24" s="290" t="str">
        <f>IFERROR(VLOOKUP(VLOOKUP(T_Convention[[#This Row],[NumL]],T_TraitDi[#Data],COLUMN(T_TraitDi[Type2]),FALSE),TypeTW,2,FALSE),"")</f>
        <v/>
      </c>
      <c r="BQ24" s="310" t="str">
        <f>IFERROR(VLOOKUP(T_Convention[[#This Row],[NumL]],T_TraitDi[#Data],COLUMN(T_TraitDi[Rue2]),FALSE),"")</f>
        <v/>
      </c>
      <c r="BR24" s="290" t="str">
        <f>IFERROR(VLOOKUP(T_Convention[[#This Row],[NumL]],T_TraitDi[#Data],COLUMN(T_TraitDi[CP2]),FALSE),"")</f>
        <v/>
      </c>
      <c r="BS24" s="290" t="str">
        <f>IFERROR(VLOOKUP(T_Convention[[#This Row],[NumL]],T_TraitDi[#Data],COLUMN(T_TraitDi[VILLE2]),FALSE),"")</f>
        <v/>
      </c>
      <c r="BT24" s="329"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4" s="329" t="str">
        <f>IFERROR(IF(VLOOKUP(T_Convention[[#This Row],[NumL]],T_TraitDi[#Data],COLUMN(T_TraitDi[Plan]),FALSE)="OK","Un planning spécifique de télétravail est annexé à la présente convention.",""),"")</f>
        <v/>
      </c>
      <c r="BV24" s="291"/>
      <c r="BW24" s="292" t="e">
        <f>IF(VLOOKUP(T_Convention[[#This Row],[NumL]],T_suiviDi[#Data],COLUMN(T_suiviDi[Entité]),FALSE)="","",VLOOKUP(T_Convention[[#This Row],[NumL]],T_suiviDi[#Data],COLUMN(T_suiviDi[Entité]),FALSE))</f>
        <v>#N/A</v>
      </c>
      <c r="BX24" s="311" t="str">
        <f>IF(VLOOKUP(T_Convention[[#This Row],[NumL]],T_Commission[#Data],COLUMN(T_Commission[envoi confirm TW]),FALSE)="","",VLOOKUP(T_Convention[[#This Row],[NumL]],T_Commission[#Data],COLUMN(T_Commission[envoi confirm TW]),FALSE))</f>
        <v>Oui</v>
      </c>
      <c r="BY2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 s="265">
        <f>VLOOKUP(T_Convention[[#This Row],[NumL]],T_Commission[#Data],COLUMN(T_Commission[Commentaire]),FALSE)</f>
        <v>0</v>
      </c>
      <c r="CA24" s="255" t="str">
        <f>IF(VLOOKUP(T_Convention[[#This Row],[NumL]],T_Commission[#Data],COLUMN(T_Commission[Encadrant Email]),FALSE)="","",VLOOKUP(T_Convention[[#This Row],[NumL]],T_Commission[#Data],COLUMN(T_Commission[Encadrant Email]),FALSE))</f>
        <v/>
      </c>
      <c r="CB24" s="352" t="e">
        <f>VLOOKUP(T_Convention[[#This Row],[NumL]],T_TraitDi[#Data],COLUMN(T_TraitDi[NbJTot]),FALSE)</f>
        <v>#N/A</v>
      </c>
      <c r="CC24" s="352" t="e">
        <f>VLOOKUP(T_Convention[[#This Row],[NumL]],T_TraitDi[#Data],COLUMN(T_TraitDi[Reg Ponct]),FALSE)</f>
        <v>#N/A</v>
      </c>
      <c r="CD24" s="348" t="str">
        <f>IF(T_Convention[[#This Row],[Final]]&lt;&gt;"",VLOOKUP(T_Convention[[#This Row],[NumL]],T_suiviDi[#Data],COLUMN((T_suiviDi[Statut])),FALSE),"")</f>
        <v/>
      </c>
    </row>
    <row r="25" spans="1:82" s="106" customFormat="1" ht="18.75" customHeight="1" x14ac:dyDescent="0.25">
      <c r="A25" s="90">
        <v>168</v>
      </c>
      <c r="B25" s="161" t="str">
        <f>VLOOKUP(T_Convention[[#This Row],[NumL]],T_Commission[#Data],COLUMN(T_Commission[FINAL]),FALSE)</f>
        <v/>
      </c>
      <c r="C25" s="309"/>
      <c r="D25" s="95" t="e">
        <f>IF(VLOOKUP(T_Convention[[#This Row],[NumL]],T_TraitDi[#Data],COLUMN(T_TraitDi[WebC]),FALSE)="","",VLOOKUP(T_Convention[[#This Row],[NumL]],T_TraitDi[#Data],COLUMN(T_TraitDi[WebC]),FALSE))</f>
        <v>#N/A</v>
      </c>
      <c r="E25" s="95" t="str">
        <f t="shared" si="0"/>
        <v>12 janvier 2021</v>
      </c>
      <c r="F25" s="282" t="str">
        <f>IF(T_Convention[[#This Row],[Final]]&lt;&gt;"",VLOOKUP(T_Convention[[#This Row],[NumL]],T_suiviDi[#Data],COLUMN((T_suiviDi[Civ.])),FALSE),"")</f>
        <v/>
      </c>
      <c r="G25" s="283" t="str">
        <f>IF(T_Convention[[#This Row],[Final]]&lt;&gt;"",VLOOKUP(T_Convention[[#This Row],[NumL]],T_suiviDi[#Data],COLUMN((T_suiviDi[Nom])),FALSE),"")</f>
        <v/>
      </c>
      <c r="H25" s="282" t="str">
        <f>IF(T_Convention[[#This Row],[Final]]&lt;&gt;"",VLOOKUP(T_Convention[[#This Row],[NumL]],T_suiviDi[#Data],COLUMN((T_suiviDi[Prénom])),FALSE),"")</f>
        <v/>
      </c>
      <c r="I25" s="282" t="e">
        <f>VLOOKUP(T_Convention[[#This Row],[NumL]],T_suiviDi[#Data],COLUMN((T_suiviDi[[#This Row],[Email]])),FALSE)</f>
        <v>#N/A</v>
      </c>
      <c r="J25" s="282" t="e">
        <f>IF(VLOOKUP(T_Convention[[#This Row],[NumL]],T_suiviDi[#Data],COLUMN(T_suiviDi[[#This Row],[Fonction]]),FALSE)="","",VLOOKUP(T_Convention[[#This Row],[NumL]],T_suiviDi[#Data],COLUMN(T_suiviDi[[#This Row],[Fonction]]),FALSE))</f>
        <v>#N/A</v>
      </c>
      <c r="K25" s="282" t="e">
        <f>IF(VLOOKUP(T_Convention[[#This Row],[NumL]],T_suiviDi[#Data],COLUMN(T_suiviDi[[#This Row],[Grade]]),FALSE)="","",VLOOKUP(T_Convention[[#This Row],[NumL]],T_suiviDi[#Data],COLUMN(T_suiviDi[[#This Row],[Grade]]),FALSE))</f>
        <v>#N/A</v>
      </c>
      <c r="L25" s="282" t="e">
        <f>IF(VLOOKUP(T_Convention[[#This Row],[NumL]],T_suiviDi[#Data],COLUMN(T_suiviDi[[#This Row],[Service ]]),FALSE)="","",VLOOKUP(T_Convention[[#This Row],[NumL]],T_suiviDi[#Data],COLUMN(T_suiviDi[[#This Row],[Service ]]),FALSE))</f>
        <v>#N/A</v>
      </c>
      <c r="M25" s="96" t="str">
        <f t="shared" si="1"/>
        <v>01 septembre 2021</v>
      </c>
      <c r="N25" s="96" t="str">
        <f t="shared" si="2"/>
        <v>30 novembre 2021</v>
      </c>
      <c r="O25" s="284" t="str">
        <f t="shared" si="3"/>
        <v>30 novembre 2021</v>
      </c>
      <c r="P25" s="282" t="e">
        <f>IF(VLOOKUP(T_Convention[[#This Row],[NumL]],T_TraitDi[#Data],COLUMN(T_TraitDi[M1]),FALSE)="","",VLOOKUP(T_Convention[[#This Row],[NumL]],T_TraitDi[#Data],COLUMN(T_TraitDi[M1]),FALSE))</f>
        <v>#N/A</v>
      </c>
      <c r="Q25" s="282" t="e">
        <f>IF(VLOOKUP(T_Convention[[#This Row],[NumL]],T_TraitDi[#Data],COLUMN(T_TraitDi[M2]),FALSE)="","",VLOOKUP(T_Convention[[#This Row],[NumL]],T_TraitDi[#Data],COLUMN(T_TraitDi[M2]),FALSE))</f>
        <v>#N/A</v>
      </c>
      <c r="R25" s="282" t="e">
        <f>IF(VLOOKUP(T_Convention[[#This Row],[NumL]],T_TraitDi[#Data],COLUMN(T_TraitDi[M3]),FALSE)="","",VLOOKUP(T_Convention[[#This Row],[NumL]],T_TraitDi[#Data],COLUMN(T_TraitDi[M3]),FALSE))</f>
        <v>#N/A</v>
      </c>
      <c r="S25" s="282" t="e">
        <f>IF(VLOOKUP(T_Convention[[#This Row],[NumL]],T_TraitDi[#Data],COLUMN(T_TraitDi[M4]),FALSE)="","",VLOOKUP(T_Convention[[#This Row],[NumL]],T_TraitDi[#Data],COLUMN(T_TraitDi[M4]),FALSE))</f>
        <v>#N/A</v>
      </c>
      <c r="T25" s="282" t="e">
        <f>IF(VLOOKUP(T_Convention[[#This Row],[NumL]],T_TraitDi[#Data],COLUMN(T_TraitDi[M5]),FALSE)="","",VLOOKUP(T_Convention[[#This Row],[NumL]],T_TraitDi[#Data],COLUMN(T_TraitDi[M5]),FALSE))</f>
        <v>#N/A</v>
      </c>
      <c r="U25" s="282" t="e">
        <f>IF(VLOOKUP(T_Convention[[#This Row],[NumL]],T_TraitDi[#Data],COLUMN(T_TraitDi[M6]),FALSE)="","",VLOOKUP(T_Convention[[#This Row],[NumL]],T_TraitDi[#Data],COLUMN(T_TraitDi[M6]),FALSE))</f>
        <v>#N/A</v>
      </c>
      <c r="V25" s="312" t="e">
        <f t="shared" si="4"/>
        <v>#N/A</v>
      </c>
      <c r="W25" s="284" t="str">
        <f>IFERROR(TEXT(VLOOKUP(T_Convention[[#This Row],[NumL]],T_TraitDi[#Data],COLUMN(T_TraitDi[Q2]),FALSE),"###%"),"")</f>
        <v/>
      </c>
      <c r="X25" s="97" t="e">
        <f>VLOOKUP(T_Convention[[#This Row],[NumL]],T_TraitDi[#Data],COLUMN(T_TraitDi[Reg Ponct]),FALSE)</f>
        <v>#N/A</v>
      </c>
      <c r="Y25" s="97" t="e">
        <f>VLOOKUP(T_Convention[NumL],T_TraitDi[#Data],COLUMN(T_TraitDi[Jours flottants]),FALSE)</f>
        <v>#N/A</v>
      </c>
      <c r="Z25" s="284" t="str">
        <f>IFERROR(VLOOKUP(T_Convention[[#This Row],[NumL]],T_TraitDi[#Data],COLUMN(T_TraitDi[Lundi]),FALSE),"")</f>
        <v/>
      </c>
      <c r="AA25" s="284" t="e">
        <f>IF(VLOOKUP(T_Convention[[#This Row],[NumL]],T_TraitDi[#Data],COLUMN(T_TraitDi[Colonne3]),FALSE)=0,"",TEXT(IFERROR(VLOOKUP(T_Convention[[#This Row],[NumL]],T_TraitDi[#Data],COLUMN(T_TraitDi[Colonne3]),FALSE),""),"[hh]:mm"))</f>
        <v>#N/A</v>
      </c>
      <c r="AB25" s="284" t="e">
        <f>IF(VLOOKUP(T_Convention[[#This Row],[NumL]],T_TraitDi[#Data],COLUMN(T_TraitDi[Colonne4]),FALSE)=0,"",TEXT(IFERROR(VLOOKUP(T_Convention[[#This Row],[NumL]],T_TraitDi[#Data],COLUMN(T_TraitDi[Colonne4]),FALSE),""),"[hh]:mm"))</f>
        <v>#N/A</v>
      </c>
      <c r="AC25" s="284" t="e">
        <f>IF(VLOOKUP(T_Convention[[#This Row],[NumL]],T_TraitDi[#Data],COLUMN(T_TraitDi[Colonne5]),FALSE)=0,"",TEXT(IFERROR(VLOOKUP(T_Convention[[#This Row],[NumL]],T_TraitDi[#Data],COLUMN(T_TraitDi[Colonne5]),FALSE),""),"[hh]:mm"))</f>
        <v>#N/A</v>
      </c>
      <c r="AD25" s="284" t="e">
        <f>IF(VLOOKUP(T_Convention[[#This Row],[NumL]],T_TraitDi[#Data],COLUMN(T_TraitDi[Colonne6]),FALSE)=0,"",TEXT(IFERROR(VLOOKUP(T_Convention[[#This Row],[NumL]],T_TraitDi[#Data],COLUMN(T_TraitDi[Colonne6]),FALSE),""),"[hh]:mm"))</f>
        <v>#N/A</v>
      </c>
      <c r="AE25" s="284" t="e">
        <f>IF(VLOOKUP(T_Convention[[#This Row],[NumL]],T_TraitDi[#Data],COLUMN(T_TraitDi[Colonne7]),FALSE)=0,"",TEXT(IFERROR(VLOOKUP(T_Convention[[#This Row],[NumL]],T_TraitDi[#Data],COLUMN(T_TraitDi[Colonne7]),FALSE),""),"[hh]:mm"))</f>
        <v>#N/A</v>
      </c>
      <c r="AF25" s="284" t="e">
        <f>IF(VLOOKUP(T_Convention[[#This Row],[NumL]],T_TraitDi[#Data],COLUMN(T_TraitDi[Colonne8]),FALSE)=0,"",TEXT(IFERROR(VLOOKUP(T_Convention[[#This Row],[NumL]],T_TraitDi[#Data],COLUMN(T_TraitDi[Colonne8]),FALSE),""),"[hh]:mm"))</f>
        <v>#N/A</v>
      </c>
      <c r="AG25" s="284" t="str">
        <f>IFERROR(VLOOKUP(T_Convention[[#This Row],[NumL]],T_TraitDi[#Data],COLUMN(T_TraitDi[Mardi]),FALSE),"")</f>
        <v/>
      </c>
      <c r="AH25" s="284" t="e">
        <f>IF(VLOOKUP(T_Convention[[#This Row],[NumL]],T_TraitDi[#Data],COLUMN(T_TraitDi[Colonne1]),FALSE)=0,"",TEXT(IFERROR(VLOOKUP(T_Convention[[#This Row],[NumL]],T_TraitDi[#Data],COLUMN(T_TraitDi[Colonne1]),FALSE),""),"[hh]:mm"))</f>
        <v>#N/A</v>
      </c>
      <c r="AI25" s="284" t="e">
        <f>IF(VLOOKUP(T_Convention[[#This Row],[NumL]],T_TraitDi[#Data],COLUMN(T_TraitDi[Colonne9]),FALSE)=0,"",TEXT(IFERROR(VLOOKUP(T_Convention[[#This Row],[NumL]],T_TraitDi[#Data],COLUMN(T_TraitDi[Colonne9]),FALSE),""),"[hh]:mm"))</f>
        <v>#N/A</v>
      </c>
      <c r="AJ25" s="284" t="str">
        <f>IFERROR(VLOOKUP(T_Convention[[#This Row],[NumL]],T_TraitDi[#Data],COLUMN(T_TraitDi[Colonne10]),FALSE),"")</f>
        <v/>
      </c>
      <c r="AK25" s="284" t="e">
        <f>IF(VLOOKUP(T_Convention[[#This Row],[NumL]],T_TraitDi[#Data],COLUMN(T_TraitDi[Colonne11]),FALSE)=0,"",TEXT(IFERROR(VLOOKUP(T_Convention[[#This Row],[NumL]],T_TraitDi[#Data],COLUMN(T_TraitDi[Colonne11]),FALSE),""),"[hh]:mm"))</f>
        <v>#N/A</v>
      </c>
      <c r="AL25" s="284" t="e">
        <f>IF(VLOOKUP(T_Convention[[#This Row],[NumL]],T_TraitDi[#Data],COLUMN(T_TraitDi[Colonne12]),FALSE)=0,"",TEXT(IFERROR(VLOOKUP(T_Convention[[#This Row],[NumL]],T_TraitDi[#Data],COLUMN(T_TraitDi[Colonne12]),FALSE),""),"[hh]:mm"))</f>
        <v>#N/A</v>
      </c>
      <c r="AM25" s="284" t="e">
        <f>IF(VLOOKUP(T_Convention[[#This Row],[NumL]],T_TraitDi[#Data],COLUMN(T_TraitDi[Colonne14]),FALSE)=0,"",TEXT(IFERROR(VLOOKUP(T_Convention[[#This Row],[NumL]],T_TraitDi[#Data],COLUMN(T_TraitDi[Colonne14]),FALSE),""),"[hh]:mm"))</f>
        <v>#N/A</v>
      </c>
      <c r="AN25" s="284" t="str">
        <f>IFERROR(VLOOKUP(T_Convention[[#This Row],[NumL]],T_TraitDi[#Data],COLUMN(T_TraitDi[Mercredi]),FALSE),"")</f>
        <v/>
      </c>
      <c r="AO25" s="284" t="e">
        <f>IF(VLOOKUP(T_Convention[[#This Row],[NumL]],T_TraitDi[#Data],COLUMN(T_TraitDi[Colonne15]),FALSE)=0,"",TEXT(IFERROR(VLOOKUP(T_Convention[[#This Row],[NumL]],T_TraitDi[#Data],COLUMN(T_TraitDi[Colonne15]),FALSE),""),"[hh]:mm"))</f>
        <v>#N/A</v>
      </c>
      <c r="AP25" s="284" t="e">
        <f>IF(VLOOKUP(T_Convention[[#This Row],[NumL]],T_TraitDi[#Data],COLUMN(T_TraitDi[Colonne16]),FALSE)=0,"",TEXT(IFERROR(VLOOKUP(T_Convention[[#This Row],[NumL]],T_TraitDi[#Data],COLUMN(T_TraitDi[Colonne16]),FALSE),""),"[hh]:mm"))</f>
        <v>#N/A</v>
      </c>
      <c r="AQ25" s="284" t="str">
        <f>IFERROR(VLOOKUP(T_Convention[[#This Row],[NumL]],T_TraitDi[#Data],COLUMN(T_TraitDi[Colonne17]),FALSE),"")</f>
        <v/>
      </c>
      <c r="AR25" s="284" t="e">
        <f>IF(VLOOKUP(T_Convention[[#This Row],[NumL]],T_TraitDi[#Data],COLUMN(T_TraitDi[Colonne18]),FALSE)=0,"",TEXT(IFERROR(VLOOKUP(T_Convention[[#This Row],[NumL]],T_TraitDi[#Data],COLUMN(T_TraitDi[Colonne18]),FALSE),""),"[hh]:mm"))</f>
        <v>#N/A</v>
      </c>
      <c r="AS25" s="284" t="e">
        <f>IF(VLOOKUP(T_Convention[[#This Row],[NumL]],T_TraitDi[#Data],COLUMN(T_TraitDi[Colonne19]),FALSE)=0,"",TEXT(IFERROR(VLOOKUP(T_Convention[[#This Row],[NumL]],T_TraitDi[#Data],COLUMN(T_TraitDi[Colonne19]),FALSE),""),"[hh]:mm"))</f>
        <v>#N/A</v>
      </c>
      <c r="AT25" s="284" t="e">
        <f>IF(VLOOKUP(T_Convention[[#This Row],[NumL]],T_TraitDi[#Data],COLUMN(T_TraitDi[Colonne20]),FALSE)=0,"",TEXT(IFERROR(VLOOKUP(T_Convention[[#This Row],[NumL]],T_TraitDi[#Data],COLUMN(T_TraitDi[Colonne20]),FALSE),""),"[hh]:mm"))</f>
        <v>#N/A</v>
      </c>
      <c r="AU25" s="284" t="str">
        <f>IFERROR(VLOOKUP(T_Convention[[#This Row],[NumL]],T_TraitDi[#Data],COLUMN(T_TraitDi[Jeudi]),FALSE),"")</f>
        <v/>
      </c>
      <c r="AV25" s="284" t="e">
        <f>IF(VLOOKUP(T_Convention[[#This Row],[NumL]],T_TraitDi[#Data],COLUMN(T_TraitDi[Colonne21]),FALSE)=0,"",TEXT(IFERROR(VLOOKUP(T_Convention[[#This Row],[NumL]],T_TraitDi[#Data],COLUMN(T_TraitDi[Colonne21]),FALSE),""),"[hh]:mm"))</f>
        <v>#N/A</v>
      </c>
      <c r="AW25" s="284" t="e">
        <f>IF(VLOOKUP(T_Convention[[#This Row],[NumL]],T_TraitDi[#Data],COLUMN(T_TraitDi[Colonne22]),FALSE)=0,"",TEXT(IFERROR(VLOOKUP(T_Convention[[#This Row],[NumL]],T_TraitDi[#Data],COLUMN(T_TraitDi[Colonne22]),FALSE),""),"[hh]:mm"))</f>
        <v>#N/A</v>
      </c>
      <c r="AX25" s="284" t="str">
        <f>IFERROR(VLOOKUP(T_Convention[[#This Row],[NumL]],T_TraitDi[#Data],COLUMN(T_TraitDi[Colonne23]),FALSE),"")</f>
        <v/>
      </c>
      <c r="AY25" s="284" t="e">
        <f>IF(VLOOKUP(T_Convention[[#This Row],[NumL]],T_TraitDi[#Data],COLUMN(T_TraitDi[Colonne24]),FALSE)=0,"",TEXT(IFERROR(VLOOKUP(T_Convention[[#This Row],[NumL]],T_TraitDi[#Data],COLUMN(T_TraitDi[Colonne24]),FALSE),""),"[hh]:mm"))</f>
        <v>#N/A</v>
      </c>
      <c r="AZ25" s="284" t="e">
        <f>IF(VLOOKUP(T_Convention[[#This Row],[NumL]],T_TraitDi[#Data],COLUMN(T_TraitDi[Colonne25]),FALSE)=0,"",TEXT(IFERROR(VLOOKUP(T_Convention[[#This Row],[NumL]],T_TraitDi[#Data],COLUMN(T_TraitDi[Colonne25]),FALSE),""),"[hh]:mm"))</f>
        <v>#N/A</v>
      </c>
      <c r="BA25" s="284" t="e">
        <f>IF(VLOOKUP(T_Convention[[#This Row],[NumL]],T_TraitDi[#Data],COLUMN(T_TraitDi[Colonne26]),FALSE)=0,"",TEXT(IFERROR(VLOOKUP(T_Convention[[#This Row],[NumL]],T_TraitDi[#Data],COLUMN(T_TraitDi[Colonne26]),FALSE),""),"[hh]:mm"))</f>
        <v>#N/A</v>
      </c>
      <c r="BB25" s="284" t="str">
        <f>IFERROR(VLOOKUP(T_Convention[[#This Row],[NumL]],T_TraitDi[#Data],COLUMN(T_TraitDi[Vendredi]),FALSE),"")</f>
        <v/>
      </c>
      <c r="BC25" s="284" t="e">
        <f>IF(VLOOKUP(T_Convention[[#This Row],[NumL]],T_TraitDi[#Data],COLUMN(T_TraitDi[Colonne27]),FALSE)=0,"",TEXT(IFERROR(VLOOKUP(T_Convention[[#This Row],[NumL]],T_TraitDi[#Data],COLUMN(T_TraitDi[Colonne27]),FALSE),""),"[hh]:mm"))</f>
        <v>#N/A</v>
      </c>
      <c r="BD25" s="284" t="e">
        <f>IF(VLOOKUP(T_Convention[[#This Row],[NumL]],T_TraitDi[#Data],COLUMN(T_TraitDi[Colonne28]),FALSE)=0,"",TEXT(IFERROR(VLOOKUP(T_Convention[[#This Row],[NumL]],T_TraitDi[#Data],COLUMN(T_TraitDi[Colonne28]),FALSE),""),"[hh]:mm"))</f>
        <v>#N/A</v>
      </c>
      <c r="BE25" s="284" t="str">
        <f>IFERROR(VLOOKUP(T_Convention[[#This Row],[NumL]],T_TraitDi[#Data],COLUMN(T_TraitDi[Colonne29]),FALSE),"")</f>
        <v/>
      </c>
      <c r="BF25" s="284" t="e">
        <f>IF(VLOOKUP(T_Convention[[#This Row],[NumL]],T_TraitDi[#Data],COLUMN(T_TraitDi[Colonne30]),FALSE)=0,"",TEXT(IFERROR(VLOOKUP(T_Convention[[#This Row],[NumL]],T_TraitDi[#Data],COLUMN(T_TraitDi[Colonne30]),FALSE),""),"[hh]:mm"))</f>
        <v>#N/A</v>
      </c>
      <c r="BG25" s="284" t="e">
        <f>IF(VLOOKUP(T_Convention[[#This Row],[NumL]],T_TraitDi[#Data],COLUMN(T_TraitDi[Colonne31]),FALSE)=0,"",TEXT(IFERROR(VLOOKUP(T_Convention[[#This Row],[NumL]],T_TraitDi[#Data],COLUMN(T_TraitDi[Colonne31]),FALSE),""),"[hh]:mm"))</f>
        <v>#N/A</v>
      </c>
      <c r="BH25" s="284" t="e">
        <f>IF(VLOOKUP(T_Convention[[#This Row],[NumL]],T_TraitDi[#Data],COLUMN(T_TraitDi[Colonne32]),FALSE)=0,"",TEXT(IFERROR(VLOOKUP(T_Convention[[#This Row],[NumL]],T_TraitDi[#Data],COLUMN(T_TraitDi[Colonne32]),FALSE),""),"[hh]:mm"))</f>
        <v>#N/A</v>
      </c>
      <c r="BI25" s="284" t="str">
        <f>IFERROR(VLOOKUP(T_Convention[[#This Row],[NumL]],T_TraitDi[#Data],COLUMN(T_TraitDi[NbJTW]),FALSE),"")</f>
        <v/>
      </c>
      <c r="BJ25" s="284" t="e">
        <f>IF(VLOOKUP(T_Convention[[#This Row],[NumL]],T_TraitDi[#Data],COLUMN(T_TraitDi[NbhTW]),FALSE)=0,"",TEXT(IFERROR(VLOOKUP(T_Convention[[#This Row],[NumL]],T_TraitDi[#Data],COLUMN(T_TraitDi[NbhTW]),FALSE),""),"[hh]:mm"))</f>
        <v>#N/A</v>
      </c>
      <c r="BK25" s="286" t="e">
        <f>IF(VLOOKUP(T_Convention[[#This Row],[NumL]],T_TraitDi[#Data],COLUMN(T_TraitDi[Nbhheb]),FALSE)=0,"",TEXT(IFERROR(VLOOKUP(T_Convention[[#This Row],[NumL]],T_TraitDi[#Data],COLUMN(T_TraitDi[Nbhheb]),FALSE),""),"[hh]:mm"))</f>
        <v>#N/A</v>
      </c>
      <c r="BL25" s="287" t="str">
        <f>IFERROR(VLOOKUP(VLOOKUP(T_Convention[[#This Row],[NumL]],T_TraitDi[#Data],COLUMN(T_TraitDi[Type1]),FALSE),TypeTW,2,FALSE),"")</f>
        <v/>
      </c>
      <c r="BM25" s="288" t="str">
        <f>IFERROR(VLOOKUP(T_Convention[[#This Row],[NumL]],T_TraitDi[#Data],COLUMN(T_TraitDi[Rue1]),FALSE),"")</f>
        <v/>
      </c>
      <c r="BN25" s="289" t="str">
        <f>IFERROR(VLOOKUP(T_Convention[[#This Row],[NumL]],T_TraitDi[#Data],COLUMN(T_TraitDi[CP1]),FALSE),"")</f>
        <v/>
      </c>
      <c r="BO25" s="282" t="str">
        <f>IFERROR(VLOOKUP(T_Convention[[#This Row],[NumL]],T_TraitDi[#Data],COLUMN(T_TraitDi[VILLE1]),FALSE),"")</f>
        <v/>
      </c>
      <c r="BP25" s="290" t="str">
        <f>IFERROR(VLOOKUP(VLOOKUP(T_Convention[[#This Row],[NumL]],T_TraitDi[#Data],COLUMN(T_TraitDi[Type2]),FALSE),TypeTW,2,FALSE),"")</f>
        <v/>
      </c>
      <c r="BQ25" s="182" t="str">
        <f>IFERROR(VLOOKUP(T_Convention[[#This Row],[NumL]],T_TraitDi[#Data],COLUMN(T_TraitDi[Rue2]),FALSE),"")</f>
        <v/>
      </c>
      <c r="BR25" s="173" t="str">
        <f>IFERROR(VLOOKUP(T_Convention[[#This Row],[NumL]],T_TraitDi[#Data],COLUMN(T_TraitDi[CP2]),FALSE),"")</f>
        <v/>
      </c>
      <c r="BS25" s="173" t="str">
        <f>IFERROR(VLOOKUP(T_Convention[[#This Row],[NumL]],T_TraitDi[#Data],COLUMN(T_TraitDi[VILLE2]),FALSE),"")</f>
        <v/>
      </c>
      <c r="BT25" s="313" t="str">
        <f>IF(VLOOKUP(T_Convention[[#This Row],[NumL]],T_Equipement[#Data],COLUMN(T_Equipement[PC]),FALSE)="","Aucun équipement spécifique directement lié au télétravail",VLOOKUP(T_Convention[[#This Row],[NumL]],T_Equipement[#Data],COLUMN(T_Equipement[PC]),FALSE))</f>
        <v xml:space="preserve">16-416	</v>
      </c>
      <c r="BU25" s="296" t="str">
        <f>IFERROR(IF(VLOOKUP(T_Convention[[#This Row],[NumL]],T_TraitDi[#Data],COLUMN(T_TraitDi[Plan]),FALSE)="OK","Un planning spécifique de télétravail est annexé à la présente convention.",""),"")</f>
        <v/>
      </c>
      <c r="BV25" s="185" t="s">
        <v>3442</v>
      </c>
      <c r="BW25" s="164" t="e">
        <f>IF(VLOOKUP(T_Convention[[#This Row],[NumL]],T_suiviDi[#Data],COLUMN(T_suiviDi[Entité]),FALSE)="","",VLOOKUP(T_Convention[[#This Row],[NumL]],T_suiviDi[#Data],COLUMN(T_suiviDi[Entité]),FALSE))</f>
        <v>#N/A</v>
      </c>
      <c r="BX25" s="164" t="str">
        <f>IF(VLOOKUP(T_Convention[[#This Row],[NumL]],T_Commission[#Data],COLUMN(T_Commission[envoi confirm TW]),FALSE)="","",VLOOKUP(T_Convention[[#This Row],[NumL]],T_Commission[#Data],COLUMN(T_Commission[envoi confirm TW]),FALSE))</f>
        <v>Oui</v>
      </c>
      <c r="BY25" s="377"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 s="264">
        <f>VLOOKUP(T_Convention[[#This Row],[NumL]],T_Commission[#Data],COLUMN(T_Commission[Commentaire]),FALSE)</f>
        <v>0</v>
      </c>
      <c r="CA25" s="254" t="str">
        <f>IF(VLOOKUP(T_Convention[[#This Row],[NumL]],T_Commission[#Data],COLUMN(T_Commission[Encadrant Email]),FALSE)="","",VLOOKUP(T_Convention[[#This Row],[NumL]],T_Commission[#Data],COLUMN(T_Commission[Encadrant Email]),FALSE))</f>
        <v/>
      </c>
      <c r="CB25" s="352" t="e">
        <f>VLOOKUP(T_Convention[[#This Row],[NumL]],T_TraitDi[#Data],COLUMN(T_TraitDi[NbJTot]),FALSE)</f>
        <v>#N/A</v>
      </c>
      <c r="CC25" s="352" t="e">
        <f>VLOOKUP(T_Convention[[#This Row],[NumL]],T_TraitDi[#Data],COLUMN(T_TraitDi[Reg Ponct]),FALSE)</f>
        <v>#N/A</v>
      </c>
      <c r="CD25" s="348" t="str">
        <f>IF(T_Convention[[#This Row],[Final]]&lt;&gt;"",VLOOKUP(T_Convention[[#This Row],[NumL]],T_suiviDi[#Data],COLUMN((T_suiviDi[Statut])),FALSE),"")</f>
        <v/>
      </c>
    </row>
    <row r="26" spans="1:82" s="106" customFormat="1" ht="18.75" customHeight="1" x14ac:dyDescent="0.25">
      <c r="A26" s="90">
        <v>21</v>
      </c>
      <c r="B26" s="299" t="str">
        <f>VLOOKUP(T_Convention[[#This Row],[NumL]],T_Commission[#Data],COLUMN(T_Commission[FINAL]),FALSE)</f>
        <v/>
      </c>
      <c r="C26" s="309"/>
      <c r="D26" s="95" t="e">
        <f>IF(VLOOKUP(T_Convention[[#This Row],[NumL]],T_TraitDi[#Data],COLUMN(T_TraitDi[WebC]),FALSE)="","",VLOOKUP(T_Convention[[#This Row],[NumL]],T_TraitDi[#Data],COLUMN(T_TraitDi[WebC]),FALSE))</f>
        <v>#N/A</v>
      </c>
      <c r="E26" s="95" t="str">
        <f t="shared" si="0"/>
        <v>12 janvier 2021</v>
      </c>
      <c r="F26" s="96" t="str">
        <f>IF(T_Convention[[#This Row],[Final]]&lt;&gt;"",VLOOKUP(T_Convention[[#This Row],[NumL]],T_suiviDi[#Data],COLUMN((T_suiviDi[Civ.])),FALSE),"")</f>
        <v/>
      </c>
      <c r="G26" s="283" t="str">
        <f>IF(T_Convention[[#This Row],[Final]]&lt;&gt;"",VLOOKUP(T_Convention[[#This Row],[NumL]],T_suiviDi[#Data],COLUMN((T_suiviDi[Nom])),FALSE),"")</f>
        <v/>
      </c>
      <c r="H26" s="96" t="str">
        <f>IF(T_Convention[[#This Row],[Final]]&lt;&gt;"",VLOOKUP(T_Convention[[#This Row],[NumL]],T_suiviDi[#Data],COLUMN((T_suiviDi[Prénom])),FALSE),"")</f>
        <v/>
      </c>
      <c r="I26" s="96" t="e">
        <f>VLOOKUP(T_Convention[[#This Row],[NumL]],T_suiviDi[#Data],COLUMN((T_suiviDi[[#This Row],[Email]])),FALSE)</f>
        <v>#N/A</v>
      </c>
      <c r="J26" s="96" t="e">
        <f>IF(VLOOKUP(T_Convention[[#This Row],[NumL]],T_suiviDi[#Data],COLUMN(T_suiviDi[[#This Row],[Fonction]]),FALSE)="","",VLOOKUP(T_Convention[[#This Row],[NumL]],T_suiviDi[#Data],COLUMN(T_suiviDi[[#This Row],[Fonction]]),FALSE))</f>
        <v>#N/A</v>
      </c>
      <c r="K26" s="96" t="e">
        <f>IF(VLOOKUP(T_Convention[[#This Row],[NumL]],T_suiviDi[#Data],COLUMN(T_suiviDi[[#This Row],[Grade]]),FALSE)="","",VLOOKUP(T_Convention[[#This Row],[NumL]],T_suiviDi[#Data],COLUMN(T_suiviDi[[#This Row],[Grade]]),FALSE))</f>
        <v>#N/A</v>
      </c>
      <c r="L26" s="96" t="e">
        <f>IF(VLOOKUP(T_Convention[[#This Row],[NumL]],T_suiviDi[#Data],COLUMN(T_suiviDi[[#This Row],[Service ]]),FALSE)="","",VLOOKUP(T_Convention[[#This Row],[NumL]],T_suiviDi[#Data],COLUMN(T_suiviDi[[#This Row],[Service ]]),FALSE))</f>
        <v>#N/A</v>
      </c>
      <c r="M26" s="96" t="str">
        <f t="shared" si="1"/>
        <v>01 septembre 2021</v>
      </c>
      <c r="N26" s="96" t="str">
        <f t="shared" si="2"/>
        <v>30 novembre 2021</v>
      </c>
      <c r="O26" s="97" t="str">
        <f t="shared" si="3"/>
        <v>30 novembre 2021</v>
      </c>
      <c r="P26" s="96" t="e">
        <f>IF(VLOOKUP(T_Convention[[#This Row],[NumL]],T_TraitDi[#Data],COLUMN(T_TraitDi[M1]),FALSE)="","",VLOOKUP(T_Convention[[#This Row],[NumL]],T_TraitDi[#Data],COLUMN(T_TraitDi[M1]),FALSE))</f>
        <v>#N/A</v>
      </c>
      <c r="Q26" s="96" t="e">
        <f>IF(VLOOKUP(T_Convention[[#This Row],[NumL]],T_TraitDi[#Data],COLUMN(T_TraitDi[M2]),FALSE)="","",VLOOKUP(T_Convention[[#This Row],[NumL]],T_TraitDi[#Data],COLUMN(T_TraitDi[M2]),FALSE))</f>
        <v>#N/A</v>
      </c>
      <c r="R26" s="96" t="e">
        <f>IF(VLOOKUP(T_Convention[[#This Row],[NumL]],T_TraitDi[#Data],COLUMN(T_TraitDi[M3]),FALSE)="","",VLOOKUP(T_Convention[[#This Row],[NumL]],T_TraitDi[#Data],COLUMN(T_TraitDi[M3]),FALSE))</f>
        <v>#N/A</v>
      </c>
      <c r="S26" s="96" t="e">
        <f>IF(VLOOKUP(T_Convention[[#This Row],[NumL]],T_TraitDi[#Data],COLUMN(T_TraitDi[M4]),FALSE)="","",VLOOKUP(T_Convention[[#This Row],[NumL]],T_TraitDi[#Data],COLUMN(T_TraitDi[M4]),FALSE))</f>
        <v>#N/A</v>
      </c>
      <c r="T26" s="96" t="e">
        <f>IF(VLOOKUP(T_Convention[[#This Row],[NumL]],T_TraitDi[#Data],COLUMN(T_TraitDi[M5]),FALSE)="","",VLOOKUP(T_Convention[[#This Row],[NumL]],T_TraitDi[#Data],COLUMN(T_TraitDi[M5]),FALSE))</f>
        <v>#N/A</v>
      </c>
      <c r="U26" s="96" t="e">
        <f>IF(VLOOKUP(T_Convention[[#This Row],[NumL]],T_TraitDi[#Data],COLUMN(T_TraitDi[M6]),FALSE)="","",VLOOKUP(T_Convention[[#This Row],[NumL]],T_TraitDi[#Data],COLUMN(T_TraitDi[M6]),FALSE))</f>
        <v>#N/A</v>
      </c>
      <c r="V26" s="96" t="e">
        <f t="shared" si="4"/>
        <v>#N/A</v>
      </c>
      <c r="W26" s="97" t="str">
        <f>IFERROR(TEXT(VLOOKUP(T_Convention[[#This Row],[NumL]],T_TraitDi[#Data],COLUMN(T_TraitDi[Q2]),FALSE),"###%"),"")</f>
        <v/>
      </c>
      <c r="X26" s="294" t="e">
        <f>VLOOKUP(T_Convention[[#This Row],[NumL]],T_TraitDi[#Data],COLUMN(T_TraitDi[Reg Ponct]),FALSE)</f>
        <v>#N/A</v>
      </c>
      <c r="Y26" s="294" t="e">
        <f>VLOOKUP(T_Convention[NumL],T_TraitDi[#Data],COLUMN(T_TraitDi[Jours flottants]),FALSE)</f>
        <v>#N/A</v>
      </c>
      <c r="Z26" s="97" t="str">
        <f>IFERROR(VLOOKUP(T_Convention[[#This Row],[NumL]],T_TraitDi[#Data],COLUMN(T_TraitDi[Lundi]),FALSE),"")</f>
        <v/>
      </c>
      <c r="AA26" s="97" t="e">
        <f>IF(VLOOKUP(T_Convention[[#This Row],[NumL]],T_TraitDi[#Data],COLUMN(T_TraitDi[Colonne3]),FALSE)=0,"",TEXT(IFERROR(VLOOKUP(T_Convention[[#This Row],[NumL]],T_TraitDi[#Data],COLUMN(T_TraitDi[Colonne3]),FALSE),""),"[hh]:mm"))</f>
        <v>#N/A</v>
      </c>
      <c r="AB26" s="97" t="e">
        <f>IF(VLOOKUP(T_Convention[[#This Row],[NumL]],T_TraitDi[#Data],COLUMN(T_TraitDi[Colonne4]),FALSE)=0,"",TEXT(IFERROR(VLOOKUP(T_Convention[[#This Row],[NumL]],T_TraitDi[#Data],COLUMN(T_TraitDi[Colonne4]),FALSE),""),"[hh]:mm"))</f>
        <v>#N/A</v>
      </c>
      <c r="AC26" s="97" t="e">
        <f>IF(VLOOKUP(T_Convention[[#This Row],[NumL]],T_TraitDi[#Data],COLUMN(T_TraitDi[Colonne5]),FALSE)=0,"",TEXT(IFERROR(VLOOKUP(T_Convention[[#This Row],[NumL]],T_TraitDi[#Data],COLUMN(T_TraitDi[Colonne5]),FALSE),""),"[hh]:mm"))</f>
        <v>#N/A</v>
      </c>
      <c r="AD26" s="97" t="e">
        <f>IF(VLOOKUP(T_Convention[[#This Row],[NumL]],T_TraitDi[#Data],COLUMN(T_TraitDi[Colonne6]),FALSE)=0,"",TEXT(IFERROR(VLOOKUP(T_Convention[[#This Row],[NumL]],T_TraitDi[#Data],COLUMN(T_TraitDi[Colonne6]),FALSE),""),"[hh]:mm"))</f>
        <v>#N/A</v>
      </c>
      <c r="AE26" s="97" t="e">
        <f>IF(VLOOKUP(T_Convention[[#This Row],[NumL]],T_TraitDi[#Data],COLUMN(T_TraitDi[Colonne7]),FALSE)=0,"",TEXT(IFERROR(VLOOKUP(T_Convention[[#This Row],[NumL]],T_TraitDi[#Data],COLUMN(T_TraitDi[Colonne7]),FALSE),""),"[hh]:mm"))</f>
        <v>#N/A</v>
      </c>
      <c r="AF26" s="97" t="e">
        <f>IF(VLOOKUP(T_Convention[[#This Row],[NumL]],T_TraitDi[#Data],COLUMN(T_TraitDi[Colonne8]),FALSE)=0,"",TEXT(IFERROR(VLOOKUP(T_Convention[[#This Row],[NumL]],T_TraitDi[#Data],COLUMN(T_TraitDi[Colonne8]),FALSE),""),"[hh]:mm"))</f>
        <v>#N/A</v>
      </c>
      <c r="AG26" s="97" t="str">
        <f>IFERROR(VLOOKUP(T_Convention[[#This Row],[NumL]],T_TraitDi[#Data],COLUMN(T_TraitDi[Mardi]),FALSE),"")</f>
        <v/>
      </c>
      <c r="AH26" s="97" t="e">
        <f>IF(VLOOKUP(T_Convention[[#This Row],[NumL]],T_TraitDi[#Data],COLUMN(T_TraitDi[Colonne1]),FALSE)=0,"",TEXT(IFERROR(VLOOKUP(T_Convention[[#This Row],[NumL]],T_TraitDi[#Data],COLUMN(T_TraitDi[Colonne1]),FALSE),""),"[hh]:mm"))</f>
        <v>#N/A</v>
      </c>
      <c r="AI26" s="97" t="e">
        <f>IF(VLOOKUP(T_Convention[[#This Row],[NumL]],T_TraitDi[#Data],COLUMN(T_TraitDi[Colonne9]),FALSE)=0,"",TEXT(IFERROR(VLOOKUP(T_Convention[[#This Row],[NumL]],T_TraitDi[#Data],COLUMN(T_TraitDi[Colonne9]),FALSE),""),"[hh]:mm"))</f>
        <v>#N/A</v>
      </c>
      <c r="AJ26" s="97" t="str">
        <f>IFERROR(VLOOKUP(T_Convention[[#This Row],[NumL]],T_TraitDi[#Data],COLUMN(T_TraitDi[Colonne10]),FALSE),"")</f>
        <v/>
      </c>
      <c r="AK26" s="97" t="e">
        <f>IF(VLOOKUP(T_Convention[[#This Row],[NumL]],T_TraitDi[#Data],COLUMN(T_TraitDi[Colonne11]),FALSE)=0,"",TEXT(IFERROR(VLOOKUP(T_Convention[[#This Row],[NumL]],T_TraitDi[#Data],COLUMN(T_TraitDi[Colonne11]),FALSE),""),"[hh]:mm"))</f>
        <v>#N/A</v>
      </c>
      <c r="AL26" s="97" t="e">
        <f>IF(VLOOKUP(T_Convention[[#This Row],[NumL]],T_TraitDi[#Data],COLUMN(T_TraitDi[Colonne12]),FALSE)=0,"",TEXT(IFERROR(VLOOKUP(T_Convention[[#This Row],[NumL]],T_TraitDi[#Data],COLUMN(T_TraitDi[Colonne12]),FALSE),""),"[hh]:mm"))</f>
        <v>#N/A</v>
      </c>
      <c r="AM26" s="97" t="e">
        <f>IF(VLOOKUP(T_Convention[[#This Row],[NumL]],T_TraitDi[#Data],COLUMN(T_TraitDi[Colonne14]),FALSE)=0,"",TEXT(IFERROR(VLOOKUP(T_Convention[[#This Row],[NumL]],T_TraitDi[#Data],COLUMN(T_TraitDi[Colonne14]),FALSE),""),"[hh]:mm"))</f>
        <v>#N/A</v>
      </c>
      <c r="AN26" s="97" t="str">
        <f>IFERROR(VLOOKUP(T_Convention[[#This Row],[NumL]],T_TraitDi[#Data],COLUMN(T_TraitDi[Mercredi]),FALSE),"")</f>
        <v/>
      </c>
      <c r="AO26" s="97" t="e">
        <f>IF(VLOOKUP(T_Convention[[#This Row],[NumL]],T_TraitDi[#Data],COLUMN(T_TraitDi[Colonne15]),FALSE)=0,"",TEXT(IFERROR(VLOOKUP(T_Convention[[#This Row],[NumL]],T_TraitDi[#Data],COLUMN(T_TraitDi[Colonne15]),FALSE),""),"[hh]:mm"))</f>
        <v>#N/A</v>
      </c>
      <c r="AP26" s="97" t="e">
        <f>IF(VLOOKUP(T_Convention[[#This Row],[NumL]],T_TraitDi[#Data],COLUMN(T_TraitDi[Colonne16]),FALSE)=0,"",TEXT(IFERROR(VLOOKUP(T_Convention[[#This Row],[NumL]],T_TraitDi[#Data],COLUMN(T_TraitDi[Colonne16]),FALSE),""),"[hh]:mm"))</f>
        <v>#N/A</v>
      </c>
      <c r="AQ26" s="97" t="str">
        <f>IFERROR(VLOOKUP(T_Convention[[#This Row],[NumL]],T_TraitDi[#Data],COLUMN(T_TraitDi[Colonne17]),FALSE),"")</f>
        <v/>
      </c>
      <c r="AR26" s="97" t="e">
        <f>IF(VLOOKUP(T_Convention[[#This Row],[NumL]],T_TraitDi[#Data],COLUMN(T_TraitDi[Colonne18]),FALSE)=0,"",TEXT(IFERROR(VLOOKUP(T_Convention[[#This Row],[NumL]],T_TraitDi[#Data],COLUMN(T_TraitDi[Colonne18]),FALSE),""),"[hh]:mm"))</f>
        <v>#N/A</v>
      </c>
      <c r="AS26" s="97" t="e">
        <f>IF(VLOOKUP(T_Convention[[#This Row],[NumL]],T_TraitDi[#Data],COLUMN(T_TraitDi[Colonne19]),FALSE)=0,"",TEXT(IFERROR(VLOOKUP(T_Convention[[#This Row],[NumL]],T_TraitDi[#Data],COLUMN(T_TraitDi[Colonne19]),FALSE),""),"[hh]:mm"))</f>
        <v>#N/A</v>
      </c>
      <c r="AT26" s="97" t="e">
        <f>IF(VLOOKUP(T_Convention[[#This Row],[NumL]],T_TraitDi[#Data],COLUMN(T_TraitDi[Colonne20]),FALSE)=0,"",TEXT(IFERROR(VLOOKUP(T_Convention[[#This Row],[NumL]],T_TraitDi[#Data],COLUMN(T_TraitDi[Colonne20]),FALSE),""),"[hh]:mm"))</f>
        <v>#N/A</v>
      </c>
      <c r="AU26" s="97" t="str">
        <f>IFERROR(VLOOKUP(T_Convention[[#This Row],[NumL]],T_TraitDi[#Data],COLUMN(T_TraitDi[Jeudi]),FALSE),"")</f>
        <v/>
      </c>
      <c r="AV26" s="97" t="e">
        <f>IF(VLOOKUP(T_Convention[[#This Row],[NumL]],T_TraitDi[#Data],COLUMN(T_TraitDi[Colonne21]),FALSE)=0,"",TEXT(IFERROR(VLOOKUP(T_Convention[[#This Row],[NumL]],T_TraitDi[#Data],COLUMN(T_TraitDi[Colonne21]),FALSE),""),"[hh]:mm"))</f>
        <v>#N/A</v>
      </c>
      <c r="AW26" s="97" t="e">
        <f>IF(VLOOKUP(T_Convention[[#This Row],[NumL]],T_TraitDi[#Data],COLUMN(T_TraitDi[Colonne22]),FALSE)=0,"",TEXT(IFERROR(VLOOKUP(T_Convention[[#This Row],[NumL]],T_TraitDi[#Data],COLUMN(T_TraitDi[Colonne22]),FALSE),""),"[hh]:mm"))</f>
        <v>#N/A</v>
      </c>
      <c r="AX26" s="97" t="str">
        <f>IFERROR(VLOOKUP(T_Convention[[#This Row],[NumL]],T_TraitDi[#Data],COLUMN(T_TraitDi[Colonne23]),FALSE),"")</f>
        <v/>
      </c>
      <c r="AY26" s="97" t="e">
        <f>IF(VLOOKUP(T_Convention[[#This Row],[NumL]],T_TraitDi[#Data],COLUMN(T_TraitDi[Colonne24]),FALSE)=0,"",TEXT(IFERROR(VLOOKUP(T_Convention[[#This Row],[NumL]],T_TraitDi[#Data],COLUMN(T_TraitDi[Colonne24]),FALSE),""),"[hh]:mm"))</f>
        <v>#N/A</v>
      </c>
      <c r="AZ26" s="97" t="e">
        <f>IF(VLOOKUP(T_Convention[[#This Row],[NumL]],T_TraitDi[#Data],COLUMN(T_TraitDi[Colonne25]),FALSE)=0,"",TEXT(IFERROR(VLOOKUP(T_Convention[[#This Row],[NumL]],T_TraitDi[#Data],COLUMN(T_TraitDi[Colonne25]),FALSE),""),"[hh]:mm"))</f>
        <v>#N/A</v>
      </c>
      <c r="BA26" s="97" t="e">
        <f>IF(VLOOKUP(T_Convention[[#This Row],[NumL]],T_TraitDi[#Data],COLUMN(T_TraitDi[Colonne26]),FALSE)=0,"",TEXT(IFERROR(VLOOKUP(T_Convention[[#This Row],[NumL]],T_TraitDi[#Data],COLUMN(T_TraitDi[Colonne26]),FALSE),""),"[hh]:mm"))</f>
        <v>#N/A</v>
      </c>
      <c r="BB26" s="97" t="str">
        <f>IFERROR(VLOOKUP(T_Convention[[#This Row],[NumL]],T_TraitDi[#Data],COLUMN(T_TraitDi[Vendredi]),FALSE),"")</f>
        <v/>
      </c>
      <c r="BC26" s="97" t="e">
        <f>IF(VLOOKUP(T_Convention[[#This Row],[NumL]],T_TraitDi[#Data],COLUMN(T_TraitDi[Colonne27]),FALSE)=0,"",TEXT(IFERROR(VLOOKUP(T_Convention[[#This Row],[NumL]],T_TraitDi[#Data],COLUMN(T_TraitDi[Colonne27]),FALSE),""),"[hh]:mm"))</f>
        <v>#N/A</v>
      </c>
      <c r="BD26" s="97" t="e">
        <f>IF(VLOOKUP(T_Convention[[#This Row],[NumL]],T_TraitDi[#Data],COLUMN(T_TraitDi[Colonne28]),FALSE)=0,"",TEXT(IFERROR(VLOOKUP(T_Convention[[#This Row],[NumL]],T_TraitDi[#Data],COLUMN(T_TraitDi[Colonne28]),FALSE),""),"[hh]:mm"))</f>
        <v>#N/A</v>
      </c>
      <c r="BE26" s="97" t="str">
        <f>IFERROR(VLOOKUP(T_Convention[[#This Row],[NumL]],T_TraitDi[#Data],COLUMN(T_TraitDi[Colonne29]),FALSE),"")</f>
        <v/>
      </c>
      <c r="BF26" s="97" t="e">
        <f>IF(VLOOKUP(T_Convention[[#This Row],[NumL]],T_TraitDi[#Data],COLUMN(T_TraitDi[Colonne30]),FALSE)=0,"",TEXT(IFERROR(VLOOKUP(T_Convention[[#This Row],[NumL]],T_TraitDi[#Data],COLUMN(T_TraitDi[Colonne30]),FALSE),""),"[hh]:mm"))</f>
        <v>#N/A</v>
      </c>
      <c r="BG26" s="97" t="e">
        <f>IF(VLOOKUP(T_Convention[[#This Row],[NumL]],T_TraitDi[#Data],COLUMN(T_TraitDi[Colonne31]),FALSE)=0,"",TEXT(IFERROR(VLOOKUP(T_Convention[[#This Row],[NumL]],T_TraitDi[#Data],COLUMN(T_TraitDi[Colonne31]),FALSE),""),"[hh]:mm"))</f>
        <v>#N/A</v>
      </c>
      <c r="BH26" s="97" t="e">
        <f>IF(VLOOKUP(T_Convention[[#This Row],[NumL]],T_TraitDi[#Data],COLUMN(T_TraitDi[Colonne32]),FALSE)=0,"",TEXT(IFERROR(VLOOKUP(T_Convention[[#This Row],[NumL]],T_TraitDi[#Data],COLUMN(T_TraitDi[Colonne32]),FALSE),""),"[hh]:mm"))</f>
        <v>#N/A</v>
      </c>
      <c r="BI26" s="97" t="str">
        <f>IFERROR(VLOOKUP(T_Convention[[#This Row],[NumL]],T_TraitDi[#Data],COLUMN(T_TraitDi[NbJTW]),FALSE),"")</f>
        <v/>
      </c>
      <c r="BJ26" s="97" t="e">
        <f>IF(VLOOKUP(T_Convention[[#This Row],[NumL]],T_TraitDi[#Data],COLUMN(T_TraitDi[NbhTW]),FALSE)=0,"",TEXT(IFERROR(VLOOKUP(T_Convention[[#This Row],[NumL]],T_TraitDi[#Data],COLUMN(T_TraitDi[NbhTW]),FALSE),""),"[hh]:mm"))</f>
        <v>#N/A</v>
      </c>
      <c r="BK26" s="295" t="e">
        <f>IF(VLOOKUP(T_Convention[[#This Row],[NumL]],T_TraitDi[#Data],COLUMN(T_TraitDi[Nbhheb]),FALSE)=0,"",TEXT(IFERROR(VLOOKUP(T_Convention[[#This Row],[NumL]],T_TraitDi[#Data],COLUMN(T_TraitDi[Nbhheb]),FALSE),""),"[hh]:mm"))</f>
        <v>#N/A</v>
      </c>
      <c r="BL26" s="296" t="str">
        <f>IFERROR(VLOOKUP(VLOOKUP(T_Convention[[#This Row],[NumL]],T_TraitDi[#Data],COLUMN(T_TraitDi[Type1]),FALSE),TypeTW,2,FALSE),"")</f>
        <v/>
      </c>
      <c r="BM26" s="297" t="str">
        <f>IFERROR(VLOOKUP(T_Convention[[#This Row],[NumL]],T_TraitDi[#Data],COLUMN(T_TraitDi[Rue1]),FALSE),"")</f>
        <v/>
      </c>
      <c r="BN26" s="298" t="str">
        <f>IFERROR(VLOOKUP(T_Convention[[#This Row],[NumL]],T_TraitDi[#Data],COLUMN(T_TraitDi[CP1]),FALSE),"")</f>
        <v/>
      </c>
      <c r="BO26" s="96" t="str">
        <f>IFERROR(VLOOKUP(T_Convention[[#This Row],[NumL]],T_TraitDi[#Data],COLUMN(T_TraitDi[VILLE1]),FALSE),"")</f>
        <v/>
      </c>
      <c r="BP26" s="290" t="str">
        <f>IFERROR(VLOOKUP(VLOOKUP(T_Convention[[#This Row],[NumL]],T_TraitDi[#Data],COLUMN(T_TraitDi[Type2]),FALSE),TypeTW,2,FALSE),"")</f>
        <v/>
      </c>
      <c r="BQ26" s="182" t="str">
        <f>IFERROR(VLOOKUP(T_Convention[[#This Row],[NumL]],T_TraitDi[#Data],COLUMN(T_TraitDi[Rue2]),FALSE),"")</f>
        <v/>
      </c>
      <c r="BR26" s="173" t="str">
        <f>IFERROR(VLOOKUP(T_Convention[[#This Row],[NumL]],T_TraitDi[#Data],COLUMN(T_TraitDi[CP2]),FALSE),"")</f>
        <v/>
      </c>
      <c r="BS26" s="173" t="str">
        <f>IFERROR(VLOOKUP(T_Convention[[#This Row],[NumL]],T_TraitDi[#Data],COLUMN(T_TraitDi[VILLE2]),FALSE),"")</f>
        <v/>
      </c>
      <c r="BT26" s="313" t="str">
        <f>IF(VLOOKUP(T_Convention[[#This Row],[NumL]],T_Equipement[#Data],COLUMN(T_Equipement[PC]),FALSE)="","Aucun équipement spécifique directement lié au télétravail",VLOOKUP(T_Convention[[#This Row],[NumL]],T_Equipement[#Data],COLUMN(T_Equipement[PC]),FALSE))</f>
        <v xml:space="preserve">	19-578</v>
      </c>
      <c r="BU26" s="296" t="str">
        <f>IFERROR(IF(VLOOKUP(T_Convention[[#This Row],[NumL]],T_TraitDi[#Data],COLUMN(T_TraitDi[Plan]),FALSE)="OK","Un planning spécifique de télétravail est annexé à la présente convention.",""),"")</f>
        <v/>
      </c>
      <c r="BV26" s="301"/>
      <c r="BW26" s="302" t="e">
        <f>IF(VLOOKUP(T_Convention[[#This Row],[NumL]],T_suiviDi[#Data],COLUMN(T_suiviDi[Entité]),FALSE)="","",VLOOKUP(T_Convention[[#This Row],[NumL]],T_suiviDi[#Data],COLUMN(T_suiviDi[Entité]),FALSE))</f>
        <v>#N/A</v>
      </c>
      <c r="BX26" s="164" t="str">
        <f>IF(VLOOKUP(T_Convention[[#This Row],[NumL]],T_Commission[#Data],COLUMN(T_Commission[envoi confirm TW]),FALSE)="","",VLOOKUP(T_Convention[[#This Row],[NumL]],T_Commission[#Data],COLUMN(T_Commission[envoi confirm TW]),FALSE))</f>
        <v>Oui</v>
      </c>
      <c r="BY26" s="30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 s="264">
        <f>VLOOKUP(T_Convention[[#This Row],[NumL]],T_Commission[#Data],COLUMN(T_Commission[Commentaire]),FALSE)</f>
        <v>0</v>
      </c>
      <c r="CA26" s="254" t="str">
        <f>IF(VLOOKUP(T_Convention[[#This Row],[NumL]],T_Commission[#Data],COLUMN(T_Commission[Encadrant Email]),FALSE)="","",VLOOKUP(T_Convention[[#This Row],[NumL]],T_Commission[#Data],COLUMN(T_Commission[Encadrant Email]),FALSE))</f>
        <v/>
      </c>
      <c r="CB26" s="352" t="e">
        <f>VLOOKUP(T_Convention[[#This Row],[NumL]],T_TraitDi[#Data],COLUMN(T_TraitDi[NbJTot]),FALSE)</f>
        <v>#N/A</v>
      </c>
      <c r="CC26" s="352" t="e">
        <f>VLOOKUP(T_Convention[[#This Row],[NumL]],T_TraitDi[#Data],COLUMN(T_TraitDi[Reg Ponct]),FALSE)</f>
        <v>#N/A</v>
      </c>
      <c r="CD26" s="348" t="str">
        <f>IF(T_Convention[[#This Row],[Final]]&lt;&gt;"",VLOOKUP(T_Convention[[#This Row],[NumL]],T_suiviDi[#Data],COLUMN((T_suiviDi[Statut])),FALSE),"")</f>
        <v/>
      </c>
    </row>
    <row r="27" spans="1:82" s="106" customFormat="1" ht="18.75" customHeight="1" x14ac:dyDescent="0.25">
      <c r="A27" s="90">
        <v>187</v>
      </c>
      <c r="B27" s="161" t="str">
        <f>VLOOKUP(T_Convention[[#This Row],[NumL]],T_Commission[#Data],COLUMN(T_Commission[FINAL]),FALSE)</f>
        <v/>
      </c>
      <c r="C27" s="309"/>
      <c r="D27" s="95" t="e">
        <f>IF(VLOOKUP(T_Convention[[#This Row],[NumL]],T_TraitDi[#Data],COLUMN(T_TraitDi[WebC]),FALSE)="","",VLOOKUP(T_Convention[[#This Row],[NumL]],T_TraitDi[#Data],COLUMN(T_TraitDi[WebC]),FALSE))</f>
        <v>#N/A</v>
      </c>
      <c r="E27" s="95" t="str">
        <f t="shared" si="0"/>
        <v>12 janvier 2021</v>
      </c>
      <c r="F27" s="282" t="str">
        <f>IF(T_Convention[[#This Row],[Final]]&lt;&gt;"",VLOOKUP(T_Convention[[#This Row],[NumL]],T_suiviDi[#Data],COLUMN((T_suiviDi[Civ.])),FALSE),"")</f>
        <v/>
      </c>
      <c r="G27" s="283" t="str">
        <f>IF(T_Convention[[#This Row],[Final]]&lt;&gt;"",VLOOKUP(T_Convention[[#This Row],[NumL]],T_suiviDi[#Data],COLUMN((T_suiviDi[Nom])),FALSE),"")</f>
        <v/>
      </c>
      <c r="H27" s="282" t="str">
        <f>IF(T_Convention[[#This Row],[Final]]&lt;&gt;"",VLOOKUP(T_Convention[[#This Row],[NumL]],T_suiviDi[#Data],COLUMN((T_suiviDi[Prénom])),FALSE),"")</f>
        <v/>
      </c>
      <c r="I27" s="282" t="e">
        <f>VLOOKUP(T_Convention[[#This Row],[NumL]],T_suiviDi[#Data],COLUMN((T_suiviDi[[#This Row],[Email]])),FALSE)</f>
        <v>#N/A</v>
      </c>
      <c r="J27" s="282" t="e">
        <f>IF(VLOOKUP(T_Convention[[#This Row],[NumL]],T_suiviDi[#Data],COLUMN(T_suiviDi[[#This Row],[Fonction]]),FALSE)="","",VLOOKUP(T_Convention[[#This Row],[NumL]],T_suiviDi[#Data],COLUMN(T_suiviDi[[#This Row],[Fonction]]),FALSE))</f>
        <v>#N/A</v>
      </c>
      <c r="K27" s="282" t="e">
        <f>IF(VLOOKUP(T_Convention[[#This Row],[NumL]],T_suiviDi[#Data],COLUMN(T_suiviDi[[#This Row],[Grade]]),FALSE)="","",VLOOKUP(T_Convention[[#This Row],[NumL]],T_suiviDi[#Data],COLUMN(T_suiviDi[[#This Row],[Grade]]),FALSE))</f>
        <v>#N/A</v>
      </c>
      <c r="L27" s="282" t="e">
        <f>IF(VLOOKUP(T_Convention[[#This Row],[NumL]],T_suiviDi[#Data],COLUMN(T_suiviDi[[#This Row],[Service ]]),FALSE)="","",VLOOKUP(T_Convention[[#This Row],[NumL]],T_suiviDi[#Data],COLUMN(T_suiviDi[[#This Row],[Service ]]),FALSE))</f>
        <v>#N/A</v>
      </c>
      <c r="M27" s="96" t="str">
        <f t="shared" si="1"/>
        <v>01 septembre 2021</v>
      </c>
      <c r="N27" s="96" t="str">
        <f t="shared" si="2"/>
        <v>30 novembre 2021</v>
      </c>
      <c r="O27" s="284" t="str">
        <f t="shared" si="3"/>
        <v>30 novembre 2021</v>
      </c>
      <c r="P27" s="282" t="e">
        <f>IF(VLOOKUP(T_Convention[[#This Row],[NumL]],T_TraitDi[#Data],COLUMN(T_TraitDi[M1]),FALSE)="","",VLOOKUP(T_Convention[[#This Row],[NumL]],T_TraitDi[#Data],COLUMN(T_TraitDi[M1]),FALSE))</f>
        <v>#N/A</v>
      </c>
      <c r="Q27" s="282" t="e">
        <f>IF(VLOOKUP(T_Convention[[#This Row],[NumL]],T_TraitDi[#Data],COLUMN(T_TraitDi[M2]),FALSE)="","",VLOOKUP(T_Convention[[#This Row],[NumL]],T_TraitDi[#Data],COLUMN(T_TraitDi[M2]),FALSE))</f>
        <v>#N/A</v>
      </c>
      <c r="R27" s="282" t="e">
        <f>IF(VLOOKUP(T_Convention[[#This Row],[NumL]],T_TraitDi[#Data],COLUMN(T_TraitDi[M3]),FALSE)="","",VLOOKUP(T_Convention[[#This Row],[NumL]],T_TraitDi[#Data],COLUMN(T_TraitDi[M3]),FALSE))</f>
        <v>#N/A</v>
      </c>
      <c r="S27" s="282" t="e">
        <f>IF(VLOOKUP(T_Convention[[#This Row],[NumL]],T_TraitDi[#Data],COLUMN(T_TraitDi[M4]),FALSE)="","",VLOOKUP(T_Convention[[#This Row],[NumL]],T_TraitDi[#Data],COLUMN(T_TraitDi[M4]),FALSE))</f>
        <v>#N/A</v>
      </c>
      <c r="T27" s="282" t="e">
        <f>IF(VLOOKUP(T_Convention[[#This Row],[NumL]],T_TraitDi[#Data],COLUMN(T_TraitDi[M5]),FALSE)="","",VLOOKUP(T_Convention[[#This Row],[NumL]],T_TraitDi[#Data],COLUMN(T_TraitDi[M5]),FALSE))</f>
        <v>#N/A</v>
      </c>
      <c r="U27" s="282" t="e">
        <f>IF(VLOOKUP(T_Convention[[#This Row],[NumL]],T_TraitDi[#Data],COLUMN(T_TraitDi[M6]),FALSE)="","",VLOOKUP(T_Convention[[#This Row],[NumL]],T_TraitDi[#Data],COLUMN(T_TraitDi[M6]),FALSE))</f>
        <v>#N/A</v>
      </c>
      <c r="V27" s="312" t="e">
        <f t="shared" si="4"/>
        <v>#N/A</v>
      </c>
      <c r="W27" s="284" t="str">
        <f>IFERROR(TEXT(VLOOKUP(T_Convention[[#This Row],[NumL]],T_TraitDi[#Data],COLUMN(T_TraitDi[Q2]),FALSE),"###%"),"")</f>
        <v/>
      </c>
      <c r="X27" s="97" t="e">
        <f>VLOOKUP(T_Convention[[#This Row],[NumL]],T_TraitDi[#Data],COLUMN(T_TraitDi[Reg Ponct]),FALSE)</f>
        <v>#N/A</v>
      </c>
      <c r="Y27" s="97" t="e">
        <f>VLOOKUP(T_Convention[NumL],T_TraitDi[#Data],COLUMN(T_TraitDi[Jours flottants]),FALSE)</f>
        <v>#N/A</v>
      </c>
      <c r="Z27" s="284" t="str">
        <f>IFERROR(VLOOKUP(T_Convention[[#This Row],[NumL]],T_TraitDi[#Data],COLUMN(T_TraitDi[Lundi]),FALSE),"")</f>
        <v/>
      </c>
      <c r="AA27" s="284" t="e">
        <f>IF(VLOOKUP(T_Convention[[#This Row],[NumL]],T_TraitDi[#Data],COLUMN(T_TraitDi[Colonne3]),FALSE)=0,"",TEXT(IFERROR(VLOOKUP(T_Convention[[#This Row],[NumL]],T_TraitDi[#Data],COLUMN(T_TraitDi[Colonne3]),FALSE),""),"[hh]:mm"))</f>
        <v>#N/A</v>
      </c>
      <c r="AB27" s="284" t="e">
        <f>IF(VLOOKUP(T_Convention[[#This Row],[NumL]],T_TraitDi[#Data],COLUMN(T_TraitDi[Colonne4]),FALSE)=0,"",TEXT(IFERROR(VLOOKUP(T_Convention[[#This Row],[NumL]],T_TraitDi[#Data],COLUMN(T_TraitDi[Colonne4]),FALSE),""),"[hh]:mm"))</f>
        <v>#N/A</v>
      </c>
      <c r="AC27" s="284" t="e">
        <f>IF(VLOOKUP(T_Convention[[#This Row],[NumL]],T_TraitDi[#Data],COLUMN(T_TraitDi[Colonne5]),FALSE)=0,"",TEXT(IFERROR(VLOOKUP(T_Convention[[#This Row],[NumL]],T_TraitDi[#Data],COLUMN(T_TraitDi[Colonne5]),FALSE),""),"[hh]:mm"))</f>
        <v>#N/A</v>
      </c>
      <c r="AD27" s="284" t="e">
        <f>IF(VLOOKUP(T_Convention[[#This Row],[NumL]],T_TraitDi[#Data],COLUMN(T_TraitDi[Colonne6]),FALSE)=0,"",TEXT(IFERROR(VLOOKUP(T_Convention[[#This Row],[NumL]],T_TraitDi[#Data],COLUMN(T_TraitDi[Colonne6]),FALSE),""),"[hh]:mm"))</f>
        <v>#N/A</v>
      </c>
      <c r="AE27" s="284" t="e">
        <f>IF(VLOOKUP(T_Convention[[#This Row],[NumL]],T_TraitDi[#Data],COLUMN(T_TraitDi[Colonne7]),FALSE)=0,"",TEXT(IFERROR(VLOOKUP(T_Convention[[#This Row],[NumL]],T_TraitDi[#Data],COLUMN(T_TraitDi[Colonne7]),FALSE),""),"[hh]:mm"))</f>
        <v>#N/A</v>
      </c>
      <c r="AF27" s="284" t="e">
        <f>IF(VLOOKUP(T_Convention[[#This Row],[NumL]],T_TraitDi[#Data],COLUMN(T_TraitDi[Colonne8]),FALSE)=0,"",TEXT(IFERROR(VLOOKUP(T_Convention[[#This Row],[NumL]],T_TraitDi[#Data],COLUMN(T_TraitDi[Colonne8]),FALSE),""),"[hh]:mm"))</f>
        <v>#N/A</v>
      </c>
      <c r="AG27" s="284" t="str">
        <f>IFERROR(VLOOKUP(T_Convention[[#This Row],[NumL]],T_TraitDi[#Data],COLUMN(T_TraitDi[Mardi]),FALSE),"")</f>
        <v/>
      </c>
      <c r="AH27" s="284" t="e">
        <f>IF(VLOOKUP(T_Convention[[#This Row],[NumL]],T_TraitDi[#Data],COLUMN(T_TraitDi[Colonne1]),FALSE)=0,"",TEXT(IFERROR(VLOOKUP(T_Convention[[#This Row],[NumL]],T_TraitDi[#Data],COLUMN(T_TraitDi[Colonne1]),FALSE),""),"[hh]:mm"))</f>
        <v>#N/A</v>
      </c>
      <c r="AI27" s="284" t="e">
        <f>IF(VLOOKUP(T_Convention[[#This Row],[NumL]],T_TraitDi[#Data],COLUMN(T_TraitDi[Colonne9]),FALSE)=0,"",TEXT(IFERROR(VLOOKUP(T_Convention[[#This Row],[NumL]],T_TraitDi[#Data],COLUMN(T_TraitDi[Colonne9]),FALSE),""),"[hh]:mm"))</f>
        <v>#N/A</v>
      </c>
      <c r="AJ27" s="284" t="str">
        <f>IFERROR(VLOOKUP(T_Convention[[#This Row],[NumL]],T_TraitDi[#Data],COLUMN(T_TraitDi[Colonne10]),FALSE),"")</f>
        <v/>
      </c>
      <c r="AK27" s="284" t="e">
        <f>IF(VLOOKUP(T_Convention[[#This Row],[NumL]],T_TraitDi[#Data],COLUMN(T_TraitDi[Colonne11]),FALSE)=0,"",TEXT(IFERROR(VLOOKUP(T_Convention[[#This Row],[NumL]],T_TraitDi[#Data],COLUMN(T_TraitDi[Colonne11]),FALSE),""),"[hh]:mm"))</f>
        <v>#N/A</v>
      </c>
      <c r="AL27" s="284" t="e">
        <f>IF(VLOOKUP(T_Convention[[#This Row],[NumL]],T_TraitDi[#Data],COLUMN(T_TraitDi[Colonne12]),FALSE)=0,"",TEXT(IFERROR(VLOOKUP(T_Convention[[#This Row],[NumL]],T_TraitDi[#Data],COLUMN(T_TraitDi[Colonne12]),FALSE),""),"[hh]:mm"))</f>
        <v>#N/A</v>
      </c>
      <c r="AM27" s="284" t="e">
        <f>IF(VLOOKUP(T_Convention[[#This Row],[NumL]],T_TraitDi[#Data],COLUMN(T_TraitDi[Colonne14]),FALSE)=0,"",TEXT(IFERROR(VLOOKUP(T_Convention[[#This Row],[NumL]],T_TraitDi[#Data],COLUMN(T_TraitDi[Colonne14]),FALSE),""),"[hh]:mm"))</f>
        <v>#N/A</v>
      </c>
      <c r="AN27" s="284" t="str">
        <f>IFERROR(VLOOKUP(T_Convention[[#This Row],[NumL]],T_TraitDi[#Data],COLUMN(T_TraitDi[Mercredi]),FALSE),"")</f>
        <v/>
      </c>
      <c r="AO27" s="284" t="e">
        <f>IF(VLOOKUP(T_Convention[[#This Row],[NumL]],T_TraitDi[#Data],COLUMN(T_TraitDi[Colonne15]),FALSE)=0,"",TEXT(IFERROR(VLOOKUP(T_Convention[[#This Row],[NumL]],T_TraitDi[#Data],COLUMN(T_TraitDi[Colonne15]),FALSE),""),"[hh]:mm"))</f>
        <v>#N/A</v>
      </c>
      <c r="AP27" s="284" t="e">
        <f>IF(VLOOKUP(T_Convention[[#This Row],[NumL]],T_TraitDi[#Data],COLUMN(T_TraitDi[Colonne16]),FALSE)=0,"",TEXT(IFERROR(VLOOKUP(T_Convention[[#This Row],[NumL]],T_TraitDi[#Data],COLUMN(T_TraitDi[Colonne16]),FALSE),""),"[hh]:mm"))</f>
        <v>#N/A</v>
      </c>
      <c r="AQ27" s="284" t="str">
        <f>IFERROR(VLOOKUP(T_Convention[[#This Row],[NumL]],T_TraitDi[#Data],COLUMN(T_TraitDi[Colonne17]),FALSE),"")</f>
        <v/>
      </c>
      <c r="AR27" s="284" t="e">
        <f>IF(VLOOKUP(T_Convention[[#This Row],[NumL]],T_TraitDi[#Data],COLUMN(T_TraitDi[Colonne18]),FALSE)=0,"",TEXT(IFERROR(VLOOKUP(T_Convention[[#This Row],[NumL]],T_TraitDi[#Data],COLUMN(T_TraitDi[Colonne18]),FALSE),""),"[hh]:mm"))</f>
        <v>#N/A</v>
      </c>
      <c r="AS27" s="284" t="e">
        <f>IF(VLOOKUP(T_Convention[[#This Row],[NumL]],T_TraitDi[#Data],COLUMN(T_TraitDi[Colonne19]),FALSE)=0,"",TEXT(IFERROR(VLOOKUP(T_Convention[[#This Row],[NumL]],T_TraitDi[#Data],COLUMN(T_TraitDi[Colonne19]),FALSE),""),"[hh]:mm"))</f>
        <v>#N/A</v>
      </c>
      <c r="AT27" s="284" t="e">
        <f>IF(VLOOKUP(T_Convention[[#This Row],[NumL]],T_TraitDi[#Data],COLUMN(T_TraitDi[Colonne20]),FALSE)=0,"",TEXT(IFERROR(VLOOKUP(T_Convention[[#This Row],[NumL]],T_TraitDi[#Data],COLUMN(T_TraitDi[Colonne20]),FALSE),""),"[hh]:mm"))</f>
        <v>#N/A</v>
      </c>
      <c r="AU27" s="284" t="str">
        <f>IFERROR(VLOOKUP(T_Convention[[#This Row],[NumL]],T_TraitDi[#Data],COLUMN(T_TraitDi[Jeudi]),FALSE),"")</f>
        <v/>
      </c>
      <c r="AV27" s="284" t="e">
        <f>IF(VLOOKUP(T_Convention[[#This Row],[NumL]],T_TraitDi[#Data],COLUMN(T_TraitDi[Colonne21]),FALSE)=0,"",TEXT(IFERROR(VLOOKUP(T_Convention[[#This Row],[NumL]],T_TraitDi[#Data],COLUMN(T_TraitDi[Colonne21]),FALSE),""),"[hh]:mm"))</f>
        <v>#N/A</v>
      </c>
      <c r="AW27" s="284" t="e">
        <f>IF(VLOOKUP(T_Convention[[#This Row],[NumL]],T_TraitDi[#Data],COLUMN(T_TraitDi[Colonne22]),FALSE)=0,"",TEXT(IFERROR(VLOOKUP(T_Convention[[#This Row],[NumL]],T_TraitDi[#Data],COLUMN(T_TraitDi[Colonne22]),FALSE),""),"[hh]:mm"))</f>
        <v>#N/A</v>
      </c>
      <c r="AX27" s="284" t="str">
        <f>IFERROR(VLOOKUP(T_Convention[[#This Row],[NumL]],T_TraitDi[#Data],COLUMN(T_TraitDi[Colonne23]),FALSE),"")</f>
        <v/>
      </c>
      <c r="AY27" s="284" t="e">
        <f>IF(VLOOKUP(T_Convention[[#This Row],[NumL]],T_TraitDi[#Data],COLUMN(T_TraitDi[Colonne24]),FALSE)=0,"",TEXT(IFERROR(VLOOKUP(T_Convention[[#This Row],[NumL]],T_TraitDi[#Data],COLUMN(T_TraitDi[Colonne24]),FALSE),""),"[hh]:mm"))</f>
        <v>#N/A</v>
      </c>
      <c r="AZ27" s="284" t="e">
        <f>IF(VLOOKUP(T_Convention[[#This Row],[NumL]],T_TraitDi[#Data],COLUMN(T_TraitDi[Colonne25]),FALSE)=0,"",TEXT(IFERROR(VLOOKUP(T_Convention[[#This Row],[NumL]],T_TraitDi[#Data],COLUMN(T_TraitDi[Colonne25]),FALSE),""),"[hh]:mm"))</f>
        <v>#N/A</v>
      </c>
      <c r="BA27" s="284" t="e">
        <f>IF(VLOOKUP(T_Convention[[#This Row],[NumL]],T_TraitDi[#Data],COLUMN(T_TraitDi[Colonne26]),FALSE)=0,"",TEXT(IFERROR(VLOOKUP(T_Convention[[#This Row],[NumL]],T_TraitDi[#Data],COLUMN(T_TraitDi[Colonne26]),FALSE),""),"[hh]:mm"))</f>
        <v>#N/A</v>
      </c>
      <c r="BB27" s="284" t="str">
        <f>IFERROR(VLOOKUP(T_Convention[[#This Row],[NumL]],T_TraitDi[#Data],COLUMN(T_TraitDi[Vendredi]),FALSE),"")</f>
        <v/>
      </c>
      <c r="BC27" s="284" t="e">
        <f>IF(VLOOKUP(T_Convention[[#This Row],[NumL]],T_TraitDi[#Data],COLUMN(T_TraitDi[Colonne27]),FALSE)=0,"",TEXT(IFERROR(VLOOKUP(T_Convention[[#This Row],[NumL]],T_TraitDi[#Data],COLUMN(T_TraitDi[Colonne27]),FALSE),""),"[hh]:mm"))</f>
        <v>#N/A</v>
      </c>
      <c r="BD27" s="284" t="e">
        <f>IF(VLOOKUP(T_Convention[[#This Row],[NumL]],T_TraitDi[#Data],COLUMN(T_TraitDi[Colonne28]),FALSE)=0,"",TEXT(IFERROR(VLOOKUP(T_Convention[[#This Row],[NumL]],T_TraitDi[#Data],COLUMN(T_TraitDi[Colonne28]),FALSE),""),"[hh]:mm"))</f>
        <v>#N/A</v>
      </c>
      <c r="BE27" s="284" t="str">
        <f>IFERROR(VLOOKUP(T_Convention[[#This Row],[NumL]],T_TraitDi[#Data],COLUMN(T_TraitDi[Colonne29]),FALSE),"")</f>
        <v/>
      </c>
      <c r="BF27" s="284" t="e">
        <f>IF(VLOOKUP(T_Convention[[#This Row],[NumL]],T_TraitDi[#Data],COLUMN(T_TraitDi[Colonne30]),FALSE)=0,"",TEXT(IFERROR(VLOOKUP(T_Convention[[#This Row],[NumL]],T_TraitDi[#Data],COLUMN(T_TraitDi[Colonne30]),FALSE),""),"[hh]:mm"))</f>
        <v>#N/A</v>
      </c>
      <c r="BG27" s="284" t="e">
        <f>IF(VLOOKUP(T_Convention[[#This Row],[NumL]],T_TraitDi[#Data],COLUMN(T_TraitDi[Colonne31]),FALSE)=0,"",TEXT(IFERROR(VLOOKUP(T_Convention[[#This Row],[NumL]],T_TraitDi[#Data],COLUMN(T_TraitDi[Colonne31]),FALSE),""),"[hh]:mm"))</f>
        <v>#N/A</v>
      </c>
      <c r="BH27" s="284" t="e">
        <f>IF(VLOOKUP(T_Convention[[#This Row],[NumL]],T_TraitDi[#Data],COLUMN(T_TraitDi[Colonne32]),FALSE)=0,"",TEXT(IFERROR(VLOOKUP(T_Convention[[#This Row],[NumL]],T_TraitDi[#Data],COLUMN(T_TraitDi[Colonne32]),FALSE),""),"[hh]:mm"))</f>
        <v>#N/A</v>
      </c>
      <c r="BI27" s="284" t="str">
        <f>IFERROR(VLOOKUP(T_Convention[[#This Row],[NumL]],T_TraitDi[#Data],COLUMN(T_TraitDi[NbJTW]),FALSE),"")</f>
        <v/>
      </c>
      <c r="BJ27" s="284" t="e">
        <f>IF(VLOOKUP(T_Convention[[#This Row],[NumL]],T_TraitDi[#Data],COLUMN(T_TraitDi[NbhTW]),FALSE)=0,"",TEXT(IFERROR(VLOOKUP(T_Convention[[#This Row],[NumL]],T_TraitDi[#Data],COLUMN(T_TraitDi[NbhTW]),FALSE),""),"[hh]:mm"))</f>
        <v>#N/A</v>
      </c>
      <c r="BK27" s="286" t="e">
        <f>IF(VLOOKUP(T_Convention[[#This Row],[NumL]],T_TraitDi[#Data],COLUMN(T_TraitDi[Nbhheb]),FALSE)=0,"",TEXT(IFERROR(VLOOKUP(T_Convention[[#This Row],[NumL]],T_TraitDi[#Data],COLUMN(T_TraitDi[Nbhheb]),FALSE),""),"[hh]:mm"))</f>
        <v>#N/A</v>
      </c>
      <c r="BL27" s="287" t="str">
        <f>IFERROR(VLOOKUP(VLOOKUP(T_Convention[[#This Row],[NumL]],T_TraitDi[#Data],COLUMN(T_TraitDi[Type1]),FALSE),TypeTW,2,FALSE),"")</f>
        <v/>
      </c>
      <c r="BM27" s="288" t="str">
        <f>IFERROR(VLOOKUP(T_Convention[[#This Row],[NumL]],T_TraitDi[#Data],COLUMN(T_TraitDi[Rue1]),FALSE),"")</f>
        <v/>
      </c>
      <c r="BN27" s="289" t="str">
        <f>IFERROR(VLOOKUP(T_Convention[[#This Row],[NumL]],T_TraitDi[#Data],COLUMN(T_TraitDi[CP1]),FALSE),"")</f>
        <v/>
      </c>
      <c r="BO27" s="282" t="str">
        <f>IFERROR(VLOOKUP(T_Convention[[#This Row],[NumL]],T_TraitDi[#Data],COLUMN(T_TraitDi[VILLE1]),FALSE),"")</f>
        <v/>
      </c>
      <c r="BP27" s="290" t="str">
        <f>IFERROR(VLOOKUP(VLOOKUP(T_Convention[[#This Row],[NumL]],T_TraitDi[#Data],COLUMN(T_TraitDi[Type2]),FALSE),TypeTW,2,FALSE),"")</f>
        <v/>
      </c>
      <c r="BQ27" s="182" t="str">
        <f>IFERROR(VLOOKUP(T_Convention[[#This Row],[NumL]],T_TraitDi[#Data],COLUMN(T_TraitDi[Rue2]),FALSE),"")</f>
        <v/>
      </c>
      <c r="BR27" s="173" t="str">
        <f>IFERROR(VLOOKUP(T_Convention[[#This Row],[NumL]],T_TraitDi[#Data],COLUMN(T_TraitDi[CP2]),FALSE),"")</f>
        <v/>
      </c>
      <c r="BS27" s="173" t="str">
        <f>IFERROR(VLOOKUP(T_Convention[[#This Row],[NumL]],T_TraitDi[#Data],COLUMN(T_TraitDi[VILLE2]),FALSE),"")</f>
        <v/>
      </c>
      <c r="BT27" s="313" t="str">
        <f>IF(VLOOKUP(T_Convention[[#This Row],[NumL]],T_Equipement[#Data],COLUMN(T_Equipement[PC]),FALSE)="","Aucun équipement spécifique directement lié au télétravail",VLOOKUP(T_Convention[[#This Row],[NumL]],T_Equipement[#Data],COLUMN(T_Equipement[PC]),FALSE))</f>
        <v xml:space="preserve">17-027	</v>
      </c>
      <c r="BU27" s="296" t="str">
        <f>IFERROR(IF(VLOOKUP(T_Convention[[#This Row],[NumL]],T_TraitDi[#Data],COLUMN(T_TraitDi[Plan]),FALSE)="OK","Un planning spécifique de télétravail est annexé à la présente convention.",""),"")</f>
        <v/>
      </c>
      <c r="BV27" s="185" t="s">
        <v>3304</v>
      </c>
      <c r="BW27" s="164" t="e">
        <f>IF(VLOOKUP(T_Convention[[#This Row],[NumL]],T_suiviDi[#Data],COLUMN(T_suiviDi[Entité]),FALSE)="","",VLOOKUP(T_Convention[[#This Row],[NumL]],T_suiviDi[#Data],COLUMN(T_suiviDi[Entité]),FALSE))</f>
        <v>#N/A</v>
      </c>
      <c r="BX27" s="164" t="str">
        <f>IF(VLOOKUP(T_Convention[[#This Row],[NumL]],T_Commission[#Data],COLUMN(T_Commission[envoi confirm TW]),FALSE)="","",VLOOKUP(T_Convention[[#This Row],[NumL]],T_Commission[#Data],COLUMN(T_Commission[envoi confirm TW]),FALSE))</f>
        <v>Oui</v>
      </c>
      <c r="BY2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 s="264">
        <f>VLOOKUP(T_Convention[[#This Row],[NumL]],T_Commission[#Data],COLUMN(T_Commission[Commentaire]),FALSE)</f>
        <v>0</v>
      </c>
      <c r="CA27" s="254" t="str">
        <f>IF(VLOOKUP(T_Convention[[#This Row],[NumL]],T_Commission[#Data],COLUMN(T_Commission[Encadrant Email]),FALSE)="","",VLOOKUP(T_Convention[[#This Row],[NumL]],T_Commission[#Data],COLUMN(T_Commission[Encadrant Email]),FALSE))</f>
        <v/>
      </c>
      <c r="CB27" s="352" t="e">
        <f>VLOOKUP(T_Convention[[#This Row],[NumL]],T_TraitDi[#Data],COLUMN(T_TraitDi[NbJTot]),FALSE)</f>
        <v>#N/A</v>
      </c>
      <c r="CC27" s="352" t="e">
        <f>VLOOKUP(T_Convention[[#This Row],[NumL]],T_TraitDi[#Data],COLUMN(T_TraitDi[Reg Ponct]),FALSE)</f>
        <v>#N/A</v>
      </c>
      <c r="CD27" s="348" t="str">
        <f>IF(T_Convention[[#This Row],[Final]]&lt;&gt;"",VLOOKUP(T_Convention[[#This Row],[NumL]],T_suiviDi[#Data],COLUMN((T_suiviDi[Statut])),FALSE),"")</f>
        <v/>
      </c>
    </row>
    <row r="28" spans="1:82" s="106" customFormat="1" ht="18.75" customHeight="1" x14ac:dyDescent="0.25">
      <c r="A28" s="90">
        <v>173</v>
      </c>
      <c r="B28" s="161" t="str">
        <f>VLOOKUP(T_Convention[[#This Row],[NumL]],T_Commission[#Data],COLUMN(T_Commission[FINAL]),FALSE)</f>
        <v/>
      </c>
      <c r="C28" s="162"/>
      <c r="D28" s="95" t="e">
        <f>IF(VLOOKUP(T_Convention[[#This Row],[NumL]],T_TraitDi[#Data],COLUMN(T_TraitDi[WebC]),FALSE)="","",VLOOKUP(T_Convention[[#This Row],[NumL]],T_TraitDi[#Data],COLUMN(T_TraitDi[WebC]),FALSE))</f>
        <v>#N/A</v>
      </c>
      <c r="E28" s="95" t="str">
        <f t="shared" si="0"/>
        <v>12 janvier 2021</v>
      </c>
      <c r="F28" s="282" t="str">
        <f>IF(T_Convention[[#This Row],[Final]]&lt;&gt;"",VLOOKUP(T_Convention[[#This Row],[NumL]],T_suiviDi[#Data],COLUMN((T_suiviDi[Civ.])),FALSE),"")</f>
        <v/>
      </c>
      <c r="G28" s="283" t="str">
        <f>IF(T_Convention[[#This Row],[Final]]&lt;&gt;"",VLOOKUP(T_Convention[[#This Row],[NumL]],T_suiviDi[#Data],COLUMN((T_suiviDi[Nom])),FALSE),"")</f>
        <v/>
      </c>
      <c r="H28" s="282" t="str">
        <f>IF(T_Convention[[#This Row],[Final]]&lt;&gt;"",VLOOKUP(T_Convention[[#This Row],[NumL]],T_suiviDi[#Data],COLUMN((T_suiviDi[Prénom])),FALSE),"")</f>
        <v/>
      </c>
      <c r="I28" s="282" t="e">
        <f>VLOOKUP(T_Convention[[#This Row],[NumL]],T_suiviDi[#Data],COLUMN((T_suiviDi[[#This Row],[Email]])),FALSE)</f>
        <v>#N/A</v>
      </c>
      <c r="J28" s="282" t="e">
        <f>IF(VLOOKUP(T_Convention[[#This Row],[NumL]],T_suiviDi[#Data],COLUMN(T_suiviDi[[#This Row],[Fonction]]),FALSE)="","",VLOOKUP(T_Convention[[#This Row],[NumL]],T_suiviDi[#Data],COLUMN(T_suiviDi[[#This Row],[Fonction]]),FALSE))</f>
        <v>#N/A</v>
      </c>
      <c r="K28" s="282" t="e">
        <f>IF(VLOOKUP(T_Convention[[#This Row],[NumL]],T_suiviDi[#Data],COLUMN(T_suiviDi[[#This Row],[Grade]]),FALSE)="","",VLOOKUP(T_Convention[[#This Row],[NumL]],T_suiviDi[#Data],COLUMN(T_suiviDi[[#This Row],[Grade]]),FALSE))</f>
        <v>#N/A</v>
      </c>
      <c r="L28" s="282" t="e">
        <f>IF(VLOOKUP(T_Convention[[#This Row],[NumL]],T_suiviDi[#Data],COLUMN(T_suiviDi[[#This Row],[Service ]]),FALSE)="","",VLOOKUP(T_Convention[[#This Row],[NumL]],T_suiviDi[#Data],COLUMN(T_suiviDi[[#This Row],[Service ]]),FALSE))</f>
        <v>#N/A</v>
      </c>
      <c r="M28" s="96" t="str">
        <f t="shared" si="1"/>
        <v>01 septembre 2021</v>
      </c>
      <c r="N28" s="96" t="str">
        <f t="shared" si="2"/>
        <v>30 novembre 2021</v>
      </c>
      <c r="O28" s="284" t="str">
        <f t="shared" si="3"/>
        <v>30 novembre 2021</v>
      </c>
      <c r="P28" s="282" t="e">
        <f>IF(VLOOKUP(T_Convention[[#This Row],[NumL]],T_TraitDi[#Data],COLUMN(T_TraitDi[M1]),FALSE)="","",VLOOKUP(T_Convention[[#This Row],[NumL]],T_TraitDi[#Data],COLUMN(T_TraitDi[M1]),FALSE))</f>
        <v>#N/A</v>
      </c>
      <c r="Q28" s="282" t="e">
        <f>IF(VLOOKUP(T_Convention[[#This Row],[NumL]],T_TraitDi[#Data],COLUMN(T_TraitDi[M2]),FALSE)="","",VLOOKUP(T_Convention[[#This Row],[NumL]],T_TraitDi[#Data],COLUMN(T_TraitDi[M2]),FALSE))</f>
        <v>#N/A</v>
      </c>
      <c r="R28" s="282" t="e">
        <f>IF(VLOOKUP(T_Convention[[#This Row],[NumL]],T_TraitDi[#Data],COLUMN(T_TraitDi[M3]),FALSE)="","",VLOOKUP(T_Convention[[#This Row],[NumL]],T_TraitDi[#Data],COLUMN(T_TraitDi[M3]),FALSE))</f>
        <v>#N/A</v>
      </c>
      <c r="S28" s="282" t="e">
        <f>IF(VLOOKUP(T_Convention[[#This Row],[NumL]],T_TraitDi[#Data],COLUMN(T_TraitDi[M4]),FALSE)="","",VLOOKUP(T_Convention[[#This Row],[NumL]],T_TraitDi[#Data],COLUMN(T_TraitDi[M4]),FALSE))</f>
        <v>#N/A</v>
      </c>
      <c r="T28" s="282" t="e">
        <f>IF(VLOOKUP(T_Convention[[#This Row],[NumL]],T_TraitDi[#Data],COLUMN(T_TraitDi[M5]),FALSE)="","",VLOOKUP(T_Convention[[#This Row],[NumL]],T_TraitDi[#Data],COLUMN(T_TraitDi[M5]),FALSE))</f>
        <v>#N/A</v>
      </c>
      <c r="U28" s="282" t="e">
        <f>IF(VLOOKUP(T_Convention[[#This Row],[NumL]],T_TraitDi[#Data],COLUMN(T_TraitDi[M6]),FALSE)="","",VLOOKUP(T_Convention[[#This Row],[NumL]],T_TraitDi[#Data],COLUMN(T_TraitDi[M6]),FALSE))</f>
        <v>#N/A</v>
      </c>
      <c r="V28" s="312" t="e">
        <f t="shared" si="4"/>
        <v>#N/A</v>
      </c>
      <c r="W28" s="284" t="str">
        <f>IFERROR(TEXT(VLOOKUP(T_Convention[[#This Row],[NumL]],T_TraitDi[#Data],COLUMN(T_TraitDi[Q2]),FALSE),"###%"),"")</f>
        <v/>
      </c>
      <c r="X28" s="97" t="e">
        <f>VLOOKUP(T_Convention[[#This Row],[NumL]],T_TraitDi[#Data],COLUMN(T_TraitDi[Reg Ponct]),FALSE)</f>
        <v>#N/A</v>
      </c>
      <c r="Y28" s="97" t="e">
        <f>VLOOKUP(T_Convention[NumL],T_TraitDi[#Data],COLUMN(T_TraitDi[Jours flottants]),FALSE)</f>
        <v>#N/A</v>
      </c>
      <c r="Z28" s="284" t="str">
        <f>IFERROR(VLOOKUP(T_Convention[[#This Row],[NumL]],T_TraitDi[#Data],COLUMN(T_TraitDi[Lundi]),FALSE),"")</f>
        <v/>
      </c>
      <c r="AA28" s="284" t="e">
        <f>IF(VLOOKUP(T_Convention[[#This Row],[NumL]],T_TraitDi[#Data],COLUMN(T_TraitDi[Colonne3]),FALSE)=0,"",TEXT(IFERROR(VLOOKUP(T_Convention[[#This Row],[NumL]],T_TraitDi[#Data],COLUMN(T_TraitDi[Colonne3]),FALSE),""),"[hh]:mm"))</f>
        <v>#N/A</v>
      </c>
      <c r="AB28" s="284" t="e">
        <f>IF(VLOOKUP(T_Convention[[#This Row],[NumL]],T_TraitDi[#Data],COLUMN(T_TraitDi[Colonne4]),FALSE)=0,"",TEXT(IFERROR(VLOOKUP(T_Convention[[#This Row],[NumL]],T_TraitDi[#Data],COLUMN(T_TraitDi[Colonne4]),FALSE),""),"[hh]:mm"))</f>
        <v>#N/A</v>
      </c>
      <c r="AC28" s="284" t="e">
        <f>IF(VLOOKUP(T_Convention[[#This Row],[NumL]],T_TraitDi[#Data],COLUMN(T_TraitDi[Colonne5]),FALSE)=0,"",TEXT(IFERROR(VLOOKUP(T_Convention[[#This Row],[NumL]],T_TraitDi[#Data],COLUMN(T_TraitDi[Colonne5]),FALSE),""),"[hh]:mm"))</f>
        <v>#N/A</v>
      </c>
      <c r="AD28" s="284" t="e">
        <f>IF(VLOOKUP(T_Convention[[#This Row],[NumL]],T_TraitDi[#Data],COLUMN(T_TraitDi[Colonne6]),FALSE)=0,"",TEXT(IFERROR(VLOOKUP(T_Convention[[#This Row],[NumL]],T_TraitDi[#Data],COLUMN(T_TraitDi[Colonne6]),FALSE),""),"[hh]:mm"))</f>
        <v>#N/A</v>
      </c>
      <c r="AE28" s="284" t="e">
        <f>IF(VLOOKUP(T_Convention[[#This Row],[NumL]],T_TraitDi[#Data],COLUMN(T_TraitDi[Colonne7]),FALSE)=0,"",TEXT(IFERROR(VLOOKUP(T_Convention[[#This Row],[NumL]],T_TraitDi[#Data],COLUMN(T_TraitDi[Colonne7]),FALSE),""),"[hh]:mm"))</f>
        <v>#N/A</v>
      </c>
      <c r="AF28" s="284" t="e">
        <f>IF(VLOOKUP(T_Convention[[#This Row],[NumL]],T_TraitDi[#Data],COLUMN(T_TraitDi[Colonne8]),FALSE)=0,"",TEXT(IFERROR(VLOOKUP(T_Convention[[#This Row],[NumL]],T_TraitDi[#Data],COLUMN(T_TraitDi[Colonne8]),FALSE),""),"[hh]:mm"))</f>
        <v>#N/A</v>
      </c>
      <c r="AG28" s="284" t="str">
        <f>IFERROR(VLOOKUP(T_Convention[[#This Row],[NumL]],T_TraitDi[#Data],COLUMN(T_TraitDi[Mardi]),FALSE),"")</f>
        <v/>
      </c>
      <c r="AH28" s="284" t="e">
        <f>IF(VLOOKUP(T_Convention[[#This Row],[NumL]],T_TraitDi[#Data],COLUMN(T_TraitDi[Colonne1]),FALSE)=0,"",TEXT(IFERROR(VLOOKUP(T_Convention[[#This Row],[NumL]],T_TraitDi[#Data],COLUMN(T_TraitDi[Colonne1]),FALSE),""),"[hh]:mm"))</f>
        <v>#N/A</v>
      </c>
      <c r="AI28" s="284" t="e">
        <f>IF(VLOOKUP(T_Convention[[#This Row],[NumL]],T_TraitDi[#Data],COLUMN(T_TraitDi[Colonne9]),FALSE)=0,"",TEXT(IFERROR(VLOOKUP(T_Convention[[#This Row],[NumL]],T_TraitDi[#Data],COLUMN(T_TraitDi[Colonne9]),FALSE),""),"[hh]:mm"))</f>
        <v>#N/A</v>
      </c>
      <c r="AJ28" s="284" t="str">
        <f>IFERROR(VLOOKUP(T_Convention[[#This Row],[NumL]],T_TraitDi[#Data],COLUMN(T_TraitDi[Colonne10]),FALSE),"")</f>
        <v/>
      </c>
      <c r="AK28" s="284" t="e">
        <f>IF(VLOOKUP(T_Convention[[#This Row],[NumL]],T_TraitDi[#Data],COLUMN(T_TraitDi[Colonne11]),FALSE)=0,"",TEXT(IFERROR(VLOOKUP(T_Convention[[#This Row],[NumL]],T_TraitDi[#Data],COLUMN(T_TraitDi[Colonne11]),FALSE),""),"[hh]:mm"))</f>
        <v>#N/A</v>
      </c>
      <c r="AL28" s="284" t="e">
        <f>IF(VLOOKUP(T_Convention[[#This Row],[NumL]],T_TraitDi[#Data],COLUMN(T_TraitDi[Colonne12]),FALSE)=0,"",TEXT(IFERROR(VLOOKUP(T_Convention[[#This Row],[NumL]],T_TraitDi[#Data],COLUMN(T_TraitDi[Colonne12]),FALSE),""),"[hh]:mm"))</f>
        <v>#N/A</v>
      </c>
      <c r="AM28" s="284" t="e">
        <f>IF(VLOOKUP(T_Convention[[#This Row],[NumL]],T_TraitDi[#Data],COLUMN(T_TraitDi[Colonne14]),FALSE)=0,"",TEXT(IFERROR(VLOOKUP(T_Convention[[#This Row],[NumL]],T_TraitDi[#Data],COLUMN(T_TraitDi[Colonne14]),FALSE),""),"[hh]:mm"))</f>
        <v>#N/A</v>
      </c>
      <c r="AN28" s="284" t="str">
        <f>IFERROR(VLOOKUP(T_Convention[[#This Row],[NumL]],T_TraitDi[#Data],COLUMN(T_TraitDi[Mercredi]),FALSE),"")</f>
        <v/>
      </c>
      <c r="AO28" s="284" t="e">
        <f>IF(VLOOKUP(T_Convention[[#This Row],[NumL]],T_TraitDi[#Data],COLUMN(T_TraitDi[Colonne15]),FALSE)=0,"",TEXT(IFERROR(VLOOKUP(T_Convention[[#This Row],[NumL]],T_TraitDi[#Data],COLUMN(T_TraitDi[Colonne15]),FALSE),""),"[hh]:mm"))</f>
        <v>#N/A</v>
      </c>
      <c r="AP28" s="284" t="e">
        <f>IF(VLOOKUP(T_Convention[[#This Row],[NumL]],T_TraitDi[#Data],COLUMN(T_TraitDi[Colonne16]),FALSE)=0,"",TEXT(IFERROR(VLOOKUP(T_Convention[[#This Row],[NumL]],T_TraitDi[#Data],COLUMN(T_TraitDi[Colonne16]),FALSE),""),"[hh]:mm"))</f>
        <v>#N/A</v>
      </c>
      <c r="AQ28" s="284" t="str">
        <f>IFERROR(VLOOKUP(T_Convention[[#This Row],[NumL]],T_TraitDi[#Data],COLUMN(T_TraitDi[Colonne17]),FALSE),"")</f>
        <v/>
      </c>
      <c r="AR28" s="284" t="e">
        <f>IF(VLOOKUP(T_Convention[[#This Row],[NumL]],T_TraitDi[#Data],COLUMN(T_TraitDi[Colonne18]),FALSE)=0,"",TEXT(IFERROR(VLOOKUP(T_Convention[[#This Row],[NumL]],T_TraitDi[#Data],COLUMN(T_TraitDi[Colonne18]),FALSE),""),"[hh]:mm"))</f>
        <v>#N/A</v>
      </c>
      <c r="AS28" s="284" t="e">
        <f>IF(VLOOKUP(T_Convention[[#This Row],[NumL]],T_TraitDi[#Data],COLUMN(T_TraitDi[Colonne19]),FALSE)=0,"",TEXT(IFERROR(VLOOKUP(T_Convention[[#This Row],[NumL]],T_TraitDi[#Data],COLUMN(T_TraitDi[Colonne19]),FALSE),""),"[hh]:mm"))</f>
        <v>#N/A</v>
      </c>
      <c r="AT28" s="284" t="e">
        <f>IF(VLOOKUP(T_Convention[[#This Row],[NumL]],T_TraitDi[#Data],COLUMN(T_TraitDi[Colonne20]),FALSE)=0,"",TEXT(IFERROR(VLOOKUP(T_Convention[[#This Row],[NumL]],T_TraitDi[#Data],COLUMN(T_TraitDi[Colonne20]),FALSE),""),"[hh]:mm"))</f>
        <v>#N/A</v>
      </c>
      <c r="AU28" s="284" t="str">
        <f>IFERROR(VLOOKUP(T_Convention[[#This Row],[NumL]],T_TraitDi[#Data],COLUMN(T_TraitDi[Jeudi]),FALSE),"")</f>
        <v/>
      </c>
      <c r="AV28" s="284" t="e">
        <f>IF(VLOOKUP(T_Convention[[#This Row],[NumL]],T_TraitDi[#Data],COLUMN(T_TraitDi[Colonne21]),FALSE)=0,"",TEXT(IFERROR(VLOOKUP(T_Convention[[#This Row],[NumL]],T_TraitDi[#Data],COLUMN(T_TraitDi[Colonne21]),FALSE),""),"[hh]:mm"))</f>
        <v>#N/A</v>
      </c>
      <c r="AW28" s="284" t="e">
        <f>IF(VLOOKUP(T_Convention[[#This Row],[NumL]],T_TraitDi[#Data],COLUMN(T_TraitDi[Colonne22]),FALSE)=0,"",TEXT(IFERROR(VLOOKUP(T_Convention[[#This Row],[NumL]],T_TraitDi[#Data],COLUMN(T_TraitDi[Colonne22]),FALSE),""),"[hh]:mm"))</f>
        <v>#N/A</v>
      </c>
      <c r="AX28" s="284" t="str">
        <f>IFERROR(VLOOKUP(T_Convention[[#This Row],[NumL]],T_TraitDi[#Data],COLUMN(T_TraitDi[Colonne23]),FALSE),"")</f>
        <v/>
      </c>
      <c r="AY28" s="284" t="e">
        <f>IF(VLOOKUP(T_Convention[[#This Row],[NumL]],T_TraitDi[#Data],COLUMN(T_TraitDi[Colonne24]),FALSE)=0,"",TEXT(IFERROR(VLOOKUP(T_Convention[[#This Row],[NumL]],T_TraitDi[#Data],COLUMN(T_TraitDi[Colonne24]),FALSE),""),"[hh]:mm"))</f>
        <v>#N/A</v>
      </c>
      <c r="AZ28" s="284" t="e">
        <f>IF(VLOOKUP(T_Convention[[#This Row],[NumL]],T_TraitDi[#Data],COLUMN(T_TraitDi[Colonne25]),FALSE)=0,"",TEXT(IFERROR(VLOOKUP(T_Convention[[#This Row],[NumL]],T_TraitDi[#Data],COLUMN(T_TraitDi[Colonne25]),FALSE),""),"[hh]:mm"))</f>
        <v>#N/A</v>
      </c>
      <c r="BA28" s="284" t="e">
        <f>IF(VLOOKUP(T_Convention[[#This Row],[NumL]],T_TraitDi[#Data],COLUMN(T_TraitDi[Colonne26]),FALSE)=0,"",TEXT(IFERROR(VLOOKUP(T_Convention[[#This Row],[NumL]],T_TraitDi[#Data],COLUMN(T_TraitDi[Colonne26]),FALSE),""),"[hh]:mm"))</f>
        <v>#N/A</v>
      </c>
      <c r="BB28" s="284" t="str">
        <f>IFERROR(VLOOKUP(T_Convention[[#This Row],[NumL]],T_TraitDi[#Data],COLUMN(T_TraitDi[Vendredi]),FALSE),"")</f>
        <v/>
      </c>
      <c r="BC28" s="284" t="e">
        <f>IF(VLOOKUP(T_Convention[[#This Row],[NumL]],T_TraitDi[#Data],COLUMN(T_TraitDi[Colonne27]),FALSE)=0,"",TEXT(IFERROR(VLOOKUP(T_Convention[[#This Row],[NumL]],T_TraitDi[#Data],COLUMN(T_TraitDi[Colonne27]),FALSE),""),"[hh]:mm"))</f>
        <v>#N/A</v>
      </c>
      <c r="BD28" s="284" t="e">
        <f>IF(VLOOKUP(T_Convention[[#This Row],[NumL]],T_TraitDi[#Data],COLUMN(T_TraitDi[Colonne28]),FALSE)=0,"",TEXT(IFERROR(VLOOKUP(T_Convention[[#This Row],[NumL]],T_TraitDi[#Data],COLUMN(T_TraitDi[Colonne28]),FALSE),""),"[hh]:mm"))</f>
        <v>#N/A</v>
      </c>
      <c r="BE28" s="284" t="str">
        <f>IFERROR(VLOOKUP(T_Convention[[#This Row],[NumL]],T_TraitDi[#Data],COLUMN(T_TraitDi[Colonne29]),FALSE),"")</f>
        <v/>
      </c>
      <c r="BF28" s="284" t="e">
        <f>IF(VLOOKUP(T_Convention[[#This Row],[NumL]],T_TraitDi[#Data],COLUMN(T_TraitDi[Colonne30]),FALSE)=0,"",TEXT(IFERROR(VLOOKUP(T_Convention[[#This Row],[NumL]],T_TraitDi[#Data],COLUMN(T_TraitDi[Colonne30]),FALSE),""),"[hh]:mm"))</f>
        <v>#N/A</v>
      </c>
      <c r="BG28" s="284" t="e">
        <f>IF(VLOOKUP(T_Convention[[#This Row],[NumL]],T_TraitDi[#Data],COLUMN(T_TraitDi[Colonne31]),FALSE)=0,"",TEXT(IFERROR(VLOOKUP(T_Convention[[#This Row],[NumL]],T_TraitDi[#Data],COLUMN(T_TraitDi[Colonne31]),FALSE),""),"[hh]:mm"))</f>
        <v>#N/A</v>
      </c>
      <c r="BH28" s="284" t="e">
        <f>IF(VLOOKUP(T_Convention[[#This Row],[NumL]],T_TraitDi[#Data],COLUMN(T_TraitDi[Colonne32]),FALSE)=0,"",TEXT(IFERROR(VLOOKUP(T_Convention[[#This Row],[NumL]],T_TraitDi[#Data],COLUMN(T_TraitDi[Colonne32]),FALSE),""),"[hh]:mm"))</f>
        <v>#N/A</v>
      </c>
      <c r="BI28" s="284" t="str">
        <f>IFERROR(VLOOKUP(T_Convention[[#This Row],[NumL]],T_TraitDi[#Data],COLUMN(T_TraitDi[NbJTW]),FALSE),"")</f>
        <v/>
      </c>
      <c r="BJ28" s="284" t="e">
        <f>IF(VLOOKUP(T_Convention[[#This Row],[NumL]],T_TraitDi[#Data],COLUMN(T_TraitDi[NbhTW]),FALSE)=0,"",TEXT(IFERROR(VLOOKUP(T_Convention[[#This Row],[NumL]],T_TraitDi[#Data],COLUMN(T_TraitDi[NbhTW]),FALSE),""),"[hh]:mm"))</f>
        <v>#N/A</v>
      </c>
      <c r="BK28" s="286" t="e">
        <f>IF(VLOOKUP(T_Convention[[#This Row],[NumL]],T_TraitDi[#Data],COLUMN(T_TraitDi[Nbhheb]),FALSE)=0,"",TEXT(IFERROR(VLOOKUP(T_Convention[[#This Row],[NumL]],T_TraitDi[#Data],COLUMN(T_TraitDi[Nbhheb]),FALSE),""),"[hh]:mm"))</f>
        <v>#N/A</v>
      </c>
      <c r="BL28" s="287" t="str">
        <f>IFERROR(VLOOKUP(VLOOKUP(T_Convention[[#This Row],[NumL]],T_TraitDi[#Data],COLUMN(T_TraitDi[Type1]),FALSE),TypeTW,2,FALSE),"")</f>
        <v/>
      </c>
      <c r="BM28" s="288" t="str">
        <f>IFERROR(VLOOKUP(T_Convention[[#This Row],[NumL]],T_TraitDi[#Data],COLUMN(T_TraitDi[Rue1]),FALSE),"")</f>
        <v/>
      </c>
      <c r="BN28" s="289" t="str">
        <f>IFERROR(VLOOKUP(T_Convention[[#This Row],[NumL]],T_TraitDi[#Data],COLUMN(T_TraitDi[CP1]),FALSE),"")</f>
        <v/>
      </c>
      <c r="BO28" s="282" t="str">
        <f>IFERROR(VLOOKUP(T_Convention[[#This Row],[NumL]],T_TraitDi[#Data],COLUMN(T_TraitDi[VILLE1]),FALSE),"")</f>
        <v/>
      </c>
      <c r="BP28" s="290" t="str">
        <f>IFERROR(VLOOKUP(VLOOKUP(T_Convention[[#This Row],[NumL]],T_TraitDi[#Data],COLUMN(T_TraitDi[Type2]),FALSE),TypeTW,2,FALSE),"")</f>
        <v/>
      </c>
      <c r="BQ28" s="182" t="str">
        <f>IFERROR(VLOOKUP(T_Convention[[#This Row],[NumL]],T_TraitDi[#Data],COLUMN(T_TraitDi[Rue2]),FALSE),"")</f>
        <v/>
      </c>
      <c r="BR28" s="173" t="str">
        <f>IFERROR(VLOOKUP(T_Convention[[#This Row],[NumL]],T_TraitDi[#Data],COLUMN(T_TraitDi[CP2]),FALSE),"")</f>
        <v/>
      </c>
      <c r="BS28" s="173" t="str">
        <f>IFERROR(VLOOKUP(T_Convention[[#This Row],[NumL]],T_TraitDi[#Data],COLUMN(T_TraitDi[VILLE2]),FALSE),"")</f>
        <v/>
      </c>
      <c r="BT28" s="182" t="str">
        <f>IF(VLOOKUP(T_Convention[[#This Row],[NumL]],T_Equipement[#Data],COLUMN(T_Equipement[PC]),FALSE)="","Aucun équipement spécifique directement lié au télétravail",VLOOKUP(T_Convention[[#This Row],[NumL]],T_Equipement[#Data],COLUMN(T_Equipement[PC]),FALSE))</f>
        <v xml:space="preserve">20-245	</v>
      </c>
      <c r="BU28" s="166" t="str">
        <f>IFERROR(IF(VLOOKUP(T_Convention[[#This Row],[NumL]],T_TraitDi[#Data],COLUMN(T_TraitDi[Plan]),FALSE)="OK","Un planning spécifique de télétravail est annexé à la présente convention.",""),"")</f>
        <v/>
      </c>
      <c r="BV28" s="185"/>
      <c r="BW28" s="164" t="e">
        <f>IF(VLOOKUP(T_Convention[[#This Row],[NumL]],T_suiviDi[#Data],COLUMN(T_suiviDi[Entité]),FALSE)="","",VLOOKUP(T_Convention[[#This Row],[NumL]],T_suiviDi[#Data],COLUMN(T_suiviDi[Entité]),FALSE))</f>
        <v>#N/A</v>
      </c>
      <c r="BX28" s="164" t="str">
        <f>IF(VLOOKUP(T_Convention[[#This Row],[NumL]],T_Commission[#Data],COLUMN(T_Commission[envoi confirm TW]),FALSE)="","",VLOOKUP(T_Convention[[#This Row],[NumL]],T_Commission[#Data],COLUMN(T_Commission[envoi confirm TW]),FALSE))</f>
        <v>Oui</v>
      </c>
      <c r="BY2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 s="264" t="str">
        <f>VLOOKUP(T_Convention[[#This Row],[NumL]],T_Commission[#Data],COLUMN(T_Commission[Commentaire]),FALSE)</f>
        <v>Renouvellement à l'identique de la demande de télétravail sur 2 jours mais conditionné à un retour à 100 % après un mi-temps thérapeutique.</v>
      </c>
      <c r="CA28" s="254" t="str">
        <f>IF(VLOOKUP(T_Convention[[#This Row],[NumL]],T_Commission[#Data],COLUMN(T_Commission[Encadrant Email]),FALSE)="","",VLOOKUP(T_Convention[[#This Row],[NumL]],T_Commission[#Data],COLUMN(T_Commission[Encadrant Email]),FALSE))</f>
        <v/>
      </c>
      <c r="CB28" s="352" t="e">
        <f>VLOOKUP(T_Convention[[#This Row],[NumL]],T_TraitDi[#Data],COLUMN(T_TraitDi[NbJTot]),FALSE)</f>
        <v>#N/A</v>
      </c>
      <c r="CC28" s="352" t="e">
        <f>VLOOKUP(T_Convention[[#This Row],[NumL]],T_TraitDi[#Data],COLUMN(T_TraitDi[Reg Ponct]),FALSE)</f>
        <v>#N/A</v>
      </c>
      <c r="CD28" s="348" t="str">
        <f>IF(T_Convention[[#This Row],[Final]]&lt;&gt;"",VLOOKUP(T_Convention[[#This Row],[NumL]],T_suiviDi[#Data],COLUMN((T_suiviDi[Statut])),FALSE),"")</f>
        <v/>
      </c>
    </row>
    <row r="29" spans="1:82" s="106" customFormat="1" ht="18.75" customHeight="1" x14ac:dyDescent="0.25">
      <c r="A29" s="160">
        <v>184</v>
      </c>
      <c r="B29" s="161" t="str">
        <f>VLOOKUP(T_Convention[[#This Row],[NumL]],T_Commission[#Data],COLUMN(T_Commission[FINAL]),FALSE)</f>
        <v/>
      </c>
      <c r="C29" s="162"/>
      <c r="D29" s="95" t="e">
        <f>IF(VLOOKUP(T_Convention[[#This Row],[NumL]],T_TraitDi[#Data],COLUMN(T_TraitDi[WebC]),FALSE)="","",VLOOKUP(T_Convention[[#This Row],[NumL]],T_TraitDi[#Data],COLUMN(T_TraitDi[WebC]),FALSE))</f>
        <v>#N/A</v>
      </c>
      <c r="E29" s="163" t="str">
        <f t="shared" si="0"/>
        <v>12 janvier 2021</v>
      </c>
      <c r="F29" s="282" t="str">
        <f>IF(T_Convention[[#This Row],[Final]]&lt;&gt;"",VLOOKUP(T_Convention[[#This Row],[NumL]],T_suiviDi[#Data],COLUMN((T_suiviDi[Civ.])),FALSE),"")</f>
        <v/>
      </c>
      <c r="G29" s="283" t="str">
        <f>IF(T_Convention[[#This Row],[Final]]&lt;&gt;"",VLOOKUP(T_Convention[[#This Row],[NumL]],T_suiviDi[#Data],COLUMN((T_suiviDi[Nom])),FALSE),"")</f>
        <v/>
      </c>
      <c r="H29" s="282" t="str">
        <f>IF(T_Convention[[#This Row],[Final]]&lt;&gt;"",VLOOKUP(T_Convention[[#This Row],[NumL]],T_suiviDi[#Data],COLUMN((T_suiviDi[Prénom])),FALSE),"")</f>
        <v/>
      </c>
      <c r="I29" s="282" t="e">
        <f>VLOOKUP(T_Convention[[#This Row],[NumL]],T_suiviDi[#Data],COLUMN((T_suiviDi[[#This Row],[Email]])),FALSE)</f>
        <v>#N/A</v>
      </c>
      <c r="J29" s="282" t="e">
        <f>IF(VLOOKUP(T_Convention[[#This Row],[NumL]],T_suiviDi[#Data],COLUMN(T_suiviDi[[#This Row],[Fonction]]),FALSE)="","",VLOOKUP(T_Convention[[#This Row],[NumL]],T_suiviDi[#Data],COLUMN(T_suiviDi[[#This Row],[Fonction]]),FALSE))</f>
        <v>#N/A</v>
      </c>
      <c r="K29" s="282" t="e">
        <f>IF(VLOOKUP(T_Convention[[#This Row],[NumL]],T_suiviDi[#Data],COLUMN(T_suiviDi[[#This Row],[Grade]]),FALSE)="","",VLOOKUP(T_Convention[[#This Row],[NumL]],T_suiviDi[#Data],COLUMN(T_suiviDi[[#This Row],[Grade]]),FALSE))</f>
        <v>#N/A</v>
      </c>
      <c r="L29" s="282" t="e">
        <f>IF(VLOOKUP(T_Convention[[#This Row],[NumL]],T_suiviDi[#Data],COLUMN(T_suiviDi[[#This Row],[Service ]]),FALSE)="","",VLOOKUP(T_Convention[[#This Row],[NumL]],T_suiviDi[#Data],COLUMN(T_suiviDi[[#This Row],[Service ]]),FALSE))</f>
        <v>#N/A</v>
      </c>
      <c r="M29" s="164" t="str">
        <f t="shared" si="1"/>
        <v>01 septembre 2021</v>
      </c>
      <c r="N29" s="164" t="str">
        <f t="shared" si="2"/>
        <v>30 novembre 2021</v>
      </c>
      <c r="O29" s="284" t="str">
        <f t="shared" si="3"/>
        <v>30 novembre 2021</v>
      </c>
      <c r="P29" s="282" t="e">
        <f>IF(VLOOKUP(T_Convention[[#This Row],[NumL]],T_TraitDi[#Data],COLUMN(T_TraitDi[M1]),FALSE)="","",VLOOKUP(T_Convention[[#This Row],[NumL]],T_TraitDi[#Data],COLUMN(T_TraitDi[M1]),FALSE))</f>
        <v>#N/A</v>
      </c>
      <c r="Q29" s="282" t="e">
        <f>IF(VLOOKUP(T_Convention[[#This Row],[NumL]],T_TraitDi[#Data],COLUMN(T_TraitDi[M2]),FALSE)="","",VLOOKUP(T_Convention[[#This Row],[NumL]],T_TraitDi[#Data],COLUMN(T_TraitDi[M2]),FALSE))</f>
        <v>#N/A</v>
      </c>
      <c r="R29" s="282" t="e">
        <f>IF(VLOOKUP(T_Convention[[#This Row],[NumL]],T_TraitDi[#Data],COLUMN(T_TraitDi[M3]),FALSE)="","",VLOOKUP(T_Convention[[#This Row],[NumL]],T_TraitDi[#Data],COLUMN(T_TraitDi[M3]),FALSE))</f>
        <v>#N/A</v>
      </c>
      <c r="S29" s="282" t="e">
        <f>IF(VLOOKUP(T_Convention[[#This Row],[NumL]],T_TraitDi[#Data],COLUMN(T_TraitDi[M4]),FALSE)="","",VLOOKUP(T_Convention[[#This Row],[NumL]],T_TraitDi[#Data],COLUMN(T_TraitDi[M4]),FALSE))</f>
        <v>#N/A</v>
      </c>
      <c r="T29" s="282" t="e">
        <f>IF(VLOOKUP(T_Convention[[#This Row],[NumL]],T_TraitDi[#Data],COLUMN(T_TraitDi[M5]),FALSE)="","",VLOOKUP(T_Convention[[#This Row],[NumL]],T_TraitDi[#Data],COLUMN(T_TraitDi[M5]),FALSE))</f>
        <v>#N/A</v>
      </c>
      <c r="U29" s="282" t="e">
        <f>IF(VLOOKUP(T_Convention[[#This Row],[NumL]],T_TraitDi[#Data],COLUMN(T_TraitDi[M6]),FALSE)="","",VLOOKUP(T_Convention[[#This Row],[NumL]],T_TraitDi[#Data],COLUMN(T_TraitDi[M6]),FALSE))</f>
        <v>#N/A</v>
      </c>
      <c r="V29" s="176" t="e">
        <f t="shared" si="4"/>
        <v>#N/A</v>
      </c>
      <c r="W29" s="284" t="str">
        <f>IFERROR(TEXT(VLOOKUP(T_Convention[[#This Row],[NumL]],T_TraitDi[#Data],COLUMN(T_TraitDi[Q2]),FALSE),"###%"),"")</f>
        <v/>
      </c>
      <c r="X29" s="97" t="e">
        <f>VLOOKUP(T_Convention[[#This Row],[NumL]],T_TraitDi[#Data],COLUMN(T_TraitDi[Reg Ponct]),FALSE)</f>
        <v>#N/A</v>
      </c>
      <c r="Y29" s="97" t="e">
        <f>VLOOKUP(T_Convention[NumL],T_TraitDi[#Data],COLUMN(T_TraitDi[Jours flottants]),FALSE)</f>
        <v>#N/A</v>
      </c>
      <c r="Z29" s="284" t="str">
        <f>IFERROR(VLOOKUP(T_Convention[[#This Row],[NumL]],T_TraitDi[#Data],COLUMN(T_TraitDi[Lundi]),FALSE),"")</f>
        <v/>
      </c>
      <c r="AA29" s="284" t="e">
        <f>IF(VLOOKUP(T_Convention[[#This Row],[NumL]],T_TraitDi[#Data],COLUMN(T_TraitDi[Colonne3]),FALSE)=0,"",TEXT(IFERROR(VLOOKUP(T_Convention[[#This Row],[NumL]],T_TraitDi[#Data],COLUMN(T_TraitDi[Colonne3]),FALSE),""),"[hh]:mm"))</f>
        <v>#N/A</v>
      </c>
      <c r="AB29" s="284" t="e">
        <f>IF(VLOOKUP(T_Convention[[#This Row],[NumL]],T_TraitDi[#Data],COLUMN(T_TraitDi[Colonne4]),FALSE)=0,"",TEXT(IFERROR(VLOOKUP(T_Convention[[#This Row],[NumL]],T_TraitDi[#Data],COLUMN(T_TraitDi[Colonne4]),FALSE),""),"[hh]:mm"))</f>
        <v>#N/A</v>
      </c>
      <c r="AC29" s="284" t="e">
        <f>IF(VLOOKUP(T_Convention[[#This Row],[NumL]],T_TraitDi[#Data],COLUMN(T_TraitDi[Colonne5]),FALSE)=0,"",TEXT(IFERROR(VLOOKUP(T_Convention[[#This Row],[NumL]],T_TraitDi[#Data],COLUMN(T_TraitDi[Colonne5]),FALSE),""),"[hh]:mm"))</f>
        <v>#N/A</v>
      </c>
      <c r="AD29" s="284" t="e">
        <f>IF(VLOOKUP(T_Convention[[#This Row],[NumL]],T_TraitDi[#Data],COLUMN(T_TraitDi[Colonne6]),FALSE)=0,"",TEXT(IFERROR(VLOOKUP(T_Convention[[#This Row],[NumL]],T_TraitDi[#Data],COLUMN(T_TraitDi[Colonne6]),FALSE),""),"[hh]:mm"))</f>
        <v>#N/A</v>
      </c>
      <c r="AE29" s="284" t="e">
        <f>IF(VLOOKUP(T_Convention[[#This Row],[NumL]],T_TraitDi[#Data],COLUMN(T_TraitDi[Colonne7]),FALSE)=0,"",TEXT(IFERROR(VLOOKUP(T_Convention[[#This Row],[NumL]],T_TraitDi[#Data],COLUMN(T_TraitDi[Colonne7]),FALSE),""),"[hh]:mm"))</f>
        <v>#N/A</v>
      </c>
      <c r="AF29" s="284" t="e">
        <f>IF(VLOOKUP(T_Convention[[#This Row],[NumL]],T_TraitDi[#Data],COLUMN(T_TraitDi[Colonne8]),FALSE)=0,"",TEXT(IFERROR(VLOOKUP(T_Convention[[#This Row],[NumL]],T_TraitDi[#Data],COLUMN(T_TraitDi[Colonne8]),FALSE),""),"[hh]:mm"))</f>
        <v>#N/A</v>
      </c>
      <c r="AG29" s="284" t="str">
        <f>IFERROR(VLOOKUP(T_Convention[[#This Row],[NumL]],T_TraitDi[#Data],COLUMN(T_TraitDi[Mardi]),FALSE),"")</f>
        <v/>
      </c>
      <c r="AH29" s="284" t="e">
        <f>IF(VLOOKUP(T_Convention[[#This Row],[NumL]],T_TraitDi[#Data],COLUMN(T_TraitDi[Colonne1]),FALSE)=0,"",TEXT(IFERROR(VLOOKUP(T_Convention[[#This Row],[NumL]],T_TraitDi[#Data],COLUMN(T_TraitDi[Colonne1]),FALSE),""),"[hh]:mm"))</f>
        <v>#N/A</v>
      </c>
      <c r="AI29" s="284" t="e">
        <f>IF(VLOOKUP(T_Convention[[#This Row],[NumL]],T_TraitDi[#Data],COLUMN(T_TraitDi[Colonne9]),FALSE)=0,"",TEXT(IFERROR(VLOOKUP(T_Convention[[#This Row],[NumL]],T_TraitDi[#Data],COLUMN(T_TraitDi[Colonne9]),FALSE),""),"[hh]:mm"))</f>
        <v>#N/A</v>
      </c>
      <c r="AJ29" s="284" t="str">
        <f>IFERROR(VLOOKUP(T_Convention[[#This Row],[NumL]],T_TraitDi[#Data],COLUMN(T_TraitDi[Colonne10]),FALSE),"")</f>
        <v/>
      </c>
      <c r="AK29" s="284" t="e">
        <f>IF(VLOOKUP(T_Convention[[#This Row],[NumL]],T_TraitDi[#Data],COLUMN(T_TraitDi[Colonne11]),FALSE)=0,"",TEXT(IFERROR(VLOOKUP(T_Convention[[#This Row],[NumL]],T_TraitDi[#Data],COLUMN(T_TraitDi[Colonne11]),FALSE),""),"[hh]:mm"))</f>
        <v>#N/A</v>
      </c>
      <c r="AL29" s="284" t="e">
        <f>IF(VLOOKUP(T_Convention[[#This Row],[NumL]],T_TraitDi[#Data],COLUMN(T_TraitDi[Colonne12]),FALSE)=0,"",TEXT(IFERROR(VLOOKUP(T_Convention[[#This Row],[NumL]],T_TraitDi[#Data],COLUMN(T_TraitDi[Colonne12]),FALSE),""),"[hh]:mm"))</f>
        <v>#N/A</v>
      </c>
      <c r="AM29" s="284" t="e">
        <f>IF(VLOOKUP(T_Convention[[#This Row],[NumL]],T_TraitDi[#Data],COLUMN(T_TraitDi[Colonne14]),FALSE)=0,"",TEXT(IFERROR(VLOOKUP(T_Convention[[#This Row],[NumL]],T_TraitDi[#Data],COLUMN(T_TraitDi[Colonne14]),FALSE),""),"[hh]:mm"))</f>
        <v>#N/A</v>
      </c>
      <c r="AN29" s="284" t="str">
        <f>IFERROR(VLOOKUP(T_Convention[[#This Row],[NumL]],T_TraitDi[#Data],COLUMN(T_TraitDi[Mercredi]),FALSE),"")</f>
        <v/>
      </c>
      <c r="AO29" s="284" t="e">
        <f>IF(VLOOKUP(T_Convention[[#This Row],[NumL]],T_TraitDi[#Data],COLUMN(T_TraitDi[Colonne15]),FALSE)=0,"",TEXT(IFERROR(VLOOKUP(T_Convention[[#This Row],[NumL]],T_TraitDi[#Data],COLUMN(T_TraitDi[Colonne15]),FALSE),""),"[hh]:mm"))</f>
        <v>#N/A</v>
      </c>
      <c r="AP29" s="284" t="e">
        <f>IF(VLOOKUP(T_Convention[[#This Row],[NumL]],T_TraitDi[#Data],COLUMN(T_TraitDi[Colonne16]),FALSE)=0,"",TEXT(IFERROR(VLOOKUP(T_Convention[[#This Row],[NumL]],T_TraitDi[#Data],COLUMN(T_TraitDi[Colonne16]),FALSE),""),"[hh]:mm"))</f>
        <v>#N/A</v>
      </c>
      <c r="AQ29" s="284" t="str">
        <f>IFERROR(VLOOKUP(T_Convention[[#This Row],[NumL]],T_TraitDi[#Data],COLUMN(T_TraitDi[Colonne17]),FALSE),"")</f>
        <v/>
      </c>
      <c r="AR29" s="284" t="e">
        <f>IF(VLOOKUP(T_Convention[[#This Row],[NumL]],T_TraitDi[#Data],COLUMN(T_TraitDi[Colonne18]),FALSE)=0,"",TEXT(IFERROR(VLOOKUP(T_Convention[[#This Row],[NumL]],T_TraitDi[#Data],COLUMN(T_TraitDi[Colonne18]),FALSE),""),"[hh]:mm"))</f>
        <v>#N/A</v>
      </c>
      <c r="AS29" s="284" t="e">
        <f>IF(VLOOKUP(T_Convention[[#This Row],[NumL]],T_TraitDi[#Data],COLUMN(T_TraitDi[Colonne19]),FALSE)=0,"",TEXT(IFERROR(VLOOKUP(T_Convention[[#This Row],[NumL]],T_TraitDi[#Data],COLUMN(T_TraitDi[Colonne19]),FALSE),""),"[hh]:mm"))</f>
        <v>#N/A</v>
      </c>
      <c r="AT29" s="284" t="e">
        <f>IF(VLOOKUP(T_Convention[[#This Row],[NumL]],T_TraitDi[#Data],COLUMN(T_TraitDi[Colonne20]),FALSE)=0,"",TEXT(IFERROR(VLOOKUP(T_Convention[[#This Row],[NumL]],T_TraitDi[#Data],COLUMN(T_TraitDi[Colonne20]),FALSE),""),"[hh]:mm"))</f>
        <v>#N/A</v>
      </c>
      <c r="AU29" s="284" t="str">
        <f>IFERROR(VLOOKUP(T_Convention[[#This Row],[NumL]],T_TraitDi[#Data],COLUMN(T_TraitDi[Jeudi]),FALSE),"")</f>
        <v/>
      </c>
      <c r="AV29" s="284" t="e">
        <f>IF(VLOOKUP(T_Convention[[#This Row],[NumL]],T_TraitDi[#Data],COLUMN(T_TraitDi[Colonne21]),FALSE)=0,"",TEXT(IFERROR(VLOOKUP(T_Convention[[#This Row],[NumL]],T_TraitDi[#Data],COLUMN(T_TraitDi[Colonne21]),FALSE),""),"[hh]:mm"))</f>
        <v>#N/A</v>
      </c>
      <c r="AW29" s="284" t="e">
        <f>IF(VLOOKUP(T_Convention[[#This Row],[NumL]],T_TraitDi[#Data],COLUMN(T_TraitDi[Colonne22]),FALSE)=0,"",TEXT(IFERROR(VLOOKUP(T_Convention[[#This Row],[NumL]],T_TraitDi[#Data],COLUMN(T_TraitDi[Colonne22]),FALSE),""),"[hh]:mm"))</f>
        <v>#N/A</v>
      </c>
      <c r="AX29" s="284" t="str">
        <f>IFERROR(VLOOKUP(T_Convention[[#This Row],[NumL]],T_TraitDi[#Data],COLUMN(T_TraitDi[Colonne23]),FALSE),"")</f>
        <v/>
      </c>
      <c r="AY29" s="284" t="e">
        <f>IF(VLOOKUP(T_Convention[[#This Row],[NumL]],T_TraitDi[#Data],COLUMN(T_TraitDi[Colonne24]),FALSE)=0,"",TEXT(IFERROR(VLOOKUP(T_Convention[[#This Row],[NumL]],T_TraitDi[#Data],COLUMN(T_TraitDi[Colonne24]),FALSE),""),"[hh]:mm"))</f>
        <v>#N/A</v>
      </c>
      <c r="AZ29" s="284" t="e">
        <f>IF(VLOOKUP(T_Convention[[#This Row],[NumL]],T_TraitDi[#Data],COLUMN(T_TraitDi[Colonne25]),FALSE)=0,"",TEXT(IFERROR(VLOOKUP(T_Convention[[#This Row],[NumL]],T_TraitDi[#Data],COLUMN(T_TraitDi[Colonne25]),FALSE),""),"[hh]:mm"))</f>
        <v>#N/A</v>
      </c>
      <c r="BA29" s="284" t="e">
        <f>IF(VLOOKUP(T_Convention[[#This Row],[NumL]],T_TraitDi[#Data],COLUMN(T_TraitDi[Colonne26]),FALSE)=0,"",TEXT(IFERROR(VLOOKUP(T_Convention[[#This Row],[NumL]],T_TraitDi[#Data],COLUMN(T_TraitDi[Colonne26]),FALSE),""),"[hh]:mm"))</f>
        <v>#N/A</v>
      </c>
      <c r="BB29" s="284" t="str">
        <f>IFERROR(VLOOKUP(T_Convention[[#This Row],[NumL]],T_TraitDi[#Data],COLUMN(T_TraitDi[Vendredi]),FALSE),"")</f>
        <v/>
      </c>
      <c r="BC29" s="284" t="e">
        <f>IF(VLOOKUP(T_Convention[[#This Row],[NumL]],T_TraitDi[#Data],COLUMN(T_TraitDi[Colonne27]),FALSE)=0,"",TEXT(IFERROR(VLOOKUP(T_Convention[[#This Row],[NumL]],T_TraitDi[#Data],COLUMN(T_TraitDi[Colonne27]),FALSE),""),"[hh]:mm"))</f>
        <v>#N/A</v>
      </c>
      <c r="BD29" s="284" t="e">
        <f>IF(VLOOKUP(T_Convention[[#This Row],[NumL]],T_TraitDi[#Data],COLUMN(T_TraitDi[Colonne28]),FALSE)=0,"",TEXT(IFERROR(VLOOKUP(T_Convention[[#This Row],[NumL]],T_TraitDi[#Data],COLUMN(T_TraitDi[Colonne28]),FALSE),""),"[hh]:mm"))</f>
        <v>#N/A</v>
      </c>
      <c r="BE29" s="284" t="str">
        <f>IFERROR(VLOOKUP(T_Convention[[#This Row],[NumL]],T_TraitDi[#Data],COLUMN(T_TraitDi[Colonne29]),FALSE),"")</f>
        <v/>
      </c>
      <c r="BF29" s="284" t="e">
        <f>IF(VLOOKUP(T_Convention[[#This Row],[NumL]],T_TraitDi[#Data],COLUMN(T_TraitDi[Colonne30]),FALSE)=0,"",TEXT(IFERROR(VLOOKUP(T_Convention[[#This Row],[NumL]],T_TraitDi[#Data],COLUMN(T_TraitDi[Colonne30]),FALSE),""),"[hh]:mm"))</f>
        <v>#N/A</v>
      </c>
      <c r="BG29" s="284" t="e">
        <f>IF(VLOOKUP(T_Convention[[#This Row],[NumL]],T_TraitDi[#Data],COLUMN(T_TraitDi[Colonne31]),FALSE)=0,"",TEXT(IFERROR(VLOOKUP(T_Convention[[#This Row],[NumL]],T_TraitDi[#Data],COLUMN(T_TraitDi[Colonne31]),FALSE),""),"[hh]:mm"))</f>
        <v>#N/A</v>
      </c>
      <c r="BH29" s="284" t="e">
        <f>IF(VLOOKUP(T_Convention[[#This Row],[NumL]],T_TraitDi[#Data],COLUMN(T_TraitDi[Colonne32]),FALSE)=0,"",TEXT(IFERROR(VLOOKUP(T_Convention[[#This Row],[NumL]],T_TraitDi[#Data],COLUMN(T_TraitDi[Colonne32]),FALSE),""),"[hh]:mm"))</f>
        <v>#N/A</v>
      </c>
      <c r="BI29" s="284" t="str">
        <f>IFERROR(VLOOKUP(T_Convention[[#This Row],[NumL]],T_TraitDi[#Data],COLUMN(T_TraitDi[NbJTW]),FALSE),"")</f>
        <v/>
      </c>
      <c r="BJ29" s="284" t="e">
        <f>IF(VLOOKUP(T_Convention[[#This Row],[NumL]],T_TraitDi[#Data],COLUMN(T_TraitDi[NbhTW]),FALSE)=0,"",TEXT(IFERROR(VLOOKUP(T_Convention[[#This Row],[NumL]],T_TraitDi[#Data],COLUMN(T_TraitDi[NbhTW]),FALSE),""),"[hh]:mm"))</f>
        <v>#N/A</v>
      </c>
      <c r="BK29" s="286" t="e">
        <f>IF(VLOOKUP(T_Convention[[#This Row],[NumL]],T_TraitDi[#Data],COLUMN(T_TraitDi[Nbhheb]),FALSE)=0,"",TEXT(IFERROR(VLOOKUP(T_Convention[[#This Row],[NumL]],T_TraitDi[#Data],COLUMN(T_TraitDi[Nbhheb]),FALSE),""),"[hh]:mm"))</f>
        <v>#N/A</v>
      </c>
      <c r="BL29" s="287" t="str">
        <f>IFERROR(VLOOKUP(VLOOKUP(T_Convention[[#This Row],[NumL]],T_TraitDi[#Data],COLUMN(T_TraitDi[Type1]),FALSE),TypeTW,2,FALSE),"")</f>
        <v/>
      </c>
      <c r="BM29" s="288" t="str">
        <f>IFERROR(VLOOKUP(T_Convention[[#This Row],[NumL]],T_TraitDi[#Data],COLUMN(T_TraitDi[Rue1]),FALSE),"")</f>
        <v/>
      </c>
      <c r="BN29" s="289" t="str">
        <f>IFERROR(VLOOKUP(T_Convention[[#This Row],[NumL]],T_TraitDi[#Data],COLUMN(T_TraitDi[CP1]),FALSE),"")</f>
        <v/>
      </c>
      <c r="BO29" s="282" t="str">
        <f>IFERROR(VLOOKUP(T_Convention[[#This Row],[NumL]],T_TraitDi[#Data],COLUMN(T_TraitDi[VILLE1]),FALSE),"")</f>
        <v/>
      </c>
      <c r="BP29" s="290" t="str">
        <f>IFERROR(VLOOKUP(VLOOKUP(T_Convention[[#This Row],[NumL]],T_TraitDi[#Data],COLUMN(T_TraitDi[Type2]),FALSE),TypeTW,2,FALSE),"")</f>
        <v/>
      </c>
      <c r="BQ29" s="182" t="str">
        <f>IFERROR(VLOOKUP(T_Convention[[#This Row],[NumL]],T_TraitDi[#Data],COLUMN(T_TraitDi[Rue2]),FALSE),"")</f>
        <v/>
      </c>
      <c r="BR29" s="173" t="str">
        <f>IFERROR(VLOOKUP(T_Convention[[#This Row],[NumL]],T_TraitDi[#Data],COLUMN(T_TraitDi[CP2]),FALSE),"")</f>
        <v/>
      </c>
      <c r="BS29" s="173" t="str">
        <f>IFERROR(VLOOKUP(T_Convention[[#This Row],[NumL]],T_TraitDi[#Data],COLUMN(T_TraitDi[VILLE2]),FALSE),"")</f>
        <v/>
      </c>
      <c r="BT29" s="182" t="str">
        <f>IF(VLOOKUP(T_Convention[[#This Row],[NumL]],T_Equipement[#Data],COLUMN(T_Equipement[PC]),FALSE)="","Aucun équipement spécifique directement lié au télétravail",VLOOKUP(T_Convention[[#This Row],[NumL]],T_Equipement[#Data],COLUMN(T_Equipement[PC]),FALSE))</f>
        <v xml:space="preserve">20-328	</v>
      </c>
      <c r="BU29" s="166" t="str">
        <f>IFERROR(IF(VLOOKUP(T_Convention[[#This Row],[NumL]],T_TraitDi[#Data],COLUMN(T_TraitDi[Plan]),FALSE)="OK","Un planning spécifique de télétravail est annexé à la présente convention.",""),"")</f>
        <v/>
      </c>
      <c r="BV29" s="185" t="s">
        <v>3388</v>
      </c>
      <c r="BW29" s="164" t="e">
        <f>IF(VLOOKUP(T_Convention[[#This Row],[NumL]],T_suiviDi[#Data],COLUMN(T_suiviDi[Entité]),FALSE)="","",VLOOKUP(T_Convention[[#This Row],[NumL]],T_suiviDi[#Data],COLUMN(T_suiviDi[Entité]),FALSE))</f>
        <v>#N/A</v>
      </c>
      <c r="BX29" s="164" t="str">
        <f>IF(VLOOKUP(T_Convention[[#This Row],[NumL]],T_Commission[#Data],COLUMN(T_Commission[envoi confirm TW]),FALSE)="","",VLOOKUP(T_Convention[[#This Row],[NumL]],T_Commission[#Data],COLUMN(T_Commission[envoi confirm TW]),FALSE))</f>
        <v>Oui</v>
      </c>
      <c r="BY2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 s="264">
        <f>VLOOKUP(T_Convention[[#This Row],[NumL]],T_Commission[#Data],COLUMN(T_Commission[Commentaire]),FALSE)</f>
        <v>0</v>
      </c>
      <c r="CA29" s="254" t="str">
        <f>IF(VLOOKUP(T_Convention[[#This Row],[NumL]],T_Commission[#Data],COLUMN(T_Commission[Encadrant Email]),FALSE)="","",VLOOKUP(T_Convention[[#This Row],[NumL]],T_Commission[#Data],COLUMN(T_Commission[Encadrant Email]),FALSE))</f>
        <v/>
      </c>
      <c r="CB29" s="352" t="e">
        <f>VLOOKUP(T_Convention[[#This Row],[NumL]],T_TraitDi[#Data],COLUMN(T_TraitDi[NbJTot]),FALSE)</f>
        <v>#N/A</v>
      </c>
      <c r="CC29" s="352" t="e">
        <f>VLOOKUP(T_Convention[[#This Row],[NumL]],T_TraitDi[#Data],COLUMN(T_TraitDi[Reg Ponct]),FALSE)</f>
        <v>#N/A</v>
      </c>
      <c r="CD29" s="348" t="str">
        <f>IF(T_Convention[[#This Row],[Final]]&lt;&gt;"",VLOOKUP(T_Convention[[#This Row],[NumL]],T_suiviDi[#Data],COLUMN((T_suiviDi[Statut])),FALSE),"")</f>
        <v/>
      </c>
    </row>
    <row r="30" spans="1:82" s="106" customFormat="1" ht="18.75" customHeight="1" x14ac:dyDescent="0.25">
      <c r="A30" s="160">
        <v>56</v>
      </c>
      <c r="B30" s="161" t="str">
        <f>VLOOKUP(T_Convention[[#This Row],[NumL]],T_Commission[#Data],COLUMN(T_Commission[FINAL]),FALSE)</f>
        <v/>
      </c>
      <c r="C30" s="162"/>
      <c r="D30" s="95" t="e">
        <f>IF(VLOOKUP(T_Convention[[#This Row],[NumL]],T_TraitDi[#Data],COLUMN(T_TraitDi[WebC]),FALSE)="","",VLOOKUP(T_Convention[[#This Row],[NumL]],T_TraitDi[#Data],COLUMN(T_TraitDi[WebC]),FALSE))</f>
        <v>#N/A</v>
      </c>
      <c r="E30" s="163" t="str">
        <f t="shared" si="0"/>
        <v>12 janvier 2021</v>
      </c>
      <c r="F30" s="282" t="str">
        <f>IF(T_Convention[[#This Row],[Final]]&lt;&gt;"",VLOOKUP(T_Convention[[#This Row],[NumL]],T_suiviDi[#Data],COLUMN((T_suiviDi[Civ.])),FALSE),"")</f>
        <v/>
      </c>
      <c r="G30" s="283" t="str">
        <f>IF(T_Convention[[#This Row],[Final]]&lt;&gt;"",VLOOKUP(T_Convention[[#This Row],[NumL]],T_suiviDi[#Data],COLUMN((T_suiviDi[Nom])),FALSE),"")</f>
        <v/>
      </c>
      <c r="H30" s="282" t="str">
        <f>IF(T_Convention[[#This Row],[Final]]&lt;&gt;"",VLOOKUP(T_Convention[[#This Row],[NumL]],T_suiviDi[#Data],COLUMN((T_suiviDi[Prénom])),FALSE),"")</f>
        <v/>
      </c>
      <c r="I30" s="282" t="e">
        <f>VLOOKUP(T_Convention[[#This Row],[NumL]],T_suiviDi[#Data],COLUMN((T_suiviDi[[#This Row],[Email]])),FALSE)</f>
        <v>#N/A</v>
      </c>
      <c r="J30" s="282" t="e">
        <f>IF(VLOOKUP(T_Convention[[#This Row],[NumL]],T_suiviDi[#Data],COLUMN(T_suiviDi[[#This Row],[Fonction]]),FALSE)="","",VLOOKUP(T_Convention[[#This Row],[NumL]],T_suiviDi[#Data],COLUMN(T_suiviDi[[#This Row],[Fonction]]),FALSE))</f>
        <v>#N/A</v>
      </c>
      <c r="K30" s="282" t="e">
        <f>IF(VLOOKUP(T_Convention[[#This Row],[NumL]],T_suiviDi[#Data],COLUMN(T_suiviDi[[#This Row],[Grade]]),FALSE)="","",VLOOKUP(T_Convention[[#This Row],[NumL]],T_suiviDi[#Data],COLUMN(T_suiviDi[[#This Row],[Grade]]),FALSE))</f>
        <v>#N/A</v>
      </c>
      <c r="L30" s="282" t="e">
        <f>IF(VLOOKUP(T_Convention[[#This Row],[NumL]],T_suiviDi[#Data],COLUMN(T_suiviDi[[#This Row],[Service ]]),FALSE)="","",VLOOKUP(T_Convention[[#This Row],[NumL]],T_suiviDi[#Data],COLUMN(T_suiviDi[[#This Row],[Service ]]),FALSE))</f>
        <v>#N/A</v>
      </c>
      <c r="M30" s="164" t="str">
        <f t="shared" si="1"/>
        <v>01 septembre 2021</v>
      </c>
      <c r="N30" s="164" t="str">
        <f t="shared" si="2"/>
        <v>30 novembre 2021</v>
      </c>
      <c r="O30" s="284" t="str">
        <f t="shared" si="3"/>
        <v>30 novembre 2021</v>
      </c>
      <c r="P30" s="282" t="e">
        <f>IF(VLOOKUP(T_Convention[[#This Row],[NumL]],T_TraitDi[#Data],COLUMN(T_TraitDi[M1]),FALSE)="","",VLOOKUP(T_Convention[[#This Row],[NumL]],T_TraitDi[#Data],COLUMN(T_TraitDi[M1]),FALSE))</f>
        <v>#N/A</v>
      </c>
      <c r="Q30" s="282" t="e">
        <f>IF(VLOOKUP(T_Convention[[#This Row],[NumL]],T_TraitDi[#Data],COLUMN(T_TraitDi[M2]),FALSE)="","",VLOOKUP(T_Convention[[#This Row],[NumL]],T_TraitDi[#Data],COLUMN(T_TraitDi[M2]),FALSE))</f>
        <v>#N/A</v>
      </c>
      <c r="R30" s="282" t="e">
        <f>IF(VLOOKUP(T_Convention[[#This Row],[NumL]],T_TraitDi[#Data],COLUMN(T_TraitDi[M3]),FALSE)="","",VLOOKUP(T_Convention[[#This Row],[NumL]],T_TraitDi[#Data],COLUMN(T_TraitDi[M3]),FALSE))</f>
        <v>#N/A</v>
      </c>
      <c r="S30" s="282" t="e">
        <f>IF(VLOOKUP(T_Convention[[#This Row],[NumL]],T_TraitDi[#Data],COLUMN(T_TraitDi[M4]),FALSE)="","",VLOOKUP(T_Convention[[#This Row],[NumL]],T_TraitDi[#Data],COLUMN(T_TraitDi[M4]),FALSE))</f>
        <v>#N/A</v>
      </c>
      <c r="T30" s="282" t="e">
        <f>IF(VLOOKUP(T_Convention[[#This Row],[NumL]],T_TraitDi[#Data],COLUMN(T_TraitDi[M5]),FALSE)="","",VLOOKUP(T_Convention[[#This Row],[NumL]],T_TraitDi[#Data],COLUMN(T_TraitDi[M5]),FALSE))</f>
        <v>#N/A</v>
      </c>
      <c r="U30" s="282" t="e">
        <f>IF(VLOOKUP(T_Convention[[#This Row],[NumL]],T_TraitDi[#Data],COLUMN(T_TraitDi[M6]),FALSE)="","",VLOOKUP(T_Convention[[#This Row],[NumL]],T_TraitDi[#Data],COLUMN(T_TraitDi[M6]),FALSE))</f>
        <v>#N/A</v>
      </c>
      <c r="V30" s="176" t="e">
        <f t="shared" si="4"/>
        <v>#N/A</v>
      </c>
      <c r="W30" s="284" t="str">
        <f>IFERROR(TEXT(VLOOKUP(T_Convention[[#This Row],[NumL]],T_TraitDi[#Data],COLUMN(T_TraitDi[Q2]),FALSE),"###%"),"")</f>
        <v/>
      </c>
      <c r="X30" s="97" t="e">
        <f>VLOOKUP(T_Convention[[#This Row],[NumL]],T_TraitDi[#Data],COLUMN(T_TraitDi[Reg Ponct]),FALSE)</f>
        <v>#N/A</v>
      </c>
      <c r="Y30" s="97" t="e">
        <f>VLOOKUP(T_Convention[NumL],T_TraitDi[#Data],COLUMN(T_TraitDi[Jours flottants]),FALSE)</f>
        <v>#N/A</v>
      </c>
      <c r="Z30" s="284" t="str">
        <f>IFERROR(VLOOKUP(T_Convention[[#This Row],[NumL]],T_TraitDi[#Data],COLUMN(T_TraitDi[Lundi]),FALSE),"")</f>
        <v/>
      </c>
      <c r="AA30" s="284" t="e">
        <f>IF(VLOOKUP(T_Convention[[#This Row],[NumL]],T_TraitDi[#Data],COLUMN(T_TraitDi[Colonne3]),FALSE)=0,"",TEXT(IFERROR(VLOOKUP(T_Convention[[#This Row],[NumL]],T_TraitDi[#Data],COLUMN(T_TraitDi[Colonne3]),FALSE),""),"[hh]:mm"))</f>
        <v>#N/A</v>
      </c>
      <c r="AB30" s="284" t="e">
        <f>IF(VLOOKUP(T_Convention[[#This Row],[NumL]],T_TraitDi[#Data],COLUMN(T_TraitDi[Colonne4]),FALSE)=0,"",TEXT(IFERROR(VLOOKUP(T_Convention[[#This Row],[NumL]],T_TraitDi[#Data],COLUMN(T_TraitDi[Colonne4]),FALSE),""),"[hh]:mm"))</f>
        <v>#N/A</v>
      </c>
      <c r="AC30" s="284" t="e">
        <f>IF(VLOOKUP(T_Convention[[#This Row],[NumL]],T_TraitDi[#Data],COLUMN(T_TraitDi[Colonne5]),FALSE)=0,"",TEXT(IFERROR(VLOOKUP(T_Convention[[#This Row],[NumL]],T_TraitDi[#Data],COLUMN(T_TraitDi[Colonne5]),FALSE),""),"[hh]:mm"))</f>
        <v>#N/A</v>
      </c>
      <c r="AD30" s="284" t="e">
        <f>IF(VLOOKUP(T_Convention[[#This Row],[NumL]],T_TraitDi[#Data],COLUMN(T_TraitDi[Colonne6]),FALSE)=0,"",TEXT(IFERROR(VLOOKUP(T_Convention[[#This Row],[NumL]],T_TraitDi[#Data],COLUMN(T_TraitDi[Colonne6]),FALSE),""),"[hh]:mm"))</f>
        <v>#N/A</v>
      </c>
      <c r="AE30" s="284" t="e">
        <f>IF(VLOOKUP(T_Convention[[#This Row],[NumL]],T_TraitDi[#Data],COLUMN(T_TraitDi[Colonne7]),FALSE)=0,"",TEXT(IFERROR(VLOOKUP(T_Convention[[#This Row],[NumL]],T_TraitDi[#Data],COLUMN(T_TraitDi[Colonne7]),FALSE),""),"[hh]:mm"))</f>
        <v>#N/A</v>
      </c>
      <c r="AF30" s="284" t="e">
        <f>IF(VLOOKUP(T_Convention[[#This Row],[NumL]],T_TraitDi[#Data],COLUMN(T_TraitDi[Colonne8]),FALSE)=0,"",TEXT(IFERROR(VLOOKUP(T_Convention[[#This Row],[NumL]],T_TraitDi[#Data],COLUMN(T_TraitDi[Colonne8]),FALSE),""),"[hh]:mm"))</f>
        <v>#N/A</v>
      </c>
      <c r="AG30" s="284" t="str">
        <f>IFERROR(VLOOKUP(T_Convention[[#This Row],[NumL]],T_TraitDi[#Data],COLUMN(T_TraitDi[Mardi]),FALSE),"")</f>
        <v/>
      </c>
      <c r="AH30" s="284" t="e">
        <f>IF(VLOOKUP(T_Convention[[#This Row],[NumL]],T_TraitDi[#Data],COLUMN(T_TraitDi[Colonne1]),FALSE)=0,"",TEXT(IFERROR(VLOOKUP(T_Convention[[#This Row],[NumL]],T_TraitDi[#Data],COLUMN(T_TraitDi[Colonne1]),FALSE),""),"[hh]:mm"))</f>
        <v>#N/A</v>
      </c>
      <c r="AI30" s="284" t="e">
        <f>IF(VLOOKUP(T_Convention[[#This Row],[NumL]],T_TraitDi[#Data],COLUMN(T_TraitDi[Colonne9]),FALSE)=0,"",TEXT(IFERROR(VLOOKUP(T_Convention[[#This Row],[NumL]],T_TraitDi[#Data],COLUMN(T_TraitDi[Colonne9]),FALSE),""),"[hh]:mm"))</f>
        <v>#N/A</v>
      </c>
      <c r="AJ30" s="284" t="str">
        <f>IFERROR(VLOOKUP(T_Convention[[#This Row],[NumL]],T_TraitDi[#Data],COLUMN(T_TraitDi[Colonne10]),FALSE),"")</f>
        <v/>
      </c>
      <c r="AK30" s="284" t="e">
        <f>IF(VLOOKUP(T_Convention[[#This Row],[NumL]],T_TraitDi[#Data],COLUMN(T_TraitDi[Colonne11]),FALSE)=0,"",TEXT(IFERROR(VLOOKUP(T_Convention[[#This Row],[NumL]],T_TraitDi[#Data],COLUMN(T_TraitDi[Colonne11]),FALSE),""),"[hh]:mm"))</f>
        <v>#N/A</v>
      </c>
      <c r="AL30" s="284" t="e">
        <f>IF(VLOOKUP(T_Convention[[#This Row],[NumL]],T_TraitDi[#Data],COLUMN(T_TraitDi[Colonne12]),FALSE)=0,"",TEXT(IFERROR(VLOOKUP(T_Convention[[#This Row],[NumL]],T_TraitDi[#Data],COLUMN(T_TraitDi[Colonne12]),FALSE),""),"[hh]:mm"))</f>
        <v>#N/A</v>
      </c>
      <c r="AM30" s="284" t="e">
        <f>IF(VLOOKUP(T_Convention[[#This Row],[NumL]],T_TraitDi[#Data],COLUMN(T_TraitDi[Colonne14]),FALSE)=0,"",TEXT(IFERROR(VLOOKUP(T_Convention[[#This Row],[NumL]],T_TraitDi[#Data],COLUMN(T_TraitDi[Colonne14]),FALSE),""),"[hh]:mm"))</f>
        <v>#N/A</v>
      </c>
      <c r="AN30" s="284" t="str">
        <f>IFERROR(VLOOKUP(T_Convention[[#This Row],[NumL]],T_TraitDi[#Data],COLUMN(T_TraitDi[Mercredi]),FALSE),"")</f>
        <v/>
      </c>
      <c r="AO30" s="284" t="e">
        <f>IF(VLOOKUP(T_Convention[[#This Row],[NumL]],T_TraitDi[#Data],COLUMN(T_TraitDi[Colonne15]),FALSE)=0,"",TEXT(IFERROR(VLOOKUP(T_Convention[[#This Row],[NumL]],T_TraitDi[#Data],COLUMN(T_TraitDi[Colonne15]),FALSE),""),"[hh]:mm"))</f>
        <v>#N/A</v>
      </c>
      <c r="AP30" s="284" t="e">
        <f>IF(VLOOKUP(T_Convention[[#This Row],[NumL]],T_TraitDi[#Data],COLUMN(T_TraitDi[Colonne16]),FALSE)=0,"",TEXT(IFERROR(VLOOKUP(T_Convention[[#This Row],[NumL]],T_TraitDi[#Data],COLUMN(T_TraitDi[Colonne16]),FALSE),""),"[hh]:mm"))</f>
        <v>#N/A</v>
      </c>
      <c r="AQ30" s="284" t="str">
        <f>IFERROR(VLOOKUP(T_Convention[[#This Row],[NumL]],T_TraitDi[#Data],COLUMN(T_TraitDi[Colonne17]),FALSE),"")</f>
        <v/>
      </c>
      <c r="AR30" s="284" t="e">
        <f>IF(VLOOKUP(T_Convention[[#This Row],[NumL]],T_TraitDi[#Data],COLUMN(T_TraitDi[Colonne18]),FALSE)=0,"",TEXT(IFERROR(VLOOKUP(T_Convention[[#This Row],[NumL]],T_TraitDi[#Data],COLUMN(T_TraitDi[Colonne18]),FALSE),""),"[hh]:mm"))</f>
        <v>#N/A</v>
      </c>
      <c r="AS30" s="284" t="e">
        <f>IF(VLOOKUP(T_Convention[[#This Row],[NumL]],T_TraitDi[#Data],COLUMN(T_TraitDi[Colonne19]),FALSE)=0,"",TEXT(IFERROR(VLOOKUP(T_Convention[[#This Row],[NumL]],T_TraitDi[#Data],COLUMN(T_TraitDi[Colonne19]),FALSE),""),"[hh]:mm"))</f>
        <v>#N/A</v>
      </c>
      <c r="AT30" s="284" t="e">
        <f>IF(VLOOKUP(T_Convention[[#This Row],[NumL]],T_TraitDi[#Data],COLUMN(T_TraitDi[Colonne20]),FALSE)=0,"",TEXT(IFERROR(VLOOKUP(T_Convention[[#This Row],[NumL]],T_TraitDi[#Data],COLUMN(T_TraitDi[Colonne20]),FALSE),""),"[hh]:mm"))</f>
        <v>#N/A</v>
      </c>
      <c r="AU30" s="284" t="str">
        <f>IFERROR(VLOOKUP(T_Convention[[#This Row],[NumL]],T_TraitDi[#Data],COLUMN(T_TraitDi[Jeudi]),FALSE),"")</f>
        <v/>
      </c>
      <c r="AV30" s="284" t="e">
        <f>IF(VLOOKUP(T_Convention[[#This Row],[NumL]],T_TraitDi[#Data],COLUMN(T_TraitDi[Colonne21]),FALSE)=0,"",TEXT(IFERROR(VLOOKUP(T_Convention[[#This Row],[NumL]],T_TraitDi[#Data],COLUMN(T_TraitDi[Colonne21]),FALSE),""),"[hh]:mm"))</f>
        <v>#N/A</v>
      </c>
      <c r="AW30" s="284" t="e">
        <f>IF(VLOOKUP(T_Convention[[#This Row],[NumL]],T_TraitDi[#Data],COLUMN(T_TraitDi[Colonne22]),FALSE)=0,"",TEXT(IFERROR(VLOOKUP(T_Convention[[#This Row],[NumL]],T_TraitDi[#Data],COLUMN(T_TraitDi[Colonne22]),FALSE),""),"[hh]:mm"))</f>
        <v>#N/A</v>
      </c>
      <c r="AX30" s="284" t="str">
        <f>IFERROR(VLOOKUP(T_Convention[[#This Row],[NumL]],T_TraitDi[#Data],COLUMN(T_TraitDi[Colonne23]),FALSE),"")</f>
        <v/>
      </c>
      <c r="AY30" s="284" t="e">
        <f>IF(VLOOKUP(T_Convention[[#This Row],[NumL]],T_TraitDi[#Data],COLUMN(T_TraitDi[Colonne24]),FALSE)=0,"",TEXT(IFERROR(VLOOKUP(T_Convention[[#This Row],[NumL]],T_TraitDi[#Data],COLUMN(T_TraitDi[Colonne24]),FALSE),""),"[hh]:mm"))</f>
        <v>#N/A</v>
      </c>
      <c r="AZ30" s="284" t="e">
        <f>IF(VLOOKUP(T_Convention[[#This Row],[NumL]],T_TraitDi[#Data],COLUMN(T_TraitDi[Colonne25]),FALSE)=0,"",TEXT(IFERROR(VLOOKUP(T_Convention[[#This Row],[NumL]],T_TraitDi[#Data],COLUMN(T_TraitDi[Colonne25]),FALSE),""),"[hh]:mm"))</f>
        <v>#N/A</v>
      </c>
      <c r="BA30" s="284" t="e">
        <f>IF(VLOOKUP(T_Convention[[#This Row],[NumL]],T_TraitDi[#Data],COLUMN(T_TraitDi[Colonne26]),FALSE)=0,"",TEXT(IFERROR(VLOOKUP(T_Convention[[#This Row],[NumL]],T_TraitDi[#Data],COLUMN(T_TraitDi[Colonne26]),FALSE),""),"[hh]:mm"))</f>
        <v>#N/A</v>
      </c>
      <c r="BB30" s="284" t="str">
        <f>IFERROR(VLOOKUP(T_Convention[[#This Row],[NumL]],T_TraitDi[#Data],COLUMN(T_TraitDi[Vendredi]),FALSE),"")</f>
        <v/>
      </c>
      <c r="BC30" s="284" t="e">
        <f>IF(VLOOKUP(T_Convention[[#This Row],[NumL]],T_TraitDi[#Data],COLUMN(T_TraitDi[Colonne27]),FALSE)=0,"",TEXT(IFERROR(VLOOKUP(T_Convention[[#This Row],[NumL]],T_TraitDi[#Data],COLUMN(T_TraitDi[Colonne27]),FALSE),""),"[hh]:mm"))</f>
        <v>#N/A</v>
      </c>
      <c r="BD30" s="284" t="e">
        <f>IF(VLOOKUP(T_Convention[[#This Row],[NumL]],T_TraitDi[#Data],COLUMN(T_TraitDi[Colonne28]),FALSE)=0,"",TEXT(IFERROR(VLOOKUP(T_Convention[[#This Row],[NumL]],T_TraitDi[#Data],COLUMN(T_TraitDi[Colonne28]),FALSE),""),"[hh]:mm"))</f>
        <v>#N/A</v>
      </c>
      <c r="BE30" s="284" t="str">
        <f>IFERROR(VLOOKUP(T_Convention[[#This Row],[NumL]],T_TraitDi[#Data],COLUMN(T_TraitDi[Colonne29]),FALSE),"")</f>
        <v/>
      </c>
      <c r="BF30" s="284" t="e">
        <f>IF(VLOOKUP(T_Convention[[#This Row],[NumL]],T_TraitDi[#Data],COLUMN(T_TraitDi[Colonne30]),FALSE)=0,"",TEXT(IFERROR(VLOOKUP(T_Convention[[#This Row],[NumL]],T_TraitDi[#Data],COLUMN(T_TraitDi[Colonne30]),FALSE),""),"[hh]:mm"))</f>
        <v>#N/A</v>
      </c>
      <c r="BG30" s="284" t="e">
        <f>IF(VLOOKUP(T_Convention[[#This Row],[NumL]],T_TraitDi[#Data],COLUMN(T_TraitDi[Colonne31]),FALSE)=0,"",TEXT(IFERROR(VLOOKUP(T_Convention[[#This Row],[NumL]],T_TraitDi[#Data],COLUMN(T_TraitDi[Colonne31]),FALSE),""),"[hh]:mm"))</f>
        <v>#N/A</v>
      </c>
      <c r="BH30" s="284" t="e">
        <f>IF(VLOOKUP(T_Convention[[#This Row],[NumL]],T_TraitDi[#Data],COLUMN(T_TraitDi[Colonne32]),FALSE)=0,"",TEXT(IFERROR(VLOOKUP(T_Convention[[#This Row],[NumL]],T_TraitDi[#Data],COLUMN(T_TraitDi[Colonne32]),FALSE),""),"[hh]:mm"))</f>
        <v>#N/A</v>
      </c>
      <c r="BI30" s="284" t="str">
        <f>IFERROR(VLOOKUP(T_Convention[[#This Row],[NumL]],T_TraitDi[#Data],COLUMN(T_TraitDi[NbJTW]),FALSE),"")</f>
        <v/>
      </c>
      <c r="BJ30" s="284" t="e">
        <f>IF(VLOOKUP(T_Convention[[#This Row],[NumL]],T_TraitDi[#Data],COLUMN(T_TraitDi[NbhTW]),FALSE)=0,"",TEXT(IFERROR(VLOOKUP(T_Convention[[#This Row],[NumL]],T_TraitDi[#Data],COLUMN(T_TraitDi[NbhTW]),FALSE),""),"[hh]:mm"))</f>
        <v>#N/A</v>
      </c>
      <c r="BK30" s="286" t="e">
        <f>IF(VLOOKUP(T_Convention[[#This Row],[NumL]],T_TraitDi[#Data],COLUMN(T_TraitDi[Nbhheb]),FALSE)=0,"",TEXT(IFERROR(VLOOKUP(T_Convention[[#This Row],[NumL]],T_TraitDi[#Data],COLUMN(T_TraitDi[Nbhheb]),FALSE),""),"[hh]:mm"))</f>
        <v>#N/A</v>
      </c>
      <c r="BL30" s="287" t="str">
        <f>IFERROR(VLOOKUP(VLOOKUP(T_Convention[[#This Row],[NumL]],T_TraitDi[#Data],COLUMN(T_TraitDi[Type1]),FALSE),TypeTW,2,FALSE),"")</f>
        <v/>
      </c>
      <c r="BM30" s="288" t="str">
        <f>IFERROR(VLOOKUP(T_Convention[[#This Row],[NumL]],T_TraitDi[#Data],COLUMN(T_TraitDi[Rue1]),FALSE),"")</f>
        <v/>
      </c>
      <c r="BN30" s="289" t="str">
        <f>IFERROR(VLOOKUP(T_Convention[[#This Row],[NumL]],T_TraitDi[#Data],COLUMN(T_TraitDi[CP1]),FALSE),"")</f>
        <v/>
      </c>
      <c r="BO30" s="282" t="str">
        <f>IFERROR(VLOOKUP(T_Convention[[#This Row],[NumL]],T_TraitDi[#Data],COLUMN(T_TraitDi[VILLE1]),FALSE),"")</f>
        <v/>
      </c>
      <c r="BP30" s="290" t="str">
        <f>IFERROR(VLOOKUP(VLOOKUP(T_Convention[[#This Row],[NumL]],T_TraitDi[#Data],COLUMN(T_TraitDi[Type2]),FALSE),TypeTW,2,FALSE),"")</f>
        <v/>
      </c>
      <c r="BQ30" s="182" t="str">
        <f>IFERROR(VLOOKUP(T_Convention[[#This Row],[NumL]],T_TraitDi[#Data],COLUMN(T_TraitDi[Rue2]),FALSE),"")</f>
        <v/>
      </c>
      <c r="BR30" s="173" t="str">
        <f>IFERROR(VLOOKUP(T_Convention[[#This Row],[NumL]],T_TraitDi[#Data],COLUMN(T_TraitDi[CP2]),FALSE),"")</f>
        <v/>
      </c>
      <c r="BS30" s="173" t="str">
        <f>IFERROR(VLOOKUP(T_Convention[[#This Row],[NumL]],T_TraitDi[#Data],COLUMN(T_TraitDi[VILLE2]),FALSE),"")</f>
        <v/>
      </c>
      <c r="BT30" s="182" t="str">
        <f>IF(VLOOKUP(T_Convention[[#This Row],[NumL]],T_Equipement[#Data],COLUMN(T_Equipement[PC]),FALSE)="","Aucun équipement spécifique directement lié au télétravail",VLOOKUP(T_Convention[[#This Row],[NumL]],T_Equipement[#Data],COLUMN(T_Equipement[PC]),FALSE))</f>
        <v>16-384</v>
      </c>
      <c r="BU30" s="166" t="str">
        <f>IFERROR(IF(VLOOKUP(T_Convention[[#This Row],[NumL]],T_TraitDi[#Data],COLUMN(T_TraitDi[Plan]),FALSE)="OK","Un planning spécifique de télétravail est annexé à la présente convention.",""),"")</f>
        <v/>
      </c>
      <c r="BV30" s="185" t="s">
        <v>3440</v>
      </c>
      <c r="BW30" s="164" t="e">
        <f>IF(VLOOKUP(T_Convention[[#This Row],[NumL]],T_suiviDi[#Data],COLUMN(T_suiviDi[Entité]),FALSE)="","",VLOOKUP(T_Convention[[#This Row],[NumL]],T_suiviDi[#Data],COLUMN(T_suiviDi[Entité]),FALSE))</f>
        <v>#N/A</v>
      </c>
      <c r="BX30" s="164" t="str">
        <f>IF(VLOOKUP(T_Convention[[#This Row],[NumL]],T_Commission[#Data],COLUMN(T_Commission[envoi confirm TW]),FALSE)="","",VLOOKUP(T_Convention[[#This Row],[NumL]],T_Commission[#Data],COLUMN(T_Commission[envoi confirm TW]),FALSE))</f>
        <v>Oui</v>
      </c>
      <c r="BY30" s="377"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 s="264">
        <f>VLOOKUP(T_Convention[[#This Row],[NumL]],T_Commission[#Data],COLUMN(T_Commission[Commentaire]),FALSE)</f>
        <v>0</v>
      </c>
      <c r="CA30" s="254" t="str">
        <f>IF(VLOOKUP(T_Convention[[#This Row],[NumL]],T_Commission[#Data],COLUMN(T_Commission[Encadrant Email]),FALSE)="","",VLOOKUP(T_Convention[[#This Row],[NumL]],T_Commission[#Data],COLUMN(T_Commission[Encadrant Email]),FALSE))</f>
        <v/>
      </c>
      <c r="CB30" s="352" t="e">
        <f>VLOOKUP(T_Convention[[#This Row],[NumL]],T_TraitDi[#Data],COLUMN(T_TraitDi[NbJTot]),FALSE)</f>
        <v>#N/A</v>
      </c>
      <c r="CC30" s="352" t="e">
        <f>VLOOKUP(T_Convention[[#This Row],[NumL]],T_TraitDi[#Data],COLUMN(T_TraitDi[Reg Ponct]),FALSE)</f>
        <v>#N/A</v>
      </c>
      <c r="CD30" s="348" t="str">
        <f>IF(T_Convention[[#This Row],[Final]]&lt;&gt;"",VLOOKUP(T_Convention[[#This Row],[NumL]],T_suiviDi[#Data],COLUMN((T_suiviDi[Statut])),FALSE),"")</f>
        <v/>
      </c>
    </row>
    <row r="31" spans="1:82" s="106" customFormat="1" ht="18.75" customHeight="1" x14ac:dyDescent="0.25">
      <c r="A31" s="160">
        <v>257</v>
      </c>
      <c r="B31" s="161" t="str">
        <f>VLOOKUP(T_Convention[[#This Row],[NumL]],T_Commission[#Data],COLUMN(T_Commission[FINAL]),FALSE)</f>
        <v/>
      </c>
      <c r="C31" s="162"/>
      <c r="D31" s="95" t="e">
        <f>IF(VLOOKUP(T_Convention[[#This Row],[NumL]],T_TraitDi[#Data],COLUMN(T_TraitDi[WebC]),FALSE)="","",VLOOKUP(T_Convention[[#This Row],[NumL]],T_TraitDi[#Data],COLUMN(T_TraitDi[WebC]),FALSE))</f>
        <v>#N/A</v>
      </c>
      <c r="E31" s="163" t="str">
        <f t="shared" si="0"/>
        <v>12 janvier 2021</v>
      </c>
      <c r="F31" s="282" t="str">
        <f>IF(T_Convention[[#This Row],[Final]]&lt;&gt;"",VLOOKUP(T_Convention[[#This Row],[NumL]],T_suiviDi[#Data],COLUMN((T_suiviDi[Civ.])),FALSE),"")</f>
        <v/>
      </c>
      <c r="G31" s="283" t="str">
        <f>IF(T_Convention[[#This Row],[Final]]&lt;&gt;"",VLOOKUP(T_Convention[[#This Row],[NumL]],T_suiviDi[#Data],COLUMN((T_suiviDi[Nom])),FALSE),"")</f>
        <v/>
      </c>
      <c r="H31" s="282" t="str">
        <f>IF(T_Convention[[#This Row],[Final]]&lt;&gt;"",VLOOKUP(T_Convention[[#This Row],[NumL]],T_suiviDi[#Data],COLUMN((T_suiviDi[Prénom])),FALSE),"")</f>
        <v/>
      </c>
      <c r="I31" s="282" t="e">
        <f>VLOOKUP(T_Convention[[#This Row],[NumL]],T_suiviDi[#Data],COLUMN((T_suiviDi[[#This Row],[Email]])),FALSE)</f>
        <v>#N/A</v>
      </c>
      <c r="J31" s="282" t="e">
        <f>IF(VLOOKUP(T_Convention[[#This Row],[NumL]],T_suiviDi[#Data],COLUMN(T_suiviDi[[#This Row],[Fonction]]),FALSE)="","",VLOOKUP(T_Convention[[#This Row],[NumL]],T_suiviDi[#Data],COLUMN(T_suiviDi[[#This Row],[Fonction]]),FALSE))</f>
        <v>#N/A</v>
      </c>
      <c r="K31" s="282" t="e">
        <f>IF(VLOOKUP(T_Convention[[#This Row],[NumL]],T_suiviDi[#Data],COLUMN(T_suiviDi[[#This Row],[Grade]]),FALSE)="","",VLOOKUP(T_Convention[[#This Row],[NumL]],T_suiviDi[#Data],COLUMN(T_suiviDi[[#This Row],[Grade]]),FALSE))</f>
        <v>#N/A</v>
      </c>
      <c r="L31" s="282" t="e">
        <f>IF(VLOOKUP(T_Convention[[#This Row],[NumL]],T_suiviDi[#Data],COLUMN(T_suiviDi[[#This Row],[Service ]]),FALSE)="","",VLOOKUP(T_Convention[[#This Row],[NumL]],T_suiviDi[#Data],COLUMN(T_suiviDi[[#This Row],[Service ]]),FALSE))</f>
        <v>#N/A</v>
      </c>
      <c r="M31" s="164" t="str">
        <f t="shared" si="1"/>
        <v>01 septembre 2021</v>
      </c>
      <c r="N31" s="164" t="str">
        <f t="shared" si="2"/>
        <v>30 novembre 2021</v>
      </c>
      <c r="O31" s="284" t="str">
        <f t="shared" si="3"/>
        <v>30 novembre 2021</v>
      </c>
      <c r="P31" s="282" t="e">
        <f>IF(VLOOKUP(T_Convention[[#This Row],[NumL]],T_TraitDi[#Data],COLUMN(T_TraitDi[M1]),FALSE)="","",VLOOKUP(T_Convention[[#This Row],[NumL]],T_TraitDi[#Data],COLUMN(T_TraitDi[M1]),FALSE))</f>
        <v>#N/A</v>
      </c>
      <c r="Q31" s="282" t="e">
        <f>IF(VLOOKUP(T_Convention[[#This Row],[NumL]],T_TraitDi[#Data],COLUMN(T_TraitDi[M2]),FALSE)="","",VLOOKUP(T_Convention[[#This Row],[NumL]],T_TraitDi[#Data],COLUMN(T_TraitDi[M2]),FALSE))</f>
        <v>#N/A</v>
      </c>
      <c r="R31" s="282" t="e">
        <f>IF(VLOOKUP(T_Convention[[#This Row],[NumL]],T_TraitDi[#Data],COLUMN(T_TraitDi[M3]),FALSE)="","",VLOOKUP(T_Convention[[#This Row],[NumL]],T_TraitDi[#Data],COLUMN(T_TraitDi[M3]),FALSE))</f>
        <v>#N/A</v>
      </c>
      <c r="S31" s="282" t="e">
        <f>IF(VLOOKUP(T_Convention[[#This Row],[NumL]],T_TraitDi[#Data],COLUMN(T_TraitDi[M4]),FALSE)="","",VLOOKUP(T_Convention[[#This Row],[NumL]],T_TraitDi[#Data],COLUMN(T_TraitDi[M4]),FALSE))</f>
        <v>#N/A</v>
      </c>
      <c r="T31" s="282" t="e">
        <f>IF(VLOOKUP(T_Convention[[#This Row],[NumL]],T_TraitDi[#Data],COLUMN(T_TraitDi[M5]),FALSE)="","",VLOOKUP(T_Convention[[#This Row],[NumL]],T_TraitDi[#Data],COLUMN(T_TraitDi[M5]),FALSE))</f>
        <v>#N/A</v>
      </c>
      <c r="U31" s="282" t="e">
        <f>IF(VLOOKUP(T_Convention[[#This Row],[NumL]],T_TraitDi[#Data],COLUMN(T_TraitDi[M6]),FALSE)="","",VLOOKUP(T_Convention[[#This Row],[NumL]],T_TraitDi[#Data],COLUMN(T_TraitDi[M6]),FALSE))</f>
        <v>#N/A</v>
      </c>
      <c r="V31" s="176" t="e">
        <f t="shared" si="4"/>
        <v>#N/A</v>
      </c>
      <c r="W31" s="284" t="str">
        <f>IFERROR(TEXT(VLOOKUP(T_Convention[[#This Row],[NumL]],T_TraitDi[#Data],COLUMN(T_TraitDi[Q2]),FALSE),"###%"),"")</f>
        <v/>
      </c>
      <c r="X31" s="97" t="e">
        <f>VLOOKUP(T_Convention[[#This Row],[NumL]],T_TraitDi[#Data],COLUMN(T_TraitDi[Reg Ponct]),FALSE)</f>
        <v>#N/A</v>
      </c>
      <c r="Y31" s="97" t="e">
        <f>VLOOKUP(T_Convention[NumL],T_TraitDi[#Data],COLUMN(T_TraitDi[Jours flottants]),FALSE)</f>
        <v>#N/A</v>
      </c>
      <c r="Z31" s="284" t="str">
        <f>IFERROR(VLOOKUP(T_Convention[[#This Row],[NumL]],T_TraitDi[#Data],COLUMN(T_TraitDi[Lundi]),FALSE),"")</f>
        <v/>
      </c>
      <c r="AA31" s="284" t="e">
        <f>IF(VLOOKUP(T_Convention[[#This Row],[NumL]],T_TraitDi[#Data],COLUMN(T_TraitDi[Colonne3]),FALSE)=0,"",TEXT(IFERROR(VLOOKUP(T_Convention[[#This Row],[NumL]],T_TraitDi[#Data],COLUMN(T_TraitDi[Colonne3]),FALSE),""),"[hh]:mm"))</f>
        <v>#N/A</v>
      </c>
      <c r="AB31" s="284" t="e">
        <f>IF(VLOOKUP(T_Convention[[#This Row],[NumL]],T_TraitDi[#Data],COLUMN(T_TraitDi[Colonne4]),FALSE)=0,"",TEXT(IFERROR(VLOOKUP(T_Convention[[#This Row],[NumL]],T_TraitDi[#Data],COLUMN(T_TraitDi[Colonne4]),FALSE),""),"[hh]:mm"))</f>
        <v>#N/A</v>
      </c>
      <c r="AC31" s="284" t="e">
        <f>IF(VLOOKUP(T_Convention[[#This Row],[NumL]],T_TraitDi[#Data],COLUMN(T_TraitDi[Colonne5]),FALSE)=0,"",TEXT(IFERROR(VLOOKUP(T_Convention[[#This Row],[NumL]],T_TraitDi[#Data],COLUMN(T_TraitDi[Colonne5]),FALSE),""),"[hh]:mm"))</f>
        <v>#N/A</v>
      </c>
      <c r="AD31" s="284" t="e">
        <f>IF(VLOOKUP(T_Convention[[#This Row],[NumL]],T_TraitDi[#Data],COLUMN(T_TraitDi[Colonne6]),FALSE)=0,"",TEXT(IFERROR(VLOOKUP(T_Convention[[#This Row],[NumL]],T_TraitDi[#Data],COLUMN(T_TraitDi[Colonne6]),FALSE),""),"[hh]:mm"))</f>
        <v>#N/A</v>
      </c>
      <c r="AE31" s="284" t="e">
        <f>IF(VLOOKUP(T_Convention[[#This Row],[NumL]],T_TraitDi[#Data],COLUMN(T_TraitDi[Colonne7]),FALSE)=0,"",TEXT(IFERROR(VLOOKUP(T_Convention[[#This Row],[NumL]],T_TraitDi[#Data],COLUMN(T_TraitDi[Colonne7]),FALSE),""),"[hh]:mm"))</f>
        <v>#N/A</v>
      </c>
      <c r="AF31" s="284" t="e">
        <f>IF(VLOOKUP(T_Convention[[#This Row],[NumL]],T_TraitDi[#Data],COLUMN(T_TraitDi[Colonne8]),FALSE)=0,"",TEXT(IFERROR(VLOOKUP(T_Convention[[#This Row],[NumL]],T_TraitDi[#Data],COLUMN(T_TraitDi[Colonne8]),FALSE),""),"[hh]:mm"))</f>
        <v>#N/A</v>
      </c>
      <c r="AG31" s="284" t="str">
        <f>IFERROR(VLOOKUP(T_Convention[[#This Row],[NumL]],T_TraitDi[#Data],COLUMN(T_TraitDi[Mardi]),FALSE),"")</f>
        <v/>
      </c>
      <c r="AH31" s="284" t="e">
        <f>IF(VLOOKUP(T_Convention[[#This Row],[NumL]],T_TraitDi[#Data],COLUMN(T_TraitDi[Colonne1]),FALSE)=0,"",TEXT(IFERROR(VLOOKUP(T_Convention[[#This Row],[NumL]],T_TraitDi[#Data],COLUMN(T_TraitDi[Colonne1]),FALSE),""),"[hh]:mm"))</f>
        <v>#N/A</v>
      </c>
      <c r="AI31" s="284" t="e">
        <f>IF(VLOOKUP(T_Convention[[#This Row],[NumL]],T_TraitDi[#Data],COLUMN(T_TraitDi[Colonne9]),FALSE)=0,"",TEXT(IFERROR(VLOOKUP(T_Convention[[#This Row],[NumL]],T_TraitDi[#Data],COLUMN(T_TraitDi[Colonne9]),FALSE),""),"[hh]:mm"))</f>
        <v>#N/A</v>
      </c>
      <c r="AJ31" s="284" t="str">
        <f>IFERROR(VLOOKUP(T_Convention[[#This Row],[NumL]],T_TraitDi[#Data],COLUMN(T_TraitDi[Colonne10]),FALSE),"")</f>
        <v/>
      </c>
      <c r="AK31" s="284" t="e">
        <f>IF(VLOOKUP(T_Convention[[#This Row],[NumL]],T_TraitDi[#Data],COLUMN(T_TraitDi[Colonne11]),FALSE)=0,"",TEXT(IFERROR(VLOOKUP(T_Convention[[#This Row],[NumL]],T_TraitDi[#Data],COLUMN(T_TraitDi[Colonne11]),FALSE),""),"[hh]:mm"))</f>
        <v>#N/A</v>
      </c>
      <c r="AL31" s="284" t="e">
        <f>IF(VLOOKUP(T_Convention[[#This Row],[NumL]],T_TraitDi[#Data],COLUMN(T_TraitDi[Colonne12]),FALSE)=0,"",TEXT(IFERROR(VLOOKUP(T_Convention[[#This Row],[NumL]],T_TraitDi[#Data],COLUMN(T_TraitDi[Colonne12]),FALSE),""),"[hh]:mm"))</f>
        <v>#N/A</v>
      </c>
      <c r="AM31" s="284" t="e">
        <f>IF(VLOOKUP(T_Convention[[#This Row],[NumL]],T_TraitDi[#Data],COLUMN(T_TraitDi[Colonne14]),FALSE)=0,"",TEXT(IFERROR(VLOOKUP(T_Convention[[#This Row],[NumL]],T_TraitDi[#Data],COLUMN(T_TraitDi[Colonne14]),FALSE),""),"[hh]:mm"))</f>
        <v>#N/A</v>
      </c>
      <c r="AN31" s="284" t="str">
        <f>IFERROR(VLOOKUP(T_Convention[[#This Row],[NumL]],T_TraitDi[#Data],COLUMN(T_TraitDi[Mercredi]),FALSE),"")</f>
        <v/>
      </c>
      <c r="AO31" s="284" t="e">
        <f>IF(VLOOKUP(T_Convention[[#This Row],[NumL]],T_TraitDi[#Data],COLUMN(T_TraitDi[Colonne15]),FALSE)=0,"",TEXT(IFERROR(VLOOKUP(T_Convention[[#This Row],[NumL]],T_TraitDi[#Data],COLUMN(T_TraitDi[Colonne15]),FALSE),""),"[hh]:mm"))</f>
        <v>#N/A</v>
      </c>
      <c r="AP31" s="284" t="e">
        <f>IF(VLOOKUP(T_Convention[[#This Row],[NumL]],T_TraitDi[#Data],COLUMN(T_TraitDi[Colonne16]),FALSE)=0,"",TEXT(IFERROR(VLOOKUP(T_Convention[[#This Row],[NumL]],T_TraitDi[#Data],COLUMN(T_TraitDi[Colonne16]),FALSE),""),"[hh]:mm"))</f>
        <v>#N/A</v>
      </c>
      <c r="AQ31" s="284" t="str">
        <f>IFERROR(VLOOKUP(T_Convention[[#This Row],[NumL]],T_TraitDi[#Data],COLUMN(T_TraitDi[Colonne17]),FALSE),"")</f>
        <v/>
      </c>
      <c r="AR31" s="284" t="e">
        <f>IF(VLOOKUP(T_Convention[[#This Row],[NumL]],T_TraitDi[#Data],COLUMN(T_TraitDi[Colonne18]),FALSE)=0,"",TEXT(IFERROR(VLOOKUP(T_Convention[[#This Row],[NumL]],T_TraitDi[#Data],COLUMN(T_TraitDi[Colonne18]),FALSE),""),"[hh]:mm"))</f>
        <v>#N/A</v>
      </c>
      <c r="AS31" s="284" t="e">
        <f>IF(VLOOKUP(T_Convention[[#This Row],[NumL]],T_TraitDi[#Data],COLUMN(T_TraitDi[Colonne19]),FALSE)=0,"",TEXT(IFERROR(VLOOKUP(T_Convention[[#This Row],[NumL]],T_TraitDi[#Data],COLUMN(T_TraitDi[Colonne19]),FALSE),""),"[hh]:mm"))</f>
        <v>#N/A</v>
      </c>
      <c r="AT31" s="284" t="e">
        <f>IF(VLOOKUP(T_Convention[[#This Row],[NumL]],T_TraitDi[#Data],COLUMN(T_TraitDi[Colonne20]),FALSE)=0,"",TEXT(IFERROR(VLOOKUP(T_Convention[[#This Row],[NumL]],T_TraitDi[#Data],COLUMN(T_TraitDi[Colonne20]),FALSE),""),"[hh]:mm"))</f>
        <v>#N/A</v>
      </c>
      <c r="AU31" s="284" t="str">
        <f>IFERROR(VLOOKUP(T_Convention[[#This Row],[NumL]],T_TraitDi[#Data],COLUMN(T_TraitDi[Jeudi]),FALSE),"")</f>
        <v/>
      </c>
      <c r="AV31" s="284" t="e">
        <f>IF(VLOOKUP(T_Convention[[#This Row],[NumL]],T_TraitDi[#Data],COLUMN(T_TraitDi[Colonne21]),FALSE)=0,"",TEXT(IFERROR(VLOOKUP(T_Convention[[#This Row],[NumL]],T_TraitDi[#Data],COLUMN(T_TraitDi[Colonne21]),FALSE),""),"[hh]:mm"))</f>
        <v>#N/A</v>
      </c>
      <c r="AW31" s="284" t="e">
        <f>IF(VLOOKUP(T_Convention[[#This Row],[NumL]],T_TraitDi[#Data],COLUMN(T_TraitDi[Colonne22]),FALSE)=0,"",TEXT(IFERROR(VLOOKUP(T_Convention[[#This Row],[NumL]],T_TraitDi[#Data],COLUMN(T_TraitDi[Colonne22]),FALSE),""),"[hh]:mm"))</f>
        <v>#N/A</v>
      </c>
      <c r="AX31" s="284" t="str">
        <f>IFERROR(VLOOKUP(T_Convention[[#This Row],[NumL]],T_TraitDi[#Data],COLUMN(T_TraitDi[Colonne23]),FALSE),"")</f>
        <v/>
      </c>
      <c r="AY31" s="284" t="e">
        <f>IF(VLOOKUP(T_Convention[[#This Row],[NumL]],T_TraitDi[#Data],COLUMN(T_TraitDi[Colonne24]),FALSE)=0,"",TEXT(IFERROR(VLOOKUP(T_Convention[[#This Row],[NumL]],T_TraitDi[#Data],COLUMN(T_TraitDi[Colonne24]),FALSE),""),"[hh]:mm"))</f>
        <v>#N/A</v>
      </c>
      <c r="AZ31" s="284" t="e">
        <f>IF(VLOOKUP(T_Convention[[#This Row],[NumL]],T_TraitDi[#Data],COLUMN(T_TraitDi[Colonne25]),FALSE)=0,"",TEXT(IFERROR(VLOOKUP(T_Convention[[#This Row],[NumL]],T_TraitDi[#Data],COLUMN(T_TraitDi[Colonne25]),FALSE),""),"[hh]:mm"))</f>
        <v>#N/A</v>
      </c>
      <c r="BA31" s="284" t="e">
        <f>IF(VLOOKUP(T_Convention[[#This Row],[NumL]],T_TraitDi[#Data],COLUMN(T_TraitDi[Colonne26]),FALSE)=0,"",TEXT(IFERROR(VLOOKUP(T_Convention[[#This Row],[NumL]],T_TraitDi[#Data],COLUMN(T_TraitDi[Colonne26]),FALSE),""),"[hh]:mm"))</f>
        <v>#N/A</v>
      </c>
      <c r="BB31" s="284" t="str">
        <f>IFERROR(VLOOKUP(T_Convention[[#This Row],[NumL]],T_TraitDi[#Data],COLUMN(T_TraitDi[Vendredi]),FALSE),"")</f>
        <v/>
      </c>
      <c r="BC31" s="284" t="e">
        <f>IF(VLOOKUP(T_Convention[[#This Row],[NumL]],T_TraitDi[#Data],COLUMN(T_TraitDi[Colonne27]),FALSE)=0,"",TEXT(IFERROR(VLOOKUP(T_Convention[[#This Row],[NumL]],T_TraitDi[#Data],COLUMN(T_TraitDi[Colonne27]),FALSE),""),"[hh]:mm"))</f>
        <v>#N/A</v>
      </c>
      <c r="BD31" s="284" t="e">
        <f>IF(VLOOKUP(T_Convention[[#This Row],[NumL]],T_TraitDi[#Data],COLUMN(T_TraitDi[Colonne28]),FALSE)=0,"",TEXT(IFERROR(VLOOKUP(T_Convention[[#This Row],[NumL]],T_TraitDi[#Data],COLUMN(T_TraitDi[Colonne28]),FALSE),""),"[hh]:mm"))</f>
        <v>#N/A</v>
      </c>
      <c r="BE31" s="284" t="str">
        <f>IFERROR(VLOOKUP(T_Convention[[#This Row],[NumL]],T_TraitDi[#Data],COLUMN(T_TraitDi[Colonne29]),FALSE),"")</f>
        <v/>
      </c>
      <c r="BF31" s="284" t="e">
        <f>IF(VLOOKUP(T_Convention[[#This Row],[NumL]],T_TraitDi[#Data],COLUMN(T_TraitDi[Colonne30]),FALSE)=0,"",TEXT(IFERROR(VLOOKUP(T_Convention[[#This Row],[NumL]],T_TraitDi[#Data],COLUMN(T_TraitDi[Colonne30]),FALSE),""),"[hh]:mm"))</f>
        <v>#N/A</v>
      </c>
      <c r="BG31" s="284" t="e">
        <f>IF(VLOOKUP(T_Convention[[#This Row],[NumL]],T_TraitDi[#Data],COLUMN(T_TraitDi[Colonne31]),FALSE)=0,"",TEXT(IFERROR(VLOOKUP(T_Convention[[#This Row],[NumL]],T_TraitDi[#Data],COLUMN(T_TraitDi[Colonne31]),FALSE),""),"[hh]:mm"))</f>
        <v>#N/A</v>
      </c>
      <c r="BH31" s="284" t="e">
        <f>IF(VLOOKUP(T_Convention[[#This Row],[NumL]],T_TraitDi[#Data],COLUMN(T_TraitDi[Colonne32]),FALSE)=0,"",TEXT(IFERROR(VLOOKUP(T_Convention[[#This Row],[NumL]],T_TraitDi[#Data],COLUMN(T_TraitDi[Colonne32]),FALSE),""),"[hh]:mm"))</f>
        <v>#N/A</v>
      </c>
      <c r="BI31" s="284" t="str">
        <f>IFERROR(VLOOKUP(T_Convention[[#This Row],[NumL]],T_TraitDi[#Data],COLUMN(T_TraitDi[NbJTW]),FALSE),"")</f>
        <v/>
      </c>
      <c r="BJ31" s="284" t="e">
        <f>IF(VLOOKUP(T_Convention[[#This Row],[NumL]],T_TraitDi[#Data],COLUMN(T_TraitDi[NbhTW]),FALSE)=0,"",TEXT(IFERROR(VLOOKUP(T_Convention[[#This Row],[NumL]],T_TraitDi[#Data],COLUMN(T_TraitDi[NbhTW]),FALSE),""),"[hh]:mm"))</f>
        <v>#N/A</v>
      </c>
      <c r="BK31" s="286" t="e">
        <f>IF(VLOOKUP(T_Convention[[#This Row],[NumL]],T_TraitDi[#Data],COLUMN(T_TraitDi[Nbhheb]),FALSE)=0,"",TEXT(IFERROR(VLOOKUP(T_Convention[[#This Row],[NumL]],T_TraitDi[#Data],COLUMN(T_TraitDi[Nbhheb]),FALSE),""),"[hh]:mm"))</f>
        <v>#N/A</v>
      </c>
      <c r="BL31" s="287" t="str">
        <f>IFERROR(VLOOKUP(VLOOKUP(T_Convention[[#This Row],[NumL]],T_TraitDi[#Data],COLUMN(T_TraitDi[Type1]),FALSE),TypeTW,2,FALSE),"")</f>
        <v/>
      </c>
      <c r="BM31" s="288" t="str">
        <f>IFERROR(VLOOKUP(T_Convention[[#This Row],[NumL]],T_TraitDi[#Data],COLUMN(T_TraitDi[Rue1]),FALSE),"")</f>
        <v/>
      </c>
      <c r="BN31" s="289" t="str">
        <f>IFERROR(VLOOKUP(T_Convention[[#This Row],[NumL]],T_TraitDi[#Data],COLUMN(T_TraitDi[CP1]),FALSE),"")</f>
        <v/>
      </c>
      <c r="BO31" s="282" t="str">
        <f>IFERROR(VLOOKUP(T_Convention[[#This Row],[NumL]],T_TraitDi[#Data],COLUMN(T_TraitDi[VILLE1]),FALSE),"")</f>
        <v/>
      </c>
      <c r="BP31" s="290" t="str">
        <f>IFERROR(VLOOKUP(VLOOKUP(T_Convention[[#This Row],[NumL]],T_TraitDi[#Data],COLUMN(T_TraitDi[Type2]),FALSE),TypeTW,2,FALSE),"")</f>
        <v/>
      </c>
      <c r="BQ31" s="182" t="str">
        <f>IFERROR(VLOOKUP(T_Convention[[#This Row],[NumL]],T_TraitDi[#Data],COLUMN(T_TraitDi[Rue2]),FALSE),"")</f>
        <v/>
      </c>
      <c r="BR31" s="173" t="str">
        <f>IFERROR(VLOOKUP(T_Convention[[#This Row],[NumL]],T_TraitDi[#Data],COLUMN(T_TraitDi[CP2]),FALSE),"")</f>
        <v/>
      </c>
      <c r="BS31" s="173" t="str">
        <f>IFERROR(VLOOKUP(T_Convention[[#This Row],[NumL]],T_TraitDi[#Data],COLUMN(T_TraitDi[VILLE2]),FALSE),"")</f>
        <v/>
      </c>
      <c r="BT31" s="182" t="str">
        <f>IF(VLOOKUP(T_Convention[[#This Row],[NumL]],T_Equipement[#Data],COLUMN(T_Equipement[PC]),FALSE)="","Aucun équipement spécifique directement lié au télétravail",VLOOKUP(T_Convention[[#This Row],[NumL]],T_Equipement[#Data],COLUMN(T_Equipement[PC]),FALSE))</f>
        <v xml:space="preserve">20-329	</v>
      </c>
      <c r="BU31" s="166" t="str">
        <f>IFERROR(IF(VLOOKUP(T_Convention[[#This Row],[NumL]],T_TraitDi[#Data],COLUMN(T_TraitDi[Plan]),FALSE)="OK","Un planning spécifique de télétravail est annexé à la présente convention.",""),"")</f>
        <v/>
      </c>
      <c r="BV31" s="185"/>
      <c r="BW31" s="164" t="e">
        <f>IF(VLOOKUP(T_Convention[[#This Row],[NumL]],T_suiviDi[#Data],COLUMN(T_suiviDi[Entité]),FALSE)="","",VLOOKUP(T_Convention[[#This Row],[NumL]],T_suiviDi[#Data],COLUMN(T_suiviDi[Entité]),FALSE))</f>
        <v>#N/A</v>
      </c>
      <c r="BX31" s="164" t="str">
        <f>IF(VLOOKUP(T_Convention[[#This Row],[NumL]],T_Commission[#Data],COLUMN(T_Commission[envoi confirm TW]),FALSE)="","",VLOOKUP(T_Convention[[#This Row],[NumL]],T_Commission[#Data],COLUMN(T_Commission[envoi confirm TW]),FALSE))</f>
        <v>Oui</v>
      </c>
      <c r="BY3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 s="264">
        <f>VLOOKUP(T_Convention[[#This Row],[NumL]],T_Commission[#Data],COLUMN(T_Commission[Commentaire]),FALSE)</f>
        <v>0</v>
      </c>
      <c r="CA31" s="254" t="str">
        <f>IF(VLOOKUP(T_Convention[[#This Row],[NumL]],T_Commission[#Data],COLUMN(T_Commission[Encadrant Email]),FALSE)="","",VLOOKUP(T_Convention[[#This Row],[NumL]],T_Commission[#Data],COLUMN(T_Commission[Encadrant Email]),FALSE))</f>
        <v/>
      </c>
      <c r="CB31" s="352" t="e">
        <f>VLOOKUP(T_Convention[[#This Row],[NumL]],T_TraitDi[#Data],COLUMN(T_TraitDi[NbJTot]),FALSE)</f>
        <v>#N/A</v>
      </c>
      <c r="CC31" s="352" t="e">
        <f>VLOOKUP(T_Convention[[#This Row],[NumL]],T_TraitDi[#Data],COLUMN(T_TraitDi[Reg Ponct]),FALSE)</f>
        <v>#N/A</v>
      </c>
      <c r="CD31" s="348" t="str">
        <f>IF(T_Convention[[#This Row],[Final]]&lt;&gt;"",VLOOKUP(T_Convention[[#This Row],[NumL]],T_suiviDi[#Data],COLUMN((T_suiviDi[Statut])),FALSE),"")</f>
        <v/>
      </c>
    </row>
    <row r="32" spans="1:82" s="106" customFormat="1" ht="18.75" customHeight="1" x14ac:dyDescent="0.25">
      <c r="A32" s="160">
        <v>32</v>
      </c>
      <c r="B32" s="161" t="str">
        <f>VLOOKUP(T_Convention[[#This Row],[NumL]],T_Commission[#Data],COLUMN(T_Commission[FINAL]),FALSE)</f>
        <v/>
      </c>
      <c r="C32" s="162"/>
      <c r="D32" s="95" t="e">
        <f>IF(VLOOKUP(T_Convention[[#This Row],[NumL]],T_TraitDi[#Data],COLUMN(T_TraitDi[WebC]),FALSE)="","",VLOOKUP(T_Convention[[#This Row],[NumL]],T_TraitDi[#Data],COLUMN(T_TraitDi[WebC]),FALSE))</f>
        <v>#N/A</v>
      </c>
      <c r="E32" s="163" t="str">
        <f t="shared" si="0"/>
        <v>12 janvier 2021</v>
      </c>
      <c r="F32" s="282" t="str">
        <f>IF(T_Convention[[#This Row],[Final]]&lt;&gt;"",VLOOKUP(T_Convention[[#This Row],[NumL]],T_suiviDi[#Data],COLUMN((T_suiviDi[Civ.])),FALSE),"")</f>
        <v/>
      </c>
      <c r="G32" s="283" t="str">
        <f>IF(T_Convention[[#This Row],[Final]]&lt;&gt;"",VLOOKUP(T_Convention[[#This Row],[NumL]],T_suiviDi[#Data],COLUMN((T_suiviDi[Nom])),FALSE),"")</f>
        <v/>
      </c>
      <c r="H32" s="282" t="str">
        <f>IF(T_Convention[[#This Row],[Final]]&lt;&gt;"",VLOOKUP(T_Convention[[#This Row],[NumL]],T_suiviDi[#Data],COLUMN((T_suiviDi[Prénom])),FALSE),"")</f>
        <v/>
      </c>
      <c r="I32" s="282" t="e">
        <f>VLOOKUP(T_Convention[[#This Row],[NumL]],T_suiviDi[#Data],COLUMN((T_suiviDi[[#This Row],[Email]])),FALSE)</f>
        <v>#N/A</v>
      </c>
      <c r="J32" s="282" t="e">
        <f>IF(VLOOKUP(T_Convention[[#This Row],[NumL]],T_suiviDi[#Data],COLUMN(T_suiviDi[[#This Row],[Fonction]]),FALSE)="","",VLOOKUP(T_Convention[[#This Row],[NumL]],T_suiviDi[#Data],COLUMN(T_suiviDi[[#This Row],[Fonction]]),FALSE))</f>
        <v>#N/A</v>
      </c>
      <c r="K32" s="282" t="e">
        <f>IF(VLOOKUP(T_Convention[[#This Row],[NumL]],T_suiviDi[#Data],COLUMN(T_suiviDi[[#This Row],[Grade]]),FALSE)="","",VLOOKUP(T_Convention[[#This Row],[NumL]],T_suiviDi[#Data],COLUMN(T_suiviDi[[#This Row],[Grade]]),FALSE))</f>
        <v>#N/A</v>
      </c>
      <c r="L32" s="282" t="e">
        <f>IF(VLOOKUP(T_Convention[[#This Row],[NumL]],T_suiviDi[#Data],COLUMN(T_suiviDi[[#This Row],[Service ]]),FALSE)="","",VLOOKUP(T_Convention[[#This Row],[NumL]],T_suiviDi[#Data],COLUMN(T_suiviDi[[#This Row],[Service ]]),FALSE))</f>
        <v>#N/A</v>
      </c>
      <c r="M32" s="164" t="str">
        <f t="shared" si="1"/>
        <v>01 septembre 2021</v>
      </c>
      <c r="N32" s="164" t="str">
        <f t="shared" si="2"/>
        <v>30 novembre 2021</v>
      </c>
      <c r="O32" s="284" t="str">
        <f t="shared" si="3"/>
        <v>30 novembre 2021</v>
      </c>
      <c r="P32" s="282" t="e">
        <f>IF(VLOOKUP(T_Convention[[#This Row],[NumL]],T_TraitDi[#Data],COLUMN(T_TraitDi[M1]),FALSE)="","",VLOOKUP(T_Convention[[#This Row],[NumL]],T_TraitDi[#Data],COLUMN(T_TraitDi[M1]),FALSE))</f>
        <v>#N/A</v>
      </c>
      <c r="Q32" s="282" t="e">
        <f>IF(VLOOKUP(T_Convention[[#This Row],[NumL]],T_TraitDi[#Data],COLUMN(T_TraitDi[M2]),FALSE)="","",VLOOKUP(T_Convention[[#This Row],[NumL]],T_TraitDi[#Data],COLUMN(T_TraitDi[M2]),FALSE))</f>
        <v>#N/A</v>
      </c>
      <c r="R32" s="282" t="e">
        <f>IF(VLOOKUP(T_Convention[[#This Row],[NumL]],T_TraitDi[#Data],COLUMN(T_TraitDi[M3]),FALSE)="","",VLOOKUP(T_Convention[[#This Row],[NumL]],T_TraitDi[#Data],COLUMN(T_TraitDi[M3]),FALSE))</f>
        <v>#N/A</v>
      </c>
      <c r="S32" s="282" t="e">
        <f>IF(VLOOKUP(T_Convention[[#This Row],[NumL]],T_TraitDi[#Data],COLUMN(T_TraitDi[M4]),FALSE)="","",VLOOKUP(T_Convention[[#This Row],[NumL]],T_TraitDi[#Data],COLUMN(T_TraitDi[M4]),FALSE))</f>
        <v>#N/A</v>
      </c>
      <c r="T32" s="282" t="e">
        <f>IF(VLOOKUP(T_Convention[[#This Row],[NumL]],T_TraitDi[#Data],COLUMN(T_TraitDi[M5]),FALSE)="","",VLOOKUP(T_Convention[[#This Row],[NumL]],T_TraitDi[#Data],COLUMN(T_TraitDi[M5]),FALSE))</f>
        <v>#N/A</v>
      </c>
      <c r="U32" s="282" t="e">
        <f>IF(VLOOKUP(T_Convention[[#This Row],[NumL]],T_TraitDi[#Data],COLUMN(T_TraitDi[M6]),FALSE)="","",VLOOKUP(T_Convention[[#This Row],[NumL]],T_TraitDi[#Data],COLUMN(T_TraitDi[M6]),FALSE))</f>
        <v>#N/A</v>
      </c>
      <c r="V32" s="176" t="e">
        <f t="shared" si="4"/>
        <v>#N/A</v>
      </c>
      <c r="W32" s="284" t="str">
        <f>IFERROR(TEXT(VLOOKUP(T_Convention[[#This Row],[NumL]],T_TraitDi[#Data],COLUMN(T_TraitDi[Q2]),FALSE),"###%"),"")</f>
        <v/>
      </c>
      <c r="X32" s="97" t="e">
        <f>VLOOKUP(T_Convention[[#This Row],[NumL]],T_TraitDi[#Data],COLUMN(T_TraitDi[Reg Ponct]),FALSE)</f>
        <v>#N/A</v>
      </c>
      <c r="Y32" s="97" t="e">
        <f>VLOOKUP(T_Convention[NumL],T_TraitDi[#Data],COLUMN(T_TraitDi[Jours flottants]),FALSE)</f>
        <v>#N/A</v>
      </c>
      <c r="Z32" s="284" t="str">
        <f>IFERROR(VLOOKUP(T_Convention[[#This Row],[NumL]],T_TraitDi[#Data],COLUMN(T_TraitDi[Lundi]),FALSE),"")</f>
        <v/>
      </c>
      <c r="AA32" s="284" t="e">
        <f>IF(VLOOKUP(T_Convention[[#This Row],[NumL]],T_TraitDi[#Data],COLUMN(T_TraitDi[Colonne3]),FALSE)=0,"",TEXT(IFERROR(VLOOKUP(T_Convention[[#This Row],[NumL]],T_TraitDi[#Data],COLUMN(T_TraitDi[Colonne3]),FALSE),""),"[hh]:mm"))</f>
        <v>#N/A</v>
      </c>
      <c r="AB32" s="284" t="e">
        <f>IF(VLOOKUP(T_Convention[[#This Row],[NumL]],T_TraitDi[#Data],COLUMN(T_TraitDi[Colonne4]),FALSE)=0,"",TEXT(IFERROR(VLOOKUP(T_Convention[[#This Row],[NumL]],T_TraitDi[#Data],COLUMN(T_TraitDi[Colonne4]),FALSE),""),"[hh]:mm"))</f>
        <v>#N/A</v>
      </c>
      <c r="AC32" s="284" t="e">
        <f>IF(VLOOKUP(T_Convention[[#This Row],[NumL]],T_TraitDi[#Data],COLUMN(T_TraitDi[Colonne5]),FALSE)=0,"",TEXT(IFERROR(VLOOKUP(T_Convention[[#This Row],[NumL]],T_TraitDi[#Data],COLUMN(T_TraitDi[Colonne5]),FALSE),""),"[hh]:mm"))</f>
        <v>#N/A</v>
      </c>
      <c r="AD32" s="284" t="e">
        <f>IF(VLOOKUP(T_Convention[[#This Row],[NumL]],T_TraitDi[#Data],COLUMN(T_TraitDi[Colonne6]),FALSE)=0,"",TEXT(IFERROR(VLOOKUP(T_Convention[[#This Row],[NumL]],T_TraitDi[#Data],COLUMN(T_TraitDi[Colonne6]),FALSE),""),"[hh]:mm"))</f>
        <v>#N/A</v>
      </c>
      <c r="AE32" s="284" t="e">
        <f>IF(VLOOKUP(T_Convention[[#This Row],[NumL]],T_TraitDi[#Data],COLUMN(T_TraitDi[Colonne7]),FALSE)=0,"",TEXT(IFERROR(VLOOKUP(T_Convention[[#This Row],[NumL]],T_TraitDi[#Data],COLUMN(T_TraitDi[Colonne7]),FALSE),""),"[hh]:mm"))</f>
        <v>#N/A</v>
      </c>
      <c r="AF32" s="284" t="e">
        <f>IF(VLOOKUP(T_Convention[[#This Row],[NumL]],T_TraitDi[#Data],COLUMN(T_TraitDi[Colonne8]),FALSE)=0,"",TEXT(IFERROR(VLOOKUP(T_Convention[[#This Row],[NumL]],T_TraitDi[#Data],COLUMN(T_TraitDi[Colonne8]),FALSE),""),"[hh]:mm"))</f>
        <v>#N/A</v>
      </c>
      <c r="AG32" s="284" t="str">
        <f>IFERROR(VLOOKUP(T_Convention[[#This Row],[NumL]],T_TraitDi[#Data],COLUMN(T_TraitDi[Mardi]),FALSE),"")</f>
        <v/>
      </c>
      <c r="AH32" s="284" t="e">
        <f>IF(VLOOKUP(T_Convention[[#This Row],[NumL]],T_TraitDi[#Data],COLUMN(T_TraitDi[Colonne1]),FALSE)=0,"",TEXT(IFERROR(VLOOKUP(T_Convention[[#This Row],[NumL]],T_TraitDi[#Data],COLUMN(T_TraitDi[Colonne1]),FALSE),""),"[hh]:mm"))</f>
        <v>#N/A</v>
      </c>
      <c r="AI32" s="284" t="e">
        <f>IF(VLOOKUP(T_Convention[[#This Row],[NumL]],T_TraitDi[#Data],COLUMN(T_TraitDi[Colonne9]),FALSE)=0,"",TEXT(IFERROR(VLOOKUP(T_Convention[[#This Row],[NumL]],T_TraitDi[#Data],COLUMN(T_TraitDi[Colonne9]),FALSE),""),"[hh]:mm"))</f>
        <v>#N/A</v>
      </c>
      <c r="AJ32" s="284" t="str">
        <f>IFERROR(VLOOKUP(T_Convention[[#This Row],[NumL]],T_TraitDi[#Data],COLUMN(T_TraitDi[Colonne10]),FALSE),"")</f>
        <v/>
      </c>
      <c r="AK32" s="284" t="e">
        <f>IF(VLOOKUP(T_Convention[[#This Row],[NumL]],T_TraitDi[#Data],COLUMN(T_TraitDi[Colonne11]),FALSE)=0,"",TEXT(IFERROR(VLOOKUP(T_Convention[[#This Row],[NumL]],T_TraitDi[#Data],COLUMN(T_TraitDi[Colonne11]),FALSE),""),"[hh]:mm"))</f>
        <v>#N/A</v>
      </c>
      <c r="AL32" s="284" t="e">
        <f>IF(VLOOKUP(T_Convention[[#This Row],[NumL]],T_TraitDi[#Data],COLUMN(T_TraitDi[Colonne12]),FALSE)=0,"",TEXT(IFERROR(VLOOKUP(T_Convention[[#This Row],[NumL]],T_TraitDi[#Data],COLUMN(T_TraitDi[Colonne12]),FALSE),""),"[hh]:mm"))</f>
        <v>#N/A</v>
      </c>
      <c r="AM32" s="284" t="e">
        <f>IF(VLOOKUP(T_Convention[[#This Row],[NumL]],T_TraitDi[#Data],COLUMN(T_TraitDi[Colonne14]),FALSE)=0,"",TEXT(IFERROR(VLOOKUP(T_Convention[[#This Row],[NumL]],T_TraitDi[#Data],COLUMN(T_TraitDi[Colonne14]),FALSE),""),"[hh]:mm"))</f>
        <v>#N/A</v>
      </c>
      <c r="AN32" s="284" t="str">
        <f>IFERROR(VLOOKUP(T_Convention[[#This Row],[NumL]],T_TraitDi[#Data],COLUMN(T_TraitDi[Mercredi]),FALSE),"")</f>
        <v/>
      </c>
      <c r="AO32" s="284" t="e">
        <f>IF(VLOOKUP(T_Convention[[#This Row],[NumL]],T_TraitDi[#Data],COLUMN(T_TraitDi[Colonne15]),FALSE)=0,"",TEXT(IFERROR(VLOOKUP(T_Convention[[#This Row],[NumL]],T_TraitDi[#Data],COLUMN(T_TraitDi[Colonne15]),FALSE),""),"[hh]:mm"))</f>
        <v>#N/A</v>
      </c>
      <c r="AP32" s="284" t="e">
        <f>IF(VLOOKUP(T_Convention[[#This Row],[NumL]],T_TraitDi[#Data],COLUMN(T_TraitDi[Colonne16]),FALSE)=0,"",TEXT(IFERROR(VLOOKUP(T_Convention[[#This Row],[NumL]],T_TraitDi[#Data],COLUMN(T_TraitDi[Colonne16]),FALSE),""),"[hh]:mm"))</f>
        <v>#N/A</v>
      </c>
      <c r="AQ32" s="284" t="str">
        <f>IFERROR(VLOOKUP(T_Convention[[#This Row],[NumL]],T_TraitDi[#Data],COLUMN(T_TraitDi[Colonne17]),FALSE),"")</f>
        <v/>
      </c>
      <c r="AR32" s="284" t="e">
        <f>IF(VLOOKUP(T_Convention[[#This Row],[NumL]],T_TraitDi[#Data],COLUMN(T_TraitDi[Colonne18]),FALSE)=0,"",TEXT(IFERROR(VLOOKUP(T_Convention[[#This Row],[NumL]],T_TraitDi[#Data],COLUMN(T_TraitDi[Colonne18]),FALSE),""),"[hh]:mm"))</f>
        <v>#N/A</v>
      </c>
      <c r="AS32" s="284" t="e">
        <f>IF(VLOOKUP(T_Convention[[#This Row],[NumL]],T_TraitDi[#Data],COLUMN(T_TraitDi[Colonne19]),FALSE)=0,"",TEXT(IFERROR(VLOOKUP(T_Convention[[#This Row],[NumL]],T_TraitDi[#Data],COLUMN(T_TraitDi[Colonne19]),FALSE),""),"[hh]:mm"))</f>
        <v>#N/A</v>
      </c>
      <c r="AT32" s="284" t="e">
        <f>IF(VLOOKUP(T_Convention[[#This Row],[NumL]],T_TraitDi[#Data],COLUMN(T_TraitDi[Colonne20]),FALSE)=0,"",TEXT(IFERROR(VLOOKUP(T_Convention[[#This Row],[NumL]],T_TraitDi[#Data],COLUMN(T_TraitDi[Colonne20]),FALSE),""),"[hh]:mm"))</f>
        <v>#N/A</v>
      </c>
      <c r="AU32" s="284" t="str">
        <f>IFERROR(VLOOKUP(T_Convention[[#This Row],[NumL]],T_TraitDi[#Data],COLUMN(T_TraitDi[Jeudi]),FALSE),"")</f>
        <v/>
      </c>
      <c r="AV32" s="284" t="e">
        <f>IF(VLOOKUP(T_Convention[[#This Row],[NumL]],T_TraitDi[#Data],COLUMN(T_TraitDi[Colonne21]),FALSE)=0,"",TEXT(IFERROR(VLOOKUP(T_Convention[[#This Row],[NumL]],T_TraitDi[#Data],COLUMN(T_TraitDi[Colonne21]),FALSE),""),"[hh]:mm"))</f>
        <v>#N/A</v>
      </c>
      <c r="AW32" s="284" t="e">
        <f>IF(VLOOKUP(T_Convention[[#This Row],[NumL]],T_TraitDi[#Data],COLUMN(T_TraitDi[Colonne22]),FALSE)=0,"",TEXT(IFERROR(VLOOKUP(T_Convention[[#This Row],[NumL]],T_TraitDi[#Data],COLUMN(T_TraitDi[Colonne22]),FALSE),""),"[hh]:mm"))</f>
        <v>#N/A</v>
      </c>
      <c r="AX32" s="284" t="str">
        <f>IFERROR(VLOOKUP(T_Convention[[#This Row],[NumL]],T_TraitDi[#Data],COLUMN(T_TraitDi[Colonne23]),FALSE),"")</f>
        <v/>
      </c>
      <c r="AY32" s="284" t="e">
        <f>IF(VLOOKUP(T_Convention[[#This Row],[NumL]],T_TraitDi[#Data],COLUMN(T_TraitDi[Colonne24]),FALSE)=0,"",TEXT(IFERROR(VLOOKUP(T_Convention[[#This Row],[NumL]],T_TraitDi[#Data],COLUMN(T_TraitDi[Colonne24]),FALSE),""),"[hh]:mm"))</f>
        <v>#N/A</v>
      </c>
      <c r="AZ32" s="284" t="e">
        <f>IF(VLOOKUP(T_Convention[[#This Row],[NumL]],T_TraitDi[#Data],COLUMN(T_TraitDi[Colonne25]),FALSE)=0,"",TEXT(IFERROR(VLOOKUP(T_Convention[[#This Row],[NumL]],T_TraitDi[#Data],COLUMN(T_TraitDi[Colonne25]),FALSE),""),"[hh]:mm"))</f>
        <v>#N/A</v>
      </c>
      <c r="BA32" s="284" t="e">
        <f>IF(VLOOKUP(T_Convention[[#This Row],[NumL]],T_TraitDi[#Data],COLUMN(T_TraitDi[Colonne26]),FALSE)=0,"",TEXT(IFERROR(VLOOKUP(T_Convention[[#This Row],[NumL]],T_TraitDi[#Data],COLUMN(T_TraitDi[Colonne26]),FALSE),""),"[hh]:mm"))</f>
        <v>#N/A</v>
      </c>
      <c r="BB32" s="284" t="str">
        <f>IFERROR(VLOOKUP(T_Convention[[#This Row],[NumL]],T_TraitDi[#Data],COLUMN(T_TraitDi[Vendredi]),FALSE),"")</f>
        <v/>
      </c>
      <c r="BC32" s="284" t="e">
        <f>IF(VLOOKUP(T_Convention[[#This Row],[NumL]],T_TraitDi[#Data],COLUMN(T_TraitDi[Colonne27]),FALSE)=0,"",TEXT(IFERROR(VLOOKUP(T_Convention[[#This Row],[NumL]],T_TraitDi[#Data],COLUMN(T_TraitDi[Colonne27]),FALSE),""),"[hh]:mm"))</f>
        <v>#N/A</v>
      </c>
      <c r="BD32" s="284" t="e">
        <f>IF(VLOOKUP(T_Convention[[#This Row],[NumL]],T_TraitDi[#Data],COLUMN(T_TraitDi[Colonne28]),FALSE)=0,"",TEXT(IFERROR(VLOOKUP(T_Convention[[#This Row],[NumL]],T_TraitDi[#Data],COLUMN(T_TraitDi[Colonne28]),FALSE),""),"[hh]:mm"))</f>
        <v>#N/A</v>
      </c>
      <c r="BE32" s="284" t="str">
        <f>IFERROR(VLOOKUP(T_Convention[[#This Row],[NumL]],T_TraitDi[#Data],COLUMN(T_TraitDi[Colonne29]),FALSE),"")</f>
        <v/>
      </c>
      <c r="BF32" s="284" t="e">
        <f>IF(VLOOKUP(T_Convention[[#This Row],[NumL]],T_TraitDi[#Data],COLUMN(T_TraitDi[Colonne30]),FALSE)=0,"",TEXT(IFERROR(VLOOKUP(T_Convention[[#This Row],[NumL]],T_TraitDi[#Data],COLUMN(T_TraitDi[Colonne30]),FALSE),""),"[hh]:mm"))</f>
        <v>#N/A</v>
      </c>
      <c r="BG32" s="284" t="e">
        <f>IF(VLOOKUP(T_Convention[[#This Row],[NumL]],T_TraitDi[#Data],COLUMN(T_TraitDi[Colonne31]),FALSE)=0,"",TEXT(IFERROR(VLOOKUP(T_Convention[[#This Row],[NumL]],T_TraitDi[#Data],COLUMN(T_TraitDi[Colonne31]),FALSE),""),"[hh]:mm"))</f>
        <v>#N/A</v>
      </c>
      <c r="BH32" s="284" t="e">
        <f>IF(VLOOKUP(T_Convention[[#This Row],[NumL]],T_TraitDi[#Data],COLUMN(T_TraitDi[Colonne32]),FALSE)=0,"",TEXT(IFERROR(VLOOKUP(T_Convention[[#This Row],[NumL]],T_TraitDi[#Data],COLUMN(T_TraitDi[Colonne32]),FALSE),""),"[hh]:mm"))</f>
        <v>#N/A</v>
      </c>
      <c r="BI32" s="284" t="str">
        <f>IFERROR(VLOOKUP(T_Convention[[#This Row],[NumL]],T_TraitDi[#Data],COLUMN(T_TraitDi[NbJTW]),FALSE),"")</f>
        <v/>
      </c>
      <c r="BJ32" s="284" t="e">
        <f>IF(VLOOKUP(T_Convention[[#This Row],[NumL]],T_TraitDi[#Data],COLUMN(T_TraitDi[NbhTW]),FALSE)=0,"",TEXT(IFERROR(VLOOKUP(T_Convention[[#This Row],[NumL]],T_TraitDi[#Data],COLUMN(T_TraitDi[NbhTW]),FALSE),""),"[hh]:mm"))</f>
        <v>#N/A</v>
      </c>
      <c r="BK32" s="286" t="e">
        <f>IF(VLOOKUP(T_Convention[[#This Row],[NumL]],T_TraitDi[#Data],COLUMN(T_TraitDi[Nbhheb]),FALSE)=0,"",TEXT(IFERROR(VLOOKUP(T_Convention[[#This Row],[NumL]],T_TraitDi[#Data],COLUMN(T_TraitDi[Nbhheb]),FALSE),""),"[hh]:mm"))</f>
        <v>#N/A</v>
      </c>
      <c r="BL32" s="287" t="str">
        <f>IFERROR(VLOOKUP(VLOOKUP(T_Convention[[#This Row],[NumL]],T_TraitDi[#Data],COLUMN(T_TraitDi[Type1]),FALSE),TypeTW,2,FALSE),"")</f>
        <v/>
      </c>
      <c r="BM32" s="288" t="str">
        <f>IFERROR(VLOOKUP(T_Convention[[#This Row],[NumL]],T_TraitDi[#Data],COLUMN(T_TraitDi[Rue1]),FALSE),"")</f>
        <v/>
      </c>
      <c r="BN32" s="289" t="str">
        <f>IFERROR(VLOOKUP(T_Convention[[#This Row],[NumL]],T_TraitDi[#Data],COLUMN(T_TraitDi[CP1]),FALSE),"")</f>
        <v/>
      </c>
      <c r="BO32" s="282" t="str">
        <f>IFERROR(VLOOKUP(T_Convention[[#This Row],[NumL]],T_TraitDi[#Data],COLUMN(T_TraitDi[VILLE1]),FALSE),"")</f>
        <v/>
      </c>
      <c r="BP32" s="290" t="str">
        <f>IFERROR(VLOOKUP(VLOOKUP(T_Convention[[#This Row],[NumL]],T_TraitDi[#Data],COLUMN(T_TraitDi[Type2]),FALSE),TypeTW,2,FALSE),"")</f>
        <v/>
      </c>
      <c r="BQ32" s="182" t="str">
        <f>IFERROR(VLOOKUP(T_Convention[[#This Row],[NumL]],T_TraitDi[#Data],COLUMN(T_TraitDi[Rue2]),FALSE),"")</f>
        <v/>
      </c>
      <c r="BR32" s="173" t="str">
        <f>IFERROR(VLOOKUP(T_Convention[[#This Row],[NumL]],T_TraitDi[#Data],COLUMN(T_TraitDi[CP2]),FALSE),"")</f>
        <v/>
      </c>
      <c r="BS32" s="173" t="str">
        <f>IFERROR(VLOOKUP(T_Convention[[#This Row],[NumL]],T_TraitDi[#Data],COLUMN(T_TraitDi[VILLE2]),FALSE),"")</f>
        <v/>
      </c>
      <c r="BT32" s="182" t="str">
        <f>IF(VLOOKUP(T_Convention[[#This Row],[NumL]],T_Equipement[#Data],COLUMN(T_Equipement[PC]),FALSE)="","Aucun équipement spécifique directement lié au télétravail",VLOOKUP(T_Convention[[#This Row],[NumL]],T_Equipement[#Data],COLUMN(T_Equipement[PC]),FALSE))</f>
        <v xml:space="preserve">17-023	</v>
      </c>
      <c r="BU32" s="166" t="str">
        <f>IFERROR(IF(VLOOKUP(T_Convention[[#This Row],[NumL]],T_TraitDi[#Data],COLUMN(T_TraitDi[Plan]),FALSE)="OK","Un planning spécifique de télétravail est annexé à la présente convention.",""),"")</f>
        <v/>
      </c>
      <c r="BV32" s="185" t="s">
        <v>3447</v>
      </c>
      <c r="BW32" s="164" t="e">
        <f>IF(VLOOKUP(T_Convention[[#This Row],[NumL]],T_suiviDi[#Data],COLUMN(T_suiviDi[Entité]),FALSE)="","",VLOOKUP(T_Convention[[#This Row],[NumL]],T_suiviDi[#Data],COLUMN(T_suiviDi[Entité]),FALSE))</f>
        <v>#N/A</v>
      </c>
      <c r="BX32" s="164" t="str">
        <f>IF(VLOOKUP(T_Convention[[#This Row],[NumL]],T_Commission[#Data],COLUMN(T_Commission[envoi confirm TW]),FALSE)="","",VLOOKUP(T_Convention[[#This Row],[NumL]],T_Commission[#Data],COLUMN(T_Commission[envoi confirm TW]),FALSE))</f>
        <v>Oui</v>
      </c>
      <c r="BY3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2" s="264">
        <f>VLOOKUP(T_Convention[[#This Row],[NumL]],T_Commission[#Data],COLUMN(T_Commission[Commentaire]),FALSE)</f>
        <v>0</v>
      </c>
      <c r="CA32" s="254" t="str">
        <f>IF(VLOOKUP(T_Convention[[#This Row],[NumL]],T_Commission[#Data],COLUMN(T_Commission[Encadrant Email]),FALSE)="","",VLOOKUP(T_Convention[[#This Row],[NumL]],T_Commission[#Data],COLUMN(T_Commission[Encadrant Email]),FALSE))</f>
        <v/>
      </c>
      <c r="CB32" s="352" t="e">
        <f>VLOOKUP(T_Convention[[#This Row],[NumL]],T_TraitDi[#Data],COLUMN(T_TraitDi[NbJTot]),FALSE)</f>
        <v>#N/A</v>
      </c>
      <c r="CC32" s="352" t="e">
        <f>VLOOKUP(T_Convention[[#This Row],[NumL]],T_TraitDi[#Data],COLUMN(T_TraitDi[Reg Ponct]),FALSE)</f>
        <v>#N/A</v>
      </c>
      <c r="CD32" s="348" t="str">
        <f>IF(T_Convention[[#This Row],[Final]]&lt;&gt;"",VLOOKUP(T_Convention[[#This Row],[NumL]],T_suiviDi[#Data],COLUMN((T_suiviDi[Statut])),FALSE),"")</f>
        <v/>
      </c>
    </row>
    <row r="33" spans="1:82" s="106" customFormat="1" ht="18.75" customHeight="1" x14ac:dyDescent="0.25">
      <c r="A33" s="160">
        <v>130</v>
      </c>
      <c r="B33" s="161" t="str">
        <f>VLOOKUP(T_Convention[[#This Row],[NumL]],T_Commission[#Data],COLUMN(T_Commission[FINAL]),FALSE)</f>
        <v/>
      </c>
      <c r="C33" s="162"/>
      <c r="D33" s="95" t="e">
        <f>IF(VLOOKUP(T_Convention[[#This Row],[NumL]],T_TraitDi[#Data],COLUMN(T_TraitDi[WebC]),FALSE)="","",VLOOKUP(T_Convention[[#This Row],[NumL]],T_TraitDi[#Data],COLUMN(T_TraitDi[WebC]),FALSE))</f>
        <v>#N/A</v>
      </c>
      <c r="E33" s="163" t="str">
        <f t="shared" si="0"/>
        <v>12 janvier 2021</v>
      </c>
      <c r="F33" s="282" t="str">
        <f>IF(T_Convention[[#This Row],[Final]]&lt;&gt;"",VLOOKUP(T_Convention[[#This Row],[NumL]],T_suiviDi[#Data],COLUMN((T_suiviDi[Civ.])),FALSE),"")</f>
        <v/>
      </c>
      <c r="G33" s="283" t="str">
        <f>IF(T_Convention[[#This Row],[Final]]&lt;&gt;"",VLOOKUP(T_Convention[[#This Row],[NumL]],T_suiviDi[#Data],COLUMN((T_suiviDi[Nom])),FALSE),"")</f>
        <v/>
      </c>
      <c r="H33" s="282" t="str">
        <f>IF(T_Convention[[#This Row],[Final]]&lt;&gt;"",VLOOKUP(T_Convention[[#This Row],[NumL]],T_suiviDi[#Data],COLUMN((T_suiviDi[Prénom])),FALSE),"")</f>
        <v/>
      </c>
      <c r="I33" s="282" t="e">
        <f>VLOOKUP(T_Convention[[#This Row],[NumL]],T_suiviDi[#Data],COLUMN((T_suiviDi[[#This Row],[Email]])),FALSE)</f>
        <v>#VALUE!</v>
      </c>
      <c r="J33" s="282" t="e">
        <f>IF(VLOOKUP(T_Convention[[#This Row],[NumL]],T_suiviDi[#Data],COLUMN(T_suiviDi[[#This Row],[Fonction]]),FALSE)="","",VLOOKUP(T_Convention[[#This Row],[NumL]],T_suiviDi[#Data],COLUMN(T_suiviDi[[#This Row],[Fonction]]),FALSE))</f>
        <v>#VALUE!</v>
      </c>
      <c r="K33" s="282" t="e">
        <f>IF(VLOOKUP(T_Convention[[#This Row],[NumL]],T_suiviDi[#Data],COLUMN(T_suiviDi[[#This Row],[Grade]]),FALSE)="","",VLOOKUP(T_Convention[[#This Row],[NumL]],T_suiviDi[#Data],COLUMN(T_suiviDi[[#This Row],[Grade]]),FALSE))</f>
        <v>#VALUE!</v>
      </c>
      <c r="L33" s="282" t="e">
        <f>IF(VLOOKUP(T_Convention[[#This Row],[NumL]],T_suiviDi[#Data],COLUMN(T_suiviDi[[#This Row],[Service ]]),FALSE)="","",VLOOKUP(T_Convention[[#This Row],[NumL]],T_suiviDi[#Data],COLUMN(T_suiviDi[[#This Row],[Service ]]),FALSE))</f>
        <v>#VALUE!</v>
      </c>
      <c r="M33" s="164" t="str">
        <f t="shared" si="1"/>
        <v>01 septembre 2021</v>
      </c>
      <c r="N33" s="164" t="str">
        <f t="shared" si="2"/>
        <v>30 novembre 2021</v>
      </c>
      <c r="O33" s="284" t="str">
        <f t="shared" si="3"/>
        <v>30 novembre 2021</v>
      </c>
      <c r="P33" s="282" t="e">
        <f>IF(VLOOKUP(T_Convention[[#This Row],[NumL]],T_TraitDi[#Data],COLUMN(T_TraitDi[M1]),FALSE)="","",VLOOKUP(T_Convention[[#This Row],[NumL]],T_TraitDi[#Data],COLUMN(T_TraitDi[M1]),FALSE))</f>
        <v>#N/A</v>
      </c>
      <c r="Q33" s="282" t="e">
        <f>IF(VLOOKUP(T_Convention[[#This Row],[NumL]],T_TraitDi[#Data],COLUMN(T_TraitDi[M2]),FALSE)="","",VLOOKUP(T_Convention[[#This Row],[NumL]],T_TraitDi[#Data],COLUMN(T_TraitDi[M2]),FALSE))</f>
        <v>#N/A</v>
      </c>
      <c r="R33" s="282" t="e">
        <f>IF(VLOOKUP(T_Convention[[#This Row],[NumL]],T_TraitDi[#Data],COLUMN(T_TraitDi[M3]),FALSE)="","",VLOOKUP(T_Convention[[#This Row],[NumL]],T_TraitDi[#Data],COLUMN(T_TraitDi[M3]),FALSE))</f>
        <v>#N/A</v>
      </c>
      <c r="S33" s="282" t="e">
        <f>IF(VLOOKUP(T_Convention[[#This Row],[NumL]],T_TraitDi[#Data],COLUMN(T_TraitDi[M4]),FALSE)="","",VLOOKUP(T_Convention[[#This Row],[NumL]],T_TraitDi[#Data],COLUMN(T_TraitDi[M4]),FALSE))</f>
        <v>#N/A</v>
      </c>
      <c r="T33" s="282" t="e">
        <f>IF(VLOOKUP(T_Convention[[#This Row],[NumL]],T_TraitDi[#Data],COLUMN(T_TraitDi[M5]),FALSE)="","",VLOOKUP(T_Convention[[#This Row],[NumL]],T_TraitDi[#Data],COLUMN(T_TraitDi[M5]),FALSE))</f>
        <v>#N/A</v>
      </c>
      <c r="U33" s="282" t="e">
        <f>IF(VLOOKUP(T_Convention[[#This Row],[NumL]],T_TraitDi[#Data],COLUMN(T_TraitDi[M6]),FALSE)="","",VLOOKUP(T_Convention[[#This Row],[NumL]],T_TraitDi[#Data],COLUMN(T_TraitDi[M6]),FALSE))</f>
        <v>#N/A</v>
      </c>
      <c r="V33" s="176" t="e">
        <f t="shared" si="4"/>
        <v>#N/A</v>
      </c>
      <c r="W33" s="284" t="str">
        <f>IFERROR(TEXT(VLOOKUP(T_Convention[[#This Row],[NumL]],T_TraitDi[#Data],COLUMN(T_TraitDi[Q2]),FALSE),"###%"),"")</f>
        <v/>
      </c>
      <c r="X33" s="97" t="e">
        <f>VLOOKUP(T_Convention[[#This Row],[NumL]],T_TraitDi[#Data],COLUMN(T_TraitDi[Reg Ponct]),FALSE)</f>
        <v>#N/A</v>
      </c>
      <c r="Y33" s="97" t="e">
        <f>VLOOKUP(T_Convention[NumL],T_TraitDi[#Data],COLUMN(T_TraitDi[Jours flottants]),FALSE)</f>
        <v>#N/A</v>
      </c>
      <c r="Z33" s="284" t="str">
        <f>IFERROR(VLOOKUP(T_Convention[[#This Row],[NumL]],T_TraitDi[#Data],COLUMN(T_TraitDi[Lundi]),FALSE),"")</f>
        <v/>
      </c>
      <c r="AA33" s="284" t="e">
        <f>IF(VLOOKUP(T_Convention[[#This Row],[NumL]],T_TraitDi[#Data],COLUMN(T_TraitDi[Colonne3]),FALSE)=0,"",TEXT(IFERROR(VLOOKUP(T_Convention[[#This Row],[NumL]],T_TraitDi[#Data],COLUMN(T_TraitDi[Colonne3]),FALSE),""),"[hh]:mm"))</f>
        <v>#N/A</v>
      </c>
      <c r="AB33" s="284" t="e">
        <f>IF(VLOOKUP(T_Convention[[#This Row],[NumL]],T_TraitDi[#Data],COLUMN(T_TraitDi[Colonne4]),FALSE)=0,"",TEXT(IFERROR(VLOOKUP(T_Convention[[#This Row],[NumL]],T_TraitDi[#Data],COLUMN(T_TraitDi[Colonne4]),FALSE),""),"[hh]:mm"))</f>
        <v>#N/A</v>
      </c>
      <c r="AC33" s="284" t="e">
        <f>IF(VLOOKUP(T_Convention[[#This Row],[NumL]],T_TraitDi[#Data],COLUMN(T_TraitDi[Colonne5]),FALSE)=0,"",TEXT(IFERROR(VLOOKUP(T_Convention[[#This Row],[NumL]],T_TraitDi[#Data],COLUMN(T_TraitDi[Colonne5]),FALSE),""),"[hh]:mm"))</f>
        <v>#N/A</v>
      </c>
      <c r="AD33" s="284" t="e">
        <f>IF(VLOOKUP(T_Convention[[#This Row],[NumL]],T_TraitDi[#Data],COLUMN(T_TraitDi[Colonne6]),FALSE)=0,"",TEXT(IFERROR(VLOOKUP(T_Convention[[#This Row],[NumL]],T_TraitDi[#Data],COLUMN(T_TraitDi[Colonne6]),FALSE),""),"[hh]:mm"))</f>
        <v>#N/A</v>
      </c>
      <c r="AE33" s="284" t="e">
        <f>IF(VLOOKUP(T_Convention[[#This Row],[NumL]],T_TraitDi[#Data],COLUMN(T_TraitDi[Colonne7]),FALSE)=0,"",TEXT(IFERROR(VLOOKUP(T_Convention[[#This Row],[NumL]],T_TraitDi[#Data],COLUMN(T_TraitDi[Colonne7]),FALSE),""),"[hh]:mm"))</f>
        <v>#N/A</v>
      </c>
      <c r="AF33" s="284" t="e">
        <f>IF(VLOOKUP(T_Convention[[#This Row],[NumL]],T_TraitDi[#Data],COLUMN(T_TraitDi[Colonne8]),FALSE)=0,"",TEXT(IFERROR(VLOOKUP(T_Convention[[#This Row],[NumL]],T_TraitDi[#Data],COLUMN(T_TraitDi[Colonne8]),FALSE),""),"[hh]:mm"))</f>
        <v>#N/A</v>
      </c>
      <c r="AG33" s="284" t="str">
        <f>IFERROR(VLOOKUP(T_Convention[[#This Row],[NumL]],T_TraitDi[#Data],COLUMN(T_TraitDi[Mardi]),FALSE),"")</f>
        <v/>
      </c>
      <c r="AH33" s="284" t="e">
        <f>IF(VLOOKUP(T_Convention[[#This Row],[NumL]],T_TraitDi[#Data],COLUMN(T_TraitDi[Colonne1]),FALSE)=0,"",TEXT(IFERROR(VLOOKUP(T_Convention[[#This Row],[NumL]],T_TraitDi[#Data],COLUMN(T_TraitDi[Colonne1]),FALSE),""),"[hh]:mm"))</f>
        <v>#N/A</v>
      </c>
      <c r="AI33" s="284" t="e">
        <f>IF(VLOOKUP(T_Convention[[#This Row],[NumL]],T_TraitDi[#Data],COLUMN(T_TraitDi[Colonne9]),FALSE)=0,"",TEXT(IFERROR(VLOOKUP(T_Convention[[#This Row],[NumL]],T_TraitDi[#Data],COLUMN(T_TraitDi[Colonne9]),FALSE),""),"[hh]:mm"))</f>
        <v>#N/A</v>
      </c>
      <c r="AJ33" s="284" t="str">
        <f>IFERROR(VLOOKUP(T_Convention[[#This Row],[NumL]],T_TraitDi[#Data],COLUMN(T_TraitDi[Colonne10]),FALSE),"")</f>
        <v/>
      </c>
      <c r="AK33" s="284" t="e">
        <f>IF(VLOOKUP(T_Convention[[#This Row],[NumL]],T_TraitDi[#Data],COLUMN(T_TraitDi[Colonne11]),FALSE)=0,"",TEXT(IFERROR(VLOOKUP(T_Convention[[#This Row],[NumL]],T_TraitDi[#Data],COLUMN(T_TraitDi[Colonne11]),FALSE),""),"[hh]:mm"))</f>
        <v>#N/A</v>
      </c>
      <c r="AL33" s="284" t="e">
        <f>IF(VLOOKUP(T_Convention[[#This Row],[NumL]],T_TraitDi[#Data],COLUMN(T_TraitDi[Colonne12]),FALSE)=0,"",TEXT(IFERROR(VLOOKUP(T_Convention[[#This Row],[NumL]],T_TraitDi[#Data],COLUMN(T_TraitDi[Colonne12]),FALSE),""),"[hh]:mm"))</f>
        <v>#N/A</v>
      </c>
      <c r="AM33" s="284" t="e">
        <f>IF(VLOOKUP(T_Convention[[#This Row],[NumL]],T_TraitDi[#Data],COLUMN(T_TraitDi[Colonne14]),FALSE)=0,"",TEXT(IFERROR(VLOOKUP(T_Convention[[#This Row],[NumL]],T_TraitDi[#Data],COLUMN(T_TraitDi[Colonne14]),FALSE),""),"[hh]:mm"))</f>
        <v>#N/A</v>
      </c>
      <c r="AN33" s="284" t="str">
        <f>IFERROR(VLOOKUP(T_Convention[[#This Row],[NumL]],T_TraitDi[#Data],COLUMN(T_TraitDi[Mercredi]),FALSE),"")</f>
        <v/>
      </c>
      <c r="AO33" s="284" t="e">
        <f>IF(VLOOKUP(T_Convention[[#This Row],[NumL]],T_TraitDi[#Data],COLUMN(T_TraitDi[Colonne15]),FALSE)=0,"",TEXT(IFERROR(VLOOKUP(T_Convention[[#This Row],[NumL]],T_TraitDi[#Data],COLUMN(T_TraitDi[Colonne15]),FALSE),""),"[hh]:mm"))</f>
        <v>#N/A</v>
      </c>
      <c r="AP33" s="284" t="e">
        <f>IF(VLOOKUP(T_Convention[[#This Row],[NumL]],T_TraitDi[#Data],COLUMN(T_TraitDi[Colonne16]),FALSE)=0,"",TEXT(IFERROR(VLOOKUP(T_Convention[[#This Row],[NumL]],T_TraitDi[#Data],COLUMN(T_TraitDi[Colonne16]),FALSE),""),"[hh]:mm"))</f>
        <v>#N/A</v>
      </c>
      <c r="AQ33" s="284" t="str">
        <f>IFERROR(VLOOKUP(T_Convention[[#This Row],[NumL]],T_TraitDi[#Data],COLUMN(T_TraitDi[Colonne17]),FALSE),"")</f>
        <v/>
      </c>
      <c r="AR33" s="284" t="e">
        <f>IF(VLOOKUP(T_Convention[[#This Row],[NumL]],T_TraitDi[#Data],COLUMN(T_TraitDi[Colonne18]),FALSE)=0,"",TEXT(IFERROR(VLOOKUP(T_Convention[[#This Row],[NumL]],T_TraitDi[#Data],COLUMN(T_TraitDi[Colonne18]),FALSE),""),"[hh]:mm"))</f>
        <v>#N/A</v>
      </c>
      <c r="AS33" s="284" t="e">
        <f>IF(VLOOKUP(T_Convention[[#This Row],[NumL]],T_TraitDi[#Data],COLUMN(T_TraitDi[Colonne19]),FALSE)=0,"",TEXT(IFERROR(VLOOKUP(T_Convention[[#This Row],[NumL]],T_TraitDi[#Data],COLUMN(T_TraitDi[Colonne19]),FALSE),""),"[hh]:mm"))</f>
        <v>#N/A</v>
      </c>
      <c r="AT33" s="284" t="e">
        <f>IF(VLOOKUP(T_Convention[[#This Row],[NumL]],T_TraitDi[#Data],COLUMN(T_TraitDi[Colonne20]),FALSE)=0,"",TEXT(IFERROR(VLOOKUP(T_Convention[[#This Row],[NumL]],T_TraitDi[#Data],COLUMN(T_TraitDi[Colonne20]),FALSE),""),"[hh]:mm"))</f>
        <v>#N/A</v>
      </c>
      <c r="AU33" s="284" t="str">
        <f>IFERROR(VLOOKUP(T_Convention[[#This Row],[NumL]],T_TraitDi[#Data],COLUMN(T_TraitDi[Jeudi]),FALSE),"")</f>
        <v/>
      </c>
      <c r="AV33" s="284" t="e">
        <f>IF(VLOOKUP(T_Convention[[#This Row],[NumL]],T_TraitDi[#Data],COLUMN(T_TraitDi[Colonne21]),FALSE)=0,"",TEXT(IFERROR(VLOOKUP(T_Convention[[#This Row],[NumL]],T_TraitDi[#Data],COLUMN(T_TraitDi[Colonne21]),FALSE),""),"[hh]:mm"))</f>
        <v>#N/A</v>
      </c>
      <c r="AW33" s="284" t="e">
        <f>IF(VLOOKUP(T_Convention[[#This Row],[NumL]],T_TraitDi[#Data],COLUMN(T_TraitDi[Colonne22]),FALSE)=0,"",TEXT(IFERROR(VLOOKUP(T_Convention[[#This Row],[NumL]],T_TraitDi[#Data],COLUMN(T_TraitDi[Colonne22]),FALSE),""),"[hh]:mm"))</f>
        <v>#N/A</v>
      </c>
      <c r="AX33" s="284" t="str">
        <f>IFERROR(VLOOKUP(T_Convention[[#This Row],[NumL]],T_TraitDi[#Data],COLUMN(T_TraitDi[Colonne23]),FALSE),"")</f>
        <v/>
      </c>
      <c r="AY33" s="284" t="e">
        <f>IF(VLOOKUP(T_Convention[[#This Row],[NumL]],T_TraitDi[#Data],COLUMN(T_TraitDi[Colonne24]),FALSE)=0,"",TEXT(IFERROR(VLOOKUP(T_Convention[[#This Row],[NumL]],T_TraitDi[#Data],COLUMN(T_TraitDi[Colonne24]),FALSE),""),"[hh]:mm"))</f>
        <v>#N/A</v>
      </c>
      <c r="AZ33" s="284" t="e">
        <f>IF(VLOOKUP(T_Convention[[#This Row],[NumL]],T_TraitDi[#Data],COLUMN(T_TraitDi[Colonne25]),FALSE)=0,"",TEXT(IFERROR(VLOOKUP(T_Convention[[#This Row],[NumL]],T_TraitDi[#Data],COLUMN(T_TraitDi[Colonne25]),FALSE),""),"[hh]:mm"))</f>
        <v>#N/A</v>
      </c>
      <c r="BA33" s="284" t="e">
        <f>IF(VLOOKUP(T_Convention[[#This Row],[NumL]],T_TraitDi[#Data],COLUMN(T_TraitDi[Colonne26]),FALSE)=0,"",TEXT(IFERROR(VLOOKUP(T_Convention[[#This Row],[NumL]],T_TraitDi[#Data],COLUMN(T_TraitDi[Colonne26]),FALSE),""),"[hh]:mm"))</f>
        <v>#N/A</v>
      </c>
      <c r="BB33" s="284" t="str">
        <f>IFERROR(VLOOKUP(T_Convention[[#This Row],[NumL]],T_TraitDi[#Data],COLUMN(T_TraitDi[Vendredi]),FALSE),"")</f>
        <v/>
      </c>
      <c r="BC33" s="284" t="e">
        <f>IF(VLOOKUP(T_Convention[[#This Row],[NumL]],T_TraitDi[#Data],COLUMN(T_TraitDi[Colonne27]),FALSE)=0,"",TEXT(IFERROR(VLOOKUP(T_Convention[[#This Row],[NumL]],T_TraitDi[#Data],COLUMN(T_TraitDi[Colonne27]),FALSE),""),"[hh]:mm"))</f>
        <v>#N/A</v>
      </c>
      <c r="BD33" s="284" t="e">
        <f>IF(VLOOKUP(T_Convention[[#This Row],[NumL]],T_TraitDi[#Data],COLUMN(T_TraitDi[Colonne28]),FALSE)=0,"",TEXT(IFERROR(VLOOKUP(T_Convention[[#This Row],[NumL]],T_TraitDi[#Data],COLUMN(T_TraitDi[Colonne28]),FALSE),""),"[hh]:mm"))</f>
        <v>#N/A</v>
      </c>
      <c r="BE33" s="284" t="str">
        <f>IFERROR(VLOOKUP(T_Convention[[#This Row],[NumL]],T_TraitDi[#Data],COLUMN(T_TraitDi[Colonne29]),FALSE),"")</f>
        <v/>
      </c>
      <c r="BF33" s="284" t="e">
        <f>IF(VLOOKUP(T_Convention[[#This Row],[NumL]],T_TraitDi[#Data],COLUMN(T_TraitDi[Colonne30]),FALSE)=0,"",TEXT(IFERROR(VLOOKUP(T_Convention[[#This Row],[NumL]],T_TraitDi[#Data],COLUMN(T_TraitDi[Colonne30]),FALSE),""),"[hh]:mm"))</f>
        <v>#N/A</v>
      </c>
      <c r="BG33" s="284" t="e">
        <f>IF(VLOOKUP(T_Convention[[#This Row],[NumL]],T_TraitDi[#Data],COLUMN(T_TraitDi[Colonne31]),FALSE)=0,"",TEXT(IFERROR(VLOOKUP(T_Convention[[#This Row],[NumL]],T_TraitDi[#Data],COLUMN(T_TraitDi[Colonne31]),FALSE),""),"[hh]:mm"))</f>
        <v>#N/A</v>
      </c>
      <c r="BH33" s="284" t="e">
        <f>IF(VLOOKUP(T_Convention[[#This Row],[NumL]],T_TraitDi[#Data],COLUMN(T_TraitDi[Colonne32]),FALSE)=0,"",TEXT(IFERROR(VLOOKUP(T_Convention[[#This Row],[NumL]],T_TraitDi[#Data],COLUMN(T_TraitDi[Colonne32]),FALSE),""),"[hh]:mm"))</f>
        <v>#N/A</v>
      </c>
      <c r="BI33" s="284" t="str">
        <f>IFERROR(VLOOKUP(T_Convention[[#This Row],[NumL]],T_TraitDi[#Data],COLUMN(T_TraitDi[NbJTW]),FALSE),"")</f>
        <v/>
      </c>
      <c r="BJ33" s="284" t="e">
        <f>IF(VLOOKUP(T_Convention[[#This Row],[NumL]],T_TraitDi[#Data],COLUMN(T_TraitDi[NbhTW]),FALSE)=0,"",TEXT(IFERROR(VLOOKUP(T_Convention[[#This Row],[NumL]],T_TraitDi[#Data],COLUMN(T_TraitDi[NbhTW]),FALSE),""),"[hh]:mm"))</f>
        <v>#N/A</v>
      </c>
      <c r="BK33" s="286" t="e">
        <f>IF(VLOOKUP(T_Convention[[#This Row],[NumL]],T_TraitDi[#Data],COLUMN(T_TraitDi[Nbhheb]),FALSE)=0,"",TEXT(IFERROR(VLOOKUP(T_Convention[[#This Row],[NumL]],T_TraitDi[#Data],COLUMN(T_TraitDi[Nbhheb]),FALSE),""),"[hh]:mm"))</f>
        <v>#N/A</v>
      </c>
      <c r="BL33" s="287" t="str">
        <f>IFERROR(VLOOKUP(VLOOKUP(T_Convention[[#This Row],[NumL]],T_TraitDi[#Data],COLUMN(T_TraitDi[Type1]),FALSE),TypeTW,2,FALSE),"")</f>
        <v/>
      </c>
      <c r="BM33" s="288" t="str">
        <f>IFERROR(VLOOKUP(T_Convention[[#This Row],[NumL]],T_TraitDi[#Data],COLUMN(T_TraitDi[Rue1]),FALSE),"")</f>
        <v/>
      </c>
      <c r="BN33" s="289" t="str">
        <f>IFERROR(VLOOKUP(T_Convention[[#This Row],[NumL]],T_TraitDi[#Data],COLUMN(T_TraitDi[CP1]),FALSE),"")</f>
        <v/>
      </c>
      <c r="BO33" s="282" t="str">
        <f>IFERROR(VLOOKUP(T_Convention[[#This Row],[NumL]],T_TraitDi[#Data],COLUMN(T_TraitDi[VILLE1]),FALSE),"")</f>
        <v/>
      </c>
      <c r="BP33" s="290" t="str">
        <f>IFERROR(VLOOKUP(VLOOKUP(T_Convention[[#This Row],[NumL]],T_TraitDi[#Data],COLUMN(T_TraitDi[Type2]),FALSE),TypeTW,2,FALSE),"")</f>
        <v/>
      </c>
      <c r="BQ33" s="182" t="str">
        <f>IFERROR(VLOOKUP(T_Convention[[#This Row],[NumL]],T_TraitDi[#Data],COLUMN(T_TraitDi[Rue2]),FALSE),"")</f>
        <v/>
      </c>
      <c r="BR33" s="173" t="str">
        <f>IFERROR(VLOOKUP(T_Convention[[#This Row],[NumL]],T_TraitDi[#Data],COLUMN(T_TraitDi[CP2]),FALSE),"")</f>
        <v/>
      </c>
      <c r="BS33" s="173" t="str">
        <f>IFERROR(VLOOKUP(T_Convention[[#This Row],[NumL]],T_TraitDi[#Data],COLUMN(T_TraitDi[VILLE2]),FALSE),"")</f>
        <v/>
      </c>
      <c r="BT33" s="182" t="str">
        <f>IF(VLOOKUP(T_Convention[[#This Row],[NumL]],T_Equipement[#Data],COLUMN(T_Equipement[PC]),FALSE)="","Aucun équipement spécifique directement lié au télétravail",VLOOKUP(T_Convention[[#This Row],[NumL]],T_Equipement[#Data],COLUMN(T_Equipement[PC]),FALSE))</f>
        <v xml:space="preserve">17-025	</v>
      </c>
      <c r="BU33" s="166" t="str">
        <f>IFERROR(IF(VLOOKUP(T_Convention[[#This Row],[NumL]],T_TraitDi[#Data],COLUMN(T_TraitDi[Plan]),FALSE)="OK","Un planning spécifique de télétravail est annexé à la présente convention.",""),"")</f>
        <v/>
      </c>
      <c r="BV33" s="185" t="s">
        <v>3345</v>
      </c>
      <c r="BW33" s="164" t="e">
        <f>IF(VLOOKUP(T_Convention[[#This Row],[NumL]],T_suiviDi[#Data],COLUMN(T_suiviDi[Entité]),FALSE)="","",VLOOKUP(T_Convention[[#This Row],[NumL]],T_suiviDi[#Data],COLUMN(T_suiviDi[Entité]),FALSE))</f>
        <v>#N/A</v>
      </c>
      <c r="BX33" s="164" t="str">
        <f>IF(VLOOKUP(T_Convention[[#This Row],[NumL]],T_Commission[#Data],COLUMN(T_Commission[envoi confirm TW]),FALSE)="","",VLOOKUP(T_Convention[[#This Row],[NumL]],T_Commission[#Data],COLUMN(T_Commission[envoi confirm TW]),FALSE))</f>
        <v>Oui</v>
      </c>
      <c r="BY3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3" s="264">
        <f>VLOOKUP(T_Convention[[#This Row],[NumL]],T_Commission[#Data],COLUMN(T_Commission[Commentaire]),FALSE)</f>
        <v>0</v>
      </c>
      <c r="CA33" s="254" t="str">
        <f>IF(VLOOKUP(T_Convention[[#This Row],[NumL]],T_Commission[#Data],COLUMN(T_Commission[Encadrant Email]),FALSE)="","",VLOOKUP(T_Convention[[#This Row],[NumL]],T_Commission[#Data],COLUMN(T_Commission[Encadrant Email]),FALSE))</f>
        <v/>
      </c>
      <c r="CB33" s="352" t="e">
        <f>VLOOKUP(T_Convention[[#This Row],[NumL]],T_TraitDi[#Data],COLUMN(T_TraitDi[NbJTot]),FALSE)</f>
        <v>#N/A</v>
      </c>
      <c r="CC33" s="352" t="e">
        <f>VLOOKUP(T_Convention[[#This Row],[NumL]],T_TraitDi[#Data],COLUMN(T_TraitDi[Reg Ponct]),FALSE)</f>
        <v>#N/A</v>
      </c>
      <c r="CD33" s="348" t="str">
        <f>IF(T_Convention[[#This Row],[Final]]&lt;&gt;"",VLOOKUP(T_Convention[[#This Row],[NumL]],T_suiviDi[#Data],COLUMN((T_suiviDi[Statut])),FALSE),"")</f>
        <v/>
      </c>
    </row>
    <row r="34" spans="1:82" s="106" customFormat="1" ht="18.75" customHeight="1" x14ac:dyDescent="0.25">
      <c r="A34" s="160">
        <v>329</v>
      </c>
      <c r="B34" s="281" t="str">
        <f>VLOOKUP(T_Convention[[#This Row],[NumL]],T_Commission[#Data],COLUMN(T_Commission[FINAL]),FALSE)</f>
        <v/>
      </c>
      <c r="C34" s="162"/>
      <c r="D34" s="95" t="e">
        <f>IF(VLOOKUP(T_Convention[[#This Row],[NumL]],T_TraitDi[#Data],COLUMN(T_TraitDi[WebC]),FALSE)="","",VLOOKUP(T_Convention[[#This Row],[NumL]],T_TraitDi[#Data],COLUMN(T_TraitDi[WebC]),FALSE))</f>
        <v>#N/A</v>
      </c>
      <c r="E34" s="163" t="str">
        <f t="shared" si="0"/>
        <v>12 janvier 2021</v>
      </c>
      <c r="F34" s="282" t="str">
        <f>IF(T_Convention[[#This Row],[Final]]&lt;&gt;"",VLOOKUP(T_Convention[[#This Row],[NumL]],T_suiviDi[#Data],COLUMN((T_suiviDi[Civ.])),FALSE),"")</f>
        <v/>
      </c>
      <c r="G34" s="283" t="str">
        <f>IF(T_Convention[[#This Row],[Final]]&lt;&gt;"",VLOOKUP(T_Convention[[#This Row],[NumL]],T_suiviDi[#Data],COLUMN((T_suiviDi[Nom])),FALSE),"")</f>
        <v/>
      </c>
      <c r="H34" s="282" t="str">
        <f>IF(T_Convention[[#This Row],[Final]]&lt;&gt;"",VLOOKUP(T_Convention[[#This Row],[NumL]],T_suiviDi[#Data],COLUMN((T_suiviDi[Prénom])),FALSE),"")</f>
        <v/>
      </c>
      <c r="I34" s="282" t="e">
        <f>VLOOKUP(T_Convention[[#This Row],[NumL]],T_suiviDi[#Data],COLUMN((T_suiviDi[[#This Row],[Email]])),FALSE)</f>
        <v>#VALUE!</v>
      </c>
      <c r="J34" s="282" t="e">
        <f>IF(VLOOKUP(T_Convention[[#This Row],[NumL]],T_suiviDi[#Data],COLUMN(T_suiviDi[[#This Row],[Fonction]]),FALSE)="","",VLOOKUP(T_Convention[[#This Row],[NumL]],T_suiviDi[#Data],COLUMN(T_suiviDi[[#This Row],[Fonction]]),FALSE))</f>
        <v>#VALUE!</v>
      </c>
      <c r="K34" s="282" t="e">
        <f>IF(VLOOKUP(T_Convention[[#This Row],[NumL]],T_suiviDi[#Data],COLUMN(T_suiviDi[[#This Row],[Grade]]),FALSE)="","",VLOOKUP(T_Convention[[#This Row],[NumL]],T_suiviDi[#Data],COLUMN(T_suiviDi[[#This Row],[Grade]]),FALSE))</f>
        <v>#VALUE!</v>
      </c>
      <c r="L34" s="282" t="e">
        <f>IF(VLOOKUP(T_Convention[[#This Row],[NumL]],T_suiviDi[#Data],COLUMN(T_suiviDi[[#This Row],[Service ]]),FALSE)="","",VLOOKUP(T_Convention[[#This Row],[NumL]],T_suiviDi[#Data],COLUMN(T_suiviDi[[#This Row],[Service ]]),FALSE))</f>
        <v>#VALUE!</v>
      </c>
      <c r="M34" s="314" t="str">
        <f t="shared" si="1"/>
        <v>01 septembre 2021</v>
      </c>
      <c r="N34" s="314" t="str">
        <f t="shared" si="2"/>
        <v>30 novembre 2021</v>
      </c>
      <c r="O34" s="284" t="str">
        <f t="shared" si="3"/>
        <v>30 novembre 2021</v>
      </c>
      <c r="P34" s="282" t="e">
        <f>IF(VLOOKUP(T_Convention[[#This Row],[NumL]],T_TraitDi[#Data],COLUMN(T_TraitDi[M1]),FALSE)="","",VLOOKUP(T_Convention[[#This Row],[NumL]],T_TraitDi[#Data],COLUMN(T_TraitDi[M1]),FALSE))</f>
        <v>#N/A</v>
      </c>
      <c r="Q34" s="282" t="e">
        <f>IF(VLOOKUP(T_Convention[[#This Row],[NumL]],T_TraitDi[#Data],COLUMN(T_TraitDi[M2]),FALSE)="","",VLOOKUP(T_Convention[[#This Row],[NumL]],T_TraitDi[#Data],COLUMN(T_TraitDi[M2]),FALSE))</f>
        <v>#N/A</v>
      </c>
      <c r="R34" s="282" t="e">
        <f>IF(VLOOKUP(T_Convention[[#This Row],[NumL]],T_TraitDi[#Data],COLUMN(T_TraitDi[M3]),FALSE)="","",VLOOKUP(T_Convention[[#This Row],[NumL]],T_TraitDi[#Data],COLUMN(T_TraitDi[M3]),FALSE))</f>
        <v>#N/A</v>
      </c>
      <c r="S34" s="282" t="e">
        <f>IF(VLOOKUP(T_Convention[[#This Row],[NumL]],T_TraitDi[#Data],COLUMN(T_TraitDi[M4]),FALSE)="","",VLOOKUP(T_Convention[[#This Row],[NumL]],T_TraitDi[#Data],COLUMN(T_TraitDi[M4]),FALSE))</f>
        <v>#N/A</v>
      </c>
      <c r="T34" s="282" t="e">
        <f>IF(VLOOKUP(T_Convention[[#This Row],[NumL]],T_TraitDi[#Data],COLUMN(T_TraitDi[M5]),FALSE)="","",VLOOKUP(T_Convention[[#This Row],[NumL]],T_TraitDi[#Data],COLUMN(T_TraitDi[M5]),FALSE))</f>
        <v>#N/A</v>
      </c>
      <c r="U34" s="282" t="e">
        <f>IF(VLOOKUP(T_Convention[[#This Row],[NumL]],T_TraitDi[#Data],COLUMN(T_TraitDi[M6]),FALSE)="","",VLOOKUP(T_Convention[[#This Row],[NumL]],T_TraitDi[#Data],COLUMN(T_TraitDi[M6]),FALSE))</f>
        <v>#N/A</v>
      </c>
      <c r="V34" s="314" t="e">
        <f t="shared" si="4"/>
        <v>#N/A</v>
      </c>
      <c r="W34" s="284" t="str">
        <f>IFERROR(TEXT(VLOOKUP(T_Convention[[#This Row],[NumL]],T_TraitDi[#Data],COLUMN(T_TraitDi[Q2]),FALSE),"###%"),"")</f>
        <v/>
      </c>
      <c r="X34" s="285" t="e">
        <f>VLOOKUP(T_Convention[[#This Row],[NumL]],T_TraitDi[#Data],COLUMN(T_TraitDi[Reg Ponct]),FALSE)</f>
        <v>#N/A</v>
      </c>
      <c r="Y34" s="285" t="e">
        <f>VLOOKUP(T_Convention[NumL],T_TraitDi[#Data],COLUMN(T_TraitDi[Jours flottants]),FALSE)</f>
        <v>#N/A</v>
      </c>
      <c r="Z34" s="284" t="str">
        <f>IFERROR(VLOOKUP(T_Convention[[#This Row],[NumL]],T_TraitDi[#Data],COLUMN(T_TraitDi[Lundi]),FALSE),"")</f>
        <v/>
      </c>
      <c r="AA34" s="284" t="e">
        <f>IF(VLOOKUP(T_Convention[[#This Row],[NumL]],T_TraitDi[#Data],COLUMN(T_TraitDi[Colonne3]),FALSE)=0,"",TEXT(IFERROR(VLOOKUP(T_Convention[[#This Row],[NumL]],T_TraitDi[#Data],COLUMN(T_TraitDi[Colonne3]),FALSE),""),"[hh]:mm"))</f>
        <v>#N/A</v>
      </c>
      <c r="AB34" s="284" t="e">
        <f>IF(VLOOKUP(T_Convention[[#This Row],[NumL]],T_TraitDi[#Data],COLUMN(T_TraitDi[Colonne4]),FALSE)=0,"",TEXT(IFERROR(VLOOKUP(T_Convention[[#This Row],[NumL]],T_TraitDi[#Data],COLUMN(T_TraitDi[Colonne4]),FALSE),""),"[hh]:mm"))</f>
        <v>#N/A</v>
      </c>
      <c r="AC34" s="284" t="e">
        <f>IF(VLOOKUP(T_Convention[[#This Row],[NumL]],T_TraitDi[#Data],COLUMN(T_TraitDi[Colonne5]),FALSE)=0,"",TEXT(IFERROR(VLOOKUP(T_Convention[[#This Row],[NumL]],T_TraitDi[#Data],COLUMN(T_TraitDi[Colonne5]),FALSE),""),"[hh]:mm"))</f>
        <v>#N/A</v>
      </c>
      <c r="AD34" s="284" t="e">
        <f>IF(VLOOKUP(T_Convention[[#This Row],[NumL]],T_TraitDi[#Data],COLUMN(T_TraitDi[Colonne6]),FALSE)=0,"",TEXT(IFERROR(VLOOKUP(T_Convention[[#This Row],[NumL]],T_TraitDi[#Data],COLUMN(T_TraitDi[Colonne6]),FALSE),""),"[hh]:mm"))</f>
        <v>#N/A</v>
      </c>
      <c r="AE34" s="284" t="e">
        <f>IF(VLOOKUP(T_Convention[[#This Row],[NumL]],T_TraitDi[#Data],COLUMN(T_TraitDi[Colonne7]),FALSE)=0,"",TEXT(IFERROR(VLOOKUP(T_Convention[[#This Row],[NumL]],T_TraitDi[#Data],COLUMN(T_TraitDi[Colonne7]),FALSE),""),"[hh]:mm"))</f>
        <v>#N/A</v>
      </c>
      <c r="AF34" s="284" t="e">
        <f>IF(VLOOKUP(T_Convention[[#This Row],[NumL]],T_TraitDi[#Data],COLUMN(T_TraitDi[Colonne8]),FALSE)=0,"",TEXT(IFERROR(VLOOKUP(T_Convention[[#This Row],[NumL]],T_TraitDi[#Data],COLUMN(T_TraitDi[Colonne8]),FALSE),""),"[hh]:mm"))</f>
        <v>#N/A</v>
      </c>
      <c r="AG34" s="284" t="str">
        <f>IFERROR(VLOOKUP(T_Convention[[#This Row],[NumL]],T_TraitDi[#Data],COLUMN(T_TraitDi[Mardi]),FALSE),"")</f>
        <v/>
      </c>
      <c r="AH34" s="284" t="e">
        <f>IF(VLOOKUP(T_Convention[[#This Row],[NumL]],T_TraitDi[#Data],COLUMN(T_TraitDi[Colonne1]),FALSE)=0,"",TEXT(IFERROR(VLOOKUP(T_Convention[[#This Row],[NumL]],T_TraitDi[#Data],COLUMN(T_TraitDi[Colonne1]),FALSE),""),"[hh]:mm"))</f>
        <v>#N/A</v>
      </c>
      <c r="AI34" s="284" t="e">
        <f>IF(VLOOKUP(T_Convention[[#This Row],[NumL]],T_TraitDi[#Data],COLUMN(T_TraitDi[Colonne9]),FALSE)=0,"",TEXT(IFERROR(VLOOKUP(T_Convention[[#This Row],[NumL]],T_TraitDi[#Data],COLUMN(T_TraitDi[Colonne9]),FALSE),""),"[hh]:mm"))</f>
        <v>#N/A</v>
      </c>
      <c r="AJ34" s="284" t="str">
        <f>IFERROR(VLOOKUP(T_Convention[[#This Row],[NumL]],T_TraitDi[#Data],COLUMN(T_TraitDi[Colonne10]),FALSE),"")</f>
        <v/>
      </c>
      <c r="AK34" s="284" t="e">
        <f>IF(VLOOKUP(T_Convention[[#This Row],[NumL]],T_TraitDi[#Data],COLUMN(T_TraitDi[Colonne11]),FALSE)=0,"",TEXT(IFERROR(VLOOKUP(T_Convention[[#This Row],[NumL]],T_TraitDi[#Data],COLUMN(T_TraitDi[Colonne11]),FALSE),""),"[hh]:mm"))</f>
        <v>#N/A</v>
      </c>
      <c r="AL34" s="284" t="e">
        <f>IF(VLOOKUP(T_Convention[[#This Row],[NumL]],T_TraitDi[#Data],COLUMN(T_TraitDi[Colonne12]),FALSE)=0,"",TEXT(IFERROR(VLOOKUP(T_Convention[[#This Row],[NumL]],T_TraitDi[#Data],COLUMN(T_TraitDi[Colonne12]),FALSE),""),"[hh]:mm"))</f>
        <v>#N/A</v>
      </c>
      <c r="AM34" s="284" t="e">
        <f>IF(VLOOKUP(T_Convention[[#This Row],[NumL]],T_TraitDi[#Data],COLUMN(T_TraitDi[Colonne14]),FALSE)=0,"",TEXT(IFERROR(VLOOKUP(T_Convention[[#This Row],[NumL]],T_TraitDi[#Data],COLUMN(T_TraitDi[Colonne14]),FALSE),""),"[hh]:mm"))</f>
        <v>#N/A</v>
      </c>
      <c r="AN34" s="284" t="str">
        <f>IFERROR(VLOOKUP(T_Convention[[#This Row],[NumL]],T_TraitDi[#Data],COLUMN(T_TraitDi[Mercredi]),FALSE),"")</f>
        <v/>
      </c>
      <c r="AO34" s="284" t="e">
        <f>IF(VLOOKUP(T_Convention[[#This Row],[NumL]],T_TraitDi[#Data],COLUMN(T_TraitDi[Colonne15]),FALSE)=0,"",TEXT(IFERROR(VLOOKUP(T_Convention[[#This Row],[NumL]],T_TraitDi[#Data],COLUMN(T_TraitDi[Colonne15]),FALSE),""),"[hh]:mm"))</f>
        <v>#N/A</v>
      </c>
      <c r="AP34" s="284" t="e">
        <f>IF(VLOOKUP(T_Convention[[#This Row],[NumL]],T_TraitDi[#Data],COLUMN(T_TraitDi[Colonne16]),FALSE)=0,"",TEXT(IFERROR(VLOOKUP(T_Convention[[#This Row],[NumL]],T_TraitDi[#Data],COLUMN(T_TraitDi[Colonne16]),FALSE),""),"[hh]:mm"))</f>
        <v>#N/A</v>
      </c>
      <c r="AQ34" s="284" t="str">
        <f>IFERROR(VLOOKUP(T_Convention[[#This Row],[NumL]],T_TraitDi[#Data],COLUMN(T_TraitDi[Colonne17]),FALSE),"")</f>
        <v/>
      </c>
      <c r="AR34" s="284" t="e">
        <f>IF(VLOOKUP(T_Convention[[#This Row],[NumL]],T_TraitDi[#Data],COLUMN(T_TraitDi[Colonne18]),FALSE)=0,"",TEXT(IFERROR(VLOOKUP(T_Convention[[#This Row],[NumL]],T_TraitDi[#Data],COLUMN(T_TraitDi[Colonne18]),FALSE),""),"[hh]:mm"))</f>
        <v>#N/A</v>
      </c>
      <c r="AS34" s="284" t="e">
        <f>IF(VLOOKUP(T_Convention[[#This Row],[NumL]],T_TraitDi[#Data],COLUMN(T_TraitDi[Colonne19]),FALSE)=0,"",TEXT(IFERROR(VLOOKUP(T_Convention[[#This Row],[NumL]],T_TraitDi[#Data],COLUMN(T_TraitDi[Colonne19]),FALSE),""),"[hh]:mm"))</f>
        <v>#N/A</v>
      </c>
      <c r="AT34" s="284" t="e">
        <f>IF(VLOOKUP(T_Convention[[#This Row],[NumL]],T_TraitDi[#Data],COLUMN(T_TraitDi[Colonne20]),FALSE)=0,"",TEXT(IFERROR(VLOOKUP(T_Convention[[#This Row],[NumL]],T_TraitDi[#Data],COLUMN(T_TraitDi[Colonne20]),FALSE),""),"[hh]:mm"))</f>
        <v>#N/A</v>
      </c>
      <c r="AU34" s="284" t="str">
        <f>IFERROR(VLOOKUP(T_Convention[[#This Row],[NumL]],T_TraitDi[#Data],COLUMN(T_TraitDi[Jeudi]),FALSE),"")</f>
        <v/>
      </c>
      <c r="AV34" s="284" t="e">
        <f>IF(VLOOKUP(T_Convention[[#This Row],[NumL]],T_TraitDi[#Data],COLUMN(T_TraitDi[Colonne21]),FALSE)=0,"",TEXT(IFERROR(VLOOKUP(T_Convention[[#This Row],[NumL]],T_TraitDi[#Data],COLUMN(T_TraitDi[Colonne21]),FALSE),""),"[hh]:mm"))</f>
        <v>#N/A</v>
      </c>
      <c r="AW34" s="284" t="e">
        <f>IF(VLOOKUP(T_Convention[[#This Row],[NumL]],T_TraitDi[#Data],COLUMN(T_TraitDi[Colonne22]),FALSE)=0,"",TEXT(IFERROR(VLOOKUP(T_Convention[[#This Row],[NumL]],T_TraitDi[#Data],COLUMN(T_TraitDi[Colonne22]),FALSE),""),"[hh]:mm"))</f>
        <v>#N/A</v>
      </c>
      <c r="AX34" s="284" t="str">
        <f>IFERROR(VLOOKUP(T_Convention[[#This Row],[NumL]],T_TraitDi[#Data],COLUMN(T_TraitDi[Colonne23]),FALSE),"")</f>
        <v/>
      </c>
      <c r="AY34" s="284" t="e">
        <f>IF(VLOOKUP(T_Convention[[#This Row],[NumL]],T_TraitDi[#Data],COLUMN(T_TraitDi[Colonne24]),FALSE)=0,"",TEXT(IFERROR(VLOOKUP(T_Convention[[#This Row],[NumL]],T_TraitDi[#Data],COLUMN(T_TraitDi[Colonne24]),FALSE),""),"[hh]:mm"))</f>
        <v>#N/A</v>
      </c>
      <c r="AZ34" s="284" t="e">
        <f>IF(VLOOKUP(T_Convention[[#This Row],[NumL]],T_TraitDi[#Data],COLUMN(T_TraitDi[Colonne25]),FALSE)=0,"",TEXT(IFERROR(VLOOKUP(T_Convention[[#This Row],[NumL]],T_TraitDi[#Data],COLUMN(T_TraitDi[Colonne25]),FALSE),""),"[hh]:mm"))</f>
        <v>#N/A</v>
      </c>
      <c r="BA34" s="284" t="e">
        <f>IF(VLOOKUP(T_Convention[[#This Row],[NumL]],T_TraitDi[#Data],COLUMN(T_TraitDi[Colonne26]),FALSE)=0,"",TEXT(IFERROR(VLOOKUP(T_Convention[[#This Row],[NumL]],T_TraitDi[#Data],COLUMN(T_TraitDi[Colonne26]),FALSE),""),"[hh]:mm"))</f>
        <v>#N/A</v>
      </c>
      <c r="BB34" s="284" t="str">
        <f>IFERROR(VLOOKUP(T_Convention[[#This Row],[NumL]],T_TraitDi[#Data],COLUMN(T_TraitDi[Vendredi]),FALSE),"")</f>
        <v/>
      </c>
      <c r="BC34" s="284" t="e">
        <f>IF(VLOOKUP(T_Convention[[#This Row],[NumL]],T_TraitDi[#Data],COLUMN(T_TraitDi[Colonne27]),FALSE)=0,"",TEXT(IFERROR(VLOOKUP(T_Convention[[#This Row],[NumL]],T_TraitDi[#Data],COLUMN(T_TraitDi[Colonne27]),FALSE),""),"[hh]:mm"))</f>
        <v>#N/A</v>
      </c>
      <c r="BD34" s="284" t="e">
        <f>IF(VLOOKUP(T_Convention[[#This Row],[NumL]],T_TraitDi[#Data],COLUMN(T_TraitDi[Colonne28]),FALSE)=0,"",TEXT(IFERROR(VLOOKUP(T_Convention[[#This Row],[NumL]],T_TraitDi[#Data],COLUMN(T_TraitDi[Colonne28]),FALSE),""),"[hh]:mm"))</f>
        <v>#N/A</v>
      </c>
      <c r="BE34" s="284" t="str">
        <f>IFERROR(VLOOKUP(T_Convention[[#This Row],[NumL]],T_TraitDi[#Data],COLUMN(T_TraitDi[Colonne29]),FALSE),"")</f>
        <v/>
      </c>
      <c r="BF34" s="284" t="e">
        <f>IF(VLOOKUP(T_Convention[[#This Row],[NumL]],T_TraitDi[#Data],COLUMN(T_TraitDi[Colonne30]),FALSE)=0,"",TEXT(IFERROR(VLOOKUP(T_Convention[[#This Row],[NumL]],T_TraitDi[#Data],COLUMN(T_TraitDi[Colonne30]),FALSE),""),"[hh]:mm"))</f>
        <v>#N/A</v>
      </c>
      <c r="BG34" s="284" t="e">
        <f>IF(VLOOKUP(T_Convention[[#This Row],[NumL]],T_TraitDi[#Data],COLUMN(T_TraitDi[Colonne31]),FALSE)=0,"",TEXT(IFERROR(VLOOKUP(T_Convention[[#This Row],[NumL]],T_TraitDi[#Data],COLUMN(T_TraitDi[Colonne31]),FALSE),""),"[hh]:mm"))</f>
        <v>#N/A</v>
      </c>
      <c r="BH34" s="284" t="e">
        <f>IF(VLOOKUP(T_Convention[[#This Row],[NumL]],T_TraitDi[#Data],COLUMN(T_TraitDi[Colonne32]),FALSE)=0,"",TEXT(IFERROR(VLOOKUP(T_Convention[[#This Row],[NumL]],T_TraitDi[#Data],COLUMN(T_TraitDi[Colonne32]),FALSE),""),"[hh]:mm"))</f>
        <v>#N/A</v>
      </c>
      <c r="BI34" s="284" t="str">
        <f>IFERROR(VLOOKUP(T_Convention[[#This Row],[NumL]],T_TraitDi[#Data],COLUMN(T_TraitDi[NbJTW]),FALSE),"")</f>
        <v/>
      </c>
      <c r="BJ34" s="284" t="e">
        <f>IF(VLOOKUP(T_Convention[[#This Row],[NumL]],T_TraitDi[#Data],COLUMN(T_TraitDi[NbhTW]),FALSE)=0,"",TEXT(IFERROR(VLOOKUP(T_Convention[[#This Row],[NumL]],T_TraitDi[#Data],COLUMN(T_TraitDi[NbhTW]),FALSE),""),"[hh]:mm"))</f>
        <v>#N/A</v>
      </c>
      <c r="BK34" s="315" t="e">
        <f>IF(VLOOKUP(T_Convention[[#This Row],[NumL]],T_TraitDi[#Data],COLUMN(T_TraitDi[Nbhheb]),FALSE)=0,"",TEXT(IFERROR(VLOOKUP(T_Convention[[#This Row],[NumL]],T_TraitDi[#Data],COLUMN(T_TraitDi[Nbhheb]),FALSE),""),"[hh]:mm"))</f>
        <v>#N/A</v>
      </c>
      <c r="BL34" s="287" t="str">
        <f>IFERROR(VLOOKUP(VLOOKUP(T_Convention[[#This Row],[NumL]],T_TraitDi[#Data],COLUMN(T_TraitDi[Type1]),FALSE),TypeTW,2,FALSE),"")</f>
        <v/>
      </c>
      <c r="BM34" s="288" t="str">
        <f>IFERROR(VLOOKUP(T_Convention[[#This Row],[NumL]],T_TraitDi[#Data],COLUMN(T_TraitDi[Rue1]),FALSE),"")</f>
        <v/>
      </c>
      <c r="BN34" s="289" t="str">
        <f>IFERROR(VLOOKUP(T_Convention[[#This Row],[NumL]],T_TraitDi[#Data],COLUMN(T_TraitDi[CP1]),FALSE),"")</f>
        <v/>
      </c>
      <c r="BO34" s="282" t="str">
        <f>IFERROR(VLOOKUP(T_Convention[[#This Row],[NumL]],T_TraitDi[#Data],COLUMN(T_TraitDi[VILLE1]),FALSE),"")</f>
        <v/>
      </c>
      <c r="BP34" s="290" t="str">
        <f>IFERROR(VLOOKUP(VLOOKUP(T_Convention[[#This Row],[NumL]],T_TraitDi[#Data],COLUMN(T_TraitDi[Type2]),FALSE),TypeTW,2,FALSE),"")</f>
        <v/>
      </c>
      <c r="BQ34" s="310" t="str">
        <f>IFERROR(VLOOKUP(T_Convention[[#This Row],[NumL]],T_TraitDi[#Data],COLUMN(T_TraitDi[Rue2]),FALSE),"")</f>
        <v/>
      </c>
      <c r="BR34" s="290" t="str">
        <f>IFERROR(VLOOKUP(T_Convention[[#This Row],[NumL]],T_TraitDi[#Data],COLUMN(T_TraitDi[CP2]),FALSE),"")</f>
        <v/>
      </c>
      <c r="BS34" s="290" t="str">
        <f>IFERROR(VLOOKUP(T_Convention[[#This Row],[NumL]],T_TraitDi[#Data],COLUMN(T_TraitDi[VILLE2]),FALSE),"")</f>
        <v/>
      </c>
      <c r="BT3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4" s="314" t="str">
        <f>IFERROR(IF(VLOOKUP(T_Convention[[#This Row],[NumL]],T_TraitDi[#Data],COLUMN(T_TraitDi[Plan]),FALSE)="OK","Un planning spécifique de télétravail est annexé à la présente convention.",""),"")</f>
        <v/>
      </c>
      <c r="BV34" s="291"/>
      <c r="BW34" s="292" t="e">
        <f>IF(VLOOKUP(T_Convention[[#This Row],[NumL]],T_suiviDi[#Data],COLUMN(T_suiviDi[Entité]),FALSE)="","",VLOOKUP(T_Convention[[#This Row],[NumL]],T_suiviDi[#Data],COLUMN(T_suiviDi[Entité]),FALSE))</f>
        <v>#N/A</v>
      </c>
      <c r="BX34" s="311" t="str">
        <f>IF(VLOOKUP(T_Convention[[#This Row],[NumL]],T_Commission[#Data],COLUMN(T_Commission[envoi confirm TW]),FALSE)="","",VLOOKUP(T_Convention[[#This Row],[NumL]],T_Commission[#Data],COLUMN(T_Commission[envoi confirm TW]),FALSE))</f>
        <v>Oui</v>
      </c>
      <c r="BY3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4" s="265">
        <f>VLOOKUP(T_Convention[[#This Row],[NumL]],T_Commission[#Data],COLUMN(T_Commission[Commentaire]),FALSE)</f>
        <v>0</v>
      </c>
      <c r="CA34" s="255" t="str">
        <f>IF(VLOOKUP(T_Convention[[#This Row],[NumL]],T_Commission[#Data],COLUMN(T_Commission[Encadrant Email]),FALSE)="","",VLOOKUP(T_Convention[[#This Row],[NumL]],T_Commission[#Data],COLUMN(T_Commission[Encadrant Email]),FALSE))</f>
        <v/>
      </c>
      <c r="CB34" s="352" t="e">
        <f>VLOOKUP(T_Convention[[#This Row],[NumL]],T_TraitDi[#Data],COLUMN(T_TraitDi[NbJTot]),FALSE)</f>
        <v>#N/A</v>
      </c>
      <c r="CC34" s="352" t="e">
        <f>VLOOKUP(T_Convention[[#This Row],[NumL]],T_TraitDi[#Data],COLUMN(T_TraitDi[Reg Ponct]),FALSE)</f>
        <v>#N/A</v>
      </c>
      <c r="CD34" s="348" t="str">
        <f>IF(T_Convention[[#This Row],[Final]]&lt;&gt;"",VLOOKUP(T_Convention[[#This Row],[NumL]],T_suiviDi[#Data],COLUMN((T_suiviDi[Statut])),FALSE),"")</f>
        <v/>
      </c>
    </row>
    <row r="35" spans="1:82" s="106" customFormat="1" ht="18.75" customHeight="1" x14ac:dyDescent="0.25">
      <c r="A35" s="160">
        <v>258</v>
      </c>
      <c r="B35" s="161" t="str">
        <f>VLOOKUP(T_Convention[[#This Row],[NumL]],T_Commission[#Data],COLUMN(T_Commission[FINAL]),FALSE)</f>
        <v/>
      </c>
      <c r="C35" s="162"/>
      <c r="D35" s="95" t="e">
        <f>IF(VLOOKUP(T_Convention[[#This Row],[NumL]],T_TraitDi[#Data],COLUMN(T_TraitDi[WebC]),FALSE)="","",VLOOKUP(T_Convention[[#This Row],[NumL]],T_TraitDi[#Data],COLUMN(T_TraitDi[WebC]),FALSE))</f>
        <v>#N/A</v>
      </c>
      <c r="E35" s="163" t="str">
        <f t="shared" si="0"/>
        <v>12 janvier 2021</v>
      </c>
      <c r="F35" s="282" t="str">
        <f>IF(T_Convention[[#This Row],[Final]]&lt;&gt;"",VLOOKUP(T_Convention[[#This Row],[NumL]],T_suiviDi[#Data],COLUMN((T_suiviDi[Civ.])),FALSE),"")</f>
        <v/>
      </c>
      <c r="G35" s="283" t="str">
        <f>IF(T_Convention[[#This Row],[Final]]&lt;&gt;"",VLOOKUP(T_Convention[[#This Row],[NumL]],T_suiviDi[#Data],COLUMN((T_suiviDi[Nom])),FALSE),"")</f>
        <v/>
      </c>
      <c r="H35" s="282" t="str">
        <f>IF(T_Convention[[#This Row],[Final]]&lt;&gt;"",VLOOKUP(T_Convention[[#This Row],[NumL]],T_suiviDi[#Data],COLUMN((T_suiviDi[Prénom])),FALSE),"")</f>
        <v/>
      </c>
      <c r="I35" s="282" t="e">
        <f>VLOOKUP(T_Convention[[#This Row],[NumL]],T_suiviDi[#Data],COLUMN((T_suiviDi[[#This Row],[Email]])),FALSE)</f>
        <v>#VALUE!</v>
      </c>
      <c r="J35" s="282" t="e">
        <f>IF(VLOOKUP(T_Convention[[#This Row],[NumL]],T_suiviDi[#Data],COLUMN(T_suiviDi[[#This Row],[Fonction]]),FALSE)="","",VLOOKUP(T_Convention[[#This Row],[NumL]],T_suiviDi[#Data],COLUMN(T_suiviDi[[#This Row],[Fonction]]),FALSE))</f>
        <v>#VALUE!</v>
      </c>
      <c r="K35" s="282" t="e">
        <f>IF(VLOOKUP(T_Convention[[#This Row],[NumL]],T_suiviDi[#Data],COLUMN(T_suiviDi[[#This Row],[Grade]]),FALSE)="","",VLOOKUP(T_Convention[[#This Row],[NumL]],T_suiviDi[#Data],COLUMN(T_suiviDi[[#This Row],[Grade]]),FALSE))</f>
        <v>#VALUE!</v>
      </c>
      <c r="L35" s="282" t="e">
        <f>IF(VLOOKUP(T_Convention[[#This Row],[NumL]],T_suiviDi[#Data],COLUMN(T_suiviDi[[#This Row],[Service ]]),FALSE)="","",VLOOKUP(T_Convention[[#This Row],[NumL]],T_suiviDi[#Data],COLUMN(T_suiviDi[[#This Row],[Service ]]),FALSE))</f>
        <v>#VALUE!</v>
      </c>
      <c r="M35" s="164" t="str">
        <f t="shared" si="1"/>
        <v>01 septembre 2021</v>
      </c>
      <c r="N35" s="164" t="str">
        <f t="shared" si="2"/>
        <v>30 novembre 2021</v>
      </c>
      <c r="O35" s="284" t="str">
        <f t="shared" si="3"/>
        <v>30 novembre 2021</v>
      </c>
      <c r="P35" s="282" t="e">
        <f>IF(VLOOKUP(T_Convention[[#This Row],[NumL]],T_TraitDi[#Data],COLUMN(T_TraitDi[M1]),FALSE)="","",VLOOKUP(T_Convention[[#This Row],[NumL]],T_TraitDi[#Data],COLUMN(T_TraitDi[M1]),FALSE))</f>
        <v>#N/A</v>
      </c>
      <c r="Q35" s="282" t="e">
        <f>IF(VLOOKUP(T_Convention[[#This Row],[NumL]],T_TraitDi[#Data],COLUMN(T_TraitDi[M2]),FALSE)="","",VLOOKUP(T_Convention[[#This Row],[NumL]],T_TraitDi[#Data],COLUMN(T_TraitDi[M2]),FALSE))</f>
        <v>#N/A</v>
      </c>
      <c r="R35" s="282" t="e">
        <f>IF(VLOOKUP(T_Convention[[#This Row],[NumL]],T_TraitDi[#Data],COLUMN(T_TraitDi[M3]),FALSE)="","",VLOOKUP(T_Convention[[#This Row],[NumL]],T_TraitDi[#Data],COLUMN(T_TraitDi[M3]),FALSE))</f>
        <v>#N/A</v>
      </c>
      <c r="S35" s="282" t="e">
        <f>IF(VLOOKUP(T_Convention[[#This Row],[NumL]],T_TraitDi[#Data],COLUMN(T_TraitDi[M4]),FALSE)="","",VLOOKUP(T_Convention[[#This Row],[NumL]],T_TraitDi[#Data],COLUMN(T_TraitDi[M4]),FALSE))</f>
        <v>#N/A</v>
      </c>
      <c r="T35" s="282" t="e">
        <f>IF(VLOOKUP(T_Convention[[#This Row],[NumL]],T_TraitDi[#Data],COLUMN(T_TraitDi[M5]),FALSE)="","",VLOOKUP(T_Convention[[#This Row],[NumL]],T_TraitDi[#Data],COLUMN(T_TraitDi[M5]),FALSE))</f>
        <v>#N/A</v>
      </c>
      <c r="U35" s="282" t="e">
        <f>IF(VLOOKUP(T_Convention[[#This Row],[NumL]],T_TraitDi[#Data],COLUMN(T_TraitDi[M6]),FALSE)="","",VLOOKUP(T_Convention[[#This Row],[NumL]],T_TraitDi[#Data],COLUMN(T_TraitDi[M6]),FALSE))</f>
        <v>#N/A</v>
      </c>
      <c r="V35" s="176" t="e">
        <f t="shared" si="4"/>
        <v>#N/A</v>
      </c>
      <c r="W35" s="284" t="str">
        <f>IFERROR(TEXT(VLOOKUP(T_Convention[[#This Row],[NumL]],T_TraitDi[#Data],COLUMN(T_TraitDi[Q2]),FALSE),"###%"),"")</f>
        <v/>
      </c>
      <c r="X35" s="97" t="e">
        <f>VLOOKUP(T_Convention[[#This Row],[NumL]],T_TraitDi[#Data],COLUMN(T_TraitDi[Reg Ponct]),FALSE)</f>
        <v>#N/A</v>
      </c>
      <c r="Y35" s="97" t="e">
        <f>VLOOKUP(T_Convention[NumL],T_TraitDi[#Data],COLUMN(T_TraitDi[Jours flottants]),FALSE)</f>
        <v>#N/A</v>
      </c>
      <c r="Z35" s="284" t="str">
        <f>IFERROR(VLOOKUP(T_Convention[[#This Row],[NumL]],T_TraitDi[#Data],COLUMN(T_TraitDi[Lundi]),FALSE),"")</f>
        <v/>
      </c>
      <c r="AA35" s="284" t="e">
        <f>IF(VLOOKUP(T_Convention[[#This Row],[NumL]],T_TraitDi[#Data],COLUMN(T_TraitDi[Colonne3]),FALSE)=0,"",TEXT(IFERROR(VLOOKUP(T_Convention[[#This Row],[NumL]],T_TraitDi[#Data],COLUMN(T_TraitDi[Colonne3]),FALSE),""),"[hh]:mm"))</f>
        <v>#N/A</v>
      </c>
      <c r="AB35" s="284" t="e">
        <f>IF(VLOOKUP(T_Convention[[#This Row],[NumL]],T_TraitDi[#Data],COLUMN(T_TraitDi[Colonne4]),FALSE)=0,"",TEXT(IFERROR(VLOOKUP(T_Convention[[#This Row],[NumL]],T_TraitDi[#Data],COLUMN(T_TraitDi[Colonne4]),FALSE),""),"[hh]:mm"))</f>
        <v>#N/A</v>
      </c>
      <c r="AC35" s="284" t="e">
        <f>IF(VLOOKUP(T_Convention[[#This Row],[NumL]],T_TraitDi[#Data],COLUMN(T_TraitDi[Colonne5]),FALSE)=0,"",TEXT(IFERROR(VLOOKUP(T_Convention[[#This Row],[NumL]],T_TraitDi[#Data],COLUMN(T_TraitDi[Colonne5]),FALSE),""),"[hh]:mm"))</f>
        <v>#N/A</v>
      </c>
      <c r="AD35" s="284" t="e">
        <f>IF(VLOOKUP(T_Convention[[#This Row],[NumL]],T_TraitDi[#Data],COLUMN(T_TraitDi[Colonne6]),FALSE)=0,"",TEXT(IFERROR(VLOOKUP(T_Convention[[#This Row],[NumL]],T_TraitDi[#Data],COLUMN(T_TraitDi[Colonne6]),FALSE),""),"[hh]:mm"))</f>
        <v>#N/A</v>
      </c>
      <c r="AE35" s="284" t="e">
        <f>IF(VLOOKUP(T_Convention[[#This Row],[NumL]],T_TraitDi[#Data],COLUMN(T_TraitDi[Colonne7]),FALSE)=0,"",TEXT(IFERROR(VLOOKUP(T_Convention[[#This Row],[NumL]],T_TraitDi[#Data],COLUMN(T_TraitDi[Colonne7]),FALSE),""),"[hh]:mm"))</f>
        <v>#N/A</v>
      </c>
      <c r="AF35" s="284" t="e">
        <f>IF(VLOOKUP(T_Convention[[#This Row],[NumL]],T_TraitDi[#Data],COLUMN(T_TraitDi[Colonne8]),FALSE)=0,"",TEXT(IFERROR(VLOOKUP(T_Convention[[#This Row],[NumL]],T_TraitDi[#Data],COLUMN(T_TraitDi[Colonne8]),FALSE),""),"[hh]:mm"))</f>
        <v>#N/A</v>
      </c>
      <c r="AG35" s="284" t="str">
        <f>IFERROR(VLOOKUP(T_Convention[[#This Row],[NumL]],T_TraitDi[#Data],COLUMN(T_TraitDi[Mardi]),FALSE),"")</f>
        <v/>
      </c>
      <c r="AH35" s="284" t="e">
        <f>IF(VLOOKUP(T_Convention[[#This Row],[NumL]],T_TraitDi[#Data],COLUMN(T_TraitDi[Colonne1]),FALSE)=0,"",TEXT(IFERROR(VLOOKUP(T_Convention[[#This Row],[NumL]],T_TraitDi[#Data],COLUMN(T_TraitDi[Colonne1]),FALSE),""),"[hh]:mm"))</f>
        <v>#N/A</v>
      </c>
      <c r="AI35" s="284" t="e">
        <f>IF(VLOOKUP(T_Convention[[#This Row],[NumL]],T_TraitDi[#Data],COLUMN(T_TraitDi[Colonne9]),FALSE)=0,"",TEXT(IFERROR(VLOOKUP(T_Convention[[#This Row],[NumL]],T_TraitDi[#Data],COLUMN(T_TraitDi[Colonne9]),FALSE),""),"[hh]:mm"))</f>
        <v>#N/A</v>
      </c>
      <c r="AJ35" s="284" t="str">
        <f>IFERROR(VLOOKUP(T_Convention[[#This Row],[NumL]],T_TraitDi[#Data],COLUMN(T_TraitDi[Colonne10]),FALSE),"")</f>
        <v/>
      </c>
      <c r="AK35" s="284" t="e">
        <f>IF(VLOOKUP(T_Convention[[#This Row],[NumL]],T_TraitDi[#Data],COLUMN(T_TraitDi[Colonne11]),FALSE)=0,"",TEXT(IFERROR(VLOOKUP(T_Convention[[#This Row],[NumL]],T_TraitDi[#Data],COLUMN(T_TraitDi[Colonne11]),FALSE),""),"[hh]:mm"))</f>
        <v>#N/A</v>
      </c>
      <c r="AL35" s="284" t="e">
        <f>IF(VLOOKUP(T_Convention[[#This Row],[NumL]],T_TraitDi[#Data],COLUMN(T_TraitDi[Colonne12]),FALSE)=0,"",TEXT(IFERROR(VLOOKUP(T_Convention[[#This Row],[NumL]],T_TraitDi[#Data],COLUMN(T_TraitDi[Colonne12]),FALSE),""),"[hh]:mm"))</f>
        <v>#N/A</v>
      </c>
      <c r="AM35" s="284" t="e">
        <f>IF(VLOOKUP(T_Convention[[#This Row],[NumL]],T_TraitDi[#Data],COLUMN(T_TraitDi[Colonne14]),FALSE)=0,"",TEXT(IFERROR(VLOOKUP(T_Convention[[#This Row],[NumL]],T_TraitDi[#Data],COLUMN(T_TraitDi[Colonne14]),FALSE),""),"[hh]:mm"))</f>
        <v>#N/A</v>
      </c>
      <c r="AN35" s="284" t="str">
        <f>IFERROR(VLOOKUP(T_Convention[[#This Row],[NumL]],T_TraitDi[#Data],COLUMN(T_TraitDi[Mercredi]),FALSE),"")</f>
        <v/>
      </c>
      <c r="AO35" s="284" t="e">
        <f>IF(VLOOKUP(T_Convention[[#This Row],[NumL]],T_TraitDi[#Data],COLUMN(T_TraitDi[Colonne15]),FALSE)=0,"",TEXT(IFERROR(VLOOKUP(T_Convention[[#This Row],[NumL]],T_TraitDi[#Data],COLUMN(T_TraitDi[Colonne15]),FALSE),""),"[hh]:mm"))</f>
        <v>#N/A</v>
      </c>
      <c r="AP35" s="284" t="e">
        <f>IF(VLOOKUP(T_Convention[[#This Row],[NumL]],T_TraitDi[#Data],COLUMN(T_TraitDi[Colonne16]),FALSE)=0,"",TEXT(IFERROR(VLOOKUP(T_Convention[[#This Row],[NumL]],T_TraitDi[#Data],COLUMN(T_TraitDi[Colonne16]),FALSE),""),"[hh]:mm"))</f>
        <v>#N/A</v>
      </c>
      <c r="AQ35" s="284" t="str">
        <f>IFERROR(VLOOKUP(T_Convention[[#This Row],[NumL]],T_TraitDi[#Data],COLUMN(T_TraitDi[Colonne17]),FALSE),"")</f>
        <v/>
      </c>
      <c r="AR35" s="284" t="e">
        <f>IF(VLOOKUP(T_Convention[[#This Row],[NumL]],T_TraitDi[#Data],COLUMN(T_TraitDi[Colonne18]),FALSE)=0,"",TEXT(IFERROR(VLOOKUP(T_Convention[[#This Row],[NumL]],T_TraitDi[#Data],COLUMN(T_TraitDi[Colonne18]),FALSE),""),"[hh]:mm"))</f>
        <v>#N/A</v>
      </c>
      <c r="AS35" s="284" t="e">
        <f>IF(VLOOKUP(T_Convention[[#This Row],[NumL]],T_TraitDi[#Data],COLUMN(T_TraitDi[Colonne19]),FALSE)=0,"",TEXT(IFERROR(VLOOKUP(T_Convention[[#This Row],[NumL]],T_TraitDi[#Data],COLUMN(T_TraitDi[Colonne19]),FALSE),""),"[hh]:mm"))</f>
        <v>#N/A</v>
      </c>
      <c r="AT35" s="284" t="e">
        <f>IF(VLOOKUP(T_Convention[[#This Row],[NumL]],T_TraitDi[#Data],COLUMN(T_TraitDi[Colonne20]),FALSE)=0,"",TEXT(IFERROR(VLOOKUP(T_Convention[[#This Row],[NumL]],T_TraitDi[#Data],COLUMN(T_TraitDi[Colonne20]),FALSE),""),"[hh]:mm"))</f>
        <v>#N/A</v>
      </c>
      <c r="AU35" s="284" t="str">
        <f>IFERROR(VLOOKUP(T_Convention[[#This Row],[NumL]],T_TraitDi[#Data],COLUMN(T_TraitDi[Jeudi]),FALSE),"")</f>
        <v/>
      </c>
      <c r="AV35" s="284" t="e">
        <f>IF(VLOOKUP(T_Convention[[#This Row],[NumL]],T_TraitDi[#Data],COLUMN(T_TraitDi[Colonne21]),FALSE)=0,"",TEXT(IFERROR(VLOOKUP(T_Convention[[#This Row],[NumL]],T_TraitDi[#Data],COLUMN(T_TraitDi[Colonne21]),FALSE),""),"[hh]:mm"))</f>
        <v>#N/A</v>
      </c>
      <c r="AW35" s="284" t="e">
        <f>IF(VLOOKUP(T_Convention[[#This Row],[NumL]],T_TraitDi[#Data],COLUMN(T_TraitDi[Colonne22]),FALSE)=0,"",TEXT(IFERROR(VLOOKUP(T_Convention[[#This Row],[NumL]],T_TraitDi[#Data],COLUMN(T_TraitDi[Colonne22]),FALSE),""),"[hh]:mm"))</f>
        <v>#N/A</v>
      </c>
      <c r="AX35" s="284" t="str">
        <f>IFERROR(VLOOKUP(T_Convention[[#This Row],[NumL]],T_TraitDi[#Data],COLUMN(T_TraitDi[Colonne23]),FALSE),"")</f>
        <v/>
      </c>
      <c r="AY35" s="284" t="e">
        <f>IF(VLOOKUP(T_Convention[[#This Row],[NumL]],T_TraitDi[#Data],COLUMN(T_TraitDi[Colonne24]),FALSE)=0,"",TEXT(IFERROR(VLOOKUP(T_Convention[[#This Row],[NumL]],T_TraitDi[#Data],COLUMN(T_TraitDi[Colonne24]),FALSE),""),"[hh]:mm"))</f>
        <v>#N/A</v>
      </c>
      <c r="AZ35" s="284" t="e">
        <f>IF(VLOOKUP(T_Convention[[#This Row],[NumL]],T_TraitDi[#Data],COLUMN(T_TraitDi[Colonne25]),FALSE)=0,"",TEXT(IFERROR(VLOOKUP(T_Convention[[#This Row],[NumL]],T_TraitDi[#Data],COLUMN(T_TraitDi[Colonne25]),FALSE),""),"[hh]:mm"))</f>
        <v>#N/A</v>
      </c>
      <c r="BA35" s="284" t="e">
        <f>IF(VLOOKUP(T_Convention[[#This Row],[NumL]],T_TraitDi[#Data],COLUMN(T_TraitDi[Colonne26]),FALSE)=0,"",TEXT(IFERROR(VLOOKUP(T_Convention[[#This Row],[NumL]],T_TraitDi[#Data],COLUMN(T_TraitDi[Colonne26]),FALSE),""),"[hh]:mm"))</f>
        <v>#N/A</v>
      </c>
      <c r="BB35" s="284" t="str">
        <f>IFERROR(VLOOKUP(T_Convention[[#This Row],[NumL]],T_TraitDi[#Data],COLUMN(T_TraitDi[Vendredi]),FALSE),"")</f>
        <v/>
      </c>
      <c r="BC35" s="284" t="e">
        <f>IF(VLOOKUP(T_Convention[[#This Row],[NumL]],T_TraitDi[#Data],COLUMN(T_TraitDi[Colonne27]),FALSE)=0,"",TEXT(IFERROR(VLOOKUP(T_Convention[[#This Row],[NumL]],T_TraitDi[#Data],COLUMN(T_TraitDi[Colonne27]),FALSE),""),"[hh]:mm"))</f>
        <v>#N/A</v>
      </c>
      <c r="BD35" s="284" t="e">
        <f>IF(VLOOKUP(T_Convention[[#This Row],[NumL]],T_TraitDi[#Data],COLUMN(T_TraitDi[Colonne28]),FALSE)=0,"",TEXT(IFERROR(VLOOKUP(T_Convention[[#This Row],[NumL]],T_TraitDi[#Data],COLUMN(T_TraitDi[Colonne28]),FALSE),""),"[hh]:mm"))</f>
        <v>#N/A</v>
      </c>
      <c r="BE35" s="284" t="str">
        <f>IFERROR(VLOOKUP(T_Convention[[#This Row],[NumL]],T_TraitDi[#Data],COLUMN(T_TraitDi[Colonne29]),FALSE),"")</f>
        <v/>
      </c>
      <c r="BF35" s="284" t="e">
        <f>IF(VLOOKUP(T_Convention[[#This Row],[NumL]],T_TraitDi[#Data],COLUMN(T_TraitDi[Colonne30]),FALSE)=0,"",TEXT(IFERROR(VLOOKUP(T_Convention[[#This Row],[NumL]],T_TraitDi[#Data],COLUMN(T_TraitDi[Colonne30]),FALSE),""),"[hh]:mm"))</f>
        <v>#N/A</v>
      </c>
      <c r="BG35" s="284" t="e">
        <f>IF(VLOOKUP(T_Convention[[#This Row],[NumL]],T_TraitDi[#Data],COLUMN(T_TraitDi[Colonne31]),FALSE)=0,"",TEXT(IFERROR(VLOOKUP(T_Convention[[#This Row],[NumL]],T_TraitDi[#Data],COLUMN(T_TraitDi[Colonne31]),FALSE),""),"[hh]:mm"))</f>
        <v>#N/A</v>
      </c>
      <c r="BH35" s="284" t="e">
        <f>IF(VLOOKUP(T_Convention[[#This Row],[NumL]],T_TraitDi[#Data],COLUMN(T_TraitDi[Colonne32]),FALSE)=0,"",TEXT(IFERROR(VLOOKUP(T_Convention[[#This Row],[NumL]],T_TraitDi[#Data],COLUMN(T_TraitDi[Colonne32]),FALSE),""),"[hh]:mm"))</f>
        <v>#N/A</v>
      </c>
      <c r="BI35" s="284" t="str">
        <f>IFERROR(VLOOKUP(T_Convention[[#This Row],[NumL]],T_TraitDi[#Data],COLUMN(T_TraitDi[NbJTW]),FALSE),"")</f>
        <v/>
      </c>
      <c r="BJ35" s="284" t="e">
        <f>IF(VLOOKUP(T_Convention[[#This Row],[NumL]],T_TraitDi[#Data],COLUMN(T_TraitDi[NbhTW]),FALSE)=0,"",TEXT(IFERROR(VLOOKUP(T_Convention[[#This Row],[NumL]],T_TraitDi[#Data],COLUMN(T_TraitDi[NbhTW]),FALSE),""),"[hh]:mm"))</f>
        <v>#N/A</v>
      </c>
      <c r="BK35" s="286" t="e">
        <f>IF(VLOOKUP(T_Convention[[#This Row],[NumL]],T_TraitDi[#Data],COLUMN(T_TraitDi[Nbhheb]),FALSE)=0,"",TEXT(IFERROR(VLOOKUP(T_Convention[[#This Row],[NumL]],T_TraitDi[#Data],COLUMN(T_TraitDi[Nbhheb]),FALSE),""),"[hh]:mm"))</f>
        <v>#N/A</v>
      </c>
      <c r="BL35" s="287" t="str">
        <f>IFERROR(VLOOKUP(VLOOKUP(T_Convention[[#This Row],[NumL]],T_TraitDi[#Data],COLUMN(T_TraitDi[Type1]),FALSE),TypeTW,2,FALSE),"")</f>
        <v/>
      </c>
      <c r="BM35" s="288" t="str">
        <f>IFERROR(VLOOKUP(T_Convention[[#This Row],[NumL]],T_TraitDi[#Data],COLUMN(T_TraitDi[Rue1]),FALSE),"")</f>
        <v/>
      </c>
      <c r="BN35" s="289" t="str">
        <f>IFERROR(VLOOKUP(T_Convention[[#This Row],[NumL]],T_TraitDi[#Data],COLUMN(T_TraitDi[CP1]),FALSE),"")</f>
        <v/>
      </c>
      <c r="BO35" s="282" t="str">
        <f>IFERROR(VLOOKUP(T_Convention[[#This Row],[NumL]],T_TraitDi[#Data],COLUMN(T_TraitDi[VILLE1]),FALSE),"")</f>
        <v/>
      </c>
      <c r="BP35" s="290" t="str">
        <f>IFERROR(VLOOKUP(VLOOKUP(T_Convention[[#This Row],[NumL]],T_TraitDi[#Data],COLUMN(T_TraitDi[Type2]),FALSE),TypeTW,2,FALSE),"")</f>
        <v/>
      </c>
      <c r="BQ35" s="182" t="str">
        <f>IFERROR(VLOOKUP(T_Convention[[#This Row],[NumL]],T_TraitDi[#Data],COLUMN(T_TraitDi[Rue2]),FALSE),"")</f>
        <v/>
      </c>
      <c r="BR35" s="173" t="str">
        <f>IFERROR(VLOOKUP(T_Convention[[#This Row],[NumL]],T_TraitDi[#Data],COLUMN(T_TraitDi[CP2]),FALSE),"")</f>
        <v/>
      </c>
      <c r="BS35" s="173" t="str">
        <f>IFERROR(VLOOKUP(T_Convention[[#This Row],[NumL]],T_TraitDi[#Data],COLUMN(T_TraitDi[VILLE2]),FALSE),"")</f>
        <v/>
      </c>
      <c r="BT35" s="182" t="str">
        <f>IF(VLOOKUP(T_Convention[[#This Row],[NumL]],T_Equipement[#Data],COLUMN(T_Equipement[PC]),FALSE)="","Aucun équipement spécifique directement lié au télétravail",VLOOKUP(T_Convention[[#This Row],[NumL]],T_Equipement[#Data],COLUMN(T_Equipement[PC]),FALSE))</f>
        <v>SCD2018PORT01</v>
      </c>
      <c r="BU35" s="166" t="str">
        <f>IFERROR(IF(VLOOKUP(T_Convention[[#This Row],[NumL]],T_TraitDi[#Data],COLUMN(T_TraitDi[Plan]),FALSE)="OK","Un planning spécifique de télétravail est annexé à la présente convention.",""),"")</f>
        <v/>
      </c>
      <c r="BV35" s="185" t="s">
        <v>3509</v>
      </c>
      <c r="BW35" s="164" t="e">
        <f>IF(VLOOKUP(T_Convention[[#This Row],[NumL]],T_suiviDi[#Data],COLUMN(T_suiviDi[Entité]),FALSE)="","",VLOOKUP(T_Convention[[#This Row],[NumL]],T_suiviDi[#Data],COLUMN(T_suiviDi[Entité]),FALSE))</f>
        <v>#N/A</v>
      </c>
      <c r="BX35" s="164" t="str">
        <f>IF(VLOOKUP(T_Convention[[#This Row],[NumL]],T_Commission[#Data],COLUMN(T_Commission[envoi confirm TW]),FALSE)="","",VLOOKUP(T_Convention[[#This Row],[NumL]],T_Commission[#Data],COLUMN(T_Commission[envoi confirm TW]),FALSE))</f>
        <v>Oui</v>
      </c>
      <c r="BY3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5" s="264">
        <f>VLOOKUP(T_Convention[[#This Row],[NumL]],T_Commission[#Data],COLUMN(T_Commission[Commentaire]),FALSE)</f>
        <v>0</v>
      </c>
      <c r="CA35" s="254" t="str">
        <f>IF(VLOOKUP(T_Convention[[#This Row],[NumL]],T_Commission[#Data],COLUMN(T_Commission[Encadrant Email]),FALSE)="","",VLOOKUP(T_Convention[[#This Row],[NumL]],T_Commission[#Data],COLUMN(T_Commission[Encadrant Email]),FALSE))</f>
        <v/>
      </c>
      <c r="CB35" s="352" t="e">
        <f>VLOOKUP(T_Convention[[#This Row],[NumL]],T_TraitDi[#Data],COLUMN(T_TraitDi[NbJTot]),FALSE)</f>
        <v>#N/A</v>
      </c>
      <c r="CC35" s="352" t="e">
        <f>VLOOKUP(T_Convention[[#This Row],[NumL]],T_TraitDi[#Data],COLUMN(T_TraitDi[Reg Ponct]),FALSE)</f>
        <v>#N/A</v>
      </c>
      <c r="CD35" s="348" t="str">
        <f>IF(T_Convention[[#This Row],[Final]]&lt;&gt;"",VLOOKUP(T_Convention[[#This Row],[NumL]],T_suiviDi[#Data],COLUMN((T_suiviDi[Statut])),FALSE),"")</f>
        <v/>
      </c>
    </row>
    <row r="36" spans="1:82" s="106" customFormat="1" ht="18.75" customHeight="1" x14ac:dyDescent="0.25">
      <c r="A36" s="160">
        <v>295</v>
      </c>
      <c r="B36" s="161" t="str">
        <f>VLOOKUP(T_Convention[[#This Row],[NumL]],T_Commission[#Data],COLUMN(T_Commission[FINAL]),FALSE)</f>
        <v/>
      </c>
      <c r="C36" s="162"/>
      <c r="D36" s="95" t="e">
        <f>IF(VLOOKUP(T_Convention[[#This Row],[NumL]],T_TraitDi[#Data],COLUMN(T_TraitDi[WebC]),FALSE)="","",VLOOKUP(T_Convention[[#This Row],[NumL]],T_TraitDi[#Data],COLUMN(T_TraitDi[WebC]),FALSE))</f>
        <v>#N/A</v>
      </c>
      <c r="E36" s="174" t="str">
        <f t="shared" si="0"/>
        <v>12 janvier 2021</v>
      </c>
      <c r="F36" s="282" t="str">
        <f>IF(T_Convention[[#This Row],[Final]]&lt;&gt;"",VLOOKUP(T_Convention[[#This Row],[NumL]],T_suiviDi[#Data],COLUMN((T_suiviDi[Civ.])),FALSE),"")</f>
        <v/>
      </c>
      <c r="G36" s="283" t="str">
        <f>IF(T_Convention[[#This Row],[Final]]&lt;&gt;"",VLOOKUP(T_Convention[[#This Row],[NumL]],T_suiviDi[#Data],COLUMN((T_suiviDi[Nom])),FALSE),"")</f>
        <v/>
      </c>
      <c r="H36" s="282" t="str">
        <f>IF(T_Convention[[#This Row],[Final]]&lt;&gt;"",VLOOKUP(T_Convention[[#This Row],[NumL]],T_suiviDi[#Data],COLUMN((T_suiviDi[Prénom])),FALSE),"")</f>
        <v/>
      </c>
      <c r="I36" s="282" t="e">
        <f>VLOOKUP(T_Convention[[#This Row],[NumL]],T_suiviDi[#Data],COLUMN((T_suiviDi[[#This Row],[Email]])),FALSE)</f>
        <v>#VALUE!</v>
      </c>
      <c r="J36" s="282" t="e">
        <f>IF(VLOOKUP(T_Convention[[#This Row],[NumL]],T_suiviDi[#Data],COLUMN(T_suiviDi[[#This Row],[Fonction]]),FALSE)="","",VLOOKUP(T_Convention[[#This Row],[NumL]],T_suiviDi[#Data],COLUMN(T_suiviDi[[#This Row],[Fonction]]),FALSE))</f>
        <v>#VALUE!</v>
      </c>
      <c r="K36" s="282" t="e">
        <f>IF(VLOOKUP(T_Convention[[#This Row],[NumL]],T_suiviDi[#Data],COLUMN(T_suiviDi[[#This Row],[Grade]]),FALSE)="","",VLOOKUP(T_Convention[[#This Row],[NumL]],T_suiviDi[#Data],COLUMN(T_suiviDi[[#This Row],[Grade]]),FALSE))</f>
        <v>#VALUE!</v>
      </c>
      <c r="L36" s="282" t="e">
        <f>IF(VLOOKUP(T_Convention[[#This Row],[NumL]],T_suiviDi[#Data],COLUMN(T_suiviDi[[#This Row],[Service ]]),FALSE)="","",VLOOKUP(T_Convention[[#This Row],[NumL]],T_suiviDi[#Data],COLUMN(T_suiviDi[[#This Row],[Service ]]),FALSE))</f>
        <v>#VALUE!</v>
      </c>
      <c r="M36" s="176" t="str">
        <f t="shared" si="1"/>
        <v>01 septembre 2021</v>
      </c>
      <c r="N36" s="176" t="str">
        <f t="shared" si="2"/>
        <v>30 novembre 2021</v>
      </c>
      <c r="O36" s="284" t="str">
        <f t="shared" si="3"/>
        <v>30 novembre 2021</v>
      </c>
      <c r="P36" s="282" t="e">
        <f>IF(VLOOKUP(T_Convention[[#This Row],[NumL]],T_TraitDi[#Data],COLUMN(T_TraitDi[M1]),FALSE)="","",VLOOKUP(T_Convention[[#This Row],[NumL]],T_TraitDi[#Data],COLUMN(T_TraitDi[M1]),FALSE))</f>
        <v>#N/A</v>
      </c>
      <c r="Q36" s="282" t="e">
        <f>IF(VLOOKUP(T_Convention[[#This Row],[NumL]],T_TraitDi[#Data],COLUMN(T_TraitDi[M2]),FALSE)="","",VLOOKUP(T_Convention[[#This Row],[NumL]],T_TraitDi[#Data],COLUMN(T_TraitDi[M2]),FALSE))</f>
        <v>#N/A</v>
      </c>
      <c r="R36" s="282" t="e">
        <f>IF(VLOOKUP(T_Convention[[#This Row],[NumL]],T_TraitDi[#Data],COLUMN(T_TraitDi[M3]),FALSE)="","",VLOOKUP(T_Convention[[#This Row],[NumL]],T_TraitDi[#Data],COLUMN(T_TraitDi[M3]),FALSE))</f>
        <v>#N/A</v>
      </c>
      <c r="S36" s="282" t="e">
        <f>IF(VLOOKUP(T_Convention[[#This Row],[NumL]],T_TraitDi[#Data],COLUMN(T_TraitDi[M4]),FALSE)="","",VLOOKUP(T_Convention[[#This Row],[NumL]],T_TraitDi[#Data],COLUMN(T_TraitDi[M4]),FALSE))</f>
        <v>#N/A</v>
      </c>
      <c r="T36" s="282" t="e">
        <f>IF(VLOOKUP(T_Convention[[#This Row],[NumL]],T_TraitDi[#Data],COLUMN(T_TraitDi[M5]),FALSE)="","",VLOOKUP(T_Convention[[#This Row],[NumL]],T_TraitDi[#Data],COLUMN(T_TraitDi[M5]),FALSE))</f>
        <v>#N/A</v>
      </c>
      <c r="U36" s="282" t="e">
        <f>IF(VLOOKUP(T_Convention[[#This Row],[NumL]],T_TraitDi[#Data],COLUMN(T_TraitDi[M6]),FALSE)="","",VLOOKUP(T_Convention[[#This Row],[NumL]],T_TraitDi[#Data],COLUMN(T_TraitDi[M6]),FALSE))</f>
        <v>#N/A</v>
      </c>
      <c r="V36" s="176" t="e">
        <f t="shared" si="4"/>
        <v>#N/A</v>
      </c>
      <c r="W36" s="284" t="str">
        <f>IFERROR(TEXT(VLOOKUP(T_Convention[[#This Row],[NumL]],T_TraitDi[#Data],COLUMN(T_TraitDi[Q2]),FALSE),"###%"),"")</f>
        <v/>
      </c>
      <c r="X36" s="97" t="e">
        <f>VLOOKUP(T_Convention[[#This Row],[NumL]],T_TraitDi[#Data],COLUMN(T_TraitDi[Reg Ponct]),FALSE)</f>
        <v>#N/A</v>
      </c>
      <c r="Y36" s="97" t="e">
        <f>VLOOKUP(T_Convention[NumL],T_TraitDi[#Data],COLUMN(T_TraitDi[Jours flottants]),FALSE)</f>
        <v>#N/A</v>
      </c>
      <c r="Z36" s="284" t="str">
        <f>IFERROR(VLOOKUP(T_Convention[[#This Row],[NumL]],T_TraitDi[#Data],COLUMN(T_TraitDi[Lundi]),FALSE),"")</f>
        <v/>
      </c>
      <c r="AA36" s="284" t="e">
        <f>IF(VLOOKUP(T_Convention[[#This Row],[NumL]],T_TraitDi[#Data],COLUMN(T_TraitDi[Colonne3]),FALSE)=0,"",TEXT(IFERROR(VLOOKUP(T_Convention[[#This Row],[NumL]],T_TraitDi[#Data],COLUMN(T_TraitDi[Colonne3]),FALSE),""),"[hh]:mm"))</f>
        <v>#N/A</v>
      </c>
      <c r="AB36" s="284" t="e">
        <f>IF(VLOOKUP(T_Convention[[#This Row],[NumL]],T_TraitDi[#Data],COLUMN(T_TraitDi[Colonne4]),FALSE)=0,"",TEXT(IFERROR(VLOOKUP(T_Convention[[#This Row],[NumL]],T_TraitDi[#Data],COLUMN(T_TraitDi[Colonne4]),FALSE),""),"[hh]:mm"))</f>
        <v>#N/A</v>
      </c>
      <c r="AC36" s="284" t="e">
        <f>IF(VLOOKUP(T_Convention[[#This Row],[NumL]],T_TraitDi[#Data],COLUMN(T_TraitDi[Colonne5]),FALSE)=0,"",TEXT(IFERROR(VLOOKUP(T_Convention[[#This Row],[NumL]],T_TraitDi[#Data],COLUMN(T_TraitDi[Colonne5]),FALSE),""),"[hh]:mm"))</f>
        <v>#N/A</v>
      </c>
      <c r="AD36" s="284" t="e">
        <f>IF(VLOOKUP(T_Convention[[#This Row],[NumL]],T_TraitDi[#Data],COLUMN(T_TraitDi[Colonne6]),FALSE)=0,"",TEXT(IFERROR(VLOOKUP(T_Convention[[#This Row],[NumL]],T_TraitDi[#Data],COLUMN(T_TraitDi[Colonne6]),FALSE),""),"[hh]:mm"))</f>
        <v>#N/A</v>
      </c>
      <c r="AE36" s="284" t="e">
        <f>IF(VLOOKUP(T_Convention[[#This Row],[NumL]],T_TraitDi[#Data],COLUMN(T_TraitDi[Colonne7]),FALSE)=0,"",TEXT(IFERROR(VLOOKUP(T_Convention[[#This Row],[NumL]],T_TraitDi[#Data],COLUMN(T_TraitDi[Colonne7]),FALSE),""),"[hh]:mm"))</f>
        <v>#N/A</v>
      </c>
      <c r="AF36" s="284" t="e">
        <f>IF(VLOOKUP(T_Convention[[#This Row],[NumL]],T_TraitDi[#Data],COLUMN(T_TraitDi[Colonne8]),FALSE)=0,"",TEXT(IFERROR(VLOOKUP(T_Convention[[#This Row],[NumL]],T_TraitDi[#Data],COLUMN(T_TraitDi[Colonne8]),FALSE),""),"[hh]:mm"))</f>
        <v>#N/A</v>
      </c>
      <c r="AG36" s="284" t="str">
        <f>IFERROR(VLOOKUP(T_Convention[[#This Row],[NumL]],T_TraitDi[#Data],COLUMN(T_TraitDi[Mardi]),FALSE),"")</f>
        <v/>
      </c>
      <c r="AH36" s="284" t="e">
        <f>IF(VLOOKUP(T_Convention[[#This Row],[NumL]],T_TraitDi[#Data],COLUMN(T_TraitDi[Colonne1]),FALSE)=0,"",TEXT(IFERROR(VLOOKUP(T_Convention[[#This Row],[NumL]],T_TraitDi[#Data],COLUMN(T_TraitDi[Colonne1]),FALSE),""),"[hh]:mm"))</f>
        <v>#N/A</v>
      </c>
      <c r="AI36" s="284" t="e">
        <f>IF(VLOOKUP(T_Convention[[#This Row],[NumL]],T_TraitDi[#Data],COLUMN(T_TraitDi[Colonne9]),FALSE)=0,"",TEXT(IFERROR(VLOOKUP(T_Convention[[#This Row],[NumL]],T_TraitDi[#Data],COLUMN(T_TraitDi[Colonne9]),FALSE),""),"[hh]:mm"))</f>
        <v>#N/A</v>
      </c>
      <c r="AJ36" s="284" t="str">
        <f>IFERROR(VLOOKUP(T_Convention[[#This Row],[NumL]],T_TraitDi[#Data],COLUMN(T_TraitDi[Colonne10]),FALSE),"")</f>
        <v/>
      </c>
      <c r="AK36" s="284" t="e">
        <f>IF(VLOOKUP(T_Convention[[#This Row],[NumL]],T_TraitDi[#Data],COLUMN(T_TraitDi[Colonne11]),FALSE)=0,"",TEXT(IFERROR(VLOOKUP(T_Convention[[#This Row],[NumL]],T_TraitDi[#Data],COLUMN(T_TraitDi[Colonne11]),FALSE),""),"[hh]:mm"))</f>
        <v>#N/A</v>
      </c>
      <c r="AL36" s="284" t="e">
        <f>IF(VLOOKUP(T_Convention[[#This Row],[NumL]],T_TraitDi[#Data],COLUMN(T_TraitDi[Colonne12]),FALSE)=0,"",TEXT(IFERROR(VLOOKUP(T_Convention[[#This Row],[NumL]],T_TraitDi[#Data],COLUMN(T_TraitDi[Colonne12]),FALSE),""),"[hh]:mm"))</f>
        <v>#N/A</v>
      </c>
      <c r="AM36" s="284" t="e">
        <f>IF(VLOOKUP(T_Convention[[#This Row],[NumL]],T_TraitDi[#Data],COLUMN(T_TraitDi[Colonne14]),FALSE)=0,"",TEXT(IFERROR(VLOOKUP(T_Convention[[#This Row],[NumL]],T_TraitDi[#Data],COLUMN(T_TraitDi[Colonne14]),FALSE),""),"[hh]:mm"))</f>
        <v>#N/A</v>
      </c>
      <c r="AN36" s="284" t="str">
        <f>IFERROR(VLOOKUP(T_Convention[[#This Row],[NumL]],T_TraitDi[#Data],COLUMN(T_TraitDi[Mercredi]),FALSE),"")</f>
        <v/>
      </c>
      <c r="AO36" s="284" t="e">
        <f>IF(VLOOKUP(T_Convention[[#This Row],[NumL]],T_TraitDi[#Data],COLUMN(T_TraitDi[Colonne15]),FALSE)=0,"",TEXT(IFERROR(VLOOKUP(T_Convention[[#This Row],[NumL]],T_TraitDi[#Data],COLUMN(T_TraitDi[Colonne15]),FALSE),""),"[hh]:mm"))</f>
        <v>#N/A</v>
      </c>
      <c r="AP36" s="284" t="e">
        <f>IF(VLOOKUP(T_Convention[[#This Row],[NumL]],T_TraitDi[#Data],COLUMN(T_TraitDi[Colonne16]),FALSE)=0,"",TEXT(IFERROR(VLOOKUP(T_Convention[[#This Row],[NumL]],T_TraitDi[#Data],COLUMN(T_TraitDi[Colonne16]),FALSE),""),"[hh]:mm"))</f>
        <v>#N/A</v>
      </c>
      <c r="AQ36" s="284" t="str">
        <f>IFERROR(VLOOKUP(T_Convention[[#This Row],[NumL]],T_TraitDi[#Data],COLUMN(T_TraitDi[Colonne17]),FALSE),"")</f>
        <v/>
      </c>
      <c r="AR36" s="284" t="e">
        <f>IF(VLOOKUP(T_Convention[[#This Row],[NumL]],T_TraitDi[#Data],COLUMN(T_TraitDi[Colonne18]),FALSE)=0,"",TEXT(IFERROR(VLOOKUP(T_Convention[[#This Row],[NumL]],T_TraitDi[#Data],COLUMN(T_TraitDi[Colonne18]),FALSE),""),"[hh]:mm"))</f>
        <v>#N/A</v>
      </c>
      <c r="AS36" s="284" t="e">
        <f>IF(VLOOKUP(T_Convention[[#This Row],[NumL]],T_TraitDi[#Data],COLUMN(T_TraitDi[Colonne19]),FALSE)=0,"",TEXT(IFERROR(VLOOKUP(T_Convention[[#This Row],[NumL]],T_TraitDi[#Data],COLUMN(T_TraitDi[Colonne19]),FALSE),""),"[hh]:mm"))</f>
        <v>#N/A</v>
      </c>
      <c r="AT36" s="284" t="e">
        <f>IF(VLOOKUP(T_Convention[[#This Row],[NumL]],T_TraitDi[#Data],COLUMN(T_TraitDi[Colonne20]),FALSE)=0,"",TEXT(IFERROR(VLOOKUP(T_Convention[[#This Row],[NumL]],T_TraitDi[#Data],COLUMN(T_TraitDi[Colonne20]),FALSE),""),"[hh]:mm"))</f>
        <v>#N/A</v>
      </c>
      <c r="AU36" s="284" t="str">
        <f>IFERROR(VLOOKUP(T_Convention[[#This Row],[NumL]],T_TraitDi[#Data],COLUMN(T_TraitDi[Jeudi]),FALSE),"")</f>
        <v/>
      </c>
      <c r="AV36" s="284" t="e">
        <f>IF(VLOOKUP(T_Convention[[#This Row],[NumL]],T_TraitDi[#Data],COLUMN(T_TraitDi[Colonne21]),FALSE)=0,"",TEXT(IFERROR(VLOOKUP(T_Convention[[#This Row],[NumL]],T_TraitDi[#Data],COLUMN(T_TraitDi[Colonne21]),FALSE),""),"[hh]:mm"))</f>
        <v>#N/A</v>
      </c>
      <c r="AW36" s="284" t="e">
        <f>IF(VLOOKUP(T_Convention[[#This Row],[NumL]],T_TraitDi[#Data],COLUMN(T_TraitDi[Colonne22]),FALSE)=0,"",TEXT(IFERROR(VLOOKUP(T_Convention[[#This Row],[NumL]],T_TraitDi[#Data],COLUMN(T_TraitDi[Colonne22]),FALSE),""),"[hh]:mm"))</f>
        <v>#N/A</v>
      </c>
      <c r="AX36" s="284" t="str">
        <f>IFERROR(VLOOKUP(T_Convention[[#This Row],[NumL]],T_TraitDi[#Data],COLUMN(T_TraitDi[Colonne23]),FALSE),"")</f>
        <v/>
      </c>
      <c r="AY36" s="284" t="e">
        <f>IF(VLOOKUP(T_Convention[[#This Row],[NumL]],T_TraitDi[#Data],COLUMN(T_TraitDi[Colonne24]),FALSE)=0,"",TEXT(IFERROR(VLOOKUP(T_Convention[[#This Row],[NumL]],T_TraitDi[#Data],COLUMN(T_TraitDi[Colonne24]),FALSE),""),"[hh]:mm"))</f>
        <v>#N/A</v>
      </c>
      <c r="AZ36" s="284" t="e">
        <f>IF(VLOOKUP(T_Convention[[#This Row],[NumL]],T_TraitDi[#Data],COLUMN(T_TraitDi[Colonne25]),FALSE)=0,"",TEXT(IFERROR(VLOOKUP(T_Convention[[#This Row],[NumL]],T_TraitDi[#Data],COLUMN(T_TraitDi[Colonne25]),FALSE),""),"[hh]:mm"))</f>
        <v>#N/A</v>
      </c>
      <c r="BA36" s="284" t="e">
        <f>IF(VLOOKUP(T_Convention[[#This Row],[NumL]],T_TraitDi[#Data],COLUMN(T_TraitDi[Colonne26]),FALSE)=0,"",TEXT(IFERROR(VLOOKUP(T_Convention[[#This Row],[NumL]],T_TraitDi[#Data],COLUMN(T_TraitDi[Colonne26]),FALSE),""),"[hh]:mm"))</f>
        <v>#N/A</v>
      </c>
      <c r="BB36" s="284" t="str">
        <f>IFERROR(VLOOKUP(T_Convention[[#This Row],[NumL]],T_TraitDi[#Data],COLUMN(T_TraitDi[Vendredi]),FALSE),"")</f>
        <v/>
      </c>
      <c r="BC36" s="284" t="e">
        <f>IF(VLOOKUP(T_Convention[[#This Row],[NumL]],T_TraitDi[#Data],COLUMN(T_TraitDi[Colonne27]),FALSE)=0,"",TEXT(IFERROR(VLOOKUP(T_Convention[[#This Row],[NumL]],T_TraitDi[#Data],COLUMN(T_TraitDi[Colonne27]),FALSE),""),"[hh]:mm"))</f>
        <v>#N/A</v>
      </c>
      <c r="BD36" s="284" t="e">
        <f>IF(VLOOKUP(T_Convention[[#This Row],[NumL]],T_TraitDi[#Data],COLUMN(T_TraitDi[Colonne28]),FALSE)=0,"",TEXT(IFERROR(VLOOKUP(T_Convention[[#This Row],[NumL]],T_TraitDi[#Data],COLUMN(T_TraitDi[Colonne28]),FALSE),""),"[hh]:mm"))</f>
        <v>#N/A</v>
      </c>
      <c r="BE36" s="284" t="str">
        <f>IFERROR(VLOOKUP(T_Convention[[#This Row],[NumL]],T_TraitDi[#Data],COLUMN(T_TraitDi[Colonne29]),FALSE),"")</f>
        <v/>
      </c>
      <c r="BF36" s="284" t="e">
        <f>IF(VLOOKUP(T_Convention[[#This Row],[NumL]],T_TraitDi[#Data],COLUMN(T_TraitDi[Colonne30]),FALSE)=0,"",TEXT(IFERROR(VLOOKUP(T_Convention[[#This Row],[NumL]],T_TraitDi[#Data],COLUMN(T_TraitDi[Colonne30]),FALSE),""),"[hh]:mm"))</f>
        <v>#N/A</v>
      </c>
      <c r="BG36" s="284" t="e">
        <f>IF(VLOOKUP(T_Convention[[#This Row],[NumL]],T_TraitDi[#Data],COLUMN(T_TraitDi[Colonne31]),FALSE)=0,"",TEXT(IFERROR(VLOOKUP(T_Convention[[#This Row],[NumL]],T_TraitDi[#Data],COLUMN(T_TraitDi[Colonne31]),FALSE),""),"[hh]:mm"))</f>
        <v>#N/A</v>
      </c>
      <c r="BH36" s="284" t="e">
        <f>IF(VLOOKUP(T_Convention[[#This Row],[NumL]],T_TraitDi[#Data],COLUMN(T_TraitDi[Colonne32]),FALSE)=0,"",TEXT(IFERROR(VLOOKUP(T_Convention[[#This Row],[NumL]],T_TraitDi[#Data],COLUMN(T_TraitDi[Colonne32]),FALSE),""),"[hh]:mm"))</f>
        <v>#N/A</v>
      </c>
      <c r="BI36" s="284" t="str">
        <f>IFERROR(VLOOKUP(T_Convention[[#This Row],[NumL]],T_TraitDi[#Data],COLUMN(T_TraitDi[NbJTW]),FALSE),"")</f>
        <v/>
      </c>
      <c r="BJ36" s="284" t="e">
        <f>IF(VLOOKUP(T_Convention[[#This Row],[NumL]],T_TraitDi[#Data],COLUMN(T_TraitDi[NbhTW]),FALSE)=0,"",TEXT(IFERROR(VLOOKUP(T_Convention[[#This Row],[NumL]],T_TraitDi[#Data],COLUMN(T_TraitDi[NbhTW]),FALSE),""),"[hh]:mm"))</f>
        <v>#N/A</v>
      </c>
      <c r="BK36" s="286" t="e">
        <f>IF(VLOOKUP(T_Convention[[#This Row],[NumL]],T_TraitDi[#Data],COLUMN(T_TraitDi[Nbhheb]),FALSE)=0,"",TEXT(IFERROR(VLOOKUP(T_Convention[[#This Row],[NumL]],T_TraitDi[#Data],COLUMN(T_TraitDi[Nbhheb]),FALSE),""),"[hh]:mm"))</f>
        <v>#N/A</v>
      </c>
      <c r="BL36" s="287" t="str">
        <f>IFERROR(VLOOKUP(VLOOKUP(T_Convention[[#This Row],[NumL]],T_TraitDi[#Data],COLUMN(T_TraitDi[Type1]),FALSE),TypeTW,2,FALSE),"")</f>
        <v/>
      </c>
      <c r="BM36" s="288" t="str">
        <f>IFERROR(VLOOKUP(T_Convention[[#This Row],[NumL]],T_TraitDi[#Data],COLUMN(T_TraitDi[Rue1]),FALSE),"")</f>
        <v/>
      </c>
      <c r="BN36" s="289" t="str">
        <f>IFERROR(VLOOKUP(T_Convention[[#This Row],[NumL]],T_TraitDi[#Data],COLUMN(T_TraitDi[CP1]),FALSE),"")</f>
        <v/>
      </c>
      <c r="BO36" s="282" t="str">
        <f>IFERROR(VLOOKUP(T_Convention[[#This Row],[NumL]],T_TraitDi[#Data],COLUMN(T_TraitDi[VILLE1]),FALSE),"")</f>
        <v/>
      </c>
      <c r="BP36" s="290" t="str">
        <f>IFERROR(VLOOKUP(VLOOKUP(T_Convention[[#This Row],[NumL]],T_TraitDi[#Data],COLUMN(T_TraitDi[Type2]),FALSE),TypeTW,2,FALSE),"")</f>
        <v/>
      </c>
      <c r="BQ36" s="182" t="str">
        <f>IFERROR(VLOOKUP(T_Convention[[#This Row],[NumL]],T_TraitDi[#Data],COLUMN(T_TraitDi[Rue2]),FALSE),"")</f>
        <v/>
      </c>
      <c r="BR36" s="173" t="str">
        <f>IFERROR(VLOOKUP(T_Convention[[#This Row],[NumL]],T_TraitDi[#Data],COLUMN(T_TraitDi[CP2]),FALSE),"")</f>
        <v/>
      </c>
      <c r="BS36" s="173" t="str">
        <f>IFERROR(VLOOKUP(T_Convention[[#This Row],[NumL]],T_TraitDi[#Data],COLUMN(T_TraitDi[VILLE2]),FALSE),"")</f>
        <v/>
      </c>
      <c r="BT36"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6" s="166" t="str">
        <f>IFERROR(IF(VLOOKUP(T_Convention[[#This Row],[NumL]],T_TraitDi[#Data],COLUMN(T_TraitDi[Plan]),FALSE)="OK","Un planning spécifique de télétravail est annexé à la présente convention.",""),"")</f>
        <v/>
      </c>
      <c r="BV36" s="270"/>
      <c r="BW36" s="164" t="e">
        <f>IF(VLOOKUP(T_Convention[[#This Row],[NumL]],T_suiviDi[#Data],COLUMN(T_suiviDi[Entité]),FALSE)="","",VLOOKUP(T_Convention[[#This Row],[NumL]],T_suiviDi[#Data],COLUMN(T_suiviDi[Entité]),FALSE))</f>
        <v>#N/A</v>
      </c>
      <c r="BX36" s="164" t="str">
        <f>IF(VLOOKUP(T_Convention[[#This Row],[NumL]],T_Commission[#Data],COLUMN(T_Commission[envoi confirm TW]),FALSE)="","",VLOOKUP(T_Convention[[#This Row],[NumL]],T_Commission[#Data],COLUMN(T_Commission[envoi confirm TW]),FALSE))</f>
        <v>Oui</v>
      </c>
      <c r="BY3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6" s="264" t="str">
        <f>VLOOKUP(T_Convention[[#This Row],[NumL]],T_Commission[#Data],COLUMN(T_Commission[Commentaire]),FALSE)</f>
        <v>Le télétravail est accordé pour 6 mois renouvelables sous réserve de l'avis du médecin de prévention.</v>
      </c>
      <c r="CA36" s="254" t="str">
        <f>IF(VLOOKUP(T_Convention[[#This Row],[NumL]],T_Commission[#Data],COLUMN(T_Commission[Encadrant Email]),FALSE)="","",VLOOKUP(T_Convention[[#This Row],[NumL]],T_Commission[#Data],COLUMN(T_Commission[Encadrant Email]),FALSE))</f>
        <v/>
      </c>
      <c r="CB36" s="352" t="e">
        <f>VLOOKUP(T_Convention[[#This Row],[NumL]],T_TraitDi[#Data],COLUMN(T_TraitDi[NbJTot]),FALSE)</f>
        <v>#N/A</v>
      </c>
      <c r="CC36" s="352" t="e">
        <f>VLOOKUP(T_Convention[[#This Row],[NumL]],T_TraitDi[#Data],COLUMN(T_TraitDi[Reg Ponct]),FALSE)</f>
        <v>#N/A</v>
      </c>
      <c r="CD36" s="348" t="str">
        <f>IF(T_Convention[[#This Row],[Final]]&lt;&gt;"",VLOOKUP(T_Convention[[#This Row],[NumL]],T_suiviDi[#Data],COLUMN((T_suiviDi[Statut])),FALSE),"")</f>
        <v/>
      </c>
    </row>
    <row r="37" spans="1:82" s="106" customFormat="1" ht="18.75" customHeight="1" x14ac:dyDescent="0.25">
      <c r="A37" s="160">
        <v>71</v>
      </c>
      <c r="B37" s="161" t="str">
        <f>VLOOKUP(T_Convention[[#This Row],[NumL]],T_Commission[#Data],COLUMN(T_Commission[FINAL]),FALSE)</f>
        <v/>
      </c>
      <c r="C37" s="162"/>
      <c r="D37" s="95" t="e">
        <f>IF(VLOOKUP(T_Convention[[#This Row],[NumL]],T_TraitDi[#Data],COLUMN(T_TraitDi[WebC]),FALSE)="","",VLOOKUP(T_Convention[[#This Row],[NumL]],T_TraitDi[#Data],COLUMN(T_TraitDi[WebC]),FALSE))</f>
        <v>#N/A</v>
      </c>
      <c r="E37" s="163" t="str">
        <f t="shared" si="0"/>
        <v>12 janvier 2021</v>
      </c>
      <c r="F37" s="282" t="str">
        <f>IF(T_Convention[[#This Row],[Final]]&lt;&gt;"",VLOOKUP(T_Convention[[#This Row],[NumL]],T_suiviDi[#Data],COLUMN((T_suiviDi[Civ.])),FALSE),"")</f>
        <v/>
      </c>
      <c r="G37" s="283" t="str">
        <f>IF(T_Convention[[#This Row],[Final]]&lt;&gt;"",VLOOKUP(T_Convention[[#This Row],[NumL]],T_suiviDi[#Data],COLUMN((T_suiviDi[Nom])),FALSE),"")</f>
        <v/>
      </c>
      <c r="H37" s="282" t="str">
        <f>IF(T_Convention[[#This Row],[Final]]&lt;&gt;"",VLOOKUP(T_Convention[[#This Row],[NumL]],T_suiviDi[#Data],COLUMN((T_suiviDi[Prénom])),FALSE),"")</f>
        <v/>
      </c>
      <c r="I37" s="282" t="e">
        <f>VLOOKUP(T_Convention[[#This Row],[NumL]],T_suiviDi[#Data],COLUMN((T_suiviDi[[#This Row],[Email]])),FALSE)</f>
        <v>#VALUE!</v>
      </c>
      <c r="J37" s="282" t="e">
        <f>IF(VLOOKUP(T_Convention[[#This Row],[NumL]],T_suiviDi[#Data],COLUMN(T_suiviDi[[#This Row],[Fonction]]),FALSE)="","",VLOOKUP(T_Convention[[#This Row],[NumL]],T_suiviDi[#Data],COLUMN(T_suiviDi[[#This Row],[Fonction]]),FALSE))</f>
        <v>#VALUE!</v>
      </c>
      <c r="K37" s="282" t="e">
        <f>IF(VLOOKUP(T_Convention[[#This Row],[NumL]],T_suiviDi[#Data],COLUMN(T_suiviDi[[#This Row],[Grade]]),FALSE)="","",VLOOKUP(T_Convention[[#This Row],[NumL]],T_suiviDi[#Data],COLUMN(T_suiviDi[[#This Row],[Grade]]),FALSE))</f>
        <v>#VALUE!</v>
      </c>
      <c r="L37" s="282" t="e">
        <f>IF(VLOOKUP(T_Convention[[#This Row],[NumL]],T_suiviDi[#Data],COLUMN(T_suiviDi[[#This Row],[Service ]]),FALSE)="","",VLOOKUP(T_Convention[[#This Row],[NumL]],T_suiviDi[#Data],COLUMN(T_suiviDi[[#This Row],[Service ]]),FALSE))</f>
        <v>#VALUE!</v>
      </c>
      <c r="M37" s="164" t="str">
        <f t="shared" si="1"/>
        <v>01 septembre 2021</v>
      </c>
      <c r="N37" s="164" t="str">
        <f t="shared" si="2"/>
        <v>30 novembre 2021</v>
      </c>
      <c r="O37" s="284" t="str">
        <f t="shared" si="3"/>
        <v>30 novembre 2021</v>
      </c>
      <c r="P37" s="282" t="e">
        <f>IF(VLOOKUP(T_Convention[[#This Row],[NumL]],T_TraitDi[#Data],COLUMN(T_TraitDi[M1]),FALSE)="","",VLOOKUP(T_Convention[[#This Row],[NumL]],T_TraitDi[#Data],COLUMN(T_TraitDi[M1]),FALSE))</f>
        <v>#N/A</v>
      </c>
      <c r="Q37" s="282" t="e">
        <f>IF(VLOOKUP(T_Convention[[#This Row],[NumL]],T_TraitDi[#Data],COLUMN(T_TraitDi[M2]),FALSE)="","",VLOOKUP(T_Convention[[#This Row],[NumL]],T_TraitDi[#Data],COLUMN(T_TraitDi[M2]),FALSE))</f>
        <v>#N/A</v>
      </c>
      <c r="R37" s="282" t="e">
        <f>IF(VLOOKUP(T_Convention[[#This Row],[NumL]],T_TraitDi[#Data],COLUMN(T_TraitDi[M3]),FALSE)="","",VLOOKUP(T_Convention[[#This Row],[NumL]],T_TraitDi[#Data],COLUMN(T_TraitDi[M3]),FALSE))</f>
        <v>#N/A</v>
      </c>
      <c r="S37" s="282" t="e">
        <f>IF(VLOOKUP(T_Convention[[#This Row],[NumL]],T_TraitDi[#Data],COLUMN(T_TraitDi[M4]),FALSE)="","",VLOOKUP(T_Convention[[#This Row],[NumL]],T_TraitDi[#Data],COLUMN(T_TraitDi[M4]),FALSE))</f>
        <v>#N/A</v>
      </c>
      <c r="T37" s="282" t="e">
        <f>IF(VLOOKUP(T_Convention[[#This Row],[NumL]],T_TraitDi[#Data],COLUMN(T_TraitDi[M5]),FALSE)="","",VLOOKUP(T_Convention[[#This Row],[NumL]],T_TraitDi[#Data],COLUMN(T_TraitDi[M5]),FALSE))</f>
        <v>#N/A</v>
      </c>
      <c r="U37" s="282" t="e">
        <f>IF(VLOOKUP(T_Convention[[#This Row],[NumL]],T_TraitDi[#Data],COLUMN(T_TraitDi[M6]),FALSE)="","",VLOOKUP(T_Convention[[#This Row],[NumL]],T_TraitDi[#Data],COLUMN(T_TraitDi[M6]),FALSE))</f>
        <v>#N/A</v>
      </c>
      <c r="V37" s="176" t="e">
        <f t="shared" si="4"/>
        <v>#N/A</v>
      </c>
      <c r="W37" s="284" t="str">
        <f>IFERROR(TEXT(VLOOKUP(T_Convention[[#This Row],[NumL]],T_TraitDi[#Data],COLUMN(T_TraitDi[Q2]),FALSE),"###%"),"")</f>
        <v/>
      </c>
      <c r="X37" s="97" t="e">
        <f>VLOOKUP(T_Convention[[#This Row],[NumL]],T_TraitDi[#Data],COLUMN(T_TraitDi[Reg Ponct]),FALSE)</f>
        <v>#N/A</v>
      </c>
      <c r="Y37" s="97" t="e">
        <f>VLOOKUP(T_Convention[NumL],T_TraitDi[#Data],COLUMN(T_TraitDi[Jours flottants]),FALSE)</f>
        <v>#N/A</v>
      </c>
      <c r="Z37" s="284" t="str">
        <f>IFERROR(VLOOKUP(T_Convention[[#This Row],[NumL]],T_TraitDi[#Data],COLUMN(T_TraitDi[Lundi]),FALSE),"")</f>
        <v/>
      </c>
      <c r="AA37" s="284" t="e">
        <f>IF(VLOOKUP(T_Convention[[#This Row],[NumL]],T_TraitDi[#Data],COLUMN(T_TraitDi[Colonne3]),FALSE)=0,"",TEXT(IFERROR(VLOOKUP(T_Convention[[#This Row],[NumL]],T_TraitDi[#Data],COLUMN(T_TraitDi[Colonne3]),FALSE),""),"[hh]:mm"))</f>
        <v>#N/A</v>
      </c>
      <c r="AB37" s="284" t="e">
        <f>IF(VLOOKUP(T_Convention[[#This Row],[NumL]],T_TraitDi[#Data],COLUMN(T_TraitDi[Colonne4]),FALSE)=0,"",TEXT(IFERROR(VLOOKUP(T_Convention[[#This Row],[NumL]],T_TraitDi[#Data],COLUMN(T_TraitDi[Colonne4]),FALSE),""),"[hh]:mm"))</f>
        <v>#N/A</v>
      </c>
      <c r="AC37" s="284" t="e">
        <f>IF(VLOOKUP(T_Convention[[#This Row],[NumL]],T_TraitDi[#Data],COLUMN(T_TraitDi[Colonne5]),FALSE)=0,"",TEXT(IFERROR(VLOOKUP(T_Convention[[#This Row],[NumL]],T_TraitDi[#Data],COLUMN(T_TraitDi[Colonne5]),FALSE),""),"[hh]:mm"))</f>
        <v>#N/A</v>
      </c>
      <c r="AD37" s="284" t="e">
        <f>IF(VLOOKUP(T_Convention[[#This Row],[NumL]],T_TraitDi[#Data],COLUMN(T_TraitDi[Colonne6]),FALSE)=0,"",TEXT(IFERROR(VLOOKUP(T_Convention[[#This Row],[NumL]],T_TraitDi[#Data],COLUMN(T_TraitDi[Colonne6]),FALSE),""),"[hh]:mm"))</f>
        <v>#N/A</v>
      </c>
      <c r="AE37" s="284" t="e">
        <f>IF(VLOOKUP(T_Convention[[#This Row],[NumL]],T_TraitDi[#Data],COLUMN(T_TraitDi[Colonne7]),FALSE)=0,"",TEXT(IFERROR(VLOOKUP(T_Convention[[#This Row],[NumL]],T_TraitDi[#Data],COLUMN(T_TraitDi[Colonne7]),FALSE),""),"[hh]:mm"))</f>
        <v>#N/A</v>
      </c>
      <c r="AF37" s="284" t="e">
        <f>IF(VLOOKUP(T_Convention[[#This Row],[NumL]],T_TraitDi[#Data],COLUMN(T_TraitDi[Colonne8]),FALSE)=0,"",TEXT(IFERROR(VLOOKUP(T_Convention[[#This Row],[NumL]],T_TraitDi[#Data],COLUMN(T_TraitDi[Colonne8]),FALSE),""),"[hh]:mm"))</f>
        <v>#N/A</v>
      </c>
      <c r="AG37" s="284" t="str">
        <f>IFERROR(VLOOKUP(T_Convention[[#This Row],[NumL]],T_TraitDi[#Data],COLUMN(T_TraitDi[Mardi]),FALSE),"")</f>
        <v/>
      </c>
      <c r="AH37" s="284" t="e">
        <f>IF(VLOOKUP(T_Convention[[#This Row],[NumL]],T_TraitDi[#Data],COLUMN(T_TraitDi[Colonne1]),FALSE)=0,"",TEXT(IFERROR(VLOOKUP(T_Convention[[#This Row],[NumL]],T_TraitDi[#Data],COLUMN(T_TraitDi[Colonne1]),FALSE),""),"[hh]:mm"))</f>
        <v>#N/A</v>
      </c>
      <c r="AI37" s="284" t="e">
        <f>IF(VLOOKUP(T_Convention[[#This Row],[NumL]],T_TraitDi[#Data],COLUMN(T_TraitDi[Colonne9]),FALSE)=0,"",TEXT(IFERROR(VLOOKUP(T_Convention[[#This Row],[NumL]],T_TraitDi[#Data],COLUMN(T_TraitDi[Colonne9]),FALSE),""),"[hh]:mm"))</f>
        <v>#N/A</v>
      </c>
      <c r="AJ37" s="284" t="str">
        <f>IFERROR(VLOOKUP(T_Convention[[#This Row],[NumL]],T_TraitDi[#Data],COLUMN(T_TraitDi[Colonne10]),FALSE),"")</f>
        <v/>
      </c>
      <c r="AK37" s="284" t="e">
        <f>IF(VLOOKUP(T_Convention[[#This Row],[NumL]],T_TraitDi[#Data],COLUMN(T_TraitDi[Colonne11]),FALSE)=0,"",TEXT(IFERROR(VLOOKUP(T_Convention[[#This Row],[NumL]],T_TraitDi[#Data],COLUMN(T_TraitDi[Colonne11]),FALSE),""),"[hh]:mm"))</f>
        <v>#N/A</v>
      </c>
      <c r="AL37" s="284" t="e">
        <f>IF(VLOOKUP(T_Convention[[#This Row],[NumL]],T_TraitDi[#Data],COLUMN(T_TraitDi[Colonne12]),FALSE)=0,"",TEXT(IFERROR(VLOOKUP(T_Convention[[#This Row],[NumL]],T_TraitDi[#Data],COLUMN(T_TraitDi[Colonne12]),FALSE),""),"[hh]:mm"))</f>
        <v>#N/A</v>
      </c>
      <c r="AM37" s="284" t="e">
        <f>IF(VLOOKUP(T_Convention[[#This Row],[NumL]],T_TraitDi[#Data],COLUMN(T_TraitDi[Colonne14]),FALSE)=0,"",TEXT(IFERROR(VLOOKUP(T_Convention[[#This Row],[NumL]],T_TraitDi[#Data],COLUMN(T_TraitDi[Colonne14]),FALSE),""),"[hh]:mm"))</f>
        <v>#N/A</v>
      </c>
      <c r="AN37" s="284" t="str">
        <f>IFERROR(VLOOKUP(T_Convention[[#This Row],[NumL]],T_TraitDi[#Data],COLUMN(T_TraitDi[Mercredi]),FALSE),"")</f>
        <v/>
      </c>
      <c r="AO37" s="284" t="e">
        <f>IF(VLOOKUP(T_Convention[[#This Row],[NumL]],T_TraitDi[#Data],COLUMN(T_TraitDi[Colonne15]),FALSE)=0,"",TEXT(IFERROR(VLOOKUP(T_Convention[[#This Row],[NumL]],T_TraitDi[#Data],COLUMN(T_TraitDi[Colonne15]),FALSE),""),"[hh]:mm"))</f>
        <v>#N/A</v>
      </c>
      <c r="AP37" s="284" t="e">
        <f>IF(VLOOKUP(T_Convention[[#This Row],[NumL]],T_TraitDi[#Data],COLUMN(T_TraitDi[Colonne16]),FALSE)=0,"",TEXT(IFERROR(VLOOKUP(T_Convention[[#This Row],[NumL]],T_TraitDi[#Data],COLUMN(T_TraitDi[Colonne16]),FALSE),""),"[hh]:mm"))</f>
        <v>#N/A</v>
      </c>
      <c r="AQ37" s="284" t="str">
        <f>IFERROR(VLOOKUP(T_Convention[[#This Row],[NumL]],T_TraitDi[#Data],COLUMN(T_TraitDi[Colonne17]),FALSE),"")</f>
        <v/>
      </c>
      <c r="AR37" s="284" t="e">
        <f>IF(VLOOKUP(T_Convention[[#This Row],[NumL]],T_TraitDi[#Data],COLUMN(T_TraitDi[Colonne18]),FALSE)=0,"",TEXT(IFERROR(VLOOKUP(T_Convention[[#This Row],[NumL]],T_TraitDi[#Data],COLUMN(T_TraitDi[Colonne18]),FALSE),""),"[hh]:mm"))</f>
        <v>#N/A</v>
      </c>
      <c r="AS37" s="284" t="e">
        <f>IF(VLOOKUP(T_Convention[[#This Row],[NumL]],T_TraitDi[#Data],COLUMN(T_TraitDi[Colonne19]),FALSE)=0,"",TEXT(IFERROR(VLOOKUP(T_Convention[[#This Row],[NumL]],T_TraitDi[#Data],COLUMN(T_TraitDi[Colonne19]),FALSE),""),"[hh]:mm"))</f>
        <v>#N/A</v>
      </c>
      <c r="AT37" s="284" t="e">
        <f>IF(VLOOKUP(T_Convention[[#This Row],[NumL]],T_TraitDi[#Data],COLUMN(T_TraitDi[Colonne20]),FALSE)=0,"",TEXT(IFERROR(VLOOKUP(T_Convention[[#This Row],[NumL]],T_TraitDi[#Data],COLUMN(T_TraitDi[Colonne20]),FALSE),""),"[hh]:mm"))</f>
        <v>#N/A</v>
      </c>
      <c r="AU37" s="284" t="str">
        <f>IFERROR(VLOOKUP(T_Convention[[#This Row],[NumL]],T_TraitDi[#Data],COLUMN(T_TraitDi[Jeudi]),FALSE),"")</f>
        <v/>
      </c>
      <c r="AV37" s="284" t="e">
        <f>IF(VLOOKUP(T_Convention[[#This Row],[NumL]],T_TraitDi[#Data],COLUMN(T_TraitDi[Colonne21]),FALSE)=0,"",TEXT(IFERROR(VLOOKUP(T_Convention[[#This Row],[NumL]],T_TraitDi[#Data],COLUMN(T_TraitDi[Colonne21]),FALSE),""),"[hh]:mm"))</f>
        <v>#N/A</v>
      </c>
      <c r="AW37" s="284" t="e">
        <f>IF(VLOOKUP(T_Convention[[#This Row],[NumL]],T_TraitDi[#Data],COLUMN(T_TraitDi[Colonne22]),FALSE)=0,"",TEXT(IFERROR(VLOOKUP(T_Convention[[#This Row],[NumL]],T_TraitDi[#Data],COLUMN(T_TraitDi[Colonne22]),FALSE),""),"[hh]:mm"))</f>
        <v>#N/A</v>
      </c>
      <c r="AX37" s="284" t="str">
        <f>IFERROR(VLOOKUP(T_Convention[[#This Row],[NumL]],T_TraitDi[#Data],COLUMN(T_TraitDi[Colonne23]),FALSE),"")</f>
        <v/>
      </c>
      <c r="AY37" s="284" t="e">
        <f>IF(VLOOKUP(T_Convention[[#This Row],[NumL]],T_TraitDi[#Data],COLUMN(T_TraitDi[Colonne24]),FALSE)=0,"",TEXT(IFERROR(VLOOKUP(T_Convention[[#This Row],[NumL]],T_TraitDi[#Data],COLUMN(T_TraitDi[Colonne24]),FALSE),""),"[hh]:mm"))</f>
        <v>#N/A</v>
      </c>
      <c r="AZ37" s="284" t="e">
        <f>IF(VLOOKUP(T_Convention[[#This Row],[NumL]],T_TraitDi[#Data],COLUMN(T_TraitDi[Colonne25]),FALSE)=0,"",TEXT(IFERROR(VLOOKUP(T_Convention[[#This Row],[NumL]],T_TraitDi[#Data],COLUMN(T_TraitDi[Colonne25]),FALSE),""),"[hh]:mm"))</f>
        <v>#N/A</v>
      </c>
      <c r="BA37" s="284" t="e">
        <f>IF(VLOOKUP(T_Convention[[#This Row],[NumL]],T_TraitDi[#Data],COLUMN(T_TraitDi[Colonne26]),FALSE)=0,"",TEXT(IFERROR(VLOOKUP(T_Convention[[#This Row],[NumL]],T_TraitDi[#Data],COLUMN(T_TraitDi[Colonne26]),FALSE),""),"[hh]:mm"))</f>
        <v>#N/A</v>
      </c>
      <c r="BB37" s="284" t="str">
        <f>IFERROR(VLOOKUP(T_Convention[[#This Row],[NumL]],T_TraitDi[#Data],COLUMN(T_TraitDi[Vendredi]),FALSE),"")</f>
        <v/>
      </c>
      <c r="BC37" s="284" t="e">
        <f>IF(VLOOKUP(T_Convention[[#This Row],[NumL]],T_TraitDi[#Data],COLUMN(T_TraitDi[Colonne27]),FALSE)=0,"",TEXT(IFERROR(VLOOKUP(T_Convention[[#This Row],[NumL]],T_TraitDi[#Data],COLUMN(T_TraitDi[Colonne27]),FALSE),""),"[hh]:mm"))</f>
        <v>#N/A</v>
      </c>
      <c r="BD37" s="284" t="e">
        <f>IF(VLOOKUP(T_Convention[[#This Row],[NumL]],T_TraitDi[#Data],COLUMN(T_TraitDi[Colonne28]),FALSE)=0,"",TEXT(IFERROR(VLOOKUP(T_Convention[[#This Row],[NumL]],T_TraitDi[#Data],COLUMN(T_TraitDi[Colonne28]),FALSE),""),"[hh]:mm"))</f>
        <v>#N/A</v>
      </c>
      <c r="BE37" s="284" t="str">
        <f>IFERROR(VLOOKUP(T_Convention[[#This Row],[NumL]],T_TraitDi[#Data],COLUMN(T_TraitDi[Colonne29]),FALSE),"")</f>
        <v/>
      </c>
      <c r="BF37" s="284" t="e">
        <f>IF(VLOOKUP(T_Convention[[#This Row],[NumL]],T_TraitDi[#Data],COLUMN(T_TraitDi[Colonne30]),FALSE)=0,"",TEXT(IFERROR(VLOOKUP(T_Convention[[#This Row],[NumL]],T_TraitDi[#Data],COLUMN(T_TraitDi[Colonne30]),FALSE),""),"[hh]:mm"))</f>
        <v>#N/A</v>
      </c>
      <c r="BG37" s="284" t="e">
        <f>IF(VLOOKUP(T_Convention[[#This Row],[NumL]],T_TraitDi[#Data],COLUMN(T_TraitDi[Colonne31]),FALSE)=0,"",TEXT(IFERROR(VLOOKUP(T_Convention[[#This Row],[NumL]],T_TraitDi[#Data],COLUMN(T_TraitDi[Colonne31]),FALSE),""),"[hh]:mm"))</f>
        <v>#N/A</v>
      </c>
      <c r="BH37" s="284" t="e">
        <f>IF(VLOOKUP(T_Convention[[#This Row],[NumL]],T_TraitDi[#Data],COLUMN(T_TraitDi[Colonne32]),FALSE)=0,"",TEXT(IFERROR(VLOOKUP(T_Convention[[#This Row],[NumL]],T_TraitDi[#Data],COLUMN(T_TraitDi[Colonne32]),FALSE),""),"[hh]:mm"))</f>
        <v>#N/A</v>
      </c>
      <c r="BI37" s="284" t="str">
        <f>IFERROR(VLOOKUP(T_Convention[[#This Row],[NumL]],T_TraitDi[#Data],COLUMN(T_TraitDi[NbJTW]),FALSE),"")</f>
        <v/>
      </c>
      <c r="BJ37" s="284" t="e">
        <f>IF(VLOOKUP(T_Convention[[#This Row],[NumL]],T_TraitDi[#Data],COLUMN(T_TraitDi[NbhTW]),FALSE)=0,"",TEXT(IFERROR(VLOOKUP(T_Convention[[#This Row],[NumL]],T_TraitDi[#Data],COLUMN(T_TraitDi[NbhTW]),FALSE),""),"[hh]:mm"))</f>
        <v>#N/A</v>
      </c>
      <c r="BK37" s="286" t="e">
        <f>IF(VLOOKUP(T_Convention[[#This Row],[NumL]],T_TraitDi[#Data],COLUMN(T_TraitDi[Nbhheb]),FALSE)=0,"",TEXT(IFERROR(VLOOKUP(T_Convention[[#This Row],[NumL]],T_TraitDi[#Data],COLUMN(T_TraitDi[Nbhheb]),FALSE),""),"[hh]:mm"))</f>
        <v>#N/A</v>
      </c>
      <c r="BL37" s="287" t="str">
        <f>IFERROR(VLOOKUP(VLOOKUP(T_Convention[[#This Row],[NumL]],T_TraitDi[#Data],COLUMN(T_TraitDi[Type1]),FALSE),TypeTW,2,FALSE),"")</f>
        <v/>
      </c>
      <c r="BM37" s="288" t="str">
        <f>IFERROR(VLOOKUP(T_Convention[[#This Row],[NumL]],T_TraitDi[#Data],COLUMN(T_TraitDi[Rue1]),FALSE),"")</f>
        <v/>
      </c>
      <c r="BN37" s="289" t="str">
        <f>IFERROR(VLOOKUP(T_Convention[[#This Row],[NumL]],T_TraitDi[#Data],COLUMN(T_TraitDi[CP1]),FALSE),"")</f>
        <v/>
      </c>
      <c r="BO37" s="282" t="str">
        <f>IFERROR(VLOOKUP(T_Convention[[#This Row],[NumL]],T_TraitDi[#Data],COLUMN(T_TraitDi[VILLE1]),FALSE),"")</f>
        <v/>
      </c>
      <c r="BP37" s="290" t="str">
        <f>IFERROR(VLOOKUP(VLOOKUP(T_Convention[[#This Row],[NumL]],T_TraitDi[#Data],COLUMN(T_TraitDi[Type2]),FALSE),TypeTW,2,FALSE),"")</f>
        <v/>
      </c>
      <c r="BQ37" s="182" t="str">
        <f>IFERROR(VLOOKUP(T_Convention[[#This Row],[NumL]],T_TraitDi[#Data],COLUMN(T_TraitDi[Rue2]),FALSE),"")</f>
        <v/>
      </c>
      <c r="BR37" s="173" t="str">
        <f>IFERROR(VLOOKUP(T_Convention[[#This Row],[NumL]],T_TraitDi[#Data],COLUMN(T_TraitDi[CP2]),FALSE),"")</f>
        <v/>
      </c>
      <c r="BS37" s="173" t="str">
        <f>IFERROR(VLOOKUP(T_Convention[[#This Row],[NumL]],T_TraitDi[#Data],COLUMN(T_TraitDi[VILLE2]),FALSE),"")</f>
        <v/>
      </c>
      <c r="BT37" s="182" t="str">
        <f>IF(VLOOKUP(T_Convention[[#This Row],[NumL]],T_Equipement[#Data],COLUMN(T_Equipement[PC]),FALSE)="","Aucun équipement spécifique directement lié au télétravail",VLOOKUP(T_Convention[[#This Row],[NumL]],T_Equipement[#Data],COLUMN(T_Equipement[PC]),FALSE))</f>
        <v xml:space="preserve">16-430	</v>
      </c>
      <c r="BU37" s="166" t="str">
        <f>IFERROR(IF(VLOOKUP(T_Convention[[#This Row],[NumL]],T_TraitDi[#Data],COLUMN(T_TraitDi[Plan]),FALSE)="OK","Un planning spécifique de télétravail est annexé à la présente convention.",""),"")</f>
        <v/>
      </c>
      <c r="BV37" s="185"/>
      <c r="BW37" s="164" t="e">
        <f>IF(VLOOKUP(T_Convention[[#This Row],[NumL]],T_suiviDi[#Data],COLUMN(T_suiviDi[Entité]),FALSE)="","",VLOOKUP(T_Convention[[#This Row],[NumL]],T_suiviDi[#Data],COLUMN(T_suiviDi[Entité]),FALSE))</f>
        <v>#N/A</v>
      </c>
      <c r="BX37" s="164" t="str">
        <f>IF(VLOOKUP(T_Convention[[#This Row],[NumL]],T_Commission[#Data],COLUMN(T_Commission[envoi confirm TW]),FALSE)="","",VLOOKUP(T_Convention[[#This Row],[NumL]],T_Commission[#Data],COLUMN(T_Commission[envoi confirm TW]),FALSE))</f>
        <v>Oui</v>
      </c>
      <c r="BY3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7" s="264">
        <f>VLOOKUP(T_Convention[[#This Row],[NumL]],T_Commission[#Data],COLUMN(T_Commission[Commentaire]),FALSE)</f>
        <v>0</v>
      </c>
      <c r="CA37" s="254" t="str">
        <f>IF(VLOOKUP(T_Convention[[#This Row],[NumL]],T_Commission[#Data],COLUMN(T_Commission[Encadrant Email]),FALSE)="","",VLOOKUP(T_Convention[[#This Row],[NumL]],T_Commission[#Data],COLUMN(T_Commission[Encadrant Email]),FALSE))</f>
        <v/>
      </c>
      <c r="CB37" s="352" t="e">
        <f>VLOOKUP(T_Convention[[#This Row],[NumL]],T_TraitDi[#Data],COLUMN(T_TraitDi[NbJTot]),FALSE)</f>
        <v>#N/A</v>
      </c>
      <c r="CC37" s="352" t="e">
        <f>VLOOKUP(T_Convention[[#This Row],[NumL]],T_TraitDi[#Data],COLUMN(T_TraitDi[Reg Ponct]),FALSE)</f>
        <v>#N/A</v>
      </c>
      <c r="CD37" s="348" t="str">
        <f>IF(T_Convention[[#This Row],[Final]]&lt;&gt;"",VLOOKUP(T_Convention[[#This Row],[NumL]],T_suiviDi[#Data],COLUMN((T_suiviDi[Statut])),FALSE),"")</f>
        <v/>
      </c>
    </row>
    <row r="38" spans="1:82" s="106" customFormat="1" ht="18.75" customHeight="1" x14ac:dyDescent="0.25">
      <c r="A38" s="160">
        <v>6</v>
      </c>
      <c r="B38" s="161" t="str">
        <f>VLOOKUP(T_Convention[[#This Row],[NumL]],T_Commission[#Data],COLUMN(T_Commission[FINAL]),FALSE)</f>
        <v/>
      </c>
      <c r="C38" s="162"/>
      <c r="D38" s="95" t="e">
        <f>IF(VLOOKUP(T_Convention[[#This Row],[NumL]],T_TraitDi[#Data],COLUMN(T_TraitDi[WebC]),FALSE)="","",VLOOKUP(T_Convention[[#This Row],[NumL]],T_TraitDi[#Data],COLUMN(T_TraitDi[WebC]),FALSE))</f>
        <v>#N/A</v>
      </c>
      <c r="E38" s="163" t="str">
        <f t="shared" si="0"/>
        <v>12 janvier 2021</v>
      </c>
      <c r="F38" s="282" t="str">
        <f>IF(T_Convention[[#This Row],[Final]]&lt;&gt;"",VLOOKUP(T_Convention[[#This Row],[NumL]],T_suiviDi[#Data],COLUMN((T_suiviDi[Civ.])),FALSE),"")</f>
        <v/>
      </c>
      <c r="G38" s="283" t="str">
        <f>IF(T_Convention[[#This Row],[Final]]&lt;&gt;"",VLOOKUP(T_Convention[[#This Row],[NumL]],T_suiviDi[#Data],COLUMN((T_suiviDi[Nom])),FALSE),"")</f>
        <v/>
      </c>
      <c r="H38" s="282" t="str">
        <f>IF(T_Convention[[#This Row],[Final]]&lt;&gt;"",VLOOKUP(T_Convention[[#This Row],[NumL]],T_suiviDi[#Data],COLUMN((T_suiviDi[Prénom])),FALSE),"")</f>
        <v/>
      </c>
      <c r="I38" s="282" t="e">
        <f>VLOOKUP(T_Convention[[#This Row],[NumL]],T_suiviDi[#Data],COLUMN((T_suiviDi[[#This Row],[Email]])),FALSE)</f>
        <v>#VALUE!</v>
      </c>
      <c r="J38" s="282" t="e">
        <f>IF(VLOOKUP(T_Convention[[#This Row],[NumL]],T_suiviDi[#Data],COLUMN(T_suiviDi[[#This Row],[Fonction]]),FALSE)="","",VLOOKUP(T_Convention[[#This Row],[NumL]],T_suiviDi[#Data],COLUMN(T_suiviDi[[#This Row],[Fonction]]),FALSE))</f>
        <v>#VALUE!</v>
      </c>
      <c r="K38" s="282" t="e">
        <f>IF(VLOOKUP(T_Convention[[#This Row],[NumL]],T_suiviDi[#Data],COLUMN(T_suiviDi[[#This Row],[Grade]]),FALSE)="","",VLOOKUP(T_Convention[[#This Row],[NumL]],T_suiviDi[#Data],COLUMN(T_suiviDi[[#This Row],[Grade]]),FALSE))</f>
        <v>#VALUE!</v>
      </c>
      <c r="L38" s="282" t="e">
        <f>IF(VLOOKUP(T_Convention[[#This Row],[NumL]],T_suiviDi[#Data],COLUMN(T_suiviDi[[#This Row],[Service ]]),FALSE)="","",VLOOKUP(T_Convention[[#This Row],[NumL]],T_suiviDi[#Data],COLUMN(T_suiviDi[[#This Row],[Service ]]),FALSE))</f>
        <v>#VALUE!</v>
      </c>
      <c r="M38" s="164" t="str">
        <f t="shared" si="1"/>
        <v>01 septembre 2021</v>
      </c>
      <c r="N38" s="164" t="str">
        <f t="shared" si="2"/>
        <v>30 novembre 2021</v>
      </c>
      <c r="O38" s="284" t="str">
        <f t="shared" si="3"/>
        <v>30 novembre 2021</v>
      </c>
      <c r="P38" s="282" t="e">
        <f>IF(VLOOKUP(T_Convention[[#This Row],[NumL]],T_TraitDi[#Data],COLUMN(T_TraitDi[M1]),FALSE)="","",VLOOKUP(T_Convention[[#This Row],[NumL]],T_TraitDi[#Data],COLUMN(T_TraitDi[M1]),FALSE))</f>
        <v>#N/A</v>
      </c>
      <c r="Q38" s="282" t="e">
        <f>IF(VLOOKUP(T_Convention[[#This Row],[NumL]],T_TraitDi[#Data],COLUMN(T_TraitDi[M2]),FALSE)="","",VLOOKUP(T_Convention[[#This Row],[NumL]],T_TraitDi[#Data],COLUMN(T_TraitDi[M2]),FALSE))</f>
        <v>#N/A</v>
      </c>
      <c r="R38" s="282" t="e">
        <f>IF(VLOOKUP(T_Convention[[#This Row],[NumL]],T_TraitDi[#Data],COLUMN(T_TraitDi[M3]),FALSE)="","",VLOOKUP(T_Convention[[#This Row],[NumL]],T_TraitDi[#Data],COLUMN(T_TraitDi[M3]),FALSE))</f>
        <v>#N/A</v>
      </c>
      <c r="S38" s="282" t="e">
        <f>IF(VLOOKUP(T_Convention[[#This Row],[NumL]],T_TraitDi[#Data],COLUMN(T_TraitDi[M4]),FALSE)="","",VLOOKUP(T_Convention[[#This Row],[NumL]],T_TraitDi[#Data],COLUMN(T_TraitDi[M4]),FALSE))</f>
        <v>#N/A</v>
      </c>
      <c r="T38" s="282" t="e">
        <f>IF(VLOOKUP(T_Convention[[#This Row],[NumL]],T_TraitDi[#Data],COLUMN(T_TraitDi[M5]),FALSE)="","",VLOOKUP(T_Convention[[#This Row],[NumL]],T_TraitDi[#Data],COLUMN(T_TraitDi[M5]),FALSE))</f>
        <v>#N/A</v>
      </c>
      <c r="U38" s="282" t="e">
        <f>IF(VLOOKUP(T_Convention[[#This Row],[NumL]],T_TraitDi[#Data],COLUMN(T_TraitDi[M6]),FALSE)="","",VLOOKUP(T_Convention[[#This Row],[NumL]],T_TraitDi[#Data],COLUMN(T_TraitDi[M6]),FALSE))</f>
        <v>#N/A</v>
      </c>
      <c r="V38" s="176" t="e">
        <f t="shared" si="4"/>
        <v>#N/A</v>
      </c>
      <c r="W38" s="284" t="str">
        <f>IFERROR(TEXT(VLOOKUP(T_Convention[[#This Row],[NumL]],T_TraitDi[#Data],COLUMN(T_TraitDi[Q2]),FALSE),"###%"),"")</f>
        <v/>
      </c>
      <c r="X38" s="97" t="e">
        <f>VLOOKUP(T_Convention[[#This Row],[NumL]],T_TraitDi[#Data],COLUMN(T_TraitDi[Reg Ponct]),FALSE)</f>
        <v>#N/A</v>
      </c>
      <c r="Y38" s="97" t="e">
        <f>VLOOKUP(T_Convention[NumL],T_TraitDi[#Data],COLUMN(T_TraitDi[Jours flottants]),FALSE)</f>
        <v>#N/A</v>
      </c>
      <c r="Z38" s="284" t="str">
        <f>IFERROR(VLOOKUP(T_Convention[[#This Row],[NumL]],T_TraitDi[#Data],COLUMN(T_TraitDi[Lundi]),FALSE),"")</f>
        <v/>
      </c>
      <c r="AA38" s="284" t="e">
        <f>IF(VLOOKUP(T_Convention[[#This Row],[NumL]],T_TraitDi[#Data],COLUMN(T_TraitDi[Colonne3]),FALSE)=0,"",TEXT(IFERROR(VLOOKUP(T_Convention[[#This Row],[NumL]],T_TraitDi[#Data],COLUMN(T_TraitDi[Colonne3]),FALSE),""),"[hh]:mm"))</f>
        <v>#N/A</v>
      </c>
      <c r="AB38" s="284" t="e">
        <f>IF(VLOOKUP(T_Convention[[#This Row],[NumL]],T_TraitDi[#Data],COLUMN(T_TraitDi[Colonne4]),FALSE)=0,"",TEXT(IFERROR(VLOOKUP(T_Convention[[#This Row],[NumL]],T_TraitDi[#Data],COLUMN(T_TraitDi[Colonne4]),FALSE),""),"[hh]:mm"))</f>
        <v>#N/A</v>
      </c>
      <c r="AC38" s="284" t="e">
        <f>IF(VLOOKUP(T_Convention[[#This Row],[NumL]],T_TraitDi[#Data],COLUMN(T_TraitDi[Colonne5]),FALSE)=0,"",TEXT(IFERROR(VLOOKUP(T_Convention[[#This Row],[NumL]],T_TraitDi[#Data],COLUMN(T_TraitDi[Colonne5]),FALSE),""),"[hh]:mm"))</f>
        <v>#N/A</v>
      </c>
      <c r="AD38" s="284" t="e">
        <f>IF(VLOOKUP(T_Convention[[#This Row],[NumL]],T_TraitDi[#Data],COLUMN(T_TraitDi[Colonne6]),FALSE)=0,"",TEXT(IFERROR(VLOOKUP(T_Convention[[#This Row],[NumL]],T_TraitDi[#Data],COLUMN(T_TraitDi[Colonne6]),FALSE),""),"[hh]:mm"))</f>
        <v>#N/A</v>
      </c>
      <c r="AE38" s="284" t="e">
        <f>IF(VLOOKUP(T_Convention[[#This Row],[NumL]],T_TraitDi[#Data],COLUMN(T_TraitDi[Colonne7]),FALSE)=0,"",TEXT(IFERROR(VLOOKUP(T_Convention[[#This Row],[NumL]],T_TraitDi[#Data],COLUMN(T_TraitDi[Colonne7]),FALSE),""),"[hh]:mm"))</f>
        <v>#N/A</v>
      </c>
      <c r="AF38" s="284" t="e">
        <f>IF(VLOOKUP(T_Convention[[#This Row],[NumL]],T_TraitDi[#Data],COLUMN(T_TraitDi[Colonne8]),FALSE)=0,"",TEXT(IFERROR(VLOOKUP(T_Convention[[#This Row],[NumL]],T_TraitDi[#Data],COLUMN(T_TraitDi[Colonne8]),FALSE),""),"[hh]:mm"))</f>
        <v>#N/A</v>
      </c>
      <c r="AG38" s="284" t="str">
        <f>IFERROR(VLOOKUP(T_Convention[[#This Row],[NumL]],T_TraitDi[#Data],COLUMN(T_TraitDi[Mardi]),FALSE),"")</f>
        <v/>
      </c>
      <c r="AH38" s="284" t="e">
        <f>IF(VLOOKUP(T_Convention[[#This Row],[NumL]],T_TraitDi[#Data],COLUMN(T_TraitDi[Colonne1]),FALSE)=0,"",TEXT(IFERROR(VLOOKUP(T_Convention[[#This Row],[NumL]],T_TraitDi[#Data],COLUMN(T_TraitDi[Colonne1]),FALSE),""),"[hh]:mm"))</f>
        <v>#N/A</v>
      </c>
      <c r="AI38" s="284" t="e">
        <f>IF(VLOOKUP(T_Convention[[#This Row],[NumL]],T_TraitDi[#Data],COLUMN(T_TraitDi[Colonne9]),FALSE)=0,"",TEXT(IFERROR(VLOOKUP(T_Convention[[#This Row],[NumL]],T_TraitDi[#Data],COLUMN(T_TraitDi[Colonne9]),FALSE),""),"[hh]:mm"))</f>
        <v>#N/A</v>
      </c>
      <c r="AJ38" s="284" t="str">
        <f>IFERROR(VLOOKUP(T_Convention[[#This Row],[NumL]],T_TraitDi[#Data],COLUMN(T_TraitDi[Colonne10]),FALSE),"")</f>
        <v/>
      </c>
      <c r="AK38" s="284" t="e">
        <f>IF(VLOOKUP(T_Convention[[#This Row],[NumL]],T_TraitDi[#Data],COLUMN(T_TraitDi[Colonne11]),FALSE)=0,"",TEXT(IFERROR(VLOOKUP(T_Convention[[#This Row],[NumL]],T_TraitDi[#Data],COLUMN(T_TraitDi[Colonne11]),FALSE),""),"[hh]:mm"))</f>
        <v>#N/A</v>
      </c>
      <c r="AL38" s="284" t="e">
        <f>IF(VLOOKUP(T_Convention[[#This Row],[NumL]],T_TraitDi[#Data],COLUMN(T_TraitDi[Colonne12]),FALSE)=0,"",TEXT(IFERROR(VLOOKUP(T_Convention[[#This Row],[NumL]],T_TraitDi[#Data],COLUMN(T_TraitDi[Colonne12]),FALSE),""),"[hh]:mm"))</f>
        <v>#N/A</v>
      </c>
      <c r="AM38" s="284" t="e">
        <f>IF(VLOOKUP(T_Convention[[#This Row],[NumL]],T_TraitDi[#Data],COLUMN(T_TraitDi[Colonne14]),FALSE)=0,"",TEXT(IFERROR(VLOOKUP(T_Convention[[#This Row],[NumL]],T_TraitDi[#Data],COLUMN(T_TraitDi[Colonne14]),FALSE),""),"[hh]:mm"))</f>
        <v>#N/A</v>
      </c>
      <c r="AN38" s="284" t="str">
        <f>IFERROR(VLOOKUP(T_Convention[[#This Row],[NumL]],T_TraitDi[#Data],COLUMN(T_TraitDi[Mercredi]),FALSE),"")</f>
        <v/>
      </c>
      <c r="AO38" s="284" t="e">
        <f>IF(VLOOKUP(T_Convention[[#This Row],[NumL]],T_TraitDi[#Data],COLUMN(T_TraitDi[Colonne15]),FALSE)=0,"",TEXT(IFERROR(VLOOKUP(T_Convention[[#This Row],[NumL]],T_TraitDi[#Data],COLUMN(T_TraitDi[Colonne15]),FALSE),""),"[hh]:mm"))</f>
        <v>#N/A</v>
      </c>
      <c r="AP38" s="284" t="e">
        <f>IF(VLOOKUP(T_Convention[[#This Row],[NumL]],T_TraitDi[#Data],COLUMN(T_TraitDi[Colonne16]),FALSE)=0,"",TEXT(IFERROR(VLOOKUP(T_Convention[[#This Row],[NumL]],T_TraitDi[#Data],COLUMN(T_TraitDi[Colonne16]),FALSE),""),"[hh]:mm"))</f>
        <v>#N/A</v>
      </c>
      <c r="AQ38" s="284" t="str">
        <f>IFERROR(VLOOKUP(T_Convention[[#This Row],[NumL]],T_TraitDi[#Data],COLUMN(T_TraitDi[Colonne17]),FALSE),"")</f>
        <v/>
      </c>
      <c r="AR38" s="284" t="e">
        <f>IF(VLOOKUP(T_Convention[[#This Row],[NumL]],T_TraitDi[#Data],COLUMN(T_TraitDi[Colonne18]),FALSE)=0,"",TEXT(IFERROR(VLOOKUP(T_Convention[[#This Row],[NumL]],T_TraitDi[#Data],COLUMN(T_TraitDi[Colonne18]),FALSE),""),"[hh]:mm"))</f>
        <v>#N/A</v>
      </c>
      <c r="AS38" s="284" t="e">
        <f>IF(VLOOKUP(T_Convention[[#This Row],[NumL]],T_TraitDi[#Data],COLUMN(T_TraitDi[Colonne19]),FALSE)=0,"",TEXT(IFERROR(VLOOKUP(T_Convention[[#This Row],[NumL]],T_TraitDi[#Data],COLUMN(T_TraitDi[Colonne19]),FALSE),""),"[hh]:mm"))</f>
        <v>#N/A</v>
      </c>
      <c r="AT38" s="284" t="e">
        <f>IF(VLOOKUP(T_Convention[[#This Row],[NumL]],T_TraitDi[#Data],COLUMN(T_TraitDi[Colonne20]),FALSE)=0,"",TEXT(IFERROR(VLOOKUP(T_Convention[[#This Row],[NumL]],T_TraitDi[#Data],COLUMN(T_TraitDi[Colonne20]),FALSE),""),"[hh]:mm"))</f>
        <v>#N/A</v>
      </c>
      <c r="AU38" s="284" t="str">
        <f>IFERROR(VLOOKUP(T_Convention[[#This Row],[NumL]],T_TraitDi[#Data],COLUMN(T_TraitDi[Jeudi]),FALSE),"")</f>
        <v/>
      </c>
      <c r="AV38" s="284" t="e">
        <f>IF(VLOOKUP(T_Convention[[#This Row],[NumL]],T_TraitDi[#Data],COLUMN(T_TraitDi[Colonne21]),FALSE)=0,"",TEXT(IFERROR(VLOOKUP(T_Convention[[#This Row],[NumL]],T_TraitDi[#Data],COLUMN(T_TraitDi[Colonne21]),FALSE),""),"[hh]:mm"))</f>
        <v>#N/A</v>
      </c>
      <c r="AW38" s="284" t="e">
        <f>IF(VLOOKUP(T_Convention[[#This Row],[NumL]],T_TraitDi[#Data],COLUMN(T_TraitDi[Colonne22]),FALSE)=0,"",TEXT(IFERROR(VLOOKUP(T_Convention[[#This Row],[NumL]],T_TraitDi[#Data],COLUMN(T_TraitDi[Colonne22]),FALSE),""),"[hh]:mm"))</f>
        <v>#N/A</v>
      </c>
      <c r="AX38" s="284" t="str">
        <f>IFERROR(VLOOKUP(T_Convention[[#This Row],[NumL]],T_TraitDi[#Data],COLUMN(T_TraitDi[Colonne23]),FALSE),"")</f>
        <v/>
      </c>
      <c r="AY38" s="284" t="e">
        <f>IF(VLOOKUP(T_Convention[[#This Row],[NumL]],T_TraitDi[#Data],COLUMN(T_TraitDi[Colonne24]),FALSE)=0,"",TEXT(IFERROR(VLOOKUP(T_Convention[[#This Row],[NumL]],T_TraitDi[#Data],COLUMN(T_TraitDi[Colonne24]),FALSE),""),"[hh]:mm"))</f>
        <v>#N/A</v>
      </c>
      <c r="AZ38" s="284" t="e">
        <f>IF(VLOOKUP(T_Convention[[#This Row],[NumL]],T_TraitDi[#Data],COLUMN(T_TraitDi[Colonne25]),FALSE)=0,"",TEXT(IFERROR(VLOOKUP(T_Convention[[#This Row],[NumL]],T_TraitDi[#Data],COLUMN(T_TraitDi[Colonne25]),FALSE),""),"[hh]:mm"))</f>
        <v>#N/A</v>
      </c>
      <c r="BA38" s="284" t="e">
        <f>IF(VLOOKUP(T_Convention[[#This Row],[NumL]],T_TraitDi[#Data],COLUMN(T_TraitDi[Colonne26]),FALSE)=0,"",TEXT(IFERROR(VLOOKUP(T_Convention[[#This Row],[NumL]],T_TraitDi[#Data],COLUMN(T_TraitDi[Colonne26]),FALSE),""),"[hh]:mm"))</f>
        <v>#N/A</v>
      </c>
      <c r="BB38" s="284" t="str">
        <f>IFERROR(VLOOKUP(T_Convention[[#This Row],[NumL]],T_TraitDi[#Data],COLUMN(T_TraitDi[Vendredi]),FALSE),"")</f>
        <v/>
      </c>
      <c r="BC38" s="284" t="e">
        <f>IF(VLOOKUP(T_Convention[[#This Row],[NumL]],T_TraitDi[#Data],COLUMN(T_TraitDi[Colonne27]),FALSE)=0,"",TEXT(IFERROR(VLOOKUP(T_Convention[[#This Row],[NumL]],T_TraitDi[#Data],COLUMN(T_TraitDi[Colonne27]),FALSE),""),"[hh]:mm"))</f>
        <v>#N/A</v>
      </c>
      <c r="BD38" s="284" t="e">
        <f>IF(VLOOKUP(T_Convention[[#This Row],[NumL]],T_TraitDi[#Data],COLUMN(T_TraitDi[Colonne28]),FALSE)=0,"",TEXT(IFERROR(VLOOKUP(T_Convention[[#This Row],[NumL]],T_TraitDi[#Data],COLUMN(T_TraitDi[Colonne28]),FALSE),""),"[hh]:mm"))</f>
        <v>#N/A</v>
      </c>
      <c r="BE38" s="284" t="str">
        <f>IFERROR(VLOOKUP(T_Convention[[#This Row],[NumL]],T_TraitDi[#Data],COLUMN(T_TraitDi[Colonne29]),FALSE),"")</f>
        <v/>
      </c>
      <c r="BF38" s="284" t="e">
        <f>IF(VLOOKUP(T_Convention[[#This Row],[NumL]],T_TraitDi[#Data],COLUMN(T_TraitDi[Colonne30]),FALSE)=0,"",TEXT(IFERROR(VLOOKUP(T_Convention[[#This Row],[NumL]],T_TraitDi[#Data],COLUMN(T_TraitDi[Colonne30]),FALSE),""),"[hh]:mm"))</f>
        <v>#N/A</v>
      </c>
      <c r="BG38" s="284" t="e">
        <f>IF(VLOOKUP(T_Convention[[#This Row],[NumL]],T_TraitDi[#Data],COLUMN(T_TraitDi[Colonne31]),FALSE)=0,"",TEXT(IFERROR(VLOOKUP(T_Convention[[#This Row],[NumL]],T_TraitDi[#Data],COLUMN(T_TraitDi[Colonne31]),FALSE),""),"[hh]:mm"))</f>
        <v>#N/A</v>
      </c>
      <c r="BH38" s="284" t="e">
        <f>IF(VLOOKUP(T_Convention[[#This Row],[NumL]],T_TraitDi[#Data],COLUMN(T_TraitDi[Colonne32]),FALSE)=0,"",TEXT(IFERROR(VLOOKUP(T_Convention[[#This Row],[NumL]],T_TraitDi[#Data],COLUMN(T_TraitDi[Colonne32]),FALSE),""),"[hh]:mm"))</f>
        <v>#N/A</v>
      </c>
      <c r="BI38" s="284" t="str">
        <f>IFERROR(VLOOKUP(T_Convention[[#This Row],[NumL]],T_TraitDi[#Data],COLUMN(T_TraitDi[NbJTW]),FALSE),"")</f>
        <v/>
      </c>
      <c r="BJ38" s="284" t="e">
        <f>IF(VLOOKUP(T_Convention[[#This Row],[NumL]],T_TraitDi[#Data],COLUMN(T_TraitDi[NbhTW]),FALSE)=0,"",TEXT(IFERROR(VLOOKUP(T_Convention[[#This Row],[NumL]],T_TraitDi[#Data],COLUMN(T_TraitDi[NbhTW]),FALSE),""),"[hh]:mm"))</f>
        <v>#N/A</v>
      </c>
      <c r="BK38" s="286" t="e">
        <f>IF(VLOOKUP(T_Convention[[#This Row],[NumL]],T_TraitDi[#Data],COLUMN(T_TraitDi[Nbhheb]),FALSE)=0,"",TEXT(IFERROR(VLOOKUP(T_Convention[[#This Row],[NumL]],T_TraitDi[#Data],COLUMN(T_TraitDi[Nbhheb]),FALSE),""),"[hh]:mm"))</f>
        <v>#N/A</v>
      </c>
      <c r="BL38" s="287" t="str">
        <f>IFERROR(VLOOKUP(VLOOKUP(T_Convention[[#This Row],[NumL]],T_TraitDi[#Data],COLUMN(T_TraitDi[Type1]),FALSE),TypeTW,2,FALSE),"")</f>
        <v/>
      </c>
      <c r="BM38" s="288" t="str">
        <f>IFERROR(VLOOKUP(T_Convention[[#This Row],[NumL]],T_TraitDi[#Data],COLUMN(T_TraitDi[Rue1]),FALSE),"")</f>
        <v/>
      </c>
      <c r="BN38" s="289" t="str">
        <f>IFERROR(VLOOKUP(T_Convention[[#This Row],[NumL]],T_TraitDi[#Data],COLUMN(T_TraitDi[CP1]),FALSE),"")</f>
        <v/>
      </c>
      <c r="BO38" s="282" t="str">
        <f>IFERROR(VLOOKUP(T_Convention[[#This Row],[NumL]],T_TraitDi[#Data],COLUMN(T_TraitDi[VILLE1]),FALSE),"")</f>
        <v/>
      </c>
      <c r="BP38" s="290" t="str">
        <f>IFERROR(VLOOKUP(VLOOKUP(T_Convention[[#This Row],[NumL]],T_TraitDi[#Data],COLUMN(T_TraitDi[Type2]),FALSE),TypeTW,2,FALSE),"")</f>
        <v/>
      </c>
      <c r="BQ38" s="182" t="str">
        <f>IFERROR(VLOOKUP(T_Convention[[#This Row],[NumL]],T_TraitDi[#Data],COLUMN(T_TraitDi[Rue2]),FALSE),"")</f>
        <v/>
      </c>
      <c r="BR38" s="173" t="str">
        <f>IFERROR(VLOOKUP(T_Convention[[#This Row],[NumL]],T_TraitDi[#Data],COLUMN(T_TraitDi[CP2]),FALSE),"")</f>
        <v/>
      </c>
      <c r="BS38" s="173" t="str">
        <f>IFERROR(VLOOKUP(T_Convention[[#This Row],[NumL]],T_TraitDi[#Data],COLUMN(T_TraitDi[VILLE2]),FALSE),"")</f>
        <v/>
      </c>
      <c r="BT38" s="182" t="str">
        <f>IF(VLOOKUP(T_Convention[[#This Row],[NumL]],T_Equipement[#Data],COLUMN(T_Equipement[PC]),FALSE)="","Aucun équipement spécifique directement lié au télétravail",VLOOKUP(T_Convention[[#This Row],[NumL]],T_Equipement[#Data],COLUMN(T_Equipement[PC]),FALSE))</f>
        <v xml:space="preserve">20-290	</v>
      </c>
      <c r="BU38" s="166" t="str">
        <f>IFERROR(IF(VLOOKUP(T_Convention[[#This Row],[NumL]],T_TraitDi[#Data],COLUMN(T_TraitDi[Plan]),FALSE)="OK","Un planning spécifique de télétravail est annexé à la présente convention.",""),"")</f>
        <v/>
      </c>
      <c r="BV38" s="185" t="s">
        <v>3363</v>
      </c>
      <c r="BW38" s="164" t="e">
        <f>IF(VLOOKUP(T_Convention[[#This Row],[NumL]],T_suiviDi[#Data],COLUMN(T_suiviDi[Entité]),FALSE)="","",VLOOKUP(T_Convention[[#This Row],[NumL]],T_suiviDi[#Data],COLUMN(T_suiviDi[Entité]),FALSE))</f>
        <v>#N/A</v>
      </c>
      <c r="BX38" s="164" t="str">
        <f>IF(VLOOKUP(T_Convention[[#This Row],[NumL]],T_Commission[#Data],COLUMN(T_Commission[envoi confirm TW]),FALSE)="","",VLOOKUP(T_Convention[[#This Row],[NumL]],T_Commission[#Data],COLUMN(T_Commission[envoi confirm TW]),FALSE))</f>
        <v>Oui</v>
      </c>
      <c r="BY3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8" s="264">
        <f>VLOOKUP(T_Convention[[#This Row],[NumL]],T_Commission[#Data],COLUMN(T_Commission[Commentaire]),FALSE)</f>
        <v>0</v>
      </c>
      <c r="CA38" s="254" t="str">
        <f>IF(VLOOKUP(T_Convention[[#This Row],[NumL]],T_Commission[#Data],COLUMN(T_Commission[Encadrant Email]),FALSE)="","",VLOOKUP(T_Convention[[#This Row],[NumL]],T_Commission[#Data],COLUMN(T_Commission[Encadrant Email]),FALSE))</f>
        <v/>
      </c>
      <c r="CB38" s="352" t="e">
        <f>VLOOKUP(T_Convention[[#This Row],[NumL]],T_TraitDi[#Data],COLUMN(T_TraitDi[NbJTot]),FALSE)</f>
        <v>#N/A</v>
      </c>
      <c r="CC38" s="352" t="e">
        <f>VLOOKUP(T_Convention[[#This Row],[NumL]],T_TraitDi[#Data],COLUMN(T_TraitDi[Reg Ponct]),FALSE)</f>
        <v>#N/A</v>
      </c>
      <c r="CD38" s="348" t="str">
        <f>IF(T_Convention[[#This Row],[Final]]&lt;&gt;"",VLOOKUP(T_Convention[[#This Row],[NumL]],T_suiviDi[#Data],COLUMN((T_suiviDi[Statut])),FALSE),"")</f>
        <v/>
      </c>
    </row>
    <row r="39" spans="1:82" s="106" customFormat="1" ht="18.75" customHeight="1" x14ac:dyDescent="0.25">
      <c r="A39" s="160">
        <v>126</v>
      </c>
      <c r="B39" s="161" t="str">
        <f>VLOOKUP(T_Convention[[#This Row],[NumL]],T_Commission[#Data],COLUMN(T_Commission[FINAL]),FALSE)</f>
        <v/>
      </c>
      <c r="C39" s="162"/>
      <c r="D39" s="95" t="e">
        <f>IF(VLOOKUP(T_Convention[[#This Row],[NumL]],T_TraitDi[#Data],COLUMN(T_TraitDi[WebC]),FALSE)="","",VLOOKUP(T_Convention[[#This Row],[NumL]],T_TraitDi[#Data],COLUMN(T_TraitDi[WebC]),FALSE))</f>
        <v>#N/A</v>
      </c>
      <c r="E39" s="163" t="str">
        <f t="shared" si="0"/>
        <v>12 janvier 2021</v>
      </c>
      <c r="F39" s="282" t="str">
        <f>IF(T_Convention[[#This Row],[Final]]&lt;&gt;"",VLOOKUP(T_Convention[[#This Row],[NumL]],T_suiviDi[#Data],COLUMN((T_suiviDi[Civ.])),FALSE),"")</f>
        <v/>
      </c>
      <c r="G39" s="283" t="str">
        <f>IF(T_Convention[[#This Row],[Final]]&lt;&gt;"",VLOOKUP(T_Convention[[#This Row],[NumL]],T_suiviDi[#Data],COLUMN((T_suiviDi[Nom])),FALSE),"")</f>
        <v/>
      </c>
      <c r="H39" s="282" t="str">
        <f>IF(T_Convention[[#This Row],[Final]]&lt;&gt;"",VLOOKUP(T_Convention[[#This Row],[NumL]],T_suiviDi[#Data],COLUMN((T_suiviDi[Prénom])),FALSE),"")</f>
        <v/>
      </c>
      <c r="I39" s="282" t="e">
        <f>VLOOKUP(T_Convention[[#This Row],[NumL]],T_suiviDi[#Data],COLUMN((T_suiviDi[[#This Row],[Email]])),FALSE)</f>
        <v>#VALUE!</v>
      </c>
      <c r="J39" s="282" t="e">
        <f>IF(VLOOKUP(T_Convention[[#This Row],[NumL]],T_suiviDi[#Data],COLUMN(T_suiviDi[[#This Row],[Fonction]]),FALSE)="","",VLOOKUP(T_Convention[[#This Row],[NumL]],T_suiviDi[#Data],COLUMN(T_suiviDi[[#This Row],[Fonction]]),FALSE))</f>
        <v>#VALUE!</v>
      </c>
      <c r="K39" s="282" t="e">
        <f>IF(VLOOKUP(T_Convention[[#This Row],[NumL]],T_suiviDi[#Data],COLUMN(T_suiviDi[[#This Row],[Grade]]),FALSE)="","",VLOOKUP(T_Convention[[#This Row],[NumL]],T_suiviDi[#Data],COLUMN(T_suiviDi[[#This Row],[Grade]]),FALSE))</f>
        <v>#VALUE!</v>
      </c>
      <c r="L39" s="282" t="e">
        <f>IF(VLOOKUP(T_Convention[[#This Row],[NumL]],T_suiviDi[#Data],COLUMN(T_suiviDi[[#This Row],[Service ]]),FALSE)="","",VLOOKUP(T_Convention[[#This Row],[NumL]],T_suiviDi[#Data],COLUMN(T_suiviDi[[#This Row],[Service ]]),FALSE))</f>
        <v>#VALUE!</v>
      </c>
      <c r="M39" s="164" t="str">
        <f t="shared" si="1"/>
        <v>01 septembre 2021</v>
      </c>
      <c r="N39" s="164" t="str">
        <f t="shared" si="2"/>
        <v>30 novembre 2021</v>
      </c>
      <c r="O39" s="284" t="str">
        <f t="shared" si="3"/>
        <v>30 novembre 2021</v>
      </c>
      <c r="P39" s="282" t="e">
        <f>IF(VLOOKUP(T_Convention[[#This Row],[NumL]],T_TraitDi[#Data],COLUMN(T_TraitDi[M1]),FALSE)="","",VLOOKUP(T_Convention[[#This Row],[NumL]],T_TraitDi[#Data],COLUMN(T_TraitDi[M1]),FALSE))</f>
        <v>#N/A</v>
      </c>
      <c r="Q39" s="282" t="e">
        <f>IF(VLOOKUP(T_Convention[[#This Row],[NumL]],T_TraitDi[#Data],COLUMN(T_TraitDi[M2]),FALSE)="","",VLOOKUP(T_Convention[[#This Row],[NumL]],T_TraitDi[#Data],COLUMN(T_TraitDi[M2]),FALSE))</f>
        <v>#N/A</v>
      </c>
      <c r="R39" s="282" t="e">
        <f>IF(VLOOKUP(T_Convention[[#This Row],[NumL]],T_TraitDi[#Data],COLUMN(T_TraitDi[M3]),FALSE)="","",VLOOKUP(T_Convention[[#This Row],[NumL]],T_TraitDi[#Data],COLUMN(T_TraitDi[M3]),FALSE))</f>
        <v>#N/A</v>
      </c>
      <c r="S39" s="282" t="e">
        <f>IF(VLOOKUP(T_Convention[[#This Row],[NumL]],T_TraitDi[#Data],COLUMN(T_TraitDi[M4]),FALSE)="","",VLOOKUP(T_Convention[[#This Row],[NumL]],T_TraitDi[#Data],COLUMN(T_TraitDi[M4]),FALSE))</f>
        <v>#N/A</v>
      </c>
      <c r="T39" s="282" t="e">
        <f>IF(VLOOKUP(T_Convention[[#This Row],[NumL]],T_TraitDi[#Data],COLUMN(T_TraitDi[M5]),FALSE)="","",VLOOKUP(T_Convention[[#This Row],[NumL]],T_TraitDi[#Data],COLUMN(T_TraitDi[M5]),FALSE))</f>
        <v>#N/A</v>
      </c>
      <c r="U39" s="282" t="e">
        <f>IF(VLOOKUP(T_Convention[[#This Row],[NumL]],T_TraitDi[#Data],COLUMN(T_TraitDi[M6]),FALSE)="","",VLOOKUP(T_Convention[[#This Row],[NumL]],T_TraitDi[#Data],COLUMN(T_TraitDi[M6]),FALSE))</f>
        <v>#N/A</v>
      </c>
      <c r="V39" s="176" t="e">
        <f t="shared" si="4"/>
        <v>#N/A</v>
      </c>
      <c r="W39" s="284" t="str">
        <f>IFERROR(TEXT(VLOOKUP(T_Convention[[#This Row],[NumL]],T_TraitDi[#Data],COLUMN(T_TraitDi[Q2]),FALSE),"###%"),"")</f>
        <v/>
      </c>
      <c r="X39" s="97" t="e">
        <f>VLOOKUP(T_Convention[[#This Row],[NumL]],T_TraitDi[#Data],COLUMN(T_TraitDi[Reg Ponct]),FALSE)</f>
        <v>#N/A</v>
      </c>
      <c r="Y39" s="97" t="e">
        <f>VLOOKUP(T_Convention[NumL],T_TraitDi[#Data],COLUMN(T_TraitDi[Jours flottants]),FALSE)</f>
        <v>#N/A</v>
      </c>
      <c r="Z39" s="284" t="str">
        <f>IFERROR(VLOOKUP(T_Convention[[#This Row],[NumL]],T_TraitDi[#Data],COLUMN(T_TraitDi[Lundi]),FALSE),"")</f>
        <v/>
      </c>
      <c r="AA39" s="284" t="e">
        <f>IF(VLOOKUP(T_Convention[[#This Row],[NumL]],T_TraitDi[#Data],COLUMN(T_TraitDi[Colonne3]),FALSE)=0,"",TEXT(IFERROR(VLOOKUP(T_Convention[[#This Row],[NumL]],T_TraitDi[#Data],COLUMN(T_TraitDi[Colonne3]),FALSE),""),"[hh]:mm"))</f>
        <v>#N/A</v>
      </c>
      <c r="AB39" s="284" t="e">
        <f>IF(VLOOKUP(T_Convention[[#This Row],[NumL]],T_TraitDi[#Data],COLUMN(T_TraitDi[Colonne4]),FALSE)=0,"",TEXT(IFERROR(VLOOKUP(T_Convention[[#This Row],[NumL]],T_TraitDi[#Data],COLUMN(T_TraitDi[Colonne4]),FALSE),""),"[hh]:mm"))</f>
        <v>#N/A</v>
      </c>
      <c r="AC39" s="284" t="e">
        <f>IF(VLOOKUP(T_Convention[[#This Row],[NumL]],T_TraitDi[#Data],COLUMN(T_TraitDi[Colonne5]),FALSE)=0,"",TEXT(IFERROR(VLOOKUP(T_Convention[[#This Row],[NumL]],T_TraitDi[#Data],COLUMN(T_TraitDi[Colonne5]),FALSE),""),"[hh]:mm"))</f>
        <v>#N/A</v>
      </c>
      <c r="AD39" s="284" t="e">
        <f>IF(VLOOKUP(T_Convention[[#This Row],[NumL]],T_TraitDi[#Data],COLUMN(T_TraitDi[Colonne6]),FALSE)=0,"",TEXT(IFERROR(VLOOKUP(T_Convention[[#This Row],[NumL]],T_TraitDi[#Data],COLUMN(T_TraitDi[Colonne6]),FALSE),""),"[hh]:mm"))</f>
        <v>#N/A</v>
      </c>
      <c r="AE39" s="284" t="e">
        <f>IF(VLOOKUP(T_Convention[[#This Row],[NumL]],T_TraitDi[#Data],COLUMN(T_TraitDi[Colonne7]),FALSE)=0,"",TEXT(IFERROR(VLOOKUP(T_Convention[[#This Row],[NumL]],T_TraitDi[#Data],COLUMN(T_TraitDi[Colonne7]),FALSE),""),"[hh]:mm"))</f>
        <v>#N/A</v>
      </c>
      <c r="AF39" s="284" t="e">
        <f>IF(VLOOKUP(T_Convention[[#This Row],[NumL]],T_TraitDi[#Data],COLUMN(T_TraitDi[Colonne8]),FALSE)=0,"",TEXT(IFERROR(VLOOKUP(T_Convention[[#This Row],[NumL]],T_TraitDi[#Data],COLUMN(T_TraitDi[Colonne8]),FALSE),""),"[hh]:mm"))</f>
        <v>#N/A</v>
      </c>
      <c r="AG39" s="284" t="str">
        <f>IFERROR(VLOOKUP(T_Convention[[#This Row],[NumL]],T_TraitDi[#Data],COLUMN(T_TraitDi[Mardi]),FALSE),"")</f>
        <v/>
      </c>
      <c r="AH39" s="284" t="e">
        <f>IF(VLOOKUP(T_Convention[[#This Row],[NumL]],T_TraitDi[#Data],COLUMN(T_TraitDi[Colonne1]),FALSE)=0,"",TEXT(IFERROR(VLOOKUP(T_Convention[[#This Row],[NumL]],T_TraitDi[#Data],COLUMN(T_TraitDi[Colonne1]),FALSE),""),"[hh]:mm"))</f>
        <v>#N/A</v>
      </c>
      <c r="AI39" s="284" t="e">
        <f>IF(VLOOKUP(T_Convention[[#This Row],[NumL]],T_TraitDi[#Data],COLUMN(T_TraitDi[Colonne9]),FALSE)=0,"",TEXT(IFERROR(VLOOKUP(T_Convention[[#This Row],[NumL]],T_TraitDi[#Data],COLUMN(T_TraitDi[Colonne9]),FALSE),""),"[hh]:mm"))</f>
        <v>#N/A</v>
      </c>
      <c r="AJ39" s="284" t="str">
        <f>IFERROR(VLOOKUP(T_Convention[[#This Row],[NumL]],T_TraitDi[#Data],COLUMN(T_TraitDi[Colonne10]),FALSE),"")</f>
        <v/>
      </c>
      <c r="AK39" s="284" t="e">
        <f>IF(VLOOKUP(T_Convention[[#This Row],[NumL]],T_TraitDi[#Data],COLUMN(T_TraitDi[Colonne11]),FALSE)=0,"",TEXT(IFERROR(VLOOKUP(T_Convention[[#This Row],[NumL]],T_TraitDi[#Data],COLUMN(T_TraitDi[Colonne11]),FALSE),""),"[hh]:mm"))</f>
        <v>#N/A</v>
      </c>
      <c r="AL39" s="284" t="e">
        <f>IF(VLOOKUP(T_Convention[[#This Row],[NumL]],T_TraitDi[#Data],COLUMN(T_TraitDi[Colonne12]),FALSE)=0,"",TEXT(IFERROR(VLOOKUP(T_Convention[[#This Row],[NumL]],T_TraitDi[#Data],COLUMN(T_TraitDi[Colonne12]),FALSE),""),"[hh]:mm"))</f>
        <v>#N/A</v>
      </c>
      <c r="AM39" s="284" t="e">
        <f>IF(VLOOKUP(T_Convention[[#This Row],[NumL]],T_TraitDi[#Data],COLUMN(T_TraitDi[Colonne14]),FALSE)=0,"",TEXT(IFERROR(VLOOKUP(T_Convention[[#This Row],[NumL]],T_TraitDi[#Data],COLUMN(T_TraitDi[Colonne14]),FALSE),""),"[hh]:mm"))</f>
        <v>#N/A</v>
      </c>
      <c r="AN39" s="284" t="str">
        <f>IFERROR(VLOOKUP(T_Convention[[#This Row],[NumL]],T_TraitDi[#Data],COLUMN(T_TraitDi[Mercredi]),FALSE),"")</f>
        <v/>
      </c>
      <c r="AO39" s="284" t="e">
        <f>IF(VLOOKUP(T_Convention[[#This Row],[NumL]],T_TraitDi[#Data],COLUMN(T_TraitDi[Colonne15]),FALSE)=0,"",TEXT(IFERROR(VLOOKUP(T_Convention[[#This Row],[NumL]],T_TraitDi[#Data],COLUMN(T_TraitDi[Colonne15]),FALSE),""),"[hh]:mm"))</f>
        <v>#N/A</v>
      </c>
      <c r="AP39" s="284" t="e">
        <f>IF(VLOOKUP(T_Convention[[#This Row],[NumL]],T_TraitDi[#Data],COLUMN(T_TraitDi[Colonne16]),FALSE)=0,"",TEXT(IFERROR(VLOOKUP(T_Convention[[#This Row],[NumL]],T_TraitDi[#Data],COLUMN(T_TraitDi[Colonne16]),FALSE),""),"[hh]:mm"))</f>
        <v>#N/A</v>
      </c>
      <c r="AQ39" s="284" t="str">
        <f>IFERROR(VLOOKUP(T_Convention[[#This Row],[NumL]],T_TraitDi[#Data],COLUMN(T_TraitDi[Colonne17]),FALSE),"")</f>
        <v/>
      </c>
      <c r="AR39" s="284" t="e">
        <f>IF(VLOOKUP(T_Convention[[#This Row],[NumL]],T_TraitDi[#Data],COLUMN(T_TraitDi[Colonne18]),FALSE)=0,"",TEXT(IFERROR(VLOOKUP(T_Convention[[#This Row],[NumL]],T_TraitDi[#Data],COLUMN(T_TraitDi[Colonne18]),FALSE),""),"[hh]:mm"))</f>
        <v>#N/A</v>
      </c>
      <c r="AS39" s="284" t="e">
        <f>IF(VLOOKUP(T_Convention[[#This Row],[NumL]],T_TraitDi[#Data],COLUMN(T_TraitDi[Colonne19]),FALSE)=0,"",TEXT(IFERROR(VLOOKUP(T_Convention[[#This Row],[NumL]],T_TraitDi[#Data],COLUMN(T_TraitDi[Colonne19]),FALSE),""),"[hh]:mm"))</f>
        <v>#N/A</v>
      </c>
      <c r="AT39" s="284" t="e">
        <f>IF(VLOOKUP(T_Convention[[#This Row],[NumL]],T_TraitDi[#Data],COLUMN(T_TraitDi[Colonne20]),FALSE)=0,"",TEXT(IFERROR(VLOOKUP(T_Convention[[#This Row],[NumL]],T_TraitDi[#Data],COLUMN(T_TraitDi[Colonne20]),FALSE),""),"[hh]:mm"))</f>
        <v>#N/A</v>
      </c>
      <c r="AU39" s="284" t="str">
        <f>IFERROR(VLOOKUP(T_Convention[[#This Row],[NumL]],T_TraitDi[#Data],COLUMN(T_TraitDi[Jeudi]),FALSE),"")</f>
        <v/>
      </c>
      <c r="AV39" s="284" t="e">
        <f>IF(VLOOKUP(T_Convention[[#This Row],[NumL]],T_TraitDi[#Data],COLUMN(T_TraitDi[Colonne21]),FALSE)=0,"",TEXT(IFERROR(VLOOKUP(T_Convention[[#This Row],[NumL]],T_TraitDi[#Data],COLUMN(T_TraitDi[Colonne21]),FALSE),""),"[hh]:mm"))</f>
        <v>#N/A</v>
      </c>
      <c r="AW39" s="284" t="e">
        <f>IF(VLOOKUP(T_Convention[[#This Row],[NumL]],T_TraitDi[#Data],COLUMN(T_TraitDi[Colonne22]),FALSE)=0,"",TEXT(IFERROR(VLOOKUP(T_Convention[[#This Row],[NumL]],T_TraitDi[#Data],COLUMN(T_TraitDi[Colonne22]),FALSE),""),"[hh]:mm"))</f>
        <v>#N/A</v>
      </c>
      <c r="AX39" s="284" t="str">
        <f>IFERROR(VLOOKUP(T_Convention[[#This Row],[NumL]],T_TraitDi[#Data],COLUMN(T_TraitDi[Colonne23]),FALSE),"")</f>
        <v/>
      </c>
      <c r="AY39" s="284" t="e">
        <f>IF(VLOOKUP(T_Convention[[#This Row],[NumL]],T_TraitDi[#Data],COLUMN(T_TraitDi[Colonne24]),FALSE)=0,"",TEXT(IFERROR(VLOOKUP(T_Convention[[#This Row],[NumL]],T_TraitDi[#Data],COLUMN(T_TraitDi[Colonne24]),FALSE),""),"[hh]:mm"))</f>
        <v>#N/A</v>
      </c>
      <c r="AZ39" s="284" t="e">
        <f>IF(VLOOKUP(T_Convention[[#This Row],[NumL]],T_TraitDi[#Data],COLUMN(T_TraitDi[Colonne25]),FALSE)=0,"",TEXT(IFERROR(VLOOKUP(T_Convention[[#This Row],[NumL]],T_TraitDi[#Data],COLUMN(T_TraitDi[Colonne25]),FALSE),""),"[hh]:mm"))</f>
        <v>#N/A</v>
      </c>
      <c r="BA39" s="284" t="e">
        <f>IF(VLOOKUP(T_Convention[[#This Row],[NumL]],T_TraitDi[#Data],COLUMN(T_TraitDi[Colonne26]),FALSE)=0,"",TEXT(IFERROR(VLOOKUP(T_Convention[[#This Row],[NumL]],T_TraitDi[#Data],COLUMN(T_TraitDi[Colonne26]),FALSE),""),"[hh]:mm"))</f>
        <v>#N/A</v>
      </c>
      <c r="BB39" s="284" t="str">
        <f>IFERROR(VLOOKUP(T_Convention[[#This Row],[NumL]],T_TraitDi[#Data],COLUMN(T_TraitDi[Vendredi]),FALSE),"")</f>
        <v/>
      </c>
      <c r="BC39" s="284" t="e">
        <f>IF(VLOOKUP(T_Convention[[#This Row],[NumL]],T_TraitDi[#Data],COLUMN(T_TraitDi[Colonne27]),FALSE)=0,"",TEXT(IFERROR(VLOOKUP(T_Convention[[#This Row],[NumL]],T_TraitDi[#Data],COLUMN(T_TraitDi[Colonne27]),FALSE),""),"[hh]:mm"))</f>
        <v>#N/A</v>
      </c>
      <c r="BD39" s="284" t="e">
        <f>IF(VLOOKUP(T_Convention[[#This Row],[NumL]],T_TraitDi[#Data],COLUMN(T_TraitDi[Colonne28]),FALSE)=0,"",TEXT(IFERROR(VLOOKUP(T_Convention[[#This Row],[NumL]],T_TraitDi[#Data],COLUMN(T_TraitDi[Colonne28]),FALSE),""),"[hh]:mm"))</f>
        <v>#N/A</v>
      </c>
      <c r="BE39" s="284" t="str">
        <f>IFERROR(VLOOKUP(T_Convention[[#This Row],[NumL]],T_TraitDi[#Data],COLUMN(T_TraitDi[Colonne29]),FALSE),"")</f>
        <v/>
      </c>
      <c r="BF39" s="284" t="e">
        <f>IF(VLOOKUP(T_Convention[[#This Row],[NumL]],T_TraitDi[#Data],COLUMN(T_TraitDi[Colonne30]),FALSE)=0,"",TEXT(IFERROR(VLOOKUP(T_Convention[[#This Row],[NumL]],T_TraitDi[#Data],COLUMN(T_TraitDi[Colonne30]),FALSE),""),"[hh]:mm"))</f>
        <v>#N/A</v>
      </c>
      <c r="BG39" s="284" t="e">
        <f>IF(VLOOKUP(T_Convention[[#This Row],[NumL]],T_TraitDi[#Data],COLUMN(T_TraitDi[Colonne31]),FALSE)=0,"",TEXT(IFERROR(VLOOKUP(T_Convention[[#This Row],[NumL]],T_TraitDi[#Data],COLUMN(T_TraitDi[Colonne31]),FALSE),""),"[hh]:mm"))</f>
        <v>#N/A</v>
      </c>
      <c r="BH39" s="284" t="e">
        <f>IF(VLOOKUP(T_Convention[[#This Row],[NumL]],T_TraitDi[#Data],COLUMN(T_TraitDi[Colonne32]),FALSE)=0,"",TEXT(IFERROR(VLOOKUP(T_Convention[[#This Row],[NumL]],T_TraitDi[#Data],COLUMN(T_TraitDi[Colonne32]),FALSE),""),"[hh]:mm"))</f>
        <v>#N/A</v>
      </c>
      <c r="BI39" s="284" t="str">
        <f>IFERROR(VLOOKUP(T_Convention[[#This Row],[NumL]],T_TraitDi[#Data],COLUMN(T_TraitDi[NbJTW]),FALSE),"")</f>
        <v/>
      </c>
      <c r="BJ39" s="284" t="e">
        <f>IF(VLOOKUP(T_Convention[[#This Row],[NumL]],T_TraitDi[#Data],COLUMN(T_TraitDi[NbhTW]),FALSE)=0,"",TEXT(IFERROR(VLOOKUP(T_Convention[[#This Row],[NumL]],T_TraitDi[#Data],COLUMN(T_TraitDi[NbhTW]),FALSE),""),"[hh]:mm"))</f>
        <v>#N/A</v>
      </c>
      <c r="BK39" s="286" t="e">
        <f>IF(VLOOKUP(T_Convention[[#This Row],[NumL]],T_TraitDi[#Data],COLUMN(T_TraitDi[Nbhheb]),FALSE)=0,"",TEXT(IFERROR(VLOOKUP(T_Convention[[#This Row],[NumL]],T_TraitDi[#Data],COLUMN(T_TraitDi[Nbhheb]),FALSE),""),"[hh]:mm"))</f>
        <v>#N/A</v>
      </c>
      <c r="BL39" s="287" t="str">
        <f>IFERROR(VLOOKUP(VLOOKUP(T_Convention[[#This Row],[NumL]],T_TraitDi[#Data],COLUMN(T_TraitDi[Type1]),FALSE),TypeTW,2,FALSE),"")</f>
        <v/>
      </c>
      <c r="BM39" s="288" t="str">
        <f>IFERROR(VLOOKUP(T_Convention[[#This Row],[NumL]],T_TraitDi[#Data],COLUMN(T_TraitDi[Rue1]),FALSE),"")</f>
        <v/>
      </c>
      <c r="BN39" s="289" t="str">
        <f>IFERROR(VLOOKUP(T_Convention[[#This Row],[NumL]],T_TraitDi[#Data],COLUMN(T_TraitDi[CP1]),FALSE),"")</f>
        <v/>
      </c>
      <c r="BO39" s="282" t="str">
        <f>IFERROR(VLOOKUP(T_Convention[[#This Row],[NumL]],T_TraitDi[#Data],COLUMN(T_TraitDi[VILLE1]),FALSE),"")</f>
        <v/>
      </c>
      <c r="BP39" s="290" t="str">
        <f>IFERROR(VLOOKUP(VLOOKUP(T_Convention[[#This Row],[NumL]],T_TraitDi[#Data],COLUMN(T_TraitDi[Type2]),FALSE),TypeTW,2,FALSE),"")</f>
        <v/>
      </c>
      <c r="BQ39" s="182" t="str">
        <f>IFERROR(VLOOKUP(T_Convention[[#This Row],[NumL]],T_TraitDi[#Data],COLUMN(T_TraitDi[Rue2]),FALSE),"")</f>
        <v/>
      </c>
      <c r="BR39" s="173" t="str">
        <f>IFERROR(VLOOKUP(T_Convention[[#This Row],[NumL]],T_TraitDi[#Data],COLUMN(T_TraitDi[CP2]),FALSE),"")</f>
        <v/>
      </c>
      <c r="BS39" s="173" t="str">
        <f>IFERROR(VLOOKUP(T_Convention[[#This Row],[NumL]],T_TraitDi[#Data],COLUMN(T_TraitDi[VILLE2]),FALSE),"")</f>
        <v/>
      </c>
      <c r="BT39" s="182" t="str">
        <f>IF(VLOOKUP(T_Convention[[#This Row],[NumL]],T_Equipement[#Data],COLUMN(T_Equipement[PC]),FALSE)="","Aucun équipement spécifique directement lié au télétravail",VLOOKUP(T_Convention[[#This Row],[NumL]],T_Equipement[#Data],COLUMN(T_Equipement[PC]),FALSE))</f>
        <v xml:space="preserve">17-035	</v>
      </c>
      <c r="BU39" s="166" t="str">
        <f>IFERROR(IF(VLOOKUP(T_Convention[[#This Row],[NumL]],T_TraitDi[#Data],COLUMN(T_TraitDi[Plan]),FALSE)="OK","Un planning spécifique de télétravail est annexé à la présente convention.",""),"")</f>
        <v/>
      </c>
      <c r="BV39" s="185" t="s">
        <v>3451</v>
      </c>
      <c r="BW39" s="164" t="e">
        <f>IF(VLOOKUP(T_Convention[[#This Row],[NumL]],T_suiviDi[#Data],COLUMN(T_suiviDi[Entité]),FALSE)="","",VLOOKUP(T_Convention[[#This Row],[NumL]],T_suiviDi[#Data],COLUMN(T_suiviDi[Entité]),FALSE))</f>
        <v>#N/A</v>
      </c>
      <c r="BX39" s="164" t="str">
        <f>IF(VLOOKUP(T_Convention[[#This Row],[NumL]],T_Commission[#Data],COLUMN(T_Commission[envoi confirm TW]),FALSE)="","",VLOOKUP(T_Convention[[#This Row],[NumL]],T_Commission[#Data],COLUMN(T_Commission[envoi confirm TW]),FALSE))</f>
        <v>Oui</v>
      </c>
      <c r="BY3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9" s="264">
        <f>VLOOKUP(T_Convention[[#This Row],[NumL]],T_Commission[#Data],COLUMN(T_Commission[Commentaire]),FALSE)</f>
        <v>0</v>
      </c>
      <c r="CA39" s="254" t="str">
        <f>IF(VLOOKUP(T_Convention[[#This Row],[NumL]],T_Commission[#Data],COLUMN(T_Commission[Encadrant Email]),FALSE)="","",VLOOKUP(T_Convention[[#This Row],[NumL]],T_Commission[#Data],COLUMN(T_Commission[Encadrant Email]),FALSE))</f>
        <v/>
      </c>
      <c r="CB39" s="352" t="e">
        <f>VLOOKUP(T_Convention[[#This Row],[NumL]],T_TraitDi[#Data],COLUMN(T_TraitDi[NbJTot]),FALSE)</f>
        <v>#N/A</v>
      </c>
      <c r="CC39" s="352" t="e">
        <f>VLOOKUP(T_Convention[[#This Row],[NumL]],T_TraitDi[#Data],COLUMN(T_TraitDi[Reg Ponct]),FALSE)</f>
        <v>#N/A</v>
      </c>
      <c r="CD39" s="348" t="str">
        <f>IF(T_Convention[[#This Row],[Final]]&lt;&gt;"",VLOOKUP(T_Convention[[#This Row],[NumL]],T_suiviDi[#Data],COLUMN((T_suiviDi[Statut])),FALSE),"")</f>
        <v/>
      </c>
    </row>
    <row r="40" spans="1:82" s="106" customFormat="1" ht="18.75" customHeight="1" x14ac:dyDescent="0.25">
      <c r="A40" s="160">
        <v>350</v>
      </c>
      <c r="B40" s="281" t="str">
        <f>VLOOKUP(T_Convention[[#This Row],[NumL]],T_Commission[#Data],COLUMN(T_Commission[FINAL]),FALSE)</f>
        <v/>
      </c>
      <c r="C40" s="162"/>
      <c r="D40" s="95" t="e">
        <f>IF(VLOOKUP(T_Convention[[#This Row],[NumL]],T_TraitDi[#Data],COLUMN(T_TraitDi[WebC]),FALSE)="","",VLOOKUP(T_Convention[[#This Row],[NumL]],T_TraitDi[#Data],COLUMN(T_TraitDi[WebC]),FALSE))</f>
        <v>#N/A</v>
      </c>
      <c r="E40" s="163" t="str">
        <f t="shared" si="0"/>
        <v>12 janvier 2021</v>
      </c>
      <c r="F40" s="282" t="str">
        <f>IF(T_Convention[[#This Row],[Final]]&lt;&gt;"",VLOOKUP(T_Convention[[#This Row],[NumL]],T_suiviDi[#Data],COLUMN((T_suiviDi[Civ.])),FALSE),"")</f>
        <v/>
      </c>
      <c r="G40" s="283" t="str">
        <f>IF(T_Convention[[#This Row],[Final]]&lt;&gt;"",VLOOKUP(T_Convention[[#This Row],[NumL]],T_suiviDi[#Data],COLUMN((T_suiviDi[Nom])),FALSE),"")</f>
        <v/>
      </c>
      <c r="H40" s="282" t="str">
        <f>IF(T_Convention[[#This Row],[Final]]&lt;&gt;"",VLOOKUP(T_Convention[[#This Row],[NumL]],T_suiviDi[#Data],COLUMN((T_suiviDi[Prénom])),FALSE),"")</f>
        <v/>
      </c>
      <c r="I40" s="282" t="e">
        <f>VLOOKUP(T_Convention[[#This Row],[NumL]],T_suiviDi[#Data],COLUMN((T_suiviDi[[#This Row],[Email]])),FALSE)</f>
        <v>#VALUE!</v>
      </c>
      <c r="J40" s="282" t="e">
        <f>IF(VLOOKUP(T_Convention[[#This Row],[NumL]],T_suiviDi[#Data],COLUMN(T_suiviDi[[#This Row],[Fonction]]),FALSE)="","",VLOOKUP(T_Convention[[#This Row],[NumL]],T_suiviDi[#Data],COLUMN(T_suiviDi[[#This Row],[Fonction]]),FALSE))</f>
        <v>#VALUE!</v>
      </c>
      <c r="K40" s="282" t="e">
        <f>IF(VLOOKUP(T_Convention[[#This Row],[NumL]],T_suiviDi[#Data],COLUMN(T_suiviDi[[#This Row],[Grade]]),FALSE)="","",VLOOKUP(T_Convention[[#This Row],[NumL]],T_suiviDi[#Data],COLUMN(T_suiviDi[[#This Row],[Grade]]),FALSE))</f>
        <v>#VALUE!</v>
      </c>
      <c r="L40" s="282" t="e">
        <f>IF(VLOOKUP(T_Convention[[#This Row],[NumL]],T_suiviDi[#Data],COLUMN(T_suiviDi[[#This Row],[Service ]]),FALSE)="","",VLOOKUP(T_Convention[[#This Row],[NumL]],T_suiviDi[#Data],COLUMN(T_suiviDi[[#This Row],[Service ]]),FALSE))</f>
        <v>#VALUE!</v>
      </c>
      <c r="M40" s="314" t="str">
        <f t="shared" si="1"/>
        <v>01 septembre 2021</v>
      </c>
      <c r="N40" s="314" t="str">
        <f t="shared" si="2"/>
        <v>30 novembre 2021</v>
      </c>
      <c r="O40" s="284" t="str">
        <f t="shared" si="3"/>
        <v>30 novembre 2021</v>
      </c>
      <c r="P40" s="282" t="e">
        <f>IF(VLOOKUP(T_Convention[[#This Row],[NumL]],T_TraitDi[#Data],COLUMN(T_TraitDi[M1]),FALSE)="","",VLOOKUP(T_Convention[[#This Row],[NumL]],T_TraitDi[#Data],COLUMN(T_TraitDi[M1]),FALSE))</f>
        <v>#N/A</v>
      </c>
      <c r="Q40" s="282" t="e">
        <f>IF(VLOOKUP(T_Convention[[#This Row],[NumL]],T_TraitDi[#Data],COLUMN(T_TraitDi[M2]),FALSE)="","",VLOOKUP(T_Convention[[#This Row],[NumL]],T_TraitDi[#Data],COLUMN(T_TraitDi[M2]),FALSE))</f>
        <v>#N/A</v>
      </c>
      <c r="R40" s="282" t="e">
        <f>IF(VLOOKUP(T_Convention[[#This Row],[NumL]],T_TraitDi[#Data],COLUMN(T_TraitDi[M3]),FALSE)="","",VLOOKUP(T_Convention[[#This Row],[NumL]],T_TraitDi[#Data],COLUMN(T_TraitDi[M3]),FALSE))</f>
        <v>#N/A</v>
      </c>
      <c r="S40" s="282" t="e">
        <f>IF(VLOOKUP(T_Convention[[#This Row],[NumL]],T_TraitDi[#Data],COLUMN(T_TraitDi[M4]),FALSE)="","",VLOOKUP(T_Convention[[#This Row],[NumL]],T_TraitDi[#Data],COLUMN(T_TraitDi[M4]),FALSE))</f>
        <v>#N/A</v>
      </c>
      <c r="T40" s="282" t="e">
        <f>IF(VLOOKUP(T_Convention[[#This Row],[NumL]],T_TraitDi[#Data],COLUMN(T_TraitDi[M5]),FALSE)="","",VLOOKUP(T_Convention[[#This Row],[NumL]],T_TraitDi[#Data],COLUMN(T_TraitDi[M5]),FALSE))</f>
        <v>#N/A</v>
      </c>
      <c r="U40" s="282" t="e">
        <f>IF(VLOOKUP(T_Convention[[#This Row],[NumL]],T_TraitDi[#Data],COLUMN(T_TraitDi[M6]),FALSE)="","",VLOOKUP(T_Convention[[#This Row],[NumL]],T_TraitDi[#Data],COLUMN(T_TraitDi[M6]),FALSE))</f>
        <v>#N/A</v>
      </c>
      <c r="V40" s="314" t="e">
        <f t="shared" si="4"/>
        <v>#N/A</v>
      </c>
      <c r="W40" s="284" t="str">
        <f>IFERROR(TEXT(VLOOKUP(T_Convention[[#This Row],[NumL]],T_TraitDi[#Data],COLUMN(T_TraitDi[Q2]),FALSE),"###%"),"")</f>
        <v/>
      </c>
      <c r="X40" s="285" t="e">
        <f>VLOOKUP(T_Convention[[#This Row],[NumL]],T_TraitDi[#Data],COLUMN(T_TraitDi[Reg Ponct]),FALSE)</f>
        <v>#N/A</v>
      </c>
      <c r="Y40" s="285" t="e">
        <f>VLOOKUP(T_Convention[NumL],T_TraitDi[#Data],COLUMN(T_TraitDi[Jours flottants]),FALSE)</f>
        <v>#N/A</v>
      </c>
      <c r="Z40" s="284" t="str">
        <f>IFERROR(VLOOKUP(T_Convention[[#This Row],[NumL]],T_TraitDi[#Data],COLUMN(T_TraitDi[Lundi]),FALSE),"")</f>
        <v/>
      </c>
      <c r="AA40" s="284" t="e">
        <f>IF(VLOOKUP(T_Convention[[#This Row],[NumL]],T_TraitDi[#Data],COLUMN(T_TraitDi[Colonne3]),FALSE)=0,"",TEXT(IFERROR(VLOOKUP(T_Convention[[#This Row],[NumL]],T_TraitDi[#Data],COLUMN(T_TraitDi[Colonne3]),FALSE),""),"[hh]:mm"))</f>
        <v>#N/A</v>
      </c>
      <c r="AB40" s="284" t="e">
        <f>IF(VLOOKUP(T_Convention[[#This Row],[NumL]],T_TraitDi[#Data],COLUMN(T_TraitDi[Colonne4]),FALSE)=0,"",TEXT(IFERROR(VLOOKUP(T_Convention[[#This Row],[NumL]],T_TraitDi[#Data],COLUMN(T_TraitDi[Colonne4]),FALSE),""),"[hh]:mm"))</f>
        <v>#N/A</v>
      </c>
      <c r="AC40" s="284" t="e">
        <f>IF(VLOOKUP(T_Convention[[#This Row],[NumL]],T_TraitDi[#Data],COLUMN(T_TraitDi[Colonne5]),FALSE)=0,"",TEXT(IFERROR(VLOOKUP(T_Convention[[#This Row],[NumL]],T_TraitDi[#Data],COLUMN(T_TraitDi[Colonne5]),FALSE),""),"[hh]:mm"))</f>
        <v>#N/A</v>
      </c>
      <c r="AD40" s="284" t="e">
        <f>IF(VLOOKUP(T_Convention[[#This Row],[NumL]],T_TraitDi[#Data],COLUMN(T_TraitDi[Colonne6]),FALSE)=0,"",TEXT(IFERROR(VLOOKUP(T_Convention[[#This Row],[NumL]],T_TraitDi[#Data],COLUMN(T_TraitDi[Colonne6]),FALSE),""),"[hh]:mm"))</f>
        <v>#N/A</v>
      </c>
      <c r="AE40" s="284" t="e">
        <f>IF(VLOOKUP(T_Convention[[#This Row],[NumL]],T_TraitDi[#Data],COLUMN(T_TraitDi[Colonne7]),FALSE)=0,"",TEXT(IFERROR(VLOOKUP(T_Convention[[#This Row],[NumL]],T_TraitDi[#Data],COLUMN(T_TraitDi[Colonne7]),FALSE),""),"[hh]:mm"))</f>
        <v>#N/A</v>
      </c>
      <c r="AF40" s="284" t="e">
        <f>IF(VLOOKUP(T_Convention[[#This Row],[NumL]],T_TraitDi[#Data],COLUMN(T_TraitDi[Colonne8]),FALSE)=0,"",TEXT(IFERROR(VLOOKUP(T_Convention[[#This Row],[NumL]],T_TraitDi[#Data],COLUMN(T_TraitDi[Colonne8]),FALSE),""),"[hh]:mm"))</f>
        <v>#N/A</v>
      </c>
      <c r="AG40" s="284" t="str">
        <f>IFERROR(VLOOKUP(T_Convention[[#This Row],[NumL]],T_TraitDi[#Data],COLUMN(T_TraitDi[Mardi]),FALSE),"")</f>
        <v/>
      </c>
      <c r="AH40" s="284" t="e">
        <f>IF(VLOOKUP(T_Convention[[#This Row],[NumL]],T_TraitDi[#Data],COLUMN(T_TraitDi[Colonne1]),FALSE)=0,"",TEXT(IFERROR(VLOOKUP(T_Convention[[#This Row],[NumL]],T_TraitDi[#Data],COLUMN(T_TraitDi[Colonne1]),FALSE),""),"[hh]:mm"))</f>
        <v>#N/A</v>
      </c>
      <c r="AI40" s="284" t="e">
        <f>IF(VLOOKUP(T_Convention[[#This Row],[NumL]],T_TraitDi[#Data],COLUMN(T_TraitDi[Colonne9]),FALSE)=0,"",TEXT(IFERROR(VLOOKUP(T_Convention[[#This Row],[NumL]],T_TraitDi[#Data],COLUMN(T_TraitDi[Colonne9]),FALSE),""),"[hh]:mm"))</f>
        <v>#N/A</v>
      </c>
      <c r="AJ40" s="284" t="str">
        <f>IFERROR(VLOOKUP(T_Convention[[#This Row],[NumL]],T_TraitDi[#Data],COLUMN(T_TraitDi[Colonne10]),FALSE),"")</f>
        <v/>
      </c>
      <c r="AK40" s="284" t="e">
        <f>IF(VLOOKUP(T_Convention[[#This Row],[NumL]],T_TraitDi[#Data],COLUMN(T_TraitDi[Colonne11]),FALSE)=0,"",TEXT(IFERROR(VLOOKUP(T_Convention[[#This Row],[NumL]],T_TraitDi[#Data],COLUMN(T_TraitDi[Colonne11]),FALSE),""),"[hh]:mm"))</f>
        <v>#N/A</v>
      </c>
      <c r="AL40" s="284" t="e">
        <f>IF(VLOOKUP(T_Convention[[#This Row],[NumL]],T_TraitDi[#Data],COLUMN(T_TraitDi[Colonne12]),FALSE)=0,"",TEXT(IFERROR(VLOOKUP(T_Convention[[#This Row],[NumL]],T_TraitDi[#Data],COLUMN(T_TraitDi[Colonne12]),FALSE),""),"[hh]:mm"))</f>
        <v>#N/A</v>
      </c>
      <c r="AM40" s="284" t="e">
        <f>IF(VLOOKUP(T_Convention[[#This Row],[NumL]],T_TraitDi[#Data],COLUMN(T_TraitDi[Colonne14]),FALSE)=0,"",TEXT(IFERROR(VLOOKUP(T_Convention[[#This Row],[NumL]],T_TraitDi[#Data],COLUMN(T_TraitDi[Colonne14]),FALSE),""),"[hh]:mm"))</f>
        <v>#N/A</v>
      </c>
      <c r="AN40" s="284" t="str">
        <f>IFERROR(VLOOKUP(T_Convention[[#This Row],[NumL]],T_TraitDi[#Data],COLUMN(T_TraitDi[Mercredi]),FALSE),"")</f>
        <v/>
      </c>
      <c r="AO40" s="284" t="e">
        <f>IF(VLOOKUP(T_Convention[[#This Row],[NumL]],T_TraitDi[#Data],COLUMN(T_TraitDi[Colonne15]),FALSE)=0,"",TEXT(IFERROR(VLOOKUP(T_Convention[[#This Row],[NumL]],T_TraitDi[#Data],COLUMN(T_TraitDi[Colonne15]),FALSE),""),"[hh]:mm"))</f>
        <v>#N/A</v>
      </c>
      <c r="AP40" s="284" t="e">
        <f>IF(VLOOKUP(T_Convention[[#This Row],[NumL]],T_TraitDi[#Data],COLUMN(T_TraitDi[Colonne16]),FALSE)=0,"",TEXT(IFERROR(VLOOKUP(T_Convention[[#This Row],[NumL]],T_TraitDi[#Data],COLUMN(T_TraitDi[Colonne16]),FALSE),""),"[hh]:mm"))</f>
        <v>#N/A</v>
      </c>
      <c r="AQ40" s="284" t="str">
        <f>IFERROR(VLOOKUP(T_Convention[[#This Row],[NumL]],T_TraitDi[#Data],COLUMN(T_TraitDi[Colonne17]),FALSE),"")</f>
        <v/>
      </c>
      <c r="AR40" s="284" t="e">
        <f>IF(VLOOKUP(T_Convention[[#This Row],[NumL]],T_TraitDi[#Data],COLUMN(T_TraitDi[Colonne18]),FALSE)=0,"",TEXT(IFERROR(VLOOKUP(T_Convention[[#This Row],[NumL]],T_TraitDi[#Data],COLUMN(T_TraitDi[Colonne18]),FALSE),""),"[hh]:mm"))</f>
        <v>#N/A</v>
      </c>
      <c r="AS40" s="284" t="e">
        <f>IF(VLOOKUP(T_Convention[[#This Row],[NumL]],T_TraitDi[#Data],COLUMN(T_TraitDi[Colonne19]),FALSE)=0,"",TEXT(IFERROR(VLOOKUP(T_Convention[[#This Row],[NumL]],T_TraitDi[#Data],COLUMN(T_TraitDi[Colonne19]),FALSE),""),"[hh]:mm"))</f>
        <v>#N/A</v>
      </c>
      <c r="AT40" s="284" t="e">
        <f>IF(VLOOKUP(T_Convention[[#This Row],[NumL]],T_TraitDi[#Data],COLUMN(T_TraitDi[Colonne20]),FALSE)=0,"",TEXT(IFERROR(VLOOKUP(T_Convention[[#This Row],[NumL]],T_TraitDi[#Data],COLUMN(T_TraitDi[Colonne20]),FALSE),""),"[hh]:mm"))</f>
        <v>#N/A</v>
      </c>
      <c r="AU40" s="284" t="str">
        <f>IFERROR(VLOOKUP(T_Convention[[#This Row],[NumL]],T_TraitDi[#Data],COLUMN(T_TraitDi[Jeudi]),FALSE),"")</f>
        <v/>
      </c>
      <c r="AV40" s="284" t="e">
        <f>IF(VLOOKUP(T_Convention[[#This Row],[NumL]],T_TraitDi[#Data],COLUMN(T_TraitDi[Colonne21]),FALSE)=0,"",TEXT(IFERROR(VLOOKUP(T_Convention[[#This Row],[NumL]],T_TraitDi[#Data],COLUMN(T_TraitDi[Colonne21]),FALSE),""),"[hh]:mm"))</f>
        <v>#N/A</v>
      </c>
      <c r="AW40" s="284" t="e">
        <f>IF(VLOOKUP(T_Convention[[#This Row],[NumL]],T_TraitDi[#Data],COLUMN(T_TraitDi[Colonne22]),FALSE)=0,"",TEXT(IFERROR(VLOOKUP(T_Convention[[#This Row],[NumL]],T_TraitDi[#Data],COLUMN(T_TraitDi[Colonne22]),FALSE),""),"[hh]:mm"))</f>
        <v>#N/A</v>
      </c>
      <c r="AX40" s="284" t="str">
        <f>IFERROR(VLOOKUP(T_Convention[[#This Row],[NumL]],T_TraitDi[#Data],COLUMN(T_TraitDi[Colonne23]),FALSE),"")</f>
        <v/>
      </c>
      <c r="AY40" s="284" t="e">
        <f>IF(VLOOKUP(T_Convention[[#This Row],[NumL]],T_TraitDi[#Data],COLUMN(T_TraitDi[Colonne24]),FALSE)=0,"",TEXT(IFERROR(VLOOKUP(T_Convention[[#This Row],[NumL]],T_TraitDi[#Data],COLUMN(T_TraitDi[Colonne24]),FALSE),""),"[hh]:mm"))</f>
        <v>#N/A</v>
      </c>
      <c r="AZ40" s="284" t="e">
        <f>IF(VLOOKUP(T_Convention[[#This Row],[NumL]],T_TraitDi[#Data],COLUMN(T_TraitDi[Colonne25]),FALSE)=0,"",TEXT(IFERROR(VLOOKUP(T_Convention[[#This Row],[NumL]],T_TraitDi[#Data],COLUMN(T_TraitDi[Colonne25]),FALSE),""),"[hh]:mm"))</f>
        <v>#N/A</v>
      </c>
      <c r="BA40" s="284" t="e">
        <f>IF(VLOOKUP(T_Convention[[#This Row],[NumL]],T_TraitDi[#Data],COLUMN(T_TraitDi[Colonne26]),FALSE)=0,"",TEXT(IFERROR(VLOOKUP(T_Convention[[#This Row],[NumL]],T_TraitDi[#Data],COLUMN(T_TraitDi[Colonne26]),FALSE),""),"[hh]:mm"))</f>
        <v>#N/A</v>
      </c>
      <c r="BB40" s="284" t="str">
        <f>IFERROR(VLOOKUP(T_Convention[[#This Row],[NumL]],T_TraitDi[#Data],COLUMN(T_TraitDi[Vendredi]),FALSE),"")</f>
        <v/>
      </c>
      <c r="BC40" s="284" t="e">
        <f>IF(VLOOKUP(T_Convention[[#This Row],[NumL]],T_TraitDi[#Data],COLUMN(T_TraitDi[Colonne27]),FALSE)=0,"",TEXT(IFERROR(VLOOKUP(T_Convention[[#This Row],[NumL]],T_TraitDi[#Data],COLUMN(T_TraitDi[Colonne27]),FALSE),""),"[hh]:mm"))</f>
        <v>#N/A</v>
      </c>
      <c r="BD40" s="284" t="e">
        <f>IF(VLOOKUP(T_Convention[[#This Row],[NumL]],T_TraitDi[#Data],COLUMN(T_TraitDi[Colonne28]),FALSE)=0,"",TEXT(IFERROR(VLOOKUP(T_Convention[[#This Row],[NumL]],T_TraitDi[#Data],COLUMN(T_TraitDi[Colonne28]),FALSE),""),"[hh]:mm"))</f>
        <v>#N/A</v>
      </c>
      <c r="BE40" s="284" t="str">
        <f>IFERROR(VLOOKUP(T_Convention[[#This Row],[NumL]],T_TraitDi[#Data],COLUMN(T_TraitDi[Colonne29]),FALSE),"")</f>
        <v/>
      </c>
      <c r="BF40" s="284" t="e">
        <f>IF(VLOOKUP(T_Convention[[#This Row],[NumL]],T_TraitDi[#Data],COLUMN(T_TraitDi[Colonne30]),FALSE)=0,"",TEXT(IFERROR(VLOOKUP(T_Convention[[#This Row],[NumL]],T_TraitDi[#Data],COLUMN(T_TraitDi[Colonne30]),FALSE),""),"[hh]:mm"))</f>
        <v>#N/A</v>
      </c>
      <c r="BG40" s="284" t="e">
        <f>IF(VLOOKUP(T_Convention[[#This Row],[NumL]],T_TraitDi[#Data],COLUMN(T_TraitDi[Colonne31]),FALSE)=0,"",TEXT(IFERROR(VLOOKUP(T_Convention[[#This Row],[NumL]],T_TraitDi[#Data],COLUMN(T_TraitDi[Colonne31]),FALSE),""),"[hh]:mm"))</f>
        <v>#N/A</v>
      </c>
      <c r="BH40" s="284" t="e">
        <f>IF(VLOOKUP(T_Convention[[#This Row],[NumL]],T_TraitDi[#Data],COLUMN(T_TraitDi[Colonne32]),FALSE)=0,"",TEXT(IFERROR(VLOOKUP(T_Convention[[#This Row],[NumL]],T_TraitDi[#Data],COLUMN(T_TraitDi[Colonne32]),FALSE),""),"[hh]:mm"))</f>
        <v>#N/A</v>
      </c>
      <c r="BI40" s="284" t="str">
        <f>IFERROR(VLOOKUP(T_Convention[[#This Row],[NumL]],T_TraitDi[#Data],COLUMN(T_TraitDi[NbJTW]),FALSE),"")</f>
        <v/>
      </c>
      <c r="BJ40" s="284" t="e">
        <f>IF(VLOOKUP(T_Convention[[#This Row],[NumL]],T_TraitDi[#Data],COLUMN(T_TraitDi[NbhTW]),FALSE)=0,"",TEXT(IFERROR(VLOOKUP(T_Convention[[#This Row],[NumL]],T_TraitDi[#Data],COLUMN(T_TraitDi[NbhTW]),FALSE),""),"[hh]:mm"))</f>
        <v>#N/A</v>
      </c>
      <c r="BK40" s="315" t="e">
        <f>IF(VLOOKUP(T_Convention[[#This Row],[NumL]],T_TraitDi[#Data],COLUMN(T_TraitDi[Nbhheb]),FALSE)=0,"",TEXT(IFERROR(VLOOKUP(T_Convention[[#This Row],[NumL]],T_TraitDi[#Data],COLUMN(T_TraitDi[Nbhheb]),FALSE),""),"[hh]:mm"))</f>
        <v>#N/A</v>
      </c>
      <c r="BL40" s="287" t="str">
        <f>IFERROR(VLOOKUP(VLOOKUP(T_Convention[[#This Row],[NumL]],T_TraitDi[#Data],COLUMN(T_TraitDi[Type1]),FALSE),TypeTW,2,FALSE),"")</f>
        <v/>
      </c>
      <c r="BM40" s="288" t="str">
        <f>IFERROR(VLOOKUP(T_Convention[[#This Row],[NumL]],T_TraitDi[#Data],COLUMN(T_TraitDi[Rue1]),FALSE),"")</f>
        <v/>
      </c>
      <c r="BN40" s="289" t="str">
        <f>IFERROR(VLOOKUP(T_Convention[[#This Row],[NumL]],T_TraitDi[#Data],COLUMN(T_TraitDi[CP1]),FALSE),"")</f>
        <v/>
      </c>
      <c r="BO40" s="282" t="str">
        <f>IFERROR(VLOOKUP(T_Convention[[#This Row],[NumL]],T_TraitDi[#Data],COLUMN(T_TraitDi[VILLE1]),FALSE),"")</f>
        <v/>
      </c>
      <c r="BP40" s="290" t="str">
        <f>IFERROR(VLOOKUP(VLOOKUP(T_Convention[[#This Row],[NumL]],T_TraitDi[#Data],COLUMN(T_TraitDi[Type2]),FALSE),TypeTW,2,FALSE),"")</f>
        <v/>
      </c>
      <c r="BQ40" s="310" t="str">
        <f>IFERROR(VLOOKUP(T_Convention[[#This Row],[NumL]],T_TraitDi[#Data],COLUMN(T_TraitDi[Rue2]),FALSE),"")</f>
        <v/>
      </c>
      <c r="BR40" s="290" t="str">
        <f>IFERROR(VLOOKUP(T_Convention[[#This Row],[NumL]],T_TraitDi[#Data],COLUMN(T_TraitDi[CP2]),FALSE),"")</f>
        <v/>
      </c>
      <c r="BS40" s="290" t="str">
        <f>IFERROR(VLOOKUP(T_Convention[[#This Row],[NumL]],T_TraitDi[#Data],COLUMN(T_TraitDi[VILLE2]),FALSE),"")</f>
        <v/>
      </c>
      <c r="BT4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40" s="314" t="str">
        <f>IFERROR(IF(VLOOKUP(T_Convention[[#This Row],[NumL]],T_TraitDi[#Data],COLUMN(T_TraitDi[Plan]),FALSE)="OK","Un planning spécifique de télétravail est annexé à la présente convention.",""),"")</f>
        <v/>
      </c>
      <c r="BV40" s="291"/>
      <c r="BW40" s="292" t="e">
        <f>IF(VLOOKUP(T_Convention[[#This Row],[NumL]],T_suiviDi[#Data],COLUMN(T_suiviDi[Entité]),FALSE)="","",VLOOKUP(T_Convention[[#This Row],[NumL]],T_suiviDi[#Data],COLUMN(T_suiviDi[Entité]),FALSE))</f>
        <v>#N/A</v>
      </c>
      <c r="BX40" s="311" t="str">
        <f>IF(VLOOKUP(T_Convention[[#This Row],[NumL]],T_Commission[#Data],COLUMN(T_Commission[envoi confirm TW]),FALSE)="","",VLOOKUP(T_Convention[[#This Row],[NumL]],T_Commission[#Data],COLUMN(T_Commission[envoi confirm TW]),FALSE))</f>
        <v>Oui</v>
      </c>
      <c r="BY4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0" s="265">
        <f>VLOOKUP(T_Convention[[#This Row],[NumL]],T_Commission[#Data],COLUMN(T_Commission[Commentaire]),FALSE)</f>
        <v>0</v>
      </c>
      <c r="CA40" s="255" t="str">
        <f>IF(VLOOKUP(T_Convention[[#This Row],[NumL]],T_Commission[#Data],COLUMN(T_Commission[Encadrant Email]),FALSE)="","",VLOOKUP(T_Convention[[#This Row],[NumL]],T_Commission[#Data],COLUMN(T_Commission[Encadrant Email]),FALSE))</f>
        <v/>
      </c>
      <c r="CB40" s="352" t="e">
        <f>VLOOKUP(T_Convention[[#This Row],[NumL]],T_TraitDi[#Data],COLUMN(T_TraitDi[NbJTot]),FALSE)</f>
        <v>#N/A</v>
      </c>
      <c r="CC40" s="352" t="e">
        <f>VLOOKUP(T_Convention[[#This Row],[NumL]],T_TraitDi[#Data],COLUMN(T_TraitDi[Reg Ponct]),FALSE)</f>
        <v>#N/A</v>
      </c>
      <c r="CD40" s="348" t="str">
        <f>IF(T_Convention[[#This Row],[Final]]&lt;&gt;"",VLOOKUP(T_Convention[[#This Row],[NumL]],T_suiviDi[#Data],COLUMN((T_suiviDi[Statut])),FALSE),"")</f>
        <v/>
      </c>
    </row>
    <row r="41" spans="1:82" s="106" customFormat="1" ht="18.75" customHeight="1" x14ac:dyDescent="0.25">
      <c r="A41" s="160">
        <v>205</v>
      </c>
      <c r="B41" s="161" t="str">
        <f>VLOOKUP(T_Convention[[#This Row],[NumL]],T_Commission[#Data],COLUMN(T_Commission[FINAL]),FALSE)</f>
        <v/>
      </c>
      <c r="C41" s="162"/>
      <c r="D41" s="95" t="e">
        <f>IF(VLOOKUP(T_Convention[[#This Row],[NumL]],T_TraitDi[#Data],COLUMN(T_TraitDi[WebC]),FALSE)="","",VLOOKUP(T_Convention[[#This Row],[NumL]],T_TraitDi[#Data],COLUMN(T_TraitDi[WebC]),FALSE))</f>
        <v>#N/A</v>
      </c>
      <c r="E41" s="163" t="str">
        <f t="shared" si="0"/>
        <v>12 janvier 2021</v>
      </c>
      <c r="F41" s="282" t="str">
        <f>IF(T_Convention[[#This Row],[Final]]&lt;&gt;"",VLOOKUP(T_Convention[[#This Row],[NumL]],T_suiviDi[#Data],COLUMN((T_suiviDi[Civ.])),FALSE),"")</f>
        <v/>
      </c>
      <c r="G41" s="283" t="str">
        <f>IF(T_Convention[[#This Row],[Final]]&lt;&gt;"",VLOOKUP(T_Convention[[#This Row],[NumL]],T_suiviDi[#Data],COLUMN((T_suiviDi[Nom])),FALSE),"")</f>
        <v/>
      </c>
      <c r="H41" s="282" t="str">
        <f>IF(T_Convention[[#This Row],[Final]]&lt;&gt;"",VLOOKUP(T_Convention[[#This Row],[NumL]],T_suiviDi[#Data],COLUMN((T_suiviDi[Prénom])),FALSE),"")</f>
        <v/>
      </c>
      <c r="I41" s="282" t="e">
        <f>VLOOKUP(T_Convention[[#This Row],[NumL]],T_suiviDi[#Data],COLUMN((T_suiviDi[[#This Row],[Email]])),FALSE)</f>
        <v>#VALUE!</v>
      </c>
      <c r="J41" s="282" t="e">
        <f>IF(VLOOKUP(T_Convention[[#This Row],[NumL]],T_suiviDi[#Data],COLUMN(T_suiviDi[[#This Row],[Fonction]]),FALSE)="","",VLOOKUP(T_Convention[[#This Row],[NumL]],T_suiviDi[#Data],COLUMN(T_suiviDi[[#This Row],[Fonction]]),FALSE))</f>
        <v>#VALUE!</v>
      </c>
      <c r="K41" s="282" t="e">
        <f>IF(VLOOKUP(T_Convention[[#This Row],[NumL]],T_suiviDi[#Data],COLUMN(T_suiviDi[[#This Row],[Grade]]),FALSE)="","",VLOOKUP(T_Convention[[#This Row],[NumL]],T_suiviDi[#Data],COLUMN(T_suiviDi[[#This Row],[Grade]]),FALSE))</f>
        <v>#VALUE!</v>
      </c>
      <c r="L41" s="282" t="e">
        <f>IF(VLOOKUP(T_Convention[[#This Row],[NumL]],T_suiviDi[#Data],COLUMN(T_suiviDi[[#This Row],[Service ]]),FALSE)="","",VLOOKUP(T_Convention[[#This Row],[NumL]],T_suiviDi[#Data],COLUMN(T_suiviDi[[#This Row],[Service ]]),FALSE))</f>
        <v>#VALUE!</v>
      </c>
      <c r="M41" s="164" t="str">
        <f t="shared" si="1"/>
        <v>01 septembre 2021</v>
      </c>
      <c r="N41" s="164" t="str">
        <f t="shared" si="2"/>
        <v>30 novembre 2021</v>
      </c>
      <c r="O41" s="284" t="str">
        <f t="shared" si="3"/>
        <v>30 novembre 2021</v>
      </c>
      <c r="P41" s="282" t="e">
        <f>IF(VLOOKUP(T_Convention[[#This Row],[NumL]],T_TraitDi[#Data],COLUMN(T_TraitDi[M1]),FALSE)="","",VLOOKUP(T_Convention[[#This Row],[NumL]],T_TraitDi[#Data],COLUMN(T_TraitDi[M1]),FALSE))</f>
        <v>#N/A</v>
      </c>
      <c r="Q41" s="282" t="e">
        <f>IF(VLOOKUP(T_Convention[[#This Row],[NumL]],T_TraitDi[#Data],COLUMN(T_TraitDi[M2]),FALSE)="","",VLOOKUP(T_Convention[[#This Row],[NumL]],T_TraitDi[#Data],COLUMN(T_TraitDi[M2]),FALSE))</f>
        <v>#N/A</v>
      </c>
      <c r="R41" s="282" t="e">
        <f>IF(VLOOKUP(T_Convention[[#This Row],[NumL]],T_TraitDi[#Data],COLUMN(T_TraitDi[M3]),FALSE)="","",VLOOKUP(T_Convention[[#This Row],[NumL]],T_TraitDi[#Data],COLUMN(T_TraitDi[M3]),FALSE))</f>
        <v>#N/A</v>
      </c>
      <c r="S41" s="282" t="e">
        <f>IF(VLOOKUP(T_Convention[[#This Row],[NumL]],T_TraitDi[#Data],COLUMN(T_TraitDi[M4]),FALSE)="","",VLOOKUP(T_Convention[[#This Row],[NumL]],T_TraitDi[#Data],COLUMN(T_TraitDi[M4]),FALSE))</f>
        <v>#N/A</v>
      </c>
      <c r="T41" s="282" t="e">
        <f>IF(VLOOKUP(T_Convention[[#This Row],[NumL]],T_TraitDi[#Data],COLUMN(T_TraitDi[M5]),FALSE)="","",VLOOKUP(T_Convention[[#This Row],[NumL]],T_TraitDi[#Data],COLUMN(T_TraitDi[M5]),FALSE))</f>
        <v>#N/A</v>
      </c>
      <c r="U41" s="282" t="e">
        <f>IF(VLOOKUP(T_Convention[[#This Row],[NumL]],T_TraitDi[#Data],COLUMN(T_TraitDi[M6]),FALSE)="","",VLOOKUP(T_Convention[[#This Row],[NumL]],T_TraitDi[#Data],COLUMN(T_TraitDi[M6]),FALSE))</f>
        <v>#N/A</v>
      </c>
      <c r="V41" s="176" t="e">
        <f t="shared" si="4"/>
        <v>#N/A</v>
      </c>
      <c r="W41" s="284" t="str">
        <f>IFERROR(TEXT(VLOOKUP(T_Convention[[#This Row],[NumL]],T_TraitDi[#Data],COLUMN(T_TraitDi[Q2]),FALSE),"###%"),"")</f>
        <v/>
      </c>
      <c r="X41" s="97" t="e">
        <f>VLOOKUP(T_Convention[[#This Row],[NumL]],T_TraitDi[#Data],COLUMN(T_TraitDi[Reg Ponct]),FALSE)</f>
        <v>#N/A</v>
      </c>
      <c r="Y41" s="97" t="e">
        <f>VLOOKUP(T_Convention[NumL],T_TraitDi[#Data],COLUMN(T_TraitDi[Jours flottants]),FALSE)</f>
        <v>#N/A</v>
      </c>
      <c r="Z41" s="284" t="str">
        <f>IFERROR(VLOOKUP(T_Convention[[#This Row],[NumL]],T_TraitDi[#Data],COLUMN(T_TraitDi[Lundi]),FALSE),"")</f>
        <v/>
      </c>
      <c r="AA41" s="284" t="e">
        <f>IF(VLOOKUP(T_Convention[[#This Row],[NumL]],T_TraitDi[#Data],COLUMN(T_TraitDi[Colonne3]),FALSE)=0,"",TEXT(IFERROR(VLOOKUP(T_Convention[[#This Row],[NumL]],T_TraitDi[#Data],COLUMN(T_TraitDi[Colonne3]),FALSE),""),"[hh]:mm"))</f>
        <v>#N/A</v>
      </c>
      <c r="AB41" s="284" t="e">
        <f>IF(VLOOKUP(T_Convention[[#This Row],[NumL]],T_TraitDi[#Data],COLUMN(T_TraitDi[Colonne4]),FALSE)=0,"",TEXT(IFERROR(VLOOKUP(T_Convention[[#This Row],[NumL]],T_TraitDi[#Data],COLUMN(T_TraitDi[Colonne4]),FALSE),""),"[hh]:mm"))</f>
        <v>#N/A</v>
      </c>
      <c r="AC41" s="284" t="e">
        <f>IF(VLOOKUP(T_Convention[[#This Row],[NumL]],T_TraitDi[#Data],COLUMN(T_TraitDi[Colonne5]),FALSE)=0,"",TEXT(IFERROR(VLOOKUP(T_Convention[[#This Row],[NumL]],T_TraitDi[#Data],COLUMN(T_TraitDi[Colonne5]),FALSE),""),"[hh]:mm"))</f>
        <v>#N/A</v>
      </c>
      <c r="AD41" s="284" t="e">
        <f>IF(VLOOKUP(T_Convention[[#This Row],[NumL]],T_TraitDi[#Data],COLUMN(T_TraitDi[Colonne6]),FALSE)=0,"",TEXT(IFERROR(VLOOKUP(T_Convention[[#This Row],[NumL]],T_TraitDi[#Data],COLUMN(T_TraitDi[Colonne6]),FALSE),""),"[hh]:mm"))</f>
        <v>#N/A</v>
      </c>
      <c r="AE41" s="284" t="e">
        <f>IF(VLOOKUP(T_Convention[[#This Row],[NumL]],T_TraitDi[#Data],COLUMN(T_TraitDi[Colonne7]),FALSE)=0,"",TEXT(IFERROR(VLOOKUP(T_Convention[[#This Row],[NumL]],T_TraitDi[#Data],COLUMN(T_TraitDi[Colonne7]),FALSE),""),"[hh]:mm"))</f>
        <v>#N/A</v>
      </c>
      <c r="AF41" s="284" t="e">
        <f>IF(VLOOKUP(T_Convention[[#This Row],[NumL]],T_TraitDi[#Data],COLUMN(T_TraitDi[Colonne8]),FALSE)=0,"",TEXT(IFERROR(VLOOKUP(T_Convention[[#This Row],[NumL]],T_TraitDi[#Data],COLUMN(T_TraitDi[Colonne8]),FALSE),""),"[hh]:mm"))</f>
        <v>#N/A</v>
      </c>
      <c r="AG41" s="284" t="str">
        <f>IFERROR(VLOOKUP(T_Convention[[#This Row],[NumL]],T_TraitDi[#Data],COLUMN(T_TraitDi[Mardi]),FALSE),"")</f>
        <v/>
      </c>
      <c r="AH41" s="284" t="e">
        <f>IF(VLOOKUP(T_Convention[[#This Row],[NumL]],T_TraitDi[#Data],COLUMN(T_TraitDi[Colonne1]),FALSE)=0,"",TEXT(IFERROR(VLOOKUP(T_Convention[[#This Row],[NumL]],T_TraitDi[#Data],COLUMN(T_TraitDi[Colonne1]),FALSE),""),"[hh]:mm"))</f>
        <v>#N/A</v>
      </c>
      <c r="AI41" s="284" t="e">
        <f>IF(VLOOKUP(T_Convention[[#This Row],[NumL]],T_TraitDi[#Data],COLUMN(T_TraitDi[Colonne9]),FALSE)=0,"",TEXT(IFERROR(VLOOKUP(T_Convention[[#This Row],[NumL]],T_TraitDi[#Data],COLUMN(T_TraitDi[Colonne9]),FALSE),""),"[hh]:mm"))</f>
        <v>#N/A</v>
      </c>
      <c r="AJ41" s="284" t="str">
        <f>IFERROR(VLOOKUP(T_Convention[[#This Row],[NumL]],T_TraitDi[#Data],COLUMN(T_TraitDi[Colonne10]),FALSE),"")</f>
        <v/>
      </c>
      <c r="AK41" s="284" t="e">
        <f>IF(VLOOKUP(T_Convention[[#This Row],[NumL]],T_TraitDi[#Data],COLUMN(T_TraitDi[Colonne11]),FALSE)=0,"",TEXT(IFERROR(VLOOKUP(T_Convention[[#This Row],[NumL]],T_TraitDi[#Data],COLUMN(T_TraitDi[Colonne11]),FALSE),""),"[hh]:mm"))</f>
        <v>#N/A</v>
      </c>
      <c r="AL41" s="284" t="e">
        <f>IF(VLOOKUP(T_Convention[[#This Row],[NumL]],T_TraitDi[#Data],COLUMN(T_TraitDi[Colonne12]),FALSE)=0,"",TEXT(IFERROR(VLOOKUP(T_Convention[[#This Row],[NumL]],T_TraitDi[#Data],COLUMN(T_TraitDi[Colonne12]),FALSE),""),"[hh]:mm"))</f>
        <v>#N/A</v>
      </c>
      <c r="AM41" s="284" t="e">
        <f>IF(VLOOKUP(T_Convention[[#This Row],[NumL]],T_TraitDi[#Data],COLUMN(T_TraitDi[Colonne14]),FALSE)=0,"",TEXT(IFERROR(VLOOKUP(T_Convention[[#This Row],[NumL]],T_TraitDi[#Data],COLUMN(T_TraitDi[Colonne14]),FALSE),""),"[hh]:mm"))</f>
        <v>#N/A</v>
      </c>
      <c r="AN41" s="284" t="str">
        <f>IFERROR(VLOOKUP(T_Convention[[#This Row],[NumL]],T_TraitDi[#Data],COLUMN(T_TraitDi[Mercredi]),FALSE),"")</f>
        <v/>
      </c>
      <c r="AO41" s="284" t="e">
        <f>IF(VLOOKUP(T_Convention[[#This Row],[NumL]],T_TraitDi[#Data],COLUMN(T_TraitDi[Colonne15]),FALSE)=0,"",TEXT(IFERROR(VLOOKUP(T_Convention[[#This Row],[NumL]],T_TraitDi[#Data],COLUMN(T_TraitDi[Colonne15]),FALSE),""),"[hh]:mm"))</f>
        <v>#N/A</v>
      </c>
      <c r="AP41" s="284" t="e">
        <f>IF(VLOOKUP(T_Convention[[#This Row],[NumL]],T_TraitDi[#Data],COLUMN(T_TraitDi[Colonne16]),FALSE)=0,"",TEXT(IFERROR(VLOOKUP(T_Convention[[#This Row],[NumL]],T_TraitDi[#Data],COLUMN(T_TraitDi[Colonne16]),FALSE),""),"[hh]:mm"))</f>
        <v>#N/A</v>
      </c>
      <c r="AQ41" s="284" t="str">
        <f>IFERROR(VLOOKUP(T_Convention[[#This Row],[NumL]],T_TraitDi[#Data],COLUMN(T_TraitDi[Colonne17]),FALSE),"")</f>
        <v/>
      </c>
      <c r="AR41" s="284" t="e">
        <f>IF(VLOOKUP(T_Convention[[#This Row],[NumL]],T_TraitDi[#Data],COLUMN(T_TraitDi[Colonne18]),FALSE)=0,"",TEXT(IFERROR(VLOOKUP(T_Convention[[#This Row],[NumL]],T_TraitDi[#Data],COLUMN(T_TraitDi[Colonne18]),FALSE),""),"[hh]:mm"))</f>
        <v>#N/A</v>
      </c>
      <c r="AS41" s="284" t="e">
        <f>IF(VLOOKUP(T_Convention[[#This Row],[NumL]],T_TraitDi[#Data],COLUMN(T_TraitDi[Colonne19]),FALSE)=0,"",TEXT(IFERROR(VLOOKUP(T_Convention[[#This Row],[NumL]],T_TraitDi[#Data],COLUMN(T_TraitDi[Colonne19]),FALSE),""),"[hh]:mm"))</f>
        <v>#N/A</v>
      </c>
      <c r="AT41" s="284" t="e">
        <f>IF(VLOOKUP(T_Convention[[#This Row],[NumL]],T_TraitDi[#Data],COLUMN(T_TraitDi[Colonne20]),FALSE)=0,"",TEXT(IFERROR(VLOOKUP(T_Convention[[#This Row],[NumL]],T_TraitDi[#Data],COLUMN(T_TraitDi[Colonne20]),FALSE),""),"[hh]:mm"))</f>
        <v>#N/A</v>
      </c>
      <c r="AU41" s="284" t="str">
        <f>IFERROR(VLOOKUP(T_Convention[[#This Row],[NumL]],T_TraitDi[#Data],COLUMN(T_TraitDi[Jeudi]),FALSE),"")</f>
        <v/>
      </c>
      <c r="AV41" s="284" t="e">
        <f>IF(VLOOKUP(T_Convention[[#This Row],[NumL]],T_TraitDi[#Data],COLUMN(T_TraitDi[Colonne21]),FALSE)=0,"",TEXT(IFERROR(VLOOKUP(T_Convention[[#This Row],[NumL]],T_TraitDi[#Data],COLUMN(T_TraitDi[Colonne21]),FALSE),""),"[hh]:mm"))</f>
        <v>#N/A</v>
      </c>
      <c r="AW41" s="284" t="e">
        <f>IF(VLOOKUP(T_Convention[[#This Row],[NumL]],T_TraitDi[#Data],COLUMN(T_TraitDi[Colonne22]),FALSE)=0,"",TEXT(IFERROR(VLOOKUP(T_Convention[[#This Row],[NumL]],T_TraitDi[#Data],COLUMN(T_TraitDi[Colonne22]),FALSE),""),"[hh]:mm"))</f>
        <v>#N/A</v>
      </c>
      <c r="AX41" s="284" t="str">
        <f>IFERROR(VLOOKUP(T_Convention[[#This Row],[NumL]],T_TraitDi[#Data],COLUMN(T_TraitDi[Colonne23]),FALSE),"")</f>
        <v/>
      </c>
      <c r="AY41" s="284" t="e">
        <f>IF(VLOOKUP(T_Convention[[#This Row],[NumL]],T_TraitDi[#Data],COLUMN(T_TraitDi[Colonne24]),FALSE)=0,"",TEXT(IFERROR(VLOOKUP(T_Convention[[#This Row],[NumL]],T_TraitDi[#Data],COLUMN(T_TraitDi[Colonne24]),FALSE),""),"[hh]:mm"))</f>
        <v>#N/A</v>
      </c>
      <c r="AZ41" s="284" t="e">
        <f>IF(VLOOKUP(T_Convention[[#This Row],[NumL]],T_TraitDi[#Data],COLUMN(T_TraitDi[Colonne25]),FALSE)=0,"",TEXT(IFERROR(VLOOKUP(T_Convention[[#This Row],[NumL]],T_TraitDi[#Data],COLUMN(T_TraitDi[Colonne25]),FALSE),""),"[hh]:mm"))</f>
        <v>#N/A</v>
      </c>
      <c r="BA41" s="284" t="e">
        <f>IF(VLOOKUP(T_Convention[[#This Row],[NumL]],T_TraitDi[#Data],COLUMN(T_TraitDi[Colonne26]),FALSE)=0,"",TEXT(IFERROR(VLOOKUP(T_Convention[[#This Row],[NumL]],T_TraitDi[#Data],COLUMN(T_TraitDi[Colonne26]),FALSE),""),"[hh]:mm"))</f>
        <v>#N/A</v>
      </c>
      <c r="BB41" s="284" t="str">
        <f>IFERROR(VLOOKUP(T_Convention[[#This Row],[NumL]],T_TraitDi[#Data],COLUMN(T_TraitDi[Vendredi]),FALSE),"")</f>
        <v/>
      </c>
      <c r="BC41" s="284" t="e">
        <f>IF(VLOOKUP(T_Convention[[#This Row],[NumL]],T_TraitDi[#Data],COLUMN(T_TraitDi[Colonne27]),FALSE)=0,"",TEXT(IFERROR(VLOOKUP(T_Convention[[#This Row],[NumL]],T_TraitDi[#Data],COLUMN(T_TraitDi[Colonne27]),FALSE),""),"[hh]:mm"))</f>
        <v>#N/A</v>
      </c>
      <c r="BD41" s="284" t="e">
        <f>IF(VLOOKUP(T_Convention[[#This Row],[NumL]],T_TraitDi[#Data],COLUMN(T_TraitDi[Colonne28]),FALSE)=0,"",TEXT(IFERROR(VLOOKUP(T_Convention[[#This Row],[NumL]],T_TraitDi[#Data],COLUMN(T_TraitDi[Colonne28]),FALSE),""),"[hh]:mm"))</f>
        <v>#N/A</v>
      </c>
      <c r="BE41" s="284" t="str">
        <f>IFERROR(VLOOKUP(T_Convention[[#This Row],[NumL]],T_TraitDi[#Data],COLUMN(T_TraitDi[Colonne29]),FALSE),"")</f>
        <v/>
      </c>
      <c r="BF41" s="284" t="e">
        <f>IF(VLOOKUP(T_Convention[[#This Row],[NumL]],T_TraitDi[#Data],COLUMN(T_TraitDi[Colonne30]),FALSE)=0,"",TEXT(IFERROR(VLOOKUP(T_Convention[[#This Row],[NumL]],T_TraitDi[#Data],COLUMN(T_TraitDi[Colonne30]),FALSE),""),"[hh]:mm"))</f>
        <v>#N/A</v>
      </c>
      <c r="BG41" s="284" t="e">
        <f>IF(VLOOKUP(T_Convention[[#This Row],[NumL]],T_TraitDi[#Data],COLUMN(T_TraitDi[Colonne31]),FALSE)=0,"",TEXT(IFERROR(VLOOKUP(T_Convention[[#This Row],[NumL]],T_TraitDi[#Data],COLUMN(T_TraitDi[Colonne31]),FALSE),""),"[hh]:mm"))</f>
        <v>#N/A</v>
      </c>
      <c r="BH41" s="284" t="e">
        <f>IF(VLOOKUP(T_Convention[[#This Row],[NumL]],T_TraitDi[#Data],COLUMN(T_TraitDi[Colonne32]),FALSE)=0,"",TEXT(IFERROR(VLOOKUP(T_Convention[[#This Row],[NumL]],T_TraitDi[#Data],COLUMN(T_TraitDi[Colonne32]),FALSE),""),"[hh]:mm"))</f>
        <v>#N/A</v>
      </c>
      <c r="BI41" s="284" t="str">
        <f>IFERROR(VLOOKUP(T_Convention[[#This Row],[NumL]],T_TraitDi[#Data],COLUMN(T_TraitDi[NbJTW]),FALSE),"")</f>
        <v/>
      </c>
      <c r="BJ41" s="284" t="e">
        <f>IF(VLOOKUP(T_Convention[[#This Row],[NumL]],T_TraitDi[#Data],COLUMN(T_TraitDi[NbhTW]),FALSE)=0,"",TEXT(IFERROR(VLOOKUP(T_Convention[[#This Row],[NumL]],T_TraitDi[#Data],COLUMN(T_TraitDi[NbhTW]),FALSE),""),"[hh]:mm"))</f>
        <v>#N/A</v>
      </c>
      <c r="BK41" s="286" t="e">
        <f>IF(VLOOKUP(T_Convention[[#This Row],[NumL]],T_TraitDi[#Data],COLUMN(T_TraitDi[Nbhheb]),FALSE)=0,"",TEXT(IFERROR(VLOOKUP(T_Convention[[#This Row],[NumL]],T_TraitDi[#Data],COLUMN(T_TraitDi[Nbhheb]),FALSE),""),"[hh]:mm"))</f>
        <v>#N/A</v>
      </c>
      <c r="BL41" s="287" t="str">
        <f>IFERROR(VLOOKUP(VLOOKUP(T_Convention[[#This Row],[NumL]],T_TraitDi[#Data],COLUMN(T_TraitDi[Type1]),FALSE),TypeTW,2,FALSE),"")</f>
        <v/>
      </c>
      <c r="BM41" s="288" t="str">
        <f>IFERROR(VLOOKUP(T_Convention[[#This Row],[NumL]],T_TraitDi[#Data],COLUMN(T_TraitDi[Rue1]),FALSE),"")</f>
        <v/>
      </c>
      <c r="BN41" s="289" t="str">
        <f>IFERROR(VLOOKUP(T_Convention[[#This Row],[NumL]],T_TraitDi[#Data],COLUMN(T_TraitDi[CP1]),FALSE),"")</f>
        <v/>
      </c>
      <c r="BO41" s="282" t="str">
        <f>IFERROR(VLOOKUP(T_Convention[[#This Row],[NumL]],T_TraitDi[#Data],COLUMN(T_TraitDi[VILLE1]),FALSE),"")</f>
        <v/>
      </c>
      <c r="BP41" s="290" t="str">
        <f>IFERROR(VLOOKUP(VLOOKUP(T_Convention[[#This Row],[NumL]],T_TraitDi[#Data],COLUMN(T_TraitDi[Type2]),FALSE),TypeTW,2,FALSE),"")</f>
        <v/>
      </c>
      <c r="BQ41" s="182" t="str">
        <f>IFERROR(VLOOKUP(T_Convention[[#This Row],[NumL]],T_TraitDi[#Data],COLUMN(T_TraitDi[Rue2]),FALSE),"")</f>
        <v/>
      </c>
      <c r="BR41" s="173" t="str">
        <f>IFERROR(VLOOKUP(T_Convention[[#This Row],[NumL]],T_TraitDi[#Data],COLUMN(T_TraitDi[CP2]),FALSE),"")</f>
        <v/>
      </c>
      <c r="BS41" s="173" t="str">
        <f>IFERROR(VLOOKUP(T_Convention[[#This Row],[NumL]],T_TraitDi[#Data],COLUMN(T_TraitDi[VILLE2]),FALSE),"")</f>
        <v/>
      </c>
      <c r="BT41" s="182" t="str">
        <f>IF(VLOOKUP(T_Convention[[#This Row],[NumL]],T_Equipement[#Data],COLUMN(T_Equipement[PC]),FALSE)="","Aucun équipement spécifique directement lié au télétravail",VLOOKUP(T_Convention[[#This Row],[NumL]],T_Equipement[#Data],COLUMN(T_Equipement[PC]),FALSE))</f>
        <v xml:space="preserve">20-274	</v>
      </c>
      <c r="BU41" s="166" t="str">
        <f>IFERROR(IF(VLOOKUP(T_Convention[[#This Row],[NumL]],T_TraitDi[#Data],COLUMN(T_TraitDi[Plan]),FALSE)="OK","Un planning spécifique de télétravail est annexé à la présente convention.",""),"")</f>
        <v/>
      </c>
      <c r="BV41" s="185" t="s">
        <v>3510</v>
      </c>
      <c r="BW41" s="164" t="e">
        <f>IF(VLOOKUP(T_Convention[[#This Row],[NumL]],T_suiviDi[#Data],COLUMN(T_suiviDi[Entité]),FALSE)="","",VLOOKUP(T_Convention[[#This Row],[NumL]],T_suiviDi[#Data],COLUMN(T_suiviDi[Entité]),FALSE))</f>
        <v>#N/A</v>
      </c>
      <c r="BX41" s="164" t="str">
        <f>IF(VLOOKUP(T_Convention[[#This Row],[NumL]],T_Commission[#Data],COLUMN(T_Commission[envoi confirm TW]),FALSE)="","",VLOOKUP(T_Convention[[#This Row],[NumL]],T_Commission[#Data],COLUMN(T_Commission[envoi confirm TW]),FALSE))</f>
        <v>Oui</v>
      </c>
      <c r="BY4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1" s="264">
        <f>VLOOKUP(T_Convention[[#This Row],[NumL]],T_Commission[#Data],COLUMN(T_Commission[Commentaire]),FALSE)</f>
        <v>0</v>
      </c>
      <c r="CA41" s="254" t="str">
        <f>IF(VLOOKUP(T_Convention[[#This Row],[NumL]],T_Commission[#Data],COLUMN(T_Commission[Encadrant Email]),FALSE)="","",VLOOKUP(T_Convention[[#This Row],[NumL]],T_Commission[#Data],COLUMN(T_Commission[Encadrant Email]),FALSE))</f>
        <v/>
      </c>
      <c r="CB41" s="352" t="e">
        <f>VLOOKUP(T_Convention[[#This Row],[NumL]],T_TraitDi[#Data],COLUMN(T_TraitDi[NbJTot]),FALSE)</f>
        <v>#N/A</v>
      </c>
      <c r="CC41" s="352" t="e">
        <f>VLOOKUP(T_Convention[[#This Row],[NumL]],T_TraitDi[#Data],COLUMN(T_TraitDi[Reg Ponct]),FALSE)</f>
        <v>#N/A</v>
      </c>
      <c r="CD41" s="348" t="str">
        <f>IF(T_Convention[[#This Row],[Final]]&lt;&gt;"",VLOOKUP(T_Convention[[#This Row],[NumL]],T_suiviDi[#Data],COLUMN((T_suiviDi[Statut])),FALSE),"")</f>
        <v/>
      </c>
    </row>
    <row r="42" spans="1:82" s="106" customFormat="1" ht="18.75" customHeight="1" x14ac:dyDescent="0.25">
      <c r="A42" s="160">
        <v>145</v>
      </c>
      <c r="B42" s="161" t="str">
        <f>VLOOKUP(T_Convention[[#This Row],[NumL]],T_Commission[#Data],COLUMN(T_Commission[FINAL]),FALSE)</f>
        <v/>
      </c>
      <c r="C42" s="162"/>
      <c r="D42" s="95" t="e">
        <f>IF(VLOOKUP(T_Convention[[#This Row],[NumL]],T_TraitDi[#Data],COLUMN(T_TraitDi[WebC]),FALSE)="","",VLOOKUP(T_Convention[[#This Row],[NumL]],T_TraitDi[#Data],COLUMN(T_TraitDi[WebC]),FALSE))</f>
        <v>#N/A</v>
      </c>
      <c r="E42" s="163" t="str">
        <f t="shared" si="0"/>
        <v>12 janvier 2021</v>
      </c>
      <c r="F42" s="282" t="str">
        <f>IF(T_Convention[[#This Row],[Final]]&lt;&gt;"",VLOOKUP(T_Convention[[#This Row],[NumL]],T_suiviDi[#Data],COLUMN((T_suiviDi[Civ.])),FALSE),"")</f>
        <v/>
      </c>
      <c r="G42" s="283" t="str">
        <f>IF(T_Convention[[#This Row],[Final]]&lt;&gt;"",VLOOKUP(T_Convention[[#This Row],[NumL]],T_suiviDi[#Data],COLUMN((T_suiviDi[Nom])),FALSE),"")</f>
        <v/>
      </c>
      <c r="H42" s="282" t="str">
        <f>IF(T_Convention[[#This Row],[Final]]&lt;&gt;"",VLOOKUP(T_Convention[[#This Row],[NumL]],T_suiviDi[#Data],COLUMN((T_suiviDi[Prénom])),FALSE),"")</f>
        <v/>
      </c>
      <c r="I42" s="282" t="e">
        <f>VLOOKUP(T_Convention[[#This Row],[NumL]],T_suiviDi[#Data],COLUMN((T_suiviDi[[#This Row],[Email]])),FALSE)</f>
        <v>#VALUE!</v>
      </c>
      <c r="J42" s="282" t="e">
        <f>IF(VLOOKUP(T_Convention[[#This Row],[NumL]],T_suiviDi[#Data],COLUMN(T_suiviDi[[#This Row],[Fonction]]),FALSE)="","",VLOOKUP(T_Convention[[#This Row],[NumL]],T_suiviDi[#Data],COLUMN(T_suiviDi[[#This Row],[Fonction]]),FALSE))</f>
        <v>#VALUE!</v>
      </c>
      <c r="K42" s="282" t="e">
        <f>IF(VLOOKUP(T_Convention[[#This Row],[NumL]],T_suiviDi[#Data],COLUMN(T_suiviDi[[#This Row],[Grade]]),FALSE)="","",VLOOKUP(T_Convention[[#This Row],[NumL]],T_suiviDi[#Data],COLUMN(T_suiviDi[[#This Row],[Grade]]),FALSE))</f>
        <v>#VALUE!</v>
      </c>
      <c r="L42" s="282" t="e">
        <f>IF(VLOOKUP(T_Convention[[#This Row],[NumL]],T_suiviDi[#Data],COLUMN(T_suiviDi[[#This Row],[Service ]]),FALSE)="","",VLOOKUP(T_Convention[[#This Row],[NumL]],T_suiviDi[#Data],COLUMN(T_suiviDi[[#This Row],[Service ]]),FALSE))</f>
        <v>#VALUE!</v>
      </c>
      <c r="M42" s="164" t="str">
        <f t="shared" si="1"/>
        <v>01 septembre 2021</v>
      </c>
      <c r="N42" s="164" t="str">
        <f t="shared" si="2"/>
        <v>30 novembre 2021</v>
      </c>
      <c r="O42" s="284" t="str">
        <f t="shared" si="3"/>
        <v>30 novembre 2021</v>
      </c>
      <c r="P42" s="282" t="e">
        <f>IF(VLOOKUP(T_Convention[[#This Row],[NumL]],T_TraitDi[#Data],COLUMN(T_TraitDi[M1]),FALSE)="","",VLOOKUP(T_Convention[[#This Row],[NumL]],T_TraitDi[#Data],COLUMN(T_TraitDi[M1]),FALSE))</f>
        <v>#N/A</v>
      </c>
      <c r="Q42" s="282" t="e">
        <f>IF(VLOOKUP(T_Convention[[#This Row],[NumL]],T_TraitDi[#Data],COLUMN(T_TraitDi[M2]),FALSE)="","",VLOOKUP(T_Convention[[#This Row],[NumL]],T_TraitDi[#Data],COLUMN(T_TraitDi[M2]),FALSE))</f>
        <v>#N/A</v>
      </c>
      <c r="R42" s="282" t="e">
        <f>IF(VLOOKUP(T_Convention[[#This Row],[NumL]],T_TraitDi[#Data],COLUMN(T_TraitDi[M3]),FALSE)="","",VLOOKUP(T_Convention[[#This Row],[NumL]],T_TraitDi[#Data],COLUMN(T_TraitDi[M3]),FALSE))</f>
        <v>#N/A</v>
      </c>
      <c r="S42" s="282" t="e">
        <f>IF(VLOOKUP(T_Convention[[#This Row],[NumL]],T_TraitDi[#Data],COLUMN(T_TraitDi[M4]),FALSE)="","",VLOOKUP(T_Convention[[#This Row],[NumL]],T_TraitDi[#Data],COLUMN(T_TraitDi[M4]),FALSE))</f>
        <v>#N/A</v>
      </c>
      <c r="T42" s="282" t="e">
        <f>IF(VLOOKUP(T_Convention[[#This Row],[NumL]],T_TraitDi[#Data],COLUMN(T_TraitDi[M5]),FALSE)="","",VLOOKUP(T_Convention[[#This Row],[NumL]],T_TraitDi[#Data],COLUMN(T_TraitDi[M5]),FALSE))</f>
        <v>#N/A</v>
      </c>
      <c r="U42" s="282" t="e">
        <f>IF(VLOOKUP(T_Convention[[#This Row],[NumL]],T_TraitDi[#Data],COLUMN(T_TraitDi[M6]),FALSE)="","",VLOOKUP(T_Convention[[#This Row],[NumL]],T_TraitDi[#Data],COLUMN(T_TraitDi[M6]),FALSE))</f>
        <v>#N/A</v>
      </c>
      <c r="V42" s="176" t="e">
        <f t="shared" si="4"/>
        <v>#N/A</v>
      </c>
      <c r="W42" s="284" t="str">
        <f>IFERROR(TEXT(VLOOKUP(T_Convention[[#This Row],[NumL]],T_TraitDi[#Data],COLUMN(T_TraitDi[Q2]),FALSE),"###%"),"")</f>
        <v/>
      </c>
      <c r="X42" s="97" t="e">
        <f>VLOOKUP(T_Convention[[#This Row],[NumL]],T_TraitDi[#Data],COLUMN(T_TraitDi[Reg Ponct]),FALSE)</f>
        <v>#N/A</v>
      </c>
      <c r="Y42" s="97" t="e">
        <f>VLOOKUP(T_Convention[NumL],T_TraitDi[#Data],COLUMN(T_TraitDi[Jours flottants]),FALSE)</f>
        <v>#N/A</v>
      </c>
      <c r="Z42" s="284" t="str">
        <f>IFERROR(VLOOKUP(T_Convention[[#This Row],[NumL]],T_TraitDi[#Data],COLUMN(T_TraitDi[Lundi]),FALSE),"")</f>
        <v/>
      </c>
      <c r="AA42" s="284" t="e">
        <f>IF(VLOOKUP(T_Convention[[#This Row],[NumL]],T_TraitDi[#Data],COLUMN(T_TraitDi[Colonne3]),FALSE)=0,"",TEXT(IFERROR(VLOOKUP(T_Convention[[#This Row],[NumL]],T_TraitDi[#Data],COLUMN(T_TraitDi[Colonne3]),FALSE),""),"[hh]:mm"))</f>
        <v>#N/A</v>
      </c>
      <c r="AB42" s="284" t="e">
        <f>IF(VLOOKUP(T_Convention[[#This Row],[NumL]],T_TraitDi[#Data],COLUMN(T_TraitDi[Colonne4]),FALSE)=0,"",TEXT(IFERROR(VLOOKUP(T_Convention[[#This Row],[NumL]],T_TraitDi[#Data],COLUMN(T_TraitDi[Colonne4]),FALSE),""),"[hh]:mm"))</f>
        <v>#N/A</v>
      </c>
      <c r="AC42" s="284" t="e">
        <f>IF(VLOOKUP(T_Convention[[#This Row],[NumL]],T_TraitDi[#Data],COLUMN(T_TraitDi[Colonne5]),FALSE)=0,"",TEXT(IFERROR(VLOOKUP(T_Convention[[#This Row],[NumL]],T_TraitDi[#Data],COLUMN(T_TraitDi[Colonne5]),FALSE),""),"[hh]:mm"))</f>
        <v>#N/A</v>
      </c>
      <c r="AD42" s="284" t="e">
        <f>IF(VLOOKUP(T_Convention[[#This Row],[NumL]],T_TraitDi[#Data],COLUMN(T_TraitDi[Colonne6]),FALSE)=0,"",TEXT(IFERROR(VLOOKUP(T_Convention[[#This Row],[NumL]],T_TraitDi[#Data],COLUMN(T_TraitDi[Colonne6]),FALSE),""),"[hh]:mm"))</f>
        <v>#N/A</v>
      </c>
      <c r="AE42" s="284" t="e">
        <f>IF(VLOOKUP(T_Convention[[#This Row],[NumL]],T_TraitDi[#Data],COLUMN(T_TraitDi[Colonne7]),FALSE)=0,"",TEXT(IFERROR(VLOOKUP(T_Convention[[#This Row],[NumL]],T_TraitDi[#Data],COLUMN(T_TraitDi[Colonne7]),FALSE),""),"[hh]:mm"))</f>
        <v>#N/A</v>
      </c>
      <c r="AF42" s="284" t="e">
        <f>IF(VLOOKUP(T_Convention[[#This Row],[NumL]],T_TraitDi[#Data],COLUMN(T_TraitDi[Colonne8]),FALSE)=0,"",TEXT(IFERROR(VLOOKUP(T_Convention[[#This Row],[NumL]],T_TraitDi[#Data],COLUMN(T_TraitDi[Colonne8]),FALSE),""),"[hh]:mm"))</f>
        <v>#N/A</v>
      </c>
      <c r="AG42" s="284" t="str">
        <f>IFERROR(VLOOKUP(T_Convention[[#This Row],[NumL]],T_TraitDi[#Data],COLUMN(T_TraitDi[Mardi]),FALSE),"")</f>
        <v/>
      </c>
      <c r="AH42" s="284" t="e">
        <f>IF(VLOOKUP(T_Convention[[#This Row],[NumL]],T_TraitDi[#Data],COLUMN(T_TraitDi[Colonne1]),FALSE)=0,"",TEXT(IFERROR(VLOOKUP(T_Convention[[#This Row],[NumL]],T_TraitDi[#Data],COLUMN(T_TraitDi[Colonne1]),FALSE),""),"[hh]:mm"))</f>
        <v>#N/A</v>
      </c>
      <c r="AI42" s="284" t="e">
        <f>IF(VLOOKUP(T_Convention[[#This Row],[NumL]],T_TraitDi[#Data],COLUMN(T_TraitDi[Colonne9]),FALSE)=0,"",TEXT(IFERROR(VLOOKUP(T_Convention[[#This Row],[NumL]],T_TraitDi[#Data],COLUMN(T_TraitDi[Colonne9]),FALSE),""),"[hh]:mm"))</f>
        <v>#N/A</v>
      </c>
      <c r="AJ42" s="284" t="str">
        <f>IFERROR(VLOOKUP(T_Convention[[#This Row],[NumL]],T_TraitDi[#Data],COLUMN(T_TraitDi[Colonne10]),FALSE),"")</f>
        <v/>
      </c>
      <c r="AK42" s="284" t="e">
        <f>IF(VLOOKUP(T_Convention[[#This Row],[NumL]],T_TraitDi[#Data],COLUMN(T_TraitDi[Colonne11]),FALSE)=0,"",TEXT(IFERROR(VLOOKUP(T_Convention[[#This Row],[NumL]],T_TraitDi[#Data],COLUMN(T_TraitDi[Colonne11]),FALSE),""),"[hh]:mm"))</f>
        <v>#N/A</v>
      </c>
      <c r="AL42" s="284" t="e">
        <f>IF(VLOOKUP(T_Convention[[#This Row],[NumL]],T_TraitDi[#Data],COLUMN(T_TraitDi[Colonne12]),FALSE)=0,"",TEXT(IFERROR(VLOOKUP(T_Convention[[#This Row],[NumL]],T_TraitDi[#Data],COLUMN(T_TraitDi[Colonne12]),FALSE),""),"[hh]:mm"))</f>
        <v>#N/A</v>
      </c>
      <c r="AM42" s="284" t="e">
        <f>IF(VLOOKUP(T_Convention[[#This Row],[NumL]],T_TraitDi[#Data],COLUMN(T_TraitDi[Colonne14]),FALSE)=0,"",TEXT(IFERROR(VLOOKUP(T_Convention[[#This Row],[NumL]],T_TraitDi[#Data],COLUMN(T_TraitDi[Colonne14]),FALSE),""),"[hh]:mm"))</f>
        <v>#N/A</v>
      </c>
      <c r="AN42" s="284" t="str">
        <f>IFERROR(VLOOKUP(T_Convention[[#This Row],[NumL]],T_TraitDi[#Data],COLUMN(T_TraitDi[Mercredi]),FALSE),"")</f>
        <v/>
      </c>
      <c r="AO42" s="284" t="e">
        <f>IF(VLOOKUP(T_Convention[[#This Row],[NumL]],T_TraitDi[#Data],COLUMN(T_TraitDi[Colonne15]),FALSE)=0,"",TEXT(IFERROR(VLOOKUP(T_Convention[[#This Row],[NumL]],T_TraitDi[#Data],COLUMN(T_TraitDi[Colonne15]),FALSE),""),"[hh]:mm"))</f>
        <v>#N/A</v>
      </c>
      <c r="AP42" s="284" t="e">
        <f>IF(VLOOKUP(T_Convention[[#This Row],[NumL]],T_TraitDi[#Data],COLUMN(T_TraitDi[Colonne16]),FALSE)=0,"",TEXT(IFERROR(VLOOKUP(T_Convention[[#This Row],[NumL]],T_TraitDi[#Data],COLUMN(T_TraitDi[Colonne16]),FALSE),""),"[hh]:mm"))</f>
        <v>#N/A</v>
      </c>
      <c r="AQ42" s="284" t="str">
        <f>IFERROR(VLOOKUP(T_Convention[[#This Row],[NumL]],T_TraitDi[#Data],COLUMN(T_TraitDi[Colonne17]),FALSE),"")</f>
        <v/>
      </c>
      <c r="AR42" s="284" t="e">
        <f>IF(VLOOKUP(T_Convention[[#This Row],[NumL]],T_TraitDi[#Data],COLUMN(T_TraitDi[Colonne18]),FALSE)=0,"",TEXT(IFERROR(VLOOKUP(T_Convention[[#This Row],[NumL]],T_TraitDi[#Data],COLUMN(T_TraitDi[Colonne18]),FALSE),""),"[hh]:mm"))</f>
        <v>#N/A</v>
      </c>
      <c r="AS42" s="284" t="e">
        <f>IF(VLOOKUP(T_Convention[[#This Row],[NumL]],T_TraitDi[#Data],COLUMN(T_TraitDi[Colonne19]),FALSE)=0,"",TEXT(IFERROR(VLOOKUP(T_Convention[[#This Row],[NumL]],T_TraitDi[#Data],COLUMN(T_TraitDi[Colonne19]),FALSE),""),"[hh]:mm"))</f>
        <v>#N/A</v>
      </c>
      <c r="AT42" s="284" t="e">
        <f>IF(VLOOKUP(T_Convention[[#This Row],[NumL]],T_TraitDi[#Data],COLUMN(T_TraitDi[Colonne20]),FALSE)=0,"",TEXT(IFERROR(VLOOKUP(T_Convention[[#This Row],[NumL]],T_TraitDi[#Data],COLUMN(T_TraitDi[Colonne20]),FALSE),""),"[hh]:mm"))</f>
        <v>#N/A</v>
      </c>
      <c r="AU42" s="284" t="str">
        <f>IFERROR(VLOOKUP(T_Convention[[#This Row],[NumL]],T_TraitDi[#Data],COLUMN(T_TraitDi[Jeudi]),FALSE),"")</f>
        <v/>
      </c>
      <c r="AV42" s="284" t="e">
        <f>IF(VLOOKUP(T_Convention[[#This Row],[NumL]],T_TraitDi[#Data],COLUMN(T_TraitDi[Colonne21]),FALSE)=0,"",TEXT(IFERROR(VLOOKUP(T_Convention[[#This Row],[NumL]],T_TraitDi[#Data],COLUMN(T_TraitDi[Colonne21]),FALSE),""),"[hh]:mm"))</f>
        <v>#N/A</v>
      </c>
      <c r="AW42" s="284" t="e">
        <f>IF(VLOOKUP(T_Convention[[#This Row],[NumL]],T_TraitDi[#Data],COLUMN(T_TraitDi[Colonne22]),FALSE)=0,"",TEXT(IFERROR(VLOOKUP(T_Convention[[#This Row],[NumL]],T_TraitDi[#Data],COLUMN(T_TraitDi[Colonne22]),FALSE),""),"[hh]:mm"))</f>
        <v>#N/A</v>
      </c>
      <c r="AX42" s="284" t="str">
        <f>IFERROR(VLOOKUP(T_Convention[[#This Row],[NumL]],T_TraitDi[#Data],COLUMN(T_TraitDi[Colonne23]),FALSE),"")</f>
        <v/>
      </c>
      <c r="AY42" s="284" t="e">
        <f>IF(VLOOKUP(T_Convention[[#This Row],[NumL]],T_TraitDi[#Data],COLUMN(T_TraitDi[Colonne24]),FALSE)=0,"",TEXT(IFERROR(VLOOKUP(T_Convention[[#This Row],[NumL]],T_TraitDi[#Data],COLUMN(T_TraitDi[Colonne24]),FALSE),""),"[hh]:mm"))</f>
        <v>#N/A</v>
      </c>
      <c r="AZ42" s="284" t="e">
        <f>IF(VLOOKUP(T_Convention[[#This Row],[NumL]],T_TraitDi[#Data],COLUMN(T_TraitDi[Colonne25]),FALSE)=0,"",TEXT(IFERROR(VLOOKUP(T_Convention[[#This Row],[NumL]],T_TraitDi[#Data],COLUMN(T_TraitDi[Colonne25]),FALSE),""),"[hh]:mm"))</f>
        <v>#N/A</v>
      </c>
      <c r="BA42" s="284" t="e">
        <f>IF(VLOOKUP(T_Convention[[#This Row],[NumL]],T_TraitDi[#Data],COLUMN(T_TraitDi[Colonne26]),FALSE)=0,"",TEXT(IFERROR(VLOOKUP(T_Convention[[#This Row],[NumL]],T_TraitDi[#Data],COLUMN(T_TraitDi[Colonne26]),FALSE),""),"[hh]:mm"))</f>
        <v>#N/A</v>
      </c>
      <c r="BB42" s="284" t="str">
        <f>IFERROR(VLOOKUP(T_Convention[[#This Row],[NumL]],T_TraitDi[#Data],COLUMN(T_TraitDi[Vendredi]),FALSE),"")</f>
        <v/>
      </c>
      <c r="BC42" s="284" t="e">
        <f>IF(VLOOKUP(T_Convention[[#This Row],[NumL]],T_TraitDi[#Data],COLUMN(T_TraitDi[Colonne27]),FALSE)=0,"",TEXT(IFERROR(VLOOKUP(T_Convention[[#This Row],[NumL]],T_TraitDi[#Data],COLUMN(T_TraitDi[Colonne27]),FALSE),""),"[hh]:mm"))</f>
        <v>#N/A</v>
      </c>
      <c r="BD42" s="284" t="e">
        <f>IF(VLOOKUP(T_Convention[[#This Row],[NumL]],T_TraitDi[#Data],COLUMN(T_TraitDi[Colonne28]),FALSE)=0,"",TEXT(IFERROR(VLOOKUP(T_Convention[[#This Row],[NumL]],T_TraitDi[#Data],COLUMN(T_TraitDi[Colonne28]),FALSE),""),"[hh]:mm"))</f>
        <v>#N/A</v>
      </c>
      <c r="BE42" s="284" t="str">
        <f>IFERROR(VLOOKUP(T_Convention[[#This Row],[NumL]],T_TraitDi[#Data],COLUMN(T_TraitDi[Colonne29]),FALSE),"")</f>
        <v/>
      </c>
      <c r="BF42" s="284" t="e">
        <f>IF(VLOOKUP(T_Convention[[#This Row],[NumL]],T_TraitDi[#Data],COLUMN(T_TraitDi[Colonne30]),FALSE)=0,"",TEXT(IFERROR(VLOOKUP(T_Convention[[#This Row],[NumL]],T_TraitDi[#Data],COLUMN(T_TraitDi[Colonne30]),FALSE),""),"[hh]:mm"))</f>
        <v>#N/A</v>
      </c>
      <c r="BG42" s="284" t="e">
        <f>IF(VLOOKUP(T_Convention[[#This Row],[NumL]],T_TraitDi[#Data],COLUMN(T_TraitDi[Colonne31]),FALSE)=0,"",TEXT(IFERROR(VLOOKUP(T_Convention[[#This Row],[NumL]],T_TraitDi[#Data],COLUMN(T_TraitDi[Colonne31]),FALSE),""),"[hh]:mm"))</f>
        <v>#N/A</v>
      </c>
      <c r="BH42" s="284" t="e">
        <f>IF(VLOOKUP(T_Convention[[#This Row],[NumL]],T_TraitDi[#Data],COLUMN(T_TraitDi[Colonne32]),FALSE)=0,"",TEXT(IFERROR(VLOOKUP(T_Convention[[#This Row],[NumL]],T_TraitDi[#Data],COLUMN(T_TraitDi[Colonne32]),FALSE),""),"[hh]:mm"))</f>
        <v>#N/A</v>
      </c>
      <c r="BI42" s="284" t="str">
        <f>IFERROR(VLOOKUP(T_Convention[[#This Row],[NumL]],T_TraitDi[#Data],COLUMN(T_TraitDi[NbJTW]),FALSE),"")</f>
        <v/>
      </c>
      <c r="BJ42" s="284" t="e">
        <f>IF(VLOOKUP(T_Convention[[#This Row],[NumL]],T_TraitDi[#Data],COLUMN(T_TraitDi[NbhTW]),FALSE)=0,"",TEXT(IFERROR(VLOOKUP(T_Convention[[#This Row],[NumL]],T_TraitDi[#Data],COLUMN(T_TraitDi[NbhTW]),FALSE),""),"[hh]:mm"))</f>
        <v>#N/A</v>
      </c>
      <c r="BK42" s="286" t="e">
        <f>IF(VLOOKUP(T_Convention[[#This Row],[NumL]],T_TraitDi[#Data],COLUMN(T_TraitDi[Nbhheb]),FALSE)=0,"",TEXT(IFERROR(VLOOKUP(T_Convention[[#This Row],[NumL]],T_TraitDi[#Data],COLUMN(T_TraitDi[Nbhheb]),FALSE),""),"[hh]:mm"))</f>
        <v>#N/A</v>
      </c>
      <c r="BL42" s="287" t="str">
        <f>IFERROR(VLOOKUP(VLOOKUP(T_Convention[[#This Row],[NumL]],T_TraitDi[#Data],COLUMN(T_TraitDi[Type1]),FALSE),TypeTW,2,FALSE),"")</f>
        <v/>
      </c>
      <c r="BM42" s="288" t="str">
        <f>IFERROR(VLOOKUP(T_Convention[[#This Row],[NumL]],T_TraitDi[#Data],COLUMN(T_TraitDi[Rue1]),FALSE),"")</f>
        <v/>
      </c>
      <c r="BN42" s="289" t="str">
        <f>IFERROR(VLOOKUP(T_Convention[[#This Row],[NumL]],T_TraitDi[#Data],COLUMN(T_TraitDi[CP1]),FALSE),"")</f>
        <v/>
      </c>
      <c r="BO42" s="282" t="str">
        <f>IFERROR(VLOOKUP(T_Convention[[#This Row],[NumL]],T_TraitDi[#Data],COLUMN(T_TraitDi[VILLE1]),FALSE),"")</f>
        <v/>
      </c>
      <c r="BP42" s="290" t="str">
        <f>IFERROR(VLOOKUP(VLOOKUP(T_Convention[[#This Row],[NumL]],T_TraitDi[#Data],COLUMN(T_TraitDi[Type2]),FALSE),TypeTW,2,FALSE),"")</f>
        <v/>
      </c>
      <c r="BQ42" s="182" t="str">
        <f>IFERROR(VLOOKUP(T_Convention[[#This Row],[NumL]],T_TraitDi[#Data],COLUMN(T_TraitDi[Rue2]),FALSE),"")</f>
        <v/>
      </c>
      <c r="BR42" s="173" t="str">
        <f>IFERROR(VLOOKUP(T_Convention[[#This Row],[NumL]],T_TraitDi[#Data],COLUMN(T_TraitDi[CP2]),FALSE),"")</f>
        <v/>
      </c>
      <c r="BS42" s="173" t="str">
        <f>IFERROR(VLOOKUP(T_Convention[[#This Row],[NumL]],T_TraitDi[#Data],COLUMN(T_TraitDi[VILLE2]),FALSE),"")</f>
        <v/>
      </c>
      <c r="BT42" s="182" t="str">
        <f>IF(VLOOKUP(T_Convention[[#This Row],[NumL]],T_Equipement[#Data],COLUMN(T_Equipement[PC]),FALSE)="","Aucun équipement spécifique directement lié au télétravail",VLOOKUP(T_Convention[[#This Row],[NumL]],T_Equipement[#Data],COLUMN(T_Equipement[PC]),FALSE))</f>
        <v xml:space="preserve">13-324	</v>
      </c>
      <c r="BU42" s="166" t="str">
        <f>IFERROR(IF(VLOOKUP(T_Convention[[#This Row],[NumL]],T_TraitDi[#Data],COLUMN(T_TraitDi[Plan]),FALSE)="OK","Un planning spécifique de télétravail est annexé à la présente convention.",""),"")</f>
        <v/>
      </c>
      <c r="BV42" s="185" t="s">
        <v>3503</v>
      </c>
      <c r="BW42" s="164" t="e">
        <f>IF(VLOOKUP(T_Convention[[#This Row],[NumL]],T_suiviDi[#Data],COLUMN(T_suiviDi[Entité]),FALSE)="","",VLOOKUP(T_Convention[[#This Row],[NumL]],T_suiviDi[#Data],COLUMN(T_suiviDi[Entité]),FALSE))</f>
        <v>#N/A</v>
      </c>
      <c r="BX42" s="164" t="str">
        <f>IF(VLOOKUP(T_Convention[[#This Row],[NumL]],T_Commission[#Data],COLUMN(T_Commission[envoi confirm TW]),FALSE)="","",VLOOKUP(T_Convention[[#This Row],[NumL]],T_Commission[#Data],COLUMN(T_Commission[envoi confirm TW]),FALSE))</f>
        <v>Oui</v>
      </c>
      <c r="BY4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2" s="264">
        <f>VLOOKUP(T_Convention[[#This Row],[NumL]],T_Commission[#Data],COLUMN(T_Commission[Commentaire]),FALSE)</f>
        <v>0</v>
      </c>
      <c r="CA42" s="254" t="str">
        <f>IF(VLOOKUP(T_Convention[[#This Row],[NumL]],T_Commission[#Data],COLUMN(T_Commission[Encadrant Email]),FALSE)="","",VLOOKUP(T_Convention[[#This Row],[NumL]],T_Commission[#Data],COLUMN(T_Commission[Encadrant Email]),FALSE))</f>
        <v/>
      </c>
      <c r="CB42" s="352" t="e">
        <f>VLOOKUP(T_Convention[[#This Row],[NumL]],T_TraitDi[#Data],COLUMN(T_TraitDi[NbJTot]),FALSE)</f>
        <v>#N/A</v>
      </c>
      <c r="CC42" s="352" t="e">
        <f>VLOOKUP(T_Convention[[#This Row],[NumL]],T_TraitDi[#Data],COLUMN(T_TraitDi[Reg Ponct]),FALSE)</f>
        <v>#N/A</v>
      </c>
      <c r="CD42" s="348" t="str">
        <f>IF(T_Convention[[#This Row],[Final]]&lt;&gt;"",VLOOKUP(T_Convention[[#This Row],[NumL]],T_suiviDi[#Data],COLUMN((T_suiviDi[Statut])),FALSE),"")</f>
        <v/>
      </c>
    </row>
    <row r="43" spans="1:82" s="106" customFormat="1" ht="18.75" customHeight="1" x14ac:dyDescent="0.25">
      <c r="A43" s="160">
        <v>231</v>
      </c>
      <c r="B43" s="161" t="str">
        <f>VLOOKUP(T_Convention[[#This Row],[NumL]],T_Commission[#Data],COLUMN(T_Commission[FINAL]),FALSE)</f>
        <v/>
      </c>
      <c r="C43" s="162"/>
      <c r="D43" s="95" t="e">
        <f>IF(VLOOKUP(T_Convention[[#This Row],[NumL]],T_TraitDi[#Data],COLUMN(T_TraitDi[WebC]),FALSE)="","",VLOOKUP(T_Convention[[#This Row],[NumL]],T_TraitDi[#Data],COLUMN(T_TraitDi[WebC]),FALSE))</f>
        <v>#N/A</v>
      </c>
      <c r="E43" s="163" t="str">
        <f t="shared" si="0"/>
        <v>12 janvier 2021</v>
      </c>
      <c r="F43" s="282" t="str">
        <f>IF(T_Convention[[#This Row],[Final]]&lt;&gt;"",VLOOKUP(T_Convention[[#This Row],[NumL]],T_suiviDi[#Data],COLUMN((T_suiviDi[Civ.])),FALSE),"")</f>
        <v/>
      </c>
      <c r="G43" s="283" t="str">
        <f>IF(T_Convention[[#This Row],[Final]]&lt;&gt;"",VLOOKUP(T_Convention[[#This Row],[NumL]],T_suiviDi[#Data],COLUMN((T_suiviDi[Nom])),FALSE),"")</f>
        <v/>
      </c>
      <c r="H43" s="282" t="str">
        <f>IF(T_Convention[[#This Row],[Final]]&lt;&gt;"",VLOOKUP(T_Convention[[#This Row],[NumL]],T_suiviDi[#Data],COLUMN((T_suiviDi[Prénom])),FALSE),"")</f>
        <v/>
      </c>
      <c r="I43" s="282" t="e">
        <f>VLOOKUP(T_Convention[[#This Row],[NumL]],T_suiviDi[#Data],COLUMN((T_suiviDi[[#This Row],[Email]])),FALSE)</f>
        <v>#VALUE!</v>
      </c>
      <c r="J43" s="282" t="e">
        <f>IF(VLOOKUP(T_Convention[[#This Row],[NumL]],T_suiviDi[#Data],COLUMN(T_suiviDi[[#This Row],[Fonction]]),FALSE)="","",VLOOKUP(T_Convention[[#This Row],[NumL]],T_suiviDi[#Data],COLUMN(T_suiviDi[[#This Row],[Fonction]]),FALSE))</f>
        <v>#VALUE!</v>
      </c>
      <c r="K43" s="282" t="e">
        <f>IF(VLOOKUP(T_Convention[[#This Row],[NumL]],T_suiviDi[#Data],COLUMN(T_suiviDi[[#This Row],[Grade]]),FALSE)="","",VLOOKUP(T_Convention[[#This Row],[NumL]],T_suiviDi[#Data],COLUMN(T_suiviDi[[#This Row],[Grade]]),FALSE))</f>
        <v>#VALUE!</v>
      </c>
      <c r="L43" s="282" t="e">
        <f>IF(VLOOKUP(T_Convention[[#This Row],[NumL]],T_suiviDi[#Data],COLUMN(T_suiviDi[[#This Row],[Service ]]),FALSE)="","",VLOOKUP(T_Convention[[#This Row],[NumL]],T_suiviDi[#Data],COLUMN(T_suiviDi[[#This Row],[Service ]]),FALSE))</f>
        <v>#VALUE!</v>
      </c>
      <c r="M43" s="164" t="str">
        <f t="shared" si="1"/>
        <v>01 septembre 2021</v>
      </c>
      <c r="N43" s="164" t="str">
        <f t="shared" si="2"/>
        <v>30 novembre 2021</v>
      </c>
      <c r="O43" s="284" t="str">
        <f t="shared" si="3"/>
        <v>30 novembre 2021</v>
      </c>
      <c r="P43" s="282" t="e">
        <f>IF(VLOOKUP(T_Convention[[#This Row],[NumL]],T_TraitDi[#Data],COLUMN(T_TraitDi[M1]),FALSE)="","",VLOOKUP(T_Convention[[#This Row],[NumL]],T_TraitDi[#Data],COLUMN(T_TraitDi[M1]),FALSE))</f>
        <v>#N/A</v>
      </c>
      <c r="Q43" s="282" t="e">
        <f>IF(VLOOKUP(T_Convention[[#This Row],[NumL]],T_TraitDi[#Data],COLUMN(T_TraitDi[M2]),FALSE)="","",VLOOKUP(T_Convention[[#This Row],[NumL]],T_TraitDi[#Data],COLUMN(T_TraitDi[M2]),FALSE))</f>
        <v>#N/A</v>
      </c>
      <c r="R43" s="282" t="e">
        <f>IF(VLOOKUP(T_Convention[[#This Row],[NumL]],T_TraitDi[#Data],COLUMN(T_TraitDi[M3]),FALSE)="","",VLOOKUP(T_Convention[[#This Row],[NumL]],T_TraitDi[#Data],COLUMN(T_TraitDi[M3]),FALSE))</f>
        <v>#N/A</v>
      </c>
      <c r="S43" s="282" t="e">
        <f>IF(VLOOKUP(T_Convention[[#This Row],[NumL]],T_TraitDi[#Data],COLUMN(T_TraitDi[M4]),FALSE)="","",VLOOKUP(T_Convention[[#This Row],[NumL]],T_TraitDi[#Data],COLUMN(T_TraitDi[M4]),FALSE))</f>
        <v>#N/A</v>
      </c>
      <c r="T43" s="282" t="e">
        <f>IF(VLOOKUP(T_Convention[[#This Row],[NumL]],T_TraitDi[#Data],COLUMN(T_TraitDi[M5]),FALSE)="","",VLOOKUP(T_Convention[[#This Row],[NumL]],T_TraitDi[#Data],COLUMN(T_TraitDi[M5]),FALSE))</f>
        <v>#N/A</v>
      </c>
      <c r="U43" s="282" t="e">
        <f>IF(VLOOKUP(T_Convention[[#This Row],[NumL]],T_TraitDi[#Data],COLUMN(T_TraitDi[M6]),FALSE)="","",VLOOKUP(T_Convention[[#This Row],[NumL]],T_TraitDi[#Data],COLUMN(T_TraitDi[M6]),FALSE))</f>
        <v>#N/A</v>
      </c>
      <c r="V43" s="176" t="e">
        <f t="shared" si="4"/>
        <v>#N/A</v>
      </c>
      <c r="W43" s="284" t="str">
        <f>IFERROR(TEXT(VLOOKUP(T_Convention[[#This Row],[NumL]],T_TraitDi[#Data],COLUMN(T_TraitDi[Q2]),FALSE),"###%"),"")</f>
        <v/>
      </c>
      <c r="X43" s="97" t="e">
        <f>VLOOKUP(T_Convention[[#This Row],[NumL]],T_TraitDi[#Data],COLUMN(T_TraitDi[Reg Ponct]),FALSE)</f>
        <v>#N/A</v>
      </c>
      <c r="Y43" s="97" t="e">
        <f>VLOOKUP(T_Convention[NumL],T_TraitDi[#Data],COLUMN(T_TraitDi[Jours flottants]),FALSE)</f>
        <v>#N/A</v>
      </c>
      <c r="Z43" s="284" t="str">
        <f>IFERROR(VLOOKUP(T_Convention[[#This Row],[NumL]],T_TraitDi[#Data],COLUMN(T_TraitDi[Lundi]),FALSE),"")</f>
        <v/>
      </c>
      <c r="AA43" s="284" t="e">
        <f>IF(VLOOKUP(T_Convention[[#This Row],[NumL]],T_TraitDi[#Data],COLUMN(T_TraitDi[Colonne3]),FALSE)=0,"",TEXT(IFERROR(VLOOKUP(T_Convention[[#This Row],[NumL]],T_TraitDi[#Data],COLUMN(T_TraitDi[Colonne3]),FALSE),""),"[hh]:mm"))</f>
        <v>#N/A</v>
      </c>
      <c r="AB43" s="284" t="e">
        <f>IF(VLOOKUP(T_Convention[[#This Row],[NumL]],T_TraitDi[#Data],COLUMN(T_TraitDi[Colonne4]),FALSE)=0,"",TEXT(IFERROR(VLOOKUP(T_Convention[[#This Row],[NumL]],T_TraitDi[#Data],COLUMN(T_TraitDi[Colonne4]),FALSE),""),"[hh]:mm"))</f>
        <v>#N/A</v>
      </c>
      <c r="AC43" s="284" t="e">
        <f>IF(VLOOKUP(T_Convention[[#This Row],[NumL]],T_TraitDi[#Data],COLUMN(T_TraitDi[Colonne5]),FALSE)=0,"",TEXT(IFERROR(VLOOKUP(T_Convention[[#This Row],[NumL]],T_TraitDi[#Data],COLUMN(T_TraitDi[Colonne5]),FALSE),""),"[hh]:mm"))</f>
        <v>#N/A</v>
      </c>
      <c r="AD43" s="284" t="e">
        <f>IF(VLOOKUP(T_Convention[[#This Row],[NumL]],T_TraitDi[#Data],COLUMN(T_TraitDi[Colonne6]),FALSE)=0,"",TEXT(IFERROR(VLOOKUP(T_Convention[[#This Row],[NumL]],T_TraitDi[#Data],COLUMN(T_TraitDi[Colonne6]),FALSE),""),"[hh]:mm"))</f>
        <v>#N/A</v>
      </c>
      <c r="AE43" s="284" t="e">
        <f>IF(VLOOKUP(T_Convention[[#This Row],[NumL]],T_TraitDi[#Data],COLUMN(T_TraitDi[Colonne7]),FALSE)=0,"",TEXT(IFERROR(VLOOKUP(T_Convention[[#This Row],[NumL]],T_TraitDi[#Data],COLUMN(T_TraitDi[Colonne7]),FALSE),""),"[hh]:mm"))</f>
        <v>#N/A</v>
      </c>
      <c r="AF43" s="284" t="e">
        <f>IF(VLOOKUP(T_Convention[[#This Row],[NumL]],T_TraitDi[#Data],COLUMN(T_TraitDi[Colonne8]),FALSE)=0,"",TEXT(IFERROR(VLOOKUP(T_Convention[[#This Row],[NumL]],T_TraitDi[#Data],COLUMN(T_TraitDi[Colonne8]),FALSE),""),"[hh]:mm"))</f>
        <v>#N/A</v>
      </c>
      <c r="AG43" s="284" t="str">
        <f>IFERROR(VLOOKUP(T_Convention[[#This Row],[NumL]],T_TraitDi[#Data],COLUMN(T_TraitDi[Mardi]),FALSE),"")</f>
        <v/>
      </c>
      <c r="AH43" s="284" t="e">
        <f>IF(VLOOKUP(T_Convention[[#This Row],[NumL]],T_TraitDi[#Data],COLUMN(T_TraitDi[Colonne1]),FALSE)=0,"",TEXT(IFERROR(VLOOKUP(T_Convention[[#This Row],[NumL]],T_TraitDi[#Data],COLUMN(T_TraitDi[Colonne1]),FALSE),""),"[hh]:mm"))</f>
        <v>#N/A</v>
      </c>
      <c r="AI43" s="284" t="e">
        <f>IF(VLOOKUP(T_Convention[[#This Row],[NumL]],T_TraitDi[#Data],COLUMN(T_TraitDi[Colonne9]),FALSE)=0,"",TEXT(IFERROR(VLOOKUP(T_Convention[[#This Row],[NumL]],T_TraitDi[#Data],COLUMN(T_TraitDi[Colonne9]),FALSE),""),"[hh]:mm"))</f>
        <v>#N/A</v>
      </c>
      <c r="AJ43" s="284" t="str">
        <f>IFERROR(VLOOKUP(T_Convention[[#This Row],[NumL]],T_TraitDi[#Data],COLUMN(T_TraitDi[Colonne10]),FALSE),"")</f>
        <v/>
      </c>
      <c r="AK43" s="284" t="e">
        <f>IF(VLOOKUP(T_Convention[[#This Row],[NumL]],T_TraitDi[#Data],COLUMN(T_TraitDi[Colonne11]),FALSE)=0,"",TEXT(IFERROR(VLOOKUP(T_Convention[[#This Row],[NumL]],T_TraitDi[#Data],COLUMN(T_TraitDi[Colonne11]),FALSE),""),"[hh]:mm"))</f>
        <v>#N/A</v>
      </c>
      <c r="AL43" s="284" t="e">
        <f>IF(VLOOKUP(T_Convention[[#This Row],[NumL]],T_TraitDi[#Data],COLUMN(T_TraitDi[Colonne12]),FALSE)=0,"",TEXT(IFERROR(VLOOKUP(T_Convention[[#This Row],[NumL]],T_TraitDi[#Data],COLUMN(T_TraitDi[Colonne12]),FALSE),""),"[hh]:mm"))</f>
        <v>#N/A</v>
      </c>
      <c r="AM43" s="284" t="e">
        <f>IF(VLOOKUP(T_Convention[[#This Row],[NumL]],T_TraitDi[#Data],COLUMN(T_TraitDi[Colonne14]),FALSE)=0,"",TEXT(IFERROR(VLOOKUP(T_Convention[[#This Row],[NumL]],T_TraitDi[#Data],COLUMN(T_TraitDi[Colonne14]),FALSE),""),"[hh]:mm"))</f>
        <v>#N/A</v>
      </c>
      <c r="AN43" s="284" t="str">
        <f>IFERROR(VLOOKUP(T_Convention[[#This Row],[NumL]],T_TraitDi[#Data],COLUMN(T_TraitDi[Mercredi]),FALSE),"")</f>
        <v/>
      </c>
      <c r="AO43" s="284" t="e">
        <f>IF(VLOOKUP(T_Convention[[#This Row],[NumL]],T_TraitDi[#Data],COLUMN(T_TraitDi[Colonne15]),FALSE)=0,"",TEXT(IFERROR(VLOOKUP(T_Convention[[#This Row],[NumL]],T_TraitDi[#Data],COLUMN(T_TraitDi[Colonne15]),FALSE),""),"[hh]:mm"))</f>
        <v>#N/A</v>
      </c>
      <c r="AP43" s="284" t="e">
        <f>IF(VLOOKUP(T_Convention[[#This Row],[NumL]],T_TraitDi[#Data],COLUMN(T_TraitDi[Colonne16]),FALSE)=0,"",TEXT(IFERROR(VLOOKUP(T_Convention[[#This Row],[NumL]],T_TraitDi[#Data],COLUMN(T_TraitDi[Colonne16]),FALSE),""),"[hh]:mm"))</f>
        <v>#N/A</v>
      </c>
      <c r="AQ43" s="284" t="str">
        <f>IFERROR(VLOOKUP(T_Convention[[#This Row],[NumL]],T_TraitDi[#Data],COLUMN(T_TraitDi[Colonne17]),FALSE),"")</f>
        <v/>
      </c>
      <c r="AR43" s="284" t="e">
        <f>IF(VLOOKUP(T_Convention[[#This Row],[NumL]],T_TraitDi[#Data],COLUMN(T_TraitDi[Colonne18]),FALSE)=0,"",TEXT(IFERROR(VLOOKUP(T_Convention[[#This Row],[NumL]],T_TraitDi[#Data],COLUMN(T_TraitDi[Colonne18]),FALSE),""),"[hh]:mm"))</f>
        <v>#N/A</v>
      </c>
      <c r="AS43" s="284" t="e">
        <f>IF(VLOOKUP(T_Convention[[#This Row],[NumL]],T_TraitDi[#Data],COLUMN(T_TraitDi[Colonne19]),FALSE)=0,"",TEXT(IFERROR(VLOOKUP(T_Convention[[#This Row],[NumL]],T_TraitDi[#Data],COLUMN(T_TraitDi[Colonne19]),FALSE),""),"[hh]:mm"))</f>
        <v>#N/A</v>
      </c>
      <c r="AT43" s="284" t="e">
        <f>IF(VLOOKUP(T_Convention[[#This Row],[NumL]],T_TraitDi[#Data],COLUMN(T_TraitDi[Colonne20]),FALSE)=0,"",TEXT(IFERROR(VLOOKUP(T_Convention[[#This Row],[NumL]],T_TraitDi[#Data],COLUMN(T_TraitDi[Colonne20]),FALSE),""),"[hh]:mm"))</f>
        <v>#N/A</v>
      </c>
      <c r="AU43" s="284" t="str">
        <f>IFERROR(VLOOKUP(T_Convention[[#This Row],[NumL]],T_TraitDi[#Data],COLUMN(T_TraitDi[Jeudi]),FALSE),"")</f>
        <v/>
      </c>
      <c r="AV43" s="284" t="e">
        <f>IF(VLOOKUP(T_Convention[[#This Row],[NumL]],T_TraitDi[#Data],COLUMN(T_TraitDi[Colonne21]),FALSE)=0,"",TEXT(IFERROR(VLOOKUP(T_Convention[[#This Row],[NumL]],T_TraitDi[#Data],COLUMN(T_TraitDi[Colonne21]),FALSE),""),"[hh]:mm"))</f>
        <v>#N/A</v>
      </c>
      <c r="AW43" s="284" t="e">
        <f>IF(VLOOKUP(T_Convention[[#This Row],[NumL]],T_TraitDi[#Data],COLUMN(T_TraitDi[Colonne22]),FALSE)=0,"",TEXT(IFERROR(VLOOKUP(T_Convention[[#This Row],[NumL]],T_TraitDi[#Data],COLUMN(T_TraitDi[Colonne22]),FALSE),""),"[hh]:mm"))</f>
        <v>#N/A</v>
      </c>
      <c r="AX43" s="284" t="str">
        <f>IFERROR(VLOOKUP(T_Convention[[#This Row],[NumL]],T_TraitDi[#Data],COLUMN(T_TraitDi[Colonne23]),FALSE),"")</f>
        <v/>
      </c>
      <c r="AY43" s="284" t="e">
        <f>IF(VLOOKUP(T_Convention[[#This Row],[NumL]],T_TraitDi[#Data],COLUMN(T_TraitDi[Colonne24]),FALSE)=0,"",TEXT(IFERROR(VLOOKUP(T_Convention[[#This Row],[NumL]],T_TraitDi[#Data],COLUMN(T_TraitDi[Colonne24]),FALSE),""),"[hh]:mm"))</f>
        <v>#N/A</v>
      </c>
      <c r="AZ43" s="284" t="e">
        <f>IF(VLOOKUP(T_Convention[[#This Row],[NumL]],T_TraitDi[#Data],COLUMN(T_TraitDi[Colonne25]),FALSE)=0,"",TEXT(IFERROR(VLOOKUP(T_Convention[[#This Row],[NumL]],T_TraitDi[#Data],COLUMN(T_TraitDi[Colonne25]),FALSE),""),"[hh]:mm"))</f>
        <v>#N/A</v>
      </c>
      <c r="BA43" s="284" t="e">
        <f>IF(VLOOKUP(T_Convention[[#This Row],[NumL]],T_TraitDi[#Data],COLUMN(T_TraitDi[Colonne26]),FALSE)=0,"",TEXT(IFERROR(VLOOKUP(T_Convention[[#This Row],[NumL]],T_TraitDi[#Data],COLUMN(T_TraitDi[Colonne26]),FALSE),""),"[hh]:mm"))</f>
        <v>#N/A</v>
      </c>
      <c r="BB43" s="284" t="str">
        <f>IFERROR(VLOOKUP(T_Convention[[#This Row],[NumL]],T_TraitDi[#Data],COLUMN(T_TraitDi[Vendredi]),FALSE),"")</f>
        <v/>
      </c>
      <c r="BC43" s="284" t="e">
        <f>IF(VLOOKUP(T_Convention[[#This Row],[NumL]],T_TraitDi[#Data],COLUMN(T_TraitDi[Colonne27]),FALSE)=0,"",TEXT(IFERROR(VLOOKUP(T_Convention[[#This Row],[NumL]],T_TraitDi[#Data],COLUMN(T_TraitDi[Colonne27]),FALSE),""),"[hh]:mm"))</f>
        <v>#N/A</v>
      </c>
      <c r="BD43" s="284" t="e">
        <f>IF(VLOOKUP(T_Convention[[#This Row],[NumL]],T_TraitDi[#Data],COLUMN(T_TraitDi[Colonne28]),FALSE)=0,"",TEXT(IFERROR(VLOOKUP(T_Convention[[#This Row],[NumL]],T_TraitDi[#Data],COLUMN(T_TraitDi[Colonne28]),FALSE),""),"[hh]:mm"))</f>
        <v>#N/A</v>
      </c>
      <c r="BE43" s="284" t="str">
        <f>IFERROR(VLOOKUP(T_Convention[[#This Row],[NumL]],T_TraitDi[#Data],COLUMN(T_TraitDi[Colonne29]),FALSE),"")</f>
        <v/>
      </c>
      <c r="BF43" s="284" t="e">
        <f>IF(VLOOKUP(T_Convention[[#This Row],[NumL]],T_TraitDi[#Data],COLUMN(T_TraitDi[Colonne30]),FALSE)=0,"",TEXT(IFERROR(VLOOKUP(T_Convention[[#This Row],[NumL]],T_TraitDi[#Data],COLUMN(T_TraitDi[Colonne30]),FALSE),""),"[hh]:mm"))</f>
        <v>#N/A</v>
      </c>
      <c r="BG43" s="284" t="e">
        <f>IF(VLOOKUP(T_Convention[[#This Row],[NumL]],T_TraitDi[#Data],COLUMN(T_TraitDi[Colonne31]),FALSE)=0,"",TEXT(IFERROR(VLOOKUP(T_Convention[[#This Row],[NumL]],T_TraitDi[#Data],COLUMN(T_TraitDi[Colonne31]),FALSE),""),"[hh]:mm"))</f>
        <v>#N/A</v>
      </c>
      <c r="BH43" s="284" t="e">
        <f>IF(VLOOKUP(T_Convention[[#This Row],[NumL]],T_TraitDi[#Data],COLUMN(T_TraitDi[Colonne32]),FALSE)=0,"",TEXT(IFERROR(VLOOKUP(T_Convention[[#This Row],[NumL]],T_TraitDi[#Data],COLUMN(T_TraitDi[Colonne32]),FALSE),""),"[hh]:mm"))</f>
        <v>#N/A</v>
      </c>
      <c r="BI43" s="284" t="str">
        <f>IFERROR(VLOOKUP(T_Convention[[#This Row],[NumL]],T_TraitDi[#Data],COLUMN(T_TraitDi[NbJTW]),FALSE),"")</f>
        <v/>
      </c>
      <c r="BJ43" s="284" t="e">
        <f>IF(VLOOKUP(T_Convention[[#This Row],[NumL]],T_TraitDi[#Data],COLUMN(T_TraitDi[NbhTW]),FALSE)=0,"",TEXT(IFERROR(VLOOKUP(T_Convention[[#This Row],[NumL]],T_TraitDi[#Data],COLUMN(T_TraitDi[NbhTW]),FALSE),""),"[hh]:mm"))</f>
        <v>#N/A</v>
      </c>
      <c r="BK43" s="286" t="e">
        <f>IF(VLOOKUP(T_Convention[[#This Row],[NumL]],T_TraitDi[#Data],COLUMN(T_TraitDi[Nbhheb]),FALSE)=0,"",TEXT(IFERROR(VLOOKUP(T_Convention[[#This Row],[NumL]],T_TraitDi[#Data],COLUMN(T_TraitDi[Nbhheb]),FALSE),""),"[hh]:mm"))</f>
        <v>#N/A</v>
      </c>
      <c r="BL43" s="287" t="str">
        <f>IFERROR(VLOOKUP(VLOOKUP(T_Convention[[#This Row],[NumL]],T_TraitDi[#Data],COLUMN(T_TraitDi[Type1]),FALSE),TypeTW,2,FALSE),"")</f>
        <v/>
      </c>
      <c r="BM43" s="288" t="str">
        <f>IFERROR(VLOOKUP(T_Convention[[#This Row],[NumL]],T_TraitDi[#Data],COLUMN(T_TraitDi[Rue1]),FALSE),"")</f>
        <v/>
      </c>
      <c r="BN43" s="289" t="str">
        <f>IFERROR(VLOOKUP(T_Convention[[#This Row],[NumL]],T_TraitDi[#Data],COLUMN(T_TraitDi[CP1]),FALSE),"")</f>
        <v/>
      </c>
      <c r="BO43" s="282" t="str">
        <f>IFERROR(VLOOKUP(T_Convention[[#This Row],[NumL]],T_TraitDi[#Data],COLUMN(T_TraitDi[VILLE1]),FALSE),"")</f>
        <v/>
      </c>
      <c r="BP43" s="290" t="str">
        <f>IFERROR(VLOOKUP(VLOOKUP(T_Convention[[#This Row],[NumL]],T_TraitDi[#Data],COLUMN(T_TraitDi[Type2]),FALSE),TypeTW,2,FALSE),"")</f>
        <v/>
      </c>
      <c r="BQ43" s="182" t="str">
        <f>IFERROR(VLOOKUP(T_Convention[[#This Row],[NumL]],T_TraitDi[#Data],COLUMN(T_TraitDi[Rue2]),FALSE),"")</f>
        <v/>
      </c>
      <c r="BR43" s="173" t="str">
        <f>IFERROR(VLOOKUP(T_Convention[[#This Row],[NumL]],T_TraitDi[#Data],COLUMN(T_TraitDi[CP2]),FALSE),"")</f>
        <v/>
      </c>
      <c r="BS43" s="173" t="str">
        <f>IFERROR(VLOOKUP(T_Convention[[#This Row],[NumL]],T_TraitDi[#Data],COLUMN(T_TraitDi[VILLE2]),FALSE),"")</f>
        <v/>
      </c>
      <c r="BT43" s="182" t="str">
        <f>IF(VLOOKUP(T_Convention[[#This Row],[NumL]],T_Equipement[#Data],COLUMN(T_Equipement[PC]),FALSE)="","Aucun équipement spécifique directement lié au télétravail",VLOOKUP(T_Convention[[#This Row],[NumL]],T_Equipement[#Data],COLUMN(T_Equipement[PC]),FALSE))</f>
        <v>20-050</v>
      </c>
      <c r="BU43" s="166" t="str">
        <f>IFERROR(IF(VLOOKUP(T_Convention[[#This Row],[NumL]],T_TraitDi[#Data],COLUMN(T_TraitDi[Plan]),FALSE)="OK","Un planning spécifique de télétravail est annexé à la présente convention.",""),"")</f>
        <v/>
      </c>
      <c r="BV43" s="185" t="s">
        <v>3359</v>
      </c>
      <c r="BW43" s="164" t="e">
        <f>IF(VLOOKUP(T_Convention[[#This Row],[NumL]],T_suiviDi[#Data],COLUMN(T_suiviDi[Entité]),FALSE)="","",VLOOKUP(T_Convention[[#This Row],[NumL]],T_suiviDi[#Data],COLUMN(T_suiviDi[Entité]),FALSE))</f>
        <v>#N/A</v>
      </c>
      <c r="BX43" s="164" t="str">
        <f>IF(VLOOKUP(T_Convention[[#This Row],[NumL]],T_Commission[#Data],COLUMN(T_Commission[envoi confirm TW]),FALSE)="","",VLOOKUP(T_Convention[[#This Row],[NumL]],T_Commission[#Data],COLUMN(T_Commission[envoi confirm TW]),FALSE))</f>
        <v>Oui</v>
      </c>
      <c r="BY4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3" s="264">
        <f>VLOOKUP(T_Convention[[#This Row],[NumL]],T_Commission[#Data],COLUMN(T_Commission[Commentaire]),FALSE)</f>
        <v>0</v>
      </c>
      <c r="CA43" s="254" t="str">
        <f>IF(VLOOKUP(T_Convention[[#This Row],[NumL]],T_Commission[#Data],COLUMN(T_Commission[Encadrant Email]),FALSE)="","",VLOOKUP(T_Convention[[#This Row],[NumL]],T_Commission[#Data],COLUMN(T_Commission[Encadrant Email]),FALSE))</f>
        <v/>
      </c>
      <c r="CB43" s="254" t="e">
        <f>VLOOKUP(T_Convention[[#This Row],[NumL]],T_TraitDi[#Data],COLUMN(T_TraitDi[NbJTot]),FALSE)</f>
        <v>#N/A</v>
      </c>
      <c r="CC43" s="352" t="e">
        <f>VLOOKUP(T_Convention[[#This Row],[NumL]],T_TraitDi[#Data],COLUMN(T_TraitDi[Reg Ponct]),FALSE)</f>
        <v>#N/A</v>
      </c>
      <c r="CD43" s="348" t="str">
        <f>IF(T_Convention[[#This Row],[Final]]&lt;&gt;"",VLOOKUP(T_Convention[[#This Row],[NumL]],T_suiviDi[#Data],COLUMN((T_suiviDi[Statut])),FALSE),"")</f>
        <v/>
      </c>
    </row>
    <row r="44" spans="1:82" s="106" customFormat="1" ht="18.75" customHeight="1" x14ac:dyDescent="0.25">
      <c r="A44" s="160">
        <v>247</v>
      </c>
      <c r="B44" s="161" t="str">
        <f>VLOOKUP(T_Convention[[#This Row],[NumL]],T_Commission[#Data],COLUMN(T_Commission[FINAL]),FALSE)</f>
        <v/>
      </c>
      <c r="C44" s="162"/>
      <c r="D44" s="95" t="e">
        <f>IF(VLOOKUP(T_Convention[[#This Row],[NumL]],T_TraitDi[#Data],COLUMN(T_TraitDi[WebC]),FALSE)="","",VLOOKUP(T_Convention[[#This Row],[NumL]],T_TraitDi[#Data],COLUMN(T_TraitDi[WebC]),FALSE))</f>
        <v>#N/A</v>
      </c>
      <c r="E44" s="163" t="str">
        <f t="shared" si="0"/>
        <v>12 janvier 2021</v>
      </c>
      <c r="F44" s="282" t="str">
        <f>IF(T_Convention[[#This Row],[Final]]&lt;&gt;"",VLOOKUP(T_Convention[[#This Row],[NumL]],T_suiviDi[#Data],COLUMN((T_suiviDi[Civ.])),FALSE),"")</f>
        <v/>
      </c>
      <c r="G44" s="283" t="str">
        <f>IF(T_Convention[[#This Row],[Final]]&lt;&gt;"",VLOOKUP(T_Convention[[#This Row],[NumL]],T_suiviDi[#Data],COLUMN((T_suiviDi[Nom])),FALSE),"")</f>
        <v/>
      </c>
      <c r="H44" s="282" t="str">
        <f>IF(T_Convention[[#This Row],[Final]]&lt;&gt;"",VLOOKUP(T_Convention[[#This Row],[NumL]],T_suiviDi[#Data],COLUMN((T_suiviDi[Prénom])),FALSE),"")</f>
        <v/>
      </c>
      <c r="I44" s="282" t="e">
        <f>VLOOKUP(T_Convention[[#This Row],[NumL]],T_suiviDi[#Data],COLUMN((T_suiviDi[[#This Row],[Email]])),FALSE)</f>
        <v>#VALUE!</v>
      </c>
      <c r="J44" s="282" t="e">
        <f>IF(VLOOKUP(T_Convention[[#This Row],[NumL]],T_suiviDi[#Data],COLUMN(T_suiviDi[[#This Row],[Fonction]]),FALSE)="","",VLOOKUP(T_Convention[[#This Row],[NumL]],T_suiviDi[#Data],COLUMN(T_suiviDi[[#This Row],[Fonction]]),FALSE))</f>
        <v>#VALUE!</v>
      </c>
      <c r="K44" s="282" t="e">
        <f>IF(VLOOKUP(T_Convention[[#This Row],[NumL]],T_suiviDi[#Data],COLUMN(T_suiviDi[[#This Row],[Grade]]),FALSE)="","",VLOOKUP(T_Convention[[#This Row],[NumL]],T_suiviDi[#Data],COLUMN(T_suiviDi[[#This Row],[Grade]]),FALSE))</f>
        <v>#VALUE!</v>
      </c>
      <c r="L44" s="282" t="e">
        <f>IF(VLOOKUP(T_Convention[[#This Row],[NumL]],T_suiviDi[#Data],COLUMN(T_suiviDi[[#This Row],[Service ]]),FALSE)="","",VLOOKUP(T_Convention[[#This Row],[NumL]],T_suiviDi[#Data],COLUMN(T_suiviDi[[#This Row],[Service ]]),FALSE))</f>
        <v>#VALUE!</v>
      </c>
      <c r="M44" s="164" t="str">
        <f t="shared" si="1"/>
        <v>01 septembre 2021</v>
      </c>
      <c r="N44" s="164" t="str">
        <f t="shared" si="2"/>
        <v>30 novembre 2021</v>
      </c>
      <c r="O44" s="284" t="str">
        <f t="shared" si="3"/>
        <v>30 novembre 2021</v>
      </c>
      <c r="P44" s="282" t="e">
        <f>IF(VLOOKUP(T_Convention[[#This Row],[NumL]],T_TraitDi[#Data],COLUMN(T_TraitDi[M1]),FALSE)="","",VLOOKUP(T_Convention[[#This Row],[NumL]],T_TraitDi[#Data],COLUMN(T_TraitDi[M1]),FALSE))</f>
        <v>#N/A</v>
      </c>
      <c r="Q44" s="282" t="e">
        <f>IF(VLOOKUP(T_Convention[[#This Row],[NumL]],T_TraitDi[#Data],COLUMN(T_TraitDi[M2]),FALSE)="","",VLOOKUP(T_Convention[[#This Row],[NumL]],T_TraitDi[#Data],COLUMN(T_TraitDi[M2]),FALSE))</f>
        <v>#N/A</v>
      </c>
      <c r="R44" s="282" t="e">
        <f>IF(VLOOKUP(T_Convention[[#This Row],[NumL]],T_TraitDi[#Data],COLUMN(T_TraitDi[M3]),FALSE)="","",VLOOKUP(T_Convention[[#This Row],[NumL]],T_TraitDi[#Data],COLUMN(T_TraitDi[M3]),FALSE))</f>
        <v>#N/A</v>
      </c>
      <c r="S44" s="282" t="e">
        <f>IF(VLOOKUP(T_Convention[[#This Row],[NumL]],T_TraitDi[#Data],COLUMN(T_TraitDi[M4]),FALSE)="","",VLOOKUP(T_Convention[[#This Row],[NumL]],T_TraitDi[#Data],COLUMN(T_TraitDi[M4]),FALSE))</f>
        <v>#N/A</v>
      </c>
      <c r="T44" s="282" t="e">
        <f>IF(VLOOKUP(T_Convention[[#This Row],[NumL]],T_TraitDi[#Data],COLUMN(T_TraitDi[M5]),FALSE)="","",VLOOKUP(T_Convention[[#This Row],[NumL]],T_TraitDi[#Data],COLUMN(T_TraitDi[M5]),FALSE))</f>
        <v>#N/A</v>
      </c>
      <c r="U44" s="282" t="e">
        <f>IF(VLOOKUP(T_Convention[[#This Row],[NumL]],T_TraitDi[#Data],COLUMN(T_TraitDi[M6]),FALSE)="","",VLOOKUP(T_Convention[[#This Row],[NumL]],T_TraitDi[#Data],COLUMN(T_TraitDi[M6]),FALSE))</f>
        <v>#N/A</v>
      </c>
      <c r="V44" s="176" t="e">
        <f t="shared" si="4"/>
        <v>#N/A</v>
      </c>
      <c r="W44" s="284" t="str">
        <f>IFERROR(TEXT(VLOOKUP(T_Convention[[#This Row],[NumL]],T_TraitDi[#Data],COLUMN(T_TraitDi[Q2]),FALSE),"###%"),"")</f>
        <v/>
      </c>
      <c r="X44" s="97" t="e">
        <f>VLOOKUP(T_Convention[[#This Row],[NumL]],T_TraitDi[#Data],COLUMN(T_TraitDi[Reg Ponct]),FALSE)</f>
        <v>#N/A</v>
      </c>
      <c r="Y44" s="97" t="e">
        <f>VLOOKUP(T_Convention[NumL],T_TraitDi[#Data],COLUMN(T_TraitDi[Jours flottants]),FALSE)</f>
        <v>#N/A</v>
      </c>
      <c r="Z44" s="284" t="str">
        <f>IFERROR(VLOOKUP(T_Convention[[#This Row],[NumL]],T_TraitDi[#Data],COLUMN(T_TraitDi[Lundi]),FALSE),"")</f>
        <v/>
      </c>
      <c r="AA44" s="284" t="e">
        <f>IF(VLOOKUP(T_Convention[[#This Row],[NumL]],T_TraitDi[#Data],COLUMN(T_TraitDi[Colonne3]),FALSE)=0,"",TEXT(IFERROR(VLOOKUP(T_Convention[[#This Row],[NumL]],T_TraitDi[#Data],COLUMN(T_TraitDi[Colonne3]),FALSE),""),"[hh]:mm"))</f>
        <v>#N/A</v>
      </c>
      <c r="AB44" s="284" t="e">
        <f>IF(VLOOKUP(T_Convention[[#This Row],[NumL]],T_TraitDi[#Data],COLUMN(T_TraitDi[Colonne4]),FALSE)=0,"",TEXT(IFERROR(VLOOKUP(T_Convention[[#This Row],[NumL]],T_TraitDi[#Data],COLUMN(T_TraitDi[Colonne4]),FALSE),""),"[hh]:mm"))</f>
        <v>#N/A</v>
      </c>
      <c r="AC44" s="284" t="e">
        <f>IF(VLOOKUP(T_Convention[[#This Row],[NumL]],T_TraitDi[#Data],COLUMN(T_TraitDi[Colonne5]),FALSE)=0,"",TEXT(IFERROR(VLOOKUP(T_Convention[[#This Row],[NumL]],T_TraitDi[#Data],COLUMN(T_TraitDi[Colonne5]),FALSE),""),"[hh]:mm"))</f>
        <v>#N/A</v>
      </c>
      <c r="AD44" s="284" t="e">
        <f>IF(VLOOKUP(T_Convention[[#This Row],[NumL]],T_TraitDi[#Data],COLUMN(T_TraitDi[Colonne6]),FALSE)=0,"",TEXT(IFERROR(VLOOKUP(T_Convention[[#This Row],[NumL]],T_TraitDi[#Data],COLUMN(T_TraitDi[Colonne6]),FALSE),""),"[hh]:mm"))</f>
        <v>#N/A</v>
      </c>
      <c r="AE44" s="284" t="e">
        <f>IF(VLOOKUP(T_Convention[[#This Row],[NumL]],T_TraitDi[#Data],COLUMN(T_TraitDi[Colonne7]),FALSE)=0,"",TEXT(IFERROR(VLOOKUP(T_Convention[[#This Row],[NumL]],T_TraitDi[#Data],COLUMN(T_TraitDi[Colonne7]),FALSE),""),"[hh]:mm"))</f>
        <v>#N/A</v>
      </c>
      <c r="AF44" s="284" t="e">
        <f>IF(VLOOKUP(T_Convention[[#This Row],[NumL]],T_TraitDi[#Data],COLUMN(T_TraitDi[Colonne8]),FALSE)=0,"",TEXT(IFERROR(VLOOKUP(T_Convention[[#This Row],[NumL]],T_TraitDi[#Data],COLUMN(T_TraitDi[Colonne8]),FALSE),""),"[hh]:mm"))</f>
        <v>#N/A</v>
      </c>
      <c r="AG44" s="284" t="str">
        <f>IFERROR(VLOOKUP(T_Convention[[#This Row],[NumL]],T_TraitDi[#Data],COLUMN(T_TraitDi[Mardi]),FALSE),"")</f>
        <v/>
      </c>
      <c r="AH44" s="284" t="e">
        <f>IF(VLOOKUP(T_Convention[[#This Row],[NumL]],T_TraitDi[#Data],COLUMN(T_TraitDi[Colonne1]),FALSE)=0,"",TEXT(IFERROR(VLOOKUP(T_Convention[[#This Row],[NumL]],T_TraitDi[#Data],COLUMN(T_TraitDi[Colonne1]),FALSE),""),"[hh]:mm"))</f>
        <v>#N/A</v>
      </c>
      <c r="AI44" s="284" t="e">
        <f>IF(VLOOKUP(T_Convention[[#This Row],[NumL]],T_TraitDi[#Data],COLUMN(T_TraitDi[Colonne9]),FALSE)=0,"",TEXT(IFERROR(VLOOKUP(T_Convention[[#This Row],[NumL]],T_TraitDi[#Data],COLUMN(T_TraitDi[Colonne9]),FALSE),""),"[hh]:mm"))</f>
        <v>#N/A</v>
      </c>
      <c r="AJ44" s="284" t="str">
        <f>IFERROR(VLOOKUP(T_Convention[[#This Row],[NumL]],T_TraitDi[#Data],COLUMN(T_TraitDi[Colonne10]),FALSE),"")</f>
        <v/>
      </c>
      <c r="AK44" s="284" t="e">
        <f>IF(VLOOKUP(T_Convention[[#This Row],[NumL]],T_TraitDi[#Data],COLUMN(T_TraitDi[Colonne11]),FALSE)=0,"",TEXT(IFERROR(VLOOKUP(T_Convention[[#This Row],[NumL]],T_TraitDi[#Data],COLUMN(T_TraitDi[Colonne11]),FALSE),""),"[hh]:mm"))</f>
        <v>#N/A</v>
      </c>
      <c r="AL44" s="284" t="e">
        <f>IF(VLOOKUP(T_Convention[[#This Row],[NumL]],T_TraitDi[#Data],COLUMN(T_TraitDi[Colonne12]),FALSE)=0,"",TEXT(IFERROR(VLOOKUP(T_Convention[[#This Row],[NumL]],T_TraitDi[#Data],COLUMN(T_TraitDi[Colonne12]),FALSE),""),"[hh]:mm"))</f>
        <v>#N/A</v>
      </c>
      <c r="AM44" s="284" t="e">
        <f>IF(VLOOKUP(T_Convention[[#This Row],[NumL]],T_TraitDi[#Data],COLUMN(T_TraitDi[Colonne14]),FALSE)=0,"",TEXT(IFERROR(VLOOKUP(T_Convention[[#This Row],[NumL]],T_TraitDi[#Data],COLUMN(T_TraitDi[Colonne14]),FALSE),""),"[hh]:mm"))</f>
        <v>#N/A</v>
      </c>
      <c r="AN44" s="284" t="str">
        <f>IFERROR(VLOOKUP(T_Convention[[#This Row],[NumL]],T_TraitDi[#Data],COLUMN(T_TraitDi[Mercredi]),FALSE),"")</f>
        <v/>
      </c>
      <c r="AO44" s="284" t="e">
        <f>IF(VLOOKUP(T_Convention[[#This Row],[NumL]],T_TraitDi[#Data],COLUMN(T_TraitDi[Colonne15]),FALSE)=0,"",TEXT(IFERROR(VLOOKUP(T_Convention[[#This Row],[NumL]],T_TraitDi[#Data],COLUMN(T_TraitDi[Colonne15]),FALSE),""),"[hh]:mm"))</f>
        <v>#N/A</v>
      </c>
      <c r="AP44" s="284" t="e">
        <f>IF(VLOOKUP(T_Convention[[#This Row],[NumL]],T_TraitDi[#Data],COLUMN(T_TraitDi[Colonne16]),FALSE)=0,"",TEXT(IFERROR(VLOOKUP(T_Convention[[#This Row],[NumL]],T_TraitDi[#Data],COLUMN(T_TraitDi[Colonne16]),FALSE),""),"[hh]:mm"))</f>
        <v>#N/A</v>
      </c>
      <c r="AQ44" s="284" t="str">
        <f>IFERROR(VLOOKUP(T_Convention[[#This Row],[NumL]],T_TraitDi[#Data],COLUMN(T_TraitDi[Colonne17]),FALSE),"")</f>
        <v/>
      </c>
      <c r="AR44" s="284" t="e">
        <f>IF(VLOOKUP(T_Convention[[#This Row],[NumL]],T_TraitDi[#Data],COLUMN(T_TraitDi[Colonne18]),FALSE)=0,"",TEXT(IFERROR(VLOOKUP(T_Convention[[#This Row],[NumL]],T_TraitDi[#Data],COLUMN(T_TraitDi[Colonne18]),FALSE),""),"[hh]:mm"))</f>
        <v>#N/A</v>
      </c>
      <c r="AS44" s="284" t="e">
        <f>IF(VLOOKUP(T_Convention[[#This Row],[NumL]],T_TraitDi[#Data],COLUMN(T_TraitDi[Colonne19]),FALSE)=0,"",TEXT(IFERROR(VLOOKUP(T_Convention[[#This Row],[NumL]],T_TraitDi[#Data],COLUMN(T_TraitDi[Colonne19]),FALSE),""),"[hh]:mm"))</f>
        <v>#N/A</v>
      </c>
      <c r="AT44" s="284" t="e">
        <f>IF(VLOOKUP(T_Convention[[#This Row],[NumL]],T_TraitDi[#Data],COLUMN(T_TraitDi[Colonne20]),FALSE)=0,"",TEXT(IFERROR(VLOOKUP(T_Convention[[#This Row],[NumL]],T_TraitDi[#Data],COLUMN(T_TraitDi[Colonne20]),FALSE),""),"[hh]:mm"))</f>
        <v>#N/A</v>
      </c>
      <c r="AU44" s="284" t="str">
        <f>IFERROR(VLOOKUP(T_Convention[[#This Row],[NumL]],T_TraitDi[#Data],COLUMN(T_TraitDi[Jeudi]),FALSE),"")</f>
        <v/>
      </c>
      <c r="AV44" s="284" t="e">
        <f>IF(VLOOKUP(T_Convention[[#This Row],[NumL]],T_TraitDi[#Data],COLUMN(T_TraitDi[Colonne21]),FALSE)=0,"",TEXT(IFERROR(VLOOKUP(T_Convention[[#This Row],[NumL]],T_TraitDi[#Data],COLUMN(T_TraitDi[Colonne21]),FALSE),""),"[hh]:mm"))</f>
        <v>#N/A</v>
      </c>
      <c r="AW44" s="284" t="e">
        <f>IF(VLOOKUP(T_Convention[[#This Row],[NumL]],T_TraitDi[#Data],COLUMN(T_TraitDi[Colonne22]),FALSE)=0,"",TEXT(IFERROR(VLOOKUP(T_Convention[[#This Row],[NumL]],T_TraitDi[#Data],COLUMN(T_TraitDi[Colonne22]),FALSE),""),"[hh]:mm"))</f>
        <v>#N/A</v>
      </c>
      <c r="AX44" s="284" t="str">
        <f>IFERROR(VLOOKUP(T_Convention[[#This Row],[NumL]],T_TraitDi[#Data],COLUMN(T_TraitDi[Colonne23]),FALSE),"")</f>
        <v/>
      </c>
      <c r="AY44" s="284" t="e">
        <f>IF(VLOOKUP(T_Convention[[#This Row],[NumL]],T_TraitDi[#Data],COLUMN(T_TraitDi[Colonne24]),FALSE)=0,"",TEXT(IFERROR(VLOOKUP(T_Convention[[#This Row],[NumL]],T_TraitDi[#Data],COLUMN(T_TraitDi[Colonne24]),FALSE),""),"[hh]:mm"))</f>
        <v>#N/A</v>
      </c>
      <c r="AZ44" s="284" t="e">
        <f>IF(VLOOKUP(T_Convention[[#This Row],[NumL]],T_TraitDi[#Data],COLUMN(T_TraitDi[Colonne25]),FALSE)=0,"",TEXT(IFERROR(VLOOKUP(T_Convention[[#This Row],[NumL]],T_TraitDi[#Data],COLUMN(T_TraitDi[Colonne25]),FALSE),""),"[hh]:mm"))</f>
        <v>#N/A</v>
      </c>
      <c r="BA44" s="284" t="e">
        <f>IF(VLOOKUP(T_Convention[[#This Row],[NumL]],T_TraitDi[#Data],COLUMN(T_TraitDi[Colonne26]),FALSE)=0,"",TEXT(IFERROR(VLOOKUP(T_Convention[[#This Row],[NumL]],T_TraitDi[#Data],COLUMN(T_TraitDi[Colonne26]),FALSE),""),"[hh]:mm"))</f>
        <v>#N/A</v>
      </c>
      <c r="BB44" s="284" t="str">
        <f>IFERROR(VLOOKUP(T_Convention[[#This Row],[NumL]],T_TraitDi[#Data],COLUMN(T_TraitDi[Vendredi]),FALSE),"")</f>
        <v/>
      </c>
      <c r="BC44" s="284" t="e">
        <f>IF(VLOOKUP(T_Convention[[#This Row],[NumL]],T_TraitDi[#Data],COLUMN(T_TraitDi[Colonne27]),FALSE)=0,"",TEXT(IFERROR(VLOOKUP(T_Convention[[#This Row],[NumL]],T_TraitDi[#Data],COLUMN(T_TraitDi[Colonne27]),FALSE),""),"[hh]:mm"))</f>
        <v>#N/A</v>
      </c>
      <c r="BD44" s="284" t="e">
        <f>IF(VLOOKUP(T_Convention[[#This Row],[NumL]],T_TraitDi[#Data],COLUMN(T_TraitDi[Colonne28]),FALSE)=0,"",TEXT(IFERROR(VLOOKUP(T_Convention[[#This Row],[NumL]],T_TraitDi[#Data],COLUMN(T_TraitDi[Colonne28]),FALSE),""),"[hh]:mm"))</f>
        <v>#N/A</v>
      </c>
      <c r="BE44" s="284" t="str">
        <f>IFERROR(VLOOKUP(T_Convention[[#This Row],[NumL]],T_TraitDi[#Data],COLUMN(T_TraitDi[Colonne29]),FALSE),"")</f>
        <v/>
      </c>
      <c r="BF44" s="284" t="e">
        <f>IF(VLOOKUP(T_Convention[[#This Row],[NumL]],T_TraitDi[#Data],COLUMN(T_TraitDi[Colonne30]),FALSE)=0,"",TEXT(IFERROR(VLOOKUP(T_Convention[[#This Row],[NumL]],T_TraitDi[#Data],COLUMN(T_TraitDi[Colonne30]),FALSE),""),"[hh]:mm"))</f>
        <v>#N/A</v>
      </c>
      <c r="BG44" s="284" t="e">
        <f>IF(VLOOKUP(T_Convention[[#This Row],[NumL]],T_TraitDi[#Data],COLUMN(T_TraitDi[Colonne31]),FALSE)=0,"",TEXT(IFERROR(VLOOKUP(T_Convention[[#This Row],[NumL]],T_TraitDi[#Data],COLUMN(T_TraitDi[Colonne31]),FALSE),""),"[hh]:mm"))</f>
        <v>#N/A</v>
      </c>
      <c r="BH44" s="284" t="e">
        <f>IF(VLOOKUP(T_Convention[[#This Row],[NumL]],T_TraitDi[#Data],COLUMN(T_TraitDi[Colonne32]),FALSE)=0,"",TEXT(IFERROR(VLOOKUP(T_Convention[[#This Row],[NumL]],T_TraitDi[#Data],COLUMN(T_TraitDi[Colonne32]),FALSE),""),"[hh]:mm"))</f>
        <v>#N/A</v>
      </c>
      <c r="BI44" s="284" t="str">
        <f>IFERROR(VLOOKUP(T_Convention[[#This Row],[NumL]],T_TraitDi[#Data],COLUMN(T_TraitDi[NbJTW]),FALSE),"")</f>
        <v/>
      </c>
      <c r="BJ44" s="284" t="e">
        <f>IF(VLOOKUP(T_Convention[[#This Row],[NumL]],T_TraitDi[#Data],COLUMN(T_TraitDi[NbhTW]),FALSE)=0,"",TEXT(IFERROR(VLOOKUP(T_Convention[[#This Row],[NumL]],T_TraitDi[#Data],COLUMN(T_TraitDi[NbhTW]),FALSE),""),"[hh]:mm"))</f>
        <v>#N/A</v>
      </c>
      <c r="BK44" s="286" t="e">
        <f>IF(VLOOKUP(T_Convention[[#This Row],[NumL]],T_TraitDi[#Data],COLUMN(T_TraitDi[Nbhheb]),FALSE)=0,"",TEXT(IFERROR(VLOOKUP(T_Convention[[#This Row],[NumL]],T_TraitDi[#Data],COLUMN(T_TraitDi[Nbhheb]),FALSE),""),"[hh]:mm"))</f>
        <v>#N/A</v>
      </c>
      <c r="BL44" s="287" t="str">
        <f>IFERROR(VLOOKUP(VLOOKUP(T_Convention[[#This Row],[NumL]],T_TraitDi[#Data],COLUMN(T_TraitDi[Type1]),FALSE),TypeTW,2,FALSE),"")</f>
        <v/>
      </c>
      <c r="BM44" s="288" t="str">
        <f>IFERROR(VLOOKUP(T_Convention[[#This Row],[NumL]],T_TraitDi[#Data],COLUMN(T_TraitDi[Rue1]),FALSE),"")</f>
        <v/>
      </c>
      <c r="BN44" s="289" t="str">
        <f>IFERROR(VLOOKUP(T_Convention[[#This Row],[NumL]],T_TraitDi[#Data],COLUMN(T_TraitDi[CP1]),FALSE),"")</f>
        <v/>
      </c>
      <c r="BO44" s="282" t="str">
        <f>IFERROR(VLOOKUP(T_Convention[[#This Row],[NumL]],T_TraitDi[#Data],COLUMN(T_TraitDi[VILLE1]),FALSE),"")</f>
        <v/>
      </c>
      <c r="BP44" s="290" t="str">
        <f>IFERROR(VLOOKUP(VLOOKUP(T_Convention[[#This Row],[NumL]],T_TraitDi[#Data],COLUMN(T_TraitDi[Type2]),FALSE),TypeTW,2,FALSE),"")</f>
        <v/>
      </c>
      <c r="BQ44" s="182" t="str">
        <f>IFERROR(VLOOKUP(T_Convention[[#This Row],[NumL]],T_TraitDi[#Data],COLUMN(T_TraitDi[Rue2]),FALSE),"")</f>
        <v/>
      </c>
      <c r="BR44" s="173" t="str">
        <f>IFERROR(VLOOKUP(T_Convention[[#This Row],[NumL]],T_TraitDi[#Data],COLUMN(T_TraitDi[CP2]),FALSE),"")</f>
        <v/>
      </c>
      <c r="BS44" s="173" t="str">
        <f>IFERROR(VLOOKUP(T_Convention[[#This Row],[NumL]],T_TraitDi[#Data],COLUMN(T_TraitDi[VILLE2]),FALSE),"")</f>
        <v/>
      </c>
      <c r="BT44" s="182" t="str">
        <f>IF(VLOOKUP(T_Convention[[#This Row],[NumL]],T_Equipement[#Data],COLUMN(T_Equipement[PC]),FALSE)="","Aucun équipement spécifique directement lié au télétravail",VLOOKUP(T_Convention[[#This Row],[NumL]],T_Equipement[#Data],COLUMN(T_Equipement[PC]),FALSE))</f>
        <v xml:space="preserve">19-603	</v>
      </c>
      <c r="BU44" s="166" t="str">
        <f>IFERROR(IF(VLOOKUP(T_Convention[[#This Row],[NumL]],T_TraitDi[#Data],COLUMN(T_TraitDi[Plan]),FALSE)="OK","Un planning spécifique de télétravail est annexé à la présente convention.",""),"")</f>
        <v/>
      </c>
      <c r="BV44" s="185" t="s">
        <v>3400</v>
      </c>
      <c r="BW44" s="164" t="e">
        <f>IF(VLOOKUP(T_Convention[[#This Row],[NumL]],T_suiviDi[#Data],COLUMN(T_suiviDi[Entité]),FALSE)="","",VLOOKUP(T_Convention[[#This Row],[NumL]],T_suiviDi[#Data],COLUMN(T_suiviDi[Entité]),FALSE))</f>
        <v>#N/A</v>
      </c>
      <c r="BX44" s="164" t="str">
        <f>IF(VLOOKUP(T_Convention[[#This Row],[NumL]],T_Commission[#Data],COLUMN(T_Commission[envoi confirm TW]),FALSE)="","",VLOOKUP(T_Convention[[#This Row],[NumL]],T_Commission[#Data],COLUMN(T_Commission[envoi confirm TW]),FALSE))</f>
        <v>Oui</v>
      </c>
      <c r="BY4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4" s="264">
        <f>VLOOKUP(T_Convention[[#This Row],[NumL]],T_Commission[#Data],COLUMN(T_Commission[Commentaire]),FALSE)</f>
        <v>0</v>
      </c>
      <c r="CA44" s="254" t="str">
        <f>IF(VLOOKUP(T_Convention[[#This Row],[NumL]],T_Commission[#Data],COLUMN(T_Commission[Encadrant Email]),FALSE)="","",VLOOKUP(T_Convention[[#This Row],[NumL]],T_Commission[#Data],COLUMN(T_Commission[Encadrant Email]),FALSE))</f>
        <v/>
      </c>
      <c r="CB44" s="352" t="e">
        <f>VLOOKUP(T_Convention[[#This Row],[NumL]],T_TraitDi[#Data],COLUMN(T_TraitDi[NbJTot]),FALSE)</f>
        <v>#N/A</v>
      </c>
      <c r="CC44" s="352" t="e">
        <f>VLOOKUP(T_Convention[[#This Row],[NumL]],T_TraitDi[#Data],COLUMN(T_TraitDi[Reg Ponct]),FALSE)</f>
        <v>#N/A</v>
      </c>
      <c r="CD44" s="348" t="str">
        <f>IF(T_Convention[[#This Row],[Final]]&lt;&gt;"",VLOOKUP(T_Convention[[#This Row],[NumL]],T_suiviDi[#Data],COLUMN((T_suiviDi[Statut])),FALSE),"")</f>
        <v/>
      </c>
    </row>
    <row r="45" spans="1:82" s="106" customFormat="1" ht="18.75" customHeight="1" x14ac:dyDescent="0.25">
      <c r="A45" s="160">
        <v>84</v>
      </c>
      <c r="B45" s="161" t="str">
        <f>VLOOKUP(T_Convention[[#This Row],[NumL]],T_Commission[#Data],COLUMN(T_Commission[FINAL]),FALSE)</f>
        <v/>
      </c>
      <c r="C45" s="162"/>
      <c r="D45" s="95" t="e">
        <f>IF(VLOOKUP(T_Convention[[#This Row],[NumL]],T_TraitDi[#Data],COLUMN(T_TraitDi[WebC]),FALSE)="","",VLOOKUP(T_Convention[[#This Row],[NumL]],T_TraitDi[#Data],COLUMN(T_TraitDi[WebC]),FALSE))</f>
        <v>#N/A</v>
      </c>
      <c r="E45" s="163" t="str">
        <f t="shared" si="0"/>
        <v>12 janvier 2021</v>
      </c>
      <c r="F45" s="282" t="str">
        <f>IF(T_Convention[[#This Row],[Final]]&lt;&gt;"",VLOOKUP(T_Convention[[#This Row],[NumL]],T_suiviDi[#Data],COLUMN((T_suiviDi[Civ.])),FALSE),"")</f>
        <v/>
      </c>
      <c r="G45" s="283" t="str">
        <f>IF(T_Convention[[#This Row],[Final]]&lt;&gt;"",VLOOKUP(T_Convention[[#This Row],[NumL]],T_suiviDi[#Data],COLUMN((T_suiviDi[Nom])),FALSE),"")</f>
        <v/>
      </c>
      <c r="H45" s="282" t="str">
        <f>IF(T_Convention[[#This Row],[Final]]&lt;&gt;"",VLOOKUP(T_Convention[[#This Row],[NumL]],T_suiviDi[#Data],COLUMN((T_suiviDi[Prénom])),FALSE),"")</f>
        <v/>
      </c>
      <c r="I45" s="282" t="e">
        <f>VLOOKUP(T_Convention[[#This Row],[NumL]],T_suiviDi[#Data],COLUMN((T_suiviDi[[#This Row],[Email]])),FALSE)</f>
        <v>#VALUE!</v>
      </c>
      <c r="J45" s="282" t="e">
        <f>IF(VLOOKUP(T_Convention[[#This Row],[NumL]],T_suiviDi[#Data],COLUMN(T_suiviDi[[#This Row],[Fonction]]),FALSE)="","",VLOOKUP(T_Convention[[#This Row],[NumL]],T_suiviDi[#Data],COLUMN(T_suiviDi[[#This Row],[Fonction]]),FALSE))</f>
        <v>#VALUE!</v>
      </c>
      <c r="K45" s="282" t="e">
        <f>IF(VLOOKUP(T_Convention[[#This Row],[NumL]],T_suiviDi[#Data],COLUMN(T_suiviDi[[#This Row],[Grade]]),FALSE)="","",VLOOKUP(T_Convention[[#This Row],[NumL]],T_suiviDi[#Data],COLUMN(T_suiviDi[[#This Row],[Grade]]),FALSE))</f>
        <v>#VALUE!</v>
      </c>
      <c r="L45" s="282" t="e">
        <f>IF(VLOOKUP(T_Convention[[#This Row],[NumL]],T_suiviDi[#Data],COLUMN(T_suiviDi[[#This Row],[Service ]]),FALSE)="","",VLOOKUP(T_Convention[[#This Row],[NumL]],T_suiviDi[#Data],COLUMN(T_suiviDi[[#This Row],[Service ]]),FALSE))</f>
        <v>#VALUE!</v>
      </c>
      <c r="M45" s="164" t="str">
        <f t="shared" si="1"/>
        <v>01 septembre 2021</v>
      </c>
      <c r="N45" s="164" t="str">
        <f t="shared" si="2"/>
        <v>30 novembre 2021</v>
      </c>
      <c r="O45" s="284" t="str">
        <f t="shared" si="3"/>
        <v>30 novembre 2021</v>
      </c>
      <c r="P45" s="282" t="e">
        <f>IF(VLOOKUP(T_Convention[[#This Row],[NumL]],T_TraitDi[#Data],COLUMN(T_TraitDi[M1]),FALSE)="","",VLOOKUP(T_Convention[[#This Row],[NumL]],T_TraitDi[#Data],COLUMN(T_TraitDi[M1]),FALSE))</f>
        <v>#N/A</v>
      </c>
      <c r="Q45" s="282" t="e">
        <f>IF(VLOOKUP(T_Convention[[#This Row],[NumL]],T_TraitDi[#Data],COLUMN(T_TraitDi[M2]),FALSE)="","",VLOOKUP(T_Convention[[#This Row],[NumL]],T_TraitDi[#Data],COLUMN(T_TraitDi[M2]),FALSE))</f>
        <v>#N/A</v>
      </c>
      <c r="R45" s="282" t="e">
        <f>IF(VLOOKUP(T_Convention[[#This Row],[NumL]],T_TraitDi[#Data],COLUMN(T_TraitDi[M3]),FALSE)="","",VLOOKUP(T_Convention[[#This Row],[NumL]],T_TraitDi[#Data],COLUMN(T_TraitDi[M3]),FALSE))</f>
        <v>#N/A</v>
      </c>
      <c r="S45" s="282" t="e">
        <f>IF(VLOOKUP(T_Convention[[#This Row],[NumL]],T_TraitDi[#Data],COLUMN(T_TraitDi[M4]),FALSE)="","",VLOOKUP(T_Convention[[#This Row],[NumL]],T_TraitDi[#Data],COLUMN(T_TraitDi[M4]),FALSE))</f>
        <v>#N/A</v>
      </c>
      <c r="T45" s="282" t="e">
        <f>IF(VLOOKUP(T_Convention[[#This Row],[NumL]],T_TraitDi[#Data],COLUMN(T_TraitDi[M5]),FALSE)="","",VLOOKUP(T_Convention[[#This Row],[NumL]],T_TraitDi[#Data],COLUMN(T_TraitDi[M5]),FALSE))</f>
        <v>#N/A</v>
      </c>
      <c r="U45" s="282" t="e">
        <f>IF(VLOOKUP(T_Convention[[#This Row],[NumL]],T_TraitDi[#Data],COLUMN(T_TraitDi[M6]),FALSE)="","",VLOOKUP(T_Convention[[#This Row],[NumL]],T_TraitDi[#Data],COLUMN(T_TraitDi[M6]),FALSE))</f>
        <v>#N/A</v>
      </c>
      <c r="V45" s="176" t="e">
        <f t="shared" si="4"/>
        <v>#N/A</v>
      </c>
      <c r="W45" s="284" t="str">
        <f>IFERROR(TEXT(VLOOKUP(T_Convention[[#This Row],[NumL]],T_TraitDi[#Data],COLUMN(T_TraitDi[Q2]),FALSE),"###%"),"")</f>
        <v/>
      </c>
      <c r="X45" s="97" t="e">
        <f>VLOOKUP(T_Convention[[#This Row],[NumL]],T_TraitDi[#Data],COLUMN(T_TraitDi[Reg Ponct]),FALSE)</f>
        <v>#N/A</v>
      </c>
      <c r="Y45" s="97" t="e">
        <f>VLOOKUP(T_Convention[NumL],T_TraitDi[#Data],COLUMN(T_TraitDi[Jours flottants]),FALSE)</f>
        <v>#N/A</v>
      </c>
      <c r="Z45" s="284" t="str">
        <f>IFERROR(VLOOKUP(T_Convention[[#This Row],[NumL]],T_TraitDi[#Data],COLUMN(T_TraitDi[Lundi]),FALSE),"")</f>
        <v/>
      </c>
      <c r="AA45" s="284" t="e">
        <f>IF(VLOOKUP(T_Convention[[#This Row],[NumL]],T_TraitDi[#Data],COLUMN(T_TraitDi[Colonne3]),FALSE)=0,"",TEXT(IFERROR(VLOOKUP(T_Convention[[#This Row],[NumL]],T_TraitDi[#Data],COLUMN(T_TraitDi[Colonne3]),FALSE),""),"[hh]:mm"))</f>
        <v>#N/A</v>
      </c>
      <c r="AB45" s="284" t="e">
        <f>IF(VLOOKUP(T_Convention[[#This Row],[NumL]],T_TraitDi[#Data],COLUMN(T_TraitDi[Colonne4]),FALSE)=0,"",TEXT(IFERROR(VLOOKUP(T_Convention[[#This Row],[NumL]],T_TraitDi[#Data],COLUMN(T_TraitDi[Colonne4]),FALSE),""),"[hh]:mm"))</f>
        <v>#N/A</v>
      </c>
      <c r="AC45" s="284" t="e">
        <f>IF(VLOOKUP(T_Convention[[#This Row],[NumL]],T_TraitDi[#Data],COLUMN(T_TraitDi[Colonne5]),FALSE)=0,"",TEXT(IFERROR(VLOOKUP(T_Convention[[#This Row],[NumL]],T_TraitDi[#Data],COLUMN(T_TraitDi[Colonne5]),FALSE),""),"[hh]:mm"))</f>
        <v>#N/A</v>
      </c>
      <c r="AD45" s="284" t="e">
        <f>IF(VLOOKUP(T_Convention[[#This Row],[NumL]],T_TraitDi[#Data],COLUMN(T_TraitDi[Colonne6]),FALSE)=0,"",TEXT(IFERROR(VLOOKUP(T_Convention[[#This Row],[NumL]],T_TraitDi[#Data],COLUMN(T_TraitDi[Colonne6]),FALSE),""),"[hh]:mm"))</f>
        <v>#N/A</v>
      </c>
      <c r="AE45" s="284" t="e">
        <f>IF(VLOOKUP(T_Convention[[#This Row],[NumL]],T_TraitDi[#Data],COLUMN(T_TraitDi[Colonne7]),FALSE)=0,"",TEXT(IFERROR(VLOOKUP(T_Convention[[#This Row],[NumL]],T_TraitDi[#Data],COLUMN(T_TraitDi[Colonne7]),FALSE),""),"[hh]:mm"))</f>
        <v>#N/A</v>
      </c>
      <c r="AF45" s="284" t="e">
        <f>IF(VLOOKUP(T_Convention[[#This Row],[NumL]],T_TraitDi[#Data],COLUMN(T_TraitDi[Colonne8]),FALSE)=0,"",TEXT(IFERROR(VLOOKUP(T_Convention[[#This Row],[NumL]],T_TraitDi[#Data],COLUMN(T_TraitDi[Colonne8]),FALSE),""),"[hh]:mm"))</f>
        <v>#N/A</v>
      </c>
      <c r="AG45" s="284" t="str">
        <f>IFERROR(VLOOKUP(T_Convention[[#This Row],[NumL]],T_TraitDi[#Data],COLUMN(T_TraitDi[Mardi]),FALSE),"")</f>
        <v/>
      </c>
      <c r="AH45" s="284" t="e">
        <f>IF(VLOOKUP(T_Convention[[#This Row],[NumL]],T_TraitDi[#Data],COLUMN(T_TraitDi[Colonne1]),FALSE)=0,"",TEXT(IFERROR(VLOOKUP(T_Convention[[#This Row],[NumL]],T_TraitDi[#Data],COLUMN(T_TraitDi[Colonne1]),FALSE),""),"[hh]:mm"))</f>
        <v>#N/A</v>
      </c>
      <c r="AI45" s="284" t="e">
        <f>IF(VLOOKUP(T_Convention[[#This Row],[NumL]],T_TraitDi[#Data],COLUMN(T_TraitDi[Colonne9]),FALSE)=0,"",TEXT(IFERROR(VLOOKUP(T_Convention[[#This Row],[NumL]],T_TraitDi[#Data],COLUMN(T_TraitDi[Colonne9]),FALSE),""),"[hh]:mm"))</f>
        <v>#N/A</v>
      </c>
      <c r="AJ45" s="284" t="str">
        <f>IFERROR(VLOOKUP(T_Convention[[#This Row],[NumL]],T_TraitDi[#Data],COLUMN(T_TraitDi[Colonne10]),FALSE),"")</f>
        <v/>
      </c>
      <c r="AK45" s="284" t="e">
        <f>IF(VLOOKUP(T_Convention[[#This Row],[NumL]],T_TraitDi[#Data],COLUMN(T_TraitDi[Colonne11]),FALSE)=0,"",TEXT(IFERROR(VLOOKUP(T_Convention[[#This Row],[NumL]],T_TraitDi[#Data],COLUMN(T_TraitDi[Colonne11]),FALSE),""),"[hh]:mm"))</f>
        <v>#N/A</v>
      </c>
      <c r="AL45" s="284" t="e">
        <f>IF(VLOOKUP(T_Convention[[#This Row],[NumL]],T_TraitDi[#Data],COLUMN(T_TraitDi[Colonne12]),FALSE)=0,"",TEXT(IFERROR(VLOOKUP(T_Convention[[#This Row],[NumL]],T_TraitDi[#Data],COLUMN(T_TraitDi[Colonne12]),FALSE),""),"[hh]:mm"))</f>
        <v>#N/A</v>
      </c>
      <c r="AM45" s="284" t="e">
        <f>IF(VLOOKUP(T_Convention[[#This Row],[NumL]],T_TraitDi[#Data],COLUMN(T_TraitDi[Colonne14]),FALSE)=0,"",TEXT(IFERROR(VLOOKUP(T_Convention[[#This Row],[NumL]],T_TraitDi[#Data],COLUMN(T_TraitDi[Colonne14]),FALSE),""),"[hh]:mm"))</f>
        <v>#N/A</v>
      </c>
      <c r="AN45" s="284" t="str">
        <f>IFERROR(VLOOKUP(T_Convention[[#This Row],[NumL]],T_TraitDi[#Data],COLUMN(T_TraitDi[Mercredi]),FALSE),"")</f>
        <v/>
      </c>
      <c r="AO45" s="284" t="e">
        <f>IF(VLOOKUP(T_Convention[[#This Row],[NumL]],T_TraitDi[#Data],COLUMN(T_TraitDi[Colonne15]),FALSE)=0,"",TEXT(IFERROR(VLOOKUP(T_Convention[[#This Row],[NumL]],T_TraitDi[#Data],COLUMN(T_TraitDi[Colonne15]),FALSE),""),"[hh]:mm"))</f>
        <v>#N/A</v>
      </c>
      <c r="AP45" s="284" t="e">
        <f>IF(VLOOKUP(T_Convention[[#This Row],[NumL]],T_TraitDi[#Data],COLUMN(T_TraitDi[Colonne16]),FALSE)=0,"",TEXT(IFERROR(VLOOKUP(T_Convention[[#This Row],[NumL]],T_TraitDi[#Data],COLUMN(T_TraitDi[Colonne16]),FALSE),""),"[hh]:mm"))</f>
        <v>#N/A</v>
      </c>
      <c r="AQ45" s="284" t="str">
        <f>IFERROR(VLOOKUP(T_Convention[[#This Row],[NumL]],T_TraitDi[#Data],COLUMN(T_TraitDi[Colonne17]),FALSE),"")</f>
        <v/>
      </c>
      <c r="AR45" s="284" t="e">
        <f>IF(VLOOKUP(T_Convention[[#This Row],[NumL]],T_TraitDi[#Data],COLUMN(T_TraitDi[Colonne18]),FALSE)=0,"",TEXT(IFERROR(VLOOKUP(T_Convention[[#This Row],[NumL]],T_TraitDi[#Data],COLUMN(T_TraitDi[Colonne18]),FALSE),""),"[hh]:mm"))</f>
        <v>#N/A</v>
      </c>
      <c r="AS45" s="284" t="e">
        <f>IF(VLOOKUP(T_Convention[[#This Row],[NumL]],T_TraitDi[#Data],COLUMN(T_TraitDi[Colonne19]),FALSE)=0,"",TEXT(IFERROR(VLOOKUP(T_Convention[[#This Row],[NumL]],T_TraitDi[#Data],COLUMN(T_TraitDi[Colonne19]),FALSE),""),"[hh]:mm"))</f>
        <v>#N/A</v>
      </c>
      <c r="AT45" s="284" t="e">
        <f>IF(VLOOKUP(T_Convention[[#This Row],[NumL]],T_TraitDi[#Data],COLUMN(T_TraitDi[Colonne20]),FALSE)=0,"",TEXT(IFERROR(VLOOKUP(T_Convention[[#This Row],[NumL]],T_TraitDi[#Data],COLUMN(T_TraitDi[Colonne20]),FALSE),""),"[hh]:mm"))</f>
        <v>#N/A</v>
      </c>
      <c r="AU45" s="284" t="str">
        <f>IFERROR(VLOOKUP(T_Convention[[#This Row],[NumL]],T_TraitDi[#Data],COLUMN(T_TraitDi[Jeudi]),FALSE),"")</f>
        <v/>
      </c>
      <c r="AV45" s="284" t="e">
        <f>IF(VLOOKUP(T_Convention[[#This Row],[NumL]],T_TraitDi[#Data],COLUMN(T_TraitDi[Colonne21]),FALSE)=0,"",TEXT(IFERROR(VLOOKUP(T_Convention[[#This Row],[NumL]],T_TraitDi[#Data],COLUMN(T_TraitDi[Colonne21]),FALSE),""),"[hh]:mm"))</f>
        <v>#N/A</v>
      </c>
      <c r="AW45" s="284" t="e">
        <f>IF(VLOOKUP(T_Convention[[#This Row],[NumL]],T_TraitDi[#Data],COLUMN(T_TraitDi[Colonne22]),FALSE)=0,"",TEXT(IFERROR(VLOOKUP(T_Convention[[#This Row],[NumL]],T_TraitDi[#Data],COLUMN(T_TraitDi[Colonne22]),FALSE),""),"[hh]:mm"))</f>
        <v>#N/A</v>
      </c>
      <c r="AX45" s="284" t="str">
        <f>IFERROR(VLOOKUP(T_Convention[[#This Row],[NumL]],T_TraitDi[#Data],COLUMN(T_TraitDi[Colonne23]),FALSE),"")</f>
        <v/>
      </c>
      <c r="AY45" s="284" t="e">
        <f>IF(VLOOKUP(T_Convention[[#This Row],[NumL]],T_TraitDi[#Data],COLUMN(T_TraitDi[Colonne24]),FALSE)=0,"",TEXT(IFERROR(VLOOKUP(T_Convention[[#This Row],[NumL]],T_TraitDi[#Data],COLUMN(T_TraitDi[Colonne24]),FALSE),""),"[hh]:mm"))</f>
        <v>#N/A</v>
      </c>
      <c r="AZ45" s="284" t="e">
        <f>IF(VLOOKUP(T_Convention[[#This Row],[NumL]],T_TraitDi[#Data],COLUMN(T_TraitDi[Colonne25]),FALSE)=0,"",TEXT(IFERROR(VLOOKUP(T_Convention[[#This Row],[NumL]],T_TraitDi[#Data],COLUMN(T_TraitDi[Colonne25]),FALSE),""),"[hh]:mm"))</f>
        <v>#N/A</v>
      </c>
      <c r="BA45" s="284" t="e">
        <f>IF(VLOOKUP(T_Convention[[#This Row],[NumL]],T_TraitDi[#Data],COLUMN(T_TraitDi[Colonne26]),FALSE)=0,"",TEXT(IFERROR(VLOOKUP(T_Convention[[#This Row],[NumL]],T_TraitDi[#Data],COLUMN(T_TraitDi[Colonne26]),FALSE),""),"[hh]:mm"))</f>
        <v>#N/A</v>
      </c>
      <c r="BB45" s="284" t="str">
        <f>IFERROR(VLOOKUP(T_Convention[[#This Row],[NumL]],T_TraitDi[#Data],COLUMN(T_TraitDi[Vendredi]),FALSE),"")</f>
        <v/>
      </c>
      <c r="BC45" s="284" t="e">
        <f>IF(VLOOKUP(T_Convention[[#This Row],[NumL]],T_TraitDi[#Data],COLUMN(T_TraitDi[Colonne27]),FALSE)=0,"",TEXT(IFERROR(VLOOKUP(T_Convention[[#This Row],[NumL]],T_TraitDi[#Data],COLUMN(T_TraitDi[Colonne27]),FALSE),""),"[hh]:mm"))</f>
        <v>#N/A</v>
      </c>
      <c r="BD45" s="284" t="e">
        <f>IF(VLOOKUP(T_Convention[[#This Row],[NumL]],T_TraitDi[#Data],COLUMN(T_TraitDi[Colonne28]),FALSE)=0,"",TEXT(IFERROR(VLOOKUP(T_Convention[[#This Row],[NumL]],T_TraitDi[#Data],COLUMN(T_TraitDi[Colonne28]),FALSE),""),"[hh]:mm"))</f>
        <v>#N/A</v>
      </c>
      <c r="BE45" s="284" t="str">
        <f>IFERROR(VLOOKUP(T_Convention[[#This Row],[NumL]],T_TraitDi[#Data],COLUMN(T_TraitDi[Colonne29]),FALSE),"")</f>
        <v/>
      </c>
      <c r="BF45" s="284" t="e">
        <f>IF(VLOOKUP(T_Convention[[#This Row],[NumL]],T_TraitDi[#Data],COLUMN(T_TraitDi[Colonne30]),FALSE)=0,"",TEXT(IFERROR(VLOOKUP(T_Convention[[#This Row],[NumL]],T_TraitDi[#Data],COLUMN(T_TraitDi[Colonne30]),FALSE),""),"[hh]:mm"))</f>
        <v>#N/A</v>
      </c>
      <c r="BG45" s="284" t="e">
        <f>IF(VLOOKUP(T_Convention[[#This Row],[NumL]],T_TraitDi[#Data],COLUMN(T_TraitDi[Colonne31]),FALSE)=0,"",TEXT(IFERROR(VLOOKUP(T_Convention[[#This Row],[NumL]],T_TraitDi[#Data],COLUMN(T_TraitDi[Colonne31]),FALSE),""),"[hh]:mm"))</f>
        <v>#N/A</v>
      </c>
      <c r="BH45" s="284" t="e">
        <f>IF(VLOOKUP(T_Convention[[#This Row],[NumL]],T_TraitDi[#Data],COLUMN(T_TraitDi[Colonne32]),FALSE)=0,"",TEXT(IFERROR(VLOOKUP(T_Convention[[#This Row],[NumL]],T_TraitDi[#Data],COLUMN(T_TraitDi[Colonne32]),FALSE),""),"[hh]:mm"))</f>
        <v>#N/A</v>
      </c>
      <c r="BI45" s="284" t="str">
        <f>IFERROR(VLOOKUP(T_Convention[[#This Row],[NumL]],T_TraitDi[#Data],COLUMN(T_TraitDi[NbJTW]),FALSE),"")</f>
        <v/>
      </c>
      <c r="BJ45" s="284" t="e">
        <f>IF(VLOOKUP(T_Convention[[#This Row],[NumL]],T_TraitDi[#Data],COLUMN(T_TraitDi[NbhTW]),FALSE)=0,"",TEXT(IFERROR(VLOOKUP(T_Convention[[#This Row],[NumL]],T_TraitDi[#Data],COLUMN(T_TraitDi[NbhTW]),FALSE),""),"[hh]:mm"))</f>
        <v>#N/A</v>
      </c>
      <c r="BK45" s="286" t="e">
        <f>IF(VLOOKUP(T_Convention[[#This Row],[NumL]],T_TraitDi[#Data],COLUMN(T_TraitDi[Nbhheb]),FALSE)=0,"",TEXT(IFERROR(VLOOKUP(T_Convention[[#This Row],[NumL]],T_TraitDi[#Data],COLUMN(T_TraitDi[Nbhheb]),FALSE),""),"[hh]:mm"))</f>
        <v>#N/A</v>
      </c>
      <c r="BL45" s="287" t="str">
        <f>IFERROR(VLOOKUP(VLOOKUP(T_Convention[[#This Row],[NumL]],T_TraitDi[#Data],COLUMN(T_TraitDi[Type1]),FALSE),TypeTW,2,FALSE),"")</f>
        <v/>
      </c>
      <c r="BM45" s="288" t="str">
        <f>IFERROR(VLOOKUP(T_Convention[[#This Row],[NumL]],T_TraitDi[#Data],COLUMN(T_TraitDi[Rue1]),FALSE),"")</f>
        <v/>
      </c>
      <c r="BN45" s="289" t="str">
        <f>IFERROR(VLOOKUP(T_Convention[[#This Row],[NumL]],T_TraitDi[#Data],COLUMN(T_TraitDi[CP1]),FALSE),"")</f>
        <v/>
      </c>
      <c r="BO45" s="282" t="str">
        <f>IFERROR(VLOOKUP(T_Convention[[#This Row],[NumL]],T_TraitDi[#Data],COLUMN(T_TraitDi[VILLE1]),FALSE),"")</f>
        <v/>
      </c>
      <c r="BP45" s="290" t="str">
        <f>IFERROR(VLOOKUP(VLOOKUP(T_Convention[[#This Row],[NumL]],T_TraitDi[#Data],COLUMN(T_TraitDi[Type2]),FALSE),TypeTW,2,FALSE),"")</f>
        <v/>
      </c>
      <c r="BQ45" s="182" t="str">
        <f>IFERROR(VLOOKUP(T_Convention[[#This Row],[NumL]],T_TraitDi[#Data],COLUMN(T_TraitDi[Rue2]),FALSE),"")</f>
        <v/>
      </c>
      <c r="BR45" s="173" t="str">
        <f>IFERROR(VLOOKUP(T_Convention[[#This Row],[NumL]],T_TraitDi[#Data],COLUMN(T_TraitDi[CP2]),FALSE),"")</f>
        <v/>
      </c>
      <c r="BS45" s="173" t="str">
        <f>IFERROR(VLOOKUP(T_Convention[[#This Row],[NumL]],T_TraitDi[#Data],COLUMN(T_TraitDi[VILLE2]),FALSE),"")</f>
        <v/>
      </c>
      <c r="BT45" s="182" t="str">
        <f>IF(VLOOKUP(T_Convention[[#This Row],[NumL]],T_Equipement[#Data],COLUMN(T_Equipement[PC]),FALSE)="","Aucun équipement spécifique directement lié au télétravail",VLOOKUP(T_Convention[[#This Row],[NumL]],T_Equipement[#Data],COLUMN(T_Equipement[PC]),FALSE))</f>
        <v xml:space="preserve">20-716	</v>
      </c>
      <c r="BU45" s="166" t="str">
        <f>IFERROR(IF(VLOOKUP(T_Convention[[#This Row],[NumL]],T_TraitDi[#Data],COLUMN(T_TraitDi[Plan]),FALSE)="OK","Un planning spécifique de télétravail est annexé à la présente convention.",""),"")</f>
        <v/>
      </c>
      <c r="BV45" s="185" t="s">
        <v>3481</v>
      </c>
      <c r="BW45" s="164" t="e">
        <f>IF(VLOOKUP(T_Convention[[#This Row],[NumL]],T_suiviDi[#Data],COLUMN(T_suiviDi[Entité]),FALSE)="","",VLOOKUP(T_Convention[[#This Row],[NumL]],T_suiviDi[#Data],COLUMN(T_suiviDi[Entité]),FALSE))</f>
        <v>#N/A</v>
      </c>
      <c r="BX45" s="164" t="str">
        <f>IF(VLOOKUP(T_Convention[[#This Row],[NumL]],T_Commission[#Data],COLUMN(T_Commission[envoi confirm TW]),FALSE)="","",VLOOKUP(T_Convention[[#This Row],[NumL]],T_Commission[#Data],COLUMN(T_Commission[envoi confirm TW]),FALSE))</f>
        <v>Oui</v>
      </c>
      <c r="BY4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5" s="264">
        <f>VLOOKUP(T_Convention[[#This Row],[NumL]],T_Commission[#Data],COLUMN(T_Commission[Commentaire]),FALSE)</f>
        <v>0</v>
      </c>
      <c r="CA45" s="254" t="str">
        <f>IF(VLOOKUP(T_Convention[[#This Row],[NumL]],T_Commission[#Data],COLUMN(T_Commission[Encadrant Email]),FALSE)="","",VLOOKUP(T_Convention[[#This Row],[NumL]],T_Commission[#Data],COLUMN(T_Commission[Encadrant Email]),FALSE))</f>
        <v/>
      </c>
      <c r="CB45" s="352" t="e">
        <f>VLOOKUP(T_Convention[[#This Row],[NumL]],T_TraitDi[#Data],COLUMN(T_TraitDi[NbJTot]),FALSE)</f>
        <v>#N/A</v>
      </c>
      <c r="CC45" s="352" t="e">
        <f>VLOOKUP(T_Convention[[#This Row],[NumL]],T_TraitDi[#Data],COLUMN(T_TraitDi[Reg Ponct]),FALSE)</f>
        <v>#N/A</v>
      </c>
      <c r="CD45" s="348" t="str">
        <f>IF(T_Convention[[#This Row],[Final]]&lt;&gt;"",VLOOKUP(T_Convention[[#This Row],[NumL]],T_suiviDi[#Data],COLUMN((T_suiviDi[Statut])),FALSE),"")</f>
        <v/>
      </c>
    </row>
    <row r="46" spans="1:82" s="106" customFormat="1" ht="18.75" customHeight="1" x14ac:dyDescent="0.25">
      <c r="A46" s="160">
        <v>69</v>
      </c>
      <c r="B46" s="161" t="str">
        <f>VLOOKUP(T_Convention[[#This Row],[NumL]],T_Commission[#Data],COLUMN(T_Commission[FINAL]),FALSE)</f>
        <v/>
      </c>
      <c r="C46" s="162"/>
      <c r="D46" s="95" t="e">
        <f>IF(VLOOKUP(T_Convention[[#This Row],[NumL]],T_TraitDi[#Data],COLUMN(T_TraitDi[WebC]),FALSE)="","",VLOOKUP(T_Convention[[#This Row],[NumL]],T_TraitDi[#Data],COLUMN(T_TraitDi[WebC]),FALSE))</f>
        <v>#N/A</v>
      </c>
      <c r="E46" s="163" t="str">
        <f t="shared" si="0"/>
        <v>12 janvier 2021</v>
      </c>
      <c r="F46" s="282" t="str">
        <f>IF(T_Convention[[#This Row],[Final]]&lt;&gt;"",VLOOKUP(T_Convention[[#This Row],[NumL]],T_suiviDi[#Data],COLUMN((T_suiviDi[Civ.])),FALSE),"")</f>
        <v/>
      </c>
      <c r="G46" s="283" t="str">
        <f>IF(T_Convention[[#This Row],[Final]]&lt;&gt;"",VLOOKUP(T_Convention[[#This Row],[NumL]],T_suiviDi[#Data],COLUMN((T_suiviDi[Nom])),FALSE),"")</f>
        <v/>
      </c>
      <c r="H46" s="282" t="str">
        <f>IF(T_Convention[[#This Row],[Final]]&lt;&gt;"",VLOOKUP(T_Convention[[#This Row],[NumL]],T_suiviDi[#Data],COLUMN((T_suiviDi[Prénom])),FALSE),"")</f>
        <v/>
      </c>
      <c r="I46" s="282" t="e">
        <f>VLOOKUP(T_Convention[[#This Row],[NumL]],T_suiviDi[#Data],COLUMN((T_suiviDi[[#This Row],[Email]])),FALSE)</f>
        <v>#VALUE!</v>
      </c>
      <c r="J46" s="282" t="e">
        <f>IF(VLOOKUP(T_Convention[[#This Row],[NumL]],T_suiviDi[#Data],COLUMN(T_suiviDi[[#This Row],[Fonction]]),FALSE)="","",VLOOKUP(T_Convention[[#This Row],[NumL]],T_suiviDi[#Data],COLUMN(T_suiviDi[[#This Row],[Fonction]]),FALSE))</f>
        <v>#VALUE!</v>
      </c>
      <c r="K46" s="282" t="e">
        <f>IF(VLOOKUP(T_Convention[[#This Row],[NumL]],T_suiviDi[#Data],COLUMN(T_suiviDi[[#This Row],[Grade]]),FALSE)="","",VLOOKUP(T_Convention[[#This Row],[NumL]],T_suiviDi[#Data],COLUMN(T_suiviDi[[#This Row],[Grade]]),FALSE))</f>
        <v>#VALUE!</v>
      </c>
      <c r="L46" s="282" t="e">
        <f>IF(VLOOKUP(T_Convention[[#This Row],[NumL]],T_suiviDi[#Data],COLUMN(T_suiviDi[[#This Row],[Service ]]),FALSE)="","",VLOOKUP(T_Convention[[#This Row],[NumL]],T_suiviDi[#Data],COLUMN(T_suiviDi[[#This Row],[Service ]]),FALSE))</f>
        <v>#VALUE!</v>
      </c>
      <c r="M46" s="164" t="str">
        <f t="shared" si="1"/>
        <v>01 septembre 2021</v>
      </c>
      <c r="N46" s="164" t="str">
        <f t="shared" si="2"/>
        <v>30 novembre 2021</v>
      </c>
      <c r="O46" s="284" t="str">
        <f t="shared" si="3"/>
        <v>30 novembre 2021</v>
      </c>
      <c r="P46" s="282" t="e">
        <f>IF(VLOOKUP(T_Convention[[#This Row],[NumL]],T_TraitDi[#Data],COLUMN(T_TraitDi[M1]),FALSE)="","",VLOOKUP(T_Convention[[#This Row],[NumL]],T_TraitDi[#Data],COLUMN(T_TraitDi[M1]),FALSE))</f>
        <v>#N/A</v>
      </c>
      <c r="Q46" s="282" t="e">
        <f>IF(VLOOKUP(T_Convention[[#This Row],[NumL]],T_TraitDi[#Data],COLUMN(T_TraitDi[M2]),FALSE)="","",VLOOKUP(T_Convention[[#This Row],[NumL]],T_TraitDi[#Data],COLUMN(T_TraitDi[M2]),FALSE))</f>
        <v>#N/A</v>
      </c>
      <c r="R46" s="282" t="e">
        <f>IF(VLOOKUP(T_Convention[[#This Row],[NumL]],T_TraitDi[#Data],COLUMN(T_TraitDi[M3]),FALSE)="","",VLOOKUP(T_Convention[[#This Row],[NumL]],T_TraitDi[#Data],COLUMN(T_TraitDi[M3]),FALSE))</f>
        <v>#N/A</v>
      </c>
      <c r="S46" s="282" t="e">
        <f>IF(VLOOKUP(T_Convention[[#This Row],[NumL]],T_TraitDi[#Data],COLUMN(T_TraitDi[M4]),FALSE)="","",VLOOKUP(T_Convention[[#This Row],[NumL]],T_TraitDi[#Data],COLUMN(T_TraitDi[M4]),FALSE))</f>
        <v>#N/A</v>
      </c>
      <c r="T46" s="282" t="e">
        <f>IF(VLOOKUP(T_Convention[[#This Row],[NumL]],T_TraitDi[#Data],COLUMN(T_TraitDi[M5]),FALSE)="","",VLOOKUP(T_Convention[[#This Row],[NumL]],T_TraitDi[#Data],COLUMN(T_TraitDi[M5]),FALSE))</f>
        <v>#N/A</v>
      </c>
      <c r="U46" s="282" t="e">
        <f>IF(VLOOKUP(T_Convention[[#This Row],[NumL]],T_TraitDi[#Data],COLUMN(T_TraitDi[M6]),FALSE)="","",VLOOKUP(T_Convention[[#This Row],[NumL]],T_TraitDi[#Data],COLUMN(T_TraitDi[M6]),FALSE))</f>
        <v>#N/A</v>
      </c>
      <c r="V46" s="176" t="e">
        <f t="shared" si="4"/>
        <v>#N/A</v>
      </c>
      <c r="W46" s="284" t="str">
        <f>IFERROR(TEXT(VLOOKUP(T_Convention[[#This Row],[NumL]],T_TraitDi[#Data],COLUMN(T_TraitDi[Q2]),FALSE),"###%"),"")</f>
        <v/>
      </c>
      <c r="X46" s="97" t="e">
        <f>VLOOKUP(T_Convention[[#This Row],[NumL]],T_TraitDi[#Data],COLUMN(T_TraitDi[Reg Ponct]),FALSE)</f>
        <v>#N/A</v>
      </c>
      <c r="Y46" s="97" t="e">
        <f>VLOOKUP(T_Convention[NumL],T_TraitDi[#Data],COLUMN(T_TraitDi[Jours flottants]),FALSE)</f>
        <v>#N/A</v>
      </c>
      <c r="Z46" s="284" t="str">
        <f>IFERROR(VLOOKUP(T_Convention[[#This Row],[NumL]],T_TraitDi[#Data],COLUMN(T_TraitDi[Lundi]),FALSE),"")</f>
        <v/>
      </c>
      <c r="AA46" s="284" t="e">
        <f>IF(VLOOKUP(T_Convention[[#This Row],[NumL]],T_TraitDi[#Data],COLUMN(T_TraitDi[Colonne3]),FALSE)=0,"",TEXT(IFERROR(VLOOKUP(T_Convention[[#This Row],[NumL]],T_TraitDi[#Data],COLUMN(T_TraitDi[Colonne3]),FALSE),""),"[hh]:mm"))</f>
        <v>#N/A</v>
      </c>
      <c r="AB46" s="284" t="e">
        <f>IF(VLOOKUP(T_Convention[[#This Row],[NumL]],T_TraitDi[#Data],COLUMN(T_TraitDi[Colonne4]),FALSE)=0,"",TEXT(IFERROR(VLOOKUP(T_Convention[[#This Row],[NumL]],T_TraitDi[#Data],COLUMN(T_TraitDi[Colonne4]),FALSE),""),"[hh]:mm"))</f>
        <v>#N/A</v>
      </c>
      <c r="AC46" s="284" t="e">
        <f>IF(VLOOKUP(T_Convention[[#This Row],[NumL]],T_TraitDi[#Data],COLUMN(T_TraitDi[Colonne5]),FALSE)=0,"",TEXT(IFERROR(VLOOKUP(T_Convention[[#This Row],[NumL]],T_TraitDi[#Data],COLUMN(T_TraitDi[Colonne5]),FALSE),""),"[hh]:mm"))</f>
        <v>#N/A</v>
      </c>
      <c r="AD46" s="284" t="e">
        <f>IF(VLOOKUP(T_Convention[[#This Row],[NumL]],T_TraitDi[#Data],COLUMN(T_TraitDi[Colonne6]),FALSE)=0,"",TEXT(IFERROR(VLOOKUP(T_Convention[[#This Row],[NumL]],T_TraitDi[#Data],COLUMN(T_TraitDi[Colonne6]),FALSE),""),"[hh]:mm"))</f>
        <v>#N/A</v>
      </c>
      <c r="AE46" s="284" t="e">
        <f>IF(VLOOKUP(T_Convention[[#This Row],[NumL]],T_TraitDi[#Data],COLUMN(T_TraitDi[Colonne7]),FALSE)=0,"",TEXT(IFERROR(VLOOKUP(T_Convention[[#This Row],[NumL]],T_TraitDi[#Data],COLUMN(T_TraitDi[Colonne7]),FALSE),""),"[hh]:mm"))</f>
        <v>#N/A</v>
      </c>
      <c r="AF46" s="284" t="e">
        <f>IF(VLOOKUP(T_Convention[[#This Row],[NumL]],T_TraitDi[#Data],COLUMN(T_TraitDi[Colonne8]),FALSE)=0,"",TEXT(IFERROR(VLOOKUP(T_Convention[[#This Row],[NumL]],T_TraitDi[#Data],COLUMN(T_TraitDi[Colonne8]),FALSE),""),"[hh]:mm"))</f>
        <v>#N/A</v>
      </c>
      <c r="AG46" s="284" t="str">
        <f>IFERROR(VLOOKUP(T_Convention[[#This Row],[NumL]],T_TraitDi[#Data],COLUMN(T_TraitDi[Mardi]),FALSE),"")</f>
        <v/>
      </c>
      <c r="AH46" s="284" t="e">
        <f>IF(VLOOKUP(T_Convention[[#This Row],[NumL]],T_TraitDi[#Data],COLUMN(T_TraitDi[Colonne1]),FALSE)=0,"",TEXT(IFERROR(VLOOKUP(T_Convention[[#This Row],[NumL]],T_TraitDi[#Data],COLUMN(T_TraitDi[Colonne1]),FALSE),""),"[hh]:mm"))</f>
        <v>#N/A</v>
      </c>
      <c r="AI46" s="284" t="e">
        <f>IF(VLOOKUP(T_Convention[[#This Row],[NumL]],T_TraitDi[#Data],COLUMN(T_TraitDi[Colonne9]),FALSE)=0,"",TEXT(IFERROR(VLOOKUP(T_Convention[[#This Row],[NumL]],T_TraitDi[#Data],COLUMN(T_TraitDi[Colonne9]),FALSE),""),"[hh]:mm"))</f>
        <v>#N/A</v>
      </c>
      <c r="AJ46" s="284" t="str">
        <f>IFERROR(VLOOKUP(T_Convention[[#This Row],[NumL]],T_TraitDi[#Data],COLUMN(T_TraitDi[Colonne10]),FALSE),"")</f>
        <v/>
      </c>
      <c r="AK46" s="284" t="e">
        <f>IF(VLOOKUP(T_Convention[[#This Row],[NumL]],T_TraitDi[#Data],COLUMN(T_TraitDi[Colonne11]),FALSE)=0,"",TEXT(IFERROR(VLOOKUP(T_Convention[[#This Row],[NumL]],T_TraitDi[#Data],COLUMN(T_TraitDi[Colonne11]),FALSE),""),"[hh]:mm"))</f>
        <v>#N/A</v>
      </c>
      <c r="AL46" s="284" t="e">
        <f>IF(VLOOKUP(T_Convention[[#This Row],[NumL]],T_TraitDi[#Data],COLUMN(T_TraitDi[Colonne12]),FALSE)=0,"",TEXT(IFERROR(VLOOKUP(T_Convention[[#This Row],[NumL]],T_TraitDi[#Data],COLUMN(T_TraitDi[Colonne12]),FALSE),""),"[hh]:mm"))</f>
        <v>#N/A</v>
      </c>
      <c r="AM46" s="284" t="e">
        <f>IF(VLOOKUP(T_Convention[[#This Row],[NumL]],T_TraitDi[#Data],COLUMN(T_TraitDi[Colonne14]),FALSE)=0,"",TEXT(IFERROR(VLOOKUP(T_Convention[[#This Row],[NumL]],T_TraitDi[#Data],COLUMN(T_TraitDi[Colonne14]),FALSE),""),"[hh]:mm"))</f>
        <v>#N/A</v>
      </c>
      <c r="AN46" s="284" t="str">
        <f>IFERROR(VLOOKUP(T_Convention[[#This Row],[NumL]],T_TraitDi[#Data],COLUMN(T_TraitDi[Mercredi]),FALSE),"")</f>
        <v/>
      </c>
      <c r="AO46" s="284" t="e">
        <f>IF(VLOOKUP(T_Convention[[#This Row],[NumL]],T_TraitDi[#Data],COLUMN(T_TraitDi[Colonne15]),FALSE)=0,"",TEXT(IFERROR(VLOOKUP(T_Convention[[#This Row],[NumL]],T_TraitDi[#Data],COLUMN(T_TraitDi[Colonne15]),FALSE),""),"[hh]:mm"))</f>
        <v>#N/A</v>
      </c>
      <c r="AP46" s="284" t="e">
        <f>IF(VLOOKUP(T_Convention[[#This Row],[NumL]],T_TraitDi[#Data],COLUMN(T_TraitDi[Colonne16]),FALSE)=0,"",TEXT(IFERROR(VLOOKUP(T_Convention[[#This Row],[NumL]],T_TraitDi[#Data],COLUMN(T_TraitDi[Colonne16]),FALSE),""),"[hh]:mm"))</f>
        <v>#N/A</v>
      </c>
      <c r="AQ46" s="284" t="str">
        <f>IFERROR(VLOOKUP(T_Convention[[#This Row],[NumL]],T_TraitDi[#Data],COLUMN(T_TraitDi[Colonne17]),FALSE),"")</f>
        <v/>
      </c>
      <c r="AR46" s="284" t="e">
        <f>IF(VLOOKUP(T_Convention[[#This Row],[NumL]],T_TraitDi[#Data],COLUMN(T_TraitDi[Colonne18]),FALSE)=0,"",TEXT(IFERROR(VLOOKUP(T_Convention[[#This Row],[NumL]],T_TraitDi[#Data],COLUMN(T_TraitDi[Colonne18]),FALSE),""),"[hh]:mm"))</f>
        <v>#N/A</v>
      </c>
      <c r="AS46" s="284" t="e">
        <f>IF(VLOOKUP(T_Convention[[#This Row],[NumL]],T_TraitDi[#Data],COLUMN(T_TraitDi[Colonne19]),FALSE)=0,"",TEXT(IFERROR(VLOOKUP(T_Convention[[#This Row],[NumL]],T_TraitDi[#Data],COLUMN(T_TraitDi[Colonne19]),FALSE),""),"[hh]:mm"))</f>
        <v>#N/A</v>
      </c>
      <c r="AT46" s="284" t="e">
        <f>IF(VLOOKUP(T_Convention[[#This Row],[NumL]],T_TraitDi[#Data],COLUMN(T_TraitDi[Colonne20]),FALSE)=0,"",TEXT(IFERROR(VLOOKUP(T_Convention[[#This Row],[NumL]],T_TraitDi[#Data],COLUMN(T_TraitDi[Colonne20]),FALSE),""),"[hh]:mm"))</f>
        <v>#N/A</v>
      </c>
      <c r="AU46" s="284" t="str">
        <f>IFERROR(VLOOKUP(T_Convention[[#This Row],[NumL]],T_TraitDi[#Data],COLUMN(T_TraitDi[Jeudi]),FALSE),"")</f>
        <v/>
      </c>
      <c r="AV46" s="284" t="e">
        <f>IF(VLOOKUP(T_Convention[[#This Row],[NumL]],T_TraitDi[#Data],COLUMN(T_TraitDi[Colonne21]),FALSE)=0,"",TEXT(IFERROR(VLOOKUP(T_Convention[[#This Row],[NumL]],T_TraitDi[#Data],COLUMN(T_TraitDi[Colonne21]),FALSE),""),"[hh]:mm"))</f>
        <v>#N/A</v>
      </c>
      <c r="AW46" s="284" t="e">
        <f>IF(VLOOKUP(T_Convention[[#This Row],[NumL]],T_TraitDi[#Data],COLUMN(T_TraitDi[Colonne22]),FALSE)=0,"",TEXT(IFERROR(VLOOKUP(T_Convention[[#This Row],[NumL]],T_TraitDi[#Data],COLUMN(T_TraitDi[Colonne22]),FALSE),""),"[hh]:mm"))</f>
        <v>#N/A</v>
      </c>
      <c r="AX46" s="284" t="str">
        <f>IFERROR(VLOOKUP(T_Convention[[#This Row],[NumL]],T_TraitDi[#Data],COLUMN(T_TraitDi[Colonne23]),FALSE),"")</f>
        <v/>
      </c>
      <c r="AY46" s="284" t="e">
        <f>IF(VLOOKUP(T_Convention[[#This Row],[NumL]],T_TraitDi[#Data],COLUMN(T_TraitDi[Colonne24]),FALSE)=0,"",TEXT(IFERROR(VLOOKUP(T_Convention[[#This Row],[NumL]],T_TraitDi[#Data],COLUMN(T_TraitDi[Colonne24]),FALSE),""),"[hh]:mm"))</f>
        <v>#N/A</v>
      </c>
      <c r="AZ46" s="284" t="e">
        <f>IF(VLOOKUP(T_Convention[[#This Row],[NumL]],T_TraitDi[#Data],COLUMN(T_TraitDi[Colonne25]),FALSE)=0,"",TEXT(IFERROR(VLOOKUP(T_Convention[[#This Row],[NumL]],T_TraitDi[#Data],COLUMN(T_TraitDi[Colonne25]),FALSE),""),"[hh]:mm"))</f>
        <v>#N/A</v>
      </c>
      <c r="BA46" s="284" t="e">
        <f>IF(VLOOKUP(T_Convention[[#This Row],[NumL]],T_TraitDi[#Data],COLUMN(T_TraitDi[Colonne26]),FALSE)=0,"",TEXT(IFERROR(VLOOKUP(T_Convention[[#This Row],[NumL]],T_TraitDi[#Data],COLUMN(T_TraitDi[Colonne26]),FALSE),""),"[hh]:mm"))</f>
        <v>#N/A</v>
      </c>
      <c r="BB46" s="284" t="str">
        <f>IFERROR(VLOOKUP(T_Convention[[#This Row],[NumL]],T_TraitDi[#Data],COLUMN(T_TraitDi[Vendredi]),FALSE),"")</f>
        <v/>
      </c>
      <c r="BC46" s="284" t="e">
        <f>IF(VLOOKUP(T_Convention[[#This Row],[NumL]],T_TraitDi[#Data],COLUMN(T_TraitDi[Colonne27]),FALSE)=0,"",TEXT(IFERROR(VLOOKUP(T_Convention[[#This Row],[NumL]],T_TraitDi[#Data],COLUMN(T_TraitDi[Colonne27]),FALSE),""),"[hh]:mm"))</f>
        <v>#N/A</v>
      </c>
      <c r="BD46" s="284" t="e">
        <f>IF(VLOOKUP(T_Convention[[#This Row],[NumL]],T_TraitDi[#Data],COLUMN(T_TraitDi[Colonne28]),FALSE)=0,"",TEXT(IFERROR(VLOOKUP(T_Convention[[#This Row],[NumL]],T_TraitDi[#Data],COLUMN(T_TraitDi[Colonne28]),FALSE),""),"[hh]:mm"))</f>
        <v>#N/A</v>
      </c>
      <c r="BE46" s="284" t="str">
        <f>IFERROR(VLOOKUP(T_Convention[[#This Row],[NumL]],T_TraitDi[#Data],COLUMN(T_TraitDi[Colonne29]),FALSE),"")</f>
        <v/>
      </c>
      <c r="BF46" s="284" t="e">
        <f>IF(VLOOKUP(T_Convention[[#This Row],[NumL]],T_TraitDi[#Data],COLUMN(T_TraitDi[Colonne30]),FALSE)=0,"",TEXT(IFERROR(VLOOKUP(T_Convention[[#This Row],[NumL]],T_TraitDi[#Data],COLUMN(T_TraitDi[Colonne30]),FALSE),""),"[hh]:mm"))</f>
        <v>#N/A</v>
      </c>
      <c r="BG46" s="284" t="e">
        <f>IF(VLOOKUP(T_Convention[[#This Row],[NumL]],T_TraitDi[#Data],COLUMN(T_TraitDi[Colonne31]),FALSE)=0,"",TEXT(IFERROR(VLOOKUP(T_Convention[[#This Row],[NumL]],T_TraitDi[#Data],COLUMN(T_TraitDi[Colonne31]),FALSE),""),"[hh]:mm"))</f>
        <v>#N/A</v>
      </c>
      <c r="BH46" s="284" t="e">
        <f>IF(VLOOKUP(T_Convention[[#This Row],[NumL]],T_TraitDi[#Data],COLUMN(T_TraitDi[Colonne32]),FALSE)=0,"",TEXT(IFERROR(VLOOKUP(T_Convention[[#This Row],[NumL]],T_TraitDi[#Data],COLUMN(T_TraitDi[Colonne32]),FALSE),""),"[hh]:mm"))</f>
        <v>#N/A</v>
      </c>
      <c r="BI46" s="284" t="str">
        <f>IFERROR(VLOOKUP(T_Convention[[#This Row],[NumL]],T_TraitDi[#Data],COLUMN(T_TraitDi[NbJTW]),FALSE),"")</f>
        <v/>
      </c>
      <c r="BJ46" s="284" t="e">
        <f>IF(VLOOKUP(T_Convention[[#This Row],[NumL]],T_TraitDi[#Data],COLUMN(T_TraitDi[NbhTW]),FALSE)=0,"",TEXT(IFERROR(VLOOKUP(T_Convention[[#This Row],[NumL]],T_TraitDi[#Data],COLUMN(T_TraitDi[NbhTW]),FALSE),""),"[hh]:mm"))</f>
        <v>#N/A</v>
      </c>
      <c r="BK46" s="286" t="e">
        <f>IF(VLOOKUP(T_Convention[[#This Row],[NumL]],T_TraitDi[#Data],COLUMN(T_TraitDi[Nbhheb]),FALSE)=0,"",TEXT(IFERROR(VLOOKUP(T_Convention[[#This Row],[NumL]],T_TraitDi[#Data],COLUMN(T_TraitDi[Nbhheb]),FALSE),""),"[hh]:mm"))</f>
        <v>#N/A</v>
      </c>
      <c r="BL46" s="287" t="str">
        <f>IFERROR(VLOOKUP(VLOOKUP(T_Convention[[#This Row],[NumL]],T_TraitDi[#Data],COLUMN(T_TraitDi[Type1]),FALSE),TypeTW,2,FALSE),"")</f>
        <v/>
      </c>
      <c r="BM46" s="288" t="str">
        <f>IFERROR(VLOOKUP(T_Convention[[#This Row],[NumL]],T_TraitDi[#Data],COLUMN(T_TraitDi[Rue1]),FALSE),"")</f>
        <v/>
      </c>
      <c r="BN46" s="289" t="str">
        <f>IFERROR(VLOOKUP(T_Convention[[#This Row],[NumL]],T_TraitDi[#Data],COLUMN(T_TraitDi[CP1]),FALSE),"")</f>
        <v/>
      </c>
      <c r="BO46" s="282" t="str">
        <f>IFERROR(VLOOKUP(T_Convention[[#This Row],[NumL]],T_TraitDi[#Data],COLUMN(T_TraitDi[VILLE1]),FALSE),"")</f>
        <v/>
      </c>
      <c r="BP46" s="290" t="str">
        <f>IFERROR(VLOOKUP(VLOOKUP(T_Convention[[#This Row],[NumL]],T_TraitDi[#Data],COLUMN(T_TraitDi[Type2]),FALSE),TypeTW,2,FALSE),"")</f>
        <v/>
      </c>
      <c r="BQ46" s="182" t="str">
        <f>IFERROR(VLOOKUP(T_Convention[[#This Row],[NumL]],T_TraitDi[#Data],COLUMN(T_TraitDi[Rue2]),FALSE),"")</f>
        <v/>
      </c>
      <c r="BR46" s="173" t="str">
        <f>IFERROR(VLOOKUP(T_Convention[[#This Row],[NumL]],T_TraitDi[#Data],COLUMN(T_TraitDi[CP2]),FALSE),"")</f>
        <v/>
      </c>
      <c r="BS46" s="173" t="str">
        <f>IFERROR(VLOOKUP(T_Convention[[#This Row],[NumL]],T_TraitDi[#Data],COLUMN(T_TraitDi[VILLE2]),FALSE),"")</f>
        <v/>
      </c>
      <c r="BT46" s="182" t="str">
        <f>IF(VLOOKUP(T_Convention[[#This Row],[NumL]],T_Equipement[#Data],COLUMN(T_Equipement[PC]),FALSE)="","Aucun équipement spécifique directement lié au télétravail",VLOOKUP(T_Convention[[#This Row],[NumL]],T_Equipement[#Data],COLUMN(T_Equipement[PC]),FALSE))</f>
        <v xml:space="preserve">18-052	</v>
      </c>
      <c r="BU46" s="166" t="str">
        <f>IFERROR(IF(VLOOKUP(T_Convention[[#This Row],[NumL]],T_TraitDi[#Data],COLUMN(T_TraitDi[Plan]),FALSE)="OK","Un planning spécifique de télétravail est annexé à la présente convention.",""),"")</f>
        <v/>
      </c>
      <c r="BV46" s="185" t="s">
        <v>3335</v>
      </c>
      <c r="BW46" s="164" t="e">
        <f>IF(VLOOKUP(T_Convention[[#This Row],[NumL]],T_suiviDi[#Data],COLUMN(T_suiviDi[Entité]),FALSE)="","",VLOOKUP(T_Convention[[#This Row],[NumL]],T_suiviDi[#Data],COLUMN(T_suiviDi[Entité]),FALSE))</f>
        <v>#N/A</v>
      </c>
      <c r="BX46" s="164" t="str">
        <f>IF(VLOOKUP(T_Convention[[#This Row],[NumL]],T_Commission[#Data],COLUMN(T_Commission[envoi confirm TW]),FALSE)="","",VLOOKUP(T_Convention[[#This Row],[NumL]],T_Commission[#Data],COLUMN(T_Commission[envoi confirm TW]),FALSE))</f>
        <v>Oui</v>
      </c>
      <c r="BY4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6" s="264">
        <f>VLOOKUP(T_Convention[[#This Row],[NumL]],T_Commission[#Data],COLUMN(T_Commission[Commentaire]),FALSE)</f>
        <v>0</v>
      </c>
      <c r="CA46" s="254" t="str">
        <f>IF(VLOOKUP(T_Convention[[#This Row],[NumL]],T_Commission[#Data],COLUMN(T_Commission[Encadrant Email]),FALSE)="","",VLOOKUP(T_Convention[[#This Row],[NumL]],T_Commission[#Data],COLUMN(T_Commission[Encadrant Email]),FALSE))</f>
        <v/>
      </c>
      <c r="CB46" s="352" t="e">
        <f>VLOOKUP(T_Convention[[#This Row],[NumL]],T_TraitDi[#Data],COLUMN(T_TraitDi[NbJTot]),FALSE)</f>
        <v>#N/A</v>
      </c>
      <c r="CC46" s="352" t="e">
        <f>VLOOKUP(T_Convention[[#This Row],[NumL]],T_TraitDi[#Data],COLUMN(T_TraitDi[Reg Ponct]),FALSE)</f>
        <v>#N/A</v>
      </c>
      <c r="CD46" s="348" t="str">
        <f>IF(T_Convention[[#This Row],[Final]]&lt;&gt;"",VLOOKUP(T_Convention[[#This Row],[NumL]],T_suiviDi[#Data],COLUMN((T_suiviDi[Statut])),FALSE),"")</f>
        <v/>
      </c>
    </row>
    <row r="47" spans="1:82" s="106" customFormat="1" ht="18.75" customHeight="1" x14ac:dyDescent="0.25">
      <c r="A47" s="160">
        <v>64</v>
      </c>
      <c r="B47" s="161" t="str">
        <f>VLOOKUP(T_Convention[[#This Row],[NumL]],T_Commission[#Data],COLUMN(T_Commission[FINAL]),FALSE)</f>
        <v/>
      </c>
      <c r="C47" s="162"/>
      <c r="D47" s="95" t="e">
        <f>IF(VLOOKUP(T_Convention[[#This Row],[NumL]],T_TraitDi[#Data],COLUMN(T_TraitDi[WebC]),FALSE)="","",VLOOKUP(T_Convention[[#This Row],[NumL]],T_TraitDi[#Data],COLUMN(T_TraitDi[WebC]),FALSE))</f>
        <v>#N/A</v>
      </c>
      <c r="E47" s="163" t="str">
        <f t="shared" si="0"/>
        <v>12 janvier 2021</v>
      </c>
      <c r="F47" s="282" t="str">
        <f>IF(T_Convention[[#This Row],[Final]]&lt;&gt;"",VLOOKUP(T_Convention[[#This Row],[NumL]],T_suiviDi[#Data],COLUMN((T_suiviDi[Civ.])),FALSE),"")</f>
        <v/>
      </c>
      <c r="G47" s="283" t="str">
        <f>IF(T_Convention[[#This Row],[Final]]&lt;&gt;"",VLOOKUP(T_Convention[[#This Row],[NumL]],T_suiviDi[#Data],COLUMN((T_suiviDi[Nom])),FALSE),"")</f>
        <v/>
      </c>
      <c r="H47" s="282" t="str">
        <f>IF(T_Convention[[#This Row],[Final]]&lt;&gt;"",VLOOKUP(T_Convention[[#This Row],[NumL]],T_suiviDi[#Data],COLUMN((T_suiviDi[Prénom])),FALSE),"")</f>
        <v/>
      </c>
      <c r="I47" s="282" t="e">
        <f>VLOOKUP(T_Convention[[#This Row],[NumL]],T_suiviDi[#Data],COLUMN((T_suiviDi[[#This Row],[Email]])),FALSE)</f>
        <v>#VALUE!</v>
      </c>
      <c r="J47" s="282" t="e">
        <f>IF(VLOOKUP(T_Convention[[#This Row],[NumL]],T_suiviDi[#Data],COLUMN(T_suiviDi[[#This Row],[Fonction]]),FALSE)="","",VLOOKUP(T_Convention[[#This Row],[NumL]],T_suiviDi[#Data],COLUMN(T_suiviDi[[#This Row],[Fonction]]),FALSE))</f>
        <v>#VALUE!</v>
      </c>
      <c r="K47" s="282" t="e">
        <f>IF(VLOOKUP(T_Convention[[#This Row],[NumL]],T_suiviDi[#Data],COLUMN(T_suiviDi[[#This Row],[Grade]]),FALSE)="","",VLOOKUP(T_Convention[[#This Row],[NumL]],T_suiviDi[#Data],COLUMN(T_suiviDi[[#This Row],[Grade]]),FALSE))</f>
        <v>#VALUE!</v>
      </c>
      <c r="L47" s="282" t="e">
        <f>IF(VLOOKUP(T_Convention[[#This Row],[NumL]],T_suiviDi[#Data],COLUMN(T_suiviDi[[#This Row],[Service ]]),FALSE)="","",VLOOKUP(T_Convention[[#This Row],[NumL]],T_suiviDi[#Data],COLUMN(T_suiviDi[[#This Row],[Service ]]),FALSE))</f>
        <v>#VALUE!</v>
      </c>
      <c r="M47" s="164" t="str">
        <f t="shared" si="1"/>
        <v>01 septembre 2021</v>
      </c>
      <c r="N47" s="164" t="str">
        <f t="shared" si="2"/>
        <v>30 novembre 2021</v>
      </c>
      <c r="O47" s="284" t="str">
        <f t="shared" si="3"/>
        <v>30 novembre 2021</v>
      </c>
      <c r="P47" s="282" t="e">
        <f>IF(VLOOKUP(T_Convention[[#This Row],[NumL]],T_TraitDi[#Data],COLUMN(T_TraitDi[M1]),FALSE)="","",VLOOKUP(T_Convention[[#This Row],[NumL]],T_TraitDi[#Data],COLUMN(T_TraitDi[M1]),FALSE))</f>
        <v>#N/A</v>
      </c>
      <c r="Q47" s="282" t="e">
        <f>IF(VLOOKUP(T_Convention[[#This Row],[NumL]],T_TraitDi[#Data],COLUMN(T_TraitDi[M2]),FALSE)="","",VLOOKUP(T_Convention[[#This Row],[NumL]],T_TraitDi[#Data],COLUMN(T_TraitDi[M2]),FALSE))</f>
        <v>#N/A</v>
      </c>
      <c r="R47" s="282" t="e">
        <f>IF(VLOOKUP(T_Convention[[#This Row],[NumL]],T_TraitDi[#Data],COLUMN(T_TraitDi[M3]),FALSE)="","",VLOOKUP(T_Convention[[#This Row],[NumL]],T_TraitDi[#Data],COLUMN(T_TraitDi[M3]),FALSE))</f>
        <v>#N/A</v>
      </c>
      <c r="S47" s="282" t="e">
        <f>IF(VLOOKUP(T_Convention[[#This Row],[NumL]],T_TraitDi[#Data],COLUMN(T_TraitDi[M4]),FALSE)="","",VLOOKUP(T_Convention[[#This Row],[NumL]],T_TraitDi[#Data],COLUMN(T_TraitDi[M4]),FALSE))</f>
        <v>#N/A</v>
      </c>
      <c r="T47" s="282" t="e">
        <f>IF(VLOOKUP(T_Convention[[#This Row],[NumL]],T_TraitDi[#Data],COLUMN(T_TraitDi[M5]),FALSE)="","",VLOOKUP(T_Convention[[#This Row],[NumL]],T_TraitDi[#Data],COLUMN(T_TraitDi[M5]),FALSE))</f>
        <v>#N/A</v>
      </c>
      <c r="U47" s="282" t="e">
        <f>IF(VLOOKUP(T_Convention[[#This Row],[NumL]],T_TraitDi[#Data],COLUMN(T_TraitDi[M6]),FALSE)="","",VLOOKUP(T_Convention[[#This Row],[NumL]],T_TraitDi[#Data],COLUMN(T_TraitDi[M6]),FALSE))</f>
        <v>#N/A</v>
      </c>
      <c r="V47" s="176" t="e">
        <f t="shared" si="4"/>
        <v>#N/A</v>
      </c>
      <c r="W47" s="284" t="str">
        <f>IFERROR(TEXT(VLOOKUP(T_Convention[[#This Row],[NumL]],T_TraitDi[#Data],COLUMN(T_TraitDi[Q2]),FALSE),"###%"),"")</f>
        <v/>
      </c>
      <c r="X47" s="97" t="e">
        <f>VLOOKUP(T_Convention[[#This Row],[NumL]],T_TraitDi[#Data],COLUMN(T_TraitDi[Reg Ponct]),FALSE)</f>
        <v>#N/A</v>
      </c>
      <c r="Y47" s="97" t="e">
        <f>VLOOKUP(T_Convention[NumL],T_TraitDi[#Data],COLUMN(T_TraitDi[Jours flottants]),FALSE)</f>
        <v>#N/A</v>
      </c>
      <c r="Z47" s="284" t="str">
        <f>IFERROR(VLOOKUP(T_Convention[[#This Row],[NumL]],T_TraitDi[#Data],COLUMN(T_TraitDi[Lundi]),FALSE),"")</f>
        <v/>
      </c>
      <c r="AA47" s="284" t="e">
        <f>IF(VLOOKUP(T_Convention[[#This Row],[NumL]],T_TraitDi[#Data],COLUMN(T_TraitDi[Colonne3]),FALSE)=0,"",TEXT(IFERROR(VLOOKUP(T_Convention[[#This Row],[NumL]],T_TraitDi[#Data],COLUMN(T_TraitDi[Colonne3]),FALSE),""),"[hh]:mm"))</f>
        <v>#N/A</v>
      </c>
      <c r="AB47" s="284" t="e">
        <f>IF(VLOOKUP(T_Convention[[#This Row],[NumL]],T_TraitDi[#Data],COLUMN(T_TraitDi[Colonne4]),FALSE)=0,"",TEXT(IFERROR(VLOOKUP(T_Convention[[#This Row],[NumL]],T_TraitDi[#Data],COLUMN(T_TraitDi[Colonne4]),FALSE),""),"[hh]:mm"))</f>
        <v>#N/A</v>
      </c>
      <c r="AC47" s="284" t="e">
        <f>IF(VLOOKUP(T_Convention[[#This Row],[NumL]],T_TraitDi[#Data],COLUMN(T_TraitDi[Colonne5]),FALSE)=0,"",TEXT(IFERROR(VLOOKUP(T_Convention[[#This Row],[NumL]],T_TraitDi[#Data],COLUMN(T_TraitDi[Colonne5]),FALSE),""),"[hh]:mm"))</f>
        <v>#N/A</v>
      </c>
      <c r="AD47" s="284" t="e">
        <f>IF(VLOOKUP(T_Convention[[#This Row],[NumL]],T_TraitDi[#Data],COLUMN(T_TraitDi[Colonne6]),FALSE)=0,"",TEXT(IFERROR(VLOOKUP(T_Convention[[#This Row],[NumL]],T_TraitDi[#Data],COLUMN(T_TraitDi[Colonne6]),FALSE),""),"[hh]:mm"))</f>
        <v>#N/A</v>
      </c>
      <c r="AE47" s="284" t="e">
        <f>IF(VLOOKUP(T_Convention[[#This Row],[NumL]],T_TraitDi[#Data],COLUMN(T_TraitDi[Colonne7]),FALSE)=0,"",TEXT(IFERROR(VLOOKUP(T_Convention[[#This Row],[NumL]],T_TraitDi[#Data],COLUMN(T_TraitDi[Colonne7]),FALSE),""),"[hh]:mm"))</f>
        <v>#N/A</v>
      </c>
      <c r="AF47" s="284" t="e">
        <f>IF(VLOOKUP(T_Convention[[#This Row],[NumL]],T_TraitDi[#Data],COLUMN(T_TraitDi[Colonne8]),FALSE)=0,"",TEXT(IFERROR(VLOOKUP(T_Convention[[#This Row],[NumL]],T_TraitDi[#Data],COLUMN(T_TraitDi[Colonne8]),FALSE),""),"[hh]:mm"))</f>
        <v>#N/A</v>
      </c>
      <c r="AG47" s="284" t="str">
        <f>IFERROR(VLOOKUP(T_Convention[[#This Row],[NumL]],T_TraitDi[#Data],COLUMN(T_TraitDi[Mardi]),FALSE),"")</f>
        <v/>
      </c>
      <c r="AH47" s="284" t="e">
        <f>IF(VLOOKUP(T_Convention[[#This Row],[NumL]],T_TraitDi[#Data],COLUMN(T_TraitDi[Colonne1]),FALSE)=0,"",TEXT(IFERROR(VLOOKUP(T_Convention[[#This Row],[NumL]],T_TraitDi[#Data],COLUMN(T_TraitDi[Colonne1]),FALSE),""),"[hh]:mm"))</f>
        <v>#N/A</v>
      </c>
      <c r="AI47" s="284" t="e">
        <f>IF(VLOOKUP(T_Convention[[#This Row],[NumL]],T_TraitDi[#Data],COLUMN(T_TraitDi[Colonne9]),FALSE)=0,"",TEXT(IFERROR(VLOOKUP(T_Convention[[#This Row],[NumL]],T_TraitDi[#Data],COLUMN(T_TraitDi[Colonne9]),FALSE),""),"[hh]:mm"))</f>
        <v>#N/A</v>
      </c>
      <c r="AJ47" s="284" t="str">
        <f>IFERROR(VLOOKUP(T_Convention[[#This Row],[NumL]],T_TraitDi[#Data],COLUMN(T_TraitDi[Colonne10]),FALSE),"")</f>
        <v/>
      </c>
      <c r="AK47" s="284" t="e">
        <f>IF(VLOOKUP(T_Convention[[#This Row],[NumL]],T_TraitDi[#Data],COLUMN(T_TraitDi[Colonne11]),FALSE)=0,"",TEXT(IFERROR(VLOOKUP(T_Convention[[#This Row],[NumL]],T_TraitDi[#Data],COLUMN(T_TraitDi[Colonne11]),FALSE),""),"[hh]:mm"))</f>
        <v>#N/A</v>
      </c>
      <c r="AL47" s="284" t="e">
        <f>IF(VLOOKUP(T_Convention[[#This Row],[NumL]],T_TraitDi[#Data],COLUMN(T_TraitDi[Colonne12]),FALSE)=0,"",TEXT(IFERROR(VLOOKUP(T_Convention[[#This Row],[NumL]],T_TraitDi[#Data],COLUMN(T_TraitDi[Colonne12]),FALSE),""),"[hh]:mm"))</f>
        <v>#N/A</v>
      </c>
      <c r="AM47" s="284" t="e">
        <f>IF(VLOOKUP(T_Convention[[#This Row],[NumL]],T_TraitDi[#Data],COLUMN(T_TraitDi[Colonne14]),FALSE)=0,"",TEXT(IFERROR(VLOOKUP(T_Convention[[#This Row],[NumL]],T_TraitDi[#Data],COLUMN(T_TraitDi[Colonne14]),FALSE),""),"[hh]:mm"))</f>
        <v>#N/A</v>
      </c>
      <c r="AN47" s="284" t="str">
        <f>IFERROR(VLOOKUP(T_Convention[[#This Row],[NumL]],T_TraitDi[#Data],COLUMN(T_TraitDi[Mercredi]),FALSE),"")</f>
        <v/>
      </c>
      <c r="AO47" s="284" t="e">
        <f>IF(VLOOKUP(T_Convention[[#This Row],[NumL]],T_TraitDi[#Data],COLUMN(T_TraitDi[Colonne15]),FALSE)=0,"",TEXT(IFERROR(VLOOKUP(T_Convention[[#This Row],[NumL]],T_TraitDi[#Data],COLUMN(T_TraitDi[Colonne15]),FALSE),""),"[hh]:mm"))</f>
        <v>#N/A</v>
      </c>
      <c r="AP47" s="284" t="e">
        <f>IF(VLOOKUP(T_Convention[[#This Row],[NumL]],T_TraitDi[#Data],COLUMN(T_TraitDi[Colonne16]),FALSE)=0,"",TEXT(IFERROR(VLOOKUP(T_Convention[[#This Row],[NumL]],T_TraitDi[#Data],COLUMN(T_TraitDi[Colonne16]),FALSE),""),"[hh]:mm"))</f>
        <v>#N/A</v>
      </c>
      <c r="AQ47" s="284" t="str">
        <f>IFERROR(VLOOKUP(T_Convention[[#This Row],[NumL]],T_TraitDi[#Data],COLUMN(T_TraitDi[Colonne17]),FALSE),"")</f>
        <v/>
      </c>
      <c r="AR47" s="284" t="e">
        <f>IF(VLOOKUP(T_Convention[[#This Row],[NumL]],T_TraitDi[#Data],COLUMN(T_TraitDi[Colonne18]),FALSE)=0,"",TEXT(IFERROR(VLOOKUP(T_Convention[[#This Row],[NumL]],T_TraitDi[#Data],COLUMN(T_TraitDi[Colonne18]),FALSE),""),"[hh]:mm"))</f>
        <v>#N/A</v>
      </c>
      <c r="AS47" s="284" t="e">
        <f>IF(VLOOKUP(T_Convention[[#This Row],[NumL]],T_TraitDi[#Data],COLUMN(T_TraitDi[Colonne19]),FALSE)=0,"",TEXT(IFERROR(VLOOKUP(T_Convention[[#This Row],[NumL]],T_TraitDi[#Data],COLUMN(T_TraitDi[Colonne19]),FALSE),""),"[hh]:mm"))</f>
        <v>#N/A</v>
      </c>
      <c r="AT47" s="284" t="e">
        <f>IF(VLOOKUP(T_Convention[[#This Row],[NumL]],T_TraitDi[#Data],COLUMN(T_TraitDi[Colonne20]),FALSE)=0,"",TEXT(IFERROR(VLOOKUP(T_Convention[[#This Row],[NumL]],T_TraitDi[#Data],COLUMN(T_TraitDi[Colonne20]),FALSE),""),"[hh]:mm"))</f>
        <v>#N/A</v>
      </c>
      <c r="AU47" s="284" t="str">
        <f>IFERROR(VLOOKUP(T_Convention[[#This Row],[NumL]],T_TraitDi[#Data],COLUMN(T_TraitDi[Jeudi]),FALSE),"")</f>
        <v/>
      </c>
      <c r="AV47" s="284" t="e">
        <f>IF(VLOOKUP(T_Convention[[#This Row],[NumL]],T_TraitDi[#Data],COLUMN(T_TraitDi[Colonne21]),FALSE)=0,"",TEXT(IFERROR(VLOOKUP(T_Convention[[#This Row],[NumL]],T_TraitDi[#Data],COLUMN(T_TraitDi[Colonne21]),FALSE),""),"[hh]:mm"))</f>
        <v>#N/A</v>
      </c>
      <c r="AW47" s="284" t="e">
        <f>IF(VLOOKUP(T_Convention[[#This Row],[NumL]],T_TraitDi[#Data],COLUMN(T_TraitDi[Colonne22]),FALSE)=0,"",TEXT(IFERROR(VLOOKUP(T_Convention[[#This Row],[NumL]],T_TraitDi[#Data],COLUMN(T_TraitDi[Colonne22]),FALSE),""),"[hh]:mm"))</f>
        <v>#N/A</v>
      </c>
      <c r="AX47" s="284" t="str">
        <f>IFERROR(VLOOKUP(T_Convention[[#This Row],[NumL]],T_TraitDi[#Data],COLUMN(T_TraitDi[Colonne23]),FALSE),"")</f>
        <v/>
      </c>
      <c r="AY47" s="284" t="e">
        <f>IF(VLOOKUP(T_Convention[[#This Row],[NumL]],T_TraitDi[#Data],COLUMN(T_TraitDi[Colonne24]),FALSE)=0,"",TEXT(IFERROR(VLOOKUP(T_Convention[[#This Row],[NumL]],T_TraitDi[#Data],COLUMN(T_TraitDi[Colonne24]),FALSE),""),"[hh]:mm"))</f>
        <v>#N/A</v>
      </c>
      <c r="AZ47" s="284" t="e">
        <f>IF(VLOOKUP(T_Convention[[#This Row],[NumL]],T_TraitDi[#Data],COLUMN(T_TraitDi[Colonne25]),FALSE)=0,"",TEXT(IFERROR(VLOOKUP(T_Convention[[#This Row],[NumL]],T_TraitDi[#Data],COLUMN(T_TraitDi[Colonne25]),FALSE),""),"[hh]:mm"))</f>
        <v>#N/A</v>
      </c>
      <c r="BA47" s="284" t="e">
        <f>IF(VLOOKUP(T_Convention[[#This Row],[NumL]],T_TraitDi[#Data],COLUMN(T_TraitDi[Colonne26]),FALSE)=0,"",TEXT(IFERROR(VLOOKUP(T_Convention[[#This Row],[NumL]],T_TraitDi[#Data],COLUMN(T_TraitDi[Colonne26]),FALSE),""),"[hh]:mm"))</f>
        <v>#N/A</v>
      </c>
      <c r="BB47" s="284" t="str">
        <f>IFERROR(VLOOKUP(T_Convention[[#This Row],[NumL]],T_TraitDi[#Data],COLUMN(T_TraitDi[Vendredi]),FALSE),"")</f>
        <v/>
      </c>
      <c r="BC47" s="284" t="e">
        <f>IF(VLOOKUP(T_Convention[[#This Row],[NumL]],T_TraitDi[#Data],COLUMN(T_TraitDi[Colonne27]),FALSE)=0,"",TEXT(IFERROR(VLOOKUP(T_Convention[[#This Row],[NumL]],T_TraitDi[#Data],COLUMN(T_TraitDi[Colonne27]),FALSE),""),"[hh]:mm"))</f>
        <v>#N/A</v>
      </c>
      <c r="BD47" s="284" t="e">
        <f>IF(VLOOKUP(T_Convention[[#This Row],[NumL]],T_TraitDi[#Data],COLUMN(T_TraitDi[Colonne28]),FALSE)=0,"",TEXT(IFERROR(VLOOKUP(T_Convention[[#This Row],[NumL]],T_TraitDi[#Data],COLUMN(T_TraitDi[Colonne28]),FALSE),""),"[hh]:mm"))</f>
        <v>#N/A</v>
      </c>
      <c r="BE47" s="284" t="str">
        <f>IFERROR(VLOOKUP(T_Convention[[#This Row],[NumL]],T_TraitDi[#Data],COLUMN(T_TraitDi[Colonne29]),FALSE),"")</f>
        <v/>
      </c>
      <c r="BF47" s="284" t="e">
        <f>IF(VLOOKUP(T_Convention[[#This Row],[NumL]],T_TraitDi[#Data],COLUMN(T_TraitDi[Colonne30]),FALSE)=0,"",TEXT(IFERROR(VLOOKUP(T_Convention[[#This Row],[NumL]],T_TraitDi[#Data],COLUMN(T_TraitDi[Colonne30]),FALSE),""),"[hh]:mm"))</f>
        <v>#N/A</v>
      </c>
      <c r="BG47" s="284" t="e">
        <f>IF(VLOOKUP(T_Convention[[#This Row],[NumL]],T_TraitDi[#Data],COLUMN(T_TraitDi[Colonne31]),FALSE)=0,"",TEXT(IFERROR(VLOOKUP(T_Convention[[#This Row],[NumL]],T_TraitDi[#Data],COLUMN(T_TraitDi[Colonne31]),FALSE),""),"[hh]:mm"))</f>
        <v>#N/A</v>
      </c>
      <c r="BH47" s="284" t="e">
        <f>IF(VLOOKUP(T_Convention[[#This Row],[NumL]],T_TraitDi[#Data],COLUMN(T_TraitDi[Colonne32]),FALSE)=0,"",TEXT(IFERROR(VLOOKUP(T_Convention[[#This Row],[NumL]],T_TraitDi[#Data],COLUMN(T_TraitDi[Colonne32]),FALSE),""),"[hh]:mm"))</f>
        <v>#N/A</v>
      </c>
      <c r="BI47" s="284" t="str">
        <f>IFERROR(VLOOKUP(T_Convention[[#This Row],[NumL]],T_TraitDi[#Data],COLUMN(T_TraitDi[NbJTW]),FALSE),"")</f>
        <v/>
      </c>
      <c r="BJ47" s="284" t="e">
        <f>IF(VLOOKUP(T_Convention[[#This Row],[NumL]],T_TraitDi[#Data],COLUMN(T_TraitDi[NbhTW]),FALSE)=0,"",TEXT(IFERROR(VLOOKUP(T_Convention[[#This Row],[NumL]],T_TraitDi[#Data],COLUMN(T_TraitDi[NbhTW]),FALSE),""),"[hh]:mm"))</f>
        <v>#N/A</v>
      </c>
      <c r="BK47" s="286" t="e">
        <f>IF(VLOOKUP(T_Convention[[#This Row],[NumL]],T_TraitDi[#Data],COLUMN(T_TraitDi[Nbhheb]),FALSE)=0,"",TEXT(IFERROR(VLOOKUP(T_Convention[[#This Row],[NumL]],T_TraitDi[#Data],COLUMN(T_TraitDi[Nbhheb]),FALSE),""),"[hh]:mm"))</f>
        <v>#N/A</v>
      </c>
      <c r="BL47" s="287" t="str">
        <f>IFERROR(VLOOKUP(VLOOKUP(T_Convention[[#This Row],[NumL]],T_TraitDi[#Data],COLUMN(T_TraitDi[Type1]),FALSE),TypeTW,2,FALSE),"")</f>
        <v/>
      </c>
      <c r="BM47" s="288" t="str">
        <f>IFERROR(VLOOKUP(T_Convention[[#This Row],[NumL]],T_TraitDi[#Data],COLUMN(T_TraitDi[Rue1]),FALSE),"")</f>
        <v/>
      </c>
      <c r="BN47" s="289" t="str">
        <f>IFERROR(VLOOKUP(T_Convention[[#This Row],[NumL]],T_TraitDi[#Data],COLUMN(T_TraitDi[CP1]),FALSE),"")</f>
        <v/>
      </c>
      <c r="BO47" s="282" t="str">
        <f>IFERROR(VLOOKUP(T_Convention[[#This Row],[NumL]],T_TraitDi[#Data],COLUMN(T_TraitDi[VILLE1]),FALSE),"")</f>
        <v/>
      </c>
      <c r="BP47" s="290" t="str">
        <f>IFERROR(VLOOKUP(VLOOKUP(T_Convention[[#This Row],[NumL]],T_TraitDi[#Data],COLUMN(T_TraitDi[Type2]),FALSE),TypeTW,2,FALSE),"")</f>
        <v/>
      </c>
      <c r="BQ47" s="182" t="str">
        <f>IFERROR(VLOOKUP(T_Convention[[#This Row],[NumL]],T_TraitDi[#Data],COLUMN(T_TraitDi[Rue2]),FALSE),"")</f>
        <v/>
      </c>
      <c r="BR47" s="173" t="str">
        <f>IFERROR(VLOOKUP(T_Convention[[#This Row],[NumL]],T_TraitDi[#Data],COLUMN(T_TraitDi[CP2]),FALSE),"")</f>
        <v/>
      </c>
      <c r="BS47" s="173" t="str">
        <f>IFERROR(VLOOKUP(T_Convention[[#This Row],[NumL]],T_TraitDi[#Data],COLUMN(T_TraitDi[VILLE2]),FALSE),"")</f>
        <v/>
      </c>
      <c r="BT47" s="182" t="str">
        <f>IF(VLOOKUP(T_Convention[[#This Row],[NumL]],T_Equipement[#Data],COLUMN(T_Equipement[PC]),FALSE)="","Aucun équipement spécifique directement lié au télétravail",VLOOKUP(T_Convention[[#This Row],[NumL]],T_Equipement[#Data],COLUMN(T_Equipement[PC]),FALSE))</f>
        <v xml:space="preserve">16-422	</v>
      </c>
      <c r="BU47" s="166" t="str">
        <f>IFERROR(IF(VLOOKUP(T_Convention[[#This Row],[NumL]],T_TraitDi[#Data],COLUMN(T_TraitDi[Plan]),FALSE)="OK","Un planning spécifique de télétravail est annexé à la présente convention.",""),"")</f>
        <v/>
      </c>
      <c r="BV47" s="185"/>
      <c r="BW47" s="164" t="e">
        <f>IF(VLOOKUP(T_Convention[[#This Row],[NumL]],T_suiviDi[#Data],COLUMN(T_suiviDi[Entité]),FALSE)="","",VLOOKUP(T_Convention[[#This Row],[NumL]],T_suiviDi[#Data],COLUMN(T_suiviDi[Entité]),FALSE))</f>
        <v>#N/A</v>
      </c>
      <c r="BX47" s="164" t="str">
        <f>IF(VLOOKUP(T_Convention[[#This Row],[NumL]],T_Commission[#Data],COLUMN(T_Commission[envoi confirm TW]),FALSE)="","",VLOOKUP(T_Convention[[#This Row],[NumL]],T_Commission[#Data],COLUMN(T_Commission[envoi confirm TW]),FALSE))</f>
        <v>Oui</v>
      </c>
      <c r="BY4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7" s="264">
        <f>VLOOKUP(T_Convention[[#This Row],[NumL]],T_Commission[#Data],COLUMN(T_Commission[Commentaire]),FALSE)</f>
        <v>0</v>
      </c>
      <c r="CA47" s="254" t="str">
        <f>IF(VLOOKUP(T_Convention[[#This Row],[NumL]],T_Commission[#Data],COLUMN(T_Commission[Encadrant Email]),FALSE)="","",VLOOKUP(T_Convention[[#This Row],[NumL]],T_Commission[#Data],COLUMN(T_Commission[Encadrant Email]),FALSE))</f>
        <v/>
      </c>
      <c r="CB47" s="352" t="e">
        <f>VLOOKUP(T_Convention[[#This Row],[NumL]],T_TraitDi[#Data],COLUMN(T_TraitDi[NbJTot]),FALSE)</f>
        <v>#N/A</v>
      </c>
      <c r="CC47" s="352" t="e">
        <f>VLOOKUP(T_Convention[[#This Row],[NumL]],T_TraitDi[#Data],COLUMN(T_TraitDi[Reg Ponct]),FALSE)</f>
        <v>#N/A</v>
      </c>
      <c r="CD47" s="348" t="str">
        <f>IF(T_Convention[[#This Row],[Final]]&lt;&gt;"",VLOOKUP(T_Convention[[#This Row],[NumL]],T_suiviDi[#Data],COLUMN((T_suiviDi[Statut])),FALSE),"")</f>
        <v/>
      </c>
    </row>
    <row r="48" spans="1:82" s="106" customFormat="1" ht="18.75" customHeight="1" x14ac:dyDescent="0.25">
      <c r="A48" s="160">
        <v>22</v>
      </c>
      <c r="B48" s="161" t="str">
        <f>VLOOKUP(T_Convention[[#This Row],[NumL]],T_Commission[#Data],COLUMN(T_Commission[FINAL]),FALSE)</f>
        <v/>
      </c>
      <c r="C48" s="162"/>
      <c r="D48" s="95" t="e">
        <f>IF(VLOOKUP(T_Convention[[#This Row],[NumL]],T_TraitDi[#Data],COLUMN(T_TraitDi[WebC]),FALSE)="","",VLOOKUP(T_Convention[[#This Row],[NumL]],T_TraitDi[#Data],COLUMN(T_TraitDi[WebC]),FALSE))</f>
        <v>#N/A</v>
      </c>
      <c r="E48" s="163" t="str">
        <f t="shared" si="0"/>
        <v>12 janvier 2021</v>
      </c>
      <c r="F48" s="282" t="str">
        <f>IF(T_Convention[[#This Row],[Final]]&lt;&gt;"",VLOOKUP(T_Convention[[#This Row],[NumL]],T_suiviDi[#Data],COLUMN((T_suiviDi[Civ.])),FALSE),"")</f>
        <v/>
      </c>
      <c r="G48" s="283" t="str">
        <f>IF(T_Convention[[#This Row],[Final]]&lt;&gt;"",VLOOKUP(T_Convention[[#This Row],[NumL]],T_suiviDi[#Data],COLUMN((T_suiviDi[Nom])),FALSE),"")</f>
        <v/>
      </c>
      <c r="H48" s="282" t="str">
        <f>IF(T_Convention[[#This Row],[Final]]&lt;&gt;"",VLOOKUP(T_Convention[[#This Row],[NumL]],T_suiviDi[#Data],COLUMN((T_suiviDi[Prénom])),FALSE),"")</f>
        <v/>
      </c>
      <c r="I48" s="282" t="e">
        <f>VLOOKUP(T_Convention[[#This Row],[NumL]],T_suiviDi[#Data],COLUMN((T_suiviDi[[#This Row],[Email]])),FALSE)</f>
        <v>#VALUE!</v>
      </c>
      <c r="J48" s="282" t="e">
        <f>IF(VLOOKUP(T_Convention[[#This Row],[NumL]],T_suiviDi[#Data],COLUMN(T_suiviDi[[#This Row],[Fonction]]),FALSE)="","",VLOOKUP(T_Convention[[#This Row],[NumL]],T_suiviDi[#Data],COLUMN(T_suiviDi[[#This Row],[Fonction]]),FALSE))</f>
        <v>#VALUE!</v>
      </c>
      <c r="K48" s="282" t="e">
        <f>IF(VLOOKUP(T_Convention[[#This Row],[NumL]],T_suiviDi[#Data],COLUMN(T_suiviDi[[#This Row],[Grade]]),FALSE)="","",VLOOKUP(T_Convention[[#This Row],[NumL]],T_suiviDi[#Data],COLUMN(T_suiviDi[[#This Row],[Grade]]),FALSE))</f>
        <v>#VALUE!</v>
      </c>
      <c r="L48" s="282" t="e">
        <f>IF(VLOOKUP(T_Convention[[#This Row],[NumL]],T_suiviDi[#Data],COLUMN(T_suiviDi[[#This Row],[Service ]]),FALSE)="","",VLOOKUP(T_Convention[[#This Row],[NumL]],T_suiviDi[#Data],COLUMN(T_suiviDi[[#This Row],[Service ]]),FALSE))</f>
        <v>#VALUE!</v>
      </c>
      <c r="M48" s="164" t="str">
        <f t="shared" si="1"/>
        <v>01 septembre 2021</v>
      </c>
      <c r="N48" s="164" t="str">
        <f t="shared" si="2"/>
        <v>30 novembre 2021</v>
      </c>
      <c r="O48" s="284" t="str">
        <f t="shared" si="3"/>
        <v>30 novembre 2021</v>
      </c>
      <c r="P48" s="282" t="e">
        <f>IF(VLOOKUP(T_Convention[[#This Row],[NumL]],T_TraitDi[#Data],COLUMN(T_TraitDi[M1]),FALSE)="","",VLOOKUP(T_Convention[[#This Row],[NumL]],T_TraitDi[#Data],COLUMN(T_TraitDi[M1]),FALSE))</f>
        <v>#N/A</v>
      </c>
      <c r="Q48" s="282" t="e">
        <f>IF(VLOOKUP(T_Convention[[#This Row],[NumL]],T_TraitDi[#Data],COLUMN(T_TraitDi[M2]),FALSE)="","",VLOOKUP(T_Convention[[#This Row],[NumL]],T_TraitDi[#Data],COLUMN(T_TraitDi[M2]),FALSE))</f>
        <v>#N/A</v>
      </c>
      <c r="R48" s="282" t="e">
        <f>IF(VLOOKUP(T_Convention[[#This Row],[NumL]],T_TraitDi[#Data],COLUMN(T_TraitDi[M3]),FALSE)="","",VLOOKUP(T_Convention[[#This Row],[NumL]],T_TraitDi[#Data],COLUMN(T_TraitDi[M3]),FALSE))</f>
        <v>#N/A</v>
      </c>
      <c r="S48" s="282" t="e">
        <f>IF(VLOOKUP(T_Convention[[#This Row],[NumL]],T_TraitDi[#Data],COLUMN(T_TraitDi[M4]),FALSE)="","",VLOOKUP(T_Convention[[#This Row],[NumL]],T_TraitDi[#Data],COLUMN(T_TraitDi[M4]),FALSE))</f>
        <v>#N/A</v>
      </c>
      <c r="T48" s="282" t="e">
        <f>IF(VLOOKUP(T_Convention[[#This Row],[NumL]],T_TraitDi[#Data],COLUMN(T_TraitDi[M5]),FALSE)="","",VLOOKUP(T_Convention[[#This Row],[NumL]],T_TraitDi[#Data],COLUMN(T_TraitDi[M5]),FALSE))</f>
        <v>#N/A</v>
      </c>
      <c r="U48" s="282" t="e">
        <f>IF(VLOOKUP(T_Convention[[#This Row],[NumL]],T_TraitDi[#Data],COLUMN(T_TraitDi[M6]),FALSE)="","",VLOOKUP(T_Convention[[#This Row],[NumL]],T_TraitDi[#Data],COLUMN(T_TraitDi[M6]),FALSE))</f>
        <v>#N/A</v>
      </c>
      <c r="V48" s="176" t="e">
        <f t="shared" si="4"/>
        <v>#N/A</v>
      </c>
      <c r="W48" s="284" t="str">
        <f>IFERROR(TEXT(VLOOKUP(T_Convention[[#This Row],[NumL]],T_TraitDi[#Data],COLUMN(T_TraitDi[Q2]),FALSE),"###%"),"")</f>
        <v/>
      </c>
      <c r="X48" s="97" t="e">
        <f>VLOOKUP(T_Convention[[#This Row],[NumL]],T_TraitDi[#Data],COLUMN(T_TraitDi[Reg Ponct]),FALSE)</f>
        <v>#N/A</v>
      </c>
      <c r="Y48" s="97" t="e">
        <f>VLOOKUP(T_Convention[NumL],T_TraitDi[#Data],COLUMN(T_TraitDi[Jours flottants]),FALSE)</f>
        <v>#N/A</v>
      </c>
      <c r="Z48" s="284" t="str">
        <f>IFERROR(VLOOKUP(T_Convention[[#This Row],[NumL]],T_TraitDi[#Data],COLUMN(T_TraitDi[Lundi]),FALSE),"")</f>
        <v/>
      </c>
      <c r="AA48" s="284" t="e">
        <f>IF(VLOOKUP(T_Convention[[#This Row],[NumL]],T_TraitDi[#Data],COLUMN(T_TraitDi[Colonne3]),FALSE)=0,"",TEXT(IFERROR(VLOOKUP(T_Convention[[#This Row],[NumL]],T_TraitDi[#Data],COLUMN(T_TraitDi[Colonne3]),FALSE),""),"[hh]:mm"))</f>
        <v>#N/A</v>
      </c>
      <c r="AB48" s="284" t="e">
        <f>IF(VLOOKUP(T_Convention[[#This Row],[NumL]],T_TraitDi[#Data],COLUMN(T_TraitDi[Colonne4]),FALSE)=0,"",TEXT(IFERROR(VLOOKUP(T_Convention[[#This Row],[NumL]],T_TraitDi[#Data],COLUMN(T_TraitDi[Colonne4]),FALSE),""),"[hh]:mm"))</f>
        <v>#N/A</v>
      </c>
      <c r="AC48" s="284" t="e">
        <f>IF(VLOOKUP(T_Convention[[#This Row],[NumL]],T_TraitDi[#Data],COLUMN(T_TraitDi[Colonne5]),FALSE)=0,"",TEXT(IFERROR(VLOOKUP(T_Convention[[#This Row],[NumL]],T_TraitDi[#Data],COLUMN(T_TraitDi[Colonne5]),FALSE),""),"[hh]:mm"))</f>
        <v>#N/A</v>
      </c>
      <c r="AD48" s="284" t="e">
        <f>IF(VLOOKUP(T_Convention[[#This Row],[NumL]],T_TraitDi[#Data],COLUMN(T_TraitDi[Colonne6]),FALSE)=0,"",TEXT(IFERROR(VLOOKUP(T_Convention[[#This Row],[NumL]],T_TraitDi[#Data],COLUMN(T_TraitDi[Colonne6]),FALSE),""),"[hh]:mm"))</f>
        <v>#N/A</v>
      </c>
      <c r="AE48" s="284" t="e">
        <f>IF(VLOOKUP(T_Convention[[#This Row],[NumL]],T_TraitDi[#Data],COLUMN(T_TraitDi[Colonne7]),FALSE)=0,"",TEXT(IFERROR(VLOOKUP(T_Convention[[#This Row],[NumL]],T_TraitDi[#Data],COLUMN(T_TraitDi[Colonne7]),FALSE),""),"[hh]:mm"))</f>
        <v>#N/A</v>
      </c>
      <c r="AF48" s="284" t="e">
        <f>IF(VLOOKUP(T_Convention[[#This Row],[NumL]],T_TraitDi[#Data],COLUMN(T_TraitDi[Colonne8]),FALSE)=0,"",TEXT(IFERROR(VLOOKUP(T_Convention[[#This Row],[NumL]],T_TraitDi[#Data],COLUMN(T_TraitDi[Colonne8]),FALSE),""),"[hh]:mm"))</f>
        <v>#N/A</v>
      </c>
      <c r="AG48" s="284" t="str">
        <f>IFERROR(VLOOKUP(T_Convention[[#This Row],[NumL]],T_TraitDi[#Data],COLUMN(T_TraitDi[Mardi]),FALSE),"")</f>
        <v/>
      </c>
      <c r="AH48" s="284" t="e">
        <f>IF(VLOOKUP(T_Convention[[#This Row],[NumL]],T_TraitDi[#Data],COLUMN(T_TraitDi[Colonne1]),FALSE)=0,"",TEXT(IFERROR(VLOOKUP(T_Convention[[#This Row],[NumL]],T_TraitDi[#Data],COLUMN(T_TraitDi[Colonne1]),FALSE),""),"[hh]:mm"))</f>
        <v>#N/A</v>
      </c>
      <c r="AI48" s="284" t="e">
        <f>IF(VLOOKUP(T_Convention[[#This Row],[NumL]],T_TraitDi[#Data],COLUMN(T_TraitDi[Colonne9]),FALSE)=0,"",TEXT(IFERROR(VLOOKUP(T_Convention[[#This Row],[NumL]],T_TraitDi[#Data],COLUMN(T_TraitDi[Colonne9]),FALSE),""),"[hh]:mm"))</f>
        <v>#N/A</v>
      </c>
      <c r="AJ48" s="284" t="str">
        <f>IFERROR(VLOOKUP(T_Convention[[#This Row],[NumL]],T_TraitDi[#Data],COLUMN(T_TraitDi[Colonne10]),FALSE),"")</f>
        <v/>
      </c>
      <c r="AK48" s="284" t="e">
        <f>IF(VLOOKUP(T_Convention[[#This Row],[NumL]],T_TraitDi[#Data],COLUMN(T_TraitDi[Colonne11]),FALSE)=0,"",TEXT(IFERROR(VLOOKUP(T_Convention[[#This Row],[NumL]],T_TraitDi[#Data],COLUMN(T_TraitDi[Colonne11]),FALSE),""),"[hh]:mm"))</f>
        <v>#N/A</v>
      </c>
      <c r="AL48" s="284" t="e">
        <f>IF(VLOOKUP(T_Convention[[#This Row],[NumL]],T_TraitDi[#Data],COLUMN(T_TraitDi[Colonne12]),FALSE)=0,"",TEXT(IFERROR(VLOOKUP(T_Convention[[#This Row],[NumL]],T_TraitDi[#Data],COLUMN(T_TraitDi[Colonne12]),FALSE),""),"[hh]:mm"))</f>
        <v>#N/A</v>
      </c>
      <c r="AM48" s="284" t="e">
        <f>IF(VLOOKUP(T_Convention[[#This Row],[NumL]],T_TraitDi[#Data],COLUMN(T_TraitDi[Colonne14]),FALSE)=0,"",TEXT(IFERROR(VLOOKUP(T_Convention[[#This Row],[NumL]],T_TraitDi[#Data],COLUMN(T_TraitDi[Colonne14]),FALSE),""),"[hh]:mm"))</f>
        <v>#N/A</v>
      </c>
      <c r="AN48" s="284" t="str">
        <f>IFERROR(VLOOKUP(T_Convention[[#This Row],[NumL]],T_TraitDi[#Data],COLUMN(T_TraitDi[Mercredi]),FALSE),"")</f>
        <v/>
      </c>
      <c r="AO48" s="284" t="e">
        <f>IF(VLOOKUP(T_Convention[[#This Row],[NumL]],T_TraitDi[#Data],COLUMN(T_TraitDi[Colonne15]),FALSE)=0,"",TEXT(IFERROR(VLOOKUP(T_Convention[[#This Row],[NumL]],T_TraitDi[#Data],COLUMN(T_TraitDi[Colonne15]),FALSE),""),"[hh]:mm"))</f>
        <v>#N/A</v>
      </c>
      <c r="AP48" s="284" t="e">
        <f>IF(VLOOKUP(T_Convention[[#This Row],[NumL]],T_TraitDi[#Data],COLUMN(T_TraitDi[Colonne16]),FALSE)=0,"",TEXT(IFERROR(VLOOKUP(T_Convention[[#This Row],[NumL]],T_TraitDi[#Data],COLUMN(T_TraitDi[Colonne16]),FALSE),""),"[hh]:mm"))</f>
        <v>#N/A</v>
      </c>
      <c r="AQ48" s="284" t="str">
        <f>IFERROR(VLOOKUP(T_Convention[[#This Row],[NumL]],T_TraitDi[#Data],COLUMN(T_TraitDi[Colonne17]),FALSE),"")</f>
        <v/>
      </c>
      <c r="AR48" s="284" t="e">
        <f>IF(VLOOKUP(T_Convention[[#This Row],[NumL]],T_TraitDi[#Data],COLUMN(T_TraitDi[Colonne18]),FALSE)=0,"",TEXT(IFERROR(VLOOKUP(T_Convention[[#This Row],[NumL]],T_TraitDi[#Data],COLUMN(T_TraitDi[Colonne18]),FALSE),""),"[hh]:mm"))</f>
        <v>#N/A</v>
      </c>
      <c r="AS48" s="284" t="e">
        <f>IF(VLOOKUP(T_Convention[[#This Row],[NumL]],T_TraitDi[#Data],COLUMN(T_TraitDi[Colonne19]),FALSE)=0,"",TEXT(IFERROR(VLOOKUP(T_Convention[[#This Row],[NumL]],T_TraitDi[#Data],COLUMN(T_TraitDi[Colonne19]),FALSE),""),"[hh]:mm"))</f>
        <v>#N/A</v>
      </c>
      <c r="AT48" s="284" t="e">
        <f>IF(VLOOKUP(T_Convention[[#This Row],[NumL]],T_TraitDi[#Data],COLUMN(T_TraitDi[Colonne20]),FALSE)=0,"",TEXT(IFERROR(VLOOKUP(T_Convention[[#This Row],[NumL]],T_TraitDi[#Data],COLUMN(T_TraitDi[Colonne20]),FALSE),""),"[hh]:mm"))</f>
        <v>#N/A</v>
      </c>
      <c r="AU48" s="284" t="str">
        <f>IFERROR(VLOOKUP(T_Convention[[#This Row],[NumL]],T_TraitDi[#Data],COLUMN(T_TraitDi[Jeudi]),FALSE),"")</f>
        <v/>
      </c>
      <c r="AV48" s="284" t="e">
        <f>IF(VLOOKUP(T_Convention[[#This Row],[NumL]],T_TraitDi[#Data],COLUMN(T_TraitDi[Colonne21]),FALSE)=0,"",TEXT(IFERROR(VLOOKUP(T_Convention[[#This Row],[NumL]],T_TraitDi[#Data],COLUMN(T_TraitDi[Colonne21]),FALSE),""),"[hh]:mm"))</f>
        <v>#N/A</v>
      </c>
      <c r="AW48" s="284" t="e">
        <f>IF(VLOOKUP(T_Convention[[#This Row],[NumL]],T_TraitDi[#Data],COLUMN(T_TraitDi[Colonne22]),FALSE)=0,"",TEXT(IFERROR(VLOOKUP(T_Convention[[#This Row],[NumL]],T_TraitDi[#Data],COLUMN(T_TraitDi[Colonne22]),FALSE),""),"[hh]:mm"))</f>
        <v>#N/A</v>
      </c>
      <c r="AX48" s="284" t="str">
        <f>IFERROR(VLOOKUP(T_Convention[[#This Row],[NumL]],T_TraitDi[#Data],COLUMN(T_TraitDi[Colonne23]),FALSE),"")</f>
        <v/>
      </c>
      <c r="AY48" s="284" t="e">
        <f>IF(VLOOKUP(T_Convention[[#This Row],[NumL]],T_TraitDi[#Data],COLUMN(T_TraitDi[Colonne24]),FALSE)=0,"",TEXT(IFERROR(VLOOKUP(T_Convention[[#This Row],[NumL]],T_TraitDi[#Data],COLUMN(T_TraitDi[Colonne24]),FALSE),""),"[hh]:mm"))</f>
        <v>#N/A</v>
      </c>
      <c r="AZ48" s="284" t="e">
        <f>IF(VLOOKUP(T_Convention[[#This Row],[NumL]],T_TraitDi[#Data],COLUMN(T_TraitDi[Colonne25]),FALSE)=0,"",TEXT(IFERROR(VLOOKUP(T_Convention[[#This Row],[NumL]],T_TraitDi[#Data],COLUMN(T_TraitDi[Colonne25]),FALSE),""),"[hh]:mm"))</f>
        <v>#N/A</v>
      </c>
      <c r="BA48" s="284" t="e">
        <f>IF(VLOOKUP(T_Convention[[#This Row],[NumL]],T_TraitDi[#Data],COLUMN(T_TraitDi[Colonne26]),FALSE)=0,"",TEXT(IFERROR(VLOOKUP(T_Convention[[#This Row],[NumL]],T_TraitDi[#Data],COLUMN(T_TraitDi[Colonne26]),FALSE),""),"[hh]:mm"))</f>
        <v>#N/A</v>
      </c>
      <c r="BB48" s="284" t="str">
        <f>IFERROR(VLOOKUP(T_Convention[[#This Row],[NumL]],T_TraitDi[#Data],COLUMN(T_TraitDi[Vendredi]),FALSE),"")</f>
        <v/>
      </c>
      <c r="BC48" s="284" t="e">
        <f>IF(VLOOKUP(T_Convention[[#This Row],[NumL]],T_TraitDi[#Data],COLUMN(T_TraitDi[Colonne27]),FALSE)=0,"",TEXT(IFERROR(VLOOKUP(T_Convention[[#This Row],[NumL]],T_TraitDi[#Data],COLUMN(T_TraitDi[Colonne27]),FALSE),""),"[hh]:mm"))</f>
        <v>#N/A</v>
      </c>
      <c r="BD48" s="284" t="e">
        <f>IF(VLOOKUP(T_Convention[[#This Row],[NumL]],T_TraitDi[#Data],COLUMN(T_TraitDi[Colonne28]),FALSE)=0,"",TEXT(IFERROR(VLOOKUP(T_Convention[[#This Row],[NumL]],T_TraitDi[#Data],COLUMN(T_TraitDi[Colonne28]),FALSE),""),"[hh]:mm"))</f>
        <v>#N/A</v>
      </c>
      <c r="BE48" s="284" t="str">
        <f>IFERROR(VLOOKUP(T_Convention[[#This Row],[NumL]],T_TraitDi[#Data],COLUMN(T_TraitDi[Colonne29]),FALSE),"")</f>
        <v/>
      </c>
      <c r="BF48" s="284" t="e">
        <f>IF(VLOOKUP(T_Convention[[#This Row],[NumL]],T_TraitDi[#Data],COLUMN(T_TraitDi[Colonne30]),FALSE)=0,"",TEXT(IFERROR(VLOOKUP(T_Convention[[#This Row],[NumL]],T_TraitDi[#Data],COLUMN(T_TraitDi[Colonne30]),FALSE),""),"[hh]:mm"))</f>
        <v>#N/A</v>
      </c>
      <c r="BG48" s="284" t="e">
        <f>IF(VLOOKUP(T_Convention[[#This Row],[NumL]],T_TraitDi[#Data],COLUMN(T_TraitDi[Colonne31]),FALSE)=0,"",TEXT(IFERROR(VLOOKUP(T_Convention[[#This Row],[NumL]],T_TraitDi[#Data],COLUMN(T_TraitDi[Colonne31]),FALSE),""),"[hh]:mm"))</f>
        <v>#N/A</v>
      </c>
      <c r="BH48" s="284" t="e">
        <f>IF(VLOOKUP(T_Convention[[#This Row],[NumL]],T_TraitDi[#Data],COLUMN(T_TraitDi[Colonne32]),FALSE)=0,"",TEXT(IFERROR(VLOOKUP(T_Convention[[#This Row],[NumL]],T_TraitDi[#Data],COLUMN(T_TraitDi[Colonne32]),FALSE),""),"[hh]:mm"))</f>
        <v>#N/A</v>
      </c>
      <c r="BI48" s="284" t="str">
        <f>IFERROR(VLOOKUP(T_Convention[[#This Row],[NumL]],T_TraitDi[#Data],COLUMN(T_TraitDi[NbJTW]),FALSE),"")</f>
        <v/>
      </c>
      <c r="BJ48" s="284" t="e">
        <f>IF(VLOOKUP(T_Convention[[#This Row],[NumL]],T_TraitDi[#Data],COLUMN(T_TraitDi[NbhTW]),FALSE)=0,"",TEXT(IFERROR(VLOOKUP(T_Convention[[#This Row],[NumL]],T_TraitDi[#Data],COLUMN(T_TraitDi[NbhTW]),FALSE),""),"[hh]:mm"))</f>
        <v>#N/A</v>
      </c>
      <c r="BK48" s="286" t="e">
        <f>IF(VLOOKUP(T_Convention[[#This Row],[NumL]],T_TraitDi[#Data],COLUMN(T_TraitDi[Nbhheb]),FALSE)=0,"",TEXT(IFERROR(VLOOKUP(T_Convention[[#This Row],[NumL]],T_TraitDi[#Data],COLUMN(T_TraitDi[Nbhheb]),FALSE),""),"[hh]:mm"))</f>
        <v>#N/A</v>
      </c>
      <c r="BL48" s="287" t="str">
        <f>IFERROR(VLOOKUP(VLOOKUP(T_Convention[[#This Row],[NumL]],T_TraitDi[#Data],COLUMN(T_TraitDi[Type1]),FALSE),TypeTW,2,FALSE),"")</f>
        <v/>
      </c>
      <c r="BM48" s="288" t="str">
        <f>IFERROR(VLOOKUP(T_Convention[[#This Row],[NumL]],T_TraitDi[#Data],COLUMN(T_TraitDi[Rue1]),FALSE),"")</f>
        <v/>
      </c>
      <c r="BN48" s="289" t="str">
        <f>IFERROR(VLOOKUP(T_Convention[[#This Row],[NumL]],T_TraitDi[#Data],COLUMN(T_TraitDi[CP1]),FALSE),"")</f>
        <v/>
      </c>
      <c r="BO48" s="282" t="str">
        <f>IFERROR(VLOOKUP(T_Convention[[#This Row],[NumL]],T_TraitDi[#Data],COLUMN(T_TraitDi[VILLE1]),FALSE),"")</f>
        <v/>
      </c>
      <c r="BP48" s="290" t="str">
        <f>IFERROR(VLOOKUP(VLOOKUP(T_Convention[[#This Row],[NumL]],T_TraitDi[#Data],COLUMN(T_TraitDi[Type2]),FALSE),TypeTW,2,FALSE),"")</f>
        <v/>
      </c>
      <c r="BQ48" s="182" t="str">
        <f>IFERROR(VLOOKUP(T_Convention[[#This Row],[NumL]],T_TraitDi[#Data],COLUMN(T_TraitDi[Rue2]),FALSE),"")</f>
        <v/>
      </c>
      <c r="BR48" s="173" t="str">
        <f>IFERROR(VLOOKUP(T_Convention[[#This Row],[NumL]],T_TraitDi[#Data],COLUMN(T_TraitDi[CP2]),FALSE),"")</f>
        <v/>
      </c>
      <c r="BS48" s="173" t="str">
        <f>IFERROR(VLOOKUP(T_Convention[[#This Row],[NumL]],T_TraitDi[#Data],COLUMN(T_TraitDi[VILLE2]),FALSE),"")</f>
        <v/>
      </c>
      <c r="BT48" s="182" t="str">
        <f>IF(VLOOKUP(T_Convention[[#This Row],[NumL]],T_Equipement[#Data],COLUMN(T_Equipement[PC]),FALSE)="","Aucun équipement spécifique directement lié au télétravail",VLOOKUP(T_Convention[[#This Row],[NumL]],T_Equipement[#Data],COLUMN(T_Equipement[PC]),FALSE))</f>
        <v>15-062 mac</v>
      </c>
      <c r="BU48" s="166" t="str">
        <f>IFERROR(IF(VLOOKUP(T_Convention[[#This Row],[NumL]],T_TraitDi[#Data],COLUMN(T_TraitDi[Plan]),FALSE)="OK","Un planning spécifique de télétravail est annexé à la présente convention.",""),"")</f>
        <v/>
      </c>
      <c r="BV48" s="185" t="s">
        <v>3535</v>
      </c>
      <c r="BW48" s="164" t="e">
        <f>IF(VLOOKUP(T_Convention[[#This Row],[NumL]],T_suiviDi[#Data],COLUMN(T_suiviDi[Entité]),FALSE)="","",VLOOKUP(T_Convention[[#This Row],[NumL]],T_suiviDi[#Data],COLUMN(T_suiviDi[Entité]),FALSE))</f>
        <v>#N/A</v>
      </c>
      <c r="BX48" s="164" t="str">
        <f>IF(VLOOKUP(T_Convention[[#This Row],[NumL]],T_Commission[#Data],COLUMN(T_Commission[envoi confirm TW]),FALSE)="","",VLOOKUP(T_Convention[[#This Row],[NumL]],T_Commission[#Data],COLUMN(T_Commission[envoi confirm TW]),FALSE))</f>
        <v>Oui</v>
      </c>
      <c r="BY4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8" s="264">
        <f>VLOOKUP(T_Convention[[#This Row],[NumL]],T_Commission[#Data],COLUMN(T_Commission[Commentaire]),FALSE)</f>
        <v>0</v>
      </c>
      <c r="CA48" s="254" t="str">
        <f>IF(VLOOKUP(T_Convention[[#This Row],[NumL]],T_Commission[#Data],COLUMN(T_Commission[Encadrant Email]),FALSE)="","",VLOOKUP(T_Convention[[#This Row],[NumL]],T_Commission[#Data],COLUMN(T_Commission[Encadrant Email]),FALSE))</f>
        <v/>
      </c>
      <c r="CB48" s="352" t="e">
        <f>VLOOKUP(T_Convention[[#This Row],[NumL]],T_TraitDi[#Data],COLUMN(T_TraitDi[NbJTot]),FALSE)</f>
        <v>#N/A</v>
      </c>
      <c r="CC48" s="352" t="e">
        <f>VLOOKUP(T_Convention[[#This Row],[NumL]],T_TraitDi[#Data],COLUMN(T_TraitDi[Reg Ponct]),FALSE)</f>
        <v>#N/A</v>
      </c>
      <c r="CD48" s="348" t="str">
        <f>IF(T_Convention[[#This Row],[Final]]&lt;&gt;"",VLOOKUP(T_Convention[[#This Row],[NumL]],T_suiviDi[#Data],COLUMN((T_suiviDi[Statut])),FALSE),"")</f>
        <v/>
      </c>
    </row>
    <row r="49" spans="1:82" s="106" customFormat="1" ht="18.75" customHeight="1" x14ac:dyDescent="0.25">
      <c r="A49" s="160">
        <v>277</v>
      </c>
      <c r="B49" s="161" t="str">
        <f>VLOOKUP(T_Convention[[#This Row],[NumL]],T_Commission[#Data],COLUMN(T_Commission[FINAL]),FALSE)</f>
        <v/>
      </c>
      <c r="C49" s="162"/>
      <c r="D49" s="95" t="e">
        <f>IF(VLOOKUP(T_Convention[[#This Row],[NumL]],T_TraitDi[#Data],COLUMN(T_TraitDi[WebC]),FALSE)="","",VLOOKUP(T_Convention[[#This Row],[NumL]],T_TraitDi[#Data],COLUMN(T_TraitDi[WebC]),FALSE))</f>
        <v>#N/A</v>
      </c>
      <c r="E49" s="163" t="str">
        <f t="shared" si="0"/>
        <v>12 janvier 2021</v>
      </c>
      <c r="F49" s="282" t="str">
        <f>IF(T_Convention[[#This Row],[Final]]&lt;&gt;"",VLOOKUP(T_Convention[[#This Row],[NumL]],T_suiviDi[#Data],COLUMN((T_suiviDi[Civ.])),FALSE),"")</f>
        <v/>
      </c>
      <c r="G49" s="283" t="str">
        <f>IF(T_Convention[[#This Row],[Final]]&lt;&gt;"",VLOOKUP(T_Convention[[#This Row],[NumL]],T_suiviDi[#Data],COLUMN((T_suiviDi[Nom])),FALSE),"")</f>
        <v/>
      </c>
      <c r="H49" s="282" t="str">
        <f>IF(T_Convention[[#This Row],[Final]]&lt;&gt;"",VLOOKUP(T_Convention[[#This Row],[NumL]],T_suiviDi[#Data],COLUMN((T_suiviDi[Prénom])),FALSE),"")</f>
        <v/>
      </c>
      <c r="I49" s="282" t="e">
        <f>VLOOKUP(T_Convention[[#This Row],[NumL]],T_suiviDi[#Data],COLUMN((T_suiviDi[[#This Row],[Email]])),FALSE)</f>
        <v>#VALUE!</v>
      </c>
      <c r="J49" s="282" t="e">
        <f>IF(VLOOKUP(T_Convention[[#This Row],[NumL]],T_suiviDi[#Data],COLUMN(T_suiviDi[[#This Row],[Fonction]]),FALSE)="","",VLOOKUP(T_Convention[[#This Row],[NumL]],T_suiviDi[#Data],COLUMN(T_suiviDi[[#This Row],[Fonction]]),FALSE))</f>
        <v>#VALUE!</v>
      </c>
      <c r="K49" s="282" t="e">
        <f>IF(VLOOKUP(T_Convention[[#This Row],[NumL]],T_suiviDi[#Data],COLUMN(T_suiviDi[[#This Row],[Grade]]),FALSE)="","",VLOOKUP(T_Convention[[#This Row],[NumL]],T_suiviDi[#Data],COLUMN(T_suiviDi[[#This Row],[Grade]]),FALSE))</f>
        <v>#VALUE!</v>
      </c>
      <c r="L49" s="282" t="e">
        <f>IF(VLOOKUP(T_Convention[[#This Row],[NumL]],T_suiviDi[#Data],COLUMN(T_suiviDi[[#This Row],[Service ]]),FALSE)="","",VLOOKUP(T_Convention[[#This Row],[NumL]],T_suiviDi[#Data],COLUMN(T_suiviDi[[#This Row],[Service ]]),FALSE))</f>
        <v>#VALUE!</v>
      </c>
      <c r="M49" s="164" t="str">
        <f t="shared" si="1"/>
        <v>01 septembre 2021</v>
      </c>
      <c r="N49" s="164" t="str">
        <f t="shared" si="2"/>
        <v>30 novembre 2021</v>
      </c>
      <c r="O49" s="284" t="str">
        <f t="shared" si="3"/>
        <v>30 novembre 2021</v>
      </c>
      <c r="P49" s="282" t="e">
        <f>IF(VLOOKUP(T_Convention[[#This Row],[NumL]],T_TraitDi[#Data],COLUMN(T_TraitDi[M1]),FALSE)="","",VLOOKUP(T_Convention[[#This Row],[NumL]],T_TraitDi[#Data],COLUMN(T_TraitDi[M1]),FALSE))</f>
        <v>#N/A</v>
      </c>
      <c r="Q49" s="282" t="e">
        <f>IF(VLOOKUP(T_Convention[[#This Row],[NumL]],T_TraitDi[#Data],COLUMN(T_TraitDi[M2]),FALSE)="","",VLOOKUP(T_Convention[[#This Row],[NumL]],T_TraitDi[#Data],COLUMN(T_TraitDi[M2]),FALSE))</f>
        <v>#N/A</v>
      </c>
      <c r="R49" s="282" t="e">
        <f>IF(VLOOKUP(T_Convention[[#This Row],[NumL]],T_TraitDi[#Data],COLUMN(T_TraitDi[M3]),FALSE)="","",VLOOKUP(T_Convention[[#This Row],[NumL]],T_TraitDi[#Data],COLUMN(T_TraitDi[M3]),FALSE))</f>
        <v>#N/A</v>
      </c>
      <c r="S49" s="282" t="e">
        <f>IF(VLOOKUP(T_Convention[[#This Row],[NumL]],T_TraitDi[#Data],COLUMN(T_TraitDi[M4]),FALSE)="","",VLOOKUP(T_Convention[[#This Row],[NumL]],T_TraitDi[#Data],COLUMN(T_TraitDi[M4]),FALSE))</f>
        <v>#N/A</v>
      </c>
      <c r="T49" s="282" t="e">
        <f>IF(VLOOKUP(T_Convention[[#This Row],[NumL]],T_TraitDi[#Data],COLUMN(T_TraitDi[M5]),FALSE)="","",VLOOKUP(T_Convention[[#This Row],[NumL]],T_TraitDi[#Data],COLUMN(T_TraitDi[M5]),FALSE))</f>
        <v>#N/A</v>
      </c>
      <c r="U49" s="282" t="e">
        <f>IF(VLOOKUP(T_Convention[[#This Row],[NumL]],T_TraitDi[#Data],COLUMN(T_TraitDi[M6]),FALSE)="","",VLOOKUP(T_Convention[[#This Row],[NumL]],T_TraitDi[#Data],COLUMN(T_TraitDi[M6]),FALSE))</f>
        <v>#N/A</v>
      </c>
      <c r="V49" s="176" t="e">
        <f t="shared" si="4"/>
        <v>#N/A</v>
      </c>
      <c r="W49" s="284" t="str">
        <f>IFERROR(TEXT(VLOOKUP(T_Convention[[#This Row],[NumL]],T_TraitDi[#Data],COLUMN(T_TraitDi[Q2]),FALSE),"###%"),"")</f>
        <v/>
      </c>
      <c r="X49" s="97" t="e">
        <f>VLOOKUP(T_Convention[[#This Row],[NumL]],T_TraitDi[#Data],COLUMN(T_TraitDi[Reg Ponct]),FALSE)</f>
        <v>#N/A</v>
      </c>
      <c r="Y49" s="97" t="e">
        <f>VLOOKUP(T_Convention[NumL],T_TraitDi[#Data],COLUMN(T_TraitDi[Jours flottants]),FALSE)</f>
        <v>#N/A</v>
      </c>
      <c r="Z49" s="284" t="str">
        <f>IFERROR(VLOOKUP(T_Convention[[#This Row],[NumL]],T_TraitDi[#Data],COLUMN(T_TraitDi[Lundi]),FALSE),"")</f>
        <v/>
      </c>
      <c r="AA49" s="284" t="e">
        <f>IF(VLOOKUP(T_Convention[[#This Row],[NumL]],T_TraitDi[#Data],COLUMN(T_TraitDi[Colonne3]),FALSE)=0,"",TEXT(IFERROR(VLOOKUP(T_Convention[[#This Row],[NumL]],T_TraitDi[#Data],COLUMN(T_TraitDi[Colonne3]),FALSE),""),"[hh]:mm"))</f>
        <v>#N/A</v>
      </c>
      <c r="AB49" s="284" t="e">
        <f>IF(VLOOKUP(T_Convention[[#This Row],[NumL]],T_TraitDi[#Data],COLUMN(T_TraitDi[Colonne4]),FALSE)=0,"",TEXT(IFERROR(VLOOKUP(T_Convention[[#This Row],[NumL]],T_TraitDi[#Data],COLUMN(T_TraitDi[Colonne4]),FALSE),""),"[hh]:mm"))</f>
        <v>#N/A</v>
      </c>
      <c r="AC49" s="284" t="e">
        <f>IF(VLOOKUP(T_Convention[[#This Row],[NumL]],T_TraitDi[#Data],COLUMN(T_TraitDi[Colonne5]),FALSE)=0,"",TEXT(IFERROR(VLOOKUP(T_Convention[[#This Row],[NumL]],T_TraitDi[#Data],COLUMN(T_TraitDi[Colonne5]),FALSE),""),"[hh]:mm"))</f>
        <v>#N/A</v>
      </c>
      <c r="AD49" s="284" t="e">
        <f>IF(VLOOKUP(T_Convention[[#This Row],[NumL]],T_TraitDi[#Data],COLUMN(T_TraitDi[Colonne6]),FALSE)=0,"",TEXT(IFERROR(VLOOKUP(T_Convention[[#This Row],[NumL]],T_TraitDi[#Data],COLUMN(T_TraitDi[Colonne6]),FALSE),""),"[hh]:mm"))</f>
        <v>#N/A</v>
      </c>
      <c r="AE49" s="284" t="e">
        <f>IF(VLOOKUP(T_Convention[[#This Row],[NumL]],T_TraitDi[#Data],COLUMN(T_TraitDi[Colonne7]),FALSE)=0,"",TEXT(IFERROR(VLOOKUP(T_Convention[[#This Row],[NumL]],T_TraitDi[#Data],COLUMN(T_TraitDi[Colonne7]),FALSE),""),"[hh]:mm"))</f>
        <v>#N/A</v>
      </c>
      <c r="AF49" s="284" t="e">
        <f>IF(VLOOKUP(T_Convention[[#This Row],[NumL]],T_TraitDi[#Data],COLUMN(T_TraitDi[Colonne8]),FALSE)=0,"",TEXT(IFERROR(VLOOKUP(T_Convention[[#This Row],[NumL]],T_TraitDi[#Data],COLUMN(T_TraitDi[Colonne8]),FALSE),""),"[hh]:mm"))</f>
        <v>#N/A</v>
      </c>
      <c r="AG49" s="284" t="str">
        <f>IFERROR(VLOOKUP(T_Convention[[#This Row],[NumL]],T_TraitDi[#Data],COLUMN(T_TraitDi[Mardi]),FALSE),"")</f>
        <v/>
      </c>
      <c r="AH49" s="284" t="e">
        <f>IF(VLOOKUP(T_Convention[[#This Row],[NumL]],T_TraitDi[#Data],COLUMN(T_TraitDi[Colonne1]),FALSE)=0,"",TEXT(IFERROR(VLOOKUP(T_Convention[[#This Row],[NumL]],T_TraitDi[#Data],COLUMN(T_TraitDi[Colonne1]),FALSE),""),"[hh]:mm"))</f>
        <v>#N/A</v>
      </c>
      <c r="AI49" s="284" t="e">
        <f>IF(VLOOKUP(T_Convention[[#This Row],[NumL]],T_TraitDi[#Data],COLUMN(T_TraitDi[Colonne9]),FALSE)=0,"",TEXT(IFERROR(VLOOKUP(T_Convention[[#This Row],[NumL]],T_TraitDi[#Data],COLUMN(T_TraitDi[Colonne9]),FALSE),""),"[hh]:mm"))</f>
        <v>#N/A</v>
      </c>
      <c r="AJ49" s="284" t="str">
        <f>IFERROR(VLOOKUP(T_Convention[[#This Row],[NumL]],T_TraitDi[#Data],COLUMN(T_TraitDi[Colonne10]),FALSE),"")</f>
        <v/>
      </c>
      <c r="AK49" s="284" t="e">
        <f>IF(VLOOKUP(T_Convention[[#This Row],[NumL]],T_TraitDi[#Data],COLUMN(T_TraitDi[Colonne11]),FALSE)=0,"",TEXT(IFERROR(VLOOKUP(T_Convention[[#This Row],[NumL]],T_TraitDi[#Data],COLUMN(T_TraitDi[Colonne11]),FALSE),""),"[hh]:mm"))</f>
        <v>#N/A</v>
      </c>
      <c r="AL49" s="284" t="e">
        <f>IF(VLOOKUP(T_Convention[[#This Row],[NumL]],T_TraitDi[#Data],COLUMN(T_TraitDi[Colonne12]),FALSE)=0,"",TEXT(IFERROR(VLOOKUP(T_Convention[[#This Row],[NumL]],T_TraitDi[#Data],COLUMN(T_TraitDi[Colonne12]),FALSE),""),"[hh]:mm"))</f>
        <v>#N/A</v>
      </c>
      <c r="AM49" s="284" t="e">
        <f>IF(VLOOKUP(T_Convention[[#This Row],[NumL]],T_TraitDi[#Data],COLUMN(T_TraitDi[Colonne14]),FALSE)=0,"",TEXT(IFERROR(VLOOKUP(T_Convention[[#This Row],[NumL]],T_TraitDi[#Data],COLUMN(T_TraitDi[Colonne14]),FALSE),""),"[hh]:mm"))</f>
        <v>#N/A</v>
      </c>
      <c r="AN49" s="284" t="str">
        <f>IFERROR(VLOOKUP(T_Convention[[#This Row],[NumL]],T_TraitDi[#Data],COLUMN(T_TraitDi[Mercredi]),FALSE),"")</f>
        <v/>
      </c>
      <c r="AO49" s="284" t="e">
        <f>IF(VLOOKUP(T_Convention[[#This Row],[NumL]],T_TraitDi[#Data],COLUMN(T_TraitDi[Colonne15]),FALSE)=0,"",TEXT(IFERROR(VLOOKUP(T_Convention[[#This Row],[NumL]],T_TraitDi[#Data],COLUMN(T_TraitDi[Colonne15]),FALSE),""),"[hh]:mm"))</f>
        <v>#N/A</v>
      </c>
      <c r="AP49" s="284" t="e">
        <f>IF(VLOOKUP(T_Convention[[#This Row],[NumL]],T_TraitDi[#Data],COLUMN(T_TraitDi[Colonne16]),FALSE)=0,"",TEXT(IFERROR(VLOOKUP(T_Convention[[#This Row],[NumL]],T_TraitDi[#Data],COLUMN(T_TraitDi[Colonne16]),FALSE),""),"[hh]:mm"))</f>
        <v>#N/A</v>
      </c>
      <c r="AQ49" s="284" t="str">
        <f>IFERROR(VLOOKUP(T_Convention[[#This Row],[NumL]],T_TraitDi[#Data],COLUMN(T_TraitDi[Colonne17]),FALSE),"")</f>
        <v/>
      </c>
      <c r="AR49" s="284" t="e">
        <f>IF(VLOOKUP(T_Convention[[#This Row],[NumL]],T_TraitDi[#Data],COLUMN(T_TraitDi[Colonne18]),FALSE)=0,"",TEXT(IFERROR(VLOOKUP(T_Convention[[#This Row],[NumL]],T_TraitDi[#Data],COLUMN(T_TraitDi[Colonne18]),FALSE),""),"[hh]:mm"))</f>
        <v>#N/A</v>
      </c>
      <c r="AS49" s="284" t="e">
        <f>IF(VLOOKUP(T_Convention[[#This Row],[NumL]],T_TraitDi[#Data],COLUMN(T_TraitDi[Colonne19]),FALSE)=0,"",TEXT(IFERROR(VLOOKUP(T_Convention[[#This Row],[NumL]],T_TraitDi[#Data],COLUMN(T_TraitDi[Colonne19]),FALSE),""),"[hh]:mm"))</f>
        <v>#N/A</v>
      </c>
      <c r="AT49" s="284" t="e">
        <f>IF(VLOOKUP(T_Convention[[#This Row],[NumL]],T_TraitDi[#Data],COLUMN(T_TraitDi[Colonne20]),FALSE)=0,"",TEXT(IFERROR(VLOOKUP(T_Convention[[#This Row],[NumL]],T_TraitDi[#Data],COLUMN(T_TraitDi[Colonne20]),FALSE),""),"[hh]:mm"))</f>
        <v>#N/A</v>
      </c>
      <c r="AU49" s="284" t="str">
        <f>IFERROR(VLOOKUP(T_Convention[[#This Row],[NumL]],T_TraitDi[#Data],COLUMN(T_TraitDi[Jeudi]),FALSE),"")</f>
        <v/>
      </c>
      <c r="AV49" s="284" t="e">
        <f>IF(VLOOKUP(T_Convention[[#This Row],[NumL]],T_TraitDi[#Data],COLUMN(T_TraitDi[Colonne21]),FALSE)=0,"",TEXT(IFERROR(VLOOKUP(T_Convention[[#This Row],[NumL]],T_TraitDi[#Data],COLUMN(T_TraitDi[Colonne21]),FALSE),""),"[hh]:mm"))</f>
        <v>#N/A</v>
      </c>
      <c r="AW49" s="284" t="e">
        <f>IF(VLOOKUP(T_Convention[[#This Row],[NumL]],T_TraitDi[#Data],COLUMN(T_TraitDi[Colonne22]),FALSE)=0,"",TEXT(IFERROR(VLOOKUP(T_Convention[[#This Row],[NumL]],T_TraitDi[#Data],COLUMN(T_TraitDi[Colonne22]),FALSE),""),"[hh]:mm"))</f>
        <v>#N/A</v>
      </c>
      <c r="AX49" s="284" t="str">
        <f>IFERROR(VLOOKUP(T_Convention[[#This Row],[NumL]],T_TraitDi[#Data],COLUMN(T_TraitDi[Colonne23]),FALSE),"")</f>
        <v/>
      </c>
      <c r="AY49" s="284" t="e">
        <f>IF(VLOOKUP(T_Convention[[#This Row],[NumL]],T_TraitDi[#Data],COLUMN(T_TraitDi[Colonne24]),FALSE)=0,"",TEXT(IFERROR(VLOOKUP(T_Convention[[#This Row],[NumL]],T_TraitDi[#Data],COLUMN(T_TraitDi[Colonne24]),FALSE),""),"[hh]:mm"))</f>
        <v>#N/A</v>
      </c>
      <c r="AZ49" s="284" t="e">
        <f>IF(VLOOKUP(T_Convention[[#This Row],[NumL]],T_TraitDi[#Data],COLUMN(T_TraitDi[Colonne25]),FALSE)=0,"",TEXT(IFERROR(VLOOKUP(T_Convention[[#This Row],[NumL]],T_TraitDi[#Data],COLUMN(T_TraitDi[Colonne25]),FALSE),""),"[hh]:mm"))</f>
        <v>#N/A</v>
      </c>
      <c r="BA49" s="284" t="e">
        <f>IF(VLOOKUP(T_Convention[[#This Row],[NumL]],T_TraitDi[#Data],COLUMN(T_TraitDi[Colonne26]),FALSE)=0,"",TEXT(IFERROR(VLOOKUP(T_Convention[[#This Row],[NumL]],T_TraitDi[#Data],COLUMN(T_TraitDi[Colonne26]),FALSE),""),"[hh]:mm"))</f>
        <v>#N/A</v>
      </c>
      <c r="BB49" s="284" t="str">
        <f>IFERROR(VLOOKUP(T_Convention[[#This Row],[NumL]],T_TraitDi[#Data],COLUMN(T_TraitDi[Vendredi]),FALSE),"")</f>
        <v/>
      </c>
      <c r="BC49" s="284" t="e">
        <f>IF(VLOOKUP(T_Convention[[#This Row],[NumL]],T_TraitDi[#Data],COLUMN(T_TraitDi[Colonne27]),FALSE)=0,"",TEXT(IFERROR(VLOOKUP(T_Convention[[#This Row],[NumL]],T_TraitDi[#Data],COLUMN(T_TraitDi[Colonne27]),FALSE),""),"[hh]:mm"))</f>
        <v>#N/A</v>
      </c>
      <c r="BD49" s="284" t="e">
        <f>IF(VLOOKUP(T_Convention[[#This Row],[NumL]],T_TraitDi[#Data],COLUMN(T_TraitDi[Colonne28]),FALSE)=0,"",TEXT(IFERROR(VLOOKUP(T_Convention[[#This Row],[NumL]],T_TraitDi[#Data],COLUMN(T_TraitDi[Colonne28]),FALSE),""),"[hh]:mm"))</f>
        <v>#N/A</v>
      </c>
      <c r="BE49" s="284" t="str">
        <f>IFERROR(VLOOKUP(T_Convention[[#This Row],[NumL]],T_TraitDi[#Data],COLUMN(T_TraitDi[Colonne29]),FALSE),"")</f>
        <v/>
      </c>
      <c r="BF49" s="284" t="e">
        <f>IF(VLOOKUP(T_Convention[[#This Row],[NumL]],T_TraitDi[#Data],COLUMN(T_TraitDi[Colonne30]),FALSE)=0,"",TEXT(IFERROR(VLOOKUP(T_Convention[[#This Row],[NumL]],T_TraitDi[#Data],COLUMN(T_TraitDi[Colonne30]),FALSE),""),"[hh]:mm"))</f>
        <v>#N/A</v>
      </c>
      <c r="BG49" s="284" t="e">
        <f>IF(VLOOKUP(T_Convention[[#This Row],[NumL]],T_TraitDi[#Data],COLUMN(T_TraitDi[Colonne31]),FALSE)=0,"",TEXT(IFERROR(VLOOKUP(T_Convention[[#This Row],[NumL]],T_TraitDi[#Data],COLUMN(T_TraitDi[Colonne31]),FALSE),""),"[hh]:mm"))</f>
        <v>#N/A</v>
      </c>
      <c r="BH49" s="284" t="e">
        <f>IF(VLOOKUP(T_Convention[[#This Row],[NumL]],T_TraitDi[#Data],COLUMN(T_TraitDi[Colonne32]),FALSE)=0,"",TEXT(IFERROR(VLOOKUP(T_Convention[[#This Row],[NumL]],T_TraitDi[#Data],COLUMN(T_TraitDi[Colonne32]),FALSE),""),"[hh]:mm"))</f>
        <v>#N/A</v>
      </c>
      <c r="BI49" s="284" t="str">
        <f>IFERROR(VLOOKUP(T_Convention[[#This Row],[NumL]],T_TraitDi[#Data],COLUMN(T_TraitDi[NbJTW]),FALSE),"")</f>
        <v/>
      </c>
      <c r="BJ49" s="284" t="e">
        <f>IF(VLOOKUP(T_Convention[[#This Row],[NumL]],T_TraitDi[#Data],COLUMN(T_TraitDi[NbhTW]),FALSE)=0,"",TEXT(IFERROR(VLOOKUP(T_Convention[[#This Row],[NumL]],T_TraitDi[#Data],COLUMN(T_TraitDi[NbhTW]),FALSE),""),"[hh]:mm"))</f>
        <v>#N/A</v>
      </c>
      <c r="BK49" s="286" t="e">
        <f>IF(VLOOKUP(T_Convention[[#This Row],[NumL]],T_TraitDi[#Data],COLUMN(T_TraitDi[Nbhheb]),FALSE)=0,"",TEXT(IFERROR(VLOOKUP(T_Convention[[#This Row],[NumL]],T_TraitDi[#Data],COLUMN(T_TraitDi[Nbhheb]),FALSE),""),"[hh]:mm"))</f>
        <v>#N/A</v>
      </c>
      <c r="BL49" s="287" t="str">
        <f>IFERROR(VLOOKUP(VLOOKUP(T_Convention[[#This Row],[NumL]],T_TraitDi[#Data],COLUMN(T_TraitDi[Type1]),FALSE),TypeTW,2,FALSE),"")</f>
        <v/>
      </c>
      <c r="BM49" s="288" t="str">
        <f>IFERROR(VLOOKUP(T_Convention[[#This Row],[NumL]],T_TraitDi[#Data],COLUMN(T_TraitDi[Rue1]),FALSE),"")</f>
        <v/>
      </c>
      <c r="BN49" s="289" t="str">
        <f>IFERROR(VLOOKUP(T_Convention[[#This Row],[NumL]],T_TraitDi[#Data],COLUMN(T_TraitDi[CP1]),FALSE),"")</f>
        <v/>
      </c>
      <c r="BO49" s="282" t="str">
        <f>IFERROR(VLOOKUP(T_Convention[[#This Row],[NumL]],T_TraitDi[#Data],COLUMN(T_TraitDi[VILLE1]),FALSE),"")</f>
        <v/>
      </c>
      <c r="BP49" s="290" t="str">
        <f>IFERROR(VLOOKUP(VLOOKUP(T_Convention[[#This Row],[NumL]],T_TraitDi[#Data],COLUMN(T_TraitDi[Type2]),FALSE),TypeTW,2,FALSE),"")</f>
        <v/>
      </c>
      <c r="BQ49" s="182" t="str">
        <f>IFERROR(VLOOKUP(T_Convention[[#This Row],[NumL]],T_TraitDi[#Data],COLUMN(T_TraitDi[Rue2]),FALSE),"")</f>
        <v/>
      </c>
      <c r="BR49" s="173" t="str">
        <f>IFERROR(VLOOKUP(T_Convention[[#This Row],[NumL]],T_TraitDi[#Data],COLUMN(T_TraitDi[CP2]),FALSE),"")</f>
        <v/>
      </c>
      <c r="BS49" s="173" t="str">
        <f>IFERROR(VLOOKUP(T_Convention[[#This Row],[NumL]],T_TraitDi[#Data],COLUMN(T_TraitDi[VILLE2]),FALSE),"")</f>
        <v/>
      </c>
      <c r="BT49" s="182" t="str">
        <f>IF(VLOOKUP(T_Convention[[#This Row],[NumL]],T_Equipement[#Data],COLUMN(T_Equipement[PC]),FALSE)="","Aucun équipement spécifique directement lié au télétravail",VLOOKUP(T_Convention[[#This Row],[NumL]],T_Equipement[#Data],COLUMN(T_Equipement[PC]),FALSE))</f>
        <v>18-902Q	 mac</v>
      </c>
      <c r="BU49" s="166" t="str">
        <f>IFERROR(IF(VLOOKUP(T_Convention[[#This Row],[NumL]],T_TraitDi[#Data],COLUMN(T_TraitDi[Plan]),FALSE)="OK","Un planning spécifique de télétravail est annexé à la présente convention.",""),"")</f>
        <v/>
      </c>
      <c r="BV49" s="185" t="s">
        <v>3482</v>
      </c>
      <c r="BW49" s="164" t="e">
        <f>IF(VLOOKUP(T_Convention[[#This Row],[NumL]],T_suiviDi[#Data],COLUMN(T_suiviDi[Entité]),FALSE)="","",VLOOKUP(T_Convention[[#This Row],[NumL]],T_suiviDi[#Data],COLUMN(T_suiviDi[Entité]),FALSE))</f>
        <v>#N/A</v>
      </c>
      <c r="BX49" s="164" t="str">
        <f>IF(VLOOKUP(T_Convention[[#This Row],[NumL]],T_Commission[#Data],COLUMN(T_Commission[envoi confirm TW]),FALSE)="","",VLOOKUP(T_Convention[[#This Row],[NumL]],T_Commission[#Data],COLUMN(T_Commission[envoi confirm TW]),FALSE))</f>
        <v>Oui</v>
      </c>
      <c r="BY4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49" s="264">
        <f>VLOOKUP(T_Convention[[#This Row],[NumL]],T_Commission[#Data],COLUMN(T_Commission[Commentaire]),FALSE)</f>
        <v>0</v>
      </c>
      <c r="CA49" s="254" t="str">
        <f>IF(VLOOKUP(T_Convention[[#This Row],[NumL]],T_Commission[#Data],COLUMN(T_Commission[Encadrant Email]),FALSE)="","",VLOOKUP(T_Convention[[#This Row],[NumL]],T_Commission[#Data],COLUMN(T_Commission[Encadrant Email]),FALSE))</f>
        <v/>
      </c>
      <c r="CB49" s="352" t="e">
        <f>VLOOKUP(T_Convention[[#This Row],[NumL]],T_TraitDi[#Data],COLUMN(T_TraitDi[NbJTot]),FALSE)</f>
        <v>#N/A</v>
      </c>
      <c r="CC49" s="352" t="e">
        <f>VLOOKUP(T_Convention[[#This Row],[NumL]],T_TraitDi[#Data],COLUMN(T_TraitDi[Reg Ponct]),FALSE)</f>
        <v>#N/A</v>
      </c>
      <c r="CD49" s="348" t="str">
        <f>IF(T_Convention[[#This Row],[Final]]&lt;&gt;"",VLOOKUP(T_Convention[[#This Row],[NumL]],T_suiviDi[#Data],COLUMN((T_suiviDi[Statut])),FALSE),"")</f>
        <v/>
      </c>
    </row>
    <row r="50" spans="1:82" s="106" customFormat="1" ht="18.75" customHeight="1" x14ac:dyDescent="0.25">
      <c r="A50" s="160">
        <v>240</v>
      </c>
      <c r="B50" s="161" t="str">
        <f>VLOOKUP(T_Convention[[#This Row],[NumL]],T_Commission[#Data],COLUMN(T_Commission[FINAL]),FALSE)</f>
        <v/>
      </c>
      <c r="C50" s="162"/>
      <c r="D50" s="95" t="e">
        <f>IF(VLOOKUP(T_Convention[[#This Row],[NumL]],T_TraitDi[#Data],COLUMN(T_TraitDi[WebC]),FALSE)="","",VLOOKUP(T_Convention[[#This Row],[NumL]],T_TraitDi[#Data],COLUMN(T_TraitDi[WebC]),FALSE))</f>
        <v>#N/A</v>
      </c>
      <c r="E50" s="163" t="str">
        <f t="shared" si="0"/>
        <v>12 janvier 2021</v>
      </c>
      <c r="F50" s="282" t="str">
        <f>IF(T_Convention[[#This Row],[Final]]&lt;&gt;"",VLOOKUP(T_Convention[[#This Row],[NumL]],T_suiviDi[#Data],COLUMN((T_suiviDi[Civ.])),FALSE),"")</f>
        <v/>
      </c>
      <c r="G50" s="283" t="str">
        <f>IF(T_Convention[[#This Row],[Final]]&lt;&gt;"",VLOOKUP(T_Convention[[#This Row],[NumL]],T_suiviDi[#Data],COLUMN((T_suiviDi[Nom])),FALSE),"")</f>
        <v/>
      </c>
      <c r="H50" s="282" t="str">
        <f>IF(T_Convention[[#This Row],[Final]]&lt;&gt;"",VLOOKUP(T_Convention[[#This Row],[NumL]],T_suiviDi[#Data],COLUMN((T_suiviDi[Prénom])),FALSE),"")</f>
        <v/>
      </c>
      <c r="I50" s="282" t="e">
        <f>VLOOKUP(T_Convention[[#This Row],[NumL]],T_suiviDi[#Data],COLUMN((T_suiviDi[[#This Row],[Email]])),FALSE)</f>
        <v>#VALUE!</v>
      </c>
      <c r="J50" s="282" t="e">
        <f>IF(VLOOKUP(T_Convention[[#This Row],[NumL]],T_suiviDi[#Data],COLUMN(T_suiviDi[[#This Row],[Fonction]]),FALSE)="","",VLOOKUP(T_Convention[[#This Row],[NumL]],T_suiviDi[#Data],COLUMN(T_suiviDi[[#This Row],[Fonction]]),FALSE))</f>
        <v>#VALUE!</v>
      </c>
      <c r="K50" s="282" t="e">
        <f>IF(VLOOKUP(T_Convention[[#This Row],[NumL]],T_suiviDi[#Data],COLUMN(T_suiviDi[[#This Row],[Grade]]),FALSE)="","",VLOOKUP(T_Convention[[#This Row],[NumL]],T_suiviDi[#Data],COLUMN(T_suiviDi[[#This Row],[Grade]]),FALSE))</f>
        <v>#VALUE!</v>
      </c>
      <c r="L50" s="282" t="e">
        <f>IF(VLOOKUP(T_Convention[[#This Row],[NumL]],T_suiviDi[#Data],COLUMN(T_suiviDi[[#This Row],[Service ]]),FALSE)="","",VLOOKUP(T_Convention[[#This Row],[NumL]],T_suiviDi[#Data],COLUMN(T_suiviDi[[#This Row],[Service ]]),FALSE))</f>
        <v>#VALUE!</v>
      </c>
      <c r="M50" s="164" t="str">
        <f t="shared" si="1"/>
        <v>01 septembre 2021</v>
      </c>
      <c r="N50" s="164" t="str">
        <f t="shared" si="2"/>
        <v>30 novembre 2021</v>
      </c>
      <c r="O50" s="284" t="str">
        <f t="shared" si="3"/>
        <v>30 novembre 2021</v>
      </c>
      <c r="P50" s="282" t="e">
        <f>IF(VLOOKUP(T_Convention[[#This Row],[NumL]],T_TraitDi[#Data],COLUMN(T_TraitDi[M1]),FALSE)="","",VLOOKUP(T_Convention[[#This Row],[NumL]],T_TraitDi[#Data],COLUMN(T_TraitDi[M1]),FALSE))</f>
        <v>#N/A</v>
      </c>
      <c r="Q50" s="282" t="e">
        <f>IF(VLOOKUP(T_Convention[[#This Row],[NumL]],T_TraitDi[#Data],COLUMN(T_TraitDi[M2]),FALSE)="","",VLOOKUP(T_Convention[[#This Row],[NumL]],T_TraitDi[#Data],COLUMN(T_TraitDi[M2]),FALSE))</f>
        <v>#N/A</v>
      </c>
      <c r="R50" s="282" t="e">
        <f>IF(VLOOKUP(T_Convention[[#This Row],[NumL]],T_TraitDi[#Data],COLUMN(T_TraitDi[M3]),FALSE)="","",VLOOKUP(T_Convention[[#This Row],[NumL]],T_TraitDi[#Data],COLUMN(T_TraitDi[M3]),FALSE))</f>
        <v>#N/A</v>
      </c>
      <c r="S50" s="282" t="e">
        <f>IF(VLOOKUP(T_Convention[[#This Row],[NumL]],T_TraitDi[#Data],COLUMN(T_TraitDi[M4]),FALSE)="","",VLOOKUP(T_Convention[[#This Row],[NumL]],T_TraitDi[#Data],COLUMN(T_TraitDi[M4]),FALSE))</f>
        <v>#N/A</v>
      </c>
      <c r="T50" s="282" t="e">
        <f>IF(VLOOKUP(T_Convention[[#This Row],[NumL]],T_TraitDi[#Data],COLUMN(T_TraitDi[M5]),FALSE)="","",VLOOKUP(T_Convention[[#This Row],[NumL]],T_TraitDi[#Data],COLUMN(T_TraitDi[M5]),FALSE))</f>
        <v>#N/A</v>
      </c>
      <c r="U50" s="282" t="e">
        <f>IF(VLOOKUP(T_Convention[[#This Row],[NumL]],T_TraitDi[#Data],COLUMN(T_TraitDi[M6]),FALSE)="","",VLOOKUP(T_Convention[[#This Row],[NumL]],T_TraitDi[#Data],COLUMN(T_TraitDi[M6]),FALSE))</f>
        <v>#N/A</v>
      </c>
      <c r="V50" s="176" t="e">
        <f t="shared" si="4"/>
        <v>#N/A</v>
      </c>
      <c r="W50" s="284" t="str">
        <f>IFERROR(TEXT(VLOOKUP(T_Convention[[#This Row],[NumL]],T_TraitDi[#Data],COLUMN(T_TraitDi[Q2]),FALSE),"###%"),"")</f>
        <v/>
      </c>
      <c r="X50" s="97" t="e">
        <f>VLOOKUP(T_Convention[[#This Row],[NumL]],T_TraitDi[#Data],COLUMN(T_TraitDi[Reg Ponct]),FALSE)</f>
        <v>#N/A</v>
      </c>
      <c r="Y50" s="97" t="e">
        <f>VLOOKUP(T_Convention[NumL],T_TraitDi[#Data],COLUMN(T_TraitDi[Jours flottants]),FALSE)</f>
        <v>#N/A</v>
      </c>
      <c r="Z50" s="284" t="str">
        <f>IFERROR(VLOOKUP(T_Convention[[#This Row],[NumL]],T_TraitDi[#Data],COLUMN(T_TraitDi[Lundi]),FALSE),"")</f>
        <v/>
      </c>
      <c r="AA50" s="284" t="e">
        <f>IF(VLOOKUP(T_Convention[[#This Row],[NumL]],T_TraitDi[#Data],COLUMN(T_TraitDi[Colonne3]),FALSE)=0,"",TEXT(IFERROR(VLOOKUP(T_Convention[[#This Row],[NumL]],T_TraitDi[#Data],COLUMN(T_TraitDi[Colonne3]),FALSE),""),"[hh]:mm"))</f>
        <v>#N/A</v>
      </c>
      <c r="AB50" s="284" t="e">
        <f>IF(VLOOKUP(T_Convention[[#This Row],[NumL]],T_TraitDi[#Data],COLUMN(T_TraitDi[Colonne4]),FALSE)=0,"",TEXT(IFERROR(VLOOKUP(T_Convention[[#This Row],[NumL]],T_TraitDi[#Data],COLUMN(T_TraitDi[Colonne4]),FALSE),""),"[hh]:mm"))</f>
        <v>#N/A</v>
      </c>
      <c r="AC50" s="284" t="e">
        <f>IF(VLOOKUP(T_Convention[[#This Row],[NumL]],T_TraitDi[#Data],COLUMN(T_TraitDi[Colonne5]),FALSE)=0,"",TEXT(IFERROR(VLOOKUP(T_Convention[[#This Row],[NumL]],T_TraitDi[#Data],COLUMN(T_TraitDi[Colonne5]),FALSE),""),"[hh]:mm"))</f>
        <v>#N/A</v>
      </c>
      <c r="AD50" s="284" t="e">
        <f>IF(VLOOKUP(T_Convention[[#This Row],[NumL]],T_TraitDi[#Data],COLUMN(T_TraitDi[Colonne6]),FALSE)=0,"",TEXT(IFERROR(VLOOKUP(T_Convention[[#This Row],[NumL]],T_TraitDi[#Data],COLUMN(T_TraitDi[Colonne6]),FALSE),""),"[hh]:mm"))</f>
        <v>#N/A</v>
      </c>
      <c r="AE50" s="284" t="e">
        <f>IF(VLOOKUP(T_Convention[[#This Row],[NumL]],T_TraitDi[#Data],COLUMN(T_TraitDi[Colonne7]),FALSE)=0,"",TEXT(IFERROR(VLOOKUP(T_Convention[[#This Row],[NumL]],T_TraitDi[#Data],COLUMN(T_TraitDi[Colonne7]),FALSE),""),"[hh]:mm"))</f>
        <v>#N/A</v>
      </c>
      <c r="AF50" s="284" t="e">
        <f>IF(VLOOKUP(T_Convention[[#This Row],[NumL]],T_TraitDi[#Data],COLUMN(T_TraitDi[Colonne8]),FALSE)=0,"",TEXT(IFERROR(VLOOKUP(T_Convention[[#This Row],[NumL]],T_TraitDi[#Data],COLUMN(T_TraitDi[Colonne8]),FALSE),""),"[hh]:mm"))</f>
        <v>#N/A</v>
      </c>
      <c r="AG50" s="284" t="str">
        <f>IFERROR(VLOOKUP(T_Convention[[#This Row],[NumL]],T_TraitDi[#Data],COLUMN(T_TraitDi[Mardi]),FALSE),"")</f>
        <v/>
      </c>
      <c r="AH50" s="284" t="e">
        <f>IF(VLOOKUP(T_Convention[[#This Row],[NumL]],T_TraitDi[#Data],COLUMN(T_TraitDi[Colonne1]),FALSE)=0,"",TEXT(IFERROR(VLOOKUP(T_Convention[[#This Row],[NumL]],T_TraitDi[#Data],COLUMN(T_TraitDi[Colonne1]),FALSE),""),"[hh]:mm"))</f>
        <v>#N/A</v>
      </c>
      <c r="AI50" s="284" t="e">
        <f>IF(VLOOKUP(T_Convention[[#This Row],[NumL]],T_TraitDi[#Data],COLUMN(T_TraitDi[Colonne9]),FALSE)=0,"",TEXT(IFERROR(VLOOKUP(T_Convention[[#This Row],[NumL]],T_TraitDi[#Data],COLUMN(T_TraitDi[Colonne9]),FALSE),""),"[hh]:mm"))</f>
        <v>#N/A</v>
      </c>
      <c r="AJ50" s="284" t="str">
        <f>IFERROR(VLOOKUP(T_Convention[[#This Row],[NumL]],T_TraitDi[#Data],COLUMN(T_TraitDi[Colonne10]),FALSE),"")</f>
        <v/>
      </c>
      <c r="AK50" s="284" t="e">
        <f>IF(VLOOKUP(T_Convention[[#This Row],[NumL]],T_TraitDi[#Data],COLUMN(T_TraitDi[Colonne11]),FALSE)=0,"",TEXT(IFERROR(VLOOKUP(T_Convention[[#This Row],[NumL]],T_TraitDi[#Data],COLUMN(T_TraitDi[Colonne11]),FALSE),""),"[hh]:mm"))</f>
        <v>#N/A</v>
      </c>
      <c r="AL50" s="284" t="e">
        <f>IF(VLOOKUP(T_Convention[[#This Row],[NumL]],T_TraitDi[#Data],COLUMN(T_TraitDi[Colonne12]),FALSE)=0,"",TEXT(IFERROR(VLOOKUP(T_Convention[[#This Row],[NumL]],T_TraitDi[#Data],COLUMN(T_TraitDi[Colonne12]),FALSE),""),"[hh]:mm"))</f>
        <v>#N/A</v>
      </c>
      <c r="AM50" s="284" t="e">
        <f>IF(VLOOKUP(T_Convention[[#This Row],[NumL]],T_TraitDi[#Data],COLUMN(T_TraitDi[Colonne14]),FALSE)=0,"",TEXT(IFERROR(VLOOKUP(T_Convention[[#This Row],[NumL]],T_TraitDi[#Data],COLUMN(T_TraitDi[Colonne14]),FALSE),""),"[hh]:mm"))</f>
        <v>#N/A</v>
      </c>
      <c r="AN50" s="284" t="str">
        <f>IFERROR(VLOOKUP(T_Convention[[#This Row],[NumL]],T_TraitDi[#Data],COLUMN(T_TraitDi[Mercredi]),FALSE),"")</f>
        <v/>
      </c>
      <c r="AO50" s="284" t="e">
        <f>IF(VLOOKUP(T_Convention[[#This Row],[NumL]],T_TraitDi[#Data],COLUMN(T_TraitDi[Colonne15]),FALSE)=0,"",TEXT(IFERROR(VLOOKUP(T_Convention[[#This Row],[NumL]],T_TraitDi[#Data],COLUMN(T_TraitDi[Colonne15]),FALSE),""),"[hh]:mm"))</f>
        <v>#N/A</v>
      </c>
      <c r="AP50" s="284" t="e">
        <f>IF(VLOOKUP(T_Convention[[#This Row],[NumL]],T_TraitDi[#Data],COLUMN(T_TraitDi[Colonne16]),FALSE)=0,"",TEXT(IFERROR(VLOOKUP(T_Convention[[#This Row],[NumL]],T_TraitDi[#Data],COLUMN(T_TraitDi[Colonne16]),FALSE),""),"[hh]:mm"))</f>
        <v>#N/A</v>
      </c>
      <c r="AQ50" s="284" t="str">
        <f>IFERROR(VLOOKUP(T_Convention[[#This Row],[NumL]],T_TraitDi[#Data],COLUMN(T_TraitDi[Colonne17]),FALSE),"")</f>
        <v/>
      </c>
      <c r="AR50" s="284" t="e">
        <f>IF(VLOOKUP(T_Convention[[#This Row],[NumL]],T_TraitDi[#Data],COLUMN(T_TraitDi[Colonne18]),FALSE)=0,"",TEXT(IFERROR(VLOOKUP(T_Convention[[#This Row],[NumL]],T_TraitDi[#Data],COLUMN(T_TraitDi[Colonne18]),FALSE),""),"[hh]:mm"))</f>
        <v>#N/A</v>
      </c>
      <c r="AS50" s="284" t="e">
        <f>IF(VLOOKUP(T_Convention[[#This Row],[NumL]],T_TraitDi[#Data],COLUMN(T_TraitDi[Colonne19]),FALSE)=0,"",TEXT(IFERROR(VLOOKUP(T_Convention[[#This Row],[NumL]],T_TraitDi[#Data],COLUMN(T_TraitDi[Colonne19]),FALSE),""),"[hh]:mm"))</f>
        <v>#N/A</v>
      </c>
      <c r="AT50" s="284" t="e">
        <f>IF(VLOOKUP(T_Convention[[#This Row],[NumL]],T_TraitDi[#Data],COLUMN(T_TraitDi[Colonne20]),FALSE)=0,"",TEXT(IFERROR(VLOOKUP(T_Convention[[#This Row],[NumL]],T_TraitDi[#Data],COLUMN(T_TraitDi[Colonne20]),FALSE),""),"[hh]:mm"))</f>
        <v>#N/A</v>
      </c>
      <c r="AU50" s="284" t="str">
        <f>IFERROR(VLOOKUP(T_Convention[[#This Row],[NumL]],T_TraitDi[#Data],COLUMN(T_TraitDi[Jeudi]),FALSE),"")</f>
        <v/>
      </c>
      <c r="AV50" s="284" t="e">
        <f>IF(VLOOKUP(T_Convention[[#This Row],[NumL]],T_TraitDi[#Data],COLUMN(T_TraitDi[Colonne21]),FALSE)=0,"",TEXT(IFERROR(VLOOKUP(T_Convention[[#This Row],[NumL]],T_TraitDi[#Data],COLUMN(T_TraitDi[Colonne21]),FALSE),""),"[hh]:mm"))</f>
        <v>#N/A</v>
      </c>
      <c r="AW50" s="284" t="e">
        <f>IF(VLOOKUP(T_Convention[[#This Row],[NumL]],T_TraitDi[#Data],COLUMN(T_TraitDi[Colonne22]),FALSE)=0,"",TEXT(IFERROR(VLOOKUP(T_Convention[[#This Row],[NumL]],T_TraitDi[#Data],COLUMN(T_TraitDi[Colonne22]),FALSE),""),"[hh]:mm"))</f>
        <v>#N/A</v>
      </c>
      <c r="AX50" s="284" t="str">
        <f>IFERROR(VLOOKUP(T_Convention[[#This Row],[NumL]],T_TraitDi[#Data],COLUMN(T_TraitDi[Colonne23]),FALSE),"")</f>
        <v/>
      </c>
      <c r="AY50" s="284" t="e">
        <f>IF(VLOOKUP(T_Convention[[#This Row],[NumL]],T_TraitDi[#Data],COLUMN(T_TraitDi[Colonne24]),FALSE)=0,"",TEXT(IFERROR(VLOOKUP(T_Convention[[#This Row],[NumL]],T_TraitDi[#Data],COLUMN(T_TraitDi[Colonne24]),FALSE),""),"[hh]:mm"))</f>
        <v>#N/A</v>
      </c>
      <c r="AZ50" s="284" t="e">
        <f>IF(VLOOKUP(T_Convention[[#This Row],[NumL]],T_TraitDi[#Data],COLUMN(T_TraitDi[Colonne25]),FALSE)=0,"",TEXT(IFERROR(VLOOKUP(T_Convention[[#This Row],[NumL]],T_TraitDi[#Data],COLUMN(T_TraitDi[Colonne25]),FALSE),""),"[hh]:mm"))</f>
        <v>#N/A</v>
      </c>
      <c r="BA50" s="284" t="e">
        <f>IF(VLOOKUP(T_Convention[[#This Row],[NumL]],T_TraitDi[#Data],COLUMN(T_TraitDi[Colonne26]),FALSE)=0,"",TEXT(IFERROR(VLOOKUP(T_Convention[[#This Row],[NumL]],T_TraitDi[#Data],COLUMN(T_TraitDi[Colonne26]),FALSE),""),"[hh]:mm"))</f>
        <v>#N/A</v>
      </c>
      <c r="BB50" s="284" t="str">
        <f>IFERROR(VLOOKUP(T_Convention[[#This Row],[NumL]],T_TraitDi[#Data],COLUMN(T_TraitDi[Vendredi]),FALSE),"")</f>
        <v/>
      </c>
      <c r="BC50" s="284" t="e">
        <f>IF(VLOOKUP(T_Convention[[#This Row],[NumL]],T_TraitDi[#Data],COLUMN(T_TraitDi[Colonne27]),FALSE)=0,"",TEXT(IFERROR(VLOOKUP(T_Convention[[#This Row],[NumL]],T_TraitDi[#Data],COLUMN(T_TraitDi[Colonne27]),FALSE),""),"[hh]:mm"))</f>
        <v>#N/A</v>
      </c>
      <c r="BD50" s="284" t="e">
        <f>IF(VLOOKUP(T_Convention[[#This Row],[NumL]],T_TraitDi[#Data],COLUMN(T_TraitDi[Colonne28]),FALSE)=0,"",TEXT(IFERROR(VLOOKUP(T_Convention[[#This Row],[NumL]],T_TraitDi[#Data],COLUMN(T_TraitDi[Colonne28]),FALSE),""),"[hh]:mm"))</f>
        <v>#N/A</v>
      </c>
      <c r="BE50" s="284" t="str">
        <f>IFERROR(VLOOKUP(T_Convention[[#This Row],[NumL]],T_TraitDi[#Data],COLUMN(T_TraitDi[Colonne29]),FALSE),"")</f>
        <v/>
      </c>
      <c r="BF50" s="284" t="e">
        <f>IF(VLOOKUP(T_Convention[[#This Row],[NumL]],T_TraitDi[#Data],COLUMN(T_TraitDi[Colonne30]),FALSE)=0,"",TEXT(IFERROR(VLOOKUP(T_Convention[[#This Row],[NumL]],T_TraitDi[#Data],COLUMN(T_TraitDi[Colonne30]),FALSE),""),"[hh]:mm"))</f>
        <v>#N/A</v>
      </c>
      <c r="BG50" s="284" t="e">
        <f>IF(VLOOKUP(T_Convention[[#This Row],[NumL]],T_TraitDi[#Data],COLUMN(T_TraitDi[Colonne31]),FALSE)=0,"",TEXT(IFERROR(VLOOKUP(T_Convention[[#This Row],[NumL]],T_TraitDi[#Data],COLUMN(T_TraitDi[Colonne31]),FALSE),""),"[hh]:mm"))</f>
        <v>#N/A</v>
      </c>
      <c r="BH50" s="284" t="e">
        <f>IF(VLOOKUP(T_Convention[[#This Row],[NumL]],T_TraitDi[#Data],COLUMN(T_TraitDi[Colonne32]),FALSE)=0,"",TEXT(IFERROR(VLOOKUP(T_Convention[[#This Row],[NumL]],T_TraitDi[#Data],COLUMN(T_TraitDi[Colonne32]),FALSE),""),"[hh]:mm"))</f>
        <v>#N/A</v>
      </c>
      <c r="BI50" s="284" t="str">
        <f>IFERROR(VLOOKUP(T_Convention[[#This Row],[NumL]],T_TraitDi[#Data],COLUMN(T_TraitDi[NbJTW]),FALSE),"")</f>
        <v/>
      </c>
      <c r="BJ50" s="284" t="e">
        <f>IF(VLOOKUP(T_Convention[[#This Row],[NumL]],T_TraitDi[#Data],COLUMN(T_TraitDi[NbhTW]),FALSE)=0,"",TEXT(IFERROR(VLOOKUP(T_Convention[[#This Row],[NumL]],T_TraitDi[#Data],COLUMN(T_TraitDi[NbhTW]),FALSE),""),"[hh]:mm"))</f>
        <v>#N/A</v>
      </c>
      <c r="BK50" s="286" t="e">
        <f>IF(VLOOKUP(T_Convention[[#This Row],[NumL]],T_TraitDi[#Data],COLUMN(T_TraitDi[Nbhheb]),FALSE)=0,"",TEXT(IFERROR(VLOOKUP(T_Convention[[#This Row],[NumL]],T_TraitDi[#Data],COLUMN(T_TraitDi[Nbhheb]),FALSE),""),"[hh]:mm"))</f>
        <v>#N/A</v>
      </c>
      <c r="BL50" s="287" t="str">
        <f>IFERROR(VLOOKUP(VLOOKUP(T_Convention[[#This Row],[NumL]],T_TraitDi[#Data],COLUMN(T_TraitDi[Type1]),FALSE),TypeTW,2,FALSE),"")</f>
        <v/>
      </c>
      <c r="BM50" s="288" t="str">
        <f>IFERROR(VLOOKUP(T_Convention[[#This Row],[NumL]],T_TraitDi[#Data],COLUMN(T_TraitDi[Rue1]),FALSE),"")</f>
        <v/>
      </c>
      <c r="BN50" s="289" t="str">
        <f>IFERROR(VLOOKUP(T_Convention[[#This Row],[NumL]],T_TraitDi[#Data],COLUMN(T_TraitDi[CP1]),FALSE),"")</f>
        <v/>
      </c>
      <c r="BO50" s="282" t="str">
        <f>IFERROR(VLOOKUP(T_Convention[[#This Row],[NumL]],T_TraitDi[#Data],COLUMN(T_TraitDi[VILLE1]),FALSE),"")</f>
        <v/>
      </c>
      <c r="BP50" s="290" t="str">
        <f>IFERROR(VLOOKUP(VLOOKUP(T_Convention[[#This Row],[NumL]],T_TraitDi[#Data],COLUMN(T_TraitDi[Type2]),FALSE),TypeTW,2,FALSE),"")</f>
        <v/>
      </c>
      <c r="BQ50" s="182" t="str">
        <f>IFERROR(VLOOKUP(T_Convention[[#This Row],[NumL]],T_TraitDi[#Data],COLUMN(T_TraitDi[Rue2]),FALSE),"")</f>
        <v/>
      </c>
      <c r="BR50" s="173" t="str">
        <f>IFERROR(VLOOKUP(T_Convention[[#This Row],[NumL]],T_TraitDi[#Data],COLUMN(T_TraitDi[CP2]),FALSE),"")</f>
        <v/>
      </c>
      <c r="BS50" s="173" t="str">
        <f>IFERROR(VLOOKUP(T_Convention[[#This Row],[NumL]],T_TraitDi[#Data],COLUMN(T_TraitDi[VILLE2]),FALSE),"")</f>
        <v/>
      </c>
      <c r="BT50" s="182" t="str">
        <f>IF(VLOOKUP(T_Convention[[#This Row],[NumL]],T_Equipement[#Data],COLUMN(T_Equipement[PC]),FALSE)="","Aucun équipement spécifique directement lié au télétravail",VLOOKUP(T_Convention[[#This Row],[NumL]],T_Equipement[#Data],COLUMN(T_Equipement[PC]),FALSE))</f>
        <v xml:space="preserve">20-074	</v>
      </c>
      <c r="BU50" s="166" t="str">
        <f>IFERROR(IF(VLOOKUP(T_Convention[[#This Row],[NumL]],T_TraitDi[#Data],COLUMN(T_TraitDi[Plan]),FALSE)="OK","Un planning spécifique de télétravail est annexé à la présente convention.",""),"")</f>
        <v/>
      </c>
      <c r="BV50" s="185" t="s">
        <v>3393</v>
      </c>
      <c r="BW50" s="164" t="e">
        <f>IF(VLOOKUP(T_Convention[[#This Row],[NumL]],T_suiviDi[#Data],COLUMN(T_suiviDi[Entité]),FALSE)="","",VLOOKUP(T_Convention[[#This Row],[NumL]],T_suiviDi[#Data],COLUMN(T_suiviDi[Entité]),FALSE))</f>
        <v>#N/A</v>
      </c>
      <c r="BX50" s="164" t="str">
        <f>IF(VLOOKUP(T_Convention[[#This Row],[NumL]],T_Commission[#Data],COLUMN(T_Commission[envoi confirm TW]),FALSE)="","",VLOOKUP(T_Convention[[#This Row],[NumL]],T_Commission[#Data],COLUMN(T_Commission[envoi confirm TW]),FALSE))</f>
        <v>Oui</v>
      </c>
      <c r="BY5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0" s="264">
        <f>VLOOKUP(T_Convention[[#This Row],[NumL]],T_Commission[#Data],COLUMN(T_Commission[Commentaire]),FALSE)</f>
        <v>0</v>
      </c>
      <c r="CA50" s="254" t="str">
        <f>IF(VLOOKUP(T_Convention[[#This Row],[NumL]],T_Commission[#Data],COLUMN(T_Commission[Encadrant Email]),FALSE)="","",VLOOKUP(T_Convention[[#This Row],[NumL]],T_Commission[#Data],COLUMN(T_Commission[Encadrant Email]),FALSE))</f>
        <v/>
      </c>
      <c r="CB50" s="352" t="e">
        <f>VLOOKUP(T_Convention[[#This Row],[NumL]],T_TraitDi[#Data],COLUMN(T_TraitDi[NbJTot]),FALSE)</f>
        <v>#N/A</v>
      </c>
      <c r="CC50" s="352" t="e">
        <f>VLOOKUP(T_Convention[[#This Row],[NumL]],T_TraitDi[#Data],COLUMN(T_TraitDi[Reg Ponct]),FALSE)</f>
        <v>#N/A</v>
      </c>
      <c r="CD50" s="348" t="str">
        <f>IF(T_Convention[[#This Row],[Final]]&lt;&gt;"",VLOOKUP(T_Convention[[#This Row],[NumL]],T_suiviDi[#Data],COLUMN((T_suiviDi[Statut])),FALSE),"")</f>
        <v/>
      </c>
    </row>
    <row r="51" spans="1:82" s="106" customFormat="1" ht="18.75" customHeight="1" x14ac:dyDescent="0.25">
      <c r="A51" s="160">
        <v>1</v>
      </c>
      <c r="B51" s="161" t="str">
        <f>VLOOKUP(T_Convention[[#This Row],[NumL]],T_Commission[#Data],COLUMN(T_Commission[FINAL]),FALSE)</f>
        <v/>
      </c>
      <c r="C51" s="162"/>
      <c r="D51" s="95" t="e">
        <f>IF(VLOOKUP(T_Convention[[#This Row],[NumL]],T_TraitDi[#Data],COLUMN(T_TraitDi[WebC]),FALSE)="","",VLOOKUP(T_Convention[[#This Row],[NumL]],T_TraitDi[#Data],COLUMN(T_TraitDi[WebC]),FALSE))</f>
        <v>#N/A</v>
      </c>
      <c r="E51" s="163" t="str">
        <f t="shared" si="0"/>
        <v>12 janvier 2021</v>
      </c>
      <c r="F51" s="282" t="str">
        <f>IF(T_Convention[[#This Row],[Final]]&lt;&gt;"",VLOOKUP(T_Convention[[#This Row],[NumL]],T_suiviDi[#Data],COLUMN((T_suiviDi[Civ.])),FALSE),"")</f>
        <v/>
      </c>
      <c r="G51" s="283" t="str">
        <f>IF(T_Convention[[#This Row],[Final]]&lt;&gt;"",VLOOKUP(T_Convention[[#This Row],[NumL]],T_suiviDi[#Data],COLUMN((T_suiviDi[Nom])),FALSE),"")</f>
        <v/>
      </c>
      <c r="H51" s="282" t="str">
        <f>IF(T_Convention[[#This Row],[Final]]&lt;&gt;"",VLOOKUP(T_Convention[[#This Row],[NumL]],T_suiviDi[#Data],COLUMN((T_suiviDi[Prénom])),FALSE),"")</f>
        <v/>
      </c>
      <c r="I51" s="282" t="e">
        <f>VLOOKUP(T_Convention[[#This Row],[NumL]],T_suiviDi[#Data],COLUMN((T_suiviDi[[#This Row],[Email]])),FALSE)</f>
        <v>#VALUE!</v>
      </c>
      <c r="J51" s="282" t="e">
        <f>IF(VLOOKUP(T_Convention[[#This Row],[NumL]],T_suiviDi[#Data],COLUMN(T_suiviDi[[#This Row],[Fonction]]),FALSE)="","",VLOOKUP(T_Convention[[#This Row],[NumL]],T_suiviDi[#Data],COLUMN(T_suiviDi[[#This Row],[Fonction]]),FALSE))</f>
        <v>#VALUE!</v>
      </c>
      <c r="K51" s="282" t="e">
        <f>IF(VLOOKUP(T_Convention[[#This Row],[NumL]],T_suiviDi[#Data],COLUMN(T_suiviDi[[#This Row],[Grade]]),FALSE)="","",VLOOKUP(T_Convention[[#This Row],[NumL]],T_suiviDi[#Data],COLUMN(T_suiviDi[[#This Row],[Grade]]),FALSE))</f>
        <v>#VALUE!</v>
      </c>
      <c r="L51" s="282" t="e">
        <f>IF(VLOOKUP(T_Convention[[#This Row],[NumL]],T_suiviDi[#Data],COLUMN(T_suiviDi[[#This Row],[Service ]]),FALSE)="","",VLOOKUP(T_Convention[[#This Row],[NumL]],T_suiviDi[#Data],COLUMN(T_suiviDi[[#This Row],[Service ]]),FALSE))</f>
        <v>#VALUE!</v>
      </c>
      <c r="M51" s="164" t="str">
        <f t="shared" si="1"/>
        <v>01 septembre 2021</v>
      </c>
      <c r="N51" s="164" t="str">
        <f t="shared" si="2"/>
        <v>30 novembre 2021</v>
      </c>
      <c r="O51" s="284" t="str">
        <f t="shared" si="3"/>
        <v>30 novembre 2021</v>
      </c>
      <c r="P51" s="282" t="e">
        <f>IF(VLOOKUP(T_Convention[[#This Row],[NumL]],T_TraitDi[#Data],COLUMN(T_TraitDi[M1]),FALSE)="","",VLOOKUP(T_Convention[[#This Row],[NumL]],T_TraitDi[#Data],COLUMN(T_TraitDi[M1]),FALSE))</f>
        <v>#N/A</v>
      </c>
      <c r="Q51" s="282" t="e">
        <f>IF(VLOOKUP(T_Convention[[#This Row],[NumL]],T_TraitDi[#Data],COLUMN(T_TraitDi[M2]),FALSE)="","",VLOOKUP(T_Convention[[#This Row],[NumL]],T_TraitDi[#Data],COLUMN(T_TraitDi[M2]),FALSE))</f>
        <v>#N/A</v>
      </c>
      <c r="R51" s="282" t="e">
        <f>IF(VLOOKUP(T_Convention[[#This Row],[NumL]],T_TraitDi[#Data],COLUMN(T_TraitDi[M3]),FALSE)="","",VLOOKUP(T_Convention[[#This Row],[NumL]],T_TraitDi[#Data],COLUMN(T_TraitDi[M3]),FALSE))</f>
        <v>#N/A</v>
      </c>
      <c r="S51" s="282" t="e">
        <f>IF(VLOOKUP(T_Convention[[#This Row],[NumL]],T_TraitDi[#Data],COLUMN(T_TraitDi[M4]),FALSE)="","",VLOOKUP(T_Convention[[#This Row],[NumL]],T_TraitDi[#Data],COLUMN(T_TraitDi[M4]),FALSE))</f>
        <v>#N/A</v>
      </c>
      <c r="T51" s="282" t="e">
        <f>IF(VLOOKUP(T_Convention[[#This Row],[NumL]],T_TraitDi[#Data],COLUMN(T_TraitDi[M5]),FALSE)="","",VLOOKUP(T_Convention[[#This Row],[NumL]],T_TraitDi[#Data],COLUMN(T_TraitDi[M5]),FALSE))</f>
        <v>#N/A</v>
      </c>
      <c r="U51" s="282" t="e">
        <f>IF(VLOOKUP(T_Convention[[#This Row],[NumL]],T_TraitDi[#Data],COLUMN(T_TraitDi[M6]),FALSE)="","",VLOOKUP(T_Convention[[#This Row],[NumL]],T_TraitDi[#Data],COLUMN(T_TraitDi[M6]),FALSE))</f>
        <v>#N/A</v>
      </c>
      <c r="V51" s="176" t="e">
        <f t="shared" si="4"/>
        <v>#N/A</v>
      </c>
      <c r="W51" s="284" t="str">
        <f>IFERROR(TEXT(VLOOKUP(T_Convention[[#This Row],[NumL]],T_TraitDi[#Data],COLUMN(T_TraitDi[Q2]),FALSE),"###%"),"")</f>
        <v/>
      </c>
      <c r="X51" s="97" t="e">
        <f>VLOOKUP(T_Convention[[#This Row],[NumL]],T_TraitDi[#Data],COLUMN(T_TraitDi[Reg Ponct]),FALSE)</f>
        <v>#N/A</v>
      </c>
      <c r="Y51" s="97" t="e">
        <f>VLOOKUP(T_Convention[NumL],T_TraitDi[#Data],COLUMN(T_TraitDi[Jours flottants]),FALSE)</f>
        <v>#N/A</v>
      </c>
      <c r="Z51" s="284" t="str">
        <f>IFERROR(VLOOKUP(T_Convention[[#This Row],[NumL]],T_TraitDi[#Data],COLUMN(T_TraitDi[Lundi]),FALSE),"")</f>
        <v/>
      </c>
      <c r="AA51" s="284" t="e">
        <f>IF(VLOOKUP(T_Convention[[#This Row],[NumL]],T_TraitDi[#Data],COLUMN(T_TraitDi[Colonne3]),FALSE)=0,"",TEXT(IFERROR(VLOOKUP(T_Convention[[#This Row],[NumL]],T_TraitDi[#Data],COLUMN(T_TraitDi[Colonne3]),FALSE),""),"[hh]:mm"))</f>
        <v>#N/A</v>
      </c>
      <c r="AB51" s="284" t="e">
        <f>IF(VLOOKUP(T_Convention[[#This Row],[NumL]],T_TraitDi[#Data],COLUMN(T_TraitDi[Colonne4]),FALSE)=0,"",TEXT(IFERROR(VLOOKUP(T_Convention[[#This Row],[NumL]],T_TraitDi[#Data],COLUMN(T_TraitDi[Colonne4]),FALSE),""),"[hh]:mm"))</f>
        <v>#N/A</v>
      </c>
      <c r="AC51" s="284" t="e">
        <f>IF(VLOOKUP(T_Convention[[#This Row],[NumL]],T_TraitDi[#Data],COLUMN(T_TraitDi[Colonne5]),FALSE)=0,"",TEXT(IFERROR(VLOOKUP(T_Convention[[#This Row],[NumL]],T_TraitDi[#Data],COLUMN(T_TraitDi[Colonne5]),FALSE),""),"[hh]:mm"))</f>
        <v>#N/A</v>
      </c>
      <c r="AD51" s="284" t="e">
        <f>IF(VLOOKUP(T_Convention[[#This Row],[NumL]],T_TraitDi[#Data],COLUMN(T_TraitDi[Colonne6]),FALSE)=0,"",TEXT(IFERROR(VLOOKUP(T_Convention[[#This Row],[NumL]],T_TraitDi[#Data],COLUMN(T_TraitDi[Colonne6]),FALSE),""),"[hh]:mm"))</f>
        <v>#N/A</v>
      </c>
      <c r="AE51" s="284" t="e">
        <f>IF(VLOOKUP(T_Convention[[#This Row],[NumL]],T_TraitDi[#Data],COLUMN(T_TraitDi[Colonne7]),FALSE)=0,"",TEXT(IFERROR(VLOOKUP(T_Convention[[#This Row],[NumL]],T_TraitDi[#Data],COLUMN(T_TraitDi[Colonne7]),FALSE),""),"[hh]:mm"))</f>
        <v>#N/A</v>
      </c>
      <c r="AF51" s="284" t="e">
        <f>IF(VLOOKUP(T_Convention[[#This Row],[NumL]],T_TraitDi[#Data],COLUMN(T_TraitDi[Colonne8]),FALSE)=0,"",TEXT(IFERROR(VLOOKUP(T_Convention[[#This Row],[NumL]],T_TraitDi[#Data],COLUMN(T_TraitDi[Colonne8]),FALSE),""),"[hh]:mm"))</f>
        <v>#N/A</v>
      </c>
      <c r="AG51" s="284" t="str">
        <f>IFERROR(VLOOKUP(T_Convention[[#This Row],[NumL]],T_TraitDi[#Data],COLUMN(T_TraitDi[Mardi]),FALSE),"")</f>
        <v/>
      </c>
      <c r="AH51" s="284" t="e">
        <f>IF(VLOOKUP(T_Convention[[#This Row],[NumL]],T_TraitDi[#Data],COLUMN(T_TraitDi[Colonne1]),FALSE)=0,"",TEXT(IFERROR(VLOOKUP(T_Convention[[#This Row],[NumL]],T_TraitDi[#Data],COLUMN(T_TraitDi[Colonne1]),FALSE),""),"[hh]:mm"))</f>
        <v>#N/A</v>
      </c>
      <c r="AI51" s="284" t="e">
        <f>IF(VLOOKUP(T_Convention[[#This Row],[NumL]],T_TraitDi[#Data],COLUMN(T_TraitDi[Colonne9]),FALSE)=0,"",TEXT(IFERROR(VLOOKUP(T_Convention[[#This Row],[NumL]],T_TraitDi[#Data],COLUMN(T_TraitDi[Colonne9]),FALSE),""),"[hh]:mm"))</f>
        <v>#N/A</v>
      </c>
      <c r="AJ51" s="284" t="str">
        <f>IFERROR(VLOOKUP(T_Convention[[#This Row],[NumL]],T_TraitDi[#Data],COLUMN(T_TraitDi[Colonne10]),FALSE),"")</f>
        <v/>
      </c>
      <c r="AK51" s="284" t="e">
        <f>IF(VLOOKUP(T_Convention[[#This Row],[NumL]],T_TraitDi[#Data],COLUMN(T_TraitDi[Colonne11]),FALSE)=0,"",TEXT(IFERROR(VLOOKUP(T_Convention[[#This Row],[NumL]],T_TraitDi[#Data],COLUMN(T_TraitDi[Colonne11]),FALSE),""),"[hh]:mm"))</f>
        <v>#N/A</v>
      </c>
      <c r="AL51" s="284" t="e">
        <f>IF(VLOOKUP(T_Convention[[#This Row],[NumL]],T_TraitDi[#Data],COLUMN(T_TraitDi[Colonne12]),FALSE)=0,"",TEXT(IFERROR(VLOOKUP(T_Convention[[#This Row],[NumL]],T_TraitDi[#Data],COLUMN(T_TraitDi[Colonne12]),FALSE),""),"[hh]:mm"))</f>
        <v>#N/A</v>
      </c>
      <c r="AM51" s="284" t="e">
        <f>IF(VLOOKUP(T_Convention[[#This Row],[NumL]],T_TraitDi[#Data],COLUMN(T_TraitDi[Colonne14]),FALSE)=0,"",TEXT(IFERROR(VLOOKUP(T_Convention[[#This Row],[NumL]],T_TraitDi[#Data],COLUMN(T_TraitDi[Colonne14]),FALSE),""),"[hh]:mm"))</f>
        <v>#N/A</v>
      </c>
      <c r="AN51" s="284" t="str">
        <f>IFERROR(VLOOKUP(T_Convention[[#This Row],[NumL]],T_TraitDi[#Data],COLUMN(T_TraitDi[Mercredi]),FALSE),"")</f>
        <v/>
      </c>
      <c r="AO51" s="284" t="e">
        <f>IF(VLOOKUP(T_Convention[[#This Row],[NumL]],T_TraitDi[#Data],COLUMN(T_TraitDi[Colonne15]),FALSE)=0,"",TEXT(IFERROR(VLOOKUP(T_Convention[[#This Row],[NumL]],T_TraitDi[#Data],COLUMN(T_TraitDi[Colonne15]),FALSE),""),"[hh]:mm"))</f>
        <v>#N/A</v>
      </c>
      <c r="AP51" s="284" t="e">
        <f>IF(VLOOKUP(T_Convention[[#This Row],[NumL]],T_TraitDi[#Data],COLUMN(T_TraitDi[Colonne16]),FALSE)=0,"",TEXT(IFERROR(VLOOKUP(T_Convention[[#This Row],[NumL]],T_TraitDi[#Data],COLUMN(T_TraitDi[Colonne16]),FALSE),""),"[hh]:mm"))</f>
        <v>#N/A</v>
      </c>
      <c r="AQ51" s="284" t="str">
        <f>IFERROR(VLOOKUP(T_Convention[[#This Row],[NumL]],T_TraitDi[#Data],COLUMN(T_TraitDi[Colonne17]),FALSE),"")</f>
        <v/>
      </c>
      <c r="AR51" s="284" t="e">
        <f>IF(VLOOKUP(T_Convention[[#This Row],[NumL]],T_TraitDi[#Data],COLUMN(T_TraitDi[Colonne18]),FALSE)=0,"",TEXT(IFERROR(VLOOKUP(T_Convention[[#This Row],[NumL]],T_TraitDi[#Data],COLUMN(T_TraitDi[Colonne18]),FALSE),""),"[hh]:mm"))</f>
        <v>#N/A</v>
      </c>
      <c r="AS51" s="284" t="e">
        <f>IF(VLOOKUP(T_Convention[[#This Row],[NumL]],T_TraitDi[#Data],COLUMN(T_TraitDi[Colonne19]),FALSE)=0,"",TEXT(IFERROR(VLOOKUP(T_Convention[[#This Row],[NumL]],T_TraitDi[#Data],COLUMN(T_TraitDi[Colonne19]),FALSE),""),"[hh]:mm"))</f>
        <v>#N/A</v>
      </c>
      <c r="AT51" s="284" t="e">
        <f>IF(VLOOKUP(T_Convention[[#This Row],[NumL]],T_TraitDi[#Data],COLUMN(T_TraitDi[Colonne20]),FALSE)=0,"",TEXT(IFERROR(VLOOKUP(T_Convention[[#This Row],[NumL]],T_TraitDi[#Data],COLUMN(T_TraitDi[Colonne20]),FALSE),""),"[hh]:mm"))</f>
        <v>#N/A</v>
      </c>
      <c r="AU51" s="284" t="str">
        <f>IFERROR(VLOOKUP(T_Convention[[#This Row],[NumL]],T_TraitDi[#Data],COLUMN(T_TraitDi[Jeudi]),FALSE),"")</f>
        <v/>
      </c>
      <c r="AV51" s="284" t="e">
        <f>IF(VLOOKUP(T_Convention[[#This Row],[NumL]],T_TraitDi[#Data],COLUMN(T_TraitDi[Colonne21]),FALSE)=0,"",TEXT(IFERROR(VLOOKUP(T_Convention[[#This Row],[NumL]],T_TraitDi[#Data],COLUMN(T_TraitDi[Colonne21]),FALSE),""),"[hh]:mm"))</f>
        <v>#N/A</v>
      </c>
      <c r="AW51" s="284" t="e">
        <f>IF(VLOOKUP(T_Convention[[#This Row],[NumL]],T_TraitDi[#Data],COLUMN(T_TraitDi[Colonne22]),FALSE)=0,"",TEXT(IFERROR(VLOOKUP(T_Convention[[#This Row],[NumL]],T_TraitDi[#Data],COLUMN(T_TraitDi[Colonne22]),FALSE),""),"[hh]:mm"))</f>
        <v>#N/A</v>
      </c>
      <c r="AX51" s="284" t="str">
        <f>IFERROR(VLOOKUP(T_Convention[[#This Row],[NumL]],T_TraitDi[#Data],COLUMN(T_TraitDi[Colonne23]),FALSE),"")</f>
        <v/>
      </c>
      <c r="AY51" s="284" t="e">
        <f>IF(VLOOKUP(T_Convention[[#This Row],[NumL]],T_TraitDi[#Data],COLUMN(T_TraitDi[Colonne24]),FALSE)=0,"",TEXT(IFERROR(VLOOKUP(T_Convention[[#This Row],[NumL]],T_TraitDi[#Data],COLUMN(T_TraitDi[Colonne24]),FALSE),""),"[hh]:mm"))</f>
        <v>#N/A</v>
      </c>
      <c r="AZ51" s="284" t="e">
        <f>IF(VLOOKUP(T_Convention[[#This Row],[NumL]],T_TraitDi[#Data],COLUMN(T_TraitDi[Colonne25]),FALSE)=0,"",TEXT(IFERROR(VLOOKUP(T_Convention[[#This Row],[NumL]],T_TraitDi[#Data],COLUMN(T_TraitDi[Colonne25]),FALSE),""),"[hh]:mm"))</f>
        <v>#N/A</v>
      </c>
      <c r="BA51" s="284" t="e">
        <f>IF(VLOOKUP(T_Convention[[#This Row],[NumL]],T_TraitDi[#Data],COLUMN(T_TraitDi[Colonne26]),FALSE)=0,"",TEXT(IFERROR(VLOOKUP(T_Convention[[#This Row],[NumL]],T_TraitDi[#Data],COLUMN(T_TraitDi[Colonne26]),FALSE),""),"[hh]:mm"))</f>
        <v>#N/A</v>
      </c>
      <c r="BB51" s="284" t="str">
        <f>IFERROR(VLOOKUP(T_Convention[[#This Row],[NumL]],T_TraitDi[#Data],COLUMN(T_TraitDi[Vendredi]),FALSE),"")</f>
        <v/>
      </c>
      <c r="BC51" s="284" t="e">
        <f>IF(VLOOKUP(T_Convention[[#This Row],[NumL]],T_TraitDi[#Data],COLUMN(T_TraitDi[Colonne27]),FALSE)=0,"",TEXT(IFERROR(VLOOKUP(T_Convention[[#This Row],[NumL]],T_TraitDi[#Data],COLUMN(T_TraitDi[Colonne27]),FALSE),""),"[hh]:mm"))</f>
        <v>#N/A</v>
      </c>
      <c r="BD51" s="284" t="e">
        <f>IF(VLOOKUP(T_Convention[[#This Row],[NumL]],T_TraitDi[#Data],COLUMN(T_TraitDi[Colonne28]),FALSE)=0,"",TEXT(IFERROR(VLOOKUP(T_Convention[[#This Row],[NumL]],T_TraitDi[#Data],COLUMN(T_TraitDi[Colonne28]),FALSE),""),"[hh]:mm"))</f>
        <v>#N/A</v>
      </c>
      <c r="BE51" s="284" t="str">
        <f>IFERROR(VLOOKUP(T_Convention[[#This Row],[NumL]],T_TraitDi[#Data],COLUMN(T_TraitDi[Colonne29]),FALSE),"")</f>
        <v/>
      </c>
      <c r="BF51" s="284" t="e">
        <f>IF(VLOOKUP(T_Convention[[#This Row],[NumL]],T_TraitDi[#Data],COLUMN(T_TraitDi[Colonne30]),FALSE)=0,"",TEXT(IFERROR(VLOOKUP(T_Convention[[#This Row],[NumL]],T_TraitDi[#Data],COLUMN(T_TraitDi[Colonne30]),FALSE),""),"[hh]:mm"))</f>
        <v>#N/A</v>
      </c>
      <c r="BG51" s="284" t="e">
        <f>IF(VLOOKUP(T_Convention[[#This Row],[NumL]],T_TraitDi[#Data],COLUMN(T_TraitDi[Colonne31]),FALSE)=0,"",TEXT(IFERROR(VLOOKUP(T_Convention[[#This Row],[NumL]],T_TraitDi[#Data],COLUMN(T_TraitDi[Colonne31]),FALSE),""),"[hh]:mm"))</f>
        <v>#N/A</v>
      </c>
      <c r="BH51" s="284" t="e">
        <f>IF(VLOOKUP(T_Convention[[#This Row],[NumL]],T_TraitDi[#Data],COLUMN(T_TraitDi[Colonne32]),FALSE)=0,"",TEXT(IFERROR(VLOOKUP(T_Convention[[#This Row],[NumL]],T_TraitDi[#Data],COLUMN(T_TraitDi[Colonne32]),FALSE),""),"[hh]:mm"))</f>
        <v>#N/A</v>
      </c>
      <c r="BI51" s="284" t="str">
        <f>IFERROR(VLOOKUP(T_Convention[[#This Row],[NumL]],T_TraitDi[#Data],COLUMN(T_TraitDi[NbJTW]),FALSE),"")</f>
        <v/>
      </c>
      <c r="BJ51" s="284" t="e">
        <f>IF(VLOOKUP(T_Convention[[#This Row],[NumL]],T_TraitDi[#Data],COLUMN(T_TraitDi[NbhTW]),FALSE)=0,"",TEXT(IFERROR(VLOOKUP(T_Convention[[#This Row],[NumL]],T_TraitDi[#Data],COLUMN(T_TraitDi[NbhTW]),FALSE),""),"[hh]:mm"))</f>
        <v>#N/A</v>
      </c>
      <c r="BK51" s="286" t="e">
        <f>IF(VLOOKUP(T_Convention[[#This Row],[NumL]],T_TraitDi[#Data],COLUMN(T_TraitDi[Nbhheb]),FALSE)=0,"",TEXT(IFERROR(VLOOKUP(T_Convention[[#This Row],[NumL]],T_TraitDi[#Data],COLUMN(T_TraitDi[Nbhheb]),FALSE),""),"[hh]:mm"))</f>
        <v>#N/A</v>
      </c>
      <c r="BL51" s="287" t="str">
        <f>IFERROR(VLOOKUP(VLOOKUP(T_Convention[[#This Row],[NumL]],T_TraitDi[#Data],COLUMN(T_TraitDi[Type1]),FALSE),TypeTW,2,FALSE),"")</f>
        <v/>
      </c>
      <c r="BM51" s="288" t="str">
        <f>IFERROR(VLOOKUP(T_Convention[[#This Row],[NumL]],T_TraitDi[#Data],COLUMN(T_TraitDi[Rue1]),FALSE),"")</f>
        <v/>
      </c>
      <c r="BN51" s="289" t="str">
        <f>IFERROR(VLOOKUP(T_Convention[[#This Row],[NumL]],T_TraitDi[#Data],COLUMN(T_TraitDi[CP1]),FALSE),"")</f>
        <v/>
      </c>
      <c r="BO51" s="282" t="str">
        <f>IFERROR(VLOOKUP(T_Convention[[#This Row],[NumL]],T_TraitDi[#Data],COLUMN(T_TraitDi[VILLE1]),FALSE),"")</f>
        <v/>
      </c>
      <c r="BP51" s="290" t="str">
        <f>IFERROR(VLOOKUP(VLOOKUP(T_Convention[[#This Row],[NumL]],T_TraitDi[#Data],COLUMN(T_TraitDi[Type2]),FALSE),TypeTW,2,FALSE),"")</f>
        <v/>
      </c>
      <c r="BQ51" s="182" t="str">
        <f>IFERROR(VLOOKUP(T_Convention[[#This Row],[NumL]],T_TraitDi[#Data],COLUMN(T_TraitDi[Rue2]),FALSE),"")</f>
        <v/>
      </c>
      <c r="BR51" s="173" t="str">
        <f>IFERROR(VLOOKUP(T_Convention[[#This Row],[NumL]],T_TraitDi[#Data],COLUMN(T_TraitDi[CP2]),FALSE),"")</f>
        <v/>
      </c>
      <c r="BS51" s="173" t="str">
        <f>IFERROR(VLOOKUP(T_Convention[[#This Row],[NumL]],T_TraitDi[#Data],COLUMN(T_TraitDi[VILLE2]),FALSE),"")</f>
        <v/>
      </c>
      <c r="BT51" s="182" t="str">
        <f>IF(VLOOKUP(T_Convention[[#This Row],[NumL]],T_Equipement[#Data],COLUMN(T_Equipement[PC]),FALSE)="","Aucun équipement spécifique directement lié au télétravail",VLOOKUP(T_Convention[[#This Row],[NumL]],T_Equipement[#Data],COLUMN(T_Equipement[PC]),FALSE))</f>
        <v xml:space="preserve">20-131	</v>
      </c>
      <c r="BU51" s="166" t="str">
        <f>IFERROR(IF(VLOOKUP(T_Convention[[#This Row],[NumL]],T_TraitDi[#Data],COLUMN(T_TraitDi[Plan]),FALSE)="OK","Un planning spécifique de télétravail est annexé à la présente convention.",""),"")</f>
        <v/>
      </c>
      <c r="BV51" s="185" t="s">
        <v>3289</v>
      </c>
      <c r="BW51" s="164" t="e">
        <f>IF(VLOOKUP(T_Convention[[#This Row],[NumL]],T_suiviDi[#Data],COLUMN(T_suiviDi[Entité]),FALSE)="","",VLOOKUP(T_Convention[[#This Row],[NumL]],T_suiviDi[#Data],COLUMN(T_suiviDi[Entité]),FALSE))</f>
        <v>#N/A</v>
      </c>
      <c r="BX51" s="164" t="str">
        <f>IF(VLOOKUP(T_Convention[[#This Row],[NumL]],T_Commission[#Data],COLUMN(T_Commission[envoi confirm TW]),FALSE)="","",VLOOKUP(T_Convention[[#This Row],[NumL]],T_Commission[#Data],COLUMN(T_Commission[envoi confirm TW]),FALSE))</f>
        <v>Oui</v>
      </c>
      <c r="BY5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1" s="264">
        <f>VLOOKUP(T_Convention[[#This Row],[NumL]],T_Commission[#Data],COLUMN(T_Commission[Commentaire]),FALSE)</f>
        <v>0</v>
      </c>
      <c r="CA51" s="254" t="str">
        <f>IF(VLOOKUP(T_Convention[[#This Row],[NumL]],T_Commission[#Data],COLUMN(T_Commission[Encadrant Email]),FALSE)="","",VLOOKUP(T_Convention[[#This Row],[NumL]],T_Commission[#Data],COLUMN(T_Commission[Encadrant Email]),FALSE))</f>
        <v/>
      </c>
      <c r="CB51" s="352" t="e">
        <f>VLOOKUP(T_Convention[[#This Row],[NumL]],T_TraitDi[#Data],COLUMN(T_TraitDi[NbJTot]),FALSE)</f>
        <v>#N/A</v>
      </c>
      <c r="CC51" s="352" t="e">
        <f>VLOOKUP(T_Convention[[#This Row],[NumL]],T_TraitDi[#Data],COLUMN(T_TraitDi[Reg Ponct]),FALSE)</f>
        <v>#N/A</v>
      </c>
      <c r="CD51" s="348" t="str">
        <f>IF(T_Convention[[#This Row],[Final]]&lt;&gt;"",VLOOKUP(T_Convention[[#This Row],[NumL]],T_suiviDi[#Data],COLUMN((T_suiviDi[Statut])),FALSE),"")</f>
        <v/>
      </c>
    </row>
    <row r="52" spans="1:82" s="106" customFormat="1" ht="18.75" customHeight="1" x14ac:dyDescent="0.25">
      <c r="A52" s="160">
        <v>131</v>
      </c>
      <c r="B52" s="161" t="str">
        <f>VLOOKUP(T_Convention[[#This Row],[NumL]],T_Commission[#Data],COLUMN(T_Commission[FINAL]),FALSE)</f>
        <v/>
      </c>
      <c r="C52" s="162"/>
      <c r="D52" s="95" t="e">
        <f>IF(VLOOKUP(T_Convention[[#This Row],[NumL]],T_TraitDi[#Data],COLUMN(T_TraitDi[WebC]),FALSE)="","",VLOOKUP(T_Convention[[#This Row],[NumL]],T_TraitDi[#Data],COLUMN(T_TraitDi[WebC]),FALSE))</f>
        <v>#N/A</v>
      </c>
      <c r="E52" s="163" t="str">
        <f t="shared" si="0"/>
        <v>12 janvier 2021</v>
      </c>
      <c r="F52" s="282" t="str">
        <f>IF(T_Convention[[#This Row],[Final]]&lt;&gt;"",VLOOKUP(T_Convention[[#This Row],[NumL]],T_suiviDi[#Data],COLUMN((T_suiviDi[Civ.])),FALSE),"")</f>
        <v/>
      </c>
      <c r="G52" s="283" t="str">
        <f>IF(T_Convention[[#This Row],[Final]]&lt;&gt;"",VLOOKUP(T_Convention[[#This Row],[NumL]],T_suiviDi[#Data],COLUMN((T_suiviDi[Nom])),FALSE),"")</f>
        <v/>
      </c>
      <c r="H52" s="282" t="str">
        <f>IF(T_Convention[[#This Row],[Final]]&lt;&gt;"",VLOOKUP(T_Convention[[#This Row],[NumL]],T_suiviDi[#Data],COLUMN((T_suiviDi[Prénom])),FALSE),"")</f>
        <v/>
      </c>
      <c r="I52" s="282" t="e">
        <f>VLOOKUP(T_Convention[[#This Row],[NumL]],T_suiviDi[#Data],COLUMN((T_suiviDi[[#This Row],[Email]])),FALSE)</f>
        <v>#VALUE!</v>
      </c>
      <c r="J52" s="282" t="e">
        <f>IF(VLOOKUP(T_Convention[[#This Row],[NumL]],T_suiviDi[#Data],COLUMN(T_suiviDi[[#This Row],[Fonction]]),FALSE)="","",VLOOKUP(T_Convention[[#This Row],[NumL]],T_suiviDi[#Data],COLUMN(T_suiviDi[[#This Row],[Fonction]]),FALSE))</f>
        <v>#VALUE!</v>
      </c>
      <c r="K52" s="282" t="e">
        <f>IF(VLOOKUP(T_Convention[[#This Row],[NumL]],T_suiviDi[#Data],COLUMN(T_suiviDi[[#This Row],[Grade]]),FALSE)="","",VLOOKUP(T_Convention[[#This Row],[NumL]],T_suiviDi[#Data],COLUMN(T_suiviDi[[#This Row],[Grade]]),FALSE))</f>
        <v>#VALUE!</v>
      </c>
      <c r="L52" s="282" t="e">
        <f>IF(VLOOKUP(T_Convention[[#This Row],[NumL]],T_suiviDi[#Data],COLUMN(T_suiviDi[[#This Row],[Service ]]),FALSE)="","",VLOOKUP(T_Convention[[#This Row],[NumL]],T_suiviDi[#Data],COLUMN(T_suiviDi[[#This Row],[Service ]]),FALSE))</f>
        <v>#VALUE!</v>
      </c>
      <c r="M52" s="164" t="str">
        <f t="shared" si="1"/>
        <v>01 septembre 2021</v>
      </c>
      <c r="N52" s="164" t="str">
        <f t="shared" si="2"/>
        <v>30 novembre 2021</v>
      </c>
      <c r="O52" s="284" t="str">
        <f t="shared" si="3"/>
        <v>30 novembre 2021</v>
      </c>
      <c r="P52" s="282" t="e">
        <f>IF(VLOOKUP(T_Convention[[#This Row],[NumL]],T_TraitDi[#Data],COLUMN(T_TraitDi[M1]),FALSE)="","",VLOOKUP(T_Convention[[#This Row],[NumL]],T_TraitDi[#Data],COLUMN(T_TraitDi[M1]),FALSE))</f>
        <v>#N/A</v>
      </c>
      <c r="Q52" s="282" t="e">
        <f>IF(VLOOKUP(T_Convention[[#This Row],[NumL]],T_TraitDi[#Data],COLUMN(T_TraitDi[M2]),FALSE)="","",VLOOKUP(T_Convention[[#This Row],[NumL]],T_TraitDi[#Data],COLUMN(T_TraitDi[M2]),FALSE))</f>
        <v>#N/A</v>
      </c>
      <c r="R52" s="282" t="e">
        <f>IF(VLOOKUP(T_Convention[[#This Row],[NumL]],T_TraitDi[#Data],COLUMN(T_TraitDi[M3]),FALSE)="","",VLOOKUP(T_Convention[[#This Row],[NumL]],T_TraitDi[#Data],COLUMN(T_TraitDi[M3]),FALSE))</f>
        <v>#N/A</v>
      </c>
      <c r="S52" s="282" t="e">
        <f>IF(VLOOKUP(T_Convention[[#This Row],[NumL]],T_TraitDi[#Data],COLUMN(T_TraitDi[M4]),FALSE)="","",VLOOKUP(T_Convention[[#This Row],[NumL]],T_TraitDi[#Data],COLUMN(T_TraitDi[M4]),FALSE))</f>
        <v>#N/A</v>
      </c>
      <c r="T52" s="282" t="e">
        <f>IF(VLOOKUP(T_Convention[[#This Row],[NumL]],T_TraitDi[#Data],COLUMN(T_TraitDi[M5]),FALSE)="","",VLOOKUP(T_Convention[[#This Row],[NumL]],T_TraitDi[#Data],COLUMN(T_TraitDi[M5]),FALSE))</f>
        <v>#N/A</v>
      </c>
      <c r="U52" s="282" t="e">
        <f>IF(VLOOKUP(T_Convention[[#This Row],[NumL]],T_TraitDi[#Data],COLUMN(T_TraitDi[M6]),FALSE)="","",VLOOKUP(T_Convention[[#This Row],[NumL]],T_TraitDi[#Data],COLUMN(T_TraitDi[M6]),FALSE))</f>
        <v>#N/A</v>
      </c>
      <c r="V52" s="176" t="e">
        <f t="shared" si="4"/>
        <v>#N/A</v>
      </c>
      <c r="W52" s="284" t="str">
        <f>IFERROR(TEXT(VLOOKUP(T_Convention[[#This Row],[NumL]],T_TraitDi[#Data],COLUMN(T_TraitDi[Q2]),FALSE),"###%"),"")</f>
        <v/>
      </c>
      <c r="X52" s="97" t="e">
        <f>VLOOKUP(T_Convention[[#This Row],[NumL]],T_TraitDi[#Data],COLUMN(T_TraitDi[Reg Ponct]),FALSE)</f>
        <v>#N/A</v>
      </c>
      <c r="Y52" s="97" t="e">
        <f>VLOOKUP(T_Convention[NumL],T_TraitDi[#Data],COLUMN(T_TraitDi[Jours flottants]),FALSE)</f>
        <v>#N/A</v>
      </c>
      <c r="Z52" s="284" t="str">
        <f>IFERROR(VLOOKUP(T_Convention[[#This Row],[NumL]],T_TraitDi[#Data],COLUMN(T_TraitDi[Lundi]),FALSE),"")</f>
        <v/>
      </c>
      <c r="AA52" s="284" t="e">
        <f>IF(VLOOKUP(T_Convention[[#This Row],[NumL]],T_TraitDi[#Data],COLUMN(T_TraitDi[Colonne3]),FALSE)=0,"",TEXT(IFERROR(VLOOKUP(T_Convention[[#This Row],[NumL]],T_TraitDi[#Data],COLUMN(T_TraitDi[Colonne3]),FALSE),""),"[hh]:mm"))</f>
        <v>#N/A</v>
      </c>
      <c r="AB52" s="284" t="e">
        <f>IF(VLOOKUP(T_Convention[[#This Row],[NumL]],T_TraitDi[#Data],COLUMN(T_TraitDi[Colonne4]),FALSE)=0,"",TEXT(IFERROR(VLOOKUP(T_Convention[[#This Row],[NumL]],T_TraitDi[#Data],COLUMN(T_TraitDi[Colonne4]),FALSE),""),"[hh]:mm"))</f>
        <v>#N/A</v>
      </c>
      <c r="AC52" s="284" t="e">
        <f>IF(VLOOKUP(T_Convention[[#This Row],[NumL]],T_TraitDi[#Data],COLUMN(T_TraitDi[Colonne5]),FALSE)=0,"",TEXT(IFERROR(VLOOKUP(T_Convention[[#This Row],[NumL]],T_TraitDi[#Data],COLUMN(T_TraitDi[Colonne5]),FALSE),""),"[hh]:mm"))</f>
        <v>#N/A</v>
      </c>
      <c r="AD52" s="284" t="e">
        <f>IF(VLOOKUP(T_Convention[[#This Row],[NumL]],T_TraitDi[#Data],COLUMN(T_TraitDi[Colonne6]),FALSE)=0,"",TEXT(IFERROR(VLOOKUP(T_Convention[[#This Row],[NumL]],T_TraitDi[#Data],COLUMN(T_TraitDi[Colonne6]),FALSE),""),"[hh]:mm"))</f>
        <v>#N/A</v>
      </c>
      <c r="AE52" s="284" t="e">
        <f>IF(VLOOKUP(T_Convention[[#This Row],[NumL]],T_TraitDi[#Data],COLUMN(T_TraitDi[Colonne7]),FALSE)=0,"",TEXT(IFERROR(VLOOKUP(T_Convention[[#This Row],[NumL]],T_TraitDi[#Data],COLUMN(T_TraitDi[Colonne7]),FALSE),""),"[hh]:mm"))</f>
        <v>#N/A</v>
      </c>
      <c r="AF52" s="284" t="e">
        <f>IF(VLOOKUP(T_Convention[[#This Row],[NumL]],T_TraitDi[#Data],COLUMN(T_TraitDi[Colonne8]),FALSE)=0,"",TEXT(IFERROR(VLOOKUP(T_Convention[[#This Row],[NumL]],T_TraitDi[#Data],COLUMN(T_TraitDi[Colonne8]),FALSE),""),"[hh]:mm"))</f>
        <v>#N/A</v>
      </c>
      <c r="AG52" s="284" t="str">
        <f>IFERROR(VLOOKUP(T_Convention[[#This Row],[NumL]],T_TraitDi[#Data],COLUMN(T_TraitDi[Mardi]),FALSE),"")</f>
        <v/>
      </c>
      <c r="AH52" s="284" t="e">
        <f>IF(VLOOKUP(T_Convention[[#This Row],[NumL]],T_TraitDi[#Data],COLUMN(T_TraitDi[Colonne1]),FALSE)=0,"",TEXT(IFERROR(VLOOKUP(T_Convention[[#This Row],[NumL]],T_TraitDi[#Data],COLUMN(T_TraitDi[Colonne1]),FALSE),""),"[hh]:mm"))</f>
        <v>#N/A</v>
      </c>
      <c r="AI52" s="284" t="e">
        <f>IF(VLOOKUP(T_Convention[[#This Row],[NumL]],T_TraitDi[#Data],COLUMN(T_TraitDi[Colonne9]),FALSE)=0,"",TEXT(IFERROR(VLOOKUP(T_Convention[[#This Row],[NumL]],T_TraitDi[#Data],COLUMN(T_TraitDi[Colonne9]),FALSE),""),"[hh]:mm"))</f>
        <v>#N/A</v>
      </c>
      <c r="AJ52" s="284" t="str">
        <f>IFERROR(VLOOKUP(T_Convention[[#This Row],[NumL]],T_TraitDi[#Data],COLUMN(T_TraitDi[Colonne10]),FALSE),"")</f>
        <v/>
      </c>
      <c r="AK52" s="284" t="e">
        <f>IF(VLOOKUP(T_Convention[[#This Row],[NumL]],T_TraitDi[#Data],COLUMN(T_TraitDi[Colonne11]),FALSE)=0,"",TEXT(IFERROR(VLOOKUP(T_Convention[[#This Row],[NumL]],T_TraitDi[#Data],COLUMN(T_TraitDi[Colonne11]),FALSE),""),"[hh]:mm"))</f>
        <v>#N/A</v>
      </c>
      <c r="AL52" s="284" t="e">
        <f>IF(VLOOKUP(T_Convention[[#This Row],[NumL]],T_TraitDi[#Data],COLUMN(T_TraitDi[Colonne12]),FALSE)=0,"",TEXT(IFERROR(VLOOKUP(T_Convention[[#This Row],[NumL]],T_TraitDi[#Data],COLUMN(T_TraitDi[Colonne12]),FALSE),""),"[hh]:mm"))</f>
        <v>#N/A</v>
      </c>
      <c r="AM52" s="284" t="e">
        <f>IF(VLOOKUP(T_Convention[[#This Row],[NumL]],T_TraitDi[#Data],COLUMN(T_TraitDi[Colonne14]),FALSE)=0,"",TEXT(IFERROR(VLOOKUP(T_Convention[[#This Row],[NumL]],T_TraitDi[#Data],COLUMN(T_TraitDi[Colonne14]),FALSE),""),"[hh]:mm"))</f>
        <v>#N/A</v>
      </c>
      <c r="AN52" s="284" t="str">
        <f>IFERROR(VLOOKUP(T_Convention[[#This Row],[NumL]],T_TraitDi[#Data],COLUMN(T_TraitDi[Mercredi]),FALSE),"")</f>
        <v/>
      </c>
      <c r="AO52" s="284" t="e">
        <f>IF(VLOOKUP(T_Convention[[#This Row],[NumL]],T_TraitDi[#Data],COLUMN(T_TraitDi[Colonne15]),FALSE)=0,"",TEXT(IFERROR(VLOOKUP(T_Convention[[#This Row],[NumL]],T_TraitDi[#Data],COLUMN(T_TraitDi[Colonne15]),FALSE),""),"[hh]:mm"))</f>
        <v>#N/A</v>
      </c>
      <c r="AP52" s="284" t="e">
        <f>IF(VLOOKUP(T_Convention[[#This Row],[NumL]],T_TraitDi[#Data],COLUMN(T_TraitDi[Colonne16]),FALSE)=0,"",TEXT(IFERROR(VLOOKUP(T_Convention[[#This Row],[NumL]],T_TraitDi[#Data],COLUMN(T_TraitDi[Colonne16]),FALSE),""),"[hh]:mm"))</f>
        <v>#N/A</v>
      </c>
      <c r="AQ52" s="284" t="str">
        <f>IFERROR(VLOOKUP(T_Convention[[#This Row],[NumL]],T_TraitDi[#Data],COLUMN(T_TraitDi[Colonne17]),FALSE),"")</f>
        <v/>
      </c>
      <c r="AR52" s="284" t="e">
        <f>IF(VLOOKUP(T_Convention[[#This Row],[NumL]],T_TraitDi[#Data],COLUMN(T_TraitDi[Colonne18]),FALSE)=0,"",TEXT(IFERROR(VLOOKUP(T_Convention[[#This Row],[NumL]],T_TraitDi[#Data],COLUMN(T_TraitDi[Colonne18]),FALSE),""),"[hh]:mm"))</f>
        <v>#N/A</v>
      </c>
      <c r="AS52" s="284" t="e">
        <f>IF(VLOOKUP(T_Convention[[#This Row],[NumL]],T_TraitDi[#Data],COLUMN(T_TraitDi[Colonne19]),FALSE)=0,"",TEXT(IFERROR(VLOOKUP(T_Convention[[#This Row],[NumL]],T_TraitDi[#Data],COLUMN(T_TraitDi[Colonne19]),FALSE),""),"[hh]:mm"))</f>
        <v>#N/A</v>
      </c>
      <c r="AT52" s="284" t="e">
        <f>IF(VLOOKUP(T_Convention[[#This Row],[NumL]],T_TraitDi[#Data],COLUMN(T_TraitDi[Colonne20]),FALSE)=0,"",TEXT(IFERROR(VLOOKUP(T_Convention[[#This Row],[NumL]],T_TraitDi[#Data],COLUMN(T_TraitDi[Colonne20]),FALSE),""),"[hh]:mm"))</f>
        <v>#N/A</v>
      </c>
      <c r="AU52" s="284" t="str">
        <f>IFERROR(VLOOKUP(T_Convention[[#This Row],[NumL]],T_TraitDi[#Data],COLUMN(T_TraitDi[Jeudi]),FALSE),"")</f>
        <v/>
      </c>
      <c r="AV52" s="284" t="e">
        <f>IF(VLOOKUP(T_Convention[[#This Row],[NumL]],T_TraitDi[#Data],COLUMN(T_TraitDi[Colonne21]),FALSE)=0,"",TEXT(IFERROR(VLOOKUP(T_Convention[[#This Row],[NumL]],T_TraitDi[#Data],COLUMN(T_TraitDi[Colonne21]),FALSE),""),"[hh]:mm"))</f>
        <v>#N/A</v>
      </c>
      <c r="AW52" s="284" t="e">
        <f>IF(VLOOKUP(T_Convention[[#This Row],[NumL]],T_TraitDi[#Data],COLUMN(T_TraitDi[Colonne22]),FALSE)=0,"",TEXT(IFERROR(VLOOKUP(T_Convention[[#This Row],[NumL]],T_TraitDi[#Data],COLUMN(T_TraitDi[Colonne22]),FALSE),""),"[hh]:mm"))</f>
        <v>#N/A</v>
      </c>
      <c r="AX52" s="284" t="str">
        <f>IFERROR(VLOOKUP(T_Convention[[#This Row],[NumL]],T_TraitDi[#Data],COLUMN(T_TraitDi[Colonne23]),FALSE),"")</f>
        <v/>
      </c>
      <c r="AY52" s="284" t="e">
        <f>IF(VLOOKUP(T_Convention[[#This Row],[NumL]],T_TraitDi[#Data],COLUMN(T_TraitDi[Colonne24]),FALSE)=0,"",TEXT(IFERROR(VLOOKUP(T_Convention[[#This Row],[NumL]],T_TraitDi[#Data],COLUMN(T_TraitDi[Colonne24]),FALSE),""),"[hh]:mm"))</f>
        <v>#N/A</v>
      </c>
      <c r="AZ52" s="284" t="e">
        <f>IF(VLOOKUP(T_Convention[[#This Row],[NumL]],T_TraitDi[#Data],COLUMN(T_TraitDi[Colonne25]),FALSE)=0,"",TEXT(IFERROR(VLOOKUP(T_Convention[[#This Row],[NumL]],T_TraitDi[#Data],COLUMN(T_TraitDi[Colonne25]),FALSE),""),"[hh]:mm"))</f>
        <v>#N/A</v>
      </c>
      <c r="BA52" s="284" t="e">
        <f>IF(VLOOKUP(T_Convention[[#This Row],[NumL]],T_TraitDi[#Data],COLUMN(T_TraitDi[Colonne26]),FALSE)=0,"",TEXT(IFERROR(VLOOKUP(T_Convention[[#This Row],[NumL]],T_TraitDi[#Data],COLUMN(T_TraitDi[Colonne26]),FALSE),""),"[hh]:mm"))</f>
        <v>#N/A</v>
      </c>
      <c r="BB52" s="284" t="str">
        <f>IFERROR(VLOOKUP(T_Convention[[#This Row],[NumL]],T_TraitDi[#Data],COLUMN(T_TraitDi[Vendredi]),FALSE),"")</f>
        <v/>
      </c>
      <c r="BC52" s="284" t="e">
        <f>IF(VLOOKUP(T_Convention[[#This Row],[NumL]],T_TraitDi[#Data],COLUMN(T_TraitDi[Colonne27]),FALSE)=0,"",TEXT(IFERROR(VLOOKUP(T_Convention[[#This Row],[NumL]],T_TraitDi[#Data],COLUMN(T_TraitDi[Colonne27]),FALSE),""),"[hh]:mm"))</f>
        <v>#N/A</v>
      </c>
      <c r="BD52" s="284" t="e">
        <f>IF(VLOOKUP(T_Convention[[#This Row],[NumL]],T_TraitDi[#Data],COLUMN(T_TraitDi[Colonne28]),FALSE)=0,"",TEXT(IFERROR(VLOOKUP(T_Convention[[#This Row],[NumL]],T_TraitDi[#Data],COLUMN(T_TraitDi[Colonne28]),FALSE),""),"[hh]:mm"))</f>
        <v>#N/A</v>
      </c>
      <c r="BE52" s="284" t="str">
        <f>IFERROR(VLOOKUP(T_Convention[[#This Row],[NumL]],T_TraitDi[#Data],COLUMN(T_TraitDi[Colonne29]),FALSE),"")</f>
        <v/>
      </c>
      <c r="BF52" s="284" t="e">
        <f>IF(VLOOKUP(T_Convention[[#This Row],[NumL]],T_TraitDi[#Data],COLUMN(T_TraitDi[Colonne30]),FALSE)=0,"",TEXT(IFERROR(VLOOKUP(T_Convention[[#This Row],[NumL]],T_TraitDi[#Data],COLUMN(T_TraitDi[Colonne30]),FALSE),""),"[hh]:mm"))</f>
        <v>#N/A</v>
      </c>
      <c r="BG52" s="284" t="e">
        <f>IF(VLOOKUP(T_Convention[[#This Row],[NumL]],T_TraitDi[#Data],COLUMN(T_TraitDi[Colonne31]),FALSE)=0,"",TEXT(IFERROR(VLOOKUP(T_Convention[[#This Row],[NumL]],T_TraitDi[#Data],COLUMN(T_TraitDi[Colonne31]),FALSE),""),"[hh]:mm"))</f>
        <v>#N/A</v>
      </c>
      <c r="BH52" s="284" t="e">
        <f>IF(VLOOKUP(T_Convention[[#This Row],[NumL]],T_TraitDi[#Data],COLUMN(T_TraitDi[Colonne32]),FALSE)=0,"",TEXT(IFERROR(VLOOKUP(T_Convention[[#This Row],[NumL]],T_TraitDi[#Data],COLUMN(T_TraitDi[Colonne32]),FALSE),""),"[hh]:mm"))</f>
        <v>#N/A</v>
      </c>
      <c r="BI52" s="284" t="str">
        <f>IFERROR(VLOOKUP(T_Convention[[#This Row],[NumL]],T_TraitDi[#Data],COLUMN(T_TraitDi[NbJTW]),FALSE),"")</f>
        <v/>
      </c>
      <c r="BJ52" s="284" t="e">
        <f>IF(VLOOKUP(T_Convention[[#This Row],[NumL]],T_TraitDi[#Data],COLUMN(T_TraitDi[NbhTW]),FALSE)=0,"",TEXT(IFERROR(VLOOKUP(T_Convention[[#This Row],[NumL]],T_TraitDi[#Data],COLUMN(T_TraitDi[NbhTW]),FALSE),""),"[hh]:mm"))</f>
        <v>#N/A</v>
      </c>
      <c r="BK52" s="286" t="e">
        <f>IF(VLOOKUP(T_Convention[[#This Row],[NumL]],T_TraitDi[#Data],COLUMN(T_TraitDi[Nbhheb]),FALSE)=0,"",TEXT(IFERROR(VLOOKUP(T_Convention[[#This Row],[NumL]],T_TraitDi[#Data],COLUMN(T_TraitDi[Nbhheb]),FALSE),""),"[hh]:mm"))</f>
        <v>#N/A</v>
      </c>
      <c r="BL52" s="287" t="str">
        <f>IFERROR(VLOOKUP(VLOOKUP(T_Convention[[#This Row],[NumL]],T_TraitDi[#Data],COLUMN(T_TraitDi[Type1]),FALSE),TypeTW,2,FALSE),"")</f>
        <v/>
      </c>
      <c r="BM52" s="288" t="str">
        <f>IFERROR(VLOOKUP(T_Convention[[#This Row],[NumL]],T_TraitDi[#Data],COLUMN(T_TraitDi[Rue1]),FALSE),"")</f>
        <v/>
      </c>
      <c r="BN52" s="289" t="str">
        <f>IFERROR(VLOOKUP(T_Convention[[#This Row],[NumL]],T_TraitDi[#Data],COLUMN(T_TraitDi[CP1]),FALSE),"")</f>
        <v/>
      </c>
      <c r="BO52" s="282" t="str">
        <f>IFERROR(VLOOKUP(T_Convention[[#This Row],[NumL]],T_TraitDi[#Data],COLUMN(T_TraitDi[VILLE1]),FALSE),"")</f>
        <v/>
      </c>
      <c r="BP52" s="290" t="str">
        <f>IFERROR(VLOOKUP(VLOOKUP(T_Convention[[#This Row],[NumL]],T_TraitDi[#Data],COLUMN(T_TraitDi[Type2]),FALSE),TypeTW,2,FALSE),"")</f>
        <v/>
      </c>
      <c r="BQ52" s="182" t="str">
        <f>IFERROR(VLOOKUP(T_Convention[[#This Row],[NumL]],T_TraitDi[#Data],COLUMN(T_TraitDi[Rue2]),FALSE),"")</f>
        <v/>
      </c>
      <c r="BR52" s="173" t="str">
        <f>IFERROR(VLOOKUP(T_Convention[[#This Row],[NumL]],T_TraitDi[#Data],COLUMN(T_TraitDi[CP2]),FALSE),"")</f>
        <v/>
      </c>
      <c r="BS52" s="173" t="str">
        <f>IFERROR(VLOOKUP(T_Convention[[#This Row],[NumL]],T_TraitDi[#Data],COLUMN(T_TraitDi[VILLE2]),FALSE),"")</f>
        <v/>
      </c>
      <c r="BT52" s="182" t="str">
        <f>IF(VLOOKUP(T_Convention[[#This Row],[NumL]],T_Equipement[#Data],COLUMN(T_Equipement[PC]),FALSE)="","Aucun équipement spécifique directement lié au télétravail",VLOOKUP(T_Convention[[#This Row],[NumL]],T_Equipement[#Data],COLUMN(T_Equipement[PC]),FALSE))</f>
        <v xml:space="preserve">	20-469</v>
      </c>
      <c r="BU52" s="166" t="str">
        <f>IFERROR(IF(VLOOKUP(T_Convention[[#This Row],[NumL]],T_TraitDi[#Data],COLUMN(T_TraitDi[Plan]),FALSE)="OK","Un planning spécifique de télétravail est annexé à la présente convention.",""),"")</f>
        <v/>
      </c>
      <c r="BV52" s="185" t="s">
        <v>3460</v>
      </c>
      <c r="BW52" s="164" t="e">
        <f>IF(VLOOKUP(T_Convention[[#This Row],[NumL]],T_suiviDi[#Data],COLUMN(T_suiviDi[Entité]),FALSE)="","",VLOOKUP(T_Convention[[#This Row],[NumL]],T_suiviDi[#Data],COLUMN(T_suiviDi[Entité]),FALSE))</f>
        <v>#N/A</v>
      </c>
      <c r="BX52" s="164" t="str">
        <f>IF(VLOOKUP(T_Convention[[#This Row],[NumL]],T_Commission[#Data],COLUMN(T_Commission[envoi confirm TW]),FALSE)="","",VLOOKUP(T_Convention[[#This Row],[NumL]],T_Commission[#Data],COLUMN(T_Commission[envoi confirm TW]),FALSE))</f>
        <v>Oui</v>
      </c>
      <c r="BY5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2" s="264">
        <f>VLOOKUP(T_Convention[[#This Row],[NumL]],T_Commission[#Data],COLUMN(T_Commission[Commentaire]),FALSE)</f>
        <v>0</v>
      </c>
      <c r="CA52" s="254" t="str">
        <f>IF(VLOOKUP(T_Convention[[#This Row],[NumL]],T_Commission[#Data],COLUMN(T_Commission[Encadrant Email]),FALSE)="","",VLOOKUP(T_Convention[[#This Row],[NumL]],T_Commission[#Data],COLUMN(T_Commission[Encadrant Email]),FALSE))</f>
        <v/>
      </c>
      <c r="CB52" s="352" t="e">
        <f>VLOOKUP(T_Convention[[#This Row],[NumL]],T_TraitDi[#Data],COLUMN(T_TraitDi[NbJTot]),FALSE)</f>
        <v>#N/A</v>
      </c>
      <c r="CC52" s="352" t="e">
        <f>VLOOKUP(T_Convention[[#This Row],[NumL]],T_TraitDi[#Data],COLUMN(T_TraitDi[Reg Ponct]),FALSE)</f>
        <v>#N/A</v>
      </c>
      <c r="CD52" s="348" t="str">
        <f>IF(T_Convention[[#This Row],[Final]]&lt;&gt;"",VLOOKUP(T_Convention[[#This Row],[NumL]],T_suiviDi[#Data],COLUMN((T_suiviDi[Statut])),FALSE),"")</f>
        <v/>
      </c>
    </row>
    <row r="53" spans="1:82" s="106" customFormat="1" ht="18.75" customHeight="1" x14ac:dyDescent="0.25">
      <c r="A53" s="160">
        <v>347</v>
      </c>
      <c r="B53" s="281" t="str">
        <f>VLOOKUP(T_Convention[[#This Row],[NumL]],T_Commission[#Data],COLUMN(T_Commission[FINAL]),FALSE)</f>
        <v/>
      </c>
      <c r="C53" s="162"/>
      <c r="D53" s="95" t="e">
        <f>IF(VLOOKUP(T_Convention[[#This Row],[NumL]],T_TraitDi[#Data],COLUMN(T_TraitDi[WebC]),FALSE)="","",VLOOKUP(T_Convention[[#This Row],[NumL]],T_TraitDi[#Data],COLUMN(T_TraitDi[WebC]),FALSE))</f>
        <v>#N/A</v>
      </c>
      <c r="E53" s="163" t="str">
        <f t="shared" si="0"/>
        <v>12 janvier 2021</v>
      </c>
      <c r="F53" s="282" t="str">
        <f>IF(T_Convention[[#This Row],[Final]]&lt;&gt;"",VLOOKUP(T_Convention[[#This Row],[NumL]],T_suiviDi[#Data],COLUMN((T_suiviDi[Civ.])),FALSE),"")</f>
        <v/>
      </c>
      <c r="G53" s="283" t="str">
        <f>IF(T_Convention[[#This Row],[Final]]&lt;&gt;"",VLOOKUP(T_Convention[[#This Row],[NumL]],T_suiviDi[#Data],COLUMN((T_suiviDi[Nom])),FALSE),"")</f>
        <v/>
      </c>
      <c r="H53" s="282" t="str">
        <f>IF(T_Convention[[#This Row],[Final]]&lt;&gt;"",VLOOKUP(T_Convention[[#This Row],[NumL]],T_suiviDi[#Data],COLUMN((T_suiviDi[Prénom])),FALSE),"")</f>
        <v/>
      </c>
      <c r="I53" s="282" t="e">
        <f>VLOOKUP(T_Convention[[#This Row],[NumL]],T_suiviDi[#Data],COLUMN((T_suiviDi[[#This Row],[Email]])),FALSE)</f>
        <v>#VALUE!</v>
      </c>
      <c r="J53" s="282" t="e">
        <f>IF(VLOOKUP(T_Convention[[#This Row],[NumL]],T_suiviDi[#Data],COLUMN(T_suiviDi[[#This Row],[Fonction]]),FALSE)="","",VLOOKUP(T_Convention[[#This Row],[NumL]],T_suiviDi[#Data],COLUMN(T_suiviDi[[#This Row],[Fonction]]),FALSE))</f>
        <v>#VALUE!</v>
      </c>
      <c r="K53" s="282" t="e">
        <f>IF(VLOOKUP(T_Convention[[#This Row],[NumL]],T_suiviDi[#Data],COLUMN(T_suiviDi[[#This Row],[Grade]]),FALSE)="","",VLOOKUP(T_Convention[[#This Row],[NumL]],T_suiviDi[#Data],COLUMN(T_suiviDi[[#This Row],[Grade]]),FALSE))</f>
        <v>#VALUE!</v>
      </c>
      <c r="L53" s="282" t="e">
        <f>IF(VLOOKUP(T_Convention[[#This Row],[NumL]],T_suiviDi[#Data],COLUMN(T_suiviDi[[#This Row],[Service ]]),FALSE)="","",VLOOKUP(T_Convention[[#This Row],[NumL]],T_suiviDi[#Data],COLUMN(T_suiviDi[[#This Row],[Service ]]),FALSE))</f>
        <v>#VALUE!</v>
      </c>
      <c r="M53" s="314" t="str">
        <f t="shared" si="1"/>
        <v>01 septembre 2021</v>
      </c>
      <c r="N53" s="314" t="str">
        <f t="shared" si="2"/>
        <v>30 novembre 2021</v>
      </c>
      <c r="O53" s="284" t="str">
        <f t="shared" si="3"/>
        <v>30 novembre 2021</v>
      </c>
      <c r="P53" s="282" t="e">
        <f>IF(VLOOKUP(T_Convention[[#This Row],[NumL]],T_TraitDi[#Data],COLUMN(T_TraitDi[M1]),FALSE)="","",VLOOKUP(T_Convention[[#This Row],[NumL]],T_TraitDi[#Data],COLUMN(T_TraitDi[M1]),FALSE))</f>
        <v>#N/A</v>
      </c>
      <c r="Q53" s="282" t="e">
        <f>IF(VLOOKUP(T_Convention[[#This Row],[NumL]],T_TraitDi[#Data],COLUMN(T_TraitDi[M2]),FALSE)="","",VLOOKUP(T_Convention[[#This Row],[NumL]],T_TraitDi[#Data],COLUMN(T_TraitDi[M2]),FALSE))</f>
        <v>#N/A</v>
      </c>
      <c r="R53" s="282" t="e">
        <f>IF(VLOOKUP(T_Convention[[#This Row],[NumL]],T_TraitDi[#Data],COLUMN(T_TraitDi[M3]),FALSE)="","",VLOOKUP(T_Convention[[#This Row],[NumL]],T_TraitDi[#Data],COLUMN(T_TraitDi[M3]),FALSE))</f>
        <v>#N/A</v>
      </c>
      <c r="S53" s="282" t="e">
        <f>IF(VLOOKUP(T_Convention[[#This Row],[NumL]],T_TraitDi[#Data],COLUMN(T_TraitDi[M4]),FALSE)="","",VLOOKUP(T_Convention[[#This Row],[NumL]],T_TraitDi[#Data],COLUMN(T_TraitDi[M4]),FALSE))</f>
        <v>#N/A</v>
      </c>
      <c r="T53" s="282" t="e">
        <f>IF(VLOOKUP(T_Convention[[#This Row],[NumL]],T_TraitDi[#Data],COLUMN(T_TraitDi[M5]),FALSE)="","",VLOOKUP(T_Convention[[#This Row],[NumL]],T_TraitDi[#Data],COLUMN(T_TraitDi[M5]),FALSE))</f>
        <v>#N/A</v>
      </c>
      <c r="U53" s="282" t="e">
        <f>IF(VLOOKUP(T_Convention[[#This Row],[NumL]],T_TraitDi[#Data],COLUMN(T_TraitDi[M6]),FALSE)="","",VLOOKUP(T_Convention[[#This Row],[NumL]],T_TraitDi[#Data],COLUMN(T_TraitDi[M6]),FALSE))</f>
        <v>#N/A</v>
      </c>
      <c r="V53" s="314" t="e">
        <f t="shared" si="4"/>
        <v>#N/A</v>
      </c>
      <c r="W53" s="284" t="str">
        <f>IFERROR(TEXT(VLOOKUP(T_Convention[[#This Row],[NumL]],T_TraitDi[#Data],COLUMN(T_TraitDi[Q2]),FALSE),"###%"),"")</f>
        <v/>
      </c>
      <c r="X53" s="285" t="e">
        <f>VLOOKUP(T_Convention[[#This Row],[NumL]],T_TraitDi[#Data],COLUMN(T_TraitDi[Reg Ponct]),FALSE)</f>
        <v>#N/A</v>
      </c>
      <c r="Y53" s="285" t="e">
        <f>VLOOKUP(T_Convention[NumL],T_TraitDi[#Data],COLUMN(T_TraitDi[Jours flottants]),FALSE)</f>
        <v>#N/A</v>
      </c>
      <c r="Z53" s="284" t="str">
        <f>IFERROR(VLOOKUP(T_Convention[[#This Row],[NumL]],T_TraitDi[#Data],COLUMN(T_TraitDi[Lundi]),FALSE),"")</f>
        <v/>
      </c>
      <c r="AA53" s="284" t="e">
        <f>IF(VLOOKUP(T_Convention[[#This Row],[NumL]],T_TraitDi[#Data],COLUMN(T_TraitDi[Colonne3]),FALSE)=0,"",TEXT(IFERROR(VLOOKUP(T_Convention[[#This Row],[NumL]],T_TraitDi[#Data],COLUMN(T_TraitDi[Colonne3]),FALSE),""),"[hh]:mm"))</f>
        <v>#N/A</v>
      </c>
      <c r="AB53" s="284" t="e">
        <f>IF(VLOOKUP(T_Convention[[#This Row],[NumL]],T_TraitDi[#Data],COLUMN(T_TraitDi[Colonne4]),FALSE)=0,"",TEXT(IFERROR(VLOOKUP(T_Convention[[#This Row],[NumL]],T_TraitDi[#Data],COLUMN(T_TraitDi[Colonne4]),FALSE),""),"[hh]:mm"))</f>
        <v>#N/A</v>
      </c>
      <c r="AC53" s="284" t="e">
        <f>IF(VLOOKUP(T_Convention[[#This Row],[NumL]],T_TraitDi[#Data],COLUMN(T_TraitDi[Colonne5]),FALSE)=0,"",TEXT(IFERROR(VLOOKUP(T_Convention[[#This Row],[NumL]],T_TraitDi[#Data],COLUMN(T_TraitDi[Colonne5]),FALSE),""),"[hh]:mm"))</f>
        <v>#N/A</v>
      </c>
      <c r="AD53" s="284" t="e">
        <f>IF(VLOOKUP(T_Convention[[#This Row],[NumL]],T_TraitDi[#Data],COLUMN(T_TraitDi[Colonne6]),FALSE)=0,"",TEXT(IFERROR(VLOOKUP(T_Convention[[#This Row],[NumL]],T_TraitDi[#Data],COLUMN(T_TraitDi[Colonne6]),FALSE),""),"[hh]:mm"))</f>
        <v>#N/A</v>
      </c>
      <c r="AE53" s="284" t="e">
        <f>IF(VLOOKUP(T_Convention[[#This Row],[NumL]],T_TraitDi[#Data],COLUMN(T_TraitDi[Colonne7]),FALSE)=0,"",TEXT(IFERROR(VLOOKUP(T_Convention[[#This Row],[NumL]],T_TraitDi[#Data],COLUMN(T_TraitDi[Colonne7]),FALSE),""),"[hh]:mm"))</f>
        <v>#N/A</v>
      </c>
      <c r="AF53" s="284" t="e">
        <f>IF(VLOOKUP(T_Convention[[#This Row],[NumL]],T_TraitDi[#Data],COLUMN(T_TraitDi[Colonne8]),FALSE)=0,"",TEXT(IFERROR(VLOOKUP(T_Convention[[#This Row],[NumL]],T_TraitDi[#Data],COLUMN(T_TraitDi[Colonne8]),FALSE),""),"[hh]:mm"))</f>
        <v>#N/A</v>
      </c>
      <c r="AG53" s="284" t="str">
        <f>IFERROR(VLOOKUP(T_Convention[[#This Row],[NumL]],T_TraitDi[#Data],COLUMN(T_TraitDi[Mardi]),FALSE),"")</f>
        <v/>
      </c>
      <c r="AH53" s="284" t="e">
        <f>IF(VLOOKUP(T_Convention[[#This Row],[NumL]],T_TraitDi[#Data],COLUMN(T_TraitDi[Colonne1]),FALSE)=0,"",TEXT(IFERROR(VLOOKUP(T_Convention[[#This Row],[NumL]],T_TraitDi[#Data],COLUMN(T_TraitDi[Colonne1]),FALSE),""),"[hh]:mm"))</f>
        <v>#N/A</v>
      </c>
      <c r="AI53" s="284" t="e">
        <f>IF(VLOOKUP(T_Convention[[#This Row],[NumL]],T_TraitDi[#Data],COLUMN(T_TraitDi[Colonne9]),FALSE)=0,"",TEXT(IFERROR(VLOOKUP(T_Convention[[#This Row],[NumL]],T_TraitDi[#Data],COLUMN(T_TraitDi[Colonne9]),FALSE),""),"[hh]:mm"))</f>
        <v>#N/A</v>
      </c>
      <c r="AJ53" s="284" t="str">
        <f>IFERROR(VLOOKUP(T_Convention[[#This Row],[NumL]],T_TraitDi[#Data],COLUMN(T_TraitDi[Colonne10]),FALSE),"")</f>
        <v/>
      </c>
      <c r="AK53" s="284" t="e">
        <f>IF(VLOOKUP(T_Convention[[#This Row],[NumL]],T_TraitDi[#Data],COLUMN(T_TraitDi[Colonne11]),FALSE)=0,"",TEXT(IFERROR(VLOOKUP(T_Convention[[#This Row],[NumL]],T_TraitDi[#Data],COLUMN(T_TraitDi[Colonne11]),FALSE),""),"[hh]:mm"))</f>
        <v>#N/A</v>
      </c>
      <c r="AL53" s="284" t="e">
        <f>IF(VLOOKUP(T_Convention[[#This Row],[NumL]],T_TraitDi[#Data],COLUMN(T_TraitDi[Colonne12]),FALSE)=0,"",TEXT(IFERROR(VLOOKUP(T_Convention[[#This Row],[NumL]],T_TraitDi[#Data],COLUMN(T_TraitDi[Colonne12]),FALSE),""),"[hh]:mm"))</f>
        <v>#N/A</v>
      </c>
      <c r="AM53" s="284" t="e">
        <f>IF(VLOOKUP(T_Convention[[#This Row],[NumL]],T_TraitDi[#Data],COLUMN(T_TraitDi[Colonne14]),FALSE)=0,"",TEXT(IFERROR(VLOOKUP(T_Convention[[#This Row],[NumL]],T_TraitDi[#Data],COLUMN(T_TraitDi[Colonne14]),FALSE),""),"[hh]:mm"))</f>
        <v>#N/A</v>
      </c>
      <c r="AN53" s="284" t="str">
        <f>IFERROR(VLOOKUP(T_Convention[[#This Row],[NumL]],T_TraitDi[#Data],COLUMN(T_TraitDi[Mercredi]),FALSE),"")</f>
        <v/>
      </c>
      <c r="AO53" s="284" t="e">
        <f>IF(VLOOKUP(T_Convention[[#This Row],[NumL]],T_TraitDi[#Data],COLUMN(T_TraitDi[Colonne15]),FALSE)=0,"",TEXT(IFERROR(VLOOKUP(T_Convention[[#This Row],[NumL]],T_TraitDi[#Data],COLUMN(T_TraitDi[Colonne15]),FALSE),""),"[hh]:mm"))</f>
        <v>#N/A</v>
      </c>
      <c r="AP53" s="284" t="e">
        <f>IF(VLOOKUP(T_Convention[[#This Row],[NumL]],T_TraitDi[#Data],COLUMN(T_TraitDi[Colonne16]),FALSE)=0,"",TEXT(IFERROR(VLOOKUP(T_Convention[[#This Row],[NumL]],T_TraitDi[#Data],COLUMN(T_TraitDi[Colonne16]),FALSE),""),"[hh]:mm"))</f>
        <v>#N/A</v>
      </c>
      <c r="AQ53" s="284" t="str">
        <f>IFERROR(VLOOKUP(T_Convention[[#This Row],[NumL]],T_TraitDi[#Data],COLUMN(T_TraitDi[Colonne17]),FALSE),"")</f>
        <v/>
      </c>
      <c r="AR53" s="284" t="e">
        <f>IF(VLOOKUP(T_Convention[[#This Row],[NumL]],T_TraitDi[#Data],COLUMN(T_TraitDi[Colonne18]),FALSE)=0,"",TEXT(IFERROR(VLOOKUP(T_Convention[[#This Row],[NumL]],T_TraitDi[#Data],COLUMN(T_TraitDi[Colonne18]),FALSE),""),"[hh]:mm"))</f>
        <v>#N/A</v>
      </c>
      <c r="AS53" s="284" t="e">
        <f>IF(VLOOKUP(T_Convention[[#This Row],[NumL]],T_TraitDi[#Data],COLUMN(T_TraitDi[Colonne19]),FALSE)=0,"",TEXT(IFERROR(VLOOKUP(T_Convention[[#This Row],[NumL]],T_TraitDi[#Data],COLUMN(T_TraitDi[Colonne19]),FALSE),""),"[hh]:mm"))</f>
        <v>#N/A</v>
      </c>
      <c r="AT53" s="284" t="e">
        <f>IF(VLOOKUP(T_Convention[[#This Row],[NumL]],T_TraitDi[#Data],COLUMN(T_TraitDi[Colonne20]),FALSE)=0,"",TEXT(IFERROR(VLOOKUP(T_Convention[[#This Row],[NumL]],T_TraitDi[#Data],COLUMN(T_TraitDi[Colonne20]),FALSE),""),"[hh]:mm"))</f>
        <v>#N/A</v>
      </c>
      <c r="AU53" s="284" t="str">
        <f>IFERROR(VLOOKUP(T_Convention[[#This Row],[NumL]],T_TraitDi[#Data],COLUMN(T_TraitDi[Jeudi]),FALSE),"")</f>
        <v/>
      </c>
      <c r="AV53" s="284" t="e">
        <f>IF(VLOOKUP(T_Convention[[#This Row],[NumL]],T_TraitDi[#Data],COLUMN(T_TraitDi[Colonne21]),FALSE)=0,"",TEXT(IFERROR(VLOOKUP(T_Convention[[#This Row],[NumL]],T_TraitDi[#Data],COLUMN(T_TraitDi[Colonne21]),FALSE),""),"[hh]:mm"))</f>
        <v>#N/A</v>
      </c>
      <c r="AW53" s="284" t="e">
        <f>IF(VLOOKUP(T_Convention[[#This Row],[NumL]],T_TraitDi[#Data],COLUMN(T_TraitDi[Colonne22]),FALSE)=0,"",TEXT(IFERROR(VLOOKUP(T_Convention[[#This Row],[NumL]],T_TraitDi[#Data],COLUMN(T_TraitDi[Colonne22]),FALSE),""),"[hh]:mm"))</f>
        <v>#N/A</v>
      </c>
      <c r="AX53" s="284" t="str">
        <f>IFERROR(VLOOKUP(T_Convention[[#This Row],[NumL]],T_TraitDi[#Data],COLUMN(T_TraitDi[Colonne23]),FALSE),"")</f>
        <v/>
      </c>
      <c r="AY53" s="284" t="e">
        <f>IF(VLOOKUP(T_Convention[[#This Row],[NumL]],T_TraitDi[#Data],COLUMN(T_TraitDi[Colonne24]),FALSE)=0,"",TEXT(IFERROR(VLOOKUP(T_Convention[[#This Row],[NumL]],T_TraitDi[#Data],COLUMN(T_TraitDi[Colonne24]),FALSE),""),"[hh]:mm"))</f>
        <v>#N/A</v>
      </c>
      <c r="AZ53" s="284" t="e">
        <f>IF(VLOOKUP(T_Convention[[#This Row],[NumL]],T_TraitDi[#Data],COLUMN(T_TraitDi[Colonne25]),FALSE)=0,"",TEXT(IFERROR(VLOOKUP(T_Convention[[#This Row],[NumL]],T_TraitDi[#Data],COLUMN(T_TraitDi[Colonne25]),FALSE),""),"[hh]:mm"))</f>
        <v>#N/A</v>
      </c>
      <c r="BA53" s="284" t="e">
        <f>IF(VLOOKUP(T_Convention[[#This Row],[NumL]],T_TraitDi[#Data],COLUMN(T_TraitDi[Colonne26]),FALSE)=0,"",TEXT(IFERROR(VLOOKUP(T_Convention[[#This Row],[NumL]],T_TraitDi[#Data],COLUMN(T_TraitDi[Colonne26]),FALSE),""),"[hh]:mm"))</f>
        <v>#N/A</v>
      </c>
      <c r="BB53" s="284" t="str">
        <f>IFERROR(VLOOKUP(T_Convention[[#This Row],[NumL]],T_TraitDi[#Data],COLUMN(T_TraitDi[Vendredi]),FALSE),"")</f>
        <v/>
      </c>
      <c r="BC53" s="284" t="e">
        <f>IF(VLOOKUP(T_Convention[[#This Row],[NumL]],T_TraitDi[#Data],COLUMN(T_TraitDi[Colonne27]),FALSE)=0,"",TEXT(IFERROR(VLOOKUP(T_Convention[[#This Row],[NumL]],T_TraitDi[#Data],COLUMN(T_TraitDi[Colonne27]),FALSE),""),"[hh]:mm"))</f>
        <v>#N/A</v>
      </c>
      <c r="BD53" s="284" t="e">
        <f>IF(VLOOKUP(T_Convention[[#This Row],[NumL]],T_TraitDi[#Data],COLUMN(T_TraitDi[Colonne28]),FALSE)=0,"",TEXT(IFERROR(VLOOKUP(T_Convention[[#This Row],[NumL]],T_TraitDi[#Data],COLUMN(T_TraitDi[Colonne28]),FALSE),""),"[hh]:mm"))</f>
        <v>#N/A</v>
      </c>
      <c r="BE53" s="284" t="str">
        <f>IFERROR(VLOOKUP(T_Convention[[#This Row],[NumL]],T_TraitDi[#Data],COLUMN(T_TraitDi[Colonne29]),FALSE),"")</f>
        <v/>
      </c>
      <c r="BF53" s="284" t="e">
        <f>IF(VLOOKUP(T_Convention[[#This Row],[NumL]],T_TraitDi[#Data],COLUMN(T_TraitDi[Colonne30]),FALSE)=0,"",TEXT(IFERROR(VLOOKUP(T_Convention[[#This Row],[NumL]],T_TraitDi[#Data],COLUMN(T_TraitDi[Colonne30]),FALSE),""),"[hh]:mm"))</f>
        <v>#N/A</v>
      </c>
      <c r="BG53" s="284" t="e">
        <f>IF(VLOOKUP(T_Convention[[#This Row],[NumL]],T_TraitDi[#Data],COLUMN(T_TraitDi[Colonne31]),FALSE)=0,"",TEXT(IFERROR(VLOOKUP(T_Convention[[#This Row],[NumL]],T_TraitDi[#Data],COLUMN(T_TraitDi[Colonne31]),FALSE),""),"[hh]:mm"))</f>
        <v>#N/A</v>
      </c>
      <c r="BH53" s="284" t="e">
        <f>IF(VLOOKUP(T_Convention[[#This Row],[NumL]],T_TraitDi[#Data],COLUMN(T_TraitDi[Colonne32]),FALSE)=0,"",TEXT(IFERROR(VLOOKUP(T_Convention[[#This Row],[NumL]],T_TraitDi[#Data],COLUMN(T_TraitDi[Colonne32]),FALSE),""),"[hh]:mm"))</f>
        <v>#N/A</v>
      </c>
      <c r="BI53" s="284" t="str">
        <f>IFERROR(VLOOKUP(T_Convention[[#This Row],[NumL]],T_TraitDi[#Data],COLUMN(T_TraitDi[NbJTW]),FALSE),"")</f>
        <v/>
      </c>
      <c r="BJ53" s="284" t="e">
        <f>IF(VLOOKUP(T_Convention[[#This Row],[NumL]],T_TraitDi[#Data],COLUMN(T_TraitDi[NbhTW]),FALSE)=0,"",TEXT(IFERROR(VLOOKUP(T_Convention[[#This Row],[NumL]],T_TraitDi[#Data],COLUMN(T_TraitDi[NbhTW]),FALSE),""),"[hh]:mm"))</f>
        <v>#N/A</v>
      </c>
      <c r="BK53" s="315" t="e">
        <f>IF(VLOOKUP(T_Convention[[#This Row],[NumL]],T_TraitDi[#Data],COLUMN(T_TraitDi[Nbhheb]),FALSE)=0,"",TEXT(IFERROR(VLOOKUP(T_Convention[[#This Row],[NumL]],T_TraitDi[#Data],COLUMN(T_TraitDi[Nbhheb]),FALSE),""),"[hh]:mm"))</f>
        <v>#N/A</v>
      </c>
      <c r="BL53" s="287" t="str">
        <f>IFERROR(VLOOKUP(VLOOKUP(T_Convention[[#This Row],[NumL]],T_TraitDi[#Data],COLUMN(T_TraitDi[Type1]),FALSE),TypeTW,2,FALSE),"")</f>
        <v/>
      </c>
      <c r="BM53" s="288" t="str">
        <f>IFERROR(VLOOKUP(T_Convention[[#This Row],[NumL]],T_TraitDi[#Data],COLUMN(T_TraitDi[Rue1]),FALSE),"")</f>
        <v/>
      </c>
      <c r="BN53" s="289" t="str">
        <f>IFERROR(VLOOKUP(T_Convention[[#This Row],[NumL]],T_TraitDi[#Data],COLUMN(T_TraitDi[CP1]),FALSE),"")</f>
        <v/>
      </c>
      <c r="BO53" s="282" t="str">
        <f>IFERROR(VLOOKUP(T_Convention[[#This Row],[NumL]],T_TraitDi[#Data],COLUMN(T_TraitDi[VILLE1]),FALSE),"")</f>
        <v/>
      </c>
      <c r="BP53" s="290" t="str">
        <f>IFERROR(VLOOKUP(VLOOKUP(T_Convention[[#This Row],[NumL]],T_TraitDi[#Data],COLUMN(T_TraitDi[Type2]),FALSE),TypeTW,2,FALSE),"")</f>
        <v/>
      </c>
      <c r="BQ53" s="310" t="str">
        <f>IFERROR(VLOOKUP(T_Convention[[#This Row],[NumL]],T_TraitDi[#Data],COLUMN(T_TraitDi[Rue2]),FALSE),"")</f>
        <v/>
      </c>
      <c r="BR53" s="290" t="str">
        <f>IFERROR(VLOOKUP(T_Convention[[#This Row],[NumL]],T_TraitDi[#Data],COLUMN(T_TraitDi[CP2]),FALSE),"")</f>
        <v/>
      </c>
      <c r="BS53" s="290" t="str">
        <f>IFERROR(VLOOKUP(T_Convention[[#This Row],[NumL]],T_TraitDi[#Data],COLUMN(T_TraitDi[VILLE2]),FALSE),"")</f>
        <v/>
      </c>
      <c r="BT53"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53" s="314" t="str">
        <f>IFERROR(IF(VLOOKUP(T_Convention[[#This Row],[NumL]],T_TraitDi[#Data],COLUMN(T_TraitDi[Plan]),FALSE)="OK","Un planning spécifique de télétravail est annexé à la présente convention.",""),"")</f>
        <v/>
      </c>
      <c r="BV53" s="291"/>
      <c r="BW53" s="292" t="e">
        <f>IF(VLOOKUP(T_Convention[[#This Row],[NumL]],T_suiviDi[#Data],COLUMN(T_suiviDi[Entité]),FALSE)="","",VLOOKUP(T_Convention[[#This Row],[NumL]],T_suiviDi[#Data],COLUMN(T_suiviDi[Entité]),FALSE))</f>
        <v>#N/A</v>
      </c>
      <c r="BX53" s="311" t="str">
        <f>IF(VLOOKUP(T_Convention[[#This Row],[NumL]],T_Commission[#Data],COLUMN(T_Commission[envoi confirm TW]),FALSE)="","",VLOOKUP(T_Convention[[#This Row],[NumL]],T_Commission[#Data],COLUMN(T_Commission[envoi confirm TW]),FALSE))</f>
        <v>Oui</v>
      </c>
      <c r="BY53"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3" s="265">
        <f>VLOOKUP(T_Convention[[#This Row],[NumL]],T_Commission[#Data],COLUMN(T_Commission[Commentaire]),FALSE)</f>
        <v>0</v>
      </c>
      <c r="CA53" s="255" t="str">
        <f>IF(VLOOKUP(T_Convention[[#This Row],[NumL]],T_Commission[#Data],COLUMN(T_Commission[Encadrant Email]),FALSE)="","",VLOOKUP(T_Convention[[#This Row],[NumL]],T_Commission[#Data],COLUMN(T_Commission[Encadrant Email]),FALSE))</f>
        <v/>
      </c>
      <c r="CB53" s="352" t="e">
        <f>VLOOKUP(T_Convention[[#This Row],[NumL]],T_TraitDi[#Data],COLUMN(T_TraitDi[NbJTot]),FALSE)</f>
        <v>#N/A</v>
      </c>
      <c r="CC53" s="352" t="e">
        <f>VLOOKUP(T_Convention[[#This Row],[NumL]],T_TraitDi[#Data],COLUMN(T_TraitDi[Reg Ponct]),FALSE)</f>
        <v>#N/A</v>
      </c>
      <c r="CD53" s="348" t="str">
        <f>IF(T_Convention[[#This Row],[Final]]&lt;&gt;"",VLOOKUP(T_Convention[[#This Row],[NumL]],T_suiviDi[#Data],COLUMN((T_suiviDi[Statut])),FALSE),"")</f>
        <v/>
      </c>
    </row>
    <row r="54" spans="1:82" s="106" customFormat="1" ht="18.75" customHeight="1" x14ac:dyDescent="0.25">
      <c r="A54" s="160">
        <v>299</v>
      </c>
      <c r="B54" s="281" t="str">
        <f>VLOOKUP(T_Convention[[#This Row],[NumL]],T_Commission[#Data],COLUMN(T_Commission[FINAL]),FALSE)</f>
        <v/>
      </c>
      <c r="C54" s="162"/>
      <c r="D54" s="95" t="e">
        <f>IF(VLOOKUP(T_Convention[[#This Row],[NumL]],T_TraitDi[#Data],COLUMN(T_TraitDi[WebC]),FALSE)="","",VLOOKUP(T_Convention[[#This Row],[NumL]],T_TraitDi[#Data],COLUMN(T_TraitDi[WebC]),FALSE))</f>
        <v>#N/A</v>
      </c>
      <c r="E54" s="163" t="str">
        <f t="shared" si="0"/>
        <v>12 janvier 2021</v>
      </c>
      <c r="F54" s="282" t="str">
        <f>IF(T_Convention[[#This Row],[Final]]&lt;&gt;"",VLOOKUP(T_Convention[[#This Row],[NumL]],T_suiviDi[#Data],COLUMN((T_suiviDi[Civ.])),FALSE),"")</f>
        <v/>
      </c>
      <c r="G54" s="283" t="str">
        <f>IF(T_Convention[[#This Row],[Final]]&lt;&gt;"",VLOOKUP(T_Convention[[#This Row],[NumL]],T_suiviDi[#Data],COLUMN((T_suiviDi[Nom])),FALSE),"")</f>
        <v/>
      </c>
      <c r="H54" s="282" t="str">
        <f>IF(T_Convention[[#This Row],[Final]]&lt;&gt;"",VLOOKUP(T_Convention[[#This Row],[NumL]],T_suiviDi[#Data],COLUMN((T_suiviDi[Prénom])),FALSE),"")</f>
        <v/>
      </c>
      <c r="I54" s="282" t="e">
        <f>VLOOKUP(T_Convention[[#This Row],[NumL]],T_suiviDi[#Data],COLUMN((T_suiviDi[[#This Row],[Email]])),FALSE)</f>
        <v>#VALUE!</v>
      </c>
      <c r="J54" s="282" t="e">
        <f>IF(VLOOKUP(T_Convention[[#This Row],[NumL]],T_suiviDi[#Data],COLUMN(T_suiviDi[[#This Row],[Fonction]]),FALSE)="","",VLOOKUP(T_Convention[[#This Row],[NumL]],T_suiviDi[#Data],COLUMN(T_suiviDi[[#This Row],[Fonction]]),FALSE))</f>
        <v>#VALUE!</v>
      </c>
      <c r="K54" s="282" t="e">
        <f>IF(VLOOKUP(T_Convention[[#This Row],[NumL]],T_suiviDi[#Data],COLUMN(T_suiviDi[[#This Row],[Grade]]),FALSE)="","",VLOOKUP(T_Convention[[#This Row],[NumL]],T_suiviDi[#Data],COLUMN(T_suiviDi[[#This Row],[Grade]]),FALSE))</f>
        <v>#VALUE!</v>
      </c>
      <c r="L54" s="282" t="e">
        <f>IF(VLOOKUP(T_Convention[[#This Row],[NumL]],T_suiviDi[#Data],COLUMN(T_suiviDi[[#This Row],[Service ]]),FALSE)="","",VLOOKUP(T_Convention[[#This Row],[NumL]],T_suiviDi[#Data],COLUMN(T_suiviDi[[#This Row],[Service ]]),FALSE))</f>
        <v>#VALUE!</v>
      </c>
      <c r="M54" s="314" t="str">
        <f t="shared" si="1"/>
        <v>01 septembre 2021</v>
      </c>
      <c r="N54" s="314" t="str">
        <f t="shared" si="2"/>
        <v>30 novembre 2021</v>
      </c>
      <c r="O54" s="284" t="str">
        <f t="shared" si="3"/>
        <v>30 novembre 2021</v>
      </c>
      <c r="P54" s="282" t="e">
        <f>IF(VLOOKUP(T_Convention[[#This Row],[NumL]],T_TraitDi[#Data],COLUMN(T_TraitDi[M1]),FALSE)="","",VLOOKUP(T_Convention[[#This Row],[NumL]],T_TraitDi[#Data],COLUMN(T_TraitDi[M1]),FALSE))</f>
        <v>#N/A</v>
      </c>
      <c r="Q54" s="282" t="e">
        <f>IF(VLOOKUP(T_Convention[[#This Row],[NumL]],T_TraitDi[#Data],COLUMN(T_TraitDi[M2]),FALSE)="","",VLOOKUP(T_Convention[[#This Row],[NumL]],T_TraitDi[#Data],COLUMN(T_TraitDi[M2]),FALSE))</f>
        <v>#N/A</v>
      </c>
      <c r="R54" s="282" t="e">
        <f>IF(VLOOKUP(T_Convention[[#This Row],[NumL]],T_TraitDi[#Data],COLUMN(T_TraitDi[M3]),FALSE)="","",VLOOKUP(T_Convention[[#This Row],[NumL]],T_TraitDi[#Data],COLUMN(T_TraitDi[M3]),FALSE))</f>
        <v>#N/A</v>
      </c>
      <c r="S54" s="282" t="e">
        <f>IF(VLOOKUP(T_Convention[[#This Row],[NumL]],T_TraitDi[#Data],COLUMN(T_TraitDi[M4]),FALSE)="","",VLOOKUP(T_Convention[[#This Row],[NumL]],T_TraitDi[#Data],COLUMN(T_TraitDi[M4]),FALSE))</f>
        <v>#N/A</v>
      </c>
      <c r="T54" s="282" t="e">
        <f>IF(VLOOKUP(T_Convention[[#This Row],[NumL]],T_TraitDi[#Data],COLUMN(T_TraitDi[M5]),FALSE)="","",VLOOKUP(T_Convention[[#This Row],[NumL]],T_TraitDi[#Data],COLUMN(T_TraitDi[M5]),FALSE))</f>
        <v>#N/A</v>
      </c>
      <c r="U54" s="282" t="e">
        <f>IF(VLOOKUP(T_Convention[[#This Row],[NumL]],T_TraitDi[#Data],COLUMN(T_TraitDi[M6]),FALSE)="","",VLOOKUP(T_Convention[[#This Row],[NumL]],T_TraitDi[#Data],COLUMN(T_TraitDi[M6]),FALSE))</f>
        <v>#N/A</v>
      </c>
      <c r="V54" s="314" t="e">
        <f t="shared" si="4"/>
        <v>#N/A</v>
      </c>
      <c r="W54" s="284" t="str">
        <f>IFERROR(TEXT(VLOOKUP(T_Convention[[#This Row],[NumL]],T_TraitDi[#Data],COLUMN(T_TraitDi[Q2]),FALSE),"###%"),"")</f>
        <v/>
      </c>
      <c r="X54" s="285" t="e">
        <f>VLOOKUP(T_Convention[[#This Row],[NumL]],T_TraitDi[#Data],COLUMN(T_TraitDi[Reg Ponct]),FALSE)</f>
        <v>#N/A</v>
      </c>
      <c r="Y54" s="285" t="e">
        <f>VLOOKUP(T_Convention[NumL],T_TraitDi[#Data],COLUMN(T_TraitDi[Jours flottants]),FALSE)</f>
        <v>#N/A</v>
      </c>
      <c r="Z54" s="284" t="str">
        <f>IFERROR(VLOOKUP(T_Convention[[#This Row],[NumL]],T_TraitDi[#Data],COLUMN(T_TraitDi[Lundi]),FALSE),"")</f>
        <v/>
      </c>
      <c r="AA54" s="284" t="e">
        <f>IF(VLOOKUP(T_Convention[[#This Row],[NumL]],T_TraitDi[#Data],COLUMN(T_TraitDi[Colonne3]),FALSE)=0,"",TEXT(IFERROR(VLOOKUP(T_Convention[[#This Row],[NumL]],T_TraitDi[#Data],COLUMN(T_TraitDi[Colonne3]),FALSE),""),"[hh]:mm"))</f>
        <v>#N/A</v>
      </c>
      <c r="AB54" s="284" t="e">
        <f>IF(VLOOKUP(T_Convention[[#This Row],[NumL]],T_TraitDi[#Data],COLUMN(T_TraitDi[Colonne4]),FALSE)=0,"",TEXT(IFERROR(VLOOKUP(T_Convention[[#This Row],[NumL]],T_TraitDi[#Data],COLUMN(T_TraitDi[Colonne4]),FALSE),""),"[hh]:mm"))</f>
        <v>#N/A</v>
      </c>
      <c r="AC54" s="284" t="e">
        <f>IF(VLOOKUP(T_Convention[[#This Row],[NumL]],T_TraitDi[#Data],COLUMN(T_TraitDi[Colonne5]),FALSE)=0,"",TEXT(IFERROR(VLOOKUP(T_Convention[[#This Row],[NumL]],T_TraitDi[#Data],COLUMN(T_TraitDi[Colonne5]),FALSE),""),"[hh]:mm"))</f>
        <v>#N/A</v>
      </c>
      <c r="AD54" s="284" t="e">
        <f>IF(VLOOKUP(T_Convention[[#This Row],[NumL]],T_TraitDi[#Data],COLUMN(T_TraitDi[Colonne6]),FALSE)=0,"",TEXT(IFERROR(VLOOKUP(T_Convention[[#This Row],[NumL]],T_TraitDi[#Data],COLUMN(T_TraitDi[Colonne6]),FALSE),""),"[hh]:mm"))</f>
        <v>#N/A</v>
      </c>
      <c r="AE54" s="284" t="e">
        <f>IF(VLOOKUP(T_Convention[[#This Row],[NumL]],T_TraitDi[#Data],COLUMN(T_TraitDi[Colonne7]),FALSE)=0,"",TEXT(IFERROR(VLOOKUP(T_Convention[[#This Row],[NumL]],T_TraitDi[#Data],COLUMN(T_TraitDi[Colonne7]),FALSE),""),"[hh]:mm"))</f>
        <v>#N/A</v>
      </c>
      <c r="AF54" s="284" t="e">
        <f>IF(VLOOKUP(T_Convention[[#This Row],[NumL]],T_TraitDi[#Data],COLUMN(T_TraitDi[Colonne8]),FALSE)=0,"",TEXT(IFERROR(VLOOKUP(T_Convention[[#This Row],[NumL]],T_TraitDi[#Data],COLUMN(T_TraitDi[Colonne8]),FALSE),""),"[hh]:mm"))</f>
        <v>#N/A</v>
      </c>
      <c r="AG54" s="284" t="str">
        <f>IFERROR(VLOOKUP(T_Convention[[#This Row],[NumL]],T_TraitDi[#Data],COLUMN(T_TraitDi[Mardi]),FALSE),"")</f>
        <v/>
      </c>
      <c r="AH54" s="284" t="e">
        <f>IF(VLOOKUP(T_Convention[[#This Row],[NumL]],T_TraitDi[#Data],COLUMN(T_TraitDi[Colonne1]),FALSE)=0,"",TEXT(IFERROR(VLOOKUP(T_Convention[[#This Row],[NumL]],T_TraitDi[#Data],COLUMN(T_TraitDi[Colonne1]),FALSE),""),"[hh]:mm"))</f>
        <v>#N/A</v>
      </c>
      <c r="AI54" s="284" t="e">
        <f>IF(VLOOKUP(T_Convention[[#This Row],[NumL]],T_TraitDi[#Data],COLUMN(T_TraitDi[Colonne9]),FALSE)=0,"",TEXT(IFERROR(VLOOKUP(T_Convention[[#This Row],[NumL]],T_TraitDi[#Data],COLUMN(T_TraitDi[Colonne9]),FALSE),""),"[hh]:mm"))</f>
        <v>#N/A</v>
      </c>
      <c r="AJ54" s="284" t="str">
        <f>IFERROR(VLOOKUP(T_Convention[[#This Row],[NumL]],T_TraitDi[#Data],COLUMN(T_TraitDi[Colonne10]),FALSE),"")</f>
        <v/>
      </c>
      <c r="AK54" s="284" t="e">
        <f>IF(VLOOKUP(T_Convention[[#This Row],[NumL]],T_TraitDi[#Data],COLUMN(T_TraitDi[Colonne11]),FALSE)=0,"",TEXT(IFERROR(VLOOKUP(T_Convention[[#This Row],[NumL]],T_TraitDi[#Data],COLUMN(T_TraitDi[Colonne11]),FALSE),""),"[hh]:mm"))</f>
        <v>#N/A</v>
      </c>
      <c r="AL54" s="284" t="e">
        <f>IF(VLOOKUP(T_Convention[[#This Row],[NumL]],T_TraitDi[#Data],COLUMN(T_TraitDi[Colonne12]),FALSE)=0,"",TEXT(IFERROR(VLOOKUP(T_Convention[[#This Row],[NumL]],T_TraitDi[#Data],COLUMN(T_TraitDi[Colonne12]),FALSE),""),"[hh]:mm"))</f>
        <v>#N/A</v>
      </c>
      <c r="AM54" s="284" t="e">
        <f>IF(VLOOKUP(T_Convention[[#This Row],[NumL]],T_TraitDi[#Data],COLUMN(T_TraitDi[Colonne14]),FALSE)=0,"",TEXT(IFERROR(VLOOKUP(T_Convention[[#This Row],[NumL]],T_TraitDi[#Data],COLUMN(T_TraitDi[Colonne14]),FALSE),""),"[hh]:mm"))</f>
        <v>#N/A</v>
      </c>
      <c r="AN54" s="284" t="str">
        <f>IFERROR(VLOOKUP(T_Convention[[#This Row],[NumL]],T_TraitDi[#Data],COLUMN(T_TraitDi[Mercredi]),FALSE),"")</f>
        <v/>
      </c>
      <c r="AO54" s="284" t="e">
        <f>IF(VLOOKUP(T_Convention[[#This Row],[NumL]],T_TraitDi[#Data],COLUMN(T_TraitDi[Colonne15]),FALSE)=0,"",TEXT(IFERROR(VLOOKUP(T_Convention[[#This Row],[NumL]],T_TraitDi[#Data],COLUMN(T_TraitDi[Colonne15]),FALSE),""),"[hh]:mm"))</f>
        <v>#N/A</v>
      </c>
      <c r="AP54" s="284" t="e">
        <f>IF(VLOOKUP(T_Convention[[#This Row],[NumL]],T_TraitDi[#Data],COLUMN(T_TraitDi[Colonne16]),FALSE)=0,"",TEXT(IFERROR(VLOOKUP(T_Convention[[#This Row],[NumL]],T_TraitDi[#Data],COLUMN(T_TraitDi[Colonne16]),FALSE),""),"[hh]:mm"))</f>
        <v>#N/A</v>
      </c>
      <c r="AQ54" s="284" t="str">
        <f>IFERROR(VLOOKUP(T_Convention[[#This Row],[NumL]],T_TraitDi[#Data],COLUMN(T_TraitDi[Colonne17]),FALSE),"")</f>
        <v/>
      </c>
      <c r="AR54" s="284" t="e">
        <f>IF(VLOOKUP(T_Convention[[#This Row],[NumL]],T_TraitDi[#Data],COLUMN(T_TraitDi[Colonne18]),FALSE)=0,"",TEXT(IFERROR(VLOOKUP(T_Convention[[#This Row],[NumL]],T_TraitDi[#Data],COLUMN(T_TraitDi[Colonne18]),FALSE),""),"[hh]:mm"))</f>
        <v>#N/A</v>
      </c>
      <c r="AS54" s="284" t="e">
        <f>IF(VLOOKUP(T_Convention[[#This Row],[NumL]],T_TraitDi[#Data],COLUMN(T_TraitDi[Colonne19]),FALSE)=0,"",TEXT(IFERROR(VLOOKUP(T_Convention[[#This Row],[NumL]],T_TraitDi[#Data],COLUMN(T_TraitDi[Colonne19]),FALSE),""),"[hh]:mm"))</f>
        <v>#N/A</v>
      </c>
      <c r="AT54" s="284" t="e">
        <f>IF(VLOOKUP(T_Convention[[#This Row],[NumL]],T_TraitDi[#Data],COLUMN(T_TraitDi[Colonne20]),FALSE)=0,"",TEXT(IFERROR(VLOOKUP(T_Convention[[#This Row],[NumL]],T_TraitDi[#Data],COLUMN(T_TraitDi[Colonne20]),FALSE),""),"[hh]:mm"))</f>
        <v>#N/A</v>
      </c>
      <c r="AU54" s="284" t="str">
        <f>IFERROR(VLOOKUP(T_Convention[[#This Row],[NumL]],T_TraitDi[#Data],COLUMN(T_TraitDi[Jeudi]),FALSE),"")</f>
        <v/>
      </c>
      <c r="AV54" s="284" t="e">
        <f>IF(VLOOKUP(T_Convention[[#This Row],[NumL]],T_TraitDi[#Data],COLUMN(T_TraitDi[Colonne21]),FALSE)=0,"",TEXT(IFERROR(VLOOKUP(T_Convention[[#This Row],[NumL]],T_TraitDi[#Data],COLUMN(T_TraitDi[Colonne21]),FALSE),""),"[hh]:mm"))</f>
        <v>#N/A</v>
      </c>
      <c r="AW54" s="284" t="e">
        <f>IF(VLOOKUP(T_Convention[[#This Row],[NumL]],T_TraitDi[#Data],COLUMN(T_TraitDi[Colonne22]),FALSE)=0,"",TEXT(IFERROR(VLOOKUP(T_Convention[[#This Row],[NumL]],T_TraitDi[#Data],COLUMN(T_TraitDi[Colonne22]),FALSE),""),"[hh]:mm"))</f>
        <v>#N/A</v>
      </c>
      <c r="AX54" s="284" t="str">
        <f>IFERROR(VLOOKUP(T_Convention[[#This Row],[NumL]],T_TraitDi[#Data],COLUMN(T_TraitDi[Colonne23]),FALSE),"")</f>
        <v/>
      </c>
      <c r="AY54" s="284" t="e">
        <f>IF(VLOOKUP(T_Convention[[#This Row],[NumL]],T_TraitDi[#Data],COLUMN(T_TraitDi[Colonne24]),FALSE)=0,"",TEXT(IFERROR(VLOOKUP(T_Convention[[#This Row],[NumL]],T_TraitDi[#Data],COLUMN(T_TraitDi[Colonne24]),FALSE),""),"[hh]:mm"))</f>
        <v>#N/A</v>
      </c>
      <c r="AZ54" s="284" t="e">
        <f>IF(VLOOKUP(T_Convention[[#This Row],[NumL]],T_TraitDi[#Data],COLUMN(T_TraitDi[Colonne25]),FALSE)=0,"",TEXT(IFERROR(VLOOKUP(T_Convention[[#This Row],[NumL]],T_TraitDi[#Data],COLUMN(T_TraitDi[Colonne25]),FALSE),""),"[hh]:mm"))</f>
        <v>#N/A</v>
      </c>
      <c r="BA54" s="284" t="e">
        <f>IF(VLOOKUP(T_Convention[[#This Row],[NumL]],T_TraitDi[#Data],COLUMN(T_TraitDi[Colonne26]),FALSE)=0,"",TEXT(IFERROR(VLOOKUP(T_Convention[[#This Row],[NumL]],T_TraitDi[#Data],COLUMN(T_TraitDi[Colonne26]),FALSE),""),"[hh]:mm"))</f>
        <v>#N/A</v>
      </c>
      <c r="BB54" s="284" t="str">
        <f>IFERROR(VLOOKUP(T_Convention[[#This Row],[NumL]],T_TraitDi[#Data],COLUMN(T_TraitDi[Vendredi]),FALSE),"")</f>
        <v/>
      </c>
      <c r="BC54" s="284" t="e">
        <f>IF(VLOOKUP(T_Convention[[#This Row],[NumL]],T_TraitDi[#Data],COLUMN(T_TraitDi[Colonne27]),FALSE)=0,"",TEXT(IFERROR(VLOOKUP(T_Convention[[#This Row],[NumL]],T_TraitDi[#Data],COLUMN(T_TraitDi[Colonne27]),FALSE),""),"[hh]:mm"))</f>
        <v>#N/A</v>
      </c>
      <c r="BD54" s="284" t="e">
        <f>IF(VLOOKUP(T_Convention[[#This Row],[NumL]],T_TraitDi[#Data],COLUMN(T_TraitDi[Colonne28]),FALSE)=0,"",TEXT(IFERROR(VLOOKUP(T_Convention[[#This Row],[NumL]],T_TraitDi[#Data],COLUMN(T_TraitDi[Colonne28]),FALSE),""),"[hh]:mm"))</f>
        <v>#N/A</v>
      </c>
      <c r="BE54" s="284" t="str">
        <f>IFERROR(VLOOKUP(T_Convention[[#This Row],[NumL]],T_TraitDi[#Data],COLUMN(T_TraitDi[Colonne29]),FALSE),"")</f>
        <v/>
      </c>
      <c r="BF54" s="284" t="e">
        <f>IF(VLOOKUP(T_Convention[[#This Row],[NumL]],T_TraitDi[#Data],COLUMN(T_TraitDi[Colonne30]),FALSE)=0,"",TEXT(IFERROR(VLOOKUP(T_Convention[[#This Row],[NumL]],T_TraitDi[#Data],COLUMN(T_TraitDi[Colonne30]),FALSE),""),"[hh]:mm"))</f>
        <v>#N/A</v>
      </c>
      <c r="BG54" s="284" t="e">
        <f>IF(VLOOKUP(T_Convention[[#This Row],[NumL]],T_TraitDi[#Data],COLUMN(T_TraitDi[Colonne31]),FALSE)=0,"",TEXT(IFERROR(VLOOKUP(T_Convention[[#This Row],[NumL]],T_TraitDi[#Data],COLUMN(T_TraitDi[Colonne31]),FALSE),""),"[hh]:mm"))</f>
        <v>#N/A</v>
      </c>
      <c r="BH54" s="284" t="e">
        <f>IF(VLOOKUP(T_Convention[[#This Row],[NumL]],T_TraitDi[#Data],COLUMN(T_TraitDi[Colonne32]),FALSE)=0,"",TEXT(IFERROR(VLOOKUP(T_Convention[[#This Row],[NumL]],T_TraitDi[#Data],COLUMN(T_TraitDi[Colonne32]),FALSE),""),"[hh]:mm"))</f>
        <v>#N/A</v>
      </c>
      <c r="BI54" s="284" t="str">
        <f>IFERROR(VLOOKUP(T_Convention[[#This Row],[NumL]],T_TraitDi[#Data],COLUMN(T_TraitDi[NbJTW]),FALSE),"")</f>
        <v/>
      </c>
      <c r="BJ54" s="284" t="e">
        <f>IF(VLOOKUP(T_Convention[[#This Row],[NumL]],T_TraitDi[#Data],COLUMN(T_TraitDi[NbhTW]),FALSE)=0,"",TEXT(IFERROR(VLOOKUP(T_Convention[[#This Row],[NumL]],T_TraitDi[#Data],COLUMN(T_TraitDi[NbhTW]),FALSE),""),"[hh]:mm"))</f>
        <v>#N/A</v>
      </c>
      <c r="BK54" s="315" t="e">
        <f>IF(VLOOKUP(T_Convention[[#This Row],[NumL]],T_TraitDi[#Data],COLUMN(T_TraitDi[Nbhheb]),FALSE)=0,"",TEXT(IFERROR(VLOOKUP(T_Convention[[#This Row],[NumL]],T_TraitDi[#Data],COLUMN(T_TraitDi[Nbhheb]),FALSE),""),"[hh]:mm"))</f>
        <v>#N/A</v>
      </c>
      <c r="BL54" s="287" t="str">
        <f>IFERROR(VLOOKUP(VLOOKUP(T_Convention[[#This Row],[NumL]],T_TraitDi[#Data],COLUMN(T_TraitDi[Type1]),FALSE),TypeTW,2,FALSE),"")</f>
        <v/>
      </c>
      <c r="BM54" s="288" t="str">
        <f>IFERROR(VLOOKUP(T_Convention[[#This Row],[NumL]],T_TraitDi[#Data],COLUMN(T_TraitDi[Rue1]),FALSE),"")</f>
        <v/>
      </c>
      <c r="BN54" s="289" t="str">
        <f>IFERROR(VLOOKUP(T_Convention[[#This Row],[NumL]],T_TraitDi[#Data],COLUMN(T_TraitDi[CP1]),FALSE),"")</f>
        <v/>
      </c>
      <c r="BO54" s="282" t="str">
        <f>IFERROR(VLOOKUP(T_Convention[[#This Row],[NumL]],T_TraitDi[#Data],COLUMN(T_TraitDi[VILLE1]),FALSE),"")</f>
        <v/>
      </c>
      <c r="BP54" s="290" t="str">
        <f>IFERROR(VLOOKUP(VLOOKUP(T_Convention[[#This Row],[NumL]],T_TraitDi[#Data],COLUMN(T_TraitDi[Type2]),FALSE),TypeTW,2,FALSE),"")</f>
        <v/>
      </c>
      <c r="BQ54" s="310" t="str">
        <f>IFERROR(VLOOKUP(T_Convention[[#This Row],[NumL]],T_TraitDi[#Data],COLUMN(T_TraitDi[Rue2]),FALSE),"")</f>
        <v/>
      </c>
      <c r="BR54" s="290" t="str">
        <f>IFERROR(VLOOKUP(T_Convention[[#This Row],[NumL]],T_TraitDi[#Data],COLUMN(T_TraitDi[CP2]),FALSE),"")</f>
        <v/>
      </c>
      <c r="BS54" s="290" t="str">
        <f>IFERROR(VLOOKUP(T_Convention[[#This Row],[NumL]],T_TraitDi[#Data],COLUMN(T_TraitDi[VILLE2]),FALSE),"")</f>
        <v/>
      </c>
      <c r="BT5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54" s="314" t="str">
        <f>IFERROR(IF(VLOOKUP(T_Convention[[#This Row],[NumL]],T_TraitDi[#Data],COLUMN(T_TraitDi[Plan]),FALSE)="OK","Un planning spécifique de télétravail est annexé à la présente convention.",""),"")</f>
        <v/>
      </c>
      <c r="BV54" s="291"/>
      <c r="BW54" s="292" t="e">
        <f>IF(VLOOKUP(T_Convention[[#This Row],[NumL]],T_suiviDi[#Data],COLUMN(T_suiviDi[Entité]),FALSE)="","",VLOOKUP(T_Convention[[#This Row],[NumL]],T_suiviDi[#Data],COLUMN(T_suiviDi[Entité]),FALSE))</f>
        <v>#N/A</v>
      </c>
      <c r="BX54" s="311" t="str">
        <f>IF(VLOOKUP(T_Convention[[#This Row],[NumL]],T_Commission[#Data],COLUMN(T_Commission[envoi confirm TW]),FALSE)="","",VLOOKUP(T_Convention[[#This Row],[NumL]],T_Commission[#Data],COLUMN(T_Commission[envoi confirm TW]),FALSE))</f>
        <v>Non</v>
      </c>
      <c r="BY5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4" s="265" t="str">
        <f>VLOOKUP(T_Convention[[#This Row],[NumL]],T_Commission[#Data],COLUMN(T_Commission[Commentaire]),FALSE)</f>
        <v>Le télétravail est accordé pour 6 mois renouvelables sous réserve de l'avis du médecin de prévention et sous réserve de fourniture des pièces demandées suite au déménagement.</v>
      </c>
      <c r="CA54" s="255" t="str">
        <f>IF(VLOOKUP(T_Convention[[#This Row],[NumL]],T_Commission[#Data],COLUMN(T_Commission[Encadrant Email]),FALSE)="","",VLOOKUP(T_Convention[[#This Row],[NumL]],T_Commission[#Data],COLUMN(T_Commission[Encadrant Email]),FALSE))</f>
        <v/>
      </c>
      <c r="CB54" s="352" t="e">
        <f>VLOOKUP(T_Convention[[#This Row],[NumL]],T_TraitDi[#Data],COLUMN(T_TraitDi[NbJTot]),FALSE)</f>
        <v>#N/A</v>
      </c>
      <c r="CC54" s="352" t="e">
        <f>VLOOKUP(T_Convention[[#This Row],[NumL]],T_TraitDi[#Data],COLUMN(T_TraitDi[Reg Ponct]),FALSE)</f>
        <v>#N/A</v>
      </c>
      <c r="CD54" s="348" t="str">
        <f>IF(T_Convention[[#This Row],[Final]]&lt;&gt;"",VLOOKUP(T_Convention[[#This Row],[NumL]],T_suiviDi[#Data],COLUMN((T_suiviDi[Statut])),FALSE),"")</f>
        <v/>
      </c>
    </row>
    <row r="55" spans="1:82" s="106" customFormat="1" ht="18.75" customHeight="1" x14ac:dyDescent="0.25">
      <c r="A55" s="160">
        <v>261</v>
      </c>
      <c r="B55" s="161" t="str">
        <f>VLOOKUP(T_Convention[[#This Row],[NumL]],T_Commission[#Data],COLUMN(T_Commission[FINAL]),FALSE)</f>
        <v/>
      </c>
      <c r="C55" s="162"/>
      <c r="D55" s="95" t="e">
        <f>IF(VLOOKUP(T_Convention[[#This Row],[NumL]],T_TraitDi[#Data],COLUMN(T_TraitDi[WebC]),FALSE)="","",VLOOKUP(T_Convention[[#This Row],[NumL]],T_TraitDi[#Data],COLUMN(T_TraitDi[WebC]),FALSE))</f>
        <v>#N/A</v>
      </c>
      <c r="E55" s="163" t="str">
        <f t="shared" si="0"/>
        <v>12 janvier 2021</v>
      </c>
      <c r="F55" s="282" t="str">
        <f>IF(T_Convention[[#This Row],[Final]]&lt;&gt;"",VLOOKUP(T_Convention[[#This Row],[NumL]],T_suiviDi[#Data],COLUMN((T_suiviDi[Civ.])),FALSE),"")</f>
        <v/>
      </c>
      <c r="G55" s="283" t="str">
        <f>IF(T_Convention[[#This Row],[Final]]&lt;&gt;"",VLOOKUP(T_Convention[[#This Row],[NumL]],T_suiviDi[#Data],COLUMN((T_suiviDi[Nom])),FALSE),"")</f>
        <v/>
      </c>
      <c r="H55" s="282" t="str">
        <f>IF(T_Convention[[#This Row],[Final]]&lt;&gt;"",VLOOKUP(T_Convention[[#This Row],[NumL]],T_suiviDi[#Data],COLUMN((T_suiviDi[Prénom])),FALSE),"")</f>
        <v/>
      </c>
      <c r="I55" s="282" t="e">
        <f>VLOOKUP(T_Convention[[#This Row],[NumL]],T_suiviDi[#Data],COLUMN((T_suiviDi[[#This Row],[Email]])),FALSE)</f>
        <v>#VALUE!</v>
      </c>
      <c r="J55" s="282" t="e">
        <f>IF(VLOOKUP(T_Convention[[#This Row],[NumL]],T_suiviDi[#Data],COLUMN(T_suiviDi[[#This Row],[Fonction]]),FALSE)="","",VLOOKUP(T_Convention[[#This Row],[NumL]],T_suiviDi[#Data],COLUMN(T_suiviDi[[#This Row],[Fonction]]),FALSE))</f>
        <v>#VALUE!</v>
      </c>
      <c r="K55" s="282" t="e">
        <f>IF(VLOOKUP(T_Convention[[#This Row],[NumL]],T_suiviDi[#Data],COLUMN(T_suiviDi[[#This Row],[Grade]]),FALSE)="","",VLOOKUP(T_Convention[[#This Row],[NumL]],T_suiviDi[#Data],COLUMN(T_suiviDi[[#This Row],[Grade]]),FALSE))</f>
        <v>#VALUE!</v>
      </c>
      <c r="L55" s="282" t="e">
        <f>IF(VLOOKUP(T_Convention[[#This Row],[NumL]],T_suiviDi[#Data],COLUMN(T_suiviDi[[#This Row],[Service ]]),FALSE)="","",VLOOKUP(T_Convention[[#This Row],[NumL]],T_suiviDi[#Data],COLUMN(T_suiviDi[[#This Row],[Service ]]),FALSE))</f>
        <v>#VALUE!</v>
      </c>
      <c r="M55" s="164" t="str">
        <f t="shared" si="1"/>
        <v>01 septembre 2021</v>
      </c>
      <c r="N55" s="164" t="str">
        <f t="shared" si="2"/>
        <v>30 novembre 2021</v>
      </c>
      <c r="O55" s="284" t="str">
        <f t="shared" si="3"/>
        <v>30 novembre 2021</v>
      </c>
      <c r="P55" s="282" t="e">
        <f>IF(VLOOKUP(T_Convention[[#This Row],[NumL]],T_TraitDi[#Data],COLUMN(T_TraitDi[M1]),FALSE)="","",VLOOKUP(T_Convention[[#This Row],[NumL]],T_TraitDi[#Data],COLUMN(T_TraitDi[M1]),FALSE))</f>
        <v>#N/A</v>
      </c>
      <c r="Q55" s="282" t="e">
        <f>IF(VLOOKUP(T_Convention[[#This Row],[NumL]],T_TraitDi[#Data],COLUMN(T_TraitDi[M2]),FALSE)="","",VLOOKUP(T_Convention[[#This Row],[NumL]],T_TraitDi[#Data],COLUMN(T_TraitDi[M2]),FALSE))</f>
        <v>#N/A</v>
      </c>
      <c r="R55" s="282" t="e">
        <f>IF(VLOOKUP(T_Convention[[#This Row],[NumL]],T_TraitDi[#Data],COLUMN(T_TraitDi[M3]),FALSE)="","",VLOOKUP(T_Convention[[#This Row],[NumL]],T_TraitDi[#Data],COLUMN(T_TraitDi[M3]),FALSE))</f>
        <v>#N/A</v>
      </c>
      <c r="S55" s="282" t="e">
        <f>IF(VLOOKUP(T_Convention[[#This Row],[NumL]],T_TraitDi[#Data],COLUMN(T_TraitDi[M4]),FALSE)="","",VLOOKUP(T_Convention[[#This Row],[NumL]],T_TraitDi[#Data],COLUMN(T_TraitDi[M4]),FALSE))</f>
        <v>#N/A</v>
      </c>
      <c r="T55" s="282" t="e">
        <f>IF(VLOOKUP(T_Convention[[#This Row],[NumL]],T_TraitDi[#Data],COLUMN(T_TraitDi[M5]),FALSE)="","",VLOOKUP(T_Convention[[#This Row],[NumL]],T_TraitDi[#Data],COLUMN(T_TraitDi[M5]),FALSE))</f>
        <v>#N/A</v>
      </c>
      <c r="U55" s="282" t="e">
        <f>IF(VLOOKUP(T_Convention[[#This Row],[NumL]],T_TraitDi[#Data],COLUMN(T_TraitDi[M6]),FALSE)="","",VLOOKUP(T_Convention[[#This Row],[NumL]],T_TraitDi[#Data],COLUMN(T_TraitDi[M6]),FALSE))</f>
        <v>#N/A</v>
      </c>
      <c r="V55" s="176" t="e">
        <f t="shared" si="4"/>
        <v>#N/A</v>
      </c>
      <c r="W55" s="284" t="str">
        <f>IFERROR(TEXT(VLOOKUP(T_Convention[[#This Row],[NumL]],T_TraitDi[#Data],COLUMN(T_TraitDi[Q2]),FALSE),"###%"),"")</f>
        <v/>
      </c>
      <c r="X55" s="97" t="e">
        <f>VLOOKUP(T_Convention[[#This Row],[NumL]],T_TraitDi[#Data],COLUMN(T_TraitDi[Reg Ponct]),FALSE)</f>
        <v>#N/A</v>
      </c>
      <c r="Y55" s="97" t="e">
        <f>VLOOKUP(T_Convention[NumL],T_TraitDi[#Data],COLUMN(T_TraitDi[Jours flottants]),FALSE)</f>
        <v>#N/A</v>
      </c>
      <c r="Z55" s="284" t="str">
        <f>IFERROR(VLOOKUP(T_Convention[[#This Row],[NumL]],T_TraitDi[#Data],COLUMN(T_TraitDi[Lundi]),FALSE),"")</f>
        <v/>
      </c>
      <c r="AA55" s="284" t="e">
        <f>IF(VLOOKUP(T_Convention[[#This Row],[NumL]],T_TraitDi[#Data],COLUMN(T_TraitDi[Colonne3]),FALSE)=0,"",TEXT(IFERROR(VLOOKUP(T_Convention[[#This Row],[NumL]],T_TraitDi[#Data],COLUMN(T_TraitDi[Colonne3]),FALSE),""),"[hh]:mm"))</f>
        <v>#N/A</v>
      </c>
      <c r="AB55" s="284" t="e">
        <f>IF(VLOOKUP(T_Convention[[#This Row],[NumL]],T_TraitDi[#Data],COLUMN(T_TraitDi[Colonne4]),FALSE)=0,"",TEXT(IFERROR(VLOOKUP(T_Convention[[#This Row],[NumL]],T_TraitDi[#Data],COLUMN(T_TraitDi[Colonne4]),FALSE),""),"[hh]:mm"))</f>
        <v>#N/A</v>
      </c>
      <c r="AC55" s="284" t="e">
        <f>IF(VLOOKUP(T_Convention[[#This Row],[NumL]],T_TraitDi[#Data],COLUMN(T_TraitDi[Colonne5]),FALSE)=0,"",TEXT(IFERROR(VLOOKUP(T_Convention[[#This Row],[NumL]],T_TraitDi[#Data],COLUMN(T_TraitDi[Colonne5]),FALSE),""),"[hh]:mm"))</f>
        <v>#N/A</v>
      </c>
      <c r="AD55" s="284" t="e">
        <f>IF(VLOOKUP(T_Convention[[#This Row],[NumL]],T_TraitDi[#Data],COLUMN(T_TraitDi[Colonne6]),FALSE)=0,"",TEXT(IFERROR(VLOOKUP(T_Convention[[#This Row],[NumL]],T_TraitDi[#Data],COLUMN(T_TraitDi[Colonne6]),FALSE),""),"[hh]:mm"))</f>
        <v>#N/A</v>
      </c>
      <c r="AE55" s="284" t="e">
        <f>IF(VLOOKUP(T_Convention[[#This Row],[NumL]],T_TraitDi[#Data],COLUMN(T_TraitDi[Colonne7]),FALSE)=0,"",TEXT(IFERROR(VLOOKUP(T_Convention[[#This Row],[NumL]],T_TraitDi[#Data],COLUMN(T_TraitDi[Colonne7]),FALSE),""),"[hh]:mm"))</f>
        <v>#N/A</v>
      </c>
      <c r="AF55" s="284" t="e">
        <f>IF(VLOOKUP(T_Convention[[#This Row],[NumL]],T_TraitDi[#Data],COLUMN(T_TraitDi[Colonne8]),FALSE)=0,"",TEXT(IFERROR(VLOOKUP(T_Convention[[#This Row],[NumL]],T_TraitDi[#Data],COLUMN(T_TraitDi[Colonne8]),FALSE),""),"[hh]:mm"))</f>
        <v>#N/A</v>
      </c>
      <c r="AG55" s="284" t="str">
        <f>IFERROR(VLOOKUP(T_Convention[[#This Row],[NumL]],T_TraitDi[#Data],COLUMN(T_TraitDi[Mardi]),FALSE),"")</f>
        <v/>
      </c>
      <c r="AH55" s="284" t="e">
        <f>IF(VLOOKUP(T_Convention[[#This Row],[NumL]],T_TraitDi[#Data],COLUMN(T_TraitDi[Colonne1]),FALSE)=0,"",TEXT(IFERROR(VLOOKUP(T_Convention[[#This Row],[NumL]],T_TraitDi[#Data],COLUMN(T_TraitDi[Colonne1]),FALSE),""),"[hh]:mm"))</f>
        <v>#N/A</v>
      </c>
      <c r="AI55" s="284" t="e">
        <f>IF(VLOOKUP(T_Convention[[#This Row],[NumL]],T_TraitDi[#Data],COLUMN(T_TraitDi[Colonne9]),FALSE)=0,"",TEXT(IFERROR(VLOOKUP(T_Convention[[#This Row],[NumL]],T_TraitDi[#Data],COLUMN(T_TraitDi[Colonne9]),FALSE),""),"[hh]:mm"))</f>
        <v>#N/A</v>
      </c>
      <c r="AJ55" s="284" t="str">
        <f>IFERROR(VLOOKUP(T_Convention[[#This Row],[NumL]],T_TraitDi[#Data],COLUMN(T_TraitDi[Colonne10]),FALSE),"")</f>
        <v/>
      </c>
      <c r="AK55" s="284" t="e">
        <f>IF(VLOOKUP(T_Convention[[#This Row],[NumL]],T_TraitDi[#Data],COLUMN(T_TraitDi[Colonne11]),FALSE)=0,"",TEXT(IFERROR(VLOOKUP(T_Convention[[#This Row],[NumL]],T_TraitDi[#Data],COLUMN(T_TraitDi[Colonne11]),FALSE),""),"[hh]:mm"))</f>
        <v>#N/A</v>
      </c>
      <c r="AL55" s="284" t="e">
        <f>IF(VLOOKUP(T_Convention[[#This Row],[NumL]],T_TraitDi[#Data],COLUMN(T_TraitDi[Colonne12]),FALSE)=0,"",TEXT(IFERROR(VLOOKUP(T_Convention[[#This Row],[NumL]],T_TraitDi[#Data],COLUMN(T_TraitDi[Colonne12]),FALSE),""),"[hh]:mm"))</f>
        <v>#N/A</v>
      </c>
      <c r="AM55" s="284" t="e">
        <f>IF(VLOOKUP(T_Convention[[#This Row],[NumL]],T_TraitDi[#Data],COLUMN(T_TraitDi[Colonne14]),FALSE)=0,"",TEXT(IFERROR(VLOOKUP(T_Convention[[#This Row],[NumL]],T_TraitDi[#Data],COLUMN(T_TraitDi[Colonne14]),FALSE),""),"[hh]:mm"))</f>
        <v>#N/A</v>
      </c>
      <c r="AN55" s="284" t="str">
        <f>IFERROR(VLOOKUP(T_Convention[[#This Row],[NumL]],T_TraitDi[#Data],COLUMN(T_TraitDi[Mercredi]),FALSE),"")</f>
        <v/>
      </c>
      <c r="AO55" s="284" t="e">
        <f>IF(VLOOKUP(T_Convention[[#This Row],[NumL]],T_TraitDi[#Data],COLUMN(T_TraitDi[Colonne15]),FALSE)=0,"",TEXT(IFERROR(VLOOKUP(T_Convention[[#This Row],[NumL]],T_TraitDi[#Data],COLUMN(T_TraitDi[Colonne15]),FALSE),""),"[hh]:mm"))</f>
        <v>#N/A</v>
      </c>
      <c r="AP55" s="284" t="e">
        <f>IF(VLOOKUP(T_Convention[[#This Row],[NumL]],T_TraitDi[#Data],COLUMN(T_TraitDi[Colonne16]),FALSE)=0,"",TEXT(IFERROR(VLOOKUP(T_Convention[[#This Row],[NumL]],T_TraitDi[#Data],COLUMN(T_TraitDi[Colonne16]),FALSE),""),"[hh]:mm"))</f>
        <v>#N/A</v>
      </c>
      <c r="AQ55" s="284" t="str">
        <f>IFERROR(VLOOKUP(T_Convention[[#This Row],[NumL]],T_TraitDi[#Data],COLUMN(T_TraitDi[Colonne17]),FALSE),"")</f>
        <v/>
      </c>
      <c r="AR55" s="284" t="e">
        <f>IF(VLOOKUP(T_Convention[[#This Row],[NumL]],T_TraitDi[#Data],COLUMN(T_TraitDi[Colonne18]),FALSE)=0,"",TEXT(IFERROR(VLOOKUP(T_Convention[[#This Row],[NumL]],T_TraitDi[#Data],COLUMN(T_TraitDi[Colonne18]),FALSE),""),"[hh]:mm"))</f>
        <v>#N/A</v>
      </c>
      <c r="AS55" s="284" t="e">
        <f>IF(VLOOKUP(T_Convention[[#This Row],[NumL]],T_TraitDi[#Data],COLUMN(T_TraitDi[Colonne19]),FALSE)=0,"",TEXT(IFERROR(VLOOKUP(T_Convention[[#This Row],[NumL]],T_TraitDi[#Data],COLUMN(T_TraitDi[Colonne19]),FALSE),""),"[hh]:mm"))</f>
        <v>#N/A</v>
      </c>
      <c r="AT55" s="284" t="e">
        <f>IF(VLOOKUP(T_Convention[[#This Row],[NumL]],T_TraitDi[#Data],COLUMN(T_TraitDi[Colonne20]),FALSE)=0,"",TEXT(IFERROR(VLOOKUP(T_Convention[[#This Row],[NumL]],T_TraitDi[#Data],COLUMN(T_TraitDi[Colonne20]),FALSE),""),"[hh]:mm"))</f>
        <v>#N/A</v>
      </c>
      <c r="AU55" s="284" t="str">
        <f>IFERROR(VLOOKUP(T_Convention[[#This Row],[NumL]],T_TraitDi[#Data],COLUMN(T_TraitDi[Jeudi]),FALSE),"")</f>
        <v/>
      </c>
      <c r="AV55" s="284" t="e">
        <f>IF(VLOOKUP(T_Convention[[#This Row],[NumL]],T_TraitDi[#Data],COLUMN(T_TraitDi[Colonne21]),FALSE)=0,"",TEXT(IFERROR(VLOOKUP(T_Convention[[#This Row],[NumL]],T_TraitDi[#Data],COLUMN(T_TraitDi[Colonne21]),FALSE),""),"[hh]:mm"))</f>
        <v>#N/A</v>
      </c>
      <c r="AW55" s="284" t="e">
        <f>IF(VLOOKUP(T_Convention[[#This Row],[NumL]],T_TraitDi[#Data],COLUMN(T_TraitDi[Colonne22]),FALSE)=0,"",TEXT(IFERROR(VLOOKUP(T_Convention[[#This Row],[NumL]],T_TraitDi[#Data],COLUMN(T_TraitDi[Colonne22]),FALSE),""),"[hh]:mm"))</f>
        <v>#N/A</v>
      </c>
      <c r="AX55" s="284" t="str">
        <f>IFERROR(VLOOKUP(T_Convention[[#This Row],[NumL]],T_TraitDi[#Data],COLUMN(T_TraitDi[Colonne23]),FALSE),"")</f>
        <v/>
      </c>
      <c r="AY55" s="284" t="e">
        <f>IF(VLOOKUP(T_Convention[[#This Row],[NumL]],T_TraitDi[#Data],COLUMN(T_TraitDi[Colonne24]),FALSE)=0,"",TEXT(IFERROR(VLOOKUP(T_Convention[[#This Row],[NumL]],T_TraitDi[#Data],COLUMN(T_TraitDi[Colonne24]),FALSE),""),"[hh]:mm"))</f>
        <v>#N/A</v>
      </c>
      <c r="AZ55" s="284" t="e">
        <f>IF(VLOOKUP(T_Convention[[#This Row],[NumL]],T_TraitDi[#Data],COLUMN(T_TraitDi[Colonne25]),FALSE)=0,"",TEXT(IFERROR(VLOOKUP(T_Convention[[#This Row],[NumL]],T_TraitDi[#Data],COLUMN(T_TraitDi[Colonne25]),FALSE),""),"[hh]:mm"))</f>
        <v>#N/A</v>
      </c>
      <c r="BA55" s="284" t="e">
        <f>IF(VLOOKUP(T_Convention[[#This Row],[NumL]],T_TraitDi[#Data],COLUMN(T_TraitDi[Colonne26]),FALSE)=0,"",TEXT(IFERROR(VLOOKUP(T_Convention[[#This Row],[NumL]],T_TraitDi[#Data],COLUMN(T_TraitDi[Colonne26]),FALSE),""),"[hh]:mm"))</f>
        <v>#N/A</v>
      </c>
      <c r="BB55" s="284" t="str">
        <f>IFERROR(VLOOKUP(T_Convention[[#This Row],[NumL]],T_TraitDi[#Data],COLUMN(T_TraitDi[Vendredi]),FALSE),"")</f>
        <v/>
      </c>
      <c r="BC55" s="284" t="e">
        <f>IF(VLOOKUP(T_Convention[[#This Row],[NumL]],T_TraitDi[#Data],COLUMN(T_TraitDi[Colonne27]),FALSE)=0,"",TEXT(IFERROR(VLOOKUP(T_Convention[[#This Row],[NumL]],T_TraitDi[#Data],COLUMN(T_TraitDi[Colonne27]),FALSE),""),"[hh]:mm"))</f>
        <v>#N/A</v>
      </c>
      <c r="BD55" s="284" t="e">
        <f>IF(VLOOKUP(T_Convention[[#This Row],[NumL]],T_TraitDi[#Data],COLUMN(T_TraitDi[Colonne28]),FALSE)=0,"",TEXT(IFERROR(VLOOKUP(T_Convention[[#This Row],[NumL]],T_TraitDi[#Data],COLUMN(T_TraitDi[Colonne28]),FALSE),""),"[hh]:mm"))</f>
        <v>#N/A</v>
      </c>
      <c r="BE55" s="284" t="str">
        <f>IFERROR(VLOOKUP(T_Convention[[#This Row],[NumL]],T_TraitDi[#Data],COLUMN(T_TraitDi[Colonne29]),FALSE),"")</f>
        <v/>
      </c>
      <c r="BF55" s="284" t="e">
        <f>IF(VLOOKUP(T_Convention[[#This Row],[NumL]],T_TraitDi[#Data],COLUMN(T_TraitDi[Colonne30]),FALSE)=0,"",TEXT(IFERROR(VLOOKUP(T_Convention[[#This Row],[NumL]],T_TraitDi[#Data],COLUMN(T_TraitDi[Colonne30]),FALSE),""),"[hh]:mm"))</f>
        <v>#N/A</v>
      </c>
      <c r="BG55" s="284" t="e">
        <f>IF(VLOOKUP(T_Convention[[#This Row],[NumL]],T_TraitDi[#Data],COLUMN(T_TraitDi[Colonne31]),FALSE)=0,"",TEXT(IFERROR(VLOOKUP(T_Convention[[#This Row],[NumL]],T_TraitDi[#Data],COLUMN(T_TraitDi[Colonne31]),FALSE),""),"[hh]:mm"))</f>
        <v>#N/A</v>
      </c>
      <c r="BH55" s="284" t="e">
        <f>IF(VLOOKUP(T_Convention[[#This Row],[NumL]],T_TraitDi[#Data],COLUMN(T_TraitDi[Colonne32]),FALSE)=0,"",TEXT(IFERROR(VLOOKUP(T_Convention[[#This Row],[NumL]],T_TraitDi[#Data],COLUMN(T_TraitDi[Colonne32]),FALSE),""),"[hh]:mm"))</f>
        <v>#N/A</v>
      </c>
      <c r="BI55" s="284" t="str">
        <f>IFERROR(VLOOKUP(T_Convention[[#This Row],[NumL]],T_TraitDi[#Data],COLUMN(T_TraitDi[NbJTW]),FALSE),"")</f>
        <v/>
      </c>
      <c r="BJ55" s="284" t="e">
        <f>IF(VLOOKUP(T_Convention[[#This Row],[NumL]],T_TraitDi[#Data],COLUMN(T_TraitDi[NbhTW]),FALSE)=0,"",TEXT(IFERROR(VLOOKUP(T_Convention[[#This Row],[NumL]],T_TraitDi[#Data],COLUMN(T_TraitDi[NbhTW]),FALSE),""),"[hh]:mm"))</f>
        <v>#N/A</v>
      </c>
      <c r="BK55" s="286" t="e">
        <f>IF(VLOOKUP(T_Convention[[#This Row],[NumL]],T_TraitDi[#Data],COLUMN(T_TraitDi[Nbhheb]),FALSE)=0,"",TEXT(IFERROR(VLOOKUP(T_Convention[[#This Row],[NumL]],T_TraitDi[#Data],COLUMN(T_TraitDi[Nbhheb]),FALSE),""),"[hh]:mm"))</f>
        <v>#N/A</v>
      </c>
      <c r="BL55" s="287" t="str">
        <f>IFERROR(VLOOKUP(VLOOKUP(T_Convention[[#This Row],[NumL]],T_TraitDi[#Data],COLUMN(T_TraitDi[Type1]),FALSE),TypeTW,2,FALSE),"")</f>
        <v/>
      </c>
      <c r="BM55" s="288" t="str">
        <f>IFERROR(VLOOKUP(T_Convention[[#This Row],[NumL]],T_TraitDi[#Data],COLUMN(T_TraitDi[Rue1]),FALSE),"")</f>
        <v/>
      </c>
      <c r="BN55" s="289" t="str">
        <f>IFERROR(VLOOKUP(T_Convention[[#This Row],[NumL]],T_TraitDi[#Data],COLUMN(T_TraitDi[CP1]),FALSE),"")</f>
        <v/>
      </c>
      <c r="BO55" s="282" t="str">
        <f>IFERROR(VLOOKUP(T_Convention[[#This Row],[NumL]],T_TraitDi[#Data],COLUMN(T_TraitDi[VILLE1]),FALSE),"")</f>
        <v/>
      </c>
      <c r="BP55" s="290" t="str">
        <f>IFERROR(VLOOKUP(VLOOKUP(T_Convention[[#This Row],[NumL]],T_TraitDi[#Data],COLUMN(T_TraitDi[Type2]),FALSE),TypeTW,2,FALSE),"")</f>
        <v/>
      </c>
      <c r="BQ55" s="182" t="str">
        <f>IFERROR(VLOOKUP(T_Convention[[#This Row],[NumL]],T_TraitDi[#Data],COLUMN(T_TraitDi[Rue2]),FALSE),"")</f>
        <v/>
      </c>
      <c r="BR55" s="173" t="str">
        <f>IFERROR(VLOOKUP(T_Convention[[#This Row],[NumL]],T_TraitDi[#Data],COLUMN(T_TraitDi[CP2]),FALSE),"")</f>
        <v/>
      </c>
      <c r="BS55" s="173" t="str">
        <f>IFERROR(VLOOKUP(T_Convention[[#This Row],[NumL]],T_TraitDi[#Data],COLUMN(T_TraitDi[VILLE2]),FALSE),"")</f>
        <v/>
      </c>
      <c r="BT55" s="182" t="str">
        <f>IF(VLOOKUP(T_Convention[[#This Row],[NumL]],T_Equipement[#Data],COLUMN(T_Equipement[PC]),FALSE)="","Aucun équipement spécifique directement lié au télétravail",VLOOKUP(T_Convention[[#This Row],[NumL]],T_Equipement[#Data],COLUMN(T_Equipement[PC]),FALSE))</f>
        <v xml:space="preserve">20-299	</v>
      </c>
      <c r="BU55" s="166" t="str">
        <f>IFERROR(IF(VLOOKUP(T_Convention[[#This Row],[NumL]],T_TraitDi[#Data],COLUMN(T_TraitDi[Plan]),FALSE)="OK","Un planning spécifique de télétravail est annexé à la présente convention.",""),"")</f>
        <v/>
      </c>
      <c r="BV55" s="185"/>
      <c r="BW55" s="164" t="e">
        <f>IF(VLOOKUP(T_Convention[[#This Row],[NumL]],T_suiviDi[#Data],COLUMN(T_suiviDi[Entité]),FALSE)="","",VLOOKUP(T_Convention[[#This Row],[NumL]],T_suiviDi[#Data],COLUMN(T_suiviDi[Entité]),FALSE))</f>
        <v>#N/A</v>
      </c>
      <c r="BX55" s="164" t="str">
        <f>IF(VLOOKUP(T_Convention[[#This Row],[NumL]],T_Commission[#Data],COLUMN(T_Commission[envoi confirm TW]),FALSE)="","",VLOOKUP(T_Convention[[#This Row],[NumL]],T_Commission[#Data],COLUMN(T_Commission[envoi confirm TW]),FALSE))</f>
        <v>Oui</v>
      </c>
      <c r="BY5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5" s="264">
        <f>VLOOKUP(T_Convention[[#This Row],[NumL]],T_Commission[#Data],COLUMN(T_Commission[Commentaire]),FALSE)</f>
        <v>0</v>
      </c>
      <c r="CA55" s="254" t="str">
        <f>IF(VLOOKUP(T_Convention[[#This Row],[NumL]],T_Commission[#Data],COLUMN(T_Commission[Encadrant Email]),FALSE)="","",VLOOKUP(T_Convention[[#This Row],[NumL]],T_Commission[#Data],COLUMN(T_Commission[Encadrant Email]),FALSE))</f>
        <v/>
      </c>
      <c r="CB55" s="352" t="e">
        <f>VLOOKUP(T_Convention[[#This Row],[NumL]],T_TraitDi[#Data],COLUMN(T_TraitDi[NbJTot]),FALSE)</f>
        <v>#N/A</v>
      </c>
      <c r="CC55" s="352" t="e">
        <f>VLOOKUP(T_Convention[[#This Row],[NumL]],T_TraitDi[#Data],COLUMN(T_TraitDi[Reg Ponct]),FALSE)</f>
        <v>#N/A</v>
      </c>
      <c r="CD55" s="348" t="str">
        <f>IF(T_Convention[[#This Row],[Final]]&lt;&gt;"",VLOOKUP(T_Convention[[#This Row],[NumL]],T_suiviDi[#Data],COLUMN((T_suiviDi[Statut])),FALSE),"")</f>
        <v/>
      </c>
    </row>
    <row r="56" spans="1:82" s="106" customFormat="1" ht="18.75" customHeight="1" x14ac:dyDescent="0.25">
      <c r="A56" s="160">
        <v>331</v>
      </c>
      <c r="B56" s="281" t="str">
        <f>VLOOKUP(T_Convention[[#This Row],[NumL]],T_Commission[#Data],COLUMN(T_Commission[FINAL]),FALSE)</f>
        <v/>
      </c>
      <c r="C56" s="162"/>
      <c r="D56" s="95" t="e">
        <f>IF(VLOOKUP(T_Convention[[#This Row],[NumL]],T_TraitDi[#Data],COLUMN(T_TraitDi[WebC]),FALSE)="","",VLOOKUP(T_Convention[[#This Row],[NumL]],T_TraitDi[#Data],COLUMN(T_TraitDi[WebC]),FALSE))</f>
        <v>#N/A</v>
      </c>
      <c r="E56" s="163" t="str">
        <f t="shared" si="0"/>
        <v>12 janvier 2021</v>
      </c>
      <c r="F56" s="282" t="str">
        <f>IF(T_Convention[[#This Row],[Final]]&lt;&gt;"",VLOOKUP(T_Convention[[#This Row],[NumL]],T_suiviDi[#Data],COLUMN((T_suiviDi[Civ.])),FALSE),"")</f>
        <v/>
      </c>
      <c r="G56" s="283" t="str">
        <f>IF(T_Convention[[#This Row],[Final]]&lt;&gt;"",VLOOKUP(T_Convention[[#This Row],[NumL]],T_suiviDi[#Data],COLUMN((T_suiviDi[Nom])),FALSE),"")</f>
        <v/>
      </c>
      <c r="H56" s="282" t="str">
        <f>IF(T_Convention[[#This Row],[Final]]&lt;&gt;"",VLOOKUP(T_Convention[[#This Row],[NumL]],T_suiviDi[#Data],COLUMN((T_suiviDi[Prénom])),FALSE),"")</f>
        <v/>
      </c>
      <c r="I56" s="282" t="e">
        <f>VLOOKUP(T_Convention[[#This Row],[NumL]],T_suiviDi[#Data],COLUMN((T_suiviDi[[#This Row],[Email]])),FALSE)</f>
        <v>#VALUE!</v>
      </c>
      <c r="J56" s="282" t="e">
        <f>IF(VLOOKUP(T_Convention[[#This Row],[NumL]],T_suiviDi[#Data],COLUMN(T_suiviDi[[#This Row],[Fonction]]),FALSE)="","",VLOOKUP(T_Convention[[#This Row],[NumL]],T_suiviDi[#Data],COLUMN(T_suiviDi[[#This Row],[Fonction]]),FALSE))</f>
        <v>#VALUE!</v>
      </c>
      <c r="K56" s="282" t="e">
        <f>IF(VLOOKUP(T_Convention[[#This Row],[NumL]],T_suiviDi[#Data],COLUMN(T_suiviDi[[#This Row],[Grade]]),FALSE)="","",VLOOKUP(T_Convention[[#This Row],[NumL]],T_suiviDi[#Data],COLUMN(T_suiviDi[[#This Row],[Grade]]),FALSE))</f>
        <v>#VALUE!</v>
      </c>
      <c r="L56" s="282" t="e">
        <f>IF(VLOOKUP(T_Convention[[#This Row],[NumL]],T_suiviDi[#Data],COLUMN(T_suiviDi[[#This Row],[Service ]]),FALSE)="","",VLOOKUP(T_Convention[[#This Row],[NumL]],T_suiviDi[#Data],COLUMN(T_suiviDi[[#This Row],[Service ]]),FALSE))</f>
        <v>#VALUE!</v>
      </c>
      <c r="M56" s="314" t="str">
        <f t="shared" si="1"/>
        <v>01 septembre 2021</v>
      </c>
      <c r="N56" s="314" t="str">
        <f t="shared" si="2"/>
        <v>30 novembre 2021</v>
      </c>
      <c r="O56" s="284" t="str">
        <f t="shared" si="3"/>
        <v>30 novembre 2021</v>
      </c>
      <c r="P56" s="282" t="e">
        <f>IF(VLOOKUP(T_Convention[[#This Row],[NumL]],T_TraitDi[#Data],COLUMN(T_TraitDi[M1]),FALSE)="","",VLOOKUP(T_Convention[[#This Row],[NumL]],T_TraitDi[#Data],COLUMN(T_TraitDi[M1]),FALSE))</f>
        <v>#N/A</v>
      </c>
      <c r="Q56" s="282" t="e">
        <f>IF(VLOOKUP(T_Convention[[#This Row],[NumL]],T_TraitDi[#Data],COLUMN(T_TraitDi[M2]),FALSE)="","",VLOOKUP(T_Convention[[#This Row],[NumL]],T_TraitDi[#Data],COLUMN(T_TraitDi[M2]),FALSE))</f>
        <v>#N/A</v>
      </c>
      <c r="R56" s="282" t="e">
        <f>IF(VLOOKUP(T_Convention[[#This Row],[NumL]],T_TraitDi[#Data],COLUMN(T_TraitDi[M3]),FALSE)="","",VLOOKUP(T_Convention[[#This Row],[NumL]],T_TraitDi[#Data],COLUMN(T_TraitDi[M3]),FALSE))</f>
        <v>#N/A</v>
      </c>
      <c r="S56" s="282" t="e">
        <f>IF(VLOOKUP(T_Convention[[#This Row],[NumL]],T_TraitDi[#Data],COLUMN(T_TraitDi[M4]),FALSE)="","",VLOOKUP(T_Convention[[#This Row],[NumL]],T_TraitDi[#Data],COLUMN(T_TraitDi[M4]),FALSE))</f>
        <v>#N/A</v>
      </c>
      <c r="T56" s="282" t="e">
        <f>IF(VLOOKUP(T_Convention[[#This Row],[NumL]],T_TraitDi[#Data],COLUMN(T_TraitDi[M5]),FALSE)="","",VLOOKUP(T_Convention[[#This Row],[NumL]],T_TraitDi[#Data],COLUMN(T_TraitDi[M5]),FALSE))</f>
        <v>#N/A</v>
      </c>
      <c r="U56" s="282" t="e">
        <f>IF(VLOOKUP(T_Convention[[#This Row],[NumL]],T_TraitDi[#Data],COLUMN(T_TraitDi[M6]),FALSE)="","",VLOOKUP(T_Convention[[#This Row],[NumL]],T_TraitDi[#Data],COLUMN(T_TraitDi[M6]),FALSE))</f>
        <v>#N/A</v>
      </c>
      <c r="V56" s="314" t="e">
        <f t="shared" si="4"/>
        <v>#N/A</v>
      </c>
      <c r="W56" s="284" t="str">
        <f>IFERROR(TEXT(VLOOKUP(T_Convention[[#This Row],[NumL]],T_TraitDi[#Data],COLUMN(T_TraitDi[Q2]),FALSE),"###%"),"")</f>
        <v/>
      </c>
      <c r="X56" s="285" t="e">
        <f>VLOOKUP(T_Convention[[#This Row],[NumL]],T_TraitDi[#Data],COLUMN(T_TraitDi[Reg Ponct]),FALSE)</f>
        <v>#N/A</v>
      </c>
      <c r="Y56" s="285" t="e">
        <f>VLOOKUP(T_Convention[NumL],T_TraitDi[#Data],COLUMN(T_TraitDi[Jours flottants]),FALSE)</f>
        <v>#N/A</v>
      </c>
      <c r="Z56" s="284" t="str">
        <f>IFERROR(VLOOKUP(T_Convention[[#This Row],[NumL]],T_TraitDi[#Data],COLUMN(T_TraitDi[Lundi]),FALSE),"")</f>
        <v/>
      </c>
      <c r="AA56" s="284" t="e">
        <f>IF(VLOOKUP(T_Convention[[#This Row],[NumL]],T_TraitDi[#Data],COLUMN(T_TraitDi[Colonne3]),FALSE)=0,"",TEXT(IFERROR(VLOOKUP(T_Convention[[#This Row],[NumL]],T_TraitDi[#Data],COLUMN(T_TraitDi[Colonne3]),FALSE),""),"[hh]:mm"))</f>
        <v>#N/A</v>
      </c>
      <c r="AB56" s="284" t="e">
        <f>IF(VLOOKUP(T_Convention[[#This Row],[NumL]],T_TraitDi[#Data],COLUMN(T_TraitDi[Colonne4]),FALSE)=0,"",TEXT(IFERROR(VLOOKUP(T_Convention[[#This Row],[NumL]],T_TraitDi[#Data],COLUMN(T_TraitDi[Colonne4]),FALSE),""),"[hh]:mm"))</f>
        <v>#N/A</v>
      </c>
      <c r="AC56" s="284" t="e">
        <f>IF(VLOOKUP(T_Convention[[#This Row],[NumL]],T_TraitDi[#Data],COLUMN(T_TraitDi[Colonne5]),FALSE)=0,"",TEXT(IFERROR(VLOOKUP(T_Convention[[#This Row],[NumL]],T_TraitDi[#Data],COLUMN(T_TraitDi[Colonne5]),FALSE),""),"[hh]:mm"))</f>
        <v>#N/A</v>
      </c>
      <c r="AD56" s="284" t="e">
        <f>IF(VLOOKUP(T_Convention[[#This Row],[NumL]],T_TraitDi[#Data],COLUMN(T_TraitDi[Colonne6]),FALSE)=0,"",TEXT(IFERROR(VLOOKUP(T_Convention[[#This Row],[NumL]],T_TraitDi[#Data],COLUMN(T_TraitDi[Colonne6]),FALSE),""),"[hh]:mm"))</f>
        <v>#N/A</v>
      </c>
      <c r="AE56" s="284" t="e">
        <f>IF(VLOOKUP(T_Convention[[#This Row],[NumL]],T_TraitDi[#Data],COLUMN(T_TraitDi[Colonne7]),FALSE)=0,"",TEXT(IFERROR(VLOOKUP(T_Convention[[#This Row],[NumL]],T_TraitDi[#Data],COLUMN(T_TraitDi[Colonne7]),FALSE),""),"[hh]:mm"))</f>
        <v>#N/A</v>
      </c>
      <c r="AF56" s="284" t="e">
        <f>IF(VLOOKUP(T_Convention[[#This Row],[NumL]],T_TraitDi[#Data],COLUMN(T_TraitDi[Colonne8]),FALSE)=0,"",TEXT(IFERROR(VLOOKUP(T_Convention[[#This Row],[NumL]],T_TraitDi[#Data],COLUMN(T_TraitDi[Colonne8]),FALSE),""),"[hh]:mm"))</f>
        <v>#N/A</v>
      </c>
      <c r="AG56" s="284" t="str">
        <f>IFERROR(VLOOKUP(T_Convention[[#This Row],[NumL]],T_TraitDi[#Data],COLUMN(T_TraitDi[Mardi]),FALSE),"")</f>
        <v/>
      </c>
      <c r="AH56" s="284" t="e">
        <f>IF(VLOOKUP(T_Convention[[#This Row],[NumL]],T_TraitDi[#Data],COLUMN(T_TraitDi[Colonne1]),FALSE)=0,"",TEXT(IFERROR(VLOOKUP(T_Convention[[#This Row],[NumL]],T_TraitDi[#Data],COLUMN(T_TraitDi[Colonne1]),FALSE),""),"[hh]:mm"))</f>
        <v>#N/A</v>
      </c>
      <c r="AI56" s="284" t="e">
        <f>IF(VLOOKUP(T_Convention[[#This Row],[NumL]],T_TraitDi[#Data],COLUMN(T_TraitDi[Colonne9]),FALSE)=0,"",TEXT(IFERROR(VLOOKUP(T_Convention[[#This Row],[NumL]],T_TraitDi[#Data],COLUMN(T_TraitDi[Colonne9]),FALSE),""),"[hh]:mm"))</f>
        <v>#N/A</v>
      </c>
      <c r="AJ56" s="284" t="str">
        <f>IFERROR(VLOOKUP(T_Convention[[#This Row],[NumL]],T_TraitDi[#Data],COLUMN(T_TraitDi[Colonne10]),FALSE),"")</f>
        <v/>
      </c>
      <c r="AK56" s="284" t="e">
        <f>IF(VLOOKUP(T_Convention[[#This Row],[NumL]],T_TraitDi[#Data],COLUMN(T_TraitDi[Colonne11]),FALSE)=0,"",TEXT(IFERROR(VLOOKUP(T_Convention[[#This Row],[NumL]],T_TraitDi[#Data],COLUMN(T_TraitDi[Colonne11]),FALSE),""),"[hh]:mm"))</f>
        <v>#N/A</v>
      </c>
      <c r="AL56" s="284" t="e">
        <f>IF(VLOOKUP(T_Convention[[#This Row],[NumL]],T_TraitDi[#Data],COLUMN(T_TraitDi[Colonne12]),FALSE)=0,"",TEXT(IFERROR(VLOOKUP(T_Convention[[#This Row],[NumL]],T_TraitDi[#Data],COLUMN(T_TraitDi[Colonne12]),FALSE),""),"[hh]:mm"))</f>
        <v>#N/A</v>
      </c>
      <c r="AM56" s="284" t="e">
        <f>IF(VLOOKUP(T_Convention[[#This Row],[NumL]],T_TraitDi[#Data],COLUMN(T_TraitDi[Colonne14]),FALSE)=0,"",TEXT(IFERROR(VLOOKUP(T_Convention[[#This Row],[NumL]],T_TraitDi[#Data],COLUMN(T_TraitDi[Colonne14]),FALSE),""),"[hh]:mm"))</f>
        <v>#N/A</v>
      </c>
      <c r="AN56" s="284" t="str">
        <f>IFERROR(VLOOKUP(T_Convention[[#This Row],[NumL]],T_TraitDi[#Data],COLUMN(T_TraitDi[Mercredi]),FALSE),"")</f>
        <v/>
      </c>
      <c r="AO56" s="284" t="e">
        <f>IF(VLOOKUP(T_Convention[[#This Row],[NumL]],T_TraitDi[#Data],COLUMN(T_TraitDi[Colonne15]),FALSE)=0,"",TEXT(IFERROR(VLOOKUP(T_Convention[[#This Row],[NumL]],T_TraitDi[#Data],COLUMN(T_TraitDi[Colonne15]),FALSE),""),"[hh]:mm"))</f>
        <v>#N/A</v>
      </c>
      <c r="AP56" s="284" t="e">
        <f>IF(VLOOKUP(T_Convention[[#This Row],[NumL]],T_TraitDi[#Data],COLUMN(T_TraitDi[Colonne16]),FALSE)=0,"",TEXT(IFERROR(VLOOKUP(T_Convention[[#This Row],[NumL]],T_TraitDi[#Data],COLUMN(T_TraitDi[Colonne16]),FALSE),""),"[hh]:mm"))</f>
        <v>#N/A</v>
      </c>
      <c r="AQ56" s="284" t="str">
        <f>IFERROR(VLOOKUP(T_Convention[[#This Row],[NumL]],T_TraitDi[#Data],COLUMN(T_TraitDi[Colonne17]),FALSE),"")</f>
        <v/>
      </c>
      <c r="AR56" s="284" t="e">
        <f>IF(VLOOKUP(T_Convention[[#This Row],[NumL]],T_TraitDi[#Data],COLUMN(T_TraitDi[Colonne18]),FALSE)=0,"",TEXT(IFERROR(VLOOKUP(T_Convention[[#This Row],[NumL]],T_TraitDi[#Data],COLUMN(T_TraitDi[Colonne18]),FALSE),""),"[hh]:mm"))</f>
        <v>#N/A</v>
      </c>
      <c r="AS56" s="284" t="e">
        <f>IF(VLOOKUP(T_Convention[[#This Row],[NumL]],T_TraitDi[#Data],COLUMN(T_TraitDi[Colonne19]),FALSE)=0,"",TEXT(IFERROR(VLOOKUP(T_Convention[[#This Row],[NumL]],T_TraitDi[#Data],COLUMN(T_TraitDi[Colonne19]),FALSE),""),"[hh]:mm"))</f>
        <v>#N/A</v>
      </c>
      <c r="AT56" s="284" t="e">
        <f>IF(VLOOKUP(T_Convention[[#This Row],[NumL]],T_TraitDi[#Data],COLUMN(T_TraitDi[Colonne20]),FALSE)=0,"",TEXT(IFERROR(VLOOKUP(T_Convention[[#This Row],[NumL]],T_TraitDi[#Data],COLUMN(T_TraitDi[Colonne20]),FALSE),""),"[hh]:mm"))</f>
        <v>#N/A</v>
      </c>
      <c r="AU56" s="284" t="str">
        <f>IFERROR(VLOOKUP(T_Convention[[#This Row],[NumL]],T_TraitDi[#Data],COLUMN(T_TraitDi[Jeudi]),FALSE),"")</f>
        <v/>
      </c>
      <c r="AV56" s="284" t="e">
        <f>IF(VLOOKUP(T_Convention[[#This Row],[NumL]],T_TraitDi[#Data],COLUMN(T_TraitDi[Colonne21]),FALSE)=0,"",TEXT(IFERROR(VLOOKUP(T_Convention[[#This Row],[NumL]],T_TraitDi[#Data],COLUMN(T_TraitDi[Colonne21]),FALSE),""),"[hh]:mm"))</f>
        <v>#N/A</v>
      </c>
      <c r="AW56" s="284" t="e">
        <f>IF(VLOOKUP(T_Convention[[#This Row],[NumL]],T_TraitDi[#Data],COLUMN(T_TraitDi[Colonne22]),FALSE)=0,"",TEXT(IFERROR(VLOOKUP(T_Convention[[#This Row],[NumL]],T_TraitDi[#Data],COLUMN(T_TraitDi[Colonne22]),FALSE),""),"[hh]:mm"))</f>
        <v>#N/A</v>
      </c>
      <c r="AX56" s="284" t="str">
        <f>IFERROR(VLOOKUP(T_Convention[[#This Row],[NumL]],T_TraitDi[#Data],COLUMN(T_TraitDi[Colonne23]),FALSE),"")</f>
        <v/>
      </c>
      <c r="AY56" s="284" t="e">
        <f>IF(VLOOKUP(T_Convention[[#This Row],[NumL]],T_TraitDi[#Data],COLUMN(T_TraitDi[Colonne24]),FALSE)=0,"",TEXT(IFERROR(VLOOKUP(T_Convention[[#This Row],[NumL]],T_TraitDi[#Data],COLUMN(T_TraitDi[Colonne24]),FALSE),""),"[hh]:mm"))</f>
        <v>#N/A</v>
      </c>
      <c r="AZ56" s="284" t="e">
        <f>IF(VLOOKUP(T_Convention[[#This Row],[NumL]],T_TraitDi[#Data],COLUMN(T_TraitDi[Colonne25]),FALSE)=0,"",TEXT(IFERROR(VLOOKUP(T_Convention[[#This Row],[NumL]],T_TraitDi[#Data],COLUMN(T_TraitDi[Colonne25]),FALSE),""),"[hh]:mm"))</f>
        <v>#N/A</v>
      </c>
      <c r="BA56" s="284" t="e">
        <f>IF(VLOOKUP(T_Convention[[#This Row],[NumL]],T_TraitDi[#Data],COLUMN(T_TraitDi[Colonne26]),FALSE)=0,"",TEXT(IFERROR(VLOOKUP(T_Convention[[#This Row],[NumL]],T_TraitDi[#Data],COLUMN(T_TraitDi[Colonne26]),FALSE),""),"[hh]:mm"))</f>
        <v>#N/A</v>
      </c>
      <c r="BB56" s="284" t="str">
        <f>IFERROR(VLOOKUP(T_Convention[[#This Row],[NumL]],T_TraitDi[#Data],COLUMN(T_TraitDi[Vendredi]),FALSE),"")</f>
        <v/>
      </c>
      <c r="BC56" s="284" t="e">
        <f>IF(VLOOKUP(T_Convention[[#This Row],[NumL]],T_TraitDi[#Data],COLUMN(T_TraitDi[Colonne27]),FALSE)=0,"",TEXT(IFERROR(VLOOKUP(T_Convention[[#This Row],[NumL]],T_TraitDi[#Data],COLUMN(T_TraitDi[Colonne27]),FALSE),""),"[hh]:mm"))</f>
        <v>#N/A</v>
      </c>
      <c r="BD56" s="284" t="e">
        <f>IF(VLOOKUP(T_Convention[[#This Row],[NumL]],T_TraitDi[#Data],COLUMN(T_TraitDi[Colonne28]),FALSE)=0,"",TEXT(IFERROR(VLOOKUP(T_Convention[[#This Row],[NumL]],T_TraitDi[#Data],COLUMN(T_TraitDi[Colonne28]),FALSE),""),"[hh]:mm"))</f>
        <v>#N/A</v>
      </c>
      <c r="BE56" s="284" t="str">
        <f>IFERROR(VLOOKUP(T_Convention[[#This Row],[NumL]],T_TraitDi[#Data],COLUMN(T_TraitDi[Colonne29]),FALSE),"")</f>
        <v/>
      </c>
      <c r="BF56" s="284" t="e">
        <f>IF(VLOOKUP(T_Convention[[#This Row],[NumL]],T_TraitDi[#Data],COLUMN(T_TraitDi[Colonne30]),FALSE)=0,"",TEXT(IFERROR(VLOOKUP(T_Convention[[#This Row],[NumL]],T_TraitDi[#Data],COLUMN(T_TraitDi[Colonne30]),FALSE),""),"[hh]:mm"))</f>
        <v>#N/A</v>
      </c>
      <c r="BG56" s="284" t="e">
        <f>IF(VLOOKUP(T_Convention[[#This Row],[NumL]],T_TraitDi[#Data],COLUMN(T_TraitDi[Colonne31]),FALSE)=0,"",TEXT(IFERROR(VLOOKUP(T_Convention[[#This Row],[NumL]],T_TraitDi[#Data],COLUMN(T_TraitDi[Colonne31]),FALSE),""),"[hh]:mm"))</f>
        <v>#N/A</v>
      </c>
      <c r="BH56" s="284" t="e">
        <f>IF(VLOOKUP(T_Convention[[#This Row],[NumL]],T_TraitDi[#Data],COLUMN(T_TraitDi[Colonne32]),FALSE)=0,"",TEXT(IFERROR(VLOOKUP(T_Convention[[#This Row],[NumL]],T_TraitDi[#Data],COLUMN(T_TraitDi[Colonne32]),FALSE),""),"[hh]:mm"))</f>
        <v>#N/A</v>
      </c>
      <c r="BI56" s="284" t="str">
        <f>IFERROR(VLOOKUP(T_Convention[[#This Row],[NumL]],T_TraitDi[#Data],COLUMN(T_TraitDi[NbJTW]),FALSE),"")</f>
        <v/>
      </c>
      <c r="BJ56" s="284" t="e">
        <f>IF(VLOOKUP(T_Convention[[#This Row],[NumL]],T_TraitDi[#Data],COLUMN(T_TraitDi[NbhTW]),FALSE)=0,"",TEXT(IFERROR(VLOOKUP(T_Convention[[#This Row],[NumL]],T_TraitDi[#Data],COLUMN(T_TraitDi[NbhTW]),FALSE),""),"[hh]:mm"))</f>
        <v>#N/A</v>
      </c>
      <c r="BK56" s="315" t="e">
        <f>IF(VLOOKUP(T_Convention[[#This Row],[NumL]],T_TraitDi[#Data],COLUMN(T_TraitDi[Nbhheb]),FALSE)=0,"",TEXT(IFERROR(VLOOKUP(T_Convention[[#This Row],[NumL]],T_TraitDi[#Data],COLUMN(T_TraitDi[Nbhheb]),FALSE),""),"[hh]:mm"))</f>
        <v>#N/A</v>
      </c>
      <c r="BL56" s="287" t="str">
        <f>IFERROR(VLOOKUP(VLOOKUP(T_Convention[[#This Row],[NumL]],T_TraitDi[#Data],COLUMN(T_TraitDi[Type1]),FALSE),TypeTW,2,FALSE),"")</f>
        <v/>
      </c>
      <c r="BM56" s="288" t="str">
        <f>IFERROR(VLOOKUP(T_Convention[[#This Row],[NumL]],T_TraitDi[#Data],COLUMN(T_TraitDi[Rue1]),FALSE),"")</f>
        <v/>
      </c>
      <c r="BN56" s="289" t="str">
        <f>IFERROR(VLOOKUP(T_Convention[[#This Row],[NumL]],T_TraitDi[#Data],COLUMN(T_TraitDi[CP1]),FALSE),"")</f>
        <v/>
      </c>
      <c r="BO56" s="282" t="str">
        <f>IFERROR(VLOOKUP(T_Convention[[#This Row],[NumL]],T_TraitDi[#Data],COLUMN(T_TraitDi[VILLE1]),FALSE),"")</f>
        <v/>
      </c>
      <c r="BP56" s="290" t="str">
        <f>IFERROR(VLOOKUP(VLOOKUP(T_Convention[[#This Row],[NumL]],T_TraitDi[#Data],COLUMN(T_TraitDi[Type2]),FALSE),TypeTW,2,FALSE),"")</f>
        <v/>
      </c>
      <c r="BQ56" s="310" t="str">
        <f>IFERROR(VLOOKUP(T_Convention[[#This Row],[NumL]],T_TraitDi[#Data],COLUMN(T_TraitDi[Rue2]),FALSE),"")</f>
        <v/>
      </c>
      <c r="BR56" s="290" t="str">
        <f>IFERROR(VLOOKUP(T_Convention[[#This Row],[NumL]],T_TraitDi[#Data],COLUMN(T_TraitDi[CP2]),FALSE),"")</f>
        <v/>
      </c>
      <c r="BS56" s="290" t="str">
        <f>IFERROR(VLOOKUP(T_Convention[[#This Row],[NumL]],T_TraitDi[#Data],COLUMN(T_TraitDi[VILLE2]),FALSE),"")</f>
        <v/>
      </c>
      <c r="BT5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56" s="314" t="str">
        <f>IFERROR(IF(VLOOKUP(T_Convention[[#This Row],[NumL]],T_TraitDi[#Data],COLUMN(T_TraitDi[Plan]),FALSE)="OK","Un planning spécifique de télétravail est annexé à la présente convention.",""),"")</f>
        <v/>
      </c>
      <c r="BV56" s="291"/>
      <c r="BW56" s="292" t="e">
        <f>IF(VLOOKUP(T_Convention[[#This Row],[NumL]],T_suiviDi[#Data],COLUMN(T_suiviDi[Entité]),FALSE)="","",VLOOKUP(T_Convention[[#This Row],[NumL]],T_suiviDi[#Data],COLUMN(T_suiviDi[Entité]),FALSE))</f>
        <v>#N/A</v>
      </c>
      <c r="BX56" s="311" t="str">
        <f>IF(VLOOKUP(T_Convention[[#This Row],[NumL]],T_Commission[#Data],COLUMN(T_Commission[envoi confirm TW]),FALSE)="","",VLOOKUP(T_Convention[[#This Row],[NumL]],T_Commission[#Data],COLUMN(T_Commission[envoi confirm TW]),FALSE))</f>
        <v>Oui</v>
      </c>
      <c r="BY5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6" s="265">
        <f>VLOOKUP(T_Convention[[#This Row],[NumL]],T_Commission[#Data],COLUMN(T_Commission[Commentaire]),FALSE)</f>
        <v>0</v>
      </c>
      <c r="CA56" s="255" t="str">
        <f>IF(VLOOKUP(T_Convention[[#This Row],[NumL]],T_Commission[#Data],COLUMN(T_Commission[Encadrant Email]),FALSE)="","",VLOOKUP(T_Convention[[#This Row],[NumL]],T_Commission[#Data],COLUMN(T_Commission[Encadrant Email]),FALSE))</f>
        <v/>
      </c>
      <c r="CB56" s="352" t="e">
        <f>VLOOKUP(T_Convention[[#This Row],[NumL]],T_TraitDi[#Data],COLUMN(T_TraitDi[NbJTot]),FALSE)</f>
        <v>#N/A</v>
      </c>
      <c r="CC56" s="352" t="e">
        <f>VLOOKUP(T_Convention[[#This Row],[NumL]],T_TraitDi[#Data],COLUMN(T_TraitDi[Reg Ponct]),FALSE)</f>
        <v>#N/A</v>
      </c>
      <c r="CD56" s="348" t="str">
        <f>IF(T_Convention[[#This Row],[Final]]&lt;&gt;"",VLOOKUP(T_Convention[[#This Row],[NumL]],T_suiviDi[#Data],COLUMN((T_suiviDi[Statut])),FALSE),"")</f>
        <v/>
      </c>
    </row>
    <row r="57" spans="1:82" s="106" customFormat="1" ht="18.75" customHeight="1" x14ac:dyDescent="0.25">
      <c r="A57" s="160">
        <v>302</v>
      </c>
      <c r="B57" s="281" t="str">
        <f>VLOOKUP(T_Convention[[#This Row],[NumL]],T_Commission[#Data],COLUMN(T_Commission[FINAL]),FALSE)</f>
        <v/>
      </c>
      <c r="C57" s="162"/>
      <c r="D57" s="95" t="e">
        <f>IF(VLOOKUP(T_Convention[[#This Row],[NumL]],T_TraitDi[#Data],COLUMN(T_TraitDi[WebC]),FALSE)="","",VLOOKUP(T_Convention[[#This Row],[NumL]],T_TraitDi[#Data],COLUMN(T_TraitDi[WebC]),FALSE))</f>
        <v>#N/A</v>
      </c>
      <c r="E57" s="163" t="str">
        <f t="shared" si="0"/>
        <v>12 janvier 2021</v>
      </c>
      <c r="F57" s="282" t="str">
        <f>IF(T_Convention[[#This Row],[Final]]&lt;&gt;"",VLOOKUP(T_Convention[[#This Row],[NumL]],T_suiviDi[#Data],COLUMN((T_suiviDi[Civ.])),FALSE),"")</f>
        <v/>
      </c>
      <c r="G57" s="283" t="str">
        <f>IF(T_Convention[[#This Row],[Final]]&lt;&gt;"",VLOOKUP(T_Convention[[#This Row],[NumL]],T_suiviDi[#Data],COLUMN((T_suiviDi[Nom])),FALSE),"")</f>
        <v/>
      </c>
      <c r="H57" s="282" t="str">
        <f>IF(T_Convention[[#This Row],[Final]]&lt;&gt;"",VLOOKUP(T_Convention[[#This Row],[NumL]],T_suiviDi[#Data],COLUMN((T_suiviDi[Prénom])),FALSE),"")</f>
        <v/>
      </c>
      <c r="I57" s="282" t="e">
        <f>VLOOKUP(T_Convention[[#This Row],[NumL]],T_suiviDi[#Data],COLUMN((T_suiviDi[[#This Row],[Email]])),FALSE)</f>
        <v>#VALUE!</v>
      </c>
      <c r="J57" s="282" t="e">
        <f>IF(VLOOKUP(T_Convention[[#This Row],[NumL]],T_suiviDi[#Data],COLUMN(T_suiviDi[[#This Row],[Fonction]]),FALSE)="","",VLOOKUP(T_Convention[[#This Row],[NumL]],T_suiviDi[#Data],COLUMN(T_suiviDi[[#This Row],[Fonction]]),FALSE))</f>
        <v>#VALUE!</v>
      </c>
      <c r="K57" s="282" t="e">
        <f>IF(VLOOKUP(T_Convention[[#This Row],[NumL]],T_suiviDi[#Data],COLUMN(T_suiviDi[[#This Row],[Grade]]),FALSE)="","",VLOOKUP(T_Convention[[#This Row],[NumL]],T_suiviDi[#Data],COLUMN(T_suiviDi[[#This Row],[Grade]]),FALSE))</f>
        <v>#VALUE!</v>
      </c>
      <c r="L57" s="282" t="e">
        <f>IF(VLOOKUP(T_Convention[[#This Row],[NumL]],T_suiviDi[#Data],COLUMN(T_suiviDi[[#This Row],[Service ]]),FALSE)="","",VLOOKUP(T_Convention[[#This Row],[NumL]],T_suiviDi[#Data],COLUMN(T_suiviDi[[#This Row],[Service ]]),FALSE))</f>
        <v>#VALUE!</v>
      </c>
      <c r="M57" s="314" t="str">
        <f t="shared" si="1"/>
        <v>01 septembre 2021</v>
      </c>
      <c r="N57" s="314" t="str">
        <f t="shared" si="2"/>
        <v>30 novembre 2021</v>
      </c>
      <c r="O57" s="284" t="str">
        <f t="shared" si="3"/>
        <v>30 novembre 2021</v>
      </c>
      <c r="P57" s="282" t="e">
        <f>IF(VLOOKUP(T_Convention[[#This Row],[NumL]],T_TraitDi[#Data],COLUMN(T_TraitDi[M1]),FALSE)="","",VLOOKUP(T_Convention[[#This Row],[NumL]],T_TraitDi[#Data],COLUMN(T_TraitDi[M1]),FALSE))</f>
        <v>#N/A</v>
      </c>
      <c r="Q57" s="282" t="e">
        <f>IF(VLOOKUP(T_Convention[[#This Row],[NumL]],T_TraitDi[#Data],COLUMN(T_TraitDi[M2]),FALSE)="","",VLOOKUP(T_Convention[[#This Row],[NumL]],T_TraitDi[#Data],COLUMN(T_TraitDi[M2]),FALSE))</f>
        <v>#N/A</v>
      </c>
      <c r="R57" s="282" t="e">
        <f>IF(VLOOKUP(T_Convention[[#This Row],[NumL]],T_TraitDi[#Data],COLUMN(T_TraitDi[M3]),FALSE)="","",VLOOKUP(T_Convention[[#This Row],[NumL]],T_TraitDi[#Data],COLUMN(T_TraitDi[M3]),FALSE))</f>
        <v>#N/A</v>
      </c>
      <c r="S57" s="282" t="e">
        <f>IF(VLOOKUP(T_Convention[[#This Row],[NumL]],T_TraitDi[#Data],COLUMN(T_TraitDi[M4]),FALSE)="","",VLOOKUP(T_Convention[[#This Row],[NumL]],T_TraitDi[#Data],COLUMN(T_TraitDi[M4]),FALSE))</f>
        <v>#N/A</v>
      </c>
      <c r="T57" s="282" t="e">
        <f>IF(VLOOKUP(T_Convention[[#This Row],[NumL]],T_TraitDi[#Data],COLUMN(T_TraitDi[M5]),FALSE)="","",VLOOKUP(T_Convention[[#This Row],[NumL]],T_TraitDi[#Data],COLUMN(T_TraitDi[M5]),FALSE))</f>
        <v>#N/A</v>
      </c>
      <c r="U57" s="282" t="e">
        <f>IF(VLOOKUP(T_Convention[[#This Row],[NumL]],T_TraitDi[#Data],COLUMN(T_TraitDi[M6]),FALSE)="","",VLOOKUP(T_Convention[[#This Row],[NumL]],T_TraitDi[#Data],COLUMN(T_TraitDi[M6]),FALSE))</f>
        <v>#N/A</v>
      </c>
      <c r="V57" s="314" t="e">
        <f t="shared" si="4"/>
        <v>#N/A</v>
      </c>
      <c r="W57" s="284" t="str">
        <f>IFERROR(TEXT(VLOOKUP(T_Convention[[#This Row],[NumL]],T_TraitDi[#Data],COLUMN(T_TraitDi[Q2]),FALSE),"###%"),"")</f>
        <v/>
      </c>
      <c r="X57" s="285" t="e">
        <f>VLOOKUP(T_Convention[[#This Row],[NumL]],T_TraitDi[#Data],COLUMN(T_TraitDi[Reg Ponct]),FALSE)</f>
        <v>#N/A</v>
      </c>
      <c r="Y57" s="285" t="e">
        <f>VLOOKUP(T_Convention[NumL],T_TraitDi[#Data],COLUMN(T_TraitDi[Jours flottants]),FALSE)</f>
        <v>#N/A</v>
      </c>
      <c r="Z57" s="284" t="str">
        <f>IFERROR(VLOOKUP(T_Convention[[#This Row],[NumL]],T_TraitDi[#Data],COLUMN(T_TraitDi[Lundi]),FALSE),"")</f>
        <v/>
      </c>
      <c r="AA57" s="284" t="e">
        <f>IF(VLOOKUP(T_Convention[[#This Row],[NumL]],T_TraitDi[#Data],COLUMN(T_TraitDi[Colonne3]),FALSE)=0,"",TEXT(IFERROR(VLOOKUP(T_Convention[[#This Row],[NumL]],T_TraitDi[#Data],COLUMN(T_TraitDi[Colonne3]),FALSE),""),"[hh]:mm"))</f>
        <v>#N/A</v>
      </c>
      <c r="AB57" s="284" t="e">
        <f>IF(VLOOKUP(T_Convention[[#This Row],[NumL]],T_TraitDi[#Data],COLUMN(T_TraitDi[Colonne4]),FALSE)=0,"",TEXT(IFERROR(VLOOKUP(T_Convention[[#This Row],[NumL]],T_TraitDi[#Data],COLUMN(T_TraitDi[Colonne4]),FALSE),""),"[hh]:mm"))</f>
        <v>#N/A</v>
      </c>
      <c r="AC57" s="284" t="e">
        <f>IF(VLOOKUP(T_Convention[[#This Row],[NumL]],T_TraitDi[#Data],COLUMN(T_TraitDi[Colonne5]),FALSE)=0,"",TEXT(IFERROR(VLOOKUP(T_Convention[[#This Row],[NumL]],T_TraitDi[#Data],COLUMN(T_TraitDi[Colonne5]),FALSE),""),"[hh]:mm"))</f>
        <v>#N/A</v>
      </c>
      <c r="AD57" s="284" t="e">
        <f>IF(VLOOKUP(T_Convention[[#This Row],[NumL]],T_TraitDi[#Data],COLUMN(T_TraitDi[Colonne6]),FALSE)=0,"",TEXT(IFERROR(VLOOKUP(T_Convention[[#This Row],[NumL]],T_TraitDi[#Data],COLUMN(T_TraitDi[Colonne6]),FALSE),""),"[hh]:mm"))</f>
        <v>#N/A</v>
      </c>
      <c r="AE57" s="284" t="e">
        <f>IF(VLOOKUP(T_Convention[[#This Row],[NumL]],T_TraitDi[#Data],COLUMN(T_TraitDi[Colonne7]),FALSE)=0,"",TEXT(IFERROR(VLOOKUP(T_Convention[[#This Row],[NumL]],T_TraitDi[#Data],COLUMN(T_TraitDi[Colonne7]),FALSE),""),"[hh]:mm"))</f>
        <v>#N/A</v>
      </c>
      <c r="AF57" s="284" t="e">
        <f>IF(VLOOKUP(T_Convention[[#This Row],[NumL]],T_TraitDi[#Data],COLUMN(T_TraitDi[Colonne8]),FALSE)=0,"",TEXT(IFERROR(VLOOKUP(T_Convention[[#This Row],[NumL]],T_TraitDi[#Data],COLUMN(T_TraitDi[Colonne8]),FALSE),""),"[hh]:mm"))</f>
        <v>#N/A</v>
      </c>
      <c r="AG57" s="284" t="str">
        <f>IFERROR(VLOOKUP(T_Convention[[#This Row],[NumL]],T_TraitDi[#Data],COLUMN(T_TraitDi[Mardi]),FALSE),"")</f>
        <v/>
      </c>
      <c r="AH57" s="284" t="e">
        <f>IF(VLOOKUP(T_Convention[[#This Row],[NumL]],T_TraitDi[#Data],COLUMN(T_TraitDi[Colonne1]),FALSE)=0,"",TEXT(IFERROR(VLOOKUP(T_Convention[[#This Row],[NumL]],T_TraitDi[#Data],COLUMN(T_TraitDi[Colonne1]),FALSE),""),"[hh]:mm"))</f>
        <v>#N/A</v>
      </c>
      <c r="AI57" s="284" t="e">
        <f>IF(VLOOKUP(T_Convention[[#This Row],[NumL]],T_TraitDi[#Data],COLUMN(T_TraitDi[Colonne9]),FALSE)=0,"",TEXT(IFERROR(VLOOKUP(T_Convention[[#This Row],[NumL]],T_TraitDi[#Data],COLUMN(T_TraitDi[Colonne9]),FALSE),""),"[hh]:mm"))</f>
        <v>#N/A</v>
      </c>
      <c r="AJ57" s="284" t="str">
        <f>IFERROR(VLOOKUP(T_Convention[[#This Row],[NumL]],T_TraitDi[#Data],COLUMN(T_TraitDi[Colonne10]),FALSE),"")</f>
        <v/>
      </c>
      <c r="AK57" s="284" t="e">
        <f>IF(VLOOKUP(T_Convention[[#This Row],[NumL]],T_TraitDi[#Data],COLUMN(T_TraitDi[Colonne11]),FALSE)=0,"",TEXT(IFERROR(VLOOKUP(T_Convention[[#This Row],[NumL]],T_TraitDi[#Data],COLUMN(T_TraitDi[Colonne11]),FALSE),""),"[hh]:mm"))</f>
        <v>#N/A</v>
      </c>
      <c r="AL57" s="284" t="e">
        <f>IF(VLOOKUP(T_Convention[[#This Row],[NumL]],T_TraitDi[#Data],COLUMN(T_TraitDi[Colonne12]),FALSE)=0,"",TEXT(IFERROR(VLOOKUP(T_Convention[[#This Row],[NumL]],T_TraitDi[#Data],COLUMN(T_TraitDi[Colonne12]),FALSE),""),"[hh]:mm"))</f>
        <v>#N/A</v>
      </c>
      <c r="AM57" s="284" t="e">
        <f>IF(VLOOKUP(T_Convention[[#This Row],[NumL]],T_TraitDi[#Data],COLUMN(T_TraitDi[Colonne14]),FALSE)=0,"",TEXT(IFERROR(VLOOKUP(T_Convention[[#This Row],[NumL]],T_TraitDi[#Data],COLUMN(T_TraitDi[Colonne14]),FALSE),""),"[hh]:mm"))</f>
        <v>#N/A</v>
      </c>
      <c r="AN57" s="284" t="str">
        <f>IFERROR(VLOOKUP(T_Convention[[#This Row],[NumL]],T_TraitDi[#Data],COLUMN(T_TraitDi[Mercredi]),FALSE),"")</f>
        <v/>
      </c>
      <c r="AO57" s="284" t="e">
        <f>IF(VLOOKUP(T_Convention[[#This Row],[NumL]],T_TraitDi[#Data],COLUMN(T_TraitDi[Colonne15]),FALSE)=0,"",TEXT(IFERROR(VLOOKUP(T_Convention[[#This Row],[NumL]],T_TraitDi[#Data],COLUMN(T_TraitDi[Colonne15]),FALSE),""),"[hh]:mm"))</f>
        <v>#N/A</v>
      </c>
      <c r="AP57" s="284" t="e">
        <f>IF(VLOOKUP(T_Convention[[#This Row],[NumL]],T_TraitDi[#Data],COLUMN(T_TraitDi[Colonne16]),FALSE)=0,"",TEXT(IFERROR(VLOOKUP(T_Convention[[#This Row],[NumL]],T_TraitDi[#Data],COLUMN(T_TraitDi[Colonne16]),FALSE),""),"[hh]:mm"))</f>
        <v>#N/A</v>
      </c>
      <c r="AQ57" s="284" t="str">
        <f>IFERROR(VLOOKUP(T_Convention[[#This Row],[NumL]],T_TraitDi[#Data],COLUMN(T_TraitDi[Colonne17]),FALSE),"")</f>
        <v/>
      </c>
      <c r="AR57" s="284" t="e">
        <f>IF(VLOOKUP(T_Convention[[#This Row],[NumL]],T_TraitDi[#Data],COLUMN(T_TraitDi[Colonne18]),FALSE)=0,"",TEXT(IFERROR(VLOOKUP(T_Convention[[#This Row],[NumL]],T_TraitDi[#Data],COLUMN(T_TraitDi[Colonne18]),FALSE),""),"[hh]:mm"))</f>
        <v>#N/A</v>
      </c>
      <c r="AS57" s="284" t="e">
        <f>IF(VLOOKUP(T_Convention[[#This Row],[NumL]],T_TraitDi[#Data],COLUMN(T_TraitDi[Colonne19]),FALSE)=0,"",TEXT(IFERROR(VLOOKUP(T_Convention[[#This Row],[NumL]],T_TraitDi[#Data],COLUMN(T_TraitDi[Colonne19]),FALSE),""),"[hh]:mm"))</f>
        <v>#N/A</v>
      </c>
      <c r="AT57" s="284" t="e">
        <f>IF(VLOOKUP(T_Convention[[#This Row],[NumL]],T_TraitDi[#Data],COLUMN(T_TraitDi[Colonne20]),FALSE)=0,"",TEXT(IFERROR(VLOOKUP(T_Convention[[#This Row],[NumL]],T_TraitDi[#Data],COLUMN(T_TraitDi[Colonne20]),FALSE),""),"[hh]:mm"))</f>
        <v>#N/A</v>
      </c>
      <c r="AU57" s="284" t="str">
        <f>IFERROR(VLOOKUP(T_Convention[[#This Row],[NumL]],T_TraitDi[#Data],COLUMN(T_TraitDi[Jeudi]),FALSE),"")</f>
        <v/>
      </c>
      <c r="AV57" s="284" t="e">
        <f>IF(VLOOKUP(T_Convention[[#This Row],[NumL]],T_TraitDi[#Data],COLUMN(T_TraitDi[Colonne21]),FALSE)=0,"",TEXT(IFERROR(VLOOKUP(T_Convention[[#This Row],[NumL]],T_TraitDi[#Data],COLUMN(T_TraitDi[Colonne21]),FALSE),""),"[hh]:mm"))</f>
        <v>#N/A</v>
      </c>
      <c r="AW57" s="284" t="e">
        <f>IF(VLOOKUP(T_Convention[[#This Row],[NumL]],T_TraitDi[#Data],COLUMN(T_TraitDi[Colonne22]),FALSE)=0,"",TEXT(IFERROR(VLOOKUP(T_Convention[[#This Row],[NumL]],T_TraitDi[#Data],COLUMN(T_TraitDi[Colonne22]),FALSE),""),"[hh]:mm"))</f>
        <v>#N/A</v>
      </c>
      <c r="AX57" s="284" t="str">
        <f>IFERROR(VLOOKUP(T_Convention[[#This Row],[NumL]],T_TraitDi[#Data],COLUMN(T_TraitDi[Colonne23]),FALSE),"")</f>
        <v/>
      </c>
      <c r="AY57" s="284" t="e">
        <f>IF(VLOOKUP(T_Convention[[#This Row],[NumL]],T_TraitDi[#Data],COLUMN(T_TraitDi[Colonne24]),FALSE)=0,"",TEXT(IFERROR(VLOOKUP(T_Convention[[#This Row],[NumL]],T_TraitDi[#Data],COLUMN(T_TraitDi[Colonne24]),FALSE),""),"[hh]:mm"))</f>
        <v>#N/A</v>
      </c>
      <c r="AZ57" s="284" t="e">
        <f>IF(VLOOKUP(T_Convention[[#This Row],[NumL]],T_TraitDi[#Data],COLUMN(T_TraitDi[Colonne25]),FALSE)=0,"",TEXT(IFERROR(VLOOKUP(T_Convention[[#This Row],[NumL]],T_TraitDi[#Data],COLUMN(T_TraitDi[Colonne25]),FALSE),""),"[hh]:mm"))</f>
        <v>#N/A</v>
      </c>
      <c r="BA57" s="284" t="e">
        <f>IF(VLOOKUP(T_Convention[[#This Row],[NumL]],T_TraitDi[#Data],COLUMN(T_TraitDi[Colonne26]),FALSE)=0,"",TEXT(IFERROR(VLOOKUP(T_Convention[[#This Row],[NumL]],T_TraitDi[#Data],COLUMN(T_TraitDi[Colonne26]),FALSE),""),"[hh]:mm"))</f>
        <v>#N/A</v>
      </c>
      <c r="BB57" s="284" t="str">
        <f>IFERROR(VLOOKUP(T_Convention[[#This Row],[NumL]],T_TraitDi[#Data],COLUMN(T_TraitDi[Vendredi]),FALSE),"")</f>
        <v/>
      </c>
      <c r="BC57" s="284" t="e">
        <f>IF(VLOOKUP(T_Convention[[#This Row],[NumL]],T_TraitDi[#Data],COLUMN(T_TraitDi[Colonne27]),FALSE)=0,"",TEXT(IFERROR(VLOOKUP(T_Convention[[#This Row],[NumL]],T_TraitDi[#Data],COLUMN(T_TraitDi[Colonne27]),FALSE),""),"[hh]:mm"))</f>
        <v>#N/A</v>
      </c>
      <c r="BD57" s="284" t="e">
        <f>IF(VLOOKUP(T_Convention[[#This Row],[NumL]],T_TraitDi[#Data],COLUMN(T_TraitDi[Colonne28]),FALSE)=0,"",TEXT(IFERROR(VLOOKUP(T_Convention[[#This Row],[NumL]],T_TraitDi[#Data],COLUMN(T_TraitDi[Colonne28]),FALSE),""),"[hh]:mm"))</f>
        <v>#N/A</v>
      </c>
      <c r="BE57" s="284" t="str">
        <f>IFERROR(VLOOKUP(T_Convention[[#This Row],[NumL]],T_TraitDi[#Data],COLUMN(T_TraitDi[Colonne29]),FALSE),"")</f>
        <v/>
      </c>
      <c r="BF57" s="284" t="e">
        <f>IF(VLOOKUP(T_Convention[[#This Row],[NumL]],T_TraitDi[#Data],COLUMN(T_TraitDi[Colonne30]),FALSE)=0,"",TEXT(IFERROR(VLOOKUP(T_Convention[[#This Row],[NumL]],T_TraitDi[#Data],COLUMN(T_TraitDi[Colonne30]),FALSE),""),"[hh]:mm"))</f>
        <v>#N/A</v>
      </c>
      <c r="BG57" s="284" t="e">
        <f>IF(VLOOKUP(T_Convention[[#This Row],[NumL]],T_TraitDi[#Data],COLUMN(T_TraitDi[Colonne31]),FALSE)=0,"",TEXT(IFERROR(VLOOKUP(T_Convention[[#This Row],[NumL]],T_TraitDi[#Data],COLUMN(T_TraitDi[Colonne31]),FALSE),""),"[hh]:mm"))</f>
        <v>#N/A</v>
      </c>
      <c r="BH57" s="284" t="e">
        <f>IF(VLOOKUP(T_Convention[[#This Row],[NumL]],T_TraitDi[#Data],COLUMN(T_TraitDi[Colonne32]),FALSE)=0,"",TEXT(IFERROR(VLOOKUP(T_Convention[[#This Row],[NumL]],T_TraitDi[#Data],COLUMN(T_TraitDi[Colonne32]),FALSE),""),"[hh]:mm"))</f>
        <v>#N/A</v>
      </c>
      <c r="BI57" s="284" t="str">
        <f>IFERROR(VLOOKUP(T_Convention[[#This Row],[NumL]],T_TraitDi[#Data],COLUMN(T_TraitDi[NbJTW]),FALSE),"")</f>
        <v/>
      </c>
      <c r="BJ57" s="284" t="e">
        <f>IF(VLOOKUP(T_Convention[[#This Row],[NumL]],T_TraitDi[#Data],COLUMN(T_TraitDi[NbhTW]),FALSE)=0,"",TEXT(IFERROR(VLOOKUP(T_Convention[[#This Row],[NumL]],T_TraitDi[#Data],COLUMN(T_TraitDi[NbhTW]),FALSE),""),"[hh]:mm"))</f>
        <v>#N/A</v>
      </c>
      <c r="BK57" s="315" t="e">
        <f>IF(VLOOKUP(T_Convention[[#This Row],[NumL]],T_TraitDi[#Data],COLUMN(T_TraitDi[Nbhheb]),FALSE)=0,"",TEXT(IFERROR(VLOOKUP(T_Convention[[#This Row],[NumL]],T_TraitDi[#Data],COLUMN(T_TraitDi[Nbhheb]),FALSE),""),"[hh]:mm"))</f>
        <v>#N/A</v>
      </c>
      <c r="BL57" s="287" t="str">
        <f>IFERROR(VLOOKUP(VLOOKUP(T_Convention[[#This Row],[NumL]],T_TraitDi[#Data],COLUMN(T_TraitDi[Type1]),FALSE),TypeTW,2,FALSE),"")</f>
        <v/>
      </c>
      <c r="BM57" s="288" t="str">
        <f>IFERROR(VLOOKUP(T_Convention[[#This Row],[NumL]],T_TraitDi[#Data],COLUMN(T_TraitDi[Rue1]),FALSE),"")</f>
        <v/>
      </c>
      <c r="BN57" s="289" t="str">
        <f>IFERROR(VLOOKUP(T_Convention[[#This Row],[NumL]],T_TraitDi[#Data],COLUMN(T_TraitDi[CP1]),FALSE),"")</f>
        <v/>
      </c>
      <c r="BO57" s="282" t="str">
        <f>IFERROR(VLOOKUP(T_Convention[[#This Row],[NumL]],T_TraitDi[#Data],COLUMN(T_TraitDi[VILLE1]),FALSE),"")</f>
        <v/>
      </c>
      <c r="BP57" s="290" t="str">
        <f>IFERROR(VLOOKUP(VLOOKUP(T_Convention[[#This Row],[NumL]],T_TraitDi[#Data],COLUMN(T_TraitDi[Type2]),FALSE),TypeTW,2,FALSE),"")</f>
        <v/>
      </c>
      <c r="BQ57" s="310" t="str">
        <f>IFERROR(VLOOKUP(T_Convention[[#This Row],[NumL]],T_TraitDi[#Data],COLUMN(T_TraitDi[Rue2]),FALSE),"")</f>
        <v/>
      </c>
      <c r="BR57" s="290" t="str">
        <f>IFERROR(VLOOKUP(T_Convention[[#This Row],[NumL]],T_TraitDi[#Data],COLUMN(T_TraitDi[CP2]),FALSE),"")</f>
        <v/>
      </c>
      <c r="BS57" s="290" t="str">
        <f>IFERROR(VLOOKUP(T_Convention[[#This Row],[NumL]],T_TraitDi[#Data],COLUMN(T_TraitDi[VILLE2]),FALSE),"")</f>
        <v/>
      </c>
      <c r="BT5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57" s="314" t="str">
        <f>IFERROR(IF(VLOOKUP(T_Convention[[#This Row],[NumL]],T_TraitDi[#Data],COLUMN(T_TraitDi[Plan]),FALSE)="OK","Un planning spécifique de télétravail est annexé à la présente convention.",""),"")</f>
        <v/>
      </c>
      <c r="BV57" s="291"/>
      <c r="BW57" s="292" t="e">
        <f>IF(VLOOKUP(T_Convention[[#This Row],[NumL]],T_suiviDi[#Data],COLUMN(T_suiviDi[Entité]),FALSE)="","",VLOOKUP(T_Convention[[#This Row],[NumL]],T_suiviDi[#Data],COLUMN(T_suiviDi[Entité]),FALSE))</f>
        <v>#N/A</v>
      </c>
      <c r="BX57" s="311" t="str">
        <f>IF(VLOOKUP(T_Convention[[#This Row],[NumL]],T_Commission[#Data],COLUMN(T_Commission[envoi confirm TW]),FALSE)="","",VLOOKUP(T_Convention[[#This Row],[NumL]],T_Commission[#Data],COLUMN(T_Commission[envoi confirm TW]),FALSE))</f>
        <v>Non</v>
      </c>
      <c r="BY5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7" s="265" t="str">
        <f>VLOOKUP(T_Convention[[#This Row],[NumL]],T_Commission[#Data],COLUMN(T_Commission[Commentaire]),FALSE)</f>
        <v>L'agent occupe son poste actuel depuis moins d'un an et n'a pu explorer ses fonctions dans un fonctionnement normal de l'université.</v>
      </c>
      <c r="CA57" s="255" t="str">
        <f>IF(VLOOKUP(T_Convention[[#This Row],[NumL]],T_Commission[#Data],COLUMN(T_Commission[Encadrant Email]),FALSE)="","",VLOOKUP(T_Convention[[#This Row],[NumL]],T_Commission[#Data],COLUMN(T_Commission[Encadrant Email]),FALSE))</f>
        <v/>
      </c>
      <c r="CB57" s="352" t="e">
        <f>VLOOKUP(T_Convention[[#This Row],[NumL]],T_TraitDi[#Data],COLUMN(T_TraitDi[NbJTot]),FALSE)</f>
        <v>#N/A</v>
      </c>
      <c r="CC57" s="352" t="e">
        <f>VLOOKUP(T_Convention[[#This Row],[NumL]],T_TraitDi[#Data],COLUMN(T_TraitDi[Reg Ponct]),FALSE)</f>
        <v>#N/A</v>
      </c>
      <c r="CD57" s="348" t="str">
        <f>IF(T_Convention[[#This Row],[Final]]&lt;&gt;"",VLOOKUP(T_Convention[[#This Row],[NumL]],T_suiviDi[#Data],COLUMN((T_suiviDi[Statut])),FALSE),"")</f>
        <v/>
      </c>
    </row>
    <row r="58" spans="1:82" s="106" customFormat="1" ht="18.75" customHeight="1" x14ac:dyDescent="0.25">
      <c r="A58" s="160">
        <v>194</v>
      </c>
      <c r="B58" s="161" t="str">
        <f>VLOOKUP(T_Convention[[#This Row],[NumL]],T_Commission[#Data],COLUMN(T_Commission[FINAL]),FALSE)</f>
        <v/>
      </c>
      <c r="C58" s="162"/>
      <c r="D58" s="95" t="e">
        <f>IF(VLOOKUP(T_Convention[[#This Row],[NumL]],T_TraitDi[#Data],COLUMN(T_TraitDi[WebC]),FALSE)="","",VLOOKUP(T_Convention[[#This Row],[NumL]],T_TraitDi[#Data],COLUMN(T_TraitDi[WebC]),FALSE))</f>
        <v>#N/A</v>
      </c>
      <c r="E58" s="163" t="str">
        <f t="shared" si="0"/>
        <v>12 janvier 2021</v>
      </c>
      <c r="F58" s="282" t="str">
        <f>IF(T_Convention[[#This Row],[Final]]&lt;&gt;"",VLOOKUP(T_Convention[[#This Row],[NumL]],T_suiviDi[#Data],COLUMN((T_suiviDi[Civ.])),FALSE),"")</f>
        <v/>
      </c>
      <c r="G58" s="283" t="str">
        <f>IF(T_Convention[[#This Row],[Final]]&lt;&gt;"",VLOOKUP(T_Convention[[#This Row],[NumL]],T_suiviDi[#Data],COLUMN((T_suiviDi[Nom])),FALSE),"")</f>
        <v/>
      </c>
      <c r="H58" s="282" t="str">
        <f>IF(T_Convention[[#This Row],[Final]]&lt;&gt;"",VLOOKUP(T_Convention[[#This Row],[NumL]],T_suiviDi[#Data],COLUMN((T_suiviDi[Prénom])),FALSE),"")</f>
        <v/>
      </c>
      <c r="I58" s="282" t="e">
        <f>VLOOKUP(T_Convention[[#This Row],[NumL]],T_suiviDi[#Data],COLUMN((T_suiviDi[[#This Row],[Email]])),FALSE)</f>
        <v>#VALUE!</v>
      </c>
      <c r="J58" s="282" t="e">
        <f>IF(VLOOKUP(T_Convention[[#This Row],[NumL]],T_suiviDi[#Data],COLUMN(T_suiviDi[[#This Row],[Fonction]]),FALSE)="","",VLOOKUP(T_Convention[[#This Row],[NumL]],T_suiviDi[#Data],COLUMN(T_suiviDi[[#This Row],[Fonction]]),FALSE))</f>
        <v>#VALUE!</v>
      </c>
      <c r="K58" s="282" t="e">
        <f>IF(VLOOKUP(T_Convention[[#This Row],[NumL]],T_suiviDi[#Data],COLUMN(T_suiviDi[[#This Row],[Grade]]),FALSE)="","",VLOOKUP(T_Convention[[#This Row],[NumL]],T_suiviDi[#Data],COLUMN(T_suiviDi[[#This Row],[Grade]]),FALSE))</f>
        <v>#VALUE!</v>
      </c>
      <c r="L58" s="282" t="e">
        <f>IF(VLOOKUP(T_Convention[[#This Row],[NumL]],T_suiviDi[#Data],COLUMN(T_suiviDi[[#This Row],[Service ]]),FALSE)="","",VLOOKUP(T_Convention[[#This Row],[NumL]],T_suiviDi[#Data],COLUMN(T_suiviDi[[#This Row],[Service ]]),FALSE))</f>
        <v>#VALUE!</v>
      </c>
      <c r="M58" s="164" t="str">
        <f t="shared" si="1"/>
        <v>01 septembre 2021</v>
      </c>
      <c r="N58" s="164" t="str">
        <f t="shared" si="2"/>
        <v>30 novembre 2021</v>
      </c>
      <c r="O58" s="284" t="str">
        <f t="shared" si="3"/>
        <v>30 novembre 2021</v>
      </c>
      <c r="P58" s="282" t="e">
        <f>IF(VLOOKUP(T_Convention[[#This Row],[NumL]],T_TraitDi[#Data],COLUMN(T_TraitDi[M1]),FALSE)="","",VLOOKUP(T_Convention[[#This Row],[NumL]],T_TraitDi[#Data],COLUMN(T_TraitDi[M1]),FALSE))</f>
        <v>#N/A</v>
      </c>
      <c r="Q58" s="282" t="e">
        <f>IF(VLOOKUP(T_Convention[[#This Row],[NumL]],T_TraitDi[#Data],COLUMN(T_TraitDi[M2]),FALSE)="","",VLOOKUP(T_Convention[[#This Row],[NumL]],T_TraitDi[#Data],COLUMN(T_TraitDi[M2]),FALSE))</f>
        <v>#N/A</v>
      </c>
      <c r="R58" s="282" t="e">
        <f>IF(VLOOKUP(T_Convention[[#This Row],[NumL]],T_TraitDi[#Data],COLUMN(T_TraitDi[M3]),FALSE)="","",VLOOKUP(T_Convention[[#This Row],[NumL]],T_TraitDi[#Data],COLUMN(T_TraitDi[M3]),FALSE))</f>
        <v>#N/A</v>
      </c>
      <c r="S58" s="282" t="e">
        <f>IF(VLOOKUP(T_Convention[[#This Row],[NumL]],T_TraitDi[#Data],COLUMN(T_TraitDi[M4]),FALSE)="","",VLOOKUP(T_Convention[[#This Row],[NumL]],T_TraitDi[#Data],COLUMN(T_TraitDi[M4]),FALSE))</f>
        <v>#N/A</v>
      </c>
      <c r="T58" s="282" t="e">
        <f>IF(VLOOKUP(T_Convention[[#This Row],[NumL]],T_TraitDi[#Data],COLUMN(T_TraitDi[M5]),FALSE)="","",VLOOKUP(T_Convention[[#This Row],[NumL]],T_TraitDi[#Data],COLUMN(T_TraitDi[M5]),FALSE))</f>
        <v>#N/A</v>
      </c>
      <c r="U58" s="282" t="e">
        <f>IF(VLOOKUP(T_Convention[[#This Row],[NumL]],T_TraitDi[#Data],COLUMN(T_TraitDi[M6]),FALSE)="","",VLOOKUP(T_Convention[[#This Row],[NumL]],T_TraitDi[#Data],COLUMN(T_TraitDi[M6]),FALSE))</f>
        <v>#N/A</v>
      </c>
      <c r="V58" s="176" t="e">
        <f t="shared" si="4"/>
        <v>#N/A</v>
      </c>
      <c r="W58" s="284" t="str">
        <f>IFERROR(TEXT(VLOOKUP(T_Convention[[#This Row],[NumL]],T_TraitDi[#Data],COLUMN(T_TraitDi[Q2]),FALSE),"###%"),"")</f>
        <v/>
      </c>
      <c r="X58" s="97" t="e">
        <f>VLOOKUP(T_Convention[[#This Row],[NumL]],T_TraitDi[#Data],COLUMN(T_TraitDi[Reg Ponct]),FALSE)</f>
        <v>#N/A</v>
      </c>
      <c r="Y58" s="97" t="e">
        <f>VLOOKUP(T_Convention[NumL],T_TraitDi[#Data],COLUMN(T_TraitDi[Jours flottants]),FALSE)</f>
        <v>#N/A</v>
      </c>
      <c r="Z58" s="284" t="str">
        <f>IFERROR(VLOOKUP(T_Convention[[#This Row],[NumL]],T_TraitDi[#Data],COLUMN(T_TraitDi[Lundi]),FALSE),"")</f>
        <v/>
      </c>
      <c r="AA58" s="284" t="e">
        <f>IF(VLOOKUP(T_Convention[[#This Row],[NumL]],T_TraitDi[#Data],COLUMN(T_TraitDi[Colonne3]),FALSE)=0,"",TEXT(IFERROR(VLOOKUP(T_Convention[[#This Row],[NumL]],T_TraitDi[#Data],COLUMN(T_TraitDi[Colonne3]),FALSE),""),"[hh]:mm"))</f>
        <v>#N/A</v>
      </c>
      <c r="AB58" s="284" t="e">
        <f>IF(VLOOKUP(T_Convention[[#This Row],[NumL]],T_TraitDi[#Data],COLUMN(T_TraitDi[Colonne4]),FALSE)=0,"",TEXT(IFERROR(VLOOKUP(T_Convention[[#This Row],[NumL]],T_TraitDi[#Data],COLUMN(T_TraitDi[Colonne4]),FALSE),""),"[hh]:mm"))</f>
        <v>#N/A</v>
      </c>
      <c r="AC58" s="284" t="e">
        <f>IF(VLOOKUP(T_Convention[[#This Row],[NumL]],T_TraitDi[#Data],COLUMN(T_TraitDi[Colonne5]),FALSE)=0,"",TEXT(IFERROR(VLOOKUP(T_Convention[[#This Row],[NumL]],T_TraitDi[#Data],COLUMN(T_TraitDi[Colonne5]),FALSE),""),"[hh]:mm"))</f>
        <v>#N/A</v>
      </c>
      <c r="AD58" s="284" t="e">
        <f>IF(VLOOKUP(T_Convention[[#This Row],[NumL]],T_TraitDi[#Data],COLUMN(T_TraitDi[Colonne6]),FALSE)=0,"",TEXT(IFERROR(VLOOKUP(T_Convention[[#This Row],[NumL]],T_TraitDi[#Data],COLUMN(T_TraitDi[Colonne6]),FALSE),""),"[hh]:mm"))</f>
        <v>#N/A</v>
      </c>
      <c r="AE58" s="284" t="e">
        <f>IF(VLOOKUP(T_Convention[[#This Row],[NumL]],T_TraitDi[#Data],COLUMN(T_TraitDi[Colonne7]),FALSE)=0,"",TEXT(IFERROR(VLOOKUP(T_Convention[[#This Row],[NumL]],T_TraitDi[#Data],COLUMN(T_TraitDi[Colonne7]),FALSE),""),"[hh]:mm"))</f>
        <v>#N/A</v>
      </c>
      <c r="AF58" s="284" t="e">
        <f>IF(VLOOKUP(T_Convention[[#This Row],[NumL]],T_TraitDi[#Data],COLUMN(T_TraitDi[Colonne8]),FALSE)=0,"",TEXT(IFERROR(VLOOKUP(T_Convention[[#This Row],[NumL]],T_TraitDi[#Data],COLUMN(T_TraitDi[Colonne8]),FALSE),""),"[hh]:mm"))</f>
        <v>#N/A</v>
      </c>
      <c r="AG58" s="284" t="str">
        <f>IFERROR(VLOOKUP(T_Convention[[#This Row],[NumL]],T_TraitDi[#Data],COLUMN(T_TraitDi[Mardi]),FALSE),"")</f>
        <v/>
      </c>
      <c r="AH58" s="284" t="e">
        <f>IF(VLOOKUP(T_Convention[[#This Row],[NumL]],T_TraitDi[#Data],COLUMN(T_TraitDi[Colonne1]),FALSE)=0,"",TEXT(IFERROR(VLOOKUP(T_Convention[[#This Row],[NumL]],T_TraitDi[#Data],COLUMN(T_TraitDi[Colonne1]),FALSE),""),"[hh]:mm"))</f>
        <v>#N/A</v>
      </c>
      <c r="AI58" s="284" t="e">
        <f>IF(VLOOKUP(T_Convention[[#This Row],[NumL]],T_TraitDi[#Data],COLUMN(T_TraitDi[Colonne9]),FALSE)=0,"",TEXT(IFERROR(VLOOKUP(T_Convention[[#This Row],[NumL]],T_TraitDi[#Data],COLUMN(T_TraitDi[Colonne9]),FALSE),""),"[hh]:mm"))</f>
        <v>#N/A</v>
      </c>
      <c r="AJ58" s="284" t="str">
        <f>IFERROR(VLOOKUP(T_Convention[[#This Row],[NumL]],T_TraitDi[#Data],COLUMN(T_TraitDi[Colonne10]),FALSE),"")</f>
        <v/>
      </c>
      <c r="AK58" s="284" t="e">
        <f>IF(VLOOKUP(T_Convention[[#This Row],[NumL]],T_TraitDi[#Data],COLUMN(T_TraitDi[Colonne11]),FALSE)=0,"",TEXT(IFERROR(VLOOKUP(T_Convention[[#This Row],[NumL]],T_TraitDi[#Data],COLUMN(T_TraitDi[Colonne11]),FALSE),""),"[hh]:mm"))</f>
        <v>#N/A</v>
      </c>
      <c r="AL58" s="284" t="e">
        <f>IF(VLOOKUP(T_Convention[[#This Row],[NumL]],T_TraitDi[#Data],COLUMN(T_TraitDi[Colonne12]),FALSE)=0,"",TEXT(IFERROR(VLOOKUP(T_Convention[[#This Row],[NumL]],T_TraitDi[#Data],COLUMN(T_TraitDi[Colonne12]),FALSE),""),"[hh]:mm"))</f>
        <v>#N/A</v>
      </c>
      <c r="AM58" s="284" t="e">
        <f>IF(VLOOKUP(T_Convention[[#This Row],[NumL]],T_TraitDi[#Data],COLUMN(T_TraitDi[Colonne14]),FALSE)=0,"",TEXT(IFERROR(VLOOKUP(T_Convention[[#This Row],[NumL]],T_TraitDi[#Data],COLUMN(T_TraitDi[Colonne14]),FALSE),""),"[hh]:mm"))</f>
        <v>#N/A</v>
      </c>
      <c r="AN58" s="284" t="str">
        <f>IFERROR(VLOOKUP(T_Convention[[#This Row],[NumL]],T_TraitDi[#Data],COLUMN(T_TraitDi[Mercredi]),FALSE),"")</f>
        <v/>
      </c>
      <c r="AO58" s="284" t="e">
        <f>IF(VLOOKUP(T_Convention[[#This Row],[NumL]],T_TraitDi[#Data],COLUMN(T_TraitDi[Colonne15]),FALSE)=0,"",TEXT(IFERROR(VLOOKUP(T_Convention[[#This Row],[NumL]],T_TraitDi[#Data],COLUMN(T_TraitDi[Colonne15]),FALSE),""),"[hh]:mm"))</f>
        <v>#N/A</v>
      </c>
      <c r="AP58" s="284" t="e">
        <f>IF(VLOOKUP(T_Convention[[#This Row],[NumL]],T_TraitDi[#Data],COLUMN(T_TraitDi[Colonne16]),FALSE)=0,"",TEXT(IFERROR(VLOOKUP(T_Convention[[#This Row],[NumL]],T_TraitDi[#Data],COLUMN(T_TraitDi[Colonne16]),FALSE),""),"[hh]:mm"))</f>
        <v>#N/A</v>
      </c>
      <c r="AQ58" s="284" t="str">
        <f>IFERROR(VLOOKUP(T_Convention[[#This Row],[NumL]],T_TraitDi[#Data],COLUMN(T_TraitDi[Colonne17]),FALSE),"")</f>
        <v/>
      </c>
      <c r="AR58" s="284" t="e">
        <f>IF(VLOOKUP(T_Convention[[#This Row],[NumL]],T_TraitDi[#Data],COLUMN(T_TraitDi[Colonne18]),FALSE)=0,"",TEXT(IFERROR(VLOOKUP(T_Convention[[#This Row],[NumL]],T_TraitDi[#Data],COLUMN(T_TraitDi[Colonne18]),FALSE),""),"[hh]:mm"))</f>
        <v>#N/A</v>
      </c>
      <c r="AS58" s="284" t="e">
        <f>IF(VLOOKUP(T_Convention[[#This Row],[NumL]],T_TraitDi[#Data],COLUMN(T_TraitDi[Colonne19]),FALSE)=0,"",TEXT(IFERROR(VLOOKUP(T_Convention[[#This Row],[NumL]],T_TraitDi[#Data],COLUMN(T_TraitDi[Colonne19]),FALSE),""),"[hh]:mm"))</f>
        <v>#N/A</v>
      </c>
      <c r="AT58" s="284" t="e">
        <f>IF(VLOOKUP(T_Convention[[#This Row],[NumL]],T_TraitDi[#Data],COLUMN(T_TraitDi[Colonne20]),FALSE)=0,"",TEXT(IFERROR(VLOOKUP(T_Convention[[#This Row],[NumL]],T_TraitDi[#Data],COLUMN(T_TraitDi[Colonne20]),FALSE),""),"[hh]:mm"))</f>
        <v>#N/A</v>
      </c>
      <c r="AU58" s="284" t="str">
        <f>IFERROR(VLOOKUP(T_Convention[[#This Row],[NumL]],T_TraitDi[#Data],COLUMN(T_TraitDi[Jeudi]),FALSE),"")</f>
        <v/>
      </c>
      <c r="AV58" s="284" t="e">
        <f>IF(VLOOKUP(T_Convention[[#This Row],[NumL]],T_TraitDi[#Data],COLUMN(T_TraitDi[Colonne21]),FALSE)=0,"",TEXT(IFERROR(VLOOKUP(T_Convention[[#This Row],[NumL]],T_TraitDi[#Data],COLUMN(T_TraitDi[Colonne21]),FALSE),""),"[hh]:mm"))</f>
        <v>#N/A</v>
      </c>
      <c r="AW58" s="284" t="e">
        <f>IF(VLOOKUP(T_Convention[[#This Row],[NumL]],T_TraitDi[#Data],COLUMN(T_TraitDi[Colonne22]),FALSE)=0,"",TEXT(IFERROR(VLOOKUP(T_Convention[[#This Row],[NumL]],T_TraitDi[#Data],COLUMN(T_TraitDi[Colonne22]),FALSE),""),"[hh]:mm"))</f>
        <v>#N/A</v>
      </c>
      <c r="AX58" s="284" t="str">
        <f>IFERROR(VLOOKUP(T_Convention[[#This Row],[NumL]],T_TraitDi[#Data],COLUMN(T_TraitDi[Colonne23]),FALSE),"")</f>
        <v/>
      </c>
      <c r="AY58" s="284" t="e">
        <f>IF(VLOOKUP(T_Convention[[#This Row],[NumL]],T_TraitDi[#Data],COLUMN(T_TraitDi[Colonne24]),FALSE)=0,"",TEXT(IFERROR(VLOOKUP(T_Convention[[#This Row],[NumL]],T_TraitDi[#Data],COLUMN(T_TraitDi[Colonne24]),FALSE),""),"[hh]:mm"))</f>
        <v>#N/A</v>
      </c>
      <c r="AZ58" s="284" t="e">
        <f>IF(VLOOKUP(T_Convention[[#This Row],[NumL]],T_TraitDi[#Data],COLUMN(T_TraitDi[Colonne25]),FALSE)=0,"",TEXT(IFERROR(VLOOKUP(T_Convention[[#This Row],[NumL]],T_TraitDi[#Data],COLUMN(T_TraitDi[Colonne25]),FALSE),""),"[hh]:mm"))</f>
        <v>#N/A</v>
      </c>
      <c r="BA58" s="284" t="e">
        <f>IF(VLOOKUP(T_Convention[[#This Row],[NumL]],T_TraitDi[#Data],COLUMN(T_TraitDi[Colonne26]),FALSE)=0,"",TEXT(IFERROR(VLOOKUP(T_Convention[[#This Row],[NumL]],T_TraitDi[#Data],COLUMN(T_TraitDi[Colonne26]),FALSE),""),"[hh]:mm"))</f>
        <v>#N/A</v>
      </c>
      <c r="BB58" s="284" t="str">
        <f>IFERROR(VLOOKUP(T_Convention[[#This Row],[NumL]],T_TraitDi[#Data],COLUMN(T_TraitDi[Vendredi]),FALSE),"")</f>
        <v/>
      </c>
      <c r="BC58" s="284" t="e">
        <f>IF(VLOOKUP(T_Convention[[#This Row],[NumL]],T_TraitDi[#Data],COLUMN(T_TraitDi[Colonne27]),FALSE)=0,"",TEXT(IFERROR(VLOOKUP(T_Convention[[#This Row],[NumL]],T_TraitDi[#Data],COLUMN(T_TraitDi[Colonne27]),FALSE),""),"[hh]:mm"))</f>
        <v>#N/A</v>
      </c>
      <c r="BD58" s="284" t="e">
        <f>IF(VLOOKUP(T_Convention[[#This Row],[NumL]],T_TraitDi[#Data],COLUMN(T_TraitDi[Colonne28]),FALSE)=0,"",TEXT(IFERROR(VLOOKUP(T_Convention[[#This Row],[NumL]],T_TraitDi[#Data],COLUMN(T_TraitDi[Colonne28]),FALSE),""),"[hh]:mm"))</f>
        <v>#N/A</v>
      </c>
      <c r="BE58" s="284" t="str">
        <f>IFERROR(VLOOKUP(T_Convention[[#This Row],[NumL]],T_TraitDi[#Data],COLUMN(T_TraitDi[Colonne29]),FALSE),"")</f>
        <v/>
      </c>
      <c r="BF58" s="284" t="e">
        <f>IF(VLOOKUP(T_Convention[[#This Row],[NumL]],T_TraitDi[#Data],COLUMN(T_TraitDi[Colonne30]),FALSE)=0,"",TEXT(IFERROR(VLOOKUP(T_Convention[[#This Row],[NumL]],T_TraitDi[#Data],COLUMN(T_TraitDi[Colonne30]),FALSE),""),"[hh]:mm"))</f>
        <v>#N/A</v>
      </c>
      <c r="BG58" s="284" t="e">
        <f>IF(VLOOKUP(T_Convention[[#This Row],[NumL]],T_TraitDi[#Data],COLUMN(T_TraitDi[Colonne31]),FALSE)=0,"",TEXT(IFERROR(VLOOKUP(T_Convention[[#This Row],[NumL]],T_TraitDi[#Data],COLUMN(T_TraitDi[Colonne31]),FALSE),""),"[hh]:mm"))</f>
        <v>#N/A</v>
      </c>
      <c r="BH58" s="284" t="e">
        <f>IF(VLOOKUP(T_Convention[[#This Row],[NumL]],T_TraitDi[#Data],COLUMN(T_TraitDi[Colonne32]),FALSE)=0,"",TEXT(IFERROR(VLOOKUP(T_Convention[[#This Row],[NumL]],T_TraitDi[#Data],COLUMN(T_TraitDi[Colonne32]),FALSE),""),"[hh]:mm"))</f>
        <v>#N/A</v>
      </c>
      <c r="BI58" s="284" t="str">
        <f>IFERROR(VLOOKUP(T_Convention[[#This Row],[NumL]],T_TraitDi[#Data],COLUMN(T_TraitDi[NbJTW]),FALSE),"")</f>
        <v/>
      </c>
      <c r="BJ58" s="284" t="e">
        <f>IF(VLOOKUP(T_Convention[[#This Row],[NumL]],T_TraitDi[#Data],COLUMN(T_TraitDi[NbhTW]),FALSE)=0,"",TEXT(IFERROR(VLOOKUP(T_Convention[[#This Row],[NumL]],T_TraitDi[#Data],COLUMN(T_TraitDi[NbhTW]),FALSE),""),"[hh]:mm"))</f>
        <v>#N/A</v>
      </c>
      <c r="BK58" s="286" t="e">
        <f>IF(VLOOKUP(T_Convention[[#This Row],[NumL]],T_TraitDi[#Data],COLUMN(T_TraitDi[Nbhheb]),FALSE)=0,"",TEXT(IFERROR(VLOOKUP(T_Convention[[#This Row],[NumL]],T_TraitDi[#Data],COLUMN(T_TraitDi[Nbhheb]),FALSE),""),"[hh]:mm"))</f>
        <v>#N/A</v>
      </c>
      <c r="BL58" s="287" t="str">
        <f>IFERROR(VLOOKUP(VLOOKUP(T_Convention[[#This Row],[NumL]],T_TraitDi[#Data],COLUMN(T_TraitDi[Type1]),FALSE),TypeTW,2,FALSE),"")</f>
        <v/>
      </c>
      <c r="BM58" s="288" t="str">
        <f>IFERROR(VLOOKUP(T_Convention[[#This Row],[NumL]],T_TraitDi[#Data],COLUMN(T_TraitDi[Rue1]),FALSE),"")</f>
        <v/>
      </c>
      <c r="BN58" s="289" t="str">
        <f>IFERROR(VLOOKUP(T_Convention[[#This Row],[NumL]],T_TraitDi[#Data],COLUMN(T_TraitDi[CP1]),FALSE),"")</f>
        <v/>
      </c>
      <c r="BO58" s="282" t="str">
        <f>IFERROR(VLOOKUP(T_Convention[[#This Row],[NumL]],T_TraitDi[#Data],COLUMN(T_TraitDi[VILLE1]),FALSE),"")</f>
        <v/>
      </c>
      <c r="BP58" s="290" t="str">
        <f>IFERROR(VLOOKUP(VLOOKUP(T_Convention[[#This Row],[NumL]],T_TraitDi[#Data],COLUMN(T_TraitDi[Type2]),FALSE),TypeTW,2,FALSE),"")</f>
        <v/>
      </c>
      <c r="BQ58" s="182" t="str">
        <f>IFERROR(VLOOKUP(T_Convention[[#This Row],[NumL]],T_TraitDi[#Data],COLUMN(T_TraitDi[Rue2]),FALSE),"")</f>
        <v/>
      </c>
      <c r="BR58" s="173" t="str">
        <f>IFERROR(VLOOKUP(T_Convention[[#This Row],[NumL]],T_TraitDi[#Data],COLUMN(T_TraitDi[CP2]),FALSE),"")</f>
        <v/>
      </c>
      <c r="BS58" s="173" t="str">
        <f>IFERROR(VLOOKUP(T_Convention[[#This Row],[NumL]],T_TraitDi[#Data],COLUMN(T_TraitDi[VILLE2]),FALSE),"")</f>
        <v/>
      </c>
      <c r="BT58" s="182" t="str">
        <f>IF(VLOOKUP(T_Convention[[#This Row],[NumL]],T_Equipement[#Data],COLUMN(T_Equipement[PC]),FALSE)="","Aucun équipement spécifique directement lié au télétravail",VLOOKUP(T_Convention[[#This Row],[NumL]],T_Equipement[#Data],COLUMN(T_Equipement[PC]),FALSE))</f>
        <v xml:space="preserve">20-235	</v>
      </c>
      <c r="BU58" s="166" t="str">
        <f>IFERROR(IF(VLOOKUP(T_Convention[[#This Row],[NumL]],T_TraitDi[#Data],COLUMN(T_TraitDi[Plan]),FALSE)="OK","Un planning spécifique de télétravail est annexé à la présente convention.",""),"")</f>
        <v/>
      </c>
      <c r="BV58" s="185" t="s">
        <v>3318</v>
      </c>
      <c r="BW58" s="164" t="e">
        <f>IF(VLOOKUP(T_Convention[[#This Row],[NumL]],T_suiviDi[#Data],COLUMN(T_suiviDi[Entité]),FALSE)="","",VLOOKUP(T_Convention[[#This Row],[NumL]],T_suiviDi[#Data],COLUMN(T_suiviDi[Entité]),FALSE))</f>
        <v>#N/A</v>
      </c>
      <c r="BX58" s="164" t="str">
        <f>IF(VLOOKUP(T_Convention[[#This Row],[NumL]],T_Commission[#Data],COLUMN(T_Commission[envoi confirm TW]),FALSE)="","",VLOOKUP(T_Convention[[#This Row],[NumL]],T_Commission[#Data],COLUMN(T_Commission[envoi confirm TW]),FALSE))</f>
        <v>Oui</v>
      </c>
      <c r="BY5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8" s="264">
        <f>VLOOKUP(T_Convention[[#This Row],[NumL]],T_Commission[#Data],COLUMN(T_Commission[Commentaire]),FALSE)</f>
        <v>0</v>
      </c>
      <c r="CA58" s="254" t="str">
        <f>IF(VLOOKUP(T_Convention[[#This Row],[NumL]],T_Commission[#Data],COLUMN(T_Commission[Encadrant Email]),FALSE)="","",VLOOKUP(T_Convention[[#This Row],[NumL]],T_Commission[#Data],COLUMN(T_Commission[Encadrant Email]),FALSE))</f>
        <v/>
      </c>
      <c r="CB58" s="352" t="e">
        <f>VLOOKUP(T_Convention[[#This Row],[NumL]],T_TraitDi[#Data],COLUMN(T_TraitDi[NbJTot]),FALSE)</f>
        <v>#N/A</v>
      </c>
      <c r="CC58" s="352" t="e">
        <f>VLOOKUP(T_Convention[[#This Row],[NumL]],T_TraitDi[#Data],COLUMN(T_TraitDi[Reg Ponct]),FALSE)</f>
        <v>#N/A</v>
      </c>
      <c r="CD58" s="348" t="str">
        <f>IF(T_Convention[[#This Row],[Final]]&lt;&gt;"",VLOOKUP(T_Convention[[#This Row],[NumL]],T_suiviDi[#Data],COLUMN((T_suiviDi[Statut])),FALSE),"")</f>
        <v/>
      </c>
    </row>
    <row r="59" spans="1:82" s="106" customFormat="1" ht="18.75" customHeight="1" x14ac:dyDescent="0.25">
      <c r="A59" s="160">
        <v>100</v>
      </c>
      <c r="B59" s="161" t="str">
        <f>VLOOKUP(T_Convention[[#This Row],[NumL]],T_Commission[#Data],COLUMN(T_Commission[FINAL]),FALSE)</f>
        <v/>
      </c>
      <c r="C59" s="162"/>
      <c r="D59" s="95" t="e">
        <f>IF(VLOOKUP(T_Convention[[#This Row],[NumL]],T_TraitDi[#Data],COLUMN(T_TraitDi[WebC]),FALSE)="","",VLOOKUP(T_Convention[[#This Row],[NumL]],T_TraitDi[#Data],COLUMN(T_TraitDi[WebC]),FALSE))</f>
        <v>#N/A</v>
      </c>
      <c r="E59" s="163" t="str">
        <f t="shared" si="0"/>
        <v>12 janvier 2021</v>
      </c>
      <c r="F59" s="282" t="str">
        <f>IF(T_Convention[[#This Row],[Final]]&lt;&gt;"",VLOOKUP(T_Convention[[#This Row],[NumL]],T_suiviDi[#Data],COLUMN((T_suiviDi[Civ.])),FALSE),"")</f>
        <v/>
      </c>
      <c r="G59" s="283" t="str">
        <f>IF(T_Convention[[#This Row],[Final]]&lt;&gt;"",VLOOKUP(T_Convention[[#This Row],[NumL]],T_suiviDi[#Data],COLUMN((T_suiviDi[Nom])),FALSE),"")</f>
        <v/>
      </c>
      <c r="H59" s="282" t="str">
        <f>IF(T_Convention[[#This Row],[Final]]&lt;&gt;"",VLOOKUP(T_Convention[[#This Row],[NumL]],T_suiviDi[#Data],COLUMN((T_suiviDi[Prénom])),FALSE),"")</f>
        <v/>
      </c>
      <c r="I59" s="282" t="e">
        <f>VLOOKUP(T_Convention[[#This Row],[NumL]],T_suiviDi[#Data],COLUMN((T_suiviDi[[#This Row],[Email]])),FALSE)</f>
        <v>#VALUE!</v>
      </c>
      <c r="J59" s="282" t="e">
        <f>IF(VLOOKUP(T_Convention[[#This Row],[NumL]],T_suiviDi[#Data],COLUMN(T_suiviDi[[#This Row],[Fonction]]),FALSE)="","",VLOOKUP(T_Convention[[#This Row],[NumL]],T_suiviDi[#Data],COLUMN(T_suiviDi[[#This Row],[Fonction]]),FALSE))</f>
        <v>#VALUE!</v>
      </c>
      <c r="K59" s="282" t="e">
        <f>IF(VLOOKUP(T_Convention[[#This Row],[NumL]],T_suiviDi[#Data],COLUMN(T_suiviDi[[#This Row],[Grade]]),FALSE)="","",VLOOKUP(T_Convention[[#This Row],[NumL]],T_suiviDi[#Data],COLUMN(T_suiviDi[[#This Row],[Grade]]),FALSE))</f>
        <v>#VALUE!</v>
      </c>
      <c r="L59" s="282" t="e">
        <f>IF(VLOOKUP(T_Convention[[#This Row],[NumL]],T_suiviDi[#Data],COLUMN(T_suiviDi[[#This Row],[Service ]]),FALSE)="","",VLOOKUP(T_Convention[[#This Row],[NumL]],T_suiviDi[#Data],COLUMN(T_suiviDi[[#This Row],[Service ]]),FALSE))</f>
        <v>#VALUE!</v>
      </c>
      <c r="M59" s="164" t="str">
        <f t="shared" si="1"/>
        <v>01 septembre 2021</v>
      </c>
      <c r="N59" s="164" t="str">
        <f t="shared" si="2"/>
        <v>30 novembre 2021</v>
      </c>
      <c r="O59" s="284" t="str">
        <f t="shared" si="3"/>
        <v>30 novembre 2021</v>
      </c>
      <c r="P59" s="282" t="e">
        <f>IF(VLOOKUP(T_Convention[[#This Row],[NumL]],T_TraitDi[#Data],COLUMN(T_TraitDi[M1]),FALSE)="","",VLOOKUP(T_Convention[[#This Row],[NumL]],T_TraitDi[#Data],COLUMN(T_TraitDi[M1]),FALSE))</f>
        <v>#N/A</v>
      </c>
      <c r="Q59" s="282" t="e">
        <f>IF(VLOOKUP(T_Convention[[#This Row],[NumL]],T_TraitDi[#Data],COLUMN(T_TraitDi[M2]),FALSE)="","",VLOOKUP(T_Convention[[#This Row],[NumL]],T_TraitDi[#Data],COLUMN(T_TraitDi[M2]),FALSE))</f>
        <v>#N/A</v>
      </c>
      <c r="R59" s="282" t="e">
        <f>IF(VLOOKUP(T_Convention[[#This Row],[NumL]],T_TraitDi[#Data],COLUMN(T_TraitDi[M3]),FALSE)="","",VLOOKUP(T_Convention[[#This Row],[NumL]],T_TraitDi[#Data],COLUMN(T_TraitDi[M3]),FALSE))</f>
        <v>#N/A</v>
      </c>
      <c r="S59" s="282" t="e">
        <f>IF(VLOOKUP(T_Convention[[#This Row],[NumL]],T_TraitDi[#Data],COLUMN(T_TraitDi[M4]),FALSE)="","",VLOOKUP(T_Convention[[#This Row],[NumL]],T_TraitDi[#Data],COLUMN(T_TraitDi[M4]),FALSE))</f>
        <v>#N/A</v>
      </c>
      <c r="T59" s="282" t="e">
        <f>IF(VLOOKUP(T_Convention[[#This Row],[NumL]],T_TraitDi[#Data],COLUMN(T_TraitDi[M5]),FALSE)="","",VLOOKUP(T_Convention[[#This Row],[NumL]],T_TraitDi[#Data],COLUMN(T_TraitDi[M5]),FALSE))</f>
        <v>#N/A</v>
      </c>
      <c r="U59" s="282" t="e">
        <f>IF(VLOOKUP(T_Convention[[#This Row],[NumL]],T_TraitDi[#Data],COLUMN(T_TraitDi[M6]),FALSE)="","",VLOOKUP(T_Convention[[#This Row],[NumL]],T_TraitDi[#Data],COLUMN(T_TraitDi[M6]),FALSE))</f>
        <v>#N/A</v>
      </c>
      <c r="V59" s="176" t="e">
        <f t="shared" si="4"/>
        <v>#N/A</v>
      </c>
      <c r="W59" s="284" t="str">
        <f>IFERROR(TEXT(VLOOKUP(T_Convention[[#This Row],[NumL]],T_TraitDi[#Data],COLUMN(T_TraitDi[Q2]),FALSE),"###%"),"")</f>
        <v/>
      </c>
      <c r="X59" s="97" t="e">
        <f>VLOOKUP(T_Convention[[#This Row],[NumL]],T_TraitDi[#Data],COLUMN(T_TraitDi[Reg Ponct]),FALSE)</f>
        <v>#N/A</v>
      </c>
      <c r="Y59" s="97" t="e">
        <f>VLOOKUP(T_Convention[NumL],T_TraitDi[#Data],COLUMN(T_TraitDi[Jours flottants]),FALSE)</f>
        <v>#N/A</v>
      </c>
      <c r="Z59" s="284" t="str">
        <f>IFERROR(VLOOKUP(T_Convention[[#This Row],[NumL]],T_TraitDi[#Data],COLUMN(T_TraitDi[Lundi]),FALSE),"")</f>
        <v/>
      </c>
      <c r="AA59" s="284" t="e">
        <f>IF(VLOOKUP(T_Convention[[#This Row],[NumL]],T_TraitDi[#Data],COLUMN(T_TraitDi[Colonne3]),FALSE)=0,"",TEXT(IFERROR(VLOOKUP(T_Convention[[#This Row],[NumL]],T_TraitDi[#Data],COLUMN(T_TraitDi[Colonne3]),FALSE),""),"[hh]:mm"))</f>
        <v>#N/A</v>
      </c>
      <c r="AB59" s="284" t="e">
        <f>IF(VLOOKUP(T_Convention[[#This Row],[NumL]],T_TraitDi[#Data],COLUMN(T_TraitDi[Colonne4]),FALSE)=0,"",TEXT(IFERROR(VLOOKUP(T_Convention[[#This Row],[NumL]],T_TraitDi[#Data],COLUMN(T_TraitDi[Colonne4]),FALSE),""),"[hh]:mm"))</f>
        <v>#N/A</v>
      </c>
      <c r="AC59" s="284" t="e">
        <f>IF(VLOOKUP(T_Convention[[#This Row],[NumL]],T_TraitDi[#Data],COLUMN(T_TraitDi[Colonne5]),FALSE)=0,"",TEXT(IFERROR(VLOOKUP(T_Convention[[#This Row],[NumL]],T_TraitDi[#Data],COLUMN(T_TraitDi[Colonne5]),FALSE),""),"[hh]:mm"))</f>
        <v>#N/A</v>
      </c>
      <c r="AD59" s="284" t="e">
        <f>IF(VLOOKUP(T_Convention[[#This Row],[NumL]],T_TraitDi[#Data],COLUMN(T_TraitDi[Colonne6]),FALSE)=0,"",TEXT(IFERROR(VLOOKUP(T_Convention[[#This Row],[NumL]],T_TraitDi[#Data],COLUMN(T_TraitDi[Colonne6]),FALSE),""),"[hh]:mm"))</f>
        <v>#N/A</v>
      </c>
      <c r="AE59" s="284" t="e">
        <f>IF(VLOOKUP(T_Convention[[#This Row],[NumL]],T_TraitDi[#Data],COLUMN(T_TraitDi[Colonne7]),FALSE)=0,"",TEXT(IFERROR(VLOOKUP(T_Convention[[#This Row],[NumL]],T_TraitDi[#Data],COLUMN(T_TraitDi[Colonne7]),FALSE),""),"[hh]:mm"))</f>
        <v>#N/A</v>
      </c>
      <c r="AF59" s="284" t="e">
        <f>IF(VLOOKUP(T_Convention[[#This Row],[NumL]],T_TraitDi[#Data],COLUMN(T_TraitDi[Colonne8]),FALSE)=0,"",TEXT(IFERROR(VLOOKUP(T_Convention[[#This Row],[NumL]],T_TraitDi[#Data],COLUMN(T_TraitDi[Colonne8]),FALSE),""),"[hh]:mm"))</f>
        <v>#N/A</v>
      </c>
      <c r="AG59" s="284" t="str">
        <f>IFERROR(VLOOKUP(T_Convention[[#This Row],[NumL]],T_TraitDi[#Data],COLUMN(T_TraitDi[Mardi]),FALSE),"")</f>
        <v/>
      </c>
      <c r="AH59" s="284" t="e">
        <f>IF(VLOOKUP(T_Convention[[#This Row],[NumL]],T_TraitDi[#Data],COLUMN(T_TraitDi[Colonne1]),FALSE)=0,"",TEXT(IFERROR(VLOOKUP(T_Convention[[#This Row],[NumL]],T_TraitDi[#Data],COLUMN(T_TraitDi[Colonne1]),FALSE),""),"[hh]:mm"))</f>
        <v>#N/A</v>
      </c>
      <c r="AI59" s="284" t="e">
        <f>IF(VLOOKUP(T_Convention[[#This Row],[NumL]],T_TraitDi[#Data],COLUMN(T_TraitDi[Colonne9]),FALSE)=0,"",TEXT(IFERROR(VLOOKUP(T_Convention[[#This Row],[NumL]],T_TraitDi[#Data],COLUMN(T_TraitDi[Colonne9]),FALSE),""),"[hh]:mm"))</f>
        <v>#N/A</v>
      </c>
      <c r="AJ59" s="284" t="str">
        <f>IFERROR(VLOOKUP(T_Convention[[#This Row],[NumL]],T_TraitDi[#Data],COLUMN(T_TraitDi[Colonne10]),FALSE),"")</f>
        <v/>
      </c>
      <c r="AK59" s="284" t="e">
        <f>IF(VLOOKUP(T_Convention[[#This Row],[NumL]],T_TraitDi[#Data],COLUMN(T_TraitDi[Colonne11]),FALSE)=0,"",TEXT(IFERROR(VLOOKUP(T_Convention[[#This Row],[NumL]],T_TraitDi[#Data],COLUMN(T_TraitDi[Colonne11]),FALSE),""),"[hh]:mm"))</f>
        <v>#N/A</v>
      </c>
      <c r="AL59" s="284" t="e">
        <f>IF(VLOOKUP(T_Convention[[#This Row],[NumL]],T_TraitDi[#Data],COLUMN(T_TraitDi[Colonne12]),FALSE)=0,"",TEXT(IFERROR(VLOOKUP(T_Convention[[#This Row],[NumL]],T_TraitDi[#Data],COLUMN(T_TraitDi[Colonne12]),FALSE),""),"[hh]:mm"))</f>
        <v>#N/A</v>
      </c>
      <c r="AM59" s="284" t="e">
        <f>IF(VLOOKUP(T_Convention[[#This Row],[NumL]],T_TraitDi[#Data],COLUMN(T_TraitDi[Colonne14]),FALSE)=0,"",TEXT(IFERROR(VLOOKUP(T_Convention[[#This Row],[NumL]],T_TraitDi[#Data],COLUMN(T_TraitDi[Colonne14]),FALSE),""),"[hh]:mm"))</f>
        <v>#N/A</v>
      </c>
      <c r="AN59" s="284" t="str">
        <f>IFERROR(VLOOKUP(T_Convention[[#This Row],[NumL]],T_TraitDi[#Data],COLUMN(T_TraitDi[Mercredi]),FALSE),"")</f>
        <v/>
      </c>
      <c r="AO59" s="284" t="e">
        <f>IF(VLOOKUP(T_Convention[[#This Row],[NumL]],T_TraitDi[#Data],COLUMN(T_TraitDi[Colonne15]),FALSE)=0,"",TEXT(IFERROR(VLOOKUP(T_Convention[[#This Row],[NumL]],T_TraitDi[#Data],COLUMN(T_TraitDi[Colonne15]),FALSE),""),"[hh]:mm"))</f>
        <v>#N/A</v>
      </c>
      <c r="AP59" s="284" t="e">
        <f>IF(VLOOKUP(T_Convention[[#This Row],[NumL]],T_TraitDi[#Data],COLUMN(T_TraitDi[Colonne16]),FALSE)=0,"",TEXT(IFERROR(VLOOKUP(T_Convention[[#This Row],[NumL]],T_TraitDi[#Data],COLUMN(T_TraitDi[Colonne16]),FALSE),""),"[hh]:mm"))</f>
        <v>#N/A</v>
      </c>
      <c r="AQ59" s="284" t="str">
        <f>IFERROR(VLOOKUP(T_Convention[[#This Row],[NumL]],T_TraitDi[#Data],COLUMN(T_TraitDi[Colonne17]),FALSE),"")</f>
        <v/>
      </c>
      <c r="AR59" s="284" t="e">
        <f>IF(VLOOKUP(T_Convention[[#This Row],[NumL]],T_TraitDi[#Data],COLUMN(T_TraitDi[Colonne18]),FALSE)=0,"",TEXT(IFERROR(VLOOKUP(T_Convention[[#This Row],[NumL]],T_TraitDi[#Data],COLUMN(T_TraitDi[Colonne18]),FALSE),""),"[hh]:mm"))</f>
        <v>#N/A</v>
      </c>
      <c r="AS59" s="284" t="e">
        <f>IF(VLOOKUP(T_Convention[[#This Row],[NumL]],T_TraitDi[#Data],COLUMN(T_TraitDi[Colonne19]),FALSE)=0,"",TEXT(IFERROR(VLOOKUP(T_Convention[[#This Row],[NumL]],T_TraitDi[#Data],COLUMN(T_TraitDi[Colonne19]),FALSE),""),"[hh]:mm"))</f>
        <v>#N/A</v>
      </c>
      <c r="AT59" s="284" t="e">
        <f>IF(VLOOKUP(T_Convention[[#This Row],[NumL]],T_TraitDi[#Data],COLUMN(T_TraitDi[Colonne20]),FALSE)=0,"",TEXT(IFERROR(VLOOKUP(T_Convention[[#This Row],[NumL]],T_TraitDi[#Data],COLUMN(T_TraitDi[Colonne20]),FALSE),""),"[hh]:mm"))</f>
        <v>#N/A</v>
      </c>
      <c r="AU59" s="284" t="str">
        <f>IFERROR(VLOOKUP(T_Convention[[#This Row],[NumL]],T_TraitDi[#Data],COLUMN(T_TraitDi[Jeudi]),FALSE),"")</f>
        <v/>
      </c>
      <c r="AV59" s="284" t="e">
        <f>IF(VLOOKUP(T_Convention[[#This Row],[NumL]],T_TraitDi[#Data],COLUMN(T_TraitDi[Colonne21]),FALSE)=0,"",TEXT(IFERROR(VLOOKUP(T_Convention[[#This Row],[NumL]],T_TraitDi[#Data],COLUMN(T_TraitDi[Colonne21]),FALSE),""),"[hh]:mm"))</f>
        <v>#N/A</v>
      </c>
      <c r="AW59" s="284" t="e">
        <f>IF(VLOOKUP(T_Convention[[#This Row],[NumL]],T_TraitDi[#Data],COLUMN(T_TraitDi[Colonne22]),FALSE)=0,"",TEXT(IFERROR(VLOOKUP(T_Convention[[#This Row],[NumL]],T_TraitDi[#Data],COLUMN(T_TraitDi[Colonne22]),FALSE),""),"[hh]:mm"))</f>
        <v>#N/A</v>
      </c>
      <c r="AX59" s="284" t="str">
        <f>IFERROR(VLOOKUP(T_Convention[[#This Row],[NumL]],T_TraitDi[#Data],COLUMN(T_TraitDi[Colonne23]),FALSE),"")</f>
        <v/>
      </c>
      <c r="AY59" s="284" t="e">
        <f>IF(VLOOKUP(T_Convention[[#This Row],[NumL]],T_TraitDi[#Data],COLUMN(T_TraitDi[Colonne24]),FALSE)=0,"",TEXT(IFERROR(VLOOKUP(T_Convention[[#This Row],[NumL]],T_TraitDi[#Data],COLUMN(T_TraitDi[Colonne24]),FALSE),""),"[hh]:mm"))</f>
        <v>#N/A</v>
      </c>
      <c r="AZ59" s="284" t="e">
        <f>IF(VLOOKUP(T_Convention[[#This Row],[NumL]],T_TraitDi[#Data],COLUMN(T_TraitDi[Colonne25]),FALSE)=0,"",TEXT(IFERROR(VLOOKUP(T_Convention[[#This Row],[NumL]],T_TraitDi[#Data],COLUMN(T_TraitDi[Colonne25]),FALSE),""),"[hh]:mm"))</f>
        <v>#N/A</v>
      </c>
      <c r="BA59" s="284" t="e">
        <f>IF(VLOOKUP(T_Convention[[#This Row],[NumL]],T_TraitDi[#Data],COLUMN(T_TraitDi[Colonne26]),FALSE)=0,"",TEXT(IFERROR(VLOOKUP(T_Convention[[#This Row],[NumL]],T_TraitDi[#Data],COLUMN(T_TraitDi[Colonne26]),FALSE),""),"[hh]:mm"))</f>
        <v>#N/A</v>
      </c>
      <c r="BB59" s="284" t="str">
        <f>IFERROR(VLOOKUP(T_Convention[[#This Row],[NumL]],T_TraitDi[#Data],COLUMN(T_TraitDi[Vendredi]),FALSE),"")</f>
        <v/>
      </c>
      <c r="BC59" s="284" t="e">
        <f>IF(VLOOKUP(T_Convention[[#This Row],[NumL]],T_TraitDi[#Data],COLUMN(T_TraitDi[Colonne27]),FALSE)=0,"",TEXT(IFERROR(VLOOKUP(T_Convention[[#This Row],[NumL]],T_TraitDi[#Data],COLUMN(T_TraitDi[Colonne27]),FALSE),""),"[hh]:mm"))</f>
        <v>#N/A</v>
      </c>
      <c r="BD59" s="284" t="e">
        <f>IF(VLOOKUP(T_Convention[[#This Row],[NumL]],T_TraitDi[#Data],COLUMN(T_TraitDi[Colonne28]),FALSE)=0,"",TEXT(IFERROR(VLOOKUP(T_Convention[[#This Row],[NumL]],T_TraitDi[#Data],COLUMN(T_TraitDi[Colonne28]),FALSE),""),"[hh]:mm"))</f>
        <v>#N/A</v>
      </c>
      <c r="BE59" s="284" t="str">
        <f>IFERROR(VLOOKUP(T_Convention[[#This Row],[NumL]],T_TraitDi[#Data],COLUMN(T_TraitDi[Colonne29]),FALSE),"")</f>
        <v/>
      </c>
      <c r="BF59" s="284" t="e">
        <f>IF(VLOOKUP(T_Convention[[#This Row],[NumL]],T_TraitDi[#Data],COLUMN(T_TraitDi[Colonne30]),FALSE)=0,"",TEXT(IFERROR(VLOOKUP(T_Convention[[#This Row],[NumL]],T_TraitDi[#Data],COLUMN(T_TraitDi[Colonne30]),FALSE),""),"[hh]:mm"))</f>
        <v>#N/A</v>
      </c>
      <c r="BG59" s="284" t="e">
        <f>IF(VLOOKUP(T_Convention[[#This Row],[NumL]],T_TraitDi[#Data],COLUMN(T_TraitDi[Colonne31]),FALSE)=0,"",TEXT(IFERROR(VLOOKUP(T_Convention[[#This Row],[NumL]],T_TraitDi[#Data],COLUMN(T_TraitDi[Colonne31]),FALSE),""),"[hh]:mm"))</f>
        <v>#N/A</v>
      </c>
      <c r="BH59" s="284" t="e">
        <f>IF(VLOOKUP(T_Convention[[#This Row],[NumL]],T_TraitDi[#Data],COLUMN(T_TraitDi[Colonne32]),FALSE)=0,"",TEXT(IFERROR(VLOOKUP(T_Convention[[#This Row],[NumL]],T_TraitDi[#Data],COLUMN(T_TraitDi[Colonne32]),FALSE),""),"[hh]:mm"))</f>
        <v>#N/A</v>
      </c>
      <c r="BI59" s="284" t="str">
        <f>IFERROR(VLOOKUP(T_Convention[[#This Row],[NumL]],T_TraitDi[#Data],COLUMN(T_TraitDi[NbJTW]),FALSE),"")</f>
        <v/>
      </c>
      <c r="BJ59" s="284" t="e">
        <f>IF(VLOOKUP(T_Convention[[#This Row],[NumL]],T_TraitDi[#Data],COLUMN(T_TraitDi[NbhTW]),FALSE)=0,"",TEXT(IFERROR(VLOOKUP(T_Convention[[#This Row],[NumL]],T_TraitDi[#Data],COLUMN(T_TraitDi[NbhTW]),FALSE),""),"[hh]:mm"))</f>
        <v>#N/A</v>
      </c>
      <c r="BK59" s="286" t="e">
        <f>IF(VLOOKUP(T_Convention[[#This Row],[NumL]],T_TraitDi[#Data],COLUMN(T_TraitDi[Nbhheb]),FALSE)=0,"",TEXT(IFERROR(VLOOKUP(T_Convention[[#This Row],[NumL]],T_TraitDi[#Data],COLUMN(T_TraitDi[Nbhheb]),FALSE),""),"[hh]:mm"))</f>
        <v>#N/A</v>
      </c>
      <c r="BL59" s="287" t="str">
        <f>IFERROR(VLOOKUP(VLOOKUP(T_Convention[[#This Row],[NumL]],T_TraitDi[#Data],COLUMN(T_TraitDi[Type1]),FALSE),TypeTW,2,FALSE),"")</f>
        <v/>
      </c>
      <c r="BM59" s="288" t="str">
        <f>IFERROR(VLOOKUP(T_Convention[[#This Row],[NumL]],T_TraitDi[#Data],COLUMN(T_TraitDi[Rue1]),FALSE),"")</f>
        <v/>
      </c>
      <c r="BN59" s="289" t="str">
        <f>IFERROR(VLOOKUP(T_Convention[[#This Row],[NumL]],T_TraitDi[#Data],COLUMN(T_TraitDi[CP1]),FALSE),"")</f>
        <v/>
      </c>
      <c r="BO59" s="282" t="str">
        <f>IFERROR(VLOOKUP(T_Convention[[#This Row],[NumL]],T_TraitDi[#Data],COLUMN(T_TraitDi[VILLE1]),FALSE),"")</f>
        <v/>
      </c>
      <c r="BP59" s="290" t="str">
        <f>IFERROR(VLOOKUP(VLOOKUP(T_Convention[[#This Row],[NumL]],T_TraitDi[#Data],COLUMN(T_TraitDi[Type2]),FALSE),TypeTW,2,FALSE),"")</f>
        <v/>
      </c>
      <c r="BQ59" s="182" t="str">
        <f>IFERROR(VLOOKUP(T_Convention[[#This Row],[NumL]],T_TraitDi[#Data],COLUMN(T_TraitDi[Rue2]),FALSE),"")</f>
        <v/>
      </c>
      <c r="BR59" s="173" t="str">
        <f>IFERROR(VLOOKUP(T_Convention[[#This Row],[NumL]],T_TraitDi[#Data],COLUMN(T_TraitDi[CP2]),FALSE),"")</f>
        <v/>
      </c>
      <c r="BS59" s="173" t="str">
        <f>IFERROR(VLOOKUP(T_Convention[[#This Row],[NumL]],T_TraitDi[#Data],COLUMN(T_TraitDi[VILLE2]),FALSE),"")</f>
        <v/>
      </c>
      <c r="BT59" s="182" t="str">
        <f>IF(VLOOKUP(T_Convention[[#This Row],[NumL]],T_Equipement[#Data],COLUMN(T_Equipement[PC]),FALSE)="","Aucun équipement spécifique directement lié au télétravail",VLOOKUP(T_Convention[[#This Row],[NumL]],T_Equipement[#Data],COLUMN(T_Equipement[PC]),FALSE))</f>
        <v xml:space="preserve">17-042	</v>
      </c>
      <c r="BU59" s="166" t="str">
        <f>IFERROR(IF(VLOOKUP(T_Convention[[#This Row],[NumL]],T_TraitDi[#Data],COLUMN(T_TraitDi[Plan]),FALSE)="OK","Un planning spécifique de télétravail est annexé à la présente convention.",""),"")</f>
        <v/>
      </c>
      <c r="BV59" s="185"/>
      <c r="BW59" s="164" t="e">
        <f>IF(VLOOKUP(T_Convention[[#This Row],[NumL]],T_suiviDi[#Data],COLUMN(T_suiviDi[Entité]),FALSE)="","",VLOOKUP(T_Convention[[#This Row],[NumL]],T_suiviDi[#Data],COLUMN(T_suiviDi[Entité]),FALSE))</f>
        <v>#N/A</v>
      </c>
      <c r="BX59" s="164" t="str">
        <f>IF(VLOOKUP(T_Convention[[#This Row],[NumL]],T_Commission[#Data],COLUMN(T_Commission[envoi confirm TW]),FALSE)="","",VLOOKUP(T_Convention[[#This Row],[NumL]],T_Commission[#Data],COLUMN(T_Commission[envoi confirm TW]),FALSE))</f>
        <v>Oui</v>
      </c>
      <c r="BY5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59" s="264">
        <f>VLOOKUP(T_Convention[[#This Row],[NumL]],T_Commission[#Data],COLUMN(T_Commission[Commentaire]),FALSE)</f>
        <v>0</v>
      </c>
      <c r="CA59" s="254" t="str">
        <f>IF(VLOOKUP(T_Convention[[#This Row],[NumL]],T_Commission[#Data],COLUMN(T_Commission[Encadrant Email]),FALSE)="","",VLOOKUP(T_Convention[[#This Row],[NumL]],T_Commission[#Data],COLUMN(T_Commission[Encadrant Email]),FALSE))</f>
        <v/>
      </c>
      <c r="CB59" s="352" t="e">
        <f>VLOOKUP(T_Convention[[#This Row],[NumL]],T_TraitDi[#Data],COLUMN(T_TraitDi[NbJTot]),FALSE)</f>
        <v>#N/A</v>
      </c>
      <c r="CC59" s="352" t="e">
        <f>VLOOKUP(T_Convention[[#This Row],[NumL]],T_TraitDi[#Data],COLUMN(T_TraitDi[Reg Ponct]),FALSE)</f>
        <v>#N/A</v>
      </c>
      <c r="CD59" s="348" t="str">
        <f>IF(T_Convention[[#This Row],[Final]]&lt;&gt;"",VLOOKUP(T_Convention[[#This Row],[NumL]],T_suiviDi[#Data],COLUMN((T_suiviDi[Statut])),FALSE),"")</f>
        <v/>
      </c>
    </row>
    <row r="60" spans="1:82" s="106" customFormat="1" ht="18.75" customHeight="1" x14ac:dyDescent="0.25">
      <c r="A60" s="160">
        <v>151</v>
      </c>
      <c r="B60" s="161" t="str">
        <f>VLOOKUP(T_Convention[[#This Row],[NumL]],T_Commission[#Data],COLUMN(T_Commission[FINAL]),FALSE)</f>
        <v/>
      </c>
      <c r="C60" s="162"/>
      <c r="D60" s="95" t="e">
        <f>IF(VLOOKUP(T_Convention[[#This Row],[NumL]],T_TraitDi[#Data],COLUMN(T_TraitDi[WebC]),FALSE)="","",VLOOKUP(T_Convention[[#This Row],[NumL]],T_TraitDi[#Data],COLUMN(T_TraitDi[WebC]),FALSE))</f>
        <v>#N/A</v>
      </c>
      <c r="E60" s="163" t="str">
        <f t="shared" si="0"/>
        <v>12 janvier 2021</v>
      </c>
      <c r="F60" s="282" t="str">
        <f>IF(T_Convention[[#This Row],[Final]]&lt;&gt;"",VLOOKUP(T_Convention[[#This Row],[NumL]],T_suiviDi[#Data],COLUMN((T_suiviDi[Civ.])),FALSE),"")</f>
        <v/>
      </c>
      <c r="G60" s="283" t="str">
        <f>IF(T_Convention[[#This Row],[Final]]&lt;&gt;"",VLOOKUP(T_Convention[[#This Row],[NumL]],T_suiviDi[#Data],COLUMN((T_suiviDi[Nom])),FALSE),"")</f>
        <v/>
      </c>
      <c r="H60" s="282" t="str">
        <f>IF(T_Convention[[#This Row],[Final]]&lt;&gt;"",VLOOKUP(T_Convention[[#This Row],[NumL]],T_suiviDi[#Data],COLUMN((T_suiviDi[Prénom])),FALSE),"")</f>
        <v/>
      </c>
      <c r="I60" s="282" t="e">
        <f>VLOOKUP(T_Convention[[#This Row],[NumL]],T_suiviDi[#Data],COLUMN((T_suiviDi[[#This Row],[Email]])),FALSE)</f>
        <v>#VALUE!</v>
      </c>
      <c r="J60" s="282" t="e">
        <f>IF(VLOOKUP(T_Convention[[#This Row],[NumL]],T_suiviDi[#Data],COLUMN(T_suiviDi[[#This Row],[Fonction]]),FALSE)="","",VLOOKUP(T_Convention[[#This Row],[NumL]],T_suiviDi[#Data],COLUMN(T_suiviDi[[#This Row],[Fonction]]),FALSE))</f>
        <v>#VALUE!</v>
      </c>
      <c r="K60" s="282" t="e">
        <f>IF(VLOOKUP(T_Convention[[#This Row],[NumL]],T_suiviDi[#Data],COLUMN(T_suiviDi[[#This Row],[Grade]]),FALSE)="","",VLOOKUP(T_Convention[[#This Row],[NumL]],T_suiviDi[#Data],COLUMN(T_suiviDi[[#This Row],[Grade]]),FALSE))</f>
        <v>#VALUE!</v>
      </c>
      <c r="L60" s="282" t="e">
        <f>IF(VLOOKUP(T_Convention[[#This Row],[NumL]],T_suiviDi[#Data],COLUMN(T_suiviDi[[#This Row],[Service ]]),FALSE)="","",VLOOKUP(T_Convention[[#This Row],[NumL]],T_suiviDi[#Data],COLUMN(T_suiviDi[[#This Row],[Service ]]),FALSE))</f>
        <v>#VALUE!</v>
      </c>
      <c r="M60" s="164" t="str">
        <f t="shared" si="1"/>
        <v>01 septembre 2021</v>
      </c>
      <c r="N60" s="164" t="str">
        <f t="shared" si="2"/>
        <v>30 novembre 2021</v>
      </c>
      <c r="O60" s="284" t="str">
        <f t="shared" si="3"/>
        <v>30 novembre 2021</v>
      </c>
      <c r="P60" s="282" t="e">
        <f>IF(VLOOKUP(T_Convention[[#This Row],[NumL]],T_TraitDi[#Data],COLUMN(T_TraitDi[M1]),FALSE)="","",VLOOKUP(T_Convention[[#This Row],[NumL]],T_TraitDi[#Data],COLUMN(T_TraitDi[M1]),FALSE))</f>
        <v>#N/A</v>
      </c>
      <c r="Q60" s="282" t="e">
        <f>IF(VLOOKUP(T_Convention[[#This Row],[NumL]],T_TraitDi[#Data],COLUMN(T_TraitDi[M2]),FALSE)="","",VLOOKUP(T_Convention[[#This Row],[NumL]],T_TraitDi[#Data],COLUMN(T_TraitDi[M2]),FALSE))</f>
        <v>#N/A</v>
      </c>
      <c r="R60" s="282" t="e">
        <f>IF(VLOOKUP(T_Convention[[#This Row],[NumL]],T_TraitDi[#Data],COLUMN(T_TraitDi[M3]),FALSE)="","",VLOOKUP(T_Convention[[#This Row],[NumL]],T_TraitDi[#Data],COLUMN(T_TraitDi[M3]),FALSE))</f>
        <v>#N/A</v>
      </c>
      <c r="S60" s="282" t="e">
        <f>IF(VLOOKUP(T_Convention[[#This Row],[NumL]],T_TraitDi[#Data],COLUMN(T_TraitDi[M4]),FALSE)="","",VLOOKUP(T_Convention[[#This Row],[NumL]],T_TraitDi[#Data],COLUMN(T_TraitDi[M4]),FALSE))</f>
        <v>#N/A</v>
      </c>
      <c r="T60" s="282" t="e">
        <f>IF(VLOOKUP(T_Convention[[#This Row],[NumL]],T_TraitDi[#Data],COLUMN(T_TraitDi[M5]),FALSE)="","",VLOOKUP(T_Convention[[#This Row],[NumL]],T_TraitDi[#Data],COLUMN(T_TraitDi[M5]),FALSE))</f>
        <v>#N/A</v>
      </c>
      <c r="U60" s="282" t="e">
        <f>IF(VLOOKUP(T_Convention[[#This Row],[NumL]],T_TraitDi[#Data],COLUMN(T_TraitDi[M6]),FALSE)="","",VLOOKUP(T_Convention[[#This Row],[NumL]],T_TraitDi[#Data],COLUMN(T_TraitDi[M6]),FALSE))</f>
        <v>#N/A</v>
      </c>
      <c r="V60" s="176" t="e">
        <f t="shared" si="4"/>
        <v>#N/A</v>
      </c>
      <c r="W60" s="284" t="str">
        <f>IFERROR(TEXT(VLOOKUP(T_Convention[[#This Row],[NumL]],T_TraitDi[#Data],COLUMN(T_TraitDi[Q2]),FALSE),"###%"),"")</f>
        <v/>
      </c>
      <c r="X60" s="97" t="e">
        <f>VLOOKUP(T_Convention[[#This Row],[NumL]],T_TraitDi[#Data],COLUMN(T_TraitDi[Reg Ponct]),FALSE)</f>
        <v>#N/A</v>
      </c>
      <c r="Y60" s="97" t="e">
        <f>VLOOKUP(T_Convention[NumL],T_TraitDi[#Data],COLUMN(T_TraitDi[Jours flottants]),FALSE)</f>
        <v>#N/A</v>
      </c>
      <c r="Z60" s="284" t="str">
        <f>IFERROR(VLOOKUP(T_Convention[[#This Row],[NumL]],T_TraitDi[#Data],COLUMN(T_TraitDi[Lundi]),FALSE),"")</f>
        <v/>
      </c>
      <c r="AA60" s="284" t="e">
        <f>IF(VLOOKUP(T_Convention[[#This Row],[NumL]],T_TraitDi[#Data],COLUMN(T_TraitDi[Colonne3]),FALSE)=0,"",TEXT(IFERROR(VLOOKUP(T_Convention[[#This Row],[NumL]],T_TraitDi[#Data],COLUMN(T_TraitDi[Colonne3]),FALSE),""),"[hh]:mm"))</f>
        <v>#N/A</v>
      </c>
      <c r="AB60" s="284" t="e">
        <f>IF(VLOOKUP(T_Convention[[#This Row],[NumL]],T_TraitDi[#Data],COLUMN(T_TraitDi[Colonne4]),FALSE)=0,"",TEXT(IFERROR(VLOOKUP(T_Convention[[#This Row],[NumL]],T_TraitDi[#Data],COLUMN(T_TraitDi[Colonne4]),FALSE),""),"[hh]:mm"))</f>
        <v>#N/A</v>
      </c>
      <c r="AC60" s="284" t="e">
        <f>IF(VLOOKUP(T_Convention[[#This Row],[NumL]],T_TraitDi[#Data],COLUMN(T_TraitDi[Colonne5]),FALSE)=0,"",TEXT(IFERROR(VLOOKUP(T_Convention[[#This Row],[NumL]],T_TraitDi[#Data],COLUMN(T_TraitDi[Colonne5]),FALSE),""),"[hh]:mm"))</f>
        <v>#N/A</v>
      </c>
      <c r="AD60" s="284" t="e">
        <f>IF(VLOOKUP(T_Convention[[#This Row],[NumL]],T_TraitDi[#Data],COLUMN(T_TraitDi[Colonne6]),FALSE)=0,"",TEXT(IFERROR(VLOOKUP(T_Convention[[#This Row],[NumL]],T_TraitDi[#Data],COLUMN(T_TraitDi[Colonne6]),FALSE),""),"[hh]:mm"))</f>
        <v>#N/A</v>
      </c>
      <c r="AE60" s="284" t="e">
        <f>IF(VLOOKUP(T_Convention[[#This Row],[NumL]],T_TraitDi[#Data],COLUMN(T_TraitDi[Colonne7]),FALSE)=0,"",TEXT(IFERROR(VLOOKUP(T_Convention[[#This Row],[NumL]],T_TraitDi[#Data],COLUMN(T_TraitDi[Colonne7]),FALSE),""),"[hh]:mm"))</f>
        <v>#N/A</v>
      </c>
      <c r="AF60" s="284" t="e">
        <f>IF(VLOOKUP(T_Convention[[#This Row],[NumL]],T_TraitDi[#Data],COLUMN(T_TraitDi[Colonne8]),FALSE)=0,"",TEXT(IFERROR(VLOOKUP(T_Convention[[#This Row],[NumL]],T_TraitDi[#Data],COLUMN(T_TraitDi[Colonne8]),FALSE),""),"[hh]:mm"))</f>
        <v>#N/A</v>
      </c>
      <c r="AG60" s="284" t="str">
        <f>IFERROR(VLOOKUP(T_Convention[[#This Row],[NumL]],T_TraitDi[#Data],COLUMN(T_TraitDi[Mardi]),FALSE),"")</f>
        <v/>
      </c>
      <c r="AH60" s="284" t="e">
        <f>IF(VLOOKUP(T_Convention[[#This Row],[NumL]],T_TraitDi[#Data],COLUMN(T_TraitDi[Colonne1]),FALSE)=0,"",TEXT(IFERROR(VLOOKUP(T_Convention[[#This Row],[NumL]],T_TraitDi[#Data],COLUMN(T_TraitDi[Colonne1]),FALSE),""),"[hh]:mm"))</f>
        <v>#N/A</v>
      </c>
      <c r="AI60" s="284" t="e">
        <f>IF(VLOOKUP(T_Convention[[#This Row],[NumL]],T_TraitDi[#Data],COLUMN(T_TraitDi[Colonne9]),FALSE)=0,"",TEXT(IFERROR(VLOOKUP(T_Convention[[#This Row],[NumL]],T_TraitDi[#Data],COLUMN(T_TraitDi[Colonne9]),FALSE),""),"[hh]:mm"))</f>
        <v>#N/A</v>
      </c>
      <c r="AJ60" s="284" t="str">
        <f>IFERROR(VLOOKUP(T_Convention[[#This Row],[NumL]],T_TraitDi[#Data],COLUMN(T_TraitDi[Colonne10]),FALSE),"")</f>
        <v/>
      </c>
      <c r="AK60" s="284" t="e">
        <f>IF(VLOOKUP(T_Convention[[#This Row],[NumL]],T_TraitDi[#Data],COLUMN(T_TraitDi[Colonne11]),FALSE)=0,"",TEXT(IFERROR(VLOOKUP(T_Convention[[#This Row],[NumL]],T_TraitDi[#Data],COLUMN(T_TraitDi[Colonne11]),FALSE),""),"[hh]:mm"))</f>
        <v>#N/A</v>
      </c>
      <c r="AL60" s="284" t="e">
        <f>IF(VLOOKUP(T_Convention[[#This Row],[NumL]],T_TraitDi[#Data],COLUMN(T_TraitDi[Colonne12]),FALSE)=0,"",TEXT(IFERROR(VLOOKUP(T_Convention[[#This Row],[NumL]],T_TraitDi[#Data],COLUMN(T_TraitDi[Colonne12]),FALSE),""),"[hh]:mm"))</f>
        <v>#N/A</v>
      </c>
      <c r="AM60" s="284" t="e">
        <f>IF(VLOOKUP(T_Convention[[#This Row],[NumL]],T_TraitDi[#Data],COLUMN(T_TraitDi[Colonne14]),FALSE)=0,"",TEXT(IFERROR(VLOOKUP(T_Convention[[#This Row],[NumL]],T_TraitDi[#Data],COLUMN(T_TraitDi[Colonne14]),FALSE),""),"[hh]:mm"))</f>
        <v>#N/A</v>
      </c>
      <c r="AN60" s="284" t="str">
        <f>IFERROR(VLOOKUP(T_Convention[[#This Row],[NumL]],T_TraitDi[#Data],COLUMN(T_TraitDi[Mercredi]),FALSE),"")</f>
        <v/>
      </c>
      <c r="AO60" s="284" t="e">
        <f>IF(VLOOKUP(T_Convention[[#This Row],[NumL]],T_TraitDi[#Data],COLUMN(T_TraitDi[Colonne15]),FALSE)=0,"",TEXT(IFERROR(VLOOKUP(T_Convention[[#This Row],[NumL]],T_TraitDi[#Data],COLUMN(T_TraitDi[Colonne15]),FALSE),""),"[hh]:mm"))</f>
        <v>#N/A</v>
      </c>
      <c r="AP60" s="284" t="e">
        <f>IF(VLOOKUP(T_Convention[[#This Row],[NumL]],T_TraitDi[#Data],COLUMN(T_TraitDi[Colonne16]),FALSE)=0,"",TEXT(IFERROR(VLOOKUP(T_Convention[[#This Row],[NumL]],T_TraitDi[#Data],COLUMN(T_TraitDi[Colonne16]),FALSE),""),"[hh]:mm"))</f>
        <v>#N/A</v>
      </c>
      <c r="AQ60" s="284" t="str">
        <f>IFERROR(VLOOKUP(T_Convention[[#This Row],[NumL]],T_TraitDi[#Data],COLUMN(T_TraitDi[Colonne17]),FALSE),"")</f>
        <v/>
      </c>
      <c r="AR60" s="284" t="e">
        <f>IF(VLOOKUP(T_Convention[[#This Row],[NumL]],T_TraitDi[#Data],COLUMN(T_TraitDi[Colonne18]),FALSE)=0,"",TEXT(IFERROR(VLOOKUP(T_Convention[[#This Row],[NumL]],T_TraitDi[#Data],COLUMN(T_TraitDi[Colonne18]),FALSE),""),"[hh]:mm"))</f>
        <v>#N/A</v>
      </c>
      <c r="AS60" s="284" t="e">
        <f>IF(VLOOKUP(T_Convention[[#This Row],[NumL]],T_TraitDi[#Data],COLUMN(T_TraitDi[Colonne19]),FALSE)=0,"",TEXT(IFERROR(VLOOKUP(T_Convention[[#This Row],[NumL]],T_TraitDi[#Data],COLUMN(T_TraitDi[Colonne19]),FALSE),""),"[hh]:mm"))</f>
        <v>#N/A</v>
      </c>
      <c r="AT60" s="284" t="e">
        <f>IF(VLOOKUP(T_Convention[[#This Row],[NumL]],T_TraitDi[#Data],COLUMN(T_TraitDi[Colonne20]),FALSE)=0,"",TEXT(IFERROR(VLOOKUP(T_Convention[[#This Row],[NumL]],T_TraitDi[#Data],COLUMN(T_TraitDi[Colonne20]),FALSE),""),"[hh]:mm"))</f>
        <v>#N/A</v>
      </c>
      <c r="AU60" s="284" t="str">
        <f>IFERROR(VLOOKUP(T_Convention[[#This Row],[NumL]],T_TraitDi[#Data],COLUMN(T_TraitDi[Jeudi]),FALSE),"")</f>
        <v/>
      </c>
      <c r="AV60" s="284" t="e">
        <f>IF(VLOOKUP(T_Convention[[#This Row],[NumL]],T_TraitDi[#Data],COLUMN(T_TraitDi[Colonne21]),FALSE)=0,"",TEXT(IFERROR(VLOOKUP(T_Convention[[#This Row],[NumL]],T_TraitDi[#Data],COLUMN(T_TraitDi[Colonne21]),FALSE),""),"[hh]:mm"))</f>
        <v>#N/A</v>
      </c>
      <c r="AW60" s="284" t="e">
        <f>IF(VLOOKUP(T_Convention[[#This Row],[NumL]],T_TraitDi[#Data],COLUMN(T_TraitDi[Colonne22]),FALSE)=0,"",TEXT(IFERROR(VLOOKUP(T_Convention[[#This Row],[NumL]],T_TraitDi[#Data],COLUMN(T_TraitDi[Colonne22]),FALSE),""),"[hh]:mm"))</f>
        <v>#N/A</v>
      </c>
      <c r="AX60" s="284" t="str">
        <f>IFERROR(VLOOKUP(T_Convention[[#This Row],[NumL]],T_TraitDi[#Data],COLUMN(T_TraitDi[Colonne23]),FALSE),"")</f>
        <v/>
      </c>
      <c r="AY60" s="284" t="e">
        <f>IF(VLOOKUP(T_Convention[[#This Row],[NumL]],T_TraitDi[#Data],COLUMN(T_TraitDi[Colonne24]),FALSE)=0,"",TEXT(IFERROR(VLOOKUP(T_Convention[[#This Row],[NumL]],T_TraitDi[#Data],COLUMN(T_TraitDi[Colonne24]),FALSE),""),"[hh]:mm"))</f>
        <v>#N/A</v>
      </c>
      <c r="AZ60" s="284" t="e">
        <f>IF(VLOOKUP(T_Convention[[#This Row],[NumL]],T_TraitDi[#Data],COLUMN(T_TraitDi[Colonne25]),FALSE)=0,"",TEXT(IFERROR(VLOOKUP(T_Convention[[#This Row],[NumL]],T_TraitDi[#Data],COLUMN(T_TraitDi[Colonne25]),FALSE),""),"[hh]:mm"))</f>
        <v>#N/A</v>
      </c>
      <c r="BA60" s="284" t="e">
        <f>IF(VLOOKUP(T_Convention[[#This Row],[NumL]],T_TraitDi[#Data],COLUMN(T_TraitDi[Colonne26]),FALSE)=0,"",TEXT(IFERROR(VLOOKUP(T_Convention[[#This Row],[NumL]],T_TraitDi[#Data],COLUMN(T_TraitDi[Colonne26]),FALSE),""),"[hh]:mm"))</f>
        <v>#N/A</v>
      </c>
      <c r="BB60" s="284" t="str">
        <f>IFERROR(VLOOKUP(T_Convention[[#This Row],[NumL]],T_TraitDi[#Data],COLUMN(T_TraitDi[Vendredi]),FALSE),"")</f>
        <v/>
      </c>
      <c r="BC60" s="284" t="e">
        <f>IF(VLOOKUP(T_Convention[[#This Row],[NumL]],T_TraitDi[#Data],COLUMN(T_TraitDi[Colonne27]),FALSE)=0,"",TEXT(IFERROR(VLOOKUP(T_Convention[[#This Row],[NumL]],T_TraitDi[#Data],COLUMN(T_TraitDi[Colonne27]),FALSE),""),"[hh]:mm"))</f>
        <v>#N/A</v>
      </c>
      <c r="BD60" s="284" t="e">
        <f>IF(VLOOKUP(T_Convention[[#This Row],[NumL]],T_TraitDi[#Data],COLUMN(T_TraitDi[Colonne28]),FALSE)=0,"",TEXT(IFERROR(VLOOKUP(T_Convention[[#This Row],[NumL]],T_TraitDi[#Data],COLUMN(T_TraitDi[Colonne28]),FALSE),""),"[hh]:mm"))</f>
        <v>#N/A</v>
      </c>
      <c r="BE60" s="284" t="str">
        <f>IFERROR(VLOOKUP(T_Convention[[#This Row],[NumL]],T_TraitDi[#Data],COLUMN(T_TraitDi[Colonne29]),FALSE),"")</f>
        <v/>
      </c>
      <c r="BF60" s="284" t="e">
        <f>IF(VLOOKUP(T_Convention[[#This Row],[NumL]],T_TraitDi[#Data],COLUMN(T_TraitDi[Colonne30]),FALSE)=0,"",TEXT(IFERROR(VLOOKUP(T_Convention[[#This Row],[NumL]],T_TraitDi[#Data],COLUMN(T_TraitDi[Colonne30]),FALSE),""),"[hh]:mm"))</f>
        <v>#N/A</v>
      </c>
      <c r="BG60" s="284" t="e">
        <f>IF(VLOOKUP(T_Convention[[#This Row],[NumL]],T_TraitDi[#Data],COLUMN(T_TraitDi[Colonne31]),FALSE)=0,"",TEXT(IFERROR(VLOOKUP(T_Convention[[#This Row],[NumL]],T_TraitDi[#Data],COLUMN(T_TraitDi[Colonne31]),FALSE),""),"[hh]:mm"))</f>
        <v>#N/A</v>
      </c>
      <c r="BH60" s="284" t="e">
        <f>IF(VLOOKUP(T_Convention[[#This Row],[NumL]],T_TraitDi[#Data],COLUMN(T_TraitDi[Colonne32]),FALSE)=0,"",TEXT(IFERROR(VLOOKUP(T_Convention[[#This Row],[NumL]],T_TraitDi[#Data],COLUMN(T_TraitDi[Colonne32]),FALSE),""),"[hh]:mm"))</f>
        <v>#N/A</v>
      </c>
      <c r="BI60" s="284" t="str">
        <f>IFERROR(VLOOKUP(T_Convention[[#This Row],[NumL]],T_TraitDi[#Data],COLUMN(T_TraitDi[NbJTW]),FALSE),"")</f>
        <v/>
      </c>
      <c r="BJ60" s="284" t="e">
        <f>IF(VLOOKUP(T_Convention[[#This Row],[NumL]],T_TraitDi[#Data],COLUMN(T_TraitDi[NbhTW]),FALSE)=0,"",TEXT(IFERROR(VLOOKUP(T_Convention[[#This Row],[NumL]],T_TraitDi[#Data],COLUMN(T_TraitDi[NbhTW]),FALSE),""),"[hh]:mm"))</f>
        <v>#N/A</v>
      </c>
      <c r="BK60" s="286" t="e">
        <f>IF(VLOOKUP(T_Convention[[#This Row],[NumL]],T_TraitDi[#Data],COLUMN(T_TraitDi[Nbhheb]),FALSE)=0,"",TEXT(IFERROR(VLOOKUP(T_Convention[[#This Row],[NumL]],T_TraitDi[#Data],COLUMN(T_TraitDi[Nbhheb]),FALSE),""),"[hh]:mm"))</f>
        <v>#N/A</v>
      </c>
      <c r="BL60" s="287" t="str">
        <f>IFERROR(VLOOKUP(VLOOKUP(T_Convention[[#This Row],[NumL]],T_TraitDi[#Data],COLUMN(T_TraitDi[Type1]),FALSE),TypeTW,2,FALSE),"")</f>
        <v/>
      </c>
      <c r="BM60" s="288" t="str">
        <f>IFERROR(VLOOKUP(T_Convention[[#This Row],[NumL]],T_TraitDi[#Data],COLUMN(T_TraitDi[Rue1]),FALSE),"")</f>
        <v/>
      </c>
      <c r="BN60" s="289" t="str">
        <f>IFERROR(VLOOKUP(T_Convention[[#This Row],[NumL]],T_TraitDi[#Data],COLUMN(T_TraitDi[CP1]),FALSE),"")</f>
        <v/>
      </c>
      <c r="BO60" s="282" t="str">
        <f>IFERROR(VLOOKUP(T_Convention[[#This Row],[NumL]],T_TraitDi[#Data],COLUMN(T_TraitDi[VILLE1]),FALSE),"")</f>
        <v/>
      </c>
      <c r="BP60" s="290" t="str">
        <f>IFERROR(VLOOKUP(VLOOKUP(T_Convention[[#This Row],[NumL]],T_TraitDi[#Data],COLUMN(T_TraitDi[Type2]),FALSE),TypeTW,2,FALSE),"")</f>
        <v/>
      </c>
      <c r="BQ60" s="182" t="str">
        <f>IFERROR(VLOOKUP(T_Convention[[#This Row],[NumL]],T_TraitDi[#Data],COLUMN(T_TraitDi[Rue2]),FALSE),"")</f>
        <v/>
      </c>
      <c r="BR60" s="173" t="str">
        <f>IFERROR(VLOOKUP(T_Convention[[#This Row],[NumL]],T_TraitDi[#Data],COLUMN(T_TraitDi[CP2]),FALSE),"")</f>
        <v/>
      </c>
      <c r="BS60" s="173" t="str">
        <f>IFERROR(VLOOKUP(T_Convention[[#This Row],[NumL]],T_TraitDi[#Data],COLUMN(T_TraitDi[VILLE2]),FALSE),"")</f>
        <v/>
      </c>
      <c r="BT60" s="182" t="str">
        <f>IF(VLOOKUP(T_Convention[[#This Row],[NumL]],T_Equipement[#Data],COLUMN(T_Equipement[PC]),FALSE)="","Aucun équipement spécifique directement lié au télétravail",VLOOKUP(T_Convention[[#This Row],[NumL]],T_Equipement[#Data],COLUMN(T_Equipement[PC]),FALSE))</f>
        <v>14-049	 mac</v>
      </c>
      <c r="BU60" s="166" t="str">
        <f>IFERROR(IF(VLOOKUP(T_Convention[[#This Row],[NumL]],T_TraitDi[#Data],COLUMN(T_TraitDi[Plan]),FALSE)="OK","Un planning spécifique de télétravail est annexé à la présente convention.",""),"")</f>
        <v/>
      </c>
      <c r="BV60" s="185" t="s">
        <v>3350</v>
      </c>
      <c r="BW60" s="164" t="e">
        <f>IF(VLOOKUP(T_Convention[[#This Row],[NumL]],T_suiviDi[#Data],COLUMN(T_suiviDi[Entité]),FALSE)="","",VLOOKUP(T_Convention[[#This Row],[NumL]],T_suiviDi[#Data],COLUMN(T_suiviDi[Entité]),FALSE))</f>
        <v>#N/A</v>
      </c>
      <c r="BX60" s="164" t="str">
        <f>IF(VLOOKUP(T_Convention[[#This Row],[NumL]],T_Commission[#Data],COLUMN(T_Commission[envoi confirm TW]),FALSE)="","",VLOOKUP(T_Convention[[#This Row],[NumL]],T_Commission[#Data],COLUMN(T_Commission[envoi confirm TW]),FALSE))</f>
        <v>Oui</v>
      </c>
      <c r="BY6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0" s="264">
        <f>VLOOKUP(T_Convention[[#This Row],[NumL]],T_Commission[#Data],COLUMN(T_Commission[Commentaire]),FALSE)</f>
        <v>0</v>
      </c>
      <c r="CA60" s="254" t="str">
        <f>IF(VLOOKUP(T_Convention[[#This Row],[NumL]],T_Commission[#Data],COLUMN(T_Commission[Encadrant Email]),FALSE)="","",VLOOKUP(T_Convention[[#This Row],[NumL]],T_Commission[#Data],COLUMN(T_Commission[Encadrant Email]),FALSE))</f>
        <v/>
      </c>
      <c r="CB60" s="352" t="e">
        <f>VLOOKUP(T_Convention[[#This Row],[NumL]],T_TraitDi[#Data],COLUMN(T_TraitDi[NbJTot]),FALSE)</f>
        <v>#N/A</v>
      </c>
      <c r="CC60" s="352" t="e">
        <f>VLOOKUP(T_Convention[[#This Row],[NumL]],T_TraitDi[#Data],COLUMN(T_TraitDi[Reg Ponct]),FALSE)</f>
        <v>#N/A</v>
      </c>
      <c r="CD60" s="348" t="str">
        <f>IF(T_Convention[[#This Row],[Final]]&lt;&gt;"",VLOOKUP(T_Convention[[#This Row],[NumL]],T_suiviDi[#Data],COLUMN((T_suiviDi[Statut])),FALSE),"")</f>
        <v/>
      </c>
    </row>
    <row r="61" spans="1:82" s="106" customFormat="1" ht="18.75" customHeight="1" x14ac:dyDescent="0.25">
      <c r="A61" s="160">
        <v>157</v>
      </c>
      <c r="B61" s="161" t="str">
        <f>VLOOKUP(T_Convention[[#This Row],[NumL]],T_Commission[#Data],COLUMN(T_Commission[FINAL]),FALSE)</f>
        <v/>
      </c>
      <c r="C61" s="162"/>
      <c r="D61" s="95" t="e">
        <f>IF(VLOOKUP(T_Convention[[#This Row],[NumL]],T_TraitDi[#Data],COLUMN(T_TraitDi[WebC]),FALSE)="","",VLOOKUP(T_Convention[[#This Row],[NumL]],T_TraitDi[#Data],COLUMN(T_TraitDi[WebC]),FALSE))</f>
        <v>#N/A</v>
      </c>
      <c r="E61" s="163" t="str">
        <f t="shared" si="0"/>
        <v>12 janvier 2021</v>
      </c>
      <c r="F61" s="282" t="str">
        <f>IF(T_Convention[[#This Row],[Final]]&lt;&gt;"",VLOOKUP(T_Convention[[#This Row],[NumL]],T_suiviDi[#Data],COLUMN((T_suiviDi[Civ.])),FALSE),"")</f>
        <v/>
      </c>
      <c r="G61" s="283" t="str">
        <f>IF(T_Convention[[#This Row],[Final]]&lt;&gt;"",VLOOKUP(T_Convention[[#This Row],[NumL]],T_suiviDi[#Data],COLUMN((T_suiviDi[Nom])),FALSE),"")</f>
        <v/>
      </c>
      <c r="H61" s="282" t="str">
        <f>IF(T_Convention[[#This Row],[Final]]&lt;&gt;"",VLOOKUP(T_Convention[[#This Row],[NumL]],T_suiviDi[#Data],COLUMN((T_suiviDi[Prénom])),FALSE),"")</f>
        <v/>
      </c>
      <c r="I61" s="282" t="e">
        <f>VLOOKUP(T_Convention[[#This Row],[NumL]],T_suiviDi[#Data],COLUMN((T_suiviDi[[#This Row],[Email]])),FALSE)</f>
        <v>#VALUE!</v>
      </c>
      <c r="J61" s="282" t="e">
        <f>IF(VLOOKUP(T_Convention[[#This Row],[NumL]],T_suiviDi[#Data],COLUMN(T_suiviDi[[#This Row],[Fonction]]),FALSE)="","",VLOOKUP(T_Convention[[#This Row],[NumL]],T_suiviDi[#Data],COLUMN(T_suiviDi[[#This Row],[Fonction]]),FALSE))</f>
        <v>#VALUE!</v>
      </c>
      <c r="K61" s="282" t="e">
        <f>IF(VLOOKUP(T_Convention[[#This Row],[NumL]],T_suiviDi[#Data],COLUMN(T_suiviDi[[#This Row],[Grade]]),FALSE)="","",VLOOKUP(T_Convention[[#This Row],[NumL]],T_suiviDi[#Data],COLUMN(T_suiviDi[[#This Row],[Grade]]),FALSE))</f>
        <v>#VALUE!</v>
      </c>
      <c r="L61" s="282" t="e">
        <f>IF(VLOOKUP(T_Convention[[#This Row],[NumL]],T_suiviDi[#Data],COLUMN(T_suiviDi[[#This Row],[Service ]]),FALSE)="","",VLOOKUP(T_Convention[[#This Row],[NumL]],T_suiviDi[#Data],COLUMN(T_suiviDi[[#This Row],[Service ]]),FALSE))</f>
        <v>#VALUE!</v>
      </c>
      <c r="M61" s="164" t="str">
        <f t="shared" si="1"/>
        <v>01 septembre 2021</v>
      </c>
      <c r="N61" s="164" t="str">
        <f t="shared" si="2"/>
        <v>30 novembre 2021</v>
      </c>
      <c r="O61" s="284" t="str">
        <f t="shared" si="3"/>
        <v>30 novembre 2021</v>
      </c>
      <c r="P61" s="282" t="e">
        <f>IF(VLOOKUP(T_Convention[[#This Row],[NumL]],T_TraitDi[#Data],COLUMN(T_TraitDi[M1]),FALSE)="","",VLOOKUP(T_Convention[[#This Row],[NumL]],T_TraitDi[#Data],COLUMN(T_TraitDi[M1]),FALSE))</f>
        <v>#N/A</v>
      </c>
      <c r="Q61" s="282" t="e">
        <f>IF(VLOOKUP(T_Convention[[#This Row],[NumL]],T_TraitDi[#Data],COLUMN(T_TraitDi[M2]),FALSE)="","",VLOOKUP(T_Convention[[#This Row],[NumL]],T_TraitDi[#Data],COLUMN(T_TraitDi[M2]),FALSE))</f>
        <v>#N/A</v>
      </c>
      <c r="R61" s="282" t="e">
        <f>IF(VLOOKUP(T_Convention[[#This Row],[NumL]],T_TraitDi[#Data],COLUMN(T_TraitDi[M3]),FALSE)="","",VLOOKUP(T_Convention[[#This Row],[NumL]],T_TraitDi[#Data],COLUMN(T_TraitDi[M3]),FALSE))</f>
        <v>#N/A</v>
      </c>
      <c r="S61" s="282" t="e">
        <f>IF(VLOOKUP(T_Convention[[#This Row],[NumL]],T_TraitDi[#Data],COLUMN(T_TraitDi[M4]),FALSE)="","",VLOOKUP(T_Convention[[#This Row],[NumL]],T_TraitDi[#Data],COLUMN(T_TraitDi[M4]),FALSE))</f>
        <v>#N/A</v>
      </c>
      <c r="T61" s="282" t="e">
        <f>IF(VLOOKUP(T_Convention[[#This Row],[NumL]],T_TraitDi[#Data],COLUMN(T_TraitDi[M5]),FALSE)="","",VLOOKUP(T_Convention[[#This Row],[NumL]],T_TraitDi[#Data],COLUMN(T_TraitDi[M5]),FALSE))</f>
        <v>#N/A</v>
      </c>
      <c r="U61" s="282" t="e">
        <f>IF(VLOOKUP(T_Convention[[#This Row],[NumL]],T_TraitDi[#Data],COLUMN(T_TraitDi[M6]),FALSE)="","",VLOOKUP(T_Convention[[#This Row],[NumL]],T_TraitDi[#Data],COLUMN(T_TraitDi[M6]),FALSE))</f>
        <v>#N/A</v>
      </c>
      <c r="V61" s="176" t="e">
        <f t="shared" si="4"/>
        <v>#N/A</v>
      </c>
      <c r="W61" s="284" t="str">
        <f>IFERROR(TEXT(VLOOKUP(T_Convention[[#This Row],[NumL]],T_TraitDi[#Data],COLUMN(T_TraitDi[Q2]),FALSE),"###%"),"")</f>
        <v/>
      </c>
      <c r="X61" s="97" t="e">
        <f>VLOOKUP(T_Convention[[#This Row],[NumL]],T_TraitDi[#Data],COLUMN(T_TraitDi[Reg Ponct]),FALSE)</f>
        <v>#N/A</v>
      </c>
      <c r="Y61" s="97" t="e">
        <f>VLOOKUP(T_Convention[NumL],T_TraitDi[#Data],COLUMN(T_TraitDi[Jours flottants]),FALSE)</f>
        <v>#N/A</v>
      </c>
      <c r="Z61" s="284" t="str">
        <f>IFERROR(VLOOKUP(T_Convention[[#This Row],[NumL]],T_TraitDi[#Data],COLUMN(T_TraitDi[Lundi]),FALSE),"")</f>
        <v/>
      </c>
      <c r="AA61" s="284" t="e">
        <f>IF(VLOOKUP(T_Convention[[#This Row],[NumL]],T_TraitDi[#Data],COLUMN(T_TraitDi[Colonne3]),FALSE)=0,"",TEXT(IFERROR(VLOOKUP(T_Convention[[#This Row],[NumL]],T_TraitDi[#Data],COLUMN(T_TraitDi[Colonne3]),FALSE),""),"[hh]:mm"))</f>
        <v>#N/A</v>
      </c>
      <c r="AB61" s="284" t="e">
        <f>IF(VLOOKUP(T_Convention[[#This Row],[NumL]],T_TraitDi[#Data],COLUMN(T_TraitDi[Colonne4]),FALSE)=0,"",TEXT(IFERROR(VLOOKUP(T_Convention[[#This Row],[NumL]],T_TraitDi[#Data],COLUMN(T_TraitDi[Colonne4]),FALSE),""),"[hh]:mm"))</f>
        <v>#N/A</v>
      </c>
      <c r="AC61" s="284" t="e">
        <f>IF(VLOOKUP(T_Convention[[#This Row],[NumL]],T_TraitDi[#Data],COLUMN(T_TraitDi[Colonne5]),FALSE)=0,"",TEXT(IFERROR(VLOOKUP(T_Convention[[#This Row],[NumL]],T_TraitDi[#Data],COLUMN(T_TraitDi[Colonne5]),FALSE),""),"[hh]:mm"))</f>
        <v>#N/A</v>
      </c>
      <c r="AD61" s="284" t="e">
        <f>IF(VLOOKUP(T_Convention[[#This Row],[NumL]],T_TraitDi[#Data],COLUMN(T_TraitDi[Colonne6]),FALSE)=0,"",TEXT(IFERROR(VLOOKUP(T_Convention[[#This Row],[NumL]],T_TraitDi[#Data],COLUMN(T_TraitDi[Colonne6]),FALSE),""),"[hh]:mm"))</f>
        <v>#N/A</v>
      </c>
      <c r="AE61" s="284" t="e">
        <f>IF(VLOOKUP(T_Convention[[#This Row],[NumL]],T_TraitDi[#Data],COLUMN(T_TraitDi[Colonne7]),FALSE)=0,"",TEXT(IFERROR(VLOOKUP(T_Convention[[#This Row],[NumL]],T_TraitDi[#Data],COLUMN(T_TraitDi[Colonne7]),FALSE),""),"[hh]:mm"))</f>
        <v>#N/A</v>
      </c>
      <c r="AF61" s="284" t="e">
        <f>IF(VLOOKUP(T_Convention[[#This Row],[NumL]],T_TraitDi[#Data],COLUMN(T_TraitDi[Colonne8]),FALSE)=0,"",TEXT(IFERROR(VLOOKUP(T_Convention[[#This Row],[NumL]],T_TraitDi[#Data],COLUMN(T_TraitDi[Colonne8]),FALSE),""),"[hh]:mm"))</f>
        <v>#N/A</v>
      </c>
      <c r="AG61" s="284" t="str">
        <f>IFERROR(VLOOKUP(T_Convention[[#This Row],[NumL]],T_TraitDi[#Data],COLUMN(T_TraitDi[Mardi]),FALSE),"")</f>
        <v/>
      </c>
      <c r="AH61" s="284" t="e">
        <f>IF(VLOOKUP(T_Convention[[#This Row],[NumL]],T_TraitDi[#Data],COLUMN(T_TraitDi[Colonne1]),FALSE)=0,"",TEXT(IFERROR(VLOOKUP(T_Convention[[#This Row],[NumL]],T_TraitDi[#Data],COLUMN(T_TraitDi[Colonne1]),FALSE),""),"[hh]:mm"))</f>
        <v>#N/A</v>
      </c>
      <c r="AI61" s="284" t="e">
        <f>IF(VLOOKUP(T_Convention[[#This Row],[NumL]],T_TraitDi[#Data],COLUMN(T_TraitDi[Colonne9]),FALSE)=0,"",TEXT(IFERROR(VLOOKUP(T_Convention[[#This Row],[NumL]],T_TraitDi[#Data],COLUMN(T_TraitDi[Colonne9]),FALSE),""),"[hh]:mm"))</f>
        <v>#N/A</v>
      </c>
      <c r="AJ61" s="284" t="str">
        <f>IFERROR(VLOOKUP(T_Convention[[#This Row],[NumL]],T_TraitDi[#Data],COLUMN(T_TraitDi[Colonne10]),FALSE),"")</f>
        <v/>
      </c>
      <c r="AK61" s="284" t="e">
        <f>IF(VLOOKUP(T_Convention[[#This Row],[NumL]],T_TraitDi[#Data],COLUMN(T_TraitDi[Colonne11]),FALSE)=0,"",TEXT(IFERROR(VLOOKUP(T_Convention[[#This Row],[NumL]],T_TraitDi[#Data],COLUMN(T_TraitDi[Colonne11]),FALSE),""),"[hh]:mm"))</f>
        <v>#N/A</v>
      </c>
      <c r="AL61" s="284" t="e">
        <f>IF(VLOOKUP(T_Convention[[#This Row],[NumL]],T_TraitDi[#Data],COLUMN(T_TraitDi[Colonne12]),FALSE)=0,"",TEXT(IFERROR(VLOOKUP(T_Convention[[#This Row],[NumL]],T_TraitDi[#Data],COLUMN(T_TraitDi[Colonne12]),FALSE),""),"[hh]:mm"))</f>
        <v>#N/A</v>
      </c>
      <c r="AM61" s="284" t="e">
        <f>IF(VLOOKUP(T_Convention[[#This Row],[NumL]],T_TraitDi[#Data],COLUMN(T_TraitDi[Colonne14]),FALSE)=0,"",TEXT(IFERROR(VLOOKUP(T_Convention[[#This Row],[NumL]],T_TraitDi[#Data],COLUMN(T_TraitDi[Colonne14]),FALSE),""),"[hh]:mm"))</f>
        <v>#N/A</v>
      </c>
      <c r="AN61" s="284" t="str">
        <f>IFERROR(VLOOKUP(T_Convention[[#This Row],[NumL]],T_TraitDi[#Data],COLUMN(T_TraitDi[Mercredi]),FALSE),"")</f>
        <v/>
      </c>
      <c r="AO61" s="284" t="e">
        <f>IF(VLOOKUP(T_Convention[[#This Row],[NumL]],T_TraitDi[#Data],COLUMN(T_TraitDi[Colonne15]),FALSE)=0,"",TEXT(IFERROR(VLOOKUP(T_Convention[[#This Row],[NumL]],T_TraitDi[#Data],COLUMN(T_TraitDi[Colonne15]),FALSE),""),"[hh]:mm"))</f>
        <v>#N/A</v>
      </c>
      <c r="AP61" s="284" t="e">
        <f>IF(VLOOKUP(T_Convention[[#This Row],[NumL]],T_TraitDi[#Data],COLUMN(T_TraitDi[Colonne16]),FALSE)=0,"",TEXT(IFERROR(VLOOKUP(T_Convention[[#This Row],[NumL]],T_TraitDi[#Data],COLUMN(T_TraitDi[Colonne16]),FALSE),""),"[hh]:mm"))</f>
        <v>#N/A</v>
      </c>
      <c r="AQ61" s="284" t="str">
        <f>IFERROR(VLOOKUP(T_Convention[[#This Row],[NumL]],T_TraitDi[#Data],COLUMN(T_TraitDi[Colonne17]),FALSE),"")</f>
        <v/>
      </c>
      <c r="AR61" s="284" t="e">
        <f>IF(VLOOKUP(T_Convention[[#This Row],[NumL]],T_TraitDi[#Data],COLUMN(T_TraitDi[Colonne18]),FALSE)=0,"",TEXT(IFERROR(VLOOKUP(T_Convention[[#This Row],[NumL]],T_TraitDi[#Data],COLUMN(T_TraitDi[Colonne18]),FALSE),""),"[hh]:mm"))</f>
        <v>#N/A</v>
      </c>
      <c r="AS61" s="284" t="e">
        <f>IF(VLOOKUP(T_Convention[[#This Row],[NumL]],T_TraitDi[#Data],COLUMN(T_TraitDi[Colonne19]),FALSE)=0,"",TEXT(IFERROR(VLOOKUP(T_Convention[[#This Row],[NumL]],T_TraitDi[#Data],COLUMN(T_TraitDi[Colonne19]),FALSE),""),"[hh]:mm"))</f>
        <v>#N/A</v>
      </c>
      <c r="AT61" s="284" t="e">
        <f>IF(VLOOKUP(T_Convention[[#This Row],[NumL]],T_TraitDi[#Data],COLUMN(T_TraitDi[Colonne20]),FALSE)=0,"",TEXT(IFERROR(VLOOKUP(T_Convention[[#This Row],[NumL]],T_TraitDi[#Data],COLUMN(T_TraitDi[Colonne20]),FALSE),""),"[hh]:mm"))</f>
        <v>#N/A</v>
      </c>
      <c r="AU61" s="284" t="str">
        <f>IFERROR(VLOOKUP(T_Convention[[#This Row],[NumL]],T_TraitDi[#Data],COLUMN(T_TraitDi[Jeudi]),FALSE),"")</f>
        <v/>
      </c>
      <c r="AV61" s="284" t="e">
        <f>IF(VLOOKUP(T_Convention[[#This Row],[NumL]],T_TraitDi[#Data],COLUMN(T_TraitDi[Colonne21]),FALSE)=0,"",TEXT(IFERROR(VLOOKUP(T_Convention[[#This Row],[NumL]],T_TraitDi[#Data],COLUMN(T_TraitDi[Colonne21]),FALSE),""),"[hh]:mm"))</f>
        <v>#N/A</v>
      </c>
      <c r="AW61" s="284" t="e">
        <f>IF(VLOOKUP(T_Convention[[#This Row],[NumL]],T_TraitDi[#Data],COLUMN(T_TraitDi[Colonne22]),FALSE)=0,"",TEXT(IFERROR(VLOOKUP(T_Convention[[#This Row],[NumL]],T_TraitDi[#Data],COLUMN(T_TraitDi[Colonne22]),FALSE),""),"[hh]:mm"))</f>
        <v>#N/A</v>
      </c>
      <c r="AX61" s="284" t="str">
        <f>IFERROR(VLOOKUP(T_Convention[[#This Row],[NumL]],T_TraitDi[#Data],COLUMN(T_TraitDi[Colonne23]),FALSE),"")</f>
        <v/>
      </c>
      <c r="AY61" s="284" t="e">
        <f>IF(VLOOKUP(T_Convention[[#This Row],[NumL]],T_TraitDi[#Data],COLUMN(T_TraitDi[Colonne24]),FALSE)=0,"",TEXT(IFERROR(VLOOKUP(T_Convention[[#This Row],[NumL]],T_TraitDi[#Data],COLUMN(T_TraitDi[Colonne24]),FALSE),""),"[hh]:mm"))</f>
        <v>#N/A</v>
      </c>
      <c r="AZ61" s="284" t="e">
        <f>IF(VLOOKUP(T_Convention[[#This Row],[NumL]],T_TraitDi[#Data],COLUMN(T_TraitDi[Colonne25]),FALSE)=0,"",TEXT(IFERROR(VLOOKUP(T_Convention[[#This Row],[NumL]],T_TraitDi[#Data],COLUMN(T_TraitDi[Colonne25]),FALSE),""),"[hh]:mm"))</f>
        <v>#N/A</v>
      </c>
      <c r="BA61" s="284" t="e">
        <f>IF(VLOOKUP(T_Convention[[#This Row],[NumL]],T_TraitDi[#Data],COLUMN(T_TraitDi[Colonne26]),FALSE)=0,"",TEXT(IFERROR(VLOOKUP(T_Convention[[#This Row],[NumL]],T_TraitDi[#Data],COLUMN(T_TraitDi[Colonne26]),FALSE),""),"[hh]:mm"))</f>
        <v>#N/A</v>
      </c>
      <c r="BB61" s="284" t="str">
        <f>IFERROR(VLOOKUP(T_Convention[[#This Row],[NumL]],T_TraitDi[#Data],COLUMN(T_TraitDi[Vendredi]),FALSE),"")</f>
        <v/>
      </c>
      <c r="BC61" s="284" t="e">
        <f>IF(VLOOKUP(T_Convention[[#This Row],[NumL]],T_TraitDi[#Data],COLUMN(T_TraitDi[Colonne27]),FALSE)=0,"",TEXT(IFERROR(VLOOKUP(T_Convention[[#This Row],[NumL]],T_TraitDi[#Data],COLUMN(T_TraitDi[Colonne27]),FALSE),""),"[hh]:mm"))</f>
        <v>#N/A</v>
      </c>
      <c r="BD61" s="284" t="e">
        <f>IF(VLOOKUP(T_Convention[[#This Row],[NumL]],T_TraitDi[#Data],COLUMN(T_TraitDi[Colonne28]),FALSE)=0,"",TEXT(IFERROR(VLOOKUP(T_Convention[[#This Row],[NumL]],T_TraitDi[#Data],COLUMN(T_TraitDi[Colonne28]),FALSE),""),"[hh]:mm"))</f>
        <v>#N/A</v>
      </c>
      <c r="BE61" s="284" t="str">
        <f>IFERROR(VLOOKUP(T_Convention[[#This Row],[NumL]],T_TraitDi[#Data],COLUMN(T_TraitDi[Colonne29]),FALSE),"")</f>
        <v/>
      </c>
      <c r="BF61" s="284" t="e">
        <f>IF(VLOOKUP(T_Convention[[#This Row],[NumL]],T_TraitDi[#Data],COLUMN(T_TraitDi[Colonne30]),FALSE)=0,"",TEXT(IFERROR(VLOOKUP(T_Convention[[#This Row],[NumL]],T_TraitDi[#Data],COLUMN(T_TraitDi[Colonne30]),FALSE),""),"[hh]:mm"))</f>
        <v>#N/A</v>
      </c>
      <c r="BG61" s="284" t="e">
        <f>IF(VLOOKUP(T_Convention[[#This Row],[NumL]],T_TraitDi[#Data],COLUMN(T_TraitDi[Colonne31]),FALSE)=0,"",TEXT(IFERROR(VLOOKUP(T_Convention[[#This Row],[NumL]],T_TraitDi[#Data],COLUMN(T_TraitDi[Colonne31]),FALSE),""),"[hh]:mm"))</f>
        <v>#N/A</v>
      </c>
      <c r="BH61" s="284" t="e">
        <f>IF(VLOOKUP(T_Convention[[#This Row],[NumL]],T_TraitDi[#Data],COLUMN(T_TraitDi[Colonne32]),FALSE)=0,"",TEXT(IFERROR(VLOOKUP(T_Convention[[#This Row],[NumL]],T_TraitDi[#Data],COLUMN(T_TraitDi[Colonne32]),FALSE),""),"[hh]:mm"))</f>
        <v>#N/A</v>
      </c>
      <c r="BI61" s="284" t="str">
        <f>IFERROR(VLOOKUP(T_Convention[[#This Row],[NumL]],T_TraitDi[#Data],COLUMN(T_TraitDi[NbJTW]),FALSE),"")</f>
        <v/>
      </c>
      <c r="BJ61" s="284" t="e">
        <f>IF(VLOOKUP(T_Convention[[#This Row],[NumL]],T_TraitDi[#Data],COLUMN(T_TraitDi[NbhTW]),FALSE)=0,"",TEXT(IFERROR(VLOOKUP(T_Convention[[#This Row],[NumL]],T_TraitDi[#Data],COLUMN(T_TraitDi[NbhTW]),FALSE),""),"[hh]:mm"))</f>
        <v>#N/A</v>
      </c>
      <c r="BK61" s="286" t="e">
        <f>IF(VLOOKUP(T_Convention[[#This Row],[NumL]],T_TraitDi[#Data],COLUMN(T_TraitDi[Nbhheb]),FALSE)=0,"",TEXT(IFERROR(VLOOKUP(T_Convention[[#This Row],[NumL]],T_TraitDi[#Data],COLUMN(T_TraitDi[Nbhheb]),FALSE),""),"[hh]:mm"))</f>
        <v>#N/A</v>
      </c>
      <c r="BL61" s="287" t="str">
        <f>IFERROR(VLOOKUP(VLOOKUP(T_Convention[[#This Row],[NumL]],T_TraitDi[#Data],COLUMN(T_TraitDi[Type1]),FALSE),TypeTW,2,FALSE),"")</f>
        <v/>
      </c>
      <c r="BM61" s="288" t="str">
        <f>IFERROR(VLOOKUP(T_Convention[[#This Row],[NumL]],T_TraitDi[#Data],COLUMN(T_TraitDi[Rue1]),FALSE),"")</f>
        <v/>
      </c>
      <c r="BN61" s="289" t="str">
        <f>IFERROR(VLOOKUP(T_Convention[[#This Row],[NumL]],T_TraitDi[#Data],COLUMN(T_TraitDi[CP1]),FALSE),"")</f>
        <v/>
      </c>
      <c r="BO61" s="282" t="str">
        <f>IFERROR(VLOOKUP(T_Convention[[#This Row],[NumL]],T_TraitDi[#Data],COLUMN(T_TraitDi[VILLE1]),FALSE),"")</f>
        <v/>
      </c>
      <c r="BP61" s="290" t="str">
        <f>IFERROR(VLOOKUP(VLOOKUP(T_Convention[[#This Row],[NumL]],T_TraitDi[#Data],COLUMN(T_TraitDi[Type2]),FALSE),TypeTW,2,FALSE),"")</f>
        <v/>
      </c>
      <c r="BQ61" s="182" t="str">
        <f>IFERROR(VLOOKUP(T_Convention[[#This Row],[NumL]],T_TraitDi[#Data],COLUMN(T_TraitDi[Rue2]),FALSE),"")</f>
        <v/>
      </c>
      <c r="BR61" s="173" t="str">
        <f>IFERROR(VLOOKUP(T_Convention[[#This Row],[NumL]],T_TraitDi[#Data],COLUMN(T_TraitDi[CP2]),FALSE),"")</f>
        <v/>
      </c>
      <c r="BS61" s="173" t="str">
        <f>IFERROR(VLOOKUP(T_Convention[[#This Row],[NumL]],T_TraitDi[#Data],COLUMN(T_TraitDi[VILLE2]),FALSE),"")</f>
        <v/>
      </c>
      <c r="BT61" s="182" t="str">
        <f>IF(VLOOKUP(T_Convention[[#This Row],[NumL]],T_Equipement[#Data],COLUMN(T_Equipement[PC]),FALSE)="","Aucun équipement spécifique directement lié au télétravail",VLOOKUP(T_Convention[[#This Row],[NumL]],T_Equipement[#Data],COLUMN(T_Equipement[PC]),FALSE))</f>
        <v xml:space="preserve">18-197	</v>
      </c>
      <c r="BU61" s="166" t="str">
        <f>IFERROR(IF(VLOOKUP(T_Convention[[#This Row],[NumL]],T_TraitDi[#Data],COLUMN(T_TraitDi[Plan]),FALSE)="OK","Un planning spécifique de télétravail est annexé à la présente convention.",""),"")</f>
        <v/>
      </c>
      <c r="BV61" s="185" t="s">
        <v>3471</v>
      </c>
      <c r="BW61" s="164" t="e">
        <f>IF(VLOOKUP(T_Convention[[#This Row],[NumL]],T_suiviDi[#Data],COLUMN(T_suiviDi[Entité]),FALSE)="","",VLOOKUP(T_Convention[[#This Row],[NumL]],T_suiviDi[#Data],COLUMN(T_suiviDi[Entité]),FALSE))</f>
        <v>#N/A</v>
      </c>
      <c r="BX61" s="164" t="str">
        <f>IF(VLOOKUP(T_Convention[[#This Row],[NumL]],T_Commission[#Data],COLUMN(T_Commission[envoi confirm TW]),FALSE)="","",VLOOKUP(T_Convention[[#This Row],[NumL]],T_Commission[#Data],COLUMN(T_Commission[envoi confirm TW]),FALSE))</f>
        <v>Oui</v>
      </c>
      <c r="BY6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1" s="264">
        <f>VLOOKUP(T_Convention[[#This Row],[NumL]],T_Commission[#Data],COLUMN(T_Commission[Commentaire]),FALSE)</f>
        <v>0</v>
      </c>
      <c r="CA61" s="254" t="str">
        <f>IF(VLOOKUP(T_Convention[[#This Row],[NumL]],T_Commission[#Data],COLUMN(T_Commission[Encadrant Email]),FALSE)="","",VLOOKUP(T_Convention[[#This Row],[NumL]],T_Commission[#Data],COLUMN(T_Commission[Encadrant Email]),FALSE))</f>
        <v/>
      </c>
      <c r="CB61" s="352" t="e">
        <f>VLOOKUP(T_Convention[[#This Row],[NumL]],T_TraitDi[#Data],COLUMN(T_TraitDi[NbJTot]),FALSE)</f>
        <v>#N/A</v>
      </c>
      <c r="CC61" s="352" t="e">
        <f>VLOOKUP(T_Convention[[#This Row],[NumL]],T_TraitDi[#Data],COLUMN(T_TraitDi[Reg Ponct]),FALSE)</f>
        <v>#N/A</v>
      </c>
      <c r="CD61" s="348" t="str">
        <f>IF(T_Convention[[#This Row],[Final]]&lt;&gt;"",VLOOKUP(T_Convention[[#This Row],[NumL]],T_suiviDi[#Data],COLUMN((T_suiviDi[Statut])),FALSE),"")</f>
        <v/>
      </c>
    </row>
    <row r="62" spans="1:82" s="106" customFormat="1" ht="18.75" customHeight="1" x14ac:dyDescent="0.25">
      <c r="A62" s="160">
        <v>39</v>
      </c>
      <c r="B62" s="161" t="str">
        <f>VLOOKUP(T_Convention[[#This Row],[NumL]],T_Commission[#Data],COLUMN(T_Commission[FINAL]),FALSE)</f>
        <v/>
      </c>
      <c r="C62" s="162"/>
      <c r="D62" s="95" t="e">
        <f>IF(VLOOKUP(T_Convention[[#This Row],[NumL]],T_TraitDi[#Data],COLUMN(T_TraitDi[WebC]),FALSE)="","",VLOOKUP(T_Convention[[#This Row],[NumL]],T_TraitDi[#Data],COLUMN(T_TraitDi[WebC]),FALSE))</f>
        <v>#N/A</v>
      </c>
      <c r="E62" s="163" t="str">
        <f t="shared" si="0"/>
        <v>12 janvier 2021</v>
      </c>
      <c r="F62" s="282" t="str">
        <f>IF(T_Convention[[#This Row],[Final]]&lt;&gt;"",VLOOKUP(T_Convention[[#This Row],[NumL]],T_suiviDi[#Data],COLUMN((T_suiviDi[Civ.])),FALSE),"")</f>
        <v/>
      </c>
      <c r="G62" s="283" t="str">
        <f>IF(T_Convention[[#This Row],[Final]]&lt;&gt;"",VLOOKUP(T_Convention[[#This Row],[NumL]],T_suiviDi[#Data],COLUMN((T_suiviDi[Nom])),FALSE),"")</f>
        <v/>
      </c>
      <c r="H62" s="282" t="str">
        <f>IF(T_Convention[[#This Row],[Final]]&lt;&gt;"",VLOOKUP(T_Convention[[#This Row],[NumL]],T_suiviDi[#Data],COLUMN((T_suiviDi[Prénom])),FALSE),"")</f>
        <v/>
      </c>
      <c r="I62" s="282" t="e">
        <f>VLOOKUP(T_Convention[[#This Row],[NumL]],T_suiviDi[#Data],COLUMN((T_suiviDi[[#This Row],[Email]])),FALSE)</f>
        <v>#VALUE!</v>
      </c>
      <c r="J62" s="282" t="e">
        <f>IF(VLOOKUP(T_Convention[[#This Row],[NumL]],T_suiviDi[#Data],COLUMN(T_suiviDi[[#This Row],[Fonction]]),FALSE)="","",VLOOKUP(T_Convention[[#This Row],[NumL]],T_suiviDi[#Data],COLUMN(T_suiviDi[[#This Row],[Fonction]]),FALSE))</f>
        <v>#VALUE!</v>
      </c>
      <c r="K62" s="282" t="e">
        <f>IF(VLOOKUP(T_Convention[[#This Row],[NumL]],T_suiviDi[#Data],COLUMN(T_suiviDi[[#This Row],[Grade]]),FALSE)="","",VLOOKUP(T_Convention[[#This Row],[NumL]],T_suiviDi[#Data],COLUMN(T_suiviDi[[#This Row],[Grade]]),FALSE))</f>
        <v>#VALUE!</v>
      </c>
      <c r="L62" s="282" t="e">
        <f>IF(VLOOKUP(T_Convention[[#This Row],[NumL]],T_suiviDi[#Data],COLUMN(T_suiviDi[[#This Row],[Service ]]),FALSE)="","",VLOOKUP(T_Convention[[#This Row],[NumL]],T_suiviDi[#Data],COLUMN(T_suiviDi[[#This Row],[Service ]]),FALSE))</f>
        <v>#VALUE!</v>
      </c>
      <c r="M62" s="164" t="str">
        <f t="shared" si="1"/>
        <v>01 septembre 2021</v>
      </c>
      <c r="N62" s="164" t="str">
        <f t="shared" si="2"/>
        <v>30 novembre 2021</v>
      </c>
      <c r="O62" s="284" t="str">
        <f t="shared" si="3"/>
        <v>30 novembre 2021</v>
      </c>
      <c r="P62" s="282" t="e">
        <f>IF(VLOOKUP(T_Convention[[#This Row],[NumL]],T_TraitDi[#Data],COLUMN(T_TraitDi[M1]),FALSE)="","",VLOOKUP(T_Convention[[#This Row],[NumL]],T_TraitDi[#Data],COLUMN(T_TraitDi[M1]),FALSE))</f>
        <v>#N/A</v>
      </c>
      <c r="Q62" s="282" t="e">
        <f>IF(VLOOKUP(T_Convention[[#This Row],[NumL]],T_TraitDi[#Data],COLUMN(T_TraitDi[M2]),FALSE)="","",VLOOKUP(T_Convention[[#This Row],[NumL]],T_TraitDi[#Data],COLUMN(T_TraitDi[M2]),FALSE))</f>
        <v>#N/A</v>
      </c>
      <c r="R62" s="282" t="e">
        <f>IF(VLOOKUP(T_Convention[[#This Row],[NumL]],T_TraitDi[#Data],COLUMN(T_TraitDi[M3]),FALSE)="","",VLOOKUP(T_Convention[[#This Row],[NumL]],T_TraitDi[#Data],COLUMN(T_TraitDi[M3]),FALSE))</f>
        <v>#N/A</v>
      </c>
      <c r="S62" s="282" t="e">
        <f>IF(VLOOKUP(T_Convention[[#This Row],[NumL]],T_TraitDi[#Data],COLUMN(T_TraitDi[M4]),FALSE)="","",VLOOKUP(T_Convention[[#This Row],[NumL]],T_TraitDi[#Data],COLUMN(T_TraitDi[M4]),FALSE))</f>
        <v>#N/A</v>
      </c>
      <c r="T62" s="282" t="e">
        <f>IF(VLOOKUP(T_Convention[[#This Row],[NumL]],T_TraitDi[#Data],COLUMN(T_TraitDi[M5]),FALSE)="","",VLOOKUP(T_Convention[[#This Row],[NumL]],T_TraitDi[#Data],COLUMN(T_TraitDi[M5]),FALSE))</f>
        <v>#N/A</v>
      </c>
      <c r="U62" s="282" t="e">
        <f>IF(VLOOKUP(T_Convention[[#This Row],[NumL]],T_TraitDi[#Data],COLUMN(T_TraitDi[M6]),FALSE)="","",VLOOKUP(T_Convention[[#This Row],[NumL]],T_TraitDi[#Data],COLUMN(T_TraitDi[M6]),FALSE))</f>
        <v>#N/A</v>
      </c>
      <c r="V62" s="176" t="e">
        <f t="shared" si="4"/>
        <v>#N/A</v>
      </c>
      <c r="W62" s="284" t="str">
        <f>IFERROR(TEXT(VLOOKUP(T_Convention[[#This Row],[NumL]],T_TraitDi[#Data],COLUMN(T_TraitDi[Q2]),FALSE),"###%"),"")</f>
        <v/>
      </c>
      <c r="X62" s="97" t="e">
        <f>VLOOKUP(T_Convention[[#This Row],[NumL]],T_TraitDi[#Data],COLUMN(T_TraitDi[Reg Ponct]),FALSE)</f>
        <v>#N/A</v>
      </c>
      <c r="Y62" s="97" t="e">
        <f>VLOOKUP(T_Convention[NumL],T_TraitDi[#Data],COLUMN(T_TraitDi[Jours flottants]),FALSE)</f>
        <v>#N/A</v>
      </c>
      <c r="Z62" s="284" t="str">
        <f>IFERROR(VLOOKUP(T_Convention[[#This Row],[NumL]],T_TraitDi[#Data],COLUMN(T_TraitDi[Lundi]),FALSE),"")</f>
        <v/>
      </c>
      <c r="AA62" s="284" t="e">
        <f>IF(VLOOKUP(T_Convention[[#This Row],[NumL]],T_TraitDi[#Data],COLUMN(T_TraitDi[Colonne3]),FALSE)=0,"",TEXT(IFERROR(VLOOKUP(T_Convention[[#This Row],[NumL]],T_TraitDi[#Data],COLUMN(T_TraitDi[Colonne3]),FALSE),""),"[hh]:mm"))</f>
        <v>#N/A</v>
      </c>
      <c r="AB62" s="284" t="e">
        <f>IF(VLOOKUP(T_Convention[[#This Row],[NumL]],T_TraitDi[#Data],COLUMN(T_TraitDi[Colonne4]),FALSE)=0,"",TEXT(IFERROR(VLOOKUP(T_Convention[[#This Row],[NumL]],T_TraitDi[#Data],COLUMN(T_TraitDi[Colonne4]),FALSE),""),"[hh]:mm"))</f>
        <v>#N/A</v>
      </c>
      <c r="AC62" s="284" t="e">
        <f>IF(VLOOKUP(T_Convention[[#This Row],[NumL]],T_TraitDi[#Data],COLUMN(T_TraitDi[Colonne5]),FALSE)=0,"",TEXT(IFERROR(VLOOKUP(T_Convention[[#This Row],[NumL]],T_TraitDi[#Data],COLUMN(T_TraitDi[Colonne5]),FALSE),""),"[hh]:mm"))</f>
        <v>#N/A</v>
      </c>
      <c r="AD62" s="284" t="e">
        <f>IF(VLOOKUP(T_Convention[[#This Row],[NumL]],T_TraitDi[#Data],COLUMN(T_TraitDi[Colonne6]),FALSE)=0,"",TEXT(IFERROR(VLOOKUP(T_Convention[[#This Row],[NumL]],T_TraitDi[#Data],COLUMN(T_TraitDi[Colonne6]),FALSE),""),"[hh]:mm"))</f>
        <v>#N/A</v>
      </c>
      <c r="AE62" s="284" t="e">
        <f>IF(VLOOKUP(T_Convention[[#This Row],[NumL]],T_TraitDi[#Data],COLUMN(T_TraitDi[Colonne7]),FALSE)=0,"",TEXT(IFERROR(VLOOKUP(T_Convention[[#This Row],[NumL]],T_TraitDi[#Data],COLUMN(T_TraitDi[Colonne7]),FALSE),""),"[hh]:mm"))</f>
        <v>#N/A</v>
      </c>
      <c r="AF62" s="284" t="e">
        <f>IF(VLOOKUP(T_Convention[[#This Row],[NumL]],T_TraitDi[#Data],COLUMN(T_TraitDi[Colonne8]),FALSE)=0,"",TEXT(IFERROR(VLOOKUP(T_Convention[[#This Row],[NumL]],T_TraitDi[#Data],COLUMN(T_TraitDi[Colonne8]),FALSE),""),"[hh]:mm"))</f>
        <v>#N/A</v>
      </c>
      <c r="AG62" s="284" t="str">
        <f>IFERROR(VLOOKUP(T_Convention[[#This Row],[NumL]],T_TraitDi[#Data],COLUMN(T_TraitDi[Mardi]),FALSE),"")</f>
        <v/>
      </c>
      <c r="AH62" s="284" t="e">
        <f>IF(VLOOKUP(T_Convention[[#This Row],[NumL]],T_TraitDi[#Data],COLUMN(T_TraitDi[Colonne1]),FALSE)=0,"",TEXT(IFERROR(VLOOKUP(T_Convention[[#This Row],[NumL]],T_TraitDi[#Data],COLUMN(T_TraitDi[Colonne1]),FALSE),""),"[hh]:mm"))</f>
        <v>#N/A</v>
      </c>
      <c r="AI62" s="284" t="e">
        <f>IF(VLOOKUP(T_Convention[[#This Row],[NumL]],T_TraitDi[#Data],COLUMN(T_TraitDi[Colonne9]),FALSE)=0,"",TEXT(IFERROR(VLOOKUP(T_Convention[[#This Row],[NumL]],T_TraitDi[#Data],COLUMN(T_TraitDi[Colonne9]),FALSE),""),"[hh]:mm"))</f>
        <v>#N/A</v>
      </c>
      <c r="AJ62" s="284" t="str">
        <f>IFERROR(VLOOKUP(T_Convention[[#This Row],[NumL]],T_TraitDi[#Data],COLUMN(T_TraitDi[Colonne10]),FALSE),"")</f>
        <v/>
      </c>
      <c r="AK62" s="284" t="e">
        <f>IF(VLOOKUP(T_Convention[[#This Row],[NumL]],T_TraitDi[#Data],COLUMN(T_TraitDi[Colonne11]),FALSE)=0,"",TEXT(IFERROR(VLOOKUP(T_Convention[[#This Row],[NumL]],T_TraitDi[#Data],COLUMN(T_TraitDi[Colonne11]),FALSE),""),"[hh]:mm"))</f>
        <v>#N/A</v>
      </c>
      <c r="AL62" s="284" t="e">
        <f>IF(VLOOKUP(T_Convention[[#This Row],[NumL]],T_TraitDi[#Data],COLUMN(T_TraitDi[Colonne12]),FALSE)=0,"",TEXT(IFERROR(VLOOKUP(T_Convention[[#This Row],[NumL]],T_TraitDi[#Data],COLUMN(T_TraitDi[Colonne12]),FALSE),""),"[hh]:mm"))</f>
        <v>#N/A</v>
      </c>
      <c r="AM62" s="284" t="e">
        <f>IF(VLOOKUP(T_Convention[[#This Row],[NumL]],T_TraitDi[#Data],COLUMN(T_TraitDi[Colonne14]),FALSE)=0,"",TEXT(IFERROR(VLOOKUP(T_Convention[[#This Row],[NumL]],T_TraitDi[#Data],COLUMN(T_TraitDi[Colonne14]),FALSE),""),"[hh]:mm"))</f>
        <v>#N/A</v>
      </c>
      <c r="AN62" s="284" t="str">
        <f>IFERROR(VLOOKUP(T_Convention[[#This Row],[NumL]],T_TraitDi[#Data],COLUMN(T_TraitDi[Mercredi]),FALSE),"")</f>
        <v/>
      </c>
      <c r="AO62" s="284" t="e">
        <f>IF(VLOOKUP(T_Convention[[#This Row],[NumL]],T_TraitDi[#Data],COLUMN(T_TraitDi[Colonne15]),FALSE)=0,"",TEXT(IFERROR(VLOOKUP(T_Convention[[#This Row],[NumL]],T_TraitDi[#Data],COLUMN(T_TraitDi[Colonne15]),FALSE),""),"[hh]:mm"))</f>
        <v>#N/A</v>
      </c>
      <c r="AP62" s="284" t="e">
        <f>IF(VLOOKUP(T_Convention[[#This Row],[NumL]],T_TraitDi[#Data],COLUMN(T_TraitDi[Colonne16]),FALSE)=0,"",TEXT(IFERROR(VLOOKUP(T_Convention[[#This Row],[NumL]],T_TraitDi[#Data],COLUMN(T_TraitDi[Colonne16]),FALSE),""),"[hh]:mm"))</f>
        <v>#N/A</v>
      </c>
      <c r="AQ62" s="284" t="str">
        <f>IFERROR(VLOOKUP(T_Convention[[#This Row],[NumL]],T_TraitDi[#Data],COLUMN(T_TraitDi[Colonne17]),FALSE),"")</f>
        <v/>
      </c>
      <c r="AR62" s="284" t="e">
        <f>IF(VLOOKUP(T_Convention[[#This Row],[NumL]],T_TraitDi[#Data],COLUMN(T_TraitDi[Colonne18]),FALSE)=0,"",TEXT(IFERROR(VLOOKUP(T_Convention[[#This Row],[NumL]],T_TraitDi[#Data],COLUMN(T_TraitDi[Colonne18]),FALSE),""),"[hh]:mm"))</f>
        <v>#N/A</v>
      </c>
      <c r="AS62" s="284" t="e">
        <f>IF(VLOOKUP(T_Convention[[#This Row],[NumL]],T_TraitDi[#Data],COLUMN(T_TraitDi[Colonne19]),FALSE)=0,"",TEXT(IFERROR(VLOOKUP(T_Convention[[#This Row],[NumL]],T_TraitDi[#Data],COLUMN(T_TraitDi[Colonne19]),FALSE),""),"[hh]:mm"))</f>
        <v>#N/A</v>
      </c>
      <c r="AT62" s="284" t="e">
        <f>IF(VLOOKUP(T_Convention[[#This Row],[NumL]],T_TraitDi[#Data],COLUMN(T_TraitDi[Colonne20]),FALSE)=0,"",TEXT(IFERROR(VLOOKUP(T_Convention[[#This Row],[NumL]],T_TraitDi[#Data],COLUMN(T_TraitDi[Colonne20]),FALSE),""),"[hh]:mm"))</f>
        <v>#N/A</v>
      </c>
      <c r="AU62" s="284" t="str">
        <f>IFERROR(VLOOKUP(T_Convention[[#This Row],[NumL]],T_TraitDi[#Data],COLUMN(T_TraitDi[Jeudi]),FALSE),"")</f>
        <v/>
      </c>
      <c r="AV62" s="284" t="e">
        <f>IF(VLOOKUP(T_Convention[[#This Row],[NumL]],T_TraitDi[#Data],COLUMN(T_TraitDi[Colonne21]),FALSE)=0,"",TEXT(IFERROR(VLOOKUP(T_Convention[[#This Row],[NumL]],T_TraitDi[#Data],COLUMN(T_TraitDi[Colonne21]),FALSE),""),"[hh]:mm"))</f>
        <v>#N/A</v>
      </c>
      <c r="AW62" s="284" t="e">
        <f>IF(VLOOKUP(T_Convention[[#This Row],[NumL]],T_TraitDi[#Data],COLUMN(T_TraitDi[Colonne22]),FALSE)=0,"",TEXT(IFERROR(VLOOKUP(T_Convention[[#This Row],[NumL]],T_TraitDi[#Data],COLUMN(T_TraitDi[Colonne22]),FALSE),""),"[hh]:mm"))</f>
        <v>#N/A</v>
      </c>
      <c r="AX62" s="284" t="str">
        <f>IFERROR(VLOOKUP(T_Convention[[#This Row],[NumL]],T_TraitDi[#Data],COLUMN(T_TraitDi[Colonne23]),FALSE),"")</f>
        <v/>
      </c>
      <c r="AY62" s="284" t="e">
        <f>IF(VLOOKUP(T_Convention[[#This Row],[NumL]],T_TraitDi[#Data],COLUMN(T_TraitDi[Colonne24]),FALSE)=0,"",TEXT(IFERROR(VLOOKUP(T_Convention[[#This Row],[NumL]],T_TraitDi[#Data],COLUMN(T_TraitDi[Colonne24]),FALSE),""),"[hh]:mm"))</f>
        <v>#N/A</v>
      </c>
      <c r="AZ62" s="284" t="e">
        <f>IF(VLOOKUP(T_Convention[[#This Row],[NumL]],T_TraitDi[#Data],COLUMN(T_TraitDi[Colonne25]),FALSE)=0,"",TEXT(IFERROR(VLOOKUP(T_Convention[[#This Row],[NumL]],T_TraitDi[#Data],COLUMN(T_TraitDi[Colonne25]),FALSE),""),"[hh]:mm"))</f>
        <v>#N/A</v>
      </c>
      <c r="BA62" s="284" t="e">
        <f>IF(VLOOKUP(T_Convention[[#This Row],[NumL]],T_TraitDi[#Data],COLUMN(T_TraitDi[Colonne26]),FALSE)=0,"",TEXT(IFERROR(VLOOKUP(T_Convention[[#This Row],[NumL]],T_TraitDi[#Data],COLUMN(T_TraitDi[Colonne26]),FALSE),""),"[hh]:mm"))</f>
        <v>#N/A</v>
      </c>
      <c r="BB62" s="284" t="str">
        <f>IFERROR(VLOOKUP(T_Convention[[#This Row],[NumL]],T_TraitDi[#Data],COLUMN(T_TraitDi[Vendredi]),FALSE),"")</f>
        <v/>
      </c>
      <c r="BC62" s="284" t="e">
        <f>IF(VLOOKUP(T_Convention[[#This Row],[NumL]],T_TraitDi[#Data],COLUMN(T_TraitDi[Colonne27]),FALSE)=0,"",TEXT(IFERROR(VLOOKUP(T_Convention[[#This Row],[NumL]],T_TraitDi[#Data],COLUMN(T_TraitDi[Colonne27]),FALSE),""),"[hh]:mm"))</f>
        <v>#N/A</v>
      </c>
      <c r="BD62" s="284" t="e">
        <f>IF(VLOOKUP(T_Convention[[#This Row],[NumL]],T_TraitDi[#Data],COLUMN(T_TraitDi[Colonne28]),FALSE)=0,"",TEXT(IFERROR(VLOOKUP(T_Convention[[#This Row],[NumL]],T_TraitDi[#Data],COLUMN(T_TraitDi[Colonne28]),FALSE),""),"[hh]:mm"))</f>
        <v>#N/A</v>
      </c>
      <c r="BE62" s="284" t="str">
        <f>IFERROR(VLOOKUP(T_Convention[[#This Row],[NumL]],T_TraitDi[#Data],COLUMN(T_TraitDi[Colonne29]),FALSE),"")</f>
        <v/>
      </c>
      <c r="BF62" s="284" t="e">
        <f>IF(VLOOKUP(T_Convention[[#This Row],[NumL]],T_TraitDi[#Data],COLUMN(T_TraitDi[Colonne30]),FALSE)=0,"",TEXT(IFERROR(VLOOKUP(T_Convention[[#This Row],[NumL]],T_TraitDi[#Data],COLUMN(T_TraitDi[Colonne30]),FALSE),""),"[hh]:mm"))</f>
        <v>#N/A</v>
      </c>
      <c r="BG62" s="284" t="e">
        <f>IF(VLOOKUP(T_Convention[[#This Row],[NumL]],T_TraitDi[#Data],COLUMN(T_TraitDi[Colonne31]),FALSE)=0,"",TEXT(IFERROR(VLOOKUP(T_Convention[[#This Row],[NumL]],T_TraitDi[#Data],COLUMN(T_TraitDi[Colonne31]),FALSE),""),"[hh]:mm"))</f>
        <v>#N/A</v>
      </c>
      <c r="BH62" s="284" t="e">
        <f>IF(VLOOKUP(T_Convention[[#This Row],[NumL]],T_TraitDi[#Data],COLUMN(T_TraitDi[Colonne32]),FALSE)=0,"",TEXT(IFERROR(VLOOKUP(T_Convention[[#This Row],[NumL]],T_TraitDi[#Data],COLUMN(T_TraitDi[Colonne32]),FALSE),""),"[hh]:mm"))</f>
        <v>#N/A</v>
      </c>
      <c r="BI62" s="284" t="str">
        <f>IFERROR(VLOOKUP(T_Convention[[#This Row],[NumL]],T_TraitDi[#Data],COLUMN(T_TraitDi[NbJTW]),FALSE),"")</f>
        <v/>
      </c>
      <c r="BJ62" s="284" t="e">
        <f>IF(VLOOKUP(T_Convention[[#This Row],[NumL]],T_TraitDi[#Data],COLUMN(T_TraitDi[NbhTW]),FALSE)=0,"",TEXT(IFERROR(VLOOKUP(T_Convention[[#This Row],[NumL]],T_TraitDi[#Data],COLUMN(T_TraitDi[NbhTW]),FALSE),""),"[hh]:mm"))</f>
        <v>#N/A</v>
      </c>
      <c r="BK62" s="286" t="e">
        <f>IF(VLOOKUP(T_Convention[[#This Row],[NumL]],T_TraitDi[#Data],COLUMN(T_TraitDi[Nbhheb]),FALSE)=0,"",TEXT(IFERROR(VLOOKUP(T_Convention[[#This Row],[NumL]],T_TraitDi[#Data],COLUMN(T_TraitDi[Nbhheb]),FALSE),""),"[hh]:mm"))</f>
        <v>#N/A</v>
      </c>
      <c r="BL62" s="287" t="str">
        <f>IFERROR(VLOOKUP(VLOOKUP(T_Convention[[#This Row],[NumL]],T_TraitDi[#Data],COLUMN(T_TraitDi[Type1]),FALSE),TypeTW,2,FALSE),"")</f>
        <v/>
      </c>
      <c r="BM62" s="288" t="str">
        <f>IFERROR(VLOOKUP(T_Convention[[#This Row],[NumL]],T_TraitDi[#Data],COLUMN(T_TraitDi[Rue1]),FALSE),"")</f>
        <v/>
      </c>
      <c r="BN62" s="289" t="str">
        <f>IFERROR(VLOOKUP(T_Convention[[#This Row],[NumL]],T_TraitDi[#Data],COLUMN(T_TraitDi[CP1]),FALSE),"")</f>
        <v/>
      </c>
      <c r="BO62" s="282" t="str">
        <f>IFERROR(VLOOKUP(T_Convention[[#This Row],[NumL]],T_TraitDi[#Data],COLUMN(T_TraitDi[VILLE1]),FALSE),"")</f>
        <v/>
      </c>
      <c r="BP62" s="290" t="str">
        <f>IFERROR(VLOOKUP(VLOOKUP(T_Convention[[#This Row],[NumL]],T_TraitDi[#Data],COLUMN(T_TraitDi[Type2]),FALSE),TypeTW,2,FALSE),"")</f>
        <v/>
      </c>
      <c r="BQ62" s="182" t="str">
        <f>IFERROR(VLOOKUP(T_Convention[[#This Row],[NumL]],T_TraitDi[#Data],COLUMN(T_TraitDi[Rue2]),FALSE),"")</f>
        <v/>
      </c>
      <c r="BR62" s="173" t="str">
        <f>IFERROR(VLOOKUP(T_Convention[[#This Row],[NumL]],T_TraitDi[#Data],COLUMN(T_TraitDi[CP2]),FALSE),"")</f>
        <v/>
      </c>
      <c r="BS62" s="173" t="str">
        <f>IFERROR(VLOOKUP(T_Convention[[#This Row],[NumL]],T_TraitDi[#Data],COLUMN(T_TraitDi[VILLE2]),FALSE),"")</f>
        <v/>
      </c>
      <c r="BT62" s="182" t="str">
        <f>IF(VLOOKUP(T_Convention[[#This Row],[NumL]],T_Equipement[#Data],COLUMN(T_Equipement[PC]),FALSE)="","Aucun équipement spécifique directement lié au télétravail",VLOOKUP(T_Convention[[#This Row],[NumL]],T_Equipement[#Data],COLUMN(T_Equipement[PC]),FALSE))</f>
        <v xml:space="preserve">13-389	</v>
      </c>
      <c r="BU62" s="166" t="str">
        <f>IFERROR(IF(VLOOKUP(T_Convention[[#This Row],[NumL]],T_TraitDi[#Data],COLUMN(T_TraitDi[Plan]),FALSE)="OK","Un planning spécifique de télétravail est annexé à la présente convention.",""),"")</f>
        <v/>
      </c>
      <c r="BV62" s="185" t="s">
        <v>3331</v>
      </c>
      <c r="BW62" s="164" t="e">
        <f>IF(VLOOKUP(T_Convention[[#This Row],[NumL]],T_suiviDi[#Data],COLUMN(T_suiviDi[Entité]),FALSE)="","",VLOOKUP(T_Convention[[#This Row],[NumL]],T_suiviDi[#Data],COLUMN(T_suiviDi[Entité]),FALSE))</f>
        <v>#N/A</v>
      </c>
      <c r="BX62" s="164" t="str">
        <f>IF(VLOOKUP(T_Convention[[#This Row],[NumL]],T_Commission[#Data],COLUMN(T_Commission[envoi confirm TW]),FALSE)="","",VLOOKUP(T_Convention[[#This Row],[NumL]],T_Commission[#Data],COLUMN(T_Commission[envoi confirm TW]),FALSE))</f>
        <v>Oui</v>
      </c>
      <c r="BY6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2" s="264">
        <f>VLOOKUP(T_Convention[[#This Row],[NumL]],T_Commission[#Data],COLUMN(T_Commission[Commentaire]),FALSE)</f>
        <v>0</v>
      </c>
      <c r="CA62" s="254" t="str">
        <f>IF(VLOOKUP(T_Convention[[#This Row],[NumL]],T_Commission[#Data],COLUMN(T_Commission[Encadrant Email]),FALSE)="","",VLOOKUP(T_Convention[[#This Row],[NumL]],T_Commission[#Data],COLUMN(T_Commission[Encadrant Email]),FALSE))</f>
        <v/>
      </c>
      <c r="CB62" s="352" t="e">
        <f>VLOOKUP(T_Convention[[#This Row],[NumL]],T_TraitDi[#Data],COLUMN(T_TraitDi[NbJTot]),FALSE)</f>
        <v>#N/A</v>
      </c>
      <c r="CC62" s="352" t="e">
        <f>VLOOKUP(T_Convention[[#This Row],[NumL]],T_TraitDi[#Data],COLUMN(T_TraitDi[Reg Ponct]),FALSE)</f>
        <v>#N/A</v>
      </c>
      <c r="CD62" s="348" t="str">
        <f>IF(T_Convention[[#This Row],[Final]]&lt;&gt;"",VLOOKUP(T_Convention[[#This Row],[NumL]],T_suiviDi[#Data],COLUMN((T_suiviDi[Statut])),FALSE),"")</f>
        <v/>
      </c>
    </row>
    <row r="63" spans="1:82" s="106" customFormat="1" ht="18.75" customHeight="1" x14ac:dyDescent="0.25">
      <c r="A63" s="160">
        <v>279</v>
      </c>
      <c r="B63" s="161" t="str">
        <f>VLOOKUP(T_Convention[[#This Row],[NumL]],T_Commission[#Data],COLUMN(T_Commission[FINAL]),FALSE)</f>
        <v/>
      </c>
      <c r="C63" s="162"/>
      <c r="D63" s="95" t="e">
        <f>IF(VLOOKUP(T_Convention[[#This Row],[NumL]],T_TraitDi[#Data],COLUMN(T_TraitDi[WebC]),FALSE)="","",VLOOKUP(T_Convention[[#This Row],[NumL]],T_TraitDi[#Data],COLUMN(T_TraitDi[WebC]),FALSE))</f>
        <v>#N/A</v>
      </c>
      <c r="E63" s="163" t="str">
        <f t="shared" si="0"/>
        <v>12 janvier 2021</v>
      </c>
      <c r="F63" s="282" t="str">
        <f>IF(T_Convention[[#This Row],[Final]]&lt;&gt;"",VLOOKUP(T_Convention[[#This Row],[NumL]],T_suiviDi[#Data],COLUMN((T_suiviDi[Civ.])),FALSE),"")</f>
        <v/>
      </c>
      <c r="G63" s="283" t="str">
        <f>IF(T_Convention[[#This Row],[Final]]&lt;&gt;"",VLOOKUP(T_Convention[[#This Row],[NumL]],T_suiviDi[#Data],COLUMN((T_suiviDi[Nom])),FALSE),"")</f>
        <v/>
      </c>
      <c r="H63" s="282" t="str">
        <f>IF(T_Convention[[#This Row],[Final]]&lt;&gt;"",VLOOKUP(T_Convention[[#This Row],[NumL]],T_suiviDi[#Data],COLUMN((T_suiviDi[Prénom])),FALSE),"")</f>
        <v/>
      </c>
      <c r="I63" s="282" t="e">
        <f>VLOOKUP(T_Convention[[#This Row],[NumL]],T_suiviDi[#Data],COLUMN((T_suiviDi[[#This Row],[Email]])),FALSE)</f>
        <v>#VALUE!</v>
      </c>
      <c r="J63" s="282" t="e">
        <f>IF(VLOOKUP(T_Convention[[#This Row],[NumL]],T_suiviDi[#Data],COLUMN(T_suiviDi[[#This Row],[Fonction]]),FALSE)="","",VLOOKUP(T_Convention[[#This Row],[NumL]],T_suiviDi[#Data],COLUMN(T_suiviDi[[#This Row],[Fonction]]),FALSE))</f>
        <v>#VALUE!</v>
      </c>
      <c r="K63" s="282" t="e">
        <f>IF(VLOOKUP(T_Convention[[#This Row],[NumL]],T_suiviDi[#Data],COLUMN(T_suiviDi[[#This Row],[Grade]]),FALSE)="","",VLOOKUP(T_Convention[[#This Row],[NumL]],T_suiviDi[#Data],COLUMN(T_suiviDi[[#This Row],[Grade]]),FALSE))</f>
        <v>#VALUE!</v>
      </c>
      <c r="L63" s="282" t="e">
        <f>IF(VLOOKUP(T_Convention[[#This Row],[NumL]],T_suiviDi[#Data],COLUMN(T_suiviDi[[#This Row],[Service ]]),FALSE)="","",VLOOKUP(T_Convention[[#This Row],[NumL]],T_suiviDi[#Data],COLUMN(T_suiviDi[[#This Row],[Service ]]),FALSE))</f>
        <v>#VALUE!</v>
      </c>
      <c r="M63" s="164" t="str">
        <f t="shared" si="1"/>
        <v>01 septembre 2021</v>
      </c>
      <c r="N63" s="164" t="str">
        <f t="shared" si="2"/>
        <v>30 novembre 2021</v>
      </c>
      <c r="O63" s="284" t="str">
        <f t="shared" si="3"/>
        <v>30 novembre 2021</v>
      </c>
      <c r="P63" s="282" t="e">
        <f>IF(VLOOKUP(T_Convention[[#This Row],[NumL]],T_TraitDi[#Data],COLUMN(T_TraitDi[M1]),FALSE)="","",VLOOKUP(T_Convention[[#This Row],[NumL]],T_TraitDi[#Data],COLUMN(T_TraitDi[M1]),FALSE))</f>
        <v>#N/A</v>
      </c>
      <c r="Q63" s="282" t="e">
        <f>IF(VLOOKUP(T_Convention[[#This Row],[NumL]],T_TraitDi[#Data],COLUMN(T_TraitDi[M2]),FALSE)="","",VLOOKUP(T_Convention[[#This Row],[NumL]],T_TraitDi[#Data],COLUMN(T_TraitDi[M2]),FALSE))</f>
        <v>#N/A</v>
      </c>
      <c r="R63" s="282" t="e">
        <f>IF(VLOOKUP(T_Convention[[#This Row],[NumL]],T_TraitDi[#Data],COLUMN(T_TraitDi[M3]),FALSE)="","",VLOOKUP(T_Convention[[#This Row],[NumL]],T_TraitDi[#Data],COLUMN(T_TraitDi[M3]),FALSE))</f>
        <v>#N/A</v>
      </c>
      <c r="S63" s="282" t="e">
        <f>IF(VLOOKUP(T_Convention[[#This Row],[NumL]],T_TraitDi[#Data],COLUMN(T_TraitDi[M4]),FALSE)="","",VLOOKUP(T_Convention[[#This Row],[NumL]],T_TraitDi[#Data],COLUMN(T_TraitDi[M4]),FALSE))</f>
        <v>#N/A</v>
      </c>
      <c r="T63" s="282" t="e">
        <f>IF(VLOOKUP(T_Convention[[#This Row],[NumL]],T_TraitDi[#Data],COLUMN(T_TraitDi[M5]),FALSE)="","",VLOOKUP(T_Convention[[#This Row],[NumL]],T_TraitDi[#Data],COLUMN(T_TraitDi[M5]),FALSE))</f>
        <v>#N/A</v>
      </c>
      <c r="U63" s="282" t="e">
        <f>IF(VLOOKUP(T_Convention[[#This Row],[NumL]],T_TraitDi[#Data],COLUMN(T_TraitDi[M6]),FALSE)="","",VLOOKUP(T_Convention[[#This Row],[NumL]],T_TraitDi[#Data],COLUMN(T_TraitDi[M6]),FALSE))</f>
        <v>#N/A</v>
      </c>
      <c r="V63" s="176" t="e">
        <f t="shared" si="4"/>
        <v>#N/A</v>
      </c>
      <c r="W63" s="284" t="str">
        <f>IFERROR(TEXT(VLOOKUP(T_Convention[[#This Row],[NumL]],T_TraitDi[#Data],COLUMN(T_TraitDi[Q2]),FALSE),"###%"),"")</f>
        <v/>
      </c>
      <c r="X63" s="97" t="e">
        <f>VLOOKUP(T_Convention[[#This Row],[NumL]],T_TraitDi[#Data],COLUMN(T_TraitDi[Reg Ponct]),FALSE)</f>
        <v>#N/A</v>
      </c>
      <c r="Y63" s="97" t="e">
        <f>VLOOKUP(T_Convention[NumL],T_TraitDi[#Data],COLUMN(T_TraitDi[Jours flottants]),FALSE)</f>
        <v>#N/A</v>
      </c>
      <c r="Z63" s="284" t="str">
        <f>IFERROR(VLOOKUP(T_Convention[[#This Row],[NumL]],T_TraitDi[#Data],COLUMN(T_TraitDi[Lundi]),FALSE),"")</f>
        <v/>
      </c>
      <c r="AA63" s="284" t="e">
        <f>IF(VLOOKUP(T_Convention[[#This Row],[NumL]],T_TraitDi[#Data],COLUMN(T_TraitDi[Colonne3]),FALSE)=0,"",TEXT(IFERROR(VLOOKUP(T_Convention[[#This Row],[NumL]],T_TraitDi[#Data],COLUMN(T_TraitDi[Colonne3]),FALSE),""),"[hh]:mm"))</f>
        <v>#N/A</v>
      </c>
      <c r="AB63" s="284" t="e">
        <f>IF(VLOOKUP(T_Convention[[#This Row],[NumL]],T_TraitDi[#Data],COLUMN(T_TraitDi[Colonne4]),FALSE)=0,"",TEXT(IFERROR(VLOOKUP(T_Convention[[#This Row],[NumL]],T_TraitDi[#Data],COLUMN(T_TraitDi[Colonne4]),FALSE),""),"[hh]:mm"))</f>
        <v>#N/A</v>
      </c>
      <c r="AC63" s="284" t="e">
        <f>IF(VLOOKUP(T_Convention[[#This Row],[NumL]],T_TraitDi[#Data],COLUMN(T_TraitDi[Colonne5]),FALSE)=0,"",TEXT(IFERROR(VLOOKUP(T_Convention[[#This Row],[NumL]],T_TraitDi[#Data],COLUMN(T_TraitDi[Colonne5]),FALSE),""),"[hh]:mm"))</f>
        <v>#N/A</v>
      </c>
      <c r="AD63" s="284" t="e">
        <f>IF(VLOOKUP(T_Convention[[#This Row],[NumL]],T_TraitDi[#Data],COLUMN(T_TraitDi[Colonne6]),FALSE)=0,"",TEXT(IFERROR(VLOOKUP(T_Convention[[#This Row],[NumL]],T_TraitDi[#Data],COLUMN(T_TraitDi[Colonne6]),FALSE),""),"[hh]:mm"))</f>
        <v>#N/A</v>
      </c>
      <c r="AE63" s="284" t="e">
        <f>IF(VLOOKUP(T_Convention[[#This Row],[NumL]],T_TraitDi[#Data],COLUMN(T_TraitDi[Colonne7]),FALSE)=0,"",TEXT(IFERROR(VLOOKUP(T_Convention[[#This Row],[NumL]],T_TraitDi[#Data],COLUMN(T_TraitDi[Colonne7]),FALSE),""),"[hh]:mm"))</f>
        <v>#N/A</v>
      </c>
      <c r="AF63" s="284" t="e">
        <f>IF(VLOOKUP(T_Convention[[#This Row],[NumL]],T_TraitDi[#Data],COLUMN(T_TraitDi[Colonne8]),FALSE)=0,"",TEXT(IFERROR(VLOOKUP(T_Convention[[#This Row],[NumL]],T_TraitDi[#Data],COLUMN(T_TraitDi[Colonne8]),FALSE),""),"[hh]:mm"))</f>
        <v>#N/A</v>
      </c>
      <c r="AG63" s="284" t="str">
        <f>IFERROR(VLOOKUP(T_Convention[[#This Row],[NumL]],T_TraitDi[#Data],COLUMN(T_TraitDi[Mardi]),FALSE),"")</f>
        <v/>
      </c>
      <c r="AH63" s="284" t="e">
        <f>IF(VLOOKUP(T_Convention[[#This Row],[NumL]],T_TraitDi[#Data],COLUMN(T_TraitDi[Colonne1]),FALSE)=0,"",TEXT(IFERROR(VLOOKUP(T_Convention[[#This Row],[NumL]],T_TraitDi[#Data],COLUMN(T_TraitDi[Colonne1]),FALSE),""),"[hh]:mm"))</f>
        <v>#N/A</v>
      </c>
      <c r="AI63" s="284" t="e">
        <f>IF(VLOOKUP(T_Convention[[#This Row],[NumL]],T_TraitDi[#Data],COLUMN(T_TraitDi[Colonne9]),FALSE)=0,"",TEXT(IFERROR(VLOOKUP(T_Convention[[#This Row],[NumL]],T_TraitDi[#Data],COLUMN(T_TraitDi[Colonne9]),FALSE),""),"[hh]:mm"))</f>
        <v>#N/A</v>
      </c>
      <c r="AJ63" s="284" t="str">
        <f>IFERROR(VLOOKUP(T_Convention[[#This Row],[NumL]],T_TraitDi[#Data],COLUMN(T_TraitDi[Colonne10]),FALSE),"")</f>
        <v/>
      </c>
      <c r="AK63" s="284" t="e">
        <f>IF(VLOOKUP(T_Convention[[#This Row],[NumL]],T_TraitDi[#Data],COLUMN(T_TraitDi[Colonne11]),FALSE)=0,"",TEXT(IFERROR(VLOOKUP(T_Convention[[#This Row],[NumL]],T_TraitDi[#Data],COLUMN(T_TraitDi[Colonne11]),FALSE),""),"[hh]:mm"))</f>
        <v>#N/A</v>
      </c>
      <c r="AL63" s="284" t="e">
        <f>IF(VLOOKUP(T_Convention[[#This Row],[NumL]],T_TraitDi[#Data],COLUMN(T_TraitDi[Colonne12]),FALSE)=0,"",TEXT(IFERROR(VLOOKUP(T_Convention[[#This Row],[NumL]],T_TraitDi[#Data],COLUMN(T_TraitDi[Colonne12]),FALSE),""),"[hh]:mm"))</f>
        <v>#N/A</v>
      </c>
      <c r="AM63" s="284" t="e">
        <f>IF(VLOOKUP(T_Convention[[#This Row],[NumL]],T_TraitDi[#Data],COLUMN(T_TraitDi[Colonne14]),FALSE)=0,"",TEXT(IFERROR(VLOOKUP(T_Convention[[#This Row],[NumL]],T_TraitDi[#Data],COLUMN(T_TraitDi[Colonne14]),FALSE),""),"[hh]:mm"))</f>
        <v>#N/A</v>
      </c>
      <c r="AN63" s="284" t="str">
        <f>IFERROR(VLOOKUP(T_Convention[[#This Row],[NumL]],T_TraitDi[#Data],COLUMN(T_TraitDi[Mercredi]),FALSE),"")</f>
        <v/>
      </c>
      <c r="AO63" s="284" t="e">
        <f>IF(VLOOKUP(T_Convention[[#This Row],[NumL]],T_TraitDi[#Data],COLUMN(T_TraitDi[Colonne15]),FALSE)=0,"",TEXT(IFERROR(VLOOKUP(T_Convention[[#This Row],[NumL]],T_TraitDi[#Data],COLUMN(T_TraitDi[Colonne15]),FALSE),""),"[hh]:mm"))</f>
        <v>#N/A</v>
      </c>
      <c r="AP63" s="284" t="e">
        <f>IF(VLOOKUP(T_Convention[[#This Row],[NumL]],T_TraitDi[#Data],COLUMN(T_TraitDi[Colonne16]),FALSE)=0,"",TEXT(IFERROR(VLOOKUP(T_Convention[[#This Row],[NumL]],T_TraitDi[#Data],COLUMN(T_TraitDi[Colonne16]),FALSE),""),"[hh]:mm"))</f>
        <v>#N/A</v>
      </c>
      <c r="AQ63" s="284" t="str">
        <f>IFERROR(VLOOKUP(T_Convention[[#This Row],[NumL]],T_TraitDi[#Data],COLUMN(T_TraitDi[Colonne17]),FALSE),"")</f>
        <v/>
      </c>
      <c r="AR63" s="284" t="e">
        <f>IF(VLOOKUP(T_Convention[[#This Row],[NumL]],T_TraitDi[#Data],COLUMN(T_TraitDi[Colonne18]),FALSE)=0,"",TEXT(IFERROR(VLOOKUP(T_Convention[[#This Row],[NumL]],T_TraitDi[#Data],COLUMN(T_TraitDi[Colonne18]),FALSE),""),"[hh]:mm"))</f>
        <v>#N/A</v>
      </c>
      <c r="AS63" s="284" t="e">
        <f>IF(VLOOKUP(T_Convention[[#This Row],[NumL]],T_TraitDi[#Data],COLUMN(T_TraitDi[Colonne19]),FALSE)=0,"",TEXT(IFERROR(VLOOKUP(T_Convention[[#This Row],[NumL]],T_TraitDi[#Data],COLUMN(T_TraitDi[Colonne19]),FALSE),""),"[hh]:mm"))</f>
        <v>#N/A</v>
      </c>
      <c r="AT63" s="284" t="e">
        <f>IF(VLOOKUP(T_Convention[[#This Row],[NumL]],T_TraitDi[#Data],COLUMN(T_TraitDi[Colonne20]),FALSE)=0,"",TEXT(IFERROR(VLOOKUP(T_Convention[[#This Row],[NumL]],T_TraitDi[#Data],COLUMN(T_TraitDi[Colonne20]),FALSE),""),"[hh]:mm"))</f>
        <v>#N/A</v>
      </c>
      <c r="AU63" s="284" t="str">
        <f>IFERROR(VLOOKUP(T_Convention[[#This Row],[NumL]],T_TraitDi[#Data],COLUMN(T_TraitDi[Jeudi]),FALSE),"")</f>
        <v/>
      </c>
      <c r="AV63" s="284" t="e">
        <f>IF(VLOOKUP(T_Convention[[#This Row],[NumL]],T_TraitDi[#Data],COLUMN(T_TraitDi[Colonne21]),FALSE)=0,"",TEXT(IFERROR(VLOOKUP(T_Convention[[#This Row],[NumL]],T_TraitDi[#Data],COLUMN(T_TraitDi[Colonne21]),FALSE),""),"[hh]:mm"))</f>
        <v>#N/A</v>
      </c>
      <c r="AW63" s="284" t="e">
        <f>IF(VLOOKUP(T_Convention[[#This Row],[NumL]],T_TraitDi[#Data],COLUMN(T_TraitDi[Colonne22]),FALSE)=0,"",TEXT(IFERROR(VLOOKUP(T_Convention[[#This Row],[NumL]],T_TraitDi[#Data],COLUMN(T_TraitDi[Colonne22]),FALSE),""),"[hh]:mm"))</f>
        <v>#N/A</v>
      </c>
      <c r="AX63" s="284" t="str">
        <f>IFERROR(VLOOKUP(T_Convention[[#This Row],[NumL]],T_TraitDi[#Data],COLUMN(T_TraitDi[Colonne23]),FALSE),"")</f>
        <v/>
      </c>
      <c r="AY63" s="284" t="e">
        <f>IF(VLOOKUP(T_Convention[[#This Row],[NumL]],T_TraitDi[#Data],COLUMN(T_TraitDi[Colonne24]),FALSE)=0,"",TEXT(IFERROR(VLOOKUP(T_Convention[[#This Row],[NumL]],T_TraitDi[#Data],COLUMN(T_TraitDi[Colonne24]),FALSE),""),"[hh]:mm"))</f>
        <v>#N/A</v>
      </c>
      <c r="AZ63" s="284" t="e">
        <f>IF(VLOOKUP(T_Convention[[#This Row],[NumL]],T_TraitDi[#Data],COLUMN(T_TraitDi[Colonne25]),FALSE)=0,"",TEXT(IFERROR(VLOOKUP(T_Convention[[#This Row],[NumL]],T_TraitDi[#Data],COLUMN(T_TraitDi[Colonne25]),FALSE),""),"[hh]:mm"))</f>
        <v>#N/A</v>
      </c>
      <c r="BA63" s="284" t="e">
        <f>IF(VLOOKUP(T_Convention[[#This Row],[NumL]],T_TraitDi[#Data],COLUMN(T_TraitDi[Colonne26]),FALSE)=0,"",TEXT(IFERROR(VLOOKUP(T_Convention[[#This Row],[NumL]],T_TraitDi[#Data],COLUMN(T_TraitDi[Colonne26]),FALSE),""),"[hh]:mm"))</f>
        <v>#N/A</v>
      </c>
      <c r="BB63" s="284" t="str">
        <f>IFERROR(VLOOKUP(T_Convention[[#This Row],[NumL]],T_TraitDi[#Data],COLUMN(T_TraitDi[Vendredi]),FALSE),"")</f>
        <v/>
      </c>
      <c r="BC63" s="284" t="e">
        <f>IF(VLOOKUP(T_Convention[[#This Row],[NumL]],T_TraitDi[#Data],COLUMN(T_TraitDi[Colonne27]),FALSE)=0,"",TEXT(IFERROR(VLOOKUP(T_Convention[[#This Row],[NumL]],T_TraitDi[#Data],COLUMN(T_TraitDi[Colonne27]),FALSE),""),"[hh]:mm"))</f>
        <v>#N/A</v>
      </c>
      <c r="BD63" s="284" t="e">
        <f>IF(VLOOKUP(T_Convention[[#This Row],[NumL]],T_TraitDi[#Data],COLUMN(T_TraitDi[Colonne28]),FALSE)=0,"",TEXT(IFERROR(VLOOKUP(T_Convention[[#This Row],[NumL]],T_TraitDi[#Data],COLUMN(T_TraitDi[Colonne28]),FALSE),""),"[hh]:mm"))</f>
        <v>#N/A</v>
      </c>
      <c r="BE63" s="284" t="str">
        <f>IFERROR(VLOOKUP(T_Convention[[#This Row],[NumL]],T_TraitDi[#Data],COLUMN(T_TraitDi[Colonne29]),FALSE),"")</f>
        <v/>
      </c>
      <c r="BF63" s="284" t="e">
        <f>IF(VLOOKUP(T_Convention[[#This Row],[NumL]],T_TraitDi[#Data],COLUMN(T_TraitDi[Colonne30]),FALSE)=0,"",TEXT(IFERROR(VLOOKUP(T_Convention[[#This Row],[NumL]],T_TraitDi[#Data],COLUMN(T_TraitDi[Colonne30]),FALSE),""),"[hh]:mm"))</f>
        <v>#N/A</v>
      </c>
      <c r="BG63" s="284" t="e">
        <f>IF(VLOOKUP(T_Convention[[#This Row],[NumL]],T_TraitDi[#Data],COLUMN(T_TraitDi[Colonne31]),FALSE)=0,"",TEXT(IFERROR(VLOOKUP(T_Convention[[#This Row],[NumL]],T_TraitDi[#Data],COLUMN(T_TraitDi[Colonne31]),FALSE),""),"[hh]:mm"))</f>
        <v>#N/A</v>
      </c>
      <c r="BH63" s="284" t="e">
        <f>IF(VLOOKUP(T_Convention[[#This Row],[NumL]],T_TraitDi[#Data],COLUMN(T_TraitDi[Colonne32]),FALSE)=0,"",TEXT(IFERROR(VLOOKUP(T_Convention[[#This Row],[NumL]],T_TraitDi[#Data],COLUMN(T_TraitDi[Colonne32]),FALSE),""),"[hh]:mm"))</f>
        <v>#N/A</v>
      </c>
      <c r="BI63" s="284" t="str">
        <f>IFERROR(VLOOKUP(T_Convention[[#This Row],[NumL]],T_TraitDi[#Data],COLUMN(T_TraitDi[NbJTW]),FALSE),"")</f>
        <v/>
      </c>
      <c r="BJ63" s="284" t="e">
        <f>IF(VLOOKUP(T_Convention[[#This Row],[NumL]],T_TraitDi[#Data],COLUMN(T_TraitDi[NbhTW]),FALSE)=0,"",TEXT(IFERROR(VLOOKUP(T_Convention[[#This Row],[NumL]],T_TraitDi[#Data],COLUMN(T_TraitDi[NbhTW]),FALSE),""),"[hh]:mm"))</f>
        <v>#N/A</v>
      </c>
      <c r="BK63" s="286" t="e">
        <f>IF(VLOOKUP(T_Convention[[#This Row],[NumL]],T_TraitDi[#Data],COLUMN(T_TraitDi[Nbhheb]),FALSE)=0,"",TEXT(IFERROR(VLOOKUP(T_Convention[[#This Row],[NumL]],T_TraitDi[#Data],COLUMN(T_TraitDi[Nbhheb]),FALSE),""),"[hh]:mm"))</f>
        <v>#N/A</v>
      </c>
      <c r="BL63" s="287" t="str">
        <f>IFERROR(VLOOKUP(VLOOKUP(T_Convention[[#This Row],[NumL]],T_TraitDi[#Data],COLUMN(T_TraitDi[Type1]),FALSE),TypeTW,2,FALSE),"")</f>
        <v/>
      </c>
      <c r="BM63" s="288" t="str">
        <f>IFERROR(VLOOKUP(T_Convention[[#This Row],[NumL]],T_TraitDi[#Data],COLUMN(T_TraitDi[Rue1]),FALSE),"")</f>
        <v/>
      </c>
      <c r="BN63" s="289" t="str">
        <f>IFERROR(VLOOKUP(T_Convention[[#This Row],[NumL]],T_TraitDi[#Data],COLUMN(T_TraitDi[CP1]),FALSE),"")</f>
        <v/>
      </c>
      <c r="BO63" s="282" t="str">
        <f>IFERROR(VLOOKUP(T_Convention[[#This Row],[NumL]],T_TraitDi[#Data],COLUMN(T_TraitDi[VILLE1]),FALSE),"")</f>
        <v/>
      </c>
      <c r="BP63" s="290" t="str">
        <f>IFERROR(VLOOKUP(VLOOKUP(T_Convention[[#This Row],[NumL]],T_TraitDi[#Data],COLUMN(T_TraitDi[Type2]),FALSE),TypeTW,2,FALSE),"")</f>
        <v/>
      </c>
      <c r="BQ63" s="182" t="str">
        <f>IFERROR(VLOOKUP(T_Convention[[#This Row],[NumL]],T_TraitDi[#Data],COLUMN(T_TraitDi[Rue2]),FALSE),"")</f>
        <v/>
      </c>
      <c r="BR63" s="173" t="str">
        <f>IFERROR(VLOOKUP(T_Convention[[#This Row],[NumL]],T_TraitDi[#Data],COLUMN(T_TraitDi[CP2]),FALSE),"")</f>
        <v/>
      </c>
      <c r="BS63" s="173" t="str">
        <f>IFERROR(VLOOKUP(T_Convention[[#This Row],[NumL]],T_TraitDi[#Data],COLUMN(T_TraitDi[VILLE2]),FALSE),"")</f>
        <v/>
      </c>
      <c r="BT63" s="182" t="str">
        <f>IF(VLOOKUP(T_Convention[[#This Row],[NumL]],T_Equipement[#Data],COLUMN(T_Equipement[PC]),FALSE)="","Aucun équipement spécifique directement lié au télétravail",VLOOKUP(T_Convention[[#This Row],[NumL]],T_Equipement[#Data],COLUMN(T_Equipement[PC]),FALSE))</f>
        <v xml:space="preserve">20-639	</v>
      </c>
      <c r="BU63" s="166" t="str">
        <f>IFERROR(IF(VLOOKUP(T_Convention[[#This Row],[NumL]],T_TraitDi[#Data],COLUMN(T_TraitDi[Plan]),FALSE)="OK","Un planning spécifique de télétravail est annexé à la présente convention.",""),"")</f>
        <v/>
      </c>
      <c r="BV63" s="185"/>
      <c r="BW63" s="164" t="e">
        <f>IF(VLOOKUP(T_Convention[[#This Row],[NumL]],T_suiviDi[#Data],COLUMN(T_suiviDi[Entité]),FALSE)="","",VLOOKUP(T_Convention[[#This Row],[NumL]],T_suiviDi[#Data],COLUMN(T_suiviDi[Entité]),FALSE))</f>
        <v>#N/A</v>
      </c>
      <c r="BX63" s="164" t="str">
        <f>IF(VLOOKUP(T_Convention[[#This Row],[NumL]],T_Commission[#Data],COLUMN(T_Commission[envoi confirm TW]),FALSE)="","",VLOOKUP(T_Convention[[#This Row],[NumL]],T_Commission[#Data],COLUMN(T_Commission[envoi confirm TW]),FALSE))</f>
        <v>Oui</v>
      </c>
      <c r="BY6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3" s="264">
        <f>VLOOKUP(T_Convention[[#This Row],[NumL]],T_Commission[#Data],COLUMN(T_Commission[Commentaire]),FALSE)</f>
        <v>0</v>
      </c>
      <c r="CA63" s="254" t="str">
        <f>IF(VLOOKUP(T_Convention[[#This Row],[NumL]],T_Commission[#Data],COLUMN(T_Commission[Encadrant Email]),FALSE)="","",VLOOKUP(T_Convention[[#This Row],[NumL]],T_Commission[#Data],COLUMN(T_Commission[Encadrant Email]),FALSE))</f>
        <v/>
      </c>
      <c r="CB63" s="352" t="e">
        <f>VLOOKUP(T_Convention[[#This Row],[NumL]],T_TraitDi[#Data],COLUMN(T_TraitDi[NbJTot]),FALSE)</f>
        <v>#N/A</v>
      </c>
      <c r="CC63" s="352" t="e">
        <f>VLOOKUP(T_Convention[[#This Row],[NumL]],T_TraitDi[#Data],COLUMN(T_TraitDi[Reg Ponct]),FALSE)</f>
        <v>#N/A</v>
      </c>
      <c r="CD63" s="348" t="str">
        <f>IF(T_Convention[[#This Row],[Final]]&lt;&gt;"",VLOOKUP(T_Convention[[#This Row],[NumL]],T_suiviDi[#Data],COLUMN((T_suiviDi[Statut])),FALSE),"")</f>
        <v/>
      </c>
    </row>
    <row r="64" spans="1:82" s="106" customFormat="1" ht="18.75" customHeight="1" x14ac:dyDescent="0.25">
      <c r="A64" s="160">
        <v>290</v>
      </c>
      <c r="B64" s="161" t="str">
        <f>VLOOKUP(T_Convention[[#This Row],[NumL]],T_Commission[#Data],COLUMN(T_Commission[FINAL]),FALSE)</f>
        <v/>
      </c>
      <c r="C64" s="162"/>
      <c r="D64" s="95" t="e">
        <f>IF(VLOOKUP(T_Convention[[#This Row],[NumL]],T_TraitDi[#Data],COLUMN(T_TraitDi[WebC]),FALSE)="","",VLOOKUP(T_Convention[[#This Row],[NumL]],T_TraitDi[#Data],COLUMN(T_TraitDi[WebC]),FALSE))</f>
        <v>#N/A</v>
      </c>
      <c r="E64" s="163" t="str">
        <f t="shared" si="0"/>
        <v>12 janvier 2021</v>
      </c>
      <c r="F64" s="282" t="str">
        <f>IF(T_Convention[[#This Row],[Final]]&lt;&gt;"",VLOOKUP(T_Convention[[#This Row],[NumL]],T_suiviDi[#Data],COLUMN((T_suiviDi[Civ.])),FALSE),"")</f>
        <v/>
      </c>
      <c r="G64" s="283" t="str">
        <f>IF(T_Convention[[#This Row],[Final]]&lt;&gt;"",VLOOKUP(T_Convention[[#This Row],[NumL]],T_suiviDi[#Data],COLUMN((T_suiviDi[Nom])),FALSE),"")</f>
        <v/>
      </c>
      <c r="H64" s="282" t="str">
        <f>IF(T_Convention[[#This Row],[Final]]&lt;&gt;"",VLOOKUP(T_Convention[[#This Row],[NumL]],T_suiviDi[#Data],COLUMN((T_suiviDi[Prénom])),FALSE),"")</f>
        <v/>
      </c>
      <c r="I64" s="282" t="e">
        <f>VLOOKUP(T_Convention[[#This Row],[NumL]],T_suiviDi[#Data],COLUMN((T_suiviDi[[#This Row],[Email]])),FALSE)</f>
        <v>#VALUE!</v>
      </c>
      <c r="J64" s="282" t="e">
        <f>IF(VLOOKUP(T_Convention[[#This Row],[NumL]],T_suiviDi[#Data],COLUMN(T_suiviDi[[#This Row],[Fonction]]),FALSE)="","",VLOOKUP(T_Convention[[#This Row],[NumL]],T_suiviDi[#Data],COLUMN(T_suiviDi[[#This Row],[Fonction]]),FALSE))</f>
        <v>#VALUE!</v>
      </c>
      <c r="K64" s="282" t="e">
        <f>IF(VLOOKUP(T_Convention[[#This Row],[NumL]],T_suiviDi[#Data],COLUMN(T_suiviDi[[#This Row],[Grade]]),FALSE)="","",VLOOKUP(T_Convention[[#This Row],[NumL]],T_suiviDi[#Data],COLUMN(T_suiviDi[[#This Row],[Grade]]),FALSE))</f>
        <v>#VALUE!</v>
      </c>
      <c r="L64" s="282" t="e">
        <f>IF(VLOOKUP(T_Convention[[#This Row],[NumL]],T_suiviDi[#Data],COLUMN(T_suiviDi[[#This Row],[Service ]]),FALSE)="","",VLOOKUP(T_Convention[[#This Row],[NumL]],T_suiviDi[#Data],COLUMN(T_suiviDi[[#This Row],[Service ]]),FALSE))</f>
        <v>#VALUE!</v>
      </c>
      <c r="M64" s="164" t="str">
        <f t="shared" si="1"/>
        <v>01 septembre 2021</v>
      </c>
      <c r="N64" s="164" t="str">
        <f t="shared" si="2"/>
        <v>30 novembre 2021</v>
      </c>
      <c r="O64" s="284" t="str">
        <f t="shared" si="3"/>
        <v>30 novembre 2021</v>
      </c>
      <c r="P64" s="282" t="e">
        <f>IF(VLOOKUP(T_Convention[[#This Row],[NumL]],T_TraitDi[#Data],COLUMN(T_TraitDi[M1]),FALSE)="","",VLOOKUP(T_Convention[[#This Row],[NumL]],T_TraitDi[#Data],COLUMN(T_TraitDi[M1]),FALSE))</f>
        <v>#N/A</v>
      </c>
      <c r="Q64" s="282" t="e">
        <f>IF(VLOOKUP(T_Convention[[#This Row],[NumL]],T_TraitDi[#Data],COLUMN(T_TraitDi[M2]),FALSE)="","",VLOOKUP(T_Convention[[#This Row],[NumL]],T_TraitDi[#Data],COLUMN(T_TraitDi[M2]),FALSE))</f>
        <v>#N/A</v>
      </c>
      <c r="R64" s="282" t="e">
        <f>IF(VLOOKUP(T_Convention[[#This Row],[NumL]],T_TraitDi[#Data],COLUMN(T_TraitDi[M3]),FALSE)="","",VLOOKUP(T_Convention[[#This Row],[NumL]],T_TraitDi[#Data],COLUMN(T_TraitDi[M3]),FALSE))</f>
        <v>#N/A</v>
      </c>
      <c r="S64" s="282" t="e">
        <f>IF(VLOOKUP(T_Convention[[#This Row],[NumL]],T_TraitDi[#Data],COLUMN(T_TraitDi[M4]),FALSE)="","",VLOOKUP(T_Convention[[#This Row],[NumL]],T_TraitDi[#Data],COLUMN(T_TraitDi[M4]),FALSE))</f>
        <v>#N/A</v>
      </c>
      <c r="T64" s="282" t="e">
        <f>IF(VLOOKUP(T_Convention[[#This Row],[NumL]],T_TraitDi[#Data],COLUMN(T_TraitDi[M5]),FALSE)="","",VLOOKUP(T_Convention[[#This Row],[NumL]],T_TraitDi[#Data],COLUMN(T_TraitDi[M5]),FALSE))</f>
        <v>#N/A</v>
      </c>
      <c r="U64" s="282" t="e">
        <f>IF(VLOOKUP(T_Convention[[#This Row],[NumL]],T_TraitDi[#Data],COLUMN(T_TraitDi[M6]),FALSE)="","",VLOOKUP(T_Convention[[#This Row],[NumL]],T_TraitDi[#Data],COLUMN(T_TraitDi[M6]),FALSE))</f>
        <v>#N/A</v>
      </c>
      <c r="V64" s="176" t="e">
        <f t="shared" si="4"/>
        <v>#N/A</v>
      </c>
      <c r="W64" s="284" t="str">
        <f>IFERROR(TEXT(VLOOKUP(T_Convention[[#This Row],[NumL]],T_TraitDi[#Data],COLUMN(T_TraitDi[Q2]),FALSE),"###%"),"")</f>
        <v/>
      </c>
      <c r="X64" s="97" t="e">
        <f>VLOOKUP(T_Convention[[#This Row],[NumL]],T_TraitDi[#Data],COLUMN(T_TraitDi[Reg Ponct]),FALSE)</f>
        <v>#N/A</v>
      </c>
      <c r="Y64" s="97" t="e">
        <f>VLOOKUP(T_Convention[NumL],T_TraitDi[#Data],COLUMN(T_TraitDi[Jours flottants]),FALSE)</f>
        <v>#N/A</v>
      </c>
      <c r="Z64" s="284" t="str">
        <f>IFERROR(VLOOKUP(T_Convention[[#This Row],[NumL]],T_TraitDi[#Data],COLUMN(T_TraitDi[Lundi]),FALSE),"")</f>
        <v/>
      </c>
      <c r="AA64" s="284" t="e">
        <f>IF(VLOOKUP(T_Convention[[#This Row],[NumL]],T_TraitDi[#Data],COLUMN(T_TraitDi[Colonne3]),FALSE)=0,"",TEXT(IFERROR(VLOOKUP(T_Convention[[#This Row],[NumL]],T_TraitDi[#Data],COLUMN(T_TraitDi[Colonne3]),FALSE),""),"[hh]:mm"))</f>
        <v>#N/A</v>
      </c>
      <c r="AB64" s="284" t="e">
        <f>IF(VLOOKUP(T_Convention[[#This Row],[NumL]],T_TraitDi[#Data],COLUMN(T_TraitDi[Colonne4]),FALSE)=0,"",TEXT(IFERROR(VLOOKUP(T_Convention[[#This Row],[NumL]],T_TraitDi[#Data],COLUMN(T_TraitDi[Colonne4]),FALSE),""),"[hh]:mm"))</f>
        <v>#N/A</v>
      </c>
      <c r="AC64" s="284" t="e">
        <f>IF(VLOOKUP(T_Convention[[#This Row],[NumL]],T_TraitDi[#Data],COLUMN(T_TraitDi[Colonne5]),FALSE)=0,"",TEXT(IFERROR(VLOOKUP(T_Convention[[#This Row],[NumL]],T_TraitDi[#Data],COLUMN(T_TraitDi[Colonne5]),FALSE),""),"[hh]:mm"))</f>
        <v>#N/A</v>
      </c>
      <c r="AD64" s="284" t="e">
        <f>IF(VLOOKUP(T_Convention[[#This Row],[NumL]],T_TraitDi[#Data],COLUMN(T_TraitDi[Colonne6]),FALSE)=0,"",TEXT(IFERROR(VLOOKUP(T_Convention[[#This Row],[NumL]],T_TraitDi[#Data],COLUMN(T_TraitDi[Colonne6]),FALSE),""),"[hh]:mm"))</f>
        <v>#N/A</v>
      </c>
      <c r="AE64" s="284" t="e">
        <f>IF(VLOOKUP(T_Convention[[#This Row],[NumL]],T_TraitDi[#Data],COLUMN(T_TraitDi[Colonne7]),FALSE)=0,"",TEXT(IFERROR(VLOOKUP(T_Convention[[#This Row],[NumL]],T_TraitDi[#Data],COLUMN(T_TraitDi[Colonne7]),FALSE),""),"[hh]:mm"))</f>
        <v>#N/A</v>
      </c>
      <c r="AF64" s="284" t="e">
        <f>IF(VLOOKUP(T_Convention[[#This Row],[NumL]],T_TraitDi[#Data],COLUMN(T_TraitDi[Colonne8]),FALSE)=0,"",TEXT(IFERROR(VLOOKUP(T_Convention[[#This Row],[NumL]],T_TraitDi[#Data],COLUMN(T_TraitDi[Colonne8]),FALSE),""),"[hh]:mm"))</f>
        <v>#N/A</v>
      </c>
      <c r="AG64" s="284" t="str">
        <f>IFERROR(VLOOKUP(T_Convention[[#This Row],[NumL]],T_TraitDi[#Data],COLUMN(T_TraitDi[Mardi]),FALSE),"")</f>
        <v/>
      </c>
      <c r="AH64" s="284" t="e">
        <f>IF(VLOOKUP(T_Convention[[#This Row],[NumL]],T_TraitDi[#Data],COLUMN(T_TraitDi[Colonne1]),FALSE)=0,"",TEXT(IFERROR(VLOOKUP(T_Convention[[#This Row],[NumL]],T_TraitDi[#Data],COLUMN(T_TraitDi[Colonne1]),FALSE),""),"[hh]:mm"))</f>
        <v>#N/A</v>
      </c>
      <c r="AI64" s="284" t="e">
        <f>IF(VLOOKUP(T_Convention[[#This Row],[NumL]],T_TraitDi[#Data],COLUMN(T_TraitDi[Colonne9]),FALSE)=0,"",TEXT(IFERROR(VLOOKUP(T_Convention[[#This Row],[NumL]],T_TraitDi[#Data],COLUMN(T_TraitDi[Colonne9]),FALSE),""),"[hh]:mm"))</f>
        <v>#N/A</v>
      </c>
      <c r="AJ64" s="284" t="str">
        <f>IFERROR(VLOOKUP(T_Convention[[#This Row],[NumL]],T_TraitDi[#Data],COLUMN(T_TraitDi[Colonne10]),FALSE),"")</f>
        <v/>
      </c>
      <c r="AK64" s="284" t="e">
        <f>IF(VLOOKUP(T_Convention[[#This Row],[NumL]],T_TraitDi[#Data],COLUMN(T_TraitDi[Colonne11]),FALSE)=0,"",TEXT(IFERROR(VLOOKUP(T_Convention[[#This Row],[NumL]],T_TraitDi[#Data],COLUMN(T_TraitDi[Colonne11]),FALSE),""),"[hh]:mm"))</f>
        <v>#N/A</v>
      </c>
      <c r="AL64" s="284" t="e">
        <f>IF(VLOOKUP(T_Convention[[#This Row],[NumL]],T_TraitDi[#Data],COLUMN(T_TraitDi[Colonne12]),FALSE)=0,"",TEXT(IFERROR(VLOOKUP(T_Convention[[#This Row],[NumL]],T_TraitDi[#Data],COLUMN(T_TraitDi[Colonne12]),FALSE),""),"[hh]:mm"))</f>
        <v>#N/A</v>
      </c>
      <c r="AM64" s="284" t="e">
        <f>IF(VLOOKUP(T_Convention[[#This Row],[NumL]],T_TraitDi[#Data],COLUMN(T_TraitDi[Colonne14]),FALSE)=0,"",TEXT(IFERROR(VLOOKUP(T_Convention[[#This Row],[NumL]],T_TraitDi[#Data],COLUMN(T_TraitDi[Colonne14]),FALSE),""),"[hh]:mm"))</f>
        <v>#N/A</v>
      </c>
      <c r="AN64" s="284" t="str">
        <f>IFERROR(VLOOKUP(T_Convention[[#This Row],[NumL]],T_TraitDi[#Data],COLUMN(T_TraitDi[Mercredi]),FALSE),"")</f>
        <v/>
      </c>
      <c r="AO64" s="284" t="e">
        <f>IF(VLOOKUP(T_Convention[[#This Row],[NumL]],T_TraitDi[#Data],COLUMN(T_TraitDi[Colonne15]),FALSE)=0,"",TEXT(IFERROR(VLOOKUP(T_Convention[[#This Row],[NumL]],T_TraitDi[#Data],COLUMN(T_TraitDi[Colonne15]),FALSE),""),"[hh]:mm"))</f>
        <v>#N/A</v>
      </c>
      <c r="AP64" s="284" t="e">
        <f>IF(VLOOKUP(T_Convention[[#This Row],[NumL]],T_TraitDi[#Data],COLUMN(T_TraitDi[Colonne16]),FALSE)=0,"",TEXT(IFERROR(VLOOKUP(T_Convention[[#This Row],[NumL]],T_TraitDi[#Data],COLUMN(T_TraitDi[Colonne16]),FALSE),""),"[hh]:mm"))</f>
        <v>#N/A</v>
      </c>
      <c r="AQ64" s="284" t="str">
        <f>IFERROR(VLOOKUP(T_Convention[[#This Row],[NumL]],T_TraitDi[#Data],COLUMN(T_TraitDi[Colonne17]),FALSE),"")</f>
        <v/>
      </c>
      <c r="AR64" s="284" t="e">
        <f>IF(VLOOKUP(T_Convention[[#This Row],[NumL]],T_TraitDi[#Data],COLUMN(T_TraitDi[Colonne18]),FALSE)=0,"",TEXT(IFERROR(VLOOKUP(T_Convention[[#This Row],[NumL]],T_TraitDi[#Data],COLUMN(T_TraitDi[Colonne18]),FALSE),""),"[hh]:mm"))</f>
        <v>#N/A</v>
      </c>
      <c r="AS64" s="284" t="e">
        <f>IF(VLOOKUP(T_Convention[[#This Row],[NumL]],T_TraitDi[#Data],COLUMN(T_TraitDi[Colonne19]),FALSE)=0,"",TEXT(IFERROR(VLOOKUP(T_Convention[[#This Row],[NumL]],T_TraitDi[#Data],COLUMN(T_TraitDi[Colonne19]),FALSE),""),"[hh]:mm"))</f>
        <v>#N/A</v>
      </c>
      <c r="AT64" s="284" t="e">
        <f>IF(VLOOKUP(T_Convention[[#This Row],[NumL]],T_TraitDi[#Data],COLUMN(T_TraitDi[Colonne20]),FALSE)=0,"",TEXT(IFERROR(VLOOKUP(T_Convention[[#This Row],[NumL]],T_TraitDi[#Data],COLUMN(T_TraitDi[Colonne20]),FALSE),""),"[hh]:mm"))</f>
        <v>#N/A</v>
      </c>
      <c r="AU64" s="284" t="str">
        <f>IFERROR(VLOOKUP(T_Convention[[#This Row],[NumL]],T_TraitDi[#Data],COLUMN(T_TraitDi[Jeudi]),FALSE),"")</f>
        <v/>
      </c>
      <c r="AV64" s="284" t="e">
        <f>IF(VLOOKUP(T_Convention[[#This Row],[NumL]],T_TraitDi[#Data],COLUMN(T_TraitDi[Colonne21]),FALSE)=0,"",TEXT(IFERROR(VLOOKUP(T_Convention[[#This Row],[NumL]],T_TraitDi[#Data],COLUMN(T_TraitDi[Colonne21]),FALSE),""),"[hh]:mm"))</f>
        <v>#N/A</v>
      </c>
      <c r="AW64" s="284" t="e">
        <f>IF(VLOOKUP(T_Convention[[#This Row],[NumL]],T_TraitDi[#Data],COLUMN(T_TraitDi[Colonne22]),FALSE)=0,"",TEXT(IFERROR(VLOOKUP(T_Convention[[#This Row],[NumL]],T_TraitDi[#Data],COLUMN(T_TraitDi[Colonne22]),FALSE),""),"[hh]:mm"))</f>
        <v>#N/A</v>
      </c>
      <c r="AX64" s="284" t="str">
        <f>IFERROR(VLOOKUP(T_Convention[[#This Row],[NumL]],T_TraitDi[#Data],COLUMN(T_TraitDi[Colonne23]),FALSE),"")</f>
        <v/>
      </c>
      <c r="AY64" s="284" t="e">
        <f>IF(VLOOKUP(T_Convention[[#This Row],[NumL]],T_TraitDi[#Data],COLUMN(T_TraitDi[Colonne24]),FALSE)=0,"",TEXT(IFERROR(VLOOKUP(T_Convention[[#This Row],[NumL]],T_TraitDi[#Data],COLUMN(T_TraitDi[Colonne24]),FALSE),""),"[hh]:mm"))</f>
        <v>#N/A</v>
      </c>
      <c r="AZ64" s="284" t="e">
        <f>IF(VLOOKUP(T_Convention[[#This Row],[NumL]],T_TraitDi[#Data],COLUMN(T_TraitDi[Colonne25]),FALSE)=0,"",TEXT(IFERROR(VLOOKUP(T_Convention[[#This Row],[NumL]],T_TraitDi[#Data],COLUMN(T_TraitDi[Colonne25]),FALSE),""),"[hh]:mm"))</f>
        <v>#N/A</v>
      </c>
      <c r="BA64" s="284" t="e">
        <f>IF(VLOOKUP(T_Convention[[#This Row],[NumL]],T_TraitDi[#Data],COLUMN(T_TraitDi[Colonne26]),FALSE)=0,"",TEXT(IFERROR(VLOOKUP(T_Convention[[#This Row],[NumL]],T_TraitDi[#Data],COLUMN(T_TraitDi[Colonne26]),FALSE),""),"[hh]:mm"))</f>
        <v>#N/A</v>
      </c>
      <c r="BB64" s="284" t="str">
        <f>IFERROR(VLOOKUP(T_Convention[[#This Row],[NumL]],T_TraitDi[#Data],COLUMN(T_TraitDi[Vendredi]),FALSE),"")</f>
        <v/>
      </c>
      <c r="BC64" s="284" t="e">
        <f>IF(VLOOKUP(T_Convention[[#This Row],[NumL]],T_TraitDi[#Data],COLUMN(T_TraitDi[Colonne27]),FALSE)=0,"",TEXT(IFERROR(VLOOKUP(T_Convention[[#This Row],[NumL]],T_TraitDi[#Data],COLUMN(T_TraitDi[Colonne27]),FALSE),""),"[hh]:mm"))</f>
        <v>#N/A</v>
      </c>
      <c r="BD64" s="284" t="e">
        <f>IF(VLOOKUP(T_Convention[[#This Row],[NumL]],T_TraitDi[#Data],COLUMN(T_TraitDi[Colonne28]),FALSE)=0,"",TEXT(IFERROR(VLOOKUP(T_Convention[[#This Row],[NumL]],T_TraitDi[#Data],COLUMN(T_TraitDi[Colonne28]),FALSE),""),"[hh]:mm"))</f>
        <v>#N/A</v>
      </c>
      <c r="BE64" s="284" t="str">
        <f>IFERROR(VLOOKUP(T_Convention[[#This Row],[NumL]],T_TraitDi[#Data],COLUMN(T_TraitDi[Colonne29]),FALSE),"")</f>
        <v/>
      </c>
      <c r="BF64" s="284" t="e">
        <f>IF(VLOOKUP(T_Convention[[#This Row],[NumL]],T_TraitDi[#Data],COLUMN(T_TraitDi[Colonne30]),FALSE)=0,"",TEXT(IFERROR(VLOOKUP(T_Convention[[#This Row],[NumL]],T_TraitDi[#Data],COLUMN(T_TraitDi[Colonne30]),FALSE),""),"[hh]:mm"))</f>
        <v>#N/A</v>
      </c>
      <c r="BG64" s="284" t="e">
        <f>IF(VLOOKUP(T_Convention[[#This Row],[NumL]],T_TraitDi[#Data],COLUMN(T_TraitDi[Colonne31]),FALSE)=0,"",TEXT(IFERROR(VLOOKUP(T_Convention[[#This Row],[NumL]],T_TraitDi[#Data],COLUMN(T_TraitDi[Colonne31]),FALSE),""),"[hh]:mm"))</f>
        <v>#N/A</v>
      </c>
      <c r="BH64" s="284" t="e">
        <f>IF(VLOOKUP(T_Convention[[#This Row],[NumL]],T_TraitDi[#Data],COLUMN(T_TraitDi[Colonne32]),FALSE)=0,"",TEXT(IFERROR(VLOOKUP(T_Convention[[#This Row],[NumL]],T_TraitDi[#Data],COLUMN(T_TraitDi[Colonne32]),FALSE),""),"[hh]:mm"))</f>
        <v>#N/A</v>
      </c>
      <c r="BI64" s="284" t="str">
        <f>IFERROR(VLOOKUP(T_Convention[[#This Row],[NumL]],T_TraitDi[#Data],COLUMN(T_TraitDi[NbJTW]),FALSE),"")</f>
        <v/>
      </c>
      <c r="BJ64" s="284" t="e">
        <f>IF(VLOOKUP(T_Convention[[#This Row],[NumL]],T_TraitDi[#Data],COLUMN(T_TraitDi[NbhTW]),FALSE)=0,"",TEXT(IFERROR(VLOOKUP(T_Convention[[#This Row],[NumL]],T_TraitDi[#Data],COLUMN(T_TraitDi[NbhTW]),FALSE),""),"[hh]:mm"))</f>
        <v>#N/A</v>
      </c>
      <c r="BK64" s="286" t="e">
        <f>IF(VLOOKUP(T_Convention[[#This Row],[NumL]],T_TraitDi[#Data],COLUMN(T_TraitDi[Nbhheb]),FALSE)=0,"",TEXT(IFERROR(VLOOKUP(T_Convention[[#This Row],[NumL]],T_TraitDi[#Data],COLUMN(T_TraitDi[Nbhheb]),FALSE),""),"[hh]:mm"))</f>
        <v>#N/A</v>
      </c>
      <c r="BL64" s="287" t="str">
        <f>IFERROR(VLOOKUP(VLOOKUP(T_Convention[[#This Row],[NumL]],T_TraitDi[#Data],COLUMN(T_TraitDi[Type1]),FALSE),TypeTW,2,FALSE),"")</f>
        <v/>
      </c>
      <c r="BM64" s="288" t="str">
        <f>IFERROR(VLOOKUP(T_Convention[[#This Row],[NumL]],T_TraitDi[#Data],COLUMN(T_TraitDi[Rue1]),FALSE),"")</f>
        <v/>
      </c>
      <c r="BN64" s="289" t="str">
        <f>IFERROR(VLOOKUP(T_Convention[[#This Row],[NumL]],T_TraitDi[#Data],COLUMN(T_TraitDi[CP1]),FALSE),"")</f>
        <v/>
      </c>
      <c r="BO64" s="282" t="str">
        <f>IFERROR(VLOOKUP(T_Convention[[#This Row],[NumL]],T_TraitDi[#Data],COLUMN(T_TraitDi[VILLE1]),FALSE),"")</f>
        <v/>
      </c>
      <c r="BP64" s="290" t="str">
        <f>IFERROR(VLOOKUP(VLOOKUP(T_Convention[[#This Row],[NumL]],T_TraitDi[#Data],COLUMN(T_TraitDi[Type2]),FALSE),TypeTW,2,FALSE),"")</f>
        <v/>
      </c>
      <c r="BQ64" s="182" t="str">
        <f>IFERROR(VLOOKUP(T_Convention[[#This Row],[NumL]],T_TraitDi[#Data],COLUMN(T_TraitDi[Rue2]),FALSE),"")</f>
        <v/>
      </c>
      <c r="BR64" s="173" t="str">
        <f>IFERROR(VLOOKUP(T_Convention[[#This Row],[NumL]],T_TraitDi[#Data],COLUMN(T_TraitDi[CP2]),FALSE),"")</f>
        <v/>
      </c>
      <c r="BS64" s="173" t="str">
        <f>IFERROR(VLOOKUP(T_Convention[[#This Row],[NumL]],T_TraitDi[#Data],COLUMN(T_TraitDi[VILLE2]),FALSE),"")</f>
        <v/>
      </c>
      <c r="BT64" s="182" t="str">
        <f>IF(VLOOKUP(T_Convention[[#This Row],[NumL]],T_Equipement[#Data],COLUMN(T_Equipement[PC]),FALSE)="","Aucun équipement spécifique directement lié au télétravail",VLOOKUP(T_Convention[[#This Row],[NumL]],T_Equipement[#Data],COLUMN(T_Equipement[PC]),FALSE))</f>
        <v>16-002</v>
      </c>
      <c r="BU64" s="166" t="str">
        <f>IFERROR(IF(VLOOKUP(T_Convention[[#This Row],[NumL]],T_TraitDi[#Data],COLUMN(T_TraitDi[Plan]),FALSE)="OK","Un planning spécifique de télétravail est annexé à la présente convention.",""),"")</f>
        <v/>
      </c>
      <c r="BV64" s="185"/>
      <c r="BW64" s="164" t="e">
        <f>IF(VLOOKUP(T_Convention[[#This Row],[NumL]],T_suiviDi[#Data],COLUMN(T_suiviDi[Entité]),FALSE)="","",VLOOKUP(T_Convention[[#This Row],[NumL]],T_suiviDi[#Data],COLUMN(T_suiviDi[Entité]),FALSE))</f>
        <v>#N/A</v>
      </c>
      <c r="BX64" s="164" t="str">
        <f>IF(VLOOKUP(T_Convention[[#This Row],[NumL]],T_Commission[#Data],COLUMN(T_Commission[envoi confirm TW]),FALSE)="","",VLOOKUP(T_Convention[[#This Row],[NumL]],T_Commission[#Data],COLUMN(T_Commission[envoi confirm TW]),FALSE))</f>
        <v>Oui</v>
      </c>
      <c r="BY6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4" s="264">
        <f>VLOOKUP(T_Convention[[#This Row],[NumL]],T_Commission[#Data],COLUMN(T_Commission[Commentaire]),FALSE)</f>
        <v>0</v>
      </c>
      <c r="CA64" s="254" t="str">
        <f>IF(VLOOKUP(T_Convention[[#This Row],[NumL]],T_Commission[#Data],COLUMN(T_Commission[Encadrant Email]),FALSE)="","",VLOOKUP(T_Convention[[#This Row],[NumL]],T_Commission[#Data],COLUMN(T_Commission[Encadrant Email]),FALSE))</f>
        <v/>
      </c>
      <c r="CB64" s="352" t="e">
        <f>VLOOKUP(T_Convention[[#This Row],[NumL]],T_TraitDi[#Data],COLUMN(T_TraitDi[NbJTot]),FALSE)</f>
        <v>#N/A</v>
      </c>
      <c r="CC64" s="352" t="e">
        <f>VLOOKUP(T_Convention[[#This Row],[NumL]],T_TraitDi[#Data],COLUMN(T_TraitDi[Reg Ponct]),FALSE)</f>
        <v>#N/A</v>
      </c>
      <c r="CD64" s="348" t="str">
        <f>IF(T_Convention[[#This Row],[Final]]&lt;&gt;"",VLOOKUP(T_Convention[[#This Row],[NumL]],T_suiviDi[#Data],COLUMN((T_suiviDi[Statut])),FALSE),"")</f>
        <v/>
      </c>
    </row>
    <row r="65" spans="1:82" s="106" customFormat="1" ht="18.75" customHeight="1" x14ac:dyDescent="0.25">
      <c r="A65" s="160">
        <v>286</v>
      </c>
      <c r="B65" s="161" t="str">
        <f>VLOOKUP(T_Convention[[#This Row],[NumL]],T_Commission[#Data],COLUMN(T_Commission[FINAL]),FALSE)</f>
        <v/>
      </c>
      <c r="C65" s="162"/>
      <c r="D65" s="95" t="e">
        <f>IF(VLOOKUP(T_Convention[[#This Row],[NumL]],T_TraitDi[#Data],COLUMN(T_TraitDi[WebC]),FALSE)="","",VLOOKUP(T_Convention[[#This Row],[NumL]],T_TraitDi[#Data],COLUMN(T_TraitDi[WebC]),FALSE))</f>
        <v>#N/A</v>
      </c>
      <c r="E65" s="163" t="str">
        <f t="shared" si="0"/>
        <v>12 janvier 2021</v>
      </c>
      <c r="F65" s="282" t="str">
        <f>IF(T_Convention[[#This Row],[Final]]&lt;&gt;"",VLOOKUP(T_Convention[[#This Row],[NumL]],T_suiviDi[#Data],COLUMN((T_suiviDi[Civ.])),FALSE),"")</f>
        <v/>
      </c>
      <c r="G65" s="283" t="str">
        <f>IF(T_Convention[[#This Row],[Final]]&lt;&gt;"",VLOOKUP(T_Convention[[#This Row],[NumL]],T_suiviDi[#Data],COLUMN((T_suiviDi[Nom])),FALSE),"")</f>
        <v/>
      </c>
      <c r="H65" s="282" t="str">
        <f>IF(T_Convention[[#This Row],[Final]]&lt;&gt;"",VLOOKUP(T_Convention[[#This Row],[NumL]],T_suiviDi[#Data],COLUMN((T_suiviDi[Prénom])),FALSE),"")</f>
        <v/>
      </c>
      <c r="I65" s="282" t="e">
        <f>VLOOKUP(T_Convention[[#This Row],[NumL]],T_suiviDi[#Data],COLUMN((T_suiviDi[[#This Row],[Email]])),FALSE)</f>
        <v>#VALUE!</v>
      </c>
      <c r="J65" s="282" t="e">
        <f>IF(VLOOKUP(T_Convention[[#This Row],[NumL]],T_suiviDi[#Data],COLUMN(T_suiviDi[[#This Row],[Fonction]]),FALSE)="","",VLOOKUP(T_Convention[[#This Row],[NumL]],T_suiviDi[#Data],COLUMN(T_suiviDi[[#This Row],[Fonction]]),FALSE))</f>
        <v>#VALUE!</v>
      </c>
      <c r="K65" s="282" t="e">
        <f>IF(VLOOKUP(T_Convention[[#This Row],[NumL]],T_suiviDi[#Data],COLUMN(T_suiviDi[[#This Row],[Grade]]),FALSE)="","",VLOOKUP(T_Convention[[#This Row],[NumL]],T_suiviDi[#Data],COLUMN(T_suiviDi[[#This Row],[Grade]]),FALSE))</f>
        <v>#VALUE!</v>
      </c>
      <c r="L65" s="282" t="e">
        <f>IF(VLOOKUP(T_Convention[[#This Row],[NumL]],T_suiviDi[#Data],COLUMN(T_suiviDi[[#This Row],[Service ]]),FALSE)="","",VLOOKUP(T_Convention[[#This Row],[NumL]],T_suiviDi[#Data],COLUMN(T_suiviDi[[#This Row],[Service ]]),FALSE))</f>
        <v>#VALUE!</v>
      </c>
      <c r="M65" s="164" t="str">
        <f t="shared" si="1"/>
        <v>01 septembre 2021</v>
      </c>
      <c r="N65" s="164" t="str">
        <f t="shared" si="2"/>
        <v>30 novembre 2021</v>
      </c>
      <c r="O65" s="284" t="str">
        <f t="shared" si="3"/>
        <v>30 novembre 2021</v>
      </c>
      <c r="P65" s="282" t="e">
        <f>IF(VLOOKUP(T_Convention[[#This Row],[NumL]],T_TraitDi[#Data],COLUMN(T_TraitDi[M1]),FALSE)="","",VLOOKUP(T_Convention[[#This Row],[NumL]],T_TraitDi[#Data],COLUMN(T_TraitDi[M1]),FALSE))</f>
        <v>#N/A</v>
      </c>
      <c r="Q65" s="282" t="e">
        <f>IF(VLOOKUP(T_Convention[[#This Row],[NumL]],T_TraitDi[#Data],COLUMN(T_TraitDi[M2]),FALSE)="","",VLOOKUP(T_Convention[[#This Row],[NumL]],T_TraitDi[#Data],COLUMN(T_TraitDi[M2]),FALSE))</f>
        <v>#N/A</v>
      </c>
      <c r="R65" s="282" t="e">
        <f>IF(VLOOKUP(T_Convention[[#This Row],[NumL]],T_TraitDi[#Data],COLUMN(T_TraitDi[M3]),FALSE)="","",VLOOKUP(T_Convention[[#This Row],[NumL]],T_TraitDi[#Data],COLUMN(T_TraitDi[M3]),FALSE))</f>
        <v>#N/A</v>
      </c>
      <c r="S65" s="282" t="e">
        <f>IF(VLOOKUP(T_Convention[[#This Row],[NumL]],T_TraitDi[#Data],COLUMN(T_TraitDi[M4]),FALSE)="","",VLOOKUP(T_Convention[[#This Row],[NumL]],T_TraitDi[#Data],COLUMN(T_TraitDi[M4]),FALSE))</f>
        <v>#N/A</v>
      </c>
      <c r="T65" s="282" t="e">
        <f>IF(VLOOKUP(T_Convention[[#This Row],[NumL]],T_TraitDi[#Data],COLUMN(T_TraitDi[M5]),FALSE)="","",VLOOKUP(T_Convention[[#This Row],[NumL]],T_TraitDi[#Data],COLUMN(T_TraitDi[M5]),FALSE))</f>
        <v>#N/A</v>
      </c>
      <c r="U65" s="282" t="e">
        <f>IF(VLOOKUP(T_Convention[[#This Row],[NumL]],T_TraitDi[#Data],COLUMN(T_TraitDi[M6]),FALSE)="","",VLOOKUP(T_Convention[[#This Row],[NumL]],T_TraitDi[#Data],COLUMN(T_TraitDi[M6]),FALSE))</f>
        <v>#N/A</v>
      </c>
      <c r="V65" s="176" t="e">
        <f t="shared" si="4"/>
        <v>#N/A</v>
      </c>
      <c r="W65" s="284" t="str">
        <f>IFERROR(TEXT(VLOOKUP(T_Convention[[#This Row],[NumL]],T_TraitDi[#Data],COLUMN(T_TraitDi[Q2]),FALSE),"###%"),"")</f>
        <v/>
      </c>
      <c r="X65" s="97" t="e">
        <f>VLOOKUP(T_Convention[[#This Row],[NumL]],T_TraitDi[#Data],COLUMN(T_TraitDi[Reg Ponct]),FALSE)</f>
        <v>#N/A</v>
      </c>
      <c r="Y65" s="97" t="e">
        <f>VLOOKUP(T_Convention[NumL],T_TraitDi[#Data],COLUMN(T_TraitDi[Jours flottants]),FALSE)</f>
        <v>#N/A</v>
      </c>
      <c r="Z65" s="284" t="str">
        <f>IFERROR(VLOOKUP(T_Convention[[#This Row],[NumL]],T_TraitDi[#Data],COLUMN(T_TraitDi[Lundi]),FALSE),"")</f>
        <v/>
      </c>
      <c r="AA65" s="284" t="e">
        <f>IF(VLOOKUP(T_Convention[[#This Row],[NumL]],T_TraitDi[#Data],COLUMN(T_TraitDi[Colonne3]),FALSE)=0,"",TEXT(IFERROR(VLOOKUP(T_Convention[[#This Row],[NumL]],T_TraitDi[#Data],COLUMN(T_TraitDi[Colonne3]),FALSE),""),"[hh]:mm"))</f>
        <v>#N/A</v>
      </c>
      <c r="AB65" s="284" t="e">
        <f>IF(VLOOKUP(T_Convention[[#This Row],[NumL]],T_TraitDi[#Data],COLUMN(T_TraitDi[Colonne4]),FALSE)=0,"",TEXT(IFERROR(VLOOKUP(T_Convention[[#This Row],[NumL]],T_TraitDi[#Data],COLUMN(T_TraitDi[Colonne4]),FALSE),""),"[hh]:mm"))</f>
        <v>#N/A</v>
      </c>
      <c r="AC65" s="284" t="e">
        <f>IF(VLOOKUP(T_Convention[[#This Row],[NumL]],T_TraitDi[#Data],COLUMN(T_TraitDi[Colonne5]),FALSE)=0,"",TEXT(IFERROR(VLOOKUP(T_Convention[[#This Row],[NumL]],T_TraitDi[#Data],COLUMN(T_TraitDi[Colonne5]),FALSE),""),"[hh]:mm"))</f>
        <v>#N/A</v>
      </c>
      <c r="AD65" s="284" t="e">
        <f>IF(VLOOKUP(T_Convention[[#This Row],[NumL]],T_TraitDi[#Data],COLUMN(T_TraitDi[Colonne6]),FALSE)=0,"",TEXT(IFERROR(VLOOKUP(T_Convention[[#This Row],[NumL]],T_TraitDi[#Data],COLUMN(T_TraitDi[Colonne6]),FALSE),""),"[hh]:mm"))</f>
        <v>#N/A</v>
      </c>
      <c r="AE65" s="284" t="e">
        <f>IF(VLOOKUP(T_Convention[[#This Row],[NumL]],T_TraitDi[#Data],COLUMN(T_TraitDi[Colonne7]),FALSE)=0,"",TEXT(IFERROR(VLOOKUP(T_Convention[[#This Row],[NumL]],T_TraitDi[#Data],COLUMN(T_TraitDi[Colonne7]),FALSE),""),"[hh]:mm"))</f>
        <v>#N/A</v>
      </c>
      <c r="AF65" s="284" t="e">
        <f>IF(VLOOKUP(T_Convention[[#This Row],[NumL]],T_TraitDi[#Data],COLUMN(T_TraitDi[Colonne8]),FALSE)=0,"",TEXT(IFERROR(VLOOKUP(T_Convention[[#This Row],[NumL]],T_TraitDi[#Data],COLUMN(T_TraitDi[Colonne8]),FALSE),""),"[hh]:mm"))</f>
        <v>#N/A</v>
      </c>
      <c r="AG65" s="284" t="str">
        <f>IFERROR(VLOOKUP(T_Convention[[#This Row],[NumL]],T_TraitDi[#Data],COLUMN(T_TraitDi[Mardi]),FALSE),"")</f>
        <v/>
      </c>
      <c r="AH65" s="284" t="e">
        <f>IF(VLOOKUP(T_Convention[[#This Row],[NumL]],T_TraitDi[#Data],COLUMN(T_TraitDi[Colonne1]),FALSE)=0,"",TEXT(IFERROR(VLOOKUP(T_Convention[[#This Row],[NumL]],T_TraitDi[#Data],COLUMN(T_TraitDi[Colonne1]),FALSE),""),"[hh]:mm"))</f>
        <v>#N/A</v>
      </c>
      <c r="AI65" s="284" t="e">
        <f>IF(VLOOKUP(T_Convention[[#This Row],[NumL]],T_TraitDi[#Data],COLUMN(T_TraitDi[Colonne9]),FALSE)=0,"",TEXT(IFERROR(VLOOKUP(T_Convention[[#This Row],[NumL]],T_TraitDi[#Data],COLUMN(T_TraitDi[Colonne9]),FALSE),""),"[hh]:mm"))</f>
        <v>#N/A</v>
      </c>
      <c r="AJ65" s="284" t="str">
        <f>IFERROR(VLOOKUP(T_Convention[[#This Row],[NumL]],T_TraitDi[#Data],COLUMN(T_TraitDi[Colonne10]),FALSE),"")</f>
        <v/>
      </c>
      <c r="AK65" s="284" t="e">
        <f>IF(VLOOKUP(T_Convention[[#This Row],[NumL]],T_TraitDi[#Data],COLUMN(T_TraitDi[Colonne11]),FALSE)=0,"",TEXT(IFERROR(VLOOKUP(T_Convention[[#This Row],[NumL]],T_TraitDi[#Data],COLUMN(T_TraitDi[Colonne11]),FALSE),""),"[hh]:mm"))</f>
        <v>#N/A</v>
      </c>
      <c r="AL65" s="284" t="e">
        <f>IF(VLOOKUP(T_Convention[[#This Row],[NumL]],T_TraitDi[#Data],COLUMN(T_TraitDi[Colonne12]),FALSE)=0,"",TEXT(IFERROR(VLOOKUP(T_Convention[[#This Row],[NumL]],T_TraitDi[#Data],COLUMN(T_TraitDi[Colonne12]),FALSE),""),"[hh]:mm"))</f>
        <v>#N/A</v>
      </c>
      <c r="AM65" s="284" t="e">
        <f>IF(VLOOKUP(T_Convention[[#This Row],[NumL]],T_TraitDi[#Data],COLUMN(T_TraitDi[Colonne14]),FALSE)=0,"",TEXT(IFERROR(VLOOKUP(T_Convention[[#This Row],[NumL]],T_TraitDi[#Data],COLUMN(T_TraitDi[Colonne14]),FALSE),""),"[hh]:mm"))</f>
        <v>#N/A</v>
      </c>
      <c r="AN65" s="284" t="str">
        <f>IFERROR(VLOOKUP(T_Convention[[#This Row],[NumL]],T_TraitDi[#Data],COLUMN(T_TraitDi[Mercredi]),FALSE),"")</f>
        <v/>
      </c>
      <c r="AO65" s="284" t="e">
        <f>IF(VLOOKUP(T_Convention[[#This Row],[NumL]],T_TraitDi[#Data],COLUMN(T_TraitDi[Colonne15]),FALSE)=0,"",TEXT(IFERROR(VLOOKUP(T_Convention[[#This Row],[NumL]],T_TraitDi[#Data],COLUMN(T_TraitDi[Colonne15]),FALSE),""),"[hh]:mm"))</f>
        <v>#N/A</v>
      </c>
      <c r="AP65" s="284" t="e">
        <f>IF(VLOOKUP(T_Convention[[#This Row],[NumL]],T_TraitDi[#Data],COLUMN(T_TraitDi[Colonne16]),FALSE)=0,"",TEXT(IFERROR(VLOOKUP(T_Convention[[#This Row],[NumL]],T_TraitDi[#Data],COLUMN(T_TraitDi[Colonne16]),FALSE),""),"[hh]:mm"))</f>
        <v>#N/A</v>
      </c>
      <c r="AQ65" s="284" t="str">
        <f>IFERROR(VLOOKUP(T_Convention[[#This Row],[NumL]],T_TraitDi[#Data],COLUMN(T_TraitDi[Colonne17]),FALSE),"")</f>
        <v/>
      </c>
      <c r="AR65" s="284" t="e">
        <f>IF(VLOOKUP(T_Convention[[#This Row],[NumL]],T_TraitDi[#Data],COLUMN(T_TraitDi[Colonne18]),FALSE)=0,"",TEXT(IFERROR(VLOOKUP(T_Convention[[#This Row],[NumL]],T_TraitDi[#Data],COLUMN(T_TraitDi[Colonne18]),FALSE),""),"[hh]:mm"))</f>
        <v>#N/A</v>
      </c>
      <c r="AS65" s="284" t="e">
        <f>IF(VLOOKUP(T_Convention[[#This Row],[NumL]],T_TraitDi[#Data],COLUMN(T_TraitDi[Colonne19]),FALSE)=0,"",TEXT(IFERROR(VLOOKUP(T_Convention[[#This Row],[NumL]],T_TraitDi[#Data],COLUMN(T_TraitDi[Colonne19]),FALSE),""),"[hh]:mm"))</f>
        <v>#N/A</v>
      </c>
      <c r="AT65" s="284" t="e">
        <f>IF(VLOOKUP(T_Convention[[#This Row],[NumL]],T_TraitDi[#Data],COLUMN(T_TraitDi[Colonne20]),FALSE)=0,"",TEXT(IFERROR(VLOOKUP(T_Convention[[#This Row],[NumL]],T_TraitDi[#Data],COLUMN(T_TraitDi[Colonne20]),FALSE),""),"[hh]:mm"))</f>
        <v>#N/A</v>
      </c>
      <c r="AU65" s="284" t="str">
        <f>IFERROR(VLOOKUP(T_Convention[[#This Row],[NumL]],T_TraitDi[#Data],COLUMN(T_TraitDi[Jeudi]),FALSE),"")</f>
        <v/>
      </c>
      <c r="AV65" s="284" t="e">
        <f>IF(VLOOKUP(T_Convention[[#This Row],[NumL]],T_TraitDi[#Data],COLUMN(T_TraitDi[Colonne21]),FALSE)=0,"",TEXT(IFERROR(VLOOKUP(T_Convention[[#This Row],[NumL]],T_TraitDi[#Data],COLUMN(T_TraitDi[Colonne21]),FALSE),""),"[hh]:mm"))</f>
        <v>#N/A</v>
      </c>
      <c r="AW65" s="284" t="e">
        <f>IF(VLOOKUP(T_Convention[[#This Row],[NumL]],T_TraitDi[#Data],COLUMN(T_TraitDi[Colonne22]),FALSE)=0,"",TEXT(IFERROR(VLOOKUP(T_Convention[[#This Row],[NumL]],T_TraitDi[#Data],COLUMN(T_TraitDi[Colonne22]),FALSE),""),"[hh]:mm"))</f>
        <v>#N/A</v>
      </c>
      <c r="AX65" s="284" t="str">
        <f>IFERROR(VLOOKUP(T_Convention[[#This Row],[NumL]],T_TraitDi[#Data],COLUMN(T_TraitDi[Colonne23]),FALSE),"")</f>
        <v/>
      </c>
      <c r="AY65" s="284" t="e">
        <f>IF(VLOOKUP(T_Convention[[#This Row],[NumL]],T_TraitDi[#Data],COLUMN(T_TraitDi[Colonne24]),FALSE)=0,"",TEXT(IFERROR(VLOOKUP(T_Convention[[#This Row],[NumL]],T_TraitDi[#Data],COLUMN(T_TraitDi[Colonne24]),FALSE),""),"[hh]:mm"))</f>
        <v>#N/A</v>
      </c>
      <c r="AZ65" s="284" t="e">
        <f>IF(VLOOKUP(T_Convention[[#This Row],[NumL]],T_TraitDi[#Data],COLUMN(T_TraitDi[Colonne25]),FALSE)=0,"",TEXT(IFERROR(VLOOKUP(T_Convention[[#This Row],[NumL]],T_TraitDi[#Data],COLUMN(T_TraitDi[Colonne25]),FALSE),""),"[hh]:mm"))</f>
        <v>#N/A</v>
      </c>
      <c r="BA65" s="284" t="e">
        <f>IF(VLOOKUP(T_Convention[[#This Row],[NumL]],T_TraitDi[#Data],COLUMN(T_TraitDi[Colonne26]),FALSE)=0,"",TEXT(IFERROR(VLOOKUP(T_Convention[[#This Row],[NumL]],T_TraitDi[#Data],COLUMN(T_TraitDi[Colonne26]),FALSE),""),"[hh]:mm"))</f>
        <v>#N/A</v>
      </c>
      <c r="BB65" s="284" t="str">
        <f>IFERROR(VLOOKUP(T_Convention[[#This Row],[NumL]],T_TraitDi[#Data],COLUMN(T_TraitDi[Vendredi]),FALSE),"")</f>
        <v/>
      </c>
      <c r="BC65" s="284" t="e">
        <f>IF(VLOOKUP(T_Convention[[#This Row],[NumL]],T_TraitDi[#Data],COLUMN(T_TraitDi[Colonne27]),FALSE)=0,"",TEXT(IFERROR(VLOOKUP(T_Convention[[#This Row],[NumL]],T_TraitDi[#Data],COLUMN(T_TraitDi[Colonne27]),FALSE),""),"[hh]:mm"))</f>
        <v>#N/A</v>
      </c>
      <c r="BD65" s="284" t="e">
        <f>IF(VLOOKUP(T_Convention[[#This Row],[NumL]],T_TraitDi[#Data],COLUMN(T_TraitDi[Colonne28]),FALSE)=0,"",TEXT(IFERROR(VLOOKUP(T_Convention[[#This Row],[NumL]],T_TraitDi[#Data],COLUMN(T_TraitDi[Colonne28]),FALSE),""),"[hh]:mm"))</f>
        <v>#N/A</v>
      </c>
      <c r="BE65" s="284" t="str">
        <f>IFERROR(VLOOKUP(T_Convention[[#This Row],[NumL]],T_TraitDi[#Data],COLUMN(T_TraitDi[Colonne29]),FALSE),"")</f>
        <v/>
      </c>
      <c r="BF65" s="284" t="e">
        <f>IF(VLOOKUP(T_Convention[[#This Row],[NumL]],T_TraitDi[#Data],COLUMN(T_TraitDi[Colonne30]),FALSE)=0,"",TEXT(IFERROR(VLOOKUP(T_Convention[[#This Row],[NumL]],T_TraitDi[#Data],COLUMN(T_TraitDi[Colonne30]),FALSE),""),"[hh]:mm"))</f>
        <v>#N/A</v>
      </c>
      <c r="BG65" s="284" t="e">
        <f>IF(VLOOKUP(T_Convention[[#This Row],[NumL]],T_TraitDi[#Data],COLUMN(T_TraitDi[Colonne31]),FALSE)=0,"",TEXT(IFERROR(VLOOKUP(T_Convention[[#This Row],[NumL]],T_TraitDi[#Data],COLUMN(T_TraitDi[Colonne31]),FALSE),""),"[hh]:mm"))</f>
        <v>#N/A</v>
      </c>
      <c r="BH65" s="284" t="e">
        <f>IF(VLOOKUP(T_Convention[[#This Row],[NumL]],T_TraitDi[#Data],COLUMN(T_TraitDi[Colonne32]),FALSE)=0,"",TEXT(IFERROR(VLOOKUP(T_Convention[[#This Row],[NumL]],T_TraitDi[#Data],COLUMN(T_TraitDi[Colonne32]),FALSE),""),"[hh]:mm"))</f>
        <v>#N/A</v>
      </c>
      <c r="BI65" s="284" t="str">
        <f>IFERROR(VLOOKUP(T_Convention[[#This Row],[NumL]],T_TraitDi[#Data],COLUMN(T_TraitDi[NbJTW]),FALSE),"")</f>
        <v/>
      </c>
      <c r="BJ65" s="284" t="e">
        <f>IF(VLOOKUP(T_Convention[[#This Row],[NumL]],T_TraitDi[#Data],COLUMN(T_TraitDi[NbhTW]),FALSE)=0,"",TEXT(IFERROR(VLOOKUP(T_Convention[[#This Row],[NumL]],T_TraitDi[#Data],COLUMN(T_TraitDi[NbhTW]),FALSE),""),"[hh]:mm"))</f>
        <v>#N/A</v>
      </c>
      <c r="BK65" s="286" t="e">
        <f>IF(VLOOKUP(T_Convention[[#This Row],[NumL]],T_TraitDi[#Data],COLUMN(T_TraitDi[Nbhheb]),FALSE)=0,"",TEXT(IFERROR(VLOOKUP(T_Convention[[#This Row],[NumL]],T_TraitDi[#Data],COLUMN(T_TraitDi[Nbhheb]),FALSE),""),"[hh]:mm"))</f>
        <v>#N/A</v>
      </c>
      <c r="BL65" s="287" t="str">
        <f>IFERROR(VLOOKUP(VLOOKUP(T_Convention[[#This Row],[NumL]],T_TraitDi[#Data],COLUMN(T_TraitDi[Type1]),FALSE),TypeTW,2,FALSE),"")</f>
        <v/>
      </c>
      <c r="BM65" s="288" t="str">
        <f>IFERROR(VLOOKUP(T_Convention[[#This Row],[NumL]],T_TraitDi[#Data],COLUMN(T_TraitDi[Rue1]),FALSE),"")</f>
        <v/>
      </c>
      <c r="BN65" s="289" t="str">
        <f>IFERROR(VLOOKUP(T_Convention[[#This Row],[NumL]],T_TraitDi[#Data],COLUMN(T_TraitDi[CP1]),FALSE),"")</f>
        <v/>
      </c>
      <c r="BO65" s="282" t="str">
        <f>IFERROR(VLOOKUP(T_Convention[[#This Row],[NumL]],T_TraitDi[#Data],COLUMN(T_TraitDi[VILLE1]),FALSE),"")</f>
        <v/>
      </c>
      <c r="BP65" s="290" t="str">
        <f>IFERROR(VLOOKUP(VLOOKUP(T_Convention[[#This Row],[NumL]],T_TraitDi[#Data],COLUMN(T_TraitDi[Type2]),FALSE),TypeTW,2,FALSE),"")</f>
        <v/>
      </c>
      <c r="BQ65" s="182" t="str">
        <f>IFERROR(VLOOKUP(T_Convention[[#This Row],[NumL]],T_TraitDi[#Data],COLUMN(T_TraitDi[Rue2]),FALSE),"")</f>
        <v/>
      </c>
      <c r="BR65" s="173" t="str">
        <f>IFERROR(VLOOKUP(T_Convention[[#This Row],[NumL]],T_TraitDi[#Data],COLUMN(T_TraitDi[CP2]),FALSE),"")</f>
        <v/>
      </c>
      <c r="BS65" s="173" t="str">
        <f>IFERROR(VLOOKUP(T_Convention[[#This Row],[NumL]],T_TraitDi[#Data],COLUMN(T_TraitDi[VILLE2]),FALSE),"")</f>
        <v/>
      </c>
      <c r="BT65" s="182" t="str">
        <f>IF(VLOOKUP(T_Convention[[#This Row],[NumL]],T_Equipement[#Data],COLUMN(T_Equipement[PC]),FALSE)="","Aucun équipement spécifique directement lié au télétravail",VLOOKUP(T_Convention[[#This Row],[NumL]],T_Equipement[#Data],COLUMN(T_Equipement[PC]),FALSE))</f>
        <v>20-394</v>
      </c>
      <c r="BU65" s="166" t="str">
        <f>IFERROR(IF(VLOOKUP(T_Convention[[#This Row],[NumL]],T_TraitDi[#Data],COLUMN(T_TraitDi[Plan]),FALSE)="OK","Un planning spécifique de télétravail est annexé à la présente convention.",""),"")</f>
        <v/>
      </c>
      <c r="BV65" s="185" t="s">
        <v>3511</v>
      </c>
      <c r="BW65" s="164" t="e">
        <f>IF(VLOOKUP(T_Convention[[#This Row],[NumL]],T_suiviDi[#Data],COLUMN(T_suiviDi[Entité]),FALSE)="","",VLOOKUP(T_Convention[[#This Row],[NumL]],T_suiviDi[#Data],COLUMN(T_suiviDi[Entité]),FALSE))</f>
        <v>#N/A</v>
      </c>
      <c r="BX65" s="164" t="str">
        <f>IF(VLOOKUP(T_Convention[[#This Row],[NumL]],T_Commission[#Data],COLUMN(T_Commission[envoi confirm TW]),FALSE)="","",VLOOKUP(T_Convention[[#This Row],[NumL]],T_Commission[#Data],COLUMN(T_Commission[envoi confirm TW]),FALSE))</f>
        <v>Oui</v>
      </c>
      <c r="BY6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5" s="264">
        <f>VLOOKUP(T_Convention[[#This Row],[NumL]],T_Commission[#Data],COLUMN(T_Commission[Commentaire]),FALSE)</f>
        <v>0</v>
      </c>
      <c r="CA65" s="254" t="str">
        <f>IF(VLOOKUP(T_Convention[[#This Row],[NumL]],T_Commission[#Data],COLUMN(T_Commission[Encadrant Email]),FALSE)="","",VLOOKUP(T_Convention[[#This Row],[NumL]],T_Commission[#Data],COLUMN(T_Commission[Encadrant Email]),FALSE))</f>
        <v/>
      </c>
      <c r="CB65" s="352" t="e">
        <f>VLOOKUP(T_Convention[[#This Row],[NumL]],T_TraitDi[#Data],COLUMN(T_TraitDi[NbJTot]),FALSE)</f>
        <v>#N/A</v>
      </c>
      <c r="CC65" s="352" t="e">
        <f>VLOOKUP(T_Convention[[#This Row],[NumL]],T_TraitDi[#Data],COLUMN(T_TraitDi[Reg Ponct]),FALSE)</f>
        <v>#N/A</v>
      </c>
      <c r="CD65" s="348" t="str">
        <f>IF(T_Convention[[#This Row],[Final]]&lt;&gt;"",VLOOKUP(T_Convention[[#This Row],[NumL]],T_suiviDi[#Data],COLUMN((T_suiviDi[Statut])),FALSE),"")</f>
        <v/>
      </c>
    </row>
    <row r="66" spans="1:82" s="106" customFormat="1" ht="18.75" customHeight="1" x14ac:dyDescent="0.25">
      <c r="A66" s="160">
        <v>313</v>
      </c>
      <c r="B66" s="281" t="str">
        <f>VLOOKUP(T_Convention[[#This Row],[NumL]],T_Commission[#Data],COLUMN(T_Commission[FINAL]),FALSE)</f>
        <v/>
      </c>
      <c r="C66" s="162"/>
      <c r="D66" s="95" t="e">
        <f>IF(VLOOKUP(T_Convention[[#This Row],[NumL]],T_TraitDi[#Data],COLUMN(T_TraitDi[WebC]),FALSE)="","",VLOOKUP(T_Convention[[#This Row],[NumL]],T_TraitDi[#Data],COLUMN(T_TraitDi[WebC]),FALSE))</f>
        <v>#N/A</v>
      </c>
      <c r="E66" s="163" t="str">
        <f t="shared" si="0"/>
        <v>12 janvier 2021</v>
      </c>
      <c r="F66" s="282" t="str">
        <f>IF(T_Convention[[#This Row],[Final]]&lt;&gt;"",VLOOKUP(T_Convention[[#This Row],[NumL]],T_suiviDi[#Data],COLUMN((T_suiviDi[Civ.])),FALSE),"")</f>
        <v/>
      </c>
      <c r="G66" s="283" t="str">
        <f>IF(T_Convention[[#This Row],[Final]]&lt;&gt;"",VLOOKUP(T_Convention[[#This Row],[NumL]],T_suiviDi[#Data],COLUMN((T_suiviDi[Nom])),FALSE),"")</f>
        <v/>
      </c>
      <c r="H66" s="282" t="str">
        <f>IF(T_Convention[[#This Row],[Final]]&lt;&gt;"",VLOOKUP(T_Convention[[#This Row],[NumL]],T_suiviDi[#Data],COLUMN((T_suiviDi[Prénom])),FALSE),"")</f>
        <v/>
      </c>
      <c r="I66" s="282" t="e">
        <f>VLOOKUP(T_Convention[[#This Row],[NumL]],T_suiviDi[#Data],COLUMN((T_suiviDi[[#This Row],[Email]])),FALSE)</f>
        <v>#VALUE!</v>
      </c>
      <c r="J66" s="282" t="e">
        <f>IF(VLOOKUP(T_Convention[[#This Row],[NumL]],T_suiviDi[#Data],COLUMN(T_suiviDi[[#This Row],[Fonction]]),FALSE)="","",VLOOKUP(T_Convention[[#This Row],[NumL]],T_suiviDi[#Data],COLUMN(T_suiviDi[[#This Row],[Fonction]]),FALSE))</f>
        <v>#VALUE!</v>
      </c>
      <c r="K66" s="282" t="e">
        <f>IF(VLOOKUP(T_Convention[[#This Row],[NumL]],T_suiviDi[#Data],COLUMN(T_suiviDi[[#This Row],[Grade]]),FALSE)="","",VLOOKUP(T_Convention[[#This Row],[NumL]],T_suiviDi[#Data],COLUMN(T_suiviDi[[#This Row],[Grade]]),FALSE))</f>
        <v>#VALUE!</v>
      </c>
      <c r="L66" s="282" t="e">
        <f>IF(VLOOKUP(T_Convention[[#This Row],[NumL]],T_suiviDi[#Data],COLUMN(T_suiviDi[[#This Row],[Service ]]),FALSE)="","",VLOOKUP(T_Convention[[#This Row],[NumL]],T_suiviDi[#Data],COLUMN(T_suiviDi[[#This Row],[Service ]]),FALSE))</f>
        <v>#VALUE!</v>
      </c>
      <c r="M66" s="314" t="str">
        <f t="shared" si="1"/>
        <v>01 septembre 2021</v>
      </c>
      <c r="N66" s="314" t="str">
        <f t="shared" si="2"/>
        <v>30 novembre 2021</v>
      </c>
      <c r="O66" s="284" t="str">
        <f t="shared" si="3"/>
        <v>30 novembre 2021</v>
      </c>
      <c r="P66" s="282" t="e">
        <f>IF(VLOOKUP(T_Convention[[#This Row],[NumL]],T_TraitDi[#Data],COLUMN(T_TraitDi[M1]),FALSE)="","",VLOOKUP(T_Convention[[#This Row],[NumL]],T_TraitDi[#Data],COLUMN(T_TraitDi[M1]),FALSE))</f>
        <v>#N/A</v>
      </c>
      <c r="Q66" s="282" t="e">
        <f>IF(VLOOKUP(T_Convention[[#This Row],[NumL]],T_TraitDi[#Data],COLUMN(T_TraitDi[M2]),FALSE)="","",VLOOKUP(T_Convention[[#This Row],[NumL]],T_TraitDi[#Data],COLUMN(T_TraitDi[M2]),FALSE))</f>
        <v>#N/A</v>
      </c>
      <c r="R66" s="282" t="e">
        <f>IF(VLOOKUP(T_Convention[[#This Row],[NumL]],T_TraitDi[#Data],COLUMN(T_TraitDi[M3]),FALSE)="","",VLOOKUP(T_Convention[[#This Row],[NumL]],T_TraitDi[#Data],COLUMN(T_TraitDi[M3]),FALSE))</f>
        <v>#N/A</v>
      </c>
      <c r="S66" s="282" t="e">
        <f>IF(VLOOKUP(T_Convention[[#This Row],[NumL]],T_TraitDi[#Data],COLUMN(T_TraitDi[M4]),FALSE)="","",VLOOKUP(T_Convention[[#This Row],[NumL]],T_TraitDi[#Data],COLUMN(T_TraitDi[M4]),FALSE))</f>
        <v>#N/A</v>
      </c>
      <c r="T66" s="282" t="e">
        <f>IF(VLOOKUP(T_Convention[[#This Row],[NumL]],T_TraitDi[#Data],COLUMN(T_TraitDi[M5]),FALSE)="","",VLOOKUP(T_Convention[[#This Row],[NumL]],T_TraitDi[#Data],COLUMN(T_TraitDi[M5]),FALSE))</f>
        <v>#N/A</v>
      </c>
      <c r="U66" s="282" t="e">
        <f>IF(VLOOKUP(T_Convention[[#This Row],[NumL]],T_TraitDi[#Data],COLUMN(T_TraitDi[M6]),FALSE)="","",VLOOKUP(T_Convention[[#This Row],[NumL]],T_TraitDi[#Data],COLUMN(T_TraitDi[M6]),FALSE))</f>
        <v>#N/A</v>
      </c>
      <c r="V66" s="314" t="e">
        <f t="shared" si="4"/>
        <v>#N/A</v>
      </c>
      <c r="W66" s="284" t="str">
        <f>IFERROR(TEXT(VLOOKUP(T_Convention[[#This Row],[NumL]],T_TraitDi[#Data],COLUMN(T_TraitDi[Q2]),FALSE),"###%"),"")</f>
        <v/>
      </c>
      <c r="X66" s="285" t="e">
        <f>VLOOKUP(T_Convention[[#This Row],[NumL]],T_TraitDi[#Data],COLUMN(T_TraitDi[Reg Ponct]),FALSE)</f>
        <v>#N/A</v>
      </c>
      <c r="Y66" s="285" t="e">
        <f>VLOOKUP(T_Convention[NumL],T_TraitDi[#Data],COLUMN(T_TraitDi[Jours flottants]),FALSE)</f>
        <v>#N/A</v>
      </c>
      <c r="Z66" s="284" t="str">
        <f>IFERROR(VLOOKUP(T_Convention[[#This Row],[NumL]],T_TraitDi[#Data],COLUMN(T_TraitDi[Lundi]),FALSE),"")</f>
        <v/>
      </c>
      <c r="AA66" s="284" t="e">
        <f>IF(VLOOKUP(T_Convention[[#This Row],[NumL]],T_TraitDi[#Data],COLUMN(T_TraitDi[Colonne3]),FALSE)=0,"",TEXT(IFERROR(VLOOKUP(T_Convention[[#This Row],[NumL]],T_TraitDi[#Data],COLUMN(T_TraitDi[Colonne3]),FALSE),""),"[hh]:mm"))</f>
        <v>#N/A</v>
      </c>
      <c r="AB66" s="284" t="e">
        <f>IF(VLOOKUP(T_Convention[[#This Row],[NumL]],T_TraitDi[#Data],COLUMN(T_TraitDi[Colonne4]),FALSE)=0,"",TEXT(IFERROR(VLOOKUP(T_Convention[[#This Row],[NumL]],T_TraitDi[#Data],COLUMN(T_TraitDi[Colonne4]),FALSE),""),"[hh]:mm"))</f>
        <v>#N/A</v>
      </c>
      <c r="AC66" s="284" t="e">
        <f>IF(VLOOKUP(T_Convention[[#This Row],[NumL]],T_TraitDi[#Data],COLUMN(T_TraitDi[Colonne5]),FALSE)=0,"",TEXT(IFERROR(VLOOKUP(T_Convention[[#This Row],[NumL]],T_TraitDi[#Data],COLUMN(T_TraitDi[Colonne5]),FALSE),""),"[hh]:mm"))</f>
        <v>#N/A</v>
      </c>
      <c r="AD66" s="284" t="e">
        <f>IF(VLOOKUP(T_Convention[[#This Row],[NumL]],T_TraitDi[#Data],COLUMN(T_TraitDi[Colonne6]),FALSE)=0,"",TEXT(IFERROR(VLOOKUP(T_Convention[[#This Row],[NumL]],T_TraitDi[#Data],COLUMN(T_TraitDi[Colonne6]),FALSE),""),"[hh]:mm"))</f>
        <v>#N/A</v>
      </c>
      <c r="AE66" s="284" t="e">
        <f>IF(VLOOKUP(T_Convention[[#This Row],[NumL]],T_TraitDi[#Data],COLUMN(T_TraitDi[Colonne7]),FALSE)=0,"",TEXT(IFERROR(VLOOKUP(T_Convention[[#This Row],[NumL]],T_TraitDi[#Data],COLUMN(T_TraitDi[Colonne7]),FALSE),""),"[hh]:mm"))</f>
        <v>#N/A</v>
      </c>
      <c r="AF66" s="284" t="e">
        <f>IF(VLOOKUP(T_Convention[[#This Row],[NumL]],T_TraitDi[#Data],COLUMN(T_TraitDi[Colonne8]),FALSE)=0,"",TEXT(IFERROR(VLOOKUP(T_Convention[[#This Row],[NumL]],T_TraitDi[#Data],COLUMN(T_TraitDi[Colonne8]),FALSE),""),"[hh]:mm"))</f>
        <v>#N/A</v>
      </c>
      <c r="AG66" s="284" t="str">
        <f>IFERROR(VLOOKUP(T_Convention[[#This Row],[NumL]],T_TraitDi[#Data],COLUMN(T_TraitDi[Mardi]),FALSE),"")</f>
        <v/>
      </c>
      <c r="AH66" s="284" t="e">
        <f>IF(VLOOKUP(T_Convention[[#This Row],[NumL]],T_TraitDi[#Data],COLUMN(T_TraitDi[Colonne1]),FALSE)=0,"",TEXT(IFERROR(VLOOKUP(T_Convention[[#This Row],[NumL]],T_TraitDi[#Data],COLUMN(T_TraitDi[Colonne1]),FALSE),""),"[hh]:mm"))</f>
        <v>#N/A</v>
      </c>
      <c r="AI66" s="284" t="e">
        <f>IF(VLOOKUP(T_Convention[[#This Row],[NumL]],T_TraitDi[#Data],COLUMN(T_TraitDi[Colonne9]),FALSE)=0,"",TEXT(IFERROR(VLOOKUP(T_Convention[[#This Row],[NumL]],T_TraitDi[#Data],COLUMN(T_TraitDi[Colonne9]),FALSE),""),"[hh]:mm"))</f>
        <v>#N/A</v>
      </c>
      <c r="AJ66" s="284" t="str">
        <f>IFERROR(VLOOKUP(T_Convention[[#This Row],[NumL]],T_TraitDi[#Data],COLUMN(T_TraitDi[Colonne10]),FALSE),"")</f>
        <v/>
      </c>
      <c r="AK66" s="284" t="e">
        <f>IF(VLOOKUP(T_Convention[[#This Row],[NumL]],T_TraitDi[#Data],COLUMN(T_TraitDi[Colonne11]),FALSE)=0,"",TEXT(IFERROR(VLOOKUP(T_Convention[[#This Row],[NumL]],T_TraitDi[#Data],COLUMN(T_TraitDi[Colonne11]),FALSE),""),"[hh]:mm"))</f>
        <v>#N/A</v>
      </c>
      <c r="AL66" s="284" t="e">
        <f>IF(VLOOKUP(T_Convention[[#This Row],[NumL]],T_TraitDi[#Data],COLUMN(T_TraitDi[Colonne12]),FALSE)=0,"",TEXT(IFERROR(VLOOKUP(T_Convention[[#This Row],[NumL]],T_TraitDi[#Data],COLUMN(T_TraitDi[Colonne12]),FALSE),""),"[hh]:mm"))</f>
        <v>#N/A</v>
      </c>
      <c r="AM66" s="284" t="e">
        <f>IF(VLOOKUP(T_Convention[[#This Row],[NumL]],T_TraitDi[#Data],COLUMN(T_TraitDi[Colonne14]),FALSE)=0,"",TEXT(IFERROR(VLOOKUP(T_Convention[[#This Row],[NumL]],T_TraitDi[#Data],COLUMN(T_TraitDi[Colonne14]),FALSE),""),"[hh]:mm"))</f>
        <v>#N/A</v>
      </c>
      <c r="AN66" s="284" t="str">
        <f>IFERROR(VLOOKUP(T_Convention[[#This Row],[NumL]],T_TraitDi[#Data],COLUMN(T_TraitDi[Mercredi]),FALSE),"")</f>
        <v/>
      </c>
      <c r="AO66" s="284" t="e">
        <f>IF(VLOOKUP(T_Convention[[#This Row],[NumL]],T_TraitDi[#Data],COLUMN(T_TraitDi[Colonne15]),FALSE)=0,"",TEXT(IFERROR(VLOOKUP(T_Convention[[#This Row],[NumL]],T_TraitDi[#Data],COLUMN(T_TraitDi[Colonne15]),FALSE),""),"[hh]:mm"))</f>
        <v>#N/A</v>
      </c>
      <c r="AP66" s="284" t="e">
        <f>IF(VLOOKUP(T_Convention[[#This Row],[NumL]],T_TraitDi[#Data],COLUMN(T_TraitDi[Colonne16]),FALSE)=0,"",TEXT(IFERROR(VLOOKUP(T_Convention[[#This Row],[NumL]],T_TraitDi[#Data],COLUMN(T_TraitDi[Colonne16]),FALSE),""),"[hh]:mm"))</f>
        <v>#N/A</v>
      </c>
      <c r="AQ66" s="284" t="str">
        <f>IFERROR(VLOOKUP(T_Convention[[#This Row],[NumL]],T_TraitDi[#Data],COLUMN(T_TraitDi[Colonne17]),FALSE),"")</f>
        <v/>
      </c>
      <c r="AR66" s="284" t="e">
        <f>IF(VLOOKUP(T_Convention[[#This Row],[NumL]],T_TraitDi[#Data],COLUMN(T_TraitDi[Colonne18]),FALSE)=0,"",TEXT(IFERROR(VLOOKUP(T_Convention[[#This Row],[NumL]],T_TraitDi[#Data],COLUMN(T_TraitDi[Colonne18]),FALSE),""),"[hh]:mm"))</f>
        <v>#N/A</v>
      </c>
      <c r="AS66" s="284" t="e">
        <f>IF(VLOOKUP(T_Convention[[#This Row],[NumL]],T_TraitDi[#Data],COLUMN(T_TraitDi[Colonne19]),FALSE)=0,"",TEXT(IFERROR(VLOOKUP(T_Convention[[#This Row],[NumL]],T_TraitDi[#Data],COLUMN(T_TraitDi[Colonne19]),FALSE),""),"[hh]:mm"))</f>
        <v>#N/A</v>
      </c>
      <c r="AT66" s="284" t="e">
        <f>IF(VLOOKUP(T_Convention[[#This Row],[NumL]],T_TraitDi[#Data],COLUMN(T_TraitDi[Colonne20]),FALSE)=0,"",TEXT(IFERROR(VLOOKUP(T_Convention[[#This Row],[NumL]],T_TraitDi[#Data],COLUMN(T_TraitDi[Colonne20]),FALSE),""),"[hh]:mm"))</f>
        <v>#N/A</v>
      </c>
      <c r="AU66" s="284" t="str">
        <f>IFERROR(VLOOKUP(T_Convention[[#This Row],[NumL]],T_TraitDi[#Data],COLUMN(T_TraitDi[Jeudi]),FALSE),"")</f>
        <v/>
      </c>
      <c r="AV66" s="284" t="e">
        <f>IF(VLOOKUP(T_Convention[[#This Row],[NumL]],T_TraitDi[#Data],COLUMN(T_TraitDi[Colonne21]),FALSE)=0,"",TEXT(IFERROR(VLOOKUP(T_Convention[[#This Row],[NumL]],T_TraitDi[#Data],COLUMN(T_TraitDi[Colonne21]),FALSE),""),"[hh]:mm"))</f>
        <v>#N/A</v>
      </c>
      <c r="AW66" s="284" t="e">
        <f>IF(VLOOKUP(T_Convention[[#This Row],[NumL]],T_TraitDi[#Data],COLUMN(T_TraitDi[Colonne22]),FALSE)=0,"",TEXT(IFERROR(VLOOKUP(T_Convention[[#This Row],[NumL]],T_TraitDi[#Data],COLUMN(T_TraitDi[Colonne22]),FALSE),""),"[hh]:mm"))</f>
        <v>#N/A</v>
      </c>
      <c r="AX66" s="284" t="str">
        <f>IFERROR(VLOOKUP(T_Convention[[#This Row],[NumL]],T_TraitDi[#Data],COLUMN(T_TraitDi[Colonne23]),FALSE),"")</f>
        <v/>
      </c>
      <c r="AY66" s="284" t="e">
        <f>IF(VLOOKUP(T_Convention[[#This Row],[NumL]],T_TraitDi[#Data],COLUMN(T_TraitDi[Colonne24]),FALSE)=0,"",TEXT(IFERROR(VLOOKUP(T_Convention[[#This Row],[NumL]],T_TraitDi[#Data],COLUMN(T_TraitDi[Colonne24]),FALSE),""),"[hh]:mm"))</f>
        <v>#N/A</v>
      </c>
      <c r="AZ66" s="284" t="e">
        <f>IF(VLOOKUP(T_Convention[[#This Row],[NumL]],T_TraitDi[#Data],COLUMN(T_TraitDi[Colonne25]),FALSE)=0,"",TEXT(IFERROR(VLOOKUP(T_Convention[[#This Row],[NumL]],T_TraitDi[#Data],COLUMN(T_TraitDi[Colonne25]),FALSE),""),"[hh]:mm"))</f>
        <v>#N/A</v>
      </c>
      <c r="BA66" s="284" t="e">
        <f>IF(VLOOKUP(T_Convention[[#This Row],[NumL]],T_TraitDi[#Data],COLUMN(T_TraitDi[Colonne26]),FALSE)=0,"",TEXT(IFERROR(VLOOKUP(T_Convention[[#This Row],[NumL]],T_TraitDi[#Data],COLUMN(T_TraitDi[Colonne26]),FALSE),""),"[hh]:mm"))</f>
        <v>#N/A</v>
      </c>
      <c r="BB66" s="284" t="str">
        <f>IFERROR(VLOOKUP(T_Convention[[#This Row],[NumL]],T_TraitDi[#Data],COLUMN(T_TraitDi[Vendredi]),FALSE),"")</f>
        <v/>
      </c>
      <c r="BC66" s="284" t="e">
        <f>IF(VLOOKUP(T_Convention[[#This Row],[NumL]],T_TraitDi[#Data],COLUMN(T_TraitDi[Colonne27]),FALSE)=0,"",TEXT(IFERROR(VLOOKUP(T_Convention[[#This Row],[NumL]],T_TraitDi[#Data],COLUMN(T_TraitDi[Colonne27]),FALSE),""),"[hh]:mm"))</f>
        <v>#N/A</v>
      </c>
      <c r="BD66" s="284" t="e">
        <f>IF(VLOOKUP(T_Convention[[#This Row],[NumL]],T_TraitDi[#Data],COLUMN(T_TraitDi[Colonne28]),FALSE)=0,"",TEXT(IFERROR(VLOOKUP(T_Convention[[#This Row],[NumL]],T_TraitDi[#Data],COLUMN(T_TraitDi[Colonne28]),FALSE),""),"[hh]:mm"))</f>
        <v>#N/A</v>
      </c>
      <c r="BE66" s="284" t="str">
        <f>IFERROR(VLOOKUP(T_Convention[[#This Row],[NumL]],T_TraitDi[#Data],COLUMN(T_TraitDi[Colonne29]),FALSE),"")</f>
        <v/>
      </c>
      <c r="BF66" s="284" t="e">
        <f>IF(VLOOKUP(T_Convention[[#This Row],[NumL]],T_TraitDi[#Data],COLUMN(T_TraitDi[Colonne30]),FALSE)=0,"",TEXT(IFERROR(VLOOKUP(T_Convention[[#This Row],[NumL]],T_TraitDi[#Data],COLUMN(T_TraitDi[Colonne30]),FALSE),""),"[hh]:mm"))</f>
        <v>#N/A</v>
      </c>
      <c r="BG66" s="284" t="e">
        <f>IF(VLOOKUP(T_Convention[[#This Row],[NumL]],T_TraitDi[#Data],COLUMN(T_TraitDi[Colonne31]),FALSE)=0,"",TEXT(IFERROR(VLOOKUP(T_Convention[[#This Row],[NumL]],T_TraitDi[#Data],COLUMN(T_TraitDi[Colonne31]),FALSE),""),"[hh]:mm"))</f>
        <v>#N/A</v>
      </c>
      <c r="BH66" s="284" t="e">
        <f>IF(VLOOKUP(T_Convention[[#This Row],[NumL]],T_TraitDi[#Data],COLUMN(T_TraitDi[Colonne32]),FALSE)=0,"",TEXT(IFERROR(VLOOKUP(T_Convention[[#This Row],[NumL]],T_TraitDi[#Data],COLUMN(T_TraitDi[Colonne32]),FALSE),""),"[hh]:mm"))</f>
        <v>#N/A</v>
      </c>
      <c r="BI66" s="284" t="str">
        <f>IFERROR(VLOOKUP(T_Convention[[#This Row],[NumL]],T_TraitDi[#Data],COLUMN(T_TraitDi[NbJTW]),FALSE),"")</f>
        <v/>
      </c>
      <c r="BJ66" s="284" t="e">
        <f>IF(VLOOKUP(T_Convention[[#This Row],[NumL]],T_TraitDi[#Data],COLUMN(T_TraitDi[NbhTW]),FALSE)=0,"",TEXT(IFERROR(VLOOKUP(T_Convention[[#This Row],[NumL]],T_TraitDi[#Data],COLUMN(T_TraitDi[NbhTW]),FALSE),""),"[hh]:mm"))</f>
        <v>#N/A</v>
      </c>
      <c r="BK66" s="315" t="e">
        <f>IF(VLOOKUP(T_Convention[[#This Row],[NumL]],T_TraitDi[#Data],COLUMN(T_TraitDi[Nbhheb]),FALSE)=0,"",TEXT(IFERROR(VLOOKUP(T_Convention[[#This Row],[NumL]],T_TraitDi[#Data],COLUMN(T_TraitDi[Nbhheb]),FALSE),""),"[hh]:mm"))</f>
        <v>#N/A</v>
      </c>
      <c r="BL66" s="287" t="str">
        <f>IFERROR(VLOOKUP(VLOOKUP(T_Convention[[#This Row],[NumL]],T_TraitDi[#Data],COLUMN(T_TraitDi[Type1]),FALSE),TypeTW,2,FALSE),"")</f>
        <v/>
      </c>
      <c r="BM66" s="288" t="str">
        <f>IFERROR(VLOOKUP(T_Convention[[#This Row],[NumL]],T_TraitDi[#Data],COLUMN(T_TraitDi[Rue1]),FALSE),"")</f>
        <v/>
      </c>
      <c r="BN66" s="289" t="str">
        <f>IFERROR(VLOOKUP(T_Convention[[#This Row],[NumL]],T_TraitDi[#Data],COLUMN(T_TraitDi[CP1]),FALSE),"")</f>
        <v/>
      </c>
      <c r="BO66" s="282" t="str">
        <f>IFERROR(VLOOKUP(T_Convention[[#This Row],[NumL]],T_TraitDi[#Data],COLUMN(T_TraitDi[VILLE1]),FALSE),"")</f>
        <v/>
      </c>
      <c r="BP66" s="290" t="str">
        <f>IFERROR(VLOOKUP(VLOOKUP(T_Convention[[#This Row],[NumL]],T_TraitDi[#Data],COLUMN(T_TraitDi[Type2]),FALSE),TypeTW,2,FALSE),"")</f>
        <v/>
      </c>
      <c r="BQ66" s="310" t="str">
        <f>IFERROR(VLOOKUP(T_Convention[[#This Row],[NumL]],T_TraitDi[#Data],COLUMN(T_TraitDi[Rue2]),FALSE),"")</f>
        <v/>
      </c>
      <c r="BR66" s="290" t="str">
        <f>IFERROR(VLOOKUP(T_Convention[[#This Row],[NumL]],T_TraitDi[#Data],COLUMN(T_TraitDi[CP2]),FALSE),"")</f>
        <v/>
      </c>
      <c r="BS66" s="290" t="str">
        <f>IFERROR(VLOOKUP(T_Convention[[#This Row],[NumL]],T_TraitDi[#Data],COLUMN(T_TraitDi[VILLE2]),FALSE),"")</f>
        <v/>
      </c>
      <c r="BT6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66" s="314" t="str">
        <f>IFERROR(IF(VLOOKUP(T_Convention[[#This Row],[NumL]],T_TraitDi[#Data],COLUMN(T_TraitDi[Plan]),FALSE)="OK","Un planning spécifique de télétravail est annexé à la présente convention.",""),"")</f>
        <v/>
      </c>
      <c r="BV66" s="291"/>
      <c r="BW66" s="292" t="e">
        <f>IF(VLOOKUP(T_Convention[[#This Row],[NumL]],T_suiviDi[#Data],COLUMN(T_suiviDi[Entité]),FALSE)="","",VLOOKUP(T_Convention[[#This Row],[NumL]],T_suiviDi[#Data],COLUMN(T_suiviDi[Entité]),FALSE))</f>
        <v>#N/A</v>
      </c>
      <c r="BX66" s="311" t="str">
        <f>IF(VLOOKUP(T_Convention[[#This Row],[NumL]],T_Commission[#Data],COLUMN(T_Commission[envoi confirm TW]),FALSE)="","",VLOOKUP(T_Convention[[#This Row],[NumL]],T_Commission[#Data],COLUMN(T_Commission[envoi confirm TW]),FALSE))</f>
        <v>Non</v>
      </c>
      <c r="BY6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6" s="265" t="str">
        <f>VLOOKUP(T_Convention[[#This Row],[NumL]],T_Commission[#Data],COLUMN(T_Commission[Commentaire]),FALSE)</f>
        <v>Demande accordée sous réserve de fourniture des pièces demandées.</v>
      </c>
      <c r="CA66" s="255" t="str">
        <f>IF(VLOOKUP(T_Convention[[#This Row],[NumL]],T_Commission[#Data],COLUMN(T_Commission[Encadrant Email]),FALSE)="","",VLOOKUP(T_Convention[[#This Row],[NumL]],T_Commission[#Data],COLUMN(T_Commission[Encadrant Email]),FALSE))</f>
        <v/>
      </c>
      <c r="CB66" s="352" t="e">
        <f>VLOOKUP(T_Convention[[#This Row],[NumL]],T_TraitDi[#Data],COLUMN(T_TraitDi[NbJTot]),FALSE)</f>
        <v>#N/A</v>
      </c>
      <c r="CC66" s="352" t="e">
        <f>VLOOKUP(T_Convention[[#This Row],[NumL]],T_TraitDi[#Data],COLUMN(T_TraitDi[Reg Ponct]),FALSE)</f>
        <v>#N/A</v>
      </c>
      <c r="CD66" s="348" t="str">
        <f>IF(T_Convention[[#This Row],[Final]]&lt;&gt;"",VLOOKUP(T_Convention[[#This Row],[NumL]],T_suiviDi[#Data],COLUMN((T_suiviDi[Statut])),FALSE),"")</f>
        <v/>
      </c>
    </row>
    <row r="67" spans="1:82" s="106" customFormat="1" ht="18.75" customHeight="1" x14ac:dyDescent="0.25">
      <c r="A67" s="160">
        <v>96</v>
      </c>
      <c r="B67" s="161" t="str">
        <f>VLOOKUP(T_Convention[[#This Row],[NumL]],T_Commission[#Data],COLUMN(T_Commission[FINAL]),FALSE)</f>
        <v/>
      </c>
      <c r="C67" s="162"/>
      <c r="D67" s="95" t="e">
        <f>IF(VLOOKUP(T_Convention[[#This Row],[NumL]],T_TraitDi[#Data],COLUMN(T_TraitDi[WebC]),FALSE)="","",VLOOKUP(T_Convention[[#This Row],[NumL]],T_TraitDi[#Data],COLUMN(T_TraitDi[WebC]),FALSE))</f>
        <v>#N/A</v>
      </c>
      <c r="E67" s="163" t="str">
        <f t="shared" ref="E67:E130" si="5">TEXT(DateEdition,"jj mmmm aaaa")</f>
        <v>12 janvier 2021</v>
      </c>
      <c r="F67" s="282" t="str">
        <f>IF(T_Convention[[#This Row],[Final]]&lt;&gt;"",VLOOKUP(T_Convention[[#This Row],[NumL]],T_suiviDi[#Data],COLUMN((T_suiviDi[Civ.])),FALSE),"")</f>
        <v/>
      </c>
      <c r="G67" s="283" t="str">
        <f>IF(T_Convention[[#This Row],[Final]]&lt;&gt;"",VLOOKUP(T_Convention[[#This Row],[NumL]],T_suiviDi[#Data],COLUMN((T_suiviDi[Nom])),FALSE),"")</f>
        <v/>
      </c>
      <c r="H67" s="282" t="str">
        <f>IF(T_Convention[[#This Row],[Final]]&lt;&gt;"",VLOOKUP(T_Convention[[#This Row],[NumL]],T_suiviDi[#Data],COLUMN((T_suiviDi[Prénom])),FALSE),"")</f>
        <v/>
      </c>
      <c r="I67" s="282" t="e">
        <f>VLOOKUP(T_Convention[[#This Row],[NumL]],T_suiviDi[#Data],COLUMN((T_suiviDi[[#This Row],[Email]])),FALSE)</f>
        <v>#VALUE!</v>
      </c>
      <c r="J67" s="282" t="e">
        <f>IF(VLOOKUP(T_Convention[[#This Row],[NumL]],T_suiviDi[#Data],COLUMN(T_suiviDi[[#This Row],[Fonction]]),FALSE)="","",VLOOKUP(T_Convention[[#This Row],[NumL]],T_suiviDi[#Data],COLUMN(T_suiviDi[[#This Row],[Fonction]]),FALSE))</f>
        <v>#VALUE!</v>
      </c>
      <c r="K67" s="282" t="e">
        <f>IF(VLOOKUP(T_Convention[[#This Row],[NumL]],T_suiviDi[#Data],COLUMN(T_suiviDi[[#This Row],[Grade]]),FALSE)="","",VLOOKUP(T_Convention[[#This Row],[NumL]],T_suiviDi[#Data],COLUMN(T_suiviDi[[#This Row],[Grade]]),FALSE))</f>
        <v>#VALUE!</v>
      </c>
      <c r="L67" s="282" t="e">
        <f>IF(VLOOKUP(T_Convention[[#This Row],[NumL]],T_suiviDi[#Data],COLUMN(T_suiviDi[[#This Row],[Service ]]),FALSE)="","",VLOOKUP(T_Convention[[#This Row],[NumL]],T_suiviDi[#Data],COLUMN(T_suiviDi[[#This Row],[Service ]]),FALSE))</f>
        <v>#VALUE!</v>
      </c>
      <c r="M67" s="164" t="str">
        <f t="shared" ref="M67:M130" si="6">TEXT(Dateeffet,"jj mmmm aaaa")</f>
        <v>01 septembre 2021</v>
      </c>
      <c r="N67" s="164" t="str">
        <f t="shared" ref="N67:N130" si="7">TEXT(DateFinadapt,"jj mmmm aaaa")</f>
        <v>30 novembre 2021</v>
      </c>
      <c r="O67" s="284" t="str">
        <f t="shared" ref="O67:O130" si="8">TEXT(Datebilan,"jj mmmm aaaa")</f>
        <v>30 novembre 2021</v>
      </c>
      <c r="P67" s="282" t="e">
        <f>IF(VLOOKUP(T_Convention[[#This Row],[NumL]],T_TraitDi[#Data],COLUMN(T_TraitDi[M1]),FALSE)="","",VLOOKUP(T_Convention[[#This Row],[NumL]],T_TraitDi[#Data],COLUMN(T_TraitDi[M1]),FALSE))</f>
        <v>#N/A</v>
      </c>
      <c r="Q67" s="282" t="e">
        <f>IF(VLOOKUP(T_Convention[[#This Row],[NumL]],T_TraitDi[#Data],COLUMN(T_TraitDi[M2]),FALSE)="","",VLOOKUP(T_Convention[[#This Row],[NumL]],T_TraitDi[#Data],COLUMN(T_TraitDi[M2]),FALSE))</f>
        <v>#N/A</v>
      </c>
      <c r="R67" s="282" t="e">
        <f>IF(VLOOKUP(T_Convention[[#This Row],[NumL]],T_TraitDi[#Data],COLUMN(T_TraitDi[M3]),FALSE)="","",VLOOKUP(T_Convention[[#This Row],[NumL]],T_TraitDi[#Data],COLUMN(T_TraitDi[M3]),FALSE))</f>
        <v>#N/A</v>
      </c>
      <c r="S67" s="282" t="e">
        <f>IF(VLOOKUP(T_Convention[[#This Row],[NumL]],T_TraitDi[#Data],COLUMN(T_TraitDi[M4]),FALSE)="","",VLOOKUP(T_Convention[[#This Row],[NumL]],T_TraitDi[#Data],COLUMN(T_TraitDi[M4]),FALSE))</f>
        <v>#N/A</v>
      </c>
      <c r="T67" s="282" t="e">
        <f>IF(VLOOKUP(T_Convention[[#This Row],[NumL]],T_TraitDi[#Data],COLUMN(T_TraitDi[M5]),FALSE)="","",VLOOKUP(T_Convention[[#This Row],[NumL]],T_TraitDi[#Data],COLUMN(T_TraitDi[M5]),FALSE))</f>
        <v>#N/A</v>
      </c>
      <c r="U67" s="282" t="e">
        <f>IF(VLOOKUP(T_Convention[[#This Row],[NumL]],T_TraitDi[#Data],COLUMN(T_TraitDi[M6]),FALSE)="","",VLOOKUP(T_Convention[[#This Row],[NumL]],T_TraitDi[#Data],COLUMN(T_TraitDi[M6]),FALSE))</f>
        <v>#N/A</v>
      </c>
      <c r="V67" s="176" t="e">
        <f t="shared" ref="V67:V130" si="9">P67&amp;Q67&amp;R67&amp;S67&amp;T67&amp;U67</f>
        <v>#N/A</v>
      </c>
      <c r="W67" s="284" t="str">
        <f>IFERROR(TEXT(VLOOKUP(T_Convention[[#This Row],[NumL]],T_TraitDi[#Data],COLUMN(T_TraitDi[Q2]),FALSE),"###%"),"")</f>
        <v/>
      </c>
      <c r="X67" s="97" t="e">
        <f>VLOOKUP(T_Convention[[#This Row],[NumL]],T_TraitDi[#Data],COLUMN(T_TraitDi[Reg Ponct]),FALSE)</f>
        <v>#N/A</v>
      </c>
      <c r="Y67" s="97" t="e">
        <f>VLOOKUP(T_Convention[NumL],T_TraitDi[#Data],COLUMN(T_TraitDi[Jours flottants]),FALSE)</f>
        <v>#N/A</v>
      </c>
      <c r="Z67" s="284" t="str">
        <f>IFERROR(VLOOKUP(T_Convention[[#This Row],[NumL]],T_TraitDi[#Data],COLUMN(T_TraitDi[Lundi]),FALSE),"")</f>
        <v/>
      </c>
      <c r="AA67" s="284" t="e">
        <f>IF(VLOOKUP(T_Convention[[#This Row],[NumL]],T_TraitDi[#Data],COLUMN(T_TraitDi[Colonne3]),FALSE)=0,"",TEXT(IFERROR(VLOOKUP(T_Convention[[#This Row],[NumL]],T_TraitDi[#Data],COLUMN(T_TraitDi[Colonne3]),FALSE),""),"[hh]:mm"))</f>
        <v>#N/A</v>
      </c>
      <c r="AB67" s="284" t="e">
        <f>IF(VLOOKUP(T_Convention[[#This Row],[NumL]],T_TraitDi[#Data],COLUMN(T_TraitDi[Colonne4]),FALSE)=0,"",TEXT(IFERROR(VLOOKUP(T_Convention[[#This Row],[NumL]],T_TraitDi[#Data],COLUMN(T_TraitDi[Colonne4]),FALSE),""),"[hh]:mm"))</f>
        <v>#N/A</v>
      </c>
      <c r="AC67" s="284" t="e">
        <f>IF(VLOOKUP(T_Convention[[#This Row],[NumL]],T_TraitDi[#Data],COLUMN(T_TraitDi[Colonne5]),FALSE)=0,"",TEXT(IFERROR(VLOOKUP(T_Convention[[#This Row],[NumL]],T_TraitDi[#Data],COLUMN(T_TraitDi[Colonne5]),FALSE),""),"[hh]:mm"))</f>
        <v>#N/A</v>
      </c>
      <c r="AD67" s="284" t="e">
        <f>IF(VLOOKUP(T_Convention[[#This Row],[NumL]],T_TraitDi[#Data],COLUMN(T_TraitDi[Colonne6]),FALSE)=0,"",TEXT(IFERROR(VLOOKUP(T_Convention[[#This Row],[NumL]],T_TraitDi[#Data],COLUMN(T_TraitDi[Colonne6]),FALSE),""),"[hh]:mm"))</f>
        <v>#N/A</v>
      </c>
      <c r="AE67" s="284" t="e">
        <f>IF(VLOOKUP(T_Convention[[#This Row],[NumL]],T_TraitDi[#Data],COLUMN(T_TraitDi[Colonne7]),FALSE)=0,"",TEXT(IFERROR(VLOOKUP(T_Convention[[#This Row],[NumL]],T_TraitDi[#Data],COLUMN(T_TraitDi[Colonne7]),FALSE),""),"[hh]:mm"))</f>
        <v>#N/A</v>
      </c>
      <c r="AF67" s="284" t="e">
        <f>IF(VLOOKUP(T_Convention[[#This Row],[NumL]],T_TraitDi[#Data],COLUMN(T_TraitDi[Colonne8]),FALSE)=0,"",TEXT(IFERROR(VLOOKUP(T_Convention[[#This Row],[NumL]],T_TraitDi[#Data],COLUMN(T_TraitDi[Colonne8]),FALSE),""),"[hh]:mm"))</f>
        <v>#N/A</v>
      </c>
      <c r="AG67" s="284" t="str">
        <f>IFERROR(VLOOKUP(T_Convention[[#This Row],[NumL]],T_TraitDi[#Data],COLUMN(T_TraitDi[Mardi]),FALSE),"")</f>
        <v/>
      </c>
      <c r="AH67" s="284" t="e">
        <f>IF(VLOOKUP(T_Convention[[#This Row],[NumL]],T_TraitDi[#Data],COLUMN(T_TraitDi[Colonne1]),FALSE)=0,"",TEXT(IFERROR(VLOOKUP(T_Convention[[#This Row],[NumL]],T_TraitDi[#Data],COLUMN(T_TraitDi[Colonne1]),FALSE),""),"[hh]:mm"))</f>
        <v>#N/A</v>
      </c>
      <c r="AI67" s="284" t="e">
        <f>IF(VLOOKUP(T_Convention[[#This Row],[NumL]],T_TraitDi[#Data],COLUMN(T_TraitDi[Colonne9]),FALSE)=0,"",TEXT(IFERROR(VLOOKUP(T_Convention[[#This Row],[NumL]],T_TraitDi[#Data],COLUMN(T_TraitDi[Colonne9]),FALSE),""),"[hh]:mm"))</f>
        <v>#N/A</v>
      </c>
      <c r="AJ67" s="284" t="str">
        <f>IFERROR(VLOOKUP(T_Convention[[#This Row],[NumL]],T_TraitDi[#Data],COLUMN(T_TraitDi[Colonne10]),FALSE),"")</f>
        <v/>
      </c>
      <c r="AK67" s="284" t="e">
        <f>IF(VLOOKUP(T_Convention[[#This Row],[NumL]],T_TraitDi[#Data],COLUMN(T_TraitDi[Colonne11]),FALSE)=0,"",TEXT(IFERROR(VLOOKUP(T_Convention[[#This Row],[NumL]],T_TraitDi[#Data],COLUMN(T_TraitDi[Colonne11]),FALSE),""),"[hh]:mm"))</f>
        <v>#N/A</v>
      </c>
      <c r="AL67" s="284" t="e">
        <f>IF(VLOOKUP(T_Convention[[#This Row],[NumL]],T_TraitDi[#Data],COLUMN(T_TraitDi[Colonne12]),FALSE)=0,"",TEXT(IFERROR(VLOOKUP(T_Convention[[#This Row],[NumL]],T_TraitDi[#Data],COLUMN(T_TraitDi[Colonne12]),FALSE),""),"[hh]:mm"))</f>
        <v>#N/A</v>
      </c>
      <c r="AM67" s="284" t="e">
        <f>IF(VLOOKUP(T_Convention[[#This Row],[NumL]],T_TraitDi[#Data],COLUMN(T_TraitDi[Colonne14]),FALSE)=0,"",TEXT(IFERROR(VLOOKUP(T_Convention[[#This Row],[NumL]],T_TraitDi[#Data],COLUMN(T_TraitDi[Colonne14]),FALSE),""),"[hh]:mm"))</f>
        <v>#N/A</v>
      </c>
      <c r="AN67" s="284" t="str">
        <f>IFERROR(VLOOKUP(T_Convention[[#This Row],[NumL]],T_TraitDi[#Data],COLUMN(T_TraitDi[Mercredi]),FALSE),"")</f>
        <v/>
      </c>
      <c r="AO67" s="284" t="e">
        <f>IF(VLOOKUP(T_Convention[[#This Row],[NumL]],T_TraitDi[#Data],COLUMN(T_TraitDi[Colonne15]),FALSE)=0,"",TEXT(IFERROR(VLOOKUP(T_Convention[[#This Row],[NumL]],T_TraitDi[#Data],COLUMN(T_TraitDi[Colonne15]),FALSE),""),"[hh]:mm"))</f>
        <v>#N/A</v>
      </c>
      <c r="AP67" s="284" t="e">
        <f>IF(VLOOKUP(T_Convention[[#This Row],[NumL]],T_TraitDi[#Data],COLUMN(T_TraitDi[Colonne16]),FALSE)=0,"",TEXT(IFERROR(VLOOKUP(T_Convention[[#This Row],[NumL]],T_TraitDi[#Data],COLUMN(T_TraitDi[Colonne16]),FALSE),""),"[hh]:mm"))</f>
        <v>#N/A</v>
      </c>
      <c r="AQ67" s="284" t="str">
        <f>IFERROR(VLOOKUP(T_Convention[[#This Row],[NumL]],T_TraitDi[#Data],COLUMN(T_TraitDi[Colonne17]),FALSE),"")</f>
        <v/>
      </c>
      <c r="AR67" s="284" t="e">
        <f>IF(VLOOKUP(T_Convention[[#This Row],[NumL]],T_TraitDi[#Data],COLUMN(T_TraitDi[Colonne18]),FALSE)=0,"",TEXT(IFERROR(VLOOKUP(T_Convention[[#This Row],[NumL]],T_TraitDi[#Data],COLUMN(T_TraitDi[Colonne18]),FALSE),""),"[hh]:mm"))</f>
        <v>#N/A</v>
      </c>
      <c r="AS67" s="284" t="e">
        <f>IF(VLOOKUP(T_Convention[[#This Row],[NumL]],T_TraitDi[#Data],COLUMN(T_TraitDi[Colonne19]),FALSE)=0,"",TEXT(IFERROR(VLOOKUP(T_Convention[[#This Row],[NumL]],T_TraitDi[#Data],COLUMN(T_TraitDi[Colonne19]),FALSE),""),"[hh]:mm"))</f>
        <v>#N/A</v>
      </c>
      <c r="AT67" s="284" t="e">
        <f>IF(VLOOKUP(T_Convention[[#This Row],[NumL]],T_TraitDi[#Data],COLUMN(T_TraitDi[Colonne20]),FALSE)=0,"",TEXT(IFERROR(VLOOKUP(T_Convention[[#This Row],[NumL]],T_TraitDi[#Data],COLUMN(T_TraitDi[Colonne20]),FALSE),""),"[hh]:mm"))</f>
        <v>#N/A</v>
      </c>
      <c r="AU67" s="284" t="str">
        <f>IFERROR(VLOOKUP(T_Convention[[#This Row],[NumL]],T_TraitDi[#Data],COLUMN(T_TraitDi[Jeudi]),FALSE),"")</f>
        <v/>
      </c>
      <c r="AV67" s="284" t="e">
        <f>IF(VLOOKUP(T_Convention[[#This Row],[NumL]],T_TraitDi[#Data],COLUMN(T_TraitDi[Colonne21]),FALSE)=0,"",TEXT(IFERROR(VLOOKUP(T_Convention[[#This Row],[NumL]],T_TraitDi[#Data],COLUMN(T_TraitDi[Colonne21]),FALSE),""),"[hh]:mm"))</f>
        <v>#N/A</v>
      </c>
      <c r="AW67" s="284" t="e">
        <f>IF(VLOOKUP(T_Convention[[#This Row],[NumL]],T_TraitDi[#Data],COLUMN(T_TraitDi[Colonne22]),FALSE)=0,"",TEXT(IFERROR(VLOOKUP(T_Convention[[#This Row],[NumL]],T_TraitDi[#Data],COLUMN(T_TraitDi[Colonne22]),FALSE),""),"[hh]:mm"))</f>
        <v>#N/A</v>
      </c>
      <c r="AX67" s="284" t="str">
        <f>IFERROR(VLOOKUP(T_Convention[[#This Row],[NumL]],T_TraitDi[#Data],COLUMN(T_TraitDi[Colonne23]),FALSE),"")</f>
        <v/>
      </c>
      <c r="AY67" s="284" t="e">
        <f>IF(VLOOKUP(T_Convention[[#This Row],[NumL]],T_TraitDi[#Data],COLUMN(T_TraitDi[Colonne24]),FALSE)=0,"",TEXT(IFERROR(VLOOKUP(T_Convention[[#This Row],[NumL]],T_TraitDi[#Data],COLUMN(T_TraitDi[Colonne24]),FALSE),""),"[hh]:mm"))</f>
        <v>#N/A</v>
      </c>
      <c r="AZ67" s="284" t="e">
        <f>IF(VLOOKUP(T_Convention[[#This Row],[NumL]],T_TraitDi[#Data],COLUMN(T_TraitDi[Colonne25]),FALSE)=0,"",TEXT(IFERROR(VLOOKUP(T_Convention[[#This Row],[NumL]],T_TraitDi[#Data],COLUMN(T_TraitDi[Colonne25]),FALSE),""),"[hh]:mm"))</f>
        <v>#N/A</v>
      </c>
      <c r="BA67" s="284" t="e">
        <f>IF(VLOOKUP(T_Convention[[#This Row],[NumL]],T_TraitDi[#Data],COLUMN(T_TraitDi[Colonne26]),FALSE)=0,"",TEXT(IFERROR(VLOOKUP(T_Convention[[#This Row],[NumL]],T_TraitDi[#Data],COLUMN(T_TraitDi[Colonne26]),FALSE),""),"[hh]:mm"))</f>
        <v>#N/A</v>
      </c>
      <c r="BB67" s="284" t="str">
        <f>IFERROR(VLOOKUP(T_Convention[[#This Row],[NumL]],T_TraitDi[#Data],COLUMN(T_TraitDi[Vendredi]),FALSE),"")</f>
        <v/>
      </c>
      <c r="BC67" s="284" t="e">
        <f>IF(VLOOKUP(T_Convention[[#This Row],[NumL]],T_TraitDi[#Data],COLUMN(T_TraitDi[Colonne27]),FALSE)=0,"",TEXT(IFERROR(VLOOKUP(T_Convention[[#This Row],[NumL]],T_TraitDi[#Data],COLUMN(T_TraitDi[Colonne27]),FALSE),""),"[hh]:mm"))</f>
        <v>#N/A</v>
      </c>
      <c r="BD67" s="284" t="e">
        <f>IF(VLOOKUP(T_Convention[[#This Row],[NumL]],T_TraitDi[#Data],COLUMN(T_TraitDi[Colonne28]),FALSE)=0,"",TEXT(IFERROR(VLOOKUP(T_Convention[[#This Row],[NumL]],T_TraitDi[#Data],COLUMN(T_TraitDi[Colonne28]),FALSE),""),"[hh]:mm"))</f>
        <v>#N/A</v>
      </c>
      <c r="BE67" s="284" t="str">
        <f>IFERROR(VLOOKUP(T_Convention[[#This Row],[NumL]],T_TraitDi[#Data],COLUMN(T_TraitDi[Colonne29]),FALSE),"")</f>
        <v/>
      </c>
      <c r="BF67" s="284" t="e">
        <f>IF(VLOOKUP(T_Convention[[#This Row],[NumL]],T_TraitDi[#Data],COLUMN(T_TraitDi[Colonne30]),FALSE)=0,"",TEXT(IFERROR(VLOOKUP(T_Convention[[#This Row],[NumL]],T_TraitDi[#Data],COLUMN(T_TraitDi[Colonne30]),FALSE),""),"[hh]:mm"))</f>
        <v>#N/A</v>
      </c>
      <c r="BG67" s="284" t="e">
        <f>IF(VLOOKUP(T_Convention[[#This Row],[NumL]],T_TraitDi[#Data],COLUMN(T_TraitDi[Colonne31]),FALSE)=0,"",TEXT(IFERROR(VLOOKUP(T_Convention[[#This Row],[NumL]],T_TraitDi[#Data],COLUMN(T_TraitDi[Colonne31]),FALSE),""),"[hh]:mm"))</f>
        <v>#N/A</v>
      </c>
      <c r="BH67" s="284" t="e">
        <f>IF(VLOOKUP(T_Convention[[#This Row],[NumL]],T_TraitDi[#Data],COLUMN(T_TraitDi[Colonne32]),FALSE)=0,"",TEXT(IFERROR(VLOOKUP(T_Convention[[#This Row],[NumL]],T_TraitDi[#Data],COLUMN(T_TraitDi[Colonne32]),FALSE),""),"[hh]:mm"))</f>
        <v>#N/A</v>
      </c>
      <c r="BI67" s="284" t="str">
        <f>IFERROR(VLOOKUP(T_Convention[[#This Row],[NumL]],T_TraitDi[#Data],COLUMN(T_TraitDi[NbJTW]),FALSE),"")</f>
        <v/>
      </c>
      <c r="BJ67" s="284" t="e">
        <f>IF(VLOOKUP(T_Convention[[#This Row],[NumL]],T_TraitDi[#Data],COLUMN(T_TraitDi[NbhTW]),FALSE)=0,"",TEXT(IFERROR(VLOOKUP(T_Convention[[#This Row],[NumL]],T_TraitDi[#Data],COLUMN(T_TraitDi[NbhTW]),FALSE),""),"[hh]:mm"))</f>
        <v>#N/A</v>
      </c>
      <c r="BK67" s="286" t="e">
        <f>IF(VLOOKUP(T_Convention[[#This Row],[NumL]],T_TraitDi[#Data],COLUMN(T_TraitDi[Nbhheb]),FALSE)=0,"",TEXT(IFERROR(VLOOKUP(T_Convention[[#This Row],[NumL]],T_TraitDi[#Data],COLUMN(T_TraitDi[Nbhheb]),FALSE),""),"[hh]:mm"))</f>
        <v>#N/A</v>
      </c>
      <c r="BL67" s="287" t="str">
        <f>IFERROR(VLOOKUP(VLOOKUP(T_Convention[[#This Row],[NumL]],T_TraitDi[#Data],COLUMN(T_TraitDi[Type1]),FALSE),TypeTW,2,FALSE),"")</f>
        <v/>
      </c>
      <c r="BM67" s="288" t="str">
        <f>IFERROR(VLOOKUP(T_Convention[[#This Row],[NumL]],T_TraitDi[#Data],COLUMN(T_TraitDi[Rue1]),FALSE),"")</f>
        <v/>
      </c>
      <c r="BN67" s="289" t="str">
        <f>IFERROR(VLOOKUP(T_Convention[[#This Row],[NumL]],T_TraitDi[#Data],COLUMN(T_TraitDi[CP1]),FALSE),"")</f>
        <v/>
      </c>
      <c r="BO67" s="282" t="str">
        <f>IFERROR(VLOOKUP(T_Convention[[#This Row],[NumL]],T_TraitDi[#Data],COLUMN(T_TraitDi[VILLE1]),FALSE),"")</f>
        <v/>
      </c>
      <c r="BP67" s="290" t="str">
        <f>IFERROR(VLOOKUP(VLOOKUP(T_Convention[[#This Row],[NumL]],T_TraitDi[#Data],COLUMN(T_TraitDi[Type2]),FALSE),TypeTW,2,FALSE),"")</f>
        <v/>
      </c>
      <c r="BQ67" s="182" t="str">
        <f>IFERROR(VLOOKUP(T_Convention[[#This Row],[NumL]],T_TraitDi[#Data],COLUMN(T_TraitDi[Rue2]),FALSE),"")</f>
        <v/>
      </c>
      <c r="BR67" s="173" t="str">
        <f>IFERROR(VLOOKUP(T_Convention[[#This Row],[NumL]],T_TraitDi[#Data],COLUMN(T_TraitDi[CP2]),FALSE),"")</f>
        <v/>
      </c>
      <c r="BS67" s="173" t="str">
        <f>IFERROR(VLOOKUP(T_Convention[[#This Row],[NumL]],T_TraitDi[#Data],COLUMN(T_TraitDi[VILLE2]),FALSE),"")</f>
        <v/>
      </c>
      <c r="BT67" s="182" t="str">
        <f>IF(VLOOKUP(T_Convention[[#This Row],[NumL]],T_Equipement[#Data],COLUMN(T_Equipement[PC]),FALSE)="","Aucun équipement spécifique directement lié au télétravail",VLOOKUP(T_Convention[[#This Row],[NumL]],T_Equipement[#Data],COLUMN(T_Equipement[PC]),FALSE))</f>
        <v xml:space="preserve">19-580	</v>
      </c>
      <c r="BU67" s="166" t="str">
        <f>IFERROR(IF(VLOOKUP(T_Convention[[#This Row],[NumL]],T_TraitDi[#Data],COLUMN(T_TraitDi[Plan]),FALSE)="OK","Un planning spécifique de télétravail est annexé à la présente convention.",""),"")</f>
        <v/>
      </c>
      <c r="BV67" s="185" t="s">
        <v>3522</v>
      </c>
      <c r="BW67" s="164" t="e">
        <f>IF(VLOOKUP(T_Convention[[#This Row],[NumL]],T_suiviDi[#Data],COLUMN(T_suiviDi[Entité]),FALSE)="","",VLOOKUP(T_Convention[[#This Row],[NumL]],T_suiviDi[#Data],COLUMN(T_suiviDi[Entité]),FALSE))</f>
        <v>#N/A</v>
      </c>
      <c r="BX67" s="164" t="str">
        <f>IF(VLOOKUP(T_Convention[[#This Row],[NumL]],T_Commission[#Data],COLUMN(T_Commission[envoi confirm TW]),FALSE)="","",VLOOKUP(T_Convention[[#This Row],[NumL]],T_Commission[#Data],COLUMN(T_Commission[envoi confirm TW]),FALSE))</f>
        <v>Oui</v>
      </c>
      <c r="BY6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7" s="264">
        <f>VLOOKUP(T_Convention[[#This Row],[NumL]],T_Commission[#Data],COLUMN(T_Commission[Commentaire]),FALSE)</f>
        <v>0</v>
      </c>
      <c r="CA67" s="254" t="str">
        <f>IF(VLOOKUP(T_Convention[[#This Row],[NumL]],T_Commission[#Data],COLUMN(T_Commission[Encadrant Email]),FALSE)="","",VLOOKUP(T_Convention[[#This Row],[NumL]],T_Commission[#Data],COLUMN(T_Commission[Encadrant Email]),FALSE))</f>
        <v/>
      </c>
      <c r="CB67" s="352" t="e">
        <f>VLOOKUP(T_Convention[[#This Row],[NumL]],T_TraitDi[#Data],COLUMN(T_TraitDi[NbJTot]),FALSE)</f>
        <v>#N/A</v>
      </c>
      <c r="CC67" s="352" t="e">
        <f>VLOOKUP(T_Convention[[#This Row],[NumL]],T_TraitDi[#Data],COLUMN(T_TraitDi[Reg Ponct]),FALSE)</f>
        <v>#N/A</v>
      </c>
      <c r="CD67" s="348" t="str">
        <f>IF(T_Convention[[#This Row],[Final]]&lt;&gt;"",VLOOKUP(T_Convention[[#This Row],[NumL]],T_suiviDi[#Data],COLUMN((T_suiviDi[Statut])),FALSE),"")</f>
        <v/>
      </c>
    </row>
    <row r="68" spans="1:82" s="106" customFormat="1" ht="18.75" customHeight="1" x14ac:dyDescent="0.25">
      <c r="A68" s="160">
        <v>24</v>
      </c>
      <c r="B68" s="161" t="str">
        <f>VLOOKUP(T_Convention[[#This Row],[NumL]],T_Commission[#Data],COLUMN(T_Commission[FINAL]),FALSE)</f>
        <v/>
      </c>
      <c r="C68" s="162"/>
      <c r="D68" s="95" t="e">
        <f>IF(VLOOKUP(T_Convention[[#This Row],[NumL]],T_TraitDi[#Data],COLUMN(T_TraitDi[WebC]),FALSE)="","",VLOOKUP(T_Convention[[#This Row],[NumL]],T_TraitDi[#Data],COLUMN(T_TraitDi[WebC]),FALSE))</f>
        <v>#N/A</v>
      </c>
      <c r="E68" s="163" t="str">
        <f t="shared" si="5"/>
        <v>12 janvier 2021</v>
      </c>
      <c r="F68" s="282" t="str">
        <f>IF(T_Convention[[#This Row],[Final]]&lt;&gt;"",VLOOKUP(T_Convention[[#This Row],[NumL]],T_suiviDi[#Data],COLUMN((T_suiviDi[Civ.])),FALSE),"")</f>
        <v/>
      </c>
      <c r="G68" s="283" t="str">
        <f>IF(T_Convention[[#This Row],[Final]]&lt;&gt;"",VLOOKUP(T_Convention[[#This Row],[NumL]],T_suiviDi[#Data],COLUMN((T_suiviDi[Nom])),FALSE),"")</f>
        <v/>
      </c>
      <c r="H68" s="282" t="str">
        <f>IF(T_Convention[[#This Row],[Final]]&lt;&gt;"",VLOOKUP(T_Convention[[#This Row],[NumL]],T_suiviDi[#Data],COLUMN((T_suiviDi[Prénom])),FALSE),"")</f>
        <v/>
      </c>
      <c r="I68" s="282" t="e">
        <f>VLOOKUP(T_Convention[[#This Row],[NumL]],T_suiviDi[#Data],COLUMN((T_suiviDi[[#This Row],[Email]])),FALSE)</f>
        <v>#VALUE!</v>
      </c>
      <c r="J68" s="282" t="e">
        <f>IF(VLOOKUP(T_Convention[[#This Row],[NumL]],T_suiviDi[#Data],COLUMN(T_suiviDi[[#This Row],[Fonction]]),FALSE)="","",VLOOKUP(T_Convention[[#This Row],[NumL]],T_suiviDi[#Data],COLUMN(T_suiviDi[[#This Row],[Fonction]]),FALSE))</f>
        <v>#VALUE!</v>
      </c>
      <c r="K68" s="282" t="e">
        <f>IF(VLOOKUP(T_Convention[[#This Row],[NumL]],T_suiviDi[#Data],COLUMN(T_suiviDi[[#This Row],[Grade]]),FALSE)="","",VLOOKUP(T_Convention[[#This Row],[NumL]],T_suiviDi[#Data],COLUMN(T_suiviDi[[#This Row],[Grade]]),FALSE))</f>
        <v>#VALUE!</v>
      </c>
      <c r="L68" s="282" t="e">
        <f>IF(VLOOKUP(T_Convention[[#This Row],[NumL]],T_suiviDi[#Data],COLUMN(T_suiviDi[[#This Row],[Service ]]),FALSE)="","",VLOOKUP(T_Convention[[#This Row],[NumL]],T_suiviDi[#Data],COLUMN(T_suiviDi[[#This Row],[Service ]]),FALSE))</f>
        <v>#VALUE!</v>
      </c>
      <c r="M68" s="164" t="str">
        <f t="shared" si="6"/>
        <v>01 septembre 2021</v>
      </c>
      <c r="N68" s="164" t="str">
        <f t="shared" si="7"/>
        <v>30 novembre 2021</v>
      </c>
      <c r="O68" s="284" t="str">
        <f t="shared" si="8"/>
        <v>30 novembre 2021</v>
      </c>
      <c r="P68" s="282" t="e">
        <f>IF(VLOOKUP(T_Convention[[#This Row],[NumL]],T_TraitDi[#Data],COLUMN(T_TraitDi[M1]),FALSE)="","",VLOOKUP(T_Convention[[#This Row],[NumL]],T_TraitDi[#Data],COLUMN(T_TraitDi[M1]),FALSE))</f>
        <v>#N/A</v>
      </c>
      <c r="Q68" s="282" t="e">
        <f>IF(VLOOKUP(T_Convention[[#This Row],[NumL]],T_TraitDi[#Data],COLUMN(T_TraitDi[M2]),FALSE)="","",VLOOKUP(T_Convention[[#This Row],[NumL]],T_TraitDi[#Data],COLUMN(T_TraitDi[M2]),FALSE))</f>
        <v>#N/A</v>
      </c>
      <c r="R68" s="282" t="e">
        <f>IF(VLOOKUP(T_Convention[[#This Row],[NumL]],T_TraitDi[#Data],COLUMN(T_TraitDi[M3]),FALSE)="","",VLOOKUP(T_Convention[[#This Row],[NumL]],T_TraitDi[#Data],COLUMN(T_TraitDi[M3]),FALSE))</f>
        <v>#N/A</v>
      </c>
      <c r="S68" s="282" t="e">
        <f>IF(VLOOKUP(T_Convention[[#This Row],[NumL]],T_TraitDi[#Data],COLUMN(T_TraitDi[M4]),FALSE)="","",VLOOKUP(T_Convention[[#This Row],[NumL]],T_TraitDi[#Data],COLUMN(T_TraitDi[M4]),FALSE))</f>
        <v>#N/A</v>
      </c>
      <c r="T68" s="282" t="e">
        <f>IF(VLOOKUP(T_Convention[[#This Row],[NumL]],T_TraitDi[#Data],COLUMN(T_TraitDi[M5]),FALSE)="","",VLOOKUP(T_Convention[[#This Row],[NumL]],T_TraitDi[#Data],COLUMN(T_TraitDi[M5]),FALSE))</f>
        <v>#N/A</v>
      </c>
      <c r="U68" s="282" t="e">
        <f>IF(VLOOKUP(T_Convention[[#This Row],[NumL]],T_TraitDi[#Data],COLUMN(T_TraitDi[M6]),FALSE)="","",VLOOKUP(T_Convention[[#This Row],[NumL]],T_TraitDi[#Data],COLUMN(T_TraitDi[M6]),FALSE))</f>
        <v>#N/A</v>
      </c>
      <c r="V68" s="176" t="e">
        <f t="shared" si="9"/>
        <v>#N/A</v>
      </c>
      <c r="W68" s="284" t="str">
        <f>IFERROR(TEXT(VLOOKUP(T_Convention[[#This Row],[NumL]],T_TraitDi[#Data],COLUMN(T_TraitDi[Q2]),FALSE),"###%"),"")</f>
        <v/>
      </c>
      <c r="X68" s="97" t="e">
        <f>VLOOKUP(T_Convention[[#This Row],[NumL]],T_TraitDi[#Data],COLUMN(T_TraitDi[Reg Ponct]),FALSE)</f>
        <v>#N/A</v>
      </c>
      <c r="Y68" s="97" t="e">
        <f>VLOOKUP(T_Convention[NumL],T_TraitDi[#Data],COLUMN(T_TraitDi[Jours flottants]),FALSE)</f>
        <v>#N/A</v>
      </c>
      <c r="Z68" s="284" t="str">
        <f>IFERROR(VLOOKUP(T_Convention[[#This Row],[NumL]],T_TraitDi[#Data],COLUMN(T_TraitDi[Lundi]),FALSE),"")</f>
        <v/>
      </c>
      <c r="AA68" s="284" t="e">
        <f>IF(VLOOKUP(T_Convention[[#This Row],[NumL]],T_TraitDi[#Data],COLUMN(T_TraitDi[Colonne3]),FALSE)=0,"",TEXT(IFERROR(VLOOKUP(T_Convention[[#This Row],[NumL]],T_TraitDi[#Data],COLUMN(T_TraitDi[Colonne3]),FALSE),""),"[hh]:mm"))</f>
        <v>#N/A</v>
      </c>
      <c r="AB68" s="284" t="e">
        <f>IF(VLOOKUP(T_Convention[[#This Row],[NumL]],T_TraitDi[#Data],COLUMN(T_TraitDi[Colonne4]),FALSE)=0,"",TEXT(IFERROR(VLOOKUP(T_Convention[[#This Row],[NumL]],T_TraitDi[#Data],COLUMN(T_TraitDi[Colonne4]),FALSE),""),"[hh]:mm"))</f>
        <v>#N/A</v>
      </c>
      <c r="AC68" s="284" t="e">
        <f>IF(VLOOKUP(T_Convention[[#This Row],[NumL]],T_TraitDi[#Data],COLUMN(T_TraitDi[Colonne5]),FALSE)=0,"",TEXT(IFERROR(VLOOKUP(T_Convention[[#This Row],[NumL]],T_TraitDi[#Data],COLUMN(T_TraitDi[Colonne5]),FALSE),""),"[hh]:mm"))</f>
        <v>#N/A</v>
      </c>
      <c r="AD68" s="284" t="e">
        <f>IF(VLOOKUP(T_Convention[[#This Row],[NumL]],T_TraitDi[#Data],COLUMN(T_TraitDi[Colonne6]),FALSE)=0,"",TEXT(IFERROR(VLOOKUP(T_Convention[[#This Row],[NumL]],T_TraitDi[#Data],COLUMN(T_TraitDi[Colonne6]),FALSE),""),"[hh]:mm"))</f>
        <v>#N/A</v>
      </c>
      <c r="AE68" s="284" t="e">
        <f>IF(VLOOKUP(T_Convention[[#This Row],[NumL]],T_TraitDi[#Data],COLUMN(T_TraitDi[Colonne7]),FALSE)=0,"",TEXT(IFERROR(VLOOKUP(T_Convention[[#This Row],[NumL]],T_TraitDi[#Data],COLUMN(T_TraitDi[Colonne7]),FALSE),""),"[hh]:mm"))</f>
        <v>#N/A</v>
      </c>
      <c r="AF68" s="284" t="e">
        <f>IF(VLOOKUP(T_Convention[[#This Row],[NumL]],T_TraitDi[#Data],COLUMN(T_TraitDi[Colonne8]),FALSE)=0,"",TEXT(IFERROR(VLOOKUP(T_Convention[[#This Row],[NumL]],T_TraitDi[#Data],COLUMN(T_TraitDi[Colonne8]),FALSE),""),"[hh]:mm"))</f>
        <v>#N/A</v>
      </c>
      <c r="AG68" s="284" t="str">
        <f>IFERROR(VLOOKUP(T_Convention[[#This Row],[NumL]],T_TraitDi[#Data],COLUMN(T_TraitDi[Mardi]),FALSE),"")</f>
        <v/>
      </c>
      <c r="AH68" s="284" t="e">
        <f>IF(VLOOKUP(T_Convention[[#This Row],[NumL]],T_TraitDi[#Data],COLUMN(T_TraitDi[Colonne1]),FALSE)=0,"",TEXT(IFERROR(VLOOKUP(T_Convention[[#This Row],[NumL]],T_TraitDi[#Data],COLUMN(T_TraitDi[Colonne1]),FALSE),""),"[hh]:mm"))</f>
        <v>#N/A</v>
      </c>
      <c r="AI68" s="284" t="e">
        <f>IF(VLOOKUP(T_Convention[[#This Row],[NumL]],T_TraitDi[#Data],COLUMN(T_TraitDi[Colonne9]),FALSE)=0,"",TEXT(IFERROR(VLOOKUP(T_Convention[[#This Row],[NumL]],T_TraitDi[#Data],COLUMN(T_TraitDi[Colonne9]),FALSE),""),"[hh]:mm"))</f>
        <v>#N/A</v>
      </c>
      <c r="AJ68" s="284" t="str">
        <f>IFERROR(VLOOKUP(T_Convention[[#This Row],[NumL]],T_TraitDi[#Data],COLUMN(T_TraitDi[Colonne10]),FALSE),"")</f>
        <v/>
      </c>
      <c r="AK68" s="284" t="e">
        <f>IF(VLOOKUP(T_Convention[[#This Row],[NumL]],T_TraitDi[#Data],COLUMN(T_TraitDi[Colonne11]),FALSE)=0,"",TEXT(IFERROR(VLOOKUP(T_Convention[[#This Row],[NumL]],T_TraitDi[#Data],COLUMN(T_TraitDi[Colonne11]),FALSE),""),"[hh]:mm"))</f>
        <v>#N/A</v>
      </c>
      <c r="AL68" s="284" t="e">
        <f>IF(VLOOKUP(T_Convention[[#This Row],[NumL]],T_TraitDi[#Data],COLUMN(T_TraitDi[Colonne12]),FALSE)=0,"",TEXT(IFERROR(VLOOKUP(T_Convention[[#This Row],[NumL]],T_TraitDi[#Data],COLUMN(T_TraitDi[Colonne12]),FALSE),""),"[hh]:mm"))</f>
        <v>#N/A</v>
      </c>
      <c r="AM68" s="284" t="e">
        <f>IF(VLOOKUP(T_Convention[[#This Row],[NumL]],T_TraitDi[#Data],COLUMN(T_TraitDi[Colonne14]),FALSE)=0,"",TEXT(IFERROR(VLOOKUP(T_Convention[[#This Row],[NumL]],T_TraitDi[#Data],COLUMN(T_TraitDi[Colonne14]),FALSE),""),"[hh]:mm"))</f>
        <v>#N/A</v>
      </c>
      <c r="AN68" s="284" t="str">
        <f>IFERROR(VLOOKUP(T_Convention[[#This Row],[NumL]],T_TraitDi[#Data],COLUMN(T_TraitDi[Mercredi]),FALSE),"")</f>
        <v/>
      </c>
      <c r="AO68" s="284" t="e">
        <f>IF(VLOOKUP(T_Convention[[#This Row],[NumL]],T_TraitDi[#Data],COLUMN(T_TraitDi[Colonne15]),FALSE)=0,"",TEXT(IFERROR(VLOOKUP(T_Convention[[#This Row],[NumL]],T_TraitDi[#Data],COLUMN(T_TraitDi[Colonne15]),FALSE),""),"[hh]:mm"))</f>
        <v>#N/A</v>
      </c>
      <c r="AP68" s="284" t="e">
        <f>IF(VLOOKUP(T_Convention[[#This Row],[NumL]],T_TraitDi[#Data],COLUMN(T_TraitDi[Colonne16]),FALSE)=0,"",TEXT(IFERROR(VLOOKUP(T_Convention[[#This Row],[NumL]],T_TraitDi[#Data],COLUMN(T_TraitDi[Colonne16]),FALSE),""),"[hh]:mm"))</f>
        <v>#N/A</v>
      </c>
      <c r="AQ68" s="284" t="str">
        <f>IFERROR(VLOOKUP(T_Convention[[#This Row],[NumL]],T_TraitDi[#Data],COLUMN(T_TraitDi[Colonne17]),FALSE),"")</f>
        <v/>
      </c>
      <c r="AR68" s="284" t="e">
        <f>IF(VLOOKUP(T_Convention[[#This Row],[NumL]],T_TraitDi[#Data],COLUMN(T_TraitDi[Colonne18]),FALSE)=0,"",TEXT(IFERROR(VLOOKUP(T_Convention[[#This Row],[NumL]],T_TraitDi[#Data],COLUMN(T_TraitDi[Colonne18]),FALSE),""),"[hh]:mm"))</f>
        <v>#N/A</v>
      </c>
      <c r="AS68" s="284" t="e">
        <f>IF(VLOOKUP(T_Convention[[#This Row],[NumL]],T_TraitDi[#Data],COLUMN(T_TraitDi[Colonne19]),FALSE)=0,"",TEXT(IFERROR(VLOOKUP(T_Convention[[#This Row],[NumL]],T_TraitDi[#Data],COLUMN(T_TraitDi[Colonne19]),FALSE),""),"[hh]:mm"))</f>
        <v>#N/A</v>
      </c>
      <c r="AT68" s="284" t="e">
        <f>IF(VLOOKUP(T_Convention[[#This Row],[NumL]],T_TraitDi[#Data],COLUMN(T_TraitDi[Colonne20]),FALSE)=0,"",TEXT(IFERROR(VLOOKUP(T_Convention[[#This Row],[NumL]],T_TraitDi[#Data],COLUMN(T_TraitDi[Colonne20]),FALSE),""),"[hh]:mm"))</f>
        <v>#N/A</v>
      </c>
      <c r="AU68" s="284" t="str">
        <f>IFERROR(VLOOKUP(T_Convention[[#This Row],[NumL]],T_TraitDi[#Data],COLUMN(T_TraitDi[Jeudi]),FALSE),"")</f>
        <v/>
      </c>
      <c r="AV68" s="284" t="e">
        <f>IF(VLOOKUP(T_Convention[[#This Row],[NumL]],T_TraitDi[#Data],COLUMN(T_TraitDi[Colonne21]),FALSE)=0,"",TEXT(IFERROR(VLOOKUP(T_Convention[[#This Row],[NumL]],T_TraitDi[#Data],COLUMN(T_TraitDi[Colonne21]),FALSE),""),"[hh]:mm"))</f>
        <v>#N/A</v>
      </c>
      <c r="AW68" s="284" t="e">
        <f>IF(VLOOKUP(T_Convention[[#This Row],[NumL]],T_TraitDi[#Data],COLUMN(T_TraitDi[Colonne22]),FALSE)=0,"",TEXT(IFERROR(VLOOKUP(T_Convention[[#This Row],[NumL]],T_TraitDi[#Data],COLUMN(T_TraitDi[Colonne22]),FALSE),""),"[hh]:mm"))</f>
        <v>#N/A</v>
      </c>
      <c r="AX68" s="284" t="str">
        <f>IFERROR(VLOOKUP(T_Convention[[#This Row],[NumL]],T_TraitDi[#Data],COLUMN(T_TraitDi[Colonne23]),FALSE),"")</f>
        <v/>
      </c>
      <c r="AY68" s="284" t="e">
        <f>IF(VLOOKUP(T_Convention[[#This Row],[NumL]],T_TraitDi[#Data],COLUMN(T_TraitDi[Colonne24]),FALSE)=0,"",TEXT(IFERROR(VLOOKUP(T_Convention[[#This Row],[NumL]],T_TraitDi[#Data],COLUMN(T_TraitDi[Colonne24]),FALSE),""),"[hh]:mm"))</f>
        <v>#N/A</v>
      </c>
      <c r="AZ68" s="284" t="e">
        <f>IF(VLOOKUP(T_Convention[[#This Row],[NumL]],T_TraitDi[#Data],COLUMN(T_TraitDi[Colonne25]),FALSE)=0,"",TEXT(IFERROR(VLOOKUP(T_Convention[[#This Row],[NumL]],T_TraitDi[#Data],COLUMN(T_TraitDi[Colonne25]),FALSE),""),"[hh]:mm"))</f>
        <v>#N/A</v>
      </c>
      <c r="BA68" s="284" t="e">
        <f>IF(VLOOKUP(T_Convention[[#This Row],[NumL]],T_TraitDi[#Data],COLUMN(T_TraitDi[Colonne26]),FALSE)=0,"",TEXT(IFERROR(VLOOKUP(T_Convention[[#This Row],[NumL]],T_TraitDi[#Data],COLUMN(T_TraitDi[Colonne26]),FALSE),""),"[hh]:mm"))</f>
        <v>#N/A</v>
      </c>
      <c r="BB68" s="284" t="str">
        <f>IFERROR(VLOOKUP(T_Convention[[#This Row],[NumL]],T_TraitDi[#Data],COLUMN(T_TraitDi[Vendredi]),FALSE),"")</f>
        <v/>
      </c>
      <c r="BC68" s="284" t="e">
        <f>IF(VLOOKUP(T_Convention[[#This Row],[NumL]],T_TraitDi[#Data],COLUMN(T_TraitDi[Colonne27]),FALSE)=0,"",TEXT(IFERROR(VLOOKUP(T_Convention[[#This Row],[NumL]],T_TraitDi[#Data],COLUMN(T_TraitDi[Colonne27]),FALSE),""),"[hh]:mm"))</f>
        <v>#N/A</v>
      </c>
      <c r="BD68" s="284" t="e">
        <f>IF(VLOOKUP(T_Convention[[#This Row],[NumL]],T_TraitDi[#Data],COLUMN(T_TraitDi[Colonne28]),FALSE)=0,"",TEXT(IFERROR(VLOOKUP(T_Convention[[#This Row],[NumL]],T_TraitDi[#Data],COLUMN(T_TraitDi[Colonne28]),FALSE),""),"[hh]:mm"))</f>
        <v>#N/A</v>
      </c>
      <c r="BE68" s="284" t="str">
        <f>IFERROR(VLOOKUP(T_Convention[[#This Row],[NumL]],T_TraitDi[#Data],COLUMN(T_TraitDi[Colonne29]),FALSE),"")</f>
        <v/>
      </c>
      <c r="BF68" s="284" t="e">
        <f>IF(VLOOKUP(T_Convention[[#This Row],[NumL]],T_TraitDi[#Data],COLUMN(T_TraitDi[Colonne30]),FALSE)=0,"",TEXT(IFERROR(VLOOKUP(T_Convention[[#This Row],[NumL]],T_TraitDi[#Data],COLUMN(T_TraitDi[Colonne30]),FALSE),""),"[hh]:mm"))</f>
        <v>#N/A</v>
      </c>
      <c r="BG68" s="284" t="e">
        <f>IF(VLOOKUP(T_Convention[[#This Row],[NumL]],T_TraitDi[#Data],COLUMN(T_TraitDi[Colonne31]),FALSE)=0,"",TEXT(IFERROR(VLOOKUP(T_Convention[[#This Row],[NumL]],T_TraitDi[#Data],COLUMN(T_TraitDi[Colonne31]),FALSE),""),"[hh]:mm"))</f>
        <v>#N/A</v>
      </c>
      <c r="BH68" s="284" t="e">
        <f>IF(VLOOKUP(T_Convention[[#This Row],[NumL]],T_TraitDi[#Data],COLUMN(T_TraitDi[Colonne32]),FALSE)=0,"",TEXT(IFERROR(VLOOKUP(T_Convention[[#This Row],[NumL]],T_TraitDi[#Data],COLUMN(T_TraitDi[Colonne32]),FALSE),""),"[hh]:mm"))</f>
        <v>#N/A</v>
      </c>
      <c r="BI68" s="284" t="str">
        <f>IFERROR(VLOOKUP(T_Convention[[#This Row],[NumL]],T_TraitDi[#Data],COLUMN(T_TraitDi[NbJTW]),FALSE),"")</f>
        <v/>
      </c>
      <c r="BJ68" s="284" t="e">
        <f>IF(VLOOKUP(T_Convention[[#This Row],[NumL]],T_TraitDi[#Data],COLUMN(T_TraitDi[NbhTW]),FALSE)=0,"",TEXT(IFERROR(VLOOKUP(T_Convention[[#This Row],[NumL]],T_TraitDi[#Data],COLUMN(T_TraitDi[NbhTW]),FALSE),""),"[hh]:mm"))</f>
        <v>#N/A</v>
      </c>
      <c r="BK68" s="286" t="e">
        <f>IF(VLOOKUP(T_Convention[[#This Row],[NumL]],T_TraitDi[#Data],COLUMN(T_TraitDi[Nbhheb]),FALSE)=0,"",TEXT(IFERROR(VLOOKUP(T_Convention[[#This Row],[NumL]],T_TraitDi[#Data],COLUMN(T_TraitDi[Nbhheb]),FALSE),""),"[hh]:mm"))</f>
        <v>#N/A</v>
      </c>
      <c r="BL68" s="287" t="str">
        <f>IFERROR(VLOOKUP(VLOOKUP(T_Convention[[#This Row],[NumL]],T_TraitDi[#Data],COLUMN(T_TraitDi[Type1]),FALSE),TypeTW,2,FALSE),"")</f>
        <v/>
      </c>
      <c r="BM68" s="288" t="str">
        <f>IFERROR(VLOOKUP(T_Convention[[#This Row],[NumL]],T_TraitDi[#Data],COLUMN(T_TraitDi[Rue1]),FALSE),"")</f>
        <v/>
      </c>
      <c r="BN68" s="289" t="str">
        <f>IFERROR(VLOOKUP(T_Convention[[#This Row],[NumL]],T_TraitDi[#Data],COLUMN(T_TraitDi[CP1]),FALSE),"")</f>
        <v/>
      </c>
      <c r="BO68" s="282" t="str">
        <f>IFERROR(VLOOKUP(T_Convention[[#This Row],[NumL]],T_TraitDi[#Data],COLUMN(T_TraitDi[VILLE1]),FALSE),"")</f>
        <v/>
      </c>
      <c r="BP68" s="290" t="str">
        <f>IFERROR(VLOOKUP(VLOOKUP(T_Convention[[#This Row],[NumL]],T_TraitDi[#Data],COLUMN(T_TraitDi[Type2]),FALSE),TypeTW,2,FALSE),"")</f>
        <v/>
      </c>
      <c r="BQ68" s="182" t="str">
        <f>IFERROR(VLOOKUP(T_Convention[[#This Row],[NumL]],T_TraitDi[#Data],COLUMN(T_TraitDi[Rue2]),FALSE),"")</f>
        <v/>
      </c>
      <c r="BR68" s="173" t="str">
        <f>IFERROR(VLOOKUP(T_Convention[[#This Row],[NumL]],T_TraitDi[#Data],COLUMN(T_TraitDi[CP2]),FALSE),"")</f>
        <v/>
      </c>
      <c r="BS68" s="173" t="str">
        <f>IFERROR(VLOOKUP(T_Convention[[#This Row],[NumL]],T_TraitDi[#Data],COLUMN(T_TraitDi[VILLE2]),FALSE),"")</f>
        <v/>
      </c>
      <c r="BT68" s="182" t="str">
        <f>IF(VLOOKUP(T_Convention[[#This Row],[NumL]],T_Equipement[#Data],COLUMN(T_Equipement[PC]),FALSE)="","Aucun équipement spécifique directement lié au télétravail",VLOOKUP(T_Convention[[#This Row],[NumL]],T_Equipement[#Data],COLUMN(T_Equipement[PC]),FALSE))</f>
        <v xml:space="preserve">20-122	</v>
      </c>
      <c r="BU68" s="166" t="str">
        <f>IFERROR(IF(VLOOKUP(T_Convention[[#This Row],[NumL]],T_TraitDi[#Data],COLUMN(T_TraitDi[Plan]),FALSE)="OK","Un planning spécifique de télétravail est annexé à la présente convention.",""),"")</f>
        <v/>
      </c>
      <c r="BV68" s="185" t="s">
        <v>3291</v>
      </c>
      <c r="BW68" s="164" t="e">
        <f>IF(VLOOKUP(T_Convention[[#This Row],[NumL]],T_suiviDi[#Data],COLUMN(T_suiviDi[Entité]),FALSE)="","",VLOOKUP(T_Convention[[#This Row],[NumL]],T_suiviDi[#Data],COLUMN(T_suiviDi[Entité]),FALSE))</f>
        <v>#N/A</v>
      </c>
      <c r="BX68" s="164" t="str">
        <f>IF(VLOOKUP(T_Convention[[#This Row],[NumL]],T_Commission[#Data],COLUMN(T_Commission[envoi confirm TW]),FALSE)="","",VLOOKUP(T_Convention[[#This Row],[NumL]],T_Commission[#Data],COLUMN(T_Commission[envoi confirm TW]),FALSE))</f>
        <v>Oui</v>
      </c>
      <c r="BY6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8" s="264">
        <f>VLOOKUP(T_Convention[[#This Row],[NumL]],T_Commission[#Data],COLUMN(T_Commission[Commentaire]),FALSE)</f>
        <v>0</v>
      </c>
      <c r="CA68" s="254" t="str">
        <f>IF(VLOOKUP(T_Convention[[#This Row],[NumL]],T_Commission[#Data],COLUMN(T_Commission[Encadrant Email]),FALSE)="","",VLOOKUP(T_Convention[[#This Row],[NumL]],T_Commission[#Data],COLUMN(T_Commission[Encadrant Email]),FALSE))</f>
        <v/>
      </c>
      <c r="CB68" s="352" t="e">
        <f>VLOOKUP(T_Convention[[#This Row],[NumL]],T_TraitDi[#Data],COLUMN(T_TraitDi[NbJTot]),FALSE)</f>
        <v>#N/A</v>
      </c>
      <c r="CC68" s="352" t="e">
        <f>VLOOKUP(T_Convention[[#This Row],[NumL]],T_TraitDi[#Data],COLUMN(T_TraitDi[Reg Ponct]),FALSE)</f>
        <v>#N/A</v>
      </c>
      <c r="CD68" s="348" t="str">
        <f>IF(T_Convention[[#This Row],[Final]]&lt;&gt;"",VLOOKUP(T_Convention[[#This Row],[NumL]],T_suiviDi[#Data],COLUMN((T_suiviDi[Statut])),FALSE),"")</f>
        <v/>
      </c>
    </row>
    <row r="69" spans="1:82" s="106" customFormat="1" ht="18.75" customHeight="1" x14ac:dyDescent="0.25">
      <c r="A69" s="160">
        <v>227</v>
      </c>
      <c r="B69" s="161" t="str">
        <f>VLOOKUP(T_Convention[[#This Row],[NumL]],T_Commission[#Data],COLUMN(T_Commission[FINAL]),FALSE)</f>
        <v/>
      </c>
      <c r="C69" s="162"/>
      <c r="D69" s="95" t="e">
        <f>IF(VLOOKUP(T_Convention[[#This Row],[NumL]],T_TraitDi[#Data],COLUMN(T_TraitDi[WebC]),FALSE)="","",VLOOKUP(T_Convention[[#This Row],[NumL]],T_TraitDi[#Data],COLUMN(T_TraitDi[WebC]),FALSE))</f>
        <v>#N/A</v>
      </c>
      <c r="E69" s="163" t="str">
        <f t="shared" si="5"/>
        <v>12 janvier 2021</v>
      </c>
      <c r="F69" s="282" t="str">
        <f>IF(T_Convention[[#This Row],[Final]]&lt;&gt;"",VLOOKUP(T_Convention[[#This Row],[NumL]],T_suiviDi[#Data],COLUMN((T_suiviDi[Civ.])),FALSE),"")</f>
        <v/>
      </c>
      <c r="G69" s="283" t="str">
        <f>IF(T_Convention[[#This Row],[Final]]&lt;&gt;"",VLOOKUP(T_Convention[[#This Row],[NumL]],T_suiviDi[#Data],COLUMN((T_suiviDi[Nom])),FALSE),"")</f>
        <v/>
      </c>
      <c r="H69" s="282" t="str">
        <f>IF(T_Convention[[#This Row],[Final]]&lt;&gt;"",VLOOKUP(T_Convention[[#This Row],[NumL]],T_suiviDi[#Data],COLUMN((T_suiviDi[Prénom])),FALSE),"")</f>
        <v/>
      </c>
      <c r="I69" s="282" t="e">
        <f>VLOOKUP(T_Convention[[#This Row],[NumL]],T_suiviDi[#Data],COLUMN((T_suiviDi[[#This Row],[Email]])),FALSE)</f>
        <v>#VALUE!</v>
      </c>
      <c r="J69" s="282" t="e">
        <f>IF(VLOOKUP(T_Convention[[#This Row],[NumL]],T_suiviDi[#Data],COLUMN(T_suiviDi[[#This Row],[Fonction]]),FALSE)="","",VLOOKUP(T_Convention[[#This Row],[NumL]],T_suiviDi[#Data],COLUMN(T_suiviDi[[#This Row],[Fonction]]),FALSE))</f>
        <v>#VALUE!</v>
      </c>
      <c r="K69" s="282" t="e">
        <f>IF(VLOOKUP(T_Convention[[#This Row],[NumL]],T_suiviDi[#Data],COLUMN(T_suiviDi[[#This Row],[Grade]]),FALSE)="","",VLOOKUP(T_Convention[[#This Row],[NumL]],T_suiviDi[#Data],COLUMN(T_suiviDi[[#This Row],[Grade]]),FALSE))</f>
        <v>#VALUE!</v>
      </c>
      <c r="L69" s="282" t="e">
        <f>IF(VLOOKUP(T_Convention[[#This Row],[NumL]],T_suiviDi[#Data],COLUMN(T_suiviDi[[#This Row],[Service ]]),FALSE)="","",VLOOKUP(T_Convention[[#This Row],[NumL]],T_suiviDi[#Data],COLUMN(T_suiviDi[[#This Row],[Service ]]),FALSE))</f>
        <v>#VALUE!</v>
      </c>
      <c r="M69" s="164" t="str">
        <f t="shared" si="6"/>
        <v>01 septembre 2021</v>
      </c>
      <c r="N69" s="164" t="str">
        <f t="shared" si="7"/>
        <v>30 novembre 2021</v>
      </c>
      <c r="O69" s="284" t="str">
        <f t="shared" si="8"/>
        <v>30 novembre 2021</v>
      </c>
      <c r="P69" s="282" t="e">
        <f>IF(VLOOKUP(T_Convention[[#This Row],[NumL]],T_TraitDi[#Data],COLUMN(T_TraitDi[M1]),FALSE)="","",VLOOKUP(T_Convention[[#This Row],[NumL]],T_TraitDi[#Data],COLUMN(T_TraitDi[M1]),FALSE))</f>
        <v>#N/A</v>
      </c>
      <c r="Q69" s="282" t="e">
        <f>IF(VLOOKUP(T_Convention[[#This Row],[NumL]],T_TraitDi[#Data],COLUMN(T_TraitDi[M2]),FALSE)="","",VLOOKUP(T_Convention[[#This Row],[NumL]],T_TraitDi[#Data],COLUMN(T_TraitDi[M2]),FALSE))</f>
        <v>#N/A</v>
      </c>
      <c r="R69" s="282" t="e">
        <f>IF(VLOOKUP(T_Convention[[#This Row],[NumL]],T_TraitDi[#Data],COLUMN(T_TraitDi[M3]),FALSE)="","",VLOOKUP(T_Convention[[#This Row],[NumL]],T_TraitDi[#Data],COLUMN(T_TraitDi[M3]),FALSE))</f>
        <v>#N/A</v>
      </c>
      <c r="S69" s="282" t="e">
        <f>IF(VLOOKUP(T_Convention[[#This Row],[NumL]],T_TraitDi[#Data],COLUMN(T_TraitDi[M4]),FALSE)="","",VLOOKUP(T_Convention[[#This Row],[NumL]],T_TraitDi[#Data],COLUMN(T_TraitDi[M4]),FALSE))</f>
        <v>#N/A</v>
      </c>
      <c r="T69" s="282" t="e">
        <f>IF(VLOOKUP(T_Convention[[#This Row],[NumL]],T_TraitDi[#Data],COLUMN(T_TraitDi[M5]),FALSE)="","",VLOOKUP(T_Convention[[#This Row],[NumL]],T_TraitDi[#Data],COLUMN(T_TraitDi[M5]),FALSE))</f>
        <v>#N/A</v>
      </c>
      <c r="U69" s="282" t="e">
        <f>IF(VLOOKUP(T_Convention[[#This Row],[NumL]],T_TraitDi[#Data],COLUMN(T_TraitDi[M6]),FALSE)="","",VLOOKUP(T_Convention[[#This Row],[NumL]],T_TraitDi[#Data],COLUMN(T_TraitDi[M6]),FALSE))</f>
        <v>#N/A</v>
      </c>
      <c r="V69" s="176" t="e">
        <f t="shared" si="9"/>
        <v>#N/A</v>
      </c>
      <c r="W69" s="284" t="str">
        <f>IFERROR(TEXT(VLOOKUP(T_Convention[[#This Row],[NumL]],T_TraitDi[#Data],COLUMN(T_TraitDi[Q2]),FALSE),"###%"),"")</f>
        <v/>
      </c>
      <c r="X69" s="97" t="e">
        <f>VLOOKUP(T_Convention[[#This Row],[NumL]],T_TraitDi[#Data],COLUMN(T_TraitDi[Reg Ponct]),FALSE)</f>
        <v>#N/A</v>
      </c>
      <c r="Y69" s="97" t="e">
        <f>VLOOKUP(T_Convention[NumL],T_TraitDi[#Data],COLUMN(T_TraitDi[Jours flottants]),FALSE)</f>
        <v>#N/A</v>
      </c>
      <c r="Z69" s="284" t="str">
        <f>IFERROR(VLOOKUP(T_Convention[[#This Row],[NumL]],T_TraitDi[#Data],COLUMN(T_TraitDi[Lundi]),FALSE),"")</f>
        <v/>
      </c>
      <c r="AA69" s="284" t="e">
        <f>IF(VLOOKUP(T_Convention[[#This Row],[NumL]],T_TraitDi[#Data],COLUMN(T_TraitDi[Colonne3]),FALSE)=0,"",TEXT(IFERROR(VLOOKUP(T_Convention[[#This Row],[NumL]],T_TraitDi[#Data],COLUMN(T_TraitDi[Colonne3]),FALSE),""),"[hh]:mm"))</f>
        <v>#N/A</v>
      </c>
      <c r="AB69" s="284" t="e">
        <f>IF(VLOOKUP(T_Convention[[#This Row],[NumL]],T_TraitDi[#Data],COLUMN(T_TraitDi[Colonne4]),FALSE)=0,"",TEXT(IFERROR(VLOOKUP(T_Convention[[#This Row],[NumL]],T_TraitDi[#Data],COLUMN(T_TraitDi[Colonne4]),FALSE),""),"[hh]:mm"))</f>
        <v>#N/A</v>
      </c>
      <c r="AC69" s="284" t="e">
        <f>IF(VLOOKUP(T_Convention[[#This Row],[NumL]],T_TraitDi[#Data],COLUMN(T_TraitDi[Colonne5]),FALSE)=0,"",TEXT(IFERROR(VLOOKUP(T_Convention[[#This Row],[NumL]],T_TraitDi[#Data],COLUMN(T_TraitDi[Colonne5]),FALSE),""),"[hh]:mm"))</f>
        <v>#N/A</v>
      </c>
      <c r="AD69" s="284" t="e">
        <f>IF(VLOOKUP(T_Convention[[#This Row],[NumL]],T_TraitDi[#Data],COLUMN(T_TraitDi[Colonne6]),FALSE)=0,"",TEXT(IFERROR(VLOOKUP(T_Convention[[#This Row],[NumL]],T_TraitDi[#Data],COLUMN(T_TraitDi[Colonne6]),FALSE),""),"[hh]:mm"))</f>
        <v>#N/A</v>
      </c>
      <c r="AE69" s="284" t="e">
        <f>IF(VLOOKUP(T_Convention[[#This Row],[NumL]],T_TraitDi[#Data],COLUMN(T_TraitDi[Colonne7]),FALSE)=0,"",TEXT(IFERROR(VLOOKUP(T_Convention[[#This Row],[NumL]],T_TraitDi[#Data],COLUMN(T_TraitDi[Colonne7]),FALSE),""),"[hh]:mm"))</f>
        <v>#N/A</v>
      </c>
      <c r="AF69" s="284" t="e">
        <f>IF(VLOOKUP(T_Convention[[#This Row],[NumL]],T_TraitDi[#Data],COLUMN(T_TraitDi[Colonne8]),FALSE)=0,"",TEXT(IFERROR(VLOOKUP(T_Convention[[#This Row],[NumL]],T_TraitDi[#Data],COLUMN(T_TraitDi[Colonne8]),FALSE),""),"[hh]:mm"))</f>
        <v>#N/A</v>
      </c>
      <c r="AG69" s="284" t="str">
        <f>IFERROR(VLOOKUP(T_Convention[[#This Row],[NumL]],T_TraitDi[#Data],COLUMN(T_TraitDi[Mardi]),FALSE),"")</f>
        <v/>
      </c>
      <c r="AH69" s="284" t="e">
        <f>IF(VLOOKUP(T_Convention[[#This Row],[NumL]],T_TraitDi[#Data],COLUMN(T_TraitDi[Colonne1]),FALSE)=0,"",TEXT(IFERROR(VLOOKUP(T_Convention[[#This Row],[NumL]],T_TraitDi[#Data],COLUMN(T_TraitDi[Colonne1]),FALSE),""),"[hh]:mm"))</f>
        <v>#N/A</v>
      </c>
      <c r="AI69" s="284" t="e">
        <f>IF(VLOOKUP(T_Convention[[#This Row],[NumL]],T_TraitDi[#Data],COLUMN(T_TraitDi[Colonne9]),FALSE)=0,"",TEXT(IFERROR(VLOOKUP(T_Convention[[#This Row],[NumL]],T_TraitDi[#Data],COLUMN(T_TraitDi[Colonne9]),FALSE),""),"[hh]:mm"))</f>
        <v>#N/A</v>
      </c>
      <c r="AJ69" s="284" t="str">
        <f>IFERROR(VLOOKUP(T_Convention[[#This Row],[NumL]],T_TraitDi[#Data],COLUMN(T_TraitDi[Colonne10]),FALSE),"")</f>
        <v/>
      </c>
      <c r="AK69" s="284" t="e">
        <f>IF(VLOOKUP(T_Convention[[#This Row],[NumL]],T_TraitDi[#Data],COLUMN(T_TraitDi[Colonne11]),FALSE)=0,"",TEXT(IFERROR(VLOOKUP(T_Convention[[#This Row],[NumL]],T_TraitDi[#Data],COLUMN(T_TraitDi[Colonne11]),FALSE),""),"[hh]:mm"))</f>
        <v>#N/A</v>
      </c>
      <c r="AL69" s="284" t="e">
        <f>IF(VLOOKUP(T_Convention[[#This Row],[NumL]],T_TraitDi[#Data],COLUMN(T_TraitDi[Colonne12]),FALSE)=0,"",TEXT(IFERROR(VLOOKUP(T_Convention[[#This Row],[NumL]],T_TraitDi[#Data],COLUMN(T_TraitDi[Colonne12]),FALSE),""),"[hh]:mm"))</f>
        <v>#N/A</v>
      </c>
      <c r="AM69" s="284" t="e">
        <f>IF(VLOOKUP(T_Convention[[#This Row],[NumL]],T_TraitDi[#Data],COLUMN(T_TraitDi[Colonne14]),FALSE)=0,"",TEXT(IFERROR(VLOOKUP(T_Convention[[#This Row],[NumL]],T_TraitDi[#Data],COLUMN(T_TraitDi[Colonne14]),FALSE),""),"[hh]:mm"))</f>
        <v>#N/A</v>
      </c>
      <c r="AN69" s="284" t="str">
        <f>IFERROR(VLOOKUP(T_Convention[[#This Row],[NumL]],T_TraitDi[#Data],COLUMN(T_TraitDi[Mercredi]),FALSE),"")</f>
        <v/>
      </c>
      <c r="AO69" s="284" t="e">
        <f>IF(VLOOKUP(T_Convention[[#This Row],[NumL]],T_TraitDi[#Data],COLUMN(T_TraitDi[Colonne15]),FALSE)=0,"",TEXT(IFERROR(VLOOKUP(T_Convention[[#This Row],[NumL]],T_TraitDi[#Data],COLUMN(T_TraitDi[Colonne15]),FALSE),""),"[hh]:mm"))</f>
        <v>#N/A</v>
      </c>
      <c r="AP69" s="284" t="e">
        <f>IF(VLOOKUP(T_Convention[[#This Row],[NumL]],T_TraitDi[#Data],COLUMN(T_TraitDi[Colonne16]),FALSE)=0,"",TEXT(IFERROR(VLOOKUP(T_Convention[[#This Row],[NumL]],T_TraitDi[#Data],COLUMN(T_TraitDi[Colonne16]),FALSE),""),"[hh]:mm"))</f>
        <v>#N/A</v>
      </c>
      <c r="AQ69" s="284" t="str">
        <f>IFERROR(VLOOKUP(T_Convention[[#This Row],[NumL]],T_TraitDi[#Data],COLUMN(T_TraitDi[Colonne17]),FALSE),"")</f>
        <v/>
      </c>
      <c r="AR69" s="284" t="e">
        <f>IF(VLOOKUP(T_Convention[[#This Row],[NumL]],T_TraitDi[#Data],COLUMN(T_TraitDi[Colonne18]),FALSE)=0,"",TEXT(IFERROR(VLOOKUP(T_Convention[[#This Row],[NumL]],T_TraitDi[#Data],COLUMN(T_TraitDi[Colonne18]),FALSE),""),"[hh]:mm"))</f>
        <v>#N/A</v>
      </c>
      <c r="AS69" s="284" t="e">
        <f>IF(VLOOKUP(T_Convention[[#This Row],[NumL]],T_TraitDi[#Data],COLUMN(T_TraitDi[Colonne19]),FALSE)=0,"",TEXT(IFERROR(VLOOKUP(T_Convention[[#This Row],[NumL]],T_TraitDi[#Data],COLUMN(T_TraitDi[Colonne19]),FALSE),""),"[hh]:mm"))</f>
        <v>#N/A</v>
      </c>
      <c r="AT69" s="284" t="e">
        <f>IF(VLOOKUP(T_Convention[[#This Row],[NumL]],T_TraitDi[#Data],COLUMN(T_TraitDi[Colonne20]),FALSE)=0,"",TEXT(IFERROR(VLOOKUP(T_Convention[[#This Row],[NumL]],T_TraitDi[#Data],COLUMN(T_TraitDi[Colonne20]),FALSE),""),"[hh]:mm"))</f>
        <v>#N/A</v>
      </c>
      <c r="AU69" s="284" t="str">
        <f>IFERROR(VLOOKUP(T_Convention[[#This Row],[NumL]],T_TraitDi[#Data],COLUMN(T_TraitDi[Jeudi]),FALSE),"")</f>
        <v/>
      </c>
      <c r="AV69" s="284" t="e">
        <f>IF(VLOOKUP(T_Convention[[#This Row],[NumL]],T_TraitDi[#Data],COLUMN(T_TraitDi[Colonne21]),FALSE)=0,"",TEXT(IFERROR(VLOOKUP(T_Convention[[#This Row],[NumL]],T_TraitDi[#Data],COLUMN(T_TraitDi[Colonne21]),FALSE),""),"[hh]:mm"))</f>
        <v>#N/A</v>
      </c>
      <c r="AW69" s="284" t="e">
        <f>IF(VLOOKUP(T_Convention[[#This Row],[NumL]],T_TraitDi[#Data],COLUMN(T_TraitDi[Colonne22]),FALSE)=0,"",TEXT(IFERROR(VLOOKUP(T_Convention[[#This Row],[NumL]],T_TraitDi[#Data],COLUMN(T_TraitDi[Colonne22]),FALSE),""),"[hh]:mm"))</f>
        <v>#N/A</v>
      </c>
      <c r="AX69" s="284" t="str">
        <f>IFERROR(VLOOKUP(T_Convention[[#This Row],[NumL]],T_TraitDi[#Data],COLUMN(T_TraitDi[Colonne23]),FALSE),"")</f>
        <v/>
      </c>
      <c r="AY69" s="284" t="e">
        <f>IF(VLOOKUP(T_Convention[[#This Row],[NumL]],T_TraitDi[#Data],COLUMN(T_TraitDi[Colonne24]),FALSE)=0,"",TEXT(IFERROR(VLOOKUP(T_Convention[[#This Row],[NumL]],T_TraitDi[#Data],COLUMN(T_TraitDi[Colonne24]),FALSE),""),"[hh]:mm"))</f>
        <v>#N/A</v>
      </c>
      <c r="AZ69" s="284" t="e">
        <f>IF(VLOOKUP(T_Convention[[#This Row],[NumL]],T_TraitDi[#Data],COLUMN(T_TraitDi[Colonne25]),FALSE)=0,"",TEXT(IFERROR(VLOOKUP(T_Convention[[#This Row],[NumL]],T_TraitDi[#Data],COLUMN(T_TraitDi[Colonne25]),FALSE),""),"[hh]:mm"))</f>
        <v>#N/A</v>
      </c>
      <c r="BA69" s="284" t="e">
        <f>IF(VLOOKUP(T_Convention[[#This Row],[NumL]],T_TraitDi[#Data],COLUMN(T_TraitDi[Colonne26]),FALSE)=0,"",TEXT(IFERROR(VLOOKUP(T_Convention[[#This Row],[NumL]],T_TraitDi[#Data],COLUMN(T_TraitDi[Colonne26]),FALSE),""),"[hh]:mm"))</f>
        <v>#N/A</v>
      </c>
      <c r="BB69" s="284" t="str">
        <f>IFERROR(VLOOKUP(T_Convention[[#This Row],[NumL]],T_TraitDi[#Data],COLUMN(T_TraitDi[Vendredi]),FALSE),"")</f>
        <v/>
      </c>
      <c r="BC69" s="284" t="e">
        <f>IF(VLOOKUP(T_Convention[[#This Row],[NumL]],T_TraitDi[#Data],COLUMN(T_TraitDi[Colonne27]),FALSE)=0,"",TEXT(IFERROR(VLOOKUP(T_Convention[[#This Row],[NumL]],T_TraitDi[#Data],COLUMN(T_TraitDi[Colonne27]),FALSE),""),"[hh]:mm"))</f>
        <v>#N/A</v>
      </c>
      <c r="BD69" s="284" t="e">
        <f>IF(VLOOKUP(T_Convention[[#This Row],[NumL]],T_TraitDi[#Data],COLUMN(T_TraitDi[Colonne28]),FALSE)=0,"",TEXT(IFERROR(VLOOKUP(T_Convention[[#This Row],[NumL]],T_TraitDi[#Data],COLUMN(T_TraitDi[Colonne28]),FALSE),""),"[hh]:mm"))</f>
        <v>#N/A</v>
      </c>
      <c r="BE69" s="284" t="str">
        <f>IFERROR(VLOOKUP(T_Convention[[#This Row],[NumL]],T_TraitDi[#Data],COLUMN(T_TraitDi[Colonne29]),FALSE),"")</f>
        <v/>
      </c>
      <c r="BF69" s="284" t="e">
        <f>IF(VLOOKUP(T_Convention[[#This Row],[NumL]],T_TraitDi[#Data],COLUMN(T_TraitDi[Colonne30]),FALSE)=0,"",TEXT(IFERROR(VLOOKUP(T_Convention[[#This Row],[NumL]],T_TraitDi[#Data],COLUMN(T_TraitDi[Colonne30]),FALSE),""),"[hh]:mm"))</f>
        <v>#N/A</v>
      </c>
      <c r="BG69" s="284" t="e">
        <f>IF(VLOOKUP(T_Convention[[#This Row],[NumL]],T_TraitDi[#Data],COLUMN(T_TraitDi[Colonne31]),FALSE)=0,"",TEXT(IFERROR(VLOOKUP(T_Convention[[#This Row],[NumL]],T_TraitDi[#Data],COLUMN(T_TraitDi[Colonne31]),FALSE),""),"[hh]:mm"))</f>
        <v>#N/A</v>
      </c>
      <c r="BH69" s="284" t="e">
        <f>IF(VLOOKUP(T_Convention[[#This Row],[NumL]],T_TraitDi[#Data],COLUMN(T_TraitDi[Colonne32]),FALSE)=0,"",TEXT(IFERROR(VLOOKUP(T_Convention[[#This Row],[NumL]],T_TraitDi[#Data],COLUMN(T_TraitDi[Colonne32]),FALSE),""),"[hh]:mm"))</f>
        <v>#N/A</v>
      </c>
      <c r="BI69" s="284" t="str">
        <f>IFERROR(VLOOKUP(T_Convention[[#This Row],[NumL]],T_TraitDi[#Data],COLUMN(T_TraitDi[NbJTW]),FALSE),"")</f>
        <v/>
      </c>
      <c r="BJ69" s="284" t="e">
        <f>IF(VLOOKUP(T_Convention[[#This Row],[NumL]],T_TraitDi[#Data],COLUMN(T_TraitDi[NbhTW]),FALSE)=0,"",TEXT(IFERROR(VLOOKUP(T_Convention[[#This Row],[NumL]],T_TraitDi[#Data],COLUMN(T_TraitDi[NbhTW]),FALSE),""),"[hh]:mm"))</f>
        <v>#N/A</v>
      </c>
      <c r="BK69" s="286" t="e">
        <f>IF(VLOOKUP(T_Convention[[#This Row],[NumL]],T_TraitDi[#Data],COLUMN(T_TraitDi[Nbhheb]),FALSE)=0,"",TEXT(IFERROR(VLOOKUP(T_Convention[[#This Row],[NumL]],T_TraitDi[#Data],COLUMN(T_TraitDi[Nbhheb]),FALSE),""),"[hh]:mm"))</f>
        <v>#N/A</v>
      </c>
      <c r="BL69" s="287" t="str">
        <f>IFERROR(VLOOKUP(VLOOKUP(T_Convention[[#This Row],[NumL]],T_TraitDi[#Data],COLUMN(T_TraitDi[Type1]),FALSE),TypeTW,2,FALSE),"")</f>
        <v/>
      </c>
      <c r="BM69" s="288" t="str">
        <f>IFERROR(VLOOKUP(T_Convention[[#This Row],[NumL]],T_TraitDi[#Data],COLUMN(T_TraitDi[Rue1]),FALSE),"")</f>
        <v/>
      </c>
      <c r="BN69" s="289" t="str">
        <f>IFERROR(VLOOKUP(T_Convention[[#This Row],[NumL]],T_TraitDi[#Data],COLUMN(T_TraitDi[CP1]),FALSE),"")</f>
        <v/>
      </c>
      <c r="BO69" s="282" t="str">
        <f>IFERROR(VLOOKUP(T_Convention[[#This Row],[NumL]],T_TraitDi[#Data],COLUMN(T_TraitDi[VILLE1]),FALSE),"")</f>
        <v/>
      </c>
      <c r="BP69" s="290" t="str">
        <f>IFERROR(VLOOKUP(VLOOKUP(T_Convention[[#This Row],[NumL]],T_TraitDi[#Data],COLUMN(T_TraitDi[Type2]),FALSE),TypeTW,2,FALSE),"")</f>
        <v/>
      </c>
      <c r="BQ69" s="182" t="str">
        <f>IFERROR(VLOOKUP(T_Convention[[#This Row],[NumL]],T_TraitDi[#Data],COLUMN(T_TraitDi[Rue2]),FALSE),"")</f>
        <v/>
      </c>
      <c r="BR69" s="173" t="str">
        <f>IFERROR(VLOOKUP(T_Convention[[#This Row],[NumL]],T_TraitDi[#Data],COLUMN(T_TraitDi[CP2]),FALSE),"")</f>
        <v/>
      </c>
      <c r="BS69" s="173" t="str">
        <f>IFERROR(VLOOKUP(T_Convention[[#This Row],[NumL]],T_TraitDi[#Data],COLUMN(T_TraitDi[VILLE2]),FALSE),"")</f>
        <v/>
      </c>
      <c r="BT69" s="182" t="str">
        <f>IF(VLOOKUP(T_Convention[[#This Row],[NumL]],T_Equipement[#Data],COLUMN(T_Equipement[PC]),FALSE)="","Aucun équipement spécifique directement lié au télétravail",VLOOKUP(T_Convention[[#This Row],[NumL]],T_Equipement[#Data],COLUMN(T_Equipement[PC]),FALSE))</f>
        <v xml:space="preserve">18-057	</v>
      </c>
      <c r="BU69" s="166" t="str">
        <f>IFERROR(IF(VLOOKUP(T_Convention[[#This Row],[NumL]],T_TraitDi[#Data],COLUMN(T_TraitDi[Plan]),FALSE)="OK","Un planning spécifique de télétravail est annexé à la présente convention.",""),"")</f>
        <v/>
      </c>
      <c r="BV69" s="185"/>
      <c r="BW69" s="164" t="e">
        <f>IF(VLOOKUP(T_Convention[[#This Row],[NumL]],T_suiviDi[#Data],COLUMN(T_suiviDi[Entité]),FALSE)="","",VLOOKUP(T_Convention[[#This Row],[NumL]],T_suiviDi[#Data],COLUMN(T_suiviDi[Entité]),FALSE))</f>
        <v>#N/A</v>
      </c>
      <c r="BX69" s="164" t="str">
        <f>IF(VLOOKUP(T_Convention[[#This Row],[NumL]],T_Commission[#Data],COLUMN(T_Commission[envoi confirm TW]),FALSE)="","",VLOOKUP(T_Convention[[#This Row],[NumL]],T_Commission[#Data],COLUMN(T_Commission[envoi confirm TW]),FALSE))</f>
        <v>Oui</v>
      </c>
      <c r="BY6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69" s="264">
        <f>VLOOKUP(T_Convention[[#This Row],[NumL]],T_Commission[#Data],COLUMN(T_Commission[Commentaire]),FALSE)</f>
        <v>0</v>
      </c>
      <c r="CA69" s="254" t="str">
        <f>IF(VLOOKUP(T_Convention[[#This Row],[NumL]],T_Commission[#Data],COLUMN(T_Commission[Encadrant Email]),FALSE)="","",VLOOKUP(T_Convention[[#This Row],[NumL]],T_Commission[#Data],COLUMN(T_Commission[Encadrant Email]),FALSE))</f>
        <v/>
      </c>
      <c r="CB69" s="352" t="e">
        <f>VLOOKUP(T_Convention[[#This Row],[NumL]],T_TraitDi[#Data],COLUMN(T_TraitDi[NbJTot]),FALSE)</f>
        <v>#N/A</v>
      </c>
      <c r="CC69" s="352" t="e">
        <f>VLOOKUP(T_Convention[[#This Row],[NumL]],T_TraitDi[#Data],COLUMN(T_TraitDi[Reg Ponct]),FALSE)</f>
        <v>#N/A</v>
      </c>
      <c r="CD69" s="348" t="str">
        <f>IF(T_Convention[[#This Row],[Final]]&lt;&gt;"",VLOOKUP(T_Convention[[#This Row],[NumL]],T_suiviDi[#Data],COLUMN((T_suiviDi[Statut])),FALSE),"")</f>
        <v/>
      </c>
    </row>
    <row r="70" spans="1:82" s="106" customFormat="1" ht="18.75" customHeight="1" x14ac:dyDescent="0.25">
      <c r="A70" s="160">
        <v>228</v>
      </c>
      <c r="B70" s="161" t="str">
        <f>VLOOKUP(T_Convention[[#This Row],[NumL]],T_Commission[#Data],COLUMN(T_Commission[FINAL]),FALSE)</f>
        <v/>
      </c>
      <c r="C70" s="162"/>
      <c r="D70" s="95" t="e">
        <f>IF(VLOOKUP(T_Convention[[#This Row],[NumL]],T_TraitDi[#Data],COLUMN(T_TraitDi[WebC]),FALSE)="","",VLOOKUP(T_Convention[[#This Row],[NumL]],T_TraitDi[#Data],COLUMN(T_TraitDi[WebC]),FALSE))</f>
        <v>#N/A</v>
      </c>
      <c r="E70" s="163" t="str">
        <f t="shared" si="5"/>
        <v>12 janvier 2021</v>
      </c>
      <c r="F70" s="282" t="str">
        <f>IF(T_Convention[[#This Row],[Final]]&lt;&gt;"",VLOOKUP(T_Convention[[#This Row],[NumL]],T_suiviDi[#Data],COLUMN((T_suiviDi[Civ.])),FALSE),"")</f>
        <v/>
      </c>
      <c r="G70" s="283" t="str">
        <f>IF(T_Convention[[#This Row],[Final]]&lt;&gt;"",VLOOKUP(T_Convention[[#This Row],[NumL]],T_suiviDi[#Data],COLUMN((T_suiviDi[Nom])),FALSE),"")</f>
        <v/>
      </c>
      <c r="H70" s="282" t="str">
        <f>IF(T_Convention[[#This Row],[Final]]&lt;&gt;"",VLOOKUP(T_Convention[[#This Row],[NumL]],T_suiviDi[#Data],COLUMN((T_suiviDi[Prénom])),FALSE),"")</f>
        <v/>
      </c>
      <c r="I70" s="282" t="e">
        <f>VLOOKUP(T_Convention[[#This Row],[NumL]],T_suiviDi[#Data],COLUMN((T_suiviDi[[#This Row],[Email]])),FALSE)</f>
        <v>#VALUE!</v>
      </c>
      <c r="J70" s="282" t="e">
        <f>IF(VLOOKUP(T_Convention[[#This Row],[NumL]],T_suiviDi[#Data],COLUMN(T_suiviDi[[#This Row],[Fonction]]),FALSE)="","",VLOOKUP(T_Convention[[#This Row],[NumL]],T_suiviDi[#Data],COLUMN(T_suiviDi[[#This Row],[Fonction]]),FALSE))</f>
        <v>#VALUE!</v>
      </c>
      <c r="K70" s="282" t="e">
        <f>IF(VLOOKUP(T_Convention[[#This Row],[NumL]],T_suiviDi[#Data],COLUMN(T_suiviDi[[#This Row],[Grade]]),FALSE)="","",VLOOKUP(T_Convention[[#This Row],[NumL]],T_suiviDi[#Data],COLUMN(T_suiviDi[[#This Row],[Grade]]),FALSE))</f>
        <v>#VALUE!</v>
      </c>
      <c r="L70" s="282" t="e">
        <f>IF(VLOOKUP(T_Convention[[#This Row],[NumL]],T_suiviDi[#Data],COLUMN(T_suiviDi[[#This Row],[Service ]]),FALSE)="","",VLOOKUP(T_Convention[[#This Row],[NumL]],T_suiviDi[#Data],COLUMN(T_suiviDi[[#This Row],[Service ]]),FALSE))</f>
        <v>#VALUE!</v>
      </c>
      <c r="M70" s="164" t="str">
        <f t="shared" si="6"/>
        <v>01 septembre 2021</v>
      </c>
      <c r="N70" s="164" t="str">
        <f t="shared" si="7"/>
        <v>30 novembre 2021</v>
      </c>
      <c r="O70" s="284" t="str">
        <f t="shared" si="8"/>
        <v>30 novembre 2021</v>
      </c>
      <c r="P70" s="282" t="e">
        <f>IF(VLOOKUP(T_Convention[[#This Row],[NumL]],T_TraitDi[#Data],COLUMN(T_TraitDi[M1]),FALSE)="","",VLOOKUP(T_Convention[[#This Row],[NumL]],T_TraitDi[#Data],COLUMN(T_TraitDi[M1]),FALSE))</f>
        <v>#N/A</v>
      </c>
      <c r="Q70" s="282" t="e">
        <f>IF(VLOOKUP(T_Convention[[#This Row],[NumL]],T_TraitDi[#Data],COLUMN(T_TraitDi[M2]),FALSE)="","",VLOOKUP(T_Convention[[#This Row],[NumL]],T_TraitDi[#Data],COLUMN(T_TraitDi[M2]),FALSE))</f>
        <v>#N/A</v>
      </c>
      <c r="R70" s="282" t="e">
        <f>IF(VLOOKUP(T_Convention[[#This Row],[NumL]],T_TraitDi[#Data],COLUMN(T_TraitDi[M3]),FALSE)="","",VLOOKUP(T_Convention[[#This Row],[NumL]],T_TraitDi[#Data],COLUMN(T_TraitDi[M3]),FALSE))</f>
        <v>#N/A</v>
      </c>
      <c r="S70" s="282" t="e">
        <f>IF(VLOOKUP(T_Convention[[#This Row],[NumL]],T_TraitDi[#Data],COLUMN(T_TraitDi[M4]),FALSE)="","",VLOOKUP(T_Convention[[#This Row],[NumL]],T_TraitDi[#Data],COLUMN(T_TraitDi[M4]),FALSE))</f>
        <v>#N/A</v>
      </c>
      <c r="T70" s="282" t="e">
        <f>IF(VLOOKUP(T_Convention[[#This Row],[NumL]],T_TraitDi[#Data],COLUMN(T_TraitDi[M5]),FALSE)="","",VLOOKUP(T_Convention[[#This Row],[NumL]],T_TraitDi[#Data],COLUMN(T_TraitDi[M5]),FALSE))</f>
        <v>#N/A</v>
      </c>
      <c r="U70" s="282" t="e">
        <f>IF(VLOOKUP(T_Convention[[#This Row],[NumL]],T_TraitDi[#Data],COLUMN(T_TraitDi[M6]),FALSE)="","",VLOOKUP(T_Convention[[#This Row],[NumL]],T_TraitDi[#Data],COLUMN(T_TraitDi[M6]),FALSE))</f>
        <v>#N/A</v>
      </c>
      <c r="V70" s="176" t="e">
        <f t="shared" si="9"/>
        <v>#N/A</v>
      </c>
      <c r="W70" s="284" t="str">
        <f>IFERROR(TEXT(VLOOKUP(T_Convention[[#This Row],[NumL]],T_TraitDi[#Data],COLUMN(T_TraitDi[Q2]),FALSE),"###%"),"")</f>
        <v/>
      </c>
      <c r="X70" s="97" t="e">
        <f>VLOOKUP(T_Convention[[#This Row],[NumL]],T_TraitDi[#Data],COLUMN(T_TraitDi[Reg Ponct]),FALSE)</f>
        <v>#N/A</v>
      </c>
      <c r="Y70" s="97" t="e">
        <f>VLOOKUP(T_Convention[NumL],T_TraitDi[#Data],COLUMN(T_TraitDi[Jours flottants]),FALSE)</f>
        <v>#N/A</v>
      </c>
      <c r="Z70" s="284" t="str">
        <f>IFERROR(VLOOKUP(T_Convention[[#This Row],[NumL]],T_TraitDi[#Data],COLUMN(T_TraitDi[Lundi]),FALSE),"")</f>
        <v/>
      </c>
      <c r="AA70" s="284" t="e">
        <f>IF(VLOOKUP(T_Convention[[#This Row],[NumL]],T_TraitDi[#Data],COLUMN(T_TraitDi[Colonne3]),FALSE)=0,"",TEXT(IFERROR(VLOOKUP(T_Convention[[#This Row],[NumL]],T_TraitDi[#Data],COLUMN(T_TraitDi[Colonne3]),FALSE),""),"[hh]:mm"))</f>
        <v>#N/A</v>
      </c>
      <c r="AB70" s="284" t="e">
        <f>IF(VLOOKUP(T_Convention[[#This Row],[NumL]],T_TraitDi[#Data],COLUMN(T_TraitDi[Colonne4]),FALSE)=0,"",TEXT(IFERROR(VLOOKUP(T_Convention[[#This Row],[NumL]],T_TraitDi[#Data],COLUMN(T_TraitDi[Colonne4]),FALSE),""),"[hh]:mm"))</f>
        <v>#N/A</v>
      </c>
      <c r="AC70" s="284" t="e">
        <f>IF(VLOOKUP(T_Convention[[#This Row],[NumL]],T_TraitDi[#Data],COLUMN(T_TraitDi[Colonne5]),FALSE)=0,"",TEXT(IFERROR(VLOOKUP(T_Convention[[#This Row],[NumL]],T_TraitDi[#Data],COLUMN(T_TraitDi[Colonne5]),FALSE),""),"[hh]:mm"))</f>
        <v>#N/A</v>
      </c>
      <c r="AD70" s="284" t="e">
        <f>IF(VLOOKUP(T_Convention[[#This Row],[NumL]],T_TraitDi[#Data],COLUMN(T_TraitDi[Colonne6]),FALSE)=0,"",TEXT(IFERROR(VLOOKUP(T_Convention[[#This Row],[NumL]],T_TraitDi[#Data],COLUMN(T_TraitDi[Colonne6]),FALSE),""),"[hh]:mm"))</f>
        <v>#N/A</v>
      </c>
      <c r="AE70" s="284" t="e">
        <f>IF(VLOOKUP(T_Convention[[#This Row],[NumL]],T_TraitDi[#Data],COLUMN(T_TraitDi[Colonne7]),FALSE)=0,"",TEXT(IFERROR(VLOOKUP(T_Convention[[#This Row],[NumL]],T_TraitDi[#Data],COLUMN(T_TraitDi[Colonne7]),FALSE),""),"[hh]:mm"))</f>
        <v>#N/A</v>
      </c>
      <c r="AF70" s="284" t="e">
        <f>IF(VLOOKUP(T_Convention[[#This Row],[NumL]],T_TraitDi[#Data],COLUMN(T_TraitDi[Colonne8]),FALSE)=0,"",TEXT(IFERROR(VLOOKUP(T_Convention[[#This Row],[NumL]],T_TraitDi[#Data],COLUMN(T_TraitDi[Colonne8]),FALSE),""),"[hh]:mm"))</f>
        <v>#N/A</v>
      </c>
      <c r="AG70" s="284" t="str">
        <f>IFERROR(VLOOKUP(T_Convention[[#This Row],[NumL]],T_TraitDi[#Data],COLUMN(T_TraitDi[Mardi]),FALSE),"")</f>
        <v/>
      </c>
      <c r="AH70" s="284" t="e">
        <f>IF(VLOOKUP(T_Convention[[#This Row],[NumL]],T_TraitDi[#Data],COLUMN(T_TraitDi[Colonne1]),FALSE)=0,"",TEXT(IFERROR(VLOOKUP(T_Convention[[#This Row],[NumL]],T_TraitDi[#Data],COLUMN(T_TraitDi[Colonne1]),FALSE),""),"[hh]:mm"))</f>
        <v>#N/A</v>
      </c>
      <c r="AI70" s="284" t="e">
        <f>IF(VLOOKUP(T_Convention[[#This Row],[NumL]],T_TraitDi[#Data],COLUMN(T_TraitDi[Colonne9]),FALSE)=0,"",TEXT(IFERROR(VLOOKUP(T_Convention[[#This Row],[NumL]],T_TraitDi[#Data],COLUMN(T_TraitDi[Colonne9]),FALSE),""),"[hh]:mm"))</f>
        <v>#N/A</v>
      </c>
      <c r="AJ70" s="284" t="str">
        <f>IFERROR(VLOOKUP(T_Convention[[#This Row],[NumL]],T_TraitDi[#Data],COLUMN(T_TraitDi[Colonne10]),FALSE),"")</f>
        <v/>
      </c>
      <c r="AK70" s="284" t="e">
        <f>IF(VLOOKUP(T_Convention[[#This Row],[NumL]],T_TraitDi[#Data],COLUMN(T_TraitDi[Colonne11]),FALSE)=0,"",TEXT(IFERROR(VLOOKUP(T_Convention[[#This Row],[NumL]],T_TraitDi[#Data],COLUMN(T_TraitDi[Colonne11]),FALSE),""),"[hh]:mm"))</f>
        <v>#N/A</v>
      </c>
      <c r="AL70" s="284" t="e">
        <f>IF(VLOOKUP(T_Convention[[#This Row],[NumL]],T_TraitDi[#Data],COLUMN(T_TraitDi[Colonne12]),FALSE)=0,"",TEXT(IFERROR(VLOOKUP(T_Convention[[#This Row],[NumL]],T_TraitDi[#Data],COLUMN(T_TraitDi[Colonne12]),FALSE),""),"[hh]:mm"))</f>
        <v>#N/A</v>
      </c>
      <c r="AM70" s="284" t="e">
        <f>IF(VLOOKUP(T_Convention[[#This Row],[NumL]],T_TraitDi[#Data],COLUMN(T_TraitDi[Colonne14]),FALSE)=0,"",TEXT(IFERROR(VLOOKUP(T_Convention[[#This Row],[NumL]],T_TraitDi[#Data],COLUMN(T_TraitDi[Colonne14]),FALSE),""),"[hh]:mm"))</f>
        <v>#N/A</v>
      </c>
      <c r="AN70" s="284" t="str">
        <f>IFERROR(VLOOKUP(T_Convention[[#This Row],[NumL]],T_TraitDi[#Data],COLUMN(T_TraitDi[Mercredi]),FALSE),"")</f>
        <v/>
      </c>
      <c r="AO70" s="284" t="e">
        <f>IF(VLOOKUP(T_Convention[[#This Row],[NumL]],T_TraitDi[#Data],COLUMN(T_TraitDi[Colonne15]),FALSE)=0,"",TEXT(IFERROR(VLOOKUP(T_Convention[[#This Row],[NumL]],T_TraitDi[#Data],COLUMN(T_TraitDi[Colonne15]),FALSE),""),"[hh]:mm"))</f>
        <v>#N/A</v>
      </c>
      <c r="AP70" s="284" t="e">
        <f>IF(VLOOKUP(T_Convention[[#This Row],[NumL]],T_TraitDi[#Data],COLUMN(T_TraitDi[Colonne16]),FALSE)=0,"",TEXT(IFERROR(VLOOKUP(T_Convention[[#This Row],[NumL]],T_TraitDi[#Data],COLUMN(T_TraitDi[Colonne16]),FALSE),""),"[hh]:mm"))</f>
        <v>#N/A</v>
      </c>
      <c r="AQ70" s="284" t="str">
        <f>IFERROR(VLOOKUP(T_Convention[[#This Row],[NumL]],T_TraitDi[#Data],COLUMN(T_TraitDi[Colonne17]),FALSE),"")</f>
        <v/>
      </c>
      <c r="AR70" s="284" t="e">
        <f>IF(VLOOKUP(T_Convention[[#This Row],[NumL]],T_TraitDi[#Data],COLUMN(T_TraitDi[Colonne18]),FALSE)=0,"",TEXT(IFERROR(VLOOKUP(T_Convention[[#This Row],[NumL]],T_TraitDi[#Data],COLUMN(T_TraitDi[Colonne18]),FALSE),""),"[hh]:mm"))</f>
        <v>#N/A</v>
      </c>
      <c r="AS70" s="284" t="e">
        <f>IF(VLOOKUP(T_Convention[[#This Row],[NumL]],T_TraitDi[#Data],COLUMN(T_TraitDi[Colonne19]),FALSE)=0,"",TEXT(IFERROR(VLOOKUP(T_Convention[[#This Row],[NumL]],T_TraitDi[#Data],COLUMN(T_TraitDi[Colonne19]),FALSE),""),"[hh]:mm"))</f>
        <v>#N/A</v>
      </c>
      <c r="AT70" s="284" t="e">
        <f>IF(VLOOKUP(T_Convention[[#This Row],[NumL]],T_TraitDi[#Data],COLUMN(T_TraitDi[Colonne20]),FALSE)=0,"",TEXT(IFERROR(VLOOKUP(T_Convention[[#This Row],[NumL]],T_TraitDi[#Data],COLUMN(T_TraitDi[Colonne20]),FALSE),""),"[hh]:mm"))</f>
        <v>#N/A</v>
      </c>
      <c r="AU70" s="284" t="str">
        <f>IFERROR(VLOOKUP(T_Convention[[#This Row],[NumL]],T_TraitDi[#Data],COLUMN(T_TraitDi[Jeudi]),FALSE),"")</f>
        <v/>
      </c>
      <c r="AV70" s="284" t="e">
        <f>IF(VLOOKUP(T_Convention[[#This Row],[NumL]],T_TraitDi[#Data],COLUMN(T_TraitDi[Colonne21]),FALSE)=0,"",TEXT(IFERROR(VLOOKUP(T_Convention[[#This Row],[NumL]],T_TraitDi[#Data],COLUMN(T_TraitDi[Colonne21]),FALSE),""),"[hh]:mm"))</f>
        <v>#N/A</v>
      </c>
      <c r="AW70" s="284" t="e">
        <f>IF(VLOOKUP(T_Convention[[#This Row],[NumL]],T_TraitDi[#Data],COLUMN(T_TraitDi[Colonne22]),FALSE)=0,"",TEXT(IFERROR(VLOOKUP(T_Convention[[#This Row],[NumL]],T_TraitDi[#Data],COLUMN(T_TraitDi[Colonne22]),FALSE),""),"[hh]:mm"))</f>
        <v>#N/A</v>
      </c>
      <c r="AX70" s="284" t="str">
        <f>IFERROR(VLOOKUP(T_Convention[[#This Row],[NumL]],T_TraitDi[#Data],COLUMN(T_TraitDi[Colonne23]),FALSE),"")</f>
        <v/>
      </c>
      <c r="AY70" s="284" t="e">
        <f>IF(VLOOKUP(T_Convention[[#This Row],[NumL]],T_TraitDi[#Data],COLUMN(T_TraitDi[Colonne24]),FALSE)=0,"",TEXT(IFERROR(VLOOKUP(T_Convention[[#This Row],[NumL]],T_TraitDi[#Data],COLUMN(T_TraitDi[Colonne24]),FALSE),""),"[hh]:mm"))</f>
        <v>#N/A</v>
      </c>
      <c r="AZ70" s="284" t="e">
        <f>IF(VLOOKUP(T_Convention[[#This Row],[NumL]],T_TraitDi[#Data],COLUMN(T_TraitDi[Colonne25]),FALSE)=0,"",TEXT(IFERROR(VLOOKUP(T_Convention[[#This Row],[NumL]],T_TraitDi[#Data],COLUMN(T_TraitDi[Colonne25]),FALSE),""),"[hh]:mm"))</f>
        <v>#N/A</v>
      </c>
      <c r="BA70" s="284" t="e">
        <f>IF(VLOOKUP(T_Convention[[#This Row],[NumL]],T_TraitDi[#Data],COLUMN(T_TraitDi[Colonne26]),FALSE)=0,"",TEXT(IFERROR(VLOOKUP(T_Convention[[#This Row],[NumL]],T_TraitDi[#Data],COLUMN(T_TraitDi[Colonne26]),FALSE),""),"[hh]:mm"))</f>
        <v>#N/A</v>
      </c>
      <c r="BB70" s="284" t="str">
        <f>IFERROR(VLOOKUP(T_Convention[[#This Row],[NumL]],T_TraitDi[#Data],COLUMN(T_TraitDi[Vendredi]),FALSE),"")</f>
        <v/>
      </c>
      <c r="BC70" s="284" t="e">
        <f>IF(VLOOKUP(T_Convention[[#This Row],[NumL]],T_TraitDi[#Data],COLUMN(T_TraitDi[Colonne27]),FALSE)=0,"",TEXT(IFERROR(VLOOKUP(T_Convention[[#This Row],[NumL]],T_TraitDi[#Data],COLUMN(T_TraitDi[Colonne27]),FALSE),""),"[hh]:mm"))</f>
        <v>#N/A</v>
      </c>
      <c r="BD70" s="284" t="e">
        <f>IF(VLOOKUP(T_Convention[[#This Row],[NumL]],T_TraitDi[#Data],COLUMN(T_TraitDi[Colonne28]),FALSE)=0,"",TEXT(IFERROR(VLOOKUP(T_Convention[[#This Row],[NumL]],T_TraitDi[#Data],COLUMN(T_TraitDi[Colonne28]),FALSE),""),"[hh]:mm"))</f>
        <v>#N/A</v>
      </c>
      <c r="BE70" s="284" t="str">
        <f>IFERROR(VLOOKUP(T_Convention[[#This Row],[NumL]],T_TraitDi[#Data],COLUMN(T_TraitDi[Colonne29]),FALSE),"")</f>
        <v/>
      </c>
      <c r="BF70" s="284" t="e">
        <f>IF(VLOOKUP(T_Convention[[#This Row],[NumL]],T_TraitDi[#Data],COLUMN(T_TraitDi[Colonne30]),FALSE)=0,"",TEXT(IFERROR(VLOOKUP(T_Convention[[#This Row],[NumL]],T_TraitDi[#Data],COLUMN(T_TraitDi[Colonne30]),FALSE),""),"[hh]:mm"))</f>
        <v>#N/A</v>
      </c>
      <c r="BG70" s="284" t="e">
        <f>IF(VLOOKUP(T_Convention[[#This Row],[NumL]],T_TraitDi[#Data],COLUMN(T_TraitDi[Colonne31]),FALSE)=0,"",TEXT(IFERROR(VLOOKUP(T_Convention[[#This Row],[NumL]],T_TraitDi[#Data],COLUMN(T_TraitDi[Colonne31]),FALSE),""),"[hh]:mm"))</f>
        <v>#N/A</v>
      </c>
      <c r="BH70" s="284" t="e">
        <f>IF(VLOOKUP(T_Convention[[#This Row],[NumL]],T_TraitDi[#Data],COLUMN(T_TraitDi[Colonne32]),FALSE)=0,"",TEXT(IFERROR(VLOOKUP(T_Convention[[#This Row],[NumL]],T_TraitDi[#Data],COLUMN(T_TraitDi[Colonne32]),FALSE),""),"[hh]:mm"))</f>
        <v>#N/A</v>
      </c>
      <c r="BI70" s="284" t="str">
        <f>IFERROR(VLOOKUP(T_Convention[[#This Row],[NumL]],T_TraitDi[#Data],COLUMN(T_TraitDi[NbJTW]),FALSE),"")</f>
        <v/>
      </c>
      <c r="BJ70" s="284" t="e">
        <f>IF(VLOOKUP(T_Convention[[#This Row],[NumL]],T_TraitDi[#Data],COLUMN(T_TraitDi[NbhTW]),FALSE)=0,"",TEXT(IFERROR(VLOOKUP(T_Convention[[#This Row],[NumL]],T_TraitDi[#Data],COLUMN(T_TraitDi[NbhTW]),FALSE),""),"[hh]:mm"))</f>
        <v>#N/A</v>
      </c>
      <c r="BK70" s="286" t="e">
        <f>IF(VLOOKUP(T_Convention[[#This Row],[NumL]],T_TraitDi[#Data],COLUMN(T_TraitDi[Nbhheb]),FALSE)=0,"",TEXT(IFERROR(VLOOKUP(T_Convention[[#This Row],[NumL]],T_TraitDi[#Data],COLUMN(T_TraitDi[Nbhheb]),FALSE),""),"[hh]:mm"))</f>
        <v>#N/A</v>
      </c>
      <c r="BL70" s="287" t="str">
        <f>IFERROR(VLOOKUP(VLOOKUP(T_Convention[[#This Row],[NumL]],T_TraitDi[#Data],COLUMN(T_TraitDi[Type1]),FALSE),TypeTW,2,FALSE),"")</f>
        <v/>
      </c>
      <c r="BM70" s="288" t="str">
        <f>IFERROR(VLOOKUP(T_Convention[[#This Row],[NumL]],T_TraitDi[#Data],COLUMN(T_TraitDi[Rue1]),FALSE),"")</f>
        <v/>
      </c>
      <c r="BN70" s="289" t="str">
        <f>IFERROR(VLOOKUP(T_Convention[[#This Row],[NumL]],T_TraitDi[#Data],COLUMN(T_TraitDi[CP1]),FALSE),"")</f>
        <v/>
      </c>
      <c r="BO70" s="282" t="str">
        <f>IFERROR(VLOOKUP(T_Convention[[#This Row],[NumL]],T_TraitDi[#Data],COLUMN(T_TraitDi[VILLE1]),FALSE),"")</f>
        <v/>
      </c>
      <c r="BP70" s="290" t="str">
        <f>IFERROR(VLOOKUP(VLOOKUP(T_Convention[[#This Row],[NumL]],T_TraitDi[#Data],COLUMN(T_TraitDi[Type2]),FALSE),TypeTW,2,FALSE),"")</f>
        <v/>
      </c>
      <c r="BQ70" s="182" t="str">
        <f>IFERROR(VLOOKUP(T_Convention[[#This Row],[NumL]],T_TraitDi[#Data],COLUMN(T_TraitDi[Rue2]),FALSE),"")</f>
        <v/>
      </c>
      <c r="BR70" s="173" t="str">
        <f>IFERROR(VLOOKUP(T_Convention[[#This Row],[NumL]],T_TraitDi[#Data],COLUMN(T_TraitDi[CP2]),FALSE),"")</f>
        <v/>
      </c>
      <c r="BS70" s="173" t="str">
        <f>IFERROR(VLOOKUP(T_Convention[[#This Row],[NumL]],T_TraitDi[#Data],COLUMN(T_TraitDi[VILLE2]),FALSE),"")</f>
        <v/>
      </c>
      <c r="BT70" s="182" t="str">
        <f>IF(VLOOKUP(T_Convention[[#This Row],[NumL]],T_Equipement[#Data],COLUMN(T_Equipement[PC]),FALSE)="","Aucun équipement spécifique directement lié au télétravail",VLOOKUP(T_Convention[[#This Row],[NumL]],T_Equipement[#Data],COLUMN(T_Equipement[PC]),FALSE))</f>
        <v xml:space="preserve">15-168	</v>
      </c>
      <c r="BU70" s="166" t="str">
        <f>IFERROR(IF(VLOOKUP(T_Convention[[#This Row],[NumL]],T_TraitDi[#Data],COLUMN(T_TraitDi[Plan]),FALSE)="OK","Un planning spécifique de télétravail est annexé à la présente convention.",""),"")</f>
        <v/>
      </c>
      <c r="BV70" s="185" t="s">
        <v>3302</v>
      </c>
      <c r="BW70" s="164" t="e">
        <f>IF(VLOOKUP(T_Convention[[#This Row],[NumL]],T_suiviDi[#Data],COLUMN(T_suiviDi[Entité]),FALSE)="","",VLOOKUP(T_Convention[[#This Row],[NumL]],T_suiviDi[#Data],COLUMN(T_suiviDi[Entité]),FALSE))</f>
        <v>#N/A</v>
      </c>
      <c r="BX70" s="164" t="str">
        <f>IF(VLOOKUP(T_Convention[[#This Row],[NumL]],T_Commission[#Data],COLUMN(T_Commission[envoi confirm TW]),FALSE)="","",VLOOKUP(T_Convention[[#This Row],[NumL]],T_Commission[#Data],COLUMN(T_Commission[envoi confirm TW]),FALSE))</f>
        <v>Oui</v>
      </c>
      <c r="BY7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0" s="264">
        <f>VLOOKUP(T_Convention[[#This Row],[NumL]],T_Commission[#Data],COLUMN(T_Commission[Commentaire]),FALSE)</f>
        <v>0</v>
      </c>
      <c r="CA70" s="254" t="str">
        <f>IF(VLOOKUP(T_Convention[[#This Row],[NumL]],T_Commission[#Data],COLUMN(T_Commission[Encadrant Email]),FALSE)="","",VLOOKUP(T_Convention[[#This Row],[NumL]],T_Commission[#Data],COLUMN(T_Commission[Encadrant Email]),FALSE))</f>
        <v/>
      </c>
      <c r="CB70" s="352" t="e">
        <f>VLOOKUP(T_Convention[[#This Row],[NumL]],T_TraitDi[#Data],COLUMN(T_TraitDi[NbJTot]),FALSE)</f>
        <v>#N/A</v>
      </c>
      <c r="CC70" s="352" t="e">
        <f>VLOOKUP(T_Convention[[#This Row],[NumL]],T_TraitDi[#Data],COLUMN(T_TraitDi[Reg Ponct]),FALSE)</f>
        <v>#N/A</v>
      </c>
      <c r="CD70" s="348" t="str">
        <f>IF(T_Convention[[#This Row],[Final]]&lt;&gt;"",VLOOKUP(T_Convention[[#This Row],[NumL]],T_suiviDi[#Data],COLUMN((T_suiviDi[Statut])),FALSE),"")</f>
        <v/>
      </c>
    </row>
    <row r="71" spans="1:82" s="106" customFormat="1" ht="18.75" customHeight="1" x14ac:dyDescent="0.25">
      <c r="A71" s="160">
        <v>255</v>
      </c>
      <c r="B71" s="161" t="str">
        <f>VLOOKUP(T_Convention[[#This Row],[NumL]],T_Commission[#Data],COLUMN(T_Commission[FINAL]),FALSE)</f>
        <v/>
      </c>
      <c r="C71" s="162"/>
      <c r="D71" s="95" t="e">
        <f>IF(VLOOKUP(T_Convention[[#This Row],[NumL]],T_TraitDi[#Data],COLUMN(T_TraitDi[WebC]),FALSE)="","",VLOOKUP(T_Convention[[#This Row],[NumL]],T_TraitDi[#Data],COLUMN(T_TraitDi[WebC]),FALSE))</f>
        <v>#N/A</v>
      </c>
      <c r="E71" s="163" t="str">
        <f t="shared" si="5"/>
        <v>12 janvier 2021</v>
      </c>
      <c r="F71" s="282" t="str">
        <f>IF(T_Convention[[#This Row],[Final]]&lt;&gt;"",VLOOKUP(T_Convention[[#This Row],[NumL]],T_suiviDi[#Data],COLUMN((T_suiviDi[Civ.])),FALSE),"")</f>
        <v/>
      </c>
      <c r="G71" s="283" t="str">
        <f>IF(T_Convention[[#This Row],[Final]]&lt;&gt;"",VLOOKUP(T_Convention[[#This Row],[NumL]],T_suiviDi[#Data],COLUMN((T_suiviDi[Nom])),FALSE),"")</f>
        <v/>
      </c>
      <c r="H71" s="282" t="str">
        <f>IF(T_Convention[[#This Row],[Final]]&lt;&gt;"",VLOOKUP(T_Convention[[#This Row],[NumL]],T_suiviDi[#Data],COLUMN((T_suiviDi[Prénom])),FALSE),"")</f>
        <v/>
      </c>
      <c r="I71" s="282" t="e">
        <f>VLOOKUP(T_Convention[[#This Row],[NumL]],T_suiviDi[#Data],COLUMN((T_suiviDi[[#This Row],[Email]])),FALSE)</f>
        <v>#VALUE!</v>
      </c>
      <c r="J71" s="282" t="e">
        <f>IF(VLOOKUP(T_Convention[[#This Row],[NumL]],T_suiviDi[#Data],COLUMN(T_suiviDi[[#This Row],[Fonction]]),FALSE)="","",VLOOKUP(T_Convention[[#This Row],[NumL]],T_suiviDi[#Data],COLUMN(T_suiviDi[[#This Row],[Fonction]]),FALSE))</f>
        <v>#VALUE!</v>
      </c>
      <c r="K71" s="282" t="e">
        <f>IF(VLOOKUP(T_Convention[[#This Row],[NumL]],T_suiviDi[#Data],COLUMN(T_suiviDi[[#This Row],[Grade]]),FALSE)="","",VLOOKUP(T_Convention[[#This Row],[NumL]],T_suiviDi[#Data],COLUMN(T_suiviDi[[#This Row],[Grade]]),FALSE))</f>
        <v>#VALUE!</v>
      </c>
      <c r="L71" s="282" t="e">
        <f>IF(VLOOKUP(T_Convention[[#This Row],[NumL]],T_suiviDi[#Data],COLUMN(T_suiviDi[[#This Row],[Service ]]),FALSE)="","",VLOOKUP(T_Convention[[#This Row],[NumL]],T_suiviDi[#Data],COLUMN(T_suiviDi[[#This Row],[Service ]]),FALSE))</f>
        <v>#VALUE!</v>
      </c>
      <c r="M71" s="164" t="str">
        <f t="shared" si="6"/>
        <v>01 septembre 2021</v>
      </c>
      <c r="N71" s="164" t="str">
        <f t="shared" si="7"/>
        <v>30 novembre 2021</v>
      </c>
      <c r="O71" s="284" t="str">
        <f t="shared" si="8"/>
        <v>30 novembre 2021</v>
      </c>
      <c r="P71" s="282" t="e">
        <f>IF(VLOOKUP(T_Convention[[#This Row],[NumL]],T_TraitDi[#Data],COLUMN(T_TraitDi[M1]),FALSE)="","",VLOOKUP(T_Convention[[#This Row],[NumL]],T_TraitDi[#Data],COLUMN(T_TraitDi[M1]),FALSE))</f>
        <v>#N/A</v>
      </c>
      <c r="Q71" s="282" t="e">
        <f>IF(VLOOKUP(T_Convention[[#This Row],[NumL]],T_TraitDi[#Data],COLUMN(T_TraitDi[M2]),FALSE)="","",VLOOKUP(T_Convention[[#This Row],[NumL]],T_TraitDi[#Data],COLUMN(T_TraitDi[M2]),FALSE))</f>
        <v>#N/A</v>
      </c>
      <c r="R71" s="282" t="e">
        <f>IF(VLOOKUP(T_Convention[[#This Row],[NumL]],T_TraitDi[#Data],COLUMN(T_TraitDi[M3]),FALSE)="","",VLOOKUP(T_Convention[[#This Row],[NumL]],T_TraitDi[#Data],COLUMN(T_TraitDi[M3]),FALSE))</f>
        <v>#N/A</v>
      </c>
      <c r="S71" s="282" t="e">
        <f>IF(VLOOKUP(T_Convention[[#This Row],[NumL]],T_TraitDi[#Data],COLUMN(T_TraitDi[M4]),FALSE)="","",VLOOKUP(T_Convention[[#This Row],[NumL]],T_TraitDi[#Data],COLUMN(T_TraitDi[M4]),FALSE))</f>
        <v>#N/A</v>
      </c>
      <c r="T71" s="282" t="e">
        <f>IF(VLOOKUP(T_Convention[[#This Row],[NumL]],T_TraitDi[#Data],COLUMN(T_TraitDi[M5]),FALSE)="","",VLOOKUP(T_Convention[[#This Row],[NumL]],T_TraitDi[#Data],COLUMN(T_TraitDi[M5]),FALSE))</f>
        <v>#N/A</v>
      </c>
      <c r="U71" s="282" t="e">
        <f>IF(VLOOKUP(T_Convention[[#This Row],[NumL]],T_TraitDi[#Data],COLUMN(T_TraitDi[M6]),FALSE)="","",VLOOKUP(T_Convention[[#This Row],[NumL]],T_TraitDi[#Data],COLUMN(T_TraitDi[M6]),FALSE))</f>
        <v>#N/A</v>
      </c>
      <c r="V71" s="176" t="e">
        <f t="shared" si="9"/>
        <v>#N/A</v>
      </c>
      <c r="W71" s="284" t="str">
        <f>IFERROR(TEXT(VLOOKUP(T_Convention[[#This Row],[NumL]],T_TraitDi[#Data],COLUMN(T_TraitDi[Q2]),FALSE),"###%"),"")</f>
        <v/>
      </c>
      <c r="X71" s="97" t="e">
        <f>VLOOKUP(T_Convention[[#This Row],[NumL]],T_TraitDi[#Data],COLUMN(T_TraitDi[Reg Ponct]),FALSE)</f>
        <v>#N/A</v>
      </c>
      <c r="Y71" s="97" t="e">
        <f>VLOOKUP(T_Convention[NumL],T_TraitDi[#Data],COLUMN(T_TraitDi[Jours flottants]),FALSE)</f>
        <v>#N/A</v>
      </c>
      <c r="Z71" s="284" t="str">
        <f>IFERROR(VLOOKUP(T_Convention[[#This Row],[NumL]],T_TraitDi[#Data],COLUMN(T_TraitDi[Lundi]),FALSE),"")</f>
        <v/>
      </c>
      <c r="AA71" s="284" t="e">
        <f>IF(VLOOKUP(T_Convention[[#This Row],[NumL]],T_TraitDi[#Data],COLUMN(T_TraitDi[Colonne3]),FALSE)=0,"",TEXT(IFERROR(VLOOKUP(T_Convention[[#This Row],[NumL]],T_TraitDi[#Data],COLUMN(T_TraitDi[Colonne3]),FALSE),""),"[hh]:mm"))</f>
        <v>#N/A</v>
      </c>
      <c r="AB71" s="284" t="e">
        <f>IF(VLOOKUP(T_Convention[[#This Row],[NumL]],T_TraitDi[#Data],COLUMN(T_TraitDi[Colonne4]),FALSE)=0,"",TEXT(IFERROR(VLOOKUP(T_Convention[[#This Row],[NumL]],T_TraitDi[#Data],COLUMN(T_TraitDi[Colonne4]),FALSE),""),"[hh]:mm"))</f>
        <v>#N/A</v>
      </c>
      <c r="AC71" s="284" t="e">
        <f>IF(VLOOKUP(T_Convention[[#This Row],[NumL]],T_TraitDi[#Data],COLUMN(T_TraitDi[Colonne5]),FALSE)=0,"",TEXT(IFERROR(VLOOKUP(T_Convention[[#This Row],[NumL]],T_TraitDi[#Data],COLUMN(T_TraitDi[Colonne5]),FALSE),""),"[hh]:mm"))</f>
        <v>#N/A</v>
      </c>
      <c r="AD71" s="284" t="e">
        <f>IF(VLOOKUP(T_Convention[[#This Row],[NumL]],T_TraitDi[#Data],COLUMN(T_TraitDi[Colonne6]),FALSE)=0,"",TEXT(IFERROR(VLOOKUP(T_Convention[[#This Row],[NumL]],T_TraitDi[#Data],COLUMN(T_TraitDi[Colonne6]),FALSE),""),"[hh]:mm"))</f>
        <v>#N/A</v>
      </c>
      <c r="AE71" s="284" t="e">
        <f>IF(VLOOKUP(T_Convention[[#This Row],[NumL]],T_TraitDi[#Data],COLUMN(T_TraitDi[Colonne7]),FALSE)=0,"",TEXT(IFERROR(VLOOKUP(T_Convention[[#This Row],[NumL]],T_TraitDi[#Data],COLUMN(T_TraitDi[Colonne7]),FALSE),""),"[hh]:mm"))</f>
        <v>#N/A</v>
      </c>
      <c r="AF71" s="284" t="e">
        <f>IF(VLOOKUP(T_Convention[[#This Row],[NumL]],T_TraitDi[#Data],COLUMN(T_TraitDi[Colonne8]),FALSE)=0,"",TEXT(IFERROR(VLOOKUP(T_Convention[[#This Row],[NumL]],T_TraitDi[#Data],COLUMN(T_TraitDi[Colonne8]),FALSE),""),"[hh]:mm"))</f>
        <v>#N/A</v>
      </c>
      <c r="AG71" s="284" t="str">
        <f>IFERROR(VLOOKUP(T_Convention[[#This Row],[NumL]],T_TraitDi[#Data],COLUMN(T_TraitDi[Mardi]),FALSE),"")</f>
        <v/>
      </c>
      <c r="AH71" s="284" t="e">
        <f>IF(VLOOKUP(T_Convention[[#This Row],[NumL]],T_TraitDi[#Data],COLUMN(T_TraitDi[Colonne1]),FALSE)=0,"",TEXT(IFERROR(VLOOKUP(T_Convention[[#This Row],[NumL]],T_TraitDi[#Data],COLUMN(T_TraitDi[Colonne1]),FALSE),""),"[hh]:mm"))</f>
        <v>#N/A</v>
      </c>
      <c r="AI71" s="284" t="e">
        <f>IF(VLOOKUP(T_Convention[[#This Row],[NumL]],T_TraitDi[#Data],COLUMN(T_TraitDi[Colonne9]),FALSE)=0,"",TEXT(IFERROR(VLOOKUP(T_Convention[[#This Row],[NumL]],T_TraitDi[#Data],COLUMN(T_TraitDi[Colonne9]),FALSE),""),"[hh]:mm"))</f>
        <v>#N/A</v>
      </c>
      <c r="AJ71" s="284" t="str">
        <f>IFERROR(VLOOKUP(T_Convention[[#This Row],[NumL]],T_TraitDi[#Data],COLUMN(T_TraitDi[Colonne10]),FALSE),"")</f>
        <v/>
      </c>
      <c r="AK71" s="284" t="e">
        <f>IF(VLOOKUP(T_Convention[[#This Row],[NumL]],T_TraitDi[#Data],COLUMN(T_TraitDi[Colonne11]),FALSE)=0,"",TEXT(IFERROR(VLOOKUP(T_Convention[[#This Row],[NumL]],T_TraitDi[#Data],COLUMN(T_TraitDi[Colonne11]),FALSE),""),"[hh]:mm"))</f>
        <v>#N/A</v>
      </c>
      <c r="AL71" s="284" t="e">
        <f>IF(VLOOKUP(T_Convention[[#This Row],[NumL]],T_TraitDi[#Data],COLUMN(T_TraitDi[Colonne12]),FALSE)=0,"",TEXT(IFERROR(VLOOKUP(T_Convention[[#This Row],[NumL]],T_TraitDi[#Data],COLUMN(T_TraitDi[Colonne12]),FALSE),""),"[hh]:mm"))</f>
        <v>#N/A</v>
      </c>
      <c r="AM71" s="284" t="e">
        <f>IF(VLOOKUP(T_Convention[[#This Row],[NumL]],T_TraitDi[#Data],COLUMN(T_TraitDi[Colonne14]),FALSE)=0,"",TEXT(IFERROR(VLOOKUP(T_Convention[[#This Row],[NumL]],T_TraitDi[#Data],COLUMN(T_TraitDi[Colonne14]),FALSE),""),"[hh]:mm"))</f>
        <v>#N/A</v>
      </c>
      <c r="AN71" s="284" t="str">
        <f>IFERROR(VLOOKUP(T_Convention[[#This Row],[NumL]],T_TraitDi[#Data],COLUMN(T_TraitDi[Mercredi]),FALSE),"")</f>
        <v/>
      </c>
      <c r="AO71" s="284" t="e">
        <f>IF(VLOOKUP(T_Convention[[#This Row],[NumL]],T_TraitDi[#Data],COLUMN(T_TraitDi[Colonne15]),FALSE)=0,"",TEXT(IFERROR(VLOOKUP(T_Convention[[#This Row],[NumL]],T_TraitDi[#Data],COLUMN(T_TraitDi[Colonne15]),FALSE),""),"[hh]:mm"))</f>
        <v>#N/A</v>
      </c>
      <c r="AP71" s="284" t="e">
        <f>IF(VLOOKUP(T_Convention[[#This Row],[NumL]],T_TraitDi[#Data],COLUMN(T_TraitDi[Colonne16]),FALSE)=0,"",TEXT(IFERROR(VLOOKUP(T_Convention[[#This Row],[NumL]],T_TraitDi[#Data],COLUMN(T_TraitDi[Colonne16]),FALSE),""),"[hh]:mm"))</f>
        <v>#N/A</v>
      </c>
      <c r="AQ71" s="284" t="str">
        <f>IFERROR(VLOOKUP(T_Convention[[#This Row],[NumL]],T_TraitDi[#Data],COLUMN(T_TraitDi[Colonne17]),FALSE),"")</f>
        <v/>
      </c>
      <c r="AR71" s="284" t="e">
        <f>IF(VLOOKUP(T_Convention[[#This Row],[NumL]],T_TraitDi[#Data],COLUMN(T_TraitDi[Colonne18]),FALSE)=0,"",TEXT(IFERROR(VLOOKUP(T_Convention[[#This Row],[NumL]],T_TraitDi[#Data],COLUMN(T_TraitDi[Colonne18]),FALSE),""),"[hh]:mm"))</f>
        <v>#N/A</v>
      </c>
      <c r="AS71" s="284" t="e">
        <f>IF(VLOOKUP(T_Convention[[#This Row],[NumL]],T_TraitDi[#Data],COLUMN(T_TraitDi[Colonne19]),FALSE)=0,"",TEXT(IFERROR(VLOOKUP(T_Convention[[#This Row],[NumL]],T_TraitDi[#Data],COLUMN(T_TraitDi[Colonne19]),FALSE),""),"[hh]:mm"))</f>
        <v>#N/A</v>
      </c>
      <c r="AT71" s="284" t="e">
        <f>IF(VLOOKUP(T_Convention[[#This Row],[NumL]],T_TraitDi[#Data],COLUMN(T_TraitDi[Colonne20]),FALSE)=0,"",TEXT(IFERROR(VLOOKUP(T_Convention[[#This Row],[NumL]],T_TraitDi[#Data],COLUMN(T_TraitDi[Colonne20]),FALSE),""),"[hh]:mm"))</f>
        <v>#N/A</v>
      </c>
      <c r="AU71" s="284" t="str">
        <f>IFERROR(VLOOKUP(T_Convention[[#This Row],[NumL]],T_TraitDi[#Data],COLUMN(T_TraitDi[Jeudi]),FALSE),"")</f>
        <v/>
      </c>
      <c r="AV71" s="284" t="e">
        <f>IF(VLOOKUP(T_Convention[[#This Row],[NumL]],T_TraitDi[#Data],COLUMN(T_TraitDi[Colonne21]),FALSE)=0,"",TEXT(IFERROR(VLOOKUP(T_Convention[[#This Row],[NumL]],T_TraitDi[#Data],COLUMN(T_TraitDi[Colonne21]),FALSE),""),"[hh]:mm"))</f>
        <v>#N/A</v>
      </c>
      <c r="AW71" s="284" t="e">
        <f>IF(VLOOKUP(T_Convention[[#This Row],[NumL]],T_TraitDi[#Data],COLUMN(T_TraitDi[Colonne22]),FALSE)=0,"",TEXT(IFERROR(VLOOKUP(T_Convention[[#This Row],[NumL]],T_TraitDi[#Data],COLUMN(T_TraitDi[Colonne22]),FALSE),""),"[hh]:mm"))</f>
        <v>#N/A</v>
      </c>
      <c r="AX71" s="284" t="str">
        <f>IFERROR(VLOOKUP(T_Convention[[#This Row],[NumL]],T_TraitDi[#Data],COLUMN(T_TraitDi[Colonne23]),FALSE),"")</f>
        <v/>
      </c>
      <c r="AY71" s="284" t="e">
        <f>IF(VLOOKUP(T_Convention[[#This Row],[NumL]],T_TraitDi[#Data],COLUMN(T_TraitDi[Colonne24]),FALSE)=0,"",TEXT(IFERROR(VLOOKUP(T_Convention[[#This Row],[NumL]],T_TraitDi[#Data],COLUMN(T_TraitDi[Colonne24]),FALSE),""),"[hh]:mm"))</f>
        <v>#N/A</v>
      </c>
      <c r="AZ71" s="284" t="e">
        <f>IF(VLOOKUP(T_Convention[[#This Row],[NumL]],T_TraitDi[#Data],COLUMN(T_TraitDi[Colonne25]),FALSE)=0,"",TEXT(IFERROR(VLOOKUP(T_Convention[[#This Row],[NumL]],T_TraitDi[#Data],COLUMN(T_TraitDi[Colonne25]),FALSE),""),"[hh]:mm"))</f>
        <v>#N/A</v>
      </c>
      <c r="BA71" s="284" t="e">
        <f>IF(VLOOKUP(T_Convention[[#This Row],[NumL]],T_TraitDi[#Data],COLUMN(T_TraitDi[Colonne26]),FALSE)=0,"",TEXT(IFERROR(VLOOKUP(T_Convention[[#This Row],[NumL]],T_TraitDi[#Data],COLUMN(T_TraitDi[Colonne26]),FALSE),""),"[hh]:mm"))</f>
        <v>#N/A</v>
      </c>
      <c r="BB71" s="284" t="str">
        <f>IFERROR(VLOOKUP(T_Convention[[#This Row],[NumL]],T_TraitDi[#Data],COLUMN(T_TraitDi[Vendredi]),FALSE),"")</f>
        <v/>
      </c>
      <c r="BC71" s="284" t="e">
        <f>IF(VLOOKUP(T_Convention[[#This Row],[NumL]],T_TraitDi[#Data],COLUMN(T_TraitDi[Colonne27]),FALSE)=0,"",TEXT(IFERROR(VLOOKUP(T_Convention[[#This Row],[NumL]],T_TraitDi[#Data],COLUMN(T_TraitDi[Colonne27]),FALSE),""),"[hh]:mm"))</f>
        <v>#N/A</v>
      </c>
      <c r="BD71" s="284" t="e">
        <f>IF(VLOOKUP(T_Convention[[#This Row],[NumL]],T_TraitDi[#Data],COLUMN(T_TraitDi[Colonne28]),FALSE)=0,"",TEXT(IFERROR(VLOOKUP(T_Convention[[#This Row],[NumL]],T_TraitDi[#Data],COLUMN(T_TraitDi[Colonne28]),FALSE),""),"[hh]:mm"))</f>
        <v>#N/A</v>
      </c>
      <c r="BE71" s="284" t="str">
        <f>IFERROR(VLOOKUP(T_Convention[[#This Row],[NumL]],T_TraitDi[#Data],COLUMN(T_TraitDi[Colonne29]),FALSE),"")</f>
        <v/>
      </c>
      <c r="BF71" s="284" t="e">
        <f>IF(VLOOKUP(T_Convention[[#This Row],[NumL]],T_TraitDi[#Data],COLUMN(T_TraitDi[Colonne30]),FALSE)=0,"",TEXT(IFERROR(VLOOKUP(T_Convention[[#This Row],[NumL]],T_TraitDi[#Data],COLUMN(T_TraitDi[Colonne30]),FALSE),""),"[hh]:mm"))</f>
        <v>#N/A</v>
      </c>
      <c r="BG71" s="284" t="e">
        <f>IF(VLOOKUP(T_Convention[[#This Row],[NumL]],T_TraitDi[#Data],COLUMN(T_TraitDi[Colonne31]),FALSE)=0,"",TEXT(IFERROR(VLOOKUP(T_Convention[[#This Row],[NumL]],T_TraitDi[#Data],COLUMN(T_TraitDi[Colonne31]),FALSE),""),"[hh]:mm"))</f>
        <v>#N/A</v>
      </c>
      <c r="BH71" s="284" t="e">
        <f>IF(VLOOKUP(T_Convention[[#This Row],[NumL]],T_TraitDi[#Data],COLUMN(T_TraitDi[Colonne32]),FALSE)=0,"",TEXT(IFERROR(VLOOKUP(T_Convention[[#This Row],[NumL]],T_TraitDi[#Data],COLUMN(T_TraitDi[Colonne32]),FALSE),""),"[hh]:mm"))</f>
        <v>#N/A</v>
      </c>
      <c r="BI71" s="284" t="str">
        <f>IFERROR(VLOOKUP(T_Convention[[#This Row],[NumL]],T_TraitDi[#Data],COLUMN(T_TraitDi[NbJTW]),FALSE),"")</f>
        <v/>
      </c>
      <c r="BJ71" s="284" t="e">
        <f>IF(VLOOKUP(T_Convention[[#This Row],[NumL]],T_TraitDi[#Data],COLUMN(T_TraitDi[NbhTW]),FALSE)=0,"",TEXT(IFERROR(VLOOKUP(T_Convention[[#This Row],[NumL]],T_TraitDi[#Data],COLUMN(T_TraitDi[NbhTW]),FALSE),""),"[hh]:mm"))</f>
        <v>#N/A</v>
      </c>
      <c r="BK71" s="286" t="e">
        <f>IF(VLOOKUP(T_Convention[[#This Row],[NumL]],T_TraitDi[#Data],COLUMN(T_TraitDi[Nbhheb]),FALSE)=0,"",TEXT(IFERROR(VLOOKUP(T_Convention[[#This Row],[NumL]],T_TraitDi[#Data],COLUMN(T_TraitDi[Nbhheb]),FALSE),""),"[hh]:mm"))</f>
        <v>#N/A</v>
      </c>
      <c r="BL71" s="287" t="str">
        <f>IFERROR(VLOOKUP(VLOOKUP(T_Convention[[#This Row],[NumL]],T_TraitDi[#Data],COLUMN(T_TraitDi[Type1]),FALSE),TypeTW,2,FALSE),"")</f>
        <v/>
      </c>
      <c r="BM71" s="288" t="str">
        <f>IFERROR(VLOOKUP(T_Convention[[#This Row],[NumL]],T_TraitDi[#Data],COLUMN(T_TraitDi[Rue1]),FALSE),"")</f>
        <v/>
      </c>
      <c r="BN71" s="289" t="str">
        <f>IFERROR(VLOOKUP(T_Convention[[#This Row],[NumL]],T_TraitDi[#Data],COLUMN(T_TraitDi[CP1]),FALSE),"")</f>
        <v/>
      </c>
      <c r="BO71" s="282" t="str">
        <f>IFERROR(VLOOKUP(T_Convention[[#This Row],[NumL]],T_TraitDi[#Data],COLUMN(T_TraitDi[VILLE1]),FALSE),"")</f>
        <v/>
      </c>
      <c r="BP71" s="290" t="str">
        <f>IFERROR(VLOOKUP(VLOOKUP(T_Convention[[#This Row],[NumL]],T_TraitDi[#Data],COLUMN(T_TraitDi[Type2]),FALSE),TypeTW,2,FALSE),"")</f>
        <v/>
      </c>
      <c r="BQ71" s="182" t="str">
        <f>IFERROR(VLOOKUP(T_Convention[[#This Row],[NumL]],T_TraitDi[#Data],COLUMN(T_TraitDi[Rue2]),FALSE),"")</f>
        <v/>
      </c>
      <c r="BR71" s="173" t="str">
        <f>IFERROR(VLOOKUP(T_Convention[[#This Row],[NumL]],T_TraitDi[#Data],COLUMN(T_TraitDi[CP2]),FALSE),"")</f>
        <v/>
      </c>
      <c r="BS71" s="173" t="str">
        <f>IFERROR(VLOOKUP(T_Convention[[#This Row],[NumL]],T_TraitDi[#Data],COLUMN(T_TraitDi[VILLE2]),FALSE),"")</f>
        <v/>
      </c>
      <c r="BT71" s="182" t="str">
        <f>IF(VLOOKUP(T_Convention[[#This Row],[NumL]],T_Equipement[#Data],COLUMN(T_Equipement[PC]),FALSE)="","Aucun équipement spécifique directement lié au télétravail",VLOOKUP(T_Convention[[#This Row],[NumL]],T_Equipement[#Data],COLUMN(T_Equipement[PC]),FALSE))</f>
        <v xml:space="preserve">20-337	</v>
      </c>
      <c r="BU71" s="166" t="str">
        <f>IFERROR(IF(VLOOKUP(T_Convention[[#This Row],[NumL]],T_TraitDi[#Data],COLUMN(T_TraitDi[Plan]),FALSE)="OK","Un planning spécifique de télétravail est annexé à la présente convention.",""),"")</f>
        <v/>
      </c>
      <c r="BV71" s="185" t="s">
        <v>3404</v>
      </c>
      <c r="BW71" s="164" t="e">
        <f>IF(VLOOKUP(T_Convention[[#This Row],[NumL]],T_suiviDi[#Data],COLUMN(T_suiviDi[Entité]),FALSE)="","",VLOOKUP(T_Convention[[#This Row],[NumL]],T_suiviDi[#Data],COLUMN(T_suiviDi[Entité]),FALSE))</f>
        <v>#N/A</v>
      </c>
      <c r="BX71" s="164" t="str">
        <f>IF(VLOOKUP(T_Convention[[#This Row],[NumL]],T_Commission[#Data],COLUMN(T_Commission[envoi confirm TW]),FALSE)="","",VLOOKUP(T_Convention[[#This Row],[NumL]],T_Commission[#Data],COLUMN(T_Commission[envoi confirm TW]),FALSE))</f>
        <v>Oui</v>
      </c>
      <c r="BY7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1" s="264">
        <f>VLOOKUP(T_Convention[[#This Row],[NumL]],T_Commission[#Data],COLUMN(T_Commission[Commentaire]),FALSE)</f>
        <v>0</v>
      </c>
      <c r="CA71" s="254" t="str">
        <f>IF(VLOOKUP(T_Convention[[#This Row],[NumL]],T_Commission[#Data],COLUMN(T_Commission[Encadrant Email]),FALSE)="","",VLOOKUP(T_Convention[[#This Row],[NumL]],T_Commission[#Data],COLUMN(T_Commission[Encadrant Email]),FALSE))</f>
        <v/>
      </c>
      <c r="CB71" s="352" t="e">
        <f>VLOOKUP(T_Convention[[#This Row],[NumL]],T_TraitDi[#Data],COLUMN(T_TraitDi[NbJTot]),FALSE)</f>
        <v>#N/A</v>
      </c>
      <c r="CC71" s="352" t="e">
        <f>VLOOKUP(T_Convention[[#This Row],[NumL]],T_TraitDi[#Data],COLUMN(T_TraitDi[Reg Ponct]),FALSE)</f>
        <v>#N/A</v>
      </c>
      <c r="CD71" s="348" t="str">
        <f>IF(T_Convention[[#This Row],[Final]]&lt;&gt;"",VLOOKUP(T_Convention[[#This Row],[NumL]],T_suiviDi[#Data],COLUMN((T_suiviDi[Statut])),FALSE),"")</f>
        <v/>
      </c>
    </row>
    <row r="72" spans="1:82" s="106" customFormat="1" ht="18.75" customHeight="1" x14ac:dyDescent="0.25">
      <c r="A72" s="160">
        <v>260</v>
      </c>
      <c r="B72" s="161" t="str">
        <f>VLOOKUP(T_Convention[[#This Row],[NumL]],T_Commission[#Data],COLUMN(T_Commission[FINAL]),FALSE)</f>
        <v/>
      </c>
      <c r="C72" s="162"/>
      <c r="D72" s="95" t="e">
        <f>IF(VLOOKUP(T_Convention[[#This Row],[NumL]],T_TraitDi[#Data],COLUMN(T_TraitDi[WebC]),FALSE)="","",VLOOKUP(T_Convention[[#This Row],[NumL]],T_TraitDi[#Data],COLUMN(T_TraitDi[WebC]),FALSE))</f>
        <v>#N/A</v>
      </c>
      <c r="E72" s="163" t="str">
        <f t="shared" si="5"/>
        <v>12 janvier 2021</v>
      </c>
      <c r="F72" s="282" t="str">
        <f>IF(T_Convention[[#This Row],[Final]]&lt;&gt;"",VLOOKUP(T_Convention[[#This Row],[NumL]],T_suiviDi[#Data],COLUMN((T_suiviDi[Civ.])),FALSE),"")</f>
        <v/>
      </c>
      <c r="G72" s="283" t="str">
        <f>IF(T_Convention[[#This Row],[Final]]&lt;&gt;"",VLOOKUP(T_Convention[[#This Row],[NumL]],T_suiviDi[#Data],COLUMN((T_suiviDi[Nom])),FALSE),"")</f>
        <v/>
      </c>
      <c r="H72" s="282" t="str">
        <f>IF(T_Convention[[#This Row],[Final]]&lt;&gt;"",VLOOKUP(T_Convention[[#This Row],[NumL]],T_suiviDi[#Data],COLUMN((T_suiviDi[Prénom])),FALSE),"")</f>
        <v/>
      </c>
      <c r="I72" s="282" t="e">
        <f>VLOOKUP(T_Convention[[#This Row],[NumL]],T_suiviDi[#Data],COLUMN((T_suiviDi[[#This Row],[Email]])),FALSE)</f>
        <v>#VALUE!</v>
      </c>
      <c r="J72" s="282" t="e">
        <f>IF(VLOOKUP(T_Convention[[#This Row],[NumL]],T_suiviDi[#Data],COLUMN(T_suiviDi[[#This Row],[Fonction]]),FALSE)="","",VLOOKUP(T_Convention[[#This Row],[NumL]],T_suiviDi[#Data],COLUMN(T_suiviDi[[#This Row],[Fonction]]),FALSE))</f>
        <v>#VALUE!</v>
      </c>
      <c r="K72" s="282" t="e">
        <f>IF(VLOOKUP(T_Convention[[#This Row],[NumL]],T_suiviDi[#Data],COLUMN(T_suiviDi[[#This Row],[Grade]]),FALSE)="","",VLOOKUP(T_Convention[[#This Row],[NumL]],T_suiviDi[#Data],COLUMN(T_suiviDi[[#This Row],[Grade]]),FALSE))</f>
        <v>#VALUE!</v>
      </c>
      <c r="L72" s="282" t="e">
        <f>IF(VLOOKUP(T_Convention[[#This Row],[NumL]],T_suiviDi[#Data],COLUMN(T_suiviDi[[#This Row],[Service ]]),FALSE)="","",VLOOKUP(T_Convention[[#This Row],[NumL]],T_suiviDi[#Data],COLUMN(T_suiviDi[[#This Row],[Service ]]),FALSE))</f>
        <v>#VALUE!</v>
      </c>
      <c r="M72" s="164" t="str">
        <f t="shared" si="6"/>
        <v>01 septembre 2021</v>
      </c>
      <c r="N72" s="164" t="str">
        <f t="shared" si="7"/>
        <v>30 novembre 2021</v>
      </c>
      <c r="O72" s="284" t="str">
        <f t="shared" si="8"/>
        <v>30 novembre 2021</v>
      </c>
      <c r="P72" s="282" t="e">
        <f>IF(VLOOKUP(T_Convention[[#This Row],[NumL]],T_TraitDi[#Data],COLUMN(T_TraitDi[M1]),FALSE)="","",VLOOKUP(T_Convention[[#This Row],[NumL]],T_TraitDi[#Data],COLUMN(T_TraitDi[M1]),FALSE))</f>
        <v>#N/A</v>
      </c>
      <c r="Q72" s="282" t="e">
        <f>IF(VLOOKUP(T_Convention[[#This Row],[NumL]],T_TraitDi[#Data],COLUMN(T_TraitDi[M2]),FALSE)="","",VLOOKUP(T_Convention[[#This Row],[NumL]],T_TraitDi[#Data],COLUMN(T_TraitDi[M2]),FALSE))</f>
        <v>#N/A</v>
      </c>
      <c r="R72" s="282" t="e">
        <f>IF(VLOOKUP(T_Convention[[#This Row],[NumL]],T_TraitDi[#Data],COLUMN(T_TraitDi[M3]),FALSE)="","",VLOOKUP(T_Convention[[#This Row],[NumL]],T_TraitDi[#Data],COLUMN(T_TraitDi[M3]),FALSE))</f>
        <v>#N/A</v>
      </c>
      <c r="S72" s="282" t="e">
        <f>IF(VLOOKUP(T_Convention[[#This Row],[NumL]],T_TraitDi[#Data],COLUMN(T_TraitDi[M4]),FALSE)="","",VLOOKUP(T_Convention[[#This Row],[NumL]],T_TraitDi[#Data],COLUMN(T_TraitDi[M4]),FALSE))</f>
        <v>#N/A</v>
      </c>
      <c r="T72" s="282" t="e">
        <f>IF(VLOOKUP(T_Convention[[#This Row],[NumL]],T_TraitDi[#Data],COLUMN(T_TraitDi[M5]),FALSE)="","",VLOOKUP(T_Convention[[#This Row],[NumL]],T_TraitDi[#Data],COLUMN(T_TraitDi[M5]),FALSE))</f>
        <v>#N/A</v>
      </c>
      <c r="U72" s="282" t="e">
        <f>IF(VLOOKUP(T_Convention[[#This Row],[NumL]],T_TraitDi[#Data],COLUMN(T_TraitDi[M6]),FALSE)="","",VLOOKUP(T_Convention[[#This Row],[NumL]],T_TraitDi[#Data],COLUMN(T_TraitDi[M6]),FALSE))</f>
        <v>#N/A</v>
      </c>
      <c r="V72" s="176" t="e">
        <f t="shared" si="9"/>
        <v>#N/A</v>
      </c>
      <c r="W72" s="284" t="str">
        <f>IFERROR(TEXT(VLOOKUP(T_Convention[[#This Row],[NumL]],T_TraitDi[#Data],COLUMN(T_TraitDi[Q2]),FALSE),"###%"),"")</f>
        <v/>
      </c>
      <c r="X72" s="97" t="e">
        <f>VLOOKUP(T_Convention[[#This Row],[NumL]],T_TraitDi[#Data],COLUMN(T_TraitDi[Reg Ponct]),FALSE)</f>
        <v>#N/A</v>
      </c>
      <c r="Y72" s="97" t="e">
        <f>VLOOKUP(T_Convention[NumL],T_TraitDi[#Data],COLUMN(T_TraitDi[Jours flottants]),FALSE)</f>
        <v>#N/A</v>
      </c>
      <c r="Z72" s="284" t="str">
        <f>IFERROR(VLOOKUP(T_Convention[[#This Row],[NumL]],T_TraitDi[#Data],COLUMN(T_TraitDi[Lundi]),FALSE),"")</f>
        <v/>
      </c>
      <c r="AA72" s="284" t="e">
        <f>IF(VLOOKUP(T_Convention[[#This Row],[NumL]],T_TraitDi[#Data],COLUMN(T_TraitDi[Colonne3]),FALSE)=0,"",TEXT(IFERROR(VLOOKUP(T_Convention[[#This Row],[NumL]],T_TraitDi[#Data],COLUMN(T_TraitDi[Colonne3]),FALSE),""),"[hh]:mm"))</f>
        <v>#N/A</v>
      </c>
      <c r="AB72" s="284" t="e">
        <f>IF(VLOOKUP(T_Convention[[#This Row],[NumL]],T_TraitDi[#Data],COLUMN(T_TraitDi[Colonne4]),FALSE)=0,"",TEXT(IFERROR(VLOOKUP(T_Convention[[#This Row],[NumL]],T_TraitDi[#Data],COLUMN(T_TraitDi[Colonne4]),FALSE),""),"[hh]:mm"))</f>
        <v>#N/A</v>
      </c>
      <c r="AC72" s="284" t="e">
        <f>IF(VLOOKUP(T_Convention[[#This Row],[NumL]],T_TraitDi[#Data],COLUMN(T_TraitDi[Colonne5]),FALSE)=0,"",TEXT(IFERROR(VLOOKUP(T_Convention[[#This Row],[NumL]],T_TraitDi[#Data],COLUMN(T_TraitDi[Colonne5]),FALSE),""),"[hh]:mm"))</f>
        <v>#N/A</v>
      </c>
      <c r="AD72" s="284" t="e">
        <f>IF(VLOOKUP(T_Convention[[#This Row],[NumL]],T_TraitDi[#Data],COLUMN(T_TraitDi[Colonne6]),FALSE)=0,"",TEXT(IFERROR(VLOOKUP(T_Convention[[#This Row],[NumL]],T_TraitDi[#Data],COLUMN(T_TraitDi[Colonne6]),FALSE),""),"[hh]:mm"))</f>
        <v>#N/A</v>
      </c>
      <c r="AE72" s="284" t="e">
        <f>IF(VLOOKUP(T_Convention[[#This Row],[NumL]],T_TraitDi[#Data],COLUMN(T_TraitDi[Colonne7]),FALSE)=0,"",TEXT(IFERROR(VLOOKUP(T_Convention[[#This Row],[NumL]],T_TraitDi[#Data],COLUMN(T_TraitDi[Colonne7]),FALSE),""),"[hh]:mm"))</f>
        <v>#N/A</v>
      </c>
      <c r="AF72" s="284" t="e">
        <f>IF(VLOOKUP(T_Convention[[#This Row],[NumL]],T_TraitDi[#Data],COLUMN(T_TraitDi[Colonne8]),FALSE)=0,"",TEXT(IFERROR(VLOOKUP(T_Convention[[#This Row],[NumL]],T_TraitDi[#Data],COLUMN(T_TraitDi[Colonne8]),FALSE),""),"[hh]:mm"))</f>
        <v>#N/A</v>
      </c>
      <c r="AG72" s="284" t="str">
        <f>IFERROR(VLOOKUP(T_Convention[[#This Row],[NumL]],T_TraitDi[#Data],COLUMN(T_TraitDi[Mardi]),FALSE),"")</f>
        <v/>
      </c>
      <c r="AH72" s="284" t="e">
        <f>IF(VLOOKUP(T_Convention[[#This Row],[NumL]],T_TraitDi[#Data],COLUMN(T_TraitDi[Colonne1]),FALSE)=0,"",TEXT(IFERROR(VLOOKUP(T_Convention[[#This Row],[NumL]],T_TraitDi[#Data],COLUMN(T_TraitDi[Colonne1]),FALSE),""),"[hh]:mm"))</f>
        <v>#N/A</v>
      </c>
      <c r="AI72" s="284" t="e">
        <f>IF(VLOOKUP(T_Convention[[#This Row],[NumL]],T_TraitDi[#Data],COLUMN(T_TraitDi[Colonne9]),FALSE)=0,"",TEXT(IFERROR(VLOOKUP(T_Convention[[#This Row],[NumL]],T_TraitDi[#Data],COLUMN(T_TraitDi[Colonne9]),FALSE),""),"[hh]:mm"))</f>
        <v>#N/A</v>
      </c>
      <c r="AJ72" s="284" t="str">
        <f>IFERROR(VLOOKUP(T_Convention[[#This Row],[NumL]],T_TraitDi[#Data],COLUMN(T_TraitDi[Colonne10]),FALSE),"")</f>
        <v/>
      </c>
      <c r="AK72" s="284" t="e">
        <f>IF(VLOOKUP(T_Convention[[#This Row],[NumL]],T_TraitDi[#Data],COLUMN(T_TraitDi[Colonne11]),FALSE)=0,"",TEXT(IFERROR(VLOOKUP(T_Convention[[#This Row],[NumL]],T_TraitDi[#Data],COLUMN(T_TraitDi[Colonne11]),FALSE),""),"[hh]:mm"))</f>
        <v>#N/A</v>
      </c>
      <c r="AL72" s="284" t="e">
        <f>IF(VLOOKUP(T_Convention[[#This Row],[NumL]],T_TraitDi[#Data],COLUMN(T_TraitDi[Colonne12]),FALSE)=0,"",TEXT(IFERROR(VLOOKUP(T_Convention[[#This Row],[NumL]],T_TraitDi[#Data],COLUMN(T_TraitDi[Colonne12]),FALSE),""),"[hh]:mm"))</f>
        <v>#N/A</v>
      </c>
      <c r="AM72" s="284" t="e">
        <f>IF(VLOOKUP(T_Convention[[#This Row],[NumL]],T_TraitDi[#Data],COLUMN(T_TraitDi[Colonne14]),FALSE)=0,"",TEXT(IFERROR(VLOOKUP(T_Convention[[#This Row],[NumL]],T_TraitDi[#Data],COLUMN(T_TraitDi[Colonne14]),FALSE),""),"[hh]:mm"))</f>
        <v>#N/A</v>
      </c>
      <c r="AN72" s="284" t="str">
        <f>IFERROR(VLOOKUP(T_Convention[[#This Row],[NumL]],T_TraitDi[#Data],COLUMN(T_TraitDi[Mercredi]),FALSE),"")</f>
        <v/>
      </c>
      <c r="AO72" s="284" t="e">
        <f>IF(VLOOKUP(T_Convention[[#This Row],[NumL]],T_TraitDi[#Data],COLUMN(T_TraitDi[Colonne15]),FALSE)=0,"",TEXT(IFERROR(VLOOKUP(T_Convention[[#This Row],[NumL]],T_TraitDi[#Data],COLUMN(T_TraitDi[Colonne15]),FALSE),""),"[hh]:mm"))</f>
        <v>#N/A</v>
      </c>
      <c r="AP72" s="284" t="e">
        <f>IF(VLOOKUP(T_Convention[[#This Row],[NumL]],T_TraitDi[#Data],COLUMN(T_TraitDi[Colonne16]),FALSE)=0,"",TEXT(IFERROR(VLOOKUP(T_Convention[[#This Row],[NumL]],T_TraitDi[#Data],COLUMN(T_TraitDi[Colonne16]),FALSE),""),"[hh]:mm"))</f>
        <v>#N/A</v>
      </c>
      <c r="AQ72" s="284" t="str">
        <f>IFERROR(VLOOKUP(T_Convention[[#This Row],[NumL]],T_TraitDi[#Data],COLUMN(T_TraitDi[Colonne17]),FALSE),"")</f>
        <v/>
      </c>
      <c r="AR72" s="284" t="e">
        <f>IF(VLOOKUP(T_Convention[[#This Row],[NumL]],T_TraitDi[#Data],COLUMN(T_TraitDi[Colonne18]),FALSE)=0,"",TEXT(IFERROR(VLOOKUP(T_Convention[[#This Row],[NumL]],T_TraitDi[#Data],COLUMN(T_TraitDi[Colonne18]),FALSE),""),"[hh]:mm"))</f>
        <v>#N/A</v>
      </c>
      <c r="AS72" s="284" t="e">
        <f>IF(VLOOKUP(T_Convention[[#This Row],[NumL]],T_TraitDi[#Data],COLUMN(T_TraitDi[Colonne19]),FALSE)=0,"",TEXT(IFERROR(VLOOKUP(T_Convention[[#This Row],[NumL]],T_TraitDi[#Data],COLUMN(T_TraitDi[Colonne19]),FALSE),""),"[hh]:mm"))</f>
        <v>#N/A</v>
      </c>
      <c r="AT72" s="284" t="e">
        <f>IF(VLOOKUP(T_Convention[[#This Row],[NumL]],T_TraitDi[#Data],COLUMN(T_TraitDi[Colonne20]),FALSE)=0,"",TEXT(IFERROR(VLOOKUP(T_Convention[[#This Row],[NumL]],T_TraitDi[#Data],COLUMN(T_TraitDi[Colonne20]),FALSE),""),"[hh]:mm"))</f>
        <v>#N/A</v>
      </c>
      <c r="AU72" s="284" t="str">
        <f>IFERROR(VLOOKUP(T_Convention[[#This Row],[NumL]],T_TraitDi[#Data],COLUMN(T_TraitDi[Jeudi]),FALSE),"")</f>
        <v/>
      </c>
      <c r="AV72" s="284" t="e">
        <f>IF(VLOOKUP(T_Convention[[#This Row],[NumL]],T_TraitDi[#Data],COLUMN(T_TraitDi[Colonne21]),FALSE)=0,"",TEXT(IFERROR(VLOOKUP(T_Convention[[#This Row],[NumL]],T_TraitDi[#Data],COLUMN(T_TraitDi[Colonne21]),FALSE),""),"[hh]:mm"))</f>
        <v>#N/A</v>
      </c>
      <c r="AW72" s="284" t="e">
        <f>IF(VLOOKUP(T_Convention[[#This Row],[NumL]],T_TraitDi[#Data],COLUMN(T_TraitDi[Colonne22]),FALSE)=0,"",TEXT(IFERROR(VLOOKUP(T_Convention[[#This Row],[NumL]],T_TraitDi[#Data],COLUMN(T_TraitDi[Colonne22]),FALSE),""),"[hh]:mm"))</f>
        <v>#N/A</v>
      </c>
      <c r="AX72" s="284" t="str">
        <f>IFERROR(VLOOKUP(T_Convention[[#This Row],[NumL]],T_TraitDi[#Data],COLUMN(T_TraitDi[Colonne23]),FALSE),"")</f>
        <v/>
      </c>
      <c r="AY72" s="284" t="e">
        <f>IF(VLOOKUP(T_Convention[[#This Row],[NumL]],T_TraitDi[#Data],COLUMN(T_TraitDi[Colonne24]),FALSE)=0,"",TEXT(IFERROR(VLOOKUP(T_Convention[[#This Row],[NumL]],T_TraitDi[#Data],COLUMN(T_TraitDi[Colonne24]),FALSE),""),"[hh]:mm"))</f>
        <v>#N/A</v>
      </c>
      <c r="AZ72" s="284" t="e">
        <f>IF(VLOOKUP(T_Convention[[#This Row],[NumL]],T_TraitDi[#Data],COLUMN(T_TraitDi[Colonne25]),FALSE)=0,"",TEXT(IFERROR(VLOOKUP(T_Convention[[#This Row],[NumL]],T_TraitDi[#Data],COLUMN(T_TraitDi[Colonne25]),FALSE),""),"[hh]:mm"))</f>
        <v>#N/A</v>
      </c>
      <c r="BA72" s="284" t="e">
        <f>IF(VLOOKUP(T_Convention[[#This Row],[NumL]],T_TraitDi[#Data],COLUMN(T_TraitDi[Colonne26]),FALSE)=0,"",TEXT(IFERROR(VLOOKUP(T_Convention[[#This Row],[NumL]],T_TraitDi[#Data],COLUMN(T_TraitDi[Colonne26]),FALSE),""),"[hh]:mm"))</f>
        <v>#N/A</v>
      </c>
      <c r="BB72" s="284" t="str">
        <f>IFERROR(VLOOKUP(T_Convention[[#This Row],[NumL]],T_TraitDi[#Data],COLUMN(T_TraitDi[Vendredi]),FALSE),"")</f>
        <v/>
      </c>
      <c r="BC72" s="284" t="e">
        <f>IF(VLOOKUP(T_Convention[[#This Row],[NumL]],T_TraitDi[#Data],COLUMN(T_TraitDi[Colonne27]),FALSE)=0,"",TEXT(IFERROR(VLOOKUP(T_Convention[[#This Row],[NumL]],T_TraitDi[#Data],COLUMN(T_TraitDi[Colonne27]),FALSE),""),"[hh]:mm"))</f>
        <v>#N/A</v>
      </c>
      <c r="BD72" s="284" t="e">
        <f>IF(VLOOKUP(T_Convention[[#This Row],[NumL]],T_TraitDi[#Data],COLUMN(T_TraitDi[Colonne28]),FALSE)=0,"",TEXT(IFERROR(VLOOKUP(T_Convention[[#This Row],[NumL]],T_TraitDi[#Data],COLUMN(T_TraitDi[Colonne28]),FALSE),""),"[hh]:mm"))</f>
        <v>#N/A</v>
      </c>
      <c r="BE72" s="284" t="str">
        <f>IFERROR(VLOOKUP(T_Convention[[#This Row],[NumL]],T_TraitDi[#Data],COLUMN(T_TraitDi[Colonne29]),FALSE),"")</f>
        <v/>
      </c>
      <c r="BF72" s="284" t="e">
        <f>IF(VLOOKUP(T_Convention[[#This Row],[NumL]],T_TraitDi[#Data],COLUMN(T_TraitDi[Colonne30]),FALSE)=0,"",TEXT(IFERROR(VLOOKUP(T_Convention[[#This Row],[NumL]],T_TraitDi[#Data],COLUMN(T_TraitDi[Colonne30]),FALSE),""),"[hh]:mm"))</f>
        <v>#N/A</v>
      </c>
      <c r="BG72" s="284" t="e">
        <f>IF(VLOOKUP(T_Convention[[#This Row],[NumL]],T_TraitDi[#Data],COLUMN(T_TraitDi[Colonne31]),FALSE)=0,"",TEXT(IFERROR(VLOOKUP(T_Convention[[#This Row],[NumL]],T_TraitDi[#Data],COLUMN(T_TraitDi[Colonne31]),FALSE),""),"[hh]:mm"))</f>
        <v>#N/A</v>
      </c>
      <c r="BH72" s="284" t="e">
        <f>IF(VLOOKUP(T_Convention[[#This Row],[NumL]],T_TraitDi[#Data],COLUMN(T_TraitDi[Colonne32]),FALSE)=0,"",TEXT(IFERROR(VLOOKUP(T_Convention[[#This Row],[NumL]],T_TraitDi[#Data],COLUMN(T_TraitDi[Colonne32]),FALSE),""),"[hh]:mm"))</f>
        <v>#N/A</v>
      </c>
      <c r="BI72" s="284" t="str">
        <f>IFERROR(VLOOKUP(T_Convention[[#This Row],[NumL]],T_TraitDi[#Data],COLUMN(T_TraitDi[NbJTW]),FALSE),"")</f>
        <v/>
      </c>
      <c r="BJ72" s="284" t="e">
        <f>IF(VLOOKUP(T_Convention[[#This Row],[NumL]],T_TraitDi[#Data],COLUMN(T_TraitDi[NbhTW]),FALSE)=0,"",TEXT(IFERROR(VLOOKUP(T_Convention[[#This Row],[NumL]],T_TraitDi[#Data],COLUMN(T_TraitDi[NbhTW]),FALSE),""),"[hh]:mm"))</f>
        <v>#N/A</v>
      </c>
      <c r="BK72" s="286" t="e">
        <f>IF(VLOOKUP(T_Convention[[#This Row],[NumL]],T_TraitDi[#Data],COLUMN(T_TraitDi[Nbhheb]),FALSE)=0,"",TEXT(IFERROR(VLOOKUP(T_Convention[[#This Row],[NumL]],T_TraitDi[#Data],COLUMN(T_TraitDi[Nbhheb]),FALSE),""),"[hh]:mm"))</f>
        <v>#N/A</v>
      </c>
      <c r="BL72" s="287" t="str">
        <f>IFERROR(VLOOKUP(VLOOKUP(T_Convention[[#This Row],[NumL]],T_TraitDi[#Data],COLUMN(T_TraitDi[Type1]),FALSE),TypeTW,2,FALSE),"")</f>
        <v/>
      </c>
      <c r="BM72" s="288" t="str">
        <f>IFERROR(VLOOKUP(T_Convention[[#This Row],[NumL]],T_TraitDi[#Data],COLUMN(T_TraitDi[Rue1]),FALSE),"")</f>
        <v/>
      </c>
      <c r="BN72" s="289" t="str">
        <f>IFERROR(VLOOKUP(T_Convention[[#This Row],[NumL]],T_TraitDi[#Data],COLUMN(T_TraitDi[CP1]),FALSE),"")</f>
        <v/>
      </c>
      <c r="BO72" s="282" t="str">
        <f>IFERROR(VLOOKUP(T_Convention[[#This Row],[NumL]],T_TraitDi[#Data],COLUMN(T_TraitDi[VILLE1]),FALSE),"")</f>
        <v/>
      </c>
      <c r="BP72" s="290" t="str">
        <f>IFERROR(VLOOKUP(VLOOKUP(T_Convention[[#This Row],[NumL]],T_TraitDi[#Data],COLUMN(T_TraitDi[Type2]),FALSE),TypeTW,2,FALSE),"")</f>
        <v/>
      </c>
      <c r="BQ72" s="182" t="str">
        <f>IFERROR(VLOOKUP(T_Convention[[#This Row],[NumL]],T_TraitDi[#Data],COLUMN(T_TraitDi[Rue2]),FALSE),"")</f>
        <v/>
      </c>
      <c r="BR72" s="173" t="str">
        <f>IFERROR(VLOOKUP(T_Convention[[#This Row],[NumL]],T_TraitDi[#Data],COLUMN(T_TraitDi[CP2]),FALSE),"")</f>
        <v/>
      </c>
      <c r="BS72" s="173" t="str">
        <f>IFERROR(VLOOKUP(T_Convention[[#This Row],[NumL]],T_TraitDi[#Data],COLUMN(T_TraitDi[VILLE2]),FALSE),"")</f>
        <v/>
      </c>
      <c r="BT72" s="182" t="str">
        <f>IF(VLOOKUP(T_Convention[[#This Row],[NumL]],T_Equipement[#Data],COLUMN(T_Equipement[PC]),FALSE)="","Aucun équipement spécifique directement lié au télétravail",VLOOKUP(T_Convention[[#This Row],[NumL]],T_Equipement[#Data],COLUMN(T_Equipement[PC]),FALSE))</f>
        <v xml:space="preserve">20-336	</v>
      </c>
      <c r="BU72" s="166" t="str">
        <f>IFERROR(IF(VLOOKUP(T_Convention[[#This Row],[NumL]],T_TraitDi[#Data],COLUMN(T_TraitDi[Plan]),FALSE)="OK","Un planning spécifique de télétravail est annexé à la présente convention.",""),"")</f>
        <v/>
      </c>
      <c r="BV72" s="185" t="s">
        <v>3405</v>
      </c>
      <c r="BW72" s="164" t="e">
        <f>IF(VLOOKUP(T_Convention[[#This Row],[NumL]],T_suiviDi[#Data],COLUMN(T_suiviDi[Entité]),FALSE)="","",VLOOKUP(T_Convention[[#This Row],[NumL]],T_suiviDi[#Data],COLUMN(T_suiviDi[Entité]),FALSE))</f>
        <v>#N/A</v>
      </c>
      <c r="BX72" s="164" t="str">
        <f>IF(VLOOKUP(T_Convention[[#This Row],[NumL]],T_Commission[#Data],COLUMN(T_Commission[envoi confirm TW]),FALSE)="","",VLOOKUP(T_Convention[[#This Row],[NumL]],T_Commission[#Data],COLUMN(T_Commission[envoi confirm TW]),FALSE))</f>
        <v>Oui</v>
      </c>
      <c r="BY7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2" s="264">
        <f>VLOOKUP(T_Convention[[#This Row],[NumL]],T_Commission[#Data],COLUMN(T_Commission[Commentaire]),FALSE)</f>
        <v>0</v>
      </c>
      <c r="CA72" s="254" t="str">
        <f>IF(VLOOKUP(T_Convention[[#This Row],[NumL]],T_Commission[#Data],COLUMN(T_Commission[Encadrant Email]),FALSE)="","",VLOOKUP(T_Convention[[#This Row],[NumL]],T_Commission[#Data],COLUMN(T_Commission[Encadrant Email]),FALSE))</f>
        <v/>
      </c>
      <c r="CB72" s="352" t="e">
        <f>VLOOKUP(T_Convention[[#This Row],[NumL]],T_TraitDi[#Data],COLUMN(T_TraitDi[NbJTot]),FALSE)</f>
        <v>#N/A</v>
      </c>
      <c r="CC72" s="352" t="e">
        <f>VLOOKUP(T_Convention[[#This Row],[NumL]],T_TraitDi[#Data],COLUMN(T_TraitDi[Reg Ponct]),FALSE)</f>
        <v>#N/A</v>
      </c>
      <c r="CD72" s="348" t="str">
        <f>IF(T_Convention[[#This Row],[Final]]&lt;&gt;"",VLOOKUP(T_Convention[[#This Row],[NumL]],T_suiviDi[#Data],COLUMN((T_suiviDi[Statut])),FALSE),"")</f>
        <v/>
      </c>
    </row>
    <row r="73" spans="1:82" s="106" customFormat="1" ht="18.75" customHeight="1" x14ac:dyDescent="0.25">
      <c r="A73" s="160">
        <v>93</v>
      </c>
      <c r="B73" s="161" t="str">
        <f>VLOOKUP(T_Convention[[#This Row],[NumL]],T_Commission[#Data],COLUMN(T_Commission[FINAL]),FALSE)</f>
        <v/>
      </c>
      <c r="C73" s="162"/>
      <c r="D73" s="95" t="e">
        <f>IF(VLOOKUP(T_Convention[[#This Row],[NumL]],T_TraitDi[#Data],COLUMN(T_TraitDi[WebC]),FALSE)="","",VLOOKUP(T_Convention[[#This Row],[NumL]],T_TraitDi[#Data],COLUMN(T_TraitDi[WebC]),FALSE))</f>
        <v>#N/A</v>
      </c>
      <c r="E73" s="163" t="str">
        <f t="shared" si="5"/>
        <v>12 janvier 2021</v>
      </c>
      <c r="F73" s="282" t="str">
        <f>IF(T_Convention[[#This Row],[Final]]&lt;&gt;"",VLOOKUP(T_Convention[[#This Row],[NumL]],T_suiviDi[#Data],COLUMN((T_suiviDi[Civ.])),FALSE),"")</f>
        <v/>
      </c>
      <c r="G73" s="283" t="str">
        <f>IF(T_Convention[[#This Row],[Final]]&lt;&gt;"",VLOOKUP(T_Convention[[#This Row],[NumL]],T_suiviDi[#Data],COLUMN((T_suiviDi[Nom])),FALSE),"")</f>
        <v/>
      </c>
      <c r="H73" s="282" t="str">
        <f>IF(T_Convention[[#This Row],[Final]]&lt;&gt;"",VLOOKUP(T_Convention[[#This Row],[NumL]],T_suiviDi[#Data],COLUMN((T_suiviDi[Prénom])),FALSE),"")</f>
        <v/>
      </c>
      <c r="I73" s="282" t="e">
        <f>VLOOKUP(T_Convention[[#This Row],[NumL]],T_suiviDi[#Data],COLUMN((T_suiviDi[[#This Row],[Email]])),FALSE)</f>
        <v>#VALUE!</v>
      </c>
      <c r="J73" s="282" t="e">
        <f>IF(VLOOKUP(T_Convention[[#This Row],[NumL]],T_suiviDi[#Data],COLUMN(T_suiviDi[[#This Row],[Fonction]]),FALSE)="","",VLOOKUP(T_Convention[[#This Row],[NumL]],T_suiviDi[#Data],COLUMN(T_suiviDi[[#This Row],[Fonction]]),FALSE))</f>
        <v>#VALUE!</v>
      </c>
      <c r="K73" s="282" t="e">
        <f>IF(VLOOKUP(T_Convention[[#This Row],[NumL]],T_suiviDi[#Data],COLUMN(T_suiviDi[[#This Row],[Grade]]),FALSE)="","",VLOOKUP(T_Convention[[#This Row],[NumL]],T_suiviDi[#Data],COLUMN(T_suiviDi[[#This Row],[Grade]]),FALSE))</f>
        <v>#VALUE!</v>
      </c>
      <c r="L73" s="282" t="e">
        <f>IF(VLOOKUP(T_Convention[[#This Row],[NumL]],T_suiviDi[#Data],COLUMN(T_suiviDi[[#This Row],[Service ]]),FALSE)="","",VLOOKUP(T_Convention[[#This Row],[NumL]],T_suiviDi[#Data],COLUMN(T_suiviDi[[#This Row],[Service ]]),FALSE))</f>
        <v>#VALUE!</v>
      </c>
      <c r="M73" s="164" t="str">
        <f t="shared" si="6"/>
        <v>01 septembre 2021</v>
      </c>
      <c r="N73" s="164" t="str">
        <f t="shared" si="7"/>
        <v>30 novembre 2021</v>
      </c>
      <c r="O73" s="284" t="str">
        <f t="shared" si="8"/>
        <v>30 novembre 2021</v>
      </c>
      <c r="P73" s="282" t="e">
        <f>IF(VLOOKUP(T_Convention[[#This Row],[NumL]],T_TraitDi[#Data],COLUMN(T_TraitDi[M1]),FALSE)="","",VLOOKUP(T_Convention[[#This Row],[NumL]],T_TraitDi[#Data],COLUMN(T_TraitDi[M1]),FALSE))</f>
        <v>#N/A</v>
      </c>
      <c r="Q73" s="282" t="e">
        <f>IF(VLOOKUP(T_Convention[[#This Row],[NumL]],T_TraitDi[#Data],COLUMN(T_TraitDi[M2]),FALSE)="","",VLOOKUP(T_Convention[[#This Row],[NumL]],T_TraitDi[#Data],COLUMN(T_TraitDi[M2]),FALSE))</f>
        <v>#N/A</v>
      </c>
      <c r="R73" s="282" t="e">
        <f>IF(VLOOKUP(T_Convention[[#This Row],[NumL]],T_TraitDi[#Data],COLUMN(T_TraitDi[M3]),FALSE)="","",VLOOKUP(T_Convention[[#This Row],[NumL]],T_TraitDi[#Data],COLUMN(T_TraitDi[M3]),FALSE))</f>
        <v>#N/A</v>
      </c>
      <c r="S73" s="282" t="e">
        <f>IF(VLOOKUP(T_Convention[[#This Row],[NumL]],T_TraitDi[#Data],COLUMN(T_TraitDi[M4]),FALSE)="","",VLOOKUP(T_Convention[[#This Row],[NumL]],T_TraitDi[#Data],COLUMN(T_TraitDi[M4]),FALSE))</f>
        <v>#N/A</v>
      </c>
      <c r="T73" s="282" t="e">
        <f>IF(VLOOKUP(T_Convention[[#This Row],[NumL]],T_TraitDi[#Data],COLUMN(T_TraitDi[M5]),FALSE)="","",VLOOKUP(T_Convention[[#This Row],[NumL]],T_TraitDi[#Data],COLUMN(T_TraitDi[M5]),FALSE))</f>
        <v>#N/A</v>
      </c>
      <c r="U73" s="282" t="e">
        <f>IF(VLOOKUP(T_Convention[[#This Row],[NumL]],T_TraitDi[#Data],COLUMN(T_TraitDi[M6]),FALSE)="","",VLOOKUP(T_Convention[[#This Row],[NumL]],T_TraitDi[#Data],COLUMN(T_TraitDi[M6]),FALSE))</f>
        <v>#N/A</v>
      </c>
      <c r="V73" s="176" t="e">
        <f t="shared" si="9"/>
        <v>#N/A</v>
      </c>
      <c r="W73" s="284" t="str">
        <f>IFERROR(TEXT(VLOOKUP(T_Convention[[#This Row],[NumL]],T_TraitDi[#Data],COLUMN(T_TraitDi[Q2]),FALSE),"###%"),"")</f>
        <v/>
      </c>
      <c r="X73" s="97" t="e">
        <f>VLOOKUP(T_Convention[[#This Row],[NumL]],T_TraitDi[#Data],COLUMN(T_TraitDi[Reg Ponct]),FALSE)</f>
        <v>#N/A</v>
      </c>
      <c r="Y73" s="97" t="e">
        <f>VLOOKUP(T_Convention[NumL],T_TraitDi[#Data],COLUMN(T_TraitDi[Jours flottants]),FALSE)</f>
        <v>#N/A</v>
      </c>
      <c r="Z73" s="284" t="str">
        <f>IFERROR(VLOOKUP(T_Convention[[#This Row],[NumL]],T_TraitDi[#Data],COLUMN(T_TraitDi[Lundi]),FALSE),"")</f>
        <v/>
      </c>
      <c r="AA73" s="284" t="e">
        <f>IF(VLOOKUP(T_Convention[[#This Row],[NumL]],T_TraitDi[#Data],COLUMN(T_TraitDi[Colonne3]),FALSE)=0,"",TEXT(IFERROR(VLOOKUP(T_Convention[[#This Row],[NumL]],T_TraitDi[#Data],COLUMN(T_TraitDi[Colonne3]),FALSE),""),"[hh]:mm"))</f>
        <v>#N/A</v>
      </c>
      <c r="AB73" s="284" t="e">
        <f>IF(VLOOKUP(T_Convention[[#This Row],[NumL]],T_TraitDi[#Data],COLUMN(T_TraitDi[Colonne4]),FALSE)=0,"",TEXT(IFERROR(VLOOKUP(T_Convention[[#This Row],[NumL]],T_TraitDi[#Data],COLUMN(T_TraitDi[Colonne4]),FALSE),""),"[hh]:mm"))</f>
        <v>#N/A</v>
      </c>
      <c r="AC73" s="284" t="e">
        <f>IF(VLOOKUP(T_Convention[[#This Row],[NumL]],T_TraitDi[#Data],COLUMN(T_TraitDi[Colonne5]),FALSE)=0,"",TEXT(IFERROR(VLOOKUP(T_Convention[[#This Row],[NumL]],T_TraitDi[#Data],COLUMN(T_TraitDi[Colonne5]),FALSE),""),"[hh]:mm"))</f>
        <v>#N/A</v>
      </c>
      <c r="AD73" s="284" t="e">
        <f>IF(VLOOKUP(T_Convention[[#This Row],[NumL]],T_TraitDi[#Data],COLUMN(T_TraitDi[Colonne6]),FALSE)=0,"",TEXT(IFERROR(VLOOKUP(T_Convention[[#This Row],[NumL]],T_TraitDi[#Data],COLUMN(T_TraitDi[Colonne6]),FALSE),""),"[hh]:mm"))</f>
        <v>#N/A</v>
      </c>
      <c r="AE73" s="284" t="e">
        <f>IF(VLOOKUP(T_Convention[[#This Row],[NumL]],T_TraitDi[#Data],COLUMN(T_TraitDi[Colonne7]),FALSE)=0,"",TEXT(IFERROR(VLOOKUP(T_Convention[[#This Row],[NumL]],T_TraitDi[#Data],COLUMN(T_TraitDi[Colonne7]),FALSE),""),"[hh]:mm"))</f>
        <v>#N/A</v>
      </c>
      <c r="AF73" s="284" t="e">
        <f>IF(VLOOKUP(T_Convention[[#This Row],[NumL]],T_TraitDi[#Data],COLUMN(T_TraitDi[Colonne8]),FALSE)=0,"",TEXT(IFERROR(VLOOKUP(T_Convention[[#This Row],[NumL]],T_TraitDi[#Data],COLUMN(T_TraitDi[Colonne8]),FALSE),""),"[hh]:mm"))</f>
        <v>#N/A</v>
      </c>
      <c r="AG73" s="284" t="str">
        <f>IFERROR(VLOOKUP(T_Convention[[#This Row],[NumL]],T_TraitDi[#Data],COLUMN(T_TraitDi[Mardi]),FALSE),"")</f>
        <v/>
      </c>
      <c r="AH73" s="284" t="e">
        <f>IF(VLOOKUP(T_Convention[[#This Row],[NumL]],T_TraitDi[#Data],COLUMN(T_TraitDi[Colonne1]),FALSE)=0,"",TEXT(IFERROR(VLOOKUP(T_Convention[[#This Row],[NumL]],T_TraitDi[#Data],COLUMN(T_TraitDi[Colonne1]),FALSE),""),"[hh]:mm"))</f>
        <v>#N/A</v>
      </c>
      <c r="AI73" s="284" t="e">
        <f>IF(VLOOKUP(T_Convention[[#This Row],[NumL]],T_TraitDi[#Data],COLUMN(T_TraitDi[Colonne9]),FALSE)=0,"",TEXT(IFERROR(VLOOKUP(T_Convention[[#This Row],[NumL]],T_TraitDi[#Data],COLUMN(T_TraitDi[Colonne9]),FALSE),""),"[hh]:mm"))</f>
        <v>#N/A</v>
      </c>
      <c r="AJ73" s="284" t="str">
        <f>IFERROR(VLOOKUP(T_Convention[[#This Row],[NumL]],T_TraitDi[#Data],COLUMN(T_TraitDi[Colonne10]),FALSE),"")</f>
        <v/>
      </c>
      <c r="AK73" s="284" t="e">
        <f>IF(VLOOKUP(T_Convention[[#This Row],[NumL]],T_TraitDi[#Data],COLUMN(T_TraitDi[Colonne11]),FALSE)=0,"",TEXT(IFERROR(VLOOKUP(T_Convention[[#This Row],[NumL]],T_TraitDi[#Data],COLUMN(T_TraitDi[Colonne11]),FALSE),""),"[hh]:mm"))</f>
        <v>#N/A</v>
      </c>
      <c r="AL73" s="284" t="e">
        <f>IF(VLOOKUP(T_Convention[[#This Row],[NumL]],T_TraitDi[#Data],COLUMN(T_TraitDi[Colonne12]),FALSE)=0,"",TEXT(IFERROR(VLOOKUP(T_Convention[[#This Row],[NumL]],T_TraitDi[#Data],COLUMN(T_TraitDi[Colonne12]),FALSE),""),"[hh]:mm"))</f>
        <v>#N/A</v>
      </c>
      <c r="AM73" s="284" t="e">
        <f>IF(VLOOKUP(T_Convention[[#This Row],[NumL]],T_TraitDi[#Data],COLUMN(T_TraitDi[Colonne14]),FALSE)=0,"",TEXT(IFERROR(VLOOKUP(T_Convention[[#This Row],[NumL]],T_TraitDi[#Data],COLUMN(T_TraitDi[Colonne14]),FALSE),""),"[hh]:mm"))</f>
        <v>#N/A</v>
      </c>
      <c r="AN73" s="284" t="str">
        <f>IFERROR(VLOOKUP(T_Convention[[#This Row],[NumL]],T_TraitDi[#Data],COLUMN(T_TraitDi[Mercredi]),FALSE),"")</f>
        <v/>
      </c>
      <c r="AO73" s="284" t="e">
        <f>IF(VLOOKUP(T_Convention[[#This Row],[NumL]],T_TraitDi[#Data],COLUMN(T_TraitDi[Colonne15]),FALSE)=0,"",TEXT(IFERROR(VLOOKUP(T_Convention[[#This Row],[NumL]],T_TraitDi[#Data],COLUMN(T_TraitDi[Colonne15]),FALSE),""),"[hh]:mm"))</f>
        <v>#N/A</v>
      </c>
      <c r="AP73" s="284" t="e">
        <f>IF(VLOOKUP(T_Convention[[#This Row],[NumL]],T_TraitDi[#Data],COLUMN(T_TraitDi[Colonne16]),FALSE)=0,"",TEXT(IFERROR(VLOOKUP(T_Convention[[#This Row],[NumL]],T_TraitDi[#Data],COLUMN(T_TraitDi[Colonne16]),FALSE),""),"[hh]:mm"))</f>
        <v>#N/A</v>
      </c>
      <c r="AQ73" s="284" t="str">
        <f>IFERROR(VLOOKUP(T_Convention[[#This Row],[NumL]],T_TraitDi[#Data],COLUMN(T_TraitDi[Colonne17]),FALSE),"")</f>
        <v/>
      </c>
      <c r="AR73" s="284" t="e">
        <f>IF(VLOOKUP(T_Convention[[#This Row],[NumL]],T_TraitDi[#Data],COLUMN(T_TraitDi[Colonne18]),FALSE)=0,"",TEXT(IFERROR(VLOOKUP(T_Convention[[#This Row],[NumL]],T_TraitDi[#Data],COLUMN(T_TraitDi[Colonne18]),FALSE),""),"[hh]:mm"))</f>
        <v>#N/A</v>
      </c>
      <c r="AS73" s="284" t="e">
        <f>IF(VLOOKUP(T_Convention[[#This Row],[NumL]],T_TraitDi[#Data],COLUMN(T_TraitDi[Colonne19]),FALSE)=0,"",TEXT(IFERROR(VLOOKUP(T_Convention[[#This Row],[NumL]],T_TraitDi[#Data],COLUMN(T_TraitDi[Colonne19]),FALSE),""),"[hh]:mm"))</f>
        <v>#N/A</v>
      </c>
      <c r="AT73" s="284" t="e">
        <f>IF(VLOOKUP(T_Convention[[#This Row],[NumL]],T_TraitDi[#Data],COLUMN(T_TraitDi[Colonne20]),FALSE)=0,"",TEXT(IFERROR(VLOOKUP(T_Convention[[#This Row],[NumL]],T_TraitDi[#Data],COLUMN(T_TraitDi[Colonne20]),FALSE),""),"[hh]:mm"))</f>
        <v>#N/A</v>
      </c>
      <c r="AU73" s="284" t="str">
        <f>IFERROR(VLOOKUP(T_Convention[[#This Row],[NumL]],T_TraitDi[#Data],COLUMN(T_TraitDi[Jeudi]),FALSE),"")</f>
        <v/>
      </c>
      <c r="AV73" s="284" t="e">
        <f>IF(VLOOKUP(T_Convention[[#This Row],[NumL]],T_TraitDi[#Data],COLUMN(T_TraitDi[Colonne21]),FALSE)=0,"",TEXT(IFERROR(VLOOKUP(T_Convention[[#This Row],[NumL]],T_TraitDi[#Data],COLUMN(T_TraitDi[Colonne21]),FALSE),""),"[hh]:mm"))</f>
        <v>#N/A</v>
      </c>
      <c r="AW73" s="284" t="e">
        <f>IF(VLOOKUP(T_Convention[[#This Row],[NumL]],T_TraitDi[#Data],COLUMN(T_TraitDi[Colonne22]),FALSE)=0,"",TEXT(IFERROR(VLOOKUP(T_Convention[[#This Row],[NumL]],T_TraitDi[#Data],COLUMN(T_TraitDi[Colonne22]),FALSE),""),"[hh]:mm"))</f>
        <v>#N/A</v>
      </c>
      <c r="AX73" s="284" t="str">
        <f>IFERROR(VLOOKUP(T_Convention[[#This Row],[NumL]],T_TraitDi[#Data],COLUMN(T_TraitDi[Colonne23]),FALSE),"")</f>
        <v/>
      </c>
      <c r="AY73" s="284" t="e">
        <f>IF(VLOOKUP(T_Convention[[#This Row],[NumL]],T_TraitDi[#Data],COLUMN(T_TraitDi[Colonne24]),FALSE)=0,"",TEXT(IFERROR(VLOOKUP(T_Convention[[#This Row],[NumL]],T_TraitDi[#Data],COLUMN(T_TraitDi[Colonne24]),FALSE),""),"[hh]:mm"))</f>
        <v>#N/A</v>
      </c>
      <c r="AZ73" s="284" t="e">
        <f>IF(VLOOKUP(T_Convention[[#This Row],[NumL]],T_TraitDi[#Data],COLUMN(T_TraitDi[Colonne25]),FALSE)=0,"",TEXT(IFERROR(VLOOKUP(T_Convention[[#This Row],[NumL]],T_TraitDi[#Data],COLUMN(T_TraitDi[Colonne25]),FALSE),""),"[hh]:mm"))</f>
        <v>#N/A</v>
      </c>
      <c r="BA73" s="284" t="e">
        <f>IF(VLOOKUP(T_Convention[[#This Row],[NumL]],T_TraitDi[#Data],COLUMN(T_TraitDi[Colonne26]),FALSE)=0,"",TEXT(IFERROR(VLOOKUP(T_Convention[[#This Row],[NumL]],T_TraitDi[#Data],COLUMN(T_TraitDi[Colonne26]),FALSE),""),"[hh]:mm"))</f>
        <v>#N/A</v>
      </c>
      <c r="BB73" s="284" t="str">
        <f>IFERROR(VLOOKUP(T_Convention[[#This Row],[NumL]],T_TraitDi[#Data],COLUMN(T_TraitDi[Vendredi]),FALSE),"")</f>
        <v/>
      </c>
      <c r="BC73" s="284" t="e">
        <f>IF(VLOOKUP(T_Convention[[#This Row],[NumL]],T_TraitDi[#Data],COLUMN(T_TraitDi[Colonne27]),FALSE)=0,"",TEXT(IFERROR(VLOOKUP(T_Convention[[#This Row],[NumL]],T_TraitDi[#Data],COLUMN(T_TraitDi[Colonne27]),FALSE),""),"[hh]:mm"))</f>
        <v>#N/A</v>
      </c>
      <c r="BD73" s="284" t="e">
        <f>IF(VLOOKUP(T_Convention[[#This Row],[NumL]],T_TraitDi[#Data],COLUMN(T_TraitDi[Colonne28]),FALSE)=0,"",TEXT(IFERROR(VLOOKUP(T_Convention[[#This Row],[NumL]],T_TraitDi[#Data],COLUMN(T_TraitDi[Colonne28]),FALSE),""),"[hh]:mm"))</f>
        <v>#N/A</v>
      </c>
      <c r="BE73" s="284" t="str">
        <f>IFERROR(VLOOKUP(T_Convention[[#This Row],[NumL]],T_TraitDi[#Data],COLUMN(T_TraitDi[Colonne29]),FALSE),"")</f>
        <v/>
      </c>
      <c r="BF73" s="284" t="e">
        <f>IF(VLOOKUP(T_Convention[[#This Row],[NumL]],T_TraitDi[#Data],COLUMN(T_TraitDi[Colonne30]),FALSE)=0,"",TEXT(IFERROR(VLOOKUP(T_Convention[[#This Row],[NumL]],T_TraitDi[#Data],COLUMN(T_TraitDi[Colonne30]),FALSE),""),"[hh]:mm"))</f>
        <v>#N/A</v>
      </c>
      <c r="BG73" s="284" t="e">
        <f>IF(VLOOKUP(T_Convention[[#This Row],[NumL]],T_TraitDi[#Data],COLUMN(T_TraitDi[Colonne31]),FALSE)=0,"",TEXT(IFERROR(VLOOKUP(T_Convention[[#This Row],[NumL]],T_TraitDi[#Data],COLUMN(T_TraitDi[Colonne31]),FALSE),""),"[hh]:mm"))</f>
        <v>#N/A</v>
      </c>
      <c r="BH73" s="284" t="e">
        <f>IF(VLOOKUP(T_Convention[[#This Row],[NumL]],T_TraitDi[#Data],COLUMN(T_TraitDi[Colonne32]),FALSE)=0,"",TEXT(IFERROR(VLOOKUP(T_Convention[[#This Row],[NumL]],T_TraitDi[#Data],COLUMN(T_TraitDi[Colonne32]),FALSE),""),"[hh]:mm"))</f>
        <v>#N/A</v>
      </c>
      <c r="BI73" s="284" t="str">
        <f>IFERROR(VLOOKUP(T_Convention[[#This Row],[NumL]],T_TraitDi[#Data],COLUMN(T_TraitDi[NbJTW]),FALSE),"")</f>
        <v/>
      </c>
      <c r="BJ73" s="284" t="e">
        <f>IF(VLOOKUP(T_Convention[[#This Row],[NumL]],T_TraitDi[#Data],COLUMN(T_TraitDi[NbhTW]),FALSE)=0,"",TEXT(IFERROR(VLOOKUP(T_Convention[[#This Row],[NumL]],T_TraitDi[#Data],COLUMN(T_TraitDi[NbhTW]),FALSE),""),"[hh]:mm"))</f>
        <v>#N/A</v>
      </c>
      <c r="BK73" s="286" t="e">
        <f>IF(VLOOKUP(T_Convention[[#This Row],[NumL]],T_TraitDi[#Data],COLUMN(T_TraitDi[Nbhheb]),FALSE)=0,"",TEXT(IFERROR(VLOOKUP(T_Convention[[#This Row],[NumL]],T_TraitDi[#Data],COLUMN(T_TraitDi[Nbhheb]),FALSE),""),"[hh]:mm"))</f>
        <v>#N/A</v>
      </c>
      <c r="BL73" s="287" t="str">
        <f>IFERROR(VLOOKUP(VLOOKUP(T_Convention[[#This Row],[NumL]],T_TraitDi[#Data],COLUMN(T_TraitDi[Type1]),FALSE),TypeTW,2,FALSE),"")</f>
        <v/>
      </c>
      <c r="BM73" s="288" t="str">
        <f>IFERROR(VLOOKUP(T_Convention[[#This Row],[NumL]],T_TraitDi[#Data],COLUMN(T_TraitDi[Rue1]),FALSE),"")</f>
        <v/>
      </c>
      <c r="BN73" s="289" t="str">
        <f>IFERROR(VLOOKUP(T_Convention[[#This Row],[NumL]],T_TraitDi[#Data],COLUMN(T_TraitDi[CP1]),FALSE),"")</f>
        <v/>
      </c>
      <c r="BO73" s="282" t="str">
        <f>IFERROR(VLOOKUP(T_Convention[[#This Row],[NumL]],T_TraitDi[#Data],COLUMN(T_TraitDi[VILLE1]),FALSE),"")</f>
        <v/>
      </c>
      <c r="BP73" s="290" t="str">
        <f>IFERROR(VLOOKUP(VLOOKUP(T_Convention[[#This Row],[NumL]],T_TraitDi[#Data],COLUMN(T_TraitDi[Type2]),FALSE),TypeTW,2,FALSE),"")</f>
        <v/>
      </c>
      <c r="BQ73" s="182" t="str">
        <f>IFERROR(VLOOKUP(T_Convention[[#This Row],[NumL]],T_TraitDi[#Data],COLUMN(T_TraitDi[Rue2]),FALSE),"")</f>
        <v/>
      </c>
      <c r="BR73" s="173" t="str">
        <f>IFERROR(VLOOKUP(T_Convention[[#This Row],[NumL]],T_TraitDi[#Data],COLUMN(T_TraitDi[CP2]),FALSE),"")</f>
        <v/>
      </c>
      <c r="BS73" s="173" t="str">
        <f>IFERROR(VLOOKUP(T_Convention[[#This Row],[NumL]],T_TraitDi[#Data],COLUMN(T_TraitDi[VILLE2]),FALSE),"")</f>
        <v/>
      </c>
      <c r="BT73" s="182" t="str">
        <f>IF(VLOOKUP(T_Convention[[#This Row],[NumL]],T_Equipement[#Data],COLUMN(T_Equipement[PC]),FALSE)="","Aucun équipement spécifique directement lié au télétravail",VLOOKUP(T_Convention[[#This Row],[NumL]],T_Equipement[#Data],COLUMN(T_Equipement[PC]),FALSE))</f>
        <v xml:space="preserve">20-501	</v>
      </c>
      <c r="BU73" s="166" t="str">
        <f>IFERROR(IF(VLOOKUP(T_Convention[[#This Row],[NumL]],T_TraitDi[#Data],COLUMN(T_TraitDi[Plan]),FALSE)="OK","Un planning spécifique de télétravail est annexé à la présente convention.",""),"")</f>
        <v/>
      </c>
      <c r="BV73" s="185" t="s">
        <v>3417</v>
      </c>
      <c r="BW73" s="164" t="e">
        <f>IF(VLOOKUP(T_Convention[[#This Row],[NumL]],T_suiviDi[#Data],COLUMN(T_suiviDi[Entité]),FALSE)="","",VLOOKUP(T_Convention[[#This Row],[NumL]],T_suiviDi[#Data],COLUMN(T_suiviDi[Entité]),FALSE))</f>
        <v>#N/A</v>
      </c>
      <c r="BX73" s="164" t="str">
        <f>IF(VLOOKUP(T_Convention[[#This Row],[NumL]],T_Commission[#Data],COLUMN(T_Commission[envoi confirm TW]),FALSE)="","",VLOOKUP(T_Convention[[#This Row],[NumL]],T_Commission[#Data],COLUMN(T_Commission[envoi confirm TW]),FALSE))</f>
        <v>Oui</v>
      </c>
      <c r="BY7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3" s="264">
        <f>VLOOKUP(T_Convention[[#This Row],[NumL]],T_Commission[#Data],COLUMN(T_Commission[Commentaire]),FALSE)</f>
        <v>0</v>
      </c>
      <c r="CA73" s="254" t="str">
        <f>IF(VLOOKUP(T_Convention[[#This Row],[NumL]],T_Commission[#Data],COLUMN(T_Commission[Encadrant Email]),FALSE)="","",VLOOKUP(T_Convention[[#This Row],[NumL]],T_Commission[#Data],COLUMN(T_Commission[Encadrant Email]),FALSE))</f>
        <v/>
      </c>
      <c r="CB73" s="352" t="e">
        <f>VLOOKUP(T_Convention[[#This Row],[NumL]],T_TraitDi[#Data],COLUMN(T_TraitDi[NbJTot]),FALSE)</f>
        <v>#N/A</v>
      </c>
      <c r="CC73" s="352" t="e">
        <f>VLOOKUP(T_Convention[[#This Row],[NumL]],T_TraitDi[#Data],COLUMN(T_TraitDi[Reg Ponct]),FALSE)</f>
        <v>#N/A</v>
      </c>
      <c r="CD73" s="348" t="str">
        <f>IF(T_Convention[[#This Row],[Final]]&lt;&gt;"",VLOOKUP(T_Convention[[#This Row],[NumL]],T_suiviDi[#Data],COLUMN((T_suiviDi[Statut])),FALSE),"")</f>
        <v/>
      </c>
    </row>
    <row r="74" spans="1:82" s="106" customFormat="1" ht="18.75" customHeight="1" x14ac:dyDescent="0.25">
      <c r="A74" s="160">
        <v>220</v>
      </c>
      <c r="B74" s="161" t="str">
        <f>VLOOKUP(T_Convention[[#This Row],[NumL]],T_Commission[#Data],COLUMN(T_Commission[FINAL]),FALSE)</f>
        <v/>
      </c>
      <c r="C74" s="162"/>
      <c r="D74" s="95" t="e">
        <f>IF(VLOOKUP(T_Convention[[#This Row],[NumL]],T_TraitDi[#Data],COLUMN(T_TraitDi[WebC]),FALSE)="","",VLOOKUP(T_Convention[[#This Row],[NumL]],T_TraitDi[#Data],COLUMN(T_TraitDi[WebC]),FALSE))</f>
        <v>#N/A</v>
      </c>
      <c r="E74" s="163" t="str">
        <f t="shared" si="5"/>
        <v>12 janvier 2021</v>
      </c>
      <c r="F74" s="282" t="str">
        <f>IF(T_Convention[[#This Row],[Final]]&lt;&gt;"",VLOOKUP(T_Convention[[#This Row],[NumL]],T_suiviDi[#Data],COLUMN((T_suiviDi[Civ.])),FALSE),"")</f>
        <v/>
      </c>
      <c r="G74" s="283" t="str">
        <f>IF(T_Convention[[#This Row],[Final]]&lt;&gt;"",VLOOKUP(T_Convention[[#This Row],[NumL]],T_suiviDi[#Data],COLUMN((T_suiviDi[Nom])),FALSE),"")</f>
        <v/>
      </c>
      <c r="H74" s="282" t="str">
        <f>IF(T_Convention[[#This Row],[Final]]&lt;&gt;"",VLOOKUP(T_Convention[[#This Row],[NumL]],T_suiviDi[#Data],COLUMN((T_suiviDi[Prénom])),FALSE),"")</f>
        <v/>
      </c>
      <c r="I74" s="282" t="e">
        <f>VLOOKUP(T_Convention[[#This Row],[NumL]],T_suiviDi[#Data],COLUMN((T_suiviDi[[#This Row],[Email]])),FALSE)</f>
        <v>#VALUE!</v>
      </c>
      <c r="J74" s="282" t="e">
        <f>IF(VLOOKUP(T_Convention[[#This Row],[NumL]],T_suiviDi[#Data],COLUMN(T_suiviDi[[#This Row],[Fonction]]),FALSE)="","",VLOOKUP(T_Convention[[#This Row],[NumL]],T_suiviDi[#Data],COLUMN(T_suiviDi[[#This Row],[Fonction]]),FALSE))</f>
        <v>#VALUE!</v>
      </c>
      <c r="K74" s="282" t="e">
        <f>IF(VLOOKUP(T_Convention[[#This Row],[NumL]],T_suiviDi[#Data],COLUMN(T_suiviDi[[#This Row],[Grade]]),FALSE)="","",VLOOKUP(T_Convention[[#This Row],[NumL]],T_suiviDi[#Data],COLUMN(T_suiviDi[[#This Row],[Grade]]),FALSE))</f>
        <v>#VALUE!</v>
      </c>
      <c r="L74" s="282" t="e">
        <f>IF(VLOOKUP(T_Convention[[#This Row],[NumL]],T_suiviDi[#Data],COLUMN(T_suiviDi[[#This Row],[Service ]]),FALSE)="","",VLOOKUP(T_Convention[[#This Row],[NumL]],T_suiviDi[#Data],COLUMN(T_suiviDi[[#This Row],[Service ]]),FALSE))</f>
        <v>#VALUE!</v>
      </c>
      <c r="M74" s="164" t="str">
        <f t="shared" si="6"/>
        <v>01 septembre 2021</v>
      </c>
      <c r="N74" s="164" t="str">
        <f t="shared" si="7"/>
        <v>30 novembre 2021</v>
      </c>
      <c r="O74" s="284" t="str">
        <f t="shared" si="8"/>
        <v>30 novembre 2021</v>
      </c>
      <c r="P74" s="282" t="e">
        <f>IF(VLOOKUP(T_Convention[[#This Row],[NumL]],T_TraitDi[#Data],COLUMN(T_TraitDi[M1]),FALSE)="","",VLOOKUP(T_Convention[[#This Row],[NumL]],T_TraitDi[#Data],COLUMN(T_TraitDi[M1]),FALSE))</f>
        <v>#N/A</v>
      </c>
      <c r="Q74" s="282" t="e">
        <f>IF(VLOOKUP(T_Convention[[#This Row],[NumL]],T_TraitDi[#Data],COLUMN(T_TraitDi[M2]),FALSE)="","",VLOOKUP(T_Convention[[#This Row],[NumL]],T_TraitDi[#Data],COLUMN(T_TraitDi[M2]),FALSE))</f>
        <v>#N/A</v>
      </c>
      <c r="R74" s="282" t="e">
        <f>IF(VLOOKUP(T_Convention[[#This Row],[NumL]],T_TraitDi[#Data],COLUMN(T_TraitDi[M3]),FALSE)="","",VLOOKUP(T_Convention[[#This Row],[NumL]],T_TraitDi[#Data],COLUMN(T_TraitDi[M3]),FALSE))</f>
        <v>#N/A</v>
      </c>
      <c r="S74" s="282" t="e">
        <f>IF(VLOOKUP(T_Convention[[#This Row],[NumL]],T_TraitDi[#Data],COLUMN(T_TraitDi[M4]),FALSE)="","",VLOOKUP(T_Convention[[#This Row],[NumL]],T_TraitDi[#Data],COLUMN(T_TraitDi[M4]),FALSE))</f>
        <v>#N/A</v>
      </c>
      <c r="T74" s="282" t="e">
        <f>IF(VLOOKUP(T_Convention[[#This Row],[NumL]],T_TraitDi[#Data],COLUMN(T_TraitDi[M5]),FALSE)="","",VLOOKUP(T_Convention[[#This Row],[NumL]],T_TraitDi[#Data],COLUMN(T_TraitDi[M5]),FALSE))</f>
        <v>#N/A</v>
      </c>
      <c r="U74" s="282" t="e">
        <f>IF(VLOOKUP(T_Convention[[#This Row],[NumL]],T_TraitDi[#Data],COLUMN(T_TraitDi[M6]),FALSE)="","",VLOOKUP(T_Convention[[#This Row],[NumL]],T_TraitDi[#Data],COLUMN(T_TraitDi[M6]),FALSE))</f>
        <v>#N/A</v>
      </c>
      <c r="V74" s="176" t="e">
        <f t="shared" si="9"/>
        <v>#N/A</v>
      </c>
      <c r="W74" s="284" t="str">
        <f>IFERROR(TEXT(VLOOKUP(T_Convention[[#This Row],[NumL]],T_TraitDi[#Data],COLUMN(T_TraitDi[Q2]),FALSE),"###%"),"")</f>
        <v/>
      </c>
      <c r="X74" s="97" t="e">
        <f>VLOOKUP(T_Convention[[#This Row],[NumL]],T_TraitDi[#Data],COLUMN(T_TraitDi[Reg Ponct]),FALSE)</f>
        <v>#N/A</v>
      </c>
      <c r="Y74" s="97" t="e">
        <f>VLOOKUP(T_Convention[NumL],T_TraitDi[#Data],COLUMN(T_TraitDi[Jours flottants]),FALSE)</f>
        <v>#N/A</v>
      </c>
      <c r="Z74" s="284" t="str">
        <f>IFERROR(VLOOKUP(T_Convention[[#This Row],[NumL]],T_TraitDi[#Data],COLUMN(T_TraitDi[Lundi]),FALSE),"")</f>
        <v/>
      </c>
      <c r="AA74" s="284" t="e">
        <f>IF(VLOOKUP(T_Convention[[#This Row],[NumL]],T_TraitDi[#Data],COLUMN(T_TraitDi[Colonne3]),FALSE)=0,"",TEXT(IFERROR(VLOOKUP(T_Convention[[#This Row],[NumL]],T_TraitDi[#Data],COLUMN(T_TraitDi[Colonne3]),FALSE),""),"[hh]:mm"))</f>
        <v>#N/A</v>
      </c>
      <c r="AB74" s="284" t="e">
        <f>IF(VLOOKUP(T_Convention[[#This Row],[NumL]],T_TraitDi[#Data],COLUMN(T_TraitDi[Colonne4]),FALSE)=0,"",TEXT(IFERROR(VLOOKUP(T_Convention[[#This Row],[NumL]],T_TraitDi[#Data],COLUMN(T_TraitDi[Colonne4]),FALSE),""),"[hh]:mm"))</f>
        <v>#N/A</v>
      </c>
      <c r="AC74" s="284" t="e">
        <f>IF(VLOOKUP(T_Convention[[#This Row],[NumL]],T_TraitDi[#Data],COLUMN(T_TraitDi[Colonne5]),FALSE)=0,"",TEXT(IFERROR(VLOOKUP(T_Convention[[#This Row],[NumL]],T_TraitDi[#Data],COLUMN(T_TraitDi[Colonne5]),FALSE),""),"[hh]:mm"))</f>
        <v>#N/A</v>
      </c>
      <c r="AD74" s="284" t="e">
        <f>IF(VLOOKUP(T_Convention[[#This Row],[NumL]],T_TraitDi[#Data],COLUMN(T_TraitDi[Colonne6]),FALSE)=0,"",TEXT(IFERROR(VLOOKUP(T_Convention[[#This Row],[NumL]],T_TraitDi[#Data],COLUMN(T_TraitDi[Colonne6]),FALSE),""),"[hh]:mm"))</f>
        <v>#N/A</v>
      </c>
      <c r="AE74" s="284" t="e">
        <f>IF(VLOOKUP(T_Convention[[#This Row],[NumL]],T_TraitDi[#Data],COLUMN(T_TraitDi[Colonne7]),FALSE)=0,"",TEXT(IFERROR(VLOOKUP(T_Convention[[#This Row],[NumL]],T_TraitDi[#Data],COLUMN(T_TraitDi[Colonne7]),FALSE),""),"[hh]:mm"))</f>
        <v>#N/A</v>
      </c>
      <c r="AF74" s="284" t="e">
        <f>IF(VLOOKUP(T_Convention[[#This Row],[NumL]],T_TraitDi[#Data],COLUMN(T_TraitDi[Colonne8]),FALSE)=0,"",TEXT(IFERROR(VLOOKUP(T_Convention[[#This Row],[NumL]],T_TraitDi[#Data],COLUMN(T_TraitDi[Colonne8]),FALSE),""),"[hh]:mm"))</f>
        <v>#N/A</v>
      </c>
      <c r="AG74" s="284" t="str">
        <f>IFERROR(VLOOKUP(T_Convention[[#This Row],[NumL]],T_TraitDi[#Data],COLUMN(T_TraitDi[Mardi]),FALSE),"")</f>
        <v/>
      </c>
      <c r="AH74" s="284" t="e">
        <f>IF(VLOOKUP(T_Convention[[#This Row],[NumL]],T_TraitDi[#Data],COLUMN(T_TraitDi[Colonne1]),FALSE)=0,"",TEXT(IFERROR(VLOOKUP(T_Convention[[#This Row],[NumL]],T_TraitDi[#Data],COLUMN(T_TraitDi[Colonne1]),FALSE),""),"[hh]:mm"))</f>
        <v>#N/A</v>
      </c>
      <c r="AI74" s="284" t="e">
        <f>IF(VLOOKUP(T_Convention[[#This Row],[NumL]],T_TraitDi[#Data],COLUMN(T_TraitDi[Colonne9]),FALSE)=0,"",TEXT(IFERROR(VLOOKUP(T_Convention[[#This Row],[NumL]],T_TraitDi[#Data],COLUMN(T_TraitDi[Colonne9]),FALSE),""),"[hh]:mm"))</f>
        <v>#N/A</v>
      </c>
      <c r="AJ74" s="284" t="str">
        <f>IFERROR(VLOOKUP(T_Convention[[#This Row],[NumL]],T_TraitDi[#Data],COLUMN(T_TraitDi[Colonne10]),FALSE),"")</f>
        <v/>
      </c>
      <c r="AK74" s="284" t="e">
        <f>IF(VLOOKUP(T_Convention[[#This Row],[NumL]],T_TraitDi[#Data],COLUMN(T_TraitDi[Colonne11]),FALSE)=0,"",TEXT(IFERROR(VLOOKUP(T_Convention[[#This Row],[NumL]],T_TraitDi[#Data],COLUMN(T_TraitDi[Colonne11]),FALSE),""),"[hh]:mm"))</f>
        <v>#N/A</v>
      </c>
      <c r="AL74" s="284" t="e">
        <f>IF(VLOOKUP(T_Convention[[#This Row],[NumL]],T_TraitDi[#Data],COLUMN(T_TraitDi[Colonne12]),FALSE)=0,"",TEXT(IFERROR(VLOOKUP(T_Convention[[#This Row],[NumL]],T_TraitDi[#Data],COLUMN(T_TraitDi[Colonne12]),FALSE),""),"[hh]:mm"))</f>
        <v>#N/A</v>
      </c>
      <c r="AM74" s="284" t="e">
        <f>IF(VLOOKUP(T_Convention[[#This Row],[NumL]],T_TraitDi[#Data],COLUMN(T_TraitDi[Colonne14]),FALSE)=0,"",TEXT(IFERROR(VLOOKUP(T_Convention[[#This Row],[NumL]],T_TraitDi[#Data],COLUMN(T_TraitDi[Colonne14]),FALSE),""),"[hh]:mm"))</f>
        <v>#N/A</v>
      </c>
      <c r="AN74" s="284" t="str">
        <f>IFERROR(VLOOKUP(T_Convention[[#This Row],[NumL]],T_TraitDi[#Data],COLUMN(T_TraitDi[Mercredi]),FALSE),"")</f>
        <v/>
      </c>
      <c r="AO74" s="284" t="e">
        <f>IF(VLOOKUP(T_Convention[[#This Row],[NumL]],T_TraitDi[#Data],COLUMN(T_TraitDi[Colonne15]),FALSE)=0,"",TEXT(IFERROR(VLOOKUP(T_Convention[[#This Row],[NumL]],T_TraitDi[#Data],COLUMN(T_TraitDi[Colonne15]),FALSE),""),"[hh]:mm"))</f>
        <v>#N/A</v>
      </c>
      <c r="AP74" s="284" t="e">
        <f>IF(VLOOKUP(T_Convention[[#This Row],[NumL]],T_TraitDi[#Data],COLUMN(T_TraitDi[Colonne16]),FALSE)=0,"",TEXT(IFERROR(VLOOKUP(T_Convention[[#This Row],[NumL]],T_TraitDi[#Data],COLUMN(T_TraitDi[Colonne16]),FALSE),""),"[hh]:mm"))</f>
        <v>#N/A</v>
      </c>
      <c r="AQ74" s="284" t="str">
        <f>IFERROR(VLOOKUP(T_Convention[[#This Row],[NumL]],T_TraitDi[#Data],COLUMN(T_TraitDi[Colonne17]),FALSE),"")</f>
        <v/>
      </c>
      <c r="AR74" s="284" t="e">
        <f>IF(VLOOKUP(T_Convention[[#This Row],[NumL]],T_TraitDi[#Data],COLUMN(T_TraitDi[Colonne18]),FALSE)=0,"",TEXT(IFERROR(VLOOKUP(T_Convention[[#This Row],[NumL]],T_TraitDi[#Data],COLUMN(T_TraitDi[Colonne18]),FALSE),""),"[hh]:mm"))</f>
        <v>#N/A</v>
      </c>
      <c r="AS74" s="284" t="e">
        <f>IF(VLOOKUP(T_Convention[[#This Row],[NumL]],T_TraitDi[#Data],COLUMN(T_TraitDi[Colonne19]),FALSE)=0,"",TEXT(IFERROR(VLOOKUP(T_Convention[[#This Row],[NumL]],T_TraitDi[#Data],COLUMN(T_TraitDi[Colonne19]),FALSE),""),"[hh]:mm"))</f>
        <v>#N/A</v>
      </c>
      <c r="AT74" s="284" t="e">
        <f>IF(VLOOKUP(T_Convention[[#This Row],[NumL]],T_TraitDi[#Data],COLUMN(T_TraitDi[Colonne20]),FALSE)=0,"",TEXT(IFERROR(VLOOKUP(T_Convention[[#This Row],[NumL]],T_TraitDi[#Data],COLUMN(T_TraitDi[Colonne20]),FALSE),""),"[hh]:mm"))</f>
        <v>#N/A</v>
      </c>
      <c r="AU74" s="284" t="str">
        <f>IFERROR(VLOOKUP(T_Convention[[#This Row],[NumL]],T_TraitDi[#Data],COLUMN(T_TraitDi[Jeudi]),FALSE),"")</f>
        <v/>
      </c>
      <c r="AV74" s="284" t="e">
        <f>IF(VLOOKUP(T_Convention[[#This Row],[NumL]],T_TraitDi[#Data],COLUMN(T_TraitDi[Colonne21]),FALSE)=0,"",TEXT(IFERROR(VLOOKUP(T_Convention[[#This Row],[NumL]],T_TraitDi[#Data],COLUMN(T_TraitDi[Colonne21]),FALSE),""),"[hh]:mm"))</f>
        <v>#N/A</v>
      </c>
      <c r="AW74" s="284" t="e">
        <f>IF(VLOOKUP(T_Convention[[#This Row],[NumL]],T_TraitDi[#Data],COLUMN(T_TraitDi[Colonne22]),FALSE)=0,"",TEXT(IFERROR(VLOOKUP(T_Convention[[#This Row],[NumL]],T_TraitDi[#Data],COLUMN(T_TraitDi[Colonne22]),FALSE),""),"[hh]:mm"))</f>
        <v>#N/A</v>
      </c>
      <c r="AX74" s="284" t="str">
        <f>IFERROR(VLOOKUP(T_Convention[[#This Row],[NumL]],T_TraitDi[#Data],COLUMN(T_TraitDi[Colonne23]),FALSE),"")</f>
        <v/>
      </c>
      <c r="AY74" s="284" t="e">
        <f>IF(VLOOKUP(T_Convention[[#This Row],[NumL]],T_TraitDi[#Data],COLUMN(T_TraitDi[Colonne24]),FALSE)=0,"",TEXT(IFERROR(VLOOKUP(T_Convention[[#This Row],[NumL]],T_TraitDi[#Data],COLUMN(T_TraitDi[Colonne24]),FALSE),""),"[hh]:mm"))</f>
        <v>#N/A</v>
      </c>
      <c r="AZ74" s="284" t="e">
        <f>IF(VLOOKUP(T_Convention[[#This Row],[NumL]],T_TraitDi[#Data],COLUMN(T_TraitDi[Colonne25]),FALSE)=0,"",TEXT(IFERROR(VLOOKUP(T_Convention[[#This Row],[NumL]],T_TraitDi[#Data],COLUMN(T_TraitDi[Colonne25]),FALSE),""),"[hh]:mm"))</f>
        <v>#N/A</v>
      </c>
      <c r="BA74" s="284" t="e">
        <f>IF(VLOOKUP(T_Convention[[#This Row],[NumL]],T_TraitDi[#Data],COLUMN(T_TraitDi[Colonne26]),FALSE)=0,"",TEXT(IFERROR(VLOOKUP(T_Convention[[#This Row],[NumL]],T_TraitDi[#Data],COLUMN(T_TraitDi[Colonne26]),FALSE),""),"[hh]:mm"))</f>
        <v>#N/A</v>
      </c>
      <c r="BB74" s="284" t="str">
        <f>IFERROR(VLOOKUP(T_Convention[[#This Row],[NumL]],T_TraitDi[#Data],COLUMN(T_TraitDi[Vendredi]),FALSE),"")</f>
        <v/>
      </c>
      <c r="BC74" s="284" t="e">
        <f>IF(VLOOKUP(T_Convention[[#This Row],[NumL]],T_TraitDi[#Data],COLUMN(T_TraitDi[Colonne27]),FALSE)=0,"",TEXT(IFERROR(VLOOKUP(T_Convention[[#This Row],[NumL]],T_TraitDi[#Data],COLUMN(T_TraitDi[Colonne27]),FALSE),""),"[hh]:mm"))</f>
        <v>#N/A</v>
      </c>
      <c r="BD74" s="284" t="e">
        <f>IF(VLOOKUP(T_Convention[[#This Row],[NumL]],T_TraitDi[#Data],COLUMN(T_TraitDi[Colonne28]),FALSE)=0,"",TEXT(IFERROR(VLOOKUP(T_Convention[[#This Row],[NumL]],T_TraitDi[#Data],COLUMN(T_TraitDi[Colonne28]),FALSE),""),"[hh]:mm"))</f>
        <v>#N/A</v>
      </c>
      <c r="BE74" s="284" t="str">
        <f>IFERROR(VLOOKUP(T_Convention[[#This Row],[NumL]],T_TraitDi[#Data],COLUMN(T_TraitDi[Colonne29]),FALSE),"")</f>
        <v/>
      </c>
      <c r="BF74" s="284" t="e">
        <f>IF(VLOOKUP(T_Convention[[#This Row],[NumL]],T_TraitDi[#Data],COLUMN(T_TraitDi[Colonne30]),FALSE)=0,"",TEXT(IFERROR(VLOOKUP(T_Convention[[#This Row],[NumL]],T_TraitDi[#Data],COLUMN(T_TraitDi[Colonne30]),FALSE),""),"[hh]:mm"))</f>
        <v>#N/A</v>
      </c>
      <c r="BG74" s="284" t="e">
        <f>IF(VLOOKUP(T_Convention[[#This Row],[NumL]],T_TraitDi[#Data],COLUMN(T_TraitDi[Colonne31]),FALSE)=0,"",TEXT(IFERROR(VLOOKUP(T_Convention[[#This Row],[NumL]],T_TraitDi[#Data],COLUMN(T_TraitDi[Colonne31]),FALSE),""),"[hh]:mm"))</f>
        <v>#N/A</v>
      </c>
      <c r="BH74" s="284" t="e">
        <f>IF(VLOOKUP(T_Convention[[#This Row],[NumL]],T_TraitDi[#Data],COLUMN(T_TraitDi[Colonne32]),FALSE)=0,"",TEXT(IFERROR(VLOOKUP(T_Convention[[#This Row],[NumL]],T_TraitDi[#Data],COLUMN(T_TraitDi[Colonne32]),FALSE),""),"[hh]:mm"))</f>
        <v>#N/A</v>
      </c>
      <c r="BI74" s="284" t="str">
        <f>IFERROR(VLOOKUP(T_Convention[[#This Row],[NumL]],T_TraitDi[#Data],COLUMN(T_TraitDi[NbJTW]),FALSE),"")</f>
        <v/>
      </c>
      <c r="BJ74" s="284" t="e">
        <f>IF(VLOOKUP(T_Convention[[#This Row],[NumL]],T_TraitDi[#Data],COLUMN(T_TraitDi[NbhTW]),FALSE)=0,"",TEXT(IFERROR(VLOOKUP(T_Convention[[#This Row],[NumL]],T_TraitDi[#Data],COLUMN(T_TraitDi[NbhTW]),FALSE),""),"[hh]:mm"))</f>
        <v>#N/A</v>
      </c>
      <c r="BK74" s="286" t="e">
        <f>IF(VLOOKUP(T_Convention[[#This Row],[NumL]],T_TraitDi[#Data],COLUMN(T_TraitDi[Nbhheb]),FALSE)=0,"",TEXT(IFERROR(VLOOKUP(T_Convention[[#This Row],[NumL]],T_TraitDi[#Data],COLUMN(T_TraitDi[Nbhheb]),FALSE),""),"[hh]:mm"))</f>
        <v>#N/A</v>
      </c>
      <c r="BL74" s="287" t="str">
        <f>IFERROR(VLOOKUP(VLOOKUP(T_Convention[[#This Row],[NumL]],T_TraitDi[#Data],COLUMN(T_TraitDi[Type1]),FALSE),TypeTW,2,FALSE),"")</f>
        <v/>
      </c>
      <c r="BM74" s="288" t="str">
        <f>IFERROR(VLOOKUP(T_Convention[[#This Row],[NumL]],T_TraitDi[#Data],COLUMN(T_TraitDi[Rue1]),FALSE),"")</f>
        <v/>
      </c>
      <c r="BN74" s="289" t="str">
        <f>IFERROR(VLOOKUP(T_Convention[[#This Row],[NumL]],T_TraitDi[#Data],COLUMN(T_TraitDi[CP1]),FALSE),"")</f>
        <v/>
      </c>
      <c r="BO74" s="282" t="str">
        <f>IFERROR(VLOOKUP(T_Convention[[#This Row],[NumL]],T_TraitDi[#Data],COLUMN(T_TraitDi[VILLE1]),FALSE),"")</f>
        <v/>
      </c>
      <c r="BP74" s="290" t="str">
        <f>IFERROR(VLOOKUP(VLOOKUP(T_Convention[[#This Row],[NumL]],T_TraitDi[#Data],COLUMN(T_TraitDi[Type2]),FALSE),TypeTW,2,FALSE),"")</f>
        <v/>
      </c>
      <c r="BQ74" s="182" t="str">
        <f>IFERROR(VLOOKUP(T_Convention[[#This Row],[NumL]],T_TraitDi[#Data],COLUMN(T_TraitDi[Rue2]),FALSE),"")</f>
        <v/>
      </c>
      <c r="BR74" s="173" t="str">
        <f>IFERROR(VLOOKUP(T_Convention[[#This Row],[NumL]],T_TraitDi[#Data],COLUMN(T_TraitDi[CP2]),FALSE),"")</f>
        <v/>
      </c>
      <c r="BS74" s="173" t="str">
        <f>IFERROR(VLOOKUP(T_Convention[[#This Row],[NumL]],T_TraitDi[#Data],COLUMN(T_TraitDi[VILLE2]),FALSE),"")</f>
        <v/>
      </c>
      <c r="BT74" s="182" t="str">
        <f>IF(VLOOKUP(T_Convention[[#This Row],[NumL]],T_Equipement[#Data],COLUMN(T_Equipement[PC]),FALSE)="","Aucun équipement spécifique directement lié au télétravail",VLOOKUP(T_Convention[[#This Row],[NumL]],T_Equipement[#Data],COLUMN(T_Equipement[PC]),FALSE))</f>
        <v>18-011</v>
      </c>
      <c r="BU74" s="166" t="str">
        <f>IFERROR(IF(VLOOKUP(T_Convention[[#This Row],[NumL]],T_TraitDi[#Data],COLUMN(T_TraitDi[Plan]),FALSE)="OK","Un planning spécifique de télétravail est annexé à la présente convention.",""),"")</f>
        <v/>
      </c>
      <c r="BV74" s="185" t="s">
        <v>3301</v>
      </c>
      <c r="BW74" s="164" t="e">
        <f>IF(VLOOKUP(T_Convention[[#This Row],[NumL]],T_suiviDi[#Data],COLUMN(T_suiviDi[Entité]),FALSE)="","",VLOOKUP(T_Convention[[#This Row],[NumL]],T_suiviDi[#Data],COLUMN(T_suiviDi[Entité]),FALSE))</f>
        <v>#N/A</v>
      </c>
      <c r="BX74" s="164" t="str">
        <f>IF(VLOOKUP(T_Convention[[#This Row],[NumL]],T_Commission[#Data],COLUMN(T_Commission[envoi confirm TW]),FALSE)="","",VLOOKUP(T_Convention[[#This Row],[NumL]],T_Commission[#Data],COLUMN(T_Commission[envoi confirm TW]),FALSE))</f>
        <v>Oui</v>
      </c>
      <c r="BY7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4" s="264">
        <f>VLOOKUP(T_Convention[[#This Row],[NumL]],T_Commission[#Data],COLUMN(T_Commission[Commentaire]),FALSE)</f>
        <v>0</v>
      </c>
      <c r="CA74" s="254" t="str">
        <f>IF(VLOOKUP(T_Convention[[#This Row],[NumL]],T_Commission[#Data],COLUMN(T_Commission[Encadrant Email]),FALSE)="","",VLOOKUP(T_Convention[[#This Row],[NumL]],T_Commission[#Data],COLUMN(T_Commission[Encadrant Email]),FALSE))</f>
        <v/>
      </c>
      <c r="CB74" s="352" t="e">
        <f>VLOOKUP(T_Convention[[#This Row],[NumL]],T_TraitDi[#Data],COLUMN(T_TraitDi[NbJTot]),FALSE)</f>
        <v>#N/A</v>
      </c>
      <c r="CC74" s="352" t="e">
        <f>VLOOKUP(T_Convention[[#This Row],[NumL]],T_TraitDi[#Data],COLUMN(T_TraitDi[Reg Ponct]),FALSE)</f>
        <v>#N/A</v>
      </c>
      <c r="CD74" s="348" t="str">
        <f>IF(T_Convention[[#This Row],[Final]]&lt;&gt;"",VLOOKUP(T_Convention[[#This Row],[NumL]],T_suiviDi[#Data],COLUMN((T_suiviDi[Statut])),FALSE),"")</f>
        <v/>
      </c>
    </row>
    <row r="75" spans="1:82" s="106" customFormat="1" ht="18.75" customHeight="1" x14ac:dyDescent="0.25">
      <c r="A75" s="160">
        <v>244</v>
      </c>
      <c r="B75" s="161" t="str">
        <f>VLOOKUP(T_Convention[[#This Row],[NumL]],T_Commission[#Data],COLUMN(T_Commission[FINAL]),FALSE)</f>
        <v/>
      </c>
      <c r="C75" s="162"/>
      <c r="D75" s="95" t="e">
        <f>IF(VLOOKUP(T_Convention[[#This Row],[NumL]],T_TraitDi[#Data],COLUMN(T_TraitDi[WebC]),FALSE)="","",VLOOKUP(T_Convention[[#This Row],[NumL]],T_TraitDi[#Data],COLUMN(T_TraitDi[WebC]),FALSE))</f>
        <v>#N/A</v>
      </c>
      <c r="E75" s="163" t="str">
        <f t="shared" si="5"/>
        <v>12 janvier 2021</v>
      </c>
      <c r="F75" s="282" t="str">
        <f>IF(T_Convention[[#This Row],[Final]]&lt;&gt;"",VLOOKUP(T_Convention[[#This Row],[NumL]],T_suiviDi[#Data],COLUMN((T_suiviDi[Civ.])),FALSE),"")</f>
        <v/>
      </c>
      <c r="G75" s="283" t="str">
        <f>IF(T_Convention[[#This Row],[Final]]&lt;&gt;"",VLOOKUP(T_Convention[[#This Row],[NumL]],T_suiviDi[#Data],COLUMN((T_suiviDi[Nom])),FALSE),"")</f>
        <v/>
      </c>
      <c r="H75" s="282" t="str">
        <f>IF(T_Convention[[#This Row],[Final]]&lt;&gt;"",VLOOKUP(T_Convention[[#This Row],[NumL]],T_suiviDi[#Data],COLUMN((T_suiviDi[Prénom])),FALSE),"")</f>
        <v/>
      </c>
      <c r="I75" s="282" t="e">
        <f>VLOOKUP(T_Convention[[#This Row],[NumL]],T_suiviDi[#Data],COLUMN((T_suiviDi[[#This Row],[Email]])),FALSE)</f>
        <v>#VALUE!</v>
      </c>
      <c r="J75" s="282" t="e">
        <f>IF(VLOOKUP(T_Convention[[#This Row],[NumL]],T_suiviDi[#Data],COLUMN(T_suiviDi[[#This Row],[Fonction]]),FALSE)="","",VLOOKUP(T_Convention[[#This Row],[NumL]],T_suiviDi[#Data],COLUMN(T_suiviDi[[#This Row],[Fonction]]),FALSE))</f>
        <v>#VALUE!</v>
      </c>
      <c r="K75" s="282" t="e">
        <f>IF(VLOOKUP(T_Convention[[#This Row],[NumL]],T_suiviDi[#Data],COLUMN(T_suiviDi[[#This Row],[Grade]]),FALSE)="","",VLOOKUP(T_Convention[[#This Row],[NumL]],T_suiviDi[#Data],COLUMN(T_suiviDi[[#This Row],[Grade]]),FALSE))</f>
        <v>#VALUE!</v>
      </c>
      <c r="L75" s="282" t="e">
        <f>IF(VLOOKUP(T_Convention[[#This Row],[NumL]],T_suiviDi[#Data],COLUMN(T_suiviDi[[#This Row],[Service ]]),FALSE)="","",VLOOKUP(T_Convention[[#This Row],[NumL]],T_suiviDi[#Data],COLUMN(T_suiviDi[[#This Row],[Service ]]),FALSE))</f>
        <v>#VALUE!</v>
      </c>
      <c r="M75" s="164" t="str">
        <f t="shared" si="6"/>
        <v>01 septembre 2021</v>
      </c>
      <c r="N75" s="164" t="str">
        <f t="shared" si="7"/>
        <v>30 novembre 2021</v>
      </c>
      <c r="O75" s="284" t="str">
        <f t="shared" si="8"/>
        <v>30 novembre 2021</v>
      </c>
      <c r="P75" s="282" t="e">
        <f>IF(VLOOKUP(T_Convention[[#This Row],[NumL]],T_TraitDi[#Data],COLUMN(T_TraitDi[M1]),FALSE)="","",VLOOKUP(T_Convention[[#This Row],[NumL]],T_TraitDi[#Data],COLUMN(T_TraitDi[M1]),FALSE))</f>
        <v>#N/A</v>
      </c>
      <c r="Q75" s="282" t="e">
        <f>IF(VLOOKUP(T_Convention[[#This Row],[NumL]],T_TraitDi[#Data],COLUMN(T_TraitDi[M2]),FALSE)="","",VLOOKUP(T_Convention[[#This Row],[NumL]],T_TraitDi[#Data],COLUMN(T_TraitDi[M2]),FALSE))</f>
        <v>#N/A</v>
      </c>
      <c r="R75" s="282" t="e">
        <f>IF(VLOOKUP(T_Convention[[#This Row],[NumL]],T_TraitDi[#Data],COLUMN(T_TraitDi[M3]),FALSE)="","",VLOOKUP(T_Convention[[#This Row],[NumL]],T_TraitDi[#Data],COLUMN(T_TraitDi[M3]),FALSE))</f>
        <v>#N/A</v>
      </c>
      <c r="S75" s="282" t="e">
        <f>IF(VLOOKUP(T_Convention[[#This Row],[NumL]],T_TraitDi[#Data],COLUMN(T_TraitDi[M4]),FALSE)="","",VLOOKUP(T_Convention[[#This Row],[NumL]],T_TraitDi[#Data],COLUMN(T_TraitDi[M4]),FALSE))</f>
        <v>#N/A</v>
      </c>
      <c r="T75" s="282" t="e">
        <f>IF(VLOOKUP(T_Convention[[#This Row],[NumL]],T_TraitDi[#Data],COLUMN(T_TraitDi[M5]),FALSE)="","",VLOOKUP(T_Convention[[#This Row],[NumL]],T_TraitDi[#Data],COLUMN(T_TraitDi[M5]),FALSE))</f>
        <v>#N/A</v>
      </c>
      <c r="U75" s="282" t="e">
        <f>IF(VLOOKUP(T_Convention[[#This Row],[NumL]],T_TraitDi[#Data],COLUMN(T_TraitDi[M6]),FALSE)="","",VLOOKUP(T_Convention[[#This Row],[NumL]],T_TraitDi[#Data],COLUMN(T_TraitDi[M6]),FALSE))</f>
        <v>#N/A</v>
      </c>
      <c r="V75" s="176" t="e">
        <f t="shared" si="9"/>
        <v>#N/A</v>
      </c>
      <c r="W75" s="284" t="str">
        <f>IFERROR(TEXT(VLOOKUP(T_Convention[[#This Row],[NumL]],T_TraitDi[#Data],COLUMN(T_TraitDi[Q2]),FALSE),"###%"),"")</f>
        <v/>
      </c>
      <c r="X75" s="97" t="e">
        <f>VLOOKUP(T_Convention[[#This Row],[NumL]],T_TraitDi[#Data],COLUMN(T_TraitDi[Reg Ponct]),FALSE)</f>
        <v>#N/A</v>
      </c>
      <c r="Y75" s="97" t="e">
        <f>VLOOKUP(T_Convention[NumL],T_TraitDi[#Data],COLUMN(T_TraitDi[Jours flottants]),FALSE)</f>
        <v>#N/A</v>
      </c>
      <c r="Z75" s="284" t="str">
        <f>IFERROR(VLOOKUP(T_Convention[[#This Row],[NumL]],T_TraitDi[#Data],COLUMN(T_TraitDi[Lundi]),FALSE),"")</f>
        <v/>
      </c>
      <c r="AA75" s="284" t="e">
        <f>IF(VLOOKUP(T_Convention[[#This Row],[NumL]],T_TraitDi[#Data],COLUMN(T_TraitDi[Colonne3]),FALSE)=0,"",TEXT(IFERROR(VLOOKUP(T_Convention[[#This Row],[NumL]],T_TraitDi[#Data],COLUMN(T_TraitDi[Colonne3]),FALSE),""),"[hh]:mm"))</f>
        <v>#N/A</v>
      </c>
      <c r="AB75" s="284" t="e">
        <f>IF(VLOOKUP(T_Convention[[#This Row],[NumL]],T_TraitDi[#Data],COLUMN(T_TraitDi[Colonne4]),FALSE)=0,"",TEXT(IFERROR(VLOOKUP(T_Convention[[#This Row],[NumL]],T_TraitDi[#Data],COLUMN(T_TraitDi[Colonne4]),FALSE),""),"[hh]:mm"))</f>
        <v>#N/A</v>
      </c>
      <c r="AC75" s="284" t="e">
        <f>IF(VLOOKUP(T_Convention[[#This Row],[NumL]],T_TraitDi[#Data],COLUMN(T_TraitDi[Colonne5]),FALSE)=0,"",TEXT(IFERROR(VLOOKUP(T_Convention[[#This Row],[NumL]],T_TraitDi[#Data],COLUMN(T_TraitDi[Colonne5]),FALSE),""),"[hh]:mm"))</f>
        <v>#N/A</v>
      </c>
      <c r="AD75" s="284" t="e">
        <f>IF(VLOOKUP(T_Convention[[#This Row],[NumL]],T_TraitDi[#Data],COLUMN(T_TraitDi[Colonne6]),FALSE)=0,"",TEXT(IFERROR(VLOOKUP(T_Convention[[#This Row],[NumL]],T_TraitDi[#Data],COLUMN(T_TraitDi[Colonne6]),FALSE),""),"[hh]:mm"))</f>
        <v>#N/A</v>
      </c>
      <c r="AE75" s="284" t="e">
        <f>IF(VLOOKUP(T_Convention[[#This Row],[NumL]],T_TraitDi[#Data],COLUMN(T_TraitDi[Colonne7]),FALSE)=0,"",TEXT(IFERROR(VLOOKUP(T_Convention[[#This Row],[NumL]],T_TraitDi[#Data],COLUMN(T_TraitDi[Colonne7]),FALSE),""),"[hh]:mm"))</f>
        <v>#N/A</v>
      </c>
      <c r="AF75" s="284" t="e">
        <f>IF(VLOOKUP(T_Convention[[#This Row],[NumL]],T_TraitDi[#Data],COLUMN(T_TraitDi[Colonne8]),FALSE)=0,"",TEXT(IFERROR(VLOOKUP(T_Convention[[#This Row],[NumL]],T_TraitDi[#Data],COLUMN(T_TraitDi[Colonne8]),FALSE),""),"[hh]:mm"))</f>
        <v>#N/A</v>
      </c>
      <c r="AG75" s="284" t="str">
        <f>IFERROR(VLOOKUP(T_Convention[[#This Row],[NumL]],T_TraitDi[#Data],COLUMN(T_TraitDi[Mardi]),FALSE),"")</f>
        <v/>
      </c>
      <c r="AH75" s="284" t="e">
        <f>IF(VLOOKUP(T_Convention[[#This Row],[NumL]],T_TraitDi[#Data],COLUMN(T_TraitDi[Colonne1]),FALSE)=0,"",TEXT(IFERROR(VLOOKUP(T_Convention[[#This Row],[NumL]],T_TraitDi[#Data],COLUMN(T_TraitDi[Colonne1]),FALSE),""),"[hh]:mm"))</f>
        <v>#N/A</v>
      </c>
      <c r="AI75" s="284" t="e">
        <f>IF(VLOOKUP(T_Convention[[#This Row],[NumL]],T_TraitDi[#Data],COLUMN(T_TraitDi[Colonne9]),FALSE)=0,"",TEXT(IFERROR(VLOOKUP(T_Convention[[#This Row],[NumL]],T_TraitDi[#Data],COLUMN(T_TraitDi[Colonne9]),FALSE),""),"[hh]:mm"))</f>
        <v>#N/A</v>
      </c>
      <c r="AJ75" s="284" t="str">
        <f>IFERROR(VLOOKUP(T_Convention[[#This Row],[NumL]],T_TraitDi[#Data],COLUMN(T_TraitDi[Colonne10]),FALSE),"")</f>
        <v/>
      </c>
      <c r="AK75" s="284" t="e">
        <f>IF(VLOOKUP(T_Convention[[#This Row],[NumL]],T_TraitDi[#Data],COLUMN(T_TraitDi[Colonne11]),FALSE)=0,"",TEXT(IFERROR(VLOOKUP(T_Convention[[#This Row],[NumL]],T_TraitDi[#Data],COLUMN(T_TraitDi[Colonne11]),FALSE),""),"[hh]:mm"))</f>
        <v>#N/A</v>
      </c>
      <c r="AL75" s="284" t="e">
        <f>IF(VLOOKUP(T_Convention[[#This Row],[NumL]],T_TraitDi[#Data],COLUMN(T_TraitDi[Colonne12]),FALSE)=0,"",TEXT(IFERROR(VLOOKUP(T_Convention[[#This Row],[NumL]],T_TraitDi[#Data],COLUMN(T_TraitDi[Colonne12]),FALSE),""),"[hh]:mm"))</f>
        <v>#N/A</v>
      </c>
      <c r="AM75" s="284" t="e">
        <f>IF(VLOOKUP(T_Convention[[#This Row],[NumL]],T_TraitDi[#Data],COLUMN(T_TraitDi[Colonne14]),FALSE)=0,"",TEXT(IFERROR(VLOOKUP(T_Convention[[#This Row],[NumL]],T_TraitDi[#Data],COLUMN(T_TraitDi[Colonne14]),FALSE),""),"[hh]:mm"))</f>
        <v>#N/A</v>
      </c>
      <c r="AN75" s="284" t="str">
        <f>IFERROR(VLOOKUP(T_Convention[[#This Row],[NumL]],T_TraitDi[#Data],COLUMN(T_TraitDi[Mercredi]),FALSE),"")</f>
        <v/>
      </c>
      <c r="AO75" s="284" t="e">
        <f>IF(VLOOKUP(T_Convention[[#This Row],[NumL]],T_TraitDi[#Data],COLUMN(T_TraitDi[Colonne15]),FALSE)=0,"",TEXT(IFERROR(VLOOKUP(T_Convention[[#This Row],[NumL]],T_TraitDi[#Data],COLUMN(T_TraitDi[Colonne15]),FALSE),""),"[hh]:mm"))</f>
        <v>#N/A</v>
      </c>
      <c r="AP75" s="284" t="e">
        <f>IF(VLOOKUP(T_Convention[[#This Row],[NumL]],T_TraitDi[#Data],COLUMN(T_TraitDi[Colonne16]),FALSE)=0,"",TEXT(IFERROR(VLOOKUP(T_Convention[[#This Row],[NumL]],T_TraitDi[#Data],COLUMN(T_TraitDi[Colonne16]),FALSE),""),"[hh]:mm"))</f>
        <v>#N/A</v>
      </c>
      <c r="AQ75" s="284" t="str">
        <f>IFERROR(VLOOKUP(T_Convention[[#This Row],[NumL]],T_TraitDi[#Data],COLUMN(T_TraitDi[Colonne17]),FALSE),"")</f>
        <v/>
      </c>
      <c r="AR75" s="284" t="e">
        <f>IF(VLOOKUP(T_Convention[[#This Row],[NumL]],T_TraitDi[#Data],COLUMN(T_TraitDi[Colonne18]),FALSE)=0,"",TEXT(IFERROR(VLOOKUP(T_Convention[[#This Row],[NumL]],T_TraitDi[#Data],COLUMN(T_TraitDi[Colonne18]),FALSE),""),"[hh]:mm"))</f>
        <v>#N/A</v>
      </c>
      <c r="AS75" s="284" t="e">
        <f>IF(VLOOKUP(T_Convention[[#This Row],[NumL]],T_TraitDi[#Data],COLUMN(T_TraitDi[Colonne19]),FALSE)=0,"",TEXT(IFERROR(VLOOKUP(T_Convention[[#This Row],[NumL]],T_TraitDi[#Data],COLUMN(T_TraitDi[Colonne19]),FALSE),""),"[hh]:mm"))</f>
        <v>#N/A</v>
      </c>
      <c r="AT75" s="284" t="e">
        <f>IF(VLOOKUP(T_Convention[[#This Row],[NumL]],T_TraitDi[#Data],COLUMN(T_TraitDi[Colonne20]),FALSE)=0,"",TEXT(IFERROR(VLOOKUP(T_Convention[[#This Row],[NumL]],T_TraitDi[#Data],COLUMN(T_TraitDi[Colonne20]),FALSE),""),"[hh]:mm"))</f>
        <v>#N/A</v>
      </c>
      <c r="AU75" s="284" t="str">
        <f>IFERROR(VLOOKUP(T_Convention[[#This Row],[NumL]],T_TraitDi[#Data],COLUMN(T_TraitDi[Jeudi]),FALSE),"")</f>
        <v/>
      </c>
      <c r="AV75" s="284" t="e">
        <f>IF(VLOOKUP(T_Convention[[#This Row],[NumL]],T_TraitDi[#Data],COLUMN(T_TraitDi[Colonne21]),FALSE)=0,"",TEXT(IFERROR(VLOOKUP(T_Convention[[#This Row],[NumL]],T_TraitDi[#Data],COLUMN(T_TraitDi[Colonne21]),FALSE),""),"[hh]:mm"))</f>
        <v>#N/A</v>
      </c>
      <c r="AW75" s="284" t="e">
        <f>IF(VLOOKUP(T_Convention[[#This Row],[NumL]],T_TraitDi[#Data],COLUMN(T_TraitDi[Colonne22]),FALSE)=0,"",TEXT(IFERROR(VLOOKUP(T_Convention[[#This Row],[NumL]],T_TraitDi[#Data],COLUMN(T_TraitDi[Colonne22]),FALSE),""),"[hh]:mm"))</f>
        <v>#N/A</v>
      </c>
      <c r="AX75" s="284" t="str">
        <f>IFERROR(VLOOKUP(T_Convention[[#This Row],[NumL]],T_TraitDi[#Data],COLUMN(T_TraitDi[Colonne23]),FALSE),"")</f>
        <v/>
      </c>
      <c r="AY75" s="284" t="e">
        <f>IF(VLOOKUP(T_Convention[[#This Row],[NumL]],T_TraitDi[#Data],COLUMN(T_TraitDi[Colonne24]),FALSE)=0,"",TEXT(IFERROR(VLOOKUP(T_Convention[[#This Row],[NumL]],T_TraitDi[#Data],COLUMN(T_TraitDi[Colonne24]),FALSE),""),"[hh]:mm"))</f>
        <v>#N/A</v>
      </c>
      <c r="AZ75" s="284" t="e">
        <f>IF(VLOOKUP(T_Convention[[#This Row],[NumL]],T_TraitDi[#Data],COLUMN(T_TraitDi[Colonne25]),FALSE)=0,"",TEXT(IFERROR(VLOOKUP(T_Convention[[#This Row],[NumL]],T_TraitDi[#Data],COLUMN(T_TraitDi[Colonne25]),FALSE),""),"[hh]:mm"))</f>
        <v>#N/A</v>
      </c>
      <c r="BA75" s="284" t="e">
        <f>IF(VLOOKUP(T_Convention[[#This Row],[NumL]],T_TraitDi[#Data],COLUMN(T_TraitDi[Colonne26]),FALSE)=0,"",TEXT(IFERROR(VLOOKUP(T_Convention[[#This Row],[NumL]],T_TraitDi[#Data],COLUMN(T_TraitDi[Colonne26]),FALSE),""),"[hh]:mm"))</f>
        <v>#N/A</v>
      </c>
      <c r="BB75" s="284" t="str">
        <f>IFERROR(VLOOKUP(T_Convention[[#This Row],[NumL]],T_TraitDi[#Data],COLUMN(T_TraitDi[Vendredi]),FALSE),"")</f>
        <v/>
      </c>
      <c r="BC75" s="284" t="e">
        <f>IF(VLOOKUP(T_Convention[[#This Row],[NumL]],T_TraitDi[#Data],COLUMN(T_TraitDi[Colonne27]),FALSE)=0,"",TEXT(IFERROR(VLOOKUP(T_Convention[[#This Row],[NumL]],T_TraitDi[#Data],COLUMN(T_TraitDi[Colonne27]),FALSE),""),"[hh]:mm"))</f>
        <v>#N/A</v>
      </c>
      <c r="BD75" s="284" t="e">
        <f>IF(VLOOKUP(T_Convention[[#This Row],[NumL]],T_TraitDi[#Data],COLUMN(T_TraitDi[Colonne28]),FALSE)=0,"",TEXT(IFERROR(VLOOKUP(T_Convention[[#This Row],[NumL]],T_TraitDi[#Data],COLUMN(T_TraitDi[Colonne28]),FALSE),""),"[hh]:mm"))</f>
        <v>#N/A</v>
      </c>
      <c r="BE75" s="284" t="str">
        <f>IFERROR(VLOOKUP(T_Convention[[#This Row],[NumL]],T_TraitDi[#Data],COLUMN(T_TraitDi[Colonne29]),FALSE),"")</f>
        <v/>
      </c>
      <c r="BF75" s="284" t="e">
        <f>IF(VLOOKUP(T_Convention[[#This Row],[NumL]],T_TraitDi[#Data],COLUMN(T_TraitDi[Colonne30]),FALSE)=0,"",TEXT(IFERROR(VLOOKUP(T_Convention[[#This Row],[NumL]],T_TraitDi[#Data],COLUMN(T_TraitDi[Colonne30]),FALSE),""),"[hh]:mm"))</f>
        <v>#N/A</v>
      </c>
      <c r="BG75" s="284" t="e">
        <f>IF(VLOOKUP(T_Convention[[#This Row],[NumL]],T_TraitDi[#Data],COLUMN(T_TraitDi[Colonne31]),FALSE)=0,"",TEXT(IFERROR(VLOOKUP(T_Convention[[#This Row],[NumL]],T_TraitDi[#Data],COLUMN(T_TraitDi[Colonne31]),FALSE),""),"[hh]:mm"))</f>
        <v>#N/A</v>
      </c>
      <c r="BH75" s="284" t="e">
        <f>IF(VLOOKUP(T_Convention[[#This Row],[NumL]],T_TraitDi[#Data],COLUMN(T_TraitDi[Colonne32]),FALSE)=0,"",TEXT(IFERROR(VLOOKUP(T_Convention[[#This Row],[NumL]],T_TraitDi[#Data],COLUMN(T_TraitDi[Colonne32]),FALSE),""),"[hh]:mm"))</f>
        <v>#N/A</v>
      </c>
      <c r="BI75" s="284" t="str">
        <f>IFERROR(VLOOKUP(T_Convention[[#This Row],[NumL]],T_TraitDi[#Data],COLUMN(T_TraitDi[NbJTW]),FALSE),"")</f>
        <v/>
      </c>
      <c r="BJ75" s="284" t="e">
        <f>IF(VLOOKUP(T_Convention[[#This Row],[NumL]],T_TraitDi[#Data],COLUMN(T_TraitDi[NbhTW]),FALSE)=0,"",TEXT(IFERROR(VLOOKUP(T_Convention[[#This Row],[NumL]],T_TraitDi[#Data],COLUMN(T_TraitDi[NbhTW]),FALSE),""),"[hh]:mm"))</f>
        <v>#N/A</v>
      </c>
      <c r="BK75" s="286" t="e">
        <f>IF(VLOOKUP(T_Convention[[#This Row],[NumL]],T_TraitDi[#Data],COLUMN(T_TraitDi[Nbhheb]),FALSE)=0,"",TEXT(IFERROR(VLOOKUP(T_Convention[[#This Row],[NumL]],T_TraitDi[#Data],COLUMN(T_TraitDi[Nbhheb]),FALSE),""),"[hh]:mm"))</f>
        <v>#N/A</v>
      </c>
      <c r="BL75" s="287" t="str">
        <f>IFERROR(VLOOKUP(VLOOKUP(T_Convention[[#This Row],[NumL]],T_TraitDi[#Data],COLUMN(T_TraitDi[Type1]),FALSE),TypeTW,2,FALSE),"")</f>
        <v/>
      </c>
      <c r="BM75" s="288" t="str">
        <f>IFERROR(VLOOKUP(T_Convention[[#This Row],[NumL]],T_TraitDi[#Data],COLUMN(T_TraitDi[Rue1]),FALSE),"")</f>
        <v/>
      </c>
      <c r="BN75" s="289" t="str">
        <f>IFERROR(VLOOKUP(T_Convention[[#This Row],[NumL]],T_TraitDi[#Data],COLUMN(T_TraitDi[CP1]),FALSE),"")</f>
        <v/>
      </c>
      <c r="BO75" s="282" t="str">
        <f>IFERROR(VLOOKUP(T_Convention[[#This Row],[NumL]],T_TraitDi[#Data],COLUMN(T_TraitDi[VILLE1]),FALSE),"")</f>
        <v/>
      </c>
      <c r="BP75" s="290" t="str">
        <f>IFERROR(VLOOKUP(VLOOKUP(T_Convention[[#This Row],[NumL]],T_TraitDi[#Data],COLUMN(T_TraitDi[Type2]),FALSE),TypeTW,2,FALSE),"")</f>
        <v/>
      </c>
      <c r="BQ75" s="182" t="str">
        <f>IFERROR(VLOOKUP(T_Convention[[#This Row],[NumL]],T_TraitDi[#Data],COLUMN(T_TraitDi[Rue2]),FALSE),"")</f>
        <v/>
      </c>
      <c r="BR75" s="173" t="str">
        <f>IFERROR(VLOOKUP(T_Convention[[#This Row],[NumL]],T_TraitDi[#Data],COLUMN(T_TraitDi[CP2]),FALSE),"")</f>
        <v/>
      </c>
      <c r="BS75" s="173" t="str">
        <f>IFERROR(VLOOKUP(T_Convention[[#This Row],[NumL]],T_TraitDi[#Data],COLUMN(T_TraitDi[VILLE2]),FALSE),"")</f>
        <v/>
      </c>
      <c r="BT75" s="182" t="str">
        <f>IF(VLOOKUP(T_Convention[[#This Row],[NumL]],T_Equipement[#Data],COLUMN(T_Equipement[PC]),FALSE)="","Aucun équipement spécifique directement lié au télétravail",VLOOKUP(T_Convention[[#This Row],[NumL]],T_Equipement[#Data],COLUMN(T_Equipement[PC]),FALSE))</f>
        <v xml:space="preserve">SCD2014PORT01	</v>
      </c>
      <c r="BU75" s="166" t="str">
        <f>IFERROR(IF(VLOOKUP(T_Convention[[#This Row],[NumL]],T_TraitDi[#Data],COLUMN(T_TraitDi[Plan]),FALSE)="OK","Un planning spécifique de télétravail est annexé à la présente convention.",""),"")</f>
        <v/>
      </c>
      <c r="BV75" s="185" t="s">
        <v>3398</v>
      </c>
      <c r="BW75" s="164" t="e">
        <f>IF(VLOOKUP(T_Convention[[#This Row],[NumL]],T_suiviDi[#Data],COLUMN(T_suiviDi[Entité]),FALSE)="","",VLOOKUP(T_Convention[[#This Row],[NumL]],T_suiviDi[#Data],COLUMN(T_suiviDi[Entité]),FALSE))</f>
        <v>#N/A</v>
      </c>
      <c r="BX75" s="164" t="str">
        <f>IF(VLOOKUP(T_Convention[[#This Row],[NumL]],T_Commission[#Data],COLUMN(T_Commission[envoi confirm TW]),FALSE)="","",VLOOKUP(T_Convention[[#This Row],[NumL]],T_Commission[#Data],COLUMN(T_Commission[envoi confirm TW]),FALSE))</f>
        <v>Oui</v>
      </c>
      <c r="BY7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5" s="264">
        <f>VLOOKUP(T_Convention[[#This Row],[NumL]],T_Commission[#Data],COLUMN(T_Commission[Commentaire]),FALSE)</f>
        <v>0</v>
      </c>
      <c r="CA75" s="254" t="str">
        <f>IF(VLOOKUP(T_Convention[[#This Row],[NumL]],T_Commission[#Data],COLUMN(T_Commission[Encadrant Email]),FALSE)="","",VLOOKUP(T_Convention[[#This Row],[NumL]],T_Commission[#Data],COLUMN(T_Commission[Encadrant Email]),FALSE))</f>
        <v/>
      </c>
      <c r="CB75" s="352" t="e">
        <f>VLOOKUP(T_Convention[[#This Row],[NumL]],T_TraitDi[#Data],COLUMN(T_TraitDi[NbJTot]),FALSE)</f>
        <v>#N/A</v>
      </c>
      <c r="CC75" s="352" t="e">
        <f>VLOOKUP(T_Convention[[#This Row],[NumL]],T_TraitDi[#Data],COLUMN(T_TraitDi[Reg Ponct]),FALSE)</f>
        <v>#N/A</v>
      </c>
      <c r="CD75" s="348" t="str">
        <f>IF(T_Convention[[#This Row],[Final]]&lt;&gt;"",VLOOKUP(T_Convention[[#This Row],[NumL]],T_suiviDi[#Data],COLUMN((T_suiviDi[Statut])),FALSE),"")</f>
        <v/>
      </c>
    </row>
    <row r="76" spans="1:82" s="106" customFormat="1" ht="18.75" customHeight="1" x14ac:dyDescent="0.25">
      <c r="A76" s="160">
        <v>312</v>
      </c>
      <c r="B76" s="281" t="str">
        <f>VLOOKUP(T_Convention[[#This Row],[NumL]],T_Commission[#Data],COLUMN(T_Commission[FINAL]),FALSE)</f>
        <v/>
      </c>
      <c r="C76" s="162"/>
      <c r="D76" s="95" t="e">
        <f>IF(VLOOKUP(T_Convention[[#This Row],[NumL]],T_TraitDi[#Data],COLUMN(T_TraitDi[WebC]),FALSE)="","",VLOOKUP(T_Convention[[#This Row],[NumL]],T_TraitDi[#Data],COLUMN(T_TraitDi[WebC]),FALSE))</f>
        <v>#N/A</v>
      </c>
      <c r="E76" s="163" t="str">
        <f t="shared" si="5"/>
        <v>12 janvier 2021</v>
      </c>
      <c r="F76" s="282" t="str">
        <f>IF(T_Convention[[#This Row],[Final]]&lt;&gt;"",VLOOKUP(T_Convention[[#This Row],[NumL]],T_suiviDi[#Data],COLUMN((T_suiviDi[Civ.])),FALSE),"")</f>
        <v/>
      </c>
      <c r="G76" s="283" t="str">
        <f>IF(T_Convention[[#This Row],[Final]]&lt;&gt;"",VLOOKUP(T_Convention[[#This Row],[NumL]],T_suiviDi[#Data],COLUMN((T_suiviDi[Nom])),FALSE),"")</f>
        <v/>
      </c>
      <c r="H76" s="282" t="str">
        <f>IF(T_Convention[[#This Row],[Final]]&lt;&gt;"",VLOOKUP(T_Convention[[#This Row],[NumL]],T_suiviDi[#Data],COLUMN((T_suiviDi[Prénom])),FALSE),"")</f>
        <v/>
      </c>
      <c r="I76" s="282" t="e">
        <f>VLOOKUP(T_Convention[[#This Row],[NumL]],T_suiviDi[#Data],COLUMN((T_suiviDi[[#This Row],[Email]])),FALSE)</f>
        <v>#VALUE!</v>
      </c>
      <c r="J76" s="282" t="e">
        <f>IF(VLOOKUP(T_Convention[[#This Row],[NumL]],T_suiviDi[#Data],COLUMN(T_suiviDi[[#This Row],[Fonction]]),FALSE)="","",VLOOKUP(T_Convention[[#This Row],[NumL]],T_suiviDi[#Data],COLUMN(T_suiviDi[[#This Row],[Fonction]]),FALSE))</f>
        <v>#VALUE!</v>
      </c>
      <c r="K76" s="282" t="e">
        <f>IF(VLOOKUP(T_Convention[[#This Row],[NumL]],T_suiviDi[#Data],COLUMN(T_suiviDi[[#This Row],[Grade]]),FALSE)="","",VLOOKUP(T_Convention[[#This Row],[NumL]],T_suiviDi[#Data],COLUMN(T_suiviDi[[#This Row],[Grade]]),FALSE))</f>
        <v>#VALUE!</v>
      </c>
      <c r="L76" s="282" t="e">
        <f>IF(VLOOKUP(T_Convention[[#This Row],[NumL]],T_suiviDi[#Data],COLUMN(T_suiviDi[[#This Row],[Service ]]),FALSE)="","",VLOOKUP(T_Convention[[#This Row],[NumL]],T_suiviDi[#Data],COLUMN(T_suiviDi[[#This Row],[Service ]]),FALSE))</f>
        <v>#VALUE!</v>
      </c>
      <c r="M76" s="314" t="str">
        <f t="shared" si="6"/>
        <v>01 septembre 2021</v>
      </c>
      <c r="N76" s="314" t="str">
        <f t="shared" si="7"/>
        <v>30 novembre 2021</v>
      </c>
      <c r="O76" s="284" t="str">
        <f t="shared" si="8"/>
        <v>30 novembre 2021</v>
      </c>
      <c r="P76" s="282" t="e">
        <f>IF(VLOOKUP(T_Convention[[#This Row],[NumL]],T_TraitDi[#Data],COLUMN(T_TraitDi[M1]),FALSE)="","",VLOOKUP(T_Convention[[#This Row],[NumL]],T_TraitDi[#Data],COLUMN(T_TraitDi[M1]),FALSE))</f>
        <v>#N/A</v>
      </c>
      <c r="Q76" s="282" t="e">
        <f>IF(VLOOKUP(T_Convention[[#This Row],[NumL]],T_TraitDi[#Data],COLUMN(T_TraitDi[M2]),FALSE)="","",VLOOKUP(T_Convention[[#This Row],[NumL]],T_TraitDi[#Data],COLUMN(T_TraitDi[M2]),FALSE))</f>
        <v>#N/A</v>
      </c>
      <c r="R76" s="282" t="e">
        <f>IF(VLOOKUP(T_Convention[[#This Row],[NumL]],T_TraitDi[#Data],COLUMN(T_TraitDi[M3]),FALSE)="","",VLOOKUP(T_Convention[[#This Row],[NumL]],T_TraitDi[#Data],COLUMN(T_TraitDi[M3]),FALSE))</f>
        <v>#N/A</v>
      </c>
      <c r="S76" s="282" t="e">
        <f>IF(VLOOKUP(T_Convention[[#This Row],[NumL]],T_TraitDi[#Data],COLUMN(T_TraitDi[M4]),FALSE)="","",VLOOKUP(T_Convention[[#This Row],[NumL]],T_TraitDi[#Data],COLUMN(T_TraitDi[M4]),FALSE))</f>
        <v>#N/A</v>
      </c>
      <c r="T76" s="282" t="e">
        <f>IF(VLOOKUP(T_Convention[[#This Row],[NumL]],T_TraitDi[#Data],COLUMN(T_TraitDi[M5]),FALSE)="","",VLOOKUP(T_Convention[[#This Row],[NumL]],T_TraitDi[#Data],COLUMN(T_TraitDi[M5]),FALSE))</f>
        <v>#N/A</v>
      </c>
      <c r="U76" s="282" t="e">
        <f>IF(VLOOKUP(T_Convention[[#This Row],[NumL]],T_TraitDi[#Data],COLUMN(T_TraitDi[M6]),FALSE)="","",VLOOKUP(T_Convention[[#This Row],[NumL]],T_TraitDi[#Data],COLUMN(T_TraitDi[M6]),FALSE))</f>
        <v>#N/A</v>
      </c>
      <c r="V76" s="314" t="e">
        <f t="shared" si="9"/>
        <v>#N/A</v>
      </c>
      <c r="W76" s="284" t="str">
        <f>IFERROR(TEXT(VLOOKUP(T_Convention[[#This Row],[NumL]],T_TraitDi[#Data],COLUMN(T_TraitDi[Q2]),FALSE),"###%"),"")</f>
        <v/>
      </c>
      <c r="X76" s="285" t="e">
        <f>VLOOKUP(T_Convention[[#This Row],[NumL]],T_TraitDi[#Data],COLUMN(T_TraitDi[Reg Ponct]),FALSE)</f>
        <v>#N/A</v>
      </c>
      <c r="Y76" s="285" t="e">
        <f>VLOOKUP(T_Convention[NumL],T_TraitDi[#Data],COLUMN(T_TraitDi[Jours flottants]),FALSE)</f>
        <v>#N/A</v>
      </c>
      <c r="Z76" s="284" t="str">
        <f>IFERROR(VLOOKUP(T_Convention[[#This Row],[NumL]],T_TraitDi[#Data],COLUMN(T_TraitDi[Lundi]),FALSE),"")</f>
        <v/>
      </c>
      <c r="AA76" s="284" t="e">
        <f>IF(VLOOKUP(T_Convention[[#This Row],[NumL]],T_TraitDi[#Data],COLUMN(T_TraitDi[Colonne3]),FALSE)=0,"",TEXT(IFERROR(VLOOKUP(T_Convention[[#This Row],[NumL]],T_TraitDi[#Data],COLUMN(T_TraitDi[Colonne3]),FALSE),""),"[hh]:mm"))</f>
        <v>#N/A</v>
      </c>
      <c r="AB76" s="284" t="e">
        <f>IF(VLOOKUP(T_Convention[[#This Row],[NumL]],T_TraitDi[#Data],COLUMN(T_TraitDi[Colonne4]),FALSE)=0,"",TEXT(IFERROR(VLOOKUP(T_Convention[[#This Row],[NumL]],T_TraitDi[#Data],COLUMN(T_TraitDi[Colonne4]),FALSE),""),"[hh]:mm"))</f>
        <v>#N/A</v>
      </c>
      <c r="AC76" s="284" t="e">
        <f>IF(VLOOKUP(T_Convention[[#This Row],[NumL]],T_TraitDi[#Data],COLUMN(T_TraitDi[Colonne5]),FALSE)=0,"",TEXT(IFERROR(VLOOKUP(T_Convention[[#This Row],[NumL]],T_TraitDi[#Data],COLUMN(T_TraitDi[Colonne5]),FALSE),""),"[hh]:mm"))</f>
        <v>#N/A</v>
      </c>
      <c r="AD76" s="284" t="e">
        <f>IF(VLOOKUP(T_Convention[[#This Row],[NumL]],T_TraitDi[#Data],COLUMN(T_TraitDi[Colonne6]),FALSE)=0,"",TEXT(IFERROR(VLOOKUP(T_Convention[[#This Row],[NumL]],T_TraitDi[#Data],COLUMN(T_TraitDi[Colonne6]),FALSE),""),"[hh]:mm"))</f>
        <v>#N/A</v>
      </c>
      <c r="AE76" s="284" t="e">
        <f>IF(VLOOKUP(T_Convention[[#This Row],[NumL]],T_TraitDi[#Data],COLUMN(T_TraitDi[Colonne7]),FALSE)=0,"",TEXT(IFERROR(VLOOKUP(T_Convention[[#This Row],[NumL]],T_TraitDi[#Data],COLUMN(T_TraitDi[Colonne7]),FALSE),""),"[hh]:mm"))</f>
        <v>#N/A</v>
      </c>
      <c r="AF76" s="284" t="e">
        <f>IF(VLOOKUP(T_Convention[[#This Row],[NumL]],T_TraitDi[#Data],COLUMN(T_TraitDi[Colonne8]),FALSE)=0,"",TEXT(IFERROR(VLOOKUP(T_Convention[[#This Row],[NumL]],T_TraitDi[#Data],COLUMN(T_TraitDi[Colonne8]),FALSE),""),"[hh]:mm"))</f>
        <v>#N/A</v>
      </c>
      <c r="AG76" s="284" t="str">
        <f>IFERROR(VLOOKUP(T_Convention[[#This Row],[NumL]],T_TraitDi[#Data],COLUMN(T_TraitDi[Mardi]),FALSE),"")</f>
        <v/>
      </c>
      <c r="AH76" s="284" t="e">
        <f>IF(VLOOKUP(T_Convention[[#This Row],[NumL]],T_TraitDi[#Data],COLUMN(T_TraitDi[Colonne1]),FALSE)=0,"",TEXT(IFERROR(VLOOKUP(T_Convention[[#This Row],[NumL]],T_TraitDi[#Data],COLUMN(T_TraitDi[Colonne1]),FALSE),""),"[hh]:mm"))</f>
        <v>#N/A</v>
      </c>
      <c r="AI76" s="284" t="e">
        <f>IF(VLOOKUP(T_Convention[[#This Row],[NumL]],T_TraitDi[#Data],COLUMN(T_TraitDi[Colonne9]),FALSE)=0,"",TEXT(IFERROR(VLOOKUP(T_Convention[[#This Row],[NumL]],T_TraitDi[#Data],COLUMN(T_TraitDi[Colonne9]),FALSE),""),"[hh]:mm"))</f>
        <v>#N/A</v>
      </c>
      <c r="AJ76" s="284" t="str">
        <f>IFERROR(VLOOKUP(T_Convention[[#This Row],[NumL]],T_TraitDi[#Data],COLUMN(T_TraitDi[Colonne10]),FALSE),"")</f>
        <v/>
      </c>
      <c r="AK76" s="284" t="e">
        <f>IF(VLOOKUP(T_Convention[[#This Row],[NumL]],T_TraitDi[#Data],COLUMN(T_TraitDi[Colonne11]),FALSE)=0,"",TEXT(IFERROR(VLOOKUP(T_Convention[[#This Row],[NumL]],T_TraitDi[#Data],COLUMN(T_TraitDi[Colonne11]),FALSE),""),"[hh]:mm"))</f>
        <v>#N/A</v>
      </c>
      <c r="AL76" s="284" t="e">
        <f>IF(VLOOKUP(T_Convention[[#This Row],[NumL]],T_TraitDi[#Data],COLUMN(T_TraitDi[Colonne12]),FALSE)=0,"",TEXT(IFERROR(VLOOKUP(T_Convention[[#This Row],[NumL]],T_TraitDi[#Data],COLUMN(T_TraitDi[Colonne12]),FALSE),""),"[hh]:mm"))</f>
        <v>#N/A</v>
      </c>
      <c r="AM76" s="284" t="e">
        <f>IF(VLOOKUP(T_Convention[[#This Row],[NumL]],T_TraitDi[#Data],COLUMN(T_TraitDi[Colonne14]),FALSE)=0,"",TEXT(IFERROR(VLOOKUP(T_Convention[[#This Row],[NumL]],T_TraitDi[#Data],COLUMN(T_TraitDi[Colonne14]),FALSE),""),"[hh]:mm"))</f>
        <v>#N/A</v>
      </c>
      <c r="AN76" s="284" t="str">
        <f>IFERROR(VLOOKUP(T_Convention[[#This Row],[NumL]],T_TraitDi[#Data],COLUMN(T_TraitDi[Mercredi]),FALSE),"")</f>
        <v/>
      </c>
      <c r="AO76" s="284" t="e">
        <f>IF(VLOOKUP(T_Convention[[#This Row],[NumL]],T_TraitDi[#Data],COLUMN(T_TraitDi[Colonne15]),FALSE)=0,"",TEXT(IFERROR(VLOOKUP(T_Convention[[#This Row],[NumL]],T_TraitDi[#Data],COLUMN(T_TraitDi[Colonne15]),FALSE),""),"[hh]:mm"))</f>
        <v>#N/A</v>
      </c>
      <c r="AP76" s="284" t="e">
        <f>IF(VLOOKUP(T_Convention[[#This Row],[NumL]],T_TraitDi[#Data],COLUMN(T_TraitDi[Colonne16]),FALSE)=0,"",TEXT(IFERROR(VLOOKUP(T_Convention[[#This Row],[NumL]],T_TraitDi[#Data],COLUMN(T_TraitDi[Colonne16]),FALSE),""),"[hh]:mm"))</f>
        <v>#N/A</v>
      </c>
      <c r="AQ76" s="284" t="str">
        <f>IFERROR(VLOOKUP(T_Convention[[#This Row],[NumL]],T_TraitDi[#Data],COLUMN(T_TraitDi[Colonne17]),FALSE),"")</f>
        <v/>
      </c>
      <c r="AR76" s="284" t="e">
        <f>IF(VLOOKUP(T_Convention[[#This Row],[NumL]],T_TraitDi[#Data],COLUMN(T_TraitDi[Colonne18]),FALSE)=0,"",TEXT(IFERROR(VLOOKUP(T_Convention[[#This Row],[NumL]],T_TraitDi[#Data],COLUMN(T_TraitDi[Colonne18]),FALSE),""),"[hh]:mm"))</f>
        <v>#N/A</v>
      </c>
      <c r="AS76" s="284" t="e">
        <f>IF(VLOOKUP(T_Convention[[#This Row],[NumL]],T_TraitDi[#Data],COLUMN(T_TraitDi[Colonne19]),FALSE)=0,"",TEXT(IFERROR(VLOOKUP(T_Convention[[#This Row],[NumL]],T_TraitDi[#Data],COLUMN(T_TraitDi[Colonne19]),FALSE),""),"[hh]:mm"))</f>
        <v>#N/A</v>
      </c>
      <c r="AT76" s="284" t="e">
        <f>IF(VLOOKUP(T_Convention[[#This Row],[NumL]],T_TraitDi[#Data],COLUMN(T_TraitDi[Colonne20]),FALSE)=0,"",TEXT(IFERROR(VLOOKUP(T_Convention[[#This Row],[NumL]],T_TraitDi[#Data],COLUMN(T_TraitDi[Colonne20]),FALSE),""),"[hh]:mm"))</f>
        <v>#N/A</v>
      </c>
      <c r="AU76" s="284" t="str">
        <f>IFERROR(VLOOKUP(T_Convention[[#This Row],[NumL]],T_TraitDi[#Data],COLUMN(T_TraitDi[Jeudi]),FALSE),"")</f>
        <v/>
      </c>
      <c r="AV76" s="284" t="e">
        <f>IF(VLOOKUP(T_Convention[[#This Row],[NumL]],T_TraitDi[#Data],COLUMN(T_TraitDi[Colonne21]),FALSE)=0,"",TEXT(IFERROR(VLOOKUP(T_Convention[[#This Row],[NumL]],T_TraitDi[#Data],COLUMN(T_TraitDi[Colonne21]),FALSE),""),"[hh]:mm"))</f>
        <v>#N/A</v>
      </c>
      <c r="AW76" s="284" t="e">
        <f>IF(VLOOKUP(T_Convention[[#This Row],[NumL]],T_TraitDi[#Data],COLUMN(T_TraitDi[Colonne22]),FALSE)=0,"",TEXT(IFERROR(VLOOKUP(T_Convention[[#This Row],[NumL]],T_TraitDi[#Data],COLUMN(T_TraitDi[Colonne22]),FALSE),""),"[hh]:mm"))</f>
        <v>#N/A</v>
      </c>
      <c r="AX76" s="284" t="str">
        <f>IFERROR(VLOOKUP(T_Convention[[#This Row],[NumL]],T_TraitDi[#Data],COLUMN(T_TraitDi[Colonne23]),FALSE),"")</f>
        <v/>
      </c>
      <c r="AY76" s="284" t="e">
        <f>IF(VLOOKUP(T_Convention[[#This Row],[NumL]],T_TraitDi[#Data],COLUMN(T_TraitDi[Colonne24]),FALSE)=0,"",TEXT(IFERROR(VLOOKUP(T_Convention[[#This Row],[NumL]],T_TraitDi[#Data],COLUMN(T_TraitDi[Colonne24]),FALSE),""),"[hh]:mm"))</f>
        <v>#N/A</v>
      </c>
      <c r="AZ76" s="284" t="e">
        <f>IF(VLOOKUP(T_Convention[[#This Row],[NumL]],T_TraitDi[#Data],COLUMN(T_TraitDi[Colonne25]),FALSE)=0,"",TEXT(IFERROR(VLOOKUP(T_Convention[[#This Row],[NumL]],T_TraitDi[#Data],COLUMN(T_TraitDi[Colonne25]),FALSE),""),"[hh]:mm"))</f>
        <v>#N/A</v>
      </c>
      <c r="BA76" s="284" t="e">
        <f>IF(VLOOKUP(T_Convention[[#This Row],[NumL]],T_TraitDi[#Data],COLUMN(T_TraitDi[Colonne26]),FALSE)=0,"",TEXT(IFERROR(VLOOKUP(T_Convention[[#This Row],[NumL]],T_TraitDi[#Data],COLUMN(T_TraitDi[Colonne26]),FALSE),""),"[hh]:mm"))</f>
        <v>#N/A</v>
      </c>
      <c r="BB76" s="284" t="str">
        <f>IFERROR(VLOOKUP(T_Convention[[#This Row],[NumL]],T_TraitDi[#Data],COLUMN(T_TraitDi[Vendredi]),FALSE),"")</f>
        <v/>
      </c>
      <c r="BC76" s="284" t="e">
        <f>IF(VLOOKUP(T_Convention[[#This Row],[NumL]],T_TraitDi[#Data],COLUMN(T_TraitDi[Colonne27]),FALSE)=0,"",TEXT(IFERROR(VLOOKUP(T_Convention[[#This Row],[NumL]],T_TraitDi[#Data],COLUMN(T_TraitDi[Colonne27]),FALSE),""),"[hh]:mm"))</f>
        <v>#N/A</v>
      </c>
      <c r="BD76" s="284" t="e">
        <f>IF(VLOOKUP(T_Convention[[#This Row],[NumL]],T_TraitDi[#Data],COLUMN(T_TraitDi[Colonne28]),FALSE)=0,"",TEXT(IFERROR(VLOOKUP(T_Convention[[#This Row],[NumL]],T_TraitDi[#Data],COLUMN(T_TraitDi[Colonne28]),FALSE),""),"[hh]:mm"))</f>
        <v>#N/A</v>
      </c>
      <c r="BE76" s="284" t="str">
        <f>IFERROR(VLOOKUP(T_Convention[[#This Row],[NumL]],T_TraitDi[#Data],COLUMN(T_TraitDi[Colonne29]),FALSE),"")</f>
        <v/>
      </c>
      <c r="BF76" s="284" t="e">
        <f>IF(VLOOKUP(T_Convention[[#This Row],[NumL]],T_TraitDi[#Data],COLUMN(T_TraitDi[Colonne30]),FALSE)=0,"",TEXT(IFERROR(VLOOKUP(T_Convention[[#This Row],[NumL]],T_TraitDi[#Data],COLUMN(T_TraitDi[Colonne30]),FALSE),""),"[hh]:mm"))</f>
        <v>#N/A</v>
      </c>
      <c r="BG76" s="284" t="e">
        <f>IF(VLOOKUP(T_Convention[[#This Row],[NumL]],T_TraitDi[#Data],COLUMN(T_TraitDi[Colonne31]),FALSE)=0,"",TEXT(IFERROR(VLOOKUP(T_Convention[[#This Row],[NumL]],T_TraitDi[#Data],COLUMN(T_TraitDi[Colonne31]),FALSE),""),"[hh]:mm"))</f>
        <v>#N/A</v>
      </c>
      <c r="BH76" s="284" t="e">
        <f>IF(VLOOKUP(T_Convention[[#This Row],[NumL]],T_TraitDi[#Data],COLUMN(T_TraitDi[Colonne32]),FALSE)=0,"",TEXT(IFERROR(VLOOKUP(T_Convention[[#This Row],[NumL]],T_TraitDi[#Data],COLUMN(T_TraitDi[Colonne32]),FALSE),""),"[hh]:mm"))</f>
        <v>#N/A</v>
      </c>
      <c r="BI76" s="284" t="str">
        <f>IFERROR(VLOOKUP(T_Convention[[#This Row],[NumL]],T_TraitDi[#Data],COLUMN(T_TraitDi[NbJTW]),FALSE),"")</f>
        <v/>
      </c>
      <c r="BJ76" s="284" t="e">
        <f>IF(VLOOKUP(T_Convention[[#This Row],[NumL]],T_TraitDi[#Data],COLUMN(T_TraitDi[NbhTW]),FALSE)=0,"",TEXT(IFERROR(VLOOKUP(T_Convention[[#This Row],[NumL]],T_TraitDi[#Data],COLUMN(T_TraitDi[NbhTW]),FALSE),""),"[hh]:mm"))</f>
        <v>#N/A</v>
      </c>
      <c r="BK76" s="315" t="e">
        <f>IF(VLOOKUP(T_Convention[[#This Row],[NumL]],T_TraitDi[#Data],COLUMN(T_TraitDi[Nbhheb]),FALSE)=0,"",TEXT(IFERROR(VLOOKUP(T_Convention[[#This Row],[NumL]],T_TraitDi[#Data],COLUMN(T_TraitDi[Nbhheb]),FALSE),""),"[hh]:mm"))</f>
        <v>#N/A</v>
      </c>
      <c r="BL76" s="287" t="str">
        <f>IFERROR(VLOOKUP(VLOOKUP(T_Convention[[#This Row],[NumL]],T_TraitDi[#Data],COLUMN(T_TraitDi[Type1]),FALSE),TypeTW,2,FALSE),"")</f>
        <v/>
      </c>
      <c r="BM76" s="288" t="str">
        <f>IFERROR(VLOOKUP(T_Convention[[#This Row],[NumL]],T_TraitDi[#Data],COLUMN(T_TraitDi[Rue1]),FALSE),"")</f>
        <v/>
      </c>
      <c r="BN76" s="289" t="str">
        <f>IFERROR(VLOOKUP(T_Convention[[#This Row],[NumL]],T_TraitDi[#Data],COLUMN(T_TraitDi[CP1]),FALSE),"")</f>
        <v/>
      </c>
      <c r="BO76" s="282" t="str">
        <f>IFERROR(VLOOKUP(T_Convention[[#This Row],[NumL]],T_TraitDi[#Data],COLUMN(T_TraitDi[VILLE1]),FALSE),"")</f>
        <v/>
      </c>
      <c r="BP76" s="290" t="str">
        <f>IFERROR(VLOOKUP(VLOOKUP(T_Convention[[#This Row],[NumL]],T_TraitDi[#Data],COLUMN(T_TraitDi[Type2]),FALSE),TypeTW,2,FALSE),"")</f>
        <v/>
      </c>
      <c r="BQ76" s="310" t="str">
        <f>IFERROR(VLOOKUP(T_Convention[[#This Row],[NumL]],T_TraitDi[#Data],COLUMN(T_TraitDi[Rue2]),FALSE),"")</f>
        <v/>
      </c>
      <c r="BR76" s="290" t="str">
        <f>IFERROR(VLOOKUP(T_Convention[[#This Row],[NumL]],T_TraitDi[#Data],COLUMN(T_TraitDi[CP2]),FALSE),"")</f>
        <v/>
      </c>
      <c r="BS76" s="290" t="str">
        <f>IFERROR(VLOOKUP(T_Convention[[#This Row],[NumL]],T_TraitDi[#Data],COLUMN(T_TraitDi[VILLE2]),FALSE),"")</f>
        <v/>
      </c>
      <c r="BT7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76" s="314" t="str">
        <f>IFERROR(IF(VLOOKUP(T_Convention[[#This Row],[NumL]],T_TraitDi[#Data],COLUMN(T_TraitDi[Plan]),FALSE)="OK","Un planning spécifique de télétravail est annexé à la présente convention.",""),"")</f>
        <v/>
      </c>
      <c r="BV76" s="291"/>
      <c r="BW76" s="292" t="e">
        <f>IF(VLOOKUP(T_Convention[[#This Row],[NumL]],T_suiviDi[#Data],COLUMN(T_suiviDi[Entité]),FALSE)="","",VLOOKUP(T_Convention[[#This Row],[NumL]],T_suiviDi[#Data],COLUMN(T_suiviDi[Entité]),FALSE))</f>
        <v>#N/A</v>
      </c>
      <c r="BX76" s="311" t="str">
        <f>IF(VLOOKUP(T_Convention[[#This Row],[NumL]],T_Commission[#Data],COLUMN(T_Commission[envoi confirm TW]),FALSE)="","",VLOOKUP(T_Convention[[#This Row],[NumL]],T_Commission[#Data],COLUMN(T_Commission[envoi confirm TW]),FALSE))</f>
        <v>Oui</v>
      </c>
      <c r="BY7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6" s="265">
        <f>VLOOKUP(T_Convention[[#This Row],[NumL]],T_Commission[#Data],COLUMN(T_Commission[Commentaire]),FALSE)</f>
        <v>0</v>
      </c>
      <c r="CA76" s="255" t="str">
        <f>IF(VLOOKUP(T_Convention[[#This Row],[NumL]],T_Commission[#Data],COLUMN(T_Commission[Encadrant Email]),FALSE)="","",VLOOKUP(T_Convention[[#This Row],[NumL]],T_Commission[#Data],COLUMN(T_Commission[Encadrant Email]),FALSE))</f>
        <v/>
      </c>
      <c r="CB76" s="352" t="e">
        <f>VLOOKUP(T_Convention[[#This Row],[NumL]],T_TraitDi[#Data],COLUMN(T_TraitDi[NbJTot]),FALSE)</f>
        <v>#N/A</v>
      </c>
      <c r="CC76" s="352" t="e">
        <f>VLOOKUP(T_Convention[[#This Row],[NumL]],T_TraitDi[#Data],COLUMN(T_TraitDi[Reg Ponct]),FALSE)</f>
        <v>#N/A</v>
      </c>
      <c r="CD76" s="348" t="str">
        <f>IF(T_Convention[[#This Row],[Final]]&lt;&gt;"",VLOOKUP(T_Convention[[#This Row],[NumL]],T_suiviDi[#Data],COLUMN((T_suiviDi[Statut])),FALSE),"")</f>
        <v/>
      </c>
    </row>
    <row r="77" spans="1:82" s="106" customFormat="1" ht="18.75" customHeight="1" x14ac:dyDescent="0.25">
      <c r="A77" s="160">
        <v>119</v>
      </c>
      <c r="B77" s="161" t="str">
        <f>VLOOKUP(T_Convention[[#This Row],[NumL]],T_Commission[#Data],COLUMN(T_Commission[FINAL]),FALSE)</f>
        <v/>
      </c>
      <c r="C77" s="162"/>
      <c r="D77" s="95" t="e">
        <f>IF(VLOOKUP(T_Convention[[#This Row],[NumL]],T_TraitDi[#Data],COLUMN(T_TraitDi[WebC]),FALSE)="","",VLOOKUP(T_Convention[[#This Row],[NumL]],T_TraitDi[#Data],COLUMN(T_TraitDi[WebC]),FALSE))</f>
        <v>#N/A</v>
      </c>
      <c r="E77" s="163" t="str">
        <f t="shared" si="5"/>
        <v>12 janvier 2021</v>
      </c>
      <c r="F77" s="282" t="str">
        <f>IF(T_Convention[[#This Row],[Final]]&lt;&gt;"",VLOOKUP(T_Convention[[#This Row],[NumL]],T_suiviDi[#Data],COLUMN((T_suiviDi[Civ.])),FALSE),"")</f>
        <v/>
      </c>
      <c r="G77" s="283" t="str">
        <f>IF(T_Convention[[#This Row],[Final]]&lt;&gt;"",VLOOKUP(T_Convention[[#This Row],[NumL]],T_suiviDi[#Data],COLUMN((T_suiviDi[Nom])),FALSE),"")</f>
        <v/>
      </c>
      <c r="H77" s="282" t="str">
        <f>IF(T_Convention[[#This Row],[Final]]&lt;&gt;"",VLOOKUP(T_Convention[[#This Row],[NumL]],T_suiviDi[#Data],COLUMN((T_suiviDi[Prénom])),FALSE),"")</f>
        <v/>
      </c>
      <c r="I77" s="282" t="e">
        <f>VLOOKUP(T_Convention[[#This Row],[NumL]],T_suiviDi[#Data],COLUMN((T_suiviDi[[#This Row],[Email]])),FALSE)</f>
        <v>#VALUE!</v>
      </c>
      <c r="J77" s="282" t="e">
        <f>IF(VLOOKUP(T_Convention[[#This Row],[NumL]],T_suiviDi[#Data],COLUMN(T_suiviDi[[#This Row],[Fonction]]),FALSE)="","",VLOOKUP(T_Convention[[#This Row],[NumL]],T_suiviDi[#Data],COLUMN(T_suiviDi[[#This Row],[Fonction]]),FALSE))</f>
        <v>#VALUE!</v>
      </c>
      <c r="K77" s="282" t="e">
        <f>IF(VLOOKUP(T_Convention[[#This Row],[NumL]],T_suiviDi[#Data],COLUMN(T_suiviDi[[#This Row],[Grade]]),FALSE)="","",VLOOKUP(T_Convention[[#This Row],[NumL]],T_suiviDi[#Data],COLUMN(T_suiviDi[[#This Row],[Grade]]),FALSE))</f>
        <v>#VALUE!</v>
      </c>
      <c r="L77" s="282" t="e">
        <f>IF(VLOOKUP(T_Convention[[#This Row],[NumL]],T_suiviDi[#Data],COLUMN(T_suiviDi[[#This Row],[Service ]]),FALSE)="","",VLOOKUP(T_Convention[[#This Row],[NumL]],T_suiviDi[#Data],COLUMN(T_suiviDi[[#This Row],[Service ]]),FALSE))</f>
        <v>#VALUE!</v>
      </c>
      <c r="M77" s="164" t="str">
        <f t="shared" si="6"/>
        <v>01 septembre 2021</v>
      </c>
      <c r="N77" s="164" t="str">
        <f t="shared" si="7"/>
        <v>30 novembre 2021</v>
      </c>
      <c r="O77" s="284" t="str">
        <f t="shared" si="8"/>
        <v>30 novembre 2021</v>
      </c>
      <c r="P77" s="282" t="e">
        <f>IF(VLOOKUP(T_Convention[[#This Row],[NumL]],T_TraitDi[#Data],COLUMN(T_TraitDi[M1]),FALSE)="","",VLOOKUP(T_Convention[[#This Row],[NumL]],T_TraitDi[#Data],COLUMN(T_TraitDi[M1]),FALSE))</f>
        <v>#N/A</v>
      </c>
      <c r="Q77" s="282" t="e">
        <f>IF(VLOOKUP(T_Convention[[#This Row],[NumL]],T_TraitDi[#Data],COLUMN(T_TraitDi[M2]),FALSE)="","",VLOOKUP(T_Convention[[#This Row],[NumL]],T_TraitDi[#Data],COLUMN(T_TraitDi[M2]),FALSE))</f>
        <v>#N/A</v>
      </c>
      <c r="R77" s="282" t="e">
        <f>IF(VLOOKUP(T_Convention[[#This Row],[NumL]],T_TraitDi[#Data],COLUMN(T_TraitDi[M3]),FALSE)="","",VLOOKUP(T_Convention[[#This Row],[NumL]],T_TraitDi[#Data],COLUMN(T_TraitDi[M3]),FALSE))</f>
        <v>#N/A</v>
      </c>
      <c r="S77" s="282" t="e">
        <f>IF(VLOOKUP(T_Convention[[#This Row],[NumL]],T_TraitDi[#Data],COLUMN(T_TraitDi[M4]),FALSE)="","",VLOOKUP(T_Convention[[#This Row],[NumL]],T_TraitDi[#Data],COLUMN(T_TraitDi[M4]),FALSE))</f>
        <v>#N/A</v>
      </c>
      <c r="T77" s="282" t="e">
        <f>IF(VLOOKUP(T_Convention[[#This Row],[NumL]],T_TraitDi[#Data],COLUMN(T_TraitDi[M5]),FALSE)="","",VLOOKUP(T_Convention[[#This Row],[NumL]],T_TraitDi[#Data],COLUMN(T_TraitDi[M5]),FALSE))</f>
        <v>#N/A</v>
      </c>
      <c r="U77" s="282" t="e">
        <f>IF(VLOOKUP(T_Convention[[#This Row],[NumL]],T_TraitDi[#Data],COLUMN(T_TraitDi[M6]),FALSE)="","",VLOOKUP(T_Convention[[#This Row],[NumL]],T_TraitDi[#Data],COLUMN(T_TraitDi[M6]),FALSE))</f>
        <v>#N/A</v>
      </c>
      <c r="V77" s="176" t="e">
        <f t="shared" si="9"/>
        <v>#N/A</v>
      </c>
      <c r="W77" s="284" t="str">
        <f>IFERROR(TEXT(VLOOKUP(T_Convention[[#This Row],[NumL]],T_TraitDi[#Data],COLUMN(T_TraitDi[Q2]),FALSE),"###%"),"")</f>
        <v/>
      </c>
      <c r="X77" s="97" t="e">
        <f>VLOOKUP(T_Convention[[#This Row],[NumL]],T_TraitDi[#Data],COLUMN(T_TraitDi[Reg Ponct]),FALSE)</f>
        <v>#N/A</v>
      </c>
      <c r="Y77" s="97" t="e">
        <f>VLOOKUP(T_Convention[NumL],T_TraitDi[#Data],COLUMN(T_TraitDi[Jours flottants]),FALSE)</f>
        <v>#N/A</v>
      </c>
      <c r="Z77" s="284" t="str">
        <f>IFERROR(VLOOKUP(T_Convention[[#This Row],[NumL]],T_TraitDi[#Data],COLUMN(T_TraitDi[Lundi]),FALSE),"")</f>
        <v/>
      </c>
      <c r="AA77" s="284" t="e">
        <f>IF(VLOOKUP(T_Convention[[#This Row],[NumL]],T_TraitDi[#Data],COLUMN(T_TraitDi[Colonne3]),FALSE)=0,"",TEXT(IFERROR(VLOOKUP(T_Convention[[#This Row],[NumL]],T_TraitDi[#Data],COLUMN(T_TraitDi[Colonne3]),FALSE),""),"[hh]:mm"))</f>
        <v>#N/A</v>
      </c>
      <c r="AB77" s="284" t="e">
        <f>IF(VLOOKUP(T_Convention[[#This Row],[NumL]],T_TraitDi[#Data],COLUMN(T_TraitDi[Colonne4]),FALSE)=0,"",TEXT(IFERROR(VLOOKUP(T_Convention[[#This Row],[NumL]],T_TraitDi[#Data],COLUMN(T_TraitDi[Colonne4]),FALSE),""),"[hh]:mm"))</f>
        <v>#N/A</v>
      </c>
      <c r="AC77" s="284" t="e">
        <f>IF(VLOOKUP(T_Convention[[#This Row],[NumL]],T_TraitDi[#Data],COLUMN(T_TraitDi[Colonne5]),FALSE)=0,"",TEXT(IFERROR(VLOOKUP(T_Convention[[#This Row],[NumL]],T_TraitDi[#Data],COLUMN(T_TraitDi[Colonne5]),FALSE),""),"[hh]:mm"))</f>
        <v>#N/A</v>
      </c>
      <c r="AD77" s="284" t="e">
        <f>IF(VLOOKUP(T_Convention[[#This Row],[NumL]],T_TraitDi[#Data],COLUMN(T_TraitDi[Colonne6]),FALSE)=0,"",TEXT(IFERROR(VLOOKUP(T_Convention[[#This Row],[NumL]],T_TraitDi[#Data],COLUMN(T_TraitDi[Colonne6]),FALSE),""),"[hh]:mm"))</f>
        <v>#N/A</v>
      </c>
      <c r="AE77" s="284" t="e">
        <f>IF(VLOOKUP(T_Convention[[#This Row],[NumL]],T_TraitDi[#Data],COLUMN(T_TraitDi[Colonne7]),FALSE)=0,"",TEXT(IFERROR(VLOOKUP(T_Convention[[#This Row],[NumL]],T_TraitDi[#Data],COLUMN(T_TraitDi[Colonne7]),FALSE),""),"[hh]:mm"))</f>
        <v>#N/A</v>
      </c>
      <c r="AF77" s="284" t="e">
        <f>IF(VLOOKUP(T_Convention[[#This Row],[NumL]],T_TraitDi[#Data],COLUMN(T_TraitDi[Colonne8]),FALSE)=0,"",TEXT(IFERROR(VLOOKUP(T_Convention[[#This Row],[NumL]],T_TraitDi[#Data],COLUMN(T_TraitDi[Colonne8]),FALSE),""),"[hh]:mm"))</f>
        <v>#N/A</v>
      </c>
      <c r="AG77" s="284" t="str">
        <f>IFERROR(VLOOKUP(T_Convention[[#This Row],[NumL]],T_TraitDi[#Data],COLUMN(T_TraitDi[Mardi]),FALSE),"")</f>
        <v/>
      </c>
      <c r="AH77" s="284" t="e">
        <f>IF(VLOOKUP(T_Convention[[#This Row],[NumL]],T_TraitDi[#Data],COLUMN(T_TraitDi[Colonne1]),FALSE)=0,"",TEXT(IFERROR(VLOOKUP(T_Convention[[#This Row],[NumL]],T_TraitDi[#Data],COLUMN(T_TraitDi[Colonne1]),FALSE),""),"[hh]:mm"))</f>
        <v>#N/A</v>
      </c>
      <c r="AI77" s="284" t="e">
        <f>IF(VLOOKUP(T_Convention[[#This Row],[NumL]],T_TraitDi[#Data],COLUMN(T_TraitDi[Colonne9]),FALSE)=0,"",TEXT(IFERROR(VLOOKUP(T_Convention[[#This Row],[NumL]],T_TraitDi[#Data],COLUMN(T_TraitDi[Colonne9]),FALSE),""),"[hh]:mm"))</f>
        <v>#N/A</v>
      </c>
      <c r="AJ77" s="284" t="str">
        <f>IFERROR(VLOOKUP(T_Convention[[#This Row],[NumL]],T_TraitDi[#Data],COLUMN(T_TraitDi[Colonne10]),FALSE),"")</f>
        <v/>
      </c>
      <c r="AK77" s="284" t="e">
        <f>IF(VLOOKUP(T_Convention[[#This Row],[NumL]],T_TraitDi[#Data],COLUMN(T_TraitDi[Colonne11]),FALSE)=0,"",TEXT(IFERROR(VLOOKUP(T_Convention[[#This Row],[NumL]],T_TraitDi[#Data],COLUMN(T_TraitDi[Colonne11]),FALSE),""),"[hh]:mm"))</f>
        <v>#N/A</v>
      </c>
      <c r="AL77" s="284" t="e">
        <f>IF(VLOOKUP(T_Convention[[#This Row],[NumL]],T_TraitDi[#Data],COLUMN(T_TraitDi[Colonne12]),FALSE)=0,"",TEXT(IFERROR(VLOOKUP(T_Convention[[#This Row],[NumL]],T_TraitDi[#Data],COLUMN(T_TraitDi[Colonne12]),FALSE),""),"[hh]:mm"))</f>
        <v>#N/A</v>
      </c>
      <c r="AM77" s="284" t="e">
        <f>IF(VLOOKUP(T_Convention[[#This Row],[NumL]],T_TraitDi[#Data],COLUMN(T_TraitDi[Colonne14]),FALSE)=0,"",TEXT(IFERROR(VLOOKUP(T_Convention[[#This Row],[NumL]],T_TraitDi[#Data],COLUMN(T_TraitDi[Colonne14]),FALSE),""),"[hh]:mm"))</f>
        <v>#N/A</v>
      </c>
      <c r="AN77" s="284" t="str">
        <f>IFERROR(VLOOKUP(T_Convention[[#This Row],[NumL]],T_TraitDi[#Data],COLUMN(T_TraitDi[Mercredi]),FALSE),"")</f>
        <v/>
      </c>
      <c r="AO77" s="284" t="e">
        <f>IF(VLOOKUP(T_Convention[[#This Row],[NumL]],T_TraitDi[#Data],COLUMN(T_TraitDi[Colonne15]),FALSE)=0,"",TEXT(IFERROR(VLOOKUP(T_Convention[[#This Row],[NumL]],T_TraitDi[#Data],COLUMN(T_TraitDi[Colonne15]),FALSE),""),"[hh]:mm"))</f>
        <v>#N/A</v>
      </c>
      <c r="AP77" s="284" t="e">
        <f>IF(VLOOKUP(T_Convention[[#This Row],[NumL]],T_TraitDi[#Data],COLUMN(T_TraitDi[Colonne16]),FALSE)=0,"",TEXT(IFERROR(VLOOKUP(T_Convention[[#This Row],[NumL]],T_TraitDi[#Data],COLUMN(T_TraitDi[Colonne16]),FALSE),""),"[hh]:mm"))</f>
        <v>#N/A</v>
      </c>
      <c r="AQ77" s="284" t="str">
        <f>IFERROR(VLOOKUP(T_Convention[[#This Row],[NumL]],T_TraitDi[#Data],COLUMN(T_TraitDi[Colonne17]),FALSE),"")</f>
        <v/>
      </c>
      <c r="AR77" s="284" t="e">
        <f>IF(VLOOKUP(T_Convention[[#This Row],[NumL]],T_TraitDi[#Data],COLUMN(T_TraitDi[Colonne18]),FALSE)=0,"",TEXT(IFERROR(VLOOKUP(T_Convention[[#This Row],[NumL]],T_TraitDi[#Data],COLUMN(T_TraitDi[Colonne18]),FALSE),""),"[hh]:mm"))</f>
        <v>#N/A</v>
      </c>
      <c r="AS77" s="284" t="e">
        <f>IF(VLOOKUP(T_Convention[[#This Row],[NumL]],T_TraitDi[#Data],COLUMN(T_TraitDi[Colonne19]),FALSE)=0,"",TEXT(IFERROR(VLOOKUP(T_Convention[[#This Row],[NumL]],T_TraitDi[#Data],COLUMN(T_TraitDi[Colonne19]),FALSE),""),"[hh]:mm"))</f>
        <v>#N/A</v>
      </c>
      <c r="AT77" s="284" t="e">
        <f>IF(VLOOKUP(T_Convention[[#This Row],[NumL]],T_TraitDi[#Data],COLUMN(T_TraitDi[Colonne20]),FALSE)=0,"",TEXT(IFERROR(VLOOKUP(T_Convention[[#This Row],[NumL]],T_TraitDi[#Data],COLUMN(T_TraitDi[Colonne20]),FALSE),""),"[hh]:mm"))</f>
        <v>#N/A</v>
      </c>
      <c r="AU77" s="284" t="str">
        <f>IFERROR(VLOOKUP(T_Convention[[#This Row],[NumL]],T_TraitDi[#Data],COLUMN(T_TraitDi[Jeudi]),FALSE),"")</f>
        <v/>
      </c>
      <c r="AV77" s="284" t="e">
        <f>IF(VLOOKUP(T_Convention[[#This Row],[NumL]],T_TraitDi[#Data],COLUMN(T_TraitDi[Colonne21]),FALSE)=0,"",TEXT(IFERROR(VLOOKUP(T_Convention[[#This Row],[NumL]],T_TraitDi[#Data],COLUMN(T_TraitDi[Colonne21]),FALSE),""),"[hh]:mm"))</f>
        <v>#N/A</v>
      </c>
      <c r="AW77" s="284" t="e">
        <f>IF(VLOOKUP(T_Convention[[#This Row],[NumL]],T_TraitDi[#Data],COLUMN(T_TraitDi[Colonne22]),FALSE)=0,"",TEXT(IFERROR(VLOOKUP(T_Convention[[#This Row],[NumL]],T_TraitDi[#Data],COLUMN(T_TraitDi[Colonne22]),FALSE),""),"[hh]:mm"))</f>
        <v>#N/A</v>
      </c>
      <c r="AX77" s="284" t="str">
        <f>IFERROR(VLOOKUP(T_Convention[[#This Row],[NumL]],T_TraitDi[#Data],COLUMN(T_TraitDi[Colonne23]),FALSE),"")</f>
        <v/>
      </c>
      <c r="AY77" s="284" t="e">
        <f>IF(VLOOKUP(T_Convention[[#This Row],[NumL]],T_TraitDi[#Data],COLUMN(T_TraitDi[Colonne24]),FALSE)=0,"",TEXT(IFERROR(VLOOKUP(T_Convention[[#This Row],[NumL]],T_TraitDi[#Data],COLUMN(T_TraitDi[Colonne24]),FALSE),""),"[hh]:mm"))</f>
        <v>#N/A</v>
      </c>
      <c r="AZ77" s="284" t="e">
        <f>IF(VLOOKUP(T_Convention[[#This Row],[NumL]],T_TraitDi[#Data],COLUMN(T_TraitDi[Colonne25]),FALSE)=0,"",TEXT(IFERROR(VLOOKUP(T_Convention[[#This Row],[NumL]],T_TraitDi[#Data],COLUMN(T_TraitDi[Colonne25]),FALSE),""),"[hh]:mm"))</f>
        <v>#N/A</v>
      </c>
      <c r="BA77" s="284" t="e">
        <f>IF(VLOOKUP(T_Convention[[#This Row],[NumL]],T_TraitDi[#Data],COLUMN(T_TraitDi[Colonne26]),FALSE)=0,"",TEXT(IFERROR(VLOOKUP(T_Convention[[#This Row],[NumL]],T_TraitDi[#Data],COLUMN(T_TraitDi[Colonne26]),FALSE),""),"[hh]:mm"))</f>
        <v>#N/A</v>
      </c>
      <c r="BB77" s="284" t="str">
        <f>IFERROR(VLOOKUP(T_Convention[[#This Row],[NumL]],T_TraitDi[#Data],COLUMN(T_TraitDi[Vendredi]),FALSE),"")</f>
        <v/>
      </c>
      <c r="BC77" s="284" t="e">
        <f>IF(VLOOKUP(T_Convention[[#This Row],[NumL]],T_TraitDi[#Data],COLUMN(T_TraitDi[Colonne27]),FALSE)=0,"",TEXT(IFERROR(VLOOKUP(T_Convention[[#This Row],[NumL]],T_TraitDi[#Data],COLUMN(T_TraitDi[Colonne27]),FALSE),""),"[hh]:mm"))</f>
        <v>#N/A</v>
      </c>
      <c r="BD77" s="284" t="e">
        <f>IF(VLOOKUP(T_Convention[[#This Row],[NumL]],T_TraitDi[#Data],COLUMN(T_TraitDi[Colonne28]),FALSE)=0,"",TEXT(IFERROR(VLOOKUP(T_Convention[[#This Row],[NumL]],T_TraitDi[#Data],COLUMN(T_TraitDi[Colonne28]),FALSE),""),"[hh]:mm"))</f>
        <v>#N/A</v>
      </c>
      <c r="BE77" s="284" t="str">
        <f>IFERROR(VLOOKUP(T_Convention[[#This Row],[NumL]],T_TraitDi[#Data],COLUMN(T_TraitDi[Colonne29]),FALSE),"")</f>
        <v/>
      </c>
      <c r="BF77" s="284" t="e">
        <f>IF(VLOOKUP(T_Convention[[#This Row],[NumL]],T_TraitDi[#Data],COLUMN(T_TraitDi[Colonne30]),FALSE)=0,"",TEXT(IFERROR(VLOOKUP(T_Convention[[#This Row],[NumL]],T_TraitDi[#Data],COLUMN(T_TraitDi[Colonne30]),FALSE),""),"[hh]:mm"))</f>
        <v>#N/A</v>
      </c>
      <c r="BG77" s="284" t="e">
        <f>IF(VLOOKUP(T_Convention[[#This Row],[NumL]],T_TraitDi[#Data],COLUMN(T_TraitDi[Colonne31]),FALSE)=0,"",TEXT(IFERROR(VLOOKUP(T_Convention[[#This Row],[NumL]],T_TraitDi[#Data],COLUMN(T_TraitDi[Colonne31]),FALSE),""),"[hh]:mm"))</f>
        <v>#N/A</v>
      </c>
      <c r="BH77" s="284" t="e">
        <f>IF(VLOOKUP(T_Convention[[#This Row],[NumL]],T_TraitDi[#Data],COLUMN(T_TraitDi[Colonne32]),FALSE)=0,"",TEXT(IFERROR(VLOOKUP(T_Convention[[#This Row],[NumL]],T_TraitDi[#Data],COLUMN(T_TraitDi[Colonne32]),FALSE),""),"[hh]:mm"))</f>
        <v>#N/A</v>
      </c>
      <c r="BI77" s="284" t="str">
        <f>IFERROR(VLOOKUP(T_Convention[[#This Row],[NumL]],T_TraitDi[#Data],COLUMN(T_TraitDi[NbJTW]),FALSE),"")</f>
        <v/>
      </c>
      <c r="BJ77" s="284" t="e">
        <f>IF(VLOOKUP(T_Convention[[#This Row],[NumL]],T_TraitDi[#Data],COLUMN(T_TraitDi[NbhTW]),FALSE)=0,"",TEXT(IFERROR(VLOOKUP(T_Convention[[#This Row],[NumL]],T_TraitDi[#Data],COLUMN(T_TraitDi[NbhTW]),FALSE),""),"[hh]:mm"))</f>
        <v>#N/A</v>
      </c>
      <c r="BK77" s="286" t="e">
        <f>IF(VLOOKUP(T_Convention[[#This Row],[NumL]],T_TraitDi[#Data],COLUMN(T_TraitDi[Nbhheb]),FALSE)=0,"",TEXT(IFERROR(VLOOKUP(T_Convention[[#This Row],[NumL]],T_TraitDi[#Data],COLUMN(T_TraitDi[Nbhheb]),FALSE),""),"[hh]:mm"))</f>
        <v>#N/A</v>
      </c>
      <c r="BL77" s="287" t="str">
        <f>IFERROR(VLOOKUP(VLOOKUP(T_Convention[[#This Row],[NumL]],T_TraitDi[#Data],COLUMN(T_TraitDi[Type1]),FALSE),TypeTW,2,FALSE),"")</f>
        <v/>
      </c>
      <c r="BM77" s="288" t="str">
        <f>IFERROR(VLOOKUP(T_Convention[[#This Row],[NumL]],T_TraitDi[#Data],COLUMN(T_TraitDi[Rue1]),FALSE),"")</f>
        <v/>
      </c>
      <c r="BN77" s="289" t="str">
        <f>IFERROR(VLOOKUP(T_Convention[[#This Row],[NumL]],T_TraitDi[#Data],COLUMN(T_TraitDi[CP1]),FALSE),"")</f>
        <v/>
      </c>
      <c r="BO77" s="282" t="str">
        <f>IFERROR(VLOOKUP(T_Convention[[#This Row],[NumL]],T_TraitDi[#Data],COLUMN(T_TraitDi[VILLE1]),FALSE),"")</f>
        <v/>
      </c>
      <c r="BP77" s="290" t="str">
        <f>IFERROR(VLOOKUP(VLOOKUP(T_Convention[[#This Row],[NumL]],T_TraitDi[#Data],COLUMN(T_TraitDi[Type2]),FALSE),TypeTW,2,FALSE),"")</f>
        <v/>
      </c>
      <c r="BQ77" s="182" t="str">
        <f>IFERROR(VLOOKUP(T_Convention[[#This Row],[NumL]],T_TraitDi[#Data],COLUMN(T_TraitDi[Rue2]),FALSE),"")</f>
        <v/>
      </c>
      <c r="BR77" s="173" t="str">
        <f>IFERROR(VLOOKUP(T_Convention[[#This Row],[NumL]],T_TraitDi[#Data],COLUMN(T_TraitDi[CP2]),FALSE),"")</f>
        <v/>
      </c>
      <c r="BS77" s="173" t="str">
        <f>IFERROR(VLOOKUP(T_Convention[[#This Row],[NumL]],T_TraitDi[#Data],COLUMN(T_TraitDi[VILLE2]),FALSE),"")</f>
        <v/>
      </c>
      <c r="BT77" s="182" t="str">
        <f>IF(VLOOKUP(T_Convention[[#This Row],[NumL]],T_Equipement[#Data],COLUMN(T_Equipement[PC]),FALSE)="","Aucun équipement spécifique directement lié au télétravail",VLOOKUP(T_Convention[[#This Row],[NumL]],T_Equipement[#Data],COLUMN(T_Equipement[PC]),FALSE))</f>
        <v xml:space="preserve">19-036	</v>
      </c>
      <c r="BU77" s="166" t="str">
        <f>IFERROR(IF(VLOOKUP(T_Convention[[#This Row],[NumL]],T_TraitDi[#Data],COLUMN(T_TraitDi[Plan]),FALSE)="OK","Un planning spécifique de télétravail est annexé à la présente convention.",""),"")</f>
        <v/>
      </c>
      <c r="BV77" s="185" t="s">
        <v>3342</v>
      </c>
      <c r="BW77" s="164" t="e">
        <f>IF(VLOOKUP(T_Convention[[#This Row],[NumL]],T_suiviDi[#Data],COLUMN(T_suiviDi[Entité]),FALSE)="","",VLOOKUP(T_Convention[[#This Row],[NumL]],T_suiviDi[#Data],COLUMN(T_suiviDi[Entité]),FALSE))</f>
        <v>#N/A</v>
      </c>
      <c r="BX77" s="164" t="str">
        <f>IF(VLOOKUP(T_Convention[[#This Row],[NumL]],T_Commission[#Data],COLUMN(T_Commission[envoi confirm TW]),FALSE)="","",VLOOKUP(T_Convention[[#This Row],[NumL]],T_Commission[#Data],COLUMN(T_Commission[envoi confirm TW]),FALSE))</f>
        <v>Oui</v>
      </c>
      <c r="BY7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7" s="264">
        <f>VLOOKUP(T_Convention[[#This Row],[NumL]],T_Commission[#Data],COLUMN(T_Commission[Commentaire]),FALSE)</f>
        <v>0</v>
      </c>
      <c r="CA77" s="254" t="str">
        <f>IF(VLOOKUP(T_Convention[[#This Row],[NumL]],T_Commission[#Data],COLUMN(T_Commission[Encadrant Email]),FALSE)="","",VLOOKUP(T_Convention[[#This Row],[NumL]],T_Commission[#Data],COLUMN(T_Commission[Encadrant Email]),FALSE))</f>
        <v/>
      </c>
      <c r="CB77" s="352" t="e">
        <f>VLOOKUP(T_Convention[[#This Row],[NumL]],T_TraitDi[#Data],COLUMN(T_TraitDi[NbJTot]),FALSE)</f>
        <v>#N/A</v>
      </c>
      <c r="CC77" s="352" t="e">
        <f>VLOOKUP(T_Convention[[#This Row],[NumL]],T_TraitDi[#Data],COLUMN(T_TraitDi[Reg Ponct]),FALSE)</f>
        <v>#N/A</v>
      </c>
      <c r="CD77" s="348" t="str">
        <f>IF(T_Convention[[#This Row],[Final]]&lt;&gt;"",VLOOKUP(T_Convention[[#This Row],[NumL]],T_suiviDi[#Data],COLUMN((T_suiviDi[Statut])),FALSE),"")</f>
        <v/>
      </c>
    </row>
    <row r="78" spans="1:82" s="106" customFormat="1" ht="18.75" customHeight="1" x14ac:dyDescent="0.25">
      <c r="A78" s="160">
        <v>113</v>
      </c>
      <c r="B78" s="161" t="str">
        <f>VLOOKUP(T_Convention[[#This Row],[NumL]],T_Commission[#Data],COLUMN(T_Commission[FINAL]),FALSE)</f>
        <v/>
      </c>
      <c r="C78" s="162"/>
      <c r="D78" s="95" t="e">
        <f>IF(VLOOKUP(T_Convention[[#This Row],[NumL]],T_TraitDi[#Data],COLUMN(T_TraitDi[WebC]),FALSE)="","",VLOOKUP(T_Convention[[#This Row],[NumL]],T_TraitDi[#Data],COLUMN(T_TraitDi[WebC]),FALSE))</f>
        <v>#N/A</v>
      </c>
      <c r="E78" s="163" t="str">
        <f t="shared" si="5"/>
        <v>12 janvier 2021</v>
      </c>
      <c r="F78" s="282" t="str">
        <f>IF(T_Convention[[#This Row],[Final]]&lt;&gt;"",VLOOKUP(T_Convention[[#This Row],[NumL]],T_suiviDi[#Data],COLUMN((T_suiviDi[Civ.])),FALSE),"")</f>
        <v/>
      </c>
      <c r="G78" s="283" t="str">
        <f>IF(T_Convention[[#This Row],[Final]]&lt;&gt;"",VLOOKUP(T_Convention[[#This Row],[NumL]],T_suiviDi[#Data],COLUMN((T_suiviDi[Nom])),FALSE),"")</f>
        <v/>
      </c>
      <c r="H78" s="282" t="str">
        <f>IF(T_Convention[[#This Row],[Final]]&lt;&gt;"",VLOOKUP(T_Convention[[#This Row],[NumL]],T_suiviDi[#Data],COLUMN((T_suiviDi[Prénom])),FALSE),"")</f>
        <v/>
      </c>
      <c r="I78" s="282" t="e">
        <f>VLOOKUP(T_Convention[[#This Row],[NumL]],T_suiviDi[#Data],COLUMN((T_suiviDi[[#This Row],[Email]])),FALSE)</f>
        <v>#VALUE!</v>
      </c>
      <c r="J78" s="282" t="e">
        <f>IF(VLOOKUP(T_Convention[[#This Row],[NumL]],T_suiviDi[#Data],COLUMN(T_suiviDi[[#This Row],[Fonction]]),FALSE)="","",VLOOKUP(T_Convention[[#This Row],[NumL]],T_suiviDi[#Data],COLUMN(T_suiviDi[[#This Row],[Fonction]]),FALSE))</f>
        <v>#VALUE!</v>
      </c>
      <c r="K78" s="282" t="e">
        <f>IF(VLOOKUP(T_Convention[[#This Row],[NumL]],T_suiviDi[#Data],COLUMN(T_suiviDi[[#This Row],[Grade]]),FALSE)="","",VLOOKUP(T_Convention[[#This Row],[NumL]],T_suiviDi[#Data],COLUMN(T_suiviDi[[#This Row],[Grade]]),FALSE))</f>
        <v>#VALUE!</v>
      </c>
      <c r="L78" s="282" t="e">
        <f>IF(VLOOKUP(T_Convention[[#This Row],[NumL]],T_suiviDi[#Data],COLUMN(T_suiviDi[[#This Row],[Service ]]),FALSE)="","",VLOOKUP(T_Convention[[#This Row],[NumL]],T_suiviDi[#Data],COLUMN(T_suiviDi[[#This Row],[Service ]]),FALSE))</f>
        <v>#VALUE!</v>
      </c>
      <c r="M78" s="164" t="str">
        <f t="shared" si="6"/>
        <v>01 septembre 2021</v>
      </c>
      <c r="N78" s="164" t="str">
        <f t="shared" si="7"/>
        <v>30 novembre 2021</v>
      </c>
      <c r="O78" s="284" t="str">
        <f t="shared" si="8"/>
        <v>30 novembre 2021</v>
      </c>
      <c r="P78" s="282" t="e">
        <f>IF(VLOOKUP(T_Convention[[#This Row],[NumL]],T_TraitDi[#Data],COLUMN(T_TraitDi[M1]),FALSE)="","",VLOOKUP(T_Convention[[#This Row],[NumL]],T_TraitDi[#Data],COLUMN(T_TraitDi[M1]),FALSE))</f>
        <v>#N/A</v>
      </c>
      <c r="Q78" s="282" t="e">
        <f>IF(VLOOKUP(T_Convention[[#This Row],[NumL]],T_TraitDi[#Data],COLUMN(T_TraitDi[M2]),FALSE)="","",VLOOKUP(T_Convention[[#This Row],[NumL]],T_TraitDi[#Data],COLUMN(T_TraitDi[M2]),FALSE))</f>
        <v>#N/A</v>
      </c>
      <c r="R78" s="282" t="e">
        <f>IF(VLOOKUP(T_Convention[[#This Row],[NumL]],T_TraitDi[#Data],COLUMN(T_TraitDi[M3]),FALSE)="","",VLOOKUP(T_Convention[[#This Row],[NumL]],T_TraitDi[#Data],COLUMN(T_TraitDi[M3]),FALSE))</f>
        <v>#N/A</v>
      </c>
      <c r="S78" s="282" t="e">
        <f>IF(VLOOKUP(T_Convention[[#This Row],[NumL]],T_TraitDi[#Data],COLUMN(T_TraitDi[M4]),FALSE)="","",VLOOKUP(T_Convention[[#This Row],[NumL]],T_TraitDi[#Data],COLUMN(T_TraitDi[M4]),FALSE))</f>
        <v>#N/A</v>
      </c>
      <c r="T78" s="282" t="e">
        <f>IF(VLOOKUP(T_Convention[[#This Row],[NumL]],T_TraitDi[#Data],COLUMN(T_TraitDi[M5]),FALSE)="","",VLOOKUP(T_Convention[[#This Row],[NumL]],T_TraitDi[#Data],COLUMN(T_TraitDi[M5]),FALSE))</f>
        <v>#N/A</v>
      </c>
      <c r="U78" s="282" t="e">
        <f>IF(VLOOKUP(T_Convention[[#This Row],[NumL]],T_TraitDi[#Data],COLUMN(T_TraitDi[M6]),FALSE)="","",VLOOKUP(T_Convention[[#This Row],[NumL]],T_TraitDi[#Data],COLUMN(T_TraitDi[M6]),FALSE))</f>
        <v>#N/A</v>
      </c>
      <c r="V78" s="176" t="e">
        <f t="shared" si="9"/>
        <v>#N/A</v>
      </c>
      <c r="W78" s="284" t="str">
        <f>IFERROR(TEXT(VLOOKUP(T_Convention[[#This Row],[NumL]],T_TraitDi[#Data],COLUMN(T_TraitDi[Q2]),FALSE),"###%"),"")</f>
        <v/>
      </c>
      <c r="X78" s="97" t="e">
        <f>VLOOKUP(T_Convention[[#This Row],[NumL]],T_TraitDi[#Data],COLUMN(T_TraitDi[Reg Ponct]),FALSE)</f>
        <v>#N/A</v>
      </c>
      <c r="Y78" s="97" t="e">
        <f>VLOOKUP(T_Convention[NumL],T_TraitDi[#Data],COLUMN(T_TraitDi[Jours flottants]),FALSE)</f>
        <v>#N/A</v>
      </c>
      <c r="Z78" s="284" t="str">
        <f>IFERROR(VLOOKUP(T_Convention[[#This Row],[NumL]],T_TraitDi[#Data],COLUMN(T_TraitDi[Lundi]),FALSE),"")</f>
        <v/>
      </c>
      <c r="AA78" s="284" t="e">
        <f>IF(VLOOKUP(T_Convention[[#This Row],[NumL]],T_TraitDi[#Data],COLUMN(T_TraitDi[Colonne3]),FALSE)=0,"",TEXT(IFERROR(VLOOKUP(T_Convention[[#This Row],[NumL]],T_TraitDi[#Data],COLUMN(T_TraitDi[Colonne3]),FALSE),""),"[hh]:mm"))</f>
        <v>#N/A</v>
      </c>
      <c r="AB78" s="284" t="e">
        <f>IF(VLOOKUP(T_Convention[[#This Row],[NumL]],T_TraitDi[#Data],COLUMN(T_TraitDi[Colonne4]),FALSE)=0,"",TEXT(IFERROR(VLOOKUP(T_Convention[[#This Row],[NumL]],T_TraitDi[#Data],COLUMN(T_TraitDi[Colonne4]),FALSE),""),"[hh]:mm"))</f>
        <v>#N/A</v>
      </c>
      <c r="AC78" s="284" t="e">
        <f>IF(VLOOKUP(T_Convention[[#This Row],[NumL]],T_TraitDi[#Data],COLUMN(T_TraitDi[Colonne5]),FALSE)=0,"",TEXT(IFERROR(VLOOKUP(T_Convention[[#This Row],[NumL]],T_TraitDi[#Data],COLUMN(T_TraitDi[Colonne5]),FALSE),""),"[hh]:mm"))</f>
        <v>#N/A</v>
      </c>
      <c r="AD78" s="284" t="e">
        <f>IF(VLOOKUP(T_Convention[[#This Row],[NumL]],T_TraitDi[#Data],COLUMN(T_TraitDi[Colonne6]),FALSE)=0,"",TEXT(IFERROR(VLOOKUP(T_Convention[[#This Row],[NumL]],T_TraitDi[#Data],COLUMN(T_TraitDi[Colonne6]),FALSE),""),"[hh]:mm"))</f>
        <v>#N/A</v>
      </c>
      <c r="AE78" s="284" t="e">
        <f>IF(VLOOKUP(T_Convention[[#This Row],[NumL]],T_TraitDi[#Data],COLUMN(T_TraitDi[Colonne7]),FALSE)=0,"",TEXT(IFERROR(VLOOKUP(T_Convention[[#This Row],[NumL]],T_TraitDi[#Data],COLUMN(T_TraitDi[Colonne7]),FALSE),""),"[hh]:mm"))</f>
        <v>#N/A</v>
      </c>
      <c r="AF78" s="284" t="e">
        <f>IF(VLOOKUP(T_Convention[[#This Row],[NumL]],T_TraitDi[#Data],COLUMN(T_TraitDi[Colonne8]),FALSE)=0,"",TEXT(IFERROR(VLOOKUP(T_Convention[[#This Row],[NumL]],T_TraitDi[#Data],COLUMN(T_TraitDi[Colonne8]),FALSE),""),"[hh]:mm"))</f>
        <v>#N/A</v>
      </c>
      <c r="AG78" s="284" t="str">
        <f>IFERROR(VLOOKUP(T_Convention[[#This Row],[NumL]],T_TraitDi[#Data],COLUMN(T_TraitDi[Mardi]),FALSE),"")</f>
        <v/>
      </c>
      <c r="AH78" s="284" t="e">
        <f>IF(VLOOKUP(T_Convention[[#This Row],[NumL]],T_TraitDi[#Data],COLUMN(T_TraitDi[Colonne1]),FALSE)=0,"",TEXT(IFERROR(VLOOKUP(T_Convention[[#This Row],[NumL]],T_TraitDi[#Data],COLUMN(T_TraitDi[Colonne1]),FALSE),""),"[hh]:mm"))</f>
        <v>#N/A</v>
      </c>
      <c r="AI78" s="284" t="e">
        <f>IF(VLOOKUP(T_Convention[[#This Row],[NumL]],T_TraitDi[#Data],COLUMN(T_TraitDi[Colonne9]),FALSE)=0,"",TEXT(IFERROR(VLOOKUP(T_Convention[[#This Row],[NumL]],T_TraitDi[#Data],COLUMN(T_TraitDi[Colonne9]),FALSE),""),"[hh]:mm"))</f>
        <v>#N/A</v>
      </c>
      <c r="AJ78" s="284" t="str">
        <f>IFERROR(VLOOKUP(T_Convention[[#This Row],[NumL]],T_TraitDi[#Data],COLUMN(T_TraitDi[Colonne10]),FALSE),"")</f>
        <v/>
      </c>
      <c r="AK78" s="284" t="e">
        <f>IF(VLOOKUP(T_Convention[[#This Row],[NumL]],T_TraitDi[#Data],COLUMN(T_TraitDi[Colonne11]),FALSE)=0,"",TEXT(IFERROR(VLOOKUP(T_Convention[[#This Row],[NumL]],T_TraitDi[#Data],COLUMN(T_TraitDi[Colonne11]),FALSE),""),"[hh]:mm"))</f>
        <v>#N/A</v>
      </c>
      <c r="AL78" s="284" t="e">
        <f>IF(VLOOKUP(T_Convention[[#This Row],[NumL]],T_TraitDi[#Data],COLUMN(T_TraitDi[Colonne12]),FALSE)=0,"",TEXT(IFERROR(VLOOKUP(T_Convention[[#This Row],[NumL]],T_TraitDi[#Data],COLUMN(T_TraitDi[Colonne12]),FALSE),""),"[hh]:mm"))</f>
        <v>#N/A</v>
      </c>
      <c r="AM78" s="284" t="e">
        <f>IF(VLOOKUP(T_Convention[[#This Row],[NumL]],T_TraitDi[#Data],COLUMN(T_TraitDi[Colonne14]),FALSE)=0,"",TEXT(IFERROR(VLOOKUP(T_Convention[[#This Row],[NumL]],T_TraitDi[#Data],COLUMN(T_TraitDi[Colonne14]),FALSE),""),"[hh]:mm"))</f>
        <v>#N/A</v>
      </c>
      <c r="AN78" s="284" t="str">
        <f>IFERROR(VLOOKUP(T_Convention[[#This Row],[NumL]],T_TraitDi[#Data],COLUMN(T_TraitDi[Mercredi]),FALSE),"")</f>
        <v/>
      </c>
      <c r="AO78" s="284" t="e">
        <f>IF(VLOOKUP(T_Convention[[#This Row],[NumL]],T_TraitDi[#Data],COLUMN(T_TraitDi[Colonne15]),FALSE)=0,"",TEXT(IFERROR(VLOOKUP(T_Convention[[#This Row],[NumL]],T_TraitDi[#Data],COLUMN(T_TraitDi[Colonne15]),FALSE),""),"[hh]:mm"))</f>
        <v>#N/A</v>
      </c>
      <c r="AP78" s="284" t="e">
        <f>IF(VLOOKUP(T_Convention[[#This Row],[NumL]],T_TraitDi[#Data],COLUMN(T_TraitDi[Colonne16]),FALSE)=0,"",TEXT(IFERROR(VLOOKUP(T_Convention[[#This Row],[NumL]],T_TraitDi[#Data],COLUMN(T_TraitDi[Colonne16]),FALSE),""),"[hh]:mm"))</f>
        <v>#N/A</v>
      </c>
      <c r="AQ78" s="284" t="str">
        <f>IFERROR(VLOOKUP(T_Convention[[#This Row],[NumL]],T_TraitDi[#Data],COLUMN(T_TraitDi[Colonne17]),FALSE),"")</f>
        <v/>
      </c>
      <c r="AR78" s="284" t="e">
        <f>IF(VLOOKUP(T_Convention[[#This Row],[NumL]],T_TraitDi[#Data],COLUMN(T_TraitDi[Colonne18]),FALSE)=0,"",TEXT(IFERROR(VLOOKUP(T_Convention[[#This Row],[NumL]],T_TraitDi[#Data],COLUMN(T_TraitDi[Colonne18]),FALSE),""),"[hh]:mm"))</f>
        <v>#N/A</v>
      </c>
      <c r="AS78" s="284" t="e">
        <f>IF(VLOOKUP(T_Convention[[#This Row],[NumL]],T_TraitDi[#Data],COLUMN(T_TraitDi[Colonne19]),FALSE)=0,"",TEXT(IFERROR(VLOOKUP(T_Convention[[#This Row],[NumL]],T_TraitDi[#Data],COLUMN(T_TraitDi[Colonne19]),FALSE),""),"[hh]:mm"))</f>
        <v>#N/A</v>
      </c>
      <c r="AT78" s="284" t="e">
        <f>IF(VLOOKUP(T_Convention[[#This Row],[NumL]],T_TraitDi[#Data],COLUMN(T_TraitDi[Colonne20]),FALSE)=0,"",TEXT(IFERROR(VLOOKUP(T_Convention[[#This Row],[NumL]],T_TraitDi[#Data],COLUMN(T_TraitDi[Colonne20]),FALSE),""),"[hh]:mm"))</f>
        <v>#N/A</v>
      </c>
      <c r="AU78" s="284" t="str">
        <f>IFERROR(VLOOKUP(T_Convention[[#This Row],[NumL]],T_TraitDi[#Data],COLUMN(T_TraitDi[Jeudi]),FALSE),"")</f>
        <v/>
      </c>
      <c r="AV78" s="284" t="e">
        <f>IF(VLOOKUP(T_Convention[[#This Row],[NumL]],T_TraitDi[#Data],COLUMN(T_TraitDi[Colonne21]),FALSE)=0,"",TEXT(IFERROR(VLOOKUP(T_Convention[[#This Row],[NumL]],T_TraitDi[#Data],COLUMN(T_TraitDi[Colonne21]),FALSE),""),"[hh]:mm"))</f>
        <v>#N/A</v>
      </c>
      <c r="AW78" s="284" t="e">
        <f>IF(VLOOKUP(T_Convention[[#This Row],[NumL]],T_TraitDi[#Data],COLUMN(T_TraitDi[Colonne22]),FALSE)=0,"",TEXT(IFERROR(VLOOKUP(T_Convention[[#This Row],[NumL]],T_TraitDi[#Data],COLUMN(T_TraitDi[Colonne22]),FALSE),""),"[hh]:mm"))</f>
        <v>#N/A</v>
      </c>
      <c r="AX78" s="284" t="str">
        <f>IFERROR(VLOOKUP(T_Convention[[#This Row],[NumL]],T_TraitDi[#Data],COLUMN(T_TraitDi[Colonne23]),FALSE),"")</f>
        <v/>
      </c>
      <c r="AY78" s="284" t="e">
        <f>IF(VLOOKUP(T_Convention[[#This Row],[NumL]],T_TraitDi[#Data],COLUMN(T_TraitDi[Colonne24]),FALSE)=0,"",TEXT(IFERROR(VLOOKUP(T_Convention[[#This Row],[NumL]],T_TraitDi[#Data],COLUMN(T_TraitDi[Colonne24]),FALSE),""),"[hh]:mm"))</f>
        <v>#N/A</v>
      </c>
      <c r="AZ78" s="284" t="e">
        <f>IF(VLOOKUP(T_Convention[[#This Row],[NumL]],T_TraitDi[#Data],COLUMN(T_TraitDi[Colonne25]),FALSE)=0,"",TEXT(IFERROR(VLOOKUP(T_Convention[[#This Row],[NumL]],T_TraitDi[#Data],COLUMN(T_TraitDi[Colonne25]),FALSE),""),"[hh]:mm"))</f>
        <v>#N/A</v>
      </c>
      <c r="BA78" s="284" t="e">
        <f>IF(VLOOKUP(T_Convention[[#This Row],[NumL]],T_TraitDi[#Data],COLUMN(T_TraitDi[Colonne26]),FALSE)=0,"",TEXT(IFERROR(VLOOKUP(T_Convention[[#This Row],[NumL]],T_TraitDi[#Data],COLUMN(T_TraitDi[Colonne26]),FALSE),""),"[hh]:mm"))</f>
        <v>#N/A</v>
      </c>
      <c r="BB78" s="284" t="str">
        <f>IFERROR(VLOOKUP(T_Convention[[#This Row],[NumL]],T_TraitDi[#Data],COLUMN(T_TraitDi[Vendredi]),FALSE),"")</f>
        <v/>
      </c>
      <c r="BC78" s="284" t="e">
        <f>IF(VLOOKUP(T_Convention[[#This Row],[NumL]],T_TraitDi[#Data],COLUMN(T_TraitDi[Colonne27]),FALSE)=0,"",TEXT(IFERROR(VLOOKUP(T_Convention[[#This Row],[NumL]],T_TraitDi[#Data],COLUMN(T_TraitDi[Colonne27]),FALSE),""),"[hh]:mm"))</f>
        <v>#N/A</v>
      </c>
      <c r="BD78" s="284" t="e">
        <f>IF(VLOOKUP(T_Convention[[#This Row],[NumL]],T_TraitDi[#Data],COLUMN(T_TraitDi[Colonne28]),FALSE)=0,"",TEXT(IFERROR(VLOOKUP(T_Convention[[#This Row],[NumL]],T_TraitDi[#Data],COLUMN(T_TraitDi[Colonne28]),FALSE),""),"[hh]:mm"))</f>
        <v>#N/A</v>
      </c>
      <c r="BE78" s="284" t="str">
        <f>IFERROR(VLOOKUP(T_Convention[[#This Row],[NumL]],T_TraitDi[#Data],COLUMN(T_TraitDi[Colonne29]),FALSE),"")</f>
        <v/>
      </c>
      <c r="BF78" s="284" t="e">
        <f>IF(VLOOKUP(T_Convention[[#This Row],[NumL]],T_TraitDi[#Data],COLUMN(T_TraitDi[Colonne30]),FALSE)=0,"",TEXT(IFERROR(VLOOKUP(T_Convention[[#This Row],[NumL]],T_TraitDi[#Data],COLUMN(T_TraitDi[Colonne30]),FALSE),""),"[hh]:mm"))</f>
        <v>#N/A</v>
      </c>
      <c r="BG78" s="284" t="e">
        <f>IF(VLOOKUP(T_Convention[[#This Row],[NumL]],T_TraitDi[#Data],COLUMN(T_TraitDi[Colonne31]),FALSE)=0,"",TEXT(IFERROR(VLOOKUP(T_Convention[[#This Row],[NumL]],T_TraitDi[#Data],COLUMN(T_TraitDi[Colonne31]),FALSE),""),"[hh]:mm"))</f>
        <v>#N/A</v>
      </c>
      <c r="BH78" s="284" t="e">
        <f>IF(VLOOKUP(T_Convention[[#This Row],[NumL]],T_TraitDi[#Data],COLUMN(T_TraitDi[Colonne32]),FALSE)=0,"",TEXT(IFERROR(VLOOKUP(T_Convention[[#This Row],[NumL]],T_TraitDi[#Data],COLUMN(T_TraitDi[Colonne32]),FALSE),""),"[hh]:mm"))</f>
        <v>#N/A</v>
      </c>
      <c r="BI78" s="284" t="str">
        <f>IFERROR(VLOOKUP(T_Convention[[#This Row],[NumL]],T_TraitDi[#Data],COLUMN(T_TraitDi[NbJTW]),FALSE),"")</f>
        <v/>
      </c>
      <c r="BJ78" s="284" t="e">
        <f>IF(VLOOKUP(T_Convention[[#This Row],[NumL]],T_TraitDi[#Data],COLUMN(T_TraitDi[NbhTW]),FALSE)=0,"",TEXT(IFERROR(VLOOKUP(T_Convention[[#This Row],[NumL]],T_TraitDi[#Data],COLUMN(T_TraitDi[NbhTW]),FALSE),""),"[hh]:mm"))</f>
        <v>#N/A</v>
      </c>
      <c r="BK78" s="286" t="e">
        <f>IF(VLOOKUP(T_Convention[[#This Row],[NumL]],T_TraitDi[#Data],COLUMN(T_TraitDi[Nbhheb]),FALSE)=0,"",TEXT(IFERROR(VLOOKUP(T_Convention[[#This Row],[NumL]],T_TraitDi[#Data],COLUMN(T_TraitDi[Nbhheb]),FALSE),""),"[hh]:mm"))</f>
        <v>#N/A</v>
      </c>
      <c r="BL78" s="287" t="str">
        <f>IFERROR(VLOOKUP(VLOOKUP(T_Convention[[#This Row],[NumL]],T_TraitDi[#Data],COLUMN(T_TraitDi[Type1]),FALSE),TypeTW,2,FALSE),"")</f>
        <v/>
      </c>
      <c r="BM78" s="288" t="str">
        <f>IFERROR(VLOOKUP(T_Convention[[#This Row],[NumL]],T_TraitDi[#Data],COLUMN(T_TraitDi[Rue1]),FALSE),"")</f>
        <v/>
      </c>
      <c r="BN78" s="289" t="str">
        <f>IFERROR(VLOOKUP(T_Convention[[#This Row],[NumL]],T_TraitDi[#Data],COLUMN(T_TraitDi[CP1]),FALSE),"")</f>
        <v/>
      </c>
      <c r="BO78" s="282" t="str">
        <f>IFERROR(VLOOKUP(T_Convention[[#This Row],[NumL]],T_TraitDi[#Data],COLUMN(T_TraitDi[VILLE1]),FALSE),"")</f>
        <v/>
      </c>
      <c r="BP78" s="290" t="str">
        <f>IFERROR(VLOOKUP(VLOOKUP(T_Convention[[#This Row],[NumL]],T_TraitDi[#Data],COLUMN(T_TraitDi[Type2]),FALSE),TypeTW,2,FALSE),"")</f>
        <v/>
      </c>
      <c r="BQ78" s="182" t="str">
        <f>IFERROR(VLOOKUP(T_Convention[[#This Row],[NumL]],T_TraitDi[#Data],COLUMN(T_TraitDi[Rue2]),FALSE),"")</f>
        <v/>
      </c>
      <c r="BR78" s="173" t="str">
        <f>IFERROR(VLOOKUP(T_Convention[[#This Row],[NumL]],T_TraitDi[#Data],COLUMN(T_TraitDi[CP2]),FALSE),"")</f>
        <v/>
      </c>
      <c r="BS78" s="173" t="str">
        <f>IFERROR(VLOOKUP(T_Convention[[#This Row],[NumL]],T_TraitDi[#Data],COLUMN(T_TraitDi[VILLE2]),FALSE),"")</f>
        <v/>
      </c>
      <c r="BT78" s="182" t="str">
        <f>IF(VLOOKUP(T_Convention[[#This Row],[NumL]],T_Equipement[#Data],COLUMN(T_Equipement[PC]),FALSE)="","Aucun équipement spécifique directement lié au télétravail",VLOOKUP(T_Convention[[#This Row],[NumL]],T_Equipement[#Data],COLUMN(T_Equipement[PC]),FALSE))</f>
        <v xml:space="preserve">20-300	</v>
      </c>
      <c r="BU78" s="166" t="str">
        <f>IFERROR(IF(VLOOKUP(T_Convention[[#This Row],[NumL]],T_TraitDi[#Data],COLUMN(T_TraitDi[Plan]),FALSE)="OK","Un planning spécifique de télétravail est annexé à la présente convention.",""),"")</f>
        <v/>
      </c>
      <c r="BV78" s="185" t="s">
        <v>3298</v>
      </c>
      <c r="BW78" s="164" t="e">
        <f>IF(VLOOKUP(T_Convention[[#This Row],[NumL]],T_suiviDi[#Data],COLUMN(T_suiviDi[Entité]),FALSE)="","",VLOOKUP(T_Convention[[#This Row],[NumL]],T_suiviDi[#Data],COLUMN(T_suiviDi[Entité]),FALSE))</f>
        <v>#N/A</v>
      </c>
      <c r="BX78" s="164" t="str">
        <f>IF(VLOOKUP(T_Convention[[#This Row],[NumL]],T_Commission[#Data],COLUMN(T_Commission[envoi confirm TW]),FALSE)="","",VLOOKUP(T_Convention[[#This Row],[NumL]],T_Commission[#Data],COLUMN(T_Commission[envoi confirm TW]),FALSE))</f>
        <v>Oui</v>
      </c>
      <c r="BY7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8" s="264">
        <f>VLOOKUP(T_Convention[[#This Row],[NumL]],T_Commission[#Data],COLUMN(T_Commission[Commentaire]),FALSE)</f>
        <v>0</v>
      </c>
      <c r="CA78" s="254" t="str">
        <f>IF(VLOOKUP(T_Convention[[#This Row],[NumL]],T_Commission[#Data],COLUMN(T_Commission[Encadrant Email]),FALSE)="","",VLOOKUP(T_Convention[[#This Row],[NumL]],T_Commission[#Data],COLUMN(T_Commission[Encadrant Email]),FALSE))</f>
        <v/>
      </c>
      <c r="CB78" s="352" t="e">
        <f>VLOOKUP(T_Convention[[#This Row],[NumL]],T_TraitDi[#Data],COLUMN(T_TraitDi[NbJTot]),FALSE)</f>
        <v>#N/A</v>
      </c>
      <c r="CC78" s="352" t="e">
        <f>VLOOKUP(T_Convention[[#This Row],[NumL]],T_TraitDi[#Data],COLUMN(T_TraitDi[Reg Ponct]),FALSE)</f>
        <v>#N/A</v>
      </c>
      <c r="CD78" s="348" t="str">
        <f>IF(T_Convention[[#This Row],[Final]]&lt;&gt;"",VLOOKUP(T_Convention[[#This Row],[NumL]],T_suiviDi[#Data],COLUMN((T_suiviDi[Statut])),FALSE),"")</f>
        <v/>
      </c>
    </row>
    <row r="79" spans="1:82" s="106" customFormat="1" ht="18.75" customHeight="1" x14ac:dyDescent="0.25">
      <c r="A79" s="160">
        <v>158</v>
      </c>
      <c r="B79" s="161" t="str">
        <f>VLOOKUP(T_Convention[[#This Row],[NumL]],T_Commission[#Data],COLUMN(T_Commission[FINAL]),FALSE)</f>
        <v/>
      </c>
      <c r="C79" s="162"/>
      <c r="D79" s="95" t="e">
        <f>IF(VLOOKUP(T_Convention[[#This Row],[NumL]],T_TraitDi[#Data],COLUMN(T_TraitDi[WebC]),FALSE)="","",VLOOKUP(T_Convention[[#This Row],[NumL]],T_TraitDi[#Data],COLUMN(T_TraitDi[WebC]),FALSE))</f>
        <v>#N/A</v>
      </c>
      <c r="E79" s="163" t="str">
        <f t="shared" si="5"/>
        <v>12 janvier 2021</v>
      </c>
      <c r="F79" s="282" t="str">
        <f>IF(T_Convention[[#This Row],[Final]]&lt;&gt;"",VLOOKUP(T_Convention[[#This Row],[NumL]],T_suiviDi[#Data],COLUMN((T_suiviDi[Civ.])),FALSE),"")</f>
        <v/>
      </c>
      <c r="G79" s="283" t="str">
        <f>IF(T_Convention[[#This Row],[Final]]&lt;&gt;"",VLOOKUP(T_Convention[[#This Row],[NumL]],T_suiviDi[#Data],COLUMN((T_suiviDi[Nom])),FALSE),"")</f>
        <v/>
      </c>
      <c r="H79" s="282" t="str">
        <f>IF(T_Convention[[#This Row],[Final]]&lt;&gt;"",VLOOKUP(T_Convention[[#This Row],[NumL]],T_suiviDi[#Data],COLUMN((T_suiviDi[Prénom])),FALSE),"")</f>
        <v/>
      </c>
      <c r="I79" s="282" t="e">
        <f>VLOOKUP(T_Convention[[#This Row],[NumL]],T_suiviDi[#Data],COLUMN((T_suiviDi[[#This Row],[Email]])),FALSE)</f>
        <v>#VALUE!</v>
      </c>
      <c r="J79" s="282" t="e">
        <f>IF(VLOOKUP(T_Convention[[#This Row],[NumL]],T_suiviDi[#Data],COLUMN(T_suiviDi[[#This Row],[Fonction]]),FALSE)="","",VLOOKUP(T_Convention[[#This Row],[NumL]],T_suiviDi[#Data],COLUMN(T_suiviDi[[#This Row],[Fonction]]),FALSE))</f>
        <v>#VALUE!</v>
      </c>
      <c r="K79" s="282" t="e">
        <f>IF(VLOOKUP(T_Convention[[#This Row],[NumL]],T_suiviDi[#Data],COLUMN(T_suiviDi[[#This Row],[Grade]]),FALSE)="","",VLOOKUP(T_Convention[[#This Row],[NumL]],T_suiviDi[#Data],COLUMN(T_suiviDi[[#This Row],[Grade]]),FALSE))</f>
        <v>#VALUE!</v>
      </c>
      <c r="L79" s="282" t="e">
        <f>IF(VLOOKUP(T_Convention[[#This Row],[NumL]],T_suiviDi[#Data],COLUMN(T_suiviDi[[#This Row],[Service ]]),FALSE)="","",VLOOKUP(T_Convention[[#This Row],[NumL]],T_suiviDi[#Data],COLUMN(T_suiviDi[[#This Row],[Service ]]),FALSE))</f>
        <v>#VALUE!</v>
      </c>
      <c r="M79" s="164" t="str">
        <f t="shared" si="6"/>
        <v>01 septembre 2021</v>
      </c>
      <c r="N79" s="164" t="str">
        <f t="shared" si="7"/>
        <v>30 novembre 2021</v>
      </c>
      <c r="O79" s="284" t="str">
        <f t="shared" si="8"/>
        <v>30 novembre 2021</v>
      </c>
      <c r="P79" s="282" t="e">
        <f>IF(VLOOKUP(T_Convention[[#This Row],[NumL]],T_TraitDi[#Data],COLUMN(T_TraitDi[M1]),FALSE)="","",VLOOKUP(T_Convention[[#This Row],[NumL]],T_TraitDi[#Data],COLUMN(T_TraitDi[M1]),FALSE))</f>
        <v>#N/A</v>
      </c>
      <c r="Q79" s="282" t="e">
        <f>IF(VLOOKUP(T_Convention[[#This Row],[NumL]],T_TraitDi[#Data],COLUMN(T_TraitDi[M2]),FALSE)="","",VLOOKUP(T_Convention[[#This Row],[NumL]],T_TraitDi[#Data],COLUMN(T_TraitDi[M2]),FALSE))</f>
        <v>#N/A</v>
      </c>
      <c r="R79" s="282" t="e">
        <f>IF(VLOOKUP(T_Convention[[#This Row],[NumL]],T_TraitDi[#Data],COLUMN(T_TraitDi[M3]),FALSE)="","",VLOOKUP(T_Convention[[#This Row],[NumL]],T_TraitDi[#Data],COLUMN(T_TraitDi[M3]),FALSE))</f>
        <v>#N/A</v>
      </c>
      <c r="S79" s="282" t="e">
        <f>IF(VLOOKUP(T_Convention[[#This Row],[NumL]],T_TraitDi[#Data],COLUMN(T_TraitDi[M4]),FALSE)="","",VLOOKUP(T_Convention[[#This Row],[NumL]],T_TraitDi[#Data],COLUMN(T_TraitDi[M4]),FALSE))</f>
        <v>#N/A</v>
      </c>
      <c r="T79" s="282" t="e">
        <f>IF(VLOOKUP(T_Convention[[#This Row],[NumL]],T_TraitDi[#Data],COLUMN(T_TraitDi[M5]),FALSE)="","",VLOOKUP(T_Convention[[#This Row],[NumL]],T_TraitDi[#Data],COLUMN(T_TraitDi[M5]),FALSE))</f>
        <v>#N/A</v>
      </c>
      <c r="U79" s="282" t="e">
        <f>IF(VLOOKUP(T_Convention[[#This Row],[NumL]],T_TraitDi[#Data],COLUMN(T_TraitDi[M6]),FALSE)="","",VLOOKUP(T_Convention[[#This Row],[NumL]],T_TraitDi[#Data],COLUMN(T_TraitDi[M6]),FALSE))</f>
        <v>#N/A</v>
      </c>
      <c r="V79" s="176" t="e">
        <f t="shared" si="9"/>
        <v>#N/A</v>
      </c>
      <c r="W79" s="284" t="str">
        <f>IFERROR(TEXT(VLOOKUP(T_Convention[[#This Row],[NumL]],T_TraitDi[#Data],COLUMN(T_TraitDi[Q2]),FALSE),"###%"),"")</f>
        <v/>
      </c>
      <c r="X79" s="97" t="e">
        <f>VLOOKUP(T_Convention[[#This Row],[NumL]],T_TraitDi[#Data],COLUMN(T_TraitDi[Reg Ponct]),FALSE)</f>
        <v>#N/A</v>
      </c>
      <c r="Y79" s="97" t="e">
        <f>VLOOKUP(T_Convention[NumL],T_TraitDi[#Data],COLUMN(T_TraitDi[Jours flottants]),FALSE)</f>
        <v>#N/A</v>
      </c>
      <c r="Z79" s="284" t="str">
        <f>IFERROR(VLOOKUP(T_Convention[[#This Row],[NumL]],T_TraitDi[#Data],COLUMN(T_TraitDi[Lundi]),FALSE),"")</f>
        <v/>
      </c>
      <c r="AA79" s="284" t="e">
        <f>IF(VLOOKUP(T_Convention[[#This Row],[NumL]],T_TraitDi[#Data],COLUMN(T_TraitDi[Colonne3]),FALSE)=0,"",TEXT(IFERROR(VLOOKUP(T_Convention[[#This Row],[NumL]],T_TraitDi[#Data],COLUMN(T_TraitDi[Colonne3]),FALSE),""),"[hh]:mm"))</f>
        <v>#N/A</v>
      </c>
      <c r="AB79" s="284" t="e">
        <f>IF(VLOOKUP(T_Convention[[#This Row],[NumL]],T_TraitDi[#Data],COLUMN(T_TraitDi[Colonne4]),FALSE)=0,"",TEXT(IFERROR(VLOOKUP(T_Convention[[#This Row],[NumL]],T_TraitDi[#Data],COLUMN(T_TraitDi[Colonne4]),FALSE),""),"[hh]:mm"))</f>
        <v>#N/A</v>
      </c>
      <c r="AC79" s="284" t="e">
        <f>IF(VLOOKUP(T_Convention[[#This Row],[NumL]],T_TraitDi[#Data],COLUMN(T_TraitDi[Colonne5]),FALSE)=0,"",TEXT(IFERROR(VLOOKUP(T_Convention[[#This Row],[NumL]],T_TraitDi[#Data],COLUMN(T_TraitDi[Colonne5]),FALSE),""),"[hh]:mm"))</f>
        <v>#N/A</v>
      </c>
      <c r="AD79" s="284" t="e">
        <f>IF(VLOOKUP(T_Convention[[#This Row],[NumL]],T_TraitDi[#Data],COLUMN(T_TraitDi[Colonne6]),FALSE)=0,"",TEXT(IFERROR(VLOOKUP(T_Convention[[#This Row],[NumL]],T_TraitDi[#Data],COLUMN(T_TraitDi[Colonne6]),FALSE),""),"[hh]:mm"))</f>
        <v>#N/A</v>
      </c>
      <c r="AE79" s="284" t="e">
        <f>IF(VLOOKUP(T_Convention[[#This Row],[NumL]],T_TraitDi[#Data],COLUMN(T_TraitDi[Colonne7]),FALSE)=0,"",TEXT(IFERROR(VLOOKUP(T_Convention[[#This Row],[NumL]],T_TraitDi[#Data],COLUMN(T_TraitDi[Colonne7]),FALSE),""),"[hh]:mm"))</f>
        <v>#N/A</v>
      </c>
      <c r="AF79" s="284" t="e">
        <f>IF(VLOOKUP(T_Convention[[#This Row],[NumL]],T_TraitDi[#Data],COLUMN(T_TraitDi[Colonne8]),FALSE)=0,"",TEXT(IFERROR(VLOOKUP(T_Convention[[#This Row],[NumL]],T_TraitDi[#Data],COLUMN(T_TraitDi[Colonne8]),FALSE),""),"[hh]:mm"))</f>
        <v>#N/A</v>
      </c>
      <c r="AG79" s="284" t="str">
        <f>IFERROR(VLOOKUP(T_Convention[[#This Row],[NumL]],T_TraitDi[#Data],COLUMN(T_TraitDi[Mardi]),FALSE),"")</f>
        <v/>
      </c>
      <c r="AH79" s="284" t="e">
        <f>IF(VLOOKUP(T_Convention[[#This Row],[NumL]],T_TraitDi[#Data],COLUMN(T_TraitDi[Colonne1]),FALSE)=0,"",TEXT(IFERROR(VLOOKUP(T_Convention[[#This Row],[NumL]],T_TraitDi[#Data],COLUMN(T_TraitDi[Colonne1]),FALSE),""),"[hh]:mm"))</f>
        <v>#N/A</v>
      </c>
      <c r="AI79" s="284" t="e">
        <f>IF(VLOOKUP(T_Convention[[#This Row],[NumL]],T_TraitDi[#Data],COLUMN(T_TraitDi[Colonne9]),FALSE)=0,"",TEXT(IFERROR(VLOOKUP(T_Convention[[#This Row],[NumL]],T_TraitDi[#Data],COLUMN(T_TraitDi[Colonne9]),FALSE),""),"[hh]:mm"))</f>
        <v>#N/A</v>
      </c>
      <c r="AJ79" s="284" t="str">
        <f>IFERROR(VLOOKUP(T_Convention[[#This Row],[NumL]],T_TraitDi[#Data],COLUMN(T_TraitDi[Colonne10]),FALSE),"")</f>
        <v/>
      </c>
      <c r="AK79" s="284" t="e">
        <f>IF(VLOOKUP(T_Convention[[#This Row],[NumL]],T_TraitDi[#Data],COLUMN(T_TraitDi[Colonne11]),FALSE)=0,"",TEXT(IFERROR(VLOOKUP(T_Convention[[#This Row],[NumL]],T_TraitDi[#Data],COLUMN(T_TraitDi[Colonne11]),FALSE),""),"[hh]:mm"))</f>
        <v>#N/A</v>
      </c>
      <c r="AL79" s="284" t="e">
        <f>IF(VLOOKUP(T_Convention[[#This Row],[NumL]],T_TraitDi[#Data],COLUMN(T_TraitDi[Colonne12]),FALSE)=0,"",TEXT(IFERROR(VLOOKUP(T_Convention[[#This Row],[NumL]],T_TraitDi[#Data],COLUMN(T_TraitDi[Colonne12]),FALSE),""),"[hh]:mm"))</f>
        <v>#N/A</v>
      </c>
      <c r="AM79" s="284" t="e">
        <f>IF(VLOOKUP(T_Convention[[#This Row],[NumL]],T_TraitDi[#Data],COLUMN(T_TraitDi[Colonne14]),FALSE)=0,"",TEXT(IFERROR(VLOOKUP(T_Convention[[#This Row],[NumL]],T_TraitDi[#Data],COLUMN(T_TraitDi[Colonne14]),FALSE),""),"[hh]:mm"))</f>
        <v>#N/A</v>
      </c>
      <c r="AN79" s="284" t="str">
        <f>IFERROR(VLOOKUP(T_Convention[[#This Row],[NumL]],T_TraitDi[#Data],COLUMN(T_TraitDi[Mercredi]),FALSE),"")</f>
        <v/>
      </c>
      <c r="AO79" s="284" t="e">
        <f>IF(VLOOKUP(T_Convention[[#This Row],[NumL]],T_TraitDi[#Data],COLUMN(T_TraitDi[Colonne15]),FALSE)=0,"",TEXT(IFERROR(VLOOKUP(T_Convention[[#This Row],[NumL]],T_TraitDi[#Data],COLUMN(T_TraitDi[Colonne15]),FALSE),""),"[hh]:mm"))</f>
        <v>#N/A</v>
      </c>
      <c r="AP79" s="284" t="e">
        <f>IF(VLOOKUP(T_Convention[[#This Row],[NumL]],T_TraitDi[#Data],COLUMN(T_TraitDi[Colonne16]),FALSE)=0,"",TEXT(IFERROR(VLOOKUP(T_Convention[[#This Row],[NumL]],T_TraitDi[#Data],COLUMN(T_TraitDi[Colonne16]),FALSE),""),"[hh]:mm"))</f>
        <v>#N/A</v>
      </c>
      <c r="AQ79" s="284" t="str">
        <f>IFERROR(VLOOKUP(T_Convention[[#This Row],[NumL]],T_TraitDi[#Data],COLUMN(T_TraitDi[Colonne17]),FALSE),"")</f>
        <v/>
      </c>
      <c r="AR79" s="284" t="e">
        <f>IF(VLOOKUP(T_Convention[[#This Row],[NumL]],T_TraitDi[#Data],COLUMN(T_TraitDi[Colonne18]),FALSE)=0,"",TEXT(IFERROR(VLOOKUP(T_Convention[[#This Row],[NumL]],T_TraitDi[#Data],COLUMN(T_TraitDi[Colonne18]),FALSE),""),"[hh]:mm"))</f>
        <v>#N/A</v>
      </c>
      <c r="AS79" s="284" t="e">
        <f>IF(VLOOKUP(T_Convention[[#This Row],[NumL]],T_TraitDi[#Data],COLUMN(T_TraitDi[Colonne19]),FALSE)=0,"",TEXT(IFERROR(VLOOKUP(T_Convention[[#This Row],[NumL]],T_TraitDi[#Data],COLUMN(T_TraitDi[Colonne19]),FALSE),""),"[hh]:mm"))</f>
        <v>#N/A</v>
      </c>
      <c r="AT79" s="284" t="e">
        <f>IF(VLOOKUP(T_Convention[[#This Row],[NumL]],T_TraitDi[#Data],COLUMN(T_TraitDi[Colonne20]),FALSE)=0,"",TEXT(IFERROR(VLOOKUP(T_Convention[[#This Row],[NumL]],T_TraitDi[#Data],COLUMN(T_TraitDi[Colonne20]),FALSE),""),"[hh]:mm"))</f>
        <v>#N/A</v>
      </c>
      <c r="AU79" s="284" t="str">
        <f>IFERROR(VLOOKUP(T_Convention[[#This Row],[NumL]],T_TraitDi[#Data],COLUMN(T_TraitDi[Jeudi]),FALSE),"")</f>
        <v/>
      </c>
      <c r="AV79" s="284" t="e">
        <f>IF(VLOOKUP(T_Convention[[#This Row],[NumL]],T_TraitDi[#Data],COLUMN(T_TraitDi[Colonne21]),FALSE)=0,"",TEXT(IFERROR(VLOOKUP(T_Convention[[#This Row],[NumL]],T_TraitDi[#Data],COLUMN(T_TraitDi[Colonne21]),FALSE),""),"[hh]:mm"))</f>
        <v>#N/A</v>
      </c>
      <c r="AW79" s="284" t="e">
        <f>IF(VLOOKUP(T_Convention[[#This Row],[NumL]],T_TraitDi[#Data],COLUMN(T_TraitDi[Colonne22]),FALSE)=0,"",TEXT(IFERROR(VLOOKUP(T_Convention[[#This Row],[NumL]],T_TraitDi[#Data],COLUMN(T_TraitDi[Colonne22]),FALSE),""),"[hh]:mm"))</f>
        <v>#N/A</v>
      </c>
      <c r="AX79" s="284" t="str">
        <f>IFERROR(VLOOKUP(T_Convention[[#This Row],[NumL]],T_TraitDi[#Data],COLUMN(T_TraitDi[Colonne23]),FALSE),"")</f>
        <v/>
      </c>
      <c r="AY79" s="284" t="e">
        <f>IF(VLOOKUP(T_Convention[[#This Row],[NumL]],T_TraitDi[#Data],COLUMN(T_TraitDi[Colonne24]),FALSE)=0,"",TEXT(IFERROR(VLOOKUP(T_Convention[[#This Row],[NumL]],T_TraitDi[#Data],COLUMN(T_TraitDi[Colonne24]),FALSE),""),"[hh]:mm"))</f>
        <v>#N/A</v>
      </c>
      <c r="AZ79" s="284" t="e">
        <f>IF(VLOOKUP(T_Convention[[#This Row],[NumL]],T_TraitDi[#Data],COLUMN(T_TraitDi[Colonne25]),FALSE)=0,"",TEXT(IFERROR(VLOOKUP(T_Convention[[#This Row],[NumL]],T_TraitDi[#Data],COLUMN(T_TraitDi[Colonne25]),FALSE),""),"[hh]:mm"))</f>
        <v>#N/A</v>
      </c>
      <c r="BA79" s="284" t="e">
        <f>IF(VLOOKUP(T_Convention[[#This Row],[NumL]],T_TraitDi[#Data],COLUMN(T_TraitDi[Colonne26]),FALSE)=0,"",TEXT(IFERROR(VLOOKUP(T_Convention[[#This Row],[NumL]],T_TraitDi[#Data],COLUMN(T_TraitDi[Colonne26]),FALSE),""),"[hh]:mm"))</f>
        <v>#N/A</v>
      </c>
      <c r="BB79" s="284" t="str">
        <f>IFERROR(VLOOKUP(T_Convention[[#This Row],[NumL]],T_TraitDi[#Data],COLUMN(T_TraitDi[Vendredi]),FALSE),"")</f>
        <v/>
      </c>
      <c r="BC79" s="284" t="e">
        <f>IF(VLOOKUP(T_Convention[[#This Row],[NumL]],T_TraitDi[#Data],COLUMN(T_TraitDi[Colonne27]),FALSE)=0,"",TEXT(IFERROR(VLOOKUP(T_Convention[[#This Row],[NumL]],T_TraitDi[#Data],COLUMN(T_TraitDi[Colonne27]),FALSE),""),"[hh]:mm"))</f>
        <v>#N/A</v>
      </c>
      <c r="BD79" s="284" t="e">
        <f>IF(VLOOKUP(T_Convention[[#This Row],[NumL]],T_TraitDi[#Data],COLUMN(T_TraitDi[Colonne28]),FALSE)=0,"",TEXT(IFERROR(VLOOKUP(T_Convention[[#This Row],[NumL]],T_TraitDi[#Data],COLUMN(T_TraitDi[Colonne28]),FALSE),""),"[hh]:mm"))</f>
        <v>#N/A</v>
      </c>
      <c r="BE79" s="284" t="str">
        <f>IFERROR(VLOOKUP(T_Convention[[#This Row],[NumL]],T_TraitDi[#Data],COLUMN(T_TraitDi[Colonne29]),FALSE),"")</f>
        <v/>
      </c>
      <c r="BF79" s="284" t="e">
        <f>IF(VLOOKUP(T_Convention[[#This Row],[NumL]],T_TraitDi[#Data],COLUMN(T_TraitDi[Colonne30]),FALSE)=0,"",TEXT(IFERROR(VLOOKUP(T_Convention[[#This Row],[NumL]],T_TraitDi[#Data],COLUMN(T_TraitDi[Colonne30]),FALSE),""),"[hh]:mm"))</f>
        <v>#N/A</v>
      </c>
      <c r="BG79" s="284" t="e">
        <f>IF(VLOOKUP(T_Convention[[#This Row],[NumL]],T_TraitDi[#Data],COLUMN(T_TraitDi[Colonne31]),FALSE)=0,"",TEXT(IFERROR(VLOOKUP(T_Convention[[#This Row],[NumL]],T_TraitDi[#Data],COLUMN(T_TraitDi[Colonne31]),FALSE),""),"[hh]:mm"))</f>
        <v>#N/A</v>
      </c>
      <c r="BH79" s="284" t="e">
        <f>IF(VLOOKUP(T_Convention[[#This Row],[NumL]],T_TraitDi[#Data],COLUMN(T_TraitDi[Colonne32]),FALSE)=0,"",TEXT(IFERROR(VLOOKUP(T_Convention[[#This Row],[NumL]],T_TraitDi[#Data],COLUMN(T_TraitDi[Colonne32]),FALSE),""),"[hh]:mm"))</f>
        <v>#N/A</v>
      </c>
      <c r="BI79" s="284" t="str">
        <f>IFERROR(VLOOKUP(T_Convention[[#This Row],[NumL]],T_TraitDi[#Data],COLUMN(T_TraitDi[NbJTW]),FALSE),"")</f>
        <v/>
      </c>
      <c r="BJ79" s="284" t="e">
        <f>IF(VLOOKUP(T_Convention[[#This Row],[NumL]],T_TraitDi[#Data],COLUMN(T_TraitDi[NbhTW]),FALSE)=0,"",TEXT(IFERROR(VLOOKUP(T_Convention[[#This Row],[NumL]],T_TraitDi[#Data],COLUMN(T_TraitDi[NbhTW]),FALSE),""),"[hh]:mm"))</f>
        <v>#N/A</v>
      </c>
      <c r="BK79" s="286" t="e">
        <f>IF(VLOOKUP(T_Convention[[#This Row],[NumL]],T_TraitDi[#Data],COLUMN(T_TraitDi[Nbhheb]),FALSE)=0,"",TEXT(IFERROR(VLOOKUP(T_Convention[[#This Row],[NumL]],T_TraitDi[#Data],COLUMN(T_TraitDi[Nbhheb]),FALSE),""),"[hh]:mm"))</f>
        <v>#N/A</v>
      </c>
      <c r="BL79" s="287" t="str">
        <f>IFERROR(VLOOKUP(VLOOKUP(T_Convention[[#This Row],[NumL]],T_TraitDi[#Data],COLUMN(T_TraitDi[Type1]),FALSE),TypeTW,2,FALSE),"")</f>
        <v/>
      </c>
      <c r="BM79" s="288" t="str">
        <f>IFERROR(VLOOKUP(T_Convention[[#This Row],[NumL]],T_TraitDi[#Data],COLUMN(T_TraitDi[Rue1]),FALSE),"")</f>
        <v/>
      </c>
      <c r="BN79" s="289" t="str">
        <f>IFERROR(VLOOKUP(T_Convention[[#This Row],[NumL]],T_TraitDi[#Data],COLUMN(T_TraitDi[CP1]),FALSE),"")</f>
        <v/>
      </c>
      <c r="BO79" s="282" t="str">
        <f>IFERROR(VLOOKUP(T_Convention[[#This Row],[NumL]],T_TraitDi[#Data],COLUMN(T_TraitDi[VILLE1]),FALSE),"")</f>
        <v/>
      </c>
      <c r="BP79" s="290" t="str">
        <f>IFERROR(VLOOKUP(VLOOKUP(T_Convention[[#This Row],[NumL]],T_TraitDi[#Data],COLUMN(T_TraitDi[Type2]),FALSE),TypeTW,2,FALSE),"")</f>
        <v/>
      </c>
      <c r="BQ79" s="182" t="str">
        <f>IFERROR(VLOOKUP(T_Convention[[#This Row],[NumL]],T_TraitDi[#Data],COLUMN(T_TraitDi[Rue2]),FALSE),"")</f>
        <v/>
      </c>
      <c r="BR79" s="173" t="str">
        <f>IFERROR(VLOOKUP(T_Convention[[#This Row],[NumL]],T_TraitDi[#Data],COLUMN(T_TraitDi[CP2]),FALSE),"")</f>
        <v/>
      </c>
      <c r="BS79" s="173" t="str">
        <f>IFERROR(VLOOKUP(T_Convention[[#This Row],[NumL]],T_TraitDi[#Data],COLUMN(T_TraitDi[VILLE2]),FALSE),"")</f>
        <v/>
      </c>
      <c r="BT79" s="182" t="str">
        <f>IF(VLOOKUP(T_Convention[[#This Row],[NumL]],T_Equipement[#Data],COLUMN(T_Equipement[PC]),FALSE)="","Aucun équipement spécifique directement lié au télétravail",VLOOKUP(T_Convention[[#This Row],[NumL]],T_Equipement[#Data],COLUMN(T_Equipement[PC]),FALSE))</f>
        <v>13-807	 mac</v>
      </c>
      <c r="BU79" s="166" t="str">
        <f>IFERROR(IF(VLOOKUP(T_Convention[[#This Row],[NumL]],T_TraitDi[#Data],COLUMN(T_TraitDi[Plan]),FALSE)="OK","Un planning spécifique de télétravail est annexé à la présente convention.",""),"")</f>
        <v/>
      </c>
      <c r="BV79" s="185" t="s">
        <v>3385</v>
      </c>
      <c r="BW79" s="164" t="e">
        <f>IF(VLOOKUP(T_Convention[[#This Row],[NumL]],T_suiviDi[#Data],COLUMN(T_suiviDi[Entité]),FALSE)="","",VLOOKUP(T_Convention[[#This Row],[NumL]],T_suiviDi[#Data],COLUMN(T_suiviDi[Entité]),FALSE))</f>
        <v>#N/A</v>
      </c>
      <c r="BX79" s="164" t="str">
        <f>IF(VLOOKUP(T_Convention[[#This Row],[NumL]],T_Commission[#Data],COLUMN(T_Commission[envoi confirm TW]),FALSE)="","",VLOOKUP(T_Convention[[#This Row],[NumL]],T_Commission[#Data],COLUMN(T_Commission[envoi confirm TW]),FALSE))</f>
        <v>Oui</v>
      </c>
      <c r="BY7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79" s="264">
        <f>VLOOKUP(T_Convention[[#This Row],[NumL]],T_Commission[#Data],COLUMN(T_Commission[Commentaire]),FALSE)</f>
        <v>0</v>
      </c>
      <c r="CA79" s="254" t="str">
        <f>IF(VLOOKUP(T_Convention[[#This Row],[NumL]],T_Commission[#Data],COLUMN(T_Commission[Encadrant Email]),FALSE)="","",VLOOKUP(T_Convention[[#This Row],[NumL]],T_Commission[#Data],COLUMN(T_Commission[Encadrant Email]),FALSE))</f>
        <v/>
      </c>
      <c r="CB79" s="352" t="e">
        <f>VLOOKUP(T_Convention[[#This Row],[NumL]],T_TraitDi[#Data],COLUMN(T_TraitDi[NbJTot]),FALSE)</f>
        <v>#N/A</v>
      </c>
      <c r="CC79" s="352" t="e">
        <f>VLOOKUP(T_Convention[[#This Row],[NumL]],T_TraitDi[#Data],COLUMN(T_TraitDi[Reg Ponct]),FALSE)</f>
        <v>#N/A</v>
      </c>
      <c r="CD79" s="348" t="str">
        <f>IF(T_Convention[[#This Row],[Final]]&lt;&gt;"",VLOOKUP(T_Convention[[#This Row],[NumL]],T_suiviDi[#Data],COLUMN((T_suiviDi[Statut])),FALSE),"")</f>
        <v/>
      </c>
    </row>
    <row r="80" spans="1:82" s="106" customFormat="1" ht="18.75" customHeight="1" x14ac:dyDescent="0.25">
      <c r="A80" s="160">
        <v>303</v>
      </c>
      <c r="B80" s="281" t="str">
        <f>VLOOKUP(T_Convention[[#This Row],[NumL]],T_Commission[#Data],COLUMN(T_Commission[FINAL]),FALSE)</f>
        <v/>
      </c>
      <c r="C80" s="162"/>
      <c r="D80" s="95" t="e">
        <f>IF(VLOOKUP(T_Convention[[#This Row],[NumL]],T_TraitDi[#Data],COLUMN(T_TraitDi[WebC]),FALSE)="","",VLOOKUP(T_Convention[[#This Row],[NumL]],T_TraitDi[#Data],COLUMN(T_TraitDi[WebC]),FALSE))</f>
        <v>#N/A</v>
      </c>
      <c r="E80" s="163" t="str">
        <f t="shared" si="5"/>
        <v>12 janvier 2021</v>
      </c>
      <c r="F80" s="282" t="str">
        <f>IF(T_Convention[[#This Row],[Final]]&lt;&gt;"",VLOOKUP(T_Convention[[#This Row],[NumL]],T_suiviDi[#Data],COLUMN((T_suiviDi[Civ.])),FALSE),"")</f>
        <v/>
      </c>
      <c r="G80" s="283" t="str">
        <f>IF(T_Convention[[#This Row],[Final]]&lt;&gt;"",VLOOKUP(T_Convention[[#This Row],[NumL]],T_suiviDi[#Data],COLUMN((T_suiviDi[Nom])),FALSE),"")</f>
        <v/>
      </c>
      <c r="H80" s="282" t="str">
        <f>IF(T_Convention[[#This Row],[Final]]&lt;&gt;"",VLOOKUP(T_Convention[[#This Row],[NumL]],T_suiviDi[#Data],COLUMN((T_suiviDi[Prénom])),FALSE),"")</f>
        <v/>
      </c>
      <c r="I80" s="282" t="e">
        <f>VLOOKUP(T_Convention[[#This Row],[NumL]],T_suiviDi[#Data],COLUMN((T_suiviDi[[#This Row],[Email]])),FALSE)</f>
        <v>#VALUE!</v>
      </c>
      <c r="J80" s="282" t="e">
        <f>IF(VLOOKUP(T_Convention[[#This Row],[NumL]],T_suiviDi[#Data],COLUMN(T_suiviDi[[#This Row],[Fonction]]),FALSE)="","",VLOOKUP(T_Convention[[#This Row],[NumL]],T_suiviDi[#Data],COLUMN(T_suiviDi[[#This Row],[Fonction]]),FALSE))</f>
        <v>#VALUE!</v>
      </c>
      <c r="K80" s="282" t="e">
        <f>IF(VLOOKUP(T_Convention[[#This Row],[NumL]],T_suiviDi[#Data],COLUMN(T_suiviDi[[#This Row],[Grade]]),FALSE)="","",VLOOKUP(T_Convention[[#This Row],[NumL]],T_suiviDi[#Data],COLUMN(T_suiviDi[[#This Row],[Grade]]),FALSE))</f>
        <v>#VALUE!</v>
      </c>
      <c r="L80" s="282" t="e">
        <f>IF(VLOOKUP(T_Convention[[#This Row],[NumL]],T_suiviDi[#Data],COLUMN(T_suiviDi[[#This Row],[Service ]]),FALSE)="","",VLOOKUP(T_Convention[[#This Row],[NumL]],T_suiviDi[#Data],COLUMN(T_suiviDi[[#This Row],[Service ]]),FALSE))</f>
        <v>#VALUE!</v>
      </c>
      <c r="M80" s="314" t="str">
        <f t="shared" si="6"/>
        <v>01 septembre 2021</v>
      </c>
      <c r="N80" s="314" t="str">
        <f t="shared" si="7"/>
        <v>30 novembre 2021</v>
      </c>
      <c r="O80" s="284" t="str">
        <f t="shared" si="8"/>
        <v>30 novembre 2021</v>
      </c>
      <c r="P80" s="282" t="e">
        <f>IF(VLOOKUP(T_Convention[[#This Row],[NumL]],T_TraitDi[#Data],COLUMN(T_TraitDi[M1]),FALSE)="","",VLOOKUP(T_Convention[[#This Row],[NumL]],T_TraitDi[#Data],COLUMN(T_TraitDi[M1]),FALSE))</f>
        <v>#N/A</v>
      </c>
      <c r="Q80" s="282" t="e">
        <f>IF(VLOOKUP(T_Convention[[#This Row],[NumL]],T_TraitDi[#Data],COLUMN(T_TraitDi[M2]),FALSE)="","",VLOOKUP(T_Convention[[#This Row],[NumL]],T_TraitDi[#Data],COLUMN(T_TraitDi[M2]),FALSE))</f>
        <v>#N/A</v>
      </c>
      <c r="R80" s="282" t="e">
        <f>IF(VLOOKUP(T_Convention[[#This Row],[NumL]],T_TraitDi[#Data],COLUMN(T_TraitDi[M3]),FALSE)="","",VLOOKUP(T_Convention[[#This Row],[NumL]],T_TraitDi[#Data],COLUMN(T_TraitDi[M3]),FALSE))</f>
        <v>#N/A</v>
      </c>
      <c r="S80" s="282" t="e">
        <f>IF(VLOOKUP(T_Convention[[#This Row],[NumL]],T_TraitDi[#Data],COLUMN(T_TraitDi[M4]),FALSE)="","",VLOOKUP(T_Convention[[#This Row],[NumL]],T_TraitDi[#Data],COLUMN(T_TraitDi[M4]),FALSE))</f>
        <v>#N/A</v>
      </c>
      <c r="T80" s="282" t="e">
        <f>IF(VLOOKUP(T_Convention[[#This Row],[NumL]],T_TraitDi[#Data],COLUMN(T_TraitDi[M5]),FALSE)="","",VLOOKUP(T_Convention[[#This Row],[NumL]],T_TraitDi[#Data],COLUMN(T_TraitDi[M5]),FALSE))</f>
        <v>#N/A</v>
      </c>
      <c r="U80" s="282" t="e">
        <f>IF(VLOOKUP(T_Convention[[#This Row],[NumL]],T_TraitDi[#Data],COLUMN(T_TraitDi[M6]),FALSE)="","",VLOOKUP(T_Convention[[#This Row],[NumL]],T_TraitDi[#Data],COLUMN(T_TraitDi[M6]),FALSE))</f>
        <v>#N/A</v>
      </c>
      <c r="V80" s="314" t="e">
        <f t="shared" si="9"/>
        <v>#N/A</v>
      </c>
      <c r="W80" s="284" t="str">
        <f>IFERROR(TEXT(VLOOKUP(T_Convention[[#This Row],[NumL]],T_TraitDi[#Data],COLUMN(T_TraitDi[Q2]),FALSE),"###%"),"")</f>
        <v/>
      </c>
      <c r="X80" s="285" t="e">
        <f>VLOOKUP(T_Convention[[#This Row],[NumL]],T_TraitDi[#Data],COLUMN(T_TraitDi[Reg Ponct]),FALSE)</f>
        <v>#N/A</v>
      </c>
      <c r="Y80" s="285" t="e">
        <f>VLOOKUP(T_Convention[NumL],T_TraitDi[#Data],COLUMN(T_TraitDi[Jours flottants]),FALSE)</f>
        <v>#N/A</v>
      </c>
      <c r="Z80" s="284" t="str">
        <f>IFERROR(VLOOKUP(T_Convention[[#This Row],[NumL]],T_TraitDi[#Data],COLUMN(T_TraitDi[Lundi]),FALSE),"")</f>
        <v/>
      </c>
      <c r="AA80" s="284" t="e">
        <f>IF(VLOOKUP(T_Convention[[#This Row],[NumL]],T_TraitDi[#Data],COLUMN(T_TraitDi[Colonne3]),FALSE)=0,"",TEXT(IFERROR(VLOOKUP(T_Convention[[#This Row],[NumL]],T_TraitDi[#Data],COLUMN(T_TraitDi[Colonne3]),FALSE),""),"[hh]:mm"))</f>
        <v>#N/A</v>
      </c>
      <c r="AB80" s="284" t="e">
        <f>IF(VLOOKUP(T_Convention[[#This Row],[NumL]],T_TraitDi[#Data],COLUMN(T_TraitDi[Colonne4]),FALSE)=0,"",TEXT(IFERROR(VLOOKUP(T_Convention[[#This Row],[NumL]],T_TraitDi[#Data],COLUMN(T_TraitDi[Colonne4]),FALSE),""),"[hh]:mm"))</f>
        <v>#N/A</v>
      </c>
      <c r="AC80" s="284" t="e">
        <f>IF(VLOOKUP(T_Convention[[#This Row],[NumL]],T_TraitDi[#Data],COLUMN(T_TraitDi[Colonne5]),FALSE)=0,"",TEXT(IFERROR(VLOOKUP(T_Convention[[#This Row],[NumL]],T_TraitDi[#Data],COLUMN(T_TraitDi[Colonne5]),FALSE),""),"[hh]:mm"))</f>
        <v>#N/A</v>
      </c>
      <c r="AD80" s="284" t="e">
        <f>IF(VLOOKUP(T_Convention[[#This Row],[NumL]],T_TraitDi[#Data],COLUMN(T_TraitDi[Colonne6]),FALSE)=0,"",TEXT(IFERROR(VLOOKUP(T_Convention[[#This Row],[NumL]],T_TraitDi[#Data],COLUMN(T_TraitDi[Colonne6]),FALSE),""),"[hh]:mm"))</f>
        <v>#N/A</v>
      </c>
      <c r="AE80" s="284" t="e">
        <f>IF(VLOOKUP(T_Convention[[#This Row],[NumL]],T_TraitDi[#Data],COLUMN(T_TraitDi[Colonne7]),FALSE)=0,"",TEXT(IFERROR(VLOOKUP(T_Convention[[#This Row],[NumL]],T_TraitDi[#Data],COLUMN(T_TraitDi[Colonne7]),FALSE),""),"[hh]:mm"))</f>
        <v>#N/A</v>
      </c>
      <c r="AF80" s="284" t="e">
        <f>IF(VLOOKUP(T_Convention[[#This Row],[NumL]],T_TraitDi[#Data],COLUMN(T_TraitDi[Colonne8]),FALSE)=0,"",TEXT(IFERROR(VLOOKUP(T_Convention[[#This Row],[NumL]],T_TraitDi[#Data],COLUMN(T_TraitDi[Colonne8]),FALSE),""),"[hh]:mm"))</f>
        <v>#N/A</v>
      </c>
      <c r="AG80" s="284" t="str">
        <f>IFERROR(VLOOKUP(T_Convention[[#This Row],[NumL]],T_TraitDi[#Data],COLUMN(T_TraitDi[Mardi]),FALSE),"")</f>
        <v/>
      </c>
      <c r="AH80" s="284" t="e">
        <f>IF(VLOOKUP(T_Convention[[#This Row],[NumL]],T_TraitDi[#Data],COLUMN(T_TraitDi[Colonne1]),FALSE)=0,"",TEXT(IFERROR(VLOOKUP(T_Convention[[#This Row],[NumL]],T_TraitDi[#Data],COLUMN(T_TraitDi[Colonne1]),FALSE),""),"[hh]:mm"))</f>
        <v>#N/A</v>
      </c>
      <c r="AI80" s="284" t="e">
        <f>IF(VLOOKUP(T_Convention[[#This Row],[NumL]],T_TraitDi[#Data],COLUMN(T_TraitDi[Colonne9]),FALSE)=0,"",TEXT(IFERROR(VLOOKUP(T_Convention[[#This Row],[NumL]],T_TraitDi[#Data],COLUMN(T_TraitDi[Colonne9]),FALSE),""),"[hh]:mm"))</f>
        <v>#N/A</v>
      </c>
      <c r="AJ80" s="284" t="str">
        <f>IFERROR(VLOOKUP(T_Convention[[#This Row],[NumL]],T_TraitDi[#Data],COLUMN(T_TraitDi[Colonne10]),FALSE),"")</f>
        <v/>
      </c>
      <c r="AK80" s="284" t="e">
        <f>IF(VLOOKUP(T_Convention[[#This Row],[NumL]],T_TraitDi[#Data],COLUMN(T_TraitDi[Colonne11]),FALSE)=0,"",TEXT(IFERROR(VLOOKUP(T_Convention[[#This Row],[NumL]],T_TraitDi[#Data],COLUMN(T_TraitDi[Colonne11]),FALSE),""),"[hh]:mm"))</f>
        <v>#N/A</v>
      </c>
      <c r="AL80" s="284" t="e">
        <f>IF(VLOOKUP(T_Convention[[#This Row],[NumL]],T_TraitDi[#Data],COLUMN(T_TraitDi[Colonne12]),FALSE)=0,"",TEXT(IFERROR(VLOOKUP(T_Convention[[#This Row],[NumL]],T_TraitDi[#Data],COLUMN(T_TraitDi[Colonne12]),FALSE),""),"[hh]:mm"))</f>
        <v>#N/A</v>
      </c>
      <c r="AM80" s="284" t="e">
        <f>IF(VLOOKUP(T_Convention[[#This Row],[NumL]],T_TraitDi[#Data],COLUMN(T_TraitDi[Colonne14]),FALSE)=0,"",TEXT(IFERROR(VLOOKUP(T_Convention[[#This Row],[NumL]],T_TraitDi[#Data],COLUMN(T_TraitDi[Colonne14]),FALSE),""),"[hh]:mm"))</f>
        <v>#N/A</v>
      </c>
      <c r="AN80" s="284" t="str">
        <f>IFERROR(VLOOKUP(T_Convention[[#This Row],[NumL]],T_TraitDi[#Data],COLUMN(T_TraitDi[Mercredi]),FALSE),"")</f>
        <v/>
      </c>
      <c r="AO80" s="284" t="e">
        <f>IF(VLOOKUP(T_Convention[[#This Row],[NumL]],T_TraitDi[#Data],COLUMN(T_TraitDi[Colonne15]),FALSE)=0,"",TEXT(IFERROR(VLOOKUP(T_Convention[[#This Row],[NumL]],T_TraitDi[#Data],COLUMN(T_TraitDi[Colonne15]),FALSE),""),"[hh]:mm"))</f>
        <v>#N/A</v>
      </c>
      <c r="AP80" s="284" t="e">
        <f>IF(VLOOKUP(T_Convention[[#This Row],[NumL]],T_TraitDi[#Data],COLUMN(T_TraitDi[Colonne16]),FALSE)=0,"",TEXT(IFERROR(VLOOKUP(T_Convention[[#This Row],[NumL]],T_TraitDi[#Data],COLUMN(T_TraitDi[Colonne16]),FALSE),""),"[hh]:mm"))</f>
        <v>#N/A</v>
      </c>
      <c r="AQ80" s="284" t="str">
        <f>IFERROR(VLOOKUP(T_Convention[[#This Row],[NumL]],T_TraitDi[#Data],COLUMN(T_TraitDi[Colonne17]),FALSE),"")</f>
        <v/>
      </c>
      <c r="AR80" s="284" t="e">
        <f>IF(VLOOKUP(T_Convention[[#This Row],[NumL]],T_TraitDi[#Data],COLUMN(T_TraitDi[Colonne18]),FALSE)=0,"",TEXT(IFERROR(VLOOKUP(T_Convention[[#This Row],[NumL]],T_TraitDi[#Data],COLUMN(T_TraitDi[Colonne18]),FALSE),""),"[hh]:mm"))</f>
        <v>#N/A</v>
      </c>
      <c r="AS80" s="284" t="e">
        <f>IF(VLOOKUP(T_Convention[[#This Row],[NumL]],T_TraitDi[#Data],COLUMN(T_TraitDi[Colonne19]),FALSE)=0,"",TEXT(IFERROR(VLOOKUP(T_Convention[[#This Row],[NumL]],T_TraitDi[#Data],COLUMN(T_TraitDi[Colonne19]),FALSE),""),"[hh]:mm"))</f>
        <v>#N/A</v>
      </c>
      <c r="AT80" s="284" t="e">
        <f>IF(VLOOKUP(T_Convention[[#This Row],[NumL]],T_TraitDi[#Data],COLUMN(T_TraitDi[Colonne20]),FALSE)=0,"",TEXT(IFERROR(VLOOKUP(T_Convention[[#This Row],[NumL]],T_TraitDi[#Data],COLUMN(T_TraitDi[Colonne20]),FALSE),""),"[hh]:mm"))</f>
        <v>#N/A</v>
      </c>
      <c r="AU80" s="284" t="str">
        <f>IFERROR(VLOOKUP(T_Convention[[#This Row],[NumL]],T_TraitDi[#Data],COLUMN(T_TraitDi[Jeudi]),FALSE),"")</f>
        <v/>
      </c>
      <c r="AV80" s="284" t="e">
        <f>IF(VLOOKUP(T_Convention[[#This Row],[NumL]],T_TraitDi[#Data],COLUMN(T_TraitDi[Colonne21]),FALSE)=0,"",TEXT(IFERROR(VLOOKUP(T_Convention[[#This Row],[NumL]],T_TraitDi[#Data],COLUMN(T_TraitDi[Colonne21]),FALSE),""),"[hh]:mm"))</f>
        <v>#N/A</v>
      </c>
      <c r="AW80" s="284" t="e">
        <f>IF(VLOOKUP(T_Convention[[#This Row],[NumL]],T_TraitDi[#Data],COLUMN(T_TraitDi[Colonne22]),FALSE)=0,"",TEXT(IFERROR(VLOOKUP(T_Convention[[#This Row],[NumL]],T_TraitDi[#Data],COLUMN(T_TraitDi[Colonne22]),FALSE),""),"[hh]:mm"))</f>
        <v>#N/A</v>
      </c>
      <c r="AX80" s="284" t="str">
        <f>IFERROR(VLOOKUP(T_Convention[[#This Row],[NumL]],T_TraitDi[#Data],COLUMN(T_TraitDi[Colonne23]),FALSE),"")</f>
        <v/>
      </c>
      <c r="AY80" s="284" t="e">
        <f>IF(VLOOKUP(T_Convention[[#This Row],[NumL]],T_TraitDi[#Data],COLUMN(T_TraitDi[Colonne24]),FALSE)=0,"",TEXT(IFERROR(VLOOKUP(T_Convention[[#This Row],[NumL]],T_TraitDi[#Data],COLUMN(T_TraitDi[Colonne24]),FALSE),""),"[hh]:mm"))</f>
        <v>#N/A</v>
      </c>
      <c r="AZ80" s="284" t="e">
        <f>IF(VLOOKUP(T_Convention[[#This Row],[NumL]],T_TraitDi[#Data],COLUMN(T_TraitDi[Colonne25]),FALSE)=0,"",TEXT(IFERROR(VLOOKUP(T_Convention[[#This Row],[NumL]],T_TraitDi[#Data],COLUMN(T_TraitDi[Colonne25]),FALSE),""),"[hh]:mm"))</f>
        <v>#N/A</v>
      </c>
      <c r="BA80" s="284" t="e">
        <f>IF(VLOOKUP(T_Convention[[#This Row],[NumL]],T_TraitDi[#Data],COLUMN(T_TraitDi[Colonne26]),FALSE)=0,"",TEXT(IFERROR(VLOOKUP(T_Convention[[#This Row],[NumL]],T_TraitDi[#Data],COLUMN(T_TraitDi[Colonne26]),FALSE),""),"[hh]:mm"))</f>
        <v>#N/A</v>
      </c>
      <c r="BB80" s="284" t="str">
        <f>IFERROR(VLOOKUP(T_Convention[[#This Row],[NumL]],T_TraitDi[#Data],COLUMN(T_TraitDi[Vendredi]),FALSE),"")</f>
        <v/>
      </c>
      <c r="BC80" s="284" t="e">
        <f>IF(VLOOKUP(T_Convention[[#This Row],[NumL]],T_TraitDi[#Data],COLUMN(T_TraitDi[Colonne27]),FALSE)=0,"",TEXT(IFERROR(VLOOKUP(T_Convention[[#This Row],[NumL]],T_TraitDi[#Data],COLUMN(T_TraitDi[Colonne27]),FALSE),""),"[hh]:mm"))</f>
        <v>#N/A</v>
      </c>
      <c r="BD80" s="284" t="e">
        <f>IF(VLOOKUP(T_Convention[[#This Row],[NumL]],T_TraitDi[#Data],COLUMN(T_TraitDi[Colonne28]),FALSE)=0,"",TEXT(IFERROR(VLOOKUP(T_Convention[[#This Row],[NumL]],T_TraitDi[#Data],COLUMN(T_TraitDi[Colonne28]),FALSE),""),"[hh]:mm"))</f>
        <v>#N/A</v>
      </c>
      <c r="BE80" s="284" t="str">
        <f>IFERROR(VLOOKUP(T_Convention[[#This Row],[NumL]],T_TraitDi[#Data],COLUMN(T_TraitDi[Colonne29]),FALSE),"")</f>
        <v/>
      </c>
      <c r="BF80" s="284" t="e">
        <f>IF(VLOOKUP(T_Convention[[#This Row],[NumL]],T_TraitDi[#Data],COLUMN(T_TraitDi[Colonne30]),FALSE)=0,"",TEXT(IFERROR(VLOOKUP(T_Convention[[#This Row],[NumL]],T_TraitDi[#Data],COLUMN(T_TraitDi[Colonne30]),FALSE),""),"[hh]:mm"))</f>
        <v>#N/A</v>
      </c>
      <c r="BG80" s="284" t="e">
        <f>IF(VLOOKUP(T_Convention[[#This Row],[NumL]],T_TraitDi[#Data],COLUMN(T_TraitDi[Colonne31]),FALSE)=0,"",TEXT(IFERROR(VLOOKUP(T_Convention[[#This Row],[NumL]],T_TraitDi[#Data],COLUMN(T_TraitDi[Colonne31]),FALSE),""),"[hh]:mm"))</f>
        <v>#N/A</v>
      </c>
      <c r="BH80" s="284" t="e">
        <f>IF(VLOOKUP(T_Convention[[#This Row],[NumL]],T_TraitDi[#Data],COLUMN(T_TraitDi[Colonne32]),FALSE)=0,"",TEXT(IFERROR(VLOOKUP(T_Convention[[#This Row],[NumL]],T_TraitDi[#Data],COLUMN(T_TraitDi[Colonne32]),FALSE),""),"[hh]:mm"))</f>
        <v>#N/A</v>
      </c>
      <c r="BI80" s="284" t="str">
        <f>IFERROR(VLOOKUP(T_Convention[[#This Row],[NumL]],T_TraitDi[#Data],COLUMN(T_TraitDi[NbJTW]),FALSE),"")</f>
        <v/>
      </c>
      <c r="BJ80" s="284" t="e">
        <f>IF(VLOOKUP(T_Convention[[#This Row],[NumL]],T_TraitDi[#Data],COLUMN(T_TraitDi[NbhTW]),FALSE)=0,"",TEXT(IFERROR(VLOOKUP(T_Convention[[#This Row],[NumL]],T_TraitDi[#Data],COLUMN(T_TraitDi[NbhTW]),FALSE),""),"[hh]:mm"))</f>
        <v>#N/A</v>
      </c>
      <c r="BK80" s="315" t="e">
        <f>IF(VLOOKUP(T_Convention[[#This Row],[NumL]],T_TraitDi[#Data],COLUMN(T_TraitDi[Nbhheb]),FALSE)=0,"",TEXT(IFERROR(VLOOKUP(T_Convention[[#This Row],[NumL]],T_TraitDi[#Data],COLUMN(T_TraitDi[Nbhheb]),FALSE),""),"[hh]:mm"))</f>
        <v>#N/A</v>
      </c>
      <c r="BL80" s="287" t="str">
        <f>IFERROR(VLOOKUP(VLOOKUP(T_Convention[[#This Row],[NumL]],T_TraitDi[#Data],COLUMN(T_TraitDi[Type1]),FALSE),TypeTW,2,FALSE),"")</f>
        <v/>
      </c>
      <c r="BM80" s="288" t="str">
        <f>IFERROR(VLOOKUP(T_Convention[[#This Row],[NumL]],T_TraitDi[#Data],COLUMN(T_TraitDi[Rue1]),FALSE),"")</f>
        <v/>
      </c>
      <c r="BN80" s="289" t="str">
        <f>IFERROR(VLOOKUP(T_Convention[[#This Row],[NumL]],T_TraitDi[#Data],COLUMN(T_TraitDi[CP1]),FALSE),"")</f>
        <v/>
      </c>
      <c r="BO80" s="282" t="str">
        <f>IFERROR(VLOOKUP(T_Convention[[#This Row],[NumL]],T_TraitDi[#Data],COLUMN(T_TraitDi[VILLE1]),FALSE),"")</f>
        <v/>
      </c>
      <c r="BP80" s="290" t="str">
        <f>IFERROR(VLOOKUP(VLOOKUP(T_Convention[[#This Row],[NumL]],T_TraitDi[#Data],COLUMN(T_TraitDi[Type2]),FALSE),TypeTW,2,FALSE),"")</f>
        <v/>
      </c>
      <c r="BQ80" s="310" t="str">
        <f>IFERROR(VLOOKUP(T_Convention[[#This Row],[NumL]],T_TraitDi[#Data],COLUMN(T_TraitDi[Rue2]),FALSE),"")</f>
        <v/>
      </c>
      <c r="BR80" s="290" t="str">
        <f>IFERROR(VLOOKUP(T_Convention[[#This Row],[NumL]],T_TraitDi[#Data],COLUMN(T_TraitDi[CP2]),FALSE),"")</f>
        <v/>
      </c>
      <c r="BS80" s="290" t="str">
        <f>IFERROR(VLOOKUP(T_Convention[[#This Row],[NumL]],T_TraitDi[#Data],COLUMN(T_TraitDi[VILLE2]),FALSE),"")</f>
        <v/>
      </c>
      <c r="BT8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80" s="314" t="str">
        <f>IFERROR(IF(VLOOKUP(T_Convention[[#This Row],[NumL]],T_TraitDi[#Data],COLUMN(T_TraitDi[Plan]),FALSE)="OK","Un planning spécifique de télétravail est annexé à la présente convention.",""),"")</f>
        <v/>
      </c>
      <c r="BV80" s="291"/>
      <c r="BW80" s="292" t="e">
        <f>IF(VLOOKUP(T_Convention[[#This Row],[NumL]],T_suiviDi[#Data],COLUMN(T_suiviDi[Entité]),FALSE)="","",VLOOKUP(T_Convention[[#This Row],[NumL]],T_suiviDi[#Data],COLUMN(T_suiviDi[Entité]),FALSE))</f>
        <v>#N/A</v>
      </c>
      <c r="BX80" s="311" t="str">
        <f>IF(VLOOKUP(T_Convention[[#This Row],[NumL]],T_Commission[#Data],COLUMN(T_Commission[envoi confirm TW]),FALSE)="","",VLOOKUP(T_Convention[[#This Row],[NumL]],T_Commission[#Data],COLUMN(T_Commission[envoi confirm TW]),FALSE))</f>
        <v>Oui</v>
      </c>
      <c r="BY8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0" s="265" t="str">
        <f>VLOOKUP(T_Convention[[#This Row],[NumL]],T_Commission[#Data],COLUMN(T_Commission[Commentaire]),FALSE)</f>
        <v>Le télétravail est accordé pour 6 mois renouvelables sous réserve de l'avis du médecin de prévention.</v>
      </c>
      <c r="CA80" s="255" t="str">
        <f>IF(VLOOKUP(T_Convention[[#This Row],[NumL]],T_Commission[#Data],COLUMN(T_Commission[Encadrant Email]),FALSE)="","",VLOOKUP(T_Convention[[#This Row],[NumL]],T_Commission[#Data],COLUMN(T_Commission[Encadrant Email]),FALSE))</f>
        <v/>
      </c>
      <c r="CB80" s="352" t="e">
        <f>VLOOKUP(T_Convention[[#This Row],[NumL]],T_TraitDi[#Data],COLUMN(T_TraitDi[NbJTot]),FALSE)</f>
        <v>#N/A</v>
      </c>
      <c r="CC80" s="352" t="e">
        <f>VLOOKUP(T_Convention[[#This Row],[NumL]],T_TraitDi[#Data],COLUMN(T_TraitDi[Reg Ponct]),FALSE)</f>
        <v>#N/A</v>
      </c>
      <c r="CD80" s="348" t="str">
        <f>IF(T_Convention[[#This Row],[Final]]&lt;&gt;"",VLOOKUP(T_Convention[[#This Row],[NumL]],T_suiviDi[#Data],COLUMN((T_suiviDi[Statut])),FALSE),"")</f>
        <v/>
      </c>
    </row>
    <row r="81" spans="1:82" s="106" customFormat="1" ht="18.75" customHeight="1" x14ac:dyDescent="0.25">
      <c r="A81" s="160">
        <v>118</v>
      </c>
      <c r="B81" s="161" t="str">
        <f>VLOOKUP(T_Convention[[#This Row],[NumL]],T_Commission[#Data],COLUMN(T_Commission[FINAL]),FALSE)</f>
        <v/>
      </c>
      <c r="C81" s="162"/>
      <c r="D81" s="95" t="e">
        <f>IF(VLOOKUP(T_Convention[[#This Row],[NumL]],T_TraitDi[#Data],COLUMN(T_TraitDi[WebC]),FALSE)="","",VLOOKUP(T_Convention[[#This Row],[NumL]],T_TraitDi[#Data],COLUMN(T_TraitDi[WebC]),FALSE))</f>
        <v>#N/A</v>
      </c>
      <c r="E81" s="163" t="str">
        <f t="shared" si="5"/>
        <v>12 janvier 2021</v>
      </c>
      <c r="F81" s="282" t="str">
        <f>IF(T_Convention[[#This Row],[Final]]&lt;&gt;"",VLOOKUP(T_Convention[[#This Row],[NumL]],T_suiviDi[#Data],COLUMN((T_suiviDi[Civ.])),FALSE),"")</f>
        <v/>
      </c>
      <c r="G81" s="283" t="str">
        <f>IF(T_Convention[[#This Row],[Final]]&lt;&gt;"",VLOOKUP(T_Convention[[#This Row],[NumL]],T_suiviDi[#Data],COLUMN((T_suiviDi[Nom])),FALSE),"")</f>
        <v/>
      </c>
      <c r="H81" s="282" t="str">
        <f>IF(T_Convention[[#This Row],[Final]]&lt;&gt;"",VLOOKUP(T_Convention[[#This Row],[NumL]],T_suiviDi[#Data],COLUMN((T_suiviDi[Prénom])),FALSE),"")</f>
        <v/>
      </c>
      <c r="I81" s="282" t="e">
        <f>VLOOKUP(T_Convention[[#This Row],[NumL]],T_suiviDi[#Data],COLUMN((T_suiviDi[[#This Row],[Email]])),FALSE)</f>
        <v>#VALUE!</v>
      </c>
      <c r="J81" s="282" t="e">
        <f>IF(VLOOKUP(T_Convention[[#This Row],[NumL]],T_suiviDi[#Data],COLUMN(T_suiviDi[[#This Row],[Fonction]]),FALSE)="","",VLOOKUP(T_Convention[[#This Row],[NumL]],T_suiviDi[#Data],COLUMN(T_suiviDi[[#This Row],[Fonction]]),FALSE))</f>
        <v>#VALUE!</v>
      </c>
      <c r="K81" s="282" t="e">
        <f>IF(VLOOKUP(T_Convention[[#This Row],[NumL]],T_suiviDi[#Data],COLUMN(T_suiviDi[[#This Row],[Grade]]),FALSE)="","",VLOOKUP(T_Convention[[#This Row],[NumL]],T_suiviDi[#Data],COLUMN(T_suiviDi[[#This Row],[Grade]]),FALSE))</f>
        <v>#VALUE!</v>
      </c>
      <c r="L81" s="282" t="e">
        <f>IF(VLOOKUP(T_Convention[[#This Row],[NumL]],T_suiviDi[#Data],COLUMN(T_suiviDi[[#This Row],[Service ]]),FALSE)="","",VLOOKUP(T_Convention[[#This Row],[NumL]],T_suiviDi[#Data],COLUMN(T_suiviDi[[#This Row],[Service ]]),FALSE))</f>
        <v>#VALUE!</v>
      </c>
      <c r="M81" s="164" t="str">
        <f t="shared" si="6"/>
        <v>01 septembre 2021</v>
      </c>
      <c r="N81" s="164" t="str">
        <f t="shared" si="7"/>
        <v>30 novembre 2021</v>
      </c>
      <c r="O81" s="284" t="str">
        <f t="shared" si="8"/>
        <v>30 novembre 2021</v>
      </c>
      <c r="P81" s="282" t="e">
        <f>IF(VLOOKUP(T_Convention[[#This Row],[NumL]],T_TraitDi[#Data],COLUMN(T_TraitDi[M1]),FALSE)="","",VLOOKUP(T_Convention[[#This Row],[NumL]],T_TraitDi[#Data],COLUMN(T_TraitDi[M1]),FALSE))</f>
        <v>#N/A</v>
      </c>
      <c r="Q81" s="282" t="e">
        <f>IF(VLOOKUP(T_Convention[[#This Row],[NumL]],T_TraitDi[#Data],COLUMN(T_TraitDi[M2]),FALSE)="","",VLOOKUP(T_Convention[[#This Row],[NumL]],T_TraitDi[#Data],COLUMN(T_TraitDi[M2]),FALSE))</f>
        <v>#N/A</v>
      </c>
      <c r="R81" s="282" t="e">
        <f>IF(VLOOKUP(T_Convention[[#This Row],[NumL]],T_TraitDi[#Data],COLUMN(T_TraitDi[M3]),FALSE)="","",VLOOKUP(T_Convention[[#This Row],[NumL]],T_TraitDi[#Data],COLUMN(T_TraitDi[M3]),FALSE))</f>
        <v>#N/A</v>
      </c>
      <c r="S81" s="282" t="e">
        <f>IF(VLOOKUP(T_Convention[[#This Row],[NumL]],T_TraitDi[#Data],COLUMN(T_TraitDi[M4]),FALSE)="","",VLOOKUP(T_Convention[[#This Row],[NumL]],T_TraitDi[#Data],COLUMN(T_TraitDi[M4]),FALSE))</f>
        <v>#N/A</v>
      </c>
      <c r="T81" s="282" t="e">
        <f>IF(VLOOKUP(T_Convention[[#This Row],[NumL]],T_TraitDi[#Data],COLUMN(T_TraitDi[M5]),FALSE)="","",VLOOKUP(T_Convention[[#This Row],[NumL]],T_TraitDi[#Data],COLUMN(T_TraitDi[M5]),FALSE))</f>
        <v>#N/A</v>
      </c>
      <c r="U81" s="282" t="e">
        <f>IF(VLOOKUP(T_Convention[[#This Row],[NumL]],T_TraitDi[#Data],COLUMN(T_TraitDi[M6]),FALSE)="","",VLOOKUP(T_Convention[[#This Row],[NumL]],T_TraitDi[#Data],COLUMN(T_TraitDi[M6]),FALSE))</f>
        <v>#N/A</v>
      </c>
      <c r="V81" s="176" t="e">
        <f t="shared" si="9"/>
        <v>#N/A</v>
      </c>
      <c r="W81" s="284" t="str">
        <f>IFERROR(TEXT(VLOOKUP(T_Convention[[#This Row],[NumL]],T_TraitDi[#Data],COLUMN(T_TraitDi[Q2]),FALSE),"###%"),"")</f>
        <v/>
      </c>
      <c r="X81" s="97" t="e">
        <f>VLOOKUP(T_Convention[[#This Row],[NumL]],T_TraitDi[#Data],COLUMN(T_TraitDi[Reg Ponct]),FALSE)</f>
        <v>#N/A</v>
      </c>
      <c r="Y81" s="97" t="e">
        <f>VLOOKUP(T_Convention[NumL],T_TraitDi[#Data],COLUMN(T_TraitDi[Jours flottants]),FALSE)</f>
        <v>#N/A</v>
      </c>
      <c r="Z81" s="284" t="str">
        <f>IFERROR(VLOOKUP(T_Convention[[#This Row],[NumL]],T_TraitDi[#Data],COLUMN(T_TraitDi[Lundi]),FALSE),"")</f>
        <v/>
      </c>
      <c r="AA81" s="284" t="e">
        <f>IF(VLOOKUP(T_Convention[[#This Row],[NumL]],T_TraitDi[#Data],COLUMN(T_TraitDi[Colonne3]),FALSE)=0,"",TEXT(IFERROR(VLOOKUP(T_Convention[[#This Row],[NumL]],T_TraitDi[#Data],COLUMN(T_TraitDi[Colonne3]),FALSE),""),"[hh]:mm"))</f>
        <v>#N/A</v>
      </c>
      <c r="AB81" s="284" t="e">
        <f>IF(VLOOKUP(T_Convention[[#This Row],[NumL]],T_TraitDi[#Data],COLUMN(T_TraitDi[Colonne4]),FALSE)=0,"",TEXT(IFERROR(VLOOKUP(T_Convention[[#This Row],[NumL]],T_TraitDi[#Data],COLUMN(T_TraitDi[Colonne4]),FALSE),""),"[hh]:mm"))</f>
        <v>#N/A</v>
      </c>
      <c r="AC81" s="284" t="e">
        <f>IF(VLOOKUP(T_Convention[[#This Row],[NumL]],T_TraitDi[#Data],COLUMN(T_TraitDi[Colonne5]),FALSE)=0,"",TEXT(IFERROR(VLOOKUP(T_Convention[[#This Row],[NumL]],T_TraitDi[#Data],COLUMN(T_TraitDi[Colonne5]),FALSE),""),"[hh]:mm"))</f>
        <v>#N/A</v>
      </c>
      <c r="AD81" s="284" t="e">
        <f>IF(VLOOKUP(T_Convention[[#This Row],[NumL]],T_TraitDi[#Data],COLUMN(T_TraitDi[Colonne6]),FALSE)=0,"",TEXT(IFERROR(VLOOKUP(T_Convention[[#This Row],[NumL]],T_TraitDi[#Data],COLUMN(T_TraitDi[Colonne6]),FALSE),""),"[hh]:mm"))</f>
        <v>#N/A</v>
      </c>
      <c r="AE81" s="284" t="e">
        <f>IF(VLOOKUP(T_Convention[[#This Row],[NumL]],T_TraitDi[#Data],COLUMN(T_TraitDi[Colonne7]),FALSE)=0,"",TEXT(IFERROR(VLOOKUP(T_Convention[[#This Row],[NumL]],T_TraitDi[#Data],COLUMN(T_TraitDi[Colonne7]),FALSE),""),"[hh]:mm"))</f>
        <v>#N/A</v>
      </c>
      <c r="AF81" s="284" t="e">
        <f>IF(VLOOKUP(T_Convention[[#This Row],[NumL]],T_TraitDi[#Data],COLUMN(T_TraitDi[Colonne8]),FALSE)=0,"",TEXT(IFERROR(VLOOKUP(T_Convention[[#This Row],[NumL]],T_TraitDi[#Data],COLUMN(T_TraitDi[Colonne8]),FALSE),""),"[hh]:mm"))</f>
        <v>#N/A</v>
      </c>
      <c r="AG81" s="284" t="str">
        <f>IFERROR(VLOOKUP(T_Convention[[#This Row],[NumL]],T_TraitDi[#Data],COLUMN(T_TraitDi[Mardi]),FALSE),"")</f>
        <v/>
      </c>
      <c r="AH81" s="284" t="e">
        <f>IF(VLOOKUP(T_Convention[[#This Row],[NumL]],T_TraitDi[#Data],COLUMN(T_TraitDi[Colonne1]),FALSE)=0,"",TEXT(IFERROR(VLOOKUP(T_Convention[[#This Row],[NumL]],T_TraitDi[#Data],COLUMN(T_TraitDi[Colonne1]),FALSE),""),"[hh]:mm"))</f>
        <v>#N/A</v>
      </c>
      <c r="AI81" s="284" t="e">
        <f>IF(VLOOKUP(T_Convention[[#This Row],[NumL]],T_TraitDi[#Data],COLUMN(T_TraitDi[Colonne9]),FALSE)=0,"",TEXT(IFERROR(VLOOKUP(T_Convention[[#This Row],[NumL]],T_TraitDi[#Data],COLUMN(T_TraitDi[Colonne9]),FALSE),""),"[hh]:mm"))</f>
        <v>#N/A</v>
      </c>
      <c r="AJ81" s="284" t="str">
        <f>IFERROR(VLOOKUP(T_Convention[[#This Row],[NumL]],T_TraitDi[#Data],COLUMN(T_TraitDi[Colonne10]),FALSE),"")</f>
        <v/>
      </c>
      <c r="AK81" s="284" t="e">
        <f>IF(VLOOKUP(T_Convention[[#This Row],[NumL]],T_TraitDi[#Data],COLUMN(T_TraitDi[Colonne11]),FALSE)=0,"",TEXT(IFERROR(VLOOKUP(T_Convention[[#This Row],[NumL]],T_TraitDi[#Data],COLUMN(T_TraitDi[Colonne11]),FALSE),""),"[hh]:mm"))</f>
        <v>#N/A</v>
      </c>
      <c r="AL81" s="284" t="e">
        <f>IF(VLOOKUP(T_Convention[[#This Row],[NumL]],T_TraitDi[#Data],COLUMN(T_TraitDi[Colonne12]),FALSE)=0,"",TEXT(IFERROR(VLOOKUP(T_Convention[[#This Row],[NumL]],T_TraitDi[#Data],COLUMN(T_TraitDi[Colonne12]),FALSE),""),"[hh]:mm"))</f>
        <v>#N/A</v>
      </c>
      <c r="AM81" s="284" t="e">
        <f>IF(VLOOKUP(T_Convention[[#This Row],[NumL]],T_TraitDi[#Data],COLUMN(T_TraitDi[Colonne14]),FALSE)=0,"",TEXT(IFERROR(VLOOKUP(T_Convention[[#This Row],[NumL]],T_TraitDi[#Data],COLUMN(T_TraitDi[Colonne14]),FALSE),""),"[hh]:mm"))</f>
        <v>#N/A</v>
      </c>
      <c r="AN81" s="284" t="str">
        <f>IFERROR(VLOOKUP(T_Convention[[#This Row],[NumL]],T_TraitDi[#Data],COLUMN(T_TraitDi[Mercredi]),FALSE),"")</f>
        <v/>
      </c>
      <c r="AO81" s="284" t="e">
        <f>IF(VLOOKUP(T_Convention[[#This Row],[NumL]],T_TraitDi[#Data],COLUMN(T_TraitDi[Colonne15]),FALSE)=0,"",TEXT(IFERROR(VLOOKUP(T_Convention[[#This Row],[NumL]],T_TraitDi[#Data],COLUMN(T_TraitDi[Colonne15]),FALSE),""),"[hh]:mm"))</f>
        <v>#N/A</v>
      </c>
      <c r="AP81" s="284" t="e">
        <f>IF(VLOOKUP(T_Convention[[#This Row],[NumL]],T_TraitDi[#Data],COLUMN(T_TraitDi[Colonne16]),FALSE)=0,"",TEXT(IFERROR(VLOOKUP(T_Convention[[#This Row],[NumL]],T_TraitDi[#Data],COLUMN(T_TraitDi[Colonne16]),FALSE),""),"[hh]:mm"))</f>
        <v>#N/A</v>
      </c>
      <c r="AQ81" s="284" t="str">
        <f>IFERROR(VLOOKUP(T_Convention[[#This Row],[NumL]],T_TraitDi[#Data],COLUMN(T_TraitDi[Colonne17]),FALSE),"")</f>
        <v/>
      </c>
      <c r="AR81" s="284" t="e">
        <f>IF(VLOOKUP(T_Convention[[#This Row],[NumL]],T_TraitDi[#Data],COLUMN(T_TraitDi[Colonne18]),FALSE)=0,"",TEXT(IFERROR(VLOOKUP(T_Convention[[#This Row],[NumL]],T_TraitDi[#Data],COLUMN(T_TraitDi[Colonne18]),FALSE),""),"[hh]:mm"))</f>
        <v>#N/A</v>
      </c>
      <c r="AS81" s="284" t="e">
        <f>IF(VLOOKUP(T_Convention[[#This Row],[NumL]],T_TraitDi[#Data],COLUMN(T_TraitDi[Colonne19]),FALSE)=0,"",TEXT(IFERROR(VLOOKUP(T_Convention[[#This Row],[NumL]],T_TraitDi[#Data],COLUMN(T_TraitDi[Colonne19]),FALSE),""),"[hh]:mm"))</f>
        <v>#N/A</v>
      </c>
      <c r="AT81" s="284" t="e">
        <f>IF(VLOOKUP(T_Convention[[#This Row],[NumL]],T_TraitDi[#Data],COLUMN(T_TraitDi[Colonne20]),FALSE)=0,"",TEXT(IFERROR(VLOOKUP(T_Convention[[#This Row],[NumL]],T_TraitDi[#Data],COLUMN(T_TraitDi[Colonne20]),FALSE),""),"[hh]:mm"))</f>
        <v>#N/A</v>
      </c>
      <c r="AU81" s="284" t="str">
        <f>IFERROR(VLOOKUP(T_Convention[[#This Row],[NumL]],T_TraitDi[#Data],COLUMN(T_TraitDi[Jeudi]),FALSE),"")</f>
        <v/>
      </c>
      <c r="AV81" s="284" t="e">
        <f>IF(VLOOKUP(T_Convention[[#This Row],[NumL]],T_TraitDi[#Data],COLUMN(T_TraitDi[Colonne21]),FALSE)=0,"",TEXT(IFERROR(VLOOKUP(T_Convention[[#This Row],[NumL]],T_TraitDi[#Data],COLUMN(T_TraitDi[Colonne21]),FALSE),""),"[hh]:mm"))</f>
        <v>#N/A</v>
      </c>
      <c r="AW81" s="284" t="e">
        <f>IF(VLOOKUP(T_Convention[[#This Row],[NumL]],T_TraitDi[#Data],COLUMN(T_TraitDi[Colonne22]),FALSE)=0,"",TEXT(IFERROR(VLOOKUP(T_Convention[[#This Row],[NumL]],T_TraitDi[#Data],COLUMN(T_TraitDi[Colonne22]),FALSE),""),"[hh]:mm"))</f>
        <v>#N/A</v>
      </c>
      <c r="AX81" s="284" t="str">
        <f>IFERROR(VLOOKUP(T_Convention[[#This Row],[NumL]],T_TraitDi[#Data],COLUMN(T_TraitDi[Colonne23]),FALSE),"")</f>
        <v/>
      </c>
      <c r="AY81" s="284" t="e">
        <f>IF(VLOOKUP(T_Convention[[#This Row],[NumL]],T_TraitDi[#Data],COLUMN(T_TraitDi[Colonne24]),FALSE)=0,"",TEXT(IFERROR(VLOOKUP(T_Convention[[#This Row],[NumL]],T_TraitDi[#Data],COLUMN(T_TraitDi[Colonne24]),FALSE),""),"[hh]:mm"))</f>
        <v>#N/A</v>
      </c>
      <c r="AZ81" s="284" t="e">
        <f>IF(VLOOKUP(T_Convention[[#This Row],[NumL]],T_TraitDi[#Data],COLUMN(T_TraitDi[Colonne25]),FALSE)=0,"",TEXT(IFERROR(VLOOKUP(T_Convention[[#This Row],[NumL]],T_TraitDi[#Data],COLUMN(T_TraitDi[Colonne25]),FALSE),""),"[hh]:mm"))</f>
        <v>#N/A</v>
      </c>
      <c r="BA81" s="284" t="e">
        <f>IF(VLOOKUP(T_Convention[[#This Row],[NumL]],T_TraitDi[#Data],COLUMN(T_TraitDi[Colonne26]),FALSE)=0,"",TEXT(IFERROR(VLOOKUP(T_Convention[[#This Row],[NumL]],T_TraitDi[#Data],COLUMN(T_TraitDi[Colonne26]),FALSE),""),"[hh]:mm"))</f>
        <v>#N/A</v>
      </c>
      <c r="BB81" s="284" t="str">
        <f>IFERROR(VLOOKUP(T_Convention[[#This Row],[NumL]],T_TraitDi[#Data],COLUMN(T_TraitDi[Vendredi]),FALSE),"")</f>
        <v/>
      </c>
      <c r="BC81" s="284" t="e">
        <f>IF(VLOOKUP(T_Convention[[#This Row],[NumL]],T_TraitDi[#Data],COLUMN(T_TraitDi[Colonne27]),FALSE)=0,"",TEXT(IFERROR(VLOOKUP(T_Convention[[#This Row],[NumL]],T_TraitDi[#Data],COLUMN(T_TraitDi[Colonne27]),FALSE),""),"[hh]:mm"))</f>
        <v>#N/A</v>
      </c>
      <c r="BD81" s="284" t="e">
        <f>IF(VLOOKUP(T_Convention[[#This Row],[NumL]],T_TraitDi[#Data],COLUMN(T_TraitDi[Colonne28]),FALSE)=0,"",TEXT(IFERROR(VLOOKUP(T_Convention[[#This Row],[NumL]],T_TraitDi[#Data],COLUMN(T_TraitDi[Colonne28]),FALSE),""),"[hh]:mm"))</f>
        <v>#N/A</v>
      </c>
      <c r="BE81" s="284" t="str">
        <f>IFERROR(VLOOKUP(T_Convention[[#This Row],[NumL]],T_TraitDi[#Data],COLUMN(T_TraitDi[Colonne29]),FALSE),"")</f>
        <v/>
      </c>
      <c r="BF81" s="284" t="e">
        <f>IF(VLOOKUP(T_Convention[[#This Row],[NumL]],T_TraitDi[#Data],COLUMN(T_TraitDi[Colonne30]),FALSE)=0,"",TEXT(IFERROR(VLOOKUP(T_Convention[[#This Row],[NumL]],T_TraitDi[#Data],COLUMN(T_TraitDi[Colonne30]),FALSE),""),"[hh]:mm"))</f>
        <v>#N/A</v>
      </c>
      <c r="BG81" s="284" t="e">
        <f>IF(VLOOKUP(T_Convention[[#This Row],[NumL]],T_TraitDi[#Data],COLUMN(T_TraitDi[Colonne31]),FALSE)=0,"",TEXT(IFERROR(VLOOKUP(T_Convention[[#This Row],[NumL]],T_TraitDi[#Data],COLUMN(T_TraitDi[Colonne31]),FALSE),""),"[hh]:mm"))</f>
        <v>#N/A</v>
      </c>
      <c r="BH81" s="284" t="e">
        <f>IF(VLOOKUP(T_Convention[[#This Row],[NumL]],T_TraitDi[#Data],COLUMN(T_TraitDi[Colonne32]),FALSE)=0,"",TEXT(IFERROR(VLOOKUP(T_Convention[[#This Row],[NumL]],T_TraitDi[#Data],COLUMN(T_TraitDi[Colonne32]),FALSE),""),"[hh]:mm"))</f>
        <v>#N/A</v>
      </c>
      <c r="BI81" s="284" t="str">
        <f>IFERROR(VLOOKUP(T_Convention[[#This Row],[NumL]],T_TraitDi[#Data],COLUMN(T_TraitDi[NbJTW]),FALSE),"")</f>
        <v/>
      </c>
      <c r="BJ81" s="284" t="e">
        <f>IF(VLOOKUP(T_Convention[[#This Row],[NumL]],T_TraitDi[#Data],COLUMN(T_TraitDi[NbhTW]),FALSE)=0,"",TEXT(IFERROR(VLOOKUP(T_Convention[[#This Row],[NumL]],T_TraitDi[#Data],COLUMN(T_TraitDi[NbhTW]),FALSE),""),"[hh]:mm"))</f>
        <v>#N/A</v>
      </c>
      <c r="BK81" s="286" t="e">
        <f>IF(VLOOKUP(T_Convention[[#This Row],[NumL]],T_TraitDi[#Data],COLUMN(T_TraitDi[Nbhheb]),FALSE)=0,"",TEXT(IFERROR(VLOOKUP(T_Convention[[#This Row],[NumL]],T_TraitDi[#Data],COLUMN(T_TraitDi[Nbhheb]),FALSE),""),"[hh]:mm"))</f>
        <v>#N/A</v>
      </c>
      <c r="BL81" s="287" t="str">
        <f>IFERROR(VLOOKUP(VLOOKUP(T_Convention[[#This Row],[NumL]],T_TraitDi[#Data],COLUMN(T_TraitDi[Type1]),FALSE),TypeTW,2,FALSE),"")</f>
        <v/>
      </c>
      <c r="BM81" s="288" t="str">
        <f>IFERROR(VLOOKUP(T_Convention[[#This Row],[NumL]],T_TraitDi[#Data],COLUMN(T_TraitDi[Rue1]),FALSE),"")</f>
        <v/>
      </c>
      <c r="BN81" s="289" t="str">
        <f>IFERROR(VLOOKUP(T_Convention[[#This Row],[NumL]],T_TraitDi[#Data],COLUMN(T_TraitDi[CP1]),FALSE),"")</f>
        <v/>
      </c>
      <c r="BO81" s="282" t="str">
        <f>IFERROR(VLOOKUP(T_Convention[[#This Row],[NumL]],T_TraitDi[#Data],COLUMN(T_TraitDi[VILLE1]),FALSE),"")</f>
        <v/>
      </c>
      <c r="BP81" s="290" t="str">
        <f>IFERROR(VLOOKUP(VLOOKUP(T_Convention[[#This Row],[NumL]],T_TraitDi[#Data],COLUMN(T_TraitDi[Type2]),FALSE),TypeTW,2,FALSE),"")</f>
        <v/>
      </c>
      <c r="BQ81" s="182" t="str">
        <f>IFERROR(VLOOKUP(T_Convention[[#This Row],[NumL]],T_TraitDi[#Data],COLUMN(T_TraitDi[Rue2]),FALSE),"")</f>
        <v/>
      </c>
      <c r="BR81" s="173" t="str">
        <f>IFERROR(VLOOKUP(T_Convention[[#This Row],[NumL]],T_TraitDi[#Data],COLUMN(T_TraitDi[CP2]),FALSE),"")</f>
        <v/>
      </c>
      <c r="BS81" s="173" t="str">
        <f>IFERROR(VLOOKUP(T_Convention[[#This Row],[NumL]],T_TraitDi[#Data],COLUMN(T_TraitDi[VILLE2]),FALSE),"")</f>
        <v/>
      </c>
      <c r="BT81" s="182" t="str">
        <f>IF(VLOOKUP(T_Convention[[#This Row],[NumL]],T_Equipement[#Data],COLUMN(T_Equipement[PC]),FALSE)="","Aucun équipement spécifique directement lié au télétravail",VLOOKUP(T_Convention[[#This Row],[NumL]],T_Equipement[#Data],COLUMN(T_Equipement[PC]),FALSE))</f>
        <v xml:space="preserve">20-485	</v>
      </c>
      <c r="BU81" s="166" t="str">
        <f>IFERROR(IF(VLOOKUP(T_Convention[[#This Row],[NumL]],T_TraitDi[#Data],COLUMN(T_TraitDi[Plan]),FALSE)="OK","Un planning spécifique de télétravail est annexé à la présente convention.",""),"")</f>
        <v/>
      </c>
      <c r="BV81" s="185" t="s">
        <v>3483</v>
      </c>
      <c r="BW81" s="164" t="e">
        <f>IF(VLOOKUP(T_Convention[[#This Row],[NumL]],T_suiviDi[#Data],COLUMN(T_suiviDi[Entité]),FALSE)="","",VLOOKUP(T_Convention[[#This Row],[NumL]],T_suiviDi[#Data],COLUMN(T_suiviDi[Entité]),FALSE))</f>
        <v>#N/A</v>
      </c>
      <c r="BX81" s="164" t="str">
        <f>IF(VLOOKUP(T_Convention[[#This Row],[NumL]],T_Commission[#Data],COLUMN(T_Commission[envoi confirm TW]),FALSE)="","",VLOOKUP(T_Convention[[#This Row],[NumL]],T_Commission[#Data],COLUMN(T_Commission[envoi confirm TW]),FALSE))</f>
        <v>Oui</v>
      </c>
      <c r="BY8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1" s="264">
        <f>VLOOKUP(T_Convention[[#This Row],[NumL]],T_Commission[#Data],COLUMN(T_Commission[Commentaire]),FALSE)</f>
        <v>0</v>
      </c>
      <c r="CA81" s="254" t="str">
        <f>IF(VLOOKUP(T_Convention[[#This Row],[NumL]],T_Commission[#Data],COLUMN(T_Commission[Encadrant Email]),FALSE)="","",VLOOKUP(T_Convention[[#This Row],[NumL]],T_Commission[#Data],COLUMN(T_Commission[Encadrant Email]),FALSE))</f>
        <v/>
      </c>
      <c r="CB81" s="352" t="e">
        <f>VLOOKUP(T_Convention[[#This Row],[NumL]],T_TraitDi[#Data],COLUMN(T_TraitDi[NbJTot]),FALSE)</f>
        <v>#N/A</v>
      </c>
      <c r="CC81" s="352" t="e">
        <f>VLOOKUP(T_Convention[[#This Row],[NumL]],T_TraitDi[#Data],COLUMN(T_TraitDi[Reg Ponct]),FALSE)</f>
        <v>#N/A</v>
      </c>
      <c r="CD81" s="348" t="str">
        <f>IF(T_Convention[[#This Row],[Final]]&lt;&gt;"",VLOOKUP(T_Convention[[#This Row],[NumL]],T_suiviDi[#Data],COLUMN((T_suiviDi[Statut])),FALSE),"")</f>
        <v/>
      </c>
    </row>
    <row r="82" spans="1:82" s="106" customFormat="1" ht="18.75" customHeight="1" x14ac:dyDescent="0.25">
      <c r="A82" s="160">
        <v>160</v>
      </c>
      <c r="B82" s="161" t="str">
        <f>VLOOKUP(T_Convention[[#This Row],[NumL]],T_Commission[#Data],COLUMN(T_Commission[FINAL]),FALSE)</f>
        <v/>
      </c>
      <c r="C82" s="162"/>
      <c r="D82" s="95" t="e">
        <f>IF(VLOOKUP(T_Convention[[#This Row],[NumL]],T_TraitDi[#Data],COLUMN(T_TraitDi[WebC]),FALSE)="","",VLOOKUP(T_Convention[[#This Row],[NumL]],T_TraitDi[#Data],COLUMN(T_TraitDi[WebC]),FALSE))</f>
        <v>#N/A</v>
      </c>
      <c r="E82" s="163" t="str">
        <f t="shared" si="5"/>
        <v>12 janvier 2021</v>
      </c>
      <c r="F82" s="282" t="str">
        <f>IF(T_Convention[[#This Row],[Final]]&lt;&gt;"",VLOOKUP(T_Convention[[#This Row],[NumL]],T_suiviDi[#Data],COLUMN((T_suiviDi[Civ.])),FALSE),"")</f>
        <v/>
      </c>
      <c r="G82" s="283" t="str">
        <f>IF(T_Convention[[#This Row],[Final]]&lt;&gt;"",VLOOKUP(T_Convention[[#This Row],[NumL]],T_suiviDi[#Data],COLUMN((T_suiviDi[Nom])),FALSE),"")</f>
        <v/>
      </c>
      <c r="H82" s="282" t="str">
        <f>IF(T_Convention[[#This Row],[Final]]&lt;&gt;"",VLOOKUP(T_Convention[[#This Row],[NumL]],T_suiviDi[#Data],COLUMN((T_suiviDi[Prénom])),FALSE),"")</f>
        <v/>
      </c>
      <c r="I82" s="282" t="e">
        <f>VLOOKUP(T_Convention[[#This Row],[NumL]],T_suiviDi[#Data],COLUMN((T_suiviDi[[#This Row],[Email]])),FALSE)</f>
        <v>#VALUE!</v>
      </c>
      <c r="J82" s="282" t="e">
        <f>IF(VLOOKUP(T_Convention[[#This Row],[NumL]],T_suiviDi[#Data],COLUMN(T_suiviDi[[#This Row],[Fonction]]),FALSE)="","",VLOOKUP(T_Convention[[#This Row],[NumL]],T_suiviDi[#Data],COLUMN(T_suiviDi[[#This Row],[Fonction]]),FALSE))</f>
        <v>#VALUE!</v>
      </c>
      <c r="K82" s="282" t="e">
        <f>IF(VLOOKUP(T_Convention[[#This Row],[NumL]],T_suiviDi[#Data],COLUMN(T_suiviDi[[#This Row],[Grade]]),FALSE)="","",VLOOKUP(T_Convention[[#This Row],[NumL]],T_suiviDi[#Data],COLUMN(T_suiviDi[[#This Row],[Grade]]),FALSE))</f>
        <v>#VALUE!</v>
      </c>
      <c r="L82" s="282" t="e">
        <f>IF(VLOOKUP(T_Convention[[#This Row],[NumL]],T_suiviDi[#Data],COLUMN(T_suiviDi[[#This Row],[Service ]]),FALSE)="","",VLOOKUP(T_Convention[[#This Row],[NumL]],T_suiviDi[#Data],COLUMN(T_suiviDi[[#This Row],[Service ]]),FALSE))</f>
        <v>#VALUE!</v>
      </c>
      <c r="M82" s="164" t="str">
        <f t="shared" si="6"/>
        <v>01 septembre 2021</v>
      </c>
      <c r="N82" s="164" t="str">
        <f t="shared" si="7"/>
        <v>30 novembre 2021</v>
      </c>
      <c r="O82" s="284" t="str">
        <f t="shared" si="8"/>
        <v>30 novembre 2021</v>
      </c>
      <c r="P82" s="282" t="e">
        <f>IF(VLOOKUP(T_Convention[[#This Row],[NumL]],T_TraitDi[#Data],COLUMN(T_TraitDi[M1]),FALSE)="","",VLOOKUP(T_Convention[[#This Row],[NumL]],T_TraitDi[#Data],COLUMN(T_TraitDi[M1]),FALSE))</f>
        <v>#N/A</v>
      </c>
      <c r="Q82" s="282" t="e">
        <f>IF(VLOOKUP(T_Convention[[#This Row],[NumL]],T_TraitDi[#Data],COLUMN(T_TraitDi[M2]),FALSE)="","",VLOOKUP(T_Convention[[#This Row],[NumL]],T_TraitDi[#Data],COLUMN(T_TraitDi[M2]),FALSE))</f>
        <v>#N/A</v>
      </c>
      <c r="R82" s="282" t="e">
        <f>IF(VLOOKUP(T_Convention[[#This Row],[NumL]],T_TraitDi[#Data],COLUMN(T_TraitDi[M3]),FALSE)="","",VLOOKUP(T_Convention[[#This Row],[NumL]],T_TraitDi[#Data],COLUMN(T_TraitDi[M3]),FALSE))</f>
        <v>#N/A</v>
      </c>
      <c r="S82" s="282" t="e">
        <f>IF(VLOOKUP(T_Convention[[#This Row],[NumL]],T_TraitDi[#Data],COLUMN(T_TraitDi[M4]),FALSE)="","",VLOOKUP(T_Convention[[#This Row],[NumL]],T_TraitDi[#Data],COLUMN(T_TraitDi[M4]),FALSE))</f>
        <v>#N/A</v>
      </c>
      <c r="T82" s="282" t="e">
        <f>IF(VLOOKUP(T_Convention[[#This Row],[NumL]],T_TraitDi[#Data],COLUMN(T_TraitDi[M5]),FALSE)="","",VLOOKUP(T_Convention[[#This Row],[NumL]],T_TraitDi[#Data],COLUMN(T_TraitDi[M5]),FALSE))</f>
        <v>#N/A</v>
      </c>
      <c r="U82" s="282" t="e">
        <f>IF(VLOOKUP(T_Convention[[#This Row],[NumL]],T_TraitDi[#Data],COLUMN(T_TraitDi[M6]),FALSE)="","",VLOOKUP(T_Convention[[#This Row],[NumL]],T_TraitDi[#Data],COLUMN(T_TraitDi[M6]),FALSE))</f>
        <v>#N/A</v>
      </c>
      <c r="V82" s="176" t="e">
        <f t="shared" si="9"/>
        <v>#N/A</v>
      </c>
      <c r="W82" s="284" t="str">
        <f>IFERROR(TEXT(VLOOKUP(T_Convention[[#This Row],[NumL]],T_TraitDi[#Data],COLUMN(T_TraitDi[Q2]),FALSE),"###%"),"")</f>
        <v/>
      </c>
      <c r="X82" s="97" t="e">
        <f>VLOOKUP(T_Convention[[#This Row],[NumL]],T_TraitDi[#Data],COLUMN(T_TraitDi[Reg Ponct]),FALSE)</f>
        <v>#N/A</v>
      </c>
      <c r="Y82" s="97" t="e">
        <f>VLOOKUP(T_Convention[NumL],T_TraitDi[#Data],COLUMN(T_TraitDi[Jours flottants]),FALSE)</f>
        <v>#N/A</v>
      </c>
      <c r="Z82" s="284" t="str">
        <f>IFERROR(VLOOKUP(T_Convention[[#This Row],[NumL]],T_TraitDi[#Data],COLUMN(T_TraitDi[Lundi]),FALSE),"")</f>
        <v/>
      </c>
      <c r="AA82" s="284" t="e">
        <f>IF(VLOOKUP(T_Convention[[#This Row],[NumL]],T_TraitDi[#Data],COLUMN(T_TraitDi[Colonne3]),FALSE)=0,"",TEXT(IFERROR(VLOOKUP(T_Convention[[#This Row],[NumL]],T_TraitDi[#Data],COLUMN(T_TraitDi[Colonne3]),FALSE),""),"[hh]:mm"))</f>
        <v>#N/A</v>
      </c>
      <c r="AB82" s="284" t="e">
        <f>IF(VLOOKUP(T_Convention[[#This Row],[NumL]],T_TraitDi[#Data],COLUMN(T_TraitDi[Colonne4]),FALSE)=0,"",TEXT(IFERROR(VLOOKUP(T_Convention[[#This Row],[NumL]],T_TraitDi[#Data],COLUMN(T_TraitDi[Colonne4]),FALSE),""),"[hh]:mm"))</f>
        <v>#N/A</v>
      </c>
      <c r="AC82" s="284" t="e">
        <f>IF(VLOOKUP(T_Convention[[#This Row],[NumL]],T_TraitDi[#Data],COLUMN(T_TraitDi[Colonne5]),FALSE)=0,"",TEXT(IFERROR(VLOOKUP(T_Convention[[#This Row],[NumL]],T_TraitDi[#Data],COLUMN(T_TraitDi[Colonne5]),FALSE),""),"[hh]:mm"))</f>
        <v>#N/A</v>
      </c>
      <c r="AD82" s="284" t="e">
        <f>IF(VLOOKUP(T_Convention[[#This Row],[NumL]],T_TraitDi[#Data],COLUMN(T_TraitDi[Colonne6]),FALSE)=0,"",TEXT(IFERROR(VLOOKUP(T_Convention[[#This Row],[NumL]],T_TraitDi[#Data],COLUMN(T_TraitDi[Colonne6]),FALSE),""),"[hh]:mm"))</f>
        <v>#N/A</v>
      </c>
      <c r="AE82" s="284" t="e">
        <f>IF(VLOOKUP(T_Convention[[#This Row],[NumL]],T_TraitDi[#Data],COLUMN(T_TraitDi[Colonne7]),FALSE)=0,"",TEXT(IFERROR(VLOOKUP(T_Convention[[#This Row],[NumL]],T_TraitDi[#Data],COLUMN(T_TraitDi[Colonne7]),FALSE),""),"[hh]:mm"))</f>
        <v>#N/A</v>
      </c>
      <c r="AF82" s="284" t="e">
        <f>IF(VLOOKUP(T_Convention[[#This Row],[NumL]],T_TraitDi[#Data],COLUMN(T_TraitDi[Colonne8]),FALSE)=0,"",TEXT(IFERROR(VLOOKUP(T_Convention[[#This Row],[NumL]],T_TraitDi[#Data],COLUMN(T_TraitDi[Colonne8]),FALSE),""),"[hh]:mm"))</f>
        <v>#N/A</v>
      </c>
      <c r="AG82" s="284" t="str">
        <f>IFERROR(VLOOKUP(T_Convention[[#This Row],[NumL]],T_TraitDi[#Data],COLUMN(T_TraitDi[Mardi]),FALSE),"")</f>
        <v/>
      </c>
      <c r="AH82" s="284" t="e">
        <f>IF(VLOOKUP(T_Convention[[#This Row],[NumL]],T_TraitDi[#Data],COLUMN(T_TraitDi[Colonne1]),FALSE)=0,"",TEXT(IFERROR(VLOOKUP(T_Convention[[#This Row],[NumL]],T_TraitDi[#Data],COLUMN(T_TraitDi[Colonne1]),FALSE),""),"[hh]:mm"))</f>
        <v>#N/A</v>
      </c>
      <c r="AI82" s="284" t="e">
        <f>IF(VLOOKUP(T_Convention[[#This Row],[NumL]],T_TraitDi[#Data],COLUMN(T_TraitDi[Colonne9]),FALSE)=0,"",TEXT(IFERROR(VLOOKUP(T_Convention[[#This Row],[NumL]],T_TraitDi[#Data],COLUMN(T_TraitDi[Colonne9]),FALSE),""),"[hh]:mm"))</f>
        <v>#N/A</v>
      </c>
      <c r="AJ82" s="284" t="str">
        <f>IFERROR(VLOOKUP(T_Convention[[#This Row],[NumL]],T_TraitDi[#Data],COLUMN(T_TraitDi[Colonne10]),FALSE),"")</f>
        <v/>
      </c>
      <c r="AK82" s="284" t="e">
        <f>IF(VLOOKUP(T_Convention[[#This Row],[NumL]],T_TraitDi[#Data],COLUMN(T_TraitDi[Colonne11]),FALSE)=0,"",TEXT(IFERROR(VLOOKUP(T_Convention[[#This Row],[NumL]],T_TraitDi[#Data],COLUMN(T_TraitDi[Colonne11]),FALSE),""),"[hh]:mm"))</f>
        <v>#N/A</v>
      </c>
      <c r="AL82" s="284" t="e">
        <f>IF(VLOOKUP(T_Convention[[#This Row],[NumL]],T_TraitDi[#Data],COLUMN(T_TraitDi[Colonne12]),FALSE)=0,"",TEXT(IFERROR(VLOOKUP(T_Convention[[#This Row],[NumL]],T_TraitDi[#Data],COLUMN(T_TraitDi[Colonne12]),FALSE),""),"[hh]:mm"))</f>
        <v>#N/A</v>
      </c>
      <c r="AM82" s="284" t="e">
        <f>IF(VLOOKUP(T_Convention[[#This Row],[NumL]],T_TraitDi[#Data],COLUMN(T_TraitDi[Colonne14]),FALSE)=0,"",TEXT(IFERROR(VLOOKUP(T_Convention[[#This Row],[NumL]],T_TraitDi[#Data],COLUMN(T_TraitDi[Colonne14]),FALSE),""),"[hh]:mm"))</f>
        <v>#N/A</v>
      </c>
      <c r="AN82" s="284" t="str">
        <f>IFERROR(VLOOKUP(T_Convention[[#This Row],[NumL]],T_TraitDi[#Data],COLUMN(T_TraitDi[Mercredi]),FALSE),"")</f>
        <v/>
      </c>
      <c r="AO82" s="284" t="e">
        <f>IF(VLOOKUP(T_Convention[[#This Row],[NumL]],T_TraitDi[#Data],COLUMN(T_TraitDi[Colonne15]),FALSE)=0,"",TEXT(IFERROR(VLOOKUP(T_Convention[[#This Row],[NumL]],T_TraitDi[#Data],COLUMN(T_TraitDi[Colonne15]),FALSE),""),"[hh]:mm"))</f>
        <v>#N/A</v>
      </c>
      <c r="AP82" s="284" t="e">
        <f>IF(VLOOKUP(T_Convention[[#This Row],[NumL]],T_TraitDi[#Data],COLUMN(T_TraitDi[Colonne16]),FALSE)=0,"",TEXT(IFERROR(VLOOKUP(T_Convention[[#This Row],[NumL]],T_TraitDi[#Data],COLUMN(T_TraitDi[Colonne16]),FALSE),""),"[hh]:mm"))</f>
        <v>#N/A</v>
      </c>
      <c r="AQ82" s="284" t="str">
        <f>IFERROR(VLOOKUP(T_Convention[[#This Row],[NumL]],T_TraitDi[#Data],COLUMN(T_TraitDi[Colonne17]),FALSE),"")</f>
        <v/>
      </c>
      <c r="AR82" s="284" t="e">
        <f>IF(VLOOKUP(T_Convention[[#This Row],[NumL]],T_TraitDi[#Data],COLUMN(T_TraitDi[Colonne18]),FALSE)=0,"",TEXT(IFERROR(VLOOKUP(T_Convention[[#This Row],[NumL]],T_TraitDi[#Data],COLUMN(T_TraitDi[Colonne18]),FALSE),""),"[hh]:mm"))</f>
        <v>#N/A</v>
      </c>
      <c r="AS82" s="284" t="e">
        <f>IF(VLOOKUP(T_Convention[[#This Row],[NumL]],T_TraitDi[#Data],COLUMN(T_TraitDi[Colonne19]),FALSE)=0,"",TEXT(IFERROR(VLOOKUP(T_Convention[[#This Row],[NumL]],T_TraitDi[#Data],COLUMN(T_TraitDi[Colonne19]),FALSE),""),"[hh]:mm"))</f>
        <v>#N/A</v>
      </c>
      <c r="AT82" s="284" t="e">
        <f>IF(VLOOKUP(T_Convention[[#This Row],[NumL]],T_TraitDi[#Data],COLUMN(T_TraitDi[Colonne20]),FALSE)=0,"",TEXT(IFERROR(VLOOKUP(T_Convention[[#This Row],[NumL]],T_TraitDi[#Data],COLUMN(T_TraitDi[Colonne20]),FALSE),""),"[hh]:mm"))</f>
        <v>#N/A</v>
      </c>
      <c r="AU82" s="284" t="str">
        <f>IFERROR(VLOOKUP(T_Convention[[#This Row],[NumL]],T_TraitDi[#Data],COLUMN(T_TraitDi[Jeudi]),FALSE),"")</f>
        <v/>
      </c>
      <c r="AV82" s="284" t="e">
        <f>IF(VLOOKUP(T_Convention[[#This Row],[NumL]],T_TraitDi[#Data],COLUMN(T_TraitDi[Colonne21]),FALSE)=0,"",TEXT(IFERROR(VLOOKUP(T_Convention[[#This Row],[NumL]],T_TraitDi[#Data],COLUMN(T_TraitDi[Colonne21]),FALSE),""),"[hh]:mm"))</f>
        <v>#N/A</v>
      </c>
      <c r="AW82" s="284" t="e">
        <f>IF(VLOOKUP(T_Convention[[#This Row],[NumL]],T_TraitDi[#Data],COLUMN(T_TraitDi[Colonne22]),FALSE)=0,"",TEXT(IFERROR(VLOOKUP(T_Convention[[#This Row],[NumL]],T_TraitDi[#Data],COLUMN(T_TraitDi[Colonne22]),FALSE),""),"[hh]:mm"))</f>
        <v>#N/A</v>
      </c>
      <c r="AX82" s="284" t="str">
        <f>IFERROR(VLOOKUP(T_Convention[[#This Row],[NumL]],T_TraitDi[#Data],COLUMN(T_TraitDi[Colonne23]),FALSE),"")</f>
        <v/>
      </c>
      <c r="AY82" s="284" t="e">
        <f>IF(VLOOKUP(T_Convention[[#This Row],[NumL]],T_TraitDi[#Data],COLUMN(T_TraitDi[Colonne24]),FALSE)=0,"",TEXT(IFERROR(VLOOKUP(T_Convention[[#This Row],[NumL]],T_TraitDi[#Data],COLUMN(T_TraitDi[Colonne24]),FALSE),""),"[hh]:mm"))</f>
        <v>#N/A</v>
      </c>
      <c r="AZ82" s="284" t="e">
        <f>IF(VLOOKUP(T_Convention[[#This Row],[NumL]],T_TraitDi[#Data],COLUMN(T_TraitDi[Colonne25]),FALSE)=0,"",TEXT(IFERROR(VLOOKUP(T_Convention[[#This Row],[NumL]],T_TraitDi[#Data],COLUMN(T_TraitDi[Colonne25]),FALSE),""),"[hh]:mm"))</f>
        <v>#N/A</v>
      </c>
      <c r="BA82" s="284" t="e">
        <f>IF(VLOOKUP(T_Convention[[#This Row],[NumL]],T_TraitDi[#Data],COLUMN(T_TraitDi[Colonne26]),FALSE)=0,"",TEXT(IFERROR(VLOOKUP(T_Convention[[#This Row],[NumL]],T_TraitDi[#Data],COLUMN(T_TraitDi[Colonne26]),FALSE),""),"[hh]:mm"))</f>
        <v>#N/A</v>
      </c>
      <c r="BB82" s="284" t="str">
        <f>IFERROR(VLOOKUP(T_Convention[[#This Row],[NumL]],T_TraitDi[#Data],COLUMN(T_TraitDi[Vendredi]),FALSE),"")</f>
        <v/>
      </c>
      <c r="BC82" s="284" t="e">
        <f>IF(VLOOKUP(T_Convention[[#This Row],[NumL]],T_TraitDi[#Data],COLUMN(T_TraitDi[Colonne27]),FALSE)=0,"",TEXT(IFERROR(VLOOKUP(T_Convention[[#This Row],[NumL]],T_TraitDi[#Data],COLUMN(T_TraitDi[Colonne27]),FALSE),""),"[hh]:mm"))</f>
        <v>#N/A</v>
      </c>
      <c r="BD82" s="284" t="e">
        <f>IF(VLOOKUP(T_Convention[[#This Row],[NumL]],T_TraitDi[#Data],COLUMN(T_TraitDi[Colonne28]),FALSE)=0,"",TEXT(IFERROR(VLOOKUP(T_Convention[[#This Row],[NumL]],T_TraitDi[#Data],COLUMN(T_TraitDi[Colonne28]),FALSE),""),"[hh]:mm"))</f>
        <v>#N/A</v>
      </c>
      <c r="BE82" s="284" t="str">
        <f>IFERROR(VLOOKUP(T_Convention[[#This Row],[NumL]],T_TraitDi[#Data],COLUMN(T_TraitDi[Colonne29]),FALSE),"")</f>
        <v/>
      </c>
      <c r="BF82" s="284" t="e">
        <f>IF(VLOOKUP(T_Convention[[#This Row],[NumL]],T_TraitDi[#Data],COLUMN(T_TraitDi[Colonne30]),FALSE)=0,"",TEXT(IFERROR(VLOOKUP(T_Convention[[#This Row],[NumL]],T_TraitDi[#Data],COLUMN(T_TraitDi[Colonne30]),FALSE),""),"[hh]:mm"))</f>
        <v>#N/A</v>
      </c>
      <c r="BG82" s="284" t="e">
        <f>IF(VLOOKUP(T_Convention[[#This Row],[NumL]],T_TraitDi[#Data],COLUMN(T_TraitDi[Colonne31]),FALSE)=0,"",TEXT(IFERROR(VLOOKUP(T_Convention[[#This Row],[NumL]],T_TraitDi[#Data],COLUMN(T_TraitDi[Colonne31]),FALSE),""),"[hh]:mm"))</f>
        <v>#N/A</v>
      </c>
      <c r="BH82" s="284" t="e">
        <f>IF(VLOOKUP(T_Convention[[#This Row],[NumL]],T_TraitDi[#Data],COLUMN(T_TraitDi[Colonne32]),FALSE)=0,"",TEXT(IFERROR(VLOOKUP(T_Convention[[#This Row],[NumL]],T_TraitDi[#Data],COLUMN(T_TraitDi[Colonne32]),FALSE),""),"[hh]:mm"))</f>
        <v>#N/A</v>
      </c>
      <c r="BI82" s="284" t="str">
        <f>IFERROR(VLOOKUP(T_Convention[[#This Row],[NumL]],T_TraitDi[#Data],COLUMN(T_TraitDi[NbJTW]),FALSE),"")</f>
        <v/>
      </c>
      <c r="BJ82" s="284" t="e">
        <f>IF(VLOOKUP(T_Convention[[#This Row],[NumL]],T_TraitDi[#Data],COLUMN(T_TraitDi[NbhTW]),FALSE)=0,"",TEXT(IFERROR(VLOOKUP(T_Convention[[#This Row],[NumL]],T_TraitDi[#Data],COLUMN(T_TraitDi[NbhTW]),FALSE),""),"[hh]:mm"))</f>
        <v>#N/A</v>
      </c>
      <c r="BK82" s="286" t="e">
        <f>IF(VLOOKUP(T_Convention[[#This Row],[NumL]],T_TraitDi[#Data],COLUMN(T_TraitDi[Nbhheb]),FALSE)=0,"",TEXT(IFERROR(VLOOKUP(T_Convention[[#This Row],[NumL]],T_TraitDi[#Data],COLUMN(T_TraitDi[Nbhheb]),FALSE),""),"[hh]:mm"))</f>
        <v>#N/A</v>
      </c>
      <c r="BL82" s="287" t="str">
        <f>IFERROR(VLOOKUP(VLOOKUP(T_Convention[[#This Row],[NumL]],T_TraitDi[#Data],COLUMN(T_TraitDi[Type1]),FALSE),TypeTW,2,FALSE),"")</f>
        <v/>
      </c>
      <c r="BM82" s="288" t="str">
        <f>IFERROR(VLOOKUP(T_Convention[[#This Row],[NumL]],T_TraitDi[#Data],COLUMN(T_TraitDi[Rue1]),FALSE),"")</f>
        <v/>
      </c>
      <c r="BN82" s="289" t="str">
        <f>IFERROR(VLOOKUP(T_Convention[[#This Row],[NumL]],T_TraitDi[#Data],COLUMN(T_TraitDi[CP1]),FALSE),"")</f>
        <v/>
      </c>
      <c r="BO82" s="282" t="str">
        <f>IFERROR(VLOOKUP(T_Convention[[#This Row],[NumL]],T_TraitDi[#Data],COLUMN(T_TraitDi[VILLE1]),FALSE),"")</f>
        <v/>
      </c>
      <c r="BP82" s="290" t="str">
        <f>IFERROR(VLOOKUP(VLOOKUP(T_Convention[[#This Row],[NumL]],T_TraitDi[#Data],COLUMN(T_TraitDi[Type2]),FALSE),TypeTW,2,FALSE),"")</f>
        <v/>
      </c>
      <c r="BQ82" s="182" t="str">
        <f>IFERROR(VLOOKUP(T_Convention[[#This Row],[NumL]],T_TraitDi[#Data],COLUMN(T_TraitDi[Rue2]),FALSE),"")</f>
        <v/>
      </c>
      <c r="BR82" s="173" t="str">
        <f>IFERROR(VLOOKUP(T_Convention[[#This Row],[NumL]],T_TraitDi[#Data],COLUMN(T_TraitDi[CP2]),FALSE),"")</f>
        <v/>
      </c>
      <c r="BS82" s="173" t="str">
        <f>IFERROR(VLOOKUP(T_Convention[[#This Row],[NumL]],T_TraitDi[#Data],COLUMN(T_TraitDi[VILLE2]),FALSE),"")</f>
        <v/>
      </c>
      <c r="BT82" s="182" t="str">
        <f>IF(VLOOKUP(T_Convention[[#This Row],[NumL]],T_Equipement[#Data],COLUMN(T_Equipement[PC]),FALSE)="","Aucun équipement spécifique directement lié au télétravail",VLOOKUP(T_Convention[[#This Row],[NumL]],T_Equipement[#Data],COLUMN(T_Equipement[PC]),FALSE))</f>
        <v xml:space="preserve">18-017	</v>
      </c>
      <c r="BU82" s="166" t="str">
        <f>IFERROR(IF(VLOOKUP(T_Convention[[#This Row],[NumL]],T_TraitDi[#Data],COLUMN(T_TraitDi[Plan]),FALSE)="OK","Un planning spécifique de télétravail est annexé à la présente convention.",""),"")</f>
        <v/>
      </c>
      <c r="BV82" s="185" t="s">
        <v>3453</v>
      </c>
      <c r="BW82" s="164" t="e">
        <f>IF(VLOOKUP(T_Convention[[#This Row],[NumL]],T_suiviDi[#Data],COLUMN(T_suiviDi[Entité]),FALSE)="","",VLOOKUP(T_Convention[[#This Row],[NumL]],T_suiviDi[#Data],COLUMN(T_suiviDi[Entité]),FALSE))</f>
        <v>#N/A</v>
      </c>
      <c r="BX82" s="164" t="str">
        <f>IF(VLOOKUP(T_Convention[[#This Row],[NumL]],T_Commission[#Data],COLUMN(T_Commission[envoi confirm TW]),FALSE)="","",VLOOKUP(T_Convention[[#This Row],[NumL]],T_Commission[#Data],COLUMN(T_Commission[envoi confirm TW]),FALSE))</f>
        <v>Oui</v>
      </c>
      <c r="BY8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2" s="264">
        <f>VLOOKUP(T_Convention[[#This Row],[NumL]],T_Commission[#Data],COLUMN(T_Commission[Commentaire]),FALSE)</f>
        <v>0</v>
      </c>
      <c r="CA82" s="254" t="str">
        <f>IF(VLOOKUP(T_Convention[[#This Row],[NumL]],T_Commission[#Data],COLUMN(T_Commission[Encadrant Email]),FALSE)="","",VLOOKUP(T_Convention[[#This Row],[NumL]],T_Commission[#Data],COLUMN(T_Commission[Encadrant Email]),FALSE))</f>
        <v/>
      </c>
      <c r="CB82" s="352" t="e">
        <f>VLOOKUP(T_Convention[[#This Row],[NumL]],T_TraitDi[#Data],COLUMN(T_TraitDi[NbJTot]),FALSE)</f>
        <v>#N/A</v>
      </c>
      <c r="CC82" s="352" t="e">
        <f>VLOOKUP(T_Convention[[#This Row],[NumL]],T_TraitDi[#Data],COLUMN(T_TraitDi[Reg Ponct]),FALSE)</f>
        <v>#N/A</v>
      </c>
      <c r="CD82" s="348" t="str">
        <f>IF(T_Convention[[#This Row],[Final]]&lt;&gt;"",VLOOKUP(T_Convention[[#This Row],[NumL]],T_suiviDi[#Data],COLUMN((T_suiviDi[Statut])),FALSE),"")</f>
        <v/>
      </c>
    </row>
    <row r="83" spans="1:82" s="106" customFormat="1" ht="18.75" customHeight="1" x14ac:dyDescent="0.25">
      <c r="A83" s="160">
        <v>294</v>
      </c>
      <c r="B83" s="161" t="str">
        <f>VLOOKUP(T_Convention[[#This Row],[NumL]],T_Commission[#Data],COLUMN(T_Commission[FINAL]),FALSE)</f>
        <v/>
      </c>
      <c r="C83" s="162"/>
      <c r="D83" s="95" t="e">
        <f>IF(VLOOKUP(T_Convention[[#This Row],[NumL]],T_TraitDi[#Data],COLUMN(T_TraitDi[WebC]),FALSE)="","",VLOOKUP(T_Convention[[#This Row],[NumL]],T_TraitDi[#Data],COLUMN(T_TraitDi[WebC]),FALSE))</f>
        <v>#N/A</v>
      </c>
      <c r="E83" s="174" t="str">
        <f t="shared" si="5"/>
        <v>12 janvier 2021</v>
      </c>
      <c r="F83" s="282" t="str">
        <f>IF(T_Convention[[#This Row],[Final]]&lt;&gt;"",VLOOKUP(T_Convention[[#This Row],[NumL]],T_suiviDi[#Data],COLUMN((T_suiviDi[Civ.])),FALSE),"")</f>
        <v/>
      </c>
      <c r="G83" s="283" t="str">
        <f>IF(T_Convention[[#This Row],[Final]]&lt;&gt;"",VLOOKUP(T_Convention[[#This Row],[NumL]],T_suiviDi[#Data],COLUMN((T_suiviDi[Nom])),FALSE),"")</f>
        <v/>
      </c>
      <c r="H83" s="282" t="str">
        <f>IF(T_Convention[[#This Row],[Final]]&lt;&gt;"",VLOOKUP(T_Convention[[#This Row],[NumL]],T_suiviDi[#Data],COLUMN((T_suiviDi[Prénom])),FALSE),"")</f>
        <v/>
      </c>
      <c r="I83" s="282" t="e">
        <f>VLOOKUP(T_Convention[[#This Row],[NumL]],T_suiviDi[#Data],COLUMN((T_suiviDi[[#This Row],[Email]])),FALSE)</f>
        <v>#VALUE!</v>
      </c>
      <c r="J83" s="282" t="e">
        <f>IF(VLOOKUP(T_Convention[[#This Row],[NumL]],T_suiviDi[#Data],COLUMN(T_suiviDi[[#This Row],[Fonction]]),FALSE)="","",VLOOKUP(T_Convention[[#This Row],[NumL]],T_suiviDi[#Data],COLUMN(T_suiviDi[[#This Row],[Fonction]]),FALSE))</f>
        <v>#VALUE!</v>
      </c>
      <c r="K83" s="282" t="e">
        <f>IF(VLOOKUP(T_Convention[[#This Row],[NumL]],T_suiviDi[#Data],COLUMN(T_suiviDi[[#This Row],[Grade]]),FALSE)="","",VLOOKUP(T_Convention[[#This Row],[NumL]],T_suiviDi[#Data],COLUMN(T_suiviDi[[#This Row],[Grade]]),FALSE))</f>
        <v>#VALUE!</v>
      </c>
      <c r="L83" s="282" t="e">
        <f>IF(VLOOKUP(T_Convention[[#This Row],[NumL]],T_suiviDi[#Data],COLUMN(T_suiviDi[[#This Row],[Service ]]),FALSE)="","",VLOOKUP(T_Convention[[#This Row],[NumL]],T_suiviDi[#Data],COLUMN(T_suiviDi[[#This Row],[Service ]]),FALSE))</f>
        <v>#VALUE!</v>
      </c>
      <c r="M83" s="176" t="str">
        <f t="shared" si="6"/>
        <v>01 septembre 2021</v>
      </c>
      <c r="N83" s="176" t="str">
        <f t="shared" si="7"/>
        <v>30 novembre 2021</v>
      </c>
      <c r="O83" s="284" t="str">
        <f t="shared" si="8"/>
        <v>30 novembre 2021</v>
      </c>
      <c r="P83" s="282" t="e">
        <f>IF(VLOOKUP(T_Convention[[#This Row],[NumL]],T_TraitDi[#Data],COLUMN(T_TraitDi[M1]),FALSE)="","",VLOOKUP(T_Convention[[#This Row],[NumL]],T_TraitDi[#Data],COLUMN(T_TraitDi[M1]),FALSE))</f>
        <v>#N/A</v>
      </c>
      <c r="Q83" s="282" t="e">
        <f>IF(VLOOKUP(T_Convention[[#This Row],[NumL]],T_TraitDi[#Data],COLUMN(T_TraitDi[M2]),FALSE)="","",VLOOKUP(T_Convention[[#This Row],[NumL]],T_TraitDi[#Data],COLUMN(T_TraitDi[M2]),FALSE))</f>
        <v>#N/A</v>
      </c>
      <c r="R83" s="282" t="e">
        <f>IF(VLOOKUP(T_Convention[[#This Row],[NumL]],T_TraitDi[#Data],COLUMN(T_TraitDi[M3]),FALSE)="","",VLOOKUP(T_Convention[[#This Row],[NumL]],T_TraitDi[#Data],COLUMN(T_TraitDi[M3]),FALSE))</f>
        <v>#N/A</v>
      </c>
      <c r="S83" s="282" t="e">
        <f>IF(VLOOKUP(T_Convention[[#This Row],[NumL]],T_TraitDi[#Data],COLUMN(T_TraitDi[M4]),FALSE)="","",VLOOKUP(T_Convention[[#This Row],[NumL]],T_TraitDi[#Data],COLUMN(T_TraitDi[M4]),FALSE))</f>
        <v>#N/A</v>
      </c>
      <c r="T83" s="282" t="e">
        <f>IF(VLOOKUP(T_Convention[[#This Row],[NumL]],T_TraitDi[#Data],COLUMN(T_TraitDi[M5]),FALSE)="","",VLOOKUP(T_Convention[[#This Row],[NumL]],T_TraitDi[#Data],COLUMN(T_TraitDi[M5]),FALSE))</f>
        <v>#N/A</v>
      </c>
      <c r="U83" s="282" t="e">
        <f>IF(VLOOKUP(T_Convention[[#This Row],[NumL]],T_TraitDi[#Data],COLUMN(T_TraitDi[M6]),FALSE)="","",VLOOKUP(T_Convention[[#This Row],[NumL]],T_TraitDi[#Data],COLUMN(T_TraitDi[M6]),FALSE))</f>
        <v>#N/A</v>
      </c>
      <c r="V83" s="176" t="e">
        <f t="shared" si="9"/>
        <v>#N/A</v>
      </c>
      <c r="W83" s="284" t="str">
        <f>IFERROR(TEXT(VLOOKUP(T_Convention[[#This Row],[NumL]],T_TraitDi[#Data],COLUMN(T_TraitDi[Q2]),FALSE),"###%"),"")</f>
        <v/>
      </c>
      <c r="X83" s="97" t="e">
        <f>VLOOKUP(T_Convention[[#This Row],[NumL]],T_TraitDi[#Data],COLUMN(T_TraitDi[Reg Ponct]),FALSE)</f>
        <v>#N/A</v>
      </c>
      <c r="Y83" s="97" t="e">
        <f>VLOOKUP(T_Convention[NumL],T_TraitDi[#Data],COLUMN(T_TraitDi[Jours flottants]),FALSE)</f>
        <v>#N/A</v>
      </c>
      <c r="Z83" s="284" t="str">
        <f>IFERROR(VLOOKUP(T_Convention[[#This Row],[NumL]],T_TraitDi[#Data],COLUMN(T_TraitDi[Lundi]),FALSE),"")</f>
        <v/>
      </c>
      <c r="AA83" s="284" t="e">
        <f>IF(VLOOKUP(T_Convention[[#This Row],[NumL]],T_TraitDi[#Data],COLUMN(T_TraitDi[Colonne3]),FALSE)=0,"",TEXT(IFERROR(VLOOKUP(T_Convention[[#This Row],[NumL]],T_TraitDi[#Data],COLUMN(T_TraitDi[Colonne3]),FALSE),""),"[hh]:mm"))</f>
        <v>#N/A</v>
      </c>
      <c r="AB83" s="284" t="e">
        <f>IF(VLOOKUP(T_Convention[[#This Row],[NumL]],T_TraitDi[#Data],COLUMN(T_TraitDi[Colonne4]),FALSE)=0,"",TEXT(IFERROR(VLOOKUP(T_Convention[[#This Row],[NumL]],T_TraitDi[#Data],COLUMN(T_TraitDi[Colonne4]),FALSE),""),"[hh]:mm"))</f>
        <v>#N/A</v>
      </c>
      <c r="AC83" s="284" t="e">
        <f>IF(VLOOKUP(T_Convention[[#This Row],[NumL]],T_TraitDi[#Data],COLUMN(T_TraitDi[Colonne5]),FALSE)=0,"",TEXT(IFERROR(VLOOKUP(T_Convention[[#This Row],[NumL]],T_TraitDi[#Data],COLUMN(T_TraitDi[Colonne5]),FALSE),""),"[hh]:mm"))</f>
        <v>#N/A</v>
      </c>
      <c r="AD83" s="284" t="e">
        <f>IF(VLOOKUP(T_Convention[[#This Row],[NumL]],T_TraitDi[#Data],COLUMN(T_TraitDi[Colonne6]),FALSE)=0,"",TEXT(IFERROR(VLOOKUP(T_Convention[[#This Row],[NumL]],T_TraitDi[#Data],COLUMN(T_TraitDi[Colonne6]),FALSE),""),"[hh]:mm"))</f>
        <v>#N/A</v>
      </c>
      <c r="AE83" s="284" t="e">
        <f>IF(VLOOKUP(T_Convention[[#This Row],[NumL]],T_TraitDi[#Data],COLUMN(T_TraitDi[Colonne7]),FALSE)=0,"",TEXT(IFERROR(VLOOKUP(T_Convention[[#This Row],[NumL]],T_TraitDi[#Data],COLUMN(T_TraitDi[Colonne7]),FALSE),""),"[hh]:mm"))</f>
        <v>#N/A</v>
      </c>
      <c r="AF83" s="284" t="e">
        <f>IF(VLOOKUP(T_Convention[[#This Row],[NumL]],T_TraitDi[#Data],COLUMN(T_TraitDi[Colonne8]),FALSE)=0,"",TEXT(IFERROR(VLOOKUP(T_Convention[[#This Row],[NumL]],T_TraitDi[#Data],COLUMN(T_TraitDi[Colonne8]),FALSE),""),"[hh]:mm"))</f>
        <v>#N/A</v>
      </c>
      <c r="AG83" s="284" t="str">
        <f>IFERROR(VLOOKUP(T_Convention[[#This Row],[NumL]],T_TraitDi[#Data],COLUMN(T_TraitDi[Mardi]),FALSE),"")</f>
        <v/>
      </c>
      <c r="AH83" s="284" t="e">
        <f>IF(VLOOKUP(T_Convention[[#This Row],[NumL]],T_TraitDi[#Data],COLUMN(T_TraitDi[Colonne1]),FALSE)=0,"",TEXT(IFERROR(VLOOKUP(T_Convention[[#This Row],[NumL]],T_TraitDi[#Data],COLUMN(T_TraitDi[Colonne1]),FALSE),""),"[hh]:mm"))</f>
        <v>#N/A</v>
      </c>
      <c r="AI83" s="284" t="e">
        <f>IF(VLOOKUP(T_Convention[[#This Row],[NumL]],T_TraitDi[#Data],COLUMN(T_TraitDi[Colonne9]),FALSE)=0,"",TEXT(IFERROR(VLOOKUP(T_Convention[[#This Row],[NumL]],T_TraitDi[#Data],COLUMN(T_TraitDi[Colonne9]),FALSE),""),"[hh]:mm"))</f>
        <v>#N/A</v>
      </c>
      <c r="AJ83" s="284" t="str">
        <f>IFERROR(VLOOKUP(T_Convention[[#This Row],[NumL]],T_TraitDi[#Data],COLUMN(T_TraitDi[Colonne10]),FALSE),"")</f>
        <v/>
      </c>
      <c r="AK83" s="284" t="e">
        <f>IF(VLOOKUP(T_Convention[[#This Row],[NumL]],T_TraitDi[#Data],COLUMN(T_TraitDi[Colonne11]),FALSE)=0,"",TEXT(IFERROR(VLOOKUP(T_Convention[[#This Row],[NumL]],T_TraitDi[#Data],COLUMN(T_TraitDi[Colonne11]),FALSE),""),"[hh]:mm"))</f>
        <v>#N/A</v>
      </c>
      <c r="AL83" s="284" t="e">
        <f>IF(VLOOKUP(T_Convention[[#This Row],[NumL]],T_TraitDi[#Data],COLUMN(T_TraitDi[Colonne12]),FALSE)=0,"",TEXT(IFERROR(VLOOKUP(T_Convention[[#This Row],[NumL]],T_TraitDi[#Data],COLUMN(T_TraitDi[Colonne12]),FALSE),""),"[hh]:mm"))</f>
        <v>#N/A</v>
      </c>
      <c r="AM83" s="284" t="e">
        <f>IF(VLOOKUP(T_Convention[[#This Row],[NumL]],T_TraitDi[#Data],COLUMN(T_TraitDi[Colonne14]),FALSE)=0,"",TEXT(IFERROR(VLOOKUP(T_Convention[[#This Row],[NumL]],T_TraitDi[#Data],COLUMN(T_TraitDi[Colonne14]),FALSE),""),"[hh]:mm"))</f>
        <v>#N/A</v>
      </c>
      <c r="AN83" s="284" t="str">
        <f>IFERROR(VLOOKUP(T_Convention[[#This Row],[NumL]],T_TraitDi[#Data],COLUMN(T_TraitDi[Mercredi]),FALSE),"")</f>
        <v/>
      </c>
      <c r="AO83" s="284" t="e">
        <f>IF(VLOOKUP(T_Convention[[#This Row],[NumL]],T_TraitDi[#Data],COLUMN(T_TraitDi[Colonne15]),FALSE)=0,"",TEXT(IFERROR(VLOOKUP(T_Convention[[#This Row],[NumL]],T_TraitDi[#Data],COLUMN(T_TraitDi[Colonne15]),FALSE),""),"[hh]:mm"))</f>
        <v>#N/A</v>
      </c>
      <c r="AP83" s="284" t="e">
        <f>IF(VLOOKUP(T_Convention[[#This Row],[NumL]],T_TraitDi[#Data],COLUMN(T_TraitDi[Colonne16]),FALSE)=0,"",TEXT(IFERROR(VLOOKUP(T_Convention[[#This Row],[NumL]],T_TraitDi[#Data],COLUMN(T_TraitDi[Colonne16]),FALSE),""),"[hh]:mm"))</f>
        <v>#N/A</v>
      </c>
      <c r="AQ83" s="284" t="str">
        <f>IFERROR(VLOOKUP(T_Convention[[#This Row],[NumL]],T_TraitDi[#Data],COLUMN(T_TraitDi[Colonne17]),FALSE),"")</f>
        <v/>
      </c>
      <c r="AR83" s="284" t="e">
        <f>IF(VLOOKUP(T_Convention[[#This Row],[NumL]],T_TraitDi[#Data],COLUMN(T_TraitDi[Colonne18]),FALSE)=0,"",TEXT(IFERROR(VLOOKUP(T_Convention[[#This Row],[NumL]],T_TraitDi[#Data],COLUMN(T_TraitDi[Colonne18]),FALSE),""),"[hh]:mm"))</f>
        <v>#N/A</v>
      </c>
      <c r="AS83" s="284" t="e">
        <f>IF(VLOOKUP(T_Convention[[#This Row],[NumL]],T_TraitDi[#Data],COLUMN(T_TraitDi[Colonne19]),FALSE)=0,"",TEXT(IFERROR(VLOOKUP(T_Convention[[#This Row],[NumL]],T_TraitDi[#Data],COLUMN(T_TraitDi[Colonne19]),FALSE),""),"[hh]:mm"))</f>
        <v>#N/A</v>
      </c>
      <c r="AT83" s="284" t="e">
        <f>IF(VLOOKUP(T_Convention[[#This Row],[NumL]],T_TraitDi[#Data],COLUMN(T_TraitDi[Colonne20]),FALSE)=0,"",TEXT(IFERROR(VLOOKUP(T_Convention[[#This Row],[NumL]],T_TraitDi[#Data],COLUMN(T_TraitDi[Colonne20]),FALSE),""),"[hh]:mm"))</f>
        <v>#N/A</v>
      </c>
      <c r="AU83" s="284" t="str">
        <f>IFERROR(VLOOKUP(T_Convention[[#This Row],[NumL]],T_TraitDi[#Data],COLUMN(T_TraitDi[Jeudi]),FALSE),"")</f>
        <v/>
      </c>
      <c r="AV83" s="284" t="e">
        <f>IF(VLOOKUP(T_Convention[[#This Row],[NumL]],T_TraitDi[#Data],COLUMN(T_TraitDi[Colonne21]),FALSE)=0,"",TEXT(IFERROR(VLOOKUP(T_Convention[[#This Row],[NumL]],T_TraitDi[#Data],COLUMN(T_TraitDi[Colonne21]),FALSE),""),"[hh]:mm"))</f>
        <v>#N/A</v>
      </c>
      <c r="AW83" s="284" t="e">
        <f>IF(VLOOKUP(T_Convention[[#This Row],[NumL]],T_TraitDi[#Data],COLUMN(T_TraitDi[Colonne22]),FALSE)=0,"",TEXT(IFERROR(VLOOKUP(T_Convention[[#This Row],[NumL]],T_TraitDi[#Data],COLUMN(T_TraitDi[Colonne22]),FALSE),""),"[hh]:mm"))</f>
        <v>#N/A</v>
      </c>
      <c r="AX83" s="284" t="str">
        <f>IFERROR(VLOOKUP(T_Convention[[#This Row],[NumL]],T_TraitDi[#Data],COLUMN(T_TraitDi[Colonne23]),FALSE),"")</f>
        <v/>
      </c>
      <c r="AY83" s="284" t="e">
        <f>IF(VLOOKUP(T_Convention[[#This Row],[NumL]],T_TraitDi[#Data],COLUMN(T_TraitDi[Colonne24]),FALSE)=0,"",TEXT(IFERROR(VLOOKUP(T_Convention[[#This Row],[NumL]],T_TraitDi[#Data],COLUMN(T_TraitDi[Colonne24]),FALSE),""),"[hh]:mm"))</f>
        <v>#N/A</v>
      </c>
      <c r="AZ83" s="284" t="e">
        <f>IF(VLOOKUP(T_Convention[[#This Row],[NumL]],T_TraitDi[#Data],COLUMN(T_TraitDi[Colonne25]),FALSE)=0,"",TEXT(IFERROR(VLOOKUP(T_Convention[[#This Row],[NumL]],T_TraitDi[#Data],COLUMN(T_TraitDi[Colonne25]),FALSE),""),"[hh]:mm"))</f>
        <v>#N/A</v>
      </c>
      <c r="BA83" s="284" t="e">
        <f>IF(VLOOKUP(T_Convention[[#This Row],[NumL]],T_TraitDi[#Data],COLUMN(T_TraitDi[Colonne26]),FALSE)=0,"",TEXT(IFERROR(VLOOKUP(T_Convention[[#This Row],[NumL]],T_TraitDi[#Data],COLUMN(T_TraitDi[Colonne26]),FALSE),""),"[hh]:mm"))</f>
        <v>#N/A</v>
      </c>
      <c r="BB83" s="284" t="str">
        <f>IFERROR(VLOOKUP(T_Convention[[#This Row],[NumL]],T_TraitDi[#Data],COLUMN(T_TraitDi[Vendredi]),FALSE),"")</f>
        <v/>
      </c>
      <c r="BC83" s="284" t="e">
        <f>IF(VLOOKUP(T_Convention[[#This Row],[NumL]],T_TraitDi[#Data],COLUMN(T_TraitDi[Colonne27]),FALSE)=0,"",TEXT(IFERROR(VLOOKUP(T_Convention[[#This Row],[NumL]],T_TraitDi[#Data],COLUMN(T_TraitDi[Colonne27]),FALSE),""),"[hh]:mm"))</f>
        <v>#N/A</v>
      </c>
      <c r="BD83" s="284" t="e">
        <f>IF(VLOOKUP(T_Convention[[#This Row],[NumL]],T_TraitDi[#Data],COLUMN(T_TraitDi[Colonne28]),FALSE)=0,"",TEXT(IFERROR(VLOOKUP(T_Convention[[#This Row],[NumL]],T_TraitDi[#Data],COLUMN(T_TraitDi[Colonne28]),FALSE),""),"[hh]:mm"))</f>
        <v>#N/A</v>
      </c>
      <c r="BE83" s="284" t="str">
        <f>IFERROR(VLOOKUP(T_Convention[[#This Row],[NumL]],T_TraitDi[#Data],COLUMN(T_TraitDi[Colonne29]),FALSE),"")</f>
        <v/>
      </c>
      <c r="BF83" s="284" t="e">
        <f>IF(VLOOKUP(T_Convention[[#This Row],[NumL]],T_TraitDi[#Data],COLUMN(T_TraitDi[Colonne30]),FALSE)=0,"",TEXT(IFERROR(VLOOKUP(T_Convention[[#This Row],[NumL]],T_TraitDi[#Data],COLUMN(T_TraitDi[Colonne30]),FALSE),""),"[hh]:mm"))</f>
        <v>#N/A</v>
      </c>
      <c r="BG83" s="284" t="e">
        <f>IF(VLOOKUP(T_Convention[[#This Row],[NumL]],T_TraitDi[#Data],COLUMN(T_TraitDi[Colonne31]),FALSE)=0,"",TEXT(IFERROR(VLOOKUP(T_Convention[[#This Row],[NumL]],T_TraitDi[#Data],COLUMN(T_TraitDi[Colonne31]),FALSE),""),"[hh]:mm"))</f>
        <v>#N/A</v>
      </c>
      <c r="BH83" s="284" t="e">
        <f>IF(VLOOKUP(T_Convention[[#This Row],[NumL]],T_TraitDi[#Data],COLUMN(T_TraitDi[Colonne32]),FALSE)=0,"",TEXT(IFERROR(VLOOKUP(T_Convention[[#This Row],[NumL]],T_TraitDi[#Data],COLUMN(T_TraitDi[Colonne32]),FALSE),""),"[hh]:mm"))</f>
        <v>#N/A</v>
      </c>
      <c r="BI83" s="284" t="str">
        <f>IFERROR(VLOOKUP(T_Convention[[#This Row],[NumL]],T_TraitDi[#Data],COLUMN(T_TraitDi[NbJTW]),FALSE),"")</f>
        <v/>
      </c>
      <c r="BJ83" s="284" t="e">
        <f>IF(VLOOKUP(T_Convention[[#This Row],[NumL]],T_TraitDi[#Data],COLUMN(T_TraitDi[NbhTW]),FALSE)=0,"",TEXT(IFERROR(VLOOKUP(T_Convention[[#This Row],[NumL]],T_TraitDi[#Data],COLUMN(T_TraitDi[NbhTW]),FALSE),""),"[hh]:mm"))</f>
        <v>#N/A</v>
      </c>
      <c r="BK83" s="286" t="e">
        <f>IF(VLOOKUP(T_Convention[[#This Row],[NumL]],T_TraitDi[#Data],COLUMN(T_TraitDi[Nbhheb]),FALSE)=0,"",TEXT(IFERROR(VLOOKUP(T_Convention[[#This Row],[NumL]],T_TraitDi[#Data],COLUMN(T_TraitDi[Nbhheb]),FALSE),""),"[hh]:mm"))</f>
        <v>#N/A</v>
      </c>
      <c r="BL83" s="287" t="str">
        <f>IFERROR(VLOOKUP(VLOOKUP(T_Convention[[#This Row],[NumL]],T_TraitDi[#Data],COLUMN(T_TraitDi[Type1]),FALSE),TypeTW,2,FALSE),"")</f>
        <v/>
      </c>
      <c r="BM83" s="288" t="str">
        <f>IFERROR(VLOOKUP(T_Convention[[#This Row],[NumL]],T_TraitDi[#Data],COLUMN(T_TraitDi[Rue1]),FALSE),"")</f>
        <v/>
      </c>
      <c r="BN83" s="289" t="str">
        <f>IFERROR(VLOOKUP(T_Convention[[#This Row],[NumL]],T_TraitDi[#Data],COLUMN(T_TraitDi[CP1]),FALSE),"")</f>
        <v/>
      </c>
      <c r="BO83" s="282" t="str">
        <f>IFERROR(VLOOKUP(T_Convention[[#This Row],[NumL]],T_TraitDi[#Data],COLUMN(T_TraitDi[VILLE1]),FALSE),"")</f>
        <v/>
      </c>
      <c r="BP83" s="290" t="str">
        <f>IFERROR(VLOOKUP(VLOOKUP(T_Convention[[#This Row],[NumL]],T_TraitDi[#Data],COLUMN(T_TraitDi[Type2]),FALSE),TypeTW,2,FALSE),"")</f>
        <v/>
      </c>
      <c r="BQ83" s="182" t="str">
        <f>IFERROR(VLOOKUP(T_Convention[[#This Row],[NumL]],T_TraitDi[#Data],COLUMN(T_TraitDi[Rue2]),FALSE),"")</f>
        <v/>
      </c>
      <c r="BR83" s="173" t="str">
        <f>IFERROR(VLOOKUP(T_Convention[[#This Row],[NumL]],T_TraitDi[#Data],COLUMN(T_TraitDi[CP2]),FALSE),"")</f>
        <v/>
      </c>
      <c r="BS83" s="173" t="str">
        <f>IFERROR(VLOOKUP(T_Convention[[#This Row],[NumL]],T_TraitDi[#Data],COLUMN(T_TraitDi[VILLE2]),FALSE),"")</f>
        <v/>
      </c>
      <c r="BT83"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83" s="166" t="str">
        <f>IFERROR(IF(VLOOKUP(T_Convention[[#This Row],[NumL]],T_TraitDi[#Data],COLUMN(T_TraitDi[Plan]),FALSE)="OK","Un planning spécifique de télétravail est annexé à la présente convention.",""),"")</f>
        <v/>
      </c>
      <c r="BV83" s="270"/>
      <c r="BW83" s="164" t="e">
        <f>IF(VLOOKUP(T_Convention[[#This Row],[NumL]],T_suiviDi[#Data],COLUMN(T_suiviDi[Entité]),FALSE)="","",VLOOKUP(T_Convention[[#This Row],[NumL]],T_suiviDi[#Data],COLUMN(T_suiviDi[Entité]),FALSE))</f>
        <v>#N/A</v>
      </c>
      <c r="BX83" s="164" t="str">
        <f>IF(VLOOKUP(T_Convention[[#This Row],[NumL]],T_Commission[#Data],COLUMN(T_Commission[envoi confirm TW]),FALSE)="","",VLOOKUP(T_Convention[[#This Row],[NumL]],T_Commission[#Data],COLUMN(T_Commission[envoi confirm TW]),FALSE))</f>
        <v>Oui</v>
      </c>
      <c r="BY8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3" s="264">
        <f>VLOOKUP(T_Convention[[#This Row],[NumL]],T_Commission[#Data],COLUMN(T_Commission[Commentaire]),FALSE)</f>
        <v>0</v>
      </c>
      <c r="CA83" s="254" t="str">
        <f>IF(VLOOKUP(T_Convention[[#This Row],[NumL]],T_Commission[#Data],COLUMN(T_Commission[Encadrant Email]),FALSE)="","",VLOOKUP(T_Convention[[#This Row],[NumL]],T_Commission[#Data],COLUMN(T_Commission[Encadrant Email]),FALSE))</f>
        <v/>
      </c>
      <c r="CB83" s="352" t="e">
        <f>VLOOKUP(T_Convention[[#This Row],[NumL]],T_TraitDi[#Data],COLUMN(T_TraitDi[NbJTot]),FALSE)</f>
        <v>#N/A</v>
      </c>
      <c r="CC83" s="352" t="e">
        <f>VLOOKUP(T_Convention[[#This Row],[NumL]],T_TraitDi[#Data],COLUMN(T_TraitDi[Reg Ponct]),FALSE)</f>
        <v>#N/A</v>
      </c>
      <c r="CD83" s="348" t="str">
        <f>IF(T_Convention[[#This Row],[Final]]&lt;&gt;"",VLOOKUP(T_Convention[[#This Row],[NumL]],T_suiviDi[#Data],COLUMN((T_suiviDi[Statut])),FALSE),"")</f>
        <v/>
      </c>
    </row>
    <row r="84" spans="1:82" s="106" customFormat="1" ht="18.75" customHeight="1" x14ac:dyDescent="0.25">
      <c r="A84" s="160">
        <v>189</v>
      </c>
      <c r="B84" s="161" t="str">
        <f>VLOOKUP(T_Convention[[#This Row],[NumL]],T_Commission[#Data],COLUMN(T_Commission[FINAL]),FALSE)</f>
        <v/>
      </c>
      <c r="C84" s="162"/>
      <c r="D84" s="95" t="e">
        <f>IF(VLOOKUP(T_Convention[[#This Row],[NumL]],T_TraitDi[#Data],COLUMN(T_TraitDi[WebC]),FALSE)="","",VLOOKUP(T_Convention[[#This Row],[NumL]],T_TraitDi[#Data],COLUMN(T_TraitDi[WebC]),FALSE))</f>
        <v>#N/A</v>
      </c>
      <c r="E84" s="163" t="str">
        <f t="shared" si="5"/>
        <v>12 janvier 2021</v>
      </c>
      <c r="F84" s="282" t="str">
        <f>IF(T_Convention[[#This Row],[Final]]&lt;&gt;"",VLOOKUP(T_Convention[[#This Row],[NumL]],T_suiviDi[#Data],COLUMN((T_suiviDi[Civ.])),FALSE),"")</f>
        <v/>
      </c>
      <c r="G84" s="283" t="str">
        <f>IF(T_Convention[[#This Row],[Final]]&lt;&gt;"",VLOOKUP(T_Convention[[#This Row],[NumL]],T_suiviDi[#Data],COLUMN((T_suiviDi[Nom])),FALSE),"")</f>
        <v/>
      </c>
      <c r="H84" s="282" t="str">
        <f>IF(T_Convention[[#This Row],[Final]]&lt;&gt;"",VLOOKUP(T_Convention[[#This Row],[NumL]],T_suiviDi[#Data],COLUMN((T_suiviDi[Prénom])),FALSE),"")</f>
        <v/>
      </c>
      <c r="I84" s="282" t="e">
        <f>VLOOKUP(T_Convention[[#This Row],[NumL]],T_suiviDi[#Data],COLUMN((T_suiviDi[[#This Row],[Email]])),FALSE)</f>
        <v>#VALUE!</v>
      </c>
      <c r="J84" s="282" t="e">
        <f>IF(VLOOKUP(T_Convention[[#This Row],[NumL]],T_suiviDi[#Data],COLUMN(T_suiviDi[[#This Row],[Fonction]]),FALSE)="","",VLOOKUP(T_Convention[[#This Row],[NumL]],T_suiviDi[#Data],COLUMN(T_suiviDi[[#This Row],[Fonction]]),FALSE))</f>
        <v>#VALUE!</v>
      </c>
      <c r="K84" s="282" t="e">
        <f>IF(VLOOKUP(T_Convention[[#This Row],[NumL]],T_suiviDi[#Data],COLUMN(T_suiviDi[[#This Row],[Grade]]),FALSE)="","",VLOOKUP(T_Convention[[#This Row],[NumL]],T_suiviDi[#Data],COLUMN(T_suiviDi[[#This Row],[Grade]]),FALSE))</f>
        <v>#VALUE!</v>
      </c>
      <c r="L84" s="282" t="e">
        <f>IF(VLOOKUP(T_Convention[[#This Row],[NumL]],T_suiviDi[#Data],COLUMN(T_suiviDi[[#This Row],[Service ]]),FALSE)="","",VLOOKUP(T_Convention[[#This Row],[NumL]],T_suiviDi[#Data],COLUMN(T_suiviDi[[#This Row],[Service ]]),FALSE))</f>
        <v>#VALUE!</v>
      </c>
      <c r="M84" s="164" t="str">
        <f t="shared" si="6"/>
        <v>01 septembre 2021</v>
      </c>
      <c r="N84" s="164" t="str">
        <f t="shared" si="7"/>
        <v>30 novembre 2021</v>
      </c>
      <c r="O84" s="284" t="str">
        <f t="shared" si="8"/>
        <v>30 novembre 2021</v>
      </c>
      <c r="P84" s="282" t="e">
        <f>IF(VLOOKUP(T_Convention[[#This Row],[NumL]],T_TraitDi[#Data],COLUMN(T_TraitDi[M1]),FALSE)="","",VLOOKUP(T_Convention[[#This Row],[NumL]],T_TraitDi[#Data],COLUMN(T_TraitDi[M1]),FALSE))</f>
        <v>#N/A</v>
      </c>
      <c r="Q84" s="282" t="e">
        <f>IF(VLOOKUP(T_Convention[[#This Row],[NumL]],T_TraitDi[#Data],COLUMN(T_TraitDi[M2]),FALSE)="","",VLOOKUP(T_Convention[[#This Row],[NumL]],T_TraitDi[#Data],COLUMN(T_TraitDi[M2]),FALSE))</f>
        <v>#N/A</v>
      </c>
      <c r="R84" s="282" t="e">
        <f>IF(VLOOKUP(T_Convention[[#This Row],[NumL]],T_TraitDi[#Data],COLUMN(T_TraitDi[M3]),FALSE)="","",VLOOKUP(T_Convention[[#This Row],[NumL]],T_TraitDi[#Data],COLUMN(T_TraitDi[M3]),FALSE))</f>
        <v>#N/A</v>
      </c>
      <c r="S84" s="282" t="e">
        <f>IF(VLOOKUP(T_Convention[[#This Row],[NumL]],T_TraitDi[#Data],COLUMN(T_TraitDi[M4]),FALSE)="","",VLOOKUP(T_Convention[[#This Row],[NumL]],T_TraitDi[#Data],COLUMN(T_TraitDi[M4]),FALSE))</f>
        <v>#N/A</v>
      </c>
      <c r="T84" s="282" t="e">
        <f>IF(VLOOKUP(T_Convention[[#This Row],[NumL]],T_TraitDi[#Data],COLUMN(T_TraitDi[M5]),FALSE)="","",VLOOKUP(T_Convention[[#This Row],[NumL]],T_TraitDi[#Data],COLUMN(T_TraitDi[M5]),FALSE))</f>
        <v>#N/A</v>
      </c>
      <c r="U84" s="282" t="e">
        <f>IF(VLOOKUP(T_Convention[[#This Row],[NumL]],T_TraitDi[#Data],COLUMN(T_TraitDi[M6]),FALSE)="","",VLOOKUP(T_Convention[[#This Row],[NumL]],T_TraitDi[#Data],COLUMN(T_TraitDi[M6]),FALSE))</f>
        <v>#N/A</v>
      </c>
      <c r="V84" s="176" t="e">
        <f t="shared" si="9"/>
        <v>#N/A</v>
      </c>
      <c r="W84" s="284" t="str">
        <f>IFERROR(TEXT(VLOOKUP(T_Convention[[#This Row],[NumL]],T_TraitDi[#Data],COLUMN(T_TraitDi[Q2]),FALSE),"###%"),"")</f>
        <v/>
      </c>
      <c r="X84" s="97" t="e">
        <f>VLOOKUP(T_Convention[[#This Row],[NumL]],T_TraitDi[#Data],COLUMN(T_TraitDi[Reg Ponct]),FALSE)</f>
        <v>#N/A</v>
      </c>
      <c r="Y84" s="97" t="e">
        <f>VLOOKUP(T_Convention[NumL],T_TraitDi[#Data],COLUMN(T_TraitDi[Jours flottants]),FALSE)</f>
        <v>#N/A</v>
      </c>
      <c r="Z84" s="284" t="str">
        <f>IFERROR(VLOOKUP(T_Convention[[#This Row],[NumL]],T_TraitDi[#Data],COLUMN(T_TraitDi[Lundi]),FALSE),"")</f>
        <v/>
      </c>
      <c r="AA84" s="284" t="e">
        <f>IF(VLOOKUP(T_Convention[[#This Row],[NumL]],T_TraitDi[#Data],COLUMN(T_TraitDi[Colonne3]),FALSE)=0,"",TEXT(IFERROR(VLOOKUP(T_Convention[[#This Row],[NumL]],T_TraitDi[#Data],COLUMN(T_TraitDi[Colonne3]),FALSE),""),"[hh]:mm"))</f>
        <v>#N/A</v>
      </c>
      <c r="AB84" s="284" t="e">
        <f>IF(VLOOKUP(T_Convention[[#This Row],[NumL]],T_TraitDi[#Data],COLUMN(T_TraitDi[Colonne4]),FALSE)=0,"",TEXT(IFERROR(VLOOKUP(T_Convention[[#This Row],[NumL]],T_TraitDi[#Data],COLUMN(T_TraitDi[Colonne4]),FALSE),""),"[hh]:mm"))</f>
        <v>#N/A</v>
      </c>
      <c r="AC84" s="284" t="e">
        <f>IF(VLOOKUP(T_Convention[[#This Row],[NumL]],T_TraitDi[#Data],COLUMN(T_TraitDi[Colonne5]),FALSE)=0,"",TEXT(IFERROR(VLOOKUP(T_Convention[[#This Row],[NumL]],T_TraitDi[#Data],COLUMN(T_TraitDi[Colonne5]),FALSE),""),"[hh]:mm"))</f>
        <v>#N/A</v>
      </c>
      <c r="AD84" s="284" t="e">
        <f>IF(VLOOKUP(T_Convention[[#This Row],[NumL]],T_TraitDi[#Data],COLUMN(T_TraitDi[Colonne6]),FALSE)=0,"",TEXT(IFERROR(VLOOKUP(T_Convention[[#This Row],[NumL]],T_TraitDi[#Data],COLUMN(T_TraitDi[Colonne6]),FALSE),""),"[hh]:mm"))</f>
        <v>#N/A</v>
      </c>
      <c r="AE84" s="284" t="e">
        <f>IF(VLOOKUP(T_Convention[[#This Row],[NumL]],T_TraitDi[#Data],COLUMN(T_TraitDi[Colonne7]),FALSE)=0,"",TEXT(IFERROR(VLOOKUP(T_Convention[[#This Row],[NumL]],T_TraitDi[#Data],COLUMN(T_TraitDi[Colonne7]),FALSE),""),"[hh]:mm"))</f>
        <v>#N/A</v>
      </c>
      <c r="AF84" s="284" t="e">
        <f>IF(VLOOKUP(T_Convention[[#This Row],[NumL]],T_TraitDi[#Data],COLUMN(T_TraitDi[Colonne8]),FALSE)=0,"",TEXT(IFERROR(VLOOKUP(T_Convention[[#This Row],[NumL]],T_TraitDi[#Data],COLUMN(T_TraitDi[Colonne8]),FALSE),""),"[hh]:mm"))</f>
        <v>#N/A</v>
      </c>
      <c r="AG84" s="284" t="str">
        <f>IFERROR(VLOOKUP(T_Convention[[#This Row],[NumL]],T_TraitDi[#Data],COLUMN(T_TraitDi[Mardi]),FALSE),"")</f>
        <v/>
      </c>
      <c r="AH84" s="284" t="e">
        <f>IF(VLOOKUP(T_Convention[[#This Row],[NumL]],T_TraitDi[#Data],COLUMN(T_TraitDi[Colonne1]),FALSE)=0,"",TEXT(IFERROR(VLOOKUP(T_Convention[[#This Row],[NumL]],T_TraitDi[#Data],COLUMN(T_TraitDi[Colonne1]),FALSE),""),"[hh]:mm"))</f>
        <v>#N/A</v>
      </c>
      <c r="AI84" s="284" t="e">
        <f>IF(VLOOKUP(T_Convention[[#This Row],[NumL]],T_TraitDi[#Data],COLUMN(T_TraitDi[Colonne9]),FALSE)=0,"",TEXT(IFERROR(VLOOKUP(T_Convention[[#This Row],[NumL]],T_TraitDi[#Data],COLUMN(T_TraitDi[Colonne9]),FALSE),""),"[hh]:mm"))</f>
        <v>#N/A</v>
      </c>
      <c r="AJ84" s="284" t="str">
        <f>IFERROR(VLOOKUP(T_Convention[[#This Row],[NumL]],T_TraitDi[#Data],COLUMN(T_TraitDi[Colonne10]),FALSE),"")</f>
        <v/>
      </c>
      <c r="AK84" s="284" t="e">
        <f>IF(VLOOKUP(T_Convention[[#This Row],[NumL]],T_TraitDi[#Data],COLUMN(T_TraitDi[Colonne11]),FALSE)=0,"",TEXT(IFERROR(VLOOKUP(T_Convention[[#This Row],[NumL]],T_TraitDi[#Data],COLUMN(T_TraitDi[Colonne11]),FALSE),""),"[hh]:mm"))</f>
        <v>#N/A</v>
      </c>
      <c r="AL84" s="284" t="e">
        <f>IF(VLOOKUP(T_Convention[[#This Row],[NumL]],T_TraitDi[#Data],COLUMN(T_TraitDi[Colonne12]),FALSE)=0,"",TEXT(IFERROR(VLOOKUP(T_Convention[[#This Row],[NumL]],T_TraitDi[#Data],COLUMN(T_TraitDi[Colonne12]),FALSE),""),"[hh]:mm"))</f>
        <v>#N/A</v>
      </c>
      <c r="AM84" s="284" t="e">
        <f>IF(VLOOKUP(T_Convention[[#This Row],[NumL]],T_TraitDi[#Data],COLUMN(T_TraitDi[Colonne14]),FALSE)=0,"",TEXT(IFERROR(VLOOKUP(T_Convention[[#This Row],[NumL]],T_TraitDi[#Data],COLUMN(T_TraitDi[Colonne14]),FALSE),""),"[hh]:mm"))</f>
        <v>#N/A</v>
      </c>
      <c r="AN84" s="284" t="str">
        <f>IFERROR(VLOOKUP(T_Convention[[#This Row],[NumL]],T_TraitDi[#Data],COLUMN(T_TraitDi[Mercredi]),FALSE),"")</f>
        <v/>
      </c>
      <c r="AO84" s="284" t="e">
        <f>IF(VLOOKUP(T_Convention[[#This Row],[NumL]],T_TraitDi[#Data],COLUMN(T_TraitDi[Colonne15]),FALSE)=0,"",TEXT(IFERROR(VLOOKUP(T_Convention[[#This Row],[NumL]],T_TraitDi[#Data],COLUMN(T_TraitDi[Colonne15]),FALSE),""),"[hh]:mm"))</f>
        <v>#N/A</v>
      </c>
      <c r="AP84" s="284" t="e">
        <f>IF(VLOOKUP(T_Convention[[#This Row],[NumL]],T_TraitDi[#Data],COLUMN(T_TraitDi[Colonne16]),FALSE)=0,"",TEXT(IFERROR(VLOOKUP(T_Convention[[#This Row],[NumL]],T_TraitDi[#Data],COLUMN(T_TraitDi[Colonne16]),FALSE),""),"[hh]:mm"))</f>
        <v>#N/A</v>
      </c>
      <c r="AQ84" s="284" t="str">
        <f>IFERROR(VLOOKUP(T_Convention[[#This Row],[NumL]],T_TraitDi[#Data],COLUMN(T_TraitDi[Colonne17]),FALSE),"")</f>
        <v/>
      </c>
      <c r="AR84" s="284" t="e">
        <f>IF(VLOOKUP(T_Convention[[#This Row],[NumL]],T_TraitDi[#Data],COLUMN(T_TraitDi[Colonne18]),FALSE)=0,"",TEXT(IFERROR(VLOOKUP(T_Convention[[#This Row],[NumL]],T_TraitDi[#Data],COLUMN(T_TraitDi[Colonne18]),FALSE),""),"[hh]:mm"))</f>
        <v>#N/A</v>
      </c>
      <c r="AS84" s="284" t="e">
        <f>IF(VLOOKUP(T_Convention[[#This Row],[NumL]],T_TraitDi[#Data],COLUMN(T_TraitDi[Colonne19]),FALSE)=0,"",TEXT(IFERROR(VLOOKUP(T_Convention[[#This Row],[NumL]],T_TraitDi[#Data],COLUMN(T_TraitDi[Colonne19]),FALSE),""),"[hh]:mm"))</f>
        <v>#N/A</v>
      </c>
      <c r="AT84" s="284" t="e">
        <f>IF(VLOOKUP(T_Convention[[#This Row],[NumL]],T_TraitDi[#Data],COLUMN(T_TraitDi[Colonne20]),FALSE)=0,"",TEXT(IFERROR(VLOOKUP(T_Convention[[#This Row],[NumL]],T_TraitDi[#Data],COLUMN(T_TraitDi[Colonne20]),FALSE),""),"[hh]:mm"))</f>
        <v>#N/A</v>
      </c>
      <c r="AU84" s="284" t="str">
        <f>IFERROR(VLOOKUP(T_Convention[[#This Row],[NumL]],T_TraitDi[#Data],COLUMN(T_TraitDi[Jeudi]),FALSE),"")</f>
        <v/>
      </c>
      <c r="AV84" s="284" t="e">
        <f>IF(VLOOKUP(T_Convention[[#This Row],[NumL]],T_TraitDi[#Data],COLUMN(T_TraitDi[Colonne21]),FALSE)=0,"",TEXT(IFERROR(VLOOKUP(T_Convention[[#This Row],[NumL]],T_TraitDi[#Data],COLUMN(T_TraitDi[Colonne21]),FALSE),""),"[hh]:mm"))</f>
        <v>#N/A</v>
      </c>
      <c r="AW84" s="284" t="e">
        <f>IF(VLOOKUP(T_Convention[[#This Row],[NumL]],T_TraitDi[#Data],COLUMN(T_TraitDi[Colonne22]),FALSE)=0,"",TEXT(IFERROR(VLOOKUP(T_Convention[[#This Row],[NumL]],T_TraitDi[#Data],COLUMN(T_TraitDi[Colonne22]),FALSE),""),"[hh]:mm"))</f>
        <v>#N/A</v>
      </c>
      <c r="AX84" s="284" t="str">
        <f>IFERROR(VLOOKUP(T_Convention[[#This Row],[NumL]],T_TraitDi[#Data],COLUMN(T_TraitDi[Colonne23]),FALSE),"")</f>
        <v/>
      </c>
      <c r="AY84" s="284" t="e">
        <f>IF(VLOOKUP(T_Convention[[#This Row],[NumL]],T_TraitDi[#Data],COLUMN(T_TraitDi[Colonne24]),FALSE)=0,"",TEXT(IFERROR(VLOOKUP(T_Convention[[#This Row],[NumL]],T_TraitDi[#Data],COLUMN(T_TraitDi[Colonne24]),FALSE),""),"[hh]:mm"))</f>
        <v>#N/A</v>
      </c>
      <c r="AZ84" s="284" t="e">
        <f>IF(VLOOKUP(T_Convention[[#This Row],[NumL]],T_TraitDi[#Data],COLUMN(T_TraitDi[Colonne25]),FALSE)=0,"",TEXT(IFERROR(VLOOKUP(T_Convention[[#This Row],[NumL]],T_TraitDi[#Data],COLUMN(T_TraitDi[Colonne25]),FALSE),""),"[hh]:mm"))</f>
        <v>#N/A</v>
      </c>
      <c r="BA84" s="284" t="e">
        <f>IF(VLOOKUP(T_Convention[[#This Row],[NumL]],T_TraitDi[#Data],COLUMN(T_TraitDi[Colonne26]),FALSE)=0,"",TEXT(IFERROR(VLOOKUP(T_Convention[[#This Row],[NumL]],T_TraitDi[#Data],COLUMN(T_TraitDi[Colonne26]),FALSE),""),"[hh]:mm"))</f>
        <v>#N/A</v>
      </c>
      <c r="BB84" s="284" t="str">
        <f>IFERROR(VLOOKUP(T_Convention[[#This Row],[NumL]],T_TraitDi[#Data],COLUMN(T_TraitDi[Vendredi]),FALSE),"")</f>
        <v/>
      </c>
      <c r="BC84" s="284" t="e">
        <f>IF(VLOOKUP(T_Convention[[#This Row],[NumL]],T_TraitDi[#Data],COLUMN(T_TraitDi[Colonne27]),FALSE)=0,"",TEXT(IFERROR(VLOOKUP(T_Convention[[#This Row],[NumL]],T_TraitDi[#Data],COLUMN(T_TraitDi[Colonne27]),FALSE),""),"[hh]:mm"))</f>
        <v>#N/A</v>
      </c>
      <c r="BD84" s="284" t="e">
        <f>IF(VLOOKUP(T_Convention[[#This Row],[NumL]],T_TraitDi[#Data],COLUMN(T_TraitDi[Colonne28]),FALSE)=0,"",TEXT(IFERROR(VLOOKUP(T_Convention[[#This Row],[NumL]],T_TraitDi[#Data],COLUMN(T_TraitDi[Colonne28]),FALSE),""),"[hh]:mm"))</f>
        <v>#N/A</v>
      </c>
      <c r="BE84" s="284" t="str">
        <f>IFERROR(VLOOKUP(T_Convention[[#This Row],[NumL]],T_TraitDi[#Data],COLUMN(T_TraitDi[Colonne29]),FALSE),"")</f>
        <v/>
      </c>
      <c r="BF84" s="284" t="e">
        <f>IF(VLOOKUP(T_Convention[[#This Row],[NumL]],T_TraitDi[#Data],COLUMN(T_TraitDi[Colonne30]),FALSE)=0,"",TEXT(IFERROR(VLOOKUP(T_Convention[[#This Row],[NumL]],T_TraitDi[#Data],COLUMN(T_TraitDi[Colonne30]),FALSE),""),"[hh]:mm"))</f>
        <v>#N/A</v>
      </c>
      <c r="BG84" s="284" t="e">
        <f>IF(VLOOKUP(T_Convention[[#This Row],[NumL]],T_TraitDi[#Data],COLUMN(T_TraitDi[Colonne31]),FALSE)=0,"",TEXT(IFERROR(VLOOKUP(T_Convention[[#This Row],[NumL]],T_TraitDi[#Data],COLUMN(T_TraitDi[Colonne31]),FALSE),""),"[hh]:mm"))</f>
        <v>#N/A</v>
      </c>
      <c r="BH84" s="284" t="e">
        <f>IF(VLOOKUP(T_Convention[[#This Row],[NumL]],T_TraitDi[#Data],COLUMN(T_TraitDi[Colonne32]),FALSE)=0,"",TEXT(IFERROR(VLOOKUP(T_Convention[[#This Row],[NumL]],T_TraitDi[#Data],COLUMN(T_TraitDi[Colonne32]),FALSE),""),"[hh]:mm"))</f>
        <v>#N/A</v>
      </c>
      <c r="BI84" s="284" t="str">
        <f>IFERROR(VLOOKUP(T_Convention[[#This Row],[NumL]],T_TraitDi[#Data],COLUMN(T_TraitDi[NbJTW]),FALSE),"")</f>
        <v/>
      </c>
      <c r="BJ84" s="284" t="e">
        <f>IF(VLOOKUP(T_Convention[[#This Row],[NumL]],T_TraitDi[#Data],COLUMN(T_TraitDi[NbhTW]),FALSE)=0,"",TEXT(IFERROR(VLOOKUP(T_Convention[[#This Row],[NumL]],T_TraitDi[#Data],COLUMN(T_TraitDi[NbhTW]),FALSE),""),"[hh]:mm"))</f>
        <v>#N/A</v>
      </c>
      <c r="BK84" s="286" t="e">
        <f>IF(VLOOKUP(T_Convention[[#This Row],[NumL]],T_TraitDi[#Data],COLUMN(T_TraitDi[Nbhheb]),FALSE)=0,"",TEXT(IFERROR(VLOOKUP(T_Convention[[#This Row],[NumL]],T_TraitDi[#Data],COLUMN(T_TraitDi[Nbhheb]),FALSE),""),"[hh]:mm"))</f>
        <v>#N/A</v>
      </c>
      <c r="BL84" s="287" t="str">
        <f>IFERROR(VLOOKUP(VLOOKUP(T_Convention[[#This Row],[NumL]],T_TraitDi[#Data],COLUMN(T_TraitDi[Type1]),FALSE),TypeTW,2,FALSE),"")</f>
        <v/>
      </c>
      <c r="BM84" s="288" t="str">
        <f>IFERROR(VLOOKUP(T_Convention[[#This Row],[NumL]],T_TraitDi[#Data],COLUMN(T_TraitDi[Rue1]),FALSE),"")</f>
        <v/>
      </c>
      <c r="BN84" s="289" t="str">
        <f>IFERROR(VLOOKUP(T_Convention[[#This Row],[NumL]],T_TraitDi[#Data],COLUMN(T_TraitDi[CP1]),FALSE),"")</f>
        <v/>
      </c>
      <c r="BO84" s="282" t="str">
        <f>IFERROR(VLOOKUP(T_Convention[[#This Row],[NumL]],T_TraitDi[#Data],COLUMN(T_TraitDi[VILLE1]),FALSE),"")</f>
        <v/>
      </c>
      <c r="BP84" s="290" t="str">
        <f>IFERROR(VLOOKUP(VLOOKUP(T_Convention[[#This Row],[NumL]],T_TraitDi[#Data],COLUMN(T_TraitDi[Type2]),FALSE),TypeTW,2,FALSE),"")</f>
        <v/>
      </c>
      <c r="BQ84" s="182" t="str">
        <f>IFERROR(VLOOKUP(T_Convention[[#This Row],[NumL]],T_TraitDi[#Data],COLUMN(T_TraitDi[Rue2]),FALSE),"")</f>
        <v/>
      </c>
      <c r="BR84" s="173" t="str">
        <f>IFERROR(VLOOKUP(T_Convention[[#This Row],[NumL]],T_TraitDi[#Data],COLUMN(T_TraitDi[CP2]),FALSE),"")</f>
        <v/>
      </c>
      <c r="BS84" s="173" t="str">
        <f>IFERROR(VLOOKUP(T_Convention[[#This Row],[NumL]],T_TraitDi[#Data],COLUMN(T_TraitDi[VILLE2]),FALSE),"")</f>
        <v/>
      </c>
      <c r="BT84" s="182" t="str">
        <f>IF(VLOOKUP(T_Convention[[#This Row],[NumL]],T_Equipement[#Data],COLUMN(T_Equipement[PC]),FALSE)="","Aucun équipement spécifique directement lié au télétravail",VLOOKUP(T_Convention[[#This Row],[NumL]],T_Equipement[#Data],COLUMN(T_Equipement[PC]),FALSE))</f>
        <v xml:space="preserve">SCD2018DID01	</v>
      </c>
      <c r="BU84" s="166" t="str">
        <f>IFERROR(IF(VLOOKUP(T_Convention[[#This Row],[NumL]],T_TraitDi[#Data],COLUMN(T_TraitDi[Plan]),FALSE)="OK","Un planning spécifique de télétravail est annexé à la présente convention.",""),"")</f>
        <v/>
      </c>
      <c r="BV84" s="185" t="s">
        <v>3484</v>
      </c>
      <c r="BW84" s="164" t="e">
        <f>IF(VLOOKUP(T_Convention[[#This Row],[NumL]],T_suiviDi[#Data],COLUMN(T_suiviDi[Entité]),FALSE)="","",VLOOKUP(T_Convention[[#This Row],[NumL]],T_suiviDi[#Data],COLUMN(T_suiviDi[Entité]),FALSE))</f>
        <v>#N/A</v>
      </c>
      <c r="BX84" s="164" t="str">
        <f>IF(VLOOKUP(T_Convention[[#This Row],[NumL]],T_Commission[#Data],COLUMN(T_Commission[envoi confirm TW]),FALSE)="","",VLOOKUP(T_Convention[[#This Row],[NumL]],T_Commission[#Data],COLUMN(T_Commission[envoi confirm TW]),FALSE))</f>
        <v>Oui</v>
      </c>
      <c r="BY8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4" s="264">
        <f>VLOOKUP(T_Convention[[#This Row],[NumL]],T_Commission[#Data],COLUMN(T_Commission[Commentaire]),FALSE)</f>
        <v>0</v>
      </c>
      <c r="CA84" s="254" t="str">
        <f>IF(VLOOKUP(T_Convention[[#This Row],[NumL]],T_Commission[#Data],COLUMN(T_Commission[Encadrant Email]),FALSE)="","",VLOOKUP(T_Convention[[#This Row],[NumL]],T_Commission[#Data],COLUMN(T_Commission[Encadrant Email]),FALSE))</f>
        <v/>
      </c>
      <c r="CB84" s="352" t="e">
        <f>VLOOKUP(T_Convention[[#This Row],[NumL]],T_TraitDi[#Data],COLUMN(T_TraitDi[NbJTot]),FALSE)</f>
        <v>#N/A</v>
      </c>
      <c r="CC84" s="352" t="e">
        <f>VLOOKUP(T_Convention[[#This Row],[NumL]],T_TraitDi[#Data],COLUMN(T_TraitDi[Reg Ponct]),FALSE)</f>
        <v>#N/A</v>
      </c>
      <c r="CD84" s="348" t="str">
        <f>IF(T_Convention[[#This Row],[Final]]&lt;&gt;"",VLOOKUP(T_Convention[[#This Row],[NumL]],T_suiviDi[#Data],COLUMN((T_suiviDi[Statut])),FALSE),"")</f>
        <v/>
      </c>
    </row>
    <row r="85" spans="1:82" s="106" customFormat="1" ht="18.75" customHeight="1" x14ac:dyDescent="0.25">
      <c r="A85" s="160">
        <v>28</v>
      </c>
      <c r="B85" s="161" t="str">
        <f>VLOOKUP(T_Convention[[#This Row],[NumL]],T_Commission[#Data],COLUMN(T_Commission[FINAL]),FALSE)</f>
        <v/>
      </c>
      <c r="C85" s="162"/>
      <c r="D85" s="95" t="e">
        <f>IF(VLOOKUP(T_Convention[[#This Row],[NumL]],T_TraitDi[#Data],COLUMN(T_TraitDi[WebC]),FALSE)="","",VLOOKUP(T_Convention[[#This Row],[NumL]],T_TraitDi[#Data],COLUMN(T_TraitDi[WebC]),FALSE))</f>
        <v>#N/A</v>
      </c>
      <c r="E85" s="163" t="str">
        <f t="shared" si="5"/>
        <v>12 janvier 2021</v>
      </c>
      <c r="F85" s="282" t="str">
        <f>IF(T_Convention[[#This Row],[Final]]&lt;&gt;"",VLOOKUP(T_Convention[[#This Row],[NumL]],T_suiviDi[#Data],COLUMN((T_suiviDi[Civ.])),FALSE),"")</f>
        <v/>
      </c>
      <c r="G85" s="283" t="str">
        <f>IF(T_Convention[[#This Row],[Final]]&lt;&gt;"",VLOOKUP(T_Convention[[#This Row],[NumL]],T_suiviDi[#Data],COLUMN((T_suiviDi[Nom])),FALSE),"")</f>
        <v/>
      </c>
      <c r="H85" s="282" t="str">
        <f>IF(T_Convention[[#This Row],[Final]]&lt;&gt;"",VLOOKUP(T_Convention[[#This Row],[NumL]],T_suiviDi[#Data],COLUMN((T_suiviDi[Prénom])),FALSE),"")</f>
        <v/>
      </c>
      <c r="I85" s="282" t="e">
        <f>VLOOKUP(T_Convention[[#This Row],[NumL]],T_suiviDi[#Data],COLUMN((T_suiviDi[[#This Row],[Email]])),FALSE)</f>
        <v>#VALUE!</v>
      </c>
      <c r="J85" s="282" t="e">
        <f>IF(VLOOKUP(T_Convention[[#This Row],[NumL]],T_suiviDi[#Data],COLUMN(T_suiviDi[[#This Row],[Fonction]]),FALSE)="","",VLOOKUP(T_Convention[[#This Row],[NumL]],T_suiviDi[#Data],COLUMN(T_suiviDi[[#This Row],[Fonction]]),FALSE))</f>
        <v>#VALUE!</v>
      </c>
      <c r="K85" s="282" t="e">
        <f>IF(VLOOKUP(T_Convention[[#This Row],[NumL]],T_suiviDi[#Data],COLUMN(T_suiviDi[[#This Row],[Grade]]),FALSE)="","",VLOOKUP(T_Convention[[#This Row],[NumL]],T_suiviDi[#Data],COLUMN(T_suiviDi[[#This Row],[Grade]]),FALSE))</f>
        <v>#VALUE!</v>
      </c>
      <c r="L85" s="282" t="e">
        <f>IF(VLOOKUP(T_Convention[[#This Row],[NumL]],T_suiviDi[#Data],COLUMN(T_suiviDi[[#This Row],[Service ]]),FALSE)="","",VLOOKUP(T_Convention[[#This Row],[NumL]],T_suiviDi[#Data],COLUMN(T_suiviDi[[#This Row],[Service ]]),FALSE))</f>
        <v>#VALUE!</v>
      </c>
      <c r="M85" s="164" t="str">
        <f t="shared" si="6"/>
        <v>01 septembre 2021</v>
      </c>
      <c r="N85" s="164" t="str">
        <f t="shared" si="7"/>
        <v>30 novembre 2021</v>
      </c>
      <c r="O85" s="284" t="str">
        <f t="shared" si="8"/>
        <v>30 novembre 2021</v>
      </c>
      <c r="P85" s="282" t="e">
        <f>IF(VLOOKUP(T_Convention[[#This Row],[NumL]],T_TraitDi[#Data],COLUMN(T_TraitDi[M1]),FALSE)="","",VLOOKUP(T_Convention[[#This Row],[NumL]],T_TraitDi[#Data],COLUMN(T_TraitDi[M1]),FALSE))</f>
        <v>#N/A</v>
      </c>
      <c r="Q85" s="282" t="e">
        <f>IF(VLOOKUP(T_Convention[[#This Row],[NumL]],T_TraitDi[#Data],COLUMN(T_TraitDi[M2]),FALSE)="","",VLOOKUP(T_Convention[[#This Row],[NumL]],T_TraitDi[#Data],COLUMN(T_TraitDi[M2]),FALSE))</f>
        <v>#N/A</v>
      </c>
      <c r="R85" s="282" t="e">
        <f>IF(VLOOKUP(T_Convention[[#This Row],[NumL]],T_TraitDi[#Data],COLUMN(T_TraitDi[M3]),FALSE)="","",VLOOKUP(T_Convention[[#This Row],[NumL]],T_TraitDi[#Data],COLUMN(T_TraitDi[M3]),FALSE))</f>
        <v>#N/A</v>
      </c>
      <c r="S85" s="282" t="e">
        <f>IF(VLOOKUP(T_Convention[[#This Row],[NumL]],T_TraitDi[#Data],COLUMN(T_TraitDi[M4]),FALSE)="","",VLOOKUP(T_Convention[[#This Row],[NumL]],T_TraitDi[#Data],COLUMN(T_TraitDi[M4]),FALSE))</f>
        <v>#N/A</v>
      </c>
      <c r="T85" s="282" t="e">
        <f>IF(VLOOKUP(T_Convention[[#This Row],[NumL]],T_TraitDi[#Data],COLUMN(T_TraitDi[M5]),FALSE)="","",VLOOKUP(T_Convention[[#This Row],[NumL]],T_TraitDi[#Data],COLUMN(T_TraitDi[M5]),FALSE))</f>
        <v>#N/A</v>
      </c>
      <c r="U85" s="282" t="e">
        <f>IF(VLOOKUP(T_Convention[[#This Row],[NumL]],T_TraitDi[#Data],COLUMN(T_TraitDi[M6]),FALSE)="","",VLOOKUP(T_Convention[[#This Row],[NumL]],T_TraitDi[#Data],COLUMN(T_TraitDi[M6]),FALSE))</f>
        <v>#N/A</v>
      </c>
      <c r="V85" s="176" t="e">
        <f t="shared" si="9"/>
        <v>#N/A</v>
      </c>
      <c r="W85" s="284" t="str">
        <f>IFERROR(TEXT(VLOOKUP(T_Convention[[#This Row],[NumL]],T_TraitDi[#Data],COLUMN(T_TraitDi[Q2]),FALSE),"###%"),"")</f>
        <v/>
      </c>
      <c r="X85" s="97" t="e">
        <f>VLOOKUP(T_Convention[[#This Row],[NumL]],T_TraitDi[#Data],COLUMN(T_TraitDi[Reg Ponct]),FALSE)</f>
        <v>#N/A</v>
      </c>
      <c r="Y85" s="97" t="e">
        <f>VLOOKUP(T_Convention[NumL],T_TraitDi[#Data],COLUMN(T_TraitDi[Jours flottants]),FALSE)</f>
        <v>#N/A</v>
      </c>
      <c r="Z85" s="284" t="str">
        <f>IFERROR(VLOOKUP(T_Convention[[#This Row],[NumL]],T_TraitDi[#Data],COLUMN(T_TraitDi[Lundi]),FALSE),"")</f>
        <v/>
      </c>
      <c r="AA85" s="284" t="e">
        <f>IF(VLOOKUP(T_Convention[[#This Row],[NumL]],T_TraitDi[#Data],COLUMN(T_TraitDi[Colonne3]),FALSE)=0,"",TEXT(IFERROR(VLOOKUP(T_Convention[[#This Row],[NumL]],T_TraitDi[#Data],COLUMN(T_TraitDi[Colonne3]),FALSE),""),"[hh]:mm"))</f>
        <v>#N/A</v>
      </c>
      <c r="AB85" s="284" t="e">
        <f>IF(VLOOKUP(T_Convention[[#This Row],[NumL]],T_TraitDi[#Data],COLUMN(T_TraitDi[Colonne4]),FALSE)=0,"",TEXT(IFERROR(VLOOKUP(T_Convention[[#This Row],[NumL]],T_TraitDi[#Data],COLUMN(T_TraitDi[Colonne4]),FALSE),""),"[hh]:mm"))</f>
        <v>#N/A</v>
      </c>
      <c r="AC85" s="284" t="e">
        <f>IF(VLOOKUP(T_Convention[[#This Row],[NumL]],T_TraitDi[#Data],COLUMN(T_TraitDi[Colonne5]),FALSE)=0,"",TEXT(IFERROR(VLOOKUP(T_Convention[[#This Row],[NumL]],T_TraitDi[#Data],COLUMN(T_TraitDi[Colonne5]),FALSE),""),"[hh]:mm"))</f>
        <v>#N/A</v>
      </c>
      <c r="AD85" s="284" t="e">
        <f>IF(VLOOKUP(T_Convention[[#This Row],[NumL]],T_TraitDi[#Data],COLUMN(T_TraitDi[Colonne6]),FALSE)=0,"",TEXT(IFERROR(VLOOKUP(T_Convention[[#This Row],[NumL]],T_TraitDi[#Data],COLUMN(T_TraitDi[Colonne6]),FALSE),""),"[hh]:mm"))</f>
        <v>#N/A</v>
      </c>
      <c r="AE85" s="284" t="e">
        <f>IF(VLOOKUP(T_Convention[[#This Row],[NumL]],T_TraitDi[#Data],COLUMN(T_TraitDi[Colonne7]),FALSE)=0,"",TEXT(IFERROR(VLOOKUP(T_Convention[[#This Row],[NumL]],T_TraitDi[#Data],COLUMN(T_TraitDi[Colonne7]),FALSE),""),"[hh]:mm"))</f>
        <v>#N/A</v>
      </c>
      <c r="AF85" s="284" t="e">
        <f>IF(VLOOKUP(T_Convention[[#This Row],[NumL]],T_TraitDi[#Data],COLUMN(T_TraitDi[Colonne8]),FALSE)=0,"",TEXT(IFERROR(VLOOKUP(T_Convention[[#This Row],[NumL]],T_TraitDi[#Data],COLUMN(T_TraitDi[Colonne8]),FALSE),""),"[hh]:mm"))</f>
        <v>#N/A</v>
      </c>
      <c r="AG85" s="284" t="str">
        <f>IFERROR(VLOOKUP(T_Convention[[#This Row],[NumL]],T_TraitDi[#Data],COLUMN(T_TraitDi[Mardi]),FALSE),"")</f>
        <v/>
      </c>
      <c r="AH85" s="284" t="e">
        <f>IF(VLOOKUP(T_Convention[[#This Row],[NumL]],T_TraitDi[#Data],COLUMN(T_TraitDi[Colonne1]),FALSE)=0,"",TEXT(IFERROR(VLOOKUP(T_Convention[[#This Row],[NumL]],T_TraitDi[#Data],COLUMN(T_TraitDi[Colonne1]),FALSE),""),"[hh]:mm"))</f>
        <v>#N/A</v>
      </c>
      <c r="AI85" s="284" t="e">
        <f>IF(VLOOKUP(T_Convention[[#This Row],[NumL]],T_TraitDi[#Data],COLUMN(T_TraitDi[Colonne9]),FALSE)=0,"",TEXT(IFERROR(VLOOKUP(T_Convention[[#This Row],[NumL]],T_TraitDi[#Data],COLUMN(T_TraitDi[Colonne9]),FALSE),""),"[hh]:mm"))</f>
        <v>#N/A</v>
      </c>
      <c r="AJ85" s="284" t="str">
        <f>IFERROR(VLOOKUP(T_Convention[[#This Row],[NumL]],T_TraitDi[#Data],COLUMN(T_TraitDi[Colonne10]),FALSE),"")</f>
        <v/>
      </c>
      <c r="AK85" s="284" t="e">
        <f>IF(VLOOKUP(T_Convention[[#This Row],[NumL]],T_TraitDi[#Data],COLUMN(T_TraitDi[Colonne11]),FALSE)=0,"",TEXT(IFERROR(VLOOKUP(T_Convention[[#This Row],[NumL]],T_TraitDi[#Data],COLUMN(T_TraitDi[Colonne11]),FALSE),""),"[hh]:mm"))</f>
        <v>#N/A</v>
      </c>
      <c r="AL85" s="284" t="e">
        <f>IF(VLOOKUP(T_Convention[[#This Row],[NumL]],T_TraitDi[#Data],COLUMN(T_TraitDi[Colonne12]),FALSE)=0,"",TEXT(IFERROR(VLOOKUP(T_Convention[[#This Row],[NumL]],T_TraitDi[#Data],COLUMN(T_TraitDi[Colonne12]),FALSE),""),"[hh]:mm"))</f>
        <v>#N/A</v>
      </c>
      <c r="AM85" s="284" t="e">
        <f>IF(VLOOKUP(T_Convention[[#This Row],[NumL]],T_TraitDi[#Data],COLUMN(T_TraitDi[Colonne14]),FALSE)=0,"",TEXT(IFERROR(VLOOKUP(T_Convention[[#This Row],[NumL]],T_TraitDi[#Data],COLUMN(T_TraitDi[Colonne14]),FALSE),""),"[hh]:mm"))</f>
        <v>#N/A</v>
      </c>
      <c r="AN85" s="284" t="str">
        <f>IFERROR(VLOOKUP(T_Convention[[#This Row],[NumL]],T_TraitDi[#Data],COLUMN(T_TraitDi[Mercredi]),FALSE),"")</f>
        <v/>
      </c>
      <c r="AO85" s="284" t="e">
        <f>IF(VLOOKUP(T_Convention[[#This Row],[NumL]],T_TraitDi[#Data],COLUMN(T_TraitDi[Colonne15]),FALSE)=0,"",TEXT(IFERROR(VLOOKUP(T_Convention[[#This Row],[NumL]],T_TraitDi[#Data],COLUMN(T_TraitDi[Colonne15]),FALSE),""),"[hh]:mm"))</f>
        <v>#N/A</v>
      </c>
      <c r="AP85" s="284" t="e">
        <f>IF(VLOOKUP(T_Convention[[#This Row],[NumL]],T_TraitDi[#Data],COLUMN(T_TraitDi[Colonne16]),FALSE)=0,"",TEXT(IFERROR(VLOOKUP(T_Convention[[#This Row],[NumL]],T_TraitDi[#Data],COLUMN(T_TraitDi[Colonne16]),FALSE),""),"[hh]:mm"))</f>
        <v>#N/A</v>
      </c>
      <c r="AQ85" s="284" t="str">
        <f>IFERROR(VLOOKUP(T_Convention[[#This Row],[NumL]],T_TraitDi[#Data],COLUMN(T_TraitDi[Colonne17]),FALSE),"")</f>
        <v/>
      </c>
      <c r="AR85" s="284" t="e">
        <f>IF(VLOOKUP(T_Convention[[#This Row],[NumL]],T_TraitDi[#Data],COLUMN(T_TraitDi[Colonne18]),FALSE)=0,"",TEXT(IFERROR(VLOOKUP(T_Convention[[#This Row],[NumL]],T_TraitDi[#Data],COLUMN(T_TraitDi[Colonne18]),FALSE),""),"[hh]:mm"))</f>
        <v>#N/A</v>
      </c>
      <c r="AS85" s="284" t="e">
        <f>IF(VLOOKUP(T_Convention[[#This Row],[NumL]],T_TraitDi[#Data],COLUMN(T_TraitDi[Colonne19]),FALSE)=0,"",TEXT(IFERROR(VLOOKUP(T_Convention[[#This Row],[NumL]],T_TraitDi[#Data],COLUMN(T_TraitDi[Colonne19]),FALSE),""),"[hh]:mm"))</f>
        <v>#N/A</v>
      </c>
      <c r="AT85" s="284" t="e">
        <f>IF(VLOOKUP(T_Convention[[#This Row],[NumL]],T_TraitDi[#Data],COLUMN(T_TraitDi[Colonne20]),FALSE)=0,"",TEXT(IFERROR(VLOOKUP(T_Convention[[#This Row],[NumL]],T_TraitDi[#Data],COLUMN(T_TraitDi[Colonne20]),FALSE),""),"[hh]:mm"))</f>
        <v>#N/A</v>
      </c>
      <c r="AU85" s="284" t="str">
        <f>IFERROR(VLOOKUP(T_Convention[[#This Row],[NumL]],T_TraitDi[#Data],COLUMN(T_TraitDi[Jeudi]),FALSE),"")</f>
        <v/>
      </c>
      <c r="AV85" s="284" t="e">
        <f>IF(VLOOKUP(T_Convention[[#This Row],[NumL]],T_TraitDi[#Data],COLUMN(T_TraitDi[Colonne21]),FALSE)=0,"",TEXT(IFERROR(VLOOKUP(T_Convention[[#This Row],[NumL]],T_TraitDi[#Data],COLUMN(T_TraitDi[Colonne21]),FALSE),""),"[hh]:mm"))</f>
        <v>#N/A</v>
      </c>
      <c r="AW85" s="284" t="e">
        <f>IF(VLOOKUP(T_Convention[[#This Row],[NumL]],T_TraitDi[#Data],COLUMN(T_TraitDi[Colonne22]),FALSE)=0,"",TEXT(IFERROR(VLOOKUP(T_Convention[[#This Row],[NumL]],T_TraitDi[#Data],COLUMN(T_TraitDi[Colonne22]),FALSE),""),"[hh]:mm"))</f>
        <v>#N/A</v>
      </c>
      <c r="AX85" s="284" t="str">
        <f>IFERROR(VLOOKUP(T_Convention[[#This Row],[NumL]],T_TraitDi[#Data],COLUMN(T_TraitDi[Colonne23]),FALSE),"")</f>
        <v/>
      </c>
      <c r="AY85" s="284" t="e">
        <f>IF(VLOOKUP(T_Convention[[#This Row],[NumL]],T_TraitDi[#Data],COLUMN(T_TraitDi[Colonne24]),FALSE)=0,"",TEXT(IFERROR(VLOOKUP(T_Convention[[#This Row],[NumL]],T_TraitDi[#Data],COLUMN(T_TraitDi[Colonne24]),FALSE),""),"[hh]:mm"))</f>
        <v>#N/A</v>
      </c>
      <c r="AZ85" s="284" t="e">
        <f>IF(VLOOKUP(T_Convention[[#This Row],[NumL]],T_TraitDi[#Data],COLUMN(T_TraitDi[Colonne25]),FALSE)=0,"",TEXT(IFERROR(VLOOKUP(T_Convention[[#This Row],[NumL]],T_TraitDi[#Data],COLUMN(T_TraitDi[Colonne25]),FALSE),""),"[hh]:mm"))</f>
        <v>#N/A</v>
      </c>
      <c r="BA85" s="284" t="e">
        <f>IF(VLOOKUP(T_Convention[[#This Row],[NumL]],T_TraitDi[#Data],COLUMN(T_TraitDi[Colonne26]),FALSE)=0,"",TEXT(IFERROR(VLOOKUP(T_Convention[[#This Row],[NumL]],T_TraitDi[#Data],COLUMN(T_TraitDi[Colonne26]),FALSE),""),"[hh]:mm"))</f>
        <v>#N/A</v>
      </c>
      <c r="BB85" s="284" t="str">
        <f>IFERROR(VLOOKUP(T_Convention[[#This Row],[NumL]],T_TraitDi[#Data],COLUMN(T_TraitDi[Vendredi]),FALSE),"")</f>
        <v/>
      </c>
      <c r="BC85" s="284" t="e">
        <f>IF(VLOOKUP(T_Convention[[#This Row],[NumL]],T_TraitDi[#Data],COLUMN(T_TraitDi[Colonne27]),FALSE)=0,"",TEXT(IFERROR(VLOOKUP(T_Convention[[#This Row],[NumL]],T_TraitDi[#Data],COLUMN(T_TraitDi[Colonne27]),FALSE),""),"[hh]:mm"))</f>
        <v>#N/A</v>
      </c>
      <c r="BD85" s="284" t="e">
        <f>IF(VLOOKUP(T_Convention[[#This Row],[NumL]],T_TraitDi[#Data],COLUMN(T_TraitDi[Colonne28]),FALSE)=0,"",TEXT(IFERROR(VLOOKUP(T_Convention[[#This Row],[NumL]],T_TraitDi[#Data],COLUMN(T_TraitDi[Colonne28]),FALSE),""),"[hh]:mm"))</f>
        <v>#N/A</v>
      </c>
      <c r="BE85" s="284" t="str">
        <f>IFERROR(VLOOKUP(T_Convention[[#This Row],[NumL]],T_TraitDi[#Data],COLUMN(T_TraitDi[Colonne29]),FALSE),"")</f>
        <v/>
      </c>
      <c r="BF85" s="284" t="e">
        <f>IF(VLOOKUP(T_Convention[[#This Row],[NumL]],T_TraitDi[#Data],COLUMN(T_TraitDi[Colonne30]),FALSE)=0,"",TEXT(IFERROR(VLOOKUP(T_Convention[[#This Row],[NumL]],T_TraitDi[#Data],COLUMN(T_TraitDi[Colonne30]),FALSE),""),"[hh]:mm"))</f>
        <v>#N/A</v>
      </c>
      <c r="BG85" s="284" t="e">
        <f>IF(VLOOKUP(T_Convention[[#This Row],[NumL]],T_TraitDi[#Data],COLUMN(T_TraitDi[Colonne31]),FALSE)=0,"",TEXT(IFERROR(VLOOKUP(T_Convention[[#This Row],[NumL]],T_TraitDi[#Data],COLUMN(T_TraitDi[Colonne31]),FALSE),""),"[hh]:mm"))</f>
        <v>#N/A</v>
      </c>
      <c r="BH85" s="284" t="e">
        <f>IF(VLOOKUP(T_Convention[[#This Row],[NumL]],T_TraitDi[#Data],COLUMN(T_TraitDi[Colonne32]),FALSE)=0,"",TEXT(IFERROR(VLOOKUP(T_Convention[[#This Row],[NumL]],T_TraitDi[#Data],COLUMN(T_TraitDi[Colonne32]),FALSE),""),"[hh]:mm"))</f>
        <v>#N/A</v>
      </c>
      <c r="BI85" s="284" t="str">
        <f>IFERROR(VLOOKUP(T_Convention[[#This Row],[NumL]],T_TraitDi[#Data],COLUMN(T_TraitDi[NbJTW]),FALSE),"")</f>
        <v/>
      </c>
      <c r="BJ85" s="284" t="e">
        <f>IF(VLOOKUP(T_Convention[[#This Row],[NumL]],T_TraitDi[#Data],COLUMN(T_TraitDi[NbhTW]),FALSE)=0,"",TEXT(IFERROR(VLOOKUP(T_Convention[[#This Row],[NumL]],T_TraitDi[#Data],COLUMN(T_TraitDi[NbhTW]),FALSE),""),"[hh]:mm"))</f>
        <v>#N/A</v>
      </c>
      <c r="BK85" s="286" t="e">
        <f>IF(VLOOKUP(T_Convention[[#This Row],[NumL]],T_TraitDi[#Data],COLUMN(T_TraitDi[Nbhheb]),FALSE)=0,"",TEXT(IFERROR(VLOOKUP(T_Convention[[#This Row],[NumL]],T_TraitDi[#Data],COLUMN(T_TraitDi[Nbhheb]),FALSE),""),"[hh]:mm"))</f>
        <v>#N/A</v>
      </c>
      <c r="BL85" s="287" t="str">
        <f>IFERROR(VLOOKUP(VLOOKUP(T_Convention[[#This Row],[NumL]],T_TraitDi[#Data],COLUMN(T_TraitDi[Type1]),FALSE),TypeTW,2,FALSE),"")</f>
        <v/>
      </c>
      <c r="BM85" s="288" t="str">
        <f>IFERROR(VLOOKUP(T_Convention[[#This Row],[NumL]],T_TraitDi[#Data],COLUMN(T_TraitDi[Rue1]),FALSE),"")</f>
        <v/>
      </c>
      <c r="BN85" s="289" t="str">
        <f>IFERROR(VLOOKUP(T_Convention[[#This Row],[NumL]],T_TraitDi[#Data],COLUMN(T_TraitDi[CP1]),FALSE),"")</f>
        <v/>
      </c>
      <c r="BO85" s="282" t="str">
        <f>IFERROR(VLOOKUP(T_Convention[[#This Row],[NumL]],T_TraitDi[#Data],COLUMN(T_TraitDi[VILLE1]),FALSE),"")</f>
        <v/>
      </c>
      <c r="BP85" s="290" t="str">
        <f>IFERROR(VLOOKUP(VLOOKUP(T_Convention[[#This Row],[NumL]],T_TraitDi[#Data],COLUMN(T_TraitDi[Type2]),FALSE),TypeTW,2,FALSE),"")</f>
        <v/>
      </c>
      <c r="BQ85" s="182" t="str">
        <f>IFERROR(VLOOKUP(T_Convention[[#This Row],[NumL]],T_TraitDi[#Data],COLUMN(T_TraitDi[Rue2]),FALSE),"")</f>
        <v/>
      </c>
      <c r="BR85" s="173" t="str">
        <f>IFERROR(VLOOKUP(T_Convention[[#This Row],[NumL]],T_TraitDi[#Data],COLUMN(T_TraitDi[CP2]),FALSE),"")</f>
        <v/>
      </c>
      <c r="BS85" s="173" t="str">
        <f>IFERROR(VLOOKUP(T_Convention[[#This Row],[NumL]],T_TraitDi[#Data],COLUMN(T_TraitDi[VILLE2]),FALSE),"")</f>
        <v/>
      </c>
      <c r="BT85" s="182" t="str">
        <f>IF(VLOOKUP(T_Convention[[#This Row],[NumL]],T_Equipement[#Data],COLUMN(T_Equipement[PC]),FALSE)="","Aucun équipement spécifique directement lié au télétravail",VLOOKUP(T_Convention[[#This Row],[NumL]],T_Equipement[#Data],COLUMN(T_Equipement[PC]),FALSE))</f>
        <v xml:space="preserve">20-428	</v>
      </c>
      <c r="BU85" s="166" t="str">
        <f>IFERROR(IF(VLOOKUP(T_Convention[[#This Row],[NumL]],T_TraitDi[#Data],COLUMN(T_TraitDi[Plan]),FALSE)="OK","Un planning spécifique de télétravail est annexé à la présente convention.",""),"")</f>
        <v/>
      </c>
      <c r="BV85" s="185" t="s">
        <v>3485</v>
      </c>
      <c r="BW85" s="164" t="e">
        <f>IF(VLOOKUP(T_Convention[[#This Row],[NumL]],T_suiviDi[#Data],COLUMN(T_suiviDi[Entité]),FALSE)="","",VLOOKUP(T_Convention[[#This Row],[NumL]],T_suiviDi[#Data],COLUMN(T_suiviDi[Entité]),FALSE))</f>
        <v>#N/A</v>
      </c>
      <c r="BX85" s="164" t="str">
        <f>IF(VLOOKUP(T_Convention[[#This Row],[NumL]],T_Commission[#Data],COLUMN(T_Commission[envoi confirm TW]),FALSE)="","",VLOOKUP(T_Convention[[#This Row],[NumL]],T_Commission[#Data],COLUMN(T_Commission[envoi confirm TW]),FALSE))</f>
        <v>Oui</v>
      </c>
      <c r="BY8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5" s="264">
        <f>VLOOKUP(T_Convention[[#This Row],[NumL]],T_Commission[#Data],COLUMN(T_Commission[Commentaire]),FALSE)</f>
        <v>0</v>
      </c>
      <c r="CA85" s="254" t="str">
        <f>IF(VLOOKUP(T_Convention[[#This Row],[NumL]],T_Commission[#Data],COLUMN(T_Commission[Encadrant Email]),FALSE)="","",VLOOKUP(T_Convention[[#This Row],[NumL]],T_Commission[#Data],COLUMN(T_Commission[Encadrant Email]),FALSE))</f>
        <v/>
      </c>
      <c r="CB85" s="352" t="e">
        <f>VLOOKUP(T_Convention[[#This Row],[NumL]],T_TraitDi[#Data],COLUMN(T_TraitDi[NbJTot]),FALSE)</f>
        <v>#N/A</v>
      </c>
      <c r="CC85" s="352" t="e">
        <f>VLOOKUP(T_Convention[[#This Row],[NumL]],T_TraitDi[#Data],COLUMN(T_TraitDi[Reg Ponct]),FALSE)</f>
        <v>#N/A</v>
      </c>
      <c r="CD85" s="348" t="str">
        <f>IF(T_Convention[[#This Row],[Final]]&lt;&gt;"",VLOOKUP(T_Convention[[#This Row],[NumL]],T_suiviDi[#Data],COLUMN((T_suiviDi[Statut])),FALSE),"")</f>
        <v/>
      </c>
    </row>
    <row r="86" spans="1:82" s="106" customFormat="1" ht="18.75" customHeight="1" x14ac:dyDescent="0.25">
      <c r="A86" s="160">
        <v>222</v>
      </c>
      <c r="B86" s="161" t="str">
        <f>VLOOKUP(T_Convention[[#This Row],[NumL]],T_Commission[#Data],COLUMN(T_Commission[FINAL]),FALSE)</f>
        <v/>
      </c>
      <c r="C86" s="162"/>
      <c r="D86" s="95" t="e">
        <f>IF(VLOOKUP(T_Convention[[#This Row],[NumL]],T_TraitDi[#Data],COLUMN(T_TraitDi[WebC]),FALSE)="","",VLOOKUP(T_Convention[[#This Row],[NumL]],T_TraitDi[#Data],COLUMN(T_TraitDi[WebC]),FALSE))</f>
        <v>#N/A</v>
      </c>
      <c r="E86" s="163" t="str">
        <f t="shared" si="5"/>
        <v>12 janvier 2021</v>
      </c>
      <c r="F86" s="282" t="str">
        <f>IF(T_Convention[[#This Row],[Final]]&lt;&gt;"",VLOOKUP(T_Convention[[#This Row],[NumL]],T_suiviDi[#Data],COLUMN((T_suiviDi[Civ.])),FALSE),"")</f>
        <v/>
      </c>
      <c r="G86" s="283" t="str">
        <f>IF(T_Convention[[#This Row],[Final]]&lt;&gt;"",VLOOKUP(T_Convention[[#This Row],[NumL]],T_suiviDi[#Data],COLUMN((T_suiviDi[Nom])),FALSE),"")</f>
        <v/>
      </c>
      <c r="H86" s="282" t="str">
        <f>IF(T_Convention[[#This Row],[Final]]&lt;&gt;"",VLOOKUP(T_Convention[[#This Row],[NumL]],T_suiviDi[#Data],COLUMN((T_suiviDi[Prénom])),FALSE),"")</f>
        <v/>
      </c>
      <c r="I86" s="282" t="e">
        <f>VLOOKUP(T_Convention[[#This Row],[NumL]],T_suiviDi[#Data],COLUMN((T_suiviDi[[#This Row],[Email]])),FALSE)</f>
        <v>#VALUE!</v>
      </c>
      <c r="J86" s="282" t="e">
        <f>IF(VLOOKUP(T_Convention[[#This Row],[NumL]],T_suiviDi[#Data],COLUMN(T_suiviDi[[#This Row],[Fonction]]),FALSE)="","",VLOOKUP(T_Convention[[#This Row],[NumL]],T_suiviDi[#Data],COLUMN(T_suiviDi[[#This Row],[Fonction]]),FALSE))</f>
        <v>#VALUE!</v>
      </c>
      <c r="K86" s="282" t="e">
        <f>IF(VLOOKUP(T_Convention[[#This Row],[NumL]],T_suiviDi[#Data],COLUMN(T_suiviDi[[#This Row],[Grade]]),FALSE)="","",VLOOKUP(T_Convention[[#This Row],[NumL]],T_suiviDi[#Data],COLUMN(T_suiviDi[[#This Row],[Grade]]),FALSE))</f>
        <v>#VALUE!</v>
      </c>
      <c r="L86" s="282" t="e">
        <f>IF(VLOOKUP(T_Convention[[#This Row],[NumL]],T_suiviDi[#Data],COLUMN(T_suiviDi[[#This Row],[Service ]]),FALSE)="","",VLOOKUP(T_Convention[[#This Row],[NumL]],T_suiviDi[#Data],COLUMN(T_suiviDi[[#This Row],[Service ]]),FALSE))</f>
        <v>#VALUE!</v>
      </c>
      <c r="M86" s="164" t="str">
        <f t="shared" si="6"/>
        <v>01 septembre 2021</v>
      </c>
      <c r="N86" s="164" t="str">
        <f t="shared" si="7"/>
        <v>30 novembre 2021</v>
      </c>
      <c r="O86" s="284" t="str">
        <f t="shared" si="8"/>
        <v>30 novembre 2021</v>
      </c>
      <c r="P86" s="282" t="e">
        <f>IF(VLOOKUP(T_Convention[[#This Row],[NumL]],T_TraitDi[#Data],COLUMN(T_TraitDi[M1]),FALSE)="","",VLOOKUP(T_Convention[[#This Row],[NumL]],T_TraitDi[#Data],COLUMN(T_TraitDi[M1]),FALSE))</f>
        <v>#N/A</v>
      </c>
      <c r="Q86" s="282" t="e">
        <f>IF(VLOOKUP(T_Convention[[#This Row],[NumL]],T_TraitDi[#Data],COLUMN(T_TraitDi[M2]),FALSE)="","",VLOOKUP(T_Convention[[#This Row],[NumL]],T_TraitDi[#Data],COLUMN(T_TraitDi[M2]),FALSE))</f>
        <v>#N/A</v>
      </c>
      <c r="R86" s="282" t="e">
        <f>IF(VLOOKUP(T_Convention[[#This Row],[NumL]],T_TraitDi[#Data],COLUMN(T_TraitDi[M3]),FALSE)="","",VLOOKUP(T_Convention[[#This Row],[NumL]],T_TraitDi[#Data],COLUMN(T_TraitDi[M3]),FALSE))</f>
        <v>#N/A</v>
      </c>
      <c r="S86" s="282" t="e">
        <f>IF(VLOOKUP(T_Convention[[#This Row],[NumL]],T_TraitDi[#Data],COLUMN(T_TraitDi[M4]),FALSE)="","",VLOOKUP(T_Convention[[#This Row],[NumL]],T_TraitDi[#Data],COLUMN(T_TraitDi[M4]),FALSE))</f>
        <v>#N/A</v>
      </c>
      <c r="T86" s="282" t="e">
        <f>IF(VLOOKUP(T_Convention[[#This Row],[NumL]],T_TraitDi[#Data],COLUMN(T_TraitDi[M5]),FALSE)="","",VLOOKUP(T_Convention[[#This Row],[NumL]],T_TraitDi[#Data],COLUMN(T_TraitDi[M5]),FALSE))</f>
        <v>#N/A</v>
      </c>
      <c r="U86" s="282" t="e">
        <f>IF(VLOOKUP(T_Convention[[#This Row],[NumL]],T_TraitDi[#Data],COLUMN(T_TraitDi[M6]),FALSE)="","",VLOOKUP(T_Convention[[#This Row],[NumL]],T_TraitDi[#Data],COLUMN(T_TraitDi[M6]),FALSE))</f>
        <v>#N/A</v>
      </c>
      <c r="V86" s="176" t="e">
        <f t="shared" si="9"/>
        <v>#N/A</v>
      </c>
      <c r="W86" s="284" t="str">
        <f>IFERROR(TEXT(VLOOKUP(T_Convention[[#This Row],[NumL]],T_TraitDi[#Data],COLUMN(T_TraitDi[Q2]),FALSE),"###%"),"")</f>
        <v/>
      </c>
      <c r="X86" s="97" t="e">
        <f>VLOOKUP(T_Convention[[#This Row],[NumL]],T_TraitDi[#Data],COLUMN(T_TraitDi[Reg Ponct]),FALSE)</f>
        <v>#N/A</v>
      </c>
      <c r="Y86" s="97" t="e">
        <f>VLOOKUP(T_Convention[NumL],T_TraitDi[#Data],COLUMN(T_TraitDi[Jours flottants]),FALSE)</f>
        <v>#N/A</v>
      </c>
      <c r="Z86" s="284" t="str">
        <f>IFERROR(VLOOKUP(T_Convention[[#This Row],[NumL]],T_TraitDi[#Data],COLUMN(T_TraitDi[Lundi]),FALSE),"")</f>
        <v/>
      </c>
      <c r="AA86" s="284" t="e">
        <f>IF(VLOOKUP(T_Convention[[#This Row],[NumL]],T_TraitDi[#Data],COLUMN(T_TraitDi[Colonne3]),FALSE)=0,"",TEXT(IFERROR(VLOOKUP(T_Convention[[#This Row],[NumL]],T_TraitDi[#Data],COLUMN(T_TraitDi[Colonne3]),FALSE),""),"[hh]:mm"))</f>
        <v>#N/A</v>
      </c>
      <c r="AB86" s="284" t="e">
        <f>IF(VLOOKUP(T_Convention[[#This Row],[NumL]],T_TraitDi[#Data],COLUMN(T_TraitDi[Colonne4]),FALSE)=0,"",TEXT(IFERROR(VLOOKUP(T_Convention[[#This Row],[NumL]],T_TraitDi[#Data],COLUMN(T_TraitDi[Colonne4]),FALSE),""),"[hh]:mm"))</f>
        <v>#N/A</v>
      </c>
      <c r="AC86" s="284" t="e">
        <f>IF(VLOOKUP(T_Convention[[#This Row],[NumL]],T_TraitDi[#Data],COLUMN(T_TraitDi[Colonne5]),FALSE)=0,"",TEXT(IFERROR(VLOOKUP(T_Convention[[#This Row],[NumL]],T_TraitDi[#Data],COLUMN(T_TraitDi[Colonne5]),FALSE),""),"[hh]:mm"))</f>
        <v>#N/A</v>
      </c>
      <c r="AD86" s="284" t="e">
        <f>IF(VLOOKUP(T_Convention[[#This Row],[NumL]],T_TraitDi[#Data],COLUMN(T_TraitDi[Colonne6]),FALSE)=0,"",TEXT(IFERROR(VLOOKUP(T_Convention[[#This Row],[NumL]],T_TraitDi[#Data],COLUMN(T_TraitDi[Colonne6]),FALSE),""),"[hh]:mm"))</f>
        <v>#N/A</v>
      </c>
      <c r="AE86" s="284" t="e">
        <f>IF(VLOOKUP(T_Convention[[#This Row],[NumL]],T_TraitDi[#Data],COLUMN(T_TraitDi[Colonne7]),FALSE)=0,"",TEXT(IFERROR(VLOOKUP(T_Convention[[#This Row],[NumL]],T_TraitDi[#Data],COLUMN(T_TraitDi[Colonne7]),FALSE),""),"[hh]:mm"))</f>
        <v>#N/A</v>
      </c>
      <c r="AF86" s="284" t="e">
        <f>IF(VLOOKUP(T_Convention[[#This Row],[NumL]],T_TraitDi[#Data],COLUMN(T_TraitDi[Colonne8]),FALSE)=0,"",TEXT(IFERROR(VLOOKUP(T_Convention[[#This Row],[NumL]],T_TraitDi[#Data],COLUMN(T_TraitDi[Colonne8]),FALSE),""),"[hh]:mm"))</f>
        <v>#N/A</v>
      </c>
      <c r="AG86" s="284" t="str">
        <f>IFERROR(VLOOKUP(T_Convention[[#This Row],[NumL]],T_TraitDi[#Data],COLUMN(T_TraitDi[Mardi]),FALSE),"")</f>
        <v/>
      </c>
      <c r="AH86" s="284" t="e">
        <f>IF(VLOOKUP(T_Convention[[#This Row],[NumL]],T_TraitDi[#Data],COLUMN(T_TraitDi[Colonne1]),FALSE)=0,"",TEXT(IFERROR(VLOOKUP(T_Convention[[#This Row],[NumL]],T_TraitDi[#Data],COLUMN(T_TraitDi[Colonne1]),FALSE),""),"[hh]:mm"))</f>
        <v>#N/A</v>
      </c>
      <c r="AI86" s="284" t="e">
        <f>IF(VLOOKUP(T_Convention[[#This Row],[NumL]],T_TraitDi[#Data],COLUMN(T_TraitDi[Colonne9]),FALSE)=0,"",TEXT(IFERROR(VLOOKUP(T_Convention[[#This Row],[NumL]],T_TraitDi[#Data],COLUMN(T_TraitDi[Colonne9]),FALSE),""),"[hh]:mm"))</f>
        <v>#N/A</v>
      </c>
      <c r="AJ86" s="284" t="str">
        <f>IFERROR(VLOOKUP(T_Convention[[#This Row],[NumL]],T_TraitDi[#Data],COLUMN(T_TraitDi[Colonne10]),FALSE),"")</f>
        <v/>
      </c>
      <c r="AK86" s="284" t="e">
        <f>IF(VLOOKUP(T_Convention[[#This Row],[NumL]],T_TraitDi[#Data],COLUMN(T_TraitDi[Colonne11]),FALSE)=0,"",TEXT(IFERROR(VLOOKUP(T_Convention[[#This Row],[NumL]],T_TraitDi[#Data],COLUMN(T_TraitDi[Colonne11]),FALSE),""),"[hh]:mm"))</f>
        <v>#N/A</v>
      </c>
      <c r="AL86" s="284" t="e">
        <f>IF(VLOOKUP(T_Convention[[#This Row],[NumL]],T_TraitDi[#Data],COLUMN(T_TraitDi[Colonne12]),FALSE)=0,"",TEXT(IFERROR(VLOOKUP(T_Convention[[#This Row],[NumL]],T_TraitDi[#Data],COLUMN(T_TraitDi[Colonne12]),FALSE),""),"[hh]:mm"))</f>
        <v>#N/A</v>
      </c>
      <c r="AM86" s="284" t="e">
        <f>IF(VLOOKUP(T_Convention[[#This Row],[NumL]],T_TraitDi[#Data],COLUMN(T_TraitDi[Colonne14]),FALSE)=0,"",TEXT(IFERROR(VLOOKUP(T_Convention[[#This Row],[NumL]],T_TraitDi[#Data],COLUMN(T_TraitDi[Colonne14]),FALSE),""),"[hh]:mm"))</f>
        <v>#N/A</v>
      </c>
      <c r="AN86" s="284" t="str">
        <f>IFERROR(VLOOKUP(T_Convention[[#This Row],[NumL]],T_TraitDi[#Data],COLUMN(T_TraitDi[Mercredi]),FALSE),"")</f>
        <v/>
      </c>
      <c r="AO86" s="284" t="e">
        <f>IF(VLOOKUP(T_Convention[[#This Row],[NumL]],T_TraitDi[#Data],COLUMN(T_TraitDi[Colonne15]),FALSE)=0,"",TEXT(IFERROR(VLOOKUP(T_Convention[[#This Row],[NumL]],T_TraitDi[#Data],COLUMN(T_TraitDi[Colonne15]),FALSE),""),"[hh]:mm"))</f>
        <v>#N/A</v>
      </c>
      <c r="AP86" s="284" t="e">
        <f>IF(VLOOKUP(T_Convention[[#This Row],[NumL]],T_TraitDi[#Data],COLUMN(T_TraitDi[Colonne16]),FALSE)=0,"",TEXT(IFERROR(VLOOKUP(T_Convention[[#This Row],[NumL]],T_TraitDi[#Data],COLUMN(T_TraitDi[Colonne16]),FALSE),""),"[hh]:mm"))</f>
        <v>#N/A</v>
      </c>
      <c r="AQ86" s="284" t="str">
        <f>IFERROR(VLOOKUP(T_Convention[[#This Row],[NumL]],T_TraitDi[#Data],COLUMN(T_TraitDi[Colonne17]),FALSE),"")</f>
        <v/>
      </c>
      <c r="AR86" s="284" t="e">
        <f>IF(VLOOKUP(T_Convention[[#This Row],[NumL]],T_TraitDi[#Data],COLUMN(T_TraitDi[Colonne18]),FALSE)=0,"",TEXT(IFERROR(VLOOKUP(T_Convention[[#This Row],[NumL]],T_TraitDi[#Data],COLUMN(T_TraitDi[Colonne18]),FALSE),""),"[hh]:mm"))</f>
        <v>#N/A</v>
      </c>
      <c r="AS86" s="284" t="e">
        <f>IF(VLOOKUP(T_Convention[[#This Row],[NumL]],T_TraitDi[#Data],COLUMN(T_TraitDi[Colonne19]),FALSE)=0,"",TEXT(IFERROR(VLOOKUP(T_Convention[[#This Row],[NumL]],T_TraitDi[#Data],COLUMN(T_TraitDi[Colonne19]),FALSE),""),"[hh]:mm"))</f>
        <v>#N/A</v>
      </c>
      <c r="AT86" s="284" t="e">
        <f>IF(VLOOKUP(T_Convention[[#This Row],[NumL]],T_TraitDi[#Data],COLUMN(T_TraitDi[Colonne20]),FALSE)=0,"",TEXT(IFERROR(VLOOKUP(T_Convention[[#This Row],[NumL]],T_TraitDi[#Data],COLUMN(T_TraitDi[Colonne20]),FALSE),""),"[hh]:mm"))</f>
        <v>#N/A</v>
      </c>
      <c r="AU86" s="284" t="str">
        <f>IFERROR(VLOOKUP(T_Convention[[#This Row],[NumL]],T_TraitDi[#Data],COLUMN(T_TraitDi[Jeudi]),FALSE),"")</f>
        <v/>
      </c>
      <c r="AV86" s="284" t="e">
        <f>IF(VLOOKUP(T_Convention[[#This Row],[NumL]],T_TraitDi[#Data],COLUMN(T_TraitDi[Colonne21]),FALSE)=0,"",TEXT(IFERROR(VLOOKUP(T_Convention[[#This Row],[NumL]],T_TraitDi[#Data],COLUMN(T_TraitDi[Colonne21]),FALSE),""),"[hh]:mm"))</f>
        <v>#N/A</v>
      </c>
      <c r="AW86" s="284" t="e">
        <f>IF(VLOOKUP(T_Convention[[#This Row],[NumL]],T_TraitDi[#Data],COLUMN(T_TraitDi[Colonne22]),FALSE)=0,"",TEXT(IFERROR(VLOOKUP(T_Convention[[#This Row],[NumL]],T_TraitDi[#Data],COLUMN(T_TraitDi[Colonne22]),FALSE),""),"[hh]:mm"))</f>
        <v>#N/A</v>
      </c>
      <c r="AX86" s="284" t="str">
        <f>IFERROR(VLOOKUP(T_Convention[[#This Row],[NumL]],T_TraitDi[#Data],COLUMN(T_TraitDi[Colonne23]),FALSE),"")</f>
        <v/>
      </c>
      <c r="AY86" s="284" t="e">
        <f>IF(VLOOKUP(T_Convention[[#This Row],[NumL]],T_TraitDi[#Data],COLUMN(T_TraitDi[Colonne24]),FALSE)=0,"",TEXT(IFERROR(VLOOKUP(T_Convention[[#This Row],[NumL]],T_TraitDi[#Data],COLUMN(T_TraitDi[Colonne24]),FALSE),""),"[hh]:mm"))</f>
        <v>#N/A</v>
      </c>
      <c r="AZ86" s="284" t="e">
        <f>IF(VLOOKUP(T_Convention[[#This Row],[NumL]],T_TraitDi[#Data],COLUMN(T_TraitDi[Colonne25]),FALSE)=0,"",TEXT(IFERROR(VLOOKUP(T_Convention[[#This Row],[NumL]],T_TraitDi[#Data],COLUMN(T_TraitDi[Colonne25]),FALSE),""),"[hh]:mm"))</f>
        <v>#N/A</v>
      </c>
      <c r="BA86" s="284" t="e">
        <f>IF(VLOOKUP(T_Convention[[#This Row],[NumL]],T_TraitDi[#Data],COLUMN(T_TraitDi[Colonne26]),FALSE)=0,"",TEXT(IFERROR(VLOOKUP(T_Convention[[#This Row],[NumL]],T_TraitDi[#Data],COLUMN(T_TraitDi[Colonne26]),FALSE),""),"[hh]:mm"))</f>
        <v>#N/A</v>
      </c>
      <c r="BB86" s="284" t="str">
        <f>IFERROR(VLOOKUP(T_Convention[[#This Row],[NumL]],T_TraitDi[#Data],COLUMN(T_TraitDi[Vendredi]),FALSE),"")</f>
        <v/>
      </c>
      <c r="BC86" s="284" t="e">
        <f>IF(VLOOKUP(T_Convention[[#This Row],[NumL]],T_TraitDi[#Data],COLUMN(T_TraitDi[Colonne27]),FALSE)=0,"",TEXT(IFERROR(VLOOKUP(T_Convention[[#This Row],[NumL]],T_TraitDi[#Data],COLUMN(T_TraitDi[Colonne27]),FALSE),""),"[hh]:mm"))</f>
        <v>#N/A</v>
      </c>
      <c r="BD86" s="284" t="e">
        <f>IF(VLOOKUP(T_Convention[[#This Row],[NumL]],T_TraitDi[#Data],COLUMN(T_TraitDi[Colonne28]),FALSE)=0,"",TEXT(IFERROR(VLOOKUP(T_Convention[[#This Row],[NumL]],T_TraitDi[#Data],COLUMN(T_TraitDi[Colonne28]),FALSE),""),"[hh]:mm"))</f>
        <v>#N/A</v>
      </c>
      <c r="BE86" s="284" t="str">
        <f>IFERROR(VLOOKUP(T_Convention[[#This Row],[NumL]],T_TraitDi[#Data],COLUMN(T_TraitDi[Colonne29]),FALSE),"")</f>
        <v/>
      </c>
      <c r="BF86" s="284" t="e">
        <f>IF(VLOOKUP(T_Convention[[#This Row],[NumL]],T_TraitDi[#Data],COLUMN(T_TraitDi[Colonne30]),FALSE)=0,"",TEXT(IFERROR(VLOOKUP(T_Convention[[#This Row],[NumL]],T_TraitDi[#Data],COLUMN(T_TraitDi[Colonne30]),FALSE),""),"[hh]:mm"))</f>
        <v>#N/A</v>
      </c>
      <c r="BG86" s="284" t="e">
        <f>IF(VLOOKUP(T_Convention[[#This Row],[NumL]],T_TraitDi[#Data],COLUMN(T_TraitDi[Colonne31]),FALSE)=0,"",TEXT(IFERROR(VLOOKUP(T_Convention[[#This Row],[NumL]],T_TraitDi[#Data],COLUMN(T_TraitDi[Colonne31]),FALSE),""),"[hh]:mm"))</f>
        <v>#N/A</v>
      </c>
      <c r="BH86" s="284" t="e">
        <f>IF(VLOOKUP(T_Convention[[#This Row],[NumL]],T_TraitDi[#Data],COLUMN(T_TraitDi[Colonne32]),FALSE)=0,"",TEXT(IFERROR(VLOOKUP(T_Convention[[#This Row],[NumL]],T_TraitDi[#Data],COLUMN(T_TraitDi[Colonne32]),FALSE),""),"[hh]:mm"))</f>
        <v>#N/A</v>
      </c>
      <c r="BI86" s="284" t="str">
        <f>IFERROR(VLOOKUP(T_Convention[[#This Row],[NumL]],T_TraitDi[#Data],COLUMN(T_TraitDi[NbJTW]),FALSE),"")</f>
        <v/>
      </c>
      <c r="BJ86" s="284" t="e">
        <f>IF(VLOOKUP(T_Convention[[#This Row],[NumL]],T_TraitDi[#Data],COLUMN(T_TraitDi[NbhTW]),FALSE)=0,"",TEXT(IFERROR(VLOOKUP(T_Convention[[#This Row],[NumL]],T_TraitDi[#Data],COLUMN(T_TraitDi[NbhTW]),FALSE),""),"[hh]:mm"))</f>
        <v>#N/A</v>
      </c>
      <c r="BK86" s="286" t="e">
        <f>IF(VLOOKUP(T_Convention[[#This Row],[NumL]],T_TraitDi[#Data],COLUMN(T_TraitDi[Nbhheb]),FALSE)=0,"",TEXT(IFERROR(VLOOKUP(T_Convention[[#This Row],[NumL]],T_TraitDi[#Data],COLUMN(T_TraitDi[Nbhheb]),FALSE),""),"[hh]:mm"))</f>
        <v>#N/A</v>
      </c>
      <c r="BL86" s="287" t="str">
        <f>IFERROR(VLOOKUP(VLOOKUP(T_Convention[[#This Row],[NumL]],T_TraitDi[#Data],COLUMN(T_TraitDi[Type1]),FALSE),TypeTW,2,FALSE),"")</f>
        <v/>
      </c>
      <c r="BM86" s="288" t="str">
        <f>IFERROR(VLOOKUP(T_Convention[[#This Row],[NumL]],T_TraitDi[#Data],COLUMN(T_TraitDi[Rue1]),FALSE),"")</f>
        <v/>
      </c>
      <c r="BN86" s="289" t="str">
        <f>IFERROR(VLOOKUP(T_Convention[[#This Row],[NumL]],T_TraitDi[#Data],COLUMN(T_TraitDi[CP1]),FALSE),"")</f>
        <v/>
      </c>
      <c r="BO86" s="282" t="str">
        <f>IFERROR(VLOOKUP(T_Convention[[#This Row],[NumL]],T_TraitDi[#Data],COLUMN(T_TraitDi[VILLE1]),FALSE),"")</f>
        <v/>
      </c>
      <c r="BP86" s="290" t="str">
        <f>IFERROR(VLOOKUP(VLOOKUP(T_Convention[[#This Row],[NumL]],T_TraitDi[#Data],COLUMN(T_TraitDi[Type2]),FALSE),TypeTW,2,FALSE),"")</f>
        <v/>
      </c>
      <c r="BQ86" s="182" t="str">
        <f>IFERROR(VLOOKUP(T_Convention[[#This Row],[NumL]],T_TraitDi[#Data],COLUMN(T_TraitDi[Rue2]),FALSE),"")</f>
        <v/>
      </c>
      <c r="BR86" s="173" t="str">
        <f>IFERROR(VLOOKUP(T_Convention[[#This Row],[NumL]],T_TraitDi[#Data],COLUMN(T_TraitDi[CP2]),FALSE),"")</f>
        <v/>
      </c>
      <c r="BS86" s="173" t="str">
        <f>IFERROR(VLOOKUP(T_Convention[[#This Row],[NumL]],T_TraitDi[#Data],COLUMN(T_TraitDi[VILLE2]),FALSE),"")</f>
        <v/>
      </c>
      <c r="BT86" s="182" t="str">
        <f>IF(VLOOKUP(T_Convention[[#This Row],[NumL]],T_Equipement[#Data],COLUMN(T_Equipement[PC]),FALSE)="","Aucun équipement spécifique directement lié au télétravail",VLOOKUP(T_Convention[[#This Row],[NumL]],T_Equipement[#Data],COLUMN(T_Equipement[PC]),FALSE))</f>
        <v>14-518</v>
      </c>
      <c r="BU86" s="166" t="str">
        <f>IFERROR(IF(VLOOKUP(T_Convention[[#This Row],[NumL]],T_TraitDi[#Data],COLUMN(T_TraitDi[Plan]),FALSE)="OK","Un planning spécifique de télétravail est annexé à la présente convention.",""),"")</f>
        <v/>
      </c>
      <c r="BV86" s="185"/>
      <c r="BW86" s="164" t="e">
        <f>IF(VLOOKUP(T_Convention[[#This Row],[NumL]],T_suiviDi[#Data],COLUMN(T_suiviDi[Entité]),FALSE)="","",VLOOKUP(T_Convention[[#This Row],[NumL]],T_suiviDi[#Data],COLUMN(T_suiviDi[Entité]),FALSE))</f>
        <v>#N/A</v>
      </c>
      <c r="BX86" s="164" t="str">
        <f>IF(VLOOKUP(T_Convention[[#This Row],[NumL]],T_Commission[#Data],COLUMN(T_Commission[envoi confirm TW]),FALSE)="","",VLOOKUP(T_Convention[[#This Row],[NumL]],T_Commission[#Data],COLUMN(T_Commission[envoi confirm TW]),FALSE))</f>
        <v>Oui</v>
      </c>
      <c r="BY8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6" s="264" t="str">
        <f>VLOOKUP(T_Convention[[#This Row],[NumL]],T_Commission[#Data],COLUMN(T_Commission[Commentaire]),FALSE)</f>
        <v>Sous réserve de fourniture des pièces nécessaires.</v>
      </c>
      <c r="CA86" s="254" t="str">
        <f>IF(VLOOKUP(T_Convention[[#This Row],[NumL]],T_Commission[#Data],COLUMN(T_Commission[Encadrant Email]),FALSE)="","",VLOOKUP(T_Convention[[#This Row],[NumL]],T_Commission[#Data],COLUMN(T_Commission[Encadrant Email]),FALSE))</f>
        <v/>
      </c>
      <c r="CB86" s="352" t="e">
        <f>VLOOKUP(T_Convention[[#This Row],[NumL]],T_TraitDi[#Data],COLUMN(T_TraitDi[NbJTot]),FALSE)</f>
        <v>#N/A</v>
      </c>
      <c r="CC86" s="352" t="e">
        <f>VLOOKUP(T_Convention[[#This Row],[NumL]],T_TraitDi[#Data],COLUMN(T_TraitDi[Reg Ponct]),FALSE)</f>
        <v>#N/A</v>
      </c>
      <c r="CD86" s="348" t="str">
        <f>IF(T_Convention[[#This Row],[Final]]&lt;&gt;"",VLOOKUP(T_Convention[[#This Row],[NumL]],T_suiviDi[#Data],COLUMN((T_suiviDi[Statut])),FALSE),"")</f>
        <v/>
      </c>
    </row>
    <row r="87" spans="1:82" s="106" customFormat="1" ht="18.75" customHeight="1" x14ac:dyDescent="0.25">
      <c r="A87" s="160">
        <v>352</v>
      </c>
      <c r="B87" s="281" t="str">
        <f>VLOOKUP(T_Convention[[#This Row],[NumL]],T_Commission[#Data],COLUMN(T_Commission[FINAL]),FALSE)</f>
        <v/>
      </c>
      <c r="C87" s="162"/>
      <c r="D87" s="95" t="e">
        <f>IF(VLOOKUP(T_Convention[[#This Row],[NumL]],T_TraitDi[#Data],COLUMN(T_TraitDi[WebC]),FALSE)="","",VLOOKUP(T_Convention[[#This Row],[NumL]],T_TraitDi[#Data],COLUMN(T_TraitDi[WebC]),FALSE))</f>
        <v>#N/A</v>
      </c>
      <c r="E87" s="163" t="str">
        <f t="shared" si="5"/>
        <v>12 janvier 2021</v>
      </c>
      <c r="F87" s="282" t="str">
        <f>IF(T_Convention[[#This Row],[Final]]&lt;&gt;"",VLOOKUP(T_Convention[[#This Row],[NumL]],T_suiviDi[#Data],COLUMN((T_suiviDi[Civ.])),FALSE),"")</f>
        <v/>
      </c>
      <c r="G87" s="283" t="str">
        <f>IF(T_Convention[[#This Row],[Final]]&lt;&gt;"",VLOOKUP(T_Convention[[#This Row],[NumL]],T_suiviDi[#Data],COLUMN((T_suiviDi[Nom])),FALSE),"")</f>
        <v/>
      </c>
      <c r="H87" s="282" t="str">
        <f>IF(T_Convention[[#This Row],[Final]]&lt;&gt;"",VLOOKUP(T_Convention[[#This Row],[NumL]],T_suiviDi[#Data],COLUMN((T_suiviDi[Prénom])),FALSE),"")</f>
        <v/>
      </c>
      <c r="I87" s="282" t="e">
        <f>VLOOKUP(T_Convention[[#This Row],[NumL]],T_suiviDi[#Data],COLUMN((T_suiviDi[[#This Row],[Email]])),FALSE)</f>
        <v>#VALUE!</v>
      </c>
      <c r="J87" s="282" t="e">
        <f>IF(VLOOKUP(T_Convention[[#This Row],[NumL]],T_suiviDi[#Data],COLUMN(T_suiviDi[[#This Row],[Fonction]]),FALSE)="","",VLOOKUP(T_Convention[[#This Row],[NumL]],T_suiviDi[#Data],COLUMN(T_suiviDi[[#This Row],[Fonction]]),FALSE))</f>
        <v>#VALUE!</v>
      </c>
      <c r="K87" s="282" t="e">
        <f>IF(VLOOKUP(T_Convention[[#This Row],[NumL]],T_suiviDi[#Data],COLUMN(T_suiviDi[[#This Row],[Grade]]),FALSE)="","",VLOOKUP(T_Convention[[#This Row],[NumL]],T_suiviDi[#Data],COLUMN(T_suiviDi[[#This Row],[Grade]]),FALSE))</f>
        <v>#VALUE!</v>
      </c>
      <c r="L87" s="282" t="e">
        <f>IF(VLOOKUP(T_Convention[[#This Row],[NumL]],T_suiviDi[#Data],COLUMN(T_suiviDi[[#This Row],[Service ]]),FALSE)="","",VLOOKUP(T_Convention[[#This Row],[NumL]],T_suiviDi[#Data],COLUMN(T_suiviDi[[#This Row],[Service ]]),FALSE))</f>
        <v>#VALUE!</v>
      </c>
      <c r="M87" s="314" t="str">
        <f t="shared" si="6"/>
        <v>01 septembre 2021</v>
      </c>
      <c r="N87" s="314" t="str">
        <f t="shared" si="7"/>
        <v>30 novembre 2021</v>
      </c>
      <c r="O87" s="284" t="str">
        <f t="shared" si="8"/>
        <v>30 novembre 2021</v>
      </c>
      <c r="P87" s="282" t="e">
        <f>IF(VLOOKUP(T_Convention[[#This Row],[NumL]],T_TraitDi[#Data],COLUMN(T_TraitDi[M1]),FALSE)="","",VLOOKUP(T_Convention[[#This Row],[NumL]],T_TraitDi[#Data],COLUMN(T_TraitDi[M1]),FALSE))</f>
        <v>#N/A</v>
      </c>
      <c r="Q87" s="282" t="e">
        <f>IF(VLOOKUP(T_Convention[[#This Row],[NumL]],T_TraitDi[#Data],COLUMN(T_TraitDi[M2]),FALSE)="","",VLOOKUP(T_Convention[[#This Row],[NumL]],T_TraitDi[#Data],COLUMN(T_TraitDi[M2]),FALSE))</f>
        <v>#N/A</v>
      </c>
      <c r="R87" s="282" t="e">
        <f>IF(VLOOKUP(T_Convention[[#This Row],[NumL]],T_TraitDi[#Data],COLUMN(T_TraitDi[M3]),FALSE)="","",VLOOKUP(T_Convention[[#This Row],[NumL]],T_TraitDi[#Data],COLUMN(T_TraitDi[M3]),FALSE))</f>
        <v>#N/A</v>
      </c>
      <c r="S87" s="282" t="e">
        <f>IF(VLOOKUP(T_Convention[[#This Row],[NumL]],T_TraitDi[#Data],COLUMN(T_TraitDi[M4]),FALSE)="","",VLOOKUP(T_Convention[[#This Row],[NumL]],T_TraitDi[#Data],COLUMN(T_TraitDi[M4]),FALSE))</f>
        <v>#N/A</v>
      </c>
      <c r="T87" s="282" t="e">
        <f>IF(VLOOKUP(T_Convention[[#This Row],[NumL]],T_TraitDi[#Data],COLUMN(T_TraitDi[M5]),FALSE)="","",VLOOKUP(T_Convention[[#This Row],[NumL]],T_TraitDi[#Data],COLUMN(T_TraitDi[M5]),FALSE))</f>
        <v>#N/A</v>
      </c>
      <c r="U87" s="282" t="e">
        <f>IF(VLOOKUP(T_Convention[[#This Row],[NumL]],T_TraitDi[#Data],COLUMN(T_TraitDi[M6]),FALSE)="","",VLOOKUP(T_Convention[[#This Row],[NumL]],T_TraitDi[#Data],COLUMN(T_TraitDi[M6]),FALSE))</f>
        <v>#N/A</v>
      </c>
      <c r="V87" s="314" t="e">
        <f t="shared" si="9"/>
        <v>#N/A</v>
      </c>
      <c r="W87" s="284" t="str">
        <f>IFERROR(TEXT(VLOOKUP(T_Convention[[#This Row],[NumL]],T_TraitDi[#Data],COLUMN(T_TraitDi[Q2]),FALSE),"###%"),"")</f>
        <v/>
      </c>
      <c r="X87" s="285" t="e">
        <f>VLOOKUP(T_Convention[[#This Row],[NumL]],T_TraitDi[#Data],COLUMN(T_TraitDi[Reg Ponct]),FALSE)</f>
        <v>#N/A</v>
      </c>
      <c r="Y87" s="285" t="e">
        <f>VLOOKUP(T_Convention[NumL],T_TraitDi[#Data],COLUMN(T_TraitDi[Jours flottants]),FALSE)</f>
        <v>#N/A</v>
      </c>
      <c r="Z87" s="284" t="str">
        <f>IFERROR(VLOOKUP(T_Convention[[#This Row],[NumL]],T_TraitDi[#Data],COLUMN(T_TraitDi[Lundi]),FALSE),"")</f>
        <v/>
      </c>
      <c r="AA87" s="284" t="e">
        <f>IF(VLOOKUP(T_Convention[[#This Row],[NumL]],T_TraitDi[#Data],COLUMN(T_TraitDi[Colonne3]),FALSE)=0,"",TEXT(IFERROR(VLOOKUP(T_Convention[[#This Row],[NumL]],T_TraitDi[#Data],COLUMN(T_TraitDi[Colonne3]),FALSE),""),"[hh]:mm"))</f>
        <v>#N/A</v>
      </c>
      <c r="AB87" s="284" t="e">
        <f>IF(VLOOKUP(T_Convention[[#This Row],[NumL]],T_TraitDi[#Data],COLUMN(T_TraitDi[Colonne4]),FALSE)=0,"",TEXT(IFERROR(VLOOKUP(T_Convention[[#This Row],[NumL]],T_TraitDi[#Data],COLUMN(T_TraitDi[Colonne4]),FALSE),""),"[hh]:mm"))</f>
        <v>#N/A</v>
      </c>
      <c r="AC87" s="284" t="e">
        <f>IF(VLOOKUP(T_Convention[[#This Row],[NumL]],T_TraitDi[#Data],COLUMN(T_TraitDi[Colonne5]),FALSE)=0,"",TEXT(IFERROR(VLOOKUP(T_Convention[[#This Row],[NumL]],T_TraitDi[#Data],COLUMN(T_TraitDi[Colonne5]),FALSE),""),"[hh]:mm"))</f>
        <v>#N/A</v>
      </c>
      <c r="AD87" s="284" t="e">
        <f>IF(VLOOKUP(T_Convention[[#This Row],[NumL]],T_TraitDi[#Data],COLUMN(T_TraitDi[Colonne6]),FALSE)=0,"",TEXT(IFERROR(VLOOKUP(T_Convention[[#This Row],[NumL]],T_TraitDi[#Data],COLUMN(T_TraitDi[Colonne6]),FALSE),""),"[hh]:mm"))</f>
        <v>#N/A</v>
      </c>
      <c r="AE87" s="284" t="e">
        <f>IF(VLOOKUP(T_Convention[[#This Row],[NumL]],T_TraitDi[#Data],COLUMN(T_TraitDi[Colonne7]),FALSE)=0,"",TEXT(IFERROR(VLOOKUP(T_Convention[[#This Row],[NumL]],T_TraitDi[#Data],COLUMN(T_TraitDi[Colonne7]),FALSE),""),"[hh]:mm"))</f>
        <v>#N/A</v>
      </c>
      <c r="AF87" s="284" t="e">
        <f>IF(VLOOKUP(T_Convention[[#This Row],[NumL]],T_TraitDi[#Data],COLUMN(T_TraitDi[Colonne8]),FALSE)=0,"",TEXT(IFERROR(VLOOKUP(T_Convention[[#This Row],[NumL]],T_TraitDi[#Data],COLUMN(T_TraitDi[Colonne8]),FALSE),""),"[hh]:mm"))</f>
        <v>#N/A</v>
      </c>
      <c r="AG87" s="284" t="str">
        <f>IFERROR(VLOOKUP(T_Convention[[#This Row],[NumL]],T_TraitDi[#Data],COLUMN(T_TraitDi[Mardi]),FALSE),"")</f>
        <v/>
      </c>
      <c r="AH87" s="284" t="e">
        <f>IF(VLOOKUP(T_Convention[[#This Row],[NumL]],T_TraitDi[#Data],COLUMN(T_TraitDi[Colonne1]),FALSE)=0,"",TEXT(IFERROR(VLOOKUP(T_Convention[[#This Row],[NumL]],T_TraitDi[#Data],COLUMN(T_TraitDi[Colonne1]),FALSE),""),"[hh]:mm"))</f>
        <v>#N/A</v>
      </c>
      <c r="AI87" s="284" t="e">
        <f>IF(VLOOKUP(T_Convention[[#This Row],[NumL]],T_TraitDi[#Data],COLUMN(T_TraitDi[Colonne9]),FALSE)=0,"",TEXT(IFERROR(VLOOKUP(T_Convention[[#This Row],[NumL]],T_TraitDi[#Data],COLUMN(T_TraitDi[Colonne9]),FALSE),""),"[hh]:mm"))</f>
        <v>#N/A</v>
      </c>
      <c r="AJ87" s="284" t="str">
        <f>IFERROR(VLOOKUP(T_Convention[[#This Row],[NumL]],T_TraitDi[#Data],COLUMN(T_TraitDi[Colonne10]),FALSE),"")</f>
        <v/>
      </c>
      <c r="AK87" s="284" t="e">
        <f>IF(VLOOKUP(T_Convention[[#This Row],[NumL]],T_TraitDi[#Data],COLUMN(T_TraitDi[Colonne11]),FALSE)=0,"",TEXT(IFERROR(VLOOKUP(T_Convention[[#This Row],[NumL]],T_TraitDi[#Data],COLUMN(T_TraitDi[Colonne11]),FALSE),""),"[hh]:mm"))</f>
        <v>#N/A</v>
      </c>
      <c r="AL87" s="284" t="e">
        <f>IF(VLOOKUP(T_Convention[[#This Row],[NumL]],T_TraitDi[#Data],COLUMN(T_TraitDi[Colonne12]),FALSE)=0,"",TEXT(IFERROR(VLOOKUP(T_Convention[[#This Row],[NumL]],T_TraitDi[#Data],COLUMN(T_TraitDi[Colonne12]),FALSE),""),"[hh]:mm"))</f>
        <v>#N/A</v>
      </c>
      <c r="AM87" s="284" t="e">
        <f>IF(VLOOKUP(T_Convention[[#This Row],[NumL]],T_TraitDi[#Data],COLUMN(T_TraitDi[Colonne14]),FALSE)=0,"",TEXT(IFERROR(VLOOKUP(T_Convention[[#This Row],[NumL]],T_TraitDi[#Data],COLUMN(T_TraitDi[Colonne14]),FALSE),""),"[hh]:mm"))</f>
        <v>#N/A</v>
      </c>
      <c r="AN87" s="284" t="str">
        <f>IFERROR(VLOOKUP(T_Convention[[#This Row],[NumL]],T_TraitDi[#Data],COLUMN(T_TraitDi[Mercredi]),FALSE),"")</f>
        <v/>
      </c>
      <c r="AO87" s="284" t="e">
        <f>IF(VLOOKUP(T_Convention[[#This Row],[NumL]],T_TraitDi[#Data],COLUMN(T_TraitDi[Colonne15]),FALSE)=0,"",TEXT(IFERROR(VLOOKUP(T_Convention[[#This Row],[NumL]],T_TraitDi[#Data],COLUMN(T_TraitDi[Colonne15]),FALSE),""),"[hh]:mm"))</f>
        <v>#N/A</v>
      </c>
      <c r="AP87" s="284" t="e">
        <f>IF(VLOOKUP(T_Convention[[#This Row],[NumL]],T_TraitDi[#Data],COLUMN(T_TraitDi[Colonne16]),FALSE)=0,"",TEXT(IFERROR(VLOOKUP(T_Convention[[#This Row],[NumL]],T_TraitDi[#Data],COLUMN(T_TraitDi[Colonne16]),FALSE),""),"[hh]:mm"))</f>
        <v>#N/A</v>
      </c>
      <c r="AQ87" s="284" t="str">
        <f>IFERROR(VLOOKUP(T_Convention[[#This Row],[NumL]],T_TraitDi[#Data],COLUMN(T_TraitDi[Colonne17]),FALSE),"")</f>
        <v/>
      </c>
      <c r="AR87" s="284" t="e">
        <f>IF(VLOOKUP(T_Convention[[#This Row],[NumL]],T_TraitDi[#Data],COLUMN(T_TraitDi[Colonne18]),FALSE)=0,"",TEXT(IFERROR(VLOOKUP(T_Convention[[#This Row],[NumL]],T_TraitDi[#Data],COLUMN(T_TraitDi[Colonne18]),FALSE),""),"[hh]:mm"))</f>
        <v>#N/A</v>
      </c>
      <c r="AS87" s="284" t="e">
        <f>IF(VLOOKUP(T_Convention[[#This Row],[NumL]],T_TraitDi[#Data],COLUMN(T_TraitDi[Colonne19]),FALSE)=0,"",TEXT(IFERROR(VLOOKUP(T_Convention[[#This Row],[NumL]],T_TraitDi[#Data],COLUMN(T_TraitDi[Colonne19]),FALSE),""),"[hh]:mm"))</f>
        <v>#N/A</v>
      </c>
      <c r="AT87" s="284" t="e">
        <f>IF(VLOOKUP(T_Convention[[#This Row],[NumL]],T_TraitDi[#Data],COLUMN(T_TraitDi[Colonne20]),FALSE)=0,"",TEXT(IFERROR(VLOOKUP(T_Convention[[#This Row],[NumL]],T_TraitDi[#Data],COLUMN(T_TraitDi[Colonne20]),FALSE),""),"[hh]:mm"))</f>
        <v>#N/A</v>
      </c>
      <c r="AU87" s="284" t="str">
        <f>IFERROR(VLOOKUP(T_Convention[[#This Row],[NumL]],T_TraitDi[#Data],COLUMN(T_TraitDi[Jeudi]),FALSE),"")</f>
        <v/>
      </c>
      <c r="AV87" s="284" t="e">
        <f>IF(VLOOKUP(T_Convention[[#This Row],[NumL]],T_TraitDi[#Data],COLUMN(T_TraitDi[Colonne21]),FALSE)=0,"",TEXT(IFERROR(VLOOKUP(T_Convention[[#This Row],[NumL]],T_TraitDi[#Data],COLUMN(T_TraitDi[Colonne21]),FALSE),""),"[hh]:mm"))</f>
        <v>#N/A</v>
      </c>
      <c r="AW87" s="284" t="e">
        <f>IF(VLOOKUP(T_Convention[[#This Row],[NumL]],T_TraitDi[#Data],COLUMN(T_TraitDi[Colonne22]),FALSE)=0,"",TEXT(IFERROR(VLOOKUP(T_Convention[[#This Row],[NumL]],T_TraitDi[#Data],COLUMN(T_TraitDi[Colonne22]),FALSE),""),"[hh]:mm"))</f>
        <v>#N/A</v>
      </c>
      <c r="AX87" s="284" t="str">
        <f>IFERROR(VLOOKUP(T_Convention[[#This Row],[NumL]],T_TraitDi[#Data],COLUMN(T_TraitDi[Colonne23]),FALSE),"")</f>
        <v/>
      </c>
      <c r="AY87" s="284" t="e">
        <f>IF(VLOOKUP(T_Convention[[#This Row],[NumL]],T_TraitDi[#Data],COLUMN(T_TraitDi[Colonne24]),FALSE)=0,"",TEXT(IFERROR(VLOOKUP(T_Convention[[#This Row],[NumL]],T_TraitDi[#Data],COLUMN(T_TraitDi[Colonne24]),FALSE),""),"[hh]:mm"))</f>
        <v>#N/A</v>
      </c>
      <c r="AZ87" s="284" t="e">
        <f>IF(VLOOKUP(T_Convention[[#This Row],[NumL]],T_TraitDi[#Data],COLUMN(T_TraitDi[Colonne25]),FALSE)=0,"",TEXT(IFERROR(VLOOKUP(T_Convention[[#This Row],[NumL]],T_TraitDi[#Data],COLUMN(T_TraitDi[Colonne25]),FALSE),""),"[hh]:mm"))</f>
        <v>#N/A</v>
      </c>
      <c r="BA87" s="284" t="e">
        <f>IF(VLOOKUP(T_Convention[[#This Row],[NumL]],T_TraitDi[#Data],COLUMN(T_TraitDi[Colonne26]),FALSE)=0,"",TEXT(IFERROR(VLOOKUP(T_Convention[[#This Row],[NumL]],T_TraitDi[#Data],COLUMN(T_TraitDi[Colonne26]),FALSE),""),"[hh]:mm"))</f>
        <v>#N/A</v>
      </c>
      <c r="BB87" s="284" t="str">
        <f>IFERROR(VLOOKUP(T_Convention[[#This Row],[NumL]],T_TraitDi[#Data],COLUMN(T_TraitDi[Vendredi]),FALSE),"")</f>
        <v/>
      </c>
      <c r="BC87" s="284" t="e">
        <f>IF(VLOOKUP(T_Convention[[#This Row],[NumL]],T_TraitDi[#Data],COLUMN(T_TraitDi[Colonne27]),FALSE)=0,"",TEXT(IFERROR(VLOOKUP(T_Convention[[#This Row],[NumL]],T_TraitDi[#Data],COLUMN(T_TraitDi[Colonne27]),FALSE),""),"[hh]:mm"))</f>
        <v>#N/A</v>
      </c>
      <c r="BD87" s="284" t="e">
        <f>IF(VLOOKUP(T_Convention[[#This Row],[NumL]],T_TraitDi[#Data],COLUMN(T_TraitDi[Colonne28]),FALSE)=0,"",TEXT(IFERROR(VLOOKUP(T_Convention[[#This Row],[NumL]],T_TraitDi[#Data],COLUMN(T_TraitDi[Colonne28]),FALSE),""),"[hh]:mm"))</f>
        <v>#N/A</v>
      </c>
      <c r="BE87" s="284" t="str">
        <f>IFERROR(VLOOKUP(T_Convention[[#This Row],[NumL]],T_TraitDi[#Data],COLUMN(T_TraitDi[Colonne29]),FALSE),"")</f>
        <v/>
      </c>
      <c r="BF87" s="284" t="e">
        <f>IF(VLOOKUP(T_Convention[[#This Row],[NumL]],T_TraitDi[#Data],COLUMN(T_TraitDi[Colonne30]),FALSE)=0,"",TEXT(IFERROR(VLOOKUP(T_Convention[[#This Row],[NumL]],T_TraitDi[#Data],COLUMN(T_TraitDi[Colonne30]),FALSE),""),"[hh]:mm"))</f>
        <v>#N/A</v>
      </c>
      <c r="BG87" s="284" t="e">
        <f>IF(VLOOKUP(T_Convention[[#This Row],[NumL]],T_TraitDi[#Data],COLUMN(T_TraitDi[Colonne31]),FALSE)=0,"",TEXT(IFERROR(VLOOKUP(T_Convention[[#This Row],[NumL]],T_TraitDi[#Data],COLUMN(T_TraitDi[Colonne31]),FALSE),""),"[hh]:mm"))</f>
        <v>#N/A</v>
      </c>
      <c r="BH87" s="284" t="e">
        <f>IF(VLOOKUP(T_Convention[[#This Row],[NumL]],T_TraitDi[#Data],COLUMN(T_TraitDi[Colonne32]),FALSE)=0,"",TEXT(IFERROR(VLOOKUP(T_Convention[[#This Row],[NumL]],T_TraitDi[#Data],COLUMN(T_TraitDi[Colonne32]),FALSE),""),"[hh]:mm"))</f>
        <v>#N/A</v>
      </c>
      <c r="BI87" s="284" t="str">
        <f>IFERROR(VLOOKUP(T_Convention[[#This Row],[NumL]],T_TraitDi[#Data],COLUMN(T_TraitDi[NbJTW]),FALSE),"")</f>
        <v/>
      </c>
      <c r="BJ87" s="284" t="e">
        <f>IF(VLOOKUP(T_Convention[[#This Row],[NumL]],T_TraitDi[#Data],COLUMN(T_TraitDi[NbhTW]),FALSE)=0,"",TEXT(IFERROR(VLOOKUP(T_Convention[[#This Row],[NumL]],T_TraitDi[#Data],COLUMN(T_TraitDi[NbhTW]),FALSE),""),"[hh]:mm"))</f>
        <v>#N/A</v>
      </c>
      <c r="BK87" s="315" t="e">
        <f>IF(VLOOKUP(T_Convention[[#This Row],[NumL]],T_TraitDi[#Data],COLUMN(T_TraitDi[Nbhheb]),FALSE)=0,"",TEXT(IFERROR(VLOOKUP(T_Convention[[#This Row],[NumL]],T_TraitDi[#Data],COLUMN(T_TraitDi[Nbhheb]),FALSE),""),"[hh]:mm"))</f>
        <v>#N/A</v>
      </c>
      <c r="BL87" s="287" t="str">
        <f>IFERROR(VLOOKUP(VLOOKUP(T_Convention[[#This Row],[NumL]],T_TraitDi[#Data],COLUMN(T_TraitDi[Type1]),FALSE),TypeTW,2,FALSE),"")</f>
        <v/>
      </c>
      <c r="BM87" s="288" t="str">
        <f>IFERROR(VLOOKUP(T_Convention[[#This Row],[NumL]],T_TraitDi[#Data],COLUMN(T_TraitDi[Rue1]),FALSE),"")</f>
        <v/>
      </c>
      <c r="BN87" s="289" t="str">
        <f>IFERROR(VLOOKUP(T_Convention[[#This Row],[NumL]],T_TraitDi[#Data],COLUMN(T_TraitDi[CP1]),FALSE),"")</f>
        <v/>
      </c>
      <c r="BO87" s="282" t="str">
        <f>IFERROR(VLOOKUP(T_Convention[[#This Row],[NumL]],T_TraitDi[#Data],COLUMN(T_TraitDi[VILLE1]),FALSE),"")</f>
        <v/>
      </c>
      <c r="BP87" s="290" t="str">
        <f>IFERROR(VLOOKUP(VLOOKUP(T_Convention[[#This Row],[NumL]],T_TraitDi[#Data],COLUMN(T_TraitDi[Type2]),FALSE),TypeTW,2,FALSE),"")</f>
        <v/>
      </c>
      <c r="BQ87" s="310" t="str">
        <f>IFERROR(VLOOKUP(T_Convention[[#This Row],[NumL]],T_TraitDi[#Data],COLUMN(T_TraitDi[Rue2]),FALSE),"")</f>
        <v/>
      </c>
      <c r="BR87" s="290" t="str">
        <f>IFERROR(VLOOKUP(T_Convention[[#This Row],[NumL]],T_TraitDi[#Data],COLUMN(T_TraitDi[CP2]),FALSE),"")</f>
        <v/>
      </c>
      <c r="BS87" s="290" t="str">
        <f>IFERROR(VLOOKUP(T_Convention[[#This Row],[NumL]],T_TraitDi[#Data],COLUMN(T_TraitDi[VILLE2]),FALSE),"")</f>
        <v/>
      </c>
      <c r="BT8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87" s="314" t="str">
        <f>IFERROR(IF(VLOOKUP(T_Convention[[#This Row],[NumL]],T_TraitDi[#Data],COLUMN(T_TraitDi[Plan]),FALSE)="OK","Un planning spécifique de télétravail est annexé à la présente convention.",""),"")</f>
        <v/>
      </c>
      <c r="BV87" s="291"/>
      <c r="BW87" s="292" t="e">
        <f>IF(VLOOKUP(T_Convention[[#This Row],[NumL]],T_suiviDi[#Data],COLUMN(T_suiviDi[Entité]),FALSE)="","",VLOOKUP(T_Convention[[#This Row],[NumL]],T_suiviDi[#Data],COLUMN(T_suiviDi[Entité]),FALSE))</f>
        <v>#N/A</v>
      </c>
      <c r="BX87" s="311" t="str">
        <f>IF(VLOOKUP(T_Convention[[#This Row],[NumL]],T_Commission[#Data],COLUMN(T_Commission[envoi confirm TW]),FALSE)="","",VLOOKUP(T_Convention[[#This Row],[NumL]],T_Commission[#Data],COLUMN(T_Commission[envoi confirm TW]),FALSE))</f>
        <v>Oui</v>
      </c>
      <c r="BY8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7" s="265">
        <f>VLOOKUP(T_Convention[[#This Row],[NumL]],T_Commission[#Data],COLUMN(T_Commission[Commentaire]),FALSE)</f>
        <v>0</v>
      </c>
      <c r="CA87" s="255" t="str">
        <f>IF(VLOOKUP(T_Convention[[#This Row],[NumL]],T_Commission[#Data],COLUMN(T_Commission[Encadrant Email]),FALSE)="","",VLOOKUP(T_Convention[[#This Row],[NumL]],T_Commission[#Data],COLUMN(T_Commission[Encadrant Email]),FALSE))</f>
        <v/>
      </c>
      <c r="CB87" s="352" t="e">
        <f>VLOOKUP(T_Convention[[#This Row],[NumL]],T_TraitDi[#Data],COLUMN(T_TraitDi[NbJTot]),FALSE)</f>
        <v>#N/A</v>
      </c>
      <c r="CC87" s="352" t="e">
        <f>VLOOKUP(T_Convention[[#This Row],[NumL]],T_TraitDi[#Data],COLUMN(T_TraitDi[Reg Ponct]),FALSE)</f>
        <v>#N/A</v>
      </c>
      <c r="CD87" s="348" t="str">
        <f>IF(T_Convention[[#This Row],[Final]]&lt;&gt;"",VLOOKUP(T_Convention[[#This Row],[NumL]],T_suiviDi[#Data],COLUMN((T_suiviDi[Statut])),FALSE),"")</f>
        <v/>
      </c>
    </row>
    <row r="88" spans="1:82" s="106" customFormat="1" ht="18.75" customHeight="1" x14ac:dyDescent="0.25">
      <c r="A88" s="160">
        <v>283</v>
      </c>
      <c r="B88" s="161" t="str">
        <f>VLOOKUP(T_Convention[[#This Row],[NumL]],T_Commission[#Data],COLUMN(T_Commission[FINAL]),FALSE)</f>
        <v/>
      </c>
      <c r="C88" s="162"/>
      <c r="D88" s="95" t="e">
        <f>IF(VLOOKUP(T_Convention[[#This Row],[NumL]],T_TraitDi[#Data],COLUMN(T_TraitDi[WebC]),FALSE)="","",VLOOKUP(T_Convention[[#This Row],[NumL]],T_TraitDi[#Data],COLUMN(T_TraitDi[WebC]),FALSE))</f>
        <v>#N/A</v>
      </c>
      <c r="E88" s="163" t="str">
        <f t="shared" si="5"/>
        <v>12 janvier 2021</v>
      </c>
      <c r="F88" s="282" t="str">
        <f>IF(T_Convention[[#This Row],[Final]]&lt;&gt;"",VLOOKUP(T_Convention[[#This Row],[NumL]],T_suiviDi[#Data],COLUMN((T_suiviDi[Civ.])),FALSE),"")</f>
        <v/>
      </c>
      <c r="G88" s="283" t="str">
        <f>IF(T_Convention[[#This Row],[Final]]&lt;&gt;"",VLOOKUP(T_Convention[[#This Row],[NumL]],T_suiviDi[#Data],COLUMN((T_suiviDi[Nom])),FALSE),"")</f>
        <v/>
      </c>
      <c r="H88" s="282" t="str">
        <f>IF(T_Convention[[#This Row],[Final]]&lt;&gt;"",VLOOKUP(T_Convention[[#This Row],[NumL]],T_suiviDi[#Data],COLUMN((T_suiviDi[Prénom])),FALSE),"")</f>
        <v/>
      </c>
      <c r="I88" s="282" t="e">
        <f>VLOOKUP(T_Convention[[#This Row],[NumL]],T_suiviDi[#Data],COLUMN((T_suiviDi[[#This Row],[Email]])),FALSE)</f>
        <v>#VALUE!</v>
      </c>
      <c r="J88" s="282" t="e">
        <f>IF(VLOOKUP(T_Convention[[#This Row],[NumL]],T_suiviDi[#Data],COLUMN(T_suiviDi[[#This Row],[Fonction]]),FALSE)="","",VLOOKUP(T_Convention[[#This Row],[NumL]],T_suiviDi[#Data],COLUMN(T_suiviDi[[#This Row],[Fonction]]),FALSE))</f>
        <v>#VALUE!</v>
      </c>
      <c r="K88" s="282" t="e">
        <f>IF(VLOOKUP(T_Convention[[#This Row],[NumL]],T_suiviDi[#Data],COLUMN(T_suiviDi[[#This Row],[Grade]]),FALSE)="","",VLOOKUP(T_Convention[[#This Row],[NumL]],T_suiviDi[#Data],COLUMN(T_suiviDi[[#This Row],[Grade]]),FALSE))</f>
        <v>#VALUE!</v>
      </c>
      <c r="L88" s="282" t="e">
        <f>IF(VLOOKUP(T_Convention[[#This Row],[NumL]],T_suiviDi[#Data],COLUMN(T_suiviDi[[#This Row],[Service ]]),FALSE)="","",VLOOKUP(T_Convention[[#This Row],[NumL]],T_suiviDi[#Data],COLUMN(T_suiviDi[[#This Row],[Service ]]),FALSE))</f>
        <v>#VALUE!</v>
      </c>
      <c r="M88" s="164" t="str">
        <f t="shared" si="6"/>
        <v>01 septembre 2021</v>
      </c>
      <c r="N88" s="164" t="str">
        <f t="shared" si="7"/>
        <v>30 novembre 2021</v>
      </c>
      <c r="O88" s="284" t="str">
        <f t="shared" si="8"/>
        <v>30 novembre 2021</v>
      </c>
      <c r="P88" s="282" t="e">
        <f>IF(VLOOKUP(T_Convention[[#This Row],[NumL]],T_TraitDi[#Data],COLUMN(T_TraitDi[M1]),FALSE)="","",VLOOKUP(T_Convention[[#This Row],[NumL]],T_TraitDi[#Data],COLUMN(T_TraitDi[M1]),FALSE))</f>
        <v>#N/A</v>
      </c>
      <c r="Q88" s="282" t="e">
        <f>IF(VLOOKUP(T_Convention[[#This Row],[NumL]],T_TraitDi[#Data],COLUMN(T_TraitDi[M2]),FALSE)="","",VLOOKUP(T_Convention[[#This Row],[NumL]],T_TraitDi[#Data],COLUMN(T_TraitDi[M2]),FALSE))</f>
        <v>#N/A</v>
      </c>
      <c r="R88" s="282" t="e">
        <f>IF(VLOOKUP(T_Convention[[#This Row],[NumL]],T_TraitDi[#Data],COLUMN(T_TraitDi[M3]),FALSE)="","",VLOOKUP(T_Convention[[#This Row],[NumL]],T_TraitDi[#Data],COLUMN(T_TraitDi[M3]),FALSE))</f>
        <v>#N/A</v>
      </c>
      <c r="S88" s="282" t="e">
        <f>IF(VLOOKUP(T_Convention[[#This Row],[NumL]],T_TraitDi[#Data],COLUMN(T_TraitDi[M4]),FALSE)="","",VLOOKUP(T_Convention[[#This Row],[NumL]],T_TraitDi[#Data],COLUMN(T_TraitDi[M4]),FALSE))</f>
        <v>#N/A</v>
      </c>
      <c r="T88" s="282" t="e">
        <f>IF(VLOOKUP(T_Convention[[#This Row],[NumL]],T_TraitDi[#Data],COLUMN(T_TraitDi[M5]),FALSE)="","",VLOOKUP(T_Convention[[#This Row],[NumL]],T_TraitDi[#Data],COLUMN(T_TraitDi[M5]),FALSE))</f>
        <v>#N/A</v>
      </c>
      <c r="U88" s="282" t="e">
        <f>IF(VLOOKUP(T_Convention[[#This Row],[NumL]],T_TraitDi[#Data],COLUMN(T_TraitDi[M6]),FALSE)="","",VLOOKUP(T_Convention[[#This Row],[NumL]],T_TraitDi[#Data],COLUMN(T_TraitDi[M6]),FALSE))</f>
        <v>#N/A</v>
      </c>
      <c r="V88" s="176" t="e">
        <f t="shared" si="9"/>
        <v>#N/A</v>
      </c>
      <c r="W88" s="284" t="str">
        <f>IFERROR(TEXT(VLOOKUP(T_Convention[[#This Row],[NumL]],T_TraitDi[#Data],COLUMN(T_TraitDi[Q2]),FALSE),"###%"),"")</f>
        <v/>
      </c>
      <c r="X88" s="97" t="e">
        <f>VLOOKUP(T_Convention[[#This Row],[NumL]],T_TraitDi[#Data],COLUMN(T_TraitDi[Reg Ponct]),FALSE)</f>
        <v>#N/A</v>
      </c>
      <c r="Y88" s="97" t="e">
        <f>VLOOKUP(T_Convention[NumL],T_TraitDi[#Data],COLUMN(T_TraitDi[Jours flottants]),FALSE)</f>
        <v>#N/A</v>
      </c>
      <c r="Z88" s="284" t="str">
        <f>IFERROR(VLOOKUP(T_Convention[[#This Row],[NumL]],T_TraitDi[#Data],COLUMN(T_TraitDi[Lundi]),FALSE),"")</f>
        <v/>
      </c>
      <c r="AA88" s="284" t="e">
        <f>IF(VLOOKUP(T_Convention[[#This Row],[NumL]],T_TraitDi[#Data],COLUMN(T_TraitDi[Colonne3]),FALSE)=0,"",TEXT(IFERROR(VLOOKUP(T_Convention[[#This Row],[NumL]],T_TraitDi[#Data],COLUMN(T_TraitDi[Colonne3]),FALSE),""),"[hh]:mm"))</f>
        <v>#N/A</v>
      </c>
      <c r="AB88" s="284" t="e">
        <f>IF(VLOOKUP(T_Convention[[#This Row],[NumL]],T_TraitDi[#Data],COLUMN(T_TraitDi[Colonne4]),FALSE)=0,"",TEXT(IFERROR(VLOOKUP(T_Convention[[#This Row],[NumL]],T_TraitDi[#Data],COLUMN(T_TraitDi[Colonne4]),FALSE),""),"[hh]:mm"))</f>
        <v>#N/A</v>
      </c>
      <c r="AC88" s="284" t="e">
        <f>IF(VLOOKUP(T_Convention[[#This Row],[NumL]],T_TraitDi[#Data],COLUMN(T_TraitDi[Colonne5]),FALSE)=0,"",TEXT(IFERROR(VLOOKUP(T_Convention[[#This Row],[NumL]],T_TraitDi[#Data],COLUMN(T_TraitDi[Colonne5]),FALSE),""),"[hh]:mm"))</f>
        <v>#N/A</v>
      </c>
      <c r="AD88" s="284" t="e">
        <f>IF(VLOOKUP(T_Convention[[#This Row],[NumL]],T_TraitDi[#Data],COLUMN(T_TraitDi[Colonne6]),FALSE)=0,"",TEXT(IFERROR(VLOOKUP(T_Convention[[#This Row],[NumL]],T_TraitDi[#Data],COLUMN(T_TraitDi[Colonne6]),FALSE),""),"[hh]:mm"))</f>
        <v>#N/A</v>
      </c>
      <c r="AE88" s="284" t="e">
        <f>IF(VLOOKUP(T_Convention[[#This Row],[NumL]],T_TraitDi[#Data],COLUMN(T_TraitDi[Colonne7]),FALSE)=0,"",TEXT(IFERROR(VLOOKUP(T_Convention[[#This Row],[NumL]],T_TraitDi[#Data],COLUMN(T_TraitDi[Colonne7]),FALSE),""),"[hh]:mm"))</f>
        <v>#N/A</v>
      </c>
      <c r="AF88" s="284" t="e">
        <f>IF(VLOOKUP(T_Convention[[#This Row],[NumL]],T_TraitDi[#Data],COLUMN(T_TraitDi[Colonne8]),FALSE)=0,"",TEXT(IFERROR(VLOOKUP(T_Convention[[#This Row],[NumL]],T_TraitDi[#Data],COLUMN(T_TraitDi[Colonne8]),FALSE),""),"[hh]:mm"))</f>
        <v>#N/A</v>
      </c>
      <c r="AG88" s="284" t="str">
        <f>IFERROR(VLOOKUP(T_Convention[[#This Row],[NumL]],T_TraitDi[#Data],COLUMN(T_TraitDi[Mardi]),FALSE),"")</f>
        <v/>
      </c>
      <c r="AH88" s="284" t="e">
        <f>IF(VLOOKUP(T_Convention[[#This Row],[NumL]],T_TraitDi[#Data],COLUMN(T_TraitDi[Colonne1]),FALSE)=0,"",TEXT(IFERROR(VLOOKUP(T_Convention[[#This Row],[NumL]],T_TraitDi[#Data],COLUMN(T_TraitDi[Colonne1]),FALSE),""),"[hh]:mm"))</f>
        <v>#N/A</v>
      </c>
      <c r="AI88" s="284" t="e">
        <f>IF(VLOOKUP(T_Convention[[#This Row],[NumL]],T_TraitDi[#Data],COLUMN(T_TraitDi[Colonne9]),FALSE)=0,"",TEXT(IFERROR(VLOOKUP(T_Convention[[#This Row],[NumL]],T_TraitDi[#Data],COLUMN(T_TraitDi[Colonne9]),FALSE),""),"[hh]:mm"))</f>
        <v>#N/A</v>
      </c>
      <c r="AJ88" s="284" t="str">
        <f>IFERROR(VLOOKUP(T_Convention[[#This Row],[NumL]],T_TraitDi[#Data],COLUMN(T_TraitDi[Colonne10]),FALSE),"")</f>
        <v/>
      </c>
      <c r="AK88" s="284" t="e">
        <f>IF(VLOOKUP(T_Convention[[#This Row],[NumL]],T_TraitDi[#Data],COLUMN(T_TraitDi[Colonne11]),FALSE)=0,"",TEXT(IFERROR(VLOOKUP(T_Convention[[#This Row],[NumL]],T_TraitDi[#Data],COLUMN(T_TraitDi[Colonne11]),FALSE),""),"[hh]:mm"))</f>
        <v>#N/A</v>
      </c>
      <c r="AL88" s="284" t="e">
        <f>IF(VLOOKUP(T_Convention[[#This Row],[NumL]],T_TraitDi[#Data],COLUMN(T_TraitDi[Colonne12]),FALSE)=0,"",TEXT(IFERROR(VLOOKUP(T_Convention[[#This Row],[NumL]],T_TraitDi[#Data],COLUMN(T_TraitDi[Colonne12]),FALSE),""),"[hh]:mm"))</f>
        <v>#N/A</v>
      </c>
      <c r="AM88" s="284" t="e">
        <f>IF(VLOOKUP(T_Convention[[#This Row],[NumL]],T_TraitDi[#Data],COLUMN(T_TraitDi[Colonne14]),FALSE)=0,"",TEXT(IFERROR(VLOOKUP(T_Convention[[#This Row],[NumL]],T_TraitDi[#Data],COLUMN(T_TraitDi[Colonne14]),FALSE),""),"[hh]:mm"))</f>
        <v>#N/A</v>
      </c>
      <c r="AN88" s="284" t="str">
        <f>IFERROR(VLOOKUP(T_Convention[[#This Row],[NumL]],T_TraitDi[#Data],COLUMN(T_TraitDi[Mercredi]),FALSE),"")</f>
        <v/>
      </c>
      <c r="AO88" s="284" t="e">
        <f>IF(VLOOKUP(T_Convention[[#This Row],[NumL]],T_TraitDi[#Data],COLUMN(T_TraitDi[Colonne15]),FALSE)=0,"",TEXT(IFERROR(VLOOKUP(T_Convention[[#This Row],[NumL]],T_TraitDi[#Data],COLUMN(T_TraitDi[Colonne15]),FALSE),""),"[hh]:mm"))</f>
        <v>#N/A</v>
      </c>
      <c r="AP88" s="284" t="e">
        <f>IF(VLOOKUP(T_Convention[[#This Row],[NumL]],T_TraitDi[#Data],COLUMN(T_TraitDi[Colonne16]),FALSE)=0,"",TEXT(IFERROR(VLOOKUP(T_Convention[[#This Row],[NumL]],T_TraitDi[#Data],COLUMN(T_TraitDi[Colonne16]),FALSE),""),"[hh]:mm"))</f>
        <v>#N/A</v>
      </c>
      <c r="AQ88" s="284" t="str">
        <f>IFERROR(VLOOKUP(T_Convention[[#This Row],[NumL]],T_TraitDi[#Data],COLUMN(T_TraitDi[Colonne17]),FALSE),"")</f>
        <v/>
      </c>
      <c r="AR88" s="284" t="e">
        <f>IF(VLOOKUP(T_Convention[[#This Row],[NumL]],T_TraitDi[#Data],COLUMN(T_TraitDi[Colonne18]),FALSE)=0,"",TEXT(IFERROR(VLOOKUP(T_Convention[[#This Row],[NumL]],T_TraitDi[#Data],COLUMN(T_TraitDi[Colonne18]),FALSE),""),"[hh]:mm"))</f>
        <v>#N/A</v>
      </c>
      <c r="AS88" s="284" t="e">
        <f>IF(VLOOKUP(T_Convention[[#This Row],[NumL]],T_TraitDi[#Data],COLUMN(T_TraitDi[Colonne19]),FALSE)=0,"",TEXT(IFERROR(VLOOKUP(T_Convention[[#This Row],[NumL]],T_TraitDi[#Data],COLUMN(T_TraitDi[Colonne19]),FALSE),""),"[hh]:mm"))</f>
        <v>#N/A</v>
      </c>
      <c r="AT88" s="284" t="e">
        <f>IF(VLOOKUP(T_Convention[[#This Row],[NumL]],T_TraitDi[#Data],COLUMN(T_TraitDi[Colonne20]),FALSE)=0,"",TEXT(IFERROR(VLOOKUP(T_Convention[[#This Row],[NumL]],T_TraitDi[#Data],COLUMN(T_TraitDi[Colonne20]),FALSE),""),"[hh]:mm"))</f>
        <v>#N/A</v>
      </c>
      <c r="AU88" s="284" t="str">
        <f>IFERROR(VLOOKUP(T_Convention[[#This Row],[NumL]],T_TraitDi[#Data],COLUMN(T_TraitDi[Jeudi]),FALSE),"")</f>
        <v/>
      </c>
      <c r="AV88" s="284" t="e">
        <f>IF(VLOOKUP(T_Convention[[#This Row],[NumL]],T_TraitDi[#Data],COLUMN(T_TraitDi[Colonne21]),FALSE)=0,"",TEXT(IFERROR(VLOOKUP(T_Convention[[#This Row],[NumL]],T_TraitDi[#Data],COLUMN(T_TraitDi[Colonne21]),FALSE),""),"[hh]:mm"))</f>
        <v>#N/A</v>
      </c>
      <c r="AW88" s="284" t="e">
        <f>IF(VLOOKUP(T_Convention[[#This Row],[NumL]],T_TraitDi[#Data],COLUMN(T_TraitDi[Colonne22]),FALSE)=0,"",TEXT(IFERROR(VLOOKUP(T_Convention[[#This Row],[NumL]],T_TraitDi[#Data],COLUMN(T_TraitDi[Colonne22]),FALSE),""),"[hh]:mm"))</f>
        <v>#N/A</v>
      </c>
      <c r="AX88" s="284" t="str">
        <f>IFERROR(VLOOKUP(T_Convention[[#This Row],[NumL]],T_TraitDi[#Data],COLUMN(T_TraitDi[Colonne23]),FALSE),"")</f>
        <v/>
      </c>
      <c r="AY88" s="284" t="e">
        <f>IF(VLOOKUP(T_Convention[[#This Row],[NumL]],T_TraitDi[#Data],COLUMN(T_TraitDi[Colonne24]),FALSE)=0,"",TEXT(IFERROR(VLOOKUP(T_Convention[[#This Row],[NumL]],T_TraitDi[#Data],COLUMN(T_TraitDi[Colonne24]),FALSE),""),"[hh]:mm"))</f>
        <v>#N/A</v>
      </c>
      <c r="AZ88" s="284" t="e">
        <f>IF(VLOOKUP(T_Convention[[#This Row],[NumL]],T_TraitDi[#Data],COLUMN(T_TraitDi[Colonne25]),FALSE)=0,"",TEXT(IFERROR(VLOOKUP(T_Convention[[#This Row],[NumL]],T_TraitDi[#Data],COLUMN(T_TraitDi[Colonne25]),FALSE),""),"[hh]:mm"))</f>
        <v>#N/A</v>
      </c>
      <c r="BA88" s="284" t="e">
        <f>IF(VLOOKUP(T_Convention[[#This Row],[NumL]],T_TraitDi[#Data],COLUMN(T_TraitDi[Colonne26]),FALSE)=0,"",TEXT(IFERROR(VLOOKUP(T_Convention[[#This Row],[NumL]],T_TraitDi[#Data],COLUMN(T_TraitDi[Colonne26]),FALSE),""),"[hh]:mm"))</f>
        <v>#N/A</v>
      </c>
      <c r="BB88" s="284" t="str">
        <f>IFERROR(VLOOKUP(T_Convention[[#This Row],[NumL]],T_TraitDi[#Data],COLUMN(T_TraitDi[Vendredi]),FALSE),"")</f>
        <v/>
      </c>
      <c r="BC88" s="284" t="e">
        <f>IF(VLOOKUP(T_Convention[[#This Row],[NumL]],T_TraitDi[#Data],COLUMN(T_TraitDi[Colonne27]),FALSE)=0,"",TEXT(IFERROR(VLOOKUP(T_Convention[[#This Row],[NumL]],T_TraitDi[#Data],COLUMN(T_TraitDi[Colonne27]),FALSE),""),"[hh]:mm"))</f>
        <v>#N/A</v>
      </c>
      <c r="BD88" s="284" t="e">
        <f>IF(VLOOKUP(T_Convention[[#This Row],[NumL]],T_TraitDi[#Data],COLUMN(T_TraitDi[Colonne28]),FALSE)=0,"",TEXT(IFERROR(VLOOKUP(T_Convention[[#This Row],[NumL]],T_TraitDi[#Data],COLUMN(T_TraitDi[Colonne28]),FALSE),""),"[hh]:mm"))</f>
        <v>#N/A</v>
      </c>
      <c r="BE88" s="284" t="str">
        <f>IFERROR(VLOOKUP(T_Convention[[#This Row],[NumL]],T_TraitDi[#Data],COLUMN(T_TraitDi[Colonne29]),FALSE),"")</f>
        <v/>
      </c>
      <c r="BF88" s="284" t="e">
        <f>IF(VLOOKUP(T_Convention[[#This Row],[NumL]],T_TraitDi[#Data],COLUMN(T_TraitDi[Colonne30]),FALSE)=0,"",TEXT(IFERROR(VLOOKUP(T_Convention[[#This Row],[NumL]],T_TraitDi[#Data],COLUMN(T_TraitDi[Colonne30]),FALSE),""),"[hh]:mm"))</f>
        <v>#N/A</v>
      </c>
      <c r="BG88" s="284" t="e">
        <f>IF(VLOOKUP(T_Convention[[#This Row],[NumL]],T_TraitDi[#Data],COLUMN(T_TraitDi[Colonne31]),FALSE)=0,"",TEXT(IFERROR(VLOOKUP(T_Convention[[#This Row],[NumL]],T_TraitDi[#Data],COLUMN(T_TraitDi[Colonne31]),FALSE),""),"[hh]:mm"))</f>
        <v>#N/A</v>
      </c>
      <c r="BH88" s="284" t="e">
        <f>IF(VLOOKUP(T_Convention[[#This Row],[NumL]],T_TraitDi[#Data],COLUMN(T_TraitDi[Colonne32]),FALSE)=0,"",TEXT(IFERROR(VLOOKUP(T_Convention[[#This Row],[NumL]],T_TraitDi[#Data],COLUMN(T_TraitDi[Colonne32]),FALSE),""),"[hh]:mm"))</f>
        <v>#N/A</v>
      </c>
      <c r="BI88" s="284" t="str">
        <f>IFERROR(VLOOKUP(T_Convention[[#This Row],[NumL]],T_TraitDi[#Data],COLUMN(T_TraitDi[NbJTW]),FALSE),"")</f>
        <v/>
      </c>
      <c r="BJ88" s="284" t="e">
        <f>IF(VLOOKUP(T_Convention[[#This Row],[NumL]],T_TraitDi[#Data],COLUMN(T_TraitDi[NbhTW]),FALSE)=0,"",TEXT(IFERROR(VLOOKUP(T_Convention[[#This Row],[NumL]],T_TraitDi[#Data],COLUMN(T_TraitDi[NbhTW]),FALSE),""),"[hh]:mm"))</f>
        <v>#N/A</v>
      </c>
      <c r="BK88" s="286" t="e">
        <f>IF(VLOOKUP(T_Convention[[#This Row],[NumL]],T_TraitDi[#Data],COLUMN(T_TraitDi[Nbhheb]),FALSE)=0,"",TEXT(IFERROR(VLOOKUP(T_Convention[[#This Row],[NumL]],T_TraitDi[#Data],COLUMN(T_TraitDi[Nbhheb]),FALSE),""),"[hh]:mm"))</f>
        <v>#N/A</v>
      </c>
      <c r="BL88" s="287" t="str">
        <f>IFERROR(VLOOKUP(VLOOKUP(T_Convention[[#This Row],[NumL]],T_TraitDi[#Data],COLUMN(T_TraitDi[Type1]),FALSE),TypeTW,2,FALSE),"")</f>
        <v/>
      </c>
      <c r="BM88" s="288" t="str">
        <f>IFERROR(VLOOKUP(T_Convention[[#This Row],[NumL]],T_TraitDi[#Data],COLUMN(T_TraitDi[Rue1]),FALSE),"")</f>
        <v/>
      </c>
      <c r="BN88" s="289" t="str">
        <f>IFERROR(VLOOKUP(T_Convention[[#This Row],[NumL]],T_TraitDi[#Data],COLUMN(T_TraitDi[CP1]),FALSE),"")</f>
        <v/>
      </c>
      <c r="BO88" s="282" t="str">
        <f>IFERROR(VLOOKUP(T_Convention[[#This Row],[NumL]],T_TraitDi[#Data],COLUMN(T_TraitDi[VILLE1]),FALSE),"")</f>
        <v/>
      </c>
      <c r="BP88" s="290" t="str">
        <f>IFERROR(VLOOKUP(VLOOKUP(T_Convention[[#This Row],[NumL]],T_TraitDi[#Data],COLUMN(T_TraitDi[Type2]),FALSE),TypeTW,2,FALSE),"")</f>
        <v/>
      </c>
      <c r="BQ88" s="182" t="str">
        <f>IFERROR(VLOOKUP(T_Convention[[#This Row],[NumL]],T_TraitDi[#Data],COLUMN(T_TraitDi[Rue2]),FALSE),"")</f>
        <v/>
      </c>
      <c r="BR88" s="173" t="str">
        <f>IFERROR(VLOOKUP(T_Convention[[#This Row],[NumL]],T_TraitDi[#Data],COLUMN(T_TraitDi[CP2]),FALSE),"")</f>
        <v/>
      </c>
      <c r="BS88" s="173" t="str">
        <f>IFERROR(VLOOKUP(T_Convention[[#This Row],[NumL]],T_TraitDi[#Data],COLUMN(T_TraitDi[VILLE2]),FALSE),"")</f>
        <v/>
      </c>
      <c r="BT88" s="182" t="str">
        <f>IF(VLOOKUP(T_Convention[[#This Row],[NumL]],T_Equipement[#Data],COLUMN(T_Equipement[PC]),FALSE)="","Aucun équipement spécifique directement lié au télétravail",VLOOKUP(T_Convention[[#This Row],[NumL]],T_Equipement[#Data],COLUMN(T_Equipement[PC]),FALSE))</f>
        <v xml:space="preserve">16-407	</v>
      </c>
      <c r="BU88" s="166" t="str">
        <f>IFERROR(IF(VLOOKUP(T_Convention[[#This Row],[NumL]],T_TraitDi[#Data],COLUMN(T_TraitDi[Plan]),FALSE)="OK","Un planning spécifique de télétravail est annexé à la présente convention.",""),"")</f>
        <v/>
      </c>
      <c r="BV88" s="185" t="s">
        <v>3512</v>
      </c>
      <c r="BW88" s="164" t="e">
        <f>IF(VLOOKUP(T_Convention[[#This Row],[NumL]],T_suiviDi[#Data],COLUMN(T_suiviDi[Entité]),FALSE)="","",VLOOKUP(T_Convention[[#This Row],[NumL]],T_suiviDi[#Data],COLUMN(T_suiviDi[Entité]),FALSE))</f>
        <v>#N/A</v>
      </c>
      <c r="BX88" s="164" t="str">
        <f>IF(VLOOKUP(T_Convention[[#This Row],[NumL]],T_Commission[#Data],COLUMN(T_Commission[envoi confirm TW]),FALSE)="","",VLOOKUP(T_Convention[[#This Row],[NumL]],T_Commission[#Data],COLUMN(T_Commission[envoi confirm TW]),FALSE))</f>
        <v>Oui</v>
      </c>
      <c r="BY8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8" s="264">
        <f>VLOOKUP(T_Convention[[#This Row],[NumL]],T_Commission[#Data],COLUMN(T_Commission[Commentaire]),FALSE)</f>
        <v>0</v>
      </c>
      <c r="CA88" s="254" t="str">
        <f>IF(VLOOKUP(T_Convention[[#This Row],[NumL]],T_Commission[#Data],COLUMN(T_Commission[Encadrant Email]),FALSE)="","",VLOOKUP(T_Convention[[#This Row],[NumL]],T_Commission[#Data],COLUMN(T_Commission[Encadrant Email]),FALSE))</f>
        <v/>
      </c>
      <c r="CB88" s="352" t="e">
        <f>VLOOKUP(T_Convention[[#This Row],[NumL]],T_TraitDi[#Data],COLUMN(T_TraitDi[NbJTot]),FALSE)</f>
        <v>#N/A</v>
      </c>
      <c r="CC88" s="352" t="e">
        <f>VLOOKUP(T_Convention[[#This Row],[NumL]],T_TraitDi[#Data],COLUMN(T_TraitDi[Reg Ponct]),FALSE)</f>
        <v>#N/A</v>
      </c>
      <c r="CD88" s="348" t="str">
        <f>IF(T_Convention[[#This Row],[Final]]&lt;&gt;"",VLOOKUP(T_Convention[[#This Row],[NumL]],T_suiviDi[#Data],COLUMN((T_suiviDi[Statut])),FALSE),"")</f>
        <v/>
      </c>
    </row>
    <row r="89" spans="1:82" s="106" customFormat="1" ht="18.75" customHeight="1" x14ac:dyDescent="0.25">
      <c r="A89" s="160">
        <v>60</v>
      </c>
      <c r="B89" s="161" t="str">
        <f>VLOOKUP(T_Convention[[#This Row],[NumL]],T_Commission[#Data],COLUMN(T_Commission[FINAL]),FALSE)</f>
        <v/>
      </c>
      <c r="C89" s="162"/>
      <c r="D89" s="95" t="e">
        <f>IF(VLOOKUP(T_Convention[[#This Row],[NumL]],T_TraitDi[#Data],COLUMN(T_TraitDi[WebC]),FALSE)="","",VLOOKUP(T_Convention[[#This Row],[NumL]],T_TraitDi[#Data],COLUMN(T_TraitDi[WebC]),FALSE))</f>
        <v>#N/A</v>
      </c>
      <c r="E89" s="163" t="str">
        <f t="shared" si="5"/>
        <v>12 janvier 2021</v>
      </c>
      <c r="F89" s="282" t="str">
        <f>IF(T_Convention[[#This Row],[Final]]&lt;&gt;"",VLOOKUP(T_Convention[[#This Row],[NumL]],T_suiviDi[#Data],COLUMN((T_suiviDi[Civ.])),FALSE),"")</f>
        <v/>
      </c>
      <c r="G89" s="283" t="str">
        <f>IF(T_Convention[[#This Row],[Final]]&lt;&gt;"",VLOOKUP(T_Convention[[#This Row],[NumL]],T_suiviDi[#Data],COLUMN((T_suiviDi[Nom])),FALSE),"")</f>
        <v/>
      </c>
      <c r="H89" s="282" t="str">
        <f>IF(T_Convention[[#This Row],[Final]]&lt;&gt;"",VLOOKUP(T_Convention[[#This Row],[NumL]],T_suiviDi[#Data],COLUMN((T_suiviDi[Prénom])),FALSE),"")</f>
        <v/>
      </c>
      <c r="I89" s="282" t="e">
        <f>VLOOKUP(T_Convention[[#This Row],[NumL]],T_suiviDi[#Data],COLUMN((T_suiviDi[[#This Row],[Email]])),FALSE)</f>
        <v>#VALUE!</v>
      </c>
      <c r="J89" s="282" t="e">
        <f>IF(VLOOKUP(T_Convention[[#This Row],[NumL]],T_suiviDi[#Data],COLUMN(T_suiviDi[[#This Row],[Fonction]]),FALSE)="","",VLOOKUP(T_Convention[[#This Row],[NumL]],T_suiviDi[#Data],COLUMN(T_suiviDi[[#This Row],[Fonction]]),FALSE))</f>
        <v>#VALUE!</v>
      </c>
      <c r="K89" s="282" t="e">
        <f>IF(VLOOKUP(T_Convention[[#This Row],[NumL]],T_suiviDi[#Data],COLUMN(T_suiviDi[[#This Row],[Grade]]),FALSE)="","",VLOOKUP(T_Convention[[#This Row],[NumL]],T_suiviDi[#Data],COLUMN(T_suiviDi[[#This Row],[Grade]]),FALSE))</f>
        <v>#VALUE!</v>
      </c>
      <c r="L89" s="282" t="e">
        <f>IF(VLOOKUP(T_Convention[[#This Row],[NumL]],T_suiviDi[#Data],COLUMN(T_suiviDi[[#This Row],[Service ]]),FALSE)="","",VLOOKUP(T_Convention[[#This Row],[NumL]],T_suiviDi[#Data],COLUMN(T_suiviDi[[#This Row],[Service ]]),FALSE))</f>
        <v>#VALUE!</v>
      </c>
      <c r="M89" s="164" t="str">
        <f t="shared" si="6"/>
        <v>01 septembre 2021</v>
      </c>
      <c r="N89" s="164" t="str">
        <f t="shared" si="7"/>
        <v>30 novembre 2021</v>
      </c>
      <c r="O89" s="284" t="str">
        <f t="shared" si="8"/>
        <v>30 novembre 2021</v>
      </c>
      <c r="P89" s="282" t="e">
        <f>IF(VLOOKUP(T_Convention[[#This Row],[NumL]],T_TraitDi[#Data],COLUMN(T_TraitDi[M1]),FALSE)="","",VLOOKUP(T_Convention[[#This Row],[NumL]],T_TraitDi[#Data],COLUMN(T_TraitDi[M1]),FALSE))</f>
        <v>#N/A</v>
      </c>
      <c r="Q89" s="282" t="e">
        <f>IF(VLOOKUP(T_Convention[[#This Row],[NumL]],T_TraitDi[#Data],COLUMN(T_TraitDi[M2]),FALSE)="","",VLOOKUP(T_Convention[[#This Row],[NumL]],T_TraitDi[#Data],COLUMN(T_TraitDi[M2]),FALSE))</f>
        <v>#N/A</v>
      </c>
      <c r="R89" s="282" t="e">
        <f>IF(VLOOKUP(T_Convention[[#This Row],[NumL]],T_TraitDi[#Data],COLUMN(T_TraitDi[M3]),FALSE)="","",VLOOKUP(T_Convention[[#This Row],[NumL]],T_TraitDi[#Data],COLUMN(T_TraitDi[M3]),FALSE))</f>
        <v>#N/A</v>
      </c>
      <c r="S89" s="282" t="e">
        <f>IF(VLOOKUP(T_Convention[[#This Row],[NumL]],T_TraitDi[#Data],COLUMN(T_TraitDi[M4]),FALSE)="","",VLOOKUP(T_Convention[[#This Row],[NumL]],T_TraitDi[#Data],COLUMN(T_TraitDi[M4]),FALSE))</f>
        <v>#N/A</v>
      </c>
      <c r="T89" s="282" t="e">
        <f>IF(VLOOKUP(T_Convention[[#This Row],[NumL]],T_TraitDi[#Data],COLUMN(T_TraitDi[M5]),FALSE)="","",VLOOKUP(T_Convention[[#This Row],[NumL]],T_TraitDi[#Data],COLUMN(T_TraitDi[M5]),FALSE))</f>
        <v>#N/A</v>
      </c>
      <c r="U89" s="282" t="e">
        <f>IF(VLOOKUP(T_Convention[[#This Row],[NumL]],T_TraitDi[#Data],COLUMN(T_TraitDi[M6]),FALSE)="","",VLOOKUP(T_Convention[[#This Row],[NumL]],T_TraitDi[#Data],COLUMN(T_TraitDi[M6]),FALSE))</f>
        <v>#N/A</v>
      </c>
      <c r="V89" s="176" t="e">
        <f t="shared" si="9"/>
        <v>#N/A</v>
      </c>
      <c r="W89" s="284" t="str">
        <f>IFERROR(TEXT(VLOOKUP(T_Convention[[#This Row],[NumL]],T_TraitDi[#Data],COLUMN(T_TraitDi[Q2]),FALSE),"###%"),"")</f>
        <v/>
      </c>
      <c r="X89" s="97" t="e">
        <f>VLOOKUP(T_Convention[[#This Row],[NumL]],T_TraitDi[#Data],COLUMN(T_TraitDi[Reg Ponct]),FALSE)</f>
        <v>#N/A</v>
      </c>
      <c r="Y89" s="97" t="e">
        <f>VLOOKUP(T_Convention[NumL],T_TraitDi[#Data],COLUMN(T_TraitDi[Jours flottants]),FALSE)</f>
        <v>#N/A</v>
      </c>
      <c r="Z89" s="284" t="str">
        <f>IFERROR(VLOOKUP(T_Convention[[#This Row],[NumL]],T_TraitDi[#Data],COLUMN(T_TraitDi[Lundi]),FALSE),"")</f>
        <v/>
      </c>
      <c r="AA89" s="284" t="e">
        <f>IF(VLOOKUP(T_Convention[[#This Row],[NumL]],T_TraitDi[#Data],COLUMN(T_TraitDi[Colonne3]),FALSE)=0,"",TEXT(IFERROR(VLOOKUP(T_Convention[[#This Row],[NumL]],T_TraitDi[#Data],COLUMN(T_TraitDi[Colonne3]),FALSE),""),"[hh]:mm"))</f>
        <v>#N/A</v>
      </c>
      <c r="AB89" s="284" t="e">
        <f>IF(VLOOKUP(T_Convention[[#This Row],[NumL]],T_TraitDi[#Data],COLUMN(T_TraitDi[Colonne4]),FALSE)=0,"",TEXT(IFERROR(VLOOKUP(T_Convention[[#This Row],[NumL]],T_TraitDi[#Data],COLUMN(T_TraitDi[Colonne4]),FALSE),""),"[hh]:mm"))</f>
        <v>#N/A</v>
      </c>
      <c r="AC89" s="284" t="e">
        <f>IF(VLOOKUP(T_Convention[[#This Row],[NumL]],T_TraitDi[#Data],COLUMN(T_TraitDi[Colonne5]),FALSE)=0,"",TEXT(IFERROR(VLOOKUP(T_Convention[[#This Row],[NumL]],T_TraitDi[#Data],COLUMN(T_TraitDi[Colonne5]),FALSE),""),"[hh]:mm"))</f>
        <v>#N/A</v>
      </c>
      <c r="AD89" s="284" t="e">
        <f>IF(VLOOKUP(T_Convention[[#This Row],[NumL]],T_TraitDi[#Data],COLUMN(T_TraitDi[Colonne6]),FALSE)=0,"",TEXT(IFERROR(VLOOKUP(T_Convention[[#This Row],[NumL]],T_TraitDi[#Data],COLUMN(T_TraitDi[Colonne6]),FALSE),""),"[hh]:mm"))</f>
        <v>#N/A</v>
      </c>
      <c r="AE89" s="284" t="e">
        <f>IF(VLOOKUP(T_Convention[[#This Row],[NumL]],T_TraitDi[#Data],COLUMN(T_TraitDi[Colonne7]),FALSE)=0,"",TEXT(IFERROR(VLOOKUP(T_Convention[[#This Row],[NumL]],T_TraitDi[#Data],COLUMN(T_TraitDi[Colonne7]),FALSE),""),"[hh]:mm"))</f>
        <v>#N/A</v>
      </c>
      <c r="AF89" s="284" t="e">
        <f>IF(VLOOKUP(T_Convention[[#This Row],[NumL]],T_TraitDi[#Data],COLUMN(T_TraitDi[Colonne8]),FALSE)=0,"",TEXT(IFERROR(VLOOKUP(T_Convention[[#This Row],[NumL]],T_TraitDi[#Data],COLUMN(T_TraitDi[Colonne8]),FALSE),""),"[hh]:mm"))</f>
        <v>#N/A</v>
      </c>
      <c r="AG89" s="284" t="str">
        <f>IFERROR(VLOOKUP(T_Convention[[#This Row],[NumL]],T_TraitDi[#Data],COLUMN(T_TraitDi[Mardi]),FALSE),"")</f>
        <v/>
      </c>
      <c r="AH89" s="284" t="e">
        <f>IF(VLOOKUP(T_Convention[[#This Row],[NumL]],T_TraitDi[#Data],COLUMN(T_TraitDi[Colonne1]),FALSE)=0,"",TEXT(IFERROR(VLOOKUP(T_Convention[[#This Row],[NumL]],T_TraitDi[#Data],COLUMN(T_TraitDi[Colonne1]),FALSE),""),"[hh]:mm"))</f>
        <v>#N/A</v>
      </c>
      <c r="AI89" s="284" t="e">
        <f>IF(VLOOKUP(T_Convention[[#This Row],[NumL]],T_TraitDi[#Data],COLUMN(T_TraitDi[Colonne9]),FALSE)=0,"",TEXT(IFERROR(VLOOKUP(T_Convention[[#This Row],[NumL]],T_TraitDi[#Data],COLUMN(T_TraitDi[Colonne9]),FALSE),""),"[hh]:mm"))</f>
        <v>#N/A</v>
      </c>
      <c r="AJ89" s="284" t="str">
        <f>IFERROR(VLOOKUP(T_Convention[[#This Row],[NumL]],T_TraitDi[#Data],COLUMN(T_TraitDi[Colonne10]),FALSE),"")</f>
        <v/>
      </c>
      <c r="AK89" s="284" t="e">
        <f>IF(VLOOKUP(T_Convention[[#This Row],[NumL]],T_TraitDi[#Data],COLUMN(T_TraitDi[Colonne11]),FALSE)=0,"",TEXT(IFERROR(VLOOKUP(T_Convention[[#This Row],[NumL]],T_TraitDi[#Data],COLUMN(T_TraitDi[Colonne11]),FALSE),""),"[hh]:mm"))</f>
        <v>#N/A</v>
      </c>
      <c r="AL89" s="284" t="e">
        <f>IF(VLOOKUP(T_Convention[[#This Row],[NumL]],T_TraitDi[#Data],COLUMN(T_TraitDi[Colonne12]),FALSE)=0,"",TEXT(IFERROR(VLOOKUP(T_Convention[[#This Row],[NumL]],T_TraitDi[#Data],COLUMN(T_TraitDi[Colonne12]),FALSE),""),"[hh]:mm"))</f>
        <v>#N/A</v>
      </c>
      <c r="AM89" s="284" t="e">
        <f>IF(VLOOKUP(T_Convention[[#This Row],[NumL]],T_TraitDi[#Data],COLUMN(T_TraitDi[Colonne14]),FALSE)=0,"",TEXT(IFERROR(VLOOKUP(T_Convention[[#This Row],[NumL]],T_TraitDi[#Data],COLUMN(T_TraitDi[Colonne14]),FALSE),""),"[hh]:mm"))</f>
        <v>#N/A</v>
      </c>
      <c r="AN89" s="284" t="str">
        <f>IFERROR(VLOOKUP(T_Convention[[#This Row],[NumL]],T_TraitDi[#Data],COLUMN(T_TraitDi[Mercredi]),FALSE),"")</f>
        <v/>
      </c>
      <c r="AO89" s="284" t="e">
        <f>IF(VLOOKUP(T_Convention[[#This Row],[NumL]],T_TraitDi[#Data],COLUMN(T_TraitDi[Colonne15]),FALSE)=0,"",TEXT(IFERROR(VLOOKUP(T_Convention[[#This Row],[NumL]],T_TraitDi[#Data],COLUMN(T_TraitDi[Colonne15]),FALSE),""),"[hh]:mm"))</f>
        <v>#N/A</v>
      </c>
      <c r="AP89" s="284" t="e">
        <f>IF(VLOOKUP(T_Convention[[#This Row],[NumL]],T_TraitDi[#Data],COLUMN(T_TraitDi[Colonne16]),FALSE)=0,"",TEXT(IFERROR(VLOOKUP(T_Convention[[#This Row],[NumL]],T_TraitDi[#Data],COLUMN(T_TraitDi[Colonne16]),FALSE),""),"[hh]:mm"))</f>
        <v>#N/A</v>
      </c>
      <c r="AQ89" s="284" t="str">
        <f>IFERROR(VLOOKUP(T_Convention[[#This Row],[NumL]],T_TraitDi[#Data],COLUMN(T_TraitDi[Colonne17]),FALSE),"")</f>
        <v/>
      </c>
      <c r="AR89" s="284" t="e">
        <f>IF(VLOOKUP(T_Convention[[#This Row],[NumL]],T_TraitDi[#Data],COLUMN(T_TraitDi[Colonne18]),FALSE)=0,"",TEXT(IFERROR(VLOOKUP(T_Convention[[#This Row],[NumL]],T_TraitDi[#Data],COLUMN(T_TraitDi[Colonne18]),FALSE),""),"[hh]:mm"))</f>
        <v>#N/A</v>
      </c>
      <c r="AS89" s="284" t="e">
        <f>IF(VLOOKUP(T_Convention[[#This Row],[NumL]],T_TraitDi[#Data],COLUMN(T_TraitDi[Colonne19]),FALSE)=0,"",TEXT(IFERROR(VLOOKUP(T_Convention[[#This Row],[NumL]],T_TraitDi[#Data],COLUMN(T_TraitDi[Colonne19]),FALSE),""),"[hh]:mm"))</f>
        <v>#N/A</v>
      </c>
      <c r="AT89" s="284" t="e">
        <f>IF(VLOOKUP(T_Convention[[#This Row],[NumL]],T_TraitDi[#Data],COLUMN(T_TraitDi[Colonne20]),FALSE)=0,"",TEXT(IFERROR(VLOOKUP(T_Convention[[#This Row],[NumL]],T_TraitDi[#Data],COLUMN(T_TraitDi[Colonne20]),FALSE),""),"[hh]:mm"))</f>
        <v>#N/A</v>
      </c>
      <c r="AU89" s="284" t="str">
        <f>IFERROR(VLOOKUP(T_Convention[[#This Row],[NumL]],T_TraitDi[#Data],COLUMN(T_TraitDi[Jeudi]),FALSE),"")</f>
        <v/>
      </c>
      <c r="AV89" s="284" t="e">
        <f>IF(VLOOKUP(T_Convention[[#This Row],[NumL]],T_TraitDi[#Data],COLUMN(T_TraitDi[Colonne21]),FALSE)=0,"",TEXT(IFERROR(VLOOKUP(T_Convention[[#This Row],[NumL]],T_TraitDi[#Data],COLUMN(T_TraitDi[Colonne21]),FALSE),""),"[hh]:mm"))</f>
        <v>#N/A</v>
      </c>
      <c r="AW89" s="284" t="e">
        <f>IF(VLOOKUP(T_Convention[[#This Row],[NumL]],T_TraitDi[#Data],COLUMN(T_TraitDi[Colonne22]),FALSE)=0,"",TEXT(IFERROR(VLOOKUP(T_Convention[[#This Row],[NumL]],T_TraitDi[#Data],COLUMN(T_TraitDi[Colonne22]),FALSE),""),"[hh]:mm"))</f>
        <v>#N/A</v>
      </c>
      <c r="AX89" s="284" t="str">
        <f>IFERROR(VLOOKUP(T_Convention[[#This Row],[NumL]],T_TraitDi[#Data],COLUMN(T_TraitDi[Colonne23]),FALSE),"")</f>
        <v/>
      </c>
      <c r="AY89" s="284" t="e">
        <f>IF(VLOOKUP(T_Convention[[#This Row],[NumL]],T_TraitDi[#Data],COLUMN(T_TraitDi[Colonne24]),FALSE)=0,"",TEXT(IFERROR(VLOOKUP(T_Convention[[#This Row],[NumL]],T_TraitDi[#Data],COLUMN(T_TraitDi[Colonne24]),FALSE),""),"[hh]:mm"))</f>
        <v>#N/A</v>
      </c>
      <c r="AZ89" s="284" t="e">
        <f>IF(VLOOKUP(T_Convention[[#This Row],[NumL]],T_TraitDi[#Data],COLUMN(T_TraitDi[Colonne25]),FALSE)=0,"",TEXT(IFERROR(VLOOKUP(T_Convention[[#This Row],[NumL]],T_TraitDi[#Data],COLUMN(T_TraitDi[Colonne25]),FALSE),""),"[hh]:mm"))</f>
        <v>#N/A</v>
      </c>
      <c r="BA89" s="284" t="e">
        <f>IF(VLOOKUP(T_Convention[[#This Row],[NumL]],T_TraitDi[#Data],COLUMN(T_TraitDi[Colonne26]),FALSE)=0,"",TEXT(IFERROR(VLOOKUP(T_Convention[[#This Row],[NumL]],T_TraitDi[#Data],COLUMN(T_TraitDi[Colonne26]),FALSE),""),"[hh]:mm"))</f>
        <v>#N/A</v>
      </c>
      <c r="BB89" s="284" t="str">
        <f>IFERROR(VLOOKUP(T_Convention[[#This Row],[NumL]],T_TraitDi[#Data],COLUMN(T_TraitDi[Vendredi]),FALSE),"")</f>
        <v/>
      </c>
      <c r="BC89" s="284" t="e">
        <f>IF(VLOOKUP(T_Convention[[#This Row],[NumL]],T_TraitDi[#Data],COLUMN(T_TraitDi[Colonne27]),FALSE)=0,"",TEXT(IFERROR(VLOOKUP(T_Convention[[#This Row],[NumL]],T_TraitDi[#Data],COLUMN(T_TraitDi[Colonne27]),FALSE),""),"[hh]:mm"))</f>
        <v>#N/A</v>
      </c>
      <c r="BD89" s="284" t="e">
        <f>IF(VLOOKUP(T_Convention[[#This Row],[NumL]],T_TraitDi[#Data],COLUMN(T_TraitDi[Colonne28]),FALSE)=0,"",TEXT(IFERROR(VLOOKUP(T_Convention[[#This Row],[NumL]],T_TraitDi[#Data],COLUMN(T_TraitDi[Colonne28]),FALSE),""),"[hh]:mm"))</f>
        <v>#N/A</v>
      </c>
      <c r="BE89" s="284" t="str">
        <f>IFERROR(VLOOKUP(T_Convention[[#This Row],[NumL]],T_TraitDi[#Data],COLUMN(T_TraitDi[Colonne29]),FALSE),"")</f>
        <v/>
      </c>
      <c r="BF89" s="284" t="e">
        <f>IF(VLOOKUP(T_Convention[[#This Row],[NumL]],T_TraitDi[#Data],COLUMN(T_TraitDi[Colonne30]),FALSE)=0,"",TEXT(IFERROR(VLOOKUP(T_Convention[[#This Row],[NumL]],T_TraitDi[#Data],COLUMN(T_TraitDi[Colonne30]),FALSE),""),"[hh]:mm"))</f>
        <v>#N/A</v>
      </c>
      <c r="BG89" s="284" t="e">
        <f>IF(VLOOKUP(T_Convention[[#This Row],[NumL]],T_TraitDi[#Data],COLUMN(T_TraitDi[Colonne31]),FALSE)=0,"",TEXT(IFERROR(VLOOKUP(T_Convention[[#This Row],[NumL]],T_TraitDi[#Data],COLUMN(T_TraitDi[Colonne31]),FALSE),""),"[hh]:mm"))</f>
        <v>#N/A</v>
      </c>
      <c r="BH89" s="284" t="e">
        <f>IF(VLOOKUP(T_Convention[[#This Row],[NumL]],T_TraitDi[#Data],COLUMN(T_TraitDi[Colonne32]),FALSE)=0,"",TEXT(IFERROR(VLOOKUP(T_Convention[[#This Row],[NumL]],T_TraitDi[#Data],COLUMN(T_TraitDi[Colonne32]),FALSE),""),"[hh]:mm"))</f>
        <v>#N/A</v>
      </c>
      <c r="BI89" s="284" t="str">
        <f>IFERROR(VLOOKUP(T_Convention[[#This Row],[NumL]],T_TraitDi[#Data],COLUMN(T_TraitDi[NbJTW]),FALSE),"")</f>
        <v/>
      </c>
      <c r="BJ89" s="284" t="e">
        <f>IF(VLOOKUP(T_Convention[[#This Row],[NumL]],T_TraitDi[#Data],COLUMN(T_TraitDi[NbhTW]),FALSE)=0,"",TEXT(IFERROR(VLOOKUP(T_Convention[[#This Row],[NumL]],T_TraitDi[#Data],COLUMN(T_TraitDi[NbhTW]),FALSE),""),"[hh]:mm"))</f>
        <v>#N/A</v>
      </c>
      <c r="BK89" s="286" t="e">
        <f>IF(VLOOKUP(T_Convention[[#This Row],[NumL]],T_TraitDi[#Data],COLUMN(T_TraitDi[Nbhheb]),FALSE)=0,"",TEXT(IFERROR(VLOOKUP(T_Convention[[#This Row],[NumL]],T_TraitDi[#Data],COLUMN(T_TraitDi[Nbhheb]),FALSE),""),"[hh]:mm"))</f>
        <v>#N/A</v>
      </c>
      <c r="BL89" s="287" t="str">
        <f>IFERROR(VLOOKUP(VLOOKUP(T_Convention[[#This Row],[NumL]],T_TraitDi[#Data],COLUMN(T_TraitDi[Type1]),FALSE),TypeTW,2,FALSE),"")</f>
        <v/>
      </c>
      <c r="BM89" s="288" t="str">
        <f>IFERROR(VLOOKUP(T_Convention[[#This Row],[NumL]],T_TraitDi[#Data],COLUMN(T_TraitDi[Rue1]),FALSE),"")</f>
        <v/>
      </c>
      <c r="BN89" s="289" t="str">
        <f>IFERROR(VLOOKUP(T_Convention[[#This Row],[NumL]],T_TraitDi[#Data],COLUMN(T_TraitDi[CP1]),FALSE),"")</f>
        <v/>
      </c>
      <c r="BO89" s="282" t="str">
        <f>IFERROR(VLOOKUP(T_Convention[[#This Row],[NumL]],T_TraitDi[#Data],COLUMN(T_TraitDi[VILLE1]),FALSE),"")</f>
        <v/>
      </c>
      <c r="BP89" s="290" t="str">
        <f>IFERROR(VLOOKUP(VLOOKUP(T_Convention[[#This Row],[NumL]],T_TraitDi[#Data],COLUMN(T_TraitDi[Type2]),FALSE),TypeTW,2,FALSE),"")</f>
        <v/>
      </c>
      <c r="BQ89" s="182" t="str">
        <f>IFERROR(VLOOKUP(T_Convention[[#This Row],[NumL]],T_TraitDi[#Data],COLUMN(T_TraitDi[Rue2]),FALSE),"")</f>
        <v/>
      </c>
      <c r="BR89" s="173" t="str">
        <f>IFERROR(VLOOKUP(T_Convention[[#This Row],[NumL]],T_TraitDi[#Data],COLUMN(T_TraitDi[CP2]),FALSE),"")</f>
        <v/>
      </c>
      <c r="BS89" s="173" t="str">
        <f>IFERROR(VLOOKUP(T_Convention[[#This Row],[NumL]],T_TraitDi[#Data],COLUMN(T_TraitDi[VILLE2]),FALSE),"")</f>
        <v/>
      </c>
      <c r="BT89" s="182" t="str">
        <f>IF(VLOOKUP(T_Convention[[#This Row],[NumL]],T_Equipement[#Data],COLUMN(T_Equipement[PC]),FALSE)="","Aucun équipement spécifique directement lié au télétravail",VLOOKUP(T_Convention[[#This Row],[NumL]],T_Equipement[#Data],COLUMN(T_Equipement[PC]),FALSE))</f>
        <v xml:space="preserve">20-652	</v>
      </c>
      <c r="BU89" s="166" t="str">
        <f>IFERROR(IF(VLOOKUP(T_Convention[[#This Row],[NumL]],T_TraitDi[#Data],COLUMN(T_TraitDi[Plan]),FALSE)="OK","Un planning spécifique de télétravail est annexé à la présente convention.",""),"")</f>
        <v/>
      </c>
      <c r="BV89" s="185" t="s">
        <v>3415</v>
      </c>
      <c r="BW89" s="164" t="e">
        <f>IF(VLOOKUP(T_Convention[[#This Row],[NumL]],T_suiviDi[#Data],COLUMN(T_suiviDi[Entité]),FALSE)="","",VLOOKUP(T_Convention[[#This Row],[NumL]],T_suiviDi[#Data],COLUMN(T_suiviDi[Entité]),FALSE))</f>
        <v>#N/A</v>
      </c>
      <c r="BX89" s="164" t="str">
        <f>IF(VLOOKUP(T_Convention[[#This Row],[NumL]],T_Commission[#Data],COLUMN(T_Commission[envoi confirm TW]),FALSE)="","",VLOOKUP(T_Convention[[#This Row],[NumL]],T_Commission[#Data],COLUMN(T_Commission[envoi confirm TW]),FALSE))</f>
        <v>Oui</v>
      </c>
      <c r="BY8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89" s="264">
        <f>VLOOKUP(T_Convention[[#This Row],[NumL]],T_Commission[#Data],COLUMN(T_Commission[Commentaire]),FALSE)</f>
        <v>0</v>
      </c>
      <c r="CA89" s="254" t="str">
        <f>IF(VLOOKUP(T_Convention[[#This Row],[NumL]],T_Commission[#Data],COLUMN(T_Commission[Encadrant Email]),FALSE)="","",VLOOKUP(T_Convention[[#This Row],[NumL]],T_Commission[#Data],COLUMN(T_Commission[Encadrant Email]),FALSE))</f>
        <v/>
      </c>
      <c r="CB89" s="352" t="e">
        <f>VLOOKUP(T_Convention[[#This Row],[NumL]],T_TraitDi[#Data],COLUMN(T_TraitDi[NbJTot]),FALSE)</f>
        <v>#N/A</v>
      </c>
      <c r="CC89" s="352" t="e">
        <f>VLOOKUP(T_Convention[[#This Row],[NumL]],T_TraitDi[#Data],COLUMN(T_TraitDi[Reg Ponct]),FALSE)</f>
        <v>#N/A</v>
      </c>
      <c r="CD89" s="348" t="str">
        <f>IF(T_Convention[[#This Row],[Final]]&lt;&gt;"",VLOOKUP(T_Convention[[#This Row],[NumL]],T_suiviDi[#Data],COLUMN((T_suiviDi[Statut])),FALSE),"")</f>
        <v/>
      </c>
    </row>
    <row r="90" spans="1:82" s="106" customFormat="1" ht="18.75" customHeight="1" x14ac:dyDescent="0.25">
      <c r="A90" s="160">
        <v>172</v>
      </c>
      <c r="B90" s="161" t="str">
        <f>VLOOKUP(T_Convention[[#This Row],[NumL]],T_Commission[#Data],COLUMN(T_Commission[FINAL]),FALSE)</f>
        <v/>
      </c>
      <c r="C90" s="162"/>
      <c r="D90" s="95" t="e">
        <f>IF(VLOOKUP(T_Convention[[#This Row],[NumL]],T_TraitDi[#Data],COLUMN(T_TraitDi[WebC]),FALSE)="","",VLOOKUP(T_Convention[[#This Row],[NumL]],T_TraitDi[#Data],COLUMN(T_TraitDi[WebC]),FALSE))</f>
        <v>#N/A</v>
      </c>
      <c r="E90" s="163" t="str">
        <f t="shared" si="5"/>
        <v>12 janvier 2021</v>
      </c>
      <c r="F90" s="282" t="str">
        <f>IF(T_Convention[[#This Row],[Final]]&lt;&gt;"",VLOOKUP(T_Convention[[#This Row],[NumL]],T_suiviDi[#Data],COLUMN((T_suiviDi[Civ.])),FALSE),"")</f>
        <v/>
      </c>
      <c r="G90" s="283" t="str">
        <f>IF(T_Convention[[#This Row],[Final]]&lt;&gt;"",VLOOKUP(T_Convention[[#This Row],[NumL]],T_suiviDi[#Data],COLUMN((T_suiviDi[Nom])),FALSE),"")</f>
        <v/>
      </c>
      <c r="H90" s="282" t="str">
        <f>IF(T_Convention[[#This Row],[Final]]&lt;&gt;"",VLOOKUP(T_Convention[[#This Row],[NumL]],T_suiviDi[#Data],COLUMN((T_suiviDi[Prénom])),FALSE),"")</f>
        <v/>
      </c>
      <c r="I90" s="282" t="e">
        <f>VLOOKUP(T_Convention[[#This Row],[NumL]],T_suiviDi[#Data],COLUMN((T_suiviDi[[#This Row],[Email]])),FALSE)</f>
        <v>#VALUE!</v>
      </c>
      <c r="J90" s="282" t="e">
        <f>IF(VLOOKUP(T_Convention[[#This Row],[NumL]],T_suiviDi[#Data],COLUMN(T_suiviDi[[#This Row],[Fonction]]),FALSE)="","",VLOOKUP(T_Convention[[#This Row],[NumL]],T_suiviDi[#Data],COLUMN(T_suiviDi[[#This Row],[Fonction]]),FALSE))</f>
        <v>#VALUE!</v>
      </c>
      <c r="K90" s="282" t="e">
        <f>IF(VLOOKUP(T_Convention[[#This Row],[NumL]],T_suiviDi[#Data],COLUMN(T_suiviDi[[#This Row],[Grade]]),FALSE)="","",VLOOKUP(T_Convention[[#This Row],[NumL]],T_suiviDi[#Data],COLUMN(T_suiviDi[[#This Row],[Grade]]),FALSE))</f>
        <v>#VALUE!</v>
      </c>
      <c r="L90" s="282" t="e">
        <f>IF(VLOOKUP(T_Convention[[#This Row],[NumL]],T_suiviDi[#Data],COLUMN(T_suiviDi[[#This Row],[Service ]]),FALSE)="","",VLOOKUP(T_Convention[[#This Row],[NumL]],T_suiviDi[#Data],COLUMN(T_suiviDi[[#This Row],[Service ]]),FALSE))</f>
        <v>#VALUE!</v>
      </c>
      <c r="M90" s="164" t="str">
        <f t="shared" si="6"/>
        <v>01 septembre 2021</v>
      </c>
      <c r="N90" s="164" t="str">
        <f t="shared" si="7"/>
        <v>30 novembre 2021</v>
      </c>
      <c r="O90" s="284" t="str">
        <f t="shared" si="8"/>
        <v>30 novembre 2021</v>
      </c>
      <c r="P90" s="282" t="e">
        <f>IF(VLOOKUP(T_Convention[[#This Row],[NumL]],T_TraitDi[#Data],COLUMN(T_TraitDi[M1]),FALSE)="","",VLOOKUP(T_Convention[[#This Row],[NumL]],T_TraitDi[#Data],COLUMN(T_TraitDi[M1]),FALSE))</f>
        <v>#N/A</v>
      </c>
      <c r="Q90" s="282" t="e">
        <f>IF(VLOOKUP(T_Convention[[#This Row],[NumL]],T_TraitDi[#Data],COLUMN(T_TraitDi[M2]),FALSE)="","",VLOOKUP(T_Convention[[#This Row],[NumL]],T_TraitDi[#Data],COLUMN(T_TraitDi[M2]),FALSE))</f>
        <v>#N/A</v>
      </c>
      <c r="R90" s="282" t="e">
        <f>IF(VLOOKUP(T_Convention[[#This Row],[NumL]],T_TraitDi[#Data],COLUMN(T_TraitDi[M3]),FALSE)="","",VLOOKUP(T_Convention[[#This Row],[NumL]],T_TraitDi[#Data],COLUMN(T_TraitDi[M3]),FALSE))</f>
        <v>#N/A</v>
      </c>
      <c r="S90" s="282" t="e">
        <f>IF(VLOOKUP(T_Convention[[#This Row],[NumL]],T_TraitDi[#Data],COLUMN(T_TraitDi[M4]),FALSE)="","",VLOOKUP(T_Convention[[#This Row],[NumL]],T_TraitDi[#Data],COLUMN(T_TraitDi[M4]),FALSE))</f>
        <v>#N/A</v>
      </c>
      <c r="T90" s="282" t="e">
        <f>IF(VLOOKUP(T_Convention[[#This Row],[NumL]],T_TraitDi[#Data],COLUMN(T_TraitDi[M5]),FALSE)="","",VLOOKUP(T_Convention[[#This Row],[NumL]],T_TraitDi[#Data],COLUMN(T_TraitDi[M5]),FALSE))</f>
        <v>#N/A</v>
      </c>
      <c r="U90" s="282" t="e">
        <f>IF(VLOOKUP(T_Convention[[#This Row],[NumL]],T_TraitDi[#Data],COLUMN(T_TraitDi[M6]),FALSE)="","",VLOOKUP(T_Convention[[#This Row],[NumL]],T_TraitDi[#Data],COLUMN(T_TraitDi[M6]),FALSE))</f>
        <v>#N/A</v>
      </c>
      <c r="V90" s="176" t="e">
        <f t="shared" si="9"/>
        <v>#N/A</v>
      </c>
      <c r="W90" s="284" t="str">
        <f>IFERROR(TEXT(VLOOKUP(T_Convention[[#This Row],[NumL]],T_TraitDi[#Data],COLUMN(T_TraitDi[Q2]),FALSE),"###%"),"")</f>
        <v/>
      </c>
      <c r="X90" s="97" t="e">
        <f>VLOOKUP(T_Convention[[#This Row],[NumL]],T_TraitDi[#Data],COLUMN(T_TraitDi[Reg Ponct]),FALSE)</f>
        <v>#N/A</v>
      </c>
      <c r="Y90" s="97" t="e">
        <f>VLOOKUP(T_Convention[NumL],T_TraitDi[#Data],COLUMN(T_TraitDi[Jours flottants]),FALSE)</f>
        <v>#N/A</v>
      </c>
      <c r="Z90" s="284" t="str">
        <f>IFERROR(VLOOKUP(T_Convention[[#This Row],[NumL]],T_TraitDi[#Data],COLUMN(T_TraitDi[Lundi]),FALSE),"")</f>
        <v/>
      </c>
      <c r="AA90" s="284" t="e">
        <f>IF(VLOOKUP(T_Convention[[#This Row],[NumL]],T_TraitDi[#Data],COLUMN(T_TraitDi[Colonne3]),FALSE)=0,"",TEXT(IFERROR(VLOOKUP(T_Convention[[#This Row],[NumL]],T_TraitDi[#Data],COLUMN(T_TraitDi[Colonne3]),FALSE),""),"[hh]:mm"))</f>
        <v>#N/A</v>
      </c>
      <c r="AB90" s="284" t="e">
        <f>IF(VLOOKUP(T_Convention[[#This Row],[NumL]],T_TraitDi[#Data],COLUMN(T_TraitDi[Colonne4]),FALSE)=0,"",TEXT(IFERROR(VLOOKUP(T_Convention[[#This Row],[NumL]],T_TraitDi[#Data],COLUMN(T_TraitDi[Colonne4]),FALSE),""),"[hh]:mm"))</f>
        <v>#N/A</v>
      </c>
      <c r="AC90" s="284" t="e">
        <f>IF(VLOOKUP(T_Convention[[#This Row],[NumL]],T_TraitDi[#Data],COLUMN(T_TraitDi[Colonne5]),FALSE)=0,"",TEXT(IFERROR(VLOOKUP(T_Convention[[#This Row],[NumL]],T_TraitDi[#Data],COLUMN(T_TraitDi[Colonne5]),FALSE),""),"[hh]:mm"))</f>
        <v>#N/A</v>
      </c>
      <c r="AD90" s="284" t="e">
        <f>IF(VLOOKUP(T_Convention[[#This Row],[NumL]],T_TraitDi[#Data],COLUMN(T_TraitDi[Colonne6]),FALSE)=0,"",TEXT(IFERROR(VLOOKUP(T_Convention[[#This Row],[NumL]],T_TraitDi[#Data],COLUMN(T_TraitDi[Colonne6]),FALSE),""),"[hh]:mm"))</f>
        <v>#N/A</v>
      </c>
      <c r="AE90" s="284" t="e">
        <f>IF(VLOOKUP(T_Convention[[#This Row],[NumL]],T_TraitDi[#Data],COLUMN(T_TraitDi[Colonne7]),FALSE)=0,"",TEXT(IFERROR(VLOOKUP(T_Convention[[#This Row],[NumL]],T_TraitDi[#Data],COLUMN(T_TraitDi[Colonne7]),FALSE),""),"[hh]:mm"))</f>
        <v>#N/A</v>
      </c>
      <c r="AF90" s="284" t="e">
        <f>IF(VLOOKUP(T_Convention[[#This Row],[NumL]],T_TraitDi[#Data],COLUMN(T_TraitDi[Colonne8]),FALSE)=0,"",TEXT(IFERROR(VLOOKUP(T_Convention[[#This Row],[NumL]],T_TraitDi[#Data],COLUMN(T_TraitDi[Colonne8]),FALSE),""),"[hh]:mm"))</f>
        <v>#N/A</v>
      </c>
      <c r="AG90" s="284" t="str">
        <f>IFERROR(VLOOKUP(T_Convention[[#This Row],[NumL]],T_TraitDi[#Data],COLUMN(T_TraitDi[Mardi]),FALSE),"")</f>
        <v/>
      </c>
      <c r="AH90" s="284" t="e">
        <f>IF(VLOOKUP(T_Convention[[#This Row],[NumL]],T_TraitDi[#Data],COLUMN(T_TraitDi[Colonne1]),FALSE)=0,"",TEXT(IFERROR(VLOOKUP(T_Convention[[#This Row],[NumL]],T_TraitDi[#Data],COLUMN(T_TraitDi[Colonne1]),FALSE),""),"[hh]:mm"))</f>
        <v>#N/A</v>
      </c>
      <c r="AI90" s="284" t="e">
        <f>IF(VLOOKUP(T_Convention[[#This Row],[NumL]],T_TraitDi[#Data],COLUMN(T_TraitDi[Colonne9]),FALSE)=0,"",TEXT(IFERROR(VLOOKUP(T_Convention[[#This Row],[NumL]],T_TraitDi[#Data],COLUMN(T_TraitDi[Colonne9]),FALSE),""),"[hh]:mm"))</f>
        <v>#N/A</v>
      </c>
      <c r="AJ90" s="284" t="str">
        <f>IFERROR(VLOOKUP(T_Convention[[#This Row],[NumL]],T_TraitDi[#Data],COLUMN(T_TraitDi[Colonne10]),FALSE),"")</f>
        <v/>
      </c>
      <c r="AK90" s="284" t="e">
        <f>IF(VLOOKUP(T_Convention[[#This Row],[NumL]],T_TraitDi[#Data],COLUMN(T_TraitDi[Colonne11]),FALSE)=0,"",TEXT(IFERROR(VLOOKUP(T_Convention[[#This Row],[NumL]],T_TraitDi[#Data],COLUMN(T_TraitDi[Colonne11]),FALSE),""),"[hh]:mm"))</f>
        <v>#N/A</v>
      </c>
      <c r="AL90" s="284" t="e">
        <f>IF(VLOOKUP(T_Convention[[#This Row],[NumL]],T_TraitDi[#Data],COLUMN(T_TraitDi[Colonne12]),FALSE)=0,"",TEXT(IFERROR(VLOOKUP(T_Convention[[#This Row],[NumL]],T_TraitDi[#Data],COLUMN(T_TraitDi[Colonne12]),FALSE),""),"[hh]:mm"))</f>
        <v>#N/A</v>
      </c>
      <c r="AM90" s="284" t="e">
        <f>IF(VLOOKUP(T_Convention[[#This Row],[NumL]],T_TraitDi[#Data],COLUMN(T_TraitDi[Colonne14]),FALSE)=0,"",TEXT(IFERROR(VLOOKUP(T_Convention[[#This Row],[NumL]],T_TraitDi[#Data],COLUMN(T_TraitDi[Colonne14]),FALSE),""),"[hh]:mm"))</f>
        <v>#N/A</v>
      </c>
      <c r="AN90" s="284" t="str">
        <f>IFERROR(VLOOKUP(T_Convention[[#This Row],[NumL]],T_TraitDi[#Data],COLUMN(T_TraitDi[Mercredi]),FALSE),"")</f>
        <v/>
      </c>
      <c r="AO90" s="284" t="e">
        <f>IF(VLOOKUP(T_Convention[[#This Row],[NumL]],T_TraitDi[#Data],COLUMN(T_TraitDi[Colonne15]),FALSE)=0,"",TEXT(IFERROR(VLOOKUP(T_Convention[[#This Row],[NumL]],T_TraitDi[#Data],COLUMN(T_TraitDi[Colonne15]),FALSE),""),"[hh]:mm"))</f>
        <v>#N/A</v>
      </c>
      <c r="AP90" s="284" t="e">
        <f>IF(VLOOKUP(T_Convention[[#This Row],[NumL]],T_TraitDi[#Data],COLUMN(T_TraitDi[Colonne16]),FALSE)=0,"",TEXT(IFERROR(VLOOKUP(T_Convention[[#This Row],[NumL]],T_TraitDi[#Data],COLUMN(T_TraitDi[Colonne16]),FALSE),""),"[hh]:mm"))</f>
        <v>#N/A</v>
      </c>
      <c r="AQ90" s="284" t="str">
        <f>IFERROR(VLOOKUP(T_Convention[[#This Row],[NumL]],T_TraitDi[#Data],COLUMN(T_TraitDi[Colonne17]),FALSE),"")</f>
        <v/>
      </c>
      <c r="AR90" s="284" t="e">
        <f>IF(VLOOKUP(T_Convention[[#This Row],[NumL]],T_TraitDi[#Data],COLUMN(T_TraitDi[Colonne18]),FALSE)=0,"",TEXT(IFERROR(VLOOKUP(T_Convention[[#This Row],[NumL]],T_TraitDi[#Data],COLUMN(T_TraitDi[Colonne18]),FALSE),""),"[hh]:mm"))</f>
        <v>#N/A</v>
      </c>
      <c r="AS90" s="284" t="e">
        <f>IF(VLOOKUP(T_Convention[[#This Row],[NumL]],T_TraitDi[#Data],COLUMN(T_TraitDi[Colonne19]),FALSE)=0,"",TEXT(IFERROR(VLOOKUP(T_Convention[[#This Row],[NumL]],T_TraitDi[#Data],COLUMN(T_TraitDi[Colonne19]),FALSE),""),"[hh]:mm"))</f>
        <v>#N/A</v>
      </c>
      <c r="AT90" s="284" t="e">
        <f>IF(VLOOKUP(T_Convention[[#This Row],[NumL]],T_TraitDi[#Data],COLUMN(T_TraitDi[Colonne20]),FALSE)=0,"",TEXT(IFERROR(VLOOKUP(T_Convention[[#This Row],[NumL]],T_TraitDi[#Data],COLUMN(T_TraitDi[Colonne20]),FALSE),""),"[hh]:mm"))</f>
        <v>#N/A</v>
      </c>
      <c r="AU90" s="284" t="str">
        <f>IFERROR(VLOOKUP(T_Convention[[#This Row],[NumL]],T_TraitDi[#Data],COLUMN(T_TraitDi[Jeudi]),FALSE),"")</f>
        <v/>
      </c>
      <c r="AV90" s="284" t="e">
        <f>IF(VLOOKUP(T_Convention[[#This Row],[NumL]],T_TraitDi[#Data],COLUMN(T_TraitDi[Colonne21]),FALSE)=0,"",TEXT(IFERROR(VLOOKUP(T_Convention[[#This Row],[NumL]],T_TraitDi[#Data],COLUMN(T_TraitDi[Colonne21]),FALSE),""),"[hh]:mm"))</f>
        <v>#N/A</v>
      </c>
      <c r="AW90" s="284" t="e">
        <f>IF(VLOOKUP(T_Convention[[#This Row],[NumL]],T_TraitDi[#Data],COLUMN(T_TraitDi[Colonne22]),FALSE)=0,"",TEXT(IFERROR(VLOOKUP(T_Convention[[#This Row],[NumL]],T_TraitDi[#Data],COLUMN(T_TraitDi[Colonne22]),FALSE),""),"[hh]:mm"))</f>
        <v>#N/A</v>
      </c>
      <c r="AX90" s="284" t="str">
        <f>IFERROR(VLOOKUP(T_Convention[[#This Row],[NumL]],T_TraitDi[#Data],COLUMN(T_TraitDi[Colonne23]),FALSE),"")</f>
        <v/>
      </c>
      <c r="AY90" s="284" t="e">
        <f>IF(VLOOKUP(T_Convention[[#This Row],[NumL]],T_TraitDi[#Data],COLUMN(T_TraitDi[Colonne24]),FALSE)=0,"",TEXT(IFERROR(VLOOKUP(T_Convention[[#This Row],[NumL]],T_TraitDi[#Data],COLUMN(T_TraitDi[Colonne24]),FALSE),""),"[hh]:mm"))</f>
        <v>#N/A</v>
      </c>
      <c r="AZ90" s="284" t="e">
        <f>IF(VLOOKUP(T_Convention[[#This Row],[NumL]],T_TraitDi[#Data],COLUMN(T_TraitDi[Colonne25]),FALSE)=0,"",TEXT(IFERROR(VLOOKUP(T_Convention[[#This Row],[NumL]],T_TraitDi[#Data],COLUMN(T_TraitDi[Colonne25]),FALSE),""),"[hh]:mm"))</f>
        <v>#N/A</v>
      </c>
      <c r="BA90" s="284" t="e">
        <f>IF(VLOOKUP(T_Convention[[#This Row],[NumL]],T_TraitDi[#Data],COLUMN(T_TraitDi[Colonne26]),FALSE)=0,"",TEXT(IFERROR(VLOOKUP(T_Convention[[#This Row],[NumL]],T_TraitDi[#Data],COLUMN(T_TraitDi[Colonne26]),FALSE),""),"[hh]:mm"))</f>
        <v>#N/A</v>
      </c>
      <c r="BB90" s="284" t="str">
        <f>IFERROR(VLOOKUP(T_Convention[[#This Row],[NumL]],T_TraitDi[#Data],COLUMN(T_TraitDi[Vendredi]),FALSE),"")</f>
        <v/>
      </c>
      <c r="BC90" s="284" t="e">
        <f>IF(VLOOKUP(T_Convention[[#This Row],[NumL]],T_TraitDi[#Data],COLUMN(T_TraitDi[Colonne27]),FALSE)=0,"",TEXT(IFERROR(VLOOKUP(T_Convention[[#This Row],[NumL]],T_TraitDi[#Data],COLUMN(T_TraitDi[Colonne27]),FALSE),""),"[hh]:mm"))</f>
        <v>#N/A</v>
      </c>
      <c r="BD90" s="284" t="e">
        <f>IF(VLOOKUP(T_Convention[[#This Row],[NumL]],T_TraitDi[#Data],COLUMN(T_TraitDi[Colonne28]),FALSE)=0,"",TEXT(IFERROR(VLOOKUP(T_Convention[[#This Row],[NumL]],T_TraitDi[#Data],COLUMN(T_TraitDi[Colonne28]),FALSE),""),"[hh]:mm"))</f>
        <v>#N/A</v>
      </c>
      <c r="BE90" s="284" t="str">
        <f>IFERROR(VLOOKUP(T_Convention[[#This Row],[NumL]],T_TraitDi[#Data],COLUMN(T_TraitDi[Colonne29]),FALSE),"")</f>
        <v/>
      </c>
      <c r="BF90" s="284" t="e">
        <f>IF(VLOOKUP(T_Convention[[#This Row],[NumL]],T_TraitDi[#Data],COLUMN(T_TraitDi[Colonne30]),FALSE)=0,"",TEXT(IFERROR(VLOOKUP(T_Convention[[#This Row],[NumL]],T_TraitDi[#Data],COLUMN(T_TraitDi[Colonne30]),FALSE),""),"[hh]:mm"))</f>
        <v>#N/A</v>
      </c>
      <c r="BG90" s="284" t="e">
        <f>IF(VLOOKUP(T_Convention[[#This Row],[NumL]],T_TraitDi[#Data],COLUMN(T_TraitDi[Colonne31]),FALSE)=0,"",TEXT(IFERROR(VLOOKUP(T_Convention[[#This Row],[NumL]],T_TraitDi[#Data],COLUMN(T_TraitDi[Colonne31]),FALSE),""),"[hh]:mm"))</f>
        <v>#N/A</v>
      </c>
      <c r="BH90" s="284" t="e">
        <f>IF(VLOOKUP(T_Convention[[#This Row],[NumL]],T_TraitDi[#Data],COLUMN(T_TraitDi[Colonne32]),FALSE)=0,"",TEXT(IFERROR(VLOOKUP(T_Convention[[#This Row],[NumL]],T_TraitDi[#Data],COLUMN(T_TraitDi[Colonne32]),FALSE),""),"[hh]:mm"))</f>
        <v>#N/A</v>
      </c>
      <c r="BI90" s="284" t="str">
        <f>IFERROR(VLOOKUP(T_Convention[[#This Row],[NumL]],T_TraitDi[#Data],COLUMN(T_TraitDi[NbJTW]),FALSE),"")</f>
        <v/>
      </c>
      <c r="BJ90" s="284" t="e">
        <f>IF(VLOOKUP(T_Convention[[#This Row],[NumL]],T_TraitDi[#Data],COLUMN(T_TraitDi[NbhTW]),FALSE)=0,"",TEXT(IFERROR(VLOOKUP(T_Convention[[#This Row],[NumL]],T_TraitDi[#Data],COLUMN(T_TraitDi[NbhTW]),FALSE),""),"[hh]:mm"))</f>
        <v>#N/A</v>
      </c>
      <c r="BK90" s="286" t="e">
        <f>IF(VLOOKUP(T_Convention[[#This Row],[NumL]],T_TraitDi[#Data],COLUMN(T_TraitDi[Nbhheb]),FALSE)=0,"",TEXT(IFERROR(VLOOKUP(T_Convention[[#This Row],[NumL]],T_TraitDi[#Data],COLUMN(T_TraitDi[Nbhheb]),FALSE),""),"[hh]:mm"))</f>
        <v>#N/A</v>
      </c>
      <c r="BL90" s="287" t="str">
        <f>IFERROR(VLOOKUP(VLOOKUP(T_Convention[[#This Row],[NumL]],T_TraitDi[#Data],COLUMN(T_TraitDi[Type1]),FALSE),TypeTW,2,FALSE),"")</f>
        <v/>
      </c>
      <c r="BM90" s="288" t="str">
        <f>IFERROR(VLOOKUP(T_Convention[[#This Row],[NumL]],T_TraitDi[#Data],COLUMN(T_TraitDi[Rue1]),FALSE),"")</f>
        <v/>
      </c>
      <c r="BN90" s="289" t="str">
        <f>IFERROR(VLOOKUP(T_Convention[[#This Row],[NumL]],T_TraitDi[#Data],COLUMN(T_TraitDi[CP1]),FALSE),"")</f>
        <v/>
      </c>
      <c r="BO90" s="282" t="str">
        <f>IFERROR(VLOOKUP(T_Convention[[#This Row],[NumL]],T_TraitDi[#Data],COLUMN(T_TraitDi[VILLE1]),FALSE),"")</f>
        <v/>
      </c>
      <c r="BP90" s="290" t="str">
        <f>IFERROR(VLOOKUP(VLOOKUP(T_Convention[[#This Row],[NumL]],T_TraitDi[#Data],COLUMN(T_TraitDi[Type2]),FALSE),TypeTW,2,FALSE),"")</f>
        <v/>
      </c>
      <c r="BQ90" s="182" t="str">
        <f>IFERROR(VLOOKUP(T_Convention[[#This Row],[NumL]],T_TraitDi[#Data],COLUMN(T_TraitDi[Rue2]),FALSE),"")</f>
        <v/>
      </c>
      <c r="BR90" s="173" t="str">
        <f>IFERROR(VLOOKUP(T_Convention[[#This Row],[NumL]],T_TraitDi[#Data],COLUMN(T_TraitDi[CP2]),FALSE),"")</f>
        <v/>
      </c>
      <c r="BS90" s="173" t="str">
        <f>IFERROR(VLOOKUP(T_Convention[[#This Row],[NumL]],T_TraitDi[#Data],COLUMN(T_TraitDi[VILLE2]),FALSE),"")</f>
        <v/>
      </c>
      <c r="BT90" s="182" t="str">
        <f>IF(VLOOKUP(T_Convention[[#This Row],[NumL]],T_Equipement[#Data],COLUMN(T_Equipement[PC]),FALSE)="","Aucun équipement spécifique directement lié au télétravail",VLOOKUP(T_Convention[[#This Row],[NumL]],T_Equipement[#Data],COLUMN(T_Equipement[PC]),FALSE))</f>
        <v xml:space="preserve">20-333	</v>
      </c>
      <c r="BU90" s="166" t="str">
        <f>IFERROR(IF(VLOOKUP(T_Convention[[#This Row],[NumL]],T_TraitDi[#Data],COLUMN(T_TraitDi[Plan]),FALSE)="OK","Un planning spécifique de télétravail est annexé à la présente convention.",""),"")</f>
        <v/>
      </c>
      <c r="BV90" s="185"/>
      <c r="BW90" s="164" t="e">
        <f>IF(VLOOKUP(T_Convention[[#This Row],[NumL]],T_suiviDi[#Data],COLUMN(T_suiviDi[Entité]),FALSE)="","",VLOOKUP(T_Convention[[#This Row],[NumL]],T_suiviDi[#Data],COLUMN(T_suiviDi[Entité]),FALSE))</f>
        <v>#N/A</v>
      </c>
      <c r="BX90" s="164" t="str">
        <f>IF(VLOOKUP(T_Convention[[#This Row],[NumL]],T_Commission[#Data],COLUMN(T_Commission[envoi confirm TW]),FALSE)="","",VLOOKUP(T_Convention[[#This Row],[NumL]],T_Commission[#Data],COLUMN(T_Commission[envoi confirm TW]),FALSE))</f>
        <v>Oui</v>
      </c>
      <c r="BY9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0" s="264">
        <f>VLOOKUP(T_Convention[[#This Row],[NumL]],T_Commission[#Data],COLUMN(T_Commission[Commentaire]),FALSE)</f>
        <v>0</v>
      </c>
      <c r="CA90" s="254" t="str">
        <f>IF(VLOOKUP(T_Convention[[#This Row],[NumL]],T_Commission[#Data],COLUMN(T_Commission[Encadrant Email]),FALSE)="","",VLOOKUP(T_Convention[[#This Row],[NumL]],T_Commission[#Data],COLUMN(T_Commission[Encadrant Email]),FALSE))</f>
        <v/>
      </c>
      <c r="CB90" s="352" t="e">
        <f>VLOOKUP(T_Convention[[#This Row],[NumL]],T_TraitDi[#Data],COLUMN(T_TraitDi[NbJTot]),FALSE)</f>
        <v>#N/A</v>
      </c>
      <c r="CC90" s="352" t="e">
        <f>VLOOKUP(T_Convention[[#This Row],[NumL]],T_TraitDi[#Data],COLUMN(T_TraitDi[Reg Ponct]),FALSE)</f>
        <v>#N/A</v>
      </c>
      <c r="CD90" s="348" t="str">
        <f>IF(T_Convention[[#This Row],[Final]]&lt;&gt;"",VLOOKUP(T_Convention[[#This Row],[NumL]],T_suiviDi[#Data],COLUMN((T_suiviDi[Statut])),FALSE),"")</f>
        <v/>
      </c>
    </row>
    <row r="91" spans="1:82" s="106" customFormat="1" ht="18.75" customHeight="1" x14ac:dyDescent="0.25">
      <c r="A91" s="160">
        <v>114</v>
      </c>
      <c r="B91" s="161" t="str">
        <f>VLOOKUP(T_Convention[[#This Row],[NumL]],T_Commission[#Data],COLUMN(T_Commission[FINAL]),FALSE)</f>
        <v/>
      </c>
      <c r="C91" s="162"/>
      <c r="D91" s="95" t="e">
        <f>IF(VLOOKUP(T_Convention[[#This Row],[NumL]],T_TraitDi[#Data],COLUMN(T_TraitDi[WebC]),FALSE)="","",VLOOKUP(T_Convention[[#This Row],[NumL]],T_TraitDi[#Data],COLUMN(T_TraitDi[WebC]),FALSE))</f>
        <v>#N/A</v>
      </c>
      <c r="E91" s="163" t="str">
        <f t="shared" si="5"/>
        <v>12 janvier 2021</v>
      </c>
      <c r="F91" s="282" t="str">
        <f>IF(T_Convention[[#This Row],[Final]]&lt;&gt;"",VLOOKUP(T_Convention[[#This Row],[NumL]],T_suiviDi[#Data],COLUMN((T_suiviDi[Civ.])),FALSE),"")</f>
        <v/>
      </c>
      <c r="G91" s="283" t="str">
        <f>IF(T_Convention[[#This Row],[Final]]&lt;&gt;"",VLOOKUP(T_Convention[[#This Row],[NumL]],T_suiviDi[#Data],COLUMN((T_suiviDi[Nom])),FALSE),"")</f>
        <v/>
      </c>
      <c r="H91" s="282" t="str">
        <f>IF(T_Convention[[#This Row],[Final]]&lt;&gt;"",VLOOKUP(T_Convention[[#This Row],[NumL]],T_suiviDi[#Data],COLUMN((T_suiviDi[Prénom])),FALSE),"")</f>
        <v/>
      </c>
      <c r="I91" s="282" t="e">
        <f>VLOOKUP(T_Convention[[#This Row],[NumL]],T_suiviDi[#Data],COLUMN((T_suiviDi[[#This Row],[Email]])),FALSE)</f>
        <v>#VALUE!</v>
      </c>
      <c r="J91" s="282" t="e">
        <f>IF(VLOOKUP(T_Convention[[#This Row],[NumL]],T_suiviDi[#Data],COLUMN(T_suiviDi[[#This Row],[Fonction]]),FALSE)="","",VLOOKUP(T_Convention[[#This Row],[NumL]],T_suiviDi[#Data],COLUMN(T_suiviDi[[#This Row],[Fonction]]),FALSE))</f>
        <v>#VALUE!</v>
      </c>
      <c r="K91" s="282" t="e">
        <f>IF(VLOOKUP(T_Convention[[#This Row],[NumL]],T_suiviDi[#Data],COLUMN(T_suiviDi[[#This Row],[Grade]]),FALSE)="","",VLOOKUP(T_Convention[[#This Row],[NumL]],T_suiviDi[#Data],COLUMN(T_suiviDi[[#This Row],[Grade]]),FALSE))</f>
        <v>#VALUE!</v>
      </c>
      <c r="L91" s="282" t="e">
        <f>IF(VLOOKUP(T_Convention[[#This Row],[NumL]],T_suiviDi[#Data],COLUMN(T_suiviDi[[#This Row],[Service ]]),FALSE)="","",VLOOKUP(T_Convention[[#This Row],[NumL]],T_suiviDi[#Data],COLUMN(T_suiviDi[[#This Row],[Service ]]),FALSE))</f>
        <v>#VALUE!</v>
      </c>
      <c r="M91" s="164" t="str">
        <f t="shared" si="6"/>
        <v>01 septembre 2021</v>
      </c>
      <c r="N91" s="164" t="str">
        <f t="shared" si="7"/>
        <v>30 novembre 2021</v>
      </c>
      <c r="O91" s="284" t="str">
        <f t="shared" si="8"/>
        <v>30 novembre 2021</v>
      </c>
      <c r="P91" s="282" t="e">
        <f>IF(VLOOKUP(T_Convention[[#This Row],[NumL]],T_TraitDi[#Data],COLUMN(T_TraitDi[M1]),FALSE)="","",VLOOKUP(T_Convention[[#This Row],[NumL]],T_TraitDi[#Data],COLUMN(T_TraitDi[M1]),FALSE))</f>
        <v>#N/A</v>
      </c>
      <c r="Q91" s="282" t="e">
        <f>IF(VLOOKUP(T_Convention[[#This Row],[NumL]],T_TraitDi[#Data],COLUMN(T_TraitDi[M2]),FALSE)="","",VLOOKUP(T_Convention[[#This Row],[NumL]],T_TraitDi[#Data],COLUMN(T_TraitDi[M2]),FALSE))</f>
        <v>#N/A</v>
      </c>
      <c r="R91" s="282" t="e">
        <f>IF(VLOOKUP(T_Convention[[#This Row],[NumL]],T_TraitDi[#Data],COLUMN(T_TraitDi[M3]),FALSE)="","",VLOOKUP(T_Convention[[#This Row],[NumL]],T_TraitDi[#Data],COLUMN(T_TraitDi[M3]),FALSE))</f>
        <v>#N/A</v>
      </c>
      <c r="S91" s="282" t="e">
        <f>IF(VLOOKUP(T_Convention[[#This Row],[NumL]],T_TraitDi[#Data],COLUMN(T_TraitDi[M4]),FALSE)="","",VLOOKUP(T_Convention[[#This Row],[NumL]],T_TraitDi[#Data],COLUMN(T_TraitDi[M4]),FALSE))</f>
        <v>#N/A</v>
      </c>
      <c r="T91" s="282" t="e">
        <f>IF(VLOOKUP(T_Convention[[#This Row],[NumL]],T_TraitDi[#Data],COLUMN(T_TraitDi[M5]),FALSE)="","",VLOOKUP(T_Convention[[#This Row],[NumL]],T_TraitDi[#Data],COLUMN(T_TraitDi[M5]),FALSE))</f>
        <v>#N/A</v>
      </c>
      <c r="U91" s="282" t="e">
        <f>IF(VLOOKUP(T_Convention[[#This Row],[NumL]],T_TraitDi[#Data],COLUMN(T_TraitDi[M6]),FALSE)="","",VLOOKUP(T_Convention[[#This Row],[NumL]],T_TraitDi[#Data],COLUMN(T_TraitDi[M6]),FALSE))</f>
        <v>#N/A</v>
      </c>
      <c r="V91" s="176" t="e">
        <f t="shared" si="9"/>
        <v>#N/A</v>
      </c>
      <c r="W91" s="284" t="str">
        <f>IFERROR(TEXT(VLOOKUP(T_Convention[[#This Row],[NumL]],T_TraitDi[#Data],COLUMN(T_TraitDi[Q2]),FALSE),"###%"),"")</f>
        <v/>
      </c>
      <c r="X91" s="97" t="e">
        <f>VLOOKUP(T_Convention[[#This Row],[NumL]],T_TraitDi[#Data],COLUMN(T_TraitDi[Reg Ponct]),FALSE)</f>
        <v>#N/A</v>
      </c>
      <c r="Y91" s="97" t="e">
        <f>VLOOKUP(T_Convention[NumL],T_TraitDi[#Data],COLUMN(T_TraitDi[Jours flottants]),FALSE)</f>
        <v>#N/A</v>
      </c>
      <c r="Z91" s="284" t="str">
        <f>IFERROR(VLOOKUP(T_Convention[[#This Row],[NumL]],T_TraitDi[#Data],COLUMN(T_TraitDi[Lundi]),FALSE),"")</f>
        <v/>
      </c>
      <c r="AA91" s="284" t="e">
        <f>IF(VLOOKUP(T_Convention[[#This Row],[NumL]],T_TraitDi[#Data],COLUMN(T_TraitDi[Colonne3]),FALSE)=0,"",TEXT(IFERROR(VLOOKUP(T_Convention[[#This Row],[NumL]],T_TraitDi[#Data],COLUMN(T_TraitDi[Colonne3]),FALSE),""),"[hh]:mm"))</f>
        <v>#N/A</v>
      </c>
      <c r="AB91" s="284" t="e">
        <f>IF(VLOOKUP(T_Convention[[#This Row],[NumL]],T_TraitDi[#Data],COLUMN(T_TraitDi[Colonne4]),FALSE)=0,"",TEXT(IFERROR(VLOOKUP(T_Convention[[#This Row],[NumL]],T_TraitDi[#Data],COLUMN(T_TraitDi[Colonne4]),FALSE),""),"[hh]:mm"))</f>
        <v>#N/A</v>
      </c>
      <c r="AC91" s="284" t="e">
        <f>IF(VLOOKUP(T_Convention[[#This Row],[NumL]],T_TraitDi[#Data],COLUMN(T_TraitDi[Colonne5]),FALSE)=0,"",TEXT(IFERROR(VLOOKUP(T_Convention[[#This Row],[NumL]],T_TraitDi[#Data],COLUMN(T_TraitDi[Colonne5]),FALSE),""),"[hh]:mm"))</f>
        <v>#N/A</v>
      </c>
      <c r="AD91" s="284" t="e">
        <f>IF(VLOOKUP(T_Convention[[#This Row],[NumL]],T_TraitDi[#Data],COLUMN(T_TraitDi[Colonne6]),FALSE)=0,"",TEXT(IFERROR(VLOOKUP(T_Convention[[#This Row],[NumL]],T_TraitDi[#Data],COLUMN(T_TraitDi[Colonne6]),FALSE),""),"[hh]:mm"))</f>
        <v>#N/A</v>
      </c>
      <c r="AE91" s="284" t="e">
        <f>IF(VLOOKUP(T_Convention[[#This Row],[NumL]],T_TraitDi[#Data],COLUMN(T_TraitDi[Colonne7]),FALSE)=0,"",TEXT(IFERROR(VLOOKUP(T_Convention[[#This Row],[NumL]],T_TraitDi[#Data],COLUMN(T_TraitDi[Colonne7]),FALSE),""),"[hh]:mm"))</f>
        <v>#N/A</v>
      </c>
      <c r="AF91" s="284" t="e">
        <f>IF(VLOOKUP(T_Convention[[#This Row],[NumL]],T_TraitDi[#Data],COLUMN(T_TraitDi[Colonne8]),FALSE)=0,"",TEXT(IFERROR(VLOOKUP(T_Convention[[#This Row],[NumL]],T_TraitDi[#Data],COLUMN(T_TraitDi[Colonne8]),FALSE),""),"[hh]:mm"))</f>
        <v>#N/A</v>
      </c>
      <c r="AG91" s="284" t="str">
        <f>IFERROR(VLOOKUP(T_Convention[[#This Row],[NumL]],T_TraitDi[#Data],COLUMN(T_TraitDi[Mardi]),FALSE),"")</f>
        <v/>
      </c>
      <c r="AH91" s="284" t="e">
        <f>IF(VLOOKUP(T_Convention[[#This Row],[NumL]],T_TraitDi[#Data],COLUMN(T_TraitDi[Colonne1]),FALSE)=0,"",TEXT(IFERROR(VLOOKUP(T_Convention[[#This Row],[NumL]],T_TraitDi[#Data],COLUMN(T_TraitDi[Colonne1]),FALSE),""),"[hh]:mm"))</f>
        <v>#N/A</v>
      </c>
      <c r="AI91" s="284" t="e">
        <f>IF(VLOOKUP(T_Convention[[#This Row],[NumL]],T_TraitDi[#Data],COLUMN(T_TraitDi[Colonne9]),FALSE)=0,"",TEXT(IFERROR(VLOOKUP(T_Convention[[#This Row],[NumL]],T_TraitDi[#Data],COLUMN(T_TraitDi[Colonne9]),FALSE),""),"[hh]:mm"))</f>
        <v>#N/A</v>
      </c>
      <c r="AJ91" s="284" t="str">
        <f>IFERROR(VLOOKUP(T_Convention[[#This Row],[NumL]],T_TraitDi[#Data],COLUMN(T_TraitDi[Colonne10]),FALSE),"")</f>
        <v/>
      </c>
      <c r="AK91" s="284" t="e">
        <f>IF(VLOOKUP(T_Convention[[#This Row],[NumL]],T_TraitDi[#Data],COLUMN(T_TraitDi[Colonne11]),FALSE)=0,"",TEXT(IFERROR(VLOOKUP(T_Convention[[#This Row],[NumL]],T_TraitDi[#Data],COLUMN(T_TraitDi[Colonne11]),FALSE),""),"[hh]:mm"))</f>
        <v>#N/A</v>
      </c>
      <c r="AL91" s="284" t="e">
        <f>IF(VLOOKUP(T_Convention[[#This Row],[NumL]],T_TraitDi[#Data],COLUMN(T_TraitDi[Colonne12]),FALSE)=0,"",TEXT(IFERROR(VLOOKUP(T_Convention[[#This Row],[NumL]],T_TraitDi[#Data],COLUMN(T_TraitDi[Colonne12]),FALSE),""),"[hh]:mm"))</f>
        <v>#N/A</v>
      </c>
      <c r="AM91" s="284" t="e">
        <f>IF(VLOOKUP(T_Convention[[#This Row],[NumL]],T_TraitDi[#Data],COLUMN(T_TraitDi[Colonne14]),FALSE)=0,"",TEXT(IFERROR(VLOOKUP(T_Convention[[#This Row],[NumL]],T_TraitDi[#Data],COLUMN(T_TraitDi[Colonne14]),FALSE),""),"[hh]:mm"))</f>
        <v>#N/A</v>
      </c>
      <c r="AN91" s="284" t="str">
        <f>IFERROR(VLOOKUP(T_Convention[[#This Row],[NumL]],T_TraitDi[#Data],COLUMN(T_TraitDi[Mercredi]),FALSE),"")</f>
        <v/>
      </c>
      <c r="AO91" s="284" t="e">
        <f>IF(VLOOKUP(T_Convention[[#This Row],[NumL]],T_TraitDi[#Data],COLUMN(T_TraitDi[Colonne15]),FALSE)=0,"",TEXT(IFERROR(VLOOKUP(T_Convention[[#This Row],[NumL]],T_TraitDi[#Data],COLUMN(T_TraitDi[Colonne15]),FALSE),""),"[hh]:mm"))</f>
        <v>#N/A</v>
      </c>
      <c r="AP91" s="284" t="e">
        <f>IF(VLOOKUP(T_Convention[[#This Row],[NumL]],T_TraitDi[#Data],COLUMN(T_TraitDi[Colonne16]),FALSE)=0,"",TEXT(IFERROR(VLOOKUP(T_Convention[[#This Row],[NumL]],T_TraitDi[#Data],COLUMN(T_TraitDi[Colonne16]),FALSE),""),"[hh]:mm"))</f>
        <v>#N/A</v>
      </c>
      <c r="AQ91" s="284" t="str">
        <f>IFERROR(VLOOKUP(T_Convention[[#This Row],[NumL]],T_TraitDi[#Data],COLUMN(T_TraitDi[Colonne17]),FALSE),"")</f>
        <v/>
      </c>
      <c r="AR91" s="284" t="e">
        <f>IF(VLOOKUP(T_Convention[[#This Row],[NumL]],T_TraitDi[#Data],COLUMN(T_TraitDi[Colonne18]),FALSE)=0,"",TEXT(IFERROR(VLOOKUP(T_Convention[[#This Row],[NumL]],T_TraitDi[#Data],COLUMN(T_TraitDi[Colonne18]),FALSE),""),"[hh]:mm"))</f>
        <v>#N/A</v>
      </c>
      <c r="AS91" s="284" t="e">
        <f>IF(VLOOKUP(T_Convention[[#This Row],[NumL]],T_TraitDi[#Data],COLUMN(T_TraitDi[Colonne19]),FALSE)=0,"",TEXT(IFERROR(VLOOKUP(T_Convention[[#This Row],[NumL]],T_TraitDi[#Data],COLUMN(T_TraitDi[Colonne19]),FALSE),""),"[hh]:mm"))</f>
        <v>#N/A</v>
      </c>
      <c r="AT91" s="284" t="e">
        <f>IF(VLOOKUP(T_Convention[[#This Row],[NumL]],T_TraitDi[#Data],COLUMN(T_TraitDi[Colonne20]),FALSE)=0,"",TEXT(IFERROR(VLOOKUP(T_Convention[[#This Row],[NumL]],T_TraitDi[#Data],COLUMN(T_TraitDi[Colonne20]),FALSE),""),"[hh]:mm"))</f>
        <v>#N/A</v>
      </c>
      <c r="AU91" s="284" t="str">
        <f>IFERROR(VLOOKUP(T_Convention[[#This Row],[NumL]],T_TraitDi[#Data],COLUMN(T_TraitDi[Jeudi]),FALSE),"")</f>
        <v/>
      </c>
      <c r="AV91" s="284" t="e">
        <f>IF(VLOOKUP(T_Convention[[#This Row],[NumL]],T_TraitDi[#Data],COLUMN(T_TraitDi[Colonne21]),FALSE)=0,"",TEXT(IFERROR(VLOOKUP(T_Convention[[#This Row],[NumL]],T_TraitDi[#Data],COLUMN(T_TraitDi[Colonne21]),FALSE),""),"[hh]:mm"))</f>
        <v>#N/A</v>
      </c>
      <c r="AW91" s="284" t="e">
        <f>IF(VLOOKUP(T_Convention[[#This Row],[NumL]],T_TraitDi[#Data],COLUMN(T_TraitDi[Colonne22]),FALSE)=0,"",TEXT(IFERROR(VLOOKUP(T_Convention[[#This Row],[NumL]],T_TraitDi[#Data],COLUMN(T_TraitDi[Colonne22]),FALSE),""),"[hh]:mm"))</f>
        <v>#N/A</v>
      </c>
      <c r="AX91" s="284" t="str">
        <f>IFERROR(VLOOKUP(T_Convention[[#This Row],[NumL]],T_TraitDi[#Data],COLUMN(T_TraitDi[Colonne23]),FALSE),"")</f>
        <v/>
      </c>
      <c r="AY91" s="284" t="e">
        <f>IF(VLOOKUP(T_Convention[[#This Row],[NumL]],T_TraitDi[#Data],COLUMN(T_TraitDi[Colonne24]),FALSE)=0,"",TEXT(IFERROR(VLOOKUP(T_Convention[[#This Row],[NumL]],T_TraitDi[#Data],COLUMN(T_TraitDi[Colonne24]),FALSE),""),"[hh]:mm"))</f>
        <v>#N/A</v>
      </c>
      <c r="AZ91" s="284" t="e">
        <f>IF(VLOOKUP(T_Convention[[#This Row],[NumL]],T_TraitDi[#Data],COLUMN(T_TraitDi[Colonne25]),FALSE)=0,"",TEXT(IFERROR(VLOOKUP(T_Convention[[#This Row],[NumL]],T_TraitDi[#Data],COLUMN(T_TraitDi[Colonne25]),FALSE),""),"[hh]:mm"))</f>
        <v>#N/A</v>
      </c>
      <c r="BA91" s="284" t="e">
        <f>IF(VLOOKUP(T_Convention[[#This Row],[NumL]],T_TraitDi[#Data],COLUMN(T_TraitDi[Colonne26]),FALSE)=0,"",TEXT(IFERROR(VLOOKUP(T_Convention[[#This Row],[NumL]],T_TraitDi[#Data],COLUMN(T_TraitDi[Colonne26]),FALSE),""),"[hh]:mm"))</f>
        <v>#N/A</v>
      </c>
      <c r="BB91" s="284" t="str">
        <f>IFERROR(VLOOKUP(T_Convention[[#This Row],[NumL]],T_TraitDi[#Data],COLUMN(T_TraitDi[Vendredi]),FALSE),"")</f>
        <v/>
      </c>
      <c r="BC91" s="284" t="e">
        <f>IF(VLOOKUP(T_Convention[[#This Row],[NumL]],T_TraitDi[#Data],COLUMN(T_TraitDi[Colonne27]),FALSE)=0,"",TEXT(IFERROR(VLOOKUP(T_Convention[[#This Row],[NumL]],T_TraitDi[#Data],COLUMN(T_TraitDi[Colonne27]),FALSE),""),"[hh]:mm"))</f>
        <v>#N/A</v>
      </c>
      <c r="BD91" s="284" t="e">
        <f>IF(VLOOKUP(T_Convention[[#This Row],[NumL]],T_TraitDi[#Data],COLUMN(T_TraitDi[Colonne28]),FALSE)=0,"",TEXT(IFERROR(VLOOKUP(T_Convention[[#This Row],[NumL]],T_TraitDi[#Data],COLUMN(T_TraitDi[Colonne28]),FALSE),""),"[hh]:mm"))</f>
        <v>#N/A</v>
      </c>
      <c r="BE91" s="284" t="str">
        <f>IFERROR(VLOOKUP(T_Convention[[#This Row],[NumL]],T_TraitDi[#Data],COLUMN(T_TraitDi[Colonne29]),FALSE),"")</f>
        <v/>
      </c>
      <c r="BF91" s="284" t="e">
        <f>IF(VLOOKUP(T_Convention[[#This Row],[NumL]],T_TraitDi[#Data],COLUMN(T_TraitDi[Colonne30]),FALSE)=0,"",TEXT(IFERROR(VLOOKUP(T_Convention[[#This Row],[NumL]],T_TraitDi[#Data],COLUMN(T_TraitDi[Colonne30]),FALSE),""),"[hh]:mm"))</f>
        <v>#N/A</v>
      </c>
      <c r="BG91" s="284" t="e">
        <f>IF(VLOOKUP(T_Convention[[#This Row],[NumL]],T_TraitDi[#Data],COLUMN(T_TraitDi[Colonne31]),FALSE)=0,"",TEXT(IFERROR(VLOOKUP(T_Convention[[#This Row],[NumL]],T_TraitDi[#Data],COLUMN(T_TraitDi[Colonne31]),FALSE),""),"[hh]:mm"))</f>
        <v>#N/A</v>
      </c>
      <c r="BH91" s="284" t="e">
        <f>IF(VLOOKUP(T_Convention[[#This Row],[NumL]],T_TraitDi[#Data],COLUMN(T_TraitDi[Colonne32]),FALSE)=0,"",TEXT(IFERROR(VLOOKUP(T_Convention[[#This Row],[NumL]],T_TraitDi[#Data],COLUMN(T_TraitDi[Colonne32]),FALSE),""),"[hh]:mm"))</f>
        <v>#N/A</v>
      </c>
      <c r="BI91" s="284" t="str">
        <f>IFERROR(VLOOKUP(T_Convention[[#This Row],[NumL]],T_TraitDi[#Data],COLUMN(T_TraitDi[NbJTW]),FALSE),"")</f>
        <v/>
      </c>
      <c r="BJ91" s="284" t="e">
        <f>IF(VLOOKUP(T_Convention[[#This Row],[NumL]],T_TraitDi[#Data],COLUMN(T_TraitDi[NbhTW]),FALSE)=0,"",TEXT(IFERROR(VLOOKUP(T_Convention[[#This Row],[NumL]],T_TraitDi[#Data],COLUMN(T_TraitDi[NbhTW]),FALSE),""),"[hh]:mm"))</f>
        <v>#N/A</v>
      </c>
      <c r="BK91" s="286" t="e">
        <f>IF(VLOOKUP(T_Convention[[#This Row],[NumL]],T_TraitDi[#Data],COLUMN(T_TraitDi[Nbhheb]),FALSE)=0,"",TEXT(IFERROR(VLOOKUP(T_Convention[[#This Row],[NumL]],T_TraitDi[#Data],COLUMN(T_TraitDi[Nbhheb]),FALSE),""),"[hh]:mm"))</f>
        <v>#N/A</v>
      </c>
      <c r="BL91" s="287" t="str">
        <f>IFERROR(VLOOKUP(VLOOKUP(T_Convention[[#This Row],[NumL]],T_TraitDi[#Data],COLUMN(T_TraitDi[Type1]),FALSE),TypeTW,2,FALSE),"")</f>
        <v/>
      </c>
      <c r="BM91" s="288" t="str">
        <f>IFERROR(VLOOKUP(T_Convention[[#This Row],[NumL]],T_TraitDi[#Data],COLUMN(T_TraitDi[Rue1]),FALSE),"")</f>
        <v/>
      </c>
      <c r="BN91" s="289" t="str">
        <f>IFERROR(VLOOKUP(T_Convention[[#This Row],[NumL]],T_TraitDi[#Data],COLUMN(T_TraitDi[CP1]),FALSE),"")</f>
        <v/>
      </c>
      <c r="BO91" s="282" t="str">
        <f>IFERROR(VLOOKUP(T_Convention[[#This Row],[NumL]],T_TraitDi[#Data],COLUMN(T_TraitDi[VILLE1]),FALSE),"")</f>
        <v/>
      </c>
      <c r="BP91" s="290" t="str">
        <f>IFERROR(VLOOKUP(VLOOKUP(T_Convention[[#This Row],[NumL]],T_TraitDi[#Data],COLUMN(T_TraitDi[Type2]),FALSE),TypeTW,2,FALSE),"")</f>
        <v/>
      </c>
      <c r="BQ91" s="182" t="str">
        <f>IFERROR(VLOOKUP(T_Convention[[#This Row],[NumL]],T_TraitDi[#Data],COLUMN(T_TraitDi[Rue2]),FALSE),"")</f>
        <v/>
      </c>
      <c r="BR91" s="173" t="str">
        <f>IFERROR(VLOOKUP(T_Convention[[#This Row],[NumL]],T_TraitDi[#Data],COLUMN(T_TraitDi[CP2]),FALSE),"")</f>
        <v/>
      </c>
      <c r="BS91" s="173" t="str">
        <f>IFERROR(VLOOKUP(T_Convention[[#This Row],[NumL]],T_TraitDi[#Data],COLUMN(T_TraitDi[VILLE2]),FALSE),"")</f>
        <v/>
      </c>
      <c r="BT91" s="182" t="str">
        <f>IF(VLOOKUP(T_Convention[[#This Row],[NumL]],T_Equipement[#Data],COLUMN(T_Equipement[PC]),FALSE)="","Aucun équipement spécifique directement lié au télétravail",VLOOKUP(T_Convention[[#This Row],[NumL]],T_Equipement[#Data],COLUMN(T_Equipement[PC]),FALSE))</f>
        <v xml:space="preserve">20-275	</v>
      </c>
      <c r="BU91" s="166" t="str">
        <f>IFERROR(IF(VLOOKUP(T_Convention[[#This Row],[NumL]],T_TraitDi[#Data],COLUMN(T_TraitDi[Plan]),FALSE)="OK","Un planning spécifique de télétravail est annexé à la présente convention.",""),"")</f>
        <v/>
      </c>
      <c r="BV91" s="185" t="s">
        <v>3340</v>
      </c>
      <c r="BW91" s="164" t="e">
        <f>IF(VLOOKUP(T_Convention[[#This Row],[NumL]],T_suiviDi[#Data],COLUMN(T_suiviDi[Entité]),FALSE)="","",VLOOKUP(T_Convention[[#This Row],[NumL]],T_suiviDi[#Data],COLUMN(T_suiviDi[Entité]),FALSE))</f>
        <v>#N/A</v>
      </c>
      <c r="BX91" s="164" t="str">
        <f>IF(VLOOKUP(T_Convention[[#This Row],[NumL]],T_Commission[#Data],COLUMN(T_Commission[envoi confirm TW]),FALSE)="","",VLOOKUP(T_Convention[[#This Row],[NumL]],T_Commission[#Data],COLUMN(T_Commission[envoi confirm TW]),FALSE))</f>
        <v>Oui</v>
      </c>
      <c r="BY9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1" s="264">
        <f>VLOOKUP(T_Convention[[#This Row],[NumL]],T_Commission[#Data],COLUMN(T_Commission[Commentaire]),FALSE)</f>
        <v>0</v>
      </c>
      <c r="CA91" s="254" t="str">
        <f>IF(VLOOKUP(T_Convention[[#This Row],[NumL]],T_Commission[#Data],COLUMN(T_Commission[Encadrant Email]),FALSE)="","",VLOOKUP(T_Convention[[#This Row],[NumL]],T_Commission[#Data],COLUMN(T_Commission[Encadrant Email]),FALSE))</f>
        <v/>
      </c>
      <c r="CB91" s="352" t="e">
        <f>VLOOKUP(T_Convention[[#This Row],[NumL]],T_TraitDi[#Data],COLUMN(T_TraitDi[NbJTot]),FALSE)</f>
        <v>#N/A</v>
      </c>
      <c r="CC91" s="352" t="e">
        <f>VLOOKUP(T_Convention[[#This Row],[NumL]],T_TraitDi[#Data],COLUMN(T_TraitDi[Reg Ponct]),FALSE)</f>
        <v>#N/A</v>
      </c>
      <c r="CD91" s="348" t="str">
        <f>IF(T_Convention[[#This Row],[Final]]&lt;&gt;"",VLOOKUP(T_Convention[[#This Row],[NumL]],T_suiviDi[#Data],COLUMN((T_suiviDi[Statut])),FALSE),"")</f>
        <v/>
      </c>
    </row>
    <row r="92" spans="1:82" s="106" customFormat="1" ht="18.75" customHeight="1" x14ac:dyDescent="0.25">
      <c r="A92" s="160">
        <v>8</v>
      </c>
      <c r="B92" s="161" t="str">
        <f>VLOOKUP(T_Convention[[#This Row],[NumL]],T_Commission[#Data],COLUMN(T_Commission[FINAL]),FALSE)</f>
        <v/>
      </c>
      <c r="C92" s="162"/>
      <c r="D92" s="95" t="e">
        <f>IF(VLOOKUP(T_Convention[[#This Row],[NumL]],T_TraitDi[#Data],COLUMN(T_TraitDi[WebC]),FALSE)="","",VLOOKUP(T_Convention[[#This Row],[NumL]],T_TraitDi[#Data],COLUMN(T_TraitDi[WebC]),FALSE))</f>
        <v>#N/A</v>
      </c>
      <c r="E92" s="163" t="str">
        <f t="shared" si="5"/>
        <v>12 janvier 2021</v>
      </c>
      <c r="F92" s="282" t="str">
        <f>IF(T_Convention[[#This Row],[Final]]&lt;&gt;"",VLOOKUP(T_Convention[[#This Row],[NumL]],T_suiviDi[#Data],COLUMN((T_suiviDi[Civ.])),FALSE),"")</f>
        <v/>
      </c>
      <c r="G92" s="283" t="str">
        <f>IF(T_Convention[[#This Row],[Final]]&lt;&gt;"",VLOOKUP(T_Convention[[#This Row],[NumL]],T_suiviDi[#Data],COLUMN((T_suiviDi[Nom])),FALSE),"")</f>
        <v/>
      </c>
      <c r="H92" s="282" t="str">
        <f>IF(T_Convention[[#This Row],[Final]]&lt;&gt;"",VLOOKUP(T_Convention[[#This Row],[NumL]],T_suiviDi[#Data],COLUMN((T_suiviDi[Prénom])),FALSE),"")</f>
        <v/>
      </c>
      <c r="I92" s="282" t="e">
        <f>VLOOKUP(T_Convention[[#This Row],[NumL]],T_suiviDi[#Data],COLUMN((T_suiviDi[[#This Row],[Email]])),FALSE)</f>
        <v>#VALUE!</v>
      </c>
      <c r="J92" s="282" t="e">
        <f>IF(VLOOKUP(T_Convention[[#This Row],[NumL]],T_suiviDi[#Data],COLUMN(T_suiviDi[[#This Row],[Fonction]]),FALSE)="","",VLOOKUP(T_Convention[[#This Row],[NumL]],T_suiviDi[#Data],COLUMN(T_suiviDi[[#This Row],[Fonction]]),FALSE))</f>
        <v>#VALUE!</v>
      </c>
      <c r="K92" s="282" t="e">
        <f>IF(VLOOKUP(T_Convention[[#This Row],[NumL]],T_suiviDi[#Data],COLUMN(T_suiviDi[[#This Row],[Grade]]),FALSE)="","",VLOOKUP(T_Convention[[#This Row],[NumL]],T_suiviDi[#Data],COLUMN(T_suiviDi[[#This Row],[Grade]]),FALSE))</f>
        <v>#VALUE!</v>
      </c>
      <c r="L92" s="282" t="e">
        <f>IF(VLOOKUP(T_Convention[[#This Row],[NumL]],T_suiviDi[#Data],COLUMN(T_suiviDi[[#This Row],[Service ]]),FALSE)="","",VLOOKUP(T_Convention[[#This Row],[NumL]],T_suiviDi[#Data],COLUMN(T_suiviDi[[#This Row],[Service ]]),FALSE))</f>
        <v>#VALUE!</v>
      </c>
      <c r="M92" s="165" t="str">
        <f t="shared" si="6"/>
        <v>01 septembre 2021</v>
      </c>
      <c r="N92" s="165" t="str">
        <f t="shared" si="7"/>
        <v>30 novembre 2021</v>
      </c>
      <c r="O92" s="284" t="str">
        <f t="shared" si="8"/>
        <v>30 novembre 2021</v>
      </c>
      <c r="P92" s="282" t="e">
        <f>IF(VLOOKUP(T_Convention[[#This Row],[NumL]],T_TraitDi[#Data],COLUMN(T_TraitDi[M1]),FALSE)="","",VLOOKUP(T_Convention[[#This Row],[NumL]],T_TraitDi[#Data],COLUMN(T_TraitDi[M1]),FALSE))</f>
        <v>#N/A</v>
      </c>
      <c r="Q92" s="282" t="e">
        <f>IF(VLOOKUP(T_Convention[[#This Row],[NumL]],T_TraitDi[#Data],COLUMN(T_TraitDi[M2]),FALSE)="","",VLOOKUP(T_Convention[[#This Row],[NumL]],T_TraitDi[#Data],COLUMN(T_TraitDi[M2]),FALSE))</f>
        <v>#N/A</v>
      </c>
      <c r="R92" s="282" t="e">
        <f>IF(VLOOKUP(T_Convention[[#This Row],[NumL]],T_TraitDi[#Data],COLUMN(T_TraitDi[M3]),FALSE)="","",VLOOKUP(T_Convention[[#This Row],[NumL]],T_TraitDi[#Data],COLUMN(T_TraitDi[M3]),FALSE))</f>
        <v>#N/A</v>
      </c>
      <c r="S92" s="282" t="e">
        <f>IF(VLOOKUP(T_Convention[[#This Row],[NumL]],T_TraitDi[#Data],COLUMN(T_TraitDi[M4]),FALSE)="","",VLOOKUP(T_Convention[[#This Row],[NumL]],T_TraitDi[#Data],COLUMN(T_TraitDi[M4]),FALSE))</f>
        <v>#N/A</v>
      </c>
      <c r="T92" s="282" t="e">
        <f>IF(VLOOKUP(T_Convention[[#This Row],[NumL]],T_TraitDi[#Data],COLUMN(T_TraitDi[M5]),FALSE)="","",VLOOKUP(T_Convention[[#This Row],[NumL]],T_TraitDi[#Data],COLUMN(T_TraitDi[M5]),FALSE))</f>
        <v>#N/A</v>
      </c>
      <c r="U92" s="282" t="e">
        <f>IF(VLOOKUP(T_Convention[[#This Row],[NumL]],T_TraitDi[#Data],COLUMN(T_TraitDi[M6]),FALSE)="","",VLOOKUP(T_Convention[[#This Row],[NumL]],T_TraitDi[#Data],COLUMN(T_TraitDi[M6]),FALSE))</f>
        <v>#N/A</v>
      </c>
      <c r="V92" s="176" t="e">
        <f t="shared" si="9"/>
        <v>#N/A</v>
      </c>
      <c r="W92" s="284" t="str">
        <f>IFERROR(TEXT(VLOOKUP(T_Convention[[#This Row],[NumL]],T_TraitDi[#Data],COLUMN(T_TraitDi[Q2]),FALSE),"###%"),"")</f>
        <v/>
      </c>
      <c r="X92" s="97" t="e">
        <f>VLOOKUP(T_Convention[[#This Row],[NumL]],T_TraitDi[#Data],COLUMN(T_TraitDi[Reg Ponct]),FALSE)</f>
        <v>#N/A</v>
      </c>
      <c r="Y92" s="97" t="e">
        <f>VLOOKUP(T_Convention[NumL],T_TraitDi[#Data],COLUMN(T_TraitDi[Jours flottants]),FALSE)</f>
        <v>#N/A</v>
      </c>
      <c r="Z92" s="284" t="str">
        <f>IFERROR(VLOOKUP(T_Convention[[#This Row],[NumL]],T_TraitDi[#Data],COLUMN(T_TraitDi[Lundi]),FALSE),"")</f>
        <v/>
      </c>
      <c r="AA92" s="284" t="e">
        <f>IF(VLOOKUP(T_Convention[[#This Row],[NumL]],T_TraitDi[#Data],COLUMN(T_TraitDi[Colonne3]),FALSE)=0,"",TEXT(IFERROR(VLOOKUP(T_Convention[[#This Row],[NumL]],T_TraitDi[#Data],COLUMN(T_TraitDi[Colonne3]),FALSE),""),"[hh]:mm"))</f>
        <v>#N/A</v>
      </c>
      <c r="AB92" s="284" t="e">
        <f>IF(VLOOKUP(T_Convention[[#This Row],[NumL]],T_TraitDi[#Data],COLUMN(T_TraitDi[Colonne4]),FALSE)=0,"",TEXT(IFERROR(VLOOKUP(T_Convention[[#This Row],[NumL]],T_TraitDi[#Data],COLUMN(T_TraitDi[Colonne4]),FALSE),""),"[hh]:mm"))</f>
        <v>#N/A</v>
      </c>
      <c r="AC92" s="284" t="e">
        <f>IF(VLOOKUP(T_Convention[[#This Row],[NumL]],T_TraitDi[#Data],COLUMN(T_TraitDi[Colonne5]),FALSE)=0,"",TEXT(IFERROR(VLOOKUP(T_Convention[[#This Row],[NumL]],T_TraitDi[#Data],COLUMN(T_TraitDi[Colonne5]),FALSE),""),"[hh]:mm"))</f>
        <v>#N/A</v>
      </c>
      <c r="AD92" s="284" t="e">
        <f>IF(VLOOKUP(T_Convention[[#This Row],[NumL]],T_TraitDi[#Data],COLUMN(T_TraitDi[Colonne6]),FALSE)=0,"",TEXT(IFERROR(VLOOKUP(T_Convention[[#This Row],[NumL]],T_TraitDi[#Data],COLUMN(T_TraitDi[Colonne6]),FALSE),""),"[hh]:mm"))</f>
        <v>#N/A</v>
      </c>
      <c r="AE92" s="284" t="e">
        <f>IF(VLOOKUP(T_Convention[[#This Row],[NumL]],T_TraitDi[#Data],COLUMN(T_TraitDi[Colonne7]),FALSE)=0,"",TEXT(IFERROR(VLOOKUP(T_Convention[[#This Row],[NumL]],T_TraitDi[#Data],COLUMN(T_TraitDi[Colonne7]),FALSE),""),"[hh]:mm"))</f>
        <v>#N/A</v>
      </c>
      <c r="AF92" s="284" t="e">
        <f>IF(VLOOKUP(T_Convention[[#This Row],[NumL]],T_TraitDi[#Data],COLUMN(T_TraitDi[Colonne8]),FALSE)=0,"",TEXT(IFERROR(VLOOKUP(T_Convention[[#This Row],[NumL]],T_TraitDi[#Data],COLUMN(T_TraitDi[Colonne8]),FALSE),""),"[hh]:mm"))</f>
        <v>#N/A</v>
      </c>
      <c r="AG92" s="284" t="str">
        <f>IFERROR(VLOOKUP(T_Convention[[#This Row],[NumL]],T_TraitDi[#Data],COLUMN(T_TraitDi[Mardi]),FALSE),"")</f>
        <v/>
      </c>
      <c r="AH92" s="284" t="e">
        <f>IF(VLOOKUP(T_Convention[[#This Row],[NumL]],T_TraitDi[#Data],COLUMN(T_TraitDi[Colonne1]),FALSE)=0,"",TEXT(IFERROR(VLOOKUP(T_Convention[[#This Row],[NumL]],T_TraitDi[#Data],COLUMN(T_TraitDi[Colonne1]),FALSE),""),"[hh]:mm"))</f>
        <v>#N/A</v>
      </c>
      <c r="AI92" s="284" t="e">
        <f>IF(VLOOKUP(T_Convention[[#This Row],[NumL]],T_TraitDi[#Data],COLUMN(T_TraitDi[Colonne9]),FALSE)=0,"",TEXT(IFERROR(VLOOKUP(T_Convention[[#This Row],[NumL]],T_TraitDi[#Data],COLUMN(T_TraitDi[Colonne9]),FALSE),""),"[hh]:mm"))</f>
        <v>#N/A</v>
      </c>
      <c r="AJ92" s="284" t="str">
        <f>IFERROR(VLOOKUP(T_Convention[[#This Row],[NumL]],T_TraitDi[#Data],COLUMN(T_TraitDi[Colonne10]),FALSE),"")</f>
        <v/>
      </c>
      <c r="AK92" s="284" t="e">
        <f>IF(VLOOKUP(T_Convention[[#This Row],[NumL]],T_TraitDi[#Data],COLUMN(T_TraitDi[Colonne11]),FALSE)=0,"",TEXT(IFERROR(VLOOKUP(T_Convention[[#This Row],[NumL]],T_TraitDi[#Data],COLUMN(T_TraitDi[Colonne11]),FALSE),""),"[hh]:mm"))</f>
        <v>#N/A</v>
      </c>
      <c r="AL92" s="284" t="e">
        <f>IF(VLOOKUP(T_Convention[[#This Row],[NumL]],T_TraitDi[#Data],COLUMN(T_TraitDi[Colonne12]),FALSE)=0,"",TEXT(IFERROR(VLOOKUP(T_Convention[[#This Row],[NumL]],T_TraitDi[#Data],COLUMN(T_TraitDi[Colonne12]),FALSE),""),"[hh]:mm"))</f>
        <v>#N/A</v>
      </c>
      <c r="AM92" s="284" t="e">
        <f>IF(VLOOKUP(T_Convention[[#This Row],[NumL]],T_TraitDi[#Data],COLUMN(T_TraitDi[Colonne14]),FALSE)=0,"",TEXT(IFERROR(VLOOKUP(T_Convention[[#This Row],[NumL]],T_TraitDi[#Data],COLUMN(T_TraitDi[Colonne14]),FALSE),""),"[hh]:mm"))</f>
        <v>#N/A</v>
      </c>
      <c r="AN92" s="284" t="str">
        <f>IFERROR(VLOOKUP(T_Convention[[#This Row],[NumL]],T_TraitDi[#Data],COLUMN(T_TraitDi[Mercredi]),FALSE),"")</f>
        <v/>
      </c>
      <c r="AO92" s="284" t="e">
        <f>IF(VLOOKUP(T_Convention[[#This Row],[NumL]],T_TraitDi[#Data],COLUMN(T_TraitDi[Colonne15]),FALSE)=0,"",TEXT(IFERROR(VLOOKUP(T_Convention[[#This Row],[NumL]],T_TraitDi[#Data],COLUMN(T_TraitDi[Colonne15]),FALSE),""),"[hh]:mm"))</f>
        <v>#N/A</v>
      </c>
      <c r="AP92" s="284" t="e">
        <f>IF(VLOOKUP(T_Convention[[#This Row],[NumL]],T_TraitDi[#Data],COLUMN(T_TraitDi[Colonne16]),FALSE)=0,"",TEXT(IFERROR(VLOOKUP(T_Convention[[#This Row],[NumL]],T_TraitDi[#Data],COLUMN(T_TraitDi[Colonne16]),FALSE),""),"[hh]:mm"))</f>
        <v>#N/A</v>
      </c>
      <c r="AQ92" s="284" t="str">
        <f>IFERROR(VLOOKUP(T_Convention[[#This Row],[NumL]],T_TraitDi[#Data],COLUMN(T_TraitDi[Colonne17]),FALSE),"")</f>
        <v/>
      </c>
      <c r="AR92" s="284" t="e">
        <f>IF(VLOOKUP(T_Convention[[#This Row],[NumL]],T_TraitDi[#Data],COLUMN(T_TraitDi[Colonne18]),FALSE)=0,"",TEXT(IFERROR(VLOOKUP(T_Convention[[#This Row],[NumL]],T_TraitDi[#Data],COLUMN(T_TraitDi[Colonne18]),FALSE),""),"[hh]:mm"))</f>
        <v>#N/A</v>
      </c>
      <c r="AS92" s="284" t="e">
        <f>IF(VLOOKUP(T_Convention[[#This Row],[NumL]],T_TraitDi[#Data],COLUMN(T_TraitDi[Colonne19]),FALSE)=0,"",TEXT(IFERROR(VLOOKUP(T_Convention[[#This Row],[NumL]],T_TraitDi[#Data],COLUMN(T_TraitDi[Colonne19]),FALSE),""),"[hh]:mm"))</f>
        <v>#N/A</v>
      </c>
      <c r="AT92" s="284" t="e">
        <f>IF(VLOOKUP(T_Convention[[#This Row],[NumL]],T_TraitDi[#Data],COLUMN(T_TraitDi[Colonne20]),FALSE)=0,"",TEXT(IFERROR(VLOOKUP(T_Convention[[#This Row],[NumL]],T_TraitDi[#Data],COLUMN(T_TraitDi[Colonne20]),FALSE),""),"[hh]:mm"))</f>
        <v>#N/A</v>
      </c>
      <c r="AU92" s="284" t="str">
        <f>IFERROR(VLOOKUP(T_Convention[[#This Row],[NumL]],T_TraitDi[#Data],COLUMN(T_TraitDi[Jeudi]),FALSE),"")</f>
        <v/>
      </c>
      <c r="AV92" s="284" t="e">
        <f>IF(VLOOKUP(T_Convention[[#This Row],[NumL]],T_TraitDi[#Data],COLUMN(T_TraitDi[Colonne21]),FALSE)=0,"",TEXT(IFERROR(VLOOKUP(T_Convention[[#This Row],[NumL]],T_TraitDi[#Data],COLUMN(T_TraitDi[Colonne21]),FALSE),""),"[hh]:mm"))</f>
        <v>#N/A</v>
      </c>
      <c r="AW92" s="284" t="e">
        <f>IF(VLOOKUP(T_Convention[[#This Row],[NumL]],T_TraitDi[#Data],COLUMN(T_TraitDi[Colonne22]),FALSE)=0,"",TEXT(IFERROR(VLOOKUP(T_Convention[[#This Row],[NumL]],T_TraitDi[#Data],COLUMN(T_TraitDi[Colonne22]),FALSE),""),"[hh]:mm"))</f>
        <v>#N/A</v>
      </c>
      <c r="AX92" s="284" t="str">
        <f>IFERROR(VLOOKUP(T_Convention[[#This Row],[NumL]],T_TraitDi[#Data],COLUMN(T_TraitDi[Colonne23]),FALSE),"")</f>
        <v/>
      </c>
      <c r="AY92" s="284" t="e">
        <f>IF(VLOOKUP(T_Convention[[#This Row],[NumL]],T_TraitDi[#Data],COLUMN(T_TraitDi[Colonne24]),FALSE)=0,"",TEXT(IFERROR(VLOOKUP(T_Convention[[#This Row],[NumL]],T_TraitDi[#Data],COLUMN(T_TraitDi[Colonne24]),FALSE),""),"[hh]:mm"))</f>
        <v>#N/A</v>
      </c>
      <c r="AZ92" s="284" t="e">
        <f>IF(VLOOKUP(T_Convention[[#This Row],[NumL]],T_TraitDi[#Data],COLUMN(T_TraitDi[Colonne25]),FALSE)=0,"",TEXT(IFERROR(VLOOKUP(T_Convention[[#This Row],[NumL]],T_TraitDi[#Data],COLUMN(T_TraitDi[Colonne25]),FALSE),""),"[hh]:mm"))</f>
        <v>#N/A</v>
      </c>
      <c r="BA92" s="284" t="e">
        <f>IF(VLOOKUP(T_Convention[[#This Row],[NumL]],T_TraitDi[#Data],COLUMN(T_TraitDi[Colonne26]),FALSE)=0,"",TEXT(IFERROR(VLOOKUP(T_Convention[[#This Row],[NumL]],T_TraitDi[#Data],COLUMN(T_TraitDi[Colonne26]),FALSE),""),"[hh]:mm"))</f>
        <v>#N/A</v>
      </c>
      <c r="BB92" s="284" t="str">
        <f>IFERROR(VLOOKUP(T_Convention[[#This Row],[NumL]],T_TraitDi[#Data],COLUMN(T_TraitDi[Vendredi]),FALSE),"")</f>
        <v/>
      </c>
      <c r="BC92" s="284" t="e">
        <f>IF(VLOOKUP(T_Convention[[#This Row],[NumL]],T_TraitDi[#Data],COLUMN(T_TraitDi[Colonne27]),FALSE)=0,"",TEXT(IFERROR(VLOOKUP(T_Convention[[#This Row],[NumL]],T_TraitDi[#Data],COLUMN(T_TraitDi[Colonne27]),FALSE),""),"[hh]:mm"))</f>
        <v>#N/A</v>
      </c>
      <c r="BD92" s="284" t="e">
        <f>IF(VLOOKUP(T_Convention[[#This Row],[NumL]],T_TraitDi[#Data],COLUMN(T_TraitDi[Colonne28]),FALSE)=0,"",TEXT(IFERROR(VLOOKUP(T_Convention[[#This Row],[NumL]],T_TraitDi[#Data],COLUMN(T_TraitDi[Colonne28]),FALSE),""),"[hh]:mm"))</f>
        <v>#N/A</v>
      </c>
      <c r="BE92" s="284" t="str">
        <f>IFERROR(VLOOKUP(T_Convention[[#This Row],[NumL]],T_TraitDi[#Data],COLUMN(T_TraitDi[Colonne29]),FALSE),"")</f>
        <v/>
      </c>
      <c r="BF92" s="284" t="e">
        <f>IF(VLOOKUP(T_Convention[[#This Row],[NumL]],T_TraitDi[#Data],COLUMN(T_TraitDi[Colonne30]),FALSE)=0,"",TEXT(IFERROR(VLOOKUP(T_Convention[[#This Row],[NumL]],T_TraitDi[#Data],COLUMN(T_TraitDi[Colonne30]),FALSE),""),"[hh]:mm"))</f>
        <v>#N/A</v>
      </c>
      <c r="BG92" s="284" t="e">
        <f>IF(VLOOKUP(T_Convention[[#This Row],[NumL]],T_TraitDi[#Data],COLUMN(T_TraitDi[Colonne31]),FALSE)=0,"",TEXT(IFERROR(VLOOKUP(T_Convention[[#This Row],[NumL]],T_TraitDi[#Data],COLUMN(T_TraitDi[Colonne31]),FALSE),""),"[hh]:mm"))</f>
        <v>#N/A</v>
      </c>
      <c r="BH92" s="284" t="e">
        <f>IF(VLOOKUP(T_Convention[[#This Row],[NumL]],T_TraitDi[#Data],COLUMN(T_TraitDi[Colonne32]),FALSE)=0,"",TEXT(IFERROR(VLOOKUP(T_Convention[[#This Row],[NumL]],T_TraitDi[#Data],COLUMN(T_TraitDi[Colonne32]),FALSE),""),"[hh]:mm"))</f>
        <v>#N/A</v>
      </c>
      <c r="BI92" s="284" t="str">
        <f>IFERROR(VLOOKUP(T_Convention[[#This Row],[NumL]],T_TraitDi[#Data],COLUMN(T_TraitDi[NbJTW]),FALSE),"")</f>
        <v/>
      </c>
      <c r="BJ92" s="284" t="e">
        <f>IF(VLOOKUP(T_Convention[[#This Row],[NumL]],T_TraitDi[#Data],COLUMN(T_TraitDi[NbhTW]),FALSE)=0,"",TEXT(IFERROR(VLOOKUP(T_Convention[[#This Row],[NumL]],T_TraitDi[#Data],COLUMN(T_TraitDi[NbhTW]),FALSE),""),"[hh]:mm"))</f>
        <v>#N/A</v>
      </c>
      <c r="BK92" s="286" t="e">
        <f>IF(VLOOKUP(T_Convention[[#This Row],[NumL]],T_TraitDi[#Data],COLUMN(T_TraitDi[Nbhheb]),FALSE)=0,"",TEXT(IFERROR(VLOOKUP(T_Convention[[#This Row],[NumL]],T_TraitDi[#Data],COLUMN(T_TraitDi[Nbhheb]),FALSE),""),"[hh]:mm"))</f>
        <v>#N/A</v>
      </c>
      <c r="BL92" s="287" t="str">
        <f>IFERROR(VLOOKUP(VLOOKUP(T_Convention[[#This Row],[NumL]],T_TraitDi[#Data],COLUMN(T_TraitDi[Type1]),FALSE),TypeTW,2,FALSE),"")</f>
        <v/>
      </c>
      <c r="BM92" s="288" t="str">
        <f>IFERROR(VLOOKUP(T_Convention[[#This Row],[NumL]],T_TraitDi[#Data],COLUMN(T_TraitDi[Rue1]),FALSE),"")</f>
        <v/>
      </c>
      <c r="BN92" s="289" t="str">
        <f>IFERROR(VLOOKUP(T_Convention[[#This Row],[NumL]],T_TraitDi[#Data],COLUMN(T_TraitDi[CP1]),FALSE),"")</f>
        <v/>
      </c>
      <c r="BO92" s="282" t="str">
        <f>IFERROR(VLOOKUP(T_Convention[[#This Row],[NumL]],T_TraitDi[#Data],COLUMN(T_TraitDi[VILLE1]),FALSE),"")</f>
        <v/>
      </c>
      <c r="BP92" s="290" t="str">
        <f>IFERROR(VLOOKUP(VLOOKUP(T_Convention[[#This Row],[NumL]],T_TraitDi[#Data],COLUMN(T_TraitDi[Type2]),FALSE),TypeTW,2,FALSE),"")</f>
        <v/>
      </c>
      <c r="BQ92" s="182" t="str">
        <f>IFERROR(VLOOKUP(T_Convention[[#This Row],[NumL]],T_TraitDi[#Data],COLUMN(T_TraitDi[Rue2]),FALSE),"")</f>
        <v/>
      </c>
      <c r="BR92" s="173" t="str">
        <f>IFERROR(VLOOKUP(T_Convention[[#This Row],[NumL]],T_TraitDi[#Data],COLUMN(T_TraitDi[CP2]),FALSE),"")</f>
        <v/>
      </c>
      <c r="BS92" s="173" t="str">
        <f>IFERROR(VLOOKUP(T_Convention[[#This Row],[NumL]],T_TraitDi[#Data],COLUMN(T_TraitDi[VILLE2]),FALSE),"")</f>
        <v/>
      </c>
      <c r="BT92" s="182" t="str">
        <f>IF(VLOOKUP(T_Convention[[#This Row],[NumL]],T_Equipement[#Data],COLUMN(T_Equipement[PC]),FALSE)="","Aucun équipement spécifique directement lié au télétravail",VLOOKUP(T_Convention[[#This Row],[NumL]],T_Equipement[#Data],COLUMN(T_Equipement[PC]),FALSE))</f>
        <v xml:space="preserve">19-604	</v>
      </c>
      <c r="BU92" s="166" t="str">
        <f>IFERROR(IF(VLOOKUP(T_Convention[[#This Row],[NumL]],T_TraitDi[#Data],COLUMN(T_TraitDi[Plan]),FALSE)="OK","Un planning spécifique de télétravail est annexé à la présente convention.",""),"")</f>
        <v/>
      </c>
      <c r="BV92" s="270" t="s">
        <v>3472</v>
      </c>
      <c r="BW92" s="164" t="e">
        <f>IF(VLOOKUP(T_Convention[[#This Row],[NumL]],T_suiviDi[#Data],COLUMN(T_suiviDi[Entité]),FALSE)="","",VLOOKUP(T_Convention[[#This Row],[NumL]],T_suiviDi[#Data],COLUMN(T_suiviDi[Entité]),FALSE))</f>
        <v>#N/A</v>
      </c>
      <c r="BX92" s="164" t="str">
        <f>IF(VLOOKUP(T_Convention[[#This Row],[NumL]],T_Commission[#Data],COLUMN(T_Commission[envoi confirm TW]),FALSE)="","",VLOOKUP(T_Convention[[#This Row],[NumL]],T_Commission[#Data],COLUMN(T_Commission[envoi confirm TW]),FALSE))</f>
        <v>Oui</v>
      </c>
      <c r="BY9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2" s="264">
        <f>VLOOKUP(T_Convention[[#This Row],[NumL]],T_Commission[#Data],COLUMN(T_Commission[Commentaire]),FALSE)</f>
        <v>0</v>
      </c>
      <c r="CA92" s="254" t="str">
        <f>IF(VLOOKUP(T_Convention[[#This Row],[NumL]],T_Commission[#Data],COLUMN(T_Commission[Encadrant Email]),FALSE)="","",VLOOKUP(T_Convention[[#This Row],[NumL]],T_Commission[#Data],COLUMN(T_Commission[Encadrant Email]),FALSE))</f>
        <v/>
      </c>
      <c r="CB92" s="352" t="e">
        <f>VLOOKUP(T_Convention[[#This Row],[NumL]],T_TraitDi[#Data],COLUMN(T_TraitDi[NbJTot]),FALSE)</f>
        <v>#N/A</v>
      </c>
      <c r="CC92" s="352" t="e">
        <f>VLOOKUP(T_Convention[[#This Row],[NumL]],T_TraitDi[#Data],COLUMN(T_TraitDi[Reg Ponct]),FALSE)</f>
        <v>#N/A</v>
      </c>
      <c r="CD92" s="348" t="str">
        <f>IF(T_Convention[[#This Row],[Final]]&lt;&gt;"",VLOOKUP(T_Convention[[#This Row],[NumL]],T_suiviDi[#Data],COLUMN((T_suiviDi[Statut])),FALSE),"")</f>
        <v/>
      </c>
    </row>
    <row r="93" spans="1:82" s="106" customFormat="1" ht="18.75" customHeight="1" x14ac:dyDescent="0.25">
      <c r="A93" s="160">
        <v>51</v>
      </c>
      <c r="B93" s="161" t="str">
        <f>VLOOKUP(T_Convention[[#This Row],[NumL]],T_Commission[#Data],COLUMN(T_Commission[FINAL]),FALSE)</f>
        <v/>
      </c>
      <c r="C93" s="162"/>
      <c r="D93" s="95" t="e">
        <f>IF(VLOOKUP(T_Convention[[#This Row],[NumL]],T_TraitDi[#Data],COLUMN(T_TraitDi[WebC]),FALSE)="","",VLOOKUP(T_Convention[[#This Row],[NumL]],T_TraitDi[#Data],COLUMN(T_TraitDi[WebC]),FALSE))</f>
        <v>#N/A</v>
      </c>
      <c r="E93" s="163" t="str">
        <f t="shared" si="5"/>
        <v>12 janvier 2021</v>
      </c>
      <c r="F93" s="282" t="str">
        <f>IF(T_Convention[[#This Row],[Final]]&lt;&gt;"",VLOOKUP(T_Convention[[#This Row],[NumL]],T_suiviDi[#Data],COLUMN((T_suiviDi[Civ.])),FALSE),"")</f>
        <v/>
      </c>
      <c r="G93" s="283" t="str">
        <f>IF(T_Convention[[#This Row],[Final]]&lt;&gt;"",VLOOKUP(T_Convention[[#This Row],[NumL]],T_suiviDi[#Data],COLUMN((T_suiviDi[Nom])),FALSE),"")</f>
        <v/>
      </c>
      <c r="H93" s="282" t="str">
        <f>IF(T_Convention[[#This Row],[Final]]&lt;&gt;"",VLOOKUP(T_Convention[[#This Row],[NumL]],T_suiviDi[#Data],COLUMN((T_suiviDi[Prénom])),FALSE),"")</f>
        <v/>
      </c>
      <c r="I93" s="282" t="e">
        <f>VLOOKUP(T_Convention[[#This Row],[NumL]],T_suiviDi[#Data],COLUMN((T_suiviDi[[#This Row],[Email]])),FALSE)</f>
        <v>#VALUE!</v>
      </c>
      <c r="J93" s="282" t="e">
        <f>IF(VLOOKUP(T_Convention[[#This Row],[NumL]],T_suiviDi[#Data],COLUMN(T_suiviDi[[#This Row],[Fonction]]),FALSE)="","",VLOOKUP(T_Convention[[#This Row],[NumL]],T_suiviDi[#Data],COLUMN(T_suiviDi[[#This Row],[Fonction]]),FALSE))</f>
        <v>#VALUE!</v>
      </c>
      <c r="K93" s="282" t="e">
        <f>IF(VLOOKUP(T_Convention[[#This Row],[NumL]],T_suiviDi[#Data],COLUMN(T_suiviDi[[#This Row],[Grade]]),FALSE)="","",VLOOKUP(T_Convention[[#This Row],[NumL]],T_suiviDi[#Data],COLUMN(T_suiviDi[[#This Row],[Grade]]),FALSE))</f>
        <v>#VALUE!</v>
      </c>
      <c r="L93" s="282" t="e">
        <f>IF(VLOOKUP(T_Convention[[#This Row],[NumL]],T_suiviDi[#Data],COLUMN(T_suiviDi[[#This Row],[Service ]]),FALSE)="","",VLOOKUP(T_Convention[[#This Row],[NumL]],T_suiviDi[#Data],COLUMN(T_suiviDi[[#This Row],[Service ]]),FALSE))</f>
        <v>#VALUE!</v>
      </c>
      <c r="M93" s="164" t="str">
        <f t="shared" si="6"/>
        <v>01 septembre 2021</v>
      </c>
      <c r="N93" s="164" t="str">
        <f t="shared" si="7"/>
        <v>30 novembre 2021</v>
      </c>
      <c r="O93" s="284" t="str">
        <f t="shared" si="8"/>
        <v>30 novembre 2021</v>
      </c>
      <c r="P93" s="282" t="e">
        <f>IF(VLOOKUP(T_Convention[[#This Row],[NumL]],T_TraitDi[#Data],COLUMN(T_TraitDi[M1]),FALSE)="","",VLOOKUP(T_Convention[[#This Row],[NumL]],T_TraitDi[#Data],COLUMN(T_TraitDi[M1]),FALSE))</f>
        <v>#N/A</v>
      </c>
      <c r="Q93" s="282" t="e">
        <f>IF(VLOOKUP(T_Convention[[#This Row],[NumL]],T_TraitDi[#Data],COLUMN(T_TraitDi[M2]),FALSE)="","",VLOOKUP(T_Convention[[#This Row],[NumL]],T_TraitDi[#Data],COLUMN(T_TraitDi[M2]),FALSE))</f>
        <v>#N/A</v>
      </c>
      <c r="R93" s="282" t="e">
        <f>IF(VLOOKUP(T_Convention[[#This Row],[NumL]],T_TraitDi[#Data],COLUMN(T_TraitDi[M3]),FALSE)="","",VLOOKUP(T_Convention[[#This Row],[NumL]],T_TraitDi[#Data],COLUMN(T_TraitDi[M3]),FALSE))</f>
        <v>#N/A</v>
      </c>
      <c r="S93" s="282" t="e">
        <f>IF(VLOOKUP(T_Convention[[#This Row],[NumL]],T_TraitDi[#Data],COLUMN(T_TraitDi[M4]),FALSE)="","",VLOOKUP(T_Convention[[#This Row],[NumL]],T_TraitDi[#Data],COLUMN(T_TraitDi[M4]),FALSE))</f>
        <v>#N/A</v>
      </c>
      <c r="T93" s="282" t="e">
        <f>IF(VLOOKUP(T_Convention[[#This Row],[NumL]],T_TraitDi[#Data],COLUMN(T_TraitDi[M5]),FALSE)="","",VLOOKUP(T_Convention[[#This Row],[NumL]],T_TraitDi[#Data],COLUMN(T_TraitDi[M5]),FALSE))</f>
        <v>#N/A</v>
      </c>
      <c r="U93" s="282" t="e">
        <f>IF(VLOOKUP(T_Convention[[#This Row],[NumL]],T_TraitDi[#Data],COLUMN(T_TraitDi[M6]),FALSE)="","",VLOOKUP(T_Convention[[#This Row],[NumL]],T_TraitDi[#Data],COLUMN(T_TraitDi[M6]),FALSE))</f>
        <v>#N/A</v>
      </c>
      <c r="V93" s="176" t="e">
        <f t="shared" si="9"/>
        <v>#N/A</v>
      </c>
      <c r="W93" s="284" t="str">
        <f>IFERROR(TEXT(VLOOKUP(T_Convention[[#This Row],[NumL]],T_TraitDi[#Data],COLUMN(T_TraitDi[Q2]),FALSE),"###%"),"")</f>
        <v/>
      </c>
      <c r="X93" s="97" t="e">
        <f>VLOOKUP(T_Convention[[#This Row],[NumL]],T_TraitDi[#Data],COLUMN(T_TraitDi[Reg Ponct]),FALSE)</f>
        <v>#N/A</v>
      </c>
      <c r="Y93" s="97" t="e">
        <f>VLOOKUP(T_Convention[NumL],T_TraitDi[#Data],COLUMN(T_TraitDi[Jours flottants]),FALSE)</f>
        <v>#N/A</v>
      </c>
      <c r="Z93" s="284" t="str">
        <f>IFERROR(VLOOKUP(T_Convention[[#This Row],[NumL]],T_TraitDi[#Data],COLUMN(T_TraitDi[Lundi]),FALSE),"")</f>
        <v/>
      </c>
      <c r="AA93" s="284" t="e">
        <f>IF(VLOOKUP(T_Convention[[#This Row],[NumL]],T_TraitDi[#Data],COLUMN(T_TraitDi[Colonne3]),FALSE)=0,"",TEXT(IFERROR(VLOOKUP(T_Convention[[#This Row],[NumL]],T_TraitDi[#Data],COLUMN(T_TraitDi[Colonne3]),FALSE),""),"[hh]:mm"))</f>
        <v>#N/A</v>
      </c>
      <c r="AB93" s="284" t="e">
        <f>IF(VLOOKUP(T_Convention[[#This Row],[NumL]],T_TraitDi[#Data],COLUMN(T_TraitDi[Colonne4]),FALSE)=0,"",TEXT(IFERROR(VLOOKUP(T_Convention[[#This Row],[NumL]],T_TraitDi[#Data],COLUMN(T_TraitDi[Colonne4]),FALSE),""),"[hh]:mm"))</f>
        <v>#N/A</v>
      </c>
      <c r="AC93" s="284" t="e">
        <f>IF(VLOOKUP(T_Convention[[#This Row],[NumL]],T_TraitDi[#Data],COLUMN(T_TraitDi[Colonne5]),FALSE)=0,"",TEXT(IFERROR(VLOOKUP(T_Convention[[#This Row],[NumL]],T_TraitDi[#Data],COLUMN(T_TraitDi[Colonne5]),FALSE),""),"[hh]:mm"))</f>
        <v>#N/A</v>
      </c>
      <c r="AD93" s="284" t="e">
        <f>IF(VLOOKUP(T_Convention[[#This Row],[NumL]],T_TraitDi[#Data],COLUMN(T_TraitDi[Colonne6]),FALSE)=0,"",TEXT(IFERROR(VLOOKUP(T_Convention[[#This Row],[NumL]],T_TraitDi[#Data],COLUMN(T_TraitDi[Colonne6]),FALSE),""),"[hh]:mm"))</f>
        <v>#N/A</v>
      </c>
      <c r="AE93" s="284" t="e">
        <f>IF(VLOOKUP(T_Convention[[#This Row],[NumL]],T_TraitDi[#Data],COLUMN(T_TraitDi[Colonne7]),FALSE)=0,"",TEXT(IFERROR(VLOOKUP(T_Convention[[#This Row],[NumL]],T_TraitDi[#Data],COLUMN(T_TraitDi[Colonne7]),FALSE),""),"[hh]:mm"))</f>
        <v>#N/A</v>
      </c>
      <c r="AF93" s="284" t="e">
        <f>IF(VLOOKUP(T_Convention[[#This Row],[NumL]],T_TraitDi[#Data],COLUMN(T_TraitDi[Colonne8]),FALSE)=0,"",TEXT(IFERROR(VLOOKUP(T_Convention[[#This Row],[NumL]],T_TraitDi[#Data],COLUMN(T_TraitDi[Colonne8]),FALSE),""),"[hh]:mm"))</f>
        <v>#N/A</v>
      </c>
      <c r="AG93" s="284" t="str">
        <f>IFERROR(VLOOKUP(T_Convention[[#This Row],[NumL]],T_TraitDi[#Data],COLUMN(T_TraitDi[Mardi]),FALSE),"")</f>
        <v/>
      </c>
      <c r="AH93" s="284" t="e">
        <f>IF(VLOOKUP(T_Convention[[#This Row],[NumL]],T_TraitDi[#Data],COLUMN(T_TraitDi[Colonne1]),FALSE)=0,"",TEXT(IFERROR(VLOOKUP(T_Convention[[#This Row],[NumL]],T_TraitDi[#Data],COLUMN(T_TraitDi[Colonne1]),FALSE),""),"[hh]:mm"))</f>
        <v>#N/A</v>
      </c>
      <c r="AI93" s="284" t="e">
        <f>IF(VLOOKUP(T_Convention[[#This Row],[NumL]],T_TraitDi[#Data],COLUMN(T_TraitDi[Colonne9]),FALSE)=0,"",TEXT(IFERROR(VLOOKUP(T_Convention[[#This Row],[NumL]],T_TraitDi[#Data],COLUMN(T_TraitDi[Colonne9]),FALSE),""),"[hh]:mm"))</f>
        <v>#N/A</v>
      </c>
      <c r="AJ93" s="284" t="str">
        <f>IFERROR(VLOOKUP(T_Convention[[#This Row],[NumL]],T_TraitDi[#Data],COLUMN(T_TraitDi[Colonne10]),FALSE),"")</f>
        <v/>
      </c>
      <c r="AK93" s="284" t="e">
        <f>IF(VLOOKUP(T_Convention[[#This Row],[NumL]],T_TraitDi[#Data],COLUMN(T_TraitDi[Colonne11]),FALSE)=0,"",TEXT(IFERROR(VLOOKUP(T_Convention[[#This Row],[NumL]],T_TraitDi[#Data],COLUMN(T_TraitDi[Colonne11]),FALSE),""),"[hh]:mm"))</f>
        <v>#N/A</v>
      </c>
      <c r="AL93" s="284" t="e">
        <f>IF(VLOOKUP(T_Convention[[#This Row],[NumL]],T_TraitDi[#Data],COLUMN(T_TraitDi[Colonne12]),FALSE)=0,"",TEXT(IFERROR(VLOOKUP(T_Convention[[#This Row],[NumL]],T_TraitDi[#Data],COLUMN(T_TraitDi[Colonne12]),FALSE),""),"[hh]:mm"))</f>
        <v>#N/A</v>
      </c>
      <c r="AM93" s="284" t="e">
        <f>IF(VLOOKUP(T_Convention[[#This Row],[NumL]],T_TraitDi[#Data],COLUMN(T_TraitDi[Colonne14]),FALSE)=0,"",TEXT(IFERROR(VLOOKUP(T_Convention[[#This Row],[NumL]],T_TraitDi[#Data],COLUMN(T_TraitDi[Colonne14]),FALSE),""),"[hh]:mm"))</f>
        <v>#N/A</v>
      </c>
      <c r="AN93" s="284" t="str">
        <f>IFERROR(VLOOKUP(T_Convention[[#This Row],[NumL]],T_TraitDi[#Data],COLUMN(T_TraitDi[Mercredi]),FALSE),"")</f>
        <v/>
      </c>
      <c r="AO93" s="284" t="e">
        <f>IF(VLOOKUP(T_Convention[[#This Row],[NumL]],T_TraitDi[#Data],COLUMN(T_TraitDi[Colonne15]),FALSE)=0,"",TEXT(IFERROR(VLOOKUP(T_Convention[[#This Row],[NumL]],T_TraitDi[#Data],COLUMN(T_TraitDi[Colonne15]),FALSE),""),"[hh]:mm"))</f>
        <v>#N/A</v>
      </c>
      <c r="AP93" s="284" t="e">
        <f>IF(VLOOKUP(T_Convention[[#This Row],[NumL]],T_TraitDi[#Data],COLUMN(T_TraitDi[Colonne16]),FALSE)=0,"",TEXT(IFERROR(VLOOKUP(T_Convention[[#This Row],[NumL]],T_TraitDi[#Data],COLUMN(T_TraitDi[Colonne16]),FALSE),""),"[hh]:mm"))</f>
        <v>#N/A</v>
      </c>
      <c r="AQ93" s="284" t="str">
        <f>IFERROR(VLOOKUP(T_Convention[[#This Row],[NumL]],T_TraitDi[#Data],COLUMN(T_TraitDi[Colonne17]),FALSE),"")</f>
        <v/>
      </c>
      <c r="AR93" s="284" t="e">
        <f>IF(VLOOKUP(T_Convention[[#This Row],[NumL]],T_TraitDi[#Data],COLUMN(T_TraitDi[Colonne18]),FALSE)=0,"",TEXT(IFERROR(VLOOKUP(T_Convention[[#This Row],[NumL]],T_TraitDi[#Data],COLUMN(T_TraitDi[Colonne18]),FALSE),""),"[hh]:mm"))</f>
        <v>#N/A</v>
      </c>
      <c r="AS93" s="284" t="e">
        <f>IF(VLOOKUP(T_Convention[[#This Row],[NumL]],T_TraitDi[#Data],COLUMN(T_TraitDi[Colonne19]),FALSE)=0,"",TEXT(IFERROR(VLOOKUP(T_Convention[[#This Row],[NumL]],T_TraitDi[#Data],COLUMN(T_TraitDi[Colonne19]),FALSE),""),"[hh]:mm"))</f>
        <v>#N/A</v>
      </c>
      <c r="AT93" s="284" t="e">
        <f>IF(VLOOKUP(T_Convention[[#This Row],[NumL]],T_TraitDi[#Data],COLUMN(T_TraitDi[Colonne20]),FALSE)=0,"",TEXT(IFERROR(VLOOKUP(T_Convention[[#This Row],[NumL]],T_TraitDi[#Data],COLUMN(T_TraitDi[Colonne20]),FALSE),""),"[hh]:mm"))</f>
        <v>#N/A</v>
      </c>
      <c r="AU93" s="284" t="str">
        <f>IFERROR(VLOOKUP(T_Convention[[#This Row],[NumL]],T_TraitDi[#Data],COLUMN(T_TraitDi[Jeudi]),FALSE),"")</f>
        <v/>
      </c>
      <c r="AV93" s="284" t="e">
        <f>IF(VLOOKUP(T_Convention[[#This Row],[NumL]],T_TraitDi[#Data],COLUMN(T_TraitDi[Colonne21]),FALSE)=0,"",TEXT(IFERROR(VLOOKUP(T_Convention[[#This Row],[NumL]],T_TraitDi[#Data],COLUMN(T_TraitDi[Colonne21]),FALSE),""),"[hh]:mm"))</f>
        <v>#N/A</v>
      </c>
      <c r="AW93" s="284" t="e">
        <f>IF(VLOOKUP(T_Convention[[#This Row],[NumL]],T_TraitDi[#Data],COLUMN(T_TraitDi[Colonne22]),FALSE)=0,"",TEXT(IFERROR(VLOOKUP(T_Convention[[#This Row],[NumL]],T_TraitDi[#Data],COLUMN(T_TraitDi[Colonne22]),FALSE),""),"[hh]:mm"))</f>
        <v>#N/A</v>
      </c>
      <c r="AX93" s="284" t="str">
        <f>IFERROR(VLOOKUP(T_Convention[[#This Row],[NumL]],T_TraitDi[#Data],COLUMN(T_TraitDi[Colonne23]),FALSE),"")</f>
        <v/>
      </c>
      <c r="AY93" s="284" t="e">
        <f>IF(VLOOKUP(T_Convention[[#This Row],[NumL]],T_TraitDi[#Data],COLUMN(T_TraitDi[Colonne24]),FALSE)=0,"",TEXT(IFERROR(VLOOKUP(T_Convention[[#This Row],[NumL]],T_TraitDi[#Data],COLUMN(T_TraitDi[Colonne24]),FALSE),""),"[hh]:mm"))</f>
        <v>#N/A</v>
      </c>
      <c r="AZ93" s="284" t="e">
        <f>IF(VLOOKUP(T_Convention[[#This Row],[NumL]],T_TraitDi[#Data],COLUMN(T_TraitDi[Colonne25]),FALSE)=0,"",TEXT(IFERROR(VLOOKUP(T_Convention[[#This Row],[NumL]],T_TraitDi[#Data],COLUMN(T_TraitDi[Colonne25]),FALSE),""),"[hh]:mm"))</f>
        <v>#N/A</v>
      </c>
      <c r="BA93" s="284" t="e">
        <f>IF(VLOOKUP(T_Convention[[#This Row],[NumL]],T_TraitDi[#Data],COLUMN(T_TraitDi[Colonne26]),FALSE)=0,"",TEXT(IFERROR(VLOOKUP(T_Convention[[#This Row],[NumL]],T_TraitDi[#Data],COLUMN(T_TraitDi[Colonne26]),FALSE),""),"[hh]:mm"))</f>
        <v>#N/A</v>
      </c>
      <c r="BB93" s="284" t="str">
        <f>IFERROR(VLOOKUP(T_Convention[[#This Row],[NumL]],T_TraitDi[#Data],COLUMN(T_TraitDi[Vendredi]),FALSE),"")</f>
        <v/>
      </c>
      <c r="BC93" s="284" t="e">
        <f>IF(VLOOKUP(T_Convention[[#This Row],[NumL]],T_TraitDi[#Data],COLUMN(T_TraitDi[Colonne27]),FALSE)=0,"",TEXT(IFERROR(VLOOKUP(T_Convention[[#This Row],[NumL]],T_TraitDi[#Data],COLUMN(T_TraitDi[Colonne27]),FALSE),""),"[hh]:mm"))</f>
        <v>#N/A</v>
      </c>
      <c r="BD93" s="284" t="e">
        <f>IF(VLOOKUP(T_Convention[[#This Row],[NumL]],T_TraitDi[#Data],COLUMN(T_TraitDi[Colonne28]),FALSE)=0,"",TEXT(IFERROR(VLOOKUP(T_Convention[[#This Row],[NumL]],T_TraitDi[#Data],COLUMN(T_TraitDi[Colonne28]),FALSE),""),"[hh]:mm"))</f>
        <v>#N/A</v>
      </c>
      <c r="BE93" s="284" t="str">
        <f>IFERROR(VLOOKUP(T_Convention[[#This Row],[NumL]],T_TraitDi[#Data],COLUMN(T_TraitDi[Colonne29]),FALSE),"")</f>
        <v/>
      </c>
      <c r="BF93" s="284" t="e">
        <f>IF(VLOOKUP(T_Convention[[#This Row],[NumL]],T_TraitDi[#Data],COLUMN(T_TraitDi[Colonne30]),FALSE)=0,"",TEXT(IFERROR(VLOOKUP(T_Convention[[#This Row],[NumL]],T_TraitDi[#Data],COLUMN(T_TraitDi[Colonne30]),FALSE),""),"[hh]:mm"))</f>
        <v>#N/A</v>
      </c>
      <c r="BG93" s="284" t="e">
        <f>IF(VLOOKUP(T_Convention[[#This Row],[NumL]],T_TraitDi[#Data],COLUMN(T_TraitDi[Colonne31]),FALSE)=0,"",TEXT(IFERROR(VLOOKUP(T_Convention[[#This Row],[NumL]],T_TraitDi[#Data],COLUMN(T_TraitDi[Colonne31]),FALSE),""),"[hh]:mm"))</f>
        <v>#N/A</v>
      </c>
      <c r="BH93" s="284" t="e">
        <f>IF(VLOOKUP(T_Convention[[#This Row],[NumL]],T_TraitDi[#Data],COLUMN(T_TraitDi[Colonne32]),FALSE)=0,"",TEXT(IFERROR(VLOOKUP(T_Convention[[#This Row],[NumL]],T_TraitDi[#Data],COLUMN(T_TraitDi[Colonne32]),FALSE),""),"[hh]:mm"))</f>
        <v>#N/A</v>
      </c>
      <c r="BI93" s="284" t="str">
        <f>IFERROR(VLOOKUP(T_Convention[[#This Row],[NumL]],T_TraitDi[#Data],COLUMN(T_TraitDi[NbJTW]),FALSE),"")</f>
        <v/>
      </c>
      <c r="BJ93" s="284" t="e">
        <f>IF(VLOOKUP(T_Convention[[#This Row],[NumL]],T_TraitDi[#Data],COLUMN(T_TraitDi[NbhTW]),FALSE)=0,"",TEXT(IFERROR(VLOOKUP(T_Convention[[#This Row],[NumL]],T_TraitDi[#Data],COLUMN(T_TraitDi[NbhTW]),FALSE),""),"[hh]:mm"))</f>
        <v>#N/A</v>
      </c>
      <c r="BK93" s="286" t="e">
        <f>IF(VLOOKUP(T_Convention[[#This Row],[NumL]],T_TraitDi[#Data],COLUMN(T_TraitDi[Nbhheb]),FALSE)=0,"",TEXT(IFERROR(VLOOKUP(T_Convention[[#This Row],[NumL]],T_TraitDi[#Data],COLUMN(T_TraitDi[Nbhheb]),FALSE),""),"[hh]:mm"))</f>
        <v>#N/A</v>
      </c>
      <c r="BL93" s="287" t="str">
        <f>IFERROR(VLOOKUP(VLOOKUP(T_Convention[[#This Row],[NumL]],T_TraitDi[#Data],COLUMN(T_TraitDi[Type1]),FALSE),TypeTW,2,FALSE),"")</f>
        <v/>
      </c>
      <c r="BM93" s="288" t="str">
        <f>IFERROR(VLOOKUP(T_Convention[[#This Row],[NumL]],T_TraitDi[#Data],COLUMN(T_TraitDi[Rue1]),FALSE),"")</f>
        <v/>
      </c>
      <c r="BN93" s="289" t="str">
        <f>IFERROR(VLOOKUP(T_Convention[[#This Row],[NumL]],T_TraitDi[#Data],COLUMN(T_TraitDi[CP1]),FALSE),"")</f>
        <v/>
      </c>
      <c r="BO93" s="282" t="str">
        <f>IFERROR(VLOOKUP(T_Convention[[#This Row],[NumL]],T_TraitDi[#Data],COLUMN(T_TraitDi[VILLE1]),FALSE),"")</f>
        <v/>
      </c>
      <c r="BP93" s="290" t="str">
        <f>IFERROR(VLOOKUP(VLOOKUP(T_Convention[[#This Row],[NumL]],T_TraitDi[#Data],COLUMN(T_TraitDi[Type2]),FALSE),TypeTW,2,FALSE),"")</f>
        <v/>
      </c>
      <c r="BQ93" s="182" t="str">
        <f>IFERROR(VLOOKUP(T_Convention[[#This Row],[NumL]],T_TraitDi[#Data],COLUMN(T_TraitDi[Rue2]),FALSE),"")</f>
        <v/>
      </c>
      <c r="BR93" s="173" t="str">
        <f>IFERROR(VLOOKUP(T_Convention[[#This Row],[NumL]],T_TraitDi[#Data],COLUMN(T_TraitDi[CP2]),FALSE),"")</f>
        <v/>
      </c>
      <c r="BS93" s="173" t="str">
        <f>IFERROR(VLOOKUP(T_Convention[[#This Row],[NumL]],T_TraitDi[#Data],COLUMN(T_TraitDi[VILLE2]),FALSE),"")</f>
        <v/>
      </c>
      <c r="BT93" s="182" t="str">
        <f>IF(VLOOKUP(T_Convention[[#This Row],[NumL]],T_Equipement[#Data],COLUMN(T_Equipement[PC]),FALSE)="","Aucun équipement spécifique directement lié au télétravail",VLOOKUP(T_Convention[[#This Row],[NumL]],T_Equipement[#Data],COLUMN(T_Equipement[PC]),FALSE))</f>
        <v xml:space="preserve">16-382	</v>
      </c>
      <c r="BU93" s="166" t="str">
        <f>IFERROR(IF(VLOOKUP(T_Convention[[#This Row],[NumL]],T_TraitDi[#Data],COLUMN(T_TraitDi[Plan]),FALSE)="OK","Un planning spécifique de télétravail est annexé à la présente convention.",""),"")</f>
        <v/>
      </c>
      <c r="BV93" s="185" t="s">
        <v>3322</v>
      </c>
      <c r="BW93" s="164" t="e">
        <f>IF(VLOOKUP(T_Convention[[#This Row],[NumL]],T_suiviDi[#Data],COLUMN(T_suiviDi[Entité]),FALSE)="","",VLOOKUP(T_Convention[[#This Row],[NumL]],T_suiviDi[#Data],COLUMN(T_suiviDi[Entité]),FALSE))</f>
        <v>#N/A</v>
      </c>
      <c r="BX93" s="164" t="str">
        <f>IF(VLOOKUP(T_Convention[[#This Row],[NumL]],T_Commission[#Data],COLUMN(T_Commission[envoi confirm TW]),FALSE)="","",VLOOKUP(T_Convention[[#This Row],[NumL]],T_Commission[#Data],COLUMN(T_Commission[envoi confirm TW]),FALSE))</f>
        <v>Oui</v>
      </c>
      <c r="BY9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3" s="264">
        <f>VLOOKUP(T_Convention[[#This Row],[NumL]],T_Commission[#Data],COLUMN(T_Commission[Commentaire]),FALSE)</f>
        <v>0</v>
      </c>
      <c r="CA93" s="254" t="str">
        <f>IF(VLOOKUP(T_Convention[[#This Row],[NumL]],T_Commission[#Data],COLUMN(T_Commission[Encadrant Email]),FALSE)="","",VLOOKUP(T_Convention[[#This Row],[NumL]],T_Commission[#Data],COLUMN(T_Commission[Encadrant Email]),FALSE))</f>
        <v/>
      </c>
      <c r="CB93" s="352" t="e">
        <f>VLOOKUP(T_Convention[[#This Row],[NumL]],T_TraitDi[#Data],COLUMN(T_TraitDi[NbJTot]),FALSE)</f>
        <v>#N/A</v>
      </c>
      <c r="CC93" s="352" t="e">
        <f>VLOOKUP(T_Convention[[#This Row],[NumL]],T_TraitDi[#Data],COLUMN(T_TraitDi[Reg Ponct]),FALSE)</f>
        <v>#N/A</v>
      </c>
      <c r="CD93" s="348" t="str">
        <f>IF(T_Convention[[#This Row],[Final]]&lt;&gt;"",VLOOKUP(T_Convention[[#This Row],[NumL]],T_suiviDi[#Data],COLUMN((T_suiviDi[Statut])),FALSE),"")</f>
        <v/>
      </c>
    </row>
    <row r="94" spans="1:82" s="106" customFormat="1" ht="24" customHeight="1" x14ac:dyDescent="0.25">
      <c r="A94" s="160">
        <v>342</v>
      </c>
      <c r="B94" s="281" t="str">
        <f>VLOOKUP(T_Convention[[#This Row],[NumL]],T_Commission[#Data],COLUMN(T_Commission[FINAL]),FALSE)</f>
        <v/>
      </c>
      <c r="C94" s="162"/>
      <c r="D94" s="95" t="e">
        <f>IF(VLOOKUP(T_Convention[[#This Row],[NumL]],T_TraitDi[#Data],COLUMN(T_TraitDi[WebC]),FALSE)="","",VLOOKUP(T_Convention[[#This Row],[NumL]],T_TraitDi[#Data],COLUMN(T_TraitDi[WebC]),FALSE))</f>
        <v>#N/A</v>
      </c>
      <c r="E94" s="163" t="str">
        <f t="shared" si="5"/>
        <v>12 janvier 2021</v>
      </c>
      <c r="F94" s="282" t="str">
        <f>IF(T_Convention[[#This Row],[Final]]&lt;&gt;"",VLOOKUP(T_Convention[[#This Row],[NumL]],T_suiviDi[#Data],COLUMN((T_suiviDi[Civ.])),FALSE),"")</f>
        <v/>
      </c>
      <c r="G94" s="283" t="str">
        <f>IF(T_Convention[[#This Row],[Final]]&lt;&gt;"",VLOOKUP(T_Convention[[#This Row],[NumL]],T_suiviDi[#Data],COLUMN((T_suiviDi[Nom])),FALSE),"")</f>
        <v/>
      </c>
      <c r="H94" s="282" t="str">
        <f>IF(T_Convention[[#This Row],[Final]]&lt;&gt;"",VLOOKUP(T_Convention[[#This Row],[NumL]],T_suiviDi[#Data],COLUMN((T_suiviDi[Prénom])),FALSE),"")</f>
        <v/>
      </c>
      <c r="I94" s="282" t="e">
        <f>VLOOKUP(T_Convention[[#This Row],[NumL]],T_suiviDi[#Data],COLUMN((T_suiviDi[[#This Row],[Email]])),FALSE)</f>
        <v>#VALUE!</v>
      </c>
      <c r="J94" s="282" t="e">
        <f>IF(VLOOKUP(T_Convention[[#This Row],[NumL]],T_suiviDi[#Data],COLUMN(T_suiviDi[[#This Row],[Fonction]]),FALSE)="","",VLOOKUP(T_Convention[[#This Row],[NumL]],T_suiviDi[#Data],COLUMN(T_suiviDi[[#This Row],[Fonction]]),FALSE))</f>
        <v>#VALUE!</v>
      </c>
      <c r="K94" s="282" t="e">
        <f>IF(VLOOKUP(T_Convention[[#This Row],[NumL]],T_suiviDi[#Data],COLUMN(T_suiviDi[[#This Row],[Grade]]),FALSE)="","",VLOOKUP(T_Convention[[#This Row],[NumL]],T_suiviDi[#Data],COLUMN(T_suiviDi[[#This Row],[Grade]]),FALSE))</f>
        <v>#VALUE!</v>
      </c>
      <c r="L94" s="282" t="e">
        <f>IF(VLOOKUP(T_Convention[[#This Row],[NumL]],T_suiviDi[#Data],COLUMN(T_suiviDi[[#This Row],[Service ]]),FALSE)="","",VLOOKUP(T_Convention[[#This Row],[NumL]],T_suiviDi[#Data],COLUMN(T_suiviDi[[#This Row],[Service ]]),FALSE))</f>
        <v>#VALUE!</v>
      </c>
      <c r="M94" s="314" t="str">
        <f t="shared" si="6"/>
        <v>01 septembre 2021</v>
      </c>
      <c r="N94" s="314" t="str">
        <f t="shared" si="7"/>
        <v>30 novembre 2021</v>
      </c>
      <c r="O94" s="284" t="str">
        <f t="shared" si="8"/>
        <v>30 novembre 2021</v>
      </c>
      <c r="P94" s="282" t="e">
        <f>IF(VLOOKUP(T_Convention[[#This Row],[NumL]],T_TraitDi[#Data],COLUMN(T_TraitDi[M1]),FALSE)="","",VLOOKUP(T_Convention[[#This Row],[NumL]],T_TraitDi[#Data],COLUMN(T_TraitDi[M1]),FALSE))</f>
        <v>#N/A</v>
      </c>
      <c r="Q94" s="282" t="e">
        <f>IF(VLOOKUP(T_Convention[[#This Row],[NumL]],T_TraitDi[#Data],COLUMN(T_TraitDi[M2]),FALSE)="","",VLOOKUP(T_Convention[[#This Row],[NumL]],T_TraitDi[#Data],COLUMN(T_TraitDi[M2]),FALSE))</f>
        <v>#N/A</v>
      </c>
      <c r="R94" s="282" t="e">
        <f>IF(VLOOKUP(T_Convention[[#This Row],[NumL]],T_TraitDi[#Data],COLUMN(T_TraitDi[M3]),FALSE)="","",VLOOKUP(T_Convention[[#This Row],[NumL]],T_TraitDi[#Data],COLUMN(T_TraitDi[M3]),FALSE))</f>
        <v>#N/A</v>
      </c>
      <c r="S94" s="282" t="e">
        <f>IF(VLOOKUP(T_Convention[[#This Row],[NumL]],T_TraitDi[#Data],COLUMN(T_TraitDi[M4]),FALSE)="","",VLOOKUP(T_Convention[[#This Row],[NumL]],T_TraitDi[#Data],COLUMN(T_TraitDi[M4]),FALSE))</f>
        <v>#N/A</v>
      </c>
      <c r="T94" s="282" t="e">
        <f>IF(VLOOKUP(T_Convention[[#This Row],[NumL]],T_TraitDi[#Data],COLUMN(T_TraitDi[M5]),FALSE)="","",VLOOKUP(T_Convention[[#This Row],[NumL]],T_TraitDi[#Data],COLUMN(T_TraitDi[M5]),FALSE))</f>
        <v>#N/A</v>
      </c>
      <c r="U94" s="282" t="e">
        <f>IF(VLOOKUP(T_Convention[[#This Row],[NumL]],T_TraitDi[#Data],COLUMN(T_TraitDi[M6]),FALSE)="","",VLOOKUP(T_Convention[[#This Row],[NumL]],T_TraitDi[#Data],COLUMN(T_TraitDi[M6]),FALSE))</f>
        <v>#N/A</v>
      </c>
      <c r="V94" s="314" t="e">
        <f t="shared" si="9"/>
        <v>#N/A</v>
      </c>
      <c r="W94" s="284" t="str">
        <f>IFERROR(TEXT(VLOOKUP(T_Convention[[#This Row],[NumL]],T_TraitDi[#Data],COLUMN(T_TraitDi[Q2]),FALSE),"###%"),"")</f>
        <v/>
      </c>
      <c r="X94" s="285" t="e">
        <f>VLOOKUP(T_Convention[[#This Row],[NumL]],T_TraitDi[#Data],COLUMN(T_TraitDi[Reg Ponct]),FALSE)</f>
        <v>#N/A</v>
      </c>
      <c r="Y94" s="285" t="e">
        <f>VLOOKUP(T_Convention[NumL],T_TraitDi[#Data],COLUMN(T_TraitDi[Jours flottants]),FALSE)</f>
        <v>#N/A</v>
      </c>
      <c r="Z94" s="284" t="str">
        <f>IFERROR(VLOOKUP(T_Convention[[#This Row],[NumL]],T_TraitDi[#Data],COLUMN(T_TraitDi[Lundi]),FALSE),"")</f>
        <v/>
      </c>
      <c r="AA94" s="284" t="e">
        <f>IF(VLOOKUP(T_Convention[[#This Row],[NumL]],T_TraitDi[#Data],COLUMN(T_TraitDi[Colonne3]),FALSE)=0,"",TEXT(IFERROR(VLOOKUP(T_Convention[[#This Row],[NumL]],T_TraitDi[#Data],COLUMN(T_TraitDi[Colonne3]),FALSE),""),"[hh]:mm"))</f>
        <v>#N/A</v>
      </c>
      <c r="AB94" s="284" t="e">
        <f>IF(VLOOKUP(T_Convention[[#This Row],[NumL]],T_TraitDi[#Data],COLUMN(T_TraitDi[Colonne4]),FALSE)=0,"",TEXT(IFERROR(VLOOKUP(T_Convention[[#This Row],[NumL]],T_TraitDi[#Data],COLUMN(T_TraitDi[Colonne4]),FALSE),""),"[hh]:mm"))</f>
        <v>#N/A</v>
      </c>
      <c r="AC94" s="284" t="e">
        <f>IF(VLOOKUP(T_Convention[[#This Row],[NumL]],T_TraitDi[#Data],COLUMN(T_TraitDi[Colonne5]),FALSE)=0,"",TEXT(IFERROR(VLOOKUP(T_Convention[[#This Row],[NumL]],T_TraitDi[#Data],COLUMN(T_TraitDi[Colonne5]),FALSE),""),"[hh]:mm"))</f>
        <v>#N/A</v>
      </c>
      <c r="AD94" s="284" t="e">
        <f>IF(VLOOKUP(T_Convention[[#This Row],[NumL]],T_TraitDi[#Data],COLUMN(T_TraitDi[Colonne6]),FALSE)=0,"",TEXT(IFERROR(VLOOKUP(T_Convention[[#This Row],[NumL]],T_TraitDi[#Data],COLUMN(T_TraitDi[Colonne6]),FALSE),""),"[hh]:mm"))</f>
        <v>#N/A</v>
      </c>
      <c r="AE94" s="284" t="e">
        <f>IF(VLOOKUP(T_Convention[[#This Row],[NumL]],T_TraitDi[#Data],COLUMN(T_TraitDi[Colonne7]),FALSE)=0,"",TEXT(IFERROR(VLOOKUP(T_Convention[[#This Row],[NumL]],T_TraitDi[#Data],COLUMN(T_TraitDi[Colonne7]),FALSE),""),"[hh]:mm"))</f>
        <v>#N/A</v>
      </c>
      <c r="AF94" s="284" t="e">
        <f>IF(VLOOKUP(T_Convention[[#This Row],[NumL]],T_TraitDi[#Data],COLUMN(T_TraitDi[Colonne8]),FALSE)=0,"",TEXT(IFERROR(VLOOKUP(T_Convention[[#This Row],[NumL]],T_TraitDi[#Data],COLUMN(T_TraitDi[Colonne8]),FALSE),""),"[hh]:mm"))</f>
        <v>#N/A</v>
      </c>
      <c r="AG94" s="284" t="str">
        <f>IFERROR(VLOOKUP(T_Convention[[#This Row],[NumL]],T_TraitDi[#Data],COLUMN(T_TraitDi[Mardi]),FALSE),"")</f>
        <v/>
      </c>
      <c r="AH94" s="284" t="e">
        <f>IF(VLOOKUP(T_Convention[[#This Row],[NumL]],T_TraitDi[#Data],COLUMN(T_TraitDi[Colonne1]),FALSE)=0,"",TEXT(IFERROR(VLOOKUP(T_Convention[[#This Row],[NumL]],T_TraitDi[#Data],COLUMN(T_TraitDi[Colonne1]),FALSE),""),"[hh]:mm"))</f>
        <v>#N/A</v>
      </c>
      <c r="AI94" s="284" t="e">
        <f>IF(VLOOKUP(T_Convention[[#This Row],[NumL]],T_TraitDi[#Data],COLUMN(T_TraitDi[Colonne9]),FALSE)=0,"",TEXT(IFERROR(VLOOKUP(T_Convention[[#This Row],[NumL]],T_TraitDi[#Data],COLUMN(T_TraitDi[Colonne9]),FALSE),""),"[hh]:mm"))</f>
        <v>#N/A</v>
      </c>
      <c r="AJ94" s="284" t="str">
        <f>IFERROR(VLOOKUP(T_Convention[[#This Row],[NumL]],T_TraitDi[#Data],COLUMN(T_TraitDi[Colonne10]),FALSE),"")</f>
        <v/>
      </c>
      <c r="AK94" s="284" t="e">
        <f>IF(VLOOKUP(T_Convention[[#This Row],[NumL]],T_TraitDi[#Data],COLUMN(T_TraitDi[Colonne11]),FALSE)=0,"",TEXT(IFERROR(VLOOKUP(T_Convention[[#This Row],[NumL]],T_TraitDi[#Data],COLUMN(T_TraitDi[Colonne11]),FALSE),""),"[hh]:mm"))</f>
        <v>#N/A</v>
      </c>
      <c r="AL94" s="284" t="e">
        <f>IF(VLOOKUP(T_Convention[[#This Row],[NumL]],T_TraitDi[#Data],COLUMN(T_TraitDi[Colonne12]),FALSE)=0,"",TEXT(IFERROR(VLOOKUP(T_Convention[[#This Row],[NumL]],T_TraitDi[#Data],COLUMN(T_TraitDi[Colonne12]),FALSE),""),"[hh]:mm"))</f>
        <v>#N/A</v>
      </c>
      <c r="AM94" s="284" t="e">
        <f>IF(VLOOKUP(T_Convention[[#This Row],[NumL]],T_TraitDi[#Data],COLUMN(T_TraitDi[Colonne14]),FALSE)=0,"",TEXT(IFERROR(VLOOKUP(T_Convention[[#This Row],[NumL]],T_TraitDi[#Data],COLUMN(T_TraitDi[Colonne14]),FALSE),""),"[hh]:mm"))</f>
        <v>#N/A</v>
      </c>
      <c r="AN94" s="284" t="str">
        <f>IFERROR(VLOOKUP(T_Convention[[#This Row],[NumL]],T_TraitDi[#Data],COLUMN(T_TraitDi[Mercredi]),FALSE),"")</f>
        <v/>
      </c>
      <c r="AO94" s="284" t="e">
        <f>IF(VLOOKUP(T_Convention[[#This Row],[NumL]],T_TraitDi[#Data],COLUMN(T_TraitDi[Colonne15]),FALSE)=0,"",TEXT(IFERROR(VLOOKUP(T_Convention[[#This Row],[NumL]],T_TraitDi[#Data],COLUMN(T_TraitDi[Colonne15]),FALSE),""),"[hh]:mm"))</f>
        <v>#N/A</v>
      </c>
      <c r="AP94" s="284" t="e">
        <f>IF(VLOOKUP(T_Convention[[#This Row],[NumL]],T_TraitDi[#Data],COLUMN(T_TraitDi[Colonne16]),FALSE)=0,"",TEXT(IFERROR(VLOOKUP(T_Convention[[#This Row],[NumL]],T_TraitDi[#Data],COLUMN(T_TraitDi[Colonne16]),FALSE),""),"[hh]:mm"))</f>
        <v>#N/A</v>
      </c>
      <c r="AQ94" s="284" t="str">
        <f>IFERROR(VLOOKUP(T_Convention[[#This Row],[NumL]],T_TraitDi[#Data],COLUMN(T_TraitDi[Colonne17]),FALSE),"")</f>
        <v/>
      </c>
      <c r="AR94" s="284" t="e">
        <f>IF(VLOOKUP(T_Convention[[#This Row],[NumL]],T_TraitDi[#Data],COLUMN(T_TraitDi[Colonne18]),FALSE)=0,"",TEXT(IFERROR(VLOOKUP(T_Convention[[#This Row],[NumL]],T_TraitDi[#Data],COLUMN(T_TraitDi[Colonne18]),FALSE),""),"[hh]:mm"))</f>
        <v>#N/A</v>
      </c>
      <c r="AS94" s="284" t="e">
        <f>IF(VLOOKUP(T_Convention[[#This Row],[NumL]],T_TraitDi[#Data],COLUMN(T_TraitDi[Colonne19]),FALSE)=0,"",TEXT(IFERROR(VLOOKUP(T_Convention[[#This Row],[NumL]],T_TraitDi[#Data],COLUMN(T_TraitDi[Colonne19]),FALSE),""),"[hh]:mm"))</f>
        <v>#N/A</v>
      </c>
      <c r="AT94" s="284" t="e">
        <f>IF(VLOOKUP(T_Convention[[#This Row],[NumL]],T_TraitDi[#Data],COLUMN(T_TraitDi[Colonne20]),FALSE)=0,"",TEXT(IFERROR(VLOOKUP(T_Convention[[#This Row],[NumL]],T_TraitDi[#Data],COLUMN(T_TraitDi[Colonne20]),FALSE),""),"[hh]:mm"))</f>
        <v>#N/A</v>
      </c>
      <c r="AU94" s="284" t="str">
        <f>IFERROR(VLOOKUP(T_Convention[[#This Row],[NumL]],T_TraitDi[#Data],COLUMN(T_TraitDi[Jeudi]),FALSE),"")</f>
        <v/>
      </c>
      <c r="AV94" s="284" t="e">
        <f>IF(VLOOKUP(T_Convention[[#This Row],[NumL]],T_TraitDi[#Data],COLUMN(T_TraitDi[Colonne21]),FALSE)=0,"",TEXT(IFERROR(VLOOKUP(T_Convention[[#This Row],[NumL]],T_TraitDi[#Data],COLUMN(T_TraitDi[Colonne21]),FALSE),""),"[hh]:mm"))</f>
        <v>#N/A</v>
      </c>
      <c r="AW94" s="284" t="e">
        <f>IF(VLOOKUP(T_Convention[[#This Row],[NumL]],T_TraitDi[#Data],COLUMN(T_TraitDi[Colonne22]),FALSE)=0,"",TEXT(IFERROR(VLOOKUP(T_Convention[[#This Row],[NumL]],T_TraitDi[#Data],COLUMN(T_TraitDi[Colonne22]),FALSE),""),"[hh]:mm"))</f>
        <v>#N/A</v>
      </c>
      <c r="AX94" s="284" t="str">
        <f>IFERROR(VLOOKUP(T_Convention[[#This Row],[NumL]],T_TraitDi[#Data],COLUMN(T_TraitDi[Colonne23]),FALSE),"")</f>
        <v/>
      </c>
      <c r="AY94" s="284" t="e">
        <f>IF(VLOOKUP(T_Convention[[#This Row],[NumL]],T_TraitDi[#Data],COLUMN(T_TraitDi[Colonne24]),FALSE)=0,"",TEXT(IFERROR(VLOOKUP(T_Convention[[#This Row],[NumL]],T_TraitDi[#Data],COLUMN(T_TraitDi[Colonne24]),FALSE),""),"[hh]:mm"))</f>
        <v>#N/A</v>
      </c>
      <c r="AZ94" s="284" t="e">
        <f>IF(VLOOKUP(T_Convention[[#This Row],[NumL]],T_TraitDi[#Data],COLUMN(T_TraitDi[Colonne25]),FALSE)=0,"",TEXT(IFERROR(VLOOKUP(T_Convention[[#This Row],[NumL]],T_TraitDi[#Data],COLUMN(T_TraitDi[Colonne25]),FALSE),""),"[hh]:mm"))</f>
        <v>#N/A</v>
      </c>
      <c r="BA94" s="284" t="e">
        <f>IF(VLOOKUP(T_Convention[[#This Row],[NumL]],T_TraitDi[#Data],COLUMN(T_TraitDi[Colonne26]),FALSE)=0,"",TEXT(IFERROR(VLOOKUP(T_Convention[[#This Row],[NumL]],T_TraitDi[#Data],COLUMN(T_TraitDi[Colonne26]),FALSE),""),"[hh]:mm"))</f>
        <v>#N/A</v>
      </c>
      <c r="BB94" s="284" t="str">
        <f>IFERROR(VLOOKUP(T_Convention[[#This Row],[NumL]],T_TraitDi[#Data],COLUMN(T_TraitDi[Vendredi]),FALSE),"")</f>
        <v/>
      </c>
      <c r="BC94" s="284" t="e">
        <f>IF(VLOOKUP(T_Convention[[#This Row],[NumL]],T_TraitDi[#Data],COLUMN(T_TraitDi[Colonne27]),FALSE)=0,"",TEXT(IFERROR(VLOOKUP(T_Convention[[#This Row],[NumL]],T_TraitDi[#Data],COLUMN(T_TraitDi[Colonne27]),FALSE),""),"[hh]:mm"))</f>
        <v>#N/A</v>
      </c>
      <c r="BD94" s="284" t="e">
        <f>IF(VLOOKUP(T_Convention[[#This Row],[NumL]],T_TraitDi[#Data],COLUMN(T_TraitDi[Colonne28]),FALSE)=0,"",TEXT(IFERROR(VLOOKUP(T_Convention[[#This Row],[NumL]],T_TraitDi[#Data],COLUMN(T_TraitDi[Colonne28]),FALSE),""),"[hh]:mm"))</f>
        <v>#N/A</v>
      </c>
      <c r="BE94" s="284" t="str">
        <f>IFERROR(VLOOKUP(T_Convention[[#This Row],[NumL]],T_TraitDi[#Data],COLUMN(T_TraitDi[Colonne29]),FALSE),"")</f>
        <v/>
      </c>
      <c r="BF94" s="284" t="e">
        <f>IF(VLOOKUP(T_Convention[[#This Row],[NumL]],T_TraitDi[#Data],COLUMN(T_TraitDi[Colonne30]),FALSE)=0,"",TEXT(IFERROR(VLOOKUP(T_Convention[[#This Row],[NumL]],T_TraitDi[#Data],COLUMN(T_TraitDi[Colonne30]),FALSE),""),"[hh]:mm"))</f>
        <v>#N/A</v>
      </c>
      <c r="BG94" s="284" t="e">
        <f>IF(VLOOKUP(T_Convention[[#This Row],[NumL]],T_TraitDi[#Data],COLUMN(T_TraitDi[Colonne31]),FALSE)=0,"",TEXT(IFERROR(VLOOKUP(T_Convention[[#This Row],[NumL]],T_TraitDi[#Data],COLUMN(T_TraitDi[Colonne31]),FALSE),""),"[hh]:mm"))</f>
        <v>#N/A</v>
      </c>
      <c r="BH94" s="284" t="e">
        <f>IF(VLOOKUP(T_Convention[[#This Row],[NumL]],T_TraitDi[#Data],COLUMN(T_TraitDi[Colonne32]),FALSE)=0,"",TEXT(IFERROR(VLOOKUP(T_Convention[[#This Row],[NumL]],T_TraitDi[#Data],COLUMN(T_TraitDi[Colonne32]),FALSE),""),"[hh]:mm"))</f>
        <v>#N/A</v>
      </c>
      <c r="BI94" s="284" t="str">
        <f>IFERROR(VLOOKUP(T_Convention[[#This Row],[NumL]],T_TraitDi[#Data],COLUMN(T_TraitDi[NbJTW]),FALSE),"")</f>
        <v/>
      </c>
      <c r="BJ94" s="284" t="e">
        <f>IF(VLOOKUP(T_Convention[[#This Row],[NumL]],T_TraitDi[#Data],COLUMN(T_TraitDi[NbhTW]),FALSE)=0,"",TEXT(IFERROR(VLOOKUP(T_Convention[[#This Row],[NumL]],T_TraitDi[#Data],COLUMN(T_TraitDi[NbhTW]),FALSE),""),"[hh]:mm"))</f>
        <v>#N/A</v>
      </c>
      <c r="BK94" s="315" t="e">
        <f>IF(VLOOKUP(T_Convention[[#This Row],[NumL]],T_TraitDi[#Data],COLUMN(T_TraitDi[Nbhheb]),FALSE)=0,"",TEXT(IFERROR(VLOOKUP(T_Convention[[#This Row],[NumL]],T_TraitDi[#Data],COLUMN(T_TraitDi[Nbhheb]),FALSE),""),"[hh]:mm"))</f>
        <v>#N/A</v>
      </c>
      <c r="BL94" s="287" t="str">
        <f>IFERROR(VLOOKUP(VLOOKUP(T_Convention[[#This Row],[NumL]],T_TraitDi[#Data],COLUMN(T_TraitDi[Type1]),FALSE),TypeTW,2,FALSE),"")</f>
        <v/>
      </c>
      <c r="BM94" s="288" t="str">
        <f>IFERROR(VLOOKUP(T_Convention[[#This Row],[NumL]],T_TraitDi[#Data],COLUMN(T_TraitDi[Rue1]),FALSE),"")</f>
        <v/>
      </c>
      <c r="BN94" s="289" t="str">
        <f>IFERROR(VLOOKUP(T_Convention[[#This Row],[NumL]],T_TraitDi[#Data],COLUMN(T_TraitDi[CP1]),FALSE),"")</f>
        <v/>
      </c>
      <c r="BO94" s="282" t="str">
        <f>IFERROR(VLOOKUP(T_Convention[[#This Row],[NumL]],T_TraitDi[#Data],COLUMN(T_TraitDi[VILLE1]),FALSE),"")</f>
        <v/>
      </c>
      <c r="BP94" s="290" t="str">
        <f>IFERROR(VLOOKUP(VLOOKUP(T_Convention[[#This Row],[NumL]],T_TraitDi[#Data],COLUMN(T_TraitDi[Type2]),FALSE),TypeTW,2,FALSE),"")</f>
        <v/>
      </c>
      <c r="BQ94" s="310" t="str">
        <f>IFERROR(VLOOKUP(T_Convention[[#This Row],[NumL]],T_TraitDi[#Data],COLUMN(T_TraitDi[Rue2]),FALSE),"")</f>
        <v/>
      </c>
      <c r="BR94" s="290" t="str">
        <f>IFERROR(VLOOKUP(T_Convention[[#This Row],[NumL]],T_TraitDi[#Data],COLUMN(T_TraitDi[CP2]),FALSE),"")</f>
        <v/>
      </c>
      <c r="BS94" s="290" t="str">
        <f>IFERROR(VLOOKUP(T_Convention[[#This Row],[NumL]],T_TraitDi[#Data],COLUMN(T_TraitDi[VILLE2]),FALSE),"")</f>
        <v/>
      </c>
      <c r="BT9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94" s="314" t="str">
        <f>IFERROR(IF(VLOOKUP(T_Convention[[#This Row],[NumL]],T_TraitDi[#Data],COLUMN(T_TraitDi[Plan]),FALSE)="OK","Un planning spécifique de télétravail est annexé à la présente convention.",""),"")</f>
        <v/>
      </c>
      <c r="BV94" s="291"/>
      <c r="BW94" s="292" t="e">
        <f>IF(VLOOKUP(T_Convention[[#This Row],[NumL]],T_suiviDi[#Data],COLUMN(T_suiviDi[Entité]),FALSE)="","",VLOOKUP(T_Convention[[#This Row],[NumL]],T_suiviDi[#Data],COLUMN(T_suiviDi[Entité]),FALSE))</f>
        <v>#N/A</v>
      </c>
      <c r="BX94" s="311" t="str">
        <f>IF(VLOOKUP(T_Convention[[#This Row],[NumL]],T_Commission[#Data],COLUMN(T_Commission[envoi confirm TW]),FALSE)="","",VLOOKUP(T_Convention[[#This Row],[NumL]],T_Commission[#Data],COLUMN(T_Commission[envoi confirm TW]),FALSE))</f>
        <v>Oui</v>
      </c>
      <c r="BY9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4" s="265">
        <f>VLOOKUP(T_Convention[[#This Row],[NumL]],T_Commission[#Data],COLUMN(T_Commission[Commentaire]),FALSE)</f>
        <v>0</v>
      </c>
      <c r="CA94" s="255" t="str">
        <f>IF(VLOOKUP(T_Convention[[#This Row],[NumL]],T_Commission[#Data],COLUMN(T_Commission[Encadrant Email]),FALSE)="","",VLOOKUP(T_Convention[[#This Row],[NumL]],T_Commission[#Data],COLUMN(T_Commission[Encadrant Email]),FALSE))</f>
        <v/>
      </c>
      <c r="CB94" s="352" t="e">
        <f>VLOOKUP(T_Convention[[#This Row],[NumL]],T_TraitDi[#Data],COLUMN(T_TraitDi[NbJTot]),FALSE)</f>
        <v>#N/A</v>
      </c>
      <c r="CC94" s="352" t="e">
        <f>VLOOKUP(T_Convention[[#This Row],[NumL]],T_TraitDi[#Data],COLUMN(T_TraitDi[Reg Ponct]),FALSE)</f>
        <v>#N/A</v>
      </c>
      <c r="CD94" s="348" t="str">
        <f>IF(T_Convention[[#This Row],[Final]]&lt;&gt;"",VLOOKUP(T_Convention[[#This Row],[NumL]],T_suiviDi[#Data],COLUMN((T_suiviDi[Statut])),FALSE),"")</f>
        <v/>
      </c>
    </row>
    <row r="95" spans="1:82" s="106" customFormat="1" ht="18.75" customHeight="1" x14ac:dyDescent="0.25">
      <c r="A95" s="160">
        <v>164</v>
      </c>
      <c r="B95" s="161" t="str">
        <f>VLOOKUP(T_Convention[[#This Row],[NumL]],T_Commission[#Data],COLUMN(T_Commission[FINAL]),FALSE)</f>
        <v/>
      </c>
      <c r="C95" s="162"/>
      <c r="D95" s="95" t="e">
        <f>IF(VLOOKUP(T_Convention[[#This Row],[NumL]],T_TraitDi[#Data],COLUMN(T_TraitDi[WebC]),FALSE)="","",VLOOKUP(T_Convention[[#This Row],[NumL]],T_TraitDi[#Data],COLUMN(T_TraitDi[WebC]),FALSE))</f>
        <v>#N/A</v>
      </c>
      <c r="E95" s="163" t="str">
        <f t="shared" si="5"/>
        <v>12 janvier 2021</v>
      </c>
      <c r="F95" s="282" t="str">
        <f>IF(T_Convention[[#This Row],[Final]]&lt;&gt;"",VLOOKUP(T_Convention[[#This Row],[NumL]],T_suiviDi[#Data],COLUMN((T_suiviDi[Civ.])),FALSE),"")</f>
        <v/>
      </c>
      <c r="G95" s="283" t="str">
        <f>IF(T_Convention[[#This Row],[Final]]&lt;&gt;"",VLOOKUP(T_Convention[[#This Row],[NumL]],T_suiviDi[#Data],COLUMN((T_suiviDi[Nom])),FALSE),"")</f>
        <v/>
      </c>
      <c r="H95" s="282" t="str">
        <f>IF(T_Convention[[#This Row],[Final]]&lt;&gt;"",VLOOKUP(T_Convention[[#This Row],[NumL]],T_suiviDi[#Data],COLUMN((T_suiviDi[Prénom])),FALSE),"")</f>
        <v/>
      </c>
      <c r="I95" s="282" t="e">
        <f>VLOOKUP(T_Convention[[#This Row],[NumL]],T_suiviDi[#Data],COLUMN((T_suiviDi[[#This Row],[Email]])),FALSE)</f>
        <v>#VALUE!</v>
      </c>
      <c r="J95" s="282" t="e">
        <f>IF(VLOOKUP(T_Convention[[#This Row],[NumL]],T_suiviDi[#Data],COLUMN(T_suiviDi[[#This Row],[Fonction]]),FALSE)="","",VLOOKUP(T_Convention[[#This Row],[NumL]],T_suiviDi[#Data],COLUMN(T_suiviDi[[#This Row],[Fonction]]),FALSE))</f>
        <v>#VALUE!</v>
      </c>
      <c r="K95" s="282" t="e">
        <f>IF(VLOOKUP(T_Convention[[#This Row],[NumL]],T_suiviDi[#Data],COLUMN(T_suiviDi[[#This Row],[Grade]]),FALSE)="","",VLOOKUP(T_Convention[[#This Row],[NumL]],T_suiviDi[#Data],COLUMN(T_suiviDi[[#This Row],[Grade]]),FALSE))</f>
        <v>#VALUE!</v>
      </c>
      <c r="L95" s="282" t="e">
        <f>IF(VLOOKUP(T_Convention[[#This Row],[NumL]],T_suiviDi[#Data],COLUMN(T_suiviDi[[#This Row],[Service ]]),FALSE)="","",VLOOKUP(T_Convention[[#This Row],[NumL]],T_suiviDi[#Data],COLUMN(T_suiviDi[[#This Row],[Service ]]),FALSE))</f>
        <v>#VALUE!</v>
      </c>
      <c r="M95" s="164" t="str">
        <f t="shared" si="6"/>
        <v>01 septembre 2021</v>
      </c>
      <c r="N95" s="164" t="str">
        <f t="shared" si="7"/>
        <v>30 novembre 2021</v>
      </c>
      <c r="O95" s="284" t="str">
        <f t="shared" si="8"/>
        <v>30 novembre 2021</v>
      </c>
      <c r="P95" s="282" t="e">
        <f>IF(VLOOKUP(T_Convention[[#This Row],[NumL]],T_TraitDi[#Data],COLUMN(T_TraitDi[M1]),FALSE)="","",VLOOKUP(T_Convention[[#This Row],[NumL]],T_TraitDi[#Data],COLUMN(T_TraitDi[M1]),FALSE))</f>
        <v>#N/A</v>
      </c>
      <c r="Q95" s="282" t="e">
        <f>IF(VLOOKUP(T_Convention[[#This Row],[NumL]],T_TraitDi[#Data],COLUMN(T_TraitDi[M2]),FALSE)="","",VLOOKUP(T_Convention[[#This Row],[NumL]],T_TraitDi[#Data],COLUMN(T_TraitDi[M2]),FALSE))</f>
        <v>#N/A</v>
      </c>
      <c r="R95" s="282" t="e">
        <f>IF(VLOOKUP(T_Convention[[#This Row],[NumL]],T_TraitDi[#Data],COLUMN(T_TraitDi[M3]),FALSE)="","",VLOOKUP(T_Convention[[#This Row],[NumL]],T_TraitDi[#Data],COLUMN(T_TraitDi[M3]),FALSE))</f>
        <v>#N/A</v>
      </c>
      <c r="S95" s="282" t="e">
        <f>IF(VLOOKUP(T_Convention[[#This Row],[NumL]],T_TraitDi[#Data],COLUMN(T_TraitDi[M4]),FALSE)="","",VLOOKUP(T_Convention[[#This Row],[NumL]],T_TraitDi[#Data],COLUMN(T_TraitDi[M4]),FALSE))</f>
        <v>#N/A</v>
      </c>
      <c r="T95" s="282" t="e">
        <f>IF(VLOOKUP(T_Convention[[#This Row],[NumL]],T_TraitDi[#Data],COLUMN(T_TraitDi[M5]),FALSE)="","",VLOOKUP(T_Convention[[#This Row],[NumL]],T_TraitDi[#Data],COLUMN(T_TraitDi[M5]),FALSE))</f>
        <v>#N/A</v>
      </c>
      <c r="U95" s="282" t="e">
        <f>IF(VLOOKUP(T_Convention[[#This Row],[NumL]],T_TraitDi[#Data],COLUMN(T_TraitDi[M6]),FALSE)="","",VLOOKUP(T_Convention[[#This Row],[NumL]],T_TraitDi[#Data],COLUMN(T_TraitDi[M6]),FALSE))</f>
        <v>#N/A</v>
      </c>
      <c r="V95" s="176" t="e">
        <f t="shared" si="9"/>
        <v>#N/A</v>
      </c>
      <c r="W95" s="284" t="str">
        <f>IFERROR(TEXT(VLOOKUP(T_Convention[[#This Row],[NumL]],T_TraitDi[#Data],COLUMN(T_TraitDi[Q2]),FALSE),"###%"),"")</f>
        <v/>
      </c>
      <c r="X95" s="97" t="e">
        <f>VLOOKUP(T_Convention[[#This Row],[NumL]],T_TraitDi[#Data],COLUMN(T_TraitDi[Reg Ponct]),FALSE)</f>
        <v>#N/A</v>
      </c>
      <c r="Y95" s="97" t="e">
        <f>VLOOKUP(T_Convention[NumL],T_TraitDi[#Data],COLUMN(T_TraitDi[Jours flottants]),FALSE)</f>
        <v>#N/A</v>
      </c>
      <c r="Z95" s="284" t="str">
        <f>IFERROR(VLOOKUP(T_Convention[[#This Row],[NumL]],T_TraitDi[#Data],COLUMN(T_TraitDi[Lundi]),FALSE),"")</f>
        <v/>
      </c>
      <c r="AA95" s="284" t="e">
        <f>IF(VLOOKUP(T_Convention[[#This Row],[NumL]],T_TraitDi[#Data],COLUMN(T_TraitDi[Colonne3]),FALSE)=0,"",TEXT(IFERROR(VLOOKUP(T_Convention[[#This Row],[NumL]],T_TraitDi[#Data],COLUMN(T_TraitDi[Colonne3]),FALSE),""),"[hh]:mm"))</f>
        <v>#N/A</v>
      </c>
      <c r="AB95" s="284" t="e">
        <f>IF(VLOOKUP(T_Convention[[#This Row],[NumL]],T_TraitDi[#Data],COLUMN(T_TraitDi[Colonne4]),FALSE)=0,"",TEXT(IFERROR(VLOOKUP(T_Convention[[#This Row],[NumL]],T_TraitDi[#Data],COLUMN(T_TraitDi[Colonne4]),FALSE),""),"[hh]:mm"))</f>
        <v>#N/A</v>
      </c>
      <c r="AC95" s="284" t="e">
        <f>IF(VLOOKUP(T_Convention[[#This Row],[NumL]],T_TraitDi[#Data],COLUMN(T_TraitDi[Colonne5]),FALSE)=0,"",TEXT(IFERROR(VLOOKUP(T_Convention[[#This Row],[NumL]],T_TraitDi[#Data],COLUMN(T_TraitDi[Colonne5]),FALSE),""),"[hh]:mm"))</f>
        <v>#N/A</v>
      </c>
      <c r="AD95" s="284" t="e">
        <f>IF(VLOOKUP(T_Convention[[#This Row],[NumL]],T_TraitDi[#Data],COLUMN(T_TraitDi[Colonne6]),FALSE)=0,"",TEXT(IFERROR(VLOOKUP(T_Convention[[#This Row],[NumL]],T_TraitDi[#Data],COLUMN(T_TraitDi[Colonne6]),FALSE),""),"[hh]:mm"))</f>
        <v>#N/A</v>
      </c>
      <c r="AE95" s="284" t="e">
        <f>IF(VLOOKUP(T_Convention[[#This Row],[NumL]],T_TraitDi[#Data],COLUMN(T_TraitDi[Colonne7]),FALSE)=0,"",TEXT(IFERROR(VLOOKUP(T_Convention[[#This Row],[NumL]],T_TraitDi[#Data],COLUMN(T_TraitDi[Colonne7]),FALSE),""),"[hh]:mm"))</f>
        <v>#N/A</v>
      </c>
      <c r="AF95" s="284" t="e">
        <f>IF(VLOOKUP(T_Convention[[#This Row],[NumL]],T_TraitDi[#Data],COLUMN(T_TraitDi[Colonne8]),FALSE)=0,"",TEXT(IFERROR(VLOOKUP(T_Convention[[#This Row],[NumL]],T_TraitDi[#Data],COLUMN(T_TraitDi[Colonne8]),FALSE),""),"[hh]:mm"))</f>
        <v>#N/A</v>
      </c>
      <c r="AG95" s="284" t="str">
        <f>IFERROR(VLOOKUP(T_Convention[[#This Row],[NumL]],T_TraitDi[#Data],COLUMN(T_TraitDi[Mardi]),FALSE),"")</f>
        <v/>
      </c>
      <c r="AH95" s="284" t="e">
        <f>IF(VLOOKUP(T_Convention[[#This Row],[NumL]],T_TraitDi[#Data],COLUMN(T_TraitDi[Colonne1]),FALSE)=0,"",TEXT(IFERROR(VLOOKUP(T_Convention[[#This Row],[NumL]],T_TraitDi[#Data],COLUMN(T_TraitDi[Colonne1]),FALSE),""),"[hh]:mm"))</f>
        <v>#N/A</v>
      </c>
      <c r="AI95" s="284" t="e">
        <f>IF(VLOOKUP(T_Convention[[#This Row],[NumL]],T_TraitDi[#Data],COLUMN(T_TraitDi[Colonne9]),FALSE)=0,"",TEXT(IFERROR(VLOOKUP(T_Convention[[#This Row],[NumL]],T_TraitDi[#Data],COLUMN(T_TraitDi[Colonne9]),FALSE),""),"[hh]:mm"))</f>
        <v>#N/A</v>
      </c>
      <c r="AJ95" s="284" t="str">
        <f>IFERROR(VLOOKUP(T_Convention[[#This Row],[NumL]],T_TraitDi[#Data],COLUMN(T_TraitDi[Colonne10]),FALSE),"")</f>
        <v/>
      </c>
      <c r="AK95" s="284" t="e">
        <f>IF(VLOOKUP(T_Convention[[#This Row],[NumL]],T_TraitDi[#Data],COLUMN(T_TraitDi[Colonne11]),FALSE)=0,"",TEXT(IFERROR(VLOOKUP(T_Convention[[#This Row],[NumL]],T_TraitDi[#Data],COLUMN(T_TraitDi[Colonne11]),FALSE),""),"[hh]:mm"))</f>
        <v>#N/A</v>
      </c>
      <c r="AL95" s="284" t="e">
        <f>IF(VLOOKUP(T_Convention[[#This Row],[NumL]],T_TraitDi[#Data],COLUMN(T_TraitDi[Colonne12]),FALSE)=0,"",TEXT(IFERROR(VLOOKUP(T_Convention[[#This Row],[NumL]],T_TraitDi[#Data],COLUMN(T_TraitDi[Colonne12]),FALSE),""),"[hh]:mm"))</f>
        <v>#N/A</v>
      </c>
      <c r="AM95" s="284" t="e">
        <f>IF(VLOOKUP(T_Convention[[#This Row],[NumL]],T_TraitDi[#Data],COLUMN(T_TraitDi[Colonne14]),FALSE)=0,"",TEXT(IFERROR(VLOOKUP(T_Convention[[#This Row],[NumL]],T_TraitDi[#Data],COLUMN(T_TraitDi[Colonne14]),FALSE),""),"[hh]:mm"))</f>
        <v>#N/A</v>
      </c>
      <c r="AN95" s="284" t="str">
        <f>IFERROR(VLOOKUP(T_Convention[[#This Row],[NumL]],T_TraitDi[#Data],COLUMN(T_TraitDi[Mercredi]),FALSE),"")</f>
        <v/>
      </c>
      <c r="AO95" s="284" t="e">
        <f>IF(VLOOKUP(T_Convention[[#This Row],[NumL]],T_TraitDi[#Data],COLUMN(T_TraitDi[Colonne15]),FALSE)=0,"",TEXT(IFERROR(VLOOKUP(T_Convention[[#This Row],[NumL]],T_TraitDi[#Data],COLUMN(T_TraitDi[Colonne15]),FALSE),""),"[hh]:mm"))</f>
        <v>#N/A</v>
      </c>
      <c r="AP95" s="284" t="e">
        <f>IF(VLOOKUP(T_Convention[[#This Row],[NumL]],T_TraitDi[#Data],COLUMN(T_TraitDi[Colonne16]),FALSE)=0,"",TEXT(IFERROR(VLOOKUP(T_Convention[[#This Row],[NumL]],T_TraitDi[#Data],COLUMN(T_TraitDi[Colonne16]),FALSE),""),"[hh]:mm"))</f>
        <v>#N/A</v>
      </c>
      <c r="AQ95" s="284" t="str">
        <f>IFERROR(VLOOKUP(T_Convention[[#This Row],[NumL]],T_TraitDi[#Data],COLUMN(T_TraitDi[Colonne17]),FALSE),"")</f>
        <v/>
      </c>
      <c r="AR95" s="284" t="e">
        <f>IF(VLOOKUP(T_Convention[[#This Row],[NumL]],T_TraitDi[#Data],COLUMN(T_TraitDi[Colonne18]),FALSE)=0,"",TEXT(IFERROR(VLOOKUP(T_Convention[[#This Row],[NumL]],T_TraitDi[#Data],COLUMN(T_TraitDi[Colonne18]),FALSE),""),"[hh]:mm"))</f>
        <v>#N/A</v>
      </c>
      <c r="AS95" s="284" t="e">
        <f>IF(VLOOKUP(T_Convention[[#This Row],[NumL]],T_TraitDi[#Data],COLUMN(T_TraitDi[Colonne19]),FALSE)=0,"",TEXT(IFERROR(VLOOKUP(T_Convention[[#This Row],[NumL]],T_TraitDi[#Data],COLUMN(T_TraitDi[Colonne19]),FALSE),""),"[hh]:mm"))</f>
        <v>#N/A</v>
      </c>
      <c r="AT95" s="284" t="e">
        <f>IF(VLOOKUP(T_Convention[[#This Row],[NumL]],T_TraitDi[#Data],COLUMN(T_TraitDi[Colonne20]),FALSE)=0,"",TEXT(IFERROR(VLOOKUP(T_Convention[[#This Row],[NumL]],T_TraitDi[#Data],COLUMN(T_TraitDi[Colonne20]),FALSE),""),"[hh]:mm"))</f>
        <v>#N/A</v>
      </c>
      <c r="AU95" s="284" t="str">
        <f>IFERROR(VLOOKUP(T_Convention[[#This Row],[NumL]],T_TraitDi[#Data],COLUMN(T_TraitDi[Jeudi]),FALSE),"")</f>
        <v/>
      </c>
      <c r="AV95" s="284" t="e">
        <f>IF(VLOOKUP(T_Convention[[#This Row],[NumL]],T_TraitDi[#Data],COLUMN(T_TraitDi[Colonne21]),FALSE)=0,"",TEXT(IFERROR(VLOOKUP(T_Convention[[#This Row],[NumL]],T_TraitDi[#Data],COLUMN(T_TraitDi[Colonne21]),FALSE),""),"[hh]:mm"))</f>
        <v>#N/A</v>
      </c>
      <c r="AW95" s="284" t="e">
        <f>IF(VLOOKUP(T_Convention[[#This Row],[NumL]],T_TraitDi[#Data],COLUMN(T_TraitDi[Colonne22]),FALSE)=0,"",TEXT(IFERROR(VLOOKUP(T_Convention[[#This Row],[NumL]],T_TraitDi[#Data],COLUMN(T_TraitDi[Colonne22]),FALSE),""),"[hh]:mm"))</f>
        <v>#N/A</v>
      </c>
      <c r="AX95" s="284" t="str">
        <f>IFERROR(VLOOKUP(T_Convention[[#This Row],[NumL]],T_TraitDi[#Data],COLUMN(T_TraitDi[Colonne23]),FALSE),"")</f>
        <v/>
      </c>
      <c r="AY95" s="284" t="e">
        <f>IF(VLOOKUP(T_Convention[[#This Row],[NumL]],T_TraitDi[#Data],COLUMN(T_TraitDi[Colonne24]),FALSE)=0,"",TEXT(IFERROR(VLOOKUP(T_Convention[[#This Row],[NumL]],T_TraitDi[#Data],COLUMN(T_TraitDi[Colonne24]),FALSE),""),"[hh]:mm"))</f>
        <v>#N/A</v>
      </c>
      <c r="AZ95" s="284" t="e">
        <f>IF(VLOOKUP(T_Convention[[#This Row],[NumL]],T_TraitDi[#Data],COLUMN(T_TraitDi[Colonne25]),FALSE)=0,"",TEXT(IFERROR(VLOOKUP(T_Convention[[#This Row],[NumL]],T_TraitDi[#Data],COLUMN(T_TraitDi[Colonne25]),FALSE),""),"[hh]:mm"))</f>
        <v>#N/A</v>
      </c>
      <c r="BA95" s="284" t="e">
        <f>IF(VLOOKUP(T_Convention[[#This Row],[NumL]],T_TraitDi[#Data],COLUMN(T_TraitDi[Colonne26]),FALSE)=0,"",TEXT(IFERROR(VLOOKUP(T_Convention[[#This Row],[NumL]],T_TraitDi[#Data],COLUMN(T_TraitDi[Colonne26]),FALSE),""),"[hh]:mm"))</f>
        <v>#N/A</v>
      </c>
      <c r="BB95" s="284" t="str">
        <f>IFERROR(VLOOKUP(T_Convention[[#This Row],[NumL]],T_TraitDi[#Data],COLUMN(T_TraitDi[Vendredi]),FALSE),"")</f>
        <v/>
      </c>
      <c r="BC95" s="284" t="e">
        <f>IF(VLOOKUP(T_Convention[[#This Row],[NumL]],T_TraitDi[#Data],COLUMN(T_TraitDi[Colonne27]),FALSE)=0,"",TEXT(IFERROR(VLOOKUP(T_Convention[[#This Row],[NumL]],T_TraitDi[#Data],COLUMN(T_TraitDi[Colonne27]),FALSE),""),"[hh]:mm"))</f>
        <v>#N/A</v>
      </c>
      <c r="BD95" s="284" t="e">
        <f>IF(VLOOKUP(T_Convention[[#This Row],[NumL]],T_TraitDi[#Data],COLUMN(T_TraitDi[Colonne28]),FALSE)=0,"",TEXT(IFERROR(VLOOKUP(T_Convention[[#This Row],[NumL]],T_TraitDi[#Data],COLUMN(T_TraitDi[Colonne28]),FALSE),""),"[hh]:mm"))</f>
        <v>#N/A</v>
      </c>
      <c r="BE95" s="284" t="str">
        <f>IFERROR(VLOOKUP(T_Convention[[#This Row],[NumL]],T_TraitDi[#Data],COLUMN(T_TraitDi[Colonne29]),FALSE),"")</f>
        <v/>
      </c>
      <c r="BF95" s="284" t="e">
        <f>IF(VLOOKUP(T_Convention[[#This Row],[NumL]],T_TraitDi[#Data],COLUMN(T_TraitDi[Colonne30]),FALSE)=0,"",TEXT(IFERROR(VLOOKUP(T_Convention[[#This Row],[NumL]],T_TraitDi[#Data],COLUMN(T_TraitDi[Colonne30]),FALSE),""),"[hh]:mm"))</f>
        <v>#N/A</v>
      </c>
      <c r="BG95" s="284" t="e">
        <f>IF(VLOOKUP(T_Convention[[#This Row],[NumL]],T_TraitDi[#Data],COLUMN(T_TraitDi[Colonne31]),FALSE)=0,"",TEXT(IFERROR(VLOOKUP(T_Convention[[#This Row],[NumL]],T_TraitDi[#Data],COLUMN(T_TraitDi[Colonne31]),FALSE),""),"[hh]:mm"))</f>
        <v>#N/A</v>
      </c>
      <c r="BH95" s="284" t="e">
        <f>IF(VLOOKUP(T_Convention[[#This Row],[NumL]],T_TraitDi[#Data],COLUMN(T_TraitDi[Colonne32]),FALSE)=0,"",TEXT(IFERROR(VLOOKUP(T_Convention[[#This Row],[NumL]],T_TraitDi[#Data],COLUMN(T_TraitDi[Colonne32]),FALSE),""),"[hh]:mm"))</f>
        <v>#N/A</v>
      </c>
      <c r="BI95" s="284" t="str">
        <f>IFERROR(VLOOKUP(T_Convention[[#This Row],[NumL]],T_TraitDi[#Data],COLUMN(T_TraitDi[NbJTW]),FALSE),"")</f>
        <v/>
      </c>
      <c r="BJ95" s="284" t="e">
        <f>IF(VLOOKUP(T_Convention[[#This Row],[NumL]],T_TraitDi[#Data],COLUMN(T_TraitDi[NbhTW]),FALSE)=0,"",TEXT(IFERROR(VLOOKUP(T_Convention[[#This Row],[NumL]],T_TraitDi[#Data],COLUMN(T_TraitDi[NbhTW]),FALSE),""),"[hh]:mm"))</f>
        <v>#N/A</v>
      </c>
      <c r="BK95" s="286" t="e">
        <f>IF(VLOOKUP(T_Convention[[#This Row],[NumL]],T_TraitDi[#Data],COLUMN(T_TraitDi[Nbhheb]),FALSE)=0,"",TEXT(IFERROR(VLOOKUP(T_Convention[[#This Row],[NumL]],T_TraitDi[#Data],COLUMN(T_TraitDi[Nbhheb]),FALSE),""),"[hh]:mm"))</f>
        <v>#N/A</v>
      </c>
      <c r="BL95" s="287" t="str">
        <f>IFERROR(VLOOKUP(VLOOKUP(T_Convention[[#This Row],[NumL]],T_TraitDi[#Data],COLUMN(T_TraitDi[Type1]),FALSE),TypeTW,2,FALSE),"")</f>
        <v/>
      </c>
      <c r="BM95" s="288" t="str">
        <f>IFERROR(VLOOKUP(T_Convention[[#This Row],[NumL]],T_TraitDi[#Data],COLUMN(T_TraitDi[Rue1]),FALSE),"")</f>
        <v/>
      </c>
      <c r="BN95" s="289" t="str">
        <f>IFERROR(VLOOKUP(T_Convention[[#This Row],[NumL]],T_TraitDi[#Data],COLUMN(T_TraitDi[CP1]),FALSE),"")</f>
        <v/>
      </c>
      <c r="BO95" s="282" t="str">
        <f>IFERROR(VLOOKUP(T_Convention[[#This Row],[NumL]],T_TraitDi[#Data],COLUMN(T_TraitDi[VILLE1]),FALSE),"")</f>
        <v/>
      </c>
      <c r="BP95" s="290" t="str">
        <f>IFERROR(VLOOKUP(VLOOKUP(T_Convention[[#This Row],[NumL]],T_TraitDi[#Data],COLUMN(T_TraitDi[Type2]),FALSE),TypeTW,2,FALSE),"")</f>
        <v/>
      </c>
      <c r="BQ95" s="182" t="str">
        <f>IFERROR(VLOOKUP(T_Convention[[#This Row],[NumL]],T_TraitDi[#Data],COLUMN(T_TraitDi[Rue2]),FALSE),"")</f>
        <v/>
      </c>
      <c r="BR95" s="173" t="str">
        <f>IFERROR(VLOOKUP(T_Convention[[#This Row],[NumL]],T_TraitDi[#Data],COLUMN(T_TraitDi[CP2]),FALSE),"")</f>
        <v/>
      </c>
      <c r="BS95" s="173" t="str">
        <f>IFERROR(VLOOKUP(T_Convention[[#This Row],[NumL]],T_TraitDi[#Data],COLUMN(T_TraitDi[VILLE2]),FALSE),"")</f>
        <v/>
      </c>
      <c r="BT95" s="182" t="str">
        <f>IF(VLOOKUP(T_Convention[[#This Row],[NumL]],T_Equipement[#Data],COLUMN(T_Equipement[PC]),FALSE)="","Aucun équipement spécifique directement lié au télétravail",VLOOKUP(T_Convention[[#This Row],[NumL]],T_Equipement[#Data],COLUMN(T_Equipement[PC]),FALSE))</f>
        <v xml:space="preserve">19-209	</v>
      </c>
      <c r="BU95" s="166" t="str">
        <f>IFERROR(IF(VLOOKUP(T_Convention[[#This Row],[NumL]],T_TraitDi[#Data],COLUMN(T_TraitDi[Plan]),FALSE)="OK","Un planning spécifique de télétravail est annexé à la présente convention.",""),"")</f>
        <v/>
      </c>
      <c r="BV95" s="185" t="s">
        <v>3513</v>
      </c>
      <c r="BW95" s="164" t="e">
        <f>IF(VLOOKUP(T_Convention[[#This Row],[NumL]],T_suiviDi[#Data],COLUMN(T_suiviDi[Entité]),FALSE)="","",VLOOKUP(T_Convention[[#This Row],[NumL]],T_suiviDi[#Data],COLUMN(T_suiviDi[Entité]),FALSE))</f>
        <v>#N/A</v>
      </c>
      <c r="BX95" s="164" t="str">
        <f>IF(VLOOKUP(T_Convention[[#This Row],[NumL]],T_Commission[#Data],COLUMN(T_Commission[envoi confirm TW]),FALSE)="","",VLOOKUP(T_Convention[[#This Row],[NumL]],T_Commission[#Data],COLUMN(T_Commission[envoi confirm TW]),FALSE))</f>
        <v>Oui</v>
      </c>
      <c r="BY9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5" s="264">
        <f>VLOOKUP(T_Convention[[#This Row],[NumL]],T_Commission[#Data],COLUMN(T_Commission[Commentaire]),FALSE)</f>
        <v>0</v>
      </c>
      <c r="CA95" s="254" t="str">
        <f>IF(VLOOKUP(T_Convention[[#This Row],[NumL]],T_Commission[#Data],COLUMN(T_Commission[Encadrant Email]),FALSE)="","",VLOOKUP(T_Convention[[#This Row],[NumL]],T_Commission[#Data],COLUMN(T_Commission[Encadrant Email]),FALSE))</f>
        <v/>
      </c>
      <c r="CB95" s="352" t="e">
        <f>VLOOKUP(T_Convention[[#This Row],[NumL]],T_TraitDi[#Data],COLUMN(T_TraitDi[NbJTot]),FALSE)</f>
        <v>#N/A</v>
      </c>
      <c r="CC95" s="352" t="e">
        <f>VLOOKUP(T_Convention[[#This Row],[NumL]],T_TraitDi[#Data],COLUMN(T_TraitDi[Reg Ponct]),FALSE)</f>
        <v>#N/A</v>
      </c>
      <c r="CD95" s="348" t="str">
        <f>IF(T_Convention[[#This Row],[Final]]&lt;&gt;"",VLOOKUP(T_Convention[[#This Row],[NumL]],T_suiviDi[#Data],COLUMN((T_suiviDi[Statut])),FALSE),"")</f>
        <v/>
      </c>
    </row>
    <row r="96" spans="1:82" s="106" customFormat="1" ht="18.75" customHeight="1" x14ac:dyDescent="0.25">
      <c r="A96" s="160">
        <v>248</v>
      </c>
      <c r="B96" s="161" t="str">
        <f>VLOOKUP(T_Convention[[#This Row],[NumL]],T_Commission[#Data],COLUMN(T_Commission[FINAL]),FALSE)</f>
        <v/>
      </c>
      <c r="C96" s="162"/>
      <c r="D96" s="95" t="e">
        <f>IF(VLOOKUP(T_Convention[[#This Row],[NumL]],T_TraitDi[#Data],COLUMN(T_TraitDi[WebC]),FALSE)="","",VLOOKUP(T_Convention[[#This Row],[NumL]],T_TraitDi[#Data],COLUMN(T_TraitDi[WebC]),FALSE))</f>
        <v>#N/A</v>
      </c>
      <c r="E96" s="163" t="str">
        <f t="shared" si="5"/>
        <v>12 janvier 2021</v>
      </c>
      <c r="F96" s="282" t="str">
        <f>IF(T_Convention[[#This Row],[Final]]&lt;&gt;"",VLOOKUP(T_Convention[[#This Row],[NumL]],T_suiviDi[#Data],COLUMN((T_suiviDi[Civ.])),FALSE),"")</f>
        <v/>
      </c>
      <c r="G96" s="283" t="str">
        <f>IF(T_Convention[[#This Row],[Final]]&lt;&gt;"",VLOOKUP(T_Convention[[#This Row],[NumL]],T_suiviDi[#Data],COLUMN((T_suiviDi[Nom])),FALSE),"")</f>
        <v/>
      </c>
      <c r="H96" s="282" t="str">
        <f>IF(T_Convention[[#This Row],[Final]]&lt;&gt;"",VLOOKUP(T_Convention[[#This Row],[NumL]],T_suiviDi[#Data],COLUMN((T_suiviDi[Prénom])),FALSE),"")</f>
        <v/>
      </c>
      <c r="I96" s="282" t="e">
        <f>VLOOKUP(T_Convention[[#This Row],[NumL]],T_suiviDi[#Data],COLUMN((T_suiviDi[[#This Row],[Email]])),FALSE)</f>
        <v>#VALUE!</v>
      </c>
      <c r="J96" s="282" t="e">
        <f>IF(VLOOKUP(T_Convention[[#This Row],[NumL]],T_suiviDi[#Data],COLUMN(T_suiviDi[[#This Row],[Fonction]]),FALSE)="","",VLOOKUP(T_Convention[[#This Row],[NumL]],T_suiviDi[#Data],COLUMN(T_suiviDi[[#This Row],[Fonction]]),FALSE))</f>
        <v>#VALUE!</v>
      </c>
      <c r="K96" s="282" t="e">
        <f>IF(VLOOKUP(T_Convention[[#This Row],[NumL]],T_suiviDi[#Data],COLUMN(T_suiviDi[[#This Row],[Grade]]),FALSE)="","",VLOOKUP(T_Convention[[#This Row],[NumL]],T_suiviDi[#Data],COLUMN(T_suiviDi[[#This Row],[Grade]]),FALSE))</f>
        <v>#VALUE!</v>
      </c>
      <c r="L96" s="282" t="e">
        <f>IF(VLOOKUP(T_Convention[[#This Row],[NumL]],T_suiviDi[#Data],COLUMN(T_suiviDi[[#This Row],[Service ]]),FALSE)="","",VLOOKUP(T_Convention[[#This Row],[NumL]],T_suiviDi[#Data],COLUMN(T_suiviDi[[#This Row],[Service ]]),FALSE))</f>
        <v>#VALUE!</v>
      </c>
      <c r="M96" s="164" t="str">
        <f t="shared" si="6"/>
        <v>01 septembre 2021</v>
      </c>
      <c r="N96" s="164" t="str">
        <f t="shared" si="7"/>
        <v>30 novembre 2021</v>
      </c>
      <c r="O96" s="284" t="str">
        <f t="shared" si="8"/>
        <v>30 novembre 2021</v>
      </c>
      <c r="P96" s="282" t="e">
        <f>IF(VLOOKUP(T_Convention[[#This Row],[NumL]],T_TraitDi[#Data],COLUMN(T_TraitDi[M1]),FALSE)="","",VLOOKUP(T_Convention[[#This Row],[NumL]],T_TraitDi[#Data],COLUMN(T_TraitDi[M1]),FALSE))</f>
        <v>#N/A</v>
      </c>
      <c r="Q96" s="282" t="e">
        <f>IF(VLOOKUP(T_Convention[[#This Row],[NumL]],T_TraitDi[#Data],COLUMN(T_TraitDi[M2]),FALSE)="","",VLOOKUP(T_Convention[[#This Row],[NumL]],T_TraitDi[#Data],COLUMN(T_TraitDi[M2]),FALSE))</f>
        <v>#N/A</v>
      </c>
      <c r="R96" s="282" t="e">
        <f>IF(VLOOKUP(T_Convention[[#This Row],[NumL]],T_TraitDi[#Data],COLUMN(T_TraitDi[M3]),FALSE)="","",VLOOKUP(T_Convention[[#This Row],[NumL]],T_TraitDi[#Data],COLUMN(T_TraitDi[M3]),FALSE))</f>
        <v>#N/A</v>
      </c>
      <c r="S96" s="282" t="e">
        <f>IF(VLOOKUP(T_Convention[[#This Row],[NumL]],T_TraitDi[#Data],COLUMN(T_TraitDi[M4]),FALSE)="","",VLOOKUP(T_Convention[[#This Row],[NumL]],T_TraitDi[#Data],COLUMN(T_TraitDi[M4]),FALSE))</f>
        <v>#N/A</v>
      </c>
      <c r="T96" s="282" t="e">
        <f>IF(VLOOKUP(T_Convention[[#This Row],[NumL]],T_TraitDi[#Data],COLUMN(T_TraitDi[M5]),FALSE)="","",VLOOKUP(T_Convention[[#This Row],[NumL]],T_TraitDi[#Data],COLUMN(T_TraitDi[M5]),FALSE))</f>
        <v>#N/A</v>
      </c>
      <c r="U96" s="282" t="e">
        <f>IF(VLOOKUP(T_Convention[[#This Row],[NumL]],T_TraitDi[#Data],COLUMN(T_TraitDi[M6]),FALSE)="","",VLOOKUP(T_Convention[[#This Row],[NumL]],T_TraitDi[#Data],COLUMN(T_TraitDi[M6]),FALSE))</f>
        <v>#N/A</v>
      </c>
      <c r="V96" s="176" t="e">
        <f t="shared" si="9"/>
        <v>#N/A</v>
      </c>
      <c r="W96" s="284" t="str">
        <f>IFERROR(TEXT(VLOOKUP(T_Convention[[#This Row],[NumL]],T_TraitDi[#Data],COLUMN(T_TraitDi[Q2]),FALSE),"###%"),"")</f>
        <v/>
      </c>
      <c r="X96" s="97" t="e">
        <f>VLOOKUP(T_Convention[[#This Row],[NumL]],T_TraitDi[#Data],COLUMN(T_TraitDi[Reg Ponct]),FALSE)</f>
        <v>#N/A</v>
      </c>
      <c r="Y96" s="97" t="e">
        <f>VLOOKUP(T_Convention[NumL],T_TraitDi[#Data],COLUMN(T_TraitDi[Jours flottants]),FALSE)</f>
        <v>#N/A</v>
      </c>
      <c r="Z96" s="284" t="str">
        <f>IFERROR(VLOOKUP(T_Convention[[#This Row],[NumL]],T_TraitDi[#Data],COLUMN(T_TraitDi[Lundi]),FALSE),"")</f>
        <v/>
      </c>
      <c r="AA96" s="284" t="e">
        <f>IF(VLOOKUP(T_Convention[[#This Row],[NumL]],T_TraitDi[#Data],COLUMN(T_TraitDi[Colonne3]),FALSE)=0,"",TEXT(IFERROR(VLOOKUP(T_Convention[[#This Row],[NumL]],T_TraitDi[#Data],COLUMN(T_TraitDi[Colonne3]),FALSE),""),"[hh]:mm"))</f>
        <v>#N/A</v>
      </c>
      <c r="AB96" s="284" t="e">
        <f>IF(VLOOKUP(T_Convention[[#This Row],[NumL]],T_TraitDi[#Data],COLUMN(T_TraitDi[Colonne4]),FALSE)=0,"",TEXT(IFERROR(VLOOKUP(T_Convention[[#This Row],[NumL]],T_TraitDi[#Data],COLUMN(T_TraitDi[Colonne4]),FALSE),""),"[hh]:mm"))</f>
        <v>#N/A</v>
      </c>
      <c r="AC96" s="284" t="e">
        <f>IF(VLOOKUP(T_Convention[[#This Row],[NumL]],T_TraitDi[#Data],COLUMN(T_TraitDi[Colonne5]),FALSE)=0,"",TEXT(IFERROR(VLOOKUP(T_Convention[[#This Row],[NumL]],T_TraitDi[#Data],COLUMN(T_TraitDi[Colonne5]),FALSE),""),"[hh]:mm"))</f>
        <v>#N/A</v>
      </c>
      <c r="AD96" s="284" t="e">
        <f>IF(VLOOKUP(T_Convention[[#This Row],[NumL]],T_TraitDi[#Data],COLUMN(T_TraitDi[Colonne6]),FALSE)=0,"",TEXT(IFERROR(VLOOKUP(T_Convention[[#This Row],[NumL]],T_TraitDi[#Data],COLUMN(T_TraitDi[Colonne6]),FALSE),""),"[hh]:mm"))</f>
        <v>#N/A</v>
      </c>
      <c r="AE96" s="284" t="e">
        <f>IF(VLOOKUP(T_Convention[[#This Row],[NumL]],T_TraitDi[#Data],COLUMN(T_TraitDi[Colonne7]),FALSE)=0,"",TEXT(IFERROR(VLOOKUP(T_Convention[[#This Row],[NumL]],T_TraitDi[#Data],COLUMN(T_TraitDi[Colonne7]),FALSE),""),"[hh]:mm"))</f>
        <v>#N/A</v>
      </c>
      <c r="AF96" s="284" t="e">
        <f>IF(VLOOKUP(T_Convention[[#This Row],[NumL]],T_TraitDi[#Data],COLUMN(T_TraitDi[Colonne8]),FALSE)=0,"",TEXT(IFERROR(VLOOKUP(T_Convention[[#This Row],[NumL]],T_TraitDi[#Data],COLUMN(T_TraitDi[Colonne8]),FALSE),""),"[hh]:mm"))</f>
        <v>#N/A</v>
      </c>
      <c r="AG96" s="284" t="str">
        <f>IFERROR(VLOOKUP(T_Convention[[#This Row],[NumL]],T_TraitDi[#Data],COLUMN(T_TraitDi[Mardi]),FALSE),"")</f>
        <v/>
      </c>
      <c r="AH96" s="284" t="e">
        <f>IF(VLOOKUP(T_Convention[[#This Row],[NumL]],T_TraitDi[#Data],COLUMN(T_TraitDi[Colonne1]),FALSE)=0,"",TEXT(IFERROR(VLOOKUP(T_Convention[[#This Row],[NumL]],T_TraitDi[#Data],COLUMN(T_TraitDi[Colonne1]),FALSE),""),"[hh]:mm"))</f>
        <v>#N/A</v>
      </c>
      <c r="AI96" s="284" t="e">
        <f>IF(VLOOKUP(T_Convention[[#This Row],[NumL]],T_TraitDi[#Data],COLUMN(T_TraitDi[Colonne9]),FALSE)=0,"",TEXT(IFERROR(VLOOKUP(T_Convention[[#This Row],[NumL]],T_TraitDi[#Data],COLUMN(T_TraitDi[Colonne9]),FALSE),""),"[hh]:mm"))</f>
        <v>#N/A</v>
      </c>
      <c r="AJ96" s="284" t="str">
        <f>IFERROR(VLOOKUP(T_Convention[[#This Row],[NumL]],T_TraitDi[#Data],COLUMN(T_TraitDi[Colonne10]),FALSE),"")</f>
        <v/>
      </c>
      <c r="AK96" s="284" t="e">
        <f>IF(VLOOKUP(T_Convention[[#This Row],[NumL]],T_TraitDi[#Data],COLUMN(T_TraitDi[Colonne11]),FALSE)=0,"",TEXT(IFERROR(VLOOKUP(T_Convention[[#This Row],[NumL]],T_TraitDi[#Data],COLUMN(T_TraitDi[Colonne11]),FALSE),""),"[hh]:mm"))</f>
        <v>#N/A</v>
      </c>
      <c r="AL96" s="284" t="e">
        <f>IF(VLOOKUP(T_Convention[[#This Row],[NumL]],T_TraitDi[#Data],COLUMN(T_TraitDi[Colonne12]),FALSE)=0,"",TEXT(IFERROR(VLOOKUP(T_Convention[[#This Row],[NumL]],T_TraitDi[#Data],COLUMN(T_TraitDi[Colonne12]),FALSE),""),"[hh]:mm"))</f>
        <v>#N/A</v>
      </c>
      <c r="AM96" s="284" t="e">
        <f>IF(VLOOKUP(T_Convention[[#This Row],[NumL]],T_TraitDi[#Data],COLUMN(T_TraitDi[Colonne14]),FALSE)=0,"",TEXT(IFERROR(VLOOKUP(T_Convention[[#This Row],[NumL]],T_TraitDi[#Data],COLUMN(T_TraitDi[Colonne14]),FALSE),""),"[hh]:mm"))</f>
        <v>#N/A</v>
      </c>
      <c r="AN96" s="284" t="str">
        <f>IFERROR(VLOOKUP(T_Convention[[#This Row],[NumL]],T_TraitDi[#Data],COLUMN(T_TraitDi[Mercredi]),FALSE),"")</f>
        <v/>
      </c>
      <c r="AO96" s="284" t="e">
        <f>IF(VLOOKUP(T_Convention[[#This Row],[NumL]],T_TraitDi[#Data],COLUMN(T_TraitDi[Colonne15]),FALSE)=0,"",TEXT(IFERROR(VLOOKUP(T_Convention[[#This Row],[NumL]],T_TraitDi[#Data],COLUMN(T_TraitDi[Colonne15]),FALSE),""),"[hh]:mm"))</f>
        <v>#N/A</v>
      </c>
      <c r="AP96" s="284" t="e">
        <f>IF(VLOOKUP(T_Convention[[#This Row],[NumL]],T_TraitDi[#Data],COLUMN(T_TraitDi[Colonne16]),FALSE)=0,"",TEXT(IFERROR(VLOOKUP(T_Convention[[#This Row],[NumL]],T_TraitDi[#Data],COLUMN(T_TraitDi[Colonne16]),FALSE),""),"[hh]:mm"))</f>
        <v>#N/A</v>
      </c>
      <c r="AQ96" s="284" t="str">
        <f>IFERROR(VLOOKUP(T_Convention[[#This Row],[NumL]],T_TraitDi[#Data],COLUMN(T_TraitDi[Colonne17]),FALSE),"")</f>
        <v/>
      </c>
      <c r="AR96" s="284" t="e">
        <f>IF(VLOOKUP(T_Convention[[#This Row],[NumL]],T_TraitDi[#Data],COLUMN(T_TraitDi[Colonne18]),FALSE)=0,"",TEXT(IFERROR(VLOOKUP(T_Convention[[#This Row],[NumL]],T_TraitDi[#Data],COLUMN(T_TraitDi[Colonne18]),FALSE),""),"[hh]:mm"))</f>
        <v>#N/A</v>
      </c>
      <c r="AS96" s="284" t="e">
        <f>IF(VLOOKUP(T_Convention[[#This Row],[NumL]],T_TraitDi[#Data],COLUMN(T_TraitDi[Colonne19]),FALSE)=0,"",TEXT(IFERROR(VLOOKUP(T_Convention[[#This Row],[NumL]],T_TraitDi[#Data],COLUMN(T_TraitDi[Colonne19]),FALSE),""),"[hh]:mm"))</f>
        <v>#N/A</v>
      </c>
      <c r="AT96" s="284" t="e">
        <f>IF(VLOOKUP(T_Convention[[#This Row],[NumL]],T_TraitDi[#Data],COLUMN(T_TraitDi[Colonne20]),FALSE)=0,"",TEXT(IFERROR(VLOOKUP(T_Convention[[#This Row],[NumL]],T_TraitDi[#Data],COLUMN(T_TraitDi[Colonne20]),FALSE),""),"[hh]:mm"))</f>
        <v>#N/A</v>
      </c>
      <c r="AU96" s="284" t="str">
        <f>IFERROR(VLOOKUP(T_Convention[[#This Row],[NumL]],T_TraitDi[#Data],COLUMN(T_TraitDi[Jeudi]),FALSE),"")</f>
        <v/>
      </c>
      <c r="AV96" s="284" t="e">
        <f>IF(VLOOKUP(T_Convention[[#This Row],[NumL]],T_TraitDi[#Data],COLUMN(T_TraitDi[Colonne21]),FALSE)=0,"",TEXT(IFERROR(VLOOKUP(T_Convention[[#This Row],[NumL]],T_TraitDi[#Data],COLUMN(T_TraitDi[Colonne21]),FALSE),""),"[hh]:mm"))</f>
        <v>#N/A</v>
      </c>
      <c r="AW96" s="284" t="e">
        <f>IF(VLOOKUP(T_Convention[[#This Row],[NumL]],T_TraitDi[#Data],COLUMN(T_TraitDi[Colonne22]),FALSE)=0,"",TEXT(IFERROR(VLOOKUP(T_Convention[[#This Row],[NumL]],T_TraitDi[#Data],COLUMN(T_TraitDi[Colonne22]),FALSE),""),"[hh]:mm"))</f>
        <v>#N/A</v>
      </c>
      <c r="AX96" s="284" t="str">
        <f>IFERROR(VLOOKUP(T_Convention[[#This Row],[NumL]],T_TraitDi[#Data],COLUMN(T_TraitDi[Colonne23]),FALSE),"")</f>
        <v/>
      </c>
      <c r="AY96" s="284" t="e">
        <f>IF(VLOOKUP(T_Convention[[#This Row],[NumL]],T_TraitDi[#Data],COLUMN(T_TraitDi[Colonne24]),FALSE)=0,"",TEXT(IFERROR(VLOOKUP(T_Convention[[#This Row],[NumL]],T_TraitDi[#Data],COLUMN(T_TraitDi[Colonne24]),FALSE),""),"[hh]:mm"))</f>
        <v>#N/A</v>
      </c>
      <c r="AZ96" s="284" t="e">
        <f>IF(VLOOKUP(T_Convention[[#This Row],[NumL]],T_TraitDi[#Data],COLUMN(T_TraitDi[Colonne25]),FALSE)=0,"",TEXT(IFERROR(VLOOKUP(T_Convention[[#This Row],[NumL]],T_TraitDi[#Data],COLUMN(T_TraitDi[Colonne25]),FALSE),""),"[hh]:mm"))</f>
        <v>#N/A</v>
      </c>
      <c r="BA96" s="284" t="e">
        <f>IF(VLOOKUP(T_Convention[[#This Row],[NumL]],T_TraitDi[#Data],COLUMN(T_TraitDi[Colonne26]),FALSE)=0,"",TEXT(IFERROR(VLOOKUP(T_Convention[[#This Row],[NumL]],T_TraitDi[#Data],COLUMN(T_TraitDi[Colonne26]),FALSE),""),"[hh]:mm"))</f>
        <v>#N/A</v>
      </c>
      <c r="BB96" s="284" t="str">
        <f>IFERROR(VLOOKUP(T_Convention[[#This Row],[NumL]],T_TraitDi[#Data],COLUMN(T_TraitDi[Vendredi]),FALSE),"")</f>
        <v/>
      </c>
      <c r="BC96" s="284" t="e">
        <f>IF(VLOOKUP(T_Convention[[#This Row],[NumL]],T_TraitDi[#Data],COLUMN(T_TraitDi[Colonne27]),FALSE)=0,"",TEXT(IFERROR(VLOOKUP(T_Convention[[#This Row],[NumL]],T_TraitDi[#Data],COLUMN(T_TraitDi[Colonne27]),FALSE),""),"[hh]:mm"))</f>
        <v>#N/A</v>
      </c>
      <c r="BD96" s="284" t="e">
        <f>IF(VLOOKUP(T_Convention[[#This Row],[NumL]],T_TraitDi[#Data],COLUMN(T_TraitDi[Colonne28]),FALSE)=0,"",TEXT(IFERROR(VLOOKUP(T_Convention[[#This Row],[NumL]],T_TraitDi[#Data],COLUMN(T_TraitDi[Colonne28]),FALSE),""),"[hh]:mm"))</f>
        <v>#N/A</v>
      </c>
      <c r="BE96" s="284" t="str">
        <f>IFERROR(VLOOKUP(T_Convention[[#This Row],[NumL]],T_TraitDi[#Data],COLUMN(T_TraitDi[Colonne29]),FALSE),"")</f>
        <v/>
      </c>
      <c r="BF96" s="284" t="e">
        <f>IF(VLOOKUP(T_Convention[[#This Row],[NumL]],T_TraitDi[#Data],COLUMN(T_TraitDi[Colonne30]),FALSE)=0,"",TEXT(IFERROR(VLOOKUP(T_Convention[[#This Row],[NumL]],T_TraitDi[#Data],COLUMN(T_TraitDi[Colonne30]),FALSE),""),"[hh]:mm"))</f>
        <v>#N/A</v>
      </c>
      <c r="BG96" s="284" t="e">
        <f>IF(VLOOKUP(T_Convention[[#This Row],[NumL]],T_TraitDi[#Data],COLUMN(T_TraitDi[Colonne31]),FALSE)=0,"",TEXT(IFERROR(VLOOKUP(T_Convention[[#This Row],[NumL]],T_TraitDi[#Data],COLUMN(T_TraitDi[Colonne31]),FALSE),""),"[hh]:mm"))</f>
        <v>#N/A</v>
      </c>
      <c r="BH96" s="284" t="e">
        <f>IF(VLOOKUP(T_Convention[[#This Row],[NumL]],T_TraitDi[#Data],COLUMN(T_TraitDi[Colonne32]),FALSE)=0,"",TEXT(IFERROR(VLOOKUP(T_Convention[[#This Row],[NumL]],T_TraitDi[#Data],COLUMN(T_TraitDi[Colonne32]),FALSE),""),"[hh]:mm"))</f>
        <v>#N/A</v>
      </c>
      <c r="BI96" s="284" t="str">
        <f>IFERROR(VLOOKUP(T_Convention[[#This Row],[NumL]],T_TraitDi[#Data],COLUMN(T_TraitDi[NbJTW]),FALSE),"")</f>
        <v/>
      </c>
      <c r="BJ96" s="284" t="e">
        <f>IF(VLOOKUP(T_Convention[[#This Row],[NumL]],T_TraitDi[#Data],COLUMN(T_TraitDi[NbhTW]),FALSE)=0,"",TEXT(IFERROR(VLOOKUP(T_Convention[[#This Row],[NumL]],T_TraitDi[#Data],COLUMN(T_TraitDi[NbhTW]),FALSE),""),"[hh]:mm"))</f>
        <v>#N/A</v>
      </c>
      <c r="BK96" s="286" t="e">
        <f>IF(VLOOKUP(T_Convention[[#This Row],[NumL]],T_TraitDi[#Data],COLUMN(T_TraitDi[Nbhheb]),FALSE)=0,"",TEXT(IFERROR(VLOOKUP(T_Convention[[#This Row],[NumL]],T_TraitDi[#Data],COLUMN(T_TraitDi[Nbhheb]),FALSE),""),"[hh]:mm"))</f>
        <v>#N/A</v>
      </c>
      <c r="BL96" s="287" t="str">
        <f>IFERROR(VLOOKUP(VLOOKUP(T_Convention[[#This Row],[NumL]],T_TraitDi[#Data],COLUMN(T_TraitDi[Type1]),FALSE),TypeTW,2,FALSE),"")</f>
        <v/>
      </c>
      <c r="BM96" s="288" t="str">
        <f>IFERROR(VLOOKUP(T_Convention[[#This Row],[NumL]],T_TraitDi[#Data],COLUMN(T_TraitDi[Rue1]),FALSE),"")</f>
        <v/>
      </c>
      <c r="BN96" s="289" t="str">
        <f>IFERROR(VLOOKUP(T_Convention[[#This Row],[NumL]],T_TraitDi[#Data],COLUMN(T_TraitDi[CP1]),FALSE),"")</f>
        <v/>
      </c>
      <c r="BO96" s="282" t="str">
        <f>IFERROR(VLOOKUP(T_Convention[[#This Row],[NumL]],T_TraitDi[#Data],COLUMN(T_TraitDi[VILLE1]),FALSE),"")</f>
        <v/>
      </c>
      <c r="BP96" s="290" t="str">
        <f>IFERROR(VLOOKUP(VLOOKUP(T_Convention[[#This Row],[NumL]],T_TraitDi[#Data],COLUMN(T_TraitDi[Type2]),FALSE),TypeTW,2,FALSE),"")</f>
        <v/>
      </c>
      <c r="BQ96" s="182" t="str">
        <f>IFERROR(VLOOKUP(T_Convention[[#This Row],[NumL]],T_TraitDi[#Data],COLUMN(T_TraitDi[Rue2]),FALSE),"")</f>
        <v/>
      </c>
      <c r="BR96" s="173" t="str">
        <f>IFERROR(VLOOKUP(T_Convention[[#This Row],[NumL]],T_TraitDi[#Data],COLUMN(T_TraitDi[CP2]),FALSE),"")</f>
        <v/>
      </c>
      <c r="BS96" s="173" t="str">
        <f>IFERROR(VLOOKUP(T_Convention[[#This Row],[NumL]],T_TraitDi[#Data],COLUMN(T_TraitDi[VILLE2]),FALSE),"")</f>
        <v/>
      </c>
      <c r="BT96" s="182" t="str">
        <f>IF(VLOOKUP(T_Convention[[#This Row],[NumL]],T_Equipement[#Data],COLUMN(T_Equipement[PC]),FALSE)="","Aucun équipement spécifique directement lié au télétravail",VLOOKUP(T_Convention[[#This Row],[NumL]],T_Equipement[#Data],COLUMN(T_Equipement[PC]),FALSE))</f>
        <v>SCD2014MANU20</v>
      </c>
      <c r="BU96" s="166" t="str">
        <f>IFERROR(IF(VLOOKUP(T_Convention[[#This Row],[NumL]],T_TraitDi[#Data],COLUMN(T_TraitDi[Plan]),FALSE)="OK","Un planning spécifique de télétravail est annexé à la présente convention.",""),"")</f>
        <v/>
      </c>
      <c r="BV96" s="185" t="s">
        <v>3401</v>
      </c>
      <c r="BW96" s="164" t="e">
        <f>IF(VLOOKUP(T_Convention[[#This Row],[NumL]],T_suiviDi[#Data],COLUMN(T_suiviDi[Entité]),FALSE)="","",VLOOKUP(T_Convention[[#This Row],[NumL]],T_suiviDi[#Data],COLUMN(T_suiviDi[Entité]),FALSE))</f>
        <v>#N/A</v>
      </c>
      <c r="BX96" s="164" t="str">
        <f>IF(VLOOKUP(T_Convention[[#This Row],[NumL]],T_Commission[#Data],COLUMN(T_Commission[envoi confirm TW]),FALSE)="","",VLOOKUP(T_Convention[[#This Row],[NumL]],T_Commission[#Data],COLUMN(T_Commission[envoi confirm TW]),FALSE))</f>
        <v>Oui</v>
      </c>
      <c r="BY9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6" s="264">
        <f>VLOOKUP(T_Convention[[#This Row],[NumL]],T_Commission[#Data],COLUMN(T_Commission[Commentaire]),FALSE)</f>
        <v>0</v>
      </c>
      <c r="CA96" s="254" t="str">
        <f>IF(VLOOKUP(T_Convention[[#This Row],[NumL]],T_Commission[#Data],COLUMN(T_Commission[Encadrant Email]),FALSE)="","",VLOOKUP(T_Convention[[#This Row],[NumL]],T_Commission[#Data],COLUMN(T_Commission[Encadrant Email]),FALSE))</f>
        <v/>
      </c>
      <c r="CB96" s="352" t="e">
        <f>VLOOKUP(T_Convention[[#This Row],[NumL]],T_TraitDi[#Data],COLUMN(T_TraitDi[NbJTot]),FALSE)</f>
        <v>#N/A</v>
      </c>
      <c r="CC96" s="352" t="e">
        <f>VLOOKUP(T_Convention[[#This Row],[NumL]],T_TraitDi[#Data],COLUMN(T_TraitDi[Reg Ponct]),FALSE)</f>
        <v>#N/A</v>
      </c>
      <c r="CD96" s="348" t="str">
        <f>IF(T_Convention[[#This Row],[Final]]&lt;&gt;"",VLOOKUP(T_Convention[[#This Row],[NumL]],T_suiviDi[#Data],COLUMN((T_suiviDi[Statut])),FALSE),"")</f>
        <v/>
      </c>
    </row>
    <row r="97" spans="1:82" s="106" customFormat="1" ht="18.75" customHeight="1" x14ac:dyDescent="0.25">
      <c r="A97" s="160">
        <v>266</v>
      </c>
      <c r="B97" s="161" t="str">
        <f>VLOOKUP(T_Convention[[#This Row],[NumL]],T_Commission[#Data],COLUMN(T_Commission[FINAL]),FALSE)</f>
        <v/>
      </c>
      <c r="C97" s="162"/>
      <c r="D97" s="95" t="e">
        <f>IF(VLOOKUP(T_Convention[[#This Row],[NumL]],T_TraitDi[#Data],COLUMN(T_TraitDi[WebC]),FALSE)="","",VLOOKUP(T_Convention[[#This Row],[NumL]],T_TraitDi[#Data],COLUMN(T_TraitDi[WebC]),FALSE))</f>
        <v>#N/A</v>
      </c>
      <c r="E97" s="163" t="str">
        <f t="shared" si="5"/>
        <v>12 janvier 2021</v>
      </c>
      <c r="F97" s="282" t="str">
        <f>IF(T_Convention[[#This Row],[Final]]&lt;&gt;"",VLOOKUP(T_Convention[[#This Row],[NumL]],T_suiviDi[#Data],COLUMN((T_suiviDi[Civ.])),FALSE),"")</f>
        <v/>
      </c>
      <c r="G97" s="283" t="str">
        <f>IF(T_Convention[[#This Row],[Final]]&lt;&gt;"",VLOOKUP(T_Convention[[#This Row],[NumL]],T_suiviDi[#Data],COLUMN((T_suiviDi[Nom])),FALSE),"")</f>
        <v/>
      </c>
      <c r="H97" s="282" t="str">
        <f>IF(T_Convention[[#This Row],[Final]]&lt;&gt;"",VLOOKUP(T_Convention[[#This Row],[NumL]],T_suiviDi[#Data],COLUMN((T_suiviDi[Prénom])),FALSE),"")</f>
        <v/>
      </c>
      <c r="I97" s="282" t="e">
        <f>VLOOKUP(T_Convention[[#This Row],[NumL]],T_suiviDi[#Data],COLUMN((T_suiviDi[[#This Row],[Email]])),FALSE)</f>
        <v>#VALUE!</v>
      </c>
      <c r="J97" s="282" t="e">
        <f>IF(VLOOKUP(T_Convention[[#This Row],[NumL]],T_suiviDi[#Data],COLUMN(T_suiviDi[[#This Row],[Fonction]]),FALSE)="","",VLOOKUP(T_Convention[[#This Row],[NumL]],T_suiviDi[#Data],COLUMN(T_suiviDi[[#This Row],[Fonction]]),FALSE))</f>
        <v>#VALUE!</v>
      </c>
      <c r="K97" s="282" t="e">
        <f>IF(VLOOKUP(T_Convention[[#This Row],[NumL]],T_suiviDi[#Data],COLUMN(T_suiviDi[[#This Row],[Grade]]),FALSE)="","",VLOOKUP(T_Convention[[#This Row],[NumL]],T_suiviDi[#Data],COLUMN(T_suiviDi[[#This Row],[Grade]]),FALSE))</f>
        <v>#VALUE!</v>
      </c>
      <c r="L97" s="282" t="e">
        <f>IF(VLOOKUP(T_Convention[[#This Row],[NumL]],T_suiviDi[#Data],COLUMN(T_suiviDi[[#This Row],[Service ]]),FALSE)="","",VLOOKUP(T_Convention[[#This Row],[NumL]],T_suiviDi[#Data],COLUMN(T_suiviDi[[#This Row],[Service ]]),FALSE))</f>
        <v>#VALUE!</v>
      </c>
      <c r="M97" s="164" t="str">
        <f t="shared" si="6"/>
        <v>01 septembre 2021</v>
      </c>
      <c r="N97" s="164" t="str">
        <f t="shared" si="7"/>
        <v>30 novembre 2021</v>
      </c>
      <c r="O97" s="284" t="str">
        <f t="shared" si="8"/>
        <v>30 novembre 2021</v>
      </c>
      <c r="P97" s="282" t="e">
        <f>IF(VLOOKUP(T_Convention[[#This Row],[NumL]],T_TraitDi[#Data],COLUMN(T_TraitDi[M1]),FALSE)="","",VLOOKUP(T_Convention[[#This Row],[NumL]],T_TraitDi[#Data],COLUMN(T_TraitDi[M1]),FALSE))</f>
        <v>#N/A</v>
      </c>
      <c r="Q97" s="282" t="e">
        <f>IF(VLOOKUP(T_Convention[[#This Row],[NumL]],T_TraitDi[#Data],COLUMN(T_TraitDi[M2]),FALSE)="","",VLOOKUP(T_Convention[[#This Row],[NumL]],T_TraitDi[#Data],COLUMN(T_TraitDi[M2]),FALSE))</f>
        <v>#N/A</v>
      </c>
      <c r="R97" s="282" t="e">
        <f>IF(VLOOKUP(T_Convention[[#This Row],[NumL]],T_TraitDi[#Data],COLUMN(T_TraitDi[M3]),FALSE)="","",VLOOKUP(T_Convention[[#This Row],[NumL]],T_TraitDi[#Data],COLUMN(T_TraitDi[M3]),FALSE))</f>
        <v>#N/A</v>
      </c>
      <c r="S97" s="282" t="e">
        <f>IF(VLOOKUP(T_Convention[[#This Row],[NumL]],T_TraitDi[#Data],COLUMN(T_TraitDi[M4]),FALSE)="","",VLOOKUP(T_Convention[[#This Row],[NumL]],T_TraitDi[#Data],COLUMN(T_TraitDi[M4]),FALSE))</f>
        <v>#N/A</v>
      </c>
      <c r="T97" s="282" t="e">
        <f>IF(VLOOKUP(T_Convention[[#This Row],[NumL]],T_TraitDi[#Data],COLUMN(T_TraitDi[M5]),FALSE)="","",VLOOKUP(T_Convention[[#This Row],[NumL]],T_TraitDi[#Data],COLUMN(T_TraitDi[M5]),FALSE))</f>
        <v>#N/A</v>
      </c>
      <c r="U97" s="282" t="e">
        <f>IF(VLOOKUP(T_Convention[[#This Row],[NumL]],T_TraitDi[#Data],COLUMN(T_TraitDi[M6]),FALSE)="","",VLOOKUP(T_Convention[[#This Row],[NumL]],T_TraitDi[#Data],COLUMN(T_TraitDi[M6]),FALSE))</f>
        <v>#N/A</v>
      </c>
      <c r="V97" s="176" t="e">
        <f t="shared" si="9"/>
        <v>#N/A</v>
      </c>
      <c r="W97" s="284" t="str">
        <f>IFERROR(TEXT(VLOOKUP(T_Convention[[#This Row],[NumL]],T_TraitDi[#Data],COLUMN(T_TraitDi[Q2]),FALSE),"###%"),"")</f>
        <v/>
      </c>
      <c r="X97" s="97" t="e">
        <f>VLOOKUP(T_Convention[[#This Row],[NumL]],T_TraitDi[#Data],COLUMN(T_TraitDi[Reg Ponct]),FALSE)</f>
        <v>#N/A</v>
      </c>
      <c r="Y97" s="97" t="e">
        <f>VLOOKUP(T_Convention[NumL],T_TraitDi[#Data],COLUMN(T_TraitDi[Jours flottants]),FALSE)</f>
        <v>#N/A</v>
      </c>
      <c r="Z97" s="284" t="str">
        <f>IFERROR(VLOOKUP(T_Convention[[#This Row],[NumL]],T_TraitDi[#Data],COLUMN(T_TraitDi[Lundi]),FALSE),"")</f>
        <v/>
      </c>
      <c r="AA97" s="284" t="e">
        <f>IF(VLOOKUP(T_Convention[[#This Row],[NumL]],T_TraitDi[#Data],COLUMN(T_TraitDi[Colonne3]),FALSE)=0,"",TEXT(IFERROR(VLOOKUP(T_Convention[[#This Row],[NumL]],T_TraitDi[#Data],COLUMN(T_TraitDi[Colonne3]),FALSE),""),"[hh]:mm"))</f>
        <v>#N/A</v>
      </c>
      <c r="AB97" s="284" t="e">
        <f>IF(VLOOKUP(T_Convention[[#This Row],[NumL]],T_TraitDi[#Data],COLUMN(T_TraitDi[Colonne4]),FALSE)=0,"",TEXT(IFERROR(VLOOKUP(T_Convention[[#This Row],[NumL]],T_TraitDi[#Data],COLUMN(T_TraitDi[Colonne4]),FALSE),""),"[hh]:mm"))</f>
        <v>#N/A</v>
      </c>
      <c r="AC97" s="284" t="e">
        <f>IF(VLOOKUP(T_Convention[[#This Row],[NumL]],T_TraitDi[#Data],COLUMN(T_TraitDi[Colonne5]),FALSE)=0,"",TEXT(IFERROR(VLOOKUP(T_Convention[[#This Row],[NumL]],T_TraitDi[#Data],COLUMN(T_TraitDi[Colonne5]),FALSE),""),"[hh]:mm"))</f>
        <v>#N/A</v>
      </c>
      <c r="AD97" s="284" t="e">
        <f>IF(VLOOKUP(T_Convention[[#This Row],[NumL]],T_TraitDi[#Data],COLUMN(T_TraitDi[Colonne6]),FALSE)=0,"",TEXT(IFERROR(VLOOKUP(T_Convention[[#This Row],[NumL]],T_TraitDi[#Data],COLUMN(T_TraitDi[Colonne6]),FALSE),""),"[hh]:mm"))</f>
        <v>#N/A</v>
      </c>
      <c r="AE97" s="284" t="e">
        <f>IF(VLOOKUP(T_Convention[[#This Row],[NumL]],T_TraitDi[#Data],COLUMN(T_TraitDi[Colonne7]),FALSE)=0,"",TEXT(IFERROR(VLOOKUP(T_Convention[[#This Row],[NumL]],T_TraitDi[#Data],COLUMN(T_TraitDi[Colonne7]),FALSE),""),"[hh]:mm"))</f>
        <v>#N/A</v>
      </c>
      <c r="AF97" s="284" t="e">
        <f>IF(VLOOKUP(T_Convention[[#This Row],[NumL]],T_TraitDi[#Data],COLUMN(T_TraitDi[Colonne8]),FALSE)=0,"",TEXT(IFERROR(VLOOKUP(T_Convention[[#This Row],[NumL]],T_TraitDi[#Data],COLUMN(T_TraitDi[Colonne8]),FALSE),""),"[hh]:mm"))</f>
        <v>#N/A</v>
      </c>
      <c r="AG97" s="284" t="str">
        <f>IFERROR(VLOOKUP(T_Convention[[#This Row],[NumL]],T_TraitDi[#Data],COLUMN(T_TraitDi[Mardi]),FALSE),"")</f>
        <v/>
      </c>
      <c r="AH97" s="284" t="e">
        <f>IF(VLOOKUP(T_Convention[[#This Row],[NumL]],T_TraitDi[#Data],COLUMN(T_TraitDi[Colonne1]),FALSE)=0,"",TEXT(IFERROR(VLOOKUP(T_Convention[[#This Row],[NumL]],T_TraitDi[#Data],COLUMN(T_TraitDi[Colonne1]),FALSE),""),"[hh]:mm"))</f>
        <v>#N/A</v>
      </c>
      <c r="AI97" s="284" t="e">
        <f>IF(VLOOKUP(T_Convention[[#This Row],[NumL]],T_TraitDi[#Data],COLUMN(T_TraitDi[Colonne9]),FALSE)=0,"",TEXT(IFERROR(VLOOKUP(T_Convention[[#This Row],[NumL]],T_TraitDi[#Data],COLUMN(T_TraitDi[Colonne9]),FALSE),""),"[hh]:mm"))</f>
        <v>#N/A</v>
      </c>
      <c r="AJ97" s="284" t="str">
        <f>IFERROR(VLOOKUP(T_Convention[[#This Row],[NumL]],T_TraitDi[#Data],COLUMN(T_TraitDi[Colonne10]),FALSE),"")</f>
        <v/>
      </c>
      <c r="AK97" s="284" t="e">
        <f>IF(VLOOKUP(T_Convention[[#This Row],[NumL]],T_TraitDi[#Data],COLUMN(T_TraitDi[Colonne11]),FALSE)=0,"",TEXT(IFERROR(VLOOKUP(T_Convention[[#This Row],[NumL]],T_TraitDi[#Data],COLUMN(T_TraitDi[Colonne11]),FALSE),""),"[hh]:mm"))</f>
        <v>#N/A</v>
      </c>
      <c r="AL97" s="284" t="e">
        <f>IF(VLOOKUP(T_Convention[[#This Row],[NumL]],T_TraitDi[#Data],COLUMN(T_TraitDi[Colonne12]),FALSE)=0,"",TEXT(IFERROR(VLOOKUP(T_Convention[[#This Row],[NumL]],T_TraitDi[#Data],COLUMN(T_TraitDi[Colonne12]),FALSE),""),"[hh]:mm"))</f>
        <v>#N/A</v>
      </c>
      <c r="AM97" s="284" t="e">
        <f>IF(VLOOKUP(T_Convention[[#This Row],[NumL]],T_TraitDi[#Data],COLUMN(T_TraitDi[Colonne14]),FALSE)=0,"",TEXT(IFERROR(VLOOKUP(T_Convention[[#This Row],[NumL]],T_TraitDi[#Data],COLUMN(T_TraitDi[Colonne14]),FALSE),""),"[hh]:mm"))</f>
        <v>#N/A</v>
      </c>
      <c r="AN97" s="284" t="str">
        <f>IFERROR(VLOOKUP(T_Convention[[#This Row],[NumL]],T_TraitDi[#Data],COLUMN(T_TraitDi[Mercredi]),FALSE),"")</f>
        <v/>
      </c>
      <c r="AO97" s="284" t="e">
        <f>IF(VLOOKUP(T_Convention[[#This Row],[NumL]],T_TraitDi[#Data],COLUMN(T_TraitDi[Colonne15]),FALSE)=0,"",TEXT(IFERROR(VLOOKUP(T_Convention[[#This Row],[NumL]],T_TraitDi[#Data],COLUMN(T_TraitDi[Colonne15]),FALSE),""),"[hh]:mm"))</f>
        <v>#N/A</v>
      </c>
      <c r="AP97" s="284" t="e">
        <f>IF(VLOOKUP(T_Convention[[#This Row],[NumL]],T_TraitDi[#Data],COLUMN(T_TraitDi[Colonne16]),FALSE)=0,"",TEXT(IFERROR(VLOOKUP(T_Convention[[#This Row],[NumL]],T_TraitDi[#Data],COLUMN(T_TraitDi[Colonne16]),FALSE),""),"[hh]:mm"))</f>
        <v>#N/A</v>
      </c>
      <c r="AQ97" s="284" t="str">
        <f>IFERROR(VLOOKUP(T_Convention[[#This Row],[NumL]],T_TraitDi[#Data],COLUMN(T_TraitDi[Colonne17]),FALSE),"")</f>
        <v/>
      </c>
      <c r="AR97" s="284" t="e">
        <f>IF(VLOOKUP(T_Convention[[#This Row],[NumL]],T_TraitDi[#Data],COLUMN(T_TraitDi[Colonne18]),FALSE)=0,"",TEXT(IFERROR(VLOOKUP(T_Convention[[#This Row],[NumL]],T_TraitDi[#Data],COLUMN(T_TraitDi[Colonne18]),FALSE),""),"[hh]:mm"))</f>
        <v>#N/A</v>
      </c>
      <c r="AS97" s="284" t="e">
        <f>IF(VLOOKUP(T_Convention[[#This Row],[NumL]],T_TraitDi[#Data],COLUMN(T_TraitDi[Colonne19]),FALSE)=0,"",TEXT(IFERROR(VLOOKUP(T_Convention[[#This Row],[NumL]],T_TraitDi[#Data],COLUMN(T_TraitDi[Colonne19]),FALSE),""),"[hh]:mm"))</f>
        <v>#N/A</v>
      </c>
      <c r="AT97" s="284" t="e">
        <f>IF(VLOOKUP(T_Convention[[#This Row],[NumL]],T_TraitDi[#Data],COLUMN(T_TraitDi[Colonne20]),FALSE)=0,"",TEXT(IFERROR(VLOOKUP(T_Convention[[#This Row],[NumL]],T_TraitDi[#Data],COLUMN(T_TraitDi[Colonne20]),FALSE),""),"[hh]:mm"))</f>
        <v>#N/A</v>
      </c>
      <c r="AU97" s="284" t="str">
        <f>IFERROR(VLOOKUP(T_Convention[[#This Row],[NumL]],T_TraitDi[#Data],COLUMN(T_TraitDi[Jeudi]),FALSE),"")</f>
        <v/>
      </c>
      <c r="AV97" s="284" t="e">
        <f>IF(VLOOKUP(T_Convention[[#This Row],[NumL]],T_TraitDi[#Data],COLUMN(T_TraitDi[Colonne21]),FALSE)=0,"",TEXT(IFERROR(VLOOKUP(T_Convention[[#This Row],[NumL]],T_TraitDi[#Data],COLUMN(T_TraitDi[Colonne21]),FALSE),""),"[hh]:mm"))</f>
        <v>#N/A</v>
      </c>
      <c r="AW97" s="284" t="e">
        <f>IF(VLOOKUP(T_Convention[[#This Row],[NumL]],T_TraitDi[#Data],COLUMN(T_TraitDi[Colonne22]),FALSE)=0,"",TEXT(IFERROR(VLOOKUP(T_Convention[[#This Row],[NumL]],T_TraitDi[#Data],COLUMN(T_TraitDi[Colonne22]),FALSE),""),"[hh]:mm"))</f>
        <v>#N/A</v>
      </c>
      <c r="AX97" s="284" t="str">
        <f>IFERROR(VLOOKUP(T_Convention[[#This Row],[NumL]],T_TraitDi[#Data],COLUMN(T_TraitDi[Colonne23]),FALSE),"")</f>
        <v/>
      </c>
      <c r="AY97" s="284" t="e">
        <f>IF(VLOOKUP(T_Convention[[#This Row],[NumL]],T_TraitDi[#Data],COLUMN(T_TraitDi[Colonne24]),FALSE)=0,"",TEXT(IFERROR(VLOOKUP(T_Convention[[#This Row],[NumL]],T_TraitDi[#Data],COLUMN(T_TraitDi[Colonne24]),FALSE),""),"[hh]:mm"))</f>
        <v>#N/A</v>
      </c>
      <c r="AZ97" s="284" t="e">
        <f>IF(VLOOKUP(T_Convention[[#This Row],[NumL]],T_TraitDi[#Data],COLUMN(T_TraitDi[Colonne25]),FALSE)=0,"",TEXT(IFERROR(VLOOKUP(T_Convention[[#This Row],[NumL]],T_TraitDi[#Data],COLUMN(T_TraitDi[Colonne25]),FALSE),""),"[hh]:mm"))</f>
        <v>#N/A</v>
      </c>
      <c r="BA97" s="284" t="e">
        <f>IF(VLOOKUP(T_Convention[[#This Row],[NumL]],T_TraitDi[#Data],COLUMN(T_TraitDi[Colonne26]),FALSE)=0,"",TEXT(IFERROR(VLOOKUP(T_Convention[[#This Row],[NumL]],T_TraitDi[#Data],COLUMN(T_TraitDi[Colonne26]),FALSE),""),"[hh]:mm"))</f>
        <v>#N/A</v>
      </c>
      <c r="BB97" s="284" t="str">
        <f>IFERROR(VLOOKUP(T_Convention[[#This Row],[NumL]],T_TraitDi[#Data],COLUMN(T_TraitDi[Vendredi]),FALSE),"")</f>
        <v/>
      </c>
      <c r="BC97" s="284" t="e">
        <f>IF(VLOOKUP(T_Convention[[#This Row],[NumL]],T_TraitDi[#Data],COLUMN(T_TraitDi[Colonne27]),FALSE)=0,"",TEXT(IFERROR(VLOOKUP(T_Convention[[#This Row],[NumL]],T_TraitDi[#Data],COLUMN(T_TraitDi[Colonne27]),FALSE),""),"[hh]:mm"))</f>
        <v>#N/A</v>
      </c>
      <c r="BD97" s="284" t="e">
        <f>IF(VLOOKUP(T_Convention[[#This Row],[NumL]],T_TraitDi[#Data],COLUMN(T_TraitDi[Colonne28]),FALSE)=0,"",TEXT(IFERROR(VLOOKUP(T_Convention[[#This Row],[NumL]],T_TraitDi[#Data],COLUMN(T_TraitDi[Colonne28]),FALSE),""),"[hh]:mm"))</f>
        <v>#N/A</v>
      </c>
      <c r="BE97" s="284" t="str">
        <f>IFERROR(VLOOKUP(T_Convention[[#This Row],[NumL]],T_TraitDi[#Data],COLUMN(T_TraitDi[Colonne29]),FALSE),"")</f>
        <v/>
      </c>
      <c r="BF97" s="284" t="e">
        <f>IF(VLOOKUP(T_Convention[[#This Row],[NumL]],T_TraitDi[#Data],COLUMN(T_TraitDi[Colonne30]),FALSE)=0,"",TEXT(IFERROR(VLOOKUP(T_Convention[[#This Row],[NumL]],T_TraitDi[#Data],COLUMN(T_TraitDi[Colonne30]),FALSE),""),"[hh]:mm"))</f>
        <v>#N/A</v>
      </c>
      <c r="BG97" s="284" t="e">
        <f>IF(VLOOKUP(T_Convention[[#This Row],[NumL]],T_TraitDi[#Data],COLUMN(T_TraitDi[Colonne31]),FALSE)=0,"",TEXT(IFERROR(VLOOKUP(T_Convention[[#This Row],[NumL]],T_TraitDi[#Data],COLUMN(T_TraitDi[Colonne31]),FALSE),""),"[hh]:mm"))</f>
        <v>#N/A</v>
      </c>
      <c r="BH97" s="284" t="e">
        <f>IF(VLOOKUP(T_Convention[[#This Row],[NumL]],T_TraitDi[#Data],COLUMN(T_TraitDi[Colonne32]),FALSE)=0,"",TEXT(IFERROR(VLOOKUP(T_Convention[[#This Row],[NumL]],T_TraitDi[#Data],COLUMN(T_TraitDi[Colonne32]),FALSE),""),"[hh]:mm"))</f>
        <v>#N/A</v>
      </c>
      <c r="BI97" s="284" t="str">
        <f>IFERROR(VLOOKUP(T_Convention[[#This Row],[NumL]],T_TraitDi[#Data],COLUMN(T_TraitDi[NbJTW]),FALSE),"")</f>
        <v/>
      </c>
      <c r="BJ97" s="284" t="e">
        <f>IF(VLOOKUP(T_Convention[[#This Row],[NumL]],T_TraitDi[#Data],COLUMN(T_TraitDi[NbhTW]),FALSE)=0,"",TEXT(IFERROR(VLOOKUP(T_Convention[[#This Row],[NumL]],T_TraitDi[#Data],COLUMN(T_TraitDi[NbhTW]),FALSE),""),"[hh]:mm"))</f>
        <v>#N/A</v>
      </c>
      <c r="BK97" s="286" t="e">
        <f>IF(VLOOKUP(T_Convention[[#This Row],[NumL]],T_TraitDi[#Data],COLUMN(T_TraitDi[Nbhheb]),FALSE)=0,"",TEXT(IFERROR(VLOOKUP(T_Convention[[#This Row],[NumL]],T_TraitDi[#Data],COLUMN(T_TraitDi[Nbhheb]),FALSE),""),"[hh]:mm"))</f>
        <v>#N/A</v>
      </c>
      <c r="BL97" s="287" t="str">
        <f>IFERROR(VLOOKUP(VLOOKUP(T_Convention[[#This Row],[NumL]],T_TraitDi[#Data],COLUMN(T_TraitDi[Type1]),FALSE),TypeTW,2,FALSE),"")</f>
        <v/>
      </c>
      <c r="BM97" s="288" t="str">
        <f>IFERROR(VLOOKUP(T_Convention[[#This Row],[NumL]],T_TraitDi[#Data],COLUMN(T_TraitDi[Rue1]),FALSE),"")</f>
        <v/>
      </c>
      <c r="BN97" s="289" t="str">
        <f>IFERROR(VLOOKUP(T_Convention[[#This Row],[NumL]],T_TraitDi[#Data],COLUMN(T_TraitDi[CP1]),FALSE),"")</f>
        <v/>
      </c>
      <c r="BO97" s="282" t="str">
        <f>IFERROR(VLOOKUP(T_Convention[[#This Row],[NumL]],T_TraitDi[#Data],COLUMN(T_TraitDi[VILLE1]),FALSE),"")</f>
        <v/>
      </c>
      <c r="BP97" s="290" t="str">
        <f>IFERROR(VLOOKUP(VLOOKUP(T_Convention[[#This Row],[NumL]],T_TraitDi[#Data],COLUMN(T_TraitDi[Type2]),FALSE),TypeTW,2,FALSE),"")</f>
        <v/>
      </c>
      <c r="BQ97" s="182" t="str">
        <f>IFERROR(VLOOKUP(T_Convention[[#This Row],[NumL]],T_TraitDi[#Data],COLUMN(T_TraitDi[Rue2]),FALSE),"")</f>
        <v/>
      </c>
      <c r="BR97" s="173" t="str">
        <f>IFERROR(VLOOKUP(T_Convention[[#This Row],[NumL]],T_TraitDi[#Data],COLUMN(T_TraitDi[CP2]),FALSE),"")</f>
        <v/>
      </c>
      <c r="BS97" s="173" t="str">
        <f>IFERROR(VLOOKUP(T_Convention[[#This Row],[NumL]],T_TraitDi[#Data],COLUMN(T_TraitDi[VILLE2]),FALSE),"")</f>
        <v/>
      </c>
      <c r="BT97" s="182" t="str">
        <f>IF(VLOOKUP(T_Convention[[#This Row],[NumL]],T_Equipement[#Data],COLUMN(T_Equipement[PC]),FALSE)="","Aucun équipement spécifique directement lié au télétravail",VLOOKUP(T_Convention[[#This Row],[NumL]],T_Equipement[#Data],COLUMN(T_Equipement[PC]),FALSE))</f>
        <v xml:space="preserve">20-653	</v>
      </c>
      <c r="BU97" s="166" t="str">
        <f>IFERROR(IF(VLOOKUP(T_Convention[[#This Row],[NumL]],T_TraitDi[#Data],COLUMN(T_TraitDi[Plan]),FALSE)="OK","Un planning spécifique de télétravail est annexé à la présente convention.",""),"")</f>
        <v/>
      </c>
      <c r="BV97" s="185" t="s">
        <v>3473</v>
      </c>
      <c r="BW97" s="164" t="e">
        <f>IF(VLOOKUP(T_Convention[[#This Row],[NumL]],T_suiviDi[#Data],COLUMN(T_suiviDi[Entité]),FALSE)="","",VLOOKUP(T_Convention[[#This Row],[NumL]],T_suiviDi[#Data],COLUMN(T_suiviDi[Entité]),FALSE))</f>
        <v>#N/A</v>
      </c>
      <c r="BX97" s="164" t="str">
        <f>IF(VLOOKUP(T_Convention[[#This Row],[NumL]],T_Commission[#Data],COLUMN(T_Commission[envoi confirm TW]),FALSE)="","",VLOOKUP(T_Convention[[#This Row],[NumL]],T_Commission[#Data],COLUMN(T_Commission[envoi confirm TW]),FALSE))</f>
        <v>Oui</v>
      </c>
      <c r="BY9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7" s="264">
        <f>VLOOKUP(T_Convention[[#This Row],[NumL]],T_Commission[#Data],COLUMN(T_Commission[Commentaire]),FALSE)</f>
        <v>0</v>
      </c>
      <c r="CA97" s="254" t="str">
        <f>IF(VLOOKUP(T_Convention[[#This Row],[NumL]],T_Commission[#Data],COLUMN(T_Commission[Encadrant Email]),FALSE)="","",VLOOKUP(T_Convention[[#This Row],[NumL]],T_Commission[#Data],COLUMN(T_Commission[Encadrant Email]),FALSE))</f>
        <v/>
      </c>
      <c r="CB97" s="352" t="e">
        <f>VLOOKUP(T_Convention[[#This Row],[NumL]],T_TraitDi[#Data],COLUMN(T_TraitDi[NbJTot]),FALSE)</f>
        <v>#N/A</v>
      </c>
      <c r="CC97" s="352" t="e">
        <f>VLOOKUP(T_Convention[[#This Row],[NumL]],T_TraitDi[#Data],COLUMN(T_TraitDi[Reg Ponct]),FALSE)</f>
        <v>#N/A</v>
      </c>
      <c r="CD97" s="348" t="str">
        <f>IF(T_Convention[[#This Row],[Final]]&lt;&gt;"",VLOOKUP(T_Convention[[#This Row],[NumL]],T_suiviDi[#Data],COLUMN((T_suiviDi[Statut])),FALSE),"")</f>
        <v/>
      </c>
    </row>
    <row r="98" spans="1:82" s="106" customFormat="1" ht="18.75" customHeight="1" x14ac:dyDescent="0.25">
      <c r="A98" s="160">
        <v>323</v>
      </c>
      <c r="B98" s="281" t="str">
        <f>VLOOKUP(T_Convention[[#This Row],[NumL]],T_Commission[#Data],COLUMN(T_Commission[FINAL]),FALSE)</f>
        <v/>
      </c>
      <c r="C98" s="162"/>
      <c r="D98" s="95" t="e">
        <f>IF(VLOOKUP(T_Convention[[#This Row],[NumL]],T_TraitDi[#Data],COLUMN(T_TraitDi[WebC]),FALSE)="","",VLOOKUP(T_Convention[[#This Row],[NumL]],T_TraitDi[#Data],COLUMN(T_TraitDi[WebC]),FALSE))</f>
        <v>#N/A</v>
      </c>
      <c r="E98" s="163" t="str">
        <f t="shared" si="5"/>
        <v>12 janvier 2021</v>
      </c>
      <c r="F98" s="282" t="str">
        <f>IF(T_Convention[[#This Row],[Final]]&lt;&gt;"",VLOOKUP(T_Convention[[#This Row],[NumL]],T_suiviDi[#Data],COLUMN((T_suiviDi[Civ.])),FALSE),"")</f>
        <v/>
      </c>
      <c r="G98" s="283" t="str">
        <f>IF(T_Convention[[#This Row],[Final]]&lt;&gt;"",VLOOKUP(T_Convention[[#This Row],[NumL]],T_suiviDi[#Data],COLUMN((T_suiviDi[Nom])),FALSE),"")</f>
        <v/>
      </c>
      <c r="H98" s="282" t="str">
        <f>IF(T_Convention[[#This Row],[Final]]&lt;&gt;"",VLOOKUP(T_Convention[[#This Row],[NumL]],T_suiviDi[#Data],COLUMN((T_suiviDi[Prénom])),FALSE),"")</f>
        <v/>
      </c>
      <c r="I98" s="282" t="e">
        <f>VLOOKUP(T_Convention[[#This Row],[NumL]],T_suiviDi[#Data],COLUMN((T_suiviDi[[#This Row],[Email]])),FALSE)</f>
        <v>#VALUE!</v>
      </c>
      <c r="J98" s="282" t="e">
        <f>IF(VLOOKUP(T_Convention[[#This Row],[NumL]],T_suiviDi[#Data],COLUMN(T_suiviDi[[#This Row],[Fonction]]),FALSE)="","",VLOOKUP(T_Convention[[#This Row],[NumL]],T_suiviDi[#Data],COLUMN(T_suiviDi[[#This Row],[Fonction]]),FALSE))</f>
        <v>#VALUE!</v>
      </c>
      <c r="K98" s="282" t="e">
        <f>IF(VLOOKUP(T_Convention[[#This Row],[NumL]],T_suiviDi[#Data],COLUMN(T_suiviDi[[#This Row],[Grade]]),FALSE)="","",VLOOKUP(T_Convention[[#This Row],[NumL]],T_suiviDi[#Data],COLUMN(T_suiviDi[[#This Row],[Grade]]),FALSE))</f>
        <v>#VALUE!</v>
      </c>
      <c r="L98" s="282" t="e">
        <f>IF(VLOOKUP(T_Convention[[#This Row],[NumL]],T_suiviDi[#Data],COLUMN(T_suiviDi[[#This Row],[Service ]]),FALSE)="","",VLOOKUP(T_Convention[[#This Row],[NumL]],T_suiviDi[#Data],COLUMN(T_suiviDi[[#This Row],[Service ]]),FALSE))</f>
        <v>#VALUE!</v>
      </c>
      <c r="M98" s="314" t="str">
        <f t="shared" si="6"/>
        <v>01 septembre 2021</v>
      </c>
      <c r="N98" s="314" t="str">
        <f t="shared" si="7"/>
        <v>30 novembre 2021</v>
      </c>
      <c r="O98" s="284" t="str">
        <f t="shared" si="8"/>
        <v>30 novembre 2021</v>
      </c>
      <c r="P98" s="282" t="e">
        <f>IF(VLOOKUP(T_Convention[[#This Row],[NumL]],T_TraitDi[#Data],COLUMN(T_TraitDi[M1]),FALSE)="","",VLOOKUP(T_Convention[[#This Row],[NumL]],T_TraitDi[#Data],COLUMN(T_TraitDi[M1]),FALSE))</f>
        <v>#N/A</v>
      </c>
      <c r="Q98" s="282" t="e">
        <f>IF(VLOOKUP(T_Convention[[#This Row],[NumL]],T_TraitDi[#Data],COLUMN(T_TraitDi[M2]),FALSE)="","",VLOOKUP(T_Convention[[#This Row],[NumL]],T_TraitDi[#Data],COLUMN(T_TraitDi[M2]),FALSE))</f>
        <v>#N/A</v>
      </c>
      <c r="R98" s="282" t="e">
        <f>IF(VLOOKUP(T_Convention[[#This Row],[NumL]],T_TraitDi[#Data],COLUMN(T_TraitDi[M3]),FALSE)="","",VLOOKUP(T_Convention[[#This Row],[NumL]],T_TraitDi[#Data],COLUMN(T_TraitDi[M3]),FALSE))</f>
        <v>#N/A</v>
      </c>
      <c r="S98" s="282" t="e">
        <f>IF(VLOOKUP(T_Convention[[#This Row],[NumL]],T_TraitDi[#Data],COLUMN(T_TraitDi[M4]),FALSE)="","",VLOOKUP(T_Convention[[#This Row],[NumL]],T_TraitDi[#Data],COLUMN(T_TraitDi[M4]),FALSE))</f>
        <v>#N/A</v>
      </c>
      <c r="T98" s="282" t="e">
        <f>IF(VLOOKUP(T_Convention[[#This Row],[NumL]],T_TraitDi[#Data],COLUMN(T_TraitDi[M5]),FALSE)="","",VLOOKUP(T_Convention[[#This Row],[NumL]],T_TraitDi[#Data],COLUMN(T_TraitDi[M5]),FALSE))</f>
        <v>#N/A</v>
      </c>
      <c r="U98" s="282" t="e">
        <f>IF(VLOOKUP(T_Convention[[#This Row],[NumL]],T_TraitDi[#Data],COLUMN(T_TraitDi[M6]),FALSE)="","",VLOOKUP(T_Convention[[#This Row],[NumL]],T_TraitDi[#Data],COLUMN(T_TraitDi[M6]),FALSE))</f>
        <v>#N/A</v>
      </c>
      <c r="V98" s="314" t="e">
        <f t="shared" si="9"/>
        <v>#N/A</v>
      </c>
      <c r="W98" s="284" t="str">
        <f>IFERROR(TEXT(VLOOKUP(T_Convention[[#This Row],[NumL]],T_TraitDi[#Data],COLUMN(T_TraitDi[Q2]),FALSE),"###%"),"")</f>
        <v/>
      </c>
      <c r="X98" s="285" t="e">
        <f>VLOOKUP(T_Convention[[#This Row],[NumL]],T_TraitDi[#Data],COLUMN(T_TraitDi[Reg Ponct]),FALSE)</f>
        <v>#N/A</v>
      </c>
      <c r="Y98" s="285" t="e">
        <f>VLOOKUP(T_Convention[NumL],T_TraitDi[#Data],COLUMN(T_TraitDi[Jours flottants]),FALSE)</f>
        <v>#N/A</v>
      </c>
      <c r="Z98" s="284" t="str">
        <f>IFERROR(VLOOKUP(T_Convention[[#This Row],[NumL]],T_TraitDi[#Data],COLUMN(T_TraitDi[Lundi]),FALSE),"")</f>
        <v/>
      </c>
      <c r="AA98" s="284" t="e">
        <f>IF(VLOOKUP(T_Convention[[#This Row],[NumL]],T_TraitDi[#Data],COLUMN(T_TraitDi[Colonne3]),FALSE)=0,"",TEXT(IFERROR(VLOOKUP(T_Convention[[#This Row],[NumL]],T_TraitDi[#Data],COLUMN(T_TraitDi[Colonne3]),FALSE),""),"[hh]:mm"))</f>
        <v>#N/A</v>
      </c>
      <c r="AB98" s="284" t="e">
        <f>IF(VLOOKUP(T_Convention[[#This Row],[NumL]],T_TraitDi[#Data],COLUMN(T_TraitDi[Colonne4]),FALSE)=0,"",TEXT(IFERROR(VLOOKUP(T_Convention[[#This Row],[NumL]],T_TraitDi[#Data],COLUMN(T_TraitDi[Colonne4]),FALSE),""),"[hh]:mm"))</f>
        <v>#N/A</v>
      </c>
      <c r="AC98" s="284" t="e">
        <f>IF(VLOOKUP(T_Convention[[#This Row],[NumL]],T_TraitDi[#Data],COLUMN(T_TraitDi[Colonne5]),FALSE)=0,"",TEXT(IFERROR(VLOOKUP(T_Convention[[#This Row],[NumL]],T_TraitDi[#Data],COLUMN(T_TraitDi[Colonne5]),FALSE),""),"[hh]:mm"))</f>
        <v>#N/A</v>
      </c>
      <c r="AD98" s="284" t="e">
        <f>IF(VLOOKUP(T_Convention[[#This Row],[NumL]],T_TraitDi[#Data],COLUMN(T_TraitDi[Colonne6]),FALSE)=0,"",TEXT(IFERROR(VLOOKUP(T_Convention[[#This Row],[NumL]],T_TraitDi[#Data],COLUMN(T_TraitDi[Colonne6]),FALSE),""),"[hh]:mm"))</f>
        <v>#N/A</v>
      </c>
      <c r="AE98" s="284" t="e">
        <f>IF(VLOOKUP(T_Convention[[#This Row],[NumL]],T_TraitDi[#Data],COLUMN(T_TraitDi[Colonne7]),FALSE)=0,"",TEXT(IFERROR(VLOOKUP(T_Convention[[#This Row],[NumL]],T_TraitDi[#Data],COLUMN(T_TraitDi[Colonne7]),FALSE),""),"[hh]:mm"))</f>
        <v>#N/A</v>
      </c>
      <c r="AF98" s="284" t="e">
        <f>IF(VLOOKUP(T_Convention[[#This Row],[NumL]],T_TraitDi[#Data],COLUMN(T_TraitDi[Colonne8]),FALSE)=0,"",TEXT(IFERROR(VLOOKUP(T_Convention[[#This Row],[NumL]],T_TraitDi[#Data],COLUMN(T_TraitDi[Colonne8]),FALSE),""),"[hh]:mm"))</f>
        <v>#N/A</v>
      </c>
      <c r="AG98" s="284" t="str">
        <f>IFERROR(VLOOKUP(T_Convention[[#This Row],[NumL]],T_TraitDi[#Data],COLUMN(T_TraitDi[Mardi]),FALSE),"")</f>
        <v/>
      </c>
      <c r="AH98" s="284" t="e">
        <f>IF(VLOOKUP(T_Convention[[#This Row],[NumL]],T_TraitDi[#Data],COLUMN(T_TraitDi[Colonne1]),FALSE)=0,"",TEXT(IFERROR(VLOOKUP(T_Convention[[#This Row],[NumL]],T_TraitDi[#Data],COLUMN(T_TraitDi[Colonne1]),FALSE),""),"[hh]:mm"))</f>
        <v>#N/A</v>
      </c>
      <c r="AI98" s="284" t="e">
        <f>IF(VLOOKUP(T_Convention[[#This Row],[NumL]],T_TraitDi[#Data],COLUMN(T_TraitDi[Colonne9]),FALSE)=0,"",TEXT(IFERROR(VLOOKUP(T_Convention[[#This Row],[NumL]],T_TraitDi[#Data],COLUMN(T_TraitDi[Colonne9]),FALSE),""),"[hh]:mm"))</f>
        <v>#N/A</v>
      </c>
      <c r="AJ98" s="284" t="str">
        <f>IFERROR(VLOOKUP(T_Convention[[#This Row],[NumL]],T_TraitDi[#Data],COLUMN(T_TraitDi[Colonne10]),FALSE),"")</f>
        <v/>
      </c>
      <c r="AK98" s="284" t="e">
        <f>IF(VLOOKUP(T_Convention[[#This Row],[NumL]],T_TraitDi[#Data],COLUMN(T_TraitDi[Colonne11]),FALSE)=0,"",TEXT(IFERROR(VLOOKUP(T_Convention[[#This Row],[NumL]],T_TraitDi[#Data],COLUMN(T_TraitDi[Colonne11]),FALSE),""),"[hh]:mm"))</f>
        <v>#N/A</v>
      </c>
      <c r="AL98" s="284" t="e">
        <f>IF(VLOOKUP(T_Convention[[#This Row],[NumL]],T_TraitDi[#Data],COLUMN(T_TraitDi[Colonne12]),FALSE)=0,"",TEXT(IFERROR(VLOOKUP(T_Convention[[#This Row],[NumL]],T_TraitDi[#Data],COLUMN(T_TraitDi[Colonne12]),FALSE),""),"[hh]:mm"))</f>
        <v>#N/A</v>
      </c>
      <c r="AM98" s="284" t="e">
        <f>IF(VLOOKUP(T_Convention[[#This Row],[NumL]],T_TraitDi[#Data],COLUMN(T_TraitDi[Colonne14]),FALSE)=0,"",TEXT(IFERROR(VLOOKUP(T_Convention[[#This Row],[NumL]],T_TraitDi[#Data],COLUMN(T_TraitDi[Colonne14]),FALSE),""),"[hh]:mm"))</f>
        <v>#N/A</v>
      </c>
      <c r="AN98" s="284" t="str">
        <f>IFERROR(VLOOKUP(T_Convention[[#This Row],[NumL]],T_TraitDi[#Data],COLUMN(T_TraitDi[Mercredi]),FALSE),"")</f>
        <v/>
      </c>
      <c r="AO98" s="284" t="e">
        <f>IF(VLOOKUP(T_Convention[[#This Row],[NumL]],T_TraitDi[#Data],COLUMN(T_TraitDi[Colonne15]),FALSE)=0,"",TEXT(IFERROR(VLOOKUP(T_Convention[[#This Row],[NumL]],T_TraitDi[#Data],COLUMN(T_TraitDi[Colonne15]),FALSE),""),"[hh]:mm"))</f>
        <v>#N/A</v>
      </c>
      <c r="AP98" s="284" t="e">
        <f>IF(VLOOKUP(T_Convention[[#This Row],[NumL]],T_TraitDi[#Data],COLUMN(T_TraitDi[Colonne16]),FALSE)=0,"",TEXT(IFERROR(VLOOKUP(T_Convention[[#This Row],[NumL]],T_TraitDi[#Data],COLUMN(T_TraitDi[Colonne16]),FALSE),""),"[hh]:mm"))</f>
        <v>#N/A</v>
      </c>
      <c r="AQ98" s="284" t="str">
        <f>IFERROR(VLOOKUP(T_Convention[[#This Row],[NumL]],T_TraitDi[#Data],COLUMN(T_TraitDi[Colonne17]),FALSE),"")</f>
        <v/>
      </c>
      <c r="AR98" s="284" t="e">
        <f>IF(VLOOKUP(T_Convention[[#This Row],[NumL]],T_TraitDi[#Data],COLUMN(T_TraitDi[Colonne18]),FALSE)=0,"",TEXT(IFERROR(VLOOKUP(T_Convention[[#This Row],[NumL]],T_TraitDi[#Data],COLUMN(T_TraitDi[Colonne18]),FALSE),""),"[hh]:mm"))</f>
        <v>#N/A</v>
      </c>
      <c r="AS98" s="284" t="e">
        <f>IF(VLOOKUP(T_Convention[[#This Row],[NumL]],T_TraitDi[#Data],COLUMN(T_TraitDi[Colonne19]),FALSE)=0,"",TEXT(IFERROR(VLOOKUP(T_Convention[[#This Row],[NumL]],T_TraitDi[#Data],COLUMN(T_TraitDi[Colonne19]),FALSE),""),"[hh]:mm"))</f>
        <v>#N/A</v>
      </c>
      <c r="AT98" s="284" t="e">
        <f>IF(VLOOKUP(T_Convention[[#This Row],[NumL]],T_TraitDi[#Data],COLUMN(T_TraitDi[Colonne20]),FALSE)=0,"",TEXT(IFERROR(VLOOKUP(T_Convention[[#This Row],[NumL]],T_TraitDi[#Data],COLUMN(T_TraitDi[Colonne20]),FALSE),""),"[hh]:mm"))</f>
        <v>#N/A</v>
      </c>
      <c r="AU98" s="284" t="str">
        <f>IFERROR(VLOOKUP(T_Convention[[#This Row],[NumL]],T_TraitDi[#Data],COLUMN(T_TraitDi[Jeudi]),FALSE),"")</f>
        <v/>
      </c>
      <c r="AV98" s="284" t="e">
        <f>IF(VLOOKUP(T_Convention[[#This Row],[NumL]],T_TraitDi[#Data],COLUMN(T_TraitDi[Colonne21]),FALSE)=0,"",TEXT(IFERROR(VLOOKUP(T_Convention[[#This Row],[NumL]],T_TraitDi[#Data],COLUMN(T_TraitDi[Colonne21]),FALSE),""),"[hh]:mm"))</f>
        <v>#N/A</v>
      </c>
      <c r="AW98" s="284" t="e">
        <f>IF(VLOOKUP(T_Convention[[#This Row],[NumL]],T_TraitDi[#Data],COLUMN(T_TraitDi[Colonne22]),FALSE)=0,"",TEXT(IFERROR(VLOOKUP(T_Convention[[#This Row],[NumL]],T_TraitDi[#Data],COLUMN(T_TraitDi[Colonne22]),FALSE),""),"[hh]:mm"))</f>
        <v>#N/A</v>
      </c>
      <c r="AX98" s="284" t="str">
        <f>IFERROR(VLOOKUP(T_Convention[[#This Row],[NumL]],T_TraitDi[#Data],COLUMN(T_TraitDi[Colonne23]),FALSE),"")</f>
        <v/>
      </c>
      <c r="AY98" s="284" t="e">
        <f>IF(VLOOKUP(T_Convention[[#This Row],[NumL]],T_TraitDi[#Data],COLUMN(T_TraitDi[Colonne24]),FALSE)=0,"",TEXT(IFERROR(VLOOKUP(T_Convention[[#This Row],[NumL]],T_TraitDi[#Data],COLUMN(T_TraitDi[Colonne24]),FALSE),""),"[hh]:mm"))</f>
        <v>#N/A</v>
      </c>
      <c r="AZ98" s="284" t="e">
        <f>IF(VLOOKUP(T_Convention[[#This Row],[NumL]],T_TraitDi[#Data],COLUMN(T_TraitDi[Colonne25]),FALSE)=0,"",TEXT(IFERROR(VLOOKUP(T_Convention[[#This Row],[NumL]],T_TraitDi[#Data],COLUMN(T_TraitDi[Colonne25]),FALSE),""),"[hh]:mm"))</f>
        <v>#N/A</v>
      </c>
      <c r="BA98" s="284" t="e">
        <f>IF(VLOOKUP(T_Convention[[#This Row],[NumL]],T_TraitDi[#Data],COLUMN(T_TraitDi[Colonne26]),FALSE)=0,"",TEXT(IFERROR(VLOOKUP(T_Convention[[#This Row],[NumL]],T_TraitDi[#Data],COLUMN(T_TraitDi[Colonne26]),FALSE),""),"[hh]:mm"))</f>
        <v>#N/A</v>
      </c>
      <c r="BB98" s="284" t="str">
        <f>IFERROR(VLOOKUP(T_Convention[[#This Row],[NumL]],T_TraitDi[#Data],COLUMN(T_TraitDi[Vendredi]),FALSE),"")</f>
        <v/>
      </c>
      <c r="BC98" s="284" t="e">
        <f>IF(VLOOKUP(T_Convention[[#This Row],[NumL]],T_TraitDi[#Data],COLUMN(T_TraitDi[Colonne27]),FALSE)=0,"",TEXT(IFERROR(VLOOKUP(T_Convention[[#This Row],[NumL]],T_TraitDi[#Data],COLUMN(T_TraitDi[Colonne27]),FALSE),""),"[hh]:mm"))</f>
        <v>#N/A</v>
      </c>
      <c r="BD98" s="284" t="e">
        <f>IF(VLOOKUP(T_Convention[[#This Row],[NumL]],T_TraitDi[#Data],COLUMN(T_TraitDi[Colonne28]),FALSE)=0,"",TEXT(IFERROR(VLOOKUP(T_Convention[[#This Row],[NumL]],T_TraitDi[#Data],COLUMN(T_TraitDi[Colonne28]),FALSE),""),"[hh]:mm"))</f>
        <v>#N/A</v>
      </c>
      <c r="BE98" s="284" t="str">
        <f>IFERROR(VLOOKUP(T_Convention[[#This Row],[NumL]],T_TraitDi[#Data],COLUMN(T_TraitDi[Colonne29]),FALSE),"")</f>
        <v/>
      </c>
      <c r="BF98" s="284" t="e">
        <f>IF(VLOOKUP(T_Convention[[#This Row],[NumL]],T_TraitDi[#Data],COLUMN(T_TraitDi[Colonne30]),FALSE)=0,"",TEXT(IFERROR(VLOOKUP(T_Convention[[#This Row],[NumL]],T_TraitDi[#Data],COLUMN(T_TraitDi[Colonne30]),FALSE),""),"[hh]:mm"))</f>
        <v>#N/A</v>
      </c>
      <c r="BG98" s="284" t="e">
        <f>IF(VLOOKUP(T_Convention[[#This Row],[NumL]],T_TraitDi[#Data],COLUMN(T_TraitDi[Colonne31]),FALSE)=0,"",TEXT(IFERROR(VLOOKUP(T_Convention[[#This Row],[NumL]],T_TraitDi[#Data],COLUMN(T_TraitDi[Colonne31]),FALSE),""),"[hh]:mm"))</f>
        <v>#N/A</v>
      </c>
      <c r="BH98" s="284" t="e">
        <f>IF(VLOOKUP(T_Convention[[#This Row],[NumL]],T_TraitDi[#Data],COLUMN(T_TraitDi[Colonne32]),FALSE)=0,"",TEXT(IFERROR(VLOOKUP(T_Convention[[#This Row],[NumL]],T_TraitDi[#Data],COLUMN(T_TraitDi[Colonne32]),FALSE),""),"[hh]:mm"))</f>
        <v>#N/A</v>
      </c>
      <c r="BI98" s="284" t="str">
        <f>IFERROR(VLOOKUP(T_Convention[[#This Row],[NumL]],T_TraitDi[#Data],COLUMN(T_TraitDi[NbJTW]),FALSE),"")</f>
        <v/>
      </c>
      <c r="BJ98" s="284" t="e">
        <f>IF(VLOOKUP(T_Convention[[#This Row],[NumL]],T_TraitDi[#Data],COLUMN(T_TraitDi[NbhTW]),FALSE)=0,"",TEXT(IFERROR(VLOOKUP(T_Convention[[#This Row],[NumL]],T_TraitDi[#Data],COLUMN(T_TraitDi[NbhTW]),FALSE),""),"[hh]:mm"))</f>
        <v>#N/A</v>
      </c>
      <c r="BK98" s="315" t="e">
        <f>IF(VLOOKUP(T_Convention[[#This Row],[NumL]],T_TraitDi[#Data],COLUMN(T_TraitDi[Nbhheb]),FALSE)=0,"",TEXT(IFERROR(VLOOKUP(T_Convention[[#This Row],[NumL]],T_TraitDi[#Data],COLUMN(T_TraitDi[Nbhheb]),FALSE),""),"[hh]:mm"))</f>
        <v>#N/A</v>
      </c>
      <c r="BL98" s="287" t="str">
        <f>IFERROR(VLOOKUP(VLOOKUP(T_Convention[[#This Row],[NumL]],T_TraitDi[#Data],COLUMN(T_TraitDi[Type1]),FALSE),TypeTW,2,FALSE),"")</f>
        <v/>
      </c>
      <c r="BM98" s="288" t="str">
        <f>IFERROR(VLOOKUP(T_Convention[[#This Row],[NumL]],T_TraitDi[#Data],COLUMN(T_TraitDi[Rue1]),FALSE),"")</f>
        <v/>
      </c>
      <c r="BN98" s="289" t="str">
        <f>IFERROR(VLOOKUP(T_Convention[[#This Row],[NumL]],T_TraitDi[#Data],COLUMN(T_TraitDi[CP1]),FALSE),"")</f>
        <v/>
      </c>
      <c r="BO98" s="282" t="str">
        <f>IFERROR(VLOOKUP(T_Convention[[#This Row],[NumL]],T_TraitDi[#Data],COLUMN(T_TraitDi[VILLE1]),FALSE),"")</f>
        <v/>
      </c>
      <c r="BP98" s="290" t="str">
        <f>IFERROR(VLOOKUP(VLOOKUP(T_Convention[[#This Row],[NumL]],T_TraitDi[#Data],COLUMN(T_TraitDi[Type2]),FALSE),TypeTW,2,FALSE),"")</f>
        <v/>
      </c>
      <c r="BQ98" s="310" t="str">
        <f>IFERROR(VLOOKUP(T_Convention[[#This Row],[NumL]],T_TraitDi[#Data],COLUMN(T_TraitDi[Rue2]),FALSE),"")</f>
        <v/>
      </c>
      <c r="BR98" s="290" t="str">
        <f>IFERROR(VLOOKUP(T_Convention[[#This Row],[NumL]],T_TraitDi[#Data],COLUMN(T_TraitDi[CP2]),FALSE),"")</f>
        <v/>
      </c>
      <c r="BS98" s="290" t="str">
        <f>IFERROR(VLOOKUP(T_Convention[[#This Row],[NumL]],T_TraitDi[#Data],COLUMN(T_TraitDi[VILLE2]),FALSE),"")</f>
        <v/>
      </c>
      <c r="BT98"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98" s="314" t="str">
        <f>IFERROR(IF(VLOOKUP(T_Convention[[#This Row],[NumL]],T_TraitDi[#Data],COLUMN(T_TraitDi[Plan]),FALSE)="OK","Un planning spécifique de télétravail est annexé à la présente convention.",""),"")</f>
        <v/>
      </c>
      <c r="BV98" s="291"/>
      <c r="BW98" s="292" t="e">
        <f>IF(VLOOKUP(T_Convention[[#This Row],[NumL]],T_suiviDi[#Data],COLUMN(T_suiviDi[Entité]),FALSE)="","",VLOOKUP(T_Convention[[#This Row],[NumL]],T_suiviDi[#Data],COLUMN(T_suiviDi[Entité]),FALSE))</f>
        <v>#N/A</v>
      </c>
      <c r="BX98" s="311" t="str">
        <f>IF(VLOOKUP(T_Convention[[#This Row],[NumL]],T_Commission[#Data],COLUMN(T_Commission[envoi confirm TW]),FALSE)="","",VLOOKUP(T_Convention[[#This Row],[NumL]],T_Commission[#Data],COLUMN(T_Commission[envoi confirm TW]),FALSE))</f>
        <v>Oui</v>
      </c>
      <c r="BY98"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8" s="265">
        <f>VLOOKUP(T_Convention[[#This Row],[NumL]],T_Commission[#Data],COLUMN(T_Commission[Commentaire]),FALSE)</f>
        <v>0</v>
      </c>
      <c r="CA98" s="255" t="str">
        <f>IF(VLOOKUP(T_Convention[[#This Row],[NumL]],T_Commission[#Data],COLUMN(T_Commission[Encadrant Email]),FALSE)="","",VLOOKUP(T_Convention[[#This Row],[NumL]],T_Commission[#Data],COLUMN(T_Commission[Encadrant Email]),FALSE))</f>
        <v/>
      </c>
      <c r="CB98" s="352" t="e">
        <f>VLOOKUP(T_Convention[[#This Row],[NumL]],T_TraitDi[#Data],COLUMN(T_TraitDi[NbJTot]),FALSE)</f>
        <v>#N/A</v>
      </c>
      <c r="CC98" s="352" t="e">
        <f>VLOOKUP(T_Convention[[#This Row],[NumL]],T_TraitDi[#Data],COLUMN(T_TraitDi[Reg Ponct]),FALSE)</f>
        <v>#N/A</v>
      </c>
      <c r="CD98" s="348" t="str">
        <f>IF(T_Convention[[#This Row],[Final]]&lt;&gt;"",VLOOKUP(T_Convention[[#This Row],[NumL]],T_suiviDi[#Data],COLUMN((T_suiviDi[Statut])),FALSE),"")</f>
        <v/>
      </c>
    </row>
    <row r="99" spans="1:82" s="106" customFormat="1" ht="18.75" customHeight="1" x14ac:dyDescent="0.25">
      <c r="A99" s="160">
        <v>90</v>
      </c>
      <c r="B99" s="161" t="str">
        <f>VLOOKUP(T_Convention[[#This Row],[NumL]],T_Commission[#Data],COLUMN(T_Commission[FINAL]),FALSE)</f>
        <v/>
      </c>
      <c r="C99" s="162"/>
      <c r="D99" s="95" t="e">
        <f>IF(VLOOKUP(T_Convention[[#This Row],[NumL]],T_TraitDi[#Data],COLUMN(T_TraitDi[WebC]),FALSE)="","",VLOOKUP(T_Convention[[#This Row],[NumL]],T_TraitDi[#Data],COLUMN(T_TraitDi[WebC]),FALSE))</f>
        <v>#N/A</v>
      </c>
      <c r="E99" s="163" t="str">
        <f t="shared" si="5"/>
        <v>12 janvier 2021</v>
      </c>
      <c r="F99" s="282" t="str">
        <f>IF(T_Convention[[#This Row],[Final]]&lt;&gt;"",VLOOKUP(T_Convention[[#This Row],[NumL]],T_suiviDi[#Data],COLUMN((T_suiviDi[Civ.])),FALSE),"")</f>
        <v/>
      </c>
      <c r="G99" s="283" t="str">
        <f>IF(T_Convention[[#This Row],[Final]]&lt;&gt;"",VLOOKUP(T_Convention[[#This Row],[NumL]],T_suiviDi[#Data],COLUMN((T_suiviDi[Nom])),FALSE),"")</f>
        <v/>
      </c>
      <c r="H99" s="282" t="str">
        <f>IF(T_Convention[[#This Row],[Final]]&lt;&gt;"",VLOOKUP(T_Convention[[#This Row],[NumL]],T_suiviDi[#Data],COLUMN((T_suiviDi[Prénom])),FALSE),"")</f>
        <v/>
      </c>
      <c r="I99" s="282" t="e">
        <f>VLOOKUP(T_Convention[[#This Row],[NumL]],T_suiviDi[#Data],COLUMN((T_suiviDi[[#This Row],[Email]])),FALSE)</f>
        <v>#VALUE!</v>
      </c>
      <c r="J99" s="282" t="e">
        <f>IF(VLOOKUP(T_Convention[[#This Row],[NumL]],T_suiviDi[#Data],COLUMN(T_suiviDi[[#This Row],[Fonction]]),FALSE)="","",VLOOKUP(T_Convention[[#This Row],[NumL]],T_suiviDi[#Data],COLUMN(T_suiviDi[[#This Row],[Fonction]]),FALSE))</f>
        <v>#VALUE!</v>
      </c>
      <c r="K99" s="282" t="e">
        <f>IF(VLOOKUP(T_Convention[[#This Row],[NumL]],T_suiviDi[#Data],COLUMN(T_suiviDi[[#This Row],[Grade]]),FALSE)="","",VLOOKUP(T_Convention[[#This Row],[NumL]],T_suiviDi[#Data],COLUMN(T_suiviDi[[#This Row],[Grade]]),FALSE))</f>
        <v>#VALUE!</v>
      </c>
      <c r="L99" s="282" t="e">
        <f>IF(VLOOKUP(T_Convention[[#This Row],[NumL]],T_suiviDi[#Data],COLUMN(T_suiviDi[[#This Row],[Service ]]),FALSE)="","",VLOOKUP(T_Convention[[#This Row],[NumL]],T_suiviDi[#Data],COLUMN(T_suiviDi[[#This Row],[Service ]]),FALSE))</f>
        <v>#VALUE!</v>
      </c>
      <c r="M99" s="164" t="str">
        <f t="shared" si="6"/>
        <v>01 septembre 2021</v>
      </c>
      <c r="N99" s="164" t="str">
        <f t="shared" si="7"/>
        <v>30 novembre 2021</v>
      </c>
      <c r="O99" s="284" t="str">
        <f t="shared" si="8"/>
        <v>30 novembre 2021</v>
      </c>
      <c r="P99" s="282" t="e">
        <f>IF(VLOOKUP(T_Convention[[#This Row],[NumL]],T_TraitDi[#Data],COLUMN(T_TraitDi[M1]),FALSE)="","",VLOOKUP(T_Convention[[#This Row],[NumL]],T_TraitDi[#Data],COLUMN(T_TraitDi[M1]),FALSE))</f>
        <v>#N/A</v>
      </c>
      <c r="Q99" s="282" t="e">
        <f>IF(VLOOKUP(T_Convention[[#This Row],[NumL]],T_TraitDi[#Data],COLUMN(T_TraitDi[M2]),FALSE)="","",VLOOKUP(T_Convention[[#This Row],[NumL]],T_TraitDi[#Data],COLUMN(T_TraitDi[M2]),FALSE))</f>
        <v>#N/A</v>
      </c>
      <c r="R99" s="282" t="e">
        <f>IF(VLOOKUP(T_Convention[[#This Row],[NumL]],T_TraitDi[#Data],COLUMN(T_TraitDi[M3]),FALSE)="","",VLOOKUP(T_Convention[[#This Row],[NumL]],T_TraitDi[#Data],COLUMN(T_TraitDi[M3]),FALSE))</f>
        <v>#N/A</v>
      </c>
      <c r="S99" s="282" t="e">
        <f>IF(VLOOKUP(T_Convention[[#This Row],[NumL]],T_TraitDi[#Data],COLUMN(T_TraitDi[M4]),FALSE)="","",VLOOKUP(T_Convention[[#This Row],[NumL]],T_TraitDi[#Data],COLUMN(T_TraitDi[M4]),FALSE))</f>
        <v>#N/A</v>
      </c>
      <c r="T99" s="282" t="e">
        <f>IF(VLOOKUP(T_Convention[[#This Row],[NumL]],T_TraitDi[#Data],COLUMN(T_TraitDi[M5]),FALSE)="","",VLOOKUP(T_Convention[[#This Row],[NumL]],T_TraitDi[#Data],COLUMN(T_TraitDi[M5]),FALSE))</f>
        <v>#N/A</v>
      </c>
      <c r="U99" s="282" t="e">
        <f>IF(VLOOKUP(T_Convention[[#This Row],[NumL]],T_TraitDi[#Data],COLUMN(T_TraitDi[M6]),FALSE)="","",VLOOKUP(T_Convention[[#This Row],[NumL]],T_TraitDi[#Data],COLUMN(T_TraitDi[M6]),FALSE))</f>
        <v>#N/A</v>
      </c>
      <c r="V99" s="176" t="e">
        <f t="shared" si="9"/>
        <v>#N/A</v>
      </c>
      <c r="W99" s="284" t="str">
        <f>IFERROR(TEXT(VLOOKUP(T_Convention[[#This Row],[NumL]],T_TraitDi[#Data],COLUMN(T_TraitDi[Q2]),FALSE),"###%"),"")</f>
        <v/>
      </c>
      <c r="X99" s="97" t="e">
        <f>VLOOKUP(T_Convention[[#This Row],[NumL]],T_TraitDi[#Data],COLUMN(T_TraitDi[Reg Ponct]),FALSE)</f>
        <v>#N/A</v>
      </c>
      <c r="Y99" s="97" t="e">
        <f>VLOOKUP(T_Convention[NumL],T_TraitDi[#Data],COLUMN(T_TraitDi[Jours flottants]),FALSE)</f>
        <v>#N/A</v>
      </c>
      <c r="Z99" s="284" t="str">
        <f>IFERROR(VLOOKUP(T_Convention[[#This Row],[NumL]],T_TraitDi[#Data],COLUMN(T_TraitDi[Lundi]),FALSE),"")</f>
        <v/>
      </c>
      <c r="AA99" s="284" t="e">
        <f>IF(VLOOKUP(T_Convention[[#This Row],[NumL]],T_TraitDi[#Data],COLUMN(T_TraitDi[Colonne3]),FALSE)=0,"",TEXT(IFERROR(VLOOKUP(T_Convention[[#This Row],[NumL]],T_TraitDi[#Data],COLUMN(T_TraitDi[Colonne3]),FALSE),""),"[hh]:mm"))</f>
        <v>#N/A</v>
      </c>
      <c r="AB99" s="284" t="e">
        <f>IF(VLOOKUP(T_Convention[[#This Row],[NumL]],T_TraitDi[#Data],COLUMN(T_TraitDi[Colonne4]),FALSE)=0,"",TEXT(IFERROR(VLOOKUP(T_Convention[[#This Row],[NumL]],T_TraitDi[#Data],COLUMN(T_TraitDi[Colonne4]),FALSE),""),"[hh]:mm"))</f>
        <v>#N/A</v>
      </c>
      <c r="AC99" s="284" t="e">
        <f>IF(VLOOKUP(T_Convention[[#This Row],[NumL]],T_TraitDi[#Data],COLUMN(T_TraitDi[Colonne5]),FALSE)=0,"",TEXT(IFERROR(VLOOKUP(T_Convention[[#This Row],[NumL]],T_TraitDi[#Data],COLUMN(T_TraitDi[Colonne5]),FALSE),""),"[hh]:mm"))</f>
        <v>#N/A</v>
      </c>
      <c r="AD99" s="284" t="e">
        <f>IF(VLOOKUP(T_Convention[[#This Row],[NumL]],T_TraitDi[#Data],COLUMN(T_TraitDi[Colonne6]),FALSE)=0,"",TEXT(IFERROR(VLOOKUP(T_Convention[[#This Row],[NumL]],T_TraitDi[#Data],COLUMN(T_TraitDi[Colonne6]),FALSE),""),"[hh]:mm"))</f>
        <v>#N/A</v>
      </c>
      <c r="AE99" s="284" t="e">
        <f>IF(VLOOKUP(T_Convention[[#This Row],[NumL]],T_TraitDi[#Data],COLUMN(T_TraitDi[Colonne7]),FALSE)=0,"",TEXT(IFERROR(VLOOKUP(T_Convention[[#This Row],[NumL]],T_TraitDi[#Data],COLUMN(T_TraitDi[Colonne7]),FALSE),""),"[hh]:mm"))</f>
        <v>#N/A</v>
      </c>
      <c r="AF99" s="284" t="e">
        <f>IF(VLOOKUP(T_Convention[[#This Row],[NumL]],T_TraitDi[#Data],COLUMN(T_TraitDi[Colonne8]),FALSE)=0,"",TEXT(IFERROR(VLOOKUP(T_Convention[[#This Row],[NumL]],T_TraitDi[#Data],COLUMN(T_TraitDi[Colonne8]),FALSE),""),"[hh]:mm"))</f>
        <v>#N/A</v>
      </c>
      <c r="AG99" s="284" t="str">
        <f>IFERROR(VLOOKUP(T_Convention[[#This Row],[NumL]],T_TraitDi[#Data],COLUMN(T_TraitDi[Mardi]),FALSE),"")</f>
        <v/>
      </c>
      <c r="AH99" s="284" t="e">
        <f>IF(VLOOKUP(T_Convention[[#This Row],[NumL]],T_TraitDi[#Data],COLUMN(T_TraitDi[Colonne1]),FALSE)=0,"",TEXT(IFERROR(VLOOKUP(T_Convention[[#This Row],[NumL]],T_TraitDi[#Data],COLUMN(T_TraitDi[Colonne1]),FALSE),""),"[hh]:mm"))</f>
        <v>#N/A</v>
      </c>
      <c r="AI99" s="284" t="e">
        <f>IF(VLOOKUP(T_Convention[[#This Row],[NumL]],T_TraitDi[#Data],COLUMN(T_TraitDi[Colonne9]),FALSE)=0,"",TEXT(IFERROR(VLOOKUP(T_Convention[[#This Row],[NumL]],T_TraitDi[#Data],COLUMN(T_TraitDi[Colonne9]),FALSE),""),"[hh]:mm"))</f>
        <v>#N/A</v>
      </c>
      <c r="AJ99" s="284" t="str">
        <f>IFERROR(VLOOKUP(T_Convention[[#This Row],[NumL]],T_TraitDi[#Data],COLUMN(T_TraitDi[Colonne10]),FALSE),"")</f>
        <v/>
      </c>
      <c r="AK99" s="284" t="e">
        <f>IF(VLOOKUP(T_Convention[[#This Row],[NumL]],T_TraitDi[#Data],COLUMN(T_TraitDi[Colonne11]),FALSE)=0,"",TEXT(IFERROR(VLOOKUP(T_Convention[[#This Row],[NumL]],T_TraitDi[#Data],COLUMN(T_TraitDi[Colonne11]),FALSE),""),"[hh]:mm"))</f>
        <v>#N/A</v>
      </c>
      <c r="AL99" s="284" t="e">
        <f>IF(VLOOKUP(T_Convention[[#This Row],[NumL]],T_TraitDi[#Data],COLUMN(T_TraitDi[Colonne12]),FALSE)=0,"",TEXT(IFERROR(VLOOKUP(T_Convention[[#This Row],[NumL]],T_TraitDi[#Data],COLUMN(T_TraitDi[Colonne12]),FALSE),""),"[hh]:mm"))</f>
        <v>#N/A</v>
      </c>
      <c r="AM99" s="284" t="e">
        <f>IF(VLOOKUP(T_Convention[[#This Row],[NumL]],T_TraitDi[#Data],COLUMN(T_TraitDi[Colonne14]),FALSE)=0,"",TEXT(IFERROR(VLOOKUP(T_Convention[[#This Row],[NumL]],T_TraitDi[#Data],COLUMN(T_TraitDi[Colonne14]),FALSE),""),"[hh]:mm"))</f>
        <v>#N/A</v>
      </c>
      <c r="AN99" s="284" t="str">
        <f>IFERROR(VLOOKUP(T_Convention[[#This Row],[NumL]],T_TraitDi[#Data],COLUMN(T_TraitDi[Mercredi]),FALSE),"")</f>
        <v/>
      </c>
      <c r="AO99" s="284" t="e">
        <f>IF(VLOOKUP(T_Convention[[#This Row],[NumL]],T_TraitDi[#Data],COLUMN(T_TraitDi[Colonne15]),FALSE)=0,"",TEXT(IFERROR(VLOOKUP(T_Convention[[#This Row],[NumL]],T_TraitDi[#Data],COLUMN(T_TraitDi[Colonne15]),FALSE),""),"[hh]:mm"))</f>
        <v>#N/A</v>
      </c>
      <c r="AP99" s="284" t="e">
        <f>IF(VLOOKUP(T_Convention[[#This Row],[NumL]],T_TraitDi[#Data],COLUMN(T_TraitDi[Colonne16]),FALSE)=0,"",TEXT(IFERROR(VLOOKUP(T_Convention[[#This Row],[NumL]],T_TraitDi[#Data],COLUMN(T_TraitDi[Colonne16]),FALSE),""),"[hh]:mm"))</f>
        <v>#N/A</v>
      </c>
      <c r="AQ99" s="284" t="str">
        <f>IFERROR(VLOOKUP(T_Convention[[#This Row],[NumL]],T_TraitDi[#Data],COLUMN(T_TraitDi[Colonne17]),FALSE),"")</f>
        <v/>
      </c>
      <c r="AR99" s="284" t="e">
        <f>IF(VLOOKUP(T_Convention[[#This Row],[NumL]],T_TraitDi[#Data],COLUMN(T_TraitDi[Colonne18]),FALSE)=0,"",TEXT(IFERROR(VLOOKUP(T_Convention[[#This Row],[NumL]],T_TraitDi[#Data],COLUMN(T_TraitDi[Colonne18]),FALSE),""),"[hh]:mm"))</f>
        <v>#N/A</v>
      </c>
      <c r="AS99" s="284" t="e">
        <f>IF(VLOOKUP(T_Convention[[#This Row],[NumL]],T_TraitDi[#Data],COLUMN(T_TraitDi[Colonne19]),FALSE)=0,"",TEXT(IFERROR(VLOOKUP(T_Convention[[#This Row],[NumL]],T_TraitDi[#Data],COLUMN(T_TraitDi[Colonne19]),FALSE),""),"[hh]:mm"))</f>
        <v>#N/A</v>
      </c>
      <c r="AT99" s="284" t="e">
        <f>IF(VLOOKUP(T_Convention[[#This Row],[NumL]],T_TraitDi[#Data],COLUMN(T_TraitDi[Colonne20]),FALSE)=0,"",TEXT(IFERROR(VLOOKUP(T_Convention[[#This Row],[NumL]],T_TraitDi[#Data],COLUMN(T_TraitDi[Colonne20]),FALSE),""),"[hh]:mm"))</f>
        <v>#N/A</v>
      </c>
      <c r="AU99" s="284" t="str">
        <f>IFERROR(VLOOKUP(T_Convention[[#This Row],[NumL]],T_TraitDi[#Data],COLUMN(T_TraitDi[Jeudi]),FALSE),"")</f>
        <v/>
      </c>
      <c r="AV99" s="284" t="e">
        <f>IF(VLOOKUP(T_Convention[[#This Row],[NumL]],T_TraitDi[#Data],COLUMN(T_TraitDi[Colonne21]),FALSE)=0,"",TEXT(IFERROR(VLOOKUP(T_Convention[[#This Row],[NumL]],T_TraitDi[#Data],COLUMN(T_TraitDi[Colonne21]),FALSE),""),"[hh]:mm"))</f>
        <v>#N/A</v>
      </c>
      <c r="AW99" s="284" t="e">
        <f>IF(VLOOKUP(T_Convention[[#This Row],[NumL]],T_TraitDi[#Data],COLUMN(T_TraitDi[Colonne22]),FALSE)=0,"",TEXT(IFERROR(VLOOKUP(T_Convention[[#This Row],[NumL]],T_TraitDi[#Data],COLUMN(T_TraitDi[Colonne22]),FALSE),""),"[hh]:mm"))</f>
        <v>#N/A</v>
      </c>
      <c r="AX99" s="284" t="str">
        <f>IFERROR(VLOOKUP(T_Convention[[#This Row],[NumL]],T_TraitDi[#Data],COLUMN(T_TraitDi[Colonne23]),FALSE),"")</f>
        <v/>
      </c>
      <c r="AY99" s="284" t="e">
        <f>IF(VLOOKUP(T_Convention[[#This Row],[NumL]],T_TraitDi[#Data],COLUMN(T_TraitDi[Colonne24]),FALSE)=0,"",TEXT(IFERROR(VLOOKUP(T_Convention[[#This Row],[NumL]],T_TraitDi[#Data],COLUMN(T_TraitDi[Colonne24]),FALSE),""),"[hh]:mm"))</f>
        <v>#N/A</v>
      </c>
      <c r="AZ99" s="284" t="e">
        <f>IF(VLOOKUP(T_Convention[[#This Row],[NumL]],T_TraitDi[#Data],COLUMN(T_TraitDi[Colonne25]),FALSE)=0,"",TEXT(IFERROR(VLOOKUP(T_Convention[[#This Row],[NumL]],T_TraitDi[#Data],COLUMN(T_TraitDi[Colonne25]),FALSE),""),"[hh]:mm"))</f>
        <v>#N/A</v>
      </c>
      <c r="BA99" s="284" t="e">
        <f>IF(VLOOKUP(T_Convention[[#This Row],[NumL]],T_TraitDi[#Data],COLUMN(T_TraitDi[Colonne26]),FALSE)=0,"",TEXT(IFERROR(VLOOKUP(T_Convention[[#This Row],[NumL]],T_TraitDi[#Data],COLUMN(T_TraitDi[Colonne26]),FALSE),""),"[hh]:mm"))</f>
        <v>#N/A</v>
      </c>
      <c r="BB99" s="284" t="str">
        <f>IFERROR(VLOOKUP(T_Convention[[#This Row],[NumL]],T_TraitDi[#Data],COLUMN(T_TraitDi[Vendredi]),FALSE),"")</f>
        <v/>
      </c>
      <c r="BC99" s="284" t="e">
        <f>IF(VLOOKUP(T_Convention[[#This Row],[NumL]],T_TraitDi[#Data],COLUMN(T_TraitDi[Colonne27]),FALSE)=0,"",TEXT(IFERROR(VLOOKUP(T_Convention[[#This Row],[NumL]],T_TraitDi[#Data],COLUMN(T_TraitDi[Colonne27]),FALSE),""),"[hh]:mm"))</f>
        <v>#N/A</v>
      </c>
      <c r="BD99" s="284" t="e">
        <f>IF(VLOOKUP(T_Convention[[#This Row],[NumL]],T_TraitDi[#Data],COLUMN(T_TraitDi[Colonne28]),FALSE)=0,"",TEXT(IFERROR(VLOOKUP(T_Convention[[#This Row],[NumL]],T_TraitDi[#Data],COLUMN(T_TraitDi[Colonne28]),FALSE),""),"[hh]:mm"))</f>
        <v>#N/A</v>
      </c>
      <c r="BE99" s="284" t="str">
        <f>IFERROR(VLOOKUP(T_Convention[[#This Row],[NumL]],T_TraitDi[#Data],COLUMN(T_TraitDi[Colonne29]),FALSE),"")</f>
        <v/>
      </c>
      <c r="BF99" s="284" t="e">
        <f>IF(VLOOKUP(T_Convention[[#This Row],[NumL]],T_TraitDi[#Data],COLUMN(T_TraitDi[Colonne30]),FALSE)=0,"",TEXT(IFERROR(VLOOKUP(T_Convention[[#This Row],[NumL]],T_TraitDi[#Data],COLUMN(T_TraitDi[Colonne30]),FALSE),""),"[hh]:mm"))</f>
        <v>#N/A</v>
      </c>
      <c r="BG99" s="284" t="e">
        <f>IF(VLOOKUP(T_Convention[[#This Row],[NumL]],T_TraitDi[#Data],COLUMN(T_TraitDi[Colonne31]),FALSE)=0,"",TEXT(IFERROR(VLOOKUP(T_Convention[[#This Row],[NumL]],T_TraitDi[#Data],COLUMN(T_TraitDi[Colonne31]),FALSE),""),"[hh]:mm"))</f>
        <v>#N/A</v>
      </c>
      <c r="BH99" s="284" t="e">
        <f>IF(VLOOKUP(T_Convention[[#This Row],[NumL]],T_TraitDi[#Data],COLUMN(T_TraitDi[Colonne32]),FALSE)=0,"",TEXT(IFERROR(VLOOKUP(T_Convention[[#This Row],[NumL]],T_TraitDi[#Data],COLUMN(T_TraitDi[Colonne32]),FALSE),""),"[hh]:mm"))</f>
        <v>#N/A</v>
      </c>
      <c r="BI99" s="284" t="str">
        <f>IFERROR(VLOOKUP(T_Convention[[#This Row],[NumL]],T_TraitDi[#Data],COLUMN(T_TraitDi[NbJTW]),FALSE),"")</f>
        <v/>
      </c>
      <c r="BJ99" s="284" t="e">
        <f>IF(VLOOKUP(T_Convention[[#This Row],[NumL]],T_TraitDi[#Data],COLUMN(T_TraitDi[NbhTW]),FALSE)=0,"",TEXT(IFERROR(VLOOKUP(T_Convention[[#This Row],[NumL]],T_TraitDi[#Data],COLUMN(T_TraitDi[NbhTW]),FALSE),""),"[hh]:mm"))</f>
        <v>#N/A</v>
      </c>
      <c r="BK99" s="286" t="e">
        <f>IF(VLOOKUP(T_Convention[[#This Row],[NumL]],T_TraitDi[#Data],COLUMN(T_TraitDi[Nbhheb]),FALSE)=0,"",TEXT(IFERROR(VLOOKUP(T_Convention[[#This Row],[NumL]],T_TraitDi[#Data],COLUMN(T_TraitDi[Nbhheb]),FALSE),""),"[hh]:mm"))</f>
        <v>#N/A</v>
      </c>
      <c r="BL99" s="287" t="str">
        <f>IFERROR(VLOOKUP(VLOOKUP(T_Convention[[#This Row],[NumL]],T_TraitDi[#Data],COLUMN(T_TraitDi[Type1]),FALSE),TypeTW,2,FALSE),"")</f>
        <v/>
      </c>
      <c r="BM99" s="288" t="str">
        <f>IFERROR(VLOOKUP(T_Convention[[#This Row],[NumL]],T_TraitDi[#Data],COLUMN(T_TraitDi[Rue1]),FALSE),"")</f>
        <v/>
      </c>
      <c r="BN99" s="289" t="str">
        <f>IFERROR(VLOOKUP(T_Convention[[#This Row],[NumL]],T_TraitDi[#Data],COLUMN(T_TraitDi[CP1]),FALSE),"")</f>
        <v/>
      </c>
      <c r="BO99" s="282" t="str">
        <f>IFERROR(VLOOKUP(T_Convention[[#This Row],[NumL]],T_TraitDi[#Data],COLUMN(T_TraitDi[VILLE1]),FALSE),"")</f>
        <v/>
      </c>
      <c r="BP99" s="290" t="str">
        <f>IFERROR(VLOOKUP(VLOOKUP(T_Convention[[#This Row],[NumL]],T_TraitDi[#Data],COLUMN(T_TraitDi[Type2]),FALSE),TypeTW,2,FALSE),"")</f>
        <v/>
      </c>
      <c r="BQ99" s="182" t="str">
        <f>IFERROR(VLOOKUP(T_Convention[[#This Row],[NumL]],T_TraitDi[#Data],COLUMN(T_TraitDi[Rue2]),FALSE),"")</f>
        <v/>
      </c>
      <c r="BR99" s="173" t="str">
        <f>IFERROR(VLOOKUP(T_Convention[[#This Row],[NumL]],T_TraitDi[#Data],COLUMN(T_TraitDi[CP2]),FALSE),"")</f>
        <v/>
      </c>
      <c r="BS99" s="173" t="str">
        <f>IFERROR(VLOOKUP(T_Convention[[#This Row],[NumL]],T_TraitDi[#Data],COLUMN(T_TraitDi[VILLE2]),FALSE),"")</f>
        <v/>
      </c>
      <c r="BT99" s="182" t="str">
        <f>IF(VLOOKUP(T_Convention[[#This Row],[NumL]],T_Equipement[#Data],COLUMN(T_Equipement[PC]),FALSE)="","Aucun équipement spécifique directement lié au télétravail",VLOOKUP(T_Convention[[#This Row],[NumL]],T_Equipement[#Data],COLUMN(T_Equipement[PC]),FALSE))</f>
        <v xml:space="preserve">	16-031</v>
      </c>
      <c r="BU99" s="166" t="str">
        <f>IFERROR(IF(VLOOKUP(T_Convention[[#This Row],[NumL]],T_TraitDi[#Data],COLUMN(T_TraitDi[Plan]),FALSE)="OK","Un planning spécifique de télétravail est annexé à la présente convention.",""),"")</f>
        <v/>
      </c>
      <c r="BV99" s="185" t="s">
        <v>3338</v>
      </c>
      <c r="BW99" s="164" t="e">
        <f>IF(VLOOKUP(T_Convention[[#This Row],[NumL]],T_suiviDi[#Data],COLUMN(T_suiviDi[Entité]),FALSE)="","",VLOOKUP(T_Convention[[#This Row],[NumL]],T_suiviDi[#Data],COLUMN(T_suiviDi[Entité]),FALSE))</f>
        <v>#N/A</v>
      </c>
      <c r="BX99" s="164" t="str">
        <f>IF(VLOOKUP(T_Convention[[#This Row],[NumL]],T_Commission[#Data],COLUMN(T_Commission[envoi confirm TW]),FALSE)="","",VLOOKUP(T_Convention[[#This Row],[NumL]],T_Commission[#Data],COLUMN(T_Commission[envoi confirm TW]),FALSE))</f>
        <v>Oui</v>
      </c>
      <c r="BY9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99" s="264">
        <f>VLOOKUP(T_Convention[[#This Row],[NumL]],T_Commission[#Data],COLUMN(T_Commission[Commentaire]),FALSE)</f>
        <v>0</v>
      </c>
      <c r="CA99" s="254" t="str">
        <f>IF(VLOOKUP(T_Convention[[#This Row],[NumL]],T_Commission[#Data],COLUMN(T_Commission[Encadrant Email]),FALSE)="","",VLOOKUP(T_Convention[[#This Row],[NumL]],T_Commission[#Data],COLUMN(T_Commission[Encadrant Email]),FALSE))</f>
        <v/>
      </c>
      <c r="CB99" s="352" t="e">
        <f>VLOOKUP(T_Convention[[#This Row],[NumL]],T_TraitDi[#Data],COLUMN(T_TraitDi[NbJTot]),FALSE)</f>
        <v>#N/A</v>
      </c>
      <c r="CC99" s="352" t="e">
        <f>VLOOKUP(T_Convention[[#This Row],[NumL]],T_TraitDi[#Data],COLUMN(T_TraitDi[Reg Ponct]),FALSE)</f>
        <v>#N/A</v>
      </c>
      <c r="CD99" s="348" t="str">
        <f>IF(T_Convention[[#This Row],[Final]]&lt;&gt;"",VLOOKUP(T_Convention[[#This Row],[NumL]],T_suiviDi[#Data],COLUMN((T_suiviDi[Statut])),FALSE),"")</f>
        <v/>
      </c>
    </row>
    <row r="100" spans="1:82" s="106" customFormat="1" ht="18.75" customHeight="1" x14ac:dyDescent="0.25">
      <c r="A100" s="160">
        <v>54</v>
      </c>
      <c r="B100" s="161" t="str">
        <f>VLOOKUP(T_Convention[[#This Row],[NumL]],T_Commission[#Data],COLUMN(T_Commission[FINAL]),FALSE)</f>
        <v/>
      </c>
      <c r="C100" s="162"/>
      <c r="D100" s="95" t="e">
        <f>IF(VLOOKUP(T_Convention[[#This Row],[NumL]],T_TraitDi[#Data],COLUMN(T_TraitDi[WebC]),FALSE)="","",VLOOKUP(T_Convention[[#This Row],[NumL]],T_TraitDi[#Data],COLUMN(T_TraitDi[WebC]),FALSE))</f>
        <v>#N/A</v>
      </c>
      <c r="E100" s="163" t="str">
        <f t="shared" si="5"/>
        <v>12 janvier 2021</v>
      </c>
      <c r="F100" s="282" t="str">
        <f>IF(T_Convention[[#This Row],[Final]]&lt;&gt;"",VLOOKUP(T_Convention[[#This Row],[NumL]],T_suiviDi[#Data],COLUMN((T_suiviDi[Civ.])),FALSE),"")</f>
        <v/>
      </c>
      <c r="G100" s="283" t="str">
        <f>IF(T_Convention[[#This Row],[Final]]&lt;&gt;"",VLOOKUP(T_Convention[[#This Row],[NumL]],T_suiviDi[#Data],COLUMN((T_suiviDi[Nom])),FALSE),"")</f>
        <v/>
      </c>
      <c r="H100" s="282" t="str">
        <f>IF(T_Convention[[#This Row],[Final]]&lt;&gt;"",VLOOKUP(T_Convention[[#This Row],[NumL]],T_suiviDi[#Data],COLUMN((T_suiviDi[Prénom])),FALSE),"")</f>
        <v/>
      </c>
      <c r="I100" s="282" t="e">
        <f>VLOOKUP(T_Convention[[#This Row],[NumL]],T_suiviDi[#Data],COLUMN((T_suiviDi[[#This Row],[Email]])),FALSE)</f>
        <v>#VALUE!</v>
      </c>
      <c r="J100" s="282" t="e">
        <f>IF(VLOOKUP(T_Convention[[#This Row],[NumL]],T_suiviDi[#Data],COLUMN(T_suiviDi[[#This Row],[Fonction]]),FALSE)="","",VLOOKUP(T_Convention[[#This Row],[NumL]],T_suiviDi[#Data],COLUMN(T_suiviDi[[#This Row],[Fonction]]),FALSE))</f>
        <v>#VALUE!</v>
      </c>
      <c r="K100" s="282" t="e">
        <f>IF(VLOOKUP(T_Convention[[#This Row],[NumL]],T_suiviDi[#Data],COLUMN(T_suiviDi[[#This Row],[Grade]]),FALSE)="","",VLOOKUP(T_Convention[[#This Row],[NumL]],T_suiviDi[#Data],COLUMN(T_suiviDi[[#This Row],[Grade]]),FALSE))</f>
        <v>#VALUE!</v>
      </c>
      <c r="L100" s="282" t="e">
        <f>IF(VLOOKUP(T_Convention[[#This Row],[NumL]],T_suiviDi[#Data],COLUMN(T_suiviDi[[#This Row],[Service ]]),FALSE)="","",VLOOKUP(T_Convention[[#This Row],[NumL]],T_suiviDi[#Data],COLUMN(T_suiviDi[[#This Row],[Service ]]),FALSE))</f>
        <v>#VALUE!</v>
      </c>
      <c r="M100" s="164" t="str">
        <f t="shared" si="6"/>
        <v>01 septembre 2021</v>
      </c>
      <c r="N100" s="164" t="str">
        <f t="shared" si="7"/>
        <v>30 novembre 2021</v>
      </c>
      <c r="O100" s="284" t="str">
        <f t="shared" si="8"/>
        <v>30 novembre 2021</v>
      </c>
      <c r="P100" s="282" t="e">
        <f>IF(VLOOKUP(T_Convention[[#This Row],[NumL]],T_TraitDi[#Data],COLUMN(T_TraitDi[M1]),FALSE)="","",VLOOKUP(T_Convention[[#This Row],[NumL]],T_TraitDi[#Data],COLUMN(T_TraitDi[M1]),FALSE))</f>
        <v>#N/A</v>
      </c>
      <c r="Q100" s="282" t="e">
        <f>IF(VLOOKUP(T_Convention[[#This Row],[NumL]],T_TraitDi[#Data],COLUMN(T_TraitDi[M2]),FALSE)="","",VLOOKUP(T_Convention[[#This Row],[NumL]],T_TraitDi[#Data],COLUMN(T_TraitDi[M2]),FALSE))</f>
        <v>#N/A</v>
      </c>
      <c r="R100" s="282" t="e">
        <f>IF(VLOOKUP(T_Convention[[#This Row],[NumL]],T_TraitDi[#Data],COLUMN(T_TraitDi[M3]),FALSE)="","",VLOOKUP(T_Convention[[#This Row],[NumL]],T_TraitDi[#Data],COLUMN(T_TraitDi[M3]),FALSE))</f>
        <v>#N/A</v>
      </c>
      <c r="S100" s="282" t="e">
        <f>IF(VLOOKUP(T_Convention[[#This Row],[NumL]],T_TraitDi[#Data],COLUMN(T_TraitDi[M4]),FALSE)="","",VLOOKUP(T_Convention[[#This Row],[NumL]],T_TraitDi[#Data],COLUMN(T_TraitDi[M4]),FALSE))</f>
        <v>#N/A</v>
      </c>
      <c r="T100" s="282" t="e">
        <f>IF(VLOOKUP(T_Convention[[#This Row],[NumL]],T_TraitDi[#Data],COLUMN(T_TraitDi[M5]),FALSE)="","",VLOOKUP(T_Convention[[#This Row],[NumL]],T_TraitDi[#Data],COLUMN(T_TraitDi[M5]),FALSE))</f>
        <v>#N/A</v>
      </c>
      <c r="U100" s="282" t="e">
        <f>IF(VLOOKUP(T_Convention[[#This Row],[NumL]],T_TraitDi[#Data],COLUMN(T_TraitDi[M6]),FALSE)="","",VLOOKUP(T_Convention[[#This Row],[NumL]],T_TraitDi[#Data],COLUMN(T_TraitDi[M6]),FALSE))</f>
        <v>#N/A</v>
      </c>
      <c r="V100" s="176" t="e">
        <f t="shared" si="9"/>
        <v>#N/A</v>
      </c>
      <c r="W100" s="284" t="str">
        <f>IFERROR(TEXT(VLOOKUP(T_Convention[[#This Row],[NumL]],T_TraitDi[#Data],COLUMN(T_TraitDi[Q2]),FALSE),"###%"),"")</f>
        <v/>
      </c>
      <c r="X100" s="97" t="e">
        <f>VLOOKUP(T_Convention[[#This Row],[NumL]],T_TraitDi[#Data],COLUMN(T_TraitDi[Reg Ponct]),FALSE)</f>
        <v>#N/A</v>
      </c>
      <c r="Y100" s="97" t="e">
        <f>VLOOKUP(T_Convention[NumL],T_TraitDi[#Data],COLUMN(T_TraitDi[Jours flottants]),FALSE)</f>
        <v>#N/A</v>
      </c>
      <c r="Z100" s="284" t="str">
        <f>IFERROR(VLOOKUP(T_Convention[[#This Row],[NumL]],T_TraitDi[#Data],COLUMN(T_TraitDi[Lundi]),FALSE),"")</f>
        <v/>
      </c>
      <c r="AA100" s="284" t="e">
        <f>IF(VLOOKUP(T_Convention[[#This Row],[NumL]],T_TraitDi[#Data],COLUMN(T_TraitDi[Colonne3]),FALSE)=0,"",TEXT(IFERROR(VLOOKUP(T_Convention[[#This Row],[NumL]],T_TraitDi[#Data],COLUMN(T_TraitDi[Colonne3]),FALSE),""),"[hh]:mm"))</f>
        <v>#N/A</v>
      </c>
      <c r="AB100" s="284" t="e">
        <f>IF(VLOOKUP(T_Convention[[#This Row],[NumL]],T_TraitDi[#Data],COLUMN(T_TraitDi[Colonne4]),FALSE)=0,"",TEXT(IFERROR(VLOOKUP(T_Convention[[#This Row],[NumL]],T_TraitDi[#Data],COLUMN(T_TraitDi[Colonne4]),FALSE),""),"[hh]:mm"))</f>
        <v>#N/A</v>
      </c>
      <c r="AC100" s="284" t="e">
        <f>IF(VLOOKUP(T_Convention[[#This Row],[NumL]],T_TraitDi[#Data],COLUMN(T_TraitDi[Colonne5]),FALSE)=0,"",TEXT(IFERROR(VLOOKUP(T_Convention[[#This Row],[NumL]],T_TraitDi[#Data],COLUMN(T_TraitDi[Colonne5]),FALSE),""),"[hh]:mm"))</f>
        <v>#N/A</v>
      </c>
      <c r="AD100" s="284" t="e">
        <f>IF(VLOOKUP(T_Convention[[#This Row],[NumL]],T_TraitDi[#Data],COLUMN(T_TraitDi[Colonne6]),FALSE)=0,"",TEXT(IFERROR(VLOOKUP(T_Convention[[#This Row],[NumL]],T_TraitDi[#Data],COLUMN(T_TraitDi[Colonne6]),FALSE),""),"[hh]:mm"))</f>
        <v>#N/A</v>
      </c>
      <c r="AE100" s="284" t="e">
        <f>IF(VLOOKUP(T_Convention[[#This Row],[NumL]],T_TraitDi[#Data],COLUMN(T_TraitDi[Colonne7]),FALSE)=0,"",TEXT(IFERROR(VLOOKUP(T_Convention[[#This Row],[NumL]],T_TraitDi[#Data],COLUMN(T_TraitDi[Colonne7]),FALSE),""),"[hh]:mm"))</f>
        <v>#N/A</v>
      </c>
      <c r="AF100" s="284" t="e">
        <f>IF(VLOOKUP(T_Convention[[#This Row],[NumL]],T_TraitDi[#Data],COLUMN(T_TraitDi[Colonne8]),FALSE)=0,"",TEXT(IFERROR(VLOOKUP(T_Convention[[#This Row],[NumL]],T_TraitDi[#Data],COLUMN(T_TraitDi[Colonne8]),FALSE),""),"[hh]:mm"))</f>
        <v>#N/A</v>
      </c>
      <c r="AG100" s="284" t="str">
        <f>IFERROR(VLOOKUP(T_Convention[[#This Row],[NumL]],T_TraitDi[#Data],COLUMN(T_TraitDi[Mardi]),FALSE),"")</f>
        <v/>
      </c>
      <c r="AH100" s="284" t="e">
        <f>IF(VLOOKUP(T_Convention[[#This Row],[NumL]],T_TraitDi[#Data],COLUMN(T_TraitDi[Colonne1]),FALSE)=0,"",TEXT(IFERROR(VLOOKUP(T_Convention[[#This Row],[NumL]],T_TraitDi[#Data],COLUMN(T_TraitDi[Colonne1]),FALSE),""),"[hh]:mm"))</f>
        <v>#N/A</v>
      </c>
      <c r="AI100" s="284" t="e">
        <f>IF(VLOOKUP(T_Convention[[#This Row],[NumL]],T_TraitDi[#Data],COLUMN(T_TraitDi[Colonne9]),FALSE)=0,"",TEXT(IFERROR(VLOOKUP(T_Convention[[#This Row],[NumL]],T_TraitDi[#Data],COLUMN(T_TraitDi[Colonne9]),FALSE),""),"[hh]:mm"))</f>
        <v>#N/A</v>
      </c>
      <c r="AJ100" s="284" t="str">
        <f>IFERROR(VLOOKUP(T_Convention[[#This Row],[NumL]],T_TraitDi[#Data],COLUMN(T_TraitDi[Colonne10]),FALSE),"")</f>
        <v/>
      </c>
      <c r="AK100" s="284" t="e">
        <f>IF(VLOOKUP(T_Convention[[#This Row],[NumL]],T_TraitDi[#Data],COLUMN(T_TraitDi[Colonne11]),FALSE)=0,"",TEXT(IFERROR(VLOOKUP(T_Convention[[#This Row],[NumL]],T_TraitDi[#Data],COLUMN(T_TraitDi[Colonne11]),FALSE),""),"[hh]:mm"))</f>
        <v>#N/A</v>
      </c>
      <c r="AL100" s="284" t="e">
        <f>IF(VLOOKUP(T_Convention[[#This Row],[NumL]],T_TraitDi[#Data],COLUMN(T_TraitDi[Colonne12]),FALSE)=0,"",TEXT(IFERROR(VLOOKUP(T_Convention[[#This Row],[NumL]],T_TraitDi[#Data],COLUMN(T_TraitDi[Colonne12]),FALSE),""),"[hh]:mm"))</f>
        <v>#N/A</v>
      </c>
      <c r="AM100" s="284" t="e">
        <f>IF(VLOOKUP(T_Convention[[#This Row],[NumL]],T_TraitDi[#Data],COLUMN(T_TraitDi[Colonne14]),FALSE)=0,"",TEXT(IFERROR(VLOOKUP(T_Convention[[#This Row],[NumL]],T_TraitDi[#Data],COLUMN(T_TraitDi[Colonne14]),FALSE),""),"[hh]:mm"))</f>
        <v>#N/A</v>
      </c>
      <c r="AN100" s="284" t="str">
        <f>IFERROR(VLOOKUP(T_Convention[[#This Row],[NumL]],T_TraitDi[#Data],COLUMN(T_TraitDi[Mercredi]),FALSE),"")</f>
        <v/>
      </c>
      <c r="AO100" s="284" t="e">
        <f>IF(VLOOKUP(T_Convention[[#This Row],[NumL]],T_TraitDi[#Data],COLUMN(T_TraitDi[Colonne15]),FALSE)=0,"",TEXT(IFERROR(VLOOKUP(T_Convention[[#This Row],[NumL]],T_TraitDi[#Data],COLUMN(T_TraitDi[Colonne15]),FALSE),""),"[hh]:mm"))</f>
        <v>#N/A</v>
      </c>
      <c r="AP100" s="284" t="e">
        <f>IF(VLOOKUP(T_Convention[[#This Row],[NumL]],T_TraitDi[#Data],COLUMN(T_TraitDi[Colonne16]),FALSE)=0,"",TEXT(IFERROR(VLOOKUP(T_Convention[[#This Row],[NumL]],T_TraitDi[#Data],COLUMN(T_TraitDi[Colonne16]),FALSE),""),"[hh]:mm"))</f>
        <v>#N/A</v>
      </c>
      <c r="AQ100" s="284" t="str">
        <f>IFERROR(VLOOKUP(T_Convention[[#This Row],[NumL]],T_TraitDi[#Data],COLUMN(T_TraitDi[Colonne17]),FALSE),"")</f>
        <v/>
      </c>
      <c r="AR100" s="284" t="e">
        <f>IF(VLOOKUP(T_Convention[[#This Row],[NumL]],T_TraitDi[#Data],COLUMN(T_TraitDi[Colonne18]),FALSE)=0,"",TEXT(IFERROR(VLOOKUP(T_Convention[[#This Row],[NumL]],T_TraitDi[#Data],COLUMN(T_TraitDi[Colonne18]),FALSE),""),"[hh]:mm"))</f>
        <v>#N/A</v>
      </c>
      <c r="AS100" s="284" t="e">
        <f>IF(VLOOKUP(T_Convention[[#This Row],[NumL]],T_TraitDi[#Data],COLUMN(T_TraitDi[Colonne19]),FALSE)=0,"",TEXT(IFERROR(VLOOKUP(T_Convention[[#This Row],[NumL]],T_TraitDi[#Data],COLUMN(T_TraitDi[Colonne19]),FALSE),""),"[hh]:mm"))</f>
        <v>#N/A</v>
      </c>
      <c r="AT100" s="284" t="e">
        <f>IF(VLOOKUP(T_Convention[[#This Row],[NumL]],T_TraitDi[#Data],COLUMN(T_TraitDi[Colonne20]),FALSE)=0,"",TEXT(IFERROR(VLOOKUP(T_Convention[[#This Row],[NumL]],T_TraitDi[#Data],COLUMN(T_TraitDi[Colonne20]),FALSE),""),"[hh]:mm"))</f>
        <v>#N/A</v>
      </c>
      <c r="AU100" s="284" t="str">
        <f>IFERROR(VLOOKUP(T_Convention[[#This Row],[NumL]],T_TraitDi[#Data],COLUMN(T_TraitDi[Jeudi]),FALSE),"")</f>
        <v/>
      </c>
      <c r="AV100" s="284" t="e">
        <f>IF(VLOOKUP(T_Convention[[#This Row],[NumL]],T_TraitDi[#Data],COLUMN(T_TraitDi[Colonne21]),FALSE)=0,"",TEXT(IFERROR(VLOOKUP(T_Convention[[#This Row],[NumL]],T_TraitDi[#Data],COLUMN(T_TraitDi[Colonne21]),FALSE),""),"[hh]:mm"))</f>
        <v>#N/A</v>
      </c>
      <c r="AW100" s="284" t="e">
        <f>IF(VLOOKUP(T_Convention[[#This Row],[NumL]],T_TraitDi[#Data],COLUMN(T_TraitDi[Colonne22]),FALSE)=0,"",TEXT(IFERROR(VLOOKUP(T_Convention[[#This Row],[NumL]],T_TraitDi[#Data],COLUMN(T_TraitDi[Colonne22]),FALSE),""),"[hh]:mm"))</f>
        <v>#N/A</v>
      </c>
      <c r="AX100" s="284" t="str">
        <f>IFERROR(VLOOKUP(T_Convention[[#This Row],[NumL]],T_TraitDi[#Data],COLUMN(T_TraitDi[Colonne23]),FALSE),"")</f>
        <v/>
      </c>
      <c r="AY100" s="284" t="e">
        <f>IF(VLOOKUP(T_Convention[[#This Row],[NumL]],T_TraitDi[#Data],COLUMN(T_TraitDi[Colonne24]),FALSE)=0,"",TEXT(IFERROR(VLOOKUP(T_Convention[[#This Row],[NumL]],T_TraitDi[#Data],COLUMN(T_TraitDi[Colonne24]),FALSE),""),"[hh]:mm"))</f>
        <v>#N/A</v>
      </c>
      <c r="AZ100" s="284" t="e">
        <f>IF(VLOOKUP(T_Convention[[#This Row],[NumL]],T_TraitDi[#Data],COLUMN(T_TraitDi[Colonne25]),FALSE)=0,"",TEXT(IFERROR(VLOOKUP(T_Convention[[#This Row],[NumL]],T_TraitDi[#Data],COLUMN(T_TraitDi[Colonne25]),FALSE),""),"[hh]:mm"))</f>
        <v>#N/A</v>
      </c>
      <c r="BA100" s="284" t="e">
        <f>IF(VLOOKUP(T_Convention[[#This Row],[NumL]],T_TraitDi[#Data],COLUMN(T_TraitDi[Colonne26]),FALSE)=0,"",TEXT(IFERROR(VLOOKUP(T_Convention[[#This Row],[NumL]],T_TraitDi[#Data],COLUMN(T_TraitDi[Colonne26]),FALSE),""),"[hh]:mm"))</f>
        <v>#N/A</v>
      </c>
      <c r="BB100" s="284" t="str">
        <f>IFERROR(VLOOKUP(T_Convention[[#This Row],[NumL]],T_TraitDi[#Data],COLUMN(T_TraitDi[Vendredi]),FALSE),"")</f>
        <v/>
      </c>
      <c r="BC100" s="284" t="e">
        <f>IF(VLOOKUP(T_Convention[[#This Row],[NumL]],T_TraitDi[#Data],COLUMN(T_TraitDi[Colonne27]),FALSE)=0,"",TEXT(IFERROR(VLOOKUP(T_Convention[[#This Row],[NumL]],T_TraitDi[#Data],COLUMN(T_TraitDi[Colonne27]),FALSE),""),"[hh]:mm"))</f>
        <v>#N/A</v>
      </c>
      <c r="BD100" s="284" t="e">
        <f>IF(VLOOKUP(T_Convention[[#This Row],[NumL]],T_TraitDi[#Data],COLUMN(T_TraitDi[Colonne28]),FALSE)=0,"",TEXT(IFERROR(VLOOKUP(T_Convention[[#This Row],[NumL]],T_TraitDi[#Data],COLUMN(T_TraitDi[Colonne28]),FALSE),""),"[hh]:mm"))</f>
        <v>#N/A</v>
      </c>
      <c r="BE100" s="284" t="str">
        <f>IFERROR(VLOOKUP(T_Convention[[#This Row],[NumL]],T_TraitDi[#Data],COLUMN(T_TraitDi[Colonne29]),FALSE),"")</f>
        <v/>
      </c>
      <c r="BF100" s="284" t="e">
        <f>IF(VLOOKUP(T_Convention[[#This Row],[NumL]],T_TraitDi[#Data],COLUMN(T_TraitDi[Colonne30]),FALSE)=0,"",TEXT(IFERROR(VLOOKUP(T_Convention[[#This Row],[NumL]],T_TraitDi[#Data],COLUMN(T_TraitDi[Colonne30]),FALSE),""),"[hh]:mm"))</f>
        <v>#N/A</v>
      </c>
      <c r="BG100" s="284" t="e">
        <f>IF(VLOOKUP(T_Convention[[#This Row],[NumL]],T_TraitDi[#Data],COLUMN(T_TraitDi[Colonne31]),FALSE)=0,"",TEXT(IFERROR(VLOOKUP(T_Convention[[#This Row],[NumL]],T_TraitDi[#Data],COLUMN(T_TraitDi[Colonne31]),FALSE),""),"[hh]:mm"))</f>
        <v>#N/A</v>
      </c>
      <c r="BH100" s="284" t="e">
        <f>IF(VLOOKUP(T_Convention[[#This Row],[NumL]],T_TraitDi[#Data],COLUMN(T_TraitDi[Colonne32]),FALSE)=0,"",TEXT(IFERROR(VLOOKUP(T_Convention[[#This Row],[NumL]],T_TraitDi[#Data],COLUMN(T_TraitDi[Colonne32]),FALSE),""),"[hh]:mm"))</f>
        <v>#N/A</v>
      </c>
      <c r="BI100" s="284" t="str">
        <f>IFERROR(VLOOKUP(T_Convention[[#This Row],[NumL]],T_TraitDi[#Data],COLUMN(T_TraitDi[NbJTW]),FALSE),"")</f>
        <v/>
      </c>
      <c r="BJ100" s="284" t="e">
        <f>IF(VLOOKUP(T_Convention[[#This Row],[NumL]],T_TraitDi[#Data],COLUMN(T_TraitDi[NbhTW]),FALSE)=0,"",TEXT(IFERROR(VLOOKUP(T_Convention[[#This Row],[NumL]],T_TraitDi[#Data],COLUMN(T_TraitDi[NbhTW]),FALSE),""),"[hh]:mm"))</f>
        <v>#N/A</v>
      </c>
      <c r="BK100" s="286" t="e">
        <f>IF(VLOOKUP(T_Convention[[#This Row],[NumL]],T_TraitDi[#Data],COLUMN(T_TraitDi[Nbhheb]),FALSE)=0,"",TEXT(IFERROR(VLOOKUP(T_Convention[[#This Row],[NumL]],T_TraitDi[#Data],COLUMN(T_TraitDi[Nbhheb]),FALSE),""),"[hh]:mm"))</f>
        <v>#N/A</v>
      </c>
      <c r="BL100" s="287" t="str">
        <f>IFERROR(VLOOKUP(VLOOKUP(T_Convention[[#This Row],[NumL]],T_TraitDi[#Data],COLUMN(T_TraitDi[Type1]),FALSE),TypeTW,2,FALSE),"")</f>
        <v/>
      </c>
      <c r="BM100" s="288" t="str">
        <f>IFERROR(VLOOKUP(T_Convention[[#This Row],[NumL]],T_TraitDi[#Data],COLUMN(T_TraitDi[Rue1]),FALSE),"")</f>
        <v/>
      </c>
      <c r="BN100" s="289" t="str">
        <f>IFERROR(VLOOKUP(T_Convention[[#This Row],[NumL]],T_TraitDi[#Data],COLUMN(T_TraitDi[CP1]),FALSE),"")</f>
        <v/>
      </c>
      <c r="BO100" s="282" t="str">
        <f>IFERROR(VLOOKUP(T_Convention[[#This Row],[NumL]],T_TraitDi[#Data],COLUMN(T_TraitDi[VILLE1]),FALSE),"")</f>
        <v/>
      </c>
      <c r="BP100" s="290" t="str">
        <f>IFERROR(VLOOKUP(VLOOKUP(T_Convention[[#This Row],[NumL]],T_TraitDi[#Data],COLUMN(T_TraitDi[Type2]),FALSE),TypeTW,2,FALSE),"")</f>
        <v/>
      </c>
      <c r="BQ100" s="182" t="str">
        <f>IFERROR(VLOOKUP(T_Convention[[#This Row],[NumL]],T_TraitDi[#Data],COLUMN(T_TraitDi[Rue2]),FALSE),"")</f>
        <v/>
      </c>
      <c r="BR100" s="173" t="str">
        <f>IFERROR(VLOOKUP(T_Convention[[#This Row],[NumL]],T_TraitDi[#Data],COLUMN(T_TraitDi[CP2]),FALSE),"")</f>
        <v/>
      </c>
      <c r="BS100" s="173" t="str">
        <f>IFERROR(VLOOKUP(T_Convention[[#This Row],[NumL]],T_TraitDi[#Data],COLUMN(T_TraitDi[VILLE2]),FALSE),"")</f>
        <v/>
      </c>
      <c r="BT100" s="182" t="str">
        <f>IF(VLOOKUP(T_Convention[[#This Row],[NumL]],T_Equipement[#Data],COLUMN(T_Equipement[PC]),FALSE)="","Aucun équipement spécifique directement lié au télétravail",VLOOKUP(T_Convention[[#This Row],[NumL]],T_Equipement[#Data],COLUMN(T_Equipement[PC]),FALSE))</f>
        <v xml:space="preserve">19-591	</v>
      </c>
      <c r="BU100" s="166" t="str">
        <f>IFERROR(IF(VLOOKUP(T_Convention[[#This Row],[NumL]],T_TraitDi[#Data],COLUMN(T_TraitDi[Plan]),FALSE)="OK","Un planning spécifique de télétravail est annexé à la présente convention.",""),"")</f>
        <v/>
      </c>
      <c r="BV100" s="185" t="s">
        <v>3412</v>
      </c>
      <c r="BW100" s="164" t="e">
        <f>IF(VLOOKUP(T_Convention[[#This Row],[NumL]],T_suiviDi[#Data],COLUMN(T_suiviDi[Entité]),FALSE)="","",VLOOKUP(T_Convention[[#This Row],[NumL]],T_suiviDi[#Data],COLUMN(T_suiviDi[Entité]),FALSE))</f>
        <v>#N/A</v>
      </c>
      <c r="BX100" s="164" t="str">
        <f>IF(VLOOKUP(T_Convention[[#This Row],[NumL]],T_Commission[#Data],COLUMN(T_Commission[envoi confirm TW]),FALSE)="","",VLOOKUP(T_Convention[[#This Row],[NumL]],T_Commission[#Data],COLUMN(T_Commission[envoi confirm TW]),FALSE))</f>
        <v>Oui</v>
      </c>
      <c r="BY10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0" s="264">
        <f>VLOOKUP(T_Convention[[#This Row],[NumL]],T_Commission[#Data],COLUMN(T_Commission[Commentaire]),FALSE)</f>
        <v>0</v>
      </c>
      <c r="CA100" s="254" t="str">
        <f>IF(VLOOKUP(T_Convention[[#This Row],[NumL]],T_Commission[#Data],COLUMN(T_Commission[Encadrant Email]),FALSE)="","",VLOOKUP(T_Convention[[#This Row],[NumL]],T_Commission[#Data],COLUMN(T_Commission[Encadrant Email]),FALSE))</f>
        <v/>
      </c>
      <c r="CB100" s="352" t="e">
        <f>VLOOKUP(T_Convention[[#This Row],[NumL]],T_TraitDi[#Data],COLUMN(T_TraitDi[NbJTot]),FALSE)</f>
        <v>#N/A</v>
      </c>
      <c r="CC100" s="352" t="e">
        <f>VLOOKUP(T_Convention[[#This Row],[NumL]],T_TraitDi[#Data],COLUMN(T_TraitDi[Reg Ponct]),FALSE)</f>
        <v>#N/A</v>
      </c>
      <c r="CD100" s="348" t="str">
        <f>IF(T_Convention[[#This Row],[Final]]&lt;&gt;"",VLOOKUP(T_Convention[[#This Row],[NumL]],T_suiviDi[#Data],COLUMN((T_suiviDi[Statut])),FALSE),"")</f>
        <v/>
      </c>
    </row>
    <row r="101" spans="1:82" s="106" customFormat="1" ht="18.75" customHeight="1" x14ac:dyDescent="0.25">
      <c r="A101" s="160">
        <v>218</v>
      </c>
      <c r="B101" s="161" t="str">
        <f>VLOOKUP(T_Convention[[#This Row],[NumL]],T_Commission[#Data],COLUMN(T_Commission[FINAL]),FALSE)</f>
        <v/>
      </c>
      <c r="C101" s="162"/>
      <c r="D101" s="95" t="e">
        <f>IF(VLOOKUP(T_Convention[[#This Row],[NumL]],T_TraitDi[#Data],COLUMN(T_TraitDi[WebC]),FALSE)="","",VLOOKUP(T_Convention[[#This Row],[NumL]],T_TraitDi[#Data],COLUMN(T_TraitDi[WebC]),FALSE))</f>
        <v>#N/A</v>
      </c>
      <c r="E101" s="163" t="str">
        <f t="shared" si="5"/>
        <v>12 janvier 2021</v>
      </c>
      <c r="F101" s="282" t="str">
        <f>IF(T_Convention[[#This Row],[Final]]&lt;&gt;"",VLOOKUP(T_Convention[[#This Row],[NumL]],T_suiviDi[#Data],COLUMN((T_suiviDi[Civ.])),FALSE),"")</f>
        <v/>
      </c>
      <c r="G101" s="283" t="str">
        <f>IF(T_Convention[[#This Row],[Final]]&lt;&gt;"",VLOOKUP(T_Convention[[#This Row],[NumL]],T_suiviDi[#Data],COLUMN((T_suiviDi[Nom])),FALSE),"")</f>
        <v/>
      </c>
      <c r="H101" s="282" t="str">
        <f>IF(T_Convention[[#This Row],[Final]]&lt;&gt;"",VLOOKUP(T_Convention[[#This Row],[NumL]],T_suiviDi[#Data],COLUMN((T_suiviDi[Prénom])),FALSE),"")</f>
        <v/>
      </c>
      <c r="I101" s="282" t="e">
        <f>VLOOKUP(T_Convention[[#This Row],[NumL]],T_suiviDi[#Data],COLUMN((T_suiviDi[[#This Row],[Email]])),FALSE)</f>
        <v>#VALUE!</v>
      </c>
      <c r="J101" s="282" t="e">
        <f>IF(VLOOKUP(T_Convention[[#This Row],[NumL]],T_suiviDi[#Data],COLUMN(T_suiviDi[[#This Row],[Fonction]]),FALSE)="","",VLOOKUP(T_Convention[[#This Row],[NumL]],T_suiviDi[#Data],COLUMN(T_suiviDi[[#This Row],[Fonction]]),FALSE))</f>
        <v>#VALUE!</v>
      </c>
      <c r="K101" s="282" t="e">
        <f>IF(VLOOKUP(T_Convention[[#This Row],[NumL]],T_suiviDi[#Data],COLUMN(T_suiviDi[[#This Row],[Grade]]),FALSE)="","",VLOOKUP(T_Convention[[#This Row],[NumL]],T_suiviDi[#Data],COLUMN(T_suiviDi[[#This Row],[Grade]]),FALSE))</f>
        <v>#VALUE!</v>
      </c>
      <c r="L101" s="282" t="e">
        <f>IF(VLOOKUP(T_Convention[[#This Row],[NumL]],T_suiviDi[#Data],COLUMN(T_suiviDi[[#This Row],[Service ]]),FALSE)="","",VLOOKUP(T_Convention[[#This Row],[NumL]],T_suiviDi[#Data],COLUMN(T_suiviDi[[#This Row],[Service ]]),FALSE))</f>
        <v>#VALUE!</v>
      </c>
      <c r="M101" s="164" t="str">
        <f t="shared" si="6"/>
        <v>01 septembre 2021</v>
      </c>
      <c r="N101" s="164" t="str">
        <f t="shared" si="7"/>
        <v>30 novembre 2021</v>
      </c>
      <c r="O101" s="284" t="str">
        <f t="shared" si="8"/>
        <v>30 novembre 2021</v>
      </c>
      <c r="P101" s="282" t="e">
        <f>IF(VLOOKUP(T_Convention[[#This Row],[NumL]],T_TraitDi[#Data],COLUMN(T_TraitDi[M1]),FALSE)="","",VLOOKUP(T_Convention[[#This Row],[NumL]],T_TraitDi[#Data],COLUMN(T_TraitDi[M1]),FALSE))</f>
        <v>#N/A</v>
      </c>
      <c r="Q101" s="282" t="e">
        <f>IF(VLOOKUP(T_Convention[[#This Row],[NumL]],T_TraitDi[#Data],COLUMN(T_TraitDi[M2]),FALSE)="","",VLOOKUP(T_Convention[[#This Row],[NumL]],T_TraitDi[#Data],COLUMN(T_TraitDi[M2]),FALSE))</f>
        <v>#N/A</v>
      </c>
      <c r="R101" s="282" t="e">
        <f>IF(VLOOKUP(T_Convention[[#This Row],[NumL]],T_TraitDi[#Data],COLUMN(T_TraitDi[M3]),FALSE)="","",VLOOKUP(T_Convention[[#This Row],[NumL]],T_TraitDi[#Data],COLUMN(T_TraitDi[M3]),FALSE))</f>
        <v>#N/A</v>
      </c>
      <c r="S101" s="282" t="e">
        <f>IF(VLOOKUP(T_Convention[[#This Row],[NumL]],T_TraitDi[#Data],COLUMN(T_TraitDi[M4]),FALSE)="","",VLOOKUP(T_Convention[[#This Row],[NumL]],T_TraitDi[#Data],COLUMN(T_TraitDi[M4]),FALSE))</f>
        <v>#N/A</v>
      </c>
      <c r="T101" s="282" t="e">
        <f>IF(VLOOKUP(T_Convention[[#This Row],[NumL]],T_TraitDi[#Data],COLUMN(T_TraitDi[M5]),FALSE)="","",VLOOKUP(T_Convention[[#This Row],[NumL]],T_TraitDi[#Data],COLUMN(T_TraitDi[M5]),FALSE))</f>
        <v>#N/A</v>
      </c>
      <c r="U101" s="282" t="e">
        <f>IF(VLOOKUP(T_Convention[[#This Row],[NumL]],T_TraitDi[#Data],COLUMN(T_TraitDi[M6]),FALSE)="","",VLOOKUP(T_Convention[[#This Row],[NumL]],T_TraitDi[#Data],COLUMN(T_TraitDi[M6]),FALSE))</f>
        <v>#N/A</v>
      </c>
      <c r="V101" s="176" t="e">
        <f t="shared" si="9"/>
        <v>#N/A</v>
      </c>
      <c r="W101" s="284" t="str">
        <f>IFERROR(TEXT(VLOOKUP(T_Convention[[#This Row],[NumL]],T_TraitDi[#Data],COLUMN(T_TraitDi[Q2]),FALSE),"###%"),"")</f>
        <v/>
      </c>
      <c r="X101" s="97" t="e">
        <f>VLOOKUP(T_Convention[[#This Row],[NumL]],T_TraitDi[#Data],COLUMN(T_TraitDi[Reg Ponct]),FALSE)</f>
        <v>#N/A</v>
      </c>
      <c r="Y101" s="97" t="e">
        <f>VLOOKUP(T_Convention[NumL],T_TraitDi[#Data],COLUMN(T_TraitDi[Jours flottants]),FALSE)</f>
        <v>#N/A</v>
      </c>
      <c r="Z101" s="284" t="str">
        <f>IFERROR(VLOOKUP(T_Convention[[#This Row],[NumL]],T_TraitDi[#Data],COLUMN(T_TraitDi[Lundi]),FALSE),"")</f>
        <v/>
      </c>
      <c r="AA101" s="284" t="e">
        <f>IF(VLOOKUP(T_Convention[[#This Row],[NumL]],T_TraitDi[#Data],COLUMN(T_TraitDi[Colonne3]),FALSE)=0,"",TEXT(IFERROR(VLOOKUP(T_Convention[[#This Row],[NumL]],T_TraitDi[#Data],COLUMN(T_TraitDi[Colonne3]),FALSE),""),"[hh]:mm"))</f>
        <v>#N/A</v>
      </c>
      <c r="AB101" s="284" t="e">
        <f>IF(VLOOKUP(T_Convention[[#This Row],[NumL]],T_TraitDi[#Data],COLUMN(T_TraitDi[Colonne4]),FALSE)=0,"",TEXT(IFERROR(VLOOKUP(T_Convention[[#This Row],[NumL]],T_TraitDi[#Data],COLUMN(T_TraitDi[Colonne4]),FALSE),""),"[hh]:mm"))</f>
        <v>#N/A</v>
      </c>
      <c r="AC101" s="284" t="e">
        <f>IF(VLOOKUP(T_Convention[[#This Row],[NumL]],T_TraitDi[#Data],COLUMN(T_TraitDi[Colonne5]),FALSE)=0,"",TEXT(IFERROR(VLOOKUP(T_Convention[[#This Row],[NumL]],T_TraitDi[#Data],COLUMN(T_TraitDi[Colonne5]),FALSE),""),"[hh]:mm"))</f>
        <v>#N/A</v>
      </c>
      <c r="AD101" s="284" t="e">
        <f>IF(VLOOKUP(T_Convention[[#This Row],[NumL]],T_TraitDi[#Data],COLUMN(T_TraitDi[Colonne6]),FALSE)=0,"",TEXT(IFERROR(VLOOKUP(T_Convention[[#This Row],[NumL]],T_TraitDi[#Data],COLUMN(T_TraitDi[Colonne6]),FALSE),""),"[hh]:mm"))</f>
        <v>#N/A</v>
      </c>
      <c r="AE101" s="284" t="e">
        <f>IF(VLOOKUP(T_Convention[[#This Row],[NumL]],T_TraitDi[#Data],COLUMN(T_TraitDi[Colonne7]),FALSE)=0,"",TEXT(IFERROR(VLOOKUP(T_Convention[[#This Row],[NumL]],T_TraitDi[#Data],COLUMN(T_TraitDi[Colonne7]),FALSE),""),"[hh]:mm"))</f>
        <v>#N/A</v>
      </c>
      <c r="AF101" s="284" t="e">
        <f>IF(VLOOKUP(T_Convention[[#This Row],[NumL]],T_TraitDi[#Data],COLUMN(T_TraitDi[Colonne8]),FALSE)=0,"",TEXT(IFERROR(VLOOKUP(T_Convention[[#This Row],[NumL]],T_TraitDi[#Data],COLUMN(T_TraitDi[Colonne8]),FALSE),""),"[hh]:mm"))</f>
        <v>#N/A</v>
      </c>
      <c r="AG101" s="284" t="str">
        <f>IFERROR(VLOOKUP(T_Convention[[#This Row],[NumL]],T_TraitDi[#Data],COLUMN(T_TraitDi[Mardi]),FALSE),"")</f>
        <v/>
      </c>
      <c r="AH101" s="284" t="e">
        <f>IF(VLOOKUP(T_Convention[[#This Row],[NumL]],T_TraitDi[#Data],COLUMN(T_TraitDi[Colonne1]),FALSE)=0,"",TEXT(IFERROR(VLOOKUP(T_Convention[[#This Row],[NumL]],T_TraitDi[#Data],COLUMN(T_TraitDi[Colonne1]),FALSE),""),"[hh]:mm"))</f>
        <v>#N/A</v>
      </c>
      <c r="AI101" s="284" t="e">
        <f>IF(VLOOKUP(T_Convention[[#This Row],[NumL]],T_TraitDi[#Data],COLUMN(T_TraitDi[Colonne9]),FALSE)=0,"",TEXT(IFERROR(VLOOKUP(T_Convention[[#This Row],[NumL]],T_TraitDi[#Data],COLUMN(T_TraitDi[Colonne9]),FALSE),""),"[hh]:mm"))</f>
        <v>#N/A</v>
      </c>
      <c r="AJ101" s="284" t="str">
        <f>IFERROR(VLOOKUP(T_Convention[[#This Row],[NumL]],T_TraitDi[#Data],COLUMN(T_TraitDi[Colonne10]),FALSE),"")</f>
        <v/>
      </c>
      <c r="AK101" s="284" t="e">
        <f>IF(VLOOKUP(T_Convention[[#This Row],[NumL]],T_TraitDi[#Data],COLUMN(T_TraitDi[Colonne11]),FALSE)=0,"",TEXT(IFERROR(VLOOKUP(T_Convention[[#This Row],[NumL]],T_TraitDi[#Data],COLUMN(T_TraitDi[Colonne11]),FALSE),""),"[hh]:mm"))</f>
        <v>#N/A</v>
      </c>
      <c r="AL101" s="284" t="e">
        <f>IF(VLOOKUP(T_Convention[[#This Row],[NumL]],T_TraitDi[#Data],COLUMN(T_TraitDi[Colonne12]),FALSE)=0,"",TEXT(IFERROR(VLOOKUP(T_Convention[[#This Row],[NumL]],T_TraitDi[#Data],COLUMN(T_TraitDi[Colonne12]),FALSE),""),"[hh]:mm"))</f>
        <v>#N/A</v>
      </c>
      <c r="AM101" s="284" t="e">
        <f>IF(VLOOKUP(T_Convention[[#This Row],[NumL]],T_TraitDi[#Data],COLUMN(T_TraitDi[Colonne14]),FALSE)=0,"",TEXT(IFERROR(VLOOKUP(T_Convention[[#This Row],[NumL]],T_TraitDi[#Data],COLUMN(T_TraitDi[Colonne14]),FALSE),""),"[hh]:mm"))</f>
        <v>#N/A</v>
      </c>
      <c r="AN101" s="284" t="str">
        <f>IFERROR(VLOOKUP(T_Convention[[#This Row],[NumL]],T_TraitDi[#Data],COLUMN(T_TraitDi[Mercredi]),FALSE),"")</f>
        <v/>
      </c>
      <c r="AO101" s="284" t="e">
        <f>IF(VLOOKUP(T_Convention[[#This Row],[NumL]],T_TraitDi[#Data],COLUMN(T_TraitDi[Colonne15]),FALSE)=0,"",TEXT(IFERROR(VLOOKUP(T_Convention[[#This Row],[NumL]],T_TraitDi[#Data],COLUMN(T_TraitDi[Colonne15]),FALSE),""),"[hh]:mm"))</f>
        <v>#N/A</v>
      </c>
      <c r="AP101" s="284" t="e">
        <f>IF(VLOOKUP(T_Convention[[#This Row],[NumL]],T_TraitDi[#Data],COLUMN(T_TraitDi[Colonne16]),FALSE)=0,"",TEXT(IFERROR(VLOOKUP(T_Convention[[#This Row],[NumL]],T_TraitDi[#Data],COLUMN(T_TraitDi[Colonne16]),FALSE),""),"[hh]:mm"))</f>
        <v>#N/A</v>
      </c>
      <c r="AQ101" s="284" t="str">
        <f>IFERROR(VLOOKUP(T_Convention[[#This Row],[NumL]],T_TraitDi[#Data],COLUMN(T_TraitDi[Colonne17]),FALSE),"")</f>
        <v/>
      </c>
      <c r="AR101" s="284" t="e">
        <f>IF(VLOOKUP(T_Convention[[#This Row],[NumL]],T_TraitDi[#Data],COLUMN(T_TraitDi[Colonne18]),FALSE)=0,"",TEXT(IFERROR(VLOOKUP(T_Convention[[#This Row],[NumL]],T_TraitDi[#Data],COLUMN(T_TraitDi[Colonne18]),FALSE),""),"[hh]:mm"))</f>
        <v>#N/A</v>
      </c>
      <c r="AS101" s="284" t="e">
        <f>IF(VLOOKUP(T_Convention[[#This Row],[NumL]],T_TraitDi[#Data],COLUMN(T_TraitDi[Colonne19]),FALSE)=0,"",TEXT(IFERROR(VLOOKUP(T_Convention[[#This Row],[NumL]],T_TraitDi[#Data],COLUMN(T_TraitDi[Colonne19]),FALSE),""),"[hh]:mm"))</f>
        <v>#N/A</v>
      </c>
      <c r="AT101" s="284" t="e">
        <f>IF(VLOOKUP(T_Convention[[#This Row],[NumL]],T_TraitDi[#Data],COLUMN(T_TraitDi[Colonne20]),FALSE)=0,"",TEXT(IFERROR(VLOOKUP(T_Convention[[#This Row],[NumL]],T_TraitDi[#Data],COLUMN(T_TraitDi[Colonne20]),FALSE),""),"[hh]:mm"))</f>
        <v>#N/A</v>
      </c>
      <c r="AU101" s="284" t="str">
        <f>IFERROR(VLOOKUP(T_Convention[[#This Row],[NumL]],T_TraitDi[#Data],COLUMN(T_TraitDi[Jeudi]),FALSE),"")</f>
        <v/>
      </c>
      <c r="AV101" s="284" t="e">
        <f>IF(VLOOKUP(T_Convention[[#This Row],[NumL]],T_TraitDi[#Data],COLUMN(T_TraitDi[Colonne21]),FALSE)=0,"",TEXT(IFERROR(VLOOKUP(T_Convention[[#This Row],[NumL]],T_TraitDi[#Data],COLUMN(T_TraitDi[Colonne21]),FALSE),""),"[hh]:mm"))</f>
        <v>#N/A</v>
      </c>
      <c r="AW101" s="284" t="e">
        <f>IF(VLOOKUP(T_Convention[[#This Row],[NumL]],T_TraitDi[#Data],COLUMN(T_TraitDi[Colonne22]),FALSE)=0,"",TEXT(IFERROR(VLOOKUP(T_Convention[[#This Row],[NumL]],T_TraitDi[#Data],COLUMN(T_TraitDi[Colonne22]),FALSE),""),"[hh]:mm"))</f>
        <v>#N/A</v>
      </c>
      <c r="AX101" s="284" t="str">
        <f>IFERROR(VLOOKUP(T_Convention[[#This Row],[NumL]],T_TraitDi[#Data],COLUMN(T_TraitDi[Colonne23]),FALSE),"")</f>
        <v/>
      </c>
      <c r="AY101" s="284" t="e">
        <f>IF(VLOOKUP(T_Convention[[#This Row],[NumL]],T_TraitDi[#Data],COLUMN(T_TraitDi[Colonne24]),FALSE)=0,"",TEXT(IFERROR(VLOOKUP(T_Convention[[#This Row],[NumL]],T_TraitDi[#Data],COLUMN(T_TraitDi[Colonne24]),FALSE),""),"[hh]:mm"))</f>
        <v>#N/A</v>
      </c>
      <c r="AZ101" s="284" t="e">
        <f>IF(VLOOKUP(T_Convention[[#This Row],[NumL]],T_TraitDi[#Data],COLUMN(T_TraitDi[Colonne25]),FALSE)=0,"",TEXT(IFERROR(VLOOKUP(T_Convention[[#This Row],[NumL]],T_TraitDi[#Data],COLUMN(T_TraitDi[Colonne25]),FALSE),""),"[hh]:mm"))</f>
        <v>#N/A</v>
      </c>
      <c r="BA101" s="284" t="e">
        <f>IF(VLOOKUP(T_Convention[[#This Row],[NumL]],T_TraitDi[#Data],COLUMN(T_TraitDi[Colonne26]),FALSE)=0,"",TEXT(IFERROR(VLOOKUP(T_Convention[[#This Row],[NumL]],T_TraitDi[#Data],COLUMN(T_TraitDi[Colonne26]),FALSE),""),"[hh]:mm"))</f>
        <v>#N/A</v>
      </c>
      <c r="BB101" s="284" t="str">
        <f>IFERROR(VLOOKUP(T_Convention[[#This Row],[NumL]],T_TraitDi[#Data],COLUMN(T_TraitDi[Vendredi]),FALSE),"")</f>
        <v/>
      </c>
      <c r="BC101" s="284" t="e">
        <f>IF(VLOOKUP(T_Convention[[#This Row],[NumL]],T_TraitDi[#Data],COLUMN(T_TraitDi[Colonne27]),FALSE)=0,"",TEXT(IFERROR(VLOOKUP(T_Convention[[#This Row],[NumL]],T_TraitDi[#Data],COLUMN(T_TraitDi[Colonne27]),FALSE),""),"[hh]:mm"))</f>
        <v>#N/A</v>
      </c>
      <c r="BD101" s="284" t="e">
        <f>IF(VLOOKUP(T_Convention[[#This Row],[NumL]],T_TraitDi[#Data],COLUMN(T_TraitDi[Colonne28]),FALSE)=0,"",TEXT(IFERROR(VLOOKUP(T_Convention[[#This Row],[NumL]],T_TraitDi[#Data],COLUMN(T_TraitDi[Colonne28]),FALSE),""),"[hh]:mm"))</f>
        <v>#N/A</v>
      </c>
      <c r="BE101" s="284" t="str">
        <f>IFERROR(VLOOKUP(T_Convention[[#This Row],[NumL]],T_TraitDi[#Data],COLUMN(T_TraitDi[Colonne29]),FALSE),"")</f>
        <v/>
      </c>
      <c r="BF101" s="284" t="e">
        <f>IF(VLOOKUP(T_Convention[[#This Row],[NumL]],T_TraitDi[#Data],COLUMN(T_TraitDi[Colonne30]),FALSE)=0,"",TEXT(IFERROR(VLOOKUP(T_Convention[[#This Row],[NumL]],T_TraitDi[#Data],COLUMN(T_TraitDi[Colonne30]),FALSE),""),"[hh]:mm"))</f>
        <v>#N/A</v>
      </c>
      <c r="BG101" s="284" t="e">
        <f>IF(VLOOKUP(T_Convention[[#This Row],[NumL]],T_TraitDi[#Data],COLUMN(T_TraitDi[Colonne31]),FALSE)=0,"",TEXT(IFERROR(VLOOKUP(T_Convention[[#This Row],[NumL]],T_TraitDi[#Data],COLUMN(T_TraitDi[Colonne31]),FALSE),""),"[hh]:mm"))</f>
        <v>#N/A</v>
      </c>
      <c r="BH101" s="284" t="e">
        <f>IF(VLOOKUP(T_Convention[[#This Row],[NumL]],T_TraitDi[#Data],COLUMN(T_TraitDi[Colonne32]),FALSE)=0,"",TEXT(IFERROR(VLOOKUP(T_Convention[[#This Row],[NumL]],T_TraitDi[#Data],COLUMN(T_TraitDi[Colonne32]),FALSE),""),"[hh]:mm"))</f>
        <v>#N/A</v>
      </c>
      <c r="BI101" s="284" t="str">
        <f>IFERROR(VLOOKUP(T_Convention[[#This Row],[NumL]],T_TraitDi[#Data],COLUMN(T_TraitDi[NbJTW]),FALSE),"")</f>
        <v/>
      </c>
      <c r="BJ101" s="284" t="e">
        <f>IF(VLOOKUP(T_Convention[[#This Row],[NumL]],T_TraitDi[#Data],COLUMN(T_TraitDi[NbhTW]),FALSE)=0,"",TEXT(IFERROR(VLOOKUP(T_Convention[[#This Row],[NumL]],T_TraitDi[#Data],COLUMN(T_TraitDi[NbhTW]),FALSE),""),"[hh]:mm"))</f>
        <v>#N/A</v>
      </c>
      <c r="BK101" s="286" t="e">
        <f>IF(VLOOKUP(T_Convention[[#This Row],[NumL]],T_TraitDi[#Data],COLUMN(T_TraitDi[Nbhheb]),FALSE)=0,"",TEXT(IFERROR(VLOOKUP(T_Convention[[#This Row],[NumL]],T_TraitDi[#Data],COLUMN(T_TraitDi[Nbhheb]),FALSE),""),"[hh]:mm"))</f>
        <v>#N/A</v>
      </c>
      <c r="BL101" s="287" t="str">
        <f>IFERROR(VLOOKUP(VLOOKUP(T_Convention[[#This Row],[NumL]],T_TraitDi[#Data],COLUMN(T_TraitDi[Type1]),FALSE),TypeTW,2,FALSE),"")</f>
        <v/>
      </c>
      <c r="BM101" s="288" t="str">
        <f>IFERROR(VLOOKUP(T_Convention[[#This Row],[NumL]],T_TraitDi[#Data],COLUMN(T_TraitDi[Rue1]),FALSE),"")</f>
        <v/>
      </c>
      <c r="BN101" s="289" t="str">
        <f>IFERROR(VLOOKUP(T_Convention[[#This Row],[NumL]],T_TraitDi[#Data],COLUMN(T_TraitDi[CP1]),FALSE),"")</f>
        <v/>
      </c>
      <c r="BO101" s="282" t="str">
        <f>IFERROR(VLOOKUP(T_Convention[[#This Row],[NumL]],T_TraitDi[#Data],COLUMN(T_TraitDi[VILLE1]),FALSE),"")</f>
        <v/>
      </c>
      <c r="BP101" s="290" t="str">
        <f>IFERROR(VLOOKUP(VLOOKUP(T_Convention[[#This Row],[NumL]],T_TraitDi[#Data],COLUMN(T_TraitDi[Type2]),FALSE),TypeTW,2,FALSE),"")</f>
        <v/>
      </c>
      <c r="BQ101" s="182" t="str">
        <f>IFERROR(VLOOKUP(T_Convention[[#This Row],[NumL]],T_TraitDi[#Data],COLUMN(T_TraitDi[Rue2]),FALSE),"")</f>
        <v/>
      </c>
      <c r="BR101" s="173" t="str">
        <f>IFERROR(VLOOKUP(T_Convention[[#This Row],[NumL]],T_TraitDi[#Data],COLUMN(T_TraitDi[CP2]),FALSE),"")</f>
        <v/>
      </c>
      <c r="BS101" s="173" t="str">
        <f>IFERROR(VLOOKUP(T_Convention[[#This Row],[NumL]],T_TraitDi[#Data],COLUMN(T_TraitDi[VILLE2]),FALSE),"")</f>
        <v/>
      </c>
      <c r="BT101" s="182" t="str">
        <f>IF(VLOOKUP(T_Convention[[#This Row],[NumL]],T_Equipement[#Data],COLUMN(T_Equipement[PC]),FALSE)="","Aucun équipement spécifique directement lié au télétravail",VLOOKUP(T_Convention[[#This Row],[NumL]],T_Equipement[#Data],COLUMN(T_Equipement[PC]),FALSE))</f>
        <v xml:space="preserve">20-650	</v>
      </c>
      <c r="BU101" s="166" t="str">
        <f>IFERROR(IF(VLOOKUP(T_Convention[[#This Row],[NumL]],T_TraitDi[#Data],COLUMN(T_TraitDi[Plan]),FALSE)="OK","Un planning spécifique de télétravail est annexé à la présente convention.",""),"")</f>
        <v/>
      </c>
      <c r="BV101" s="185" t="s">
        <v>3357</v>
      </c>
      <c r="BW101" s="164" t="e">
        <f>IF(VLOOKUP(T_Convention[[#This Row],[NumL]],T_suiviDi[#Data],COLUMN(T_suiviDi[Entité]),FALSE)="","",VLOOKUP(T_Convention[[#This Row],[NumL]],T_suiviDi[#Data],COLUMN(T_suiviDi[Entité]),FALSE))</f>
        <v>#N/A</v>
      </c>
      <c r="BX101" s="164" t="str">
        <f>IF(VLOOKUP(T_Convention[[#This Row],[NumL]],T_Commission[#Data],COLUMN(T_Commission[envoi confirm TW]),FALSE)="","",VLOOKUP(T_Convention[[#This Row],[NumL]],T_Commission[#Data],COLUMN(T_Commission[envoi confirm TW]),FALSE))</f>
        <v>Oui</v>
      </c>
      <c r="BY10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1" s="264">
        <f>VLOOKUP(T_Convention[[#This Row],[NumL]],T_Commission[#Data],COLUMN(T_Commission[Commentaire]),FALSE)</f>
        <v>0</v>
      </c>
      <c r="CA101" s="254" t="str">
        <f>IF(VLOOKUP(T_Convention[[#This Row],[NumL]],T_Commission[#Data],COLUMN(T_Commission[Encadrant Email]),FALSE)="","",VLOOKUP(T_Convention[[#This Row],[NumL]],T_Commission[#Data],COLUMN(T_Commission[Encadrant Email]),FALSE))</f>
        <v/>
      </c>
      <c r="CB101" s="352" t="e">
        <f>VLOOKUP(T_Convention[[#This Row],[NumL]],T_TraitDi[#Data],COLUMN(T_TraitDi[NbJTot]),FALSE)</f>
        <v>#N/A</v>
      </c>
      <c r="CC101" s="352" t="e">
        <f>VLOOKUP(T_Convention[[#This Row],[NumL]],T_TraitDi[#Data],COLUMN(T_TraitDi[Reg Ponct]),FALSE)</f>
        <v>#N/A</v>
      </c>
      <c r="CD101" s="348" t="str">
        <f>IF(T_Convention[[#This Row],[Final]]&lt;&gt;"",VLOOKUP(T_Convention[[#This Row],[NumL]],T_suiviDi[#Data],COLUMN((T_suiviDi[Statut])),FALSE),"")</f>
        <v/>
      </c>
    </row>
    <row r="102" spans="1:82" s="106" customFormat="1" ht="18.75" customHeight="1" x14ac:dyDescent="0.25">
      <c r="A102" s="160">
        <v>83</v>
      </c>
      <c r="B102" s="161" t="str">
        <f>VLOOKUP(T_Convention[[#This Row],[NumL]],T_Commission[#Data],COLUMN(T_Commission[FINAL]),FALSE)</f>
        <v/>
      </c>
      <c r="C102" s="162"/>
      <c r="D102" s="95" t="e">
        <f>IF(VLOOKUP(T_Convention[[#This Row],[NumL]],T_TraitDi[#Data],COLUMN(T_TraitDi[WebC]),FALSE)="","",VLOOKUP(T_Convention[[#This Row],[NumL]],T_TraitDi[#Data],COLUMN(T_TraitDi[WebC]),FALSE))</f>
        <v>#N/A</v>
      </c>
      <c r="E102" s="163" t="str">
        <f t="shared" si="5"/>
        <v>12 janvier 2021</v>
      </c>
      <c r="F102" s="282" t="str">
        <f>IF(T_Convention[[#This Row],[Final]]&lt;&gt;"",VLOOKUP(T_Convention[[#This Row],[NumL]],T_suiviDi[#Data],COLUMN((T_suiviDi[Civ.])),FALSE),"")</f>
        <v/>
      </c>
      <c r="G102" s="283" t="str">
        <f>IF(T_Convention[[#This Row],[Final]]&lt;&gt;"",VLOOKUP(T_Convention[[#This Row],[NumL]],T_suiviDi[#Data],COLUMN((T_suiviDi[Nom])),FALSE),"")</f>
        <v/>
      </c>
      <c r="H102" s="282" t="str">
        <f>IF(T_Convention[[#This Row],[Final]]&lt;&gt;"",VLOOKUP(T_Convention[[#This Row],[NumL]],T_suiviDi[#Data],COLUMN((T_suiviDi[Prénom])),FALSE),"")</f>
        <v/>
      </c>
      <c r="I102" s="282" t="e">
        <f>VLOOKUP(T_Convention[[#This Row],[NumL]],T_suiviDi[#Data],COLUMN((T_suiviDi[[#This Row],[Email]])),FALSE)</f>
        <v>#VALUE!</v>
      </c>
      <c r="J102" s="282" t="e">
        <f>IF(VLOOKUP(T_Convention[[#This Row],[NumL]],T_suiviDi[#Data],COLUMN(T_suiviDi[[#This Row],[Fonction]]),FALSE)="","",VLOOKUP(T_Convention[[#This Row],[NumL]],T_suiviDi[#Data],COLUMN(T_suiviDi[[#This Row],[Fonction]]),FALSE))</f>
        <v>#VALUE!</v>
      </c>
      <c r="K102" s="282" t="e">
        <f>IF(VLOOKUP(T_Convention[[#This Row],[NumL]],T_suiviDi[#Data],COLUMN(T_suiviDi[[#This Row],[Grade]]),FALSE)="","",VLOOKUP(T_Convention[[#This Row],[NumL]],T_suiviDi[#Data],COLUMN(T_suiviDi[[#This Row],[Grade]]),FALSE))</f>
        <v>#VALUE!</v>
      </c>
      <c r="L102" s="282" t="e">
        <f>IF(VLOOKUP(T_Convention[[#This Row],[NumL]],T_suiviDi[#Data],COLUMN(T_suiviDi[[#This Row],[Service ]]),FALSE)="","",VLOOKUP(T_Convention[[#This Row],[NumL]],T_suiviDi[#Data],COLUMN(T_suiviDi[[#This Row],[Service ]]),FALSE))</f>
        <v>#VALUE!</v>
      </c>
      <c r="M102" s="164" t="str">
        <f t="shared" si="6"/>
        <v>01 septembre 2021</v>
      </c>
      <c r="N102" s="164" t="str">
        <f t="shared" si="7"/>
        <v>30 novembre 2021</v>
      </c>
      <c r="O102" s="284" t="str">
        <f t="shared" si="8"/>
        <v>30 novembre 2021</v>
      </c>
      <c r="P102" s="282" t="e">
        <f>IF(VLOOKUP(T_Convention[[#This Row],[NumL]],T_TraitDi[#Data],COLUMN(T_TraitDi[M1]),FALSE)="","",VLOOKUP(T_Convention[[#This Row],[NumL]],T_TraitDi[#Data],COLUMN(T_TraitDi[M1]),FALSE))</f>
        <v>#N/A</v>
      </c>
      <c r="Q102" s="282" t="e">
        <f>IF(VLOOKUP(T_Convention[[#This Row],[NumL]],T_TraitDi[#Data],COLUMN(T_TraitDi[M2]),FALSE)="","",VLOOKUP(T_Convention[[#This Row],[NumL]],T_TraitDi[#Data],COLUMN(T_TraitDi[M2]),FALSE))</f>
        <v>#N/A</v>
      </c>
      <c r="R102" s="282" t="e">
        <f>IF(VLOOKUP(T_Convention[[#This Row],[NumL]],T_TraitDi[#Data],COLUMN(T_TraitDi[M3]),FALSE)="","",VLOOKUP(T_Convention[[#This Row],[NumL]],T_TraitDi[#Data],COLUMN(T_TraitDi[M3]),FALSE))</f>
        <v>#N/A</v>
      </c>
      <c r="S102" s="282" t="e">
        <f>IF(VLOOKUP(T_Convention[[#This Row],[NumL]],T_TraitDi[#Data],COLUMN(T_TraitDi[M4]),FALSE)="","",VLOOKUP(T_Convention[[#This Row],[NumL]],T_TraitDi[#Data],COLUMN(T_TraitDi[M4]),FALSE))</f>
        <v>#N/A</v>
      </c>
      <c r="T102" s="282" t="e">
        <f>IF(VLOOKUP(T_Convention[[#This Row],[NumL]],T_TraitDi[#Data],COLUMN(T_TraitDi[M5]),FALSE)="","",VLOOKUP(T_Convention[[#This Row],[NumL]],T_TraitDi[#Data],COLUMN(T_TraitDi[M5]),FALSE))</f>
        <v>#N/A</v>
      </c>
      <c r="U102" s="282" t="e">
        <f>IF(VLOOKUP(T_Convention[[#This Row],[NumL]],T_TraitDi[#Data],COLUMN(T_TraitDi[M6]),FALSE)="","",VLOOKUP(T_Convention[[#This Row],[NumL]],T_TraitDi[#Data],COLUMN(T_TraitDi[M6]),FALSE))</f>
        <v>#N/A</v>
      </c>
      <c r="V102" s="176" t="e">
        <f t="shared" si="9"/>
        <v>#N/A</v>
      </c>
      <c r="W102" s="284" t="str">
        <f>IFERROR(TEXT(VLOOKUP(T_Convention[[#This Row],[NumL]],T_TraitDi[#Data],COLUMN(T_TraitDi[Q2]),FALSE),"###%"),"")</f>
        <v/>
      </c>
      <c r="X102" s="97" t="e">
        <f>VLOOKUP(T_Convention[[#This Row],[NumL]],T_TraitDi[#Data],COLUMN(T_TraitDi[Reg Ponct]),FALSE)</f>
        <v>#N/A</v>
      </c>
      <c r="Y102" s="97" t="e">
        <f>VLOOKUP(T_Convention[NumL],T_TraitDi[#Data],COLUMN(T_TraitDi[Jours flottants]),FALSE)</f>
        <v>#N/A</v>
      </c>
      <c r="Z102" s="284" t="str">
        <f>IFERROR(VLOOKUP(T_Convention[[#This Row],[NumL]],T_TraitDi[#Data],COLUMN(T_TraitDi[Lundi]),FALSE),"")</f>
        <v/>
      </c>
      <c r="AA102" s="284" t="e">
        <f>IF(VLOOKUP(T_Convention[[#This Row],[NumL]],T_TraitDi[#Data],COLUMN(T_TraitDi[Colonne3]),FALSE)=0,"",TEXT(IFERROR(VLOOKUP(T_Convention[[#This Row],[NumL]],T_TraitDi[#Data],COLUMN(T_TraitDi[Colonne3]),FALSE),""),"[hh]:mm"))</f>
        <v>#N/A</v>
      </c>
      <c r="AB102" s="284" t="e">
        <f>IF(VLOOKUP(T_Convention[[#This Row],[NumL]],T_TraitDi[#Data],COLUMN(T_TraitDi[Colonne4]),FALSE)=0,"",TEXT(IFERROR(VLOOKUP(T_Convention[[#This Row],[NumL]],T_TraitDi[#Data],COLUMN(T_TraitDi[Colonne4]),FALSE),""),"[hh]:mm"))</f>
        <v>#N/A</v>
      </c>
      <c r="AC102" s="284" t="e">
        <f>IF(VLOOKUP(T_Convention[[#This Row],[NumL]],T_TraitDi[#Data],COLUMN(T_TraitDi[Colonne5]),FALSE)=0,"",TEXT(IFERROR(VLOOKUP(T_Convention[[#This Row],[NumL]],T_TraitDi[#Data],COLUMN(T_TraitDi[Colonne5]),FALSE),""),"[hh]:mm"))</f>
        <v>#N/A</v>
      </c>
      <c r="AD102" s="284" t="e">
        <f>IF(VLOOKUP(T_Convention[[#This Row],[NumL]],T_TraitDi[#Data],COLUMN(T_TraitDi[Colonne6]),FALSE)=0,"",TEXT(IFERROR(VLOOKUP(T_Convention[[#This Row],[NumL]],T_TraitDi[#Data],COLUMN(T_TraitDi[Colonne6]),FALSE),""),"[hh]:mm"))</f>
        <v>#N/A</v>
      </c>
      <c r="AE102" s="284" t="e">
        <f>IF(VLOOKUP(T_Convention[[#This Row],[NumL]],T_TraitDi[#Data],COLUMN(T_TraitDi[Colonne7]),FALSE)=0,"",TEXT(IFERROR(VLOOKUP(T_Convention[[#This Row],[NumL]],T_TraitDi[#Data],COLUMN(T_TraitDi[Colonne7]),FALSE),""),"[hh]:mm"))</f>
        <v>#N/A</v>
      </c>
      <c r="AF102" s="284" t="e">
        <f>IF(VLOOKUP(T_Convention[[#This Row],[NumL]],T_TraitDi[#Data],COLUMN(T_TraitDi[Colonne8]),FALSE)=0,"",TEXT(IFERROR(VLOOKUP(T_Convention[[#This Row],[NumL]],T_TraitDi[#Data],COLUMN(T_TraitDi[Colonne8]),FALSE),""),"[hh]:mm"))</f>
        <v>#N/A</v>
      </c>
      <c r="AG102" s="284" t="str">
        <f>IFERROR(VLOOKUP(T_Convention[[#This Row],[NumL]],T_TraitDi[#Data],COLUMN(T_TraitDi[Mardi]),FALSE),"")</f>
        <v/>
      </c>
      <c r="AH102" s="284" t="e">
        <f>IF(VLOOKUP(T_Convention[[#This Row],[NumL]],T_TraitDi[#Data],COLUMN(T_TraitDi[Colonne1]),FALSE)=0,"",TEXT(IFERROR(VLOOKUP(T_Convention[[#This Row],[NumL]],T_TraitDi[#Data],COLUMN(T_TraitDi[Colonne1]),FALSE),""),"[hh]:mm"))</f>
        <v>#N/A</v>
      </c>
      <c r="AI102" s="284" t="e">
        <f>IF(VLOOKUP(T_Convention[[#This Row],[NumL]],T_TraitDi[#Data],COLUMN(T_TraitDi[Colonne9]),FALSE)=0,"",TEXT(IFERROR(VLOOKUP(T_Convention[[#This Row],[NumL]],T_TraitDi[#Data],COLUMN(T_TraitDi[Colonne9]),FALSE),""),"[hh]:mm"))</f>
        <v>#N/A</v>
      </c>
      <c r="AJ102" s="284" t="str">
        <f>IFERROR(VLOOKUP(T_Convention[[#This Row],[NumL]],T_TraitDi[#Data],COLUMN(T_TraitDi[Colonne10]),FALSE),"")</f>
        <v/>
      </c>
      <c r="AK102" s="284" t="e">
        <f>IF(VLOOKUP(T_Convention[[#This Row],[NumL]],T_TraitDi[#Data],COLUMN(T_TraitDi[Colonne11]),FALSE)=0,"",TEXT(IFERROR(VLOOKUP(T_Convention[[#This Row],[NumL]],T_TraitDi[#Data],COLUMN(T_TraitDi[Colonne11]),FALSE),""),"[hh]:mm"))</f>
        <v>#N/A</v>
      </c>
      <c r="AL102" s="284" t="e">
        <f>IF(VLOOKUP(T_Convention[[#This Row],[NumL]],T_TraitDi[#Data],COLUMN(T_TraitDi[Colonne12]),FALSE)=0,"",TEXT(IFERROR(VLOOKUP(T_Convention[[#This Row],[NumL]],T_TraitDi[#Data],COLUMN(T_TraitDi[Colonne12]),FALSE),""),"[hh]:mm"))</f>
        <v>#N/A</v>
      </c>
      <c r="AM102" s="284" t="e">
        <f>IF(VLOOKUP(T_Convention[[#This Row],[NumL]],T_TraitDi[#Data],COLUMN(T_TraitDi[Colonne14]),FALSE)=0,"",TEXT(IFERROR(VLOOKUP(T_Convention[[#This Row],[NumL]],T_TraitDi[#Data],COLUMN(T_TraitDi[Colonne14]),FALSE),""),"[hh]:mm"))</f>
        <v>#N/A</v>
      </c>
      <c r="AN102" s="284" t="str">
        <f>IFERROR(VLOOKUP(T_Convention[[#This Row],[NumL]],T_TraitDi[#Data],COLUMN(T_TraitDi[Mercredi]),FALSE),"")</f>
        <v/>
      </c>
      <c r="AO102" s="284" t="e">
        <f>IF(VLOOKUP(T_Convention[[#This Row],[NumL]],T_TraitDi[#Data],COLUMN(T_TraitDi[Colonne15]),FALSE)=0,"",TEXT(IFERROR(VLOOKUP(T_Convention[[#This Row],[NumL]],T_TraitDi[#Data],COLUMN(T_TraitDi[Colonne15]),FALSE),""),"[hh]:mm"))</f>
        <v>#N/A</v>
      </c>
      <c r="AP102" s="284" t="e">
        <f>IF(VLOOKUP(T_Convention[[#This Row],[NumL]],T_TraitDi[#Data],COLUMN(T_TraitDi[Colonne16]),FALSE)=0,"",TEXT(IFERROR(VLOOKUP(T_Convention[[#This Row],[NumL]],T_TraitDi[#Data],COLUMN(T_TraitDi[Colonne16]),FALSE),""),"[hh]:mm"))</f>
        <v>#N/A</v>
      </c>
      <c r="AQ102" s="284" t="str">
        <f>IFERROR(VLOOKUP(T_Convention[[#This Row],[NumL]],T_TraitDi[#Data],COLUMN(T_TraitDi[Colonne17]),FALSE),"")</f>
        <v/>
      </c>
      <c r="AR102" s="284" t="e">
        <f>IF(VLOOKUP(T_Convention[[#This Row],[NumL]],T_TraitDi[#Data],COLUMN(T_TraitDi[Colonne18]),FALSE)=0,"",TEXT(IFERROR(VLOOKUP(T_Convention[[#This Row],[NumL]],T_TraitDi[#Data],COLUMN(T_TraitDi[Colonne18]),FALSE),""),"[hh]:mm"))</f>
        <v>#N/A</v>
      </c>
      <c r="AS102" s="284" t="e">
        <f>IF(VLOOKUP(T_Convention[[#This Row],[NumL]],T_TraitDi[#Data],COLUMN(T_TraitDi[Colonne19]),FALSE)=0,"",TEXT(IFERROR(VLOOKUP(T_Convention[[#This Row],[NumL]],T_TraitDi[#Data],COLUMN(T_TraitDi[Colonne19]),FALSE),""),"[hh]:mm"))</f>
        <v>#N/A</v>
      </c>
      <c r="AT102" s="284" t="e">
        <f>IF(VLOOKUP(T_Convention[[#This Row],[NumL]],T_TraitDi[#Data],COLUMN(T_TraitDi[Colonne20]),FALSE)=0,"",TEXT(IFERROR(VLOOKUP(T_Convention[[#This Row],[NumL]],T_TraitDi[#Data],COLUMN(T_TraitDi[Colonne20]),FALSE),""),"[hh]:mm"))</f>
        <v>#N/A</v>
      </c>
      <c r="AU102" s="284" t="str">
        <f>IFERROR(VLOOKUP(T_Convention[[#This Row],[NumL]],T_TraitDi[#Data],COLUMN(T_TraitDi[Jeudi]),FALSE),"")</f>
        <v/>
      </c>
      <c r="AV102" s="284" t="e">
        <f>IF(VLOOKUP(T_Convention[[#This Row],[NumL]],T_TraitDi[#Data],COLUMN(T_TraitDi[Colonne21]),FALSE)=0,"",TEXT(IFERROR(VLOOKUP(T_Convention[[#This Row],[NumL]],T_TraitDi[#Data],COLUMN(T_TraitDi[Colonne21]),FALSE),""),"[hh]:mm"))</f>
        <v>#N/A</v>
      </c>
      <c r="AW102" s="284" t="e">
        <f>IF(VLOOKUP(T_Convention[[#This Row],[NumL]],T_TraitDi[#Data],COLUMN(T_TraitDi[Colonne22]),FALSE)=0,"",TEXT(IFERROR(VLOOKUP(T_Convention[[#This Row],[NumL]],T_TraitDi[#Data],COLUMN(T_TraitDi[Colonne22]),FALSE),""),"[hh]:mm"))</f>
        <v>#N/A</v>
      </c>
      <c r="AX102" s="284" t="str">
        <f>IFERROR(VLOOKUP(T_Convention[[#This Row],[NumL]],T_TraitDi[#Data],COLUMN(T_TraitDi[Colonne23]),FALSE),"")</f>
        <v/>
      </c>
      <c r="AY102" s="284" t="e">
        <f>IF(VLOOKUP(T_Convention[[#This Row],[NumL]],T_TraitDi[#Data],COLUMN(T_TraitDi[Colonne24]),FALSE)=0,"",TEXT(IFERROR(VLOOKUP(T_Convention[[#This Row],[NumL]],T_TraitDi[#Data],COLUMN(T_TraitDi[Colonne24]),FALSE),""),"[hh]:mm"))</f>
        <v>#N/A</v>
      </c>
      <c r="AZ102" s="284" t="e">
        <f>IF(VLOOKUP(T_Convention[[#This Row],[NumL]],T_TraitDi[#Data],COLUMN(T_TraitDi[Colonne25]),FALSE)=0,"",TEXT(IFERROR(VLOOKUP(T_Convention[[#This Row],[NumL]],T_TraitDi[#Data],COLUMN(T_TraitDi[Colonne25]),FALSE),""),"[hh]:mm"))</f>
        <v>#N/A</v>
      </c>
      <c r="BA102" s="284" t="e">
        <f>IF(VLOOKUP(T_Convention[[#This Row],[NumL]],T_TraitDi[#Data],COLUMN(T_TraitDi[Colonne26]),FALSE)=0,"",TEXT(IFERROR(VLOOKUP(T_Convention[[#This Row],[NumL]],T_TraitDi[#Data],COLUMN(T_TraitDi[Colonne26]),FALSE),""),"[hh]:mm"))</f>
        <v>#N/A</v>
      </c>
      <c r="BB102" s="284" t="str">
        <f>IFERROR(VLOOKUP(T_Convention[[#This Row],[NumL]],T_TraitDi[#Data],COLUMN(T_TraitDi[Vendredi]),FALSE),"")</f>
        <v/>
      </c>
      <c r="BC102" s="284" t="e">
        <f>IF(VLOOKUP(T_Convention[[#This Row],[NumL]],T_TraitDi[#Data],COLUMN(T_TraitDi[Colonne27]),FALSE)=0,"",TEXT(IFERROR(VLOOKUP(T_Convention[[#This Row],[NumL]],T_TraitDi[#Data],COLUMN(T_TraitDi[Colonne27]),FALSE),""),"[hh]:mm"))</f>
        <v>#N/A</v>
      </c>
      <c r="BD102" s="284" t="e">
        <f>IF(VLOOKUP(T_Convention[[#This Row],[NumL]],T_TraitDi[#Data],COLUMN(T_TraitDi[Colonne28]),FALSE)=0,"",TEXT(IFERROR(VLOOKUP(T_Convention[[#This Row],[NumL]],T_TraitDi[#Data],COLUMN(T_TraitDi[Colonne28]),FALSE),""),"[hh]:mm"))</f>
        <v>#N/A</v>
      </c>
      <c r="BE102" s="284" t="str">
        <f>IFERROR(VLOOKUP(T_Convention[[#This Row],[NumL]],T_TraitDi[#Data],COLUMN(T_TraitDi[Colonne29]),FALSE),"")</f>
        <v/>
      </c>
      <c r="BF102" s="284" t="e">
        <f>IF(VLOOKUP(T_Convention[[#This Row],[NumL]],T_TraitDi[#Data],COLUMN(T_TraitDi[Colonne30]),FALSE)=0,"",TEXT(IFERROR(VLOOKUP(T_Convention[[#This Row],[NumL]],T_TraitDi[#Data],COLUMN(T_TraitDi[Colonne30]),FALSE),""),"[hh]:mm"))</f>
        <v>#N/A</v>
      </c>
      <c r="BG102" s="284" t="e">
        <f>IF(VLOOKUP(T_Convention[[#This Row],[NumL]],T_TraitDi[#Data],COLUMN(T_TraitDi[Colonne31]),FALSE)=0,"",TEXT(IFERROR(VLOOKUP(T_Convention[[#This Row],[NumL]],T_TraitDi[#Data],COLUMN(T_TraitDi[Colonne31]),FALSE),""),"[hh]:mm"))</f>
        <v>#N/A</v>
      </c>
      <c r="BH102" s="284" t="e">
        <f>IF(VLOOKUP(T_Convention[[#This Row],[NumL]],T_TraitDi[#Data],COLUMN(T_TraitDi[Colonne32]),FALSE)=0,"",TEXT(IFERROR(VLOOKUP(T_Convention[[#This Row],[NumL]],T_TraitDi[#Data],COLUMN(T_TraitDi[Colonne32]),FALSE),""),"[hh]:mm"))</f>
        <v>#N/A</v>
      </c>
      <c r="BI102" s="284" t="str">
        <f>IFERROR(VLOOKUP(T_Convention[[#This Row],[NumL]],T_TraitDi[#Data],COLUMN(T_TraitDi[NbJTW]),FALSE),"")</f>
        <v/>
      </c>
      <c r="BJ102" s="284" t="e">
        <f>IF(VLOOKUP(T_Convention[[#This Row],[NumL]],T_TraitDi[#Data],COLUMN(T_TraitDi[NbhTW]),FALSE)=0,"",TEXT(IFERROR(VLOOKUP(T_Convention[[#This Row],[NumL]],T_TraitDi[#Data],COLUMN(T_TraitDi[NbhTW]),FALSE),""),"[hh]:mm"))</f>
        <v>#N/A</v>
      </c>
      <c r="BK102" s="286" t="e">
        <f>IF(VLOOKUP(T_Convention[[#This Row],[NumL]],T_TraitDi[#Data],COLUMN(T_TraitDi[Nbhheb]),FALSE)=0,"",TEXT(IFERROR(VLOOKUP(T_Convention[[#This Row],[NumL]],T_TraitDi[#Data],COLUMN(T_TraitDi[Nbhheb]),FALSE),""),"[hh]:mm"))</f>
        <v>#N/A</v>
      </c>
      <c r="BL102" s="287" t="str">
        <f>IFERROR(VLOOKUP(VLOOKUP(T_Convention[[#This Row],[NumL]],T_TraitDi[#Data],COLUMN(T_TraitDi[Type1]),FALSE),TypeTW,2,FALSE),"")</f>
        <v/>
      </c>
      <c r="BM102" s="288" t="str">
        <f>IFERROR(VLOOKUP(T_Convention[[#This Row],[NumL]],T_TraitDi[#Data],COLUMN(T_TraitDi[Rue1]),FALSE),"")</f>
        <v/>
      </c>
      <c r="BN102" s="289" t="str">
        <f>IFERROR(VLOOKUP(T_Convention[[#This Row],[NumL]],T_TraitDi[#Data],COLUMN(T_TraitDi[CP1]),FALSE),"")</f>
        <v/>
      </c>
      <c r="BO102" s="282" t="str">
        <f>IFERROR(VLOOKUP(T_Convention[[#This Row],[NumL]],T_TraitDi[#Data],COLUMN(T_TraitDi[VILLE1]),FALSE),"")</f>
        <v/>
      </c>
      <c r="BP102" s="290" t="str">
        <f>IFERROR(VLOOKUP(VLOOKUP(T_Convention[[#This Row],[NumL]],T_TraitDi[#Data],COLUMN(T_TraitDi[Type2]),FALSE),TypeTW,2,FALSE),"")</f>
        <v/>
      </c>
      <c r="BQ102" s="182" t="str">
        <f>IFERROR(VLOOKUP(T_Convention[[#This Row],[NumL]],T_TraitDi[#Data],COLUMN(T_TraitDi[Rue2]),FALSE),"")</f>
        <v/>
      </c>
      <c r="BR102" s="173" t="str">
        <f>IFERROR(VLOOKUP(T_Convention[[#This Row],[NumL]],T_TraitDi[#Data],COLUMN(T_TraitDi[CP2]),FALSE),"")</f>
        <v/>
      </c>
      <c r="BS102" s="173" t="str">
        <f>IFERROR(VLOOKUP(T_Convention[[#This Row],[NumL]],T_TraitDi[#Data],COLUMN(T_TraitDi[VILLE2]),FALSE),"")</f>
        <v/>
      </c>
      <c r="BT102" s="182" t="str">
        <f>IF(VLOOKUP(T_Convention[[#This Row],[NumL]],T_Equipement[#Data],COLUMN(T_Equipement[PC]),FALSE)="","Aucun équipement spécifique directement lié au télétravail",VLOOKUP(T_Convention[[#This Row],[NumL]],T_Equipement[#Data],COLUMN(T_Equipement[PC]),FALSE))</f>
        <v>20-125</v>
      </c>
      <c r="BU102" s="166" t="str">
        <f>IFERROR(IF(VLOOKUP(T_Convention[[#This Row],[NumL]],T_TraitDi[#Data],COLUMN(T_TraitDi[Plan]),FALSE)="OK","Un planning spécifique de télétravail est annexé à la présente convention.",""),"")</f>
        <v/>
      </c>
      <c r="BV102" s="185" t="s">
        <v>3313</v>
      </c>
      <c r="BW102" s="164" t="e">
        <f>IF(VLOOKUP(T_Convention[[#This Row],[NumL]],T_suiviDi[#Data],COLUMN(T_suiviDi[Entité]),FALSE)="","",VLOOKUP(T_Convention[[#This Row],[NumL]],T_suiviDi[#Data],COLUMN(T_suiviDi[Entité]),FALSE))</f>
        <v>#N/A</v>
      </c>
      <c r="BX102" s="164" t="str">
        <f>IF(VLOOKUP(T_Convention[[#This Row],[NumL]],T_Commission[#Data],COLUMN(T_Commission[envoi confirm TW]),FALSE)="","",VLOOKUP(T_Convention[[#This Row],[NumL]],T_Commission[#Data],COLUMN(T_Commission[envoi confirm TW]),FALSE))</f>
        <v>Oui</v>
      </c>
      <c r="BY10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2" s="264">
        <f>VLOOKUP(T_Convention[[#This Row],[NumL]],T_Commission[#Data],COLUMN(T_Commission[Commentaire]),FALSE)</f>
        <v>0</v>
      </c>
      <c r="CA102" s="254" t="str">
        <f>IF(VLOOKUP(T_Convention[[#This Row],[NumL]],T_Commission[#Data],COLUMN(T_Commission[Encadrant Email]),FALSE)="","",VLOOKUP(T_Convention[[#This Row],[NumL]],T_Commission[#Data],COLUMN(T_Commission[Encadrant Email]),FALSE))</f>
        <v/>
      </c>
      <c r="CB102" s="352" t="e">
        <f>VLOOKUP(T_Convention[[#This Row],[NumL]],T_TraitDi[#Data],COLUMN(T_TraitDi[NbJTot]),FALSE)</f>
        <v>#N/A</v>
      </c>
      <c r="CC102" s="352" t="e">
        <f>VLOOKUP(T_Convention[[#This Row],[NumL]],T_TraitDi[#Data],COLUMN(T_TraitDi[Reg Ponct]),FALSE)</f>
        <v>#N/A</v>
      </c>
      <c r="CD102" s="348" t="str">
        <f>IF(T_Convention[[#This Row],[Final]]&lt;&gt;"",VLOOKUP(T_Convention[[#This Row],[NumL]],T_suiviDi[#Data],COLUMN((T_suiviDi[Statut])),FALSE),"")</f>
        <v/>
      </c>
    </row>
    <row r="103" spans="1:82" s="106" customFormat="1" ht="18.75" customHeight="1" x14ac:dyDescent="0.25">
      <c r="A103" s="160">
        <v>209</v>
      </c>
      <c r="B103" s="161" t="str">
        <f>VLOOKUP(T_Convention[[#This Row],[NumL]],T_Commission[#Data],COLUMN(T_Commission[FINAL]),FALSE)</f>
        <v/>
      </c>
      <c r="C103" s="162"/>
      <c r="D103" s="95" t="e">
        <f>IF(VLOOKUP(T_Convention[[#This Row],[NumL]],T_TraitDi[#Data],COLUMN(T_TraitDi[WebC]),FALSE)="","",VLOOKUP(T_Convention[[#This Row],[NumL]],T_TraitDi[#Data],COLUMN(T_TraitDi[WebC]),FALSE))</f>
        <v>#N/A</v>
      </c>
      <c r="E103" s="163" t="str">
        <f t="shared" si="5"/>
        <v>12 janvier 2021</v>
      </c>
      <c r="F103" s="282" t="str">
        <f>IF(T_Convention[[#This Row],[Final]]&lt;&gt;"",VLOOKUP(T_Convention[[#This Row],[NumL]],T_suiviDi[#Data],COLUMN((T_suiviDi[Civ.])),FALSE),"")</f>
        <v/>
      </c>
      <c r="G103" s="283" t="str">
        <f>IF(T_Convention[[#This Row],[Final]]&lt;&gt;"",VLOOKUP(T_Convention[[#This Row],[NumL]],T_suiviDi[#Data],COLUMN((T_suiviDi[Nom])),FALSE),"")</f>
        <v/>
      </c>
      <c r="H103" s="282" t="str">
        <f>IF(T_Convention[[#This Row],[Final]]&lt;&gt;"",VLOOKUP(T_Convention[[#This Row],[NumL]],T_suiviDi[#Data],COLUMN((T_suiviDi[Prénom])),FALSE),"")</f>
        <v/>
      </c>
      <c r="I103" s="282" t="e">
        <f>VLOOKUP(T_Convention[[#This Row],[NumL]],T_suiviDi[#Data],COLUMN((T_suiviDi[[#This Row],[Email]])),FALSE)</f>
        <v>#VALUE!</v>
      </c>
      <c r="J103" s="282" t="e">
        <f>IF(VLOOKUP(T_Convention[[#This Row],[NumL]],T_suiviDi[#Data],COLUMN(T_suiviDi[[#This Row],[Fonction]]),FALSE)="","",VLOOKUP(T_Convention[[#This Row],[NumL]],T_suiviDi[#Data],COLUMN(T_suiviDi[[#This Row],[Fonction]]),FALSE))</f>
        <v>#VALUE!</v>
      </c>
      <c r="K103" s="282" t="e">
        <f>IF(VLOOKUP(T_Convention[[#This Row],[NumL]],T_suiviDi[#Data],COLUMN(T_suiviDi[[#This Row],[Grade]]),FALSE)="","",VLOOKUP(T_Convention[[#This Row],[NumL]],T_suiviDi[#Data],COLUMN(T_suiviDi[[#This Row],[Grade]]),FALSE))</f>
        <v>#VALUE!</v>
      </c>
      <c r="L103" s="282" t="e">
        <f>IF(VLOOKUP(T_Convention[[#This Row],[NumL]],T_suiviDi[#Data],COLUMN(T_suiviDi[[#This Row],[Service ]]),FALSE)="","",VLOOKUP(T_Convention[[#This Row],[NumL]],T_suiviDi[#Data],COLUMN(T_suiviDi[[#This Row],[Service ]]),FALSE))</f>
        <v>#VALUE!</v>
      </c>
      <c r="M103" s="164" t="str">
        <f t="shared" si="6"/>
        <v>01 septembre 2021</v>
      </c>
      <c r="N103" s="164" t="str">
        <f t="shared" si="7"/>
        <v>30 novembre 2021</v>
      </c>
      <c r="O103" s="284" t="str">
        <f t="shared" si="8"/>
        <v>30 novembre 2021</v>
      </c>
      <c r="P103" s="282" t="e">
        <f>IF(VLOOKUP(T_Convention[[#This Row],[NumL]],T_TraitDi[#Data],COLUMN(T_TraitDi[M1]),FALSE)="","",VLOOKUP(T_Convention[[#This Row],[NumL]],T_TraitDi[#Data],COLUMN(T_TraitDi[M1]),FALSE))</f>
        <v>#N/A</v>
      </c>
      <c r="Q103" s="282" t="e">
        <f>IF(VLOOKUP(T_Convention[[#This Row],[NumL]],T_TraitDi[#Data],COLUMN(T_TraitDi[M2]),FALSE)="","",VLOOKUP(T_Convention[[#This Row],[NumL]],T_TraitDi[#Data],COLUMN(T_TraitDi[M2]),FALSE))</f>
        <v>#N/A</v>
      </c>
      <c r="R103" s="282" t="e">
        <f>IF(VLOOKUP(T_Convention[[#This Row],[NumL]],T_TraitDi[#Data],COLUMN(T_TraitDi[M3]),FALSE)="","",VLOOKUP(T_Convention[[#This Row],[NumL]],T_TraitDi[#Data],COLUMN(T_TraitDi[M3]),FALSE))</f>
        <v>#N/A</v>
      </c>
      <c r="S103" s="282" t="e">
        <f>IF(VLOOKUP(T_Convention[[#This Row],[NumL]],T_TraitDi[#Data],COLUMN(T_TraitDi[M4]),FALSE)="","",VLOOKUP(T_Convention[[#This Row],[NumL]],T_TraitDi[#Data],COLUMN(T_TraitDi[M4]),FALSE))</f>
        <v>#N/A</v>
      </c>
      <c r="T103" s="282" t="e">
        <f>IF(VLOOKUP(T_Convention[[#This Row],[NumL]],T_TraitDi[#Data],COLUMN(T_TraitDi[M5]),FALSE)="","",VLOOKUP(T_Convention[[#This Row],[NumL]],T_TraitDi[#Data],COLUMN(T_TraitDi[M5]),FALSE))</f>
        <v>#N/A</v>
      </c>
      <c r="U103" s="282" t="e">
        <f>IF(VLOOKUP(T_Convention[[#This Row],[NumL]],T_TraitDi[#Data],COLUMN(T_TraitDi[M6]),FALSE)="","",VLOOKUP(T_Convention[[#This Row],[NumL]],T_TraitDi[#Data],COLUMN(T_TraitDi[M6]),FALSE))</f>
        <v>#N/A</v>
      </c>
      <c r="V103" s="176" t="e">
        <f t="shared" si="9"/>
        <v>#N/A</v>
      </c>
      <c r="W103" s="284" t="str">
        <f>IFERROR(TEXT(VLOOKUP(T_Convention[[#This Row],[NumL]],T_TraitDi[#Data],COLUMN(T_TraitDi[Q2]),FALSE),"###%"),"")</f>
        <v/>
      </c>
      <c r="X103" s="97" t="e">
        <f>VLOOKUP(T_Convention[[#This Row],[NumL]],T_TraitDi[#Data],COLUMN(T_TraitDi[Reg Ponct]),FALSE)</f>
        <v>#N/A</v>
      </c>
      <c r="Y103" s="97" t="e">
        <f>VLOOKUP(T_Convention[NumL],T_TraitDi[#Data],COLUMN(T_TraitDi[Jours flottants]),FALSE)</f>
        <v>#N/A</v>
      </c>
      <c r="Z103" s="284" t="str">
        <f>IFERROR(VLOOKUP(T_Convention[[#This Row],[NumL]],T_TraitDi[#Data],COLUMN(T_TraitDi[Lundi]),FALSE),"")</f>
        <v/>
      </c>
      <c r="AA103" s="284" t="e">
        <f>IF(VLOOKUP(T_Convention[[#This Row],[NumL]],T_TraitDi[#Data],COLUMN(T_TraitDi[Colonne3]),FALSE)=0,"",TEXT(IFERROR(VLOOKUP(T_Convention[[#This Row],[NumL]],T_TraitDi[#Data],COLUMN(T_TraitDi[Colonne3]),FALSE),""),"[hh]:mm"))</f>
        <v>#N/A</v>
      </c>
      <c r="AB103" s="284" t="e">
        <f>IF(VLOOKUP(T_Convention[[#This Row],[NumL]],T_TraitDi[#Data],COLUMN(T_TraitDi[Colonne4]),FALSE)=0,"",TEXT(IFERROR(VLOOKUP(T_Convention[[#This Row],[NumL]],T_TraitDi[#Data],COLUMN(T_TraitDi[Colonne4]),FALSE),""),"[hh]:mm"))</f>
        <v>#N/A</v>
      </c>
      <c r="AC103" s="284" t="e">
        <f>IF(VLOOKUP(T_Convention[[#This Row],[NumL]],T_TraitDi[#Data],COLUMN(T_TraitDi[Colonne5]),FALSE)=0,"",TEXT(IFERROR(VLOOKUP(T_Convention[[#This Row],[NumL]],T_TraitDi[#Data],COLUMN(T_TraitDi[Colonne5]),FALSE),""),"[hh]:mm"))</f>
        <v>#N/A</v>
      </c>
      <c r="AD103" s="284" t="e">
        <f>IF(VLOOKUP(T_Convention[[#This Row],[NumL]],T_TraitDi[#Data],COLUMN(T_TraitDi[Colonne6]),FALSE)=0,"",TEXT(IFERROR(VLOOKUP(T_Convention[[#This Row],[NumL]],T_TraitDi[#Data],COLUMN(T_TraitDi[Colonne6]),FALSE),""),"[hh]:mm"))</f>
        <v>#N/A</v>
      </c>
      <c r="AE103" s="284" t="e">
        <f>IF(VLOOKUP(T_Convention[[#This Row],[NumL]],T_TraitDi[#Data],COLUMN(T_TraitDi[Colonne7]),FALSE)=0,"",TEXT(IFERROR(VLOOKUP(T_Convention[[#This Row],[NumL]],T_TraitDi[#Data],COLUMN(T_TraitDi[Colonne7]),FALSE),""),"[hh]:mm"))</f>
        <v>#N/A</v>
      </c>
      <c r="AF103" s="284" t="e">
        <f>IF(VLOOKUP(T_Convention[[#This Row],[NumL]],T_TraitDi[#Data],COLUMN(T_TraitDi[Colonne8]),FALSE)=0,"",TEXT(IFERROR(VLOOKUP(T_Convention[[#This Row],[NumL]],T_TraitDi[#Data],COLUMN(T_TraitDi[Colonne8]),FALSE),""),"[hh]:mm"))</f>
        <v>#N/A</v>
      </c>
      <c r="AG103" s="284" t="str">
        <f>IFERROR(VLOOKUP(T_Convention[[#This Row],[NumL]],T_TraitDi[#Data],COLUMN(T_TraitDi[Mardi]),FALSE),"")</f>
        <v/>
      </c>
      <c r="AH103" s="284" t="e">
        <f>IF(VLOOKUP(T_Convention[[#This Row],[NumL]],T_TraitDi[#Data],COLUMN(T_TraitDi[Colonne1]),FALSE)=0,"",TEXT(IFERROR(VLOOKUP(T_Convention[[#This Row],[NumL]],T_TraitDi[#Data],COLUMN(T_TraitDi[Colonne1]),FALSE),""),"[hh]:mm"))</f>
        <v>#N/A</v>
      </c>
      <c r="AI103" s="284" t="e">
        <f>IF(VLOOKUP(T_Convention[[#This Row],[NumL]],T_TraitDi[#Data],COLUMN(T_TraitDi[Colonne9]),FALSE)=0,"",TEXT(IFERROR(VLOOKUP(T_Convention[[#This Row],[NumL]],T_TraitDi[#Data],COLUMN(T_TraitDi[Colonne9]),FALSE),""),"[hh]:mm"))</f>
        <v>#N/A</v>
      </c>
      <c r="AJ103" s="284" t="str">
        <f>IFERROR(VLOOKUP(T_Convention[[#This Row],[NumL]],T_TraitDi[#Data],COLUMN(T_TraitDi[Colonne10]),FALSE),"")</f>
        <v/>
      </c>
      <c r="AK103" s="284" t="e">
        <f>IF(VLOOKUP(T_Convention[[#This Row],[NumL]],T_TraitDi[#Data],COLUMN(T_TraitDi[Colonne11]),FALSE)=0,"",TEXT(IFERROR(VLOOKUP(T_Convention[[#This Row],[NumL]],T_TraitDi[#Data],COLUMN(T_TraitDi[Colonne11]),FALSE),""),"[hh]:mm"))</f>
        <v>#N/A</v>
      </c>
      <c r="AL103" s="284" t="e">
        <f>IF(VLOOKUP(T_Convention[[#This Row],[NumL]],T_TraitDi[#Data],COLUMN(T_TraitDi[Colonne12]),FALSE)=0,"",TEXT(IFERROR(VLOOKUP(T_Convention[[#This Row],[NumL]],T_TraitDi[#Data],COLUMN(T_TraitDi[Colonne12]),FALSE),""),"[hh]:mm"))</f>
        <v>#N/A</v>
      </c>
      <c r="AM103" s="284" t="e">
        <f>IF(VLOOKUP(T_Convention[[#This Row],[NumL]],T_TraitDi[#Data],COLUMN(T_TraitDi[Colonne14]),FALSE)=0,"",TEXT(IFERROR(VLOOKUP(T_Convention[[#This Row],[NumL]],T_TraitDi[#Data],COLUMN(T_TraitDi[Colonne14]),FALSE),""),"[hh]:mm"))</f>
        <v>#N/A</v>
      </c>
      <c r="AN103" s="284" t="str">
        <f>IFERROR(VLOOKUP(T_Convention[[#This Row],[NumL]],T_TraitDi[#Data],COLUMN(T_TraitDi[Mercredi]),FALSE),"")</f>
        <v/>
      </c>
      <c r="AO103" s="284" t="e">
        <f>IF(VLOOKUP(T_Convention[[#This Row],[NumL]],T_TraitDi[#Data],COLUMN(T_TraitDi[Colonne15]),FALSE)=0,"",TEXT(IFERROR(VLOOKUP(T_Convention[[#This Row],[NumL]],T_TraitDi[#Data],COLUMN(T_TraitDi[Colonne15]),FALSE),""),"[hh]:mm"))</f>
        <v>#N/A</v>
      </c>
      <c r="AP103" s="284" t="e">
        <f>IF(VLOOKUP(T_Convention[[#This Row],[NumL]],T_TraitDi[#Data],COLUMN(T_TraitDi[Colonne16]),FALSE)=0,"",TEXT(IFERROR(VLOOKUP(T_Convention[[#This Row],[NumL]],T_TraitDi[#Data],COLUMN(T_TraitDi[Colonne16]),FALSE),""),"[hh]:mm"))</f>
        <v>#N/A</v>
      </c>
      <c r="AQ103" s="284" t="str">
        <f>IFERROR(VLOOKUP(T_Convention[[#This Row],[NumL]],T_TraitDi[#Data],COLUMN(T_TraitDi[Colonne17]),FALSE),"")</f>
        <v/>
      </c>
      <c r="AR103" s="284" t="e">
        <f>IF(VLOOKUP(T_Convention[[#This Row],[NumL]],T_TraitDi[#Data],COLUMN(T_TraitDi[Colonne18]),FALSE)=0,"",TEXT(IFERROR(VLOOKUP(T_Convention[[#This Row],[NumL]],T_TraitDi[#Data],COLUMN(T_TraitDi[Colonne18]),FALSE),""),"[hh]:mm"))</f>
        <v>#N/A</v>
      </c>
      <c r="AS103" s="284" t="e">
        <f>IF(VLOOKUP(T_Convention[[#This Row],[NumL]],T_TraitDi[#Data],COLUMN(T_TraitDi[Colonne19]),FALSE)=0,"",TEXT(IFERROR(VLOOKUP(T_Convention[[#This Row],[NumL]],T_TraitDi[#Data],COLUMN(T_TraitDi[Colonne19]),FALSE),""),"[hh]:mm"))</f>
        <v>#N/A</v>
      </c>
      <c r="AT103" s="284" t="e">
        <f>IF(VLOOKUP(T_Convention[[#This Row],[NumL]],T_TraitDi[#Data],COLUMN(T_TraitDi[Colonne20]),FALSE)=0,"",TEXT(IFERROR(VLOOKUP(T_Convention[[#This Row],[NumL]],T_TraitDi[#Data],COLUMN(T_TraitDi[Colonne20]),FALSE),""),"[hh]:mm"))</f>
        <v>#N/A</v>
      </c>
      <c r="AU103" s="284" t="str">
        <f>IFERROR(VLOOKUP(T_Convention[[#This Row],[NumL]],T_TraitDi[#Data],COLUMN(T_TraitDi[Jeudi]),FALSE),"")</f>
        <v/>
      </c>
      <c r="AV103" s="284" t="e">
        <f>IF(VLOOKUP(T_Convention[[#This Row],[NumL]],T_TraitDi[#Data],COLUMN(T_TraitDi[Colonne21]),FALSE)=0,"",TEXT(IFERROR(VLOOKUP(T_Convention[[#This Row],[NumL]],T_TraitDi[#Data],COLUMN(T_TraitDi[Colonne21]),FALSE),""),"[hh]:mm"))</f>
        <v>#N/A</v>
      </c>
      <c r="AW103" s="284" t="e">
        <f>IF(VLOOKUP(T_Convention[[#This Row],[NumL]],T_TraitDi[#Data],COLUMN(T_TraitDi[Colonne22]),FALSE)=0,"",TEXT(IFERROR(VLOOKUP(T_Convention[[#This Row],[NumL]],T_TraitDi[#Data],COLUMN(T_TraitDi[Colonne22]),FALSE),""),"[hh]:mm"))</f>
        <v>#N/A</v>
      </c>
      <c r="AX103" s="284" t="str">
        <f>IFERROR(VLOOKUP(T_Convention[[#This Row],[NumL]],T_TraitDi[#Data],COLUMN(T_TraitDi[Colonne23]),FALSE),"")</f>
        <v/>
      </c>
      <c r="AY103" s="284" t="e">
        <f>IF(VLOOKUP(T_Convention[[#This Row],[NumL]],T_TraitDi[#Data],COLUMN(T_TraitDi[Colonne24]),FALSE)=0,"",TEXT(IFERROR(VLOOKUP(T_Convention[[#This Row],[NumL]],T_TraitDi[#Data],COLUMN(T_TraitDi[Colonne24]),FALSE),""),"[hh]:mm"))</f>
        <v>#N/A</v>
      </c>
      <c r="AZ103" s="284" t="e">
        <f>IF(VLOOKUP(T_Convention[[#This Row],[NumL]],T_TraitDi[#Data],COLUMN(T_TraitDi[Colonne25]),FALSE)=0,"",TEXT(IFERROR(VLOOKUP(T_Convention[[#This Row],[NumL]],T_TraitDi[#Data],COLUMN(T_TraitDi[Colonne25]),FALSE),""),"[hh]:mm"))</f>
        <v>#N/A</v>
      </c>
      <c r="BA103" s="284" t="e">
        <f>IF(VLOOKUP(T_Convention[[#This Row],[NumL]],T_TraitDi[#Data],COLUMN(T_TraitDi[Colonne26]),FALSE)=0,"",TEXT(IFERROR(VLOOKUP(T_Convention[[#This Row],[NumL]],T_TraitDi[#Data],COLUMN(T_TraitDi[Colonne26]),FALSE),""),"[hh]:mm"))</f>
        <v>#N/A</v>
      </c>
      <c r="BB103" s="284" t="str">
        <f>IFERROR(VLOOKUP(T_Convention[[#This Row],[NumL]],T_TraitDi[#Data],COLUMN(T_TraitDi[Vendredi]),FALSE),"")</f>
        <v/>
      </c>
      <c r="BC103" s="284" t="e">
        <f>IF(VLOOKUP(T_Convention[[#This Row],[NumL]],T_TraitDi[#Data],COLUMN(T_TraitDi[Colonne27]),FALSE)=0,"",TEXT(IFERROR(VLOOKUP(T_Convention[[#This Row],[NumL]],T_TraitDi[#Data],COLUMN(T_TraitDi[Colonne27]),FALSE),""),"[hh]:mm"))</f>
        <v>#N/A</v>
      </c>
      <c r="BD103" s="284" t="e">
        <f>IF(VLOOKUP(T_Convention[[#This Row],[NumL]],T_TraitDi[#Data],COLUMN(T_TraitDi[Colonne28]),FALSE)=0,"",TEXT(IFERROR(VLOOKUP(T_Convention[[#This Row],[NumL]],T_TraitDi[#Data],COLUMN(T_TraitDi[Colonne28]),FALSE),""),"[hh]:mm"))</f>
        <v>#N/A</v>
      </c>
      <c r="BE103" s="284" t="str">
        <f>IFERROR(VLOOKUP(T_Convention[[#This Row],[NumL]],T_TraitDi[#Data],COLUMN(T_TraitDi[Colonne29]),FALSE),"")</f>
        <v/>
      </c>
      <c r="BF103" s="284" t="e">
        <f>IF(VLOOKUP(T_Convention[[#This Row],[NumL]],T_TraitDi[#Data],COLUMN(T_TraitDi[Colonne30]),FALSE)=0,"",TEXT(IFERROR(VLOOKUP(T_Convention[[#This Row],[NumL]],T_TraitDi[#Data],COLUMN(T_TraitDi[Colonne30]),FALSE),""),"[hh]:mm"))</f>
        <v>#N/A</v>
      </c>
      <c r="BG103" s="284" t="e">
        <f>IF(VLOOKUP(T_Convention[[#This Row],[NumL]],T_TraitDi[#Data],COLUMN(T_TraitDi[Colonne31]),FALSE)=0,"",TEXT(IFERROR(VLOOKUP(T_Convention[[#This Row],[NumL]],T_TraitDi[#Data],COLUMN(T_TraitDi[Colonne31]),FALSE),""),"[hh]:mm"))</f>
        <v>#N/A</v>
      </c>
      <c r="BH103" s="284" t="e">
        <f>IF(VLOOKUP(T_Convention[[#This Row],[NumL]],T_TraitDi[#Data],COLUMN(T_TraitDi[Colonne32]),FALSE)=0,"",TEXT(IFERROR(VLOOKUP(T_Convention[[#This Row],[NumL]],T_TraitDi[#Data],COLUMN(T_TraitDi[Colonne32]),FALSE),""),"[hh]:mm"))</f>
        <v>#N/A</v>
      </c>
      <c r="BI103" s="284" t="str">
        <f>IFERROR(VLOOKUP(T_Convention[[#This Row],[NumL]],T_TraitDi[#Data],COLUMN(T_TraitDi[NbJTW]),FALSE),"")</f>
        <v/>
      </c>
      <c r="BJ103" s="284" t="e">
        <f>IF(VLOOKUP(T_Convention[[#This Row],[NumL]],T_TraitDi[#Data],COLUMN(T_TraitDi[NbhTW]),FALSE)=0,"",TEXT(IFERROR(VLOOKUP(T_Convention[[#This Row],[NumL]],T_TraitDi[#Data],COLUMN(T_TraitDi[NbhTW]),FALSE),""),"[hh]:mm"))</f>
        <v>#N/A</v>
      </c>
      <c r="BK103" s="286" t="e">
        <f>IF(VLOOKUP(T_Convention[[#This Row],[NumL]],T_TraitDi[#Data],COLUMN(T_TraitDi[Nbhheb]),FALSE)=0,"",TEXT(IFERROR(VLOOKUP(T_Convention[[#This Row],[NumL]],T_TraitDi[#Data],COLUMN(T_TraitDi[Nbhheb]),FALSE),""),"[hh]:mm"))</f>
        <v>#N/A</v>
      </c>
      <c r="BL103" s="287" t="str">
        <f>IFERROR(VLOOKUP(VLOOKUP(T_Convention[[#This Row],[NumL]],T_TraitDi[#Data],COLUMN(T_TraitDi[Type1]),FALSE),TypeTW,2,FALSE),"")</f>
        <v/>
      </c>
      <c r="BM103" s="288" t="str">
        <f>IFERROR(VLOOKUP(T_Convention[[#This Row],[NumL]],T_TraitDi[#Data],COLUMN(T_TraitDi[Rue1]),FALSE),"")</f>
        <v/>
      </c>
      <c r="BN103" s="289" t="str">
        <f>IFERROR(VLOOKUP(T_Convention[[#This Row],[NumL]],T_TraitDi[#Data],COLUMN(T_TraitDi[CP1]),FALSE),"")</f>
        <v/>
      </c>
      <c r="BO103" s="282" t="str">
        <f>IFERROR(VLOOKUP(T_Convention[[#This Row],[NumL]],T_TraitDi[#Data],COLUMN(T_TraitDi[VILLE1]),FALSE),"")</f>
        <v/>
      </c>
      <c r="BP103" s="290" t="str">
        <f>IFERROR(VLOOKUP(VLOOKUP(T_Convention[[#This Row],[NumL]],T_TraitDi[#Data],COLUMN(T_TraitDi[Type2]),FALSE),TypeTW,2,FALSE),"")</f>
        <v/>
      </c>
      <c r="BQ103" s="182" t="str">
        <f>IFERROR(VLOOKUP(T_Convention[[#This Row],[NumL]],T_TraitDi[#Data],COLUMN(T_TraitDi[Rue2]),FALSE),"")</f>
        <v/>
      </c>
      <c r="BR103" s="173" t="str">
        <f>IFERROR(VLOOKUP(T_Convention[[#This Row],[NumL]],T_TraitDi[#Data],COLUMN(T_TraitDi[CP2]),FALSE),"")</f>
        <v/>
      </c>
      <c r="BS103" s="173" t="str">
        <f>IFERROR(VLOOKUP(T_Convention[[#This Row],[NumL]],T_TraitDi[#Data],COLUMN(T_TraitDi[VILLE2]),FALSE),"")</f>
        <v/>
      </c>
      <c r="BT103" s="182" t="str">
        <f>IF(VLOOKUP(T_Convention[[#This Row],[NumL]],T_Equipement[#Data],COLUMN(T_Equipement[PC]),FALSE)="","Aucun équipement spécifique directement lié au télétravail",VLOOKUP(T_Convention[[#This Row],[NumL]],T_Equipement[#Data],COLUMN(T_Equipement[PC]),FALSE))</f>
        <v xml:space="preserve">17-275	</v>
      </c>
      <c r="BU103" s="166" t="str">
        <f>IFERROR(IF(VLOOKUP(T_Convention[[#This Row],[NumL]],T_TraitDi[#Data],COLUMN(T_TraitDi[Plan]),FALSE)="OK","Un planning spécifique de télétravail est annexé à la présente convention.",""),"")</f>
        <v/>
      </c>
      <c r="BV103" s="185" t="s">
        <v>3319</v>
      </c>
      <c r="BW103" s="164" t="e">
        <f>IF(VLOOKUP(T_Convention[[#This Row],[NumL]],T_suiviDi[#Data],COLUMN(T_suiviDi[Entité]),FALSE)="","",VLOOKUP(T_Convention[[#This Row],[NumL]],T_suiviDi[#Data],COLUMN(T_suiviDi[Entité]),FALSE))</f>
        <v>#N/A</v>
      </c>
      <c r="BX103" s="164" t="str">
        <f>IF(VLOOKUP(T_Convention[[#This Row],[NumL]],T_Commission[#Data],COLUMN(T_Commission[envoi confirm TW]),FALSE)="","",VLOOKUP(T_Convention[[#This Row],[NumL]],T_Commission[#Data],COLUMN(T_Commission[envoi confirm TW]),FALSE))</f>
        <v>Oui</v>
      </c>
      <c r="BY10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3" s="264">
        <f>VLOOKUP(T_Convention[[#This Row],[NumL]],T_Commission[#Data],COLUMN(T_Commission[Commentaire]),FALSE)</f>
        <v>0</v>
      </c>
      <c r="CA103" s="254" t="str">
        <f>IF(VLOOKUP(T_Convention[[#This Row],[NumL]],T_Commission[#Data],COLUMN(T_Commission[Encadrant Email]),FALSE)="","",VLOOKUP(T_Convention[[#This Row],[NumL]],T_Commission[#Data],COLUMN(T_Commission[Encadrant Email]),FALSE))</f>
        <v/>
      </c>
      <c r="CB103" s="352" t="e">
        <f>VLOOKUP(T_Convention[[#This Row],[NumL]],T_TraitDi[#Data],COLUMN(T_TraitDi[NbJTot]),FALSE)</f>
        <v>#N/A</v>
      </c>
      <c r="CC103" s="352" t="e">
        <f>VLOOKUP(T_Convention[[#This Row],[NumL]],T_TraitDi[#Data],COLUMN(T_TraitDi[Reg Ponct]),FALSE)</f>
        <v>#N/A</v>
      </c>
      <c r="CD103" s="348" t="str">
        <f>IF(T_Convention[[#This Row],[Final]]&lt;&gt;"",VLOOKUP(T_Convention[[#This Row],[NumL]],T_suiviDi[#Data],COLUMN((T_suiviDi[Statut])),FALSE),"")</f>
        <v/>
      </c>
    </row>
    <row r="104" spans="1:82" s="106" customFormat="1" ht="18.75" customHeight="1" x14ac:dyDescent="0.25">
      <c r="A104" s="160">
        <v>162</v>
      </c>
      <c r="B104" s="161" t="str">
        <f>VLOOKUP(T_Convention[[#This Row],[NumL]],T_Commission[#Data],COLUMN(T_Commission[FINAL]),FALSE)</f>
        <v/>
      </c>
      <c r="C104" s="162"/>
      <c r="D104" s="95" t="e">
        <f>IF(VLOOKUP(T_Convention[[#This Row],[NumL]],T_TraitDi[#Data],COLUMN(T_TraitDi[WebC]),FALSE)="","",VLOOKUP(T_Convention[[#This Row],[NumL]],T_TraitDi[#Data],COLUMN(T_TraitDi[WebC]),FALSE))</f>
        <v>#N/A</v>
      </c>
      <c r="E104" s="163" t="str">
        <f t="shared" si="5"/>
        <v>12 janvier 2021</v>
      </c>
      <c r="F104" s="282" t="str">
        <f>IF(T_Convention[[#This Row],[Final]]&lt;&gt;"",VLOOKUP(T_Convention[[#This Row],[NumL]],T_suiviDi[#Data],COLUMN((T_suiviDi[Civ.])),FALSE),"")</f>
        <v/>
      </c>
      <c r="G104" s="283" t="str">
        <f>IF(T_Convention[[#This Row],[Final]]&lt;&gt;"",VLOOKUP(T_Convention[[#This Row],[NumL]],T_suiviDi[#Data],COLUMN((T_suiviDi[Nom])),FALSE),"")</f>
        <v/>
      </c>
      <c r="H104" s="282" t="str">
        <f>IF(T_Convention[[#This Row],[Final]]&lt;&gt;"",VLOOKUP(T_Convention[[#This Row],[NumL]],T_suiviDi[#Data],COLUMN((T_suiviDi[Prénom])),FALSE),"")</f>
        <v/>
      </c>
      <c r="I104" s="282" t="e">
        <f>VLOOKUP(T_Convention[[#This Row],[NumL]],T_suiviDi[#Data],COLUMN((T_suiviDi[[#This Row],[Email]])),FALSE)</f>
        <v>#VALUE!</v>
      </c>
      <c r="J104" s="282" t="e">
        <f>IF(VLOOKUP(T_Convention[[#This Row],[NumL]],T_suiviDi[#Data],COLUMN(T_suiviDi[[#This Row],[Fonction]]),FALSE)="","",VLOOKUP(T_Convention[[#This Row],[NumL]],T_suiviDi[#Data],COLUMN(T_suiviDi[[#This Row],[Fonction]]),FALSE))</f>
        <v>#VALUE!</v>
      </c>
      <c r="K104" s="282" t="e">
        <f>IF(VLOOKUP(T_Convention[[#This Row],[NumL]],T_suiviDi[#Data],COLUMN(T_suiviDi[[#This Row],[Grade]]),FALSE)="","",VLOOKUP(T_Convention[[#This Row],[NumL]],T_suiviDi[#Data],COLUMN(T_suiviDi[[#This Row],[Grade]]),FALSE))</f>
        <v>#VALUE!</v>
      </c>
      <c r="L104" s="282" t="e">
        <f>IF(VLOOKUP(T_Convention[[#This Row],[NumL]],T_suiviDi[#Data],COLUMN(T_suiviDi[[#This Row],[Service ]]),FALSE)="","",VLOOKUP(T_Convention[[#This Row],[NumL]],T_suiviDi[#Data],COLUMN(T_suiviDi[[#This Row],[Service ]]),FALSE))</f>
        <v>#VALUE!</v>
      </c>
      <c r="M104" s="164" t="str">
        <f t="shared" si="6"/>
        <v>01 septembre 2021</v>
      </c>
      <c r="N104" s="164" t="str">
        <f t="shared" si="7"/>
        <v>30 novembre 2021</v>
      </c>
      <c r="O104" s="284" t="str">
        <f t="shared" si="8"/>
        <v>30 novembre 2021</v>
      </c>
      <c r="P104" s="282" t="e">
        <f>IF(VLOOKUP(T_Convention[[#This Row],[NumL]],T_TraitDi[#Data],COLUMN(T_TraitDi[M1]),FALSE)="","",VLOOKUP(T_Convention[[#This Row],[NumL]],T_TraitDi[#Data],COLUMN(T_TraitDi[M1]),FALSE))</f>
        <v>#N/A</v>
      </c>
      <c r="Q104" s="282" t="e">
        <f>IF(VLOOKUP(T_Convention[[#This Row],[NumL]],T_TraitDi[#Data],COLUMN(T_TraitDi[M2]),FALSE)="","",VLOOKUP(T_Convention[[#This Row],[NumL]],T_TraitDi[#Data],COLUMN(T_TraitDi[M2]),FALSE))</f>
        <v>#N/A</v>
      </c>
      <c r="R104" s="282" t="e">
        <f>IF(VLOOKUP(T_Convention[[#This Row],[NumL]],T_TraitDi[#Data],COLUMN(T_TraitDi[M3]),FALSE)="","",VLOOKUP(T_Convention[[#This Row],[NumL]],T_TraitDi[#Data],COLUMN(T_TraitDi[M3]),FALSE))</f>
        <v>#N/A</v>
      </c>
      <c r="S104" s="282" t="e">
        <f>IF(VLOOKUP(T_Convention[[#This Row],[NumL]],T_TraitDi[#Data],COLUMN(T_TraitDi[M4]),FALSE)="","",VLOOKUP(T_Convention[[#This Row],[NumL]],T_TraitDi[#Data],COLUMN(T_TraitDi[M4]),FALSE))</f>
        <v>#N/A</v>
      </c>
      <c r="T104" s="282" t="e">
        <f>IF(VLOOKUP(T_Convention[[#This Row],[NumL]],T_TraitDi[#Data],COLUMN(T_TraitDi[M5]),FALSE)="","",VLOOKUP(T_Convention[[#This Row],[NumL]],T_TraitDi[#Data],COLUMN(T_TraitDi[M5]),FALSE))</f>
        <v>#N/A</v>
      </c>
      <c r="U104" s="282" t="e">
        <f>IF(VLOOKUP(T_Convention[[#This Row],[NumL]],T_TraitDi[#Data],COLUMN(T_TraitDi[M6]),FALSE)="","",VLOOKUP(T_Convention[[#This Row],[NumL]],T_TraitDi[#Data],COLUMN(T_TraitDi[M6]),FALSE))</f>
        <v>#N/A</v>
      </c>
      <c r="V104" s="176" t="e">
        <f t="shared" si="9"/>
        <v>#N/A</v>
      </c>
      <c r="W104" s="284" t="str">
        <f>IFERROR(TEXT(VLOOKUP(T_Convention[[#This Row],[NumL]],T_TraitDi[#Data],COLUMN(T_TraitDi[Q2]),FALSE),"###%"),"")</f>
        <v/>
      </c>
      <c r="X104" s="97" t="e">
        <f>VLOOKUP(T_Convention[[#This Row],[NumL]],T_TraitDi[#Data],COLUMN(T_TraitDi[Reg Ponct]),FALSE)</f>
        <v>#N/A</v>
      </c>
      <c r="Y104" s="97" t="e">
        <f>VLOOKUP(T_Convention[NumL],T_TraitDi[#Data],COLUMN(T_TraitDi[Jours flottants]),FALSE)</f>
        <v>#N/A</v>
      </c>
      <c r="Z104" s="284" t="str">
        <f>IFERROR(VLOOKUP(T_Convention[[#This Row],[NumL]],T_TraitDi[#Data],COLUMN(T_TraitDi[Lundi]),FALSE),"")</f>
        <v/>
      </c>
      <c r="AA104" s="284" t="e">
        <f>IF(VLOOKUP(T_Convention[[#This Row],[NumL]],T_TraitDi[#Data],COLUMN(T_TraitDi[Colonne3]),FALSE)=0,"",TEXT(IFERROR(VLOOKUP(T_Convention[[#This Row],[NumL]],T_TraitDi[#Data],COLUMN(T_TraitDi[Colonne3]),FALSE),""),"[hh]:mm"))</f>
        <v>#N/A</v>
      </c>
      <c r="AB104" s="284" t="e">
        <f>IF(VLOOKUP(T_Convention[[#This Row],[NumL]],T_TraitDi[#Data],COLUMN(T_TraitDi[Colonne4]),FALSE)=0,"",TEXT(IFERROR(VLOOKUP(T_Convention[[#This Row],[NumL]],T_TraitDi[#Data],COLUMN(T_TraitDi[Colonne4]),FALSE),""),"[hh]:mm"))</f>
        <v>#N/A</v>
      </c>
      <c r="AC104" s="284" t="e">
        <f>IF(VLOOKUP(T_Convention[[#This Row],[NumL]],T_TraitDi[#Data],COLUMN(T_TraitDi[Colonne5]),FALSE)=0,"",TEXT(IFERROR(VLOOKUP(T_Convention[[#This Row],[NumL]],T_TraitDi[#Data],COLUMN(T_TraitDi[Colonne5]),FALSE),""),"[hh]:mm"))</f>
        <v>#N/A</v>
      </c>
      <c r="AD104" s="284" t="e">
        <f>IF(VLOOKUP(T_Convention[[#This Row],[NumL]],T_TraitDi[#Data],COLUMN(T_TraitDi[Colonne6]),FALSE)=0,"",TEXT(IFERROR(VLOOKUP(T_Convention[[#This Row],[NumL]],T_TraitDi[#Data],COLUMN(T_TraitDi[Colonne6]),FALSE),""),"[hh]:mm"))</f>
        <v>#N/A</v>
      </c>
      <c r="AE104" s="284" t="e">
        <f>IF(VLOOKUP(T_Convention[[#This Row],[NumL]],T_TraitDi[#Data],COLUMN(T_TraitDi[Colonne7]),FALSE)=0,"",TEXT(IFERROR(VLOOKUP(T_Convention[[#This Row],[NumL]],T_TraitDi[#Data],COLUMN(T_TraitDi[Colonne7]),FALSE),""),"[hh]:mm"))</f>
        <v>#N/A</v>
      </c>
      <c r="AF104" s="284" t="e">
        <f>IF(VLOOKUP(T_Convention[[#This Row],[NumL]],T_TraitDi[#Data],COLUMN(T_TraitDi[Colonne8]),FALSE)=0,"",TEXT(IFERROR(VLOOKUP(T_Convention[[#This Row],[NumL]],T_TraitDi[#Data],COLUMN(T_TraitDi[Colonne8]),FALSE),""),"[hh]:mm"))</f>
        <v>#N/A</v>
      </c>
      <c r="AG104" s="284" t="str">
        <f>IFERROR(VLOOKUP(T_Convention[[#This Row],[NumL]],T_TraitDi[#Data],COLUMN(T_TraitDi[Mardi]),FALSE),"")</f>
        <v/>
      </c>
      <c r="AH104" s="284" t="e">
        <f>IF(VLOOKUP(T_Convention[[#This Row],[NumL]],T_TraitDi[#Data],COLUMN(T_TraitDi[Colonne1]),FALSE)=0,"",TEXT(IFERROR(VLOOKUP(T_Convention[[#This Row],[NumL]],T_TraitDi[#Data],COLUMN(T_TraitDi[Colonne1]),FALSE),""),"[hh]:mm"))</f>
        <v>#N/A</v>
      </c>
      <c r="AI104" s="284" t="e">
        <f>IF(VLOOKUP(T_Convention[[#This Row],[NumL]],T_TraitDi[#Data],COLUMN(T_TraitDi[Colonne9]),FALSE)=0,"",TEXT(IFERROR(VLOOKUP(T_Convention[[#This Row],[NumL]],T_TraitDi[#Data],COLUMN(T_TraitDi[Colonne9]),FALSE),""),"[hh]:mm"))</f>
        <v>#N/A</v>
      </c>
      <c r="AJ104" s="284" t="str">
        <f>IFERROR(VLOOKUP(T_Convention[[#This Row],[NumL]],T_TraitDi[#Data],COLUMN(T_TraitDi[Colonne10]),FALSE),"")</f>
        <v/>
      </c>
      <c r="AK104" s="284" t="e">
        <f>IF(VLOOKUP(T_Convention[[#This Row],[NumL]],T_TraitDi[#Data],COLUMN(T_TraitDi[Colonne11]),FALSE)=0,"",TEXT(IFERROR(VLOOKUP(T_Convention[[#This Row],[NumL]],T_TraitDi[#Data],COLUMN(T_TraitDi[Colonne11]),FALSE),""),"[hh]:mm"))</f>
        <v>#N/A</v>
      </c>
      <c r="AL104" s="284" t="e">
        <f>IF(VLOOKUP(T_Convention[[#This Row],[NumL]],T_TraitDi[#Data],COLUMN(T_TraitDi[Colonne12]),FALSE)=0,"",TEXT(IFERROR(VLOOKUP(T_Convention[[#This Row],[NumL]],T_TraitDi[#Data],COLUMN(T_TraitDi[Colonne12]),FALSE),""),"[hh]:mm"))</f>
        <v>#N/A</v>
      </c>
      <c r="AM104" s="284" t="e">
        <f>IF(VLOOKUP(T_Convention[[#This Row],[NumL]],T_TraitDi[#Data],COLUMN(T_TraitDi[Colonne14]),FALSE)=0,"",TEXT(IFERROR(VLOOKUP(T_Convention[[#This Row],[NumL]],T_TraitDi[#Data],COLUMN(T_TraitDi[Colonne14]),FALSE),""),"[hh]:mm"))</f>
        <v>#N/A</v>
      </c>
      <c r="AN104" s="284" t="str">
        <f>IFERROR(VLOOKUP(T_Convention[[#This Row],[NumL]],T_TraitDi[#Data],COLUMN(T_TraitDi[Mercredi]),FALSE),"")</f>
        <v/>
      </c>
      <c r="AO104" s="284" t="e">
        <f>IF(VLOOKUP(T_Convention[[#This Row],[NumL]],T_TraitDi[#Data],COLUMN(T_TraitDi[Colonne15]),FALSE)=0,"",TEXT(IFERROR(VLOOKUP(T_Convention[[#This Row],[NumL]],T_TraitDi[#Data],COLUMN(T_TraitDi[Colonne15]),FALSE),""),"[hh]:mm"))</f>
        <v>#N/A</v>
      </c>
      <c r="AP104" s="284" t="e">
        <f>IF(VLOOKUP(T_Convention[[#This Row],[NumL]],T_TraitDi[#Data],COLUMN(T_TraitDi[Colonne16]),FALSE)=0,"",TEXT(IFERROR(VLOOKUP(T_Convention[[#This Row],[NumL]],T_TraitDi[#Data],COLUMN(T_TraitDi[Colonne16]),FALSE),""),"[hh]:mm"))</f>
        <v>#N/A</v>
      </c>
      <c r="AQ104" s="284" t="str">
        <f>IFERROR(VLOOKUP(T_Convention[[#This Row],[NumL]],T_TraitDi[#Data],COLUMN(T_TraitDi[Colonne17]),FALSE),"")</f>
        <v/>
      </c>
      <c r="AR104" s="284" t="e">
        <f>IF(VLOOKUP(T_Convention[[#This Row],[NumL]],T_TraitDi[#Data],COLUMN(T_TraitDi[Colonne18]),FALSE)=0,"",TEXT(IFERROR(VLOOKUP(T_Convention[[#This Row],[NumL]],T_TraitDi[#Data],COLUMN(T_TraitDi[Colonne18]),FALSE),""),"[hh]:mm"))</f>
        <v>#N/A</v>
      </c>
      <c r="AS104" s="284" t="e">
        <f>IF(VLOOKUP(T_Convention[[#This Row],[NumL]],T_TraitDi[#Data],COLUMN(T_TraitDi[Colonne19]),FALSE)=0,"",TEXT(IFERROR(VLOOKUP(T_Convention[[#This Row],[NumL]],T_TraitDi[#Data],COLUMN(T_TraitDi[Colonne19]),FALSE),""),"[hh]:mm"))</f>
        <v>#N/A</v>
      </c>
      <c r="AT104" s="284" t="e">
        <f>IF(VLOOKUP(T_Convention[[#This Row],[NumL]],T_TraitDi[#Data],COLUMN(T_TraitDi[Colonne20]),FALSE)=0,"",TEXT(IFERROR(VLOOKUP(T_Convention[[#This Row],[NumL]],T_TraitDi[#Data],COLUMN(T_TraitDi[Colonne20]),FALSE),""),"[hh]:mm"))</f>
        <v>#N/A</v>
      </c>
      <c r="AU104" s="284" t="str">
        <f>IFERROR(VLOOKUP(T_Convention[[#This Row],[NumL]],T_TraitDi[#Data],COLUMN(T_TraitDi[Jeudi]),FALSE),"")</f>
        <v/>
      </c>
      <c r="AV104" s="284" t="e">
        <f>IF(VLOOKUP(T_Convention[[#This Row],[NumL]],T_TraitDi[#Data],COLUMN(T_TraitDi[Colonne21]),FALSE)=0,"",TEXT(IFERROR(VLOOKUP(T_Convention[[#This Row],[NumL]],T_TraitDi[#Data],COLUMN(T_TraitDi[Colonne21]),FALSE),""),"[hh]:mm"))</f>
        <v>#N/A</v>
      </c>
      <c r="AW104" s="284" t="e">
        <f>IF(VLOOKUP(T_Convention[[#This Row],[NumL]],T_TraitDi[#Data],COLUMN(T_TraitDi[Colonne22]),FALSE)=0,"",TEXT(IFERROR(VLOOKUP(T_Convention[[#This Row],[NumL]],T_TraitDi[#Data],COLUMN(T_TraitDi[Colonne22]),FALSE),""),"[hh]:mm"))</f>
        <v>#N/A</v>
      </c>
      <c r="AX104" s="284" t="str">
        <f>IFERROR(VLOOKUP(T_Convention[[#This Row],[NumL]],T_TraitDi[#Data],COLUMN(T_TraitDi[Colonne23]),FALSE),"")</f>
        <v/>
      </c>
      <c r="AY104" s="284" t="e">
        <f>IF(VLOOKUP(T_Convention[[#This Row],[NumL]],T_TraitDi[#Data],COLUMN(T_TraitDi[Colonne24]),FALSE)=0,"",TEXT(IFERROR(VLOOKUP(T_Convention[[#This Row],[NumL]],T_TraitDi[#Data],COLUMN(T_TraitDi[Colonne24]),FALSE),""),"[hh]:mm"))</f>
        <v>#N/A</v>
      </c>
      <c r="AZ104" s="284" t="e">
        <f>IF(VLOOKUP(T_Convention[[#This Row],[NumL]],T_TraitDi[#Data],COLUMN(T_TraitDi[Colonne25]),FALSE)=0,"",TEXT(IFERROR(VLOOKUP(T_Convention[[#This Row],[NumL]],T_TraitDi[#Data],COLUMN(T_TraitDi[Colonne25]),FALSE),""),"[hh]:mm"))</f>
        <v>#N/A</v>
      </c>
      <c r="BA104" s="284" t="e">
        <f>IF(VLOOKUP(T_Convention[[#This Row],[NumL]],T_TraitDi[#Data],COLUMN(T_TraitDi[Colonne26]),FALSE)=0,"",TEXT(IFERROR(VLOOKUP(T_Convention[[#This Row],[NumL]],T_TraitDi[#Data],COLUMN(T_TraitDi[Colonne26]),FALSE),""),"[hh]:mm"))</f>
        <v>#N/A</v>
      </c>
      <c r="BB104" s="284" t="str">
        <f>IFERROR(VLOOKUP(T_Convention[[#This Row],[NumL]],T_TraitDi[#Data],COLUMN(T_TraitDi[Vendredi]),FALSE),"")</f>
        <v/>
      </c>
      <c r="BC104" s="284" t="e">
        <f>IF(VLOOKUP(T_Convention[[#This Row],[NumL]],T_TraitDi[#Data],COLUMN(T_TraitDi[Colonne27]),FALSE)=0,"",TEXT(IFERROR(VLOOKUP(T_Convention[[#This Row],[NumL]],T_TraitDi[#Data],COLUMN(T_TraitDi[Colonne27]),FALSE),""),"[hh]:mm"))</f>
        <v>#N/A</v>
      </c>
      <c r="BD104" s="284" t="e">
        <f>IF(VLOOKUP(T_Convention[[#This Row],[NumL]],T_TraitDi[#Data],COLUMN(T_TraitDi[Colonne28]),FALSE)=0,"",TEXT(IFERROR(VLOOKUP(T_Convention[[#This Row],[NumL]],T_TraitDi[#Data],COLUMN(T_TraitDi[Colonne28]),FALSE),""),"[hh]:mm"))</f>
        <v>#N/A</v>
      </c>
      <c r="BE104" s="284" t="str">
        <f>IFERROR(VLOOKUP(T_Convention[[#This Row],[NumL]],T_TraitDi[#Data],COLUMN(T_TraitDi[Colonne29]),FALSE),"")</f>
        <v/>
      </c>
      <c r="BF104" s="284" t="e">
        <f>IF(VLOOKUP(T_Convention[[#This Row],[NumL]],T_TraitDi[#Data],COLUMN(T_TraitDi[Colonne30]),FALSE)=0,"",TEXT(IFERROR(VLOOKUP(T_Convention[[#This Row],[NumL]],T_TraitDi[#Data],COLUMN(T_TraitDi[Colonne30]),FALSE),""),"[hh]:mm"))</f>
        <v>#N/A</v>
      </c>
      <c r="BG104" s="284" t="e">
        <f>IF(VLOOKUP(T_Convention[[#This Row],[NumL]],T_TraitDi[#Data],COLUMN(T_TraitDi[Colonne31]),FALSE)=0,"",TEXT(IFERROR(VLOOKUP(T_Convention[[#This Row],[NumL]],T_TraitDi[#Data],COLUMN(T_TraitDi[Colonne31]),FALSE),""),"[hh]:mm"))</f>
        <v>#N/A</v>
      </c>
      <c r="BH104" s="284" t="e">
        <f>IF(VLOOKUP(T_Convention[[#This Row],[NumL]],T_TraitDi[#Data],COLUMN(T_TraitDi[Colonne32]),FALSE)=0,"",TEXT(IFERROR(VLOOKUP(T_Convention[[#This Row],[NumL]],T_TraitDi[#Data],COLUMN(T_TraitDi[Colonne32]),FALSE),""),"[hh]:mm"))</f>
        <v>#N/A</v>
      </c>
      <c r="BI104" s="284" t="str">
        <f>IFERROR(VLOOKUP(T_Convention[[#This Row],[NumL]],T_TraitDi[#Data],COLUMN(T_TraitDi[NbJTW]),FALSE),"")</f>
        <v/>
      </c>
      <c r="BJ104" s="284" t="e">
        <f>IF(VLOOKUP(T_Convention[[#This Row],[NumL]],T_TraitDi[#Data],COLUMN(T_TraitDi[NbhTW]),FALSE)=0,"",TEXT(IFERROR(VLOOKUP(T_Convention[[#This Row],[NumL]],T_TraitDi[#Data],COLUMN(T_TraitDi[NbhTW]),FALSE),""),"[hh]:mm"))</f>
        <v>#N/A</v>
      </c>
      <c r="BK104" s="286" t="e">
        <f>IF(VLOOKUP(T_Convention[[#This Row],[NumL]],T_TraitDi[#Data],COLUMN(T_TraitDi[Nbhheb]),FALSE)=0,"",TEXT(IFERROR(VLOOKUP(T_Convention[[#This Row],[NumL]],T_TraitDi[#Data],COLUMN(T_TraitDi[Nbhheb]),FALSE),""),"[hh]:mm"))</f>
        <v>#N/A</v>
      </c>
      <c r="BL104" s="287" t="str">
        <f>IFERROR(VLOOKUP(VLOOKUP(T_Convention[[#This Row],[NumL]],T_TraitDi[#Data],COLUMN(T_TraitDi[Type1]),FALSE),TypeTW,2,FALSE),"")</f>
        <v/>
      </c>
      <c r="BM104" s="288" t="str">
        <f>IFERROR(VLOOKUP(T_Convention[[#This Row],[NumL]],T_TraitDi[#Data],COLUMN(T_TraitDi[Rue1]),FALSE),"")</f>
        <v/>
      </c>
      <c r="BN104" s="289" t="str">
        <f>IFERROR(VLOOKUP(T_Convention[[#This Row],[NumL]],T_TraitDi[#Data],COLUMN(T_TraitDi[CP1]),FALSE),"")</f>
        <v/>
      </c>
      <c r="BO104" s="282" t="str">
        <f>IFERROR(VLOOKUP(T_Convention[[#This Row],[NumL]],T_TraitDi[#Data],COLUMN(T_TraitDi[VILLE1]),FALSE),"")</f>
        <v/>
      </c>
      <c r="BP104" s="290" t="str">
        <f>IFERROR(VLOOKUP(VLOOKUP(T_Convention[[#This Row],[NumL]],T_TraitDi[#Data],COLUMN(T_TraitDi[Type2]),FALSE),TypeTW,2,FALSE),"")</f>
        <v/>
      </c>
      <c r="BQ104" s="182" t="str">
        <f>IFERROR(VLOOKUP(T_Convention[[#This Row],[NumL]],T_TraitDi[#Data],COLUMN(T_TraitDi[Rue2]),FALSE),"")</f>
        <v/>
      </c>
      <c r="BR104" s="173" t="str">
        <f>IFERROR(VLOOKUP(T_Convention[[#This Row],[NumL]],T_TraitDi[#Data],COLUMN(T_TraitDi[CP2]),FALSE),"")</f>
        <v/>
      </c>
      <c r="BS104" s="173" t="str">
        <f>IFERROR(VLOOKUP(T_Convention[[#This Row],[NumL]],T_TraitDi[#Data],COLUMN(T_TraitDi[VILLE2]),FALSE),"")</f>
        <v/>
      </c>
      <c r="BT104" s="182" t="str">
        <f>IF(VLOOKUP(T_Convention[[#This Row],[NumL]],T_Equipement[#Data],COLUMN(T_Equipement[PC]),FALSE)="","Aucun équipement spécifique directement lié au télétravail",VLOOKUP(T_Convention[[#This Row],[NumL]],T_Equipement[#Data],COLUMN(T_Equipement[PC]),FALSE))</f>
        <v xml:space="preserve">16-359	</v>
      </c>
      <c r="BU104" s="166" t="str">
        <f>IFERROR(IF(VLOOKUP(T_Convention[[#This Row],[NumL]],T_TraitDi[#Data],COLUMN(T_TraitDi[Plan]),FALSE)="OK","Un planning spécifique de télétravail est annexé à la présente convention.",""),"")</f>
        <v/>
      </c>
      <c r="BV104" s="185" t="s">
        <v>3486</v>
      </c>
      <c r="BW104" s="164" t="e">
        <f>IF(VLOOKUP(T_Convention[[#This Row],[NumL]],T_suiviDi[#Data],COLUMN(T_suiviDi[Entité]),FALSE)="","",VLOOKUP(T_Convention[[#This Row],[NumL]],T_suiviDi[#Data],COLUMN(T_suiviDi[Entité]),FALSE))</f>
        <v>#N/A</v>
      </c>
      <c r="BX104" s="164" t="str">
        <f>IF(VLOOKUP(T_Convention[[#This Row],[NumL]],T_Commission[#Data],COLUMN(T_Commission[envoi confirm TW]),FALSE)="","",VLOOKUP(T_Convention[[#This Row],[NumL]],T_Commission[#Data],COLUMN(T_Commission[envoi confirm TW]),FALSE))</f>
        <v>Oui</v>
      </c>
      <c r="BY10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4" s="264">
        <f>VLOOKUP(T_Convention[[#This Row],[NumL]],T_Commission[#Data],COLUMN(T_Commission[Commentaire]),FALSE)</f>
        <v>0</v>
      </c>
      <c r="CA104" s="254" t="str">
        <f>IF(VLOOKUP(T_Convention[[#This Row],[NumL]],T_Commission[#Data],COLUMN(T_Commission[Encadrant Email]),FALSE)="","",VLOOKUP(T_Convention[[#This Row],[NumL]],T_Commission[#Data],COLUMN(T_Commission[Encadrant Email]),FALSE))</f>
        <v/>
      </c>
      <c r="CB104" s="352" t="e">
        <f>VLOOKUP(T_Convention[[#This Row],[NumL]],T_TraitDi[#Data],COLUMN(T_TraitDi[NbJTot]),FALSE)</f>
        <v>#N/A</v>
      </c>
      <c r="CC104" s="352" t="e">
        <f>VLOOKUP(T_Convention[[#This Row],[NumL]],T_TraitDi[#Data],COLUMN(T_TraitDi[Reg Ponct]),FALSE)</f>
        <v>#N/A</v>
      </c>
      <c r="CD104" s="348" t="str">
        <f>IF(T_Convention[[#This Row],[Final]]&lt;&gt;"",VLOOKUP(T_Convention[[#This Row],[NumL]],T_suiviDi[#Data],COLUMN((T_suiviDi[Statut])),FALSE),"")</f>
        <v/>
      </c>
    </row>
    <row r="105" spans="1:82" s="106" customFormat="1" ht="18.75" customHeight="1" x14ac:dyDescent="0.25">
      <c r="A105" s="160">
        <v>206</v>
      </c>
      <c r="B105" s="161" t="str">
        <f>VLOOKUP(T_Convention[[#This Row],[NumL]],T_Commission[#Data],COLUMN(T_Commission[FINAL]),FALSE)</f>
        <v/>
      </c>
      <c r="C105" s="162"/>
      <c r="D105" s="95" t="e">
        <f>IF(VLOOKUP(T_Convention[[#This Row],[NumL]],T_TraitDi[#Data],COLUMN(T_TraitDi[WebC]),FALSE)="","",VLOOKUP(T_Convention[[#This Row],[NumL]],T_TraitDi[#Data],COLUMN(T_TraitDi[WebC]),FALSE))</f>
        <v>#N/A</v>
      </c>
      <c r="E105" s="163" t="str">
        <f t="shared" si="5"/>
        <v>12 janvier 2021</v>
      </c>
      <c r="F105" s="282" t="str">
        <f>IF(T_Convention[[#This Row],[Final]]&lt;&gt;"",VLOOKUP(T_Convention[[#This Row],[NumL]],T_suiviDi[#Data],COLUMN((T_suiviDi[Civ.])),FALSE),"")</f>
        <v/>
      </c>
      <c r="G105" s="283" t="str">
        <f>IF(T_Convention[[#This Row],[Final]]&lt;&gt;"",VLOOKUP(T_Convention[[#This Row],[NumL]],T_suiviDi[#Data],COLUMN((T_suiviDi[Nom])),FALSE),"")</f>
        <v/>
      </c>
      <c r="H105" s="282" t="str">
        <f>IF(T_Convention[[#This Row],[Final]]&lt;&gt;"",VLOOKUP(T_Convention[[#This Row],[NumL]],T_suiviDi[#Data],COLUMN((T_suiviDi[Prénom])),FALSE),"")</f>
        <v/>
      </c>
      <c r="I105" s="282" t="e">
        <f>VLOOKUP(T_Convention[[#This Row],[NumL]],T_suiviDi[#Data],COLUMN((T_suiviDi[[#This Row],[Email]])),FALSE)</f>
        <v>#VALUE!</v>
      </c>
      <c r="J105" s="282" t="e">
        <f>IF(VLOOKUP(T_Convention[[#This Row],[NumL]],T_suiviDi[#Data],COLUMN(T_suiviDi[[#This Row],[Fonction]]),FALSE)="","",VLOOKUP(T_Convention[[#This Row],[NumL]],T_suiviDi[#Data],COLUMN(T_suiviDi[[#This Row],[Fonction]]),FALSE))</f>
        <v>#VALUE!</v>
      </c>
      <c r="K105" s="282" t="e">
        <f>IF(VLOOKUP(T_Convention[[#This Row],[NumL]],T_suiviDi[#Data],COLUMN(T_suiviDi[[#This Row],[Grade]]),FALSE)="","",VLOOKUP(T_Convention[[#This Row],[NumL]],T_suiviDi[#Data],COLUMN(T_suiviDi[[#This Row],[Grade]]),FALSE))</f>
        <v>#VALUE!</v>
      </c>
      <c r="L105" s="282" t="e">
        <f>IF(VLOOKUP(T_Convention[[#This Row],[NumL]],T_suiviDi[#Data],COLUMN(T_suiviDi[[#This Row],[Service ]]),FALSE)="","",VLOOKUP(T_Convention[[#This Row],[NumL]],T_suiviDi[#Data],COLUMN(T_suiviDi[[#This Row],[Service ]]),FALSE))</f>
        <v>#VALUE!</v>
      </c>
      <c r="M105" s="164" t="str">
        <f t="shared" si="6"/>
        <v>01 septembre 2021</v>
      </c>
      <c r="N105" s="164" t="str">
        <f t="shared" si="7"/>
        <v>30 novembre 2021</v>
      </c>
      <c r="O105" s="284" t="str">
        <f t="shared" si="8"/>
        <v>30 novembre 2021</v>
      </c>
      <c r="P105" s="282" t="e">
        <f>IF(VLOOKUP(T_Convention[[#This Row],[NumL]],T_TraitDi[#Data],COLUMN(T_TraitDi[M1]),FALSE)="","",VLOOKUP(T_Convention[[#This Row],[NumL]],T_TraitDi[#Data],COLUMN(T_TraitDi[M1]),FALSE))</f>
        <v>#N/A</v>
      </c>
      <c r="Q105" s="282" t="e">
        <f>IF(VLOOKUP(T_Convention[[#This Row],[NumL]],T_TraitDi[#Data],COLUMN(T_TraitDi[M2]),FALSE)="","",VLOOKUP(T_Convention[[#This Row],[NumL]],T_TraitDi[#Data],COLUMN(T_TraitDi[M2]),FALSE))</f>
        <v>#N/A</v>
      </c>
      <c r="R105" s="282" t="e">
        <f>IF(VLOOKUP(T_Convention[[#This Row],[NumL]],T_TraitDi[#Data],COLUMN(T_TraitDi[M3]),FALSE)="","",VLOOKUP(T_Convention[[#This Row],[NumL]],T_TraitDi[#Data],COLUMN(T_TraitDi[M3]),FALSE))</f>
        <v>#N/A</v>
      </c>
      <c r="S105" s="282" t="e">
        <f>IF(VLOOKUP(T_Convention[[#This Row],[NumL]],T_TraitDi[#Data],COLUMN(T_TraitDi[M4]),FALSE)="","",VLOOKUP(T_Convention[[#This Row],[NumL]],T_TraitDi[#Data],COLUMN(T_TraitDi[M4]),FALSE))</f>
        <v>#N/A</v>
      </c>
      <c r="T105" s="282" t="e">
        <f>IF(VLOOKUP(T_Convention[[#This Row],[NumL]],T_TraitDi[#Data],COLUMN(T_TraitDi[M5]),FALSE)="","",VLOOKUP(T_Convention[[#This Row],[NumL]],T_TraitDi[#Data],COLUMN(T_TraitDi[M5]),FALSE))</f>
        <v>#N/A</v>
      </c>
      <c r="U105" s="282" t="e">
        <f>IF(VLOOKUP(T_Convention[[#This Row],[NumL]],T_TraitDi[#Data],COLUMN(T_TraitDi[M6]),FALSE)="","",VLOOKUP(T_Convention[[#This Row],[NumL]],T_TraitDi[#Data],COLUMN(T_TraitDi[M6]),FALSE))</f>
        <v>#N/A</v>
      </c>
      <c r="V105" s="176" t="e">
        <f t="shared" si="9"/>
        <v>#N/A</v>
      </c>
      <c r="W105" s="284" t="str">
        <f>IFERROR(TEXT(VLOOKUP(T_Convention[[#This Row],[NumL]],T_TraitDi[#Data],COLUMN(T_TraitDi[Q2]),FALSE),"###%"),"")</f>
        <v/>
      </c>
      <c r="X105" s="97" t="e">
        <f>VLOOKUP(T_Convention[[#This Row],[NumL]],T_TraitDi[#Data],COLUMN(T_TraitDi[Reg Ponct]),FALSE)</f>
        <v>#N/A</v>
      </c>
      <c r="Y105" s="97" t="e">
        <f>VLOOKUP(T_Convention[NumL],T_TraitDi[#Data],COLUMN(T_TraitDi[Jours flottants]),FALSE)</f>
        <v>#N/A</v>
      </c>
      <c r="Z105" s="284" t="str">
        <f>IFERROR(VLOOKUP(T_Convention[[#This Row],[NumL]],T_TraitDi[#Data],COLUMN(T_TraitDi[Lundi]),FALSE),"")</f>
        <v/>
      </c>
      <c r="AA105" s="284" t="e">
        <f>IF(VLOOKUP(T_Convention[[#This Row],[NumL]],T_TraitDi[#Data],COLUMN(T_TraitDi[Colonne3]),FALSE)=0,"",TEXT(IFERROR(VLOOKUP(T_Convention[[#This Row],[NumL]],T_TraitDi[#Data],COLUMN(T_TraitDi[Colonne3]),FALSE),""),"[hh]:mm"))</f>
        <v>#N/A</v>
      </c>
      <c r="AB105" s="284" t="e">
        <f>IF(VLOOKUP(T_Convention[[#This Row],[NumL]],T_TraitDi[#Data],COLUMN(T_TraitDi[Colonne4]),FALSE)=0,"",TEXT(IFERROR(VLOOKUP(T_Convention[[#This Row],[NumL]],T_TraitDi[#Data],COLUMN(T_TraitDi[Colonne4]),FALSE),""),"[hh]:mm"))</f>
        <v>#N/A</v>
      </c>
      <c r="AC105" s="284" t="e">
        <f>IF(VLOOKUP(T_Convention[[#This Row],[NumL]],T_TraitDi[#Data],COLUMN(T_TraitDi[Colonne5]),FALSE)=0,"",TEXT(IFERROR(VLOOKUP(T_Convention[[#This Row],[NumL]],T_TraitDi[#Data],COLUMN(T_TraitDi[Colonne5]),FALSE),""),"[hh]:mm"))</f>
        <v>#N/A</v>
      </c>
      <c r="AD105" s="284" t="e">
        <f>IF(VLOOKUP(T_Convention[[#This Row],[NumL]],T_TraitDi[#Data],COLUMN(T_TraitDi[Colonne6]),FALSE)=0,"",TEXT(IFERROR(VLOOKUP(T_Convention[[#This Row],[NumL]],T_TraitDi[#Data],COLUMN(T_TraitDi[Colonne6]),FALSE),""),"[hh]:mm"))</f>
        <v>#N/A</v>
      </c>
      <c r="AE105" s="284" t="e">
        <f>IF(VLOOKUP(T_Convention[[#This Row],[NumL]],T_TraitDi[#Data],COLUMN(T_TraitDi[Colonne7]),FALSE)=0,"",TEXT(IFERROR(VLOOKUP(T_Convention[[#This Row],[NumL]],T_TraitDi[#Data],COLUMN(T_TraitDi[Colonne7]),FALSE),""),"[hh]:mm"))</f>
        <v>#N/A</v>
      </c>
      <c r="AF105" s="284" t="e">
        <f>IF(VLOOKUP(T_Convention[[#This Row],[NumL]],T_TraitDi[#Data],COLUMN(T_TraitDi[Colonne8]),FALSE)=0,"",TEXT(IFERROR(VLOOKUP(T_Convention[[#This Row],[NumL]],T_TraitDi[#Data],COLUMN(T_TraitDi[Colonne8]),FALSE),""),"[hh]:mm"))</f>
        <v>#N/A</v>
      </c>
      <c r="AG105" s="284" t="str">
        <f>IFERROR(VLOOKUP(T_Convention[[#This Row],[NumL]],T_TraitDi[#Data],COLUMN(T_TraitDi[Mardi]),FALSE),"")</f>
        <v/>
      </c>
      <c r="AH105" s="284" t="e">
        <f>IF(VLOOKUP(T_Convention[[#This Row],[NumL]],T_TraitDi[#Data],COLUMN(T_TraitDi[Colonne1]),FALSE)=0,"",TEXT(IFERROR(VLOOKUP(T_Convention[[#This Row],[NumL]],T_TraitDi[#Data],COLUMN(T_TraitDi[Colonne1]),FALSE),""),"[hh]:mm"))</f>
        <v>#N/A</v>
      </c>
      <c r="AI105" s="284" t="e">
        <f>IF(VLOOKUP(T_Convention[[#This Row],[NumL]],T_TraitDi[#Data],COLUMN(T_TraitDi[Colonne9]),FALSE)=0,"",TEXT(IFERROR(VLOOKUP(T_Convention[[#This Row],[NumL]],T_TraitDi[#Data],COLUMN(T_TraitDi[Colonne9]),FALSE),""),"[hh]:mm"))</f>
        <v>#N/A</v>
      </c>
      <c r="AJ105" s="284" t="str">
        <f>IFERROR(VLOOKUP(T_Convention[[#This Row],[NumL]],T_TraitDi[#Data],COLUMN(T_TraitDi[Colonne10]),FALSE),"")</f>
        <v/>
      </c>
      <c r="AK105" s="284" t="e">
        <f>IF(VLOOKUP(T_Convention[[#This Row],[NumL]],T_TraitDi[#Data],COLUMN(T_TraitDi[Colonne11]),FALSE)=0,"",TEXT(IFERROR(VLOOKUP(T_Convention[[#This Row],[NumL]],T_TraitDi[#Data],COLUMN(T_TraitDi[Colonne11]),FALSE),""),"[hh]:mm"))</f>
        <v>#N/A</v>
      </c>
      <c r="AL105" s="284" t="e">
        <f>IF(VLOOKUP(T_Convention[[#This Row],[NumL]],T_TraitDi[#Data],COLUMN(T_TraitDi[Colonne12]),FALSE)=0,"",TEXT(IFERROR(VLOOKUP(T_Convention[[#This Row],[NumL]],T_TraitDi[#Data],COLUMN(T_TraitDi[Colonne12]),FALSE),""),"[hh]:mm"))</f>
        <v>#N/A</v>
      </c>
      <c r="AM105" s="284" t="e">
        <f>IF(VLOOKUP(T_Convention[[#This Row],[NumL]],T_TraitDi[#Data],COLUMN(T_TraitDi[Colonne14]),FALSE)=0,"",TEXT(IFERROR(VLOOKUP(T_Convention[[#This Row],[NumL]],T_TraitDi[#Data],COLUMN(T_TraitDi[Colonne14]),FALSE),""),"[hh]:mm"))</f>
        <v>#N/A</v>
      </c>
      <c r="AN105" s="284" t="str">
        <f>IFERROR(VLOOKUP(T_Convention[[#This Row],[NumL]],T_TraitDi[#Data],COLUMN(T_TraitDi[Mercredi]),FALSE),"")</f>
        <v/>
      </c>
      <c r="AO105" s="284" t="e">
        <f>IF(VLOOKUP(T_Convention[[#This Row],[NumL]],T_TraitDi[#Data],COLUMN(T_TraitDi[Colonne15]),FALSE)=0,"",TEXT(IFERROR(VLOOKUP(T_Convention[[#This Row],[NumL]],T_TraitDi[#Data],COLUMN(T_TraitDi[Colonne15]),FALSE),""),"[hh]:mm"))</f>
        <v>#N/A</v>
      </c>
      <c r="AP105" s="284" t="e">
        <f>IF(VLOOKUP(T_Convention[[#This Row],[NumL]],T_TraitDi[#Data],COLUMN(T_TraitDi[Colonne16]),FALSE)=0,"",TEXT(IFERROR(VLOOKUP(T_Convention[[#This Row],[NumL]],T_TraitDi[#Data],COLUMN(T_TraitDi[Colonne16]),FALSE),""),"[hh]:mm"))</f>
        <v>#N/A</v>
      </c>
      <c r="AQ105" s="284" t="str">
        <f>IFERROR(VLOOKUP(T_Convention[[#This Row],[NumL]],T_TraitDi[#Data],COLUMN(T_TraitDi[Colonne17]),FALSE),"")</f>
        <v/>
      </c>
      <c r="AR105" s="284" t="e">
        <f>IF(VLOOKUP(T_Convention[[#This Row],[NumL]],T_TraitDi[#Data],COLUMN(T_TraitDi[Colonne18]),FALSE)=0,"",TEXT(IFERROR(VLOOKUP(T_Convention[[#This Row],[NumL]],T_TraitDi[#Data],COLUMN(T_TraitDi[Colonne18]),FALSE),""),"[hh]:mm"))</f>
        <v>#N/A</v>
      </c>
      <c r="AS105" s="284" t="e">
        <f>IF(VLOOKUP(T_Convention[[#This Row],[NumL]],T_TraitDi[#Data],COLUMN(T_TraitDi[Colonne19]),FALSE)=0,"",TEXT(IFERROR(VLOOKUP(T_Convention[[#This Row],[NumL]],T_TraitDi[#Data],COLUMN(T_TraitDi[Colonne19]),FALSE),""),"[hh]:mm"))</f>
        <v>#N/A</v>
      </c>
      <c r="AT105" s="284" t="e">
        <f>IF(VLOOKUP(T_Convention[[#This Row],[NumL]],T_TraitDi[#Data],COLUMN(T_TraitDi[Colonne20]),FALSE)=0,"",TEXT(IFERROR(VLOOKUP(T_Convention[[#This Row],[NumL]],T_TraitDi[#Data],COLUMN(T_TraitDi[Colonne20]),FALSE),""),"[hh]:mm"))</f>
        <v>#N/A</v>
      </c>
      <c r="AU105" s="284" t="str">
        <f>IFERROR(VLOOKUP(T_Convention[[#This Row],[NumL]],T_TraitDi[#Data],COLUMN(T_TraitDi[Jeudi]),FALSE),"")</f>
        <v/>
      </c>
      <c r="AV105" s="284" t="e">
        <f>IF(VLOOKUP(T_Convention[[#This Row],[NumL]],T_TraitDi[#Data],COLUMN(T_TraitDi[Colonne21]),FALSE)=0,"",TEXT(IFERROR(VLOOKUP(T_Convention[[#This Row],[NumL]],T_TraitDi[#Data],COLUMN(T_TraitDi[Colonne21]),FALSE),""),"[hh]:mm"))</f>
        <v>#N/A</v>
      </c>
      <c r="AW105" s="284" t="e">
        <f>IF(VLOOKUP(T_Convention[[#This Row],[NumL]],T_TraitDi[#Data],COLUMN(T_TraitDi[Colonne22]),FALSE)=0,"",TEXT(IFERROR(VLOOKUP(T_Convention[[#This Row],[NumL]],T_TraitDi[#Data],COLUMN(T_TraitDi[Colonne22]),FALSE),""),"[hh]:mm"))</f>
        <v>#N/A</v>
      </c>
      <c r="AX105" s="284" t="str">
        <f>IFERROR(VLOOKUP(T_Convention[[#This Row],[NumL]],T_TraitDi[#Data],COLUMN(T_TraitDi[Colonne23]),FALSE),"")</f>
        <v/>
      </c>
      <c r="AY105" s="284" t="e">
        <f>IF(VLOOKUP(T_Convention[[#This Row],[NumL]],T_TraitDi[#Data],COLUMN(T_TraitDi[Colonne24]),FALSE)=0,"",TEXT(IFERROR(VLOOKUP(T_Convention[[#This Row],[NumL]],T_TraitDi[#Data],COLUMN(T_TraitDi[Colonne24]),FALSE),""),"[hh]:mm"))</f>
        <v>#N/A</v>
      </c>
      <c r="AZ105" s="284" t="e">
        <f>IF(VLOOKUP(T_Convention[[#This Row],[NumL]],T_TraitDi[#Data],COLUMN(T_TraitDi[Colonne25]),FALSE)=0,"",TEXT(IFERROR(VLOOKUP(T_Convention[[#This Row],[NumL]],T_TraitDi[#Data],COLUMN(T_TraitDi[Colonne25]),FALSE),""),"[hh]:mm"))</f>
        <v>#N/A</v>
      </c>
      <c r="BA105" s="284" t="e">
        <f>IF(VLOOKUP(T_Convention[[#This Row],[NumL]],T_TraitDi[#Data],COLUMN(T_TraitDi[Colonne26]),FALSE)=0,"",TEXT(IFERROR(VLOOKUP(T_Convention[[#This Row],[NumL]],T_TraitDi[#Data],COLUMN(T_TraitDi[Colonne26]),FALSE),""),"[hh]:mm"))</f>
        <v>#N/A</v>
      </c>
      <c r="BB105" s="284" t="str">
        <f>IFERROR(VLOOKUP(T_Convention[[#This Row],[NumL]],T_TraitDi[#Data],COLUMN(T_TraitDi[Vendredi]),FALSE),"")</f>
        <v/>
      </c>
      <c r="BC105" s="284" t="e">
        <f>IF(VLOOKUP(T_Convention[[#This Row],[NumL]],T_TraitDi[#Data],COLUMN(T_TraitDi[Colonne27]),FALSE)=0,"",TEXT(IFERROR(VLOOKUP(T_Convention[[#This Row],[NumL]],T_TraitDi[#Data],COLUMN(T_TraitDi[Colonne27]),FALSE),""),"[hh]:mm"))</f>
        <v>#N/A</v>
      </c>
      <c r="BD105" s="284" t="e">
        <f>IF(VLOOKUP(T_Convention[[#This Row],[NumL]],T_TraitDi[#Data],COLUMN(T_TraitDi[Colonne28]),FALSE)=0,"",TEXT(IFERROR(VLOOKUP(T_Convention[[#This Row],[NumL]],T_TraitDi[#Data],COLUMN(T_TraitDi[Colonne28]),FALSE),""),"[hh]:mm"))</f>
        <v>#N/A</v>
      </c>
      <c r="BE105" s="284" t="str">
        <f>IFERROR(VLOOKUP(T_Convention[[#This Row],[NumL]],T_TraitDi[#Data],COLUMN(T_TraitDi[Colonne29]),FALSE),"")</f>
        <v/>
      </c>
      <c r="BF105" s="284" t="e">
        <f>IF(VLOOKUP(T_Convention[[#This Row],[NumL]],T_TraitDi[#Data],COLUMN(T_TraitDi[Colonne30]),FALSE)=0,"",TEXT(IFERROR(VLOOKUP(T_Convention[[#This Row],[NumL]],T_TraitDi[#Data],COLUMN(T_TraitDi[Colonne30]),FALSE),""),"[hh]:mm"))</f>
        <v>#N/A</v>
      </c>
      <c r="BG105" s="284" t="e">
        <f>IF(VLOOKUP(T_Convention[[#This Row],[NumL]],T_TraitDi[#Data],COLUMN(T_TraitDi[Colonne31]),FALSE)=0,"",TEXT(IFERROR(VLOOKUP(T_Convention[[#This Row],[NumL]],T_TraitDi[#Data],COLUMN(T_TraitDi[Colonne31]),FALSE),""),"[hh]:mm"))</f>
        <v>#N/A</v>
      </c>
      <c r="BH105" s="284" t="e">
        <f>IF(VLOOKUP(T_Convention[[#This Row],[NumL]],T_TraitDi[#Data],COLUMN(T_TraitDi[Colonne32]),FALSE)=0,"",TEXT(IFERROR(VLOOKUP(T_Convention[[#This Row],[NumL]],T_TraitDi[#Data],COLUMN(T_TraitDi[Colonne32]),FALSE),""),"[hh]:mm"))</f>
        <v>#N/A</v>
      </c>
      <c r="BI105" s="284" t="str">
        <f>IFERROR(VLOOKUP(T_Convention[[#This Row],[NumL]],T_TraitDi[#Data],COLUMN(T_TraitDi[NbJTW]),FALSE),"")</f>
        <v/>
      </c>
      <c r="BJ105" s="284" t="e">
        <f>IF(VLOOKUP(T_Convention[[#This Row],[NumL]],T_TraitDi[#Data],COLUMN(T_TraitDi[NbhTW]),FALSE)=0,"",TEXT(IFERROR(VLOOKUP(T_Convention[[#This Row],[NumL]],T_TraitDi[#Data],COLUMN(T_TraitDi[NbhTW]),FALSE),""),"[hh]:mm"))</f>
        <v>#N/A</v>
      </c>
      <c r="BK105" s="286" t="e">
        <f>IF(VLOOKUP(T_Convention[[#This Row],[NumL]],T_TraitDi[#Data],COLUMN(T_TraitDi[Nbhheb]),FALSE)=0,"",TEXT(IFERROR(VLOOKUP(T_Convention[[#This Row],[NumL]],T_TraitDi[#Data],COLUMN(T_TraitDi[Nbhheb]),FALSE),""),"[hh]:mm"))</f>
        <v>#N/A</v>
      </c>
      <c r="BL105" s="287" t="str">
        <f>IFERROR(VLOOKUP(VLOOKUP(T_Convention[[#This Row],[NumL]],T_TraitDi[#Data],COLUMN(T_TraitDi[Type1]),FALSE),TypeTW,2,FALSE),"")</f>
        <v/>
      </c>
      <c r="BM105" s="288" t="str">
        <f>IFERROR(VLOOKUP(T_Convention[[#This Row],[NumL]],T_TraitDi[#Data],COLUMN(T_TraitDi[Rue1]),FALSE),"")</f>
        <v/>
      </c>
      <c r="BN105" s="289" t="str">
        <f>IFERROR(VLOOKUP(T_Convention[[#This Row],[NumL]],T_TraitDi[#Data],COLUMN(T_TraitDi[CP1]),FALSE),"")</f>
        <v/>
      </c>
      <c r="BO105" s="282" t="str">
        <f>IFERROR(VLOOKUP(T_Convention[[#This Row],[NumL]],T_TraitDi[#Data],COLUMN(T_TraitDi[VILLE1]),FALSE),"")</f>
        <v/>
      </c>
      <c r="BP105" s="290" t="str">
        <f>IFERROR(VLOOKUP(VLOOKUP(T_Convention[[#This Row],[NumL]],T_TraitDi[#Data],COLUMN(T_TraitDi[Type2]),FALSE),TypeTW,2,FALSE),"")</f>
        <v/>
      </c>
      <c r="BQ105" s="182" t="str">
        <f>IFERROR(VLOOKUP(T_Convention[[#This Row],[NumL]],T_TraitDi[#Data],COLUMN(T_TraitDi[Rue2]),FALSE),"")</f>
        <v/>
      </c>
      <c r="BR105" s="173" t="str">
        <f>IFERROR(VLOOKUP(T_Convention[[#This Row],[NumL]],T_TraitDi[#Data],COLUMN(T_TraitDi[CP2]),FALSE),"")</f>
        <v/>
      </c>
      <c r="BS105" s="173" t="str">
        <f>IFERROR(VLOOKUP(T_Convention[[#This Row],[NumL]],T_TraitDi[#Data],COLUMN(T_TraitDi[VILLE2]),FALSE),"")</f>
        <v/>
      </c>
      <c r="BT105" s="182" t="str">
        <f>IF(VLOOKUP(T_Convention[[#This Row],[NumL]],T_Equipement[#Data],COLUMN(T_Equipement[PC]),FALSE)="","Aucun équipement spécifique directement lié au télétravail",VLOOKUP(T_Convention[[#This Row],[NumL]],T_Equipement[#Data],COLUMN(T_Equipement[PC]),FALSE))</f>
        <v xml:space="preserve">20-082	</v>
      </c>
      <c r="BU105" s="166" t="str">
        <f>IFERROR(IF(VLOOKUP(T_Convention[[#This Row],[NumL]],T_TraitDi[#Data],COLUMN(T_TraitDi[Plan]),FALSE)="OK","Un planning spécifique de télétravail est annexé à la présente convention.",""),"")</f>
        <v/>
      </c>
      <c r="BV105" s="185" t="s">
        <v>3427</v>
      </c>
      <c r="BW105" s="164" t="e">
        <f>IF(VLOOKUP(T_Convention[[#This Row],[NumL]],T_suiviDi[#Data],COLUMN(T_suiviDi[Entité]),FALSE)="","",VLOOKUP(T_Convention[[#This Row],[NumL]],T_suiviDi[#Data],COLUMN(T_suiviDi[Entité]),FALSE))</f>
        <v>#N/A</v>
      </c>
      <c r="BX105" s="164" t="str">
        <f>IF(VLOOKUP(T_Convention[[#This Row],[NumL]],T_Commission[#Data],COLUMN(T_Commission[envoi confirm TW]),FALSE)="","",VLOOKUP(T_Convention[[#This Row],[NumL]],T_Commission[#Data],COLUMN(T_Commission[envoi confirm TW]),FALSE))</f>
        <v>Oui</v>
      </c>
      <c r="BY10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5" s="264">
        <f>VLOOKUP(T_Convention[[#This Row],[NumL]],T_Commission[#Data],COLUMN(T_Commission[Commentaire]),FALSE)</f>
        <v>0</v>
      </c>
      <c r="CA105" s="254" t="str">
        <f>IF(VLOOKUP(T_Convention[[#This Row],[NumL]],T_Commission[#Data],COLUMN(T_Commission[Encadrant Email]),FALSE)="","",VLOOKUP(T_Convention[[#This Row],[NumL]],T_Commission[#Data],COLUMN(T_Commission[Encadrant Email]),FALSE))</f>
        <v/>
      </c>
      <c r="CB105" s="352" t="e">
        <f>VLOOKUP(T_Convention[[#This Row],[NumL]],T_TraitDi[#Data],COLUMN(T_TraitDi[NbJTot]),FALSE)</f>
        <v>#N/A</v>
      </c>
      <c r="CC105" s="352" t="e">
        <f>VLOOKUP(T_Convention[[#This Row],[NumL]],T_TraitDi[#Data],COLUMN(T_TraitDi[Reg Ponct]),FALSE)</f>
        <v>#N/A</v>
      </c>
      <c r="CD105" s="348" t="str">
        <f>IF(T_Convention[[#This Row],[Final]]&lt;&gt;"",VLOOKUP(T_Convention[[#This Row],[NumL]],T_suiviDi[#Data],COLUMN((T_suiviDi[Statut])),FALSE),"")</f>
        <v/>
      </c>
    </row>
    <row r="106" spans="1:82" s="106" customFormat="1" ht="18.75" customHeight="1" x14ac:dyDescent="0.25">
      <c r="A106" s="160">
        <v>109</v>
      </c>
      <c r="B106" s="161" t="str">
        <f>VLOOKUP(T_Convention[[#This Row],[NumL]],T_Commission[#Data],COLUMN(T_Commission[FINAL]),FALSE)</f>
        <v/>
      </c>
      <c r="C106" s="162"/>
      <c r="D106" s="95" t="e">
        <f>IF(VLOOKUP(T_Convention[[#This Row],[NumL]],T_TraitDi[#Data],COLUMN(T_TraitDi[WebC]),FALSE)="","",VLOOKUP(T_Convention[[#This Row],[NumL]],T_TraitDi[#Data],COLUMN(T_TraitDi[WebC]),FALSE))</f>
        <v>#N/A</v>
      </c>
      <c r="E106" s="163" t="str">
        <f t="shared" si="5"/>
        <v>12 janvier 2021</v>
      </c>
      <c r="F106" s="282" t="str">
        <f>IF(T_Convention[[#This Row],[Final]]&lt;&gt;"",VLOOKUP(T_Convention[[#This Row],[NumL]],T_suiviDi[#Data],COLUMN((T_suiviDi[Civ.])),FALSE),"")</f>
        <v/>
      </c>
      <c r="G106" s="283" t="str">
        <f>IF(T_Convention[[#This Row],[Final]]&lt;&gt;"",VLOOKUP(T_Convention[[#This Row],[NumL]],T_suiviDi[#Data],COLUMN((T_suiviDi[Nom])),FALSE),"")</f>
        <v/>
      </c>
      <c r="H106" s="282" t="str">
        <f>IF(T_Convention[[#This Row],[Final]]&lt;&gt;"",VLOOKUP(T_Convention[[#This Row],[NumL]],T_suiviDi[#Data],COLUMN((T_suiviDi[Prénom])),FALSE),"")</f>
        <v/>
      </c>
      <c r="I106" s="282" t="e">
        <f>VLOOKUP(T_Convention[[#This Row],[NumL]],T_suiviDi[#Data],COLUMN((T_suiviDi[[#This Row],[Email]])),FALSE)</f>
        <v>#VALUE!</v>
      </c>
      <c r="J106" s="282" t="e">
        <f>IF(VLOOKUP(T_Convention[[#This Row],[NumL]],T_suiviDi[#Data],COLUMN(T_suiviDi[[#This Row],[Fonction]]),FALSE)="","",VLOOKUP(T_Convention[[#This Row],[NumL]],T_suiviDi[#Data],COLUMN(T_suiviDi[[#This Row],[Fonction]]),FALSE))</f>
        <v>#VALUE!</v>
      </c>
      <c r="K106" s="282" t="e">
        <f>IF(VLOOKUP(T_Convention[[#This Row],[NumL]],T_suiviDi[#Data],COLUMN(T_suiviDi[[#This Row],[Grade]]),FALSE)="","",VLOOKUP(T_Convention[[#This Row],[NumL]],T_suiviDi[#Data],COLUMN(T_suiviDi[[#This Row],[Grade]]),FALSE))</f>
        <v>#VALUE!</v>
      </c>
      <c r="L106" s="282" t="e">
        <f>IF(VLOOKUP(T_Convention[[#This Row],[NumL]],T_suiviDi[#Data],COLUMN(T_suiviDi[[#This Row],[Service ]]),FALSE)="","",VLOOKUP(T_Convention[[#This Row],[NumL]],T_suiviDi[#Data],COLUMN(T_suiviDi[[#This Row],[Service ]]),FALSE))</f>
        <v>#VALUE!</v>
      </c>
      <c r="M106" s="164" t="str">
        <f t="shared" si="6"/>
        <v>01 septembre 2021</v>
      </c>
      <c r="N106" s="164" t="str">
        <f t="shared" si="7"/>
        <v>30 novembre 2021</v>
      </c>
      <c r="O106" s="284" t="str">
        <f t="shared" si="8"/>
        <v>30 novembre 2021</v>
      </c>
      <c r="P106" s="282" t="e">
        <f>IF(VLOOKUP(T_Convention[[#This Row],[NumL]],T_TraitDi[#Data],COLUMN(T_TraitDi[M1]),FALSE)="","",VLOOKUP(T_Convention[[#This Row],[NumL]],T_TraitDi[#Data],COLUMN(T_TraitDi[M1]),FALSE))</f>
        <v>#N/A</v>
      </c>
      <c r="Q106" s="282" t="e">
        <f>IF(VLOOKUP(T_Convention[[#This Row],[NumL]],T_TraitDi[#Data],COLUMN(T_TraitDi[M2]),FALSE)="","",VLOOKUP(T_Convention[[#This Row],[NumL]],T_TraitDi[#Data],COLUMN(T_TraitDi[M2]),FALSE))</f>
        <v>#N/A</v>
      </c>
      <c r="R106" s="282" t="e">
        <f>IF(VLOOKUP(T_Convention[[#This Row],[NumL]],T_TraitDi[#Data],COLUMN(T_TraitDi[M3]),FALSE)="","",VLOOKUP(T_Convention[[#This Row],[NumL]],T_TraitDi[#Data],COLUMN(T_TraitDi[M3]),FALSE))</f>
        <v>#N/A</v>
      </c>
      <c r="S106" s="282" t="e">
        <f>IF(VLOOKUP(T_Convention[[#This Row],[NumL]],T_TraitDi[#Data],COLUMN(T_TraitDi[M4]),FALSE)="","",VLOOKUP(T_Convention[[#This Row],[NumL]],T_TraitDi[#Data],COLUMN(T_TraitDi[M4]),FALSE))</f>
        <v>#N/A</v>
      </c>
      <c r="T106" s="282" t="e">
        <f>IF(VLOOKUP(T_Convention[[#This Row],[NumL]],T_TraitDi[#Data],COLUMN(T_TraitDi[M5]),FALSE)="","",VLOOKUP(T_Convention[[#This Row],[NumL]],T_TraitDi[#Data],COLUMN(T_TraitDi[M5]),FALSE))</f>
        <v>#N/A</v>
      </c>
      <c r="U106" s="282" t="e">
        <f>IF(VLOOKUP(T_Convention[[#This Row],[NumL]],T_TraitDi[#Data],COLUMN(T_TraitDi[M6]),FALSE)="","",VLOOKUP(T_Convention[[#This Row],[NumL]],T_TraitDi[#Data],COLUMN(T_TraitDi[M6]),FALSE))</f>
        <v>#N/A</v>
      </c>
      <c r="V106" s="176" t="e">
        <f t="shared" si="9"/>
        <v>#N/A</v>
      </c>
      <c r="W106" s="284" t="str">
        <f>IFERROR(TEXT(VLOOKUP(T_Convention[[#This Row],[NumL]],T_TraitDi[#Data],COLUMN(T_TraitDi[Q2]),FALSE),"###%"),"")</f>
        <v/>
      </c>
      <c r="X106" s="97" t="e">
        <f>VLOOKUP(T_Convention[[#This Row],[NumL]],T_TraitDi[#Data],COLUMN(T_TraitDi[Reg Ponct]),FALSE)</f>
        <v>#N/A</v>
      </c>
      <c r="Y106" s="97" t="e">
        <f>VLOOKUP(T_Convention[NumL],T_TraitDi[#Data],COLUMN(T_TraitDi[Jours flottants]),FALSE)</f>
        <v>#N/A</v>
      </c>
      <c r="Z106" s="284" t="str">
        <f>IFERROR(VLOOKUP(T_Convention[[#This Row],[NumL]],T_TraitDi[#Data],COLUMN(T_TraitDi[Lundi]),FALSE),"")</f>
        <v/>
      </c>
      <c r="AA106" s="284" t="e">
        <f>IF(VLOOKUP(T_Convention[[#This Row],[NumL]],T_TraitDi[#Data],COLUMN(T_TraitDi[Colonne3]),FALSE)=0,"",TEXT(IFERROR(VLOOKUP(T_Convention[[#This Row],[NumL]],T_TraitDi[#Data],COLUMN(T_TraitDi[Colonne3]),FALSE),""),"[hh]:mm"))</f>
        <v>#N/A</v>
      </c>
      <c r="AB106" s="284" t="e">
        <f>IF(VLOOKUP(T_Convention[[#This Row],[NumL]],T_TraitDi[#Data],COLUMN(T_TraitDi[Colonne4]),FALSE)=0,"",TEXT(IFERROR(VLOOKUP(T_Convention[[#This Row],[NumL]],T_TraitDi[#Data],COLUMN(T_TraitDi[Colonne4]),FALSE),""),"[hh]:mm"))</f>
        <v>#N/A</v>
      </c>
      <c r="AC106" s="284" t="e">
        <f>IF(VLOOKUP(T_Convention[[#This Row],[NumL]],T_TraitDi[#Data],COLUMN(T_TraitDi[Colonne5]),FALSE)=0,"",TEXT(IFERROR(VLOOKUP(T_Convention[[#This Row],[NumL]],T_TraitDi[#Data],COLUMN(T_TraitDi[Colonne5]),FALSE),""),"[hh]:mm"))</f>
        <v>#N/A</v>
      </c>
      <c r="AD106" s="284" t="e">
        <f>IF(VLOOKUP(T_Convention[[#This Row],[NumL]],T_TraitDi[#Data],COLUMN(T_TraitDi[Colonne6]),FALSE)=0,"",TEXT(IFERROR(VLOOKUP(T_Convention[[#This Row],[NumL]],T_TraitDi[#Data],COLUMN(T_TraitDi[Colonne6]),FALSE),""),"[hh]:mm"))</f>
        <v>#N/A</v>
      </c>
      <c r="AE106" s="284" t="e">
        <f>IF(VLOOKUP(T_Convention[[#This Row],[NumL]],T_TraitDi[#Data],COLUMN(T_TraitDi[Colonne7]),FALSE)=0,"",TEXT(IFERROR(VLOOKUP(T_Convention[[#This Row],[NumL]],T_TraitDi[#Data],COLUMN(T_TraitDi[Colonne7]),FALSE),""),"[hh]:mm"))</f>
        <v>#N/A</v>
      </c>
      <c r="AF106" s="284" t="e">
        <f>IF(VLOOKUP(T_Convention[[#This Row],[NumL]],T_TraitDi[#Data],COLUMN(T_TraitDi[Colonne8]),FALSE)=0,"",TEXT(IFERROR(VLOOKUP(T_Convention[[#This Row],[NumL]],T_TraitDi[#Data],COLUMN(T_TraitDi[Colonne8]),FALSE),""),"[hh]:mm"))</f>
        <v>#N/A</v>
      </c>
      <c r="AG106" s="284" t="str">
        <f>IFERROR(VLOOKUP(T_Convention[[#This Row],[NumL]],T_TraitDi[#Data],COLUMN(T_TraitDi[Mardi]),FALSE),"")</f>
        <v/>
      </c>
      <c r="AH106" s="284" t="e">
        <f>IF(VLOOKUP(T_Convention[[#This Row],[NumL]],T_TraitDi[#Data],COLUMN(T_TraitDi[Colonne1]),FALSE)=0,"",TEXT(IFERROR(VLOOKUP(T_Convention[[#This Row],[NumL]],T_TraitDi[#Data],COLUMN(T_TraitDi[Colonne1]),FALSE),""),"[hh]:mm"))</f>
        <v>#N/A</v>
      </c>
      <c r="AI106" s="284" t="e">
        <f>IF(VLOOKUP(T_Convention[[#This Row],[NumL]],T_TraitDi[#Data],COLUMN(T_TraitDi[Colonne9]),FALSE)=0,"",TEXT(IFERROR(VLOOKUP(T_Convention[[#This Row],[NumL]],T_TraitDi[#Data],COLUMN(T_TraitDi[Colonne9]),FALSE),""),"[hh]:mm"))</f>
        <v>#N/A</v>
      </c>
      <c r="AJ106" s="284" t="str">
        <f>IFERROR(VLOOKUP(T_Convention[[#This Row],[NumL]],T_TraitDi[#Data],COLUMN(T_TraitDi[Colonne10]),FALSE),"")</f>
        <v/>
      </c>
      <c r="AK106" s="284" t="e">
        <f>IF(VLOOKUP(T_Convention[[#This Row],[NumL]],T_TraitDi[#Data],COLUMN(T_TraitDi[Colonne11]),FALSE)=0,"",TEXT(IFERROR(VLOOKUP(T_Convention[[#This Row],[NumL]],T_TraitDi[#Data],COLUMN(T_TraitDi[Colonne11]),FALSE),""),"[hh]:mm"))</f>
        <v>#N/A</v>
      </c>
      <c r="AL106" s="284" t="e">
        <f>IF(VLOOKUP(T_Convention[[#This Row],[NumL]],T_TraitDi[#Data],COLUMN(T_TraitDi[Colonne12]),FALSE)=0,"",TEXT(IFERROR(VLOOKUP(T_Convention[[#This Row],[NumL]],T_TraitDi[#Data],COLUMN(T_TraitDi[Colonne12]),FALSE),""),"[hh]:mm"))</f>
        <v>#N/A</v>
      </c>
      <c r="AM106" s="284" t="e">
        <f>IF(VLOOKUP(T_Convention[[#This Row],[NumL]],T_TraitDi[#Data],COLUMN(T_TraitDi[Colonne14]),FALSE)=0,"",TEXT(IFERROR(VLOOKUP(T_Convention[[#This Row],[NumL]],T_TraitDi[#Data],COLUMN(T_TraitDi[Colonne14]),FALSE),""),"[hh]:mm"))</f>
        <v>#N/A</v>
      </c>
      <c r="AN106" s="284" t="str">
        <f>IFERROR(VLOOKUP(T_Convention[[#This Row],[NumL]],T_TraitDi[#Data],COLUMN(T_TraitDi[Mercredi]),FALSE),"")</f>
        <v/>
      </c>
      <c r="AO106" s="284" t="e">
        <f>IF(VLOOKUP(T_Convention[[#This Row],[NumL]],T_TraitDi[#Data],COLUMN(T_TraitDi[Colonne15]),FALSE)=0,"",TEXT(IFERROR(VLOOKUP(T_Convention[[#This Row],[NumL]],T_TraitDi[#Data],COLUMN(T_TraitDi[Colonne15]),FALSE),""),"[hh]:mm"))</f>
        <v>#N/A</v>
      </c>
      <c r="AP106" s="284" t="e">
        <f>IF(VLOOKUP(T_Convention[[#This Row],[NumL]],T_TraitDi[#Data],COLUMN(T_TraitDi[Colonne16]),FALSE)=0,"",TEXT(IFERROR(VLOOKUP(T_Convention[[#This Row],[NumL]],T_TraitDi[#Data],COLUMN(T_TraitDi[Colonne16]),FALSE),""),"[hh]:mm"))</f>
        <v>#N/A</v>
      </c>
      <c r="AQ106" s="284" t="str">
        <f>IFERROR(VLOOKUP(T_Convention[[#This Row],[NumL]],T_TraitDi[#Data],COLUMN(T_TraitDi[Colonne17]),FALSE),"")</f>
        <v/>
      </c>
      <c r="AR106" s="284" t="e">
        <f>IF(VLOOKUP(T_Convention[[#This Row],[NumL]],T_TraitDi[#Data],COLUMN(T_TraitDi[Colonne18]),FALSE)=0,"",TEXT(IFERROR(VLOOKUP(T_Convention[[#This Row],[NumL]],T_TraitDi[#Data],COLUMN(T_TraitDi[Colonne18]),FALSE),""),"[hh]:mm"))</f>
        <v>#N/A</v>
      </c>
      <c r="AS106" s="284" t="e">
        <f>IF(VLOOKUP(T_Convention[[#This Row],[NumL]],T_TraitDi[#Data],COLUMN(T_TraitDi[Colonne19]),FALSE)=0,"",TEXT(IFERROR(VLOOKUP(T_Convention[[#This Row],[NumL]],T_TraitDi[#Data],COLUMN(T_TraitDi[Colonne19]),FALSE),""),"[hh]:mm"))</f>
        <v>#N/A</v>
      </c>
      <c r="AT106" s="284" t="e">
        <f>IF(VLOOKUP(T_Convention[[#This Row],[NumL]],T_TraitDi[#Data],COLUMN(T_TraitDi[Colonne20]),FALSE)=0,"",TEXT(IFERROR(VLOOKUP(T_Convention[[#This Row],[NumL]],T_TraitDi[#Data],COLUMN(T_TraitDi[Colonne20]),FALSE),""),"[hh]:mm"))</f>
        <v>#N/A</v>
      </c>
      <c r="AU106" s="284" t="str">
        <f>IFERROR(VLOOKUP(T_Convention[[#This Row],[NumL]],T_TraitDi[#Data],COLUMN(T_TraitDi[Jeudi]),FALSE),"")</f>
        <v/>
      </c>
      <c r="AV106" s="284" t="e">
        <f>IF(VLOOKUP(T_Convention[[#This Row],[NumL]],T_TraitDi[#Data],COLUMN(T_TraitDi[Colonne21]),FALSE)=0,"",TEXT(IFERROR(VLOOKUP(T_Convention[[#This Row],[NumL]],T_TraitDi[#Data],COLUMN(T_TraitDi[Colonne21]),FALSE),""),"[hh]:mm"))</f>
        <v>#N/A</v>
      </c>
      <c r="AW106" s="284" t="e">
        <f>IF(VLOOKUP(T_Convention[[#This Row],[NumL]],T_TraitDi[#Data],COLUMN(T_TraitDi[Colonne22]),FALSE)=0,"",TEXT(IFERROR(VLOOKUP(T_Convention[[#This Row],[NumL]],T_TraitDi[#Data],COLUMN(T_TraitDi[Colonne22]),FALSE),""),"[hh]:mm"))</f>
        <v>#N/A</v>
      </c>
      <c r="AX106" s="284" t="str">
        <f>IFERROR(VLOOKUP(T_Convention[[#This Row],[NumL]],T_TraitDi[#Data],COLUMN(T_TraitDi[Colonne23]),FALSE),"")</f>
        <v/>
      </c>
      <c r="AY106" s="284" t="e">
        <f>IF(VLOOKUP(T_Convention[[#This Row],[NumL]],T_TraitDi[#Data],COLUMN(T_TraitDi[Colonne24]),FALSE)=0,"",TEXT(IFERROR(VLOOKUP(T_Convention[[#This Row],[NumL]],T_TraitDi[#Data],COLUMN(T_TraitDi[Colonne24]),FALSE),""),"[hh]:mm"))</f>
        <v>#N/A</v>
      </c>
      <c r="AZ106" s="284" t="e">
        <f>IF(VLOOKUP(T_Convention[[#This Row],[NumL]],T_TraitDi[#Data],COLUMN(T_TraitDi[Colonne25]),FALSE)=0,"",TEXT(IFERROR(VLOOKUP(T_Convention[[#This Row],[NumL]],T_TraitDi[#Data],COLUMN(T_TraitDi[Colonne25]),FALSE),""),"[hh]:mm"))</f>
        <v>#N/A</v>
      </c>
      <c r="BA106" s="284" t="e">
        <f>IF(VLOOKUP(T_Convention[[#This Row],[NumL]],T_TraitDi[#Data],COLUMN(T_TraitDi[Colonne26]),FALSE)=0,"",TEXT(IFERROR(VLOOKUP(T_Convention[[#This Row],[NumL]],T_TraitDi[#Data],COLUMN(T_TraitDi[Colonne26]),FALSE),""),"[hh]:mm"))</f>
        <v>#N/A</v>
      </c>
      <c r="BB106" s="284" t="str">
        <f>IFERROR(VLOOKUP(T_Convention[[#This Row],[NumL]],T_TraitDi[#Data],COLUMN(T_TraitDi[Vendredi]),FALSE),"")</f>
        <v/>
      </c>
      <c r="BC106" s="284" t="e">
        <f>IF(VLOOKUP(T_Convention[[#This Row],[NumL]],T_TraitDi[#Data],COLUMN(T_TraitDi[Colonne27]),FALSE)=0,"",TEXT(IFERROR(VLOOKUP(T_Convention[[#This Row],[NumL]],T_TraitDi[#Data],COLUMN(T_TraitDi[Colonne27]),FALSE),""),"[hh]:mm"))</f>
        <v>#N/A</v>
      </c>
      <c r="BD106" s="284" t="e">
        <f>IF(VLOOKUP(T_Convention[[#This Row],[NumL]],T_TraitDi[#Data],COLUMN(T_TraitDi[Colonne28]),FALSE)=0,"",TEXT(IFERROR(VLOOKUP(T_Convention[[#This Row],[NumL]],T_TraitDi[#Data],COLUMN(T_TraitDi[Colonne28]),FALSE),""),"[hh]:mm"))</f>
        <v>#N/A</v>
      </c>
      <c r="BE106" s="284" t="str">
        <f>IFERROR(VLOOKUP(T_Convention[[#This Row],[NumL]],T_TraitDi[#Data],COLUMN(T_TraitDi[Colonne29]),FALSE),"")</f>
        <v/>
      </c>
      <c r="BF106" s="284" t="e">
        <f>IF(VLOOKUP(T_Convention[[#This Row],[NumL]],T_TraitDi[#Data],COLUMN(T_TraitDi[Colonne30]),FALSE)=0,"",TEXT(IFERROR(VLOOKUP(T_Convention[[#This Row],[NumL]],T_TraitDi[#Data],COLUMN(T_TraitDi[Colonne30]),FALSE),""),"[hh]:mm"))</f>
        <v>#N/A</v>
      </c>
      <c r="BG106" s="284" t="e">
        <f>IF(VLOOKUP(T_Convention[[#This Row],[NumL]],T_TraitDi[#Data],COLUMN(T_TraitDi[Colonne31]),FALSE)=0,"",TEXT(IFERROR(VLOOKUP(T_Convention[[#This Row],[NumL]],T_TraitDi[#Data],COLUMN(T_TraitDi[Colonne31]),FALSE),""),"[hh]:mm"))</f>
        <v>#N/A</v>
      </c>
      <c r="BH106" s="284" t="e">
        <f>IF(VLOOKUP(T_Convention[[#This Row],[NumL]],T_TraitDi[#Data],COLUMN(T_TraitDi[Colonne32]),FALSE)=0,"",TEXT(IFERROR(VLOOKUP(T_Convention[[#This Row],[NumL]],T_TraitDi[#Data],COLUMN(T_TraitDi[Colonne32]),FALSE),""),"[hh]:mm"))</f>
        <v>#N/A</v>
      </c>
      <c r="BI106" s="284" t="str">
        <f>IFERROR(VLOOKUP(T_Convention[[#This Row],[NumL]],T_TraitDi[#Data],COLUMN(T_TraitDi[NbJTW]),FALSE),"")</f>
        <v/>
      </c>
      <c r="BJ106" s="284" t="e">
        <f>IF(VLOOKUP(T_Convention[[#This Row],[NumL]],T_TraitDi[#Data],COLUMN(T_TraitDi[NbhTW]),FALSE)=0,"",TEXT(IFERROR(VLOOKUP(T_Convention[[#This Row],[NumL]],T_TraitDi[#Data],COLUMN(T_TraitDi[NbhTW]),FALSE),""),"[hh]:mm"))</f>
        <v>#N/A</v>
      </c>
      <c r="BK106" s="286" t="e">
        <f>IF(VLOOKUP(T_Convention[[#This Row],[NumL]],T_TraitDi[#Data],COLUMN(T_TraitDi[Nbhheb]),FALSE)=0,"",TEXT(IFERROR(VLOOKUP(T_Convention[[#This Row],[NumL]],T_TraitDi[#Data],COLUMN(T_TraitDi[Nbhheb]),FALSE),""),"[hh]:mm"))</f>
        <v>#N/A</v>
      </c>
      <c r="BL106" s="287" t="str">
        <f>IFERROR(VLOOKUP(VLOOKUP(T_Convention[[#This Row],[NumL]],T_TraitDi[#Data],COLUMN(T_TraitDi[Type1]),FALSE),TypeTW,2,FALSE),"")</f>
        <v/>
      </c>
      <c r="BM106" s="288" t="str">
        <f>IFERROR(VLOOKUP(T_Convention[[#This Row],[NumL]],T_TraitDi[#Data],COLUMN(T_TraitDi[Rue1]),FALSE),"")</f>
        <v/>
      </c>
      <c r="BN106" s="289" t="str">
        <f>IFERROR(VLOOKUP(T_Convention[[#This Row],[NumL]],T_TraitDi[#Data],COLUMN(T_TraitDi[CP1]),FALSE),"")</f>
        <v/>
      </c>
      <c r="BO106" s="282" t="str">
        <f>IFERROR(VLOOKUP(T_Convention[[#This Row],[NumL]],T_TraitDi[#Data],COLUMN(T_TraitDi[VILLE1]),FALSE),"")</f>
        <v/>
      </c>
      <c r="BP106" s="290" t="str">
        <f>IFERROR(VLOOKUP(VLOOKUP(T_Convention[[#This Row],[NumL]],T_TraitDi[#Data],COLUMN(T_TraitDi[Type2]),FALSE),TypeTW,2,FALSE),"")</f>
        <v/>
      </c>
      <c r="BQ106" s="182" t="str">
        <f>IFERROR(VLOOKUP(T_Convention[[#This Row],[NumL]],T_TraitDi[#Data],COLUMN(T_TraitDi[Rue2]),FALSE),"")</f>
        <v/>
      </c>
      <c r="BR106" s="173" t="str">
        <f>IFERROR(VLOOKUP(T_Convention[[#This Row],[NumL]],T_TraitDi[#Data],COLUMN(T_TraitDi[CP2]),FALSE),"")</f>
        <v/>
      </c>
      <c r="BS106" s="173" t="str">
        <f>IFERROR(VLOOKUP(T_Convention[[#This Row],[NumL]],T_TraitDi[#Data],COLUMN(T_TraitDi[VILLE2]),FALSE),"")</f>
        <v/>
      </c>
      <c r="BT106" s="182" t="str">
        <f>IF(VLOOKUP(T_Convention[[#This Row],[NumL]],T_Equipement[#Data],COLUMN(T_Equipement[PC]),FALSE)="","Aucun équipement spécifique directement lié au télétravail",VLOOKUP(T_Convention[[#This Row],[NumL]],T_Equipement[#Data],COLUMN(T_Equipement[PC]),FALSE))</f>
        <v xml:space="preserve">16-086	</v>
      </c>
      <c r="BU106" s="166" t="str">
        <f>IFERROR(IF(VLOOKUP(T_Convention[[#This Row],[NumL]],T_TraitDi[#Data],COLUMN(T_TraitDi[Plan]),FALSE)="OK","Un planning spécifique de télétravail est annexé à la présente convention.",""),"")</f>
        <v/>
      </c>
      <c r="BV106" s="185"/>
      <c r="BW106" s="164" t="e">
        <f>IF(VLOOKUP(T_Convention[[#This Row],[NumL]],T_suiviDi[#Data],COLUMN(T_suiviDi[Entité]),FALSE)="","",VLOOKUP(T_Convention[[#This Row],[NumL]],T_suiviDi[#Data],COLUMN(T_suiviDi[Entité]),FALSE))</f>
        <v>#N/A</v>
      </c>
      <c r="BX106" s="164" t="str">
        <f>IF(VLOOKUP(T_Convention[[#This Row],[NumL]],T_Commission[#Data],COLUMN(T_Commission[envoi confirm TW]),FALSE)="","",VLOOKUP(T_Convention[[#This Row],[NumL]],T_Commission[#Data],COLUMN(T_Commission[envoi confirm TW]),FALSE))</f>
        <v>Oui</v>
      </c>
      <c r="BY10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6" s="264">
        <f>VLOOKUP(T_Convention[[#This Row],[NumL]],T_Commission[#Data],COLUMN(T_Commission[Commentaire]),FALSE)</f>
        <v>0</v>
      </c>
      <c r="CA106" s="254" t="str">
        <f>IF(VLOOKUP(T_Convention[[#This Row],[NumL]],T_Commission[#Data],COLUMN(T_Commission[Encadrant Email]),FALSE)="","",VLOOKUP(T_Convention[[#This Row],[NumL]],T_Commission[#Data],COLUMN(T_Commission[Encadrant Email]),FALSE))</f>
        <v/>
      </c>
      <c r="CB106" s="352" t="e">
        <f>VLOOKUP(T_Convention[[#This Row],[NumL]],T_TraitDi[#Data],COLUMN(T_TraitDi[NbJTot]),FALSE)</f>
        <v>#N/A</v>
      </c>
      <c r="CC106" s="352" t="e">
        <f>VLOOKUP(T_Convention[[#This Row],[NumL]],T_TraitDi[#Data],COLUMN(T_TraitDi[Reg Ponct]),FALSE)</f>
        <v>#N/A</v>
      </c>
      <c r="CD106" s="348" t="str">
        <f>IF(T_Convention[[#This Row],[Final]]&lt;&gt;"",VLOOKUP(T_Convention[[#This Row],[NumL]],T_suiviDi[#Data],COLUMN((T_suiviDi[Statut])),FALSE),"")</f>
        <v/>
      </c>
    </row>
    <row r="107" spans="1:82" s="106" customFormat="1" ht="18.75" customHeight="1" x14ac:dyDescent="0.25">
      <c r="A107" s="160">
        <v>216</v>
      </c>
      <c r="B107" s="161" t="str">
        <f>VLOOKUP(T_Convention[[#This Row],[NumL]],T_Commission[#Data],COLUMN(T_Commission[FINAL]),FALSE)</f>
        <v/>
      </c>
      <c r="C107" s="162"/>
      <c r="D107" s="95" t="e">
        <f>IF(VLOOKUP(T_Convention[[#This Row],[NumL]],T_TraitDi[#Data],COLUMN(T_TraitDi[WebC]),FALSE)="","",VLOOKUP(T_Convention[[#This Row],[NumL]],T_TraitDi[#Data],COLUMN(T_TraitDi[WebC]),FALSE))</f>
        <v>#N/A</v>
      </c>
      <c r="E107" s="163" t="str">
        <f t="shared" si="5"/>
        <v>12 janvier 2021</v>
      </c>
      <c r="F107" s="282" t="str">
        <f>IF(T_Convention[[#This Row],[Final]]&lt;&gt;"",VLOOKUP(T_Convention[[#This Row],[NumL]],T_suiviDi[#Data],COLUMN((T_suiviDi[Civ.])),FALSE),"")</f>
        <v/>
      </c>
      <c r="G107" s="283" t="str">
        <f>IF(T_Convention[[#This Row],[Final]]&lt;&gt;"",VLOOKUP(T_Convention[[#This Row],[NumL]],T_suiviDi[#Data],COLUMN((T_suiviDi[Nom])),FALSE),"")</f>
        <v/>
      </c>
      <c r="H107" s="282" t="str">
        <f>IF(T_Convention[[#This Row],[Final]]&lt;&gt;"",VLOOKUP(T_Convention[[#This Row],[NumL]],T_suiviDi[#Data],COLUMN((T_suiviDi[Prénom])),FALSE),"")</f>
        <v/>
      </c>
      <c r="I107" s="282" t="e">
        <f>VLOOKUP(T_Convention[[#This Row],[NumL]],T_suiviDi[#Data],COLUMN((T_suiviDi[[#This Row],[Email]])),FALSE)</f>
        <v>#VALUE!</v>
      </c>
      <c r="J107" s="282" t="e">
        <f>IF(VLOOKUP(T_Convention[[#This Row],[NumL]],T_suiviDi[#Data],COLUMN(T_suiviDi[[#This Row],[Fonction]]),FALSE)="","",VLOOKUP(T_Convention[[#This Row],[NumL]],T_suiviDi[#Data],COLUMN(T_suiviDi[[#This Row],[Fonction]]),FALSE))</f>
        <v>#VALUE!</v>
      </c>
      <c r="K107" s="282" t="e">
        <f>IF(VLOOKUP(T_Convention[[#This Row],[NumL]],T_suiviDi[#Data],COLUMN(T_suiviDi[[#This Row],[Grade]]),FALSE)="","",VLOOKUP(T_Convention[[#This Row],[NumL]],T_suiviDi[#Data],COLUMN(T_suiviDi[[#This Row],[Grade]]),FALSE))</f>
        <v>#VALUE!</v>
      </c>
      <c r="L107" s="282" t="e">
        <f>IF(VLOOKUP(T_Convention[[#This Row],[NumL]],T_suiviDi[#Data],COLUMN(T_suiviDi[[#This Row],[Service ]]),FALSE)="","",VLOOKUP(T_Convention[[#This Row],[NumL]],T_suiviDi[#Data],COLUMN(T_suiviDi[[#This Row],[Service ]]),FALSE))</f>
        <v>#VALUE!</v>
      </c>
      <c r="M107" s="164" t="str">
        <f t="shared" si="6"/>
        <v>01 septembre 2021</v>
      </c>
      <c r="N107" s="164" t="str">
        <f t="shared" si="7"/>
        <v>30 novembre 2021</v>
      </c>
      <c r="O107" s="284" t="str">
        <f t="shared" si="8"/>
        <v>30 novembre 2021</v>
      </c>
      <c r="P107" s="282" t="e">
        <f>IF(VLOOKUP(T_Convention[[#This Row],[NumL]],T_TraitDi[#Data],COLUMN(T_TraitDi[M1]),FALSE)="","",VLOOKUP(T_Convention[[#This Row],[NumL]],T_TraitDi[#Data],COLUMN(T_TraitDi[M1]),FALSE))</f>
        <v>#N/A</v>
      </c>
      <c r="Q107" s="282" t="e">
        <f>IF(VLOOKUP(T_Convention[[#This Row],[NumL]],T_TraitDi[#Data],COLUMN(T_TraitDi[M2]),FALSE)="","",VLOOKUP(T_Convention[[#This Row],[NumL]],T_TraitDi[#Data],COLUMN(T_TraitDi[M2]),FALSE))</f>
        <v>#N/A</v>
      </c>
      <c r="R107" s="282" t="e">
        <f>IF(VLOOKUP(T_Convention[[#This Row],[NumL]],T_TraitDi[#Data],COLUMN(T_TraitDi[M3]),FALSE)="","",VLOOKUP(T_Convention[[#This Row],[NumL]],T_TraitDi[#Data],COLUMN(T_TraitDi[M3]),FALSE))</f>
        <v>#N/A</v>
      </c>
      <c r="S107" s="282" t="e">
        <f>IF(VLOOKUP(T_Convention[[#This Row],[NumL]],T_TraitDi[#Data],COLUMN(T_TraitDi[M4]),FALSE)="","",VLOOKUP(T_Convention[[#This Row],[NumL]],T_TraitDi[#Data],COLUMN(T_TraitDi[M4]),FALSE))</f>
        <v>#N/A</v>
      </c>
      <c r="T107" s="282" t="e">
        <f>IF(VLOOKUP(T_Convention[[#This Row],[NumL]],T_TraitDi[#Data],COLUMN(T_TraitDi[M5]),FALSE)="","",VLOOKUP(T_Convention[[#This Row],[NumL]],T_TraitDi[#Data],COLUMN(T_TraitDi[M5]),FALSE))</f>
        <v>#N/A</v>
      </c>
      <c r="U107" s="282" t="e">
        <f>IF(VLOOKUP(T_Convention[[#This Row],[NumL]],T_TraitDi[#Data],COLUMN(T_TraitDi[M6]),FALSE)="","",VLOOKUP(T_Convention[[#This Row],[NumL]],T_TraitDi[#Data],COLUMN(T_TraitDi[M6]),FALSE))</f>
        <v>#N/A</v>
      </c>
      <c r="V107" s="176" t="e">
        <f t="shared" si="9"/>
        <v>#N/A</v>
      </c>
      <c r="W107" s="284" t="str">
        <f>IFERROR(TEXT(VLOOKUP(T_Convention[[#This Row],[NumL]],T_TraitDi[#Data],COLUMN(T_TraitDi[Q2]),FALSE),"###%"),"")</f>
        <v/>
      </c>
      <c r="X107" s="97" t="e">
        <f>VLOOKUP(T_Convention[[#This Row],[NumL]],T_TraitDi[#Data],COLUMN(T_TraitDi[Reg Ponct]),FALSE)</f>
        <v>#N/A</v>
      </c>
      <c r="Y107" s="97" t="e">
        <f>VLOOKUP(T_Convention[NumL],T_TraitDi[#Data],COLUMN(T_TraitDi[Jours flottants]),FALSE)</f>
        <v>#N/A</v>
      </c>
      <c r="Z107" s="284" t="str">
        <f>IFERROR(VLOOKUP(T_Convention[[#This Row],[NumL]],T_TraitDi[#Data],COLUMN(T_TraitDi[Lundi]),FALSE),"")</f>
        <v/>
      </c>
      <c r="AA107" s="284" t="e">
        <f>IF(VLOOKUP(T_Convention[[#This Row],[NumL]],T_TraitDi[#Data],COLUMN(T_TraitDi[Colonne3]),FALSE)=0,"",TEXT(IFERROR(VLOOKUP(T_Convention[[#This Row],[NumL]],T_TraitDi[#Data],COLUMN(T_TraitDi[Colonne3]),FALSE),""),"[hh]:mm"))</f>
        <v>#N/A</v>
      </c>
      <c r="AB107" s="284" t="e">
        <f>IF(VLOOKUP(T_Convention[[#This Row],[NumL]],T_TraitDi[#Data],COLUMN(T_TraitDi[Colonne4]),FALSE)=0,"",TEXT(IFERROR(VLOOKUP(T_Convention[[#This Row],[NumL]],T_TraitDi[#Data],COLUMN(T_TraitDi[Colonne4]),FALSE),""),"[hh]:mm"))</f>
        <v>#N/A</v>
      </c>
      <c r="AC107" s="284" t="e">
        <f>IF(VLOOKUP(T_Convention[[#This Row],[NumL]],T_TraitDi[#Data],COLUMN(T_TraitDi[Colonne5]),FALSE)=0,"",TEXT(IFERROR(VLOOKUP(T_Convention[[#This Row],[NumL]],T_TraitDi[#Data],COLUMN(T_TraitDi[Colonne5]),FALSE),""),"[hh]:mm"))</f>
        <v>#N/A</v>
      </c>
      <c r="AD107" s="284" t="e">
        <f>IF(VLOOKUP(T_Convention[[#This Row],[NumL]],T_TraitDi[#Data],COLUMN(T_TraitDi[Colonne6]),FALSE)=0,"",TEXT(IFERROR(VLOOKUP(T_Convention[[#This Row],[NumL]],T_TraitDi[#Data],COLUMN(T_TraitDi[Colonne6]),FALSE),""),"[hh]:mm"))</f>
        <v>#N/A</v>
      </c>
      <c r="AE107" s="284" t="e">
        <f>IF(VLOOKUP(T_Convention[[#This Row],[NumL]],T_TraitDi[#Data],COLUMN(T_TraitDi[Colonne7]),FALSE)=0,"",TEXT(IFERROR(VLOOKUP(T_Convention[[#This Row],[NumL]],T_TraitDi[#Data],COLUMN(T_TraitDi[Colonne7]),FALSE),""),"[hh]:mm"))</f>
        <v>#N/A</v>
      </c>
      <c r="AF107" s="284" t="e">
        <f>IF(VLOOKUP(T_Convention[[#This Row],[NumL]],T_TraitDi[#Data],COLUMN(T_TraitDi[Colonne8]),FALSE)=0,"",TEXT(IFERROR(VLOOKUP(T_Convention[[#This Row],[NumL]],T_TraitDi[#Data],COLUMN(T_TraitDi[Colonne8]),FALSE),""),"[hh]:mm"))</f>
        <v>#N/A</v>
      </c>
      <c r="AG107" s="284" t="str">
        <f>IFERROR(VLOOKUP(T_Convention[[#This Row],[NumL]],T_TraitDi[#Data],COLUMN(T_TraitDi[Mardi]),FALSE),"")</f>
        <v/>
      </c>
      <c r="AH107" s="284" t="e">
        <f>IF(VLOOKUP(T_Convention[[#This Row],[NumL]],T_TraitDi[#Data],COLUMN(T_TraitDi[Colonne1]),FALSE)=0,"",TEXT(IFERROR(VLOOKUP(T_Convention[[#This Row],[NumL]],T_TraitDi[#Data],COLUMN(T_TraitDi[Colonne1]),FALSE),""),"[hh]:mm"))</f>
        <v>#N/A</v>
      </c>
      <c r="AI107" s="284" t="e">
        <f>IF(VLOOKUP(T_Convention[[#This Row],[NumL]],T_TraitDi[#Data],COLUMN(T_TraitDi[Colonne9]),FALSE)=0,"",TEXT(IFERROR(VLOOKUP(T_Convention[[#This Row],[NumL]],T_TraitDi[#Data],COLUMN(T_TraitDi[Colonne9]),FALSE),""),"[hh]:mm"))</f>
        <v>#N/A</v>
      </c>
      <c r="AJ107" s="284" t="str">
        <f>IFERROR(VLOOKUP(T_Convention[[#This Row],[NumL]],T_TraitDi[#Data],COLUMN(T_TraitDi[Colonne10]),FALSE),"")</f>
        <v/>
      </c>
      <c r="AK107" s="284" t="e">
        <f>IF(VLOOKUP(T_Convention[[#This Row],[NumL]],T_TraitDi[#Data],COLUMN(T_TraitDi[Colonne11]),FALSE)=0,"",TEXT(IFERROR(VLOOKUP(T_Convention[[#This Row],[NumL]],T_TraitDi[#Data],COLUMN(T_TraitDi[Colonne11]),FALSE),""),"[hh]:mm"))</f>
        <v>#N/A</v>
      </c>
      <c r="AL107" s="284" t="e">
        <f>IF(VLOOKUP(T_Convention[[#This Row],[NumL]],T_TraitDi[#Data],COLUMN(T_TraitDi[Colonne12]),FALSE)=0,"",TEXT(IFERROR(VLOOKUP(T_Convention[[#This Row],[NumL]],T_TraitDi[#Data],COLUMN(T_TraitDi[Colonne12]),FALSE),""),"[hh]:mm"))</f>
        <v>#N/A</v>
      </c>
      <c r="AM107" s="284" t="e">
        <f>IF(VLOOKUP(T_Convention[[#This Row],[NumL]],T_TraitDi[#Data],COLUMN(T_TraitDi[Colonne14]),FALSE)=0,"",TEXT(IFERROR(VLOOKUP(T_Convention[[#This Row],[NumL]],T_TraitDi[#Data],COLUMN(T_TraitDi[Colonne14]),FALSE),""),"[hh]:mm"))</f>
        <v>#N/A</v>
      </c>
      <c r="AN107" s="284" t="str">
        <f>IFERROR(VLOOKUP(T_Convention[[#This Row],[NumL]],T_TraitDi[#Data],COLUMN(T_TraitDi[Mercredi]),FALSE),"")</f>
        <v/>
      </c>
      <c r="AO107" s="284" t="e">
        <f>IF(VLOOKUP(T_Convention[[#This Row],[NumL]],T_TraitDi[#Data],COLUMN(T_TraitDi[Colonne15]),FALSE)=0,"",TEXT(IFERROR(VLOOKUP(T_Convention[[#This Row],[NumL]],T_TraitDi[#Data],COLUMN(T_TraitDi[Colonne15]),FALSE),""),"[hh]:mm"))</f>
        <v>#N/A</v>
      </c>
      <c r="AP107" s="284" t="e">
        <f>IF(VLOOKUP(T_Convention[[#This Row],[NumL]],T_TraitDi[#Data],COLUMN(T_TraitDi[Colonne16]),FALSE)=0,"",TEXT(IFERROR(VLOOKUP(T_Convention[[#This Row],[NumL]],T_TraitDi[#Data],COLUMN(T_TraitDi[Colonne16]),FALSE),""),"[hh]:mm"))</f>
        <v>#N/A</v>
      </c>
      <c r="AQ107" s="284" t="str">
        <f>IFERROR(VLOOKUP(T_Convention[[#This Row],[NumL]],T_TraitDi[#Data],COLUMN(T_TraitDi[Colonne17]),FALSE),"")</f>
        <v/>
      </c>
      <c r="AR107" s="284" t="e">
        <f>IF(VLOOKUP(T_Convention[[#This Row],[NumL]],T_TraitDi[#Data],COLUMN(T_TraitDi[Colonne18]),FALSE)=0,"",TEXT(IFERROR(VLOOKUP(T_Convention[[#This Row],[NumL]],T_TraitDi[#Data],COLUMN(T_TraitDi[Colonne18]),FALSE),""),"[hh]:mm"))</f>
        <v>#N/A</v>
      </c>
      <c r="AS107" s="284" t="e">
        <f>IF(VLOOKUP(T_Convention[[#This Row],[NumL]],T_TraitDi[#Data],COLUMN(T_TraitDi[Colonne19]),FALSE)=0,"",TEXT(IFERROR(VLOOKUP(T_Convention[[#This Row],[NumL]],T_TraitDi[#Data],COLUMN(T_TraitDi[Colonne19]),FALSE),""),"[hh]:mm"))</f>
        <v>#N/A</v>
      </c>
      <c r="AT107" s="284" t="e">
        <f>IF(VLOOKUP(T_Convention[[#This Row],[NumL]],T_TraitDi[#Data],COLUMN(T_TraitDi[Colonne20]),FALSE)=0,"",TEXT(IFERROR(VLOOKUP(T_Convention[[#This Row],[NumL]],T_TraitDi[#Data],COLUMN(T_TraitDi[Colonne20]),FALSE),""),"[hh]:mm"))</f>
        <v>#N/A</v>
      </c>
      <c r="AU107" s="284" t="str">
        <f>IFERROR(VLOOKUP(T_Convention[[#This Row],[NumL]],T_TraitDi[#Data],COLUMN(T_TraitDi[Jeudi]),FALSE),"")</f>
        <v/>
      </c>
      <c r="AV107" s="284" t="e">
        <f>IF(VLOOKUP(T_Convention[[#This Row],[NumL]],T_TraitDi[#Data],COLUMN(T_TraitDi[Colonne21]),FALSE)=0,"",TEXT(IFERROR(VLOOKUP(T_Convention[[#This Row],[NumL]],T_TraitDi[#Data],COLUMN(T_TraitDi[Colonne21]),FALSE),""),"[hh]:mm"))</f>
        <v>#N/A</v>
      </c>
      <c r="AW107" s="284" t="e">
        <f>IF(VLOOKUP(T_Convention[[#This Row],[NumL]],T_TraitDi[#Data],COLUMN(T_TraitDi[Colonne22]),FALSE)=0,"",TEXT(IFERROR(VLOOKUP(T_Convention[[#This Row],[NumL]],T_TraitDi[#Data],COLUMN(T_TraitDi[Colonne22]),FALSE),""),"[hh]:mm"))</f>
        <v>#N/A</v>
      </c>
      <c r="AX107" s="284" t="str">
        <f>IFERROR(VLOOKUP(T_Convention[[#This Row],[NumL]],T_TraitDi[#Data],COLUMN(T_TraitDi[Colonne23]),FALSE),"")</f>
        <v/>
      </c>
      <c r="AY107" s="284" t="e">
        <f>IF(VLOOKUP(T_Convention[[#This Row],[NumL]],T_TraitDi[#Data],COLUMN(T_TraitDi[Colonne24]),FALSE)=0,"",TEXT(IFERROR(VLOOKUP(T_Convention[[#This Row],[NumL]],T_TraitDi[#Data],COLUMN(T_TraitDi[Colonne24]),FALSE),""),"[hh]:mm"))</f>
        <v>#N/A</v>
      </c>
      <c r="AZ107" s="284" t="e">
        <f>IF(VLOOKUP(T_Convention[[#This Row],[NumL]],T_TraitDi[#Data],COLUMN(T_TraitDi[Colonne25]),FALSE)=0,"",TEXT(IFERROR(VLOOKUP(T_Convention[[#This Row],[NumL]],T_TraitDi[#Data],COLUMN(T_TraitDi[Colonne25]),FALSE),""),"[hh]:mm"))</f>
        <v>#N/A</v>
      </c>
      <c r="BA107" s="284" t="e">
        <f>IF(VLOOKUP(T_Convention[[#This Row],[NumL]],T_TraitDi[#Data],COLUMN(T_TraitDi[Colonne26]),FALSE)=0,"",TEXT(IFERROR(VLOOKUP(T_Convention[[#This Row],[NumL]],T_TraitDi[#Data],COLUMN(T_TraitDi[Colonne26]),FALSE),""),"[hh]:mm"))</f>
        <v>#N/A</v>
      </c>
      <c r="BB107" s="284" t="str">
        <f>IFERROR(VLOOKUP(T_Convention[[#This Row],[NumL]],T_TraitDi[#Data],COLUMN(T_TraitDi[Vendredi]),FALSE),"")</f>
        <v/>
      </c>
      <c r="BC107" s="284" t="e">
        <f>IF(VLOOKUP(T_Convention[[#This Row],[NumL]],T_TraitDi[#Data],COLUMN(T_TraitDi[Colonne27]),FALSE)=0,"",TEXT(IFERROR(VLOOKUP(T_Convention[[#This Row],[NumL]],T_TraitDi[#Data],COLUMN(T_TraitDi[Colonne27]),FALSE),""),"[hh]:mm"))</f>
        <v>#N/A</v>
      </c>
      <c r="BD107" s="284" t="e">
        <f>IF(VLOOKUP(T_Convention[[#This Row],[NumL]],T_TraitDi[#Data],COLUMN(T_TraitDi[Colonne28]),FALSE)=0,"",TEXT(IFERROR(VLOOKUP(T_Convention[[#This Row],[NumL]],T_TraitDi[#Data],COLUMN(T_TraitDi[Colonne28]),FALSE),""),"[hh]:mm"))</f>
        <v>#N/A</v>
      </c>
      <c r="BE107" s="284" t="str">
        <f>IFERROR(VLOOKUP(T_Convention[[#This Row],[NumL]],T_TraitDi[#Data],COLUMN(T_TraitDi[Colonne29]),FALSE),"")</f>
        <v/>
      </c>
      <c r="BF107" s="284" t="e">
        <f>IF(VLOOKUP(T_Convention[[#This Row],[NumL]],T_TraitDi[#Data],COLUMN(T_TraitDi[Colonne30]),FALSE)=0,"",TEXT(IFERROR(VLOOKUP(T_Convention[[#This Row],[NumL]],T_TraitDi[#Data],COLUMN(T_TraitDi[Colonne30]),FALSE),""),"[hh]:mm"))</f>
        <v>#N/A</v>
      </c>
      <c r="BG107" s="284" t="e">
        <f>IF(VLOOKUP(T_Convention[[#This Row],[NumL]],T_TraitDi[#Data],COLUMN(T_TraitDi[Colonne31]),FALSE)=0,"",TEXT(IFERROR(VLOOKUP(T_Convention[[#This Row],[NumL]],T_TraitDi[#Data],COLUMN(T_TraitDi[Colonne31]),FALSE),""),"[hh]:mm"))</f>
        <v>#N/A</v>
      </c>
      <c r="BH107" s="284" t="e">
        <f>IF(VLOOKUP(T_Convention[[#This Row],[NumL]],T_TraitDi[#Data],COLUMN(T_TraitDi[Colonne32]),FALSE)=0,"",TEXT(IFERROR(VLOOKUP(T_Convention[[#This Row],[NumL]],T_TraitDi[#Data],COLUMN(T_TraitDi[Colonne32]),FALSE),""),"[hh]:mm"))</f>
        <v>#N/A</v>
      </c>
      <c r="BI107" s="284" t="str">
        <f>IFERROR(VLOOKUP(T_Convention[[#This Row],[NumL]],T_TraitDi[#Data],COLUMN(T_TraitDi[NbJTW]),FALSE),"")</f>
        <v/>
      </c>
      <c r="BJ107" s="284" t="e">
        <f>IF(VLOOKUP(T_Convention[[#This Row],[NumL]],T_TraitDi[#Data],COLUMN(T_TraitDi[NbhTW]),FALSE)=0,"",TEXT(IFERROR(VLOOKUP(T_Convention[[#This Row],[NumL]],T_TraitDi[#Data],COLUMN(T_TraitDi[NbhTW]),FALSE),""),"[hh]:mm"))</f>
        <v>#N/A</v>
      </c>
      <c r="BK107" s="286" t="e">
        <f>IF(VLOOKUP(T_Convention[[#This Row],[NumL]],T_TraitDi[#Data],COLUMN(T_TraitDi[Nbhheb]),FALSE)=0,"",TEXT(IFERROR(VLOOKUP(T_Convention[[#This Row],[NumL]],T_TraitDi[#Data],COLUMN(T_TraitDi[Nbhheb]),FALSE),""),"[hh]:mm"))</f>
        <v>#N/A</v>
      </c>
      <c r="BL107" s="287" t="str">
        <f>IFERROR(VLOOKUP(VLOOKUP(T_Convention[[#This Row],[NumL]],T_TraitDi[#Data],COLUMN(T_TraitDi[Type1]),FALSE),TypeTW,2,FALSE),"")</f>
        <v/>
      </c>
      <c r="BM107" s="288" t="str">
        <f>IFERROR(VLOOKUP(T_Convention[[#This Row],[NumL]],T_TraitDi[#Data],COLUMN(T_TraitDi[Rue1]),FALSE),"")</f>
        <v/>
      </c>
      <c r="BN107" s="289" t="str">
        <f>IFERROR(VLOOKUP(T_Convention[[#This Row],[NumL]],T_TraitDi[#Data],COLUMN(T_TraitDi[CP1]),FALSE),"")</f>
        <v/>
      </c>
      <c r="BO107" s="282" t="str">
        <f>IFERROR(VLOOKUP(T_Convention[[#This Row],[NumL]],T_TraitDi[#Data],COLUMN(T_TraitDi[VILLE1]),FALSE),"")</f>
        <v/>
      </c>
      <c r="BP107" s="290" t="str">
        <f>IFERROR(VLOOKUP(VLOOKUP(T_Convention[[#This Row],[NumL]],T_TraitDi[#Data],COLUMN(T_TraitDi[Type2]),FALSE),TypeTW,2,FALSE),"")</f>
        <v/>
      </c>
      <c r="BQ107" s="182" t="str">
        <f>IFERROR(VLOOKUP(T_Convention[[#This Row],[NumL]],T_TraitDi[#Data],COLUMN(T_TraitDi[Rue2]),FALSE),"")</f>
        <v/>
      </c>
      <c r="BR107" s="173" t="str">
        <f>IFERROR(VLOOKUP(T_Convention[[#This Row],[NumL]],T_TraitDi[#Data],COLUMN(T_TraitDi[CP2]),FALSE),"")</f>
        <v/>
      </c>
      <c r="BS107" s="173" t="str">
        <f>IFERROR(VLOOKUP(T_Convention[[#This Row],[NumL]],T_TraitDi[#Data],COLUMN(T_TraitDi[VILLE2]),FALSE),"")</f>
        <v/>
      </c>
      <c r="BT107" s="182" t="str">
        <f>IF(VLOOKUP(T_Convention[[#This Row],[NumL]],T_Equipement[#Data],COLUMN(T_Equipement[PC]),FALSE)="","Aucun équipement spécifique directement lié au télétravail",VLOOKUP(T_Convention[[#This Row],[NumL]],T_Equipement[#Data],COLUMN(T_Equipement[PC]),FALSE))</f>
        <v xml:space="preserve">20-065	</v>
      </c>
      <c r="BU107" s="166" t="str">
        <f>IFERROR(IF(VLOOKUP(T_Convention[[#This Row],[NumL]],T_TraitDi[#Data],COLUMN(T_TraitDi[Plan]),FALSE)="OK","Un planning spécifique de télétravail est annexé à la présente convention.",""),"")</f>
        <v/>
      </c>
      <c r="BV107" s="185" t="s">
        <v>3514</v>
      </c>
      <c r="BW107" s="164" t="e">
        <f>IF(VLOOKUP(T_Convention[[#This Row],[NumL]],T_suiviDi[#Data],COLUMN(T_suiviDi[Entité]),FALSE)="","",VLOOKUP(T_Convention[[#This Row],[NumL]],T_suiviDi[#Data],COLUMN(T_suiviDi[Entité]),FALSE))</f>
        <v>#N/A</v>
      </c>
      <c r="BX107" s="164" t="str">
        <f>IF(VLOOKUP(T_Convention[[#This Row],[NumL]],T_Commission[#Data],COLUMN(T_Commission[envoi confirm TW]),FALSE)="","",VLOOKUP(T_Convention[[#This Row],[NumL]],T_Commission[#Data],COLUMN(T_Commission[envoi confirm TW]),FALSE))</f>
        <v>Oui</v>
      </c>
      <c r="BY10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7" s="264">
        <f>VLOOKUP(T_Convention[[#This Row],[NumL]],T_Commission[#Data],COLUMN(T_Commission[Commentaire]),FALSE)</f>
        <v>0</v>
      </c>
      <c r="CA107" s="254" t="str">
        <f>IF(VLOOKUP(T_Convention[[#This Row],[NumL]],T_Commission[#Data],COLUMN(T_Commission[Encadrant Email]),FALSE)="","",VLOOKUP(T_Convention[[#This Row],[NumL]],T_Commission[#Data],COLUMN(T_Commission[Encadrant Email]),FALSE))</f>
        <v/>
      </c>
      <c r="CB107" s="352" t="e">
        <f>VLOOKUP(T_Convention[[#This Row],[NumL]],T_TraitDi[#Data],COLUMN(T_TraitDi[NbJTot]),FALSE)</f>
        <v>#N/A</v>
      </c>
      <c r="CC107" s="352" t="e">
        <f>VLOOKUP(T_Convention[[#This Row],[NumL]],T_TraitDi[#Data],COLUMN(T_TraitDi[Reg Ponct]),FALSE)</f>
        <v>#N/A</v>
      </c>
      <c r="CD107" s="348" t="str">
        <f>IF(T_Convention[[#This Row],[Final]]&lt;&gt;"",VLOOKUP(T_Convention[[#This Row],[NumL]],T_suiviDi[#Data],COLUMN((T_suiviDi[Statut])),FALSE),"")</f>
        <v/>
      </c>
    </row>
    <row r="108" spans="1:82" s="106" customFormat="1" ht="18.75" customHeight="1" x14ac:dyDescent="0.25">
      <c r="A108" s="160">
        <v>188</v>
      </c>
      <c r="B108" s="161" t="str">
        <f>VLOOKUP(T_Convention[[#This Row],[NumL]],T_Commission[#Data],COLUMN(T_Commission[FINAL]),FALSE)</f>
        <v/>
      </c>
      <c r="C108" s="162"/>
      <c r="D108" s="95" t="e">
        <f>IF(VLOOKUP(T_Convention[[#This Row],[NumL]],T_TraitDi[#Data],COLUMN(T_TraitDi[WebC]),FALSE)="","",VLOOKUP(T_Convention[[#This Row],[NumL]],T_TraitDi[#Data],COLUMN(T_TraitDi[WebC]),FALSE))</f>
        <v>#N/A</v>
      </c>
      <c r="E108" s="163" t="str">
        <f t="shared" si="5"/>
        <v>12 janvier 2021</v>
      </c>
      <c r="F108" s="282" t="str">
        <f>IF(T_Convention[[#This Row],[Final]]&lt;&gt;"",VLOOKUP(T_Convention[[#This Row],[NumL]],T_suiviDi[#Data],COLUMN((T_suiviDi[Civ.])),FALSE),"")</f>
        <v/>
      </c>
      <c r="G108" s="283" t="str">
        <f>IF(T_Convention[[#This Row],[Final]]&lt;&gt;"",VLOOKUP(T_Convention[[#This Row],[NumL]],T_suiviDi[#Data],COLUMN((T_suiviDi[Nom])),FALSE),"")</f>
        <v/>
      </c>
      <c r="H108" s="282" t="str">
        <f>IF(T_Convention[[#This Row],[Final]]&lt;&gt;"",VLOOKUP(T_Convention[[#This Row],[NumL]],T_suiviDi[#Data],COLUMN((T_suiviDi[Prénom])),FALSE),"")</f>
        <v/>
      </c>
      <c r="I108" s="282" t="e">
        <f>VLOOKUP(T_Convention[[#This Row],[NumL]],T_suiviDi[#Data],COLUMN((T_suiviDi[[#This Row],[Email]])),FALSE)</f>
        <v>#VALUE!</v>
      </c>
      <c r="J108" s="282" t="e">
        <f>IF(VLOOKUP(T_Convention[[#This Row],[NumL]],T_suiviDi[#Data],COLUMN(T_suiviDi[[#This Row],[Fonction]]),FALSE)="","",VLOOKUP(T_Convention[[#This Row],[NumL]],T_suiviDi[#Data],COLUMN(T_suiviDi[[#This Row],[Fonction]]),FALSE))</f>
        <v>#VALUE!</v>
      </c>
      <c r="K108" s="282" t="e">
        <f>IF(VLOOKUP(T_Convention[[#This Row],[NumL]],T_suiviDi[#Data],COLUMN(T_suiviDi[[#This Row],[Grade]]),FALSE)="","",VLOOKUP(T_Convention[[#This Row],[NumL]],T_suiviDi[#Data],COLUMN(T_suiviDi[[#This Row],[Grade]]),FALSE))</f>
        <v>#VALUE!</v>
      </c>
      <c r="L108" s="282" t="e">
        <f>IF(VLOOKUP(T_Convention[[#This Row],[NumL]],T_suiviDi[#Data],COLUMN(T_suiviDi[[#This Row],[Service ]]),FALSE)="","",VLOOKUP(T_Convention[[#This Row],[NumL]],T_suiviDi[#Data],COLUMN(T_suiviDi[[#This Row],[Service ]]),FALSE))</f>
        <v>#VALUE!</v>
      </c>
      <c r="M108" s="164" t="str">
        <f t="shared" si="6"/>
        <v>01 septembre 2021</v>
      </c>
      <c r="N108" s="164" t="str">
        <f t="shared" si="7"/>
        <v>30 novembre 2021</v>
      </c>
      <c r="O108" s="284" t="str">
        <f t="shared" si="8"/>
        <v>30 novembre 2021</v>
      </c>
      <c r="P108" s="282" t="e">
        <f>IF(VLOOKUP(T_Convention[[#This Row],[NumL]],T_TraitDi[#Data],COLUMN(T_TraitDi[M1]),FALSE)="","",VLOOKUP(T_Convention[[#This Row],[NumL]],T_TraitDi[#Data],COLUMN(T_TraitDi[M1]),FALSE))</f>
        <v>#N/A</v>
      </c>
      <c r="Q108" s="282" t="e">
        <f>IF(VLOOKUP(T_Convention[[#This Row],[NumL]],T_TraitDi[#Data],COLUMN(T_TraitDi[M2]),FALSE)="","",VLOOKUP(T_Convention[[#This Row],[NumL]],T_TraitDi[#Data],COLUMN(T_TraitDi[M2]),FALSE))</f>
        <v>#N/A</v>
      </c>
      <c r="R108" s="282" t="e">
        <f>IF(VLOOKUP(T_Convention[[#This Row],[NumL]],T_TraitDi[#Data],COLUMN(T_TraitDi[M3]),FALSE)="","",VLOOKUP(T_Convention[[#This Row],[NumL]],T_TraitDi[#Data],COLUMN(T_TraitDi[M3]),FALSE))</f>
        <v>#N/A</v>
      </c>
      <c r="S108" s="282" t="e">
        <f>IF(VLOOKUP(T_Convention[[#This Row],[NumL]],T_TraitDi[#Data],COLUMN(T_TraitDi[M4]),FALSE)="","",VLOOKUP(T_Convention[[#This Row],[NumL]],T_TraitDi[#Data],COLUMN(T_TraitDi[M4]),FALSE))</f>
        <v>#N/A</v>
      </c>
      <c r="T108" s="282" t="e">
        <f>IF(VLOOKUP(T_Convention[[#This Row],[NumL]],T_TraitDi[#Data],COLUMN(T_TraitDi[M5]),FALSE)="","",VLOOKUP(T_Convention[[#This Row],[NumL]],T_TraitDi[#Data],COLUMN(T_TraitDi[M5]),FALSE))</f>
        <v>#N/A</v>
      </c>
      <c r="U108" s="282" t="e">
        <f>IF(VLOOKUP(T_Convention[[#This Row],[NumL]],T_TraitDi[#Data],COLUMN(T_TraitDi[M6]),FALSE)="","",VLOOKUP(T_Convention[[#This Row],[NumL]],T_TraitDi[#Data],COLUMN(T_TraitDi[M6]),FALSE))</f>
        <v>#N/A</v>
      </c>
      <c r="V108" s="176" t="e">
        <f t="shared" si="9"/>
        <v>#N/A</v>
      </c>
      <c r="W108" s="284" t="str">
        <f>IFERROR(TEXT(VLOOKUP(T_Convention[[#This Row],[NumL]],T_TraitDi[#Data],COLUMN(T_TraitDi[Q2]),FALSE),"###%"),"")</f>
        <v/>
      </c>
      <c r="X108" s="97" t="e">
        <f>VLOOKUP(T_Convention[[#This Row],[NumL]],T_TraitDi[#Data],COLUMN(T_TraitDi[Reg Ponct]),FALSE)</f>
        <v>#N/A</v>
      </c>
      <c r="Y108" s="97" t="e">
        <f>VLOOKUP(T_Convention[NumL],T_TraitDi[#Data],COLUMN(T_TraitDi[Jours flottants]),FALSE)</f>
        <v>#N/A</v>
      </c>
      <c r="Z108" s="284" t="str">
        <f>IFERROR(VLOOKUP(T_Convention[[#This Row],[NumL]],T_TraitDi[#Data],COLUMN(T_TraitDi[Lundi]),FALSE),"")</f>
        <v/>
      </c>
      <c r="AA108" s="284" t="e">
        <f>IF(VLOOKUP(T_Convention[[#This Row],[NumL]],T_TraitDi[#Data],COLUMN(T_TraitDi[Colonne3]),FALSE)=0,"",TEXT(IFERROR(VLOOKUP(T_Convention[[#This Row],[NumL]],T_TraitDi[#Data],COLUMN(T_TraitDi[Colonne3]),FALSE),""),"[hh]:mm"))</f>
        <v>#N/A</v>
      </c>
      <c r="AB108" s="284" t="e">
        <f>IF(VLOOKUP(T_Convention[[#This Row],[NumL]],T_TraitDi[#Data],COLUMN(T_TraitDi[Colonne4]),FALSE)=0,"",TEXT(IFERROR(VLOOKUP(T_Convention[[#This Row],[NumL]],T_TraitDi[#Data],COLUMN(T_TraitDi[Colonne4]),FALSE),""),"[hh]:mm"))</f>
        <v>#N/A</v>
      </c>
      <c r="AC108" s="284" t="e">
        <f>IF(VLOOKUP(T_Convention[[#This Row],[NumL]],T_TraitDi[#Data],COLUMN(T_TraitDi[Colonne5]),FALSE)=0,"",TEXT(IFERROR(VLOOKUP(T_Convention[[#This Row],[NumL]],T_TraitDi[#Data],COLUMN(T_TraitDi[Colonne5]),FALSE),""),"[hh]:mm"))</f>
        <v>#N/A</v>
      </c>
      <c r="AD108" s="284" t="e">
        <f>IF(VLOOKUP(T_Convention[[#This Row],[NumL]],T_TraitDi[#Data],COLUMN(T_TraitDi[Colonne6]),FALSE)=0,"",TEXT(IFERROR(VLOOKUP(T_Convention[[#This Row],[NumL]],T_TraitDi[#Data],COLUMN(T_TraitDi[Colonne6]),FALSE),""),"[hh]:mm"))</f>
        <v>#N/A</v>
      </c>
      <c r="AE108" s="284" t="e">
        <f>IF(VLOOKUP(T_Convention[[#This Row],[NumL]],T_TraitDi[#Data],COLUMN(T_TraitDi[Colonne7]),FALSE)=0,"",TEXT(IFERROR(VLOOKUP(T_Convention[[#This Row],[NumL]],T_TraitDi[#Data],COLUMN(T_TraitDi[Colonne7]),FALSE),""),"[hh]:mm"))</f>
        <v>#N/A</v>
      </c>
      <c r="AF108" s="284" t="e">
        <f>IF(VLOOKUP(T_Convention[[#This Row],[NumL]],T_TraitDi[#Data],COLUMN(T_TraitDi[Colonne8]),FALSE)=0,"",TEXT(IFERROR(VLOOKUP(T_Convention[[#This Row],[NumL]],T_TraitDi[#Data],COLUMN(T_TraitDi[Colonne8]),FALSE),""),"[hh]:mm"))</f>
        <v>#N/A</v>
      </c>
      <c r="AG108" s="284" t="str">
        <f>IFERROR(VLOOKUP(T_Convention[[#This Row],[NumL]],T_TraitDi[#Data],COLUMN(T_TraitDi[Mardi]),FALSE),"")</f>
        <v/>
      </c>
      <c r="AH108" s="284" t="e">
        <f>IF(VLOOKUP(T_Convention[[#This Row],[NumL]],T_TraitDi[#Data],COLUMN(T_TraitDi[Colonne1]),FALSE)=0,"",TEXT(IFERROR(VLOOKUP(T_Convention[[#This Row],[NumL]],T_TraitDi[#Data],COLUMN(T_TraitDi[Colonne1]),FALSE),""),"[hh]:mm"))</f>
        <v>#N/A</v>
      </c>
      <c r="AI108" s="284" t="e">
        <f>IF(VLOOKUP(T_Convention[[#This Row],[NumL]],T_TraitDi[#Data],COLUMN(T_TraitDi[Colonne9]),FALSE)=0,"",TEXT(IFERROR(VLOOKUP(T_Convention[[#This Row],[NumL]],T_TraitDi[#Data],COLUMN(T_TraitDi[Colonne9]),FALSE),""),"[hh]:mm"))</f>
        <v>#N/A</v>
      </c>
      <c r="AJ108" s="284" t="str">
        <f>IFERROR(VLOOKUP(T_Convention[[#This Row],[NumL]],T_TraitDi[#Data],COLUMN(T_TraitDi[Colonne10]),FALSE),"")</f>
        <v/>
      </c>
      <c r="AK108" s="284" t="e">
        <f>IF(VLOOKUP(T_Convention[[#This Row],[NumL]],T_TraitDi[#Data],COLUMN(T_TraitDi[Colonne11]),FALSE)=0,"",TEXT(IFERROR(VLOOKUP(T_Convention[[#This Row],[NumL]],T_TraitDi[#Data],COLUMN(T_TraitDi[Colonne11]),FALSE),""),"[hh]:mm"))</f>
        <v>#N/A</v>
      </c>
      <c r="AL108" s="284" t="e">
        <f>IF(VLOOKUP(T_Convention[[#This Row],[NumL]],T_TraitDi[#Data],COLUMN(T_TraitDi[Colonne12]),FALSE)=0,"",TEXT(IFERROR(VLOOKUP(T_Convention[[#This Row],[NumL]],T_TraitDi[#Data],COLUMN(T_TraitDi[Colonne12]),FALSE),""),"[hh]:mm"))</f>
        <v>#N/A</v>
      </c>
      <c r="AM108" s="284" t="e">
        <f>IF(VLOOKUP(T_Convention[[#This Row],[NumL]],T_TraitDi[#Data],COLUMN(T_TraitDi[Colonne14]),FALSE)=0,"",TEXT(IFERROR(VLOOKUP(T_Convention[[#This Row],[NumL]],T_TraitDi[#Data],COLUMN(T_TraitDi[Colonne14]),FALSE),""),"[hh]:mm"))</f>
        <v>#N/A</v>
      </c>
      <c r="AN108" s="284" t="str">
        <f>IFERROR(VLOOKUP(T_Convention[[#This Row],[NumL]],T_TraitDi[#Data],COLUMN(T_TraitDi[Mercredi]),FALSE),"")</f>
        <v/>
      </c>
      <c r="AO108" s="284" t="e">
        <f>IF(VLOOKUP(T_Convention[[#This Row],[NumL]],T_TraitDi[#Data],COLUMN(T_TraitDi[Colonne15]),FALSE)=0,"",TEXT(IFERROR(VLOOKUP(T_Convention[[#This Row],[NumL]],T_TraitDi[#Data],COLUMN(T_TraitDi[Colonne15]),FALSE),""),"[hh]:mm"))</f>
        <v>#N/A</v>
      </c>
      <c r="AP108" s="284" t="e">
        <f>IF(VLOOKUP(T_Convention[[#This Row],[NumL]],T_TraitDi[#Data],COLUMN(T_TraitDi[Colonne16]),FALSE)=0,"",TEXT(IFERROR(VLOOKUP(T_Convention[[#This Row],[NumL]],T_TraitDi[#Data],COLUMN(T_TraitDi[Colonne16]),FALSE),""),"[hh]:mm"))</f>
        <v>#N/A</v>
      </c>
      <c r="AQ108" s="284" t="str">
        <f>IFERROR(VLOOKUP(T_Convention[[#This Row],[NumL]],T_TraitDi[#Data],COLUMN(T_TraitDi[Colonne17]),FALSE),"")</f>
        <v/>
      </c>
      <c r="AR108" s="284" t="e">
        <f>IF(VLOOKUP(T_Convention[[#This Row],[NumL]],T_TraitDi[#Data],COLUMN(T_TraitDi[Colonne18]),FALSE)=0,"",TEXT(IFERROR(VLOOKUP(T_Convention[[#This Row],[NumL]],T_TraitDi[#Data],COLUMN(T_TraitDi[Colonne18]),FALSE),""),"[hh]:mm"))</f>
        <v>#N/A</v>
      </c>
      <c r="AS108" s="284" t="e">
        <f>IF(VLOOKUP(T_Convention[[#This Row],[NumL]],T_TraitDi[#Data],COLUMN(T_TraitDi[Colonne19]),FALSE)=0,"",TEXT(IFERROR(VLOOKUP(T_Convention[[#This Row],[NumL]],T_TraitDi[#Data],COLUMN(T_TraitDi[Colonne19]),FALSE),""),"[hh]:mm"))</f>
        <v>#N/A</v>
      </c>
      <c r="AT108" s="284" t="e">
        <f>IF(VLOOKUP(T_Convention[[#This Row],[NumL]],T_TraitDi[#Data],COLUMN(T_TraitDi[Colonne20]),FALSE)=0,"",TEXT(IFERROR(VLOOKUP(T_Convention[[#This Row],[NumL]],T_TraitDi[#Data],COLUMN(T_TraitDi[Colonne20]),FALSE),""),"[hh]:mm"))</f>
        <v>#N/A</v>
      </c>
      <c r="AU108" s="284" t="str">
        <f>IFERROR(VLOOKUP(T_Convention[[#This Row],[NumL]],T_TraitDi[#Data],COLUMN(T_TraitDi[Jeudi]),FALSE),"")</f>
        <v/>
      </c>
      <c r="AV108" s="284" t="e">
        <f>IF(VLOOKUP(T_Convention[[#This Row],[NumL]],T_TraitDi[#Data],COLUMN(T_TraitDi[Colonne21]),FALSE)=0,"",TEXT(IFERROR(VLOOKUP(T_Convention[[#This Row],[NumL]],T_TraitDi[#Data],COLUMN(T_TraitDi[Colonne21]),FALSE),""),"[hh]:mm"))</f>
        <v>#N/A</v>
      </c>
      <c r="AW108" s="284" t="e">
        <f>IF(VLOOKUP(T_Convention[[#This Row],[NumL]],T_TraitDi[#Data],COLUMN(T_TraitDi[Colonne22]),FALSE)=0,"",TEXT(IFERROR(VLOOKUP(T_Convention[[#This Row],[NumL]],T_TraitDi[#Data],COLUMN(T_TraitDi[Colonne22]),FALSE),""),"[hh]:mm"))</f>
        <v>#N/A</v>
      </c>
      <c r="AX108" s="284" t="str">
        <f>IFERROR(VLOOKUP(T_Convention[[#This Row],[NumL]],T_TraitDi[#Data],COLUMN(T_TraitDi[Colonne23]),FALSE),"")</f>
        <v/>
      </c>
      <c r="AY108" s="284" t="e">
        <f>IF(VLOOKUP(T_Convention[[#This Row],[NumL]],T_TraitDi[#Data],COLUMN(T_TraitDi[Colonne24]),FALSE)=0,"",TEXT(IFERROR(VLOOKUP(T_Convention[[#This Row],[NumL]],T_TraitDi[#Data],COLUMN(T_TraitDi[Colonne24]),FALSE),""),"[hh]:mm"))</f>
        <v>#N/A</v>
      </c>
      <c r="AZ108" s="284" t="e">
        <f>IF(VLOOKUP(T_Convention[[#This Row],[NumL]],T_TraitDi[#Data],COLUMN(T_TraitDi[Colonne25]),FALSE)=0,"",TEXT(IFERROR(VLOOKUP(T_Convention[[#This Row],[NumL]],T_TraitDi[#Data],COLUMN(T_TraitDi[Colonne25]),FALSE),""),"[hh]:mm"))</f>
        <v>#N/A</v>
      </c>
      <c r="BA108" s="284" t="e">
        <f>IF(VLOOKUP(T_Convention[[#This Row],[NumL]],T_TraitDi[#Data],COLUMN(T_TraitDi[Colonne26]),FALSE)=0,"",TEXT(IFERROR(VLOOKUP(T_Convention[[#This Row],[NumL]],T_TraitDi[#Data],COLUMN(T_TraitDi[Colonne26]),FALSE),""),"[hh]:mm"))</f>
        <v>#N/A</v>
      </c>
      <c r="BB108" s="284" t="str">
        <f>IFERROR(VLOOKUP(T_Convention[[#This Row],[NumL]],T_TraitDi[#Data],COLUMN(T_TraitDi[Vendredi]),FALSE),"")</f>
        <v/>
      </c>
      <c r="BC108" s="284" t="e">
        <f>IF(VLOOKUP(T_Convention[[#This Row],[NumL]],T_TraitDi[#Data],COLUMN(T_TraitDi[Colonne27]),FALSE)=0,"",TEXT(IFERROR(VLOOKUP(T_Convention[[#This Row],[NumL]],T_TraitDi[#Data],COLUMN(T_TraitDi[Colonne27]),FALSE),""),"[hh]:mm"))</f>
        <v>#N/A</v>
      </c>
      <c r="BD108" s="284" t="e">
        <f>IF(VLOOKUP(T_Convention[[#This Row],[NumL]],T_TraitDi[#Data],COLUMN(T_TraitDi[Colonne28]),FALSE)=0,"",TEXT(IFERROR(VLOOKUP(T_Convention[[#This Row],[NumL]],T_TraitDi[#Data],COLUMN(T_TraitDi[Colonne28]),FALSE),""),"[hh]:mm"))</f>
        <v>#N/A</v>
      </c>
      <c r="BE108" s="284" t="str">
        <f>IFERROR(VLOOKUP(T_Convention[[#This Row],[NumL]],T_TraitDi[#Data],COLUMN(T_TraitDi[Colonne29]),FALSE),"")</f>
        <v/>
      </c>
      <c r="BF108" s="284" t="e">
        <f>IF(VLOOKUP(T_Convention[[#This Row],[NumL]],T_TraitDi[#Data],COLUMN(T_TraitDi[Colonne30]),FALSE)=0,"",TEXT(IFERROR(VLOOKUP(T_Convention[[#This Row],[NumL]],T_TraitDi[#Data],COLUMN(T_TraitDi[Colonne30]),FALSE),""),"[hh]:mm"))</f>
        <v>#N/A</v>
      </c>
      <c r="BG108" s="284" t="e">
        <f>IF(VLOOKUP(T_Convention[[#This Row],[NumL]],T_TraitDi[#Data],COLUMN(T_TraitDi[Colonne31]),FALSE)=0,"",TEXT(IFERROR(VLOOKUP(T_Convention[[#This Row],[NumL]],T_TraitDi[#Data],COLUMN(T_TraitDi[Colonne31]),FALSE),""),"[hh]:mm"))</f>
        <v>#N/A</v>
      </c>
      <c r="BH108" s="284" t="e">
        <f>IF(VLOOKUP(T_Convention[[#This Row],[NumL]],T_TraitDi[#Data],COLUMN(T_TraitDi[Colonne32]),FALSE)=0,"",TEXT(IFERROR(VLOOKUP(T_Convention[[#This Row],[NumL]],T_TraitDi[#Data],COLUMN(T_TraitDi[Colonne32]),FALSE),""),"[hh]:mm"))</f>
        <v>#N/A</v>
      </c>
      <c r="BI108" s="284" t="str">
        <f>IFERROR(VLOOKUP(T_Convention[[#This Row],[NumL]],T_TraitDi[#Data],COLUMN(T_TraitDi[NbJTW]),FALSE),"")</f>
        <v/>
      </c>
      <c r="BJ108" s="284" t="e">
        <f>IF(VLOOKUP(T_Convention[[#This Row],[NumL]],T_TraitDi[#Data],COLUMN(T_TraitDi[NbhTW]),FALSE)=0,"",TEXT(IFERROR(VLOOKUP(T_Convention[[#This Row],[NumL]],T_TraitDi[#Data],COLUMN(T_TraitDi[NbhTW]),FALSE),""),"[hh]:mm"))</f>
        <v>#N/A</v>
      </c>
      <c r="BK108" s="286" t="e">
        <f>IF(VLOOKUP(T_Convention[[#This Row],[NumL]],T_TraitDi[#Data],COLUMN(T_TraitDi[Nbhheb]),FALSE)=0,"",TEXT(IFERROR(VLOOKUP(T_Convention[[#This Row],[NumL]],T_TraitDi[#Data],COLUMN(T_TraitDi[Nbhheb]),FALSE),""),"[hh]:mm"))</f>
        <v>#N/A</v>
      </c>
      <c r="BL108" s="287" t="str">
        <f>IFERROR(VLOOKUP(VLOOKUP(T_Convention[[#This Row],[NumL]],T_TraitDi[#Data],COLUMN(T_TraitDi[Type1]),FALSE),TypeTW,2,FALSE),"")</f>
        <v/>
      </c>
      <c r="BM108" s="288" t="str">
        <f>IFERROR(VLOOKUP(T_Convention[[#This Row],[NumL]],T_TraitDi[#Data],COLUMN(T_TraitDi[Rue1]),FALSE),"")</f>
        <v/>
      </c>
      <c r="BN108" s="289" t="str">
        <f>IFERROR(VLOOKUP(T_Convention[[#This Row],[NumL]],T_TraitDi[#Data],COLUMN(T_TraitDi[CP1]),FALSE),"")</f>
        <v/>
      </c>
      <c r="BO108" s="282" t="str">
        <f>IFERROR(VLOOKUP(T_Convention[[#This Row],[NumL]],T_TraitDi[#Data],COLUMN(T_TraitDi[VILLE1]),FALSE),"")</f>
        <v/>
      </c>
      <c r="BP108" s="290" t="str">
        <f>IFERROR(VLOOKUP(VLOOKUP(T_Convention[[#This Row],[NumL]],T_TraitDi[#Data],COLUMN(T_TraitDi[Type2]),FALSE),TypeTW,2,FALSE),"")</f>
        <v/>
      </c>
      <c r="BQ108" s="182" t="str">
        <f>IFERROR(VLOOKUP(T_Convention[[#This Row],[NumL]],T_TraitDi[#Data],COLUMN(T_TraitDi[Rue2]),FALSE),"")</f>
        <v/>
      </c>
      <c r="BR108" s="173" t="str">
        <f>IFERROR(VLOOKUP(T_Convention[[#This Row],[NumL]],T_TraitDi[#Data],COLUMN(T_TraitDi[CP2]),FALSE),"")</f>
        <v/>
      </c>
      <c r="BS108" s="173" t="str">
        <f>IFERROR(VLOOKUP(T_Convention[[#This Row],[NumL]],T_TraitDi[#Data],COLUMN(T_TraitDi[VILLE2]),FALSE),"")</f>
        <v/>
      </c>
      <c r="BT108" s="182" t="str">
        <f>IF(VLOOKUP(T_Convention[[#This Row],[NumL]],T_Equipement[#Data],COLUMN(T_Equipement[PC]),FALSE)="","Aucun équipement spécifique directement lié au télétravail",VLOOKUP(T_Convention[[#This Row],[NumL]],T_Equipement[#Data],COLUMN(T_Equipement[PC]),FALSE))</f>
        <v xml:space="preserve">18-918	</v>
      </c>
      <c r="BU108" s="166" t="str">
        <f>IFERROR(IF(VLOOKUP(T_Convention[[#This Row],[NumL]],T_TraitDi[#Data],COLUMN(T_TraitDi[Plan]),FALSE)="OK","Un planning spécifique de télétravail est annexé à la présente convention.",""),"")</f>
        <v/>
      </c>
      <c r="BV108" s="185" t="s">
        <v>3305</v>
      </c>
      <c r="BW108" s="164" t="e">
        <f>IF(VLOOKUP(T_Convention[[#This Row],[NumL]],T_suiviDi[#Data],COLUMN(T_suiviDi[Entité]),FALSE)="","",VLOOKUP(T_Convention[[#This Row],[NumL]],T_suiviDi[#Data],COLUMN(T_suiviDi[Entité]),FALSE))</f>
        <v>#N/A</v>
      </c>
      <c r="BX108" s="164" t="str">
        <f>IF(VLOOKUP(T_Convention[[#This Row],[NumL]],T_Commission[#Data],COLUMN(T_Commission[envoi confirm TW]),FALSE)="","",VLOOKUP(T_Convention[[#This Row],[NumL]],T_Commission[#Data],COLUMN(T_Commission[envoi confirm TW]),FALSE))</f>
        <v>Oui</v>
      </c>
      <c r="BY10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8" s="264">
        <f>VLOOKUP(T_Convention[[#This Row],[NumL]],T_Commission[#Data],COLUMN(T_Commission[Commentaire]),FALSE)</f>
        <v>0</v>
      </c>
      <c r="CA108" s="254" t="str">
        <f>IF(VLOOKUP(T_Convention[[#This Row],[NumL]],T_Commission[#Data],COLUMN(T_Commission[Encadrant Email]),FALSE)="","",VLOOKUP(T_Convention[[#This Row],[NumL]],T_Commission[#Data],COLUMN(T_Commission[Encadrant Email]),FALSE))</f>
        <v/>
      </c>
      <c r="CB108" s="352" t="e">
        <f>VLOOKUP(T_Convention[[#This Row],[NumL]],T_TraitDi[#Data],COLUMN(T_TraitDi[NbJTot]),FALSE)</f>
        <v>#N/A</v>
      </c>
      <c r="CC108" s="352" t="e">
        <f>VLOOKUP(T_Convention[[#This Row],[NumL]],T_TraitDi[#Data],COLUMN(T_TraitDi[Reg Ponct]),FALSE)</f>
        <v>#N/A</v>
      </c>
      <c r="CD108" s="348" t="str">
        <f>IF(T_Convention[[#This Row],[Final]]&lt;&gt;"",VLOOKUP(T_Convention[[#This Row],[NumL]],T_suiviDi[#Data],COLUMN((T_suiviDi[Statut])),FALSE),"")</f>
        <v/>
      </c>
    </row>
    <row r="109" spans="1:82" s="106" customFormat="1" ht="18.75" customHeight="1" x14ac:dyDescent="0.25">
      <c r="A109" s="160">
        <v>306</v>
      </c>
      <c r="B109" s="281" t="str">
        <f>VLOOKUP(T_Convention[[#This Row],[NumL]],T_Commission[#Data],COLUMN(T_Commission[FINAL]),FALSE)</f>
        <v/>
      </c>
      <c r="C109" s="162"/>
      <c r="D109" s="95" t="e">
        <f>IF(VLOOKUP(T_Convention[[#This Row],[NumL]],T_TraitDi[#Data],COLUMN(T_TraitDi[WebC]),FALSE)="","",VLOOKUP(T_Convention[[#This Row],[NumL]],T_TraitDi[#Data],COLUMN(T_TraitDi[WebC]),FALSE))</f>
        <v>#N/A</v>
      </c>
      <c r="E109" s="163" t="str">
        <f t="shared" si="5"/>
        <v>12 janvier 2021</v>
      </c>
      <c r="F109" s="282" t="str">
        <f>IF(T_Convention[[#This Row],[Final]]&lt;&gt;"",VLOOKUP(T_Convention[[#This Row],[NumL]],T_suiviDi[#Data],COLUMN((T_suiviDi[Civ.])),FALSE),"")</f>
        <v/>
      </c>
      <c r="G109" s="283" t="str">
        <f>IF(T_Convention[[#This Row],[Final]]&lt;&gt;"",VLOOKUP(T_Convention[[#This Row],[NumL]],T_suiviDi[#Data],COLUMN((T_suiviDi[Nom])),FALSE),"")</f>
        <v/>
      </c>
      <c r="H109" s="282" t="str">
        <f>IF(T_Convention[[#This Row],[Final]]&lt;&gt;"",VLOOKUP(T_Convention[[#This Row],[NumL]],T_suiviDi[#Data],COLUMN((T_suiviDi[Prénom])),FALSE),"")</f>
        <v/>
      </c>
      <c r="I109" s="282" t="e">
        <f>VLOOKUP(T_Convention[[#This Row],[NumL]],T_suiviDi[#Data],COLUMN((T_suiviDi[[#This Row],[Email]])),FALSE)</f>
        <v>#VALUE!</v>
      </c>
      <c r="J109" s="282" t="e">
        <f>IF(VLOOKUP(T_Convention[[#This Row],[NumL]],T_suiviDi[#Data],COLUMN(T_suiviDi[[#This Row],[Fonction]]),FALSE)="","",VLOOKUP(T_Convention[[#This Row],[NumL]],T_suiviDi[#Data],COLUMN(T_suiviDi[[#This Row],[Fonction]]),FALSE))</f>
        <v>#VALUE!</v>
      </c>
      <c r="K109" s="282" t="e">
        <f>IF(VLOOKUP(T_Convention[[#This Row],[NumL]],T_suiviDi[#Data],COLUMN(T_suiviDi[[#This Row],[Grade]]),FALSE)="","",VLOOKUP(T_Convention[[#This Row],[NumL]],T_suiviDi[#Data],COLUMN(T_suiviDi[[#This Row],[Grade]]),FALSE))</f>
        <v>#VALUE!</v>
      </c>
      <c r="L109" s="282" t="e">
        <f>IF(VLOOKUP(T_Convention[[#This Row],[NumL]],T_suiviDi[#Data],COLUMN(T_suiviDi[[#This Row],[Service ]]),FALSE)="","",VLOOKUP(T_Convention[[#This Row],[NumL]],T_suiviDi[#Data],COLUMN(T_suiviDi[[#This Row],[Service ]]),FALSE))</f>
        <v>#VALUE!</v>
      </c>
      <c r="M109" s="314" t="str">
        <f t="shared" si="6"/>
        <v>01 septembre 2021</v>
      </c>
      <c r="N109" s="314" t="str">
        <f t="shared" si="7"/>
        <v>30 novembre 2021</v>
      </c>
      <c r="O109" s="284" t="str">
        <f t="shared" si="8"/>
        <v>30 novembre 2021</v>
      </c>
      <c r="P109" s="282" t="e">
        <f>IF(VLOOKUP(T_Convention[[#This Row],[NumL]],T_TraitDi[#Data],COLUMN(T_TraitDi[M1]),FALSE)="","",VLOOKUP(T_Convention[[#This Row],[NumL]],T_TraitDi[#Data],COLUMN(T_TraitDi[M1]),FALSE))</f>
        <v>#N/A</v>
      </c>
      <c r="Q109" s="282" t="e">
        <f>IF(VLOOKUP(T_Convention[[#This Row],[NumL]],T_TraitDi[#Data],COLUMN(T_TraitDi[M2]),FALSE)="","",VLOOKUP(T_Convention[[#This Row],[NumL]],T_TraitDi[#Data],COLUMN(T_TraitDi[M2]),FALSE))</f>
        <v>#N/A</v>
      </c>
      <c r="R109" s="282" t="e">
        <f>IF(VLOOKUP(T_Convention[[#This Row],[NumL]],T_TraitDi[#Data],COLUMN(T_TraitDi[M3]),FALSE)="","",VLOOKUP(T_Convention[[#This Row],[NumL]],T_TraitDi[#Data],COLUMN(T_TraitDi[M3]),FALSE))</f>
        <v>#N/A</v>
      </c>
      <c r="S109" s="282" t="e">
        <f>IF(VLOOKUP(T_Convention[[#This Row],[NumL]],T_TraitDi[#Data],COLUMN(T_TraitDi[M4]),FALSE)="","",VLOOKUP(T_Convention[[#This Row],[NumL]],T_TraitDi[#Data],COLUMN(T_TraitDi[M4]),FALSE))</f>
        <v>#N/A</v>
      </c>
      <c r="T109" s="282" t="e">
        <f>IF(VLOOKUP(T_Convention[[#This Row],[NumL]],T_TraitDi[#Data],COLUMN(T_TraitDi[M5]),FALSE)="","",VLOOKUP(T_Convention[[#This Row],[NumL]],T_TraitDi[#Data],COLUMN(T_TraitDi[M5]),FALSE))</f>
        <v>#N/A</v>
      </c>
      <c r="U109" s="282" t="e">
        <f>IF(VLOOKUP(T_Convention[[#This Row],[NumL]],T_TraitDi[#Data],COLUMN(T_TraitDi[M6]),FALSE)="","",VLOOKUP(T_Convention[[#This Row],[NumL]],T_TraitDi[#Data],COLUMN(T_TraitDi[M6]),FALSE))</f>
        <v>#N/A</v>
      </c>
      <c r="V109" s="314" t="e">
        <f t="shared" si="9"/>
        <v>#N/A</v>
      </c>
      <c r="W109" s="284" t="str">
        <f>IFERROR(TEXT(VLOOKUP(T_Convention[[#This Row],[NumL]],T_TraitDi[#Data],COLUMN(T_TraitDi[Q2]),FALSE),"###%"),"")</f>
        <v/>
      </c>
      <c r="X109" s="285" t="e">
        <f>VLOOKUP(T_Convention[[#This Row],[NumL]],T_TraitDi[#Data],COLUMN(T_TraitDi[Reg Ponct]),FALSE)</f>
        <v>#N/A</v>
      </c>
      <c r="Y109" s="285" t="e">
        <f>VLOOKUP(T_Convention[NumL],T_TraitDi[#Data],COLUMN(T_TraitDi[Jours flottants]),FALSE)</f>
        <v>#N/A</v>
      </c>
      <c r="Z109" s="284" t="str">
        <f>IFERROR(VLOOKUP(T_Convention[[#This Row],[NumL]],T_TraitDi[#Data],COLUMN(T_TraitDi[Lundi]),FALSE),"")</f>
        <v/>
      </c>
      <c r="AA109" s="284" t="e">
        <f>IF(VLOOKUP(T_Convention[[#This Row],[NumL]],T_TraitDi[#Data],COLUMN(T_TraitDi[Colonne3]),FALSE)=0,"",TEXT(IFERROR(VLOOKUP(T_Convention[[#This Row],[NumL]],T_TraitDi[#Data],COLUMN(T_TraitDi[Colonne3]),FALSE),""),"[hh]:mm"))</f>
        <v>#N/A</v>
      </c>
      <c r="AB109" s="284" t="e">
        <f>IF(VLOOKUP(T_Convention[[#This Row],[NumL]],T_TraitDi[#Data],COLUMN(T_TraitDi[Colonne4]),FALSE)=0,"",TEXT(IFERROR(VLOOKUP(T_Convention[[#This Row],[NumL]],T_TraitDi[#Data],COLUMN(T_TraitDi[Colonne4]),FALSE),""),"[hh]:mm"))</f>
        <v>#N/A</v>
      </c>
      <c r="AC109" s="284" t="e">
        <f>IF(VLOOKUP(T_Convention[[#This Row],[NumL]],T_TraitDi[#Data],COLUMN(T_TraitDi[Colonne5]),FALSE)=0,"",TEXT(IFERROR(VLOOKUP(T_Convention[[#This Row],[NumL]],T_TraitDi[#Data],COLUMN(T_TraitDi[Colonne5]),FALSE),""),"[hh]:mm"))</f>
        <v>#N/A</v>
      </c>
      <c r="AD109" s="284" t="e">
        <f>IF(VLOOKUP(T_Convention[[#This Row],[NumL]],T_TraitDi[#Data],COLUMN(T_TraitDi[Colonne6]),FALSE)=0,"",TEXT(IFERROR(VLOOKUP(T_Convention[[#This Row],[NumL]],T_TraitDi[#Data],COLUMN(T_TraitDi[Colonne6]),FALSE),""),"[hh]:mm"))</f>
        <v>#N/A</v>
      </c>
      <c r="AE109" s="284" t="e">
        <f>IF(VLOOKUP(T_Convention[[#This Row],[NumL]],T_TraitDi[#Data],COLUMN(T_TraitDi[Colonne7]),FALSE)=0,"",TEXT(IFERROR(VLOOKUP(T_Convention[[#This Row],[NumL]],T_TraitDi[#Data],COLUMN(T_TraitDi[Colonne7]),FALSE),""),"[hh]:mm"))</f>
        <v>#N/A</v>
      </c>
      <c r="AF109" s="284" t="e">
        <f>IF(VLOOKUP(T_Convention[[#This Row],[NumL]],T_TraitDi[#Data],COLUMN(T_TraitDi[Colonne8]),FALSE)=0,"",TEXT(IFERROR(VLOOKUP(T_Convention[[#This Row],[NumL]],T_TraitDi[#Data],COLUMN(T_TraitDi[Colonne8]),FALSE),""),"[hh]:mm"))</f>
        <v>#N/A</v>
      </c>
      <c r="AG109" s="284" t="str">
        <f>IFERROR(VLOOKUP(T_Convention[[#This Row],[NumL]],T_TraitDi[#Data],COLUMN(T_TraitDi[Mardi]),FALSE),"")</f>
        <v/>
      </c>
      <c r="AH109" s="284" t="e">
        <f>IF(VLOOKUP(T_Convention[[#This Row],[NumL]],T_TraitDi[#Data],COLUMN(T_TraitDi[Colonne1]),FALSE)=0,"",TEXT(IFERROR(VLOOKUP(T_Convention[[#This Row],[NumL]],T_TraitDi[#Data],COLUMN(T_TraitDi[Colonne1]),FALSE),""),"[hh]:mm"))</f>
        <v>#N/A</v>
      </c>
      <c r="AI109" s="284" t="e">
        <f>IF(VLOOKUP(T_Convention[[#This Row],[NumL]],T_TraitDi[#Data],COLUMN(T_TraitDi[Colonne9]),FALSE)=0,"",TEXT(IFERROR(VLOOKUP(T_Convention[[#This Row],[NumL]],T_TraitDi[#Data],COLUMN(T_TraitDi[Colonne9]),FALSE),""),"[hh]:mm"))</f>
        <v>#N/A</v>
      </c>
      <c r="AJ109" s="284" t="str">
        <f>IFERROR(VLOOKUP(T_Convention[[#This Row],[NumL]],T_TraitDi[#Data],COLUMN(T_TraitDi[Colonne10]),FALSE),"")</f>
        <v/>
      </c>
      <c r="AK109" s="284" t="e">
        <f>IF(VLOOKUP(T_Convention[[#This Row],[NumL]],T_TraitDi[#Data],COLUMN(T_TraitDi[Colonne11]),FALSE)=0,"",TEXT(IFERROR(VLOOKUP(T_Convention[[#This Row],[NumL]],T_TraitDi[#Data],COLUMN(T_TraitDi[Colonne11]),FALSE),""),"[hh]:mm"))</f>
        <v>#N/A</v>
      </c>
      <c r="AL109" s="284" t="e">
        <f>IF(VLOOKUP(T_Convention[[#This Row],[NumL]],T_TraitDi[#Data],COLUMN(T_TraitDi[Colonne12]),FALSE)=0,"",TEXT(IFERROR(VLOOKUP(T_Convention[[#This Row],[NumL]],T_TraitDi[#Data],COLUMN(T_TraitDi[Colonne12]),FALSE),""),"[hh]:mm"))</f>
        <v>#N/A</v>
      </c>
      <c r="AM109" s="284" t="e">
        <f>IF(VLOOKUP(T_Convention[[#This Row],[NumL]],T_TraitDi[#Data],COLUMN(T_TraitDi[Colonne14]),FALSE)=0,"",TEXT(IFERROR(VLOOKUP(T_Convention[[#This Row],[NumL]],T_TraitDi[#Data],COLUMN(T_TraitDi[Colonne14]),FALSE),""),"[hh]:mm"))</f>
        <v>#N/A</v>
      </c>
      <c r="AN109" s="284" t="str">
        <f>IFERROR(VLOOKUP(T_Convention[[#This Row],[NumL]],T_TraitDi[#Data],COLUMN(T_TraitDi[Mercredi]),FALSE),"")</f>
        <v/>
      </c>
      <c r="AO109" s="284" t="e">
        <f>IF(VLOOKUP(T_Convention[[#This Row],[NumL]],T_TraitDi[#Data],COLUMN(T_TraitDi[Colonne15]),FALSE)=0,"",TEXT(IFERROR(VLOOKUP(T_Convention[[#This Row],[NumL]],T_TraitDi[#Data],COLUMN(T_TraitDi[Colonne15]),FALSE),""),"[hh]:mm"))</f>
        <v>#N/A</v>
      </c>
      <c r="AP109" s="284" t="e">
        <f>IF(VLOOKUP(T_Convention[[#This Row],[NumL]],T_TraitDi[#Data],COLUMN(T_TraitDi[Colonne16]),FALSE)=0,"",TEXT(IFERROR(VLOOKUP(T_Convention[[#This Row],[NumL]],T_TraitDi[#Data],COLUMN(T_TraitDi[Colonne16]),FALSE),""),"[hh]:mm"))</f>
        <v>#N/A</v>
      </c>
      <c r="AQ109" s="284" t="str">
        <f>IFERROR(VLOOKUP(T_Convention[[#This Row],[NumL]],T_TraitDi[#Data],COLUMN(T_TraitDi[Colonne17]),FALSE),"")</f>
        <v/>
      </c>
      <c r="AR109" s="284" t="e">
        <f>IF(VLOOKUP(T_Convention[[#This Row],[NumL]],T_TraitDi[#Data],COLUMN(T_TraitDi[Colonne18]),FALSE)=0,"",TEXT(IFERROR(VLOOKUP(T_Convention[[#This Row],[NumL]],T_TraitDi[#Data],COLUMN(T_TraitDi[Colonne18]),FALSE),""),"[hh]:mm"))</f>
        <v>#N/A</v>
      </c>
      <c r="AS109" s="284" t="e">
        <f>IF(VLOOKUP(T_Convention[[#This Row],[NumL]],T_TraitDi[#Data],COLUMN(T_TraitDi[Colonne19]),FALSE)=0,"",TEXT(IFERROR(VLOOKUP(T_Convention[[#This Row],[NumL]],T_TraitDi[#Data],COLUMN(T_TraitDi[Colonne19]),FALSE),""),"[hh]:mm"))</f>
        <v>#N/A</v>
      </c>
      <c r="AT109" s="284" t="e">
        <f>IF(VLOOKUP(T_Convention[[#This Row],[NumL]],T_TraitDi[#Data],COLUMN(T_TraitDi[Colonne20]),FALSE)=0,"",TEXT(IFERROR(VLOOKUP(T_Convention[[#This Row],[NumL]],T_TraitDi[#Data],COLUMN(T_TraitDi[Colonne20]),FALSE),""),"[hh]:mm"))</f>
        <v>#N/A</v>
      </c>
      <c r="AU109" s="284" t="str">
        <f>IFERROR(VLOOKUP(T_Convention[[#This Row],[NumL]],T_TraitDi[#Data],COLUMN(T_TraitDi[Jeudi]),FALSE),"")</f>
        <v/>
      </c>
      <c r="AV109" s="284" t="e">
        <f>IF(VLOOKUP(T_Convention[[#This Row],[NumL]],T_TraitDi[#Data],COLUMN(T_TraitDi[Colonne21]),FALSE)=0,"",TEXT(IFERROR(VLOOKUP(T_Convention[[#This Row],[NumL]],T_TraitDi[#Data],COLUMN(T_TraitDi[Colonne21]),FALSE),""),"[hh]:mm"))</f>
        <v>#N/A</v>
      </c>
      <c r="AW109" s="284" t="e">
        <f>IF(VLOOKUP(T_Convention[[#This Row],[NumL]],T_TraitDi[#Data],COLUMN(T_TraitDi[Colonne22]),FALSE)=0,"",TEXT(IFERROR(VLOOKUP(T_Convention[[#This Row],[NumL]],T_TraitDi[#Data],COLUMN(T_TraitDi[Colonne22]),FALSE),""),"[hh]:mm"))</f>
        <v>#N/A</v>
      </c>
      <c r="AX109" s="284" t="str">
        <f>IFERROR(VLOOKUP(T_Convention[[#This Row],[NumL]],T_TraitDi[#Data],COLUMN(T_TraitDi[Colonne23]),FALSE),"")</f>
        <v/>
      </c>
      <c r="AY109" s="284" t="e">
        <f>IF(VLOOKUP(T_Convention[[#This Row],[NumL]],T_TraitDi[#Data],COLUMN(T_TraitDi[Colonne24]),FALSE)=0,"",TEXT(IFERROR(VLOOKUP(T_Convention[[#This Row],[NumL]],T_TraitDi[#Data],COLUMN(T_TraitDi[Colonne24]),FALSE),""),"[hh]:mm"))</f>
        <v>#N/A</v>
      </c>
      <c r="AZ109" s="284" t="e">
        <f>IF(VLOOKUP(T_Convention[[#This Row],[NumL]],T_TraitDi[#Data],COLUMN(T_TraitDi[Colonne25]),FALSE)=0,"",TEXT(IFERROR(VLOOKUP(T_Convention[[#This Row],[NumL]],T_TraitDi[#Data],COLUMN(T_TraitDi[Colonne25]),FALSE),""),"[hh]:mm"))</f>
        <v>#N/A</v>
      </c>
      <c r="BA109" s="284" t="e">
        <f>IF(VLOOKUP(T_Convention[[#This Row],[NumL]],T_TraitDi[#Data],COLUMN(T_TraitDi[Colonne26]),FALSE)=0,"",TEXT(IFERROR(VLOOKUP(T_Convention[[#This Row],[NumL]],T_TraitDi[#Data],COLUMN(T_TraitDi[Colonne26]),FALSE),""),"[hh]:mm"))</f>
        <v>#N/A</v>
      </c>
      <c r="BB109" s="284" t="str">
        <f>IFERROR(VLOOKUP(T_Convention[[#This Row],[NumL]],T_TraitDi[#Data],COLUMN(T_TraitDi[Vendredi]),FALSE),"")</f>
        <v/>
      </c>
      <c r="BC109" s="284" t="e">
        <f>IF(VLOOKUP(T_Convention[[#This Row],[NumL]],T_TraitDi[#Data],COLUMN(T_TraitDi[Colonne27]),FALSE)=0,"",TEXT(IFERROR(VLOOKUP(T_Convention[[#This Row],[NumL]],T_TraitDi[#Data],COLUMN(T_TraitDi[Colonne27]),FALSE),""),"[hh]:mm"))</f>
        <v>#N/A</v>
      </c>
      <c r="BD109" s="284" t="e">
        <f>IF(VLOOKUP(T_Convention[[#This Row],[NumL]],T_TraitDi[#Data],COLUMN(T_TraitDi[Colonne28]),FALSE)=0,"",TEXT(IFERROR(VLOOKUP(T_Convention[[#This Row],[NumL]],T_TraitDi[#Data],COLUMN(T_TraitDi[Colonne28]),FALSE),""),"[hh]:mm"))</f>
        <v>#N/A</v>
      </c>
      <c r="BE109" s="284" t="str">
        <f>IFERROR(VLOOKUP(T_Convention[[#This Row],[NumL]],T_TraitDi[#Data],COLUMN(T_TraitDi[Colonne29]),FALSE),"")</f>
        <v/>
      </c>
      <c r="BF109" s="284" t="e">
        <f>IF(VLOOKUP(T_Convention[[#This Row],[NumL]],T_TraitDi[#Data],COLUMN(T_TraitDi[Colonne30]),FALSE)=0,"",TEXT(IFERROR(VLOOKUP(T_Convention[[#This Row],[NumL]],T_TraitDi[#Data],COLUMN(T_TraitDi[Colonne30]),FALSE),""),"[hh]:mm"))</f>
        <v>#N/A</v>
      </c>
      <c r="BG109" s="284" t="e">
        <f>IF(VLOOKUP(T_Convention[[#This Row],[NumL]],T_TraitDi[#Data],COLUMN(T_TraitDi[Colonne31]),FALSE)=0,"",TEXT(IFERROR(VLOOKUP(T_Convention[[#This Row],[NumL]],T_TraitDi[#Data],COLUMN(T_TraitDi[Colonne31]),FALSE),""),"[hh]:mm"))</f>
        <v>#N/A</v>
      </c>
      <c r="BH109" s="284" t="e">
        <f>IF(VLOOKUP(T_Convention[[#This Row],[NumL]],T_TraitDi[#Data],COLUMN(T_TraitDi[Colonne32]),FALSE)=0,"",TEXT(IFERROR(VLOOKUP(T_Convention[[#This Row],[NumL]],T_TraitDi[#Data],COLUMN(T_TraitDi[Colonne32]),FALSE),""),"[hh]:mm"))</f>
        <v>#N/A</v>
      </c>
      <c r="BI109" s="284" t="str">
        <f>IFERROR(VLOOKUP(T_Convention[[#This Row],[NumL]],T_TraitDi[#Data],COLUMN(T_TraitDi[NbJTW]),FALSE),"")</f>
        <v/>
      </c>
      <c r="BJ109" s="284" t="e">
        <f>IF(VLOOKUP(T_Convention[[#This Row],[NumL]],T_TraitDi[#Data],COLUMN(T_TraitDi[NbhTW]),FALSE)=0,"",TEXT(IFERROR(VLOOKUP(T_Convention[[#This Row],[NumL]],T_TraitDi[#Data],COLUMN(T_TraitDi[NbhTW]),FALSE),""),"[hh]:mm"))</f>
        <v>#N/A</v>
      </c>
      <c r="BK109" s="315" t="e">
        <f>IF(VLOOKUP(T_Convention[[#This Row],[NumL]],T_TraitDi[#Data],COLUMN(T_TraitDi[Nbhheb]),FALSE)=0,"",TEXT(IFERROR(VLOOKUP(T_Convention[[#This Row],[NumL]],T_TraitDi[#Data],COLUMN(T_TraitDi[Nbhheb]),FALSE),""),"[hh]:mm"))</f>
        <v>#N/A</v>
      </c>
      <c r="BL109" s="287" t="str">
        <f>IFERROR(VLOOKUP(VLOOKUP(T_Convention[[#This Row],[NumL]],T_TraitDi[#Data],COLUMN(T_TraitDi[Type1]),FALSE),TypeTW,2,FALSE),"")</f>
        <v/>
      </c>
      <c r="BM109" s="288" t="str">
        <f>IFERROR(VLOOKUP(T_Convention[[#This Row],[NumL]],T_TraitDi[#Data],COLUMN(T_TraitDi[Rue1]),FALSE),"")</f>
        <v/>
      </c>
      <c r="BN109" s="289" t="str">
        <f>IFERROR(VLOOKUP(T_Convention[[#This Row],[NumL]],T_TraitDi[#Data],COLUMN(T_TraitDi[CP1]),FALSE),"")</f>
        <v/>
      </c>
      <c r="BO109" s="282" t="str">
        <f>IFERROR(VLOOKUP(T_Convention[[#This Row],[NumL]],T_TraitDi[#Data],COLUMN(T_TraitDi[VILLE1]),FALSE),"")</f>
        <v/>
      </c>
      <c r="BP109" s="290" t="str">
        <f>IFERROR(VLOOKUP(VLOOKUP(T_Convention[[#This Row],[NumL]],T_TraitDi[#Data],COLUMN(T_TraitDi[Type2]),FALSE),TypeTW,2,FALSE),"")</f>
        <v/>
      </c>
      <c r="BQ109" s="310" t="str">
        <f>IFERROR(VLOOKUP(T_Convention[[#This Row],[NumL]],T_TraitDi[#Data],COLUMN(T_TraitDi[Rue2]),FALSE),"")</f>
        <v/>
      </c>
      <c r="BR109" s="290" t="str">
        <f>IFERROR(VLOOKUP(T_Convention[[#This Row],[NumL]],T_TraitDi[#Data],COLUMN(T_TraitDi[CP2]),FALSE),"")</f>
        <v/>
      </c>
      <c r="BS109" s="290" t="str">
        <f>IFERROR(VLOOKUP(T_Convention[[#This Row],[NumL]],T_TraitDi[#Data],COLUMN(T_TraitDi[VILLE2]),FALSE),"")</f>
        <v/>
      </c>
      <c r="BT109"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09" s="314" t="str">
        <f>IFERROR(IF(VLOOKUP(T_Convention[[#This Row],[NumL]],T_TraitDi[#Data],COLUMN(T_TraitDi[Plan]),FALSE)="OK","Un planning spécifique de télétravail est annexé à la présente convention.",""),"")</f>
        <v/>
      </c>
      <c r="BV109" s="291"/>
      <c r="BW109" s="292" t="e">
        <f>IF(VLOOKUP(T_Convention[[#This Row],[NumL]],T_suiviDi[#Data],COLUMN(T_suiviDi[Entité]),FALSE)="","",VLOOKUP(T_Convention[[#This Row],[NumL]],T_suiviDi[#Data],COLUMN(T_suiviDi[Entité]),FALSE))</f>
        <v>#N/A</v>
      </c>
      <c r="BX109" s="311" t="str">
        <f>IF(VLOOKUP(T_Convention[[#This Row],[NumL]],T_Commission[#Data],COLUMN(T_Commission[envoi confirm TW]),FALSE)="","",VLOOKUP(T_Convention[[#This Row],[NumL]],T_Commission[#Data],COLUMN(T_Commission[envoi confirm TW]),FALSE))</f>
        <v>Oui</v>
      </c>
      <c r="BY109"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09" s="265">
        <f>VLOOKUP(T_Convention[[#This Row],[NumL]],T_Commission[#Data],COLUMN(T_Commission[Commentaire]),FALSE)</f>
        <v>0</v>
      </c>
      <c r="CA109" s="255" t="str">
        <f>IF(VLOOKUP(T_Convention[[#This Row],[NumL]],T_Commission[#Data],COLUMN(T_Commission[Encadrant Email]),FALSE)="","",VLOOKUP(T_Convention[[#This Row],[NumL]],T_Commission[#Data],COLUMN(T_Commission[Encadrant Email]),FALSE))</f>
        <v/>
      </c>
      <c r="CB109" s="352" t="e">
        <f>VLOOKUP(T_Convention[[#This Row],[NumL]],T_TraitDi[#Data],COLUMN(T_TraitDi[NbJTot]),FALSE)</f>
        <v>#N/A</v>
      </c>
      <c r="CC109" s="352" t="e">
        <f>VLOOKUP(T_Convention[[#This Row],[NumL]],T_TraitDi[#Data],COLUMN(T_TraitDi[Reg Ponct]),FALSE)</f>
        <v>#N/A</v>
      </c>
      <c r="CD109" s="348" t="str">
        <f>IF(T_Convention[[#This Row],[Final]]&lt;&gt;"",VLOOKUP(T_Convention[[#This Row],[NumL]],T_suiviDi[#Data],COLUMN((T_suiviDi[Statut])),FALSE),"")</f>
        <v/>
      </c>
    </row>
    <row r="110" spans="1:82" s="106" customFormat="1" ht="18.75" customHeight="1" x14ac:dyDescent="0.25">
      <c r="A110" s="160">
        <v>148</v>
      </c>
      <c r="B110" s="161" t="str">
        <f>VLOOKUP(T_Convention[[#This Row],[NumL]],T_Commission[#Data],COLUMN(T_Commission[FINAL]),FALSE)</f>
        <v/>
      </c>
      <c r="C110" s="162"/>
      <c r="D110" s="95" t="e">
        <f>IF(VLOOKUP(T_Convention[[#This Row],[NumL]],T_TraitDi[#Data],COLUMN(T_TraitDi[WebC]),FALSE)="","",VLOOKUP(T_Convention[[#This Row],[NumL]],T_TraitDi[#Data],COLUMN(T_TraitDi[WebC]),FALSE))</f>
        <v>#N/A</v>
      </c>
      <c r="E110" s="163" t="str">
        <f t="shared" si="5"/>
        <v>12 janvier 2021</v>
      </c>
      <c r="F110" s="282" t="str">
        <f>IF(T_Convention[[#This Row],[Final]]&lt;&gt;"",VLOOKUP(T_Convention[[#This Row],[NumL]],T_suiviDi[#Data],COLUMN((T_suiviDi[Civ.])),FALSE),"")</f>
        <v/>
      </c>
      <c r="G110" s="283" t="str">
        <f>IF(T_Convention[[#This Row],[Final]]&lt;&gt;"",VLOOKUP(T_Convention[[#This Row],[NumL]],T_suiviDi[#Data],COLUMN((T_suiviDi[Nom])),FALSE),"")</f>
        <v/>
      </c>
      <c r="H110" s="282" t="str">
        <f>IF(T_Convention[[#This Row],[Final]]&lt;&gt;"",VLOOKUP(T_Convention[[#This Row],[NumL]],T_suiviDi[#Data],COLUMN((T_suiviDi[Prénom])),FALSE),"")</f>
        <v/>
      </c>
      <c r="I110" s="282" t="e">
        <f>VLOOKUP(T_Convention[[#This Row],[NumL]],T_suiviDi[#Data],COLUMN((T_suiviDi[[#This Row],[Email]])),FALSE)</f>
        <v>#VALUE!</v>
      </c>
      <c r="J110" s="282" t="e">
        <f>IF(VLOOKUP(T_Convention[[#This Row],[NumL]],T_suiviDi[#Data],COLUMN(T_suiviDi[[#This Row],[Fonction]]),FALSE)="","",VLOOKUP(T_Convention[[#This Row],[NumL]],T_suiviDi[#Data],COLUMN(T_suiviDi[[#This Row],[Fonction]]),FALSE))</f>
        <v>#VALUE!</v>
      </c>
      <c r="K110" s="282" t="e">
        <f>IF(VLOOKUP(T_Convention[[#This Row],[NumL]],T_suiviDi[#Data],COLUMN(T_suiviDi[[#This Row],[Grade]]),FALSE)="","",VLOOKUP(T_Convention[[#This Row],[NumL]],T_suiviDi[#Data],COLUMN(T_suiviDi[[#This Row],[Grade]]),FALSE))</f>
        <v>#VALUE!</v>
      </c>
      <c r="L110" s="282" t="e">
        <f>IF(VLOOKUP(T_Convention[[#This Row],[NumL]],T_suiviDi[#Data],COLUMN(T_suiviDi[[#This Row],[Service ]]),FALSE)="","",VLOOKUP(T_Convention[[#This Row],[NumL]],T_suiviDi[#Data],COLUMN(T_suiviDi[[#This Row],[Service ]]),FALSE))</f>
        <v>#VALUE!</v>
      </c>
      <c r="M110" s="164" t="str">
        <f t="shared" si="6"/>
        <v>01 septembre 2021</v>
      </c>
      <c r="N110" s="164" t="str">
        <f t="shared" si="7"/>
        <v>30 novembre 2021</v>
      </c>
      <c r="O110" s="284" t="str">
        <f t="shared" si="8"/>
        <v>30 novembre 2021</v>
      </c>
      <c r="P110" s="282" t="e">
        <f>IF(VLOOKUP(T_Convention[[#This Row],[NumL]],T_TraitDi[#Data],COLUMN(T_TraitDi[M1]),FALSE)="","",VLOOKUP(T_Convention[[#This Row],[NumL]],T_TraitDi[#Data],COLUMN(T_TraitDi[M1]),FALSE))</f>
        <v>#N/A</v>
      </c>
      <c r="Q110" s="282" t="e">
        <f>IF(VLOOKUP(T_Convention[[#This Row],[NumL]],T_TraitDi[#Data],COLUMN(T_TraitDi[M2]),FALSE)="","",VLOOKUP(T_Convention[[#This Row],[NumL]],T_TraitDi[#Data],COLUMN(T_TraitDi[M2]),FALSE))</f>
        <v>#N/A</v>
      </c>
      <c r="R110" s="282" t="e">
        <f>IF(VLOOKUP(T_Convention[[#This Row],[NumL]],T_TraitDi[#Data],COLUMN(T_TraitDi[M3]),FALSE)="","",VLOOKUP(T_Convention[[#This Row],[NumL]],T_TraitDi[#Data],COLUMN(T_TraitDi[M3]),FALSE))</f>
        <v>#N/A</v>
      </c>
      <c r="S110" s="282" t="e">
        <f>IF(VLOOKUP(T_Convention[[#This Row],[NumL]],T_TraitDi[#Data],COLUMN(T_TraitDi[M4]),FALSE)="","",VLOOKUP(T_Convention[[#This Row],[NumL]],T_TraitDi[#Data],COLUMN(T_TraitDi[M4]),FALSE))</f>
        <v>#N/A</v>
      </c>
      <c r="T110" s="282" t="e">
        <f>IF(VLOOKUP(T_Convention[[#This Row],[NumL]],T_TraitDi[#Data],COLUMN(T_TraitDi[M5]),FALSE)="","",VLOOKUP(T_Convention[[#This Row],[NumL]],T_TraitDi[#Data],COLUMN(T_TraitDi[M5]),FALSE))</f>
        <v>#N/A</v>
      </c>
      <c r="U110" s="282" t="e">
        <f>IF(VLOOKUP(T_Convention[[#This Row],[NumL]],T_TraitDi[#Data],COLUMN(T_TraitDi[M6]),FALSE)="","",VLOOKUP(T_Convention[[#This Row],[NumL]],T_TraitDi[#Data],COLUMN(T_TraitDi[M6]),FALSE))</f>
        <v>#N/A</v>
      </c>
      <c r="V110" s="176" t="e">
        <f t="shared" si="9"/>
        <v>#N/A</v>
      </c>
      <c r="W110" s="284" t="str">
        <f>IFERROR(TEXT(VLOOKUP(T_Convention[[#This Row],[NumL]],T_TraitDi[#Data],COLUMN(T_TraitDi[Q2]),FALSE),"###%"),"")</f>
        <v/>
      </c>
      <c r="X110" s="97" t="e">
        <f>VLOOKUP(T_Convention[[#This Row],[NumL]],T_TraitDi[#Data],COLUMN(T_TraitDi[Reg Ponct]),FALSE)</f>
        <v>#N/A</v>
      </c>
      <c r="Y110" s="97" t="e">
        <f>VLOOKUP(T_Convention[NumL],T_TraitDi[#Data],COLUMN(T_TraitDi[Jours flottants]),FALSE)</f>
        <v>#N/A</v>
      </c>
      <c r="Z110" s="284" t="str">
        <f>IFERROR(VLOOKUP(T_Convention[[#This Row],[NumL]],T_TraitDi[#Data],COLUMN(T_TraitDi[Lundi]),FALSE),"")</f>
        <v/>
      </c>
      <c r="AA110" s="284" t="e">
        <f>IF(VLOOKUP(T_Convention[[#This Row],[NumL]],T_TraitDi[#Data],COLUMN(T_TraitDi[Colonne3]),FALSE)=0,"",TEXT(IFERROR(VLOOKUP(T_Convention[[#This Row],[NumL]],T_TraitDi[#Data],COLUMN(T_TraitDi[Colonne3]),FALSE),""),"[hh]:mm"))</f>
        <v>#N/A</v>
      </c>
      <c r="AB110" s="284" t="e">
        <f>IF(VLOOKUP(T_Convention[[#This Row],[NumL]],T_TraitDi[#Data],COLUMN(T_TraitDi[Colonne4]),FALSE)=0,"",TEXT(IFERROR(VLOOKUP(T_Convention[[#This Row],[NumL]],T_TraitDi[#Data],COLUMN(T_TraitDi[Colonne4]),FALSE),""),"[hh]:mm"))</f>
        <v>#N/A</v>
      </c>
      <c r="AC110" s="284" t="e">
        <f>IF(VLOOKUP(T_Convention[[#This Row],[NumL]],T_TraitDi[#Data],COLUMN(T_TraitDi[Colonne5]),FALSE)=0,"",TEXT(IFERROR(VLOOKUP(T_Convention[[#This Row],[NumL]],T_TraitDi[#Data],COLUMN(T_TraitDi[Colonne5]),FALSE),""),"[hh]:mm"))</f>
        <v>#N/A</v>
      </c>
      <c r="AD110" s="284" t="e">
        <f>IF(VLOOKUP(T_Convention[[#This Row],[NumL]],T_TraitDi[#Data],COLUMN(T_TraitDi[Colonne6]),FALSE)=0,"",TEXT(IFERROR(VLOOKUP(T_Convention[[#This Row],[NumL]],T_TraitDi[#Data],COLUMN(T_TraitDi[Colonne6]),FALSE),""),"[hh]:mm"))</f>
        <v>#N/A</v>
      </c>
      <c r="AE110" s="284" t="e">
        <f>IF(VLOOKUP(T_Convention[[#This Row],[NumL]],T_TraitDi[#Data],COLUMN(T_TraitDi[Colonne7]),FALSE)=0,"",TEXT(IFERROR(VLOOKUP(T_Convention[[#This Row],[NumL]],T_TraitDi[#Data],COLUMN(T_TraitDi[Colonne7]),FALSE),""),"[hh]:mm"))</f>
        <v>#N/A</v>
      </c>
      <c r="AF110" s="284" t="e">
        <f>IF(VLOOKUP(T_Convention[[#This Row],[NumL]],T_TraitDi[#Data],COLUMN(T_TraitDi[Colonne8]),FALSE)=0,"",TEXT(IFERROR(VLOOKUP(T_Convention[[#This Row],[NumL]],T_TraitDi[#Data],COLUMN(T_TraitDi[Colonne8]),FALSE),""),"[hh]:mm"))</f>
        <v>#N/A</v>
      </c>
      <c r="AG110" s="284" t="str">
        <f>IFERROR(VLOOKUP(T_Convention[[#This Row],[NumL]],T_TraitDi[#Data],COLUMN(T_TraitDi[Mardi]),FALSE),"")</f>
        <v/>
      </c>
      <c r="AH110" s="284" t="e">
        <f>IF(VLOOKUP(T_Convention[[#This Row],[NumL]],T_TraitDi[#Data],COLUMN(T_TraitDi[Colonne1]),FALSE)=0,"",TEXT(IFERROR(VLOOKUP(T_Convention[[#This Row],[NumL]],T_TraitDi[#Data],COLUMN(T_TraitDi[Colonne1]),FALSE),""),"[hh]:mm"))</f>
        <v>#N/A</v>
      </c>
      <c r="AI110" s="284" t="e">
        <f>IF(VLOOKUP(T_Convention[[#This Row],[NumL]],T_TraitDi[#Data],COLUMN(T_TraitDi[Colonne9]),FALSE)=0,"",TEXT(IFERROR(VLOOKUP(T_Convention[[#This Row],[NumL]],T_TraitDi[#Data],COLUMN(T_TraitDi[Colonne9]),FALSE),""),"[hh]:mm"))</f>
        <v>#N/A</v>
      </c>
      <c r="AJ110" s="284" t="str">
        <f>IFERROR(VLOOKUP(T_Convention[[#This Row],[NumL]],T_TraitDi[#Data],COLUMN(T_TraitDi[Colonne10]),FALSE),"")</f>
        <v/>
      </c>
      <c r="AK110" s="284" t="e">
        <f>IF(VLOOKUP(T_Convention[[#This Row],[NumL]],T_TraitDi[#Data],COLUMN(T_TraitDi[Colonne11]),FALSE)=0,"",TEXT(IFERROR(VLOOKUP(T_Convention[[#This Row],[NumL]],T_TraitDi[#Data],COLUMN(T_TraitDi[Colonne11]),FALSE),""),"[hh]:mm"))</f>
        <v>#N/A</v>
      </c>
      <c r="AL110" s="284" t="e">
        <f>IF(VLOOKUP(T_Convention[[#This Row],[NumL]],T_TraitDi[#Data],COLUMN(T_TraitDi[Colonne12]),FALSE)=0,"",TEXT(IFERROR(VLOOKUP(T_Convention[[#This Row],[NumL]],T_TraitDi[#Data],COLUMN(T_TraitDi[Colonne12]),FALSE),""),"[hh]:mm"))</f>
        <v>#N/A</v>
      </c>
      <c r="AM110" s="284" t="e">
        <f>IF(VLOOKUP(T_Convention[[#This Row],[NumL]],T_TraitDi[#Data],COLUMN(T_TraitDi[Colonne14]),FALSE)=0,"",TEXT(IFERROR(VLOOKUP(T_Convention[[#This Row],[NumL]],T_TraitDi[#Data],COLUMN(T_TraitDi[Colonne14]),FALSE),""),"[hh]:mm"))</f>
        <v>#N/A</v>
      </c>
      <c r="AN110" s="284" t="str">
        <f>IFERROR(VLOOKUP(T_Convention[[#This Row],[NumL]],T_TraitDi[#Data],COLUMN(T_TraitDi[Mercredi]),FALSE),"")</f>
        <v/>
      </c>
      <c r="AO110" s="284" t="e">
        <f>IF(VLOOKUP(T_Convention[[#This Row],[NumL]],T_TraitDi[#Data],COLUMN(T_TraitDi[Colonne15]),FALSE)=0,"",TEXT(IFERROR(VLOOKUP(T_Convention[[#This Row],[NumL]],T_TraitDi[#Data],COLUMN(T_TraitDi[Colonne15]),FALSE),""),"[hh]:mm"))</f>
        <v>#N/A</v>
      </c>
      <c r="AP110" s="284" t="e">
        <f>IF(VLOOKUP(T_Convention[[#This Row],[NumL]],T_TraitDi[#Data],COLUMN(T_TraitDi[Colonne16]),FALSE)=0,"",TEXT(IFERROR(VLOOKUP(T_Convention[[#This Row],[NumL]],T_TraitDi[#Data],COLUMN(T_TraitDi[Colonne16]),FALSE),""),"[hh]:mm"))</f>
        <v>#N/A</v>
      </c>
      <c r="AQ110" s="284" t="str">
        <f>IFERROR(VLOOKUP(T_Convention[[#This Row],[NumL]],T_TraitDi[#Data],COLUMN(T_TraitDi[Colonne17]),FALSE),"")</f>
        <v/>
      </c>
      <c r="AR110" s="284" t="e">
        <f>IF(VLOOKUP(T_Convention[[#This Row],[NumL]],T_TraitDi[#Data],COLUMN(T_TraitDi[Colonne18]),FALSE)=0,"",TEXT(IFERROR(VLOOKUP(T_Convention[[#This Row],[NumL]],T_TraitDi[#Data],COLUMN(T_TraitDi[Colonne18]),FALSE),""),"[hh]:mm"))</f>
        <v>#N/A</v>
      </c>
      <c r="AS110" s="284" t="e">
        <f>IF(VLOOKUP(T_Convention[[#This Row],[NumL]],T_TraitDi[#Data],COLUMN(T_TraitDi[Colonne19]),FALSE)=0,"",TEXT(IFERROR(VLOOKUP(T_Convention[[#This Row],[NumL]],T_TraitDi[#Data],COLUMN(T_TraitDi[Colonne19]),FALSE),""),"[hh]:mm"))</f>
        <v>#N/A</v>
      </c>
      <c r="AT110" s="284" t="e">
        <f>IF(VLOOKUP(T_Convention[[#This Row],[NumL]],T_TraitDi[#Data],COLUMN(T_TraitDi[Colonne20]),FALSE)=0,"",TEXT(IFERROR(VLOOKUP(T_Convention[[#This Row],[NumL]],T_TraitDi[#Data],COLUMN(T_TraitDi[Colonne20]),FALSE),""),"[hh]:mm"))</f>
        <v>#N/A</v>
      </c>
      <c r="AU110" s="284" t="str">
        <f>IFERROR(VLOOKUP(T_Convention[[#This Row],[NumL]],T_TraitDi[#Data],COLUMN(T_TraitDi[Jeudi]),FALSE),"")</f>
        <v/>
      </c>
      <c r="AV110" s="284" t="e">
        <f>IF(VLOOKUP(T_Convention[[#This Row],[NumL]],T_TraitDi[#Data],COLUMN(T_TraitDi[Colonne21]),FALSE)=0,"",TEXT(IFERROR(VLOOKUP(T_Convention[[#This Row],[NumL]],T_TraitDi[#Data],COLUMN(T_TraitDi[Colonne21]),FALSE),""),"[hh]:mm"))</f>
        <v>#N/A</v>
      </c>
      <c r="AW110" s="284" t="e">
        <f>IF(VLOOKUP(T_Convention[[#This Row],[NumL]],T_TraitDi[#Data],COLUMN(T_TraitDi[Colonne22]),FALSE)=0,"",TEXT(IFERROR(VLOOKUP(T_Convention[[#This Row],[NumL]],T_TraitDi[#Data],COLUMN(T_TraitDi[Colonne22]),FALSE),""),"[hh]:mm"))</f>
        <v>#N/A</v>
      </c>
      <c r="AX110" s="284" t="str">
        <f>IFERROR(VLOOKUP(T_Convention[[#This Row],[NumL]],T_TraitDi[#Data],COLUMN(T_TraitDi[Colonne23]),FALSE),"")</f>
        <v/>
      </c>
      <c r="AY110" s="284" t="e">
        <f>IF(VLOOKUP(T_Convention[[#This Row],[NumL]],T_TraitDi[#Data],COLUMN(T_TraitDi[Colonne24]),FALSE)=0,"",TEXT(IFERROR(VLOOKUP(T_Convention[[#This Row],[NumL]],T_TraitDi[#Data],COLUMN(T_TraitDi[Colonne24]),FALSE),""),"[hh]:mm"))</f>
        <v>#N/A</v>
      </c>
      <c r="AZ110" s="284" t="e">
        <f>IF(VLOOKUP(T_Convention[[#This Row],[NumL]],T_TraitDi[#Data],COLUMN(T_TraitDi[Colonne25]),FALSE)=0,"",TEXT(IFERROR(VLOOKUP(T_Convention[[#This Row],[NumL]],T_TraitDi[#Data],COLUMN(T_TraitDi[Colonne25]),FALSE),""),"[hh]:mm"))</f>
        <v>#N/A</v>
      </c>
      <c r="BA110" s="284" t="e">
        <f>IF(VLOOKUP(T_Convention[[#This Row],[NumL]],T_TraitDi[#Data],COLUMN(T_TraitDi[Colonne26]),FALSE)=0,"",TEXT(IFERROR(VLOOKUP(T_Convention[[#This Row],[NumL]],T_TraitDi[#Data],COLUMN(T_TraitDi[Colonne26]),FALSE),""),"[hh]:mm"))</f>
        <v>#N/A</v>
      </c>
      <c r="BB110" s="284" t="str">
        <f>IFERROR(VLOOKUP(T_Convention[[#This Row],[NumL]],T_TraitDi[#Data],COLUMN(T_TraitDi[Vendredi]),FALSE),"")</f>
        <v/>
      </c>
      <c r="BC110" s="284" t="e">
        <f>IF(VLOOKUP(T_Convention[[#This Row],[NumL]],T_TraitDi[#Data],COLUMN(T_TraitDi[Colonne27]),FALSE)=0,"",TEXT(IFERROR(VLOOKUP(T_Convention[[#This Row],[NumL]],T_TraitDi[#Data],COLUMN(T_TraitDi[Colonne27]),FALSE),""),"[hh]:mm"))</f>
        <v>#N/A</v>
      </c>
      <c r="BD110" s="284" t="e">
        <f>IF(VLOOKUP(T_Convention[[#This Row],[NumL]],T_TraitDi[#Data],COLUMN(T_TraitDi[Colonne28]),FALSE)=0,"",TEXT(IFERROR(VLOOKUP(T_Convention[[#This Row],[NumL]],T_TraitDi[#Data],COLUMN(T_TraitDi[Colonne28]),FALSE),""),"[hh]:mm"))</f>
        <v>#N/A</v>
      </c>
      <c r="BE110" s="284" t="str">
        <f>IFERROR(VLOOKUP(T_Convention[[#This Row],[NumL]],T_TraitDi[#Data],COLUMN(T_TraitDi[Colonne29]),FALSE),"")</f>
        <v/>
      </c>
      <c r="BF110" s="284" t="e">
        <f>IF(VLOOKUP(T_Convention[[#This Row],[NumL]],T_TraitDi[#Data],COLUMN(T_TraitDi[Colonne30]),FALSE)=0,"",TEXT(IFERROR(VLOOKUP(T_Convention[[#This Row],[NumL]],T_TraitDi[#Data],COLUMN(T_TraitDi[Colonne30]),FALSE),""),"[hh]:mm"))</f>
        <v>#N/A</v>
      </c>
      <c r="BG110" s="284" t="e">
        <f>IF(VLOOKUP(T_Convention[[#This Row],[NumL]],T_TraitDi[#Data],COLUMN(T_TraitDi[Colonne31]),FALSE)=0,"",TEXT(IFERROR(VLOOKUP(T_Convention[[#This Row],[NumL]],T_TraitDi[#Data],COLUMN(T_TraitDi[Colonne31]),FALSE),""),"[hh]:mm"))</f>
        <v>#N/A</v>
      </c>
      <c r="BH110" s="284" t="e">
        <f>IF(VLOOKUP(T_Convention[[#This Row],[NumL]],T_TraitDi[#Data],COLUMN(T_TraitDi[Colonne32]),FALSE)=0,"",TEXT(IFERROR(VLOOKUP(T_Convention[[#This Row],[NumL]],T_TraitDi[#Data],COLUMN(T_TraitDi[Colonne32]),FALSE),""),"[hh]:mm"))</f>
        <v>#N/A</v>
      </c>
      <c r="BI110" s="284" t="str">
        <f>IFERROR(VLOOKUP(T_Convention[[#This Row],[NumL]],T_TraitDi[#Data],COLUMN(T_TraitDi[NbJTW]),FALSE),"")</f>
        <v/>
      </c>
      <c r="BJ110" s="284" t="e">
        <f>IF(VLOOKUP(T_Convention[[#This Row],[NumL]],T_TraitDi[#Data],COLUMN(T_TraitDi[NbhTW]),FALSE)=0,"",TEXT(IFERROR(VLOOKUP(T_Convention[[#This Row],[NumL]],T_TraitDi[#Data],COLUMN(T_TraitDi[NbhTW]),FALSE),""),"[hh]:mm"))</f>
        <v>#N/A</v>
      </c>
      <c r="BK110" s="286" t="e">
        <f>IF(VLOOKUP(T_Convention[[#This Row],[NumL]],T_TraitDi[#Data],COLUMN(T_TraitDi[Nbhheb]),FALSE)=0,"",TEXT(IFERROR(VLOOKUP(T_Convention[[#This Row],[NumL]],T_TraitDi[#Data],COLUMN(T_TraitDi[Nbhheb]),FALSE),""),"[hh]:mm"))</f>
        <v>#N/A</v>
      </c>
      <c r="BL110" s="287" t="str">
        <f>IFERROR(VLOOKUP(VLOOKUP(T_Convention[[#This Row],[NumL]],T_TraitDi[#Data],COLUMN(T_TraitDi[Type1]),FALSE),TypeTW,2,FALSE),"")</f>
        <v/>
      </c>
      <c r="BM110" s="288" t="str">
        <f>IFERROR(VLOOKUP(T_Convention[[#This Row],[NumL]],T_TraitDi[#Data],COLUMN(T_TraitDi[Rue1]),FALSE),"")</f>
        <v/>
      </c>
      <c r="BN110" s="289" t="str">
        <f>IFERROR(VLOOKUP(T_Convention[[#This Row],[NumL]],T_TraitDi[#Data],COLUMN(T_TraitDi[CP1]),FALSE),"")</f>
        <v/>
      </c>
      <c r="BO110" s="282" t="str">
        <f>IFERROR(VLOOKUP(T_Convention[[#This Row],[NumL]],T_TraitDi[#Data],COLUMN(T_TraitDi[VILLE1]),FALSE),"")</f>
        <v/>
      </c>
      <c r="BP110" s="290" t="str">
        <f>IFERROR(VLOOKUP(VLOOKUP(T_Convention[[#This Row],[NumL]],T_TraitDi[#Data],COLUMN(T_TraitDi[Type2]),FALSE),TypeTW,2,FALSE),"")</f>
        <v/>
      </c>
      <c r="BQ110" s="182" t="str">
        <f>IFERROR(VLOOKUP(T_Convention[[#This Row],[NumL]],T_TraitDi[#Data],COLUMN(T_TraitDi[Rue2]),FALSE),"")</f>
        <v/>
      </c>
      <c r="BR110" s="173" t="str">
        <f>IFERROR(VLOOKUP(T_Convention[[#This Row],[NumL]],T_TraitDi[#Data],COLUMN(T_TraitDi[CP2]),FALSE),"")</f>
        <v/>
      </c>
      <c r="BS110" s="173" t="str">
        <f>IFERROR(VLOOKUP(T_Convention[[#This Row],[NumL]],T_TraitDi[#Data],COLUMN(T_TraitDi[VILLE2]),FALSE),"")</f>
        <v/>
      </c>
      <c r="BT110" s="182" t="str">
        <f>IF(VLOOKUP(T_Convention[[#This Row],[NumL]],T_Equipement[#Data],COLUMN(T_Equipement[PC]),FALSE)="","Aucun équipement spécifique directement lié au télétravail",VLOOKUP(T_Convention[[#This Row],[NumL]],T_Equipement[#Data],COLUMN(T_Equipement[PC]),FALSE))</f>
        <v xml:space="preserve">20-016	</v>
      </c>
      <c r="BU110" s="166" t="str">
        <f>IFERROR(IF(VLOOKUP(T_Convention[[#This Row],[NumL]],T_TraitDi[#Data],COLUMN(T_TraitDi[Plan]),FALSE)="OK","Un planning spécifique de télétravail est annexé à la présente convention.",""),"")</f>
        <v/>
      </c>
      <c r="BV110" s="185" t="s">
        <v>3349</v>
      </c>
      <c r="BW110" s="164" t="e">
        <f>IF(VLOOKUP(T_Convention[[#This Row],[NumL]],T_suiviDi[#Data],COLUMN(T_suiviDi[Entité]),FALSE)="","",VLOOKUP(T_Convention[[#This Row],[NumL]],T_suiviDi[#Data],COLUMN(T_suiviDi[Entité]),FALSE))</f>
        <v>#N/A</v>
      </c>
      <c r="BX110" s="164" t="str">
        <f>IF(VLOOKUP(T_Convention[[#This Row],[NumL]],T_Commission[#Data],COLUMN(T_Commission[envoi confirm TW]),FALSE)="","",VLOOKUP(T_Convention[[#This Row],[NumL]],T_Commission[#Data],COLUMN(T_Commission[envoi confirm TW]),FALSE))</f>
        <v>Oui</v>
      </c>
      <c r="BY11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0" s="264">
        <f>VLOOKUP(T_Convention[[#This Row],[NumL]],T_Commission[#Data],COLUMN(T_Commission[Commentaire]),FALSE)</f>
        <v>0</v>
      </c>
      <c r="CA110" s="254" t="str">
        <f>IF(VLOOKUP(T_Convention[[#This Row],[NumL]],T_Commission[#Data],COLUMN(T_Commission[Encadrant Email]),FALSE)="","",VLOOKUP(T_Convention[[#This Row],[NumL]],T_Commission[#Data],COLUMN(T_Commission[Encadrant Email]),FALSE))</f>
        <v/>
      </c>
      <c r="CB110" s="352" t="e">
        <f>VLOOKUP(T_Convention[[#This Row],[NumL]],T_TraitDi[#Data],COLUMN(T_TraitDi[NbJTot]),FALSE)</f>
        <v>#N/A</v>
      </c>
      <c r="CC110" s="352" t="e">
        <f>VLOOKUP(T_Convention[[#This Row],[NumL]],T_TraitDi[#Data],COLUMN(T_TraitDi[Reg Ponct]),FALSE)</f>
        <v>#N/A</v>
      </c>
      <c r="CD110" s="348" t="str">
        <f>IF(T_Convention[[#This Row],[Final]]&lt;&gt;"",VLOOKUP(T_Convention[[#This Row],[NumL]],T_suiviDi[#Data],COLUMN((T_suiviDi[Statut])),FALSE),"")</f>
        <v/>
      </c>
    </row>
    <row r="111" spans="1:82" s="106" customFormat="1" ht="18.75" customHeight="1" x14ac:dyDescent="0.25">
      <c r="A111" s="160">
        <v>142</v>
      </c>
      <c r="B111" s="161" t="str">
        <f>VLOOKUP(T_Convention[[#This Row],[NumL]],T_Commission[#Data],COLUMN(T_Commission[FINAL]),FALSE)</f>
        <v/>
      </c>
      <c r="C111" s="162"/>
      <c r="D111" s="95" t="e">
        <f>IF(VLOOKUP(T_Convention[[#This Row],[NumL]],T_TraitDi[#Data],COLUMN(T_TraitDi[WebC]),FALSE)="","",VLOOKUP(T_Convention[[#This Row],[NumL]],T_TraitDi[#Data],COLUMN(T_TraitDi[WebC]),FALSE))</f>
        <v>#N/A</v>
      </c>
      <c r="E111" s="163" t="str">
        <f t="shared" si="5"/>
        <v>12 janvier 2021</v>
      </c>
      <c r="F111" s="282" t="str">
        <f>IF(T_Convention[[#This Row],[Final]]&lt;&gt;"",VLOOKUP(T_Convention[[#This Row],[NumL]],T_suiviDi[#Data],COLUMN((T_suiviDi[Civ.])),FALSE),"")</f>
        <v/>
      </c>
      <c r="G111" s="283" t="str">
        <f>IF(T_Convention[[#This Row],[Final]]&lt;&gt;"",VLOOKUP(T_Convention[[#This Row],[NumL]],T_suiviDi[#Data],COLUMN((T_suiviDi[Nom])),FALSE),"")</f>
        <v/>
      </c>
      <c r="H111" s="282" t="str">
        <f>IF(T_Convention[[#This Row],[Final]]&lt;&gt;"",VLOOKUP(T_Convention[[#This Row],[NumL]],T_suiviDi[#Data],COLUMN((T_suiviDi[Prénom])),FALSE),"")</f>
        <v/>
      </c>
      <c r="I111" s="282" t="e">
        <f>VLOOKUP(T_Convention[[#This Row],[NumL]],T_suiviDi[#Data],COLUMN((T_suiviDi[[#This Row],[Email]])),FALSE)</f>
        <v>#VALUE!</v>
      </c>
      <c r="J111" s="282" t="e">
        <f>IF(VLOOKUP(T_Convention[[#This Row],[NumL]],T_suiviDi[#Data],COLUMN(T_suiviDi[[#This Row],[Fonction]]),FALSE)="","",VLOOKUP(T_Convention[[#This Row],[NumL]],T_suiviDi[#Data],COLUMN(T_suiviDi[[#This Row],[Fonction]]),FALSE))</f>
        <v>#VALUE!</v>
      </c>
      <c r="K111" s="282" t="e">
        <f>IF(VLOOKUP(T_Convention[[#This Row],[NumL]],T_suiviDi[#Data],COLUMN(T_suiviDi[[#This Row],[Grade]]),FALSE)="","",VLOOKUP(T_Convention[[#This Row],[NumL]],T_suiviDi[#Data],COLUMN(T_suiviDi[[#This Row],[Grade]]),FALSE))</f>
        <v>#VALUE!</v>
      </c>
      <c r="L111" s="282" t="e">
        <f>IF(VLOOKUP(T_Convention[[#This Row],[NumL]],T_suiviDi[#Data],COLUMN(T_suiviDi[[#This Row],[Service ]]),FALSE)="","",VLOOKUP(T_Convention[[#This Row],[NumL]],T_suiviDi[#Data],COLUMN(T_suiviDi[[#This Row],[Service ]]),FALSE))</f>
        <v>#VALUE!</v>
      </c>
      <c r="M111" s="164" t="str">
        <f t="shared" si="6"/>
        <v>01 septembre 2021</v>
      </c>
      <c r="N111" s="164" t="str">
        <f t="shared" si="7"/>
        <v>30 novembre 2021</v>
      </c>
      <c r="O111" s="284" t="str">
        <f t="shared" si="8"/>
        <v>30 novembre 2021</v>
      </c>
      <c r="P111" s="282" t="e">
        <f>IF(VLOOKUP(T_Convention[[#This Row],[NumL]],T_TraitDi[#Data],COLUMN(T_TraitDi[M1]),FALSE)="","",VLOOKUP(T_Convention[[#This Row],[NumL]],T_TraitDi[#Data],COLUMN(T_TraitDi[M1]),FALSE))</f>
        <v>#N/A</v>
      </c>
      <c r="Q111" s="282" t="e">
        <f>IF(VLOOKUP(T_Convention[[#This Row],[NumL]],T_TraitDi[#Data],COLUMN(T_TraitDi[M2]),FALSE)="","",VLOOKUP(T_Convention[[#This Row],[NumL]],T_TraitDi[#Data],COLUMN(T_TraitDi[M2]),FALSE))</f>
        <v>#N/A</v>
      </c>
      <c r="R111" s="282" t="e">
        <f>IF(VLOOKUP(T_Convention[[#This Row],[NumL]],T_TraitDi[#Data],COLUMN(T_TraitDi[M3]),FALSE)="","",VLOOKUP(T_Convention[[#This Row],[NumL]],T_TraitDi[#Data],COLUMN(T_TraitDi[M3]),FALSE))</f>
        <v>#N/A</v>
      </c>
      <c r="S111" s="282" t="e">
        <f>IF(VLOOKUP(T_Convention[[#This Row],[NumL]],T_TraitDi[#Data],COLUMN(T_TraitDi[M4]),FALSE)="","",VLOOKUP(T_Convention[[#This Row],[NumL]],T_TraitDi[#Data],COLUMN(T_TraitDi[M4]),FALSE))</f>
        <v>#N/A</v>
      </c>
      <c r="T111" s="282" t="e">
        <f>IF(VLOOKUP(T_Convention[[#This Row],[NumL]],T_TraitDi[#Data],COLUMN(T_TraitDi[M5]),FALSE)="","",VLOOKUP(T_Convention[[#This Row],[NumL]],T_TraitDi[#Data],COLUMN(T_TraitDi[M5]),FALSE))</f>
        <v>#N/A</v>
      </c>
      <c r="U111" s="282" t="e">
        <f>IF(VLOOKUP(T_Convention[[#This Row],[NumL]],T_TraitDi[#Data],COLUMN(T_TraitDi[M6]),FALSE)="","",VLOOKUP(T_Convention[[#This Row],[NumL]],T_TraitDi[#Data],COLUMN(T_TraitDi[M6]),FALSE))</f>
        <v>#N/A</v>
      </c>
      <c r="V111" s="176" t="e">
        <f t="shared" si="9"/>
        <v>#N/A</v>
      </c>
      <c r="W111" s="284" t="str">
        <f>IFERROR(TEXT(VLOOKUP(T_Convention[[#This Row],[NumL]],T_TraitDi[#Data],COLUMN(T_TraitDi[Q2]),FALSE),"###%"),"")</f>
        <v/>
      </c>
      <c r="X111" s="97" t="e">
        <f>VLOOKUP(T_Convention[[#This Row],[NumL]],T_TraitDi[#Data],COLUMN(T_TraitDi[Reg Ponct]),FALSE)</f>
        <v>#N/A</v>
      </c>
      <c r="Y111" s="97" t="e">
        <f>VLOOKUP(T_Convention[NumL],T_TraitDi[#Data],COLUMN(T_TraitDi[Jours flottants]),FALSE)</f>
        <v>#N/A</v>
      </c>
      <c r="Z111" s="284" t="str">
        <f>IFERROR(VLOOKUP(T_Convention[[#This Row],[NumL]],T_TraitDi[#Data],COLUMN(T_TraitDi[Lundi]),FALSE),"")</f>
        <v/>
      </c>
      <c r="AA111" s="284" t="e">
        <f>IF(VLOOKUP(T_Convention[[#This Row],[NumL]],T_TraitDi[#Data],COLUMN(T_TraitDi[Colonne3]),FALSE)=0,"",TEXT(IFERROR(VLOOKUP(T_Convention[[#This Row],[NumL]],T_TraitDi[#Data],COLUMN(T_TraitDi[Colonne3]),FALSE),""),"[hh]:mm"))</f>
        <v>#N/A</v>
      </c>
      <c r="AB111" s="284" t="e">
        <f>IF(VLOOKUP(T_Convention[[#This Row],[NumL]],T_TraitDi[#Data],COLUMN(T_TraitDi[Colonne4]),FALSE)=0,"",TEXT(IFERROR(VLOOKUP(T_Convention[[#This Row],[NumL]],T_TraitDi[#Data],COLUMN(T_TraitDi[Colonne4]),FALSE),""),"[hh]:mm"))</f>
        <v>#N/A</v>
      </c>
      <c r="AC111" s="284" t="e">
        <f>IF(VLOOKUP(T_Convention[[#This Row],[NumL]],T_TraitDi[#Data],COLUMN(T_TraitDi[Colonne5]),FALSE)=0,"",TEXT(IFERROR(VLOOKUP(T_Convention[[#This Row],[NumL]],T_TraitDi[#Data],COLUMN(T_TraitDi[Colonne5]),FALSE),""),"[hh]:mm"))</f>
        <v>#N/A</v>
      </c>
      <c r="AD111" s="284" t="e">
        <f>IF(VLOOKUP(T_Convention[[#This Row],[NumL]],T_TraitDi[#Data],COLUMN(T_TraitDi[Colonne6]),FALSE)=0,"",TEXT(IFERROR(VLOOKUP(T_Convention[[#This Row],[NumL]],T_TraitDi[#Data],COLUMN(T_TraitDi[Colonne6]),FALSE),""),"[hh]:mm"))</f>
        <v>#N/A</v>
      </c>
      <c r="AE111" s="284" t="e">
        <f>IF(VLOOKUP(T_Convention[[#This Row],[NumL]],T_TraitDi[#Data],COLUMN(T_TraitDi[Colonne7]),FALSE)=0,"",TEXT(IFERROR(VLOOKUP(T_Convention[[#This Row],[NumL]],T_TraitDi[#Data],COLUMN(T_TraitDi[Colonne7]),FALSE),""),"[hh]:mm"))</f>
        <v>#N/A</v>
      </c>
      <c r="AF111" s="284" t="e">
        <f>IF(VLOOKUP(T_Convention[[#This Row],[NumL]],T_TraitDi[#Data],COLUMN(T_TraitDi[Colonne8]),FALSE)=0,"",TEXT(IFERROR(VLOOKUP(T_Convention[[#This Row],[NumL]],T_TraitDi[#Data],COLUMN(T_TraitDi[Colonne8]),FALSE),""),"[hh]:mm"))</f>
        <v>#N/A</v>
      </c>
      <c r="AG111" s="284" t="str">
        <f>IFERROR(VLOOKUP(T_Convention[[#This Row],[NumL]],T_TraitDi[#Data],COLUMN(T_TraitDi[Mardi]),FALSE),"")</f>
        <v/>
      </c>
      <c r="AH111" s="284" t="e">
        <f>IF(VLOOKUP(T_Convention[[#This Row],[NumL]],T_TraitDi[#Data],COLUMN(T_TraitDi[Colonne1]),FALSE)=0,"",TEXT(IFERROR(VLOOKUP(T_Convention[[#This Row],[NumL]],T_TraitDi[#Data],COLUMN(T_TraitDi[Colonne1]),FALSE),""),"[hh]:mm"))</f>
        <v>#N/A</v>
      </c>
      <c r="AI111" s="284" t="e">
        <f>IF(VLOOKUP(T_Convention[[#This Row],[NumL]],T_TraitDi[#Data],COLUMN(T_TraitDi[Colonne9]),FALSE)=0,"",TEXT(IFERROR(VLOOKUP(T_Convention[[#This Row],[NumL]],T_TraitDi[#Data],COLUMN(T_TraitDi[Colonne9]),FALSE),""),"[hh]:mm"))</f>
        <v>#N/A</v>
      </c>
      <c r="AJ111" s="284" t="str">
        <f>IFERROR(VLOOKUP(T_Convention[[#This Row],[NumL]],T_TraitDi[#Data],COLUMN(T_TraitDi[Colonne10]),FALSE),"")</f>
        <v/>
      </c>
      <c r="AK111" s="284" t="e">
        <f>IF(VLOOKUP(T_Convention[[#This Row],[NumL]],T_TraitDi[#Data],COLUMN(T_TraitDi[Colonne11]),FALSE)=0,"",TEXT(IFERROR(VLOOKUP(T_Convention[[#This Row],[NumL]],T_TraitDi[#Data],COLUMN(T_TraitDi[Colonne11]),FALSE),""),"[hh]:mm"))</f>
        <v>#N/A</v>
      </c>
      <c r="AL111" s="284" t="e">
        <f>IF(VLOOKUP(T_Convention[[#This Row],[NumL]],T_TraitDi[#Data],COLUMN(T_TraitDi[Colonne12]),FALSE)=0,"",TEXT(IFERROR(VLOOKUP(T_Convention[[#This Row],[NumL]],T_TraitDi[#Data],COLUMN(T_TraitDi[Colonne12]),FALSE),""),"[hh]:mm"))</f>
        <v>#N/A</v>
      </c>
      <c r="AM111" s="284" t="e">
        <f>IF(VLOOKUP(T_Convention[[#This Row],[NumL]],T_TraitDi[#Data],COLUMN(T_TraitDi[Colonne14]),FALSE)=0,"",TEXT(IFERROR(VLOOKUP(T_Convention[[#This Row],[NumL]],T_TraitDi[#Data],COLUMN(T_TraitDi[Colonne14]),FALSE),""),"[hh]:mm"))</f>
        <v>#N/A</v>
      </c>
      <c r="AN111" s="284" t="str">
        <f>IFERROR(VLOOKUP(T_Convention[[#This Row],[NumL]],T_TraitDi[#Data],COLUMN(T_TraitDi[Mercredi]),FALSE),"")</f>
        <v/>
      </c>
      <c r="AO111" s="284" t="e">
        <f>IF(VLOOKUP(T_Convention[[#This Row],[NumL]],T_TraitDi[#Data],COLUMN(T_TraitDi[Colonne15]),FALSE)=0,"",TEXT(IFERROR(VLOOKUP(T_Convention[[#This Row],[NumL]],T_TraitDi[#Data],COLUMN(T_TraitDi[Colonne15]),FALSE),""),"[hh]:mm"))</f>
        <v>#N/A</v>
      </c>
      <c r="AP111" s="284" t="e">
        <f>IF(VLOOKUP(T_Convention[[#This Row],[NumL]],T_TraitDi[#Data],COLUMN(T_TraitDi[Colonne16]),FALSE)=0,"",TEXT(IFERROR(VLOOKUP(T_Convention[[#This Row],[NumL]],T_TraitDi[#Data],COLUMN(T_TraitDi[Colonne16]),FALSE),""),"[hh]:mm"))</f>
        <v>#N/A</v>
      </c>
      <c r="AQ111" s="284" t="str">
        <f>IFERROR(VLOOKUP(T_Convention[[#This Row],[NumL]],T_TraitDi[#Data],COLUMN(T_TraitDi[Colonne17]),FALSE),"")</f>
        <v/>
      </c>
      <c r="AR111" s="284" t="e">
        <f>IF(VLOOKUP(T_Convention[[#This Row],[NumL]],T_TraitDi[#Data],COLUMN(T_TraitDi[Colonne18]),FALSE)=0,"",TEXT(IFERROR(VLOOKUP(T_Convention[[#This Row],[NumL]],T_TraitDi[#Data],COLUMN(T_TraitDi[Colonne18]),FALSE),""),"[hh]:mm"))</f>
        <v>#N/A</v>
      </c>
      <c r="AS111" s="284" t="e">
        <f>IF(VLOOKUP(T_Convention[[#This Row],[NumL]],T_TraitDi[#Data],COLUMN(T_TraitDi[Colonne19]),FALSE)=0,"",TEXT(IFERROR(VLOOKUP(T_Convention[[#This Row],[NumL]],T_TraitDi[#Data],COLUMN(T_TraitDi[Colonne19]),FALSE),""),"[hh]:mm"))</f>
        <v>#N/A</v>
      </c>
      <c r="AT111" s="284" t="e">
        <f>IF(VLOOKUP(T_Convention[[#This Row],[NumL]],T_TraitDi[#Data],COLUMN(T_TraitDi[Colonne20]),FALSE)=0,"",TEXT(IFERROR(VLOOKUP(T_Convention[[#This Row],[NumL]],T_TraitDi[#Data],COLUMN(T_TraitDi[Colonne20]),FALSE),""),"[hh]:mm"))</f>
        <v>#N/A</v>
      </c>
      <c r="AU111" s="284" t="str">
        <f>IFERROR(VLOOKUP(T_Convention[[#This Row],[NumL]],T_TraitDi[#Data],COLUMN(T_TraitDi[Jeudi]),FALSE),"")</f>
        <v/>
      </c>
      <c r="AV111" s="284" t="e">
        <f>IF(VLOOKUP(T_Convention[[#This Row],[NumL]],T_TraitDi[#Data],COLUMN(T_TraitDi[Colonne21]),FALSE)=0,"",TEXT(IFERROR(VLOOKUP(T_Convention[[#This Row],[NumL]],T_TraitDi[#Data],COLUMN(T_TraitDi[Colonne21]),FALSE),""),"[hh]:mm"))</f>
        <v>#N/A</v>
      </c>
      <c r="AW111" s="284" t="e">
        <f>IF(VLOOKUP(T_Convention[[#This Row],[NumL]],T_TraitDi[#Data],COLUMN(T_TraitDi[Colonne22]),FALSE)=0,"",TEXT(IFERROR(VLOOKUP(T_Convention[[#This Row],[NumL]],T_TraitDi[#Data],COLUMN(T_TraitDi[Colonne22]),FALSE),""),"[hh]:mm"))</f>
        <v>#N/A</v>
      </c>
      <c r="AX111" s="284" t="str">
        <f>IFERROR(VLOOKUP(T_Convention[[#This Row],[NumL]],T_TraitDi[#Data],COLUMN(T_TraitDi[Colonne23]),FALSE),"")</f>
        <v/>
      </c>
      <c r="AY111" s="284" t="e">
        <f>IF(VLOOKUP(T_Convention[[#This Row],[NumL]],T_TraitDi[#Data],COLUMN(T_TraitDi[Colonne24]),FALSE)=0,"",TEXT(IFERROR(VLOOKUP(T_Convention[[#This Row],[NumL]],T_TraitDi[#Data],COLUMN(T_TraitDi[Colonne24]),FALSE),""),"[hh]:mm"))</f>
        <v>#N/A</v>
      </c>
      <c r="AZ111" s="284" t="e">
        <f>IF(VLOOKUP(T_Convention[[#This Row],[NumL]],T_TraitDi[#Data],COLUMN(T_TraitDi[Colonne25]),FALSE)=0,"",TEXT(IFERROR(VLOOKUP(T_Convention[[#This Row],[NumL]],T_TraitDi[#Data],COLUMN(T_TraitDi[Colonne25]),FALSE),""),"[hh]:mm"))</f>
        <v>#N/A</v>
      </c>
      <c r="BA111" s="284" t="e">
        <f>IF(VLOOKUP(T_Convention[[#This Row],[NumL]],T_TraitDi[#Data],COLUMN(T_TraitDi[Colonne26]),FALSE)=0,"",TEXT(IFERROR(VLOOKUP(T_Convention[[#This Row],[NumL]],T_TraitDi[#Data],COLUMN(T_TraitDi[Colonne26]),FALSE),""),"[hh]:mm"))</f>
        <v>#N/A</v>
      </c>
      <c r="BB111" s="284" t="str">
        <f>IFERROR(VLOOKUP(T_Convention[[#This Row],[NumL]],T_TraitDi[#Data],COLUMN(T_TraitDi[Vendredi]),FALSE),"")</f>
        <v/>
      </c>
      <c r="BC111" s="284" t="e">
        <f>IF(VLOOKUP(T_Convention[[#This Row],[NumL]],T_TraitDi[#Data],COLUMN(T_TraitDi[Colonne27]),FALSE)=0,"",TEXT(IFERROR(VLOOKUP(T_Convention[[#This Row],[NumL]],T_TraitDi[#Data],COLUMN(T_TraitDi[Colonne27]),FALSE),""),"[hh]:mm"))</f>
        <v>#N/A</v>
      </c>
      <c r="BD111" s="284" t="e">
        <f>IF(VLOOKUP(T_Convention[[#This Row],[NumL]],T_TraitDi[#Data],COLUMN(T_TraitDi[Colonne28]),FALSE)=0,"",TEXT(IFERROR(VLOOKUP(T_Convention[[#This Row],[NumL]],T_TraitDi[#Data],COLUMN(T_TraitDi[Colonne28]),FALSE),""),"[hh]:mm"))</f>
        <v>#N/A</v>
      </c>
      <c r="BE111" s="284" t="str">
        <f>IFERROR(VLOOKUP(T_Convention[[#This Row],[NumL]],T_TraitDi[#Data],COLUMN(T_TraitDi[Colonne29]),FALSE),"")</f>
        <v/>
      </c>
      <c r="BF111" s="284" t="e">
        <f>IF(VLOOKUP(T_Convention[[#This Row],[NumL]],T_TraitDi[#Data],COLUMN(T_TraitDi[Colonne30]),FALSE)=0,"",TEXT(IFERROR(VLOOKUP(T_Convention[[#This Row],[NumL]],T_TraitDi[#Data],COLUMN(T_TraitDi[Colonne30]),FALSE),""),"[hh]:mm"))</f>
        <v>#N/A</v>
      </c>
      <c r="BG111" s="284" t="e">
        <f>IF(VLOOKUP(T_Convention[[#This Row],[NumL]],T_TraitDi[#Data],COLUMN(T_TraitDi[Colonne31]),FALSE)=0,"",TEXT(IFERROR(VLOOKUP(T_Convention[[#This Row],[NumL]],T_TraitDi[#Data],COLUMN(T_TraitDi[Colonne31]),FALSE),""),"[hh]:mm"))</f>
        <v>#N/A</v>
      </c>
      <c r="BH111" s="284" t="e">
        <f>IF(VLOOKUP(T_Convention[[#This Row],[NumL]],T_TraitDi[#Data],COLUMN(T_TraitDi[Colonne32]),FALSE)=0,"",TEXT(IFERROR(VLOOKUP(T_Convention[[#This Row],[NumL]],T_TraitDi[#Data],COLUMN(T_TraitDi[Colonne32]),FALSE),""),"[hh]:mm"))</f>
        <v>#N/A</v>
      </c>
      <c r="BI111" s="284" t="str">
        <f>IFERROR(VLOOKUP(T_Convention[[#This Row],[NumL]],T_TraitDi[#Data],COLUMN(T_TraitDi[NbJTW]),FALSE),"")</f>
        <v/>
      </c>
      <c r="BJ111" s="284" t="e">
        <f>IF(VLOOKUP(T_Convention[[#This Row],[NumL]],T_TraitDi[#Data],COLUMN(T_TraitDi[NbhTW]),FALSE)=0,"",TEXT(IFERROR(VLOOKUP(T_Convention[[#This Row],[NumL]],T_TraitDi[#Data],COLUMN(T_TraitDi[NbhTW]),FALSE),""),"[hh]:mm"))</f>
        <v>#N/A</v>
      </c>
      <c r="BK111" s="286" t="e">
        <f>IF(VLOOKUP(T_Convention[[#This Row],[NumL]],T_TraitDi[#Data],COLUMN(T_TraitDi[Nbhheb]),FALSE)=0,"",TEXT(IFERROR(VLOOKUP(T_Convention[[#This Row],[NumL]],T_TraitDi[#Data],COLUMN(T_TraitDi[Nbhheb]),FALSE),""),"[hh]:mm"))</f>
        <v>#N/A</v>
      </c>
      <c r="BL111" s="287" t="str">
        <f>IFERROR(VLOOKUP(VLOOKUP(T_Convention[[#This Row],[NumL]],T_TraitDi[#Data],COLUMN(T_TraitDi[Type1]),FALSE),TypeTW,2,FALSE),"")</f>
        <v/>
      </c>
      <c r="BM111" s="288" t="str">
        <f>IFERROR(VLOOKUP(T_Convention[[#This Row],[NumL]],T_TraitDi[#Data],COLUMN(T_TraitDi[Rue1]),FALSE),"")</f>
        <v/>
      </c>
      <c r="BN111" s="289" t="str">
        <f>IFERROR(VLOOKUP(T_Convention[[#This Row],[NumL]],T_TraitDi[#Data],COLUMN(T_TraitDi[CP1]),FALSE),"")</f>
        <v/>
      </c>
      <c r="BO111" s="282" t="str">
        <f>IFERROR(VLOOKUP(T_Convention[[#This Row],[NumL]],T_TraitDi[#Data],COLUMN(T_TraitDi[VILLE1]),FALSE),"")</f>
        <v/>
      </c>
      <c r="BP111" s="290" t="str">
        <f>IFERROR(VLOOKUP(VLOOKUP(T_Convention[[#This Row],[NumL]],T_TraitDi[#Data],COLUMN(T_TraitDi[Type2]),FALSE),TypeTW,2,FALSE),"")</f>
        <v/>
      </c>
      <c r="BQ111" s="182" t="str">
        <f>IFERROR(VLOOKUP(T_Convention[[#This Row],[NumL]],T_TraitDi[#Data],COLUMN(T_TraitDi[Rue2]),FALSE),"")</f>
        <v/>
      </c>
      <c r="BR111" s="173" t="str">
        <f>IFERROR(VLOOKUP(T_Convention[[#This Row],[NumL]],T_TraitDi[#Data],COLUMN(T_TraitDi[CP2]),FALSE),"")</f>
        <v/>
      </c>
      <c r="BS111" s="173" t="str">
        <f>IFERROR(VLOOKUP(T_Convention[[#This Row],[NumL]],T_TraitDi[#Data],COLUMN(T_TraitDi[VILLE2]),FALSE),"")</f>
        <v/>
      </c>
      <c r="BT111" s="182" t="str">
        <f>IF(VLOOKUP(T_Convention[[#This Row],[NumL]],T_Equipement[#Data],COLUMN(T_Equipement[PC]),FALSE)="","Aucun équipement spécifique directement lié au télétravail",VLOOKUP(T_Convention[[#This Row],[NumL]],T_Equipement[#Data],COLUMN(T_Equipement[PC]),FALSE))</f>
        <v>20-370</v>
      </c>
      <c r="BU111" s="166" t="str">
        <f>IFERROR(IF(VLOOKUP(T_Convention[[#This Row],[NumL]],T_TraitDi[#Data],COLUMN(T_TraitDi[Plan]),FALSE)="OK","Un planning spécifique de télétravail est annexé à la présente convention.",""),"")</f>
        <v/>
      </c>
      <c r="BV111" s="185" t="s">
        <v>3504</v>
      </c>
      <c r="BW111" s="164" t="e">
        <f>IF(VLOOKUP(T_Convention[[#This Row],[NumL]],T_suiviDi[#Data],COLUMN(T_suiviDi[Entité]),FALSE)="","",VLOOKUP(T_Convention[[#This Row],[NumL]],T_suiviDi[#Data],COLUMN(T_suiviDi[Entité]),FALSE))</f>
        <v>#N/A</v>
      </c>
      <c r="BX111" s="164" t="str">
        <f>IF(VLOOKUP(T_Convention[[#This Row],[NumL]],T_Commission[#Data],COLUMN(T_Commission[envoi confirm TW]),FALSE)="","",VLOOKUP(T_Convention[[#This Row],[NumL]],T_Commission[#Data],COLUMN(T_Commission[envoi confirm TW]),FALSE))</f>
        <v>Oui</v>
      </c>
      <c r="BY11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1" s="264">
        <f>VLOOKUP(T_Convention[[#This Row],[NumL]],T_Commission[#Data],COLUMN(T_Commission[Commentaire]),FALSE)</f>
        <v>0</v>
      </c>
      <c r="CA111" s="254" t="str">
        <f>IF(VLOOKUP(T_Convention[[#This Row],[NumL]],T_Commission[#Data],COLUMN(T_Commission[Encadrant Email]),FALSE)="","",VLOOKUP(T_Convention[[#This Row],[NumL]],T_Commission[#Data],COLUMN(T_Commission[Encadrant Email]),FALSE))</f>
        <v/>
      </c>
      <c r="CB111" s="352" t="e">
        <f>VLOOKUP(T_Convention[[#This Row],[NumL]],T_TraitDi[#Data],COLUMN(T_TraitDi[NbJTot]),FALSE)</f>
        <v>#N/A</v>
      </c>
      <c r="CC111" s="352" t="e">
        <f>VLOOKUP(T_Convention[[#This Row],[NumL]],T_TraitDi[#Data],COLUMN(T_TraitDi[Reg Ponct]),FALSE)</f>
        <v>#N/A</v>
      </c>
      <c r="CD111" s="348" t="str">
        <f>IF(T_Convention[[#This Row],[Final]]&lt;&gt;"",VLOOKUP(T_Convention[[#This Row],[NumL]],T_suiviDi[#Data],COLUMN((T_suiviDi[Statut])),FALSE),"")</f>
        <v/>
      </c>
    </row>
    <row r="112" spans="1:82" s="106" customFormat="1" ht="18.75" customHeight="1" x14ac:dyDescent="0.25">
      <c r="A112" s="160">
        <v>229</v>
      </c>
      <c r="B112" s="161" t="str">
        <f>VLOOKUP(T_Convention[[#This Row],[NumL]],T_Commission[#Data],COLUMN(T_Commission[FINAL]),FALSE)</f>
        <v/>
      </c>
      <c r="C112" s="162"/>
      <c r="D112" s="95" t="e">
        <f>IF(VLOOKUP(T_Convention[[#This Row],[NumL]],T_TraitDi[#Data],COLUMN(T_TraitDi[WebC]),FALSE)="","",VLOOKUP(T_Convention[[#This Row],[NumL]],T_TraitDi[#Data],COLUMN(T_TraitDi[WebC]),FALSE))</f>
        <v>#N/A</v>
      </c>
      <c r="E112" s="163" t="str">
        <f t="shared" si="5"/>
        <v>12 janvier 2021</v>
      </c>
      <c r="F112" s="282" t="str">
        <f>IF(T_Convention[[#This Row],[Final]]&lt;&gt;"",VLOOKUP(T_Convention[[#This Row],[NumL]],T_suiviDi[#Data],COLUMN((T_suiviDi[Civ.])),FALSE),"")</f>
        <v/>
      </c>
      <c r="G112" s="283" t="str">
        <f>IF(T_Convention[[#This Row],[Final]]&lt;&gt;"",VLOOKUP(T_Convention[[#This Row],[NumL]],T_suiviDi[#Data],COLUMN((T_suiviDi[Nom])),FALSE),"")</f>
        <v/>
      </c>
      <c r="H112" s="282" t="str">
        <f>IF(T_Convention[[#This Row],[Final]]&lt;&gt;"",VLOOKUP(T_Convention[[#This Row],[NumL]],T_suiviDi[#Data],COLUMN((T_suiviDi[Prénom])),FALSE),"")</f>
        <v/>
      </c>
      <c r="I112" s="282" t="e">
        <f>VLOOKUP(T_Convention[[#This Row],[NumL]],T_suiviDi[#Data],COLUMN((T_suiviDi[[#This Row],[Email]])),FALSE)</f>
        <v>#VALUE!</v>
      </c>
      <c r="J112" s="282" t="e">
        <f>IF(VLOOKUP(T_Convention[[#This Row],[NumL]],T_suiviDi[#Data],COLUMN(T_suiviDi[[#This Row],[Fonction]]),FALSE)="","",VLOOKUP(T_Convention[[#This Row],[NumL]],T_suiviDi[#Data],COLUMN(T_suiviDi[[#This Row],[Fonction]]),FALSE))</f>
        <v>#VALUE!</v>
      </c>
      <c r="K112" s="282" t="e">
        <f>IF(VLOOKUP(T_Convention[[#This Row],[NumL]],T_suiviDi[#Data],COLUMN(T_suiviDi[[#This Row],[Grade]]),FALSE)="","",VLOOKUP(T_Convention[[#This Row],[NumL]],T_suiviDi[#Data],COLUMN(T_suiviDi[[#This Row],[Grade]]),FALSE))</f>
        <v>#VALUE!</v>
      </c>
      <c r="L112" s="282" t="e">
        <f>IF(VLOOKUP(T_Convention[[#This Row],[NumL]],T_suiviDi[#Data],COLUMN(T_suiviDi[[#This Row],[Service ]]),FALSE)="","",VLOOKUP(T_Convention[[#This Row],[NumL]],T_suiviDi[#Data],COLUMN(T_suiviDi[[#This Row],[Service ]]),FALSE))</f>
        <v>#VALUE!</v>
      </c>
      <c r="M112" s="164" t="str">
        <f t="shared" si="6"/>
        <v>01 septembre 2021</v>
      </c>
      <c r="N112" s="164" t="str">
        <f t="shared" si="7"/>
        <v>30 novembre 2021</v>
      </c>
      <c r="O112" s="284" t="str">
        <f t="shared" si="8"/>
        <v>30 novembre 2021</v>
      </c>
      <c r="P112" s="282" t="e">
        <f>IF(VLOOKUP(T_Convention[[#This Row],[NumL]],T_TraitDi[#Data],COLUMN(T_TraitDi[M1]),FALSE)="","",VLOOKUP(T_Convention[[#This Row],[NumL]],T_TraitDi[#Data],COLUMN(T_TraitDi[M1]),FALSE))</f>
        <v>#N/A</v>
      </c>
      <c r="Q112" s="282" t="e">
        <f>IF(VLOOKUP(T_Convention[[#This Row],[NumL]],T_TraitDi[#Data],COLUMN(T_TraitDi[M2]),FALSE)="","",VLOOKUP(T_Convention[[#This Row],[NumL]],T_TraitDi[#Data],COLUMN(T_TraitDi[M2]),FALSE))</f>
        <v>#N/A</v>
      </c>
      <c r="R112" s="282" t="e">
        <f>IF(VLOOKUP(T_Convention[[#This Row],[NumL]],T_TraitDi[#Data],COLUMN(T_TraitDi[M3]),FALSE)="","",VLOOKUP(T_Convention[[#This Row],[NumL]],T_TraitDi[#Data],COLUMN(T_TraitDi[M3]),FALSE))</f>
        <v>#N/A</v>
      </c>
      <c r="S112" s="282" t="e">
        <f>IF(VLOOKUP(T_Convention[[#This Row],[NumL]],T_TraitDi[#Data],COLUMN(T_TraitDi[M4]),FALSE)="","",VLOOKUP(T_Convention[[#This Row],[NumL]],T_TraitDi[#Data],COLUMN(T_TraitDi[M4]),FALSE))</f>
        <v>#N/A</v>
      </c>
      <c r="T112" s="282" t="e">
        <f>IF(VLOOKUP(T_Convention[[#This Row],[NumL]],T_TraitDi[#Data],COLUMN(T_TraitDi[M5]),FALSE)="","",VLOOKUP(T_Convention[[#This Row],[NumL]],T_TraitDi[#Data],COLUMN(T_TraitDi[M5]),FALSE))</f>
        <v>#N/A</v>
      </c>
      <c r="U112" s="282" t="e">
        <f>IF(VLOOKUP(T_Convention[[#This Row],[NumL]],T_TraitDi[#Data],COLUMN(T_TraitDi[M6]),FALSE)="","",VLOOKUP(T_Convention[[#This Row],[NumL]],T_TraitDi[#Data],COLUMN(T_TraitDi[M6]),FALSE))</f>
        <v>#N/A</v>
      </c>
      <c r="V112" s="176" t="e">
        <f t="shared" si="9"/>
        <v>#N/A</v>
      </c>
      <c r="W112" s="284" t="str">
        <f>IFERROR(TEXT(VLOOKUP(T_Convention[[#This Row],[NumL]],T_TraitDi[#Data],COLUMN(T_TraitDi[Q2]),FALSE),"###%"),"")</f>
        <v/>
      </c>
      <c r="X112" s="97" t="e">
        <f>VLOOKUP(T_Convention[[#This Row],[NumL]],T_TraitDi[#Data],COLUMN(T_TraitDi[Reg Ponct]),FALSE)</f>
        <v>#N/A</v>
      </c>
      <c r="Y112" s="97" t="e">
        <f>VLOOKUP(T_Convention[NumL],T_TraitDi[#Data],COLUMN(T_TraitDi[Jours flottants]),FALSE)</f>
        <v>#N/A</v>
      </c>
      <c r="Z112" s="284" t="str">
        <f>IFERROR(VLOOKUP(T_Convention[[#This Row],[NumL]],T_TraitDi[#Data],COLUMN(T_TraitDi[Lundi]),FALSE),"")</f>
        <v/>
      </c>
      <c r="AA112" s="284" t="e">
        <f>IF(VLOOKUP(T_Convention[[#This Row],[NumL]],T_TraitDi[#Data],COLUMN(T_TraitDi[Colonne3]),FALSE)=0,"",TEXT(IFERROR(VLOOKUP(T_Convention[[#This Row],[NumL]],T_TraitDi[#Data],COLUMN(T_TraitDi[Colonne3]),FALSE),""),"[hh]:mm"))</f>
        <v>#N/A</v>
      </c>
      <c r="AB112" s="284" t="e">
        <f>IF(VLOOKUP(T_Convention[[#This Row],[NumL]],T_TraitDi[#Data],COLUMN(T_TraitDi[Colonne4]),FALSE)=0,"",TEXT(IFERROR(VLOOKUP(T_Convention[[#This Row],[NumL]],T_TraitDi[#Data],COLUMN(T_TraitDi[Colonne4]),FALSE),""),"[hh]:mm"))</f>
        <v>#N/A</v>
      </c>
      <c r="AC112" s="284" t="e">
        <f>IF(VLOOKUP(T_Convention[[#This Row],[NumL]],T_TraitDi[#Data],COLUMN(T_TraitDi[Colonne5]),FALSE)=0,"",TEXT(IFERROR(VLOOKUP(T_Convention[[#This Row],[NumL]],T_TraitDi[#Data],COLUMN(T_TraitDi[Colonne5]),FALSE),""),"[hh]:mm"))</f>
        <v>#N/A</v>
      </c>
      <c r="AD112" s="284" t="e">
        <f>IF(VLOOKUP(T_Convention[[#This Row],[NumL]],T_TraitDi[#Data],COLUMN(T_TraitDi[Colonne6]),FALSE)=0,"",TEXT(IFERROR(VLOOKUP(T_Convention[[#This Row],[NumL]],T_TraitDi[#Data],COLUMN(T_TraitDi[Colonne6]),FALSE),""),"[hh]:mm"))</f>
        <v>#N/A</v>
      </c>
      <c r="AE112" s="284" t="e">
        <f>IF(VLOOKUP(T_Convention[[#This Row],[NumL]],T_TraitDi[#Data],COLUMN(T_TraitDi[Colonne7]),FALSE)=0,"",TEXT(IFERROR(VLOOKUP(T_Convention[[#This Row],[NumL]],T_TraitDi[#Data],COLUMN(T_TraitDi[Colonne7]),FALSE),""),"[hh]:mm"))</f>
        <v>#N/A</v>
      </c>
      <c r="AF112" s="284" t="e">
        <f>IF(VLOOKUP(T_Convention[[#This Row],[NumL]],T_TraitDi[#Data],COLUMN(T_TraitDi[Colonne8]),FALSE)=0,"",TEXT(IFERROR(VLOOKUP(T_Convention[[#This Row],[NumL]],T_TraitDi[#Data],COLUMN(T_TraitDi[Colonne8]),FALSE),""),"[hh]:mm"))</f>
        <v>#N/A</v>
      </c>
      <c r="AG112" s="284" t="str">
        <f>IFERROR(VLOOKUP(T_Convention[[#This Row],[NumL]],T_TraitDi[#Data],COLUMN(T_TraitDi[Mardi]),FALSE),"")</f>
        <v/>
      </c>
      <c r="AH112" s="284" t="e">
        <f>IF(VLOOKUP(T_Convention[[#This Row],[NumL]],T_TraitDi[#Data],COLUMN(T_TraitDi[Colonne1]),FALSE)=0,"",TEXT(IFERROR(VLOOKUP(T_Convention[[#This Row],[NumL]],T_TraitDi[#Data],COLUMN(T_TraitDi[Colonne1]),FALSE),""),"[hh]:mm"))</f>
        <v>#N/A</v>
      </c>
      <c r="AI112" s="284" t="e">
        <f>IF(VLOOKUP(T_Convention[[#This Row],[NumL]],T_TraitDi[#Data],COLUMN(T_TraitDi[Colonne9]),FALSE)=0,"",TEXT(IFERROR(VLOOKUP(T_Convention[[#This Row],[NumL]],T_TraitDi[#Data],COLUMN(T_TraitDi[Colonne9]),FALSE),""),"[hh]:mm"))</f>
        <v>#N/A</v>
      </c>
      <c r="AJ112" s="284" t="str">
        <f>IFERROR(VLOOKUP(T_Convention[[#This Row],[NumL]],T_TraitDi[#Data],COLUMN(T_TraitDi[Colonne10]),FALSE),"")</f>
        <v/>
      </c>
      <c r="AK112" s="284" t="e">
        <f>IF(VLOOKUP(T_Convention[[#This Row],[NumL]],T_TraitDi[#Data],COLUMN(T_TraitDi[Colonne11]),FALSE)=0,"",TEXT(IFERROR(VLOOKUP(T_Convention[[#This Row],[NumL]],T_TraitDi[#Data],COLUMN(T_TraitDi[Colonne11]),FALSE),""),"[hh]:mm"))</f>
        <v>#N/A</v>
      </c>
      <c r="AL112" s="284" t="e">
        <f>IF(VLOOKUP(T_Convention[[#This Row],[NumL]],T_TraitDi[#Data],COLUMN(T_TraitDi[Colonne12]),FALSE)=0,"",TEXT(IFERROR(VLOOKUP(T_Convention[[#This Row],[NumL]],T_TraitDi[#Data],COLUMN(T_TraitDi[Colonne12]),FALSE),""),"[hh]:mm"))</f>
        <v>#N/A</v>
      </c>
      <c r="AM112" s="284" t="e">
        <f>IF(VLOOKUP(T_Convention[[#This Row],[NumL]],T_TraitDi[#Data],COLUMN(T_TraitDi[Colonne14]),FALSE)=0,"",TEXT(IFERROR(VLOOKUP(T_Convention[[#This Row],[NumL]],T_TraitDi[#Data],COLUMN(T_TraitDi[Colonne14]),FALSE),""),"[hh]:mm"))</f>
        <v>#N/A</v>
      </c>
      <c r="AN112" s="284" t="str">
        <f>IFERROR(VLOOKUP(T_Convention[[#This Row],[NumL]],T_TraitDi[#Data],COLUMN(T_TraitDi[Mercredi]),FALSE),"")</f>
        <v/>
      </c>
      <c r="AO112" s="284" t="e">
        <f>IF(VLOOKUP(T_Convention[[#This Row],[NumL]],T_TraitDi[#Data],COLUMN(T_TraitDi[Colonne15]),FALSE)=0,"",TEXT(IFERROR(VLOOKUP(T_Convention[[#This Row],[NumL]],T_TraitDi[#Data],COLUMN(T_TraitDi[Colonne15]),FALSE),""),"[hh]:mm"))</f>
        <v>#N/A</v>
      </c>
      <c r="AP112" s="284" t="e">
        <f>IF(VLOOKUP(T_Convention[[#This Row],[NumL]],T_TraitDi[#Data],COLUMN(T_TraitDi[Colonne16]),FALSE)=0,"",TEXT(IFERROR(VLOOKUP(T_Convention[[#This Row],[NumL]],T_TraitDi[#Data],COLUMN(T_TraitDi[Colonne16]),FALSE),""),"[hh]:mm"))</f>
        <v>#N/A</v>
      </c>
      <c r="AQ112" s="284" t="str">
        <f>IFERROR(VLOOKUP(T_Convention[[#This Row],[NumL]],T_TraitDi[#Data],COLUMN(T_TraitDi[Colonne17]),FALSE),"")</f>
        <v/>
      </c>
      <c r="AR112" s="284" t="e">
        <f>IF(VLOOKUP(T_Convention[[#This Row],[NumL]],T_TraitDi[#Data],COLUMN(T_TraitDi[Colonne18]),FALSE)=0,"",TEXT(IFERROR(VLOOKUP(T_Convention[[#This Row],[NumL]],T_TraitDi[#Data],COLUMN(T_TraitDi[Colonne18]),FALSE),""),"[hh]:mm"))</f>
        <v>#N/A</v>
      </c>
      <c r="AS112" s="284" t="e">
        <f>IF(VLOOKUP(T_Convention[[#This Row],[NumL]],T_TraitDi[#Data],COLUMN(T_TraitDi[Colonne19]),FALSE)=0,"",TEXT(IFERROR(VLOOKUP(T_Convention[[#This Row],[NumL]],T_TraitDi[#Data],COLUMN(T_TraitDi[Colonne19]),FALSE),""),"[hh]:mm"))</f>
        <v>#N/A</v>
      </c>
      <c r="AT112" s="284" t="e">
        <f>IF(VLOOKUP(T_Convention[[#This Row],[NumL]],T_TraitDi[#Data],COLUMN(T_TraitDi[Colonne20]),FALSE)=0,"",TEXT(IFERROR(VLOOKUP(T_Convention[[#This Row],[NumL]],T_TraitDi[#Data],COLUMN(T_TraitDi[Colonne20]),FALSE),""),"[hh]:mm"))</f>
        <v>#N/A</v>
      </c>
      <c r="AU112" s="284" t="str">
        <f>IFERROR(VLOOKUP(T_Convention[[#This Row],[NumL]],T_TraitDi[#Data],COLUMN(T_TraitDi[Jeudi]),FALSE),"")</f>
        <v/>
      </c>
      <c r="AV112" s="284" t="e">
        <f>IF(VLOOKUP(T_Convention[[#This Row],[NumL]],T_TraitDi[#Data],COLUMN(T_TraitDi[Colonne21]),FALSE)=0,"",TEXT(IFERROR(VLOOKUP(T_Convention[[#This Row],[NumL]],T_TraitDi[#Data],COLUMN(T_TraitDi[Colonne21]),FALSE),""),"[hh]:mm"))</f>
        <v>#N/A</v>
      </c>
      <c r="AW112" s="284" t="e">
        <f>IF(VLOOKUP(T_Convention[[#This Row],[NumL]],T_TraitDi[#Data],COLUMN(T_TraitDi[Colonne22]),FALSE)=0,"",TEXT(IFERROR(VLOOKUP(T_Convention[[#This Row],[NumL]],T_TraitDi[#Data],COLUMN(T_TraitDi[Colonne22]),FALSE),""),"[hh]:mm"))</f>
        <v>#N/A</v>
      </c>
      <c r="AX112" s="284" t="str">
        <f>IFERROR(VLOOKUP(T_Convention[[#This Row],[NumL]],T_TraitDi[#Data],COLUMN(T_TraitDi[Colonne23]),FALSE),"")</f>
        <v/>
      </c>
      <c r="AY112" s="284" t="e">
        <f>IF(VLOOKUP(T_Convention[[#This Row],[NumL]],T_TraitDi[#Data],COLUMN(T_TraitDi[Colonne24]),FALSE)=0,"",TEXT(IFERROR(VLOOKUP(T_Convention[[#This Row],[NumL]],T_TraitDi[#Data],COLUMN(T_TraitDi[Colonne24]),FALSE),""),"[hh]:mm"))</f>
        <v>#N/A</v>
      </c>
      <c r="AZ112" s="284" t="e">
        <f>IF(VLOOKUP(T_Convention[[#This Row],[NumL]],T_TraitDi[#Data],COLUMN(T_TraitDi[Colonne25]),FALSE)=0,"",TEXT(IFERROR(VLOOKUP(T_Convention[[#This Row],[NumL]],T_TraitDi[#Data],COLUMN(T_TraitDi[Colonne25]),FALSE),""),"[hh]:mm"))</f>
        <v>#N/A</v>
      </c>
      <c r="BA112" s="284" t="e">
        <f>IF(VLOOKUP(T_Convention[[#This Row],[NumL]],T_TraitDi[#Data],COLUMN(T_TraitDi[Colonne26]),FALSE)=0,"",TEXT(IFERROR(VLOOKUP(T_Convention[[#This Row],[NumL]],T_TraitDi[#Data],COLUMN(T_TraitDi[Colonne26]),FALSE),""),"[hh]:mm"))</f>
        <v>#N/A</v>
      </c>
      <c r="BB112" s="284" t="str">
        <f>IFERROR(VLOOKUP(T_Convention[[#This Row],[NumL]],T_TraitDi[#Data],COLUMN(T_TraitDi[Vendredi]),FALSE),"")</f>
        <v/>
      </c>
      <c r="BC112" s="284" t="e">
        <f>IF(VLOOKUP(T_Convention[[#This Row],[NumL]],T_TraitDi[#Data],COLUMN(T_TraitDi[Colonne27]),FALSE)=0,"",TEXT(IFERROR(VLOOKUP(T_Convention[[#This Row],[NumL]],T_TraitDi[#Data],COLUMN(T_TraitDi[Colonne27]),FALSE),""),"[hh]:mm"))</f>
        <v>#N/A</v>
      </c>
      <c r="BD112" s="284" t="e">
        <f>IF(VLOOKUP(T_Convention[[#This Row],[NumL]],T_TraitDi[#Data],COLUMN(T_TraitDi[Colonne28]),FALSE)=0,"",TEXT(IFERROR(VLOOKUP(T_Convention[[#This Row],[NumL]],T_TraitDi[#Data],COLUMN(T_TraitDi[Colonne28]),FALSE),""),"[hh]:mm"))</f>
        <v>#N/A</v>
      </c>
      <c r="BE112" s="284" t="str">
        <f>IFERROR(VLOOKUP(T_Convention[[#This Row],[NumL]],T_TraitDi[#Data],COLUMN(T_TraitDi[Colonne29]),FALSE),"")</f>
        <v/>
      </c>
      <c r="BF112" s="284" t="e">
        <f>IF(VLOOKUP(T_Convention[[#This Row],[NumL]],T_TraitDi[#Data],COLUMN(T_TraitDi[Colonne30]),FALSE)=0,"",TEXT(IFERROR(VLOOKUP(T_Convention[[#This Row],[NumL]],T_TraitDi[#Data],COLUMN(T_TraitDi[Colonne30]),FALSE),""),"[hh]:mm"))</f>
        <v>#N/A</v>
      </c>
      <c r="BG112" s="284" t="e">
        <f>IF(VLOOKUP(T_Convention[[#This Row],[NumL]],T_TraitDi[#Data],COLUMN(T_TraitDi[Colonne31]),FALSE)=0,"",TEXT(IFERROR(VLOOKUP(T_Convention[[#This Row],[NumL]],T_TraitDi[#Data],COLUMN(T_TraitDi[Colonne31]),FALSE),""),"[hh]:mm"))</f>
        <v>#N/A</v>
      </c>
      <c r="BH112" s="284" t="e">
        <f>IF(VLOOKUP(T_Convention[[#This Row],[NumL]],T_TraitDi[#Data],COLUMN(T_TraitDi[Colonne32]),FALSE)=0,"",TEXT(IFERROR(VLOOKUP(T_Convention[[#This Row],[NumL]],T_TraitDi[#Data],COLUMN(T_TraitDi[Colonne32]),FALSE),""),"[hh]:mm"))</f>
        <v>#N/A</v>
      </c>
      <c r="BI112" s="284" t="str">
        <f>IFERROR(VLOOKUP(T_Convention[[#This Row],[NumL]],T_TraitDi[#Data],COLUMN(T_TraitDi[NbJTW]),FALSE),"")</f>
        <v/>
      </c>
      <c r="BJ112" s="284" t="e">
        <f>IF(VLOOKUP(T_Convention[[#This Row],[NumL]],T_TraitDi[#Data],COLUMN(T_TraitDi[NbhTW]),FALSE)=0,"",TEXT(IFERROR(VLOOKUP(T_Convention[[#This Row],[NumL]],T_TraitDi[#Data],COLUMN(T_TraitDi[NbhTW]),FALSE),""),"[hh]:mm"))</f>
        <v>#N/A</v>
      </c>
      <c r="BK112" s="286" t="e">
        <f>IF(VLOOKUP(T_Convention[[#This Row],[NumL]],T_TraitDi[#Data],COLUMN(T_TraitDi[Nbhheb]),FALSE)=0,"",TEXT(IFERROR(VLOOKUP(T_Convention[[#This Row],[NumL]],T_TraitDi[#Data],COLUMN(T_TraitDi[Nbhheb]),FALSE),""),"[hh]:mm"))</f>
        <v>#N/A</v>
      </c>
      <c r="BL112" s="287" t="str">
        <f>IFERROR(VLOOKUP(VLOOKUP(T_Convention[[#This Row],[NumL]],T_TraitDi[#Data],COLUMN(T_TraitDi[Type1]),FALSE),TypeTW,2,FALSE),"")</f>
        <v/>
      </c>
      <c r="BM112" s="288" t="str">
        <f>IFERROR(VLOOKUP(T_Convention[[#This Row],[NumL]],T_TraitDi[#Data],COLUMN(T_TraitDi[Rue1]),FALSE),"")</f>
        <v/>
      </c>
      <c r="BN112" s="289" t="str">
        <f>IFERROR(VLOOKUP(T_Convention[[#This Row],[NumL]],T_TraitDi[#Data],COLUMN(T_TraitDi[CP1]),FALSE),"")</f>
        <v/>
      </c>
      <c r="BO112" s="282" t="str">
        <f>IFERROR(VLOOKUP(T_Convention[[#This Row],[NumL]],T_TraitDi[#Data],COLUMN(T_TraitDi[VILLE1]),FALSE),"")</f>
        <v/>
      </c>
      <c r="BP112" s="290" t="str">
        <f>IFERROR(VLOOKUP(VLOOKUP(T_Convention[[#This Row],[NumL]],T_TraitDi[#Data],COLUMN(T_TraitDi[Type2]),FALSE),TypeTW,2,FALSE),"")</f>
        <v/>
      </c>
      <c r="BQ112" s="182" t="str">
        <f>IFERROR(VLOOKUP(T_Convention[[#This Row],[NumL]],T_TraitDi[#Data],COLUMN(T_TraitDi[Rue2]),FALSE),"")</f>
        <v/>
      </c>
      <c r="BR112" s="173" t="str">
        <f>IFERROR(VLOOKUP(T_Convention[[#This Row],[NumL]],T_TraitDi[#Data],COLUMN(T_TraitDi[CP2]),FALSE),"")</f>
        <v/>
      </c>
      <c r="BS112" s="173" t="str">
        <f>IFERROR(VLOOKUP(T_Convention[[#This Row],[NumL]],T_TraitDi[#Data],COLUMN(T_TraitDi[VILLE2]),FALSE),"")</f>
        <v/>
      </c>
      <c r="BT112" s="182" t="str">
        <f>IF(VLOOKUP(T_Convention[[#This Row],[NumL]],T_Equipement[#Data],COLUMN(T_Equipement[PC]),FALSE)="","Aucun équipement spécifique directement lié au télétravail",VLOOKUP(T_Convention[[#This Row],[NumL]],T_Equipement[#Data],COLUMN(T_Equipement[PC]),FALSE))</f>
        <v xml:space="preserve">20-488	</v>
      </c>
      <c r="BU112" s="166" t="str">
        <f>IFERROR(IF(VLOOKUP(T_Convention[[#This Row],[NumL]],T_TraitDi[#Data],COLUMN(T_TraitDi[Plan]),FALSE)="OK","Un planning spécifique de télétravail est annexé à la présente convention.",""),"")</f>
        <v/>
      </c>
      <c r="BV112" s="185" t="s">
        <v>3505</v>
      </c>
      <c r="BW112" s="164" t="e">
        <f>IF(VLOOKUP(T_Convention[[#This Row],[NumL]],T_suiviDi[#Data],COLUMN(T_suiviDi[Entité]),FALSE)="","",VLOOKUP(T_Convention[[#This Row],[NumL]],T_suiviDi[#Data],COLUMN(T_suiviDi[Entité]),FALSE))</f>
        <v>#N/A</v>
      </c>
      <c r="BX112" s="164" t="str">
        <f>IF(VLOOKUP(T_Convention[[#This Row],[NumL]],T_Commission[#Data],COLUMN(T_Commission[envoi confirm TW]),FALSE)="","",VLOOKUP(T_Convention[[#This Row],[NumL]],T_Commission[#Data],COLUMN(T_Commission[envoi confirm TW]),FALSE))</f>
        <v>Oui</v>
      </c>
      <c r="BY11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2" s="264">
        <f>VLOOKUP(T_Convention[[#This Row],[NumL]],T_Commission[#Data],COLUMN(T_Commission[Commentaire]),FALSE)</f>
        <v>0</v>
      </c>
      <c r="CA112" s="254" t="str">
        <f>IF(VLOOKUP(T_Convention[[#This Row],[NumL]],T_Commission[#Data],COLUMN(T_Commission[Encadrant Email]),FALSE)="","",VLOOKUP(T_Convention[[#This Row],[NumL]],T_Commission[#Data],COLUMN(T_Commission[Encadrant Email]),FALSE))</f>
        <v/>
      </c>
      <c r="CB112" s="352" t="e">
        <f>VLOOKUP(T_Convention[[#This Row],[NumL]],T_TraitDi[#Data],COLUMN(T_TraitDi[NbJTot]),FALSE)</f>
        <v>#N/A</v>
      </c>
      <c r="CC112" s="352" t="e">
        <f>VLOOKUP(T_Convention[[#This Row],[NumL]],T_TraitDi[#Data],COLUMN(T_TraitDi[Reg Ponct]),FALSE)</f>
        <v>#N/A</v>
      </c>
      <c r="CD112" s="348" t="str">
        <f>IF(T_Convention[[#This Row],[Final]]&lt;&gt;"",VLOOKUP(T_Convention[[#This Row],[NumL]],T_suiviDi[#Data],COLUMN((T_suiviDi[Statut])),FALSE),"")</f>
        <v/>
      </c>
    </row>
    <row r="113" spans="1:82" s="106" customFormat="1" ht="18.75" customHeight="1" x14ac:dyDescent="0.25">
      <c r="A113" s="160">
        <v>95</v>
      </c>
      <c r="B113" s="161" t="str">
        <f>VLOOKUP(T_Convention[[#This Row],[NumL]],T_Commission[#Data],COLUMN(T_Commission[FINAL]),FALSE)</f>
        <v/>
      </c>
      <c r="C113" s="162"/>
      <c r="D113" s="95" t="e">
        <f>IF(VLOOKUP(T_Convention[[#This Row],[NumL]],T_TraitDi[#Data],COLUMN(T_TraitDi[WebC]),FALSE)="","",VLOOKUP(T_Convention[[#This Row],[NumL]],T_TraitDi[#Data],COLUMN(T_TraitDi[WebC]),FALSE))</f>
        <v>#N/A</v>
      </c>
      <c r="E113" s="163" t="str">
        <f t="shared" si="5"/>
        <v>12 janvier 2021</v>
      </c>
      <c r="F113" s="282" t="str">
        <f>IF(T_Convention[[#This Row],[Final]]&lt;&gt;"",VLOOKUP(T_Convention[[#This Row],[NumL]],T_suiviDi[#Data],COLUMN((T_suiviDi[Civ.])),FALSE),"")</f>
        <v/>
      </c>
      <c r="G113" s="283" t="str">
        <f>IF(T_Convention[[#This Row],[Final]]&lt;&gt;"",VLOOKUP(T_Convention[[#This Row],[NumL]],T_suiviDi[#Data],COLUMN((T_suiviDi[Nom])),FALSE),"")</f>
        <v/>
      </c>
      <c r="H113" s="282" t="str">
        <f>IF(T_Convention[[#This Row],[Final]]&lt;&gt;"",VLOOKUP(T_Convention[[#This Row],[NumL]],T_suiviDi[#Data],COLUMN((T_suiviDi[Prénom])),FALSE),"")</f>
        <v/>
      </c>
      <c r="I113" s="282" t="e">
        <f>VLOOKUP(T_Convention[[#This Row],[NumL]],T_suiviDi[#Data],COLUMN((T_suiviDi[[#This Row],[Email]])),FALSE)</f>
        <v>#VALUE!</v>
      </c>
      <c r="J113" s="282" t="e">
        <f>IF(VLOOKUP(T_Convention[[#This Row],[NumL]],T_suiviDi[#Data],COLUMN(T_suiviDi[[#This Row],[Fonction]]),FALSE)="","",VLOOKUP(T_Convention[[#This Row],[NumL]],T_suiviDi[#Data],COLUMN(T_suiviDi[[#This Row],[Fonction]]),FALSE))</f>
        <v>#VALUE!</v>
      </c>
      <c r="K113" s="282" t="e">
        <f>IF(VLOOKUP(T_Convention[[#This Row],[NumL]],T_suiviDi[#Data],COLUMN(T_suiviDi[[#This Row],[Grade]]),FALSE)="","",VLOOKUP(T_Convention[[#This Row],[NumL]],T_suiviDi[#Data],COLUMN(T_suiviDi[[#This Row],[Grade]]),FALSE))</f>
        <v>#VALUE!</v>
      </c>
      <c r="L113" s="282" t="e">
        <f>IF(VLOOKUP(T_Convention[[#This Row],[NumL]],T_suiviDi[#Data],COLUMN(T_suiviDi[[#This Row],[Service ]]),FALSE)="","",VLOOKUP(T_Convention[[#This Row],[NumL]],T_suiviDi[#Data],COLUMN(T_suiviDi[[#This Row],[Service ]]),FALSE))</f>
        <v>#VALUE!</v>
      </c>
      <c r="M113" s="164" t="str">
        <f t="shared" si="6"/>
        <v>01 septembre 2021</v>
      </c>
      <c r="N113" s="164" t="str">
        <f t="shared" si="7"/>
        <v>30 novembre 2021</v>
      </c>
      <c r="O113" s="284" t="str">
        <f t="shared" si="8"/>
        <v>30 novembre 2021</v>
      </c>
      <c r="P113" s="282" t="e">
        <f>IF(VLOOKUP(T_Convention[[#This Row],[NumL]],T_TraitDi[#Data],COLUMN(T_TraitDi[M1]),FALSE)="","",VLOOKUP(T_Convention[[#This Row],[NumL]],T_TraitDi[#Data],COLUMN(T_TraitDi[M1]),FALSE))</f>
        <v>#N/A</v>
      </c>
      <c r="Q113" s="282" t="e">
        <f>IF(VLOOKUP(T_Convention[[#This Row],[NumL]],T_TraitDi[#Data],COLUMN(T_TraitDi[M2]),FALSE)="","",VLOOKUP(T_Convention[[#This Row],[NumL]],T_TraitDi[#Data],COLUMN(T_TraitDi[M2]),FALSE))</f>
        <v>#N/A</v>
      </c>
      <c r="R113" s="282" t="e">
        <f>IF(VLOOKUP(T_Convention[[#This Row],[NumL]],T_TraitDi[#Data],COLUMN(T_TraitDi[M3]),FALSE)="","",VLOOKUP(T_Convention[[#This Row],[NumL]],T_TraitDi[#Data],COLUMN(T_TraitDi[M3]),FALSE))</f>
        <v>#N/A</v>
      </c>
      <c r="S113" s="282" t="e">
        <f>IF(VLOOKUP(T_Convention[[#This Row],[NumL]],T_TraitDi[#Data],COLUMN(T_TraitDi[M4]),FALSE)="","",VLOOKUP(T_Convention[[#This Row],[NumL]],T_TraitDi[#Data],COLUMN(T_TraitDi[M4]),FALSE))</f>
        <v>#N/A</v>
      </c>
      <c r="T113" s="282" t="e">
        <f>IF(VLOOKUP(T_Convention[[#This Row],[NumL]],T_TraitDi[#Data],COLUMN(T_TraitDi[M5]),FALSE)="","",VLOOKUP(T_Convention[[#This Row],[NumL]],T_TraitDi[#Data],COLUMN(T_TraitDi[M5]),FALSE))</f>
        <v>#N/A</v>
      </c>
      <c r="U113" s="282" t="e">
        <f>IF(VLOOKUP(T_Convention[[#This Row],[NumL]],T_TraitDi[#Data],COLUMN(T_TraitDi[M6]),FALSE)="","",VLOOKUP(T_Convention[[#This Row],[NumL]],T_TraitDi[#Data],COLUMN(T_TraitDi[M6]),FALSE))</f>
        <v>#N/A</v>
      </c>
      <c r="V113" s="176" t="e">
        <f t="shared" si="9"/>
        <v>#N/A</v>
      </c>
      <c r="W113" s="284" t="str">
        <f>IFERROR(TEXT(VLOOKUP(T_Convention[[#This Row],[NumL]],T_TraitDi[#Data],COLUMN(T_TraitDi[Q2]),FALSE),"###%"),"")</f>
        <v/>
      </c>
      <c r="X113" s="97" t="e">
        <f>VLOOKUP(T_Convention[[#This Row],[NumL]],T_TraitDi[#Data],COLUMN(T_TraitDi[Reg Ponct]),FALSE)</f>
        <v>#N/A</v>
      </c>
      <c r="Y113" s="97" t="e">
        <f>VLOOKUP(T_Convention[NumL],T_TraitDi[#Data],COLUMN(T_TraitDi[Jours flottants]),FALSE)</f>
        <v>#N/A</v>
      </c>
      <c r="Z113" s="284" t="str">
        <f>IFERROR(VLOOKUP(T_Convention[[#This Row],[NumL]],T_TraitDi[#Data],COLUMN(T_TraitDi[Lundi]),FALSE),"")</f>
        <v/>
      </c>
      <c r="AA113" s="284" t="e">
        <f>IF(VLOOKUP(T_Convention[[#This Row],[NumL]],T_TraitDi[#Data],COLUMN(T_TraitDi[Colonne3]),FALSE)=0,"",TEXT(IFERROR(VLOOKUP(T_Convention[[#This Row],[NumL]],T_TraitDi[#Data],COLUMN(T_TraitDi[Colonne3]),FALSE),""),"[hh]:mm"))</f>
        <v>#N/A</v>
      </c>
      <c r="AB113" s="284" t="e">
        <f>IF(VLOOKUP(T_Convention[[#This Row],[NumL]],T_TraitDi[#Data],COLUMN(T_TraitDi[Colonne4]),FALSE)=0,"",TEXT(IFERROR(VLOOKUP(T_Convention[[#This Row],[NumL]],T_TraitDi[#Data],COLUMN(T_TraitDi[Colonne4]),FALSE),""),"[hh]:mm"))</f>
        <v>#N/A</v>
      </c>
      <c r="AC113" s="284" t="e">
        <f>IF(VLOOKUP(T_Convention[[#This Row],[NumL]],T_TraitDi[#Data],COLUMN(T_TraitDi[Colonne5]),FALSE)=0,"",TEXT(IFERROR(VLOOKUP(T_Convention[[#This Row],[NumL]],T_TraitDi[#Data],COLUMN(T_TraitDi[Colonne5]),FALSE),""),"[hh]:mm"))</f>
        <v>#N/A</v>
      </c>
      <c r="AD113" s="284" t="e">
        <f>IF(VLOOKUP(T_Convention[[#This Row],[NumL]],T_TraitDi[#Data],COLUMN(T_TraitDi[Colonne6]),FALSE)=0,"",TEXT(IFERROR(VLOOKUP(T_Convention[[#This Row],[NumL]],T_TraitDi[#Data],COLUMN(T_TraitDi[Colonne6]),FALSE),""),"[hh]:mm"))</f>
        <v>#N/A</v>
      </c>
      <c r="AE113" s="284" t="e">
        <f>IF(VLOOKUP(T_Convention[[#This Row],[NumL]],T_TraitDi[#Data],COLUMN(T_TraitDi[Colonne7]),FALSE)=0,"",TEXT(IFERROR(VLOOKUP(T_Convention[[#This Row],[NumL]],T_TraitDi[#Data],COLUMN(T_TraitDi[Colonne7]),FALSE),""),"[hh]:mm"))</f>
        <v>#N/A</v>
      </c>
      <c r="AF113" s="284" t="e">
        <f>IF(VLOOKUP(T_Convention[[#This Row],[NumL]],T_TraitDi[#Data],COLUMN(T_TraitDi[Colonne8]),FALSE)=0,"",TEXT(IFERROR(VLOOKUP(T_Convention[[#This Row],[NumL]],T_TraitDi[#Data],COLUMN(T_TraitDi[Colonne8]),FALSE),""),"[hh]:mm"))</f>
        <v>#N/A</v>
      </c>
      <c r="AG113" s="284" t="str">
        <f>IFERROR(VLOOKUP(T_Convention[[#This Row],[NumL]],T_TraitDi[#Data],COLUMN(T_TraitDi[Mardi]),FALSE),"")</f>
        <v/>
      </c>
      <c r="AH113" s="284" t="e">
        <f>IF(VLOOKUP(T_Convention[[#This Row],[NumL]],T_TraitDi[#Data],COLUMN(T_TraitDi[Colonne1]),FALSE)=0,"",TEXT(IFERROR(VLOOKUP(T_Convention[[#This Row],[NumL]],T_TraitDi[#Data],COLUMN(T_TraitDi[Colonne1]),FALSE),""),"[hh]:mm"))</f>
        <v>#N/A</v>
      </c>
      <c r="AI113" s="284" t="e">
        <f>IF(VLOOKUP(T_Convention[[#This Row],[NumL]],T_TraitDi[#Data],COLUMN(T_TraitDi[Colonne9]),FALSE)=0,"",TEXT(IFERROR(VLOOKUP(T_Convention[[#This Row],[NumL]],T_TraitDi[#Data],COLUMN(T_TraitDi[Colonne9]),FALSE),""),"[hh]:mm"))</f>
        <v>#N/A</v>
      </c>
      <c r="AJ113" s="284" t="str">
        <f>IFERROR(VLOOKUP(T_Convention[[#This Row],[NumL]],T_TraitDi[#Data],COLUMN(T_TraitDi[Colonne10]),FALSE),"")</f>
        <v/>
      </c>
      <c r="AK113" s="284" t="e">
        <f>IF(VLOOKUP(T_Convention[[#This Row],[NumL]],T_TraitDi[#Data],COLUMN(T_TraitDi[Colonne11]),FALSE)=0,"",TEXT(IFERROR(VLOOKUP(T_Convention[[#This Row],[NumL]],T_TraitDi[#Data],COLUMN(T_TraitDi[Colonne11]),FALSE),""),"[hh]:mm"))</f>
        <v>#N/A</v>
      </c>
      <c r="AL113" s="284" t="e">
        <f>IF(VLOOKUP(T_Convention[[#This Row],[NumL]],T_TraitDi[#Data],COLUMN(T_TraitDi[Colonne12]),FALSE)=0,"",TEXT(IFERROR(VLOOKUP(T_Convention[[#This Row],[NumL]],T_TraitDi[#Data],COLUMN(T_TraitDi[Colonne12]),FALSE),""),"[hh]:mm"))</f>
        <v>#N/A</v>
      </c>
      <c r="AM113" s="284" t="e">
        <f>IF(VLOOKUP(T_Convention[[#This Row],[NumL]],T_TraitDi[#Data],COLUMN(T_TraitDi[Colonne14]),FALSE)=0,"",TEXT(IFERROR(VLOOKUP(T_Convention[[#This Row],[NumL]],T_TraitDi[#Data],COLUMN(T_TraitDi[Colonne14]),FALSE),""),"[hh]:mm"))</f>
        <v>#N/A</v>
      </c>
      <c r="AN113" s="284" t="str">
        <f>IFERROR(VLOOKUP(T_Convention[[#This Row],[NumL]],T_TraitDi[#Data],COLUMN(T_TraitDi[Mercredi]),FALSE),"")</f>
        <v/>
      </c>
      <c r="AO113" s="284" t="e">
        <f>IF(VLOOKUP(T_Convention[[#This Row],[NumL]],T_TraitDi[#Data],COLUMN(T_TraitDi[Colonne15]),FALSE)=0,"",TEXT(IFERROR(VLOOKUP(T_Convention[[#This Row],[NumL]],T_TraitDi[#Data],COLUMN(T_TraitDi[Colonne15]),FALSE),""),"[hh]:mm"))</f>
        <v>#N/A</v>
      </c>
      <c r="AP113" s="284" t="e">
        <f>IF(VLOOKUP(T_Convention[[#This Row],[NumL]],T_TraitDi[#Data],COLUMN(T_TraitDi[Colonne16]),FALSE)=0,"",TEXT(IFERROR(VLOOKUP(T_Convention[[#This Row],[NumL]],T_TraitDi[#Data],COLUMN(T_TraitDi[Colonne16]),FALSE),""),"[hh]:mm"))</f>
        <v>#N/A</v>
      </c>
      <c r="AQ113" s="284" t="str">
        <f>IFERROR(VLOOKUP(T_Convention[[#This Row],[NumL]],T_TraitDi[#Data],COLUMN(T_TraitDi[Colonne17]),FALSE),"")</f>
        <v/>
      </c>
      <c r="AR113" s="284" t="e">
        <f>IF(VLOOKUP(T_Convention[[#This Row],[NumL]],T_TraitDi[#Data],COLUMN(T_TraitDi[Colonne18]),FALSE)=0,"",TEXT(IFERROR(VLOOKUP(T_Convention[[#This Row],[NumL]],T_TraitDi[#Data],COLUMN(T_TraitDi[Colonne18]),FALSE),""),"[hh]:mm"))</f>
        <v>#N/A</v>
      </c>
      <c r="AS113" s="284" t="e">
        <f>IF(VLOOKUP(T_Convention[[#This Row],[NumL]],T_TraitDi[#Data],COLUMN(T_TraitDi[Colonne19]),FALSE)=0,"",TEXT(IFERROR(VLOOKUP(T_Convention[[#This Row],[NumL]],T_TraitDi[#Data],COLUMN(T_TraitDi[Colonne19]),FALSE),""),"[hh]:mm"))</f>
        <v>#N/A</v>
      </c>
      <c r="AT113" s="284" t="e">
        <f>IF(VLOOKUP(T_Convention[[#This Row],[NumL]],T_TraitDi[#Data],COLUMN(T_TraitDi[Colonne20]),FALSE)=0,"",TEXT(IFERROR(VLOOKUP(T_Convention[[#This Row],[NumL]],T_TraitDi[#Data],COLUMN(T_TraitDi[Colonne20]),FALSE),""),"[hh]:mm"))</f>
        <v>#N/A</v>
      </c>
      <c r="AU113" s="284" t="str">
        <f>IFERROR(VLOOKUP(T_Convention[[#This Row],[NumL]],T_TraitDi[#Data],COLUMN(T_TraitDi[Jeudi]),FALSE),"")</f>
        <v/>
      </c>
      <c r="AV113" s="284" t="e">
        <f>IF(VLOOKUP(T_Convention[[#This Row],[NumL]],T_TraitDi[#Data],COLUMN(T_TraitDi[Colonne21]),FALSE)=0,"",TEXT(IFERROR(VLOOKUP(T_Convention[[#This Row],[NumL]],T_TraitDi[#Data],COLUMN(T_TraitDi[Colonne21]),FALSE),""),"[hh]:mm"))</f>
        <v>#N/A</v>
      </c>
      <c r="AW113" s="284" t="e">
        <f>IF(VLOOKUP(T_Convention[[#This Row],[NumL]],T_TraitDi[#Data],COLUMN(T_TraitDi[Colonne22]),FALSE)=0,"",TEXT(IFERROR(VLOOKUP(T_Convention[[#This Row],[NumL]],T_TraitDi[#Data],COLUMN(T_TraitDi[Colonne22]),FALSE),""),"[hh]:mm"))</f>
        <v>#N/A</v>
      </c>
      <c r="AX113" s="284" t="str">
        <f>IFERROR(VLOOKUP(T_Convention[[#This Row],[NumL]],T_TraitDi[#Data],COLUMN(T_TraitDi[Colonne23]),FALSE),"")</f>
        <v/>
      </c>
      <c r="AY113" s="284" t="e">
        <f>IF(VLOOKUP(T_Convention[[#This Row],[NumL]],T_TraitDi[#Data],COLUMN(T_TraitDi[Colonne24]),FALSE)=0,"",TEXT(IFERROR(VLOOKUP(T_Convention[[#This Row],[NumL]],T_TraitDi[#Data],COLUMN(T_TraitDi[Colonne24]),FALSE),""),"[hh]:mm"))</f>
        <v>#N/A</v>
      </c>
      <c r="AZ113" s="284" t="e">
        <f>IF(VLOOKUP(T_Convention[[#This Row],[NumL]],T_TraitDi[#Data],COLUMN(T_TraitDi[Colonne25]),FALSE)=0,"",TEXT(IFERROR(VLOOKUP(T_Convention[[#This Row],[NumL]],T_TraitDi[#Data],COLUMN(T_TraitDi[Colonne25]),FALSE),""),"[hh]:mm"))</f>
        <v>#N/A</v>
      </c>
      <c r="BA113" s="284" t="e">
        <f>IF(VLOOKUP(T_Convention[[#This Row],[NumL]],T_TraitDi[#Data],COLUMN(T_TraitDi[Colonne26]),FALSE)=0,"",TEXT(IFERROR(VLOOKUP(T_Convention[[#This Row],[NumL]],T_TraitDi[#Data],COLUMN(T_TraitDi[Colonne26]),FALSE),""),"[hh]:mm"))</f>
        <v>#N/A</v>
      </c>
      <c r="BB113" s="284" t="str">
        <f>IFERROR(VLOOKUP(T_Convention[[#This Row],[NumL]],T_TraitDi[#Data],COLUMN(T_TraitDi[Vendredi]),FALSE),"")</f>
        <v/>
      </c>
      <c r="BC113" s="284" t="e">
        <f>IF(VLOOKUP(T_Convention[[#This Row],[NumL]],T_TraitDi[#Data],COLUMN(T_TraitDi[Colonne27]),FALSE)=0,"",TEXT(IFERROR(VLOOKUP(T_Convention[[#This Row],[NumL]],T_TraitDi[#Data],COLUMN(T_TraitDi[Colonne27]),FALSE),""),"[hh]:mm"))</f>
        <v>#N/A</v>
      </c>
      <c r="BD113" s="284" t="e">
        <f>IF(VLOOKUP(T_Convention[[#This Row],[NumL]],T_TraitDi[#Data],COLUMN(T_TraitDi[Colonne28]),FALSE)=0,"",TEXT(IFERROR(VLOOKUP(T_Convention[[#This Row],[NumL]],T_TraitDi[#Data],COLUMN(T_TraitDi[Colonne28]),FALSE),""),"[hh]:mm"))</f>
        <v>#N/A</v>
      </c>
      <c r="BE113" s="284" t="str">
        <f>IFERROR(VLOOKUP(T_Convention[[#This Row],[NumL]],T_TraitDi[#Data],COLUMN(T_TraitDi[Colonne29]),FALSE),"")</f>
        <v/>
      </c>
      <c r="BF113" s="284" t="e">
        <f>IF(VLOOKUP(T_Convention[[#This Row],[NumL]],T_TraitDi[#Data],COLUMN(T_TraitDi[Colonne30]),FALSE)=0,"",TEXT(IFERROR(VLOOKUP(T_Convention[[#This Row],[NumL]],T_TraitDi[#Data],COLUMN(T_TraitDi[Colonne30]),FALSE),""),"[hh]:mm"))</f>
        <v>#N/A</v>
      </c>
      <c r="BG113" s="284" t="e">
        <f>IF(VLOOKUP(T_Convention[[#This Row],[NumL]],T_TraitDi[#Data],COLUMN(T_TraitDi[Colonne31]),FALSE)=0,"",TEXT(IFERROR(VLOOKUP(T_Convention[[#This Row],[NumL]],T_TraitDi[#Data],COLUMN(T_TraitDi[Colonne31]),FALSE),""),"[hh]:mm"))</f>
        <v>#N/A</v>
      </c>
      <c r="BH113" s="284" t="e">
        <f>IF(VLOOKUP(T_Convention[[#This Row],[NumL]],T_TraitDi[#Data],COLUMN(T_TraitDi[Colonne32]),FALSE)=0,"",TEXT(IFERROR(VLOOKUP(T_Convention[[#This Row],[NumL]],T_TraitDi[#Data],COLUMN(T_TraitDi[Colonne32]),FALSE),""),"[hh]:mm"))</f>
        <v>#N/A</v>
      </c>
      <c r="BI113" s="284" t="str">
        <f>IFERROR(VLOOKUP(T_Convention[[#This Row],[NumL]],T_TraitDi[#Data],COLUMN(T_TraitDi[NbJTW]),FALSE),"")</f>
        <v/>
      </c>
      <c r="BJ113" s="284" t="e">
        <f>IF(VLOOKUP(T_Convention[[#This Row],[NumL]],T_TraitDi[#Data],COLUMN(T_TraitDi[NbhTW]),FALSE)=0,"",TEXT(IFERROR(VLOOKUP(T_Convention[[#This Row],[NumL]],T_TraitDi[#Data],COLUMN(T_TraitDi[NbhTW]),FALSE),""),"[hh]:mm"))</f>
        <v>#N/A</v>
      </c>
      <c r="BK113" s="286" t="e">
        <f>IF(VLOOKUP(T_Convention[[#This Row],[NumL]],T_TraitDi[#Data],COLUMN(T_TraitDi[Nbhheb]),FALSE)=0,"",TEXT(IFERROR(VLOOKUP(T_Convention[[#This Row],[NumL]],T_TraitDi[#Data],COLUMN(T_TraitDi[Nbhheb]),FALSE),""),"[hh]:mm"))</f>
        <v>#N/A</v>
      </c>
      <c r="BL113" s="287" t="str">
        <f>IFERROR(VLOOKUP(VLOOKUP(T_Convention[[#This Row],[NumL]],T_TraitDi[#Data],COLUMN(T_TraitDi[Type1]),FALSE),TypeTW,2,FALSE),"")</f>
        <v/>
      </c>
      <c r="BM113" s="288" t="str">
        <f>IFERROR(VLOOKUP(T_Convention[[#This Row],[NumL]],T_TraitDi[#Data],COLUMN(T_TraitDi[Rue1]),FALSE),"")</f>
        <v/>
      </c>
      <c r="BN113" s="289" t="str">
        <f>IFERROR(VLOOKUP(T_Convention[[#This Row],[NumL]],T_TraitDi[#Data],COLUMN(T_TraitDi[CP1]),FALSE),"")</f>
        <v/>
      </c>
      <c r="BO113" s="282" t="str">
        <f>IFERROR(VLOOKUP(T_Convention[[#This Row],[NumL]],T_TraitDi[#Data],COLUMN(T_TraitDi[VILLE1]),FALSE),"")</f>
        <v/>
      </c>
      <c r="BP113" s="290" t="str">
        <f>IFERROR(VLOOKUP(VLOOKUP(T_Convention[[#This Row],[NumL]],T_TraitDi[#Data],COLUMN(T_TraitDi[Type2]),FALSE),TypeTW,2,FALSE),"")</f>
        <v/>
      </c>
      <c r="BQ113" s="182" t="str">
        <f>IFERROR(VLOOKUP(T_Convention[[#This Row],[NumL]],T_TraitDi[#Data],COLUMN(T_TraitDi[Rue2]),FALSE),"")</f>
        <v/>
      </c>
      <c r="BR113" s="173" t="str">
        <f>IFERROR(VLOOKUP(T_Convention[[#This Row],[NumL]],T_TraitDi[#Data],COLUMN(T_TraitDi[CP2]),FALSE),"")</f>
        <v/>
      </c>
      <c r="BS113" s="173" t="str">
        <f>IFERROR(VLOOKUP(T_Convention[[#This Row],[NumL]],T_TraitDi[#Data],COLUMN(T_TraitDi[VILLE2]),FALSE),"")</f>
        <v/>
      </c>
      <c r="BT113" s="182" t="str">
        <f>IF(VLOOKUP(T_Convention[[#This Row],[NumL]],T_Equipement[#Data],COLUMN(T_Equipement[PC]),FALSE)="","Aucun équipement spécifique directement lié au télétravail",VLOOKUP(T_Convention[[#This Row],[NumL]],T_Equipement[#Data],COLUMN(T_Equipement[PC]),FALSE))</f>
        <v xml:space="preserve">19-581	</v>
      </c>
      <c r="BU113" s="166" t="str">
        <f>IFERROR(IF(VLOOKUP(T_Convention[[#This Row],[NumL]],T_TraitDi[#Data],COLUMN(T_TraitDi[Plan]),FALSE)="OK","Un planning spécifique de télétravail est annexé à la présente convention.",""),"")</f>
        <v/>
      </c>
      <c r="BV113" s="185"/>
      <c r="BW113" s="164" t="e">
        <f>IF(VLOOKUP(T_Convention[[#This Row],[NumL]],T_suiviDi[#Data],COLUMN(T_suiviDi[Entité]),FALSE)="","",VLOOKUP(T_Convention[[#This Row],[NumL]],T_suiviDi[#Data],COLUMN(T_suiviDi[Entité]),FALSE))</f>
        <v>#N/A</v>
      </c>
      <c r="BX113" s="164" t="str">
        <f>IF(VLOOKUP(T_Convention[[#This Row],[NumL]],T_Commission[#Data],COLUMN(T_Commission[envoi confirm TW]),FALSE)="","",VLOOKUP(T_Convention[[#This Row],[NumL]],T_Commission[#Data],COLUMN(T_Commission[envoi confirm TW]),FALSE))</f>
        <v>Oui</v>
      </c>
      <c r="BY11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3" s="264">
        <f>VLOOKUP(T_Convention[[#This Row],[NumL]],T_Commission[#Data],COLUMN(T_Commission[Commentaire]),FALSE)</f>
        <v>0</v>
      </c>
      <c r="CA113" s="254" t="str">
        <f>IF(VLOOKUP(T_Convention[[#This Row],[NumL]],T_Commission[#Data],COLUMN(T_Commission[Encadrant Email]),FALSE)="","",VLOOKUP(T_Convention[[#This Row],[NumL]],T_Commission[#Data],COLUMN(T_Commission[Encadrant Email]),FALSE))</f>
        <v/>
      </c>
      <c r="CB113" s="352" t="e">
        <f>VLOOKUP(T_Convention[[#This Row],[NumL]],T_TraitDi[#Data],COLUMN(T_TraitDi[NbJTot]),FALSE)</f>
        <v>#N/A</v>
      </c>
      <c r="CC113" s="352" t="e">
        <f>VLOOKUP(T_Convention[[#This Row],[NumL]],T_TraitDi[#Data],COLUMN(T_TraitDi[Reg Ponct]),FALSE)</f>
        <v>#N/A</v>
      </c>
      <c r="CD113" s="348" t="str">
        <f>IF(T_Convention[[#This Row],[Final]]&lt;&gt;"",VLOOKUP(T_Convention[[#This Row],[NumL]],T_suiviDi[#Data],COLUMN((T_suiviDi[Statut])),FALSE),"")</f>
        <v/>
      </c>
    </row>
    <row r="114" spans="1:82" s="106" customFormat="1" ht="18.75" customHeight="1" x14ac:dyDescent="0.25">
      <c r="A114" s="160">
        <v>65</v>
      </c>
      <c r="B114" s="161" t="str">
        <f>VLOOKUP(T_Convention[[#This Row],[NumL]],T_Commission[#Data],COLUMN(T_Commission[FINAL]),FALSE)</f>
        <v/>
      </c>
      <c r="C114" s="162"/>
      <c r="D114" s="95" t="e">
        <f>IF(VLOOKUP(T_Convention[[#This Row],[NumL]],T_TraitDi[#Data],COLUMN(T_TraitDi[WebC]),FALSE)="","",VLOOKUP(T_Convention[[#This Row],[NumL]],T_TraitDi[#Data],COLUMN(T_TraitDi[WebC]),FALSE))</f>
        <v>#N/A</v>
      </c>
      <c r="E114" s="163" t="str">
        <f t="shared" si="5"/>
        <v>12 janvier 2021</v>
      </c>
      <c r="F114" s="282" t="str">
        <f>IF(T_Convention[[#This Row],[Final]]&lt;&gt;"",VLOOKUP(T_Convention[[#This Row],[NumL]],T_suiviDi[#Data],COLUMN((T_suiviDi[Civ.])),FALSE),"")</f>
        <v/>
      </c>
      <c r="G114" s="283" t="str">
        <f>IF(T_Convention[[#This Row],[Final]]&lt;&gt;"",VLOOKUP(T_Convention[[#This Row],[NumL]],T_suiviDi[#Data],COLUMN((T_suiviDi[Nom])),FALSE),"")</f>
        <v/>
      </c>
      <c r="H114" s="282" t="str">
        <f>IF(T_Convention[[#This Row],[Final]]&lt;&gt;"",VLOOKUP(T_Convention[[#This Row],[NumL]],T_suiviDi[#Data],COLUMN((T_suiviDi[Prénom])),FALSE),"")</f>
        <v/>
      </c>
      <c r="I114" s="282" t="e">
        <f>VLOOKUP(T_Convention[[#This Row],[NumL]],T_suiviDi[#Data],COLUMN((T_suiviDi[[#This Row],[Email]])),FALSE)</f>
        <v>#VALUE!</v>
      </c>
      <c r="J114" s="282" t="e">
        <f>IF(VLOOKUP(T_Convention[[#This Row],[NumL]],T_suiviDi[#Data],COLUMN(T_suiviDi[[#This Row],[Fonction]]),FALSE)="","",VLOOKUP(T_Convention[[#This Row],[NumL]],T_suiviDi[#Data],COLUMN(T_suiviDi[[#This Row],[Fonction]]),FALSE))</f>
        <v>#VALUE!</v>
      </c>
      <c r="K114" s="282" t="e">
        <f>IF(VLOOKUP(T_Convention[[#This Row],[NumL]],T_suiviDi[#Data],COLUMN(T_suiviDi[[#This Row],[Grade]]),FALSE)="","",VLOOKUP(T_Convention[[#This Row],[NumL]],T_suiviDi[#Data],COLUMN(T_suiviDi[[#This Row],[Grade]]),FALSE))</f>
        <v>#VALUE!</v>
      </c>
      <c r="L114" s="282" t="e">
        <f>IF(VLOOKUP(T_Convention[[#This Row],[NumL]],T_suiviDi[#Data],COLUMN(T_suiviDi[[#This Row],[Service ]]),FALSE)="","",VLOOKUP(T_Convention[[#This Row],[NumL]],T_suiviDi[#Data],COLUMN(T_suiviDi[[#This Row],[Service ]]),FALSE))</f>
        <v>#VALUE!</v>
      </c>
      <c r="M114" s="164" t="str">
        <f t="shared" si="6"/>
        <v>01 septembre 2021</v>
      </c>
      <c r="N114" s="164" t="str">
        <f t="shared" si="7"/>
        <v>30 novembre 2021</v>
      </c>
      <c r="O114" s="284" t="str">
        <f t="shared" si="8"/>
        <v>30 novembre 2021</v>
      </c>
      <c r="P114" s="282" t="e">
        <f>IF(VLOOKUP(T_Convention[[#This Row],[NumL]],T_TraitDi[#Data],COLUMN(T_TraitDi[M1]),FALSE)="","",VLOOKUP(T_Convention[[#This Row],[NumL]],T_TraitDi[#Data],COLUMN(T_TraitDi[M1]),FALSE))</f>
        <v>#N/A</v>
      </c>
      <c r="Q114" s="282" t="e">
        <f>IF(VLOOKUP(T_Convention[[#This Row],[NumL]],T_TraitDi[#Data],COLUMN(T_TraitDi[M2]),FALSE)="","",VLOOKUP(T_Convention[[#This Row],[NumL]],T_TraitDi[#Data],COLUMN(T_TraitDi[M2]),FALSE))</f>
        <v>#N/A</v>
      </c>
      <c r="R114" s="282" t="e">
        <f>IF(VLOOKUP(T_Convention[[#This Row],[NumL]],T_TraitDi[#Data],COLUMN(T_TraitDi[M3]),FALSE)="","",VLOOKUP(T_Convention[[#This Row],[NumL]],T_TraitDi[#Data],COLUMN(T_TraitDi[M3]),FALSE))</f>
        <v>#N/A</v>
      </c>
      <c r="S114" s="282" t="e">
        <f>IF(VLOOKUP(T_Convention[[#This Row],[NumL]],T_TraitDi[#Data],COLUMN(T_TraitDi[M4]),FALSE)="","",VLOOKUP(T_Convention[[#This Row],[NumL]],T_TraitDi[#Data],COLUMN(T_TraitDi[M4]),FALSE))</f>
        <v>#N/A</v>
      </c>
      <c r="T114" s="282" t="e">
        <f>IF(VLOOKUP(T_Convention[[#This Row],[NumL]],T_TraitDi[#Data],COLUMN(T_TraitDi[M5]),FALSE)="","",VLOOKUP(T_Convention[[#This Row],[NumL]],T_TraitDi[#Data],COLUMN(T_TraitDi[M5]),FALSE))</f>
        <v>#N/A</v>
      </c>
      <c r="U114" s="282" t="e">
        <f>IF(VLOOKUP(T_Convention[[#This Row],[NumL]],T_TraitDi[#Data],COLUMN(T_TraitDi[M6]),FALSE)="","",VLOOKUP(T_Convention[[#This Row],[NumL]],T_TraitDi[#Data],COLUMN(T_TraitDi[M6]),FALSE))</f>
        <v>#N/A</v>
      </c>
      <c r="V114" s="176" t="e">
        <f t="shared" si="9"/>
        <v>#N/A</v>
      </c>
      <c r="W114" s="284" t="str">
        <f>IFERROR(TEXT(VLOOKUP(T_Convention[[#This Row],[NumL]],T_TraitDi[#Data],COLUMN(T_TraitDi[Q2]),FALSE),"###%"),"")</f>
        <v/>
      </c>
      <c r="X114" s="97" t="e">
        <f>VLOOKUP(T_Convention[[#This Row],[NumL]],T_TraitDi[#Data],COLUMN(T_TraitDi[Reg Ponct]),FALSE)</f>
        <v>#N/A</v>
      </c>
      <c r="Y114" s="97" t="e">
        <f>VLOOKUP(T_Convention[NumL],T_TraitDi[#Data],COLUMN(T_TraitDi[Jours flottants]),FALSE)</f>
        <v>#N/A</v>
      </c>
      <c r="Z114" s="284" t="str">
        <f>IFERROR(VLOOKUP(T_Convention[[#This Row],[NumL]],T_TraitDi[#Data],COLUMN(T_TraitDi[Lundi]),FALSE),"")</f>
        <v/>
      </c>
      <c r="AA114" s="284" t="e">
        <f>IF(VLOOKUP(T_Convention[[#This Row],[NumL]],T_TraitDi[#Data],COLUMN(T_TraitDi[Colonne3]),FALSE)=0,"",TEXT(IFERROR(VLOOKUP(T_Convention[[#This Row],[NumL]],T_TraitDi[#Data],COLUMN(T_TraitDi[Colonne3]),FALSE),""),"[hh]:mm"))</f>
        <v>#N/A</v>
      </c>
      <c r="AB114" s="284" t="e">
        <f>IF(VLOOKUP(T_Convention[[#This Row],[NumL]],T_TraitDi[#Data],COLUMN(T_TraitDi[Colonne4]),FALSE)=0,"",TEXT(IFERROR(VLOOKUP(T_Convention[[#This Row],[NumL]],T_TraitDi[#Data],COLUMN(T_TraitDi[Colonne4]),FALSE),""),"[hh]:mm"))</f>
        <v>#N/A</v>
      </c>
      <c r="AC114" s="284" t="e">
        <f>IF(VLOOKUP(T_Convention[[#This Row],[NumL]],T_TraitDi[#Data],COLUMN(T_TraitDi[Colonne5]),FALSE)=0,"",TEXT(IFERROR(VLOOKUP(T_Convention[[#This Row],[NumL]],T_TraitDi[#Data],COLUMN(T_TraitDi[Colonne5]),FALSE),""),"[hh]:mm"))</f>
        <v>#N/A</v>
      </c>
      <c r="AD114" s="284" t="e">
        <f>IF(VLOOKUP(T_Convention[[#This Row],[NumL]],T_TraitDi[#Data],COLUMN(T_TraitDi[Colonne6]),FALSE)=0,"",TEXT(IFERROR(VLOOKUP(T_Convention[[#This Row],[NumL]],T_TraitDi[#Data],COLUMN(T_TraitDi[Colonne6]),FALSE),""),"[hh]:mm"))</f>
        <v>#N/A</v>
      </c>
      <c r="AE114" s="284" t="e">
        <f>IF(VLOOKUP(T_Convention[[#This Row],[NumL]],T_TraitDi[#Data],COLUMN(T_TraitDi[Colonne7]),FALSE)=0,"",TEXT(IFERROR(VLOOKUP(T_Convention[[#This Row],[NumL]],T_TraitDi[#Data],COLUMN(T_TraitDi[Colonne7]),FALSE),""),"[hh]:mm"))</f>
        <v>#N/A</v>
      </c>
      <c r="AF114" s="284" t="e">
        <f>IF(VLOOKUP(T_Convention[[#This Row],[NumL]],T_TraitDi[#Data],COLUMN(T_TraitDi[Colonne8]),FALSE)=0,"",TEXT(IFERROR(VLOOKUP(T_Convention[[#This Row],[NumL]],T_TraitDi[#Data],COLUMN(T_TraitDi[Colonne8]),FALSE),""),"[hh]:mm"))</f>
        <v>#N/A</v>
      </c>
      <c r="AG114" s="284" t="str">
        <f>IFERROR(VLOOKUP(T_Convention[[#This Row],[NumL]],T_TraitDi[#Data],COLUMN(T_TraitDi[Mardi]),FALSE),"")</f>
        <v/>
      </c>
      <c r="AH114" s="284" t="e">
        <f>IF(VLOOKUP(T_Convention[[#This Row],[NumL]],T_TraitDi[#Data],COLUMN(T_TraitDi[Colonne1]),FALSE)=0,"",TEXT(IFERROR(VLOOKUP(T_Convention[[#This Row],[NumL]],T_TraitDi[#Data],COLUMN(T_TraitDi[Colonne1]),FALSE),""),"[hh]:mm"))</f>
        <v>#N/A</v>
      </c>
      <c r="AI114" s="284" t="e">
        <f>IF(VLOOKUP(T_Convention[[#This Row],[NumL]],T_TraitDi[#Data],COLUMN(T_TraitDi[Colonne9]),FALSE)=0,"",TEXT(IFERROR(VLOOKUP(T_Convention[[#This Row],[NumL]],T_TraitDi[#Data],COLUMN(T_TraitDi[Colonne9]),FALSE),""),"[hh]:mm"))</f>
        <v>#N/A</v>
      </c>
      <c r="AJ114" s="284" t="str">
        <f>IFERROR(VLOOKUP(T_Convention[[#This Row],[NumL]],T_TraitDi[#Data],COLUMN(T_TraitDi[Colonne10]),FALSE),"")</f>
        <v/>
      </c>
      <c r="AK114" s="284" t="e">
        <f>IF(VLOOKUP(T_Convention[[#This Row],[NumL]],T_TraitDi[#Data],COLUMN(T_TraitDi[Colonne11]),FALSE)=0,"",TEXT(IFERROR(VLOOKUP(T_Convention[[#This Row],[NumL]],T_TraitDi[#Data],COLUMN(T_TraitDi[Colonne11]),FALSE),""),"[hh]:mm"))</f>
        <v>#N/A</v>
      </c>
      <c r="AL114" s="284" t="e">
        <f>IF(VLOOKUP(T_Convention[[#This Row],[NumL]],T_TraitDi[#Data],COLUMN(T_TraitDi[Colonne12]),FALSE)=0,"",TEXT(IFERROR(VLOOKUP(T_Convention[[#This Row],[NumL]],T_TraitDi[#Data],COLUMN(T_TraitDi[Colonne12]),FALSE),""),"[hh]:mm"))</f>
        <v>#N/A</v>
      </c>
      <c r="AM114" s="284" t="e">
        <f>IF(VLOOKUP(T_Convention[[#This Row],[NumL]],T_TraitDi[#Data],COLUMN(T_TraitDi[Colonne14]),FALSE)=0,"",TEXT(IFERROR(VLOOKUP(T_Convention[[#This Row],[NumL]],T_TraitDi[#Data],COLUMN(T_TraitDi[Colonne14]),FALSE),""),"[hh]:mm"))</f>
        <v>#N/A</v>
      </c>
      <c r="AN114" s="284" t="str">
        <f>IFERROR(VLOOKUP(T_Convention[[#This Row],[NumL]],T_TraitDi[#Data],COLUMN(T_TraitDi[Mercredi]),FALSE),"")</f>
        <v/>
      </c>
      <c r="AO114" s="284" t="e">
        <f>IF(VLOOKUP(T_Convention[[#This Row],[NumL]],T_TraitDi[#Data],COLUMN(T_TraitDi[Colonne15]),FALSE)=0,"",TEXT(IFERROR(VLOOKUP(T_Convention[[#This Row],[NumL]],T_TraitDi[#Data],COLUMN(T_TraitDi[Colonne15]),FALSE),""),"[hh]:mm"))</f>
        <v>#N/A</v>
      </c>
      <c r="AP114" s="284" t="e">
        <f>IF(VLOOKUP(T_Convention[[#This Row],[NumL]],T_TraitDi[#Data],COLUMN(T_TraitDi[Colonne16]),FALSE)=0,"",TEXT(IFERROR(VLOOKUP(T_Convention[[#This Row],[NumL]],T_TraitDi[#Data],COLUMN(T_TraitDi[Colonne16]),FALSE),""),"[hh]:mm"))</f>
        <v>#N/A</v>
      </c>
      <c r="AQ114" s="284" t="str">
        <f>IFERROR(VLOOKUP(T_Convention[[#This Row],[NumL]],T_TraitDi[#Data],COLUMN(T_TraitDi[Colonne17]),FALSE),"")</f>
        <v/>
      </c>
      <c r="AR114" s="284" t="e">
        <f>IF(VLOOKUP(T_Convention[[#This Row],[NumL]],T_TraitDi[#Data],COLUMN(T_TraitDi[Colonne18]),FALSE)=0,"",TEXT(IFERROR(VLOOKUP(T_Convention[[#This Row],[NumL]],T_TraitDi[#Data],COLUMN(T_TraitDi[Colonne18]),FALSE),""),"[hh]:mm"))</f>
        <v>#N/A</v>
      </c>
      <c r="AS114" s="284" t="e">
        <f>IF(VLOOKUP(T_Convention[[#This Row],[NumL]],T_TraitDi[#Data],COLUMN(T_TraitDi[Colonne19]),FALSE)=0,"",TEXT(IFERROR(VLOOKUP(T_Convention[[#This Row],[NumL]],T_TraitDi[#Data],COLUMN(T_TraitDi[Colonne19]),FALSE),""),"[hh]:mm"))</f>
        <v>#N/A</v>
      </c>
      <c r="AT114" s="284" t="e">
        <f>IF(VLOOKUP(T_Convention[[#This Row],[NumL]],T_TraitDi[#Data],COLUMN(T_TraitDi[Colonne20]),FALSE)=0,"",TEXT(IFERROR(VLOOKUP(T_Convention[[#This Row],[NumL]],T_TraitDi[#Data],COLUMN(T_TraitDi[Colonne20]),FALSE),""),"[hh]:mm"))</f>
        <v>#N/A</v>
      </c>
      <c r="AU114" s="284" t="str">
        <f>IFERROR(VLOOKUP(T_Convention[[#This Row],[NumL]],T_TraitDi[#Data],COLUMN(T_TraitDi[Jeudi]),FALSE),"")</f>
        <v/>
      </c>
      <c r="AV114" s="284" t="e">
        <f>IF(VLOOKUP(T_Convention[[#This Row],[NumL]],T_TraitDi[#Data],COLUMN(T_TraitDi[Colonne21]),FALSE)=0,"",TEXT(IFERROR(VLOOKUP(T_Convention[[#This Row],[NumL]],T_TraitDi[#Data],COLUMN(T_TraitDi[Colonne21]),FALSE),""),"[hh]:mm"))</f>
        <v>#N/A</v>
      </c>
      <c r="AW114" s="284" t="e">
        <f>IF(VLOOKUP(T_Convention[[#This Row],[NumL]],T_TraitDi[#Data],COLUMN(T_TraitDi[Colonne22]),FALSE)=0,"",TEXT(IFERROR(VLOOKUP(T_Convention[[#This Row],[NumL]],T_TraitDi[#Data],COLUMN(T_TraitDi[Colonne22]),FALSE),""),"[hh]:mm"))</f>
        <v>#N/A</v>
      </c>
      <c r="AX114" s="284" t="str">
        <f>IFERROR(VLOOKUP(T_Convention[[#This Row],[NumL]],T_TraitDi[#Data],COLUMN(T_TraitDi[Colonne23]),FALSE),"")</f>
        <v/>
      </c>
      <c r="AY114" s="284" t="e">
        <f>IF(VLOOKUP(T_Convention[[#This Row],[NumL]],T_TraitDi[#Data],COLUMN(T_TraitDi[Colonne24]),FALSE)=0,"",TEXT(IFERROR(VLOOKUP(T_Convention[[#This Row],[NumL]],T_TraitDi[#Data],COLUMN(T_TraitDi[Colonne24]),FALSE),""),"[hh]:mm"))</f>
        <v>#N/A</v>
      </c>
      <c r="AZ114" s="284" t="e">
        <f>IF(VLOOKUP(T_Convention[[#This Row],[NumL]],T_TraitDi[#Data],COLUMN(T_TraitDi[Colonne25]),FALSE)=0,"",TEXT(IFERROR(VLOOKUP(T_Convention[[#This Row],[NumL]],T_TraitDi[#Data],COLUMN(T_TraitDi[Colonne25]),FALSE),""),"[hh]:mm"))</f>
        <v>#N/A</v>
      </c>
      <c r="BA114" s="284" t="e">
        <f>IF(VLOOKUP(T_Convention[[#This Row],[NumL]],T_TraitDi[#Data],COLUMN(T_TraitDi[Colonne26]),FALSE)=0,"",TEXT(IFERROR(VLOOKUP(T_Convention[[#This Row],[NumL]],T_TraitDi[#Data],COLUMN(T_TraitDi[Colonne26]),FALSE),""),"[hh]:mm"))</f>
        <v>#N/A</v>
      </c>
      <c r="BB114" s="284" t="str">
        <f>IFERROR(VLOOKUP(T_Convention[[#This Row],[NumL]],T_TraitDi[#Data],COLUMN(T_TraitDi[Vendredi]),FALSE),"")</f>
        <v/>
      </c>
      <c r="BC114" s="284" t="e">
        <f>IF(VLOOKUP(T_Convention[[#This Row],[NumL]],T_TraitDi[#Data],COLUMN(T_TraitDi[Colonne27]),FALSE)=0,"",TEXT(IFERROR(VLOOKUP(T_Convention[[#This Row],[NumL]],T_TraitDi[#Data],COLUMN(T_TraitDi[Colonne27]),FALSE),""),"[hh]:mm"))</f>
        <v>#N/A</v>
      </c>
      <c r="BD114" s="284" t="e">
        <f>IF(VLOOKUP(T_Convention[[#This Row],[NumL]],T_TraitDi[#Data],COLUMN(T_TraitDi[Colonne28]),FALSE)=0,"",TEXT(IFERROR(VLOOKUP(T_Convention[[#This Row],[NumL]],T_TraitDi[#Data],COLUMN(T_TraitDi[Colonne28]),FALSE),""),"[hh]:mm"))</f>
        <v>#N/A</v>
      </c>
      <c r="BE114" s="284" t="str">
        <f>IFERROR(VLOOKUP(T_Convention[[#This Row],[NumL]],T_TraitDi[#Data],COLUMN(T_TraitDi[Colonne29]),FALSE),"")</f>
        <v/>
      </c>
      <c r="BF114" s="284" t="e">
        <f>IF(VLOOKUP(T_Convention[[#This Row],[NumL]],T_TraitDi[#Data],COLUMN(T_TraitDi[Colonne30]),FALSE)=0,"",TEXT(IFERROR(VLOOKUP(T_Convention[[#This Row],[NumL]],T_TraitDi[#Data],COLUMN(T_TraitDi[Colonne30]),FALSE),""),"[hh]:mm"))</f>
        <v>#N/A</v>
      </c>
      <c r="BG114" s="284" t="e">
        <f>IF(VLOOKUP(T_Convention[[#This Row],[NumL]],T_TraitDi[#Data],COLUMN(T_TraitDi[Colonne31]),FALSE)=0,"",TEXT(IFERROR(VLOOKUP(T_Convention[[#This Row],[NumL]],T_TraitDi[#Data],COLUMN(T_TraitDi[Colonne31]),FALSE),""),"[hh]:mm"))</f>
        <v>#N/A</v>
      </c>
      <c r="BH114" s="284" t="e">
        <f>IF(VLOOKUP(T_Convention[[#This Row],[NumL]],T_TraitDi[#Data],COLUMN(T_TraitDi[Colonne32]),FALSE)=0,"",TEXT(IFERROR(VLOOKUP(T_Convention[[#This Row],[NumL]],T_TraitDi[#Data],COLUMN(T_TraitDi[Colonne32]),FALSE),""),"[hh]:mm"))</f>
        <v>#N/A</v>
      </c>
      <c r="BI114" s="284" t="str">
        <f>IFERROR(VLOOKUP(T_Convention[[#This Row],[NumL]],T_TraitDi[#Data],COLUMN(T_TraitDi[NbJTW]),FALSE),"")</f>
        <v/>
      </c>
      <c r="BJ114" s="284" t="e">
        <f>IF(VLOOKUP(T_Convention[[#This Row],[NumL]],T_TraitDi[#Data],COLUMN(T_TraitDi[NbhTW]),FALSE)=0,"",TEXT(IFERROR(VLOOKUP(T_Convention[[#This Row],[NumL]],T_TraitDi[#Data],COLUMN(T_TraitDi[NbhTW]),FALSE),""),"[hh]:mm"))</f>
        <v>#N/A</v>
      </c>
      <c r="BK114" s="286" t="e">
        <f>IF(VLOOKUP(T_Convention[[#This Row],[NumL]],T_TraitDi[#Data],COLUMN(T_TraitDi[Nbhheb]),FALSE)=0,"",TEXT(IFERROR(VLOOKUP(T_Convention[[#This Row],[NumL]],T_TraitDi[#Data],COLUMN(T_TraitDi[Nbhheb]),FALSE),""),"[hh]:mm"))</f>
        <v>#N/A</v>
      </c>
      <c r="BL114" s="287" t="str">
        <f>IFERROR(VLOOKUP(VLOOKUP(T_Convention[[#This Row],[NumL]],T_TraitDi[#Data],COLUMN(T_TraitDi[Type1]),FALSE),TypeTW,2,FALSE),"")</f>
        <v/>
      </c>
      <c r="BM114" s="288" t="str">
        <f>IFERROR(VLOOKUP(T_Convention[[#This Row],[NumL]],T_TraitDi[#Data],COLUMN(T_TraitDi[Rue1]),FALSE),"")</f>
        <v/>
      </c>
      <c r="BN114" s="289" t="str">
        <f>IFERROR(VLOOKUP(T_Convention[[#This Row],[NumL]],T_TraitDi[#Data],COLUMN(T_TraitDi[CP1]),FALSE),"")</f>
        <v/>
      </c>
      <c r="BO114" s="282" t="str">
        <f>IFERROR(VLOOKUP(T_Convention[[#This Row],[NumL]],T_TraitDi[#Data],COLUMN(T_TraitDi[VILLE1]),FALSE),"")</f>
        <v/>
      </c>
      <c r="BP114" s="290" t="str">
        <f>IFERROR(VLOOKUP(VLOOKUP(T_Convention[[#This Row],[NumL]],T_TraitDi[#Data],COLUMN(T_TraitDi[Type2]),FALSE),TypeTW,2,FALSE),"")</f>
        <v/>
      </c>
      <c r="BQ114" s="182" t="str">
        <f>IFERROR(VLOOKUP(T_Convention[[#This Row],[NumL]],T_TraitDi[#Data],COLUMN(T_TraitDi[Rue2]),FALSE),"")</f>
        <v/>
      </c>
      <c r="BR114" s="173" t="str">
        <f>IFERROR(VLOOKUP(T_Convention[[#This Row],[NumL]],T_TraitDi[#Data],COLUMN(T_TraitDi[CP2]),FALSE),"")</f>
        <v/>
      </c>
      <c r="BS114" s="173" t="str">
        <f>IFERROR(VLOOKUP(T_Convention[[#This Row],[NumL]],T_TraitDi[#Data],COLUMN(T_TraitDi[VILLE2]),FALSE),"")</f>
        <v/>
      </c>
      <c r="BT114" s="182" t="str">
        <f>IF(VLOOKUP(T_Convention[[#This Row],[NumL]],T_Equipement[#Data],COLUMN(T_Equipement[PC]),FALSE)="","Aucun équipement spécifique directement lié au télétravail",VLOOKUP(T_Convention[[#This Row],[NumL]],T_Equipement[#Data],COLUMN(T_Equipement[PC]),FALSE))</f>
        <v xml:space="preserve">19-596	</v>
      </c>
      <c r="BU114" s="166" t="str">
        <f>IFERROR(IF(VLOOKUP(T_Convention[[#This Row],[NumL]],T_TraitDi[#Data],COLUMN(T_TraitDi[Plan]),FALSE)="OK","Un planning spécifique de télétravail est annexé à la présente convention.",""),"")</f>
        <v/>
      </c>
      <c r="BV114" s="185" t="s">
        <v>3334</v>
      </c>
      <c r="BW114" s="164" t="e">
        <f>IF(VLOOKUP(T_Convention[[#This Row],[NumL]],T_suiviDi[#Data],COLUMN(T_suiviDi[Entité]),FALSE)="","",VLOOKUP(T_Convention[[#This Row],[NumL]],T_suiviDi[#Data],COLUMN(T_suiviDi[Entité]),FALSE))</f>
        <v>#N/A</v>
      </c>
      <c r="BX114" s="164" t="str">
        <f>IF(VLOOKUP(T_Convention[[#This Row],[NumL]],T_Commission[#Data],COLUMN(T_Commission[envoi confirm TW]),FALSE)="","",VLOOKUP(T_Convention[[#This Row],[NumL]],T_Commission[#Data],COLUMN(T_Commission[envoi confirm TW]),FALSE))</f>
        <v>Oui</v>
      </c>
      <c r="BY11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4" s="264">
        <f>VLOOKUP(T_Convention[[#This Row],[NumL]],T_Commission[#Data],COLUMN(T_Commission[Commentaire]),FALSE)</f>
        <v>0</v>
      </c>
      <c r="CA114" s="254" t="str">
        <f>IF(VLOOKUP(T_Convention[[#This Row],[NumL]],T_Commission[#Data],COLUMN(T_Commission[Encadrant Email]),FALSE)="","",VLOOKUP(T_Convention[[#This Row],[NumL]],T_Commission[#Data],COLUMN(T_Commission[Encadrant Email]),FALSE))</f>
        <v/>
      </c>
      <c r="CB114" s="352" t="e">
        <f>VLOOKUP(T_Convention[[#This Row],[NumL]],T_TraitDi[#Data],COLUMN(T_TraitDi[NbJTot]),FALSE)</f>
        <v>#N/A</v>
      </c>
      <c r="CC114" s="352" t="e">
        <f>VLOOKUP(T_Convention[[#This Row],[NumL]],T_TraitDi[#Data],COLUMN(T_TraitDi[Reg Ponct]),FALSE)</f>
        <v>#N/A</v>
      </c>
      <c r="CD114" s="348" t="str">
        <f>IF(T_Convention[[#This Row],[Final]]&lt;&gt;"",VLOOKUP(T_Convention[[#This Row],[NumL]],T_suiviDi[#Data],COLUMN((T_suiviDi[Statut])),FALSE),"")</f>
        <v/>
      </c>
    </row>
    <row r="115" spans="1:82" s="106" customFormat="1" ht="18.75" customHeight="1" x14ac:dyDescent="0.25">
      <c r="A115" s="160">
        <v>128</v>
      </c>
      <c r="B115" s="161" t="str">
        <f>VLOOKUP(T_Convention[[#This Row],[NumL]],T_Commission[#Data],COLUMN(T_Commission[FINAL]),FALSE)</f>
        <v/>
      </c>
      <c r="C115" s="162"/>
      <c r="D115" s="95" t="e">
        <f>IF(VLOOKUP(T_Convention[[#This Row],[NumL]],T_TraitDi[#Data],COLUMN(T_TraitDi[WebC]),FALSE)="","",VLOOKUP(T_Convention[[#This Row],[NumL]],T_TraitDi[#Data],COLUMN(T_TraitDi[WebC]),FALSE))</f>
        <v>#N/A</v>
      </c>
      <c r="E115" s="163" t="str">
        <f t="shared" si="5"/>
        <v>12 janvier 2021</v>
      </c>
      <c r="F115" s="282" t="str">
        <f>IF(T_Convention[[#This Row],[Final]]&lt;&gt;"",VLOOKUP(T_Convention[[#This Row],[NumL]],T_suiviDi[#Data],COLUMN((T_suiviDi[Civ.])),FALSE),"")</f>
        <v/>
      </c>
      <c r="G115" s="283" t="str">
        <f>IF(T_Convention[[#This Row],[Final]]&lt;&gt;"",VLOOKUP(T_Convention[[#This Row],[NumL]],T_suiviDi[#Data],COLUMN((T_suiviDi[Nom])),FALSE),"")</f>
        <v/>
      </c>
      <c r="H115" s="282" t="str">
        <f>IF(T_Convention[[#This Row],[Final]]&lt;&gt;"",VLOOKUP(T_Convention[[#This Row],[NumL]],T_suiviDi[#Data],COLUMN((T_suiviDi[Prénom])),FALSE),"")</f>
        <v/>
      </c>
      <c r="I115" s="282" t="e">
        <f>VLOOKUP(T_Convention[[#This Row],[NumL]],T_suiviDi[#Data],COLUMN((T_suiviDi[[#This Row],[Email]])),FALSE)</f>
        <v>#VALUE!</v>
      </c>
      <c r="J115" s="282" t="e">
        <f>IF(VLOOKUP(T_Convention[[#This Row],[NumL]],T_suiviDi[#Data],COLUMN(T_suiviDi[[#This Row],[Fonction]]),FALSE)="","",VLOOKUP(T_Convention[[#This Row],[NumL]],T_suiviDi[#Data],COLUMN(T_suiviDi[[#This Row],[Fonction]]),FALSE))</f>
        <v>#VALUE!</v>
      </c>
      <c r="K115" s="282" t="e">
        <f>IF(VLOOKUP(T_Convention[[#This Row],[NumL]],T_suiviDi[#Data],COLUMN(T_suiviDi[[#This Row],[Grade]]),FALSE)="","",VLOOKUP(T_Convention[[#This Row],[NumL]],T_suiviDi[#Data],COLUMN(T_suiviDi[[#This Row],[Grade]]),FALSE))</f>
        <v>#VALUE!</v>
      </c>
      <c r="L115" s="282" t="e">
        <f>IF(VLOOKUP(T_Convention[[#This Row],[NumL]],T_suiviDi[#Data],COLUMN(T_suiviDi[[#This Row],[Service ]]),FALSE)="","",VLOOKUP(T_Convention[[#This Row],[NumL]],T_suiviDi[#Data],COLUMN(T_suiviDi[[#This Row],[Service ]]),FALSE))</f>
        <v>#VALUE!</v>
      </c>
      <c r="M115" s="164" t="str">
        <f t="shared" si="6"/>
        <v>01 septembre 2021</v>
      </c>
      <c r="N115" s="164" t="str">
        <f t="shared" si="7"/>
        <v>30 novembre 2021</v>
      </c>
      <c r="O115" s="284" t="str">
        <f t="shared" si="8"/>
        <v>30 novembre 2021</v>
      </c>
      <c r="P115" s="282" t="e">
        <f>IF(VLOOKUP(T_Convention[[#This Row],[NumL]],T_TraitDi[#Data],COLUMN(T_TraitDi[M1]),FALSE)="","",VLOOKUP(T_Convention[[#This Row],[NumL]],T_TraitDi[#Data],COLUMN(T_TraitDi[M1]),FALSE))</f>
        <v>#N/A</v>
      </c>
      <c r="Q115" s="282" t="e">
        <f>IF(VLOOKUP(T_Convention[[#This Row],[NumL]],T_TraitDi[#Data],COLUMN(T_TraitDi[M2]),FALSE)="","",VLOOKUP(T_Convention[[#This Row],[NumL]],T_TraitDi[#Data],COLUMN(T_TraitDi[M2]),FALSE))</f>
        <v>#N/A</v>
      </c>
      <c r="R115" s="282" t="e">
        <f>IF(VLOOKUP(T_Convention[[#This Row],[NumL]],T_TraitDi[#Data],COLUMN(T_TraitDi[M3]),FALSE)="","",VLOOKUP(T_Convention[[#This Row],[NumL]],T_TraitDi[#Data],COLUMN(T_TraitDi[M3]),FALSE))</f>
        <v>#N/A</v>
      </c>
      <c r="S115" s="282" t="e">
        <f>IF(VLOOKUP(T_Convention[[#This Row],[NumL]],T_TraitDi[#Data],COLUMN(T_TraitDi[M4]),FALSE)="","",VLOOKUP(T_Convention[[#This Row],[NumL]],T_TraitDi[#Data],COLUMN(T_TraitDi[M4]),FALSE))</f>
        <v>#N/A</v>
      </c>
      <c r="T115" s="282" t="e">
        <f>IF(VLOOKUP(T_Convention[[#This Row],[NumL]],T_TraitDi[#Data],COLUMN(T_TraitDi[M5]),FALSE)="","",VLOOKUP(T_Convention[[#This Row],[NumL]],T_TraitDi[#Data],COLUMN(T_TraitDi[M5]),FALSE))</f>
        <v>#N/A</v>
      </c>
      <c r="U115" s="282" t="e">
        <f>IF(VLOOKUP(T_Convention[[#This Row],[NumL]],T_TraitDi[#Data],COLUMN(T_TraitDi[M6]),FALSE)="","",VLOOKUP(T_Convention[[#This Row],[NumL]],T_TraitDi[#Data],COLUMN(T_TraitDi[M6]),FALSE))</f>
        <v>#N/A</v>
      </c>
      <c r="V115" s="176" t="e">
        <f t="shared" si="9"/>
        <v>#N/A</v>
      </c>
      <c r="W115" s="284" t="str">
        <f>IFERROR(TEXT(VLOOKUP(T_Convention[[#This Row],[NumL]],T_TraitDi[#Data],COLUMN(T_TraitDi[Q2]),FALSE),"###%"),"")</f>
        <v/>
      </c>
      <c r="X115" s="97" t="e">
        <f>VLOOKUP(T_Convention[[#This Row],[NumL]],T_TraitDi[#Data],COLUMN(T_TraitDi[Reg Ponct]),FALSE)</f>
        <v>#N/A</v>
      </c>
      <c r="Y115" s="97" t="e">
        <f>VLOOKUP(T_Convention[NumL],T_TraitDi[#Data],COLUMN(T_TraitDi[Jours flottants]),FALSE)</f>
        <v>#N/A</v>
      </c>
      <c r="Z115" s="284" t="str">
        <f>IFERROR(VLOOKUP(T_Convention[[#This Row],[NumL]],T_TraitDi[#Data],COLUMN(T_TraitDi[Lundi]),FALSE),"")</f>
        <v/>
      </c>
      <c r="AA115" s="284" t="e">
        <f>IF(VLOOKUP(T_Convention[[#This Row],[NumL]],T_TraitDi[#Data],COLUMN(T_TraitDi[Colonne3]),FALSE)=0,"",TEXT(IFERROR(VLOOKUP(T_Convention[[#This Row],[NumL]],T_TraitDi[#Data],COLUMN(T_TraitDi[Colonne3]),FALSE),""),"[hh]:mm"))</f>
        <v>#N/A</v>
      </c>
      <c r="AB115" s="284" t="e">
        <f>IF(VLOOKUP(T_Convention[[#This Row],[NumL]],T_TraitDi[#Data],COLUMN(T_TraitDi[Colonne4]),FALSE)=0,"",TEXT(IFERROR(VLOOKUP(T_Convention[[#This Row],[NumL]],T_TraitDi[#Data],COLUMN(T_TraitDi[Colonne4]),FALSE),""),"[hh]:mm"))</f>
        <v>#N/A</v>
      </c>
      <c r="AC115" s="284" t="e">
        <f>IF(VLOOKUP(T_Convention[[#This Row],[NumL]],T_TraitDi[#Data],COLUMN(T_TraitDi[Colonne5]),FALSE)=0,"",TEXT(IFERROR(VLOOKUP(T_Convention[[#This Row],[NumL]],T_TraitDi[#Data],COLUMN(T_TraitDi[Colonne5]),FALSE),""),"[hh]:mm"))</f>
        <v>#N/A</v>
      </c>
      <c r="AD115" s="284" t="e">
        <f>IF(VLOOKUP(T_Convention[[#This Row],[NumL]],T_TraitDi[#Data],COLUMN(T_TraitDi[Colonne6]),FALSE)=0,"",TEXT(IFERROR(VLOOKUP(T_Convention[[#This Row],[NumL]],T_TraitDi[#Data],COLUMN(T_TraitDi[Colonne6]),FALSE),""),"[hh]:mm"))</f>
        <v>#N/A</v>
      </c>
      <c r="AE115" s="284" t="e">
        <f>IF(VLOOKUP(T_Convention[[#This Row],[NumL]],T_TraitDi[#Data],COLUMN(T_TraitDi[Colonne7]),FALSE)=0,"",TEXT(IFERROR(VLOOKUP(T_Convention[[#This Row],[NumL]],T_TraitDi[#Data],COLUMN(T_TraitDi[Colonne7]),FALSE),""),"[hh]:mm"))</f>
        <v>#N/A</v>
      </c>
      <c r="AF115" s="284" t="e">
        <f>IF(VLOOKUP(T_Convention[[#This Row],[NumL]],T_TraitDi[#Data],COLUMN(T_TraitDi[Colonne8]),FALSE)=0,"",TEXT(IFERROR(VLOOKUP(T_Convention[[#This Row],[NumL]],T_TraitDi[#Data],COLUMN(T_TraitDi[Colonne8]),FALSE),""),"[hh]:mm"))</f>
        <v>#N/A</v>
      </c>
      <c r="AG115" s="284" t="str">
        <f>IFERROR(VLOOKUP(T_Convention[[#This Row],[NumL]],T_TraitDi[#Data],COLUMN(T_TraitDi[Mardi]),FALSE),"")</f>
        <v/>
      </c>
      <c r="AH115" s="284" t="e">
        <f>IF(VLOOKUP(T_Convention[[#This Row],[NumL]],T_TraitDi[#Data],COLUMN(T_TraitDi[Colonne1]),FALSE)=0,"",TEXT(IFERROR(VLOOKUP(T_Convention[[#This Row],[NumL]],T_TraitDi[#Data],COLUMN(T_TraitDi[Colonne1]),FALSE),""),"[hh]:mm"))</f>
        <v>#N/A</v>
      </c>
      <c r="AI115" s="284" t="e">
        <f>IF(VLOOKUP(T_Convention[[#This Row],[NumL]],T_TraitDi[#Data],COLUMN(T_TraitDi[Colonne9]),FALSE)=0,"",TEXT(IFERROR(VLOOKUP(T_Convention[[#This Row],[NumL]],T_TraitDi[#Data],COLUMN(T_TraitDi[Colonne9]),FALSE),""),"[hh]:mm"))</f>
        <v>#N/A</v>
      </c>
      <c r="AJ115" s="284" t="str">
        <f>IFERROR(VLOOKUP(T_Convention[[#This Row],[NumL]],T_TraitDi[#Data],COLUMN(T_TraitDi[Colonne10]),FALSE),"")</f>
        <v/>
      </c>
      <c r="AK115" s="284" t="e">
        <f>IF(VLOOKUP(T_Convention[[#This Row],[NumL]],T_TraitDi[#Data],COLUMN(T_TraitDi[Colonne11]),FALSE)=0,"",TEXT(IFERROR(VLOOKUP(T_Convention[[#This Row],[NumL]],T_TraitDi[#Data],COLUMN(T_TraitDi[Colonne11]),FALSE),""),"[hh]:mm"))</f>
        <v>#N/A</v>
      </c>
      <c r="AL115" s="284" t="e">
        <f>IF(VLOOKUP(T_Convention[[#This Row],[NumL]],T_TraitDi[#Data],COLUMN(T_TraitDi[Colonne12]),FALSE)=0,"",TEXT(IFERROR(VLOOKUP(T_Convention[[#This Row],[NumL]],T_TraitDi[#Data],COLUMN(T_TraitDi[Colonne12]),FALSE),""),"[hh]:mm"))</f>
        <v>#N/A</v>
      </c>
      <c r="AM115" s="284" t="e">
        <f>IF(VLOOKUP(T_Convention[[#This Row],[NumL]],T_TraitDi[#Data],COLUMN(T_TraitDi[Colonne14]),FALSE)=0,"",TEXT(IFERROR(VLOOKUP(T_Convention[[#This Row],[NumL]],T_TraitDi[#Data],COLUMN(T_TraitDi[Colonne14]),FALSE),""),"[hh]:mm"))</f>
        <v>#N/A</v>
      </c>
      <c r="AN115" s="284" t="str">
        <f>IFERROR(VLOOKUP(T_Convention[[#This Row],[NumL]],T_TraitDi[#Data],COLUMN(T_TraitDi[Mercredi]),FALSE),"")</f>
        <v/>
      </c>
      <c r="AO115" s="284" t="e">
        <f>IF(VLOOKUP(T_Convention[[#This Row],[NumL]],T_TraitDi[#Data],COLUMN(T_TraitDi[Colonne15]),FALSE)=0,"",TEXT(IFERROR(VLOOKUP(T_Convention[[#This Row],[NumL]],T_TraitDi[#Data],COLUMN(T_TraitDi[Colonne15]),FALSE),""),"[hh]:mm"))</f>
        <v>#N/A</v>
      </c>
      <c r="AP115" s="284" t="e">
        <f>IF(VLOOKUP(T_Convention[[#This Row],[NumL]],T_TraitDi[#Data],COLUMN(T_TraitDi[Colonne16]),FALSE)=0,"",TEXT(IFERROR(VLOOKUP(T_Convention[[#This Row],[NumL]],T_TraitDi[#Data],COLUMN(T_TraitDi[Colonne16]),FALSE),""),"[hh]:mm"))</f>
        <v>#N/A</v>
      </c>
      <c r="AQ115" s="284" t="str">
        <f>IFERROR(VLOOKUP(T_Convention[[#This Row],[NumL]],T_TraitDi[#Data],COLUMN(T_TraitDi[Colonne17]),FALSE),"")</f>
        <v/>
      </c>
      <c r="AR115" s="284" t="e">
        <f>IF(VLOOKUP(T_Convention[[#This Row],[NumL]],T_TraitDi[#Data],COLUMN(T_TraitDi[Colonne18]),FALSE)=0,"",TEXT(IFERROR(VLOOKUP(T_Convention[[#This Row],[NumL]],T_TraitDi[#Data],COLUMN(T_TraitDi[Colonne18]),FALSE),""),"[hh]:mm"))</f>
        <v>#N/A</v>
      </c>
      <c r="AS115" s="284" t="e">
        <f>IF(VLOOKUP(T_Convention[[#This Row],[NumL]],T_TraitDi[#Data],COLUMN(T_TraitDi[Colonne19]),FALSE)=0,"",TEXT(IFERROR(VLOOKUP(T_Convention[[#This Row],[NumL]],T_TraitDi[#Data],COLUMN(T_TraitDi[Colonne19]),FALSE),""),"[hh]:mm"))</f>
        <v>#N/A</v>
      </c>
      <c r="AT115" s="284" t="e">
        <f>IF(VLOOKUP(T_Convention[[#This Row],[NumL]],T_TraitDi[#Data],COLUMN(T_TraitDi[Colonne20]),FALSE)=0,"",TEXT(IFERROR(VLOOKUP(T_Convention[[#This Row],[NumL]],T_TraitDi[#Data],COLUMN(T_TraitDi[Colonne20]),FALSE),""),"[hh]:mm"))</f>
        <v>#N/A</v>
      </c>
      <c r="AU115" s="284" t="str">
        <f>IFERROR(VLOOKUP(T_Convention[[#This Row],[NumL]],T_TraitDi[#Data],COLUMN(T_TraitDi[Jeudi]),FALSE),"")</f>
        <v/>
      </c>
      <c r="AV115" s="284" t="e">
        <f>IF(VLOOKUP(T_Convention[[#This Row],[NumL]],T_TraitDi[#Data],COLUMN(T_TraitDi[Colonne21]),FALSE)=0,"",TEXT(IFERROR(VLOOKUP(T_Convention[[#This Row],[NumL]],T_TraitDi[#Data],COLUMN(T_TraitDi[Colonne21]),FALSE),""),"[hh]:mm"))</f>
        <v>#N/A</v>
      </c>
      <c r="AW115" s="284" t="e">
        <f>IF(VLOOKUP(T_Convention[[#This Row],[NumL]],T_TraitDi[#Data],COLUMN(T_TraitDi[Colonne22]),FALSE)=0,"",TEXT(IFERROR(VLOOKUP(T_Convention[[#This Row],[NumL]],T_TraitDi[#Data],COLUMN(T_TraitDi[Colonne22]),FALSE),""),"[hh]:mm"))</f>
        <v>#N/A</v>
      </c>
      <c r="AX115" s="284" t="str">
        <f>IFERROR(VLOOKUP(T_Convention[[#This Row],[NumL]],T_TraitDi[#Data],COLUMN(T_TraitDi[Colonne23]),FALSE),"")</f>
        <v/>
      </c>
      <c r="AY115" s="284" t="e">
        <f>IF(VLOOKUP(T_Convention[[#This Row],[NumL]],T_TraitDi[#Data],COLUMN(T_TraitDi[Colonne24]),FALSE)=0,"",TEXT(IFERROR(VLOOKUP(T_Convention[[#This Row],[NumL]],T_TraitDi[#Data],COLUMN(T_TraitDi[Colonne24]),FALSE),""),"[hh]:mm"))</f>
        <v>#N/A</v>
      </c>
      <c r="AZ115" s="284" t="e">
        <f>IF(VLOOKUP(T_Convention[[#This Row],[NumL]],T_TraitDi[#Data],COLUMN(T_TraitDi[Colonne25]),FALSE)=0,"",TEXT(IFERROR(VLOOKUP(T_Convention[[#This Row],[NumL]],T_TraitDi[#Data],COLUMN(T_TraitDi[Colonne25]),FALSE),""),"[hh]:mm"))</f>
        <v>#N/A</v>
      </c>
      <c r="BA115" s="284" t="e">
        <f>IF(VLOOKUP(T_Convention[[#This Row],[NumL]],T_TraitDi[#Data],COLUMN(T_TraitDi[Colonne26]),FALSE)=0,"",TEXT(IFERROR(VLOOKUP(T_Convention[[#This Row],[NumL]],T_TraitDi[#Data],COLUMN(T_TraitDi[Colonne26]),FALSE),""),"[hh]:mm"))</f>
        <v>#N/A</v>
      </c>
      <c r="BB115" s="284" t="str">
        <f>IFERROR(VLOOKUP(T_Convention[[#This Row],[NumL]],T_TraitDi[#Data],COLUMN(T_TraitDi[Vendredi]),FALSE),"")</f>
        <v/>
      </c>
      <c r="BC115" s="284" t="e">
        <f>IF(VLOOKUP(T_Convention[[#This Row],[NumL]],T_TraitDi[#Data],COLUMN(T_TraitDi[Colonne27]),FALSE)=0,"",TEXT(IFERROR(VLOOKUP(T_Convention[[#This Row],[NumL]],T_TraitDi[#Data],COLUMN(T_TraitDi[Colonne27]),FALSE),""),"[hh]:mm"))</f>
        <v>#N/A</v>
      </c>
      <c r="BD115" s="284" t="e">
        <f>IF(VLOOKUP(T_Convention[[#This Row],[NumL]],T_TraitDi[#Data],COLUMN(T_TraitDi[Colonne28]),FALSE)=0,"",TEXT(IFERROR(VLOOKUP(T_Convention[[#This Row],[NumL]],T_TraitDi[#Data],COLUMN(T_TraitDi[Colonne28]),FALSE),""),"[hh]:mm"))</f>
        <v>#N/A</v>
      </c>
      <c r="BE115" s="284" t="str">
        <f>IFERROR(VLOOKUP(T_Convention[[#This Row],[NumL]],T_TraitDi[#Data],COLUMN(T_TraitDi[Colonne29]),FALSE),"")</f>
        <v/>
      </c>
      <c r="BF115" s="284" t="e">
        <f>IF(VLOOKUP(T_Convention[[#This Row],[NumL]],T_TraitDi[#Data],COLUMN(T_TraitDi[Colonne30]),FALSE)=0,"",TEXT(IFERROR(VLOOKUP(T_Convention[[#This Row],[NumL]],T_TraitDi[#Data],COLUMN(T_TraitDi[Colonne30]),FALSE),""),"[hh]:mm"))</f>
        <v>#N/A</v>
      </c>
      <c r="BG115" s="284" t="e">
        <f>IF(VLOOKUP(T_Convention[[#This Row],[NumL]],T_TraitDi[#Data],COLUMN(T_TraitDi[Colonne31]),FALSE)=0,"",TEXT(IFERROR(VLOOKUP(T_Convention[[#This Row],[NumL]],T_TraitDi[#Data],COLUMN(T_TraitDi[Colonne31]),FALSE),""),"[hh]:mm"))</f>
        <v>#N/A</v>
      </c>
      <c r="BH115" s="284" t="e">
        <f>IF(VLOOKUP(T_Convention[[#This Row],[NumL]],T_TraitDi[#Data],COLUMN(T_TraitDi[Colonne32]),FALSE)=0,"",TEXT(IFERROR(VLOOKUP(T_Convention[[#This Row],[NumL]],T_TraitDi[#Data],COLUMN(T_TraitDi[Colonne32]),FALSE),""),"[hh]:mm"))</f>
        <v>#N/A</v>
      </c>
      <c r="BI115" s="284" t="str">
        <f>IFERROR(VLOOKUP(T_Convention[[#This Row],[NumL]],T_TraitDi[#Data],COLUMN(T_TraitDi[NbJTW]),FALSE),"")</f>
        <v/>
      </c>
      <c r="BJ115" s="284" t="e">
        <f>IF(VLOOKUP(T_Convention[[#This Row],[NumL]],T_TraitDi[#Data],COLUMN(T_TraitDi[NbhTW]),FALSE)=0,"",TEXT(IFERROR(VLOOKUP(T_Convention[[#This Row],[NumL]],T_TraitDi[#Data],COLUMN(T_TraitDi[NbhTW]),FALSE),""),"[hh]:mm"))</f>
        <v>#N/A</v>
      </c>
      <c r="BK115" s="286" t="e">
        <f>IF(VLOOKUP(T_Convention[[#This Row],[NumL]],T_TraitDi[#Data],COLUMN(T_TraitDi[Nbhheb]),FALSE)=0,"",TEXT(IFERROR(VLOOKUP(T_Convention[[#This Row],[NumL]],T_TraitDi[#Data],COLUMN(T_TraitDi[Nbhheb]),FALSE),""),"[hh]:mm"))</f>
        <v>#N/A</v>
      </c>
      <c r="BL115" s="287" t="str">
        <f>IFERROR(VLOOKUP(VLOOKUP(T_Convention[[#This Row],[NumL]],T_TraitDi[#Data],COLUMN(T_TraitDi[Type1]),FALSE),TypeTW,2,FALSE),"")</f>
        <v/>
      </c>
      <c r="BM115" s="288" t="str">
        <f>IFERROR(VLOOKUP(T_Convention[[#This Row],[NumL]],T_TraitDi[#Data],COLUMN(T_TraitDi[Rue1]),FALSE),"")</f>
        <v/>
      </c>
      <c r="BN115" s="289" t="str">
        <f>IFERROR(VLOOKUP(T_Convention[[#This Row],[NumL]],T_TraitDi[#Data],COLUMN(T_TraitDi[CP1]),FALSE),"")</f>
        <v/>
      </c>
      <c r="BO115" s="282" t="str">
        <f>IFERROR(VLOOKUP(T_Convention[[#This Row],[NumL]],T_TraitDi[#Data],COLUMN(T_TraitDi[VILLE1]),FALSE),"")</f>
        <v/>
      </c>
      <c r="BP115" s="290" t="str">
        <f>IFERROR(VLOOKUP(VLOOKUP(T_Convention[[#This Row],[NumL]],T_TraitDi[#Data],COLUMN(T_TraitDi[Type2]),FALSE),TypeTW,2,FALSE),"")</f>
        <v/>
      </c>
      <c r="BQ115" s="182" t="str">
        <f>IFERROR(VLOOKUP(T_Convention[[#This Row],[NumL]],T_TraitDi[#Data],COLUMN(T_TraitDi[Rue2]),FALSE),"")</f>
        <v/>
      </c>
      <c r="BR115" s="173" t="str">
        <f>IFERROR(VLOOKUP(T_Convention[[#This Row],[NumL]],T_TraitDi[#Data],COLUMN(T_TraitDi[CP2]),FALSE),"")</f>
        <v/>
      </c>
      <c r="BS115" s="173" t="str">
        <f>IFERROR(VLOOKUP(T_Convention[[#This Row],[NumL]],T_TraitDi[#Data],COLUMN(T_TraitDi[VILLE2]),FALSE),"")</f>
        <v/>
      </c>
      <c r="BT115" s="182" t="str">
        <f>IF(VLOOKUP(T_Convention[[#This Row],[NumL]],T_Equipement[#Data],COLUMN(T_Equipement[PC]),FALSE)="","Aucun équipement spécifique directement lié au télétravail",VLOOKUP(T_Convention[[#This Row],[NumL]],T_Equipement[#Data],COLUMN(T_Equipement[PC]),FALSE))</f>
        <v>20-785</v>
      </c>
      <c r="BU115" s="166" t="str">
        <f>IFERROR(IF(VLOOKUP(T_Convention[[#This Row],[NumL]],T_TraitDi[#Data],COLUMN(T_TraitDi[Plan]),FALSE)="OK","Un planning spécifique de télétravail est annexé à la présente convention.",""),"")</f>
        <v/>
      </c>
      <c r="BV115" s="185" t="s">
        <v>3315</v>
      </c>
      <c r="BW115" s="164" t="e">
        <f>IF(VLOOKUP(T_Convention[[#This Row],[NumL]],T_suiviDi[#Data],COLUMN(T_suiviDi[Entité]),FALSE)="","",VLOOKUP(T_Convention[[#This Row],[NumL]],T_suiviDi[#Data],COLUMN(T_suiviDi[Entité]),FALSE))</f>
        <v>#N/A</v>
      </c>
      <c r="BX115" s="164" t="str">
        <f>IF(VLOOKUP(T_Convention[[#This Row],[NumL]],T_Commission[#Data],COLUMN(T_Commission[envoi confirm TW]),FALSE)="","",VLOOKUP(T_Convention[[#This Row],[NumL]],T_Commission[#Data],COLUMN(T_Commission[envoi confirm TW]),FALSE))</f>
        <v>Oui</v>
      </c>
      <c r="BY11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5" s="264">
        <f>VLOOKUP(T_Convention[[#This Row],[NumL]],T_Commission[#Data],COLUMN(T_Commission[Commentaire]),FALSE)</f>
        <v>0</v>
      </c>
      <c r="CA115" s="254" t="str">
        <f>IF(VLOOKUP(T_Convention[[#This Row],[NumL]],T_Commission[#Data],COLUMN(T_Commission[Encadrant Email]),FALSE)="","",VLOOKUP(T_Convention[[#This Row],[NumL]],T_Commission[#Data],COLUMN(T_Commission[Encadrant Email]),FALSE))</f>
        <v/>
      </c>
      <c r="CB115" s="352" t="e">
        <f>VLOOKUP(T_Convention[[#This Row],[NumL]],T_TraitDi[#Data],COLUMN(T_TraitDi[NbJTot]),FALSE)</f>
        <v>#N/A</v>
      </c>
      <c r="CC115" s="352" t="e">
        <f>VLOOKUP(T_Convention[[#This Row],[NumL]],T_TraitDi[#Data],COLUMN(T_TraitDi[Reg Ponct]),FALSE)</f>
        <v>#N/A</v>
      </c>
      <c r="CD115" s="348" t="str">
        <f>IF(T_Convention[[#This Row],[Final]]&lt;&gt;"",VLOOKUP(T_Convention[[#This Row],[NumL]],T_suiviDi[#Data],COLUMN((T_suiviDi[Statut])),FALSE),"")</f>
        <v/>
      </c>
    </row>
    <row r="116" spans="1:82" s="106" customFormat="1" ht="18.75" customHeight="1" x14ac:dyDescent="0.25">
      <c r="A116" s="160">
        <v>147</v>
      </c>
      <c r="B116" s="161" t="str">
        <f>VLOOKUP(T_Convention[[#This Row],[NumL]],T_Commission[#Data],COLUMN(T_Commission[FINAL]),FALSE)</f>
        <v/>
      </c>
      <c r="C116" s="162"/>
      <c r="D116" s="95" t="e">
        <f>IF(VLOOKUP(T_Convention[[#This Row],[NumL]],T_TraitDi[#Data],COLUMN(T_TraitDi[WebC]),FALSE)="","",VLOOKUP(T_Convention[[#This Row],[NumL]],T_TraitDi[#Data],COLUMN(T_TraitDi[WebC]),FALSE))</f>
        <v>#N/A</v>
      </c>
      <c r="E116" s="163" t="str">
        <f t="shared" si="5"/>
        <v>12 janvier 2021</v>
      </c>
      <c r="F116" s="282" t="str">
        <f>IF(T_Convention[[#This Row],[Final]]&lt;&gt;"",VLOOKUP(T_Convention[[#This Row],[NumL]],T_suiviDi[#Data],COLUMN((T_suiviDi[Civ.])),FALSE),"")</f>
        <v/>
      </c>
      <c r="G116" s="283" t="str">
        <f>IF(T_Convention[[#This Row],[Final]]&lt;&gt;"",VLOOKUP(T_Convention[[#This Row],[NumL]],T_suiviDi[#Data],COLUMN((T_suiviDi[Nom])),FALSE),"")</f>
        <v/>
      </c>
      <c r="H116" s="282" t="str">
        <f>IF(T_Convention[[#This Row],[Final]]&lt;&gt;"",VLOOKUP(T_Convention[[#This Row],[NumL]],T_suiviDi[#Data],COLUMN((T_suiviDi[Prénom])),FALSE),"")</f>
        <v/>
      </c>
      <c r="I116" s="282" t="e">
        <f>VLOOKUP(T_Convention[[#This Row],[NumL]],T_suiviDi[#Data],COLUMN((T_suiviDi[[#This Row],[Email]])),FALSE)</f>
        <v>#VALUE!</v>
      </c>
      <c r="J116" s="282" t="e">
        <f>IF(VLOOKUP(T_Convention[[#This Row],[NumL]],T_suiviDi[#Data],COLUMN(T_suiviDi[[#This Row],[Fonction]]),FALSE)="","",VLOOKUP(T_Convention[[#This Row],[NumL]],T_suiviDi[#Data],COLUMN(T_suiviDi[[#This Row],[Fonction]]),FALSE))</f>
        <v>#VALUE!</v>
      </c>
      <c r="K116" s="282" t="e">
        <f>IF(VLOOKUP(T_Convention[[#This Row],[NumL]],T_suiviDi[#Data],COLUMN(T_suiviDi[[#This Row],[Grade]]),FALSE)="","",VLOOKUP(T_Convention[[#This Row],[NumL]],T_suiviDi[#Data],COLUMN(T_suiviDi[[#This Row],[Grade]]),FALSE))</f>
        <v>#VALUE!</v>
      </c>
      <c r="L116" s="282" t="e">
        <f>IF(VLOOKUP(T_Convention[[#This Row],[NumL]],T_suiviDi[#Data],COLUMN(T_suiviDi[[#This Row],[Service ]]),FALSE)="","",VLOOKUP(T_Convention[[#This Row],[NumL]],T_suiviDi[#Data],COLUMN(T_suiviDi[[#This Row],[Service ]]),FALSE))</f>
        <v>#VALUE!</v>
      </c>
      <c r="M116" s="164" t="str">
        <f t="shared" si="6"/>
        <v>01 septembre 2021</v>
      </c>
      <c r="N116" s="164" t="str">
        <f t="shared" si="7"/>
        <v>30 novembre 2021</v>
      </c>
      <c r="O116" s="284" t="str">
        <f t="shared" si="8"/>
        <v>30 novembre 2021</v>
      </c>
      <c r="P116" s="282" t="e">
        <f>IF(VLOOKUP(T_Convention[[#This Row],[NumL]],T_TraitDi[#Data],COLUMN(T_TraitDi[M1]),FALSE)="","",VLOOKUP(T_Convention[[#This Row],[NumL]],T_TraitDi[#Data],COLUMN(T_TraitDi[M1]),FALSE))</f>
        <v>#N/A</v>
      </c>
      <c r="Q116" s="282" t="e">
        <f>IF(VLOOKUP(T_Convention[[#This Row],[NumL]],T_TraitDi[#Data],COLUMN(T_TraitDi[M2]),FALSE)="","",VLOOKUP(T_Convention[[#This Row],[NumL]],T_TraitDi[#Data],COLUMN(T_TraitDi[M2]),FALSE))</f>
        <v>#N/A</v>
      </c>
      <c r="R116" s="282" t="e">
        <f>IF(VLOOKUP(T_Convention[[#This Row],[NumL]],T_TraitDi[#Data],COLUMN(T_TraitDi[M3]),FALSE)="","",VLOOKUP(T_Convention[[#This Row],[NumL]],T_TraitDi[#Data],COLUMN(T_TraitDi[M3]),FALSE))</f>
        <v>#N/A</v>
      </c>
      <c r="S116" s="282" t="e">
        <f>IF(VLOOKUP(T_Convention[[#This Row],[NumL]],T_TraitDi[#Data],COLUMN(T_TraitDi[M4]),FALSE)="","",VLOOKUP(T_Convention[[#This Row],[NumL]],T_TraitDi[#Data],COLUMN(T_TraitDi[M4]),FALSE))</f>
        <v>#N/A</v>
      </c>
      <c r="T116" s="282" t="e">
        <f>IF(VLOOKUP(T_Convention[[#This Row],[NumL]],T_TraitDi[#Data],COLUMN(T_TraitDi[M5]),FALSE)="","",VLOOKUP(T_Convention[[#This Row],[NumL]],T_TraitDi[#Data],COLUMN(T_TraitDi[M5]),FALSE))</f>
        <v>#N/A</v>
      </c>
      <c r="U116" s="282" t="e">
        <f>IF(VLOOKUP(T_Convention[[#This Row],[NumL]],T_TraitDi[#Data],COLUMN(T_TraitDi[M6]),FALSE)="","",VLOOKUP(T_Convention[[#This Row],[NumL]],T_TraitDi[#Data],COLUMN(T_TraitDi[M6]),FALSE))</f>
        <v>#N/A</v>
      </c>
      <c r="V116" s="176" t="e">
        <f t="shared" si="9"/>
        <v>#N/A</v>
      </c>
      <c r="W116" s="284" t="str">
        <f>IFERROR(TEXT(VLOOKUP(T_Convention[[#This Row],[NumL]],T_TraitDi[#Data],COLUMN(T_TraitDi[Q2]),FALSE),"###%"),"")</f>
        <v/>
      </c>
      <c r="X116" s="97" t="e">
        <f>VLOOKUP(T_Convention[[#This Row],[NumL]],T_TraitDi[#Data],COLUMN(T_TraitDi[Reg Ponct]),FALSE)</f>
        <v>#N/A</v>
      </c>
      <c r="Y116" s="97" t="e">
        <f>VLOOKUP(T_Convention[NumL],T_TraitDi[#Data],COLUMN(T_TraitDi[Jours flottants]),FALSE)</f>
        <v>#N/A</v>
      </c>
      <c r="Z116" s="284" t="str">
        <f>IFERROR(VLOOKUP(T_Convention[[#This Row],[NumL]],T_TraitDi[#Data],COLUMN(T_TraitDi[Lundi]),FALSE),"")</f>
        <v/>
      </c>
      <c r="AA116" s="284" t="e">
        <f>IF(VLOOKUP(T_Convention[[#This Row],[NumL]],T_TraitDi[#Data],COLUMN(T_TraitDi[Colonne3]),FALSE)=0,"",TEXT(IFERROR(VLOOKUP(T_Convention[[#This Row],[NumL]],T_TraitDi[#Data],COLUMN(T_TraitDi[Colonne3]),FALSE),""),"[hh]:mm"))</f>
        <v>#N/A</v>
      </c>
      <c r="AB116" s="284" t="e">
        <f>IF(VLOOKUP(T_Convention[[#This Row],[NumL]],T_TraitDi[#Data],COLUMN(T_TraitDi[Colonne4]),FALSE)=0,"",TEXT(IFERROR(VLOOKUP(T_Convention[[#This Row],[NumL]],T_TraitDi[#Data],COLUMN(T_TraitDi[Colonne4]),FALSE),""),"[hh]:mm"))</f>
        <v>#N/A</v>
      </c>
      <c r="AC116" s="284" t="e">
        <f>IF(VLOOKUP(T_Convention[[#This Row],[NumL]],T_TraitDi[#Data],COLUMN(T_TraitDi[Colonne5]),FALSE)=0,"",TEXT(IFERROR(VLOOKUP(T_Convention[[#This Row],[NumL]],T_TraitDi[#Data],COLUMN(T_TraitDi[Colonne5]),FALSE),""),"[hh]:mm"))</f>
        <v>#N/A</v>
      </c>
      <c r="AD116" s="284" t="e">
        <f>IF(VLOOKUP(T_Convention[[#This Row],[NumL]],T_TraitDi[#Data],COLUMN(T_TraitDi[Colonne6]),FALSE)=0,"",TEXT(IFERROR(VLOOKUP(T_Convention[[#This Row],[NumL]],T_TraitDi[#Data],COLUMN(T_TraitDi[Colonne6]),FALSE),""),"[hh]:mm"))</f>
        <v>#N/A</v>
      </c>
      <c r="AE116" s="284" t="e">
        <f>IF(VLOOKUP(T_Convention[[#This Row],[NumL]],T_TraitDi[#Data],COLUMN(T_TraitDi[Colonne7]),FALSE)=0,"",TEXT(IFERROR(VLOOKUP(T_Convention[[#This Row],[NumL]],T_TraitDi[#Data],COLUMN(T_TraitDi[Colonne7]),FALSE),""),"[hh]:mm"))</f>
        <v>#N/A</v>
      </c>
      <c r="AF116" s="284" t="e">
        <f>IF(VLOOKUP(T_Convention[[#This Row],[NumL]],T_TraitDi[#Data],COLUMN(T_TraitDi[Colonne8]),FALSE)=0,"",TEXT(IFERROR(VLOOKUP(T_Convention[[#This Row],[NumL]],T_TraitDi[#Data],COLUMN(T_TraitDi[Colonne8]),FALSE),""),"[hh]:mm"))</f>
        <v>#N/A</v>
      </c>
      <c r="AG116" s="284" t="str">
        <f>IFERROR(VLOOKUP(T_Convention[[#This Row],[NumL]],T_TraitDi[#Data],COLUMN(T_TraitDi[Mardi]),FALSE),"")</f>
        <v/>
      </c>
      <c r="AH116" s="284" t="e">
        <f>IF(VLOOKUP(T_Convention[[#This Row],[NumL]],T_TraitDi[#Data],COLUMN(T_TraitDi[Colonne1]),FALSE)=0,"",TEXT(IFERROR(VLOOKUP(T_Convention[[#This Row],[NumL]],T_TraitDi[#Data],COLUMN(T_TraitDi[Colonne1]),FALSE),""),"[hh]:mm"))</f>
        <v>#N/A</v>
      </c>
      <c r="AI116" s="284" t="e">
        <f>IF(VLOOKUP(T_Convention[[#This Row],[NumL]],T_TraitDi[#Data],COLUMN(T_TraitDi[Colonne9]),FALSE)=0,"",TEXT(IFERROR(VLOOKUP(T_Convention[[#This Row],[NumL]],T_TraitDi[#Data],COLUMN(T_TraitDi[Colonne9]),FALSE),""),"[hh]:mm"))</f>
        <v>#N/A</v>
      </c>
      <c r="AJ116" s="284" t="str">
        <f>IFERROR(VLOOKUP(T_Convention[[#This Row],[NumL]],T_TraitDi[#Data],COLUMN(T_TraitDi[Colonne10]),FALSE),"")</f>
        <v/>
      </c>
      <c r="AK116" s="284" t="e">
        <f>IF(VLOOKUP(T_Convention[[#This Row],[NumL]],T_TraitDi[#Data],COLUMN(T_TraitDi[Colonne11]),FALSE)=0,"",TEXT(IFERROR(VLOOKUP(T_Convention[[#This Row],[NumL]],T_TraitDi[#Data],COLUMN(T_TraitDi[Colonne11]),FALSE),""),"[hh]:mm"))</f>
        <v>#N/A</v>
      </c>
      <c r="AL116" s="284" t="e">
        <f>IF(VLOOKUP(T_Convention[[#This Row],[NumL]],T_TraitDi[#Data],COLUMN(T_TraitDi[Colonne12]),FALSE)=0,"",TEXT(IFERROR(VLOOKUP(T_Convention[[#This Row],[NumL]],T_TraitDi[#Data],COLUMN(T_TraitDi[Colonne12]),FALSE),""),"[hh]:mm"))</f>
        <v>#N/A</v>
      </c>
      <c r="AM116" s="284" t="e">
        <f>IF(VLOOKUP(T_Convention[[#This Row],[NumL]],T_TraitDi[#Data],COLUMN(T_TraitDi[Colonne14]),FALSE)=0,"",TEXT(IFERROR(VLOOKUP(T_Convention[[#This Row],[NumL]],T_TraitDi[#Data],COLUMN(T_TraitDi[Colonne14]),FALSE),""),"[hh]:mm"))</f>
        <v>#N/A</v>
      </c>
      <c r="AN116" s="284" t="str">
        <f>IFERROR(VLOOKUP(T_Convention[[#This Row],[NumL]],T_TraitDi[#Data],COLUMN(T_TraitDi[Mercredi]),FALSE),"")</f>
        <v/>
      </c>
      <c r="AO116" s="284" t="e">
        <f>IF(VLOOKUP(T_Convention[[#This Row],[NumL]],T_TraitDi[#Data],COLUMN(T_TraitDi[Colonne15]),FALSE)=0,"",TEXT(IFERROR(VLOOKUP(T_Convention[[#This Row],[NumL]],T_TraitDi[#Data],COLUMN(T_TraitDi[Colonne15]),FALSE),""),"[hh]:mm"))</f>
        <v>#N/A</v>
      </c>
      <c r="AP116" s="284" t="e">
        <f>IF(VLOOKUP(T_Convention[[#This Row],[NumL]],T_TraitDi[#Data],COLUMN(T_TraitDi[Colonne16]),FALSE)=0,"",TEXT(IFERROR(VLOOKUP(T_Convention[[#This Row],[NumL]],T_TraitDi[#Data],COLUMN(T_TraitDi[Colonne16]),FALSE),""),"[hh]:mm"))</f>
        <v>#N/A</v>
      </c>
      <c r="AQ116" s="284" t="str">
        <f>IFERROR(VLOOKUP(T_Convention[[#This Row],[NumL]],T_TraitDi[#Data],COLUMN(T_TraitDi[Colonne17]),FALSE),"")</f>
        <v/>
      </c>
      <c r="AR116" s="284" t="e">
        <f>IF(VLOOKUP(T_Convention[[#This Row],[NumL]],T_TraitDi[#Data],COLUMN(T_TraitDi[Colonne18]),FALSE)=0,"",TEXT(IFERROR(VLOOKUP(T_Convention[[#This Row],[NumL]],T_TraitDi[#Data],COLUMN(T_TraitDi[Colonne18]),FALSE),""),"[hh]:mm"))</f>
        <v>#N/A</v>
      </c>
      <c r="AS116" s="284" t="e">
        <f>IF(VLOOKUP(T_Convention[[#This Row],[NumL]],T_TraitDi[#Data],COLUMN(T_TraitDi[Colonne19]),FALSE)=0,"",TEXT(IFERROR(VLOOKUP(T_Convention[[#This Row],[NumL]],T_TraitDi[#Data],COLUMN(T_TraitDi[Colonne19]),FALSE),""),"[hh]:mm"))</f>
        <v>#N/A</v>
      </c>
      <c r="AT116" s="284" t="e">
        <f>IF(VLOOKUP(T_Convention[[#This Row],[NumL]],T_TraitDi[#Data],COLUMN(T_TraitDi[Colonne20]),FALSE)=0,"",TEXT(IFERROR(VLOOKUP(T_Convention[[#This Row],[NumL]],T_TraitDi[#Data],COLUMN(T_TraitDi[Colonne20]),FALSE),""),"[hh]:mm"))</f>
        <v>#N/A</v>
      </c>
      <c r="AU116" s="284" t="str">
        <f>IFERROR(VLOOKUP(T_Convention[[#This Row],[NumL]],T_TraitDi[#Data],COLUMN(T_TraitDi[Jeudi]),FALSE),"")</f>
        <v/>
      </c>
      <c r="AV116" s="284" t="e">
        <f>IF(VLOOKUP(T_Convention[[#This Row],[NumL]],T_TraitDi[#Data],COLUMN(T_TraitDi[Colonne21]),FALSE)=0,"",TEXT(IFERROR(VLOOKUP(T_Convention[[#This Row],[NumL]],T_TraitDi[#Data],COLUMN(T_TraitDi[Colonne21]),FALSE),""),"[hh]:mm"))</f>
        <v>#N/A</v>
      </c>
      <c r="AW116" s="284" t="e">
        <f>IF(VLOOKUP(T_Convention[[#This Row],[NumL]],T_TraitDi[#Data],COLUMN(T_TraitDi[Colonne22]),FALSE)=0,"",TEXT(IFERROR(VLOOKUP(T_Convention[[#This Row],[NumL]],T_TraitDi[#Data],COLUMN(T_TraitDi[Colonne22]),FALSE),""),"[hh]:mm"))</f>
        <v>#N/A</v>
      </c>
      <c r="AX116" s="284" t="str">
        <f>IFERROR(VLOOKUP(T_Convention[[#This Row],[NumL]],T_TraitDi[#Data],COLUMN(T_TraitDi[Colonne23]),FALSE),"")</f>
        <v/>
      </c>
      <c r="AY116" s="284" t="e">
        <f>IF(VLOOKUP(T_Convention[[#This Row],[NumL]],T_TraitDi[#Data],COLUMN(T_TraitDi[Colonne24]),FALSE)=0,"",TEXT(IFERROR(VLOOKUP(T_Convention[[#This Row],[NumL]],T_TraitDi[#Data],COLUMN(T_TraitDi[Colonne24]),FALSE),""),"[hh]:mm"))</f>
        <v>#N/A</v>
      </c>
      <c r="AZ116" s="284" t="e">
        <f>IF(VLOOKUP(T_Convention[[#This Row],[NumL]],T_TraitDi[#Data],COLUMN(T_TraitDi[Colonne25]),FALSE)=0,"",TEXT(IFERROR(VLOOKUP(T_Convention[[#This Row],[NumL]],T_TraitDi[#Data],COLUMN(T_TraitDi[Colonne25]),FALSE),""),"[hh]:mm"))</f>
        <v>#N/A</v>
      </c>
      <c r="BA116" s="284" t="e">
        <f>IF(VLOOKUP(T_Convention[[#This Row],[NumL]],T_TraitDi[#Data],COLUMN(T_TraitDi[Colonne26]),FALSE)=0,"",TEXT(IFERROR(VLOOKUP(T_Convention[[#This Row],[NumL]],T_TraitDi[#Data],COLUMN(T_TraitDi[Colonne26]),FALSE),""),"[hh]:mm"))</f>
        <v>#N/A</v>
      </c>
      <c r="BB116" s="284" t="str">
        <f>IFERROR(VLOOKUP(T_Convention[[#This Row],[NumL]],T_TraitDi[#Data],COLUMN(T_TraitDi[Vendredi]),FALSE),"")</f>
        <v/>
      </c>
      <c r="BC116" s="284" t="e">
        <f>IF(VLOOKUP(T_Convention[[#This Row],[NumL]],T_TraitDi[#Data],COLUMN(T_TraitDi[Colonne27]),FALSE)=0,"",TEXT(IFERROR(VLOOKUP(T_Convention[[#This Row],[NumL]],T_TraitDi[#Data],COLUMN(T_TraitDi[Colonne27]),FALSE),""),"[hh]:mm"))</f>
        <v>#N/A</v>
      </c>
      <c r="BD116" s="284" t="e">
        <f>IF(VLOOKUP(T_Convention[[#This Row],[NumL]],T_TraitDi[#Data],COLUMN(T_TraitDi[Colonne28]),FALSE)=0,"",TEXT(IFERROR(VLOOKUP(T_Convention[[#This Row],[NumL]],T_TraitDi[#Data],COLUMN(T_TraitDi[Colonne28]),FALSE),""),"[hh]:mm"))</f>
        <v>#N/A</v>
      </c>
      <c r="BE116" s="284" t="str">
        <f>IFERROR(VLOOKUP(T_Convention[[#This Row],[NumL]],T_TraitDi[#Data],COLUMN(T_TraitDi[Colonne29]),FALSE),"")</f>
        <v/>
      </c>
      <c r="BF116" s="284" t="e">
        <f>IF(VLOOKUP(T_Convention[[#This Row],[NumL]],T_TraitDi[#Data],COLUMN(T_TraitDi[Colonne30]),FALSE)=0,"",TEXT(IFERROR(VLOOKUP(T_Convention[[#This Row],[NumL]],T_TraitDi[#Data],COLUMN(T_TraitDi[Colonne30]),FALSE),""),"[hh]:mm"))</f>
        <v>#N/A</v>
      </c>
      <c r="BG116" s="284" t="e">
        <f>IF(VLOOKUP(T_Convention[[#This Row],[NumL]],T_TraitDi[#Data],COLUMN(T_TraitDi[Colonne31]),FALSE)=0,"",TEXT(IFERROR(VLOOKUP(T_Convention[[#This Row],[NumL]],T_TraitDi[#Data],COLUMN(T_TraitDi[Colonne31]),FALSE),""),"[hh]:mm"))</f>
        <v>#N/A</v>
      </c>
      <c r="BH116" s="284" t="e">
        <f>IF(VLOOKUP(T_Convention[[#This Row],[NumL]],T_TraitDi[#Data],COLUMN(T_TraitDi[Colonne32]),FALSE)=0,"",TEXT(IFERROR(VLOOKUP(T_Convention[[#This Row],[NumL]],T_TraitDi[#Data],COLUMN(T_TraitDi[Colonne32]),FALSE),""),"[hh]:mm"))</f>
        <v>#N/A</v>
      </c>
      <c r="BI116" s="284" t="str">
        <f>IFERROR(VLOOKUP(T_Convention[[#This Row],[NumL]],T_TraitDi[#Data],COLUMN(T_TraitDi[NbJTW]),FALSE),"")</f>
        <v/>
      </c>
      <c r="BJ116" s="284" t="e">
        <f>IF(VLOOKUP(T_Convention[[#This Row],[NumL]],T_TraitDi[#Data],COLUMN(T_TraitDi[NbhTW]),FALSE)=0,"",TEXT(IFERROR(VLOOKUP(T_Convention[[#This Row],[NumL]],T_TraitDi[#Data],COLUMN(T_TraitDi[NbhTW]),FALSE),""),"[hh]:mm"))</f>
        <v>#N/A</v>
      </c>
      <c r="BK116" s="286" t="e">
        <f>IF(VLOOKUP(T_Convention[[#This Row],[NumL]],T_TraitDi[#Data],COLUMN(T_TraitDi[Nbhheb]),FALSE)=0,"",TEXT(IFERROR(VLOOKUP(T_Convention[[#This Row],[NumL]],T_TraitDi[#Data],COLUMN(T_TraitDi[Nbhheb]),FALSE),""),"[hh]:mm"))</f>
        <v>#N/A</v>
      </c>
      <c r="BL116" s="287" t="str">
        <f>IFERROR(VLOOKUP(VLOOKUP(T_Convention[[#This Row],[NumL]],T_TraitDi[#Data],COLUMN(T_TraitDi[Type1]),FALSE),TypeTW,2,FALSE),"")</f>
        <v/>
      </c>
      <c r="BM116" s="288" t="str">
        <f>IFERROR(VLOOKUP(T_Convention[[#This Row],[NumL]],T_TraitDi[#Data],COLUMN(T_TraitDi[Rue1]),FALSE),"")</f>
        <v/>
      </c>
      <c r="BN116" s="289" t="str">
        <f>IFERROR(VLOOKUP(T_Convention[[#This Row],[NumL]],T_TraitDi[#Data],COLUMN(T_TraitDi[CP1]),FALSE),"")</f>
        <v/>
      </c>
      <c r="BO116" s="282" t="str">
        <f>IFERROR(VLOOKUP(T_Convention[[#This Row],[NumL]],T_TraitDi[#Data],COLUMN(T_TraitDi[VILLE1]),FALSE),"")</f>
        <v/>
      </c>
      <c r="BP116" s="290" t="str">
        <f>IFERROR(VLOOKUP(VLOOKUP(T_Convention[[#This Row],[NumL]],T_TraitDi[#Data],COLUMN(T_TraitDi[Type2]),FALSE),TypeTW,2,FALSE),"")</f>
        <v/>
      </c>
      <c r="BQ116" s="182" t="str">
        <f>IFERROR(VLOOKUP(T_Convention[[#This Row],[NumL]],T_TraitDi[#Data],COLUMN(T_TraitDi[Rue2]),FALSE),"")</f>
        <v/>
      </c>
      <c r="BR116" s="173" t="str">
        <f>IFERROR(VLOOKUP(T_Convention[[#This Row],[NumL]],T_TraitDi[#Data],COLUMN(T_TraitDi[CP2]),FALSE),"")</f>
        <v/>
      </c>
      <c r="BS116" s="173" t="str">
        <f>IFERROR(VLOOKUP(T_Convention[[#This Row],[NumL]],T_TraitDi[#Data],COLUMN(T_TraitDi[VILLE2]),FALSE),"")</f>
        <v/>
      </c>
      <c r="BT116" s="182" t="str">
        <f>IF(VLOOKUP(T_Convention[[#This Row],[NumL]],T_Equipement[#Data],COLUMN(T_Equipement[PC]),FALSE)="","Aucun équipement spécifique directement lié au télétravail",VLOOKUP(T_Convention[[#This Row],[NumL]],T_Equipement[#Data],COLUMN(T_Equipement[PC]),FALSE))</f>
        <v xml:space="preserve">19-582	</v>
      </c>
      <c r="BU116" s="166" t="str">
        <f>IFERROR(IF(VLOOKUP(T_Convention[[#This Row],[NumL]],T_TraitDi[#Data],COLUMN(T_TraitDi[Plan]),FALSE)="OK","Un planning spécifique de télétravail est annexé à la présente convention.",""),"")</f>
        <v/>
      </c>
      <c r="BV116" s="185" t="s">
        <v>3384</v>
      </c>
      <c r="BW116" s="164" t="e">
        <f>IF(VLOOKUP(T_Convention[[#This Row],[NumL]],T_suiviDi[#Data],COLUMN(T_suiviDi[Entité]),FALSE)="","",VLOOKUP(T_Convention[[#This Row],[NumL]],T_suiviDi[#Data],COLUMN(T_suiviDi[Entité]),FALSE))</f>
        <v>#N/A</v>
      </c>
      <c r="BX116" s="164" t="str">
        <f>IF(VLOOKUP(T_Convention[[#This Row],[NumL]],T_Commission[#Data],COLUMN(T_Commission[envoi confirm TW]),FALSE)="","",VLOOKUP(T_Convention[[#This Row],[NumL]],T_Commission[#Data],COLUMN(T_Commission[envoi confirm TW]),FALSE))</f>
        <v>Oui</v>
      </c>
      <c r="BY11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6" s="264">
        <f>VLOOKUP(T_Convention[[#This Row],[NumL]],T_Commission[#Data],COLUMN(T_Commission[Commentaire]),FALSE)</f>
        <v>0</v>
      </c>
      <c r="CA116" s="254" t="str">
        <f>IF(VLOOKUP(T_Convention[[#This Row],[NumL]],T_Commission[#Data],COLUMN(T_Commission[Encadrant Email]),FALSE)="","",VLOOKUP(T_Convention[[#This Row],[NumL]],T_Commission[#Data],COLUMN(T_Commission[Encadrant Email]),FALSE))</f>
        <v/>
      </c>
      <c r="CB116" s="352" t="e">
        <f>VLOOKUP(T_Convention[[#This Row],[NumL]],T_TraitDi[#Data],COLUMN(T_TraitDi[NbJTot]),FALSE)</f>
        <v>#N/A</v>
      </c>
      <c r="CC116" s="352" t="e">
        <f>VLOOKUP(T_Convention[[#This Row],[NumL]],T_TraitDi[#Data],COLUMN(T_TraitDi[Reg Ponct]),FALSE)</f>
        <v>#N/A</v>
      </c>
      <c r="CD116" s="348" t="str">
        <f>IF(T_Convention[[#This Row],[Final]]&lt;&gt;"",VLOOKUP(T_Convention[[#This Row],[NumL]],T_suiviDi[#Data],COLUMN((T_suiviDi[Statut])),FALSE),"")</f>
        <v/>
      </c>
    </row>
    <row r="117" spans="1:82" s="106" customFormat="1" ht="18.75" customHeight="1" x14ac:dyDescent="0.25">
      <c r="A117" s="160">
        <v>333</v>
      </c>
      <c r="B117" s="281" t="str">
        <f>VLOOKUP(T_Convention[[#This Row],[NumL]],T_Commission[#Data],COLUMN(T_Commission[FINAL]),FALSE)</f>
        <v/>
      </c>
      <c r="C117" s="162"/>
      <c r="D117" s="95" t="e">
        <f>IF(VLOOKUP(T_Convention[[#This Row],[NumL]],T_TraitDi[#Data],COLUMN(T_TraitDi[WebC]),FALSE)="","",VLOOKUP(T_Convention[[#This Row],[NumL]],T_TraitDi[#Data],COLUMN(T_TraitDi[WebC]),FALSE))</f>
        <v>#N/A</v>
      </c>
      <c r="E117" s="163" t="str">
        <f t="shared" si="5"/>
        <v>12 janvier 2021</v>
      </c>
      <c r="F117" s="282" t="str">
        <f>IF(T_Convention[[#This Row],[Final]]&lt;&gt;"",VLOOKUP(T_Convention[[#This Row],[NumL]],T_suiviDi[#Data],COLUMN((T_suiviDi[Civ.])),FALSE),"")</f>
        <v/>
      </c>
      <c r="G117" s="283" t="str">
        <f>IF(T_Convention[[#This Row],[Final]]&lt;&gt;"",VLOOKUP(T_Convention[[#This Row],[NumL]],T_suiviDi[#Data],COLUMN((T_suiviDi[Nom])),FALSE),"")</f>
        <v/>
      </c>
      <c r="H117" s="282" t="str">
        <f>IF(T_Convention[[#This Row],[Final]]&lt;&gt;"",VLOOKUP(T_Convention[[#This Row],[NumL]],T_suiviDi[#Data],COLUMN((T_suiviDi[Prénom])),FALSE),"")</f>
        <v/>
      </c>
      <c r="I117" s="282" t="e">
        <f>VLOOKUP(T_Convention[[#This Row],[NumL]],T_suiviDi[#Data],COLUMN((T_suiviDi[[#This Row],[Email]])),FALSE)</f>
        <v>#VALUE!</v>
      </c>
      <c r="J117" s="282" t="e">
        <f>IF(VLOOKUP(T_Convention[[#This Row],[NumL]],T_suiviDi[#Data],COLUMN(T_suiviDi[[#This Row],[Fonction]]),FALSE)="","",VLOOKUP(T_Convention[[#This Row],[NumL]],T_suiviDi[#Data],COLUMN(T_suiviDi[[#This Row],[Fonction]]),FALSE))</f>
        <v>#VALUE!</v>
      </c>
      <c r="K117" s="282" t="e">
        <f>IF(VLOOKUP(T_Convention[[#This Row],[NumL]],T_suiviDi[#Data],COLUMN(T_suiviDi[[#This Row],[Grade]]),FALSE)="","",VLOOKUP(T_Convention[[#This Row],[NumL]],T_suiviDi[#Data],COLUMN(T_suiviDi[[#This Row],[Grade]]),FALSE))</f>
        <v>#VALUE!</v>
      </c>
      <c r="L117" s="282" t="e">
        <f>IF(VLOOKUP(T_Convention[[#This Row],[NumL]],T_suiviDi[#Data],COLUMN(T_suiviDi[[#This Row],[Service ]]),FALSE)="","",VLOOKUP(T_Convention[[#This Row],[NumL]],T_suiviDi[#Data],COLUMN(T_suiviDi[[#This Row],[Service ]]),FALSE))</f>
        <v>#VALUE!</v>
      </c>
      <c r="M117" s="314" t="str">
        <f t="shared" si="6"/>
        <v>01 septembre 2021</v>
      </c>
      <c r="N117" s="314" t="str">
        <f t="shared" si="7"/>
        <v>30 novembre 2021</v>
      </c>
      <c r="O117" s="284" t="str">
        <f t="shared" si="8"/>
        <v>30 novembre 2021</v>
      </c>
      <c r="P117" s="282" t="e">
        <f>IF(VLOOKUP(T_Convention[[#This Row],[NumL]],T_TraitDi[#Data],COLUMN(T_TraitDi[M1]),FALSE)="","",VLOOKUP(T_Convention[[#This Row],[NumL]],T_TraitDi[#Data],COLUMN(T_TraitDi[M1]),FALSE))</f>
        <v>#N/A</v>
      </c>
      <c r="Q117" s="282" t="e">
        <f>IF(VLOOKUP(T_Convention[[#This Row],[NumL]],T_TraitDi[#Data],COLUMN(T_TraitDi[M2]),FALSE)="","",VLOOKUP(T_Convention[[#This Row],[NumL]],T_TraitDi[#Data],COLUMN(T_TraitDi[M2]),FALSE))</f>
        <v>#N/A</v>
      </c>
      <c r="R117" s="282" t="e">
        <f>IF(VLOOKUP(T_Convention[[#This Row],[NumL]],T_TraitDi[#Data],COLUMN(T_TraitDi[M3]),FALSE)="","",VLOOKUP(T_Convention[[#This Row],[NumL]],T_TraitDi[#Data],COLUMN(T_TraitDi[M3]),FALSE))</f>
        <v>#N/A</v>
      </c>
      <c r="S117" s="282" t="e">
        <f>IF(VLOOKUP(T_Convention[[#This Row],[NumL]],T_TraitDi[#Data],COLUMN(T_TraitDi[M4]),FALSE)="","",VLOOKUP(T_Convention[[#This Row],[NumL]],T_TraitDi[#Data],COLUMN(T_TraitDi[M4]),FALSE))</f>
        <v>#N/A</v>
      </c>
      <c r="T117" s="282" t="e">
        <f>IF(VLOOKUP(T_Convention[[#This Row],[NumL]],T_TraitDi[#Data],COLUMN(T_TraitDi[M5]),FALSE)="","",VLOOKUP(T_Convention[[#This Row],[NumL]],T_TraitDi[#Data],COLUMN(T_TraitDi[M5]),FALSE))</f>
        <v>#N/A</v>
      </c>
      <c r="U117" s="282" t="e">
        <f>IF(VLOOKUP(T_Convention[[#This Row],[NumL]],T_TraitDi[#Data],COLUMN(T_TraitDi[M6]),FALSE)="","",VLOOKUP(T_Convention[[#This Row],[NumL]],T_TraitDi[#Data],COLUMN(T_TraitDi[M6]),FALSE))</f>
        <v>#N/A</v>
      </c>
      <c r="V117" s="314" t="e">
        <f t="shared" si="9"/>
        <v>#N/A</v>
      </c>
      <c r="W117" s="284" t="str">
        <f>IFERROR(TEXT(VLOOKUP(T_Convention[[#This Row],[NumL]],T_TraitDi[#Data],COLUMN(T_TraitDi[Q2]),FALSE),"###%"),"")</f>
        <v/>
      </c>
      <c r="X117" s="285" t="e">
        <f>VLOOKUP(T_Convention[[#This Row],[NumL]],T_TraitDi[#Data],COLUMN(T_TraitDi[Reg Ponct]),FALSE)</f>
        <v>#N/A</v>
      </c>
      <c r="Y117" s="285" t="e">
        <f>VLOOKUP(T_Convention[NumL],T_TraitDi[#Data],COLUMN(T_TraitDi[Jours flottants]),FALSE)</f>
        <v>#N/A</v>
      </c>
      <c r="Z117" s="284" t="str">
        <f>IFERROR(VLOOKUP(T_Convention[[#This Row],[NumL]],T_TraitDi[#Data],COLUMN(T_TraitDi[Lundi]),FALSE),"")</f>
        <v/>
      </c>
      <c r="AA117" s="284" t="e">
        <f>IF(VLOOKUP(T_Convention[[#This Row],[NumL]],T_TraitDi[#Data],COLUMN(T_TraitDi[Colonne3]),FALSE)=0,"",TEXT(IFERROR(VLOOKUP(T_Convention[[#This Row],[NumL]],T_TraitDi[#Data],COLUMN(T_TraitDi[Colonne3]),FALSE),""),"[hh]:mm"))</f>
        <v>#N/A</v>
      </c>
      <c r="AB117" s="284" t="e">
        <f>IF(VLOOKUP(T_Convention[[#This Row],[NumL]],T_TraitDi[#Data],COLUMN(T_TraitDi[Colonne4]),FALSE)=0,"",TEXT(IFERROR(VLOOKUP(T_Convention[[#This Row],[NumL]],T_TraitDi[#Data],COLUMN(T_TraitDi[Colonne4]),FALSE),""),"[hh]:mm"))</f>
        <v>#N/A</v>
      </c>
      <c r="AC117" s="284" t="e">
        <f>IF(VLOOKUP(T_Convention[[#This Row],[NumL]],T_TraitDi[#Data],COLUMN(T_TraitDi[Colonne5]),FALSE)=0,"",TEXT(IFERROR(VLOOKUP(T_Convention[[#This Row],[NumL]],T_TraitDi[#Data],COLUMN(T_TraitDi[Colonne5]),FALSE),""),"[hh]:mm"))</f>
        <v>#N/A</v>
      </c>
      <c r="AD117" s="284" t="e">
        <f>IF(VLOOKUP(T_Convention[[#This Row],[NumL]],T_TraitDi[#Data],COLUMN(T_TraitDi[Colonne6]),FALSE)=0,"",TEXT(IFERROR(VLOOKUP(T_Convention[[#This Row],[NumL]],T_TraitDi[#Data],COLUMN(T_TraitDi[Colonne6]),FALSE),""),"[hh]:mm"))</f>
        <v>#N/A</v>
      </c>
      <c r="AE117" s="284" t="e">
        <f>IF(VLOOKUP(T_Convention[[#This Row],[NumL]],T_TraitDi[#Data],COLUMN(T_TraitDi[Colonne7]),FALSE)=0,"",TEXT(IFERROR(VLOOKUP(T_Convention[[#This Row],[NumL]],T_TraitDi[#Data],COLUMN(T_TraitDi[Colonne7]),FALSE),""),"[hh]:mm"))</f>
        <v>#N/A</v>
      </c>
      <c r="AF117" s="284" t="e">
        <f>IF(VLOOKUP(T_Convention[[#This Row],[NumL]],T_TraitDi[#Data],COLUMN(T_TraitDi[Colonne8]),FALSE)=0,"",TEXT(IFERROR(VLOOKUP(T_Convention[[#This Row],[NumL]],T_TraitDi[#Data],COLUMN(T_TraitDi[Colonne8]),FALSE),""),"[hh]:mm"))</f>
        <v>#N/A</v>
      </c>
      <c r="AG117" s="284" t="str">
        <f>IFERROR(VLOOKUP(T_Convention[[#This Row],[NumL]],T_TraitDi[#Data],COLUMN(T_TraitDi[Mardi]),FALSE),"")</f>
        <v/>
      </c>
      <c r="AH117" s="284" t="e">
        <f>IF(VLOOKUP(T_Convention[[#This Row],[NumL]],T_TraitDi[#Data],COLUMN(T_TraitDi[Colonne1]),FALSE)=0,"",TEXT(IFERROR(VLOOKUP(T_Convention[[#This Row],[NumL]],T_TraitDi[#Data],COLUMN(T_TraitDi[Colonne1]),FALSE),""),"[hh]:mm"))</f>
        <v>#N/A</v>
      </c>
      <c r="AI117" s="284" t="e">
        <f>IF(VLOOKUP(T_Convention[[#This Row],[NumL]],T_TraitDi[#Data],COLUMN(T_TraitDi[Colonne9]),FALSE)=0,"",TEXT(IFERROR(VLOOKUP(T_Convention[[#This Row],[NumL]],T_TraitDi[#Data],COLUMN(T_TraitDi[Colonne9]),FALSE),""),"[hh]:mm"))</f>
        <v>#N/A</v>
      </c>
      <c r="AJ117" s="284" t="str">
        <f>IFERROR(VLOOKUP(T_Convention[[#This Row],[NumL]],T_TraitDi[#Data],COLUMN(T_TraitDi[Colonne10]),FALSE),"")</f>
        <v/>
      </c>
      <c r="AK117" s="284" t="e">
        <f>IF(VLOOKUP(T_Convention[[#This Row],[NumL]],T_TraitDi[#Data],COLUMN(T_TraitDi[Colonne11]),FALSE)=0,"",TEXT(IFERROR(VLOOKUP(T_Convention[[#This Row],[NumL]],T_TraitDi[#Data],COLUMN(T_TraitDi[Colonne11]),FALSE),""),"[hh]:mm"))</f>
        <v>#N/A</v>
      </c>
      <c r="AL117" s="284" t="e">
        <f>IF(VLOOKUP(T_Convention[[#This Row],[NumL]],T_TraitDi[#Data],COLUMN(T_TraitDi[Colonne12]),FALSE)=0,"",TEXT(IFERROR(VLOOKUP(T_Convention[[#This Row],[NumL]],T_TraitDi[#Data],COLUMN(T_TraitDi[Colonne12]),FALSE),""),"[hh]:mm"))</f>
        <v>#N/A</v>
      </c>
      <c r="AM117" s="284" t="e">
        <f>IF(VLOOKUP(T_Convention[[#This Row],[NumL]],T_TraitDi[#Data],COLUMN(T_TraitDi[Colonne14]),FALSE)=0,"",TEXT(IFERROR(VLOOKUP(T_Convention[[#This Row],[NumL]],T_TraitDi[#Data],COLUMN(T_TraitDi[Colonne14]),FALSE),""),"[hh]:mm"))</f>
        <v>#N/A</v>
      </c>
      <c r="AN117" s="284" t="str">
        <f>IFERROR(VLOOKUP(T_Convention[[#This Row],[NumL]],T_TraitDi[#Data],COLUMN(T_TraitDi[Mercredi]),FALSE),"")</f>
        <v/>
      </c>
      <c r="AO117" s="284" t="e">
        <f>IF(VLOOKUP(T_Convention[[#This Row],[NumL]],T_TraitDi[#Data],COLUMN(T_TraitDi[Colonne15]),FALSE)=0,"",TEXT(IFERROR(VLOOKUP(T_Convention[[#This Row],[NumL]],T_TraitDi[#Data],COLUMN(T_TraitDi[Colonne15]),FALSE),""),"[hh]:mm"))</f>
        <v>#N/A</v>
      </c>
      <c r="AP117" s="284" t="e">
        <f>IF(VLOOKUP(T_Convention[[#This Row],[NumL]],T_TraitDi[#Data],COLUMN(T_TraitDi[Colonne16]),FALSE)=0,"",TEXT(IFERROR(VLOOKUP(T_Convention[[#This Row],[NumL]],T_TraitDi[#Data],COLUMN(T_TraitDi[Colonne16]),FALSE),""),"[hh]:mm"))</f>
        <v>#N/A</v>
      </c>
      <c r="AQ117" s="284" t="str">
        <f>IFERROR(VLOOKUP(T_Convention[[#This Row],[NumL]],T_TraitDi[#Data],COLUMN(T_TraitDi[Colonne17]),FALSE),"")</f>
        <v/>
      </c>
      <c r="AR117" s="284" t="e">
        <f>IF(VLOOKUP(T_Convention[[#This Row],[NumL]],T_TraitDi[#Data],COLUMN(T_TraitDi[Colonne18]),FALSE)=0,"",TEXT(IFERROR(VLOOKUP(T_Convention[[#This Row],[NumL]],T_TraitDi[#Data],COLUMN(T_TraitDi[Colonne18]),FALSE),""),"[hh]:mm"))</f>
        <v>#N/A</v>
      </c>
      <c r="AS117" s="284" t="e">
        <f>IF(VLOOKUP(T_Convention[[#This Row],[NumL]],T_TraitDi[#Data],COLUMN(T_TraitDi[Colonne19]),FALSE)=0,"",TEXT(IFERROR(VLOOKUP(T_Convention[[#This Row],[NumL]],T_TraitDi[#Data],COLUMN(T_TraitDi[Colonne19]),FALSE),""),"[hh]:mm"))</f>
        <v>#N/A</v>
      </c>
      <c r="AT117" s="284" t="e">
        <f>IF(VLOOKUP(T_Convention[[#This Row],[NumL]],T_TraitDi[#Data],COLUMN(T_TraitDi[Colonne20]),FALSE)=0,"",TEXT(IFERROR(VLOOKUP(T_Convention[[#This Row],[NumL]],T_TraitDi[#Data],COLUMN(T_TraitDi[Colonne20]),FALSE),""),"[hh]:mm"))</f>
        <v>#N/A</v>
      </c>
      <c r="AU117" s="284" t="str">
        <f>IFERROR(VLOOKUP(T_Convention[[#This Row],[NumL]],T_TraitDi[#Data],COLUMN(T_TraitDi[Jeudi]),FALSE),"")</f>
        <v/>
      </c>
      <c r="AV117" s="284" t="e">
        <f>IF(VLOOKUP(T_Convention[[#This Row],[NumL]],T_TraitDi[#Data],COLUMN(T_TraitDi[Colonne21]),FALSE)=0,"",TEXT(IFERROR(VLOOKUP(T_Convention[[#This Row],[NumL]],T_TraitDi[#Data],COLUMN(T_TraitDi[Colonne21]),FALSE),""),"[hh]:mm"))</f>
        <v>#N/A</v>
      </c>
      <c r="AW117" s="284" t="e">
        <f>IF(VLOOKUP(T_Convention[[#This Row],[NumL]],T_TraitDi[#Data],COLUMN(T_TraitDi[Colonne22]),FALSE)=0,"",TEXT(IFERROR(VLOOKUP(T_Convention[[#This Row],[NumL]],T_TraitDi[#Data],COLUMN(T_TraitDi[Colonne22]),FALSE),""),"[hh]:mm"))</f>
        <v>#N/A</v>
      </c>
      <c r="AX117" s="284" t="str">
        <f>IFERROR(VLOOKUP(T_Convention[[#This Row],[NumL]],T_TraitDi[#Data],COLUMN(T_TraitDi[Colonne23]),FALSE),"")</f>
        <v/>
      </c>
      <c r="AY117" s="284" t="e">
        <f>IF(VLOOKUP(T_Convention[[#This Row],[NumL]],T_TraitDi[#Data],COLUMN(T_TraitDi[Colonne24]),FALSE)=0,"",TEXT(IFERROR(VLOOKUP(T_Convention[[#This Row],[NumL]],T_TraitDi[#Data],COLUMN(T_TraitDi[Colonne24]),FALSE),""),"[hh]:mm"))</f>
        <v>#N/A</v>
      </c>
      <c r="AZ117" s="284" t="e">
        <f>IF(VLOOKUP(T_Convention[[#This Row],[NumL]],T_TraitDi[#Data],COLUMN(T_TraitDi[Colonne25]),FALSE)=0,"",TEXT(IFERROR(VLOOKUP(T_Convention[[#This Row],[NumL]],T_TraitDi[#Data],COLUMN(T_TraitDi[Colonne25]),FALSE),""),"[hh]:mm"))</f>
        <v>#N/A</v>
      </c>
      <c r="BA117" s="284" t="e">
        <f>IF(VLOOKUP(T_Convention[[#This Row],[NumL]],T_TraitDi[#Data],COLUMN(T_TraitDi[Colonne26]),FALSE)=0,"",TEXT(IFERROR(VLOOKUP(T_Convention[[#This Row],[NumL]],T_TraitDi[#Data],COLUMN(T_TraitDi[Colonne26]),FALSE),""),"[hh]:mm"))</f>
        <v>#N/A</v>
      </c>
      <c r="BB117" s="284" t="str">
        <f>IFERROR(VLOOKUP(T_Convention[[#This Row],[NumL]],T_TraitDi[#Data],COLUMN(T_TraitDi[Vendredi]),FALSE),"")</f>
        <v/>
      </c>
      <c r="BC117" s="284" t="e">
        <f>IF(VLOOKUP(T_Convention[[#This Row],[NumL]],T_TraitDi[#Data],COLUMN(T_TraitDi[Colonne27]),FALSE)=0,"",TEXT(IFERROR(VLOOKUP(T_Convention[[#This Row],[NumL]],T_TraitDi[#Data],COLUMN(T_TraitDi[Colonne27]),FALSE),""),"[hh]:mm"))</f>
        <v>#N/A</v>
      </c>
      <c r="BD117" s="284" t="e">
        <f>IF(VLOOKUP(T_Convention[[#This Row],[NumL]],T_TraitDi[#Data],COLUMN(T_TraitDi[Colonne28]),FALSE)=0,"",TEXT(IFERROR(VLOOKUP(T_Convention[[#This Row],[NumL]],T_TraitDi[#Data],COLUMN(T_TraitDi[Colonne28]),FALSE),""),"[hh]:mm"))</f>
        <v>#N/A</v>
      </c>
      <c r="BE117" s="284" t="str">
        <f>IFERROR(VLOOKUP(T_Convention[[#This Row],[NumL]],T_TraitDi[#Data],COLUMN(T_TraitDi[Colonne29]),FALSE),"")</f>
        <v/>
      </c>
      <c r="BF117" s="284" t="e">
        <f>IF(VLOOKUP(T_Convention[[#This Row],[NumL]],T_TraitDi[#Data],COLUMN(T_TraitDi[Colonne30]),FALSE)=0,"",TEXT(IFERROR(VLOOKUP(T_Convention[[#This Row],[NumL]],T_TraitDi[#Data],COLUMN(T_TraitDi[Colonne30]),FALSE),""),"[hh]:mm"))</f>
        <v>#N/A</v>
      </c>
      <c r="BG117" s="284" t="e">
        <f>IF(VLOOKUP(T_Convention[[#This Row],[NumL]],T_TraitDi[#Data],COLUMN(T_TraitDi[Colonne31]),FALSE)=0,"",TEXT(IFERROR(VLOOKUP(T_Convention[[#This Row],[NumL]],T_TraitDi[#Data],COLUMN(T_TraitDi[Colonne31]),FALSE),""),"[hh]:mm"))</f>
        <v>#N/A</v>
      </c>
      <c r="BH117" s="284" t="e">
        <f>IF(VLOOKUP(T_Convention[[#This Row],[NumL]],T_TraitDi[#Data],COLUMN(T_TraitDi[Colonne32]),FALSE)=0,"",TEXT(IFERROR(VLOOKUP(T_Convention[[#This Row],[NumL]],T_TraitDi[#Data],COLUMN(T_TraitDi[Colonne32]),FALSE),""),"[hh]:mm"))</f>
        <v>#N/A</v>
      </c>
      <c r="BI117" s="284" t="str">
        <f>IFERROR(VLOOKUP(T_Convention[[#This Row],[NumL]],T_TraitDi[#Data],COLUMN(T_TraitDi[NbJTW]),FALSE),"")</f>
        <v/>
      </c>
      <c r="BJ117" s="284" t="e">
        <f>IF(VLOOKUP(T_Convention[[#This Row],[NumL]],T_TraitDi[#Data],COLUMN(T_TraitDi[NbhTW]),FALSE)=0,"",TEXT(IFERROR(VLOOKUP(T_Convention[[#This Row],[NumL]],T_TraitDi[#Data],COLUMN(T_TraitDi[NbhTW]),FALSE),""),"[hh]:mm"))</f>
        <v>#N/A</v>
      </c>
      <c r="BK117" s="315" t="e">
        <f>IF(VLOOKUP(T_Convention[[#This Row],[NumL]],T_TraitDi[#Data],COLUMN(T_TraitDi[Nbhheb]),FALSE)=0,"",TEXT(IFERROR(VLOOKUP(T_Convention[[#This Row],[NumL]],T_TraitDi[#Data],COLUMN(T_TraitDi[Nbhheb]),FALSE),""),"[hh]:mm"))</f>
        <v>#N/A</v>
      </c>
      <c r="BL117" s="287" t="str">
        <f>IFERROR(VLOOKUP(VLOOKUP(T_Convention[[#This Row],[NumL]],T_TraitDi[#Data],COLUMN(T_TraitDi[Type1]),FALSE),TypeTW,2,FALSE),"")</f>
        <v/>
      </c>
      <c r="BM117" s="288" t="str">
        <f>IFERROR(VLOOKUP(T_Convention[[#This Row],[NumL]],T_TraitDi[#Data],COLUMN(T_TraitDi[Rue1]),FALSE),"")</f>
        <v/>
      </c>
      <c r="BN117" s="289" t="str">
        <f>IFERROR(VLOOKUP(T_Convention[[#This Row],[NumL]],T_TraitDi[#Data],COLUMN(T_TraitDi[CP1]),FALSE),"")</f>
        <v/>
      </c>
      <c r="BO117" s="282" t="str">
        <f>IFERROR(VLOOKUP(T_Convention[[#This Row],[NumL]],T_TraitDi[#Data],COLUMN(T_TraitDi[VILLE1]),FALSE),"")</f>
        <v/>
      </c>
      <c r="BP117" s="290" t="str">
        <f>IFERROR(VLOOKUP(VLOOKUP(T_Convention[[#This Row],[NumL]],T_TraitDi[#Data],COLUMN(T_TraitDi[Type2]),FALSE),TypeTW,2,FALSE),"")</f>
        <v/>
      </c>
      <c r="BQ117" s="310" t="str">
        <f>IFERROR(VLOOKUP(T_Convention[[#This Row],[NumL]],T_TraitDi[#Data],COLUMN(T_TraitDi[Rue2]),FALSE),"")</f>
        <v/>
      </c>
      <c r="BR117" s="290" t="str">
        <f>IFERROR(VLOOKUP(T_Convention[[#This Row],[NumL]],T_TraitDi[#Data],COLUMN(T_TraitDi[CP2]),FALSE),"")</f>
        <v/>
      </c>
      <c r="BS117" s="290" t="str">
        <f>IFERROR(VLOOKUP(T_Convention[[#This Row],[NumL]],T_TraitDi[#Data],COLUMN(T_TraitDi[VILLE2]),FALSE),"")</f>
        <v/>
      </c>
      <c r="BT11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17" s="314" t="str">
        <f>IFERROR(IF(VLOOKUP(T_Convention[[#This Row],[NumL]],T_TraitDi[#Data],COLUMN(T_TraitDi[Plan]),FALSE)="OK","Un planning spécifique de télétravail est annexé à la présente convention.",""),"")</f>
        <v/>
      </c>
      <c r="BV117" s="291"/>
      <c r="BW117" s="292" t="e">
        <f>IF(VLOOKUP(T_Convention[[#This Row],[NumL]],T_suiviDi[#Data],COLUMN(T_suiviDi[Entité]),FALSE)="","",VLOOKUP(T_Convention[[#This Row],[NumL]],T_suiviDi[#Data],COLUMN(T_suiviDi[Entité]),FALSE))</f>
        <v>#N/A</v>
      </c>
      <c r="BX117" s="311" t="str">
        <f>IF(VLOOKUP(T_Convention[[#This Row],[NumL]],T_Commission[#Data],COLUMN(T_Commission[envoi confirm TW]),FALSE)="","",VLOOKUP(T_Convention[[#This Row],[NumL]],T_Commission[#Data],COLUMN(T_Commission[envoi confirm TW]),FALSE))</f>
        <v>Oui</v>
      </c>
      <c r="BY11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7" s="265">
        <f>VLOOKUP(T_Convention[[#This Row],[NumL]],T_Commission[#Data],COLUMN(T_Commission[Commentaire]),FALSE)</f>
        <v>0</v>
      </c>
      <c r="CA117" s="255" t="str">
        <f>IF(VLOOKUP(T_Convention[[#This Row],[NumL]],T_Commission[#Data],COLUMN(T_Commission[Encadrant Email]),FALSE)="","",VLOOKUP(T_Convention[[#This Row],[NumL]],T_Commission[#Data],COLUMN(T_Commission[Encadrant Email]),FALSE))</f>
        <v/>
      </c>
      <c r="CB117" s="352" t="e">
        <f>VLOOKUP(T_Convention[[#This Row],[NumL]],T_TraitDi[#Data],COLUMN(T_TraitDi[NbJTot]),FALSE)</f>
        <v>#N/A</v>
      </c>
      <c r="CC117" s="352" t="e">
        <f>VLOOKUP(T_Convention[[#This Row],[NumL]],T_TraitDi[#Data],COLUMN(T_TraitDi[Reg Ponct]),FALSE)</f>
        <v>#N/A</v>
      </c>
      <c r="CD117" s="348" t="str">
        <f>IF(T_Convention[[#This Row],[Final]]&lt;&gt;"",VLOOKUP(T_Convention[[#This Row],[NumL]],T_suiviDi[#Data],COLUMN((T_suiviDi[Statut])),FALSE),"")</f>
        <v/>
      </c>
    </row>
    <row r="118" spans="1:82" s="106" customFormat="1" ht="18.75" customHeight="1" x14ac:dyDescent="0.25">
      <c r="A118" s="160">
        <v>127</v>
      </c>
      <c r="B118" s="161" t="str">
        <f>VLOOKUP(T_Convention[[#This Row],[NumL]],T_Commission[#Data],COLUMN(T_Commission[FINAL]),FALSE)</f>
        <v/>
      </c>
      <c r="C118" s="162"/>
      <c r="D118" s="95" t="e">
        <f>IF(VLOOKUP(T_Convention[[#This Row],[NumL]],T_TraitDi[#Data],COLUMN(T_TraitDi[WebC]),FALSE)="","",VLOOKUP(T_Convention[[#This Row],[NumL]],T_TraitDi[#Data],COLUMN(T_TraitDi[WebC]),FALSE))</f>
        <v>#N/A</v>
      </c>
      <c r="E118" s="163" t="str">
        <f t="shared" si="5"/>
        <v>12 janvier 2021</v>
      </c>
      <c r="F118" s="282" t="str">
        <f>IF(T_Convention[[#This Row],[Final]]&lt;&gt;"",VLOOKUP(T_Convention[[#This Row],[NumL]],T_suiviDi[#Data],COLUMN((T_suiviDi[Civ.])),FALSE),"")</f>
        <v/>
      </c>
      <c r="G118" s="283" t="str">
        <f>IF(T_Convention[[#This Row],[Final]]&lt;&gt;"",VLOOKUP(T_Convention[[#This Row],[NumL]],T_suiviDi[#Data],COLUMN((T_suiviDi[Nom])),FALSE),"")</f>
        <v/>
      </c>
      <c r="H118" s="282" t="str">
        <f>IF(T_Convention[[#This Row],[Final]]&lt;&gt;"",VLOOKUP(T_Convention[[#This Row],[NumL]],T_suiviDi[#Data],COLUMN((T_suiviDi[Prénom])),FALSE),"")</f>
        <v/>
      </c>
      <c r="I118" s="282" t="e">
        <f>VLOOKUP(T_Convention[[#This Row],[NumL]],T_suiviDi[#Data],COLUMN((T_suiviDi[[#This Row],[Email]])),FALSE)</f>
        <v>#VALUE!</v>
      </c>
      <c r="J118" s="282" t="e">
        <f>IF(VLOOKUP(T_Convention[[#This Row],[NumL]],T_suiviDi[#Data],COLUMN(T_suiviDi[[#This Row],[Fonction]]),FALSE)="","",VLOOKUP(T_Convention[[#This Row],[NumL]],T_suiviDi[#Data],COLUMN(T_suiviDi[[#This Row],[Fonction]]),FALSE))</f>
        <v>#VALUE!</v>
      </c>
      <c r="K118" s="282" t="e">
        <f>IF(VLOOKUP(T_Convention[[#This Row],[NumL]],T_suiviDi[#Data],COLUMN(T_suiviDi[[#This Row],[Grade]]),FALSE)="","",VLOOKUP(T_Convention[[#This Row],[NumL]],T_suiviDi[#Data],COLUMN(T_suiviDi[[#This Row],[Grade]]),FALSE))</f>
        <v>#VALUE!</v>
      </c>
      <c r="L118" s="282" t="e">
        <f>IF(VLOOKUP(T_Convention[[#This Row],[NumL]],T_suiviDi[#Data],COLUMN(T_suiviDi[[#This Row],[Service ]]),FALSE)="","",VLOOKUP(T_Convention[[#This Row],[NumL]],T_suiviDi[#Data],COLUMN(T_suiviDi[[#This Row],[Service ]]),FALSE))</f>
        <v>#VALUE!</v>
      </c>
      <c r="M118" s="164" t="str">
        <f t="shared" si="6"/>
        <v>01 septembre 2021</v>
      </c>
      <c r="N118" s="164" t="str">
        <f t="shared" si="7"/>
        <v>30 novembre 2021</v>
      </c>
      <c r="O118" s="284" t="str">
        <f t="shared" si="8"/>
        <v>30 novembre 2021</v>
      </c>
      <c r="P118" s="282" t="e">
        <f>IF(VLOOKUP(T_Convention[[#This Row],[NumL]],T_TraitDi[#Data],COLUMN(T_TraitDi[M1]),FALSE)="","",VLOOKUP(T_Convention[[#This Row],[NumL]],T_TraitDi[#Data],COLUMN(T_TraitDi[M1]),FALSE))</f>
        <v>#N/A</v>
      </c>
      <c r="Q118" s="282" t="e">
        <f>IF(VLOOKUP(T_Convention[[#This Row],[NumL]],T_TraitDi[#Data],COLUMN(T_TraitDi[M2]),FALSE)="","",VLOOKUP(T_Convention[[#This Row],[NumL]],T_TraitDi[#Data],COLUMN(T_TraitDi[M2]),FALSE))</f>
        <v>#N/A</v>
      </c>
      <c r="R118" s="282" t="e">
        <f>IF(VLOOKUP(T_Convention[[#This Row],[NumL]],T_TraitDi[#Data],COLUMN(T_TraitDi[M3]),FALSE)="","",VLOOKUP(T_Convention[[#This Row],[NumL]],T_TraitDi[#Data],COLUMN(T_TraitDi[M3]),FALSE))</f>
        <v>#N/A</v>
      </c>
      <c r="S118" s="282" t="e">
        <f>IF(VLOOKUP(T_Convention[[#This Row],[NumL]],T_TraitDi[#Data],COLUMN(T_TraitDi[M4]),FALSE)="","",VLOOKUP(T_Convention[[#This Row],[NumL]],T_TraitDi[#Data],COLUMN(T_TraitDi[M4]),FALSE))</f>
        <v>#N/A</v>
      </c>
      <c r="T118" s="282" t="e">
        <f>IF(VLOOKUP(T_Convention[[#This Row],[NumL]],T_TraitDi[#Data],COLUMN(T_TraitDi[M5]),FALSE)="","",VLOOKUP(T_Convention[[#This Row],[NumL]],T_TraitDi[#Data],COLUMN(T_TraitDi[M5]),FALSE))</f>
        <v>#N/A</v>
      </c>
      <c r="U118" s="282" t="e">
        <f>IF(VLOOKUP(T_Convention[[#This Row],[NumL]],T_TraitDi[#Data],COLUMN(T_TraitDi[M6]),FALSE)="","",VLOOKUP(T_Convention[[#This Row],[NumL]],T_TraitDi[#Data],COLUMN(T_TraitDi[M6]),FALSE))</f>
        <v>#N/A</v>
      </c>
      <c r="V118" s="176" t="e">
        <f t="shared" si="9"/>
        <v>#N/A</v>
      </c>
      <c r="W118" s="284" t="str">
        <f>IFERROR(TEXT(VLOOKUP(T_Convention[[#This Row],[NumL]],T_TraitDi[#Data],COLUMN(T_TraitDi[Q2]),FALSE),"###%"),"")</f>
        <v/>
      </c>
      <c r="X118" s="97" t="e">
        <f>VLOOKUP(T_Convention[[#This Row],[NumL]],T_TraitDi[#Data],COLUMN(T_TraitDi[Reg Ponct]),FALSE)</f>
        <v>#N/A</v>
      </c>
      <c r="Y118" s="97" t="e">
        <f>VLOOKUP(T_Convention[NumL],T_TraitDi[#Data],COLUMN(T_TraitDi[Jours flottants]),FALSE)</f>
        <v>#N/A</v>
      </c>
      <c r="Z118" s="284" t="str">
        <f>IFERROR(VLOOKUP(T_Convention[[#This Row],[NumL]],T_TraitDi[#Data],COLUMN(T_TraitDi[Lundi]),FALSE),"")</f>
        <v/>
      </c>
      <c r="AA118" s="284" t="e">
        <f>IF(VLOOKUP(T_Convention[[#This Row],[NumL]],T_TraitDi[#Data],COLUMN(T_TraitDi[Colonne3]),FALSE)=0,"",TEXT(IFERROR(VLOOKUP(T_Convention[[#This Row],[NumL]],T_TraitDi[#Data],COLUMN(T_TraitDi[Colonne3]),FALSE),""),"[hh]:mm"))</f>
        <v>#N/A</v>
      </c>
      <c r="AB118" s="284" t="e">
        <f>IF(VLOOKUP(T_Convention[[#This Row],[NumL]],T_TraitDi[#Data],COLUMN(T_TraitDi[Colonne4]),FALSE)=0,"",TEXT(IFERROR(VLOOKUP(T_Convention[[#This Row],[NumL]],T_TraitDi[#Data],COLUMN(T_TraitDi[Colonne4]),FALSE),""),"[hh]:mm"))</f>
        <v>#N/A</v>
      </c>
      <c r="AC118" s="284" t="e">
        <f>IF(VLOOKUP(T_Convention[[#This Row],[NumL]],T_TraitDi[#Data],COLUMN(T_TraitDi[Colonne5]),FALSE)=0,"",TEXT(IFERROR(VLOOKUP(T_Convention[[#This Row],[NumL]],T_TraitDi[#Data],COLUMN(T_TraitDi[Colonne5]),FALSE),""),"[hh]:mm"))</f>
        <v>#N/A</v>
      </c>
      <c r="AD118" s="284" t="e">
        <f>IF(VLOOKUP(T_Convention[[#This Row],[NumL]],T_TraitDi[#Data],COLUMN(T_TraitDi[Colonne6]),FALSE)=0,"",TEXT(IFERROR(VLOOKUP(T_Convention[[#This Row],[NumL]],T_TraitDi[#Data],COLUMN(T_TraitDi[Colonne6]),FALSE),""),"[hh]:mm"))</f>
        <v>#N/A</v>
      </c>
      <c r="AE118" s="284" t="e">
        <f>IF(VLOOKUP(T_Convention[[#This Row],[NumL]],T_TraitDi[#Data],COLUMN(T_TraitDi[Colonne7]),FALSE)=0,"",TEXT(IFERROR(VLOOKUP(T_Convention[[#This Row],[NumL]],T_TraitDi[#Data],COLUMN(T_TraitDi[Colonne7]),FALSE),""),"[hh]:mm"))</f>
        <v>#N/A</v>
      </c>
      <c r="AF118" s="284" t="e">
        <f>IF(VLOOKUP(T_Convention[[#This Row],[NumL]],T_TraitDi[#Data],COLUMN(T_TraitDi[Colonne8]),FALSE)=0,"",TEXT(IFERROR(VLOOKUP(T_Convention[[#This Row],[NumL]],T_TraitDi[#Data],COLUMN(T_TraitDi[Colonne8]),FALSE),""),"[hh]:mm"))</f>
        <v>#N/A</v>
      </c>
      <c r="AG118" s="284" t="str">
        <f>IFERROR(VLOOKUP(T_Convention[[#This Row],[NumL]],T_TraitDi[#Data],COLUMN(T_TraitDi[Mardi]),FALSE),"")</f>
        <v/>
      </c>
      <c r="AH118" s="284" t="e">
        <f>IF(VLOOKUP(T_Convention[[#This Row],[NumL]],T_TraitDi[#Data],COLUMN(T_TraitDi[Colonne1]),FALSE)=0,"",TEXT(IFERROR(VLOOKUP(T_Convention[[#This Row],[NumL]],T_TraitDi[#Data],COLUMN(T_TraitDi[Colonne1]),FALSE),""),"[hh]:mm"))</f>
        <v>#N/A</v>
      </c>
      <c r="AI118" s="284" t="e">
        <f>IF(VLOOKUP(T_Convention[[#This Row],[NumL]],T_TraitDi[#Data],COLUMN(T_TraitDi[Colonne9]),FALSE)=0,"",TEXT(IFERROR(VLOOKUP(T_Convention[[#This Row],[NumL]],T_TraitDi[#Data],COLUMN(T_TraitDi[Colonne9]),FALSE),""),"[hh]:mm"))</f>
        <v>#N/A</v>
      </c>
      <c r="AJ118" s="284" t="str">
        <f>IFERROR(VLOOKUP(T_Convention[[#This Row],[NumL]],T_TraitDi[#Data],COLUMN(T_TraitDi[Colonne10]),FALSE),"")</f>
        <v/>
      </c>
      <c r="AK118" s="284" t="e">
        <f>IF(VLOOKUP(T_Convention[[#This Row],[NumL]],T_TraitDi[#Data],COLUMN(T_TraitDi[Colonne11]),FALSE)=0,"",TEXT(IFERROR(VLOOKUP(T_Convention[[#This Row],[NumL]],T_TraitDi[#Data],COLUMN(T_TraitDi[Colonne11]),FALSE),""),"[hh]:mm"))</f>
        <v>#N/A</v>
      </c>
      <c r="AL118" s="284" t="e">
        <f>IF(VLOOKUP(T_Convention[[#This Row],[NumL]],T_TraitDi[#Data],COLUMN(T_TraitDi[Colonne12]),FALSE)=0,"",TEXT(IFERROR(VLOOKUP(T_Convention[[#This Row],[NumL]],T_TraitDi[#Data],COLUMN(T_TraitDi[Colonne12]),FALSE),""),"[hh]:mm"))</f>
        <v>#N/A</v>
      </c>
      <c r="AM118" s="284" t="e">
        <f>IF(VLOOKUP(T_Convention[[#This Row],[NumL]],T_TraitDi[#Data],COLUMN(T_TraitDi[Colonne14]),FALSE)=0,"",TEXT(IFERROR(VLOOKUP(T_Convention[[#This Row],[NumL]],T_TraitDi[#Data],COLUMN(T_TraitDi[Colonne14]),FALSE),""),"[hh]:mm"))</f>
        <v>#N/A</v>
      </c>
      <c r="AN118" s="284" t="str">
        <f>IFERROR(VLOOKUP(T_Convention[[#This Row],[NumL]],T_TraitDi[#Data],COLUMN(T_TraitDi[Mercredi]),FALSE),"")</f>
        <v/>
      </c>
      <c r="AO118" s="284" t="e">
        <f>IF(VLOOKUP(T_Convention[[#This Row],[NumL]],T_TraitDi[#Data],COLUMN(T_TraitDi[Colonne15]),FALSE)=0,"",TEXT(IFERROR(VLOOKUP(T_Convention[[#This Row],[NumL]],T_TraitDi[#Data],COLUMN(T_TraitDi[Colonne15]),FALSE),""),"[hh]:mm"))</f>
        <v>#N/A</v>
      </c>
      <c r="AP118" s="284" t="e">
        <f>IF(VLOOKUP(T_Convention[[#This Row],[NumL]],T_TraitDi[#Data],COLUMN(T_TraitDi[Colonne16]),FALSE)=0,"",TEXT(IFERROR(VLOOKUP(T_Convention[[#This Row],[NumL]],T_TraitDi[#Data],COLUMN(T_TraitDi[Colonne16]),FALSE),""),"[hh]:mm"))</f>
        <v>#N/A</v>
      </c>
      <c r="AQ118" s="284" t="str">
        <f>IFERROR(VLOOKUP(T_Convention[[#This Row],[NumL]],T_TraitDi[#Data],COLUMN(T_TraitDi[Colonne17]),FALSE),"")</f>
        <v/>
      </c>
      <c r="AR118" s="284" t="e">
        <f>IF(VLOOKUP(T_Convention[[#This Row],[NumL]],T_TraitDi[#Data],COLUMN(T_TraitDi[Colonne18]),FALSE)=0,"",TEXT(IFERROR(VLOOKUP(T_Convention[[#This Row],[NumL]],T_TraitDi[#Data],COLUMN(T_TraitDi[Colonne18]),FALSE),""),"[hh]:mm"))</f>
        <v>#N/A</v>
      </c>
      <c r="AS118" s="284" t="e">
        <f>IF(VLOOKUP(T_Convention[[#This Row],[NumL]],T_TraitDi[#Data],COLUMN(T_TraitDi[Colonne19]),FALSE)=0,"",TEXT(IFERROR(VLOOKUP(T_Convention[[#This Row],[NumL]],T_TraitDi[#Data],COLUMN(T_TraitDi[Colonne19]),FALSE),""),"[hh]:mm"))</f>
        <v>#N/A</v>
      </c>
      <c r="AT118" s="284" t="e">
        <f>IF(VLOOKUP(T_Convention[[#This Row],[NumL]],T_TraitDi[#Data],COLUMN(T_TraitDi[Colonne20]),FALSE)=0,"",TEXT(IFERROR(VLOOKUP(T_Convention[[#This Row],[NumL]],T_TraitDi[#Data],COLUMN(T_TraitDi[Colonne20]),FALSE),""),"[hh]:mm"))</f>
        <v>#N/A</v>
      </c>
      <c r="AU118" s="284" t="str">
        <f>IFERROR(VLOOKUP(T_Convention[[#This Row],[NumL]],T_TraitDi[#Data],COLUMN(T_TraitDi[Jeudi]),FALSE),"")</f>
        <v/>
      </c>
      <c r="AV118" s="284" t="e">
        <f>IF(VLOOKUP(T_Convention[[#This Row],[NumL]],T_TraitDi[#Data],COLUMN(T_TraitDi[Colonne21]),FALSE)=0,"",TEXT(IFERROR(VLOOKUP(T_Convention[[#This Row],[NumL]],T_TraitDi[#Data],COLUMN(T_TraitDi[Colonne21]),FALSE),""),"[hh]:mm"))</f>
        <v>#N/A</v>
      </c>
      <c r="AW118" s="284" t="e">
        <f>IF(VLOOKUP(T_Convention[[#This Row],[NumL]],T_TraitDi[#Data],COLUMN(T_TraitDi[Colonne22]),FALSE)=0,"",TEXT(IFERROR(VLOOKUP(T_Convention[[#This Row],[NumL]],T_TraitDi[#Data],COLUMN(T_TraitDi[Colonne22]),FALSE),""),"[hh]:mm"))</f>
        <v>#N/A</v>
      </c>
      <c r="AX118" s="284" t="str">
        <f>IFERROR(VLOOKUP(T_Convention[[#This Row],[NumL]],T_TraitDi[#Data],COLUMN(T_TraitDi[Colonne23]),FALSE),"")</f>
        <v/>
      </c>
      <c r="AY118" s="284" t="e">
        <f>IF(VLOOKUP(T_Convention[[#This Row],[NumL]],T_TraitDi[#Data],COLUMN(T_TraitDi[Colonne24]),FALSE)=0,"",TEXT(IFERROR(VLOOKUP(T_Convention[[#This Row],[NumL]],T_TraitDi[#Data],COLUMN(T_TraitDi[Colonne24]),FALSE),""),"[hh]:mm"))</f>
        <v>#N/A</v>
      </c>
      <c r="AZ118" s="284" t="e">
        <f>IF(VLOOKUP(T_Convention[[#This Row],[NumL]],T_TraitDi[#Data],COLUMN(T_TraitDi[Colonne25]),FALSE)=0,"",TEXT(IFERROR(VLOOKUP(T_Convention[[#This Row],[NumL]],T_TraitDi[#Data],COLUMN(T_TraitDi[Colonne25]),FALSE),""),"[hh]:mm"))</f>
        <v>#N/A</v>
      </c>
      <c r="BA118" s="284" t="e">
        <f>IF(VLOOKUP(T_Convention[[#This Row],[NumL]],T_TraitDi[#Data],COLUMN(T_TraitDi[Colonne26]),FALSE)=0,"",TEXT(IFERROR(VLOOKUP(T_Convention[[#This Row],[NumL]],T_TraitDi[#Data],COLUMN(T_TraitDi[Colonne26]),FALSE),""),"[hh]:mm"))</f>
        <v>#N/A</v>
      </c>
      <c r="BB118" s="284" t="str">
        <f>IFERROR(VLOOKUP(T_Convention[[#This Row],[NumL]],T_TraitDi[#Data],COLUMN(T_TraitDi[Vendredi]),FALSE),"")</f>
        <v/>
      </c>
      <c r="BC118" s="284" t="e">
        <f>IF(VLOOKUP(T_Convention[[#This Row],[NumL]],T_TraitDi[#Data],COLUMN(T_TraitDi[Colonne27]),FALSE)=0,"",TEXT(IFERROR(VLOOKUP(T_Convention[[#This Row],[NumL]],T_TraitDi[#Data],COLUMN(T_TraitDi[Colonne27]),FALSE),""),"[hh]:mm"))</f>
        <v>#N/A</v>
      </c>
      <c r="BD118" s="284" t="e">
        <f>IF(VLOOKUP(T_Convention[[#This Row],[NumL]],T_TraitDi[#Data],COLUMN(T_TraitDi[Colonne28]),FALSE)=0,"",TEXT(IFERROR(VLOOKUP(T_Convention[[#This Row],[NumL]],T_TraitDi[#Data],COLUMN(T_TraitDi[Colonne28]),FALSE),""),"[hh]:mm"))</f>
        <v>#N/A</v>
      </c>
      <c r="BE118" s="284" t="str">
        <f>IFERROR(VLOOKUP(T_Convention[[#This Row],[NumL]],T_TraitDi[#Data],COLUMN(T_TraitDi[Colonne29]),FALSE),"")</f>
        <v/>
      </c>
      <c r="BF118" s="284" t="e">
        <f>IF(VLOOKUP(T_Convention[[#This Row],[NumL]],T_TraitDi[#Data],COLUMN(T_TraitDi[Colonne30]),FALSE)=0,"",TEXT(IFERROR(VLOOKUP(T_Convention[[#This Row],[NumL]],T_TraitDi[#Data],COLUMN(T_TraitDi[Colonne30]),FALSE),""),"[hh]:mm"))</f>
        <v>#N/A</v>
      </c>
      <c r="BG118" s="284" t="e">
        <f>IF(VLOOKUP(T_Convention[[#This Row],[NumL]],T_TraitDi[#Data],COLUMN(T_TraitDi[Colonne31]),FALSE)=0,"",TEXT(IFERROR(VLOOKUP(T_Convention[[#This Row],[NumL]],T_TraitDi[#Data],COLUMN(T_TraitDi[Colonne31]),FALSE),""),"[hh]:mm"))</f>
        <v>#N/A</v>
      </c>
      <c r="BH118" s="284" t="e">
        <f>IF(VLOOKUP(T_Convention[[#This Row],[NumL]],T_TraitDi[#Data],COLUMN(T_TraitDi[Colonne32]),FALSE)=0,"",TEXT(IFERROR(VLOOKUP(T_Convention[[#This Row],[NumL]],T_TraitDi[#Data],COLUMN(T_TraitDi[Colonne32]),FALSE),""),"[hh]:mm"))</f>
        <v>#N/A</v>
      </c>
      <c r="BI118" s="284" t="str">
        <f>IFERROR(VLOOKUP(T_Convention[[#This Row],[NumL]],T_TraitDi[#Data],COLUMN(T_TraitDi[NbJTW]),FALSE),"")</f>
        <v/>
      </c>
      <c r="BJ118" s="284" t="e">
        <f>IF(VLOOKUP(T_Convention[[#This Row],[NumL]],T_TraitDi[#Data],COLUMN(T_TraitDi[NbhTW]),FALSE)=0,"",TEXT(IFERROR(VLOOKUP(T_Convention[[#This Row],[NumL]],T_TraitDi[#Data],COLUMN(T_TraitDi[NbhTW]),FALSE),""),"[hh]:mm"))</f>
        <v>#N/A</v>
      </c>
      <c r="BK118" s="286" t="e">
        <f>IF(VLOOKUP(T_Convention[[#This Row],[NumL]],T_TraitDi[#Data],COLUMN(T_TraitDi[Nbhheb]),FALSE)=0,"",TEXT(IFERROR(VLOOKUP(T_Convention[[#This Row],[NumL]],T_TraitDi[#Data],COLUMN(T_TraitDi[Nbhheb]),FALSE),""),"[hh]:mm"))</f>
        <v>#N/A</v>
      </c>
      <c r="BL118" s="287" t="str">
        <f>IFERROR(VLOOKUP(VLOOKUP(T_Convention[[#This Row],[NumL]],T_TraitDi[#Data],COLUMN(T_TraitDi[Type1]),FALSE),TypeTW,2,FALSE),"")</f>
        <v/>
      </c>
      <c r="BM118" s="288" t="str">
        <f>IFERROR(VLOOKUP(T_Convention[[#This Row],[NumL]],T_TraitDi[#Data],COLUMN(T_TraitDi[Rue1]),FALSE),"")</f>
        <v/>
      </c>
      <c r="BN118" s="289" t="str">
        <f>IFERROR(VLOOKUP(T_Convention[[#This Row],[NumL]],T_TraitDi[#Data],COLUMN(T_TraitDi[CP1]),FALSE),"")</f>
        <v/>
      </c>
      <c r="BO118" s="282" t="str">
        <f>IFERROR(VLOOKUP(T_Convention[[#This Row],[NumL]],T_TraitDi[#Data],COLUMN(T_TraitDi[VILLE1]),FALSE),"")</f>
        <v/>
      </c>
      <c r="BP118" s="290" t="str">
        <f>IFERROR(VLOOKUP(VLOOKUP(T_Convention[[#This Row],[NumL]],T_TraitDi[#Data],COLUMN(T_TraitDi[Type2]),FALSE),TypeTW,2,FALSE),"")</f>
        <v/>
      </c>
      <c r="BQ118" s="182" t="str">
        <f>IFERROR(VLOOKUP(T_Convention[[#This Row],[NumL]],T_TraitDi[#Data],COLUMN(T_TraitDi[Rue2]),FALSE),"")</f>
        <v/>
      </c>
      <c r="BR118" s="173" t="str">
        <f>IFERROR(VLOOKUP(T_Convention[[#This Row],[NumL]],T_TraitDi[#Data],COLUMN(T_TraitDi[CP2]),FALSE),"")</f>
        <v/>
      </c>
      <c r="BS118" s="173" t="str">
        <f>IFERROR(VLOOKUP(T_Convention[[#This Row],[NumL]],T_TraitDi[#Data],COLUMN(T_TraitDi[VILLE2]),FALSE),"")</f>
        <v/>
      </c>
      <c r="BT118" s="182" t="str">
        <f>IF(VLOOKUP(T_Convention[[#This Row],[NumL]],T_Equipement[#Data],COLUMN(T_Equipement[PC]),FALSE)="","Aucun équipement spécifique directement lié au télétravail",VLOOKUP(T_Convention[[#This Row],[NumL]],T_Equipement[#Data],COLUMN(T_Equipement[PC]),FALSE))</f>
        <v xml:space="preserve">18-035	</v>
      </c>
      <c r="BU118" s="166" t="str">
        <f>IFERROR(IF(VLOOKUP(T_Convention[[#This Row],[NumL]],T_TraitDi[#Data],COLUMN(T_TraitDi[Plan]),FALSE)="OK","Un planning spécifique de télétravail est annexé à la présente convention.",""),"")</f>
        <v/>
      </c>
      <c r="BV118" s="185"/>
      <c r="BW118" s="164" t="e">
        <f>IF(VLOOKUP(T_Convention[[#This Row],[NumL]],T_suiviDi[#Data],COLUMN(T_suiviDi[Entité]),FALSE)="","",VLOOKUP(T_Convention[[#This Row],[NumL]],T_suiviDi[#Data],COLUMN(T_suiviDi[Entité]),FALSE))</f>
        <v>#N/A</v>
      </c>
      <c r="BX118" s="164" t="str">
        <f>IF(VLOOKUP(T_Convention[[#This Row],[NumL]],T_Commission[#Data],COLUMN(T_Commission[envoi confirm TW]),FALSE)="","",VLOOKUP(T_Convention[[#This Row],[NumL]],T_Commission[#Data],COLUMN(T_Commission[envoi confirm TW]),FALSE))</f>
        <v>Oui</v>
      </c>
      <c r="BY11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8" s="264">
        <f>VLOOKUP(T_Convention[[#This Row],[NumL]],T_Commission[#Data],COLUMN(T_Commission[Commentaire]),FALSE)</f>
        <v>0</v>
      </c>
      <c r="CA118" s="254" t="str">
        <f>IF(VLOOKUP(T_Convention[[#This Row],[NumL]],T_Commission[#Data],COLUMN(T_Commission[Encadrant Email]),FALSE)="","",VLOOKUP(T_Convention[[#This Row],[NumL]],T_Commission[#Data],COLUMN(T_Commission[Encadrant Email]),FALSE))</f>
        <v/>
      </c>
      <c r="CB118" s="352" t="e">
        <f>VLOOKUP(T_Convention[[#This Row],[NumL]],T_TraitDi[#Data],COLUMN(T_TraitDi[NbJTot]),FALSE)</f>
        <v>#N/A</v>
      </c>
      <c r="CC118" s="352" t="e">
        <f>VLOOKUP(T_Convention[[#This Row],[NumL]],T_TraitDi[#Data],COLUMN(T_TraitDi[Reg Ponct]),FALSE)</f>
        <v>#N/A</v>
      </c>
      <c r="CD118" s="348" t="str">
        <f>IF(T_Convention[[#This Row],[Final]]&lt;&gt;"",VLOOKUP(T_Convention[[#This Row],[NumL]],T_suiviDi[#Data],COLUMN((T_suiviDi[Statut])),FALSE),"")</f>
        <v/>
      </c>
    </row>
    <row r="119" spans="1:82" s="106" customFormat="1" ht="18.75" customHeight="1" x14ac:dyDescent="0.25">
      <c r="A119" s="160">
        <v>254</v>
      </c>
      <c r="B119" s="161" t="str">
        <f>VLOOKUP(T_Convention[[#This Row],[NumL]],T_Commission[#Data],COLUMN(T_Commission[FINAL]),FALSE)</f>
        <v/>
      </c>
      <c r="C119" s="162"/>
      <c r="D119" s="95" t="e">
        <f>IF(VLOOKUP(T_Convention[[#This Row],[NumL]],T_TraitDi[#Data],COLUMN(T_TraitDi[WebC]),FALSE)="","",VLOOKUP(T_Convention[[#This Row],[NumL]],T_TraitDi[#Data],COLUMN(T_TraitDi[WebC]),FALSE))</f>
        <v>#N/A</v>
      </c>
      <c r="E119" s="163" t="str">
        <f t="shared" si="5"/>
        <v>12 janvier 2021</v>
      </c>
      <c r="F119" s="282" t="str">
        <f>IF(T_Convention[[#This Row],[Final]]&lt;&gt;"",VLOOKUP(T_Convention[[#This Row],[NumL]],T_suiviDi[#Data],COLUMN((T_suiviDi[Civ.])),FALSE),"")</f>
        <v/>
      </c>
      <c r="G119" s="283" t="str">
        <f>IF(T_Convention[[#This Row],[Final]]&lt;&gt;"",VLOOKUP(T_Convention[[#This Row],[NumL]],T_suiviDi[#Data],COLUMN((T_suiviDi[Nom])),FALSE),"")</f>
        <v/>
      </c>
      <c r="H119" s="282" t="str">
        <f>IF(T_Convention[[#This Row],[Final]]&lt;&gt;"",VLOOKUP(T_Convention[[#This Row],[NumL]],T_suiviDi[#Data],COLUMN((T_suiviDi[Prénom])),FALSE),"")</f>
        <v/>
      </c>
      <c r="I119" s="282" t="e">
        <f>VLOOKUP(T_Convention[[#This Row],[NumL]],T_suiviDi[#Data],COLUMN((T_suiviDi[[#This Row],[Email]])),FALSE)</f>
        <v>#VALUE!</v>
      </c>
      <c r="J119" s="282" t="e">
        <f>IF(VLOOKUP(T_Convention[[#This Row],[NumL]],T_suiviDi[#Data],COLUMN(T_suiviDi[[#This Row],[Fonction]]),FALSE)="","",VLOOKUP(T_Convention[[#This Row],[NumL]],T_suiviDi[#Data],COLUMN(T_suiviDi[[#This Row],[Fonction]]),FALSE))</f>
        <v>#VALUE!</v>
      </c>
      <c r="K119" s="282" t="e">
        <f>IF(VLOOKUP(T_Convention[[#This Row],[NumL]],T_suiviDi[#Data],COLUMN(T_suiviDi[[#This Row],[Grade]]),FALSE)="","",VLOOKUP(T_Convention[[#This Row],[NumL]],T_suiviDi[#Data],COLUMN(T_suiviDi[[#This Row],[Grade]]),FALSE))</f>
        <v>#VALUE!</v>
      </c>
      <c r="L119" s="282" t="e">
        <f>IF(VLOOKUP(T_Convention[[#This Row],[NumL]],T_suiviDi[#Data],COLUMN(T_suiviDi[[#This Row],[Service ]]),FALSE)="","",VLOOKUP(T_Convention[[#This Row],[NumL]],T_suiviDi[#Data],COLUMN(T_suiviDi[[#This Row],[Service ]]),FALSE))</f>
        <v>#VALUE!</v>
      </c>
      <c r="M119" s="164" t="str">
        <f t="shared" si="6"/>
        <v>01 septembre 2021</v>
      </c>
      <c r="N119" s="164" t="str">
        <f t="shared" si="7"/>
        <v>30 novembre 2021</v>
      </c>
      <c r="O119" s="284" t="str">
        <f t="shared" si="8"/>
        <v>30 novembre 2021</v>
      </c>
      <c r="P119" s="282" t="e">
        <f>IF(VLOOKUP(T_Convention[[#This Row],[NumL]],T_TraitDi[#Data],COLUMN(T_TraitDi[M1]),FALSE)="","",VLOOKUP(T_Convention[[#This Row],[NumL]],T_TraitDi[#Data],COLUMN(T_TraitDi[M1]),FALSE))</f>
        <v>#N/A</v>
      </c>
      <c r="Q119" s="282" t="e">
        <f>IF(VLOOKUP(T_Convention[[#This Row],[NumL]],T_TraitDi[#Data],COLUMN(T_TraitDi[M2]),FALSE)="","",VLOOKUP(T_Convention[[#This Row],[NumL]],T_TraitDi[#Data],COLUMN(T_TraitDi[M2]),FALSE))</f>
        <v>#N/A</v>
      </c>
      <c r="R119" s="282" t="e">
        <f>IF(VLOOKUP(T_Convention[[#This Row],[NumL]],T_TraitDi[#Data],COLUMN(T_TraitDi[M3]),FALSE)="","",VLOOKUP(T_Convention[[#This Row],[NumL]],T_TraitDi[#Data],COLUMN(T_TraitDi[M3]),FALSE))</f>
        <v>#N/A</v>
      </c>
      <c r="S119" s="282" t="e">
        <f>IF(VLOOKUP(T_Convention[[#This Row],[NumL]],T_TraitDi[#Data],COLUMN(T_TraitDi[M4]),FALSE)="","",VLOOKUP(T_Convention[[#This Row],[NumL]],T_TraitDi[#Data],COLUMN(T_TraitDi[M4]),FALSE))</f>
        <v>#N/A</v>
      </c>
      <c r="T119" s="282" t="e">
        <f>IF(VLOOKUP(T_Convention[[#This Row],[NumL]],T_TraitDi[#Data],COLUMN(T_TraitDi[M5]),FALSE)="","",VLOOKUP(T_Convention[[#This Row],[NumL]],T_TraitDi[#Data],COLUMN(T_TraitDi[M5]),FALSE))</f>
        <v>#N/A</v>
      </c>
      <c r="U119" s="282" t="e">
        <f>IF(VLOOKUP(T_Convention[[#This Row],[NumL]],T_TraitDi[#Data],COLUMN(T_TraitDi[M6]),FALSE)="","",VLOOKUP(T_Convention[[#This Row],[NumL]],T_TraitDi[#Data],COLUMN(T_TraitDi[M6]),FALSE))</f>
        <v>#N/A</v>
      </c>
      <c r="V119" s="176" t="e">
        <f t="shared" si="9"/>
        <v>#N/A</v>
      </c>
      <c r="W119" s="284" t="str">
        <f>IFERROR(TEXT(VLOOKUP(T_Convention[[#This Row],[NumL]],T_TraitDi[#Data],COLUMN(T_TraitDi[Q2]),FALSE),"###%"),"")</f>
        <v/>
      </c>
      <c r="X119" s="97" t="e">
        <f>VLOOKUP(T_Convention[[#This Row],[NumL]],T_TraitDi[#Data],COLUMN(T_TraitDi[Reg Ponct]),FALSE)</f>
        <v>#N/A</v>
      </c>
      <c r="Y119" s="97" t="e">
        <f>VLOOKUP(T_Convention[NumL],T_TraitDi[#Data],COLUMN(T_TraitDi[Jours flottants]),FALSE)</f>
        <v>#N/A</v>
      </c>
      <c r="Z119" s="284" t="str">
        <f>IFERROR(VLOOKUP(T_Convention[[#This Row],[NumL]],T_TraitDi[#Data],COLUMN(T_TraitDi[Lundi]),FALSE),"")</f>
        <v/>
      </c>
      <c r="AA119" s="284" t="e">
        <f>IF(VLOOKUP(T_Convention[[#This Row],[NumL]],T_TraitDi[#Data],COLUMN(T_TraitDi[Colonne3]),FALSE)=0,"",TEXT(IFERROR(VLOOKUP(T_Convention[[#This Row],[NumL]],T_TraitDi[#Data],COLUMN(T_TraitDi[Colonne3]),FALSE),""),"[hh]:mm"))</f>
        <v>#N/A</v>
      </c>
      <c r="AB119" s="284" t="e">
        <f>IF(VLOOKUP(T_Convention[[#This Row],[NumL]],T_TraitDi[#Data],COLUMN(T_TraitDi[Colonne4]),FALSE)=0,"",TEXT(IFERROR(VLOOKUP(T_Convention[[#This Row],[NumL]],T_TraitDi[#Data],COLUMN(T_TraitDi[Colonne4]),FALSE),""),"[hh]:mm"))</f>
        <v>#N/A</v>
      </c>
      <c r="AC119" s="284" t="e">
        <f>IF(VLOOKUP(T_Convention[[#This Row],[NumL]],T_TraitDi[#Data],COLUMN(T_TraitDi[Colonne5]),FALSE)=0,"",TEXT(IFERROR(VLOOKUP(T_Convention[[#This Row],[NumL]],T_TraitDi[#Data],COLUMN(T_TraitDi[Colonne5]),FALSE),""),"[hh]:mm"))</f>
        <v>#N/A</v>
      </c>
      <c r="AD119" s="284" t="e">
        <f>IF(VLOOKUP(T_Convention[[#This Row],[NumL]],T_TraitDi[#Data],COLUMN(T_TraitDi[Colonne6]),FALSE)=0,"",TEXT(IFERROR(VLOOKUP(T_Convention[[#This Row],[NumL]],T_TraitDi[#Data],COLUMN(T_TraitDi[Colonne6]),FALSE),""),"[hh]:mm"))</f>
        <v>#N/A</v>
      </c>
      <c r="AE119" s="284" t="e">
        <f>IF(VLOOKUP(T_Convention[[#This Row],[NumL]],T_TraitDi[#Data],COLUMN(T_TraitDi[Colonne7]),FALSE)=0,"",TEXT(IFERROR(VLOOKUP(T_Convention[[#This Row],[NumL]],T_TraitDi[#Data],COLUMN(T_TraitDi[Colonne7]),FALSE),""),"[hh]:mm"))</f>
        <v>#N/A</v>
      </c>
      <c r="AF119" s="284" t="e">
        <f>IF(VLOOKUP(T_Convention[[#This Row],[NumL]],T_TraitDi[#Data],COLUMN(T_TraitDi[Colonne8]),FALSE)=0,"",TEXT(IFERROR(VLOOKUP(T_Convention[[#This Row],[NumL]],T_TraitDi[#Data],COLUMN(T_TraitDi[Colonne8]),FALSE),""),"[hh]:mm"))</f>
        <v>#N/A</v>
      </c>
      <c r="AG119" s="284" t="str">
        <f>IFERROR(VLOOKUP(T_Convention[[#This Row],[NumL]],T_TraitDi[#Data],COLUMN(T_TraitDi[Mardi]),FALSE),"")</f>
        <v/>
      </c>
      <c r="AH119" s="284" t="e">
        <f>IF(VLOOKUP(T_Convention[[#This Row],[NumL]],T_TraitDi[#Data],COLUMN(T_TraitDi[Colonne1]),FALSE)=0,"",TEXT(IFERROR(VLOOKUP(T_Convention[[#This Row],[NumL]],T_TraitDi[#Data],COLUMN(T_TraitDi[Colonne1]),FALSE),""),"[hh]:mm"))</f>
        <v>#N/A</v>
      </c>
      <c r="AI119" s="284" t="e">
        <f>IF(VLOOKUP(T_Convention[[#This Row],[NumL]],T_TraitDi[#Data],COLUMN(T_TraitDi[Colonne9]),FALSE)=0,"",TEXT(IFERROR(VLOOKUP(T_Convention[[#This Row],[NumL]],T_TraitDi[#Data],COLUMN(T_TraitDi[Colonne9]),FALSE),""),"[hh]:mm"))</f>
        <v>#N/A</v>
      </c>
      <c r="AJ119" s="284" t="str">
        <f>IFERROR(VLOOKUP(T_Convention[[#This Row],[NumL]],T_TraitDi[#Data],COLUMN(T_TraitDi[Colonne10]),FALSE),"")</f>
        <v/>
      </c>
      <c r="AK119" s="284" t="e">
        <f>IF(VLOOKUP(T_Convention[[#This Row],[NumL]],T_TraitDi[#Data],COLUMN(T_TraitDi[Colonne11]),FALSE)=0,"",TEXT(IFERROR(VLOOKUP(T_Convention[[#This Row],[NumL]],T_TraitDi[#Data],COLUMN(T_TraitDi[Colonne11]),FALSE),""),"[hh]:mm"))</f>
        <v>#N/A</v>
      </c>
      <c r="AL119" s="284" t="e">
        <f>IF(VLOOKUP(T_Convention[[#This Row],[NumL]],T_TraitDi[#Data],COLUMN(T_TraitDi[Colonne12]),FALSE)=0,"",TEXT(IFERROR(VLOOKUP(T_Convention[[#This Row],[NumL]],T_TraitDi[#Data],COLUMN(T_TraitDi[Colonne12]),FALSE),""),"[hh]:mm"))</f>
        <v>#N/A</v>
      </c>
      <c r="AM119" s="284" t="e">
        <f>IF(VLOOKUP(T_Convention[[#This Row],[NumL]],T_TraitDi[#Data],COLUMN(T_TraitDi[Colonne14]),FALSE)=0,"",TEXT(IFERROR(VLOOKUP(T_Convention[[#This Row],[NumL]],T_TraitDi[#Data],COLUMN(T_TraitDi[Colonne14]),FALSE),""),"[hh]:mm"))</f>
        <v>#N/A</v>
      </c>
      <c r="AN119" s="284" t="str">
        <f>IFERROR(VLOOKUP(T_Convention[[#This Row],[NumL]],T_TraitDi[#Data],COLUMN(T_TraitDi[Mercredi]),FALSE),"")</f>
        <v/>
      </c>
      <c r="AO119" s="284" t="e">
        <f>IF(VLOOKUP(T_Convention[[#This Row],[NumL]],T_TraitDi[#Data],COLUMN(T_TraitDi[Colonne15]),FALSE)=0,"",TEXT(IFERROR(VLOOKUP(T_Convention[[#This Row],[NumL]],T_TraitDi[#Data],COLUMN(T_TraitDi[Colonne15]),FALSE),""),"[hh]:mm"))</f>
        <v>#N/A</v>
      </c>
      <c r="AP119" s="284" t="e">
        <f>IF(VLOOKUP(T_Convention[[#This Row],[NumL]],T_TraitDi[#Data],COLUMN(T_TraitDi[Colonne16]),FALSE)=0,"",TEXT(IFERROR(VLOOKUP(T_Convention[[#This Row],[NumL]],T_TraitDi[#Data],COLUMN(T_TraitDi[Colonne16]),FALSE),""),"[hh]:mm"))</f>
        <v>#N/A</v>
      </c>
      <c r="AQ119" s="284" t="str">
        <f>IFERROR(VLOOKUP(T_Convention[[#This Row],[NumL]],T_TraitDi[#Data],COLUMN(T_TraitDi[Colonne17]),FALSE),"")</f>
        <v/>
      </c>
      <c r="AR119" s="284" t="e">
        <f>IF(VLOOKUP(T_Convention[[#This Row],[NumL]],T_TraitDi[#Data],COLUMN(T_TraitDi[Colonne18]),FALSE)=0,"",TEXT(IFERROR(VLOOKUP(T_Convention[[#This Row],[NumL]],T_TraitDi[#Data],COLUMN(T_TraitDi[Colonne18]),FALSE),""),"[hh]:mm"))</f>
        <v>#N/A</v>
      </c>
      <c r="AS119" s="284" t="e">
        <f>IF(VLOOKUP(T_Convention[[#This Row],[NumL]],T_TraitDi[#Data],COLUMN(T_TraitDi[Colonne19]),FALSE)=0,"",TEXT(IFERROR(VLOOKUP(T_Convention[[#This Row],[NumL]],T_TraitDi[#Data],COLUMN(T_TraitDi[Colonne19]),FALSE),""),"[hh]:mm"))</f>
        <v>#N/A</v>
      </c>
      <c r="AT119" s="284" t="e">
        <f>IF(VLOOKUP(T_Convention[[#This Row],[NumL]],T_TraitDi[#Data],COLUMN(T_TraitDi[Colonne20]),FALSE)=0,"",TEXT(IFERROR(VLOOKUP(T_Convention[[#This Row],[NumL]],T_TraitDi[#Data],COLUMN(T_TraitDi[Colonne20]),FALSE),""),"[hh]:mm"))</f>
        <v>#N/A</v>
      </c>
      <c r="AU119" s="284" t="str">
        <f>IFERROR(VLOOKUP(T_Convention[[#This Row],[NumL]],T_TraitDi[#Data],COLUMN(T_TraitDi[Jeudi]),FALSE),"")</f>
        <v/>
      </c>
      <c r="AV119" s="284" t="e">
        <f>IF(VLOOKUP(T_Convention[[#This Row],[NumL]],T_TraitDi[#Data],COLUMN(T_TraitDi[Colonne21]),FALSE)=0,"",TEXT(IFERROR(VLOOKUP(T_Convention[[#This Row],[NumL]],T_TraitDi[#Data],COLUMN(T_TraitDi[Colonne21]),FALSE),""),"[hh]:mm"))</f>
        <v>#N/A</v>
      </c>
      <c r="AW119" s="284" t="e">
        <f>IF(VLOOKUP(T_Convention[[#This Row],[NumL]],T_TraitDi[#Data],COLUMN(T_TraitDi[Colonne22]),FALSE)=0,"",TEXT(IFERROR(VLOOKUP(T_Convention[[#This Row],[NumL]],T_TraitDi[#Data],COLUMN(T_TraitDi[Colonne22]),FALSE),""),"[hh]:mm"))</f>
        <v>#N/A</v>
      </c>
      <c r="AX119" s="284" t="str">
        <f>IFERROR(VLOOKUP(T_Convention[[#This Row],[NumL]],T_TraitDi[#Data],COLUMN(T_TraitDi[Colonne23]),FALSE),"")</f>
        <v/>
      </c>
      <c r="AY119" s="284" t="e">
        <f>IF(VLOOKUP(T_Convention[[#This Row],[NumL]],T_TraitDi[#Data],COLUMN(T_TraitDi[Colonne24]),FALSE)=0,"",TEXT(IFERROR(VLOOKUP(T_Convention[[#This Row],[NumL]],T_TraitDi[#Data],COLUMN(T_TraitDi[Colonne24]),FALSE),""),"[hh]:mm"))</f>
        <v>#N/A</v>
      </c>
      <c r="AZ119" s="284" t="e">
        <f>IF(VLOOKUP(T_Convention[[#This Row],[NumL]],T_TraitDi[#Data],COLUMN(T_TraitDi[Colonne25]),FALSE)=0,"",TEXT(IFERROR(VLOOKUP(T_Convention[[#This Row],[NumL]],T_TraitDi[#Data],COLUMN(T_TraitDi[Colonne25]),FALSE),""),"[hh]:mm"))</f>
        <v>#N/A</v>
      </c>
      <c r="BA119" s="284" t="e">
        <f>IF(VLOOKUP(T_Convention[[#This Row],[NumL]],T_TraitDi[#Data],COLUMN(T_TraitDi[Colonne26]),FALSE)=0,"",TEXT(IFERROR(VLOOKUP(T_Convention[[#This Row],[NumL]],T_TraitDi[#Data],COLUMN(T_TraitDi[Colonne26]),FALSE),""),"[hh]:mm"))</f>
        <v>#N/A</v>
      </c>
      <c r="BB119" s="284" t="str">
        <f>IFERROR(VLOOKUP(T_Convention[[#This Row],[NumL]],T_TraitDi[#Data],COLUMN(T_TraitDi[Vendredi]),FALSE),"")</f>
        <v/>
      </c>
      <c r="BC119" s="284" t="e">
        <f>IF(VLOOKUP(T_Convention[[#This Row],[NumL]],T_TraitDi[#Data],COLUMN(T_TraitDi[Colonne27]),FALSE)=0,"",TEXT(IFERROR(VLOOKUP(T_Convention[[#This Row],[NumL]],T_TraitDi[#Data],COLUMN(T_TraitDi[Colonne27]),FALSE),""),"[hh]:mm"))</f>
        <v>#N/A</v>
      </c>
      <c r="BD119" s="284" t="e">
        <f>IF(VLOOKUP(T_Convention[[#This Row],[NumL]],T_TraitDi[#Data],COLUMN(T_TraitDi[Colonne28]),FALSE)=0,"",TEXT(IFERROR(VLOOKUP(T_Convention[[#This Row],[NumL]],T_TraitDi[#Data],COLUMN(T_TraitDi[Colonne28]),FALSE),""),"[hh]:mm"))</f>
        <v>#N/A</v>
      </c>
      <c r="BE119" s="284" t="str">
        <f>IFERROR(VLOOKUP(T_Convention[[#This Row],[NumL]],T_TraitDi[#Data],COLUMN(T_TraitDi[Colonne29]),FALSE),"")</f>
        <v/>
      </c>
      <c r="BF119" s="284" t="e">
        <f>IF(VLOOKUP(T_Convention[[#This Row],[NumL]],T_TraitDi[#Data],COLUMN(T_TraitDi[Colonne30]),FALSE)=0,"",TEXT(IFERROR(VLOOKUP(T_Convention[[#This Row],[NumL]],T_TraitDi[#Data],COLUMN(T_TraitDi[Colonne30]),FALSE),""),"[hh]:mm"))</f>
        <v>#N/A</v>
      </c>
      <c r="BG119" s="284" t="e">
        <f>IF(VLOOKUP(T_Convention[[#This Row],[NumL]],T_TraitDi[#Data],COLUMN(T_TraitDi[Colonne31]),FALSE)=0,"",TEXT(IFERROR(VLOOKUP(T_Convention[[#This Row],[NumL]],T_TraitDi[#Data],COLUMN(T_TraitDi[Colonne31]),FALSE),""),"[hh]:mm"))</f>
        <v>#N/A</v>
      </c>
      <c r="BH119" s="284" t="e">
        <f>IF(VLOOKUP(T_Convention[[#This Row],[NumL]],T_TraitDi[#Data],COLUMN(T_TraitDi[Colonne32]),FALSE)=0,"",TEXT(IFERROR(VLOOKUP(T_Convention[[#This Row],[NumL]],T_TraitDi[#Data],COLUMN(T_TraitDi[Colonne32]),FALSE),""),"[hh]:mm"))</f>
        <v>#N/A</v>
      </c>
      <c r="BI119" s="284" t="str">
        <f>IFERROR(VLOOKUP(T_Convention[[#This Row],[NumL]],T_TraitDi[#Data],COLUMN(T_TraitDi[NbJTW]),FALSE),"")</f>
        <v/>
      </c>
      <c r="BJ119" s="284" t="e">
        <f>IF(VLOOKUP(T_Convention[[#This Row],[NumL]],T_TraitDi[#Data],COLUMN(T_TraitDi[NbhTW]),FALSE)=0,"",TEXT(IFERROR(VLOOKUP(T_Convention[[#This Row],[NumL]],T_TraitDi[#Data],COLUMN(T_TraitDi[NbhTW]),FALSE),""),"[hh]:mm"))</f>
        <v>#N/A</v>
      </c>
      <c r="BK119" s="286" t="e">
        <f>IF(VLOOKUP(T_Convention[[#This Row],[NumL]],T_TraitDi[#Data],COLUMN(T_TraitDi[Nbhheb]),FALSE)=0,"",TEXT(IFERROR(VLOOKUP(T_Convention[[#This Row],[NumL]],T_TraitDi[#Data],COLUMN(T_TraitDi[Nbhheb]),FALSE),""),"[hh]:mm"))</f>
        <v>#N/A</v>
      </c>
      <c r="BL119" s="287" t="str">
        <f>IFERROR(VLOOKUP(VLOOKUP(T_Convention[[#This Row],[NumL]],T_TraitDi[#Data],COLUMN(T_TraitDi[Type1]),FALSE),TypeTW,2,FALSE),"")</f>
        <v/>
      </c>
      <c r="BM119" s="288" t="str">
        <f>IFERROR(VLOOKUP(T_Convention[[#This Row],[NumL]],T_TraitDi[#Data],COLUMN(T_TraitDi[Rue1]),FALSE),"")</f>
        <v/>
      </c>
      <c r="BN119" s="289" t="str">
        <f>IFERROR(VLOOKUP(T_Convention[[#This Row],[NumL]],T_TraitDi[#Data],COLUMN(T_TraitDi[CP1]),FALSE),"")</f>
        <v/>
      </c>
      <c r="BO119" s="282" t="str">
        <f>IFERROR(VLOOKUP(T_Convention[[#This Row],[NumL]],T_TraitDi[#Data],COLUMN(T_TraitDi[VILLE1]),FALSE),"")</f>
        <v/>
      </c>
      <c r="BP119" s="290" t="str">
        <f>IFERROR(VLOOKUP(VLOOKUP(T_Convention[[#This Row],[NumL]],T_TraitDi[#Data],COLUMN(T_TraitDi[Type2]),FALSE),TypeTW,2,FALSE),"")</f>
        <v/>
      </c>
      <c r="BQ119" s="182" t="str">
        <f>IFERROR(VLOOKUP(T_Convention[[#This Row],[NumL]],T_TraitDi[#Data],COLUMN(T_TraitDi[Rue2]),FALSE),"")</f>
        <v/>
      </c>
      <c r="BR119" s="173" t="str">
        <f>IFERROR(VLOOKUP(T_Convention[[#This Row],[NumL]],T_TraitDi[#Data],COLUMN(T_TraitDi[CP2]),FALSE),"")</f>
        <v/>
      </c>
      <c r="BS119" s="173" t="str">
        <f>IFERROR(VLOOKUP(T_Convention[[#This Row],[NumL]],T_TraitDi[#Data],COLUMN(T_TraitDi[VILLE2]),FALSE),"")</f>
        <v/>
      </c>
      <c r="BT119" s="182" t="str">
        <f>IF(VLOOKUP(T_Convention[[#This Row],[NumL]],T_Equipement[#Data],COLUMN(T_Equipement[PC]),FALSE)="","Aucun équipement spécifique directement lié au télétravail",VLOOKUP(T_Convention[[#This Row],[NumL]],T_Equipement[#Data],COLUMN(T_Equipement[PC]),FALSE))</f>
        <v xml:space="preserve">20-330	</v>
      </c>
      <c r="BU119" s="166" t="str">
        <f>IFERROR(IF(VLOOKUP(T_Convention[[#This Row],[NumL]],T_TraitDi[#Data],COLUMN(T_TraitDi[Plan]),FALSE)="OK","Un planning spécifique de télétravail est annexé à la présente convention.",""),"")</f>
        <v/>
      </c>
      <c r="BV119" s="185" t="s">
        <v>3403</v>
      </c>
      <c r="BW119" s="164" t="e">
        <f>IF(VLOOKUP(T_Convention[[#This Row],[NumL]],T_suiviDi[#Data],COLUMN(T_suiviDi[Entité]),FALSE)="","",VLOOKUP(T_Convention[[#This Row],[NumL]],T_suiviDi[#Data],COLUMN(T_suiviDi[Entité]),FALSE))</f>
        <v>#N/A</v>
      </c>
      <c r="BX119" s="164" t="str">
        <f>IF(VLOOKUP(T_Convention[[#This Row],[NumL]],T_Commission[#Data],COLUMN(T_Commission[envoi confirm TW]),FALSE)="","",VLOOKUP(T_Convention[[#This Row],[NumL]],T_Commission[#Data],COLUMN(T_Commission[envoi confirm TW]),FALSE))</f>
        <v>Oui</v>
      </c>
      <c r="BY11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19" s="264">
        <f>VLOOKUP(T_Convention[[#This Row],[NumL]],T_Commission[#Data],COLUMN(T_Commission[Commentaire]),FALSE)</f>
        <v>0</v>
      </c>
      <c r="CA119" s="254" t="str">
        <f>IF(VLOOKUP(T_Convention[[#This Row],[NumL]],T_Commission[#Data],COLUMN(T_Commission[Encadrant Email]),FALSE)="","",VLOOKUP(T_Convention[[#This Row],[NumL]],T_Commission[#Data],COLUMN(T_Commission[Encadrant Email]),FALSE))</f>
        <v/>
      </c>
      <c r="CB119" s="352" t="e">
        <f>VLOOKUP(T_Convention[[#This Row],[NumL]],T_TraitDi[#Data],COLUMN(T_TraitDi[NbJTot]),FALSE)</f>
        <v>#N/A</v>
      </c>
      <c r="CC119" s="352" t="e">
        <f>VLOOKUP(T_Convention[[#This Row],[NumL]],T_TraitDi[#Data],COLUMN(T_TraitDi[Reg Ponct]),FALSE)</f>
        <v>#N/A</v>
      </c>
      <c r="CD119" s="348" t="str">
        <f>IF(T_Convention[[#This Row],[Final]]&lt;&gt;"",VLOOKUP(T_Convention[[#This Row],[NumL]],T_suiviDi[#Data],COLUMN((T_suiviDi[Statut])),FALSE),"")</f>
        <v/>
      </c>
    </row>
    <row r="120" spans="1:82" s="106" customFormat="1" ht="18.75" customHeight="1" x14ac:dyDescent="0.25">
      <c r="A120" s="160">
        <v>305</v>
      </c>
      <c r="B120" s="281" t="str">
        <f>VLOOKUP(T_Convention[[#This Row],[NumL]],T_Commission[#Data],COLUMN(T_Commission[FINAL]),FALSE)</f>
        <v/>
      </c>
      <c r="C120" s="162"/>
      <c r="D120" s="95" t="e">
        <f>IF(VLOOKUP(T_Convention[[#This Row],[NumL]],T_TraitDi[#Data],COLUMN(T_TraitDi[WebC]),FALSE)="","",VLOOKUP(T_Convention[[#This Row],[NumL]],T_TraitDi[#Data],COLUMN(T_TraitDi[WebC]),FALSE))</f>
        <v>#N/A</v>
      </c>
      <c r="E120" s="163" t="str">
        <f t="shared" si="5"/>
        <v>12 janvier 2021</v>
      </c>
      <c r="F120" s="282" t="str">
        <f>IF(T_Convention[[#This Row],[Final]]&lt;&gt;"",VLOOKUP(T_Convention[[#This Row],[NumL]],T_suiviDi[#Data],COLUMN((T_suiviDi[Civ.])),FALSE),"")</f>
        <v/>
      </c>
      <c r="G120" s="283" t="str">
        <f>IF(T_Convention[[#This Row],[Final]]&lt;&gt;"",VLOOKUP(T_Convention[[#This Row],[NumL]],T_suiviDi[#Data],COLUMN((T_suiviDi[Nom])),FALSE),"")</f>
        <v/>
      </c>
      <c r="H120" s="282" t="str">
        <f>IF(T_Convention[[#This Row],[Final]]&lt;&gt;"",VLOOKUP(T_Convention[[#This Row],[NumL]],T_suiviDi[#Data],COLUMN((T_suiviDi[Prénom])),FALSE),"")</f>
        <v/>
      </c>
      <c r="I120" s="282" t="e">
        <f>VLOOKUP(T_Convention[[#This Row],[NumL]],T_suiviDi[#Data],COLUMN((T_suiviDi[[#This Row],[Email]])),FALSE)</f>
        <v>#VALUE!</v>
      </c>
      <c r="J120" s="282" t="e">
        <f>IF(VLOOKUP(T_Convention[[#This Row],[NumL]],T_suiviDi[#Data],COLUMN(T_suiviDi[[#This Row],[Fonction]]),FALSE)="","",VLOOKUP(T_Convention[[#This Row],[NumL]],T_suiviDi[#Data],COLUMN(T_suiviDi[[#This Row],[Fonction]]),FALSE))</f>
        <v>#VALUE!</v>
      </c>
      <c r="K120" s="282" t="e">
        <f>IF(VLOOKUP(T_Convention[[#This Row],[NumL]],T_suiviDi[#Data],COLUMN(T_suiviDi[[#This Row],[Grade]]),FALSE)="","",VLOOKUP(T_Convention[[#This Row],[NumL]],T_suiviDi[#Data],COLUMN(T_suiviDi[[#This Row],[Grade]]),FALSE))</f>
        <v>#VALUE!</v>
      </c>
      <c r="L120" s="282" t="e">
        <f>IF(VLOOKUP(T_Convention[[#This Row],[NumL]],T_suiviDi[#Data],COLUMN(T_suiviDi[[#This Row],[Service ]]),FALSE)="","",VLOOKUP(T_Convention[[#This Row],[NumL]],T_suiviDi[#Data],COLUMN(T_suiviDi[[#This Row],[Service ]]),FALSE))</f>
        <v>#VALUE!</v>
      </c>
      <c r="M120" s="314" t="str">
        <f t="shared" si="6"/>
        <v>01 septembre 2021</v>
      </c>
      <c r="N120" s="314" t="str">
        <f t="shared" si="7"/>
        <v>30 novembre 2021</v>
      </c>
      <c r="O120" s="284" t="str">
        <f t="shared" si="8"/>
        <v>30 novembre 2021</v>
      </c>
      <c r="P120" s="282" t="e">
        <f>IF(VLOOKUP(T_Convention[[#This Row],[NumL]],T_TraitDi[#Data],COLUMN(T_TraitDi[M1]),FALSE)="","",VLOOKUP(T_Convention[[#This Row],[NumL]],T_TraitDi[#Data],COLUMN(T_TraitDi[M1]),FALSE))</f>
        <v>#N/A</v>
      </c>
      <c r="Q120" s="282" t="e">
        <f>IF(VLOOKUP(T_Convention[[#This Row],[NumL]],T_TraitDi[#Data],COLUMN(T_TraitDi[M2]),FALSE)="","",VLOOKUP(T_Convention[[#This Row],[NumL]],T_TraitDi[#Data],COLUMN(T_TraitDi[M2]),FALSE))</f>
        <v>#N/A</v>
      </c>
      <c r="R120" s="282" t="e">
        <f>IF(VLOOKUP(T_Convention[[#This Row],[NumL]],T_TraitDi[#Data],COLUMN(T_TraitDi[M3]),FALSE)="","",VLOOKUP(T_Convention[[#This Row],[NumL]],T_TraitDi[#Data],COLUMN(T_TraitDi[M3]),FALSE))</f>
        <v>#N/A</v>
      </c>
      <c r="S120" s="282" t="e">
        <f>IF(VLOOKUP(T_Convention[[#This Row],[NumL]],T_TraitDi[#Data],COLUMN(T_TraitDi[M4]),FALSE)="","",VLOOKUP(T_Convention[[#This Row],[NumL]],T_TraitDi[#Data],COLUMN(T_TraitDi[M4]),FALSE))</f>
        <v>#N/A</v>
      </c>
      <c r="T120" s="282" t="e">
        <f>IF(VLOOKUP(T_Convention[[#This Row],[NumL]],T_TraitDi[#Data],COLUMN(T_TraitDi[M5]),FALSE)="","",VLOOKUP(T_Convention[[#This Row],[NumL]],T_TraitDi[#Data],COLUMN(T_TraitDi[M5]),FALSE))</f>
        <v>#N/A</v>
      </c>
      <c r="U120" s="282" t="e">
        <f>IF(VLOOKUP(T_Convention[[#This Row],[NumL]],T_TraitDi[#Data],COLUMN(T_TraitDi[M6]),FALSE)="","",VLOOKUP(T_Convention[[#This Row],[NumL]],T_TraitDi[#Data],COLUMN(T_TraitDi[M6]),FALSE))</f>
        <v>#N/A</v>
      </c>
      <c r="V120" s="314" t="e">
        <f t="shared" si="9"/>
        <v>#N/A</v>
      </c>
      <c r="W120" s="284" t="str">
        <f>IFERROR(TEXT(VLOOKUP(T_Convention[[#This Row],[NumL]],T_TraitDi[#Data],COLUMN(T_TraitDi[Q2]),FALSE),"###%"),"")</f>
        <v/>
      </c>
      <c r="X120" s="285" t="e">
        <f>VLOOKUP(T_Convention[[#This Row],[NumL]],T_TraitDi[#Data],COLUMN(T_TraitDi[Reg Ponct]),FALSE)</f>
        <v>#N/A</v>
      </c>
      <c r="Y120" s="285" t="e">
        <f>VLOOKUP(T_Convention[NumL],T_TraitDi[#Data],COLUMN(T_TraitDi[Jours flottants]),FALSE)</f>
        <v>#N/A</v>
      </c>
      <c r="Z120" s="284" t="str">
        <f>IFERROR(VLOOKUP(T_Convention[[#This Row],[NumL]],T_TraitDi[#Data],COLUMN(T_TraitDi[Lundi]),FALSE),"")</f>
        <v/>
      </c>
      <c r="AA120" s="284" t="e">
        <f>IF(VLOOKUP(T_Convention[[#This Row],[NumL]],T_TraitDi[#Data],COLUMN(T_TraitDi[Colonne3]),FALSE)=0,"",TEXT(IFERROR(VLOOKUP(T_Convention[[#This Row],[NumL]],T_TraitDi[#Data],COLUMN(T_TraitDi[Colonne3]),FALSE),""),"[hh]:mm"))</f>
        <v>#N/A</v>
      </c>
      <c r="AB120" s="284" t="e">
        <f>IF(VLOOKUP(T_Convention[[#This Row],[NumL]],T_TraitDi[#Data],COLUMN(T_TraitDi[Colonne4]),FALSE)=0,"",TEXT(IFERROR(VLOOKUP(T_Convention[[#This Row],[NumL]],T_TraitDi[#Data],COLUMN(T_TraitDi[Colonne4]),FALSE),""),"[hh]:mm"))</f>
        <v>#N/A</v>
      </c>
      <c r="AC120" s="284" t="e">
        <f>IF(VLOOKUP(T_Convention[[#This Row],[NumL]],T_TraitDi[#Data],COLUMN(T_TraitDi[Colonne5]),FALSE)=0,"",TEXT(IFERROR(VLOOKUP(T_Convention[[#This Row],[NumL]],T_TraitDi[#Data],COLUMN(T_TraitDi[Colonne5]),FALSE),""),"[hh]:mm"))</f>
        <v>#N/A</v>
      </c>
      <c r="AD120" s="284" t="e">
        <f>IF(VLOOKUP(T_Convention[[#This Row],[NumL]],T_TraitDi[#Data],COLUMN(T_TraitDi[Colonne6]),FALSE)=0,"",TEXT(IFERROR(VLOOKUP(T_Convention[[#This Row],[NumL]],T_TraitDi[#Data],COLUMN(T_TraitDi[Colonne6]),FALSE),""),"[hh]:mm"))</f>
        <v>#N/A</v>
      </c>
      <c r="AE120" s="284" t="e">
        <f>IF(VLOOKUP(T_Convention[[#This Row],[NumL]],T_TraitDi[#Data],COLUMN(T_TraitDi[Colonne7]),FALSE)=0,"",TEXT(IFERROR(VLOOKUP(T_Convention[[#This Row],[NumL]],T_TraitDi[#Data],COLUMN(T_TraitDi[Colonne7]),FALSE),""),"[hh]:mm"))</f>
        <v>#N/A</v>
      </c>
      <c r="AF120" s="284" t="e">
        <f>IF(VLOOKUP(T_Convention[[#This Row],[NumL]],T_TraitDi[#Data],COLUMN(T_TraitDi[Colonne8]),FALSE)=0,"",TEXT(IFERROR(VLOOKUP(T_Convention[[#This Row],[NumL]],T_TraitDi[#Data],COLUMN(T_TraitDi[Colonne8]),FALSE),""),"[hh]:mm"))</f>
        <v>#N/A</v>
      </c>
      <c r="AG120" s="284" t="str">
        <f>IFERROR(VLOOKUP(T_Convention[[#This Row],[NumL]],T_TraitDi[#Data],COLUMN(T_TraitDi[Mardi]),FALSE),"")</f>
        <v/>
      </c>
      <c r="AH120" s="284" t="e">
        <f>IF(VLOOKUP(T_Convention[[#This Row],[NumL]],T_TraitDi[#Data],COLUMN(T_TraitDi[Colonne1]),FALSE)=0,"",TEXT(IFERROR(VLOOKUP(T_Convention[[#This Row],[NumL]],T_TraitDi[#Data],COLUMN(T_TraitDi[Colonne1]),FALSE),""),"[hh]:mm"))</f>
        <v>#N/A</v>
      </c>
      <c r="AI120" s="284" t="e">
        <f>IF(VLOOKUP(T_Convention[[#This Row],[NumL]],T_TraitDi[#Data],COLUMN(T_TraitDi[Colonne9]),FALSE)=0,"",TEXT(IFERROR(VLOOKUP(T_Convention[[#This Row],[NumL]],T_TraitDi[#Data],COLUMN(T_TraitDi[Colonne9]),FALSE),""),"[hh]:mm"))</f>
        <v>#N/A</v>
      </c>
      <c r="AJ120" s="284" t="str">
        <f>IFERROR(VLOOKUP(T_Convention[[#This Row],[NumL]],T_TraitDi[#Data],COLUMN(T_TraitDi[Colonne10]),FALSE),"")</f>
        <v/>
      </c>
      <c r="AK120" s="284" t="e">
        <f>IF(VLOOKUP(T_Convention[[#This Row],[NumL]],T_TraitDi[#Data],COLUMN(T_TraitDi[Colonne11]),FALSE)=0,"",TEXT(IFERROR(VLOOKUP(T_Convention[[#This Row],[NumL]],T_TraitDi[#Data],COLUMN(T_TraitDi[Colonne11]),FALSE),""),"[hh]:mm"))</f>
        <v>#N/A</v>
      </c>
      <c r="AL120" s="284" t="e">
        <f>IF(VLOOKUP(T_Convention[[#This Row],[NumL]],T_TraitDi[#Data],COLUMN(T_TraitDi[Colonne12]),FALSE)=0,"",TEXT(IFERROR(VLOOKUP(T_Convention[[#This Row],[NumL]],T_TraitDi[#Data],COLUMN(T_TraitDi[Colonne12]),FALSE),""),"[hh]:mm"))</f>
        <v>#N/A</v>
      </c>
      <c r="AM120" s="284" t="e">
        <f>IF(VLOOKUP(T_Convention[[#This Row],[NumL]],T_TraitDi[#Data],COLUMN(T_TraitDi[Colonne14]),FALSE)=0,"",TEXT(IFERROR(VLOOKUP(T_Convention[[#This Row],[NumL]],T_TraitDi[#Data],COLUMN(T_TraitDi[Colonne14]),FALSE),""),"[hh]:mm"))</f>
        <v>#N/A</v>
      </c>
      <c r="AN120" s="284" t="str">
        <f>IFERROR(VLOOKUP(T_Convention[[#This Row],[NumL]],T_TraitDi[#Data],COLUMN(T_TraitDi[Mercredi]),FALSE),"")</f>
        <v/>
      </c>
      <c r="AO120" s="284" t="e">
        <f>IF(VLOOKUP(T_Convention[[#This Row],[NumL]],T_TraitDi[#Data],COLUMN(T_TraitDi[Colonne15]),FALSE)=0,"",TEXT(IFERROR(VLOOKUP(T_Convention[[#This Row],[NumL]],T_TraitDi[#Data],COLUMN(T_TraitDi[Colonne15]),FALSE),""),"[hh]:mm"))</f>
        <v>#N/A</v>
      </c>
      <c r="AP120" s="284" t="e">
        <f>IF(VLOOKUP(T_Convention[[#This Row],[NumL]],T_TraitDi[#Data],COLUMN(T_TraitDi[Colonne16]),FALSE)=0,"",TEXT(IFERROR(VLOOKUP(T_Convention[[#This Row],[NumL]],T_TraitDi[#Data],COLUMN(T_TraitDi[Colonne16]),FALSE),""),"[hh]:mm"))</f>
        <v>#N/A</v>
      </c>
      <c r="AQ120" s="284" t="str">
        <f>IFERROR(VLOOKUP(T_Convention[[#This Row],[NumL]],T_TraitDi[#Data],COLUMN(T_TraitDi[Colonne17]),FALSE),"")</f>
        <v/>
      </c>
      <c r="AR120" s="284" t="e">
        <f>IF(VLOOKUP(T_Convention[[#This Row],[NumL]],T_TraitDi[#Data],COLUMN(T_TraitDi[Colonne18]),FALSE)=0,"",TEXT(IFERROR(VLOOKUP(T_Convention[[#This Row],[NumL]],T_TraitDi[#Data],COLUMN(T_TraitDi[Colonne18]),FALSE),""),"[hh]:mm"))</f>
        <v>#N/A</v>
      </c>
      <c r="AS120" s="284" t="e">
        <f>IF(VLOOKUP(T_Convention[[#This Row],[NumL]],T_TraitDi[#Data],COLUMN(T_TraitDi[Colonne19]),FALSE)=0,"",TEXT(IFERROR(VLOOKUP(T_Convention[[#This Row],[NumL]],T_TraitDi[#Data],COLUMN(T_TraitDi[Colonne19]),FALSE),""),"[hh]:mm"))</f>
        <v>#N/A</v>
      </c>
      <c r="AT120" s="284" t="e">
        <f>IF(VLOOKUP(T_Convention[[#This Row],[NumL]],T_TraitDi[#Data],COLUMN(T_TraitDi[Colonne20]),FALSE)=0,"",TEXT(IFERROR(VLOOKUP(T_Convention[[#This Row],[NumL]],T_TraitDi[#Data],COLUMN(T_TraitDi[Colonne20]),FALSE),""),"[hh]:mm"))</f>
        <v>#N/A</v>
      </c>
      <c r="AU120" s="284" t="str">
        <f>IFERROR(VLOOKUP(T_Convention[[#This Row],[NumL]],T_TraitDi[#Data],COLUMN(T_TraitDi[Jeudi]),FALSE),"")</f>
        <v/>
      </c>
      <c r="AV120" s="284" t="e">
        <f>IF(VLOOKUP(T_Convention[[#This Row],[NumL]],T_TraitDi[#Data],COLUMN(T_TraitDi[Colonne21]),FALSE)=0,"",TEXT(IFERROR(VLOOKUP(T_Convention[[#This Row],[NumL]],T_TraitDi[#Data],COLUMN(T_TraitDi[Colonne21]),FALSE),""),"[hh]:mm"))</f>
        <v>#N/A</v>
      </c>
      <c r="AW120" s="284" t="e">
        <f>IF(VLOOKUP(T_Convention[[#This Row],[NumL]],T_TraitDi[#Data],COLUMN(T_TraitDi[Colonne22]),FALSE)=0,"",TEXT(IFERROR(VLOOKUP(T_Convention[[#This Row],[NumL]],T_TraitDi[#Data],COLUMN(T_TraitDi[Colonne22]),FALSE),""),"[hh]:mm"))</f>
        <v>#N/A</v>
      </c>
      <c r="AX120" s="284" t="str">
        <f>IFERROR(VLOOKUP(T_Convention[[#This Row],[NumL]],T_TraitDi[#Data],COLUMN(T_TraitDi[Colonne23]),FALSE),"")</f>
        <v/>
      </c>
      <c r="AY120" s="284" t="e">
        <f>IF(VLOOKUP(T_Convention[[#This Row],[NumL]],T_TraitDi[#Data],COLUMN(T_TraitDi[Colonne24]),FALSE)=0,"",TEXT(IFERROR(VLOOKUP(T_Convention[[#This Row],[NumL]],T_TraitDi[#Data],COLUMN(T_TraitDi[Colonne24]),FALSE),""),"[hh]:mm"))</f>
        <v>#N/A</v>
      </c>
      <c r="AZ120" s="284" t="e">
        <f>IF(VLOOKUP(T_Convention[[#This Row],[NumL]],T_TraitDi[#Data],COLUMN(T_TraitDi[Colonne25]),FALSE)=0,"",TEXT(IFERROR(VLOOKUP(T_Convention[[#This Row],[NumL]],T_TraitDi[#Data],COLUMN(T_TraitDi[Colonne25]),FALSE),""),"[hh]:mm"))</f>
        <v>#N/A</v>
      </c>
      <c r="BA120" s="284" t="e">
        <f>IF(VLOOKUP(T_Convention[[#This Row],[NumL]],T_TraitDi[#Data],COLUMN(T_TraitDi[Colonne26]),FALSE)=0,"",TEXT(IFERROR(VLOOKUP(T_Convention[[#This Row],[NumL]],T_TraitDi[#Data],COLUMN(T_TraitDi[Colonne26]),FALSE),""),"[hh]:mm"))</f>
        <v>#N/A</v>
      </c>
      <c r="BB120" s="284" t="str">
        <f>IFERROR(VLOOKUP(T_Convention[[#This Row],[NumL]],T_TraitDi[#Data],COLUMN(T_TraitDi[Vendredi]),FALSE),"")</f>
        <v/>
      </c>
      <c r="BC120" s="284" t="e">
        <f>IF(VLOOKUP(T_Convention[[#This Row],[NumL]],T_TraitDi[#Data],COLUMN(T_TraitDi[Colonne27]),FALSE)=0,"",TEXT(IFERROR(VLOOKUP(T_Convention[[#This Row],[NumL]],T_TraitDi[#Data],COLUMN(T_TraitDi[Colonne27]),FALSE),""),"[hh]:mm"))</f>
        <v>#N/A</v>
      </c>
      <c r="BD120" s="284" t="e">
        <f>IF(VLOOKUP(T_Convention[[#This Row],[NumL]],T_TraitDi[#Data],COLUMN(T_TraitDi[Colonne28]),FALSE)=0,"",TEXT(IFERROR(VLOOKUP(T_Convention[[#This Row],[NumL]],T_TraitDi[#Data],COLUMN(T_TraitDi[Colonne28]),FALSE),""),"[hh]:mm"))</f>
        <v>#N/A</v>
      </c>
      <c r="BE120" s="284" t="str">
        <f>IFERROR(VLOOKUP(T_Convention[[#This Row],[NumL]],T_TraitDi[#Data],COLUMN(T_TraitDi[Colonne29]),FALSE),"")</f>
        <v/>
      </c>
      <c r="BF120" s="284" t="e">
        <f>IF(VLOOKUP(T_Convention[[#This Row],[NumL]],T_TraitDi[#Data],COLUMN(T_TraitDi[Colonne30]),FALSE)=0,"",TEXT(IFERROR(VLOOKUP(T_Convention[[#This Row],[NumL]],T_TraitDi[#Data],COLUMN(T_TraitDi[Colonne30]),FALSE),""),"[hh]:mm"))</f>
        <v>#N/A</v>
      </c>
      <c r="BG120" s="284" t="e">
        <f>IF(VLOOKUP(T_Convention[[#This Row],[NumL]],T_TraitDi[#Data],COLUMN(T_TraitDi[Colonne31]),FALSE)=0,"",TEXT(IFERROR(VLOOKUP(T_Convention[[#This Row],[NumL]],T_TraitDi[#Data],COLUMN(T_TraitDi[Colonne31]),FALSE),""),"[hh]:mm"))</f>
        <v>#N/A</v>
      </c>
      <c r="BH120" s="284" t="e">
        <f>IF(VLOOKUP(T_Convention[[#This Row],[NumL]],T_TraitDi[#Data],COLUMN(T_TraitDi[Colonne32]),FALSE)=0,"",TEXT(IFERROR(VLOOKUP(T_Convention[[#This Row],[NumL]],T_TraitDi[#Data],COLUMN(T_TraitDi[Colonne32]),FALSE),""),"[hh]:mm"))</f>
        <v>#N/A</v>
      </c>
      <c r="BI120" s="284" t="str">
        <f>IFERROR(VLOOKUP(T_Convention[[#This Row],[NumL]],T_TraitDi[#Data],COLUMN(T_TraitDi[NbJTW]),FALSE),"")</f>
        <v/>
      </c>
      <c r="BJ120" s="284" t="e">
        <f>IF(VLOOKUP(T_Convention[[#This Row],[NumL]],T_TraitDi[#Data],COLUMN(T_TraitDi[NbhTW]),FALSE)=0,"",TEXT(IFERROR(VLOOKUP(T_Convention[[#This Row],[NumL]],T_TraitDi[#Data],COLUMN(T_TraitDi[NbhTW]),FALSE),""),"[hh]:mm"))</f>
        <v>#N/A</v>
      </c>
      <c r="BK120" s="315" t="e">
        <f>IF(VLOOKUP(T_Convention[[#This Row],[NumL]],T_TraitDi[#Data],COLUMN(T_TraitDi[Nbhheb]),FALSE)=0,"",TEXT(IFERROR(VLOOKUP(T_Convention[[#This Row],[NumL]],T_TraitDi[#Data],COLUMN(T_TraitDi[Nbhheb]),FALSE),""),"[hh]:mm"))</f>
        <v>#N/A</v>
      </c>
      <c r="BL120" s="287" t="str">
        <f>IFERROR(VLOOKUP(VLOOKUP(T_Convention[[#This Row],[NumL]],T_TraitDi[#Data],COLUMN(T_TraitDi[Type1]),FALSE),TypeTW,2,FALSE),"")</f>
        <v/>
      </c>
      <c r="BM120" s="288" t="str">
        <f>IFERROR(VLOOKUP(T_Convention[[#This Row],[NumL]],T_TraitDi[#Data],COLUMN(T_TraitDi[Rue1]),FALSE),"")</f>
        <v/>
      </c>
      <c r="BN120" s="289" t="str">
        <f>IFERROR(VLOOKUP(T_Convention[[#This Row],[NumL]],T_TraitDi[#Data],COLUMN(T_TraitDi[CP1]),FALSE),"")</f>
        <v/>
      </c>
      <c r="BO120" s="282" t="str">
        <f>IFERROR(VLOOKUP(T_Convention[[#This Row],[NumL]],T_TraitDi[#Data],COLUMN(T_TraitDi[VILLE1]),FALSE),"")</f>
        <v/>
      </c>
      <c r="BP120" s="290" t="str">
        <f>IFERROR(VLOOKUP(VLOOKUP(T_Convention[[#This Row],[NumL]],T_TraitDi[#Data],COLUMN(T_TraitDi[Type2]),FALSE),TypeTW,2,FALSE),"")</f>
        <v/>
      </c>
      <c r="BQ120" s="310" t="str">
        <f>IFERROR(VLOOKUP(T_Convention[[#This Row],[NumL]],T_TraitDi[#Data],COLUMN(T_TraitDi[Rue2]),FALSE),"")</f>
        <v/>
      </c>
      <c r="BR120" s="290" t="str">
        <f>IFERROR(VLOOKUP(T_Convention[[#This Row],[NumL]],T_TraitDi[#Data],COLUMN(T_TraitDi[CP2]),FALSE),"")</f>
        <v/>
      </c>
      <c r="BS120" s="290" t="str">
        <f>IFERROR(VLOOKUP(T_Convention[[#This Row],[NumL]],T_TraitDi[#Data],COLUMN(T_TraitDi[VILLE2]),FALSE),"")</f>
        <v/>
      </c>
      <c r="BT12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20" s="314" t="str">
        <f>IFERROR(IF(VLOOKUP(T_Convention[[#This Row],[NumL]],T_TraitDi[#Data],COLUMN(T_TraitDi[Plan]),FALSE)="OK","Un planning spécifique de télétravail est annexé à la présente convention.",""),"")</f>
        <v/>
      </c>
      <c r="BV120" s="291"/>
      <c r="BW120" s="292" t="e">
        <f>IF(VLOOKUP(T_Convention[[#This Row],[NumL]],T_suiviDi[#Data],COLUMN(T_suiviDi[Entité]),FALSE)="","",VLOOKUP(T_Convention[[#This Row],[NumL]],T_suiviDi[#Data],COLUMN(T_suiviDi[Entité]),FALSE))</f>
        <v>#N/A</v>
      </c>
      <c r="BX120" s="311" t="str">
        <f>IF(VLOOKUP(T_Convention[[#This Row],[NumL]],T_Commission[#Data],COLUMN(T_Commission[envoi confirm TW]),FALSE)="","",VLOOKUP(T_Convention[[#This Row],[NumL]],T_Commission[#Data],COLUMN(T_Commission[envoi confirm TW]),FALSE))</f>
        <v>Oui</v>
      </c>
      <c r="BY12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0" s="265">
        <f>VLOOKUP(T_Convention[[#This Row],[NumL]],T_Commission[#Data],COLUMN(T_Commission[Commentaire]),FALSE)</f>
        <v>0</v>
      </c>
      <c r="CA120" s="255" t="str">
        <f>IF(VLOOKUP(T_Convention[[#This Row],[NumL]],T_Commission[#Data],COLUMN(T_Commission[Encadrant Email]),FALSE)="","",VLOOKUP(T_Convention[[#This Row],[NumL]],T_Commission[#Data],COLUMN(T_Commission[Encadrant Email]),FALSE))</f>
        <v/>
      </c>
      <c r="CB120" s="352" t="e">
        <f>VLOOKUP(T_Convention[[#This Row],[NumL]],T_TraitDi[#Data],COLUMN(T_TraitDi[NbJTot]),FALSE)</f>
        <v>#N/A</v>
      </c>
      <c r="CC120" s="352" t="e">
        <f>VLOOKUP(T_Convention[[#This Row],[NumL]],T_TraitDi[#Data],COLUMN(T_TraitDi[Reg Ponct]),FALSE)</f>
        <v>#N/A</v>
      </c>
      <c r="CD120" s="348" t="str">
        <f>IF(T_Convention[[#This Row],[Final]]&lt;&gt;"",VLOOKUP(T_Convention[[#This Row],[NumL]],T_suiviDi[#Data],COLUMN((T_suiviDi[Statut])),FALSE),"")</f>
        <v/>
      </c>
    </row>
    <row r="121" spans="1:82" s="106" customFormat="1" ht="18.75" customHeight="1" x14ac:dyDescent="0.25">
      <c r="A121" s="160">
        <v>326</v>
      </c>
      <c r="B121" s="281" t="str">
        <f>VLOOKUP(T_Convention[[#This Row],[NumL]],T_Commission[#Data],COLUMN(T_Commission[FINAL]),FALSE)</f>
        <v/>
      </c>
      <c r="C121" s="162"/>
      <c r="D121" s="95" t="e">
        <f>IF(VLOOKUP(T_Convention[[#This Row],[NumL]],T_TraitDi[#Data],COLUMN(T_TraitDi[WebC]),FALSE)="","",VLOOKUP(T_Convention[[#This Row],[NumL]],T_TraitDi[#Data],COLUMN(T_TraitDi[WebC]),FALSE))</f>
        <v>#N/A</v>
      </c>
      <c r="E121" s="163" t="str">
        <f t="shared" si="5"/>
        <v>12 janvier 2021</v>
      </c>
      <c r="F121" s="282" t="str">
        <f>IF(T_Convention[[#This Row],[Final]]&lt;&gt;"",VLOOKUP(T_Convention[[#This Row],[NumL]],T_suiviDi[#Data],COLUMN((T_suiviDi[Civ.])),FALSE),"")</f>
        <v/>
      </c>
      <c r="G121" s="283" t="str">
        <f>IF(T_Convention[[#This Row],[Final]]&lt;&gt;"",VLOOKUP(T_Convention[[#This Row],[NumL]],T_suiviDi[#Data],COLUMN((T_suiviDi[Nom])),FALSE),"")</f>
        <v/>
      </c>
      <c r="H121" s="282" t="str">
        <f>IF(T_Convention[[#This Row],[Final]]&lt;&gt;"",VLOOKUP(T_Convention[[#This Row],[NumL]],T_suiviDi[#Data],COLUMN((T_suiviDi[Prénom])),FALSE),"")</f>
        <v/>
      </c>
      <c r="I121" s="282" t="e">
        <f>VLOOKUP(T_Convention[[#This Row],[NumL]],T_suiviDi[#Data],COLUMN((T_suiviDi[[#This Row],[Email]])),FALSE)</f>
        <v>#VALUE!</v>
      </c>
      <c r="J121" s="282" t="e">
        <f>IF(VLOOKUP(T_Convention[[#This Row],[NumL]],T_suiviDi[#Data],COLUMN(T_suiviDi[[#This Row],[Fonction]]),FALSE)="","",VLOOKUP(T_Convention[[#This Row],[NumL]],T_suiviDi[#Data],COLUMN(T_suiviDi[[#This Row],[Fonction]]),FALSE))</f>
        <v>#VALUE!</v>
      </c>
      <c r="K121" s="282" t="e">
        <f>IF(VLOOKUP(T_Convention[[#This Row],[NumL]],T_suiviDi[#Data],COLUMN(T_suiviDi[[#This Row],[Grade]]),FALSE)="","",VLOOKUP(T_Convention[[#This Row],[NumL]],T_suiviDi[#Data],COLUMN(T_suiviDi[[#This Row],[Grade]]),FALSE))</f>
        <v>#VALUE!</v>
      </c>
      <c r="L121" s="282" t="e">
        <f>IF(VLOOKUP(T_Convention[[#This Row],[NumL]],T_suiviDi[#Data],COLUMN(T_suiviDi[[#This Row],[Service ]]),FALSE)="","",VLOOKUP(T_Convention[[#This Row],[NumL]],T_suiviDi[#Data],COLUMN(T_suiviDi[[#This Row],[Service ]]),FALSE))</f>
        <v>#VALUE!</v>
      </c>
      <c r="M121" s="314" t="str">
        <f t="shared" si="6"/>
        <v>01 septembre 2021</v>
      </c>
      <c r="N121" s="314" t="str">
        <f t="shared" si="7"/>
        <v>30 novembre 2021</v>
      </c>
      <c r="O121" s="284" t="str">
        <f t="shared" si="8"/>
        <v>30 novembre 2021</v>
      </c>
      <c r="P121" s="282" t="e">
        <f>IF(VLOOKUP(T_Convention[[#This Row],[NumL]],T_TraitDi[#Data],COLUMN(T_TraitDi[M1]),FALSE)="","",VLOOKUP(T_Convention[[#This Row],[NumL]],T_TraitDi[#Data],COLUMN(T_TraitDi[M1]),FALSE))</f>
        <v>#N/A</v>
      </c>
      <c r="Q121" s="282" t="e">
        <f>IF(VLOOKUP(T_Convention[[#This Row],[NumL]],T_TraitDi[#Data],COLUMN(T_TraitDi[M2]),FALSE)="","",VLOOKUP(T_Convention[[#This Row],[NumL]],T_TraitDi[#Data],COLUMN(T_TraitDi[M2]),FALSE))</f>
        <v>#N/A</v>
      </c>
      <c r="R121" s="282" t="e">
        <f>IF(VLOOKUP(T_Convention[[#This Row],[NumL]],T_TraitDi[#Data],COLUMN(T_TraitDi[M3]),FALSE)="","",VLOOKUP(T_Convention[[#This Row],[NumL]],T_TraitDi[#Data],COLUMN(T_TraitDi[M3]),FALSE))</f>
        <v>#N/A</v>
      </c>
      <c r="S121" s="282" t="e">
        <f>IF(VLOOKUP(T_Convention[[#This Row],[NumL]],T_TraitDi[#Data],COLUMN(T_TraitDi[M4]),FALSE)="","",VLOOKUP(T_Convention[[#This Row],[NumL]],T_TraitDi[#Data],COLUMN(T_TraitDi[M4]),FALSE))</f>
        <v>#N/A</v>
      </c>
      <c r="T121" s="282" t="e">
        <f>IF(VLOOKUP(T_Convention[[#This Row],[NumL]],T_TraitDi[#Data],COLUMN(T_TraitDi[M5]),FALSE)="","",VLOOKUP(T_Convention[[#This Row],[NumL]],T_TraitDi[#Data],COLUMN(T_TraitDi[M5]),FALSE))</f>
        <v>#N/A</v>
      </c>
      <c r="U121" s="282" t="e">
        <f>IF(VLOOKUP(T_Convention[[#This Row],[NumL]],T_TraitDi[#Data],COLUMN(T_TraitDi[M6]),FALSE)="","",VLOOKUP(T_Convention[[#This Row],[NumL]],T_TraitDi[#Data],COLUMN(T_TraitDi[M6]),FALSE))</f>
        <v>#N/A</v>
      </c>
      <c r="V121" s="314" t="e">
        <f t="shared" si="9"/>
        <v>#N/A</v>
      </c>
      <c r="W121" s="284" t="str">
        <f>IFERROR(TEXT(VLOOKUP(T_Convention[[#This Row],[NumL]],T_TraitDi[#Data],COLUMN(T_TraitDi[Q2]),FALSE),"###%"),"")</f>
        <v/>
      </c>
      <c r="X121" s="285" t="e">
        <f>VLOOKUP(T_Convention[[#This Row],[NumL]],T_TraitDi[#Data],COLUMN(T_TraitDi[Reg Ponct]),FALSE)</f>
        <v>#N/A</v>
      </c>
      <c r="Y121" s="285" t="e">
        <f>VLOOKUP(T_Convention[NumL],T_TraitDi[#Data],COLUMN(T_TraitDi[Jours flottants]),FALSE)</f>
        <v>#N/A</v>
      </c>
      <c r="Z121" s="284" t="str">
        <f>IFERROR(VLOOKUP(T_Convention[[#This Row],[NumL]],T_TraitDi[#Data],COLUMN(T_TraitDi[Lundi]),FALSE),"")</f>
        <v/>
      </c>
      <c r="AA121" s="284" t="e">
        <f>IF(VLOOKUP(T_Convention[[#This Row],[NumL]],T_TraitDi[#Data],COLUMN(T_TraitDi[Colonne3]),FALSE)=0,"",TEXT(IFERROR(VLOOKUP(T_Convention[[#This Row],[NumL]],T_TraitDi[#Data],COLUMN(T_TraitDi[Colonne3]),FALSE),""),"[hh]:mm"))</f>
        <v>#N/A</v>
      </c>
      <c r="AB121" s="284" t="e">
        <f>IF(VLOOKUP(T_Convention[[#This Row],[NumL]],T_TraitDi[#Data],COLUMN(T_TraitDi[Colonne4]),FALSE)=0,"",TEXT(IFERROR(VLOOKUP(T_Convention[[#This Row],[NumL]],T_TraitDi[#Data],COLUMN(T_TraitDi[Colonne4]),FALSE),""),"[hh]:mm"))</f>
        <v>#N/A</v>
      </c>
      <c r="AC121" s="284" t="e">
        <f>IF(VLOOKUP(T_Convention[[#This Row],[NumL]],T_TraitDi[#Data],COLUMN(T_TraitDi[Colonne5]),FALSE)=0,"",TEXT(IFERROR(VLOOKUP(T_Convention[[#This Row],[NumL]],T_TraitDi[#Data],COLUMN(T_TraitDi[Colonne5]),FALSE),""),"[hh]:mm"))</f>
        <v>#N/A</v>
      </c>
      <c r="AD121" s="284" t="e">
        <f>IF(VLOOKUP(T_Convention[[#This Row],[NumL]],T_TraitDi[#Data],COLUMN(T_TraitDi[Colonne6]),FALSE)=0,"",TEXT(IFERROR(VLOOKUP(T_Convention[[#This Row],[NumL]],T_TraitDi[#Data],COLUMN(T_TraitDi[Colonne6]),FALSE),""),"[hh]:mm"))</f>
        <v>#N/A</v>
      </c>
      <c r="AE121" s="284" t="e">
        <f>IF(VLOOKUP(T_Convention[[#This Row],[NumL]],T_TraitDi[#Data],COLUMN(T_TraitDi[Colonne7]),FALSE)=0,"",TEXT(IFERROR(VLOOKUP(T_Convention[[#This Row],[NumL]],T_TraitDi[#Data],COLUMN(T_TraitDi[Colonne7]),FALSE),""),"[hh]:mm"))</f>
        <v>#N/A</v>
      </c>
      <c r="AF121" s="284" t="e">
        <f>IF(VLOOKUP(T_Convention[[#This Row],[NumL]],T_TraitDi[#Data],COLUMN(T_TraitDi[Colonne8]),FALSE)=0,"",TEXT(IFERROR(VLOOKUP(T_Convention[[#This Row],[NumL]],T_TraitDi[#Data],COLUMN(T_TraitDi[Colonne8]),FALSE),""),"[hh]:mm"))</f>
        <v>#N/A</v>
      </c>
      <c r="AG121" s="284" t="str">
        <f>IFERROR(VLOOKUP(T_Convention[[#This Row],[NumL]],T_TraitDi[#Data],COLUMN(T_TraitDi[Mardi]),FALSE),"")</f>
        <v/>
      </c>
      <c r="AH121" s="284" t="e">
        <f>IF(VLOOKUP(T_Convention[[#This Row],[NumL]],T_TraitDi[#Data],COLUMN(T_TraitDi[Colonne1]),FALSE)=0,"",TEXT(IFERROR(VLOOKUP(T_Convention[[#This Row],[NumL]],T_TraitDi[#Data],COLUMN(T_TraitDi[Colonne1]),FALSE),""),"[hh]:mm"))</f>
        <v>#N/A</v>
      </c>
      <c r="AI121" s="284" t="e">
        <f>IF(VLOOKUP(T_Convention[[#This Row],[NumL]],T_TraitDi[#Data],COLUMN(T_TraitDi[Colonne9]),FALSE)=0,"",TEXT(IFERROR(VLOOKUP(T_Convention[[#This Row],[NumL]],T_TraitDi[#Data],COLUMN(T_TraitDi[Colonne9]),FALSE),""),"[hh]:mm"))</f>
        <v>#N/A</v>
      </c>
      <c r="AJ121" s="284" t="str">
        <f>IFERROR(VLOOKUP(T_Convention[[#This Row],[NumL]],T_TraitDi[#Data],COLUMN(T_TraitDi[Colonne10]),FALSE),"")</f>
        <v/>
      </c>
      <c r="AK121" s="284" t="e">
        <f>IF(VLOOKUP(T_Convention[[#This Row],[NumL]],T_TraitDi[#Data],COLUMN(T_TraitDi[Colonne11]),FALSE)=0,"",TEXT(IFERROR(VLOOKUP(T_Convention[[#This Row],[NumL]],T_TraitDi[#Data],COLUMN(T_TraitDi[Colonne11]),FALSE),""),"[hh]:mm"))</f>
        <v>#N/A</v>
      </c>
      <c r="AL121" s="284" t="e">
        <f>IF(VLOOKUP(T_Convention[[#This Row],[NumL]],T_TraitDi[#Data],COLUMN(T_TraitDi[Colonne12]),FALSE)=0,"",TEXT(IFERROR(VLOOKUP(T_Convention[[#This Row],[NumL]],T_TraitDi[#Data],COLUMN(T_TraitDi[Colonne12]),FALSE),""),"[hh]:mm"))</f>
        <v>#N/A</v>
      </c>
      <c r="AM121" s="284" t="e">
        <f>IF(VLOOKUP(T_Convention[[#This Row],[NumL]],T_TraitDi[#Data],COLUMN(T_TraitDi[Colonne14]),FALSE)=0,"",TEXT(IFERROR(VLOOKUP(T_Convention[[#This Row],[NumL]],T_TraitDi[#Data],COLUMN(T_TraitDi[Colonne14]),FALSE),""),"[hh]:mm"))</f>
        <v>#N/A</v>
      </c>
      <c r="AN121" s="284" t="str">
        <f>IFERROR(VLOOKUP(T_Convention[[#This Row],[NumL]],T_TraitDi[#Data],COLUMN(T_TraitDi[Mercredi]),FALSE),"")</f>
        <v/>
      </c>
      <c r="AO121" s="284" t="e">
        <f>IF(VLOOKUP(T_Convention[[#This Row],[NumL]],T_TraitDi[#Data],COLUMN(T_TraitDi[Colonne15]),FALSE)=0,"",TEXT(IFERROR(VLOOKUP(T_Convention[[#This Row],[NumL]],T_TraitDi[#Data],COLUMN(T_TraitDi[Colonne15]),FALSE),""),"[hh]:mm"))</f>
        <v>#N/A</v>
      </c>
      <c r="AP121" s="284" t="e">
        <f>IF(VLOOKUP(T_Convention[[#This Row],[NumL]],T_TraitDi[#Data],COLUMN(T_TraitDi[Colonne16]),FALSE)=0,"",TEXT(IFERROR(VLOOKUP(T_Convention[[#This Row],[NumL]],T_TraitDi[#Data],COLUMN(T_TraitDi[Colonne16]),FALSE),""),"[hh]:mm"))</f>
        <v>#N/A</v>
      </c>
      <c r="AQ121" s="284" t="str">
        <f>IFERROR(VLOOKUP(T_Convention[[#This Row],[NumL]],T_TraitDi[#Data],COLUMN(T_TraitDi[Colonne17]),FALSE),"")</f>
        <v/>
      </c>
      <c r="AR121" s="284" t="e">
        <f>IF(VLOOKUP(T_Convention[[#This Row],[NumL]],T_TraitDi[#Data],COLUMN(T_TraitDi[Colonne18]),FALSE)=0,"",TEXT(IFERROR(VLOOKUP(T_Convention[[#This Row],[NumL]],T_TraitDi[#Data],COLUMN(T_TraitDi[Colonne18]),FALSE),""),"[hh]:mm"))</f>
        <v>#N/A</v>
      </c>
      <c r="AS121" s="284" t="e">
        <f>IF(VLOOKUP(T_Convention[[#This Row],[NumL]],T_TraitDi[#Data],COLUMN(T_TraitDi[Colonne19]),FALSE)=0,"",TEXT(IFERROR(VLOOKUP(T_Convention[[#This Row],[NumL]],T_TraitDi[#Data],COLUMN(T_TraitDi[Colonne19]),FALSE),""),"[hh]:mm"))</f>
        <v>#N/A</v>
      </c>
      <c r="AT121" s="284" t="e">
        <f>IF(VLOOKUP(T_Convention[[#This Row],[NumL]],T_TraitDi[#Data],COLUMN(T_TraitDi[Colonne20]),FALSE)=0,"",TEXT(IFERROR(VLOOKUP(T_Convention[[#This Row],[NumL]],T_TraitDi[#Data],COLUMN(T_TraitDi[Colonne20]),FALSE),""),"[hh]:mm"))</f>
        <v>#N/A</v>
      </c>
      <c r="AU121" s="284" t="str">
        <f>IFERROR(VLOOKUP(T_Convention[[#This Row],[NumL]],T_TraitDi[#Data],COLUMN(T_TraitDi[Jeudi]),FALSE),"")</f>
        <v/>
      </c>
      <c r="AV121" s="284" t="e">
        <f>IF(VLOOKUP(T_Convention[[#This Row],[NumL]],T_TraitDi[#Data],COLUMN(T_TraitDi[Colonne21]),FALSE)=0,"",TEXT(IFERROR(VLOOKUP(T_Convention[[#This Row],[NumL]],T_TraitDi[#Data],COLUMN(T_TraitDi[Colonne21]),FALSE),""),"[hh]:mm"))</f>
        <v>#N/A</v>
      </c>
      <c r="AW121" s="284" t="e">
        <f>IF(VLOOKUP(T_Convention[[#This Row],[NumL]],T_TraitDi[#Data],COLUMN(T_TraitDi[Colonne22]),FALSE)=0,"",TEXT(IFERROR(VLOOKUP(T_Convention[[#This Row],[NumL]],T_TraitDi[#Data],COLUMN(T_TraitDi[Colonne22]),FALSE),""),"[hh]:mm"))</f>
        <v>#N/A</v>
      </c>
      <c r="AX121" s="284" t="str">
        <f>IFERROR(VLOOKUP(T_Convention[[#This Row],[NumL]],T_TraitDi[#Data],COLUMN(T_TraitDi[Colonne23]),FALSE),"")</f>
        <v/>
      </c>
      <c r="AY121" s="284" t="e">
        <f>IF(VLOOKUP(T_Convention[[#This Row],[NumL]],T_TraitDi[#Data],COLUMN(T_TraitDi[Colonne24]),FALSE)=0,"",TEXT(IFERROR(VLOOKUP(T_Convention[[#This Row],[NumL]],T_TraitDi[#Data],COLUMN(T_TraitDi[Colonne24]),FALSE),""),"[hh]:mm"))</f>
        <v>#N/A</v>
      </c>
      <c r="AZ121" s="284" t="e">
        <f>IF(VLOOKUP(T_Convention[[#This Row],[NumL]],T_TraitDi[#Data],COLUMN(T_TraitDi[Colonne25]),FALSE)=0,"",TEXT(IFERROR(VLOOKUP(T_Convention[[#This Row],[NumL]],T_TraitDi[#Data],COLUMN(T_TraitDi[Colonne25]),FALSE),""),"[hh]:mm"))</f>
        <v>#N/A</v>
      </c>
      <c r="BA121" s="284" t="e">
        <f>IF(VLOOKUP(T_Convention[[#This Row],[NumL]],T_TraitDi[#Data],COLUMN(T_TraitDi[Colonne26]),FALSE)=0,"",TEXT(IFERROR(VLOOKUP(T_Convention[[#This Row],[NumL]],T_TraitDi[#Data],COLUMN(T_TraitDi[Colonne26]),FALSE),""),"[hh]:mm"))</f>
        <v>#N/A</v>
      </c>
      <c r="BB121" s="284" t="str">
        <f>IFERROR(VLOOKUP(T_Convention[[#This Row],[NumL]],T_TraitDi[#Data],COLUMN(T_TraitDi[Vendredi]),FALSE),"")</f>
        <v/>
      </c>
      <c r="BC121" s="284" t="e">
        <f>IF(VLOOKUP(T_Convention[[#This Row],[NumL]],T_TraitDi[#Data],COLUMN(T_TraitDi[Colonne27]),FALSE)=0,"",TEXT(IFERROR(VLOOKUP(T_Convention[[#This Row],[NumL]],T_TraitDi[#Data],COLUMN(T_TraitDi[Colonne27]),FALSE),""),"[hh]:mm"))</f>
        <v>#N/A</v>
      </c>
      <c r="BD121" s="284" t="e">
        <f>IF(VLOOKUP(T_Convention[[#This Row],[NumL]],T_TraitDi[#Data],COLUMN(T_TraitDi[Colonne28]),FALSE)=0,"",TEXT(IFERROR(VLOOKUP(T_Convention[[#This Row],[NumL]],T_TraitDi[#Data],COLUMN(T_TraitDi[Colonne28]),FALSE),""),"[hh]:mm"))</f>
        <v>#N/A</v>
      </c>
      <c r="BE121" s="284" t="str">
        <f>IFERROR(VLOOKUP(T_Convention[[#This Row],[NumL]],T_TraitDi[#Data],COLUMN(T_TraitDi[Colonne29]),FALSE),"")</f>
        <v/>
      </c>
      <c r="BF121" s="284" t="e">
        <f>IF(VLOOKUP(T_Convention[[#This Row],[NumL]],T_TraitDi[#Data],COLUMN(T_TraitDi[Colonne30]),FALSE)=0,"",TEXT(IFERROR(VLOOKUP(T_Convention[[#This Row],[NumL]],T_TraitDi[#Data],COLUMN(T_TraitDi[Colonne30]),FALSE),""),"[hh]:mm"))</f>
        <v>#N/A</v>
      </c>
      <c r="BG121" s="284" t="e">
        <f>IF(VLOOKUP(T_Convention[[#This Row],[NumL]],T_TraitDi[#Data],COLUMN(T_TraitDi[Colonne31]),FALSE)=0,"",TEXT(IFERROR(VLOOKUP(T_Convention[[#This Row],[NumL]],T_TraitDi[#Data],COLUMN(T_TraitDi[Colonne31]),FALSE),""),"[hh]:mm"))</f>
        <v>#N/A</v>
      </c>
      <c r="BH121" s="284" t="e">
        <f>IF(VLOOKUP(T_Convention[[#This Row],[NumL]],T_TraitDi[#Data],COLUMN(T_TraitDi[Colonne32]),FALSE)=0,"",TEXT(IFERROR(VLOOKUP(T_Convention[[#This Row],[NumL]],T_TraitDi[#Data],COLUMN(T_TraitDi[Colonne32]),FALSE),""),"[hh]:mm"))</f>
        <v>#N/A</v>
      </c>
      <c r="BI121" s="284" t="str">
        <f>IFERROR(VLOOKUP(T_Convention[[#This Row],[NumL]],T_TraitDi[#Data],COLUMN(T_TraitDi[NbJTW]),FALSE),"")</f>
        <v/>
      </c>
      <c r="BJ121" s="284" t="e">
        <f>IF(VLOOKUP(T_Convention[[#This Row],[NumL]],T_TraitDi[#Data],COLUMN(T_TraitDi[NbhTW]),FALSE)=0,"",TEXT(IFERROR(VLOOKUP(T_Convention[[#This Row],[NumL]],T_TraitDi[#Data],COLUMN(T_TraitDi[NbhTW]),FALSE),""),"[hh]:mm"))</f>
        <v>#N/A</v>
      </c>
      <c r="BK121" s="315" t="e">
        <f>IF(VLOOKUP(T_Convention[[#This Row],[NumL]],T_TraitDi[#Data],COLUMN(T_TraitDi[Nbhheb]),FALSE)=0,"",TEXT(IFERROR(VLOOKUP(T_Convention[[#This Row],[NumL]],T_TraitDi[#Data],COLUMN(T_TraitDi[Nbhheb]),FALSE),""),"[hh]:mm"))</f>
        <v>#N/A</v>
      </c>
      <c r="BL121" s="287" t="str">
        <f>IFERROR(VLOOKUP(VLOOKUP(T_Convention[[#This Row],[NumL]],T_TraitDi[#Data],COLUMN(T_TraitDi[Type1]),FALSE),TypeTW,2,FALSE),"")</f>
        <v/>
      </c>
      <c r="BM121" s="288" t="str">
        <f>IFERROR(VLOOKUP(T_Convention[[#This Row],[NumL]],T_TraitDi[#Data],COLUMN(T_TraitDi[Rue1]),FALSE),"")</f>
        <v/>
      </c>
      <c r="BN121" s="289" t="str">
        <f>IFERROR(VLOOKUP(T_Convention[[#This Row],[NumL]],T_TraitDi[#Data],COLUMN(T_TraitDi[CP1]),FALSE),"")</f>
        <v/>
      </c>
      <c r="BO121" s="282" t="str">
        <f>IFERROR(VLOOKUP(T_Convention[[#This Row],[NumL]],T_TraitDi[#Data],COLUMN(T_TraitDi[VILLE1]),FALSE),"")</f>
        <v/>
      </c>
      <c r="BP121" s="290" t="str">
        <f>IFERROR(VLOOKUP(VLOOKUP(T_Convention[[#This Row],[NumL]],T_TraitDi[#Data],COLUMN(T_TraitDi[Type2]),FALSE),TypeTW,2,FALSE),"")</f>
        <v/>
      </c>
      <c r="BQ121" s="310" t="str">
        <f>IFERROR(VLOOKUP(T_Convention[[#This Row],[NumL]],T_TraitDi[#Data],COLUMN(T_TraitDi[Rue2]),FALSE),"")</f>
        <v/>
      </c>
      <c r="BR121" s="290" t="str">
        <f>IFERROR(VLOOKUP(T_Convention[[#This Row],[NumL]],T_TraitDi[#Data],COLUMN(T_TraitDi[CP2]),FALSE),"")</f>
        <v/>
      </c>
      <c r="BS121" s="290" t="str">
        <f>IFERROR(VLOOKUP(T_Convention[[#This Row],[NumL]],T_TraitDi[#Data],COLUMN(T_TraitDi[VILLE2]),FALSE),"")</f>
        <v/>
      </c>
      <c r="BT121"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21" s="314" t="str">
        <f>IFERROR(IF(VLOOKUP(T_Convention[[#This Row],[NumL]],T_TraitDi[#Data],COLUMN(T_TraitDi[Plan]),FALSE)="OK","Un planning spécifique de télétravail est annexé à la présente convention.",""),"")</f>
        <v/>
      </c>
      <c r="BV121" s="291"/>
      <c r="BW121" s="292" t="e">
        <f>IF(VLOOKUP(T_Convention[[#This Row],[NumL]],T_suiviDi[#Data],COLUMN(T_suiviDi[Entité]),FALSE)="","",VLOOKUP(T_Convention[[#This Row],[NumL]],T_suiviDi[#Data],COLUMN(T_suiviDi[Entité]),FALSE))</f>
        <v>#N/A</v>
      </c>
      <c r="BX121" s="311" t="str">
        <f>IF(VLOOKUP(T_Convention[[#This Row],[NumL]],T_Commission[#Data],COLUMN(T_Commission[envoi confirm TW]),FALSE)="","",VLOOKUP(T_Convention[[#This Row],[NumL]],T_Commission[#Data],COLUMN(T_Commission[envoi confirm TW]),FALSE))</f>
        <v>Oui</v>
      </c>
      <c r="BY121"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1" s="265">
        <f>VLOOKUP(T_Convention[[#This Row],[NumL]],T_Commission[#Data],COLUMN(T_Commission[Commentaire]),FALSE)</f>
        <v>0</v>
      </c>
      <c r="CA121" s="255" t="str">
        <f>IF(VLOOKUP(T_Convention[[#This Row],[NumL]],T_Commission[#Data],COLUMN(T_Commission[Encadrant Email]),FALSE)="","",VLOOKUP(T_Convention[[#This Row],[NumL]],T_Commission[#Data],COLUMN(T_Commission[Encadrant Email]),FALSE))</f>
        <v/>
      </c>
      <c r="CB121" s="352" t="e">
        <f>VLOOKUP(T_Convention[[#This Row],[NumL]],T_TraitDi[#Data],COLUMN(T_TraitDi[NbJTot]),FALSE)</f>
        <v>#N/A</v>
      </c>
      <c r="CC121" s="352" t="e">
        <f>VLOOKUP(T_Convention[[#This Row],[NumL]],T_TraitDi[#Data],COLUMN(T_TraitDi[Reg Ponct]),FALSE)</f>
        <v>#N/A</v>
      </c>
      <c r="CD121" s="348" t="str">
        <f>IF(T_Convention[[#This Row],[Final]]&lt;&gt;"",VLOOKUP(T_Convention[[#This Row],[NumL]],T_suiviDi[#Data],COLUMN((T_suiviDi[Statut])),FALSE),"")</f>
        <v/>
      </c>
    </row>
    <row r="122" spans="1:82" s="106" customFormat="1" ht="18.75" customHeight="1" x14ac:dyDescent="0.25">
      <c r="A122" s="160">
        <v>343</v>
      </c>
      <c r="B122" s="281" t="str">
        <f>VLOOKUP(T_Convention[[#This Row],[NumL]],T_Commission[#Data],COLUMN(T_Commission[FINAL]),FALSE)</f>
        <v/>
      </c>
      <c r="C122" s="162"/>
      <c r="D122" s="95" t="e">
        <f>IF(VLOOKUP(T_Convention[[#This Row],[NumL]],T_TraitDi[#Data],COLUMN(T_TraitDi[WebC]),FALSE)="","",VLOOKUP(T_Convention[[#This Row],[NumL]],T_TraitDi[#Data],COLUMN(T_TraitDi[WebC]),FALSE))</f>
        <v>#N/A</v>
      </c>
      <c r="E122" s="163" t="str">
        <f t="shared" si="5"/>
        <v>12 janvier 2021</v>
      </c>
      <c r="F122" s="282" t="str">
        <f>IF(T_Convention[[#This Row],[Final]]&lt;&gt;"",VLOOKUP(T_Convention[[#This Row],[NumL]],T_suiviDi[#Data],COLUMN((T_suiviDi[Civ.])),FALSE),"")</f>
        <v/>
      </c>
      <c r="G122" s="283" t="str">
        <f>IF(T_Convention[[#This Row],[Final]]&lt;&gt;"",VLOOKUP(T_Convention[[#This Row],[NumL]],T_suiviDi[#Data],COLUMN((T_suiviDi[Nom])),FALSE),"")</f>
        <v/>
      </c>
      <c r="H122" s="282" t="str">
        <f>IF(T_Convention[[#This Row],[Final]]&lt;&gt;"",VLOOKUP(T_Convention[[#This Row],[NumL]],T_suiviDi[#Data],COLUMN((T_suiviDi[Prénom])),FALSE),"")</f>
        <v/>
      </c>
      <c r="I122" s="282" t="e">
        <f>VLOOKUP(T_Convention[[#This Row],[NumL]],T_suiviDi[#Data],COLUMN((T_suiviDi[[#This Row],[Email]])),FALSE)</f>
        <v>#VALUE!</v>
      </c>
      <c r="J122" s="282" t="e">
        <f>IF(VLOOKUP(T_Convention[[#This Row],[NumL]],T_suiviDi[#Data],COLUMN(T_suiviDi[[#This Row],[Fonction]]),FALSE)="","",VLOOKUP(T_Convention[[#This Row],[NumL]],T_suiviDi[#Data],COLUMN(T_suiviDi[[#This Row],[Fonction]]),FALSE))</f>
        <v>#VALUE!</v>
      </c>
      <c r="K122" s="282" t="e">
        <f>IF(VLOOKUP(T_Convention[[#This Row],[NumL]],T_suiviDi[#Data],COLUMN(T_suiviDi[[#This Row],[Grade]]),FALSE)="","",VLOOKUP(T_Convention[[#This Row],[NumL]],T_suiviDi[#Data],COLUMN(T_suiviDi[[#This Row],[Grade]]),FALSE))</f>
        <v>#VALUE!</v>
      </c>
      <c r="L122" s="282" t="e">
        <f>IF(VLOOKUP(T_Convention[[#This Row],[NumL]],T_suiviDi[#Data],COLUMN(T_suiviDi[[#This Row],[Service ]]),FALSE)="","",VLOOKUP(T_Convention[[#This Row],[NumL]],T_suiviDi[#Data],COLUMN(T_suiviDi[[#This Row],[Service ]]),FALSE))</f>
        <v>#VALUE!</v>
      </c>
      <c r="M122" s="314" t="str">
        <f t="shared" si="6"/>
        <v>01 septembre 2021</v>
      </c>
      <c r="N122" s="314" t="str">
        <f t="shared" si="7"/>
        <v>30 novembre 2021</v>
      </c>
      <c r="O122" s="284" t="str">
        <f t="shared" si="8"/>
        <v>30 novembre 2021</v>
      </c>
      <c r="P122" s="282" t="e">
        <f>IF(VLOOKUP(T_Convention[[#This Row],[NumL]],T_TraitDi[#Data],COLUMN(T_TraitDi[M1]),FALSE)="","",VLOOKUP(T_Convention[[#This Row],[NumL]],T_TraitDi[#Data],COLUMN(T_TraitDi[M1]),FALSE))</f>
        <v>#N/A</v>
      </c>
      <c r="Q122" s="282" t="e">
        <f>IF(VLOOKUP(T_Convention[[#This Row],[NumL]],T_TraitDi[#Data],COLUMN(T_TraitDi[M2]),FALSE)="","",VLOOKUP(T_Convention[[#This Row],[NumL]],T_TraitDi[#Data],COLUMN(T_TraitDi[M2]),FALSE))</f>
        <v>#N/A</v>
      </c>
      <c r="R122" s="282" t="e">
        <f>IF(VLOOKUP(T_Convention[[#This Row],[NumL]],T_TraitDi[#Data],COLUMN(T_TraitDi[M3]),FALSE)="","",VLOOKUP(T_Convention[[#This Row],[NumL]],T_TraitDi[#Data],COLUMN(T_TraitDi[M3]),FALSE))</f>
        <v>#N/A</v>
      </c>
      <c r="S122" s="282" t="e">
        <f>IF(VLOOKUP(T_Convention[[#This Row],[NumL]],T_TraitDi[#Data],COLUMN(T_TraitDi[M4]),FALSE)="","",VLOOKUP(T_Convention[[#This Row],[NumL]],T_TraitDi[#Data],COLUMN(T_TraitDi[M4]),FALSE))</f>
        <v>#N/A</v>
      </c>
      <c r="T122" s="282" t="e">
        <f>IF(VLOOKUP(T_Convention[[#This Row],[NumL]],T_TraitDi[#Data],COLUMN(T_TraitDi[M5]),FALSE)="","",VLOOKUP(T_Convention[[#This Row],[NumL]],T_TraitDi[#Data],COLUMN(T_TraitDi[M5]),FALSE))</f>
        <v>#N/A</v>
      </c>
      <c r="U122" s="282" t="e">
        <f>IF(VLOOKUP(T_Convention[[#This Row],[NumL]],T_TraitDi[#Data],COLUMN(T_TraitDi[M6]),FALSE)="","",VLOOKUP(T_Convention[[#This Row],[NumL]],T_TraitDi[#Data],COLUMN(T_TraitDi[M6]),FALSE))</f>
        <v>#N/A</v>
      </c>
      <c r="V122" s="314" t="e">
        <f t="shared" si="9"/>
        <v>#N/A</v>
      </c>
      <c r="W122" s="284" t="str">
        <f>IFERROR(TEXT(VLOOKUP(T_Convention[[#This Row],[NumL]],T_TraitDi[#Data],COLUMN(T_TraitDi[Q2]),FALSE),"###%"),"")</f>
        <v/>
      </c>
      <c r="X122" s="285" t="e">
        <f>VLOOKUP(T_Convention[[#This Row],[NumL]],T_TraitDi[#Data],COLUMN(T_TraitDi[Reg Ponct]),FALSE)</f>
        <v>#N/A</v>
      </c>
      <c r="Y122" s="285" t="e">
        <f>VLOOKUP(T_Convention[NumL],T_TraitDi[#Data],COLUMN(T_TraitDi[Jours flottants]),FALSE)</f>
        <v>#N/A</v>
      </c>
      <c r="Z122" s="284" t="str">
        <f>IFERROR(VLOOKUP(T_Convention[[#This Row],[NumL]],T_TraitDi[#Data],COLUMN(T_TraitDi[Lundi]),FALSE),"")</f>
        <v/>
      </c>
      <c r="AA122" s="284" t="e">
        <f>IF(VLOOKUP(T_Convention[[#This Row],[NumL]],T_TraitDi[#Data],COLUMN(T_TraitDi[Colonne3]),FALSE)=0,"",TEXT(IFERROR(VLOOKUP(T_Convention[[#This Row],[NumL]],T_TraitDi[#Data],COLUMN(T_TraitDi[Colonne3]),FALSE),""),"[hh]:mm"))</f>
        <v>#N/A</v>
      </c>
      <c r="AB122" s="284" t="e">
        <f>IF(VLOOKUP(T_Convention[[#This Row],[NumL]],T_TraitDi[#Data],COLUMN(T_TraitDi[Colonne4]),FALSE)=0,"",TEXT(IFERROR(VLOOKUP(T_Convention[[#This Row],[NumL]],T_TraitDi[#Data],COLUMN(T_TraitDi[Colonne4]),FALSE),""),"[hh]:mm"))</f>
        <v>#N/A</v>
      </c>
      <c r="AC122" s="284" t="e">
        <f>IF(VLOOKUP(T_Convention[[#This Row],[NumL]],T_TraitDi[#Data],COLUMN(T_TraitDi[Colonne5]),FALSE)=0,"",TEXT(IFERROR(VLOOKUP(T_Convention[[#This Row],[NumL]],T_TraitDi[#Data],COLUMN(T_TraitDi[Colonne5]),FALSE),""),"[hh]:mm"))</f>
        <v>#N/A</v>
      </c>
      <c r="AD122" s="284" t="e">
        <f>IF(VLOOKUP(T_Convention[[#This Row],[NumL]],T_TraitDi[#Data],COLUMN(T_TraitDi[Colonne6]),FALSE)=0,"",TEXT(IFERROR(VLOOKUP(T_Convention[[#This Row],[NumL]],T_TraitDi[#Data],COLUMN(T_TraitDi[Colonne6]),FALSE),""),"[hh]:mm"))</f>
        <v>#N/A</v>
      </c>
      <c r="AE122" s="284" t="e">
        <f>IF(VLOOKUP(T_Convention[[#This Row],[NumL]],T_TraitDi[#Data],COLUMN(T_TraitDi[Colonne7]),FALSE)=0,"",TEXT(IFERROR(VLOOKUP(T_Convention[[#This Row],[NumL]],T_TraitDi[#Data],COLUMN(T_TraitDi[Colonne7]),FALSE),""),"[hh]:mm"))</f>
        <v>#N/A</v>
      </c>
      <c r="AF122" s="284" t="e">
        <f>IF(VLOOKUP(T_Convention[[#This Row],[NumL]],T_TraitDi[#Data],COLUMN(T_TraitDi[Colonne8]),FALSE)=0,"",TEXT(IFERROR(VLOOKUP(T_Convention[[#This Row],[NumL]],T_TraitDi[#Data],COLUMN(T_TraitDi[Colonne8]),FALSE),""),"[hh]:mm"))</f>
        <v>#N/A</v>
      </c>
      <c r="AG122" s="284" t="str">
        <f>IFERROR(VLOOKUP(T_Convention[[#This Row],[NumL]],T_TraitDi[#Data],COLUMN(T_TraitDi[Mardi]),FALSE),"")</f>
        <v/>
      </c>
      <c r="AH122" s="284" t="e">
        <f>IF(VLOOKUP(T_Convention[[#This Row],[NumL]],T_TraitDi[#Data],COLUMN(T_TraitDi[Colonne1]),FALSE)=0,"",TEXT(IFERROR(VLOOKUP(T_Convention[[#This Row],[NumL]],T_TraitDi[#Data],COLUMN(T_TraitDi[Colonne1]),FALSE),""),"[hh]:mm"))</f>
        <v>#N/A</v>
      </c>
      <c r="AI122" s="284" t="e">
        <f>IF(VLOOKUP(T_Convention[[#This Row],[NumL]],T_TraitDi[#Data],COLUMN(T_TraitDi[Colonne9]),FALSE)=0,"",TEXT(IFERROR(VLOOKUP(T_Convention[[#This Row],[NumL]],T_TraitDi[#Data],COLUMN(T_TraitDi[Colonne9]),FALSE),""),"[hh]:mm"))</f>
        <v>#N/A</v>
      </c>
      <c r="AJ122" s="284" t="str">
        <f>IFERROR(VLOOKUP(T_Convention[[#This Row],[NumL]],T_TraitDi[#Data],COLUMN(T_TraitDi[Colonne10]),FALSE),"")</f>
        <v/>
      </c>
      <c r="AK122" s="284" t="e">
        <f>IF(VLOOKUP(T_Convention[[#This Row],[NumL]],T_TraitDi[#Data],COLUMN(T_TraitDi[Colonne11]),FALSE)=0,"",TEXT(IFERROR(VLOOKUP(T_Convention[[#This Row],[NumL]],T_TraitDi[#Data],COLUMN(T_TraitDi[Colonne11]),FALSE),""),"[hh]:mm"))</f>
        <v>#N/A</v>
      </c>
      <c r="AL122" s="284" t="e">
        <f>IF(VLOOKUP(T_Convention[[#This Row],[NumL]],T_TraitDi[#Data],COLUMN(T_TraitDi[Colonne12]),FALSE)=0,"",TEXT(IFERROR(VLOOKUP(T_Convention[[#This Row],[NumL]],T_TraitDi[#Data],COLUMN(T_TraitDi[Colonne12]),FALSE),""),"[hh]:mm"))</f>
        <v>#N/A</v>
      </c>
      <c r="AM122" s="284" t="e">
        <f>IF(VLOOKUP(T_Convention[[#This Row],[NumL]],T_TraitDi[#Data],COLUMN(T_TraitDi[Colonne14]),FALSE)=0,"",TEXT(IFERROR(VLOOKUP(T_Convention[[#This Row],[NumL]],T_TraitDi[#Data],COLUMN(T_TraitDi[Colonne14]),FALSE),""),"[hh]:mm"))</f>
        <v>#N/A</v>
      </c>
      <c r="AN122" s="284" t="str">
        <f>IFERROR(VLOOKUP(T_Convention[[#This Row],[NumL]],T_TraitDi[#Data],COLUMN(T_TraitDi[Mercredi]),FALSE),"")</f>
        <v/>
      </c>
      <c r="AO122" s="284" t="e">
        <f>IF(VLOOKUP(T_Convention[[#This Row],[NumL]],T_TraitDi[#Data],COLUMN(T_TraitDi[Colonne15]),FALSE)=0,"",TEXT(IFERROR(VLOOKUP(T_Convention[[#This Row],[NumL]],T_TraitDi[#Data],COLUMN(T_TraitDi[Colonne15]),FALSE),""),"[hh]:mm"))</f>
        <v>#N/A</v>
      </c>
      <c r="AP122" s="284" t="e">
        <f>IF(VLOOKUP(T_Convention[[#This Row],[NumL]],T_TraitDi[#Data],COLUMN(T_TraitDi[Colonne16]),FALSE)=0,"",TEXT(IFERROR(VLOOKUP(T_Convention[[#This Row],[NumL]],T_TraitDi[#Data],COLUMN(T_TraitDi[Colonne16]),FALSE),""),"[hh]:mm"))</f>
        <v>#N/A</v>
      </c>
      <c r="AQ122" s="284" t="str">
        <f>IFERROR(VLOOKUP(T_Convention[[#This Row],[NumL]],T_TraitDi[#Data],COLUMN(T_TraitDi[Colonne17]),FALSE),"")</f>
        <v/>
      </c>
      <c r="AR122" s="284" t="e">
        <f>IF(VLOOKUP(T_Convention[[#This Row],[NumL]],T_TraitDi[#Data],COLUMN(T_TraitDi[Colonne18]),FALSE)=0,"",TEXT(IFERROR(VLOOKUP(T_Convention[[#This Row],[NumL]],T_TraitDi[#Data],COLUMN(T_TraitDi[Colonne18]),FALSE),""),"[hh]:mm"))</f>
        <v>#N/A</v>
      </c>
      <c r="AS122" s="284" t="e">
        <f>IF(VLOOKUP(T_Convention[[#This Row],[NumL]],T_TraitDi[#Data],COLUMN(T_TraitDi[Colonne19]),FALSE)=0,"",TEXT(IFERROR(VLOOKUP(T_Convention[[#This Row],[NumL]],T_TraitDi[#Data],COLUMN(T_TraitDi[Colonne19]),FALSE),""),"[hh]:mm"))</f>
        <v>#N/A</v>
      </c>
      <c r="AT122" s="284" t="e">
        <f>IF(VLOOKUP(T_Convention[[#This Row],[NumL]],T_TraitDi[#Data],COLUMN(T_TraitDi[Colonne20]),FALSE)=0,"",TEXT(IFERROR(VLOOKUP(T_Convention[[#This Row],[NumL]],T_TraitDi[#Data],COLUMN(T_TraitDi[Colonne20]),FALSE),""),"[hh]:mm"))</f>
        <v>#N/A</v>
      </c>
      <c r="AU122" s="284" t="str">
        <f>IFERROR(VLOOKUP(T_Convention[[#This Row],[NumL]],T_TraitDi[#Data],COLUMN(T_TraitDi[Jeudi]),FALSE),"")</f>
        <v/>
      </c>
      <c r="AV122" s="284" t="e">
        <f>IF(VLOOKUP(T_Convention[[#This Row],[NumL]],T_TraitDi[#Data],COLUMN(T_TraitDi[Colonne21]),FALSE)=0,"",TEXT(IFERROR(VLOOKUP(T_Convention[[#This Row],[NumL]],T_TraitDi[#Data],COLUMN(T_TraitDi[Colonne21]),FALSE),""),"[hh]:mm"))</f>
        <v>#N/A</v>
      </c>
      <c r="AW122" s="284" t="e">
        <f>IF(VLOOKUP(T_Convention[[#This Row],[NumL]],T_TraitDi[#Data],COLUMN(T_TraitDi[Colonne22]),FALSE)=0,"",TEXT(IFERROR(VLOOKUP(T_Convention[[#This Row],[NumL]],T_TraitDi[#Data],COLUMN(T_TraitDi[Colonne22]),FALSE),""),"[hh]:mm"))</f>
        <v>#N/A</v>
      </c>
      <c r="AX122" s="284" t="str">
        <f>IFERROR(VLOOKUP(T_Convention[[#This Row],[NumL]],T_TraitDi[#Data],COLUMN(T_TraitDi[Colonne23]),FALSE),"")</f>
        <v/>
      </c>
      <c r="AY122" s="284" t="e">
        <f>IF(VLOOKUP(T_Convention[[#This Row],[NumL]],T_TraitDi[#Data],COLUMN(T_TraitDi[Colonne24]),FALSE)=0,"",TEXT(IFERROR(VLOOKUP(T_Convention[[#This Row],[NumL]],T_TraitDi[#Data],COLUMN(T_TraitDi[Colonne24]),FALSE),""),"[hh]:mm"))</f>
        <v>#N/A</v>
      </c>
      <c r="AZ122" s="284" t="e">
        <f>IF(VLOOKUP(T_Convention[[#This Row],[NumL]],T_TraitDi[#Data],COLUMN(T_TraitDi[Colonne25]),FALSE)=0,"",TEXT(IFERROR(VLOOKUP(T_Convention[[#This Row],[NumL]],T_TraitDi[#Data],COLUMN(T_TraitDi[Colonne25]),FALSE),""),"[hh]:mm"))</f>
        <v>#N/A</v>
      </c>
      <c r="BA122" s="284" t="e">
        <f>IF(VLOOKUP(T_Convention[[#This Row],[NumL]],T_TraitDi[#Data],COLUMN(T_TraitDi[Colonne26]),FALSE)=0,"",TEXT(IFERROR(VLOOKUP(T_Convention[[#This Row],[NumL]],T_TraitDi[#Data],COLUMN(T_TraitDi[Colonne26]),FALSE),""),"[hh]:mm"))</f>
        <v>#N/A</v>
      </c>
      <c r="BB122" s="284" t="str">
        <f>IFERROR(VLOOKUP(T_Convention[[#This Row],[NumL]],T_TraitDi[#Data],COLUMN(T_TraitDi[Vendredi]),FALSE),"")</f>
        <v/>
      </c>
      <c r="BC122" s="284" t="e">
        <f>IF(VLOOKUP(T_Convention[[#This Row],[NumL]],T_TraitDi[#Data],COLUMN(T_TraitDi[Colonne27]),FALSE)=0,"",TEXT(IFERROR(VLOOKUP(T_Convention[[#This Row],[NumL]],T_TraitDi[#Data],COLUMN(T_TraitDi[Colonne27]),FALSE),""),"[hh]:mm"))</f>
        <v>#N/A</v>
      </c>
      <c r="BD122" s="284" t="e">
        <f>IF(VLOOKUP(T_Convention[[#This Row],[NumL]],T_TraitDi[#Data],COLUMN(T_TraitDi[Colonne28]),FALSE)=0,"",TEXT(IFERROR(VLOOKUP(T_Convention[[#This Row],[NumL]],T_TraitDi[#Data],COLUMN(T_TraitDi[Colonne28]),FALSE),""),"[hh]:mm"))</f>
        <v>#N/A</v>
      </c>
      <c r="BE122" s="284" t="str">
        <f>IFERROR(VLOOKUP(T_Convention[[#This Row],[NumL]],T_TraitDi[#Data],COLUMN(T_TraitDi[Colonne29]),FALSE),"")</f>
        <v/>
      </c>
      <c r="BF122" s="284" t="e">
        <f>IF(VLOOKUP(T_Convention[[#This Row],[NumL]],T_TraitDi[#Data],COLUMN(T_TraitDi[Colonne30]),FALSE)=0,"",TEXT(IFERROR(VLOOKUP(T_Convention[[#This Row],[NumL]],T_TraitDi[#Data],COLUMN(T_TraitDi[Colonne30]),FALSE),""),"[hh]:mm"))</f>
        <v>#N/A</v>
      </c>
      <c r="BG122" s="284" t="e">
        <f>IF(VLOOKUP(T_Convention[[#This Row],[NumL]],T_TraitDi[#Data],COLUMN(T_TraitDi[Colonne31]),FALSE)=0,"",TEXT(IFERROR(VLOOKUP(T_Convention[[#This Row],[NumL]],T_TraitDi[#Data],COLUMN(T_TraitDi[Colonne31]),FALSE),""),"[hh]:mm"))</f>
        <v>#N/A</v>
      </c>
      <c r="BH122" s="284" t="e">
        <f>IF(VLOOKUP(T_Convention[[#This Row],[NumL]],T_TraitDi[#Data],COLUMN(T_TraitDi[Colonne32]),FALSE)=0,"",TEXT(IFERROR(VLOOKUP(T_Convention[[#This Row],[NumL]],T_TraitDi[#Data],COLUMN(T_TraitDi[Colonne32]),FALSE),""),"[hh]:mm"))</f>
        <v>#N/A</v>
      </c>
      <c r="BI122" s="284" t="str">
        <f>IFERROR(VLOOKUP(T_Convention[[#This Row],[NumL]],T_TraitDi[#Data],COLUMN(T_TraitDi[NbJTW]),FALSE),"")</f>
        <v/>
      </c>
      <c r="BJ122" s="284" t="e">
        <f>IF(VLOOKUP(T_Convention[[#This Row],[NumL]],T_TraitDi[#Data],COLUMN(T_TraitDi[NbhTW]),FALSE)=0,"",TEXT(IFERROR(VLOOKUP(T_Convention[[#This Row],[NumL]],T_TraitDi[#Data],COLUMN(T_TraitDi[NbhTW]),FALSE),""),"[hh]:mm"))</f>
        <v>#N/A</v>
      </c>
      <c r="BK122" s="315" t="e">
        <f>IF(VLOOKUP(T_Convention[[#This Row],[NumL]],T_TraitDi[#Data],COLUMN(T_TraitDi[Nbhheb]),FALSE)=0,"",TEXT(IFERROR(VLOOKUP(T_Convention[[#This Row],[NumL]],T_TraitDi[#Data],COLUMN(T_TraitDi[Nbhheb]),FALSE),""),"[hh]:mm"))</f>
        <v>#N/A</v>
      </c>
      <c r="BL122" s="287" t="str">
        <f>IFERROR(VLOOKUP(VLOOKUP(T_Convention[[#This Row],[NumL]],T_TraitDi[#Data],COLUMN(T_TraitDi[Type1]),FALSE),TypeTW,2,FALSE),"")</f>
        <v/>
      </c>
      <c r="BM122" s="288" t="str">
        <f>IFERROR(VLOOKUP(T_Convention[[#This Row],[NumL]],T_TraitDi[#Data],COLUMN(T_TraitDi[Rue1]),FALSE),"")</f>
        <v/>
      </c>
      <c r="BN122" s="289" t="str">
        <f>IFERROR(VLOOKUP(T_Convention[[#This Row],[NumL]],T_TraitDi[#Data],COLUMN(T_TraitDi[CP1]),FALSE),"")</f>
        <v/>
      </c>
      <c r="BO122" s="282" t="str">
        <f>IFERROR(VLOOKUP(T_Convention[[#This Row],[NumL]],T_TraitDi[#Data],COLUMN(T_TraitDi[VILLE1]),FALSE),"")</f>
        <v/>
      </c>
      <c r="BP122" s="290" t="str">
        <f>IFERROR(VLOOKUP(VLOOKUP(T_Convention[[#This Row],[NumL]],T_TraitDi[#Data],COLUMN(T_TraitDi[Type2]),FALSE),TypeTW,2,FALSE),"")</f>
        <v/>
      </c>
      <c r="BQ122" s="310" t="str">
        <f>IFERROR(VLOOKUP(T_Convention[[#This Row],[NumL]],T_TraitDi[#Data],COLUMN(T_TraitDi[Rue2]),FALSE),"")</f>
        <v/>
      </c>
      <c r="BR122" s="290" t="str">
        <f>IFERROR(VLOOKUP(T_Convention[[#This Row],[NumL]],T_TraitDi[#Data],COLUMN(T_TraitDi[CP2]),FALSE),"")</f>
        <v/>
      </c>
      <c r="BS122" s="290" t="str">
        <f>IFERROR(VLOOKUP(T_Convention[[#This Row],[NumL]],T_TraitDi[#Data],COLUMN(T_TraitDi[VILLE2]),FALSE),"")</f>
        <v/>
      </c>
      <c r="BT122"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22" s="314" t="str">
        <f>IFERROR(IF(VLOOKUP(T_Convention[[#This Row],[NumL]],T_TraitDi[#Data],COLUMN(T_TraitDi[Plan]),FALSE)="OK","Un planning spécifique de télétravail est annexé à la présente convention.",""),"")</f>
        <v/>
      </c>
      <c r="BV122" s="291"/>
      <c r="BW122" s="292" t="e">
        <f>IF(VLOOKUP(T_Convention[[#This Row],[NumL]],T_suiviDi[#Data],COLUMN(T_suiviDi[Entité]),FALSE)="","",VLOOKUP(T_Convention[[#This Row],[NumL]],T_suiviDi[#Data],COLUMN(T_suiviDi[Entité]),FALSE))</f>
        <v>#N/A</v>
      </c>
      <c r="BX122" s="311" t="str">
        <f>IF(VLOOKUP(T_Convention[[#This Row],[NumL]],T_Commission[#Data],COLUMN(T_Commission[envoi confirm TW]),FALSE)="","",VLOOKUP(T_Convention[[#This Row],[NumL]],T_Commission[#Data],COLUMN(T_Commission[envoi confirm TW]),FALSE))</f>
        <v>Oui</v>
      </c>
      <c r="BY12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2" s="265">
        <f>VLOOKUP(T_Convention[[#This Row],[NumL]],T_Commission[#Data],COLUMN(T_Commission[Commentaire]),FALSE)</f>
        <v>0</v>
      </c>
      <c r="CA122" s="255" t="str">
        <f>IF(VLOOKUP(T_Convention[[#This Row],[NumL]],T_Commission[#Data],COLUMN(T_Commission[Encadrant Email]),FALSE)="","",VLOOKUP(T_Convention[[#This Row],[NumL]],T_Commission[#Data],COLUMN(T_Commission[Encadrant Email]),FALSE))</f>
        <v/>
      </c>
      <c r="CB122" s="352" t="e">
        <f>VLOOKUP(T_Convention[[#This Row],[NumL]],T_TraitDi[#Data],COLUMN(T_TraitDi[NbJTot]),FALSE)</f>
        <v>#N/A</v>
      </c>
      <c r="CC122" s="352" t="e">
        <f>VLOOKUP(T_Convention[[#This Row],[NumL]],T_TraitDi[#Data],COLUMN(T_TraitDi[Reg Ponct]),FALSE)</f>
        <v>#N/A</v>
      </c>
      <c r="CD122" s="348" t="str">
        <f>IF(T_Convention[[#This Row],[Final]]&lt;&gt;"",VLOOKUP(T_Convention[[#This Row],[NumL]],T_suiviDi[#Data],COLUMN((T_suiviDi[Statut])),FALSE),"")</f>
        <v/>
      </c>
    </row>
    <row r="123" spans="1:82" s="106" customFormat="1" ht="18.75" customHeight="1" x14ac:dyDescent="0.25">
      <c r="A123" s="160">
        <v>29</v>
      </c>
      <c r="B123" s="161" t="str">
        <f>VLOOKUP(T_Convention[[#This Row],[NumL]],T_Commission[#Data],COLUMN(T_Commission[FINAL]),FALSE)</f>
        <v/>
      </c>
      <c r="C123" s="162"/>
      <c r="D123" s="95" t="e">
        <f>IF(VLOOKUP(T_Convention[[#This Row],[NumL]],T_TraitDi[#Data],COLUMN(T_TraitDi[WebC]),FALSE)="","",VLOOKUP(T_Convention[[#This Row],[NumL]],T_TraitDi[#Data],COLUMN(T_TraitDi[WebC]),FALSE))</f>
        <v>#N/A</v>
      </c>
      <c r="E123" s="163" t="str">
        <f t="shared" si="5"/>
        <v>12 janvier 2021</v>
      </c>
      <c r="F123" s="282" t="str">
        <f>IF(T_Convention[[#This Row],[Final]]&lt;&gt;"",VLOOKUP(T_Convention[[#This Row],[NumL]],T_suiviDi[#Data],COLUMN((T_suiviDi[Civ.])),FALSE),"")</f>
        <v/>
      </c>
      <c r="G123" s="283" t="str">
        <f>IF(T_Convention[[#This Row],[Final]]&lt;&gt;"",VLOOKUP(T_Convention[[#This Row],[NumL]],T_suiviDi[#Data],COLUMN((T_suiviDi[Nom])),FALSE),"")</f>
        <v/>
      </c>
      <c r="H123" s="282" t="str">
        <f>IF(T_Convention[[#This Row],[Final]]&lt;&gt;"",VLOOKUP(T_Convention[[#This Row],[NumL]],T_suiviDi[#Data],COLUMN((T_suiviDi[Prénom])),FALSE),"")</f>
        <v/>
      </c>
      <c r="I123" s="282" t="e">
        <f>VLOOKUP(T_Convention[[#This Row],[NumL]],T_suiviDi[#Data],COLUMN((T_suiviDi[[#This Row],[Email]])),FALSE)</f>
        <v>#VALUE!</v>
      </c>
      <c r="J123" s="282" t="e">
        <f>IF(VLOOKUP(T_Convention[[#This Row],[NumL]],T_suiviDi[#Data],COLUMN(T_suiviDi[[#This Row],[Fonction]]),FALSE)="","",VLOOKUP(T_Convention[[#This Row],[NumL]],T_suiviDi[#Data],COLUMN(T_suiviDi[[#This Row],[Fonction]]),FALSE))</f>
        <v>#VALUE!</v>
      </c>
      <c r="K123" s="282" t="e">
        <f>IF(VLOOKUP(T_Convention[[#This Row],[NumL]],T_suiviDi[#Data],COLUMN(T_suiviDi[[#This Row],[Grade]]),FALSE)="","",VLOOKUP(T_Convention[[#This Row],[NumL]],T_suiviDi[#Data],COLUMN(T_suiviDi[[#This Row],[Grade]]),FALSE))</f>
        <v>#VALUE!</v>
      </c>
      <c r="L123" s="282" t="e">
        <f>IF(VLOOKUP(T_Convention[[#This Row],[NumL]],T_suiviDi[#Data],COLUMN(T_suiviDi[[#This Row],[Service ]]),FALSE)="","",VLOOKUP(T_Convention[[#This Row],[NumL]],T_suiviDi[#Data],COLUMN(T_suiviDi[[#This Row],[Service ]]),FALSE))</f>
        <v>#VALUE!</v>
      </c>
      <c r="M123" s="164" t="str">
        <f t="shared" si="6"/>
        <v>01 septembre 2021</v>
      </c>
      <c r="N123" s="164" t="str">
        <f t="shared" si="7"/>
        <v>30 novembre 2021</v>
      </c>
      <c r="O123" s="284" t="str">
        <f t="shared" si="8"/>
        <v>30 novembre 2021</v>
      </c>
      <c r="P123" s="282" t="e">
        <f>IF(VLOOKUP(T_Convention[[#This Row],[NumL]],T_TraitDi[#Data],COLUMN(T_TraitDi[M1]),FALSE)="","",VLOOKUP(T_Convention[[#This Row],[NumL]],T_TraitDi[#Data],COLUMN(T_TraitDi[M1]),FALSE))</f>
        <v>#N/A</v>
      </c>
      <c r="Q123" s="282" t="e">
        <f>IF(VLOOKUP(T_Convention[[#This Row],[NumL]],T_TraitDi[#Data],COLUMN(T_TraitDi[M2]),FALSE)="","",VLOOKUP(T_Convention[[#This Row],[NumL]],T_TraitDi[#Data],COLUMN(T_TraitDi[M2]),FALSE))</f>
        <v>#N/A</v>
      </c>
      <c r="R123" s="282" t="e">
        <f>IF(VLOOKUP(T_Convention[[#This Row],[NumL]],T_TraitDi[#Data],COLUMN(T_TraitDi[M3]),FALSE)="","",VLOOKUP(T_Convention[[#This Row],[NumL]],T_TraitDi[#Data],COLUMN(T_TraitDi[M3]),FALSE))</f>
        <v>#N/A</v>
      </c>
      <c r="S123" s="282" t="e">
        <f>IF(VLOOKUP(T_Convention[[#This Row],[NumL]],T_TraitDi[#Data],COLUMN(T_TraitDi[M4]),FALSE)="","",VLOOKUP(T_Convention[[#This Row],[NumL]],T_TraitDi[#Data],COLUMN(T_TraitDi[M4]),FALSE))</f>
        <v>#N/A</v>
      </c>
      <c r="T123" s="282" t="e">
        <f>IF(VLOOKUP(T_Convention[[#This Row],[NumL]],T_TraitDi[#Data],COLUMN(T_TraitDi[M5]),FALSE)="","",VLOOKUP(T_Convention[[#This Row],[NumL]],T_TraitDi[#Data],COLUMN(T_TraitDi[M5]),FALSE))</f>
        <v>#N/A</v>
      </c>
      <c r="U123" s="282" t="e">
        <f>IF(VLOOKUP(T_Convention[[#This Row],[NumL]],T_TraitDi[#Data],COLUMN(T_TraitDi[M6]),FALSE)="","",VLOOKUP(T_Convention[[#This Row],[NumL]],T_TraitDi[#Data],COLUMN(T_TraitDi[M6]),FALSE))</f>
        <v>#N/A</v>
      </c>
      <c r="V123" s="176" t="e">
        <f t="shared" si="9"/>
        <v>#N/A</v>
      </c>
      <c r="W123" s="284" t="str">
        <f>IFERROR(TEXT(VLOOKUP(T_Convention[[#This Row],[NumL]],T_TraitDi[#Data],COLUMN(T_TraitDi[Q2]),FALSE),"###%"),"")</f>
        <v/>
      </c>
      <c r="X123" s="97" t="e">
        <f>VLOOKUP(T_Convention[[#This Row],[NumL]],T_TraitDi[#Data],COLUMN(T_TraitDi[Reg Ponct]),FALSE)</f>
        <v>#N/A</v>
      </c>
      <c r="Y123" s="97" t="e">
        <f>VLOOKUP(T_Convention[NumL],T_TraitDi[#Data],COLUMN(T_TraitDi[Jours flottants]),FALSE)</f>
        <v>#N/A</v>
      </c>
      <c r="Z123" s="284" t="str">
        <f>IFERROR(VLOOKUP(T_Convention[[#This Row],[NumL]],T_TraitDi[#Data],COLUMN(T_TraitDi[Lundi]),FALSE),"")</f>
        <v/>
      </c>
      <c r="AA123" s="284" t="e">
        <f>IF(VLOOKUP(T_Convention[[#This Row],[NumL]],T_TraitDi[#Data],COLUMN(T_TraitDi[Colonne3]),FALSE)=0,"",TEXT(IFERROR(VLOOKUP(T_Convention[[#This Row],[NumL]],T_TraitDi[#Data],COLUMN(T_TraitDi[Colonne3]),FALSE),""),"[hh]:mm"))</f>
        <v>#N/A</v>
      </c>
      <c r="AB123" s="284" t="e">
        <f>IF(VLOOKUP(T_Convention[[#This Row],[NumL]],T_TraitDi[#Data],COLUMN(T_TraitDi[Colonne4]),FALSE)=0,"",TEXT(IFERROR(VLOOKUP(T_Convention[[#This Row],[NumL]],T_TraitDi[#Data],COLUMN(T_TraitDi[Colonne4]),FALSE),""),"[hh]:mm"))</f>
        <v>#N/A</v>
      </c>
      <c r="AC123" s="284" t="e">
        <f>IF(VLOOKUP(T_Convention[[#This Row],[NumL]],T_TraitDi[#Data],COLUMN(T_TraitDi[Colonne5]),FALSE)=0,"",TEXT(IFERROR(VLOOKUP(T_Convention[[#This Row],[NumL]],T_TraitDi[#Data],COLUMN(T_TraitDi[Colonne5]),FALSE),""),"[hh]:mm"))</f>
        <v>#N/A</v>
      </c>
      <c r="AD123" s="284" t="e">
        <f>IF(VLOOKUP(T_Convention[[#This Row],[NumL]],T_TraitDi[#Data],COLUMN(T_TraitDi[Colonne6]),FALSE)=0,"",TEXT(IFERROR(VLOOKUP(T_Convention[[#This Row],[NumL]],T_TraitDi[#Data],COLUMN(T_TraitDi[Colonne6]),FALSE),""),"[hh]:mm"))</f>
        <v>#N/A</v>
      </c>
      <c r="AE123" s="284" t="e">
        <f>IF(VLOOKUP(T_Convention[[#This Row],[NumL]],T_TraitDi[#Data],COLUMN(T_TraitDi[Colonne7]),FALSE)=0,"",TEXT(IFERROR(VLOOKUP(T_Convention[[#This Row],[NumL]],T_TraitDi[#Data],COLUMN(T_TraitDi[Colonne7]),FALSE),""),"[hh]:mm"))</f>
        <v>#N/A</v>
      </c>
      <c r="AF123" s="284" t="e">
        <f>IF(VLOOKUP(T_Convention[[#This Row],[NumL]],T_TraitDi[#Data],COLUMN(T_TraitDi[Colonne8]),FALSE)=0,"",TEXT(IFERROR(VLOOKUP(T_Convention[[#This Row],[NumL]],T_TraitDi[#Data],COLUMN(T_TraitDi[Colonne8]),FALSE),""),"[hh]:mm"))</f>
        <v>#N/A</v>
      </c>
      <c r="AG123" s="284" t="str">
        <f>IFERROR(VLOOKUP(T_Convention[[#This Row],[NumL]],T_TraitDi[#Data],COLUMN(T_TraitDi[Mardi]),FALSE),"")</f>
        <v/>
      </c>
      <c r="AH123" s="284" t="e">
        <f>IF(VLOOKUP(T_Convention[[#This Row],[NumL]],T_TraitDi[#Data],COLUMN(T_TraitDi[Colonne1]),FALSE)=0,"",TEXT(IFERROR(VLOOKUP(T_Convention[[#This Row],[NumL]],T_TraitDi[#Data],COLUMN(T_TraitDi[Colonne1]),FALSE),""),"[hh]:mm"))</f>
        <v>#N/A</v>
      </c>
      <c r="AI123" s="284" t="e">
        <f>IF(VLOOKUP(T_Convention[[#This Row],[NumL]],T_TraitDi[#Data],COLUMN(T_TraitDi[Colonne9]),FALSE)=0,"",TEXT(IFERROR(VLOOKUP(T_Convention[[#This Row],[NumL]],T_TraitDi[#Data],COLUMN(T_TraitDi[Colonne9]),FALSE),""),"[hh]:mm"))</f>
        <v>#N/A</v>
      </c>
      <c r="AJ123" s="284" t="str">
        <f>IFERROR(VLOOKUP(T_Convention[[#This Row],[NumL]],T_TraitDi[#Data],COLUMN(T_TraitDi[Colonne10]),FALSE),"")</f>
        <v/>
      </c>
      <c r="AK123" s="284" t="e">
        <f>IF(VLOOKUP(T_Convention[[#This Row],[NumL]],T_TraitDi[#Data],COLUMN(T_TraitDi[Colonne11]),FALSE)=0,"",TEXT(IFERROR(VLOOKUP(T_Convention[[#This Row],[NumL]],T_TraitDi[#Data],COLUMN(T_TraitDi[Colonne11]),FALSE),""),"[hh]:mm"))</f>
        <v>#N/A</v>
      </c>
      <c r="AL123" s="284" t="e">
        <f>IF(VLOOKUP(T_Convention[[#This Row],[NumL]],T_TraitDi[#Data],COLUMN(T_TraitDi[Colonne12]),FALSE)=0,"",TEXT(IFERROR(VLOOKUP(T_Convention[[#This Row],[NumL]],T_TraitDi[#Data],COLUMN(T_TraitDi[Colonne12]),FALSE),""),"[hh]:mm"))</f>
        <v>#N/A</v>
      </c>
      <c r="AM123" s="284" t="e">
        <f>IF(VLOOKUP(T_Convention[[#This Row],[NumL]],T_TraitDi[#Data],COLUMN(T_TraitDi[Colonne14]),FALSE)=0,"",TEXT(IFERROR(VLOOKUP(T_Convention[[#This Row],[NumL]],T_TraitDi[#Data],COLUMN(T_TraitDi[Colonne14]),FALSE),""),"[hh]:mm"))</f>
        <v>#N/A</v>
      </c>
      <c r="AN123" s="284" t="str">
        <f>IFERROR(VLOOKUP(T_Convention[[#This Row],[NumL]],T_TraitDi[#Data],COLUMN(T_TraitDi[Mercredi]),FALSE),"")</f>
        <v/>
      </c>
      <c r="AO123" s="284" t="e">
        <f>IF(VLOOKUP(T_Convention[[#This Row],[NumL]],T_TraitDi[#Data],COLUMN(T_TraitDi[Colonne15]),FALSE)=0,"",TEXT(IFERROR(VLOOKUP(T_Convention[[#This Row],[NumL]],T_TraitDi[#Data],COLUMN(T_TraitDi[Colonne15]),FALSE),""),"[hh]:mm"))</f>
        <v>#N/A</v>
      </c>
      <c r="AP123" s="284" t="e">
        <f>IF(VLOOKUP(T_Convention[[#This Row],[NumL]],T_TraitDi[#Data],COLUMN(T_TraitDi[Colonne16]),FALSE)=0,"",TEXT(IFERROR(VLOOKUP(T_Convention[[#This Row],[NumL]],T_TraitDi[#Data],COLUMN(T_TraitDi[Colonne16]),FALSE),""),"[hh]:mm"))</f>
        <v>#N/A</v>
      </c>
      <c r="AQ123" s="284" t="str">
        <f>IFERROR(VLOOKUP(T_Convention[[#This Row],[NumL]],T_TraitDi[#Data],COLUMN(T_TraitDi[Colonne17]),FALSE),"")</f>
        <v/>
      </c>
      <c r="AR123" s="284" t="e">
        <f>IF(VLOOKUP(T_Convention[[#This Row],[NumL]],T_TraitDi[#Data],COLUMN(T_TraitDi[Colonne18]),FALSE)=0,"",TEXT(IFERROR(VLOOKUP(T_Convention[[#This Row],[NumL]],T_TraitDi[#Data],COLUMN(T_TraitDi[Colonne18]),FALSE),""),"[hh]:mm"))</f>
        <v>#N/A</v>
      </c>
      <c r="AS123" s="284" t="e">
        <f>IF(VLOOKUP(T_Convention[[#This Row],[NumL]],T_TraitDi[#Data],COLUMN(T_TraitDi[Colonne19]),FALSE)=0,"",TEXT(IFERROR(VLOOKUP(T_Convention[[#This Row],[NumL]],T_TraitDi[#Data],COLUMN(T_TraitDi[Colonne19]),FALSE),""),"[hh]:mm"))</f>
        <v>#N/A</v>
      </c>
      <c r="AT123" s="284" t="e">
        <f>IF(VLOOKUP(T_Convention[[#This Row],[NumL]],T_TraitDi[#Data],COLUMN(T_TraitDi[Colonne20]),FALSE)=0,"",TEXT(IFERROR(VLOOKUP(T_Convention[[#This Row],[NumL]],T_TraitDi[#Data],COLUMN(T_TraitDi[Colonne20]),FALSE),""),"[hh]:mm"))</f>
        <v>#N/A</v>
      </c>
      <c r="AU123" s="284" t="str">
        <f>IFERROR(VLOOKUP(T_Convention[[#This Row],[NumL]],T_TraitDi[#Data],COLUMN(T_TraitDi[Jeudi]),FALSE),"")</f>
        <v/>
      </c>
      <c r="AV123" s="284" t="e">
        <f>IF(VLOOKUP(T_Convention[[#This Row],[NumL]],T_TraitDi[#Data],COLUMN(T_TraitDi[Colonne21]),FALSE)=0,"",TEXT(IFERROR(VLOOKUP(T_Convention[[#This Row],[NumL]],T_TraitDi[#Data],COLUMN(T_TraitDi[Colonne21]),FALSE),""),"[hh]:mm"))</f>
        <v>#N/A</v>
      </c>
      <c r="AW123" s="284" t="e">
        <f>IF(VLOOKUP(T_Convention[[#This Row],[NumL]],T_TraitDi[#Data],COLUMN(T_TraitDi[Colonne22]),FALSE)=0,"",TEXT(IFERROR(VLOOKUP(T_Convention[[#This Row],[NumL]],T_TraitDi[#Data],COLUMN(T_TraitDi[Colonne22]),FALSE),""),"[hh]:mm"))</f>
        <v>#N/A</v>
      </c>
      <c r="AX123" s="284" t="str">
        <f>IFERROR(VLOOKUP(T_Convention[[#This Row],[NumL]],T_TraitDi[#Data],COLUMN(T_TraitDi[Colonne23]),FALSE),"")</f>
        <v/>
      </c>
      <c r="AY123" s="284" t="e">
        <f>IF(VLOOKUP(T_Convention[[#This Row],[NumL]],T_TraitDi[#Data],COLUMN(T_TraitDi[Colonne24]),FALSE)=0,"",TEXT(IFERROR(VLOOKUP(T_Convention[[#This Row],[NumL]],T_TraitDi[#Data],COLUMN(T_TraitDi[Colonne24]),FALSE),""),"[hh]:mm"))</f>
        <v>#N/A</v>
      </c>
      <c r="AZ123" s="284" t="e">
        <f>IF(VLOOKUP(T_Convention[[#This Row],[NumL]],T_TraitDi[#Data],COLUMN(T_TraitDi[Colonne25]),FALSE)=0,"",TEXT(IFERROR(VLOOKUP(T_Convention[[#This Row],[NumL]],T_TraitDi[#Data],COLUMN(T_TraitDi[Colonne25]),FALSE),""),"[hh]:mm"))</f>
        <v>#N/A</v>
      </c>
      <c r="BA123" s="284" t="e">
        <f>IF(VLOOKUP(T_Convention[[#This Row],[NumL]],T_TraitDi[#Data],COLUMN(T_TraitDi[Colonne26]),FALSE)=0,"",TEXT(IFERROR(VLOOKUP(T_Convention[[#This Row],[NumL]],T_TraitDi[#Data],COLUMN(T_TraitDi[Colonne26]),FALSE),""),"[hh]:mm"))</f>
        <v>#N/A</v>
      </c>
      <c r="BB123" s="284" t="str">
        <f>IFERROR(VLOOKUP(T_Convention[[#This Row],[NumL]],T_TraitDi[#Data],COLUMN(T_TraitDi[Vendredi]),FALSE),"")</f>
        <v/>
      </c>
      <c r="BC123" s="284" t="e">
        <f>IF(VLOOKUP(T_Convention[[#This Row],[NumL]],T_TraitDi[#Data],COLUMN(T_TraitDi[Colonne27]),FALSE)=0,"",TEXT(IFERROR(VLOOKUP(T_Convention[[#This Row],[NumL]],T_TraitDi[#Data],COLUMN(T_TraitDi[Colonne27]),FALSE),""),"[hh]:mm"))</f>
        <v>#N/A</v>
      </c>
      <c r="BD123" s="284" t="e">
        <f>IF(VLOOKUP(T_Convention[[#This Row],[NumL]],T_TraitDi[#Data],COLUMN(T_TraitDi[Colonne28]),FALSE)=0,"",TEXT(IFERROR(VLOOKUP(T_Convention[[#This Row],[NumL]],T_TraitDi[#Data],COLUMN(T_TraitDi[Colonne28]),FALSE),""),"[hh]:mm"))</f>
        <v>#N/A</v>
      </c>
      <c r="BE123" s="284" t="str">
        <f>IFERROR(VLOOKUP(T_Convention[[#This Row],[NumL]],T_TraitDi[#Data],COLUMN(T_TraitDi[Colonne29]),FALSE),"")</f>
        <v/>
      </c>
      <c r="BF123" s="284" t="e">
        <f>IF(VLOOKUP(T_Convention[[#This Row],[NumL]],T_TraitDi[#Data],COLUMN(T_TraitDi[Colonne30]),FALSE)=0,"",TEXT(IFERROR(VLOOKUP(T_Convention[[#This Row],[NumL]],T_TraitDi[#Data],COLUMN(T_TraitDi[Colonne30]),FALSE),""),"[hh]:mm"))</f>
        <v>#N/A</v>
      </c>
      <c r="BG123" s="284" t="e">
        <f>IF(VLOOKUP(T_Convention[[#This Row],[NumL]],T_TraitDi[#Data],COLUMN(T_TraitDi[Colonne31]),FALSE)=0,"",TEXT(IFERROR(VLOOKUP(T_Convention[[#This Row],[NumL]],T_TraitDi[#Data],COLUMN(T_TraitDi[Colonne31]),FALSE),""),"[hh]:mm"))</f>
        <v>#N/A</v>
      </c>
      <c r="BH123" s="284" t="e">
        <f>IF(VLOOKUP(T_Convention[[#This Row],[NumL]],T_TraitDi[#Data],COLUMN(T_TraitDi[Colonne32]),FALSE)=0,"",TEXT(IFERROR(VLOOKUP(T_Convention[[#This Row],[NumL]],T_TraitDi[#Data],COLUMN(T_TraitDi[Colonne32]),FALSE),""),"[hh]:mm"))</f>
        <v>#N/A</v>
      </c>
      <c r="BI123" s="284" t="str">
        <f>IFERROR(VLOOKUP(T_Convention[[#This Row],[NumL]],T_TraitDi[#Data],COLUMN(T_TraitDi[NbJTW]),FALSE),"")</f>
        <v/>
      </c>
      <c r="BJ123" s="284" t="e">
        <f>IF(VLOOKUP(T_Convention[[#This Row],[NumL]],T_TraitDi[#Data],COLUMN(T_TraitDi[NbhTW]),FALSE)=0,"",TEXT(IFERROR(VLOOKUP(T_Convention[[#This Row],[NumL]],T_TraitDi[#Data],COLUMN(T_TraitDi[NbhTW]),FALSE),""),"[hh]:mm"))</f>
        <v>#N/A</v>
      </c>
      <c r="BK123" s="286" t="e">
        <f>IF(VLOOKUP(T_Convention[[#This Row],[NumL]],T_TraitDi[#Data],COLUMN(T_TraitDi[Nbhheb]),FALSE)=0,"",TEXT(IFERROR(VLOOKUP(T_Convention[[#This Row],[NumL]],T_TraitDi[#Data],COLUMN(T_TraitDi[Nbhheb]),FALSE),""),"[hh]:mm"))</f>
        <v>#N/A</v>
      </c>
      <c r="BL123" s="287" t="str">
        <f>IFERROR(VLOOKUP(VLOOKUP(T_Convention[[#This Row],[NumL]],T_TraitDi[#Data],COLUMN(T_TraitDi[Type1]),FALSE),TypeTW,2,FALSE),"")</f>
        <v/>
      </c>
      <c r="BM123" s="288" t="str">
        <f>IFERROR(VLOOKUP(T_Convention[[#This Row],[NumL]],T_TraitDi[#Data],COLUMN(T_TraitDi[Rue1]),FALSE),"")</f>
        <v/>
      </c>
      <c r="BN123" s="289" t="str">
        <f>IFERROR(VLOOKUP(T_Convention[[#This Row],[NumL]],T_TraitDi[#Data],COLUMN(T_TraitDi[CP1]),FALSE),"")</f>
        <v/>
      </c>
      <c r="BO123" s="282" t="str">
        <f>IFERROR(VLOOKUP(T_Convention[[#This Row],[NumL]],T_TraitDi[#Data],COLUMN(T_TraitDi[VILLE1]),FALSE),"")</f>
        <v/>
      </c>
      <c r="BP123" s="290" t="str">
        <f>IFERROR(VLOOKUP(VLOOKUP(T_Convention[[#This Row],[NumL]],T_TraitDi[#Data],COLUMN(T_TraitDi[Type2]),FALSE),TypeTW,2,FALSE),"")</f>
        <v/>
      </c>
      <c r="BQ123" s="182" t="str">
        <f>IFERROR(VLOOKUP(T_Convention[[#This Row],[NumL]],T_TraitDi[#Data],COLUMN(T_TraitDi[Rue2]),FALSE),"")</f>
        <v/>
      </c>
      <c r="BR123" s="173" t="str">
        <f>IFERROR(VLOOKUP(T_Convention[[#This Row],[NumL]],T_TraitDi[#Data],COLUMN(T_TraitDi[CP2]),FALSE),"")</f>
        <v/>
      </c>
      <c r="BS123" s="173" t="str">
        <f>IFERROR(VLOOKUP(T_Convention[[#This Row],[NumL]],T_TraitDi[#Data],COLUMN(T_TraitDi[VILLE2]),FALSE),"")</f>
        <v/>
      </c>
      <c r="BT123" s="182" t="str">
        <f>IF(VLOOKUP(T_Convention[[#This Row],[NumL]],T_Equipement[#Data],COLUMN(T_Equipement[PC]),FALSE)="","Aucun équipement spécifique directement lié au télétravail",VLOOKUP(T_Convention[[#This Row],[NumL]],T_Equipement[#Data],COLUMN(T_Equipement[PC]),FALSE))</f>
        <v>18-027</v>
      </c>
      <c r="BU123" s="166" t="str">
        <f>IFERROR(IF(VLOOKUP(T_Convention[[#This Row],[NumL]],T_TraitDi[#Data],COLUMN(T_TraitDi[Plan]),FALSE)="OK","Un planning spécifique de télétravail est annexé à la présente convention.",""),"")</f>
        <v/>
      </c>
      <c r="BV123" s="185" t="s">
        <v>3310</v>
      </c>
      <c r="BW123" s="164" t="e">
        <f>IF(VLOOKUP(T_Convention[[#This Row],[NumL]],T_suiviDi[#Data],COLUMN(T_suiviDi[Entité]),FALSE)="","",VLOOKUP(T_Convention[[#This Row],[NumL]],T_suiviDi[#Data],COLUMN(T_suiviDi[Entité]),FALSE))</f>
        <v>#N/A</v>
      </c>
      <c r="BX123" s="164" t="str">
        <f>IF(VLOOKUP(T_Convention[[#This Row],[NumL]],T_Commission[#Data],COLUMN(T_Commission[envoi confirm TW]),FALSE)="","",VLOOKUP(T_Convention[[#This Row],[NumL]],T_Commission[#Data],COLUMN(T_Commission[envoi confirm TW]),FALSE))</f>
        <v>Oui</v>
      </c>
      <c r="BY12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3" s="264">
        <f>VLOOKUP(T_Convention[[#This Row],[NumL]],T_Commission[#Data],COLUMN(T_Commission[Commentaire]),FALSE)</f>
        <v>0</v>
      </c>
      <c r="CA123" s="254" t="str">
        <f>IF(VLOOKUP(T_Convention[[#This Row],[NumL]],T_Commission[#Data],COLUMN(T_Commission[Encadrant Email]),FALSE)="","",VLOOKUP(T_Convention[[#This Row],[NumL]],T_Commission[#Data],COLUMN(T_Commission[Encadrant Email]),FALSE))</f>
        <v/>
      </c>
      <c r="CB123" s="352" t="e">
        <f>VLOOKUP(T_Convention[[#This Row],[NumL]],T_TraitDi[#Data],COLUMN(T_TraitDi[NbJTot]),FALSE)</f>
        <v>#N/A</v>
      </c>
      <c r="CC123" s="352" t="e">
        <f>VLOOKUP(T_Convention[[#This Row],[NumL]],T_TraitDi[#Data],COLUMN(T_TraitDi[Reg Ponct]),FALSE)</f>
        <v>#N/A</v>
      </c>
      <c r="CD123" s="348" t="str">
        <f>IF(T_Convention[[#This Row],[Final]]&lt;&gt;"",VLOOKUP(T_Convention[[#This Row],[NumL]],T_suiviDi[#Data],COLUMN((T_suiviDi[Statut])),FALSE),"")</f>
        <v/>
      </c>
    </row>
    <row r="124" spans="1:82" s="106" customFormat="1" ht="18.75" customHeight="1" x14ac:dyDescent="0.25">
      <c r="A124" s="160">
        <v>348</v>
      </c>
      <c r="B124" s="281" t="str">
        <f>VLOOKUP(T_Convention[[#This Row],[NumL]],T_Commission[#Data],COLUMN(T_Commission[FINAL]),FALSE)</f>
        <v/>
      </c>
      <c r="C124" s="162"/>
      <c r="D124" s="95" t="e">
        <f>IF(VLOOKUP(T_Convention[[#This Row],[NumL]],T_TraitDi[#Data],COLUMN(T_TraitDi[WebC]),FALSE)="","",VLOOKUP(T_Convention[[#This Row],[NumL]],T_TraitDi[#Data],COLUMN(T_TraitDi[WebC]),FALSE))</f>
        <v>#N/A</v>
      </c>
      <c r="E124" s="163" t="str">
        <f t="shared" si="5"/>
        <v>12 janvier 2021</v>
      </c>
      <c r="F124" s="282" t="str">
        <f>IF(T_Convention[[#This Row],[Final]]&lt;&gt;"",VLOOKUP(T_Convention[[#This Row],[NumL]],T_suiviDi[#Data],COLUMN((T_suiviDi[Civ.])),FALSE),"")</f>
        <v/>
      </c>
      <c r="G124" s="283" t="str">
        <f>IF(T_Convention[[#This Row],[Final]]&lt;&gt;"",VLOOKUP(T_Convention[[#This Row],[NumL]],T_suiviDi[#Data],COLUMN((T_suiviDi[Nom])),FALSE),"")</f>
        <v/>
      </c>
      <c r="H124" s="282" t="str">
        <f>IF(T_Convention[[#This Row],[Final]]&lt;&gt;"",VLOOKUP(T_Convention[[#This Row],[NumL]],T_suiviDi[#Data],COLUMN((T_suiviDi[Prénom])),FALSE),"")</f>
        <v/>
      </c>
      <c r="I124" s="282" t="e">
        <f>VLOOKUP(T_Convention[[#This Row],[NumL]],T_suiviDi[#Data],COLUMN((T_suiviDi[[#This Row],[Email]])),FALSE)</f>
        <v>#VALUE!</v>
      </c>
      <c r="J124" s="282" t="e">
        <f>IF(VLOOKUP(T_Convention[[#This Row],[NumL]],T_suiviDi[#Data],COLUMN(T_suiviDi[[#This Row],[Fonction]]),FALSE)="","",VLOOKUP(T_Convention[[#This Row],[NumL]],T_suiviDi[#Data],COLUMN(T_suiviDi[[#This Row],[Fonction]]),FALSE))</f>
        <v>#VALUE!</v>
      </c>
      <c r="K124" s="282" t="e">
        <f>IF(VLOOKUP(T_Convention[[#This Row],[NumL]],T_suiviDi[#Data],COLUMN(T_suiviDi[[#This Row],[Grade]]),FALSE)="","",VLOOKUP(T_Convention[[#This Row],[NumL]],T_suiviDi[#Data],COLUMN(T_suiviDi[[#This Row],[Grade]]),FALSE))</f>
        <v>#VALUE!</v>
      </c>
      <c r="L124" s="282" t="e">
        <f>IF(VLOOKUP(T_Convention[[#This Row],[NumL]],T_suiviDi[#Data],COLUMN(T_suiviDi[[#This Row],[Service ]]),FALSE)="","",VLOOKUP(T_Convention[[#This Row],[NumL]],T_suiviDi[#Data],COLUMN(T_suiviDi[[#This Row],[Service ]]),FALSE))</f>
        <v>#VALUE!</v>
      </c>
      <c r="M124" s="314" t="str">
        <f t="shared" si="6"/>
        <v>01 septembre 2021</v>
      </c>
      <c r="N124" s="314" t="str">
        <f t="shared" si="7"/>
        <v>30 novembre 2021</v>
      </c>
      <c r="O124" s="284" t="str">
        <f t="shared" si="8"/>
        <v>30 novembre 2021</v>
      </c>
      <c r="P124" s="282" t="e">
        <f>IF(VLOOKUP(T_Convention[[#This Row],[NumL]],T_TraitDi[#Data],COLUMN(T_TraitDi[M1]),FALSE)="","",VLOOKUP(T_Convention[[#This Row],[NumL]],T_TraitDi[#Data],COLUMN(T_TraitDi[M1]),FALSE))</f>
        <v>#N/A</v>
      </c>
      <c r="Q124" s="282" t="e">
        <f>IF(VLOOKUP(T_Convention[[#This Row],[NumL]],T_TraitDi[#Data],COLUMN(T_TraitDi[M2]),FALSE)="","",VLOOKUP(T_Convention[[#This Row],[NumL]],T_TraitDi[#Data],COLUMN(T_TraitDi[M2]),FALSE))</f>
        <v>#N/A</v>
      </c>
      <c r="R124" s="282" t="e">
        <f>IF(VLOOKUP(T_Convention[[#This Row],[NumL]],T_TraitDi[#Data],COLUMN(T_TraitDi[M3]),FALSE)="","",VLOOKUP(T_Convention[[#This Row],[NumL]],T_TraitDi[#Data],COLUMN(T_TraitDi[M3]),FALSE))</f>
        <v>#N/A</v>
      </c>
      <c r="S124" s="282" t="e">
        <f>IF(VLOOKUP(T_Convention[[#This Row],[NumL]],T_TraitDi[#Data],COLUMN(T_TraitDi[M4]),FALSE)="","",VLOOKUP(T_Convention[[#This Row],[NumL]],T_TraitDi[#Data],COLUMN(T_TraitDi[M4]),FALSE))</f>
        <v>#N/A</v>
      </c>
      <c r="T124" s="282" t="e">
        <f>IF(VLOOKUP(T_Convention[[#This Row],[NumL]],T_TraitDi[#Data],COLUMN(T_TraitDi[M5]),FALSE)="","",VLOOKUP(T_Convention[[#This Row],[NumL]],T_TraitDi[#Data],COLUMN(T_TraitDi[M5]),FALSE))</f>
        <v>#N/A</v>
      </c>
      <c r="U124" s="282" t="e">
        <f>IF(VLOOKUP(T_Convention[[#This Row],[NumL]],T_TraitDi[#Data],COLUMN(T_TraitDi[M6]),FALSE)="","",VLOOKUP(T_Convention[[#This Row],[NumL]],T_TraitDi[#Data],COLUMN(T_TraitDi[M6]),FALSE))</f>
        <v>#N/A</v>
      </c>
      <c r="V124" s="314" t="e">
        <f t="shared" si="9"/>
        <v>#N/A</v>
      </c>
      <c r="W124" s="284" t="str">
        <f>IFERROR(TEXT(VLOOKUP(T_Convention[[#This Row],[NumL]],T_TraitDi[#Data],COLUMN(T_TraitDi[Q2]),FALSE),"###%"),"")</f>
        <v/>
      </c>
      <c r="X124" s="285" t="e">
        <f>VLOOKUP(T_Convention[[#This Row],[NumL]],T_TraitDi[#Data],COLUMN(T_TraitDi[Reg Ponct]),FALSE)</f>
        <v>#N/A</v>
      </c>
      <c r="Y124" s="285" t="e">
        <f>VLOOKUP(T_Convention[NumL],T_TraitDi[#Data],COLUMN(T_TraitDi[Jours flottants]),FALSE)</f>
        <v>#N/A</v>
      </c>
      <c r="Z124" s="284" t="str">
        <f>IFERROR(VLOOKUP(T_Convention[[#This Row],[NumL]],T_TraitDi[#Data],COLUMN(T_TraitDi[Lundi]),FALSE),"")</f>
        <v/>
      </c>
      <c r="AA124" s="284" t="e">
        <f>IF(VLOOKUP(T_Convention[[#This Row],[NumL]],T_TraitDi[#Data],COLUMN(T_TraitDi[Colonne3]),FALSE)=0,"",TEXT(IFERROR(VLOOKUP(T_Convention[[#This Row],[NumL]],T_TraitDi[#Data],COLUMN(T_TraitDi[Colonne3]),FALSE),""),"[hh]:mm"))</f>
        <v>#N/A</v>
      </c>
      <c r="AB124" s="284" t="e">
        <f>IF(VLOOKUP(T_Convention[[#This Row],[NumL]],T_TraitDi[#Data],COLUMN(T_TraitDi[Colonne4]),FALSE)=0,"",TEXT(IFERROR(VLOOKUP(T_Convention[[#This Row],[NumL]],T_TraitDi[#Data],COLUMN(T_TraitDi[Colonne4]),FALSE),""),"[hh]:mm"))</f>
        <v>#N/A</v>
      </c>
      <c r="AC124" s="284" t="e">
        <f>IF(VLOOKUP(T_Convention[[#This Row],[NumL]],T_TraitDi[#Data],COLUMN(T_TraitDi[Colonne5]),FALSE)=0,"",TEXT(IFERROR(VLOOKUP(T_Convention[[#This Row],[NumL]],T_TraitDi[#Data],COLUMN(T_TraitDi[Colonne5]),FALSE),""),"[hh]:mm"))</f>
        <v>#N/A</v>
      </c>
      <c r="AD124" s="284" t="e">
        <f>IF(VLOOKUP(T_Convention[[#This Row],[NumL]],T_TraitDi[#Data],COLUMN(T_TraitDi[Colonne6]),FALSE)=0,"",TEXT(IFERROR(VLOOKUP(T_Convention[[#This Row],[NumL]],T_TraitDi[#Data],COLUMN(T_TraitDi[Colonne6]),FALSE),""),"[hh]:mm"))</f>
        <v>#N/A</v>
      </c>
      <c r="AE124" s="284" t="e">
        <f>IF(VLOOKUP(T_Convention[[#This Row],[NumL]],T_TraitDi[#Data],COLUMN(T_TraitDi[Colonne7]),FALSE)=0,"",TEXT(IFERROR(VLOOKUP(T_Convention[[#This Row],[NumL]],T_TraitDi[#Data],COLUMN(T_TraitDi[Colonne7]),FALSE),""),"[hh]:mm"))</f>
        <v>#N/A</v>
      </c>
      <c r="AF124" s="284" t="e">
        <f>IF(VLOOKUP(T_Convention[[#This Row],[NumL]],T_TraitDi[#Data],COLUMN(T_TraitDi[Colonne8]),FALSE)=0,"",TEXT(IFERROR(VLOOKUP(T_Convention[[#This Row],[NumL]],T_TraitDi[#Data],COLUMN(T_TraitDi[Colonne8]),FALSE),""),"[hh]:mm"))</f>
        <v>#N/A</v>
      </c>
      <c r="AG124" s="284" t="str">
        <f>IFERROR(VLOOKUP(T_Convention[[#This Row],[NumL]],T_TraitDi[#Data],COLUMN(T_TraitDi[Mardi]),FALSE),"")</f>
        <v/>
      </c>
      <c r="AH124" s="284" t="e">
        <f>IF(VLOOKUP(T_Convention[[#This Row],[NumL]],T_TraitDi[#Data],COLUMN(T_TraitDi[Colonne1]),FALSE)=0,"",TEXT(IFERROR(VLOOKUP(T_Convention[[#This Row],[NumL]],T_TraitDi[#Data],COLUMN(T_TraitDi[Colonne1]),FALSE),""),"[hh]:mm"))</f>
        <v>#N/A</v>
      </c>
      <c r="AI124" s="284" t="e">
        <f>IF(VLOOKUP(T_Convention[[#This Row],[NumL]],T_TraitDi[#Data],COLUMN(T_TraitDi[Colonne9]),FALSE)=0,"",TEXT(IFERROR(VLOOKUP(T_Convention[[#This Row],[NumL]],T_TraitDi[#Data],COLUMN(T_TraitDi[Colonne9]),FALSE),""),"[hh]:mm"))</f>
        <v>#N/A</v>
      </c>
      <c r="AJ124" s="284" t="str">
        <f>IFERROR(VLOOKUP(T_Convention[[#This Row],[NumL]],T_TraitDi[#Data],COLUMN(T_TraitDi[Colonne10]),FALSE),"")</f>
        <v/>
      </c>
      <c r="AK124" s="284" t="e">
        <f>IF(VLOOKUP(T_Convention[[#This Row],[NumL]],T_TraitDi[#Data],COLUMN(T_TraitDi[Colonne11]),FALSE)=0,"",TEXT(IFERROR(VLOOKUP(T_Convention[[#This Row],[NumL]],T_TraitDi[#Data],COLUMN(T_TraitDi[Colonne11]),FALSE),""),"[hh]:mm"))</f>
        <v>#N/A</v>
      </c>
      <c r="AL124" s="284" t="e">
        <f>IF(VLOOKUP(T_Convention[[#This Row],[NumL]],T_TraitDi[#Data],COLUMN(T_TraitDi[Colonne12]),FALSE)=0,"",TEXT(IFERROR(VLOOKUP(T_Convention[[#This Row],[NumL]],T_TraitDi[#Data],COLUMN(T_TraitDi[Colonne12]),FALSE),""),"[hh]:mm"))</f>
        <v>#N/A</v>
      </c>
      <c r="AM124" s="284" t="e">
        <f>IF(VLOOKUP(T_Convention[[#This Row],[NumL]],T_TraitDi[#Data],COLUMN(T_TraitDi[Colonne14]),FALSE)=0,"",TEXT(IFERROR(VLOOKUP(T_Convention[[#This Row],[NumL]],T_TraitDi[#Data],COLUMN(T_TraitDi[Colonne14]),FALSE),""),"[hh]:mm"))</f>
        <v>#N/A</v>
      </c>
      <c r="AN124" s="284" t="str">
        <f>IFERROR(VLOOKUP(T_Convention[[#This Row],[NumL]],T_TraitDi[#Data],COLUMN(T_TraitDi[Mercredi]),FALSE),"")</f>
        <v/>
      </c>
      <c r="AO124" s="284" t="e">
        <f>IF(VLOOKUP(T_Convention[[#This Row],[NumL]],T_TraitDi[#Data],COLUMN(T_TraitDi[Colonne15]),FALSE)=0,"",TEXT(IFERROR(VLOOKUP(T_Convention[[#This Row],[NumL]],T_TraitDi[#Data],COLUMN(T_TraitDi[Colonne15]),FALSE),""),"[hh]:mm"))</f>
        <v>#N/A</v>
      </c>
      <c r="AP124" s="284" t="e">
        <f>IF(VLOOKUP(T_Convention[[#This Row],[NumL]],T_TraitDi[#Data],COLUMN(T_TraitDi[Colonne16]),FALSE)=0,"",TEXT(IFERROR(VLOOKUP(T_Convention[[#This Row],[NumL]],T_TraitDi[#Data],COLUMN(T_TraitDi[Colonne16]),FALSE),""),"[hh]:mm"))</f>
        <v>#N/A</v>
      </c>
      <c r="AQ124" s="284" t="str">
        <f>IFERROR(VLOOKUP(T_Convention[[#This Row],[NumL]],T_TraitDi[#Data],COLUMN(T_TraitDi[Colonne17]),FALSE),"")</f>
        <v/>
      </c>
      <c r="AR124" s="284" t="e">
        <f>IF(VLOOKUP(T_Convention[[#This Row],[NumL]],T_TraitDi[#Data],COLUMN(T_TraitDi[Colonne18]),FALSE)=0,"",TEXT(IFERROR(VLOOKUP(T_Convention[[#This Row],[NumL]],T_TraitDi[#Data],COLUMN(T_TraitDi[Colonne18]),FALSE),""),"[hh]:mm"))</f>
        <v>#N/A</v>
      </c>
      <c r="AS124" s="284" t="e">
        <f>IF(VLOOKUP(T_Convention[[#This Row],[NumL]],T_TraitDi[#Data],COLUMN(T_TraitDi[Colonne19]),FALSE)=0,"",TEXT(IFERROR(VLOOKUP(T_Convention[[#This Row],[NumL]],T_TraitDi[#Data],COLUMN(T_TraitDi[Colonne19]),FALSE),""),"[hh]:mm"))</f>
        <v>#N/A</v>
      </c>
      <c r="AT124" s="284" t="e">
        <f>IF(VLOOKUP(T_Convention[[#This Row],[NumL]],T_TraitDi[#Data],COLUMN(T_TraitDi[Colonne20]),FALSE)=0,"",TEXT(IFERROR(VLOOKUP(T_Convention[[#This Row],[NumL]],T_TraitDi[#Data],COLUMN(T_TraitDi[Colonne20]),FALSE),""),"[hh]:mm"))</f>
        <v>#N/A</v>
      </c>
      <c r="AU124" s="284" t="str">
        <f>IFERROR(VLOOKUP(T_Convention[[#This Row],[NumL]],T_TraitDi[#Data],COLUMN(T_TraitDi[Jeudi]),FALSE),"")</f>
        <v/>
      </c>
      <c r="AV124" s="284" t="e">
        <f>IF(VLOOKUP(T_Convention[[#This Row],[NumL]],T_TraitDi[#Data],COLUMN(T_TraitDi[Colonne21]),FALSE)=0,"",TEXT(IFERROR(VLOOKUP(T_Convention[[#This Row],[NumL]],T_TraitDi[#Data],COLUMN(T_TraitDi[Colonne21]),FALSE),""),"[hh]:mm"))</f>
        <v>#N/A</v>
      </c>
      <c r="AW124" s="284" t="e">
        <f>IF(VLOOKUP(T_Convention[[#This Row],[NumL]],T_TraitDi[#Data],COLUMN(T_TraitDi[Colonne22]),FALSE)=0,"",TEXT(IFERROR(VLOOKUP(T_Convention[[#This Row],[NumL]],T_TraitDi[#Data],COLUMN(T_TraitDi[Colonne22]),FALSE),""),"[hh]:mm"))</f>
        <v>#N/A</v>
      </c>
      <c r="AX124" s="284" t="str">
        <f>IFERROR(VLOOKUP(T_Convention[[#This Row],[NumL]],T_TraitDi[#Data],COLUMN(T_TraitDi[Colonne23]),FALSE),"")</f>
        <v/>
      </c>
      <c r="AY124" s="284" t="e">
        <f>IF(VLOOKUP(T_Convention[[#This Row],[NumL]],T_TraitDi[#Data],COLUMN(T_TraitDi[Colonne24]),FALSE)=0,"",TEXT(IFERROR(VLOOKUP(T_Convention[[#This Row],[NumL]],T_TraitDi[#Data],COLUMN(T_TraitDi[Colonne24]),FALSE),""),"[hh]:mm"))</f>
        <v>#N/A</v>
      </c>
      <c r="AZ124" s="284" t="e">
        <f>IF(VLOOKUP(T_Convention[[#This Row],[NumL]],T_TraitDi[#Data],COLUMN(T_TraitDi[Colonne25]),FALSE)=0,"",TEXT(IFERROR(VLOOKUP(T_Convention[[#This Row],[NumL]],T_TraitDi[#Data],COLUMN(T_TraitDi[Colonne25]),FALSE),""),"[hh]:mm"))</f>
        <v>#N/A</v>
      </c>
      <c r="BA124" s="284" t="e">
        <f>IF(VLOOKUP(T_Convention[[#This Row],[NumL]],T_TraitDi[#Data],COLUMN(T_TraitDi[Colonne26]),FALSE)=0,"",TEXT(IFERROR(VLOOKUP(T_Convention[[#This Row],[NumL]],T_TraitDi[#Data],COLUMN(T_TraitDi[Colonne26]),FALSE),""),"[hh]:mm"))</f>
        <v>#N/A</v>
      </c>
      <c r="BB124" s="284" t="str">
        <f>IFERROR(VLOOKUP(T_Convention[[#This Row],[NumL]],T_TraitDi[#Data],COLUMN(T_TraitDi[Vendredi]),FALSE),"")</f>
        <v/>
      </c>
      <c r="BC124" s="284" t="e">
        <f>IF(VLOOKUP(T_Convention[[#This Row],[NumL]],T_TraitDi[#Data],COLUMN(T_TraitDi[Colonne27]),FALSE)=0,"",TEXT(IFERROR(VLOOKUP(T_Convention[[#This Row],[NumL]],T_TraitDi[#Data],COLUMN(T_TraitDi[Colonne27]),FALSE),""),"[hh]:mm"))</f>
        <v>#N/A</v>
      </c>
      <c r="BD124" s="284" t="e">
        <f>IF(VLOOKUP(T_Convention[[#This Row],[NumL]],T_TraitDi[#Data],COLUMN(T_TraitDi[Colonne28]),FALSE)=0,"",TEXT(IFERROR(VLOOKUP(T_Convention[[#This Row],[NumL]],T_TraitDi[#Data],COLUMN(T_TraitDi[Colonne28]),FALSE),""),"[hh]:mm"))</f>
        <v>#N/A</v>
      </c>
      <c r="BE124" s="284" t="str">
        <f>IFERROR(VLOOKUP(T_Convention[[#This Row],[NumL]],T_TraitDi[#Data],COLUMN(T_TraitDi[Colonne29]),FALSE),"")</f>
        <v/>
      </c>
      <c r="BF124" s="284" t="e">
        <f>IF(VLOOKUP(T_Convention[[#This Row],[NumL]],T_TraitDi[#Data],COLUMN(T_TraitDi[Colonne30]),FALSE)=0,"",TEXT(IFERROR(VLOOKUP(T_Convention[[#This Row],[NumL]],T_TraitDi[#Data],COLUMN(T_TraitDi[Colonne30]),FALSE),""),"[hh]:mm"))</f>
        <v>#N/A</v>
      </c>
      <c r="BG124" s="284" t="e">
        <f>IF(VLOOKUP(T_Convention[[#This Row],[NumL]],T_TraitDi[#Data],COLUMN(T_TraitDi[Colonne31]),FALSE)=0,"",TEXT(IFERROR(VLOOKUP(T_Convention[[#This Row],[NumL]],T_TraitDi[#Data],COLUMN(T_TraitDi[Colonne31]),FALSE),""),"[hh]:mm"))</f>
        <v>#N/A</v>
      </c>
      <c r="BH124" s="284" t="e">
        <f>IF(VLOOKUP(T_Convention[[#This Row],[NumL]],T_TraitDi[#Data],COLUMN(T_TraitDi[Colonne32]),FALSE)=0,"",TEXT(IFERROR(VLOOKUP(T_Convention[[#This Row],[NumL]],T_TraitDi[#Data],COLUMN(T_TraitDi[Colonne32]),FALSE),""),"[hh]:mm"))</f>
        <v>#N/A</v>
      </c>
      <c r="BI124" s="284" t="str">
        <f>IFERROR(VLOOKUP(T_Convention[[#This Row],[NumL]],T_TraitDi[#Data],COLUMN(T_TraitDi[NbJTW]),FALSE),"")</f>
        <v/>
      </c>
      <c r="BJ124" s="284" t="e">
        <f>IF(VLOOKUP(T_Convention[[#This Row],[NumL]],T_TraitDi[#Data],COLUMN(T_TraitDi[NbhTW]),FALSE)=0,"",TEXT(IFERROR(VLOOKUP(T_Convention[[#This Row],[NumL]],T_TraitDi[#Data],COLUMN(T_TraitDi[NbhTW]),FALSE),""),"[hh]:mm"))</f>
        <v>#N/A</v>
      </c>
      <c r="BK124" s="315" t="e">
        <f>IF(VLOOKUP(T_Convention[[#This Row],[NumL]],T_TraitDi[#Data],COLUMN(T_TraitDi[Nbhheb]),FALSE)=0,"",TEXT(IFERROR(VLOOKUP(T_Convention[[#This Row],[NumL]],T_TraitDi[#Data],COLUMN(T_TraitDi[Nbhheb]),FALSE),""),"[hh]:mm"))</f>
        <v>#N/A</v>
      </c>
      <c r="BL124" s="287" t="str">
        <f>IFERROR(VLOOKUP(VLOOKUP(T_Convention[[#This Row],[NumL]],T_TraitDi[#Data],COLUMN(T_TraitDi[Type1]),FALSE),TypeTW,2,FALSE),"")</f>
        <v/>
      </c>
      <c r="BM124" s="288" t="str">
        <f>IFERROR(VLOOKUP(T_Convention[[#This Row],[NumL]],T_TraitDi[#Data],COLUMN(T_TraitDi[Rue1]),FALSE),"")</f>
        <v/>
      </c>
      <c r="BN124" s="289" t="str">
        <f>IFERROR(VLOOKUP(T_Convention[[#This Row],[NumL]],T_TraitDi[#Data],COLUMN(T_TraitDi[CP1]),FALSE),"")</f>
        <v/>
      </c>
      <c r="BO124" s="282" t="str">
        <f>IFERROR(VLOOKUP(T_Convention[[#This Row],[NumL]],T_TraitDi[#Data],COLUMN(T_TraitDi[VILLE1]),FALSE),"")</f>
        <v/>
      </c>
      <c r="BP124" s="290" t="str">
        <f>IFERROR(VLOOKUP(VLOOKUP(T_Convention[[#This Row],[NumL]],T_TraitDi[#Data],COLUMN(T_TraitDi[Type2]),FALSE),TypeTW,2,FALSE),"")</f>
        <v/>
      </c>
      <c r="BQ124" s="310" t="str">
        <f>IFERROR(VLOOKUP(T_Convention[[#This Row],[NumL]],T_TraitDi[#Data],COLUMN(T_TraitDi[Rue2]),FALSE),"")</f>
        <v/>
      </c>
      <c r="BR124" s="290" t="str">
        <f>IFERROR(VLOOKUP(T_Convention[[#This Row],[NumL]],T_TraitDi[#Data],COLUMN(T_TraitDi[CP2]),FALSE),"")</f>
        <v/>
      </c>
      <c r="BS124" s="290" t="str">
        <f>IFERROR(VLOOKUP(T_Convention[[#This Row],[NumL]],T_TraitDi[#Data],COLUMN(T_TraitDi[VILLE2]),FALSE),"")</f>
        <v/>
      </c>
      <c r="BT12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24" s="314" t="str">
        <f>IFERROR(IF(VLOOKUP(T_Convention[[#This Row],[NumL]],T_TraitDi[#Data],COLUMN(T_TraitDi[Plan]),FALSE)="OK","Un planning spécifique de télétravail est annexé à la présente convention.",""),"")</f>
        <v/>
      </c>
      <c r="BV124" s="291"/>
      <c r="BW124" s="292" t="e">
        <f>IF(VLOOKUP(T_Convention[[#This Row],[NumL]],T_suiviDi[#Data],COLUMN(T_suiviDi[Entité]),FALSE)="","",VLOOKUP(T_Convention[[#This Row],[NumL]],T_suiviDi[#Data],COLUMN(T_suiviDi[Entité]),FALSE))</f>
        <v>#N/A</v>
      </c>
      <c r="BX124" s="311" t="str">
        <f>IF(VLOOKUP(T_Convention[[#This Row],[NumL]],T_Commission[#Data],COLUMN(T_Commission[envoi confirm TW]),FALSE)="","",VLOOKUP(T_Convention[[#This Row],[NumL]],T_Commission[#Data],COLUMN(T_Commission[envoi confirm TW]),FALSE))</f>
        <v>Oui</v>
      </c>
      <c r="BY12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4" s="265">
        <f>VLOOKUP(T_Convention[[#This Row],[NumL]],T_Commission[#Data],COLUMN(T_Commission[Commentaire]),FALSE)</f>
        <v>0</v>
      </c>
      <c r="CA124" s="255" t="str">
        <f>IF(VLOOKUP(T_Convention[[#This Row],[NumL]],T_Commission[#Data],COLUMN(T_Commission[Encadrant Email]),FALSE)="","",VLOOKUP(T_Convention[[#This Row],[NumL]],T_Commission[#Data],COLUMN(T_Commission[Encadrant Email]),FALSE))</f>
        <v/>
      </c>
      <c r="CB124" s="352" t="e">
        <f>VLOOKUP(T_Convention[[#This Row],[NumL]],T_TraitDi[#Data],COLUMN(T_TraitDi[NbJTot]),FALSE)</f>
        <v>#N/A</v>
      </c>
      <c r="CC124" s="352" t="e">
        <f>VLOOKUP(T_Convention[[#This Row],[NumL]],T_TraitDi[#Data],COLUMN(T_TraitDi[Reg Ponct]),FALSE)</f>
        <v>#N/A</v>
      </c>
      <c r="CD124" s="348" t="str">
        <f>IF(T_Convention[[#This Row],[Final]]&lt;&gt;"",VLOOKUP(T_Convention[[#This Row],[NumL]],T_suiviDi[#Data],COLUMN((T_suiviDi[Statut])),FALSE),"")</f>
        <v/>
      </c>
    </row>
    <row r="125" spans="1:82" s="106" customFormat="1" ht="18.75" customHeight="1" x14ac:dyDescent="0.25">
      <c r="A125" s="160">
        <v>215</v>
      </c>
      <c r="B125" s="161" t="str">
        <f>VLOOKUP(T_Convention[[#This Row],[NumL]],T_Commission[#Data],COLUMN(T_Commission[FINAL]),FALSE)</f>
        <v/>
      </c>
      <c r="C125" s="162"/>
      <c r="D125" s="95" t="e">
        <f>IF(VLOOKUP(T_Convention[[#This Row],[NumL]],T_TraitDi[#Data],COLUMN(T_TraitDi[WebC]),FALSE)="","",VLOOKUP(T_Convention[[#This Row],[NumL]],T_TraitDi[#Data],COLUMN(T_TraitDi[WebC]),FALSE))</f>
        <v>#N/A</v>
      </c>
      <c r="E125" s="163" t="str">
        <f t="shared" si="5"/>
        <v>12 janvier 2021</v>
      </c>
      <c r="F125" s="282" t="str">
        <f>IF(T_Convention[[#This Row],[Final]]&lt;&gt;"",VLOOKUP(T_Convention[[#This Row],[NumL]],T_suiviDi[#Data],COLUMN((T_suiviDi[Civ.])),FALSE),"")</f>
        <v/>
      </c>
      <c r="G125" s="283" t="str">
        <f>IF(T_Convention[[#This Row],[Final]]&lt;&gt;"",VLOOKUP(T_Convention[[#This Row],[NumL]],T_suiviDi[#Data],COLUMN((T_suiviDi[Nom])),FALSE),"")</f>
        <v/>
      </c>
      <c r="H125" s="282" t="str">
        <f>IF(T_Convention[[#This Row],[Final]]&lt;&gt;"",VLOOKUP(T_Convention[[#This Row],[NumL]],T_suiviDi[#Data],COLUMN((T_suiviDi[Prénom])),FALSE),"")</f>
        <v/>
      </c>
      <c r="I125" s="282" t="e">
        <f>VLOOKUP(T_Convention[[#This Row],[NumL]],T_suiviDi[#Data],COLUMN((T_suiviDi[[#This Row],[Email]])),FALSE)</f>
        <v>#VALUE!</v>
      </c>
      <c r="J125" s="282" t="e">
        <f>IF(VLOOKUP(T_Convention[[#This Row],[NumL]],T_suiviDi[#Data],COLUMN(T_suiviDi[[#This Row],[Fonction]]),FALSE)="","",VLOOKUP(T_Convention[[#This Row],[NumL]],T_suiviDi[#Data],COLUMN(T_suiviDi[[#This Row],[Fonction]]),FALSE))</f>
        <v>#VALUE!</v>
      </c>
      <c r="K125" s="282" t="e">
        <f>IF(VLOOKUP(T_Convention[[#This Row],[NumL]],T_suiviDi[#Data],COLUMN(T_suiviDi[[#This Row],[Grade]]),FALSE)="","",VLOOKUP(T_Convention[[#This Row],[NumL]],T_suiviDi[#Data],COLUMN(T_suiviDi[[#This Row],[Grade]]),FALSE))</f>
        <v>#VALUE!</v>
      </c>
      <c r="L125" s="282" t="e">
        <f>IF(VLOOKUP(T_Convention[[#This Row],[NumL]],T_suiviDi[#Data],COLUMN(T_suiviDi[[#This Row],[Service ]]),FALSE)="","",VLOOKUP(T_Convention[[#This Row],[NumL]],T_suiviDi[#Data],COLUMN(T_suiviDi[[#This Row],[Service ]]),FALSE))</f>
        <v>#VALUE!</v>
      </c>
      <c r="M125" s="164" t="str">
        <f t="shared" si="6"/>
        <v>01 septembre 2021</v>
      </c>
      <c r="N125" s="164" t="str">
        <f t="shared" si="7"/>
        <v>30 novembre 2021</v>
      </c>
      <c r="O125" s="284" t="str">
        <f t="shared" si="8"/>
        <v>30 novembre 2021</v>
      </c>
      <c r="P125" s="282" t="e">
        <f>IF(VLOOKUP(T_Convention[[#This Row],[NumL]],T_TraitDi[#Data],COLUMN(T_TraitDi[M1]),FALSE)="","",VLOOKUP(T_Convention[[#This Row],[NumL]],T_TraitDi[#Data],COLUMN(T_TraitDi[M1]),FALSE))</f>
        <v>#N/A</v>
      </c>
      <c r="Q125" s="282" t="e">
        <f>IF(VLOOKUP(T_Convention[[#This Row],[NumL]],T_TraitDi[#Data],COLUMN(T_TraitDi[M2]),FALSE)="","",VLOOKUP(T_Convention[[#This Row],[NumL]],T_TraitDi[#Data],COLUMN(T_TraitDi[M2]),FALSE))</f>
        <v>#N/A</v>
      </c>
      <c r="R125" s="282" t="e">
        <f>IF(VLOOKUP(T_Convention[[#This Row],[NumL]],T_TraitDi[#Data],COLUMN(T_TraitDi[M3]),FALSE)="","",VLOOKUP(T_Convention[[#This Row],[NumL]],T_TraitDi[#Data],COLUMN(T_TraitDi[M3]),FALSE))</f>
        <v>#N/A</v>
      </c>
      <c r="S125" s="282" t="e">
        <f>IF(VLOOKUP(T_Convention[[#This Row],[NumL]],T_TraitDi[#Data],COLUMN(T_TraitDi[M4]),FALSE)="","",VLOOKUP(T_Convention[[#This Row],[NumL]],T_TraitDi[#Data],COLUMN(T_TraitDi[M4]),FALSE))</f>
        <v>#N/A</v>
      </c>
      <c r="T125" s="282" t="e">
        <f>IF(VLOOKUP(T_Convention[[#This Row],[NumL]],T_TraitDi[#Data],COLUMN(T_TraitDi[M5]),FALSE)="","",VLOOKUP(T_Convention[[#This Row],[NumL]],T_TraitDi[#Data],COLUMN(T_TraitDi[M5]),FALSE))</f>
        <v>#N/A</v>
      </c>
      <c r="U125" s="282" t="e">
        <f>IF(VLOOKUP(T_Convention[[#This Row],[NumL]],T_TraitDi[#Data],COLUMN(T_TraitDi[M6]),FALSE)="","",VLOOKUP(T_Convention[[#This Row],[NumL]],T_TraitDi[#Data],COLUMN(T_TraitDi[M6]),FALSE))</f>
        <v>#N/A</v>
      </c>
      <c r="V125" s="176" t="e">
        <f t="shared" si="9"/>
        <v>#N/A</v>
      </c>
      <c r="W125" s="284" t="str">
        <f>IFERROR(TEXT(VLOOKUP(T_Convention[[#This Row],[NumL]],T_TraitDi[#Data],COLUMN(T_TraitDi[Q2]),FALSE),"###%"),"")</f>
        <v/>
      </c>
      <c r="X125" s="97" t="e">
        <f>VLOOKUP(T_Convention[[#This Row],[NumL]],T_TraitDi[#Data],COLUMN(T_TraitDi[Reg Ponct]),FALSE)</f>
        <v>#N/A</v>
      </c>
      <c r="Y125" s="97" t="e">
        <f>VLOOKUP(T_Convention[NumL],T_TraitDi[#Data],COLUMN(T_TraitDi[Jours flottants]),FALSE)</f>
        <v>#N/A</v>
      </c>
      <c r="Z125" s="284" t="str">
        <f>IFERROR(VLOOKUP(T_Convention[[#This Row],[NumL]],T_TraitDi[#Data],COLUMN(T_TraitDi[Lundi]),FALSE),"")</f>
        <v/>
      </c>
      <c r="AA125" s="284" t="e">
        <f>IF(VLOOKUP(T_Convention[[#This Row],[NumL]],T_TraitDi[#Data],COLUMN(T_TraitDi[Colonne3]),FALSE)=0,"",TEXT(IFERROR(VLOOKUP(T_Convention[[#This Row],[NumL]],T_TraitDi[#Data],COLUMN(T_TraitDi[Colonne3]),FALSE),""),"[hh]:mm"))</f>
        <v>#N/A</v>
      </c>
      <c r="AB125" s="284" t="e">
        <f>IF(VLOOKUP(T_Convention[[#This Row],[NumL]],T_TraitDi[#Data],COLUMN(T_TraitDi[Colonne4]),FALSE)=0,"",TEXT(IFERROR(VLOOKUP(T_Convention[[#This Row],[NumL]],T_TraitDi[#Data],COLUMN(T_TraitDi[Colonne4]),FALSE),""),"[hh]:mm"))</f>
        <v>#N/A</v>
      </c>
      <c r="AC125" s="284" t="e">
        <f>IF(VLOOKUP(T_Convention[[#This Row],[NumL]],T_TraitDi[#Data],COLUMN(T_TraitDi[Colonne5]),FALSE)=0,"",TEXT(IFERROR(VLOOKUP(T_Convention[[#This Row],[NumL]],T_TraitDi[#Data],COLUMN(T_TraitDi[Colonne5]),FALSE),""),"[hh]:mm"))</f>
        <v>#N/A</v>
      </c>
      <c r="AD125" s="284" t="e">
        <f>IF(VLOOKUP(T_Convention[[#This Row],[NumL]],T_TraitDi[#Data],COLUMN(T_TraitDi[Colonne6]),FALSE)=0,"",TEXT(IFERROR(VLOOKUP(T_Convention[[#This Row],[NumL]],T_TraitDi[#Data],COLUMN(T_TraitDi[Colonne6]),FALSE),""),"[hh]:mm"))</f>
        <v>#N/A</v>
      </c>
      <c r="AE125" s="284" t="e">
        <f>IF(VLOOKUP(T_Convention[[#This Row],[NumL]],T_TraitDi[#Data],COLUMN(T_TraitDi[Colonne7]),FALSE)=0,"",TEXT(IFERROR(VLOOKUP(T_Convention[[#This Row],[NumL]],T_TraitDi[#Data],COLUMN(T_TraitDi[Colonne7]),FALSE),""),"[hh]:mm"))</f>
        <v>#N/A</v>
      </c>
      <c r="AF125" s="284" t="e">
        <f>IF(VLOOKUP(T_Convention[[#This Row],[NumL]],T_TraitDi[#Data],COLUMN(T_TraitDi[Colonne8]),FALSE)=0,"",TEXT(IFERROR(VLOOKUP(T_Convention[[#This Row],[NumL]],T_TraitDi[#Data],COLUMN(T_TraitDi[Colonne8]),FALSE),""),"[hh]:mm"))</f>
        <v>#N/A</v>
      </c>
      <c r="AG125" s="284" t="str">
        <f>IFERROR(VLOOKUP(T_Convention[[#This Row],[NumL]],T_TraitDi[#Data],COLUMN(T_TraitDi[Mardi]),FALSE),"")</f>
        <v/>
      </c>
      <c r="AH125" s="284" t="e">
        <f>IF(VLOOKUP(T_Convention[[#This Row],[NumL]],T_TraitDi[#Data],COLUMN(T_TraitDi[Colonne1]),FALSE)=0,"",TEXT(IFERROR(VLOOKUP(T_Convention[[#This Row],[NumL]],T_TraitDi[#Data],COLUMN(T_TraitDi[Colonne1]),FALSE),""),"[hh]:mm"))</f>
        <v>#N/A</v>
      </c>
      <c r="AI125" s="284" t="e">
        <f>IF(VLOOKUP(T_Convention[[#This Row],[NumL]],T_TraitDi[#Data],COLUMN(T_TraitDi[Colonne9]),FALSE)=0,"",TEXT(IFERROR(VLOOKUP(T_Convention[[#This Row],[NumL]],T_TraitDi[#Data],COLUMN(T_TraitDi[Colonne9]),FALSE),""),"[hh]:mm"))</f>
        <v>#N/A</v>
      </c>
      <c r="AJ125" s="284" t="str">
        <f>IFERROR(VLOOKUP(T_Convention[[#This Row],[NumL]],T_TraitDi[#Data],COLUMN(T_TraitDi[Colonne10]),FALSE),"")</f>
        <v/>
      </c>
      <c r="AK125" s="284" t="e">
        <f>IF(VLOOKUP(T_Convention[[#This Row],[NumL]],T_TraitDi[#Data],COLUMN(T_TraitDi[Colonne11]),FALSE)=0,"",TEXT(IFERROR(VLOOKUP(T_Convention[[#This Row],[NumL]],T_TraitDi[#Data],COLUMN(T_TraitDi[Colonne11]),FALSE),""),"[hh]:mm"))</f>
        <v>#N/A</v>
      </c>
      <c r="AL125" s="284" t="e">
        <f>IF(VLOOKUP(T_Convention[[#This Row],[NumL]],T_TraitDi[#Data],COLUMN(T_TraitDi[Colonne12]),FALSE)=0,"",TEXT(IFERROR(VLOOKUP(T_Convention[[#This Row],[NumL]],T_TraitDi[#Data],COLUMN(T_TraitDi[Colonne12]),FALSE),""),"[hh]:mm"))</f>
        <v>#N/A</v>
      </c>
      <c r="AM125" s="284" t="e">
        <f>IF(VLOOKUP(T_Convention[[#This Row],[NumL]],T_TraitDi[#Data],COLUMN(T_TraitDi[Colonne14]),FALSE)=0,"",TEXT(IFERROR(VLOOKUP(T_Convention[[#This Row],[NumL]],T_TraitDi[#Data],COLUMN(T_TraitDi[Colonne14]),FALSE),""),"[hh]:mm"))</f>
        <v>#N/A</v>
      </c>
      <c r="AN125" s="284" t="str">
        <f>IFERROR(VLOOKUP(T_Convention[[#This Row],[NumL]],T_TraitDi[#Data],COLUMN(T_TraitDi[Mercredi]),FALSE),"")</f>
        <v/>
      </c>
      <c r="AO125" s="284" t="e">
        <f>IF(VLOOKUP(T_Convention[[#This Row],[NumL]],T_TraitDi[#Data],COLUMN(T_TraitDi[Colonne15]),FALSE)=0,"",TEXT(IFERROR(VLOOKUP(T_Convention[[#This Row],[NumL]],T_TraitDi[#Data],COLUMN(T_TraitDi[Colonne15]),FALSE),""),"[hh]:mm"))</f>
        <v>#N/A</v>
      </c>
      <c r="AP125" s="284" t="e">
        <f>IF(VLOOKUP(T_Convention[[#This Row],[NumL]],T_TraitDi[#Data],COLUMN(T_TraitDi[Colonne16]),FALSE)=0,"",TEXT(IFERROR(VLOOKUP(T_Convention[[#This Row],[NumL]],T_TraitDi[#Data],COLUMN(T_TraitDi[Colonne16]),FALSE),""),"[hh]:mm"))</f>
        <v>#N/A</v>
      </c>
      <c r="AQ125" s="284" t="str">
        <f>IFERROR(VLOOKUP(T_Convention[[#This Row],[NumL]],T_TraitDi[#Data],COLUMN(T_TraitDi[Colonne17]),FALSE),"")</f>
        <v/>
      </c>
      <c r="AR125" s="284" t="e">
        <f>IF(VLOOKUP(T_Convention[[#This Row],[NumL]],T_TraitDi[#Data],COLUMN(T_TraitDi[Colonne18]),FALSE)=0,"",TEXT(IFERROR(VLOOKUP(T_Convention[[#This Row],[NumL]],T_TraitDi[#Data],COLUMN(T_TraitDi[Colonne18]),FALSE),""),"[hh]:mm"))</f>
        <v>#N/A</v>
      </c>
      <c r="AS125" s="284" t="e">
        <f>IF(VLOOKUP(T_Convention[[#This Row],[NumL]],T_TraitDi[#Data],COLUMN(T_TraitDi[Colonne19]),FALSE)=0,"",TEXT(IFERROR(VLOOKUP(T_Convention[[#This Row],[NumL]],T_TraitDi[#Data],COLUMN(T_TraitDi[Colonne19]),FALSE),""),"[hh]:mm"))</f>
        <v>#N/A</v>
      </c>
      <c r="AT125" s="284" t="e">
        <f>IF(VLOOKUP(T_Convention[[#This Row],[NumL]],T_TraitDi[#Data],COLUMN(T_TraitDi[Colonne20]),FALSE)=0,"",TEXT(IFERROR(VLOOKUP(T_Convention[[#This Row],[NumL]],T_TraitDi[#Data],COLUMN(T_TraitDi[Colonne20]),FALSE),""),"[hh]:mm"))</f>
        <v>#N/A</v>
      </c>
      <c r="AU125" s="284" t="str">
        <f>IFERROR(VLOOKUP(T_Convention[[#This Row],[NumL]],T_TraitDi[#Data],COLUMN(T_TraitDi[Jeudi]),FALSE),"")</f>
        <v/>
      </c>
      <c r="AV125" s="284" t="e">
        <f>IF(VLOOKUP(T_Convention[[#This Row],[NumL]],T_TraitDi[#Data],COLUMN(T_TraitDi[Colonne21]),FALSE)=0,"",TEXT(IFERROR(VLOOKUP(T_Convention[[#This Row],[NumL]],T_TraitDi[#Data],COLUMN(T_TraitDi[Colonne21]),FALSE),""),"[hh]:mm"))</f>
        <v>#N/A</v>
      </c>
      <c r="AW125" s="284" t="e">
        <f>IF(VLOOKUP(T_Convention[[#This Row],[NumL]],T_TraitDi[#Data],COLUMN(T_TraitDi[Colonne22]),FALSE)=0,"",TEXT(IFERROR(VLOOKUP(T_Convention[[#This Row],[NumL]],T_TraitDi[#Data],COLUMN(T_TraitDi[Colonne22]),FALSE),""),"[hh]:mm"))</f>
        <v>#N/A</v>
      </c>
      <c r="AX125" s="284" t="str">
        <f>IFERROR(VLOOKUP(T_Convention[[#This Row],[NumL]],T_TraitDi[#Data],COLUMN(T_TraitDi[Colonne23]),FALSE),"")</f>
        <v/>
      </c>
      <c r="AY125" s="284" t="e">
        <f>IF(VLOOKUP(T_Convention[[#This Row],[NumL]],T_TraitDi[#Data],COLUMN(T_TraitDi[Colonne24]),FALSE)=0,"",TEXT(IFERROR(VLOOKUP(T_Convention[[#This Row],[NumL]],T_TraitDi[#Data],COLUMN(T_TraitDi[Colonne24]),FALSE),""),"[hh]:mm"))</f>
        <v>#N/A</v>
      </c>
      <c r="AZ125" s="284" t="e">
        <f>IF(VLOOKUP(T_Convention[[#This Row],[NumL]],T_TraitDi[#Data],COLUMN(T_TraitDi[Colonne25]),FALSE)=0,"",TEXT(IFERROR(VLOOKUP(T_Convention[[#This Row],[NumL]],T_TraitDi[#Data],COLUMN(T_TraitDi[Colonne25]),FALSE),""),"[hh]:mm"))</f>
        <v>#N/A</v>
      </c>
      <c r="BA125" s="284" t="e">
        <f>IF(VLOOKUP(T_Convention[[#This Row],[NumL]],T_TraitDi[#Data],COLUMN(T_TraitDi[Colonne26]),FALSE)=0,"",TEXT(IFERROR(VLOOKUP(T_Convention[[#This Row],[NumL]],T_TraitDi[#Data],COLUMN(T_TraitDi[Colonne26]),FALSE),""),"[hh]:mm"))</f>
        <v>#N/A</v>
      </c>
      <c r="BB125" s="284" t="str">
        <f>IFERROR(VLOOKUP(T_Convention[[#This Row],[NumL]],T_TraitDi[#Data],COLUMN(T_TraitDi[Vendredi]),FALSE),"")</f>
        <v/>
      </c>
      <c r="BC125" s="284" t="e">
        <f>IF(VLOOKUP(T_Convention[[#This Row],[NumL]],T_TraitDi[#Data],COLUMN(T_TraitDi[Colonne27]),FALSE)=0,"",TEXT(IFERROR(VLOOKUP(T_Convention[[#This Row],[NumL]],T_TraitDi[#Data],COLUMN(T_TraitDi[Colonne27]),FALSE),""),"[hh]:mm"))</f>
        <v>#N/A</v>
      </c>
      <c r="BD125" s="284" t="e">
        <f>IF(VLOOKUP(T_Convention[[#This Row],[NumL]],T_TraitDi[#Data],COLUMN(T_TraitDi[Colonne28]),FALSE)=0,"",TEXT(IFERROR(VLOOKUP(T_Convention[[#This Row],[NumL]],T_TraitDi[#Data],COLUMN(T_TraitDi[Colonne28]),FALSE),""),"[hh]:mm"))</f>
        <v>#N/A</v>
      </c>
      <c r="BE125" s="284" t="str">
        <f>IFERROR(VLOOKUP(T_Convention[[#This Row],[NumL]],T_TraitDi[#Data],COLUMN(T_TraitDi[Colonne29]),FALSE),"")</f>
        <v/>
      </c>
      <c r="BF125" s="284" t="e">
        <f>IF(VLOOKUP(T_Convention[[#This Row],[NumL]],T_TraitDi[#Data],COLUMN(T_TraitDi[Colonne30]),FALSE)=0,"",TEXT(IFERROR(VLOOKUP(T_Convention[[#This Row],[NumL]],T_TraitDi[#Data],COLUMN(T_TraitDi[Colonne30]),FALSE),""),"[hh]:mm"))</f>
        <v>#N/A</v>
      </c>
      <c r="BG125" s="284" t="e">
        <f>IF(VLOOKUP(T_Convention[[#This Row],[NumL]],T_TraitDi[#Data],COLUMN(T_TraitDi[Colonne31]),FALSE)=0,"",TEXT(IFERROR(VLOOKUP(T_Convention[[#This Row],[NumL]],T_TraitDi[#Data],COLUMN(T_TraitDi[Colonne31]),FALSE),""),"[hh]:mm"))</f>
        <v>#N/A</v>
      </c>
      <c r="BH125" s="284" t="e">
        <f>IF(VLOOKUP(T_Convention[[#This Row],[NumL]],T_TraitDi[#Data],COLUMN(T_TraitDi[Colonne32]),FALSE)=0,"",TEXT(IFERROR(VLOOKUP(T_Convention[[#This Row],[NumL]],T_TraitDi[#Data],COLUMN(T_TraitDi[Colonne32]),FALSE),""),"[hh]:mm"))</f>
        <v>#N/A</v>
      </c>
      <c r="BI125" s="284" t="str">
        <f>IFERROR(VLOOKUP(T_Convention[[#This Row],[NumL]],T_TraitDi[#Data],COLUMN(T_TraitDi[NbJTW]),FALSE),"")</f>
        <v/>
      </c>
      <c r="BJ125" s="284" t="e">
        <f>IF(VLOOKUP(T_Convention[[#This Row],[NumL]],T_TraitDi[#Data],COLUMN(T_TraitDi[NbhTW]),FALSE)=0,"",TEXT(IFERROR(VLOOKUP(T_Convention[[#This Row],[NumL]],T_TraitDi[#Data],COLUMN(T_TraitDi[NbhTW]),FALSE),""),"[hh]:mm"))</f>
        <v>#N/A</v>
      </c>
      <c r="BK125" s="286" t="e">
        <f>IF(VLOOKUP(T_Convention[[#This Row],[NumL]],T_TraitDi[#Data],COLUMN(T_TraitDi[Nbhheb]),FALSE)=0,"",TEXT(IFERROR(VLOOKUP(T_Convention[[#This Row],[NumL]],T_TraitDi[#Data],COLUMN(T_TraitDi[Nbhheb]),FALSE),""),"[hh]:mm"))</f>
        <v>#N/A</v>
      </c>
      <c r="BL125" s="287" t="str">
        <f>IFERROR(VLOOKUP(VLOOKUP(T_Convention[[#This Row],[NumL]],T_TraitDi[#Data],COLUMN(T_TraitDi[Type1]),FALSE),TypeTW,2,FALSE),"")</f>
        <v/>
      </c>
      <c r="BM125" s="288" t="str">
        <f>IFERROR(VLOOKUP(T_Convention[[#This Row],[NumL]],T_TraitDi[#Data],COLUMN(T_TraitDi[Rue1]),FALSE),"")</f>
        <v/>
      </c>
      <c r="BN125" s="289" t="str">
        <f>IFERROR(VLOOKUP(T_Convention[[#This Row],[NumL]],T_TraitDi[#Data],COLUMN(T_TraitDi[CP1]),FALSE),"")</f>
        <v/>
      </c>
      <c r="BO125" s="282" t="str">
        <f>IFERROR(VLOOKUP(T_Convention[[#This Row],[NumL]],T_TraitDi[#Data],COLUMN(T_TraitDi[VILLE1]),FALSE),"")</f>
        <v/>
      </c>
      <c r="BP125" s="290" t="str">
        <f>IFERROR(VLOOKUP(VLOOKUP(T_Convention[[#This Row],[NumL]],T_TraitDi[#Data],COLUMN(T_TraitDi[Type2]),FALSE),TypeTW,2,FALSE),"")</f>
        <v/>
      </c>
      <c r="BQ125" s="182" t="str">
        <f>IFERROR(VLOOKUP(T_Convention[[#This Row],[NumL]],T_TraitDi[#Data],COLUMN(T_TraitDi[Rue2]),FALSE),"")</f>
        <v/>
      </c>
      <c r="BR125" s="173" t="str">
        <f>IFERROR(VLOOKUP(T_Convention[[#This Row],[NumL]],T_TraitDi[#Data],COLUMN(T_TraitDi[CP2]),FALSE),"")</f>
        <v/>
      </c>
      <c r="BS125" s="173" t="str">
        <f>IFERROR(VLOOKUP(T_Convention[[#This Row],[NumL]],T_TraitDi[#Data],COLUMN(T_TraitDi[VILLE2]),FALSE),"")</f>
        <v/>
      </c>
      <c r="BT125" s="182" t="str">
        <f>IF(VLOOKUP(T_Convention[[#This Row],[NumL]],T_Equipement[#Data],COLUMN(T_Equipement[PC]),FALSE)="","Aucun équipement spécifique directement lié au télétravail",VLOOKUP(T_Convention[[#This Row],[NumL]],T_Equipement[#Data],COLUMN(T_Equipement[PC]),FALSE))</f>
        <v>20-742</v>
      </c>
      <c r="BU125" s="166" t="str">
        <f>IFERROR(IF(VLOOKUP(T_Convention[[#This Row],[NumL]],T_TraitDi[#Data],COLUMN(T_TraitDi[Plan]),FALSE)="OK","Un planning spécifique de télétravail est annexé à la présente convention.",""),"")</f>
        <v/>
      </c>
      <c r="BV125" s="185" t="s">
        <v>3531</v>
      </c>
      <c r="BW125" s="164" t="e">
        <f>IF(VLOOKUP(T_Convention[[#This Row],[NumL]],T_suiviDi[#Data],COLUMN(T_suiviDi[Entité]),FALSE)="","",VLOOKUP(T_Convention[[#This Row],[NumL]],T_suiviDi[#Data],COLUMN(T_suiviDi[Entité]),FALSE))</f>
        <v>#N/A</v>
      </c>
      <c r="BX125" s="164" t="str">
        <f>IF(VLOOKUP(T_Convention[[#This Row],[NumL]],T_Commission[#Data],COLUMN(T_Commission[envoi confirm TW]),FALSE)="","",VLOOKUP(T_Convention[[#This Row],[NumL]],T_Commission[#Data],COLUMN(T_Commission[envoi confirm TW]),FALSE))</f>
        <v>Oui</v>
      </c>
      <c r="BY12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5" s="264">
        <f>VLOOKUP(T_Convention[[#This Row],[NumL]],T_Commission[#Data],COLUMN(T_Commission[Commentaire]),FALSE)</f>
        <v>0</v>
      </c>
      <c r="CA125" s="254" t="str">
        <f>IF(VLOOKUP(T_Convention[[#This Row],[NumL]],T_Commission[#Data],COLUMN(T_Commission[Encadrant Email]),FALSE)="","",VLOOKUP(T_Convention[[#This Row],[NumL]],T_Commission[#Data],COLUMN(T_Commission[Encadrant Email]),FALSE))</f>
        <v/>
      </c>
      <c r="CB125" s="352" t="e">
        <f>VLOOKUP(T_Convention[[#This Row],[NumL]],T_TraitDi[#Data],COLUMN(T_TraitDi[NbJTot]),FALSE)</f>
        <v>#N/A</v>
      </c>
      <c r="CC125" s="352" t="e">
        <f>VLOOKUP(T_Convention[[#This Row],[NumL]],T_TraitDi[#Data],COLUMN(T_TraitDi[Reg Ponct]),FALSE)</f>
        <v>#N/A</v>
      </c>
      <c r="CD125" s="348" t="str">
        <f>IF(T_Convention[[#This Row],[Final]]&lt;&gt;"",VLOOKUP(T_Convention[[#This Row],[NumL]],T_suiviDi[#Data],COLUMN((T_suiviDi[Statut])),FALSE),"")</f>
        <v/>
      </c>
    </row>
    <row r="126" spans="1:82" s="106" customFormat="1" ht="18.75" customHeight="1" x14ac:dyDescent="0.25">
      <c r="A126" s="160">
        <v>263</v>
      </c>
      <c r="B126" s="161" t="str">
        <f>VLOOKUP(T_Convention[[#This Row],[NumL]],T_Commission[#Data],COLUMN(T_Commission[FINAL]),FALSE)</f>
        <v/>
      </c>
      <c r="C126" s="162"/>
      <c r="D126" s="95" t="e">
        <f>IF(VLOOKUP(T_Convention[[#This Row],[NumL]],T_TraitDi[#Data],COLUMN(T_TraitDi[WebC]),FALSE)="","",VLOOKUP(T_Convention[[#This Row],[NumL]],T_TraitDi[#Data],COLUMN(T_TraitDi[WebC]),FALSE))</f>
        <v>#N/A</v>
      </c>
      <c r="E126" s="163" t="str">
        <f t="shared" si="5"/>
        <v>12 janvier 2021</v>
      </c>
      <c r="F126" s="282" t="str">
        <f>IF(T_Convention[[#This Row],[Final]]&lt;&gt;"",VLOOKUP(T_Convention[[#This Row],[NumL]],T_suiviDi[#Data],COLUMN((T_suiviDi[Civ.])),FALSE),"")</f>
        <v/>
      </c>
      <c r="G126" s="283" t="str">
        <f>IF(T_Convention[[#This Row],[Final]]&lt;&gt;"",VLOOKUP(T_Convention[[#This Row],[NumL]],T_suiviDi[#Data],COLUMN((T_suiviDi[Nom])),FALSE),"")</f>
        <v/>
      </c>
      <c r="H126" s="282" t="str">
        <f>IF(T_Convention[[#This Row],[Final]]&lt;&gt;"",VLOOKUP(T_Convention[[#This Row],[NumL]],T_suiviDi[#Data],COLUMN((T_suiviDi[Prénom])),FALSE),"")</f>
        <v/>
      </c>
      <c r="I126" s="282" t="e">
        <f>VLOOKUP(T_Convention[[#This Row],[NumL]],T_suiviDi[#Data],COLUMN((T_suiviDi[[#This Row],[Email]])),FALSE)</f>
        <v>#VALUE!</v>
      </c>
      <c r="J126" s="282" t="e">
        <f>IF(VLOOKUP(T_Convention[[#This Row],[NumL]],T_suiviDi[#Data],COLUMN(T_suiviDi[[#This Row],[Fonction]]),FALSE)="","",VLOOKUP(T_Convention[[#This Row],[NumL]],T_suiviDi[#Data],COLUMN(T_suiviDi[[#This Row],[Fonction]]),FALSE))</f>
        <v>#VALUE!</v>
      </c>
      <c r="K126" s="282" t="e">
        <f>IF(VLOOKUP(T_Convention[[#This Row],[NumL]],T_suiviDi[#Data],COLUMN(T_suiviDi[[#This Row],[Grade]]),FALSE)="","",VLOOKUP(T_Convention[[#This Row],[NumL]],T_suiviDi[#Data],COLUMN(T_suiviDi[[#This Row],[Grade]]),FALSE))</f>
        <v>#VALUE!</v>
      </c>
      <c r="L126" s="282" t="e">
        <f>IF(VLOOKUP(T_Convention[[#This Row],[NumL]],T_suiviDi[#Data],COLUMN(T_suiviDi[[#This Row],[Service ]]),FALSE)="","",VLOOKUP(T_Convention[[#This Row],[NumL]],T_suiviDi[#Data],COLUMN(T_suiviDi[[#This Row],[Service ]]),FALSE))</f>
        <v>#VALUE!</v>
      </c>
      <c r="M126" s="164" t="str">
        <f t="shared" si="6"/>
        <v>01 septembre 2021</v>
      </c>
      <c r="N126" s="164" t="str">
        <f t="shared" si="7"/>
        <v>30 novembre 2021</v>
      </c>
      <c r="O126" s="284" t="str">
        <f t="shared" si="8"/>
        <v>30 novembre 2021</v>
      </c>
      <c r="P126" s="282" t="e">
        <f>IF(VLOOKUP(T_Convention[[#This Row],[NumL]],T_TraitDi[#Data],COLUMN(T_TraitDi[M1]),FALSE)="","",VLOOKUP(T_Convention[[#This Row],[NumL]],T_TraitDi[#Data],COLUMN(T_TraitDi[M1]),FALSE))</f>
        <v>#N/A</v>
      </c>
      <c r="Q126" s="282" t="e">
        <f>IF(VLOOKUP(T_Convention[[#This Row],[NumL]],T_TraitDi[#Data],COLUMN(T_TraitDi[M2]),FALSE)="","",VLOOKUP(T_Convention[[#This Row],[NumL]],T_TraitDi[#Data],COLUMN(T_TraitDi[M2]),FALSE))</f>
        <v>#N/A</v>
      </c>
      <c r="R126" s="282" t="e">
        <f>IF(VLOOKUP(T_Convention[[#This Row],[NumL]],T_TraitDi[#Data],COLUMN(T_TraitDi[M3]),FALSE)="","",VLOOKUP(T_Convention[[#This Row],[NumL]],T_TraitDi[#Data],COLUMN(T_TraitDi[M3]),FALSE))</f>
        <v>#N/A</v>
      </c>
      <c r="S126" s="282" t="e">
        <f>IF(VLOOKUP(T_Convention[[#This Row],[NumL]],T_TraitDi[#Data],COLUMN(T_TraitDi[M4]),FALSE)="","",VLOOKUP(T_Convention[[#This Row],[NumL]],T_TraitDi[#Data],COLUMN(T_TraitDi[M4]),FALSE))</f>
        <v>#N/A</v>
      </c>
      <c r="T126" s="282" t="e">
        <f>IF(VLOOKUP(T_Convention[[#This Row],[NumL]],T_TraitDi[#Data],COLUMN(T_TraitDi[M5]),FALSE)="","",VLOOKUP(T_Convention[[#This Row],[NumL]],T_TraitDi[#Data],COLUMN(T_TraitDi[M5]),FALSE))</f>
        <v>#N/A</v>
      </c>
      <c r="U126" s="282" t="e">
        <f>IF(VLOOKUP(T_Convention[[#This Row],[NumL]],T_TraitDi[#Data],COLUMN(T_TraitDi[M6]),FALSE)="","",VLOOKUP(T_Convention[[#This Row],[NumL]],T_TraitDi[#Data],COLUMN(T_TraitDi[M6]),FALSE))</f>
        <v>#N/A</v>
      </c>
      <c r="V126" s="176" t="e">
        <f t="shared" si="9"/>
        <v>#N/A</v>
      </c>
      <c r="W126" s="284" t="str">
        <f>IFERROR(TEXT(VLOOKUP(T_Convention[[#This Row],[NumL]],T_TraitDi[#Data],COLUMN(T_TraitDi[Q2]),FALSE),"###%"),"")</f>
        <v/>
      </c>
      <c r="X126" s="97" t="e">
        <f>VLOOKUP(T_Convention[[#This Row],[NumL]],T_TraitDi[#Data],COLUMN(T_TraitDi[Reg Ponct]),FALSE)</f>
        <v>#N/A</v>
      </c>
      <c r="Y126" s="97" t="e">
        <f>VLOOKUP(T_Convention[NumL],T_TraitDi[#Data],COLUMN(T_TraitDi[Jours flottants]),FALSE)</f>
        <v>#N/A</v>
      </c>
      <c r="Z126" s="284" t="str">
        <f>IFERROR(VLOOKUP(T_Convention[[#This Row],[NumL]],T_TraitDi[#Data],COLUMN(T_TraitDi[Lundi]),FALSE),"")</f>
        <v/>
      </c>
      <c r="AA126" s="284" t="e">
        <f>IF(VLOOKUP(T_Convention[[#This Row],[NumL]],T_TraitDi[#Data],COLUMN(T_TraitDi[Colonne3]),FALSE)=0,"",TEXT(IFERROR(VLOOKUP(T_Convention[[#This Row],[NumL]],T_TraitDi[#Data],COLUMN(T_TraitDi[Colonne3]),FALSE),""),"[hh]:mm"))</f>
        <v>#N/A</v>
      </c>
      <c r="AB126" s="284" t="e">
        <f>IF(VLOOKUP(T_Convention[[#This Row],[NumL]],T_TraitDi[#Data],COLUMN(T_TraitDi[Colonne4]),FALSE)=0,"",TEXT(IFERROR(VLOOKUP(T_Convention[[#This Row],[NumL]],T_TraitDi[#Data],COLUMN(T_TraitDi[Colonne4]),FALSE),""),"[hh]:mm"))</f>
        <v>#N/A</v>
      </c>
      <c r="AC126" s="284" t="e">
        <f>IF(VLOOKUP(T_Convention[[#This Row],[NumL]],T_TraitDi[#Data],COLUMN(T_TraitDi[Colonne5]),FALSE)=0,"",TEXT(IFERROR(VLOOKUP(T_Convention[[#This Row],[NumL]],T_TraitDi[#Data],COLUMN(T_TraitDi[Colonne5]),FALSE),""),"[hh]:mm"))</f>
        <v>#N/A</v>
      </c>
      <c r="AD126" s="284" t="e">
        <f>IF(VLOOKUP(T_Convention[[#This Row],[NumL]],T_TraitDi[#Data],COLUMN(T_TraitDi[Colonne6]),FALSE)=0,"",TEXT(IFERROR(VLOOKUP(T_Convention[[#This Row],[NumL]],T_TraitDi[#Data],COLUMN(T_TraitDi[Colonne6]),FALSE),""),"[hh]:mm"))</f>
        <v>#N/A</v>
      </c>
      <c r="AE126" s="284" t="e">
        <f>IF(VLOOKUP(T_Convention[[#This Row],[NumL]],T_TraitDi[#Data],COLUMN(T_TraitDi[Colonne7]),FALSE)=0,"",TEXT(IFERROR(VLOOKUP(T_Convention[[#This Row],[NumL]],T_TraitDi[#Data],COLUMN(T_TraitDi[Colonne7]),FALSE),""),"[hh]:mm"))</f>
        <v>#N/A</v>
      </c>
      <c r="AF126" s="284" t="e">
        <f>IF(VLOOKUP(T_Convention[[#This Row],[NumL]],T_TraitDi[#Data],COLUMN(T_TraitDi[Colonne8]),FALSE)=0,"",TEXT(IFERROR(VLOOKUP(T_Convention[[#This Row],[NumL]],T_TraitDi[#Data],COLUMN(T_TraitDi[Colonne8]),FALSE),""),"[hh]:mm"))</f>
        <v>#N/A</v>
      </c>
      <c r="AG126" s="284" t="str">
        <f>IFERROR(VLOOKUP(T_Convention[[#This Row],[NumL]],T_TraitDi[#Data],COLUMN(T_TraitDi[Mardi]),FALSE),"")</f>
        <v/>
      </c>
      <c r="AH126" s="284" t="e">
        <f>IF(VLOOKUP(T_Convention[[#This Row],[NumL]],T_TraitDi[#Data],COLUMN(T_TraitDi[Colonne1]),FALSE)=0,"",TEXT(IFERROR(VLOOKUP(T_Convention[[#This Row],[NumL]],T_TraitDi[#Data],COLUMN(T_TraitDi[Colonne1]),FALSE),""),"[hh]:mm"))</f>
        <v>#N/A</v>
      </c>
      <c r="AI126" s="284" t="e">
        <f>IF(VLOOKUP(T_Convention[[#This Row],[NumL]],T_TraitDi[#Data],COLUMN(T_TraitDi[Colonne9]),FALSE)=0,"",TEXT(IFERROR(VLOOKUP(T_Convention[[#This Row],[NumL]],T_TraitDi[#Data],COLUMN(T_TraitDi[Colonne9]),FALSE),""),"[hh]:mm"))</f>
        <v>#N/A</v>
      </c>
      <c r="AJ126" s="284" t="str">
        <f>IFERROR(VLOOKUP(T_Convention[[#This Row],[NumL]],T_TraitDi[#Data],COLUMN(T_TraitDi[Colonne10]),FALSE),"")</f>
        <v/>
      </c>
      <c r="AK126" s="284" t="e">
        <f>IF(VLOOKUP(T_Convention[[#This Row],[NumL]],T_TraitDi[#Data],COLUMN(T_TraitDi[Colonne11]),FALSE)=0,"",TEXT(IFERROR(VLOOKUP(T_Convention[[#This Row],[NumL]],T_TraitDi[#Data],COLUMN(T_TraitDi[Colonne11]),FALSE),""),"[hh]:mm"))</f>
        <v>#N/A</v>
      </c>
      <c r="AL126" s="284" t="e">
        <f>IF(VLOOKUP(T_Convention[[#This Row],[NumL]],T_TraitDi[#Data],COLUMN(T_TraitDi[Colonne12]),FALSE)=0,"",TEXT(IFERROR(VLOOKUP(T_Convention[[#This Row],[NumL]],T_TraitDi[#Data],COLUMN(T_TraitDi[Colonne12]),FALSE),""),"[hh]:mm"))</f>
        <v>#N/A</v>
      </c>
      <c r="AM126" s="284" t="e">
        <f>IF(VLOOKUP(T_Convention[[#This Row],[NumL]],T_TraitDi[#Data],COLUMN(T_TraitDi[Colonne14]),FALSE)=0,"",TEXT(IFERROR(VLOOKUP(T_Convention[[#This Row],[NumL]],T_TraitDi[#Data],COLUMN(T_TraitDi[Colonne14]),FALSE),""),"[hh]:mm"))</f>
        <v>#N/A</v>
      </c>
      <c r="AN126" s="284" t="str">
        <f>IFERROR(VLOOKUP(T_Convention[[#This Row],[NumL]],T_TraitDi[#Data],COLUMN(T_TraitDi[Mercredi]),FALSE),"")</f>
        <v/>
      </c>
      <c r="AO126" s="284" t="e">
        <f>IF(VLOOKUP(T_Convention[[#This Row],[NumL]],T_TraitDi[#Data],COLUMN(T_TraitDi[Colonne15]),FALSE)=0,"",TEXT(IFERROR(VLOOKUP(T_Convention[[#This Row],[NumL]],T_TraitDi[#Data],COLUMN(T_TraitDi[Colonne15]),FALSE),""),"[hh]:mm"))</f>
        <v>#N/A</v>
      </c>
      <c r="AP126" s="284" t="e">
        <f>IF(VLOOKUP(T_Convention[[#This Row],[NumL]],T_TraitDi[#Data],COLUMN(T_TraitDi[Colonne16]),FALSE)=0,"",TEXT(IFERROR(VLOOKUP(T_Convention[[#This Row],[NumL]],T_TraitDi[#Data],COLUMN(T_TraitDi[Colonne16]),FALSE),""),"[hh]:mm"))</f>
        <v>#N/A</v>
      </c>
      <c r="AQ126" s="284" t="str">
        <f>IFERROR(VLOOKUP(T_Convention[[#This Row],[NumL]],T_TraitDi[#Data],COLUMN(T_TraitDi[Colonne17]),FALSE),"")</f>
        <v/>
      </c>
      <c r="AR126" s="284" t="e">
        <f>IF(VLOOKUP(T_Convention[[#This Row],[NumL]],T_TraitDi[#Data],COLUMN(T_TraitDi[Colonne18]),FALSE)=0,"",TEXT(IFERROR(VLOOKUP(T_Convention[[#This Row],[NumL]],T_TraitDi[#Data],COLUMN(T_TraitDi[Colonne18]),FALSE),""),"[hh]:mm"))</f>
        <v>#N/A</v>
      </c>
      <c r="AS126" s="284" t="e">
        <f>IF(VLOOKUP(T_Convention[[#This Row],[NumL]],T_TraitDi[#Data],COLUMN(T_TraitDi[Colonne19]),FALSE)=0,"",TEXT(IFERROR(VLOOKUP(T_Convention[[#This Row],[NumL]],T_TraitDi[#Data],COLUMN(T_TraitDi[Colonne19]),FALSE),""),"[hh]:mm"))</f>
        <v>#N/A</v>
      </c>
      <c r="AT126" s="284" t="e">
        <f>IF(VLOOKUP(T_Convention[[#This Row],[NumL]],T_TraitDi[#Data],COLUMN(T_TraitDi[Colonne20]),FALSE)=0,"",TEXT(IFERROR(VLOOKUP(T_Convention[[#This Row],[NumL]],T_TraitDi[#Data],COLUMN(T_TraitDi[Colonne20]),FALSE),""),"[hh]:mm"))</f>
        <v>#N/A</v>
      </c>
      <c r="AU126" s="284" t="str">
        <f>IFERROR(VLOOKUP(T_Convention[[#This Row],[NumL]],T_TraitDi[#Data],COLUMN(T_TraitDi[Jeudi]),FALSE),"")</f>
        <v/>
      </c>
      <c r="AV126" s="284" t="e">
        <f>IF(VLOOKUP(T_Convention[[#This Row],[NumL]],T_TraitDi[#Data],COLUMN(T_TraitDi[Colonne21]),FALSE)=0,"",TEXT(IFERROR(VLOOKUP(T_Convention[[#This Row],[NumL]],T_TraitDi[#Data],COLUMN(T_TraitDi[Colonne21]),FALSE),""),"[hh]:mm"))</f>
        <v>#N/A</v>
      </c>
      <c r="AW126" s="284" t="e">
        <f>IF(VLOOKUP(T_Convention[[#This Row],[NumL]],T_TraitDi[#Data],COLUMN(T_TraitDi[Colonne22]),FALSE)=0,"",TEXT(IFERROR(VLOOKUP(T_Convention[[#This Row],[NumL]],T_TraitDi[#Data],COLUMN(T_TraitDi[Colonne22]),FALSE),""),"[hh]:mm"))</f>
        <v>#N/A</v>
      </c>
      <c r="AX126" s="284" t="str">
        <f>IFERROR(VLOOKUP(T_Convention[[#This Row],[NumL]],T_TraitDi[#Data],COLUMN(T_TraitDi[Colonne23]),FALSE),"")</f>
        <v/>
      </c>
      <c r="AY126" s="284" t="e">
        <f>IF(VLOOKUP(T_Convention[[#This Row],[NumL]],T_TraitDi[#Data],COLUMN(T_TraitDi[Colonne24]),FALSE)=0,"",TEXT(IFERROR(VLOOKUP(T_Convention[[#This Row],[NumL]],T_TraitDi[#Data],COLUMN(T_TraitDi[Colonne24]),FALSE),""),"[hh]:mm"))</f>
        <v>#N/A</v>
      </c>
      <c r="AZ126" s="284" t="e">
        <f>IF(VLOOKUP(T_Convention[[#This Row],[NumL]],T_TraitDi[#Data],COLUMN(T_TraitDi[Colonne25]),FALSE)=0,"",TEXT(IFERROR(VLOOKUP(T_Convention[[#This Row],[NumL]],T_TraitDi[#Data],COLUMN(T_TraitDi[Colonne25]),FALSE),""),"[hh]:mm"))</f>
        <v>#N/A</v>
      </c>
      <c r="BA126" s="284" t="e">
        <f>IF(VLOOKUP(T_Convention[[#This Row],[NumL]],T_TraitDi[#Data],COLUMN(T_TraitDi[Colonne26]),FALSE)=0,"",TEXT(IFERROR(VLOOKUP(T_Convention[[#This Row],[NumL]],T_TraitDi[#Data],COLUMN(T_TraitDi[Colonne26]),FALSE),""),"[hh]:mm"))</f>
        <v>#N/A</v>
      </c>
      <c r="BB126" s="284" t="str">
        <f>IFERROR(VLOOKUP(T_Convention[[#This Row],[NumL]],T_TraitDi[#Data],COLUMN(T_TraitDi[Vendredi]),FALSE),"")</f>
        <v/>
      </c>
      <c r="BC126" s="284" t="e">
        <f>IF(VLOOKUP(T_Convention[[#This Row],[NumL]],T_TraitDi[#Data],COLUMN(T_TraitDi[Colonne27]),FALSE)=0,"",TEXT(IFERROR(VLOOKUP(T_Convention[[#This Row],[NumL]],T_TraitDi[#Data],COLUMN(T_TraitDi[Colonne27]),FALSE),""),"[hh]:mm"))</f>
        <v>#N/A</v>
      </c>
      <c r="BD126" s="284" t="e">
        <f>IF(VLOOKUP(T_Convention[[#This Row],[NumL]],T_TraitDi[#Data],COLUMN(T_TraitDi[Colonne28]),FALSE)=0,"",TEXT(IFERROR(VLOOKUP(T_Convention[[#This Row],[NumL]],T_TraitDi[#Data],COLUMN(T_TraitDi[Colonne28]),FALSE),""),"[hh]:mm"))</f>
        <v>#N/A</v>
      </c>
      <c r="BE126" s="284" t="str">
        <f>IFERROR(VLOOKUP(T_Convention[[#This Row],[NumL]],T_TraitDi[#Data],COLUMN(T_TraitDi[Colonne29]),FALSE),"")</f>
        <v/>
      </c>
      <c r="BF126" s="284" t="e">
        <f>IF(VLOOKUP(T_Convention[[#This Row],[NumL]],T_TraitDi[#Data],COLUMN(T_TraitDi[Colonne30]),FALSE)=0,"",TEXT(IFERROR(VLOOKUP(T_Convention[[#This Row],[NumL]],T_TraitDi[#Data],COLUMN(T_TraitDi[Colonne30]),FALSE),""),"[hh]:mm"))</f>
        <v>#N/A</v>
      </c>
      <c r="BG126" s="284" t="e">
        <f>IF(VLOOKUP(T_Convention[[#This Row],[NumL]],T_TraitDi[#Data],COLUMN(T_TraitDi[Colonne31]),FALSE)=0,"",TEXT(IFERROR(VLOOKUP(T_Convention[[#This Row],[NumL]],T_TraitDi[#Data],COLUMN(T_TraitDi[Colonne31]),FALSE),""),"[hh]:mm"))</f>
        <v>#N/A</v>
      </c>
      <c r="BH126" s="284" t="e">
        <f>IF(VLOOKUP(T_Convention[[#This Row],[NumL]],T_TraitDi[#Data],COLUMN(T_TraitDi[Colonne32]),FALSE)=0,"",TEXT(IFERROR(VLOOKUP(T_Convention[[#This Row],[NumL]],T_TraitDi[#Data],COLUMN(T_TraitDi[Colonne32]),FALSE),""),"[hh]:mm"))</f>
        <v>#N/A</v>
      </c>
      <c r="BI126" s="284" t="str">
        <f>IFERROR(VLOOKUP(T_Convention[[#This Row],[NumL]],T_TraitDi[#Data],COLUMN(T_TraitDi[NbJTW]),FALSE),"")</f>
        <v/>
      </c>
      <c r="BJ126" s="284" t="e">
        <f>IF(VLOOKUP(T_Convention[[#This Row],[NumL]],T_TraitDi[#Data],COLUMN(T_TraitDi[NbhTW]),FALSE)=0,"",TEXT(IFERROR(VLOOKUP(T_Convention[[#This Row],[NumL]],T_TraitDi[#Data],COLUMN(T_TraitDi[NbhTW]),FALSE),""),"[hh]:mm"))</f>
        <v>#N/A</v>
      </c>
      <c r="BK126" s="286" t="e">
        <f>IF(VLOOKUP(T_Convention[[#This Row],[NumL]],T_TraitDi[#Data],COLUMN(T_TraitDi[Nbhheb]),FALSE)=0,"",TEXT(IFERROR(VLOOKUP(T_Convention[[#This Row],[NumL]],T_TraitDi[#Data],COLUMN(T_TraitDi[Nbhheb]),FALSE),""),"[hh]:mm"))</f>
        <v>#N/A</v>
      </c>
      <c r="BL126" s="287" t="str">
        <f>IFERROR(VLOOKUP(VLOOKUP(T_Convention[[#This Row],[NumL]],T_TraitDi[#Data],COLUMN(T_TraitDi[Type1]),FALSE),TypeTW,2,FALSE),"")</f>
        <v/>
      </c>
      <c r="BM126" s="288" t="str">
        <f>IFERROR(VLOOKUP(T_Convention[[#This Row],[NumL]],T_TraitDi[#Data],COLUMN(T_TraitDi[Rue1]),FALSE),"")</f>
        <v/>
      </c>
      <c r="BN126" s="289" t="str">
        <f>IFERROR(VLOOKUP(T_Convention[[#This Row],[NumL]],T_TraitDi[#Data],COLUMN(T_TraitDi[CP1]),FALSE),"")</f>
        <v/>
      </c>
      <c r="BO126" s="282" t="str">
        <f>IFERROR(VLOOKUP(T_Convention[[#This Row],[NumL]],T_TraitDi[#Data],COLUMN(T_TraitDi[VILLE1]),FALSE),"")</f>
        <v/>
      </c>
      <c r="BP126" s="290" t="str">
        <f>IFERROR(VLOOKUP(VLOOKUP(T_Convention[[#This Row],[NumL]],T_TraitDi[#Data],COLUMN(T_TraitDi[Type2]),FALSE),TypeTW,2,FALSE),"")</f>
        <v/>
      </c>
      <c r="BQ126" s="182" t="str">
        <f>IFERROR(VLOOKUP(T_Convention[[#This Row],[NumL]],T_TraitDi[#Data],COLUMN(T_TraitDi[Rue2]),FALSE),"")</f>
        <v/>
      </c>
      <c r="BR126" s="173" t="str">
        <f>IFERROR(VLOOKUP(T_Convention[[#This Row],[NumL]],T_TraitDi[#Data],COLUMN(T_TraitDi[CP2]),FALSE),"")</f>
        <v/>
      </c>
      <c r="BS126" s="173" t="str">
        <f>IFERROR(VLOOKUP(T_Convention[[#This Row],[NumL]],T_TraitDi[#Data],COLUMN(T_TraitDi[VILLE2]),FALSE),"")</f>
        <v/>
      </c>
      <c r="BT126" s="182" t="str">
        <f>IF(VLOOKUP(T_Convention[[#This Row],[NumL]],T_Equipement[#Data],COLUMN(T_Equipement[PC]),FALSE)="","Aucun équipement spécifique directement lié au télétravail",VLOOKUP(T_Convention[[#This Row],[NumL]],T_Equipement[#Data],COLUMN(T_Equipement[PC]),FALSE))</f>
        <v xml:space="preserve">20-279	</v>
      </c>
      <c r="BU126" s="166" t="str">
        <f>IFERROR(IF(VLOOKUP(T_Convention[[#This Row],[NumL]],T_TraitDi[#Data],COLUMN(T_TraitDi[Plan]),FALSE)="OK","Un planning spécifique de télétravail est annexé à la présente convention.",""),"")</f>
        <v/>
      </c>
      <c r="BV126" s="185" t="s">
        <v>3474</v>
      </c>
      <c r="BW126" s="164" t="e">
        <f>IF(VLOOKUP(T_Convention[[#This Row],[NumL]],T_suiviDi[#Data],COLUMN(T_suiviDi[Entité]),FALSE)="","",VLOOKUP(T_Convention[[#This Row],[NumL]],T_suiviDi[#Data],COLUMN(T_suiviDi[Entité]),FALSE))</f>
        <v>#N/A</v>
      </c>
      <c r="BX126" s="164" t="str">
        <f>IF(VLOOKUP(T_Convention[[#This Row],[NumL]],T_Commission[#Data],COLUMN(T_Commission[envoi confirm TW]),FALSE)="","",VLOOKUP(T_Convention[[#This Row],[NumL]],T_Commission[#Data],COLUMN(T_Commission[envoi confirm TW]),FALSE))</f>
        <v>Oui</v>
      </c>
      <c r="BY12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6" s="264">
        <f>VLOOKUP(T_Convention[[#This Row],[NumL]],T_Commission[#Data],COLUMN(T_Commission[Commentaire]),FALSE)</f>
        <v>0</v>
      </c>
      <c r="CA126" s="254" t="str">
        <f>IF(VLOOKUP(T_Convention[[#This Row],[NumL]],T_Commission[#Data],COLUMN(T_Commission[Encadrant Email]),FALSE)="","",VLOOKUP(T_Convention[[#This Row],[NumL]],T_Commission[#Data],COLUMN(T_Commission[Encadrant Email]),FALSE))</f>
        <v/>
      </c>
      <c r="CB126" s="352" t="e">
        <f>VLOOKUP(T_Convention[[#This Row],[NumL]],T_TraitDi[#Data],COLUMN(T_TraitDi[NbJTot]),FALSE)</f>
        <v>#N/A</v>
      </c>
      <c r="CC126" s="352" t="e">
        <f>VLOOKUP(T_Convention[[#This Row],[NumL]],T_TraitDi[#Data],COLUMN(T_TraitDi[Reg Ponct]),FALSE)</f>
        <v>#N/A</v>
      </c>
      <c r="CD126" s="348" t="str">
        <f>IF(T_Convention[[#This Row],[Final]]&lt;&gt;"",VLOOKUP(T_Convention[[#This Row],[NumL]],T_suiviDi[#Data],COLUMN((T_suiviDi[Statut])),FALSE),"")</f>
        <v/>
      </c>
    </row>
    <row r="127" spans="1:82" s="106" customFormat="1" ht="18.75" customHeight="1" x14ac:dyDescent="0.25">
      <c r="A127" s="160">
        <v>265</v>
      </c>
      <c r="B127" s="161" t="str">
        <f>VLOOKUP(T_Convention[[#This Row],[NumL]],T_Commission[#Data],COLUMN(T_Commission[FINAL]),FALSE)</f>
        <v/>
      </c>
      <c r="C127" s="162"/>
      <c r="D127" s="95" t="e">
        <f>IF(VLOOKUP(T_Convention[[#This Row],[NumL]],T_TraitDi[#Data],COLUMN(T_TraitDi[WebC]),FALSE)="","",VLOOKUP(T_Convention[[#This Row],[NumL]],T_TraitDi[#Data],COLUMN(T_TraitDi[WebC]),FALSE))</f>
        <v>#N/A</v>
      </c>
      <c r="E127" s="163" t="str">
        <f t="shared" si="5"/>
        <v>12 janvier 2021</v>
      </c>
      <c r="F127" s="282" t="str">
        <f>IF(T_Convention[[#This Row],[Final]]&lt;&gt;"",VLOOKUP(T_Convention[[#This Row],[NumL]],T_suiviDi[#Data],COLUMN((T_suiviDi[Civ.])),FALSE),"")</f>
        <v/>
      </c>
      <c r="G127" s="283" t="str">
        <f>IF(T_Convention[[#This Row],[Final]]&lt;&gt;"",VLOOKUP(T_Convention[[#This Row],[NumL]],T_suiviDi[#Data],COLUMN((T_suiviDi[Nom])),FALSE),"")</f>
        <v/>
      </c>
      <c r="H127" s="282" t="str">
        <f>IF(T_Convention[[#This Row],[Final]]&lt;&gt;"",VLOOKUP(T_Convention[[#This Row],[NumL]],T_suiviDi[#Data],COLUMN((T_suiviDi[Prénom])),FALSE),"")</f>
        <v/>
      </c>
      <c r="I127" s="282" t="e">
        <f>VLOOKUP(T_Convention[[#This Row],[NumL]],T_suiviDi[#Data],COLUMN((T_suiviDi[[#This Row],[Email]])),FALSE)</f>
        <v>#VALUE!</v>
      </c>
      <c r="J127" s="282" t="e">
        <f>IF(VLOOKUP(T_Convention[[#This Row],[NumL]],T_suiviDi[#Data],COLUMN(T_suiviDi[[#This Row],[Fonction]]),FALSE)="","",VLOOKUP(T_Convention[[#This Row],[NumL]],T_suiviDi[#Data],COLUMN(T_suiviDi[[#This Row],[Fonction]]),FALSE))</f>
        <v>#VALUE!</v>
      </c>
      <c r="K127" s="282" t="e">
        <f>IF(VLOOKUP(T_Convention[[#This Row],[NumL]],T_suiviDi[#Data],COLUMN(T_suiviDi[[#This Row],[Grade]]),FALSE)="","",VLOOKUP(T_Convention[[#This Row],[NumL]],T_suiviDi[#Data],COLUMN(T_suiviDi[[#This Row],[Grade]]),FALSE))</f>
        <v>#VALUE!</v>
      </c>
      <c r="L127" s="282" t="e">
        <f>IF(VLOOKUP(T_Convention[[#This Row],[NumL]],T_suiviDi[#Data],COLUMN(T_suiviDi[[#This Row],[Service ]]),FALSE)="","",VLOOKUP(T_Convention[[#This Row],[NumL]],T_suiviDi[#Data],COLUMN(T_suiviDi[[#This Row],[Service ]]),FALSE))</f>
        <v>#VALUE!</v>
      </c>
      <c r="M127" s="164" t="str">
        <f t="shared" si="6"/>
        <v>01 septembre 2021</v>
      </c>
      <c r="N127" s="164" t="str">
        <f t="shared" si="7"/>
        <v>30 novembre 2021</v>
      </c>
      <c r="O127" s="284" t="str">
        <f t="shared" si="8"/>
        <v>30 novembre 2021</v>
      </c>
      <c r="P127" s="282" t="e">
        <f>IF(VLOOKUP(T_Convention[[#This Row],[NumL]],T_TraitDi[#Data],COLUMN(T_TraitDi[M1]),FALSE)="","",VLOOKUP(T_Convention[[#This Row],[NumL]],T_TraitDi[#Data],COLUMN(T_TraitDi[M1]),FALSE))</f>
        <v>#N/A</v>
      </c>
      <c r="Q127" s="282" t="e">
        <f>IF(VLOOKUP(T_Convention[[#This Row],[NumL]],T_TraitDi[#Data],COLUMN(T_TraitDi[M2]),FALSE)="","",VLOOKUP(T_Convention[[#This Row],[NumL]],T_TraitDi[#Data],COLUMN(T_TraitDi[M2]),FALSE))</f>
        <v>#N/A</v>
      </c>
      <c r="R127" s="282" t="e">
        <f>IF(VLOOKUP(T_Convention[[#This Row],[NumL]],T_TraitDi[#Data],COLUMN(T_TraitDi[M3]),FALSE)="","",VLOOKUP(T_Convention[[#This Row],[NumL]],T_TraitDi[#Data],COLUMN(T_TraitDi[M3]),FALSE))</f>
        <v>#N/A</v>
      </c>
      <c r="S127" s="282" t="e">
        <f>IF(VLOOKUP(T_Convention[[#This Row],[NumL]],T_TraitDi[#Data],COLUMN(T_TraitDi[M4]),FALSE)="","",VLOOKUP(T_Convention[[#This Row],[NumL]],T_TraitDi[#Data],COLUMN(T_TraitDi[M4]),FALSE))</f>
        <v>#N/A</v>
      </c>
      <c r="T127" s="282" t="e">
        <f>IF(VLOOKUP(T_Convention[[#This Row],[NumL]],T_TraitDi[#Data],COLUMN(T_TraitDi[M5]),FALSE)="","",VLOOKUP(T_Convention[[#This Row],[NumL]],T_TraitDi[#Data],COLUMN(T_TraitDi[M5]),FALSE))</f>
        <v>#N/A</v>
      </c>
      <c r="U127" s="282" t="e">
        <f>IF(VLOOKUP(T_Convention[[#This Row],[NumL]],T_TraitDi[#Data],COLUMN(T_TraitDi[M6]),FALSE)="","",VLOOKUP(T_Convention[[#This Row],[NumL]],T_TraitDi[#Data],COLUMN(T_TraitDi[M6]),FALSE))</f>
        <v>#N/A</v>
      </c>
      <c r="V127" s="176" t="e">
        <f t="shared" si="9"/>
        <v>#N/A</v>
      </c>
      <c r="W127" s="284" t="str">
        <f>IFERROR(TEXT(VLOOKUP(T_Convention[[#This Row],[NumL]],T_TraitDi[#Data],COLUMN(T_TraitDi[Q2]),FALSE),"###%"),"")</f>
        <v/>
      </c>
      <c r="X127" s="97" t="e">
        <f>VLOOKUP(T_Convention[[#This Row],[NumL]],T_TraitDi[#Data],COLUMN(T_TraitDi[Reg Ponct]),FALSE)</f>
        <v>#N/A</v>
      </c>
      <c r="Y127" s="97" t="e">
        <f>VLOOKUP(T_Convention[NumL],T_TraitDi[#Data],COLUMN(T_TraitDi[Jours flottants]),FALSE)</f>
        <v>#N/A</v>
      </c>
      <c r="Z127" s="284" t="str">
        <f>IFERROR(VLOOKUP(T_Convention[[#This Row],[NumL]],T_TraitDi[#Data],COLUMN(T_TraitDi[Lundi]),FALSE),"")</f>
        <v/>
      </c>
      <c r="AA127" s="284" t="e">
        <f>IF(VLOOKUP(T_Convention[[#This Row],[NumL]],T_TraitDi[#Data],COLUMN(T_TraitDi[Colonne3]),FALSE)=0,"",TEXT(IFERROR(VLOOKUP(T_Convention[[#This Row],[NumL]],T_TraitDi[#Data],COLUMN(T_TraitDi[Colonne3]),FALSE),""),"[hh]:mm"))</f>
        <v>#N/A</v>
      </c>
      <c r="AB127" s="284" t="e">
        <f>IF(VLOOKUP(T_Convention[[#This Row],[NumL]],T_TraitDi[#Data],COLUMN(T_TraitDi[Colonne4]),FALSE)=0,"",TEXT(IFERROR(VLOOKUP(T_Convention[[#This Row],[NumL]],T_TraitDi[#Data],COLUMN(T_TraitDi[Colonne4]),FALSE),""),"[hh]:mm"))</f>
        <v>#N/A</v>
      </c>
      <c r="AC127" s="284" t="e">
        <f>IF(VLOOKUP(T_Convention[[#This Row],[NumL]],T_TraitDi[#Data],COLUMN(T_TraitDi[Colonne5]),FALSE)=0,"",TEXT(IFERROR(VLOOKUP(T_Convention[[#This Row],[NumL]],T_TraitDi[#Data],COLUMN(T_TraitDi[Colonne5]),FALSE),""),"[hh]:mm"))</f>
        <v>#N/A</v>
      </c>
      <c r="AD127" s="284" t="e">
        <f>IF(VLOOKUP(T_Convention[[#This Row],[NumL]],T_TraitDi[#Data],COLUMN(T_TraitDi[Colonne6]),FALSE)=0,"",TEXT(IFERROR(VLOOKUP(T_Convention[[#This Row],[NumL]],T_TraitDi[#Data],COLUMN(T_TraitDi[Colonne6]),FALSE),""),"[hh]:mm"))</f>
        <v>#N/A</v>
      </c>
      <c r="AE127" s="284" t="e">
        <f>IF(VLOOKUP(T_Convention[[#This Row],[NumL]],T_TraitDi[#Data],COLUMN(T_TraitDi[Colonne7]),FALSE)=0,"",TEXT(IFERROR(VLOOKUP(T_Convention[[#This Row],[NumL]],T_TraitDi[#Data],COLUMN(T_TraitDi[Colonne7]),FALSE),""),"[hh]:mm"))</f>
        <v>#N/A</v>
      </c>
      <c r="AF127" s="284" t="e">
        <f>IF(VLOOKUP(T_Convention[[#This Row],[NumL]],T_TraitDi[#Data],COLUMN(T_TraitDi[Colonne8]),FALSE)=0,"",TEXT(IFERROR(VLOOKUP(T_Convention[[#This Row],[NumL]],T_TraitDi[#Data],COLUMN(T_TraitDi[Colonne8]),FALSE),""),"[hh]:mm"))</f>
        <v>#N/A</v>
      </c>
      <c r="AG127" s="284" t="str">
        <f>IFERROR(VLOOKUP(T_Convention[[#This Row],[NumL]],T_TraitDi[#Data],COLUMN(T_TraitDi[Mardi]),FALSE),"")</f>
        <v/>
      </c>
      <c r="AH127" s="284" t="e">
        <f>IF(VLOOKUP(T_Convention[[#This Row],[NumL]],T_TraitDi[#Data],COLUMN(T_TraitDi[Colonne1]),FALSE)=0,"",TEXT(IFERROR(VLOOKUP(T_Convention[[#This Row],[NumL]],T_TraitDi[#Data],COLUMN(T_TraitDi[Colonne1]),FALSE),""),"[hh]:mm"))</f>
        <v>#N/A</v>
      </c>
      <c r="AI127" s="284" t="e">
        <f>IF(VLOOKUP(T_Convention[[#This Row],[NumL]],T_TraitDi[#Data],COLUMN(T_TraitDi[Colonne9]),FALSE)=0,"",TEXT(IFERROR(VLOOKUP(T_Convention[[#This Row],[NumL]],T_TraitDi[#Data],COLUMN(T_TraitDi[Colonne9]),FALSE),""),"[hh]:mm"))</f>
        <v>#N/A</v>
      </c>
      <c r="AJ127" s="284" t="str">
        <f>IFERROR(VLOOKUP(T_Convention[[#This Row],[NumL]],T_TraitDi[#Data],COLUMN(T_TraitDi[Colonne10]),FALSE),"")</f>
        <v/>
      </c>
      <c r="AK127" s="284" t="e">
        <f>IF(VLOOKUP(T_Convention[[#This Row],[NumL]],T_TraitDi[#Data],COLUMN(T_TraitDi[Colonne11]),FALSE)=0,"",TEXT(IFERROR(VLOOKUP(T_Convention[[#This Row],[NumL]],T_TraitDi[#Data],COLUMN(T_TraitDi[Colonne11]),FALSE),""),"[hh]:mm"))</f>
        <v>#N/A</v>
      </c>
      <c r="AL127" s="284" t="e">
        <f>IF(VLOOKUP(T_Convention[[#This Row],[NumL]],T_TraitDi[#Data],COLUMN(T_TraitDi[Colonne12]),FALSE)=0,"",TEXT(IFERROR(VLOOKUP(T_Convention[[#This Row],[NumL]],T_TraitDi[#Data],COLUMN(T_TraitDi[Colonne12]),FALSE),""),"[hh]:mm"))</f>
        <v>#N/A</v>
      </c>
      <c r="AM127" s="284" t="e">
        <f>IF(VLOOKUP(T_Convention[[#This Row],[NumL]],T_TraitDi[#Data],COLUMN(T_TraitDi[Colonne14]),FALSE)=0,"",TEXT(IFERROR(VLOOKUP(T_Convention[[#This Row],[NumL]],T_TraitDi[#Data],COLUMN(T_TraitDi[Colonne14]),FALSE),""),"[hh]:mm"))</f>
        <v>#N/A</v>
      </c>
      <c r="AN127" s="284" t="str">
        <f>IFERROR(VLOOKUP(T_Convention[[#This Row],[NumL]],T_TraitDi[#Data],COLUMN(T_TraitDi[Mercredi]),FALSE),"")</f>
        <v/>
      </c>
      <c r="AO127" s="284" t="e">
        <f>IF(VLOOKUP(T_Convention[[#This Row],[NumL]],T_TraitDi[#Data],COLUMN(T_TraitDi[Colonne15]),FALSE)=0,"",TEXT(IFERROR(VLOOKUP(T_Convention[[#This Row],[NumL]],T_TraitDi[#Data],COLUMN(T_TraitDi[Colonne15]),FALSE),""),"[hh]:mm"))</f>
        <v>#N/A</v>
      </c>
      <c r="AP127" s="284" t="e">
        <f>IF(VLOOKUP(T_Convention[[#This Row],[NumL]],T_TraitDi[#Data],COLUMN(T_TraitDi[Colonne16]),FALSE)=0,"",TEXT(IFERROR(VLOOKUP(T_Convention[[#This Row],[NumL]],T_TraitDi[#Data],COLUMN(T_TraitDi[Colonne16]),FALSE),""),"[hh]:mm"))</f>
        <v>#N/A</v>
      </c>
      <c r="AQ127" s="284" t="str">
        <f>IFERROR(VLOOKUP(T_Convention[[#This Row],[NumL]],T_TraitDi[#Data],COLUMN(T_TraitDi[Colonne17]),FALSE),"")</f>
        <v/>
      </c>
      <c r="AR127" s="284" t="e">
        <f>IF(VLOOKUP(T_Convention[[#This Row],[NumL]],T_TraitDi[#Data],COLUMN(T_TraitDi[Colonne18]),FALSE)=0,"",TEXT(IFERROR(VLOOKUP(T_Convention[[#This Row],[NumL]],T_TraitDi[#Data],COLUMN(T_TraitDi[Colonne18]),FALSE),""),"[hh]:mm"))</f>
        <v>#N/A</v>
      </c>
      <c r="AS127" s="284" t="e">
        <f>IF(VLOOKUP(T_Convention[[#This Row],[NumL]],T_TraitDi[#Data],COLUMN(T_TraitDi[Colonne19]),FALSE)=0,"",TEXT(IFERROR(VLOOKUP(T_Convention[[#This Row],[NumL]],T_TraitDi[#Data],COLUMN(T_TraitDi[Colonne19]),FALSE),""),"[hh]:mm"))</f>
        <v>#N/A</v>
      </c>
      <c r="AT127" s="284" t="e">
        <f>IF(VLOOKUP(T_Convention[[#This Row],[NumL]],T_TraitDi[#Data],COLUMN(T_TraitDi[Colonne20]),FALSE)=0,"",TEXT(IFERROR(VLOOKUP(T_Convention[[#This Row],[NumL]],T_TraitDi[#Data],COLUMN(T_TraitDi[Colonne20]),FALSE),""),"[hh]:mm"))</f>
        <v>#N/A</v>
      </c>
      <c r="AU127" s="284" t="str">
        <f>IFERROR(VLOOKUP(T_Convention[[#This Row],[NumL]],T_TraitDi[#Data],COLUMN(T_TraitDi[Jeudi]),FALSE),"")</f>
        <v/>
      </c>
      <c r="AV127" s="284" t="e">
        <f>IF(VLOOKUP(T_Convention[[#This Row],[NumL]],T_TraitDi[#Data],COLUMN(T_TraitDi[Colonne21]),FALSE)=0,"",TEXT(IFERROR(VLOOKUP(T_Convention[[#This Row],[NumL]],T_TraitDi[#Data],COLUMN(T_TraitDi[Colonne21]),FALSE),""),"[hh]:mm"))</f>
        <v>#N/A</v>
      </c>
      <c r="AW127" s="284" t="e">
        <f>IF(VLOOKUP(T_Convention[[#This Row],[NumL]],T_TraitDi[#Data],COLUMN(T_TraitDi[Colonne22]),FALSE)=0,"",TEXT(IFERROR(VLOOKUP(T_Convention[[#This Row],[NumL]],T_TraitDi[#Data],COLUMN(T_TraitDi[Colonne22]),FALSE),""),"[hh]:mm"))</f>
        <v>#N/A</v>
      </c>
      <c r="AX127" s="284" t="str">
        <f>IFERROR(VLOOKUP(T_Convention[[#This Row],[NumL]],T_TraitDi[#Data],COLUMN(T_TraitDi[Colonne23]),FALSE),"")</f>
        <v/>
      </c>
      <c r="AY127" s="284" t="e">
        <f>IF(VLOOKUP(T_Convention[[#This Row],[NumL]],T_TraitDi[#Data],COLUMN(T_TraitDi[Colonne24]),FALSE)=0,"",TEXT(IFERROR(VLOOKUP(T_Convention[[#This Row],[NumL]],T_TraitDi[#Data],COLUMN(T_TraitDi[Colonne24]),FALSE),""),"[hh]:mm"))</f>
        <v>#N/A</v>
      </c>
      <c r="AZ127" s="284" t="e">
        <f>IF(VLOOKUP(T_Convention[[#This Row],[NumL]],T_TraitDi[#Data],COLUMN(T_TraitDi[Colonne25]),FALSE)=0,"",TEXT(IFERROR(VLOOKUP(T_Convention[[#This Row],[NumL]],T_TraitDi[#Data],COLUMN(T_TraitDi[Colonne25]),FALSE),""),"[hh]:mm"))</f>
        <v>#N/A</v>
      </c>
      <c r="BA127" s="284" t="e">
        <f>IF(VLOOKUP(T_Convention[[#This Row],[NumL]],T_TraitDi[#Data],COLUMN(T_TraitDi[Colonne26]),FALSE)=0,"",TEXT(IFERROR(VLOOKUP(T_Convention[[#This Row],[NumL]],T_TraitDi[#Data],COLUMN(T_TraitDi[Colonne26]),FALSE),""),"[hh]:mm"))</f>
        <v>#N/A</v>
      </c>
      <c r="BB127" s="284" t="str">
        <f>IFERROR(VLOOKUP(T_Convention[[#This Row],[NumL]],T_TraitDi[#Data],COLUMN(T_TraitDi[Vendredi]),FALSE),"")</f>
        <v/>
      </c>
      <c r="BC127" s="284" t="e">
        <f>IF(VLOOKUP(T_Convention[[#This Row],[NumL]],T_TraitDi[#Data],COLUMN(T_TraitDi[Colonne27]),FALSE)=0,"",TEXT(IFERROR(VLOOKUP(T_Convention[[#This Row],[NumL]],T_TraitDi[#Data],COLUMN(T_TraitDi[Colonne27]),FALSE),""),"[hh]:mm"))</f>
        <v>#N/A</v>
      </c>
      <c r="BD127" s="284" t="e">
        <f>IF(VLOOKUP(T_Convention[[#This Row],[NumL]],T_TraitDi[#Data],COLUMN(T_TraitDi[Colonne28]),FALSE)=0,"",TEXT(IFERROR(VLOOKUP(T_Convention[[#This Row],[NumL]],T_TraitDi[#Data],COLUMN(T_TraitDi[Colonne28]),FALSE),""),"[hh]:mm"))</f>
        <v>#N/A</v>
      </c>
      <c r="BE127" s="284" t="str">
        <f>IFERROR(VLOOKUP(T_Convention[[#This Row],[NumL]],T_TraitDi[#Data],COLUMN(T_TraitDi[Colonne29]),FALSE),"")</f>
        <v/>
      </c>
      <c r="BF127" s="284" t="e">
        <f>IF(VLOOKUP(T_Convention[[#This Row],[NumL]],T_TraitDi[#Data],COLUMN(T_TraitDi[Colonne30]),FALSE)=0,"",TEXT(IFERROR(VLOOKUP(T_Convention[[#This Row],[NumL]],T_TraitDi[#Data],COLUMN(T_TraitDi[Colonne30]),FALSE),""),"[hh]:mm"))</f>
        <v>#N/A</v>
      </c>
      <c r="BG127" s="284" t="e">
        <f>IF(VLOOKUP(T_Convention[[#This Row],[NumL]],T_TraitDi[#Data],COLUMN(T_TraitDi[Colonne31]),FALSE)=0,"",TEXT(IFERROR(VLOOKUP(T_Convention[[#This Row],[NumL]],T_TraitDi[#Data],COLUMN(T_TraitDi[Colonne31]),FALSE),""),"[hh]:mm"))</f>
        <v>#N/A</v>
      </c>
      <c r="BH127" s="284" t="e">
        <f>IF(VLOOKUP(T_Convention[[#This Row],[NumL]],T_TraitDi[#Data],COLUMN(T_TraitDi[Colonne32]),FALSE)=0,"",TEXT(IFERROR(VLOOKUP(T_Convention[[#This Row],[NumL]],T_TraitDi[#Data],COLUMN(T_TraitDi[Colonne32]),FALSE),""),"[hh]:mm"))</f>
        <v>#N/A</v>
      </c>
      <c r="BI127" s="284" t="str">
        <f>IFERROR(VLOOKUP(T_Convention[[#This Row],[NumL]],T_TraitDi[#Data],COLUMN(T_TraitDi[NbJTW]),FALSE),"")</f>
        <v/>
      </c>
      <c r="BJ127" s="284" t="e">
        <f>IF(VLOOKUP(T_Convention[[#This Row],[NumL]],T_TraitDi[#Data],COLUMN(T_TraitDi[NbhTW]),FALSE)=0,"",TEXT(IFERROR(VLOOKUP(T_Convention[[#This Row],[NumL]],T_TraitDi[#Data],COLUMN(T_TraitDi[NbhTW]),FALSE),""),"[hh]:mm"))</f>
        <v>#N/A</v>
      </c>
      <c r="BK127" s="286" t="e">
        <f>IF(VLOOKUP(T_Convention[[#This Row],[NumL]],T_TraitDi[#Data],COLUMN(T_TraitDi[Nbhheb]),FALSE)=0,"",TEXT(IFERROR(VLOOKUP(T_Convention[[#This Row],[NumL]],T_TraitDi[#Data],COLUMN(T_TraitDi[Nbhheb]),FALSE),""),"[hh]:mm"))</f>
        <v>#N/A</v>
      </c>
      <c r="BL127" s="287" t="str">
        <f>IFERROR(VLOOKUP(VLOOKUP(T_Convention[[#This Row],[NumL]],T_TraitDi[#Data],COLUMN(T_TraitDi[Type1]),FALSE),TypeTW,2,FALSE),"")</f>
        <v/>
      </c>
      <c r="BM127" s="288" t="str">
        <f>IFERROR(VLOOKUP(T_Convention[[#This Row],[NumL]],T_TraitDi[#Data],COLUMN(T_TraitDi[Rue1]),FALSE),"")</f>
        <v/>
      </c>
      <c r="BN127" s="289" t="str">
        <f>IFERROR(VLOOKUP(T_Convention[[#This Row],[NumL]],T_TraitDi[#Data],COLUMN(T_TraitDi[CP1]),FALSE),"")</f>
        <v/>
      </c>
      <c r="BO127" s="282" t="str">
        <f>IFERROR(VLOOKUP(T_Convention[[#This Row],[NumL]],T_TraitDi[#Data],COLUMN(T_TraitDi[VILLE1]),FALSE),"")</f>
        <v/>
      </c>
      <c r="BP127" s="290" t="str">
        <f>IFERROR(VLOOKUP(VLOOKUP(T_Convention[[#This Row],[NumL]],T_TraitDi[#Data],COLUMN(T_TraitDi[Type2]),FALSE),TypeTW,2,FALSE),"")</f>
        <v/>
      </c>
      <c r="BQ127" s="182" t="str">
        <f>IFERROR(VLOOKUP(T_Convention[[#This Row],[NumL]],T_TraitDi[#Data],COLUMN(T_TraitDi[Rue2]),FALSE),"")</f>
        <v/>
      </c>
      <c r="BR127" s="173" t="str">
        <f>IFERROR(VLOOKUP(T_Convention[[#This Row],[NumL]],T_TraitDi[#Data],COLUMN(T_TraitDi[CP2]),FALSE),"")</f>
        <v/>
      </c>
      <c r="BS127" s="173" t="str">
        <f>IFERROR(VLOOKUP(T_Convention[[#This Row],[NumL]],T_TraitDi[#Data],COLUMN(T_TraitDi[VILLE2]),FALSE),"")</f>
        <v/>
      </c>
      <c r="BT127" s="182" t="str">
        <f>IF(VLOOKUP(T_Convention[[#This Row],[NumL]],T_Equipement[#Data],COLUMN(T_Equipement[PC]),FALSE)="","Aucun équipement spécifique directement lié au télétravail",VLOOKUP(T_Convention[[#This Row],[NumL]],T_Equipement[#Data],COLUMN(T_Equipement[PC]),FALSE))</f>
        <v xml:space="preserve">20-390	</v>
      </c>
      <c r="BU127" s="166" t="str">
        <f>IFERROR(IF(VLOOKUP(T_Convention[[#This Row],[NumL]],T_TraitDi[#Data],COLUMN(T_TraitDi[Plan]),FALSE)="OK","Un planning spécifique de télétravail est annexé à la présente convention.",""),"")</f>
        <v/>
      </c>
      <c r="BV127" s="185" t="s">
        <v>3475</v>
      </c>
      <c r="BW127" s="164" t="e">
        <f>IF(VLOOKUP(T_Convention[[#This Row],[NumL]],T_suiviDi[#Data],COLUMN(T_suiviDi[Entité]),FALSE)="","",VLOOKUP(T_Convention[[#This Row],[NumL]],T_suiviDi[#Data],COLUMN(T_suiviDi[Entité]),FALSE))</f>
        <v>#N/A</v>
      </c>
      <c r="BX127" s="164" t="str">
        <f>IF(VLOOKUP(T_Convention[[#This Row],[NumL]],T_Commission[#Data],COLUMN(T_Commission[envoi confirm TW]),FALSE)="","",VLOOKUP(T_Convention[[#This Row],[NumL]],T_Commission[#Data],COLUMN(T_Commission[envoi confirm TW]),FALSE))</f>
        <v>Oui</v>
      </c>
      <c r="BY12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7" s="264">
        <f>VLOOKUP(T_Convention[[#This Row],[NumL]],T_Commission[#Data],COLUMN(T_Commission[Commentaire]),FALSE)</f>
        <v>0</v>
      </c>
      <c r="CA127" s="254" t="str">
        <f>IF(VLOOKUP(T_Convention[[#This Row],[NumL]],T_Commission[#Data],COLUMN(T_Commission[Encadrant Email]),FALSE)="","",VLOOKUP(T_Convention[[#This Row],[NumL]],T_Commission[#Data],COLUMN(T_Commission[Encadrant Email]),FALSE))</f>
        <v/>
      </c>
      <c r="CB127" s="352" t="e">
        <f>VLOOKUP(T_Convention[[#This Row],[NumL]],T_TraitDi[#Data],COLUMN(T_TraitDi[NbJTot]),FALSE)</f>
        <v>#N/A</v>
      </c>
      <c r="CC127" s="352" t="e">
        <f>VLOOKUP(T_Convention[[#This Row],[NumL]],T_TraitDi[#Data],COLUMN(T_TraitDi[Reg Ponct]),FALSE)</f>
        <v>#N/A</v>
      </c>
      <c r="CD127" s="348" t="str">
        <f>IF(T_Convention[[#This Row],[Final]]&lt;&gt;"",VLOOKUP(T_Convention[[#This Row],[NumL]],T_suiviDi[#Data],COLUMN((T_suiviDi[Statut])),FALSE),"")</f>
        <v/>
      </c>
    </row>
    <row r="128" spans="1:82" s="106" customFormat="1" ht="18.75" customHeight="1" x14ac:dyDescent="0.25">
      <c r="A128" s="160">
        <v>55</v>
      </c>
      <c r="B128" s="161" t="str">
        <f>VLOOKUP(T_Convention[[#This Row],[NumL]],T_Commission[#Data],COLUMN(T_Commission[FINAL]),FALSE)</f>
        <v/>
      </c>
      <c r="C128" s="162"/>
      <c r="D128" s="95" t="e">
        <f>IF(VLOOKUP(T_Convention[[#This Row],[NumL]],T_TraitDi[#Data],COLUMN(T_TraitDi[WebC]),FALSE)="","",VLOOKUP(T_Convention[[#This Row],[NumL]],T_TraitDi[#Data],COLUMN(T_TraitDi[WebC]),FALSE))</f>
        <v>#N/A</v>
      </c>
      <c r="E128" s="163" t="str">
        <f t="shared" si="5"/>
        <v>12 janvier 2021</v>
      </c>
      <c r="F128" s="282" t="str">
        <f>IF(T_Convention[[#This Row],[Final]]&lt;&gt;"",VLOOKUP(T_Convention[[#This Row],[NumL]],T_suiviDi[#Data],COLUMN((T_suiviDi[Civ.])),FALSE),"")</f>
        <v/>
      </c>
      <c r="G128" s="283" t="str">
        <f>IF(T_Convention[[#This Row],[Final]]&lt;&gt;"",VLOOKUP(T_Convention[[#This Row],[NumL]],T_suiviDi[#Data],COLUMN((T_suiviDi[Nom])),FALSE),"")</f>
        <v/>
      </c>
      <c r="H128" s="282" t="str">
        <f>IF(T_Convention[[#This Row],[Final]]&lt;&gt;"",VLOOKUP(T_Convention[[#This Row],[NumL]],T_suiviDi[#Data],COLUMN((T_suiviDi[Prénom])),FALSE),"")</f>
        <v/>
      </c>
      <c r="I128" s="282" t="e">
        <f>VLOOKUP(T_Convention[[#This Row],[NumL]],T_suiviDi[#Data],COLUMN((T_suiviDi[[#This Row],[Email]])),FALSE)</f>
        <v>#VALUE!</v>
      </c>
      <c r="J128" s="282" t="e">
        <f>IF(VLOOKUP(T_Convention[[#This Row],[NumL]],T_suiviDi[#Data],COLUMN(T_suiviDi[[#This Row],[Fonction]]),FALSE)="","",VLOOKUP(T_Convention[[#This Row],[NumL]],T_suiviDi[#Data],COLUMN(T_suiviDi[[#This Row],[Fonction]]),FALSE))</f>
        <v>#VALUE!</v>
      </c>
      <c r="K128" s="282" t="e">
        <f>IF(VLOOKUP(T_Convention[[#This Row],[NumL]],T_suiviDi[#Data],COLUMN(T_suiviDi[[#This Row],[Grade]]),FALSE)="","",VLOOKUP(T_Convention[[#This Row],[NumL]],T_suiviDi[#Data],COLUMN(T_suiviDi[[#This Row],[Grade]]),FALSE))</f>
        <v>#VALUE!</v>
      </c>
      <c r="L128" s="282" t="e">
        <f>IF(VLOOKUP(T_Convention[[#This Row],[NumL]],T_suiviDi[#Data],COLUMN(T_suiviDi[[#This Row],[Service ]]),FALSE)="","",VLOOKUP(T_Convention[[#This Row],[NumL]],T_suiviDi[#Data],COLUMN(T_suiviDi[[#This Row],[Service ]]),FALSE))</f>
        <v>#VALUE!</v>
      </c>
      <c r="M128" s="164" t="str">
        <f t="shared" si="6"/>
        <v>01 septembre 2021</v>
      </c>
      <c r="N128" s="164" t="str">
        <f t="shared" si="7"/>
        <v>30 novembre 2021</v>
      </c>
      <c r="O128" s="284" t="str">
        <f t="shared" si="8"/>
        <v>30 novembre 2021</v>
      </c>
      <c r="P128" s="282" t="e">
        <f>IF(VLOOKUP(T_Convention[[#This Row],[NumL]],T_TraitDi[#Data],COLUMN(T_TraitDi[M1]),FALSE)="","",VLOOKUP(T_Convention[[#This Row],[NumL]],T_TraitDi[#Data],COLUMN(T_TraitDi[M1]),FALSE))</f>
        <v>#N/A</v>
      </c>
      <c r="Q128" s="282" t="e">
        <f>IF(VLOOKUP(T_Convention[[#This Row],[NumL]],T_TraitDi[#Data],COLUMN(T_TraitDi[M2]),FALSE)="","",VLOOKUP(T_Convention[[#This Row],[NumL]],T_TraitDi[#Data],COLUMN(T_TraitDi[M2]),FALSE))</f>
        <v>#N/A</v>
      </c>
      <c r="R128" s="282" t="e">
        <f>IF(VLOOKUP(T_Convention[[#This Row],[NumL]],T_TraitDi[#Data],COLUMN(T_TraitDi[M3]),FALSE)="","",VLOOKUP(T_Convention[[#This Row],[NumL]],T_TraitDi[#Data],COLUMN(T_TraitDi[M3]),FALSE))</f>
        <v>#N/A</v>
      </c>
      <c r="S128" s="282" t="e">
        <f>IF(VLOOKUP(T_Convention[[#This Row],[NumL]],T_TraitDi[#Data],COLUMN(T_TraitDi[M4]),FALSE)="","",VLOOKUP(T_Convention[[#This Row],[NumL]],T_TraitDi[#Data],COLUMN(T_TraitDi[M4]),FALSE))</f>
        <v>#N/A</v>
      </c>
      <c r="T128" s="282" t="e">
        <f>IF(VLOOKUP(T_Convention[[#This Row],[NumL]],T_TraitDi[#Data],COLUMN(T_TraitDi[M5]),FALSE)="","",VLOOKUP(T_Convention[[#This Row],[NumL]],T_TraitDi[#Data],COLUMN(T_TraitDi[M5]),FALSE))</f>
        <v>#N/A</v>
      </c>
      <c r="U128" s="282" t="e">
        <f>IF(VLOOKUP(T_Convention[[#This Row],[NumL]],T_TraitDi[#Data],COLUMN(T_TraitDi[M6]),FALSE)="","",VLOOKUP(T_Convention[[#This Row],[NumL]],T_TraitDi[#Data],COLUMN(T_TraitDi[M6]),FALSE))</f>
        <v>#N/A</v>
      </c>
      <c r="V128" s="176" t="e">
        <f t="shared" si="9"/>
        <v>#N/A</v>
      </c>
      <c r="W128" s="284" t="str">
        <f>IFERROR(TEXT(VLOOKUP(T_Convention[[#This Row],[NumL]],T_TraitDi[#Data],COLUMN(T_TraitDi[Q2]),FALSE),"###%"),"")</f>
        <v/>
      </c>
      <c r="X128" s="97" t="e">
        <f>VLOOKUP(T_Convention[[#This Row],[NumL]],T_TraitDi[#Data],COLUMN(T_TraitDi[Reg Ponct]),FALSE)</f>
        <v>#N/A</v>
      </c>
      <c r="Y128" s="97" t="e">
        <f>VLOOKUP(T_Convention[NumL],T_TraitDi[#Data],COLUMN(T_TraitDi[Jours flottants]),FALSE)</f>
        <v>#N/A</v>
      </c>
      <c r="Z128" s="284" t="str">
        <f>IFERROR(VLOOKUP(T_Convention[[#This Row],[NumL]],T_TraitDi[#Data],COLUMN(T_TraitDi[Lundi]),FALSE),"")</f>
        <v/>
      </c>
      <c r="AA128" s="284" t="e">
        <f>IF(VLOOKUP(T_Convention[[#This Row],[NumL]],T_TraitDi[#Data],COLUMN(T_TraitDi[Colonne3]),FALSE)=0,"",TEXT(IFERROR(VLOOKUP(T_Convention[[#This Row],[NumL]],T_TraitDi[#Data],COLUMN(T_TraitDi[Colonne3]),FALSE),""),"[hh]:mm"))</f>
        <v>#N/A</v>
      </c>
      <c r="AB128" s="284" t="e">
        <f>IF(VLOOKUP(T_Convention[[#This Row],[NumL]],T_TraitDi[#Data],COLUMN(T_TraitDi[Colonne4]),FALSE)=0,"",TEXT(IFERROR(VLOOKUP(T_Convention[[#This Row],[NumL]],T_TraitDi[#Data],COLUMN(T_TraitDi[Colonne4]),FALSE),""),"[hh]:mm"))</f>
        <v>#N/A</v>
      </c>
      <c r="AC128" s="284" t="e">
        <f>IF(VLOOKUP(T_Convention[[#This Row],[NumL]],T_TraitDi[#Data],COLUMN(T_TraitDi[Colonne5]),FALSE)=0,"",TEXT(IFERROR(VLOOKUP(T_Convention[[#This Row],[NumL]],T_TraitDi[#Data],COLUMN(T_TraitDi[Colonne5]),FALSE),""),"[hh]:mm"))</f>
        <v>#N/A</v>
      </c>
      <c r="AD128" s="284" t="e">
        <f>IF(VLOOKUP(T_Convention[[#This Row],[NumL]],T_TraitDi[#Data],COLUMN(T_TraitDi[Colonne6]),FALSE)=0,"",TEXT(IFERROR(VLOOKUP(T_Convention[[#This Row],[NumL]],T_TraitDi[#Data],COLUMN(T_TraitDi[Colonne6]),FALSE),""),"[hh]:mm"))</f>
        <v>#N/A</v>
      </c>
      <c r="AE128" s="284" t="e">
        <f>IF(VLOOKUP(T_Convention[[#This Row],[NumL]],T_TraitDi[#Data],COLUMN(T_TraitDi[Colonne7]),FALSE)=0,"",TEXT(IFERROR(VLOOKUP(T_Convention[[#This Row],[NumL]],T_TraitDi[#Data],COLUMN(T_TraitDi[Colonne7]),FALSE),""),"[hh]:mm"))</f>
        <v>#N/A</v>
      </c>
      <c r="AF128" s="284" t="e">
        <f>IF(VLOOKUP(T_Convention[[#This Row],[NumL]],T_TraitDi[#Data],COLUMN(T_TraitDi[Colonne8]),FALSE)=0,"",TEXT(IFERROR(VLOOKUP(T_Convention[[#This Row],[NumL]],T_TraitDi[#Data],COLUMN(T_TraitDi[Colonne8]),FALSE),""),"[hh]:mm"))</f>
        <v>#N/A</v>
      </c>
      <c r="AG128" s="284" t="str">
        <f>IFERROR(VLOOKUP(T_Convention[[#This Row],[NumL]],T_TraitDi[#Data],COLUMN(T_TraitDi[Mardi]),FALSE),"")</f>
        <v/>
      </c>
      <c r="AH128" s="284" t="e">
        <f>IF(VLOOKUP(T_Convention[[#This Row],[NumL]],T_TraitDi[#Data],COLUMN(T_TraitDi[Colonne1]),FALSE)=0,"",TEXT(IFERROR(VLOOKUP(T_Convention[[#This Row],[NumL]],T_TraitDi[#Data],COLUMN(T_TraitDi[Colonne1]),FALSE),""),"[hh]:mm"))</f>
        <v>#N/A</v>
      </c>
      <c r="AI128" s="284" t="e">
        <f>IF(VLOOKUP(T_Convention[[#This Row],[NumL]],T_TraitDi[#Data],COLUMN(T_TraitDi[Colonne9]),FALSE)=0,"",TEXT(IFERROR(VLOOKUP(T_Convention[[#This Row],[NumL]],T_TraitDi[#Data],COLUMN(T_TraitDi[Colonne9]),FALSE),""),"[hh]:mm"))</f>
        <v>#N/A</v>
      </c>
      <c r="AJ128" s="284" t="str">
        <f>IFERROR(VLOOKUP(T_Convention[[#This Row],[NumL]],T_TraitDi[#Data],COLUMN(T_TraitDi[Colonne10]),FALSE),"")</f>
        <v/>
      </c>
      <c r="AK128" s="284" t="e">
        <f>IF(VLOOKUP(T_Convention[[#This Row],[NumL]],T_TraitDi[#Data],COLUMN(T_TraitDi[Colonne11]),FALSE)=0,"",TEXT(IFERROR(VLOOKUP(T_Convention[[#This Row],[NumL]],T_TraitDi[#Data],COLUMN(T_TraitDi[Colonne11]),FALSE),""),"[hh]:mm"))</f>
        <v>#N/A</v>
      </c>
      <c r="AL128" s="284" t="e">
        <f>IF(VLOOKUP(T_Convention[[#This Row],[NumL]],T_TraitDi[#Data],COLUMN(T_TraitDi[Colonne12]),FALSE)=0,"",TEXT(IFERROR(VLOOKUP(T_Convention[[#This Row],[NumL]],T_TraitDi[#Data],COLUMN(T_TraitDi[Colonne12]),FALSE),""),"[hh]:mm"))</f>
        <v>#N/A</v>
      </c>
      <c r="AM128" s="284" t="e">
        <f>IF(VLOOKUP(T_Convention[[#This Row],[NumL]],T_TraitDi[#Data],COLUMN(T_TraitDi[Colonne14]),FALSE)=0,"",TEXT(IFERROR(VLOOKUP(T_Convention[[#This Row],[NumL]],T_TraitDi[#Data],COLUMN(T_TraitDi[Colonne14]),FALSE),""),"[hh]:mm"))</f>
        <v>#N/A</v>
      </c>
      <c r="AN128" s="284" t="str">
        <f>IFERROR(VLOOKUP(T_Convention[[#This Row],[NumL]],T_TraitDi[#Data],COLUMN(T_TraitDi[Mercredi]),FALSE),"")</f>
        <v/>
      </c>
      <c r="AO128" s="284" t="e">
        <f>IF(VLOOKUP(T_Convention[[#This Row],[NumL]],T_TraitDi[#Data],COLUMN(T_TraitDi[Colonne15]),FALSE)=0,"",TEXT(IFERROR(VLOOKUP(T_Convention[[#This Row],[NumL]],T_TraitDi[#Data],COLUMN(T_TraitDi[Colonne15]),FALSE),""),"[hh]:mm"))</f>
        <v>#N/A</v>
      </c>
      <c r="AP128" s="284" t="e">
        <f>IF(VLOOKUP(T_Convention[[#This Row],[NumL]],T_TraitDi[#Data],COLUMN(T_TraitDi[Colonne16]),FALSE)=0,"",TEXT(IFERROR(VLOOKUP(T_Convention[[#This Row],[NumL]],T_TraitDi[#Data],COLUMN(T_TraitDi[Colonne16]),FALSE),""),"[hh]:mm"))</f>
        <v>#N/A</v>
      </c>
      <c r="AQ128" s="284" t="str">
        <f>IFERROR(VLOOKUP(T_Convention[[#This Row],[NumL]],T_TraitDi[#Data],COLUMN(T_TraitDi[Colonne17]),FALSE),"")</f>
        <v/>
      </c>
      <c r="AR128" s="284" t="e">
        <f>IF(VLOOKUP(T_Convention[[#This Row],[NumL]],T_TraitDi[#Data],COLUMN(T_TraitDi[Colonne18]),FALSE)=0,"",TEXT(IFERROR(VLOOKUP(T_Convention[[#This Row],[NumL]],T_TraitDi[#Data],COLUMN(T_TraitDi[Colonne18]),FALSE),""),"[hh]:mm"))</f>
        <v>#N/A</v>
      </c>
      <c r="AS128" s="284" t="e">
        <f>IF(VLOOKUP(T_Convention[[#This Row],[NumL]],T_TraitDi[#Data],COLUMN(T_TraitDi[Colonne19]),FALSE)=0,"",TEXT(IFERROR(VLOOKUP(T_Convention[[#This Row],[NumL]],T_TraitDi[#Data],COLUMN(T_TraitDi[Colonne19]),FALSE),""),"[hh]:mm"))</f>
        <v>#N/A</v>
      </c>
      <c r="AT128" s="284" t="e">
        <f>IF(VLOOKUP(T_Convention[[#This Row],[NumL]],T_TraitDi[#Data],COLUMN(T_TraitDi[Colonne20]),FALSE)=0,"",TEXT(IFERROR(VLOOKUP(T_Convention[[#This Row],[NumL]],T_TraitDi[#Data],COLUMN(T_TraitDi[Colonne20]),FALSE),""),"[hh]:mm"))</f>
        <v>#N/A</v>
      </c>
      <c r="AU128" s="284" t="str">
        <f>IFERROR(VLOOKUP(T_Convention[[#This Row],[NumL]],T_TraitDi[#Data],COLUMN(T_TraitDi[Jeudi]),FALSE),"")</f>
        <v/>
      </c>
      <c r="AV128" s="284" t="e">
        <f>IF(VLOOKUP(T_Convention[[#This Row],[NumL]],T_TraitDi[#Data],COLUMN(T_TraitDi[Colonne21]),FALSE)=0,"",TEXT(IFERROR(VLOOKUP(T_Convention[[#This Row],[NumL]],T_TraitDi[#Data],COLUMN(T_TraitDi[Colonne21]),FALSE),""),"[hh]:mm"))</f>
        <v>#N/A</v>
      </c>
      <c r="AW128" s="284" t="e">
        <f>IF(VLOOKUP(T_Convention[[#This Row],[NumL]],T_TraitDi[#Data],COLUMN(T_TraitDi[Colonne22]),FALSE)=0,"",TEXT(IFERROR(VLOOKUP(T_Convention[[#This Row],[NumL]],T_TraitDi[#Data],COLUMN(T_TraitDi[Colonne22]),FALSE),""),"[hh]:mm"))</f>
        <v>#N/A</v>
      </c>
      <c r="AX128" s="284" t="str">
        <f>IFERROR(VLOOKUP(T_Convention[[#This Row],[NumL]],T_TraitDi[#Data],COLUMN(T_TraitDi[Colonne23]),FALSE),"")</f>
        <v/>
      </c>
      <c r="AY128" s="284" t="e">
        <f>IF(VLOOKUP(T_Convention[[#This Row],[NumL]],T_TraitDi[#Data],COLUMN(T_TraitDi[Colonne24]),FALSE)=0,"",TEXT(IFERROR(VLOOKUP(T_Convention[[#This Row],[NumL]],T_TraitDi[#Data],COLUMN(T_TraitDi[Colonne24]),FALSE),""),"[hh]:mm"))</f>
        <v>#N/A</v>
      </c>
      <c r="AZ128" s="284" t="e">
        <f>IF(VLOOKUP(T_Convention[[#This Row],[NumL]],T_TraitDi[#Data],COLUMN(T_TraitDi[Colonne25]),FALSE)=0,"",TEXT(IFERROR(VLOOKUP(T_Convention[[#This Row],[NumL]],T_TraitDi[#Data],COLUMN(T_TraitDi[Colonne25]),FALSE),""),"[hh]:mm"))</f>
        <v>#N/A</v>
      </c>
      <c r="BA128" s="284" t="e">
        <f>IF(VLOOKUP(T_Convention[[#This Row],[NumL]],T_TraitDi[#Data],COLUMN(T_TraitDi[Colonne26]),FALSE)=0,"",TEXT(IFERROR(VLOOKUP(T_Convention[[#This Row],[NumL]],T_TraitDi[#Data],COLUMN(T_TraitDi[Colonne26]),FALSE),""),"[hh]:mm"))</f>
        <v>#N/A</v>
      </c>
      <c r="BB128" s="284" t="str">
        <f>IFERROR(VLOOKUP(T_Convention[[#This Row],[NumL]],T_TraitDi[#Data],COLUMN(T_TraitDi[Vendredi]),FALSE),"")</f>
        <v/>
      </c>
      <c r="BC128" s="284" t="e">
        <f>IF(VLOOKUP(T_Convention[[#This Row],[NumL]],T_TraitDi[#Data],COLUMN(T_TraitDi[Colonne27]),FALSE)=0,"",TEXT(IFERROR(VLOOKUP(T_Convention[[#This Row],[NumL]],T_TraitDi[#Data],COLUMN(T_TraitDi[Colonne27]),FALSE),""),"[hh]:mm"))</f>
        <v>#N/A</v>
      </c>
      <c r="BD128" s="284" t="e">
        <f>IF(VLOOKUP(T_Convention[[#This Row],[NumL]],T_TraitDi[#Data],COLUMN(T_TraitDi[Colonne28]),FALSE)=0,"",TEXT(IFERROR(VLOOKUP(T_Convention[[#This Row],[NumL]],T_TraitDi[#Data],COLUMN(T_TraitDi[Colonne28]),FALSE),""),"[hh]:mm"))</f>
        <v>#N/A</v>
      </c>
      <c r="BE128" s="284" t="str">
        <f>IFERROR(VLOOKUP(T_Convention[[#This Row],[NumL]],T_TraitDi[#Data],COLUMN(T_TraitDi[Colonne29]),FALSE),"")</f>
        <v/>
      </c>
      <c r="BF128" s="284" t="e">
        <f>IF(VLOOKUP(T_Convention[[#This Row],[NumL]],T_TraitDi[#Data],COLUMN(T_TraitDi[Colonne30]),FALSE)=0,"",TEXT(IFERROR(VLOOKUP(T_Convention[[#This Row],[NumL]],T_TraitDi[#Data],COLUMN(T_TraitDi[Colonne30]),FALSE),""),"[hh]:mm"))</f>
        <v>#N/A</v>
      </c>
      <c r="BG128" s="284" t="e">
        <f>IF(VLOOKUP(T_Convention[[#This Row],[NumL]],T_TraitDi[#Data],COLUMN(T_TraitDi[Colonne31]),FALSE)=0,"",TEXT(IFERROR(VLOOKUP(T_Convention[[#This Row],[NumL]],T_TraitDi[#Data],COLUMN(T_TraitDi[Colonne31]),FALSE),""),"[hh]:mm"))</f>
        <v>#N/A</v>
      </c>
      <c r="BH128" s="284" t="e">
        <f>IF(VLOOKUP(T_Convention[[#This Row],[NumL]],T_TraitDi[#Data],COLUMN(T_TraitDi[Colonne32]),FALSE)=0,"",TEXT(IFERROR(VLOOKUP(T_Convention[[#This Row],[NumL]],T_TraitDi[#Data],COLUMN(T_TraitDi[Colonne32]),FALSE),""),"[hh]:mm"))</f>
        <v>#N/A</v>
      </c>
      <c r="BI128" s="284" t="str">
        <f>IFERROR(VLOOKUP(T_Convention[[#This Row],[NumL]],T_TraitDi[#Data],COLUMN(T_TraitDi[NbJTW]),FALSE),"")</f>
        <v/>
      </c>
      <c r="BJ128" s="284" t="e">
        <f>IF(VLOOKUP(T_Convention[[#This Row],[NumL]],T_TraitDi[#Data],COLUMN(T_TraitDi[NbhTW]),FALSE)=0,"",TEXT(IFERROR(VLOOKUP(T_Convention[[#This Row],[NumL]],T_TraitDi[#Data],COLUMN(T_TraitDi[NbhTW]),FALSE),""),"[hh]:mm"))</f>
        <v>#N/A</v>
      </c>
      <c r="BK128" s="286" t="e">
        <f>IF(VLOOKUP(T_Convention[[#This Row],[NumL]],T_TraitDi[#Data],COLUMN(T_TraitDi[Nbhheb]),FALSE)=0,"",TEXT(IFERROR(VLOOKUP(T_Convention[[#This Row],[NumL]],T_TraitDi[#Data],COLUMN(T_TraitDi[Nbhheb]),FALSE),""),"[hh]:mm"))</f>
        <v>#N/A</v>
      </c>
      <c r="BL128" s="287" t="str">
        <f>IFERROR(VLOOKUP(VLOOKUP(T_Convention[[#This Row],[NumL]],T_TraitDi[#Data],COLUMN(T_TraitDi[Type1]),FALSE),TypeTW,2,FALSE),"")</f>
        <v/>
      </c>
      <c r="BM128" s="288" t="str">
        <f>IFERROR(VLOOKUP(T_Convention[[#This Row],[NumL]],T_TraitDi[#Data],COLUMN(T_TraitDi[Rue1]),FALSE),"")</f>
        <v/>
      </c>
      <c r="BN128" s="289" t="str">
        <f>IFERROR(VLOOKUP(T_Convention[[#This Row],[NumL]],T_TraitDi[#Data],COLUMN(T_TraitDi[CP1]),FALSE),"")</f>
        <v/>
      </c>
      <c r="BO128" s="282" t="str">
        <f>IFERROR(VLOOKUP(T_Convention[[#This Row],[NumL]],T_TraitDi[#Data],COLUMN(T_TraitDi[VILLE1]),FALSE),"")</f>
        <v/>
      </c>
      <c r="BP128" s="290" t="str">
        <f>IFERROR(VLOOKUP(VLOOKUP(T_Convention[[#This Row],[NumL]],T_TraitDi[#Data],COLUMN(T_TraitDi[Type2]),FALSE),TypeTW,2,FALSE),"")</f>
        <v/>
      </c>
      <c r="BQ128" s="182" t="str">
        <f>IFERROR(VLOOKUP(T_Convention[[#This Row],[NumL]],T_TraitDi[#Data],COLUMN(T_TraitDi[Rue2]),FALSE),"")</f>
        <v/>
      </c>
      <c r="BR128" s="173" t="str">
        <f>IFERROR(VLOOKUP(T_Convention[[#This Row],[NumL]],T_TraitDi[#Data],COLUMN(T_TraitDi[CP2]),FALSE),"")</f>
        <v/>
      </c>
      <c r="BS128" s="173" t="str">
        <f>IFERROR(VLOOKUP(T_Convention[[#This Row],[NumL]],T_TraitDi[#Data],COLUMN(T_TraitDi[VILLE2]),FALSE),"")</f>
        <v/>
      </c>
      <c r="BT128" s="182" t="str">
        <f>IF(VLOOKUP(T_Convention[[#This Row],[NumL]],T_Equipement[#Data],COLUMN(T_Equipement[PC]),FALSE)="","Aucun équipement spécifique directement lié au télétravail",VLOOKUP(T_Convention[[#This Row],[NumL]],T_Equipement[#Data],COLUMN(T_Equipement[PC]),FALSE))</f>
        <v xml:space="preserve">20-280	</v>
      </c>
      <c r="BU128" s="166" t="str">
        <f>IFERROR(IF(VLOOKUP(T_Convention[[#This Row],[NumL]],T_TraitDi[#Data],COLUMN(T_TraitDi[Plan]),FALSE)="OK","Un planning spécifique de télétravail est annexé à la présente convention.",""),"")</f>
        <v/>
      </c>
      <c r="BV128" s="185" t="s">
        <v>3413</v>
      </c>
      <c r="BW128" s="164" t="e">
        <f>IF(VLOOKUP(T_Convention[[#This Row],[NumL]],T_suiviDi[#Data],COLUMN(T_suiviDi[Entité]),FALSE)="","",VLOOKUP(T_Convention[[#This Row],[NumL]],T_suiviDi[#Data],COLUMN(T_suiviDi[Entité]),FALSE))</f>
        <v>#N/A</v>
      </c>
      <c r="BX128" s="164" t="str">
        <f>IF(VLOOKUP(T_Convention[[#This Row],[NumL]],T_Commission[#Data],COLUMN(T_Commission[envoi confirm TW]),FALSE)="","",VLOOKUP(T_Convention[[#This Row],[NumL]],T_Commission[#Data],COLUMN(T_Commission[envoi confirm TW]),FALSE))</f>
        <v>Oui</v>
      </c>
      <c r="BY12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8" s="264">
        <f>VLOOKUP(T_Convention[[#This Row],[NumL]],T_Commission[#Data],COLUMN(T_Commission[Commentaire]),FALSE)</f>
        <v>0</v>
      </c>
      <c r="CA128" s="254" t="str">
        <f>IF(VLOOKUP(T_Convention[[#This Row],[NumL]],T_Commission[#Data],COLUMN(T_Commission[Encadrant Email]),FALSE)="","",VLOOKUP(T_Convention[[#This Row],[NumL]],T_Commission[#Data],COLUMN(T_Commission[Encadrant Email]),FALSE))</f>
        <v/>
      </c>
      <c r="CB128" s="352" t="e">
        <f>VLOOKUP(T_Convention[[#This Row],[NumL]],T_TraitDi[#Data],COLUMN(T_TraitDi[NbJTot]),FALSE)</f>
        <v>#N/A</v>
      </c>
      <c r="CC128" s="352" t="e">
        <f>VLOOKUP(T_Convention[[#This Row],[NumL]],T_TraitDi[#Data],COLUMN(T_TraitDi[Reg Ponct]),FALSE)</f>
        <v>#N/A</v>
      </c>
      <c r="CD128" s="348" t="str">
        <f>IF(T_Convention[[#This Row],[Final]]&lt;&gt;"",VLOOKUP(T_Convention[[#This Row],[NumL]],T_suiviDi[#Data],COLUMN((T_suiviDi[Statut])),FALSE),"")</f>
        <v/>
      </c>
    </row>
    <row r="129" spans="1:82" s="106" customFormat="1" ht="18.75" customHeight="1" x14ac:dyDescent="0.25">
      <c r="A129" s="160">
        <v>48</v>
      </c>
      <c r="B129" s="161" t="str">
        <f>VLOOKUP(T_Convention[[#This Row],[NumL]],T_Commission[#Data],COLUMN(T_Commission[FINAL]),FALSE)</f>
        <v/>
      </c>
      <c r="C129" s="162"/>
      <c r="D129" s="95" t="e">
        <f>IF(VLOOKUP(T_Convention[[#This Row],[NumL]],T_TraitDi[#Data],COLUMN(T_TraitDi[WebC]),FALSE)="","",VLOOKUP(T_Convention[[#This Row],[NumL]],T_TraitDi[#Data],COLUMN(T_TraitDi[WebC]),FALSE))</f>
        <v>#N/A</v>
      </c>
      <c r="E129" s="163" t="str">
        <f t="shared" si="5"/>
        <v>12 janvier 2021</v>
      </c>
      <c r="F129" s="282" t="str">
        <f>IF(T_Convention[[#This Row],[Final]]&lt;&gt;"",VLOOKUP(T_Convention[[#This Row],[NumL]],T_suiviDi[#Data],COLUMN((T_suiviDi[Civ.])),FALSE),"")</f>
        <v/>
      </c>
      <c r="G129" s="283" t="str">
        <f>IF(T_Convention[[#This Row],[Final]]&lt;&gt;"",VLOOKUP(T_Convention[[#This Row],[NumL]],T_suiviDi[#Data],COLUMN((T_suiviDi[Nom])),FALSE),"")</f>
        <v/>
      </c>
      <c r="H129" s="282" t="str">
        <f>IF(T_Convention[[#This Row],[Final]]&lt;&gt;"",VLOOKUP(T_Convention[[#This Row],[NumL]],T_suiviDi[#Data],COLUMN((T_suiviDi[Prénom])),FALSE),"")</f>
        <v/>
      </c>
      <c r="I129" s="282" t="e">
        <f>VLOOKUP(T_Convention[[#This Row],[NumL]],T_suiviDi[#Data],COLUMN((T_suiviDi[[#This Row],[Email]])),FALSE)</f>
        <v>#VALUE!</v>
      </c>
      <c r="J129" s="282" t="e">
        <f>IF(VLOOKUP(T_Convention[[#This Row],[NumL]],T_suiviDi[#Data],COLUMN(T_suiviDi[[#This Row],[Fonction]]),FALSE)="","",VLOOKUP(T_Convention[[#This Row],[NumL]],T_suiviDi[#Data],COLUMN(T_suiviDi[[#This Row],[Fonction]]),FALSE))</f>
        <v>#VALUE!</v>
      </c>
      <c r="K129" s="282" t="e">
        <f>IF(VLOOKUP(T_Convention[[#This Row],[NumL]],T_suiviDi[#Data],COLUMN(T_suiviDi[[#This Row],[Grade]]),FALSE)="","",VLOOKUP(T_Convention[[#This Row],[NumL]],T_suiviDi[#Data],COLUMN(T_suiviDi[[#This Row],[Grade]]),FALSE))</f>
        <v>#VALUE!</v>
      </c>
      <c r="L129" s="282" t="e">
        <f>IF(VLOOKUP(T_Convention[[#This Row],[NumL]],T_suiviDi[#Data],COLUMN(T_suiviDi[[#This Row],[Service ]]),FALSE)="","",VLOOKUP(T_Convention[[#This Row],[NumL]],T_suiviDi[#Data],COLUMN(T_suiviDi[[#This Row],[Service ]]),FALSE))</f>
        <v>#VALUE!</v>
      </c>
      <c r="M129" s="164" t="str">
        <f t="shared" si="6"/>
        <v>01 septembre 2021</v>
      </c>
      <c r="N129" s="164" t="str">
        <f t="shared" si="7"/>
        <v>30 novembre 2021</v>
      </c>
      <c r="O129" s="284" t="str">
        <f t="shared" si="8"/>
        <v>30 novembre 2021</v>
      </c>
      <c r="P129" s="282" t="e">
        <f>IF(VLOOKUP(T_Convention[[#This Row],[NumL]],T_TraitDi[#Data],COLUMN(T_TraitDi[M1]),FALSE)="","",VLOOKUP(T_Convention[[#This Row],[NumL]],T_TraitDi[#Data],COLUMN(T_TraitDi[M1]),FALSE))</f>
        <v>#N/A</v>
      </c>
      <c r="Q129" s="282" t="e">
        <f>IF(VLOOKUP(T_Convention[[#This Row],[NumL]],T_TraitDi[#Data],COLUMN(T_TraitDi[M2]),FALSE)="","",VLOOKUP(T_Convention[[#This Row],[NumL]],T_TraitDi[#Data],COLUMN(T_TraitDi[M2]),FALSE))</f>
        <v>#N/A</v>
      </c>
      <c r="R129" s="282" t="e">
        <f>IF(VLOOKUP(T_Convention[[#This Row],[NumL]],T_TraitDi[#Data],COLUMN(T_TraitDi[M3]),FALSE)="","",VLOOKUP(T_Convention[[#This Row],[NumL]],T_TraitDi[#Data],COLUMN(T_TraitDi[M3]),FALSE))</f>
        <v>#N/A</v>
      </c>
      <c r="S129" s="282" t="e">
        <f>IF(VLOOKUP(T_Convention[[#This Row],[NumL]],T_TraitDi[#Data],COLUMN(T_TraitDi[M4]),FALSE)="","",VLOOKUP(T_Convention[[#This Row],[NumL]],T_TraitDi[#Data],COLUMN(T_TraitDi[M4]),FALSE))</f>
        <v>#N/A</v>
      </c>
      <c r="T129" s="282" t="e">
        <f>IF(VLOOKUP(T_Convention[[#This Row],[NumL]],T_TraitDi[#Data],COLUMN(T_TraitDi[M5]),FALSE)="","",VLOOKUP(T_Convention[[#This Row],[NumL]],T_TraitDi[#Data],COLUMN(T_TraitDi[M5]),FALSE))</f>
        <v>#N/A</v>
      </c>
      <c r="U129" s="282" t="e">
        <f>IF(VLOOKUP(T_Convention[[#This Row],[NumL]],T_TraitDi[#Data],COLUMN(T_TraitDi[M6]),FALSE)="","",VLOOKUP(T_Convention[[#This Row],[NumL]],T_TraitDi[#Data],COLUMN(T_TraitDi[M6]),FALSE))</f>
        <v>#N/A</v>
      </c>
      <c r="V129" s="176" t="e">
        <f t="shared" si="9"/>
        <v>#N/A</v>
      </c>
      <c r="W129" s="284" t="str">
        <f>IFERROR(TEXT(VLOOKUP(T_Convention[[#This Row],[NumL]],T_TraitDi[#Data],COLUMN(T_TraitDi[Q2]),FALSE),"###%"),"")</f>
        <v/>
      </c>
      <c r="X129" s="97" t="e">
        <f>VLOOKUP(T_Convention[[#This Row],[NumL]],T_TraitDi[#Data],COLUMN(T_TraitDi[Reg Ponct]),FALSE)</f>
        <v>#N/A</v>
      </c>
      <c r="Y129" s="97" t="e">
        <f>VLOOKUP(T_Convention[NumL],T_TraitDi[#Data],COLUMN(T_TraitDi[Jours flottants]),FALSE)</f>
        <v>#N/A</v>
      </c>
      <c r="Z129" s="284" t="str">
        <f>IFERROR(VLOOKUP(T_Convention[[#This Row],[NumL]],T_TraitDi[#Data],COLUMN(T_TraitDi[Lundi]),FALSE),"")</f>
        <v/>
      </c>
      <c r="AA129" s="284" t="e">
        <f>IF(VLOOKUP(T_Convention[[#This Row],[NumL]],T_TraitDi[#Data],COLUMN(T_TraitDi[Colonne3]),FALSE)=0,"",TEXT(IFERROR(VLOOKUP(T_Convention[[#This Row],[NumL]],T_TraitDi[#Data],COLUMN(T_TraitDi[Colonne3]),FALSE),""),"[hh]:mm"))</f>
        <v>#N/A</v>
      </c>
      <c r="AB129" s="284" t="e">
        <f>IF(VLOOKUP(T_Convention[[#This Row],[NumL]],T_TraitDi[#Data],COLUMN(T_TraitDi[Colonne4]),FALSE)=0,"",TEXT(IFERROR(VLOOKUP(T_Convention[[#This Row],[NumL]],T_TraitDi[#Data],COLUMN(T_TraitDi[Colonne4]),FALSE),""),"[hh]:mm"))</f>
        <v>#N/A</v>
      </c>
      <c r="AC129" s="284" t="e">
        <f>IF(VLOOKUP(T_Convention[[#This Row],[NumL]],T_TraitDi[#Data],COLUMN(T_TraitDi[Colonne5]),FALSE)=0,"",TEXT(IFERROR(VLOOKUP(T_Convention[[#This Row],[NumL]],T_TraitDi[#Data],COLUMN(T_TraitDi[Colonne5]),FALSE),""),"[hh]:mm"))</f>
        <v>#N/A</v>
      </c>
      <c r="AD129" s="284" t="e">
        <f>IF(VLOOKUP(T_Convention[[#This Row],[NumL]],T_TraitDi[#Data],COLUMN(T_TraitDi[Colonne6]),FALSE)=0,"",TEXT(IFERROR(VLOOKUP(T_Convention[[#This Row],[NumL]],T_TraitDi[#Data],COLUMN(T_TraitDi[Colonne6]),FALSE),""),"[hh]:mm"))</f>
        <v>#N/A</v>
      </c>
      <c r="AE129" s="284" t="e">
        <f>IF(VLOOKUP(T_Convention[[#This Row],[NumL]],T_TraitDi[#Data],COLUMN(T_TraitDi[Colonne7]),FALSE)=0,"",TEXT(IFERROR(VLOOKUP(T_Convention[[#This Row],[NumL]],T_TraitDi[#Data],COLUMN(T_TraitDi[Colonne7]),FALSE),""),"[hh]:mm"))</f>
        <v>#N/A</v>
      </c>
      <c r="AF129" s="284" t="e">
        <f>IF(VLOOKUP(T_Convention[[#This Row],[NumL]],T_TraitDi[#Data],COLUMN(T_TraitDi[Colonne8]),FALSE)=0,"",TEXT(IFERROR(VLOOKUP(T_Convention[[#This Row],[NumL]],T_TraitDi[#Data],COLUMN(T_TraitDi[Colonne8]),FALSE),""),"[hh]:mm"))</f>
        <v>#N/A</v>
      </c>
      <c r="AG129" s="284" t="str">
        <f>IFERROR(VLOOKUP(T_Convention[[#This Row],[NumL]],T_TraitDi[#Data],COLUMN(T_TraitDi[Mardi]),FALSE),"")</f>
        <v/>
      </c>
      <c r="AH129" s="284" t="e">
        <f>IF(VLOOKUP(T_Convention[[#This Row],[NumL]],T_TraitDi[#Data],COLUMN(T_TraitDi[Colonne1]),FALSE)=0,"",TEXT(IFERROR(VLOOKUP(T_Convention[[#This Row],[NumL]],T_TraitDi[#Data],COLUMN(T_TraitDi[Colonne1]),FALSE),""),"[hh]:mm"))</f>
        <v>#N/A</v>
      </c>
      <c r="AI129" s="284" t="e">
        <f>IF(VLOOKUP(T_Convention[[#This Row],[NumL]],T_TraitDi[#Data],COLUMN(T_TraitDi[Colonne9]),FALSE)=0,"",TEXT(IFERROR(VLOOKUP(T_Convention[[#This Row],[NumL]],T_TraitDi[#Data],COLUMN(T_TraitDi[Colonne9]),FALSE),""),"[hh]:mm"))</f>
        <v>#N/A</v>
      </c>
      <c r="AJ129" s="284" t="str">
        <f>IFERROR(VLOOKUP(T_Convention[[#This Row],[NumL]],T_TraitDi[#Data],COLUMN(T_TraitDi[Colonne10]),FALSE),"")</f>
        <v/>
      </c>
      <c r="AK129" s="284" t="e">
        <f>IF(VLOOKUP(T_Convention[[#This Row],[NumL]],T_TraitDi[#Data],COLUMN(T_TraitDi[Colonne11]),FALSE)=0,"",TEXT(IFERROR(VLOOKUP(T_Convention[[#This Row],[NumL]],T_TraitDi[#Data],COLUMN(T_TraitDi[Colonne11]),FALSE),""),"[hh]:mm"))</f>
        <v>#N/A</v>
      </c>
      <c r="AL129" s="284" t="e">
        <f>IF(VLOOKUP(T_Convention[[#This Row],[NumL]],T_TraitDi[#Data],COLUMN(T_TraitDi[Colonne12]),FALSE)=0,"",TEXT(IFERROR(VLOOKUP(T_Convention[[#This Row],[NumL]],T_TraitDi[#Data],COLUMN(T_TraitDi[Colonne12]),FALSE),""),"[hh]:mm"))</f>
        <v>#N/A</v>
      </c>
      <c r="AM129" s="284" t="e">
        <f>IF(VLOOKUP(T_Convention[[#This Row],[NumL]],T_TraitDi[#Data],COLUMN(T_TraitDi[Colonne14]),FALSE)=0,"",TEXT(IFERROR(VLOOKUP(T_Convention[[#This Row],[NumL]],T_TraitDi[#Data],COLUMN(T_TraitDi[Colonne14]),FALSE),""),"[hh]:mm"))</f>
        <v>#N/A</v>
      </c>
      <c r="AN129" s="284" t="str">
        <f>IFERROR(VLOOKUP(T_Convention[[#This Row],[NumL]],T_TraitDi[#Data],COLUMN(T_TraitDi[Mercredi]),FALSE),"")</f>
        <v/>
      </c>
      <c r="AO129" s="284" t="e">
        <f>IF(VLOOKUP(T_Convention[[#This Row],[NumL]],T_TraitDi[#Data],COLUMN(T_TraitDi[Colonne15]),FALSE)=0,"",TEXT(IFERROR(VLOOKUP(T_Convention[[#This Row],[NumL]],T_TraitDi[#Data],COLUMN(T_TraitDi[Colonne15]),FALSE),""),"[hh]:mm"))</f>
        <v>#N/A</v>
      </c>
      <c r="AP129" s="284" t="e">
        <f>IF(VLOOKUP(T_Convention[[#This Row],[NumL]],T_TraitDi[#Data],COLUMN(T_TraitDi[Colonne16]),FALSE)=0,"",TEXT(IFERROR(VLOOKUP(T_Convention[[#This Row],[NumL]],T_TraitDi[#Data],COLUMN(T_TraitDi[Colonne16]),FALSE),""),"[hh]:mm"))</f>
        <v>#N/A</v>
      </c>
      <c r="AQ129" s="284" t="str">
        <f>IFERROR(VLOOKUP(T_Convention[[#This Row],[NumL]],T_TraitDi[#Data],COLUMN(T_TraitDi[Colonne17]),FALSE),"")</f>
        <v/>
      </c>
      <c r="AR129" s="284" t="e">
        <f>IF(VLOOKUP(T_Convention[[#This Row],[NumL]],T_TraitDi[#Data],COLUMN(T_TraitDi[Colonne18]),FALSE)=0,"",TEXT(IFERROR(VLOOKUP(T_Convention[[#This Row],[NumL]],T_TraitDi[#Data],COLUMN(T_TraitDi[Colonne18]),FALSE),""),"[hh]:mm"))</f>
        <v>#N/A</v>
      </c>
      <c r="AS129" s="284" t="e">
        <f>IF(VLOOKUP(T_Convention[[#This Row],[NumL]],T_TraitDi[#Data],COLUMN(T_TraitDi[Colonne19]),FALSE)=0,"",TEXT(IFERROR(VLOOKUP(T_Convention[[#This Row],[NumL]],T_TraitDi[#Data],COLUMN(T_TraitDi[Colonne19]),FALSE),""),"[hh]:mm"))</f>
        <v>#N/A</v>
      </c>
      <c r="AT129" s="284" t="e">
        <f>IF(VLOOKUP(T_Convention[[#This Row],[NumL]],T_TraitDi[#Data],COLUMN(T_TraitDi[Colonne20]),FALSE)=0,"",TEXT(IFERROR(VLOOKUP(T_Convention[[#This Row],[NumL]],T_TraitDi[#Data],COLUMN(T_TraitDi[Colonne20]),FALSE),""),"[hh]:mm"))</f>
        <v>#N/A</v>
      </c>
      <c r="AU129" s="284" t="str">
        <f>IFERROR(VLOOKUP(T_Convention[[#This Row],[NumL]],T_TraitDi[#Data],COLUMN(T_TraitDi[Jeudi]),FALSE),"")</f>
        <v/>
      </c>
      <c r="AV129" s="284" t="e">
        <f>IF(VLOOKUP(T_Convention[[#This Row],[NumL]],T_TraitDi[#Data],COLUMN(T_TraitDi[Colonne21]),FALSE)=0,"",TEXT(IFERROR(VLOOKUP(T_Convention[[#This Row],[NumL]],T_TraitDi[#Data],COLUMN(T_TraitDi[Colonne21]),FALSE),""),"[hh]:mm"))</f>
        <v>#N/A</v>
      </c>
      <c r="AW129" s="284" t="e">
        <f>IF(VLOOKUP(T_Convention[[#This Row],[NumL]],T_TraitDi[#Data],COLUMN(T_TraitDi[Colonne22]),FALSE)=0,"",TEXT(IFERROR(VLOOKUP(T_Convention[[#This Row],[NumL]],T_TraitDi[#Data],COLUMN(T_TraitDi[Colonne22]),FALSE),""),"[hh]:mm"))</f>
        <v>#N/A</v>
      </c>
      <c r="AX129" s="284" t="str">
        <f>IFERROR(VLOOKUP(T_Convention[[#This Row],[NumL]],T_TraitDi[#Data],COLUMN(T_TraitDi[Colonne23]),FALSE),"")</f>
        <v/>
      </c>
      <c r="AY129" s="284" t="e">
        <f>IF(VLOOKUP(T_Convention[[#This Row],[NumL]],T_TraitDi[#Data],COLUMN(T_TraitDi[Colonne24]),FALSE)=0,"",TEXT(IFERROR(VLOOKUP(T_Convention[[#This Row],[NumL]],T_TraitDi[#Data],COLUMN(T_TraitDi[Colonne24]),FALSE),""),"[hh]:mm"))</f>
        <v>#N/A</v>
      </c>
      <c r="AZ129" s="284" t="e">
        <f>IF(VLOOKUP(T_Convention[[#This Row],[NumL]],T_TraitDi[#Data],COLUMN(T_TraitDi[Colonne25]),FALSE)=0,"",TEXT(IFERROR(VLOOKUP(T_Convention[[#This Row],[NumL]],T_TraitDi[#Data],COLUMN(T_TraitDi[Colonne25]),FALSE),""),"[hh]:mm"))</f>
        <v>#N/A</v>
      </c>
      <c r="BA129" s="284" t="e">
        <f>IF(VLOOKUP(T_Convention[[#This Row],[NumL]],T_TraitDi[#Data],COLUMN(T_TraitDi[Colonne26]),FALSE)=0,"",TEXT(IFERROR(VLOOKUP(T_Convention[[#This Row],[NumL]],T_TraitDi[#Data],COLUMN(T_TraitDi[Colonne26]),FALSE),""),"[hh]:mm"))</f>
        <v>#N/A</v>
      </c>
      <c r="BB129" s="284" t="str">
        <f>IFERROR(VLOOKUP(T_Convention[[#This Row],[NumL]],T_TraitDi[#Data],COLUMN(T_TraitDi[Vendredi]),FALSE),"")</f>
        <v/>
      </c>
      <c r="BC129" s="284" t="e">
        <f>IF(VLOOKUP(T_Convention[[#This Row],[NumL]],T_TraitDi[#Data],COLUMN(T_TraitDi[Colonne27]),FALSE)=0,"",TEXT(IFERROR(VLOOKUP(T_Convention[[#This Row],[NumL]],T_TraitDi[#Data],COLUMN(T_TraitDi[Colonne27]),FALSE),""),"[hh]:mm"))</f>
        <v>#N/A</v>
      </c>
      <c r="BD129" s="284" t="e">
        <f>IF(VLOOKUP(T_Convention[[#This Row],[NumL]],T_TraitDi[#Data],COLUMN(T_TraitDi[Colonne28]),FALSE)=0,"",TEXT(IFERROR(VLOOKUP(T_Convention[[#This Row],[NumL]],T_TraitDi[#Data],COLUMN(T_TraitDi[Colonne28]),FALSE),""),"[hh]:mm"))</f>
        <v>#N/A</v>
      </c>
      <c r="BE129" s="284" t="str">
        <f>IFERROR(VLOOKUP(T_Convention[[#This Row],[NumL]],T_TraitDi[#Data],COLUMN(T_TraitDi[Colonne29]),FALSE),"")</f>
        <v/>
      </c>
      <c r="BF129" s="284" t="e">
        <f>IF(VLOOKUP(T_Convention[[#This Row],[NumL]],T_TraitDi[#Data],COLUMN(T_TraitDi[Colonne30]),FALSE)=0,"",TEXT(IFERROR(VLOOKUP(T_Convention[[#This Row],[NumL]],T_TraitDi[#Data],COLUMN(T_TraitDi[Colonne30]),FALSE),""),"[hh]:mm"))</f>
        <v>#N/A</v>
      </c>
      <c r="BG129" s="284" t="e">
        <f>IF(VLOOKUP(T_Convention[[#This Row],[NumL]],T_TraitDi[#Data],COLUMN(T_TraitDi[Colonne31]),FALSE)=0,"",TEXT(IFERROR(VLOOKUP(T_Convention[[#This Row],[NumL]],T_TraitDi[#Data],COLUMN(T_TraitDi[Colonne31]),FALSE),""),"[hh]:mm"))</f>
        <v>#N/A</v>
      </c>
      <c r="BH129" s="284" t="e">
        <f>IF(VLOOKUP(T_Convention[[#This Row],[NumL]],T_TraitDi[#Data],COLUMN(T_TraitDi[Colonne32]),FALSE)=0,"",TEXT(IFERROR(VLOOKUP(T_Convention[[#This Row],[NumL]],T_TraitDi[#Data],COLUMN(T_TraitDi[Colonne32]),FALSE),""),"[hh]:mm"))</f>
        <v>#N/A</v>
      </c>
      <c r="BI129" s="284" t="str">
        <f>IFERROR(VLOOKUP(T_Convention[[#This Row],[NumL]],T_TraitDi[#Data],COLUMN(T_TraitDi[NbJTW]),FALSE),"")</f>
        <v/>
      </c>
      <c r="BJ129" s="284" t="e">
        <f>IF(VLOOKUP(T_Convention[[#This Row],[NumL]],T_TraitDi[#Data],COLUMN(T_TraitDi[NbhTW]),FALSE)=0,"",TEXT(IFERROR(VLOOKUP(T_Convention[[#This Row],[NumL]],T_TraitDi[#Data],COLUMN(T_TraitDi[NbhTW]),FALSE),""),"[hh]:mm"))</f>
        <v>#N/A</v>
      </c>
      <c r="BK129" s="286" t="e">
        <f>IF(VLOOKUP(T_Convention[[#This Row],[NumL]],T_TraitDi[#Data],COLUMN(T_TraitDi[Nbhheb]),FALSE)=0,"",TEXT(IFERROR(VLOOKUP(T_Convention[[#This Row],[NumL]],T_TraitDi[#Data],COLUMN(T_TraitDi[Nbhheb]),FALSE),""),"[hh]:mm"))</f>
        <v>#N/A</v>
      </c>
      <c r="BL129" s="287" t="str">
        <f>IFERROR(VLOOKUP(VLOOKUP(T_Convention[[#This Row],[NumL]],T_TraitDi[#Data],COLUMN(T_TraitDi[Type1]),FALSE),TypeTW,2,FALSE),"")</f>
        <v/>
      </c>
      <c r="BM129" s="288" t="str">
        <f>IFERROR(VLOOKUP(T_Convention[[#This Row],[NumL]],T_TraitDi[#Data],COLUMN(T_TraitDi[Rue1]),FALSE),"")</f>
        <v/>
      </c>
      <c r="BN129" s="289" t="str">
        <f>IFERROR(VLOOKUP(T_Convention[[#This Row],[NumL]],T_TraitDi[#Data],COLUMN(T_TraitDi[CP1]),FALSE),"")</f>
        <v/>
      </c>
      <c r="BO129" s="282" t="str">
        <f>IFERROR(VLOOKUP(T_Convention[[#This Row],[NumL]],T_TraitDi[#Data],COLUMN(T_TraitDi[VILLE1]),FALSE),"")</f>
        <v/>
      </c>
      <c r="BP129" s="290" t="str">
        <f>IFERROR(VLOOKUP(VLOOKUP(T_Convention[[#This Row],[NumL]],T_TraitDi[#Data],COLUMN(T_TraitDi[Type2]),FALSE),TypeTW,2,FALSE),"")</f>
        <v/>
      </c>
      <c r="BQ129" s="182" t="str">
        <f>IFERROR(VLOOKUP(T_Convention[[#This Row],[NumL]],T_TraitDi[#Data],COLUMN(T_TraitDi[Rue2]),FALSE),"")</f>
        <v/>
      </c>
      <c r="BR129" s="173" t="str">
        <f>IFERROR(VLOOKUP(T_Convention[[#This Row],[NumL]],T_TraitDi[#Data],COLUMN(T_TraitDi[CP2]),FALSE),"")</f>
        <v/>
      </c>
      <c r="BS129" s="173" t="str">
        <f>IFERROR(VLOOKUP(T_Convention[[#This Row],[NumL]],T_TraitDi[#Data],COLUMN(T_TraitDi[VILLE2]),FALSE),"")</f>
        <v/>
      </c>
      <c r="BT129" s="182" t="str">
        <f>IF(VLOOKUP(T_Convention[[#This Row],[NumL]],T_Equipement[#Data],COLUMN(T_Equipement[PC]),FALSE)="","Aucun équipement spécifique directement lié au télétravail",VLOOKUP(T_Convention[[#This Row],[NumL]],T_Equipement[#Data],COLUMN(T_Equipement[PC]),FALSE))</f>
        <v xml:space="preserve">19-601	</v>
      </c>
      <c r="BU129" s="166" t="str">
        <f>IFERROR(IF(VLOOKUP(T_Convention[[#This Row],[NumL]],T_TraitDi[#Data],COLUMN(T_TraitDi[Plan]),FALSE)="OK","Un planning spécifique de télétravail est annexé à la présente convention.",""),"")</f>
        <v/>
      </c>
      <c r="BV129" s="185" t="s">
        <v>3312</v>
      </c>
      <c r="BW129" s="164" t="e">
        <f>IF(VLOOKUP(T_Convention[[#This Row],[NumL]],T_suiviDi[#Data],COLUMN(T_suiviDi[Entité]),FALSE)="","",VLOOKUP(T_Convention[[#This Row],[NumL]],T_suiviDi[#Data],COLUMN(T_suiviDi[Entité]),FALSE))</f>
        <v>#N/A</v>
      </c>
      <c r="BX129" s="164" t="str">
        <f>IF(VLOOKUP(T_Convention[[#This Row],[NumL]],T_Commission[#Data],COLUMN(T_Commission[envoi confirm TW]),FALSE)="","",VLOOKUP(T_Convention[[#This Row],[NumL]],T_Commission[#Data],COLUMN(T_Commission[envoi confirm TW]),FALSE))</f>
        <v>Oui</v>
      </c>
      <c r="BY12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29" s="264">
        <f>VLOOKUP(T_Convention[[#This Row],[NumL]],T_Commission[#Data],COLUMN(T_Commission[Commentaire]),FALSE)</f>
        <v>0</v>
      </c>
      <c r="CA129" s="254" t="str">
        <f>IF(VLOOKUP(T_Convention[[#This Row],[NumL]],T_Commission[#Data],COLUMN(T_Commission[Encadrant Email]),FALSE)="","",VLOOKUP(T_Convention[[#This Row],[NumL]],T_Commission[#Data],COLUMN(T_Commission[Encadrant Email]),FALSE))</f>
        <v/>
      </c>
      <c r="CB129" s="352" t="e">
        <f>VLOOKUP(T_Convention[[#This Row],[NumL]],T_TraitDi[#Data],COLUMN(T_TraitDi[NbJTot]),FALSE)</f>
        <v>#N/A</v>
      </c>
      <c r="CC129" s="352" t="e">
        <f>VLOOKUP(T_Convention[[#This Row],[NumL]],T_TraitDi[#Data],COLUMN(T_TraitDi[Reg Ponct]),FALSE)</f>
        <v>#N/A</v>
      </c>
      <c r="CD129" s="348" t="str">
        <f>IF(T_Convention[[#This Row],[Final]]&lt;&gt;"",VLOOKUP(T_Convention[[#This Row],[NumL]],T_suiviDi[#Data],COLUMN((T_suiviDi[Statut])),FALSE),"")</f>
        <v/>
      </c>
    </row>
    <row r="130" spans="1:82" s="106" customFormat="1" ht="18.75" customHeight="1" x14ac:dyDescent="0.25">
      <c r="A130" s="160">
        <v>13</v>
      </c>
      <c r="B130" s="161" t="str">
        <f>VLOOKUP(T_Convention[[#This Row],[NumL]],T_Commission[#Data],COLUMN(T_Commission[FINAL]),FALSE)</f>
        <v/>
      </c>
      <c r="C130" s="162"/>
      <c r="D130" s="95" t="e">
        <f>IF(VLOOKUP(T_Convention[[#This Row],[NumL]],T_TraitDi[#Data],COLUMN(T_TraitDi[WebC]),FALSE)="","",VLOOKUP(T_Convention[[#This Row],[NumL]],T_TraitDi[#Data],COLUMN(T_TraitDi[WebC]),FALSE))</f>
        <v>#N/A</v>
      </c>
      <c r="E130" s="174" t="str">
        <f t="shared" si="5"/>
        <v>12 janvier 2021</v>
      </c>
      <c r="F130" s="282" t="str">
        <f>IF(T_Convention[[#This Row],[Final]]&lt;&gt;"",VLOOKUP(T_Convention[[#This Row],[NumL]],T_suiviDi[#Data],COLUMN((T_suiviDi[Civ.])),FALSE),"")</f>
        <v/>
      </c>
      <c r="G130" s="283" t="str">
        <f>IF(T_Convention[[#This Row],[Final]]&lt;&gt;"",VLOOKUP(T_Convention[[#This Row],[NumL]],T_suiviDi[#Data],COLUMN((T_suiviDi[Nom])),FALSE),"")</f>
        <v/>
      </c>
      <c r="H130" s="282" t="str">
        <f>IF(T_Convention[[#This Row],[Final]]&lt;&gt;"",VLOOKUP(T_Convention[[#This Row],[NumL]],T_suiviDi[#Data],COLUMN((T_suiviDi[Prénom])),FALSE),"")</f>
        <v/>
      </c>
      <c r="I130" s="282" t="e">
        <f>VLOOKUP(T_Convention[[#This Row],[NumL]],T_suiviDi[#Data],COLUMN((T_suiviDi[[#This Row],[Email]])),FALSE)</f>
        <v>#VALUE!</v>
      </c>
      <c r="J130" s="282" t="e">
        <f>IF(VLOOKUP(T_Convention[[#This Row],[NumL]],T_suiviDi[#Data],COLUMN(T_suiviDi[[#This Row],[Fonction]]),FALSE)="","",VLOOKUP(T_Convention[[#This Row],[NumL]],T_suiviDi[#Data],COLUMN(T_suiviDi[[#This Row],[Fonction]]),FALSE))</f>
        <v>#VALUE!</v>
      </c>
      <c r="K130" s="282" t="e">
        <f>IF(VLOOKUP(T_Convention[[#This Row],[NumL]],T_suiviDi[#Data],COLUMN(T_suiviDi[[#This Row],[Grade]]),FALSE)="","",VLOOKUP(T_Convention[[#This Row],[NumL]],T_suiviDi[#Data],COLUMN(T_suiviDi[[#This Row],[Grade]]),FALSE))</f>
        <v>#VALUE!</v>
      </c>
      <c r="L130" s="282" t="e">
        <f>IF(VLOOKUP(T_Convention[[#This Row],[NumL]],T_suiviDi[#Data],COLUMN(T_suiviDi[[#This Row],[Service ]]),FALSE)="","",VLOOKUP(T_Convention[[#This Row],[NumL]],T_suiviDi[#Data],COLUMN(T_suiviDi[[#This Row],[Service ]]),FALSE))</f>
        <v>#VALUE!</v>
      </c>
      <c r="M130" s="176" t="str">
        <f t="shared" si="6"/>
        <v>01 septembre 2021</v>
      </c>
      <c r="N130" s="176" t="str">
        <f t="shared" si="7"/>
        <v>30 novembre 2021</v>
      </c>
      <c r="O130" s="284" t="str">
        <f t="shared" si="8"/>
        <v>30 novembre 2021</v>
      </c>
      <c r="P130" s="282" t="e">
        <f>IF(VLOOKUP(T_Convention[[#This Row],[NumL]],T_TraitDi[#Data],COLUMN(T_TraitDi[M1]),FALSE)="","",VLOOKUP(T_Convention[[#This Row],[NumL]],T_TraitDi[#Data],COLUMN(T_TraitDi[M1]),FALSE))</f>
        <v>#N/A</v>
      </c>
      <c r="Q130" s="282" t="e">
        <f>IF(VLOOKUP(T_Convention[[#This Row],[NumL]],T_TraitDi[#Data],COLUMN(T_TraitDi[M2]),FALSE)="","",VLOOKUP(T_Convention[[#This Row],[NumL]],T_TraitDi[#Data],COLUMN(T_TraitDi[M2]),FALSE))</f>
        <v>#N/A</v>
      </c>
      <c r="R130" s="282" t="e">
        <f>IF(VLOOKUP(T_Convention[[#This Row],[NumL]],T_TraitDi[#Data],COLUMN(T_TraitDi[M3]),FALSE)="","",VLOOKUP(T_Convention[[#This Row],[NumL]],T_TraitDi[#Data],COLUMN(T_TraitDi[M3]),FALSE))</f>
        <v>#N/A</v>
      </c>
      <c r="S130" s="282" t="e">
        <f>IF(VLOOKUP(T_Convention[[#This Row],[NumL]],T_TraitDi[#Data],COLUMN(T_TraitDi[M4]),FALSE)="","",VLOOKUP(T_Convention[[#This Row],[NumL]],T_TraitDi[#Data],COLUMN(T_TraitDi[M4]),FALSE))</f>
        <v>#N/A</v>
      </c>
      <c r="T130" s="282" t="e">
        <f>IF(VLOOKUP(T_Convention[[#This Row],[NumL]],T_TraitDi[#Data],COLUMN(T_TraitDi[M5]),FALSE)="","",VLOOKUP(T_Convention[[#This Row],[NumL]],T_TraitDi[#Data],COLUMN(T_TraitDi[M5]),FALSE))</f>
        <v>#N/A</v>
      </c>
      <c r="U130" s="282" t="e">
        <f>IF(VLOOKUP(T_Convention[[#This Row],[NumL]],T_TraitDi[#Data],COLUMN(T_TraitDi[M6]),FALSE)="","",VLOOKUP(T_Convention[[#This Row],[NumL]],T_TraitDi[#Data],COLUMN(T_TraitDi[M6]),FALSE))</f>
        <v>#N/A</v>
      </c>
      <c r="V130" s="176" t="e">
        <f t="shared" si="9"/>
        <v>#N/A</v>
      </c>
      <c r="W130" s="284" t="str">
        <f>IFERROR(TEXT(VLOOKUP(T_Convention[[#This Row],[NumL]],T_TraitDi[#Data],COLUMN(T_TraitDi[Q2]),FALSE),"###%"),"")</f>
        <v/>
      </c>
      <c r="X130" s="97" t="e">
        <f>VLOOKUP(T_Convention[[#This Row],[NumL]],T_TraitDi[#Data],COLUMN(T_TraitDi[Reg Ponct]),FALSE)</f>
        <v>#N/A</v>
      </c>
      <c r="Y130" s="97" t="e">
        <f>VLOOKUP(T_Convention[NumL],T_TraitDi[#Data],COLUMN(T_TraitDi[Jours flottants]),FALSE)</f>
        <v>#N/A</v>
      </c>
      <c r="Z130" s="284" t="str">
        <f>IFERROR(VLOOKUP(T_Convention[[#This Row],[NumL]],T_TraitDi[#Data],COLUMN(T_TraitDi[Lundi]),FALSE),"")</f>
        <v/>
      </c>
      <c r="AA130" s="284" t="e">
        <f>IF(VLOOKUP(T_Convention[[#This Row],[NumL]],T_TraitDi[#Data],COLUMN(T_TraitDi[Colonne3]),FALSE)=0,"",TEXT(IFERROR(VLOOKUP(T_Convention[[#This Row],[NumL]],T_TraitDi[#Data],COLUMN(T_TraitDi[Colonne3]),FALSE),""),"[hh]:mm"))</f>
        <v>#N/A</v>
      </c>
      <c r="AB130" s="284" t="e">
        <f>IF(VLOOKUP(T_Convention[[#This Row],[NumL]],T_TraitDi[#Data],COLUMN(T_TraitDi[Colonne4]),FALSE)=0,"",TEXT(IFERROR(VLOOKUP(T_Convention[[#This Row],[NumL]],T_TraitDi[#Data],COLUMN(T_TraitDi[Colonne4]),FALSE),""),"[hh]:mm"))</f>
        <v>#N/A</v>
      </c>
      <c r="AC130" s="284" t="e">
        <f>IF(VLOOKUP(T_Convention[[#This Row],[NumL]],T_TraitDi[#Data],COLUMN(T_TraitDi[Colonne5]),FALSE)=0,"",TEXT(IFERROR(VLOOKUP(T_Convention[[#This Row],[NumL]],T_TraitDi[#Data],COLUMN(T_TraitDi[Colonne5]),FALSE),""),"[hh]:mm"))</f>
        <v>#N/A</v>
      </c>
      <c r="AD130" s="284" t="e">
        <f>IF(VLOOKUP(T_Convention[[#This Row],[NumL]],T_TraitDi[#Data],COLUMN(T_TraitDi[Colonne6]),FALSE)=0,"",TEXT(IFERROR(VLOOKUP(T_Convention[[#This Row],[NumL]],T_TraitDi[#Data],COLUMN(T_TraitDi[Colonne6]),FALSE),""),"[hh]:mm"))</f>
        <v>#N/A</v>
      </c>
      <c r="AE130" s="284" t="e">
        <f>IF(VLOOKUP(T_Convention[[#This Row],[NumL]],T_TraitDi[#Data],COLUMN(T_TraitDi[Colonne7]),FALSE)=0,"",TEXT(IFERROR(VLOOKUP(T_Convention[[#This Row],[NumL]],T_TraitDi[#Data],COLUMN(T_TraitDi[Colonne7]),FALSE),""),"[hh]:mm"))</f>
        <v>#N/A</v>
      </c>
      <c r="AF130" s="284" t="e">
        <f>IF(VLOOKUP(T_Convention[[#This Row],[NumL]],T_TraitDi[#Data],COLUMN(T_TraitDi[Colonne8]),FALSE)=0,"",TEXT(IFERROR(VLOOKUP(T_Convention[[#This Row],[NumL]],T_TraitDi[#Data],COLUMN(T_TraitDi[Colonne8]),FALSE),""),"[hh]:mm"))</f>
        <v>#N/A</v>
      </c>
      <c r="AG130" s="284" t="str">
        <f>IFERROR(VLOOKUP(T_Convention[[#This Row],[NumL]],T_TraitDi[#Data],COLUMN(T_TraitDi[Mardi]),FALSE),"")</f>
        <v/>
      </c>
      <c r="AH130" s="284" t="e">
        <f>IF(VLOOKUP(T_Convention[[#This Row],[NumL]],T_TraitDi[#Data],COLUMN(T_TraitDi[Colonne1]),FALSE)=0,"",TEXT(IFERROR(VLOOKUP(T_Convention[[#This Row],[NumL]],T_TraitDi[#Data],COLUMN(T_TraitDi[Colonne1]),FALSE),""),"[hh]:mm"))</f>
        <v>#N/A</v>
      </c>
      <c r="AI130" s="284" t="e">
        <f>IF(VLOOKUP(T_Convention[[#This Row],[NumL]],T_TraitDi[#Data],COLUMN(T_TraitDi[Colonne9]),FALSE)=0,"",TEXT(IFERROR(VLOOKUP(T_Convention[[#This Row],[NumL]],T_TraitDi[#Data],COLUMN(T_TraitDi[Colonne9]),FALSE),""),"[hh]:mm"))</f>
        <v>#N/A</v>
      </c>
      <c r="AJ130" s="284" t="str">
        <f>IFERROR(VLOOKUP(T_Convention[[#This Row],[NumL]],T_TraitDi[#Data],COLUMN(T_TraitDi[Colonne10]),FALSE),"")</f>
        <v/>
      </c>
      <c r="AK130" s="284" t="e">
        <f>IF(VLOOKUP(T_Convention[[#This Row],[NumL]],T_TraitDi[#Data],COLUMN(T_TraitDi[Colonne11]),FALSE)=0,"",TEXT(IFERROR(VLOOKUP(T_Convention[[#This Row],[NumL]],T_TraitDi[#Data],COLUMN(T_TraitDi[Colonne11]),FALSE),""),"[hh]:mm"))</f>
        <v>#N/A</v>
      </c>
      <c r="AL130" s="284" t="e">
        <f>IF(VLOOKUP(T_Convention[[#This Row],[NumL]],T_TraitDi[#Data],COLUMN(T_TraitDi[Colonne12]),FALSE)=0,"",TEXT(IFERROR(VLOOKUP(T_Convention[[#This Row],[NumL]],T_TraitDi[#Data],COLUMN(T_TraitDi[Colonne12]),FALSE),""),"[hh]:mm"))</f>
        <v>#N/A</v>
      </c>
      <c r="AM130" s="284" t="e">
        <f>IF(VLOOKUP(T_Convention[[#This Row],[NumL]],T_TraitDi[#Data],COLUMN(T_TraitDi[Colonne14]),FALSE)=0,"",TEXT(IFERROR(VLOOKUP(T_Convention[[#This Row],[NumL]],T_TraitDi[#Data],COLUMN(T_TraitDi[Colonne14]),FALSE),""),"[hh]:mm"))</f>
        <v>#N/A</v>
      </c>
      <c r="AN130" s="284" t="str">
        <f>IFERROR(VLOOKUP(T_Convention[[#This Row],[NumL]],T_TraitDi[#Data],COLUMN(T_TraitDi[Mercredi]),FALSE),"")</f>
        <v/>
      </c>
      <c r="AO130" s="284" t="e">
        <f>IF(VLOOKUP(T_Convention[[#This Row],[NumL]],T_TraitDi[#Data],COLUMN(T_TraitDi[Colonne15]),FALSE)=0,"",TEXT(IFERROR(VLOOKUP(T_Convention[[#This Row],[NumL]],T_TraitDi[#Data],COLUMN(T_TraitDi[Colonne15]),FALSE),""),"[hh]:mm"))</f>
        <v>#N/A</v>
      </c>
      <c r="AP130" s="284" t="e">
        <f>IF(VLOOKUP(T_Convention[[#This Row],[NumL]],T_TraitDi[#Data],COLUMN(T_TraitDi[Colonne16]),FALSE)=0,"",TEXT(IFERROR(VLOOKUP(T_Convention[[#This Row],[NumL]],T_TraitDi[#Data],COLUMN(T_TraitDi[Colonne16]),FALSE),""),"[hh]:mm"))</f>
        <v>#N/A</v>
      </c>
      <c r="AQ130" s="284" t="str">
        <f>IFERROR(VLOOKUP(T_Convention[[#This Row],[NumL]],T_TraitDi[#Data],COLUMN(T_TraitDi[Colonne17]),FALSE),"")</f>
        <v/>
      </c>
      <c r="AR130" s="284" t="e">
        <f>IF(VLOOKUP(T_Convention[[#This Row],[NumL]],T_TraitDi[#Data],COLUMN(T_TraitDi[Colonne18]),FALSE)=0,"",TEXT(IFERROR(VLOOKUP(T_Convention[[#This Row],[NumL]],T_TraitDi[#Data],COLUMN(T_TraitDi[Colonne18]),FALSE),""),"[hh]:mm"))</f>
        <v>#N/A</v>
      </c>
      <c r="AS130" s="284" t="e">
        <f>IF(VLOOKUP(T_Convention[[#This Row],[NumL]],T_TraitDi[#Data],COLUMN(T_TraitDi[Colonne19]),FALSE)=0,"",TEXT(IFERROR(VLOOKUP(T_Convention[[#This Row],[NumL]],T_TraitDi[#Data],COLUMN(T_TraitDi[Colonne19]),FALSE),""),"[hh]:mm"))</f>
        <v>#N/A</v>
      </c>
      <c r="AT130" s="284" t="e">
        <f>IF(VLOOKUP(T_Convention[[#This Row],[NumL]],T_TraitDi[#Data],COLUMN(T_TraitDi[Colonne20]),FALSE)=0,"",TEXT(IFERROR(VLOOKUP(T_Convention[[#This Row],[NumL]],T_TraitDi[#Data],COLUMN(T_TraitDi[Colonne20]),FALSE),""),"[hh]:mm"))</f>
        <v>#N/A</v>
      </c>
      <c r="AU130" s="284" t="str">
        <f>IFERROR(VLOOKUP(T_Convention[[#This Row],[NumL]],T_TraitDi[#Data],COLUMN(T_TraitDi[Jeudi]),FALSE),"")</f>
        <v/>
      </c>
      <c r="AV130" s="284" t="e">
        <f>IF(VLOOKUP(T_Convention[[#This Row],[NumL]],T_TraitDi[#Data],COLUMN(T_TraitDi[Colonne21]),FALSE)=0,"",TEXT(IFERROR(VLOOKUP(T_Convention[[#This Row],[NumL]],T_TraitDi[#Data],COLUMN(T_TraitDi[Colonne21]),FALSE),""),"[hh]:mm"))</f>
        <v>#N/A</v>
      </c>
      <c r="AW130" s="284" t="e">
        <f>IF(VLOOKUP(T_Convention[[#This Row],[NumL]],T_TraitDi[#Data],COLUMN(T_TraitDi[Colonne22]),FALSE)=0,"",TEXT(IFERROR(VLOOKUP(T_Convention[[#This Row],[NumL]],T_TraitDi[#Data],COLUMN(T_TraitDi[Colonne22]),FALSE),""),"[hh]:mm"))</f>
        <v>#N/A</v>
      </c>
      <c r="AX130" s="284" t="str">
        <f>IFERROR(VLOOKUP(T_Convention[[#This Row],[NumL]],T_TraitDi[#Data],COLUMN(T_TraitDi[Colonne23]),FALSE),"")</f>
        <v/>
      </c>
      <c r="AY130" s="284" t="e">
        <f>IF(VLOOKUP(T_Convention[[#This Row],[NumL]],T_TraitDi[#Data],COLUMN(T_TraitDi[Colonne24]),FALSE)=0,"",TEXT(IFERROR(VLOOKUP(T_Convention[[#This Row],[NumL]],T_TraitDi[#Data],COLUMN(T_TraitDi[Colonne24]),FALSE),""),"[hh]:mm"))</f>
        <v>#N/A</v>
      </c>
      <c r="AZ130" s="284" t="e">
        <f>IF(VLOOKUP(T_Convention[[#This Row],[NumL]],T_TraitDi[#Data],COLUMN(T_TraitDi[Colonne25]),FALSE)=0,"",TEXT(IFERROR(VLOOKUP(T_Convention[[#This Row],[NumL]],T_TraitDi[#Data],COLUMN(T_TraitDi[Colonne25]),FALSE),""),"[hh]:mm"))</f>
        <v>#N/A</v>
      </c>
      <c r="BA130" s="284" t="e">
        <f>IF(VLOOKUP(T_Convention[[#This Row],[NumL]],T_TraitDi[#Data],COLUMN(T_TraitDi[Colonne26]),FALSE)=0,"",TEXT(IFERROR(VLOOKUP(T_Convention[[#This Row],[NumL]],T_TraitDi[#Data],COLUMN(T_TraitDi[Colonne26]),FALSE),""),"[hh]:mm"))</f>
        <v>#N/A</v>
      </c>
      <c r="BB130" s="284" t="str">
        <f>IFERROR(VLOOKUP(T_Convention[[#This Row],[NumL]],T_TraitDi[#Data],COLUMN(T_TraitDi[Vendredi]),FALSE),"")</f>
        <v/>
      </c>
      <c r="BC130" s="284" t="e">
        <f>IF(VLOOKUP(T_Convention[[#This Row],[NumL]],T_TraitDi[#Data],COLUMN(T_TraitDi[Colonne27]),FALSE)=0,"",TEXT(IFERROR(VLOOKUP(T_Convention[[#This Row],[NumL]],T_TraitDi[#Data],COLUMN(T_TraitDi[Colonne27]),FALSE),""),"[hh]:mm"))</f>
        <v>#N/A</v>
      </c>
      <c r="BD130" s="284" t="e">
        <f>IF(VLOOKUP(T_Convention[[#This Row],[NumL]],T_TraitDi[#Data],COLUMN(T_TraitDi[Colonne28]),FALSE)=0,"",TEXT(IFERROR(VLOOKUP(T_Convention[[#This Row],[NumL]],T_TraitDi[#Data],COLUMN(T_TraitDi[Colonne28]),FALSE),""),"[hh]:mm"))</f>
        <v>#N/A</v>
      </c>
      <c r="BE130" s="284" t="str">
        <f>IFERROR(VLOOKUP(T_Convention[[#This Row],[NumL]],T_TraitDi[#Data],COLUMN(T_TraitDi[Colonne29]),FALSE),"")</f>
        <v/>
      </c>
      <c r="BF130" s="284" t="e">
        <f>IF(VLOOKUP(T_Convention[[#This Row],[NumL]],T_TraitDi[#Data],COLUMN(T_TraitDi[Colonne30]),FALSE)=0,"",TEXT(IFERROR(VLOOKUP(T_Convention[[#This Row],[NumL]],T_TraitDi[#Data],COLUMN(T_TraitDi[Colonne30]),FALSE),""),"[hh]:mm"))</f>
        <v>#N/A</v>
      </c>
      <c r="BG130" s="284" t="e">
        <f>IF(VLOOKUP(T_Convention[[#This Row],[NumL]],T_TraitDi[#Data],COLUMN(T_TraitDi[Colonne31]),FALSE)=0,"",TEXT(IFERROR(VLOOKUP(T_Convention[[#This Row],[NumL]],T_TraitDi[#Data],COLUMN(T_TraitDi[Colonne31]),FALSE),""),"[hh]:mm"))</f>
        <v>#N/A</v>
      </c>
      <c r="BH130" s="284" t="e">
        <f>IF(VLOOKUP(T_Convention[[#This Row],[NumL]],T_TraitDi[#Data],COLUMN(T_TraitDi[Colonne32]),FALSE)=0,"",TEXT(IFERROR(VLOOKUP(T_Convention[[#This Row],[NumL]],T_TraitDi[#Data],COLUMN(T_TraitDi[Colonne32]),FALSE),""),"[hh]:mm"))</f>
        <v>#N/A</v>
      </c>
      <c r="BI130" s="284" t="str">
        <f>IFERROR(VLOOKUP(T_Convention[[#This Row],[NumL]],T_TraitDi[#Data],COLUMN(T_TraitDi[NbJTW]),FALSE),"")</f>
        <v/>
      </c>
      <c r="BJ130" s="284" t="e">
        <f>IF(VLOOKUP(T_Convention[[#This Row],[NumL]],T_TraitDi[#Data],COLUMN(T_TraitDi[NbhTW]),FALSE)=0,"",TEXT(IFERROR(VLOOKUP(T_Convention[[#This Row],[NumL]],T_TraitDi[#Data],COLUMN(T_TraitDi[NbhTW]),FALSE),""),"[hh]:mm"))</f>
        <v>#N/A</v>
      </c>
      <c r="BK130" s="286" t="e">
        <f>IF(VLOOKUP(T_Convention[[#This Row],[NumL]],T_TraitDi[#Data],COLUMN(T_TraitDi[Nbhheb]),FALSE)=0,"",TEXT(IFERROR(VLOOKUP(T_Convention[[#This Row],[NumL]],T_TraitDi[#Data],COLUMN(T_TraitDi[Nbhheb]),FALSE),""),"[hh]:mm"))</f>
        <v>#N/A</v>
      </c>
      <c r="BL130" s="287" t="str">
        <f>IFERROR(VLOOKUP(VLOOKUP(T_Convention[[#This Row],[NumL]],T_TraitDi[#Data],COLUMN(T_TraitDi[Type1]),FALSE),TypeTW,2,FALSE),"")</f>
        <v/>
      </c>
      <c r="BM130" s="288" t="str">
        <f>IFERROR(VLOOKUP(T_Convention[[#This Row],[NumL]],T_TraitDi[#Data],COLUMN(T_TraitDi[Rue1]),FALSE),"")</f>
        <v/>
      </c>
      <c r="BN130" s="289" t="str">
        <f>IFERROR(VLOOKUP(T_Convention[[#This Row],[NumL]],T_TraitDi[#Data],COLUMN(T_TraitDi[CP1]),FALSE),"")</f>
        <v/>
      </c>
      <c r="BO130" s="282" t="str">
        <f>IFERROR(VLOOKUP(T_Convention[[#This Row],[NumL]],T_TraitDi[#Data],COLUMN(T_TraitDi[VILLE1]),FALSE),"")</f>
        <v/>
      </c>
      <c r="BP130" s="290" t="str">
        <f>IFERROR(VLOOKUP(VLOOKUP(T_Convention[[#This Row],[NumL]],T_TraitDi[#Data],COLUMN(T_TraitDi[Type2]),FALSE),TypeTW,2,FALSE),"")</f>
        <v/>
      </c>
      <c r="BQ130" s="182" t="str">
        <f>IFERROR(VLOOKUP(T_Convention[[#This Row],[NumL]],T_TraitDi[#Data],COLUMN(T_TraitDi[Rue2]),FALSE),"")</f>
        <v/>
      </c>
      <c r="BR130" s="173" t="str">
        <f>IFERROR(VLOOKUP(T_Convention[[#This Row],[NumL]],T_TraitDi[#Data],COLUMN(T_TraitDi[CP2]),FALSE),"")</f>
        <v/>
      </c>
      <c r="BS130" s="173" t="str">
        <f>IFERROR(VLOOKUP(T_Convention[[#This Row],[NumL]],T_TraitDi[#Data],COLUMN(T_TraitDi[VILLE2]),FALSE),"")</f>
        <v/>
      </c>
      <c r="BT130" s="182" t="str">
        <f>IF(VLOOKUP(T_Convention[[#This Row],[NumL]],T_Equipement[#Data],COLUMN(T_Equipement[PC]),FALSE)="","Aucun équipement spécifique directement lié au télétravail",VLOOKUP(T_Convention[[#This Row],[NumL]],T_Equipement[#Data],COLUMN(T_Equipement[PC]),FALSE))</f>
        <v>GERLAND</v>
      </c>
      <c r="BU130" s="166" t="str">
        <f>IFERROR(IF(VLOOKUP(T_Convention[[#This Row],[NumL]],T_TraitDi[#Data],COLUMN(T_TraitDi[Plan]),FALSE)="OK","Un planning spécifique de télétravail est annexé à la présente convention.",""),"")</f>
        <v/>
      </c>
      <c r="BV130" s="270" t="s">
        <v>3515</v>
      </c>
      <c r="BW130" s="164" t="e">
        <f>IF(VLOOKUP(T_Convention[[#This Row],[NumL]],T_suiviDi[#Data],COLUMN(T_suiviDi[Entité]),FALSE)="","",VLOOKUP(T_Convention[[#This Row],[NumL]],T_suiviDi[#Data],COLUMN(T_suiviDi[Entité]),FALSE))</f>
        <v>#N/A</v>
      </c>
      <c r="BX130" s="164" t="str">
        <f>IF(VLOOKUP(T_Convention[[#This Row],[NumL]],T_Commission[#Data],COLUMN(T_Commission[envoi confirm TW]),FALSE)="","",VLOOKUP(T_Convention[[#This Row],[NumL]],T_Commission[#Data],COLUMN(T_Commission[envoi confirm TW]),FALSE))</f>
        <v>Oui</v>
      </c>
      <c r="BY13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0" s="264">
        <f>VLOOKUP(T_Convention[[#This Row],[NumL]],T_Commission[#Data],COLUMN(T_Commission[Commentaire]),FALSE)</f>
        <v>0</v>
      </c>
      <c r="CA130" s="254" t="str">
        <f>IF(VLOOKUP(T_Convention[[#This Row],[NumL]],T_Commission[#Data],COLUMN(T_Commission[Encadrant Email]),FALSE)="","",VLOOKUP(T_Convention[[#This Row],[NumL]],T_Commission[#Data],COLUMN(T_Commission[Encadrant Email]),FALSE))</f>
        <v/>
      </c>
      <c r="CB130" s="352" t="e">
        <f>VLOOKUP(T_Convention[[#This Row],[NumL]],T_TraitDi[#Data],COLUMN(T_TraitDi[NbJTot]),FALSE)</f>
        <v>#N/A</v>
      </c>
      <c r="CC130" s="352" t="e">
        <f>VLOOKUP(T_Convention[[#This Row],[NumL]],T_TraitDi[#Data],COLUMN(T_TraitDi[Reg Ponct]),FALSE)</f>
        <v>#N/A</v>
      </c>
      <c r="CD130" s="348" t="str">
        <f>IF(T_Convention[[#This Row],[Final]]&lt;&gt;"",VLOOKUP(T_Convention[[#This Row],[NumL]],T_suiviDi[#Data],COLUMN((T_suiviDi[Statut])),FALSE),"")</f>
        <v/>
      </c>
    </row>
    <row r="131" spans="1:82" s="106" customFormat="1" ht="18.75" customHeight="1" x14ac:dyDescent="0.25">
      <c r="A131" s="160">
        <v>77</v>
      </c>
      <c r="B131" s="161" t="str">
        <f>VLOOKUP(T_Convention[[#This Row],[NumL]],T_Commission[#Data],COLUMN(T_Commission[FINAL]),FALSE)</f>
        <v/>
      </c>
      <c r="C131" s="162"/>
      <c r="D131" s="95" t="e">
        <f>IF(VLOOKUP(T_Convention[[#This Row],[NumL]],T_TraitDi[#Data],COLUMN(T_TraitDi[WebC]),FALSE)="","",VLOOKUP(T_Convention[[#This Row],[NumL]],T_TraitDi[#Data],COLUMN(T_TraitDi[WebC]),FALSE))</f>
        <v>#N/A</v>
      </c>
      <c r="E131" s="163" t="str">
        <f t="shared" ref="E131:E194" si="10">TEXT(DateEdition,"jj mmmm aaaa")</f>
        <v>12 janvier 2021</v>
      </c>
      <c r="F131" s="282" t="str">
        <f>IF(T_Convention[[#This Row],[Final]]&lt;&gt;"",VLOOKUP(T_Convention[[#This Row],[NumL]],T_suiviDi[#Data],COLUMN((T_suiviDi[Civ.])),FALSE),"")</f>
        <v/>
      </c>
      <c r="G131" s="283" t="str">
        <f>IF(T_Convention[[#This Row],[Final]]&lt;&gt;"",VLOOKUP(T_Convention[[#This Row],[NumL]],T_suiviDi[#Data],COLUMN((T_suiviDi[Nom])),FALSE),"")</f>
        <v/>
      </c>
      <c r="H131" s="282" t="str">
        <f>IF(T_Convention[[#This Row],[Final]]&lt;&gt;"",VLOOKUP(T_Convention[[#This Row],[NumL]],T_suiviDi[#Data],COLUMN((T_suiviDi[Prénom])),FALSE),"")</f>
        <v/>
      </c>
      <c r="I131" s="282" t="e">
        <f>VLOOKUP(T_Convention[[#This Row],[NumL]],T_suiviDi[#Data],COLUMN((T_suiviDi[[#This Row],[Email]])),FALSE)</f>
        <v>#VALUE!</v>
      </c>
      <c r="J131" s="282" t="e">
        <f>IF(VLOOKUP(T_Convention[[#This Row],[NumL]],T_suiviDi[#Data],COLUMN(T_suiviDi[[#This Row],[Fonction]]),FALSE)="","",VLOOKUP(T_Convention[[#This Row],[NumL]],T_suiviDi[#Data],COLUMN(T_suiviDi[[#This Row],[Fonction]]),FALSE))</f>
        <v>#VALUE!</v>
      </c>
      <c r="K131" s="282" t="e">
        <f>IF(VLOOKUP(T_Convention[[#This Row],[NumL]],T_suiviDi[#Data],COLUMN(T_suiviDi[[#This Row],[Grade]]),FALSE)="","",VLOOKUP(T_Convention[[#This Row],[NumL]],T_suiviDi[#Data],COLUMN(T_suiviDi[[#This Row],[Grade]]),FALSE))</f>
        <v>#VALUE!</v>
      </c>
      <c r="L131" s="282" t="e">
        <f>IF(VLOOKUP(T_Convention[[#This Row],[NumL]],T_suiviDi[#Data],COLUMN(T_suiviDi[[#This Row],[Service ]]),FALSE)="","",VLOOKUP(T_Convention[[#This Row],[NumL]],T_suiviDi[#Data],COLUMN(T_suiviDi[[#This Row],[Service ]]),FALSE))</f>
        <v>#VALUE!</v>
      </c>
      <c r="M131" s="164" t="str">
        <f t="shared" ref="M131:M194" si="11">TEXT(Dateeffet,"jj mmmm aaaa")</f>
        <v>01 septembre 2021</v>
      </c>
      <c r="N131" s="164" t="str">
        <f t="shared" ref="N131:N194" si="12">TEXT(DateFinadapt,"jj mmmm aaaa")</f>
        <v>30 novembre 2021</v>
      </c>
      <c r="O131" s="284" t="str">
        <f t="shared" ref="O131:O194" si="13">TEXT(Datebilan,"jj mmmm aaaa")</f>
        <v>30 novembre 2021</v>
      </c>
      <c r="P131" s="282" t="e">
        <f>IF(VLOOKUP(T_Convention[[#This Row],[NumL]],T_TraitDi[#Data],COLUMN(T_TraitDi[M1]),FALSE)="","",VLOOKUP(T_Convention[[#This Row],[NumL]],T_TraitDi[#Data],COLUMN(T_TraitDi[M1]),FALSE))</f>
        <v>#N/A</v>
      </c>
      <c r="Q131" s="282" t="e">
        <f>IF(VLOOKUP(T_Convention[[#This Row],[NumL]],T_TraitDi[#Data],COLUMN(T_TraitDi[M2]),FALSE)="","",VLOOKUP(T_Convention[[#This Row],[NumL]],T_TraitDi[#Data],COLUMN(T_TraitDi[M2]),FALSE))</f>
        <v>#N/A</v>
      </c>
      <c r="R131" s="282" t="e">
        <f>IF(VLOOKUP(T_Convention[[#This Row],[NumL]],T_TraitDi[#Data],COLUMN(T_TraitDi[M3]),FALSE)="","",VLOOKUP(T_Convention[[#This Row],[NumL]],T_TraitDi[#Data],COLUMN(T_TraitDi[M3]),FALSE))</f>
        <v>#N/A</v>
      </c>
      <c r="S131" s="282" t="e">
        <f>IF(VLOOKUP(T_Convention[[#This Row],[NumL]],T_TraitDi[#Data],COLUMN(T_TraitDi[M4]),FALSE)="","",VLOOKUP(T_Convention[[#This Row],[NumL]],T_TraitDi[#Data],COLUMN(T_TraitDi[M4]),FALSE))</f>
        <v>#N/A</v>
      </c>
      <c r="T131" s="282" t="e">
        <f>IF(VLOOKUP(T_Convention[[#This Row],[NumL]],T_TraitDi[#Data],COLUMN(T_TraitDi[M5]),FALSE)="","",VLOOKUP(T_Convention[[#This Row],[NumL]],T_TraitDi[#Data],COLUMN(T_TraitDi[M5]),FALSE))</f>
        <v>#N/A</v>
      </c>
      <c r="U131" s="282" t="e">
        <f>IF(VLOOKUP(T_Convention[[#This Row],[NumL]],T_TraitDi[#Data],COLUMN(T_TraitDi[M6]),FALSE)="","",VLOOKUP(T_Convention[[#This Row],[NumL]],T_TraitDi[#Data],COLUMN(T_TraitDi[M6]),FALSE))</f>
        <v>#N/A</v>
      </c>
      <c r="V131" s="176" t="e">
        <f t="shared" ref="V131:V194" si="14">P131&amp;Q131&amp;R131&amp;S131&amp;T131&amp;U131</f>
        <v>#N/A</v>
      </c>
      <c r="W131" s="284" t="str">
        <f>IFERROR(TEXT(VLOOKUP(T_Convention[[#This Row],[NumL]],T_TraitDi[#Data],COLUMN(T_TraitDi[Q2]),FALSE),"###%"),"")</f>
        <v/>
      </c>
      <c r="X131" s="97" t="e">
        <f>VLOOKUP(T_Convention[[#This Row],[NumL]],T_TraitDi[#Data],COLUMN(T_TraitDi[Reg Ponct]),FALSE)</f>
        <v>#N/A</v>
      </c>
      <c r="Y131" s="97" t="e">
        <f>VLOOKUP(T_Convention[NumL],T_TraitDi[#Data],COLUMN(T_TraitDi[Jours flottants]),FALSE)</f>
        <v>#N/A</v>
      </c>
      <c r="Z131" s="284" t="str">
        <f>IFERROR(VLOOKUP(T_Convention[[#This Row],[NumL]],T_TraitDi[#Data],COLUMN(T_TraitDi[Lundi]),FALSE),"")</f>
        <v/>
      </c>
      <c r="AA131" s="284" t="e">
        <f>IF(VLOOKUP(T_Convention[[#This Row],[NumL]],T_TraitDi[#Data],COLUMN(T_TraitDi[Colonne3]),FALSE)=0,"",TEXT(IFERROR(VLOOKUP(T_Convention[[#This Row],[NumL]],T_TraitDi[#Data],COLUMN(T_TraitDi[Colonne3]),FALSE),""),"[hh]:mm"))</f>
        <v>#N/A</v>
      </c>
      <c r="AB131" s="284" t="e">
        <f>IF(VLOOKUP(T_Convention[[#This Row],[NumL]],T_TraitDi[#Data],COLUMN(T_TraitDi[Colonne4]),FALSE)=0,"",TEXT(IFERROR(VLOOKUP(T_Convention[[#This Row],[NumL]],T_TraitDi[#Data],COLUMN(T_TraitDi[Colonne4]),FALSE),""),"[hh]:mm"))</f>
        <v>#N/A</v>
      </c>
      <c r="AC131" s="284" t="e">
        <f>IF(VLOOKUP(T_Convention[[#This Row],[NumL]],T_TraitDi[#Data],COLUMN(T_TraitDi[Colonne5]),FALSE)=0,"",TEXT(IFERROR(VLOOKUP(T_Convention[[#This Row],[NumL]],T_TraitDi[#Data],COLUMN(T_TraitDi[Colonne5]),FALSE),""),"[hh]:mm"))</f>
        <v>#N/A</v>
      </c>
      <c r="AD131" s="284" t="e">
        <f>IF(VLOOKUP(T_Convention[[#This Row],[NumL]],T_TraitDi[#Data],COLUMN(T_TraitDi[Colonne6]),FALSE)=0,"",TEXT(IFERROR(VLOOKUP(T_Convention[[#This Row],[NumL]],T_TraitDi[#Data],COLUMN(T_TraitDi[Colonne6]),FALSE),""),"[hh]:mm"))</f>
        <v>#N/A</v>
      </c>
      <c r="AE131" s="284" t="e">
        <f>IF(VLOOKUP(T_Convention[[#This Row],[NumL]],T_TraitDi[#Data],COLUMN(T_TraitDi[Colonne7]),FALSE)=0,"",TEXT(IFERROR(VLOOKUP(T_Convention[[#This Row],[NumL]],T_TraitDi[#Data],COLUMN(T_TraitDi[Colonne7]),FALSE),""),"[hh]:mm"))</f>
        <v>#N/A</v>
      </c>
      <c r="AF131" s="284" t="e">
        <f>IF(VLOOKUP(T_Convention[[#This Row],[NumL]],T_TraitDi[#Data],COLUMN(T_TraitDi[Colonne8]),FALSE)=0,"",TEXT(IFERROR(VLOOKUP(T_Convention[[#This Row],[NumL]],T_TraitDi[#Data],COLUMN(T_TraitDi[Colonne8]),FALSE),""),"[hh]:mm"))</f>
        <v>#N/A</v>
      </c>
      <c r="AG131" s="284" t="str">
        <f>IFERROR(VLOOKUP(T_Convention[[#This Row],[NumL]],T_TraitDi[#Data],COLUMN(T_TraitDi[Mardi]),FALSE),"")</f>
        <v/>
      </c>
      <c r="AH131" s="284" t="e">
        <f>IF(VLOOKUP(T_Convention[[#This Row],[NumL]],T_TraitDi[#Data],COLUMN(T_TraitDi[Colonne1]),FALSE)=0,"",TEXT(IFERROR(VLOOKUP(T_Convention[[#This Row],[NumL]],T_TraitDi[#Data],COLUMN(T_TraitDi[Colonne1]),FALSE),""),"[hh]:mm"))</f>
        <v>#N/A</v>
      </c>
      <c r="AI131" s="284" t="e">
        <f>IF(VLOOKUP(T_Convention[[#This Row],[NumL]],T_TraitDi[#Data],COLUMN(T_TraitDi[Colonne9]),FALSE)=0,"",TEXT(IFERROR(VLOOKUP(T_Convention[[#This Row],[NumL]],T_TraitDi[#Data],COLUMN(T_TraitDi[Colonne9]),FALSE),""),"[hh]:mm"))</f>
        <v>#N/A</v>
      </c>
      <c r="AJ131" s="284" t="str">
        <f>IFERROR(VLOOKUP(T_Convention[[#This Row],[NumL]],T_TraitDi[#Data],COLUMN(T_TraitDi[Colonne10]),FALSE),"")</f>
        <v/>
      </c>
      <c r="AK131" s="284" t="e">
        <f>IF(VLOOKUP(T_Convention[[#This Row],[NumL]],T_TraitDi[#Data],COLUMN(T_TraitDi[Colonne11]),FALSE)=0,"",TEXT(IFERROR(VLOOKUP(T_Convention[[#This Row],[NumL]],T_TraitDi[#Data],COLUMN(T_TraitDi[Colonne11]),FALSE),""),"[hh]:mm"))</f>
        <v>#N/A</v>
      </c>
      <c r="AL131" s="284" t="e">
        <f>IF(VLOOKUP(T_Convention[[#This Row],[NumL]],T_TraitDi[#Data],COLUMN(T_TraitDi[Colonne12]),FALSE)=0,"",TEXT(IFERROR(VLOOKUP(T_Convention[[#This Row],[NumL]],T_TraitDi[#Data],COLUMN(T_TraitDi[Colonne12]),FALSE),""),"[hh]:mm"))</f>
        <v>#N/A</v>
      </c>
      <c r="AM131" s="284" t="e">
        <f>IF(VLOOKUP(T_Convention[[#This Row],[NumL]],T_TraitDi[#Data],COLUMN(T_TraitDi[Colonne14]),FALSE)=0,"",TEXT(IFERROR(VLOOKUP(T_Convention[[#This Row],[NumL]],T_TraitDi[#Data],COLUMN(T_TraitDi[Colonne14]),FALSE),""),"[hh]:mm"))</f>
        <v>#N/A</v>
      </c>
      <c r="AN131" s="284" t="str">
        <f>IFERROR(VLOOKUP(T_Convention[[#This Row],[NumL]],T_TraitDi[#Data],COLUMN(T_TraitDi[Mercredi]),FALSE),"")</f>
        <v/>
      </c>
      <c r="AO131" s="284" t="e">
        <f>IF(VLOOKUP(T_Convention[[#This Row],[NumL]],T_TraitDi[#Data],COLUMN(T_TraitDi[Colonne15]),FALSE)=0,"",TEXT(IFERROR(VLOOKUP(T_Convention[[#This Row],[NumL]],T_TraitDi[#Data],COLUMN(T_TraitDi[Colonne15]),FALSE),""),"[hh]:mm"))</f>
        <v>#N/A</v>
      </c>
      <c r="AP131" s="284" t="e">
        <f>IF(VLOOKUP(T_Convention[[#This Row],[NumL]],T_TraitDi[#Data],COLUMN(T_TraitDi[Colonne16]),FALSE)=0,"",TEXT(IFERROR(VLOOKUP(T_Convention[[#This Row],[NumL]],T_TraitDi[#Data],COLUMN(T_TraitDi[Colonne16]),FALSE),""),"[hh]:mm"))</f>
        <v>#N/A</v>
      </c>
      <c r="AQ131" s="284" t="str">
        <f>IFERROR(VLOOKUP(T_Convention[[#This Row],[NumL]],T_TraitDi[#Data],COLUMN(T_TraitDi[Colonne17]),FALSE),"")</f>
        <v/>
      </c>
      <c r="AR131" s="284" t="e">
        <f>IF(VLOOKUP(T_Convention[[#This Row],[NumL]],T_TraitDi[#Data],COLUMN(T_TraitDi[Colonne18]),FALSE)=0,"",TEXT(IFERROR(VLOOKUP(T_Convention[[#This Row],[NumL]],T_TraitDi[#Data],COLUMN(T_TraitDi[Colonne18]),FALSE),""),"[hh]:mm"))</f>
        <v>#N/A</v>
      </c>
      <c r="AS131" s="284" t="e">
        <f>IF(VLOOKUP(T_Convention[[#This Row],[NumL]],T_TraitDi[#Data],COLUMN(T_TraitDi[Colonne19]),FALSE)=0,"",TEXT(IFERROR(VLOOKUP(T_Convention[[#This Row],[NumL]],T_TraitDi[#Data],COLUMN(T_TraitDi[Colonne19]),FALSE),""),"[hh]:mm"))</f>
        <v>#N/A</v>
      </c>
      <c r="AT131" s="284" t="e">
        <f>IF(VLOOKUP(T_Convention[[#This Row],[NumL]],T_TraitDi[#Data],COLUMN(T_TraitDi[Colonne20]),FALSE)=0,"",TEXT(IFERROR(VLOOKUP(T_Convention[[#This Row],[NumL]],T_TraitDi[#Data],COLUMN(T_TraitDi[Colonne20]),FALSE),""),"[hh]:mm"))</f>
        <v>#N/A</v>
      </c>
      <c r="AU131" s="284" t="str">
        <f>IFERROR(VLOOKUP(T_Convention[[#This Row],[NumL]],T_TraitDi[#Data],COLUMN(T_TraitDi[Jeudi]),FALSE),"")</f>
        <v/>
      </c>
      <c r="AV131" s="284" t="e">
        <f>IF(VLOOKUP(T_Convention[[#This Row],[NumL]],T_TraitDi[#Data],COLUMN(T_TraitDi[Colonne21]),FALSE)=0,"",TEXT(IFERROR(VLOOKUP(T_Convention[[#This Row],[NumL]],T_TraitDi[#Data],COLUMN(T_TraitDi[Colonne21]),FALSE),""),"[hh]:mm"))</f>
        <v>#N/A</v>
      </c>
      <c r="AW131" s="284" t="e">
        <f>IF(VLOOKUP(T_Convention[[#This Row],[NumL]],T_TraitDi[#Data],COLUMN(T_TraitDi[Colonne22]),FALSE)=0,"",TEXT(IFERROR(VLOOKUP(T_Convention[[#This Row],[NumL]],T_TraitDi[#Data],COLUMN(T_TraitDi[Colonne22]),FALSE),""),"[hh]:mm"))</f>
        <v>#N/A</v>
      </c>
      <c r="AX131" s="284" t="str">
        <f>IFERROR(VLOOKUP(T_Convention[[#This Row],[NumL]],T_TraitDi[#Data],COLUMN(T_TraitDi[Colonne23]),FALSE),"")</f>
        <v/>
      </c>
      <c r="AY131" s="284" t="e">
        <f>IF(VLOOKUP(T_Convention[[#This Row],[NumL]],T_TraitDi[#Data],COLUMN(T_TraitDi[Colonne24]),FALSE)=0,"",TEXT(IFERROR(VLOOKUP(T_Convention[[#This Row],[NumL]],T_TraitDi[#Data],COLUMN(T_TraitDi[Colonne24]),FALSE),""),"[hh]:mm"))</f>
        <v>#N/A</v>
      </c>
      <c r="AZ131" s="284" t="e">
        <f>IF(VLOOKUP(T_Convention[[#This Row],[NumL]],T_TraitDi[#Data],COLUMN(T_TraitDi[Colonne25]),FALSE)=0,"",TEXT(IFERROR(VLOOKUP(T_Convention[[#This Row],[NumL]],T_TraitDi[#Data],COLUMN(T_TraitDi[Colonne25]),FALSE),""),"[hh]:mm"))</f>
        <v>#N/A</v>
      </c>
      <c r="BA131" s="284" t="e">
        <f>IF(VLOOKUP(T_Convention[[#This Row],[NumL]],T_TraitDi[#Data],COLUMN(T_TraitDi[Colonne26]),FALSE)=0,"",TEXT(IFERROR(VLOOKUP(T_Convention[[#This Row],[NumL]],T_TraitDi[#Data],COLUMN(T_TraitDi[Colonne26]),FALSE),""),"[hh]:mm"))</f>
        <v>#N/A</v>
      </c>
      <c r="BB131" s="284" t="str">
        <f>IFERROR(VLOOKUP(T_Convention[[#This Row],[NumL]],T_TraitDi[#Data],COLUMN(T_TraitDi[Vendredi]),FALSE),"")</f>
        <v/>
      </c>
      <c r="BC131" s="284" t="e">
        <f>IF(VLOOKUP(T_Convention[[#This Row],[NumL]],T_TraitDi[#Data],COLUMN(T_TraitDi[Colonne27]),FALSE)=0,"",TEXT(IFERROR(VLOOKUP(T_Convention[[#This Row],[NumL]],T_TraitDi[#Data],COLUMN(T_TraitDi[Colonne27]),FALSE),""),"[hh]:mm"))</f>
        <v>#N/A</v>
      </c>
      <c r="BD131" s="284" t="e">
        <f>IF(VLOOKUP(T_Convention[[#This Row],[NumL]],T_TraitDi[#Data],COLUMN(T_TraitDi[Colonne28]),FALSE)=0,"",TEXT(IFERROR(VLOOKUP(T_Convention[[#This Row],[NumL]],T_TraitDi[#Data],COLUMN(T_TraitDi[Colonne28]),FALSE),""),"[hh]:mm"))</f>
        <v>#N/A</v>
      </c>
      <c r="BE131" s="284" t="str">
        <f>IFERROR(VLOOKUP(T_Convention[[#This Row],[NumL]],T_TraitDi[#Data],COLUMN(T_TraitDi[Colonne29]),FALSE),"")</f>
        <v/>
      </c>
      <c r="BF131" s="284" t="e">
        <f>IF(VLOOKUP(T_Convention[[#This Row],[NumL]],T_TraitDi[#Data],COLUMN(T_TraitDi[Colonne30]),FALSE)=0,"",TEXT(IFERROR(VLOOKUP(T_Convention[[#This Row],[NumL]],T_TraitDi[#Data],COLUMN(T_TraitDi[Colonne30]),FALSE),""),"[hh]:mm"))</f>
        <v>#N/A</v>
      </c>
      <c r="BG131" s="284" t="e">
        <f>IF(VLOOKUP(T_Convention[[#This Row],[NumL]],T_TraitDi[#Data],COLUMN(T_TraitDi[Colonne31]),FALSE)=0,"",TEXT(IFERROR(VLOOKUP(T_Convention[[#This Row],[NumL]],T_TraitDi[#Data],COLUMN(T_TraitDi[Colonne31]),FALSE),""),"[hh]:mm"))</f>
        <v>#N/A</v>
      </c>
      <c r="BH131" s="284" t="e">
        <f>IF(VLOOKUP(T_Convention[[#This Row],[NumL]],T_TraitDi[#Data],COLUMN(T_TraitDi[Colonne32]),FALSE)=0,"",TEXT(IFERROR(VLOOKUP(T_Convention[[#This Row],[NumL]],T_TraitDi[#Data],COLUMN(T_TraitDi[Colonne32]),FALSE),""),"[hh]:mm"))</f>
        <v>#N/A</v>
      </c>
      <c r="BI131" s="284" t="str">
        <f>IFERROR(VLOOKUP(T_Convention[[#This Row],[NumL]],T_TraitDi[#Data],COLUMN(T_TraitDi[NbJTW]),FALSE),"")</f>
        <v/>
      </c>
      <c r="BJ131" s="284" t="e">
        <f>IF(VLOOKUP(T_Convention[[#This Row],[NumL]],T_TraitDi[#Data],COLUMN(T_TraitDi[NbhTW]),FALSE)=0,"",TEXT(IFERROR(VLOOKUP(T_Convention[[#This Row],[NumL]],T_TraitDi[#Data],COLUMN(T_TraitDi[NbhTW]),FALSE),""),"[hh]:mm"))</f>
        <v>#N/A</v>
      </c>
      <c r="BK131" s="286" t="e">
        <f>IF(VLOOKUP(T_Convention[[#This Row],[NumL]],T_TraitDi[#Data],COLUMN(T_TraitDi[Nbhheb]),FALSE)=0,"",TEXT(IFERROR(VLOOKUP(T_Convention[[#This Row],[NumL]],T_TraitDi[#Data],COLUMN(T_TraitDi[Nbhheb]),FALSE),""),"[hh]:mm"))</f>
        <v>#N/A</v>
      </c>
      <c r="BL131" s="287" t="str">
        <f>IFERROR(VLOOKUP(VLOOKUP(T_Convention[[#This Row],[NumL]],T_TraitDi[#Data],COLUMN(T_TraitDi[Type1]),FALSE),TypeTW,2,FALSE),"")</f>
        <v/>
      </c>
      <c r="BM131" s="288" t="str">
        <f>IFERROR(VLOOKUP(T_Convention[[#This Row],[NumL]],T_TraitDi[#Data],COLUMN(T_TraitDi[Rue1]),FALSE),"")</f>
        <v/>
      </c>
      <c r="BN131" s="289" t="str">
        <f>IFERROR(VLOOKUP(T_Convention[[#This Row],[NumL]],T_TraitDi[#Data],COLUMN(T_TraitDi[CP1]),FALSE),"")</f>
        <v/>
      </c>
      <c r="BO131" s="282" t="str">
        <f>IFERROR(VLOOKUP(T_Convention[[#This Row],[NumL]],T_TraitDi[#Data],COLUMN(T_TraitDi[VILLE1]),FALSE),"")</f>
        <v/>
      </c>
      <c r="BP131" s="290" t="str">
        <f>IFERROR(VLOOKUP(VLOOKUP(T_Convention[[#This Row],[NumL]],T_TraitDi[#Data],COLUMN(T_TraitDi[Type2]),FALSE),TypeTW,2,FALSE),"")</f>
        <v/>
      </c>
      <c r="BQ131" s="182" t="str">
        <f>IFERROR(VLOOKUP(T_Convention[[#This Row],[NumL]],T_TraitDi[#Data],COLUMN(T_TraitDi[Rue2]),FALSE),"")</f>
        <v/>
      </c>
      <c r="BR131" s="173" t="str">
        <f>IFERROR(VLOOKUP(T_Convention[[#This Row],[NumL]],T_TraitDi[#Data],COLUMN(T_TraitDi[CP2]),FALSE),"")</f>
        <v/>
      </c>
      <c r="BS131" s="173" t="str">
        <f>IFERROR(VLOOKUP(T_Convention[[#This Row],[NumL]],T_TraitDi[#Data],COLUMN(T_TraitDi[VILLE2]),FALSE),"")</f>
        <v/>
      </c>
      <c r="BT131" s="182" t="str">
        <f>IF(VLOOKUP(T_Convention[[#This Row],[NumL]],T_Equipement[#Data],COLUMN(T_Equipement[PC]),FALSE)="","Aucun équipement spécifique directement lié au télétravail",VLOOKUP(T_Convention[[#This Row],[NumL]],T_Equipement[#Data],COLUMN(T_Equipement[PC]),FALSE))</f>
        <v xml:space="preserve">20-457	</v>
      </c>
      <c r="BU131" s="166" t="str">
        <f>IFERROR(IF(VLOOKUP(T_Convention[[#This Row],[NumL]],T_TraitDi[#Data],COLUMN(T_TraitDi[Plan]),FALSE)="OK","Un planning spécifique de télétravail est annexé à la présente convention.",""),"")</f>
        <v/>
      </c>
      <c r="BV131" s="185" t="s">
        <v>3487</v>
      </c>
      <c r="BW131" s="164" t="e">
        <f>IF(VLOOKUP(T_Convention[[#This Row],[NumL]],T_suiviDi[#Data],COLUMN(T_suiviDi[Entité]),FALSE)="","",VLOOKUP(T_Convention[[#This Row],[NumL]],T_suiviDi[#Data],COLUMN(T_suiviDi[Entité]),FALSE))</f>
        <v>#N/A</v>
      </c>
      <c r="BX131" s="164" t="str">
        <f>IF(VLOOKUP(T_Convention[[#This Row],[NumL]],T_Commission[#Data],COLUMN(T_Commission[envoi confirm TW]),FALSE)="","",VLOOKUP(T_Convention[[#This Row],[NumL]],T_Commission[#Data],COLUMN(T_Commission[envoi confirm TW]),FALSE))</f>
        <v>Oui</v>
      </c>
      <c r="BY13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1" s="264">
        <f>VLOOKUP(T_Convention[[#This Row],[NumL]],T_Commission[#Data],COLUMN(T_Commission[Commentaire]),FALSE)</f>
        <v>0</v>
      </c>
      <c r="CA131" s="254" t="str">
        <f>IF(VLOOKUP(T_Convention[[#This Row],[NumL]],T_Commission[#Data],COLUMN(T_Commission[Encadrant Email]),FALSE)="","",VLOOKUP(T_Convention[[#This Row],[NumL]],T_Commission[#Data],COLUMN(T_Commission[Encadrant Email]),FALSE))</f>
        <v/>
      </c>
      <c r="CB131" s="352" t="e">
        <f>VLOOKUP(T_Convention[[#This Row],[NumL]],T_TraitDi[#Data],COLUMN(T_TraitDi[NbJTot]),FALSE)</f>
        <v>#N/A</v>
      </c>
      <c r="CC131" s="352" t="e">
        <f>VLOOKUP(T_Convention[[#This Row],[NumL]],T_TraitDi[#Data],COLUMN(T_TraitDi[Reg Ponct]),FALSE)</f>
        <v>#N/A</v>
      </c>
      <c r="CD131" s="348" t="str">
        <f>IF(T_Convention[[#This Row],[Final]]&lt;&gt;"",VLOOKUP(T_Convention[[#This Row],[NumL]],T_suiviDi[#Data],COLUMN((T_suiviDi[Statut])),FALSE),"")</f>
        <v/>
      </c>
    </row>
    <row r="132" spans="1:82" s="106" customFormat="1" ht="18.75" customHeight="1" x14ac:dyDescent="0.25">
      <c r="A132" s="160">
        <v>72</v>
      </c>
      <c r="B132" s="161" t="str">
        <f>VLOOKUP(T_Convention[[#This Row],[NumL]],T_Commission[#Data],COLUMN(T_Commission[FINAL]),FALSE)</f>
        <v/>
      </c>
      <c r="C132" s="162"/>
      <c r="D132" s="95" t="e">
        <f>IF(VLOOKUP(T_Convention[[#This Row],[NumL]],T_TraitDi[#Data],COLUMN(T_TraitDi[WebC]),FALSE)="","",VLOOKUP(T_Convention[[#This Row],[NumL]],T_TraitDi[#Data],COLUMN(T_TraitDi[WebC]),FALSE))</f>
        <v>#N/A</v>
      </c>
      <c r="E132" s="163" t="str">
        <f t="shared" si="10"/>
        <v>12 janvier 2021</v>
      </c>
      <c r="F132" s="282" t="str">
        <f>IF(T_Convention[[#This Row],[Final]]&lt;&gt;"",VLOOKUP(T_Convention[[#This Row],[NumL]],T_suiviDi[#Data],COLUMN((T_suiviDi[Civ.])),FALSE),"")</f>
        <v/>
      </c>
      <c r="G132" s="283" t="str">
        <f>IF(T_Convention[[#This Row],[Final]]&lt;&gt;"",VLOOKUP(T_Convention[[#This Row],[NumL]],T_suiviDi[#Data],COLUMN((T_suiviDi[Nom])),FALSE),"")</f>
        <v/>
      </c>
      <c r="H132" s="282" t="str">
        <f>IF(T_Convention[[#This Row],[Final]]&lt;&gt;"",VLOOKUP(T_Convention[[#This Row],[NumL]],T_suiviDi[#Data],COLUMN((T_suiviDi[Prénom])),FALSE),"")</f>
        <v/>
      </c>
      <c r="I132" s="282" t="e">
        <f>VLOOKUP(T_Convention[[#This Row],[NumL]],T_suiviDi[#Data],COLUMN((T_suiviDi[[#This Row],[Email]])),FALSE)</f>
        <v>#VALUE!</v>
      </c>
      <c r="J132" s="282" t="e">
        <f>IF(VLOOKUP(T_Convention[[#This Row],[NumL]],T_suiviDi[#Data],COLUMN(T_suiviDi[[#This Row],[Fonction]]),FALSE)="","",VLOOKUP(T_Convention[[#This Row],[NumL]],T_suiviDi[#Data],COLUMN(T_suiviDi[[#This Row],[Fonction]]),FALSE))</f>
        <v>#VALUE!</v>
      </c>
      <c r="K132" s="282" t="e">
        <f>IF(VLOOKUP(T_Convention[[#This Row],[NumL]],T_suiviDi[#Data],COLUMN(T_suiviDi[[#This Row],[Grade]]),FALSE)="","",VLOOKUP(T_Convention[[#This Row],[NumL]],T_suiviDi[#Data],COLUMN(T_suiviDi[[#This Row],[Grade]]),FALSE))</f>
        <v>#VALUE!</v>
      </c>
      <c r="L132" s="282" t="e">
        <f>IF(VLOOKUP(T_Convention[[#This Row],[NumL]],T_suiviDi[#Data],COLUMN(T_suiviDi[[#This Row],[Service ]]),FALSE)="","",VLOOKUP(T_Convention[[#This Row],[NumL]],T_suiviDi[#Data],COLUMN(T_suiviDi[[#This Row],[Service ]]),FALSE))</f>
        <v>#VALUE!</v>
      </c>
      <c r="M132" s="164" t="str">
        <f t="shared" si="11"/>
        <v>01 septembre 2021</v>
      </c>
      <c r="N132" s="164" t="str">
        <f t="shared" si="12"/>
        <v>30 novembre 2021</v>
      </c>
      <c r="O132" s="284" t="str">
        <f t="shared" si="13"/>
        <v>30 novembre 2021</v>
      </c>
      <c r="P132" s="282" t="e">
        <f>IF(VLOOKUP(T_Convention[[#This Row],[NumL]],T_TraitDi[#Data],COLUMN(T_TraitDi[M1]),FALSE)="","",VLOOKUP(T_Convention[[#This Row],[NumL]],T_TraitDi[#Data],COLUMN(T_TraitDi[M1]),FALSE))</f>
        <v>#N/A</v>
      </c>
      <c r="Q132" s="282" t="e">
        <f>IF(VLOOKUP(T_Convention[[#This Row],[NumL]],T_TraitDi[#Data],COLUMN(T_TraitDi[M2]),FALSE)="","",VLOOKUP(T_Convention[[#This Row],[NumL]],T_TraitDi[#Data],COLUMN(T_TraitDi[M2]),FALSE))</f>
        <v>#N/A</v>
      </c>
      <c r="R132" s="282" t="e">
        <f>IF(VLOOKUP(T_Convention[[#This Row],[NumL]],T_TraitDi[#Data],COLUMN(T_TraitDi[M3]),FALSE)="","",VLOOKUP(T_Convention[[#This Row],[NumL]],T_TraitDi[#Data],COLUMN(T_TraitDi[M3]),FALSE))</f>
        <v>#N/A</v>
      </c>
      <c r="S132" s="282" t="e">
        <f>IF(VLOOKUP(T_Convention[[#This Row],[NumL]],T_TraitDi[#Data],COLUMN(T_TraitDi[M4]),FALSE)="","",VLOOKUP(T_Convention[[#This Row],[NumL]],T_TraitDi[#Data],COLUMN(T_TraitDi[M4]),FALSE))</f>
        <v>#N/A</v>
      </c>
      <c r="T132" s="282" t="e">
        <f>IF(VLOOKUP(T_Convention[[#This Row],[NumL]],T_TraitDi[#Data],COLUMN(T_TraitDi[M5]),FALSE)="","",VLOOKUP(T_Convention[[#This Row],[NumL]],T_TraitDi[#Data],COLUMN(T_TraitDi[M5]),FALSE))</f>
        <v>#N/A</v>
      </c>
      <c r="U132" s="282" t="e">
        <f>IF(VLOOKUP(T_Convention[[#This Row],[NumL]],T_TraitDi[#Data],COLUMN(T_TraitDi[M6]),FALSE)="","",VLOOKUP(T_Convention[[#This Row],[NumL]],T_TraitDi[#Data],COLUMN(T_TraitDi[M6]),FALSE))</f>
        <v>#N/A</v>
      </c>
      <c r="V132" s="176" t="e">
        <f t="shared" si="14"/>
        <v>#N/A</v>
      </c>
      <c r="W132" s="284" t="str">
        <f>IFERROR(TEXT(VLOOKUP(T_Convention[[#This Row],[NumL]],T_TraitDi[#Data],COLUMN(T_TraitDi[Q2]),FALSE),"###%"),"")</f>
        <v/>
      </c>
      <c r="X132" s="97" t="e">
        <f>VLOOKUP(T_Convention[[#This Row],[NumL]],T_TraitDi[#Data],COLUMN(T_TraitDi[Reg Ponct]),FALSE)</f>
        <v>#N/A</v>
      </c>
      <c r="Y132" s="97" t="e">
        <f>VLOOKUP(T_Convention[NumL],T_TraitDi[#Data],COLUMN(T_TraitDi[Jours flottants]),FALSE)</f>
        <v>#N/A</v>
      </c>
      <c r="Z132" s="284" t="str">
        <f>IFERROR(VLOOKUP(T_Convention[[#This Row],[NumL]],T_TraitDi[#Data],COLUMN(T_TraitDi[Lundi]),FALSE),"")</f>
        <v/>
      </c>
      <c r="AA132" s="284" t="e">
        <f>IF(VLOOKUP(T_Convention[[#This Row],[NumL]],T_TraitDi[#Data],COLUMN(T_TraitDi[Colonne3]),FALSE)=0,"",TEXT(IFERROR(VLOOKUP(T_Convention[[#This Row],[NumL]],T_TraitDi[#Data],COLUMN(T_TraitDi[Colonne3]),FALSE),""),"[hh]:mm"))</f>
        <v>#N/A</v>
      </c>
      <c r="AB132" s="284" t="e">
        <f>IF(VLOOKUP(T_Convention[[#This Row],[NumL]],T_TraitDi[#Data],COLUMN(T_TraitDi[Colonne4]),FALSE)=0,"",TEXT(IFERROR(VLOOKUP(T_Convention[[#This Row],[NumL]],T_TraitDi[#Data],COLUMN(T_TraitDi[Colonne4]),FALSE),""),"[hh]:mm"))</f>
        <v>#N/A</v>
      </c>
      <c r="AC132" s="284" t="e">
        <f>IF(VLOOKUP(T_Convention[[#This Row],[NumL]],T_TraitDi[#Data],COLUMN(T_TraitDi[Colonne5]),FALSE)=0,"",TEXT(IFERROR(VLOOKUP(T_Convention[[#This Row],[NumL]],T_TraitDi[#Data],COLUMN(T_TraitDi[Colonne5]),FALSE),""),"[hh]:mm"))</f>
        <v>#N/A</v>
      </c>
      <c r="AD132" s="284" t="e">
        <f>IF(VLOOKUP(T_Convention[[#This Row],[NumL]],T_TraitDi[#Data],COLUMN(T_TraitDi[Colonne6]),FALSE)=0,"",TEXT(IFERROR(VLOOKUP(T_Convention[[#This Row],[NumL]],T_TraitDi[#Data],COLUMN(T_TraitDi[Colonne6]),FALSE),""),"[hh]:mm"))</f>
        <v>#N/A</v>
      </c>
      <c r="AE132" s="284" t="e">
        <f>IF(VLOOKUP(T_Convention[[#This Row],[NumL]],T_TraitDi[#Data],COLUMN(T_TraitDi[Colonne7]),FALSE)=0,"",TEXT(IFERROR(VLOOKUP(T_Convention[[#This Row],[NumL]],T_TraitDi[#Data],COLUMN(T_TraitDi[Colonne7]),FALSE),""),"[hh]:mm"))</f>
        <v>#N/A</v>
      </c>
      <c r="AF132" s="284" t="e">
        <f>IF(VLOOKUP(T_Convention[[#This Row],[NumL]],T_TraitDi[#Data],COLUMN(T_TraitDi[Colonne8]),FALSE)=0,"",TEXT(IFERROR(VLOOKUP(T_Convention[[#This Row],[NumL]],T_TraitDi[#Data],COLUMN(T_TraitDi[Colonne8]),FALSE),""),"[hh]:mm"))</f>
        <v>#N/A</v>
      </c>
      <c r="AG132" s="284" t="str">
        <f>IFERROR(VLOOKUP(T_Convention[[#This Row],[NumL]],T_TraitDi[#Data],COLUMN(T_TraitDi[Mardi]),FALSE),"")</f>
        <v/>
      </c>
      <c r="AH132" s="284" t="e">
        <f>IF(VLOOKUP(T_Convention[[#This Row],[NumL]],T_TraitDi[#Data],COLUMN(T_TraitDi[Colonne1]),FALSE)=0,"",TEXT(IFERROR(VLOOKUP(T_Convention[[#This Row],[NumL]],T_TraitDi[#Data],COLUMN(T_TraitDi[Colonne1]),FALSE),""),"[hh]:mm"))</f>
        <v>#N/A</v>
      </c>
      <c r="AI132" s="284" t="e">
        <f>IF(VLOOKUP(T_Convention[[#This Row],[NumL]],T_TraitDi[#Data],COLUMN(T_TraitDi[Colonne9]),FALSE)=0,"",TEXT(IFERROR(VLOOKUP(T_Convention[[#This Row],[NumL]],T_TraitDi[#Data],COLUMN(T_TraitDi[Colonne9]),FALSE),""),"[hh]:mm"))</f>
        <v>#N/A</v>
      </c>
      <c r="AJ132" s="284" t="str">
        <f>IFERROR(VLOOKUP(T_Convention[[#This Row],[NumL]],T_TraitDi[#Data],COLUMN(T_TraitDi[Colonne10]),FALSE),"")</f>
        <v/>
      </c>
      <c r="AK132" s="284" t="e">
        <f>IF(VLOOKUP(T_Convention[[#This Row],[NumL]],T_TraitDi[#Data],COLUMN(T_TraitDi[Colonne11]),FALSE)=0,"",TEXT(IFERROR(VLOOKUP(T_Convention[[#This Row],[NumL]],T_TraitDi[#Data],COLUMN(T_TraitDi[Colonne11]),FALSE),""),"[hh]:mm"))</f>
        <v>#N/A</v>
      </c>
      <c r="AL132" s="284" t="e">
        <f>IF(VLOOKUP(T_Convention[[#This Row],[NumL]],T_TraitDi[#Data],COLUMN(T_TraitDi[Colonne12]),FALSE)=0,"",TEXT(IFERROR(VLOOKUP(T_Convention[[#This Row],[NumL]],T_TraitDi[#Data],COLUMN(T_TraitDi[Colonne12]),FALSE),""),"[hh]:mm"))</f>
        <v>#N/A</v>
      </c>
      <c r="AM132" s="284" t="e">
        <f>IF(VLOOKUP(T_Convention[[#This Row],[NumL]],T_TraitDi[#Data],COLUMN(T_TraitDi[Colonne14]),FALSE)=0,"",TEXT(IFERROR(VLOOKUP(T_Convention[[#This Row],[NumL]],T_TraitDi[#Data],COLUMN(T_TraitDi[Colonne14]),FALSE),""),"[hh]:mm"))</f>
        <v>#N/A</v>
      </c>
      <c r="AN132" s="284" t="str">
        <f>IFERROR(VLOOKUP(T_Convention[[#This Row],[NumL]],T_TraitDi[#Data],COLUMN(T_TraitDi[Mercredi]),FALSE),"")</f>
        <v/>
      </c>
      <c r="AO132" s="284" t="e">
        <f>IF(VLOOKUP(T_Convention[[#This Row],[NumL]],T_TraitDi[#Data],COLUMN(T_TraitDi[Colonne15]),FALSE)=0,"",TEXT(IFERROR(VLOOKUP(T_Convention[[#This Row],[NumL]],T_TraitDi[#Data],COLUMN(T_TraitDi[Colonne15]),FALSE),""),"[hh]:mm"))</f>
        <v>#N/A</v>
      </c>
      <c r="AP132" s="284" t="e">
        <f>IF(VLOOKUP(T_Convention[[#This Row],[NumL]],T_TraitDi[#Data],COLUMN(T_TraitDi[Colonne16]),FALSE)=0,"",TEXT(IFERROR(VLOOKUP(T_Convention[[#This Row],[NumL]],T_TraitDi[#Data],COLUMN(T_TraitDi[Colonne16]),FALSE),""),"[hh]:mm"))</f>
        <v>#N/A</v>
      </c>
      <c r="AQ132" s="284" t="str">
        <f>IFERROR(VLOOKUP(T_Convention[[#This Row],[NumL]],T_TraitDi[#Data],COLUMN(T_TraitDi[Colonne17]),FALSE),"")</f>
        <v/>
      </c>
      <c r="AR132" s="284" t="e">
        <f>IF(VLOOKUP(T_Convention[[#This Row],[NumL]],T_TraitDi[#Data],COLUMN(T_TraitDi[Colonne18]),FALSE)=0,"",TEXT(IFERROR(VLOOKUP(T_Convention[[#This Row],[NumL]],T_TraitDi[#Data],COLUMN(T_TraitDi[Colonne18]),FALSE),""),"[hh]:mm"))</f>
        <v>#N/A</v>
      </c>
      <c r="AS132" s="284" t="e">
        <f>IF(VLOOKUP(T_Convention[[#This Row],[NumL]],T_TraitDi[#Data],COLUMN(T_TraitDi[Colonne19]),FALSE)=0,"",TEXT(IFERROR(VLOOKUP(T_Convention[[#This Row],[NumL]],T_TraitDi[#Data],COLUMN(T_TraitDi[Colonne19]),FALSE),""),"[hh]:mm"))</f>
        <v>#N/A</v>
      </c>
      <c r="AT132" s="284" t="e">
        <f>IF(VLOOKUP(T_Convention[[#This Row],[NumL]],T_TraitDi[#Data],COLUMN(T_TraitDi[Colonne20]),FALSE)=0,"",TEXT(IFERROR(VLOOKUP(T_Convention[[#This Row],[NumL]],T_TraitDi[#Data],COLUMN(T_TraitDi[Colonne20]),FALSE),""),"[hh]:mm"))</f>
        <v>#N/A</v>
      </c>
      <c r="AU132" s="284" t="str">
        <f>IFERROR(VLOOKUP(T_Convention[[#This Row],[NumL]],T_TraitDi[#Data],COLUMN(T_TraitDi[Jeudi]),FALSE),"")</f>
        <v/>
      </c>
      <c r="AV132" s="284" t="e">
        <f>IF(VLOOKUP(T_Convention[[#This Row],[NumL]],T_TraitDi[#Data],COLUMN(T_TraitDi[Colonne21]),FALSE)=0,"",TEXT(IFERROR(VLOOKUP(T_Convention[[#This Row],[NumL]],T_TraitDi[#Data],COLUMN(T_TraitDi[Colonne21]),FALSE),""),"[hh]:mm"))</f>
        <v>#N/A</v>
      </c>
      <c r="AW132" s="284" t="e">
        <f>IF(VLOOKUP(T_Convention[[#This Row],[NumL]],T_TraitDi[#Data],COLUMN(T_TraitDi[Colonne22]),FALSE)=0,"",TEXT(IFERROR(VLOOKUP(T_Convention[[#This Row],[NumL]],T_TraitDi[#Data],COLUMN(T_TraitDi[Colonne22]),FALSE),""),"[hh]:mm"))</f>
        <v>#N/A</v>
      </c>
      <c r="AX132" s="284" t="str">
        <f>IFERROR(VLOOKUP(T_Convention[[#This Row],[NumL]],T_TraitDi[#Data],COLUMN(T_TraitDi[Colonne23]),FALSE),"")</f>
        <v/>
      </c>
      <c r="AY132" s="284" t="e">
        <f>IF(VLOOKUP(T_Convention[[#This Row],[NumL]],T_TraitDi[#Data],COLUMN(T_TraitDi[Colonne24]),FALSE)=0,"",TEXT(IFERROR(VLOOKUP(T_Convention[[#This Row],[NumL]],T_TraitDi[#Data],COLUMN(T_TraitDi[Colonne24]),FALSE),""),"[hh]:mm"))</f>
        <v>#N/A</v>
      </c>
      <c r="AZ132" s="284" t="e">
        <f>IF(VLOOKUP(T_Convention[[#This Row],[NumL]],T_TraitDi[#Data],COLUMN(T_TraitDi[Colonne25]),FALSE)=0,"",TEXT(IFERROR(VLOOKUP(T_Convention[[#This Row],[NumL]],T_TraitDi[#Data],COLUMN(T_TraitDi[Colonne25]),FALSE),""),"[hh]:mm"))</f>
        <v>#N/A</v>
      </c>
      <c r="BA132" s="284" t="e">
        <f>IF(VLOOKUP(T_Convention[[#This Row],[NumL]],T_TraitDi[#Data],COLUMN(T_TraitDi[Colonne26]),FALSE)=0,"",TEXT(IFERROR(VLOOKUP(T_Convention[[#This Row],[NumL]],T_TraitDi[#Data],COLUMN(T_TraitDi[Colonne26]),FALSE),""),"[hh]:mm"))</f>
        <v>#N/A</v>
      </c>
      <c r="BB132" s="284" t="str">
        <f>IFERROR(VLOOKUP(T_Convention[[#This Row],[NumL]],T_TraitDi[#Data],COLUMN(T_TraitDi[Vendredi]),FALSE),"")</f>
        <v/>
      </c>
      <c r="BC132" s="284" t="e">
        <f>IF(VLOOKUP(T_Convention[[#This Row],[NumL]],T_TraitDi[#Data],COLUMN(T_TraitDi[Colonne27]),FALSE)=0,"",TEXT(IFERROR(VLOOKUP(T_Convention[[#This Row],[NumL]],T_TraitDi[#Data],COLUMN(T_TraitDi[Colonne27]),FALSE),""),"[hh]:mm"))</f>
        <v>#N/A</v>
      </c>
      <c r="BD132" s="284" t="e">
        <f>IF(VLOOKUP(T_Convention[[#This Row],[NumL]],T_TraitDi[#Data],COLUMN(T_TraitDi[Colonne28]),FALSE)=0,"",TEXT(IFERROR(VLOOKUP(T_Convention[[#This Row],[NumL]],T_TraitDi[#Data],COLUMN(T_TraitDi[Colonne28]),FALSE),""),"[hh]:mm"))</f>
        <v>#N/A</v>
      </c>
      <c r="BE132" s="284" t="str">
        <f>IFERROR(VLOOKUP(T_Convention[[#This Row],[NumL]],T_TraitDi[#Data],COLUMN(T_TraitDi[Colonne29]),FALSE),"")</f>
        <v/>
      </c>
      <c r="BF132" s="284" t="e">
        <f>IF(VLOOKUP(T_Convention[[#This Row],[NumL]],T_TraitDi[#Data],COLUMN(T_TraitDi[Colonne30]),FALSE)=0,"",TEXT(IFERROR(VLOOKUP(T_Convention[[#This Row],[NumL]],T_TraitDi[#Data],COLUMN(T_TraitDi[Colonne30]),FALSE),""),"[hh]:mm"))</f>
        <v>#N/A</v>
      </c>
      <c r="BG132" s="284" t="e">
        <f>IF(VLOOKUP(T_Convention[[#This Row],[NumL]],T_TraitDi[#Data],COLUMN(T_TraitDi[Colonne31]),FALSE)=0,"",TEXT(IFERROR(VLOOKUP(T_Convention[[#This Row],[NumL]],T_TraitDi[#Data],COLUMN(T_TraitDi[Colonne31]),FALSE),""),"[hh]:mm"))</f>
        <v>#N/A</v>
      </c>
      <c r="BH132" s="284" t="e">
        <f>IF(VLOOKUP(T_Convention[[#This Row],[NumL]],T_TraitDi[#Data],COLUMN(T_TraitDi[Colonne32]),FALSE)=0,"",TEXT(IFERROR(VLOOKUP(T_Convention[[#This Row],[NumL]],T_TraitDi[#Data],COLUMN(T_TraitDi[Colonne32]),FALSE),""),"[hh]:mm"))</f>
        <v>#N/A</v>
      </c>
      <c r="BI132" s="284" t="str">
        <f>IFERROR(VLOOKUP(T_Convention[[#This Row],[NumL]],T_TraitDi[#Data],COLUMN(T_TraitDi[NbJTW]),FALSE),"")</f>
        <v/>
      </c>
      <c r="BJ132" s="284" t="e">
        <f>IF(VLOOKUP(T_Convention[[#This Row],[NumL]],T_TraitDi[#Data],COLUMN(T_TraitDi[NbhTW]),FALSE)=0,"",TEXT(IFERROR(VLOOKUP(T_Convention[[#This Row],[NumL]],T_TraitDi[#Data],COLUMN(T_TraitDi[NbhTW]),FALSE),""),"[hh]:mm"))</f>
        <v>#N/A</v>
      </c>
      <c r="BK132" s="286" t="e">
        <f>IF(VLOOKUP(T_Convention[[#This Row],[NumL]],T_TraitDi[#Data],COLUMN(T_TraitDi[Nbhheb]),FALSE)=0,"",TEXT(IFERROR(VLOOKUP(T_Convention[[#This Row],[NumL]],T_TraitDi[#Data],COLUMN(T_TraitDi[Nbhheb]),FALSE),""),"[hh]:mm"))</f>
        <v>#N/A</v>
      </c>
      <c r="BL132" s="287" t="str">
        <f>IFERROR(VLOOKUP(VLOOKUP(T_Convention[[#This Row],[NumL]],T_TraitDi[#Data],COLUMN(T_TraitDi[Type1]),FALSE),TypeTW,2,FALSE),"")</f>
        <v/>
      </c>
      <c r="BM132" s="288" t="str">
        <f>IFERROR(VLOOKUP(T_Convention[[#This Row],[NumL]],T_TraitDi[#Data],COLUMN(T_TraitDi[Rue1]),FALSE),"")</f>
        <v/>
      </c>
      <c r="BN132" s="289" t="str">
        <f>IFERROR(VLOOKUP(T_Convention[[#This Row],[NumL]],T_TraitDi[#Data],COLUMN(T_TraitDi[CP1]),FALSE),"")</f>
        <v/>
      </c>
      <c r="BO132" s="282" t="str">
        <f>IFERROR(VLOOKUP(T_Convention[[#This Row],[NumL]],T_TraitDi[#Data],COLUMN(T_TraitDi[VILLE1]),FALSE),"")</f>
        <v/>
      </c>
      <c r="BP132" s="290" t="str">
        <f>IFERROR(VLOOKUP(VLOOKUP(T_Convention[[#This Row],[NumL]],T_TraitDi[#Data],COLUMN(T_TraitDi[Type2]),FALSE),TypeTW,2,FALSE),"")</f>
        <v/>
      </c>
      <c r="BQ132" s="182" t="str">
        <f>IFERROR(VLOOKUP(T_Convention[[#This Row],[NumL]],T_TraitDi[#Data],COLUMN(T_TraitDi[Rue2]),FALSE),"")</f>
        <v/>
      </c>
      <c r="BR132" s="173" t="str">
        <f>IFERROR(VLOOKUP(T_Convention[[#This Row],[NumL]],T_TraitDi[#Data],COLUMN(T_TraitDi[CP2]),FALSE),"")</f>
        <v/>
      </c>
      <c r="BS132" s="173" t="str">
        <f>IFERROR(VLOOKUP(T_Convention[[#This Row],[NumL]],T_TraitDi[#Data],COLUMN(T_TraitDi[VILLE2]),FALSE),"")</f>
        <v/>
      </c>
      <c r="BT132" s="182" t="str">
        <f>IF(VLOOKUP(T_Convention[[#This Row],[NumL]],T_Equipement[#Data],COLUMN(T_Equipement[PC]),FALSE)="","Aucun équipement spécifique directement lié au télétravail",VLOOKUP(T_Convention[[#This Row],[NumL]],T_Equipement[#Data],COLUMN(T_Equipement[PC]),FALSE))</f>
        <v xml:space="preserve">14-399	</v>
      </c>
      <c r="BU132" s="166" t="str">
        <f>IFERROR(IF(VLOOKUP(T_Convention[[#This Row],[NumL]],T_TraitDi[#Data],COLUMN(T_TraitDi[Plan]),FALSE)="OK","Un planning spécifique de télétravail est annexé à la présente convention.",""),"")</f>
        <v/>
      </c>
      <c r="BV132" s="185" t="s">
        <v>3532</v>
      </c>
      <c r="BW132" s="164" t="e">
        <f>IF(VLOOKUP(T_Convention[[#This Row],[NumL]],T_suiviDi[#Data],COLUMN(T_suiviDi[Entité]),FALSE)="","",VLOOKUP(T_Convention[[#This Row],[NumL]],T_suiviDi[#Data],COLUMN(T_suiviDi[Entité]),FALSE))</f>
        <v>#N/A</v>
      </c>
      <c r="BX132" s="164" t="str">
        <f>IF(VLOOKUP(T_Convention[[#This Row],[NumL]],T_Commission[#Data],COLUMN(T_Commission[envoi confirm TW]),FALSE)="","",VLOOKUP(T_Convention[[#This Row],[NumL]],T_Commission[#Data],COLUMN(T_Commission[envoi confirm TW]),FALSE))</f>
        <v>Oui</v>
      </c>
      <c r="BY13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2" s="264">
        <f>VLOOKUP(T_Convention[[#This Row],[NumL]],T_Commission[#Data],COLUMN(T_Commission[Commentaire]),FALSE)</f>
        <v>0</v>
      </c>
      <c r="CA132" s="254" t="str">
        <f>IF(VLOOKUP(T_Convention[[#This Row],[NumL]],T_Commission[#Data],COLUMN(T_Commission[Encadrant Email]),FALSE)="","",VLOOKUP(T_Convention[[#This Row],[NumL]],T_Commission[#Data],COLUMN(T_Commission[Encadrant Email]),FALSE))</f>
        <v/>
      </c>
      <c r="CB132" s="352" t="e">
        <f>VLOOKUP(T_Convention[[#This Row],[NumL]],T_TraitDi[#Data],COLUMN(T_TraitDi[NbJTot]),FALSE)</f>
        <v>#N/A</v>
      </c>
      <c r="CC132" s="352" t="e">
        <f>VLOOKUP(T_Convention[[#This Row],[NumL]],T_TraitDi[#Data],COLUMN(T_TraitDi[Reg Ponct]),FALSE)</f>
        <v>#N/A</v>
      </c>
      <c r="CD132" s="348" t="str">
        <f>IF(T_Convention[[#This Row],[Final]]&lt;&gt;"",VLOOKUP(T_Convention[[#This Row],[NumL]],T_suiviDi[#Data],COLUMN((T_suiviDi[Statut])),FALSE),"")</f>
        <v/>
      </c>
    </row>
    <row r="133" spans="1:82" s="106" customFormat="1" ht="18.75" customHeight="1" x14ac:dyDescent="0.25">
      <c r="A133" s="160">
        <v>161</v>
      </c>
      <c r="B133" s="161" t="str">
        <f>VLOOKUP(T_Convention[[#This Row],[NumL]],T_Commission[#Data],COLUMN(T_Commission[FINAL]),FALSE)</f>
        <v/>
      </c>
      <c r="C133" s="162"/>
      <c r="D133" s="95" t="e">
        <f>IF(VLOOKUP(T_Convention[[#This Row],[NumL]],T_TraitDi[#Data],COLUMN(T_TraitDi[WebC]),FALSE)="","",VLOOKUP(T_Convention[[#This Row],[NumL]],T_TraitDi[#Data],COLUMN(T_TraitDi[WebC]),FALSE))</f>
        <v>#N/A</v>
      </c>
      <c r="E133" s="163" t="str">
        <f t="shared" si="10"/>
        <v>12 janvier 2021</v>
      </c>
      <c r="F133" s="282" t="str">
        <f>IF(T_Convention[[#This Row],[Final]]&lt;&gt;"",VLOOKUP(T_Convention[[#This Row],[NumL]],T_suiviDi[#Data],COLUMN((T_suiviDi[Civ.])),FALSE),"")</f>
        <v/>
      </c>
      <c r="G133" s="283" t="str">
        <f>IF(T_Convention[[#This Row],[Final]]&lt;&gt;"",VLOOKUP(T_Convention[[#This Row],[NumL]],T_suiviDi[#Data],COLUMN((T_suiviDi[Nom])),FALSE),"")</f>
        <v/>
      </c>
      <c r="H133" s="282" t="str">
        <f>IF(T_Convention[[#This Row],[Final]]&lt;&gt;"",VLOOKUP(T_Convention[[#This Row],[NumL]],T_suiviDi[#Data],COLUMN((T_suiviDi[Prénom])),FALSE),"")</f>
        <v/>
      </c>
      <c r="I133" s="282" t="e">
        <f>VLOOKUP(T_Convention[[#This Row],[NumL]],T_suiviDi[#Data],COLUMN((T_suiviDi[[#This Row],[Email]])),FALSE)</f>
        <v>#VALUE!</v>
      </c>
      <c r="J133" s="282" t="e">
        <f>IF(VLOOKUP(T_Convention[[#This Row],[NumL]],T_suiviDi[#Data],COLUMN(T_suiviDi[[#This Row],[Fonction]]),FALSE)="","",VLOOKUP(T_Convention[[#This Row],[NumL]],T_suiviDi[#Data],COLUMN(T_suiviDi[[#This Row],[Fonction]]),FALSE))</f>
        <v>#VALUE!</v>
      </c>
      <c r="K133" s="282" t="e">
        <f>IF(VLOOKUP(T_Convention[[#This Row],[NumL]],T_suiviDi[#Data],COLUMN(T_suiviDi[[#This Row],[Grade]]),FALSE)="","",VLOOKUP(T_Convention[[#This Row],[NumL]],T_suiviDi[#Data],COLUMN(T_suiviDi[[#This Row],[Grade]]),FALSE))</f>
        <v>#VALUE!</v>
      </c>
      <c r="L133" s="282" t="e">
        <f>IF(VLOOKUP(T_Convention[[#This Row],[NumL]],T_suiviDi[#Data],COLUMN(T_suiviDi[[#This Row],[Service ]]),FALSE)="","",VLOOKUP(T_Convention[[#This Row],[NumL]],T_suiviDi[#Data],COLUMN(T_suiviDi[[#This Row],[Service ]]),FALSE))</f>
        <v>#VALUE!</v>
      </c>
      <c r="M133" s="164" t="str">
        <f t="shared" si="11"/>
        <v>01 septembre 2021</v>
      </c>
      <c r="N133" s="164" t="str">
        <f t="shared" si="12"/>
        <v>30 novembre 2021</v>
      </c>
      <c r="O133" s="284" t="str">
        <f t="shared" si="13"/>
        <v>30 novembre 2021</v>
      </c>
      <c r="P133" s="282" t="e">
        <f>IF(VLOOKUP(T_Convention[[#This Row],[NumL]],T_TraitDi[#Data],COLUMN(T_TraitDi[M1]),FALSE)="","",VLOOKUP(T_Convention[[#This Row],[NumL]],T_TraitDi[#Data],COLUMN(T_TraitDi[M1]),FALSE))</f>
        <v>#N/A</v>
      </c>
      <c r="Q133" s="282" t="e">
        <f>IF(VLOOKUP(T_Convention[[#This Row],[NumL]],T_TraitDi[#Data],COLUMN(T_TraitDi[M2]),FALSE)="","",VLOOKUP(T_Convention[[#This Row],[NumL]],T_TraitDi[#Data],COLUMN(T_TraitDi[M2]),FALSE))</f>
        <v>#N/A</v>
      </c>
      <c r="R133" s="282" t="e">
        <f>IF(VLOOKUP(T_Convention[[#This Row],[NumL]],T_TraitDi[#Data],COLUMN(T_TraitDi[M3]),FALSE)="","",VLOOKUP(T_Convention[[#This Row],[NumL]],T_TraitDi[#Data],COLUMN(T_TraitDi[M3]),FALSE))</f>
        <v>#N/A</v>
      </c>
      <c r="S133" s="282" t="e">
        <f>IF(VLOOKUP(T_Convention[[#This Row],[NumL]],T_TraitDi[#Data],COLUMN(T_TraitDi[M4]),FALSE)="","",VLOOKUP(T_Convention[[#This Row],[NumL]],T_TraitDi[#Data],COLUMN(T_TraitDi[M4]),FALSE))</f>
        <v>#N/A</v>
      </c>
      <c r="T133" s="282" t="e">
        <f>IF(VLOOKUP(T_Convention[[#This Row],[NumL]],T_TraitDi[#Data],COLUMN(T_TraitDi[M5]),FALSE)="","",VLOOKUP(T_Convention[[#This Row],[NumL]],T_TraitDi[#Data],COLUMN(T_TraitDi[M5]),FALSE))</f>
        <v>#N/A</v>
      </c>
      <c r="U133" s="282" t="e">
        <f>IF(VLOOKUP(T_Convention[[#This Row],[NumL]],T_TraitDi[#Data],COLUMN(T_TraitDi[M6]),FALSE)="","",VLOOKUP(T_Convention[[#This Row],[NumL]],T_TraitDi[#Data],COLUMN(T_TraitDi[M6]),FALSE))</f>
        <v>#N/A</v>
      </c>
      <c r="V133" s="176" t="e">
        <f t="shared" si="14"/>
        <v>#N/A</v>
      </c>
      <c r="W133" s="284" t="str">
        <f>IFERROR(TEXT(VLOOKUP(T_Convention[[#This Row],[NumL]],T_TraitDi[#Data],COLUMN(T_TraitDi[Q2]),FALSE),"###%"),"")</f>
        <v/>
      </c>
      <c r="X133" s="97" t="e">
        <f>VLOOKUP(T_Convention[[#This Row],[NumL]],T_TraitDi[#Data],COLUMN(T_TraitDi[Reg Ponct]),FALSE)</f>
        <v>#N/A</v>
      </c>
      <c r="Y133" s="97" t="e">
        <f>VLOOKUP(T_Convention[NumL],T_TraitDi[#Data],COLUMN(T_TraitDi[Jours flottants]),FALSE)</f>
        <v>#N/A</v>
      </c>
      <c r="Z133" s="284" t="str">
        <f>IFERROR(VLOOKUP(T_Convention[[#This Row],[NumL]],T_TraitDi[#Data],COLUMN(T_TraitDi[Lundi]),FALSE),"")</f>
        <v/>
      </c>
      <c r="AA133" s="284" t="e">
        <f>IF(VLOOKUP(T_Convention[[#This Row],[NumL]],T_TraitDi[#Data],COLUMN(T_TraitDi[Colonne3]),FALSE)=0,"",TEXT(IFERROR(VLOOKUP(T_Convention[[#This Row],[NumL]],T_TraitDi[#Data],COLUMN(T_TraitDi[Colonne3]),FALSE),""),"[hh]:mm"))</f>
        <v>#N/A</v>
      </c>
      <c r="AB133" s="284" t="e">
        <f>IF(VLOOKUP(T_Convention[[#This Row],[NumL]],T_TraitDi[#Data],COLUMN(T_TraitDi[Colonne4]),FALSE)=0,"",TEXT(IFERROR(VLOOKUP(T_Convention[[#This Row],[NumL]],T_TraitDi[#Data],COLUMN(T_TraitDi[Colonne4]),FALSE),""),"[hh]:mm"))</f>
        <v>#N/A</v>
      </c>
      <c r="AC133" s="284" t="e">
        <f>IF(VLOOKUP(T_Convention[[#This Row],[NumL]],T_TraitDi[#Data],COLUMN(T_TraitDi[Colonne5]),FALSE)=0,"",TEXT(IFERROR(VLOOKUP(T_Convention[[#This Row],[NumL]],T_TraitDi[#Data],COLUMN(T_TraitDi[Colonne5]),FALSE),""),"[hh]:mm"))</f>
        <v>#N/A</v>
      </c>
      <c r="AD133" s="284" t="e">
        <f>IF(VLOOKUP(T_Convention[[#This Row],[NumL]],T_TraitDi[#Data],COLUMN(T_TraitDi[Colonne6]),FALSE)=0,"",TEXT(IFERROR(VLOOKUP(T_Convention[[#This Row],[NumL]],T_TraitDi[#Data],COLUMN(T_TraitDi[Colonne6]),FALSE),""),"[hh]:mm"))</f>
        <v>#N/A</v>
      </c>
      <c r="AE133" s="284" t="e">
        <f>IF(VLOOKUP(T_Convention[[#This Row],[NumL]],T_TraitDi[#Data],COLUMN(T_TraitDi[Colonne7]),FALSE)=0,"",TEXT(IFERROR(VLOOKUP(T_Convention[[#This Row],[NumL]],T_TraitDi[#Data],COLUMN(T_TraitDi[Colonne7]),FALSE),""),"[hh]:mm"))</f>
        <v>#N/A</v>
      </c>
      <c r="AF133" s="284" t="e">
        <f>IF(VLOOKUP(T_Convention[[#This Row],[NumL]],T_TraitDi[#Data],COLUMN(T_TraitDi[Colonne8]),FALSE)=0,"",TEXT(IFERROR(VLOOKUP(T_Convention[[#This Row],[NumL]],T_TraitDi[#Data],COLUMN(T_TraitDi[Colonne8]),FALSE),""),"[hh]:mm"))</f>
        <v>#N/A</v>
      </c>
      <c r="AG133" s="284" t="str">
        <f>IFERROR(VLOOKUP(T_Convention[[#This Row],[NumL]],T_TraitDi[#Data],COLUMN(T_TraitDi[Mardi]),FALSE),"")</f>
        <v/>
      </c>
      <c r="AH133" s="284" t="e">
        <f>IF(VLOOKUP(T_Convention[[#This Row],[NumL]],T_TraitDi[#Data],COLUMN(T_TraitDi[Colonne1]),FALSE)=0,"",TEXT(IFERROR(VLOOKUP(T_Convention[[#This Row],[NumL]],T_TraitDi[#Data],COLUMN(T_TraitDi[Colonne1]),FALSE),""),"[hh]:mm"))</f>
        <v>#N/A</v>
      </c>
      <c r="AI133" s="284" t="e">
        <f>IF(VLOOKUP(T_Convention[[#This Row],[NumL]],T_TraitDi[#Data],COLUMN(T_TraitDi[Colonne9]),FALSE)=0,"",TEXT(IFERROR(VLOOKUP(T_Convention[[#This Row],[NumL]],T_TraitDi[#Data],COLUMN(T_TraitDi[Colonne9]),FALSE),""),"[hh]:mm"))</f>
        <v>#N/A</v>
      </c>
      <c r="AJ133" s="284" t="str">
        <f>IFERROR(VLOOKUP(T_Convention[[#This Row],[NumL]],T_TraitDi[#Data],COLUMN(T_TraitDi[Colonne10]),FALSE),"")</f>
        <v/>
      </c>
      <c r="AK133" s="284" t="e">
        <f>IF(VLOOKUP(T_Convention[[#This Row],[NumL]],T_TraitDi[#Data],COLUMN(T_TraitDi[Colonne11]),FALSE)=0,"",TEXT(IFERROR(VLOOKUP(T_Convention[[#This Row],[NumL]],T_TraitDi[#Data],COLUMN(T_TraitDi[Colonne11]),FALSE),""),"[hh]:mm"))</f>
        <v>#N/A</v>
      </c>
      <c r="AL133" s="284" t="e">
        <f>IF(VLOOKUP(T_Convention[[#This Row],[NumL]],T_TraitDi[#Data],COLUMN(T_TraitDi[Colonne12]),FALSE)=0,"",TEXT(IFERROR(VLOOKUP(T_Convention[[#This Row],[NumL]],T_TraitDi[#Data],COLUMN(T_TraitDi[Colonne12]),FALSE),""),"[hh]:mm"))</f>
        <v>#N/A</v>
      </c>
      <c r="AM133" s="284" t="e">
        <f>IF(VLOOKUP(T_Convention[[#This Row],[NumL]],T_TraitDi[#Data],COLUMN(T_TraitDi[Colonne14]),FALSE)=0,"",TEXT(IFERROR(VLOOKUP(T_Convention[[#This Row],[NumL]],T_TraitDi[#Data],COLUMN(T_TraitDi[Colonne14]),FALSE),""),"[hh]:mm"))</f>
        <v>#N/A</v>
      </c>
      <c r="AN133" s="284" t="str">
        <f>IFERROR(VLOOKUP(T_Convention[[#This Row],[NumL]],T_TraitDi[#Data],COLUMN(T_TraitDi[Mercredi]),FALSE),"")</f>
        <v/>
      </c>
      <c r="AO133" s="284" t="e">
        <f>IF(VLOOKUP(T_Convention[[#This Row],[NumL]],T_TraitDi[#Data],COLUMN(T_TraitDi[Colonne15]),FALSE)=0,"",TEXT(IFERROR(VLOOKUP(T_Convention[[#This Row],[NumL]],T_TraitDi[#Data],COLUMN(T_TraitDi[Colonne15]),FALSE),""),"[hh]:mm"))</f>
        <v>#N/A</v>
      </c>
      <c r="AP133" s="284" t="e">
        <f>IF(VLOOKUP(T_Convention[[#This Row],[NumL]],T_TraitDi[#Data],COLUMN(T_TraitDi[Colonne16]),FALSE)=0,"",TEXT(IFERROR(VLOOKUP(T_Convention[[#This Row],[NumL]],T_TraitDi[#Data],COLUMN(T_TraitDi[Colonne16]),FALSE),""),"[hh]:mm"))</f>
        <v>#N/A</v>
      </c>
      <c r="AQ133" s="284" t="str">
        <f>IFERROR(VLOOKUP(T_Convention[[#This Row],[NumL]],T_TraitDi[#Data],COLUMN(T_TraitDi[Colonne17]),FALSE),"")</f>
        <v/>
      </c>
      <c r="AR133" s="284" t="e">
        <f>IF(VLOOKUP(T_Convention[[#This Row],[NumL]],T_TraitDi[#Data],COLUMN(T_TraitDi[Colonne18]),FALSE)=0,"",TEXT(IFERROR(VLOOKUP(T_Convention[[#This Row],[NumL]],T_TraitDi[#Data],COLUMN(T_TraitDi[Colonne18]),FALSE),""),"[hh]:mm"))</f>
        <v>#N/A</v>
      </c>
      <c r="AS133" s="284" t="e">
        <f>IF(VLOOKUP(T_Convention[[#This Row],[NumL]],T_TraitDi[#Data],COLUMN(T_TraitDi[Colonne19]),FALSE)=0,"",TEXT(IFERROR(VLOOKUP(T_Convention[[#This Row],[NumL]],T_TraitDi[#Data],COLUMN(T_TraitDi[Colonne19]),FALSE),""),"[hh]:mm"))</f>
        <v>#N/A</v>
      </c>
      <c r="AT133" s="284" t="e">
        <f>IF(VLOOKUP(T_Convention[[#This Row],[NumL]],T_TraitDi[#Data],COLUMN(T_TraitDi[Colonne20]),FALSE)=0,"",TEXT(IFERROR(VLOOKUP(T_Convention[[#This Row],[NumL]],T_TraitDi[#Data],COLUMN(T_TraitDi[Colonne20]),FALSE),""),"[hh]:mm"))</f>
        <v>#N/A</v>
      </c>
      <c r="AU133" s="284" t="str">
        <f>IFERROR(VLOOKUP(T_Convention[[#This Row],[NumL]],T_TraitDi[#Data],COLUMN(T_TraitDi[Jeudi]),FALSE),"")</f>
        <v/>
      </c>
      <c r="AV133" s="284" t="e">
        <f>IF(VLOOKUP(T_Convention[[#This Row],[NumL]],T_TraitDi[#Data],COLUMN(T_TraitDi[Colonne21]),FALSE)=0,"",TEXT(IFERROR(VLOOKUP(T_Convention[[#This Row],[NumL]],T_TraitDi[#Data],COLUMN(T_TraitDi[Colonne21]),FALSE),""),"[hh]:mm"))</f>
        <v>#N/A</v>
      </c>
      <c r="AW133" s="284" t="e">
        <f>IF(VLOOKUP(T_Convention[[#This Row],[NumL]],T_TraitDi[#Data],COLUMN(T_TraitDi[Colonne22]),FALSE)=0,"",TEXT(IFERROR(VLOOKUP(T_Convention[[#This Row],[NumL]],T_TraitDi[#Data],COLUMN(T_TraitDi[Colonne22]),FALSE),""),"[hh]:mm"))</f>
        <v>#N/A</v>
      </c>
      <c r="AX133" s="284" t="str">
        <f>IFERROR(VLOOKUP(T_Convention[[#This Row],[NumL]],T_TraitDi[#Data],COLUMN(T_TraitDi[Colonne23]),FALSE),"")</f>
        <v/>
      </c>
      <c r="AY133" s="284" t="e">
        <f>IF(VLOOKUP(T_Convention[[#This Row],[NumL]],T_TraitDi[#Data],COLUMN(T_TraitDi[Colonne24]),FALSE)=0,"",TEXT(IFERROR(VLOOKUP(T_Convention[[#This Row],[NumL]],T_TraitDi[#Data],COLUMN(T_TraitDi[Colonne24]),FALSE),""),"[hh]:mm"))</f>
        <v>#N/A</v>
      </c>
      <c r="AZ133" s="284" t="e">
        <f>IF(VLOOKUP(T_Convention[[#This Row],[NumL]],T_TraitDi[#Data],COLUMN(T_TraitDi[Colonne25]),FALSE)=0,"",TEXT(IFERROR(VLOOKUP(T_Convention[[#This Row],[NumL]],T_TraitDi[#Data],COLUMN(T_TraitDi[Colonne25]),FALSE),""),"[hh]:mm"))</f>
        <v>#N/A</v>
      </c>
      <c r="BA133" s="284" t="e">
        <f>IF(VLOOKUP(T_Convention[[#This Row],[NumL]],T_TraitDi[#Data],COLUMN(T_TraitDi[Colonne26]),FALSE)=0,"",TEXT(IFERROR(VLOOKUP(T_Convention[[#This Row],[NumL]],T_TraitDi[#Data],COLUMN(T_TraitDi[Colonne26]),FALSE),""),"[hh]:mm"))</f>
        <v>#N/A</v>
      </c>
      <c r="BB133" s="284" t="str">
        <f>IFERROR(VLOOKUP(T_Convention[[#This Row],[NumL]],T_TraitDi[#Data],COLUMN(T_TraitDi[Vendredi]),FALSE),"")</f>
        <v/>
      </c>
      <c r="BC133" s="284" t="e">
        <f>IF(VLOOKUP(T_Convention[[#This Row],[NumL]],T_TraitDi[#Data],COLUMN(T_TraitDi[Colonne27]),FALSE)=0,"",TEXT(IFERROR(VLOOKUP(T_Convention[[#This Row],[NumL]],T_TraitDi[#Data],COLUMN(T_TraitDi[Colonne27]),FALSE),""),"[hh]:mm"))</f>
        <v>#N/A</v>
      </c>
      <c r="BD133" s="284" t="e">
        <f>IF(VLOOKUP(T_Convention[[#This Row],[NumL]],T_TraitDi[#Data],COLUMN(T_TraitDi[Colonne28]),FALSE)=0,"",TEXT(IFERROR(VLOOKUP(T_Convention[[#This Row],[NumL]],T_TraitDi[#Data],COLUMN(T_TraitDi[Colonne28]),FALSE),""),"[hh]:mm"))</f>
        <v>#N/A</v>
      </c>
      <c r="BE133" s="284" t="str">
        <f>IFERROR(VLOOKUP(T_Convention[[#This Row],[NumL]],T_TraitDi[#Data],COLUMN(T_TraitDi[Colonne29]),FALSE),"")</f>
        <v/>
      </c>
      <c r="BF133" s="284" t="e">
        <f>IF(VLOOKUP(T_Convention[[#This Row],[NumL]],T_TraitDi[#Data],COLUMN(T_TraitDi[Colonne30]),FALSE)=0,"",TEXT(IFERROR(VLOOKUP(T_Convention[[#This Row],[NumL]],T_TraitDi[#Data],COLUMN(T_TraitDi[Colonne30]),FALSE),""),"[hh]:mm"))</f>
        <v>#N/A</v>
      </c>
      <c r="BG133" s="284" t="e">
        <f>IF(VLOOKUP(T_Convention[[#This Row],[NumL]],T_TraitDi[#Data],COLUMN(T_TraitDi[Colonne31]),FALSE)=0,"",TEXT(IFERROR(VLOOKUP(T_Convention[[#This Row],[NumL]],T_TraitDi[#Data],COLUMN(T_TraitDi[Colonne31]),FALSE),""),"[hh]:mm"))</f>
        <v>#N/A</v>
      </c>
      <c r="BH133" s="284" t="e">
        <f>IF(VLOOKUP(T_Convention[[#This Row],[NumL]],T_TraitDi[#Data],COLUMN(T_TraitDi[Colonne32]),FALSE)=0,"",TEXT(IFERROR(VLOOKUP(T_Convention[[#This Row],[NumL]],T_TraitDi[#Data],COLUMN(T_TraitDi[Colonne32]),FALSE),""),"[hh]:mm"))</f>
        <v>#N/A</v>
      </c>
      <c r="BI133" s="284" t="str">
        <f>IFERROR(VLOOKUP(T_Convention[[#This Row],[NumL]],T_TraitDi[#Data],COLUMN(T_TraitDi[NbJTW]),FALSE),"")</f>
        <v/>
      </c>
      <c r="BJ133" s="284" t="e">
        <f>IF(VLOOKUP(T_Convention[[#This Row],[NumL]],T_TraitDi[#Data],COLUMN(T_TraitDi[NbhTW]),FALSE)=0,"",TEXT(IFERROR(VLOOKUP(T_Convention[[#This Row],[NumL]],T_TraitDi[#Data],COLUMN(T_TraitDi[NbhTW]),FALSE),""),"[hh]:mm"))</f>
        <v>#N/A</v>
      </c>
      <c r="BK133" s="286" t="e">
        <f>IF(VLOOKUP(T_Convention[[#This Row],[NumL]],T_TraitDi[#Data],COLUMN(T_TraitDi[Nbhheb]),FALSE)=0,"",TEXT(IFERROR(VLOOKUP(T_Convention[[#This Row],[NumL]],T_TraitDi[#Data],COLUMN(T_TraitDi[Nbhheb]),FALSE),""),"[hh]:mm"))</f>
        <v>#N/A</v>
      </c>
      <c r="BL133" s="287" t="str">
        <f>IFERROR(VLOOKUP(VLOOKUP(T_Convention[[#This Row],[NumL]],T_TraitDi[#Data],COLUMN(T_TraitDi[Type1]),FALSE),TypeTW,2,FALSE),"")</f>
        <v/>
      </c>
      <c r="BM133" s="288" t="str">
        <f>IFERROR(VLOOKUP(T_Convention[[#This Row],[NumL]],T_TraitDi[#Data],COLUMN(T_TraitDi[Rue1]),FALSE),"")</f>
        <v/>
      </c>
      <c r="BN133" s="289" t="str">
        <f>IFERROR(VLOOKUP(T_Convention[[#This Row],[NumL]],T_TraitDi[#Data],COLUMN(T_TraitDi[CP1]),FALSE),"")</f>
        <v/>
      </c>
      <c r="BO133" s="282" t="str">
        <f>IFERROR(VLOOKUP(T_Convention[[#This Row],[NumL]],T_TraitDi[#Data],COLUMN(T_TraitDi[VILLE1]),FALSE),"")</f>
        <v/>
      </c>
      <c r="BP133" s="290" t="str">
        <f>IFERROR(VLOOKUP(VLOOKUP(T_Convention[[#This Row],[NumL]],T_TraitDi[#Data],COLUMN(T_TraitDi[Type2]),FALSE),TypeTW,2,FALSE),"")</f>
        <v/>
      </c>
      <c r="BQ133" s="182" t="str">
        <f>IFERROR(VLOOKUP(T_Convention[[#This Row],[NumL]],T_TraitDi[#Data],COLUMN(T_TraitDi[Rue2]),FALSE),"")</f>
        <v/>
      </c>
      <c r="BR133" s="173" t="str">
        <f>IFERROR(VLOOKUP(T_Convention[[#This Row],[NumL]],T_TraitDi[#Data],COLUMN(T_TraitDi[CP2]),FALSE),"")</f>
        <v/>
      </c>
      <c r="BS133" s="173" t="str">
        <f>IFERROR(VLOOKUP(T_Convention[[#This Row],[NumL]],T_TraitDi[#Data],COLUMN(T_TraitDi[VILLE2]),FALSE),"")</f>
        <v/>
      </c>
      <c r="BT133" s="182" t="str">
        <f>IF(VLOOKUP(T_Convention[[#This Row],[NumL]],T_Equipement[#Data],COLUMN(T_Equipement[PC]),FALSE)="","Aucun équipement spécifique directement lié au télétravail",VLOOKUP(T_Convention[[#This Row],[NumL]],T_Equipement[#Data],COLUMN(T_Equipement[PC]),FALSE))</f>
        <v xml:space="preserve">16-412	</v>
      </c>
      <c r="BU133" s="166" t="str">
        <f>IFERROR(IF(VLOOKUP(T_Convention[[#This Row],[NumL]],T_TraitDi[#Data],COLUMN(T_TraitDi[Plan]),FALSE)="OK","Un planning spécifique de télétravail est annexé à la présente convention.",""),"")</f>
        <v/>
      </c>
      <c r="BV133" s="185" t="s">
        <v>3488</v>
      </c>
      <c r="BW133" s="164" t="e">
        <f>IF(VLOOKUP(T_Convention[[#This Row],[NumL]],T_suiviDi[#Data],COLUMN(T_suiviDi[Entité]),FALSE)="","",VLOOKUP(T_Convention[[#This Row],[NumL]],T_suiviDi[#Data],COLUMN(T_suiviDi[Entité]),FALSE))</f>
        <v>#N/A</v>
      </c>
      <c r="BX133" s="164" t="str">
        <f>IF(VLOOKUP(T_Convention[[#This Row],[NumL]],T_Commission[#Data],COLUMN(T_Commission[envoi confirm TW]),FALSE)="","",VLOOKUP(T_Convention[[#This Row],[NumL]],T_Commission[#Data],COLUMN(T_Commission[envoi confirm TW]),FALSE))</f>
        <v>Oui</v>
      </c>
      <c r="BY13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3" s="264">
        <f>VLOOKUP(T_Convention[[#This Row],[NumL]],T_Commission[#Data],COLUMN(T_Commission[Commentaire]),FALSE)</f>
        <v>0</v>
      </c>
      <c r="CA133" s="254" t="str">
        <f>IF(VLOOKUP(T_Convention[[#This Row],[NumL]],T_Commission[#Data],COLUMN(T_Commission[Encadrant Email]),FALSE)="","",VLOOKUP(T_Convention[[#This Row],[NumL]],T_Commission[#Data],COLUMN(T_Commission[Encadrant Email]),FALSE))</f>
        <v/>
      </c>
      <c r="CB133" s="352" t="e">
        <f>VLOOKUP(T_Convention[[#This Row],[NumL]],T_TraitDi[#Data],COLUMN(T_TraitDi[NbJTot]),FALSE)</f>
        <v>#N/A</v>
      </c>
      <c r="CC133" s="352" t="e">
        <f>VLOOKUP(T_Convention[[#This Row],[NumL]],T_TraitDi[#Data],COLUMN(T_TraitDi[Reg Ponct]),FALSE)</f>
        <v>#N/A</v>
      </c>
      <c r="CD133" s="348" t="str">
        <f>IF(T_Convention[[#This Row],[Final]]&lt;&gt;"",VLOOKUP(T_Convention[[#This Row],[NumL]],T_suiviDi[#Data],COLUMN((T_suiviDi[Statut])),FALSE),"")</f>
        <v/>
      </c>
    </row>
    <row r="134" spans="1:82" s="106" customFormat="1" ht="18.75" customHeight="1" x14ac:dyDescent="0.25">
      <c r="A134" s="160">
        <v>324</v>
      </c>
      <c r="B134" s="281" t="str">
        <f>VLOOKUP(T_Convention[[#This Row],[NumL]],T_Commission[#Data],COLUMN(T_Commission[FINAL]),FALSE)</f>
        <v/>
      </c>
      <c r="C134" s="162"/>
      <c r="D134" s="95" t="e">
        <f>IF(VLOOKUP(T_Convention[[#This Row],[NumL]],T_TraitDi[#Data],COLUMN(T_TraitDi[WebC]),FALSE)="","",VLOOKUP(T_Convention[[#This Row],[NumL]],T_TraitDi[#Data],COLUMN(T_TraitDi[WebC]),FALSE))</f>
        <v>#N/A</v>
      </c>
      <c r="E134" s="163" t="str">
        <f t="shared" si="10"/>
        <v>12 janvier 2021</v>
      </c>
      <c r="F134" s="282" t="str">
        <f>IF(T_Convention[[#This Row],[Final]]&lt;&gt;"",VLOOKUP(T_Convention[[#This Row],[NumL]],T_suiviDi[#Data],COLUMN((T_suiviDi[Civ.])),FALSE),"")</f>
        <v/>
      </c>
      <c r="G134" s="283" t="str">
        <f>IF(T_Convention[[#This Row],[Final]]&lt;&gt;"",VLOOKUP(T_Convention[[#This Row],[NumL]],T_suiviDi[#Data],COLUMN((T_suiviDi[Nom])),FALSE),"")</f>
        <v/>
      </c>
      <c r="H134" s="282" t="str">
        <f>IF(T_Convention[[#This Row],[Final]]&lt;&gt;"",VLOOKUP(T_Convention[[#This Row],[NumL]],T_suiviDi[#Data],COLUMN((T_suiviDi[Prénom])),FALSE),"")</f>
        <v/>
      </c>
      <c r="I134" s="282" t="e">
        <f>VLOOKUP(T_Convention[[#This Row],[NumL]],T_suiviDi[#Data],COLUMN((T_suiviDi[[#This Row],[Email]])),FALSE)</f>
        <v>#VALUE!</v>
      </c>
      <c r="J134" s="282" t="e">
        <f>IF(VLOOKUP(T_Convention[[#This Row],[NumL]],T_suiviDi[#Data],COLUMN(T_suiviDi[[#This Row],[Fonction]]),FALSE)="","",VLOOKUP(T_Convention[[#This Row],[NumL]],T_suiviDi[#Data],COLUMN(T_suiviDi[[#This Row],[Fonction]]),FALSE))</f>
        <v>#VALUE!</v>
      </c>
      <c r="K134" s="282" t="e">
        <f>IF(VLOOKUP(T_Convention[[#This Row],[NumL]],T_suiviDi[#Data],COLUMN(T_suiviDi[[#This Row],[Grade]]),FALSE)="","",VLOOKUP(T_Convention[[#This Row],[NumL]],T_suiviDi[#Data],COLUMN(T_suiviDi[[#This Row],[Grade]]),FALSE))</f>
        <v>#VALUE!</v>
      </c>
      <c r="L134" s="282" t="e">
        <f>IF(VLOOKUP(T_Convention[[#This Row],[NumL]],T_suiviDi[#Data],COLUMN(T_suiviDi[[#This Row],[Service ]]),FALSE)="","",VLOOKUP(T_Convention[[#This Row],[NumL]],T_suiviDi[#Data],COLUMN(T_suiviDi[[#This Row],[Service ]]),FALSE))</f>
        <v>#VALUE!</v>
      </c>
      <c r="M134" s="314" t="str">
        <f t="shared" si="11"/>
        <v>01 septembre 2021</v>
      </c>
      <c r="N134" s="314" t="str">
        <f t="shared" si="12"/>
        <v>30 novembre 2021</v>
      </c>
      <c r="O134" s="284" t="str">
        <f t="shared" si="13"/>
        <v>30 novembre 2021</v>
      </c>
      <c r="P134" s="282" t="e">
        <f>IF(VLOOKUP(T_Convention[[#This Row],[NumL]],T_TraitDi[#Data],COLUMN(T_TraitDi[M1]),FALSE)="","",VLOOKUP(T_Convention[[#This Row],[NumL]],T_TraitDi[#Data],COLUMN(T_TraitDi[M1]),FALSE))</f>
        <v>#N/A</v>
      </c>
      <c r="Q134" s="282" t="e">
        <f>IF(VLOOKUP(T_Convention[[#This Row],[NumL]],T_TraitDi[#Data],COLUMN(T_TraitDi[M2]),FALSE)="","",VLOOKUP(T_Convention[[#This Row],[NumL]],T_TraitDi[#Data],COLUMN(T_TraitDi[M2]),FALSE))</f>
        <v>#N/A</v>
      </c>
      <c r="R134" s="282" t="e">
        <f>IF(VLOOKUP(T_Convention[[#This Row],[NumL]],T_TraitDi[#Data],COLUMN(T_TraitDi[M3]),FALSE)="","",VLOOKUP(T_Convention[[#This Row],[NumL]],T_TraitDi[#Data],COLUMN(T_TraitDi[M3]),FALSE))</f>
        <v>#N/A</v>
      </c>
      <c r="S134" s="282" t="e">
        <f>IF(VLOOKUP(T_Convention[[#This Row],[NumL]],T_TraitDi[#Data],COLUMN(T_TraitDi[M4]),FALSE)="","",VLOOKUP(T_Convention[[#This Row],[NumL]],T_TraitDi[#Data],COLUMN(T_TraitDi[M4]),FALSE))</f>
        <v>#N/A</v>
      </c>
      <c r="T134" s="282" t="e">
        <f>IF(VLOOKUP(T_Convention[[#This Row],[NumL]],T_TraitDi[#Data],COLUMN(T_TraitDi[M5]),FALSE)="","",VLOOKUP(T_Convention[[#This Row],[NumL]],T_TraitDi[#Data],COLUMN(T_TraitDi[M5]),FALSE))</f>
        <v>#N/A</v>
      </c>
      <c r="U134" s="282" t="e">
        <f>IF(VLOOKUP(T_Convention[[#This Row],[NumL]],T_TraitDi[#Data],COLUMN(T_TraitDi[M6]),FALSE)="","",VLOOKUP(T_Convention[[#This Row],[NumL]],T_TraitDi[#Data],COLUMN(T_TraitDi[M6]),FALSE))</f>
        <v>#N/A</v>
      </c>
      <c r="V134" s="314" t="e">
        <f t="shared" si="14"/>
        <v>#N/A</v>
      </c>
      <c r="W134" s="284" t="str">
        <f>IFERROR(TEXT(VLOOKUP(T_Convention[[#This Row],[NumL]],T_TraitDi[#Data],COLUMN(T_TraitDi[Q2]),FALSE),"###%"),"")</f>
        <v/>
      </c>
      <c r="X134" s="285" t="e">
        <f>VLOOKUP(T_Convention[[#This Row],[NumL]],T_TraitDi[#Data],COLUMN(T_TraitDi[Reg Ponct]),FALSE)</f>
        <v>#N/A</v>
      </c>
      <c r="Y134" s="285" t="e">
        <f>VLOOKUP(T_Convention[NumL],T_TraitDi[#Data],COLUMN(T_TraitDi[Jours flottants]),FALSE)</f>
        <v>#N/A</v>
      </c>
      <c r="Z134" s="284" t="str">
        <f>IFERROR(VLOOKUP(T_Convention[[#This Row],[NumL]],T_TraitDi[#Data],COLUMN(T_TraitDi[Lundi]),FALSE),"")</f>
        <v/>
      </c>
      <c r="AA134" s="284" t="e">
        <f>IF(VLOOKUP(T_Convention[[#This Row],[NumL]],T_TraitDi[#Data],COLUMN(T_TraitDi[Colonne3]),FALSE)=0,"",TEXT(IFERROR(VLOOKUP(T_Convention[[#This Row],[NumL]],T_TraitDi[#Data],COLUMN(T_TraitDi[Colonne3]),FALSE),""),"[hh]:mm"))</f>
        <v>#N/A</v>
      </c>
      <c r="AB134" s="284" t="e">
        <f>IF(VLOOKUP(T_Convention[[#This Row],[NumL]],T_TraitDi[#Data],COLUMN(T_TraitDi[Colonne4]),FALSE)=0,"",TEXT(IFERROR(VLOOKUP(T_Convention[[#This Row],[NumL]],T_TraitDi[#Data],COLUMN(T_TraitDi[Colonne4]),FALSE),""),"[hh]:mm"))</f>
        <v>#N/A</v>
      </c>
      <c r="AC134" s="284" t="e">
        <f>IF(VLOOKUP(T_Convention[[#This Row],[NumL]],T_TraitDi[#Data],COLUMN(T_TraitDi[Colonne5]),FALSE)=0,"",TEXT(IFERROR(VLOOKUP(T_Convention[[#This Row],[NumL]],T_TraitDi[#Data],COLUMN(T_TraitDi[Colonne5]),FALSE),""),"[hh]:mm"))</f>
        <v>#N/A</v>
      </c>
      <c r="AD134" s="284" t="e">
        <f>IF(VLOOKUP(T_Convention[[#This Row],[NumL]],T_TraitDi[#Data],COLUMN(T_TraitDi[Colonne6]),FALSE)=0,"",TEXT(IFERROR(VLOOKUP(T_Convention[[#This Row],[NumL]],T_TraitDi[#Data],COLUMN(T_TraitDi[Colonne6]),FALSE),""),"[hh]:mm"))</f>
        <v>#N/A</v>
      </c>
      <c r="AE134" s="284" t="e">
        <f>IF(VLOOKUP(T_Convention[[#This Row],[NumL]],T_TraitDi[#Data],COLUMN(T_TraitDi[Colonne7]),FALSE)=0,"",TEXT(IFERROR(VLOOKUP(T_Convention[[#This Row],[NumL]],T_TraitDi[#Data],COLUMN(T_TraitDi[Colonne7]),FALSE),""),"[hh]:mm"))</f>
        <v>#N/A</v>
      </c>
      <c r="AF134" s="284" t="e">
        <f>IF(VLOOKUP(T_Convention[[#This Row],[NumL]],T_TraitDi[#Data],COLUMN(T_TraitDi[Colonne8]),FALSE)=0,"",TEXT(IFERROR(VLOOKUP(T_Convention[[#This Row],[NumL]],T_TraitDi[#Data],COLUMN(T_TraitDi[Colonne8]),FALSE),""),"[hh]:mm"))</f>
        <v>#N/A</v>
      </c>
      <c r="AG134" s="284" t="str">
        <f>IFERROR(VLOOKUP(T_Convention[[#This Row],[NumL]],T_TraitDi[#Data],COLUMN(T_TraitDi[Mardi]),FALSE),"")</f>
        <v/>
      </c>
      <c r="AH134" s="284" t="e">
        <f>IF(VLOOKUP(T_Convention[[#This Row],[NumL]],T_TraitDi[#Data],COLUMN(T_TraitDi[Colonne1]),FALSE)=0,"",TEXT(IFERROR(VLOOKUP(T_Convention[[#This Row],[NumL]],T_TraitDi[#Data],COLUMN(T_TraitDi[Colonne1]),FALSE),""),"[hh]:mm"))</f>
        <v>#N/A</v>
      </c>
      <c r="AI134" s="284" t="e">
        <f>IF(VLOOKUP(T_Convention[[#This Row],[NumL]],T_TraitDi[#Data],COLUMN(T_TraitDi[Colonne9]),FALSE)=0,"",TEXT(IFERROR(VLOOKUP(T_Convention[[#This Row],[NumL]],T_TraitDi[#Data],COLUMN(T_TraitDi[Colonne9]),FALSE),""),"[hh]:mm"))</f>
        <v>#N/A</v>
      </c>
      <c r="AJ134" s="284" t="str">
        <f>IFERROR(VLOOKUP(T_Convention[[#This Row],[NumL]],T_TraitDi[#Data],COLUMN(T_TraitDi[Colonne10]),FALSE),"")</f>
        <v/>
      </c>
      <c r="AK134" s="284" t="e">
        <f>IF(VLOOKUP(T_Convention[[#This Row],[NumL]],T_TraitDi[#Data],COLUMN(T_TraitDi[Colonne11]),FALSE)=0,"",TEXT(IFERROR(VLOOKUP(T_Convention[[#This Row],[NumL]],T_TraitDi[#Data],COLUMN(T_TraitDi[Colonne11]),FALSE),""),"[hh]:mm"))</f>
        <v>#N/A</v>
      </c>
      <c r="AL134" s="284" t="e">
        <f>IF(VLOOKUP(T_Convention[[#This Row],[NumL]],T_TraitDi[#Data],COLUMN(T_TraitDi[Colonne12]),FALSE)=0,"",TEXT(IFERROR(VLOOKUP(T_Convention[[#This Row],[NumL]],T_TraitDi[#Data],COLUMN(T_TraitDi[Colonne12]),FALSE),""),"[hh]:mm"))</f>
        <v>#N/A</v>
      </c>
      <c r="AM134" s="284" t="e">
        <f>IF(VLOOKUP(T_Convention[[#This Row],[NumL]],T_TraitDi[#Data],COLUMN(T_TraitDi[Colonne14]),FALSE)=0,"",TEXT(IFERROR(VLOOKUP(T_Convention[[#This Row],[NumL]],T_TraitDi[#Data],COLUMN(T_TraitDi[Colonne14]),FALSE),""),"[hh]:mm"))</f>
        <v>#N/A</v>
      </c>
      <c r="AN134" s="284" t="str">
        <f>IFERROR(VLOOKUP(T_Convention[[#This Row],[NumL]],T_TraitDi[#Data],COLUMN(T_TraitDi[Mercredi]),FALSE),"")</f>
        <v/>
      </c>
      <c r="AO134" s="284" t="e">
        <f>IF(VLOOKUP(T_Convention[[#This Row],[NumL]],T_TraitDi[#Data],COLUMN(T_TraitDi[Colonne15]),FALSE)=0,"",TEXT(IFERROR(VLOOKUP(T_Convention[[#This Row],[NumL]],T_TraitDi[#Data],COLUMN(T_TraitDi[Colonne15]),FALSE),""),"[hh]:mm"))</f>
        <v>#N/A</v>
      </c>
      <c r="AP134" s="284" t="e">
        <f>IF(VLOOKUP(T_Convention[[#This Row],[NumL]],T_TraitDi[#Data],COLUMN(T_TraitDi[Colonne16]),FALSE)=0,"",TEXT(IFERROR(VLOOKUP(T_Convention[[#This Row],[NumL]],T_TraitDi[#Data],COLUMN(T_TraitDi[Colonne16]),FALSE),""),"[hh]:mm"))</f>
        <v>#N/A</v>
      </c>
      <c r="AQ134" s="284" t="str">
        <f>IFERROR(VLOOKUP(T_Convention[[#This Row],[NumL]],T_TraitDi[#Data],COLUMN(T_TraitDi[Colonne17]),FALSE),"")</f>
        <v/>
      </c>
      <c r="AR134" s="284" t="e">
        <f>IF(VLOOKUP(T_Convention[[#This Row],[NumL]],T_TraitDi[#Data],COLUMN(T_TraitDi[Colonne18]),FALSE)=0,"",TEXT(IFERROR(VLOOKUP(T_Convention[[#This Row],[NumL]],T_TraitDi[#Data],COLUMN(T_TraitDi[Colonne18]),FALSE),""),"[hh]:mm"))</f>
        <v>#N/A</v>
      </c>
      <c r="AS134" s="284" t="e">
        <f>IF(VLOOKUP(T_Convention[[#This Row],[NumL]],T_TraitDi[#Data],COLUMN(T_TraitDi[Colonne19]),FALSE)=0,"",TEXT(IFERROR(VLOOKUP(T_Convention[[#This Row],[NumL]],T_TraitDi[#Data],COLUMN(T_TraitDi[Colonne19]),FALSE),""),"[hh]:mm"))</f>
        <v>#N/A</v>
      </c>
      <c r="AT134" s="284" t="e">
        <f>IF(VLOOKUP(T_Convention[[#This Row],[NumL]],T_TraitDi[#Data],COLUMN(T_TraitDi[Colonne20]),FALSE)=0,"",TEXT(IFERROR(VLOOKUP(T_Convention[[#This Row],[NumL]],T_TraitDi[#Data],COLUMN(T_TraitDi[Colonne20]),FALSE),""),"[hh]:mm"))</f>
        <v>#N/A</v>
      </c>
      <c r="AU134" s="284" t="str">
        <f>IFERROR(VLOOKUP(T_Convention[[#This Row],[NumL]],T_TraitDi[#Data],COLUMN(T_TraitDi[Jeudi]),FALSE),"")</f>
        <v/>
      </c>
      <c r="AV134" s="284" t="e">
        <f>IF(VLOOKUP(T_Convention[[#This Row],[NumL]],T_TraitDi[#Data],COLUMN(T_TraitDi[Colonne21]),FALSE)=0,"",TEXT(IFERROR(VLOOKUP(T_Convention[[#This Row],[NumL]],T_TraitDi[#Data],COLUMN(T_TraitDi[Colonne21]),FALSE),""),"[hh]:mm"))</f>
        <v>#N/A</v>
      </c>
      <c r="AW134" s="284" t="e">
        <f>IF(VLOOKUP(T_Convention[[#This Row],[NumL]],T_TraitDi[#Data],COLUMN(T_TraitDi[Colonne22]),FALSE)=0,"",TEXT(IFERROR(VLOOKUP(T_Convention[[#This Row],[NumL]],T_TraitDi[#Data],COLUMN(T_TraitDi[Colonne22]),FALSE),""),"[hh]:mm"))</f>
        <v>#N/A</v>
      </c>
      <c r="AX134" s="284" t="str">
        <f>IFERROR(VLOOKUP(T_Convention[[#This Row],[NumL]],T_TraitDi[#Data],COLUMN(T_TraitDi[Colonne23]),FALSE),"")</f>
        <v/>
      </c>
      <c r="AY134" s="284" t="e">
        <f>IF(VLOOKUP(T_Convention[[#This Row],[NumL]],T_TraitDi[#Data],COLUMN(T_TraitDi[Colonne24]),FALSE)=0,"",TEXT(IFERROR(VLOOKUP(T_Convention[[#This Row],[NumL]],T_TraitDi[#Data],COLUMN(T_TraitDi[Colonne24]),FALSE),""),"[hh]:mm"))</f>
        <v>#N/A</v>
      </c>
      <c r="AZ134" s="284" t="e">
        <f>IF(VLOOKUP(T_Convention[[#This Row],[NumL]],T_TraitDi[#Data],COLUMN(T_TraitDi[Colonne25]),FALSE)=0,"",TEXT(IFERROR(VLOOKUP(T_Convention[[#This Row],[NumL]],T_TraitDi[#Data],COLUMN(T_TraitDi[Colonne25]),FALSE),""),"[hh]:mm"))</f>
        <v>#N/A</v>
      </c>
      <c r="BA134" s="284" t="e">
        <f>IF(VLOOKUP(T_Convention[[#This Row],[NumL]],T_TraitDi[#Data],COLUMN(T_TraitDi[Colonne26]),FALSE)=0,"",TEXT(IFERROR(VLOOKUP(T_Convention[[#This Row],[NumL]],T_TraitDi[#Data],COLUMN(T_TraitDi[Colonne26]),FALSE),""),"[hh]:mm"))</f>
        <v>#N/A</v>
      </c>
      <c r="BB134" s="284" t="str">
        <f>IFERROR(VLOOKUP(T_Convention[[#This Row],[NumL]],T_TraitDi[#Data],COLUMN(T_TraitDi[Vendredi]),FALSE),"")</f>
        <v/>
      </c>
      <c r="BC134" s="284" t="e">
        <f>IF(VLOOKUP(T_Convention[[#This Row],[NumL]],T_TraitDi[#Data],COLUMN(T_TraitDi[Colonne27]),FALSE)=0,"",TEXT(IFERROR(VLOOKUP(T_Convention[[#This Row],[NumL]],T_TraitDi[#Data],COLUMN(T_TraitDi[Colonne27]),FALSE),""),"[hh]:mm"))</f>
        <v>#N/A</v>
      </c>
      <c r="BD134" s="284" t="e">
        <f>IF(VLOOKUP(T_Convention[[#This Row],[NumL]],T_TraitDi[#Data],COLUMN(T_TraitDi[Colonne28]),FALSE)=0,"",TEXT(IFERROR(VLOOKUP(T_Convention[[#This Row],[NumL]],T_TraitDi[#Data],COLUMN(T_TraitDi[Colonne28]),FALSE),""),"[hh]:mm"))</f>
        <v>#N/A</v>
      </c>
      <c r="BE134" s="284" t="str">
        <f>IFERROR(VLOOKUP(T_Convention[[#This Row],[NumL]],T_TraitDi[#Data],COLUMN(T_TraitDi[Colonne29]),FALSE),"")</f>
        <v/>
      </c>
      <c r="BF134" s="284" t="e">
        <f>IF(VLOOKUP(T_Convention[[#This Row],[NumL]],T_TraitDi[#Data],COLUMN(T_TraitDi[Colonne30]),FALSE)=0,"",TEXT(IFERROR(VLOOKUP(T_Convention[[#This Row],[NumL]],T_TraitDi[#Data],COLUMN(T_TraitDi[Colonne30]),FALSE),""),"[hh]:mm"))</f>
        <v>#N/A</v>
      </c>
      <c r="BG134" s="284" t="e">
        <f>IF(VLOOKUP(T_Convention[[#This Row],[NumL]],T_TraitDi[#Data],COLUMN(T_TraitDi[Colonne31]),FALSE)=0,"",TEXT(IFERROR(VLOOKUP(T_Convention[[#This Row],[NumL]],T_TraitDi[#Data],COLUMN(T_TraitDi[Colonne31]),FALSE),""),"[hh]:mm"))</f>
        <v>#N/A</v>
      </c>
      <c r="BH134" s="284" t="e">
        <f>IF(VLOOKUP(T_Convention[[#This Row],[NumL]],T_TraitDi[#Data],COLUMN(T_TraitDi[Colonne32]),FALSE)=0,"",TEXT(IFERROR(VLOOKUP(T_Convention[[#This Row],[NumL]],T_TraitDi[#Data],COLUMN(T_TraitDi[Colonne32]),FALSE),""),"[hh]:mm"))</f>
        <v>#N/A</v>
      </c>
      <c r="BI134" s="284" t="str">
        <f>IFERROR(VLOOKUP(T_Convention[[#This Row],[NumL]],T_TraitDi[#Data],COLUMN(T_TraitDi[NbJTW]),FALSE),"")</f>
        <v/>
      </c>
      <c r="BJ134" s="284" t="e">
        <f>IF(VLOOKUP(T_Convention[[#This Row],[NumL]],T_TraitDi[#Data],COLUMN(T_TraitDi[NbhTW]),FALSE)=0,"",TEXT(IFERROR(VLOOKUP(T_Convention[[#This Row],[NumL]],T_TraitDi[#Data],COLUMN(T_TraitDi[NbhTW]),FALSE),""),"[hh]:mm"))</f>
        <v>#N/A</v>
      </c>
      <c r="BK134" s="315" t="e">
        <f>IF(VLOOKUP(T_Convention[[#This Row],[NumL]],T_TraitDi[#Data],COLUMN(T_TraitDi[Nbhheb]),FALSE)=0,"",TEXT(IFERROR(VLOOKUP(T_Convention[[#This Row],[NumL]],T_TraitDi[#Data],COLUMN(T_TraitDi[Nbhheb]),FALSE),""),"[hh]:mm"))</f>
        <v>#N/A</v>
      </c>
      <c r="BL134" s="287" t="str">
        <f>IFERROR(VLOOKUP(VLOOKUP(T_Convention[[#This Row],[NumL]],T_TraitDi[#Data],COLUMN(T_TraitDi[Type1]),FALSE),TypeTW,2,FALSE),"")</f>
        <v/>
      </c>
      <c r="BM134" s="288" t="str">
        <f>IFERROR(VLOOKUP(T_Convention[[#This Row],[NumL]],T_TraitDi[#Data],COLUMN(T_TraitDi[Rue1]),FALSE),"")</f>
        <v/>
      </c>
      <c r="BN134" s="289" t="str">
        <f>IFERROR(VLOOKUP(T_Convention[[#This Row],[NumL]],T_TraitDi[#Data],COLUMN(T_TraitDi[CP1]),FALSE),"")</f>
        <v/>
      </c>
      <c r="BO134" s="282" t="str">
        <f>IFERROR(VLOOKUP(T_Convention[[#This Row],[NumL]],T_TraitDi[#Data],COLUMN(T_TraitDi[VILLE1]),FALSE),"")</f>
        <v/>
      </c>
      <c r="BP134" s="290" t="str">
        <f>IFERROR(VLOOKUP(VLOOKUP(T_Convention[[#This Row],[NumL]],T_TraitDi[#Data],COLUMN(T_TraitDi[Type2]),FALSE),TypeTW,2,FALSE),"")</f>
        <v/>
      </c>
      <c r="BQ134" s="310" t="str">
        <f>IFERROR(VLOOKUP(T_Convention[[#This Row],[NumL]],T_TraitDi[#Data],COLUMN(T_TraitDi[Rue2]),FALSE),"")</f>
        <v/>
      </c>
      <c r="BR134" s="290" t="str">
        <f>IFERROR(VLOOKUP(T_Convention[[#This Row],[NumL]],T_TraitDi[#Data],COLUMN(T_TraitDi[CP2]),FALSE),"")</f>
        <v/>
      </c>
      <c r="BS134" s="290" t="str">
        <f>IFERROR(VLOOKUP(T_Convention[[#This Row],[NumL]],T_TraitDi[#Data],COLUMN(T_TraitDi[VILLE2]),FALSE),"")</f>
        <v/>
      </c>
      <c r="BT13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34" s="314" t="str">
        <f>IFERROR(IF(VLOOKUP(T_Convention[[#This Row],[NumL]],T_TraitDi[#Data],COLUMN(T_TraitDi[Plan]),FALSE)="OK","Un planning spécifique de télétravail est annexé à la présente convention.",""),"")</f>
        <v/>
      </c>
      <c r="BV134" s="291"/>
      <c r="BW134" s="292" t="e">
        <f>IF(VLOOKUP(T_Convention[[#This Row],[NumL]],T_suiviDi[#Data],COLUMN(T_suiviDi[Entité]),FALSE)="","",VLOOKUP(T_Convention[[#This Row],[NumL]],T_suiviDi[#Data],COLUMN(T_suiviDi[Entité]),FALSE))</f>
        <v>#N/A</v>
      </c>
      <c r="BX134" s="311" t="str">
        <f>IF(VLOOKUP(T_Convention[[#This Row],[NumL]],T_Commission[#Data],COLUMN(T_Commission[envoi confirm TW]),FALSE)="","",VLOOKUP(T_Convention[[#This Row],[NumL]],T_Commission[#Data],COLUMN(T_Commission[envoi confirm TW]),FALSE))</f>
        <v>Non</v>
      </c>
      <c r="BY13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4" s="265" t="str">
        <f>VLOOKUP(T_Convention[[#This Row],[NumL]],T_Commission[#Data],COLUMN(T_Commission[Commentaire]),FALSE)</f>
        <v>Les missions de l'agent ne sont pas télétravaillables.</v>
      </c>
      <c r="CA134" s="255" t="str">
        <f>IF(VLOOKUP(T_Convention[[#This Row],[NumL]],T_Commission[#Data],COLUMN(T_Commission[Encadrant Email]),FALSE)="","",VLOOKUP(T_Convention[[#This Row],[NumL]],T_Commission[#Data],COLUMN(T_Commission[Encadrant Email]),FALSE))</f>
        <v/>
      </c>
      <c r="CB134" s="352" t="e">
        <f>VLOOKUP(T_Convention[[#This Row],[NumL]],T_TraitDi[#Data],COLUMN(T_TraitDi[NbJTot]),FALSE)</f>
        <v>#N/A</v>
      </c>
      <c r="CC134" s="352" t="e">
        <f>VLOOKUP(T_Convention[[#This Row],[NumL]],T_TraitDi[#Data],COLUMN(T_TraitDi[Reg Ponct]),FALSE)</f>
        <v>#N/A</v>
      </c>
      <c r="CD134" s="348" t="str">
        <f>IF(T_Convention[[#This Row],[Final]]&lt;&gt;"",VLOOKUP(T_Convention[[#This Row],[NumL]],T_suiviDi[#Data],COLUMN((T_suiviDi[Statut])),FALSE),"")</f>
        <v/>
      </c>
    </row>
    <row r="135" spans="1:82" s="106" customFormat="1" ht="18.75" customHeight="1" x14ac:dyDescent="0.25">
      <c r="A135" s="160">
        <v>322</v>
      </c>
      <c r="B135" s="281" t="str">
        <f>VLOOKUP(T_Convention[[#This Row],[NumL]],T_Commission[#Data],COLUMN(T_Commission[FINAL]),FALSE)</f>
        <v/>
      </c>
      <c r="C135" s="162"/>
      <c r="D135" s="95" t="e">
        <f>IF(VLOOKUP(T_Convention[[#This Row],[NumL]],T_TraitDi[#Data],COLUMN(T_TraitDi[WebC]),FALSE)="","",VLOOKUP(T_Convention[[#This Row],[NumL]],T_TraitDi[#Data],COLUMN(T_TraitDi[WebC]),FALSE))</f>
        <v>#N/A</v>
      </c>
      <c r="E135" s="163" t="str">
        <f t="shared" si="10"/>
        <v>12 janvier 2021</v>
      </c>
      <c r="F135" s="282" t="str">
        <f>IF(T_Convention[[#This Row],[Final]]&lt;&gt;"",VLOOKUP(T_Convention[[#This Row],[NumL]],T_suiviDi[#Data],COLUMN((T_suiviDi[Civ.])),FALSE),"")</f>
        <v/>
      </c>
      <c r="G135" s="283" t="str">
        <f>IF(T_Convention[[#This Row],[Final]]&lt;&gt;"",VLOOKUP(T_Convention[[#This Row],[NumL]],T_suiviDi[#Data],COLUMN((T_suiviDi[Nom])),FALSE),"")</f>
        <v/>
      </c>
      <c r="H135" s="282" t="str">
        <f>IF(T_Convention[[#This Row],[Final]]&lt;&gt;"",VLOOKUP(T_Convention[[#This Row],[NumL]],T_suiviDi[#Data],COLUMN((T_suiviDi[Prénom])),FALSE),"")</f>
        <v/>
      </c>
      <c r="I135" s="282" t="e">
        <f>VLOOKUP(T_Convention[[#This Row],[NumL]],T_suiviDi[#Data],COLUMN((T_suiviDi[[#This Row],[Email]])),FALSE)</f>
        <v>#VALUE!</v>
      </c>
      <c r="J135" s="282" t="e">
        <f>IF(VLOOKUP(T_Convention[[#This Row],[NumL]],T_suiviDi[#Data],COLUMN(T_suiviDi[[#This Row],[Fonction]]),FALSE)="","",VLOOKUP(T_Convention[[#This Row],[NumL]],T_suiviDi[#Data],COLUMN(T_suiviDi[[#This Row],[Fonction]]),FALSE))</f>
        <v>#VALUE!</v>
      </c>
      <c r="K135" s="282" t="e">
        <f>IF(VLOOKUP(T_Convention[[#This Row],[NumL]],T_suiviDi[#Data],COLUMN(T_suiviDi[[#This Row],[Grade]]),FALSE)="","",VLOOKUP(T_Convention[[#This Row],[NumL]],T_suiviDi[#Data],COLUMN(T_suiviDi[[#This Row],[Grade]]),FALSE))</f>
        <v>#VALUE!</v>
      </c>
      <c r="L135" s="282" t="e">
        <f>IF(VLOOKUP(T_Convention[[#This Row],[NumL]],T_suiviDi[#Data],COLUMN(T_suiviDi[[#This Row],[Service ]]),FALSE)="","",VLOOKUP(T_Convention[[#This Row],[NumL]],T_suiviDi[#Data],COLUMN(T_suiviDi[[#This Row],[Service ]]),FALSE))</f>
        <v>#VALUE!</v>
      </c>
      <c r="M135" s="314" t="str">
        <f t="shared" si="11"/>
        <v>01 septembre 2021</v>
      </c>
      <c r="N135" s="314" t="str">
        <f t="shared" si="12"/>
        <v>30 novembre 2021</v>
      </c>
      <c r="O135" s="284" t="str">
        <f t="shared" si="13"/>
        <v>30 novembre 2021</v>
      </c>
      <c r="P135" s="282" t="e">
        <f>IF(VLOOKUP(T_Convention[[#This Row],[NumL]],T_TraitDi[#Data],COLUMN(T_TraitDi[M1]),FALSE)="","",VLOOKUP(T_Convention[[#This Row],[NumL]],T_TraitDi[#Data],COLUMN(T_TraitDi[M1]),FALSE))</f>
        <v>#N/A</v>
      </c>
      <c r="Q135" s="282" t="e">
        <f>IF(VLOOKUP(T_Convention[[#This Row],[NumL]],T_TraitDi[#Data],COLUMN(T_TraitDi[M2]),FALSE)="","",VLOOKUP(T_Convention[[#This Row],[NumL]],T_TraitDi[#Data],COLUMN(T_TraitDi[M2]),FALSE))</f>
        <v>#N/A</v>
      </c>
      <c r="R135" s="282" t="e">
        <f>IF(VLOOKUP(T_Convention[[#This Row],[NumL]],T_TraitDi[#Data],COLUMN(T_TraitDi[M3]),FALSE)="","",VLOOKUP(T_Convention[[#This Row],[NumL]],T_TraitDi[#Data],COLUMN(T_TraitDi[M3]),FALSE))</f>
        <v>#N/A</v>
      </c>
      <c r="S135" s="282" t="e">
        <f>IF(VLOOKUP(T_Convention[[#This Row],[NumL]],T_TraitDi[#Data],COLUMN(T_TraitDi[M4]),FALSE)="","",VLOOKUP(T_Convention[[#This Row],[NumL]],T_TraitDi[#Data],COLUMN(T_TraitDi[M4]),FALSE))</f>
        <v>#N/A</v>
      </c>
      <c r="T135" s="282" t="e">
        <f>IF(VLOOKUP(T_Convention[[#This Row],[NumL]],T_TraitDi[#Data],COLUMN(T_TraitDi[M5]),FALSE)="","",VLOOKUP(T_Convention[[#This Row],[NumL]],T_TraitDi[#Data],COLUMN(T_TraitDi[M5]),FALSE))</f>
        <v>#N/A</v>
      </c>
      <c r="U135" s="282" t="e">
        <f>IF(VLOOKUP(T_Convention[[#This Row],[NumL]],T_TraitDi[#Data],COLUMN(T_TraitDi[M6]),FALSE)="","",VLOOKUP(T_Convention[[#This Row],[NumL]],T_TraitDi[#Data],COLUMN(T_TraitDi[M6]),FALSE))</f>
        <v>#N/A</v>
      </c>
      <c r="V135" s="314" t="e">
        <f t="shared" si="14"/>
        <v>#N/A</v>
      </c>
      <c r="W135" s="284" t="str">
        <f>IFERROR(TEXT(VLOOKUP(T_Convention[[#This Row],[NumL]],T_TraitDi[#Data],COLUMN(T_TraitDi[Q2]),FALSE),"###%"),"")</f>
        <v/>
      </c>
      <c r="X135" s="285" t="e">
        <f>VLOOKUP(T_Convention[[#This Row],[NumL]],T_TraitDi[#Data],COLUMN(T_TraitDi[Reg Ponct]),FALSE)</f>
        <v>#N/A</v>
      </c>
      <c r="Y135" s="285" t="e">
        <f>VLOOKUP(T_Convention[NumL],T_TraitDi[#Data],COLUMN(T_TraitDi[Jours flottants]),FALSE)</f>
        <v>#N/A</v>
      </c>
      <c r="Z135" s="284" t="str">
        <f>IFERROR(VLOOKUP(T_Convention[[#This Row],[NumL]],T_TraitDi[#Data],COLUMN(T_TraitDi[Lundi]),FALSE),"")</f>
        <v/>
      </c>
      <c r="AA135" s="284" t="e">
        <f>IF(VLOOKUP(T_Convention[[#This Row],[NumL]],T_TraitDi[#Data],COLUMN(T_TraitDi[Colonne3]),FALSE)=0,"",TEXT(IFERROR(VLOOKUP(T_Convention[[#This Row],[NumL]],T_TraitDi[#Data],COLUMN(T_TraitDi[Colonne3]),FALSE),""),"[hh]:mm"))</f>
        <v>#N/A</v>
      </c>
      <c r="AB135" s="284" t="e">
        <f>IF(VLOOKUP(T_Convention[[#This Row],[NumL]],T_TraitDi[#Data],COLUMN(T_TraitDi[Colonne4]),FALSE)=0,"",TEXT(IFERROR(VLOOKUP(T_Convention[[#This Row],[NumL]],T_TraitDi[#Data],COLUMN(T_TraitDi[Colonne4]),FALSE),""),"[hh]:mm"))</f>
        <v>#N/A</v>
      </c>
      <c r="AC135" s="284" t="e">
        <f>IF(VLOOKUP(T_Convention[[#This Row],[NumL]],T_TraitDi[#Data],COLUMN(T_TraitDi[Colonne5]),FALSE)=0,"",TEXT(IFERROR(VLOOKUP(T_Convention[[#This Row],[NumL]],T_TraitDi[#Data],COLUMN(T_TraitDi[Colonne5]),FALSE),""),"[hh]:mm"))</f>
        <v>#N/A</v>
      </c>
      <c r="AD135" s="284" t="e">
        <f>IF(VLOOKUP(T_Convention[[#This Row],[NumL]],T_TraitDi[#Data],COLUMN(T_TraitDi[Colonne6]),FALSE)=0,"",TEXT(IFERROR(VLOOKUP(T_Convention[[#This Row],[NumL]],T_TraitDi[#Data],COLUMN(T_TraitDi[Colonne6]),FALSE),""),"[hh]:mm"))</f>
        <v>#N/A</v>
      </c>
      <c r="AE135" s="284" t="e">
        <f>IF(VLOOKUP(T_Convention[[#This Row],[NumL]],T_TraitDi[#Data],COLUMN(T_TraitDi[Colonne7]),FALSE)=0,"",TEXT(IFERROR(VLOOKUP(T_Convention[[#This Row],[NumL]],T_TraitDi[#Data],COLUMN(T_TraitDi[Colonne7]),FALSE),""),"[hh]:mm"))</f>
        <v>#N/A</v>
      </c>
      <c r="AF135" s="284" t="e">
        <f>IF(VLOOKUP(T_Convention[[#This Row],[NumL]],T_TraitDi[#Data],COLUMN(T_TraitDi[Colonne8]),FALSE)=0,"",TEXT(IFERROR(VLOOKUP(T_Convention[[#This Row],[NumL]],T_TraitDi[#Data],COLUMN(T_TraitDi[Colonne8]),FALSE),""),"[hh]:mm"))</f>
        <v>#N/A</v>
      </c>
      <c r="AG135" s="284" t="str">
        <f>IFERROR(VLOOKUP(T_Convention[[#This Row],[NumL]],T_TraitDi[#Data],COLUMN(T_TraitDi[Mardi]),FALSE),"")</f>
        <v/>
      </c>
      <c r="AH135" s="284" t="e">
        <f>IF(VLOOKUP(T_Convention[[#This Row],[NumL]],T_TraitDi[#Data],COLUMN(T_TraitDi[Colonne1]),FALSE)=0,"",TEXT(IFERROR(VLOOKUP(T_Convention[[#This Row],[NumL]],T_TraitDi[#Data],COLUMN(T_TraitDi[Colonne1]),FALSE),""),"[hh]:mm"))</f>
        <v>#N/A</v>
      </c>
      <c r="AI135" s="284" t="e">
        <f>IF(VLOOKUP(T_Convention[[#This Row],[NumL]],T_TraitDi[#Data],COLUMN(T_TraitDi[Colonne9]),FALSE)=0,"",TEXT(IFERROR(VLOOKUP(T_Convention[[#This Row],[NumL]],T_TraitDi[#Data],COLUMN(T_TraitDi[Colonne9]),FALSE),""),"[hh]:mm"))</f>
        <v>#N/A</v>
      </c>
      <c r="AJ135" s="284" t="str">
        <f>IFERROR(VLOOKUP(T_Convention[[#This Row],[NumL]],T_TraitDi[#Data],COLUMN(T_TraitDi[Colonne10]),FALSE),"")</f>
        <v/>
      </c>
      <c r="AK135" s="284" t="e">
        <f>IF(VLOOKUP(T_Convention[[#This Row],[NumL]],T_TraitDi[#Data],COLUMN(T_TraitDi[Colonne11]),FALSE)=0,"",TEXT(IFERROR(VLOOKUP(T_Convention[[#This Row],[NumL]],T_TraitDi[#Data],COLUMN(T_TraitDi[Colonne11]),FALSE),""),"[hh]:mm"))</f>
        <v>#N/A</v>
      </c>
      <c r="AL135" s="284" t="e">
        <f>IF(VLOOKUP(T_Convention[[#This Row],[NumL]],T_TraitDi[#Data],COLUMN(T_TraitDi[Colonne12]),FALSE)=0,"",TEXT(IFERROR(VLOOKUP(T_Convention[[#This Row],[NumL]],T_TraitDi[#Data],COLUMN(T_TraitDi[Colonne12]),FALSE),""),"[hh]:mm"))</f>
        <v>#N/A</v>
      </c>
      <c r="AM135" s="284" t="e">
        <f>IF(VLOOKUP(T_Convention[[#This Row],[NumL]],T_TraitDi[#Data],COLUMN(T_TraitDi[Colonne14]),FALSE)=0,"",TEXT(IFERROR(VLOOKUP(T_Convention[[#This Row],[NumL]],T_TraitDi[#Data],COLUMN(T_TraitDi[Colonne14]),FALSE),""),"[hh]:mm"))</f>
        <v>#N/A</v>
      </c>
      <c r="AN135" s="284" t="str">
        <f>IFERROR(VLOOKUP(T_Convention[[#This Row],[NumL]],T_TraitDi[#Data],COLUMN(T_TraitDi[Mercredi]),FALSE),"")</f>
        <v/>
      </c>
      <c r="AO135" s="284" t="e">
        <f>IF(VLOOKUP(T_Convention[[#This Row],[NumL]],T_TraitDi[#Data],COLUMN(T_TraitDi[Colonne15]),FALSE)=0,"",TEXT(IFERROR(VLOOKUP(T_Convention[[#This Row],[NumL]],T_TraitDi[#Data],COLUMN(T_TraitDi[Colonne15]),FALSE),""),"[hh]:mm"))</f>
        <v>#N/A</v>
      </c>
      <c r="AP135" s="284" t="e">
        <f>IF(VLOOKUP(T_Convention[[#This Row],[NumL]],T_TraitDi[#Data],COLUMN(T_TraitDi[Colonne16]),FALSE)=0,"",TEXT(IFERROR(VLOOKUP(T_Convention[[#This Row],[NumL]],T_TraitDi[#Data],COLUMN(T_TraitDi[Colonne16]),FALSE),""),"[hh]:mm"))</f>
        <v>#N/A</v>
      </c>
      <c r="AQ135" s="284" t="str">
        <f>IFERROR(VLOOKUP(T_Convention[[#This Row],[NumL]],T_TraitDi[#Data],COLUMN(T_TraitDi[Colonne17]),FALSE),"")</f>
        <v/>
      </c>
      <c r="AR135" s="284" t="e">
        <f>IF(VLOOKUP(T_Convention[[#This Row],[NumL]],T_TraitDi[#Data],COLUMN(T_TraitDi[Colonne18]),FALSE)=0,"",TEXT(IFERROR(VLOOKUP(T_Convention[[#This Row],[NumL]],T_TraitDi[#Data],COLUMN(T_TraitDi[Colonne18]),FALSE),""),"[hh]:mm"))</f>
        <v>#N/A</v>
      </c>
      <c r="AS135" s="284" t="e">
        <f>IF(VLOOKUP(T_Convention[[#This Row],[NumL]],T_TraitDi[#Data],COLUMN(T_TraitDi[Colonne19]),FALSE)=0,"",TEXT(IFERROR(VLOOKUP(T_Convention[[#This Row],[NumL]],T_TraitDi[#Data],COLUMN(T_TraitDi[Colonne19]),FALSE),""),"[hh]:mm"))</f>
        <v>#N/A</v>
      </c>
      <c r="AT135" s="284" t="e">
        <f>IF(VLOOKUP(T_Convention[[#This Row],[NumL]],T_TraitDi[#Data],COLUMN(T_TraitDi[Colonne20]),FALSE)=0,"",TEXT(IFERROR(VLOOKUP(T_Convention[[#This Row],[NumL]],T_TraitDi[#Data],COLUMN(T_TraitDi[Colonne20]),FALSE),""),"[hh]:mm"))</f>
        <v>#N/A</v>
      </c>
      <c r="AU135" s="284" t="str">
        <f>IFERROR(VLOOKUP(T_Convention[[#This Row],[NumL]],T_TraitDi[#Data],COLUMN(T_TraitDi[Jeudi]),FALSE),"")</f>
        <v/>
      </c>
      <c r="AV135" s="284" t="e">
        <f>IF(VLOOKUP(T_Convention[[#This Row],[NumL]],T_TraitDi[#Data],COLUMN(T_TraitDi[Colonne21]),FALSE)=0,"",TEXT(IFERROR(VLOOKUP(T_Convention[[#This Row],[NumL]],T_TraitDi[#Data],COLUMN(T_TraitDi[Colonne21]),FALSE),""),"[hh]:mm"))</f>
        <v>#N/A</v>
      </c>
      <c r="AW135" s="284" t="e">
        <f>IF(VLOOKUP(T_Convention[[#This Row],[NumL]],T_TraitDi[#Data],COLUMN(T_TraitDi[Colonne22]),FALSE)=0,"",TEXT(IFERROR(VLOOKUP(T_Convention[[#This Row],[NumL]],T_TraitDi[#Data],COLUMN(T_TraitDi[Colonne22]),FALSE),""),"[hh]:mm"))</f>
        <v>#N/A</v>
      </c>
      <c r="AX135" s="284" t="str">
        <f>IFERROR(VLOOKUP(T_Convention[[#This Row],[NumL]],T_TraitDi[#Data],COLUMN(T_TraitDi[Colonne23]),FALSE),"")</f>
        <v/>
      </c>
      <c r="AY135" s="284" t="e">
        <f>IF(VLOOKUP(T_Convention[[#This Row],[NumL]],T_TraitDi[#Data],COLUMN(T_TraitDi[Colonne24]),FALSE)=0,"",TEXT(IFERROR(VLOOKUP(T_Convention[[#This Row],[NumL]],T_TraitDi[#Data],COLUMN(T_TraitDi[Colonne24]),FALSE),""),"[hh]:mm"))</f>
        <v>#N/A</v>
      </c>
      <c r="AZ135" s="284" t="e">
        <f>IF(VLOOKUP(T_Convention[[#This Row],[NumL]],T_TraitDi[#Data],COLUMN(T_TraitDi[Colonne25]),FALSE)=0,"",TEXT(IFERROR(VLOOKUP(T_Convention[[#This Row],[NumL]],T_TraitDi[#Data],COLUMN(T_TraitDi[Colonne25]),FALSE),""),"[hh]:mm"))</f>
        <v>#N/A</v>
      </c>
      <c r="BA135" s="284" t="e">
        <f>IF(VLOOKUP(T_Convention[[#This Row],[NumL]],T_TraitDi[#Data],COLUMN(T_TraitDi[Colonne26]),FALSE)=0,"",TEXT(IFERROR(VLOOKUP(T_Convention[[#This Row],[NumL]],T_TraitDi[#Data],COLUMN(T_TraitDi[Colonne26]),FALSE),""),"[hh]:mm"))</f>
        <v>#N/A</v>
      </c>
      <c r="BB135" s="284" t="str">
        <f>IFERROR(VLOOKUP(T_Convention[[#This Row],[NumL]],T_TraitDi[#Data],COLUMN(T_TraitDi[Vendredi]),FALSE),"")</f>
        <v/>
      </c>
      <c r="BC135" s="284" t="e">
        <f>IF(VLOOKUP(T_Convention[[#This Row],[NumL]],T_TraitDi[#Data],COLUMN(T_TraitDi[Colonne27]),FALSE)=0,"",TEXT(IFERROR(VLOOKUP(T_Convention[[#This Row],[NumL]],T_TraitDi[#Data],COLUMN(T_TraitDi[Colonne27]),FALSE),""),"[hh]:mm"))</f>
        <v>#N/A</v>
      </c>
      <c r="BD135" s="284" t="e">
        <f>IF(VLOOKUP(T_Convention[[#This Row],[NumL]],T_TraitDi[#Data],COLUMN(T_TraitDi[Colonne28]),FALSE)=0,"",TEXT(IFERROR(VLOOKUP(T_Convention[[#This Row],[NumL]],T_TraitDi[#Data],COLUMN(T_TraitDi[Colonne28]),FALSE),""),"[hh]:mm"))</f>
        <v>#N/A</v>
      </c>
      <c r="BE135" s="284" t="str">
        <f>IFERROR(VLOOKUP(T_Convention[[#This Row],[NumL]],T_TraitDi[#Data],COLUMN(T_TraitDi[Colonne29]),FALSE),"")</f>
        <v/>
      </c>
      <c r="BF135" s="284" t="e">
        <f>IF(VLOOKUP(T_Convention[[#This Row],[NumL]],T_TraitDi[#Data],COLUMN(T_TraitDi[Colonne30]),FALSE)=0,"",TEXT(IFERROR(VLOOKUP(T_Convention[[#This Row],[NumL]],T_TraitDi[#Data],COLUMN(T_TraitDi[Colonne30]),FALSE),""),"[hh]:mm"))</f>
        <v>#N/A</v>
      </c>
      <c r="BG135" s="284" t="e">
        <f>IF(VLOOKUP(T_Convention[[#This Row],[NumL]],T_TraitDi[#Data],COLUMN(T_TraitDi[Colonne31]),FALSE)=0,"",TEXT(IFERROR(VLOOKUP(T_Convention[[#This Row],[NumL]],T_TraitDi[#Data],COLUMN(T_TraitDi[Colonne31]),FALSE),""),"[hh]:mm"))</f>
        <v>#N/A</v>
      </c>
      <c r="BH135" s="284" t="e">
        <f>IF(VLOOKUP(T_Convention[[#This Row],[NumL]],T_TraitDi[#Data],COLUMN(T_TraitDi[Colonne32]),FALSE)=0,"",TEXT(IFERROR(VLOOKUP(T_Convention[[#This Row],[NumL]],T_TraitDi[#Data],COLUMN(T_TraitDi[Colonne32]),FALSE),""),"[hh]:mm"))</f>
        <v>#N/A</v>
      </c>
      <c r="BI135" s="284" t="str">
        <f>IFERROR(VLOOKUP(T_Convention[[#This Row],[NumL]],T_TraitDi[#Data],COLUMN(T_TraitDi[NbJTW]),FALSE),"")</f>
        <v/>
      </c>
      <c r="BJ135" s="284" t="e">
        <f>IF(VLOOKUP(T_Convention[[#This Row],[NumL]],T_TraitDi[#Data],COLUMN(T_TraitDi[NbhTW]),FALSE)=0,"",TEXT(IFERROR(VLOOKUP(T_Convention[[#This Row],[NumL]],T_TraitDi[#Data],COLUMN(T_TraitDi[NbhTW]),FALSE),""),"[hh]:mm"))</f>
        <v>#N/A</v>
      </c>
      <c r="BK135" s="315" t="e">
        <f>IF(VLOOKUP(T_Convention[[#This Row],[NumL]],T_TraitDi[#Data],COLUMN(T_TraitDi[Nbhheb]),FALSE)=0,"",TEXT(IFERROR(VLOOKUP(T_Convention[[#This Row],[NumL]],T_TraitDi[#Data],COLUMN(T_TraitDi[Nbhheb]),FALSE),""),"[hh]:mm"))</f>
        <v>#N/A</v>
      </c>
      <c r="BL135" s="287" t="str">
        <f>IFERROR(VLOOKUP(VLOOKUP(T_Convention[[#This Row],[NumL]],T_TraitDi[#Data],COLUMN(T_TraitDi[Type1]),FALSE),TypeTW,2,FALSE),"")</f>
        <v/>
      </c>
      <c r="BM135" s="288" t="str">
        <f>IFERROR(VLOOKUP(T_Convention[[#This Row],[NumL]],T_TraitDi[#Data],COLUMN(T_TraitDi[Rue1]),FALSE),"")</f>
        <v/>
      </c>
      <c r="BN135" s="289" t="str">
        <f>IFERROR(VLOOKUP(T_Convention[[#This Row],[NumL]],T_TraitDi[#Data],COLUMN(T_TraitDi[CP1]),FALSE),"")</f>
        <v/>
      </c>
      <c r="BO135" s="282" t="str">
        <f>IFERROR(VLOOKUP(T_Convention[[#This Row],[NumL]],T_TraitDi[#Data],COLUMN(T_TraitDi[VILLE1]),FALSE),"")</f>
        <v/>
      </c>
      <c r="BP135" s="290" t="str">
        <f>IFERROR(VLOOKUP(VLOOKUP(T_Convention[[#This Row],[NumL]],T_TraitDi[#Data],COLUMN(T_TraitDi[Type2]),FALSE),TypeTW,2,FALSE),"")</f>
        <v/>
      </c>
      <c r="BQ135" s="310" t="str">
        <f>IFERROR(VLOOKUP(T_Convention[[#This Row],[NumL]],T_TraitDi[#Data],COLUMN(T_TraitDi[Rue2]),FALSE),"")</f>
        <v/>
      </c>
      <c r="BR135" s="290" t="str">
        <f>IFERROR(VLOOKUP(T_Convention[[#This Row],[NumL]],T_TraitDi[#Data],COLUMN(T_TraitDi[CP2]),FALSE),"")</f>
        <v/>
      </c>
      <c r="BS135" s="290" t="str">
        <f>IFERROR(VLOOKUP(T_Convention[[#This Row],[NumL]],T_TraitDi[#Data],COLUMN(T_TraitDi[VILLE2]),FALSE),"")</f>
        <v/>
      </c>
      <c r="BT135"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35" s="314" t="str">
        <f>IFERROR(IF(VLOOKUP(T_Convention[[#This Row],[NumL]],T_TraitDi[#Data],COLUMN(T_TraitDi[Plan]),FALSE)="OK","Un planning spécifique de télétravail est annexé à la présente convention.",""),"")</f>
        <v/>
      </c>
      <c r="BV135" s="291"/>
      <c r="BW135" s="292" t="e">
        <f>IF(VLOOKUP(T_Convention[[#This Row],[NumL]],T_suiviDi[#Data],COLUMN(T_suiviDi[Entité]),FALSE)="","",VLOOKUP(T_Convention[[#This Row],[NumL]],T_suiviDi[#Data],COLUMN(T_suiviDi[Entité]),FALSE))</f>
        <v>#N/A</v>
      </c>
      <c r="BX135" s="311" t="str">
        <f>IF(VLOOKUP(T_Convention[[#This Row],[NumL]],T_Commission[#Data],COLUMN(T_Commission[envoi confirm TW]),FALSE)="","",VLOOKUP(T_Convention[[#This Row],[NumL]],T_Commission[#Data],COLUMN(T_Commission[envoi confirm TW]),FALSE))</f>
        <v>Oui</v>
      </c>
      <c r="BY135"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5" s="265">
        <f>VLOOKUP(T_Convention[[#This Row],[NumL]],T_Commission[#Data],COLUMN(T_Commission[Commentaire]),FALSE)</f>
        <v>0</v>
      </c>
      <c r="CA135" s="255" t="str">
        <f>IF(VLOOKUP(T_Convention[[#This Row],[NumL]],T_Commission[#Data],COLUMN(T_Commission[Encadrant Email]),FALSE)="","",VLOOKUP(T_Convention[[#This Row],[NumL]],T_Commission[#Data],COLUMN(T_Commission[Encadrant Email]),FALSE))</f>
        <v/>
      </c>
      <c r="CB135" s="352" t="e">
        <f>VLOOKUP(T_Convention[[#This Row],[NumL]],T_TraitDi[#Data],COLUMN(T_TraitDi[NbJTot]),FALSE)</f>
        <v>#N/A</v>
      </c>
      <c r="CC135" s="352" t="e">
        <f>VLOOKUP(T_Convention[[#This Row],[NumL]],T_TraitDi[#Data],COLUMN(T_TraitDi[Reg Ponct]),FALSE)</f>
        <v>#N/A</v>
      </c>
      <c r="CD135" s="348" t="str">
        <f>IF(T_Convention[[#This Row],[Final]]&lt;&gt;"",VLOOKUP(T_Convention[[#This Row],[NumL]],T_suiviDi[#Data],COLUMN((T_suiviDi[Statut])),FALSE),"")</f>
        <v/>
      </c>
    </row>
    <row r="136" spans="1:82" s="106" customFormat="1" ht="18.75" customHeight="1" x14ac:dyDescent="0.25">
      <c r="A136" s="160">
        <v>337</v>
      </c>
      <c r="B136" s="281" t="str">
        <f>VLOOKUP(T_Convention[[#This Row],[NumL]],T_Commission[#Data],COLUMN(T_Commission[FINAL]),FALSE)</f>
        <v/>
      </c>
      <c r="C136" s="162"/>
      <c r="D136" s="95" t="e">
        <f>IF(VLOOKUP(T_Convention[[#This Row],[NumL]],T_TraitDi[#Data],COLUMN(T_TraitDi[WebC]),FALSE)="","",VLOOKUP(T_Convention[[#This Row],[NumL]],T_TraitDi[#Data],COLUMN(T_TraitDi[WebC]),FALSE))</f>
        <v>#N/A</v>
      </c>
      <c r="E136" s="163" t="str">
        <f t="shared" si="10"/>
        <v>12 janvier 2021</v>
      </c>
      <c r="F136" s="282" t="str">
        <f>IF(T_Convention[[#This Row],[Final]]&lt;&gt;"",VLOOKUP(T_Convention[[#This Row],[NumL]],T_suiviDi[#Data],COLUMN((T_suiviDi[Civ.])),FALSE),"")</f>
        <v/>
      </c>
      <c r="G136" s="283" t="str">
        <f>IF(T_Convention[[#This Row],[Final]]&lt;&gt;"",VLOOKUP(T_Convention[[#This Row],[NumL]],T_suiviDi[#Data],COLUMN((T_suiviDi[Nom])),FALSE),"")</f>
        <v/>
      </c>
      <c r="H136" s="282" t="str">
        <f>IF(T_Convention[[#This Row],[Final]]&lt;&gt;"",VLOOKUP(T_Convention[[#This Row],[NumL]],T_suiviDi[#Data],COLUMN((T_suiviDi[Prénom])),FALSE),"")</f>
        <v/>
      </c>
      <c r="I136" s="282" t="e">
        <f>VLOOKUP(T_Convention[[#This Row],[NumL]],T_suiviDi[#Data],COLUMN((T_suiviDi[[#This Row],[Email]])),FALSE)</f>
        <v>#VALUE!</v>
      </c>
      <c r="J136" s="282" t="e">
        <f>IF(VLOOKUP(T_Convention[[#This Row],[NumL]],T_suiviDi[#Data],COLUMN(T_suiviDi[[#This Row],[Fonction]]),FALSE)="","",VLOOKUP(T_Convention[[#This Row],[NumL]],T_suiviDi[#Data],COLUMN(T_suiviDi[[#This Row],[Fonction]]),FALSE))</f>
        <v>#VALUE!</v>
      </c>
      <c r="K136" s="282" t="e">
        <f>IF(VLOOKUP(T_Convention[[#This Row],[NumL]],T_suiviDi[#Data],COLUMN(T_suiviDi[[#This Row],[Grade]]),FALSE)="","",VLOOKUP(T_Convention[[#This Row],[NumL]],T_suiviDi[#Data],COLUMN(T_suiviDi[[#This Row],[Grade]]),FALSE))</f>
        <v>#VALUE!</v>
      </c>
      <c r="L136" s="282" t="e">
        <f>IF(VLOOKUP(T_Convention[[#This Row],[NumL]],T_suiviDi[#Data],COLUMN(T_suiviDi[[#This Row],[Service ]]),FALSE)="","",VLOOKUP(T_Convention[[#This Row],[NumL]],T_suiviDi[#Data],COLUMN(T_suiviDi[[#This Row],[Service ]]),FALSE))</f>
        <v>#VALUE!</v>
      </c>
      <c r="M136" s="314" t="str">
        <f t="shared" si="11"/>
        <v>01 septembre 2021</v>
      </c>
      <c r="N136" s="314" t="str">
        <f t="shared" si="12"/>
        <v>30 novembre 2021</v>
      </c>
      <c r="O136" s="284" t="str">
        <f t="shared" si="13"/>
        <v>30 novembre 2021</v>
      </c>
      <c r="P136" s="282" t="e">
        <f>IF(VLOOKUP(T_Convention[[#This Row],[NumL]],T_TraitDi[#Data],COLUMN(T_TraitDi[M1]),FALSE)="","",VLOOKUP(T_Convention[[#This Row],[NumL]],T_TraitDi[#Data],COLUMN(T_TraitDi[M1]),FALSE))</f>
        <v>#N/A</v>
      </c>
      <c r="Q136" s="282" t="e">
        <f>IF(VLOOKUP(T_Convention[[#This Row],[NumL]],T_TraitDi[#Data],COLUMN(T_TraitDi[M2]),FALSE)="","",VLOOKUP(T_Convention[[#This Row],[NumL]],T_TraitDi[#Data],COLUMN(T_TraitDi[M2]),FALSE))</f>
        <v>#N/A</v>
      </c>
      <c r="R136" s="282" t="e">
        <f>IF(VLOOKUP(T_Convention[[#This Row],[NumL]],T_TraitDi[#Data],COLUMN(T_TraitDi[M3]),FALSE)="","",VLOOKUP(T_Convention[[#This Row],[NumL]],T_TraitDi[#Data],COLUMN(T_TraitDi[M3]),FALSE))</f>
        <v>#N/A</v>
      </c>
      <c r="S136" s="282" t="e">
        <f>IF(VLOOKUP(T_Convention[[#This Row],[NumL]],T_TraitDi[#Data],COLUMN(T_TraitDi[M4]),FALSE)="","",VLOOKUP(T_Convention[[#This Row],[NumL]],T_TraitDi[#Data],COLUMN(T_TraitDi[M4]),FALSE))</f>
        <v>#N/A</v>
      </c>
      <c r="T136" s="282" t="e">
        <f>IF(VLOOKUP(T_Convention[[#This Row],[NumL]],T_TraitDi[#Data],COLUMN(T_TraitDi[M5]),FALSE)="","",VLOOKUP(T_Convention[[#This Row],[NumL]],T_TraitDi[#Data],COLUMN(T_TraitDi[M5]),FALSE))</f>
        <v>#N/A</v>
      </c>
      <c r="U136" s="282" t="e">
        <f>IF(VLOOKUP(T_Convention[[#This Row],[NumL]],T_TraitDi[#Data],COLUMN(T_TraitDi[M6]),FALSE)="","",VLOOKUP(T_Convention[[#This Row],[NumL]],T_TraitDi[#Data],COLUMN(T_TraitDi[M6]),FALSE))</f>
        <v>#N/A</v>
      </c>
      <c r="V136" s="314" t="e">
        <f t="shared" si="14"/>
        <v>#N/A</v>
      </c>
      <c r="W136" s="284" t="str">
        <f>IFERROR(TEXT(VLOOKUP(T_Convention[[#This Row],[NumL]],T_TraitDi[#Data],COLUMN(T_TraitDi[Q2]),FALSE),"###%"),"")</f>
        <v/>
      </c>
      <c r="X136" s="285" t="e">
        <f>VLOOKUP(T_Convention[[#This Row],[NumL]],T_TraitDi[#Data],COLUMN(T_TraitDi[Reg Ponct]),FALSE)</f>
        <v>#N/A</v>
      </c>
      <c r="Y136" s="285" t="e">
        <f>VLOOKUP(T_Convention[NumL],T_TraitDi[#Data],COLUMN(T_TraitDi[Jours flottants]),FALSE)</f>
        <v>#N/A</v>
      </c>
      <c r="Z136" s="284" t="str">
        <f>IFERROR(VLOOKUP(T_Convention[[#This Row],[NumL]],T_TraitDi[#Data],COLUMN(T_TraitDi[Lundi]),FALSE),"")</f>
        <v/>
      </c>
      <c r="AA136" s="284" t="e">
        <f>IF(VLOOKUP(T_Convention[[#This Row],[NumL]],T_TraitDi[#Data],COLUMN(T_TraitDi[Colonne3]),FALSE)=0,"",TEXT(IFERROR(VLOOKUP(T_Convention[[#This Row],[NumL]],T_TraitDi[#Data],COLUMN(T_TraitDi[Colonne3]),FALSE),""),"[hh]:mm"))</f>
        <v>#N/A</v>
      </c>
      <c r="AB136" s="284" t="e">
        <f>IF(VLOOKUP(T_Convention[[#This Row],[NumL]],T_TraitDi[#Data],COLUMN(T_TraitDi[Colonne4]),FALSE)=0,"",TEXT(IFERROR(VLOOKUP(T_Convention[[#This Row],[NumL]],T_TraitDi[#Data],COLUMN(T_TraitDi[Colonne4]),FALSE),""),"[hh]:mm"))</f>
        <v>#N/A</v>
      </c>
      <c r="AC136" s="284" t="e">
        <f>IF(VLOOKUP(T_Convention[[#This Row],[NumL]],T_TraitDi[#Data],COLUMN(T_TraitDi[Colonne5]),FALSE)=0,"",TEXT(IFERROR(VLOOKUP(T_Convention[[#This Row],[NumL]],T_TraitDi[#Data],COLUMN(T_TraitDi[Colonne5]),FALSE),""),"[hh]:mm"))</f>
        <v>#N/A</v>
      </c>
      <c r="AD136" s="284" t="e">
        <f>IF(VLOOKUP(T_Convention[[#This Row],[NumL]],T_TraitDi[#Data],COLUMN(T_TraitDi[Colonne6]),FALSE)=0,"",TEXT(IFERROR(VLOOKUP(T_Convention[[#This Row],[NumL]],T_TraitDi[#Data],COLUMN(T_TraitDi[Colonne6]),FALSE),""),"[hh]:mm"))</f>
        <v>#N/A</v>
      </c>
      <c r="AE136" s="284" t="e">
        <f>IF(VLOOKUP(T_Convention[[#This Row],[NumL]],T_TraitDi[#Data],COLUMN(T_TraitDi[Colonne7]),FALSE)=0,"",TEXT(IFERROR(VLOOKUP(T_Convention[[#This Row],[NumL]],T_TraitDi[#Data],COLUMN(T_TraitDi[Colonne7]),FALSE),""),"[hh]:mm"))</f>
        <v>#N/A</v>
      </c>
      <c r="AF136" s="284" t="e">
        <f>IF(VLOOKUP(T_Convention[[#This Row],[NumL]],T_TraitDi[#Data],COLUMN(T_TraitDi[Colonne8]),FALSE)=0,"",TEXT(IFERROR(VLOOKUP(T_Convention[[#This Row],[NumL]],T_TraitDi[#Data],COLUMN(T_TraitDi[Colonne8]),FALSE),""),"[hh]:mm"))</f>
        <v>#N/A</v>
      </c>
      <c r="AG136" s="284" t="str">
        <f>IFERROR(VLOOKUP(T_Convention[[#This Row],[NumL]],T_TraitDi[#Data],COLUMN(T_TraitDi[Mardi]),FALSE),"")</f>
        <v/>
      </c>
      <c r="AH136" s="284" t="e">
        <f>IF(VLOOKUP(T_Convention[[#This Row],[NumL]],T_TraitDi[#Data],COLUMN(T_TraitDi[Colonne1]),FALSE)=0,"",TEXT(IFERROR(VLOOKUP(T_Convention[[#This Row],[NumL]],T_TraitDi[#Data],COLUMN(T_TraitDi[Colonne1]),FALSE),""),"[hh]:mm"))</f>
        <v>#N/A</v>
      </c>
      <c r="AI136" s="284" t="e">
        <f>IF(VLOOKUP(T_Convention[[#This Row],[NumL]],T_TraitDi[#Data],COLUMN(T_TraitDi[Colonne9]),FALSE)=0,"",TEXT(IFERROR(VLOOKUP(T_Convention[[#This Row],[NumL]],T_TraitDi[#Data],COLUMN(T_TraitDi[Colonne9]),FALSE),""),"[hh]:mm"))</f>
        <v>#N/A</v>
      </c>
      <c r="AJ136" s="284" t="str">
        <f>IFERROR(VLOOKUP(T_Convention[[#This Row],[NumL]],T_TraitDi[#Data],COLUMN(T_TraitDi[Colonne10]),FALSE),"")</f>
        <v/>
      </c>
      <c r="AK136" s="284" t="e">
        <f>IF(VLOOKUP(T_Convention[[#This Row],[NumL]],T_TraitDi[#Data],COLUMN(T_TraitDi[Colonne11]),FALSE)=0,"",TEXT(IFERROR(VLOOKUP(T_Convention[[#This Row],[NumL]],T_TraitDi[#Data],COLUMN(T_TraitDi[Colonne11]),FALSE),""),"[hh]:mm"))</f>
        <v>#N/A</v>
      </c>
      <c r="AL136" s="284" t="e">
        <f>IF(VLOOKUP(T_Convention[[#This Row],[NumL]],T_TraitDi[#Data],COLUMN(T_TraitDi[Colonne12]),FALSE)=0,"",TEXT(IFERROR(VLOOKUP(T_Convention[[#This Row],[NumL]],T_TraitDi[#Data],COLUMN(T_TraitDi[Colonne12]),FALSE),""),"[hh]:mm"))</f>
        <v>#N/A</v>
      </c>
      <c r="AM136" s="284" t="e">
        <f>IF(VLOOKUP(T_Convention[[#This Row],[NumL]],T_TraitDi[#Data],COLUMN(T_TraitDi[Colonne14]),FALSE)=0,"",TEXT(IFERROR(VLOOKUP(T_Convention[[#This Row],[NumL]],T_TraitDi[#Data],COLUMN(T_TraitDi[Colonne14]),FALSE),""),"[hh]:mm"))</f>
        <v>#N/A</v>
      </c>
      <c r="AN136" s="284" t="str">
        <f>IFERROR(VLOOKUP(T_Convention[[#This Row],[NumL]],T_TraitDi[#Data],COLUMN(T_TraitDi[Mercredi]),FALSE),"")</f>
        <v/>
      </c>
      <c r="AO136" s="284" t="e">
        <f>IF(VLOOKUP(T_Convention[[#This Row],[NumL]],T_TraitDi[#Data],COLUMN(T_TraitDi[Colonne15]),FALSE)=0,"",TEXT(IFERROR(VLOOKUP(T_Convention[[#This Row],[NumL]],T_TraitDi[#Data],COLUMN(T_TraitDi[Colonne15]),FALSE),""),"[hh]:mm"))</f>
        <v>#N/A</v>
      </c>
      <c r="AP136" s="284" t="e">
        <f>IF(VLOOKUP(T_Convention[[#This Row],[NumL]],T_TraitDi[#Data],COLUMN(T_TraitDi[Colonne16]),FALSE)=0,"",TEXT(IFERROR(VLOOKUP(T_Convention[[#This Row],[NumL]],T_TraitDi[#Data],COLUMN(T_TraitDi[Colonne16]),FALSE),""),"[hh]:mm"))</f>
        <v>#N/A</v>
      </c>
      <c r="AQ136" s="284" t="str">
        <f>IFERROR(VLOOKUP(T_Convention[[#This Row],[NumL]],T_TraitDi[#Data],COLUMN(T_TraitDi[Colonne17]),FALSE),"")</f>
        <v/>
      </c>
      <c r="AR136" s="284" t="e">
        <f>IF(VLOOKUP(T_Convention[[#This Row],[NumL]],T_TraitDi[#Data],COLUMN(T_TraitDi[Colonne18]),FALSE)=0,"",TEXT(IFERROR(VLOOKUP(T_Convention[[#This Row],[NumL]],T_TraitDi[#Data],COLUMN(T_TraitDi[Colonne18]),FALSE),""),"[hh]:mm"))</f>
        <v>#N/A</v>
      </c>
      <c r="AS136" s="284" t="e">
        <f>IF(VLOOKUP(T_Convention[[#This Row],[NumL]],T_TraitDi[#Data],COLUMN(T_TraitDi[Colonne19]),FALSE)=0,"",TEXT(IFERROR(VLOOKUP(T_Convention[[#This Row],[NumL]],T_TraitDi[#Data],COLUMN(T_TraitDi[Colonne19]),FALSE),""),"[hh]:mm"))</f>
        <v>#N/A</v>
      </c>
      <c r="AT136" s="284" t="e">
        <f>IF(VLOOKUP(T_Convention[[#This Row],[NumL]],T_TraitDi[#Data],COLUMN(T_TraitDi[Colonne20]),FALSE)=0,"",TEXT(IFERROR(VLOOKUP(T_Convention[[#This Row],[NumL]],T_TraitDi[#Data],COLUMN(T_TraitDi[Colonne20]),FALSE),""),"[hh]:mm"))</f>
        <v>#N/A</v>
      </c>
      <c r="AU136" s="284" t="str">
        <f>IFERROR(VLOOKUP(T_Convention[[#This Row],[NumL]],T_TraitDi[#Data],COLUMN(T_TraitDi[Jeudi]),FALSE),"")</f>
        <v/>
      </c>
      <c r="AV136" s="284" t="e">
        <f>IF(VLOOKUP(T_Convention[[#This Row],[NumL]],T_TraitDi[#Data],COLUMN(T_TraitDi[Colonne21]),FALSE)=0,"",TEXT(IFERROR(VLOOKUP(T_Convention[[#This Row],[NumL]],T_TraitDi[#Data],COLUMN(T_TraitDi[Colonne21]),FALSE),""),"[hh]:mm"))</f>
        <v>#N/A</v>
      </c>
      <c r="AW136" s="284" t="e">
        <f>IF(VLOOKUP(T_Convention[[#This Row],[NumL]],T_TraitDi[#Data],COLUMN(T_TraitDi[Colonne22]),FALSE)=0,"",TEXT(IFERROR(VLOOKUP(T_Convention[[#This Row],[NumL]],T_TraitDi[#Data],COLUMN(T_TraitDi[Colonne22]),FALSE),""),"[hh]:mm"))</f>
        <v>#N/A</v>
      </c>
      <c r="AX136" s="284" t="str">
        <f>IFERROR(VLOOKUP(T_Convention[[#This Row],[NumL]],T_TraitDi[#Data],COLUMN(T_TraitDi[Colonne23]),FALSE),"")</f>
        <v/>
      </c>
      <c r="AY136" s="284" t="e">
        <f>IF(VLOOKUP(T_Convention[[#This Row],[NumL]],T_TraitDi[#Data],COLUMN(T_TraitDi[Colonne24]),FALSE)=0,"",TEXT(IFERROR(VLOOKUP(T_Convention[[#This Row],[NumL]],T_TraitDi[#Data],COLUMN(T_TraitDi[Colonne24]),FALSE),""),"[hh]:mm"))</f>
        <v>#N/A</v>
      </c>
      <c r="AZ136" s="284" t="e">
        <f>IF(VLOOKUP(T_Convention[[#This Row],[NumL]],T_TraitDi[#Data],COLUMN(T_TraitDi[Colonne25]),FALSE)=0,"",TEXT(IFERROR(VLOOKUP(T_Convention[[#This Row],[NumL]],T_TraitDi[#Data],COLUMN(T_TraitDi[Colonne25]),FALSE),""),"[hh]:mm"))</f>
        <v>#N/A</v>
      </c>
      <c r="BA136" s="284" t="e">
        <f>IF(VLOOKUP(T_Convention[[#This Row],[NumL]],T_TraitDi[#Data],COLUMN(T_TraitDi[Colonne26]),FALSE)=0,"",TEXT(IFERROR(VLOOKUP(T_Convention[[#This Row],[NumL]],T_TraitDi[#Data],COLUMN(T_TraitDi[Colonne26]),FALSE),""),"[hh]:mm"))</f>
        <v>#N/A</v>
      </c>
      <c r="BB136" s="284" t="str">
        <f>IFERROR(VLOOKUP(T_Convention[[#This Row],[NumL]],T_TraitDi[#Data],COLUMN(T_TraitDi[Vendredi]),FALSE),"")</f>
        <v/>
      </c>
      <c r="BC136" s="284" t="e">
        <f>IF(VLOOKUP(T_Convention[[#This Row],[NumL]],T_TraitDi[#Data],COLUMN(T_TraitDi[Colonne27]),FALSE)=0,"",TEXT(IFERROR(VLOOKUP(T_Convention[[#This Row],[NumL]],T_TraitDi[#Data],COLUMN(T_TraitDi[Colonne27]),FALSE),""),"[hh]:mm"))</f>
        <v>#N/A</v>
      </c>
      <c r="BD136" s="284" t="e">
        <f>IF(VLOOKUP(T_Convention[[#This Row],[NumL]],T_TraitDi[#Data],COLUMN(T_TraitDi[Colonne28]),FALSE)=0,"",TEXT(IFERROR(VLOOKUP(T_Convention[[#This Row],[NumL]],T_TraitDi[#Data],COLUMN(T_TraitDi[Colonne28]),FALSE),""),"[hh]:mm"))</f>
        <v>#N/A</v>
      </c>
      <c r="BE136" s="284" t="str">
        <f>IFERROR(VLOOKUP(T_Convention[[#This Row],[NumL]],T_TraitDi[#Data],COLUMN(T_TraitDi[Colonne29]),FALSE),"")</f>
        <v/>
      </c>
      <c r="BF136" s="284" t="e">
        <f>IF(VLOOKUP(T_Convention[[#This Row],[NumL]],T_TraitDi[#Data],COLUMN(T_TraitDi[Colonne30]),FALSE)=0,"",TEXT(IFERROR(VLOOKUP(T_Convention[[#This Row],[NumL]],T_TraitDi[#Data],COLUMN(T_TraitDi[Colonne30]),FALSE),""),"[hh]:mm"))</f>
        <v>#N/A</v>
      </c>
      <c r="BG136" s="284" t="e">
        <f>IF(VLOOKUP(T_Convention[[#This Row],[NumL]],T_TraitDi[#Data],COLUMN(T_TraitDi[Colonne31]),FALSE)=0,"",TEXT(IFERROR(VLOOKUP(T_Convention[[#This Row],[NumL]],T_TraitDi[#Data],COLUMN(T_TraitDi[Colonne31]),FALSE),""),"[hh]:mm"))</f>
        <v>#N/A</v>
      </c>
      <c r="BH136" s="284" t="e">
        <f>IF(VLOOKUP(T_Convention[[#This Row],[NumL]],T_TraitDi[#Data],COLUMN(T_TraitDi[Colonne32]),FALSE)=0,"",TEXT(IFERROR(VLOOKUP(T_Convention[[#This Row],[NumL]],T_TraitDi[#Data],COLUMN(T_TraitDi[Colonne32]),FALSE),""),"[hh]:mm"))</f>
        <v>#N/A</v>
      </c>
      <c r="BI136" s="284" t="str">
        <f>IFERROR(VLOOKUP(T_Convention[[#This Row],[NumL]],T_TraitDi[#Data],COLUMN(T_TraitDi[NbJTW]),FALSE),"")</f>
        <v/>
      </c>
      <c r="BJ136" s="284" t="e">
        <f>IF(VLOOKUP(T_Convention[[#This Row],[NumL]],T_TraitDi[#Data],COLUMN(T_TraitDi[NbhTW]),FALSE)=0,"",TEXT(IFERROR(VLOOKUP(T_Convention[[#This Row],[NumL]],T_TraitDi[#Data],COLUMN(T_TraitDi[NbhTW]),FALSE),""),"[hh]:mm"))</f>
        <v>#N/A</v>
      </c>
      <c r="BK136" s="315" t="e">
        <f>IF(VLOOKUP(T_Convention[[#This Row],[NumL]],T_TraitDi[#Data],COLUMN(T_TraitDi[Nbhheb]),FALSE)=0,"",TEXT(IFERROR(VLOOKUP(T_Convention[[#This Row],[NumL]],T_TraitDi[#Data],COLUMN(T_TraitDi[Nbhheb]),FALSE),""),"[hh]:mm"))</f>
        <v>#N/A</v>
      </c>
      <c r="BL136" s="287" t="str">
        <f>IFERROR(VLOOKUP(VLOOKUP(T_Convention[[#This Row],[NumL]],T_TraitDi[#Data],COLUMN(T_TraitDi[Type1]),FALSE),TypeTW,2,FALSE),"")</f>
        <v/>
      </c>
      <c r="BM136" s="288" t="str">
        <f>IFERROR(VLOOKUP(T_Convention[[#This Row],[NumL]],T_TraitDi[#Data],COLUMN(T_TraitDi[Rue1]),FALSE),"")</f>
        <v/>
      </c>
      <c r="BN136" s="289" t="str">
        <f>IFERROR(VLOOKUP(T_Convention[[#This Row],[NumL]],T_TraitDi[#Data],COLUMN(T_TraitDi[CP1]),FALSE),"")</f>
        <v/>
      </c>
      <c r="BO136" s="282" t="str">
        <f>IFERROR(VLOOKUP(T_Convention[[#This Row],[NumL]],T_TraitDi[#Data],COLUMN(T_TraitDi[VILLE1]),FALSE),"")</f>
        <v/>
      </c>
      <c r="BP136" s="290" t="str">
        <f>IFERROR(VLOOKUP(VLOOKUP(T_Convention[[#This Row],[NumL]],T_TraitDi[#Data],COLUMN(T_TraitDi[Type2]),FALSE),TypeTW,2,FALSE),"")</f>
        <v/>
      </c>
      <c r="BQ136" s="310" t="str">
        <f>IFERROR(VLOOKUP(T_Convention[[#This Row],[NumL]],T_TraitDi[#Data],COLUMN(T_TraitDi[Rue2]),FALSE),"")</f>
        <v/>
      </c>
      <c r="BR136" s="290" t="str">
        <f>IFERROR(VLOOKUP(T_Convention[[#This Row],[NumL]],T_TraitDi[#Data],COLUMN(T_TraitDi[CP2]),FALSE),"")</f>
        <v/>
      </c>
      <c r="BS136" s="290" t="str">
        <f>IFERROR(VLOOKUP(T_Convention[[#This Row],[NumL]],T_TraitDi[#Data],COLUMN(T_TraitDi[VILLE2]),FALSE),"")</f>
        <v/>
      </c>
      <c r="BT13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36" s="314" t="str">
        <f>IFERROR(IF(VLOOKUP(T_Convention[[#This Row],[NumL]],T_TraitDi[#Data],COLUMN(T_TraitDi[Plan]),FALSE)="OK","Un planning spécifique de télétravail est annexé à la présente convention.",""),"")</f>
        <v/>
      </c>
      <c r="BV136" s="291"/>
      <c r="BW136" s="292" t="e">
        <f>IF(VLOOKUP(T_Convention[[#This Row],[NumL]],T_suiviDi[#Data],COLUMN(T_suiviDi[Entité]),FALSE)="","",VLOOKUP(T_Convention[[#This Row],[NumL]],T_suiviDi[#Data],COLUMN(T_suiviDi[Entité]),FALSE))</f>
        <v>#N/A</v>
      </c>
      <c r="BX136" s="311" t="str">
        <f>IF(VLOOKUP(T_Convention[[#This Row],[NumL]],T_Commission[#Data],COLUMN(T_Commission[envoi confirm TW]),FALSE)="","",VLOOKUP(T_Convention[[#This Row],[NumL]],T_Commission[#Data],COLUMN(T_Commission[envoi confirm TW]),FALSE))</f>
        <v>Oui</v>
      </c>
      <c r="BY13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6" s="265">
        <f>VLOOKUP(T_Convention[[#This Row],[NumL]],T_Commission[#Data],COLUMN(T_Commission[Commentaire]),FALSE)</f>
        <v>0</v>
      </c>
      <c r="CA136" s="255" t="str">
        <f>IF(VLOOKUP(T_Convention[[#This Row],[NumL]],T_Commission[#Data],COLUMN(T_Commission[Encadrant Email]),FALSE)="","",VLOOKUP(T_Convention[[#This Row],[NumL]],T_Commission[#Data],COLUMN(T_Commission[Encadrant Email]),FALSE))</f>
        <v/>
      </c>
      <c r="CB136" s="352" t="e">
        <f>VLOOKUP(T_Convention[[#This Row],[NumL]],T_TraitDi[#Data],COLUMN(T_TraitDi[NbJTot]),FALSE)</f>
        <v>#N/A</v>
      </c>
      <c r="CC136" s="352" t="e">
        <f>VLOOKUP(T_Convention[[#This Row],[NumL]],T_TraitDi[#Data],COLUMN(T_TraitDi[Reg Ponct]),FALSE)</f>
        <v>#N/A</v>
      </c>
      <c r="CD136" s="348" t="str">
        <f>IF(T_Convention[[#This Row],[Final]]&lt;&gt;"",VLOOKUP(T_Convention[[#This Row],[NumL]],T_suiviDi[#Data],COLUMN((T_suiviDi[Statut])),FALSE),"")</f>
        <v/>
      </c>
    </row>
    <row r="137" spans="1:82" s="106" customFormat="1" ht="18.75" customHeight="1" x14ac:dyDescent="0.25">
      <c r="A137" s="160">
        <v>17</v>
      </c>
      <c r="B137" s="161" t="str">
        <f>VLOOKUP(T_Convention[[#This Row],[NumL]],T_Commission[#Data],COLUMN(T_Commission[FINAL]),FALSE)</f>
        <v/>
      </c>
      <c r="C137" s="162"/>
      <c r="D137" s="95" t="e">
        <f>IF(VLOOKUP(T_Convention[[#This Row],[NumL]],T_TraitDi[#Data],COLUMN(T_TraitDi[WebC]),FALSE)="","",VLOOKUP(T_Convention[[#This Row],[NumL]],T_TraitDi[#Data],COLUMN(T_TraitDi[WebC]),FALSE))</f>
        <v>#N/A</v>
      </c>
      <c r="E137" s="163" t="str">
        <f t="shared" si="10"/>
        <v>12 janvier 2021</v>
      </c>
      <c r="F137" s="282" t="str">
        <f>IF(T_Convention[[#This Row],[Final]]&lt;&gt;"",VLOOKUP(T_Convention[[#This Row],[NumL]],T_suiviDi[#Data],COLUMN((T_suiviDi[Civ.])),FALSE),"")</f>
        <v/>
      </c>
      <c r="G137" s="283" t="str">
        <f>IF(T_Convention[[#This Row],[Final]]&lt;&gt;"",VLOOKUP(T_Convention[[#This Row],[NumL]],T_suiviDi[#Data],COLUMN((T_suiviDi[Nom])),FALSE),"")</f>
        <v/>
      </c>
      <c r="H137" s="282" t="str">
        <f>IF(T_Convention[[#This Row],[Final]]&lt;&gt;"",VLOOKUP(T_Convention[[#This Row],[NumL]],T_suiviDi[#Data],COLUMN((T_suiviDi[Prénom])),FALSE),"")</f>
        <v/>
      </c>
      <c r="I137" s="282" t="e">
        <f>VLOOKUP(T_Convention[[#This Row],[NumL]],T_suiviDi[#Data],COLUMN((T_suiviDi[[#This Row],[Email]])),FALSE)</f>
        <v>#VALUE!</v>
      </c>
      <c r="J137" s="282" t="e">
        <f>IF(VLOOKUP(T_Convention[[#This Row],[NumL]],T_suiviDi[#Data],COLUMN(T_suiviDi[[#This Row],[Fonction]]),FALSE)="","",VLOOKUP(T_Convention[[#This Row],[NumL]],T_suiviDi[#Data],COLUMN(T_suiviDi[[#This Row],[Fonction]]),FALSE))</f>
        <v>#VALUE!</v>
      </c>
      <c r="K137" s="282" t="e">
        <f>IF(VLOOKUP(T_Convention[[#This Row],[NumL]],T_suiviDi[#Data],COLUMN(T_suiviDi[[#This Row],[Grade]]),FALSE)="","",VLOOKUP(T_Convention[[#This Row],[NumL]],T_suiviDi[#Data],COLUMN(T_suiviDi[[#This Row],[Grade]]),FALSE))</f>
        <v>#VALUE!</v>
      </c>
      <c r="L137" s="282" t="e">
        <f>IF(VLOOKUP(T_Convention[[#This Row],[NumL]],T_suiviDi[#Data],COLUMN(T_suiviDi[[#This Row],[Service ]]),FALSE)="","",VLOOKUP(T_Convention[[#This Row],[NumL]],T_suiviDi[#Data],COLUMN(T_suiviDi[[#This Row],[Service ]]),FALSE))</f>
        <v>#VALUE!</v>
      </c>
      <c r="M137" s="164" t="str">
        <f t="shared" si="11"/>
        <v>01 septembre 2021</v>
      </c>
      <c r="N137" s="164" t="str">
        <f t="shared" si="12"/>
        <v>30 novembre 2021</v>
      </c>
      <c r="O137" s="284" t="str">
        <f t="shared" si="13"/>
        <v>30 novembre 2021</v>
      </c>
      <c r="P137" s="282" t="e">
        <f>IF(VLOOKUP(T_Convention[[#This Row],[NumL]],T_TraitDi[#Data],COLUMN(T_TraitDi[M1]),FALSE)="","",VLOOKUP(T_Convention[[#This Row],[NumL]],T_TraitDi[#Data],COLUMN(T_TraitDi[M1]),FALSE))</f>
        <v>#N/A</v>
      </c>
      <c r="Q137" s="282" t="e">
        <f>IF(VLOOKUP(T_Convention[[#This Row],[NumL]],T_TraitDi[#Data],COLUMN(T_TraitDi[M2]),FALSE)="","",VLOOKUP(T_Convention[[#This Row],[NumL]],T_TraitDi[#Data],COLUMN(T_TraitDi[M2]),FALSE))</f>
        <v>#N/A</v>
      </c>
      <c r="R137" s="282" t="e">
        <f>IF(VLOOKUP(T_Convention[[#This Row],[NumL]],T_TraitDi[#Data],COLUMN(T_TraitDi[M3]),FALSE)="","",VLOOKUP(T_Convention[[#This Row],[NumL]],T_TraitDi[#Data],COLUMN(T_TraitDi[M3]),FALSE))</f>
        <v>#N/A</v>
      </c>
      <c r="S137" s="282" t="e">
        <f>IF(VLOOKUP(T_Convention[[#This Row],[NumL]],T_TraitDi[#Data],COLUMN(T_TraitDi[M4]),FALSE)="","",VLOOKUP(T_Convention[[#This Row],[NumL]],T_TraitDi[#Data],COLUMN(T_TraitDi[M4]),FALSE))</f>
        <v>#N/A</v>
      </c>
      <c r="T137" s="282" t="e">
        <f>IF(VLOOKUP(T_Convention[[#This Row],[NumL]],T_TraitDi[#Data],COLUMN(T_TraitDi[M5]),FALSE)="","",VLOOKUP(T_Convention[[#This Row],[NumL]],T_TraitDi[#Data],COLUMN(T_TraitDi[M5]),FALSE))</f>
        <v>#N/A</v>
      </c>
      <c r="U137" s="282" t="e">
        <f>IF(VLOOKUP(T_Convention[[#This Row],[NumL]],T_TraitDi[#Data],COLUMN(T_TraitDi[M6]),FALSE)="","",VLOOKUP(T_Convention[[#This Row],[NumL]],T_TraitDi[#Data],COLUMN(T_TraitDi[M6]),FALSE))</f>
        <v>#N/A</v>
      </c>
      <c r="V137" s="176" t="e">
        <f t="shared" si="14"/>
        <v>#N/A</v>
      </c>
      <c r="W137" s="284" t="str">
        <f>IFERROR(TEXT(VLOOKUP(T_Convention[[#This Row],[NumL]],T_TraitDi[#Data],COLUMN(T_TraitDi[Q2]),FALSE),"###%"),"")</f>
        <v/>
      </c>
      <c r="X137" s="97" t="e">
        <f>VLOOKUP(T_Convention[[#This Row],[NumL]],T_TraitDi[#Data],COLUMN(T_TraitDi[Reg Ponct]),FALSE)</f>
        <v>#N/A</v>
      </c>
      <c r="Y137" s="97" t="e">
        <f>VLOOKUP(T_Convention[NumL],T_TraitDi[#Data],COLUMN(T_TraitDi[Jours flottants]),FALSE)</f>
        <v>#N/A</v>
      </c>
      <c r="Z137" s="284" t="str">
        <f>IFERROR(VLOOKUP(T_Convention[[#This Row],[NumL]],T_TraitDi[#Data],COLUMN(T_TraitDi[Lundi]),FALSE),"")</f>
        <v/>
      </c>
      <c r="AA137" s="284" t="e">
        <f>IF(VLOOKUP(T_Convention[[#This Row],[NumL]],T_TraitDi[#Data],COLUMN(T_TraitDi[Colonne3]),FALSE)=0,"",TEXT(IFERROR(VLOOKUP(T_Convention[[#This Row],[NumL]],T_TraitDi[#Data],COLUMN(T_TraitDi[Colonne3]),FALSE),""),"[hh]:mm"))</f>
        <v>#N/A</v>
      </c>
      <c r="AB137" s="284" t="e">
        <f>IF(VLOOKUP(T_Convention[[#This Row],[NumL]],T_TraitDi[#Data],COLUMN(T_TraitDi[Colonne4]),FALSE)=0,"",TEXT(IFERROR(VLOOKUP(T_Convention[[#This Row],[NumL]],T_TraitDi[#Data],COLUMN(T_TraitDi[Colonne4]),FALSE),""),"[hh]:mm"))</f>
        <v>#N/A</v>
      </c>
      <c r="AC137" s="284" t="e">
        <f>IF(VLOOKUP(T_Convention[[#This Row],[NumL]],T_TraitDi[#Data],COLUMN(T_TraitDi[Colonne5]),FALSE)=0,"",TEXT(IFERROR(VLOOKUP(T_Convention[[#This Row],[NumL]],T_TraitDi[#Data],COLUMN(T_TraitDi[Colonne5]),FALSE),""),"[hh]:mm"))</f>
        <v>#N/A</v>
      </c>
      <c r="AD137" s="284" t="e">
        <f>IF(VLOOKUP(T_Convention[[#This Row],[NumL]],T_TraitDi[#Data],COLUMN(T_TraitDi[Colonne6]),FALSE)=0,"",TEXT(IFERROR(VLOOKUP(T_Convention[[#This Row],[NumL]],T_TraitDi[#Data],COLUMN(T_TraitDi[Colonne6]),FALSE),""),"[hh]:mm"))</f>
        <v>#N/A</v>
      </c>
      <c r="AE137" s="284" t="e">
        <f>IF(VLOOKUP(T_Convention[[#This Row],[NumL]],T_TraitDi[#Data],COLUMN(T_TraitDi[Colonne7]),FALSE)=0,"",TEXT(IFERROR(VLOOKUP(T_Convention[[#This Row],[NumL]],T_TraitDi[#Data],COLUMN(T_TraitDi[Colonne7]),FALSE),""),"[hh]:mm"))</f>
        <v>#N/A</v>
      </c>
      <c r="AF137" s="284" t="e">
        <f>IF(VLOOKUP(T_Convention[[#This Row],[NumL]],T_TraitDi[#Data],COLUMN(T_TraitDi[Colonne8]),FALSE)=0,"",TEXT(IFERROR(VLOOKUP(T_Convention[[#This Row],[NumL]],T_TraitDi[#Data],COLUMN(T_TraitDi[Colonne8]),FALSE),""),"[hh]:mm"))</f>
        <v>#N/A</v>
      </c>
      <c r="AG137" s="284" t="str">
        <f>IFERROR(VLOOKUP(T_Convention[[#This Row],[NumL]],T_TraitDi[#Data],COLUMN(T_TraitDi[Mardi]),FALSE),"")</f>
        <v/>
      </c>
      <c r="AH137" s="284" t="e">
        <f>IF(VLOOKUP(T_Convention[[#This Row],[NumL]],T_TraitDi[#Data],COLUMN(T_TraitDi[Colonne1]),FALSE)=0,"",TEXT(IFERROR(VLOOKUP(T_Convention[[#This Row],[NumL]],T_TraitDi[#Data],COLUMN(T_TraitDi[Colonne1]),FALSE),""),"[hh]:mm"))</f>
        <v>#N/A</v>
      </c>
      <c r="AI137" s="284" t="e">
        <f>IF(VLOOKUP(T_Convention[[#This Row],[NumL]],T_TraitDi[#Data],COLUMN(T_TraitDi[Colonne9]),FALSE)=0,"",TEXT(IFERROR(VLOOKUP(T_Convention[[#This Row],[NumL]],T_TraitDi[#Data],COLUMN(T_TraitDi[Colonne9]),FALSE),""),"[hh]:mm"))</f>
        <v>#N/A</v>
      </c>
      <c r="AJ137" s="284" t="str">
        <f>IFERROR(VLOOKUP(T_Convention[[#This Row],[NumL]],T_TraitDi[#Data],COLUMN(T_TraitDi[Colonne10]),FALSE),"")</f>
        <v/>
      </c>
      <c r="AK137" s="284" t="e">
        <f>IF(VLOOKUP(T_Convention[[#This Row],[NumL]],T_TraitDi[#Data],COLUMN(T_TraitDi[Colonne11]),FALSE)=0,"",TEXT(IFERROR(VLOOKUP(T_Convention[[#This Row],[NumL]],T_TraitDi[#Data],COLUMN(T_TraitDi[Colonne11]),FALSE),""),"[hh]:mm"))</f>
        <v>#N/A</v>
      </c>
      <c r="AL137" s="284" t="e">
        <f>IF(VLOOKUP(T_Convention[[#This Row],[NumL]],T_TraitDi[#Data],COLUMN(T_TraitDi[Colonne12]),FALSE)=0,"",TEXT(IFERROR(VLOOKUP(T_Convention[[#This Row],[NumL]],T_TraitDi[#Data],COLUMN(T_TraitDi[Colonne12]),FALSE),""),"[hh]:mm"))</f>
        <v>#N/A</v>
      </c>
      <c r="AM137" s="284" t="e">
        <f>IF(VLOOKUP(T_Convention[[#This Row],[NumL]],T_TraitDi[#Data],COLUMN(T_TraitDi[Colonne14]),FALSE)=0,"",TEXT(IFERROR(VLOOKUP(T_Convention[[#This Row],[NumL]],T_TraitDi[#Data],COLUMN(T_TraitDi[Colonne14]),FALSE),""),"[hh]:mm"))</f>
        <v>#N/A</v>
      </c>
      <c r="AN137" s="284" t="str">
        <f>IFERROR(VLOOKUP(T_Convention[[#This Row],[NumL]],T_TraitDi[#Data],COLUMN(T_TraitDi[Mercredi]),FALSE),"")</f>
        <v/>
      </c>
      <c r="AO137" s="284" t="e">
        <f>IF(VLOOKUP(T_Convention[[#This Row],[NumL]],T_TraitDi[#Data],COLUMN(T_TraitDi[Colonne15]),FALSE)=0,"",TEXT(IFERROR(VLOOKUP(T_Convention[[#This Row],[NumL]],T_TraitDi[#Data],COLUMN(T_TraitDi[Colonne15]),FALSE),""),"[hh]:mm"))</f>
        <v>#N/A</v>
      </c>
      <c r="AP137" s="284" t="e">
        <f>IF(VLOOKUP(T_Convention[[#This Row],[NumL]],T_TraitDi[#Data],COLUMN(T_TraitDi[Colonne16]),FALSE)=0,"",TEXT(IFERROR(VLOOKUP(T_Convention[[#This Row],[NumL]],T_TraitDi[#Data],COLUMN(T_TraitDi[Colonne16]),FALSE),""),"[hh]:mm"))</f>
        <v>#N/A</v>
      </c>
      <c r="AQ137" s="284" t="str">
        <f>IFERROR(VLOOKUP(T_Convention[[#This Row],[NumL]],T_TraitDi[#Data],COLUMN(T_TraitDi[Colonne17]),FALSE),"")</f>
        <v/>
      </c>
      <c r="AR137" s="284" t="e">
        <f>IF(VLOOKUP(T_Convention[[#This Row],[NumL]],T_TraitDi[#Data],COLUMN(T_TraitDi[Colonne18]),FALSE)=0,"",TEXT(IFERROR(VLOOKUP(T_Convention[[#This Row],[NumL]],T_TraitDi[#Data],COLUMN(T_TraitDi[Colonne18]),FALSE),""),"[hh]:mm"))</f>
        <v>#N/A</v>
      </c>
      <c r="AS137" s="284" t="e">
        <f>IF(VLOOKUP(T_Convention[[#This Row],[NumL]],T_TraitDi[#Data],COLUMN(T_TraitDi[Colonne19]),FALSE)=0,"",TEXT(IFERROR(VLOOKUP(T_Convention[[#This Row],[NumL]],T_TraitDi[#Data],COLUMN(T_TraitDi[Colonne19]),FALSE),""),"[hh]:mm"))</f>
        <v>#N/A</v>
      </c>
      <c r="AT137" s="284" t="e">
        <f>IF(VLOOKUP(T_Convention[[#This Row],[NumL]],T_TraitDi[#Data],COLUMN(T_TraitDi[Colonne20]),FALSE)=0,"",TEXT(IFERROR(VLOOKUP(T_Convention[[#This Row],[NumL]],T_TraitDi[#Data],COLUMN(T_TraitDi[Colonne20]),FALSE),""),"[hh]:mm"))</f>
        <v>#N/A</v>
      </c>
      <c r="AU137" s="284" t="str">
        <f>IFERROR(VLOOKUP(T_Convention[[#This Row],[NumL]],T_TraitDi[#Data],COLUMN(T_TraitDi[Jeudi]),FALSE),"")</f>
        <v/>
      </c>
      <c r="AV137" s="284" t="e">
        <f>IF(VLOOKUP(T_Convention[[#This Row],[NumL]],T_TraitDi[#Data],COLUMN(T_TraitDi[Colonne21]),FALSE)=0,"",TEXT(IFERROR(VLOOKUP(T_Convention[[#This Row],[NumL]],T_TraitDi[#Data],COLUMN(T_TraitDi[Colonne21]),FALSE),""),"[hh]:mm"))</f>
        <v>#N/A</v>
      </c>
      <c r="AW137" s="284" t="e">
        <f>IF(VLOOKUP(T_Convention[[#This Row],[NumL]],T_TraitDi[#Data],COLUMN(T_TraitDi[Colonne22]),FALSE)=0,"",TEXT(IFERROR(VLOOKUP(T_Convention[[#This Row],[NumL]],T_TraitDi[#Data],COLUMN(T_TraitDi[Colonne22]),FALSE),""),"[hh]:mm"))</f>
        <v>#N/A</v>
      </c>
      <c r="AX137" s="284" t="str">
        <f>IFERROR(VLOOKUP(T_Convention[[#This Row],[NumL]],T_TraitDi[#Data],COLUMN(T_TraitDi[Colonne23]),FALSE),"")</f>
        <v/>
      </c>
      <c r="AY137" s="284" t="e">
        <f>IF(VLOOKUP(T_Convention[[#This Row],[NumL]],T_TraitDi[#Data],COLUMN(T_TraitDi[Colonne24]),FALSE)=0,"",TEXT(IFERROR(VLOOKUP(T_Convention[[#This Row],[NumL]],T_TraitDi[#Data],COLUMN(T_TraitDi[Colonne24]),FALSE),""),"[hh]:mm"))</f>
        <v>#N/A</v>
      </c>
      <c r="AZ137" s="284" t="e">
        <f>IF(VLOOKUP(T_Convention[[#This Row],[NumL]],T_TraitDi[#Data],COLUMN(T_TraitDi[Colonne25]),FALSE)=0,"",TEXT(IFERROR(VLOOKUP(T_Convention[[#This Row],[NumL]],T_TraitDi[#Data],COLUMN(T_TraitDi[Colonne25]),FALSE),""),"[hh]:mm"))</f>
        <v>#N/A</v>
      </c>
      <c r="BA137" s="284" t="e">
        <f>IF(VLOOKUP(T_Convention[[#This Row],[NumL]],T_TraitDi[#Data],COLUMN(T_TraitDi[Colonne26]),FALSE)=0,"",TEXT(IFERROR(VLOOKUP(T_Convention[[#This Row],[NumL]],T_TraitDi[#Data],COLUMN(T_TraitDi[Colonne26]),FALSE),""),"[hh]:mm"))</f>
        <v>#N/A</v>
      </c>
      <c r="BB137" s="284" t="str">
        <f>IFERROR(VLOOKUP(T_Convention[[#This Row],[NumL]],T_TraitDi[#Data],COLUMN(T_TraitDi[Vendredi]),FALSE),"")</f>
        <v/>
      </c>
      <c r="BC137" s="284" t="e">
        <f>IF(VLOOKUP(T_Convention[[#This Row],[NumL]],T_TraitDi[#Data],COLUMN(T_TraitDi[Colonne27]),FALSE)=0,"",TEXT(IFERROR(VLOOKUP(T_Convention[[#This Row],[NumL]],T_TraitDi[#Data],COLUMN(T_TraitDi[Colonne27]),FALSE),""),"[hh]:mm"))</f>
        <v>#N/A</v>
      </c>
      <c r="BD137" s="284" t="e">
        <f>IF(VLOOKUP(T_Convention[[#This Row],[NumL]],T_TraitDi[#Data],COLUMN(T_TraitDi[Colonne28]),FALSE)=0,"",TEXT(IFERROR(VLOOKUP(T_Convention[[#This Row],[NumL]],T_TraitDi[#Data],COLUMN(T_TraitDi[Colonne28]),FALSE),""),"[hh]:mm"))</f>
        <v>#N/A</v>
      </c>
      <c r="BE137" s="284" t="str">
        <f>IFERROR(VLOOKUP(T_Convention[[#This Row],[NumL]],T_TraitDi[#Data],COLUMN(T_TraitDi[Colonne29]),FALSE),"")</f>
        <v/>
      </c>
      <c r="BF137" s="284" t="e">
        <f>IF(VLOOKUP(T_Convention[[#This Row],[NumL]],T_TraitDi[#Data],COLUMN(T_TraitDi[Colonne30]),FALSE)=0,"",TEXT(IFERROR(VLOOKUP(T_Convention[[#This Row],[NumL]],T_TraitDi[#Data],COLUMN(T_TraitDi[Colonne30]),FALSE),""),"[hh]:mm"))</f>
        <v>#N/A</v>
      </c>
      <c r="BG137" s="284" t="e">
        <f>IF(VLOOKUP(T_Convention[[#This Row],[NumL]],T_TraitDi[#Data],COLUMN(T_TraitDi[Colonne31]),FALSE)=0,"",TEXT(IFERROR(VLOOKUP(T_Convention[[#This Row],[NumL]],T_TraitDi[#Data],COLUMN(T_TraitDi[Colonne31]),FALSE),""),"[hh]:mm"))</f>
        <v>#N/A</v>
      </c>
      <c r="BH137" s="284" t="e">
        <f>IF(VLOOKUP(T_Convention[[#This Row],[NumL]],T_TraitDi[#Data],COLUMN(T_TraitDi[Colonne32]),FALSE)=0,"",TEXT(IFERROR(VLOOKUP(T_Convention[[#This Row],[NumL]],T_TraitDi[#Data],COLUMN(T_TraitDi[Colonne32]),FALSE),""),"[hh]:mm"))</f>
        <v>#N/A</v>
      </c>
      <c r="BI137" s="284" t="str">
        <f>IFERROR(VLOOKUP(T_Convention[[#This Row],[NumL]],T_TraitDi[#Data],COLUMN(T_TraitDi[NbJTW]),FALSE),"")</f>
        <v/>
      </c>
      <c r="BJ137" s="284" t="e">
        <f>IF(VLOOKUP(T_Convention[[#This Row],[NumL]],T_TraitDi[#Data],COLUMN(T_TraitDi[NbhTW]),FALSE)=0,"",TEXT(IFERROR(VLOOKUP(T_Convention[[#This Row],[NumL]],T_TraitDi[#Data],COLUMN(T_TraitDi[NbhTW]),FALSE),""),"[hh]:mm"))</f>
        <v>#N/A</v>
      </c>
      <c r="BK137" s="286" t="e">
        <f>IF(VLOOKUP(T_Convention[[#This Row],[NumL]],T_TraitDi[#Data],COLUMN(T_TraitDi[Nbhheb]),FALSE)=0,"",TEXT(IFERROR(VLOOKUP(T_Convention[[#This Row],[NumL]],T_TraitDi[#Data],COLUMN(T_TraitDi[Nbhheb]),FALSE),""),"[hh]:mm"))</f>
        <v>#N/A</v>
      </c>
      <c r="BL137" s="287" t="str">
        <f>IFERROR(VLOOKUP(VLOOKUP(T_Convention[[#This Row],[NumL]],T_TraitDi[#Data],COLUMN(T_TraitDi[Type1]),FALSE),TypeTW,2,FALSE),"")</f>
        <v/>
      </c>
      <c r="BM137" s="288" t="str">
        <f>IFERROR(VLOOKUP(T_Convention[[#This Row],[NumL]],T_TraitDi[#Data],COLUMN(T_TraitDi[Rue1]),FALSE),"")</f>
        <v/>
      </c>
      <c r="BN137" s="289" t="str">
        <f>IFERROR(VLOOKUP(T_Convention[[#This Row],[NumL]],T_TraitDi[#Data],COLUMN(T_TraitDi[CP1]),FALSE),"")</f>
        <v/>
      </c>
      <c r="BO137" s="282" t="str">
        <f>IFERROR(VLOOKUP(T_Convention[[#This Row],[NumL]],T_TraitDi[#Data],COLUMN(T_TraitDi[VILLE1]),FALSE),"")</f>
        <v/>
      </c>
      <c r="BP137" s="290" t="str">
        <f>IFERROR(VLOOKUP(VLOOKUP(T_Convention[[#This Row],[NumL]],T_TraitDi[#Data],COLUMN(T_TraitDi[Type2]),FALSE),TypeTW,2,FALSE),"")</f>
        <v/>
      </c>
      <c r="BQ137" s="182" t="str">
        <f>IFERROR(VLOOKUP(T_Convention[[#This Row],[NumL]],T_TraitDi[#Data],COLUMN(T_TraitDi[Rue2]),FALSE),"")</f>
        <v/>
      </c>
      <c r="BR137" s="173" t="str">
        <f>IFERROR(VLOOKUP(T_Convention[[#This Row],[NumL]],T_TraitDi[#Data],COLUMN(T_TraitDi[CP2]),FALSE),"")</f>
        <v/>
      </c>
      <c r="BS137" s="173" t="str">
        <f>IFERROR(VLOOKUP(T_Convention[[#This Row],[NumL]],T_TraitDi[#Data],COLUMN(T_TraitDi[VILLE2]),FALSE),"")</f>
        <v/>
      </c>
      <c r="BT137" s="182" t="str">
        <f>IF(VLOOKUP(T_Convention[[#This Row],[NumL]],T_Equipement[#Data],COLUMN(T_Equipement[PC]),FALSE)="","Aucun équipement spécifique directement lié au télétravail",VLOOKUP(T_Convention[[#This Row],[NumL]],T_Equipement[#Data],COLUMN(T_Equipement[PC]),FALSE))</f>
        <v xml:space="preserve">18-060	</v>
      </c>
      <c r="BU137" s="166" t="str">
        <f>IFERROR(IF(VLOOKUP(T_Convention[[#This Row],[NumL]],T_TraitDi[#Data],COLUMN(T_TraitDi[Plan]),FALSE)="OK","Un planning spécifique de télétravail est annexé à la présente convention.",""),"")</f>
        <v/>
      </c>
      <c r="BV137" s="185" t="s">
        <v>3365</v>
      </c>
      <c r="BW137" s="164" t="e">
        <f>IF(VLOOKUP(T_Convention[[#This Row],[NumL]],T_suiviDi[#Data],COLUMN(T_suiviDi[Entité]),FALSE)="","",VLOOKUP(T_Convention[[#This Row],[NumL]],T_suiviDi[#Data],COLUMN(T_suiviDi[Entité]),FALSE))</f>
        <v>#N/A</v>
      </c>
      <c r="BX137" s="164" t="str">
        <f>IF(VLOOKUP(T_Convention[[#This Row],[NumL]],T_Commission[#Data],COLUMN(T_Commission[envoi confirm TW]),FALSE)="","",VLOOKUP(T_Convention[[#This Row],[NumL]],T_Commission[#Data],COLUMN(T_Commission[envoi confirm TW]),FALSE))</f>
        <v>Oui</v>
      </c>
      <c r="BY13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7" s="264">
        <f>VLOOKUP(T_Convention[[#This Row],[NumL]],T_Commission[#Data],COLUMN(T_Commission[Commentaire]),FALSE)</f>
        <v>0</v>
      </c>
      <c r="CA137" s="254" t="str">
        <f>IF(VLOOKUP(T_Convention[[#This Row],[NumL]],T_Commission[#Data],COLUMN(T_Commission[Encadrant Email]),FALSE)="","",VLOOKUP(T_Convention[[#This Row],[NumL]],T_Commission[#Data],COLUMN(T_Commission[Encadrant Email]),FALSE))</f>
        <v/>
      </c>
      <c r="CB137" s="352" t="e">
        <f>VLOOKUP(T_Convention[[#This Row],[NumL]],T_TraitDi[#Data],COLUMN(T_TraitDi[NbJTot]),FALSE)</f>
        <v>#N/A</v>
      </c>
      <c r="CC137" s="352" t="e">
        <f>VLOOKUP(T_Convention[[#This Row],[NumL]],T_TraitDi[#Data],COLUMN(T_TraitDi[Reg Ponct]),FALSE)</f>
        <v>#N/A</v>
      </c>
      <c r="CD137" s="348" t="str">
        <f>IF(T_Convention[[#This Row],[Final]]&lt;&gt;"",VLOOKUP(T_Convention[[#This Row],[NumL]],T_suiviDi[#Data],COLUMN((T_suiviDi[Statut])),FALSE),"")</f>
        <v/>
      </c>
    </row>
    <row r="138" spans="1:82" s="106" customFormat="1" ht="18.75" customHeight="1" x14ac:dyDescent="0.25">
      <c r="A138" s="160">
        <v>163</v>
      </c>
      <c r="B138" s="161" t="str">
        <f>VLOOKUP(T_Convention[[#This Row],[NumL]],T_Commission[#Data],COLUMN(T_Commission[FINAL]),FALSE)</f>
        <v/>
      </c>
      <c r="C138" s="162"/>
      <c r="D138" s="95" t="e">
        <f>IF(VLOOKUP(T_Convention[[#This Row],[NumL]],T_TraitDi[#Data],COLUMN(T_TraitDi[WebC]),FALSE)="","",VLOOKUP(T_Convention[[#This Row],[NumL]],T_TraitDi[#Data],COLUMN(T_TraitDi[WebC]),FALSE))</f>
        <v>#N/A</v>
      </c>
      <c r="E138" s="163" t="str">
        <f t="shared" si="10"/>
        <v>12 janvier 2021</v>
      </c>
      <c r="F138" s="282" t="str">
        <f>IF(T_Convention[[#This Row],[Final]]&lt;&gt;"",VLOOKUP(T_Convention[[#This Row],[NumL]],T_suiviDi[#Data],COLUMN((T_suiviDi[Civ.])),FALSE),"")</f>
        <v/>
      </c>
      <c r="G138" s="283" t="str">
        <f>IF(T_Convention[[#This Row],[Final]]&lt;&gt;"",VLOOKUP(T_Convention[[#This Row],[NumL]],T_suiviDi[#Data],COLUMN((T_suiviDi[Nom])),FALSE),"")</f>
        <v/>
      </c>
      <c r="H138" s="282" t="str">
        <f>IF(T_Convention[[#This Row],[Final]]&lt;&gt;"",VLOOKUP(T_Convention[[#This Row],[NumL]],T_suiviDi[#Data],COLUMN((T_suiviDi[Prénom])),FALSE),"")</f>
        <v/>
      </c>
      <c r="I138" s="282" t="e">
        <f>VLOOKUP(T_Convention[[#This Row],[NumL]],T_suiviDi[#Data],COLUMN((T_suiviDi[[#This Row],[Email]])),FALSE)</f>
        <v>#VALUE!</v>
      </c>
      <c r="J138" s="282" t="e">
        <f>IF(VLOOKUP(T_Convention[[#This Row],[NumL]],T_suiviDi[#Data],COLUMN(T_suiviDi[[#This Row],[Fonction]]),FALSE)="","",VLOOKUP(T_Convention[[#This Row],[NumL]],T_suiviDi[#Data],COLUMN(T_suiviDi[[#This Row],[Fonction]]),FALSE))</f>
        <v>#VALUE!</v>
      </c>
      <c r="K138" s="282" t="e">
        <f>IF(VLOOKUP(T_Convention[[#This Row],[NumL]],T_suiviDi[#Data],COLUMN(T_suiviDi[[#This Row],[Grade]]),FALSE)="","",VLOOKUP(T_Convention[[#This Row],[NumL]],T_suiviDi[#Data],COLUMN(T_suiviDi[[#This Row],[Grade]]),FALSE))</f>
        <v>#VALUE!</v>
      </c>
      <c r="L138" s="282" t="e">
        <f>IF(VLOOKUP(T_Convention[[#This Row],[NumL]],T_suiviDi[#Data],COLUMN(T_suiviDi[[#This Row],[Service ]]),FALSE)="","",VLOOKUP(T_Convention[[#This Row],[NumL]],T_suiviDi[#Data],COLUMN(T_suiviDi[[#This Row],[Service ]]),FALSE))</f>
        <v>#VALUE!</v>
      </c>
      <c r="M138" s="164" t="str">
        <f t="shared" si="11"/>
        <v>01 septembre 2021</v>
      </c>
      <c r="N138" s="164" t="str">
        <f t="shared" si="12"/>
        <v>30 novembre 2021</v>
      </c>
      <c r="O138" s="284" t="str">
        <f t="shared" si="13"/>
        <v>30 novembre 2021</v>
      </c>
      <c r="P138" s="282" t="e">
        <f>IF(VLOOKUP(T_Convention[[#This Row],[NumL]],T_TraitDi[#Data],COLUMN(T_TraitDi[M1]),FALSE)="","",VLOOKUP(T_Convention[[#This Row],[NumL]],T_TraitDi[#Data],COLUMN(T_TraitDi[M1]),FALSE))</f>
        <v>#N/A</v>
      </c>
      <c r="Q138" s="282" t="e">
        <f>IF(VLOOKUP(T_Convention[[#This Row],[NumL]],T_TraitDi[#Data],COLUMN(T_TraitDi[M2]),FALSE)="","",VLOOKUP(T_Convention[[#This Row],[NumL]],T_TraitDi[#Data],COLUMN(T_TraitDi[M2]),FALSE))</f>
        <v>#N/A</v>
      </c>
      <c r="R138" s="282" t="e">
        <f>IF(VLOOKUP(T_Convention[[#This Row],[NumL]],T_TraitDi[#Data],COLUMN(T_TraitDi[M3]),FALSE)="","",VLOOKUP(T_Convention[[#This Row],[NumL]],T_TraitDi[#Data],COLUMN(T_TraitDi[M3]),FALSE))</f>
        <v>#N/A</v>
      </c>
      <c r="S138" s="282" t="e">
        <f>IF(VLOOKUP(T_Convention[[#This Row],[NumL]],T_TraitDi[#Data],COLUMN(T_TraitDi[M4]),FALSE)="","",VLOOKUP(T_Convention[[#This Row],[NumL]],T_TraitDi[#Data],COLUMN(T_TraitDi[M4]),FALSE))</f>
        <v>#N/A</v>
      </c>
      <c r="T138" s="282" t="e">
        <f>IF(VLOOKUP(T_Convention[[#This Row],[NumL]],T_TraitDi[#Data],COLUMN(T_TraitDi[M5]),FALSE)="","",VLOOKUP(T_Convention[[#This Row],[NumL]],T_TraitDi[#Data],COLUMN(T_TraitDi[M5]),FALSE))</f>
        <v>#N/A</v>
      </c>
      <c r="U138" s="282" t="e">
        <f>IF(VLOOKUP(T_Convention[[#This Row],[NumL]],T_TraitDi[#Data],COLUMN(T_TraitDi[M6]),FALSE)="","",VLOOKUP(T_Convention[[#This Row],[NumL]],T_TraitDi[#Data],COLUMN(T_TraitDi[M6]),FALSE))</f>
        <v>#N/A</v>
      </c>
      <c r="V138" s="176" t="e">
        <f t="shared" si="14"/>
        <v>#N/A</v>
      </c>
      <c r="W138" s="284" t="str">
        <f>IFERROR(TEXT(VLOOKUP(T_Convention[[#This Row],[NumL]],T_TraitDi[#Data],COLUMN(T_TraitDi[Q2]),FALSE),"###%"),"")</f>
        <v/>
      </c>
      <c r="X138" s="97" t="e">
        <f>VLOOKUP(T_Convention[[#This Row],[NumL]],T_TraitDi[#Data],COLUMN(T_TraitDi[Reg Ponct]),FALSE)</f>
        <v>#N/A</v>
      </c>
      <c r="Y138" s="97" t="e">
        <f>VLOOKUP(T_Convention[NumL],T_TraitDi[#Data],COLUMN(T_TraitDi[Jours flottants]),FALSE)</f>
        <v>#N/A</v>
      </c>
      <c r="Z138" s="284" t="str">
        <f>IFERROR(VLOOKUP(T_Convention[[#This Row],[NumL]],T_TraitDi[#Data],COLUMN(T_TraitDi[Lundi]),FALSE),"")</f>
        <v/>
      </c>
      <c r="AA138" s="284" t="e">
        <f>IF(VLOOKUP(T_Convention[[#This Row],[NumL]],T_TraitDi[#Data],COLUMN(T_TraitDi[Colonne3]),FALSE)=0,"",TEXT(IFERROR(VLOOKUP(T_Convention[[#This Row],[NumL]],T_TraitDi[#Data],COLUMN(T_TraitDi[Colonne3]),FALSE),""),"[hh]:mm"))</f>
        <v>#N/A</v>
      </c>
      <c r="AB138" s="284" t="e">
        <f>IF(VLOOKUP(T_Convention[[#This Row],[NumL]],T_TraitDi[#Data],COLUMN(T_TraitDi[Colonne4]),FALSE)=0,"",TEXT(IFERROR(VLOOKUP(T_Convention[[#This Row],[NumL]],T_TraitDi[#Data],COLUMN(T_TraitDi[Colonne4]),FALSE),""),"[hh]:mm"))</f>
        <v>#N/A</v>
      </c>
      <c r="AC138" s="284" t="e">
        <f>IF(VLOOKUP(T_Convention[[#This Row],[NumL]],T_TraitDi[#Data],COLUMN(T_TraitDi[Colonne5]),FALSE)=0,"",TEXT(IFERROR(VLOOKUP(T_Convention[[#This Row],[NumL]],T_TraitDi[#Data],COLUMN(T_TraitDi[Colonne5]),FALSE),""),"[hh]:mm"))</f>
        <v>#N/A</v>
      </c>
      <c r="AD138" s="284" t="e">
        <f>IF(VLOOKUP(T_Convention[[#This Row],[NumL]],T_TraitDi[#Data],COLUMN(T_TraitDi[Colonne6]),FALSE)=0,"",TEXT(IFERROR(VLOOKUP(T_Convention[[#This Row],[NumL]],T_TraitDi[#Data],COLUMN(T_TraitDi[Colonne6]),FALSE),""),"[hh]:mm"))</f>
        <v>#N/A</v>
      </c>
      <c r="AE138" s="284" t="e">
        <f>IF(VLOOKUP(T_Convention[[#This Row],[NumL]],T_TraitDi[#Data],COLUMN(T_TraitDi[Colonne7]),FALSE)=0,"",TEXT(IFERROR(VLOOKUP(T_Convention[[#This Row],[NumL]],T_TraitDi[#Data],COLUMN(T_TraitDi[Colonne7]),FALSE),""),"[hh]:mm"))</f>
        <v>#N/A</v>
      </c>
      <c r="AF138" s="284" t="e">
        <f>IF(VLOOKUP(T_Convention[[#This Row],[NumL]],T_TraitDi[#Data],COLUMN(T_TraitDi[Colonne8]),FALSE)=0,"",TEXT(IFERROR(VLOOKUP(T_Convention[[#This Row],[NumL]],T_TraitDi[#Data],COLUMN(T_TraitDi[Colonne8]),FALSE),""),"[hh]:mm"))</f>
        <v>#N/A</v>
      </c>
      <c r="AG138" s="284" t="str">
        <f>IFERROR(VLOOKUP(T_Convention[[#This Row],[NumL]],T_TraitDi[#Data],COLUMN(T_TraitDi[Mardi]),FALSE),"")</f>
        <v/>
      </c>
      <c r="AH138" s="284" t="e">
        <f>IF(VLOOKUP(T_Convention[[#This Row],[NumL]],T_TraitDi[#Data],COLUMN(T_TraitDi[Colonne1]),FALSE)=0,"",TEXT(IFERROR(VLOOKUP(T_Convention[[#This Row],[NumL]],T_TraitDi[#Data],COLUMN(T_TraitDi[Colonne1]),FALSE),""),"[hh]:mm"))</f>
        <v>#N/A</v>
      </c>
      <c r="AI138" s="284" t="e">
        <f>IF(VLOOKUP(T_Convention[[#This Row],[NumL]],T_TraitDi[#Data],COLUMN(T_TraitDi[Colonne9]),FALSE)=0,"",TEXT(IFERROR(VLOOKUP(T_Convention[[#This Row],[NumL]],T_TraitDi[#Data],COLUMN(T_TraitDi[Colonne9]),FALSE),""),"[hh]:mm"))</f>
        <v>#N/A</v>
      </c>
      <c r="AJ138" s="284" t="str">
        <f>IFERROR(VLOOKUP(T_Convention[[#This Row],[NumL]],T_TraitDi[#Data],COLUMN(T_TraitDi[Colonne10]),FALSE),"")</f>
        <v/>
      </c>
      <c r="AK138" s="284" t="e">
        <f>IF(VLOOKUP(T_Convention[[#This Row],[NumL]],T_TraitDi[#Data],COLUMN(T_TraitDi[Colonne11]),FALSE)=0,"",TEXT(IFERROR(VLOOKUP(T_Convention[[#This Row],[NumL]],T_TraitDi[#Data],COLUMN(T_TraitDi[Colonne11]),FALSE),""),"[hh]:mm"))</f>
        <v>#N/A</v>
      </c>
      <c r="AL138" s="284" t="e">
        <f>IF(VLOOKUP(T_Convention[[#This Row],[NumL]],T_TraitDi[#Data],COLUMN(T_TraitDi[Colonne12]),FALSE)=0,"",TEXT(IFERROR(VLOOKUP(T_Convention[[#This Row],[NumL]],T_TraitDi[#Data],COLUMN(T_TraitDi[Colonne12]),FALSE),""),"[hh]:mm"))</f>
        <v>#N/A</v>
      </c>
      <c r="AM138" s="284" t="e">
        <f>IF(VLOOKUP(T_Convention[[#This Row],[NumL]],T_TraitDi[#Data],COLUMN(T_TraitDi[Colonne14]),FALSE)=0,"",TEXT(IFERROR(VLOOKUP(T_Convention[[#This Row],[NumL]],T_TraitDi[#Data],COLUMN(T_TraitDi[Colonne14]),FALSE),""),"[hh]:mm"))</f>
        <v>#N/A</v>
      </c>
      <c r="AN138" s="284" t="str">
        <f>IFERROR(VLOOKUP(T_Convention[[#This Row],[NumL]],T_TraitDi[#Data],COLUMN(T_TraitDi[Mercredi]),FALSE),"")</f>
        <v/>
      </c>
      <c r="AO138" s="284" t="e">
        <f>IF(VLOOKUP(T_Convention[[#This Row],[NumL]],T_TraitDi[#Data],COLUMN(T_TraitDi[Colonne15]),FALSE)=0,"",TEXT(IFERROR(VLOOKUP(T_Convention[[#This Row],[NumL]],T_TraitDi[#Data],COLUMN(T_TraitDi[Colonne15]),FALSE),""),"[hh]:mm"))</f>
        <v>#N/A</v>
      </c>
      <c r="AP138" s="284" t="e">
        <f>IF(VLOOKUP(T_Convention[[#This Row],[NumL]],T_TraitDi[#Data],COLUMN(T_TraitDi[Colonne16]),FALSE)=0,"",TEXT(IFERROR(VLOOKUP(T_Convention[[#This Row],[NumL]],T_TraitDi[#Data],COLUMN(T_TraitDi[Colonne16]),FALSE),""),"[hh]:mm"))</f>
        <v>#N/A</v>
      </c>
      <c r="AQ138" s="284" t="str">
        <f>IFERROR(VLOOKUP(T_Convention[[#This Row],[NumL]],T_TraitDi[#Data],COLUMN(T_TraitDi[Colonne17]),FALSE),"")</f>
        <v/>
      </c>
      <c r="AR138" s="284" t="e">
        <f>IF(VLOOKUP(T_Convention[[#This Row],[NumL]],T_TraitDi[#Data],COLUMN(T_TraitDi[Colonne18]),FALSE)=0,"",TEXT(IFERROR(VLOOKUP(T_Convention[[#This Row],[NumL]],T_TraitDi[#Data],COLUMN(T_TraitDi[Colonne18]),FALSE),""),"[hh]:mm"))</f>
        <v>#N/A</v>
      </c>
      <c r="AS138" s="284" t="e">
        <f>IF(VLOOKUP(T_Convention[[#This Row],[NumL]],T_TraitDi[#Data],COLUMN(T_TraitDi[Colonne19]),FALSE)=0,"",TEXT(IFERROR(VLOOKUP(T_Convention[[#This Row],[NumL]],T_TraitDi[#Data],COLUMN(T_TraitDi[Colonne19]),FALSE),""),"[hh]:mm"))</f>
        <v>#N/A</v>
      </c>
      <c r="AT138" s="284" t="e">
        <f>IF(VLOOKUP(T_Convention[[#This Row],[NumL]],T_TraitDi[#Data],COLUMN(T_TraitDi[Colonne20]),FALSE)=0,"",TEXT(IFERROR(VLOOKUP(T_Convention[[#This Row],[NumL]],T_TraitDi[#Data],COLUMN(T_TraitDi[Colonne20]),FALSE),""),"[hh]:mm"))</f>
        <v>#N/A</v>
      </c>
      <c r="AU138" s="284" t="str">
        <f>IFERROR(VLOOKUP(T_Convention[[#This Row],[NumL]],T_TraitDi[#Data],COLUMN(T_TraitDi[Jeudi]),FALSE),"")</f>
        <v/>
      </c>
      <c r="AV138" s="284" t="e">
        <f>IF(VLOOKUP(T_Convention[[#This Row],[NumL]],T_TraitDi[#Data],COLUMN(T_TraitDi[Colonne21]),FALSE)=0,"",TEXT(IFERROR(VLOOKUP(T_Convention[[#This Row],[NumL]],T_TraitDi[#Data],COLUMN(T_TraitDi[Colonne21]),FALSE),""),"[hh]:mm"))</f>
        <v>#N/A</v>
      </c>
      <c r="AW138" s="284" t="e">
        <f>IF(VLOOKUP(T_Convention[[#This Row],[NumL]],T_TraitDi[#Data],COLUMN(T_TraitDi[Colonne22]),FALSE)=0,"",TEXT(IFERROR(VLOOKUP(T_Convention[[#This Row],[NumL]],T_TraitDi[#Data],COLUMN(T_TraitDi[Colonne22]),FALSE),""),"[hh]:mm"))</f>
        <v>#N/A</v>
      </c>
      <c r="AX138" s="284" t="str">
        <f>IFERROR(VLOOKUP(T_Convention[[#This Row],[NumL]],T_TraitDi[#Data],COLUMN(T_TraitDi[Colonne23]),FALSE),"")</f>
        <v/>
      </c>
      <c r="AY138" s="284" t="e">
        <f>IF(VLOOKUP(T_Convention[[#This Row],[NumL]],T_TraitDi[#Data],COLUMN(T_TraitDi[Colonne24]),FALSE)=0,"",TEXT(IFERROR(VLOOKUP(T_Convention[[#This Row],[NumL]],T_TraitDi[#Data],COLUMN(T_TraitDi[Colonne24]),FALSE),""),"[hh]:mm"))</f>
        <v>#N/A</v>
      </c>
      <c r="AZ138" s="284" t="e">
        <f>IF(VLOOKUP(T_Convention[[#This Row],[NumL]],T_TraitDi[#Data],COLUMN(T_TraitDi[Colonne25]),FALSE)=0,"",TEXT(IFERROR(VLOOKUP(T_Convention[[#This Row],[NumL]],T_TraitDi[#Data],COLUMN(T_TraitDi[Colonne25]),FALSE),""),"[hh]:mm"))</f>
        <v>#N/A</v>
      </c>
      <c r="BA138" s="284" t="e">
        <f>IF(VLOOKUP(T_Convention[[#This Row],[NumL]],T_TraitDi[#Data],COLUMN(T_TraitDi[Colonne26]),FALSE)=0,"",TEXT(IFERROR(VLOOKUP(T_Convention[[#This Row],[NumL]],T_TraitDi[#Data],COLUMN(T_TraitDi[Colonne26]),FALSE),""),"[hh]:mm"))</f>
        <v>#N/A</v>
      </c>
      <c r="BB138" s="284" t="str">
        <f>IFERROR(VLOOKUP(T_Convention[[#This Row],[NumL]],T_TraitDi[#Data],COLUMN(T_TraitDi[Vendredi]),FALSE),"")</f>
        <v/>
      </c>
      <c r="BC138" s="284" t="e">
        <f>IF(VLOOKUP(T_Convention[[#This Row],[NumL]],T_TraitDi[#Data],COLUMN(T_TraitDi[Colonne27]),FALSE)=0,"",TEXT(IFERROR(VLOOKUP(T_Convention[[#This Row],[NumL]],T_TraitDi[#Data],COLUMN(T_TraitDi[Colonne27]),FALSE),""),"[hh]:mm"))</f>
        <v>#N/A</v>
      </c>
      <c r="BD138" s="284" t="e">
        <f>IF(VLOOKUP(T_Convention[[#This Row],[NumL]],T_TraitDi[#Data],COLUMN(T_TraitDi[Colonne28]),FALSE)=0,"",TEXT(IFERROR(VLOOKUP(T_Convention[[#This Row],[NumL]],T_TraitDi[#Data],COLUMN(T_TraitDi[Colonne28]),FALSE),""),"[hh]:mm"))</f>
        <v>#N/A</v>
      </c>
      <c r="BE138" s="284" t="str">
        <f>IFERROR(VLOOKUP(T_Convention[[#This Row],[NumL]],T_TraitDi[#Data],COLUMN(T_TraitDi[Colonne29]),FALSE),"")</f>
        <v/>
      </c>
      <c r="BF138" s="284" t="e">
        <f>IF(VLOOKUP(T_Convention[[#This Row],[NumL]],T_TraitDi[#Data],COLUMN(T_TraitDi[Colonne30]),FALSE)=0,"",TEXT(IFERROR(VLOOKUP(T_Convention[[#This Row],[NumL]],T_TraitDi[#Data],COLUMN(T_TraitDi[Colonne30]),FALSE),""),"[hh]:mm"))</f>
        <v>#N/A</v>
      </c>
      <c r="BG138" s="284" t="e">
        <f>IF(VLOOKUP(T_Convention[[#This Row],[NumL]],T_TraitDi[#Data],COLUMN(T_TraitDi[Colonne31]),FALSE)=0,"",TEXT(IFERROR(VLOOKUP(T_Convention[[#This Row],[NumL]],T_TraitDi[#Data],COLUMN(T_TraitDi[Colonne31]),FALSE),""),"[hh]:mm"))</f>
        <v>#N/A</v>
      </c>
      <c r="BH138" s="284" t="e">
        <f>IF(VLOOKUP(T_Convention[[#This Row],[NumL]],T_TraitDi[#Data],COLUMN(T_TraitDi[Colonne32]),FALSE)=0,"",TEXT(IFERROR(VLOOKUP(T_Convention[[#This Row],[NumL]],T_TraitDi[#Data],COLUMN(T_TraitDi[Colonne32]),FALSE),""),"[hh]:mm"))</f>
        <v>#N/A</v>
      </c>
      <c r="BI138" s="284" t="str">
        <f>IFERROR(VLOOKUP(T_Convention[[#This Row],[NumL]],T_TraitDi[#Data],COLUMN(T_TraitDi[NbJTW]),FALSE),"")</f>
        <v/>
      </c>
      <c r="BJ138" s="284" t="e">
        <f>IF(VLOOKUP(T_Convention[[#This Row],[NumL]],T_TraitDi[#Data],COLUMN(T_TraitDi[NbhTW]),FALSE)=0,"",TEXT(IFERROR(VLOOKUP(T_Convention[[#This Row],[NumL]],T_TraitDi[#Data],COLUMN(T_TraitDi[NbhTW]),FALSE),""),"[hh]:mm"))</f>
        <v>#N/A</v>
      </c>
      <c r="BK138" s="286" t="e">
        <f>IF(VLOOKUP(T_Convention[[#This Row],[NumL]],T_TraitDi[#Data],COLUMN(T_TraitDi[Nbhheb]),FALSE)=0,"",TEXT(IFERROR(VLOOKUP(T_Convention[[#This Row],[NumL]],T_TraitDi[#Data],COLUMN(T_TraitDi[Nbhheb]),FALSE),""),"[hh]:mm"))</f>
        <v>#N/A</v>
      </c>
      <c r="BL138" s="287" t="str">
        <f>IFERROR(VLOOKUP(VLOOKUP(T_Convention[[#This Row],[NumL]],T_TraitDi[#Data],COLUMN(T_TraitDi[Type1]),FALSE),TypeTW,2,FALSE),"")</f>
        <v/>
      </c>
      <c r="BM138" s="288" t="str">
        <f>IFERROR(VLOOKUP(T_Convention[[#This Row],[NumL]],T_TraitDi[#Data],COLUMN(T_TraitDi[Rue1]),FALSE),"")</f>
        <v/>
      </c>
      <c r="BN138" s="289" t="str">
        <f>IFERROR(VLOOKUP(T_Convention[[#This Row],[NumL]],T_TraitDi[#Data],COLUMN(T_TraitDi[CP1]),FALSE),"")</f>
        <v/>
      </c>
      <c r="BO138" s="282" t="str">
        <f>IFERROR(VLOOKUP(T_Convention[[#This Row],[NumL]],T_TraitDi[#Data],COLUMN(T_TraitDi[VILLE1]),FALSE),"")</f>
        <v/>
      </c>
      <c r="BP138" s="290" t="str">
        <f>IFERROR(VLOOKUP(VLOOKUP(T_Convention[[#This Row],[NumL]],T_TraitDi[#Data],COLUMN(T_TraitDi[Type2]),FALSE),TypeTW,2,FALSE),"")</f>
        <v/>
      </c>
      <c r="BQ138" s="182" t="str">
        <f>IFERROR(VLOOKUP(T_Convention[[#This Row],[NumL]],T_TraitDi[#Data],COLUMN(T_TraitDi[Rue2]),FALSE),"")</f>
        <v/>
      </c>
      <c r="BR138" s="173" t="str">
        <f>IFERROR(VLOOKUP(T_Convention[[#This Row],[NumL]],T_TraitDi[#Data],COLUMN(T_TraitDi[CP2]),FALSE),"")</f>
        <v/>
      </c>
      <c r="BS138" s="173" t="str">
        <f>IFERROR(VLOOKUP(T_Convention[[#This Row],[NumL]],T_TraitDi[#Data],COLUMN(T_TraitDi[VILLE2]),FALSE),"")</f>
        <v/>
      </c>
      <c r="BT138" s="182" t="str">
        <f>IF(VLOOKUP(T_Convention[[#This Row],[NumL]],T_Equipement[#Data],COLUMN(T_Equipement[PC]),FALSE)="","Aucun équipement spécifique directement lié au télétravail",VLOOKUP(T_Convention[[#This Row],[NumL]],T_Equipement[#Data],COLUMN(T_Equipement[PC]),FALSE))</f>
        <v xml:space="preserve">16-405	</v>
      </c>
      <c r="BU138" s="166" t="str">
        <f>IFERROR(IF(VLOOKUP(T_Convention[[#This Row],[NumL]],T_TraitDi[#Data],COLUMN(T_TraitDi[Plan]),FALSE)="OK","Un planning spécifique de télétravail est annexé à la présente convention.",""),"")</f>
        <v/>
      </c>
      <c r="BV138" s="185" t="s">
        <v>3516</v>
      </c>
      <c r="BW138" s="164" t="e">
        <f>IF(VLOOKUP(T_Convention[[#This Row],[NumL]],T_suiviDi[#Data],COLUMN(T_suiviDi[Entité]),FALSE)="","",VLOOKUP(T_Convention[[#This Row],[NumL]],T_suiviDi[#Data],COLUMN(T_suiviDi[Entité]),FALSE))</f>
        <v>#N/A</v>
      </c>
      <c r="BX138" s="164" t="str">
        <f>IF(VLOOKUP(T_Convention[[#This Row],[NumL]],T_Commission[#Data],COLUMN(T_Commission[envoi confirm TW]),FALSE)="","",VLOOKUP(T_Convention[[#This Row],[NumL]],T_Commission[#Data],COLUMN(T_Commission[envoi confirm TW]),FALSE))</f>
        <v>Oui</v>
      </c>
      <c r="BY13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8" s="264">
        <f>VLOOKUP(T_Convention[[#This Row],[NumL]],T_Commission[#Data],COLUMN(T_Commission[Commentaire]),FALSE)</f>
        <v>0</v>
      </c>
      <c r="CA138" s="254" t="str">
        <f>IF(VLOOKUP(T_Convention[[#This Row],[NumL]],T_Commission[#Data],COLUMN(T_Commission[Encadrant Email]),FALSE)="","",VLOOKUP(T_Convention[[#This Row],[NumL]],T_Commission[#Data],COLUMN(T_Commission[Encadrant Email]),FALSE))</f>
        <v/>
      </c>
      <c r="CB138" s="352" t="e">
        <f>VLOOKUP(T_Convention[[#This Row],[NumL]],T_TraitDi[#Data],COLUMN(T_TraitDi[NbJTot]),FALSE)</f>
        <v>#N/A</v>
      </c>
      <c r="CC138" s="352" t="e">
        <f>VLOOKUP(T_Convention[[#This Row],[NumL]],T_TraitDi[#Data],COLUMN(T_TraitDi[Reg Ponct]),FALSE)</f>
        <v>#N/A</v>
      </c>
      <c r="CD138" s="348" t="str">
        <f>IF(T_Convention[[#This Row],[Final]]&lt;&gt;"",VLOOKUP(T_Convention[[#This Row],[NumL]],T_suiviDi[#Data],COLUMN((T_suiviDi[Statut])),FALSE),"")</f>
        <v/>
      </c>
    </row>
    <row r="139" spans="1:82" s="106" customFormat="1" ht="18.75" customHeight="1" x14ac:dyDescent="0.25">
      <c r="A139" s="160">
        <v>79</v>
      </c>
      <c r="B139" s="161" t="str">
        <f>VLOOKUP(T_Convention[[#This Row],[NumL]],T_Commission[#Data],COLUMN(T_Commission[FINAL]),FALSE)</f>
        <v/>
      </c>
      <c r="C139" s="162"/>
      <c r="D139" s="95" t="e">
        <f>IF(VLOOKUP(T_Convention[[#This Row],[NumL]],T_TraitDi[#Data],COLUMN(T_TraitDi[WebC]),FALSE)="","",VLOOKUP(T_Convention[[#This Row],[NumL]],T_TraitDi[#Data],COLUMN(T_TraitDi[WebC]),FALSE))</f>
        <v>#N/A</v>
      </c>
      <c r="E139" s="163" t="str">
        <f t="shared" si="10"/>
        <v>12 janvier 2021</v>
      </c>
      <c r="F139" s="282" t="str">
        <f>IF(T_Convention[[#This Row],[Final]]&lt;&gt;"",VLOOKUP(T_Convention[[#This Row],[NumL]],T_suiviDi[#Data],COLUMN((T_suiviDi[Civ.])),FALSE),"")</f>
        <v/>
      </c>
      <c r="G139" s="283" t="str">
        <f>IF(T_Convention[[#This Row],[Final]]&lt;&gt;"",VLOOKUP(T_Convention[[#This Row],[NumL]],T_suiviDi[#Data],COLUMN((T_suiviDi[Nom])),FALSE),"")</f>
        <v/>
      </c>
      <c r="H139" s="282" t="str">
        <f>IF(T_Convention[[#This Row],[Final]]&lt;&gt;"",VLOOKUP(T_Convention[[#This Row],[NumL]],T_suiviDi[#Data],COLUMN((T_suiviDi[Prénom])),FALSE),"")</f>
        <v/>
      </c>
      <c r="I139" s="282" t="e">
        <f>VLOOKUP(T_Convention[[#This Row],[NumL]],T_suiviDi[#Data],COLUMN((T_suiviDi[[#This Row],[Email]])),FALSE)</f>
        <v>#VALUE!</v>
      </c>
      <c r="J139" s="282" t="e">
        <f>IF(VLOOKUP(T_Convention[[#This Row],[NumL]],T_suiviDi[#Data],COLUMN(T_suiviDi[[#This Row],[Fonction]]),FALSE)="","",VLOOKUP(T_Convention[[#This Row],[NumL]],T_suiviDi[#Data],COLUMN(T_suiviDi[[#This Row],[Fonction]]),FALSE))</f>
        <v>#VALUE!</v>
      </c>
      <c r="K139" s="282" t="e">
        <f>IF(VLOOKUP(T_Convention[[#This Row],[NumL]],T_suiviDi[#Data],COLUMN(T_suiviDi[[#This Row],[Grade]]),FALSE)="","",VLOOKUP(T_Convention[[#This Row],[NumL]],T_suiviDi[#Data],COLUMN(T_suiviDi[[#This Row],[Grade]]),FALSE))</f>
        <v>#VALUE!</v>
      </c>
      <c r="L139" s="282" t="e">
        <f>IF(VLOOKUP(T_Convention[[#This Row],[NumL]],T_suiviDi[#Data],COLUMN(T_suiviDi[[#This Row],[Service ]]),FALSE)="","",VLOOKUP(T_Convention[[#This Row],[NumL]],T_suiviDi[#Data],COLUMN(T_suiviDi[[#This Row],[Service ]]),FALSE))</f>
        <v>#VALUE!</v>
      </c>
      <c r="M139" s="164" t="str">
        <f t="shared" si="11"/>
        <v>01 septembre 2021</v>
      </c>
      <c r="N139" s="164" t="str">
        <f t="shared" si="12"/>
        <v>30 novembre 2021</v>
      </c>
      <c r="O139" s="284" t="str">
        <f t="shared" si="13"/>
        <v>30 novembre 2021</v>
      </c>
      <c r="P139" s="282" t="e">
        <f>IF(VLOOKUP(T_Convention[[#This Row],[NumL]],T_TraitDi[#Data],COLUMN(T_TraitDi[M1]),FALSE)="","",VLOOKUP(T_Convention[[#This Row],[NumL]],T_TraitDi[#Data],COLUMN(T_TraitDi[M1]),FALSE))</f>
        <v>#N/A</v>
      </c>
      <c r="Q139" s="282" t="e">
        <f>IF(VLOOKUP(T_Convention[[#This Row],[NumL]],T_TraitDi[#Data],COLUMN(T_TraitDi[M2]),FALSE)="","",VLOOKUP(T_Convention[[#This Row],[NumL]],T_TraitDi[#Data],COLUMN(T_TraitDi[M2]),FALSE))</f>
        <v>#N/A</v>
      </c>
      <c r="R139" s="282" t="e">
        <f>IF(VLOOKUP(T_Convention[[#This Row],[NumL]],T_TraitDi[#Data],COLUMN(T_TraitDi[M3]),FALSE)="","",VLOOKUP(T_Convention[[#This Row],[NumL]],T_TraitDi[#Data],COLUMN(T_TraitDi[M3]),FALSE))</f>
        <v>#N/A</v>
      </c>
      <c r="S139" s="282" t="e">
        <f>IF(VLOOKUP(T_Convention[[#This Row],[NumL]],T_TraitDi[#Data],COLUMN(T_TraitDi[M4]),FALSE)="","",VLOOKUP(T_Convention[[#This Row],[NumL]],T_TraitDi[#Data],COLUMN(T_TraitDi[M4]),FALSE))</f>
        <v>#N/A</v>
      </c>
      <c r="T139" s="282" t="e">
        <f>IF(VLOOKUP(T_Convention[[#This Row],[NumL]],T_TraitDi[#Data],COLUMN(T_TraitDi[M5]),FALSE)="","",VLOOKUP(T_Convention[[#This Row],[NumL]],T_TraitDi[#Data],COLUMN(T_TraitDi[M5]),FALSE))</f>
        <v>#N/A</v>
      </c>
      <c r="U139" s="282" t="e">
        <f>IF(VLOOKUP(T_Convention[[#This Row],[NumL]],T_TraitDi[#Data],COLUMN(T_TraitDi[M6]),FALSE)="","",VLOOKUP(T_Convention[[#This Row],[NumL]],T_TraitDi[#Data],COLUMN(T_TraitDi[M6]),FALSE))</f>
        <v>#N/A</v>
      </c>
      <c r="V139" s="176" t="e">
        <f t="shared" si="14"/>
        <v>#N/A</v>
      </c>
      <c r="W139" s="284" t="str">
        <f>IFERROR(TEXT(VLOOKUP(T_Convention[[#This Row],[NumL]],T_TraitDi[#Data],COLUMN(T_TraitDi[Q2]),FALSE),"###%"),"")</f>
        <v/>
      </c>
      <c r="X139" s="97" t="e">
        <f>VLOOKUP(T_Convention[[#This Row],[NumL]],T_TraitDi[#Data],COLUMN(T_TraitDi[Reg Ponct]),FALSE)</f>
        <v>#N/A</v>
      </c>
      <c r="Y139" s="97" t="e">
        <f>VLOOKUP(T_Convention[NumL],T_TraitDi[#Data],COLUMN(T_TraitDi[Jours flottants]),FALSE)</f>
        <v>#N/A</v>
      </c>
      <c r="Z139" s="284" t="str">
        <f>IFERROR(VLOOKUP(T_Convention[[#This Row],[NumL]],T_TraitDi[#Data],COLUMN(T_TraitDi[Lundi]),FALSE),"")</f>
        <v/>
      </c>
      <c r="AA139" s="284" t="e">
        <f>IF(VLOOKUP(T_Convention[[#This Row],[NumL]],T_TraitDi[#Data],COLUMN(T_TraitDi[Colonne3]),FALSE)=0,"",TEXT(IFERROR(VLOOKUP(T_Convention[[#This Row],[NumL]],T_TraitDi[#Data],COLUMN(T_TraitDi[Colonne3]),FALSE),""),"[hh]:mm"))</f>
        <v>#N/A</v>
      </c>
      <c r="AB139" s="284" t="e">
        <f>IF(VLOOKUP(T_Convention[[#This Row],[NumL]],T_TraitDi[#Data],COLUMN(T_TraitDi[Colonne4]),FALSE)=0,"",TEXT(IFERROR(VLOOKUP(T_Convention[[#This Row],[NumL]],T_TraitDi[#Data],COLUMN(T_TraitDi[Colonne4]),FALSE),""),"[hh]:mm"))</f>
        <v>#N/A</v>
      </c>
      <c r="AC139" s="284" t="e">
        <f>IF(VLOOKUP(T_Convention[[#This Row],[NumL]],T_TraitDi[#Data],COLUMN(T_TraitDi[Colonne5]),FALSE)=0,"",TEXT(IFERROR(VLOOKUP(T_Convention[[#This Row],[NumL]],T_TraitDi[#Data],COLUMN(T_TraitDi[Colonne5]),FALSE),""),"[hh]:mm"))</f>
        <v>#N/A</v>
      </c>
      <c r="AD139" s="284" t="e">
        <f>IF(VLOOKUP(T_Convention[[#This Row],[NumL]],T_TraitDi[#Data],COLUMN(T_TraitDi[Colonne6]),FALSE)=0,"",TEXT(IFERROR(VLOOKUP(T_Convention[[#This Row],[NumL]],T_TraitDi[#Data],COLUMN(T_TraitDi[Colonne6]),FALSE),""),"[hh]:mm"))</f>
        <v>#N/A</v>
      </c>
      <c r="AE139" s="284" t="e">
        <f>IF(VLOOKUP(T_Convention[[#This Row],[NumL]],T_TraitDi[#Data],COLUMN(T_TraitDi[Colonne7]),FALSE)=0,"",TEXT(IFERROR(VLOOKUP(T_Convention[[#This Row],[NumL]],T_TraitDi[#Data],COLUMN(T_TraitDi[Colonne7]),FALSE),""),"[hh]:mm"))</f>
        <v>#N/A</v>
      </c>
      <c r="AF139" s="284" t="e">
        <f>IF(VLOOKUP(T_Convention[[#This Row],[NumL]],T_TraitDi[#Data],COLUMN(T_TraitDi[Colonne8]),FALSE)=0,"",TEXT(IFERROR(VLOOKUP(T_Convention[[#This Row],[NumL]],T_TraitDi[#Data],COLUMN(T_TraitDi[Colonne8]),FALSE),""),"[hh]:mm"))</f>
        <v>#N/A</v>
      </c>
      <c r="AG139" s="284" t="str">
        <f>IFERROR(VLOOKUP(T_Convention[[#This Row],[NumL]],T_TraitDi[#Data],COLUMN(T_TraitDi[Mardi]),FALSE),"")</f>
        <v/>
      </c>
      <c r="AH139" s="284" t="e">
        <f>IF(VLOOKUP(T_Convention[[#This Row],[NumL]],T_TraitDi[#Data],COLUMN(T_TraitDi[Colonne1]),FALSE)=0,"",TEXT(IFERROR(VLOOKUP(T_Convention[[#This Row],[NumL]],T_TraitDi[#Data],COLUMN(T_TraitDi[Colonne1]),FALSE),""),"[hh]:mm"))</f>
        <v>#N/A</v>
      </c>
      <c r="AI139" s="284" t="e">
        <f>IF(VLOOKUP(T_Convention[[#This Row],[NumL]],T_TraitDi[#Data],COLUMN(T_TraitDi[Colonne9]),FALSE)=0,"",TEXT(IFERROR(VLOOKUP(T_Convention[[#This Row],[NumL]],T_TraitDi[#Data],COLUMN(T_TraitDi[Colonne9]),FALSE),""),"[hh]:mm"))</f>
        <v>#N/A</v>
      </c>
      <c r="AJ139" s="284" t="str">
        <f>IFERROR(VLOOKUP(T_Convention[[#This Row],[NumL]],T_TraitDi[#Data],COLUMN(T_TraitDi[Colonne10]),FALSE),"")</f>
        <v/>
      </c>
      <c r="AK139" s="284" t="e">
        <f>IF(VLOOKUP(T_Convention[[#This Row],[NumL]],T_TraitDi[#Data],COLUMN(T_TraitDi[Colonne11]),FALSE)=0,"",TEXT(IFERROR(VLOOKUP(T_Convention[[#This Row],[NumL]],T_TraitDi[#Data],COLUMN(T_TraitDi[Colonne11]),FALSE),""),"[hh]:mm"))</f>
        <v>#N/A</v>
      </c>
      <c r="AL139" s="284" t="e">
        <f>IF(VLOOKUP(T_Convention[[#This Row],[NumL]],T_TraitDi[#Data],COLUMN(T_TraitDi[Colonne12]),FALSE)=0,"",TEXT(IFERROR(VLOOKUP(T_Convention[[#This Row],[NumL]],T_TraitDi[#Data],COLUMN(T_TraitDi[Colonne12]),FALSE),""),"[hh]:mm"))</f>
        <v>#N/A</v>
      </c>
      <c r="AM139" s="284" t="e">
        <f>IF(VLOOKUP(T_Convention[[#This Row],[NumL]],T_TraitDi[#Data],COLUMN(T_TraitDi[Colonne14]),FALSE)=0,"",TEXT(IFERROR(VLOOKUP(T_Convention[[#This Row],[NumL]],T_TraitDi[#Data],COLUMN(T_TraitDi[Colonne14]),FALSE),""),"[hh]:mm"))</f>
        <v>#N/A</v>
      </c>
      <c r="AN139" s="284" t="str">
        <f>IFERROR(VLOOKUP(T_Convention[[#This Row],[NumL]],T_TraitDi[#Data],COLUMN(T_TraitDi[Mercredi]),FALSE),"")</f>
        <v/>
      </c>
      <c r="AO139" s="284" t="e">
        <f>IF(VLOOKUP(T_Convention[[#This Row],[NumL]],T_TraitDi[#Data],COLUMN(T_TraitDi[Colonne15]),FALSE)=0,"",TEXT(IFERROR(VLOOKUP(T_Convention[[#This Row],[NumL]],T_TraitDi[#Data],COLUMN(T_TraitDi[Colonne15]),FALSE),""),"[hh]:mm"))</f>
        <v>#N/A</v>
      </c>
      <c r="AP139" s="284" t="e">
        <f>IF(VLOOKUP(T_Convention[[#This Row],[NumL]],T_TraitDi[#Data],COLUMN(T_TraitDi[Colonne16]),FALSE)=0,"",TEXT(IFERROR(VLOOKUP(T_Convention[[#This Row],[NumL]],T_TraitDi[#Data],COLUMN(T_TraitDi[Colonne16]),FALSE),""),"[hh]:mm"))</f>
        <v>#N/A</v>
      </c>
      <c r="AQ139" s="284" t="str">
        <f>IFERROR(VLOOKUP(T_Convention[[#This Row],[NumL]],T_TraitDi[#Data],COLUMN(T_TraitDi[Colonne17]),FALSE),"")</f>
        <v/>
      </c>
      <c r="AR139" s="284" t="e">
        <f>IF(VLOOKUP(T_Convention[[#This Row],[NumL]],T_TraitDi[#Data],COLUMN(T_TraitDi[Colonne18]),FALSE)=0,"",TEXT(IFERROR(VLOOKUP(T_Convention[[#This Row],[NumL]],T_TraitDi[#Data],COLUMN(T_TraitDi[Colonne18]),FALSE),""),"[hh]:mm"))</f>
        <v>#N/A</v>
      </c>
      <c r="AS139" s="284" t="e">
        <f>IF(VLOOKUP(T_Convention[[#This Row],[NumL]],T_TraitDi[#Data],COLUMN(T_TraitDi[Colonne19]),FALSE)=0,"",TEXT(IFERROR(VLOOKUP(T_Convention[[#This Row],[NumL]],T_TraitDi[#Data],COLUMN(T_TraitDi[Colonne19]),FALSE),""),"[hh]:mm"))</f>
        <v>#N/A</v>
      </c>
      <c r="AT139" s="284" t="e">
        <f>IF(VLOOKUP(T_Convention[[#This Row],[NumL]],T_TraitDi[#Data],COLUMN(T_TraitDi[Colonne20]),FALSE)=0,"",TEXT(IFERROR(VLOOKUP(T_Convention[[#This Row],[NumL]],T_TraitDi[#Data],COLUMN(T_TraitDi[Colonne20]),FALSE),""),"[hh]:mm"))</f>
        <v>#N/A</v>
      </c>
      <c r="AU139" s="284" t="str">
        <f>IFERROR(VLOOKUP(T_Convention[[#This Row],[NumL]],T_TraitDi[#Data],COLUMN(T_TraitDi[Jeudi]),FALSE),"")</f>
        <v/>
      </c>
      <c r="AV139" s="284" t="e">
        <f>IF(VLOOKUP(T_Convention[[#This Row],[NumL]],T_TraitDi[#Data],COLUMN(T_TraitDi[Colonne21]),FALSE)=0,"",TEXT(IFERROR(VLOOKUP(T_Convention[[#This Row],[NumL]],T_TraitDi[#Data],COLUMN(T_TraitDi[Colonne21]),FALSE),""),"[hh]:mm"))</f>
        <v>#N/A</v>
      </c>
      <c r="AW139" s="284" t="e">
        <f>IF(VLOOKUP(T_Convention[[#This Row],[NumL]],T_TraitDi[#Data],COLUMN(T_TraitDi[Colonne22]),FALSE)=0,"",TEXT(IFERROR(VLOOKUP(T_Convention[[#This Row],[NumL]],T_TraitDi[#Data],COLUMN(T_TraitDi[Colonne22]),FALSE),""),"[hh]:mm"))</f>
        <v>#N/A</v>
      </c>
      <c r="AX139" s="284" t="str">
        <f>IFERROR(VLOOKUP(T_Convention[[#This Row],[NumL]],T_TraitDi[#Data],COLUMN(T_TraitDi[Colonne23]),FALSE),"")</f>
        <v/>
      </c>
      <c r="AY139" s="284" t="e">
        <f>IF(VLOOKUP(T_Convention[[#This Row],[NumL]],T_TraitDi[#Data],COLUMN(T_TraitDi[Colonne24]),FALSE)=0,"",TEXT(IFERROR(VLOOKUP(T_Convention[[#This Row],[NumL]],T_TraitDi[#Data],COLUMN(T_TraitDi[Colonne24]),FALSE),""),"[hh]:mm"))</f>
        <v>#N/A</v>
      </c>
      <c r="AZ139" s="284" t="e">
        <f>IF(VLOOKUP(T_Convention[[#This Row],[NumL]],T_TraitDi[#Data],COLUMN(T_TraitDi[Colonne25]),FALSE)=0,"",TEXT(IFERROR(VLOOKUP(T_Convention[[#This Row],[NumL]],T_TraitDi[#Data],COLUMN(T_TraitDi[Colonne25]),FALSE),""),"[hh]:mm"))</f>
        <v>#N/A</v>
      </c>
      <c r="BA139" s="284" t="e">
        <f>IF(VLOOKUP(T_Convention[[#This Row],[NumL]],T_TraitDi[#Data],COLUMN(T_TraitDi[Colonne26]),FALSE)=0,"",TEXT(IFERROR(VLOOKUP(T_Convention[[#This Row],[NumL]],T_TraitDi[#Data],COLUMN(T_TraitDi[Colonne26]),FALSE),""),"[hh]:mm"))</f>
        <v>#N/A</v>
      </c>
      <c r="BB139" s="284" t="str">
        <f>IFERROR(VLOOKUP(T_Convention[[#This Row],[NumL]],T_TraitDi[#Data],COLUMN(T_TraitDi[Vendredi]),FALSE),"")</f>
        <v/>
      </c>
      <c r="BC139" s="284" t="e">
        <f>IF(VLOOKUP(T_Convention[[#This Row],[NumL]],T_TraitDi[#Data],COLUMN(T_TraitDi[Colonne27]),FALSE)=0,"",TEXT(IFERROR(VLOOKUP(T_Convention[[#This Row],[NumL]],T_TraitDi[#Data],COLUMN(T_TraitDi[Colonne27]),FALSE),""),"[hh]:mm"))</f>
        <v>#N/A</v>
      </c>
      <c r="BD139" s="284" t="e">
        <f>IF(VLOOKUP(T_Convention[[#This Row],[NumL]],T_TraitDi[#Data],COLUMN(T_TraitDi[Colonne28]),FALSE)=0,"",TEXT(IFERROR(VLOOKUP(T_Convention[[#This Row],[NumL]],T_TraitDi[#Data],COLUMN(T_TraitDi[Colonne28]),FALSE),""),"[hh]:mm"))</f>
        <v>#N/A</v>
      </c>
      <c r="BE139" s="284" t="str">
        <f>IFERROR(VLOOKUP(T_Convention[[#This Row],[NumL]],T_TraitDi[#Data],COLUMN(T_TraitDi[Colonne29]),FALSE),"")</f>
        <v/>
      </c>
      <c r="BF139" s="284" t="e">
        <f>IF(VLOOKUP(T_Convention[[#This Row],[NumL]],T_TraitDi[#Data],COLUMN(T_TraitDi[Colonne30]),FALSE)=0,"",TEXT(IFERROR(VLOOKUP(T_Convention[[#This Row],[NumL]],T_TraitDi[#Data],COLUMN(T_TraitDi[Colonne30]),FALSE),""),"[hh]:mm"))</f>
        <v>#N/A</v>
      </c>
      <c r="BG139" s="284" t="e">
        <f>IF(VLOOKUP(T_Convention[[#This Row],[NumL]],T_TraitDi[#Data],COLUMN(T_TraitDi[Colonne31]),FALSE)=0,"",TEXT(IFERROR(VLOOKUP(T_Convention[[#This Row],[NumL]],T_TraitDi[#Data],COLUMN(T_TraitDi[Colonne31]),FALSE),""),"[hh]:mm"))</f>
        <v>#N/A</v>
      </c>
      <c r="BH139" s="284" t="e">
        <f>IF(VLOOKUP(T_Convention[[#This Row],[NumL]],T_TraitDi[#Data],COLUMN(T_TraitDi[Colonne32]),FALSE)=0,"",TEXT(IFERROR(VLOOKUP(T_Convention[[#This Row],[NumL]],T_TraitDi[#Data],COLUMN(T_TraitDi[Colonne32]),FALSE),""),"[hh]:mm"))</f>
        <v>#N/A</v>
      </c>
      <c r="BI139" s="284" t="str">
        <f>IFERROR(VLOOKUP(T_Convention[[#This Row],[NumL]],T_TraitDi[#Data],COLUMN(T_TraitDi[NbJTW]),FALSE),"")</f>
        <v/>
      </c>
      <c r="BJ139" s="284" t="e">
        <f>IF(VLOOKUP(T_Convention[[#This Row],[NumL]],T_TraitDi[#Data],COLUMN(T_TraitDi[NbhTW]),FALSE)=0,"",TEXT(IFERROR(VLOOKUP(T_Convention[[#This Row],[NumL]],T_TraitDi[#Data],COLUMN(T_TraitDi[NbhTW]),FALSE),""),"[hh]:mm"))</f>
        <v>#N/A</v>
      </c>
      <c r="BK139" s="286" t="e">
        <f>IF(VLOOKUP(T_Convention[[#This Row],[NumL]],T_TraitDi[#Data],COLUMN(T_TraitDi[Nbhheb]),FALSE)=0,"",TEXT(IFERROR(VLOOKUP(T_Convention[[#This Row],[NumL]],T_TraitDi[#Data],COLUMN(T_TraitDi[Nbhheb]),FALSE),""),"[hh]:mm"))</f>
        <v>#N/A</v>
      </c>
      <c r="BL139" s="287" t="str">
        <f>IFERROR(VLOOKUP(VLOOKUP(T_Convention[[#This Row],[NumL]],T_TraitDi[#Data],COLUMN(T_TraitDi[Type1]),FALSE),TypeTW,2,FALSE),"")</f>
        <v/>
      </c>
      <c r="BM139" s="288" t="str">
        <f>IFERROR(VLOOKUP(T_Convention[[#This Row],[NumL]],T_TraitDi[#Data],COLUMN(T_TraitDi[Rue1]),FALSE),"")</f>
        <v/>
      </c>
      <c r="BN139" s="289" t="str">
        <f>IFERROR(VLOOKUP(T_Convention[[#This Row],[NumL]],T_TraitDi[#Data],COLUMN(T_TraitDi[CP1]),FALSE),"")</f>
        <v/>
      </c>
      <c r="BO139" s="282" t="str">
        <f>IFERROR(VLOOKUP(T_Convention[[#This Row],[NumL]],T_TraitDi[#Data],COLUMN(T_TraitDi[VILLE1]),FALSE),"")</f>
        <v/>
      </c>
      <c r="BP139" s="290" t="str">
        <f>IFERROR(VLOOKUP(VLOOKUP(T_Convention[[#This Row],[NumL]],T_TraitDi[#Data],COLUMN(T_TraitDi[Type2]),FALSE),TypeTW,2,FALSE),"")</f>
        <v/>
      </c>
      <c r="BQ139" s="182" t="str">
        <f>IFERROR(VLOOKUP(T_Convention[[#This Row],[NumL]],T_TraitDi[#Data],COLUMN(T_TraitDi[Rue2]),FALSE),"")</f>
        <v/>
      </c>
      <c r="BR139" s="173" t="str">
        <f>IFERROR(VLOOKUP(T_Convention[[#This Row],[NumL]],T_TraitDi[#Data],COLUMN(T_TraitDi[CP2]),FALSE),"")</f>
        <v/>
      </c>
      <c r="BS139" s="173" t="str">
        <f>IFERROR(VLOOKUP(T_Convention[[#This Row],[NumL]],T_TraitDi[#Data],COLUMN(T_TraitDi[VILLE2]),FALSE),"")</f>
        <v/>
      </c>
      <c r="BT139" s="182" t="str">
        <f>IF(VLOOKUP(T_Convention[[#This Row],[NumL]],T_Equipement[#Data],COLUMN(T_Equipement[PC]),FALSE)="","Aucun équipement spécifique directement lié au télétravail",VLOOKUP(T_Convention[[#This Row],[NumL]],T_Equipement[#Data],COLUMN(T_Equipement[PC]),FALSE))</f>
        <v xml:space="preserve">16-145	</v>
      </c>
      <c r="BU139" s="166" t="str">
        <f>IFERROR(IF(VLOOKUP(T_Convention[[#This Row],[NumL]],T_TraitDi[#Data],COLUMN(T_TraitDi[Plan]),FALSE)="OK","Un planning spécifique de télétravail est annexé à la présente convention.",""),"")</f>
        <v/>
      </c>
      <c r="BV139" s="185"/>
      <c r="BW139" s="164" t="e">
        <f>IF(VLOOKUP(T_Convention[[#This Row],[NumL]],T_suiviDi[#Data],COLUMN(T_suiviDi[Entité]),FALSE)="","",VLOOKUP(T_Convention[[#This Row],[NumL]],T_suiviDi[#Data],COLUMN(T_suiviDi[Entité]),FALSE))</f>
        <v>#N/A</v>
      </c>
      <c r="BX139" s="164" t="str">
        <f>IF(VLOOKUP(T_Convention[[#This Row],[NumL]],T_Commission[#Data],COLUMN(T_Commission[envoi confirm TW]),FALSE)="","",VLOOKUP(T_Convention[[#This Row],[NumL]],T_Commission[#Data],COLUMN(T_Commission[envoi confirm TW]),FALSE))</f>
        <v>Oui</v>
      </c>
      <c r="BY13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39" s="264">
        <f>VLOOKUP(T_Convention[[#This Row],[NumL]],T_Commission[#Data],COLUMN(T_Commission[Commentaire]),FALSE)</f>
        <v>0</v>
      </c>
      <c r="CA139" s="254" t="str">
        <f>IF(VLOOKUP(T_Convention[[#This Row],[NumL]],T_Commission[#Data],COLUMN(T_Commission[Encadrant Email]),FALSE)="","",VLOOKUP(T_Convention[[#This Row],[NumL]],T_Commission[#Data],COLUMN(T_Commission[Encadrant Email]),FALSE))</f>
        <v/>
      </c>
      <c r="CB139" s="352" t="e">
        <f>VLOOKUP(T_Convention[[#This Row],[NumL]],T_TraitDi[#Data],COLUMN(T_TraitDi[NbJTot]),FALSE)</f>
        <v>#N/A</v>
      </c>
      <c r="CC139" s="352" t="e">
        <f>VLOOKUP(T_Convention[[#This Row],[NumL]],T_TraitDi[#Data],COLUMN(T_TraitDi[Reg Ponct]),FALSE)</f>
        <v>#N/A</v>
      </c>
      <c r="CD139" s="348" t="str">
        <f>IF(T_Convention[[#This Row],[Final]]&lt;&gt;"",VLOOKUP(T_Convention[[#This Row],[NumL]],T_suiviDi[#Data],COLUMN((T_suiviDi[Statut])),FALSE),"")</f>
        <v/>
      </c>
    </row>
    <row r="140" spans="1:82" s="106" customFormat="1" ht="18.75" customHeight="1" x14ac:dyDescent="0.25">
      <c r="A140" s="160">
        <v>304</v>
      </c>
      <c r="B140" s="281" t="str">
        <f>VLOOKUP(T_Convention[[#This Row],[NumL]],T_Commission[#Data],COLUMN(T_Commission[FINAL]),FALSE)</f>
        <v/>
      </c>
      <c r="C140" s="162"/>
      <c r="D140" s="95" t="e">
        <f>IF(VLOOKUP(T_Convention[[#This Row],[NumL]],T_TraitDi[#Data],COLUMN(T_TraitDi[WebC]),FALSE)="","",VLOOKUP(T_Convention[[#This Row],[NumL]],T_TraitDi[#Data],COLUMN(T_TraitDi[WebC]),FALSE))</f>
        <v>#N/A</v>
      </c>
      <c r="E140" s="163" t="str">
        <f t="shared" si="10"/>
        <v>12 janvier 2021</v>
      </c>
      <c r="F140" s="282" t="str">
        <f>IF(T_Convention[[#This Row],[Final]]&lt;&gt;"",VLOOKUP(T_Convention[[#This Row],[NumL]],T_suiviDi[#Data],COLUMN((T_suiviDi[Civ.])),FALSE),"")</f>
        <v/>
      </c>
      <c r="G140" s="283" t="str">
        <f>IF(T_Convention[[#This Row],[Final]]&lt;&gt;"",VLOOKUP(T_Convention[[#This Row],[NumL]],T_suiviDi[#Data],COLUMN((T_suiviDi[Nom])),FALSE),"")</f>
        <v/>
      </c>
      <c r="H140" s="282" t="str">
        <f>IF(T_Convention[[#This Row],[Final]]&lt;&gt;"",VLOOKUP(T_Convention[[#This Row],[NumL]],T_suiviDi[#Data],COLUMN((T_suiviDi[Prénom])),FALSE),"")</f>
        <v/>
      </c>
      <c r="I140" s="282" t="e">
        <f>VLOOKUP(T_Convention[[#This Row],[NumL]],T_suiviDi[#Data],COLUMN((T_suiviDi[[#This Row],[Email]])),FALSE)</f>
        <v>#VALUE!</v>
      </c>
      <c r="J140" s="282" t="e">
        <f>IF(VLOOKUP(T_Convention[[#This Row],[NumL]],T_suiviDi[#Data],COLUMN(T_suiviDi[[#This Row],[Fonction]]),FALSE)="","",VLOOKUP(T_Convention[[#This Row],[NumL]],T_suiviDi[#Data],COLUMN(T_suiviDi[[#This Row],[Fonction]]),FALSE))</f>
        <v>#VALUE!</v>
      </c>
      <c r="K140" s="282" t="e">
        <f>IF(VLOOKUP(T_Convention[[#This Row],[NumL]],T_suiviDi[#Data],COLUMN(T_suiviDi[[#This Row],[Grade]]),FALSE)="","",VLOOKUP(T_Convention[[#This Row],[NumL]],T_suiviDi[#Data],COLUMN(T_suiviDi[[#This Row],[Grade]]),FALSE))</f>
        <v>#VALUE!</v>
      </c>
      <c r="L140" s="282" t="e">
        <f>IF(VLOOKUP(T_Convention[[#This Row],[NumL]],T_suiviDi[#Data],COLUMN(T_suiviDi[[#This Row],[Service ]]),FALSE)="","",VLOOKUP(T_Convention[[#This Row],[NumL]],T_suiviDi[#Data],COLUMN(T_suiviDi[[#This Row],[Service ]]),FALSE))</f>
        <v>#VALUE!</v>
      </c>
      <c r="M140" s="314" t="str">
        <f t="shared" si="11"/>
        <v>01 septembre 2021</v>
      </c>
      <c r="N140" s="314" t="str">
        <f t="shared" si="12"/>
        <v>30 novembre 2021</v>
      </c>
      <c r="O140" s="284" t="str">
        <f t="shared" si="13"/>
        <v>30 novembre 2021</v>
      </c>
      <c r="P140" s="282" t="e">
        <f>IF(VLOOKUP(T_Convention[[#This Row],[NumL]],T_TraitDi[#Data],COLUMN(T_TraitDi[M1]),FALSE)="","",VLOOKUP(T_Convention[[#This Row],[NumL]],T_TraitDi[#Data],COLUMN(T_TraitDi[M1]),FALSE))</f>
        <v>#N/A</v>
      </c>
      <c r="Q140" s="282" t="e">
        <f>IF(VLOOKUP(T_Convention[[#This Row],[NumL]],T_TraitDi[#Data],COLUMN(T_TraitDi[M2]),FALSE)="","",VLOOKUP(T_Convention[[#This Row],[NumL]],T_TraitDi[#Data],COLUMN(T_TraitDi[M2]),FALSE))</f>
        <v>#N/A</v>
      </c>
      <c r="R140" s="282" t="e">
        <f>IF(VLOOKUP(T_Convention[[#This Row],[NumL]],T_TraitDi[#Data],COLUMN(T_TraitDi[M3]),FALSE)="","",VLOOKUP(T_Convention[[#This Row],[NumL]],T_TraitDi[#Data],COLUMN(T_TraitDi[M3]),FALSE))</f>
        <v>#N/A</v>
      </c>
      <c r="S140" s="282" t="e">
        <f>IF(VLOOKUP(T_Convention[[#This Row],[NumL]],T_TraitDi[#Data],COLUMN(T_TraitDi[M4]),FALSE)="","",VLOOKUP(T_Convention[[#This Row],[NumL]],T_TraitDi[#Data],COLUMN(T_TraitDi[M4]),FALSE))</f>
        <v>#N/A</v>
      </c>
      <c r="T140" s="282" t="e">
        <f>IF(VLOOKUP(T_Convention[[#This Row],[NumL]],T_TraitDi[#Data],COLUMN(T_TraitDi[M5]),FALSE)="","",VLOOKUP(T_Convention[[#This Row],[NumL]],T_TraitDi[#Data],COLUMN(T_TraitDi[M5]),FALSE))</f>
        <v>#N/A</v>
      </c>
      <c r="U140" s="282" t="e">
        <f>IF(VLOOKUP(T_Convention[[#This Row],[NumL]],T_TraitDi[#Data],COLUMN(T_TraitDi[M6]),FALSE)="","",VLOOKUP(T_Convention[[#This Row],[NumL]],T_TraitDi[#Data],COLUMN(T_TraitDi[M6]),FALSE))</f>
        <v>#N/A</v>
      </c>
      <c r="V140" s="314" t="e">
        <f t="shared" si="14"/>
        <v>#N/A</v>
      </c>
      <c r="W140" s="284" t="str">
        <f>IFERROR(TEXT(VLOOKUP(T_Convention[[#This Row],[NumL]],T_TraitDi[#Data],COLUMN(T_TraitDi[Q2]),FALSE),"###%"),"")</f>
        <v/>
      </c>
      <c r="X140" s="285" t="e">
        <f>VLOOKUP(T_Convention[[#This Row],[NumL]],T_TraitDi[#Data],COLUMN(T_TraitDi[Reg Ponct]),FALSE)</f>
        <v>#N/A</v>
      </c>
      <c r="Y140" s="285" t="e">
        <f>VLOOKUP(T_Convention[NumL],T_TraitDi[#Data],COLUMN(T_TraitDi[Jours flottants]),FALSE)</f>
        <v>#N/A</v>
      </c>
      <c r="Z140" s="284" t="str">
        <f>IFERROR(VLOOKUP(T_Convention[[#This Row],[NumL]],T_TraitDi[#Data],COLUMN(T_TraitDi[Lundi]),FALSE),"")</f>
        <v/>
      </c>
      <c r="AA140" s="284" t="e">
        <f>IF(VLOOKUP(T_Convention[[#This Row],[NumL]],T_TraitDi[#Data],COLUMN(T_TraitDi[Colonne3]),FALSE)=0,"",TEXT(IFERROR(VLOOKUP(T_Convention[[#This Row],[NumL]],T_TraitDi[#Data],COLUMN(T_TraitDi[Colonne3]),FALSE),""),"[hh]:mm"))</f>
        <v>#N/A</v>
      </c>
      <c r="AB140" s="284" t="e">
        <f>IF(VLOOKUP(T_Convention[[#This Row],[NumL]],T_TraitDi[#Data],COLUMN(T_TraitDi[Colonne4]),FALSE)=0,"",TEXT(IFERROR(VLOOKUP(T_Convention[[#This Row],[NumL]],T_TraitDi[#Data],COLUMN(T_TraitDi[Colonne4]),FALSE),""),"[hh]:mm"))</f>
        <v>#N/A</v>
      </c>
      <c r="AC140" s="284" t="e">
        <f>IF(VLOOKUP(T_Convention[[#This Row],[NumL]],T_TraitDi[#Data],COLUMN(T_TraitDi[Colonne5]),FALSE)=0,"",TEXT(IFERROR(VLOOKUP(T_Convention[[#This Row],[NumL]],T_TraitDi[#Data],COLUMN(T_TraitDi[Colonne5]),FALSE),""),"[hh]:mm"))</f>
        <v>#N/A</v>
      </c>
      <c r="AD140" s="284" t="e">
        <f>IF(VLOOKUP(T_Convention[[#This Row],[NumL]],T_TraitDi[#Data],COLUMN(T_TraitDi[Colonne6]),FALSE)=0,"",TEXT(IFERROR(VLOOKUP(T_Convention[[#This Row],[NumL]],T_TraitDi[#Data],COLUMN(T_TraitDi[Colonne6]),FALSE),""),"[hh]:mm"))</f>
        <v>#N/A</v>
      </c>
      <c r="AE140" s="284" t="e">
        <f>IF(VLOOKUP(T_Convention[[#This Row],[NumL]],T_TraitDi[#Data],COLUMN(T_TraitDi[Colonne7]),FALSE)=0,"",TEXT(IFERROR(VLOOKUP(T_Convention[[#This Row],[NumL]],T_TraitDi[#Data],COLUMN(T_TraitDi[Colonne7]),FALSE),""),"[hh]:mm"))</f>
        <v>#N/A</v>
      </c>
      <c r="AF140" s="284" t="e">
        <f>IF(VLOOKUP(T_Convention[[#This Row],[NumL]],T_TraitDi[#Data],COLUMN(T_TraitDi[Colonne8]),FALSE)=0,"",TEXT(IFERROR(VLOOKUP(T_Convention[[#This Row],[NumL]],T_TraitDi[#Data],COLUMN(T_TraitDi[Colonne8]),FALSE),""),"[hh]:mm"))</f>
        <v>#N/A</v>
      </c>
      <c r="AG140" s="284" t="str">
        <f>IFERROR(VLOOKUP(T_Convention[[#This Row],[NumL]],T_TraitDi[#Data],COLUMN(T_TraitDi[Mardi]),FALSE),"")</f>
        <v/>
      </c>
      <c r="AH140" s="284" t="e">
        <f>IF(VLOOKUP(T_Convention[[#This Row],[NumL]],T_TraitDi[#Data],COLUMN(T_TraitDi[Colonne1]),FALSE)=0,"",TEXT(IFERROR(VLOOKUP(T_Convention[[#This Row],[NumL]],T_TraitDi[#Data],COLUMN(T_TraitDi[Colonne1]),FALSE),""),"[hh]:mm"))</f>
        <v>#N/A</v>
      </c>
      <c r="AI140" s="284" t="e">
        <f>IF(VLOOKUP(T_Convention[[#This Row],[NumL]],T_TraitDi[#Data],COLUMN(T_TraitDi[Colonne9]),FALSE)=0,"",TEXT(IFERROR(VLOOKUP(T_Convention[[#This Row],[NumL]],T_TraitDi[#Data],COLUMN(T_TraitDi[Colonne9]),FALSE),""),"[hh]:mm"))</f>
        <v>#N/A</v>
      </c>
      <c r="AJ140" s="284" t="str">
        <f>IFERROR(VLOOKUP(T_Convention[[#This Row],[NumL]],T_TraitDi[#Data],COLUMN(T_TraitDi[Colonne10]),FALSE),"")</f>
        <v/>
      </c>
      <c r="AK140" s="284" t="e">
        <f>IF(VLOOKUP(T_Convention[[#This Row],[NumL]],T_TraitDi[#Data],COLUMN(T_TraitDi[Colonne11]),FALSE)=0,"",TEXT(IFERROR(VLOOKUP(T_Convention[[#This Row],[NumL]],T_TraitDi[#Data],COLUMN(T_TraitDi[Colonne11]),FALSE),""),"[hh]:mm"))</f>
        <v>#N/A</v>
      </c>
      <c r="AL140" s="284" t="e">
        <f>IF(VLOOKUP(T_Convention[[#This Row],[NumL]],T_TraitDi[#Data],COLUMN(T_TraitDi[Colonne12]),FALSE)=0,"",TEXT(IFERROR(VLOOKUP(T_Convention[[#This Row],[NumL]],T_TraitDi[#Data],COLUMN(T_TraitDi[Colonne12]),FALSE),""),"[hh]:mm"))</f>
        <v>#N/A</v>
      </c>
      <c r="AM140" s="284" t="e">
        <f>IF(VLOOKUP(T_Convention[[#This Row],[NumL]],T_TraitDi[#Data],COLUMN(T_TraitDi[Colonne14]),FALSE)=0,"",TEXT(IFERROR(VLOOKUP(T_Convention[[#This Row],[NumL]],T_TraitDi[#Data],COLUMN(T_TraitDi[Colonne14]),FALSE),""),"[hh]:mm"))</f>
        <v>#N/A</v>
      </c>
      <c r="AN140" s="284" t="str">
        <f>IFERROR(VLOOKUP(T_Convention[[#This Row],[NumL]],T_TraitDi[#Data],COLUMN(T_TraitDi[Mercredi]),FALSE),"")</f>
        <v/>
      </c>
      <c r="AO140" s="284" t="e">
        <f>IF(VLOOKUP(T_Convention[[#This Row],[NumL]],T_TraitDi[#Data],COLUMN(T_TraitDi[Colonne15]),FALSE)=0,"",TEXT(IFERROR(VLOOKUP(T_Convention[[#This Row],[NumL]],T_TraitDi[#Data],COLUMN(T_TraitDi[Colonne15]),FALSE),""),"[hh]:mm"))</f>
        <v>#N/A</v>
      </c>
      <c r="AP140" s="284" t="e">
        <f>IF(VLOOKUP(T_Convention[[#This Row],[NumL]],T_TraitDi[#Data],COLUMN(T_TraitDi[Colonne16]),FALSE)=0,"",TEXT(IFERROR(VLOOKUP(T_Convention[[#This Row],[NumL]],T_TraitDi[#Data],COLUMN(T_TraitDi[Colonne16]),FALSE),""),"[hh]:mm"))</f>
        <v>#N/A</v>
      </c>
      <c r="AQ140" s="284" t="str">
        <f>IFERROR(VLOOKUP(T_Convention[[#This Row],[NumL]],T_TraitDi[#Data],COLUMN(T_TraitDi[Colonne17]),FALSE),"")</f>
        <v/>
      </c>
      <c r="AR140" s="284" t="e">
        <f>IF(VLOOKUP(T_Convention[[#This Row],[NumL]],T_TraitDi[#Data],COLUMN(T_TraitDi[Colonne18]),FALSE)=0,"",TEXT(IFERROR(VLOOKUP(T_Convention[[#This Row],[NumL]],T_TraitDi[#Data],COLUMN(T_TraitDi[Colonne18]),FALSE),""),"[hh]:mm"))</f>
        <v>#N/A</v>
      </c>
      <c r="AS140" s="284" t="e">
        <f>IF(VLOOKUP(T_Convention[[#This Row],[NumL]],T_TraitDi[#Data],COLUMN(T_TraitDi[Colonne19]),FALSE)=0,"",TEXT(IFERROR(VLOOKUP(T_Convention[[#This Row],[NumL]],T_TraitDi[#Data],COLUMN(T_TraitDi[Colonne19]),FALSE),""),"[hh]:mm"))</f>
        <v>#N/A</v>
      </c>
      <c r="AT140" s="284" t="e">
        <f>IF(VLOOKUP(T_Convention[[#This Row],[NumL]],T_TraitDi[#Data],COLUMN(T_TraitDi[Colonne20]),FALSE)=0,"",TEXT(IFERROR(VLOOKUP(T_Convention[[#This Row],[NumL]],T_TraitDi[#Data],COLUMN(T_TraitDi[Colonne20]),FALSE),""),"[hh]:mm"))</f>
        <v>#N/A</v>
      </c>
      <c r="AU140" s="284" t="str">
        <f>IFERROR(VLOOKUP(T_Convention[[#This Row],[NumL]],T_TraitDi[#Data],COLUMN(T_TraitDi[Jeudi]),FALSE),"")</f>
        <v/>
      </c>
      <c r="AV140" s="284" t="e">
        <f>IF(VLOOKUP(T_Convention[[#This Row],[NumL]],T_TraitDi[#Data],COLUMN(T_TraitDi[Colonne21]),FALSE)=0,"",TEXT(IFERROR(VLOOKUP(T_Convention[[#This Row],[NumL]],T_TraitDi[#Data],COLUMN(T_TraitDi[Colonne21]),FALSE),""),"[hh]:mm"))</f>
        <v>#N/A</v>
      </c>
      <c r="AW140" s="284" t="e">
        <f>IF(VLOOKUP(T_Convention[[#This Row],[NumL]],T_TraitDi[#Data],COLUMN(T_TraitDi[Colonne22]),FALSE)=0,"",TEXT(IFERROR(VLOOKUP(T_Convention[[#This Row],[NumL]],T_TraitDi[#Data],COLUMN(T_TraitDi[Colonne22]),FALSE),""),"[hh]:mm"))</f>
        <v>#N/A</v>
      </c>
      <c r="AX140" s="284" t="str">
        <f>IFERROR(VLOOKUP(T_Convention[[#This Row],[NumL]],T_TraitDi[#Data],COLUMN(T_TraitDi[Colonne23]),FALSE),"")</f>
        <v/>
      </c>
      <c r="AY140" s="284" t="e">
        <f>IF(VLOOKUP(T_Convention[[#This Row],[NumL]],T_TraitDi[#Data],COLUMN(T_TraitDi[Colonne24]),FALSE)=0,"",TEXT(IFERROR(VLOOKUP(T_Convention[[#This Row],[NumL]],T_TraitDi[#Data],COLUMN(T_TraitDi[Colonne24]),FALSE),""),"[hh]:mm"))</f>
        <v>#N/A</v>
      </c>
      <c r="AZ140" s="284" t="e">
        <f>IF(VLOOKUP(T_Convention[[#This Row],[NumL]],T_TraitDi[#Data],COLUMN(T_TraitDi[Colonne25]),FALSE)=0,"",TEXT(IFERROR(VLOOKUP(T_Convention[[#This Row],[NumL]],T_TraitDi[#Data],COLUMN(T_TraitDi[Colonne25]),FALSE),""),"[hh]:mm"))</f>
        <v>#N/A</v>
      </c>
      <c r="BA140" s="284" t="e">
        <f>IF(VLOOKUP(T_Convention[[#This Row],[NumL]],T_TraitDi[#Data],COLUMN(T_TraitDi[Colonne26]),FALSE)=0,"",TEXT(IFERROR(VLOOKUP(T_Convention[[#This Row],[NumL]],T_TraitDi[#Data],COLUMN(T_TraitDi[Colonne26]),FALSE),""),"[hh]:mm"))</f>
        <v>#N/A</v>
      </c>
      <c r="BB140" s="284" t="str">
        <f>IFERROR(VLOOKUP(T_Convention[[#This Row],[NumL]],T_TraitDi[#Data],COLUMN(T_TraitDi[Vendredi]),FALSE),"")</f>
        <v/>
      </c>
      <c r="BC140" s="284" t="e">
        <f>IF(VLOOKUP(T_Convention[[#This Row],[NumL]],T_TraitDi[#Data],COLUMN(T_TraitDi[Colonne27]),FALSE)=0,"",TEXT(IFERROR(VLOOKUP(T_Convention[[#This Row],[NumL]],T_TraitDi[#Data],COLUMN(T_TraitDi[Colonne27]),FALSE),""),"[hh]:mm"))</f>
        <v>#N/A</v>
      </c>
      <c r="BD140" s="284" t="e">
        <f>IF(VLOOKUP(T_Convention[[#This Row],[NumL]],T_TraitDi[#Data],COLUMN(T_TraitDi[Colonne28]),FALSE)=0,"",TEXT(IFERROR(VLOOKUP(T_Convention[[#This Row],[NumL]],T_TraitDi[#Data],COLUMN(T_TraitDi[Colonne28]),FALSE),""),"[hh]:mm"))</f>
        <v>#N/A</v>
      </c>
      <c r="BE140" s="284" t="str">
        <f>IFERROR(VLOOKUP(T_Convention[[#This Row],[NumL]],T_TraitDi[#Data],COLUMN(T_TraitDi[Colonne29]),FALSE),"")</f>
        <v/>
      </c>
      <c r="BF140" s="284" t="e">
        <f>IF(VLOOKUP(T_Convention[[#This Row],[NumL]],T_TraitDi[#Data],COLUMN(T_TraitDi[Colonne30]),FALSE)=0,"",TEXT(IFERROR(VLOOKUP(T_Convention[[#This Row],[NumL]],T_TraitDi[#Data],COLUMN(T_TraitDi[Colonne30]),FALSE),""),"[hh]:mm"))</f>
        <v>#N/A</v>
      </c>
      <c r="BG140" s="284" t="e">
        <f>IF(VLOOKUP(T_Convention[[#This Row],[NumL]],T_TraitDi[#Data],COLUMN(T_TraitDi[Colonne31]),FALSE)=0,"",TEXT(IFERROR(VLOOKUP(T_Convention[[#This Row],[NumL]],T_TraitDi[#Data],COLUMN(T_TraitDi[Colonne31]),FALSE),""),"[hh]:mm"))</f>
        <v>#N/A</v>
      </c>
      <c r="BH140" s="284" t="e">
        <f>IF(VLOOKUP(T_Convention[[#This Row],[NumL]],T_TraitDi[#Data],COLUMN(T_TraitDi[Colonne32]),FALSE)=0,"",TEXT(IFERROR(VLOOKUP(T_Convention[[#This Row],[NumL]],T_TraitDi[#Data],COLUMN(T_TraitDi[Colonne32]),FALSE),""),"[hh]:mm"))</f>
        <v>#N/A</v>
      </c>
      <c r="BI140" s="284" t="str">
        <f>IFERROR(VLOOKUP(T_Convention[[#This Row],[NumL]],T_TraitDi[#Data],COLUMN(T_TraitDi[NbJTW]),FALSE),"")</f>
        <v/>
      </c>
      <c r="BJ140" s="284" t="e">
        <f>IF(VLOOKUP(T_Convention[[#This Row],[NumL]],T_TraitDi[#Data],COLUMN(T_TraitDi[NbhTW]),FALSE)=0,"",TEXT(IFERROR(VLOOKUP(T_Convention[[#This Row],[NumL]],T_TraitDi[#Data],COLUMN(T_TraitDi[NbhTW]),FALSE),""),"[hh]:mm"))</f>
        <v>#N/A</v>
      </c>
      <c r="BK140" s="315" t="e">
        <f>IF(VLOOKUP(T_Convention[[#This Row],[NumL]],T_TraitDi[#Data],COLUMN(T_TraitDi[Nbhheb]),FALSE)=0,"",TEXT(IFERROR(VLOOKUP(T_Convention[[#This Row],[NumL]],T_TraitDi[#Data],COLUMN(T_TraitDi[Nbhheb]),FALSE),""),"[hh]:mm"))</f>
        <v>#N/A</v>
      </c>
      <c r="BL140" s="287" t="str">
        <f>IFERROR(VLOOKUP(VLOOKUP(T_Convention[[#This Row],[NumL]],T_TraitDi[#Data],COLUMN(T_TraitDi[Type1]),FALSE),TypeTW,2,FALSE),"")</f>
        <v/>
      </c>
      <c r="BM140" s="288" t="str">
        <f>IFERROR(VLOOKUP(T_Convention[[#This Row],[NumL]],T_TraitDi[#Data],COLUMN(T_TraitDi[Rue1]),FALSE),"")</f>
        <v/>
      </c>
      <c r="BN140" s="289" t="str">
        <f>IFERROR(VLOOKUP(T_Convention[[#This Row],[NumL]],T_TraitDi[#Data],COLUMN(T_TraitDi[CP1]),FALSE),"")</f>
        <v/>
      </c>
      <c r="BO140" s="282" t="str">
        <f>IFERROR(VLOOKUP(T_Convention[[#This Row],[NumL]],T_TraitDi[#Data],COLUMN(T_TraitDi[VILLE1]),FALSE),"")</f>
        <v/>
      </c>
      <c r="BP140" s="290" t="str">
        <f>IFERROR(VLOOKUP(VLOOKUP(T_Convention[[#This Row],[NumL]],T_TraitDi[#Data],COLUMN(T_TraitDi[Type2]),FALSE),TypeTW,2,FALSE),"")</f>
        <v/>
      </c>
      <c r="BQ140" s="310" t="str">
        <f>IFERROR(VLOOKUP(T_Convention[[#This Row],[NumL]],T_TraitDi[#Data],COLUMN(T_TraitDi[Rue2]),FALSE),"")</f>
        <v/>
      </c>
      <c r="BR140" s="290" t="str">
        <f>IFERROR(VLOOKUP(T_Convention[[#This Row],[NumL]],T_TraitDi[#Data],COLUMN(T_TraitDi[CP2]),FALSE),"")</f>
        <v/>
      </c>
      <c r="BS140" s="290" t="str">
        <f>IFERROR(VLOOKUP(T_Convention[[#This Row],[NumL]],T_TraitDi[#Data],COLUMN(T_TraitDi[VILLE2]),FALSE),"")</f>
        <v/>
      </c>
      <c r="BT14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40" s="314" t="str">
        <f>IFERROR(IF(VLOOKUP(T_Convention[[#This Row],[NumL]],T_TraitDi[#Data],COLUMN(T_TraitDi[Plan]),FALSE)="OK","Un planning spécifique de télétravail est annexé à la présente convention.",""),"")</f>
        <v/>
      </c>
      <c r="BV140" s="291"/>
      <c r="BW140" s="292" t="e">
        <f>IF(VLOOKUP(T_Convention[[#This Row],[NumL]],T_suiviDi[#Data],COLUMN(T_suiviDi[Entité]),FALSE)="","",VLOOKUP(T_Convention[[#This Row],[NumL]],T_suiviDi[#Data],COLUMN(T_suiviDi[Entité]),FALSE))</f>
        <v>#N/A</v>
      </c>
      <c r="BX140" s="311" t="str">
        <f>IF(VLOOKUP(T_Convention[[#This Row],[NumL]],T_Commission[#Data],COLUMN(T_Commission[envoi confirm TW]),FALSE)="","",VLOOKUP(T_Convention[[#This Row],[NumL]],T_Commission[#Data],COLUMN(T_Commission[envoi confirm TW]),FALSE))</f>
        <v>Oui</v>
      </c>
      <c r="BY14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0" s="265">
        <f>VLOOKUP(T_Convention[[#This Row],[NumL]],T_Commission[#Data],COLUMN(T_Commission[Commentaire]),FALSE)</f>
        <v>0</v>
      </c>
      <c r="CA140" s="255" t="str">
        <f>IF(VLOOKUP(T_Convention[[#This Row],[NumL]],T_Commission[#Data],COLUMN(T_Commission[Encadrant Email]),FALSE)="","",VLOOKUP(T_Convention[[#This Row],[NumL]],T_Commission[#Data],COLUMN(T_Commission[Encadrant Email]),FALSE))</f>
        <v/>
      </c>
      <c r="CB140" s="352" t="e">
        <f>VLOOKUP(T_Convention[[#This Row],[NumL]],T_TraitDi[#Data],COLUMN(T_TraitDi[NbJTot]),FALSE)</f>
        <v>#N/A</v>
      </c>
      <c r="CC140" s="352" t="e">
        <f>VLOOKUP(T_Convention[[#This Row],[NumL]],T_TraitDi[#Data],COLUMN(T_TraitDi[Reg Ponct]),FALSE)</f>
        <v>#N/A</v>
      </c>
      <c r="CD140" s="348" t="str">
        <f>IF(T_Convention[[#This Row],[Final]]&lt;&gt;"",VLOOKUP(T_Convention[[#This Row],[NumL]],T_suiviDi[#Data],COLUMN((T_suiviDi[Statut])),FALSE),"")</f>
        <v/>
      </c>
    </row>
    <row r="141" spans="1:82" s="106" customFormat="1" ht="18.75" customHeight="1" x14ac:dyDescent="0.25">
      <c r="A141" s="160">
        <v>204</v>
      </c>
      <c r="B141" s="161" t="str">
        <f>VLOOKUP(T_Convention[[#This Row],[NumL]],T_Commission[#Data],COLUMN(T_Commission[FINAL]),FALSE)</f>
        <v/>
      </c>
      <c r="C141" s="162"/>
      <c r="D141" s="95" t="e">
        <f>IF(VLOOKUP(T_Convention[[#This Row],[NumL]],T_TraitDi[#Data],COLUMN(T_TraitDi[WebC]),FALSE)="","",VLOOKUP(T_Convention[[#This Row],[NumL]],T_TraitDi[#Data],COLUMN(T_TraitDi[WebC]),FALSE))</f>
        <v>#N/A</v>
      </c>
      <c r="E141" s="163" t="str">
        <f t="shared" si="10"/>
        <v>12 janvier 2021</v>
      </c>
      <c r="F141" s="282" t="str">
        <f>IF(T_Convention[[#This Row],[Final]]&lt;&gt;"",VLOOKUP(T_Convention[[#This Row],[NumL]],T_suiviDi[#Data],COLUMN((T_suiviDi[Civ.])),FALSE),"")</f>
        <v/>
      </c>
      <c r="G141" s="283" t="str">
        <f>IF(T_Convention[[#This Row],[Final]]&lt;&gt;"",VLOOKUP(T_Convention[[#This Row],[NumL]],T_suiviDi[#Data],COLUMN((T_suiviDi[Nom])),FALSE),"")</f>
        <v/>
      </c>
      <c r="H141" s="282" t="str">
        <f>IF(T_Convention[[#This Row],[Final]]&lt;&gt;"",VLOOKUP(T_Convention[[#This Row],[NumL]],T_suiviDi[#Data],COLUMN((T_suiviDi[Prénom])),FALSE),"")</f>
        <v/>
      </c>
      <c r="I141" s="282" t="e">
        <f>VLOOKUP(T_Convention[[#This Row],[NumL]],T_suiviDi[#Data],COLUMN((T_suiviDi[[#This Row],[Email]])),FALSE)</f>
        <v>#VALUE!</v>
      </c>
      <c r="J141" s="282" t="e">
        <f>IF(VLOOKUP(T_Convention[[#This Row],[NumL]],T_suiviDi[#Data],COLUMN(T_suiviDi[[#This Row],[Fonction]]),FALSE)="","",VLOOKUP(T_Convention[[#This Row],[NumL]],T_suiviDi[#Data],COLUMN(T_suiviDi[[#This Row],[Fonction]]),FALSE))</f>
        <v>#VALUE!</v>
      </c>
      <c r="K141" s="282" t="e">
        <f>IF(VLOOKUP(T_Convention[[#This Row],[NumL]],T_suiviDi[#Data],COLUMN(T_suiviDi[[#This Row],[Grade]]),FALSE)="","",VLOOKUP(T_Convention[[#This Row],[NumL]],T_suiviDi[#Data],COLUMN(T_suiviDi[[#This Row],[Grade]]),FALSE))</f>
        <v>#VALUE!</v>
      </c>
      <c r="L141" s="282" t="e">
        <f>IF(VLOOKUP(T_Convention[[#This Row],[NumL]],T_suiviDi[#Data],COLUMN(T_suiviDi[[#This Row],[Service ]]),FALSE)="","",VLOOKUP(T_Convention[[#This Row],[NumL]],T_suiviDi[#Data],COLUMN(T_suiviDi[[#This Row],[Service ]]),FALSE))</f>
        <v>#VALUE!</v>
      </c>
      <c r="M141" s="164" t="str">
        <f t="shared" si="11"/>
        <v>01 septembre 2021</v>
      </c>
      <c r="N141" s="164" t="str">
        <f t="shared" si="12"/>
        <v>30 novembre 2021</v>
      </c>
      <c r="O141" s="284" t="str">
        <f t="shared" si="13"/>
        <v>30 novembre 2021</v>
      </c>
      <c r="P141" s="282" t="e">
        <f>IF(VLOOKUP(T_Convention[[#This Row],[NumL]],T_TraitDi[#Data],COLUMN(T_TraitDi[M1]),FALSE)="","",VLOOKUP(T_Convention[[#This Row],[NumL]],T_TraitDi[#Data],COLUMN(T_TraitDi[M1]),FALSE))</f>
        <v>#N/A</v>
      </c>
      <c r="Q141" s="282" t="e">
        <f>IF(VLOOKUP(T_Convention[[#This Row],[NumL]],T_TraitDi[#Data],COLUMN(T_TraitDi[M2]),FALSE)="","",VLOOKUP(T_Convention[[#This Row],[NumL]],T_TraitDi[#Data],COLUMN(T_TraitDi[M2]),FALSE))</f>
        <v>#N/A</v>
      </c>
      <c r="R141" s="282" t="e">
        <f>IF(VLOOKUP(T_Convention[[#This Row],[NumL]],T_TraitDi[#Data],COLUMN(T_TraitDi[M3]),FALSE)="","",VLOOKUP(T_Convention[[#This Row],[NumL]],T_TraitDi[#Data],COLUMN(T_TraitDi[M3]),FALSE))</f>
        <v>#N/A</v>
      </c>
      <c r="S141" s="282" t="e">
        <f>IF(VLOOKUP(T_Convention[[#This Row],[NumL]],T_TraitDi[#Data],COLUMN(T_TraitDi[M4]),FALSE)="","",VLOOKUP(T_Convention[[#This Row],[NumL]],T_TraitDi[#Data],COLUMN(T_TraitDi[M4]),FALSE))</f>
        <v>#N/A</v>
      </c>
      <c r="T141" s="282" t="e">
        <f>IF(VLOOKUP(T_Convention[[#This Row],[NumL]],T_TraitDi[#Data],COLUMN(T_TraitDi[M5]),FALSE)="","",VLOOKUP(T_Convention[[#This Row],[NumL]],T_TraitDi[#Data],COLUMN(T_TraitDi[M5]),FALSE))</f>
        <v>#N/A</v>
      </c>
      <c r="U141" s="282" t="e">
        <f>IF(VLOOKUP(T_Convention[[#This Row],[NumL]],T_TraitDi[#Data],COLUMN(T_TraitDi[M6]),FALSE)="","",VLOOKUP(T_Convention[[#This Row],[NumL]],T_TraitDi[#Data],COLUMN(T_TraitDi[M6]),FALSE))</f>
        <v>#N/A</v>
      </c>
      <c r="V141" s="176" t="e">
        <f t="shared" si="14"/>
        <v>#N/A</v>
      </c>
      <c r="W141" s="284" t="str">
        <f>IFERROR(TEXT(VLOOKUP(T_Convention[[#This Row],[NumL]],T_TraitDi[#Data],COLUMN(T_TraitDi[Q2]),FALSE),"###%"),"")</f>
        <v/>
      </c>
      <c r="X141" s="97" t="e">
        <f>VLOOKUP(T_Convention[[#This Row],[NumL]],T_TraitDi[#Data],COLUMN(T_TraitDi[Reg Ponct]),FALSE)</f>
        <v>#N/A</v>
      </c>
      <c r="Y141" s="97" t="e">
        <f>VLOOKUP(T_Convention[NumL],T_TraitDi[#Data],COLUMN(T_TraitDi[Jours flottants]),FALSE)</f>
        <v>#N/A</v>
      </c>
      <c r="Z141" s="284" t="str">
        <f>IFERROR(VLOOKUP(T_Convention[[#This Row],[NumL]],T_TraitDi[#Data],COLUMN(T_TraitDi[Lundi]),FALSE),"")</f>
        <v/>
      </c>
      <c r="AA141" s="284" t="e">
        <f>IF(VLOOKUP(T_Convention[[#This Row],[NumL]],T_TraitDi[#Data],COLUMN(T_TraitDi[Colonne3]),FALSE)=0,"",TEXT(IFERROR(VLOOKUP(T_Convention[[#This Row],[NumL]],T_TraitDi[#Data],COLUMN(T_TraitDi[Colonne3]),FALSE),""),"[hh]:mm"))</f>
        <v>#N/A</v>
      </c>
      <c r="AB141" s="284" t="e">
        <f>IF(VLOOKUP(T_Convention[[#This Row],[NumL]],T_TraitDi[#Data],COLUMN(T_TraitDi[Colonne4]),FALSE)=0,"",TEXT(IFERROR(VLOOKUP(T_Convention[[#This Row],[NumL]],T_TraitDi[#Data],COLUMN(T_TraitDi[Colonne4]),FALSE),""),"[hh]:mm"))</f>
        <v>#N/A</v>
      </c>
      <c r="AC141" s="284" t="e">
        <f>IF(VLOOKUP(T_Convention[[#This Row],[NumL]],T_TraitDi[#Data],COLUMN(T_TraitDi[Colonne5]),FALSE)=0,"",TEXT(IFERROR(VLOOKUP(T_Convention[[#This Row],[NumL]],T_TraitDi[#Data],COLUMN(T_TraitDi[Colonne5]),FALSE),""),"[hh]:mm"))</f>
        <v>#N/A</v>
      </c>
      <c r="AD141" s="284" t="e">
        <f>IF(VLOOKUP(T_Convention[[#This Row],[NumL]],T_TraitDi[#Data],COLUMN(T_TraitDi[Colonne6]),FALSE)=0,"",TEXT(IFERROR(VLOOKUP(T_Convention[[#This Row],[NumL]],T_TraitDi[#Data],COLUMN(T_TraitDi[Colonne6]),FALSE),""),"[hh]:mm"))</f>
        <v>#N/A</v>
      </c>
      <c r="AE141" s="284" t="e">
        <f>IF(VLOOKUP(T_Convention[[#This Row],[NumL]],T_TraitDi[#Data],COLUMN(T_TraitDi[Colonne7]),FALSE)=0,"",TEXT(IFERROR(VLOOKUP(T_Convention[[#This Row],[NumL]],T_TraitDi[#Data],COLUMN(T_TraitDi[Colonne7]),FALSE),""),"[hh]:mm"))</f>
        <v>#N/A</v>
      </c>
      <c r="AF141" s="284" t="e">
        <f>IF(VLOOKUP(T_Convention[[#This Row],[NumL]],T_TraitDi[#Data],COLUMN(T_TraitDi[Colonne8]),FALSE)=0,"",TEXT(IFERROR(VLOOKUP(T_Convention[[#This Row],[NumL]],T_TraitDi[#Data],COLUMN(T_TraitDi[Colonne8]),FALSE),""),"[hh]:mm"))</f>
        <v>#N/A</v>
      </c>
      <c r="AG141" s="284" t="str">
        <f>IFERROR(VLOOKUP(T_Convention[[#This Row],[NumL]],T_TraitDi[#Data],COLUMN(T_TraitDi[Mardi]),FALSE),"")</f>
        <v/>
      </c>
      <c r="AH141" s="284" t="e">
        <f>IF(VLOOKUP(T_Convention[[#This Row],[NumL]],T_TraitDi[#Data],COLUMN(T_TraitDi[Colonne1]),FALSE)=0,"",TEXT(IFERROR(VLOOKUP(T_Convention[[#This Row],[NumL]],T_TraitDi[#Data],COLUMN(T_TraitDi[Colonne1]),FALSE),""),"[hh]:mm"))</f>
        <v>#N/A</v>
      </c>
      <c r="AI141" s="284" t="e">
        <f>IF(VLOOKUP(T_Convention[[#This Row],[NumL]],T_TraitDi[#Data],COLUMN(T_TraitDi[Colonne9]),FALSE)=0,"",TEXT(IFERROR(VLOOKUP(T_Convention[[#This Row],[NumL]],T_TraitDi[#Data],COLUMN(T_TraitDi[Colonne9]),FALSE),""),"[hh]:mm"))</f>
        <v>#N/A</v>
      </c>
      <c r="AJ141" s="284" t="str">
        <f>IFERROR(VLOOKUP(T_Convention[[#This Row],[NumL]],T_TraitDi[#Data],COLUMN(T_TraitDi[Colonne10]),FALSE),"")</f>
        <v/>
      </c>
      <c r="AK141" s="284" t="e">
        <f>IF(VLOOKUP(T_Convention[[#This Row],[NumL]],T_TraitDi[#Data],COLUMN(T_TraitDi[Colonne11]),FALSE)=0,"",TEXT(IFERROR(VLOOKUP(T_Convention[[#This Row],[NumL]],T_TraitDi[#Data],COLUMN(T_TraitDi[Colonne11]),FALSE),""),"[hh]:mm"))</f>
        <v>#N/A</v>
      </c>
      <c r="AL141" s="284" t="e">
        <f>IF(VLOOKUP(T_Convention[[#This Row],[NumL]],T_TraitDi[#Data],COLUMN(T_TraitDi[Colonne12]),FALSE)=0,"",TEXT(IFERROR(VLOOKUP(T_Convention[[#This Row],[NumL]],T_TraitDi[#Data],COLUMN(T_TraitDi[Colonne12]),FALSE),""),"[hh]:mm"))</f>
        <v>#N/A</v>
      </c>
      <c r="AM141" s="284" t="e">
        <f>IF(VLOOKUP(T_Convention[[#This Row],[NumL]],T_TraitDi[#Data],COLUMN(T_TraitDi[Colonne14]),FALSE)=0,"",TEXT(IFERROR(VLOOKUP(T_Convention[[#This Row],[NumL]],T_TraitDi[#Data],COLUMN(T_TraitDi[Colonne14]),FALSE),""),"[hh]:mm"))</f>
        <v>#N/A</v>
      </c>
      <c r="AN141" s="284" t="str">
        <f>IFERROR(VLOOKUP(T_Convention[[#This Row],[NumL]],T_TraitDi[#Data],COLUMN(T_TraitDi[Mercredi]),FALSE),"")</f>
        <v/>
      </c>
      <c r="AO141" s="284" t="e">
        <f>IF(VLOOKUP(T_Convention[[#This Row],[NumL]],T_TraitDi[#Data],COLUMN(T_TraitDi[Colonne15]),FALSE)=0,"",TEXT(IFERROR(VLOOKUP(T_Convention[[#This Row],[NumL]],T_TraitDi[#Data],COLUMN(T_TraitDi[Colonne15]),FALSE),""),"[hh]:mm"))</f>
        <v>#N/A</v>
      </c>
      <c r="AP141" s="284" t="e">
        <f>IF(VLOOKUP(T_Convention[[#This Row],[NumL]],T_TraitDi[#Data],COLUMN(T_TraitDi[Colonne16]),FALSE)=0,"",TEXT(IFERROR(VLOOKUP(T_Convention[[#This Row],[NumL]],T_TraitDi[#Data],COLUMN(T_TraitDi[Colonne16]),FALSE),""),"[hh]:mm"))</f>
        <v>#N/A</v>
      </c>
      <c r="AQ141" s="284" t="str">
        <f>IFERROR(VLOOKUP(T_Convention[[#This Row],[NumL]],T_TraitDi[#Data],COLUMN(T_TraitDi[Colonne17]),FALSE),"")</f>
        <v/>
      </c>
      <c r="AR141" s="284" t="e">
        <f>IF(VLOOKUP(T_Convention[[#This Row],[NumL]],T_TraitDi[#Data],COLUMN(T_TraitDi[Colonne18]),FALSE)=0,"",TEXT(IFERROR(VLOOKUP(T_Convention[[#This Row],[NumL]],T_TraitDi[#Data],COLUMN(T_TraitDi[Colonne18]),FALSE),""),"[hh]:mm"))</f>
        <v>#N/A</v>
      </c>
      <c r="AS141" s="284" t="e">
        <f>IF(VLOOKUP(T_Convention[[#This Row],[NumL]],T_TraitDi[#Data],COLUMN(T_TraitDi[Colonne19]),FALSE)=0,"",TEXT(IFERROR(VLOOKUP(T_Convention[[#This Row],[NumL]],T_TraitDi[#Data],COLUMN(T_TraitDi[Colonne19]),FALSE),""),"[hh]:mm"))</f>
        <v>#N/A</v>
      </c>
      <c r="AT141" s="284" t="e">
        <f>IF(VLOOKUP(T_Convention[[#This Row],[NumL]],T_TraitDi[#Data],COLUMN(T_TraitDi[Colonne20]),FALSE)=0,"",TEXT(IFERROR(VLOOKUP(T_Convention[[#This Row],[NumL]],T_TraitDi[#Data],COLUMN(T_TraitDi[Colonne20]),FALSE),""),"[hh]:mm"))</f>
        <v>#N/A</v>
      </c>
      <c r="AU141" s="284" t="str">
        <f>IFERROR(VLOOKUP(T_Convention[[#This Row],[NumL]],T_TraitDi[#Data],COLUMN(T_TraitDi[Jeudi]),FALSE),"")</f>
        <v/>
      </c>
      <c r="AV141" s="284" t="e">
        <f>IF(VLOOKUP(T_Convention[[#This Row],[NumL]],T_TraitDi[#Data],COLUMN(T_TraitDi[Colonne21]),FALSE)=0,"",TEXT(IFERROR(VLOOKUP(T_Convention[[#This Row],[NumL]],T_TraitDi[#Data],COLUMN(T_TraitDi[Colonne21]),FALSE),""),"[hh]:mm"))</f>
        <v>#N/A</v>
      </c>
      <c r="AW141" s="284" t="e">
        <f>IF(VLOOKUP(T_Convention[[#This Row],[NumL]],T_TraitDi[#Data],COLUMN(T_TraitDi[Colonne22]),FALSE)=0,"",TEXT(IFERROR(VLOOKUP(T_Convention[[#This Row],[NumL]],T_TraitDi[#Data],COLUMN(T_TraitDi[Colonne22]),FALSE),""),"[hh]:mm"))</f>
        <v>#N/A</v>
      </c>
      <c r="AX141" s="284" t="str">
        <f>IFERROR(VLOOKUP(T_Convention[[#This Row],[NumL]],T_TraitDi[#Data],COLUMN(T_TraitDi[Colonne23]),FALSE),"")</f>
        <v/>
      </c>
      <c r="AY141" s="284" t="e">
        <f>IF(VLOOKUP(T_Convention[[#This Row],[NumL]],T_TraitDi[#Data],COLUMN(T_TraitDi[Colonne24]),FALSE)=0,"",TEXT(IFERROR(VLOOKUP(T_Convention[[#This Row],[NumL]],T_TraitDi[#Data],COLUMN(T_TraitDi[Colonne24]),FALSE),""),"[hh]:mm"))</f>
        <v>#N/A</v>
      </c>
      <c r="AZ141" s="284" t="e">
        <f>IF(VLOOKUP(T_Convention[[#This Row],[NumL]],T_TraitDi[#Data],COLUMN(T_TraitDi[Colonne25]),FALSE)=0,"",TEXT(IFERROR(VLOOKUP(T_Convention[[#This Row],[NumL]],T_TraitDi[#Data],COLUMN(T_TraitDi[Colonne25]),FALSE),""),"[hh]:mm"))</f>
        <v>#N/A</v>
      </c>
      <c r="BA141" s="284" t="e">
        <f>IF(VLOOKUP(T_Convention[[#This Row],[NumL]],T_TraitDi[#Data],COLUMN(T_TraitDi[Colonne26]),FALSE)=0,"",TEXT(IFERROR(VLOOKUP(T_Convention[[#This Row],[NumL]],T_TraitDi[#Data],COLUMN(T_TraitDi[Colonne26]),FALSE),""),"[hh]:mm"))</f>
        <v>#N/A</v>
      </c>
      <c r="BB141" s="284" t="str">
        <f>IFERROR(VLOOKUP(T_Convention[[#This Row],[NumL]],T_TraitDi[#Data],COLUMN(T_TraitDi[Vendredi]),FALSE),"")</f>
        <v/>
      </c>
      <c r="BC141" s="284" t="e">
        <f>IF(VLOOKUP(T_Convention[[#This Row],[NumL]],T_TraitDi[#Data],COLUMN(T_TraitDi[Colonne27]),FALSE)=0,"",TEXT(IFERROR(VLOOKUP(T_Convention[[#This Row],[NumL]],T_TraitDi[#Data],COLUMN(T_TraitDi[Colonne27]),FALSE),""),"[hh]:mm"))</f>
        <v>#N/A</v>
      </c>
      <c r="BD141" s="284" t="e">
        <f>IF(VLOOKUP(T_Convention[[#This Row],[NumL]],T_TraitDi[#Data],COLUMN(T_TraitDi[Colonne28]),FALSE)=0,"",TEXT(IFERROR(VLOOKUP(T_Convention[[#This Row],[NumL]],T_TraitDi[#Data],COLUMN(T_TraitDi[Colonne28]),FALSE),""),"[hh]:mm"))</f>
        <v>#N/A</v>
      </c>
      <c r="BE141" s="284" t="str">
        <f>IFERROR(VLOOKUP(T_Convention[[#This Row],[NumL]],T_TraitDi[#Data],COLUMN(T_TraitDi[Colonne29]),FALSE),"")</f>
        <v/>
      </c>
      <c r="BF141" s="284" t="e">
        <f>IF(VLOOKUP(T_Convention[[#This Row],[NumL]],T_TraitDi[#Data],COLUMN(T_TraitDi[Colonne30]),FALSE)=0,"",TEXT(IFERROR(VLOOKUP(T_Convention[[#This Row],[NumL]],T_TraitDi[#Data],COLUMN(T_TraitDi[Colonne30]),FALSE),""),"[hh]:mm"))</f>
        <v>#N/A</v>
      </c>
      <c r="BG141" s="284" t="e">
        <f>IF(VLOOKUP(T_Convention[[#This Row],[NumL]],T_TraitDi[#Data],COLUMN(T_TraitDi[Colonne31]),FALSE)=0,"",TEXT(IFERROR(VLOOKUP(T_Convention[[#This Row],[NumL]],T_TraitDi[#Data],COLUMN(T_TraitDi[Colonne31]),FALSE),""),"[hh]:mm"))</f>
        <v>#N/A</v>
      </c>
      <c r="BH141" s="284" t="e">
        <f>IF(VLOOKUP(T_Convention[[#This Row],[NumL]],T_TraitDi[#Data],COLUMN(T_TraitDi[Colonne32]),FALSE)=0,"",TEXT(IFERROR(VLOOKUP(T_Convention[[#This Row],[NumL]],T_TraitDi[#Data],COLUMN(T_TraitDi[Colonne32]),FALSE),""),"[hh]:mm"))</f>
        <v>#N/A</v>
      </c>
      <c r="BI141" s="284" t="str">
        <f>IFERROR(VLOOKUP(T_Convention[[#This Row],[NumL]],T_TraitDi[#Data],COLUMN(T_TraitDi[NbJTW]),FALSE),"")</f>
        <v/>
      </c>
      <c r="BJ141" s="284" t="e">
        <f>IF(VLOOKUP(T_Convention[[#This Row],[NumL]],T_TraitDi[#Data],COLUMN(T_TraitDi[NbhTW]),FALSE)=0,"",TEXT(IFERROR(VLOOKUP(T_Convention[[#This Row],[NumL]],T_TraitDi[#Data],COLUMN(T_TraitDi[NbhTW]),FALSE),""),"[hh]:mm"))</f>
        <v>#N/A</v>
      </c>
      <c r="BK141" s="286" t="e">
        <f>IF(VLOOKUP(T_Convention[[#This Row],[NumL]],T_TraitDi[#Data],COLUMN(T_TraitDi[Nbhheb]),FALSE)=0,"",TEXT(IFERROR(VLOOKUP(T_Convention[[#This Row],[NumL]],T_TraitDi[#Data],COLUMN(T_TraitDi[Nbhheb]),FALSE),""),"[hh]:mm"))</f>
        <v>#N/A</v>
      </c>
      <c r="BL141" s="287" t="str">
        <f>IFERROR(VLOOKUP(VLOOKUP(T_Convention[[#This Row],[NumL]],T_TraitDi[#Data],COLUMN(T_TraitDi[Type1]),FALSE),TypeTW,2,FALSE),"")</f>
        <v/>
      </c>
      <c r="BM141" s="288" t="str">
        <f>IFERROR(VLOOKUP(T_Convention[[#This Row],[NumL]],T_TraitDi[#Data],COLUMN(T_TraitDi[Rue1]),FALSE),"")</f>
        <v/>
      </c>
      <c r="BN141" s="289" t="str">
        <f>IFERROR(VLOOKUP(T_Convention[[#This Row],[NumL]],T_TraitDi[#Data],COLUMN(T_TraitDi[CP1]),FALSE),"")</f>
        <v/>
      </c>
      <c r="BO141" s="282" t="str">
        <f>IFERROR(VLOOKUP(T_Convention[[#This Row],[NumL]],T_TraitDi[#Data],COLUMN(T_TraitDi[VILLE1]),FALSE),"")</f>
        <v/>
      </c>
      <c r="BP141" s="290" t="str">
        <f>IFERROR(VLOOKUP(VLOOKUP(T_Convention[[#This Row],[NumL]],T_TraitDi[#Data],COLUMN(T_TraitDi[Type2]),FALSE),TypeTW,2,FALSE),"")</f>
        <v/>
      </c>
      <c r="BQ141" s="182" t="str">
        <f>IFERROR(VLOOKUP(T_Convention[[#This Row],[NumL]],T_TraitDi[#Data],COLUMN(T_TraitDi[Rue2]),FALSE),"")</f>
        <v/>
      </c>
      <c r="BR141" s="173" t="str">
        <f>IFERROR(VLOOKUP(T_Convention[[#This Row],[NumL]],T_TraitDi[#Data],COLUMN(T_TraitDi[CP2]),FALSE),"")</f>
        <v/>
      </c>
      <c r="BS141" s="173" t="str">
        <f>IFERROR(VLOOKUP(T_Convention[[#This Row],[NumL]],T_TraitDi[#Data],COLUMN(T_TraitDi[VILLE2]),FALSE),"")</f>
        <v/>
      </c>
      <c r="BT141" s="182" t="str">
        <f>IF(VLOOKUP(T_Convention[[#This Row],[NumL]],T_Equipement[#Data],COLUMN(T_Equipement[PC]),FALSE)="","Aucun équipement spécifique directement lié au télétravail",VLOOKUP(T_Convention[[#This Row],[NumL]],T_Equipement[#Data],COLUMN(T_Equipement[PC]),FALSE))</f>
        <v xml:space="preserve">20-243	</v>
      </c>
      <c r="BU141" s="166" t="str">
        <f>IFERROR(IF(VLOOKUP(T_Convention[[#This Row],[NumL]],T_TraitDi[#Data],COLUMN(T_TraitDi[Plan]),FALSE)="OK","Un planning spécifique de télétravail est annexé à la présente convention.",""),"")</f>
        <v/>
      </c>
      <c r="BV141" s="185" t="s">
        <v>3389</v>
      </c>
      <c r="BW141" s="164" t="e">
        <f>IF(VLOOKUP(T_Convention[[#This Row],[NumL]],T_suiviDi[#Data],COLUMN(T_suiviDi[Entité]),FALSE)="","",VLOOKUP(T_Convention[[#This Row],[NumL]],T_suiviDi[#Data],COLUMN(T_suiviDi[Entité]),FALSE))</f>
        <v>#N/A</v>
      </c>
      <c r="BX141" s="164" t="str">
        <f>IF(VLOOKUP(T_Convention[[#This Row],[NumL]],T_Commission[#Data],COLUMN(T_Commission[envoi confirm TW]),FALSE)="","",VLOOKUP(T_Convention[[#This Row],[NumL]],T_Commission[#Data],COLUMN(T_Commission[envoi confirm TW]),FALSE))</f>
        <v>Oui</v>
      </c>
      <c r="BY14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1" s="264">
        <f>VLOOKUP(T_Convention[[#This Row],[NumL]],T_Commission[#Data],COLUMN(T_Commission[Commentaire]),FALSE)</f>
        <v>0</v>
      </c>
      <c r="CA141" s="254" t="str">
        <f>IF(VLOOKUP(T_Convention[[#This Row],[NumL]],T_Commission[#Data],COLUMN(T_Commission[Encadrant Email]),FALSE)="","",VLOOKUP(T_Convention[[#This Row],[NumL]],T_Commission[#Data],COLUMN(T_Commission[Encadrant Email]),FALSE))</f>
        <v/>
      </c>
      <c r="CB141" s="352" t="e">
        <f>VLOOKUP(T_Convention[[#This Row],[NumL]],T_TraitDi[#Data],COLUMN(T_TraitDi[NbJTot]),FALSE)</f>
        <v>#N/A</v>
      </c>
      <c r="CC141" s="352" t="e">
        <f>VLOOKUP(T_Convention[[#This Row],[NumL]],T_TraitDi[#Data],COLUMN(T_TraitDi[Reg Ponct]),FALSE)</f>
        <v>#N/A</v>
      </c>
      <c r="CD141" s="348" t="str">
        <f>IF(T_Convention[[#This Row],[Final]]&lt;&gt;"",VLOOKUP(T_Convention[[#This Row],[NumL]],T_suiviDi[#Data],COLUMN((T_suiviDi[Statut])),FALSE),"")</f>
        <v/>
      </c>
    </row>
    <row r="142" spans="1:82" s="106" customFormat="1" ht="18.75" customHeight="1" x14ac:dyDescent="0.25">
      <c r="A142" s="160">
        <v>42</v>
      </c>
      <c r="B142" s="161" t="str">
        <f>VLOOKUP(T_Convention[[#This Row],[NumL]],T_Commission[#Data],COLUMN(T_Commission[FINAL]),FALSE)</f>
        <v/>
      </c>
      <c r="C142" s="162"/>
      <c r="D142" s="95" t="e">
        <f>IF(VLOOKUP(T_Convention[[#This Row],[NumL]],T_TraitDi[#Data],COLUMN(T_TraitDi[WebC]),FALSE)="","",VLOOKUP(T_Convention[[#This Row],[NumL]],T_TraitDi[#Data],COLUMN(T_TraitDi[WebC]),FALSE))</f>
        <v>#N/A</v>
      </c>
      <c r="E142" s="163" t="str">
        <f t="shared" si="10"/>
        <v>12 janvier 2021</v>
      </c>
      <c r="F142" s="282" t="str">
        <f>IF(T_Convention[[#This Row],[Final]]&lt;&gt;"",VLOOKUP(T_Convention[[#This Row],[NumL]],T_suiviDi[#Data],COLUMN((T_suiviDi[Civ.])),FALSE),"")</f>
        <v/>
      </c>
      <c r="G142" s="283" t="str">
        <f>IF(T_Convention[[#This Row],[Final]]&lt;&gt;"",VLOOKUP(T_Convention[[#This Row],[NumL]],T_suiviDi[#Data],COLUMN((T_suiviDi[Nom])),FALSE),"")</f>
        <v/>
      </c>
      <c r="H142" s="282" t="str">
        <f>IF(T_Convention[[#This Row],[Final]]&lt;&gt;"",VLOOKUP(T_Convention[[#This Row],[NumL]],T_suiviDi[#Data],COLUMN((T_suiviDi[Prénom])),FALSE),"")</f>
        <v/>
      </c>
      <c r="I142" s="282" t="e">
        <f>VLOOKUP(T_Convention[[#This Row],[NumL]],T_suiviDi[#Data],COLUMN((T_suiviDi[[#This Row],[Email]])),FALSE)</f>
        <v>#VALUE!</v>
      </c>
      <c r="J142" s="282" t="e">
        <f>IF(VLOOKUP(T_Convention[[#This Row],[NumL]],T_suiviDi[#Data],COLUMN(T_suiviDi[[#This Row],[Fonction]]),FALSE)="","",VLOOKUP(T_Convention[[#This Row],[NumL]],T_suiviDi[#Data],COLUMN(T_suiviDi[[#This Row],[Fonction]]),FALSE))</f>
        <v>#VALUE!</v>
      </c>
      <c r="K142" s="282" t="e">
        <f>IF(VLOOKUP(T_Convention[[#This Row],[NumL]],T_suiviDi[#Data],COLUMN(T_suiviDi[[#This Row],[Grade]]),FALSE)="","",VLOOKUP(T_Convention[[#This Row],[NumL]],T_suiviDi[#Data],COLUMN(T_suiviDi[[#This Row],[Grade]]),FALSE))</f>
        <v>#VALUE!</v>
      </c>
      <c r="L142" s="282" t="e">
        <f>IF(VLOOKUP(T_Convention[[#This Row],[NumL]],T_suiviDi[#Data],COLUMN(T_suiviDi[[#This Row],[Service ]]),FALSE)="","",VLOOKUP(T_Convention[[#This Row],[NumL]],T_suiviDi[#Data],COLUMN(T_suiviDi[[#This Row],[Service ]]),FALSE))</f>
        <v>#VALUE!</v>
      </c>
      <c r="M142" s="164" t="str">
        <f t="shared" si="11"/>
        <v>01 septembre 2021</v>
      </c>
      <c r="N142" s="164" t="str">
        <f t="shared" si="12"/>
        <v>30 novembre 2021</v>
      </c>
      <c r="O142" s="284" t="str">
        <f t="shared" si="13"/>
        <v>30 novembre 2021</v>
      </c>
      <c r="P142" s="282" t="e">
        <f>IF(VLOOKUP(T_Convention[[#This Row],[NumL]],T_TraitDi[#Data],COLUMN(T_TraitDi[M1]),FALSE)="","",VLOOKUP(T_Convention[[#This Row],[NumL]],T_TraitDi[#Data],COLUMN(T_TraitDi[M1]),FALSE))</f>
        <v>#N/A</v>
      </c>
      <c r="Q142" s="282" t="e">
        <f>IF(VLOOKUP(T_Convention[[#This Row],[NumL]],T_TraitDi[#Data],COLUMN(T_TraitDi[M2]),FALSE)="","",VLOOKUP(T_Convention[[#This Row],[NumL]],T_TraitDi[#Data],COLUMN(T_TraitDi[M2]),FALSE))</f>
        <v>#N/A</v>
      </c>
      <c r="R142" s="282" t="e">
        <f>IF(VLOOKUP(T_Convention[[#This Row],[NumL]],T_TraitDi[#Data],COLUMN(T_TraitDi[M3]),FALSE)="","",VLOOKUP(T_Convention[[#This Row],[NumL]],T_TraitDi[#Data],COLUMN(T_TraitDi[M3]),FALSE))</f>
        <v>#N/A</v>
      </c>
      <c r="S142" s="282" t="e">
        <f>IF(VLOOKUP(T_Convention[[#This Row],[NumL]],T_TraitDi[#Data],COLUMN(T_TraitDi[M4]),FALSE)="","",VLOOKUP(T_Convention[[#This Row],[NumL]],T_TraitDi[#Data],COLUMN(T_TraitDi[M4]),FALSE))</f>
        <v>#N/A</v>
      </c>
      <c r="T142" s="282" t="e">
        <f>IF(VLOOKUP(T_Convention[[#This Row],[NumL]],T_TraitDi[#Data],COLUMN(T_TraitDi[M5]),FALSE)="","",VLOOKUP(T_Convention[[#This Row],[NumL]],T_TraitDi[#Data],COLUMN(T_TraitDi[M5]),FALSE))</f>
        <v>#N/A</v>
      </c>
      <c r="U142" s="282" t="e">
        <f>IF(VLOOKUP(T_Convention[[#This Row],[NumL]],T_TraitDi[#Data],COLUMN(T_TraitDi[M6]),FALSE)="","",VLOOKUP(T_Convention[[#This Row],[NumL]],T_TraitDi[#Data],COLUMN(T_TraitDi[M6]),FALSE))</f>
        <v>#N/A</v>
      </c>
      <c r="V142" s="176" t="e">
        <f t="shared" si="14"/>
        <v>#N/A</v>
      </c>
      <c r="W142" s="284" t="str">
        <f>IFERROR(TEXT(VLOOKUP(T_Convention[[#This Row],[NumL]],T_TraitDi[#Data],COLUMN(T_TraitDi[Q2]),FALSE),"###%"),"")</f>
        <v/>
      </c>
      <c r="X142" s="97" t="e">
        <f>VLOOKUP(T_Convention[[#This Row],[NumL]],T_TraitDi[#Data],COLUMN(T_TraitDi[Reg Ponct]),FALSE)</f>
        <v>#N/A</v>
      </c>
      <c r="Y142" s="97" t="e">
        <f>VLOOKUP(T_Convention[NumL],T_TraitDi[#Data],COLUMN(T_TraitDi[Jours flottants]),FALSE)</f>
        <v>#N/A</v>
      </c>
      <c r="Z142" s="284" t="str">
        <f>IFERROR(VLOOKUP(T_Convention[[#This Row],[NumL]],T_TraitDi[#Data],COLUMN(T_TraitDi[Lundi]),FALSE),"")</f>
        <v/>
      </c>
      <c r="AA142" s="284" t="e">
        <f>IF(VLOOKUP(T_Convention[[#This Row],[NumL]],T_TraitDi[#Data],COLUMN(T_TraitDi[Colonne3]),FALSE)=0,"",TEXT(IFERROR(VLOOKUP(T_Convention[[#This Row],[NumL]],T_TraitDi[#Data],COLUMN(T_TraitDi[Colonne3]),FALSE),""),"[hh]:mm"))</f>
        <v>#N/A</v>
      </c>
      <c r="AB142" s="284" t="e">
        <f>IF(VLOOKUP(T_Convention[[#This Row],[NumL]],T_TraitDi[#Data],COLUMN(T_TraitDi[Colonne4]),FALSE)=0,"",TEXT(IFERROR(VLOOKUP(T_Convention[[#This Row],[NumL]],T_TraitDi[#Data],COLUMN(T_TraitDi[Colonne4]),FALSE),""),"[hh]:mm"))</f>
        <v>#N/A</v>
      </c>
      <c r="AC142" s="284" t="e">
        <f>IF(VLOOKUP(T_Convention[[#This Row],[NumL]],T_TraitDi[#Data],COLUMN(T_TraitDi[Colonne5]),FALSE)=0,"",TEXT(IFERROR(VLOOKUP(T_Convention[[#This Row],[NumL]],T_TraitDi[#Data],COLUMN(T_TraitDi[Colonne5]),FALSE),""),"[hh]:mm"))</f>
        <v>#N/A</v>
      </c>
      <c r="AD142" s="284" t="e">
        <f>IF(VLOOKUP(T_Convention[[#This Row],[NumL]],T_TraitDi[#Data],COLUMN(T_TraitDi[Colonne6]),FALSE)=0,"",TEXT(IFERROR(VLOOKUP(T_Convention[[#This Row],[NumL]],T_TraitDi[#Data],COLUMN(T_TraitDi[Colonne6]),FALSE),""),"[hh]:mm"))</f>
        <v>#N/A</v>
      </c>
      <c r="AE142" s="284" t="e">
        <f>IF(VLOOKUP(T_Convention[[#This Row],[NumL]],T_TraitDi[#Data],COLUMN(T_TraitDi[Colonne7]),FALSE)=0,"",TEXT(IFERROR(VLOOKUP(T_Convention[[#This Row],[NumL]],T_TraitDi[#Data],COLUMN(T_TraitDi[Colonne7]),FALSE),""),"[hh]:mm"))</f>
        <v>#N/A</v>
      </c>
      <c r="AF142" s="284" t="e">
        <f>IF(VLOOKUP(T_Convention[[#This Row],[NumL]],T_TraitDi[#Data],COLUMN(T_TraitDi[Colonne8]),FALSE)=0,"",TEXT(IFERROR(VLOOKUP(T_Convention[[#This Row],[NumL]],T_TraitDi[#Data],COLUMN(T_TraitDi[Colonne8]),FALSE),""),"[hh]:mm"))</f>
        <v>#N/A</v>
      </c>
      <c r="AG142" s="284" t="str">
        <f>IFERROR(VLOOKUP(T_Convention[[#This Row],[NumL]],T_TraitDi[#Data],COLUMN(T_TraitDi[Mardi]),FALSE),"")</f>
        <v/>
      </c>
      <c r="AH142" s="284" t="e">
        <f>IF(VLOOKUP(T_Convention[[#This Row],[NumL]],T_TraitDi[#Data],COLUMN(T_TraitDi[Colonne1]),FALSE)=0,"",TEXT(IFERROR(VLOOKUP(T_Convention[[#This Row],[NumL]],T_TraitDi[#Data],COLUMN(T_TraitDi[Colonne1]),FALSE),""),"[hh]:mm"))</f>
        <v>#N/A</v>
      </c>
      <c r="AI142" s="284" t="e">
        <f>IF(VLOOKUP(T_Convention[[#This Row],[NumL]],T_TraitDi[#Data],COLUMN(T_TraitDi[Colonne9]),FALSE)=0,"",TEXT(IFERROR(VLOOKUP(T_Convention[[#This Row],[NumL]],T_TraitDi[#Data],COLUMN(T_TraitDi[Colonne9]),FALSE),""),"[hh]:mm"))</f>
        <v>#N/A</v>
      </c>
      <c r="AJ142" s="284" t="str">
        <f>IFERROR(VLOOKUP(T_Convention[[#This Row],[NumL]],T_TraitDi[#Data],COLUMN(T_TraitDi[Colonne10]),FALSE),"")</f>
        <v/>
      </c>
      <c r="AK142" s="284" t="e">
        <f>IF(VLOOKUP(T_Convention[[#This Row],[NumL]],T_TraitDi[#Data],COLUMN(T_TraitDi[Colonne11]),FALSE)=0,"",TEXT(IFERROR(VLOOKUP(T_Convention[[#This Row],[NumL]],T_TraitDi[#Data],COLUMN(T_TraitDi[Colonne11]),FALSE),""),"[hh]:mm"))</f>
        <v>#N/A</v>
      </c>
      <c r="AL142" s="284" t="e">
        <f>IF(VLOOKUP(T_Convention[[#This Row],[NumL]],T_TraitDi[#Data],COLUMN(T_TraitDi[Colonne12]),FALSE)=0,"",TEXT(IFERROR(VLOOKUP(T_Convention[[#This Row],[NumL]],T_TraitDi[#Data],COLUMN(T_TraitDi[Colonne12]),FALSE),""),"[hh]:mm"))</f>
        <v>#N/A</v>
      </c>
      <c r="AM142" s="284" t="e">
        <f>IF(VLOOKUP(T_Convention[[#This Row],[NumL]],T_TraitDi[#Data],COLUMN(T_TraitDi[Colonne14]),FALSE)=0,"",TEXT(IFERROR(VLOOKUP(T_Convention[[#This Row],[NumL]],T_TraitDi[#Data],COLUMN(T_TraitDi[Colonne14]),FALSE),""),"[hh]:mm"))</f>
        <v>#N/A</v>
      </c>
      <c r="AN142" s="284" t="str">
        <f>IFERROR(VLOOKUP(T_Convention[[#This Row],[NumL]],T_TraitDi[#Data],COLUMN(T_TraitDi[Mercredi]),FALSE),"")</f>
        <v/>
      </c>
      <c r="AO142" s="284" t="e">
        <f>IF(VLOOKUP(T_Convention[[#This Row],[NumL]],T_TraitDi[#Data],COLUMN(T_TraitDi[Colonne15]),FALSE)=0,"",TEXT(IFERROR(VLOOKUP(T_Convention[[#This Row],[NumL]],T_TraitDi[#Data],COLUMN(T_TraitDi[Colonne15]),FALSE),""),"[hh]:mm"))</f>
        <v>#N/A</v>
      </c>
      <c r="AP142" s="284" t="e">
        <f>IF(VLOOKUP(T_Convention[[#This Row],[NumL]],T_TraitDi[#Data],COLUMN(T_TraitDi[Colonne16]),FALSE)=0,"",TEXT(IFERROR(VLOOKUP(T_Convention[[#This Row],[NumL]],T_TraitDi[#Data],COLUMN(T_TraitDi[Colonne16]),FALSE),""),"[hh]:mm"))</f>
        <v>#N/A</v>
      </c>
      <c r="AQ142" s="284" t="str">
        <f>IFERROR(VLOOKUP(T_Convention[[#This Row],[NumL]],T_TraitDi[#Data],COLUMN(T_TraitDi[Colonne17]),FALSE),"")</f>
        <v/>
      </c>
      <c r="AR142" s="284" t="e">
        <f>IF(VLOOKUP(T_Convention[[#This Row],[NumL]],T_TraitDi[#Data],COLUMN(T_TraitDi[Colonne18]),FALSE)=0,"",TEXT(IFERROR(VLOOKUP(T_Convention[[#This Row],[NumL]],T_TraitDi[#Data],COLUMN(T_TraitDi[Colonne18]),FALSE),""),"[hh]:mm"))</f>
        <v>#N/A</v>
      </c>
      <c r="AS142" s="284" t="e">
        <f>IF(VLOOKUP(T_Convention[[#This Row],[NumL]],T_TraitDi[#Data],COLUMN(T_TraitDi[Colonne19]),FALSE)=0,"",TEXT(IFERROR(VLOOKUP(T_Convention[[#This Row],[NumL]],T_TraitDi[#Data],COLUMN(T_TraitDi[Colonne19]),FALSE),""),"[hh]:mm"))</f>
        <v>#N/A</v>
      </c>
      <c r="AT142" s="284" t="e">
        <f>IF(VLOOKUP(T_Convention[[#This Row],[NumL]],T_TraitDi[#Data],COLUMN(T_TraitDi[Colonne20]),FALSE)=0,"",TEXT(IFERROR(VLOOKUP(T_Convention[[#This Row],[NumL]],T_TraitDi[#Data],COLUMN(T_TraitDi[Colonne20]),FALSE),""),"[hh]:mm"))</f>
        <v>#N/A</v>
      </c>
      <c r="AU142" s="284" t="str">
        <f>IFERROR(VLOOKUP(T_Convention[[#This Row],[NumL]],T_TraitDi[#Data],COLUMN(T_TraitDi[Jeudi]),FALSE),"")</f>
        <v/>
      </c>
      <c r="AV142" s="284" t="e">
        <f>IF(VLOOKUP(T_Convention[[#This Row],[NumL]],T_TraitDi[#Data],COLUMN(T_TraitDi[Colonne21]),FALSE)=0,"",TEXT(IFERROR(VLOOKUP(T_Convention[[#This Row],[NumL]],T_TraitDi[#Data],COLUMN(T_TraitDi[Colonne21]),FALSE),""),"[hh]:mm"))</f>
        <v>#N/A</v>
      </c>
      <c r="AW142" s="284" t="e">
        <f>IF(VLOOKUP(T_Convention[[#This Row],[NumL]],T_TraitDi[#Data],COLUMN(T_TraitDi[Colonne22]),FALSE)=0,"",TEXT(IFERROR(VLOOKUP(T_Convention[[#This Row],[NumL]],T_TraitDi[#Data],COLUMN(T_TraitDi[Colonne22]),FALSE),""),"[hh]:mm"))</f>
        <v>#N/A</v>
      </c>
      <c r="AX142" s="284" t="str">
        <f>IFERROR(VLOOKUP(T_Convention[[#This Row],[NumL]],T_TraitDi[#Data],COLUMN(T_TraitDi[Colonne23]),FALSE),"")</f>
        <v/>
      </c>
      <c r="AY142" s="284" t="e">
        <f>IF(VLOOKUP(T_Convention[[#This Row],[NumL]],T_TraitDi[#Data],COLUMN(T_TraitDi[Colonne24]),FALSE)=0,"",TEXT(IFERROR(VLOOKUP(T_Convention[[#This Row],[NumL]],T_TraitDi[#Data],COLUMN(T_TraitDi[Colonne24]),FALSE),""),"[hh]:mm"))</f>
        <v>#N/A</v>
      </c>
      <c r="AZ142" s="284" t="e">
        <f>IF(VLOOKUP(T_Convention[[#This Row],[NumL]],T_TraitDi[#Data],COLUMN(T_TraitDi[Colonne25]),FALSE)=0,"",TEXT(IFERROR(VLOOKUP(T_Convention[[#This Row],[NumL]],T_TraitDi[#Data],COLUMN(T_TraitDi[Colonne25]),FALSE),""),"[hh]:mm"))</f>
        <v>#N/A</v>
      </c>
      <c r="BA142" s="284" t="e">
        <f>IF(VLOOKUP(T_Convention[[#This Row],[NumL]],T_TraitDi[#Data],COLUMN(T_TraitDi[Colonne26]),FALSE)=0,"",TEXT(IFERROR(VLOOKUP(T_Convention[[#This Row],[NumL]],T_TraitDi[#Data],COLUMN(T_TraitDi[Colonne26]),FALSE),""),"[hh]:mm"))</f>
        <v>#N/A</v>
      </c>
      <c r="BB142" s="284" t="str">
        <f>IFERROR(VLOOKUP(T_Convention[[#This Row],[NumL]],T_TraitDi[#Data],COLUMN(T_TraitDi[Vendredi]),FALSE),"")</f>
        <v/>
      </c>
      <c r="BC142" s="284" t="e">
        <f>IF(VLOOKUP(T_Convention[[#This Row],[NumL]],T_TraitDi[#Data],COLUMN(T_TraitDi[Colonne27]),FALSE)=0,"",TEXT(IFERROR(VLOOKUP(T_Convention[[#This Row],[NumL]],T_TraitDi[#Data],COLUMN(T_TraitDi[Colonne27]),FALSE),""),"[hh]:mm"))</f>
        <v>#N/A</v>
      </c>
      <c r="BD142" s="284" t="e">
        <f>IF(VLOOKUP(T_Convention[[#This Row],[NumL]],T_TraitDi[#Data],COLUMN(T_TraitDi[Colonne28]),FALSE)=0,"",TEXT(IFERROR(VLOOKUP(T_Convention[[#This Row],[NumL]],T_TraitDi[#Data],COLUMN(T_TraitDi[Colonne28]),FALSE),""),"[hh]:mm"))</f>
        <v>#N/A</v>
      </c>
      <c r="BE142" s="284" t="str">
        <f>IFERROR(VLOOKUP(T_Convention[[#This Row],[NumL]],T_TraitDi[#Data],COLUMN(T_TraitDi[Colonne29]),FALSE),"")</f>
        <v/>
      </c>
      <c r="BF142" s="284" t="e">
        <f>IF(VLOOKUP(T_Convention[[#This Row],[NumL]],T_TraitDi[#Data],COLUMN(T_TraitDi[Colonne30]),FALSE)=0,"",TEXT(IFERROR(VLOOKUP(T_Convention[[#This Row],[NumL]],T_TraitDi[#Data],COLUMN(T_TraitDi[Colonne30]),FALSE),""),"[hh]:mm"))</f>
        <v>#N/A</v>
      </c>
      <c r="BG142" s="284" t="e">
        <f>IF(VLOOKUP(T_Convention[[#This Row],[NumL]],T_TraitDi[#Data],COLUMN(T_TraitDi[Colonne31]),FALSE)=0,"",TEXT(IFERROR(VLOOKUP(T_Convention[[#This Row],[NumL]],T_TraitDi[#Data],COLUMN(T_TraitDi[Colonne31]),FALSE),""),"[hh]:mm"))</f>
        <v>#N/A</v>
      </c>
      <c r="BH142" s="284" t="e">
        <f>IF(VLOOKUP(T_Convention[[#This Row],[NumL]],T_TraitDi[#Data],COLUMN(T_TraitDi[Colonne32]),FALSE)=0,"",TEXT(IFERROR(VLOOKUP(T_Convention[[#This Row],[NumL]],T_TraitDi[#Data],COLUMN(T_TraitDi[Colonne32]),FALSE),""),"[hh]:mm"))</f>
        <v>#N/A</v>
      </c>
      <c r="BI142" s="284" t="str">
        <f>IFERROR(VLOOKUP(T_Convention[[#This Row],[NumL]],T_TraitDi[#Data],COLUMN(T_TraitDi[NbJTW]),FALSE),"")</f>
        <v/>
      </c>
      <c r="BJ142" s="284" t="e">
        <f>IF(VLOOKUP(T_Convention[[#This Row],[NumL]],T_TraitDi[#Data],COLUMN(T_TraitDi[NbhTW]),FALSE)=0,"",TEXT(IFERROR(VLOOKUP(T_Convention[[#This Row],[NumL]],T_TraitDi[#Data],COLUMN(T_TraitDi[NbhTW]),FALSE),""),"[hh]:mm"))</f>
        <v>#N/A</v>
      </c>
      <c r="BK142" s="286" t="e">
        <f>IF(VLOOKUP(T_Convention[[#This Row],[NumL]],T_TraitDi[#Data],COLUMN(T_TraitDi[Nbhheb]),FALSE)=0,"",TEXT(IFERROR(VLOOKUP(T_Convention[[#This Row],[NumL]],T_TraitDi[#Data],COLUMN(T_TraitDi[Nbhheb]),FALSE),""),"[hh]:mm"))</f>
        <v>#N/A</v>
      </c>
      <c r="BL142" s="287" t="str">
        <f>IFERROR(VLOOKUP(VLOOKUP(T_Convention[[#This Row],[NumL]],T_TraitDi[#Data],COLUMN(T_TraitDi[Type1]),FALSE),TypeTW,2,FALSE),"")</f>
        <v/>
      </c>
      <c r="BM142" s="288" t="str">
        <f>IFERROR(VLOOKUP(T_Convention[[#This Row],[NumL]],T_TraitDi[#Data],COLUMN(T_TraitDi[Rue1]),FALSE),"")</f>
        <v/>
      </c>
      <c r="BN142" s="289" t="str">
        <f>IFERROR(VLOOKUP(T_Convention[[#This Row],[NumL]],T_TraitDi[#Data],COLUMN(T_TraitDi[CP1]),FALSE),"")</f>
        <v/>
      </c>
      <c r="BO142" s="282" t="str">
        <f>IFERROR(VLOOKUP(T_Convention[[#This Row],[NumL]],T_TraitDi[#Data],COLUMN(T_TraitDi[VILLE1]),FALSE),"")</f>
        <v/>
      </c>
      <c r="BP142" s="290" t="str">
        <f>IFERROR(VLOOKUP(VLOOKUP(T_Convention[[#This Row],[NumL]],T_TraitDi[#Data],COLUMN(T_TraitDi[Type2]),FALSE),TypeTW,2,FALSE),"")</f>
        <v/>
      </c>
      <c r="BQ142" s="182" t="str">
        <f>IFERROR(VLOOKUP(T_Convention[[#This Row],[NumL]],T_TraitDi[#Data],COLUMN(T_TraitDi[Rue2]),FALSE),"")</f>
        <v/>
      </c>
      <c r="BR142" s="173" t="str">
        <f>IFERROR(VLOOKUP(T_Convention[[#This Row],[NumL]],T_TraitDi[#Data],COLUMN(T_TraitDi[CP2]),FALSE),"")</f>
        <v/>
      </c>
      <c r="BS142" s="173" t="str">
        <f>IFERROR(VLOOKUP(T_Convention[[#This Row],[NumL]],T_TraitDi[#Data],COLUMN(T_TraitDi[VILLE2]),FALSE),"")</f>
        <v/>
      </c>
      <c r="BT142" s="182" t="str">
        <f>IF(VLOOKUP(T_Convention[[#This Row],[NumL]],T_Equipement[#Data],COLUMN(T_Equipement[PC]),FALSE)="","Aucun équipement spécifique directement lié au télétravail",VLOOKUP(T_Convention[[#This Row],[NumL]],T_Equipement[#Data],COLUMN(T_Equipement[PC]),FALSE))</f>
        <v xml:space="preserve">15-571	</v>
      </c>
      <c r="BU142" s="166" t="str">
        <f>IFERROR(IF(VLOOKUP(T_Convention[[#This Row],[NumL]],T_TraitDi[#Data],COLUMN(T_TraitDi[Plan]),FALSE)="OK","Un planning spécifique de télétravail est annexé à la présente convention.",""),"")</f>
        <v/>
      </c>
      <c r="BV142" s="185"/>
      <c r="BW142" s="164" t="e">
        <f>IF(VLOOKUP(T_Convention[[#This Row],[NumL]],T_suiviDi[#Data],COLUMN(T_suiviDi[Entité]),FALSE)="","",VLOOKUP(T_Convention[[#This Row],[NumL]],T_suiviDi[#Data],COLUMN(T_suiviDi[Entité]),FALSE))</f>
        <v>#N/A</v>
      </c>
      <c r="BX142" s="164" t="str">
        <f>IF(VLOOKUP(T_Convention[[#This Row],[NumL]],T_Commission[#Data],COLUMN(T_Commission[envoi confirm TW]),FALSE)="","",VLOOKUP(T_Convention[[#This Row],[NumL]],T_Commission[#Data],COLUMN(T_Commission[envoi confirm TW]),FALSE))</f>
        <v>Oui</v>
      </c>
      <c r="BY14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2" s="264">
        <f>VLOOKUP(T_Convention[[#This Row],[NumL]],T_Commission[#Data],COLUMN(T_Commission[Commentaire]),FALSE)</f>
        <v>0</v>
      </c>
      <c r="CA142" s="254" t="str">
        <f>IF(VLOOKUP(T_Convention[[#This Row],[NumL]],T_Commission[#Data],COLUMN(T_Commission[Encadrant Email]),FALSE)="","",VLOOKUP(T_Convention[[#This Row],[NumL]],T_Commission[#Data],COLUMN(T_Commission[Encadrant Email]),FALSE))</f>
        <v/>
      </c>
      <c r="CB142" s="352" t="e">
        <f>VLOOKUP(T_Convention[[#This Row],[NumL]],T_TraitDi[#Data],COLUMN(T_TraitDi[NbJTot]),FALSE)</f>
        <v>#N/A</v>
      </c>
      <c r="CC142" s="352" t="e">
        <f>VLOOKUP(T_Convention[[#This Row],[NumL]],T_TraitDi[#Data],COLUMN(T_TraitDi[Reg Ponct]),FALSE)</f>
        <v>#N/A</v>
      </c>
      <c r="CD142" s="348" t="str">
        <f>IF(T_Convention[[#This Row],[Final]]&lt;&gt;"",VLOOKUP(T_Convention[[#This Row],[NumL]],T_suiviDi[#Data],COLUMN((T_suiviDi[Statut])),FALSE),"")</f>
        <v/>
      </c>
    </row>
    <row r="143" spans="1:82" s="106" customFormat="1" ht="18.75" customHeight="1" x14ac:dyDescent="0.25">
      <c r="A143" s="160">
        <v>241</v>
      </c>
      <c r="B143" s="161" t="str">
        <f>VLOOKUP(T_Convention[[#This Row],[NumL]],T_Commission[#Data],COLUMN(T_Commission[FINAL]),FALSE)</f>
        <v/>
      </c>
      <c r="C143" s="162"/>
      <c r="D143" s="95" t="e">
        <f>IF(VLOOKUP(T_Convention[[#This Row],[NumL]],T_TraitDi[#Data],COLUMN(T_TraitDi[WebC]),FALSE)="","",VLOOKUP(T_Convention[[#This Row],[NumL]],T_TraitDi[#Data],COLUMN(T_TraitDi[WebC]),FALSE))</f>
        <v>#N/A</v>
      </c>
      <c r="E143" s="163" t="str">
        <f t="shared" si="10"/>
        <v>12 janvier 2021</v>
      </c>
      <c r="F143" s="282" t="str">
        <f>IF(T_Convention[[#This Row],[Final]]&lt;&gt;"",VLOOKUP(T_Convention[[#This Row],[NumL]],T_suiviDi[#Data],COLUMN((T_suiviDi[Civ.])),FALSE),"")</f>
        <v/>
      </c>
      <c r="G143" s="283" t="str">
        <f>IF(T_Convention[[#This Row],[Final]]&lt;&gt;"",VLOOKUP(T_Convention[[#This Row],[NumL]],T_suiviDi[#Data],COLUMN((T_suiviDi[Nom])),FALSE),"")</f>
        <v/>
      </c>
      <c r="H143" s="282" t="str">
        <f>IF(T_Convention[[#This Row],[Final]]&lt;&gt;"",VLOOKUP(T_Convention[[#This Row],[NumL]],T_suiviDi[#Data],COLUMN((T_suiviDi[Prénom])),FALSE),"")</f>
        <v/>
      </c>
      <c r="I143" s="282" t="e">
        <f>VLOOKUP(T_Convention[[#This Row],[NumL]],T_suiviDi[#Data],COLUMN((T_suiviDi[[#This Row],[Email]])),FALSE)</f>
        <v>#VALUE!</v>
      </c>
      <c r="J143" s="282" t="e">
        <f>IF(VLOOKUP(T_Convention[[#This Row],[NumL]],T_suiviDi[#Data],COLUMN(T_suiviDi[[#This Row],[Fonction]]),FALSE)="","",VLOOKUP(T_Convention[[#This Row],[NumL]],T_suiviDi[#Data],COLUMN(T_suiviDi[[#This Row],[Fonction]]),FALSE))</f>
        <v>#VALUE!</v>
      </c>
      <c r="K143" s="282" t="e">
        <f>IF(VLOOKUP(T_Convention[[#This Row],[NumL]],T_suiviDi[#Data],COLUMN(T_suiviDi[[#This Row],[Grade]]),FALSE)="","",VLOOKUP(T_Convention[[#This Row],[NumL]],T_suiviDi[#Data],COLUMN(T_suiviDi[[#This Row],[Grade]]),FALSE))</f>
        <v>#VALUE!</v>
      </c>
      <c r="L143" s="282" t="e">
        <f>IF(VLOOKUP(T_Convention[[#This Row],[NumL]],T_suiviDi[#Data],COLUMN(T_suiviDi[[#This Row],[Service ]]),FALSE)="","",VLOOKUP(T_Convention[[#This Row],[NumL]],T_suiviDi[#Data],COLUMN(T_suiviDi[[#This Row],[Service ]]),FALSE))</f>
        <v>#VALUE!</v>
      </c>
      <c r="M143" s="164" t="str">
        <f t="shared" si="11"/>
        <v>01 septembre 2021</v>
      </c>
      <c r="N143" s="164" t="str">
        <f t="shared" si="12"/>
        <v>30 novembre 2021</v>
      </c>
      <c r="O143" s="284" t="str">
        <f t="shared" si="13"/>
        <v>30 novembre 2021</v>
      </c>
      <c r="P143" s="282" t="e">
        <f>IF(VLOOKUP(T_Convention[[#This Row],[NumL]],T_TraitDi[#Data],COLUMN(T_TraitDi[M1]),FALSE)="","",VLOOKUP(T_Convention[[#This Row],[NumL]],T_TraitDi[#Data],COLUMN(T_TraitDi[M1]),FALSE))</f>
        <v>#N/A</v>
      </c>
      <c r="Q143" s="282" t="e">
        <f>IF(VLOOKUP(T_Convention[[#This Row],[NumL]],T_TraitDi[#Data],COLUMN(T_TraitDi[M2]),FALSE)="","",VLOOKUP(T_Convention[[#This Row],[NumL]],T_TraitDi[#Data],COLUMN(T_TraitDi[M2]),FALSE))</f>
        <v>#N/A</v>
      </c>
      <c r="R143" s="282" t="e">
        <f>IF(VLOOKUP(T_Convention[[#This Row],[NumL]],T_TraitDi[#Data],COLUMN(T_TraitDi[M3]),FALSE)="","",VLOOKUP(T_Convention[[#This Row],[NumL]],T_TraitDi[#Data],COLUMN(T_TraitDi[M3]),FALSE))</f>
        <v>#N/A</v>
      </c>
      <c r="S143" s="282" t="e">
        <f>IF(VLOOKUP(T_Convention[[#This Row],[NumL]],T_TraitDi[#Data],COLUMN(T_TraitDi[M4]),FALSE)="","",VLOOKUP(T_Convention[[#This Row],[NumL]],T_TraitDi[#Data],COLUMN(T_TraitDi[M4]),FALSE))</f>
        <v>#N/A</v>
      </c>
      <c r="T143" s="282" t="e">
        <f>IF(VLOOKUP(T_Convention[[#This Row],[NumL]],T_TraitDi[#Data],COLUMN(T_TraitDi[M5]),FALSE)="","",VLOOKUP(T_Convention[[#This Row],[NumL]],T_TraitDi[#Data],COLUMN(T_TraitDi[M5]),FALSE))</f>
        <v>#N/A</v>
      </c>
      <c r="U143" s="282" t="e">
        <f>IF(VLOOKUP(T_Convention[[#This Row],[NumL]],T_TraitDi[#Data],COLUMN(T_TraitDi[M6]),FALSE)="","",VLOOKUP(T_Convention[[#This Row],[NumL]],T_TraitDi[#Data],COLUMN(T_TraitDi[M6]),FALSE))</f>
        <v>#N/A</v>
      </c>
      <c r="V143" s="176" t="e">
        <f t="shared" si="14"/>
        <v>#N/A</v>
      </c>
      <c r="W143" s="284" t="str">
        <f>IFERROR(TEXT(VLOOKUP(T_Convention[[#This Row],[NumL]],T_TraitDi[#Data],COLUMN(T_TraitDi[Q2]),FALSE),"###%"),"")</f>
        <v/>
      </c>
      <c r="X143" s="97" t="e">
        <f>VLOOKUP(T_Convention[[#This Row],[NumL]],T_TraitDi[#Data],COLUMN(T_TraitDi[Reg Ponct]),FALSE)</f>
        <v>#N/A</v>
      </c>
      <c r="Y143" s="97" t="e">
        <f>VLOOKUP(T_Convention[NumL],T_TraitDi[#Data],COLUMN(T_TraitDi[Jours flottants]),FALSE)</f>
        <v>#N/A</v>
      </c>
      <c r="Z143" s="284" t="str">
        <f>IFERROR(VLOOKUP(T_Convention[[#This Row],[NumL]],T_TraitDi[#Data],COLUMN(T_TraitDi[Lundi]),FALSE),"")</f>
        <v/>
      </c>
      <c r="AA143" s="284" t="e">
        <f>IF(VLOOKUP(T_Convention[[#This Row],[NumL]],T_TraitDi[#Data],COLUMN(T_TraitDi[Colonne3]),FALSE)=0,"",TEXT(IFERROR(VLOOKUP(T_Convention[[#This Row],[NumL]],T_TraitDi[#Data],COLUMN(T_TraitDi[Colonne3]),FALSE),""),"[hh]:mm"))</f>
        <v>#N/A</v>
      </c>
      <c r="AB143" s="284" t="e">
        <f>IF(VLOOKUP(T_Convention[[#This Row],[NumL]],T_TraitDi[#Data],COLUMN(T_TraitDi[Colonne4]),FALSE)=0,"",TEXT(IFERROR(VLOOKUP(T_Convention[[#This Row],[NumL]],T_TraitDi[#Data],COLUMN(T_TraitDi[Colonne4]),FALSE),""),"[hh]:mm"))</f>
        <v>#N/A</v>
      </c>
      <c r="AC143" s="284" t="e">
        <f>IF(VLOOKUP(T_Convention[[#This Row],[NumL]],T_TraitDi[#Data],COLUMN(T_TraitDi[Colonne5]),FALSE)=0,"",TEXT(IFERROR(VLOOKUP(T_Convention[[#This Row],[NumL]],T_TraitDi[#Data],COLUMN(T_TraitDi[Colonne5]),FALSE),""),"[hh]:mm"))</f>
        <v>#N/A</v>
      </c>
      <c r="AD143" s="284" t="e">
        <f>IF(VLOOKUP(T_Convention[[#This Row],[NumL]],T_TraitDi[#Data],COLUMN(T_TraitDi[Colonne6]),FALSE)=0,"",TEXT(IFERROR(VLOOKUP(T_Convention[[#This Row],[NumL]],T_TraitDi[#Data],COLUMN(T_TraitDi[Colonne6]),FALSE),""),"[hh]:mm"))</f>
        <v>#N/A</v>
      </c>
      <c r="AE143" s="284" t="e">
        <f>IF(VLOOKUP(T_Convention[[#This Row],[NumL]],T_TraitDi[#Data],COLUMN(T_TraitDi[Colonne7]),FALSE)=0,"",TEXT(IFERROR(VLOOKUP(T_Convention[[#This Row],[NumL]],T_TraitDi[#Data],COLUMN(T_TraitDi[Colonne7]),FALSE),""),"[hh]:mm"))</f>
        <v>#N/A</v>
      </c>
      <c r="AF143" s="284" t="e">
        <f>IF(VLOOKUP(T_Convention[[#This Row],[NumL]],T_TraitDi[#Data],COLUMN(T_TraitDi[Colonne8]),FALSE)=0,"",TEXT(IFERROR(VLOOKUP(T_Convention[[#This Row],[NumL]],T_TraitDi[#Data],COLUMN(T_TraitDi[Colonne8]),FALSE),""),"[hh]:mm"))</f>
        <v>#N/A</v>
      </c>
      <c r="AG143" s="284" t="str">
        <f>IFERROR(VLOOKUP(T_Convention[[#This Row],[NumL]],T_TraitDi[#Data],COLUMN(T_TraitDi[Mardi]),FALSE),"")</f>
        <v/>
      </c>
      <c r="AH143" s="284" t="e">
        <f>IF(VLOOKUP(T_Convention[[#This Row],[NumL]],T_TraitDi[#Data],COLUMN(T_TraitDi[Colonne1]),FALSE)=0,"",TEXT(IFERROR(VLOOKUP(T_Convention[[#This Row],[NumL]],T_TraitDi[#Data],COLUMN(T_TraitDi[Colonne1]),FALSE),""),"[hh]:mm"))</f>
        <v>#N/A</v>
      </c>
      <c r="AI143" s="284" t="e">
        <f>IF(VLOOKUP(T_Convention[[#This Row],[NumL]],T_TraitDi[#Data],COLUMN(T_TraitDi[Colonne9]),FALSE)=0,"",TEXT(IFERROR(VLOOKUP(T_Convention[[#This Row],[NumL]],T_TraitDi[#Data],COLUMN(T_TraitDi[Colonne9]),FALSE),""),"[hh]:mm"))</f>
        <v>#N/A</v>
      </c>
      <c r="AJ143" s="284" t="str">
        <f>IFERROR(VLOOKUP(T_Convention[[#This Row],[NumL]],T_TraitDi[#Data],COLUMN(T_TraitDi[Colonne10]),FALSE),"")</f>
        <v/>
      </c>
      <c r="AK143" s="284" t="e">
        <f>IF(VLOOKUP(T_Convention[[#This Row],[NumL]],T_TraitDi[#Data],COLUMN(T_TraitDi[Colonne11]),FALSE)=0,"",TEXT(IFERROR(VLOOKUP(T_Convention[[#This Row],[NumL]],T_TraitDi[#Data],COLUMN(T_TraitDi[Colonne11]),FALSE),""),"[hh]:mm"))</f>
        <v>#N/A</v>
      </c>
      <c r="AL143" s="284" t="e">
        <f>IF(VLOOKUP(T_Convention[[#This Row],[NumL]],T_TraitDi[#Data],COLUMN(T_TraitDi[Colonne12]),FALSE)=0,"",TEXT(IFERROR(VLOOKUP(T_Convention[[#This Row],[NumL]],T_TraitDi[#Data],COLUMN(T_TraitDi[Colonne12]),FALSE),""),"[hh]:mm"))</f>
        <v>#N/A</v>
      </c>
      <c r="AM143" s="284" t="e">
        <f>IF(VLOOKUP(T_Convention[[#This Row],[NumL]],T_TraitDi[#Data],COLUMN(T_TraitDi[Colonne14]),FALSE)=0,"",TEXT(IFERROR(VLOOKUP(T_Convention[[#This Row],[NumL]],T_TraitDi[#Data],COLUMN(T_TraitDi[Colonne14]),FALSE),""),"[hh]:mm"))</f>
        <v>#N/A</v>
      </c>
      <c r="AN143" s="284" t="str">
        <f>IFERROR(VLOOKUP(T_Convention[[#This Row],[NumL]],T_TraitDi[#Data],COLUMN(T_TraitDi[Mercredi]),FALSE),"")</f>
        <v/>
      </c>
      <c r="AO143" s="284" t="e">
        <f>IF(VLOOKUP(T_Convention[[#This Row],[NumL]],T_TraitDi[#Data],COLUMN(T_TraitDi[Colonne15]),FALSE)=0,"",TEXT(IFERROR(VLOOKUP(T_Convention[[#This Row],[NumL]],T_TraitDi[#Data],COLUMN(T_TraitDi[Colonne15]),FALSE),""),"[hh]:mm"))</f>
        <v>#N/A</v>
      </c>
      <c r="AP143" s="284" t="e">
        <f>IF(VLOOKUP(T_Convention[[#This Row],[NumL]],T_TraitDi[#Data],COLUMN(T_TraitDi[Colonne16]),FALSE)=0,"",TEXT(IFERROR(VLOOKUP(T_Convention[[#This Row],[NumL]],T_TraitDi[#Data],COLUMN(T_TraitDi[Colonne16]),FALSE),""),"[hh]:mm"))</f>
        <v>#N/A</v>
      </c>
      <c r="AQ143" s="284" t="str">
        <f>IFERROR(VLOOKUP(T_Convention[[#This Row],[NumL]],T_TraitDi[#Data],COLUMN(T_TraitDi[Colonne17]),FALSE),"")</f>
        <v/>
      </c>
      <c r="AR143" s="284" t="e">
        <f>IF(VLOOKUP(T_Convention[[#This Row],[NumL]],T_TraitDi[#Data],COLUMN(T_TraitDi[Colonne18]),FALSE)=0,"",TEXT(IFERROR(VLOOKUP(T_Convention[[#This Row],[NumL]],T_TraitDi[#Data],COLUMN(T_TraitDi[Colonne18]),FALSE),""),"[hh]:mm"))</f>
        <v>#N/A</v>
      </c>
      <c r="AS143" s="284" t="e">
        <f>IF(VLOOKUP(T_Convention[[#This Row],[NumL]],T_TraitDi[#Data],COLUMN(T_TraitDi[Colonne19]),FALSE)=0,"",TEXT(IFERROR(VLOOKUP(T_Convention[[#This Row],[NumL]],T_TraitDi[#Data],COLUMN(T_TraitDi[Colonne19]),FALSE),""),"[hh]:mm"))</f>
        <v>#N/A</v>
      </c>
      <c r="AT143" s="284" t="e">
        <f>IF(VLOOKUP(T_Convention[[#This Row],[NumL]],T_TraitDi[#Data],COLUMN(T_TraitDi[Colonne20]),FALSE)=0,"",TEXT(IFERROR(VLOOKUP(T_Convention[[#This Row],[NumL]],T_TraitDi[#Data],COLUMN(T_TraitDi[Colonne20]),FALSE),""),"[hh]:mm"))</f>
        <v>#N/A</v>
      </c>
      <c r="AU143" s="284" t="str">
        <f>IFERROR(VLOOKUP(T_Convention[[#This Row],[NumL]],T_TraitDi[#Data],COLUMN(T_TraitDi[Jeudi]),FALSE),"")</f>
        <v/>
      </c>
      <c r="AV143" s="284" t="e">
        <f>IF(VLOOKUP(T_Convention[[#This Row],[NumL]],T_TraitDi[#Data],COLUMN(T_TraitDi[Colonne21]),FALSE)=0,"",TEXT(IFERROR(VLOOKUP(T_Convention[[#This Row],[NumL]],T_TraitDi[#Data],COLUMN(T_TraitDi[Colonne21]),FALSE),""),"[hh]:mm"))</f>
        <v>#N/A</v>
      </c>
      <c r="AW143" s="284" t="e">
        <f>IF(VLOOKUP(T_Convention[[#This Row],[NumL]],T_TraitDi[#Data],COLUMN(T_TraitDi[Colonne22]),FALSE)=0,"",TEXT(IFERROR(VLOOKUP(T_Convention[[#This Row],[NumL]],T_TraitDi[#Data],COLUMN(T_TraitDi[Colonne22]),FALSE),""),"[hh]:mm"))</f>
        <v>#N/A</v>
      </c>
      <c r="AX143" s="284" t="str">
        <f>IFERROR(VLOOKUP(T_Convention[[#This Row],[NumL]],T_TraitDi[#Data],COLUMN(T_TraitDi[Colonne23]),FALSE),"")</f>
        <v/>
      </c>
      <c r="AY143" s="284" t="e">
        <f>IF(VLOOKUP(T_Convention[[#This Row],[NumL]],T_TraitDi[#Data],COLUMN(T_TraitDi[Colonne24]),FALSE)=0,"",TEXT(IFERROR(VLOOKUP(T_Convention[[#This Row],[NumL]],T_TraitDi[#Data],COLUMN(T_TraitDi[Colonne24]),FALSE),""),"[hh]:mm"))</f>
        <v>#N/A</v>
      </c>
      <c r="AZ143" s="284" t="e">
        <f>IF(VLOOKUP(T_Convention[[#This Row],[NumL]],T_TraitDi[#Data],COLUMN(T_TraitDi[Colonne25]),FALSE)=0,"",TEXT(IFERROR(VLOOKUP(T_Convention[[#This Row],[NumL]],T_TraitDi[#Data],COLUMN(T_TraitDi[Colonne25]),FALSE),""),"[hh]:mm"))</f>
        <v>#N/A</v>
      </c>
      <c r="BA143" s="284" t="e">
        <f>IF(VLOOKUP(T_Convention[[#This Row],[NumL]],T_TraitDi[#Data],COLUMN(T_TraitDi[Colonne26]),FALSE)=0,"",TEXT(IFERROR(VLOOKUP(T_Convention[[#This Row],[NumL]],T_TraitDi[#Data],COLUMN(T_TraitDi[Colonne26]),FALSE),""),"[hh]:mm"))</f>
        <v>#N/A</v>
      </c>
      <c r="BB143" s="284" t="str">
        <f>IFERROR(VLOOKUP(T_Convention[[#This Row],[NumL]],T_TraitDi[#Data],COLUMN(T_TraitDi[Vendredi]),FALSE),"")</f>
        <v/>
      </c>
      <c r="BC143" s="284" t="e">
        <f>IF(VLOOKUP(T_Convention[[#This Row],[NumL]],T_TraitDi[#Data],COLUMN(T_TraitDi[Colonne27]),FALSE)=0,"",TEXT(IFERROR(VLOOKUP(T_Convention[[#This Row],[NumL]],T_TraitDi[#Data],COLUMN(T_TraitDi[Colonne27]),FALSE),""),"[hh]:mm"))</f>
        <v>#N/A</v>
      </c>
      <c r="BD143" s="284" t="e">
        <f>IF(VLOOKUP(T_Convention[[#This Row],[NumL]],T_TraitDi[#Data],COLUMN(T_TraitDi[Colonne28]),FALSE)=0,"",TEXT(IFERROR(VLOOKUP(T_Convention[[#This Row],[NumL]],T_TraitDi[#Data],COLUMN(T_TraitDi[Colonne28]),FALSE),""),"[hh]:mm"))</f>
        <v>#N/A</v>
      </c>
      <c r="BE143" s="284" t="str">
        <f>IFERROR(VLOOKUP(T_Convention[[#This Row],[NumL]],T_TraitDi[#Data],COLUMN(T_TraitDi[Colonne29]),FALSE),"")</f>
        <v/>
      </c>
      <c r="BF143" s="284" t="e">
        <f>IF(VLOOKUP(T_Convention[[#This Row],[NumL]],T_TraitDi[#Data],COLUMN(T_TraitDi[Colonne30]),FALSE)=0,"",TEXT(IFERROR(VLOOKUP(T_Convention[[#This Row],[NumL]],T_TraitDi[#Data],COLUMN(T_TraitDi[Colonne30]),FALSE),""),"[hh]:mm"))</f>
        <v>#N/A</v>
      </c>
      <c r="BG143" s="284" t="e">
        <f>IF(VLOOKUP(T_Convention[[#This Row],[NumL]],T_TraitDi[#Data],COLUMN(T_TraitDi[Colonne31]),FALSE)=0,"",TEXT(IFERROR(VLOOKUP(T_Convention[[#This Row],[NumL]],T_TraitDi[#Data],COLUMN(T_TraitDi[Colonne31]),FALSE),""),"[hh]:mm"))</f>
        <v>#N/A</v>
      </c>
      <c r="BH143" s="284" t="e">
        <f>IF(VLOOKUP(T_Convention[[#This Row],[NumL]],T_TraitDi[#Data],COLUMN(T_TraitDi[Colonne32]),FALSE)=0,"",TEXT(IFERROR(VLOOKUP(T_Convention[[#This Row],[NumL]],T_TraitDi[#Data],COLUMN(T_TraitDi[Colonne32]),FALSE),""),"[hh]:mm"))</f>
        <v>#N/A</v>
      </c>
      <c r="BI143" s="284" t="str">
        <f>IFERROR(VLOOKUP(T_Convention[[#This Row],[NumL]],T_TraitDi[#Data],COLUMN(T_TraitDi[NbJTW]),FALSE),"")</f>
        <v/>
      </c>
      <c r="BJ143" s="284" t="e">
        <f>IF(VLOOKUP(T_Convention[[#This Row],[NumL]],T_TraitDi[#Data],COLUMN(T_TraitDi[NbhTW]),FALSE)=0,"",TEXT(IFERROR(VLOOKUP(T_Convention[[#This Row],[NumL]],T_TraitDi[#Data],COLUMN(T_TraitDi[NbhTW]),FALSE),""),"[hh]:mm"))</f>
        <v>#N/A</v>
      </c>
      <c r="BK143" s="286" t="e">
        <f>IF(VLOOKUP(T_Convention[[#This Row],[NumL]],T_TraitDi[#Data],COLUMN(T_TraitDi[Nbhheb]),FALSE)=0,"",TEXT(IFERROR(VLOOKUP(T_Convention[[#This Row],[NumL]],T_TraitDi[#Data],COLUMN(T_TraitDi[Nbhheb]),FALSE),""),"[hh]:mm"))</f>
        <v>#N/A</v>
      </c>
      <c r="BL143" s="287" t="str">
        <f>IFERROR(VLOOKUP(VLOOKUP(T_Convention[[#This Row],[NumL]],T_TraitDi[#Data],COLUMN(T_TraitDi[Type1]),FALSE),TypeTW,2,FALSE),"")</f>
        <v/>
      </c>
      <c r="BM143" s="288" t="str">
        <f>IFERROR(VLOOKUP(T_Convention[[#This Row],[NumL]],T_TraitDi[#Data],COLUMN(T_TraitDi[Rue1]),FALSE),"")</f>
        <v/>
      </c>
      <c r="BN143" s="289" t="str">
        <f>IFERROR(VLOOKUP(T_Convention[[#This Row],[NumL]],T_TraitDi[#Data],COLUMN(T_TraitDi[CP1]),FALSE),"")</f>
        <v/>
      </c>
      <c r="BO143" s="282" t="str">
        <f>IFERROR(VLOOKUP(T_Convention[[#This Row],[NumL]],T_TraitDi[#Data],COLUMN(T_TraitDi[VILLE1]),FALSE),"")</f>
        <v/>
      </c>
      <c r="BP143" s="290" t="str">
        <f>IFERROR(VLOOKUP(VLOOKUP(T_Convention[[#This Row],[NumL]],T_TraitDi[#Data],COLUMN(T_TraitDi[Type2]),FALSE),TypeTW,2,FALSE),"")</f>
        <v/>
      </c>
      <c r="BQ143" s="182" t="str">
        <f>IFERROR(VLOOKUP(T_Convention[[#This Row],[NumL]],T_TraitDi[#Data],COLUMN(T_TraitDi[Rue2]),FALSE),"")</f>
        <v/>
      </c>
      <c r="BR143" s="173" t="str">
        <f>IFERROR(VLOOKUP(T_Convention[[#This Row],[NumL]],T_TraitDi[#Data],COLUMN(T_TraitDi[CP2]),FALSE),"")</f>
        <v/>
      </c>
      <c r="BS143" s="173" t="str">
        <f>IFERROR(VLOOKUP(T_Convention[[#This Row],[NumL]],T_TraitDi[#Data],COLUMN(T_TraitDi[VILLE2]),FALSE),"")</f>
        <v/>
      </c>
      <c r="BT143" s="182" t="str">
        <f>IF(VLOOKUP(T_Convention[[#This Row],[NumL]],T_Equipement[#Data],COLUMN(T_Equipement[PC]),FALSE)="","Aucun équipement spécifique directement lié au télétravail",VLOOKUP(T_Convention[[#This Row],[NumL]],T_Equipement[#Data],COLUMN(T_Equipement[PC]),FALSE))</f>
        <v xml:space="preserve">20-259	</v>
      </c>
      <c r="BU143" s="166" t="str">
        <f>IFERROR(IF(VLOOKUP(T_Convention[[#This Row],[NumL]],T_TraitDi[#Data],COLUMN(T_TraitDi[Plan]),FALSE)="OK","Un planning spécifique de télétravail est annexé à la présente convention.",""),"")</f>
        <v/>
      </c>
      <c r="BV143" s="185" t="s">
        <v>3394</v>
      </c>
      <c r="BW143" s="164" t="e">
        <f>IF(VLOOKUP(T_Convention[[#This Row],[NumL]],T_suiviDi[#Data],COLUMN(T_suiviDi[Entité]),FALSE)="","",VLOOKUP(T_Convention[[#This Row],[NumL]],T_suiviDi[#Data],COLUMN(T_suiviDi[Entité]),FALSE))</f>
        <v>#N/A</v>
      </c>
      <c r="BX143" s="164" t="str">
        <f>IF(VLOOKUP(T_Convention[[#This Row],[NumL]],T_Commission[#Data],COLUMN(T_Commission[envoi confirm TW]),FALSE)="","",VLOOKUP(T_Convention[[#This Row],[NumL]],T_Commission[#Data],COLUMN(T_Commission[envoi confirm TW]),FALSE))</f>
        <v>Oui</v>
      </c>
      <c r="BY14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3" s="264">
        <f>VLOOKUP(T_Convention[[#This Row],[NumL]],T_Commission[#Data],COLUMN(T_Commission[Commentaire]),FALSE)</f>
        <v>0</v>
      </c>
      <c r="CA143" s="254" t="str">
        <f>IF(VLOOKUP(T_Convention[[#This Row],[NumL]],T_Commission[#Data],COLUMN(T_Commission[Encadrant Email]),FALSE)="","",VLOOKUP(T_Convention[[#This Row],[NumL]],T_Commission[#Data],COLUMN(T_Commission[Encadrant Email]),FALSE))</f>
        <v/>
      </c>
      <c r="CB143" s="352" t="e">
        <f>VLOOKUP(T_Convention[[#This Row],[NumL]],T_TraitDi[#Data],COLUMN(T_TraitDi[NbJTot]),FALSE)</f>
        <v>#N/A</v>
      </c>
      <c r="CC143" s="352" t="e">
        <f>VLOOKUP(T_Convention[[#This Row],[NumL]],T_TraitDi[#Data],COLUMN(T_TraitDi[Reg Ponct]),FALSE)</f>
        <v>#N/A</v>
      </c>
      <c r="CD143" s="348" t="str">
        <f>IF(T_Convention[[#This Row],[Final]]&lt;&gt;"",VLOOKUP(T_Convention[[#This Row],[NumL]],T_suiviDi[#Data],COLUMN((T_suiviDi[Statut])),FALSE),"")</f>
        <v/>
      </c>
    </row>
    <row r="144" spans="1:82" s="106" customFormat="1" ht="18.75" customHeight="1" x14ac:dyDescent="0.25">
      <c r="A144" s="160">
        <v>196</v>
      </c>
      <c r="B144" s="161" t="str">
        <f>VLOOKUP(T_Convention[[#This Row],[NumL]],T_Commission[#Data],COLUMN(T_Commission[FINAL]),FALSE)</f>
        <v/>
      </c>
      <c r="C144" s="162"/>
      <c r="D144" s="95" t="e">
        <f>IF(VLOOKUP(T_Convention[[#This Row],[NumL]],T_TraitDi[#Data],COLUMN(T_TraitDi[WebC]),FALSE)="","",VLOOKUP(T_Convention[[#This Row],[NumL]],T_TraitDi[#Data],COLUMN(T_TraitDi[WebC]),FALSE))</f>
        <v>#N/A</v>
      </c>
      <c r="E144" s="163" t="str">
        <f t="shared" si="10"/>
        <v>12 janvier 2021</v>
      </c>
      <c r="F144" s="282" t="str">
        <f>IF(T_Convention[[#This Row],[Final]]&lt;&gt;"",VLOOKUP(T_Convention[[#This Row],[NumL]],T_suiviDi[#Data],COLUMN((T_suiviDi[Civ.])),FALSE),"")</f>
        <v/>
      </c>
      <c r="G144" s="283" t="str">
        <f>IF(T_Convention[[#This Row],[Final]]&lt;&gt;"",VLOOKUP(T_Convention[[#This Row],[NumL]],T_suiviDi[#Data],COLUMN((T_suiviDi[Nom])),FALSE),"")</f>
        <v/>
      </c>
      <c r="H144" s="282" t="str">
        <f>IF(T_Convention[[#This Row],[Final]]&lt;&gt;"",VLOOKUP(T_Convention[[#This Row],[NumL]],T_suiviDi[#Data],COLUMN((T_suiviDi[Prénom])),FALSE),"")</f>
        <v/>
      </c>
      <c r="I144" s="282" t="e">
        <f>VLOOKUP(T_Convention[[#This Row],[NumL]],T_suiviDi[#Data],COLUMN((T_suiviDi[[#This Row],[Email]])),FALSE)</f>
        <v>#VALUE!</v>
      </c>
      <c r="J144" s="282" t="e">
        <f>IF(VLOOKUP(T_Convention[[#This Row],[NumL]],T_suiviDi[#Data],COLUMN(T_suiviDi[[#This Row],[Fonction]]),FALSE)="","",VLOOKUP(T_Convention[[#This Row],[NumL]],T_suiviDi[#Data],COLUMN(T_suiviDi[[#This Row],[Fonction]]),FALSE))</f>
        <v>#VALUE!</v>
      </c>
      <c r="K144" s="282" t="e">
        <f>IF(VLOOKUP(T_Convention[[#This Row],[NumL]],T_suiviDi[#Data],COLUMN(T_suiviDi[[#This Row],[Grade]]),FALSE)="","",VLOOKUP(T_Convention[[#This Row],[NumL]],T_suiviDi[#Data],COLUMN(T_suiviDi[[#This Row],[Grade]]),FALSE))</f>
        <v>#VALUE!</v>
      </c>
      <c r="L144" s="282" t="e">
        <f>IF(VLOOKUP(T_Convention[[#This Row],[NumL]],T_suiviDi[#Data],COLUMN(T_suiviDi[[#This Row],[Service ]]),FALSE)="","",VLOOKUP(T_Convention[[#This Row],[NumL]],T_suiviDi[#Data],COLUMN(T_suiviDi[[#This Row],[Service ]]),FALSE))</f>
        <v>#VALUE!</v>
      </c>
      <c r="M144" s="164" t="str">
        <f t="shared" si="11"/>
        <v>01 septembre 2021</v>
      </c>
      <c r="N144" s="164" t="str">
        <f t="shared" si="12"/>
        <v>30 novembre 2021</v>
      </c>
      <c r="O144" s="284" t="str">
        <f t="shared" si="13"/>
        <v>30 novembre 2021</v>
      </c>
      <c r="P144" s="282" t="e">
        <f>IF(VLOOKUP(T_Convention[[#This Row],[NumL]],T_TraitDi[#Data],COLUMN(T_TraitDi[M1]),FALSE)="","",VLOOKUP(T_Convention[[#This Row],[NumL]],T_TraitDi[#Data],COLUMN(T_TraitDi[M1]),FALSE))</f>
        <v>#N/A</v>
      </c>
      <c r="Q144" s="282" t="e">
        <f>IF(VLOOKUP(T_Convention[[#This Row],[NumL]],T_TraitDi[#Data],COLUMN(T_TraitDi[M2]),FALSE)="","",VLOOKUP(T_Convention[[#This Row],[NumL]],T_TraitDi[#Data],COLUMN(T_TraitDi[M2]),FALSE))</f>
        <v>#N/A</v>
      </c>
      <c r="R144" s="282" t="e">
        <f>IF(VLOOKUP(T_Convention[[#This Row],[NumL]],T_TraitDi[#Data],COLUMN(T_TraitDi[M3]),FALSE)="","",VLOOKUP(T_Convention[[#This Row],[NumL]],T_TraitDi[#Data],COLUMN(T_TraitDi[M3]),FALSE))</f>
        <v>#N/A</v>
      </c>
      <c r="S144" s="282" t="e">
        <f>IF(VLOOKUP(T_Convention[[#This Row],[NumL]],T_TraitDi[#Data],COLUMN(T_TraitDi[M4]),FALSE)="","",VLOOKUP(T_Convention[[#This Row],[NumL]],T_TraitDi[#Data],COLUMN(T_TraitDi[M4]),FALSE))</f>
        <v>#N/A</v>
      </c>
      <c r="T144" s="282" t="e">
        <f>IF(VLOOKUP(T_Convention[[#This Row],[NumL]],T_TraitDi[#Data],COLUMN(T_TraitDi[M5]),FALSE)="","",VLOOKUP(T_Convention[[#This Row],[NumL]],T_TraitDi[#Data],COLUMN(T_TraitDi[M5]),FALSE))</f>
        <v>#N/A</v>
      </c>
      <c r="U144" s="282" t="e">
        <f>IF(VLOOKUP(T_Convention[[#This Row],[NumL]],T_TraitDi[#Data],COLUMN(T_TraitDi[M6]),FALSE)="","",VLOOKUP(T_Convention[[#This Row],[NumL]],T_TraitDi[#Data],COLUMN(T_TraitDi[M6]),FALSE))</f>
        <v>#N/A</v>
      </c>
      <c r="V144" s="176" t="e">
        <f t="shared" si="14"/>
        <v>#N/A</v>
      </c>
      <c r="W144" s="284" t="str">
        <f>IFERROR(TEXT(VLOOKUP(T_Convention[[#This Row],[NumL]],T_TraitDi[#Data],COLUMN(T_TraitDi[Q2]),FALSE),"###%"),"")</f>
        <v/>
      </c>
      <c r="X144" s="97" t="e">
        <f>VLOOKUP(T_Convention[[#This Row],[NumL]],T_TraitDi[#Data],COLUMN(T_TraitDi[Reg Ponct]),FALSE)</f>
        <v>#N/A</v>
      </c>
      <c r="Y144" s="97" t="e">
        <f>VLOOKUP(T_Convention[NumL],T_TraitDi[#Data],COLUMN(T_TraitDi[Jours flottants]),FALSE)</f>
        <v>#N/A</v>
      </c>
      <c r="Z144" s="284" t="str">
        <f>IFERROR(VLOOKUP(T_Convention[[#This Row],[NumL]],T_TraitDi[#Data],COLUMN(T_TraitDi[Lundi]),FALSE),"")</f>
        <v/>
      </c>
      <c r="AA144" s="284" t="e">
        <f>IF(VLOOKUP(T_Convention[[#This Row],[NumL]],T_TraitDi[#Data],COLUMN(T_TraitDi[Colonne3]),FALSE)=0,"",TEXT(IFERROR(VLOOKUP(T_Convention[[#This Row],[NumL]],T_TraitDi[#Data],COLUMN(T_TraitDi[Colonne3]),FALSE),""),"[hh]:mm"))</f>
        <v>#N/A</v>
      </c>
      <c r="AB144" s="284" t="e">
        <f>IF(VLOOKUP(T_Convention[[#This Row],[NumL]],T_TraitDi[#Data],COLUMN(T_TraitDi[Colonne4]),FALSE)=0,"",TEXT(IFERROR(VLOOKUP(T_Convention[[#This Row],[NumL]],T_TraitDi[#Data],COLUMN(T_TraitDi[Colonne4]),FALSE),""),"[hh]:mm"))</f>
        <v>#N/A</v>
      </c>
      <c r="AC144" s="284" t="e">
        <f>IF(VLOOKUP(T_Convention[[#This Row],[NumL]],T_TraitDi[#Data],COLUMN(T_TraitDi[Colonne5]),FALSE)=0,"",TEXT(IFERROR(VLOOKUP(T_Convention[[#This Row],[NumL]],T_TraitDi[#Data],COLUMN(T_TraitDi[Colonne5]),FALSE),""),"[hh]:mm"))</f>
        <v>#N/A</v>
      </c>
      <c r="AD144" s="284" t="e">
        <f>IF(VLOOKUP(T_Convention[[#This Row],[NumL]],T_TraitDi[#Data],COLUMN(T_TraitDi[Colonne6]),FALSE)=0,"",TEXT(IFERROR(VLOOKUP(T_Convention[[#This Row],[NumL]],T_TraitDi[#Data],COLUMN(T_TraitDi[Colonne6]),FALSE),""),"[hh]:mm"))</f>
        <v>#N/A</v>
      </c>
      <c r="AE144" s="284" t="e">
        <f>IF(VLOOKUP(T_Convention[[#This Row],[NumL]],T_TraitDi[#Data],COLUMN(T_TraitDi[Colonne7]),FALSE)=0,"",TEXT(IFERROR(VLOOKUP(T_Convention[[#This Row],[NumL]],T_TraitDi[#Data],COLUMN(T_TraitDi[Colonne7]),FALSE),""),"[hh]:mm"))</f>
        <v>#N/A</v>
      </c>
      <c r="AF144" s="284" t="e">
        <f>IF(VLOOKUP(T_Convention[[#This Row],[NumL]],T_TraitDi[#Data],COLUMN(T_TraitDi[Colonne8]),FALSE)=0,"",TEXT(IFERROR(VLOOKUP(T_Convention[[#This Row],[NumL]],T_TraitDi[#Data],COLUMN(T_TraitDi[Colonne8]),FALSE),""),"[hh]:mm"))</f>
        <v>#N/A</v>
      </c>
      <c r="AG144" s="284" t="str">
        <f>IFERROR(VLOOKUP(T_Convention[[#This Row],[NumL]],T_TraitDi[#Data],COLUMN(T_TraitDi[Mardi]),FALSE),"")</f>
        <v/>
      </c>
      <c r="AH144" s="284" t="e">
        <f>IF(VLOOKUP(T_Convention[[#This Row],[NumL]],T_TraitDi[#Data],COLUMN(T_TraitDi[Colonne1]),FALSE)=0,"",TEXT(IFERROR(VLOOKUP(T_Convention[[#This Row],[NumL]],T_TraitDi[#Data],COLUMN(T_TraitDi[Colonne1]),FALSE),""),"[hh]:mm"))</f>
        <v>#N/A</v>
      </c>
      <c r="AI144" s="284" t="e">
        <f>IF(VLOOKUP(T_Convention[[#This Row],[NumL]],T_TraitDi[#Data],COLUMN(T_TraitDi[Colonne9]),FALSE)=0,"",TEXT(IFERROR(VLOOKUP(T_Convention[[#This Row],[NumL]],T_TraitDi[#Data],COLUMN(T_TraitDi[Colonne9]),FALSE),""),"[hh]:mm"))</f>
        <v>#N/A</v>
      </c>
      <c r="AJ144" s="284" t="str">
        <f>IFERROR(VLOOKUP(T_Convention[[#This Row],[NumL]],T_TraitDi[#Data],COLUMN(T_TraitDi[Colonne10]),FALSE),"")</f>
        <v/>
      </c>
      <c r="AK144" s="284" t="e">
        <f>IF(VLOOKUP(T_Convention[[#This Row],[NumL]],T_TraitDi[#Data],COLUMN(T_TraitDi[Colonne11]),FALSE)=0,"",TEXT(IFERROR(VLOOKUP(T_Convention[[#This Row],[NumL]],T_TraitDi[#Data],COLUMN(T_TraitDi[Colonne11]),FALSE),""),"[hh]:mm"))</f>
        <v>#N/A</v>
      </c>
      <c r="AL144" s="284" t="e">
        <f>IF(VLOOKUP(T_Convention[[#This Row],[NumL]],T_TraitDi[#Data],COLUMN(T_TraitDi[Colonne12]),FALSE)=0,"",TEXT(IFERROR(VLOOKUP(T_Convention[[#This Row],[NumL]],T_TraitDi[#Data],COLUMN(T_TraitDi[Colonne12]),FALSE),""),"[hh]:mm"))</f>
        <v>#N/A</v>
      </c>
      <c r="AM144" s="284" t="e">
        <f>IF(VLOOKUP(T_Convention[[#This Row],[NumL]],T_TraitDi[#Data],COLUMN(T_TraitDi[Colonne14]),FALSE)=0,"",TEXT(IFERROR(VLOOKUP(T_Convention[[#This Row],[NumL]],T_TraitDi[#Data],COLUMN(T_TraitDi[Colonne14]),FALSE),""),"[hh]:mm"))</f>
        <v>#N/A</v>
      </c>
      <c r="AN144" s="284" t="str">
        <f>IFERROR(VLOOKUP(T_Convention[[#This Row],[NumL]],T_TraitDi[#Data],COLUMN(T_TraitDi[Mercredi]),FALSE),"")</f>
        <v/>
      </c>
      <c r="AO144" s="284" t="e">
        <f>IF(VLOOKUP(T_Convention[[#This Row],[NumL]],T_TraitDi[#Data],COLUMN(T_TraitDi[Colonne15]),FALSE)=0,"",TEXT(IFERROR(VLOOKUP(T_Convention[[#This Row],[NumL]],T_TraitDi[#Data],COLUMN(T_TraitDi[Colonne15]),FALSE),""),"[hh]:mm"))</f>
        <v>#N/A</v>
      </c>
      <c r="AP144" s="284" t="e">
        <f>IF(VLOOKUP(T_Convention[[#This Row],[NumL]],T_TraitDi[#Data],COLUMN(T_TraitDi[Colonne16]),FALSE)=0,"",TEXT(IFERROR(VLOOKUP(T_Convention[[#This Row],[NumL]],T_TraitDi[#Data],COLUMN(T_TraitDi[Colonne16]),FALSE),""),"[hh]:mm"))</f>
        <v>#N/A</v>
      </c>
      <c r="AQ144" s="284" t="str">
        <f>IFERROR(VLOOKUP(T_Convention[[#This Row],[NumL]],T_TraitDi[#Data],COLUMN(T_TraitDi[Colonne17]),FALSE),"")</f>
        <v/>
      </c>
      <c r="AR144" s="284" t="e">
        <f>IF(VLOOKUP(T_Convention[[#This Row],[NumL]],T_TraitDi[#Data],COLUMN(T_TraitDi[Colonne18]),FALSE)=0,"",TEXT(IFERROR(VLOOKUP(T_Convention[[#This Row],[NumL]],T_TraitDi[#Data],COLUMN(T_TraitDi[Colonne18]),FALSE),""),"[hh]:mm"))</f>
        <v>#N/A</v>
      </c>
      <c r="AS144" s="284" t="e">
        <f>IF(VLOOKUP(T_Convention[[#This Row],[NumL]],T_TraitDi[#Data],COLUMN(T_TraitDi[Colonne19]),FALSE)=0,"",TEXT(IFERROR(VLOOKUP(T_Convention[[#This Row],[NumL]],T_TraitDi[#Data],COLUMN(T_TraitDi[Colonne19]),FALSE),""),"[hh]:mm"))</f>
        <v>#N/A</v>
      </c>
      <c r="AT144" s="284" t="e">
        <f>IF(VLOOKUP(T_Convention[[#This Row],[NumL]],T_TraitDi[#Data],COLUMN(T_TraitDi[Colonne20]),FALSE)=0,"",TEXT(IFERROR(VLOOKUP(T_Convention[[#This Row],[NumL]],T_TraitDi[#Data],COLUMN(T_TraitDi[Colonne20]),FALSE),""),"[hh]:mm"))</f>
        <v>#N/A</v>
      </c>
      <c r="AU144" s="284" t="str">
        <f>IFERROR(VLOOKUP(T_Convention[[#This Row],[NumL]],T_TraitDi[#Data],COLUMN(T_TraitDi[Jeudi]),FALSE),"")</f>
        <v/>
      </c>
      <c r="AV144" s="284" t="e">
        <f>IF(VLOOKUP(T_Convention[[#This Row],[NumL]],T_TraitDi[#Data],COLUMN(T_TraitDi[Colonne21]),FALSE)=0,"",TEXT(IFERROR(VLOOKUP(T_Convention[[#This Row],[NumL]],T_TraitDi[#Data],COLUMN(T_TraitDi[Colonne21]),FALSE),""),"[hh]:mm"))</f>
        <v>#N/A</v>
      </c>
      <c r="AW144" s="284" t="e">
        <f>IF(VLOOKUP(T_Convention[[#This Row],[NumL]],T_TraitDi[#Data],COLUMN(T_TraitDi[Colonne22]),FALSE)=0,"",TEXT(IFERROR(VLOOKUP(T_Convention[[#This Row],[NumL]],T_TraitDi[#Data],COLUMN(T_TraitDi[Colonne22]),FALSE),""),"[hh]:mm"))</f>
        <v>#N/A</v>
      </c>
      <c r="AX144" s="284" t="str">
        <f>IFERROR(VLOOKUP(T_Convention[[#This Row],[NumL]],T_TraitDi[#Data],COLUMN(T_TraitDi[Colonne23]),FALSE),"")</f>
        <v/>
      </c>
      <c r="AY144" s="284" t="e">
        <f>IF(VLOOKUP(T_Convention[[#This Row],[NumL]],T_TraitDi[#Data],COLUMN(T_TraitDi[Colonne24]),FALSE)=0,"",TEXT(IFERROR(VLOOKUP(T_Convention[[#This Row],[NumL]],T_TraitDi[#Data],COLUMN(T_TraitDi[Colonne24]),FALSE),""),"[hh]:mm"))</f>
        <v>#N/A</v>
      </c>
      <c r="AZ144" s="284" t="e">
        <f>IF(VLOOKUP(T_Convention[[#This Row],[NumL]],T_TraitDi[#Data],COLUMN(T_TraitDi[Colonne25]),FALSE)=0,"",TEXT(IFERROR(VLOOKUP(T_Convention[[#This Row],[NumL]],T_TraitDi[#Data],COLUMN(T_TraitDi[Colonne25]),FALSE),""),"[hh]:mm"))</f>
        <v>#N/A</v>
      </c>
      <c r="BA144" s="284" t="e">
        <f>IF(VLOOKUP(T_Convention[[#This Row],[NumL]],T_TraitDi[#Data],COLUMN(T_TraitDi[Colonne26]),FALSE)=0,"",TEXT(IFERROR(VLOOKUP(T_Convention[[#This Row],[NumL]],T_TraitDi[#Data],COLUMN(T_TraitDi[Colonne26]),FALSE),""),"[hh]:mm"))</f>
        <v>#N/A</v>
      </c>
      <c r="BB144" s="284" t="str">
        <f>IFERROR(VLOOKUP(T_Convention[[#This Row],[NumL]],T_TraitDi[#Data],COLUMN(T_TraitDi[Vendredi]),FALSE),"")</f>
        <v/>
      </c>
      <c r="BC144" s="284" t="e">
        <f>IF(VLOOKUP(T_Convention[[#This Row],[NumL]],T_TraitDi[#Data],COLUMN(T_TraitDi[Colonne27]),FALSE)=0,"",TEXT(IFERROR(VLOOKUP(T_Convention[[#This Row],[NumL]],T_TraitDi[#Data],COLUMN(T_TraitDi[Colonne27]),FALSE),""),"[hh]:mm"))</f>
        <v>#N/A</v>
      </c>
      <c r="BD144" s="284" t="e">
        <f>IF(VLOOKUP(T_Convention[[#This Row],[NumL]],T_TraitDi[#Data],COLUMN(T_TraitDi[Colonne28]),FALSE)=0,"",TEXT(IFERROR(VLOOKUP(T_Convention[[#This Row],[NumL]],T_TraitDi[#Data],COLUMN(T_TraitDi[Colonne28]),FALSE),""),"[hh]:mm"))</f>
        <v>#N/A</v>
      </c>
      <c r="BE144" s="284" t="str">
        <f>IFERROR(VLOOKUP(T_Convention[[#This Row],[NumL]],T_TraitDi[#Data],COLUMN(T_TraitDi[Colonne29]),FALSE),"")</f>
        <v/>
      </c>
      <c r="BF144" s="284" t="e">
        <f>IF(VLOOKUP(T_Convention[[#This Row],[NumL]],T_TraitDi[#Data],COLUMN(T_TraitDi[Colonne30]),FALSE)=0,"",TEXT(IFERROR(VLOOKUP(T_Convention[[#This Row],[NumL]],T_TraitDi[#Data],COLUMN(T_TraitDi[Colonne30]),FALSE),""),"[hh]:mm"))</f>
        <v>#N/A</v>
      </c>
      <c r="BG144" s="284" t="e">
        <f>IF(VLOOKUP(T_Convention[[#This Row],[NumL]],T_TraitDi[#Data],COLUMN(T_TraitDi[Colonne31]),FALSE)=0,"",TEXT(IFERROR(VLOOKUP(T_Convention[[#This Row],[NumL]],T_TraitDi[#Data],COLUMN(T_TraitDi[Colonne31]),FALSE),""),"[hh]:mm"))</f>
        <v>#N/A</v>
      </c>
      <c r="BH144" s="284" t="e">
        <f>IF(VLOOKUP(T_Convention[[#This Row],[NumL]],T_TraitDi[#Data],COLUMN(T_TraitDi[Colonne32]),FALSE)=0,"",TEXT(IFERROR(VLOOKUP(T_Convention[[#This Row],[NumL]],T_TraitDi[#Data],COLUMN(T_TraitDi[Colonne32]),FALSE),""),"[hh]:mm"))</f>
        <v>#N/A</v>
      </c>
      <c r="BI144" s="284" t="str">
        <f>IFERROR(VLOOKUP(T_Convention[[#This Row],[NumL]],T_TraitDi[#Data],COLUMN(T_TraitDi[NbJTW]),FALSE),"")</f>
        <v/>
      </c>
      <c r="BJ144" s="284" t="e">
        <f>IF(VLOOKUP(T_Convention[[#This Row],[NumL]],T_TraitDi[#Data],COLUMN(T_TraitDi[NbhTW]),FALSE)=0,"",TEXT(IFERROR(VLOOKUP(T_Convention[[#This Row],[NumL]],T_TraitDi[#Data],COLUMN(T_TraitDi[NbhTW]),FALSE),""),"[hh]:mm"))</f>
        <v>#N/A</v>
      </c>
      <c r="BK144" s="286" t="e">
        <f>IF(VLOOKUP(T_Convention[[#This Row],[NumL]],T_TraitDi[#Data],COLUMN(T_TraitDi[Nbhheb]),FALSE)=0,"",TEXT(IFERROR(VLOOKUP(T_Convention[[#This Row],[NumL]],T_TraitDi[#Data],COLUMN(T_TraitDi[Nbhheb]),FALSE),""),"[hh]:mm"))</f>
        <v>#N/A</v>
      </c>
      <c r="BL144" s="287" t="str">
        <f>IFERROR(VLOOKUP(VLOOKUP(T_Convention[[#This Row],[NumL]],T_TraitDi[#Data],COLUMN(T_TraitDi[Type1]),FALSE),TypeTW,2,FALSE),"")</f>
        <v/>
      </c>
      <c r="BM144" s="288" t="str">
        <f>IFERROR(VLOOKUP(T_Convention[[#This Row],[NumL]],T_TraitDi[#Data],COLUMN(T_TraitDi[Rue1]),FALSE),"")</f>
        <v/>
      </c>
      <c r="BN144" s="289" t="str">
        <f>IFERROR(VLOOKUP(T_Convention[[#This Row],[NumL]],T_TraitDi[#Data],COLUMN(T_TraitDi[CP1]),FALSE),"")</f>
        <v/>
      </c>
      <c r="BO144" s="282" t="str">
        <f>IFERROR(VLOOKUP(T_Convention[[#This Row],[NumL]],T_TraitDi[#Data],COLUMN(T_TraitDi[VILLE1]),FALSE),"")</f>
        <v/>
      </c>
      <c r="BP144" s="290" t="str">
        <f>IFERROR(VLOOKUP(VLOOKUP(T_Convention[[#This Row],[NumL]],T_TraitDi[#Data],COLUMN(T_TraitDi[Type2]),FALSE),TypeTW,2,FALSE),"")</f>
        <v/>
      </c>
      <c r="BQ144" s="182" t="str">
        <f>IFERROR(VLOOKUP(T_Convention[[#This Row],[NumL]],T_TraitDi[#Data],COLUMN(T_TraitDi[Rue2]),FALSE),"")</f>
        <v/>
      </c>
      <c r="BR144" s="173" t="str">
        <f>IFERROR(VLOOKUP(T_Convention[[#This Row],[NumL]],T_TraitDi[#Data],COLUMN(T_TraitDi[CP2]),FALSE),"")</f>
        <v/>
      </c>
      <c r="BS144" s="173" t="str">
        <f>IFERROR(VLOOKUP(T_Convention[[#This Row],[NumL]],T_TraitDi[#Data],COLUMN(T_TraitDi[VILLE2]),FALSE),"")</f>
        <v/>
      </c>
      <c r="BT144" s="182" t="str">
        <f>IF(VLOOKUP(T_Convention[[#This Row],[NumL]],T_Equipement[#Data],COLUMN(T_Equipement[PC]),FALSE)="","Aucun équipement spécifique directement lié au télétravail",VLOOKUP(T_Convention[[#This Row],[NumL]],T_Equipement[#Data],COLUMN(T_Equipement[PC]),FALSE))</f>
        <v xml:space="preserve">20-651	</v>
      </c>
      <c r="BU144" s="166" t="str">
        <f>IFERROR(IF(VLOOKUP(T_Convention[[#This Row],[NumL]],T_TraitDi[#Data],COLUMN(T_TraitDi[Plan]),FALSE)="OK","Un planning spécifique de télétravail est annexé à la présente convention.",""),"")</f>
        <v/>
      </c>
      <c r="BV144" s="185" t="s">
        <v>3351</v>
      </c>
      <c r="BW144" s="164" t="e">
        <f>IF(VLOOKUP(T_Convention[[#This Row],[NumL]],T_suiviDi[#Data],COLUMN(T_suiviDi[Entité]),FALSE)="","",VLOOKUP(T_Convention[[#This Row],[NumL]],T_suiviDi[#Data],COLUMN(T_suiviDi[Entité]),FALSE))</f>
        <v>#N/A</v>
      </c>
      <c r="BX144" s="164" t="str">
        <f>IF(VLOOKUP(T_Convention[[#This Row],[NumL]],T_Commission[#Data],COLUMN(T_Commission[envoi confirm TW]),FALSE)="","",VLOOKUP(T_Convention[[#This Row],[NumL]],T_Commission[#Data],COLUMN(T_Commission[envoi confirm TW]),FALSE))</f>
        <v>Oui</v>
      </c>
      <c r="BY14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4" s="264">
        <f>VLOOKUP(T_Convention[[#This Row],[NumL]],T_Commission[#Data],COLUMN(T_Commission[Commentaire]),FALSE)</f>
        <v>0</v>
      </c>
      <c r="CA144" s="254" t="str">
        <f>IF(VLOOKUP(T_Convention[[#This Row],[NumL]],T_Commission[#Data],COLUMN(T_Commission[Encadrant Email]),FALSE)="","",VLOOKUP(T_Convention[[#This Row],[NumL]],T_Commission[#Data],COLUMN(T_Commission[Encadrant Email]),FALSE))</f>
        <v/>
      </c>
      <c r="CB144" s="352" t="e">
        <f>VLOOKUP(T_Convention[[#This Row],[NumL]],T_TraitDi[#Data],COLUMN(T_TraitDi[NbJTot]),FALSE)</f>
        <v>#N/A</v>
      </c>
      <c r="CC144" s="352" t="e">
        <f>VLOOKUP(T_Convention[[#This Row],[NumL]],T_TraitDi[#Data],COLUMN(T_TraitDi[Reg Ponct]),FALSE)</f>
        <v>#N/A</v>
      </c>
      <c r="CD144" s="348" t="str">
        <f>IF(T_Convention[[#This Row],[Final]]&lt;&gt;"",VLOOKUP(T_Convention[[#This Row],[NumL]],T_suiviDi[#Data],COLUMN((T_suiviDi[Statut])),FALSE),"")</f>
        <v/>
      </c>
    </row>
    <row r="145" spans="1:82" s="106" customFormat="1" ht="18.75" customHeight="1" x14ac:dyDescent="0.25">
      <c r="A145" s="160">
        <v>47</v>
      </c>
      <c r="B145" s="161" t="str">
        <f>VLOOKUP(T_Convention[[#This Row],[NumL]],T_Commission[#Data],COLUMN(T_Commission[FINAL]),FALSE)</f>
        <v/>
      </c>
      <c r="C145" s="162"/>
      <c r="D145" s="95" t="e">
        <f>IF(VLOOKUP(T_Convention[[#This Row],[NumL]],T_TraitDi[#Data],COLUMN(T_TraitDi[WebC]),FALSE)="","",VLOOKUP(T_Convention[[#This Row],[NumL]],T_TraitDi[#Data],COLUMN(T_TraitDi[WebC]),FALSE))</f>
        <v>#N/A</v>
      </c>
      <c r="E145" s="163" t="str">
        <f t="shared" si="10"/>
        <v>12 janvier 2021</v>
      </c>
      <c r="F145" s="282" t="str">
        <f>IF(T_Convention[[#This Row],[Final]]&lt;&gt;"",VLOOKUP(T_Convention[[#This Row],[NumL]],T_suiviDi[#Data],COLUMN((T_suiviDi[Civ.])),FALSE),"")</f>
        <v/>
      </c>
      <c r="G145" s="283" t="str">
        <f>IF(T_Convention[[#This Row],[Final]]&lt;&gt;"",VLOOKUP(T_Convention[[#This Row],[NumL]],T_suiviDi[#Data],COLUMN((T_suiviDi[Nom])),FALSE),"")</f>
        <v/>
      </c>
      <c r="H145" s="282" t="str">
        <f>IF(T_Convention[[#This Row],[Final]]&lt;&gt;"",VLOOKUP(T_Convention[[#This Row],[NumL]],T_suiviDi[#Data],COLUMN((T_suiviDi[Prénom])),FALSE),"")</f>
        <v/>
      </c>
      <c r="I145" s="282" t="e">
        <f>VLOOKUP(T_Convention[[#This Row],[NumL]],T_suiviDi[#Data],COLUMN((T_suiviDi[[#This Row],[Email]])),FALSE)</f>
        <v>#VALUE!</v>
      </c>
      <c r="J145" s="282" t="e">
        <f>IF(VLOOKUP(T_Convention[[#This Row],[NumL]],T_suiviDi[#Data],COLUMN(T_suiviDi[[#This Row],[Fonction]]),FALSE)="","",VLOOKUP(T_Convention[[#This Row],[NumL]],T_suiviDi[#Data],COLUMN(T_suiviDi[[#This Row],[Fonction]]),FALSE))</f>
        <v>#VALUE!</v>
      </c>
      <c r="K145" s="282" t="e">
        <f>IF(VLOOKUP(T_Convention[[#This Row],[NumL]],T_suiviDi[#Data],COLUMN(T_suiviDi[[#This Row],[Grade]]),FALSE)="","",VLOOKUP(T_Convention[[#This Row],[NumL]],T_suiviDi[#Data],COLUMN(T_suiviDi[[#This Row],[Grade]]),FALSE))</f>
        <v>#VALUE!</v>
      </c>
      <c r="L145" s="282" t="e">
        <f>IF(VLOOKUP(T_Convention[[#This Row],[NumL]],T_suiviDi[#Data],COLUMN(T_suiviDi[[#This Row],[Service ]]),FALSE)="","",VLOOKUP(T_Convention[[#This Row],[NumL]],T_suiviDi[#Data],COLUMN(T_suiviDi[[#This Row],[Service ]]),FALSE))</f>
        <v>#VALUE!</v>
      </c>
      <c r="M145" s="164" t="str">
        <f t="shared" si="11"/>
        <v>01 septembre 2021</v>
      </c>
      <c r="N145" s="164" t="str">
        <f t="shared" si="12"/>
        <v>30 novembre 2021</v>
      </c>
      <c r="O145" s="284" t="str">
        <f t="shared" si="13"/>
        <v>30 novembre 2021</v>
      </c>
      <c r="P145" s="282" t="e">
        <f>IF(VLOOKUP(T_Convention[[#This Row],[NumL]],T_TraitDi[#Data],COLUMN(T_TraitDi[M1]),FALSE)="","",VLOOKUP(T_Convention[[#This Row],[NumL]],T_TraitDi[#Data],COLUMN(T_TraitDi[M1]),FALSE))</f>
        <v>#N/A</v>
      </c>
      <c r="Q145" s="282" t="e">
        <f>IF(VLOOKUP(T_Convention[[#This Row],[NumL]],T_TraitDi[#Data],COLUMN(T_TraitDi[M2]),FALSE)="","",VLOOKUP(T_Convention[[#This Row],[NumL]],T_TraitDi[#Data],COLUMN(T_TraitDi[M2]),FALSE))</f>
        <v>#N/A</v>
      </c>
      <c r="R145" s="282" t="e">
        <f>IF(VLOOKUP(T_Convention[[#This Row],[NumL]],T_TraitDi[#Data],COLUMN(T_TraitDi[M3]),FALSE)="","",VLOOKUP(T_Convention[[#This Row],[NumL]],T_TraitDi[#Data],COLUMN(T_TraitDi[M3]),FALSE))</f>
        <v>#N/A</v>
      </c>
      <c r="S145" s="282" t="e">
        <f>IF(VLOOKUP(T_Convention[[#This Row],[NumL]],T_TraitDi[#Data],COLUMN(T_TraitDi[M4]),FALSE)="","",VLOOKUP(T_Convention[[#This Row],[NumL]],T_TraitDi[#Data],COLUMN(T_TraitDi[M4]),FALSE))</f>
        <v>#N/A</v>
      </c>
      <c r="T145" s="282" t="e">
        <f>IF(VLOOKUP(T_Convention[[#This Row],[NumL]],T_TraitDi[#Data],COLUMN(T_TraitDi[M5]),FALSE)="","",VLOOKUP(T_Convention[[#This Row],[NumL]],T_TraitDi[#Data],COLUMN(T_TraitDi[M5]),FALSE))</f>
        <v>#N/A</v>
      </c>
      <c r="U145" s="282" t="e">
        <f>IF(VLOOKUP(T_Convention[[#This Row],[NumL]],T_TraitDi[#Data],COLUMN(T_TraitDi[M6]),FALSE)="","",VLOOKUP(T_Convention[[#This Row],[NumL]],T_TraitDi[#Data],COLUMN(T_TraitDi[M6]),FALSE))</f>
        <v>#N/A</v>
      </c>
      <c r="V145" s="176" t="e">
        <f t="shared" si="14"/>
        <v>#N/A</v>
      </c>
      <c r="W145" s="284" t="str">
        <f>IFERROR(TEXT(VLOOKUP(T_Convention[[#This Row],[NumL]],T_TraitDi[#Data],COLUMN(T_TraitDi[Q2]),FALSE),"###%"),"")</f>
        <v/>
      </c>
      <c r="X145" s="97" t="e">
        <f>VLOOKUP(T_Convention[[#This Row],[NumL]],T_TraitDi[#Data],COLUMN(T_TraitDi[Reg Ponct]),FALSE)</f>
        <v>#N/A</v>
      </c>
      <c r="Y145" s="97" t="e">
        <f>VLOOKUP(T_Convention[NumL],T_TraitDi[#Data],COLUMN(T_TraitDi[Jours flottants]),FALSE)</f>
        <v>#N/A</v>
      </c>
      <c r="Z145" s="284" t="str">
        <f>IFERROR(VLOOKUP(T_Convention[[#This Row],[NumL]],T_TraitDi[#Data],COLUMN(T_TraitDi[Lundi]),FALSE),"")</f>
        <v/>
      </c>
      <c r="AA145" s="284" t="e">
        <f>IF(VLOOKUP(T_Convention[[#This Row],[NumL]],T_TraitDi[#Data],COLUMN(T_TraitDi[Colonne3]),FALSE)=0,"",TEXT(IFERROR(VLOOKUP(T_Convention[[#This Row],[NumL]],T_TraitDi[#Data],COLUMN(T_TraitDi[Colonne3]),FALSE),""),"[hh]:mm"))</f>
        <v>#N/A</v>
      </c>
      <c r="AB145" s="284" t="e">
        <f>IF(VLOOKUP(T_Convention[[#This Row],[NumL]],T_TraitDi[#Data],COLUMN(T_TraitDi[Colonne4]),FALSE)=0,"",TEXT(IFERROR(VLOOKUP(T_Convention[[#This Row],[NumL]],T_TraitDi[#Data],COLUMN(T_TraitDi[Colonne4]),FALSE),""),"[hh]:mm"))</f>
        <v>#N/A</v>
      </c>
      <c r="AC145" s="284" t="e">
        <f>IF(VLOOKUP(T_Convention[[#This Row],[NumL]],T_TraitDi[#Data],COLUMN(T_TraitDi[Colonne5]),FALSE)=0,"",TEXT(IFERROR(VLOOKUP(T_Convention[[#This Row],[NumL]],T_TraitDi[#Data],COLUMN(T_TraitDi[Colonne5]),FALSE),""),"[hh]:mm"))</f>
        <v>#N/A</v>
      </c>
      <c r="AD145" s="284" t="e">
        <f>IF(VLOOKUP(T_Convention[[#This Row],[NumL]],T_TraitDi[#Data],COLUMN(T_TraitDi[Colonne6]),FALSE)=0,"",TEXT(IFERROR(VLOOKUP(T_Convention[[#This Row],[NumL]],T_TraitDi[#Data],COLUMN(T_TraitDi[Colonne6]),FALSE),""),"[hh]:mm"))</f>
        <v>#N/A</v>
      </c>
      <c r="AE145" s="284" t="e">
        <f>IF(VLOOKUP(T_Convention[[#This Row],[NumL]],T_TraitDi[#Data],COLUMN(T_TraitDi[Colonne7]),FALSE)=0,"",TEXT(IFERROR(VLOOKUP(T_Convention[[#This Row],[NumL]],T_TraitDi[#Data],COLUMN(T_TraitDi[Colonne7]),FALSE),""),"[hh]:mm"))</f>
        <v>#N/A</v>
      </c>
      <c r="AF145" s="284" t="e">
        <f>IF(VLOOKUP(T_Convention[[#This Row],[NumL]],T_TraitDi[#Data],COLUMN(T_TraitDi[Colonne8]),FALSE)=0,"",TEXT(IFERROR(VLOOKUP(T_Convention[[#This Row],[NumL]],T_TraitDi[#Data],COLUMN(T_TraitDi[Colonne8]),FALSE),""),"[hh]:mm"))</f>
        <v>#N/A</v>
      </c>
      <c r="AG145" s="284" t="str">
        <f>IFERROR(VLOOKUP(T_Convention[[#This Row],[NumL]],T_TraitDi[#Data],COLUMN(T_TraitDi[Mardi]),FALSE),"")</f>
        <v/>
      </c>
      <c r="AH145" s="284" t="e">
        <f>IF(VLOOKUP(T_Convention[[#This Row],[NumL]],T_TraitDi[#Data],COLUMN(T_TraitDi[Colonne1]),FALSE)=0,"",TEXT(IFERROR(VLOOKUP(T_Convention[[#This Row],[NumL]],T_TraitDi[#Data],COLUMN(T_TraitDi[Colonne1]),FALSE),""),"[hh]:mm"))</f>
        <v>#N/A</v>
      </c>
      <c r="AI145" s="284" t="e">
        <f>IF(VLOOKUP(T_Convention[[#This Row],[NumL]],T_TraitDi[#Data],COLUMN(T_TraitDi[Colonne9]),FALSE)=0,"",TEXT(IFERROR(VLOOKUP(T_Convention[[#This Row],[NumL]],T_TraitDi[#Data],COLUMN(T_TraitDi[Colonne9]),FALSE),""),"[hh]:mm"))</f>
        <v>#N/A</v>
      </c>
      <c r="AJ145" s="284" t="str">
        <f>IFERROR(VLOOKUP(T_Convention[[#This Row],[NumL]],T_TraitDi[#Data],COLUMN(T_TraitDi[Colonne10]),FALSE),"")</f>
        <v/>
      </c>
      <c r="AK145" s="284" t="e">
        <f>IF(VLOOKUP(T_Convention[[#This Row],[NumL]],T_TraitDi[#Data],COLUMN(T_TraitDi[Colonne11]),FALSE)=0,"",TEXT(IFERROR(VLOOKUP(T_Convention[[#This Row],[NumL]],T_TraitDi[#Data],COLUMN(T_TraitDi[Colonne11]),FALSE),""),"[hh]:mm"))</f>
        <v>#N/A</v>
      </c>
      <c r="AL145" s="284" t="e">
        <f>IF(VLOOKUP(T_Convention[[#This Row],[NumL]],T_TraitDi[#Data],COLUMN(T_TraitDi[Colonne12]),FALSE)=0,"",TEXT(IFERROR(VLOOKUP(T_Convention[[#This Row],[NumL]],T_TraitDi[#Data],COLUMN(T_TraitDi[Colonne12]),FALSE),""),"[hh]:mm"))</f>
        <v>#N/A</v>
      </c>
      <c r="AM145" s="284" t="e">
        <f>IF(VLOOKUP(T_Convention[[#This Row],[NumL]],T_TraitDi[#Data],COLUMN(T_TraitDi[Colonne14]),FALSE)=0,"",TEXT(IFERROR(VLOOKUP(T_Convention[[#This Row],[NumL]],T_TraitDi[#Data],COLUMN(T_TraitDi[Colonne14]),FALSE),""),"[hh]:mm"))</f>
        <v>#N/A</v>
      </c>
      <c r="AN145" s="284" t="str">
        <f>IFERROR(VLOOKUP(T_Convention[[#This Row],[NumL]],T_TraitDi[#Data],COLUMN(T_TraitDi[Mercredi]),FALSE),"")</f>
        <v/>
      </c>
      <c r="AO145" s="284" t="e">
        <f>IF(VLOOKUP(T_Convention[[#This Row],[NumL]],T_TraitDi[#Data],COLUMN(T_TraitDi[Colonne15]),FALSE)=0,"",TEXT(IFERROR(VLOOKUP(T_Convention[[#This Row],[NumL]],T_TraitDi[#Data],COLUMN(T_TraitDi[Colonne15]),FALSE),""),"[hh]:mm"))</f>
        <v>#N/A</v>
      </c>
      <c r="AP145" s="284" t="e">
        <f>IF(VLOOKUP(T_Convention[[#This Row],[NumL]],T_TraitDi[#Data],COLUMN(T_TraitDi[Colonne16]),FALSE)=0,"",TEXT(IFERROR(VLOOKUP(T_Convention[[#This Row],[NumL]],T_TraitDi[#Data],COLUMN(T_TraitDi[Colonne16]),FALSE),""),"[hh]:mm"))</f>
        <v>#N/A</v>
      </c>
      <c r="AQ145" s="284" t="str">
        <f>IFERROR(VLOOKUP(T_Convention[[#This Row],[NumL]],T_TraitDi[#Data],COLUMN(T_TraitDi[Colonne17]),FALSE),"")</f>
        <v/>
      </c>
      <c r="AR145" s="284" t="e">
        <f>IF(VLOOKUP(T_Convention[[#This Row],[NumL]],T_TraitDi[#Data],COLUMN(T_TraitDi[Colonne18]),FALSE)=0,"",TEXT(IFERROR(VLOOKUP(T_Convention[[#This Row],[NumL]],T_TraitDi[#Data],COLUMN(T_TraitDi[Colonne18]),FALSE),""),"[hh]:mm"))</f>
        <v>#N/A</v>
      </c>
      <c r="AS145" s="284" t="e">
        <f>IF(VLOOKUP(T_Convention[[#This Row],[NumL]],T_TraitDi[#Data],COLUMN(T_TraitDi[Colonne19]),FALSE)=0,"",TEXT(IFERROR(VLOOKUP(T_Convention[[#This Row],[NumL]],T_TraitDi[#Data],COLUMN(T_TraitDi[Colonne19]),FALSE),""),"[hh]:mm"))</f>
        <v>#N/A</v>
      </c>
      <c r="AT145" s="284" t="e">
        <f>IF(VLOOKUP(T_Convention[[#This Row],[NumL]],T_TraitDi[#Data],COLUMN(T_TraitDi[Colonne20]),FALSE)=0,"",TEXT(IFERROR(VLOOKUP(T_Convention[[#This Row],[NumL]],T_TraitDi[#Data],COLUMN(T_TraitDi[Colonne20]),FALSE),""),"[hh]:mm"))</f>
        <v>#N/A</v>
      </c>
      <c r="AU145" s="284" t="str">
        <f>IFERROR(VLOOKUP(T_Convention[[#This Row],[NumL]],T_TraitDi[#Data],COLUMN(T_TraitDi[Jeudi]),FALSE),"")</f>
        <v/>
      </c>
      <c r="AV145" s="284" t="e">
        <f>IF(VLOOKUP(T_Convention[[#This Row],[NumL]],T_TraitDi[#Data],COLUMN(T_TraitDi[Colonne21]),FALSE)=0,"",TEXT(IFERROR(VLOOKUP(T_Convention[[#This Row],[NumL]],T_TraitDi[#Data],COLUMN(T_TraitDi[Colonne21]),FALSE),""),"[hh]:mm"))</f>
        <v>#N/A</v>
      </c>
      <c r="AW145" s="284" t="e">
        <f>IF(VLOOKUP(T_Convention[[#This Row],[NumL]],T_TraitDi[#Data],COLUMN(T_TraitDi[Colonne22]),FALSE)=0,"",TEXT(IFERROR(VLOOKUP(T_Convention[[#This Row],[NumL]],T_TraitDi[#Data],COLUMN(T_TraitDi[Colonne22]),FALSE),""),"[hh]:mm"))</f>
        <v>#N/A</v>
      </c>
      <c r="AX145" s="284" t="str">
        <f>IFERROR(VLOOKUP(T_Convention[[#This Row],[NumL]],T_TraitDi[#Data],COLUMN(T_TraitDi[Colonne23]),FALSE),"")</f>
        <v/>
      </c>
      <c r="AY145" s="284" t="e">
        <f>IF(VLOOKUP(T_Convention[[#This Row],[NumL]],T_TraitDi[#Data],COLUMN(T_TraitDi[Colonne24]),FALSE)=0,"",TEXT(IFERROR(VLOOKUP(T_Convention[[#This Row],[NumL]],T_TraitDi[#Data],COLUMN(T_TraitDi[Colonne24]),FALSE),""),"[hh]:mm"))</f>
        <v>#N/A</v>
      </c>
      <c r="AZ145" s="284" t="e">
        <f>IF(VLOOKUP(T_Convention[[#This Row],[NumL]],T_TraitDi[#Data],COLUMN(T_TraitDi[Colonne25]),FALSE)=0,"",TEXT(IFERROR(VLOOKUP(T_Convention[[#This Row],[NumL]],T_TraitDi[#Data],COLUMN(T_TraitDi[Colonne25]),FALSE),""),"[hh]:mm"))</f>
        <v>#N/A</v>
      </c>
      <c r="BA145" s="284" t="e">
        <f>IF(VLOOKUP(T_Convention[[#This Row],[NumL]],T_TraitDi[#Data],COLUMN(T_TraitDi[Colonne26]),FALSE)=0,"",TEXT(IFERROR(VLOOKUP(T_Convention[[#This Row],[NumL]],T_TraitDi[#Data],COLUMN(T_TraitDi[Colonne26]),FALSE),""),"[hh]:mm"))</f>
        <v>#N/A</v>
      </c>
      <c r="BB145" s="284" t="str">
        <f>IFERROR(VLOOKUP(T_Convention[[#This Row],[NumL]],T_TraitDi[#Data],COLUMN(T_TraitDi[Vendredi]),FALSE),"")</f>
        <v/>
      </c>
      <c r="BC145" s="284" t="e">
        <f>IF(VLOOKUP(T_Convention[[#This Row],[NumL]],T_TraitDi[#Data],COLUMN(T_TraitDi[Colonne27]),FALSE)=0,"",TEXT(IFERROR(VLOOKUP(T_Convention[[#This Row],[NumL]],T_TraitDi[#Data],COLUMN(T_TraitDi[Colonne27]),FALSE),""),"[hh]:mm"))</f>
        <v>#N/A</v>
      </c>
      <c r="BD145" s="284" t="e">
        <f>IF(VLOOKUP(T_Convention[[#This Row],[NumL]],T_TraitDi[#Data],COLUMN(T_TraitDi[Colonne28]),FALSE)=0,"",TEXT(IFERROR(VLOOKUP(T_Convention[[#This Row],[NumL]],T_TraitDi[#Data],COLUMN(T_TraitDi[Colonne28]),FALSE),""),"[hh]:mm"))</f>
        <v>#N/A</v>
      </c>
      <c r="BE145" s="284" t="str">
        <f>IFERROR(VLOOKUP(T_Convention[[#This Row],[NumL]],T_TraitDi[#Data],COLUMN(T_TraitDi[Colonne29]),FALSE),"")</f>
        <v/>
      </c>
      <c r="BF145" s="284" t="e">
        <f>IF(VLOOKUP(T_Convention[[#This Row],[NumL]],T_TraitDi[#Data],COLUMN(T_TraitDi[Colonne30]),FALSE)=0,"",TEXT(IFERROR(VLOOKUP(T_Convention[[#This Row],[NumL]],T_TraitDi[#Data],COLUMN(T_TraitDi[Colonne30]),FALSE),""),"[hh]:mm"))</f>
        <v>#N/A</v>
      </c>
      <c r="BG145" s="284" t="e">
        <f>IF(VLOOKUP(T_Convention[[#This Row],[NumL]],T_TraitDi[#Data],COLUMN(T_TraitDi[Colonne31]),FALSE)=0,"",TEXT(IFERROR(VLOOKUP(T_Convention[[#This Row],[NumL]],T_TraitDi[#Data],COLUMN(T_TraitDi[Colonne31]),FALSE),""),"[hh]:mm"))</f>
        <v>#N/A</v>
      </c>
      <c r="BH145" s="284" t="e">
        <f>IF(VLOOKUP(T_Convention[[#This Row],[NumL]],T_TraitDi[#Data],COLUMN(T_TraitDi[Colonne32]),FALSE)=0,"",TEXT(IFERROR(VLOOKUP(T_Convention[[#This Row],[NumL]],T_TraitDi[#Data],COLUMN(T_TraitDi[Colonne32]),FALSE),""),"[hh]:mm"))</f>
        <v>#N/A</v>
      </c>
      <c r="BI145" s="284" t="str">
        <f>IFERROR(VLOOKUP(T_Convention[[#This Row],[NumL]],T_TraitDi[#Data],COLUMN(T_TraitDi[NbJTW]),FALSE),"")</f>
        <v/>
      </c>
      <c r="BJ145" s="284" t="e">
        <f>IF(VLOOKUP(T_Convention[[#This Row],[NumL]],T_TraitDi[#Data],COLUMN(T_TraitDi[NbhTW]),FALSE)=0,"",TEXT(IFERROR(VLOOKUP(T_Convention[[#This Row],[NumL]],T_TraitDi[#Data],COLUMN(T_TraitDi[NbhTW]),FALSE),""),"[hh]:mm"))</f>
        <v>#N/A</v>
      </c>
      <c r="BK145" s="286" t="e">
        <f>IF(VLOOKUP(T_Convention[[#This Row],[NumL]],T_TraitDi[#Data],COLUMN(T_TraitDi[Nbhheb]),FALSE)=0,"",TEXT(IFERROR(VLOOKUP(T_Convention[[#This Row],[NumL]],T_TraitDi[#Data],COLUMN(T_TraitDi[Nbhheb]),FALSE),""),"[hh]:mm"))</f>
        <v>#N/A</v>
      </c>
      <c r="BL145" s="287" t="str">
        <f>IFERROR(VLOOKUP(VLOOKUP(T_Convention[[#This Row],[NumL]],T_TraitDi[#Data],COLUMN(T_TraitDi[Type1]),FALSE),TypeTW,2,FALSE),"")</f>
        <v/>
      </c>
      <c r="BM145" s="288" t="str">
        <f>IFERROR(VLOOKUP(T_Convention[[#This Row],[NumL]],T_TraitDi[#Data],COLUMN(T_TraitDi[Rue1]),FALSE),"")</f>
        <v/>
      </c>
      <c r="BN145" s="289" t="str">
        <f>IFERROR(VLOOKUP(T_Convention[[#This Row],[NumL]],T_TraitDi[#Data],COLUMN(T_TraitDi[CP1]),FALSE),"")</f>
        <v/>
      </c>
      <c r="BO145" s="282" t="str">
        <f>IFERROR(VLOOKUP(T_Convention[[#This Row],[NumL]],T_TraitDi[#Data],COLUMN(T_TraitDi[VILLE1]),FALSE),"")</f>
        <v/>
      </c>
      <c r="BP145" s="290" t="str">
        <f>IFERROR(VLOOKUP(VLOOKUP(T_Convention[[#This Row],[NumL]],T_TraitDi[#Data],COLUMN(T_TraitDi[Type2]),FALSE),TypeTW,2,FALSE),"")</f>
        <v/>
      </c>
      <c r="BQ145" s="182" t="str">
        <f>IFERROR(VLOOKUP(T_Convention[[#This Row],[NumL]],T_TraitDi[#Data],COLUMN(T_TraitDi[Rue2]),FALSE),"")</f>
        <v/>
      </c>
      <c r="BR145" s="173" t="str">
        <f>IFERROR(VLOOKUP(T_Convention[[#This Row],[NumL]],T_TraitDi[#Data],COLUMN(T_TraitDi[CP2]),FALSE),"")</f>
        <v/>
      </c>
      <c r="BS145" s="173" t="str">
        <f>IFERROR(VLOOKUP(T_Convention[[#This Row],[NumL]],T_TraitDi[#Data],COLUMN(T_TraitDi[VILLE2]),FALSE),"")</f>
        <v/>
      </c>
      <c r="BT145" s="182" t="str">
        <f>IF(VLOOKUP(T_Convention[[#This Row],[NumL]],T_Equipement[#Data],COLUMN(T_Equipement[PC]),FALSE)="","Aucun équipement spécifique directement lié au télétravail",VLOOKUP(T_Convention[[#This Row],[NumL]],T_Equipement[#Data],COLUMN(T_Equipement[PC]),FALSE))</f>
        <v xml:space="preserve">18-021	</v>
      </c>
      <c r="BU145" s="166" t="str">
        <f>IFERROR(IF(VLOOKUP(T_Convention[[#This Row],[NumL]],T_TraitDi[#Data],COLUMN(T_TraitDi[Plan]),FALSE)="OK","Un planning spécifique de télétravail est annexé à la présente convention.",""),"")</f>
        <v/>
      </c>
      <c r="BV145" s="185" t="s">
        <v>3435</v>
      </c>
      <c r="BW145" s="164" t="e">
        <f>IF(VLOOKUP(T_Convention[[#This Row],[NumL]],T_suiviDi[#Data],COLUMN(T_suiviDi[Entité]),FALSE)="","",VLOOKUP(T_Convention[[#This Row],[NumL]],T_suiviDi[#Data],COLUMN(T_suiviDi[Entité]),FALSE))</f>
        <v>#N/A</v>
      </c>
      <c r="BX145" s="164" t="str">
        <f>IF(VLOOKUP(T_Convention[[#This Row],[NumL]],T_Commission[#Data],COLUMN(T_Commission[envoi confirm TW]),FALSE)="","",VLOOKUP(T_Convention[[#This Row],[NumL]],T_Commission[#Data],COLUMN(T_Commission[envoi confirm TW]),FALSE))</f>
        <v>Oui</v>
      </c>
      <c r="BY14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5" s="264">
        <f>VLOOKUP(T_Convention[[#This Row],[NumL]],T_Commission[#Data],COLUMN(T_Commission[Commentaire]),FALSE)</f>
        <v>0</v>
      </c>
      <c r="CA145" s="254" t="str">
        <f>IF(VLOOKUP(T_Convention[[#This Row],[NumL]],T_Commission[#Data],COLUMN(T_Commission[Encadrant Email]),FALSE)="","",VLOOKUP(T_Convention[[#This Row],[NumL]],T_Commission[#Data],COLUMN(T_Commission[Encadrant Email]),FALSE))</f>
        <v/>
      </c>
      <c r="CB145" s="352" t="e">
        <f>VLOOKUP(T_Convention[[#This Row],[NumL]],T_TraitDi[#Data],COLUMN(T_TraitDi[NbJTot]),FALSE)</f>
        <v>#N/A</v>
      </c>
      <c r="CC145" s="352" t="e">
        <f>VLOOKUP(T_Convention[[#This Row],[NumL]],T_TraitDi[#Data],COLUMN(T_TraitDi[Reg Ponct]),FALSE)</f>
        <v>#N/A</v>
      </c>
      <c r="CD145" s="348" t="str">
        <f>IF(T_Convention[[#This Row],[Final]]&lt;&gt;"",VLOOKUP(T_Convention[[#This Row],[NumL]],T_suiviDi[#Data],COLUMN((T_suiviDi[Statut])),FALSE),"")</f>
        <v/>
      </c>
    </row>
    <row r="146" spans="1:82" s="106" customFormat="1" ht="18.75" customHeight="1" x14ac:dyDescent="0.25">
      <c r="A146" s="160">
        <v>112</v>
      </c>
      <c r="B146" s="161" t="str">
        <f>VLOOKUP(T_Convention[[#This Row],[NumL]],T_Commission[#Data],COLUMN(T_Commission[FINAL]),FALSE)</f>
        <v/>
      </c>
      <c r="C146" s="162"/>
      <c r="D146" s="95" t="e">
        <f>IF(VLOOKUP(T_Convention[[#This Row],[NumL]],T_TraitDi[#Data],COLUMN(T_TraitDi[WebC]),FALSE)="","",VLOOKUP(T_Convention[[#This Row],[NumL]],T_TraitDi[#Data],COLUMN(T_TraitDi[WebC]),FALSE))</f>
        <v>#N/A</v>
      </c>
      <c r="E146" s="163" t="str">
        <f t="shared" si="10"/>
        <v>12 janvier 2021</v>
      </c>
      <c r="F146" s="282" t="str">
        <f>IF(T_Convention[[#This Row],[Final]]&lt;&gt;"",VLOOKUP(T_Convention[[#This Row],[NumL]],T_suiviDi[#Data],COLUMN((T_suiviDi[Civ.])),FALSE),"")</f>
        <v/>
      </c>
      <c r="G146" s="283" t="str">
        <f>IF(T_Convention[[#This Row],[Final]]&lt;&gt;"",VLOOKUP(T_Convention[[#This Row],[NumL]],T_suiviDi[#Data],COLUMN((T_suiviDi[Nom])),FALSE),"")</f>
        <v/>
      </c>
      <c r="H146" s="282" t="str">
        <f>IF(T_Convention[[#This Row],[Final]]&lt;&gt;"",VLOOKUP(T_Convention[[#This Row],[NumL]],T_suiviDi[#Data],COLUMN((T_suiviDi[Prénom])),FALSE),"")</f>
        <v/>
      </c>
      <c r="I146" s="282" t="e">
        <f>VLOOKUP(T_Convention[[#This Row],[NumL]],T_suiviDi[#Data],COLUMN((T_suiviDi[[#This Row],[Email]])),FALSE)</f>
        <v>#VALUE!</v>
      </c>
      <c r="J146" s="282" t="e">
        <f>IF(VLOOKUP(T_Convention[[#This Row],[NumL]],T_suiviDi[#Data],COLUMN(T_suiviDi[[#This Row],[Fonction]]),FALSE)="","",VLOOKUP(T_Convention[[#This Row],[NumL]],T_suiviDi[#Data],COLUMN(T_suiviDi[[#This Row],[Fonction]]),FALSE))</f>
        <v>#VALUE!</v>
      </c>
      <c r="K146" s="282" t="e">
        <f>IF(VLOOKUP(T_Convention[[#This Row],[NumL]],T_suiviDi[#Data],COLUMN(T_suiviDi[[#This Row],[Grade]]),FALSE)="","",VLOOKUP(T_Convention[[#This Row],[NumL]],T_suiviDi[#Data],COLUMN(T_suiviDi[[#This Row],[Grade]]),FALSE))</f>
        <v>#VALUE!</v>
      </c>
      <c r="L146" s="282" t="e">
        <f>IF(VLOOKUP(T_Convention[[#This Row],[NumL]],T_suiviDi[#Data],COLUMN(T_suiviDi[[#This Row],[Service ]]),FALSE)="","",VLOOKUP(T_Convention[[#This Row],[NumL]],T_suiviDi[#Data],COLUMN(T_suiviDi[[#This Row],[Service ]]),FALSE))</f>
        <v>#VALUE!</v>
      </c>
      <c r="M146" s="164" t="str">
        <f t="shared" si="11"/>
        <v>01 septembre 2021</v>
      </c>
      <c r="N146" s="164" t="str">
        <f t="shared" si="12"/>
        <v>30 novembre 2021</v>
      </c>
      <c r="O146" s="284" t="str">
        <f t="shared" si="13"/>
        <v>30 novembre 2021</v>
      </c>
      <c r="P146" s="282" t="e">
        <f>IF(VLOOKUP(T_Convention[[#This Row],[NumL]],T_TraitDi[#Data],COLUMN(T_TraitDi[M1]),FALSE)="","",VLOOKUP(T_Convention[[#This Row],[NumL]],T_TraitDi[#Data],COLUMN(T_TraitDi[M1]),FALSE))</f>
        <v>#N/A</v>
      </c>
      <c r="Q146" s="282" t="e">
        <f>IF(VLOOKUP(T_Convention[[#This Row],[NumL]],T_TraitDi[#Data],COLUMN(T_TraitDi[M2]),FALSE)="","",VLOOKUP(T_Convention[[#This Row],[NumL]],T_TraitDi[#Data],COLUMN(T_TraitDi[M2]),FALSE))</f>
        <v>#N/A</v>
      </c>
      <c r="R146" s="282" t="e">
        <f>IF(VLOOKUP(T_Convention[[#This Row],[NumL]],T_TraitDi[#Data],COLUMN(T_TraitDi[M3]),FALSE)="","",VLOOKUP(T_Convention[[#This Row],[NumL]],T_TraitDi[#Data],COLUMN(T_TraitDi[M3]),FALSE))</f>
        <v>#N/A</v>
      </c>
      <c r="S146" s="282" t="e">
        <f>IF(VLOOKUP(T_Convention[[#This Row],[NumL]],T_TraitDi[#Data],COLUMN(T_TraitDi[M4]),FALSE)="","",VLOOKUP(T_Convention[[#This Row],[NumL]],T_TraitDi[#Data],COLUMN(T_TraitDi[M4]),FALSE))</f>
        <v>#N/A</v>
      </c>
      <c r="T146" s="282" t="e">
        <f>IF(VLOOKUP(T_Convention[[#This Row],[NumL]],T_TraitDi[#Data],COLUMN(T_TraitDi[M5]),FALSE)="","",VLOOKUP(T_Convention[[#This Row],[NumL]],T_TraitDi[#Data],COLUMN(T_TraitDi[M5]),FALSE))</f>
        <v>#N/A</v>
      </c>
      <c r="U146" s="282" t="e">
        <f>IF(VLOOKUP(T_Convention[[#This Row],[NumL]],T_TraitDi[#Data],COLUMN(T_TraitDi[M6]),FALSE)="","",VLOOKUP(T_Convention[[#This Row],[NumL]],T_TraitDi[#Data],COLUMN(T_TraitDi[M6]),FALSE))</f>
        <v>#N/A</v>
      </c>
      <c r="V146" s="176" t="e">
        <f t="shared" si="14"/>
        <v>#N/A</v>
      </c>
      <c r="W146" s="284" t="str">
        <f>IFERROR(TEXT(VLOOKUP(T_Convention[[#This Row],[NumL]],T_TraitDi[#Data],COLUMN(T_TraitDi[Q2]),FALSE),"###%"),"")</f>
        <v/>
      </c>
      <c r="X146" s="97" t="e">
        <f>VLOOKUP(T_Convention[[#This Row],[NumL]],T_TraitDi[#Data],COLUMN(T_TraitDi[Reg Ponct]),FALSE)</f>
        <v>#N/A</v>
      </c>
      <c r="Y146" s="97" t="e">
        <f>VLOOKUP(T_Convention[NumL],T_TraitDi[#Data],COLUMN(T_TraitDi[Jours flottants]),FALSE)</f>
        <v>#N/A</v>
      </c>
      <c r="Z146" s="284" t="str">
        <f>IFERROR(VLOOKUP(T_Convention[[#This Row],[NumL]],T_TraitDi[#Data],COLUMN(T_TraitDi[Lundi]),FALSE),"")</f>
        <v/>
      </c>
      <c r="AA146" s="284" t="e">
        <f>IF(VLOOKUP(T_Convention[[#This Row],[NumL]],T_TraitDi[#Data],COLUMN(T_TraitDi[Colonne3]),FALSE)=0,"",TEXT(IFERROR(VLOOKUP(T_Convention[[#This Row],[NumL]],T_TraitDi[#Data],COLUMN(T_TraitDi[Colonne3]),FALSE),""),"[hh]:mm"))</f>
        <v>#N/A</v>
      </c>
      <c r="AB146" s="284" t="e">
        <f>IF(VLOOKUP(T_Convention[[#This Row],[NumL]],T_TraitDi[#Data],COLUMN(T_TraitDi[Colonne4]),FALSE)=0,"",TEXT(IFERROR(VLOOKUP(T_Convention[[#This Row],[NumL]],T_TraitDi[#Data],COLUMN(T_TraitDi[Colonne4]),FALSE),""),"[hh]:mm"))</f>
        <v>#N/A</v>
      </c>
      <c r="AC146" s="284" t="e">
        <f>IF(VLOOKUP(T_Convention[[#This Row],[NumL]],T_TraitDi[#Data],COLUMN(T_TraitDi[Colonne5]),FALSE)=0,"",TEXT(IFERROR(VLOOKUP(T_Convention[[#This Row],[NumL]],T_TraitDi[#Data],COLUMN(T_TraitDi[Colonne5]),FALSE),""),"[hh]:mm"))</f>
        <v>#N/A</v>
      </c>
      <c r="AD146" s="284" t="e">
        <f>IF(VLOOKUP(T_Convention[[#This Row],[NumL]],T_TraitDi[#Data],COLUMN(T_TraitDi[Colonne6]),FALSE)=0,"",TEXT(IFERROR(VLOOKUP(T_Convention[[#This Row],[NumL]],T_TraitDi[#Data],COLUMN(T_TraitDi[Colonne6]),FALSE),""),"[hh]:mm"))</f>
        <v>#N/A</v>
      </c>
      <c r="AE146" s="284" t="e">
        <f>IF(VLOOKUP(T_Convention[[#This Row],[NumL]],T_TraitDi[#Data],COLUMN(T_TraitDi[Colonne7]),FALSE)=0,"",TEXT(IFERROR(VLOOKUP(T_Convention[[#This Row],[NumL]],T_TraitDi[#Data],COLUMN(T_TraitDi[Colonne7]),FALSE),""),"[hh]:mm"))</f>
        <v>#N/A</v>
      </c>
      <c r="AF146" s="284" t="e">
        <f>IF(VLOOKUP(T_Convention[[#This Row],[NumL]],T_TraitDi[#Data],COLUMN(T_TraitDi[Colonne8]),FALSE)=0,"",TEXT(IFERROR(VLOOKUP(T_Convention[[#This Row],[NumL]],T_TraitDi[#Data],COLUMN(T_TraitDi[Colonne8]),FALSE),""),"[hh]:mm"))</f>
        <v>#N/A</v>
      </c>
      <c r="AG146" s="284" t="str">
        <f>IFERROR(VLOOKUP(T_Convention[[#This Row],[NumL]],T_TraitDi[#Data],COLUMN(T_TraitDi[Mardi]),FALSE),"")</f>
        <v/>
      </c>
      <c r="AH146" s="284" t="e">
        <f>IF(VLOOKUP(T_Convention[[#This Row],[NumL]],T_TraitDi[#Data],COLUMN(T_TraitDi[Colonne1]),FALSE)=0,"",TEXT(IFERROR(VLOOKUP(T_Convention[[#This Row],[NumL]],T_TraitDi[#Data],COLUMN(T_TraitDi[Colonne1]),FALSE),""),"[hh]:mm"))</f>
        <v>#N/A</v>
      </c>
      <c r="AI146" s="284" t="e">
        <f>IF(VLOOKUP(T_Convention[[#This Row],[NumL]],T_TraitDi[#Data],COLUMN(T_TraitDi[Colonne9]),FALSE)=0,"",TEXT(IFERROR(VLOOKUP(T_Convention[[#This Row],[NumL]],T_TraitDi[#Data],COLUMN(T_TraitDi[Colonne9]),FALSE),""),"[hh]:mm"))</f>
        <v>#N/A</v>
      </c>
      <c r="AJ146" s="284" t="str">
        <f>IFERROR(VLOOKUP(T_Convention[[#This Row],[NumL]],T_TraitDi[#Data],COLUMN(T_TraitDi[Colonne10]),FALSE),"")</f>
        <v/>
      </c>
      <c r="AK146" s="284" t="e">
        <f>IF(VLOOKUP(T_Convention[[#This Row],[NumL]],T_TraitDi[#Data],COLUMN(T_TraitDi[Colonne11]),FALSE)=0,"",TEXT(IFERROR(VLOOKUP(T_Convention[[#This Row],[NumL]],T_TraitDi[#Data],COLUMN(T_TraitDi[Colonne11]),FALSE),""),"[hh]:mm"))</f>
        <v>#N/A</v>
      </c>
      <c r="AL146" s="284" t="e">
        <f>IF(VLOOKUP(T_Convention[[#This Row],[NumL]],T_TraitDi[#Data],COLUMN(T_TraitDi[Colonne12]),FALSE)=0,"",TEXT(IFERROR(VLOOKUP(T_Convention[[#This Row],[NumL]],T_TraitDi[#Data],COLUMN(T_TraitDi[Colonne12]),FALSE),""),"[hh]:mm"))</f>
        <v>#N/A</v>
      </c>
      <c r="AM146" s="284" t="e">
        <f>IF(VLOOKUP(T_Convention[[#This Row],[NumL]],T_TraitDi[#Data],COLUMN(T_TraitDi[Colonne14]),FALSE)=0,"",TEXT(IFERROR(VLOOKUP(T_Convention[[#This Row],[NumL]],T_TraitDi[#Data],COLUMN(T_TraitDi[Colonne14]),FALSE),""),"[hh]:mm"))</f>
        <v>#N/A</v>
      </c>
      <c r="AN146" s="284" t="str">
        <f>IFERROR(VLOOKUP(T_Convention[[#This Row],[NumL]],T_TraitDi[#Data],COLUMN(T_TraitDi[Mercredi]),FALSE),"")</f>
        <v/>
      </c>
      <c r="AO146" s="284" t="e">
        <f>IF(VLOOKUP(T_Convention[[#This Row],[NumL]],T_TraitDi[#Data],COLUMN(T_TraitDi[Colonne15]),FALSE)=0,"",TEXT(IFERROR(VLOOKUP(T_Convention[[#This Row],[NumL]],T_TraitDi[#Data],COLUMN(T_TraitDi[Colonne15]),FALSE),""),"[hh]:mm"))</f>
        <v>#N/A</v>
      </c>
      <c r="AP146" s="284" t="e">
        <f>IF(VLOOKUP(T_Convention[[#This Row],[NumL]],T_TraitDi[#Data],COLUMN(T_TraitDi[Colonne16]),FALSE)=0,"",TEXT(IFERROR(VLOOKUP(T_Convention[[#This Row],[NumL]],T_TraitDi[#Data],COLUMN(T_TraitDi[Colonne16]),FALSE),""),"[hh]:mm"))</f>
        <v>#N/A</v>
      </c>
      <c r="AQ146" s="284" t="str">
        <f>IFERROR(VLOOKUP(T_Convention[[#This Row],[NumL]],T_TraitDi[#Data],COLUMN(T_TraitDi[Colonne17]),FALSE),"")</f>
        <v/>
      </c>
      <c r="AR146" s="284" t="e">
        <f>IF(VLOOKUP(T_Convention[[#This Row],[NumL]],T_TraitDi[#Data],COLUMN(T_TraitDi[Colonne18]),FALSE)=0,"",TEXT(IFERROR(VLOOKUP(T_Convention[[#This Row],[NumL]],T_TraitDi[#Data],COLUMN(T_TraitDi[Colonne18]),FALSE),""),"[hh]:mm"))</f>
        <v>#N/A</v>
      </c>
      <c r="AS146" s="284" t="e">
        <f>IF(VLOOKUP(T_Convention[[#This Row],[NumL]],T_TraitDi[#Data],COLUMN(T_TraitDi[Colonne19]),FALSE)=0,"",TEXT(IFERROR(VLOOKUP(T_Convention[[#This Row],[NumL]],T_TraitDi[#Data],COLUMN(T_TraitDi[Colonne19]),FALSE),""),"[hh]:mm"))</f>
        <v>#N/A</v>
      </c>
      <c r="AT146" s="284" t="e">
        <f>IF(VLOOKUP(T_Convention[[#This Row],[NumL]],T_TraitDi[#Data],COLUMN(T_TraitDi[Colonne20]),FALSE)=0,"",TEXT(IFERROR(VLOOKUP(T_Convention[[#This Row],[NumL]],T_TraitDi[#Data],COLUMN(T_TraitDi[Colonne20]),FALSE),""),"[hh]:mm"))</f>
        <v>#N/A</v>
      </c>
      <c r="AU146" s="284" t="str">
        <f>IFERROR(VLOOKUP(T_Convention[[#This Row],[NumL]],T_TraitDi[#Data],COLUMN(T_TraitDi[Jeudi]),FALSE),"")</f>
        <v/>
      </c>
      <c r="AV146" s="284" t="e">
        <f>IF(VLOOKUP(T_Convention[[#This Row],[NumL]],T_TraitDi[#Data],COLUMN(T_TraitDi[Colonne21]),FALSE)=0,"",TEXT(IFERROR(VLOOKUP(T_Convention[[#This Row],[NumL]],T_TraitDi[#Data],COLUMN(T_TraitDi[Colonne21]),FALSE),""),"[hh]:mm"))</f>
        <v>#N/A</v>
      </c>
      <c r="AW146" s="284" t="e">
        <f>IF(VLOOKUP(T_Convention[[#This Row],[NumL]],T_TraitDi[#Data],COLUMN(T_TraitDi[Colonne22]),FALSE)=0,"",TEXT(IFERROR(VLOOKUP(T_Convention[[#This Row],[NumL]],T_TraitDi[#Data],COLUMN(T_TraitDi[Colonne22]),FALSE),""),"[hh]:mm"))</f>
        <v>#N/A</v>
      </c>
      <c r="AX146" s="284" t="str">
        <f>IFERROR(VLOOKUP(T_Convention[[#This Row],[NumL]],T_TraitDi[#Data],COLUMN(T_TraitDi[Colonne23]),FALSE),"")</f>
        <v/>
      </c>
      <c r="AY146" s="284" t="e">
        <f>IF(VLOOKUP(T_Convention[[#This Row],[NumL]],T_TraitDi[#Data],COLUMN(T_TraitDi[Colonne24]),FALSE)=0,"",TEXT(IFERROR(VLOOKUP(T_Convention[[#This Row],[NumL]],T_TraitDi[#Data],COLUMN(T_TraitDi[Colonne24]),FALSE),""),"[hh]:mm"))</f>
        <v>#N/A</v>
      </c>
      <c r="AZ146" s="284" t="e">
        <f>IF(VLOOKUP(T_Convention[[#This Row],[NumL]],T_TraitDi[#Data],COLUMN(T_TraitDi[Colonne25]),FALSE)=0,"",TEXT(IFERROR(VLOOKUP(T_Convention[[#This Row],[NumL]],T_TraitDi[#Data],COLUMN(T_TraitDi[Colonne25]),FALSE),""),"[hh]:mm"))</f>
        <v>#N/A</v>
      </c>
      <c r="BA146" s="284" t="e">
        <f>IF(VLOOKUP(T_Convention[[#This Row],[NumL]],T_TraitDi[#Data],COLUMN(T_TraitDi[Colonne26]),FALSE)=0,"",TEXT(IFERROR(VLOOKUP(T_Convention[[#This Row],[NumL]],T_TraitDi[#Data],COLUMN(T_TraitDi[Colonne26]),FALSE),""),"[hh]:mm"))</f>
        <v>#N/A</v>
      </c>
      <c r="BB146" s="284" t="str">
        <f>IFERROR(VLOOKUP(T_Convention[[#This Row],[NumL]],T_TraitDi[#Data],COLUMN(T_TraitDi[Vendredi]),FALSE),"")</f>
        <v/>
      </c>
      <c r="BC146" s="284" t="e">
        <f>IF(VLOOKUP(T_Convention[[#This Row],[NumL]],T_TraitDi[#Data],COLUMN(T_TraitDi[Colonne27]),FALSE)=0,"",TEXT(IFERROR(VLOOKUP(T_Convention[[#This Row],[NumL]],T_TraitDi[#Data],COLUMN(T_TraitDi[Colonne27]),FALSE),""),"[hh]:mm"))</f>
        <v>#N/A</v>
      </c>
      <c r="BD146" s="284" t="e">
        <f>IF(VLOOKUP(T_Convention[[#This Row],[NumL]],T_TraitDi[#Data],COLUMN(T_TraitDi[Colonne28]),FALSE)=0,"",TEXT(IFERROR(VLOOKUP(T_Convention[[#This Row],[NumL]],T_TraitDi[#Data],COLUMN(T_TraitDi[Colonne28]),FALSE),""),"[hh]:mm"))</f>
        <v>#N/A</v>
      </c>
      <c r="BE146" s="284" t="str">
        <f>IFERROR(VLOOKUP(T_Convention[[#This Row],[NumL]],T_TraitDi[#Data],COLUMN(T_TraitDi[Colonne29]),FALSE),"")</f>
        <v/>
      </c>
      <c r="BF146" s="284" t="e">
        <f>IF(VLOOKUP(T_Convention[[#This Row],[NumL]],T_TraitDi[#Data],COLUMN(T_TraitDi[Colonne30]),FALSE)=0,"",TEXT(IFERROR(VLOOKUP(T_Convention[[#This Row],[NumL]],T_TraitDi[#Data],COLUMN(T_TraitDi[Colonne30]),FALSE),""),"[hh]:mm"))</f>
        <v>#N/A</v>
      </c>
      <c r="BG146" s="284" t="e">
        <f>IF(VLOOKUP(T_Convention[[#This Row],[NumL]],T_TraitDi[#Data],COLUMN(T_TraitDi[Colonne31]),FALSE)=0,"",TEXT(IFERROR(VLOOKUP(T_Convention[[#This Row],[NumL]],T_TraitDi[#Data],COLUMN(T_TraitDi[Colonne31]),FALSE),""),"[hh]:mm"))</f>
        <v>#N/A</v>
      </c>
      <c r="BH146" s="284" t="e">
        <f>IF(VLOOKUP(T_Convention[[#This Row],[NumL]],T_TraitDi[#Data],COLUMN(T_TraitDi[Colonne32]),FALSE)=0,"",TEXT(IFERROR(VLOOKUP(T_Convention[[#This Row],[NumL]],T_TraitDi[#Data],COLUMN(T_TraitDi[Colonne32]),FALSE),""),"[hh]:mm"))</f>
        <v>#N/A</v>
      </c>
      <c r="BI146" s="284" t="str">
        <f>IFERROR(VLOOKUP(T_Convention[[#This Row],[NumL]],T_TraitDi[#Data],COLUMN(T_TraitDi[NbJTW]),FALSE),"")</f>
        <v/>
      </c>
      <c r="BJ146" s="284" t="e">
        <f>IF(VLOOKUP(T_Convention[[#This Row],[NumL]],T_TraitDi[#Data],COLUMN(T_TraitDi[NbhTW]),FALSE)=0,"",TEXT(IFERROR(VLOOKUP(T_Convention[[#This Row],[NumL]],T_TraitDi[#Data],COLUMN(T_TraitDi[NbhTW]),FALSE),""),"[hh]:mm"))</f>
        <v>#N/A</v>
      </c>
      <c r="BK146" s="286" t="e">
        <f>IF(VLOOKUP(T_Convention[[#This Row],[NumL]],T_TraitDi[#Data],COLUMN(T_TraitDi[Nbhheb]),FALSE)=0,"",TEXT(IFERROR(VLOOKUP(T_Convention[[#This Row],[NumL]],T_TraitDi[#Data],COLUMN(T_TraitDi[Nbhheb]),FALSE),""),"[hh]:mm"))</f>
        <v>#N/A</v>
      </c>
      <c r="BL146" s="287" t="str">
        <f>IFERROR(VLOOKUP(VLOOKUP(T_Convention[[#This Row],[NumL]],T_TraitDi[#Data],COLUMN(T_TraitDi[Type1]),FALSE),TypeTW,2,FALSE),"")</f>
        <v/>
      </c>
      <c r="BM146" s="288" t="str">
        <f>IFERROR(VLOOKUP(T_Convention[[#This Row],[NumL]],T_TraitDi[#Data],COLUMN(T_TraitDi[Rue1]),FALSE),"")</f>
        <v/>
      </c>
      <c r="BN146" s="289" t="str">
        <f>IFERROR(VLOOKUP(T_Convention[[#This Row],[NumL]],T_TraitDi[#Data],COLUMN(T_TraitDi[CP1]),FALSE),"")</f>
        <v/>
      </c>
      <c r="BO146" s="282" t="str">
        <f>IFERROR(VLOOKUP(T_Convention[[#This Row],[NumL]],T_TraitDi[#Data],COLUMN(T_TraitDi[VILLE1]),FALSE),"")</f>
        <v/>
      </c>
      <c r="BP146" s="290" t="str">
        <f>IFERROR(VLOOKUP(VLOOKUP(T_Convention[[#This Row],[NumL]],T_TraitDi[#Data],COLUMN(T_TraitDi[Type2]),FALSE),TypeTW,2,FALSE),"")</f>
        <v/>
      </c>
      <c r="BQ146" s="182" t="str">
        <f>IFERROR(VLOOKUP(T_Convention[[#This Row],[NumL]],T_TraitDi[#Data],COLUMN(T_TraitDi[Rue2]),FALSE),"")</f>
        <v/>
      </c>
      <c r="BR146" s="173" t="str">
        <f>IFERROR(VLOOKUP(T_Convention[[#This Row],[NumL]],T_TraitDi[#Data],COLUMN(T_TraitDi[CP2]),FALSE),"")</f>
        <v/>
      </c>
      <c r="BS146" s="173" t="str">
        <f>IFERROR(VLOOKUP(T_Convention[[#This Row],[NumL]],T_TraitDi[#Data],COLUMN(T_TraitDi[VILLE2]),FALSE),"")</f>
        <v/>
      </c>
      <c r="BT146" s="182" t="str">
        <f>IF(VLOOKUP(T_Convention[[#This Row],[NumL]],T_Equipement[#Data],COLUMN(T_Equipement[PC]),FALSE)="","Aucun équipement spécifique directement lié au télétravail",VLOOKUP(T_Convention[[#This Row],[NumL]],T_Equipement[#Data],COLUMN(T_Equipement[PC]),FALSE))</f>
        <v xml:space="preserve">20-635	</v>
      </c>
      <c r="BU146" s="166" t="str">
        <f>IFERROR(IF(VLOOKUP(T_Convention[[#This Row],[NumL]],T_TraitDi[#Data],COLUMN(T_TraitDi[Plan]),FALSE)="OK","Un planning spécifique de télétravail est annexé à la présente convention.",""),"")</f>
        <v/>
      </c>
      <c r="BV146" s="185" t="s">
        <v>3339</v>
      </c>
      <c r="BW146" s="164" t="e">
        <f>IF(VLOOKUP(T_Convention[[#This Row],[NumL]],T_suiviDi[#Data],COLUMN(T_suiviDi[Entité]),FALSE)="","",VLOOKUP(T_Convention[[#This Row],[NumL]],T_suiviDi[#Data],COLUMN(T_suiviDi[Entité]),FALSE))</f>
        <v>#N/A</v>
      </c>
      <c r="BX146" s="164" t="str">
        <f>IF(VLOOKUP(T_Convention[[#This Row],[NumL]],T_Commission[#Data],COLUMN(T_Commission[envoi confirm TW]),FALSE)="","",VLOOKUP(T_Convention[[#This Row],[NumL]],T_Commission[#Data],COLUMN(T_Commission[envoi confirm TW]),FALSE))</f>
        <v>Oui</v>
      </c>
      <c r="BY14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6" s="264">
        <f>VLOOKUP(T_Convention[[#This Row],[NumL]],T_Commission[#Data],COLUMN(T_Commission[Commentaire]),FALSE)</f>
        <v>0</v>
      </c>
      <c r="CA146" s="254" t="str">
        <f>IF(VLOOKUP(T_Convention[[#This Row],[NumL]],T_Commission[#Data],COLUMN(T_Commission[Encadrant Email]),FALSE)="","",VLOOKUP(T_Convention[[#This Row],[NumL]],T_Commission[#Data],COLUMN(T_Commission[Encadrant Email]),FALSE))</f>
        <v/>
      </c>
      <c r="CB146" s="352" t="e">
        <f>VLOOKUP(T_Convention[[#This Row],[NumL]],T_TraitDi[#Data],COLUMN(T_TraitDi[NbJTot]),FALSE)</f>
        <v>#N/A</v>
      </c>
      <c r="CC146" s="352" t="e">
        <f>VLOOKUP(T_Convention[[#This Row],[NumL]],T_TraitDi[#Data],COLUMN(T_TraitDi[Reg Ponct]),FALSE)</f>
        <v>#N/A</v>
      </c>
      <c r="CD146" s="348" t="str">
        <f>IF(T_Convention[[#This Row],[Final]]&lt;&gt;"",VLOOKUP(T_Convention[[#This Row],[NumL]],T_suiviDi[#Data],COLUMN((T_suiviDi[Statut])),FALSE),"")</f>
        <v/>
      </c>
    </row>
    <row r="147" spans="1:82" s="106" customFormat="1" ht="18.75" customHeight="1" x14ac:dyDescent="0.25">
      <c r="A147" s="160">
        <v>2</v>
      </c>
      <c r="B147" s="161" t="str">
        <f>VLOOKUP(T_Convention[[#This Row],[NumL]],T_Commission[#Data],COLUMN(T_Commission[FINAL]),FALSE)</f>
        <v/>
      </c>
      <c r="C147" s="162"/>
      <c r="D147" s="95" t="e">
        <f>IF(VLOOKUP(T_Convention[[#This Row],[NumL]],T_TraitDi[#Data],COLUMN(T_TraitDi[WebC]),FALSE)="","",VLOOKUP(T_Convention[[#This Row],[NumL]],T_TraitDi[#Data],COLUMN(T_TraitDi[WebC]),FALSE))</f>
        <v>#N/A</v>
      </c>
      <c r="E147" s="163" t="str">
        <f t="shared" si="10"/>
        <v>12 janvier 2021</v>
      </c>
      <c r="F147" s="282" t="str">
        <f>IF(T_Convention[[#This Row],[Final]]&lt;&gt;"",VLOOKUP(T_Convention[[#This Row],[NumL]],T_suiviDi[#Data],COLUMN((T_suiviDi[Civ.])),FALSE),"")</f>
        <v/>
      </c>
      <c r="G147" s="283" t="str">
        <f>IF(T_Convention[[#This Row],[Final]]&lt;&gt;"",VLOOKUP(T_Convention[[#This Row],[NumL]],T_suiviDi[#Data],COLUMN((T_suiviDi[Nom])),FALSE),"")</f>
        <v/>
      </c>
      <c r="H147" s="282" t="str">
        <f>IF(T_Convention[[#This Row],[Final]]&lt;&gt;"",VLOOKUP(T_Convention[[#This Row],[NumL]],T_suiviDi[#Data],COLUMN((T_suiviDi[Prénom])),FALSE),"")</f>
        <v/>
      </c>
      <c r="I147" s="282" t="e">
        <f>VLOOKUP(T_Convention[[#This Row],[NumL]],T_suiviDi[#Data],COLUMN((T_suiviDi[[#This Row],[Email]])),FALSE)</f>
        <v>#VALUE!</v>
      </c>
      <c r="J147" s="282" t="e">
        <f>IF(VLOOKUP(T_Convention[[#This Row],[NumL]],T_suiviDi[#Data],COLUMN(T_suiviDi[[#This Row],[Fonction]]),FALSE)="","",VLOOKUP(T_Convention[[#This Row],[NumL]],T_suiviDi[#Data],COLUMN(T_suiviDi[[#This Row],[Fonction]]),FALSE))</f>
        <v>#VALUE!</v>
      </c>
      <c r="K147" s="282" t="e">
        <f>IF(VLOOKUP(T_Convention[[#This Row],[NumL]],T_suiviDi[#Data],COLUMN(T_suiviDi[[#This Row],[Grade]]),FALSE)="","",VLOOKUP(T_Convention[[#This Row],[NumL]],T_suiviDi[#Data],COLUMN(T_suiviDi[[#This Row],[Grade]]),FALSE))</f>
        <v>#VALUE!</v>
      </c>
      <c r="L147" s="282" t="e">
        <f>IF(VLOOKUP(T_Convention[[#This Row],[NumL]],T_suiviDi[#Data],COLUMN(T_suiviDi[[#This Row],[Service ]]),FALSE)="","",VLOOKUP(T_Convention[[#This Row],[NumL]],T_suiviDi[#Data],COLUMN(T_suiviDi[[#This Row],[Service ]]),FALSE))</f>
        <v>#VALUE!</v>
      </c>
      <c r="M147" s="164" t="str">
        <f t="shared" si="11"/>
        <v>01 septembre 2021</v>
      </c>
      <c r="N147" s="164" t="str">
        <f t="shared" si="12"/>
        <v>30 novembre 2021</v>
      </c>
      <c r="O147" s="284" t="str">
        <f t="shared" si="13"/>
        <v>30 novembre 2021</v>
      </c>
      <c r="P147" s="282" t="e">
        <f>IF(VLOOKUP(T_Convention[[#This Row],[NumL]],T_TraitDi[#Data],COLUMN(T_TraitDi[M1]),FALSE)="","",VLOOKUP(T_Convention[[#This Row],[NumL]],T_TraitDi[#Data],COLUMN(T_TraitDi[M1]),FALSE))</f>
        <v>#N/A</v>
      </c>
      <c r="Q147" s="282" t="e">
        <f>IF(VLOOKUP(T_Convention[[#This Row],[NumL]],T_TraitDi[#Data],COLUMN(T_TraitDi[M2]),FALSE)="","",VLOOKUP(T_Convention[[#This Row],[NumL]],T_TraitDi[#Data],COLUMN(T_TraitDi[M2]),FALSE))</f>
        <v>#N/A</v>
      </c>
      <c r="R147" s="282" t="e">
        <f>IF(VLOOKUP(T_Convention[[#This Row],[NumL]],T_TraitDi[#Data],COLUMN(T_TraitDi[M3]),FALSE)="","",VLOOKUP(T_Convention[[#This Row],[NumL]],T_TraitDi[#Data],COLUMN(T_TraitDi[M3]),FALSE))</f>
        <v>#N/A</v>
      </c>
      <c r="S147" s="282" t="e">
        <f>IF(VLOOKUP(T_Convention[[#This Row],[NumL]],T_TraitDi[#Data],COLUMN(T_TraitDi[M4]),FALSE)="","",VLOOKUP(T_Convention[[#This Row],[NumL]],T_TraitDi[#Data],COLUMN(T_TraitDi[M4]),FALSE))</f>
        <v>#N/A</v>
      </c>
      <c r="T147" s="282" t="e">
        <f>IF(VLOOKUP(T_Convention[[#This Row],[NumL]],T_TraitDi[#Data],COLUMN(T_TraitDi[M5]),FALSE)="","",VLOOKUP(T_Convention[[#This Row],[NumL]],T_TraitDi[#Data],COLUMN(T_TraitDi[M5]),FALSE))</f>
        <v>#N/A</v>
      </c>
      <c r="U147" s="282" t="e">
        <f>IF(VLOOKUP(T_Convention[[#This Row],[NumL]],T_TraitDi[#Data],COLUMN(T_TraitDi[M6]),FALSE)="","",VLOOKUP(T_Convention[[#This Row],[NumL]],T_TraitDi[#Data],COLUMN(T_TraitDi[M6]),FALSE))</f>
        <v>#N/A</v>
      </c>
      <c r="V147" s="176" t="e">
        <f t="shared" si="14"/>
        <v>#N/A</v>
      </c>
      <c r="W147" s="284" t="str">
        <f>IFERROR(TEXT(VLOOKUP(T_Convention[[#This Row],[NumL]],T_TraitDi[#Data],COLUMN(T_TraitDi[Q2]),FALSE),"###%"),"")</f>
        <v/>
      </c>
      <c r="X147" s="97" t="e">
        <f>VLOOKUP(T_Convention[[#This Row],[NumL]],T_TraitDi[#Data],COLUMN(T_TraitDi[Reg Ponct]),FALSE)</f>
        <v>#N/A</v>
      </c>
      <c r="Y147" s="97" t="e">
        <f>VLOOKUP(T_Convention[NumL],T_TraitDi[#Data],COLUMN(T_TraitDi[Jours flottants]),FALSE)</f>
        <v>#N/A</v>
      </c>
      <c r="Z147" s="284" t="str">
        <f>IFERROR(VLOOKUP(T_Convention[[#This Row],[NumL]],T_TraitDi[#Data],COLUMN(T_TraitDi[Lundi]),FALSE),"")</f>
        <v/>
      </c>
      <c r="AA147" s="284" t="e">
        <f>IF(VLOOKUP(T_Convention[[#This Row],[NumL]],T_TraitDi[#Data],COLUMN(T_TraitDi[Colonne3]),FALSE)=0,"",TEXT(IFERROR(VLOOKUP(T_Convention[[#This Row],[NumL]],T_TraitDi[#Data],COLUMN(T_TraitDi[Colonne3]),FALSE),""),"[hh]:mm"))</f>
        <v>#N/A</v>
      </c>
      <c r="AB147" s="284" t="e">
        <f>IF(VLOOKUP(T_Convention[[#This Row],[NumL]],T_TraitDi[#Data],COLUMN(T_TraitDi[Colonne4]),FALSE)=0,"",TEXT(IFERROR(VLOOKUP(T_Convention[[#This Row],[NumL]],T_TraitDi[#Data],COLUMN(T_TraitDi[Colonne4]),FALSE),""),"[hh]:mm"))</f>
        <v>#N/A</v>
      </c>
      <c r="AC147" s="284" t="e">
        <f>IF(VLOOKUP(T_Convention[[#This Row],[NumL]],T_TraitDi[#Data],COLUMN(T_TraitDi[Colonne5]),FALSE)=0,"",TEXT(IFERROR(VLOOKUP(T_Convention[[#This Row],[NumL]],T_TraitDi[#Data],COLUMN(T_TraitDi[Colonne5]),FALSE),""),"[hh]:mm"))</f>
        <v>#N/A</v>
      </c>
      <c r="AD147" s="284" t="e">
        <f>IF(VLOOKUP(T_Convention[[#This Row],[NumL]],T_TraitDi[#Data],COLUMN(T_TraitDi[Colonne6]),FALSE)=0,"",TEXT(IFERROR(VLOOKUP(T_Convention[[#This Row],[NumL]],T_TraitDi[#Data],COLUMN(T_TraitDi[Colonne6]),FALSE),""),"[hh]:mm"))</f>
        <v>#N/A</v>
      </c>
      <c r="AE147" s="284" t="e">
        <f>IF(VLOOKUP(T_Convention[[#This Row],[NumL]],T_TraitDi[#Data],COLUMN(T_TraitDi[Colonne7]),FALSE)=0,"",TEXT(IFERROR(VLOOKUP(T_Convention[[#This Row],[NumL]],T_TraitDi[#Data],COLUMN(T_TraitDi[Colonne7]),FALSE),""),"[hh]:mm"))</f>
        <v>#N/A</v>
      </c>
      <c r="AF147" s="284" t="e">
        <f>IF(VLOOKUP(T_Convention[[#This Row],[NumL]],T_TraitDi[#Data],COLUMN(T_TraitDi[Colonne8]),FALSE)=0,"",TEXT(IFERROR(VLOOKUP(T_Convention[[#This Row],[NumL]],T_TraitDi[#Data],COLUMN(T_TraitDi[Colonne8]),FALSE),""),"[hh]:mm"))</f>
        <v>#N/A</v>
      </c>
      <c r="AG147" s="284" t="str">
        <f>IFERROR(VLOOKUP(T_Convention[[#This Row],[NumL]],T_TraitDi[#Data],COLUMN(T_TraitDi[Mardi]),FALSE),"")</f>
        <v/>
      </c>
      <c r="AH147" s="284" t="e">
        <f>IF(VLOOKUP(T_Convention[[#This Row],[NumL]],T_TraitDi[#Data],COLUMN(T_TraitDi[Colonne1]),FALSE)=0,"",TEXT(IFERROR(VLOOKUP(T_Convention[[#This Row],[NumL]],T_TraitDi[#Data],COLUMN(T_TraitDi[Colonne1]),FALSE),""),"[hh]:mm"))</f>
        <v>#N/A</v>
      </c>
      <c r="AI147" s="284" t="e">
        <f>IF(VLOOKUP(T_Convention[[#This Row],[NumL]],T_TraitDi[#Data],COLUMN(T_TraitDi[Colonne9]),FALSE)=0,"",TEXT(IFERROR(VLOOKUP(T_Convention[[#This Row],[NumL]],T_TraitDi[#Data],COLUMN(T_TraitDi[Colonne9]),FALSE),""),"[hh]:mm"))</f>
        <v>#N/A</v>
      </c>
      <c r="AJ147" s="284" t="str">
        <f>IFERROR(VLOOKUP(T_Convention[[#This Row],[NumL]],T_TraitDi[#Data],COLUMN(T_TraitDi[Colonne10]),FALSE),"")</f>
        <v/>
      </c>
      <c r="AK147" s="284" t="e">
        <f>IF(VLOOKUP(T_Convention[[#This Row],[NumL]],T_TraitDi[#Data],COLUMN(T_TraitDi[Colonne11]),FALSE)=0,"",TEXT(IFERROR(VLOOKUP(T_Convention[[#This Row],[NumL]],T_TraitDi[#Data],COLUMN(T_TraitDi[Colonne11]),FALSE),""),"[hh]:mm"))</f>
        <v>#N/A</v>
      </c>
      <c r="AL147" s="284" t="e">
        <f>IF(VLOOKUP(T_Convention[[#This Row],[NumL]],T_TraitDi[#Data],COLUMN(T_TraitDi[Colonne12]),FALSE)=0,"",TEXT(IFERROR(VLOOKUP(T_Convention[[#This Row],[NumL]],T_TraitDi[#Data],COLUMN(T_TraitDi[Colonne12]),FALSE),""),"[hh]:mm"))</f>
        <v>#N/A</v>
      </c>
      <c r="AM147" s="284" t="e">
        <f>IF(VLOOKUP(T_Convention[[#This Row],[NumL]],T_TraitDi[#Data],COLUMN(T_TraitDi[Colonne14]),FALSE)=0,"",TEXT(IFERROR(VLOOKUP(T_Convention[[#This Row],[NumL]],T_TraitDi[#Data],COLUMN(T_TraitDi[Colonne14]),FALSE),""),"[hh]:mm"))</f>
        <v>#N/A</v>
      </c>
      <c r="AN147" s="284" t="str">
        <f>IFERROR(VLOOKUP(T_Convention[[#This Row],[NumL]],T_TraitDi[#Data],COLUMN(T_TraitDi[Mercredi]),FALSE),"")</f>
        <v/>
      </c>
      <c r="AO147" s="284" t="e">
        <f>IF(VLOOKUP(T_Convention[[#This Row],[NumL]],T_TraitDi[#Data],COLUMN(T_TraitDi[Colonne15]),FALSE)=0,"",TEXT(IFERROR(VLOOKUP(T_Convention[[#This Row],[NumL]],T_TraitDi[#Data],COLUMN(T_TraitDi[Colonne15]),FALSE),""),"[hh]:mm"))</f>
        <v>#N/A</v>
      </c>
      <c r="AP147" s="284" t="e">
        <f>IF(VLOOKUP(T_Convention[[#This Row],[NumL]],T_TraitDi[#Data],COLUMN(T_TraitDi[Colonne16]),FALSE)=0,"",TEXT(IFERROR(VLOOKUP(T_Convention[[#This Row],[NumL]],T_TraitDi[#Data],COLUMN(T_TraitDi[Colonne16]),FALSE),""),"[hh]:mm"))</f>
        <v>#N/A</v>
      </c>
      <c r="AQ147" s="284" t="str">
        <f>IFERROR(VLOOKUP(T_Convention[[#This Row],[NumL]],T_TraitDi[#Data],COLUMN(T_TraitDi[Colonne17]),FALSE),"")</f>
        <v/>
      </c>
      <c r="AR147" s="284" t="e">
        <f>IF(VLOOKUP(T_Convention[[#This Row],[NumL]],T_TraitDi[#Data],COLUMN(T_TraitDi[Colonne18]),FALSE)=0,"",TEXT(IFERROR(VLOOKUP(T_Convention[[#This Row],[NumL]],T_TraitDi[#Data],COLUMN(T_TraitDi[Colonne18]),FALSE),""),"[hh]:mm"))</f>
        <v>#N/A</v>
      </c>
      <c r="AS147" s="284" t="e">
        <f>IF(VLOOKUP(T_Convention[[#This Row],[NumL]],T_TraitDi[#Data],COLUMN(T_TraitDi[Colonne19]),FALSE)=0,"",TEXT(IFERROR(VLOOKUP(T_Convention[[#This Row],[NumL]],T_TraitDi[#Data],COLUMN(T_TraitDi[Colonne19]),FALSE),""),"[hh]:mm"))</f>
        <v>#N/A</v>
      </c>
      <c r="AT147" s="284" t="e">
        <f>IF(VLOOKUP(T_Convention[[#This Row],[NumL]],T_TraitDi[#Data],COLUMN(T_TraitDi[Colonne20]),FALSE)=0,"",TEXT(IFERROR(VLOOKUP(T_Convention[[#This Row],[NumL]],T_TraitDi[#Data],COLUMN(T_TraitDi[Colonne20]),FALSE),""),"[hh]:mm"))</f>
        <v>#N/A</v>
      </c>
      <c r="AU147" s="284" t="str">
        <f>IFERROR(VLOOKUP(T_Convention[[#This Row],[NumL]],T_TraitDi[#Data],COLUMN(T_TraitDi[Jeudi]),FALSE),"")</f>
        <v/>
      </c>
      <c r="AV147" s="284" t="e">
        <f>IF(VLOOKUP(T_Convention[[#This Row],[NumL]],T_TraitDi[#Data],COLUMN(T_TraitDi[Colonne21]),FALSE)=0,"",TEXT(IFERROR(VLOOKUP(T_Convention[[#This Row],[NumL]],T_TraitDi[#Data],COLUMN(T_TraitDi[Colonne21]),FALSE),""),"[hh]:mm"))</f>
        <v>#N/A</v>
      </c>
      <c r="AW147" s="284" t="e">
        <f>IF(VLOOKUP(T_Convention[[#This Row],[NumL]],T_TraitDi[#Data],COLUMN(T_TraitDi[Colonne22]),FALSE)=0,"",TEXT(IFERROR(VLOOKUP(T_Convention[[#This Row],[NumL]],T_TraitDi[#Data],COLUMN(T_TraitDi[Colonne22]),FALSE),""),"[hh]:mm"))</f>
        <v>#N/A</v>
      </c>
      <c r="AX147" s="284" t="str">
        <f>IFERROR(VLOOKUP(T_Convention[[#This Row],[NumL]],T_TraitDi[#Data],COLUMN(T_TraitDi[Colonne23]),FALSE),"")</f>
        <v/>
      </c>
      <c r="AY147" s="284" t="e">
        <f>IF(VLOOKUP(T_Convention[[#This Row],[NumL]],T_TraitDi[#Data],COLUMN(T_TraitDi[Colonne24]),FALSE)=0,"",TEXT(IFERROR(VLOOKUP(T_Convention[[#This Row],[NumL]],T_TraitDi[#Data],COLUMN(T_TraitDi[Colonne24]),FALSE),""),"[hh]:mm"))</f>
        <v>#N/A</v>
      </c>
      <c r="AZ147" s="284" t="e">
        <f>IF(VLOOKUP(T_Convention[[#This Row],[NumL]],T_TraitDi[#Data],COLUMN(T_TraitDi[Colonne25]),FALSE)=0,"",TEXT(IFERROR(VLOOKUP(T_Convention[[#This Row],[NumL]],T_TraitDi[#Data],COLUMN(T_TraitDi[Colonne25]),FALSE),""),"[hh]:mm"))</f>
        <v>#N/A</v>
      </c>
      <c r="BA147" s="284" t="e">
        <f>IF(VLOOKUP(T_Convention[[#This Row],[NumL]],T_TraitDi[#Data],COLUMN(T_TraitDi[Colonne26]),FALSE)=0,"",TEXT(IFERROR(VLOOKUP(T_Convention[[#This Row],[NumL]],T_TraitDi[#Data],COLUMN(T_TraitDi[Colonne26]),FALSE),""),"[hh]:mm"))</f>
        <v>#N/A</v>
      </c>
      <c r="BB147" s="284" t="str">
        <f>IFERROR(VLOOKUP(T_Convention[[#This Row],[NumL]],T_TraitDi[#Data],COLUMN(T_TraitDi[Vendredi]),FALSE),"")</f>
        <v/>
      </c>
      <c r="BC147" s="284" t="e">
        <f>IF(VLOOKUP(T_Convention[[#This Row],[NumL]],T_TraitDi[#Data],COLUMN(T_TraitDi[Colonne27]),FALSE)=0,"",TEXT(IFERROR(VLOOKUP(T_Convention[[#This Row],[NumL]],T_TraitDi[#Data],COLUMN(T_TraitDi[Colonne27]),FALSE),""),"[hh]:mm"))</f>
        <v>#N/A</v>
      </c>
      <c r="BD147" s="284" t="e">
        <f>IF(VLOOKUP(T_Convention[[#This Row],[NumL]],T_TraitDi[#Data],COLUMN(T_TraitDi[Colonne28]),FALSE)=0,"",TEXT(IFERROR(VLOOKUP(T_Convention[[#This Row],[NumL]],T_TraitDi[#Data],COLUMN(T_TraitDi[Colonne28]),FALSE),""),"[hh]:mm"))</f>
        <v>#N/A</v>
      </c>
      <c r="BE147" s="284" t="str">
        <f>IFERROR(VLOOKUP(T_Convention[[#This Row],[NumL]],T_TraitDi[#Data],COLUMN(T_TraitDi[Colonne29]),FALSE),"")</f>
        <v/>
      </c>
      <c r="BF147" s="284" t="e">
        <f>IF(VLOOKUP(T_Convention[[#This Row],[NumL]],T_TraitDi[#Data],COLUMN(T_TraitDi[Colonne30]),FALSE)=0,"",TEXT(IFERROR(VLOOKUP(T_Convention[[#This Row],[NumL]],T_TraitDi[#Data],COLUMN(T_TraitDi[Colonne30]),FALSE),""),"[hh]:mm"))</f>
        <v>#N/A</v>
      </c>
      <c r="BG147" s="284" t="e">
        <f>IF(VLOOKUP(T_Convention[[#This Row],[NumL]],T_TraitDi[#Data],COLUMN(T_TraitDi[Colonne31]),FALSE)=0,"",TEXT(IFERROR(VLOOKUP(T_Convention[[#This Row],[NumL]],T_TraitDi[#Data],COLUMN(T_TraitDi[Colonne31]),FALSE),""),"[hh]:mm"))</f>
        <v>#N/A</v>
      </c>
      <c r="BH147" s="284" t="e">
        <f>IF(VLOOKUP(T_Convention[[#This Row],[NumL]],T_TraitDi[#Data],COLUMN(T_TraitDi[Colonne32]),FALSE)=0,"",TEXT(IFERROR(VLOOKUP(T_Convention[[#This Row],[NumL]],T_TraitDi[#Data],COLUMN(T_TraitDi[Colonne32]),FALSE),""),"[hh]:mm"))</f>
        <v>#N/A</v>
      </c>
      <c r="BI147" s="284" t="str">
        <f>IFERROR(VLOOKUP(T_Convention[[#This Row],[NumL]],T_TraitDi[#Data],COLUMN(T_TraitDi[NbJTW]),FALSE),"")</f>
        <v/>
      </c>
      <c r="BJ147" s="284" t="e">
        <f>IF(VLOOKUP(T_Convention[[#This Row],[NumL]],T_TraitDi[#Data],COLUMN(T_TraitDi[NbhTW]),FALSE)=0,"",TEXT(IFERROR(VLOOKUP(T_Convention[[#This Row],[NumL]],T_TraitDi[#Data],COLUMN(T_TraitDi[NbhTW]),FALSE),""),"[hh]:mm"))</f>
        <v>#N/A</v>
      </c>
      <c r="BK147" s="286" t="e">
        <f>IF(VLOOKUP(T_Convention[[#This Row],[NumL]],T_TraitDi[#Data],COLUMN(T_TraitDi[Nbhheb]),FALSE)=0,"",TEXT(IFERROR(VLOOKUP(T_Convention[[#This Row],[NumL]],T_TraitDi[#Data],COLUMN(T_TraitDi[Nbhheb]),FALSE),""),"[hh]:mm"))</f>
        <v>#N/A</v>
      </c>
      <c r="BL147" s="287" t="str">
        <f>IFERROR(VLOOKUP(VLOOKUP(T_Convention[[#This Row],[NumL]],T_TraitDi[#Data],COLUMN(T_TraitDi[Type1]),FALSE),TypeTW,2,FALSE),"")</f>
        <v/>
      </c>
      <c r="BM147" s="288" t="str">
        <f>IFERROR(VLOOKUP(T_Convention[[#This Row],[NumL]],T_TraitDi[#Data],COLUMN(T_TraitDi[Rue1]),FALSE),"")</f>
        <v/>
      </c>
      <c r="BN147" s="289" t="str">
        <f>IFERROR(VLOOKUP(T_Convention[[#This Row],[NumL]],T_TraitDi[#Data],COLUMN(T_TraitDi[CP1]),FALSE),"")</f>
        <v/>
      </c>
      <c r="BO147" s="282" t="str">
        <f>IFERROR(VLOOKUP(T_Convention[[#This Row],[NumL]],T_TraitDi[#Data],COLUMN(T_TraitDi[VILLE1]),FALSE),"")</f>
        <v/>
      </c>
      <c r="BP147" s="290" t="str">
        <f>IFERROR(VLOOKUP(VLOOKUP(T_Convention[[#This Row],[NumL]],T_TraitDi[#Data],COLUMN(T_TraitDi[Type2]),FALSE),TypeTW,2,FALSE),"")</f>
        <v/>
      </c>
      <c r="BQ147" s="182" t="str">
        <f>IFERROR(VLOOKUP(T_Convention[[#This Row],[NumL]],T_TraitDi[#Data],COLUMN(T_TraitDi[Rue2]),FALSE),"")</f>
        <v/>
      </c>
      <c r="BR147" s="173" t="str">
        <f>IFERROR(VLOOKUP(T_Convention[[#This Row],[NumL]],T_TraitDi[#Data],COLUMN(T_TraitDi[CP2]),FALSE),"")</f>
        <v/>
      </c>
      <c r="BS147" s="173" t="str">
        <f>IFERROR(VLOOKUP(T_Convention[[#This Row],[NumL]],T_TraitDi[#Data],COLUMN(T_TraitDi[VILLE2]),FALSE),"")</f>
        <v/>
      </c>
      <c r="BT147" s="182" t="str">
        <f>IF(VLOOKUP(T_Convention[[#This Row],[NumL]],T_Equipement[#Data],COLUMN(T_Equipement[PC]),FALSE)="","Aucun équipement spécifique directement lié au télétravail",VLOOKUP(T_Convention[[#This Row],[NumL]],T_Equipement[#Data],COLUMN(T_Equipement[PC]),FALSE))</f>
        <v xml:space="preserve">16-429	</v>
      </c>
      <c r="BU147" s="166" t="str">
        <f>IFERROR(IF(VLOOKUP(T_Convention[[#This Row],[NumL]],T_TraitDi[#Data],COLUMN(T_TraitDi[Plan]),FALSE)="OK","Un planning spécifique de télétravail est annexé à la présente convention.",""),"")</f>
        <v/>
      </c>
      <c r="BV147" s="185" t="s">
        <v>3489</v>
      </c>
      <c r="BW147" s="164" t="e">
        <f>IF(VLOOKUP(T_Convention[[#This Row],[NumL]],T_suiviDi[#Data],COLUMN(T_suiviDi[Entité]),FALSE)="","",VLOOKUP(T_Convention[[#This Row],[NumL]],T_suiviDi[#Data],COLUMN(T_suiviDi[Entité]),FALSE))</f>
        <v>#N/A</v>
      </c>
      <c r="BX147" s="164" t="str">
        <f>IF(VLOOKUP(T_Convention[[#This Row],[NumL]],T_Commission[#Data],COLUMN(T_Commission[envoi confirm TW]),FALSE)="","",VLOOKUP(T_Convention[[#This Row],[NumL]],T_Commission[#Data],COLUMN(T_Commission[envoi confirm TW]),FALSE))</f>
        <v>Oui</v>
      </c>
      <c r="BY14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7" s="264">
        <f>VLOOKUP(T_Convention[[#This Row],[NumL]],T_Commission[#Data],COLUMN(T_Commission[Commentaire]),FALSE)</f>
        <v>0</v>
      </c>
      <c r="CA147" s="254" t="str">
        <f>IF(VLOOKUP(T_Convention[[#This Row],[NumL]],T_Commission[#Data],COLUMN(T_Commission[Encadrant Email]),FALSE)="","",VLOOKUP(T_Convention[[#This Row],[NumL]],T_Commission[#Data],COLUMN(T_Commission[Encadrant Email]),FALSE))</f>
        <v/>
      </c>
      <c r="CB147" s="352" t="e">
        <f>VLOOKUP(T_Convention[[#This Row],[NumL]],T_TraitDi[#Data],COLUMN(T_TraitDi[NbJTot]),FALSE)</f>
        <v>#N/A</v>
      </c>
      <c r="CC147" s="352" t="e">
        <f>VLOOKUP(T_Convention[[#This Row],[NumL]],T_TraitDi[#Data],COLUMN(T_TraitDi[Reg Ponct]),FALSE)</f>
        <v>#N/A</v>
      </c>
      <c r="CD147" s="348" t="str">
        <f>IF(T_Convention[[#This Row],[Final]]&lt;&gt;"",VLOOKUP(T_Convention[[#This Row],[NumL]],T_suiviDi[#Data],COLUMN((T_suiviDi[Statut])),FALSE),"")</f>
        <v/>
      </c>
    </row>
    <row r="148" spans="1:82" s="106" customFormat="1" ht="18.75" customHeight="1" x14ac:dyDescent="0.25">
      <c r="A148" s="160">
        <v>88</v>
      </c>
      <c r="B148" s="161" t="str">
        <f>VLOOKUP(T_Convention[[#This Row],[NumL]],T_Commission[#Data],COLUMN(T_Commission[FINAL]),FALSE)</f>
        <v/>
      </c>
      <c r="C148" s="162"/>
      <c r="D148" s="95" t="e">
        <f>IF(VLOOKUP(T_Convention[[#This Row],[NumL]],T_TraitDi[#Data],COLUMN(T_TraitDi[WebC]),FALSE)="","",VLOOKUP(T_Convention[[#This Row],[NumL]],T_TraitDi[#Data],COLUMN(T_TraitDi[WebC]),FALSE))</f>
        <v>#N/A</v>
      </c>
      <c r="E148" s="163" t="str">
        <f t="shared" si="10"/>
        <v>12 janvier 2021</v>
      </c>
      <c r="F148" s="282" t="str">
        <f>IF(T_Convention[[#This Row],[Final]]&lt;&gt;"",VLOOKUP(T_Convention[[#This Row],[NumL]],T_suiviDi[#Data],COLUMN((T_suiviDi[Civ.])),FALSE),"")</f>
        <v/>
      </c>
      <c r="G148" s="283" t="str">
        <f>IF(T_Convention[[#This Row],[Final]]&lt;&gt;"",VLOOKUP(T_Convention[[#This Row],[NumL]],T_suiviDi[#Data],COLUMN((T_suiviDi[Nom])),FALSE),"")</f>
        <v/>
      </c>
      <c r="H148" s="282" t="str">
        <f>IF(T_Convention[[#This Row],[Final]]&lt;&gt;"",VLOOKUP(T_Convention[[#This Row],[NumL]],T_suiviDi[#Data],COLUMN((T_suiviDi[Prénom])),FALSE),"")</f>
        <v/>
      </c>
      <c r="I148" s="282" t="e">
        <f>VLOOKUP(T_Convention[[#This Row],[NumL]],T_suiviDi[#Data],COLUMN((T_suiviDi[[#This Row],[Email]])),FALSE)</f>
        <v>#VALUE!</v>
      </c>
      <c r="J148" s="282" t="e">
        <f>IF(VLOOKUP(T_Convention[[#This Row],[NumL]],T_suiviDi[#Data],COLUMN(T_suiviDi[[#This Row],[Fonction]]),FALSE)="","",VLOOKUP(T_Convention[[#This Row],[NumL]],T_suiviDi[#Data],COLUMN(T_suiviDi[[#This Row],[Fonction]]),FALSE))</f>
        <v>#VALUE!</v>
      </c>
      <c r="K148" s="282" t="e">
        <f>IF(VLOOKUP(T_Convention[[#This Row],[NumL]],T_suiviDi[#Data],COLUMN(T_suiviDi[[#This Row],[Grade]]),FALSE)="","",VLOOKUP(T_Convention[[#This Row],[NumL]],T_suiviDi[#Data],COLUMN(T_suiviDi[[#This Row],[Grade]]),FALSE))</f>
        <v>#VALUE!</v>
      </c>
      <c r="L148" s="282" t="e">
        <f>IF(VLOOKUP(T_Convention[[#This Row],[NumL]],T_suiviDi[#Data],COLUMN(T_suiviDi[[#This Row],[Service ]]),FALSE)="","",VLOOKUP(T_Convention[[#This Row],[NumL]],T_suiviDi[#Data],COLUMN(T_suiviDi[[#This Row],[Service ]]),FALSE))</f>
        <v>#VALUE!</v>
      </c>
      <c r="M148" s="164" t="str">
        <f t="shared" si="11"/>
        <v>01 septembre 2021</v>
      </c>
      <c r="N148" s="164" t="str">
        <f t="shared" si="12"/>
        <v>30 novembre 2021</v>
      </c>
      <c r="O148" s="284" t="str">
        <f t="shared" si="13"/>
        <v>30 novembre 2021</v>
      </c>
      <c r="P148" s="282" t="e">
        <f>IF(VLOOKUP(T_Convention[[#This Row],[NumL]],T_TraitDi[#Data],COLUMN(T_TraitDi[M1]),FALSE)="","",VLOOKUP(T_Convention[[#This Row],[NumL]],T_TraitDi[#Data],COLUMN(T_TraitDi[M1]),FALSE))</f>
        <v>#N/A</v>
      </c>
      <c r="Q148" s="282" t="e">
        <f>IF(VLOOKUP(T_Convention[[#This Row],[NumL]],T_TraitDi[#Data],COLUMN(T_TraitDi[M2]),FALSE)="","",VLOOKUP(T_Convention[[#This Row],[NumL]],T_TraitDi[#Data],COLUMN(T_TraitDi[M2]),FALSE))</f>
        <v>#N/A</v>
      </c>
      <c r="R148" s="282" t="e">
        <f>IF(VLOOKUP(T_Convention[[#This Row],[NumL]],T_TraitDi[#Data],COLUMN(T_TraitDi[M3]),FALSE)="","",VLOOKUP(T_Convention[[#This Row],[NumL]],T_TraitDi[#Data],COLUMN(T_TraitDi[M3]),FALSE))</f>
        <v>#N/A</v>
      </c>
      <c r="S148" s="282" t="e">
        <f>IF(VLOOKUP(T_Convention[[#This Row],[NumL]],T_TraitDi[#Data],COLUMN(T_TraitDi[M4]),FALSE)="","",VLOOKUP(T_Convention[[#This Row],[NumL]],T_TraitDi[#Data],COLUMN(T_TraitDi[M4]),FALSE))</f>
        <v>#N/A</v>
      </c>
      <c r="T148" s="282" t="e">
        <f>IF(VLOOKUP(T_Convention[[#This Row],[NumL]],T_TraitDi[#Data],COLUMN(T_TraitDi[M5]),FALSE)="","",VLOOKUP(T_Convention[[#This Row],[NumL]],T_TraitDi[#Data],COLUMN(T_TraitDi[M5]),FALSE))</f>
        <v>#N/A</v>
      </c>
      <c r="U148" s="282" t="e">
        <f>IF(VLOOKUP(T_Convention[[#This Row],[NumL]],T_TraitDi[#Data],COLUMN(T_TraitDi[M6]),FALSE)="","",VLOOKUP(T_Convention[[#This Row],[NumL]],T_TraitDi[#Data],COLUMN(T_TraitDi[M6]),FALSE))</f>
        <v>#N/A</v>
      </c>
      <c r="V148" s="176" t="e">
        <f t="shared" si="14"/>
        <v>#N/A</v>
      </c>
      <c r="W148" s="284" t="str">
        <f>IFERROR(TEXT(VLOOKUP(T_Convention[[#This Row],[NumL]],T_TraitDi[#Data],COLUMN(T_TraitDi[Q2]),FALSE),"###%"),"")</f>
        <v/>
      </c>
      <c r="X148" s="97" t="e">
        <f>VLOOKUP(T_Convention[[#This Row],[NumL]],T_TraitDi[#Data],COLUMN(T_TraitDi[Reg Ponct]),FALSE)</f>
        <v>#N/A</v>
      </c>
      <c r="Y148" s="97" t="e">
        <f>VLOOKUP(T_Convention[NumL],T_TraitDi[#Data],COLUMN(T_TraitDi[Jours flottants]),FALSE)</f>
        <v>#N/A</v>
      </c>
      <c r="Z148" s="284" t="str">
        <f>IFERROR(VLOOKUP(T_Convention[[#This Row],[NumL]],T_TraitDi[#Data],COLUMN(T_TraitDi[Lundi]),FALSE),"")</f>
        <v/>
      </c>
      <c r="AA148" s="284" t="e">
        <f>IF(VLOOKUP(T_Convention[[#This Row],[NumL]],T_TraitDi[#Data],COLUMN(T_TraitDi[Colonne3]),FALSE)=0,"",TEXT(IFERROR(VLOOKUP(T_Convention[[#This Row],[NumL]],T_TraitDi[#Data],COLUMN(T_TraitDi[Colonne3]),FALSE),""),"[hh]:mm"))</f>
        <v>#N/A</v>
      </c>
      <c r="AB148" s="284" t="e">
        <f>IF(VLOOKUP(T_Convention[[#This Row],[NumL]],T_TraitDi[#Data],COLUMN(T_TraitDi[Colonne4]),FALSE)=0,"",TEXT(IFERROR(VLOOKUP(T_Convention[[#This Row],[NumL]],T_TraitDi[#Data],COLUMN(T_TraitDi[Colonne4]),FALSE),""),"[hh]:mm"))</f>
        <v>#N/A</v>
      </c>
      <c r="AC148" s="284" t="e">
        <f>IF(VLOOKUP(T_Convention[[#This Row],[NumL]],T_TraitDi[#Data],COLUMN(T_TraitDi[Colonne5]),FALSE)=0,"",TEXT(IFERROR(VLOOKUP(T_Convention[[#This Row],[NumL]],T_TraitDi[#Data],COLUMN(T_TraitDi[Colonne5]),FALSE),""),"[hh]:mm"))</f>
        <v>#N/A</v>
      </c>
      <c r="AD148" s="284" t="e">
        <f>IF(VLOOKUP(T_Convention[[#This Row],[NumL]],T_TraitDi[#Data],COLUMN(T_TraitDi[Colonne6]),FALSE)=0,"",TEXT(IFERROR(VLOOKUP(T_Convention[[#This Row],[NumL]],T_TraitDi[#Data],COLUMN(T_TraitDi[Colonne6]),FALSE),""),"[hh]:mm"))</f>
        <v>#N/A</v>
      </c>
      <c r="AE148" s="284" t="e">
        <f>IF(VLOOKUP(T_Convention[[#This Row],[NumL]],T_TraitDi[#Data],COLUMN(T_TraitDi[Colonne7]),FALSE)=0,"",TEXT(IFERROR(VLOOKUP(T_Convention[[#This Row],[NumL]],T_TraitDi[#Data],COLUMN(T_TraitDi[Colonne7]),FALSE),""),"[hh]:mm"))</f>
        <v>#N/A</v>
      </c>
      <c r="AF148" s="284" t="e">
        <f>IF(VLOOKUP(T_Convention[[#This Row],[NumL]],T_TraitDi[#Data],COLUMN(T_TraitDi[Colonne8]),FALSE)=0,"",TEXT(IFERROR(VLOOKUP(T_Convention[[#This Row],[NumL]],T_TraitDi[#Data],COLUMN(T_TraitDi[Colonne8]),FALSE),""),"[hh]:mm"))</f>
        <v>#N/A</v>
      </c>
      <c r="AG148" s="284" t="str">
        <f>IFERROR(VLOOKUP(T_Convention[[#This Row],[NumL]],T_TraitDi[#Data],COLUMN(T_TraitDi[Mardi]),FALSE),"")</f>
        <v/>
      </c>
      <c r="AH148" s="284" t="e">
        <f>IF(VLOOKUP(T_Convention[[#This Row],[NumL]],T_TraitDi[#Data],COLUMN(T_TraitDi[Colonne1]),FALSE)=0,"",TEXT(IFERROR(VLOOKUP(T_Convention[[#This Row],[NumL]],T_TraitDi[#Data],COLUMN(T_TraitDi[Colonne1]),FALSE),""),"[hh]:mm"))</f>
        <v>#N/A</v>
      </c>
      <c r="AI148" s="284" t="e">
        <f>IF(VLOOKUP(T_Convention[[#This Row],[NumL]],T_TraitDi[#Data],COLUMN(T_TraitDi[Colonne9]),FALSE)=0,"",TEXT(IFERROR(VLOOKUP(T_Convention[[#This Row],[NumL]],T_TraitDi[#Data],COLUMN(T_TraitDi[Colonne9]),FALSE),""),"[hh]:mm"))</f>
        <v>#N/A</v>
      </c>
      <c r="AJ148" s="284" t="str">
        <f>IFERROR(VLOOKUP(T_Convention[[#This Row],[NumL]],T_TraitDi[#Data],COLUMN(T_TraitDi[Colonne10]),FALSE),"")</f>
        <v/>
      </c>
      <c r="AK148" s="284" t="e">
        <f>IF(VLOOKUP(T_Convention[[#This Row],[NumL]],T_TraitDi[#Data],COLUMN(T_TraitDi[Colonne11]),FALSE)=0,"",TEXT(IFERROR(VLOOKUP(T_Convention[[#This Row],[NumL]],T_TraitDi[#Data],COLUMN(T_TraitDi[Colonne11]),FALSE),""),"[hh]:mm"))</f>
        <v>#N/A</v>
      </c>
      <c r="AL148" s="284" t="e">
        <f>IF(VLOOKUP(T_Convention[[#This Row],[NumL]],T_TraitDi[#Data],COLUMN(T_TraitDi[Colonne12]),FALSE)=0,"",TEXT(IFERROR(VLOOKUP(T_Convention[[#This Row],[NumL]],T_TraitDi[#Data],COLUMN(T_TraitDi[Colonne12]),FALSE),""),"[hh]:mm"))</f>
        <v>#N/A</v>
      </c>
      <c r="AM148" s="284" t="e">
        <f>IF(VLOOKUP(T_Convention[[#This Row],[NumL]],T_TraitDi[#Data],COLUMN(T_TraitDi[Colonne14]),FALSE)=0,"",TEXT(IFERROR(VLOOKUP(T_Convention[[#This Row],[NumL]],T_TraitDi[#Data],COLUMN(T_TraitDi[Colonne14]),FALSE),""),"[hh]:mm"))</f>
        <v>#N/A</v>
      </c>
      <c r="AN148" s="284" t="str">
        <f>IFERROR(VLOOKUP(T_Convention[[#This Row],[NumL]],T_TraitDi[#Data],COLUMN(T_TraitDi[Mercredi]),FALSE),"")</f>
        <v/>
      </c>
      <c r="AO148" s="284" t="e">
        <f>IF(VLOOKUP(T_Convention[[#This Row],[NumL]],T_TraitDi[#Data],COLUMN(T_TraitDi[Colonne15]),FALSE)=0,"",TEXT(IFERROR(VLOOKUP(T_Convention[[#This Row],[NumL]],T_TraitDi[#Data],COLUMN(T_TraitDi[Colonne15]),FALSE),""),"[hh]:mm"))</f>
        <v>#N/A</v>
      </c>
      <c r="AP148" s="284" t="e">
        <f>IF(VLOOKUP(T_Convention[[#This Row],[NumL]],T_TraitDi[#Data],COLUMN(T_TraitDi[Colonne16]),FALSE)=0,"",TEXT(IFERROR(VLOOKUP(T_Convention[[#This Row],[NumL]],T_TraitDi[#Data],COLUMN(T_TraitDi[Colonne16]),FALSE),""),"[hh]:mm"))</f>
        <v>#N/A</v>
      </c>
      <c r="AQ148" s="284" t="str">
        <f>IFERROR(VLOOKUP(T_Convention[[#This Row],[NumL]],T_TraitDi[#Data],COLUMN(T_TraitDi[Colonne17]),FALSE),"")</f>
        <v/>
      </c>
      <c r="AR148" s="284" t="e">
        <f>IF(VLOOKUP(T_Convention[[#This Row],[NumL]],T_TraitDi[#Data],COLUMN(T_TraitDi[Colonne18]),FALSE)=0,"",TEXT(IFERROR(VLOOKUP(T_Convention[[#This Row],[NumL]],T_TraitDi[#Data],COLUMN(T_TraitDi[Colonne18]),FALSE),""),"[hh]:mm"))</f>
        <v>#N/A</v>
      </c>
      <c r="AS148" s="284" t="e">
        <f>IF(VLOOKUP(T_Convention[[#This Row],[NumL]],T_TraitDi[#Data],COLUMN(T_TraitDi[Colonne19]),FALSE)=0,"",TEXT(IFERROR(VLOOKUP(T_Convention[[#This Row],[NumL]],T_TraitDi[#Data],COLUMN(T_TraitDi[Colonne19]),FALSE),""),"[hh]:mm"))</f>
        <v>#N/A</v>
      </c>
      <c r="AT148" s="284" t="e">
        <f>IF(VLOOKUP(T_Convention[[#This Row],[NumL]],T_TraitDi[#Data],COLUMN(T_TraitDi[Colonne20]),FALSE)=0,"",TEXT(IFERROR(VLOOKUP(T_Convention[[#This Row],[NumL]],T_TraitDi[#Data],COLUMN(T_TraitDi[Colonne20]),FALSE),""),"[hh]:mm"))</f>
        <v>#N/A</v>
      </c>
      <c r="AU148" s="284" t="str">
        <f>IFERROR(VLOOKUP(T_Convention[[#This Row],[NumL]],T_TraitDi[#Data],COLUMN(T_TraitDi[Jeudi]),FALSE),"")</f>
        <v/>
      </c>
      <c r="AV148" s="284" t="e">
        <f>IF(VLOOKUP(T_Convention[[#This Row],[NumL]],T_TraitDi[#Data],COLUMN(T_TraitDi[Colonne21]),FALSE)=0,"",TEXT(IFERROR(VLOOKUP(T_Convention[[#This Row],[NumL]],T_TraitDi[#Data],COLUMN(T_TraitDi[Colonne21]),FALSE),""),"[hh]:mm"))</f>
        <v>#N/A</v>
      </c>
      <c r="AW148" s="284" t="e">
        <f>IF(VLOOKUP(T_Convention[[#This Row],[NumL]],T_TraitDi[#Data],COLUMN(T_TraitDi[Colonne22]),FALSE)=0,"",TEXT(IFERROR(VLOOKUP(T_Convention[[#This Row],[NumL]],T_TraitDi[#Data],COLUMN(T_TraitDi[Colonne22]),FALSE),""),"[hh]:mm"))</f>
        <v>#N/A</v>
      </c>
      <c r="AX148" s="284" t="str">
        <f>IFERROR(VLOOKUP(T_Convention[[#This Row],[NumL]],T_TraitDi[#Data],COLUMN(T_TraitDi[Colonne23]),FALSE),"")</f>
        <v/>
      </c>
      <c r="AY148" s="284" t="e">
        <f>IF(VLOOKUP(T_Convention[[#This Row],[NumL]],T_TraitDi[#Data],COLUMN(T_TraitDi[Colonne24]),FALSE)=0,"",TEXT(IFERROR(VLOOKUP(T_Convention[[#This Row],[NumL]],T_TraitDi[#Data],COLUMN(T_TraitDi[Colonne24]),FALSE),""),"[hh]:mm"))</f>
        <v>#N/A</v>
      </c>
      <c r="AZ148" s="284" t="e">
        <f>IF(VLOOKUP(T_Convention[[#This Row],[NumL]],T_TraitDi[#Data],COLUMN(T_TraitDi[Colonne25]),FALSE)=0,"",TEXT(IFERROR(VLOOKUP(T_Convention[[#This Row],[NumL]],T_TraitDi[#Data],COLUMN(T_TraitDi[Colonne25]),FALSE),""),"[hh]:mm"))</f>
        <v>#N/A</v>
      </c>
      <c r="BA148" s="284" t="e">
        <f>IF(VLOOKUP(T_Convention[[#This Row],[NumL]],T_TraitDi[#Data],COLUMN(T_TraitDi[Colonne26]),FALSE)=0,"",TEXT(IFERROR(VLOOKUP(T_Convention[[#This Row],[NumL]],T_TraitDi[#Data],COLUMN(T_TraitDi[Colonne26]),FALSE),""),"[hh]:mm"))</f>
        <v>#N/A</v>
      </c>
      <c r="BB148" s="284" t="str">
        <f>IFERROR(VLOOKUP(T_Convention[[#This Row],[NumL]],T_TraitDi[#Data],COLUMN(T_TraitDi[Vendredi]),FALSE),"")</f>
        <v/>
      </c>
      <c r="BC148" s="284" t="e">
        <f>IF(VLOOKUP(T_Convention[[#This Row],[NumL]],T_TraitDi[#Data],COLUMN(T_TraitDi[Colonne27]),FALSE)=0,"",TEXT(IFERROR(VLOOKUP(T_Convention[[#This Row],[NumL]],T_TraitDi[#Data],COLUMN(T_TraitDi[Colonne27]),FALSE),""),"[hh]:mm"))</f>
        <v>#N/A</v>
      </c>
      <c r="BD148" s="284" t="e">
        <f>IF(VLOOKUP(T_Convention[[#This Row],[NumL]],T_TraitDi[#Data],COLUMN(T_TraitDi[Colonne28]),FALSE)=0,"",TEXT(IFERROR(VLOOKUP(T_Convention[[#This Row],[NumL]],T_TraitDi[#Data],COLUMN(T_TraitDi[Colonne28]),FALSE),""),"[hh]:mm"))</f>
        <v>#N/A</v>
      </c>
      <c r="BE148" s="284" t="str">
        <f>IFERROR(VLOOKUP(T_Convention[[#This Row],[NumL]],T_TraitDi[#Data],COLUMN(T_TraitDi[Colonne29]),FALSE),"")</f>
        <v/>
      </c>
      <c r="BF148" s="284" t="e">
        <f>IF(VLOOKUP(T_Convention[[#This Row],[NumL]],T_TraitDi[#Data],COLUMN(T_TraitDi[Colonne30]),FALSE)=0,"",TEXT(IFERROR(VLOOKUP(T_Convention[[#This Row],[NumL]],T_TraitDi[#Data],COLUMN(T_TraitDi[Colonne30]),FALSE),""),"[hh]:mm"))</f>
        <v>#N/A</v>
      </c>
      <c r="BG148" s="284" t="e">
        <f>IF(VLOOKUP(T_Convention[[#This Row],[NumL]],T_TraitDi[#Data],COLUMN(T_TraitDi[Colonne31]),FALSE)=0,"",TEXT(IFERROR(VLOOKUP(T_Convention[[#This Row],[NumL]],T_TraitDi[#Data],COLUMN(T_TraitDi[Colonne31]),FALSE),""),"[hh]:mm"))</f>
        <v>#N/A</v>
      </c>
      <c r="BH148" s="284" t="e">
        <f>IF(VLOOKUP(T_Convention[[#This Row],[NumL]],T_TraitDi[#Data],COLUMN(T_TraitDi[Colonne32]),FALSE)=0,"",TEXT(IFERROR(VLOOKUP(T_Convention[[#This Row],[NumL]],T_TraitDi[#Data],COLUMN(T_TraitDi[Colonne32]),FALSE),""),"[hh]:mm"))</f>
        <v>#N/A</v>
      </c>
      <c r="BI148" s="284" t="str">
        <f>IFERROR(VLOOKUP(T_Convention[[#This Row],[NumL]],T_TraitDi[#Data],COLUMN(T_TraitDi[NbJTW]),FALSE),"")</f>
        <v/>
      </c>
      <c r="BJ148" s="284" t="e">
        <f>IF(VLOOKUP(T_Convention[[#This Row],[NumL]],T_TraitDi[#Data],COLUMN(T_TraitDi[NbhTW]),FALSE)=0,"",TEXT(IFERROR(VLOOKUP(T_Convention[[#This Row],[NumL]],T_TraitDi[#Data],COLUMN(T_TraitDi[NbhTW]),FALSE),""),"[hh]:mm"))</f>
        <v>#N/A</v>
      </c>
      <c r="BK148" s="286" t="e">
        <f>IF(VLOOKUP(T_Convention[[#This Row],[NumL]],T_TraitDi[#Data],COLUMN(T_TraitDi[Nbhheb]),FALSE)=0,"",TEXT(IFERROR(VLOOKUP(T_Convention[[#This Row],[NumL]],T_TraitDi[#Data],COLUMN(T_TraitDi[Nbhheb]),FALSE),""),"[hh]:mm"))</f>
        <v>#N/A</v>
      </c>
      <c r="BL148" s="287" t="str">
        <f>IFERROR(VLOOKUP(VLOOKUP(T_Convention[[#This Row],[NumL]],T_TraitDi[#Data],COLUMN(T_TraitDi[Type1]),FALSE),TypeTW,2,FALSE),"")</f>
        <v/>
      </c>
      <c r="BM148" s="288" t="str">
        <f>IFERROR(VLOOKUP(T_Convention[[#This Row],[NumL]],T_TraitDi[#Data],COLUMN(T_TraitDi[Rue1]),FALSE),"")</f>
        <v/>
      </c>
      <c r="BN148" s="289" t="str">
        <f>IFERROR(VLOOKUP(T_Convention[[#This Row],[NumL]],T_TraitDi[#Data],COLUMN(T_TraitDi[CP1]),FALSE),"")</f>
        <v/>
      </c>
      <c r="BO148" s="282" t="str">
        <f>IFERROR(VLOOKUP(T_Convention[[#This Row],[NumL]],T_TraitDi[#Data],COLUMN(T_TraitDi[VILLE1]),FALSE),"")</f>
        <v/>
      </c>
      <c r="BP148" s="290" t="str">
        <f>IFERROR(VLOOKUP(VLOOKUP(T_Convention[[#This Row],[NumL]],T_TraitDi[#Data],COLUMN(T_TraitDi[Type2]),FALSE),TypeTW,2,FALSE),"")</f>
        <v/>
      </c>
      <c r="BQ148" s="182" t="str">
        <f>IFERROR(VLOOKUP(T_Convention[[#This Row],[NumL]],T_TraitDi[#Data],COLUMN(T_TraitDi[Rue2]),FALSE),"")</f>
        <v/>
      </c>
      <c r="BR148" s="173" t="str">
        <f>IFERROR(VLOOKUP(T_Convention[[#This Row],[NumL]],T_TraitDi[#Data],COLUMN(T_TraitDi[CP2]),FALSE),"")</f>
        <v/>
      </c>
      <c r="BS148" s="173" t="str">
        <f>IFERROR(VLOOKUP(T_Convention[[#This Row],[NumL]],T_TraitDi[#Data],COLUMN(T_TraitDi[VILLE2]),FALSE),"")</f>
        <v/>
      </c>
      <c r="BT148" s="182" t="str">
        <f>IF(VLOOKUP(T_Convention[[#This Row],[NumL]],T_Equipement[#Data],COLUMN(T_Equipement[PC]),FALSE)="","Aucun équipement spécifique directement lié au télétravail",VLOOKUP(T_Convention[[#This Row],[NumL]],T_Equipement[#Data],COLUMN(T_Equipement[PC]),FALSE))</f>
        <v>20-076</v>
      </c>
      <c r="BU148" s="166" t="str">
        <f>IFERROR(IF(VLOOKUP(T_Convention[[#This Row],[NumL]],T_TraitDi[#Data],COLUMN(T_TraitDi[Plan]),FALSE)="OK","Un planning spécifique de télétravail est annexé à la présente convention.",""),"")</f>
        <v/>
      </c>
      <c r="BV148" s="185" t="s">
        <v>3449</v>
      </c>
      <c r="BW148" s="164" t="e">
        <f>IF(VLOOKUP(T_Convention[[#This Row],[NumL]],T_suiviDi[#Data],COLUMN(T_suiviDi[Entité]),FALSE)="","",VLOOKUP(T_Convention[[#This Row],[NumL]],T_suiviDi[#Data],COLUMN(T_suiviDi[Entité]),FALSE))</f>
        <v>#N/A</v>
      </c>
      <c r="BX148" s="164" t="str">
        <f>IF(VLOOKUP(T_Convention[[#This Row],[NumL]],T_Commission[#Data],COLUMN(T_Commission[envoi confirm TW]),FALSE)="","",VLOOKUP(T_Convention[[#This Row],[NumL]],T_Commission[#Data],COLUMN(T_Commission[envoi confirm TW]),FALSE))</f>
        <v>Oui</v>
      </c>
      <c r="BY14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8" s="264">
        <f>VLOOKUP(T_Convention[[#This Row],[NumL]],T_Commission[#Data],COLUMN(T_Commission[Commentaire]),FALSE)</f>
        <v>0</v>
      </c>
      <c r="CA148" s="254" t="str">
        <f>IF(VLOOKUP(T_Convention[[#This Row],[NumL]],T_Commission[#Data],COLUMN(T_Commission[Encadrant Email]),FALSE)="","",VLOOKUP(T_Convention[[#This Row],[NumL]],T_Commission[#Data],COLUMN(T_Commission[Encadrant Email]),FALSE))</f>
        <v/>
      </c>
      <c r="CB148" s="352" t="e">
        <f>VLOOKUP(T_Convention[[#This Row],[NumL]],T_TraitDi[#Data],COLUMN(T_TraitDi[NbJTot]),FALSE)</f>
        <v>#N/A</v>
      </c>
      <c r="CC148" s="352" t="e">
        <f>VLOOKUP(T_Convention[[#This Row],[NumL]],T_TraitDi[#Data],COLUMN(T_TraitDi[Reg Ponct]),FALSE)</f>
        <v>#N/A</v>
      </c>
      <c r="CD148" s="348" t="str">
        <f>IF(T_Convention[[#This Row],[Final]]&lt;&gt;"",VLOOKUP(T_Convention[[#This Row],[NumL]],T_suiviDi[#Data],COLUMN((T_suiviDi[Statut])),FALSE),"")</f>
        <v/>
      </c>
    </row>
    <row r="149" spans="1:82" s="106" customFormat="1" ht="18.75" customHeight="1" x14ac:dyDescent="0.25">
      <c r="A149" s="160">
        <v>11</v>
      </c>
      <c r="B149" s="161" t="str">
        <f>VLOOKUP(T_Convention[[#This Row],[NumL]],T_Commission[#Data],COLUMN(T_Commission[FINAL]),FALSE)</f>
        <v/>
      </c>
      <c r="C149" s="162"/>
      <c r="D149" s="95" t="e">
        <f>IF(VLOOKUP(T_Convention[[#This Row],[NumL]],T_TraitDi[#Data],COLUMN(T_TraitDi[WebC]),FALSE)="","",VLOOKUP(T_Convention[[#This Row],[NumL]],T_TraitDi[#Data],COLUMN(T_TraitDi[WebC]),FALSE))</f>
        <v>#N/A</v>
      </c>
      <c r="E149" s="174" t="str">
        <f t="shared" si="10"/>
        <v>12 janvier 2021</v>
      </c>
      <c r="F149" s="282" t="str">
        <f>IF(T_Convention[[#This Row],[Final]]&lt;&gt;"",VLOOKUP(T_Convention[[#This Row],[NumL]],T_suiviDi[#Data],COLUMN((T_suiviDi[Civ.])),FALSE),"")</f>
        <v/>
      </c>
      <c r="G149" s="283" t="str">
        <f>IF(T_Convention[[#This Row],[Final]]&lt;&gt;"",VLOOKUP(T_Convention[[#This Row],[NumL]],T_suiviDi[#Data],COLUMN((T_suiviDi[Nom])),FALSE),"")</f>
        <v/>
      </c>
      <c r="H149" s="282" t="str">
        <f>IF(T_Convention[[#This Row],[Final]]&lt;&gt;"",VLOOKUP(T_Convention[[#This Row],[NumL]],T_suiviDi[#Data],COLUMN((T_suiviDi[Prénom])),FALSE),"")</f>
        <v/>
      </c>
      <c r="I149" s="282" t="e">
        <f>VLOOKUP(T_Convention[[#This Row],[NumL]],T_suiviDi[#Data],COLUMN((T_suiviDi[[#This Row],[Email]])),FALSE)</f>
        <v>#VALUE!</v>
      </c>
      <c r="J149" s="282" t="e">
        <f>IF(VLOOKUP(T_Convention[[#This Row],[NumL]],T_suiviDi[#Data],COLUMN(T_suiviDi[[#This Row],[Fonction]]),FALSE)="","",VLOOKUP(T_Convention[[#This Row],[NumL]],T_suiviDi[#Data],COLUMN(T_suiviDi[[#This Row],[Fonction]]),FALSE))</f>
        <v>#VALUE!</v>
      </c>
      <c r="K149" s="282" t="e">
        <f>IF(VLOOKUP(T_Convention[[#This Row],[NumL]],T_suiviDi[#Data],COLUMN(T_suiviDi[[#This Row],[Grade]]),FALSE)="","",VLOOKUP(T_Convention[[#This Row],[NumL]],T_suiviDi[#Data],COLUMN(T_suiviDi[[#This Row],[Grade]]),FALSE))</f>
        <v>#VALUE!</v>
      </c>
      <c r="L149" s="282" t="e">
        <f>IF(VLOOKUP(T_Convention[[#This Row],[NumL]],T_suiviDi[#Data],COLUMN(T_suiviDi[[#This Row],[Service ]]),FALSE)="","",VLOOKUP(T_Convention[[#This Row],[NumL]],T_suiviDi[#Data],COLUMN(T_suiviDi[[#This Row],[Service ]]),FALSE))</f>
        <v>#VALUE!</v>
      </c>
      <c r="M149" s="176" t="str">
        <f t="shared" si="11"/>
        <v>01 septembre 2021</v>
      </c>
      <c r="N149" s="176" t="str">
        <f t="shared" si="12"/>
        <v>30 novembre 2021</v>
      </c>
      <c r="O149" s="284" t="str">
        <f t="shared" si="13"/>
        <v>30 novembre 2021</v>
      </c>
      <c r="P149" s="282" t="e">
        <f>IF(VLOOKUP(T_Convention[[#This Row],[NumL]],T_TraitDi[#Data],COLUMN(T_TraitDi[M1]),FALSE)="","",VLOOKUP(T_Convention[[#This Row],[NumL]],T_TraitDi[#Data],COLUMN(T_TraitDi[M1]),FALSE))</f>
        <v>#N/A</v>
      </c>
      <c r="Q149" s="282" t="e">
        <f>IF(VLOOKUP(T_Convention[[#This Row],[NumL]],T_TraitDi[#Data],COLUMN(T_TraitDi[M2]),FALSE)="","",VLOOKUP(T_Convention[[#This Row],[NumL]],T_TraitDi[#Data],COLUMN(T_TraitDi[M2]),FALSE))</f>
        <v>#N/A</v>
      </c>
      <c r="R149" s="282" t="e">
        <f>IF(VLOOKUP(T_Convention[[#This Row],[NumL]],T_TraitDi[#Data],COLUMN(T_TraitDi[M3]),FALSE)="","",VLOOKUP(T_Convention[[#This Row],[NumL]],T_TraitDi[#Data],COLUMN(T_TraitDi[M3]),FALSE))</f>
        <v>#N/A</v>
      </c>
      <c r="S149" s="282" t="e">
        <f>IF(VLOOKUP(T_Convention[[#This Row],[NumL]],T_TraitDi[#Data],COLUMN(T_TraitDi[M4]),FALSE)="","",VLOOKUP(T_Convention[[#This Row],[NumL]],T_TraitDi[#Data],COLUMN(T_TraitDi[M4]),FALSE))</f>
        <v>#N/A</v>
      </c>
      <c r="T149" s="282" t="e">
        <f>IF(VLOOKUP(T_Convention[[#This Row],[NumL]],T_TraitDi[#Data],COLUMN(T_TraitDi[M5]),FALSE)="","",VLOOKUP(T_Convention[[#This Row],[NumL]],T_TraitDi[#Data],COLUMN(T_TraitDi[M5]),FALSE))</f>
        <v>#N/A</v>
      </c>
      <c r="U149" s="282" t="e">
        <f>IF(VLOOKUP(T_Convention[[#This Row],[NumL]],T_TraitDi[#Data],COLUMN(T_TraitDi[M6]),FALSE)="","",VLOOKUP(T_Convention[[#This Row],[NumL]],T_TraitDi[#Data],COLUMN(T_TraitDi[M6]),FALSE))</f>
        <v>#N/A</v>
      </c>
      <c r="V149" s="176" t="e">
        <f t="shared" si="14"/>
        <v>#N/A</v>
      </c>
      <c r="W149" s="284" t="str">
        <f>IFERROR(TEXT(VLOOKUP(T_Convention[[#This Row],[NumL]],T_TraitDi[#Data],COLUMN(T_TraitDi[Q2]),FALSE),"###%"),"")</f>
        <v/>
      </c>
      <c r="X149" s="97" t="e">
        <f>VLOOKUP(T_Convention[[#This Row],[NumL]],T_TraitDi[#Data],COLUMN(T_TraitDi[Reg Ponct]),FALSE)</f>
        <v>#N/A</v>
      </c>
      <c r="Y149" s="97" t="e">
        <f>VLOOKUP(T_Convention[NumL],T_TraitDi[#Data],COLUMN(T_TraitDi[Jours flottants]),FALSE)</f>
        <v>#N/A</v>
      </c>
      <c r="Z149" s="284" t="str">
        <f>IFERROR(VLOOKUP(T_Convention[[#This Row],[NumL]],T_TraitDi[#Data],COLUMN(T_TraitDi[Lundi]),FALSE),"")</f>
        <v/>
      </c>
      <c r="AA149" s="284" t="e">
        <f>IF(VLOOKUP(T_Convention[[#This Row],[NumL]],T_TraitDi[#Data],COLUMN(T_TraitDi[Colonne3]),FALSE)=0,"",TEXT(IFERROR(VLOOKUP(T_Convention[[#This Row],[NumL]],T_TraitDi[#Data],COLUMN(T_TraitDi[Colonne3]),FALSE),""),"[hh]:mm"))</f>
        <v>#N/A</v>
      </c>
      <c r="AB149" s="284" t="e">
        <f>IF(VLOOKUP(T_Convention[[#This Row],[NumL]],T_TraitDi[#Data],COLUMN(T_TraitDi[Colonne4]),FALSE)=0,"",TEXT(IFERROR(VLOOKUP(T_Convention[[#This Row],[NumL]],T_TraitDi[#Data],COLUMN(T_TraitDi[Colonne4]),FALSE),""),"[hh]:mm"))</f>
        <v>#N/A</v>
      </c>
      <c r="AC149" s="284" t="e">
        <f>IF(VLOOKUP(T_Convention[[#This Row],[NumL]],T_TraitDi[#Data],COLUMN(T_TraitDi[Colonne5]),FALSE)=0,"",TEXT(IFERROR(VLOOKUP(T_Convention[[#This Row],[NumL]],T_TraitDi[#Data],COLUMN(T_TraitDi[Colonne5]),FALSE),""),"[hh]:mm"))</f>
        <v>#N/A</v>
      </c>
      <c r="AD149" s="284" t="e">
        <f>IF(VLOOKUP(T_Convention[[#This Row],[NumL]],T_TraitDi[#Data],COLUMN(T_TraitDi[Colonne6]),FALSE)=0,"",TEXT(IFERROR(VLOOKUP(T_Convention[[#This Row],[NumL]],T_TraitDi[#Data],COLUMN(T_TraitDi[Colonne6]),FALSE),""),"[hh]:mm"))</f>
        <v>#N/A</v>
      </c>
      <c r="AE149" s="284" t="e">
        <f>IF(VLOOKUP(T_Convention[[#This Row],[NumL]],T_TraitDi[#Data],COLUMN(T_TraitDi[Colonne7]),FALSE)=0,"",TEXT(IFERROR(VLOOKUP(T_Convention[[#This Row],[NumL]],T_TraitDi[#Data],COLUMN(T_TraitDi[Colonne7]),FALSE),""),"[hh]:mm"))</f>
        <v>#N/A</v>
      </c>
      <c r="AF149" s="284" t="e">
        <f>IF(VLOOKUP(T_Convention[[#This Row],[NumL]],T_TraitDi[#Data],COLUMN(T_TraitDi[Colonne8]),FALSE)=0,"",TEXT(IFERROR(VLOOKUP(T_Convention[[#This Row],[NumL]],T_TraitDi[#Data],COLUMN(T_TraitDi[Colonne8]),FALSE),""),"[hh]:mm"))</f>
        <v>#N/A</v>
      </c>
      <c r="AG149" s="284" t="str">
        <f>IFERROR(VLOOKUP(T_Convention[[#This Row],[NumL]],T_TraitDi[#Data],COLUMN(T_TraitDi[Mardi]),FALSE),"")</f>
        <v/>
      </c>
      <c r="AH149" s="284" t="e">
        <f>IF(VLOOKUP(T_Convention[[#This Row],[NumL]],T_TraitDi[#Data],COLUMN(T_TraitDi[Colonne1]),FALSE)=0,"",TEXT(IFERROR(VLOOKUP(T_Convention[[#This Row],[NumL]],T_TraitDi[#Data],COLUMN(T_TraitDi[Colonne1]),FALSE),""),"[hh]:mm"))</f>
        <v>#N/A</v>
      </c>
      <c r="AI149" s="284" t="e">
        <f>IF(VLOOKUP(T_Convention[[#This Row],[NumL]],T_TraitDi[#Data],COLUMN(T_TraitDi[Colonne9]),FALSE)=0,"",TEXT(IFERROR(VLOOKUP(T_Convention[[#This Row],[NumL]],T_TraitDi[#Data],COLUMN(T_TraitDi[Colonne9]),FALSE),""),"[hh]:mm"))</f>
        <v>#N/A</v>
      </c>
      <c r="AJ149" s="284" t="str">
        <f>IFERROR(VLOOKUP(T_Convention[[#This Row],[NumL]],T_TraitDi[#Data],COLUMN(T_TraitDi[Colonne10]),FALSE),"")</f>
        <v/>
      </c>
      <c r="AK149" s="284" t="e">
        <f>IF(VLOOKUP(T_Convention[[#This Row],[NumL]],T_TraitDi[#Data],COLUMN(T_TraitDi[Colonne11]),FALSE)=0,"",TEXT(IFERROR(VLOOKUP(T_Convention[[#This Row],[NumL]],T_TraitDi[#Data],COLUMN(T_TraitDi[Colonne11]),FALSE),""),"[hh]:mm"))</f>
        <v>#N/A</v>
      </c>
      <c r="AL149" s="284" t="e">
        <f>IF(VLOOKUP(T_Convention[[#This Row],[NumL]],T_TraitDi[#Data],COLUMN(T_TraitDi[Colonne12]),FALSE)=0,"",TEXT(IFERROR(VLOOKUP(T_Convention[[#This Row],[NumL]],T_TraitDi[#Data],COLUMN(T_TraitDi[Colonne12]),FALSE),""),"[hh]:mm"))</f>
        <v>#N/A</v>
      </c>
      <c r="AM149" s="284" t="e">
        <f>IF(VLOOKUP(T_Convention[[#This Row],[NumL]],T_TraitDi[#Data],COLUMN(T_TraitDi[Colonne14]),FALSE)=0,"",TEXT(IFERROR(VLOOKUP(T_Convention[[#This Row],[NumL]],T_TraitDi[#Data],COLUMN(T_TraitDi[Colonne14]),FALSE),""),"[hh]:mm"))</f>
        <v>#N/A</v>
      </c>
      <c r="AN149" s="284" t="str">
        <f>IFERROR(VLOOKUP(T_Convention[[#This Row],[NumL]],T_TraitDi[#Data],COLUMN(T_TraitDi[Mercredi]),FALSE),"")</f>
        <v/>
      </c>
      <c r="AO149" s="284" t="e">
        <f>IF(VLOOKUP(T_Convention[[#This Row],[NumL]],T_TraitDi[#Data],COLUMN(T_TraitDi[Colonne15]),FALSE)=0,"",TEXT(IFERROR(VLOOKUP(T_Convention[[#This Row],[NumL]],T_TraitDi[#Data],COLUMN(T_TraitDi[Colonne15]),FALSE),""),"[hh]:mm"))</f>
        <v>#N/A</v>
      </c>
      <c r="AP149" s="284" t="e">
        <f>IF(VLOOKUP(T_Convention[[#This Row],[NumL]],T_TraitDi[#Data],COLUMN(T_TraitDi[Colonne16]),FALSE)=0,"",TEXT(IFERROR(VLOOKUP(T_Convention[[#This Row],[NumL]],T_TraitDi[#Data],COLUMN(T_TraitDi[Colonne16]),FALSE),""),"[hh]:mm"))</f>
        <v>#N/A</v>
      </c>
      <c r="AQ149" s="284" t="str">
        <f>IFERROR(VLOOKUP(T_Convention[[#This Row],[NumL]],T_TraitDi[#Data],COLUMN(T_TraitDi[Colonne17]),FALSE),"")</f>
        <v/>
      </c>
      <c r="AR149" s="284" t="e">
        <f>IF(VLOOKUP(T_Convention[[#This Row],[NumL]],T_TraitDi[#Data],COLUMN(T_TraitDi[Colonne18]),FALSE)=0,"",TEXT(IFERROR(VLOOKUP(T_Convention[[#This Row],[NumL]],T_TraitDi[#Data],COLUMN(T_TraitDi[Colonne18]),FALSE),""),"[hh]:mm"))</f>
        <v>#N/A</v>
      </c>
      <c r="AS149" s="284" t="e">
        <f>IF(VLOOKUP(T_Convention[[#This Row],[NumL]],T_TraitDi[#Data],COLUMN(T_TraitDi[Colonne19]),FALSE)=0,"",TEXT(IFERROR(VLOOKUP(T_Convention[[#This Row],[NumL]],T_TraitDi[#Data],COLUMN(T_TraitDi[Colonne19]),FALSE),""),"[hh]:mm"))</f>
        <v>#N/A</v>
      </c>
      <c r="AT149" s="284" t="e">
        <f>IF(VLOOKUP(T_Convention[[#This Row],[NumL]],T_TraitDi[#Data],COLUMN(T_TraitDi[Colonne20]),FALSE)=0,"",TEXT(IFERROR(VLOOKUP(T_Convention[[#This Row],[NumL]],T_TraitDi[#Data],COLUMN(T_TraitDi[Colonne20]),FALSE),""),"[hh]:mm"))</f>
        <v>#N/A</v>
      </c>
      <c r="AU149" s="284" t="str">
        <f>IFERROR(VLOOKUP(T_Convention[[#This Row],[NumL]],T_TraitDi[#Data],COLUMN(T_TraitDi[Jeudi]),FALSE),"")</f>
        <v/>
      </c>
      <c r="AV149" s="284" t="e">
        <f>IF(VLOOKUP(T_Convention[[#This Row],[NumL]],T_TraitDi[#Data],COLUMN(T_TraitDi[Colonne21]),FALSE)=0,"",TEXT(IFERROR(VLOOKUP(T_Convention[[#This Row],[NumL]],T_TraitDi[#Data],COLUMN(T_TraitDi[Colonne21]),FALSE),""),"[hh]:mm"))</f>
        <v>#N/A</v>
      </c>
      <c r="AW149" s="284" t="e">
        <f>IF(VLOOKUP(T_Convention[[#This Row],[NumL]],T_TraitDi[#Data],COLUMN(T_TraitDi[Colonne22]),FALSE)=0,"",TEXT(IFERROR(VLOOKUP(T_Convention[[#This Row],[NumL]],T_TraitDi[#Data],COLUMN(T_TraitDi[Colonne22]),FALSE),""),"[hh]:mm"))</f>
        <v>#N/A</v>
      </c>
      <c r="AX149" s="284" t="str">
        <f>IFERROR(VLOOKUP(T_Convention[[#This Row],[NumL]],T_TraitDi[#Data],COLUMN(T_TraitDi[Colonne23]),FALSE),"")</f>
        <v/>
      </c>
      <c r="AY149" s="284" t="e">
        <f>IF(VLOOKUP(T_Convention[[#This Row],[NumL]],T_TraitDi[#Data],COLUMN(T_TraitDi[Colonne24]),FALSE)=0,"",TEXT(IFERROR(VLOOKUP(T_Convention[[#This Row],[NumL]],T_TraitDi[#Data],COLUMN(T_TraitDi[Colonne24]),FALSE),""),"[hh]:mm"))</f>
        <v>#N/A</v>
      </c>
      <c r="AZ149" s="284" t="e">
        <f>IF(VLOOKUP(T_Convention[[#This Row],[NumL]],T_TraitDi[#Data],COLUMN(T_TraitDi[Colonne25]),FALSE)=0,"",TEXT(IFERROR(VLOOKUP(T_Convention[[#This Row],[NumL]],T_TraitDi[#Data],COLUMN(T_TraitDi[Colonne25]),FALSE),""),"[hh]:mm"))</f>
        <v>#N/A</v>
      </c>
      <c r="BA149" s="284" t="e">
        <f>IF(VLOOKUP(T_Convention[[#This Row],[NumL]],T_TraitDi[#Data],COLUMN(T_TraitDi[Colonne26]),FALSE)=0,"",TEXT(IFERROR(VLOOKUP(T_Convention[[#This Row],[NumL]],T_TraitDi[#Data],COLUMN(T_TraitDi[Colonne26]),FALSE),""),"[hh]:mm"))</f>
        <v>#N/A</v>
      </c>
      <c r="BB149" s="284" t="str">
        <f>IFERROR(VLOOKUP(T_Convention[[#This Row],[NumL]],T_TraitDi[#Data],COLUMN(T_TraitDi[Vendredi]),FALSE),"")</f>
        <v/>
      </c>
      <c r="BC149" s="284" t="e">
        <f>IF(VLOOKUP(T_Convention[[#This Row],[NumL]],T_TraitDi[#Data],COLUMN(T_TraitDi[Colonne27]),FALSE)=0,"",TEXT(IFERROR(VLOOKUP(T_Convention[[#This Row],[NumL]],T_TraitDi[#Data],COLUMN(T_TraitDi[Colonne27]),FALSE),""),"[hh]:mm"))</f>
        <v>#N/A</v>
      </c>
      <c r="BD149" s="284" t="e">
        <f>IF(VLOOKUP(T_Convention[[#This Row],[NumL]],T_TraitDi[#Data],COLUMN(T_TraitDi[Colonne28]),FALSE)=0,"",TEXT(IFERROR(VLOOKUP(T_Convention[[#This Row],[NumL]],T_TraitDi[#Data],COLUMN(T_TraitDi[Colonne28]),FALSE),""),"[hh]:mm"))</f>
        <v>#N/A</v>
      </c>
      <c r="BE149" s="284" t="str">
        <f>IFERROR(VLOOKUP(T_Convention[[#This Row],[NumL]],T_TraitDi[#Data],COLUMN(T_TraitDi[Colonne29]),FALSE),"")</f>
        <v/>
      </c>
      <c r="BF149" s="284" t="e">
        <f>IF(VLOOKUP(T_Convention[[#This Row],[NumL]],T_TraitDi[#Data],COLUMN(T_TraitDi[Colonne30]),FALSE)=0,"",TEXT(IFERROR(VLOOKUP(T_Convention[[#This Row],[NumL]],T_TraitDi[#Data],COLUMN(T_TraitDi[Colonne30]),FALSE),""),"[hh]:mm"))</f>
        <v>#N/A</v>
      </c>
      <c r="BG149" s="284" t="e">
        <f>IF(VLOOKUP(T_Convention[[#This Row],[NumL]],T_TraitDi[#Data],COLUMN(T_TraitDi[Colonne31]),FALSE)=0,"",TEXT(IFERROR(VLOOKUP(T_Convention[[#This Row],[NumL]],T_TraitDi[#Data],COLUMN(T_TraitDi[Colonne31]),FALSE),""),"[hh]:mm"))</f>
        <v>#N/A</v>
      </c>
      <c r="BH149" s="284" t="e">
        <f>IF(VLOOKUP(T_Convention[[#This Row],[NumL]],T_TraitDi[#Data],COLUMN(T_TraitDi[Colonne32]),FALSE)=0,"",TEXT(IFERROR(VLOOKUP(T_Convention[[#This Row],[NumL]],T_TraitDi[#Data],COLUMN(T_TraitDi[Colonne32]),FALSE),""),"[hh]:mm"))</f>
        <v>#N/A</v>
      </c>
      <c r="BI149" s="284" t="str">
        <f>IFERROR(VLOOKUP(T_Convention[[#This Row],[NumL]],T_TraitDi[#Data],COLUMN(T_TraitDi[NbJTW]),FALSE),"")</f>
        <v/>
      </c>
      <c r="BJ149" s="284" t="e">
        <f>IF(VLOOKUP(T_Convention[[#This Row],[NumL]],T_TraitDi[#Data],COLUMN(T_TraitDi[NbhTW]),FALSE)=0,"",TEXT(IFERROR(VLOOKUP(T_Convention[[#This Row],[NumL]],T_TraitDi[#Data],COLUMN(T_TraitDi[NbhTW]),FALSE),""),"[hh]:mm"))</f>
        <v>#N/A</v>
      </c>
      <c r="BK149" s="286" t="e">
        <f>IF(VLOOKUP(T_Convention[[#This Row],[NumL]],T_TraitDi[#Data],COLUMN(T_TraitDi[Nbhheb]),FALSE)=0,"",TEXT(IFERROR(VLOOKUP(T_Convention[[#This Row],[NumL]],T_TraitDi[#Data],COLUMN(T_TraitDi[Nbhheb]),FALSE),""),"[hh]:mm"))</f>
        <v>#N/A</v>
      </c>
      <c r="BL149" s="287" t="str">
        <f>IFERROR(VLOOKUP(VLOOKUP(T_Convention[[#This Row],[NumL]],T_TraitDi[#Data],COLUMN(T_TraitDi[Type1]),FALSE),TypeTW,2,FALSE),"")</f>
        <v/>
      </c>
      <c r="BM149" s="288" t="str">
        <f>IFERROR(VLOOKUP(T_Convention[[#This Row],[NumL]],T_TraitDi[#Data],COLUMN(T_TraitDi[Rue1]),FALSE),"")</f>
        <v/>
      </c>
      <c r="BN149" s="289" t="str">
        <f>IFERROR(VLOOKUP(T_Convention[[#This Row],[NumL]],T_TraitDi[#Data],COLUMN(T_TraitDi[CP1]),FALSE),"")</f>
        <v/>
      </c>
      <c r="BO149" s="282" t="str">
        <f>IFERROR(VLOOKUP(T_Convention[[#This Row],[NumL]],T_TraitDi[#Data],COLUMN(T_TraitDi[VILLE1]),FALSE),"")</f>
        <v/>
      </c>
      <c r="BP149" s="290" t="str">
        <f>IFERROR(VLOOKUP(VLOOKUP(T_Convention[[#This Row],[NumL]],T_TraitDi[#Data],COLUMN(T_TraitDi[Type2]),FALSE),TypeTW,2,FALSE),"")</f>
        <v/>
      </c>
      <c r="BQ149" s="182" t="str">
        <f>IFERROR(VLOOKUP(T_Convention[[#This Row],[NumL]],T_TraitDi[#Data],COLUMN(T_TraitDi[Rue2]),FALSE),"")</f>
        <v/>
      </c>
      <c r="BR149" s="173" t="str">
        <f>IFERROR(VLOOKUP(T_Convention[[#This Row],[NumL]],T_TraitDi[#Data],COLUMN(T_TraitDi[CP2]),FALSE),"")</f>
        <v/>
      </c>
      <c r="BS149" s="173" t="str">
        <f>IFERROR(VLOOKUP(T_Convention[[#This Row],[NumL]],T_TraitDi[#Data],COLUMN(T_TraitDi[VILLE2]),FALSE),"")</f>
        <v/>
      </c>
      <c r="BT149" s="182" t="str">
        <f>IF(VLOOKUP(T_Convention[[#This Row],[NumL]],T_Equipement[#Data],COLUMN(T_Equipement[PC]),FALSE)="","Aucun équipement spécifique directement lié au télétravail",VLOOKUP(T_Convention[[#This Row],[NumL]],T_Equipement[#Data],COLUMN(T_Equipement[PC]),FALSE))</f>
        <v xml:space="preserve">19-007	</v>
      </c>
      <c r="BU149" s="166" t="str">
        <f>IFERROR(IF(VLOOKUP(T_Convention[[#This Row],[NumL]],T_TraitDi[#Data],COLUMN(T_TraitDi[Plan]),FALSE)="OK","Un planning spécifique de télétravail est annexé à la présente convention.",""),"")</f>
        <v/>
      </c>
      <c r="BV149" s="270" t="s">
        <v>3325</v>
      </c>
      <c r="BW149" s="164" t="e">
        <f>IF(VLOOKUP(T_Convention[[#This Row],[NumL]],T_suiviDi[#Data],COLUMN(T_suiviDi[Entité]),FALSE)="","",VLOOKUP(T_Convention[[#This Row],[NumL]],T_suiviDi[#Data],COLUMN(T_suiviDi[Entité]),FALSE))</f>
        <v>#N/A</v>
      </c>
      <c r="BX149" s="164" t="str">
        <f>IF(VLOOKUP(T_Convention[[#This Row],[NumL]],T_Commission[#Data],COLUMN(T_Commission[envoi confirm TW]),FALSE)="","",VLOOKUP(T_Convention[[#This Row],[NumL]],T_Commission[#Data],COLUMN(T_Commission[envoi confirm TW]),FALSE))</f>
        <v>Oui</v>
      </c>
      <c r="BY14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49" s="264">
        <f>VLOOKUP(T_Convention[[#This Row],[NumL]],T_Commission[#Data],COLUMN(T_Commission[Commentaire]),FALSE)</f>
        <v>0</v>
      </c>
      <c r="CA149" s="254" t="str">
        <f>IF(VLOOKUP(T_Convention[[#This Row],[NumL]],T_Commission[#Data],COLUMN(T_Commission[Encadrant Email]),FALSE)="","",VLOOKUP(T_Convention[[#This Row],[NumL]],T_Commission[#Data],COLUMN(T_Commission[Encadrant Email]),FALSE))</f>
        <v/>
      </c>
      <c r="CB149" s="352" t="e">
        <f>VLOOKUP(T_Convention[[#This Row],[NumL]],T_TraitDi[#Data],COLUMN(T_TraitDi[NbJTot]),FALSE)</f>
        <v>#N/A</v>
      </c>
      <c r="CC149" s="352" t="e">
        <f>VLOOKUP(T_Convention[[#This Row],[NumL]],T_TraitDi[#Data],COLUMN(T_TraitDi[Reg Ponct]),FALSE)</f>
        <v>#N/A</v>
      </c>
      <c r="CD149" s="348" t="str">
        <f>IF(T_Convention[[#This Row],[Final]]&lt;&gt;"",VLOOKUP(T_Convention[[#This Row],[NumL]],T_suiviDi[#Data],COLUMN((T_suiviDi[Statut])),FALSE),"")</f>
        <v/>
      </c>
    </row>
    <row r="150" spans="1:82" s="106" customFormat="1" ht="18.75" customHeight="1" x14ac:dyDescent="0.25">
      <c r="A150" s="160">
        <v>121</v>
      </c>
      <c r="B150" s="161" t="str">
        <f>VLOOKUP(T_Convention[[#This Row],[NumL]],T_Commission[#Data],COLUMN(T_Commission[FINAL]),FALSE)</f>
        <v/>
      </c>
      <c r="C150" s="162"/>
      <c r="D150" s="95" t="e">
        <f>IF(VLOOKUP(T_Convention[[#This Row],[NumL]],T_TraitDi[#Data],COLUMN(T_TraitDi[WebC]),FALSE)="","",VLOOKUP(T_Convention[[#This Row],[NumL]],T_TraitDi[#Data],COLUMN(T_TraitDi[WebC]),FALSE))</f>
        <v>#N/A</v>
      </c>
      <c r="E150" s="163" t="str">
        <f t="shared" si="10"/>
        <v>12 janvier 2021</v>
      </c>
      <c r="F150" s="282" t="str">
        <f>IF(T_Convention[[#This Row],[Final]]&lt;&gt;"",VLOOKUP(T_Convention[[#This Row],[NumL]],T_suiviDi[#Data],COLUMN((T_suiviDi[Civ.])),FALSE),"")</f>
        <v/>
      </c>
      <c r="G150" s="283" t="str">
        <f>IF(T_Convention[[#This Row],[Final]]&lt;&gt;"",VLOOKUP(T_Convention[[#This Row],[NumL]],T_suiviDi[#Data],COLUMN((T_suiviDi[Nom])),FALSE),"")</f>
        <v/>
      </c>
      <c r="H150" s="282" t="str">
        <f>IF(T_Convention[[#This Row],[Final]]&lt;&gt;"",VLOOKUP(T_Convention[[#This Row],[NumL]],T_suiviDi[#Data],COLUMN((T_suiviDi[Prénom])),FALSE),"")</f>
        <v/>
      </c>
      <c r="I150" s="282" t="e">
        <f>VLOOKUP(T_Convention[[#This Row],[NumL]],T_suiviDi[#Data],COLUMN((T_suiviDi[[#This Row],[Email]])),FALSE)</f>
        <v>#VALUE!</v>
      </c>
      <c r="J150" s="282" t="e">
        <f>IF(VLOOKUP(T_Convention[[#This Row],[NumL]],T_suiviDi[#Data],COLUMN(T_suiviDi[[#This Row],[Fonction]]),FALSE)="","",VLOOKUP(T_Convention[[#This Row],[NumL]],T_suiviDi[#Data],COLUMN(T_suiviDi[[#This Row],[Fonction]]),FALSE))</f>
        <v>#VALUE!</v>
      </c>
      <c r="K150" s="282" t="e">
        <f>IF(VLOOKUP(T_Convention[[#This Row],[NumL]],T_suiviDi[#Data],COLUMN(T_suiviDi[[#This Row],[Grade]]),FALSE)="","",VLOOKUP(T_Convention[[#This Row],[NumL]],T_suiviDi[#Data],COLUMN(T_suiviDi[[#This Row],[Grade]]),FALSE))</f>
        <v>#VALUE!</v>
      </c>
      <c r="L150" s="282" t="e">
        <f>IF(VLOOKUP(T_Convention[[#This Row],[NumL]],T_suiviDi[#Data],COLUMN(T_suiviDi[[#This Row],[Service ]]),FALSE)="","",VLOOKUP(T_Convention[[#This Row],[NumL]],T_suiviDi[#Data],COLUMN(T_suiviDi[[#This Row],[Service ]]),FALSE))</f>
        <v>#VALUE!</v>
      </c>
      <c r="M150" s="164" t="str">
        <f t="shared" si="11"/>
        <v>01 septembre 2021</v>
      </c>
      <c r="N150" s="164" t="str">
        <f t="shared" si="12"/>
        <v>30 novembre 2021</v>
      </c>
      <c r="O150" s="284" t="str">
        <f t="shared" si="13"/>
        <v>30 novembre 2021</v>
      </c>
      <c r="P150" s="282" t="e">
        <f>IF(VLOOKUP(T_Convention[[#This Row],[NumL]],T_TraitDi[#Data],COLUMN(T_TraitDi[M1]),FALSE)="","",VLOOKUP(T_Convention[[#This Row],[NumL]],T_TraitDi[#Data],COLUMN(T_TraitDi[M1]),FALSE))</f>
        <v>#N/A</v>
      </c>
      <c r="Q150" s="282" t="e">
        <f>IF(VLOOKUP(T_Convention[[#This Row],[NumL]],T_TraitDi[#Data],COLUMN(T_TraitDi[M2]),FALSE)="","",VLOOKUP(T_Convention[[#This Row],[NumL]],T_TraitDi[#Data],COLUMN(T_TraitDi[M2]),FALSE))</f>
        <v>#N/A</v>
      </c>
      <c r="R150" s="282" t="e">
        <f>IF(VLOOKUP(T_Convention[[#This Row],[NumL]],T_TraitDi[#Data],COLUMN(T_TraitDi[M3]),FALSE)="","",VLOOKUP(T_Convention[[#This Row],[NumL]],T_TraitDi[#Data],COLUMN(T_TraitDi[M3]),FALSE))</f>
        <v>#N/A</v>
      </c>
      <c r="S150" s="282" t="e">
        <f>IF(VLOOKUP(T_Convention[[#This Row],[NumL]],T_TraitDi[#Data],COLUMN(T_TraitDi[M4]),FALSE)="","",VLOOKUP(T_Convention[[#This Row],[NumL]],T_TraitDi[#Data],COLUMN(T_TraitDi[M4]),FALSE))</f>
        <v>#N/A</v>
      </c>
      <c r="T150" s="282" t="e">
        <f>IF(VLOOKUP(T_Convention[[#This Row],[NumL]],T_TraitDi[#Data],COLUMN(T_TraitDi[M5]),FALSE)="","",VLOOKUP(T_Convention[[#This Row],[NumL]],T_TraitDi[#Data],COLUMN(T_TraitDi[M5]),FALSE))</f>
        <v>#N/A</v>
      </c>
      <c r="U150" s="282" t="e">
        <f>IF(VLOOKUP(T_Convention[[#This Row],[NumL]],T_TraitDi[#Data],COLUMN(T_TraitDi[M6]),FALSE)="","",VLOOKUP(T_Convention[[#This Row],[NumL]],T_TraitDi[#Data],COLUMN(T_TraitDi[M6]),FALSE))</f>
        <v>#N/A</v>
      </c>
      <c r="V150" s="176" t="e">
        <f t="shared" si="14"/>
        <v>#N/A</v>
      </c>
      <c r="W150" s="284" t="str">
        <f>IFERROR(TEXT(VLOOKUP(T_Convention[[#This Row],[NumL]],T_TraitDi[#Data],COLUMN(T_TraitDi[Q2]),FALSE),"###%"),"")</f>
        <v/>
      </c>
      <c r="X150" s="97" t="e">
        <f>VLOOKUP(T_Convention[[#This Row],[NumL]],T_TraitDi[#Data],COLUMN(T_TraitDi[Reg Ponct]),FALSE)</f>
        <v>#N/A</v>
      </c>
      <c r="Y150" s="97" t="e">
        <f>VLOOKUP(T_Convention[NumL],T_TraitDi[#Data],COLUMN(T_TraitDi[Jours flottants]),FALSE)</f>
        <v>#N/A</v>
      </c>
      <c r="Z150" s="284" t="str">
        <f>IFERROR(VLOOKUP(T_Convention[[#This Row],[NumL]],T_TraitDi[#Data],COLUMN(T_TraitDi[Lundi]),FALSE),"")</f>
        <v/>
      </c>
      <c r="AA150" s="284" t="e">
        <f>IF(VLOOKUP(T_Convention[[#This Row],[NumL]],T_TraitDi[#Data],COLUMN(T_TraitDi[Colonne3]),FALSE)=0,"",TEXT(IFERROR(VLOOKUP(T_Convention[[#This Row],[NumL]],T_TraitDi[#Data],COLUMN(T_TraitDi[Colonne3]),FALSE),""),"[hh]:mm"))</f>
        <v>#N/A</v>
      </c>
      <c r="AB150" s="284" t="e">
        <f>IF(VLOOKUP(T_Convention[[#This Row],[NumL]],T_TraitDi[#Data],COLUMN(T_TraitDi[Colonne4]),FALSE)=0,"",TEXT(IFERROR(VLOOKUP(T_Convention[[#This Row],[NumL]],T_TraitDi[#Data],COLUMN(T_TraitDi[Colonne4]),FALSE),""),"[hh]:mm"))</f>
        <v>#N/A</v>
      </c>
      <c r="AC150" s="284" t="e">
        <f>IF(VLOOKUP(T_Convention[[#This Row],[NumL]],T_TraitDi[#Data],COLUMN(T_TraitDi[Colonne5]),FALSE)=0,"",TEXT(IFERROR(VLOOKUP(T_Convention[[#This Row],[NumL]],T_TraitDi[#Data],COLUMN(T_TraitDi[Colonne5]),FALSE),""),"[hh]:mm"))</f>
        <v>#N/A</v>
      </c>
      <c r="AD150" s="284" t="e">
        <f>IF(VLOOKUP(T_Convention[[#This Row],[NumL]],T_TraitDi[#Data],COLUMN(T_TraitDi[Colonne6]),FALSE)=0,"",TEXT(IFERROR(VLOOKUP(T_Convention[[#This Row],[NumL]],T_TraitDi[#Data],COLUMN(T_TraitDi[Colonne6]),FALSE),""),"[hh]:mm"))</f>
        <v>#N/A</v>
      </c>
      <c r="AE150" s="284" t="e">
        <f>IF(VLOOKUP(T_Convention[[#This Row],[NumL]],T_TraitDi[#Data],COLUMN(T_TraitDi[Colonne7]),FALSE)=0,"",TEXT(IFERROR(VLOOKUP(T_Convention[[#This Row],[NumL]],T_TraitDi[#Data],COLUMN(T_TraitDi[Colonne7]),FALSE),""),"[hh]:mm"))</f>
        <v>#N/A</v>
      </c>
      <c r="AF150" s="284" t="e">
        <f>IF(VLOOKUP(T_Convention[[#This Row],[NumL]],T_TraitDi[#Data],COLUMN(T_TraitDi[Colonne8]),FALSE)=0,"",TEXT(IFERROR(VLOOKUP(T_Convention[[#This Row],[NumL]],T_TraitDi[#Data],COLUMN(T_TraitDi[Colonne8]),FALSE),""),"[hh]:mm"))</f>
        <v>#N/A</v>
      </c>
      <c r="AG150" s="284" t="str">
        <f>IFERROR(VLOOKUP(T_Convention[[#This Row],[NumL]],T_TraitDi[#Data],COLUMN(T_TraitDi[Mardi]),FALSE),"")</f>
        <v/>
      </c>
      <c r="AH150" s="284" t="e">
        <f>IF(VLOOKUP(T_Convention[[#This Row],[NumL]],T_TraitDi[#Data],COLUMN(T_TraitDi[Colonne1]),FALSE)=0,"",TEXT(IFERROR(VLOOKUP(T_Convention[[#This Row],[NumL]],T_TraitDi[#Data],COLUMN(T_TraitDi[Colonne1]),FALSE),""),"[hh]:mm"))</f>
        <v>#N/A</v>
      </c>
      <c r="AI150" s="284" t="e">
        <f>IF(VLOOKUP(T_Convention[[#This Row],[NumL]],T_TraitDi[#Data],COLUMN(T_TraitDi[Colonne9]),FALSE)=0,"",TEXT(IFERROR(VLOOKUP(T_Convention[[#This Row],[NumL]],T_TraitDi[#Data],COLUMN(T_TraitDi[Colonne9]),FALSE),""),"[hh]:mm"))</f>
        <v>#N/A</v>
      </c>
      <c r="AJ150" s="284" t="str">
        <f>IFERROR(VLOOKUP(T_Convention[[#This Row],[NumL]],T_TraitDi[#Data],COLUMN(T_TraitDi[Colonne10]),FALSE),"")</f>
        <v/>
      </c>
      <c r="AK150" s="284" t="e">
        <f>IF(VLOOKUP(T_Convention[[#This Row],[NumL]],T_TraitDi[#Data],COLUMN(T_TraitDi[Colonne11]),FALSE)=0,"",TEXT(IFERROR(VLOOKUP(T_Convention[[#This Row],[NumL]],T_TraitDi[#Data],COLUMN(T_TraitDi[Colonne11]),FALSE),""),"[hh]:mm"))</f>
        <v>#N/A</v>
      </c>
      <c r="AL150" s="284" t="e">
        <f>IF(VLOOKUP(T_Convention[[#This Row],[NumL]],T_TraitDi[#Data],COLUMN(T_TraitDi[Colonne12]),FALSE)=0,"",TEXT(IFERROR(VLOOKUP(T_Convention[[#This Row],[NumL]],T_TraitDi[#Data],COLUMN(T_TraitDi[Colonne12]),FALSE),""),"[hh]:mm"))</f>
        <v>#N/A</v>
      </c>
      <c r="AM150" s="284" t="e">
        <f>IF(VLOOKUP(T_Convention[[#This Row],[NumL]],T_TraitDi[#Data],COLUMN(T_TraitDi[Colonne14]),FALSE)=0,"",TEXT(IFERROR(VLOOKUP(T_Convention[[#This Row],[NumL]],T_TraitDi[#Data],COLUMN(T_TraitDi[Colonne14]),FALSE),""),"[hh]:mm"))</f>
        <v>#N/A</v>
      </c>
      <c r="AN150" s="284" t="str">
        <f>IFERROR(VLOOKUP(T_Convention[[#This Row],[NumL]],T_TraitDi[#Data],COLUMN(T_TraitDi[Mercredi]),FALSE),"")</f>
        <v/>
      </c>
      <c r="AO150" s="284" t="e">
        <f>IF(VLOOKUP(T_Convention[[#This Row],[NumL]],T_TraitDi[#Data],COLUMN(T_TraitDi[Colonne15]),FALSE)=0,"",TEXT(IFERROR(VLOOKUP(T_Convention[[#This Row],[NumL]],T_TraitDi[#Data],COLUMN(T_TraitDi[Colonne15]),FALSE),""),"[hh]:mm"))</f>
        <v>#N/A</v>
      </c>
      <c r="AP150" s="284" t="e">
        <f>IF(VLOOKUP(T_Convention[[#This Row],[NumL]],T_TraitDi[#Data],COLUMN(T_TraitDi[Colonne16]),FALSE)=0,"",TEXT(IFERROR(VLOOKUP(T_Convention[[#This Row],[NumL]],T_TraitDi[#Data],COLUMN(T_TraitDi[Colonne16]),FALSE),""),"[hh]:mm"))</f>
        <v>#N/A</v>
      </c>
      <c r="AQ150" s="284" t="str">
        <f>IFERROR(VLOOKUP(T_Convention[[#This Row],[NumL]],T_TraitDi[#Data],COLUMN(T_TraitDi[Colonne17]),FALSE),"")</f>
        <v/>
      </c>
      <c r="AR150" s="284" t="e">
        <f>IF(VLOOKUP(T_Convention[[#This Row],[NumL]],T_TraitDi[#Data],COLUMN(T_TraitDi[Colonne18]),FALSE)=0,"",TEXT(IFERROR(VLOOKUP(T_Convention[[#This Row],[NumL]],T_TraitDi[#Data],COLUMN(T_TraitDi[Colonne18]),FALSE),""),"[hh]:mm"))</f>
        <v>#N/A</v>
      </c>
      <c r="AS150" s="284" t="e">
        <f>IF(VLOOKUP(T_Convention[[#This Row],[NumL]],T_TraitDi[#Data],COLUMN(T_TraitDi[Colonne19]),FALSE)=0,"",TEXT(IFERROR(VLOOKUP(T_Convention[[#This Row],[NumL]],T_TraitDi[#Data],COLUMN(T_TraitDi[Colonne19]),FALSE),""),"[hh]:mm"))</f>
        <v>#N/A</v>
      </c>
      <c r="AT150" s="284" t="e">
        <f>IF(VLOOKUP(T_Convention[[#This Row],[NumL]],T_TraitDi[#Data],COLUMN(T_TraitDi[Colonne20]),FALSE)=0,"",TEXT(IFERROR(VLOOKUP(T_Convention[[#This Row],[NumL]],T_TraitDi[#Data],COLUMN(T_TraitDi[Colonne20]),FALSE),""),"[hh]:mm"))</f>
        <v>#N/A</v>
      </c>
      <c r="AU150" s="284" t="str">
        <f>IFERROR(VLOOKUP(T_Convention[[#This Row],[NumL]],T_TraitDi[#Data],COLUMN(T_TraitDi[Jeudi]),FALSE),"")</f>
        <v/>
      </c>
      <c r="AV150" s="284" t="e">
        <f>IF(VLOOKUP(T_Convention[[#This Row],[NumL]],T_TraitDi[#Data],COLUMN(T_TraitDi[Colonne21]),FALSE)=0,"",TEXT(IFERROR(VLOOKUP(T_Convention[[#This Row],[NumL]],T_TraitDi[#Data],COLUMN(T_TraitDi[Colonne21]),FALSE),""),"[hh]:mm"))</f>
        <v>#N/A</v>
      </c>
      <c r="AW150" s="284" t="e">
        <f>IF(VLOOKUP(T_Convention[[#This Row],[NumL]],T_TraitDi[#Data],COLUMN(T_TraitDi[Colonne22]),FALSE)=0,"",TEXT(IFERROR(VLOOKUP(T_Convention[[#This Row],[NumL]],T_TraitDi[#Data],COLUMN(T_TraitDi[Colonne22]),FALSE),""),"[hh]:mm"))</f>
        <v>#N/A</v>
      </c>
      <c r="AX150" s="284" t="str">
        <f>IFERROR(VLOOKUP(T_Convention[[#This Row],[NumL]],T_TraitDi[#Data],COLUMN(T_TraitDi[Colonne23]),FALSE),"")</f>
        <v/>
      </c>
      <c r="AY150" s="284" t="e">
        <f>IF(VLOOKUP(T_Convention[[#This Row],[NumL]],T_TraitDi[#Data],COLUMN(T_TraitDi[Colonne24]),FALSE)=0,"",TEXT(IFERROR(VLOOKUP(T_Convention[[#This Row],[NumL]],T_TraitDi[#Data],COLUMN(T_TraitDi[Colonne24]),FALSE),""),"[hh]:mm"))</f>
        <v>#N/A</v>
      </c>
      <c r="AZ150" s="284" t="e">
        <f>IF(VLOOKUP(T_Convention[[#This Row],[NumL]],T_TraitDi[#Data],COLUMN(T_TraitDi[Colonne25]),FALSE)=0,"",TEXT(IFERROR(VLOOKUP(T_Convention[[#This Row],[NumL]],T_TraitDi[#Data],COLUMN(T_TraitDi[Colonne25]),FALSE),""),"[hh]:mm"))</f>
        <v>#N/A</v>
      </c>
      <c r="BA150" s="284" t="e">
        <f>IF(VLOOKUP(T_Convention[[#This Row],[NumL]],T_TraitDi[#Data],COLUMN(T_TraitDi[Colonne26]),FALSE)=0,"",TEXT(IFERROR(VLOOKUP(T_Convention[[#This Row],[NumL]],T_TraitDi[#Data],COLUMN(T_TraitDi[Colonne26]),FALSE),""),"[hh]:mm"))</f>
        <v>#N/A</v>
      </c>
      <c r="BB150" s="284" t="str">
        <f>IFERROR(VLOOKUP(T_Convention[[#This Row],[NumL]],T_TraitDi[#Data],COLUMN(T_TraitDi[Vendredi]),FALSE),"")</f>
        <v/>
      </c>
      <c r="BC150" s="284" t="e">
        <f>IF(VLOOKUP(T_Convention[[#This Row],[NumL]],T_TraitDi[#Data],COLUMN(T_TraitDi[Colonne27]),FALSE)=0,"",TEXT(IFERROR(VLOOKUP(T_Convention[[#This Row],[NumL]],T_TraitDi[#Data],COLUMN(T_TraitDi[Colonne27]),FALSE),""),"[hh]:mm"))</f>
        <v>#N/A</v>
      </c>
      <c r="BD150" s="284" t="e">
        <f>IF(VLOOKUP(T_Convention[[#This Row],[NumL]],T_TraitDi[#Data],COLUMN(T_TraitDi[Colonne28]),FALSE)=0,"",TEXT(IFERROR(VLOOKUP(T_Convention[[#This Row],[NumL]],T_TraitDi[#Data],COLUMN(T_TraitDi[Colonne28]),FALSE),""),"[hh]:mm"))</f>
        <v>#N/A</v>
      </c>
      <c r="BE150" s="284" t="str">
        <f>IFERROR(VLOOKUP(T_Convention[[#This Row],[NumL]],T_TraitDi[#Data],COLUMN(T_TraitDi[Colonne29]),FALSE),"")</f>
        <v/>
      </c>
      <c r="BF150" s="284" t="e">
        <f>IF(VLOOKUP(T_Convention[[#This Row],[NumL]],T_TraitDi[#Data],COLUMN(T_TraitDi[Colonne30]),FALSE)=0,"",TEXT(IFERROR(VLOOKUP(T_Convention[[#This Row],[NumL]],T_TraitDi[#Data],COLUMN(T_TraitDi[Colonne30]),FALSE),""),"[hh]:mm"))</f>
        <v>#N/A</v>
      </c>
      <c r="BG150" s="284" t="e">
        <f>IF(VLOOKUP(T_Convention[[#This Row],[NumL]],T_TraitDi[#Data],COLUMN(T_TraitDi[Colonne31]),FALSE)=0,"",TEXT(IFERROR(VLOOKUP(T_Convention[[#This Row],[NumL]],T_TraitDi[#Data],COLUMN(T_TraitDi[Colonne31]),FALSE),""),"[hh]:mm"))</f>
        <v>#N/A</v>
      </c>
      <c r="BH150" s="284" t="e">
        <f>IF(VLOOKUP(T_Convention[[#This Row],[NumL]],T_TraitDi[#Data],COLUMN(T_TraitDi[Colonne32]),FALSE)=0,"",TEXT(IFERROR(VLOOKUP(T_Convention[[#This Row],[NumL]],T_TraitDi[#Data],COLUMN(T_TraitDi[Colonne32]),FALSE),""),"[hh]:mm"))</f>
        <v>#N/A</v>
      </c>
      <c r="BI150" s="284" t="str">
        <f>IFERROR(VLOOKUP(T_Convention[[#This Row],[NumL]],T_TraitDi[#Data],COLUMN(T_TraitDi[NbJTW]),FALSE),"")</f>
        <v/>
      </c>
      <c r="BJ150" s="284" t="e">
        <f>IF(VLOOKUP(T_Convention[[#This Row],[NumL]],T_TraitDi[#Data],COLUMN(T_TraitDi[NbhTW]),FALSE)=0,"",TEXT(IFERROR(VLOOKUP(T_Convention[[#This Row],[NumL]],T_TraitDi[#Data],COLUMN(T_TraitDi[NbhTW]),FALSE),""),"[hh]:mm"))</f>
        <v>#N/A</v>
      </c>
      <c r="BK150" s="286" t="e">
        <f>IF(VLOOKUP(T_Convention[[#This Row],[NumL]],T_TraitDi[#Data],COLUMN(T_TraitDi[Nbhheb]),FALSE)=0,"",TEXT(IFERROR(VLOOKUP(T_Convention[[#This Row],[NumL]],T_TraitDi[#Data],COLUMN(T_TraitDi[Nbhheb]),FALSE),""),"[hh]:mm"))</f>
        <v>#N/A</v>
      </c>
      <c r="BL150" s="287" t="str">
        <f>IFERROR(VLOOKUP(VLOOKUP(T_Convention[[#This Row],[NumL]],T_TraitDi[#Data],COLUMN(T_TraitDi[Type1]),FALSE),TypeTW,2,FALSE),"")</f>
        <v/>
      </c>
      <c r="BM150" s="288" t="str">
        <f>IFERROR(VLOOKUP(T_Convention[[#This Row],[NumL]],T_TraitDi[#Data],COLUMN(T_TraitDi[Rue1]),FALSE),"")</f>
        <v/>
      </c>
      <c r="BN150" s="289" t="str">
        <f>IFERROR(VLOOKUP(T_Convention[[#This Row],[NumL]],T_TraitDi[#Data],COLUMN(T_TraitDi[CP1]),FALSE),"")</f>
        <v/>
      </c>
      <c r="BO150" s="282" t="str">
        <f>IFERROR(VLOOKUP(T_Convention[[#This Row],[NumL]],T_TraitDi[#Data],COLUMN(T_TraitDi[VILLE1]),FALSE),"")</f>
        <v/>
      </c>
      <c r="BP150" s="290" t="str">
        <f>IFERROR(VLOOKUP(VLOOKUP(T_Convention[[#This Row],[NumL]],T_TraitDi[#Data],COLUMN(T_TraitDi[Type2]),FALSE),TypeTW,2,FALSE),"")</f>
        <v/>
      </c>
      <c r="BQ150" s="182" t="str">
        <f>IFERROR(VLOOKUP(T_Convention[[#This Row],[NumL]],T_TraitDi[#Data],COLUMN(T_TraitDi[Rue2]),FALSE),"")</f>
        <v/>
      </c>
      <c r="BR150" s="173" t="str">
        <f>IFERROR(VLOOKUP(T_Convention[[#This Row],[NumL]],T_TraitDi[#Data],COLUMN(T_TraitDi[CP2]),FALSE),"")</f>
        <v/>
      </c>
      <c r="BS150" s="173" t="str">
        <f>IFERROR(VLOOKUP(T_Convention[[#This Row],[NumL]],T_TraitDi[#Data],COLUMN(T_TraitDi[VILLE2]),FALSE),"")</f>
        <v/>
      </c>
      <c r="BT150" s="182" t="str">
        <f>IF(VLOOKUP(T_Convention[[#This Row],[NumL]],T_Equipement[#Data],COLUMN(T_Equipement[PC]),FALSE)="","Aucun équipement spécifique directement lié au télétravail",VLOOKUP(T_Convention[[#This Row],[NumL]],T_Equipement[#Data],COLUMN(T_Equipement[PC]),FALSE))</f>
        <v xml:space="preserve">18-123	</v>
      </c>
      <c r="BU150" s="166" t="str">
        <f>IFERROR(IF(VLOOKUP(T_Convention[[#This Row],[NumL]],T_TraitDi[#Data],COLUMN(T_TraitDi[Plan]),FALSE)="OK","Un planning spécifique de télétravail est annexé à la présente convention.",""),"")</f>
        <v/>
      </c>
      <c r="BV150" s="185" t="s">
        <v>3458</v>
      </c>
      <c r="BW150" s="164" t="e">
        <f>IF(VLOOKUP(T_Convention[[#This Row],[NumL]],T_suiviDi[#Data],COLUMN(T_suiviDi[Entité]),FALSE)="","",VLOOKUP(T_Convention[[#This Row],[NumL]],T_suiviDi[#Data],COLUMN(T_suiviDi[Entité]),FALSE))</f>
        <v>#N/A</v>
      </c>
      <c r="BX150" s="164" t="str">
        <f>IF(VLOOKUP(T_Convention[[#This Row],[NumL]],T_Commission[#Data],COLUMN(T_Commission[envoi confirm TW]),FALSE)="","",VLOOKUP(T_Convention[[#This Row],[NumL]],T_Commission[#Data],COLUMN(T_Commission[envoi confirm TW]),FALSE))</f>
        <v>Oui</v>
      </c>
      <c r="BY15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0" s="264">
        <f>VLOOKUP(T_Convention[[#This Row],[NumL]],T_Commission[#Data],COLUMN(T_Commission[Commentaire]),FALSE)</f>
        <v>0</v>
      </c>
      <c r="CA150" s="254" t="str">
        <f>IF(VLOOKUP(T_Convention[[#This Row],[NumL]],T_Commission[#Data],COLUMN(T_Commission[Encadrant Email]),FALSE)="","",VLOOKUP(T_Convention[[#This Row],[NumL]],T_Commission[#Data],COLUMN(T_Commission[Encadrant Email]),FALSE))</f>
        <v/>
      </c>
      <c r="CB150" s="352" t="e">
        <f>VLOOKUP(T_Convention[[#This Row],[NumL]],T_TraitDi[#Data],COLUMN(T_TraitDi[NbJTot]),FALSE)</f>
        <v>#N/A</v>
      </c>
      <c r="CC150" s="352" t="e">
        <f>VLOOKUP(T_Convention[[#This Row],[NumL]],T_TraitDi[#Data],COLUMN(T_TraitDi[Reg Ponct]),FALSE)</f>
        <v>#N/A</v>
      </c>
      <c r="CD150" s="348" t="str">
        <f>IF(T_Convention[[#This Row],[Final]]&lt;&gt;"",VLOOKUP(T_Convention[[#This Row],[NumL]],T_suiviDi[#Data],COLUMN((T_suiviDi[Statut])),FALSE),"")</f>
        <v/>
      </c>
    </row>
    <row r="151" spans="1:82" s="106" customFormat="1" ht="18.75" customHeight="1" x14ac:dyDescent="0.25">
      <c r="A151" s="160">
        <v>273</v>
      </c>
      <c r="B151" s="161" t="str">
        <f>VLOOKUP(T_Convention[[#This Row],[NumL]],T_Commission[#Data],COLUMN(T_Commission[FINAL]),FALSE)</f>
        <v/>
      </c>
      <c r="C151" s="162"/>
      <c r="D151" s="95" t="e">
        <f>IF(VLOOKUP(T_Convention[[#This Row],[NumL]],T_TraitDi[#Data],COLUMN(T_TraitDi[WebC]),FALSE)="","",VLOOKUP(T_Convention[[#This Row],[NumL]],T_TraitDi[#Data],COLUMN(T_TraitDi[WebC]),FALSE))</f>
        <v>#N/A</v>
      </c>
      <c r="E151" s="163" t="str">
        <f t="shared" si="10"/>
        <v>12 janvier 2021</v>
      </c>
      <c r="F151" s="282" t="str">
        <f>IF(T_Convention[[#This Row],[Final]]&lt;&gt;"",VLOOKUP(T_Convention[[#This Row],[NumL]],T_suiviDi[#Data],COLUMN((T_suiviDi[Civ.])),FALSE),"")</f>
        <v/>
      </c>
      <c r="G151" s="283" t="str">
        <f>IF(T_Convention[[#This Row],[Final]]&lt;&gt;"",VLOOKUP(T_Convention[[#This Row],[NumL]],T_suiviDi[#Data],COLUMN((T_suiviDi[Nom])),FALSE),"")</f>
        <v/>
      </c>
      <c r="H151" s="282" t="str">
        <f>IF(T_Convention[[#This Row],[Final]]&lt;&gt;"",VLOOKUP(T_Convention[[#This Row],[NumL]],T_suiviDi[#Data],COLUMN((T_suiviDi[Prénom])),FALSE),"")</f>
        <v/>
      </c>
      <c r="I151" s="282" t="e">
        <f>VLOOKUP(T_Convention[[#This Row],[NumL]],T_suiviDi[#Data],COLUMN((T_suiviDi[[#This Row],[Email]])),FALSE)</f>
        <v>#VALUE!</v>
      </c>
      <c r="J151" s="282" t="e">
        <f>IF(VLOOKUP(T_Convention[[#This Row],[NumL]],T_suiviDi[#Data],COLUMN(T_suiviDi[[#This Row],[Fonction]]),FALSE)="","",VLOOKUP(T_Convention[[#This Row],[NumL]],T_suiviDi[#Data],COLUMN(T_suiviDi[[#This Row],[Fonction]]),FALSE))</f>
        <v>#VALUE!</v>
      </c>
      <c r="K151" s="282" t="e">
        <f>IF(VLOOKUP(T_Convention[[#This Row],[NumL]],T_suiviDi[#Data],COLUMN(T_suiviDi[[#This Row],[Grade]]),FALSE)="","",VLOOKUP(T_Convention[[#This Row],[NumL]],T_suiviDi[#Data],COLUMN(T_suiviDi[[#This Row],[Grade]]),FALSE))</f>
        <v>#VALUE!</v>
      </c>
      <c r="L151" s="282" t="e">
        <f>IF(VLOOKUP(T_Convention[[#This Row],[NumL]],T_suiviDi[#Data],COLUMN(T_suiviDi[[#This Row],[Service ]]),FALSE)="","",VLOOKUP(T_Convention[[#This Row],[NumL]],T_suiviDi[#Data],COLUMN(T_suiviDi[[#This Row],[Service ]]),FALSE))</f>
        <v>#VALUE!</v>
      </c>
      <c r="M151" s="164" t="str">
        <f t="shared" si="11"/>
        <v>01 septembre 2021</v>
      </c>
      <c r="N151" s="164" t="str">
        <f t="shared" si="12"/>
        <v>30 novembre 2021</v>
      </c>
      <c r="O151" s="284" t="str">
        <f t="shared" si="13"/>
        <v>30 novembre 2021</v>
      </c>
      <c r="P151" s="282" t="e">
        <f>IF(VLOOKUP(T_Convention[[#This Row],[NumL]],T_TraitDi[#Data],COLUMN(T_TraitDi[M1]),FALSE)="","",VLOOKUP(T_Convention[[#This Row],[NumL]],T_TraitDi[#Data],COLUMN(T_TraitDi[M1]),FALSE))</f>
        <v>#N/A</v>
      </c>
      <c r="Q151" s="282" t="e">
        <f>IF(VLOOKUP(T_Convention[[#This Row],[NumL]],T_TraitDi[#Data],COLUMN(T_TraitDi[M2]),FALSE)="","",VLOOKUP(T_Convention[[#This Row],[NumL]],T_TraitDi[#Data],COLUMN(T_TraitDi[M2]),FALSE))</f>
        <v>#N/A</v>
      </c>
      <c r="R151" s="282" t="e">
        <f>IF(VLOOKUP(T_Convention[[#This Row],[NumL]],T_TraitDi[#Data],COLUMN(T_TraitDi[M3]),FALSE)="","",VLOOKUP(T_Convention[[#This Row],[NumL]],T_TraitDi[#Data],COLUMN(T_TraitDi[M3]),FALSE))</f>
        <v>#N/A</v>
      </c>
      <c r="S151" s="282" t="e">
        <f>IF(VLOOKUP(T_Convention[[#This Row],[NumL]],T_TraitDi[#Data],COLUMN(T_TraitDi[M4]),FALSE)="","",VLOOKUP(T_Convention[[#This Row],[NumL]],T_TraitDi[#Data],COLUMN(T_TraitDi[M4]),FALSE))</f>
        <v>#N/A</v>
      </c>
      <c r="T151" s="282" t="e">
        <f>IF(VLOOKUP(T_Convention[[#This Row],[NumL]],T_TraitDi[#Data],COLUMN(T_TraitDi[M5]),FALSE)="","",VLOOKUP(T_Convention[[#This Row],[NumL]],T_TraitDi[#Data],COLUMN(T_TraitDi[M5]),FALSE))</f>
        <v>#N/A</v>
      </c>
      <c r="U151" s="282" t="e">
        <f>IF(VLOOKUP(T_Convention[[#This Row],[NumL]],T_TraitDi[#Data],COLUMN(T_TraitDi[M6]),FALSE)="","",VLOOKUP(T_Convention[[#This Row],[NumL]],T_TraitDi[#Data],COLUMN(T_TraitDi[M6]),FALSE))</f>
        <v>#N/A</v>
      </c>
      <c r="V151" s="176" t="e">
        <f t="shared" si="14"/>
        <v>#N/A</v>
      </c>
      <c r="W151" s="284" t="str">
        <f>IFERROR(TEXT(VLOOKUP(T_Convention[[#This Row],[NumL]],T_TraitDi[#Data],COLUMN(T_TraitDi[Q2]),FALSE),"###%"),"")</f>
        <v/>
      </c>
      <c r="X151" s="97" t="e">
        <f>VLOOKUP(T_Convention[[#This Row],[NumL]],T_TraitDi[#Data],COLUMN(T_TraitDi[Reg Ponct]),FALSE)</f>
        <v>#N/A</v>
      </c>
      <c r="Y151" s="97" t="e">
        <f>VLOOKUP(T_Convention[NumL],T_TraitDi[#Data],COLUMN(T_TraitDi[Jours flottants]),FALSE)</f>
        <v>#N/A</v>
      </c>
      <c r="Z151" s="284" t="str">
        <f>IFERROR(VLOOKUP(T_Convention[[#This Row],[NumL]],T_TraitDi[#Data],COLUMN(T_TraitDi[Lundi]),FALSE),"")</f>
        <v/>
      </c>
      <c r="AA151" s="284" t="e">
        <f>IF(VLOOKUP(T_Convention[[#This Row],[NumL]],T_TraitDi[#Data],COLUMN(T_TraitDi[Colonne3]),FALSE)=0,"",TEXT(IFERROR(VLOOKUP(T_Convention[[#This Row],[NumL]],T_TraitDi[#Data],COLUMN(T_TraitDi[Colonne3]),FALSE),""),"[hh]:mm"))</f>
        <v>#N/A</v>
      </c>
      <c r="AB151" s="284" t="e">
        <f>IF(VLOOKUP(T_Convention[[#This Row],[NumL]],T_TraitDi[#Data],COLUMN(T_TraitDi[Colonne4]),FALSE)=0,"",TEXT(IFERROR(VLOOKUP(T_Convention[[#This Row],[NumL]],T_TraitDi[#Data],COLUMN(T_TraitDi[Colonne4]),FALSE),""),"[hh]:mm"))</f>
        <v>#N/A</v>
      </c>
      <c r="AC151" s="284" t="e">
        <f>IF(VLOOKUP(T_Convention[[#This Row],[NumL]],T_TraitDi[#Data],COLUMN(T_TraitDi[Colonne5]),FALSE)=0,"",TEXT(IFERROR(VLOOKUP(T_Convention[[#This Row],[NumL]],T_TraitDi[#Data],COLUMN(T_TraitDi[Colonne5]),FALSE),""),"[hh]:mm"))</f>
        <v>#N/A</v>
      </c>
      <c r="AD151" s="284" t="e">
        <f>IF(VLOOKUP(T_Convention[[#This Row],[NumL]],T_TraitDi[#Data],COLUMN(T_TraitDi[Colonne6]),FALSE)=0,"",TEXT(IFERROR(VLOOKUP(T_Convention[[#This Row],[NumL]],T_TraitDi[#Data],COLUMN(T_TraitDi[Colonne6]),FALSE),""),"[hh]:mm"))</f>
        <v>#N/A</v>
      </c>
      <c r="AE151" s="284" t="e">
        <f>IF(VLOOKUP(T_Convention[[#This Row],[NumL]],T_TraitDi[#Data],COLUMN(T_TraitDi[Colonne7]),FALSE)=0,"",TEXT(IFERROR(VLOOKUP(T_Convention[[#This Row],[NumL]],T_TraitDi[#Data],COLUMN(T_TraitDi[Colonne7]),FALSE),""),"[hh]:mm"))</f>
        <v>#N/A</v>
      </c>
      <c r="AF151" s="284" t="e">
        <f>IF(VLOOKUP(T_Convention[[#This Row],[NumL]],T_TraitDi[#Data],COLUMN(T_TraitDi[Colonne8]),FALSE)=0,"",TEXT(IFERROR(VLOOKUP(T_Convention[[#This Row],[NumL]],T_TraitDi[#Data],COLUMN(T_TraitDi[Colonne8]),FALSE),""),"[hh]:mm"))</f>
        <v>#N/A</v>
      </c>
      <c r="AG151" s="284" t="str">
        <f>IFERROR(VLOOKUP(T_Convention[[#This Row],[NumL]],T_TraitDi[#Data],COLUMN(T_TraitDi[Mardi]),FALSE),"")</f>
        <v/>
      </c>
      <c r="AH151" s="284" t="e">
        <f>IF(VLOOKUP(T_Convention[[#This Row],[NumL]],T_TraitDi[#Data],COLUMN(T_TraitDi[Colonne1]),FALSE)=0,"",TEXT(IFERROR(VLOOKUP(T_Convention[[#This Row],[NumL]],T_TraitDi[#Data],COLUMN(T_TraitDi[Colonne1]),FALSE),""),"[hh]:mm"))</f>
        <v>#N/A</v>
      </c>
      <c r="AI151" s="284" t="e">
        <f>IF(VLOOKUP(T_Convention[[#This Row],[NumL]],T_TraitDi[#Data],COLUMN(T_TraitDi[Colonne9]),FALSE)=0,"",TEXT(IFERROR(VLOOKUP(T_Convention[[#This Row],[NumL]],T_TraitDi[#Data],COLUMN(T_TraitDi[Colonne9]),FALSE),""),"[hh]:mm"))</f>
        <v>#N/A</v>
      </c>
      <c r="AJ151" s="284" t="str">
        <f>IFERROR(VLOOKUP(T_Convention[[#This Row],[NumL]],T_TraitDi[#Data],COLUMN(T_TraitDi[Colonne10]),FALSE),"")</f>
        <v/>
      </c>
      <c r="AK151" s="284" t="e">
        <f>IF(VLOOKUP(T_Convention[[#This Row],[NumL]],T_TraitDi[#Data],COLUMN(T_TraitDi[Colonne11]),FALSE)=0,"",TEXT(IFERROR(VLOOKUP(T_Convention[[#This Row],[NumL]],T_TraitDi[#Data],COLUMN(T_TraitDi[Colonne11]),FALSE),""),"[hh]:mm"))</f>
        <v>#N/A</v>
      </c>
      <c r="AL151" s="284" t="e">
        <f>IF(VLOOKUP(T_Convention[[#This Row],[NumL]],T_TraitDi[#Data],COLUMN(T_TraitDi[Colonne12]),FALSE)=0,"",TEXT(IFERROR(VLOOKUP(T_Convention[[#This Row],[NumL]],T_TraitDi[#Data],COLUMN(T_TraitDi[Colonne12]),FALSE),""),"[hh]:mm"))</f>
        <v>#N/A</v>
      </c>
      <c r="AM151" s="284" t="e">
        <f>IF(VLOOKUP(T_Convention[[#This Row],[NumL]],T_TraitDi[#Data],COLUMN(T_TraitDi[Colonne14]),FALSE)=0,"",TEXT(IFERROR(VLOOKUP(T_Convention[[#This Row],[NumL]],T_TraitDi[#Data],COLUMN(T_TraitDi[Colonne14]),FALSE),""),"[hh]:mm"))</f>
        <v>#N/A</v>
      </c>
      <c r="AN151" s="284" t="str">
        <f>IFERROR(VLOOKUP(T_Convention[[#This Row],[NumL]],T_TraitDi[#Data],COLUMN(T_TraitDi[Mercredi]),FALSE),"")</f>
        <v/>
      </c>
      <c r="AO151" s="284" t="e">
        <f>IF(VLOOKUP(T_Convention[[#This Row],[NumL]],T_TraitDi[#Data],COLUMN(T_TraitDi[Colonne15]),FALSE)=0,"",TEXT(IFERROR(VLOOKUP(T_Convention[[#This Row],[NumL]],T_TraitDi[#Data],COLUMN(T_TraitDi[Colonne15]),FALSE),""),"[hh]:mm"))</f>
        <v>#N/A</v>
      </c>
      <c r="AP151" s="284" t="e">
        <f>IF(VLOOKUP(T_Convention[[#This Row],[NumL]],T_TraitDi[#Data],COLUMN(T_TraitDi[Colonne16]),FALSE)=0,"",TEXT(IFERROR(VLOOKUP(T_Convention[[#This Row],[NumL]],T_TraitDi[#Data],COLUMN(T_TraitDi[Colonne16]),FALSE),""),"[hh]:mm"))</f>
        <v>#N/A</v>
      </c>
      <c r="AQ151" s="284" t="str">
        <f>IFERROR(VLOOKUP(T_Convention[[#This Row],[NumL]],T_TraitDi[#Data],COLUMN(T_TraitDi[Colonne17]),FALSE),"")</f>
        <v/>
      </c>
      <c r="AR151" s="284" t="e">
        <f>IF(VLOOKUP(T_Convention[[#This Row],[NumL]],T_TraitDi[#Data],COLUMN(T_TraitDi[Colonne18]),FALSE)=0,"",TEXT(IFERROR(VLOOKUP(T_Convention[[#This Row],[NumL]],T_TraitDi[#Data],COLUMN(T_TraitDi[Colonne18]),FALSE),""),"[hh]:mm"))</f>
        <v>#N/A</v>
      </c>
      <c r="AS151" s="284" t="e">
        <f>IF(VLOOKUP(T_Convention[[#This Row],[NumL]],T_TraitDi[#Data],COLUMN(T_TraitDi[Colonne19]),FALSE)=0,"",TEXT(IFERROR(VLOOKUP(T_Convention[[#This Row],[NumL]],T_TraitDi[#Data],COLUMN(T_TraitDi[Colonne19]),FALSE),""),"[hh]:mm"))</f>
        <v>#N/A</v>
      </c>
      <c r="AT151" s="284" t="e">
        <f>IF(VLOOKUP(T_Convention[[#This Row],[NumL]],T_TraitDi[#Data],COLUMN(T_TraitDi[Colonne20]),FALSE)=0,"",TEXT(IFERROR(VLOOKUP(T_Convention[[#This Row],[NumL]],T_TraitDi[#Data],COLUMN(T_TraitDi[Colonne20]),FALSE),""),"[hh]:mm"))</f>
        <v>#N/A</v>
      </c>
      <c r="AU151" s="284" t="str">
        <f>IFERROR(VLOOKUP(T_Convention[[#This Row],[NumL]],T_TraitDi[#Data],COLUMN(T_TraitDi[Jeudi]),FALSE),"")</f>
        <v/>
      </c>
      <c r="AV151" s="284" t="e">
        <f>IF(VLOOKUP(T_Convention[[#This Row],[NumL]],T_TraitDi[#Data],COLUMN(T_TraitDi[Colonne21]),FALSE)=0,"",TEXT(IFERROR(VLOOKUP(T_Convention[[#This Row],[NumL]],T_TraitDi[#Data],COLUMN(T_TraitDi[Colonne21]),FALSE),""),"[hh]:mm"))</f>
        <v>#N/A</v>
      </c>
      <c r="AW151" s="284" t="e">
        <f>IF(VLOOKUP(T_Convention[[#This Row],[NumL]],T_TraitDi[#Data],COLUMN(T_TraitDi[Colonne22]),FALSE)=0,"",TEXT(IFERROR(VLOOKUP(T_Convention[[#This Row],[NumL]],T_TraitDi[#Data],COLUMN(T_TraitDi[Colonne22]),FALSE),""),"[hh]:mm"))</f>
        <v>#N/A</v>
      </c>
      <c r="AX151" s="284" t="str">
        <f>IFERROR(VLOOKUP(T_Convention[[#This Row],[NumL]],T_TraitDi[#Data],COLUMN(T_TraitDi[Colonne23]),FALSE),"")</f>
        <v/>
      </c>
      <c r="AY151" s="284" t="e">
        <f>IF(VLOOKUP(T_Convention[[#This Row],[NumL]],T_TraitDi[#Data],COLUMN(T_TraitDi[Colonne24]),FALSE)=0,"",TEXT(IFERROR(VLOOKUP(T_Convention[[#This Row],[NumL]],T_TraitDi[#Data],COLUMN(T_TraitDi[Colonne24]),FALSE),""),"[hh]:mm"))</f>
        <v>#N/A</v>
      </c>
      <c r="AZ151" s="284" t="e">
        <f>IF(VLOOKUP(T_Convention[[#This Row],[NumL]],T_TraitDi[#Data],COLUMN(T_TraitDi[Colonne25]),FALSE)=0,"",TEXT(IFERROR(VLOOKUP(T_Convention[[#This Row],[NumL]],T_TraitDi[#Data],COLUMN(T_TraitDi[Colonne25]),FALSE),""),"[hh]:mm"))</f>
        <v>#N/A</v>
      </c>
      <c r="BA151" s="284" t="e">
        <f>IF(VLOOKUP(T_Convention[[#This Row],[NumL]],T_TraitDi[#Data],COLUMN(T_TraitDi[Colonne26]),FALSE)=0,"",TEXT(IFERROR(VLOOKUP(T_Convention[[#This Row],[NumL]],T_TraitDi[#Data],COLUMN(T_TraitDi[Colonne26]),FALSE),""),"[hh]:mm"))</f>
        <v>#N/A</v>
      </c>
      <c r="BB151" s="284" t="str">
        <f>IFERROR(VLOOKUP(T_Convention[[#This Row],[NumL]],T_TraitDi[#Data],COLUMN(T_TraitDi[Vendredi]),FALSE),"")</f>
        <v/>
      </c>
      <c r="BC151" s="284" t="e">
        <f>IF(VLOOKUP(T_Convention[[#This Row],[NumL]],T_TraitDi[#Data],COLUMN(T_TraitDi[Colonne27]),FALSE)=0,"",TEXT(IFERROR(VLOOKUP(T_Convention[[#This Row],[NumL]],T_TraitDi[#Data],COLUMN(T_TraitDi[Colonne27]),FALSE),""),"[hh]:mm"))</f>
        <v>#N/A</v>
      </c>
      <c r="BD151" s="284" t="e">
        <f>IF(VLOOKUP(T_Convention[[#This Row],[NumL]],T_TraitDi[#Data],COLUMN(T_TraitDi[Colonne28]),FALSE)=0,"",TEXT(IFERROR(VLOOKUP(T_Convention[[#This Row],[NumL]],T_TraitDi[#Data],COLUMN(T_TraitDi[Colonne28]),FALSE),""),"[hh]:mm"))</f>
        <v>#N/A</v>
      </c>
      <c r="BE151" s="284" t="str">
        <f>IFERROR(VLOOKUP(T_Convention[[#This Row],[NumL]],T_TraitDi[#Data],COLUMN(T_TraitDi[Colonne29]),FALSE),"")</f>
        <v/>
      </c>
      <c r="BF151" s="284" t="e">
        <f>IF(VLOOKUP(T_Convention[[#This Row],[NumL]],T_TraitDi[#Data],COLUMN(T_TraitDi[Colonne30]),FALSE)=0,"",TEXT(IFERROR(VLOOKUP(T_Convention[[#This Row],[NumL]],T_TraitDi[#Data],COLUMN(T_TraitDi[Colonne30]),FALSE),""),"[hh]:mm"))</f>
        <v>#N/A</v>
      </c>
      <c r="BG151" s="284" t="e">
        <f>IF(VLOOKUP(T_Convention[[#This Row],[NumL]],T_TraitDi[#Data],COLUMN(T_TraitDi[Colonne31]),FALSE)=0,"",TEXT(IFERROR(VLOOKUP(T_Convention[[#This Row],[NumL]],T_TraitDi[#Data],COLUMN(T_TraitDi[Colonne31]),FALSE),""),"[hh]:mm"))</f>
        <v>#N/A</v>
      </c>
      <c r="BH151" s="284" t="e">
        <f>IF(VLOOKUP(T_Convention[[#This Row],[NumL]],T_TraitDi[#Data],COLUMN(T_TraitDi[Colonne32]),FALSE)=0,"",TEXT(IFERROR(VLOOKUP(T_Convention[[#This Row],[NumL]],T_TraitDi[#Data],COLUMN(T_TraitDi[Colonne32]),FALSE),""),"[hh]:mm"))</f>
        <v>#N/A</v>
      </c>
      <c r="BI151" s="284" t="str">
        <f>IFERROR(VLOOKUP(T_Convention[[#This Row],[NumL]],T_TraitDi[#Data],COLUMN(T_TraitDi[NbJTW]),FALSE),"")</f>
        <v/>
      </c>
      <c r="BJ151" s="284" t="e">
        <f>IF(VLOOKUP(T_Convention[[#This Row],[NumL]],T_TraitDi[#Data],COLUMN(T_TraitDi[NbhTW]),FALSE)=0,"",TEXT(IFERROR(VLOOKUP(T_Convention[[#This Row],[NumL]],T_TraitDi[#Data],COLUMN(T_TraitDi[NbhTW]),FALSE),""),"[hh]:mm"))</f>
        <v>#N/A</v>
      </c>
      <c r="BK151" s="286" t="e">
        <f>IF(VLOOKUP(T_Convention[[#This Row],[NumL]],T_TraitDi[#Data],COLUMN(T_TraitDi[Nbhheb]),FALSE)=0,"",TEXT(IFERROR(VLOOKUP(T_Convention[[#This Row],[NumL]],T_TraitDi[#Data],COLUMN(T_TraitDi[Nbhheb]),FALSE),""),"[hh]:mm"))</f>
        <v>#N/A</v>
      </c>
      <c r="BL151" s="287" t="str">
        <f>IFERROR(VLOOKUP(VLOOKUP(T_Convention[[#This Row],[NumL]],T_TraitDi[#Data],COLUMN(T_TraitDi[Type1]),FALSE),TypeTW,2,FALSE),"")</f>
        <v/>
      </c>
      <c r="BM151" s="288" t="str">
        <f>IFERROR(VLOOKUP(T_Convention[[#This Row],[NumL]],T_TraitDi[#Data],COLUMN(T_TraitDi[Rue1]),FALSE),"")</f>
        <v/>
      </c>
      <c r="BN151" s="289" t="str">
        <f>IFERROR(VLOOKUP(T_Convention[[#This Row],[NumL]],T_TraitDi[#Data],COLUMN(T_TraitDi[CP1]),FALSE),"")</f>
        <v/>
      </c>
      <c r="BO151" s="282" t="str">
        <f>IFERROR(VLOOKUP(T_Convention[[#This Row],[NumL]],T_TraitDi[#Data],COLUMN(T_TraitDi[VILLE1]),FALSE),"")</f>
        <v/>
      </c>
      <c r="BP151" s="290" t="str">
        <f>IFERROR(VLOOKUP(VLOOKUP(T_Convention[[#This Row],[NumL]],T_TraitDi[#Data],COLUMN(T_TraitDi[Type2]),FALSE),TypeTW,2,FALSE),"")</f>
        <v/>
      </c>
      <c r="BQ151" s="182" t="str">
        <f>IFERROR(VLOOKUP(T_Convention[[#This Row],[NumL]],T_TraitDi[#Data],COLUMN(T_TraitDi[Rue2]),FALSE),"")</f>
        <v/>
      </c>
      <c r="BR151" s="173" t="str">
        <f>IFERROR(VLOOKUP(T_Convention[[#This Row],[NumL]],T_TraitDi[#Data],COLUMN(T_TraitDi[CP2]),FALSE),"")</f>
        <v/>
      </c>
      <c r="BS151" s="173" t="str">
        <f>IFERROR(VLOOKUP(T_Convention[[#This Row],[NumL]],T_TraitDi[#Data],COLUMN(T_TraitDi[VILLE2]),FALSE),"")</f>
        <v/>
      </c>
      <c r="BT151" s="182" t="str">
        <f>IF(VLOOKUP(T_Convention[[#This Row],[NumL]],T_Equipement[#Data],COLUMN(T_Equipement[PC]),FALSE)="","Aucun équipement spécifique directement lié au télétravail",VLOOKUP(T_Convention[[#This Row],[NumL]],T_Equipement[#Data],COLUMN(T_Equipement[PC]),FALSE))</f>
        <v xml:space="preserve">20-249	</v>
      </c>
      <c r="BU151" s="166" t="str">
        <f>IFERROR(IF(VLOOKUP(T_Convention[[#This Row],[NumL]],T_TraitDi[#Data],COLUMN(T_TraitDi[Plan]),FALSE)="OK","Un planning spécifique de télétravail est annexé à la présente convention.",""),"")</f>
        <v/>
      </c>
      <c r="BV151" s="185" t="s">
        <v>3455</v>
      </c>
      <c r="BW151" s="164" t="e">
        <f>IF(VLOOKUP(T_Convention[[#This Row],[NumL]],T_suiviDi[#Data],COLUMN(T_suiviDi[Entité]),FALSE)="","",VLOOKUP(T_Convention[[#This Row],[NumL]],T_suiviDi[#Data],COLUMN(T_suiviDi[Entité]),FALSE))</f>
        <v>#N/A</v>
      </c>
      <c r="BX151" s="164" t="str">
        <f>IF(VLOOKUP(T_Convention[[#This Row],[NumL]],T_Commission[#Data],COLUMN(T_Commission[envoi confirm TW]),FALSE)="","",VLOOKUP(T_Convention[[#This Row],[NumL]],T_Commission[#Data],COLUMN(T_Commission[envoi confirm TW]),FALSE))</f>
        <v>Oui</v>
      </c>
      <c r="BY15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1" s="264">
        <f>VLOOKUP(T_Convention[[#This Row],[NumL]],T_Commission[#Data],COLUMN(T_Commission[Commentaire]),FALSE)</f>
        <v>0</v>
      </c>
      <c r="CA151" s="254" t="str">
        <f>IF(VLOOKUP(T_Convention[[#This Row],[NumL]],T_Commission[#Data],COLUMN(T_Commission[Encadrant Email]),FALSE)="","",VLOOKUP(T_Convention[[#This Row],[NumL]],T_Commission[#Data],COLUMN(T_Commission[Encadrant Email]),FALSE))</f>
        <v/>
      </c>
      <c r="CB151" s="352" t="e">
        <f>VLOOKUP(T_Convention[[#This Row],[NumL]],T_TraitDi[#Data],COLUMN(T_TraitDi[NbJTot]),FALSE)</f>
        <v>#N/A</v>
      </c>
      <c r="CC151" s="352" t="e">
        <f>VLOOKUP(T_Convention[[#This Row],[NumL]],T_TraitDi[#Data],COLUMN(T_TraitDi[Reg Ponct]),FALSE)</f>
        <v>#N/A</v>
      </c>
      <c r="CD151" s="348" t="str">
        <f>IF(T_Convention[[#This Row],[Final]]&lt;&gt;"",VLOOKUP(T_Convention[[#This Row],[NumL]],T_suiviDi[#Data],COLUMN((T_suiviDi[Statut])),FALSE),"")</f>
        <v/>
      </c>
    </row>
    <row r="152" spans="1:82" s="106" customFormat="1" ht="18.75" customHeight="1" x14ac:dyDescent="0.25">
      <c r="A152" s="160">
        <v>211</v>
      </c>
      <c r="B152" s="161" t="str">
        <f>VLOOKUP(T_Convention[[#This Row],[NumL]],T_Commission[#Data],COLUMN(T_Commission[FINAL]),FALSE)</f>
        <v/>
      </c>
      <c r="C152" s="162"/>
      <c r="D152" s="95" t="e">
        <f>IF(VLOOKUP(T_Convention[[#This Row],[NumL]],T_TraitDi[#Data],COLUMN(T_TraitDi[WebC]),FALSE)="","",VLOOKUP(T_Convention[[#This Row],[NumL]],T_TraitDi[#Data],COLUMN(T_TraitDi[WebC]),FALSE))</f>
        <v>#N/A</v>
      </c>
      <c r="E152" s="163" t="str">
        <f t="shared" si="10"/>
        <v>12 janvier 2021</v>
      </c>
      <c r="F152" s="282" t="str">
        <f>IF(T_Convention[[#This Row],[Final]]&lt;&gt;"",VLOOKUP(T_Convention[[#This Row],[NumL]],T_suiviDi[#Data],COLUMN((T_suiviDi[Civ.])),FALSE),"")</f>
        <v/>
      </c>
      <c r="G152" s="283" t="str">
        <f>IF(T_Convention[[#This Row],[Final]]&lt;&gt;"",VLOOKUP(T_Convention[[#This Row],[NumL]],T_suiviDi[#Data],COLUMN((T_suiviDi[Nom])),FALSE),"")</f>
        <v/>
      </c>
      <c r="H152" s="282" t="str">
        <f>IF(T_Convention[[#This Row],[Final]]&lt;&gt;"",VLOOKUP(T_Convention[[#This Row],[NumL]],T_suiviDi[#Data],COLUMN((T_suiviDi[Prénom])),FALSE),"")</f>
        <v/>
      </c>
      <c r="I152" s="282" t="e">
        <f>VLOOKUP(T_Convention[[#This Row],[NumL]],T_suiviDi[#Data],COLUMN((T_suiviDi[[#This Row],[Email]])),FALSE)</f>
        <v>#VALUE!</v>
      </c>
      <c r="J152" s="282" t="e">
        <f>IF(VLOOKUP(T_Convention[[#This Row],[NumL]],T_suiviDi[#Data],COLUMN(T_suiviDi[[#This Row],[Fonction]]),FALSE)="","",VLOOKUP(T_Convention[[#This Row],[NumL]],T_suiviDi[#Data],COLUMN(T_suiviDi[[#This Row],[Fonction]]),FALSE))</f>
        <v>#VALUE!</v>
      </c>
      <c r="K152" s="282" t="e">
        <f>IF(VLOOKUP(T_Convention[[#This Row],[NumL]],T_suiviDi[#Data],COLUMN(T_suiviDi[[#This Row],[Grade]]),FALSE)="","",VLOOKUP(T_Convention[[#This Row],[NumL]],T_suiviDi[#Data],COLUMN(T_suiviDi[[#This Row],[Grade]]),FALSE))</f>
        <v>#VALUE!</v>
      </c>
      <c r="L152" s="282" t="e">
        <f>IF(VLOOKUP(T_Convention[[#This Row],[NumL]],T_suiviDi[#Data],COLUMN(T_suiviDi[[#This Row],[Service ]]),FALSE)="","",VLOOKUP(T_Convention[[#This Row],[NumL]],T_suiviDi[#Data],COLUMN(T_suiviDi[[#This Row],[Service ]]),FALSE))</f>
        <v>#VALUE!</v>
      </c>
      <c r="M152" s="164" t="str">
        <f t="shared" si="11"/>
        <v>01 septembre 2021</v>
      </c>
      <c r="N152" s="164" t="str">
        <f t="shared" si="12"/>
        <v>30 novembre 2021</v>
      </c>
      <c r="O152" s="284" t="str">
        <f t="shared" si="13"/>
        <v>30 novembre 2021</v>
      </c>
      <c r="P152" s="282" t="e">
        <f>IF(VLOOKUP(T_Convention[[#This Row],[NumL]],T_TraitDi[#Data],COLUMN(T_TraitDi[M1]),FALSE)="","",VLOOKUP(T_Convention[[#This Row],[NumL]],T_TraitDi[#Data],COLUMN(T_TraitDi[M1]),FALSE))</f>
        <v>#N/A</v>
      </c>
      <c r="Q152" s="282" t="e">
        <f>IF(VLOOKUP(T_Convention[[#This Row],[NumL]],T_TraitDi[#Data],COLUMN(T_TraitDi[M2]),FALSE)="","",VLOOKUP(T_Convention[[#This Row],[NumL]],T_TraitDi[#Data],COLUMN(T_TraitDi[M2]),FALSE))</f>
        <v>#N/A</v>
      </c>
      <c r="R152" s="282" t="e">
        <f>IF(VLOOKUP(T_Convention[[#This Row],[NumL]],T_TraitDi[#Data],COLUMN(T_TraitDi[M3]),FALSE)="","",VLOOKUP(T_Convention[[#This Row],[NumL]],T_TraitDi[#Data],COLUMN(T_TraitDi[M3]),FALSE))</f>
        <v>#N/A</v>
      </c>
      <c r="S152" s="282" t="e">
        <f>IF(VLOOKUP(T_Convention[[#This Row],[NumL]],T_TraitDi[#Data],COLUMN(T_TraitDi[M4]),FALSE)="","",VLOOKUP(T_Convention[[#This Row],[NumL]],T_TraitDi[#Data],COLUMN(T_TraitDi[M4]),FALSE))</f>
        <v>#N/A</v>
      </c>
      <c r="T152" s="282" t="e">
        <f>IF(VLOOKUP(T_Convention[[#This Row],[NumL]],T_TraitDi[#Data],COLUMN(T_TraitDi[M5]),FALSE)="","",VLOOKUP(T_Convention[[#This Row],[NumL]],T_TraitDi[#Data],COLUMN(T_TraitDi[M5]),FALSE))</f>
        <v>#N/A</v>
      </c>
      <c r="U152" s="282" t="e">
        <f>IF(VLOOKUP(T_Convention[[#This Row],[NumL]],T_TraitDi[#Data],COLUMN(T_TraitDi[M6]),FALSE)="","",VLOOKUP(T_Convention[[#This Row],[NumL]],T_TraitDi[#Data],COLUMN(T_TraitDi[M6]),FALSE))</f>
        <v>#N/A</v>
      </c>
      <c r="V152" s="176" t="e">
        <f t="shared" si="14"/>
        <v>#N/A</v>
      </c>
      <c r="W152" s="284" t="str">
        <f>IFERROR(TEXT(VLOOKUP(T_Convention[[#This Row],[NumL]],T_TraitDi[#Data],COLUMN(T_TraitDi[Q2]),FALSE),"###%"),"")</f>
        <v/>
      </c>
      <c r="X152" s="97" t="e">
        <f>VLOOKUP(T_Convention[[#This Row],[NumL]],T_TraitDi[#Data],COLUMN(T_TraitDi[Reg Ponct]),FALSE)</f>
        <v>#N/A</v>
      </c>
      <c r="Y152" s="97" t="e">
        <f>VLOOKUP(T_Convention[NumL],T_TraitDi[#Data],COLUMN(T_TraitDi[Jours flottants]),FALSE)</f>
        <v>#N/A</v>
      </c>
      <c r="Z152" s="284" t="str">
        <f>IFERROR(VLOOKUP(T_Convention[[#This Row],[NumL]],T_TraitDi[#Data],COLUMN(T_TraitDi[Lundi]),FALSE),"")</f>
        <v/>
      </c>
      <c r="AA152" s="284" t="e">
        <f>IF(VLOOKUP(T_Convention[[#This Row],[NumL]],T_TraitDi[#Data],COLUMN(T_TraitDi[Colonne3]),FALSE)=0,"",TEXT(IFERROR(VLOOKUP(T_Convention[[#This Row],[NumL]],T_TraitDi[#Data],COLUMN(T_TraitDi[Colonne3]),FALSE),""),"[hh]:mm"))</f>
        <v>#N/A</v>
      </c>
      <c r="AB152" s="284" t="e">
        <f>IF(VLOOKUP(T_Convention[[#This Row],[NumL]],T_TraitDi[#Data],COLUMN(T_TraitDi[Colonne4]),FALSE)=0,"",TEXT(IFERROR(VLOOKUP(T_Convention[[#This Row],[NumL]],T_TraitDi[#Data],COLUMN(T_TraitDi[Colonne4]),FALSE),""),"[hh]:mm"))</f>
        <v>#N/A</v>
      </c>
      <c r="AC152" s="284" t="e">
        <f>IF(VLOOKUP(T_Convention[[#This Row],[NumL]],T_TraitDi[#Data],COLUMN(T_TraitDi[Colonne5]),FALSE)=0,"",TEXT(IFERROR(VLOOKUP(T_Convention[[#This Row],[NumL]],T_TraitDi[#Data],COLUMN(T_TraitDi[Colonne5]),FALSE),""),"[hh]:mm"))</f>
        <v>#N/A</v>
      </c>
      <c r="AD152" s="284" t="e">
        <f>IF(VLOOKUP(T_Convention[[#This Row],[NumL]],T_TraitDi[#Data],COLUMN(T_TraitDi[Colonne6]),FALSE)=0,"",TEXT(IFERROR(VLOOKUP(T_Convention[[#This Row],[NumL]],T_TraitDi[#Data],COLUMN(T_TraitDi[Colonne6]),FALSE),""),"[hh]:mm"))</f>
        <v>#N/A</v>
      </c>
      <c r="AE152" s="284" t="e">
        <f>IF(VLOOKUP(T_Convention[[#This Row],[NumL]],T_TraitDi[#Data],COLUMN(T_TraitDi[Colonne7]),FALSE)=0,"",TEXT(IFERROR(VLOOKUP(T_Convention[[#This Row],[NumL]],T_TraitDi[#Data],COLUMN(T_TraitDi[Colonne7]),FALSE),""),"[hh]:mm"))</f>
        <v>#N/A</v>
      </c>
      <c r="AF152" s="284" t="e">
        <f>IF(VLOOKUP(T_Convention[[#This Row],[NumL]],T_TraitDi[#Data],COLUMN(T_TraitDi[Colonne8]),FALSE)=0,"",TEXT(IFERROR(VLOOKUP(T_Convention[[#This Row],[NumL]],T_TraitDi[#Data],COLUMN(T_TraitDi[Colonne8]),FALSE),""),"[hh]:mm"))</f>
        <v>#N/A</v>
      </c>
      <c r="AG152" s="284" t="str">
        <f>IFERROR(VLOOKUP(T_Convention[[#This Row],[NumL]],T_TraitDi[#Data],COLUMN(T_TraitDi[Mardi]),FALSE),"")</f>
        <v/>
      </c>
      <c r="AH152" s="284" t="e">
        <f>IF(VLOOKUP(T_Convention[[#This Row],[NumL]],T_TraitDi[#Data],COLUMN(T_TraitDi[Colonne1]),FALSE)=0,"",TEXT(IFERROR(VLOOKUP(T_Convention[[#This Row],[NumL]],T_TraitDi[#Data],COLUMN(T_TraitDi[Colonne1]),FALSE),""),"[hh]:mm"))</f>
        <v>#N/A</v>
      </c>
      <c r="AI152" s="284" t="e">
        <f>IF(VLOOKUP(T_Convention[[#This Row],[NumL]],T_TraitDi[#Data],COLUMN(T_TraitDi[Colonne9]),FALSE)=0,"",TEXT(IFERROR(VLOOKUP(T_Convention[[#This Row],[NumL]],T_TraitDi[#Data],COLUMN(T_TraitDi[Colonne9]),FALSE),""),"[hh]:mm"))</f>
        <v>#N/A</v>
      </c>
      <c r="AJ152" s="284" t="str">
        <f>IFERROR(VLOOKUP(T_Convention[[#This Row],[NumL]],T_TraitDi[#Data],COLUMN(T_TraitDi[Colonne10]),FALSE),"")</f>
        <v/>
      </c>
      <c r="AK152" s="284" t="e">
        <f>IF(VLOOKUP(T_Convention[[#This Row],[NumL]],T_TraitDi[#Data],COLUMN(T_TraitDi[Colonne11]),FALSE)=0,"",TEXT(IFERROR(VLOOKUP(T_Convention[[#This Row],[NumL]],T_TraitDi[#Data],COLUMN(T_TraitDi[Colonne11]),FALSE),""),"[hh]:mm"))</f>
        <v>#N/A</v>
      </c>
      <c r="AL152" s="284" t="e">
        <f>IF(VLOOKUP(T_Convention[[#This Row],[NumL]],T_TraitDi[#Data],COLUMN(T_TraitDi[Colonne12]),FALSE)=0,"",TEXT(IFERROR(VLOOKUP(T_Convention[[#This Row],[NumL]],T_TraitDi[#Data],COLUMN(T_TraitDi[Colonne12]),FALSE),""),"[hh]:mm"))</f>
        <v>#N/A</v>
      </c>
      <c r="AM152" s="284" t="e">
        <f>IF(VLOOKUP(T_Convention[[#This Row],[NumL]],T_TraitDi[#Data],COLUMN(T_TraitDi[Colonne14]),FALSE)=0,"",TEXT(IFERROR(VLOOKUP(T_Convention[[#This Row],[NumL]],T_TraitDi[#Data],COLUMN(T_TraitDi[Colonne14]),FALSE),""),"[hh]:mm"))</f>
        <v>#N/A</v>
      </c>
      <c r="AN152" s="284" t="str">
        <f>IFERROR(VLOOKUP(T_Convention[[#This Row],[NumL]],T_TraitDi[#Data],COLUMN(T_TraitDi[Mercredi]),FALSE),"")</f>
        <v/>
      </c>
      <c r="AO152" s="284" t="e">
        <f>IF(VLOOKUP(T_Convention[[#This Row],[NumL]],T_TraitDi[#Data],COLUMN(T_TraitDi[Colonne15]),FALSE)=0,"",TEXT(IFERROR(VLOOKUP(T_Convention[[#This Row],[NumL]],T_TraitDi[#Data],COLUMN(T_TraitDi[Colonne15]),FALSE),""),"[hh]:mm"))</f>
        <v>#N/A</v>
      </c>
      <c r="AP152" s="284" t="e">
        <f>IF(VLOOKUP(T_Convention[[#This Row],[NumL]],T_TraitDi[#Data],COLUMN(T_TraitDi[Colonne16]),FALSE)=0,"",TEXT(IFERROR(VLOOKUP(T_Convention[[#This Row],[NumL]],T_TraitDi[#Data],COLUMN(T_TraitDi[Colonne16]),FALSE),""),"[hh]:mm"))</f>
        <v>#N/A</v>
      </c>
      <c r="AQ152" s="284" t="str">
        <f>IFERROR(VLOOKUP(T_Convention[[#This Row],[NumL]],T_TraitDi[#Data],COLUMN(T_TraitDi[Colonne17]),FALSE),"")</f>
        <v/>
      </c>
      <c r="AR152" s="284" t="e">
        <f>IF(VLOOKUP(T_Convention[[#This Row],[NumL]],T_TraitDi[#Data],COLUMN(T_TraitDi[Colonne18]),FALSE)=0,"",TEXT(IFERROR(VLOOKUP(T_Convention[[#This Row],[NumL]],T_TraitDi[#Data],COLUMN(T_TraitDi[Colonne18]),FALSE),""),"[hh]:mm"))</f>
        <v>#N/A</v>
      </c>
      <c r="AS152" s="284" t="e">
        <f>IF(VLOOKUP(T_Convention[[#This Row],[NumL]],T_TraitDi[#Data],COLUMN(T_TraitDi[Colonne19]),FALSE)=0,"",TEXT(IFERROR(VLOOKUP(T_Convention[[#This Row],[NumL]],T_TraitDi[#Data],COLUMN(T_TraitDi[Colonne19]),FALSE),""),"[hh]:mm"))</f>
        <v>#N/A</v>
      </c>
      <c r="AT152" s="284" t="e">
        <f>IF(VLOOKUP(T_Convention[[#This Row],[NumL]],T_TraitDi[#Data],COLUMN(T_TraitDi[Colonne20]),FALSE)=0,"",TEXT(IFERROR(VLOOKUP(T_Convention[[#This Row],[NumL]],T_TraitDi[#Data],COLUMN(T_TraitDi[Colonne20]),FALSE),""),"[hh]:mm"))</f>
        <v>#N/A</v>
      </c>
      <c r="AU152" s="284" t="str">
        <f>IFERROR(VLOOKUP(T_Convention[[#This Row],[NumL]],T_TraitDi[#Data],COLUMN(T_TraitDi[Jeudi]),FALSE),"")</f>
        <v/>
      </c>
      <c r="AV152" s="284" t="e">
        <f>IF(VLOOKUP(T_Convention[[#This Row],[NumL]],T_TraitDi[#Data],COLUMN(T_TraitDi[Colonne21]),FALSE)=0,"",TEXT(IFERROR(VLOOKUP(T_Convention[[#This Row],[NumL]],T_TraitDi[#Data],COLUMN(T_TraitDi[Colonne21]),FALSE),""),"[hh]:mm"))</f>
        <v>#N/A</v>
      </c>
      <c r="AW152" s="284" t="e">
        <f>IF(VLOOKUP(T_Convention[[#This Row],[NumL]],T_TraitDi[#Data],COLUMN(T_TraitDi[Colonne22]),FALSE)=0,"",TEXT(IFERROR(VLOOKUP(T_Convention[[#This Row],[NumL]],T_TraitDi[#Data],COLUMN(T_TraitDi[Colonne22]),FALSE),""),"[hh]:mm"))</f>
        <v>#N/A</v>
      </c>
      <c r="AX152" s="284" t="str">
        <f>IFERROR(VLOOKUP(T_Convention[[#This Row],[NumL]],T_TraitDi[#Data],COLUMN(T_TraitDi[Colonne23]),FALSE),"")</f>
        <v/>
      </c>
      <c r="AY152" s="284" t="e">
        <f>IF(VLOOKUP(T_Convention[[#This Row],[NumL]],T_TraitDi[#Data],COLUMN(T_TraitDi[Colonne24]),FALSE)=0,"",TEXT(IFERROR(VLOOKUP(T_Convention[[#This Row],[NumL]],T_TraitDi[#Data],COLUMN(T_TraitDi[Colonne24]),FALSE),""),"[hh]:mm"))</f>
        <v>#N/A</v>
      </c>
      <c r="AZ152" s="284" t="e">
        <f>IF(VLOOKUP(T_Convention[[#This Row],[NumL]],T_TraitDi[#Data],COLUMN(T_TraitDi[Colonne25]),FALSE)=0,"",TEXT(IFERROR(VLOOKUP(T_Convention[[#This Row],[NumL]],T_TraitDi[#Data],COLUMN(T_TraitDi[Colonne25]),FALSE),""),"[hh]:mm"))</f>
        <v>#N/A</v>
      </c>
      <c r="BA152" s="284" t="e">
        <f>IF(VLOOKUP(T_Convention[[#This Row],[NumL]],T_TraitDi[#Data],COLUMN(T_TraitDi[Colonne26]),FALSE)=0,"",TEXT(IFERROR(VLOOKUP(T_Convention[[#This Row],[NumL]],T_TraitDi[#Data],COLUMN(T_TraitDi[Colonne26]),FALSE),""),"[hh]:mm"))</f>
        <v>#N/A</v>
      </c>
      <c r="BB152" s="284" t="str">
        <f>IFERROR(VLOOKUP(T_Convention[[#This Row],[NumL]],T_TraitDi[#Data],COLUMN(T_TraitDi[Vendredi]),FALSE),"")</f>
        <v/>
      </c>
      <c r="BC152" s="284" t="e">
        <f>IF(VLOOKUP(T_Convention[[#This Row],[NumL]],T_TraitDi[#Data],COLUMN(T_TraitDi[Colonne27]),FALSE)=0,"",TEXT(IFERROR(VLOOKUP(T_Convention[[#This Row],[NumL]],T_TraitDi[#Data],COLUMN(T_TraitDi[Colonne27]),FALSE),""),"[hh]:mm"))</f>
        <v>#N/A</v>
      </c>
      <c r="BD152" s="284" t="e">
        <f>IF(VLOOKUP(T_Convention[[#This Row],[NumL]],T_TraitDi[#Data],COLUMN(T_TraitDi[Colonne28]),FALSE)=0,"",TEXT(IFERROR(VLOOKUP(T_Convention[[#This Row],[NumL]],T_TraitDi[#Data],COLUMN(T_TraitDi[Colonne28]),FALSE),""),"[hh]:mm"))</f>
        <v>#N/A</v>
      </c>
      <c r="BE152" s="284" t="str">
        <f>IFERROR(VLOOKUP(T_Convention[[#This Row],[NumL]],T_TraitDi[#Data],COLUMN(T_TraitDi[Colonne29]),FALSE),"")</f>
        <v/>
      </c>
      <c r="BF152" s="284" t="e">
        <f>IF(VLOOKUP(T_Convention[[#This Row],[NumL]],T_TraitDi[#Data],COLUMN(T_TraitDi[Colonne30]),FALSE)=0,"",TEXT(IFERROR(VLOOKUP(T_Convention[[#This Row],[NumL]],T_TraitDi[#Data],COLUMN(T_TraitDi[Colonne30]),FALSE),""),"[hh]:mm"))</f>
        <v>#N/A</v>
      </c>
      <c r="BG152" s="284" t="e">
        <f>IF(VLOOKUP(T_Convention[[#This Row],[NumL]],T_TraitDi[#Data],COLUMN(T_TraitDi[Colonne31]),FALSE)=0,"",TEXT(IFERROR(VLOOKUP(T_Convention[[#This Row],[NumL]],T_TraitDi[#Data],COLUMN(T_TraitDi[Colonne31]),FALSE),""),"[hh]:mm"))</f>
        <v>#N/A</v>
      </c>
      <c r="BH152" s="284" t="e">
        <f>IF(VLOOKUP(T_Convention[[#This Row],[NumL]],T_TraitDi[#Data],COLUMN(T_TraitDi[Colonne32]),FALSE)=0,"",TEXT(IFERROR(VLOOKUP(T_Convention[[#This Row],[NumL]],T_TraitDi[#Data],COLUMN(T_TraitDi[Colonne32]),FALSE),""),"[hh]:mm"))</f>
        <v>#N/A</v>
      </c>
      <c r="BI152" s="284" t="str">
        <f>IFERROR(VLOOKUP(T_Convention[[#This Row],[NumL]],T_TraitDi[#Data],COLUMN(T_TraitDi[NbJTW]),FALSE),"")</f>
        <v/>
      </c>
      <c r="BJ152" s="284" t="e">
        <f>IF(VLOOKUP(T_Convention[[#This Row],[NumL]],T_TraitDi[#Data],COLUMN(T_TraitDi[NbhTW]),FALSE)=0,"",TEXT(IFERROR(VLOOKUP(T_Convention[[#This Row],[NumL]],T_TraitDi[#Data],COLUMN(T_TraitDi[NbhTW]),FALSE),""),"[hh]:mm"))</f>
        <v>#N/A</v>
      </c>
      <c r="BK152" s="286" t="e">
        <f>IF(VLOOKUP(T_Convention[[#This Row],[NumL]],T_TraitDi[#Data],COLUMN(T_TraitDi[Nbhheb]),FALSE)=0,"",TEXT(IFERROR(VLOOKUP(T_Convention[[#This Row],[NumL]],T_TraitDi[#Data],COLUMN(T_TraitDi[Nbhheb]),FALSE),""),"[hh]:mm"))</f>
        <v>#N/A</v>
      </c>
      <c r="BL152" s="287" t="str">
        <f>IFERROR(VLOOKUP(VLOOKUP(T_Convention[[#This Row],[NumL]],T_TraitDi[#Data],COLUMN(T_TraitDi[Type1]),FALSE),TypeTW,2,FALSE),"")</f>
        <v/>
      </c>
      <c r="BM152" s="288" t="str">
        <f>IFERROR(VLOOKUP(T_Convention[[#This Row],[NumL]],T_TraitDi[#Data],COLUMN(T_TraitDi[Rue1]),FALSE),"")</f>
        <v/>
      </c>
      <c r="BN152" s="289" t="str">
        <f>IFERROR(VLOOKUP(T_Convention[[#This Row],[NumL]],T_TraitDi[#Data],COLUMN(T_TraitDi[CP1]),FALSE),"")</f>
        <v/>
      </c>
      <c r="BO152" s="282" t="str">
        <f>IFERROR(VLOOKUP(T_Convention[[#This Row],[NumL]],T_TraitDi[#Data],COLUMN(T_TraitDi[VILLE1]),FALSE),"")</f>
        <v/>
      </c>
      <c r="BP152" s="290" t="str">
        <f>IFERROR(VLOOKUP(VLOOKUP(T_Convention[[#This Row],[NumL]],T_TraitDi[#Data],COLUMN(T_TraitDi[Type2]),FALSE),TypeTW,2,FALSE),"")</f>
        <v/>
      </c>
      <c r="BQ152" s="182" t="str">
        <f>IFERROR(VLOOKUP(T_Convention[[#This Row],[NumL]],T_TraitDi[#Data],COLUMN(T_TraitDi[Rue2]),FALSE),"")</f>
        <v/>
      </c>
      <c r="BR152" s="173" t="str">
        <f>IFERROR(VLOOKUP(T_Convention[[#This Row],[NumL]],T_TraitDi[#Data],COLUMN(T_TraitDi[CP2]),FALSE),"")</f>
        <v/>
      </c>
      <c r="BS152" s="173" t="str">
        <f>IFERROR(VLOOKUP(T_Convention[[#This Row],[NumL]],T_TraitDi[#Data],COLUMN(T_TraitDi[VILLE2]),FALSE),"")</f>
        <v/>
      </c>
      <c r="BT152" s="182" t="str">
        <f>IF(VLOOKUP(T_Convention[[#This Row],[NumL]],T_Equipement[#Data],COLUMN(T_Equipement[PC]),FALSE)="","Aucun équipement spécifique directement lié au télétravail",VLOOKUP(T_Convention[[#This Row],[NumL]],T_Equipement[#Data],COLUMN(T_Equipement[PC]),FALSE))</f>
        <v xml:space="preserve">19-598	</v>
      </c>
      <c r="BU152" s="166" t="str">
        <f>IFERROR(IF(VLOOKUP(T_Convention[[#This Row],[NumL]],T_TraitDi[#Data],COLUMN(T_TraitDi[Plan]),FALSE)="OK","Un planning spécifique de télétravail est annexé à la présente convention.",""),"")</f>
        <v/>
      </c>
      <c r="BV152" s="185" t="s">
        <v>3320</v>
      </c>
      <c r="BW152" s="164" t="e">
        <f>IF(VLOOKUP(T_Convention[[#This Row],[NumL]],T_suiviDi[#Data],COLUMN(T_suiviDi[Entité]),FALSE)="","",VLOOKUP(T_Convention[[#This Row],[NumL]],T_suiviDi[#Data],COLUMN(T_suiviDi[Entité]),FALSE))</f>
        <v>#N/A</v>
      </c>
      <c r="BX152" s="164" t="str">
        <f>IF(VLOOKUP(T_Convention[[#This Row],[NumL]],T_Commission[#Data],COLUMN(T_Commission[envoi confirm TW]),FALSE)="","",VLOOKUP(T_Convention[[#This Row],[NumL]],T_Commission[#Data],COLUMN(T_Commission[envoi confirm TW]),FALSE))</f>
        <v>Oui</v>
      </c>
      <c r="BY15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2" s="264">
        <f>VLOOKUP(T_Convention[[#This Row],[NumL]],T_Commission[#Data],COLUMN(T_Commission[Commentaire]),FALSE)</f>
        <v>0</v>
      </c>
      <c r="CA152" s="254" t="str">
        <f>IF(VLOOKUP(T_Convention[[#This Row],[NumL]],T_Commission[#Data],COLUMN(T_Commission[Encadrant Email]),FALSE)="","",VLOOKUP(T_Convention[[#This Row],[NumL]],T_Commission[#Data],COLUMN(T_Commission[Encadrant Email]),FALSE))</f>
        <v/>
      </c>
      <c r="CB152" s="352" t="e">
        <f>VLOOKUP(T_Convention[[#This Row],[NumL]],T_TraitDi[#Data],COLUMN(T_TraitDi[NbJTot]),FALSE)</f>
        <v>#N/A</v>
      </c>
      <c r="CC152" s="352" t="e">
        <f>VLOOKUP(T_Convention[[#This Row],[NumL]],T_TraitDi[#Data],COLUMN(T_TraitDi[Reg Ponct]),FALSE)</f>
        <v>#N/A</v>
      </c>
      <c r="CD152" s="348" t="str">
        <f>IF(T_Convention[[#This Row],[Final]]&lt;&gt;"",VLOOKUP(T_Convention[[#This Row],[NumL]],T_suiviDi[#Data],COLUMN((T_suiviDi[Statut])),FALSE),"")</f>
        <v/>
      </c>
    </row>
    <row r="153" spans="1:82" s="106" customFormat="1" ht="18.75" customHeight="1" x14ac:dyDescent="0.25">
      <c r="A153" s="160">
        <v>186</v>
      </c>
      <c r="B153" s="161" t="str">
        <f>VLOOKUP(T_Convention[[#This Row],[NumL]],T_Commission[#Data],COLUMN(T_Commission[FINAL]),FALSE)</f>
        <v/>
      </c>
      <c r="C153" s="162"/>
      <c r="D153" s="95" t="e">
        <f>IF(VLOOKUP(T_Convention[[#This Row],[NumL]],T_TraitDi[#Data],COLUMN(T_TraitDi[WebC]),FALSE)="","",VLOOKUP(T_Convention[[#This Row],[NumL]],T_TraitDi[#Data],COLUMN(T_TraitDi[WebC]),FALSE))</f>
        <v>#N/A</v>
      </c>
      <c r="E153" s="163" t="str">
        <f t="shared" si="10"/>
        <v>12 janvier 2021</v>
      </c>
      <c r="F153" s="282" t="str">
        <f>IF(T_Convention[[#This Row],[Final]]&lt;&gt;"",VLOOKUP(T_Convention[[#This Row],[NumL]],T_suiviDi[#Data],COLUMN((T_suiviDi[Civ.])),FALSE),"")</f>
        <v/>
      </c>
      <c r="G153" s="283" t="str">
        <f>IF(T_Convention[[#This Row],[Final]]&lt;&gt;"",VLOOKUP(T_Convention[[#This Row],[NumL]],T_suiviDi[#Data],COLUMN((T_suiviDi[Nom])),FALSE),"")</f>
        <v/>
      </c>
      <c r="H153" s="282" t="str">
        <f>IF(T_Convention[[#This Row],[Final]]&lt;&gt;"",VLOOKUP(T_Convention[[#This Row],[NumL]],T_suiviDi[#Data],COLUMN((T_suiviDi[Prénom])),FALSE),"")</f>
        <v/>
      </c>
      <c r="I153" s="282" t="e">
        <f>VLOOKUP(T_Convention[[#This Row],[NumL]],T_suiviDi[#Data],COLUMN((T_suiviDi[[#This Row],[Email]])),FALSE)</f>
        <v>#VALUE!</v>
      </c>
      <c r="J153" s="282" t="e">
        <f>IF(VLOOKUP(T_Convention[[#This Row],[NumL]],T_suiviDi[#Data],COLUMN(T_suiviDi[[#This Row],[Fonction]]),FALSE)="","",VLOOKUP(T_Convention[[#This Row],[NumL]],T_suiviDi[#Data],COLUMN(T_suiviDi[[#This Row],[Fonction]]),FALSE))</f>
        <v>#VALUE!</v>
      </c>
      <c r="K153" s="282" t="e">
        <f>IF(VLOOKUP(T_Convention[[#This Row],[NumL]],T_suiviDi[#Data],COLUMN(T_suiviDi[[#This Row],[Grade]]),FALSE)="","",VLOOKUP(T_Convention[[#This Row],[NumL]],T_suiviDi[#Data],COLUMN(T_suiviDi[[#This Row],[Grade]]),FALSE))</f>
        <v>#VALUE!</v>
      </c>
      <c r="L153" s="282" t="e">
        <f>IF(VLOOKUP(T_Convention[[#This Row],[NumL]],T_suiviDi[#Data],COLUMN(T_suiviDi[[#This Row],[Service ]]),FALSE)="","",VLOOKUP(T_Convention[[#This Row],[NumL]],T_suiviDi[#Data],COLUMN(T_suiviDi[[#This Row],[Service ]]),FALSE))</f>
        <v>#VALUE!</v>
      </c>
      <c r="M153" s="164" t="str">
        <f t="shared" si="11"/>
        <v>01 septembre 2021</v>
      </c>
      <c r="N153" s="164" t="str">
        <f t="shared" si="12"/>
        <v>30 novembre 2021</v>
      </c>
      <c r="O153" s="284" t="str">
        <f t="shared" si="13"/>
        <v>30 novembre 2021</v>
      </c>
      <c r="P153" s="282" t="e">
        <f>IF(VLOOKUP(T_Convention[[#This Row],[NumL]],T_TraitDi[#Data],COLUMN(T_TraitDi[M1]),FALSE)="","",VLOOKUP(T_Convention[[#This Row],[NumL]],T_TraitDi[#Data],COLUMN(T_TraitDi[M1]),FALSE))</f>
        <v>#N/A</v>
      </c>
      <c r="Q153" s="282" t="e">
        <f>IF(VLOOKUP(T_Convention[[#This Row],[NumL]],T_TraitDi[#Data],COLUMN(T_TraitDi[M2]),FALSE)="","",VLOOKUP(T_Convention[[#This Row],[NumL]],T_TraitDi[#Data],COLUMN(T_TraitDi[M2]),FALSE))</f>
        <v>#N/A</v>
      </c>
      <c r="R153" s="282" t="e">
        <f>IF(VLOOKUP(T_Convention[[#This Row],[NumL]],T_TraitDi[#Data],COLUMN(T_TraitDi[M3]),FALSE)="","",VLOOKUP(T_Convention[[#This Row],[NumL]],T_TraitDi[#Data],COLUMN(T_TraitDi[M3]),FALSE))</f>
        <v>#N/A</v>
      </c>
      <c r="S153" s="282" t="e">
        <f>IF(VLOOKUP(T_Convention[[#This Row],[NumL]],T_TraitDi[#Data],COLUMN(T_TraitDi[M4]),FALSE)="","",VLOOKUP(T_Convention[[#This Row],[NumL]],T_TraitDi[#Data],COLUMN(T_TraitDi[M4]),FALSE))</f>
        <v>#N/A</v>
      </c>
      <c r="T153" s="282" t="e">
        <f>IF(VLOOKUP(T_Convention[[#This Row],[NumL]],T_TraitDi[#Data],COLUMN(T_TraitDi[M5]),FALSE)="","",VLOOKUP(T_Convention[[#This Row],[NumL]],T_TraitDi[#Data],COLUMN(T_TraitDi[M5]),FALSE))</f>
        <v>#N/A</v>
      </c>
      <c r="U153" s="282" t="e">
        <f>IF(VLOOKUP(T_Convention[[#This Row],[NumL]],T_TraitDi[#Data],COLUMN(T_TraitDi[M6]),FALSE)="","",VLOOKUP(T_Convention[[#This Row],[NumL]],T_TraitDi[#Data],COLUMN(T_TraitDi[M6]),FALSE))</f>
        <v>#N/A</v>
      </c>
      <c r="V153" s="176" t="e">
        <f t="shared" si="14"/>
        <v>#N/A</v>
      </c>
      <c r="W153" s="284" t="str">
        <f>IFERROR(TEXT(VLOOKUP(T_Convention[[#This Row],[NumL]],T_TraitDi[#Data],COLUMN(T_TraitDi[Q2]),FALSE),"###%"),"")</f>
        <v/>
      </c>
      <c r="X153" s="97" t="e">
        <f>VLOOKUP(T_Convention[[#This Row],[NumL]],T_TraitDi[#Data],COLUMN(T_TraitDi[Reg Ponct]),FALSE)</f>
        <v>#N/A</v>
      </c>
      <c r="Y153" s="97" t="e">
        <f>VLOOKUP(T_Convention[NumL],T_TraitDi[#Data],COLUMN(T_TraitDi[Jours flottants]),FALSE)</f>
        <v>#N/A</v>
      </c>
      <c r="Z153" s="284" t="str">
        <f>IFERROR(VLOOKUP(T_Convention[[#This Row],[NumL]],T_TraitDi[#Data],COLUMN(T_TraitDi[Lundi]),FALSE),"")</f>
        <v/>
      </c>
      <c r="AA153" s="284" t="e">
        <f>IF(VLOOKUP(T_Convention[[#This Row],[NumL]],T_TraitDi[#Data],COLUMN(T_TraitDi[Colonne3]),FALSE)=0,"",TEXT(IFERROR(VLOOKUP(T_Convention[[#This Row],[NumL]],T_TraitDi[#Data],COLUMN(T_TraitDi[Colonne3]),FALSE),""),"[hh]:mm"))</f>
        <v>#N/A</v>
      </c>
      <c r="AB153" s="284" t="e">
        <f>IF(VLOOKUP(T_Convention[[#This Row],[NumL]],T_TraitDi[#Data],COLUMN(T_TraitDi[Colonne4]),FALSE)=0,"",TEXT(IFERROR(VLOOKUP(T_Convention[[#This Row],[NumL]],T_TraitDi[#Data],COLUMN(T_TraitDi[Colonne4]),FALSE),""),"[hh]:mm"))</f>
        <v>#N/A</v>
      </c>
      <c r="AC153" s="284" t="e">
        <f>IF(VLOOKUP(T_Convention[[#This Row],[NumL]],T_TraitDi[#Data],COLUMN(T_TraitDi[Colonne5]),FALSE)=0,"",TEXT(IFERROR(VLOOKUP(T_Convention[[#This Row],[NumL]],T_TraitDi[#Data],COLUMN(T_TraitDi[Colonne5]),FALSE),""),"[hh]:mm"))</f>
        <v>#N/A</v>
      </c>
      <c r="AD153" s="284" t="e">
        <f>IF(VLOOKUP(T_Convention[[#This Row],[NumL]],T_TraitDi[#Data],COLUMN(T_TraitDi[Colonne6]),FALSE)=0,"",TEXT(IFERROR(VLOOKUP(T_Convention[[#This Row],[NumL]],T_TraitDi[#Data],COLUMN(T_TraitDi[Colonne6]),FALSE),""),"[hh]:mm"))</f>
        <v>#N/A</v>
      </c>
      <c r="AE153" s="284" t="e">
        <f>IF(VLOOKUP(T_Convention[[#This Row],[NumL]],T_TraitDi[#Data],COLUMN(T_TraitDi[Colonne7]),FALSE)=0,"",TEXT(IFERROR(VLOOKUP(T_Convention[[#This Row],[NumL]],T_TraitDi[#Data],COLUMN(T_TraitDi[Colonne7]),FALSE),""),"[hh]:mm"))</f>
        <v>#N/A</v>
      </c>
      <c r="AF153" s="284" t="e">
        <f>IF(VLOOKUP(T_Convention[[#This Row],[NumL]],T_TraitDi[#Data],COLUMN(T_TraitDi[Colonne8]),FALSE)=0,"",TEXT(IFERROR(VLOOKUP(T_Convention[[#This Row],[NumL]],T_TraitDi[#Data],COLUMN(T_TraitDi[Colonne8]),FALSE),""),"[hh]:mm"))</f>
        <v>#N/A</v>
      </c>
      <c r="AG153" s="284" t="str">
        <f>IFERROR(VLOOKUP(T_Convention[[#This Row],[NumL]],T_TraitDi[#Data],COLUMN(T_TraitDi[Mardi]),FALSE),"")</f>
        <v/>
      </c>
      <c r="AH153" s="284" t="e">
        <f>IF(VLOOKUP(T_Convention[[#This Row],[NumL]],T_TraitDi[#Data],COLUMN(T_TraitDi[Colonne1]),FALSE)=0,"",TEXT(IFERROR(VLOOKUP(T_Convention[[#This Row],[NumL]],T_TraitDi[#Data],COLUMN(T_TraitDi[Colonne1]),FALSE),""),"[hh]:mm"))</f>
        <v>#N/A</v>
      </c>
      <c r="AI153" s="284" t="e">
        <f>IF(VLOOKUP(T_Convention[[#This Row],[NumL]],T_TraitDi[#Data],COLUMN(T_TraitDi[Colonne9]),FALSE)=0,"",TEXT(IFERROR(VLOOKUP(T_Convention[[#This Row],[NumL]],T_TraitDi[#Data],COLUMN(T_TraitDi[Colonne9]),FALSE),""),"[hh]:mm"))</f>
        <v>#N/A</v>
      </c>
      <c r="AJ153" s="284" t="str">
        <f>IFERROR(VLOOKUP(T_Convention[[#This Row],[NumL]],T_TraitDi[#Data],COLUMN(T_TraitDi[Colonne10]),FALSE),"")</f>
        <v/>
      </c>
      <c r="AK153" s="284" t="e">
        <f>IF(VLOOKUP(T_Convention[[#This Row],[NumL]],T_TraitDi[#Data],COLUMN(T_TraitDi[Colonne11]),FALSE)=0,"",TEXT(IFERROR(VLOOKUP(T_Convention[[#This Row],[NumL]],T_TraitDi[#Data],COLUMN(T_TraitDi[Colonne11]),FALSE),""),"[hh]:mm"))</f>
        <v>#N/A</v>
      </c>
      <c r="AL153" s="284" t="e">
        <f>IF(VLOOKUP(T_Convention[[#This Row],[NumL]],T_TraitDi[#Data],COLUMN(T_TraitDi[Colonne12]),FALSE)=0,"",TEXT(IFERROR(VLOOKUP(T_Convention[[#This Row],[NumL]],T_TraitDi[#Data],COLUMN(T_TraitDi[Colonne12]),FALSE),""),"[hh]:mm"))</f>
        <v>#N/A</v>
      </c>
      <c r="AM153" s="284" t="e">
        <f>IF(VLOOKUP(T_Convention[[#This Row],[NumL]],T_TraitDi[#Data],COLUMN(T_TraitDi[Colonne14]),FALSE)=0,"",TEXT(IFERROR(VLOOKUP(T_Convention[[#This Row],[NumL]],T_TraitDi[#Data],COLUMN(T_TraitDi[Colonne14]),FALSE),""),"[hh]:mm"))</f>
        <v>#N/A</v>
      </c>
      <c r="AN153" s="284" t="str">
        <f>IFERROR(VLOOKUP(T_Convention[[#This Row],[NumL]],T_TraitDi[#Data],COLUMN(T_TraitDi[Mercredi]),FALSE),"")</f>
        <v/>
      </c>
      <c r="AO153" s="284" t="e">
        <f>IF(VLOOKUP(T_Convention[[#This Row],[NumL]],T_TraitDi[#Data],COLUMN(T_TraitDi[Colonne15]),FALSE)=0,"",TEXT(IFERROR(VLOOKUP(T_Convention[[#This Row],[NumL]],T_TraitDi[#Data],COLUMN(T_TraitDi[Colonne15]),FALSE),""),"[hh]:mm"))</f>
        <v>#N/A</v>
      </c>
      <c r="AP153" s="284" t="e">
        <f>IF(VLOOKUP(T_Convention[[#This Row],[NumL]],T_TraitDi[#Data],COLUMN(T_TraitDi[Colonne16]),FALSE)=0,"",TEXT(IFERROR(VLOOKUP(T_Convention[[#This Row],[NumL]],T_TraitDi[#Data],COLUMN(T_TraitDi[Colonne16]),FALSE),""),"[hh]:mm"))</f>
        <v>#N/A</v>
      </c>
      <c r="AQ153" s="284" t="str">
        <f>IFERROR(VLOOKUP(T_Convention[[#This Row],[NumL]],T_TraitDi[#Data],COLUMN(T_TraitDi[Colonne17]),FALSE),"")</f>
        <v/>
      </c>
      <c r="AR153" s="284" t="e">
        <f>IF(VLOOKUP(T_Convention[[#This Row],[NumL]],T_TraitDi[#Data],COLUMN(T_TraitDi[Colonne18]),FALSE)=0,"",TEXT(IFERROR(VLOOKUP(T_Convention[[#This Row],[NumL]],T_TraitDi[#Data],COLUMN(T_TraitDi[Colonne18]),FALSE),""),"[hh]:mm"))</f>
        <v>#N/A</v>
      </c>
      <c r="AS153" s="284" t="e">
        <f>IF(VLOOKUP(T_Convention[[#This Row],[NumL]],T_TraitDi[#Data],COLUMN(T_TraitDi[Colonne19]),FALSE)=0,"",TEXT(IFERROR(VLOOKUP(T_Convention[[#This Row],[NumL]],T_TraitDi[#Data],COLUMN(T_TraitDi[Colonne19]),FALSE),""),"[hh]:mm"))</f>
        <v>#N/A</v>
      </c>
      <c r="AT153" s="284" t="e">
        <f>IF(VLOOKUP(T_Convention[[#This Row],[NumL]],T_TraitDi[#Data],COLUMN(T_TraitDi[Colonne20]),FALSE)=0,"",TEXT(IFERROR(VLOOKUP(T_Convention[[#This Row],[NumL]],T_TraitDi[#Data],COLUMN(T_TraitDi[Colonne20]),FALSE),""),"[hh]:mm"))</f>
        <v>#N/A</v>
      </c>
      <c r="AU153" s="284" t="str">
        <f>IFERROR(VLOOKUP(T_Convention[[#This Row],[NumL]],T_TraitDi[#Data],COLUMN(T_TraitDi[Jeudi]),FALSE),"")</f>
        <v/>
      </c>
      <c r="AV153" s="284" t="e">
        <f>IF(VLOOKUP(T_Convention[[#This Row],[NumL]],T_TraitDi[#Data],COLUMN(T_TraitDi[Colonne21]),FALSE)=0,"",TEXT(IFERROR(VLOOKUP(T_Convention[[#This Row],[NumL]],T_TraitDi[#Data],COLUMN(T_TraitDi[Colonne21]),FALSE),""),"[hh]:mm"))</f>
        <v>#N/A</v>
      </c>
      <c r="AW153" s="284" t="e">
        <f>IF(VLOOKUP(T_Convention[[#This Row],[NumL]],T_TraitDi[#Data],COLUMN(T_TraitDi[Colonne22]),FALSE)=0,"",TEXT(IFERROR(VLOOKUP(T_Convention[[#This Row],[NumL]],T_TraitDi[#Data],COLUMN(T_TraitDi[Colonne22]),FALSE),""),"[hh]:mm"))</f>
        <v>#N/A</v>
      </c>
      <c r="AX153" s="284" t="str">
        <f>IFERROR(VLOOKUP(T_Convention[[#This Row],[NumL]],T_TraitDi[#Data],COLUMN(T_TraitDi[Colonne23]),FALSE),"")</f>
        <v/>
      </c>
      <c r="AY153" s="284" t="e">
        <f>IF(VLOOKUP(T_Convention[[#This Row],[NumL]],T_TraitDi[#Data],COLUMN(T_TraitDi[Colonne24]),FALSE)=0,"",TEXT(IFERROR(VLOOKUP(T_Convention[[#This Row],[NumL]],T_TraitDi[#Data],COLUMN(T_TraitDi[Colonne24]),FALSE),""),"[hh]:mm"))</f>
        <v>#N/A</v>
      </c>
      <c r="AZ153" s="284" t="e">
        <f>IF(VLOOKUP(T_Convention[[#This Row],[NumL]],T_TraitDi[#Data],COLUMN(T_TraitDi[Colonne25]),FALSE)=0,"",TEXT(IFERROR(VLOOKUP(T_Convention[[#This Row],[NumL]],T_TraitDi[#Data],COLUMN(T_TraitDi[Colonne25]),FALSE),""),"[hh]:mm"))</f>
        <v>#N/A</v>
      </c>
      <c r="BA153" s="284" t="e">
        <f>IF(VLOOKUP(T_Convention[[#This Row],[NumL]],T_TraitDi[#Data],COLUMN(T_TraitDi[Colonne26]),FALSE)=0,"",TEXT(IFERROR(VLOOKUP(T_Convention[[#This Row],[NumL]],T_TraitDi[#Data],COLUMN(T_TraitDi[Colonne26]),FALSE),""),"[hh]:mm"))</f>
        <v>#N/A</v>
      </c>
      <c r="BB153" s="284" t="str">
        <f>IFERROR(VLOOKUP(T_Convention[[#This Row],[NumL]],T_TraitDi[#Data],COLUMN(T_TraitDi[Vendredi]),FALSE),"")</f>
        <v/>
      </c>
      <c r="BC153" s="284" t="e">
        <f>IF(VLOOKUP(T_Convention[[#This Row],[NumL]],T_TraitDi[#Data],COLUMN(T_TraitDi[Colonne27]),FALSE)=0,"",TEXT(IFERROR(VLOOKUP(T_Convention[[#This Row],[NumL]],T_TraitDi[#Data],COLUMN(T_TraitDi[Colonne27]),FALSE),""),"[hh]:mm"))</f>
        <v>#N/A</v>
      </c>
      <c r="BD153" s="284" t="e">
        <f>IF(VLOOKUP(T_Convention[[#This Row],[NumL]],T_TraitDi[#Data],COLUMN(T_TraitDi[Colonne28]),FALSE)=0,"",TEXT(IFERROR(VLOOKUP(T_Convention[[#This Row],[NumL]],T_TraitDi[#Data],COLUMN(T_TraitDi[Colonne28]),FALSE),""),"[hh]:mm"))</f>
        <v>#N/A</v>
      </c>
      <c r="BE153" s="284" t="str">
        <f>IFERROR(VLOOKUP(T_Convention[[#This Row],[NumL]],T_TraitDi[#Data],COLUMN(T_TraitDi[Colonne29]),FALSE),"")</f>
        <v/>
      </c>
      <c r="BF153" s="284" t="e">
        <f>IF(VLOOKUP(T_Convention[[#This Row],[NumL]],T_TraitDi[#Data],COLUMN(T_TraitDi[Colonne30]),FALSE)=0,"",TEXT(IFERROR(VLOOKUP(T_Convention[[#This Row],[NumL]],T_TraitDi[#Data],COLUMN(T_TraitDi[Colonne30]),FALSE),""),"[hh]:mm"))</f>
        <v>#N/A</v>
      </c>
      <c r="BG153" s="284" t="e">
        <f>IF(VLOOKUP(T_Convention[[#This Row],[NumL]],T_TraitDi[#Data],COLUMN(T_TraitDi[Colonne31]),FALSE)=0,"",TEXT(IFERROR(VLOOKUP(T_Convention[[#This Row],[NumL]],T_TraitDi[#Data],COLUMN(T_TraitDi[Colonne31]),FALSE),""),"[hh]:mm"))</f>
        <v>#N/A</v>
      </c>
      <c r="BH153" s="284" t="e">
        <f>IF(VLOOKUP(T_Convention[[#This Row],[NumL]],T_TraitDi[#Data],COLUMN(T_TraitDi[Colonne32]),FALSE)=0,"",TEXT(IFERROR(VLOOKUP(T_Convention[[#This Row],[NumL]],T_TraitDi[#Data],COLUMN(T_TraitDi[Colonne32]),FALSE),""),"[hh]:mm"))</f>
        <v>#N/A</v>
      </c>
      <c r="BI153" s="284" t="str">
        <f>IFERROR(VLOOKUP(T_Convention[[#This Row],[NumL]],T_TraitDi[#Data],COLUMN(T_TraitDi[NbJTW]),FALSE),"")</f>
        <v/>
      </c>
      <c r="BJ153" s="284" t="e">
        <f>IF(VLOOKUP(T_Convention[[#This Row],[NumL]],T_TraitDi[#Data],COLUMN(T_TraitDi[NbhTW]),FALSE)=0,"",TEXT(IFERROR(VLOOKUP(T_Convention[[#This Row],[NumL]],T_TraitDi[#Data],COLUMN(T_TraitDi[NbhTW]),FALSE),""),"[hh]:mm"))</f>
        <v>#N/A</v>
      </c>
      <c r="BK153" s="286" t="e">
        <f>IF(VLOOKUP(T_Convention[[#This Row],[NumL]],T_TraitDi[#Data],COLUMN(T_TraitDi[Nbhheb]),FALSE)=0,"",TEXT(IFERROR(VLOOKUP(T_Convention[[#This Row],[NumL]],T_TraitDi[#Data],COLUMN(T_TraitDi[Nbhheb]),FALSE),""),"[hh]:mm"))</f>
        <v>#N/A</v>
      </c>
      <c r="BL153" s="287" t="str">
        <f>IFERROR(VLOOKUP(VLOOKUP(T_Convention[[#This Row],[NumL]],T_TraitDi[#Data],COLUMN(T_TraitDi[Type1]),FALSE),TypeTW,2,FALSE),"")</f>
        <v/>
      </c>
      <c r="BM153" s="288" t="str">
        <f>IFERROR(VLOOKUP(T_Convention[[#This Row],[NumL]],T_TraitDi[#Data],COLUMN(T_TraitDi[Rue1]),FALSE),"")</f>
        <v/>
      </c>
      <c r="BN153" s="289" t="str">
        <f>IFERROR(VLOOKUP(T_Convention[[#This Row],[NumL]],T_TraitDi[#Data],COLUMN(T_TraitDi[CP1]),FALSE),"")</f>
        <v/>
      </c>
      <c r="BO153" s="282" t="str">
        <f>IFERROR(VLOOKUP(T_Convention[[#This Row],[NumL]],T_TraitDi[#Data],COLUMN(T_TraitDi[VILLE1]),FALSE),"")</f>
        <v/>
      </c>
      <c r="BP153" s="290" t="str">
        <f>IFERROR(VLOOKUP(VLOOKUP(T_Convention[[#This Row],[NumL]],T_TraitDi[#Data],COLUMN(T_TraitDi[Type2]),FALSE),TypeTW,2,FALSE),"")</f>
        <v/>
      </c>
      <c r="BQ153" s="182" t="str">
        <f>IFERROR(VLOOKUP(T_Convention[[#This Row],[NumL]],T_TraitDi[#Data],COLUMN(T_TraitDi[Rue2]),FALSE),"")</f>
        <v/>
      </c>
      <c r="BR153" s="173" t="str">
        <f>IFERROR(VLOOKUP(T_Convention[[#This Row],[NumL]],T_TraitDi[#Data],COLUMN(T_TraitDi[CP2]),FALSE),"")</f>
        <v/>
      </c>
      <c r="BS153" s="173" t="str">
        <f>IFERROR(VLOOKUP(T_Convention[[#This Row],[NumL]],T_TraitDi[#Data],COLUMN(T_TraitDi[VILLE2]),FALSE),"")</f>
        <v/>
      </c>
      <c r="BT153" s="182" t="str">
        <f>IF(VLOOKUP(T_Convention[[#This Row],[NumL]],T_Equipement[#Data],COLUMN(T_Equipement[PC]),FALSE)="","Aucun équipement spécifique directement lié au télétravail",VLOOKUP(T_Convention[[#This Row],[NumL]],T_Equipement[#Data],COLUMN(T_Equipement[PC]),FALSE))</f>
        <v xml:space="preserve">16-410	</v>
      </c>
      <c r="BU153" s="166" t="str">
        <f>IFERROR(IF(VLOOKUP(T_Convention[[#This Row],[NumL]],T_TraitDi[#Data],COLUMN(T_TraitDi[Plan]),FALSE)="OK","Un planning spécifique de télétravail est annexé à la présente convention.",""),"")</f>
        <v/>
      </c>
      <c r="BV153" s="185" t="s">
        <v>3530</v>
      </c>
      <c r="BW153" s="164" t="e">
        <f>IF(VLOOKUP(T_Convention[[#This Row],[NumL]],T_suiviDi[#Data],COLUMN(T_suiviDi[Entité]),FALSE)="","",VLOOKUP(T_Convention[[#This Row],[NumL]],T_suiviDi[#Data],COLUMN(T_suiviDi[Entité]),FALSE))</f>
        <v>#N/A</v>
      </c>
      <c r="BX153" s="164" t="str">
        <f>IF(VLOOKUP(T_Convention[[#This Row],[NumL]],T_Commission[#Data],COLUMN(T_Commission[envoi confirm TW]),FALSE)="","",VLOOKUP(T_Convention[[#This Row],[NumL]],T_Commission[#Data],COLUMN(T_Commission[envoi confirm TW]),FALSE))</f>
        <v>Oui</v>
      </c>
      <c r="BY15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3" s="264">
        <f>VLOOKUP(T_Convention[[#This Row],[NumL]],T_Commission[#Data],COLUMN(T_Commission[Commentaire]),FALSE)</f>
        <v>0</v>
      </c>
      <c r="CA153" s="254" t="str">
        <f>IF(VLOOKUP(T_Convention[[#This Row],[NumL]],T_Commission[#Data],COLUMN(T_Commission[Encadrant Email]),FALSE)="","",VLOOKUP(T_Convention[[#This Row],[NumL]],T_Commission[#Data],COLUMN(T_Commission[Encadrant Email]),FALSE))</f>
        <v/>
      </c>
      <c r="CB153" s="352" t="e">
        <f>VLOOKUP(T_Convention[[#This Row],[NumL]],T_TraitDi[#Data],COLUMN(T_TraitDi[NbJTot]),FALSE)</f>
        <v>#N/A</v>
      </c>
      <c r="CC153" s="352" t="e">
        <f>VLOOKUP(T_Convention[[#This Row],[NumL]],T_TraitDi[#Data],COLUMN(T_TraitDi[Reg Ponct]),FALSE)</f>
        <v>#N/A</v>
      </c>
      <c r="CD153" s="348" t="str">
        <f>IF(T_Convention[[#This Row],[Final]]&lt;&gt;"",VLOOKUP(T_Convention[[#This Row],[NumL]],T_suiviDi[#Data],COLUMN((T_suiviDi[Statut])),FALSE),"")</f>
        <v/>
      </c>
    </row>
    <row r="154" spans="1:82" s="106" customFormat="1" ht="18.75" customHeight="1" x14ac:dyDescent="0.25">
      <c r="A154" s="160">
        <v>10</v>
      </c>
      <c r="B154" s="161" t="str">
        <f>VLOOKUP(T_Convention[[#This Row],[NumL]],T_Commission[#Data],COLUMN(T_Commission[FINAL]),FALSE)</f>
        <v/>
      </c>
      <c r="C154" s="162"/>
      <c r="D154" s="95" t="e">
        <f>IF(VLOOKUP(T_Convention[[#This Row],[NumL]],T_TraitDi[#Data],COLUMN(T_TraitDi[WebC]),FALSE)="","",VLOOKUP(T_Convention[[#This Row],[NumL]],T_TraitDi[#Data],COLUMN(T_TraitDi[WebC]),FALSE))</f>
        <v>#N/A</v>
      </c>
      <c r="E154" s="174" t="str">
        <f t="shared" si="10"/>
        <v>12 janvier 2021</v>
      </c>
      <c r="F154" s="282" t="str">
        <f>IF(T_Convention[[#This Row],[Final]]&lt;&gt;"",VLOOKUP(T_Convention[[#This Row],[NumL]],T_suiviDi[#Data],COLUMN((T_suiviDi[Civ.])),FALSE),"")</f>
        <v/>
      </c>
      <c r="G154" s="283" t="str">
        <f>IF(T_Convention[[#This Row],[Final]]&lt;&gt;"",VLOOKUP(T_Convention[[#This Row],[NumL]],T_suiviDi[#Data],COLUMN((T_suiviDi[Nom])),FALSE),"")</f>
        <v/>
      </c>
      <c r="H154" s="282" t="str">
        <f>IF(T_Convention[[#This Row],[Final]]&lt;&gt;"",VLOOKUP(T_Convention[[#This Row],[NumL]],T_suiviDi[#Data],COLUMN((T_suiviDi[Prénom])),FALSE),"")</f>
        <v/>
      </c>
      <c r="I154" s="282" t="e">
        <f>VLOOKUP(T_Convention[[#This Row],[NumL]],T_suiviDi[#Data],COLUMN((T_suiviDi[[#This Row],[Email]])),FALSE)</f>
        <v>#VALUE!</v>
      </c>
      <c r="J154" s="282" t="e">
        <f>IF(VLOOKUP(T_Convention[[#This Row],[NumL]],T_suiviDi[#Data],COLUMN(T_suiviDi[[#This Row],[Fonction]]),FALSE)="","",VLOOKUP(T_Convention[[#This Row],[NumL]],T_suiviDi[#Data],COLUMN(T_suiviDi[[#This Row],[Fonction]]),FALSE))</f>
        <v>#VALUE!</v>
      </c>
      <c r="K154" s="282" t="e">
        <f>IF(VLOOKUP(T_Convention[[#This Row],[NumL]],T_suiviDi[#Data],COLUMN(T_suiviDi[[#This Row],[Grade]]),FALSE)="","",VLOOKUP(T_Convention[[#This Row],[NumL]],T_suiviDi[#Data],COLUMN(T_suiviDi[[#This Row],[Grade]]),FALSE))</f>
        <v>#VALUE!</v>
      </c>
      <c r="L154" s="282" t="e">
        <f>IF(VLOOKUP(T_Convention[[#This Row],[NumL]],T_suiviDi[#Data],COLUMN(T_suiviDi[[#This Row],[Service ]]),FALSE)="","",VLOOKUP(T_Convention[[#This Row],[NumL]],T_suiviDi[#Data],COLUMN(T_suiviDi[[#This Row],[Service ]]),FALSE))</f>
        <v>#VALUE!</v>
      </c>
      <c r="M154" s="176" t="str">
        <f t="shared" si="11"/>
        <v>01 septembre 2021</v>
      </c>
      <c r="N154" s="176" t="str">
        <f t="shared" si="12"/>
        <v>30 novembre 2021</v>
      </c>
      <c r="O154" s="284" t="str">
        <f t="shared" si="13"/>
        <v>30 novembre 2021</v>
      </c>
      <c r="P154" s="282" t="e">
        <f>IF(VLOOKUP(T_Convention[[#This Row],[NumL]],T_TraitDi[#Data],COLUMN(T_TraitDi[M1]),FALSE)="","",VLOOKUP(T_Convention[[#This Row],[NumL]],T_TraitDi[#Data],COLUMN(T_TraitDi[M1]),FALSE))</f>
        <v>#N/A</v>
      </c>
      <c r="Q154" s="282" t="e">
        <f>IF(VLOOKUP(T_Convention[[#This Row],[NumL]],T_TraitDi[#Data],COLUMN(T_TraitDi[M2]),FALSE)="","",VLOOKUP(T_Convention[[#This Row],[NumL]],T_TraitDi[#Data],COLUMN(T_TraitDi[M2]),FALSE))</f>
        <v>#N/A</v>
      </c>
      <c r="R154" s="282" t="e">
        <f>IF(VLOOKUP(T_Convention[[#This Row],[NumL]],T_TraitDi[#Data],COLUMN(T_TraitDi[M3]),FALSE)="","",VLOOKUP(T_Convention[[#This Row],[NumL]],T_TraitDi[#Data],COLUMN(T_TraitDi[M3]),FALSE))</f>
        <v>#N/A</v>
      </c>
      <c r="S154" s="282" t="e">
        <f>IF(VLOOKUP(T_Convention[[#This Row],[NumL]],T_TraitDi[#Data],COLUMN(T_TraitDi[M4]),FALSE)="","",VLOOKUP(T_Convention[[#This Row],[NumL]],T_TraitDi[#Data],COLUMN(T_TraitDi[M4]),FALSE))</f>
        <v>#N/A</v>
      </c>
      <c r="T154" s="282" t="e">
        <f>IF(VLOOKUP(T_Convention[[#This Row],[NumL]],T_TraitDi[#Data],COLUMN(T_TraitDi[M5]),FALSE)="","",VLOOKUP(T_Convention[[#This Row],[NumL]],T_TraitDi[#Data],COLUMN(T_TraitDi[M5]),FALSE))</f>
        <v>#N/A</v>
      </c>
      <c r="U154" s="282" t="e">
        <f>IF(VLOOKUP(T_Convention[[#This Row],[NumL]],T_TraitDi[#Data],COLUMN(T_TraitDi[M6]),FALSE)="","",VLOOKUP(T_Convention[[#This Row],[NumL]],T_TraitDi[#Data],COLUMN(T_TraitDi[M6]),FALSE))</f>
        <v>#N/A</v>
      </c>
      <c r="V154" s="176" t="e">
        <f t="shared" si="14"/>
        <v>#N/A</v>
      </c>
      <c r="W154" s="284" t="str">
        <f>IFERROR(TEXT(VLOOKUP(T_Convention[[#This Row],[NumL]],T_TraitDi[#Data],COLUMN(T_TraitDi[Q2]),FALSE),"###%"),"")</f>
        <v/>
      </c>
      <c r="X154" s="97" t="e">
        <f>VLOOKUP(T_Convention[[#This Row],[NumL]],T_TraitDi[#Data],COLUMN(T_TraitDi[Reg Ponct]),FALSE)</f>
        <v>#N/A</v>
      </c>
      <c r="Y154" s="97" t="e">
        <f>VLOOKUP(T_Convention[NumL],T_TraitDi[#Data],COLUMN(T_TraitDi[Jours flottants]),FALSE)</f>
        <v>#N/A</v>
      </c>
      <c r="Z154" s="284" t="str">
        <f>IFERROR(VLOOKUP(T_Convention[[#This Row],[NumL]],T_TraitDi[#Data],COLUMN(T_TraitDi[Lundi]),FALSE),"")</f>
        <v/>
      </c>
      <c r="AA154" s="284" t="e">
        <f>IF(VLOOKUP(T_Convention[[#This Row],[NumL]],T_TraitDi[#Data],COLUMN(T_TraitDi[Colonne3]),FALSE)=0,"",TEXT(IFERROR(VLOOKUP(T_Convention[[#This Row],[NumL]],T_TraitDi[#Data],COLUMN(T_TraitDi[Colonne3]),FALSE),""),"[hh]:mm"))</f>
        <v>#N/A</v>
      </c>
      <c r="AB154" s="284" t="e">
        <f>IF(VLOOKUP(T_Convention[[#This Row],[NumL]],T_TraitDi[#Data],COLUMN(T_TraitDi[Colonne4]),FALSE)=0,"",TEXT(IFERROR(VLOOKUP(T_Convention[[#This Row],[NumL]],T_TraitDi[#Data],COLUMN(T_TraitDi[Colonne4]),FALSE),""),"[hh]:mm"))</f>
        <v>#N/A</v>
      </c>
      <c r="AC154" s="284" t="e">
        <f>IF(VLOOKUP(T_Convention[[#This Row],[NumL]],T_TraitDi[#Data],COLUMN(T_TraitDi[Colonne5]),FALSE)=0,"",TEXT(IFERROR(VLOOKUP(T_Convention[[#This Row],[NumL]],T_TraitDi[#Data],COLUMN(T_TraitDi[Colonne5]),FALSE),""),"[hh]:mm"))</f>
        <v>#N/A</v>
      </c>
      <c r="AD154" s="284" t="e">
        <f>IF(VLOOKUP(T_Convention[[#This Row],[NumL]],T_TraitDi[#Data],COLUMN(T_TraitDi[Colonne6]),FALSE)=0,"",TEXT(IFERROR(VLOOKUP(T_Convention[[#This Row],[NumL]],T_TraitDi[#Data],COLUMN(T_TraitDi[Colonne6]),FALSE),""),"[hh]:mm"))</f>
        <v>#N/A</v>
      </c>
      <c r="AE154" s="284" t="e">
        <f>IF(VLOOKUP(T_Convention[[#This Row],[NumL]],T_TraitDi[#Data],COLUMN(T_TraitDi[Colonne7]),FALSE)=0,"",TEXT(IFERROR(VLOOKUP(T_Convention[[#This Row],[NumL]],T_TraitDi[#Data],COLUMN(T_TraitDi[Colonne7]),FALSE),""),"[hh]:mm"))</f>
        <v>#N/A</v>
      </c>
      <c r="AF154" s="284" t="e">
        <f>IF(VLOOKUP(T_Convention[[#This Row],[NumL]],T_TraitDi[#Data],COLUMN(T_TraitDi[Colonne8]),FALSE)=0,"",TEXT(IFERROR(VLOOKUP(T_Convention[[#This Row],[NumL]],T_TraitDi[#Data],COLUMN(T_TraitDi[Colonne8]),FALSE),""),"[hh]:mm"))</f>
        <v>#N/A</v>
      </c>
      <c r="AG154" s="284" t="str">
        <f>IFERROR(VLOOKUP(T_Convention[[#This Row],[NumL]],T_TraitDi[#Data],COLUMN(T_TraitDi[Mardi]),FALSE),"")</f>
        <v/>
      </c>
      <c r="AH154" s="284" t="e">
        <f>IF(VLOOKUP(T_Convention[[#This Row],[NumL]],T_TraitDi[#Data],COLUMN(T_TraitDi[Colonne1]),FALSE)=0,"",TEXT(IFERROR(VLOOKUP(T_Convention[[#This Row],[NumL]],T_TraitDi[#Data],COLUMN(T_TraitDi[Colonne1]),FALSE),""),"[hh]:mm"))</f>
        <v>#N/A</v>
      </c>
      <c r="AI154" s="284" t="e">
        <f>IF(VLOOKUP(T_Convention[[#This Row],[NumL]],T_TraitDi[#Data],COLUMN(T_TraitDi[Colonne9]),FALSE)=0,"",TEXT(IFERROR(VLOOKUP(T_Convention[[#This Row],[NumL]],T_TraitDi[#Data],COLUMN(T_TraitDi[Colonne9]),FALSE),""),"[hh]:mm"))</f>
        <v>#N/A</v>
      </c>
      <c r="AJ154" s="284" t="str">
        <f>IFERROR(VLOOKUP(T_Convention[[#This Row],[NumL]],T_TraitDi[#Data],COLUMN(T_TraitDi[Colonne10]),FALSE),"")</f>
        <v/>
      </c>
      <c r="AK154" s="284" t="e">
        <f>IF(VLOOKUP(T_Convention[[#This Row],[NumL]],T_TraitDi[#Data],COLUMN(T_TraitDi[Colonne11]),FALSE)=0,"",TEXT(IFERROR(VLOOKUP(T_Convention[[#This Row],[NumL]],T_TraitDi[#Data],COLUMN(T_TraitDi[Colonne11]),FALSE),""),"[hh]:mm"))</f>
        <v>#N/A</v>
      </c>
      <c r="AL154" s="284" t="e">
        <f>IF(VLOOKUP(T_Convention[[#This Row],[NumL]],T_TraitDi[#Data],COLUMN(T_TraitDi[Colonne12]),FALSE)=0,"",TEXT(IFERROR(VLOOKUP(T_Convention[[#This Row],[NumL]],T_TraitDi[#Data],COLUMN(T_TraitDi[Colonne12]),FALSE),""),"[hh]:mm"))</f>
        <v>#N/A</v>
      </c>
      <c r="AM154" s="284" t="e">
        <f>IF(VLOOKUP(T_Convention[[#This Row],[NumL]],T_TraitDi[#Data],COLUMN(T_TraitDi[Colonne14]),FALSE)=0,"",TEXT(IFERROR(VLOOKUP(T_Convention[[#This Row],[NumL]],T_TraitDi[#Data],COLUMN(T_TraitDi[Colonne14]),FALSE),""),"[hh]:mm"))</f>
        <v>#N/A</v>
      </c>
      <c r="AN154" s="284" t="str">
        <f>IFERROR(VLOOKUP(T_Convention[[#This Row],[NumL]],T_TraitDi[#Data],COLUMN(T_TraitDi[Mercredi]),FALSE),"")</f>
        <v/>
      </c>
      <c r="AO154" s="284" t="e">
        <f>IF(VLOOKUP(T_Convention[[#This Row],[NumL]],T_TraitDi[#Data],COLUMN(T_TraitDi[Colonne15]),FALSE)=0,"",TEXT(IFERROR(VLOOKUP(T_Convention[[#This Row],[NumL]],T_TraitDi[#Data],COLUMN(T_TraitDi[Colonne15]),FALSE),""),"[hh]:mm"))</f>
        <v>#N/A</v>
      </c>
      <c r="AP154" s="284" t="e">
        <f>IF(VLOOKUP(T_Convention[[#This Row],[NumL]],T_TraitDi[#Data],COLUMN(T_TraitDi[Colonne16]),FALSE)=0,"",TEXT(IFERROR(VLOOKUP(T_Convention[[#This Row],[NumL]],T_TraitDi[#Data],COLUMN(T_TraitDi[Colonne16]),FALSE),""),"[hh]:mm"))</f>
        <v>#N/A</v>
      </c>
      <c r="AQ154" s="284" t="str">
        <f>IFERROR(VLOOKUP(T_Convention[[#This Row],[NumL]],T_TraitDi[#Data],COLUMN(T_TraitDi[Colonne17]),FALSE),"")</f>
        <v/>
      </c>
      <c r="AR154" s="284" t="e">
        <f>IF(VLOOKUP(T_Convention[[#This Row],[NumL]],T_TraitDi[#Data],COLUMN(T_TraitDi[Colonne18]),FALSE)=0,"",TEXT(IFERROR(VLOOKUP(T_Convention[[#This Row],[NumL]],T_TraitDi[#Data],COLUMN(T_TraitDi[Colonne18]),FALSE),""),"[hh]:mm"))</f>
        <v>#N/A</v>
      </c>
      <c r="AS154" s="284" t="e">
        <f>IF(VLOOKUP(T_Convention[[#This Row],[NumL]],T_TraitDi[#Data],COLUMN(T_TraitDi[Colonne19]),FALSE)=0,"",TEXT(IFERROR(VLOOKUP(T_Convention[[#This Row],[NumL]],T_TraitDi[#Data],COLUMN(T_TraitDi[Colonne19]),FALSE),""),"[hh]:mm"))</f>
        <v>#N/A</v>
      </c>
      <c r="AT154" s="284" t="e">
        <f>IF(VLOOKUP(T_Convention[[#This Row],[NumL]],T_TraitDi[#Data],COLUMN(T_TraitDi[Colonne20]),FALSE)=0,"",TEXT(IFERROR(VLOOKUP(T_Convention[[#This Row],[NumL]],T_TraitDi[#Data],COLUMN(T_TraitDi[Colonne20]),FALSE),""),"[hh]:mm"))</f>
        <v>#N/A</v>
      </c>
      <c r="AU154" s="284" t="str">
        <f>IFERROR(VLOOKUP(T_Convention[[#This Row],[NumL]],T_TraitDi[#Data],COLUMN(T_TraitDi[Jeudi]),FALSE),"")</f>
        <v/>
      </c>
      <c r="AV154" s="284" t="e">
        <f>IF(VLOOKUP(T_Convention[[#This Row],[NumL]],T_TraitDi[#Data],COLUMN(T_TraitDi[Colonne21]),FALSE)=0,"",TEXT(IFERROR(VLOOKUP(T_Convention[[#This Row],[NumL]],T_TraitDi[#Data],COLUMN(T_TraitDi[Colonne21]),FALSE),""),"[hh]:mm"))</f>
        <v>#N/A</v>
      </c>
      <c r="AW154" s="284" t="e">
        <f>IF(VLOOKUP(T_Convention[[#This Row],[NumL]],T_TraitDi[#Data],COLUMN(T_TraitDi[Colonne22]),FALSE)=0,"",TEXT(IFERROR(VLOOKUP(T_Convention[[#This Row],[NumL]],T_TraitDi[#Data],COLUMN(T_TraitDi[Colonne22]),FALSE),""),"[hh]:mm"))</f>
        <v>#N/A</v>
      </c>
      <c r="AX154" s="284" t="str">
        <f>IFERROR(VLOOKUP(T_Convention[[#This Row],[NumL]],T_TraitDi[#Data],COLUMN(T_TraitDi[Colonne23]),FALSE),"")</f>
        <v/>
      </c>
      <c r="AY154" s="284" t="e">
        <f>IF(VLOOKUP(T_Convention[[#This Row],[NumL]],T_TraitDi[#Data],COLUMN(T_TraitDi[Colonne24]),FALSE)=0,"",TEXT(IFERROR(VLOOKUP(T_Convention[[#This Row],[NumL]],T_TraitDi[#Data],COLUMN(T_TraitDi[Colonne24]),FALSE),""),"[hh]:mm"))</f>
        <v>#N/A</v>
      </c>
      <c r="AZ154" s="284" t="e">
        <f>IF(VLOOKUP(T_Convention[[#This Row],[NumL]],T_TraitDi[#Data],COLUMN(T_TraitDi[Colonne25]),FALSE)=0,"",TEXT(IFERROR(VLOOKUP(T_Convention[[#This Row],[NumL]],T_TraitDi[#Data],COLUMN(T_TraitDi[Colonne25]),FALSE),""),"[hh]:mm"))</f>
        <v>#N/A</v>
      </c>
      <c r="BA154" s="284" t="e">
        <f>IF(VLOOKUP(T_Convention[[#This Row],[NumL]],T_TraitDi[#Data],COLUMN(T_TraitDi[Colonne26]),FALSE)=0,"",TEXT(IFERROR(VLOOKUP(T_Convention[[#This Row],[NumL]],T_TraitDi[#Data],COLUMN(T_TraitDi[Colonne26]),FALSE),""),"[hh]:mm"))</f>
        <v>#N/A</v>
      </c>
      <c r="BB154" s="284" t="str">
        <f>IFERROR(VLOOKUP(T_Convention[[#This Row],[NumL]],T_TraitDi[#Data],COLUMN(T_TraitDi[Vendredi]),FALSE),"")</f>
        <v/>
      </c>
      <c r="BC154" s="284" t="e">
        <f>IF(VLOOKUP(T_Convention[[#This Row],[NumL]],T_TraitDi[#Data],COLUMN(T_TraitDi[Colonne27]),FALSE)=0,"",TEXT(IFERROR(VLOOKUP(T_Convention[[#This Row],[NumL]],T_TraitDi[#Data],COLUMN(T_TraitDi[Colonne27]),FALSE),""),"[hh]:mm"))</f>
        <v>#N/A</v>
      </c>
      <c r="BD154" s="284" t="e">
        <f>IF(VLOOKUP(T_Convention[[#This Row],[NumL]],T_TraitDi[#Data],COLUMN(T_TraitDi[Colonne28]),FALSE)=0,"",TEXT(IFERROR(VLOOKUP(T_Convention[[#This Row],[NumL]],T_TraitDi[#Data],COLUMN(T_TraitDi[Colonne28]),FALSE),""),"[hh]:mm"))</f>
        <v>#N/A</v>
      </c>
      <c r="BE154" s="284" t="str">
        <f>IFERROR(VLOOKUP(T_Convention[[#This Row],[NumL]],T_TraitDi[#Data],COLUMN(T_TraitDi[Colonne29]),FALSE),"")</f>
        <v/>
      </c>
      <c r="BF154" s="284" t="e">
        <f>IF(VLOOKUP(T_Convention[[#This Row],[NumL]],T_TraitDi[#Data],COLUMN(T_TraitDi[Colonne30]),FALSE)=0,"",TEXT(IFERROR(VLOOKUP(T_Convention[[#This Row],[NumL]],T_TraitDi[#Data],COLUMN(T_TraitDi[Colonne30]),FALSE),""),"[hh]:mm"))</f>
        <v>#N/A</v>
      </c>
      <c r="BG154" s="284" t="e">
        <f>IF(VLOOKUP(T_Convention[[#This Row],[NumL]],T_TraitDi[#Data],COLUMN(T_TraitDi[Colonne31]),FALSE)=0,"",TEXT(IFERROR(VLOOKUP(T_Convention[[#This Row],[NumL]],T_TraitDi[#Data],COLUMN(T_TraitDi[Colonne31]),FALSE),""),"[hh]:mm"))</f>
        <v>#N/A</v>
      </c>
      <c r="BH154" s="284" t="e">
        <f>IF(VLOOKUP(T_Convention[[#This Row],[NumL]],T_TraitDi[#Data],COLUMN(T_TraitDi[Colonne32]),FALSE)=0,"",TEXT(IFERROR(VLOOKUP(T_Convention[[#This Row],[NumL]],T_TraitDi[#Data],COLUMN(T_TraitDi[Colonne32]),FALSE),""),"[hh]:mm"))</f>
        <v>#N/A</v>
      </c>
      <c r="BI154" s="284" t="str">
        <f>IFERROR(VLOOKUP(T_Convention[[#This Row],[NumL]],T_TraitDi[#Data],COLUMN(T_TraitDi[NbJTW]),FALSE),"")</f>
        <v/>
      </c>
      <c r="BJ154" s="284" t="e">
        <f>IF(VLOOKUP(T_Convention[[#This Row],[NumL]],T_TraitDi[#Data],COLUMN(T_TraitDi[NbhTW]),FALSE)=0,"",TEXT(IFERROR(VLOOKUP(T_Convention[[#This Row],[NumL]],T_TraitDi[#Data],COLUMN(T_TraitDi[NbhTW]),FALSE),""),"[hh]:mm"))</f>
        <v>#N/A</v>
      </c>
      <c r="BK154" s="286" t="e">
        <f>IF(VLOOKUP(T_Convention[[#This Row],[NumL]],T_TraitDi[#Data],COLUMN(T_TraitDi[Nbhheb]),FALSE)=0,"",TEXT(IFERROR(VLOOKUP(T_Convention[[#This Row],[NumL]],T_TraitDi[#Data],COLUMN(T_TraitDi[Nbhheb]),FALSE),""),"[hh]:mm"))</f>
        <v>#N/A</v>
      </c>
      <c r="BL154" s="287" t="str">
        <f>IFERROR(VLOOKUP(VLOOKUP(T_Convention[[#This Row],[NumL]],T_TraitDi[#Data],COLUMN(T_TraitDi[Type1]),FALSE),TypeTW,2,FALSE),"")</f>
        <v/>
      </c>
      <c r="BM154" s="288" t="str">
        <f>IFERROR(VLOOKUP(T_Convention[[#This Row],[NumL]],T_TraitDi[#Data],COLUMN(T_TraitDi[Rue1]),FALSE),"")</f>
        <v/>
      </c>
      <c r="BN154" s="289" t="str">
        <f>IFERROR(VLOOKUP(T_Convention[[#This Row],[NumL]],T_TraitDi[#Data],COLUMN(T_TraitDi[CP1]),FALSE),"")</f>
        <v/>
      </c>
      <c r="BO154" s="282" t="str">
        <f>IFERROR(VLOOKUP(T_Convention[[#This Row],[NumL]],T_TraitDi[#Data],COLUMN(T_TraitDi[VILLE1]),FALSE),"")</f>
        <v/>
      </c>
      <c r="BP154" s="290" t="str">
        <f>IFERROR(VLOOKUP(VLOOKUP(T_Convention[[#This Row],[NumL]],T_TraitDi[#Data],COLUMN(T_TraitDi[Type2]),FALSE),TypeTW,2,FALSE),"")</f>
        <v/>
      </c>
      <c r="BQ154" s="182" t="str">
        <f>IFERROR(VLOOKUP(T_Convention[[#This Row],[NumL]],T_TraitDi[#Data],COLUMN(T_TraitDi[Rue2]),FALSE),"")</f>
        <v/>
      </c>
      <c r="BR154" s="173" t="str">
        <f>IFERROR(VLOOKUP(T_Convention[[#This Row],[NumL]],T_TraitDi[#Data],COLUMN(T_TraitDi[CP2]),FALSE),"")</f>
        <v/>
      </c>
      <c r="BS154" s="173" t="str">
        <f>IFERROR(VLOOKUP(T_Convention[[#This Row],[NumL]],T_TraitDi[#Data],COLUMN(T_TraitDi[VILLE2]),FALSE),"")</f>
        <v/>
      </c>
      <c r="BT154" s="182" t="str">
        <f>IF(VLOOKUP(T_Convention[[#This Row],[NumL]],T_Equipement[#Data],COLUMN(T_Equipement[PC]),FALSE)="","Aucun équipement spécifique directement lié au télétravail",VLOOKUP(T_Convention[[#This Row],[NumL]],T_Equipement[#Data],COLUMN(T_Equipement[PC]),FALSE))</f>
        <v xml:space="preserve">18-028	</v>
      </c>
      <c r="BU154" s="166" t="str">
        <f>IFERROR(IF(VLOOKUP(T_Convention[[#This Row],[NumL]],T_TraitDi[#Data],COLUMN(T_TraitDi[Plan]),FALSE)="OK","Un planning spécifique de télétravail est annexé à la présente convention.",""),"")</f>
        <v/>
      </c>
      <c r="BV154" s="270" t="s">
        <v>3445</v>
      </c>
      <c r="BW154" s="164" t="e">
        <f>IF(VLOOKUP(T_Convention[[#This Row],[NumL]],T_suiviDi[#Data],COLUMN(T_suiviDi[Entité]),FALSE)="","",VLOOKUP(T_Convention[[#This Row],[NumL]],T_suiviDi[#Data],COLUMN(T_suiviDi[Entité]),FALSE))</f>
        <v>#N/A</v>
      </c>
      <c r="BX154" s="164" t="str">
        <f>IF(VLOOKUP(T_Convention[[#This Row],[NumL]],T_Commission[#Data],COLUMN(T_Commission[envoi confirm TW]),FALSE)="","",VLOOKUP(T_Convention[[#This Row],[NumL]],T_Commission[#Data],COLUMN(T_Commission[envoi confirm TW]),FALSE))</f>
        <v>Oui</v>
      </c>
      <c r="BY15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4" s="264">
        <f>VLOOKUP(T_Convention[[#This Row],[NumL]],T_Commission[#Data],COLUMN(T_Commission[Commentaire]),FALSE)</f>
        <v>0</v>
      </c>
      <c r="CA154" s="254" t="str">
        <f>IF(VLOOKUP(T_Convention[[#This Row],[NumL]],T_Commission[#Data],COLUMN(T_Commission[Encadrant Email]),FALSE)="","",VLOOKUP(T_Convention[[#This Row],[NumL]],T_Commission[#Data],COLUMN(T_Commission[Encadrant Email]),FALSE))</f>
        <v/>
      </c>
      <c r="CB154" s="352" t="e">
        <f>VLOOKUP(T_Convention[[#This Row],[NumL]],T_TraitDi[#Data],COLUMN(T_TraitDi[NbJTot]),FALSE)</f>
        <v>#N/A</v>
      </c>
      <c r="CC154" s="352" t="e">
        <f>VLOOKUP(T_Convention[[#This Row],[NumL]],T_TraitDi[#Data],COLUMN(T_TraitDi[Reg Ponct]),FALSE)</f>
        <v>#N/A</v>
      </c>
      <c r="CD154" s="348" t="str">
        <f>IF(T_Convention[[#This Row],[Final]]&lt;&gt;"",VLOOKUP(T_Convention[[#This Row],[NumL]],T_suiviDi[#Data],COLUMN((T_suiviDi[Statut])),FALSE),"")</f>
        <v/>
      </c>
    </row>
    <row r="155" spans="1:82" s="106" customFormat="1" ht="18.75" customHeight="1" x14ac:dyDescent="0.25">
      <c r="A155" s="160">
        <v>355</v>
      </c>
      <c r="B155" s="281" t="str">
        <f>VLOOKUP(T_Convention[[#This Row],[NumL]],T_Commission[#Data],COLUMN(T_Commission[FINAL]),FALSE)</f>
        <v/>
      </c>
      <c r="C155" s="162"/>
      <c r="D155" s="95" t="e">
        <f>IF(VLOOKUP($A155,TraitementDI,19,FALSE)="","",VLOOKUP($A155,TraitementDI,19,FALSE))</f>
        <v>#N/A</v>
      </c>
      <c r="E155" s="163" t="str">
        <f t="shared" si="10"/>
        <v>12 janvier 2021</v>
      </c>
      <c r="F155" s="282" t="str">
        <f>IF(T_Convention[[#This Row],[Final]]&lt;&gt;"",VLOOKUP(T_Convention[[#This Row],[NumL]],T_suiviDi[#Data],COLUMN((T_suiviDi[Civ.])),FALSE),"")</f>
        <v/>
      </c>
      <c r="G155" s="283" t="str">
        <f>IF(T_Convention[[#This Row],[Final]]&lt;&gt;"",VLOOKUP(T_Convention[[#This Row],[NumL]],T_suiviDi[#Data],COLUMN((T_suiviDi[Nom])),FALSE),"")</f>
        <v/>
      </c>
      <c r="H155" s="282" t="str">
        <f>IF(T_Convention[[#This Row],[Final]]&lt;&gt;"",VLOOKUP(T_Convention[[#This Row],[NumL]],T_suiviDi[#Data],COLUMN((T_suiviDi[Prénom])),FALSE),"")</f>
        <v/>
      </c>
      <c r="I155" s="282" t="e">
        <f>VLOOKUP(T_Convention[[#This Row],[NumL]],T_suiviDi[#Data],COLUMN((T_suiviDi[[#This Row],[Email]])),FALSE)</f>
        <v>#VALUE!</v>
      </c>
      <c r="J155" s="282" t="e">
        <f>IF(VLOOKUP(T_Convention[[#This Row],[NumL]],T_suiviDi[#Data],COLUMN(T_suiviDi[[#This Row],[Fonction]]),FALSE)="","",VLOOKUP(T_Convention[[#This Row],[NumL]],T_suiviDi[#Data],COLUMN(T_suiviDi[[#This Row],[Fonction]]),FALSE))</f>
        <v>#VALUE!</v>
      </c>
      <c r="K155" s="282" t="e">
        <f>IF(VLOOKUP(T_Convention[[#This Row],[NumL]],T_suiviDi[#Data],COLUMN(T_suiviDi[[#This Row],[Grade]]),FALSE)="","",VLOOKUP(T_Convention[[#This Row],[NumL]],T_suiviDi[#Data],COLUMN(T_suiviDi[[#This Row],[Grade]]),FALSE))</f>
        <v>#VALUE!</v>
      </c>
      <c r="L155" s="282" t="e">
        <f>IF(VLOOKUP(T_Convention[[#This Row],[NumL]],T_suiviDi[#Data],COLUMN(T_suiviDi[[#This Row],[Service ]]),FALSE)="","",VLOOKUP(T_Convention[[#This Row],[NumL]],T_suiviDi[#Data],COLUMN(T_suiviDi[[#This Row],[Service ]]),FALSE))</f>
        <v>#VALUE!</v>
      </c>
      <c r="M155" s="314" t="str">
        <f t="shared" si="11"/>
        <v>01 septembre 2021</v>
      </c>
      <c r="N155" s="314" t="str">
        <f t="shared" si="12"/>
        <v>30 novembre 2021</v>
      </c>
      <c r="O155" s="284" t="str">
        <f t="shared" si="13"/>
        <v>30 novembre 2021</v>
      </c>
      <c r="P155" s="282" t="e">
        <f>IF(VLOOKUP(T_Convention[[#This Row],[NumL]],T_TraitDi[#Data],COLUMN(T_TraitDi[M1]),FALSE)="","",VLOOKUP(T_Convention[[#This Row],[NumL]],T_TraitDi[#Data],COLUMN(T_TraitDi[M1]),FALSE))</f>
        <v>#N/A</v>
      </c>
      <c r="Q155" s="282" t="e">
        <f>IF(VLOOKUP(T_Convention[[#This Row],[NumL]],T_TraitDi[#Data],COLUMN(T_TraitDi[M2]),FALSE)="","",VLOOKUP(T_Convention[[#This Row],[NumL]],T_TraitDi[#Data],COLUMN(T_TraitDi[M2]),FALSE))</f>
        <v>#N/A</v>
      </c>
      <c r="R155" s="282" t="e">
        <f>IF(VLOOKUP(T_Convention[[#This Row],[NumL]],T_TraitDi[#Data],COLUMN(T_TraitDi[M3]),FALSE)="","",VLOOKUP(T_Convention[[#This Row],[NumL]],T_TraitDi[#Data],COLUMN(T_TraitDi[M3]),FALSE))</f>
        <v>#N/A</v>
      </c>
      <c r="S155" s="282" t="e">
        <f>IF(VLOOKUP(T_Convention[[#This Row],[NumL]],T_TraitDi[#Data],COLUMN(T_TraitDi[M4]),FALSE)="","",VLOOKUP(T_Convention[[#This Row],[NumL]],T_TraitDi[#Data],COLUMN(T_TraitDi[M4]),FALSE))</f>
        <v>#N/A</v>
      </c>
      <c r="T155" s="282" t="e">
        <f>IF(VLOOKUP(T_Convention[[#This Row],[NumL]],T_TraitDi[#Data],COLUMN(T_TraitDi[M5]),FALSE)="","",VLOOKUP(T_Convention[[#This Row],[NumL]],T_TraitDi[#Data],COLUMN(T_TraitDi[M5]),FALSE))</f>
        <v>#N/A</v>
      </c>
      <c r="U155" s="282" t="e">
        <f>IF(VLOOKUP(T_Convention[[#This Row],[NumL]],T_TraitDi[#Data],COLUMN(T_TraitDi[M6]),FALSE)="","",VLOOKUP(T_Convention[[#This Row],[NumL]],T_TraitDi[#Data],COLUMN(T_TraitDi[M6]),FALSE))</f>
        <v>#N/A</v>
      </c>
      <c r="V155" s="314" t="e">
        <f t="shared" si="14"/>
        <v>#N/A</v>
      </c>
      <c r="W155" s="284" t="str">
        <f>IFERROR(TEXT(VLOOKUP(T_Convention[[#This Row],[NumL]],T_TraitDi[#Data],COLUMN(T_TraitDi[Q2]),FALSE),"###%"),"")</f>
        <v/>
      </c>
      <c r="X155" s="285" t="e">
        <f>VLOOKUP(T_Convention[[#This Row],[NumL]],T_TraitDi[#Data],COLUMN(T_TraitDi[Reg Ponct]),FALSE)</f>
        <v>#N/A</v>
      </c>
      <c r="Y155" s="285" t="e">
        <f>VLOOKUP(T_Convention[NumL],T_TraitDi[#Data],COLUMN(T_TraitDi[Jours flottants]),FALSE)</f>
        <v>#N/A</v>
      </c>
      <c r="Z155" s="284" t="str">
        <f>IFERROR(VLOOKUP(T_Convention[[#This Row],[NumL]],T_TraitDi[#Data],COLUMN(T_TraitDi[Lundi]),FALSE),"")</f>
        <v/>
      </c>
      <c r="AA155" s="284" t="e">
        <f>IF(VLOOKUP(T_Convention[[#This Row],[NumL]],T_TraitDi[#Data],COLUMN(T_TraitDi[Colonne3]),FALSE)=0,"",TEXT(IFERROR(VLOOKUP(T_Convention[[#This Row],[NumL]],T_TraitDi[#Data],COLUMN(T_TraitDi[Colonne3]),FALSE),""),"[hh]:mm"))</f>
        <v>#N/A</v>
      </c>
      <c r="AB155" s="284" t="e">
        <f>IF(VLOOKUP(T_Convention[[#This Row],[NumL]],T_TraitDi[#Data],COLUMN(T_TraitDi[Colonne4]),FALSE)=0,"",TEXT(IFERROR(VLOOKUP(T_Convention[[#This Row],[NumL]],T_TraitDi[#Data],COLUMN(T_TraitDi[Colonne4]),FALSE),""),"[hh]:mm"))</f>
        <v>#N/A</v>
      </c>
      <c r="AC155" s="284" t="e">
        <f>IF(VLOOKUP(T_Convention[[#This Row],[NumL]],T_TraitDi[#Data],COLUMN(T_TraitDi[Colonne5]),FALSE)=0,"",TEXT(IFERROR(VLOOKUP(T_Convention[[#This Row],[NumL]],T_TraitDi[#Data],COLUMN(T_TraitDi[Colonne5]),FALSE),""),"[hh]:mm"))</f>
        <v>#N/A</v>
      </c>
      <c r="AD155" s="284" t="e">
        <f>IF(VLOOKUP(T_Convention[[#This Row],[NumL]],T_TraitDi[#Data],COLUMN(T_TraitDi[Colonne6]),FALSE)=0,"",TEXT(IFERROR(VLOOKUP(T_Convention[[#This Row],[NumL]],T_TraitDi[#Data],COLUMN(T_TraitDi[Colonne6]),FALSE),""),"[hh]:mm"))</f>
        <v>#N/A</v>
      </c>
      <c r="AE155" s="284" t="e">
        <f>IF(VLOOKUP(T_Convention[[#This Row],[NumL]],T_TraitDi[#Data],COLUMN(T_TraitDi[Colonne7]),FALSE)=0,"",TEXT(IFERROR(VLOOKUP(T_Convention[[#This Row],[NumL]],T_TraitDi[#Data],COLUMN(T_TraitDi[Colonne7]),FALSE),""),"[hh]:mm"))</f>
        <v>#N/A</v>
      </c>
      <c r="AF155" s="284" t="e">
        <f>IF(VLOOKUP(T_Convention[[#This Row],[NumL]],T_TraitDi[#Data],COLUMN(T_TraitDi[Colonne8]),FALSE)=0,"",TEXT(IFERROR(VLOOKUP(T_Convention[[#This Row],[NumL]],T_TraitDi[#Data],COLUMN(T_TraitDi[Colonne8]),FALSE),""),"[hh]:mm"))</f>
        <v>#N/A</v>
      </c>
      <c r="AG155" s="284" t="str">
        <f>IFERROR(VLOOKUP(T_Convention[[#This Row],[NumL]],T_TraitDi[#Data],COLUMN(T_TraitDi[Mardi]),FALSE),"")</f>
        <v/>
      </c>
      <c r="AH155" s="284" t="e">
        <f>IF(VLOOKUP(T_Convention[[#This Row],[NumL]],T_TraitDi[#Data],COLUMN(T_TraitDi[Colonne1]),FALSE)=0,"",TEXT(IFERROR(VLOOKUP(T_Convention[[#This Row],[NumL]],T_TraitDi[#Data],COLUMN(T_TraitDi[Colonne1]),FALSE),""),"[hh]:mm"))</f>
        <v>#N/A</v>
      </c>
      <c r="AI155" s="284" t="e">
        <f>IF(VLOOKUP(T_Convention[[#This Row],[NumL]],T_TraitDi[#Data],COLUMN(T_TraitDi[Colonne9]),FALSE)=0,"",TEXT(IFERROR(VLOOKUP(T_Convention[[#This Row],[NumL]],T_TraitDi[#Data],COLUMN(T_TraitDi[Colonne9]),FALSE),""),"[hh]:mm"))</f>
        <v>#N/A</v>
      </c>
      <c r="AJ155" s="284" t="str">
        <f>IFERROR(VLOOKUP(T_Convention[[#This Row],[NumL]],T_TraitDi[#Data],COLUMN(T_TraitDi[Colonne10]),FALSE),"")</f>
        <v/>
      </c>
      <c r="AK155" s="284" t="e">
        <f>IF(VLOOKUP(T_Convention[[#This Row],[NumL]],T_TraitDi[#Data],COLUMN(T_TraitDi[Colonne11]),FALSE)=0,"",TEXT(IFERROR(VLOOKUP(T_Convention[[#This Row],[NumL]],T_TraitDi[#Data],COLUMN(T_TraitDi[Colonne11]),FALSE),""),"[hh]:mm"))</f>
        <v>#N/A</v>
      </c>
      <c r="AL155" s="284" t="e">
        <f>IF(VLOOKUP(T_Convention[[#This Row],[NumL]],T_TraitDi[#Data],COLUMN(T_TraitDi[Colonne12]),FALSE)=0,"",TEXT(IFERROR(VLOOKUP(T_Convention[[#This Row],[NumL]],T_TraitDi[#Data],COLUMN(T_TraitDi[Colonne12]),FALSE),""),"[hh]:mm"))</f>
        <v>#N/A</v>
      </c>
      <c r="AM155" s="284" t="e">
        <f>IF(VLOOKUP(T_Convention[[#This Row],[NumL]],T_TraitDi[#Data],COLUMN(T_TraitDi[Colonne14]),FALSE)=0,"",TEXT(IFERROR(VLOOKUP(T_Convention[[#This Row],[NumL]],T_TraitDi[#Data],COLUMN(T_TraitDi[Colonne14]),FALSE),""),"[hh]:mm"))</f>
        <v>#N/A</v>
      </c>
      <c r="AN155" s="284" t="str">
        <f>IFERROR(VLOOKUP(T_Convention[[#This Row],[NumL]],T_TraitDi[#Data],COLUMN(T_TraitDi[Mercredi]),FALSE),"")</f>
        <v/>
      </c>
      <c r="AO155" s="284" t="e">
        <f>IF(VLOOKUP(T_Convention[[#This Row],[NumL]],T_TraitDi[#Data],COLUMN(T_TraitDi[Colonne15]),FALSE)=0,"",TEXT(IFERROR(VLOOKUP(T_Convention[[#This Row],[NumL]],T_TraitDi[#Data],COLUMN(T_TraitDi[Colonne15]),FALSE),""),"[hh]:mm"))</f>
        <v>#N/A</v>
      </c>
      <c r="AP155" s="284" t="e">
        <f>IF(VLOOKUP(T_Convention[[#This Row],[NumL]],T_TraitDi[#Data],COLUMN(T_TraitDi[Colonne16]),FALSE)=0,"",TEXT(IFERROR(VLOOKUP(T_Convention[[#This Row],[NumL]],T_TraitDi[#Data],COLUMN(T_TraitDi[Colonne16]),FALSE),""),"[hh]:mm"))</f>
        <v>#N/A</v>
      </c>
      <c r="AQ155" s="284" t="str">
        <f>IFERROR(VLOOKUP(T_Convention[[#This Row],[NumL]],T_TraitDi[#Data],COLUMN(T_TraitDi[Colonne17]),FALSE),"")</f>
        <v/>
      </c>
      <c r="AR155" s="284" t="e">
        <f>IF(VLOOKUP(T_Convention[[#This Row],[NumL]],T_TraitDi[#Data],COLUMN(T_TraitDi[Colonne18]),FALSE)=0,"",TEXT(IFERROR(VLOOKUP(T_Convention[[#This Row],[NumL]],T_TraitDi[#Data],COLUMN(T_TraitDi[Colonne18]),FALSE),""),"[hh]:mm"))</f>
        <v>#N/A</v>
      </c>
      <c r="AS155" s="284" t="e">
        <f>IF(VLOOKUP(T_Convention[[#This Row],[NumL]],T_TraitDi[#Data],COLUMN(T_TraitDi[Colonne19]),FALSE)=0,"",TEXT(IFERROR(VLOOKUP(T_Convention[[#This Row],[NumL]],T_TraitDi[#Data],COLUMN(T_TraitDi[Colonne19]),FALSE),""),"[hh]:mm"))</f>
        <v>#N/A</v>
      </c>
      <c r="AT155" s="284" t="e">
        <f>IF(VLOOKUP(T_Convention[[#This Row],[NumL]],T_TraitDi[#Data],COLUMN(T_TraitDi[Colonne20]),FALSE)=0,"",TEXT(IFERROR(VLOOKUP(T_Convention[[#This Row],[NumL]],T_TraitDi[#Data],COLUMN(T_TraitDi[Colonne20]),FALSE),""),"[hh]:mm"))</f>
        <v>#N/A</v>
      </c>
      <c r="AU155" s="284" t="str">
        <f>IFERROR(VLOOKUP(T_Convention[[#This Row],[NumL]],T_TraitDi[#Data],COLUMN(T_TraitDi[Jeudi]),FALSE),"")</f>
        <v/>
      </c>
      <c r="AV155" s="284" t="e">
        <f>IF(VLOOKUP(T_Convention[[#This Row],[NumL]],T_TraitDi[#Data],COLUMN(T_TraitDi[Colonne21]),FALSE)=0,"",TEXT(IFERROR(VLOOKUP(T_Convention[[#This Row],[NumL]],T_TraitDi[#Data],COLUMN(T_TraitDi[Colonne21]),FALSE),""),"[hh]:mm"))</f>
        <v>#N/A</v>
      </c>
      <c r="AW155" s="284" t="e">
        <f>IF(VLOOKUP(T_Convention[[#This Row],[NumL]],T_TraitDi[#Data],COLUMN(T_TraitDi[Colonne22]),FALSE)=0,"",TEXT(IFERROR(VLOOKUP(T_Convention[[#This Row],[NumL]],T_TraitDi[#Data],COLUMN(T_TraitDi[Colonne22]),FALSE),""),"[hh]:mm"))</f>
        <v>#N/A</v>
      </c>
      <c r="AX155" s="284" t="str">
        <f>IFERROR(VLOOKUP(T_Convention[[#This Row],[NumL]],T_TraitDi[#Data],COLUMN(T_TraitDi[Colonne23]),FALSE),"")</f>
        <v/>
      </c>
      <c r="AY155" s="284" t="e">
        <f>IF(VLOOKUP(T_Convention[[#This Row],[NumL]],T_TraitDi[#Data],COLUMN(T_TraitDi[Colonne24]),FALSE)=0,"",TEXT(IFERROR(VLOOKUP(T_Convention[[#This Row],[NumL]],T_TraitDi[#Data],COLUMN(T_TraitDi[Colonne24]),FALSE),""),"[hh]:mm"))</f>
        <v>#N/A</v>
      </c>
      <c r="AZ155" s="284" t="e">
        <f>IF(VLOOKUP(T_Convention[[#This Row],[NumL]],T_TraitDi[#Data],COLUMN(T_TraitDi[Colonne25]),FALSE)=0,"",TEXT(IFERROR(VLOOKUP(T_Convention[[#This Row],[NumL]],T_TraitDi[#Data],COLUMN(T_TraitDi[Colonne25]),FALSE),""),"[hh]:mm"))</f>
        <v>#N/A</v>
      </c>
      <c r="BA155" s="284" t="e">
        <f>IF(VLOOKUP(T_Convention[[#This Row],[NumL]],T_TraitDi[#Data],COLUMN(T_TraitDi[Colonne26]),FALSE)=0,"",TEXT(IFERROR(VLOOKUP(T_Convention[[#This Row],[NumL]],T_TraitDi[#Data],COLUMN(T_TraitDi[Colonne26]),FALSE),""),"[hh]:mm"))</f>
        <v>#N/A</v>
      </c>
      <c r="BB155" s="284" t="str">
        <f>IFERROR(VLOOKUP(T_Convention[[#This Row],[NumL]],T_TraitDi[#Data],COLUMN(T_TraitDi[Vendredi]),FALSE),"")</f>
        <v/>
      </c>
      <c r="BC155" s="284" t="e">
        <f>IF(VLOOKUP(T_Convention[[#This Row],[NumL]],T_TraitDi[#Data],COLUMN(T_TraitDi[Colonne27]),FALSE)=0,"",TEXT(IFERROR(VLOOKUP(T_Convention[[#This Row],[NumL]],T_TraitDi[#Data],COLUMN(T_TraitDi[Colonne27]),FALSE),""),"[hh]:mm"))</f>
        <v>#N/A</v>
      </c>
      <c r="BD155" s="284" t="e">
        <f>IF(VLOOKUP(T_Convention[[#This Row],[NumL]],T_TraitDi[#Data],COLUMN(T_TraitDi[Colonne28]),FALSE)=0,"",TEXT(IFERROR(VLOOKUP(T_Convention[[#This Row],[NumL]],T_TraitDi[#Data],COLUMN(T_TraitDi[Colonne28]),FALSE),""),"[hh]:mm"))</f>
        <v>#N/A</v>
      </c>
      <c r="BE155" s="284" t="str">
        <f>IFERROR(VLOOKUP(T_Convention[[#This Row],[NumL]],T_TraitDi[#Data],COLUMN(T_TraitDi[Colonne29]),FALSE),"")</f>
        <v/>
      </c>
      <c r="BF155" s="284" t="e">
        <f>IF(VLOOKUP(T_Convention[[#This Row],[NumL]],T_TraitDi[#Data],COLUMN(T_TraitDi[Colonne30]),FALSE)=0,"",TEXT(IFERROR(VLOOKUP(T_Convention[[#This Row],[NumL]],T_TraitDi[#Data],COLUMN(T_TraitDi[Colonne30]),FALSE),""),"[hh]:mm"))</f>
        <v>#N/A</v>
      </c>
      <c r="BG155" s="284" t="e">
        <f>IF(VLOOKUP(T_Convention[[#This Row],[NumL]],T_TraitDi[#Data],COLUMN(T_TraitDi[Colonne31]),FALSE)=0,"",TEXT(IFERROR(VLOOKUP(T_Convention[[#This Row],[NumL]],T_TraitDi[#Data],COLUMN(T_TraitDi[Colonne31]),FALSE),""),"[hh]:mm"))</f>
        <v>#N/A</v>
      </c>
      <c r="BH155" s="284" t="e">
        <f>IF(VLOOKUP(T_Convention[[#This Row],[NumL]],T_TraitDi[#Data],COLUMN(T_TraitDi[Colonne32]),FALSE)=0,"",TEXT(IFERROR(VLOOKUP(T_Convention[[#This Row],[NumL]],T_TraitDi[#Data],COLUMN(T_TraitDi[Colonne32]),FALSE),""),"[hh]:mm"))</f>
        <v>#N/A</v>
      </c>
      <c r="BI155" s="284" t="str">
        <f>IFERROR(VLOOKUP(T_Convention[[#This Row],[NumL]],T_TraitDi[#Data],COLUMN(T_TraitDi[NbJTW]),FALSE),"")</f>
        <v/>
      </c>
      <c r="BJ155" s="284" t="e">
        <f>IF(VLOOKUP(T_Convention[[#This Row],[NumL]],T_TraitDi[#Data],COLUMN(T_TraitDi[NbhTW]),FALSE)=0,"",TEXT(IFERROR(VLOOKUP(T_Convention[[#This Row],[NumL]],T_TraitDi[#Data],COLUMN(T_TraitDi[NbhTW]),FALSE),""),"[hh]:mm"))</f>
        <v>#N/A</v>
      </c>
      <c r="BK155" s="315" t="e">
        <f>IF(VLOOKUP(T_Convention[[#This Row],[NumL]],T_TraitDi[#Data],COLUMN(T_TraitDi[Nbhheb]),FALSE)=0,"",TEXT(IFERROR(VLOOKUP(T_Convention[[#This Row],[NumL]],T_TraitDi[#Data],COLUMN(T_TraitDi[Nbhheb]),FALSE),""),"[hh]:mm"))</f>
        <v>#N/A</v>
      </c>
      <c r="BL155" s="287" t="str">
        <f>IFERROR(VLOOKUP(VLOOKUP(T_Convention[[#This Row],[NumL]],T_TraitDi[#Data],COLUMN(T_TraitDi[Type1]),FALSE),TypeTW,2,FALSE),"")</f>
        <v/>
      </c>
      <c r="BM155" s="288" t="str">
        <f>IFERROR(VLOOKUP(T_Convention[[#This Row],[NumL]],T_TraitDi[#Data],COLUMN(T_TraitDi[Rue1]),FALSE),"")</f>
        <v/>
      </c>
      <c r="BN155" s="289" t="str">
        <f>IFERROR(VLOOKUP(T_Convention[[#This Row],[NumL]],T_TraitDi[#Data],COLUMN(T_TraitDi[CP1]),FALSE),"")</f>
        <v/>
      </c>
      <c r="BO155" s="282" t="str">
        <f>IFERROR(VLOOKUP(T_Convention[[#This Row],[NumL]],T_TraitDi[#Data],COLUMN(T_TraitDi[VILLE1]),FALSE),"")</f>
        <v/>
      </c>
      <c r="BP155" s="290" t="str">
        <f>IFERROR(VLOOKUP(VLOOKUP(T_Convention[[#This Row],[NumL]],T_TraitDi[#Data],COLUMN(T_TraitDi[Type2]),FALSE),TypeTW,2,FALSE),"")</f>
        <v/>
      </c>
      <c r="BQ155" s="310" t="str">
        <f>IFERROR(VLOOKUP(T_Convention[[#This Row],[NumL]],T_TraitDi[#Data],COLUMN(T_TraitDi[Rue2]),FALSE),"")</f>
        <v/>
      </c>
      <c r="BR155" s="290" t="str">
        <f>IFERROR(VLOOKUP(T_Convention[[#This Row],[NumL]],T_TraitDi[#Data],COLUMN(T_TraitDi[CP2]),FALSE),"")</f>
        <v/>
      </c>
      <c r="BS155" s="290" t="str">
        <f>IFERROR(VLOOKUP(T_Convention[[#This Row],[NumL]],T_TraitDi[#Data],COLUMN(T_TraitDi[VILLE2]),FALSE),"")</f>
        <v/>
      </c>
      <c r="BT155"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55" s="314" t="str">
        <f>IFERROR(IF(VLOOKUP(T_Convention[[#This Row],[NumL]],T_TraitDi[#Data],COLUMN(T_TraitDi[Plan]),FALSE)="OK","Un planning spécifique de télétravail est annexé à la présente convention.",""),"")</f>
        <v/>
      </c>
      <c r="BV155" s="291"/>
      <c r="BW155" s="292" t="e">
        <f>IF(VLOOKUP(T_Convention[[#This Row],[NumL]],T_suiviDi[#Data],COLUMN(T_suiviDi[Entité]),FALSE)="","",VLOOKUP(T_Convention[[#This Row],[NumL]],T_suiviDi[#Data],COLUMN(T_suiviDi[Entité]),FALSE))</f>
        <v>#N/A</v>
      </c>
      <c r="BX155" s="311" t="str">
        <f>IF(VLOOKUP(T_Convention[[#This Row],[NumL]],T_Commission[#Data],COLUMN(T_Commission[envoi confirm TW]),FALSE)="","",VLOOKUP(T_Convention[[#This Row],[NumL]],T_Commission[#Data],COLUMN(T_Commission[envoi confirm TW]),FALSE))</f>
        <v>Oui</v>
      </c>
      <c r="BY155"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5" s="293">
        <f>VLOOKUP(T_Convention[[#This Row],[NumL]],T_Commission[#Data],COLUMN(T_Commission[Commentaire]),FALSE)</f>
        <v>0</v>
      </c>
      <c r="CA155" s="292" t="str">
        <f>IF(VLOOKUP(T_Convention[[#This Row],[NumL]],T_Commission[#Data],COLUMN(T_Commission[Encadrant Email]),FALSE)="","",VLOOKUP(T_Convention[[#This Row],[NumL]],T_Commission[#Data],COLUMN(T_Commission[Encadrant Email]),FALSE))</f>
        <v/>
      </c>
      <c r="CB155" s="353" t="e">
        <f>VLOOKUP(T_Convention[[#This Row],[NumL]],T_TraitDi[#Data],COLUMN(T_TraitDi[NbJTot]),FALSE)</f>
        <v>#N/A</v>
      </c>
      <c r="CC155" s="353" t="e">
        <f>VLOOKUP(T_Convention[[#This Row],[NumL]],T_TraitDi[#Data],COLUMN(T_TraitDi[Reg Ponct]),FALSE)</f>
        <v>#N/A</v>
      </c>
      <c r="CD155" s="348" t="str">
        <f>IF(T_Convention[[#This Row],[Final]]&lt;&gt;"",VLOOKUP(T_Convention[[#This Row],[NumL]],T_suiviDi[#Data],COLUMN((T_suiviDi[Statut])),FALSE),"")</f>
        <v/>
      </c>
    </row>
    <row r="156" spans="1:82" s="106" customFormat="1" ht="18.75" customHeight="1" x14ac:dyDescent="0.25">
      <c r="A156" s="160">
        <v>87</v>
      </c>
      <c r="B156" s="161" t="str">
        <f>VLOOKUP(T_Convention[[#This Row],[NumL]],T_Commission[#Data],COLUMN(T_Commission[FINAL]),FALSE)</f>
        <v/>
      </c>
      <c r="C156" s="162"/>
      <c r="D156" s="95" t="e">
        <f>IF(VLOOKUP(T_Convention[[#This Row],[NumL]],T_TraitDi[#Data],COLUMN(T_TraitDi[WebC]),FALSE)="","",VLOOKUP(T_Convention[[#This Row],[NumL]],T_TraitDi[#Data],COLUMN(T_TraitDi[WebC]),FALSE))</f>
        <v>#N/A</v>
      </c>
      <c r="E156" s="163" t="str">
        <f t="shared" si="10"/>
        <v>12 janvier 2021</v>
      </c>
      <c r="F156" s="282" t="str">
        <f>IF(T_Convention[[#This Row],[Final]]&lt;&gt;"",VLOOKUP(T_Convention[[#This Row],[NumL]],T_suiviDi[#Data],COLUMN((T_suiviDi[Civ.])),FALSE),"")</f>
        <v/>
      </c>
      <c r="G156" s="283" t="str">
        <f>IF(T_Convention[[#This Row],[Final]]&lt;&gt;"",VLOOKUP(T_Convention[[#This Row],[NumL]],T_suiviDi[#Data],COLUMN((T_suiviDi[Nom])),FALSE),"")</f>
        <v/>
      </c>
      <c r="H156" s="282" t="str">
        <f>IF(T_Convention[[#This Row],[Final]]&lt;&gt;"",VLOOKUP(T_Convention[[#This Row],[NumL]],T_suiviDi[#Data],COLUMN((T_suiviDi[Prénom])),FALSE),"")</f>
        <v/>
      </c>
      <c r="I156" s="282" t="e">
        <f>VLOOKUP(T_Convention[[#This Row],[NumL]],T_suiviDi[#Data],COLUMN((T_suiviDi[[#This Row],[Email]])),FALSE)</f>
        <v>#VALUE!</v>
      </c>
      <c r="J156" s="282" t="e">
        <f>IF(VLOOKUP(T_Convention[[#This Row],[NumL]],T_suiviDi[#Data],COLUMN(T_suiviDi[[#This Row],[Fonction]]),FALSE)="","",VLOOKUP(T_Convention[[#This Row],[NumL]],T_suiviDi[#Data],COLUMN(T_suiviDi[[#This Row],[Fonction]]),FALSE))</f>
        <v>#VALUE!</v>
      </c>
      <c r="K156" s="282" t="e">
        <f>IF(VLOOKUP(T_Convention[[#This Row],[NumL]],T_suiviDi[#Data],COLUMN(T_suiviDi[[#This Row],[Grade]]),FALSE)="","",VLOOKUP(T_Convention[[#This Row],[NumL]],T_suiviDi[#Data],COLUMN(T_suiviDi[[#This Row],[Grade]]),FALSE))</f>
        <v>#VALUE!</v>
      </c>
      <c r="L156" s="282" t="e">
        <f>IF(VLOOKUP(T_Convention[[#This Row],[NumL]],T_suiviDi[#Data],COLUMN(T_suiviDi[[#This Row],[Service ]]),FALSE)="","",VLOOKUP(T_Convention[[#This Row],[NumL]],T_suiviDi[#Data],COLUMN(T_suiviDi[[#This Row],[Service ]]),FALSE))</f>
        <v>#VALUE!</v>
      </c>
      <c r="M156" s="164" t="str">
        <f t="shared" si="11"/>
        <v>01 septembre 2021</v>
      </c>
      <c r="N156" s="164" t="str">
        <f t="shared" si="12"/>
        <v>30 novembre 2021</v>
      </c>
      <c r="O156" s="284" t="str">
        <f t="shared" si="13"/>
        <v>30 novembre 2021</v>
      </c>
      <c r="P156" s="282" t="e">
        <f>IF(VLOOKUP(T_Convention[[#This Row],[NumL]],T_TraitDi[#Data],COLUMN(T_TraitDi[M1]),FALSE)="","",VLOOKUP(T_Convention[[#This Row],[NumL]],T_TraitDi[#Data],COLUMN(T_TraitDi[M1]),FALSE))</f>
        <v>#N/A</v>
      </c>
      <c r="Q156" s="282" t="e">
        <f>IF(VLOOKUP(T_Convention[[#This Row],[NumL]],T_TraitDi[#Data],COLUMN(T_TraitDi[M2]),FALSE)="","",VLOOKUP(T_Convention[[#This Row],[NumL]],T_TraitDi[#Data],COLUMN(T_TraitDi[M2]),FALSE))</f>
        <v>#N/A</v>
      </c>
      <c r="R156" s="282" t="e">
        <f>IF(VLOOKUP(T_Convention[[#This Row],[NumL]],T_TraitDi[#Data],COLUMN(T_TraitDi[M3]),FALSE)="","",VLOOKUP(T_Convention[[#This Row],[NumL]],T_TraitDi[#Data],COLUMN(T_TraitDi[M3]),FALSE))</f>
        <v>#N/A</v>
      </c>
      <c r="S156" s="282" t="e">
        <f>IF(VLOOKUP(T_Convention[[#This Row],[NumL]],T_TraitDi[#Data],COLUMN(T_TraitDi[M4]),FALSE)="","",VLOOKUP(T_Convention[[#This Row],[NumL]],T_TraitDi[#Data],COLUMN(T_TraitDi[M4]),FALSE))</f>
        <v>#N/A</v>
      </c>
      <c r="T156" s="282" t="e">
        <f>IF(VLOOKUP(T_Convention[[#This Row],[NumL]],T_TraitDi[#Data],COLUMN(T_TraitDi[M5]),FALSE)="","",VLOOKUP(T_Convention[[#This Row],[NumL]],T_TraitDi[#Data],COLUMN(T_TraitDi[M5]),FALSE))</f>
        <v>#N/A</v>
      </c>
      <c r="U156" s="282" t="e">
        <f>IF(VLOOKUP(T_Convention[[#This Row],[NumL]],T_TraitDi[#Data],COLUMN(T_TraitDi[M6]),FALSE)="","",VLOOKUP(T_Convention[[#This Row],[NumL]],T_TraitDi[#Data],COLUMN(T_TraitDi[M6]),FALSE))</f>
        <v>#N/A</v>
      </c>
      <c r="V156" s="176" t="e">
        <f t="shared" si="14"/>
        <v>#N/A</v>
      </c>
      <c r="W156" s="284" t="str">
        <f>IFERROR(TEXT(VLOOKUP(T_Convention[[#This Row],[NumL]],T_TraitDi[#Data],COLUMN(T_TraitDi[Q2]),FALSE),"###%"),"")</f>
        <v/>
      </c>
      <c r="X156" s="97" t="e">
        <f>VLOOKUP(T_Convention[[#This Row],[NumL]],T_TraitDi[#Data],COLUMN(T_TraitDi[Reg Ponct]),FALSE)</f>
        <v>#N/A</v>
      </c>
      <c r="Y156" s="97" t="e">
        <f>VLOOKUP(T_Convention[NumL],T_TraitDi[#Data],COLUMN(T_TraitDi[Jours flottants]),FALSE)</f>
        <v>#N/A</v>
      </c>
      <c r="Z156" s="284" t="str">
        <f>IFERROR(VLOOKUP(T_Convention[[#This Row],[NumL]],T_TraitDi[#Data],COLUMN(T_TraitDi[Lundi]),FALSE),"")</f>
        <v/>
      </c>
      <c r="AA156" s="284" t="e">
        <f>IF(VLOOKUP(T_Convention[[#This Row],[NumL]],T_TraitDi[#Data],COLUMN(T_TraitDi[Colonne3]),FALSE)=0,"",TEXT(IFERROR(VLOOKUP(T_Convention[[#This Row],[NumL]],T_TraitDi[#Data],COLUMN(T_TraitDi[Colonne3]),FALSE),""),"[hh]:mm"))</f>
        <v>#N/A</v>
      </c>
      <c r="AB156" s="284" t="e">
        <f>IF(VLOOKUP(T_Convention[[#This Row],[NumL]],T_TraitDi[#Data],COLUMN(T_TraitDi[Colonne4]),FALSE)=0,"",TEXT(IFERROR(VLOOKUP(T_Convention[[#This Row],[NumL]],T_TraitDi[#Data],COLUMN(T_TraitDi[Colonne4]),FALSE),""),"[hh]:mm"))</f>
        <v>#N/A</v>
      </c>
      <c r="AC156" s="284" t="e">
        <f>IF(VLOOKUP(T_Convention[[#This Row],[NumL]],T_TraitDi[#Data],COLUMN(T_TraitDi[Colonne5]),FALSE)=0,"",TEXT(IFERROR(VLOOKUP(T_Convention[[#This Row],[NumL]],T_TraitDi[#Data],COLUMN(T_TraitDi[Colonne5]),FALSE),""),"[hh]:mm"))</f>
        <v>#N/A</v>
      </c>
      <c r="AD156" s="284" t="e">
        <f>IF(VLOOKUP(T_Convention[[#This Row],[NumL]],T_TraitDi[#Data],COLUMN(T_TraitDi[Colonne6]),FALSE)=0,"",TEXT(IFERROR(VLOOKUP(T_Convention[[#This Row],[NumL]],T_TraitDi[#Data],COLUMN(T_TraitDi[Colonne6]),FALSE),""),"[hh]:mm"))</f>
        <v>#N/A</v>
      </c>
      <c r="AE156" s="284" t="e">
        <f>IF(VLOOKUP(T_Convention[[#This Row],[NumL]],T_TraitDi[#Data],COLUMN(T_TraitDi[Colonne7]),FALSE)=0,"",TEXT(IFERROR(VLOOKUP(T_Convention[[#This Row],[NumL]],T_TraitDi[#Data],COLUMN(T_TraitDi[Colonne7]),FALSE),""),"[hh]:mm"))</f>
        <v>#N/A</v>
      </c>
      <c r="AF156" s="284" t="e">
        <f>IF(VLOOKUP(T_Convention[[#This Row],[NumL]],T_TraitDi[#Data],COLUMN(T_TraitDi[Colonne8]),FALSE)=0,"",TEXT(IFERROR(VLOOKUP(T_Convention[[#This Row],[NumL]],T_TraitDi[#Data],COLUMN(T_TraitDi[Colonne8]),FALSE),""),"[hh]:mm"))</f>
        <v>#N/A</v>
      </c>
      <c r="AG156" s="284" t="str">
        <f>IFERROR(VLOOKUP(T_Convention[[#This Row],[NumL]],T_TraitDi[#Data],COLUMN(T_TraitDi[Mardi]),FALSE),"")</f>
        <v/>
      </c>
      <c r="AH156" s="284" t="e">
        <f>IF(VLOOKUP(T_Convention[[#This Row],[NumL]],T_TraitDi[#Data],COLUMN(T_TraitDi[Colonne1]),FALSE)=0,"",TEXT(IFERROR(VLOOKUP(T_Convention[[#This Row],[NumL]],T_TraitDi[#Data],COLUMN(T_TraitDi[Colonne1]),FALSE),""),"[hh]:mm"))</f>
        <v>#N/A</v>
      </c>
      <c r="AI156" s="284" t="e">
        <f>IF(VLOOKUP(T_Convention[[#This Row],[NumL]],T_TraitDi[#Data],COLUMN(T_TraitDi[Colonne9]),FALSE)=0,"",TEXT(IFERROR(VLOOKUP(T_Convention[[#This Row],[NumL]],T_TraitDi[#Data],COLUMN(T_TraitDi[Colonne9]),FALSE),""),"[hh]:mm"))</f>
        <v>#N/A</v>
      </c>
      <c r="AJ156" s="284" t="str">
        <f>IFERROR(VLOOKUP(T_Convention[[#This Row],[NumL]],T_TraitDi[#Data],COLUMN(T_TraitDi[Colonne10]),FALSE),"")</f>
        <v/>
      </c>
      <c r="AK156" s="284" t="e">
        <f>IF(VLOOKUP(T_Convention[[#This Row],[NumL]],T_TraitDi[#Data],COLUMN(T_TraitDi[Colonne11]),FALSE)=0,"",TEXT(IFERROR(VLOOKUP(T_Convention[[#This Row],[NumL]],T_TraitDi[#Data],COLUMN(T_TraitDi[Colonne11]),FALSE),""),"[hh]:mm"))</f>
        <v>#N/A</v>
      </c>
      <c r="AL156" s="284" t="e">
        <f>IF(VLOOKUP(T_Convention[[#This Row],[NumL]],T_TraitDi[#Data],COLUMN(T_TraitDi[Colonne12]),FALSE)=0,"",TEXT(IFERROR(VLOOKUP(T_Convention[[#This Row],[NumL]],T_TraitDi[#Data],COLUMN(T_TraitDi[Colonne12]),FALSE),""),"[hh]:mm"))</f>
        <v>#N/A</v>
      </c>
      <c r="AM156" s="284" t="e">
        <f>IF(VLOOKUP(T_Convention[[#This Row],[NumL]],T_TraitDi[#Data],COLUMN(T_TraitDi[Colonne14]),FALSE)=0,"",TEXT(IFERROR(VLOOKUP(T_Convention[[#This Row],[NumL]],T_TraitDi[#Data],COLUMN(T_TraitDi[Colonne14]),FALSE),""),"[hh]:mm"))</f>
        <v>#N/A</v>
      </c>
      <c r="AN156" s="284" t="str">
        <f>IFERROR(VLOOKUP(T_Convention[[#This Row],[NumL]],T_TraitDi[#Data],COLUMN(T_TraitDi[Mercredi]),FALSE),"")</f>
        <v/>
      </c>
      <c r="AO156" s="284" t="e">
        <f>IF(VLOOKUP(T_Convention[[#This Row],[NumL]],T_TraitDi[#Data],COLUMN(T_TraitDi[Colonne15]),FALSE)=0,"",TEXT(IFERROR(VLOOKUP(T_Convention[[#This Row],[NumL]],T_TraitDi[#Data],COLUMN(T_TraitDi[Colonne15]),FALSE),""),"[hh]:mm"))</f>
        <v>#N/A</v>
      </c>
      <c r="AP156" s="284" t="e">
        <f>IF(VLOOKUP(T_Convention[[#This Row],[NumL]],T_TraitDi[#Data],COLUMN(T_TraitDi[Colonne16]),FALSE)=0,"",TEXT(IFERROR(VLOOKUP(T_Convention[[#This Row],[NumL]],T_TraitDi[#Data],COLUMN(T_TraitDi[Colonne16]),FALSE),""),"[hh]:mm"))</f>
        <v>#N/A</v>
      </c>
      <c r="AQ156" s="284" t="str">
        <f>IFERROR(VLOOKUP(T_Convention[[#This Row],[NumL]],T_TraitDi[#Data],COLUMN(T_TraitDi[Colonne17]),FALSE),"")</f>
        <v/>
      </c>
      <c r="AR156" s="284" t="e">
        <f>IF(VLOOKUP(T_Convention[[#This Row],[NumL]],T_TraitDi[#Data],COLUMN(T_TraitDi[Colonne18]),FALSE)=0,"",TEXT(IFERROR(VLOOKUP(T_Convention[[#This Row],[NumL]],T_TraitDi[#Data],COLUMN(T_TraitDi[Colonne18]),FALSE),""),"[hh]:mm"))</f>
        <v>#N/A</v>
      </c>
      <c r="AS156" s="284" t="e">
        <f>IF(VLOOKUP(T_Convention[[#This Row],[NumL]],T_TraitDi[#Data],COLUMN(T_TraitDi[Colonne19]),FALSE)=0,"",TEXT(IFERROR(VLOOKUP(T_Convention[[#This Row],[NumL]],T_TraitDi[#Data],COLUMN(T_TraitDi[Colonne19]),FALSE),""),"[hh]:mm"))</f>
        <v>#N/A</v>
      </c>
      <c r="AT156" s="284" t="e">
        <f>IF(VLOOKUP(T_Convention[[#This Row],[NumL]],T_TraitDi[#Data],COLUMN(T_TraitDi[Colonne20]),FALSE)=0,"",TEXT(IFERROR(VLOOKUP(T_Convention[[#This Row],[NumL]],T_TraitDi[#Data],COLUMN(T_TraitDi[Colonne20]),FALSE),""),"[hh]:mm"))</f>
        <v>#N/A</v>
      </c>
      <c r="AU156" s="284" t="str">
        <f>IFERROR(VLOOKUP(T_Convention[[#This Row],[NumL]],T_TraitDi[#Data],COLUMN(T_TraitDi[Jeudi]),FALSE),"")</f>
        <v/>
      </c>
      <c r="AV156" s="284" t="e">
        <f>IF(VLOOKUP(T_Convention[[#This Row],[NumL]],T_TraitDi[#Data],COLUMN(T_TraitDi[Colonne21]),FALSE)=0,"",TEXT(IFERROR(VLOOKUP(T_Convention[[#This Row],[NumL]],T_TraitDi[#Data],COLUMN(T_TraitDi[Colonne21]),FALSE),""),"[hh]:mm"))</f>
        <v>#N/A</v>
      </c>
      <c r="AW156" s="284" t="e">
        <f>IF(VLOOKUP(T_Convention[[#This Row],[NumL]],T_TraitDi[#Data],COLUMN(T_TraitDi[Colonne22]),FALSE)=0,"",TEXT(IFERROR(VLOOKUP(T_Convention[[#This Row],[NumL]],T_TraitDi[#Data],COLUMN(T_TraitDi[Colonne22]),FALSE),""),"[hh]:mm"))</f>
        <v>#N/A</v>
      </c>
      <c r="AX156" s="284" t="str">
        <f>IFERROR(VLOOKUP(T_Convention[[#This Row],[NumL]],T_TraitDi[#Data],COLUMN(T_TraitDi[Colonne23]),FALSE),"")</f>
        <v/>
      </c>
      <c r="AY156" s="284" t="e">
        <f>IF(VLOOKUP(T_Convention[[#This Row],[NumL]],T_TraitDi[#Data],COLUMN(T_TraitDi[Colonne24]),FALSE)=0,"",TEXT(IFERROR(VLOOKUP(T_Convention[[#This Row],[NumL]],T_TraitDi[#Data],COLUMN(T_TraitDi[Colonne24]),FALSE),""),"[hh]:mm"))</f>
        <v>#N/A</v>
      </c>
      <c r="AZ156" s="284" t="e">
        <f>IF(VLOOKUP(T_Convention[[#This Row],[NumL]],T_TraitDi[#Data],COLUMN(T_TraitDi[Colonne25]),FALSE)=0,"",TEXT(IFERROR(VLOOKUP(T_Convention[[#This Row],[NumL]],T_TraitDi[#Data],COLUMN(T_TraitDi[Colonne25]),FALSE),""),"[hh]:mm"))</f>
        <v>#N/A</v>
      </c>
      <c r="BA156" s="284" t="e">
        <f>IF(VLOOKUP(T_Convention[[#This Row],[NumL]],T_TraitDi[#Data],COLUMN(T_TraitDi[Colonne26]),FALSE)=0,"",TEXT(IFERROR(VLOOKUP(T_Convention[[#This Row],[NumL]],T_TraitDi[#Data],COLUMN(T_TraitDi[Colonne26]),FALSE),""),"[hh]:mm"))</f>
        <v>#N/A</v>
      </c>
      <c r="BB156" s="284" t="str">
        <f>IFERROR(VLOOKUP(T_Convention[[#This Row],[NumL]],T_TraitDi[#Data],COLUMN(T_TraitDi[Vendredi]),FALSE),"")</f>
        <v/>
      </c>
      <c r="BC156" s="284" t="e">
        <f>IF(VLOOKUP(T_Convention[[#This Row],[NumL]],T_TraitDi[#Data],COLUMN(T_TraitDi[Colonne27]),FALSE)=0,"",TEXT(IFERROR(VLOOKUP(T_Convention[[#This Row],[NumL]],T_TraitDi[#Data],COLUMN(T_TraitDi[Colonne27]),FALSE),""),"[hh]:mm"))</f>
        <v>#N/A</v>
      </c>
      <c r="BD156" s="284" t="e">
        <f>IF(VLOOKUP(T_Convention[[#This Row],[NumL]],T_TraitDi[#Data],COLUMN(T_TraitDi[Colonne28]),FALSE)=0,"",TEXT(IFERROR(VLOOKUP(T_Convention[[#This Row],[NumL]],T_TraitDi[#Data],COLUMN(T_TraitDi[Colonne28]),FALSE),""),"[hh]:mm"))</f>
        <v>#N/A</v>
      </c>
      <c r="BE156" s="284" t="str">
        <f>IFERROR(VLOOKUP(T_Convention[[#This Row],[NumL]],T_TraitDi[#Data],COLUMN(T_TraitDi[Colonne29]),FALSE),"")</f>
        <v/>
      </c>
      <c r="BF156" s="284" t="e">
        <f>IF(VLOOKUP(T_Convention[[#This Row],[NumL]],T_TraitDi[#Data],COLUMN(T_TraitDi[Colonne30]),FALSE)=0,"",TEXT(IFERROR(VLOOKUP(T_Convention[[#This Row],[NumL]],T_TraitDi[#Data],COLUMN(T_TraitDi[Colonne30]),FALSE),""),"[hh]:mm"))</f>
        <v>#N/A</v>
      </c>
      <c r="BG156" s="284" t="e">
        <f>IF(VLOOKUP(T_Convention[[#This Row],[NumL]],T_TraitDi[#Data],COLUMN(T_TraitDi[Colonne31]),FALSE)=0,"",TEXT(IFERROR(VLOOKUP(T_Convention[[#This Row],[NumL]],T_TraitDi[#Data],COLUMN(T_TraitDi[Colonne31]),FALSE),""),"[hh]:mm"))</f>
        <v>#N/A</v>
      </c>
      <c r="BH156" s="284" t="e">
        <f>IF(VLOOKUP(T_Convention[[#This Row],[NumL]],T_TraitDi[#Data],COLUMN(T_TraitDi[Colonne32]),FALSE)=0,"",TEXT(IFERROR(VLOOKUP(T_Convention[[#This Row],[NumL]],T_TraitDi[#Data],COLUMN(T_TraitDi[Colonne32]),FALSE),""),"[hh]:mm"))</f>
        <v>#N/A</v>
      </c>
      <c r="BI156" s="284" t="str">
        <f>IFERROR(VLOOKUP(T_Convention[[#This Row],[NumL]],T_TraitDi[#Data],COLUMN(T_TraitDi[NbJTW]),FALSE),"")</f>
        <v/>
      </c>
      <c r="BJ156" s="284" t="e">
        <f>IF(VLOOKUP(T_Convention[[#This Row],[NumL]],T_TraitDi[#Data],COLUMN(T_TraitDi[NbhTW]),FALSE)=0,"",TEXT(IFERROR(VLOOKUP(T_Convention[[#This Row],[NumL]],T_TraitDi[#Data],COLUMN(T_TraitDi[NbhTW]),FALSE),""),"[hh]:mm"))</f>
        <v>#N/A</v>
      </c>
      <c r="BK156" s="286" t="e">
        <f>IF(VLOOKUP(T_Convention[[#This Row],[NumL]],T_TraitDi[#Data],COLUMN(T_TraitDi[Nbhheb]),FALSE)=0,"",TEXT(IFERROR(VLOOKUP(T_Convention[[#This Row],[NumL]],T_TraitDi[#Data],COLUMN(T_TraitDi[Nbhheb]),FALSE),""),"[hh]:mm"))</f>
        <v>#N/A</v>
      </c>
      <c r="BL156" s="287" t="str">
        <f>IFERROR(VLOOKUP(VLOOKUP(T_Convention[[#This Row],[NumL]],T_TraitDi[#Data],COLUMN(T_TraitDi[Type1]),FALSE),TypeTW,2,FALSE),"")</f>
        <v/>
      </c>
      <c r="BM156" s="288" t="str">
        <f>IFERROR(VLOOKUP(T_Convention[[#This Row],[NumL]],T_TraitDi[#Data],COLUMN(T_TraitDi[Rue1]),FALSE),"")</f>
        <v/>
      </c>
      <c r="BN156" s="289" t="str">
        <f>IFERROR(VLOOKUP(T_Convention[[#This Row],[NumL]],T_TraitDi[#Data],COLUMN(T_TraitDi[CP1]),FALSE),"")</f>
        <v/>
      </c>
      <c r="BO156" s="282" t="str">
        <f>IFERROR(VLOOKUP(T_Convention[[#This Row],[NumL]],T_TraitDi[#Data],COLUMN(T_TraitDi[VILLE1]),FALSE),"")</f>
        <v/>
      </c>
      <c r="BP156" s="290" t="str">
        <f>IFERROR(VLOOKUP(VLOOKUP(T_Convention[[#This Row],[NumL]],T_TraitDi[#Data],COLUMN(T_TraitDi[Type2]),FALSE),TypeTW,2,FALSE),"")</f>
        <v/>
      </c>
      <c r="BQ156" s="182" t="str">
        <f>IFERROR(VLOOKUP(T_Convention[[#This Row],[NumL]],T_TraitDi[#Data],COLUMN(T_TraitDi[Rue2]),FALSE),"")</f>
        <v/>
      </c>
      <c r="BR156" s="173" t="str">
        <f>IFERROR(VLOOKUP(T_Convention[[#This Row],[NumL]],T_TraitDi[#Data],COLUMN(T_TraitDi[CP2]),FALSE),"")</f>
        <v/>
      </c>
      <c r="BS156" s="173" t="str">
        <f>IFERROR(VLOOKUP(T_Convention[[#This Row],[NumL]],T_TraitDi[#Data],COLUMN(T_TraitDi[VILLE2]),FALSE),"")</f>
        <v/>
      </c>
      <c r="BT156" s="182" t="str">
        <f>IF(VLOOKUP(T_Convention[[#This Row],[NumL]],T_Equipement[#Data],COLUMN(T_Equipement[PC]),FALSE)="","Aucun équipement spécifique directement lié au télétravail",VLOOKUP(T_Convention[[#This Row],[NumL]],T_Equipement[#Data],COLUMN(T_Equipement[PC]),FALSE))</f>
        <v xml:space="preserve">16-428	</v>
      </c>
      <c r="BU156" s="166" t="str">
        <f>IFERROR(IF(VLOOKUP(T_Convention[[#This Row],[NumL]],T_TraitDi[#Data],COLUMN(T_TraitDi[Plan]),FALSE)="OK","Un planning spécifique de télétravail est annexé à la présente convention.",""),"")</f>
        <v/>
      </c>
      <c r="BV156" s="185" t="s">
        <v>3337</v>
      </c>
      <c r="BW156" s="164" t="e">
        <f>IF(VLOOKUP(T_Convention[[#This Row],[NumL]],T_suiviDi[#Data],COLUMN(T_suiviDi[Entité]),FALSE)="","",VLOOKUP(T_Convention[[#This Row],[NumL]],T_suiviDi[#Data],COLUMN(T_suiviDi[Entité]),FALSE))</f>
        <v>#N/A</v>
      </c>
      <c r="BX156" s="164" t="str">
        <f>IF(VLOOKUP(T_Convention[[#This Row],[NumL]],T_Commission[#Data],COLUMN(T_Commission[envoi confirm TW]),FALSE)="","",VLOOKUP(T_Convention[[#This Row],[NumL]],T_Commission[#Data],COLUMN(T_Commission[envoi confirm TW]),FALSE))</f>
        <v>Oui</v>
      </c>
      <c r="BY15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6" s="264">
        <f>VLOOKUP(T_Convention[[#This Row],[NumL]],T_Commission[#Data],COLUMN(T_Commission[Commentaire]),FALSE)</f>
        <v>0</v>
      </c>
      <c r="CA156" s="254" t="str">
        <f>IF(VLOOKUP(T_Convention[[#This Row],[NumL]],T_Commission[#Data],COLUMN(T_Commission[Encadrant Email]),FALSE)="","",VLOOKUP(T_Convention[[#This Row],[NumL]],T_Commission[#Data],COLUMN(T_Commission[Encadrant Email]),FALSE))</f>
        <v/>
      </c>
      <c r="CB156" s="352" t="e">
        <f>VLOOKUP(T_Convention[[#This Row],[NumL]],T_TraitDi[#Data],COLUMN(T_TraitDi[NbJTot]),FALSE)</f>
        <v>#N/A</v>
      </c>
      <c r="CC156" s="352" t="e">
        <f>VLOOKUP(T_Convention[[#This Row],[NumL]],T_TraitDi[#Data],COLUMN(T_TraitDi[Reg Ponct]),FALSE)</f>
        <v>#N/A</v>
      </c>
      <c r="CD156" s="348" t="str">
        <f>IF(T_Convention[[#This Row],[Final]]&lt;&gt;"",VLOOKUP(T_Convention[[#This Row],[NumL]],T_suiviDi[#Data],COLUMN((T_suiviDi[Statut])),FALSE),"")</f>
        <v/>
      </c>
    </row>
    <row r="157" spans="1:82" s="106" customFormat="1" ht="18.75" customHeight="1" x14ac:dyDescent="0.25">
      <c r="A157" s="160">
        <v>41</v>
      </c>
      <c r="B157" s="161" t="str">
        <f>VLOOKUP(T_Convention[[#This Row],[NumL]],T_Commission[#Data],COLUMN(T_Commission[FINAL]),FALSE)</f>
        <v/>
      </c>
      <c r="C157" s="162"/>
      <c r="D157" s="95" t="e">
        <f>IF(VLOOKUP(T_Convention[[#This Row],[NumL]],T_TraitDi[#Data],COLUMN(T_TraitDi[WebC]),FALSE)="","",VLOOKUP(T_Convention[[#This Row],[NumL]],T_TraitDi[#Data],COLUMN(T_TraitDi[WebC]),FALSE))</f>
        <v>#N/A</v>
      </c>
      <c r="E157" s="163" t="str">
        <f t="shared" si="10"/>
        <v>12 janvier 2021</v>
      </c>
      <c r="F157" s="282" t="str">
        <f>IF(T_Convention[[#This Row],[Final]]&lt;&gt;"",VLOOKUP(T_Convention[[#This Row],[NumL]],T_suiviDi[#Data],COLUMN((T_suiviDi[Civ.])),FALSE),"")</f>
        <v/>
      </c>
      <c r="G157" s="283" t="str">
        <f>IF(T_Convention[[#This Row],[Final]]&lt;&gt;"",VLOOKUP(T_Convention[[#This Row],[NumL]],T_suiviDi[#Data],COLUMN((T_suiviDi[Nom])),FALSE),"")</f>
        <v/>
      </c>
      <c r="H157" s="282" t="str">
        <f>IF(T_Convention[[#This Row],[Final]]&lt;&gt;"",VLOOKUP(T_Convention[[#This Row],[NumL]],T_suiviDi[#Data],COLUMN((T_suiviDi[Prénom])),FALSE),"")</f>
        <v/>
      </c>
      <c r="I157" s="282" t="e">
        <f>VLOOKUP(T_Convention[[#This Row],[NumL]],T_suiviDi[#Data],COLUMN((T_suiviDi[[#This Row],[Email]])),FALSE)</f>
        <v>#VALUE!</v>
      </c>
      <c r="J157" s="282" t="e">
        <f>IF(VLOOKUP(T_Convention[[#This Row],[NumL]],T_suiviDi[#Data],COLUMN(T_suiviDi[[#This Row],[Fonction]]),FALSE)="","",VLOOKUP(T_Convention[[#This Row],[NumL]],T_suiviDi[#Data],COLUMN(T_suiviDi[[#This Row],[Fonction]]),FALSE))</f>
        <v>#VALUE!</v>
      </c>
      <c r="K157" s="282" t="e">
        <f>IF(VLOOKUP(T_Convention[[#This Row],[NumL]],T_suiviDi[#Data],COLUMN(T_suiviDi[[#This Row],[Grade]]),FALSE)="","",VLOOKUP(T_Convention[[#This Row],[NumL]],T_suiviDi[#Data],COLUMN(T_suiviDi[[#This Row],[Grade]]),FALSE))</f>
        <v>#VALUE!</v>
      </c>
      <c r="L157" s="282" t="e">
        <f>IF(VLOOKUP(T_Convention[[#This Row],[NumL]],T_suiviDi[#Data],COLUMN(T_suiviDi[[#This Row],[Service ]]),FALSE)="","",VLOOKUP(T_Convention[[#This Row],[NumL]],T_suiviDi[#Data],COLUMN(T_suiviDi[[#This Row],[Service ]]),FALSE))</f>
        <v>#VALUE!</v>
      </c>
      <c r="M157" s="164" t="str">
        <f t="shared" si="11"/>
        <v>01 septembre 2021</v>
      </c>
      <c r="N157" s="164" t="str">
        <f t="shared" si="12"/>
        <v>30 novembre 2021</v>
      </c>
      <c r="O157" s="284" t="str">
        <f t="shared" si="13"/>
        <v>30 novembre 2021</v>
      </c>
      <c r="P157" s="282" t="e">
        <f>IF(VLOOKUP(T_Convention[[#This Row],[NumL]],T_TraitDi[#Data],COLUMN(T_TraitDi[M1]),FALSE)="","",VLOOKUP(T_Convention[[#This Row],[NumL]],T_TraitDi[#Data],COLUMN(T_TraitDi[M1]),FALSE))</f>
        <v>#N/A</v>
      </c>
      <c r="Q157" s="282" t="e">
        <f>IF(VLOOKUP(T_Convention[[#This Row],[NumL]],T_TraitDi[#Data],COLUMN(T_TraitDi[M2]),FALSE)="","",VLOOKUP(T_Convention[[#This Row],[NumL]],T_TraitDi[#Data],COLUMN(T_TraitDi[M2]),FALSE))</f>
        <v>#N/A</v>
      </c>
      <c r="R157" s="282" t="e">
        <f>IF(VLOOKUP(T_Convention[[#This Row],[NumL]],T_TraitDi[#Data],COLUMN(T_TraitDi[M3]),FALSE)="","",VLOOKUP(T_Convention[[#This Row],[NumL]],T_TraitDi[#Data],COLUMN(T_TraitDi[M3]),FALSE))</f>
        <v>#N/A</v>
      </c>
      <c r="S157" s="282" t="e">
        <f>IF(VLOOKUP(T_Convention[[#This Row],[NumL]],T_TraitDi[#Data],COLUMN(T_TraitDi[M4]),FALSE)="","",VLOOKUP(T_Convention[[#This Row],[NumL]],T_TraitDi[#Data],COLUMN(T_TraitDi[M4]),FALSE))</f>
        <v>#N/A</v>
      </c>
      <c r="T157" s="282" t="e">
        <f>IF(VLOOKUP(T_Convention[[#This Row],[NumL]],T_TraitDi[#Data],COLUMN(T_TraitDi[M5]),FALSE)="","",VLOOKUP(T_Convention[[#This Row],[NumL]],T_TraitDi[#Data],COLUMN(T_TraitDi[M5]),FALSE))</f>
        <v>#N/A</v>
      </c>
      <c r="U157" s="282" t="e">
        <f>IF(VLOOKUP(T_Convention[[#This Row],[NumL]],T_TraitDi[#Data],COLUMN(T_TraitDi[M6]),FALSE)="","",VLOOKUP(T_Convention[[#This Row],[NumL]],T_TraitDi[#Data],COLUMN(T_TraitDi[M6]),FALSE))</f>
        <v>#N/A</v>
      </c>
      <c r="V157" s="176" t="e">
        <f t="shared" si="14"/>
        <v>#N/A</v>
      </c>
      <c r="W157" s="284" t="str">
        <f>IFERROR(TEXT(VLOOKUP(T_Convention[[#This Row],[NumL]],T_TraitDi[#Data],COLUMN(T_TraitDi[Q2]),FALSE),"###%"),"")</f>
        <v/>
      </c>
      <c r="X157" s="97" t="e">
        <f>VLOOKUP(T_Convention[[#This Row],[NumL]],T_TraitDi[#Data],COLUMN(T_TraitDi[Reg Ponct]),FALSE)</f>
        <v>#N/A</v>
      </c>
      <c r="Y157" s="97" t="e">
        <f>VLOOKUP(T_Convention[NumL],T_TraitDi[#Data],COLUMN(T_TraitDi[Jours flottants]),FALSE)</f>
        <v>#N/A</v>
      </c>
      <c r="Z157" s="284" t="str">
        <f>IFERROR(VLOOKUP(T_Convention[[#This Row],[NumL]],T_TraitDi[#Data],COLUMN(T_TraitDi[Lundi]),FALSE),"")</f>
        <v/>
      </c>
      <c r="AA157" s="284" t="e">
        <f>IF(VLOOKUP(T_Convention[[#This Row],[NumL]],T_TraitDi[#Data],COLUMN(T_TraitDi[Colonne3]),FALSE)=0,"",TEXT(IFERROR(VLOOKUP(T_Convention[[#This Row],[NumL]],T_TraitDi[#Data],COLUMN(T_TraitDi[Colonne3]),FALSE),""),"[hh]:mm"))</f>
        <v>#N/A</v>
      </c>
      <c r="AB157" s="284" t="e">
        <f>IF(VLOOKUP(T_Convention[[#This Row],[NumL]],T_TraitDi[#Data],COLUMN(T_TraitDi[Colonne4]),FALSE)=0,"",TEXT(IFERROR(VLOOKUP(T_Convention[[#This Row],[NumL]],T_TraitDi[#Data],COLUMN(T_TraitDi[Colonne4]),FALSE),""),"[hh]:mm"))</f>
        <v>#N/A</v>
      </c>
      <c r="AC157" s="284" t="e">
        <f>IF(VLOOKUP(T_Convention[[#This Row],[NumL]],T_TraitDi[#Data],COLUMN(T_TraitDi[Colonne5]),FALSE)=0,"",TEXT(IFERROR(VLOOKUP(T_Convention[[#This Row],[NumL]],T_TraitDi[#Data],COLUMN(T_TraitDi[Colonne5]),FALSE),""),"[hh]:mm"))</f>
        <v>#N/A</v>
      </c>
      <c r="AD157" s="284" t="e">
        <f>IF(VLOOKUP(T_Convention[[#This Row],[NumL]],T_TraitDi[#Data],COLUMN(T_TraitDi[Colonne6]),FALSE)=0,"",TEXT(IFERROR(VLOOKUP(T_Convention[[#This Row],[NumL]],T_TraitDi[#Data],COLUMN(T_TraitDi[Colonne6]),FALSE),""),"[hh]:mm"))</f>
        <v>#N/A</v>
      </c>
      <c r="AE157" s="284" t="e">
        <f>IF(VLOOKUP(T_Convention[[#This Row],[NumL]],T_TraitDi[#Data],COLUMN(T_TraitDi[Colonne7]),FALSE)=0,"",TEXT(IFERROR(VLOOKUP(T_Convention[[#This Row],[NumL]],T_TraitDi[#Data],COLUMN(T_TraitDi[Colonne7]),FALSE),""),"[hh]:mm"))</f>
        <v>#N/A</v>
      </c>
      <c r="AF157" s="284" t="e">
        <f>IF(VLOOKUP(T_Convention[[#This Row],[NumL]],T_TraitDi[#Data],COLUMN(T_TraitDi[Colonne8]),FALSE)=0,"",TEXT(IFERROR(VLOOKUP(T_Convention[[#This Row],[NumL]],T_TraitDi[#Data],COLUMN(T_TraitDi[Colonne8]),FALSE),""),"[hh]:mm"))</f>
        <v>#N/A</v>
      </c>
      <c r="AG157" s="284" t="str">
        <f>IFERROR(VLOOKUP(T_Convention[[#This Row],[NumL]],T_TraitDi[#Data],COLUMN(T_TraitDi[Mardi]),FALSE),"")</f>
        <v/>
      </c>
      <c r="AH157" s="284" t="e">
        <f>IF(VLOOKUP(T_Convention[[#This Row],[NumL]],T_TraitDi[#Data],COLUMN(T_TraitDi[Colonne1]),FALSE)=0,"",TEXT(IFERROR(VLOOKUP(T_Convention[[#This Row],[NumL]],T_TraitDi[#Data],COLUMN(T_TraitDi[Colonne1]),FALSE),""),"[hh]:mm"))</f>
        <v>#N/A</v>
      </c>
      <c r="AI157" s="284" t="e">
        <f>IF(VLOOKUP(T_Convention[[#This Row],[NumL]],T_TraitDi[#Data],COLUMN(T_TraitDi[Colonne9]),FALSE)=0,"",TEXT(IFERROR(VLOOKUP(T_Convention[[#This Row],[NumL]],T_TraitDi[#Data],COLUMN(T_TraitDi[Colonne9]),FALSE),""),"[hh]:mm"))</f>
        <v>#N/A</v>
      </c>
      <c r="AJ157" s="284" t="str">
        <f>IFERROR(VLOOKUP(T_Convention[[#This Row],[NumL]],T_TraitDi[#Data],COLUMN(T_TraitDi[Colonne10]),FALSE),"")</f>
        <v/>
      </c>
      <c r="AK157" s="284" t="e">
        <f>IF(VLOOKUP(T_Convention[[#This Row],[NumL]],T_TraitDi[#Data],COLUMN(T_TraitDi[Colonne11]),FALSE)=0,"",TEXT(IFERROR(VLOOKUP(T_Convention[[#This Row],[NumL]],T_TraitDi[#Data],COLUMN(T_TraitDi[Colonne11]),FALSE),""),"[hh]:mm"))</f>
        <v>#N/A</v>
      </c>
      <c r="AL157" s="284" t="e">
        <f>IF(VLOOKUP(T_Convention[[#This Row],[NumL]],T_TraitDi[#Data],COLUMN(T_TraitDi[Colonne12]),FALSE)=0,"",TEXT(IFERROR(VLOOKUP(T_Convention[[#This Row],[NumL]],T_TraitDi[#Data],COLUMN(T_TraitDi[Colonne12]),FALSE),""),"[hh]:mm"))</f>
        <v>#N/A</v>
      </c>
      <c r="AM157" s="284" t="e">
        <f>IF(VLOOKUP(T_Convention[[#This Row],[NumL]],T_TraitDi[#Data],COLUMN(T_TraitDi[Colonne14]),FALSE)=0,"",TEXT(IFERROR(VLOOKUP(T_Convention[[#This Row],[NumL]],T_TraitDi[#Data],COLUMN(T_TraitDi[Colonne14]),FALSE),""),"[hh]:mm"))</f>
        <v>#N/A</v>
      </c>
      <c r="AN157" s="284" t="str">
        <f>IFERROR(VLOOKUP(T_Convention[[#This Row],[NumL]],T_TraitDi[#Data],COLUMN(T_TraitDi[Mercredi]),FALSE),"")</f>
        <v/>
      </c>
      <c r="AO157" s="284" t="e">
        <f>IF(VLOOKUP(T_Convention[[#This Row],[NumL]],T_TraitDi[#Data],COLUMN(T_TraitDi[Colonne15]),FALSE)=0,"",TEXT(IFERROR(VLOOKUP(T_Convention[[#This Row],[NumL]],T_TraitDi[#Data],COLUMN(T_TraitDi[Colonne15]),FALSE),""),"[hh]:mm"))</f>
        <v>#N/A</v>
      </c>
      <c r="AP157" s="284" t="e">
        <f>IF(VLOOKUP(T_Convention[[#This Row],[NumL]],T_TraitDi[#Data],COLUMN(T_TraitDi[Colonne16]),FALSE)=0,"",TEXT(IFERROR(VLOOKUP(T_Convention[[#This Row],[NumL]],T_TraitDi[#Data],COLUMN(T_TraitDi[Colonne16]),FALSE),""),"[hh]:mm"))</f>
        <v>#N/A</v>
      </c>
      <c r="AQ157" s="284" t="str">
        <f>IFERROR(VLOOKUP(T_Convention[[#This Row],[NumL]],T_TraitDi[#Data],COLUMN(T_TraitDi[Colonne17]),FALSE),"")</f>
        <v/>
      </c>
      <c r="AR157" s="284" t="e">
        <f>IF(VLOOKUP(T_Convention[[#This Row],[NumL]],T_TraitDi[#Data],COLUMN(T_TraitDi[Colonne18]),FALSE)=0,"",TEXT(IFERROR(VLOOKUP(T_Convention[[#This Row],[NumL]],T_TraitDi[#Data],COLUMN(T_TraitDi[Colonne18]),FALSE),""),"[hh]:mm"))</f>
        <v>#N/A</v>
      </c>
      <c r="AS157" s="284" t="e">
        <f>IF(VLOOKUP(T_Convention[[#This Row],[NumL]],T_TraitDi[#Data],COLUMN(T_TraitDi[Colonne19]),FALSE)=0,"",TEXT(IFERROR(VLOOKUP(T_Convention[[#This Row],[NumL]],T_TraitDi[#Data],COLUMN(T_TraitDi[Colonne19]),FALSE),""),"[hh]:mm"))</f>
        <v>#N/A</v>
      </c>
      <c r="AT157" s="284" t="e">
        <f>IF(VLOOKUP(T_Convention[[#This Row],[NumL]],T_TraitDi[#Data],COLUMN(T_TraitDi[Colonne20]),FALSE)=0,"",TEXT(IFERROR(VLOOKUP(T_Convention[[#This Row],[NumL]],T_TraitDi[#Data],COLUMN(T_TraitDi[Colonne20]),FALSE),""),"[hh]:mm"))</f>
        <v>#N/A</v>
      </c>
      <c r="AU157" s="284" t="str">
        <f>IFERROR(VLOOKUP(T_Convention[[#This Row],[NumL]],T_TraitDi[#Data],COLUMN(T_TraitDi[Jeudi]),FALSE),"")</f>
        <v/>
      </c>
      <c r="AV157" s="284" t="e">
        <f>IF(VLOOKUP(T_Convention[[#This Row],[NumL]],T_TraitDi[#Data],COLUMN(T_TraitDi[Colonne21]),FALSE)=0,"",TEXT(IFERROR(VLOOKUP(T_Convention[[#This Row],[NumL]],T_TraitDi[#Data],COLUMN(T_TraitDi[Colonne21]),FALSE),""),"[hh]:mm"))</f>
        <v>#N/A</v>
      </c>
      <c r="AW157" s="284" t="e">
        <f>IF(VLOOKUP(T_Convention[[#This Row],[NumL]],T_TraitDi[#Data],COLUMN(T_TraitDi[Colonne22]),FALSE)=0,"",TEXT(IFERROR(VLOOKUP(T_Convention[[#This Row],[NumL]],T_TraitDi[#Data],COLUMN(T_TraitDi[Colonne22]),FALSE),""),"[hh]:mm"))</f>
        <v>#N/A</v>
      </c>
      <c r="AX157" s="284" t="str">
        <f>IFERROR(VLOOKUP(T_Convention[[#This Row],[NumL]],T_TraitDi[#Data],COLUMN(T_TraitDi[Colonne23]),FALSE),"")</f>
        <v/>
      </c>
      <c r="AY157" s="284" t="e">
        <f>IF(VLOOKUP(T_Convention[[#This Row],[NumL]],T_TraitDi[#Data],COLUMN(T_TraitDi[Colonne24]),FALSE)=0,"",TEXT(IFERROR(VLOOKUP(T_Convention[[#This Row],[NumL]],T_TraitDi[#Data],COLUMN(T_TraitDi[Colonne24]),FALSE),""),"[hh]:mm"))</f>
        <v>#N/A</v>
      </c>
      <c r="AZ157" s="284" t="e">
        <f>IF(VLOOKUP(T_Convention[[#This Row],[NumL]],T_TraitDi[#Data],COLUMN(T_TraitDi[Colonne25]),FALSE)=0,"",TEXT(IFERROR(VLOOKUP(T_Convention[[#This Row],[NumL]],T_TraitDi[#Data],COLUMN(T_TraitDi[Colonne25]),FALSE),""),"[hh]:mm"))</f>
        <v>#N/A</v>
      </c>
      <c r="BA157" s="284" t="e">
        <f>IF(VLOOKUP(T_Convention[[#This Row],[NumL]],T_TraitDi[#Data],COLUMN(T_TraitDi[Colonne26]),FALSE)=0,"",TEXT(IFERROR(VLOOKUP(T_Convention[[#This Row],[NumL]],T_TraitDi[#Data],COLUMN(T_TraitDi[Colonne26]),FALSE),""),"[hh]:mm"))</f>
        <v>#N/A</v>
      </c>
      <c r="BB157" s="284" t="str">
        <f>IFERROR(VLOOKUP(T_Convention[[#This Row],[NumL]],T_TraitDi[#Data],COLUMN(T_TraitDi[Vendredi]),FALSE),"")</f>
        <v/>
      </c>
      <c r="BC157" s="284" t="e">
        <f>IF(VLOOKUP(T_Convention[[#This Row],[NumL]],T_TraitDi[#Data],COLUMN(T_TraitDi[Colonne27]),FALSE)=0,"",TEXT(IFERROR(VLOOKUP(T_Convention[[#This Row],[NumL]],T_TraitDi[#Data],COLUMN(T_TraitDi[Colonne27]),FALSE),""),"[hh]:mm"))</f>
        <v>#N/A</v>
      </c>
      <c r="BD157" s="284" t="e">
        <f>IF(VLOOKUP(T_Convention[[#This Row],[NumL]],T_TraitDi[#Data],COLUMN(T_TraitDi[Colonne28]),FALSE)=0,"",TEXT(IFERROR(VLOOKUP(T_Convention[[#This Row],[NumL]],T_TraitDi[#Data],COLUMN(T_TraitDi[Colonne28]),FALSE),""),"[hh]:mm"))</f>
        <v>#N/A</v>
      </c>
      <c r="BE157" s="284" t="str">
        <f>IFERROR(VLOOKUP(T_Convention[[#This Row],[NumL]],T_TraitDi[#Data],COLUMN(T_TraitDi[Colonne29]),FALSE),"")</f>
        <v/>
      </c>
      <c r="BF157" s="284" t="e">
        <f>IF(VLOOKUP(T_Convention[[#This Row],[NumL]],T_TraitDi[#Data],COLUMN(T_TraitDi[Colonne30]),FALSE)=0,"",TEXT(IFERROR(VLOOKUP(T_Convention[[#This Row],[NumL]],T_TraitDi[#Data],COLUMN(T_TraitDi[Colonne30]),FALSE),""),"[hh]:mm"))</f>
        <v>#N/A</v>
      </c>
      <c r="BG157" s="284" t="e">
        <f>IF(VLOOKUP(T_Convention[[#This Row],[NumL]],T_TraitDi[#Data],COLUMN(T_TraitDi[Colonne31]),FALSE)=0,"",TEXT(IFERROR(VLOOKUP(T_Convention[[#This Row],[NumL]],T_TraitDi[#Data],COLUMN(T_TraitDi[Colonne31]),FALSE),""),"[hh]:mm"))</f>
        <v>#N/A</v>
      </c>
      <c r="BH157" s="284" t="e">
        <f>IF(VLOOKUP(T_Convention[[#This Row],[NumL]],T_TraitDi[#Data],COLUMN(T_TraitDi[Colonne32]),FALSE)=0,"",TEXT(IFERROR(VLOOKUP(T_Convention[[#This Row],[NumL]],T_TraitDi[#Data],COLUMN(T_TraitDi[Colonne32]),FALSE),""),"[hh]:mm"))</f>
        <v>#N/A</v>
      </c>
      <c r="BI157" s="284" t="str">
        <f>IFERROR(VLOOKUP(T_Convention[[#This Row],[NumL]],T_TraitDi[#Data],COLUMN(T_TraitDi[NbJTW]),FALSE),"")</f>
        <v/>
      </c>
      <c r="BJ157" s="284" t="e">
        <f>IF(VLOOKUP(T_Convention[[#This Row],[NumL]],T_TraitDi[#Data],COLUMN(T_TraitDi[NbhTW]),FALSE)=0,"",TEXT(IFERROR(VLOOKUP(T_Convention[[#This Row],[NumL]],T_TraitDi[#Data],COLUMN(T_TraitDi[NbhTW]),FALSE),""),"[hh]:mm"))</f>
        <v>#N/A</v>
      </c>
      <c r="BK157" s="286" t="e">
        <f>IF(VLOOKUP(T_Convention[[#This Row],[NumL]],T_TraitDi[#Data],COLUMN(T_TraitDi[Nbhheb]),FALSE)=0,"",TEXT(IFERROR(VLOOKUP(T_Convention[[#This Row],[NumL]],T_TraitDi[#Data],COLUMN(T_TraitDi[Nbhheb]),FALSE),""),"[hh]:mm"))</f>
        <v>#N/A</v>
      </c>
      <c r="BL157" s="287" t="str">
        <f>IFERROR(VLOOKUP(VLOOKUP(T_Convention[[#This Row],[NumL]],T_TraitDi[#Data],COLUMN(T_TraitDi[Type1]),FALSE),TypeTW,2,FALSE),"")</f>
        <v/>
      </c>
      <c r="BM157" s="288" t="str">
        <f>IFERROR(VLOOKUP(T_Convention[[#This Row],[NumL]],T_TraitDi[#Data],COLUMN(T_TraitDi[Rue1]),FALSE),"")</f>
        <v/>
      </c>
      <c r="BN157" s="289" t="str">
        <f>IFERROR(VLOOKUP(T_Convention[[#This Row],[NumL]],T_TraitDi[#Data],COLUMN(T_TraitDi[CP1]),FALSE),"")</f>
        <v/>
      </c>
      <c r="BO157" s="282" t="str">
        <f>IFERROR(VLOOKUP(T_Convention[[#This Row],[NumL]],T_TraitDi[#Data],COLUMN(T_TraitDi[VILLE1]),FALSE),"")</f>
        <v/>
      </c>
      <c r="BP157" s="290" t="str">
        <f>IFERROR(VLOOKUP(VLOOKUP(T_Convention[[#This Row],[NumL]],T_TraitDi[#Data],COLUMN(T_TraitDi[Type2]),FALSE),TypeTW,2,FALSE),"")</f>
        <v/>
      </c>
      <c r="BQ157" s="182" t="str">
        <f>IFERROR(VLOOKUP(T_Convention[[#This Row],[NumL]],T_TraitDi[#Data],COLUMN(T_TraitDi[Rue2]),FALSE),"")</f>
        <v/>
      </c>
      <c r="BR157" s="173" t="str">
        <f>IFERROR(VLOOKUP(T_Convention[[#This Row],[NumL]],T_TraitDi[#Data],COLUMN(T_TraitDi[CP2]),FALSE),"")</f>
        <v/>
      </c>
      <c r="BS157" s="173" t="str">
        <f>IFERROR(VLOOKUP(T_Convention[[#This Row],[NumL]],T_TraitDi[#Data],COLUMN(T_TraitDi[VILLE2]),FALSE),"")</f>
        <v/>
      </c>
      <c r="BT157" s="182" t="str">
        <f>IF(VLOOKUP(T_Convention[[#This Row],[NumL]],T_Equipement[#Data],COLUMN(T_Equipement[PC]),FALSE)="","Aucun équipement spécifique directement lié au télétravail",VLOOKUP(T_Convention[[#This Row],[NumL]],T_Equipement[#Data],COLUMN(T_Equipement[PC]),FALSE))</f>
        <v xml:space="preserve">20-068	</v>
      </c>
      <c r="BU157" s="166" t="str">
        <f>IFERROR(IF(VLOOKUP(T_Convention[[#This Row],[NumL]],T_TraitDi[#Data],COLUMN(T_TraitDi[Plan]),FALSE)="OK","Un planning spécifique de télétravail est annexé à la présente convention.",""),"")</f>
        <v/>
      </c>
      <c r="BV157" s="185" t="s">
        <v>3490</v>
      </c>
      <c r="BW157" s="164" t="e">
        <f>IF(VLOOKUP(T_Convention[[#This Row],[NumL]],T_suiviDi[#Data],COLUMN(T_suiviDi[Entité]),FALSE)="","",VLOOKUP(T_Convention[[#This Row],[NumL]],T_suiviDi[#Data],COLUMN(T_suiviDi[Entité]),FALSE))</f>
        <v>#N/A</v>
      </c>
      <c r="BX157" s="164" t="str">
        <f>IF(VLOOKUP(T_Convention[[#This Row],[NumL]],T_Commission[#Data],COLUMN(T_Commission[envoi confirm TW]),FALSE)="","",VLOOKUP(T_Convention[[#This Row],[NumL]],T_Commission[#Data],COLUMN(T_Commission[envoi confirm TW]),FALSE))</f>
        <v>Oui</v>
      </c>
      <c r="BY15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7" s="264">
        <f>VLOOKUP(T_Convention[[#This Row],[NumL]],T_Commission[#Data],COLUMN(T_Commission[Commentaire]),FALSE)</f>
        <v>0</v>
      </c>
      <c r="CA157" s="254" t="str">
        <f>IF(VLOOKUP(T_Convention[[#This Row],[NumL]],T_Commission[#Data],COLUMN(T_Commission[Encadrant Email]),FALSE)="","",VLOOKUP(T_Convention[[#This Row],[NumL]],T_Commission[#Data],COLUMN(T_Commission[Encadrant Email]),FALSE))</f>
        <v/>
      </c>
      <c r="CB157" s="352" t="e">
        <f>VLOOKUP(T_Convention[[#This Row],[NumL]],T_TraitDi[#Data],COLUMN(T_TraitDi[NbJTot]),FALSE)</f>
        <v>#N/A</v>
      </c>
      <c r="CC157" s="352" t="e">
        <f>VLOOKUP(T_Convention[[#This Row],[NumL]],T_TraitDi[#Data],COLUMN(T_TraitDi[Reg Ponct]),FALSE)</f>
        <v>#N/A</v>
      </c>
      <c r="CD157" s="348" t="str">
        <f>IF(T_Convention[[#This Row],[Final]]&lt;&gt;"",VLOOKUP(T_Convention[[#This Row],[NumL]],T_suiviDi[#Data],COLUMN((T_suiviDi[Statut])),FALSE),"")</f>
        <v/>
      </c>
    </row>
    <row r="158" spans="1:82" s="106" customFormat="1" ht="18.75" customHeight="1" x14ac:dyDescent="0.25">
      <c r="A158" s="160">
        <v>177</v>
      </c>
      <c r="B158" s="161" t="str">
        <f>VLOOKUP(T_Convention[[#This Row],[NumL]],T_Commission[#Data],COLUMN(T_Commission[FINAL]),FALSE)</f>
        <v/>
      </c>
      <c r="C158" s="162"/>
      <c r="D158" s="95" t="e">
        <f>IF(VLOOKUP(T_Convention[[#This Row],[NumL]],T_TraitDi[#Data],COLUMN(T_TraitDi[WebC]),FALSE)="","",VLOOKUP(T_Convention[[#This Row],[NumL]],T_TraitDi[#Data],COLUMN(T_TraitDi[WebC]),FALSE))</f>
        <v>#N/A</v>
      </c>
      <c r="E158" s="163" t="str">
        <f t="shared" si="10"/>
        <v>12 janvier 2021</v>
      </c>
      <c r="F158" s="282" t="str">
        <f>IF(T_Convention[[#This Row],[Final]]&lt;&gt;"",VLOOKUP(T_Convention[[#This Row],[NumL]],T_suiviDi[#Data],COLUMN((T_suiviDi[Civ.])),FALSE),"")</f>
        <v/>
      </c>
      <c r="G158" s="283" t="str">
        <f>IF(T_Convention[[#This Row],[Final]]&lt;&gt;"",VLOOKUP(T_Convention[[#This Row],[NumL]],T_suiviDi[#Data],COLUMN((T_suiviDi[Nom])),FALSE),"")</f>
        <v/>
      </c>
      <c r="H158" s="282" t="str">
        <f>IF(T_Convention[[#This Row],[Final]]&lt;&gt;"",VLOOKUP(T_Convention[[#This Row],[NumL]],T_suiviDi[#Data],COLUMN((T_suiviDi[Prénom])),FALSE),"")</f>
        <v/>
      </c>
      <c r="I158" s="282" t="e">
        <f>VLOOKUP(T_Convention[[#This Row],[NumL]],T_suiviDi[#Data],COLUMN((T_suiviDi[[#This Row],[Email]])),FALSE)</f>
        <v>#VALUE!</v>
      </c>
      <c r="J158" s="282" t="e">
        <f>IF(VLOOKUP(T_Convention[[#This Row],[NumL]],T_suiviDi[#Data],COLUMN(T_suiviDi[[#This Row],[Fonction]]),FALSE)="","",VLOOKUP(T_Convention[[#This Row],[NumL]],T_suiviDi[#Data],COLUMN(T_suiviDi[[#This Row],[Fonction]]),FALSE))</f>
        <v>#VALUE!</v>
      </c>
      <c r="K158" s="282" t="e">
        <f>IF(VLOOKUP(T_Convention[[#This Row],[NumL]],T_suiviDi[#Data],COLUMN(T_suiviDi[[#This Row],[Grade]]),FALSE)="","",VLOOKUP(T_Convention[[#This Row],[NumL]],T_suiviDi[#Data],COLUMN(T_suiviDi[[#This Row],[Grade]]),FALSE))</f>
        <v>#VALUE!</v>
      </c>
      <c r="L158" s="282" t="e">
        <f>IF(VLOOKUP(T_Convention[[#This Row],[NumL]],T_suiviDi[#Data],COLUMN(T_suiviDi[[#This Row],[Service ]]),FALSE)="","",VLOOKUP(T_Convention[[#This Row],[NumL]],T_suiviDi[#Data],COLUMN(T_suiviDi[[#This Row],[Service ]]),FALSE))</f>
        <v>#VALUE!</v>
      </c>
      <c r="M158" s="164" t="str">
        <f t="shared" si="11"/>
        <v>01 septembre 2021</v>
      </c>
      <c r="N158" s="164" t="str">
        <f t="shared" si="12"/>
        <v>30 novembre 2021</v>
      </c>
      <c r="O158" s="284" t="str">
        <f t="shared" si="13"/>
        <v>30 novembre 2021</v>
      </c>
      <c r="P158" s="282" t="e">
        <f>IF(VLOOKUP(T_Convention[[#This Row],[NumL]],T_TraitDi[#Data],COLUMN(T_TraitDi[M1]),FALSE)="","",VLOOKUP(T_Convention[[#This Row],[NumL]],T_TraitDi[#Data],COLUMN(T_TraitDi[M1]),FALSE))</f>
        <v>#N/A</v>
      </c>
      <c r="Q158" s="282" t="e">
        <f>IF(VLOOKUP(T_Convention[[#This Row],[NumL]],T_TraitDi[#Data],COLUMN(T_TraitDi[M2]),FALSE)="","",VLOOKUP(T_Convention[[#This Row],[NumL]],T_TraitDi[#Data],COLUMN(T_TraitDi[M2]),FALSE))</f>
        <v>#N/A</v>
      </c>
      <c r="R158" s="282" t="e">
        <f>IF(VLOOKUP(T_Convention[[#This Row],[NumL]],T_TraitDi[#Data],COLUMN(T_TraitDi[M3]),FALSE)="","",VLOOKUP(T_Convention[[#This Row],[NumL]],T_TraitDi[#Data],COLUMN(T_TraitDi[M3]),FALSE))</f>
        <v>#N/A</v>
      </c>
      <c r="S158" s="282" t="e">
        <f>IF(VLOOKUP(T_Convention[[#This Row],[NumL]],T_TraitDi[#Data],COLUMN(T_TraitDi[M4]),FALSE)="","",VLOOKUP(T_Convention[[#This Row],[NumL]],T_TraitDi[#Data],COLUMN(T_TraitDi[M4]),FALSE))</f>
        <v>#N/A</v>
      </c>
      <c r="T158" s="282" t="e">
        <f>IF(VLOOKUP(T_Convention[[#This Row],[NumL]],T_TraitDi[#Data],COLUMN(T_TraitDi[M5]),FALSE)="","",VLOOKUP(T_Convention[[#This Row],[NumL]],T_TraitDi[#Data],COLUMN(T_TraitDi[M5]),FALSE))</f>
        <v>#N/A</v>
      </c>
      <c r="U158" s="282" t="e">
        <f>IF(VLOOKUP(T_Convention[[#This Row],[NumL]],T_TraitDi[#Data],COLUMN(T_TraitDi[M6]),FALSE)="","",VLOOKUP(T_Convention[[#This Row],[NumL]],T_TraitDi[#Data],COLUMN(T_TraitDi[M6]),FALSE))</f>
        <v>#N/A</v>
      </c>
      <c r="V158" s="176" t="e">
        <f t="shared" si="14"/>
        <v>#N/A</v>
      </c>
      <c r="W158" s="284" t="str">
        <f>IFERROR(TEXT(VLOOKUP(T_Convention[[#This Row],[NumL]],T_TraitDi[#Data],COLUMN(T_TraitDi[Q2]),FALSE),"###%"),"")</f>
        <v/>
      </c>
      <c r="X158" s="97" t="e">
        <f>VLOOKUP(T_Convention[[#This Row],[NumL]],T_TraitDi[#Data],COLUMN(T_TraitDi[Reg Ponct]),FALSE)</f>
        <v>#N/A</v>
      </c>
      <c r="Y158" s="97" t="e">
        <f>VLOOKUP(T_Convention[NumL],T_TraitDi[#Data],COLUMN(T_TraitDi[Jours flottants]),FALSE)</f>
        <v>#N/A</v>
      </c>
      <c r="Z158" s="284" t="str">
        <f>IFERROR(VLOOKUP(T_Convention[[#This Row],[NumL]],T_TraitDi[#Data],COLUMN(T_TraitDi[Lundi]),FALSE),"")</f>
        <v/>
      </c>
      <c r="AA158" s="284" t="e">
        <f>IF(VLOOKUP(T_Convention[[#This Row],[NumL]],T_TraitDi[#Data],COLUMN(T_TraitDi[Colonne3]),FALSE)=0,"",TEXT(IFERROR(VLOOKUP(T_Convention[[#This Row],[NumL]],T_TraitDi[#Data],COLUMN(T_TraitDi[Colonne3]),FALSE),""),"[hh]:mm"))</f>
        <v>#N/A</v>
      </c>
      <c r="AB158" s="284" t="e">
        <f>IF(VLOOKUP(T_Convention[[#This Row],[NumL]],T_TraitDi[#Data],COLUMN(T_TraitDi[Colonne4]),FALSE)=0,"",TEXT(IFERROR(VLOOKUP(T_Convention[[#This Row],[NumL]],T_TraitDi[#Data],COLUMN(T_TraitDi[Colonne4]),FALSE),""),"[hh]:mm"))</f>
        <v>#N/A</v>
      </c>
      <c r="AC158" s="284" t="e">
        <f>IF(VLOOKUP(T_Convention[[#This Row],[NumL]],T_TraitDi[#Data],COLUMN(T_TraitDi[Colonne5]),FALSE)=0,"",TEXT(IFERROR(VLOOKUP(T_Convention[[#This Row],[NumL]],T_TraitDi[#Data],COLUMN(T_TraitDi[Colonne5]),FALSE),""),"[hh]:mm"))</f>
        <v>#N/A</v>
      </c>
      <c r="AD158" s="284" t="e">
        <f>IF(VLOOKUP(T_Convention[[#This Row],[NumL]],T_TraitDi[#Data],COLUMN(T_TraitDi[Colonne6]),FALSE)=0,"",TEXT(IFERROR(VLOOKUP(T_Convention[[#This Row],[NumL]],T_TraitDi[#Data],COLUMN(T_TraitDi[Colonne6]),FALSE),""),"[hh]:mm"))</f>
        <v>#N/A</v>
      </c>
      <c r="AE158" s="284" t="e">
        <f>IF(VLOOKUP(T_Convention[[#This Row],[NumL]],T_TraitDi[#Data],COLUMN(T_TraitDi[Colonne7]),FALSE)=0,"",TEXT(IFERROR(VLOOKUP(T_Convention[[#This Row],[NumL]],T_TraitDi[#Data],COLUMN(T_TraitDi[Colonne7]),FALSE),""),"[hh]:mm"))</f>
        <v>#N/A</v>
      </c>
      <c r="AF158" s="284" t="e">
        <f>IF(VLOOKUP(T_Convention[[#This Row],[NumL]],T_TraitDi[#Data],COLUMN(T_TraitDi[Colonne8]),FALSE)=0,"",TEXT(IFERROR(VLOOKUP(T_Convention[[#This Row],[NumL]],T_TraitDi[#Data],COLUMN(T_TraitDi[Colonne8]),FALSE),""),"[hh]:mm"))</f>
        <v>#N/A</v>
      </c>
      <c r="AG158" s="284" t="str">
        <f>IFERROR(VLOOKUP(T_Convention[[#This Row],[NumL]],T_TraitDi[#Data],COLUMN(T_TraitDi[Mardi]),FALSE),"")</f>
        <v/>
      </c>
      <c r="AH158" s="284" t="e">
        <f>IF(VLOOKUP(T_Convention[[#This Row],[NumL]],T_TraitDi[#Data],COLUMN(T_TraitDi[Colonne1]),FALSE)=0,"",TEXT(IFERROR(VLOOKUP(T_Convention[[#This Row],[NumL]],T_TraitDi[#Data],COLUMN(T_TraitDi[Colonne1]),FALSE),""),"[hh]:mm"))</f>
        <v>#N/A</v>
      </c>
      <c r="AI158" s="284" t="e">
        <f>IF(VLOOKUP(T_Convention[[#This Row],[NumL]],T_TraitDi[#Data],COLUMN(T_TraitDi[Colonne9]),FALSE)=0,"",TEXT(IFERROR(VLOOKUP(T_Convention[[#This Row],[NumL]],T_TraitDi[#Data],COLUMN(T_TraitDi[Colonne9]),FALSE),""),"[hh]:mm"))</f>
        <v>#N/A</v>
      </c>
      <c r="AJ158" s="284" t="str">
        <f>IFERROR(VLOOKUP(T_Convention[[#This Row],[NumL]],T_TraitDi[#Data],COLUMN(T_TraitDi[Colonne10]),FALSE),"")</f>
        <v/>
      </c>
      <c r="AK158" s="284" t="e">
        <f>IF(VLOOKUP(T_Convention[[#This Row],[NumL]],T_TraitDi[#Data],COLUMN(T_TraitDi[Colonne11]),FALSE)=0,"",TEXT(IFERROR(VLOOKUP(T_Convention[[#This Row],[NumL]],T_TraitDi[#Data],COLUMN(T_TraitDi[Colonne11]),FALSE),""),"[hh]:mm"))</f>
        <v>#N/A</v>
      </c>
      <c r="AL158" s="284" t="e">
        <f>IF(VLOOKUP(T_Convention[[#This Row],[NumL]],T_TraitDi[#Data],COLUMN(T_TraitDi[Colonne12]),FALSE)=0,"",TEXT(IFERROR(VLOOKUP(T_Convention[[#This Row],[NumL]],T_TraitDi[#Data],COLUMN(T_TraitDi[Colonne12]),FALSE),""),"[hh]:mm"))</f>
        <v>#N/A</v>
      </c>
      <c r="AM158" s="284" t="e">
        <f>IF(VLOOKUP(T_Convention[[#This Row],[NumL]],T_TraitDi[#Data],COLUMN(T_TraitDi[Colonne14]),FALSE)=0,"",TEXT(IFERROR(VLOOKUP(T_Convention[[#This Row],[NumL]],T_TraitDi[#Data],COLUMN(T_TraitDi[Colonne14]),FALSE),""),"[hh]:mm"))</f>
        <v>#N/A</v>
      </c>
      <c r="AN158" s="284" t="str">
        <f>IFERROR(VLOOKUP(T_Convention[[#This Row],[NumL]],T_TraitDi[#Data],COLUMN(T_TraitDi[Mercredi]),FALSE),"")</f>
        <v/>
      </c>
      <c r="AO158" s="284" t="e">
        <f>IF(VLOOKUP(T_Convention[[#This Row],[NumL]],T_TraitDi[#Data],COLUMN(T_TraitDi[Colonne15]),FALSE)=0,"",TEXT(IFERROR(VLOOKUP(T_Convention[[#This Row],[NumL]],T_TraitDi[#Data],COLUMN(T_TraitDi[Colonne15]),FALSE),""),"[hh]:mm"))</f>
        <v>#N/A</v>
      </c>
      <c r="AP158" s="284" t="e">
        <f>IF(VLOOKUP(T_Convention[[#This Row],[NumL]],T_TraitDi[#Data],COLUMN(T_TraitDi[Colonne16]),FALSE)=0,"",TEXT(IFERROR(VLOOKUP(T_Convention[[#This Row],[NumL]],T_TraitDi[#Data],COLUMN(T_TraitDi[Colonne16]),FALSE),""),"[hh]:mm"))</f>
        <v>#N/A</v>
      </c>
      <c r="AQ158" s="284" t="str">
        <f>IFERROR(VLOOKUP(T_Convention[[#This Row],[NumL]],T_TraitDi[#Data],COLUMN(T_TraitDi[Colonne17]),FALSE),"")</f>
        <v/>
      </c>
      <c r="AR158" s="284" t="e">
        <f>IF(VLOOKUP(T_Convention[[#This Row],[NumL]],T_TraitDi[#Data],COLUMN(T_TraitDi[Colonne18]),FALSE)=0,"",TEXT(IFERROR(VLOOKUP(T_Convention[[#This Row],[NumL]],T_TraitDi[#Data],COLUMN(T_TraitDi[Colonne18]),FALSE),""),"[hh]:mm"))</f>
        <v>#N/A</v>
      </c>
      <c r="AS158" s="284" t="e">
        <f>IF(VLOOKUP(T_Convention[[#This Row],[NumL]],T_TraitDi[#Data],COLUMN(T_TraitDi[Colonne19]),FALSE)=0,"",TEXT(IFERROR(VLOOKUP(T_Convention[[#This Row],[NumL]],T_TraitDi[#Data],COLUMN(T_TraitDi[Colonne19]),FALSE),""),"[hh]:mm"))</f>
        <v>#N/A</v>
      </c>
      <c r="AT158" s="284" t="e">
        <f>IF(VLOOKUP(T_Convention[[#This Row],[NumL]],T_TraitDi[#Data],COLUMN(T_TraitDi[Colonne20]),FALSE)=0,"",TEXT(IFERROR(VLOOKUP(T_Convention[[#This Row],[NumL]],T_TraitDi[#Data],COLUMN(T_TraitDi[Colonne20]),FALSE),""),"[hh]:mm"))</f>
        <v>#N/A</v>
      </c>
      <c r="AU158" s="284" t="str">
        <f>IFERROR(VLOOKUP(T_Convention[[#This Row],[NumL]],T_TraitDi[#Data],COLUMN(T_TraitDi[Jeudi]),FALSE),"")</f>
        <v/>
      </c>
      <c r="AV158" s="284" t="e">
        <f>IF(VLOOKUP(T_Convention[[#This Row],[NumL]],T_TraitDi[#Data],COLUMN(T_TraitDi[Colonne21]),FALSE)=0,"",TEXT(IFERROR(VLOOKUP(T_Convention[[#This Row],[NumL]],T_TraitDi[#Data],COLUMN(T_TraitDi[Colonne21]),FALSE),""),"[hh]:mm"))</f>
        <v>#N/A</v>
      </c>
      <c r="AW158" s="284" t="e">
        <f>IF(VLOOKUP(T_Convention[[#This Row],[NumL]],T_TraitDi[#Data],COLUMN(T_TraitDi[Colonne22]),FALSE)=0,"",TEXT(IFERROR(VLOOKUP(T_Convention[[#This Row],[NumL]],T_TraitDi[#Data],COLUMN(T_TraitDi[Colonne22]),FALSE),""),"[hh]:mm"))</f>
        <v>#N/A</v>
      </c>
      <c r="AX158" s="284" t="str">
        <f>IFERROR(VLOOKUP(T_Convention[[#This Row],[NumL]],T_TraitDi[#Data],COLUMN(T_TraitDi[Colonne23]),FALSE),"")</f>
        <v/>
      </c>
      <c r="AY158" s="284" t="e">
        <f>IF(VLOOKUP(T_Convention[[#This Row],[NumL]],T_TraitDi[#Data],COLUMN(T_TraitDi[Colonne24]),FALSE)=0,"",TEXT(IFERROR(VLOOKUP(T_Convention[[#This Row],[NumL]],T_TraitDi[#Data],COLUMN(T_TraitDi[Colonne24]),FALSE),""),"[hh]:mm"))</f>
        <v>#N/A</v>
      </c>
      <c r="AZ158" s="284" t="e">
        <f>IF(VLOOKUP(T_Convention[[#This Row],[NumL]],T_TraitDi[#Data],COLUMN(T_TraitDi[Colonne25]),FALSE)=0,"",TEXT(IFERROR(VLOOKUP(T_Convention[[#This Row],[NumL]],T_TraitDi[#Data],COLUMN(T_TraitDi[Colonne25]),FALSE),""),"[hh]:mm"))</f>
        <v>#N/A</v>
      </c>
      <c r="BA158" s="284" t="e">
        <f>IF(VLOOKUP(T_Convention[[#This Row],[NumL]],T_TraitDi[#Data],COLUMN(T_TraitDi[Colonne26]),FALSE)=0,"",TEXT(IFERROR(VLOOKUP(T_Convention[[#This Row],[NumL]],T_TraitDi[#Data],COLUMN(T_TraitDi[Colonne26]),FALSE),""),"[hh]:mm"))</f>
        <v>#N/A</v>
      </c>
      <c r="BB158" s="284" t="str">
        <f>IFERROR(VLOOKUP(T_Convention[[#This Row],[NumL]],T_TraitDi[#Data],COLUMN(T_TraitDi[Vendredi]),FALSE),"")</f>
        <v/>
      </c>
      <c r="BC158" s="284" t="e">
        <f>IF(VLOOKUP(T_Convention[[#This Row],[NumL]],T_TraitDi[#Data],COLUMN(T_TraitDi[Colonne27]),FALSE)=0,"",TEXT(IFERROR(VLOOKUP(T_Convention[[#This Row],[NumL]],T_TraitDi[#Data],COLUMN(T_TraitDi[Colonne27]),FALSE),""),"[hh]:mm"))</f>
        <v>#N/A</v>
      </c>
      <c r="BD158" s="284" t="e">
        <f>IF(VLOOKUP(T_Convention[[#This Row],[NumL]],T_TraitDi[#Data],COLUMN(T_TraitDi[Colonne28]),FALSE)=0,"",TEXT(IFERROR(VLOOKUP(T_Convention[[#This Row],[NumL]],T_TraitDi[#Data],COLUMN(T_TraitDi[Colonne28]),FALSE),""),"[hh]:mm"))</f>
        <v>#N/A</v>
      </c>
      <c r="BE158" s="284" t="str">
        <f>IFERROR(VLOOKUP(T_Convention[[#This Row],[NumL]],T_TraitDi[#Data],COLUMN(T_TraitDi[Colonne29]),FALSE),"")</f>
        <v/>
      </c>
      <c r="BF158" s="284" t="e">
        <f>IF(VLOOKUP(T_Convention[[#This Row],[NumL]],T_TraitDi[#Data],COLUMN(T_TraitDi[Colonne30]),FALSE)=0,"",TEXT(IFERROR(VLOOKUP(T_Convention[[#This Row],[NumL]],T_TraitDi[#Data],COLUMN(T_TraitDi[Colonne30]),FALSE),""),"[hh]:mm"))</f>
        <v>#N/A</v>
      </c>
      <c r="BG158" s="284" t="e">
        <f>IF(VLOOKUP(T_Convention[[#This Row],[NumL]],T_TraitDi[#Data],COLUMN(T_TraitDi[Colonne31]),FALSE)=0,"",TEXT(IFERROR(VLOOKUP(T_Convention[[#This Row],[NumL]],T_TraitDi[#Data],COLUMN(T_TraitDi[Colonne31]),FALSE),""),"[hh]:mm"))</f>
        <v>#N/A</v>
      </c>
      <c r="BH158" s="284" t="e">
        <f>IF(VLOOKUP(T_Convention[[#This Row],[NumL]],T_TraitDi[#Data],COLUMN(T_TraitDi[Colonne32]),FALSE)=0,"",TEXT(IFERROR(VLOOKUP(T_Convention[[#This Row],[NumL]],T_TraitDi[#Data],COLUMN(T_TraitDi[Colonne32]),FALSE),""),"[hh]:mm"))</f>
        <v>#N/A</v>
      </c>
      <c r="BI158" s="284" t="str">
        <f>IFERROR(VLOOKUP(T_Convention[[#This Row],[NumL]],T_TraitDi[#Data],COLUMN(T_TraitDi[NbJTW]),FALSE),"")</f>
        <v/>
      </c>
      <c r="BJ158" s="284" t="e">
        <f>IF(VLOOKUP(T_Convention[[#This Row],[NumL]],T_TraitDi[#Data],COLUMN(T_TraitDi[NbhTW]),FALSE)=0,"",TEXT(IFERROR(VLOOKUP(T_Convention[[#This Row],[NumL]],T_TraitDi[#Data],COLUMN(T_TraitDi[NbhTW]),FALSE),""),"[hh]:mm"))</f>
        <v>#N/A</v>
      </c>
      <c r="BK158" s="286" t="e">
        <f>IF(VLOOKUP(T_Convention[[#This Row],[NumL]],T_TraitDi[#Data],COLUMN(T_TraitDi[Nbhheb]),FALSE)=0,"",TEXT(IFERROR(VLOOKUP(T_Convention[[#This Row],[NumL]],T_TraitDi[#Data],COLUMN(T_TraitDi[Nbhheb]),FALSE),""),"[hh]:mm"))</f>
        <v>#N/A</v>
      </c>
      <c r="BL158" s="287" t="str">
        <f>IFERROR(VLOOKUP(VLOOKUP(T_Convention[[#This Row],[NumL]],T_TraitDi[#Data],COLUMN(T_TraitDi[Type1]),FALSE),TypeTW,2,FALSE),"")</f>
        <v/>
      </c>
      <c r="BM158" s="288" t="str">
        <f>IFERROR(VLOOKUP(T_Convention[[#This Row],[NumL]],T_TraitDi[#Data],COLUMN(T_TraitDi[Rue1]),FALSE),"")</f>
        <v/>
      </c>
      <c r="BN158" s="289" t="str">
        <f>IFERROR(VLOOKUP(T_Convention[[#This Row],[NumL]],T_TraitDi[#Data],COLUMN(T_TraitDi[CP1]),FALSE),"")</f>
        <v/>
      </c>
      <c r="BO158" s="282" t="str">
        <f>IFERROR(VLOOKUP(T_Convention[[#This Row],[NumL]],T_TraitDi[#Data],COLUMN(T_TraitDi[VILLE1]),FALSE),"")</f>
        <v/>
      </c>
      <c r="BP158" s="290" t="str">
        <f>IFERROR(VLOOKUP(VLOOKUP(T_Convention[[#This Row],[NumL]],T_TraitDi[#Data],COLUMN(T_TraitDi[Type2]),FALSE),TypeTW,2,FALSE),"")</f>
        <v/>
      </c>
      <c r="BQ158" s="182" t="str">
        <f>IFERROR(VLOOKUP(T_Convention[[#This Row],[NumL]],T_TraitDi[#Data],COLUMN(T_TraitDi[Rue2]),FALSE),"")</f>
        <v/>
      </c>
      <c r="BR158" s="173" t="str">
        <f>IFERROR(VLOOKUP(T_Convention[[#This Row],[NumL]],T_TraitDi[#Data],COLUMN(T_TraitDi[CP2]),FALSE),"")</f>
        <v/>
      </c>
      <c r="BS158" s="173" t="str">
        <f>IFERROR(VLOOKUP(T_Convention[[#This Row],[NumL]],T_TraitDi[#Data],COLUMN(T_TraitDi[VILLE2]),FALSE),"")</f>
        <v/>
      </c>
      <c r="BT158" s="182" t="str">
        <f>IF(VLOOKUP(T_Convention[[#This Row],[NumL]],T_Equipement[#Data],COLUMN(T_Equipement[PC]),FALSE)="","Aucun équipement spécifique directement lié au télétravail",VLOOKUP(T_Convention[[#This Row],[NumL]],T_Equipement[#Data],COLUMN(T_Equipement[PC]),FALSE))</f>
        <v xml:space="preserve">20-134	</v>
      </c>
      <c r="BU158" s="166" t="str">
        <f>IFERROR(IF(VLOOKUP(T_Convention[[#This Row],[NumL]],T_TraitDi[#Data],COLUMN(T_TraitDi[Plan]),FALSE)="OK","Un planning spécifique de télétravail est annexé à la présente convention.",""),"")</f>
        <v/>
      </c>
      <c r="BV158" s="185" t="s">
        <v>3517</v>
      </c>
      <c r="BW158" s="164" t="e">
        <f>IF(VLOOKUP(T_Convention[[#This Row],[NumL]],T_suiviDi[#Data],COLUMN(T_suiviDi[Entité]),FALSE)="","",VLOOKUP(T_Convention[[#This Row],[NumL]],T_suiviDi[#Data],COLUMN(T_suiviDi[Entité]),FALSE))</f>
        <v>#N/A</v>
      </c>
      <c r="BX158" s="164" t="str">
        <f>IF(VLOOKUP(T_Convention[[#This Row],[NumL]],T_Commission[#Data],COLUMN(T_Commission[envoi confirm TW]),FALSE)="","",VLOOKUP(T_Convention[[#This Row],[NumL]],T_Commission[#Data],COLUMN(T_Commission[envoi confirm TW]),FALSE))</f>
        <v>Oui</v>
      </c>
      <c r="BY15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8" s="264">
        <f>VLOOKUP(T_Convention[[#This Row],[NumL]],T_Commission[#Data],COLUMN(T_Commission[Commentaire]),FALSE)</f>
        <v>0</v>
      </c>
      <c r="CA158" s="254" t="str">
        <f>IF(VLOOKUP(T_Convention[[#This Row],[NumL]],T_Commission[#Data],COLUMN(T_Commission[Encadrant Email]),FALSE)="","",VLOOKUP(T_Convention[[#This Row],[NumL]],T_Commission[#Data],COLUMN(T_Commission[Encadrant Email]),FALSE))</f>
        <v/>
      </c>
      <c r="CB158" s="352" t="e">
        <f>VLOOKUP(T_Convention[[#This Row],[NumL]],T_TraitDi[#Data],COLUMN(T_TraitDi[NbJTot]),FALSE)</f>
        <v>#N/A</v>
      </c>
      <c r="CC158" s="352" t="e">
        <f>VLOOKUP(T_Convention[[#This Row],[NumL]],T_TraitDi[#Data],COLUMN(T_TraitDi[Reg Ponct]),FALSE)</f>
        <v>#N/A</v>
      </c>
      <c r="CD158" s="348" t="str">
        <f>IF(T_Convention[[#This Row],[Final]]&lt;&gt;"",VLOOKUP(T_Convention[[#This Row],[NumL]],T_suiviDi[#Data],COLUMN((T_suiviDi[Statut])),FALSE),"")</f>
        <v/>
      </c>
    </row>
    <row r="159" spans="1:82" s="106" customFormat="1" ht="18.75" customHeight="1" x14ac:dyDescent="0.25">
      <c r="A159" s="160">
        <v>82</v>
      </c>
      <c r="B159" s="161" t="str">
        <f>VLOOKUP(T_Convention[[#This Row],[NumL]],T_Commission[#Data],COLUMN(T_Commission[FINAL]),FALSE)</f>
        <v/>
      </c>
      <c r="C159" s="162"/>
      <c r="D159" s="95" t="e">
        <f>IF(VLOOKUP(T_Convention[[#This Row],[NumL]],T_TraitDi[#Data],COLUMN(T_TraitDi[WebC]),FALSE)="","",VLOOKUP(T_Convention[[#This Row],[NumL]],T_TraitDi[#Data],COLUMN(T_TraitDi[WebC]),FALSE))</f>
        <v>#N/A</v>
      </c>
      <c r="E159" s="163" t="str">
        <f t="shared" si="10"/>
        <v>12 janvier 2021</v>
      </c>
      <c r="F159" s="282" t="str">
        <f>IF(T_Convention[[#This Row],[Final]]&lt;&gt;"",VLOOKUP(T_Convention[[#This Row],[NumL]],T_suiviDi[#Data],COLUMN((T_suiviDi[Civ.])),FALSE),"")</f>
        <v/>
      </c>
      <c r="G159" s="283" t="str">
        <f>IF(T_Convention[[#This Row],[Final]]&lt;&gt;"",VLOOKUP(T_Convention[[#This Row],[NumL]],T_suiviDi[#Data],COLUMN((T_suiviDi[Nom])),FALSE),"")</f>
        <v/>
      </c>
      <c r="H159" s="282" t="str">
        <f>IF(T_Convention[[#This Row],[Final]]&lt;&gt;"",VLOOKUP(T_Convention[[#This Row],[NumL]],T_suiviDi[#Data],COLUMN((T_suiviDi[Prénom])),FALSE),"")</f>
        <v/>
      </c>
      <c r="I159" s="282" t="e">
        <f>VLOOKUP(T_Convention[[#This Row],[NumL]],T_suiviDi[#Data],COLUMN((T_suiviDi[[#This Row],[Email]])),FALSE)</f>
        <v>#VALUE!</v>
      </c>
      <c r="J159" s="282" t="e">
        <f>IF(VLOOKUP(T_Convention[[#This Row],[NumL]],T_suiviDi[#Data],COLUMN(T_suiviDi[[#This Row],[Fonction]]),FALSE)="","",VLOOKUP(T_Convention[[#This Row],[NumL]],T_suiviDi[#Data],COLUMN(T_suiviDi[[#This Row],[Fonction]]),FALSE))</f>
        <v>#VALUE!</v>
      </c>
      <c r="K159" s="282" t="e">
        <f>IF(VLOOKUP(T_Convention[[#This Row],[NumL]],T_suiviDi[#Data],COLUMN(T_suiviDi[[#This Row],[Grade]]),FALSE)="","",VLOOKUP(T_Convention[[#This Row],[NumL]],T_suiviDi[#Data],COLUMN(T_suiviDi[[#This Row],[Grade]]),FALSE))</f>
        <v>#VALUE!</v>
      </c>
      <c r="L159" s="282" t="e">
        <f>IF(VLOOKUP(T_Convention[[#This Row],[NumL]],T_suiviDi[#Data],COLUMN(T_suiviDi[[#This Row],[Service ]]),FALSE)="","",VLOOKUP(T_Convention[[#This Row],[NumL]],T_suiviDi[#Data],COLUMN(T_suiviDi[[#This Row],[Service ]]),FALSE))</f>
        <v>#VALUE!</v>
      </c>
      <c r="M159" s="164" t="str">
        <f t="shared" si="11"/>
        <v>01 septembre 2021</v>
      </c>
      <c r="N159" s="164" t="str">
        <f t="shared" si="12"/>
        <v>30 novembre 2021</v>
      </c>
      <c r="O159" s="284" t="str">
        <f t="shared" si="13"/>
        <v>30 novembre 2021</v>
      </c>
      <c r="P159" s="282" t="e">
        <f>IF(VLOOKUP(T_Convention[[#This Row],[NumL]],T_TraitDi[#Data],COLUMN(T_TraitDi[M1]),FALSE)="","",VLOOKUP(T_Convention[[#This Row],[NumL]],T_TraitDi[#Data],COLUMN(T_TraitDi[M1]),FALSE))</f>
        <v>#N/A</v>
      </c>
      <c r="Q159" s="282" t="e">
        <f>IF(VLOOKUP(T_Convention[[#This Row],[NumL]],T_TraitDi[#Data],COLUMN(T_TraitDi[M2]),FALSE)="","",VLOOKUP(T_Convention[[#This Row],[NumL]],T_TraitDi[#Data],COLUMN(T_TraitDi[M2]),FALSE))</f>
        <v>#N/A</v>
      </c>
      <c r="R159" s="282" t="e">
        <f>IF(VLOOKUP(T_Convention[[#This Row],[NumL]],T_TraitDi[#Data],COLUMN(T_TraitDi[M3]),FALSE)="","",VLOOKUP(T_Convention[[#This Row],[NumL]],T_TraitDi[#Data],COLUMN(T_TraitDi[M3]),FALSE))</f>
        <v>#N/A</v>
      </c>
      <c r="S159" s="282" t="e">
        <f>IF(VLOOKUP(T_Convention[[#This Row],[NumL]],T_TraitDi[#Data],COLUMN(T_TraitDi[M4]),FALSE)="","",VLOOKUP(T_Convention[[#This Row],[NumL]],T_TraitDi[#Data],COLUMN(T_TraitDi[M4]),FALSE))</f>
        <v>#N/A</v>
      </c>
      <c r="T159" s="282" t="e">
        <f>IF(VLOOKUP(T_Convention[[#This Row],[NumL]],T_TraitDi[#Data],COLUMN(T_TraitDi[M5]),FALSE)="","",VLOOKUP(T_Convention[[#This Row],[NumL]],T_TraitDi[#Data],COLUMN(T_TraitDi[M5]),FALSE))</f>
        <v>#N/A</v>
      </c>
      <c r="U159" s="282" t="e">
        <f>IF(VLOOKUP(T_Convention[[#This Row],[NumL]],T_TraitDi[#Data],COLUMN(T_TraitDi[M6]),FALSE)="","",VLOOKUP(T_Convention[[#This Row],[NumL]],T_TraitDi[#Data],COLUMN(T_TraitDi[M6]),FALSE))</f>
        <v>#N/A</v>
      </c>
      <c r="V159" s="176" t="e">
        <f t="shared" si="14"/>
        <v>#N/A</v>
      </c>
      <c r="W159" s="284" t="str">
        <f>IFERROR(TEXT(VLOOKUP(T_Convention[[#This Row],[NumL]],T_TraitDi[#Data],COLUMN(T_TraitDi[Q2]),FALSE),"###%"),"")</f>
        <v/>
      </c>
      <c r="X159" s="97" t="e">
        <f>VLOOKUP(T_Convention[[#This Row],[NumL]],T_TraitDi[#Data],COLUMN(T_TraitDi[Reg Ponct]),FALSE)</f>
        <v>#N/A</v>
      </c>
      <c r="Y159" s="97" t="e">
        <f>VLOOKUP(T_Convention[NumL],T_TraitDi[#Data],COLUMN(T_TraitDi[Jours flottants]),FALSE)</f>
        <v>#N/A</v>
      </c>
      <c r="Z159" s="284" t="str">
        <f>IFERROR(VLOOKUP(T_Convention[[#This Row],[NumL]],T_TraitDi[#Data],COLUMN(T_TraitDi[Lundi]),FALSE),"")</f>
        <v/>
      </c>
      <c r="AA159" s="284" t="e">
        <f>IF(VLOOKUP(T_Convention[[#This Row],[NumL]],T_TraitDi[#Data],COLUMN(T_TraitDi[Colonne3]),FALSE)=0,"",TEXT(IFERROR(VLOOKUP(T_Convention[[#This Row],[NumL]],T_TraitDi[#Data],COLUMN(T_TraitDi[Colonne3]),FALSE),""),"[hh]:mm"))</f>
        <v>#N/A</v>
      </c>
      <c r="AB159" s="284" t="e">
        <f>IF(VLOOKUP(T_Convention[[#This Row],[NumL]],T_TraitDi[#Data],COLUMN(T_TraitDi[Colonne4]),FALSE)=0,"",TEXT(IFERROR(VLOOKUP(T_Convention[[#This Row],[NumL]],T_TraitDi[#Data],COLUMN(T_TraitDi[Colonne4]),FALSE),""),"[hh]:mm"))</f>
        <v>#N/A</v>
      </c>
      <c r="AC159" s="284" t="e">
        <f>IF(VLOOKUP(T_Convention[[#This Row],[NumL]],T_TraitDi[#Data],COLUMN(T_TraitDi[Colonne5]),FALSE)=0,"",TEXT(IFERROR(VLOOKUP(T_Convention[[#This Row],[NumL]],T_TraitDi[#Data],COLUMN(T_TraitDi[Colonne5]),FALSE),""),"[hh]:mm"))</f>
        <v>#N/A</v>
      </c>
      <c r="AD159" s="284" t="e">
        <f>IF(VLOOKUP(T_Convention[[#This Row],[NumL]],T_TraitDi[#Data],COLUMN(T_TraitDi[Colonne6]),FALSE)=0,"",TEXT(IFERROR(VLOOKUP(T_Convention[[#This Row],[NumL]],T_TraitDi[#Data],COLUMN(T_TraitDi[Colonne6]),FALSE),""),"[hh]:mm"))</f>
        <v>#N/A</v>
      </c>
      <c r="AE159" s="284" t="e">
        <f>IF(VLOOKUP(T_Convention[[#This Row],[NumL]],T_TraitDi[#Data],COLUMN(T_TraitDi[Colonne7]),FALSE)=0,"",TEXT(IFERROR(VLOOKUP(T_Convention[[#This Row],[NumL]],T_TraitDi[#Data],COLUMN(T_TraitDi[Colonne7]),FALSE),""),"[hh]:mm"))</f>
        <v>#N/A</v>
      </c>
      <c r="AF159" s="284" t="e">
        <f>IF(VLOOKUP(T_Convention[[#This Row],[NumL]],T_TraitDi[#Data],COLUMN(T_TraitDi[Colonne8]),FALSE)=0,"",TEXT(IFERROR(VLOOKUP(T_Convention[[#This Row],[NumL]],T_TraitDi[#Data],COLUMN(T_TraitDi[Colonne8]),FALSE),""),"[hh]:mm"))</f>
        <v>#N/A</v>
      </c>
      <c r="AG159" s="284" t="str">
        <f>IFERROR(VLOOKUP(T_Convention[[#This Row],[NumL]],T_TraitDi[#Data],COLUMN(T_TraitDi[Mardi]),FALSE),"")</f>
        <v/>
      </c>
      <c r="AH159" s="284" t="e">
        <f>IF(VLOOKUP(T_Convention[[#This Row],[NumL]],T_TraitDi[#Data],COLUMN(T_TraitDi[Colonne1]),FALSE)=0,"",TEXT(IFERROR(VLOOKUP(T_Convention[[#This Row],[NumL]],T_TraitDi[#Data],COLUMN(T_TraitDi[Colonne1]),FALSE),""),"[hh]:mm"))</f>
        <v>#N/A</v>
      </c>
      <c r="AI159" s="284" t="e">
        <f>IF(VLOOKUP(T_Convention[[#This Row],[NumL]],T_TraitDi[#Data],COLUMN(T_TraitDi[Colonne9]),FALSE)=0,"",TEXT(IFERROR(VLOOKUP(T_Convention[[#This Row],[NumL]],T_TraitDi[#Data],COLUMN(T_TraitDi[Colonne9]),FALSE),""),"[hh]:mm"))</f>
        <v>#N/A</v>
      </c>
      <c r="AJ159" s="284" t="str">
        <f>IFERROR(VLOOKUP(T_Convention[[#This Row],[NumL]],T_TraitDi[#Data],COLUMN(T_TraitDi[Colonne10]),FALSE),"")</f>
        <v/>
      </c>
      <c r="AK159" s="284" t="e">
        <f>IF(VLOOKUP(T_Convention[[#This Row],[NumL]],T_TraitDi[#Data],COLUMN(T_TraitDi[Colonne11]),FALSE)=0,"",TEXT(IFERROR(VLOOKUP(T_Convention[[#This Row],[NumL]],T_TraitDi[#Data],COLUMN(T_TraitDi[Colonne11]),FALSE),""),"[hh]:mm"))</f>
        <v>#N/A</v>
      </c>
      <c r="AL159" s="284" t="e">
        <f>IF(VLOOKUP(T_Convention[[#This Row],[NumL]],T_TraitDi[#Data],COLUMN(T_TraitDi[Colonne12]),FALSE)=0,"",TEXT(IFERROR(VLOOKUP(T_Convention[[#This Row],[NumL]],T_TraitDi[#Data],COLUMN(T_TraitDi[Colonne12]),FALSE),""),"[hh]:mm"))</f>
        <v>#N/A</v>
      </c>
      <c r="AM159" s="284" t="e">
        <f>IF(VLOOKUP(T_Convention[[#This Row],[NumL]],T_TraitDi[#Data],COLUMN(T_TraitDi[Colonne14]),FALSE)=0,"",TEXT(IFERROR(VLOOKUP(T_Convention[[#This Row],[NumL]],T_TraitDi[#Data],COLUMN(T_TraitDi[Colonne14]),FALSE),""),"[hh]:mm"))</f>
        <v>#N/A</v>
      </c>
      <c r="AN159" s="284" t="str">
        <f>IFERROR(VLOOKUP(T_Convention[[#This Row],[NumL]],T_TraitDi[#Data],COLUMN(T_TraitDi[Mercredi]),FALSE),"")</f>
        <v/>
      </c>
      <c r="AO159" s="284" t="e">
        <f>IF(VLOOKUP(T_Convention[[#This Row],[NumL]],T_TraitDi[#Data],COLUMN(T_TraitDi[Colonne15]),FALSE)=0,"",TEXT(IFERROR(VLOOKUP(T_Convention[[#This Row],[NumL]],T_TraitDi[#Data],COLUMN(T_TraitDi[Colonne15]),FALSE),""),"[hh]:mm"))</f>
        <v>#N/A</v>
      </c>
      <c r="AP159" s="284" t="e">
        <f>IF(VLOOKUP(T_Convention[[#This Row],[NumL]],T_TraitDi[#Data],COLUMN(T_TraitDi[Colonne16]),FALSE)=0,"",TEXT(IFERROR(VLOOKUP(T_Convention[[#This Row],[NumL]],T_TraitDi[#Data],COLUMN(T_TraitDi[Colonne16]),FALSE),""),"[hh]:mm"))</f>
        <v>#N/A</v>
      </c>
      <c r="AQ159" s="284" t="str">
        <f>IFERROR(VLOOKUP(T_Convention[[#This Row],[NumL]],T_TraitDi[#Data],COLUMN(T_TraitDi[Colonne17]),FALSE),"")</f>
        <v/>
      </c>
      <c r="AR159" s="284" t="e">
        <f>IF(VLOOKUP(T_Convention[[#This Row],[NumL]],T_TraitDi[#Data],COLUMN(T_TraitDi[Colonne18]),FALSE)=0,"",TEXT(IFERROR(VLOOKUP(T_Convention[[#This Row],[NumL]],T_TraitDi[#Data],COLUMN(T_TraitDi[Colonne18]),FALSE),""),"[hh]:mm"))</f>
        <v>#N/A</v>
      </c>
      <c r="AS159" s="284" t="e">
        <f>IF(VLOOKUP(T_Convention[[#This Row],[NumL]],T_TraitDi[#Data],COLUMN(T_TraitDi[Colonne19]),FALSE)=0,"",TEXT(IFERROR(VLOOKUP(T_Convention[[#This Row],[NumL]],T_TraitDi[#Data],COLUMN(T_TraitDi[Colonne19]),FALSE),""),"[hh]:mm"))</f>
        <v>#N/A</v>
      </c>
      <c r="AT159" s="284" t="e">
        <f>IF(VLOOKUP(T_Convention[[#This Row],[NumL]],T_TraitDi[#Data],COLUMN(T_TraitDi[Colonne20]),FALSE)=0,"",TEXT(IFERROR(VLOOKUP(T_Convention[[#This Row],[NumL]],T_TraitDi[#Data],COLUMN(T_TraitDi[Colonne20]),FALSE),""),"[hh]:mm"))</f>
        <v>#N/A</v>
      </c>
      <c r="AU159" s="284" t="str">
        <f>IFERROR(VLOOKUP(T_Convention[[#This Row],[NumL]],T_TraitDi[#Data],COLUMN(T_TraitDi[Jeudi]),FALSE),"")</f>
        <v/>
      </c>
      <c r="AV159" s="284" t="e">
        <f>IF(VLOOKUP(T_Convention[[#This Row],[NumL]],T_TraitDi[#Data],COLUMN(T_TraitDi[Colonne21]),FALSE)=0,"",TEXT(IFERROR(VLOOKUP(T_Convention[[#This Row],[NumL]],T_TraitDi[#Data],COLUMN(T_TraitDi[Colonne21]),FALSE),""),"[hh]:mm"))</f>
        <v>#N/A</v>
      </c>
      <c r="AW159" s="284" t="e">
        <f>IF(VLOOKUP(T_Convention[[#This Row],[NumL]],T_TraitDi[#Data],COLUMN(T_TraitDi[Colonne22]),FALSE)=0,"",TEXT(IFERROR(VLOOKUP(T_Convention[[#This Row],[NumL]],T_TraitDi[#Data],COLUMN(T_TraitDi[Colonne22]),FALSE),""),"[hh]:mm"))</f>
        <v>#N/A</v>
      </c>
      <c r="AX159" s="284" t="str">
        <f>IFERROR(VLOOKUP(T_Convention[[#This Row],[NumL]],T_TraitDi[#Data],COLUMN(T_TraitDi[Colonne23]),FALSE),"")</f>
        <v/>
      </c>
      <c r="AY159" s="284" t="e">
        <f>IF(VLOOKUP(T_Convention[[#This Row],[NumL]],T_TraitDi[#Data],COLUMN(T_TraitDi[Colonne24]),FALSE)=0,"",TEXT(IFERROR(VLOOKUP(T_Convention[[#This Row],[NumL]],T_TraitDi[#Data],COLUMN(T_TraitDi[Colonne24]),FALSE),""),"[hh]:mm"))</f>
        <v>#N/A</v>
      </c>
      <c r="AZ159" s="284" t="e">
        <f>IF(VLOOKUP(T_Convention[[#This Row],[NumL]],T_TraitDi[#Data],COLUMN(T_TraitDi[Colonne25]),FALSE)=0,"",TEXT(IFERROR(VLOOKUP(T_Convention[[#This Row],[NumL]],T_TraitDi[#Data],COLUMN(T_TraitDi[Colonne25]),FALSE),""),"[hh]:mm"))</f>
        <v>#N/A</v>
      </c>
      <c r="BA159" s="284" t="e">
        <f>IF(VLOOKUP(T_Convention[[#This Row],[NumL]],T_TraitDi[#Data],COLUMN(T_TraitDi[Colonne26]),FALSE)=0,"",TEXT(IFERROR(VLOOKUP(T_Convention[[#This Row],[NumL]],T_TraitDi[#Data],COLUMN(T_TraitDi[Colonne26]),FALSE),""),"[hh]:mm"))</f>
        <v>#N/A</v>
      </c>
      <c r="BB159" s="284" t="str">
        <f>IFERROR(VLOOKUP(T_Convention[[#This Row],[NumL]],T_TraitDi[#Data],COLUMN(T_TraitDi[Vendredi]),FALSE),"")</f>
        <v/>
      </c>
      <c r="BC159" s="284" t="e">
        <f>IF(VLOOKUP(T_Convention[[#This Row],[NumL]],T_TraitDi[#Data],COLUMN(T_TraitDi[Colonne27]),FALSE)=0,"",TEXT(IFERROR(VLOOKUP(T_Convention[[#This Row],[NumL]],T_TraitDi[#Data],COLUMN(T_TraitDi[Colonne27]),FALSE),""),"[hh]:mm"))</f>
        <v>#N/A</v>
      </c>
      <c r="BD159" s="284" t="e">
        <f>IF(VLOOKUP(T_Convention[[#This Row],[NumL]],T_TraitDi[#Data],COLUMN(T_TraitDi[Colonne28]),FALSE)=0,"",TEXT(IFERROR(VLOOKUP(T_Convention[[#This Row],[NumL]],T_TraitDi[#Data],COLUMN(T_TraitDi[Colonne28]),FALSE),""),"[hh]:mm"))</f>
        <v>#N/A</v>
      </c>
      <c r="BE159" s="284" t="str">
        <f>IFERROR(VLOOKUP(T_Convention[[#This Row],[NumL]],T_TraitDi[#Data],COLUMN(T_TraitDi[Colonne29]),FALSE),"")</f>
        <v/>
      </c>
      <c r="BF159" s="284" t="e">
        <f>IF(VLOOKUP(T_Convention[[#This Row],[NumL]],T_TraitDi[#Data],COLUMN(T_TraitDi[Colonne30]),FALSE)=0,"",TEXT(IFERROR(VLOOKUP(T_Convention[[#This Row],[NumL]],T_TraitDi[#Data],COLUMN(T_TraitDi[Colonne30]),FALSE),""),"[hh]:mm"))</f>
        <v>#N/A</v>
      </c>
      <c r="BG159" s="284" t="e">
        <f>IF(VLOOKUP(T_Convention[[#This Row],[NumL]],T_TraitDi[#Data],COLUMN(T_TraitDi[Colonne31]),FALSE)=0,"",TEXT(IFERROR(VLOOKUP(T_Convention[[#This Row],[NumL]],T_TraitDi[#Data],COLUMN(T_TraitDi[Colonne31]),FALSE),""),"[hh]:mm"))</f>
        <v>#N/A</v>
      </c>
      <c r="BH159" s="284" t="e">
        <f>IF(VLOOKUP(T_Convention[[#This Row],[NumL]],T_TraitDi[#Data],COLUMN(T_TraitDi[Colonne32]),FALSE)=0,"",TEXT(IFERROR(VLOOKUP(T_Convention[[#This Row],[NumL]],T_TraitDi[#Data],COLUMN(T_TraitDi[Colonne32]),FALSE),""),"[hh]:mm"))</f>
        <v>#N/A</v>
      </c>
      <c r="BI159" s="284" t="str">
        <f>IFERROR(VLOOKUP(T_Convention[[#This Row],[NumL]],T_TraitDi[#Data],COLUMN(T_TraitDi[NbJTW]),FALSE),"")</f>
        <v/>
      </c>
      <c r="BJ159" s="284" t="e">
        <f>IF(VLOOKUP(T_Convention[[#This Row],[NumL]],T_TraitDi[#Data],COLUMN(T_TraitDi[NbhTW]),FALSE)=0,"",TEXT(IFERROR(VLOOKUP(T_Convention[[#This Row],[NumL]],T_TraitDi[#Data],COLUMN(T_TraitDi[NbhTW]),FALSE),""),"[hh]:mm"))</f>
        <v>#N/A</v>
      </c>
      <c r="BK159" s="286" t="e">
        <f>IF(VLOOKUP(T_Convention[[#This Row],[NumL]],T_TraitDi[#Data],COLUMN(T_TraitDi[Nbhheb]),FALSE)=0,"",TEXT(IFERROR(VLOOKUP(T_Convention[[#This Row],[NumL]],T_TraitDi[#Data],COLUMN(T_TraitDi[Nbhheb]),FALSE),""),"[hh]:mm"))</f>
        <v>#N/A</v>
      </c>
      <c r="BL159" s="287" t="str">
        <f>IFERROR(VLOOKUP(VLOOKUP(T_Convention[[#This Row],[NumL]],T_TraitDi[#Data],COLUMN(T_TraitDi[Type1]),FALSE),TypeTW,2,FALSE),"")</f>
        <v/>
      </c>
      <c r="BM159" s="288" t="str">
        <f>IFERROR(VLOOKUP(T_Convention[[#This Row],[NumL]],T_TraitDi[#Data],COLUMN(T_TraitDi[Rue1]),FALSE),"")</f>
        <v/>
      </c>
      <c r="BN159" s="289" t="str">
        <f>IFERROR(VLOOKUP(T_Convention[[#This Row],[NumL]],T_TraitDi[#Data],COLUMN(T_TraitDi[CP1]),FALSE),"")</f>
        <v/>
      </c>
      <c r="BO159" s="282" t="str">
        <f>IFERROR(VLOOKUP(T_Convention[[#This Row],[NumL]],T_TraitDi[#Data],COLUMN(T_TraitDi[VILLE1]),FALSE),"")</f>
        <v/>
      </c>
      <c r="BP159" s="290" t="str">
        <f>IFERROR(VLOOKUP(VLOOKUP(T_Convention[[#This Row],[NumL]],T_TraitDi[#Data],COLUMN(T_TraitDi[Type2]),FALSE),TypeTW,2,FALSE),"")</f>
        <v/>
      </c>
      <c r="BQ159" s="182" t="str">
        <f>IFERROR(VLOOKUP(T_Convention[[#This Row],[NumL]],T_TraitDi[#Data],COLUMN(T_TraitDi[Rue2]),FALSE),"")</f>
        <v/>
      </c>
      <c r="BR159" s="173" t="str">
        <f>IFERROR(VLOOKUP(T_Convention[[#This Row],[NumL]],T_TraitDi[#Data],COLUMN(T_TraitDi[CP2]),FALSE),"")</f>
        <v/>
      </c>
      <c r="BS159" s="173" t="str">
        <f>IFERROR(VLOOKUP(T_Convention[[#This Row],[NumL]],T_TraitDi[#Data],COLUMN(T_TraitDi[VILLE2]),FALSE),"")</f>
        <v/>
      </c>
      <c r="BT159" s="182" t="str">
        <f>IF(VLOOKUP(T_Convention[[#This Row],[NumL]],T_Equipement[#Data],COLUMN(T_Equipement[PC]),FALSE)="","Aucun équipement spécifique directement lié au télétravail",VLOOKUP(T_Convention[[#This Row],[NumL]],T_Equipement[#Data],COLUMN(T_Equipement[PC]),FALSE))</f>
        <v xml:space="preserve">20-383	</v>
      </c>
      <c r="BU159" s="166" t="str">
        <f>IFERROR(IF(VLOOKUP(T_Convention[[#This Row],[NumL]],T_TraitDi[#Data],COLUMN(T_TraitDi[Plan]),FALSE)="OK","Un planning spécifique de télétravail est annexé à la présente convention.",""),"")</f>
        <v/>
      </c>
      <c r="BV159" s="185" t="s">
        <v>3375</v>
      </c>
      <c r="BW159" s="164" t="e">
        <f>IF(VLOOKUP(T_Convention[[#This Row],[NumL]],T_suiviDi[#Data],COLUMN(T_suiviDi[Entité]),FALSE)="","",VLOOKUP(T_Convention[[#This Row],[NumL]],T_suiviDi[#Data],COLUMN(T_suiviDi[Entité]),FALSE))</f>
        <v>#N/A</v>
      </c>
      <c r="BX159" s="164" t="str">
        <f>IF(VLOOKUP(T_Convention[[#This Row],[NumL]],T_Commission[#Data],COLUMN(T_Commission[envoi confirm TW]),FALSE)="","",VLOOKUP(T_Convention[[#This Row],[NumL]],T_Commission[#Data],COLUMN(T_Commission[envoi confirm TW]),FALSE))</f>
        <v>Oui</v>
      </c>
      <c r="BY15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59" s="264">
        <f>VLOOKUP(T_Convention[[#This Row],[NumL]],T_Commission[#Data],COLUMN(T_Commission[Commentaire]),FALSE)</f>
        <v>0</v>
      </c>
      <c r="CA159" s="254" t="str">
        <f>IF(VLOOKUP(T_Convention[[#This Row],[NumL]],T_Commission[#Data],COLUMN(T_Commission[Encadrant Email]),FALSE)="","",VLOOKUP(T_Convention[[#This Row],[NumL]],T_Commission[#Data],COLUMN(T_Commission[Encadrant Email]),FALSE))</f>
        <v/>
      </c>
      <c r="CB159" s="352" t="e">
        <f>VLOOKUP(T_Convention[[#This Row],[NumL]],T_TraitDi[#Data],COLUMN(T_TraitDi[NbJTot]),FALSE)</f>
        <v>#N/A</v>
      </c>
      <c r="CC159" s="352" t="e">
        <f>VLOOKUP(T_Convention[[#This Row],[NumL]],T_TraitDi[#Data],COLUMN(T_TraitDi[Reg Ponct]),FALSE)</f>
        <v>#N/A</v>
      </c>
      <c r="CD159" s="348" t="str">
        <f>IF(T_Convention[[#This Row],[Final]]&lt;&gt;"",VLOOKUP(T_Convention[[#This Row],[NumL]],T_suiviDi[#Data],COLUMN((T_suiviDi[Statut])),FALSE),"")</f>
        <v/>
      </c>
    </row>
    <row r="160" spans="1:82" s="106" customFormat="1" ht="18.75" customHeight="1" x14ac:dyDescent="0.25">
      <c r="A160" s="160">
        <v>338</v>
      </c>
      <c r="B160" s="281" t="str">
        <f>VLOOKUP(T_Convention[[#This Row],[NumL]],T_Commission[#Data],COLUMN(T_Commission[FINAL]),FALSE)</f>
        <v/>
      </c>
      <c r="C160" s="162"/>
      <c r="D160" s="95" t="e">
        <f>IF(VLOOKUP(T_Convention[[#This Row],[NumL]],T_TraitDi[#Data],COLUMN(T_TraitDi[WebC]),FALSE)="","",VLOOKUP(T_Convention[[#This Row],[NumL]],T_TraitDi[#Data],COLUMN(T_TraitDi[WebC]),FALSE))</f>
        <v>#N/A</v>
      </c>
      <c r="E160" s="163" t="str">
        <f t="shared" si="10"/>
        <v>12 janvier 2021</v>
      </c>
      <c r="F160" s="282" t="str">
        <f>IF(T_Convention[[#This Row],[Final]]&lt;&gt;"",VLOOKUP(T_Convention[[#This Row],[NumL]],T_suiviDi[#Data],COLUMN((T_suiviDi[Civ.])),FALSE),"")</f>
        <v/>
      </c>
      <c r="G160" s="283" t="str">
        <f>IF(T_Convention[[#This Row],[Final]]&lt;&gt;"",VLOOKUP(T_Convention[[#This Row],[NumL]],T_suiviDi[#Data],COLUMN((T_suiviDi[Nom])),FALSE),"")</f>
        <v/>
      </c>
      <c r="H160" s="282" t="str">
        <f>IF(T_Convention[[#This Row],[Final]]&lt;&gt;"",VLOOKUP(T_Convention[[#This Row],[NumL]],T_suiviDi[#Data],COLUMN((T_suiviDi[Prénom])),FALSE),"")</f>
        <v/>
      </c>
      <c r="I160" s="282" t="e">
        <f>VLOOKUP(T_Convention[[#This Row],[NumL]],T_suiviDi[#Data],COLUMN((T_suiviDi[[#This Row],[Email]])),FALSE)</f>
        <v>#VALUE!</v>
      </c>
      <c r="J160" s="282" t="e">
        <f>IF(VLOOKUP(T_Convention[[#This Row],[NumL]],T_suiviDi[#Data],COLUMN(T_suiviDi[[#This Row],[Fonction]]),FALSE)="","",VLOOKUP(T_Convention[[#This Row],[NumL]],T_suiviDi[#Data],COLUMN(T_suiviDi[[#This Row],[Fonction]]),FALSE))</f>
        <v>#VALUE!</v>
      </c>
      <c r="K160" s="282" t="e">
        <f>IF(VLOOKUP(T_Convention[[#This Row],[NumL]],T_suiviDi[#Data],COLUMN(T_suiviDi[[#This Row],[Grade]]),FALSE)="","",VLOOKUP(T_Convention[[#This Row],[NumL]],T_suiviDi[#Data],COLUMN(T_suiviDi[[#This Row],[Grade]]),FALSE))</f>
        <v>#VALUE!</v>
      </c>
      <c r="L160" s="282" t="e">
        <f>IF(VLOOKUP(T_Convention[[#This Row],[NumL]],T_suiviDi[#Data],COLUMN(T_suiviDi[[#This Row],[Service ]]),FALSE)="","",VLOOKUP(T_Convention[[#This Row],[NumL]],T_suiviDi[#Data],COLUMN(T_suiviDi[[#This Row],[Service ]]),FALSE))</f>
        <v>#VALUE!</v>
      </c>
      <c r="M160" s="314" t="str">
        <f t="shared" si="11"/>
        <v>01 septembre 2021</v>
      </c>
      <c r="N160" s="314" t="str">
        <f t="shared" si="12"/>
        <v>30 novembre 2021</v>
      </c>
      <c r="O160" s="284" t="str">
        <f t="shared" si="13"/>
        <v>30 novembre 2021</v>
      </c>
      <c r="P160" s="282" t="e">
        <f>IF(VLOOKUP(T_Convention[[#This Row],[NumL]],T_TraitDi[#Data],COLUMN(T_TraitDi[M1]),FALSE)="","",VLOOKUP(T_Convention[[#This Row],[NumL]],T_TraitDi[#Data],COLUMN(T_TraitDi[M1]),FALSE))</f>
        <v>#N/A</v>
      </c>
      <c r="Q160" s="282" t="e">
        <f>IF(VLOOKUP(T_Convention[[#This Row],[NumL]],T_TraitDi[#Data],COLUMN(T_TraitDi[M2]),FALSE)="","",VLOOKUP(T_Convention[[#This Row],[NumL]],T_TraitDi[#Data],COLUMN(T_TraitDi[M2]),FALSE))</f>
        <v>#N/A</v>
      </c>
      <c r="R160" s="282" t="e">
        <f>IF(VLOOKUP(T_Convention[[#This Row],[NumL]],T_TraitDi[#Data],COLUMN(T_TraitDi[M3]),FALSE)="","",VLOOKUP(T_Convention[[#This Row],[NumL]],T_TraitDi[#Data],COLUMN(T_TraitDi[M3]),FALSE))</f>
        <v>#N/A</v>
      </c>
      <c r="S160" s="282" t="e">
        <f>IF(VLOOKUP(T_Convention[[#This Row],[NumL]],T_TraitDi[#Data],COLUMN(T_TraitDi[M4]),FALSE)="","",VLOOKUP(T_Convention[[#This Row],[NumL]],T_TraitDi[#Data],COLUMN(T_TraitDi[M4]),FALSE))</f>
        <v>#N/A</v>
      </c>
      <c r="T160" s="282" t="e">
        <f>IF(VLOOKUP(T_Convention[[#This Row],[NumL]],T_TraitDi[#Data],COLUMN(T_TraitDi[M5]),FALSE)="","",VLOOKUP(T_Convention[[#This Row],[NumL]],T_TraitDi[#Data],COLUMN(T_TraitDi[M5]),FALSE))</f>
        <v>#N/A</v>
      </c>
      <c r="U160" s="282" t="e">
        <f>IF(VLOOKUP(T_Convention[[#This Row],[NumL]],T_TraitDi[#Data],COLUMN(T_TraitDi[M6]),FALSE)="","",VLOOKUP(T_Convention[[#This Row],[NumL]],T_TraitDi[#Data],COLUMN(T_TraitDi[M6]),FALSE))</f>
        <v>#N/A</v>
      </c>
      <c r="V160" s="314" t="e">
        <f t="shared" si="14"/>
        <v>#N/A</v>
      </c>
      <c r="W160" s="284" t="str">
        <f>IFERROR(TEXT(VLOOKUP(T_Convention[[#This Row],[NumL]],T_TraitDi[#Data],COLUMN(T_TraitDi[Q2]),FALSE),"###%"),"")</f>
        <v/>
      </c>
      <c r="X160" s="285" t="e">
        <f>VLOOKUP(T_Convention[[#This Row],[NumL]],T_TraitDi[#Data],COLUMN(T_TraitDi[Reg Ponct]),FALSE)</f>
        <v>#N/A</v>
      </c>
      <c r="Y160" s="285" t="e">
        <f>VLOOKUP(T_Convention[NumL],T_TraitDi[#Data],COLUMN(T_TraitDi[Jours flottants]),FALSE)</f>
        <v>#N/A</v>
      </c>
      <c r="Z160" s="284" t="str">
        <f>IFERROR(VLOOKUP(T_Convention[[#This Row],[NumL]],T_TraitDi[#Data],COLUMN(T_TraitDi[Lundi]),FALSE),"")</f>
        <v/>
      </c>
      <c r="AA160" s="284" t="e">
        <f>IF(VLOOKUP(T_Convention[[#This Row],[NumL]],T_TraitDi[#Data],COLUMN(T_TraitDi[Colonne3]),FALSE)=0,"",TEXT(IFERROR(VLOOKUP(T_Convention[[#This Row],[NumL]],T_TraitDi[#Data],COLUMN(T_TraitDi[Colonne3]),FALSE),""),"[hh]:mm"))</f>
        <v>#N/A</v>
      </c>
      <c r="AB160" s="284" t="e">
        <f>IF(VLOOKUP(T_Convention[[#This Row],[NumL]],T_TraitDi[#Data],COLUMN(T_TraitDi[Colonne4]),FALSE)=0,"",TEXT(IFERROR(VLOOKUP(T_Convention[[#This Row],[NumL]],T_TraitDi[#Data],COLUMN(T_TraitDi[Colonne4]),FALSE),""),"[hh]:mm"))</f>
        <v>#N/A</v>
      </c>
      <c r="AC160" s="284" t="e">
        <f>IF(VLOOKUP(T_Convention[[#This Row],[NumL]],T_TraitDi[#Data],COLUMN(T_TraitDi[Colonne5]),FALSE)=0,"",TEXT(IFERROR(VLOOKUP(T_Convention[[#This Row],[NumL]],T_TraitDi[#Data],COLUMN(T_TraitDi[Colonne5]),FALSE),""),"[hh]:mm"))</f>
        <v>#N/A</v>
      </c>
      <c r="AD160" s="284" t="e">
        <f>IF(VLOOKUP(T_Convention[[#This Row],[NumL]],T_TraitDi[#Data],COLUMN(T_TraitDi[Colonne6]),FALSE)=0,"",TEXT(IFERROR(VLOOKUP(T_Convention[[#This Row],[NumL]],T_TraitDi[#Data],COLUMN(T_TraitDi[Colonne6]),FALSE),""),"[hh]:mm"))</f>
        <v>#N/A</v>
      </c>
      <c r="AE160" s="284" t="e">
        <f>IF(VLOOKUP(T_Convention[[#This Row],[NumL]],T_TraitDi[#Data],COLUMN(T_TraitDi[Colonne7]),FALSE)=0,"",TEXT(IFERROR(VLOOKUP(T_Convention[[#This Row],[NumL]],T_TraitDi[#Data],COLUMN(T_TraitDi[Colonne7]),FALSE),""),"[hh]:mm"))</f>
        <v>#N/A</v>
      </c>
      <c r="AF160" s="284" t="e">
        <f>IF(VLOOKUP(T_Convention[[#This Row],[NumL]],T_TraitDi[#Data],COLUMN(T_TraitDi[Colonne8]),FALSE)=0,"",TEXT(IFERROR(VLOOKUP(T_Convention[[#This Row],[NumL]],T_TraitDi[#Data],COLUMN(T_TraitDi[Colonne8]),FALSE),""),"[hh]:mm"))</f>
        <v>#N/A</v>
      </c>
      <c r="AG160" s="284" t="str">
        <f>IFERROR(VLOOKUP(T_Convention[[#This Row],[NumL]],T_TraitDi[#Data],COLUMN(T_TraitDi[Mardi]),FALSE),"")</f>
        <v/>
      </c>
      <c r="AH160" s="284" t="e">
        <f>IF(VLOOKUP(T_Convention[[#This Row],[NumL]],T_TraitDi[#Data],COLUMN(T_TraitDi[Colonne1]),FALSE)=0,"",TEXT(IFERROR(VLOOKUP(T_Convention[[#This Row],[NumL]],T_TraitDi[#Data],COLUMN(T_TraitDi[Colonne1]),FALSE),""),"[hh]:mm"))</f>
        <v>#N/A</v>
      </c>
      <c r="AI160" s="284" t="e">
        <f>IF(VLOOKUP(T_Convention[[#This Row],[NumL]],T_TraitDi[#Data],COLUMN(T_TraitDi[Colonne9]),FALSE)=0,"",TEXT(IFERROR(VLOOKUP(T_Convention[[#This Row],[NumL]],T_TraitDi[#Data],COLUMN(T_TraitDi[Colonne9]),FALSE),""),"[hh]:mm"))</f>
        <v>#N/A</v>
      </c>
      <c r="AJ160" s="284" t="str">
        <f>IFERROR(VLOOKUP(T_Convention[[#This Row],[NumL]],T_TraitDi[#Data],COLUMN(T_TraitDi[Colonne10]),FALSE),"")</f>
        <v/>
      </c>
      <c r="AK160" s="284" t="e">
        <f>IF(VLOOKUP(T_Convention[[#This Row],[NumL]],T_TraitDi[#Data],COLUMN(T_TraitDi[Colonne11]),FALSE)=0,"",TEXT(IFERROR(VLOOKUP(T_Convention[[#This Row],[NumL]],T_TraitDi[#Data],COLUMN(T_TraitDi[Colonne11]),FALSE),""),"[hh]:mm"))</f>
        <v>#N/A</v>
      </c>
      <c r="AL160" s="284" t="e">
        <f>IF(VLOOKUP(T_Convention[[#This Row],[NumL]],T_TraitDi[#Data],COLUMN(T_TraitDi[Colonne12]),FALSE)=0,"",TEXT(IFERROR(VLOOKUP(T_Convention[[#This Row],[NumL]],T_TraitDi[#Data],COLUMN(T_TraitDi[Colonne12]),FALSE),""),"[hh]:mm"))</f>
        <v>#N/A</v>
      </c>
      <c r="AM160" s="284" t="e">
        <f>IF(VLOOKUP(T_Convention[[#This Row],[NumL]],T_TraitDi[#Data],COLUMN(T_TraitDi[Colonne14]),FALSE)=0,"",TEXT(IFERROR(VLOOKUP(T_Convention[[#This Row],[NumL]],T_TraitDi[#Data],COLUMN(T_TraitDi[Colonne14]),FALSE),""),"[hh]:mm"))</f>
        <v>#N/A</v>
      </c>
      <c r="AN160" s="284" t="str">
        <f>IFERROR(VLOOKUP(T_Convention[[#This Row],[NumL]],T_TraitDi[#Data],COLUMN(T_TraitDi[Mercredi]),FALSE),"")</f>
        <v/>
      </c>
      <c r="AO160" s="284" t="e">
        <f>IF(VLOOKUP(T_Convention[[#This Row],[NumL]],T_TraitDi[#Data],COLUMN(T_TraitDi[Colonne15]),FALSE)=0,"",TEXT(IFERROR(VLOOKUP(T_Convention[[#This Row],[NumL]],T_TraitDi[#Data],COLUMN(T_TraitDi[Colonne15]),FALSE),""),"[hh]:mm"))</f>
        <v>#N/A</v>
      </c>
      <c r="AP160" s="284" t="e">
        <f>IF(VLOOKUP(T_Convention[[#This Row],[NumL]],T_TraitDi[#Data],COLUMN(T_TraitDi[Colonne16]),FALSE)=0,"",TEXT(IFERROR(VLOOKUP(T_Convention[[#This Row],[NumL]],T_TraitDi[#Data],COLUMN(T_TraitDi[Colonne16]),FALSE),""),"[hh]:mm"))</f>
        <v>#N/A</v>
      </c>
      <c r="AQ160" s="284" t="str">
        <f>IFERROR(VLOOKUP(T_Convention[[#This Row],[NumL]],T_TraitDi[#Data],COLUMN(T_TraitDi[Colonne17]),FALSE),"")</f>
        <v/>
      </c>
      <c r="AR160" s="284" t="e">
        <f>IF(VLOOKUP(T_Convention[[#This Row],[NumL]],T_TraitDi[#Data],COLUMN(T_TraitDi[Colonne18]),FALSE)=0,"",TEXT(IFERROR(VLOOKUP(T_Convention[[#This Row],[NumL]],T_TraitDi[#Data],COLUMN(T_TraitDi[Colonne18]),FALSE),""),"[hh]:mm"))</f>
        <v>#N/A</v>
      </c>
      <c r="AS160" s="284" t="e">
        <f>IF(VLOOKUP(T_Convention[[#This Row],[NumL]],T_TraitDi[#Data],COLUMN(T_TraitDi[Colonne19]),FALSE)=0,"",TEXT(IFERROR(VLOOKUP(T_Convention[[#This Row],[NumL]],T_TraitDi[#Data],COLUMN(T_TraitDi[Colonne19]),FALSE),""),"[hh]:mm"))</f>
        <v>#N/A</v>
      </c>
      <c r="AT160" s="284" t="e">
        <f>IF(VLOOKUP(T_Convention[[#This Row],[NumL]],T_TraitDi[#Data],COLUMN(T_TraitDi[Colonne20]),FALSE)=0,"",TEXT(IFERROR(VLOOKUP(T_Convention[[#This Row],[NumL]],T_TraitDi[#Data],COLUMN(T_TraitDi[Colonne20]),FALSE),""),"[hh]:mm"))</f>
        <v>#N/A</v>
      </c>
      <c r="AU160" s="284" t="str">
        <f>IFERROR(VLOOKUP(T_Convention[[#This Row],[NumL]],T_TraitDi[#Data],COLUMN(T_TraitDi[Jeudi]),FALSE),"")</f>
        <v/>
      </c>
      <c r="AV160" s="284" t="e">
        <f>IF(VLOOKUP(T_Convention[[#This Row],[NumL]],T_TraitDi[#Data],COLUMN(T_TraitDi[Colonne21]),FALSE)=0,"",TEXT(IFERROR(VLOOKUP(T_Convention[[#This Row],[NumL]],T_TraitDi[#Data],COLUMN(T_TraitDi[Colonne21]),FALSE),""),"[hh]:mm"))</f>
        <v>#N/A</v>
      </c>
      <c r="AW160" s="284" t="e">
        <f>IF(VLOOKUP(T_Convention[[#This Row],[NumL]],T_TraitDi[#Data],COLUMN(T_TraitDi[Colonne22]),FALSE)=0,"",TEXT(IFERROR(VLOOKUP(T_Convention[[#This Row],[NumL]],T_TraitDi[#Data],COLUMN(T_TraitDi[Colonne22]),FALSE),""),"[hh]:mm"))</f>
        <v>#N/A</v>
      </c>
      <c r="AX160" s="284" t="str">
        <f>IFERROR(VLOOKUP(T_Convention[[#This Row],[NumL]],T_TraitDi[#Data],COLUMN(T_TraitDi[Colonne23]),FALSE),"")</f>
        <v/>
      </c>
      <c r="AY160" s="284" t="e">
        <f>IF(VLOOKUP(T_Convention[[#This Row],[NumL]],T_TraitDi[#Data],COLUMN(T_TraitDi[Colonne24]),FALSE)=0,"",TEXT(IFERROR(VLOOKUP(T_Convention[[#This Row],[NumL]],T_TraitDi[#Data],COLUMN(T_TraitDi[Colonne24]),FALSE),""),"[hh]:mm"))</f>
        <v>#N/A</v>
      </c>
      <c r="AZ160" s="284" t="e">
        <f>IF(VLOOKUP(T_Convention[[#This Row],[NumL]],T_TraitDi[#Data],COLUMN(T_TraitDi[Colonne25]),FALSE)=0,"",TEXT(IFERROR(VLOOKUP(T_Convention[[#This Row],[NumL]],T_TraitDi[#Data],COLUMN(T_TraitDi[Colonne25]),FALSE),""),"[hh]:mm"))</f>
        <v>#N/A</v>
      </c>
      <c r="BA160" s="284" t="e">
        <f>IF(VLOOKUP(T_Convention[[#This Row],[NumL]],T_TraitDi[#Data],COLUMN(T_TraitDi[Colonne26]),FALSE)=0,"",TEXT(IFERROR(VLOOKUP(T_Convention[[#This Row],[NumL]],T_TraitDi[#Data],COLUMN(T_TraitDi[Colonne26]),FALSE),""),"[hh]:mm"))</f>
        <v>#N/A</v>
      </c>
      <c r="BB160" s="284" t="str">
        <f>IFERROR(VLOOKUP(T_Convention[[#This Row],[NumL]],T_TraitDi[#Data],COLUMN(T_TraitDi[Vendredi]),FALSE),"")</f>
        <v/>
      </c>
      <c r="BC160" s="284" t="e">
        <f>IF(VLOOKUP(T_Convention[[#This Row],[NumL]],T_TraitDi[#Data],COLUMN(T_TraitDi[Colonne27]),FALSE)=0,"",TEXT(IFERROR(VLOOKUP(T_Convention[[#This Row],[NumL]],T_TraitDi[#Data],COLUMN(T_TraitDi[Colonne27]),FALSE),""),"[hh]:mm"))</f>
        <v>#N/A</v>
      </c>
      <c r="BD160" s="284" t="e">
        <f>IF(VLOOKUP(T_Convention[[#This Row],[NumL]],T_TraitDi[#Data],COLUMN(T_TraitDi[Colonne28]),FALSE)=0,"",TEXT(IFERROR(VLOOKUP(T_Convention[[#This Row],[NumL]],T_TraitDi[#Data],COLUMN(T_TraitDi[Colonne28]),FALSE),""),"[hh]:mm"))</f>
        <v>#N/A</v>
      </c>
      <c r="BE160" s="284" t="str">
        <f>IFERROR(VLOOKUP(T_Convention[[#This Row],[NumL]],T_TraitDi[#Data],COLUMN(T_TraitDi[Colonne29]),FALSE),"")</f>
        <v/>
      </c>
      <c r="BF160" s="284" t="e">
        <f>IF(VLOOKUP(T_Convention[[#This Row],[NumL]],T_TraitDi[#Data],COLUMN(T_TraitDi[Colonne30]),FALSE)=0,"",TEXT(IFERROR(VLOOKUP(T_Convention[[#This Row],[NumL]],T_TraitDi[#Data],COLUMN(T_TraitDi[Colonne30]),FALSE),""),"[hh]:mm"))</f>
        <v>#N/A</v>
      </c>
      <c r="BG160" s="284" t="e">
        <f>IF(VLOOKUP(T_Convention[[#This Row],[NumL]],T_TraitDi[#Data],COLUMN(T_TraitDi[Colonne31]),FALSE)=0,"",TEXT(IFERROR(VLOOKUP(T_Convention[[#This Row],[NumL]],T_TraitDi[#Data],COLUMN(T_TraitDi[Colonne31]),FALSE),""),"[hh]:mm"))</f>
        <v>#N/A</v>
      </c>
      <c r="BH160" s="284" t="e">
        <f>IF(VLOOKUP(T_Convention[[#This Row],[NumL]],T_TraitDi[#Data],COLUMN(T_TraitDi[Colonne32]),FALSE)=0,"",TEXT(IFERROR(VLOOKUP(T_Convention[[#This Row],[NumL]],T_TraitDi[#Data],COLUMN(T_TraitDi[Colonne32]),FALSE),""),"[hh]:mm"))</f>
        <v>#N/A</v>
      </c>
      <c r="BI160" s="284" t="str">
        <f>IFERROR(VLOOKUP(T_Convention[[#This Row],[NumL]],T_TraitDi[#Data],COLUMN(T_TraitDi[NbJTW]),FALSE),"")</f>
        <v/>
      </c>
      <c r="BJ160" s="284" t="e">
        <f>IF(VLOOKUP(T_Convention[[#This Row],[NumL]],T_TraitDi[#Data],COLUMN(T_TraitDi[NbhTW]),FALSE)=0,"",TEXT(IFERROR(VLOOKUP(T_Convention[[#This Row],[NumL]],T_TraitDi[#Data],COLUMN(T_TraitDi[NbhTW]),FALSE),""),"[hh]:mm"))</f>
        <v>#N/A</v>
      </c>
      <c r="BK160" s="315" t="e">
        <f>IF(VLOOKUP(T_Convention[[#This Row],[NumL]],T_TraitDi[#Data],COLUMN(T_TraitDi[Nbhheb]),FALSE)=0,"",TEXT(IFERROR(VLOOKUP(T_Convention[[#This Row],[NumL]],T_TraitDi[#Data],COLUMN(T_TraitDi[Nbhheb]),FALSE),""),"[hh]:mm"))</f>
        <v>#N/A</v>
      </c>
      <c r="BL160" s="287" t="str">
        <f>IFERROR(VLOOKUP(VLOOKUP(T_Convention[[#This Row],[NumL]],T_TraitDi[#Data],COLUMN(T_TraitDi[Type1]),FALSE),TypeTW,2,FALSE),"")</f>
        <v/>
      </c>
      <c r="BM160" s="288" t="str">
        <f>IFERROR(VLOOKUP(T_Convention[[#This Row],[NumL]],T_TraitDi[#Data],COLUMN(T_TraitDi[Rue1]),FALSE),"")</f>
        <v/>
      </c>
      <c r="BN160" s="289" t="str">
        <f>IFERROR(VLOOKUP(T_Convention[[#This Row],[NumL]],T_TraitDi[#Data],COLUMN(T_TraitDi[CP1]),FALSE),"")</f>
        <v/>
      </c>
      <c r="BO160" s="282" t="str">
        <f>IFERROR(VLOOKUP(T_Convention[[#This Row],[NumL]],T_TraitDi[#Data],COLUMN(T_TraitDi[VILLE1]),FALSE),"")</f>
        <v/>
      </c>
      <c r="BP160" s="290" t="str">
        <f>IFERROR(VLOOKUP(VLOOKUP(T_Convention[[#This Row],[NumL]],T_TraitDi[#Data],COLUMN(T_TraitDi[Type2]),FALSE),TypeTW,2,FALSE),"")</f>
        <v/>
      </c>
      <c r="BQ160" s="310" t="str">
        <f>IFERROR(VLOOKUP(T_Convention[[#This Row],[NumL]],T_TraitDi[#Data],COLUMN(T_TraitDi[Rue2]),FALSE),"")</f>
        <v/>
      </c>
      <c r="BR160" s="290" t="str">
        <f>IFERROR(VLOOKUP(T_Convention[[#This Row],[NumL]],T_TraitDi[#Data],COLUMN(T_TraitDi[CP2]),FALSE),"")</f>
        <v/>
      </c>
      <c r="BS160" s="290" t="str">
        <f>IFERROR(VLOOKUP(T_Convention[[#This Row],[NumL]],T_TraitDi[#Data],COLUMN(T_TraitDi[VILLE2]),FALSE),"")</f>
        <v/>
      </c>
      <c r="BT16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60" s="314" t="str">
        <f>IFERROR(IF(VLOOKUP(T_Convention[[#This Row],[NumL]],T_TraitDi[#Data],COLUMN(T_TraitDi[Plan]),FALSE)="OK","Un planning spécifique de télétravail est annexé à la présente convention.",""),"")</f>
        <v/>
      </c>
      <c r="BV160" s="291"/>
      <c r="BW160" s="292" t="e">
        <f>IF(VLOOKUP(T_Convention[[#This Row],[NumL]],T_suiviDi[#Data],COLUMN(T_suiviDi[Entité]),FALSE)="","",VLOOKUP(T_Convention[[#This Row],[NumL]],T_suiviDi[#Data],COLUMN(T_suiviDi[Entité]),FALSE))</f>
        <v>#N/A</v>
      </c>
      <c r="BX160" s="311" t="str">
        <f>IF(VLOOKUP(T_Convention[[#This Row],[NumL]],T_Commission[#Data],COLUMN(T_Commission[envoi confirm TW]),FALSE)="","",VLOOKUP(T_Convention[[#This Row],[NumL]],T_Commission[#Data],COLUMN(T_Commission[envoi confirm TW]),FALSE))</f>
        <v/>
      </c>
      <c r="BY16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0" s="265" t="str">
        <f>VLOOKUP(T_Convention[[#This Row],[NumL]],T_Commission[#Data],COLUMN(T_Commission[Commentaire]),FALSE)</f>
        <v>Avis réservé du n+1 en raison de la quotité de l'agent  passage eventuel à 100 % et de l'organisation du service - Sous réserve de l'organisation au 01/09/2021</v>
      </c>
      <c r="CA160" s="255" t="str">
        <f>IF(VLOOKUP(T_Convention[[#This Row],[NumL]],T_Commission[#Data],COLUMN(T_Commission[Encadrant Email]),FALSE)="","",VLOOKUP(T_Convention[[#This Row],[NumL]],T_Commission[#Data],COLUMN(T_Commission[Encadrant Email]),FALSE))</f>
        <v/>
      </c>
      <c r="CB160" s="352" t="e">
        <f>VLOOKUP(T_Convention[[#This Row],[NumL]],T_TraitDi[#Data],COLUMN(T_TraitDi[NbJTot]),FALSE)</f>
        <v>#N/A</v>
      </c>
      <c r="CC160" s="352" t="e">
        <f>VLOOKUP(T_Convention[[#This Row],[NumL]],T_TraitDi[#Data],COLUMN(T_TraitDi[Reg Ponct]),FALSE)</f>
        <v>#N/A</v>
      </c>
      <c r="CD160" s="348" t="str">
        <f>IF(T_Convention[[#This Row],[Final]]&lt;&gt;"",VLOOKUP(T_Convention[[#This Row],[NumL]],T_suiviDi[#Data],COLUMN((T_suiviDi[Statut])),FALSE),"")</f>
        <v/>
      </c>
    </row>
    <row r="161" spans="1:82" s="106" customFormat="1" ht="18.75" customHeight="1" x14ac:dyDescent="0.25">
      <c r="A161" s="160">
        <v>190</v>
      </c>
      <c r="B161" s="161" t="str">
        <f>VLOOKUP(T_Convention[[#This Row],[NumL]],T_Commission[#Data],COLUMN(T_Commission[FINAL]),FALSE)</f>
        <v/>
      </c>
      <c r="C161" s="162"/>
      <c r="D161" s="95" t="e">
        <f>IF(VLOOKUP(T_Convention[[#This Row],[NumL]],T_TraitDi[#Data],COLUMN(T_TraitDi[WebC]),FALSE)="","",VLOOKUP(T_Convention[[#This Row],[NumL]],T_TraitDi[#Data],COLUMN(T_TraitDi[WebC]),FALSE))</f>
        <v>#N/A</v>
      </c>
      <c r="E161" s="163" t="str">
        <f t="shared" si="10"/>
        <v>12 janvier 2021</v>
      </c>
      <c r="F161" s="282" t="str">
        <f>IF(T_Convention[[#This Row],[Final]]&lt;&gt;"",VLOOKUP(T_Convention[[#This Row],[NumL]],T_suiviDi[#Data],COLUMN((T_suiviDi[Civ.])),FALSE),"")</f>
        <v/>
      </c>
      <c r="G161" s="283" t="str">
        <f>IF(T_Convention[[#This Row],[Final]]&lt;&gt;"",VLOOKUP(T_Convention[[#This Row],[NumL]],T_suiviDi[#Data],COLUMN((T_suiviDi[Nom])),FALSE),"")</f>
        <v/>
      </c>
      <c r="H161" s="282" t="str">
        <f>IF(T_Convention[[#This Row],[Final]]&lt;&gt;"",VLOOKUP(T_Convention[[#This Row],[NumL]],T_suiviDi[#Data],COLUMN((T_suiviDi[Prénom])),FALSE),"")</f>
        <v/>
      </c>
      <c r="I161" s="282" t="e">
        <f>VLOOKUP(T_Convention[[#This Row],[NumL]],T_suiviDi[#Data],COLUMN((T_suiviDi[[#This Row],[Email]])),FALSE)</f>
        <v>#VALUE!</v>
      </c>
      <c r="J161" s="282" t="e">
        <f>IF(VLOOKUP(T_Convention[[#This Row],[NumL]],T_suiviDi[#Data],COLUMN(T_suiviDi[[#This Row],[Fonction]]),FALSE)="","",VLOOKUP(T_Convention[[#This Row],[NumL]],T_suiviDi[#Data],COLUMN(T_suiviDi[[#This Row],[Fonction]]),FALSE))</f>
        <v>#VALUE!</v>
      </c>
      <c r="K161" s="282" t="e">
        <f>IF(VLOOKUP(T_Convention[[#This Row],[NumL]],T_suiviDi[#Data],COLUMN(T_suiviDi[[#This Row],[Grade]]),FALSE)="","",VLOOKUP(T_Convention[[#This Row],[NumL]],T_suiviDi[#Data],COLUMN(T_suiviDi[[#This Row],[Grade]]),FALSE))</f>
        <v>#VALUE!</v>
      </c>
      <c r="L161" s="282" t="e">
        <f>IF(VLOOKUP(T_Convention[[#This Row],[NumL]],T_suiviDi[#Data],COLUMN(T_suiviDi[[#This Row],[Service ]]),FALSE)="","",VLOOKUP(T_Convention[[#This Row],[NumL]],T_suiviDi[#Data],COLUMN(T_suiviDi[[#This Row],[Service ]]),FALSE))</f>
        <v>#VALUE!</v>
      </c>
      <c r="M161" s="164" t="str">
        <f t="shared" si="11"/>
        <v>01 septembre 2021</v>
      </c>
      <c r="N161" s="164" t="str">
        <f t="shared" si="12"/>
        <v>30 novembre 2021</v>
      </c>
      <c r="O161" s="284" t="str">
        <f t="shared" si="13"/>
        <v>30 novembre 2021</v>
      </c>
      <c r="P161" s="282" t="e">
        <f>IF(VLOOKUP(T_Convention[[#This Row],[NumL]],T_TraitDi[#Data],COLUMN(T_TraitDi[M1]),FALSE)="","",VLOOKUP(T_Convention[[#This Row],[NumL]],T_TraitDi[#Data],COLUMN(T_TraitDi[M1]),FALSE))</f>
        <v>#N/A</v>
      </c>
      <c r="Q161" s="282" t="e">
        <f>IF(VLOOKUP(T_Convention[[#This Row],[NumL]],T_TraitDi[#Data],COLUMN(T_TraitDi[M2]),FALSE)="","",VLOOKUP(T_Convention[[#This Row],[NumL]],T_TraitDi[#Data],COLUMN(T_TraitDi[M2]),FALSE))</f>
        <v>#N/A</v>
      </c>
      <c r="R161" s="282" t="e">
        <f>IF(VLOOKUP(T_Convention[[#This Row],[NumL]],T_TraitDi[#Data],COLUMN(T_TraitDi[M3]),FALSE)="","",VLOOKUP(T_Convention[[#This Row],[NumL]],T_TraitDi[#Data],COLUMN(T_TraitDi[M3]),FALSE))</f>
        <v>#N/A</v>
      </c>
      <c r="S161" s="282" t="e">
        <f>IF(VLOOKUP(T_Convention[[#This Row],[NumL]],T_TraitDi[#Data],COLUMN(T_TraitDi[M4]),FALSE)="","",VLOOKUP(T_Convention[[#This Row],[NumL]],T_TraitDi[#Data],COLUMN(T_TraitDi[M4]),FALSE))</f>
        <v>#N/A</v>
      </c>
      <c r="T161" s="282" t="e">
        <f>IF(VLOOKUP(T_Convention[[#This Row],[NumL]],T_TraitDi[#Data],COLUMN(T_TraitDi[M5]),FALSE)="","",VLOOKUP(T_Convention[[#This Row],[NumL]],T_TraitDi[#Data],COLUMN(T_TraitDi[M5]),FALSE))</f>
        <v>#N/A</v>
      </c>
      <c r="U161" s="282" t="e">
        <f>IF(VLOOKUP(T_Convention[[#This Row],[NumL]],T_TraitDi[#Data],COLUMN(T_TraitDi[M6]),FALSE)="","",VLOOKUP(T_Convention[[#This Row],[NumL]],T_TraitDi[#Data],COLUMN(T_TraitDi[M6]),FALSE))</f>
        <v>#N/A</v>
      </c>
      <c r="V161" s="176" t="e">
        <f t="shared" si="14"/>
        <v>#N/A</v>
      </c>
      <c r="W161" s="284" t="str">
        <f>IFERROR(TEXT(VLOOKUP(T_Convention[[#This Row],[NumL]],T_TraitDi[#Data],COLUMN(T_TraitDi[Q2]),FALSE),"###%"),"")</f>
        <v/>
      </c>
      <c r="X161" s="97" t="e">
        <f>VLOOKUP(T_Convention[[#This Row],[NumL]],T_TraitDi[#Data],COLUMN(T_TraitDi[Reg Ponct]),FALSE)</f>
        <v>#N/A</v>
      </c>
      <c r="Y161" s="97" t="e">
        <f>VLOOKUP(T_Convention[NumL],T_TraitDi[#Data],COLUMN(T_TraitDi[Jours flottants]),FALSE)</f>
        <v>#N/A</v>
      </c>
      <c r="Z161" s="284" t="str">
        <f>IFERROR(VLOOKUP(T_Convention[[#This Row],[NumL]],T_TraitDi[#Data],COLUMN(T_TraitDi[Lundi]),FALSE),"")</f>
        <v/>
      </c>
      <c r="AA161" s="284" t="e">
        <f>IF(VLOOKUP(T_Convention[[#This Row],[NumL]],T_TraitDi[#Data],COLUMN(T_TraitDi[Colonne3]),FALSE)=0,"",TEXT(IFERROR(VLOOKUP(T_Convention[[#This Row],[NumL]],T_TraitDi[#Data],COLUMN(T_TraitDi[Colonne3]),FALSE),""),"[hh]:mm"))</f>
        <v>#N/A</v>
      </c>
      <c r="AB161" s="284" t="e">
        <f>IF(VLOOKUP(T_Convention[[#This Row],[NumL]],T_TraitDi[#Data],COLUMN(T_TraitDi[Colonne4]),FALSE)=0,"",TEXT(IFERROR(VLOOKUP(T_Convention[[#This Row],[NumL]],T_TraitDi[#Data],COLUMN(T_TraitDi[Colonne4]),FALSE),""),"[hh]:mm"))</f>
        <v>#N/A</v>
      </c>
      <c r="AC161" s="284" t="e">
        <f>IF(VLOOKUP(T_Convention[[#This Row],[NumL]],T_TraitDi[#Data],COLUMN(T_TraitDi[Colonne5]),FALSE)=0,"",TEXT(IFERROR(VLOOKUP(T_Convention[[#This Row],[NumL]],T_TraitDi[#Data],COLUMN(T_TraitDi[Colonne5]),FALSE),""),"[hh]:mm"))</f>
        <v>#N/A</v>
      </c>
      <c r="AD161" s="284" t="e">
        <f>IF(VLOOKUP(T_Convention[[#This Row],[NumL]],T_TraitDi[#Data],COLUMN(T_TraitDi[Colonne6]),FALSE)=0,"",TEXT(IFERROR(VLOOKUP(T_Convention[[#This Row],[NumL]],T_TraitDi[#Data],COLUMN(T_TraitDi[Colonne6]),FALSE),""),"[hh]:mm"))</f>
        <v>#N/A</v>
      </c>
      <c r="AE161" s="284" t="e">
        <f>IF(VLOOKUP(T_Convention[[#This Row],[NumL]],T_TraitDi[#Data],COLUMN(T_TraitDi[Colonne7]),FALSE)=0,"",TEXT(IFERROR(VLOOKUP(T_Convention[[#This Row],[NumL]],T_TraitDi[#Data],COLUMN(T_TraitDi[Colonne7]),FALSE),""),"[hh]:mm"))</f>
        <v>#N/A</v>
      </c>
      <c r="AF161" s="284" t="e">
        <f>IF(VLOOKUP(T_Convention[[#This Row],[NumL]],T_TraitDi[#Data],COLUMN(T_TraitDi[Colonne8]),FALSE)=0,"",TEXT(IFERROR(VLOOKUP(T_Convention[[#This Row],[NumL]],T_TraitDi[#Data],COLUMN(T_TraitDi[Colonne8]),FALSE),""),"[hh]:mm"))</f>
        <v>#N/A</v>
      </c>
      <c r="AG161" s="284" t="str">
        <f>IFERROR(VLOOKUP(T_Convention[[#This Row],[NumL]],T_TraitDi[#Data],COLUMN(T_TraitDi[Mardi]),FALSE),"")</f>
        <v/>
      </c>
      <c r="AH161" s="284" t="e">
        <f>IF(VLOOKUP(T_Convention[[#This Row],[NumL]],T_TraitDi[#Data],COLUMN(T_TraitDi[Colonne1]),FALSE)=0,"",TEXT(IFERROR(VLOOKUP(T_Convention[[#This Row],[NumL]],T_TraitDi[#Data],COLUMN(T_TraitDi[Colonne1]),FALSE),""),"[hh]:mm"))</f>
        <v>#N/A</v>
      </c>
      <c r="AI161" s="284" t="e">
        <f>IF(VLOOKUP(T_Convention[[#This Row],[NumL]],T_TraitDi[#Data],COLUMN(T_TraitDi[Colonne9]),FALSE)=0,"",TEXT(IFERROR(VLOOKUP(T_Convention[[#This Row],[NumL]],T_TraitDi[#Data],COLUMN(T_TraitDi[Colonne9]),FALSE),""),"[hh]:mm"))</f>
        <v>#N/A</v>
      </c>
      <c r="AJ161" s="284" t="str">
        <f>IFERROR(VLOOKUP(T_Convention[[#This Row],[NumL]],T_TraitDi[#Data],COLUMN(T_TraitDi[Colonne10]),FALSE),"")</f>
        <v/>
      </c>
      <c r="AK161" s="284" t="e">
        <f>IF(VLOOKUP(T_Convention[[#This Row],[NumL]],T_TraitDi[#Data],COLUMN(T_TraitDi[Colonne11]),FALSE)=0,"",TEXT(IFERROR(VLOOKUP(T_Convention[[#This Row],[NumL]],T_TraitDi[#Data],COLUMN(T_TraitDi[Colonne11]),FALSE),""),"[hh]:mm"))</f>
        <v>#N/A</v>
      </c>
      <c r="AL161" s="284" t="e">
        <f>IF(VLOOKUP(T_Convention[[#This Row],[NumL]],T_TraitDi[#Data],COLUMN(T_TraitDi[Colonne12]),FALSE)=0,"",TEXT(IFERROR(VLOOKUP(T_Convention[[#This Row],[NumL]],T_TraitDi[#Data],COLUMN(T_TraitDi[Colonne12]),FALSE),""),"[hh]:mm"))</f>
        <v>#N/A</v>
      </c>
      <c r="AM161" s="284" t="e">
        <f>IF(VLOOKUP(T_Convention[[#This Row],[NumL]],T_TraitDi[#Data],COLUMN(T_TraitDi[Colonne14]),FALSE)=0,"",TEXT(IFERROR(VLOOKUP(T_Convention[[#This Row],[NumL]],T_TraitDi[#Data],COLUMN(T_TraitDi[Colonne14]),FALSE),""),"[hh]:mm"))</f>
        <v>#N/A</v>
      </c>
      <c r="AN161" s="284" t="str">
        <f>IFERROR(VLOOKUP(T_Convention[[#This Row],[NumL]],T_TraitDi[#Data],COLUMN(T_TraitDi[Mercredi]),FALSE),"")</f>
        <v/>
      </c>
      <c r="AO161" s="284" t="e">
        <f>IF(VLOOKUP(T_Convention[[#This Row],[NumL]],T_TraitDi[#Data],COLUMN(T_TraitDi[Colonne15]),FALSE)=0,"",TEXT(IFERROR(VLOOKUP(T_Convention[[#This Row],[NumL]],T_TraitDi[#Data],COLUMN(T_TraitDi[Colonne15]),FALSE),""),"[hh]:mm"))</f>
        <v>#N/A</v>
      </c>
      <c r="AP161" s="284" t="e">
        <f>IF(VLOOKUP(T_Convention[[#This Row],[NumL]],T_TraitDi[#Data],COLUMN(T_TraitDi[Colonne16]),FALSE)=0,"",TEXT(IFERROR(VLOOKUP(T_Convention[[#This Row],[NumL]],T_TraitDi[#Data],COLUMN(T_TraitDi[Colonne16]),FALSE),""),"[hh]:mm"))</f>
        <v>#N/A</v>
      </c>
      <c r="AQ161" s="284" t="str">
        <f>IFERROR(VLOOKUP(T_Convention[[#This Row],[NumL]],T_TraitDi[#Data],COLUMN(T_TraitDi[Colonne17]),FALSE),"")</f>
        <v/>
      </c>
      <c r="AR161" s="284" t="e">
        <f>IF(VLOOKUP(T_Convention[[#This Row],[NumL]],T_TraitDi[#Data],COLUMN(T_TraitDi[Colonne18]),FALSE)=0,"",TEXT(IFERROR(VLOOKUP(T_Convention[[#This Row],[NumL]],T_TraitDi[#Data],COLUMN(T_TraitDi[Colonne18]),FALSE),""),"[hh]:mm"))</f>
        <v>#N/A</v>
      </c>
      <c r="AS161" s="284" t="e">
        <f>IF(VLOOKUP(T_Convention[[#This Row],[NumL]],T_TraitDi[#Data],COLUMN(T_TraitDi[Colonne19]),FALSE)=0,"",TEXT(IFERROR(VLOOKUP(T_Convention[[#This Row],[NumL]],T_TraitDi[#Data],COLUMN(T_TraitDi[Colonne19]),FALSE),""),"[hh]:mm"))</f>
        <v>#N/A</v>
      </c>
      <c r="AT161" s="284" t="e">
        <f>IF(VLOOKUP(T_Convention[[#This Row],[NumL]],T_TraitDi[#Data],COLUMN(T_TraitDi[Colonne20]),FALSE)=0,"",TEXT(IFERROR(VLOOKUP(T_Convention[[#This Row],[NumL]],T_TraitDi[#Data],COLUMN(T_TraitDi[Colonne20]),FALSE),""),"[hh]:mm"))</f>
        <v>#N/A</v>
      </c>
      <c r="AU161" s="284" t="str">
        <f>IFERROR(VLOOKUP(T_Convention[[#This Row],[NumL]],T_TraitDi[#Data],COLUMN(T_TraitDi[Jeudi]),FALSE),"")</f>
        <v/>
      </c>
      <c r="AV161" s="284" t="e">
        <f>IF(VLOOKUP(T_Convention[[#This Row],[NumL]],T_TraitDi[#Data],COLUMN(T_TraitDi[Colonne21]),FALSE)=0,"",TEXT(IFERROR(VLOOKUP(T_Convention[[#This Row],[NumL]],T_TraitDi[#Data],COLUMN(T_TraitDi[Colonne21]),FALSE),""),"[hh]:mm"))</f>
        <v>#N/A</v>
      </c>
      <c r="AW161" s="284" t="e">
        <f>IF(VLOOKUP(T_Convention[[#This Row],[NumL]],T_TraitDi[#Data],COLUMN(T_TraitDi[Colonne22]),FALSE)=0,"",TEXT(IFERROR(VLOOKUP(T_Convention[[#This Row],[NumL]],T_TraitDi[#Data],COLUMN(T_TraitDi[Colonne22]),FALSE),""),"[hh]:mm"))</f>
        <v>#N/A</v>
      </c>
      <c r="AX161" s="284" t="str">
        <f>IFERROR(VLOOKUP(T_Convention[[#This Row],[NumL]],T_TraitDi[#Data],COLUMN(T_TraitDi[Colonne23]),FALSE),"")</f>
        <v/>
      </c>
      <c r="AY161" s="284" t="e">
        <f>IF(VLOOKUP(T_Convention[[#This Row],[NumL]],T_TraitDi[#Data],COLUMN(T_TraitDi[Colonne24]),FALSE)=0,"",TEXT(IFERROR(VLOOKUP(T_Convention[[#This Row],[NumL]],T_TraitDi[#Data],COLUMN(T_TraitDi[Colonne24]),FALSE),""),"[hh]:mm"))</f>
        <v>#N/A</v>
      </c>
      <c r="AZ161" s="284" t="e">
        <f>IF(VLOOKUP(T_Convention[[#This Row],[NumL]],T_TraitDi[#Data],COLUMN(T_TraitDi[Colonne25]),FALSE)=0,"",TEXT(IFERROR(VLOOKUP(T_Convention[[#This Row],[NumL]],T_TraitDi[#Data],COLUMN(T_TraitDi[Colonne25]),FALSE),""),"[hh]:mm"))</f>
        <v>#N/A</v>
      </c>
      <c r="BA161" s="284" t="e">
        <f>IF(VLOOKUP(T_Convention[[#This Row],[NumL]],T_TraitDi[#Data],COLUMN(T_TraitDi[Colonne26]),FALSE)=0,"",TEXT(IFERROR(VLOOKUP(T_Convention[[#This Row],[NumL]],T_TraitDi[#Data],COLUMN(T_TraitDi[Colonne26]),FALSE),""),"[hh]:mm"))</f>
        <v>#N/A</v>
      </c>
      <c r="BB161" s="284" t="str">
        <f>IFERROR(VLOOKUP(T_Convention[[#This Row],[NumL]],T_TraitDi[#Data],COLUMN(T_TraitDi[Vendredi]),FALSE),"")</f>
        <v/>
      </c>
      <c r="BC161" s="284" t="e">
        <f>IF(VLOOKUP(T_Convention[[#This Row],[NumL]],T_TraitDi[#Data],COLUMN(T_TraitDi[Colonne27]),FALSE)=0,"",TEXT(IFERROR(VLOOKUP(T_Convention[[#This Row],[NumL]],T_TraitDi[#Data],COLUMN(T_TraitDi[Colonne27]),FALSE),""),"[hh]:mm"))</f>
        <v>#N/A</v>
      </c>
      <c r="BD161" s="284" t="e">
        <f>IF(VLOOKUP(T_Convention[[#This Row],[NumL]],T_TraitDi[#Data],COLUMN(T_TraitDi[Colonne28]),FALSE)=0,"",TEXT(IFERROR(VLOOKUP(T_Convention[[#This Row],[NumL]],T_TraitDi[#Data],COLUMN(T_TraitDi[Colonne28]),FALSE),""),"[hh]:mm"))</f>
        <v>#N/A</v>
      </c>
      <c r="BE161" s="284" t="str">
        <f>IFERROR(VLOOKUP(T_Convention[[#This Row],[NumL]],T_TraitDi[#Data],COLUMN(T_TraitDi[Colonne29]),FALSE),"")</f>
        <v/>
      </c>
      <c r="BF161" s="284" t="e">
        <f>IF(VLOOKUP(T_Convention[[#This Row],[NumL]],T_TraitDi[#Data],COLUMN(T_TraitDi[Colonne30]),FALSE)=0,"",TEXT(IFERROR(VLOOKUP(T_Convention[[#This Row],[NumL]],T_TraitDi[#Data],COLUMN(T_TraitDi[Colonne30]),FALSE),""),"[hh]:mm"))</f>
        <v>#N/A</v>
      </c>
      <c r="BG161" s="284" t="e">
        <f>IF(VLOOKUP(T_Convention[[#This Row],[NumL]],T_TraitDi[#Data],COLUMN(T_TraitDi[Colonne31]),FALSE)=0,"",TEXT(IFERROR(VLOOKUP(T_Convention[[#This Row],[NumL]],T_TraitDi[#Data],COLUMN(T_TraitDi[Colonne31]),FALSE),""),"[hh]:mm"))</f>
        <v>#N/A</v>
      </c>
      <c r="BH161" s="284" t="e">
        <f>IF(VLOOKUP(T_Convention[[#This Row],[NumL]],T_TraitDi[#Data],COLUMN(T_TraitDi[Colonne32]),FALSE)=0,"",TEXT(IFERROR(VLOOKUP(T_Convention[[#This Row],[NumL]],T_TraitDi[#Data],COLUMN(T_TraitDi[Colonne32]),FALSE),""),"[hh]:mm"))</f>
        <v>#N/A</v>
      </c>
      <c r="BI161" s="284" t="str">
        <f>IFERROR(VLOOKUP(T_Convention[[#This Row],[NumL]],T_TraitDi[#Data],COLUMN(T_TraitDi[NbJTW]),FALSE),"")</f>
        <v/>
      </c>
      <c r="BJ161" s="284" t="e">
        <f>IF(VLOOKUP(T_Convention[[#This Row],[NumL]],T_TraitDi[#Data],COLUMN(T_TraitDi[NbhTW]),FALSE)=0,"",TEXT(IFERROR(VLOOKUP(T_Convention[[#This Row],[NumL]],T_TraitDi[#Data],COLUMN(T_TraitDi[NbhTW]),FALSE),""),"[hh]:mm"))</f>
        <v>#N/A</v>
      </c>
      <c r="BK161" s="286" t="e">
        <f>IF(VLOOKUP(T_Convention[[#This Row],[NumL]],T_TraitDi[#Data],COLUMN(T_TraitDi[Nbhheb]),FALSE)=0,"",TEXT(IFERROR(VLOOKUP(T_Convention[[#This Row],[NumL]],T_TraitDi[#Data],COLUMN(T_TraitDi[Nbhheb]),FALSE),""),"[hh]:mm"))</f>
        <v>#N/A</v>
      </c>
      <c r="BL161" s="287" t="str">
        <f>IFERROR(VLOOKUP(VLOOKUP(T_Convention[[#This Row],[NumL]],T_TraitDi[#Data],COLUMN(T_TraitDi[Type1]),FALSE),TypeTW,2,FALSE),"")</f>
        <v/>
      </c>
      <c r="BM161" s="288" t="str">
        <f>IFERROR(VLOOKUP(T_Convention[[#This Row],[NumL]],T_TraitDi[#Data],COLUMN(T_TraitDi[Rue1]),FALSE),"")</f>
        <v/>
      </c>
      <c r="BN161" s="289" t="str">
        <f>IFERROR(VLOOKUP(T_Convention[[#This Row],[NumL]],T_TraitDi[#Data],COLUMN(T_TraitDi[CP1]),FALSE),"")</f>
        <v/>
      </c>
      <c r="BO161" s="282" t="str">
        <f>IFERROR(VLOOKUP(T_Convention[[#This Row],[NumL]],T_TraitDi[#Data],COLUMN(T_TraitDi[VILLE1]),FALSE),"")</f>
        <v/>
      </c>
      <c r="BP161" s="290" t="str">
        <f>IFERROR(VLOOKUP(VLOOKUP(T_Convention[[#This Row],[NumL]],T_TraitDi[#Data],COLUMN(T_TraitDi[Type2]),FALSE),TypeTW,2,FALSE),"")</f>
        <v/>
      </c>
      <c r="BQ161" s="182" t="str">
        <f>IFERROR(VLOOKUP(T_Convention[[#This Row],[NumL]],T_TraitDi[#Data],COLUMN(T_TraitDi[Rue2]),FALSE),"")</f>
        <v/>
      </c>
      <c r="BR161" s="173" t="str">
        <f>IFERROR(VLOOKUP(T_Convention[[#This Row],[NumL]],T_TraitDi[#Data],COLUMN(T_TraitDi[CP2]),FALSE),"")</f>
        <v/>
      </c>
      <c r="BS161" s="173" t="str">
        <f>IFERROR(VLOOKUP(T_Convention[[#This Row],[NumL]],T_TraitDi[#Data],COLUMN(T_TraitDi[VILLE2]),FALSE),"")</f>
        <v/>
      </c>
      <c r="BT161" s="182" t="str">
        <f>IF(VLOOKUP(T_Convention[[#This Row],[NumL]],T_Equipement[#Data],COLUMN(T_Equipement[PC]),FALSE)="","Aucun équipement spécifique directement lié au télétravail",VLOOKUP(T_Convention[[#This Row],[NumL]],T_Equipement[#Data],COLUMN(T_Equipement[PC]),FALSE))</f>
        <v>18-226</v>
      </c>
      <c r="BU161" s="166" t="str">
        <f>IFERROR(IF(VLOOKUP(T_Convention[[#This Row],[NumL]],T_TraitDi[#Data],COLUMN(T_TraitDi[Plan]),FALSE)="OK","Un planning spécifique de télétravail est annexé à la présente convention.",""),"")</f>
        <v/>
      </c>
      <c r="BV161" s="185" t="s">
        <v>3306</v>
      </c>
      <c r="BW161" s="164" t="e">
        <f>IF(VLOOKUP(T_Convention[[#This Row],[NumL]],T_suiviDi[#Data],COLUMN(T_suiviDi[Entité]),FALSE)="","",VLOOKUP(T_Convention[[#This Row],[NumL]],T_suiviDi[#Data],COLUMN(T_suiviDi[Entité]),FALSE))</f>
        <v>#N/A</v>
      </c>
      <c r="BX161" s="164" t="str">
        <f>IF(VLOOKUP(T_Convention[[#This Row],[NumL]],T_Commission[#Data],COLUMN(T_Commission[envoi confirm TW]),FALSE)="","",VLOOKUP(T_Convention[[#This Row],[NumL]],T_Commission[#Data],COLUMN(T_Commission[envoi confirm TW]),FALSE))</f>
        <v>Oui</v>
      </c>
      <c r="BY16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1" s="264">
        <f>VLOOKUP(T_Convention[[#This Row],[NumL]],T_Commission[#Data],COLUMN(T_Commission[Commentaire]),FALSE)</f>
        <v>0</v>
      </c>
      <c r="CA161" s="254" t="str">
        <f>IF(VLOOKUP(T_Convention[[#This Row],[NumL]],T_Commission[#Data],COLUMN(T_Commission[Encadrant Email]),FALSE)="","",VLOOKUP(T_Convention[[#This Row],[NumL]],T_Commission[#Data],COLUMN(T_Commission[Encadrant Email]),FALSE))</f>
        <v/>
      </c>
      <c r="CB161" s="352" t="e">
        <f>VLOOKUP(T_Convention[[#This Row],[NumL]],T_TraitDi[#Data],COLUMN(T_TraitDi[NbJTot]),FALSE)</f>
        <v>#N/A</v>
      </c>
      <c r="CC161" s="352" t="e">
        <f>VLOOKUP(T_Convention[[#This Row],[NumL]],T_TraitDi[#Data],COLUMN(T_TraitDi[Reg Ponct]),FALSE)</f>
        <v>#N/A</v>
      </c>
      <c r="CD161" s="348" t="str">
        <f>IF(T_Convention[[#This Row],[Final]]&lt;&gt;"",VLOOKUP(T_Convention[[#This Row],[NumL]],T_suiviDi[#Data],COLUMN((T_suiviDi[Statut])),FALSE),"")</f>
        <v/>
      </c>
    </row>
    <row r="162" spans="1:82" s="106" customFormat="1" ht="18.75" customHeight="1" x14ac:dyDescent="0.25">
      <c r="A162" s="160">
        <v>285</v>
      </c>
      <c r="B162" s="161" t="str">
        <f>VLOOKUP(T_Convention[[#This Row],[NumL]],T_Commission[#Data],COLUMN(T_Commission[FINAL]),FALSE)</f>
        <v/>
      </c>
      <c r="C162" s="162"/>
      <c r="D162" s="95" t="e">
        <f>IF(VLOOKUP(T_Convention[[#This Row],[NumL]],T_TraitDi[#Data],COLUMN(T_TraitDi[WebC]),FALSE)="","",VLOOKUP(T_Convention[[#This Row],[NumL]],T_TraitDi[#Data],COLUMN(T_TraitDi[WebC]),FALSE))</f>
        <v>#N/A</v>
      </c>
      <c r="E162" s="163" t="str">
        <f t="shared" si="10"/>
        <v>12 janvier 2021</v>
      </c>
      <c r="F162" s="282" t="str">
        <f>IF(T_Convention[[#This Row],[Final]]&lt;&gt;"",VLOOKUP(T_Convention[[#This Row],[NumL]],T_suiviDi[#Data],COLUMN((T_suiviDi[Civ.])),FALSE),"")</f>
        <v/>
      </c>
      <c r="G162" s="283" t="str">
        <f>IF(T_Convention[[#This Row],[Final]]&lt;&gt;"",VLOOKUP(T_Convention[[#This Row],[NumL]],T_suiviDi[#Data],COLUMN((T_suiviDi[Nom])),FALSE),"")</f>
        <v/>
      </c>
      <c r="H162" s="282" t="str">
        <f>IF(T_Convention[[#This Row],[Final]]&lt;&gt;"",VLOOKUP(T_Convention[[#This Row],[NumL]],T_suiviDi[#Data],COLUMN((T_suiviDi[Prénom])),FALSE),"")</f>
        <v/>
      </c>
      <c r="I162" s="282" t="e">
        <f>VLOOKUP(T_Convention[[#This Row],[NumL]],T_suiviDi[#Data],COLUMN((T_suiviDi[[#This Row],[Email]])),FALSE)</f>
        <v>#VALUE!</v>
      </c>
      <c r="J162" s="282" t="e">
        <f>IF(VLOOKUP(T_Convention[[#This Row],[NumL]],T_suiviDi[#Data],COLUMN(T_suiviDi[[#This Row],[Fonction]]),FALSE)="","",VLOOKUP(T_Convention[[#This Row],[NumL]],T_suiviDi[#Data],COLUMN(T_suiviDi[[#This Row],[Fonction]]),FALSE))</f>
        <v>#VALUE!</v>
      </c>
      <c r="K162" s="282" t="e">
        <f>IF(VLOOKUP(T_Convention[[#This Row],[NumL]],T_suiviDi[#Data],COLUMN(T_suiviDi[[#This Row],[Grade]]),FALSE)="","",VLOOKUP(T_Convention[[#This Row],[NumL]],T_suiviDi[#Data],COLUMN(T_suiviDi[[#This Row],[Grade]]),FALSE))</f>
        <v>#VALUE!</v>
      </c>
      <c r="L162" s="282" t="e">
        <f>IF(VLOOKUP(T_Convention[[#This Row],[NumL]],T_suiviDi[#Data],COLUMN(T_suiviDi[[#This Row],[Service ]]),FALSE)="","",VLOOKUP(T_Convention[[#This Row],[NumL]],T_suiviDi[#Data],COLUMN(T_suiviDi[[#This Row],[Service ]]),FALSE))</f>
        <v>#VALUE!</v>
      </c>
      <c r="M162" s="164" t="str">
        <f t="shared" si="11"/>
        <v>01 septembre 2021</v>
      </c>
      <c r="N162" s="164" t="str">
        <f t="shared" si="12"/>
        <v>30 novembre 2021</v>
      </c>
      <c r="O162" s="284" t="str">
        <f t="shared" si="13"/>
        <v>30 novembre 2021</v>
      </c>
      <c r="P162" s="282" t="e">
        <f>IF(VLOOKUP(T_Convention[[#This Row],[NumL]],T_TraitDi[#Data],COLUMN(T_TraitDi[M1]),FALSE)="","",VLOOKUP(T_Convention[[#This Row],[NumL]],T_TraitDi[#Data],COLUMN(T_TraitDi[M1]),FALSE))</f>
        <v>#N/A</v>
      </c>
      <c r="Q162" s="282" t="e">
        <f>IF(VLOOKUP(T_Convention[[#This Row],[NumL]],T_TraitDi[#Data],COLUMN(T_TraitDi[M2]),FALSE)="","",VLOOKUP(T_Convention[[#This Row],[NumL]],T_TraitDi[#Data],COLUMN(T_TraitDi[M2]),FALSE))</f>
        <v>#N/A</v>
      </c>
      <c r="R162" s="282" t="e">
        <f>IF(VLOOKUP(T_Convention[[#This Row],[NumL]],T_TraitDi[#Data],COLUMN(T_TraitDi[M3]),FALSE)="","",VLOOKUP(T_Convention[[#This Row],[NumL]],T_TraitDi[#Data],COLUMN(T_TraitDi[M3]),FALSE))</f>
        <v>#N/A</v>
      </c>
      <c r="S162" s="282" t="e">
        <f>IF(VLOOKUP(T_Convention[[#This Row],[NumL]],T_TraitDi[#Data],COLUMN(T_TraitDi[M4]),FALSE)="","",VLOOKUP(T_Convention[[#This Row],[NumL]],T_TraitDi[#Data],COLUMN(T_TraitDi[M4]),FALSE))</f>
        <v>#N/A</v>
      </c>
      <c r="T162" s="282" t="e">
        <f>IF(VLOOKUP(T_Convention[[#This Row],[NumL]],T_TraitDi[#Data],COLUMN(T_TraitDi[M5]),FALSE)="","",VLOOKUP(T_Convention[[#This Row],[NumL]],T_TraitDi[#Data],COLUMN(T_TraitDi[M5]),FALSE))</f>
        <v>#N/A</v>
      </c>
      <c r="U162" s="282" t="e">
        <f>IF(VLOOKUP(T_Convention[[#This Row],[NumL]],T_TraitDi[#Data],COLUMN(T_TraitDi[M6]),FALSE)="","",VLOOKUP(T_Convention[[#This Row],[NumL]],T_TraitDi[#Data],COLUMN(T_TraitDi[M6]),FALSE))</f>
        <v>#N/A</v>
      </c>
      <c r="V162" s="176" t="e">
        <f t="shared" si="14"/>
        <v>#N/A</v>
      </c>
      <c r="W162" s="284" t="str">
        <f>IFERROR(TEXT(VLOOKUP(T_Convention[[#This Row],[NumL]],T_TraitDi[#Data],COLUMN(T_TraitDi[Q2]),FALSE),"###%"),"")</f>
        <v/>
      </c>
      <c r="X162" s="97" t="e">
        <f>VLOOKUP(T_Convention[[#This Row],[NumL]],T_TraitDi[#Data],COLUMN(T_TraitDi[Reg Ponct]),FALSE)</f>
        <v>#N/A</v>
      </c>
      <c r="Y162" s="97" t="e">
        <f>VLOOKUP(T_Convention[NumL],T_TraitDi[#Data],COLUMN(T_TraitDi[Jours flottants]),FALSE)</f>
        <v>#N/A</v>
      </c>
      <c r="Z162" s="284" t="str">
        <f>IFERROR(VLOOKUP(T_Convention[[#This Row],[NumL]],T_TraitDi[#Data],COLUMN(T_TraitDi[Lundi]),FALSE),"")</f>
        <v/>
      </c>
      <c r="AA162" s="284" t="e">
        <f>IF(VLOOKUP(T_Convention[[#This Row],[NumL]],T_TraitDi[#Data],COLUMN(T_TraitDi[Colonne3]),FALSE)=0,"",TEXT(IFERROR(VLOOKUP(T_Convention[[#This Row],[NumL]],T_TraitDi[#Data],COLUMN(T_TraitDi[Colonne3]),FALSE),""),"[hh]:mm"))</f>
        <v>#N/A</v>
      </c>
      <c r="AB162" s="284" t="e">
        <f>IF(VLOOKUP(T_Convention[[#This Row],[NumL]],T_TraitDi[#Data],COLUMN(T_TraitDi[Colonne4]),FALSE)=0,"",TEXT(IFERROR(VLOOKUP(T_Convention[[#This Row],[NumL]],T_TraitDi[#Data],COLUMN(T_TraitDi[Colonne4]),FALSE),""),"[hh]:mm"))</f>
        <v>#N/A</v>
      </c>
      <c r="AC162" s="284" t="e">
        <f>IF(VLOOKUP(T_Convention[[#This Row],[NumL]],T_TraitDi[#Data],COLUMN(T_TraitDi[Colonne5]),FALSE)=0,"",TEXT(IFERROR(VLOOKUP(T_Convention[[#This Row],[NumL]],T_TraitDi[#Data],COLUMN(T_TraitDi[Colonne5]),FALSE),""),"[hh]:mm"))</f>
        <v>#N/A</v>
      </c>
      <c r="AD162" s="284" t="e">
        <f>IF(VLOOKUP(T_Convention[[#This Row],[NumL]],T_TraitDi[#Data],COLUMN(T_TraitDi[Colonne6]),FALSE)=0,"",TEXT(IFERROR(VLOOKUP(T_Convention[[#This Row],[NumL]],T_TraitDi[#Data],COLUMN(T_TraitDi[Colonne6]),FALSE),""),"[hh]:mm"))</f>
        <v>#N/A</v>
      </c>
      <c r="AE162" s="284" t="e">
        <f>IF(VLOOKUP(T_Convention[[#This Row],[NumL]],T_TraitDi[#Data],COLUMN(T_TraitDi[Colonne7]),FALSE)=0,"",TEXT(IFERROR(VLOOKUP(T_Convention[[#This Row],[NumL]],T_TraitDi[#Data],COLUMN(T_TraitDi[Colonne7]),FALSE),""),"[hh]:mm"))</f>
        <v>#N/A</v>
      </c>
      <c r="AF162" s="284" t="e">
        <f>IF(VLOOKUP(T_Convention[[#This Row],[NumL]],T_TraitDi[#Data],COLUMN(T_TraitDi[Colonne8]),FALSE)=0,"",TEXT(IFERROR(VLOOKUP(T_Convention[[#This Row],[NumL]],T_TraitDi[#Data],COLUMN(T_TraitDi[Colonne8]),FALSE),""),"[hh]:mm"))</f>
        <v>#N/A</v>
      </c>
      <c r="AG162" s="284" t="str">
        <f>IFERROR(VLOOKUP(T_Convention[[#This Row],[NumL]],T_TraitDi[#Data],COLUMN(T_TraitDi[Mardi]),FALSE),"")</f>
        <v/>
      </c>
      <c r="AH162" s="284" t="e">
        <f>IF(VLOOKUP(T_Convention[[#This Row],[NumL]],T_TraitDi[#Data],COLUMN(T_TraitDi[Colonne1]),FALSE)=0,"",TEXT(IFERROR(VLOOKUP(T_Convention[[#This Row],[NumL]],T_TraitDi[#Data],COLUMN(T_TraitDi[Colonne1]),FALSE),""),"[hh]:mm"))</f>
        <v>#N/A</v>
      </c>
      <c r="AI162" s="284" t="e">
        <f>IF(VLOOKUP(T_Convention[[#This Row],[NumL]],T_TraitDi[#Data],COLUMN(T_TraitDi[Colonne9]),FALSE)=0,"",TEXT(IFERROR(VLOOKUP(T_Convention[[#This Row],[NumL]],T_TraitDi[#Data],COLUMN(T_TraitDi[Colonne9]),FALSE),""),"[hh]:mm"))</f>
        <v>#N/A</v>
      </c>
      <c r="AJ162" s="284" t="str">
        <f>IFERROR(VLOOKUP(T_Convention[[#This Row],[NumL]],T_TraitDi[#Data],COLUMN(T_TraitDi[Colonne10]),FALSE),"")</f>
        <v/>
      </c>
      <c r="AK162" s="284" t="e">
        <f>IF(VLOOKUP(T_Convention[[#This Row],[NumL]],T_TraitDi[#Data],COLUMN(T_TraitDi[Colonne11]),FALSE)=0,"",TEXT(IFERROR(VLOOKUP(T_Convention[[#This Row],[NumL]],T_TraitDi[#Data],COLUMN(T_TraitDi[Colonne11]),FALSE),""),"[hh]:mm"))</f>
        <v>#N/A</v>
      </c>
      <c r="AL162" s="284" t="e">
        <f>IF(VLOOKUP(T_Convention[[#This Row],[NumL]],T_TraitDi[#Data],COLUMN(T_TraitDi[Colonne12]),FALSE)=0,"",TEXT(IFERROR(VLOOKUP(T_Convention[[#This Row],[NumL]],T_TraitDi[#Data],COLUMN(T_TraitDi[Colonne12]),FALSE),""),"[hh]:mm"))</f>
        <v>#N/A</v>
      </c>
      <c r="AM162" s="284" t="e">
        <f>IF(VLOOKUP(T_Convention[[#This Row],[NumL]],T_TraitDi[#Data],COLUMN(T_TraitDi[Colonne14]),FALSE)=0,"",TEXT(IFERROR(VLOOKUP(T_Convention[[#This Row],[NumL]],T_TraitDi[#Data],COLUMN(T_TraitDi[Colonne14]),FALSE),""),"[hh]:mm"))</f>
        <v>#N/A</v>
      </c>
      <c r="AN162" s="284" t="str">
        <f>IFERROR(VLOOKUP(T_Convention[[#This Row],[NumL]],T_TraitDi[#Data],COLUMN(T_TraitDi[Mercredi]),FALSE),"")</f>
        <v/>
      </c>
      <c r="AO162" s="284" t="e">
        <f>IF(VLOOKUP(T_Convention[[#This Row],[NumL]],T_TraitDi[#Data],COLUMN(T_TraitDi[Colonne15]),FALSE)=0,"",TEXT(IFERROR(VLOOKUP(T_Convention[[#This Row],[NumL]],T_TraitDi[#Data],COLUMN(T_TraitDi[Colonne15]),FALSE),""),"[hh]:mm"))</f>
        <v>#N/A</v>
      </c>
      <c r="AP162" s="284" t="e">
        <f>IF(VLOOKUP(T_Convention[[#This Row],[NumL]],T_TraitDi[#Data],COLUMN(T_TraitDi[Colonne16]),FALSE)=0,"",TEXT(IFERROR(VLOOKUP(T_Convention[[#This Row],[NumL]],T_TraitDi[#Data],COLUMN(T_TraitDi[Colonne16]),FALSE),""),"[hh]:mm"))</f>
        <v>#N/A</v>
      </c>
      <c r="AQ162" s="284" t="str">
        <f>IFERROR(VLOOKUP(T_Convention[[#This Row],[NumL]],T_TraitDi[#Data],COLUMN(T_TraitDi[Colonne17]),FALSE),"")</f>
        <v/>
      </c>
      <c r="AR162" s="284" t="e">
        <f>IF(VLOOKUP(T_Convention[[#This Row],[NumL]],T_TraitDi[#Data],COLUMN(T_TraitDi[Colonne18]),FALSE)=0,"",TEXT(IFERROR(VLOOKUP(T_Convention[[#This Row],[NumL]],T_TraitDi[#Data],COLUMN(T_TraitDi[Colonne18]),FALSE),""),"[hh]:mm"))</f>
        <v>#N/A</v>
      </c>
      <c r="AS162" s="284" t="e">
        <f>IF(VLOOKUP(T_Convention[[#This Row],[NumL]],T_TraitDi[#Data],COLUMN(T_TraitDi[Colonne19]),FALSE)=0,"",TEXT(IFERROR(VLOOKUP(T_Convention[[#This Row],[NumL]],T_TraitDi[#Data],COLUMN(T_TraitDi[Colonne19]),FALSE),""),"[hh]:mm"))</f>
        <v>#N/A</v>
      </c>
      <c r="AT162" s="284" t="e">
        <f>IF(VLOOKUP(T_Convention[[#This Row],[NumL]],T_TraitDi[#Data],COLUMN(T_TraitDi[Colonne20]),FALSE)=0,"",TEXT(IFERROR(VLOOKUP(T_Convention[[#This Row],[NumL]],T_TraitDi[#Data],COLUMN(T_TraitDi[Colonne20]),FALSE),""),"[hh]:mm"))</f>
        <v>#N/A</v>
      </c>
      <c r="AU162" s="284" t="str">
        <f>IFERROR(VLOOKUP(T_Convention[[#This Row],[NumL]],T_TraitDi[#Data],COLUMN(T_TraitDi[Jeudi]),FALSE),"")</f>
        <v/>
      </c>
      <c r="AV162" s="284" t="e">
        <f>IF(VLOOKUP(T_Convention[[#This Row],[NumL]],T_TraitDi[#Data],COLUMN(T_TraitDi[Colonne21]),FALSE)=0,"",TEXT(IFERROR(VLOOKUP(T_Convention[[#This Row],[NumL]],T_TraitDi[#Data],COLUMN(T_TraitDi[Colonne21]),FALSE),""),"[hh]:mm"))</f>
        <v>#N/A</v>
      </c>
      <c r="AW162" s="284" t="e">
        <f>IF(VLOOKUP(T_Convention[[#This Row],[NumL]],T_TraitDi[#Data],COLUMN(T_TraitDi[Colonne22]),FALSE)=0,"",TEXT(IFERROR(VLOOKUP(T_Convention[[#This Row],[NumL]],T_TraitDi[#Data],COLUMN(T_TraitDi[Colonne22]),FALSE),""),"[hh]:mm"))</f>
        <v>#N/A</v>
      </c>
      <c r="AX162" s="284" t="str">
        <f>IFERROR(VLOOKUP(T_Convention[[#This Row],[NumL]],T_TraitDi[#Data],COLUMN(T_TraitDi[Colonne23]),FALSE),"")</f>
        <v/>
      </c>
      <c r="AY162" s="284" t="e">
        <f>IF(VLOOKUP(T_Convention[[#This Row],[NumL]],T_TraitDi[#Data],COLUMN(T_TraitDi[Colonne24]),FALSE)=0,"",TEXT(IFERROR(VLOOKUP(T_Convention[[#This Row],[NumL]],T_TraitDi[#Data],COLUMN(T_TraitDi[Colonne24]),FALSE),""),"[hh]:mm"))</f>
        <v>#N/A</v>
      </c>
      <c r="AZ162" s="284" t="e">
        <f>IF(VLOOKUP(T_Convention[[#This Row],[NumL]],T_TraitDi[#Data],COLUMN(T_TraitDi[Colonne25]),FALSE)=0,"",TEXT(IFERROR(VLOOKUP(T_Convention[[#This Row],[NumL]],T_TraitDi[#Data],COLUMN(T_TraitDi[Colonne25]),FALSE),""),"[hh]:mm"))</f>
        <v>#N/A</v>
      </c>
      <c r="BA162" s="284" t="e">
        <f>IF(VLOOKUP(T_Convention[[#This Row],[NumL]],T_TraitDi[#Data],COLUMN(T_TraitDi[Colonne26]),FALSE)=0,"",TEXT(IFERROR(VLOOKUP(T_Convention[[#This Row],[NumL]],T_TraitDi[#Data],COLUMN(T_TraitDi[Colonne26]),FALSE),""),"[hh]:mm"))</f>
        <v>#N/A</v>
      </c>
      <c r="BB162" s="284" t="str">
        <f>IFERROR(VLOOKUP(T_Convention[[#This Row],[NumL]],T_TraitDi[#Data],COLUMN(T_TraitDi[Vendredi]),FALSE),"")</f>
        <v/>
      </c>
      <c r="BC162" s="284" t="e">
        <f>IF(VLOOKUP(T_Convention[[#This Row],[NumL]],T_TraitDi[#Data],COLUMN(T_TraitDi[Colonne27]),FALSE)=0,"",TEXT(IFERROR(VLOOKUP(T_Convention[[#This Row],[NumL]],T_TraitDi[#Data],COLUMN(T_TraitDi[Colonne27]),FALSE),""),"[hh]:mm"))</f>
        <v>#N/A</v>
      </c>
      <c r="BD162" s="284" t="e">
        <f>IF(VLOOKUP(T_Convention[[#This Row],[NumL]],T_TraitDi[#Data],COLUMN(T_TraitDi[Colonne28]),FALSE)=0,"",TEXT(IFERROR(VLOOKUP(T_Convention[[#This Row],[NumL]],T_TraitDi[#Data],COLUMN(T_TraitDi[Colonne28]),FALSE),""),"[hh]:mm"))</f>
        <v>#N/A</v>
      </c>
      <c r="BE162" s="284" t="str">
        <f>IFERROR(VLOOKUP(T_Convention[[#This Row],[NumL]],T_TraitDi[#Data],COLUMN(T_TraitDi[Colonne29]),FALSE),"")</f>
        <v/>
      </c>
      <c r="BF162" s="284" t="e">
        <f>IF(VLOOKUP(T_Convention[[#This Row],[NumL]],T_TraitDi[#Data],COLUMN(T_TraitDi[Colonne30]),FALSE)=0,"",TEXT(IFERROR(VLOOKUP(T_Convention[[#This Row],[NumL]],T_TraitDi[#Data],COLUMN(T_TraitDi[Colonne30]),FALSE),""),"[hh]:mm"))</f>
        <v>#N/A</v>
      </c>
      <c r="BG162" s="284" t="e">
        <f>IF(VLOOKUP(T_Convention[[#This Row],[NumL]],T_TraitDi[#Data],COLUMN(T_TraitDi[Colonne31]),FALSE)=0,"",TEXT(IFERROR(VLOOKUP(T_Convention[[#This Row],[NumL]],T_TraitDi[#Data],COLUMN(T_TraitDi[Colonne31]),FALSE),""),"[hh]:mm"))</f>
        <v>#N/A</v>
      </c>
      <c r="BH162" s="284" t="e">
        <f>IF(VLOOKUP(T_Convention[[#This Row],[NumL]],T_TraitDi[#Data],COLUMN(T_TraitDi[Colonne32]),FALSE)=0,"",TEXT(IFERROR(VLOOKUP(T_Convention[[#This Row],[NumL]],T_TraitDi[#Data],COLUMN(T_TraitDi[Colonne32]),FALSE),""),"[hh]:mm"))</f>
        <v>#N/A</v>
      </c>
      <c r="BI162" s="284" t="str">
        <f>IFERROR(VLOOKUP(T_Convention[[#This Row],[NumL]],T_TraitDi[#Data],COLUMN(T_TraitDi[NbJTW]),FALSE),"")</f>
        <v/>
      </c>
      <c r="BJ162" s="284" t="e">
        <f>IF(VLOOKUP(T_Convention[[#This Row],[NumL]],T_TraitDi[#Data],COLUMN(T_TraitDi[NbhTW]),FALSE)=0,"",TEXT(IFERROR(VLOOKUP(T_Convention[[#This Row],[NumL]],T_TraitDi[#Data],COLUMN(T_TraitDi[NbhTW]),FALSE),""),"[hh]:mm"))</f>
        <v>#N/A</v>
      </c>
      <c r="BK162" s="286" t="e">
        <f>IF(VLOOKUP(T_Convention[[#This Row],[NumL]],T_TraitDi[#Data],COLUMN(T_TraitDi[Nbhheb]),FALSE)=0,"",TEXT(IFERROR(VLOOKUP(T_Convention[[#This Row],[NumL]],T_TraitDi[#Data],COLUMN(T_TraitDi[Nbhheb]),FALSE),""),"[hh]:mm"))</f>
        <v>#N/A</v>
      </c>
      <c r="BL162" s="287" t="str">
        <f>IFERROR(VLOOKUP(VLOOKUP(T_Convention[[#This Row],[NumL]],T_TraitDi[#Data],COLUMN(T_TraitDi[Type1]),FALSE),TypeTW,2,FALSE),"")</f>
        <v/>
      </c>
      <c r="BM162" s="288" t="str">
        <f>IFERROR(VLOOKUP(T_Convention[[#This Row],[NumL]],T_TraitDi[#Data],COLUMN(T_TraitDi[Rue1]),FALSE),"")</f>
        <v/>
      </c>
      <c r="BN162" s="289" t="str">
        <f>IFERROR(VLOOKUP(T_Convention[[#This Row],[NumL]],T_TraitDi[#Data],COLUMN(T_TraitDi[CP1]),FALSE),"")</f>
        <v/>
      </c>
      <c r="BO162" s="282" t="str">
        <f>IFERROR(VLOOKUP(T_Convention[[#This Row],[NumL]],T_TraitDi[#Data],COLUMN(T_TraitDi[VILLE1]),FALSE),"")</f>
        <v/>
      </c>
      <c r="BP162" s="290" t="str">
        <f>IFERROR(VLOOKUP(VLOOKUP(T_Convention[[#This Row],[NumL]],T_TraitDi[#Data],COLUMN(T_TraitDi[Type2]),FALSE),TypeTW,2,FALSE),"")</f>
        <v/>
      </c>
      <c r="BQ162" s="182" t="str">
        <f>IFERROR(VLOOKUP(T_Convention[[#This Row],[NumL]],T_TraitDi[#Data],COLUMN(T_TraitDi[Rue2]),FALSE),"")</f>
        <v/>
      </c>
      <c r="BR162" s="173" t="str">
        <f>IFERROR(VLOOKUP(T_Convention[[#This Row],[NumL]],T_TraitDi[#Data],COLUMN(T_TraitDi[CP2]),FALSE),"")</f>
        <v/>
      </c>
      <c r="BS162" s="173" t="str">
        <f>IFERROR(VLOOKUP(T_Convention[[#This Row],[NumL]],T_TraitDi[#Data],COLUMN(T_TraitDi[VILLE2]),FALSE),"")</f>
        <v/>
      </c>
      <c r="BT162" s="182" t="str">
        <f>IF(VLOOKUP(T_Convention[[#This Row],[NumL]],T_Equipement[#Data],COLUMN(T_Equipement[PC]),FALSE)="","Aucun équipement spécifique directement lié au télétravail",VLOOKUP(T_Convention[[#This Row],[NumL]],T_Equipement[#Data],COLUMN(T_Equipement[PC]),FALSE))</f>
        <v>20-501</v>
      </c>
      <c r="BU162" s="166" t="str">
        <f>IFERROR(IF(VLOOKUP(T_Convention[[#This Row],[NumL]],T_TraitDi[#Data],COLUMN(T_TraitDi[Plan]),FALSE)="OK","Un planning spécifique de télétravail est annexé à la présente convention.",""),"")</f>
        <v/>
      </c>
      <c r="BV162" s="185" t="s">
        <v>3466</v>
      </c>
      <c r="BW162" s="164" t="e">
        <f>IF(VLOOKUP(T_Convention[[#This Row],[NumL]],T_suiviDi[#Data],COLUMN(T_suiviDi[Entité]),FALSE)="","",VLOOKUP(T_Convention[[#This Row],[NumL]],T_suiviDi[#Data],COLUMN(T_suiviDi[Entité]),FALSE))</f>
        <v>#N/A</v>
      </c>
      <c r="BX162" s="164" t="str">
        <f>IF(VLOOKUP(T_Convention[[#This Row],[NumL]],T_Commission[#Data],COLUMN(T_Commission[envoi confirm TW]),FALSE)="","",VLOOKUP(T_Convention[[#This Row],[NumL]],T_Commission[#Data],COLUMN(T_Commission[envoi confirm TW]),FALSE))</f>
        <v>Oui</v>
      </c>
      <c r="BY16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2" s="264">
        <f>VLOOKUP(T_Convention[[#This Row],[NumL]],T_Commission[#Data],COLUMN(T_Commission[Commentaire]),FALSE)</f>
        <v>0</v>
      </c>
      <c r="CA162" s="254" t="str">
        <f>IF(VLOOKUP(T_Convention[[#This Row],[NumL]],T_Commission[#Data],COLUMN(T_Commission[Encadrant Email]),FALSE)="","",VLOOKUP(T_Convention[[#This Row],[NumL]],T_Commission[#Data],COLUMN(T_Commission[Encadrant Email]),FALSE))</f>
        <v/>
      </c>
      <c r="CB162" s="352" t="e">
        <f>VLOOKUP(T_Convention[[#This Row],[NumL]],T_TraitDi[#Data],COLUMN(T_TraitDi[NbJTot]),FALSE)</f>
        <v>#N/A</v>
      </c>
      <c r="CC162" s="352" t="e">
        <f>VLOOKUP(T_Convention[[#This Row],[NumL]],T_TraitDi[#Data],COLUMN(T_TraitDi[Reg Ponct]),FALSE)</f>
        <v>#N/A</v>
      </c>
      <c r="CD162" s="348" t="str">
        <f>IF(T_Convention[[#This Row],[Final]]&lt;&gt;"",VLOOKUP(T_Convention[[#This Row],[NumL]],T_suiviDi[#Data],COLUMN((T_suiviDi[Statut])),FALSE),"")</f>
        <v/>
      </c>
    </row>
    <row r="163" spans="1:82" s="106" customFormat="1" ht="18.75" customHeight="1" x14ac:dyDescent="0.25">
      <c r="A163" s="160">
        <v>9</v>
      </c>
      <c r="B163" s="161" t="str">
        <f>VLOOKUP(T_Convention[[#This Row],[NumL]],T_Commission[#Data],COLUMN(T_Commission[FINAL]),FALSE)</f>
        <v/>
      </c>
      <c r="C163" s="162"/>
      <c r="D163" s="95" t="e">
        <f>IF(VLOOKUP(T_Convention[[#This Row],[NumL]],T_TraitDi[#Data],COLUMN(T_TraitDi[WebC]),FALSE)="","",VLOOKUP(T_Convention[[#This Row],[NumL]],T_TraitDi[#Data],COLUMN(T_TraitDi[WebC]),FALSE))</f>
        <v>#N/A</v>
      </c>
      <c r="E163" s="174" t="str">
        <f t="shared" si="10"/>
        <v>12 janvier 2021</v>
      </c>
      <c r="F163" s="282" t="str">
        <f>IF(T_Convention[[#This Row],[Final]]&lt;&gt;"",VLOOKUP(T_Convention[[#This Row],[NumL]],T_suiviDi[#Data],COLUMN((T_suiviDi[Civ.])),FALSE),"")</f>
        <v/>
      </c>
      <c r="G163" s="283" t="str">
        <f>IF(T_Convention[[#This Row],[Final]]&lt;&gt;"",VLOOKUP(T_Convention[[#This Row],[NumL]],T_suiviDi[#Data],COLUMN((T_suiviDi[Nom])),FALSE),"")</f>
        <v/>
      </c>
      <c r="H163" s="282" t="str">
        <f>IF(T_Convention[[#This Row],[Final]]&lt;&gt;"",VLOOKUP(T_Convention[[#This Row],[NumL]],T_suiviDi[#Data],COLUMN((T_suiviDi[Prénom])),FALSE),"")</f>
        <v/>
      </c>
      <c r="I163" s="282" t="e">
        <f>VLOOKUP(T_Convention[[#This Row],[NumL]],T_suiviDi[#Data],COLUMN((T_suiviDi[[#This Row],[Email]])),FALSE)</f>
        <v>#VALUE!</v>
      </c>
      <c r="J163" s="282" t="e">
        <f>IF(VLOOKUP(T_Convention[[#This Row],[NumL]],T_suiviDi[#Data],COLUMN(T_suiviDi[[#This Row],[Fonction]]),FALSE)="","",VLOOKUP(T_Convention[[#This Row],[NumL]],T_suiviDi[#Data],COLUMN(T_suiviDi[[#This Row],[Fonction]]),FALSE))</f>
        <v>#VALUE!</v>
      </c>
      <c r="K163" s="282" t="e">
        <f>IF(VLOOKUP(T_Convention[[#This Row],[NumL]],T_suiviDi[#Data],COLUMN(T_suiviDi[[#This Row],[Grade]]),FALSE)="","",VLOOKUP(T_Convention[[#This Row],[NumL]],T_suiviDi[#Data],COLUMN(T_suiviDi[[#This Row],[Grade]]),FALSE))</f>
        <v>#VALUE!</v>
      </c>
      <c r="L163" s="282" t="e">
        <f>IF(VLOOKUP(T_Convention[[#This Row],[NumL]],T_suiviDi[#Data],COLUMN(T_suiviDi[[#This Row],[Service ]]),FALSE)="","",VLOOKUP(T_Convention[[#This Row],[NumL]],T_suiviDi[#Data],COLUMN(T_suiviDi[[#This Row],[Service ]]),FALSE))</f>
        <v>#VALUE!</v>
      </c>
      <c r="M163" s="176" t="str">
        <f t="shared" si="11"/>
        <v>01 septembre 2021</v>
      </c>
      <c r="N163" s="176" t="str">
        <f t="shared" si="12"/>
        <v>30 novembre 2021</v>
      </c>
      <c r="O163" s="284" t="str">
        <f t="shared" si="13"/>
        <v>30 novembre 2021</v>
      </c>
      <c r="P163" s="282" t="e">
        <f>IF(VLOOKUP(T_Convention[[#This Row],[NumL]],T_TraitDi[#Data],COLUMN(T_TraitDi[M1]),FALSE)="","",VLOOKUP(T_Convention[[#This Row],[NumL]],T_TraitDi[#Data],COLUMN(T_TraitDi[M1]),FALSE))</f>
        <v>#N/A</v>
      </c>
      <c r="Q163" s="282" t="e">
        <f>IF(VLOOKUP(T_Convention[[#This Row],[NumL]],T_TraitDi[#Data],COLUMN(T_TraitDi[M2]),FALSE)="","",VLOOKUP(T_Convention[[#This Row],[NumL]],T_TraitDi[#Data],COLUMN(T_TraitDi[M2]),FALSE))</f>
        <v>#N/A</v>
      </c>
      <c r="R163" s="282" t="e">
        <f>IF(VLOOKUP(T_Convention[[#This Row],[NumL]],T_TraitDi[#Data],COLUMN(T_TraitDi[M3]),FALSE)="","",VLOOKUP(T_Convention[[#This Row],[NumL]],T_TraitDi[#Data],COLUMN(T_TraitDi[M3]),FALSE))</f>
        <v>#N/A</v>
      </c>
      <c r="S163" s="282" t="e">
        <f>IF(VLOOKUP(T_Convention[[#This Row],[NumL]],T_TraitDi[#Data],COLUMN(T_TraitDi[M4]),FALSE)="","",VLOOKUP(T_Convention[[#This Row],[NumL]],T_TraitDi[#Data],COLUMN(T_TraitDi[M4]),FALSE))</f>
        <v>#N/A</v>
      </c>
      <c r="T163" s="282" t="e">
        <f>IF(VLOOKUP(T_Convention[[#This Row],[NumL]],T_TraitDi[#Data],COLUMN(T_TraitDi[M5]),FALSE)="","",VLOOKUP(T_Convention[[#This Row],[NumL]],T_TraitDi[#Data],COLUMN(T_TraitDi[M5]),FALSE))</f>
        <v>#N/A</v>
      </c>
      <c r="U163" s="282" t="e">
        <f>IF(VLOOKUP(T_Convention[[#This Row],[NumL]],T_TraitDi[#Data],COLUMN(T_TraitDi[M6]),FALSE)="","",VLOOKUP(T_Convention[[#This Row],[NumL]],T_TraitDi[#Data],COLUMN(T_TraitDi[M6]),FALSE))</f>
        <v>#N/A</v>
      </c>
      <c r="V163" s="176" t="e">
        <f t="shared" si="14"/>
        <v>#N/A</v>
      </c>
      <c r="W163" s="284" t="str">
        <f>IFERROR(TEXT(VLOOKUP(T_Convention[[#This Row],[NumL]],T_TraitDi[#Data],COLUMN(T_TraitDi[Q2]),FALSE),"###%"),"")</f>
        <v/>
      </c>
      <c r="X163" s="97" t="e">
        <f>VLOOKUP(T_Convention[[#This Row],[NumL]],T_TraitDi[#Data],COLUMN(T_TraitDi[Reg Ponct]),FALSE)</f>
        <v>#N/A</v>
      </c>
      <c r="Y163" s="97" t="e">
        <f>VLOOKUP(T_Convention[NumL],T_TraitDi[#Data],COLUMN(T_TraitDi[Jours flottants]),FALSE)</f>
        <v>#N/A</v>
      </c>
      <c r="Z163" s="284" t="str">
        <f>IFERROR(VLOOKUP(T_Convention[[#This Row],[NumL]],T_TraitDi[#Data],COLUMN(T_TraitDi[Lundi]),FALSE),"")</f>
        <v/>
      </c>
      <c r="AA163" s="284" t="e">
        <f>IF(VLOOKUP(T_Convention[[#This Row],[NumL]],T_TraitDi[#Data],COLUMN(T_TraitDi[Colonne3]),FALSE)=0,"",TEXT(IFERROR(VLOOKUP(T_Convention[[#This Row],[NumL]],T_TraitDi[#Data],COLUMN(T_TraitDi[Colonne3]),FALSE),""),"[hh]:mm"))</f>
        <v>#N/A</v>
      </c>
      <c r="AB163" s="284" t="e">
        <f>IF(VLOOKUP(T_Convention[[#This Row],[NumL]],T_TraitDi[#Data],COLUMN(T_TraitDi[Colonne4]),FALSE)=0,"",TEXT(IFERROR(VLOOKUP(T_Convention[[#This Row],[NumL]],T_TraitDi[#Data],COLUMN(T_TraitDi[Colonne4]),FALSE),""),"[hh]:mm"))</f>
        <v>#N/A</v>
      </c>
      <c r="AC163" s="284" t="e">
        <f>IF(VLOOKUP(T_Convention[[#This Row],[NumL]],T_TraitDi[#Data],COLUMN(T_TraitDi[Colonne5]),FALSE)=0,"",TEXT(IFERROR(VLOOKUP(T_Convention[[#This Row],[NumL]],T_TraitDi[#Data],COLUMN(T_TraitDi[Colonne5]),FALSE),""),"[hh]:mm"))</f>
        <v>#N/A</v>
      </c>
      <c r="AD163" s="284" t="e">
        <f>IF(VLOOKUP(T_Convention[[#This Row],[NumL]],T_TraitDi[#Data],COLUMN(T_TraitDi[Colonne6]),FALSE)=0,"",TEXT(IFERROR(VLOOKUP(T_Convention[[#This Row],[NumL]],T_TraitDi[#Data],COLUMN(T_TraitDi[Colonne6]),FALSE),""),"[hh]:mm"))</f>
        <v>#N/A</v>
      </c>
      <c r="AE163" s="284" t="e">
        <f>IF(VLOOKUP(T_Convention[[#This Row],[NumL]],T_TraitDi[#Data],COLUMN(T_TraitDi[Colonne7]),FALSE)=0,"",TEXT(IFERROR(VLOOKUP(T_Convention[[#This Row],[NumL]],T_TraitDi[#Data],COLUMN(T_TraitDi[Colonne7]),FALSE),""),"[hh]:mm"))</f>
        <v>#N/A</v>
      </c>
      <c r="AF163" s="284" t="e">
        <f>IF(VLOOKUP(T_Convention[[#This Row],[NumL]],T_TraitDi[#Data],COLUMN(T_TraitDi[Colonne8]),FALSE)=0,"",TEXT(IFERROR(VLOOKUP(T_Convention[[#This Row],[NumL]],T_TraitDi[#Data],COLUMN(T_TraitDi[Colonne8]),FALSE),""),"[hh]:mm"))</f>
        <v>#N/A</v>
      </c>
      <c r="AG163" s="284" t="str">
        <f>IFERROR(VLOOKUP(T_Convention[[#This Row],[NumL]],T_TraitDi[#Data],COLUMN(T_TraitDi[Mardi]),FALSE),"")</f>
        <v/>
      </c>
      <c r="AH163" s="284" t="e">
        <f>IF(VLOOKUP(T_Convention[[#This Row],[NumL]],T_TraitDi[#Data],COLUMN(T_TraitDi[Colonne1]),FALSE)=0,"",TEXT(IFERROR(VLOOKUP(T_Convention[[#This Row],[NumL]],T_TraitDi[#Data],COLUMN(T_TraitDi[Colonne1]),FALSE),""),"[hh]:mm"))</f>
        <v>#N/A</v>
      </c>
      <c r="AI163" s="284" t="e">
        <f>IF(VLOOKUP(T_Convention[[#This Row],[NumL]],T_TraitDi[#Data],COLUMN(T_TraitDi[Colonne9]),FALSE)=0,"",TEXT(IFERROR(VLOOKUP(T_Convention[[#This Row],[NumL]],T_TraitDi[#Data],COLUMN(T_TraitDi[Colonne9]),FALSE),""),"[hh]:mm"))</f>
        <v>#N/A</v>
      </c>
      <c r="AJ163" s="284" t="str">
        <f>IFERROR(VLOOKUP(T_Convention[[#This Row],[NumL]],T_TraitDi[#Data],COLUMN(T_TraitDi[Colonne10]),FALSE),"")</f>
        <v/>
      </c>
      <c r="AK163" s="284" t="e">
        <f>IF(VLOOKUP(T_Convention[[#This Row],[NumL]],T_TraitDi[#Data],COLUMN(T_TraitDi[Colonne11]),FALSE)=0,"",TEXT(IFERROR(VLOOKUP(T_Convention[[#This Row],[NumL]],T_TraitDi[#Data],COLUMN(T_TraitDi[Colonne11]),FALSE),""),"[hh]:mm"))</f>
        <v>#N/A</v>
      </c>
      <c r="AL163" s="284" t="e">
        <f>IF(VLOOKUP(T_Convention[[#This Row],[NumL]],T_TraitDi[#Data],COLUMN(T_TraitDi[Colonne12]),FALSE)=0,"",TEXT(IFERROR(VLOOKUP(T_Convention[[#This Row],[NumL]],T_TraitDi[#Data],COLUMN(T_TraitDi[Colonne12]),FALSE),""),"[hh]:mm"))</f>
        <v>#N/A</v>
      </c>
      <c r="AM163" s="284" t="e">
        <f>IF(VLOOKUP(T_Convention[[#This Row],[NumL]],T_TraitDi[#Data],COLUMN(T_TraitDi[Colonne14]),FALSE)=0,"",TEXT(IFERROR(VLOOKUP(T_Convention[[#This Row],[NumL]],T_TraitDi[#Data],COLUMN(T_TraitDi[Colonne14]),FALSE),""),"[hh]:mm"))</f>
        <v>#N/A</v>
      </c>
      <c r="AN163" s="284" t="str">
        <f>IFERROR(VLOOKUP(T_Convention[[#This Row],[NumL]],T_TraitDi[#Data],COLUMN(T_TraitDi[Mercredi]),FALSE),"")</f>
        <v/>
      </c>
      <c r="AO163" s="284" t="e">
        <f>IF(VLOOKUP(T_Convention[[#This Row],[NumL]],T_TraitDi[#Data],COLUMN(T_TraitDi[Colonne15]),FALSE)=0,"",TEXT(IFERROR(VLOOKUP(T_Convention[[#This Row],[NumL]],T_TraitDi[#Data],COLUMN(T_TraitDi[Colonne15]),FALSE),""),"[hh]:mm"))</f>
        <v>#N/A</v>
      </c>
      <c r="AP163" s="284" t="e">
        <f>IF(VLOOKUP(T_Convention[[#This Row],[NumL]],T_TraitDi[#Data],COLUMN(T_TraitDi[Colonne16]),FALSE)=0,"",TEXT(IFERROR(VLOOKUP(T_Convention[[#This Row],[NumL]],T_TraitDi[#Data],COLUMN(T_TraitDi[Colonne16]),FALSE),""),"[hh]:mm"))</f>
        <v>#N/A</v>
      </c>
      <c r="AQ163" s="284" t="str">
        <f>IFERROR(VLOOKUP(T_Convention[[#This Row],[NumL]],T_TraitDi[#Data],COLUMN(T_TraitDi[Colonne17]),FALSE),"")</f>
        <v/>
      </c>
      <c r="AR163" s="284" t="e">
        <f>IF(VLOOKUP(T_Convention[[#This Row],[NumL]],T_TraitDi[#Data],COLUMN(T_TraitDi[Colonne18]),FALSE)=0,"",TEXT(IFERROR(VLOOKUP(T_Convention[[#This Row],[NumL]],T_TraitDi[#Data],COLUMN(T_TraitDi[Colonne18]),FALSE),""),"[hh]:mm"))</f>
        <v>#N/A</v>
      </c>
      <c r="AS163" s="284" t="e">
        <f>IF(VLOOKUP(T_Convention[[#This Row],[NumL]],T_TraitDi[#Data],COLUMN(T_TraitDi[Colonne19]),FALSE)=0,"",TEXT(IFERROR(VLOOKUP(T_Convention[[#This Row],[NumL]],T_TraitDi[#Data],COLUMN(T_TraitDi[Colonne19]),FALSE),""),"[hh]:mm"))</f>
        <v>#N/A</v>
      </c>
      <c r="AT163" s="284" t="e">
        <f>IF(VLOOKUP(T_Convention[[#This Row],[NumL]],T_TraitDi[#Data],COLUMN(T_TraitDi[Colonne20]),FALSE)=0,"",TEXT(IFERROR(VLOOKUP(T_Convention[[#This Row],[NumL]],T_TraitDi[#Data],COLUMN(T_TraitDi[Colonne20]),FALSE),""),"[hh]:mm"))</f>
        <v>#N/A</v>
      </c>
      <c r="AU163" s="284" t="str">
        <f>IFERROR(VLOOKUP(T_Convention[[#This Row],[NumL]],T_TraitDi[#Data],COLUMN(T_TraitDi[Jeudi]),FALSE),"")</f>
        <v/>
      </c>
      <c r="AV163" s="284" t="e">
        <f>IF(VLOOKUP(T_Convention[[#This Row],[NumL]],T_TraitDi[#Data],COLUMN(T_TraitDi[Colonne21]),FALSE)=0,"",TEXT(IFERROR(VLOOKUP(T_Convention[[#This Row],[NumL]],T_TraitDi[#Data],COLUMN(T_TraitDi[Colonne21]),FALSE),""),"[hh]:mm"))</f>
        <v>#N/A</v>
      </c>
      <c r="AW163" s="284" t="e">
        <f>IF(VLOOKUP(T_Convention[[#This Row],[NumL]],T_TraitDi[#Data],COLUMN(T_TraitDi[Colonne22]),FALSE)=0,"",TEXT(IFERROR(VLOOKUP(T_Convention[[#This Row],[NumL]],T_TraitDi[#Data],COLUMN(T_TraitDi[Colonne22]),FALSE),""),"[hh]:mm"))</f>
        <v>#N/A</v>
      </c>
      <c r="AX163" s="284" t="str">
        <f>IFERROR(VLOOKUP(T_Convention[[#This Row],[NumL]],T_TraitDi[#Data],COLUMN(T_TraitDi[Colonne23]),FALSE),"")</f>
        <v/>
      </c>
      <c r="AY163" s="284" t="e">
        <f>IF(VLOOKUP(T_Convention[[#This Row],[NumL]],T_TraitDi[#Data],COLUMN(T_TraitDi[Colonne24]),FALSE)=0,"",TEXT(IFERROR(VLOOKUP(T_Convention[[#This Row],[NumL]],T_TraitDi[#Data],COLUMN(T_TraitDi[Colonne24]),FALSE),""),"[hh]:mm"))</f>
        <v>#N/A</v>
      </c>
      <c r="AZ163" s="284" t="e">
        <f>IF(VLOOKUP(T_Convention[[#This Row],[NumL]],T_TraitDi[#Data],COLUMN(T_TraitDi[Colonne25]),FALSE)=0,"",TEXT(IFERROR(VLOOKUP(T_Convention[[#This Row],[NumL]],T_TraitDi[#Data],COLUMN(T_TraitDi[Colonne25]),FALSE),""),"[hh]:mm"))</f>
        <v>#N/A</v>
      </c>
      <c r="BA163" s="284" t="e">
        <f>IF(VLOOKUP(T_Convention[[#This Row],[NumL]],T_TraitDi[#Data],COLUMN(T_TraitDi[Colonne26]),FALSE)=0,"",TEXT(IFERROR(VLOOKUP(T_Convention[[#This Row],[NumL]],T_TraitDi[#Data],COLUMN(T_TraitDi[Colonne26]),FALSE),""),"[hh]:mm"))</f>
        <v>#N/A</v>
      </c>
      <c r="BB163" s="284" t="str">
        <f>IFERROR(VLOOKUP(T_Convention[[#This Row],[NumL]],T_TraitDi[#Data],COLUMN(T_TraitDi[Vendredi]),FALSE),"")</f>
        <v/>
      </c>
      <c r="BC163" s="284" t="e">
        <f>IF(VLOOKUP(T_Convention[[#This Row],[NumL]],T_TraitDi[#Data],COLUMN(T_TraitDi[Colonne27]),FALSE)=0,"",TEXT(IFERROR(VLOOKUP(T_Convention[[#This Row],[NumL]],T_TraitDi[#Data],COLUMN(T_TraitDi[Colonne27]),FALSE),""),"[hh]:mm"))</f>
        <v>#N/A</v>
      </c>
      <c r="BD163" s="284" t="e">
        <f>IF(VLOOKUP(T_Convention[[#This Row],[NumL]],T_TraitDi[#Data],COLUMN(T_TraitDi[Colonne28]),FALSE)=0,"",TEXT(IFERROR(VLOOKUP(T_Convention[[#This Row],[NumL]],T_TraitDi[#Data],COLUMN(T_TraitDi[Colonne28]),FALSE),""),"[hh]:mm"))</f>
        <v>#N/A</v>
      </c>
      <c r="BE163" s="284" t="str">
        <f>IFERROR(VLOOKUP(T_Convention[[#This Row],[NumL]],T_TraitDi[#Data],COLUMN(T_TraitDi[Colonne29]),FALSE),"")</f>
        <v/>
      </c>
      <c r="BF163" s="284" t="e">
        <f>IF(VLOOKUP(T_Convention[[#This Row],[NumL]],T_TraitDi[#Data],COLUMN(T_TraitDi[Colonne30]),FALSE)=0,"",TEXT(IFERROR(VLOOKUP(T_Convention[[#This Row],[NumL]],T_TraitDi[#Data],COLUMN(T_TraitDi[Colonne30]),FALSE),""),"[hh]:mm"))</f>
        <v>#N/A</v>
      </c>
      <c r="BG163" s="284" t="e">
        <f>IF(VLOOKUP(T_Convention[[#This Row],[NumL]],T_TraitDi[#Data],COLUMN(T_TraitDi[Colonne31]),FALSE)=0,"",TEXT(IFERROR(VLOOKUP(T_Convention[[#This Row],[NumL]],T_TraitDi[#Data],COLUMN(T_TraitDi[Colonne31]),FALSE),""),"[hh]:mm"))</f>
        <v>#N/A</v>
      </c>
      <c r="BH163" s="284" t="e">
        <f>IF(VLOOKUP(T_Convention[[#This Row],[NumL]],T_TraitDi[#Data],COLUMN(T_TraitDi[Colonne32]),FALSE)=0,"",TEXT(IFERROR(VLOOKUP(T_Convention[[#This Row],[NumL]],T_TraitDi[#Data],COLUMN(T_TraitDi[Colonne32]),FALSE),""),"[hh]:mm"))</f>
        <v>#N/A</v>
      </c>
      <c r="BI163" s="284" t="str">
        <f>IFERROR(VLOOKUP(T_Convention[[#This Row],[NumL]],T_TraitDi[#Data],COLUMN(T_TraitDi[NbJTW]),FALSE),"")</f>
        <v/>
      </c>
      <c r="BJ163" s="284" t="e">
        <f>IF(VLOOKUP(T_Convention[[#This Row],[NumL]],T_TraitDi[#Data],COLUMN(T_TraitDi[NbhTW]),FALSE)=0,"",TEXT(IFERROR(VLOOKUP(T_Convention[[#This Row],[NumL]],T_TraitDi[#Data],COLUMN(T_TraitDi[NbhTW]),FALSE),""),"[hh]:mm"))</f>
        <v>#N/A</v>
      </c>
      <c r="BK163" s="286" t="e">
        <f>IF(VLOOKUP(T_Convention[[#This Row],[NumL]],T_TraitDi[#Data],COLUMN(T_TraitDi[Nbhheb]),FALSE)=0,"",TEXT(IFERROR(VLOOKUP(T_Convention[[#This Row],[NumL]],T_TraitDi[#Data],COLUMN(T_TraitDi[Nbhheb]),FALSE),""),"[hh]:mm"))</f>
        <v>#N/A</v>
      </c>
      <c r="BL163" s="287" t="str">
        <f>IFERROR(VLOOKUP(VLOOKUP(T_Convention[[#This Row],[NumL]],T_TraitDi[#Data],COLUMN(T_TraitDi[Type1]),FALSE),TypeTW,2,FALSE),"")</f>
        <v/>
      </c>
      <c r="BM163" s="288" t="str">
        <f>IFERROR(VLOOKUP(T_Convention[[#This Row],[NumL]],T_TraitDi[#Data],COLUMN(T_TraitDi[Rue1]),FALSE),"")</f>
        <v/>
      </c>
      <c r="BN163" s="289" t="str">
        <f>IFERROR(VLOOKUP(T_Convention[[#This Row],[NumL]],T_TraitDi[#Data],COLUMN(T_TraitDi[CP1]),FALSE),"")</f>
        <v/>
      </c>
      <c r="BO163" s="282" t="str">
        <f>IFERROR(VLOOKUP(T_Convention[[#This Row],[NumL]],T_TraitDi[#Data],COLUMN(T_TraitDi[VILLE1]),FALSE),"")</f>
        <v/>
      </c>
      <c r="BP163" s="290" t="str">
        <f>IFERROR(VLOOKUP(VLOOKUP(T_Convention[[#This Row],[NumL]],T_TraitDi[#Data],COLUMN(T_TraitDi[Type2]),FALSE),TypeTW,2,FALSE),"")</f>
        <v/>
      </c>
      <c r="BQ163" s="182" t="str">
        <f>IFERROR(VLOOKUP(T_Convention[[#This Row],[NumL]],T_TraitDi[#Data],COLUMN(T_TraitDi[Rue2]),FALSE),"")</f>
        <v/>
      </c>
      <c r="BR163" s="173" t="str">
        <f>IFERROR(VLOOKUP(T_Convention[[#This Row],[NumL]],T_TraitDi[#Data],COLUMN(T_TraitDi[CP2]),FALSE),"")</f>
        <v/>
      </c>
      <c r="BS163" s="173" t="str">
        <f>IFERROR(VLOOKUP(T_Convention[[#This Row],[NumL]],T_TraitDi[#Data],COLUMN(T_TraitDi[VILLE2]),FALSE),"")</f>
        <v/>
      </c>
      <c r="BT163" s="182" t="str">
        <f>IF(VLOOKUP(T_Convention[[#This Row],[NumL]],T_Equipement[#Data],COLUMN(T_Equipement[PC]),FALSE)="","Aucun équipement spécifique directement lié au télétravail",VLOOKUP(T_Convention[[#This Row],[NumL]],T_Equipement[#Data],COLUMN(T_Equipement[PC]),FALSE))</f>
        <v xml:space="preserve">16-147	</v>
      </c>
      <c r="BU163" s="166" t="str">
        <f>IFERROR(IF(VLOOKUP(T_Convention[[#This Row],[NumL]],T_TraitDi[#Data],COLUMN(T_TraitDi[Plan]),FALSE)="OK","Un planning spécifique de télétravail est annexé à la présente convention.",""),"")</f>
        <v/>
      </c>
      <c r="BV163" s="270" t="s">
        <v>3364</v>
      </c>
      <c r="BW163" s="164" t="e">
        <f>IF(VLOOKUP(T_Convention[[#This Row],[NumL]],T_suiviDi[#Data],COLUMN(T_suiviDi[Entité]),FALSE)="","",VLOOKUP(T_Convention[[#This Row],[NumL]],T_suiviDi[#Data],COLUMN(T_suiviDi[Entité]),FALSE))</f>
        <v>#N/A</v>
      </c>
      <c r="BX163" s="164" t="str">
        <f>IF(VLOOKUP(T_Convention[[#This Row],[NumL]],T_Commission[#Data],COLUMN(T_Commission[envoi confirm TW]),FALSE)="","",VLOOKUP(T_Convention[[#This Row],[NumL]],T_Commission[#Data],COLUMN(T_Commission[envoi confirm TW]),FALSE))</f>
        <v>Oui</v>
      </c>
      <c r="BY16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3" s="264">
        <f>VLOOKUP(T_Convention[[#This Row],[NumL]],T_Commission[#Data],COLUMN(T_Commission[Commentaire]),FALSE)</f>
        <v>0</v>
      </c>
      <c r="CA163" s="254" t="str">
        <f>IF(VLOOKUP(T_Convention[[#This Row],[NumL]],T_Commission[#Data],COLUMN(T_Commission[Encadrant Email]),FALSE)="","",VLOOKUP(T_Convention[[#This Row],[NumL]],T_Commission[#Data],COLUMN(T_Commission[Encadrant Email]),FALSE))</f>
        <v/>
      </c>
      <c r="CB163" s="352" t="e">
        <f>VLOOKUP(T_Convention[[#This Row],[NumL]],T_TraitDi[#Data],COLUMN(T_TraitDi[NbJTot]),FALSE)</f>
        <v>#N/A</v>
      </c>
      <c r="CC163" s="352" t="e">
        <f>VLOOKUP(T_Convention[[#This Row],[NumL]],T_TraitDi[#Data],COLUMN(T_TraitDi[Reg Ponct]),FALSE)</f>
        <v>#N/A</v>
      </c>
      <c r="CD163" s="348" t="str">
        <f>IF(T_Convention[[#This Row],[Final]]&lt;&gt;"",VLOOKUP(T_Convention[[#This Row],[NumL]],T_suiviDi[#Data],COLUMN((T_suiviDi[Statut])),FALSE),"")</f>
        <v/>
      </c>
    </row>
    <row r="164" spans="1:82" s="106" customFormat="1" ht="18.75" customHeight="1" x14ac:dyDescent="0.25">
      <c r="A164" s="160">
        <v>267</v>
      </c>
      <c r="B164" s="161" t="str">
        <f>VLOOKUP(T_Convention[[#This Row],[NumL]],T_Commission[#Data],COLUMN(T_Commission[FINAL]),FALSE)</f>
        <v/>
      </c>
      <c r="C164" s="162"/>
      <c r="D164" s="95" t="e">
        <f>IF(VLOOKUP(T_Convention[[#This Row],[NumL]],T_TraitDi[#Data],COLUMN(T_TraitDi[WebC]),FALSE)="","",VLOOKUP(T_Convention[[#This Row],[NumL]],T_TraitDi[#Data],COLUMN(T_TraitDi[WebC]),FALSE))</f>
        <v>#N/A</v>
      </c>
      <c r="E164" s="163" t="str">
        <f t="shared" si="10"/>
        <v>12 janvier 2021</v>
      </c>
      <c r="F164" s="282" t="str">
        <f>IF(T_Convention[[#This Row],[Final]]&lt;&gt;"",VLOOKUP(T_Convention[[#This Row],[NumL]],T_suiviDi[#Data],COLUMN((T_suiviDi[Civ.])),FALSE),"")</f>
        <v/>
      </c>
      <c r="G164" s="283" t="str">
        <f>IF(T_Convention[[#This Row],[Final]]&lt;&gt;"",VLOOKUP(T_Convention[[#This Row],[NumL]],T_suiviDi[#Data],COLUMN((T_suiviDi[Nom])),FALSE),"")</f>
        <v/>
      </c>
      <c r="H164" s="282" t="str">
        <f>IF(T_Convention[[#This Row],[Final]]&lt;&gt;"",VLOOKUP(T_Convention[[#This Row],[NumL]],T_suiviDi[#Data],COLUMN((T_suiviDi[Prénom])),FALSE),"")</f>
        <v/>
      </c>
      <c r="I164" s="282" t="e">
        <f>VLOOKUP(T_Convention[[#This Row],[NumL]],T_suiviDi[#Data],COLUMN((T_suiviDi[[#This Row],[Email]])),FALSE)</f>
        <v>#VALUE!</v>
      </c>
      <c r="J164" s="282" t="e">
        <f>IF(VLOOKUP(T_Convention[[#This Row],[NumL]],T_suiviDi[#Data],COLUMN(T_suiviDi[[#This Row],[Fonction]]),FALSE)="","",VLOOKUP(T_Convention[[#This Row],[NumL]],T_suiviDi[#Data],COLUMN(T_suiviDi[[#This Row],[Fonction]]),FALSE))</f>
        <v>#VALUE!</v>
      </c>
      <c r="K164" s="282" t="e">
        <f>IF(VLOOKUP(T_Convention[[#This Row],[NumL]],T_suiviDi[#Data],COLUMN(T_suiviDi[[#This Row],[Grade]]),FALSE)="","",VLOOKUP(T_Convention[[#This Row],[NumL]],T_suiviDi[#Data],COLUMN(T_suiviDi[[#This Row],[Grade]]),FALSE))</f>
        <v>#VALUE!</v>
      </c>
      <c r="L164" s="282" t="e">
        <f>IF(VLOOKUP(T_Convention[[#This Row],[NumL]],T_suiviDi[#Data],COLUMN(T_suiviDi[[#This Row],[Service ]]),FALSE)="","",VLOOKUP(T_Convention[[#This Row],[NumL]],T_suiviDi[#Data],COLUMN(T_suiviDi[[#This Row],[Service ]]),FALSE))</f>
        <v>#VALUE!</v>
      </c>
      <c r="M164" s="164" t="str">
        <f t="shared" si="11"/>
        <v>01 septembre 2021</v>
      </c>
      <c r="N164" s="164" t="str">
        <f t="shared" si="12"/>
        <v>30 novembre 2021</v>
      </c>
      <c r="O164" s="284" t="str">
        <f t="shared" si="13"/>
        <v>30 novembre 2021</v>
      </c>
      <c r="P164" s="282" t="e">
        <f>IF(VLOOKUP(T_Convention[[#This Row],[NumL]],T_TraitDi[#Data],COLUMN(T_TraitDi[M1]),FALSE)="","",VLOOKUP(T_Convention[[#This Row],[NumL]],T_TraitDi[#Data],COLUMN(T_TraitDi[M1]),FALSE))</f>
        <v>#N/A</v>
      </c>
      <c r="Q164" s="282" t="e">
        <f>IF(VLOOKUP(T_Convention[[#This Row],[NumL]],T_TraitDi[#Data],COLUMN(T_TraitDi[M2]),FALSE)="","",VLOOKUP(T_Convention[[#This Row],[NumL]],T_TraitDi[#Data],COLUMN(T_TraitDi[M2]),FALSE))</f>
        <v>#N/A</v>
      </c>
      <c r="R164" s="282" t="e">
        <f>IF(VLOOKUP(T_Convention[[#This Row],[NumL]],T_TraitDi[#Data],COLUMN(T_TraitDi[M3]),FALSE)="","",VLOOKUP(T_Convention[[#This Row],[NumL]],T_TraitDi[#Data],COLUMN(T_TraitDi[M3]),FALSE))</f>
        <v>#N/A</v>
      </c>
      <c r="S164" s="282" t="e">
        <f>IF(VLOOKUP(T_Convention[[#This Row],[NumL]],T_TraitDi[#Data],COLUMN(T_TraitDi[M4]),FALSE)="","",VLOOKUP(T_Convention[[#This Row],[NumL]],T_TraitDi[#Data],COLUMN(T_TraitDi[M4]),FALSE))</f>
        <v>#N/A</v>
      </c>
      <c r="T164" s="282" t="e">
        <f>IF(VLOOKUP(T_Convention[[#This Row],[NumL]],T_TraitDi[#Data],COLUMN(T_TraitDi[M5]),FALSE)="","",VLOOKUP(T_Convention[[#This Row],[NumL]],T_TraitDi[#Data],COLUMN(T_TraitDi[M5]),FALSE))</f>
        <v>#N/A</v>
      </c>
      <c r="U164" s="282" t="e">
        <f>IF(VLOOKUP(T_Convention[[#This Row],[NumL]],T_TraitDi[#Data],COLUMN(T_TraitDi[M6]),FALSE)="","",VLOOKUP(T_Convention[[#This Row],[NumL]],T_TraitDi[#Data],COLUMN(T_TraitDi[M6]),FALSE))</f>
        <v>#N/A</v>
      </c>
      <c r="V164" s="176" t="e">
        <f t="shared" si="14"/>
        <v>#N/A</v>
      </c>
      <c r="W164" s="284" t="str">
        <f>IFERROR(TEXT(VLOOKUP(T_Convention[[#This Row],[NumL]],T_TraitDi[#Data],COLUMN(T_TraitDi[Q2]),FALSE),"###%"),"")</f>
        <v/>
      </c>
      <c r="X164" s="97" t="e">
        <f>VLOOKUP(T_Convention[[#This Row],[NumL]],T_TraitDi[#Data],COLUMN(T_TraitDi[Reg Ponct]),FALSE)</f>
        <v>#N/A</v>
      </c>
      <c r="Y164" s="97" t="e">
        <f>VLOOKUP(T_Convention[NumL],T_TraitDi[#Data],COLUMN(T_TraitDi[Jours flottants]),FALSE)</f>
        <v>#N/A</v>
      </c>
      <c r="Z164" s="284" t="str">
        <f>IFERROR(VLOOKUP(T_Convention[[#This Row],[NumL]],T_TraitDi[#Data],COLUMN(T_TraitDi[Lundi]),FALSE),"")</f>
        <v/>
      </c>
      <c r="AA164" s="284" t="e">
        <f>IF(VLOOKUP(T_Convention[[#This Row],[NumL]],T_TraitDi[#Data],COLUMN(T_TraitDi[Colonne3]),FALSE)=0,"",TEXT(IFERROR(VLOOKUP(T_Convention[[#This Row],[NumL]],T_TraitDi[#Data],COLUMN(T_TraitDi[Colonne3]),FALSE),""),"[hh]:mm"))</f>
        <v>#N/A</v>
      </c>
      <c r="AB164" s="284" t="e">
        <f>IF(VLOOKUP(T_Convention[[#This Row],[NumL]],T_TraitDi[#Data],COLUMN(T_TraitDi[Colonne4]),FALSE)=0,"",TEXT(IFERROR(VLOOKUP(T_Convention[[#This Row],[NumL]],T_TraitDi[#Data],COLUMN(T_TraitDi[Colonne4]),FALSE),""),"[hh]:mm"))</f>
        <v>#N/A</v>
      </c>
      <c r="AC164" s="284" t="e">
        <f>IF(VLOOKUP(T_Convention[[#This Row],[NumL]],T_TraitDi[#Data],COLUMN(T_TraitDi[Colonne5]),FALSE)=0,"",TEXT(IFERROR(VLOOKUP(T_Convention[[#This Row],[NumL]],T_TraitDi[#Data],COLUMN(T_TraitDi[Colonne5]),FALSE),""),"[hh]:mm"))</f>
        <v>#N/A</v>
      </c>
      <c r="AD164" s="284" t="e">
        <f>IF(VLOOKUP(T_Convention[[#This Row],[NumL]],T_TraitDi[#Data],COLUMN(T_TraitDi[Colonne6]),FALSE)=0,"",TEXT(IFERROR(VLOOKUP(T_Convention[[#This Row],[NumL]],T_TraitDi[#Data],COLUMN(T_TraitDi[Colonne6]),FALSE),""),"[hh]:mm"))</f>
        <v>#N/A</v>
      </c>
      <c r="AE164" s="284" t="e">
        <f>IF(VLOOKUP(T_Convention[[#This Row],[NumL]],T_TraitDi[#Data],COLUMN(T_TraitDi[Colonne7]),FALSE)=0,"",TEXT(IFERROR(VLOOKUP(T_Convention[[#This Row],[NumL]],T_TraitDi[#Data],COLUMN(T_TraitDi[Colonne7]),FALSE),""),"[hh]:mm"))</f>
        <v>#N/A</v>
      </c>
      <c r="AF164" s="284" t="e">
        <f>IF(VLOOKUP(T_Convention[[#This Row],[NumL]],T_TraitDi[#Data],COLUMN(T_TraitDi[Colonne8]),FALSE)=0,"",TEXT(IFERROR(VLOOKUP(T_Convention[[#This Row],[NumL]],T_TraitDi[#Data],COLUMN(T_TraitDi[Colonne8]),FALSE),""),"[hh]:mm"))</f>
        <v>#N/A</v>
      </c>
      <c r="AG164" s="284" t="str">
        <f>IFERROR(VLOOKUP(T_Convention[[#This Row],[NumL]],T_TraitDi[#Data],COLUMN(T_TraitDi[Mardi]),FALSE),"")</f>
        <v/>
      </c>
      <c r="AH164" s="284" t="e">
        <f>IF(VLOOKUP(T_Convention[[#This Row],[NumL]],T_TraitDi[#Data],COLUMN(T_TraitDi[Colonne1]),FALSE)=0,"",TEXT(IFERROR(VLOOKUP(T_Convention[[#This Row],[NumL]],T_TraitDi[#Data],COLUMN(T_TraitDi[Colonne1]),FALSE),""),"[hh]:mm"))</f>
        <v>#N/A</v>
      </c>
      <c r="AI164" s="284" t="e">
        <f>IF(VLOOKUP(T_Convention[[#This Row],[NumL]],T_TraitDi[#Data],COLUMN(T_TraitDi[Colonne9]),FALSE)=0,"",TEXT(IFERROR(VLOOKUP(T_Convention[[#This Row],[NumL]],T_TraitDi[#Data],COLUMN(T_TraitDi[Colonne9]),FALSE),""),"[hh]:mm"))</f>
        <v>#N/A</v>
      </c>
      <c r="AJ164" s="284" t="str">
        <f>IFERROR(VLOOKUP(T_Convention[[#This Row],[NumL]],T_TraitDi[#Data],COLUMN(T_TraitDi[Colonne10]),FALSE),"")</f>
        <v/>
      </c>
      <c r="AK164" s="284" t="e">
        <f>IF(VLOOKUP(T_Convention[[#This Row],[NumL]],T_TraitDi[#Data],COLUMN(T_TraitDi[Colonne11]),FALSE)=0,"",TEXT(IFERROR(VLOOKUP(T_Convention[[#This Row],[NumL]],T_TraitDi[#Data],COLUMN(T_TraitDi[Colonne11]),FALSE),""),"[hh]:mm"))</f>
        <v>#N/A</v>
      </c>
      <c r="AL164" s="284" t="e">
        <f>IF(VLOOKUP(T_Convention[[#This Row],[NumL]],T_TraitDi[#Data],COLUMN(T_TraitDi[Colonne12]),FALSE)=0,"",TEXT(IFERROR(VLOOKUP(T_Convention[[#This Row],[NumL]],T_TraitDi[#Data],COLUMN(T_TraitDi[Colonne12]),FALSE),""),"[hh]:mm"))</f>
        <v>#N/A</v>
      </c>
      <c r="AM164" s="284" t="e">
        <f>IF(VLOOKUP(T_Convention[[#This Row],[NumL]],T_TraitDi[#Data],COLUMN(T_TraitDi[Colonne14]),FALSE)=0,"",TEXT(IFERROR(VLOOKUP(T_Convention[[#This Row],[NumL]],T_TraitDi[#Data],COLUMN(T_TraitDi[Colonne14]),FALSE),""),"[hh]:mm"))</f>
        <v>#N/A</v>
      </c>
      <c r="AN164" s="284" t="str">
        <f>IFERROR(VLOOKUP(T_Convention[[#This Row],[NumL]],T_TraitDi[#Data],COLUMN(T_TraitDi[Mercredi]),FALSE),"")</f>
        <v/>
      </c>
      <c r="AO164" s="284" t="e">
        <f>IF(VLOOKUP(T_Convention[[#This Row],[NumL]],T_TraitDi[#Data],COLUMN(T_TraitDi[Colonne15]),FALSE)=0,"",TEXT(IFERROR(VLOOKUP(T_Convention[[#This Row],[NumL]],T_TraitDi[#Data],COLUMN(T_TraitDi[Colonne15]),FALSE),""),"[hh]:mm"))</f>
        <v>#N/A</v>
      </c>
      <c r="AP164" s="284" t="e">
        <f>IF(VLOOKUP(T_Convention[[#This Row],[NumL]],T_TraitDi[#Data],COLUMN(T_TraitDi[Colonne16]),FALSE)=0,"",TEXT(IFERROR(VLOOKUP(T_Convention[[#This Row],[NumL]],T_TraitDi[#Data],COLUMN(T_TraitDi[Colonne16]),FALSE),""),"[hh]:mm"))</f>
        <v>#N/A</v>
      </c>
      <c r="AQ164" s="284" t="str">
        <f>IFERROR(VLOOKUP(T_Convention[[#This Row],[NumL]],T_TraitDi[#Data],COLUMN(T_TraitDi[Colonne17]),FALSE),"")</f>
        <v/>
      </c>
      <c r="AR164" s="284" t="e">
        <f>IF(VLOOKUP(T_Convention[[#This Row],[NumL]],T_TraitDi[#Data],COLUMN(T_TraitDi[Colonne18]),FALSE)=0,"",TEXT(IFERROR(VLOOKUP(T_Convention[[#This Row],[NumL]],T_TraitDi[#Data],COLUMN(T_TraitDi[Colonne18]),FALSE),""),"[hh]:mm"))</f>
        <v>#N/A</v>
      </c>
      <c r="AS164" s="284" t="e">
        <f>IF(VLOOKUP(T_Convention[[#This Row],[NumL]],T_TraitDi[#Data],COLUMN(T_TraitDi[Colonne19]),FALSE)=0,"",TEXT(IFERROR(VLOOKUP(T_Convention[[#This Row],[NumL]],T_TraitDi[#Data],COLUMN(T_TraitDi[Colonne19]),FALSE),""),"[hh]:mm"))</f>
        <v>#N/A</v>
      </c>
      <c r="AT164" s="284" t="e">
        <f>IF(VLOOKUP(T_Convention[[#This Row],[NumL]],T_TraitDi[#Data],COLUMN(T_TraitDi[Colonne20]),FALSE)=0,"",TEXT(IFERROR(VLOOKUP(T_Convention[[#This Row],[NumL]],T_TraitDi[#Data],COLUMN(T_TraitDi[Colonne20]),FALSE),""),"[hh]:mm"))</f>
        <v>#N/A</v>
      </c>
      <c r="AU164" s="284" t="str">
        <f>IFERROR(VLOOKUP(T_Convention[[#This Row],[NumL]],T_TraitDi[#Data],COLUMN(T_TraitDi[Jeudi]),FALSE),"")</f>
        <v/>
      </c>
      <c r="AV164" s="284" t="e">
        <f>IF(VLOOKUP(T_Convention[[#This Row],[NumL]],T_TraitDi[#Data],COLUMN(T_TraitDi[Colonne21]),FALSE)=0,"",TEXT(IFERROR(VLOOKUP(T_Convention[[#This Row],[NumL]],T_TraitDi[#Data],COLUMN(T_TraitDi[Colonne21]),FALSE),""),"[hh]:mm"))</f>
        <v>#N/A</v>
      </c>
      <c r="AW164" s="284" t="e">
        <f>IF(VLOOKUP(T_Convention[[#This Row],[NumL]],T_TraitDi[#Data],COLUMN(T_TraitDi[Colonne22]),FALSE)=0,"",TEXT(IFERROR(VLOOKUP(T_Convention[[#This Row],[NumL]],T_TraitDi[#Data],COLUMN(T_TraitDi[Colonne22]),FALSE),""),"[hh]:mm"))</f>
        <v>#N/A</v>
      </c>
      <c r="AX164" s="284" t="str">
        <f>IFERROR(VLOOKUP(T_Convention[[#This Row],[NumL]],T_TraitDi[#Data],COLUMN(T_TraitDi[Colonne23]),FALSE),"")</f>
        <v/>
      </c>
      <c r="AY164" s="284" t="e">
        <f>IF(VLOOKUP(T_Convention[[#This Row],[NumL]],T_TraitDi[#Data],COLUMN(T_TraitDi[Colonne24]),FALSE)=0,"",TEXT(IFERROR(VLOOKUP(T_Convention[[#This Row],[NumL]],T_TraitDi[#Data],COLUMN(T_TraitDi[Colonne24]),FALSE),""),"[hh]:mm"))</f>
        <v>#N/A</v>
      </c>
      <c r="AZ164" s="284" t="e">
        <f>IF(VLOOKUP(T_Convention[[#This Row],[NumL]],T_TraitDi[#Data],COLUMN(T_TraitDi[Colonne25]),FALSE)=0,"",TEXT(IFERROR(VLOOKUP(T_Convention[[#This Row],[NumL]],T_TraitDi[#Data],COLUMN(T_TraitDi[Colonne25]),FALSE),""),"[hh]:mm"))</f>
        <v>#N/A</v>
      </c>
      <c r="BA164" s="284" t="e">
        <f>IF(VLOOKUP(T_Convention[[#This Row],[NumL]],T_TraitDi[#Data],COLUMN(T_TraitDi[Colonne26]),FALSE)=0,"",TEXT(IFERROR(VLOOKUP(T_Convention[[#This Row],[NumL]],T_TraitDi[#Data],COLUMN(T_TraitDi[Colonne26]),FALSE),""),"[hh]:mm"))</f>
        <v>#N/A</v>
      </c>
      <c r="BB164" s="284" t="str">
        <f>IFERROR(VLOOKUP(T_Convention[[#This Row],[NumL]],T_TraitDi[#Data],COLUMN(T_TraitDi[Vendredi]),FALSE),"")</f>
        <v/>
      </c>
      <c r="BC164" s="284" t="e">
        <f>IF(VLOOKUP(T_Convention[[#This Row],[NumL]],T_TraitDi[#Data],COLUMN(T_TraitDi[Colonne27]),FALSE)=0,"",TEXT(IFERROR(VLOOKUP(T_Convention[[#This Row],[NumL]],T_TraitDi[#Data],COLUMN(T_TraitDi[Colonne27]),FALSE),""),"[hh]:mm"))</f>
        <v>#N/A</v>
      </c>
      <c r="BD164" s="284" t="e">
        <f>IF(VLOOKUP(T_Convention[[#This Row],[NumL]],T_TraitDi[#Data],COLUMN(T_TraitDi[Colonne28]),FALSE)=0,"",TEXT(IFERROR(VLOOKUP(T_Convention[[#This Row],[NumL]],T_TraitDi[#Data],COLUMN(T_TraitDi[Colonne28]),FALSE),""),"[hh]:mm"))</f>
        <v>#N/A</v>
      </c>
      <c r="BE164" s="284" t="str">
        <f>IFERROR(VLOOKUP(T_Convention[[#This Row],[NumL]],T_TraitDi[#Data],COLUMN(T_TraitDi[Colonne29]),FALSE),"")</f>
        <v/>
      </c>
      <c r="BF164" s="284" t="e">
        <f>IF(VLOOKUP(T_Convention[[#This Row],[NumL]],T_TraitDi[#Data],COLUMN(T_TraitDi[Colonne30]),FALSE)=0,"",TEXT(IFERROR(VLOOKUP(T_Convention[[#This Row],[NumL]],T_TraitDi[#Data],COLUMN(T_TraitDi[Colonne30]),FALSE),""),"[hh]:mm"))</f>
        <v>#N/A</v>
      </c>
      <c r="BG164" s="284" t="e">
        <f>IF(VLOOKUP(T_Convention[[#This Row],[NumL]],T_TraitDi[#Data],COLUMN(T_TraitDi[Colonne31]),FALSE)=0,"",TEXT(IFERROR(VLOOKUP(T_Convention[[#This Row],[NumL]],T_TraitDi[#Data],COLUMN(T_TraitDi[Colonne31]),FALSE),""),"[hh]:mm"))</f>
        <v>#N/A</v>
      </c>
      <c r="BH164" s="284" t="e">
        <f>IF(VLOOKUP(T_Convention[[#This Row],[NumL]],T_TraitDi[#Data],COLUMN(T_TraitDi[Colonne32]),FALSE)=0,"",TEXT(IFERROR(VLOOKUP(T_Convention[[#This Row],[NumL]],T_TraitDi[#Data],COLUMN(T_TraitDi[Colonne32]),FALSE),""),"[hh]:mm"))</f>
        <v>#N/A</v>
      </c>
      <c r="BI164" s="284" t="str">
        <f>IFERROR(VLOOKUP(T_Convention[[#This Row],[NumL]],T_TraitDi[#Data],COLUMN(T_TraitDi[NbJTW]),FALSE),"")</f>
        <v/>
      </c>
      <c r="BJ164" s="284" t="e">
        <f>IF(VLOOKUP(T_Convention[[#This Row],[NumL]],T_TraitDi[#Data],COLUMN(T_TraitDi[NbhTW]),FALSE)=0,"",TEXT(IFERROR(VLOOKUP(T_Convention[[#This Row],[NumL]],T_TraitDi[#Data],COLUMN(T_TraitDi[NbhTW]),FALSE),""),"[hh]:mm"))</f>
        <v>#N/A</v>
      </c>
      <c r="BK164" s="286" t="e">
        <f>IF(VLOOKUP(T_Convention[[#This Row],[NumL]],T_TraitDi[#Data],COLUMN(T_TraitDi[Nbhheb]),FALSE)=0,"",TEXT(IFERROR(VLOOKUP(T_Convention[[#This Row],[NumL]],T_TraitDi[#Data],COLUMN(T_TraitDi[Nbhheb]),FALSE),""),"[hh]:mm"))</f>
        <v>#N/A</v>
      </c>
      <c r="BL164" s="287" t="str">
        <f>IFERROR(VLOOKUP(VLOOKUP(T_Convention[[#This Row],[NumL]],T_TraitDi[#Data],COLUMN(T_TraitDi[Type1]),FALSE),TypeTW,2,FALSE),"")</f>
        <v/>
      </c>
      <c r="BM164" s="288" t="str">
        <f>IFERROR(VLOOKUP(T_Convention[[#This Row],[NumL]],T_TraitDi[#Data],COLUMN(T_TraitDi[Rue1]),FALSE),"")</f>
        <v/>
      </c>
      <c r="BN164" s="289" t="str">
        <f>IFERROR(VLOOKUP(T_Convention[[#This Row],[NumL]],T_TraitDi[#Data],COLUMN(T_TraitDi[CP1]),FALSE),"")</f>
        <v/>
      </c>
      <c r="BO164" s="282" t="str">
        <f>IFERROR(VLOOKUP(T_Convention[[#This Row],[NumL]],T_TraitDi[#Data],COLUMN(T_TraitDi[VILLE1]),FALSE),"")</f>
        <v/>
      </c>
      <c r="BP164" s="290" t="str">
        <f>IFERROR(VLOOKUP(VLOOKUP(T_Convention[[#This Row],[NumL]],T_TraitDi[#Data],COLUMN(T_TraitDi[Type2]),FALSE),TypeTW,2,FALSE),"")</f>
        <v/>
      </c>
      <c r="BQ164" s="182" t="str">
        <f>IFERROR(VLOOKUP(T_Convention[[#This Row],[NumL]],T_TraitDi[#Data],COLUMN(T_TraitDi[Rue2]),FALSE),"")</f>
        <v/>
      </c>
      <c r="BR164" s="173" t="str">
        <f>IFERROR(VLOOKUP(T_Convention[[#This Row],[NumL]],T_TraitDi[#Data],COLUMN(T_TraitDi[CP2]),FALSE),"")</f>
        <v/>
      </c>
      <c r="BS164" s="173" t="str">
        <f>IFERROR(VLOOKUP(T_Convention[[#This Row],[NumL]],T_TraitDi[#Data],COLUMN(T_TraitDi[VILLE2]),FALSE),"")</f>
        <v/>
      </c>
      <c r="BT164" s="182" t="str">
        <f>IF(VLOOKUP(T_Convention[[#This Row],[NumL]],T_Equipement[#Data],COLUMN(T_Equipement[PC]),FALSE)="","Aucun équipement spécifique directement lié au télétravail",VLOOKUP(T_Convention[[#This Row],[NumL]],T_Equipement[#Data],COLUMN(T_Equipement[PC]),FALSE))</f>
        <v>20-3083</v>
      </c>
      <c r="BU164" s="166" t="str">
        <f>IFERROR(IF(VLOOKUP(T_Convention[[#This Row],[NumL]],T_TraitDi[#Data],COLUMN(T_TraitDi[Plan]),FALSE)="OK","Un planning spécifique de télétravail est annexé à la présente convention.",""),"")</f>
        <v/>
      </c>
      <c r="BV164" s="185" t="s">
        <v>3476</v>
      </c>
      <c r="BW164" s="164" t="e">
        <f>IF(VLOOKUP(T_Convention[[#This Row],[NumL]],T_suiviDi[#Data],COLUMN(T_suiviDi[Entité]),FALSE)="","",VLOOKUP(T_Convention[[#This Row],[NumL]],T_suiviDi[#Data],COLUMN(T_suiviDi[Entité]),FALSE))</f>
        <v>#N/A</v>
      </c>
      <c r="BX164" s="164" t="str">
        <f>IF(VLOOKUP(T_Convention[[#This Row],[NumL]],T_Commission[#Data],COLUMN(T_Commission[envoi confirm TW]),FALSE)="","",VLOOKUP(T_Convention[[#This Row],[NumL]],T_Commission[#Data],COLUMN(T_Commission[envoi confirm TW]),FALSE))</f>
        <v>Oui</v>
      </c>
      <c r="BY16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4" s="264">
        <f>VLOOKUP(T_Convention[[#This Row],[NumL]],T_Commission[#Data],COLUMN(T_Commission[Commentaire]),FALSE)</f>
        <v>0</v>
      </c>
      <c r="CA164" s="254" t="str">
        <f>IF(VLOOKUP(T_Convention[[#This Row],[NumL]],T_Commission[#Data],COLUMN(T_Commission[Encadrant Email]),FALSE)="","",VLOOKUP(T_Convention[[#This Row],[NumL]],T_Commission[#Data],COLUMN(T_Commission[Encadrant Email]),FALSE))</f>
        <v/>
      </c>
      <c r="CB164" s="352" t="e">
        <f>VLOOKUP(T_Convention[[#This Row],[NumL]],T_TraitDi[#Data],COLUMN(T_TraitDi[NbJTot]),FALSE)</f>
        <v>#N/A</v>
      </c>
      <c r="CC164" s="352" t="e">
        <f>VLOOKUP(T_Convention[[#This Row],[NumL]],T_TraitDi[#Data],COLUMN(T_TraitDi[Reg Ponct]),FALSE)</f>
        <v>#N/A</v>
      </c>
      <c r="CD164" s="348" t="str">
        <f>IF(T_Convention[[#This Row],[Final]]&lt;&gt;"",VLOOKUP(T_Convention[[#This Row],[NumL]],T_suiviDi[#Data],COLUMN((T_suiviDi[Statut])),FALSE),"")</f>
        <v/>
      </c>
    </row>
    <row r="165" spans="1:82" s="106" customFormat="1" ht="18.75" customHeight="1" x14ac:dyDescent="0.25">
      <c r="A165" s="160">
        <v>182</v>
      </c>
      <c r="B165" s="161" t="str">
        <f>VLOOKUP(T_Convention[[#This Row],[NumL]],T_Commission[#Data],COLUMN(T_Commission[FINAL]),FALSE)</f>
        <v/>
      </c>
      <c r="C165" s="162"/>
      <c r="D165" s="95" t="e">
        <f>IF(VLOOKUP(T_Convention[[#This Row],[NumL]],T_TraitDi[#Data],COLUMN(T_TraitDi[WebC]),FALSE)="","",VLOOKUP(T_Convention[[#This Row],[NumL]],T_TraitDi[#Data],COLUMN(T_TraitDi[WebC]),FALSE))</f>
        <v>#N/A</v>
      </c>
      <c r="E165" s="163" t="str">
        <f t="shared" si="10"/>
        <v>12 janvier 2021</v>
      </c>
      <c r="F165" s="282" t="str">
        <f>IF(T_Convention[[#This Row],[Final]]&lt;&gt;"",VLOOKUP(T_Convention[[#This Row],[NumL]],T_suiviDi[#Data],COLUMN((T_suiviDi[Civ.])),FALSE),"")</f>
        <v/>
      </c>
      <c r="G165" s="283" t="str">
        <f>IF(T_Convention[[#This Row],[Final]]&lt;&gt;"",VLOOKUP(T_Convention[[#This Row],[NumL]],T_suiviDi[#Data],COLUMN((T_suiviDi[Nom])),FALSE),"")</f>
        <v/>
      </c>
      <c r="H165" s="282" t="str">
        <f>IF(T_Convention[[#This Row],[Final]]&lt;&gt;"",VLOOKUP(T_Convention[[#This Row],[NumL]],T_suiviDi[#Data],COLUMN((T_suiviDi[Prénom])),FALSE),"")</f>
        <v/>
      </c>
      <c r="I165" s="282" t="e">
        <f>VLOOKUP(T_Convention[[#This Row],[NumL]],T_suiviDi[#Data],COLUMN((T_suiviDi[[#This Row],[Email]])),FALSE)</f>
        <v>#VALUE!</v>
      </c>
      <c r="J165" s="282" t="e">
        <f>IF(VLOOKUP(T_Convention[[#This Row],[NumL]],T_suiviDi[#Data],COLUMN(T_suiviDi[[#This Row],[Fonction]]),FALSE)="","",VLOOKUP(T_Convention[[#This Row],[NumL]],T_suiviDi[#Data],COLUMN(T_suiviDi[[#This Row],[Fonction]]),FALSE))</f>
        <v>#VALUE!</v>
      </c>
      <c r="K165" s="282" t="e">
        <f>IF(VLOOKUP(T_Convention[[#This Row],[NumL]],T_suiviDi[#Data],COLUMN(T_suiviDi[[#This Row],[Grade]]),FALSE)="","",VLOOKUP(T_Convention[[#This Row],[NumL]],T_suiviDi[#Data],COLUMN(T_suiviDi[[#This Row],[Grade]]),FALSE))</f>
        <v>#VALUE!</v>
      </c>
      <c r="L165" s="282" t="e">
        <f>IF(VLOOKUP(T_Convention[[#This Row],[NumL]],T_suiviDi[#Data],COLUMN(T_suiviDi[[#This Row],[Service ]]),FALSE)="","",VLOOKUP(T_Convention[[#This Row],[NumL]],T_suiviDi[#Data],COLUMN(T_suiviDi[[#This Row],[Service ]]),FALSE))</f>
        <v>#VALUE!</v>
      </c>
      <c r="M165" s="164" t="str">
        <f t="shared" si="11"/>
        <v>01 septembre 2021</v>
      </c>
      <c r="N165" s="164" t="str">
        <f t="shared" si="12"/>
        <v>30 novembre 2021</v>
      </c>
      <c r="O165" s="284" t="str">
        <f t="shared" si="13"/>
        <v>30 novembre 2021</v>
      </c>
      <c r="P165" s="282" t="e">
        <f>IF(VLOOKUP(T_Convention[[#This Row],[NumL]],T_TraitDi[#Data],COLUMN(T_TraitDi[M1]),FALSE)="","",VLOOKUP(T_Convention[[#This Row],[NumL]],T_TraitDi[#Data],COLUMN(T_TraitDi[M1]),FALSE))</f>
        <v>#N/A</v>
      </c>
      <c r="Q165" s="282" t="e">
        <f>IF(VLOOKUP(T_Convention[[#This Row],[NumL]],T_TraitDi[#Data],COLUMN(T_TraitDi[M2]),FALSE)="","",VLOOKUP(T_Convention[[#This Row],[NumL]],T_TraitDi[#Data],COLUMN(T_TraitDi[M2]),FALSE))</f>
        <v>#N/A</v>
      </c>
      <c r="R165" s="282" t="e">
        <f>IF(VLOOKUP(T_Convention[[#This Row],[NumL]],T_TraitDi[#Data],COLUMN(T_TraitDi[M3]),FALSE)="","",VLOOKUP(T_Convention[[#This Row],[NumL]],T_TraitDi[#Data],COLUMN(T_TraitDi[M3]),FALSE))</f>
        <v>#N/A</v>
      </c>
      <c r="S165" s="282" t="e">
        <f>IF(VLOOKUP(T_Convention[[#This Row],[NumL]],T_TraitDi[#Data],COLUMN(T_TraitDi[M4]),FALSE)="","",VLOOKUP(T_Convention[[#This Row],[NumL]],T_TraitDi[#Data],COLUMN(T_TraitDi[M4]),FALSE))</f>
        <v>#N/A</v>
      </c>
      <c r="T165" s="282" t="e">
        <f>IF(VLOOKUP(T_Convention[[#This Row],[NumL]],T_TraitDi[#Data],COLUMN(T_TraitDi[M5]),FALSE)="","",VLOOKUP(T_Convention[[#This Row],[NumL]],T_TraitDi[#Data],COLUMN(T_TraitDi[M5]),FALSE))</f>
        <v>#N/A</v>
      </c>
      <c r="U165" s="282" t="e">
        <f>IF(VLOOKUP(T_Convention[[#This Row],[NumL]],T_TraitDi[#Data],COLUMN(T_TraitDi[M6]),FALSE)="","",VLOOKUP(T_Convention[[#This Row],[NumL]],T_TraitDi[#Data],COLUMN(T_TraitDi[M6]),FALSE))</f>
        <v>#N/A</v>
      </c>
      <c r="V165" s="176" t="e">
        <f t="shared" si="14"/>
        <v>#N/A</v>
      </c>
      <c r="W165" s="284" t="str">
        <f>IFERROR(TEXT(VLOOKUP(T_Convention[[#This Row],[NumL]],T_TraitDi[#Data],COLUMN(T_TraitDi[Q2]),FALSE),"###%"),"")</f>
        <v/>
      </c>
      <c r="X165" s="97" t="e">
        <f>VLOOKUP(T_Convention[[#This Row],[NumL]],T_TraitDi[#Data],COLUMN(T_TraitDi[Reg Ponct]),FALSE)</f>
        <v>#N/A</v>
      </c>
      <c r="Y165" s="97" t="e">
        <f>VLOOKUP(T_Convention[NumL],T_TraitDi[#Data],COLUMN(T_TraitDi[Jours flottants]),FALSE)</f>
        <v>#N/A</v>
      </c>
      <c r="Z165" s="284" t="str">
        <f>IFERROR(VLOOKUP(T_Convention[[#This Row],[NumL]],T_TraitDi[#Data],COLUMN(T_TraitDi[Lundi]),FALSE),"")</f>
        <v/>
      </c>
      <c r="AA165" s="284" t="e">
        <f>IF(VLOOKUP(T_Convention[[#This Row],[NumL]],T_TraitDi[#Data],COLUMN(T_TraitDi[Colonne3]),FALSE)=0,"",TEXT(IFERROR(VLOOKUP(T_Convention[[#This Row],[NumL]],T_TraitDi[#Data],COLUMN(T_TraitDi[Colonne3]),FALSE),""),"[hh]:mm"))</f>
        <v>#N/A</v>
      </c>
      <c r="AB165" s="284" t="e">
        <f>IF(VLOOKUP(T_Convention[[#This Row],[NumL]],T_TraitDi[#Data],COLUMN(T_TraitDi[Colonne4]),FALSE)=0,"",TEXT(IFERROR(VLOOKUP(T_Convention[[#This Row],[NumL]],T_TraitDi[#Data],COLUMN(T_TraitDi[Colonne4]),FALSE),""),"[hh]:mm"))</f>
        <v>#N/A</v>
      </c>
      <c r="AC165" s="284" t="e">
        <f>IF(VLOOKUP(T_Convention[[#This Row],[NumL]],T_TraitDi[#Data],COLUMN(T_TraitDi[Colonne5]),FALSE)=0,"",TEXT(IFERROR(VLOOKUP(T_Convention[[#This Row],[NumL]],T_TraitDi[#Data],COLUMN(T_TraitDi[Colonne5]),FALSE),""),"[hh]:mm"))</f>
        <v>#N/A</v>
      </c>
      <c r="AD165" s="284" t="e">
        <f>IF(VLOOKUP(T_Convention[[#This Row],[NumL]],T_TraitDi[#Data],COLUMN(T_TraitDi[Colonne6]),FALSE)=0,"",TEXT(IFERROR(VLOOKUP(T_Convention[[#This Row],[NumL]],T_TraitDi[#Data],COLUMN(T_TraitDi[Colonne6]),FALSE),""),"[hh]:mm"))</f>
        <v>#N/A</v>
      </c>
      <c r="AE165" s="284" t="e">
        <f>IF(VLOOKUP(T_Convention[[#This Row],[NumL]],T_TraitDi[#Data],COLUMN(T_TraitDi[Colonne7]),FALSE)=0,"",TEXT(IFERROR(VLOOKUP(T_Convention[[#This Row],[NumL]],T_TraitDi[#Data],COLUMN(T_TraitDi[Colonne7]),FALSE),""),"[hh]:mm"))</f>
        <v>#N/A</v>
      </c>
      <c r="AF165" s="284" t="e">
        <f>IF(VLOOKUP(T_Convention[[#This Row],[NumL]],T_TraitDi[#Data],COLUMN(T_TraitDi[Colonne8]),FALSE)=0,"",TEXT(IFERROR(VLOOKUP(T_Convention[[#This Row],[NumL]],T_TraitDi[#Data],COLUMN(T_TraitDi[Colonne8]),FALSE),""),"[hh]:mm"))</f>
        <v>#N/A</v>
      </c>
      <c r="AG165" s="284" t="str">
        <f>IFERROR(VLOOKUP(T_Convention[[#This Row],[NumL]],T_TraitDi[#Data],COLUMN(T_TraitDi[Mardi]),FALSE),"")</f>
        <v/>
      </c>
      <c r="AH165" s="284" t="e">
        <f>IF(VLOOKUP(T_Convention[[#This Row],[NumL]],T_TraitDi[#Data],COLUMN(T_TraitDi[Colonne1]),FALSE)=0,"",TEXT(IFERROR(VLOOKUP(T_Convention[[#This Row],[NumL]],T_TraitDi[#Data],COLUMN(T_TraitDi[Colonne1]),FALSE),""),"[hh]:mm"))</f>
        <v>#N/A</v>
      </c>
      <c r="AI165" s="284" t="e">
        <f>IF(VLOOKUP(T_Convention[[#This Row],[NumL]],T_TraitDi[#Data],COLUMN(T_TraitDi[Colonne9]),FALSE)=0,"",TEXT(IFERROR(VLOOKUP(T_Convention[[#This Row],[NumL]],T_TraitDi[#Data],COLUMN(T_TraitDi[Colonne9]),FALSE),""),"[hh]:mm"))</f>
        <v>#N/A</v>
      </c>
      <c r="AJ165" s="284" t="str">
        <f>IFERROR(VLOOKUP(T_Convention[[#This Row],[NumL]],T_TraitDi[#Data],COLUMN(T_TraitDi[Colonne10]),FALSE),"")</f>
        <v/>
      </c>
      <c r="AK165" s="284" t="e">
        <f>IF(VLOOKUP(T_Convention[[#This Row],[NumL]],T_TraitDi[#Data],COLUMN(T_TraitDi[Colonne11]),FALSE)=0,"",TEXT(IFERROR(VLOOKUP(T_Convention[[#This Row],[NumL]],T_TraitDi[#Data],COLUMN(T_TraitDi[Colonne11]),FALSE),""),"[hh]:mm"))</f>
        <v>#N/A</v>
      </c>
      <c r="AL165" s="284" t="e">
        <f>IF(VLOOKUP(T_Convention[[#This Row],[NumL]],T_TraitDi[#Data],COLUMN(T_TraitDi[Colonne12]),FALSE)=0,"",TEXT(IFERROR(VLOOKUP(T_Convention[[#This Row],[NumL]],T_TraitDi[#Data],COLUMN(T_TraitDi[Colonne12]),FALSE),""),"[hh]:mm"))</f>
        <v>#N/A</v>
      </c>
      <c r="AM165" s="284" t="e">
        <f>IF(VLOOKUP(T_Convention[[#This Row],[NumL]],T_TraitDi[#Data],COLUMN(T_TraitDi[Colonne14]),FALSE)=0,"",TEXT(IFERROR(VLOOKUP(T_Convention[[#This Row],[NumL]],T_TraitDi[#Data],COLUMN(T_TraitDi[Colonne14]),FALSE),""),"[hh]:mm"))</f>
        <v>#N/A</v>
      </c>
      <c r="AN165" s="284" t="str">
        <f>IFERROR(VLOOKUP(T_Convention[[#This Row],[NumL]],T_TraitDi[#Data],COLUMN(T_TraitDi[Mercredi]),FALSE),"")</f>
        <v/>
      </c>
      <c r="AO165" s="284" t="e">
        <f>IF(VLOOKUP(T_Convention[[#This Row],[NumL]],T_TraitDi[#Data],COLUMN(T_TraitDi[Colonne15]),FALSE)=0,"",TEXT(IFERROR(VLOOKUP(T_Convention[[#This Row],[NumL]],T_TraitDi[#Data],COLUMN(T_TraitDi[Colonne15]),FALSE),""),"[hh]:mm"))</f>
        <v>#N/A</v>
      </c>
      <c r="AP165" s="284" t="e">
        <f>IF(VLOOKUP(T_Convention[[#This Row],[NumL]],T_TraitDi[#Data],COLUMN(T_TraitDi[Colonne16]),FALSE)=0,"",TEXT(IFERROR(VLOOKUP(T_Convention[[#This Row],[NumL]],T_TraitDi[#Data],COLUMN(T_TraitDi[Colonne16]),FALSE),""),"[hh]:mm"))</f>
        <v>#N/A</v>
      </c>
      <c r="AQ165" s="284" t="str">
        <f>IFERROR(VLOOKUP(T_Convention[[#This Row],[NumL]],T_TraitDi[#Data],COLUMN(T_TraitDi[Colonne17]),FALSE),"")</f>
        <v/>
      </c>
      <c r="AR165" s="284" t="e">
        <f>IF(VLOOKUP(T_Convention[[#This Row],[NumL]],T_TraitDi[#Data],COLUMN(T_TraitDi[Colonne18]),FALSE)=0,"",TEXT(IFERROR(VLOOKUP(T_Convention[[#This Row],[NumL]],T_TraitDi[#Data],COLUMN(T_TraitDi[Colonne18]),FALSE),""),"[hh]:mm"))</f>
        <v>#N/A</v>
      </c>
      <c r="AS165" s="284" t="e">
        <f>IF(VLOOKUP(T_Convention[[#This Row],[NumL]],T_TraitDi[#Data],COLUMN(T_TraitDi[Colonne19]),FALSE)=0,"",TEXT(IFERROR(VLOOKUP(T_Convention[[#This Row],[NumL]],T_TraitDi[#Data],COLUMN(T_TraitDi[Colonne19]),FALSE),""),"[hh]:mm"))</f>
        <v>#N/A</v>
      </c>
      <c r="AT165" s="284" t="e">
        <f>IF(VLOOKUP(T_Convention[[#This Row],[NumL]],T_TraitDi[#Data],COLUMN(T_TraitDi[Colonne20]),FALSE)=0,"",TEXT(IFERROR(VLOOKUP(T_Convention[[#This Row],[NumL]],T_TraitDi[#Data],COLUMN(T_TraitDi[Colonne20]),FALSE),""),"[hh]:mm"))</f>
        <v>#N/A</v>
      </c>
      <c r="AU165" s="284" t="str">
        <f>IFERROR(VLOOKUP(T_Convention[[#This Row],[NumL]],T_TraitDi[#Data],COLUMN(T_TraitDi[Jeudi]),FALSE),"")</f>
        <v/>
      </c>
      <c r="AV165" s="284" t="e">
        <f>IF(VLOOKUP(T_Convention[[#This Row],[NumL]],T_TraitDi[#Data],COLUMN(T_TraitDi[Colonne21]),FALSE)=0,"",TEXT(IFERROR(VLOOKUP(T_Convention[[#This Row],[NumL]],T_TraitDi[#Data],COLUMN(T_TraitDi[Colonne21]),FALSE),""),"[hh]:mm"))</f>
        <v>#N/A</v>
      </c>
      <c r="AW165" s="284" t="e">
        <f>IF(VLOOKUP(T_Convention[[#This Row],[NumL]],T_TraitDi[#Data],COLUMN(T_TraitDi[Colonne22]),FALSE)=0,"",TEXT(IFERROR(VLOOKUP(T_Convention[[#This Row],[NumL]],T_TraitDi[#Data],COLUMN(T_TraitDi[Colonne22]),FALSE),""),"[hh]:mm"))</f>
        <v>#N/A</v>
      </c>
      <c r="AX165" s="284" t="str">
        <f>IFERROR(VLOOKUP(T_Convention[[#This Row],[NumL]],T_TraitDi[#Data],COLUMN(T_TraitDi[Colonne23]),FALSE),"")</f>
        <v/>
      </c>
      <c r="AY165" s="284" t="e">
        <f>IF(VLOOKUP(T_Convention[[#This Row],[NumL]],T_TraitDi[#Data],COLUMN(T_TraitDi[Colonne24]),FALSE)=0,"",TEXT(IFERROR(VLOOKUP(T_Convention[[#This Row],[NumL]],T_TraitDi[#Data],COLUMN(T_TraitDi[Colonne24]),FALSE),""),"[hh]:mm"))</f>
        <v>#N/A</v>
      </c>
      <c r="AZ165" s="284" t="e">
        <f>IF(VLOOKUP(T_Convention[[#This Row],[NumL]],T_TraitDi[#Data],COLUMN(T_TraitDi[Colonne25]),FALSE)=0,"",TEXT(IFERROR(VLOOKUP(T_Convention[[#This Row],[NumL]],T_TraitDi[#Data],COLUMN(T_TraitDi[Colonne25]),FALSE),""),"[hh]:mm"))</f>
        <v>#N/A</v>
      </c>
      <c r="BA165" s="284" t="e">
        <f>IF(VLOOKUP(T_Convention[[#This Row],[NumL]],T_TraitDi[#Data],COLUMN(T_TraitDi[Colonne26]),FALSE)=0,"",TEXT(IFERROR(VLOOKUP(T_Convention[[#This Row],[NumL]],T_TraitDi[#Data],COLUMN(T_TraitDi[Colonne26]),FALSE),""),"[hh]:mm"))</f>
        <v>#N/A</v>
      </c>
      <c r="BB165" s="284" t="str">
        <f>IFERROR(VLOOKUP(T_Convention[[#This Row],[NumL]],T_TraitDi[#Data],COLUMN(T_TraitDi[Vendredi]),FALSE),"")</f>
        <v/>
      </c>
      <c r="BC165" s="284" t="e">
        <f>IF(VLOOKUP(T_Convention[[#This Row],[NumL]],T_TraitDi[#Data],COLUMN(T_TraitDi[Colonne27]),FALSE)=0,"",TEXT(IFERROR(VLOOKUP(T_Convention[[#This Row],[NumL]],T_TraitDi[#Data],COLUMN(T_TraitDi[Colonne27]),FALSE),""),"[hh]:mm"))</f>
        <v>#N/A</v>
      </c>
      <c r="BD165" s="284" t="e">
        <f>IF(VLOOKUP(T_Convention[[#This Row],[NumL]],T_TraitDi[#Data],COLUMN(T_TraitDi[Colonne28]),FALSE)=0,"",TEXT(IFERROR(VLOOKUP(T_Convention[[#This Row],[NumL]],T_TraitDi[#Data],COLUMN(T_TraitDi[Colonne28]),FALSE),""),"[hh]:mm"))</f>
        <v>#N/A</v>
      </c>
      <c r="BE165" s="284" t="str">
        <f>IFERROR(VLOOKUP(T_Convention[[#This Row],[NumL]],T_TraitDi[#Data],COLUMN(T_TraitDi[Colonne29]),FALSE),"")</f>
        <v/>
      </c>
      <c r="BF165" s="284" t="e">
        <f>IF(VLOOKUP(T_Convention[[#This Row],[NumL]],T_TraitDi[#Data],COLUMN(T_TraitDi[Colonne30]),FALSE)=0,"",TEXT(IFERROR(VLOOKUP(T_Convention[[#This Row],[NumL]],T_TraitDi[#Data],COLUMN(T_TraitDi[Colonne30]),FALSE),""),"[hh]:mm"))</f>
        <v>#N/A</v>
      </c>
      <c r="BG165" s="284" t="e">
        <f>IF(VLOOKUP(T_Convention[[#This Row],[NumL]],T_TraitDi[#Data],COLUMN(T_TraitDi[Colonne31]),FALSE)=0,"",TEXT(IFERROR(VLOOKUP(T_Convention[[#This Row],[NumL]],T_TraitDi[#Data],COLUMN(T_TraitDi[Colonne31]),FALSE),""),"[hh]:mm"))</f>
        <v>#N/A</v>
      </c>
      <c r="BH165" s="284" t="e">
        <f>IF(VLOOKUP(T_Convention[[#This Row],[NumL]],T_TraitDi[#Data],COLUMN(T_TraitDi[Colonne32]),FALSE)=0,"",TEXT(IFERROR(VLOOKUP(T_Convention[[#This Row],[NumL]],T_TraitDi[#Data],COLUMN(T_TraitDi[Colonne32]),FALSE),""),"[hh]:mm"))</f>
        <v>#N/A</v>
      </c>
      <c r="BI165" s="284" t="str">
        <f>IFERROR(VLOOKUP(T_Convention[[#This Row],[NumL]],T_TraitDi[#Data],COLUMN(T_TraitDi[NbJTW]),FALSE),"")</f>
        <v/>
      </c>
      <c r="BJ165" s="284" t="e">
        <f>IF(VLOOKUP(T_Convention[[#This Row],[NumL]],T_TraitDi[#Data],COLUMN(T_TraitDi[NbhTW]),FALSE)=0,"",TEXT(IFERROR(VLOOKUP(T_Convention[[#This Row],[NumL]],T_TraitDi[#Data],COLUMN(T_TraitDi[NbhTW]),FALSE),""),"[hh]:mm"))</f>
        <v>#N/A</v>
      </c>
      <c r="BK165" s="286" t="e">
        <f>IF(VLOOKUP(T_Convention[[#This Row],[NumL]],T_TraitDi[#Data],COLUMN(T_TraitDi[Nbhheb]),FALSE)=0,"",TEXT(IFERROR(VLOOKUP(T_Convention[[#This Row],[NumL]],T_TraitDi[#Data],COLUMN(T_TraitDi[Nbhheb]),FALSE),""),"[hh]:mm"))</f>
        <v>#N/A</v>
      </c>
      <c r="BL165" s="287" t="str">
        <f>IFERROR(VLOOKUP(VLOOKUP(T_Convention[[#This Row],[NumL]],T_TraitDi[#Data],COLUMN(T_TraitDi[Type1]),FALSE),TypeTW,2,FALSE),"")</f>
        <v/>
      </c>
      <c r="BM165" s="288" t="str">
        <f>IFERROR(VLOOKUP(T_Convention[[#This Row],[NumL]],T_TraitDi[#Data],COLUMN(T_TraitDi[Rue1]),FALSE),"")</f>
        <v/>
      </c>
      <c r="BN165" s="289" t="str">
        <f>IFERROR(VLOOKUP(T_Convention[[#This Row],[NumL]],T_TraitDi[#Data],COLUMN(T_TraitDi[CP1]),FALSE),"")</f>
        <v/>
      </c>
      <c r="BO165" s="282" t="str">
        <f>IFERROR(VLOOKUP(T_Convention[[#This Row],[NumL]],T_TraitDi[#Data],COLUMN(T_TraitDi[VILLE1]),FALSE),"")</f>
        <v/>
      </c>
      <c r="BP165" s="290" t="str">
        <f>IFERROR(VLOOKUP(VLOOKUP(T_Convention[[#This Row],[NumL]],T_TraitDi[#Data],COLUMN(T_TraitDi[Type2]),FALSE),TypeTW,2,FALSE),"")</f>
        <v/>
      </c>
      <c r="BQ165" s="182" t="str">
        <f>IFERROR(VLOOKUP(T_Convention[[#This Row],[NumL]],T_TraitDi[#Data],COLUMN(T_TraitDi[Rue2]),FALSE),"")</f>
        <v/>
      </c>
      <c r="BR165" s="173" t="str">
        <f>IFERROR(VLOOKUP(T_Convention[[#This Row],[NumL]],T_TraitDi[#Data],COLUMN(T_TraitDi[CP2]),FALSE),"")</f>
        <v/>
      </c>
      <c r="BS165" s="173" t="str">
        <f>IFERROR(VLOOKUP(T_Convention[[#This Row],[NumL]],T_TraitDi[#Data],COLUMN(T_TraitDi[VILLE2]),FALSE),"")</f>
        <v/>
      </c>
      <c r="BT165" s="182" t="str">
        <f>IF(VLOOKUP(T_Convention[[#This Row],[NumL]],T_Equipement[#Data],COLUMN(T_Equipement[PC]),FALSE)="","Aucun équipement spécifique directement lié au télétravail",VLOOKUP(T_Convention[[#This Row],[NumL]],T_Equipement[#Data],COLUMN(T_Equipement[PC]),FALSE))</f>
        <v xml:space="preserve">20-345	</v>
      </c>
      <c r="BU165" s="166" t="str">
        <f>IFERROR(IF(VLOOKUP(T_Convention[[#This Row],[NumL]],T_TraitDi[#Data],COLUMN(T_TraitDi[Plan]),FALSE)="OK","Un planning spécifique de télétravail est annexé à la présente convention.",""),"")</f>
        <v/>
      </c>
      <c r="BV165" s="185" t="s">
        <v>3396</v>
      </c>
      <c r="BW165" s="164" t="e">
        <f>IF(VLOOKUP(T_Convention[[#This Row],[NumL]],T_suiviDi[#Data],COLUMN(T_suiviDi[Entité]),FALSE)="","",VLOOKUP(T_Convention[[#This Row],[NumL]],T_suiviDi[#Data],COLUMN(T_suiviDi[Entité]),FALSE))</f>
        <v>#N/A</v>
      </c>
      <c r="BX165" s="164" t="str">
        <f>IF(VLOOKUP(T_Convention[[#This Row],[NumL]],T_Commission[#Data],COLUMN(T_Commission[envoi confirm TW]),FALSE)="","",VLOOKUP(T_Convention[[#This Row],[NumL]],T_Commission[#Data],COLUMN(T_Commission[envoi confirm TW]),FALSE))</f>
        <v>Oui</v>
      </c>
      <c r="BY16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5" s="264">
        <f>VLOOKUP(T_Convention[[#This Row],[NumL]],T_Commission[#Data],COLUMN(T_Commission[Commentaire]),FALSE)</f>
        <v>0</v>
      </c>
      <c r="CA165" s="254" t="str">
        <f>IF(VLOOKUP(T_Convention[[#This Row],[NumL]],T_Commission[#Data],COLUMN(T_Commission[Encadrant Email]),FALSE)="","",VLOOKUP(T_Convention[[#This Row],[NumL]],T_Commission[#Data],COLUMN(T_Commission[Encadrant Email]),FALSE))</f>
        <v/>
      </c>
      <c r="CB165" s="352" t="e">
        <f>VLOOKUP(T_Convention[[#This Row],[NumL]],T_TraitDi[#Data],COLUMN(T_TraitDi[NbJTot]),FALSE)</f>
        <v>#N/A</v>
      </c>
      <c r="CC165" s="352" t="e">
        <f>VLOOKUP(T_Convention[[#This Row],[NumL]],T_TraitDi[#Data],COLUMN(T_TraitDi[Reg Ponct]),FALSE)</f>
        <v>#N/A</v>
      </c>
      <c r="CD165" s="348" t="str">
        <f>IF(T_Convention[[#This Row],[Final]]&lt;&gt;"",VLOOKUP(T_Convention[[#This Row],[NumL]],T_suiviDi[#Data],COLUMN((T_suiviDi[Statut])),FALSE),"")</f>
        <v/>
      </c>
    </row>
    <row r="166" spans="1:82" s="106" customFormat="1" ht="18.75" customHeight="1" x14ac:dyDescent="0.25">
      <c r="A166" s="160">
        <v>275</v>
      </c>
      <c r="B166" s="161" t="str">
        <f>VLOOKUP(T_Convention[[#This Row],[NumL]],T_Commission[#Data],COLUMN(T_Commission[FINAL]),FALSE)</f>
        <v/>
      </c>
      <c r="C166" s="162"/>
      <c r="D166" s="95" t="e">
        <f>IF(VLOOKUP(T_Convention[[#This Row],[NumL]],T_TraitDi[#Data],COLUMN(T_TraitDi[WebC]),FALSE)="","",VLOOKUP(T_Convention[[#This Row],[NumL]],T_TraitDi[#Data],COLUMN(T_TraitDi[WebC]),FALSE))</f>
        <v>#N/A</v>
      </c>
      <c r="E166" s="163" t="str">
        <f t="shared" si="10"/>
        <v>12 janvier 2021</v>
      </c>
      <c r="F166" s="282" t="str">
        <f>IF(T_Convention[[#This Row],[Final]]&lt;&gt;"",VLOOKUP(T_Convention[[#This Row],[NumL]],T_suiviDi[#Data],COLUMN((T_suiviDi[Civ.])),FALSE),"")</f>
        <v/>
      </c>
      <c r="G166" s="283" t="str">
        <f>IF(T_Convention[[#This Row],[Final]]&lt;&gt;"",VLOOKUP(T_Convention[[#This Row],[NumL]],T_suiviDi[#Data],COLUMN((T_suiviDi[Nom])),FALSE),"")</f>
        <v/>
      </c>
      <c r="H166" s="282" t="str">
        <f>IF(T_Convention[[#This Row],[Final]]&lt;&gt;"",VLOOKUP(T_Convention[[#This Row],[NumL]],T_suiviDi[#Data],COLUMN((T_suiviDi[Prénom])),FALSE),"")</f>
        <v/>
      </c>
      <c r="I166" s="282" t="e">
        <f>VLOOKUP(T_Convention[[#This Row],[NumL]],T_suiviDi[#Data],COLUMN((T_suiviDi[[#This Row],[Email]])),FALSE)</f>
        <v>#VALUE!</v>
      </c>
      <c r="J166" s="282" t="e">
        <f>IF(VLOOKUP(T_Convention[[#This Row],[NumL]],T_suiviDi[#Data],COLUMN(T_suiviDi[[#This Row],[Fonction]]),FALSE)="","",VLOOKUP(T_Convention[[#This Row],[NumL]],T_suiviDi[#Data],COLUMN(T_suiviDi[[#This Row],[Fonction]]),FALSE))</f>
        <v>#VALUE!</v>
      </c>
      <c r="K166" s="282" t="e">
        <f>IF(VLOOKUP(T_Convention[[#This Row],[NumL]],T_suiviDi[#Data],COLUMN(T_suiviDi[[#This Row],[Grade]]),FALSE)="","",VLOOKUP(T_Convention[[#This Row],[NumL]],T_suiviDi[#Data],COLUMN(T_suiviDi[[#This Row],[Grade]]),FALSE))</f>
        <v>#VALUE!</v>
      </c>
      <c r="L166" s="282" t="e">
        <f>IF(VLOOKUP(T_Convention[[#This Row],[NumL]],T_suiviDi[#Data],COLUMN(T_suiviDi[[#This Row],[Service ]]),FALSE)="","",VLOOKUP(T_Convention[[#This Row],[NumL]],T_suiviDi[#Data],COLUMN(T_suiviDi[[#This Row],[Service ]]),FALSE))</f>
        <v>#VALUE!</v>
      </c>
      <c r="M166" s="164" t="str">
        <f t="shared" si="11"/>
        <v>01 septembre 2021</v>
      </c>
      <c r="N166" s="164" t="str">
        <f t="shared" si="12"/>
        <v>30 novembre 2021</v>
      </c>
      <c r="O166" s="284" t="str">
        <f t="shared" si="13"/>
        <v>30 novembre 2021</v>
      </c>
      <c r="P166" s="282" t="e">
        <f>IF(VLOOKUP(T_Convention[[#This Row],[NumL]],T_TraitDi[#Data],COLUMN(T_TraitDi[M1]),FALSE)="","",VLOOKUP(T_Convention[[#This Row],[NumL]],T_TraitDi[#Data],COLUMN(T_TraitDi[M1]),FALSE))</f>
        <v>#N/A</v>
      </c>
      <c r="Q166" s="282" t="e">
        <f>IF(VLOOKUP(T_Convention[[#This Row],[NumL]],T_TraitDi[#Data],COLUMN(T_TraitDi[M2]),FALSE)="","",VLOOKUP(T_Convention[[#This Row],[NumL]],T_TraitDi[#Data],COLUMN(T_TraitDi[M2]),FALSE))</f>
        <v>#N/A</v>
      </c>
      <c r="R166" s="282" t="e">
        <f>IF(VLOOKUP(T_Convention[[#This Row],[NumL]],T_TraitDi[#Data],COLUMN(T_TraitDi[M3]),FALSE)="","",VLOOKUP(T_Convention[[#This Row],[NumL]],T_TraitDi[#Data],COLUMN(T_TraitDi[M3]),FALSE))</f>
        <v>#N/A</v>
      </c>
      <c r="S166" s="282" t="e">
        <f>IF(VLOOKUP(T_Convention[[#This Row],[NumL]],T_TraitDi[#Data],COLUMN(T_TraitDi[M4]),FALSE)="","",VLOOKUP(T_Convention[[#This Row],[NumL]],T_TraitDi[#Data],COLUMN(T_TraitDi[M4]),FALSE))</f>
        <v>#N/A</v>
      </c>
      <c r="T166" s="282" t="e">
        <f>IF(VLOOKUP(T_Convention[[#This Row],[NumL]],T_TraitDi[#Data],COLUMN(T_TraitDi[M5]),FALSE)="","",VLOOKUP(T_Convention[[#This Row],[NumL]],T_TraitDi[#Data],COLUMN(T_TraitDi[M5]),FALSE))</f>
        <v>#N/A</v>
      </c>
      <c r="U166" s="282" t="e">
        <f>IF(VLOOKUP(T_Convention[[#This Row],[NumL]],T_TraitDi[#Data],COLUMN(T_TraitDi[M6]),FALSE)="","",VLOOKUP(T_Convention[[#This Row],[NumL]],T_TraitDi[#Data],COLUMN(T_TraitDi[M6]),FALSE))</f>
        <v>#N/A</v>
      </c>
      <c r="V166" s="176" t="e">
        <f t="shared" si="14"/>
        <v>#N/A</v>
      </c>
      <c r="W166" s="284" t="str">
        <f>IFERROR(TEXT(VLOOKUP(T_Convention[[#This Row],[NumL]],T_TraitDi[#Data],COLUMN(T_TraitDi[Q2]),FALSE),"###%"),"")</f>
        <v/>
      </c>
      <c r="X166" s="97" t="e">
        <f>VLOOKUP(T_Convention[[#This Row],[NumL]],T_TraitDi[#Data],COLUMN(T_TraitDi[Reg Ponct]),FALSE)</f>
        <v>#N/A</v>
      </c>
      <c r="Y166" s="97" t="e">
        <f>VLOOKUP(T_Convention[NumL],T_TraitDi[#Data],COLUMN(T_TraitDi[Jours flottants]),FALSE)</f>
        <v>#N/A</v>
      </c>
      <c r="Z166" s="284" t="str">
        <f>IFERROR(VLOOKUP(T_Convention[[#This Row],[NumL]],T_TraitDi[#Data],COLUMN(T_TraitDi[Lundi]),FALSE),"")</f>
        <v/>
      </c>
      <c r="AA166" s="284" t="e">
        <f>IF(VLOOKUP(T_Convention[[#This Row],[NumL]],T_TraitDi[#Data],COLUMN(T_TraitDi[Colonne3]),FALSE)=0,"",TEXT(IFERROR(VLOOKUP(T_Convention[[#This Row],[NumL]],T_TraitDi[#Data],COLUMN(T_TraitDi[Colonne3]),FALSE),""),"[hh]:mm"))</f>
        <v>#N/A</v>
      </c>
      <c r="AB166" s="284" t="e">
        <f>IF(VLOOKUP(T_Convention[[#This Row],[NumL]],T_TraitDi[#Data],COLUMN(T_TraitDi[Colonne4]),FALSE)=0,"",TEXT(IFERROR(VLOOKUP(T_Convention[[#This Row],[NumL]],T_TraitDi[#Data],COLUMN(T_TraitDi[Colonne4]),FALSE),""),"[hh]:mm"))</f>
        <v>#N/A</v>
      </c>
      <c r="AC166" s="284" t="e">
        <f>IF(VLOOKUP(T_Convention[[#This Row],[NumL]],T_TraitDi[#Data],COLUMN(T_TraitDi[Colonne5]),FALSE)=0,"",TEXT(IFERROR(VLOOKUP(T_Convention[[#This Row],[NumL]],T_TraitDi[#Data],COLUMN(T_TraitDi[Colonne5]),FALSE),""),"[hh]:mm"))</f>
        <v>#N/A</v>
      </c>
      <c r="AD166" s="284" t="e">
        <f>IF(VLOOKUP(T_Convention[[#This Row],[NumL]],T_TraitDi[#Data],COLUMN(T_TraitDi[Colonne6]),FALSE)=0,"",TEXT(IFERROR(VLOOKUP(T_Convention[[#This Row],[NumL]],T_TraitDi[#Data],COLUMN(T_TraitDi[Colonne6]),FALSE),""),"[hh]:mm"))</f>
        <v>#N/A</v>
      </c>
      <c r="AE166" s="284" t="e">
        <f>IF(VLOOKUP(T_Convention[[#This Row],[NumL]],T_TraitDi[#Data],COLUMN(T_TraitDi[Colonne7]),FALSE)=0,"",TEXT(IFERROR(VLOOKUP(T_Convention[[#This Row],[NumL]],T_TraitDi[#Data],COLUMN(T_TraitDi[Colonne7]),FALSE),""),"[hh]:mm"))</f>
        <v>#N/A</v>
      </c>
      <c r="AF166" s="284" t="e">
        <f>IF(VLOOKUP(T_Convention[[#This Row],[NumL]],T_TraitDi[#Data],COLUMN(T_TraitDi[Colonne8]),FALSE)=0,"",TEXT(IFERROR(VLOOKUP(T_Convention[[#This Row],[NumL]],T_TraitDi[#Data],COLUMN(T_TraitDi[Colonne8]),FALSE),""),"[hh]:mm"))</f>
        <v>#N/A</v>
      </c>
      <c r="AG166" s="284" t="str">
        <f>IFERROR(VLOOKUP(T_Convention[[#This Row],[NumL]],T_TraitDi[#Data],COLUMN(T_TraitDi[Mardi]),FALSE),"")</f>
        <v/>
      </c>
      <c r="AH166" s="284" t="e">
        <f>IF(VLOOKUP(T_Convention[[#This Row],[NumL]],T_TraitDi[#Data],COLUMN(T_TraitDi[Colonne1]),FALSE)=0,"",TEXT(IFERROR(VLOOKUP(T_Convention[[#This Row],[NumL]],T_TraitDi[#Data],COLUMN(T_TraitDi[Colonne1]),FALSE),""),"[hh]:mm"))</f>
        <v>#N/A</v>
      </c>
      <c r="AI166" s="284" t="e">
        <f>IF(VLOOKUP(T_Convention[[#This Row],[NumL]],T_TraitDi[#Data],COLUMN(T_TraitDi[Colonne9]),FALSE)=0,"",TEXT(IFERROR(VLOOKUP(T_Convention[[#This Row],[NumL]],T_TraitDi[#Data],COLUMN(T_TraitDi[Colonne9]),FALSE),""),"[hh]:mm"))</f>
        <v>#N/A</v>
      </c>
      <c r="AJ166" s="284" t="str">
        <f>IFERROR(VLOOKUP(T_Convention[[#This Row],[NumL]],T_TraitDi[#Data],COLUMN(T_TraitDi[Colonne10]),FALSE),"")</f>
        <v/>
      </c>
      <c r="AK166" s="284" t="e">
        <f>IF(VLOOKUP(T_Convention[[#This Row],[NumL]],T_TraitDi[#Data],COLUMN(T_TraitDi[Colonne11]),FALSE)=0,"",TEXT(IFERROR(VLOOKUP(T_Convention[[#This Row],[NumL]],T_TraitDi[#Data],COLUMN(T_TraitDi[Colonne11]),FALSE),""),"[hh]:mm"))</f>
        <v>#N/A</v>
      </c>
      <c r="AL166" s="284" t="e">
        <f>IF(VLOOKUP(T_Convention[[#This Row],[NumL]],T_TraitDi[#Data],COLUMN(T_TraitDi[Colonne12]),FALSE)=0,"",TEXT(IFERROR(VLOOKUP(T_Convention[[#This Row],[NumL]],T_TraitDi[#Data],COLUMN(T_TraitDi[Colonne12]),FALSE),""),"[hh]:mm"))</f>
        <v>#N/A</v>
      </c>
      <c r="AM166" s="284" t="e">
        <f>IF(VLOOKUP(T_Convention[[#This Row],[NumL]],T_TraitDi[#Data],COLUMN(T_TraitDi[Colonne14]),FALSE)=0,"",TEXT(IFERROR(VLOOKUP(T_Convention[[#This Row],[NumL]],T_TraitDi[#Data],COLUMN(T_TraitDi[Colonne14]),FALSE),""),"[hh]:mm"))</f>
        <v>#N/A</v>
      </c>
      <c r="AN166" s="284" t="str">
        <f>IFERROR(VLOOKUP(T_Convention[[#This Row],[NumL]],T_TraitDi[#Data],COLUMN(T_TraitDi[Mercredi]),FALSE),"")</f>
        <v/>
      </c>
      <c r="AO166" s="284" t="e">
        <f>IF(VLOOKUP(T_Convention[[#This Row],[NumL]],T_TraitDi[#Data],COLUMN(T_TraitDi[Colonne15]),FALSE)=0,"",TEXT(IFERROR(VLOOKUP(T_Convention[[#This Row],[NumL]],T_TraitDi[#Data],COLUMN(T_TraitDi[Colonne15]),FALSE),""),"[hh]:mm"))</f>
        <v>#N/A</v>
      </c>
      <c r="AP166" s="284" t="e">
        <f>IF(VLOOKUP(T_Convention[[#This Row],[NumL]],T_TraitDi[#Data],COLUMN(T_TraitDi[Colonne16]),FALSE)=0,"",TEXT(IFERROR(VLOOKUP(T_Convention[[#This Row],[NumL]],T_TraitDi[#Data],COLUMN(T_TraitDi[Colonne16]),FALSE),""),"[hh]:mm"))</f>
        <v>#N/A</v>
      </c>
      <c r="AQ166" s="284" t="str">
        <f>IFERROR(VLOOKUP(T_Convention[[#This Row],[NumL]],T_TraitDi[#Data],COLUMN(T_TraitDi[Colonne17]),FALSE),"")</f>
        <v/>
      </c>
      <c r="AR166" s="284" t="e">
        <f>IF(VLOOKUP(T_Convention[[#This Row],[NumL]],T_TraitDi[#Data],COLUMN(T_TraitDi[Colonne18]),FALSE)=0,"",TEXT(IFERROR(VLOOKUP(T_Convention[[#This Row],[NumL]],T_TraitDi[#Data],COLUMN(T_TraitDi[Colonne18]),FALSE),""),"[hh]:mm"))</f>
        <v>#N/A</v>
      </c>
      <c r="AS166" s="284" t="e">
        <f>IF(VLOOKUP(T_Convention[[#This Row],[NumL]],T_TraitDi[#Data],COLUMN(T_TraitDi[Colonne19]),FALSE)=0,"",TEXT(IFERROR(VLOOKUP(T_Convention[[#This Row],[NumL]],T_TraitDi[#Data],COLUMN(T_TraitDi[Colonne19]),FALSE),""),"[hh]:mm"))</f>
        <v>#N/A</v>
      </c>
      <c r="AT166" s="284" t="e">
        <f>IF(VLOOKUP(T_Convention[[#This Row],[NumL]],T_TraitDi[#Data],COLUMN(T_TraitDi[Colonne20]),FALSE)=0,"",TEXT(IFERROR(VLOOKUP(T_Convention[[#This Row],[NumL]],T_TraitDi[#Data],COLUMN(T_TraitDi[Colonne20]),FALSE),""),"[hh]:mm"))</f>
        <v>#N/A</v>
      </c>
      <c r="AU166" s="284" t="str">
        <f>IFERROR(VLOOKUP(T_Convention[[#This Row],[NumL]],T_TraitDi[#Data],COLUMN(T_TraitDi[Jeudi]),FALSE),"")</f>
        <v/>
      </c>
      <c r="AV166" s="284" t="e">
        <f>IF(VLOOKUP(T_Convention[[#This Row],[NumL]],T_TraitDi[#Data],COLUMN(T_TraitDi[Colonne21]),FALSE)=0,"",TEXT(IFERROR(VLOOKUP(T_Convention[[#This Row],[NumL]],T_TraitDi[#Data],COLUMN(T_TraitDi[Colonne21]),FALSE),""),"[hh]:mm"))</f>
        <v>#N/A</v>
      </c>
      <c r="AW166" s="284" t="e">
        <f>IF(VLOOKUP(T_Convention[[#This Row],[NumL]],T_TraitDi[#Data],COLUMN(T_TraitDi[Colonne22]),FALSE)=0,"",TEXT(IFERROR(VLOOKUP(T_Convention[[#This Row],[NumL]],T_TraitDi[#Data],COLUMN(T_TraitDi[Colonne22]),FALSE),""),"[hh]:mm"))</f>
        <v>#N/A</v>
      </c>
      <c r="AX166" s="284" t="str">
        <f>IFERROR(VLOOKUP(T_Convention[[#This Row],[NumL]],T_TraitDi[#Data],COLUMN(T_TraitDi[Colonne23]),FALSE),"")</f>
        <v/>
      </c>
      <c r="AY166" s="284" t="e">
        <f>IF(VLOOKUP(T_Convention[[#This Row],[NumL]],T_TraitDi[#Data],COLUMN(T_TraitDi[Colonne24]),FALSE)=0,"",TEXT(IFERROR(VLOOKUP(T_Convention[[#This Row],[NumL]],T_TraitDi[#Data],COLUMN(T_TraitDi[Colonne24]),FALSE),""),"[hh]:mm"))</f>
        <v>#N/A</v>
      </c>
      <c r="AZ166" s="284" t="e">
        <f>IF(VLOOKUP(T_Convention[[#This Row],[NumL]],T_TraitDi[#Data],COLUMN(T_TraitDi[Colonne25]),FALSE)=0,"",TEXT(IFERROR(VLOOKUP(T_Convention[[#This Row],[NumL]],T_TraitDi[#Data],COLUMN(T_TraitDi[Colonne25]),FALSE),""),"[hh]:mm"))</f>
        <v>#N/A</v>
      </c>
      <c r="BA166" s="284" t="e">
        <f>IF(VLOOKUP(T_Convention[[#This Row],[NumL]],T_TraitDi[#Data],COLUMN(T_TraitDi[Colonne26]),FALSE)=0,"",TEXT(IFERROR(VLOOKUP(T_Convention[[#This Row],[NumL]],T_TraitDi[#Data],COLUMN(T_TraitDi[Colonne26]),FALSE),""),"[hh]:mm"))</f>
        <v>#N/A</v>
      </c>
      <c r="BB166" s="284" t="str">
        <f>IFERROR(VLOOKUP(T_Convention[[#This Row],[NumL]],T_TraitDi[#Data],COLUMN(T_TraitDi[Vendredi]),FALSE),"")</f>
        <v/>
      </c>
      <c r="BC166" s="284" t="e">
        <f>IF(VLOOKUP(T_Convention[[#This Row],[NumL]],T_TraitDi[#Data],COLUMN(T_TraitDi[Colonne27]),FALSE)=0,"",TEXT(IFERROR(VLOOKUP(T_Convention[[#This Row],[NumL]],T_TraitDi[#Data],COLUMN(T_TraitDi[Colonne27]),FALSE),""),"[hh]:mm"))</f>
        <v>#N/A</v>
      </c>
      <c r="BD166" s="284" t="e">
        <f>IF(VLOOKUP(T_Convention[[#This Row],[NumL]],T_TraitDi[#Data],COLUMN(T_TraitDi[Colonne28]),FALSE)=0,"",TEXT(IFERROR(VLOOKUP(T_Convention[[#This Row],[NumL]],T_TraitDi[#Data],COLUMN(T_TraitDi[Colonne28]),FALSE),""),"[hh]:mm"))</f>
        <v>#N/A</v>
      </c>
      <c r="BE166" s="284" t="str">
        <f>IFERROR(VLOOKUP(T_Convention[[#This Row],[NumL]],T_TraitDi[#Data],COLUMN(T_TraitDi[Colonne29]),FALSE),"")</f>
        <v/>
      </c>
      <c r="BF166" s="284" t="e">
        <f>IF(VLOOKUP(T_Convention[[#This Row],[NumL]],T_TraitDi[#Data],COLUMN(T_TraitDi[Colonne30]),FALSE)=0,"",TEXT(IFERROR(VLOOKUP(T_Convention[[#This Row],[NumL]],T_TraitDi[#Data],COLUMN(T_TraitDi[Colonne30]),FALSE),""),"[hh]:mm"))</f>
        <v>#N/A</v>
      </c>
      <c r="BG166" s="284" t="e">
        <f>IF(VLOOKUP(T_Convention[[#This Row],[NumL]],T_TraitDi[#Data],COLUMN(T_TraitDi[Colonne31]),FALSE)=0,"",TEXT(IFERROR(VLOOKUP(T_Convention[[#This Row],[NumL]],T_TraitDi[#Data],COLUMN(T_TraitDi[Colonne31]),FALSE),""),"[hh]:mm"))</f>
        <v>#N/A</v>
      </c>
      <c r="BH166" s="284" t="e">
        <f>IF(VLOOKUP(T_Convention[[#This Row],[NumL]],T_TraitDi[#Data],COLUMN(T_TraitDi[Colonne32]),FALSE)=0,"",TEXT(IFERROR(VLOOKUP(T_Convention[[#This Row],[NumL]],T_TraitDi[#Data],COLUMN(T_TraitDi[Colonne32]),FALSE),""),"[hh]:mm"))</f>
        <v>#N/A</v>
      </c>
      <c r="BI166" s="284" t="str">
        <f>IFERROR(VLOOKUP(T_Convention[[#This Row],[NumL]],T_TraitDi[#Data],COLUMN(T_TraitDi[NbJTW]),FALSE),"")</f>
        <v/>
      </c>
      <c r="BJ166" s="284" t="e">
        <f>IF(VLOOKUP(T_Convention[[#This Row],[NumL]],T_TraitDi[#Data],COLUMN(T_TraitDi[NbhTW]),FALSE)=0,"",TEXT(IFERROR(VLOOKUP(T_Convention[[#This Row],[NumL]],T_TraitDi[#Data],COLUMN(T_TraitDi[NbhTW]),FALSE),""),"[hh]:mm"))</f>
        <v>#N/A</v>
      </c>
      <c r="BK166" s="286" t="e">
        <f>IF(VLOOKUP(T_Convention[[#This Row],[NumL]],T_TraitDi[#Data],COLUMN(T_TraitDi[Nbhheb]),FALSE)=0,"",TEXT(IFERROR(VLOOKUP(T_Convention[[#This Row],[NumL]],T_TraitDi[#Data],COLUMN(T_TraitDi[Nbhheb]),FALSE),""),"[hh]:mm"))</f>
        <v>#N/A</v>
      </c>
      <c r="BL166" s="287" t="str">
        <f>IFERROR(VLOOKUP(VLOOKUP(T_Convention[[#This Row],[NumL]],T_TraitDi[#Data],COLUMN(T_TraitDi[Type1]),FALSE),TypeTW,2,FALSE),"")</f>
        <v/>
      </c>
      <c r="BM166" s="288" t="str">
        <f>IFERROR(VLOOKUP(T_Convention[[#This Row],[NumL]],T_TraitDi[#Data],COLUMN(T_TraitDi[Rue1]),FALSE),"")</f>
        <v/>
      </c>
      <c r="BN166" s="289" t="str">
        <f>IFERROR(VLOOKUP(T_Convention[[#This Row],[NumL]],T_TraitDi[#Data],COLUMN(T_TraitDi[CP1]),FALSE),"")</f>
        <v/>
      </c>
      <c r="BO166" s="282" t="str">
        <f>IFERROR(VLOOKUP(T_Convention[[#This Row],[NumL]],T_TraitDi[#Data],COLUMN(T_TraitDi[VILLE1]),FALSE),"")</f>
        <v/>
      </c>
      <c r="BP166" s="290" t="str">
        <f>IFERROR(VLOOKUP(VLOOKUP(T_Convention[[#This Row],[NumL]],T_TraitDi[#Data],COLUMN(T_TraitDi[Type2]),FALSE),TypeTW,2,FALSE),"")</f>
        <v/>
      </c>
      <c r="BQ166" s="182" t="str">
        <f>IFERROR(VLOOKUP(T_Convention[[#This Row],[NumL]],T_TraitDi[#Data],COLUMN(T_TraitDi[Rue2]),FALSE),"")</f>
        <v/>
      </c>
      <c r="BR166" s="173" t="str">
        <f>IFERROR(VLOOKUP(T_Convention[[#This Row],[NumL]],T_TraitDi[#Data],COLUMN(T_TraitDi[CP2]),FALSE),"")</f>
        <v/>
      </c>
      <c r="BS166" s="173" t="str">
        <f>IFERROR(VLOOKUP(T_Convention[[#This Row],[NumL]],T_TraitDi[#Data],COLUMN(T_TraitDi[VILLE2]),FALSE),"")</f>
        <v/>
      </c>
      <c r="BT166" s="182" t="str">
        <f>IF(VLOOKUP(T_Convention[[#This Row],[NumL]],T_Equipement[#Data],COLUMN(T_Equipement[PC]),FALSE)="","Aucun équipement spécifique directement lié au télétravail",VLOOKUP(T_Convention[[#This Row],[NumL]],T_Equipement[#Data],COLUMN(T_Equipement[PC]),FALSE))</f>
        <v>18-058</v>
      </c>
      <c r="BU166" s="166" t="str">
        <f>IFERROR(IF(VLOOKUP(T_Convention[[#This Row],[NumL]],T_TraitDi[#Data],COLUMN(T_TraitDi[Plan]),FALSE)="OK","Un planning spécifique de télétravail est annexé à la présente convention.",""),"")</f>
        <v/>
      </c>
      <c r="BV166" s="185" t="s">
        <v>3438</v>
      </c>
      <c r="BW166" s="164" t="e">
        <f>IF(VLOOKUP(T_Convention[[#This Row],[NumL]],T_suiviDi[#Data],COLUMN(T_suiviDi[Entité]),FALSE)="","",VLOOKUP(T_Convention[[#This Row],[NumL]],T_suiviDi[#Data],COLUMN(T_suiviDi[Entité]),FALSE))</f>
        <v>#N/A</v>
      </c>
      <c r="BX166" s="164" t="str">
        <f>IF(VLOOKUP(T_Convention[[#This Row],[NumL]],T_Commission[#Data],COLUMN(T_Commission[envoi confirm TW]),FALSE)="","",VLOOKUP(T_Convention[[#This Row],[NumL]],T_Commission[#Data],COLUMN(T_Commission[envoi confirm TW]),FALSE))</f>
        <v>Oui</v>
      </c>
      <c r="BY16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6" s="264">
        <f>VLOOKUP(T_Convention[[#This Row],[NumL]],T_Commission[#Data],COLUMN(T_Commission[Commentaire]),FALSE)</f>
        <v>0</v>
      </c>
      <c r="CA166" s="254" t="str">
        <f>IF(VLOOKUP(T_Convention[[#This Row],[NumL]],T_Commission[#Data],COLUMN(T_Commission[Encadrant Email]),FALSE)="","",VLOOKUP(T_Convention[[#This Row],[NumL]],T_Commission[#Data],COLUMN(T_Commission[Encadrant Email]),FALSE))</f>
        <v/>
      </c>
      <c r="CB166" s="352" t="e">
        <f>VLOOKUP(T_Convention[[#This Row],[NumL]],T_TraitDi[#Data],COLUMN(T_TraitDi[NbJTot]),FALSE)</f>
        <v>#N/A</v>
      </c>
      <c r="CC166" s="352" t="e">
        <f>VLOOKUP(T_Convention[[#This Row],[NumL]],T_TraitDi[#Data],COLUMN(T_TraitDi[Reg Ponct]),FALSE)</f>
        <v>#N/A</v>
      </c>
      <c r="CD166" s="348" t="str">
        <f>IF(T_Convention[[#This Row],[Final]]&lt;&gt;"",VLOOKUP(T_Convention[[#This Row],[NumL]],T_suiviDi[#Data],COLUMN((T_suiviDi[Statut])),FALSE),"")</f>
        <v/>
      </c>
    </row>
    <row r="167" spans="1:82" s="106" customFormat="1" ht="18.75" customHeight="1" x14ac:dyDescent="0.25">
      <c r="A167" s="160">
        <v>133</v>
      </c>
      <c r="B167" s="161" t="str">
        <f>VLOOKUP(T_Convention[[#This Row],[NumL]],T_Commission[#Data],COLUMN(T_Commission[FINAL]),FALSE)</f>
        <v/>
      </c>
      <c r="C167" s="162"/>
      <c r="D167" s="95" t="e">
        <f>IF(VLOOKUP(T_Convention[[#This Row],[NumL]],T_TraitDi[#Data],COLUMN(T_TraitDi[WebC]),FALSE)="","",VLOOKUP(T_Convention[[#This Row],[NumL]],T_TraitDi[#Data],COLUMN(T_TraitDi[WebC]),FALSE))</f>
        <v>#N/A</v>
      </c>
      <c r="E167" s="163" t="str">
        <f t="shared" si="10"/>
        <v>12 janvier 2021</v>
      </c>
      <c r="F167" s="282" t="str">
        <f>IF(T_Convention[[#This Row],[Final]]&lt;&gt;"",VLOOKUP(T_Convention[[#This Row],[NumL]],T_suiviDi[#Data],COLUMN((T_suiviDi[Civ.])),FALSE),"")</f>
        <v/>
      </c>
      <c r="G167" s="283" t="str">
        <f>IF(T_Convention[[#This Row],[Final]]&lt;&gt;"",VLOOKUP(T_Convention[[#This Row],[NumL]],T_suiviDi[#Data],COLUMN((T_suiviDi[Nom])),FALSE),"")</f>
        <v/>
      </c>
      <c r="H167" s="282" t="str">
        <f>IF(T_Convention[[#This Row],[Final]]&lt;&gt;"",VLOOKUP(T_Convention[[#This Row],[NumL]],T_suiviDi[#Data],COLUMN((T_suiviDi[Prénom])),FALSE),"")</f>
        <v/>
      </c>
      <c r="I167" s="282" t="e">
        <f>VLOOKUP(T_Convention[[#This Row],[NumL]],T_suiviDi[#Data],COLUMN((T_suiviDi[[#This Row],[Email]])),FALSE)</f>
        <v>#VALUE!</v>
      </c>
      <c r="J167" s="282" t="e">
        <f>IF(VLOOKUP(T_Convention[[#This Row],[NumL]],T_suiviDi[#Data],COLUMN(T_suiviDi[[#This Row],[Fonction]]),FALSE)="","",VLOOKUP(T_Convention[[#This Row],[NumL]],T_suiviDi[#Data],COLUMN(T_suiviDi[[#This Row],[Fonction]]),FALSE))</f>
        <v>#VALUE!</v>
      </c>
      <c r="K167" s="282" t="e">
        <f>IF(VLOOKUP(T_Convention[[#This Row],[NumL]],T_suiviDi[#Data],COLUMN(T_suiviDi[[#This Row],[Grade]]),FALSE)="","",VLOOKUP(T_Convention[[#This Row],[NumL]],T_suiviDi[#Data],COLUMN(T_suiviDi[[#This Row],[Grade]]),FALSE))</f>
        <v>#VALUE!</v>
      </c>
      <c r="L167" s="282" t="e">
        <f>IF(VLOOKUP(T_Convention[[#This Row],[NumL]],T_suiviDi[#Data],COLUMN(T_suiviDi[[#This Row],[Service ]]),FALSE)="","",VLOOKUP(T_Convention[[#This Row],[NumL]],T_suiviDi[#Data],COLUMN(T_suiviDi[[#This Row],[Service ]]),FALSE))</f>
        <v>#VALUE!</v>
      </c>
      <c r="M167" s="164" t="str">
        <f t="shared" si="11"/>
        <v>01 septembre 2021</v>
      </c>
      <c r="N167" s="164" t="str">
        <f t="shared" si="12"/>
        <v>30 novembre 2021</v>
      </c>
      <c r="O167" s="284" t="str">
        <f t="shared" si="13"/>
        <v>30 novembre 2021</v>
      </c>
      <c r="P167" s="282" t="e">
        <f>IF(VLOOKUP(T_Convention[[#This Row],[NumL]],T_TraitDi[#Data],COLUMN(T_TraitDi[M1]),FALSE)="","",VLOOKUP(T_Convention[[#This Row],[NumL]],T_TraitDi[#Data],COLUMN(T_TraitDi[M1]),FALSE))</f>
        <v>#N/A</v>
      </c>
      <c r="Q167" s="282" t="e">
        <f>IF(VLOOKUP(T_Convention[[#This Row],[NumL]],T_TraitDi[#Data],COLUMN(T_TraitDi[M2]),FALSE)="","",VLOOKUP(T_Convention[[#This Row],[NumL]],T_TraitDi[#Data],COLUMN(T_TraitDi[M2]),FALSE))</f>
        <v>#N/A</v>
      </c>
      <c r="R167" s="282" t="e">
        <f>IF(VLOOKUP(T_Convention[[#This Row],[NumL]],T_TraitDi[#Data],COLUMN(T_TraitDi[M3]),FALSE)="","",VLOOKUP(T_Convention[[#This Row],[NumL]],T_TraitDi[#Data],COLUMN(T_TraitDi[M3]),FALSE))</f>
        <v>#N/A</v>
      </c>
      <c r="S167" s="282" t="e">
        <f>IF(VLOOKUP(T_Convention[[#This Row],[NumL]],T_TraitDi[#Data],COLUMN(T_TraitDi[M4]),FALSE)="","",VLOOKUP(T_Convention[[#This Row],[NumL]],T_TraitDi[#Data],COLUMN(T_TraitDi[M4]),FALSE))</f>
        <v>#N/A</v>
      </c>
      <c r="T167" s="282" t="e">
        <f>IF(VLOOKUP(T_Convention[[#This Row],[NumL]],T_TraitDi[#Data],COLUMN(T_TraitDi[M5]),FALSE)="","",VLOOKUP(T_Convention[[#This Row],[NumL]],T_TraitDi[#Data],COLUMN(T_TraitDi[M5]),FALSE))</f>
        <v>#N/A</v>
      </c>
      <c r="U167" s="282" t="e">
        <f>IF(VLOOKUP(T_Convention[[#This Row],[NumL]],T_TraitDi[#Data],COLUMN(T_TraitDi[M6]),FALSE)="","",VLOOKUP(T_Convention[[#This Row],[NumL]],T_TraitDi[#Data],COLUMN(T_TraitDi[M6]),FALSE))</f>
        <v>#N/A</v>
      </c>
      <c r="V167" s="176" t="e">
        <f t="shared" si="14"/>
        <v>#N/A</v>
      </c>
      <c r="W167" s="284" t="str">
        <f>IFERROR(TEXT(VLOOKUP(T_Convention[[#This Row],[NumL]],T_TraitDi[#Data],COLUMN(T_TraitDi[Q2]),FALSE),"###%"),"")</f>
        <v/>
      </c>
      <c r="X167" s="97" t="e">
        <f>VLOOKUP(T_Convention[[#This Row],[NumL]],T_TraitDi[#Data],COLUMN(T_TraitDi[Reg Ponct]),FALSE)</f>
        <v>#N/A</v>
      </c>
      <c r="Y167" s="97" t="e">
        <f>VLOOKUP(T_Convention[NumL],T_TraitDi[#Data],COLUMN(T_TraitDi[Jours flottants]),FALSE)</f>
        <v>#N/A</v>
      </c>
      <c r="Z167" s="284" t="str">
        <f>IFERROR(VLOOKUP(T_Convention[[#This Row],[NumL]],T_TraitDi[#Data],COLUMN(T_TraitDi[Lundi]),FALSE),"")</f>
        <v/>
      </c>
      <c r="AA167" s="284" t="e">
        <f>IF(VLOOKUP(T_Convention[[#This Row],[NumL]],T_TraitDi[#Data],COLUMN(T_TraitDi[Colonne3]),FALSE)=0,"",TEXT(IFERROR(VLOOKUP(T_Convention[[#This Row],[NumL]],T_TraitDi[#Data],COLUMN(T_TraitDi[Colonne3]),FALSE),""),"[hh]:mm"))</f>
        <v>#N/A</v>
      </c>
      <c r="AB167" s="284" t="e">
        <f>IF(VLOOKUP(T_Convention[[#This Row],[NumL]],T_TraitDi[#Data],COLUMN(T_TraitDi[Colonne4]),FALSE)=0,"",TEXT(IFERROR(VLOOKUP(T_Convention[[#This Row],[NumL]],T_TraitDi[#Data],COLUMN(T_TraitDi[Colonne4]),FALSE),""),"[hh]:mm"))</f>
        <v>#N/A</v>
      </c>
      <c r="AC167" s="284" t="e">
        <f>IF(VLOOKUP(T_Convention[[#This Row],[NumL]],T_TraitDi[#Data],COLUMN(T_TraitDi[Colonne5]),FALSE)=0,"",TEXT(IFERROR(VLOOKUP(T_Convention[[#This Row],[NumL]],T_TraitDi[#Data],COLUMN(T_TraitDi[Colonne5]),FALSE),""),"[hh]:mm"))</f>
        <v>#N/A</v>
      </c>
      <c r="AD167" s="284" t="e">
        <f>IF(VLOOKUP(T_Convention[[#This Row],[NumL]],T_TraitDi[#Data],COLUMN(T_TraitDi[Colonne6]),FALSE)=0,"",TEXT(IFERROR(VLOOKUP(T_Convention[[#This Row],[NumL]],T_TraitDi[#Data],COLUMN(T_TraitDi[Colonne6]),FALSE),""),"[hh]:mm"))</f>
        <v>#N/A</v>
      </c>
      <c r="AE167" s="284" t="e">
        <f>IF(VLOOKUP(T_Convention[[#This Row],[NumL]],T_TraitDi[#Data],COLUMN(T_TraitDi[Colonne7]),FALSE)=0,"",TEXT(IFERROR(VLOOKUP(T_Convention[[#This Row],[NumL]],T_TraitDi[#Data],COLUMN(T_TraitDi[Colonne7]),FALSE),""),"[hh]:mm"))</f>
        <v>#N/A</v>
      </c>
      <c r="AF167" s="284" t="e">
        <f>IF(VLOOKUP(T_Convention[[#This Row],[NumL]],T_TraitDi[#Data],COLUMN(T_TraitDi[Colonne8]),FALSE)=0,"",TEXT(IFERROR(VLOOKUP(T_Convention[[#This Row],[NumL]],T_TraitDi[#Data],COLUMN(T_TraitDi[Colonne8]),FALSE),""),"[hh]:mm"))</f>
        <v>#N/A</v>
      </c>
      <c r="AG167" s="284" t="str">
        <f>IFERROR(VLOOKUP(T_Convention[[#This Row],[NumL]],T_TraitDi[#Data],COLUMN(T_TraitDi[Mardi]),FALSE),"")</f>
        <v/>
      </c>
      <c r="AH167" s="284" t="e">
        <f>IF(VLOOKUP(T_Convention[[#This Row],[NumL]],T_TraitDi[#Data],COLUMN(T_TraitDi[Colonne1]),FALSE)=0,"",TEXT(IFERROR(VLOOKUP(T_Convention[[#This Row],[NumL]],T_TraitDi[#Data],COLUMN(T_TraitDi[Colonne1]),FALSE),""),"[hh]:mm"))</f>
        <v>#N/A</v>
      </c>
      <c r="AI167" s="284" t="e">
        <f>IF(VLOOKUP(T_Convention[[#This Row],[NumL]],T_TraitDi[#Data],COLUMN(T_TraitDi[Colonne9]),FALSE)=0,"",TEXT(IFERROR(VLOOKUP(T_Convention[[#This Row],[NumL]],T_TraitDi[#Data],COLUMN(T_TraitDi[Colonne9]),FALSE),""),"[hh]:mm"))</f>
        <v>#N/A</v>
      </c>
      <c r="AJ167" s="284" t="str">
        <f>IFERROR(VLOOKUP(T_Convention[[#This Row],[NumL]],T_TraitDi[#Data],COLUMN(T_TraitDi[Colonne10]),FALSE),"")</f>
        <v/>
      </c>
      <c r="AK167" s="284" t="e">
        <f>IF(VLOOKUP(T_Convention[[#This Row],[NumL]],T_TraitDi[#Data],COLUMN(T_TraitDi[Colonne11]),FALSE)=0,"",TEXT(IFERROR(VLOOKUP(T_Convention[[#This Row],[NumL]],T_TraitDi[#Data],COLUMN(T_TraitDi[Colonne11]),FALSE),""),"[hh]:mm"))</f>
        <v>#N/A</v>
      </c>
      <c r="AL167" s="284" t="e">
        <f>IF(VLOOKUP(T_Convention[[#This Row],[NumL]],T_TraitDi[#Data],COLUMN(T_TraitDi[Colonne12]),FALSE)=0,"",TEXT(IFERROR(VLOOKUP(T_Convention[[#This Row],[NumL]],T_TraitDi[#Data],COLUMN(T_TraitDi[Colonne12]),FALSE),""),"[hh]:mm"))</f>
        <v>#N/A</v>
      </c>
      <c r="AM167" s="284" t="e">
        <f>IF(VLOOKUP(T_Convention[[#This Row],[NumL]],T_TraitDi[#Data],COLUMN(T_TraitDi[Colonne14]),FALSE)=0,"",TEXT(IFERROR(VLOOKUP(T_Convention[[#This Row],[NumL]],T_TraitDi[#Data],COLUMN(T_TraitDi[Colonne14]),FALSE),""),"[hh]:mm"))</f>
        <v>#N/A</v>
      </c>
      <c r="AN167" s="284" t="str">
        <f>IFERROR(VLOOKUP(T_Convention[[#This Row],[NumL]],T_TraitDi[#Data],COLUMN(T_TraitDi[Mercredi]),FALSE),"")</f>
        <v/>
      </c>
      <c r="AO167" s="284" t="e">
        <f>IF(VLOOKUP(T_Convention[[#This Row],[NumL]],T_TraitDi[#Data],COLUMN(T_TraitDi[Colonne15]),FALSE)=0,"",TEXT(IFERROR(VLOOKUP(T_Convention[[#This Row],[NumL]],T_TraitDi[#Data],COLUMN(T_TraitDi[Colonne15]),FALSE),""),"[hh]:mm"))</f>
        <v>#N/A</v>
      </c>
      <c r="AP167" s="284" t="e">
        <f>IF(VLOOKUP(T_Convention[[#This Row],[NumL]],T_TraitDi[#Data],COLUMN(T_TraitDi[Colonne16]),FALSE)=0,"",TEXT(IFERROR(VLOOKUP(T_Convention[[#This Row],[NumL]],T_TraitDi[#Data],COLUMN(T_TraitDi[Colonne16]),FALSE),""),"[hh]:mm"))</f>
        <v>#N/A</v>
      </c>
      <c r="AQ167" s="284" t="str">
        <f>IFERROR(VLOOKUP(T_Convention[[#This Row],[NumL]],T_TraitDi[#Data],COLUMN(T_TraitDi[Colonne17]),FALSE),"")</f>
        <v/>
      </c>
      <c r="AR167" s="284" t="e">
        <f>IF(VLOOKUP(T_Convention[[#This Row],[NumL]],T_TraitDi[#Data],COLUMN(T_TraitDi[Colonne18]),FALSE)=0,"",TEXT(IFERROR(VLOOKUP(T_Convention[[#This Row],[NumL]],T_TraitDi[#Data],COLUMN(T_TraitDi[Colonne18]),FALSE),""),"[hh]:mm"))</f>
        <v>#N/A</v>
      </c>
      <c r="AS167" s="284" t="e">
        <f>IF(VLOOKUP(T_Convention[[#This Row],[NumL]],T_TraitDi[#Data],COLUMN(T_TraitDi[Colonne19]),FALSE)=0,"",TEXT(IFERROR(VLOOKUP(T_Convention[[#This Row],[NumL]],T_TraitDi[#Data],COLUMN(T_TraitDi[Colonne19]),FALSE),""),"[hh]:mm"))</f>
        <v>#N/A</v>
      </c>
      <c r="AT167" s="284" t="e">
        <f>IF(VLOOKUP(T_Convention[[#This Row],[NumL]],T_TraitDi[#Data],COLUMN(T_TraitDi[Colonne20]),FALSE)=0,"",TEXT(IFERROR(VLOOKUP(T_Convention[[#This Row],[NumL]],T_TraitDi[#Data],COLUMN(T_TraitDi[Colonne20]),FALSE),""),"[hh]:mm"))</f>
        <v>#N/A</v>
      </c>
      <c r="AU167" s="284" t="str">
        <f>IFERROR(VLOOKUP(T_Convention[[#This Row],[NumL]],T_TraitDi[#Data],COLUMN(T_TraitDi[Jeudi]),FALSE),"")</f>
        <v/>
      </c>
      <c r="AV167" s="284" t="e">
        <f>IF(VLOOKUP(T_Convention[[#This Row],[NumL]],T_TraitDi[#Data],COLUMN(T_TraitDi[Colonne21]),FALSE)=0,"",TEXT(IFERROR(VLOOKUP(T_Convention[[#This Row],[NumL]],T_TraitDi[#Data],COLUMN(T_TraitDi[Colonne21]),FALSE),""),"[hh]:mm"))</f>
        <v>#N/A</v>
      </c>
      <c r="AW167" s="284" t="e">
        <f>IF(VLOOKUP(T_Convention[[#This Row],[NumL]],T_TraitDi[#Data],COLUMN(T_TraitDi[Colonne22]),FALSE)=0,"",TEXT(IFERROR(VLOOKUP(T_Convention[[#This Row],[NumL]],T_TraitDi[#Data],COLUMN(T_TraitDi[Colonne22]),FALSE),""),"[hh]:mm"))</f>
        <v>#N/A</v>
      </c>
      <c r="AX167" s="284" t="str">
        <f>IFERROR(VLOOKUP(T_Convention[[#This Row],[NumL]],T_TraitDi[#Data],COLUMN(T_TraitDi[Colonne23]),FALSE),"")</f>
        <v/>
      </c>
      <c r="AY167" s="284" t="e">
        <f>IF(VLOOKUP(T_Convention[[#This Row],[NumL]],T_TraitDi[#Data],COLUMN(T_TraitDi[Colonne24]),FALSE)=0,"",TEXT(IFERROR(VLOOKUP(T_Convention[[#This Row],[NumL]],T_TraitDi[#Data],COLUMN(T_TraitDi[Colonne24]),FALSE),""),"[hh]:mm"))</f>
        <v>#N/A</v>
      </c>
      <c r="AZ167" s="284" t="e">
        <f>IF(VLOOKUP(T_Convention[[#This Row],[NumL]],T_TraitDi[#Data],COLUMN(T_TraitDi[Colonne25]),FALSE)=0,"",TEXT(IFERROR(VLOOKUP(T_Convention[[#This Row],[NumL]],T_TraitDi[#Data],COLUMN(T_TraitDi[Colonne25]),FALSE),""),"[hh]:mm"))</f>
        <v>#N/A</v>
      </c>
      <c r="BA167" s="284" t="e">
        <f>IF(VLOOKUP(T_Convention[[#This Row],[NumL]],T_TraitDi[#Data],COLUMN(T_TraitDi[Colonne26]),FALSE)=0,"",TEXT(IFERROR(VLOOKUP(T_Convention[[#This Row],[NumL]],T_TraitDi[#Data],COLUMN(T_TraitDi[Colonne26]),FALSE),""),"[hh]:mm"))</f>
        <v>#N/A</v>
      </c>
      <c r="BB167" s="284" t="str">
        <f>IFERROR(VLOOKUP(T_Convention[[#This Row],[NumL]],T_TraitDi[#Data],COLUMN(T_TraitDi[Vendredi]),FALSE),"")</f>
        <v/>
      </c>
      <c r="BC167" s="284" t="e">
        <f>IF(VLOOKUP(T_Convention[[#This Row],[NumL]],T_TraitDi[#Data],COLUMN(T_TraitDi[Colonne27]),FALSE)=0,"",TEXT(IFERROR(VLOOKUP(T_Convention[[#This Row],[NumL]],T_TraitDi[#Data],COLUMN(T_TraitDi[Colonne27]),FALSE),""),"[hh]:mm"))</f>
        <v>#N/A</v>
      </c>
      <c r="BD167" s="284" t="e">
        <f>IF(VLOOKUP(T_Convention[[#This Row],[NumL]],T_TraitDi[#Data],COLUMN(T_TraitDi[Colonne28]),FALSE)=0,"",TEXT(IFERROR(VLOOKUP(T_Convention[[#This Row],[NumL]],T_TraitDi[#Data],COLUMN(T_TraitDi[Colonne28]),FALSE),""),"[hh]:mm"))</f>
        <v>#N/A</v>
      </c>
      <c r="BE167" s="284" t="str">
        <f>IFERROR(VLOOKUP(T_Convention[[#This Row],[NumL]],T_TraitDi[#Data],COLUMN(T_TraitDi[Colonne29]),FALSE),"")</f>
        <v/>
      </c>
      <c r="BF167" s="284" t="e">
        <f>IF(VLOOKUP(T_Convention[[#This Row],[NumL]],T_TraitDi[#Data],COLUMN(T_TraitDi[Colonne30]),FALSE)=0,"",TEXT(IFERROR(VLOOKUP(T_Convention[[#This Row],[NumL]],T_TraitDi[#Data],COLUMN(T_TraitDi[Colonne30]),FALSE),""),"[hh]:mm"))</f>
        <v>#N/A</v>
      </c>
      <c r="BG167" s="284" t="e">
        <f>IF(VLOOKUP(T_Convention[[#This Row],[NumL]],T_TraitDi[#Data],COLUMN(T_TraitDi[Colonne31]),FALSE)=0,"",TEXT(IFERROR(VLOOKUP(T_Convention[[#This Row],[NumL]],T_TraitDi[#Data],COLUMN(T_TraitDi[Colonne31]),FALSE),""),"[hh]:mm"))</f>
        <v>#N/A</v>
      </c>
      <c r="BH167" s="284" t="e">
        <f>IF(VLOOKUP(T_Convention[[#This Row],[NumL]],T_TraitDi[#Data],COLUMN(T_TraitDi[Colonne32]),FALSE)=0,"",TEXT(IFERROR(VLOOKUP(T_Convention[[#This Row],[NumL]],T_TraitDi[#Data],COLUMN(T_TraitDi[Colonne32]),FALSE),""),"[hh]:mm"))</f>
        <v>#N/A</v>
      </c>
      <c r="BI167" s="284" t="str">
        <f>IFERROR(VLOOKUP(T_Convention[[#This Row],[NumL]],T_TraitDi[#Data],COLUMN(T_TraitDi[NbJTW]),FALSE),"")</f>
        <v/>
      </c>
      <c r="BJ167" s="284" t="e">
        <f>IF(VLOOKUP(T_Convention[[#This Row],[NumL]],T_TraitDi[#Data],COLUMN(T_TraitDi[NbhTW]),FALSE)=0,"",TEXT(IFERROR(VLOOKUP(T_Convention[[#This Row],[NumL]],T_TraitDi[#Data],COLUMN(T_TraitDi[NbhTW]),FALSE),""),"[hh]:mm"))</f>
        <v>#N/A</v>
      </c>
      <c r="BK167" s="286" t="e">
        <f>IF(VLOOKUP(T_Convention[[#This Row],[NumL]],T_TraitDi[#Data],COLUMN(T_TraitDi[Nbhheb]),FALSE)=0,"",TEXT(IFERROR(VLOOKUP(T_Convention[[#This Row],[NumL]],T_TraitDi[#Data],COLUMN(T_TraitDi[Nbhheb]),FALSE),""),"[hh]:mm"))</f>
        <v>#N/A</v>
      </c>
      <c r="BL167" s="287" t="str">
        <f>IFERROR(VLOOKUP(VLOOKUP(T_Convention[[#This Row],[NumL]],T_TraitDi[#Data],COLUMN(T_TraitDi[Type1]),FALSE),TypeTW,2,FALSE),"")</f>
        <v/>
      </c>
      <c r="BM167" s="288" t="str">
        <f>IFERROR(VLOOKUP(T_Convention[[#This Row],[NumL]],T_TraitDi[#Data],COLUMN(T_TraitDi[Rue1]),FALSE),"")</f>
        <v/>
      </c>
      <c r="BN167" s="289" t="str">
        <f>IFERROR(VLOOKUP(T_Convention[[#This Row],[NumL]],T_TraitDi[#Data],COLUMN(T_TraitDi[CP1]),FALSE),"")</f>
        <v/>
      </c>
      <c r="BO167" s="282" t="str">
        <f>IFERROR(VLOOKUP(T_Convention[[#This Row],[NumL]],T_TraitDi[#Data],COLUMN(T_TraitDi[VILLE1]),FALSE),"")</f>
        <v/>
      </c>
      <c r="BP167" s="290" t="str">
        <f>IFERROR(VLOOKUP(VLOOKUP(T_Convention[[#This Row],[NumL]],T_TraitDi[#Data],COLUMN(T_TraitDi[Type2]),FALSE),TypeTW,2,FALSE),"")</f>
        <v/>
      </c>
      <c r="BQ167" s="182" t="str">
        <f>IFERROR(VLOOKUP(T_Convention[[#This Row],[NumL]],T_TraitDi[#Data],COLUMN(T_TraitDi[Rue2]),FALSE),"")</f>
        <v/>
      </c>
      <c r="BR167" s="173" t="str">
        <f>IFERROR(VLOOKUP(T_Convention[[#This Row],[NumL]],T_TraitDi[#Data],COLUMN(T_TraitDi[CP2]),FALSE),"")</f>
        <v/>
      </c>
      <c r="BS167" s="173" t="str">
        <f>IFERROR(VLOOKUP(T_Convention[[#This Row],[NumL]],T_TraitDi[#Data],COLUMN(T_TraitDi[VILLE2]),FALSE),"")</f>
        <v/>
      </c>
      <c r="BT167" s="182" t="str">
        <f>IF(VLOOKUP(T_Convention[[#This Row],[NumL]],T_Equipement[#Data],COLUMN(T_Equipement[PC]),FALSE)="","Aucun équipement spécifique directement lié au télétravail",VLOOKUP(T_Convention[[#This Row],[NumL]],T_Equipement[#Data],COLUMN(T_Equipement[PC]),FALSE))</f>
        <v xml:space="preserve">19-583	</v>
      </c>
      <c r="BU167" s="166" t="str">
        <f>IFERROR(IF(VLOOKUP(T_Convention[[#This Row],[NumL]],T_TraitDi[#Data],COLUMN(T_TraitDi[Plan]),FALSE)="OK","Un planning spécifique de télétravail est annexé à la présente convention.",""),"")</f>
        <v/>
      </c>
      <c r="BV167" s="185" t="s">
        <v>3303</v>
      </c>
      <c r="BW167" s="164" t="e">
        <f>IF(VLOOKUP(T_Convention[[#This Row],[NumL]],T_suiviDi[#Data],COLUMN(T_suiviDi[Entité]),FALSE)="","",VLOOKUP(T_Convention[[#This Row],[NumL]],T_suiviDi[#Data],COLUMN(T_suiviDi[Entité]),FALSE))</f>
        <v>#N/A</v>
      </c>
      <c r="BX167" s="164" t="str">
        <f>IF(VLOOKUP(T_Convention[[#This Row],[NumL]],T_Commission[#Data],COLUMN(T_Commission[envoi confirm TW]),FALSE)="","",VLOOKUP(T_Convention[[#This Row],[NumL]],T_Commission[#Data],COLUMN(T_Commission[envoi confirm TW]),FALSE))</f>
        <v>Oui</v>
      </c>
      <c r="BY16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7" s="264">
        <f>VLOOKUP(T_Convention[[#This Row],[NumL]],T_Commission[#Data],COLUMN(T_Commission[Commentaire]),FALSE)</f>
        <v>0</v>
      </c>
      <c r="CA167" s="254" t="str">
        <f>IF(VLOOKUP(T_Convention[[#This Row],[NumL]],T_Commission[#Data],COLUMN(T_Commission[Encadrant Email]),FALSE)="","",VLOOKUP(T_Convention[[#This Row],[NumL]],T_Commission[#Data],COLUMN(T_Commission[Encadrant Email]),FALSE))</f>
        <v/>
      </c>
      <c r="CB167" s="352" t="e">
        <f>VLOOKUP(T_Convention[[#This Row],[NumL]],T_TraitDi[#Data],COLUMN(T_TraitDi[NbJTot]),FALSE)</f>
        <v>#N/A</v>
      </c>
      <c r="CC167" s="352" t="e">
        <f>VLOOKUP(T_Convention[[#This Row],[NumL]],T_TraitDi[#Data],COLUMN(T_TraitDi[Reg Ponct]),FALSE)</f>
        <v>#N/A</v>
      </c>
      <c r="CD167" s="348" t="str">
        <f>IF(T_Convention[[#This Row],[Final]]&lt;&gt;"",VLOOKUP(T_Convention[[#This Row],[NumL]],T_suiviDi[#Data],COLUMN((T_suiviDi[Statut])),FALSE),"")</f>
        <v/>
      </c>
    </row>
    <row r="168" spans="1:82" s="106" customFormat="1" ht="18.75" customHeight="1" x14ac:dyDescent="0.25">
      <c r="A168" s="160">
        <v>321</v>
      </c>
      <c r="B168" s="281" t="str">
        <f>VLOOKUP(T_Convention[[#This Row],[NumL]],T_Commission[#Data],COLUMN(T_Commission[FINAL]),FALSE)</f>
        <v/>
      </c>
      <c r="C168" s="162"/>
      <c r="D168" s="95" t="e">
        <f>IF(VLOOKUP(T_Convention[[#This Row],[NumL]],T_TraitDi[#Data],COLUMN(T_TraitDi[WebC]),FALSE)="","",VLOOKUP(T_Convention[[#This Row],[NumL]],T_TraitDi[#Data],COLUMN(T_TraitDi[WebC]),FALSE))</f>
        <v>#N/A</v>
      </c>
      <c r="E168" s="163" t="str">
        <f t="shared" si="10"/>
        <v>12 janvier 2021</v>
      </c>
      <c r="F168" s="282" t="str">
        <f>IF(T_Convention[[#This Row],[Final]]&lt;&gt;"",VLOOKUP(T_Convention[[#This Row],[NumL]],T_suiviDi[#Data],COLUMN((T_suiviDi[Civ.])),FALSE),"")</f>
        <v/>
      </c>
      <c r="G168" s="283" t="str">
        <f>IF(T_Convention[[#This Row],[Final]]&lt;&gt;"",VLOOKUP(T_Convention[[#This Row],[NumL]],T_suiviDi[#Data],COLUMN((T_suiviDi[Nom])),FALSE),"")</f>
        <v/>
      </c>
      <c r="H168" s="282" t="str">
        <f>IF(T_Convention[[#This Row],[Final]]&lt;&gt;"",VLOOKUP(T_Convention[[#This Row],[NumL]],T_suiviDi[#Data],COLUMN((T_suiviDi[Prénom])),FALSE),"")</f>
        <v/>
      </c>
      <c r="I168" s="282" t="e">
        <f>VLOOKUP(T_Convention[[#This Row],[NumL]],T_suiviDi[#Data],COLUMN((T_suiviDi[[#This Row],[Email]])),FALSE)</f>
        <v>#VALUE!</v>
      </c>
      <c r="J168" s="282" t="e">
        <f>IF(VLOOKUP(T_Convention[[#This Row],[NumL]],T_suiviDi[#Data],COLUMN(T_suiviDi[[#This Row],[Fonction]]),FALSE)="","",VLOOKUP(T_Convention[[#This Row],[NumL]],T_suiviDi[#Data],COLUMN(T_suiviDi[[#This Row],[Fonction]]),FALSE))</f>
        <v>#VALUE!</v>
      </c>
      <c r="K168" s="282" t="e">
        <f>IF(VLOOKUP(T_Convention[[#This Row],[NumL]],T_suiviDi[#Data],COLUMN(T_suiviDi[[#This Row],[Grade]]),FALSE)="","",VLOOKUP(T_Convention[[#This Row],[NumL]],T_suiviDi[#Data],COLUMN(T_suiviDi[[#This Row],[Grade]]),FALSE))</f>
        <v>#VALUE!</v>
      </c>
      <c r="L168" s="282" t="e">
        <f>IF(VLOOKUP(T_Convention[[#This Row],[NumL]],T_suiviDi[#Data],COLUMN(T_suiviDi[[#This Row],[Service ]]),FALSE)="","",VLOOKUP(T_Convention[[#This Row],[NumL]],T_suiviDi[#Data],COLUMN(T_suiviDi[[#This Row],[Service ]]),FALSE))</f>
        <v>#VALUE!</v>
      </c>
      <c r="M168" s="314" t="str">
        <f t="shared" si="11"/>
        <v>01 septembre 2021</v>
      </c>
      <c r="N168" s="314" t="str">
        <f t="shared" si="12"/>
        <v>30 novembre 2021</v>
      </c>
      <c r="O168" s="284" t="str">
        <f t="shared" si="13"/>
        <v>30 novembre 2021</v>
      </c>
      <c r="P168" s="282" t="e">
        <f>IF(VLOOKUP(T_Convention[[#This Row],[NumL]],T_TraitDi[#Data],COLUMN(T_TraitDi[M1]),FALSE)="","",VLOOKUP(T_Convention[[#This Row],[NumL]],T_TraitDi[#Data],COLUMN(T_TraitDi[M1]),FALSE))</f>
        <v>#N/A</v>
      </c>
      <c r="Q168" s="282" t="e">
        <f>IF(VLOOKUP(T_Convention[[#This Row],[NumL]],T_TraitDi[#Data],COLUMN(T_TraitDi[M2]),FALSE)="","",VLOOKUP(T_Convention[[#This Row],[NumL]],T_TraitDi[#Data],COLUMN(T_TraitDi[M2]),FALSE))</f>
        <v>#N/A</v>
      </c>
      <c r="R168" s="282" t="e">
        <f>IF(VLOOKUP(T_Convention[[#This Row],[NumL]],T_TraitDi[#Data],COLUMN(T_TraitDi[M3]),FALSE)="","",VLOOKUP(T_Convention[[#This Row],[NumL]],T_TraitDi[#Data],COLUMN(T_TraitDi[M3]),FALSE))</f>
        <v>#N/A</v>
      </c>
      <c r="S168" s="282" t="e">
        <f>IF(VLOOKUP(T_Convention[[#This Row],[NumL]],T_TraitDi[#Data],COLUMN(T_TraitDi[M4]),FALSE)="","",VLOOKUP(T_Convention[[#This Row],[NumL]],T_TraitDi[#Data],COLUMN(T_TraitDi[M4]),FALSE))</f>
        <v>#N/A</v>
      </c>
      <c r="T168" s="282" t="e">
        <f>IF(VLOOKUP(T_Convention[[#This Row],[NumL]],T_TraitDi[#Data],COLUMN(T_TraitDi[M5]),FALSE)="","",VLOOKUP(T_Convention[[#This Row],[NumL]],T_TraitDi[#Data],COLUMN(T_TraitDi[M5]),FALSE))</f>
        <v>#N/A</v>
      </c>
      <c r="U168" s="282" t="e">
        <f>IF(VLOOKUP(T_Convention[[#This Row],[NumL]],T_TraitDi[#Data],COLUMN(T_TraitDi[M6]),FALSE)="","",VLOOKUP(T_Convention[[#This Row],[NumL]],T_TraitDi[#Data],COLUMN(T_TraitDi[M6]),FALSE))</f>
        <v>#N/A</v>
      </c>
      <c r="V168" s="314" t="e">
        <f t="shared" si="14"/>
        <v>#N/A</v>
      </c>
      <c r="W168" s="284" t="str">
        <f>IFERROR(TEXT(VLOOKUP(T_Convention[[#This Row],[NumL]],T_TraitDi[#Data],COLUMN(T_TraitDi[Q2]),FALSE),"###%"),"")</f>
        <v/>
      </c>
      <c r="X168" s="285" t="e">
        <f>VLOOKUP(T_Convention[[#This Row],[NumL]],T_TraitDi[#Data],COLUMN(T_TraitDi[Reg Ponct]),FALSE)</f>
        <v>#N/A</v>
      </c>
      <c r="Y168" s="285" t="e">
        <f>VLOOKUP(T_Convention[NumL],T_TraitDi[#Data],COLUMN(T_TraitDi[Jours flottants]),FALSE)</f>
        <v>#N/A</v>
      </c>
      <c r="Z168" s="284" t="str">
        <f>IFERROR(VLOOKUP(T_Convention[[#This Row],[NumL]],T_TraitDi[#Data],COLUMN(T_TraitDi[Lundi]),FALSE),"")</f>
        <v/>
      </c>
      <c r="AA168" s="284" t="e">
        <f>IF(VLOOKUP(T_Convention[[#This Row],[NumL]],T_TraitDi[#Data],COLUMN(T_TraitDi[Colonne3]),FALSE)=0,"",TEXT(IFERROR(VLOOKUP(T_Convention[[#This Row],[NumL]],T_TraitDi[#Data],COLUMN(T_TraitDi[Colonne3]),FALSE),""),"[hh]:mm"))</f>
        <v>#N/A</v>
      </c>
      <c r="AB168" s="284" t="e">
        <f>IF(VLOOKUP(T_Convention[[#This Row],[NumL]],T_TraitDi[#Data],COLUMN(T_TraitDi[Colonne4]),FALSE)=0,"",TEXT(IFERROR(VLOOKUP(T_Convention[[#This Row],[NumL]],T_TraitDi[#Data],COLUMN(T_TraitDi[Colonne4]),FALSE),""),"[hh]:mm"))</f>
        <v>#N/A</v>
      </c>
      <c r="AC168" s="284" t="e">
        <f>IF(VLOOKUP(T_Convention[[#This Row],[NumL]],T_TraitDi[#Data],COLUMN(T_TraitDi[Colonne5]),FALSE)=0,"",TEXT(IFERROR(VLOOKUP(T_Convention[[#This Row],[NumL]],T_TraitDi[#Data],COLUMN(T_TraitDi[Colonne5]),FALSE),""),"[hh]:mm"))</f>
        <v>#N/A</v>
      </c>
      <c r="AD168" s="284" t="e">
        <f>IF(VLOOKUP(T_Convention[[#This Row],[NumL]],T_TraitDi[#Data],COLUMN(T_TraitDi[Colonne6]),FALSE)=0,"",TEXT(IFERROR(VLOOKUP(T_Convention[[#This Row],[NumL]],T_TraitDi[#Data],COLUMN(T_TraitDi[Colonne6]),FALSE),""),"[hh]:mm"))</f>
        <v>#N/A</v>
      </c>
      <c r="AE168" s="284" t="e">
        <f>IF(VLOOKUP(T_Convention[[#This Row],[NumL]],T_TraitDi[#Data],COLUMN(T_TraitDi[Colonne7]),FALSE)=0,"",TEXT(IFERROR(VLOOKUP(T_Convention[[#This Row],[NumL]],T_TraitDi[#Data],COLUMN(T_TraitDi[Colonne7]),FALSE),""),"[hh]:mm"))</f>
        <v>#N/A</v>
      </c>
      <c r="AF168" s="284" t="e">
        <f>IF(VLOOKUP(T_Convention[[#This Row],[NumL]],T_TraitDi[#Data],COLUMN(T_TraitDi[Colonne8]),FALSE)=0,"",TEXT(IFERROR(VLOOKUP(T_Convention[[#This Row],[NumL]],T_TraitDi[#Data],COLUMN(T_TraitDi[Colonne8]),FALSE),""),"[hh]:mm"))</f>
        <v>#N/A</v>
      </c>
      <c r="AG168" s="284" t="str">
        <f>IFERROR(VLOOKUP(T_Convention[[#This Row],[NumL]],T_TraitDi[#Data],COLUMN(T_TraitDi[Mardi]),FALSE),"")</f>
        <v/>
      </c>
      <c r="AH168" s="284" t="e">
        <f>IF(VLOOKUP(T_Convention[[#This Row],[NumL]],T_TraitDi[#Data],COLUMN(T_TraitDi[Colonne1]),FALSE)=0,"",TEXT(IFERROR(VLOOKUP(T_Convention[[#This Row],[NumL]],T_TraitDi[#Data],COLUMN(T_TraitDi[Colonne1]),FALSE),""),"[hh]:mm"))</f>
        <v>#N/A</v>
      </c>
      <c r="AI168" s="284" t="e">
        <f>IF(VLOOKUP(T_Convention[[#This Row],[NumL]],T_TraitDi[#Data],COLUMN(T_TraitDi[Colonne9]),FALSE)=0,"",TEXT(IFERROR(VLOOKUP(T_Convention[[#This Row],[NumL]],T_TraitDi[#Data],COLUMN(T_TraitDi[Colonne9]),FALSE),""),"[hh]:mm"))</f>
        <v>#N/A</v>
      </c>
      <c r="AJ168" s="284" t="str">
        <f>IFERROR(VLOOKUP(T_Convention[[#This Row],[NumL]],T_TraitDi[#Data],COLUMN(T_TraitDi[Colonne10]),FALSE),"")</f>
        <v/>
      </c>
      <c r="AK168" s="284" t="e">
        <f>IF(VLOOKUP(T_Convention[[#This Row],[NumL]],T_TraitDi[#Data],COLUMN(T_TraitDi[Colonne11]),FALSE)=0,"",TEXT(IFERROR(VLOOKUP(T_Convention[[#This Row],[NumL]],T_TraitDi[#Data],COLUMN(T_TraitDi[Colonne11]),FALSE),""),"[hh]:mm"))</f>
        <v>#N/A</v>
      </c>
      <c r="AL168" s="284" t="e">
        <f>IF(VLOOKUP(T_Convention[[#This Row],[NumL]],T_TraitDi[#Data],COLUMN(T_TraitDi[Colonne12]),FALSE)=0,"",TEXT(IFERROR(VLOOKUP(T_Convention[[#This Row],[NumL]],T_TraitDi[#Data],COLUMN(T_TraitDi[Colonne12]),FALSE),""),"[hh]:mm"))</f>
        <v>#N/A</v>
      </c>
      <c r="AM168" s="284" t="e">
        <f>IF(VLOOKUP(T_Convention[[#This Row],[NumL]],T_TraitDi[#Data],COLUMN(T_TraitDi[Colonne14]),FALSE)=0,"",TEXT(IFERROR(VLOOKUP(T_Convention[[#This Row],[NumL]],T_TraitDi[#Data],COLUMN(T_TraitDi[Colonne14]),FALSE),""),"[hh]:mm"))</f>
        <v>#N/A</v>
      </c>
      <c r="AN168" s="284" t="str">
        <f>IFERROR(VLOOKUP(T_Convention[[#This Row],[NumL]],T_TraitDi[#Data],COLUMN(T_TraitDi[Mercredi]),FALSE),"")</f>
        <v/>
      </c>
      <c r="AO168" s="284" t="e">
        <f>IF(VLOOKUP(T_Convention[[#This Row],[NumL]],T_TraitDi[#Data],COLUMN(T_TraitDi[Colonne15]),FALSE)=0,"",TEXT(IFERROR(VLOOKUP(T_Convention[[#This Row],[NumL]],T_TraitDi[#Data],COLUMN(T_TraitDi[Colonne15]),FALSE),""),"[hh]:mm"))</f>
        <v>#N/A</v>
      </c>
      <c r="AP168" s="284" t="e">
        <f>IF(VLOOKUP(T_Convention[[#This Row],[NumL]],T_TraitDi[#Data],COLUMN(T_TraitDi[Colonne16]),FALSE)=0,"",TEXT(IFERROR(VLOOKUP(T_Convention[[#This Row],[NumL]],T_TraitDi[#Data],COLUMN(T_TraitDi[Colonne16]),FALSE),""),"[hh]:mm"))</f>
        <v>#N/A</v>
      </c>
      <c r="AQ168" s="284" t="str">
        <f>IFERROR(VLOOKUP(T_Convention[[#This Row],[NumL]],T_TraitDi[#Data],COLUMN(T_TraitDi[Colonne17]),FALSE),"")</f>
        <v/>
      </c>
      <c r="AR168" s="284" t="e">
        <f>IF(VLOOKUP(T_Convention[[#This Row],[NumL]],T_TraitDi[#Data],COLUMN(T_TraitDi[Colonne18]),FALSE)=0,"",TEXT(IFERROR(VLOOKUP(T_Convention[[#This Row],[NumL]],T_TraitDi[#Data],COLUMN(T_TraitDi[Colonne18]),FALSE),""),"[hh]:mm"))</f>
        <v>#N/A</v>
      </c>
      <c r="AS168" s="284" t="e">
        <f>IF(VLOOKUP(T_Convention[[#This Row],[NumL]],T_TraitDi[#Data],COLUMN(T_TraitDi[Colonne19]),FALSE)=0,"",TEXT(IFERROR(VLOOKUP(T_Convention[[#This Row],[NumL]],T_TraitDi[#Data],COLUMN(T_TraitDi[Colonne19]),FALSE),""),"[hh]:mm"))</f>
        <v>#N/A</v>
      </c>
      <c r="AT168" s="284" t="e">
        <f>IF(VLOOKUP(T_Convention[[#This Row],[NumL]],T_TraitDi[#Data],COLUMN(T_TraitDi[Colonne20]),FALSE)=0,"",TEXT(IFERROR(VLOOKUP(T_Convention[[#This Row],[NumL]],T_TraitDi[#Data],COLUMN(T_TraitDi[Colonne20]),FALSE),""),"[hh]:mm"))</f>
        <v>#N/A</v>
      </c>
      <c r="AU168" s="284" t="str">
        <f>IFERROR(VLOOKUP(T_Convention[[#This Row],[NumL]],T_TraitDi[#Data],COLUMN(T_TraitDi[Jeudi]),FALSE),"")</f>
        <v/>
      </c>
      <c r="AV168" s="284" t="e">
        <f>IF(VLOOKUP(T_Convention[[#This Row],[NumL]],T_TraitDi[#Data],COLUMN(T_TraitDi[Colonne21]),FALSE)=0,"",TEXT(IFERROR(VLOOKUP(T_Convention[[#This Row],[NumL]],T_TraitDi[#Data],COLUMN(T_TraitDi[Colonne21]),FALSE),""),"[hh]:mm"))</f>
        <v>#N/A</v>
      </c>
      <c r="AW168" s="284" t="e">
        <f>IF(VLOOKUP(T_Convention[[#This Row],[NumL]],T_TraitDi[#Data],COLUMN(T_TraitDi[Colonne22]),FALSE)=0,"",TEXT(IFERROR(VLOOKUP(T_Convention[[#This Row],[NumL]],T_TraitDi[#Data],COLUMN(T_TraitDi[Colonne22]),FALSE),""),"[hh]:mm"))</f>
        <v>#N/A</v>
      </c>
      <c r="AX168" s="284" t="str">
        <f>IFERROR(VLOOKUP(T_Convention[[#This Row],[NumL]],T_TraitDi[#Data],COLUMN(T_TraitDi[Colonne23]),FALSE),"")</f>
        <v/>
      </c>
      <c r="AY168" s="284" t="e">
        <f>IF(VLOOKUP(T_Convention[[#This Row],[NumL]],T_TraitDi[#Data],COLUMN(T_TraitDi[Colonne24]),FALSE)=0,"",TEXT(IFERROR(VLOOKUP(T_Convention[[#This Row],[NumL]],T_TraitDi[#Data],COLUMN(T_TraitDi[Colonne24]),FALSE),""),"[hh]:mm"))</f>
        <v>#N/A</v>
      </c>
      <c r="AZ168" s="284" t="e">
        <f>IF(VLOOKUP(T_Convention[[#This Row],[NumL]],T_TraitDi[#Data],COLUMN(T_TraitDi[Colonne25]),FALSE)=0,"",TEXT(IFERROR(VLOOKUP(T_Convention[[#This Row],[NumL]],T_TraitDi[#Data],COLUMN(T_TraitDi[Colonne25]),FALSE),""),"[hh]:mm"))</f>
        <v>#N/A</v>
      </c>
      <c r="BA168" s="284" t="e">
        <f>IF(VLOOKUP(T_Convention[[#This Row],[NumL]],T_TraitDi[#Data],COLUMN(T_TraitDi[Colonne26]),FALSE)=0,"",TEXT(IFERROR(VLOOKUP(T_Convention[[#This Row],[NumL]],T_TraitDi[#Data],COLUMN(T_TraitDi[Colonne26]),FALSE),""),"[hh]:mm"))</f>
        <v>#N/A</v>
      </c>
      <c r="BB168" s="284" t="str">
        <f>IFERROR(VLOOKUP(T_Convention[[#This Row],[NumL]],T_TraitDi[#Data],COLUMN(T_TraitDi[Vendredi]),FALSE),"")</f>
        <v/>
      </c>
      <c r="BC168" s="284" t="e">
        <f>IF(VLOOKUP(T_Convention[[#This Row],[NumL]],T_TraitDi[#Data],COLUMN(T_TraitDi[Colonne27]),FALSE)=0,"",TEXT(IFERROR(VLOOKUP(T_Convention[[#This Row],[NumL]],T_TraitDi[#Data],COLUMN(T_TraitDi[Colonne27]),FALSE),""),"[hh]:mm"))</f>
        <v>#N/A</v>
      </c>
      <c r="BD168" s="284" t="e">
        <f>IF(VLOOKUP(T_Convention[[#This Row],[NumL]],T_TraitDi[#Data],COLUMN(T_TraitDi[Colonne28]),FALSE)=0,"",TEXT(IFERROR(VLOOKUP(T_Convention[[#This Row],[NumL]],T_TraitDi[#Data],COLUMN(T_TraitDi[Colonne28]),FALSE),""),"[hh]:mm"))</f>
        <v>#N/A</v>
      </c>
      <c r="BE168" s="284" t="str">
        <f>IFERROR(VLOOKUP(T_Convention[[#This Row],[NumL]],T_TraitDi[#Data],COLUMN(T_TraitDi[Colonne29]),FALSE),"")</f>
        <v/>
      </c>
      <c r="BF168" s="284" t="e">
        <f>IF(VLOOKUP(T_Convention[[#This Row],[NumL]],T_TraitDi[#Data],COLUMN(T_TraitDi[Colonne30]),FALSE)=0,"",TEXT(IFERROR(VLOOKUP(T_Convention[[#This Row],[NumL]],T_TraitDi[#Data],COLUMN(T_TraitDi[Colonne30]),FALSE),""),"[hh]:mm"))</f>
        <v>#N/A</v>
      </c>
      <c r="BG168" s="284" t="e">
        <f>IF(VLOOKUP(T_Convention[[#This Row],[NumL]],T_TraitDi[#Data],COLUMN(T_TraitDi[Colonne31]),FALSE)=0,"",TEXT(IFERROR(VLOOKUP(T_Convention[[#This Row],[NumL]],T_TraitDi[#Data],COLUMN(T_TraitDi[Colonne31]),FALSE),""),"[hh]:mm"))</f>
        <v>#N/A</v>
      </c>
      <c r="BH168" s="284" t="e">
        <f>IF(VLOOKUP(T_Convention[[#This Row],[NumL]],T_TraitDi[#Data],COLUMN(T_TraitDi[Colonne32]),FALSE)=0,"",TEXT(IFERROR(VLOOKUP(T_Convention[[#This Row],[NumL]],T_TraitDi[#Data],COLUMN(T_TraitDi[Colonne32]),FALSE),""),"[hh]:mm"))</f>
        <v>#N/A</v>
      </c>
      <c r="BI168" s="284" t="str">
        <f>IFERROR(VLOOKUP(T_Convention[[#This Row],[NumL]],T_TraitDi[#Data],COLUMN(T_TraitDi[NbJTW]),FALSE),"")</f>
        <v/>
      </c>
      <c r="BJ168" s="284" t="e">
        <f>IF(VLOOKUP(T_Convention[[#This Row],[NumL]],T_TraitDi[#Data],COLUMN(T_TraitDi[NbhTW]),FALSE)=0,"",TEXT(IFERROR(VLOOKUP(T_Convention[[#This Row],[NumL]],T_TraitDi[#Data],COLUMN(T_TraitDi[NbhTW]),FALSE),""),"[hh]:mm"))</f>
        <v>#N/A</v>
      </c>
      <c r="BK168" s="315" t="e">
        <f>IF(VLOOKUP(T_Convention[[#This Row],[NumL]],T_TraitDi[#Data],COLUMN(T_TraitDi[Nbhheb]),FALSE)=0,"",TEXT(IFERROR(VLOOKUP(T_Convention[[#This Row],[NumL]],T_TraitDi[#Data],COLUMN(T_TraitDi[Nbhheb]),FALSE),""),"[hh]:mm"))</f>
        <v>#N/A</v>
      </c>
      <c r="BL168" s="287" t="str">
        <f>IFERROR(VLOOKUP(VLOOKUP(T_Convention[[#This Row],[NumL]],T_TraitDi[#Data],COLUMN(T_TraitDi[Type1]),FALSE),TypeTW,2,FALSE),"")</f>
        <v/>
      </c>
      <c r="BM168" s="288" t="str">
        <f>IFERROR(VLOOKUP(T_Convention[[#This Row],[NumL]],T_TraitDi[#Data],COLUMN(T_TraitDi[Rue1]),FALSE),"")</f>
        <v/>
      </c>
      <c r="BN168" s="289" t="str">
        <f>IFERROR(VLOOKUP(T_Convention[[#This Row],[NumL]],T_TraitDi[#Data],COLUMN(T_TraitDi[CP1]),FALSE),"")</f>
        <v/>
      </c>
      <c r="BO168" s="282" t="str">
        <f>IFERROR(VLOOKUP(T_Convention[[#This Row],[NumL]],T_TraitDi[#Data],COLUMN(T_TraitDi[VILLE1]),FALSE),"")</f>
        <v/>
      </c>
      <c r="BP168" s="290" t="str">
        <f>IFERROR(VLOOKUP(VLOOKUP(T_Convention[[#This Row],[NumL]],T_TraitDi[#Data],COLUMN(T_TraitDi[Type2]),FALSE),TypeTW,2,FALSE),"")</f>
        <v/>
      </c>
      <c r="BQ168" s="310" t="str">
        <f>IFERROR(VLOOKUP(T_Convention[[#This Row],[NumL]],T_TraitDi[#Data],COLUMN(T_TraitDi[Rue2]),FALSE),"")</f>
        <v/>
      </c>
      <c r="BR168" s="290" t="str">
        <f>IFERROR(VLOOKUP(T_Convention[[#This Row],[NumL]],T_TraitDi[#Data],COLUMN(T_TraitDi[CP2]),FALSE),"")</f>
        <v/>
      </c>
      <c r="BS168" s="290" t="str">
        <f>IFERROR(VLOOKUP(T_Convention[[#This Row],[NumL]],T_TraitDi[#Data],COLUMN(T_TraitDi[VILLE2]),FALSE),"")</f>
        <v/>
      </c>
      <c r="BT168"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68" s="314" t="str">
        <f>IFERROR(IF(VLOOKUP(T_Convention[[#This Row],[NumL]],T_TraitDi[#Data],COLUMN(T_TraitDi[Plan]),FALSE)="OK","Un planning spécifique de télétravail est annexé à la présente convention.",""),"")</f>
        <v/>
      </c>
      <c r="BV168" s="291"/>
      <c r="BW168" s="292" t="e">
        <f>IF(VLOOKUP(T_Convention[[#This Row],[NumL]],T_suiviDi[#Data],COLUMN(T_suiviDi[Entité]),FALSE)="","",VLOOKUP(T_Convention[[#This Row],[NumL]],T_suiviDi[#Data],COLUMN(T_suiviDi[Entité]),FALSE))</f>
        <v>#N/A</v>
      </c>
      <c r="BX168" s="311" t="str">
        <f>IF(VLOOKUP(T_Convention[[#This Row],[NumL]],T_Commission[#Data],COLUMN(T_Commission[envoi confirm TW]),FALSE)="","",VLOOKUP(T_Convention[[#This Row],[NumL]],T_Commission[#Data],COLUMN(T_Commission[envoi confirm TW]),FALSE))</f>
        <v>Oui</v>
      </c>
      <c r="BY168"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8" s="265">
        <f>VLOOKUP(T_Convention[[#This Row],[NumL]],T_Commission[#Data],COLUMN(T_Commission[Commentaire]),FALSE)</f>
        <v>0</v>
      </c>
      <c r="CA168" s="255" t="str">
        <f>IF(VLOOKUP(T_Convention[[#This Row],[NumL]],T_Commission[#Data],COLUMN(T_Commission[Encadrant Email]),FALSE)="","",VLOOKUP(T_Convention[[#This Row],[NumL]],T_Commission[#Data],COLUMN(T_Commission[Encadrant Email]),FALSE))</f>
        <v/>
      </c>
      <c r="CB168" s="352" t="e">
        <f>VLOOKUP(T_Convention[[#This Row],[NumL]],T_TraitDi[#Data],COLUMN(T_TraitDi[NbJTot]),FALSE)</f>
        <v>#N/A</v>
      </c>
      <c r="CC168" s="352" t="e">
        <f>VLOOKUP(T_Convention[[#This Row],[NumL]],T_TraitDi[#Data],COLUMN(T_TraitDi[Reg Ponct]),FALSE)</f>
        <v>#N/A</v>
      </c>
      <c r="CD168" s="348" t="str">
        <f>IF(T_Convention[[#This Row],[Final]]&lt;&gt;"",VLOOKUP(T_Convention[[#This Row],[NumL]],T_suiviDi[#Data],COLUMN((T_suiviDi[Statut])),FALSE),"")</f>
        <v/>
      </c>
    </row>
    <row r="169" spans="1:82" s="106" customFormat="1" ht="18.75" customHeight="1" x14ac:dyDescent="0.25">
      <c r="A169" s="160">
        <v>238</v>
      </c>
      <c r="B169" s="161" t="str">
        <f>VLOOKUP(T_Convention[[#This Row],[NumL]],T_Commission[#Data],COLUMN(T_Commission[FINAL]),FALSE)</f>
        <v/>
      </c>
      <c r="C169" s="162"/>
      <c r="D169" s="95" t="e">
        <f>IF(VLOOKUP(T_Convention[[#This Row],[NumL]],T_TraitDi[#Data],COLUMN(T_TraitDi[WebC]),FALSE)="","",VLOOKUP(T_Convention[[#This Row],[NumL]],T_TraitDi[#Data],COLUMN(T_TraitDi[WebC]),FALSE))</f>
        <v>#N/A</v>
      </c>
      <c r="E169" s="163" t="str">
        <f t="shared" si="10"/>
        <v>12 janvier 2021</v>
      </c>
      <c r="F169" s="282" t="str">
        <f>IF(T_Convention[[#This Row],[Final]]&lt;&gt;"",VLOOKUP(T_Convention[[#This Row],[NumL]],T_suiviDi[#Data],COLUMN((T_suiviDi[Civ.])),FALSE),"")</f>
        <v/>
      </c>
      <c r="G169" s="283" t="str">
        <f>IF(T_Convention[[#This Row],[Final]]&lt;&gt;"",VLOOKUP(T_Convention[[#This Row],[NumL]],T_suiviDi[#Data],COLUMN((T_suiviDi[Nom])),FALSE),"")</f>
        <v/>
      </c>
      <c r="H169" s="282" t="str">
        <f>IF(T_Convention[[#This Row],[Final]]&lt;&gt;"",VLOOKUP(T_Convention[[#This Row],[NumL]],T_suiviDi[#Data],COLUMN((T_suiviDi[Prénom])),FALSE),"")</f>
        <v/>
      </c>
      <c r="I169" s="282" t="e">
        <f>VLOOKUP(T_Convention[[#This Row],[NumL]],T_suiviDi[#Data],COLUMN((T_suiviDi[[#This Row],[Email]])),FALSE)</f>
        <v>#VALUE!</v>
      </c>
      <c r="J169" s="282" t="e">
        <f>IF(VLOOKUP(T_Convention[[#This Row],[NumL]],T_suiviDi[#Data],COLUMN(T_suiviDi[[#This Row],[Fonction]]),FALSE)="","",VLOOKUP(T_Convention[[#This Row],[NumL]],T_suiviDi[#Data],COLUMN(T_suiviDi[[#This Row],[Fonction]]),FALSE))</f>
        <v>#VALUE!</v>
      </c>
      <c r="K169" s="282" t="e">
        <f>IF(VLOOKUP(T_Convention[[#This Row],[NumL]],T_suiviDi[#Data],COLUMN(T_suiviDi[[#This Row],[Grade]]),FALSE)="","",VLOOKUP(T_Convention[[#This Row],[NumL]],T_suiviDi[#Data],COLUMN(T_suiviDi[[#This Row],[Grade]]),FALSE))</f>
        <v>#VALUE!</v>
      </c>
      <c r="L169" s="282" t="e">
        <f>IF(VLOOKUP(T_Convention[[#This Row],[NumL]],T_suiviDi[#Data],COLUMN(T_suiviDi[[#This Row],[Service ]]),FALSE)="","",VLOOKUP(T_Convention[[#This Row],[NumL]],T_suiviDi[#Data],COLUMN(T_suiviDi[[#This Row],[Service ]]),FALSE))</f>
        <v>#VALUE!</v>
      </c>
      <c r="M169" s="164" t="str">
        <f t="shared" si="11"/>
        <v>01 septembre 2021</v>
      </c>
      <c r="N169" s="164" t="str">
        <f t="shared" si="12"/>
        <v>30 novembre 2021</v>
      </c>
      <c r="O169" s="284" t="str">
        <f t="shared" si="13"/>
        <v>30 novembre 2021</v>
      </c>
      <c r="P169" s="282" t="e">
        <f>IF(VLOOKUP(T_Convention[[#This Row],[NumL]],T_TraitDi[#Data],COLUMN(T_TraitDi[M1]),FALSE)="","",VLOOKUP(T_Convention[[#This Row],[NumL]],T_TraitDi[#Data],COLUMN(T_TraitDi[M1]),FALSE))</f>
        <v>#N/A</v>
      </c>
      <c r="Q169" s="282" t="e">
        <f>IF(VLOOKUP(T_Convention[[#This Row],[NumL]],T_TraitDi[#Data],COLUMN(T_TraitDi[M2]),FALSE)="","",VLOOKUP(T_Convention[[#This Row],[NumL]],T_TraitDi[#Data],COLUMN(T_TraitDi[M2]),FALSE))</f>
        <v>#N/A</v>
      </c>
      <c r="R169" s="282" t="e">
        <f>IF(VLOOKUP(T_Convention[[#This Row],[NumL]],T_TraitDi[#Data],COLUMN(T_TraitDi[M3]),FALSE)="","",VLOOKUP(T_Convention[[#This Row],[NumL]],T_TraitDi[#Data],COLUMN(T_TraitDi[M3]),FALSE))</f>
        <v>#N/A</v>
      </c>
      <c r="S169" s="282" t="e">
        <f>IF(VLOOKUP(T_Convention[[#This Row],[NumL]],T_TraitDi[#Data],COLUMN(T_TraitDi[M4]),FALSE)="","",VLOOKUP(T_Convention[[#This Row],[NumL]],T_TraitDi[#Data],COLUMN(T_TraitDi[M4]),FALSE))</f>
        <v>#N/A</v>
      </c>
      <c r="T169" s="282" t="e">
        <f>IF(VLOOKUP(T_Convention[[#This Row],[NumL]],T_TraitDi[#Data],COLUMN(T_TraitDi[M5]),FALSE)="","",VLOOKUP(T_Convention[[#This Row],[NumL]],T_TraitDi[#Data],COLUMN(T_TraitDi[M5]),FALSE))</f>
        <v>#N/A</v>
      </c>
      <c r="U169" s="282" t="e">
        <f>IF(VLOOKUP(T_Convention[[#This Row],[NumL]],T_TraitDi[#Data],COLUMN(T_TraitDi[M6]),FALSE)="","",VLOOKUP(T_Convention[[#This Row],[NumL]],T_TraitDi[#Data],COLUMN(T_TraitDi[M6]),FALSE))</f>
        <v>#N/A</v>
      </c>
      <c r="V169" s="176" t="e">
        <f t="shared" si="14"/>
        <v>#N/A</v>
      </c>
      <c r="W169" s="284" t="str">
        <f>IFERROR(TEXT(VLOOKUP(T_Convention[[#This Row],[NumL]],T_TraitDi[#Data],COLUMN(T_TraitDi[Q2]),FALSE),"###%"),"")</f>
        <v/>
      </c>
      <c r="X169" s="97" t="e">
        <f>VLOOKUP(T_Convention[[#This Row],[NumL]],T_TraitDi[#Data],COLUMN(T_TraitDi[Reg Ponct]),FALSE)</f>
        <v>#N/A</v>
      </c>
      <c r="Y169" s="97" t="e">
        <f>VLOOKUP(T_Convention[NumL],T_TraitDi[#Data],COLUMN(T_TraitDi[Jours flottants]),FALSE)</f>
        <v>#N/A</v>
      </c>
      <c r="Z169" s="284" t="str">
        <f>IFERROR(VLOOKUP(T_Convention[[#This Row],[NumL]],T_TraitDi[#Data],COLUMN(T_TraitDi[Lundi]),FALSE),"")</f>
        <v/>
      </c>
      <c r="AA169" s="284" t="e">
        <f>IF(VLOOKUP(T_Convention[[#This Row],[NumL]],T_TraitDi[#Data],COLUMN(T_TraitDi[Colonne3]),FALSE)=0,"",TEXT(IFERROR(VLOOKUP(T_Convention[[#This Row],[NumL]],T_TraitDi[#Data],COLUMN(T_TraitDi[Colonne3]),FALSE),""),"[hh]:mm"))</f>
        <v>#N/A</v>
      </c>
      <c r="AB169" s="284" t="e">
        <f>IF(VLOOKUP(T_Convention[[#This Row],[NumL]],T_TraitDi[#Data],COLUMN(T_TraitDi[Colonne4]),FALSE)=0,"",TEXT(IFERROR(VLOOKUP(T_Convention[[#This Row],[NumL]],T_TraitDi[#Data],COLUMN(T_TraitDi[Colonne4]),FALSE),""),"[hh]:mm"))</f>
        <v>#N/A</v>
      </c>
      <c r="AC169" s="284" t="e">
        <f>IF(VLOOKUP(T_Convention[[#This Row],[NumL]],T_TraitDi[#Data],COLUMN(T_TraitDi[Colonne5]),FALSE)=0,"",TEXT(IFERROR(VLOOKUP(T_Convention[[#This Row],[NumL]],T_TraitDi[#Data],COLUMN(T_TraitDi[Colonne5]),FALSE),""),"[hh]:mm"))</f>
        <v>#N/A</v>
      </c>
      <c r="AD169" s="284" t="e">
        <f>IF(VLOOKUP(T_Convention[[#This Row],[NumL]],T_TraitDi[#Data],COLUMN(T_TraitDi[Colonne6]),FALSE)=0,"",TEXT(IFERROR(VLOOKUP(T_Convention[[#This Row],[NumL]],T_TraitDi[#Data],COLUMN(T_TraitDi[Colonne6]),FALSE),""),"[hh]:mm"))</f>
        <v>#N/A</v>
      </c>
      <c r="AE169" s="284" t="e">
        <f>IF(VLOOKUP(T_Convention[[#This Row],[NumL]],T_TraitDi[#Data],COLUMN(T_TraitDi[Colonne7]),FALSE)=0,"",TEXT(IFERROR(VLOOKUP(T_Convention[[#This Row],[NumL]],T_TraitDi[#Data],COLUMN(T_TraitDi[Colonne7]),FALSE),""),"[hh]:mm"))</f>
        <v>#N/A</v>
      </c>
      <c r="AF169" s="284" t="e">
        <f>IF(VLOOKUP(T_Convention[[#This Row],[NumL]],T_TraitDi[#Data],COLUMN(T_TraitDi[Colonne8]),FALSE)=0,"",TEXT(IFERROR(VLOOKUP(T_Convention[[#This Row],[NumL]],T_TraitDi[#Data],COLUMN(T_TraitDi[Colonne8]),FALSE),""),"[hh]:mm"))</f>
        <v>#N/A</v>
      </c>
      <c r="AG169" s="284" t="str">
        <f>IFERROR(VLOOKUP(T_Convention[[#This Row],[NumL]],T_TraitDi[#Data],COLUMN(T_TraitDi[Mardi]),FALSE),"")</f>
        <v/>
      </c>
      <c r="AH169" s="284" t="e">
        <f>IF(VLOOKUP(T_Convention[[#This Row],[NumL]],T_TraitDi[#Data],COLUMN(T_TraitDi[Colonne1]),FALSE)=0,"",TEXT(IFERROR(VLOOKUP(T_Convention[[#This Row],[NumL]],T_TraitDi[#Data],COLUMN(T_TraitDi[Colonne1]),FALSE),""),"[hh]:mm"))</f>
        <v>#N/A</v>
      </c>
      <c r="AI169" s="284" t="e">
        <f>IF(VLOOKUP(T_Convention[[#This Row],[NumL]],T_TraitDi[#Data],COLUMN(T_TraitDi[Colonne9]),FALSE)=0,"",TEXT(IFERROR(VLOOKUP(T_Convention[[#This Row],[NumL]],T_TraitDi[#Data],COLUMN(T_TraitDi[Colonne9]),FALSE),""),"[hh]:mm"))</f>
        <v>#N/A</v>
      </c>
      <c r="AJ169" s="284" t="str">
        <f>IFERROR(VLOOKUP(T_Convention[[#This Row],[NumL]],T_TraitDi[#Data],COLUMN(T_TraitDi[Colonne10]),FALSE),"")</f>
        <v/>
      </c>
      <c r="AK169" s="284" t="e">
        <f>IF(VLOOKUP(T_Convention[[#This Row],[NumL]],T_TraitDi[#Data],COLUMN(T_TraitDi[Colonne11]),FALSE)=0,"",TEXT(IFERROR(VLOOKUP(T_Convention[[#This Row],[NumL]],T_TraitDi[#Data],COLUMN(T_TraitDi[Colonne11]),FALSE),""),"[hh]:mm"))</f>
        <v>#N/A</v>
      </c>
      <c r="AL169" s="284" t="e">
        <f>IF(VLOOKUP(T_Convention[[#This Row],[NumL]],T_TraitDi[#Data],COLUMN(T_TraitDi[Colonne12]),FALSE)=0,"",TEXT(IFERROR(VLOOKUP(T_Convention[[#This Row],[NumL]],T_TraitDi[#Data],COLUMN(T_TraitDi[Colonne12]),FALSE),""),"[hh]:mm"))</f>
        <v>#N/A</v>
      </c>
      <c r="AM169" s="284" t="e">
        <f>IF(VLOOKUP(T_Convention[[#This Row],[NumL]],T_TraitDi[#Data],COLUMN(T_TraitDi[Colonne14]),FALSE)=0,"",TEXT(IFERROR(VLOOKUP(T_Convention[[#This Row],[NumL]],T_TraitDi[#Data],COLUMN(T_TraitDi[Colonne14]),FALSE),""),"[hh]:mm"))</f>
        <v>#N/A</v>
      </c>
      <c r="AN169" s="284" t="str">
        <f>IFERROR(VLOOKUP(T_Convention[[#This Row],[NumL]],T_TraitDi[#Data],COLUMN(T_TraitDi[Mercredi]),FALSE),"")</f>
        <v/>
      </c>
      <c r="AO169" s="284" t="e">
        <f>IF(VLOOKUP(T_Convention[[#This Row],[NumL]],T_TraitDi[#Data],COLUMN(T_TraitDi[Colonne15]),FALSE)=0,"",TEXT(IFERROR(VLOOKUP(T_Convention[[#This Row],[NumL]],T_TraitDi[#Data],COLUMN(T_TraitDi[Colonne15]),FALSE),""),"[hh]:mm"))</f>
        <v>#N/A</v>
      </c>
      <c r="AP169" s="284" t="e">
        <f>IF(VLOOKUP(T_Convention[[#This Row],[NumL]],T_TraitDi[#Data],COLUMN(T_TraitDi[Colonne16]),FALSE)=0,"",TEXT(IFERROR(VLOOKUP(T_Convention[[#This Row],[NumL]],T_TraitDi[#Data],COLUMN(T_TraitDi[Colonne16]),FALSE),""),"[hh]:mm"))</f>
        <v>#N/A</v>
      </c>
      <c r="AQ169" s="284" t="str">
        <f>IFERROR(VLOOKUP(T_Convention[[#This Row],[NumL]],T_TraitDi[#Data],COLUMN(T_TraitDi[Colonne17]),FALSE),"")</f>
        <v/>
      </c>
      <c r="AR169" s="284" t="e">
        <f>IF(VLOOKUP(T_Convention[[#This Row],[NumL]],T_TraitDi[#Data],COLUMN(T_TraitDi[Colonne18]),FALSE)=0,"",TEXT(IFERROR(VLOOKUP(T_Convention[[#This Row],[NumL]],T_TraitDi[#Data],COLUMN(T_TraitDi[Colonne18]),FALSE),""),"[hh]:mm"))</f>
        <v>#N/A</v>
      </c>
      <c r="AS169" s="284" t="e">
        <f>IF(VLOOKUP(T_Convention[[#This Row],[NumL]],T_TraitDi[#Data],COLUMN(T_TraitDi[Colonne19]),FALSE)=0,"",TEXT(IFERROR(VLOOKUP(T_Convention[[#This Row],[NumL]],T_TraitDi[#Data],COLUMN(T_TraitDi[Colonne19]),FALSE),""),"[hh]:mm"))</f>
        <v>#N/A</v>
      </c>
      <c r="AT169" s="284" t="e">
        <f>IF(VLOOKUP(T_Convention[[#This Row],[NumL]],T_TraitDi[#Data],COLUMN(T_TraitDi[Colonne20]),FALSE)=0,"",TEXT(IFERROR(VLOOKUP(T_Convention[[#This Row],[NumL]],T_TraitDi[#Data],COLUMN(T_TraitDi[Colonne20]),FALSE),""),"[hh]:mm"))</f>
        <v>#N/A</v>
      </c>
      <c r="AU169" s="284" t="str">
        <f>IFERROR(VLOOKUP(T_Convention[[#This Row],[NumL]],T_TraitDi[#Data],COLUMN(T_TraitDi[Jeudi]),FALSE),"")</f>
        <v/>
      </c>
      <c r="AV169" s="284" t="e">
        <f>IF(VLOOKUP(T_Convention[[#This Row],[NumL]],T_TraitDi[#Data],COLUMN(T_TraitDi[Colonne21]),FALSE)=0,"",TEXT(IFERROR(VLOOKUP(T_Convention[[#This Row],[NumL]],T_TraitDi[#Data],COLUMN(T_TraitDi[Colonne21]),FALSE),""),"[hh]:mm"))</f>
        <v>#N/A</v>
      </c>
      <c r="AW169" s="284" t="e">
        <f>IF(VLOOKUP(T_Convention[[#This Row],[NumL]],T_TraitDi[#Data],COLUMN(T_TraitDi[Colonne22]),FALSE)=0,"",TEXT(IFERROR(VLOOKUP(T_Convention[[#This Row],[NumL]],T_TraitDi[#Data],COLUMN(T_TraitDi[Colonne22]),FALSE),""),"[hh]:mm"))</f>
        <v>#N/A</v>
      </c>
      <c r="AX169" s="284" t="str">
        <f>IFERROR(VLOOKUP(T_Convention[[#This Row],[NumL]],T_TraitDi[#Data],COLUMN(T_TraitDi[Colonne23]),FALSE),"")</f>
        <v/>
      </c>
      <c r="AY169" s="284" t="e">
        <f>IF(VLOOKUP(T_Convention[[#This Row],[NumL]],T_TraitDi[#Data],COLUMN(T_TraitDi[Colonne24]),FALSE)=0,"",TEXT(IFERROR(VLOOKUP(T_Convention[[#This Row],[NumL]],T_TraitDi[#Data],COLUMN(T_TraitDi[Colonne24]),FALSE),""),"[hh]:mm"))</f>
        <v>#N/A</v>
      </c>
      <c r="AZ169" s="284" t="e">
        <f>IF(VLOOKUP(T_Convention[[#This Row],[NumL]],T_TraitDi[#Data],COLUMN(T_TraitDi[Colonne25]),FALSE)=0,"",TEXT(IFERROR(VLOOKUP(T_Convention[[#This Row],[NumL]],T_TraitDi[#Data],COLUMN(T_TraitDi[Colonne25]),FALSE),""),"[hh]:mm"))</f>
        <v>#N/A</v>
      </c>
      <c r="BA169" s="284" t="e">
        <f>IF(VLOOKUP(T_Convention[[#This Row],[NumL]],T_TraitDi[#Data],COLUMN(T_TraitDi[Colonne26]),FALSE)=0,"",TEXT(IFERROR(VLOOKUP(T_Convention[[#This Row],[NumL]],T_TraitDi[#Data],COLUMN(T_TraitDi[Colonne26]),FALSE),""),"[hh]:mm"))</f>
        <v>#N/A</v>
      </c>
      <c r="BB169" s="284" t="str">
        <f>IFERROR(VLOOKUP(T_Convention[[#This Row],[NumL]],T_TraitDi[#Data],COLUMN(T_TraitDi[Vendredi]),FALSE),"")</f>
        <v/>
      </c>
      <c r="BC169" s="284" t="e">
        <f>IF(VLOOKUP(T_Convention[[#This Row],[NumL]],T_TraitDi[#Data],COLUMN(T_TraitDi[Colonne27]),FALSE)=0,"",TEXT(IFERROR(VLOOKUP(T_Convention[[#This Row],[NumL]],T_TraitDi[#Data],COLUMN(T_TraitDi[Colonne27]),FALSE),""),"[hh]:mm"))</f>
        <v>#N/A</v>
      </c>
      <c r="BD169" s="284" t="e">
        <f>IF(VLOOKUP(T_Convention[[#This Row],[NumL]],T_TraitDi[#Data],COLUMN(T_TraitDi[Colonne28]),FALSE)=0,"",TEXT(IFERROR(VLOOKUP(T_Convention[[#This Row],[NumL]],T_TraitDi[#Data],COLUMN(T_TraitDi[Colonne28]),FALSE),""),"[hh]:mm"))</f>
        <v>#N/A</v>
      </c>
      <c r="BE169" s="284" t="str">
        <f>IFERROR(VLOOKUP(T_Convention[[#This Row],[NumL]],T_TraitDi[#Data],COLUMN(T_TraitDi[Colonne29]),FALSE),"")</f>
        <v/>
      </c>
      <c r="BF169" s="284" t="e">
        <f>IF(VLOOKUP(T_Convention[[#This Row],[NumL]],T_TraitDi[#Data],COLUMN(T_TraitDi[Colonne30]),FALSE)=0,"",TEXT(IFERROR(VLOOKUP(T_Convention[[#This Row],[NumL]],T_TraitDi[#Data],COLUMN(T_TraitDi[Colonne30]),FALSE),""),"[hh]:mm"))</f>
        <v>#N/A</v>
      </c>
      <c r="BG169" s="284" t="e">
        <f>IF(VLOOKUP(T_Convention[[#This Row],[NumL]],T_TraitDi[#Data],COLUMN(T_TraitDi[Colonne31]),FALSE)=0,"",TEXT(IFERROR(VLOOKUP(T_Convention[[#This Row],[NumL]],T_TraitDi[#Data],COLUMN(T_TraitDi[Colonne31]),FALSE),""),"[hh]:mm"))</f>
        <v>#N/A</v>
      </c>
      <c r="BH169" s="284" t="e">
        <f>IF(VLOOKUP(T_Convention[[#This Row],[NumL]],T_TraitDi[#Data],COLUMN(T_TraitDi[Colonne32]),FALSE)=0,"",TEXT(IFERROR(VLOOKUP(T_Convention[[#This Row],[NumL]],T_TraitDi[#Data],COLUMN(T_TraitDi[Colonne32]),FALSE),""),"[hh]:mm"))</f>
        <v>#N/A</v>
      </c>
      <c r="BI169" s="284" t="str">
        <f>IFERROR(VLOOKUP(T_Convention[[#This Row],[NumL]],T_TraitDi[#Data],COLUMN(T_TraitDi[NbJTW]),FALSE),"")</f>
        <v/>
      </c>
      <c r="BJ169" s="284" t="e">
        <f>IF(VLOOKUP(T_Convention[[#This Row],[NumL]],T_TraitDi[#Data],COLUMN(T_TraitDi[NbhTW]),FALSE)=0,"",TEXT(IFERROR(VLOOKUP(T_Convention[[#This Row],[NumL]],T_TraitDi[#Data],COLUMN(T_TraitDi[NbhTW]),FALSE),""),"[hh]:mm"))</f>
        <v>#N/A</v>
      </c>
      <c r="BK169" s="286" t="e">
        <f>IF(VLOOKUP(T_Convention[[#This Row],[NumL]],T_TraitDi[#Data],COLUMN(T_TraitDi[Nbhheb]),FALSE)=0,"",TEXT(IFERROR(VLOOKUP(T_Convention[[#This Row],[NumL]],T_TraitDi[#Data],COLUMN(T_TraitDi[Nbhheb]),FALSE),""),"[hh]:mm"))</f>
        <v>#N/A</v>
      </c>
      <c r="BL169" s="287" t="str">
        <f>IFERROR(VLOOKUP(VLOOKUP(T_Convention[[#This Row],[NumL]],T_TraitDi[#Data],COLUMN(T_TraitDi[Type1]),FALSE),TypeTW,2,FALSE),"")</f>
        <v/>
      </c>
      <c r="BM169" s="288" t="str">
        <f>IFERROR(VLOOKUP(T_Convention[[#This Row],[NumL]],T_TraitDi[#Data],COLUMN(T_TraitDi[Rue1]),FALSE),"")</f>
        <v/>
      </c>
      <c r="BN169" s="289" t="str">
        <f>IFERROR(VLOOKUP(T_Convention[[#This Row],[NumL]],T_TraitDi[#Data],COLUMN(T_TraitDi[CP1]),FALSE),"")</f>
        <v/>
      </c>
      <c r="BO169" s="282" t="str">
        <f>IFERROR(VLOOKUP(T_Convention[[#This Row],[NumL]],T_TraitDi[#Data],COLUMN(T_TraitDi[VILLE1]),FALSE),"")</f>
        <v/>
      </c>
      <c r="BP169" s="290" t="str">
        <f>IFERROR(VLOOKUP(VLOOKUP(T_Convention[[#This Row],[NumL]],T_TraitDi[#Data],COLUMN(T_TraitDi[Type2]),FALSE),TypeTW,2,FALSE),"")</f>
        <v/>
      </c>
      <c r="BQ169" s="182" t="str">
        <f>IFERROR(VLOOKUP(T_Convention[[#This Row],[NumL]],T_TraitDi[#Data],COLUMN(T_TraitDi[Rue2]),FALSE),"")</f>
        <v/>
      </c>
      <c r="BR169" s="173" t="str">
        <f>IFERROR(VLOOKUP(T_Convention[[#This Row],[NumL]],T_TraitDi[#Data],COLUMN(T_TraitDi[CP2]),FALSE),"")</f>
        <v/>
      </c>
      <c r="BS169" s="173" t="str">
        <f>IFERROR(VLOOKUP(T_Convention[[#This Row],[NumL]],T_TraitDi[#Data],COLUMN(T_TraitDi[VILLE2]),FALSE),"")</f>
        <v/>
      </c>
      <c r="BT169" s="182" t="str">
        <f>IF(VLOOKUP(T_Convention[[#This Row],[NumL]],T_Equipement[#Data],COLUMN(T_Equipement[PC]),FALSE)="","Aucun équipement spécifique directement lié au télétravail",VLOOKUP(T_Convention[[#This Row],[NumL]],T_Equipement[#Data],COLUMN(T_Equipement[PC]),FALSE))</f>
        <v xml:space="preserve">	20-368</v>
      </c>
      <c r="BU169" s="166" t="str">
        <f>IFERROR(IF(VLOOKUP(T_Convention[[#This Row],[NumL]],T_TraitDi[#Data],COLUMN(T_TraitDi[Plan]),FALSE)="OK","Un planning spécifique de télétravail est annexé à la présente convention.",""),"")</f>
        <v/>
      </c>
      <c r="BV169" s="185" t="s">
        <v>3464</v>
      </c>
      <c r="BW169" s="164" t="e">
        <f>IF(VLOOKUP(T_Convention[[#This Row],[NumL]],T_suiviDi[#Data],COLUMN(T_suiviDi[Entité]),FALSE)="","",VLOOKUP(T_Convention[[#This Row],[NumL]],T_suiviDi[#Data],COLUMN(T_suiviDi[Entité]),FALSE))</f>
        <v>#N/A</v>
      </c>
      <c r="BX169" s="164" t="str">
        <f>IF(VLOOKUP(T_Convention[[#This Row],[NumL]],T_Commission[#Data],COLUMN(T_Commission[envoi confirm TW]),FALSE)="","",VLOOKUP(T_Convention[[#This Row],[NumL]],T_Commission[#Data],COLUMN(T_Commission[envoi confirm TW]),FALSE))</f>
        <v>Oui</v>
      </c>
      <c r="BY16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69" s="264">
        <f>VLOOKUP(T_Convention[[#This Row],[NumL]],T_Commission[#Data],COLUMN(T_Commission[Commentaire]),FALSE)</f>
        <v>0</v>
      </c>
      <c r="CA169" s="254" t="str">
        <f>IF(VLOOKUP(T_Convention[[#This Row],[NumL]],T_Commission[#Data],COLUMN(T_Commission[Encadrant Email]),FALSE)="","",VLOOKUP(T_Convention[[#This Row],[NumL]],T_Commission[#Data],COLUMN(T_Commission[Encadrant Email]),FALSE))</f>
        <v/>
      </c>
      <c r="CB169" s="352" t="e">
        <f>VLOOKUP(T_Convention[[#This Row],[NumL]],T_TraitDi[#Data],COLUMN(T_TraitDi[NbJTot]),FALSE)</f>
        <v>#N/A</v>
      </c>
      <c r="CC169" s="352" t="e">
        <f>VLOOKUP(T_Convention[[#This Row],[NumL]],T_TraitDi[#Data],COLUMN(T_TraitDi[Reg Ponct]),FALSE)</f>
        <v>#N/A</v>
      </c>
      <c r="CD169" s="348" t="str">
        <f>IF(T_Convention[[#This Row],[Final]]&lt;&gt;"",VLOOKUP(T_Convention[[#This Row],[NumL]],T_suiviDi[#Data],COLUMN((T_suiviDi[Statut])),FALSE),"")</f>
        <v/>
      </c>
    </row>
    <row r="170" spans="1:82" s="106" customFormat="1" ht="18.75" customHeight="1" x14ac:dyDescent="0.25">
      <c r="A170" s="160">
        <v>34</v>
      </c>
      <c r="B170" s="161" t="str">
        <f>VLOOKUP(T_Convention[[#This Row],[NumL]],T_Commission[#Data],COLUMN(T_Commission[FINAL]),FALSE)</f>
        <v/>
      </c>
      <c r="C170" s="162"/>
      <c r="D170" s="95" t="e">
        <f>IF(VLOOKUP(T_Convention[[#This Row],[NumL]],T_TraitDi[#Data],COLUMN(T_TraitDi[WebC]),FALSE)="","",VLOOKUP(T_Convention[[#This Row],[NumL]],T_TraitDi[#Data],COLUMN(T_TraitDi[WebC]),FALSE))</f>
        <v>#N/A</v>
      </c>
      <c r="E170" s="163" t="str">
        <f t="shared" si="10"/>
        <v>12 janvier 2021</v>
      </c>
      <c r="F170" s="282" t="str">
        <f>IF(T_Convention[[#This Row],[Final]]&lt;&gt;"",VLOOKUP(T_Convention[[#This Row],[NumL]],T_suiviDi[#Data],COLUMN((T_suiviDi[Civ.])),FALSE),"")</f>
        <v/>
      </c>
      <c r="G170" s="283" t="str">
        <f>IF(T_Convention[[#This Row],[Final]]&lt;&gt;"",VLOOKUP(T_Convention[[#This Row],[NumL]],T_suiviDi[#Data],COLUMN((T_suiviDi[Nom])),FALSE),"")</f>
        <v/>
      </c>
      <c r="H170" s="282" t="str">
        <f>IF(T_Convention[[#This Row],[Final]]&lt;&gt;"",VLOOKUP(T_Convention[[#This Row],[NumL]],T_suiviDi[#Data],COLUMN((T_suiviDi[Prénom])),FALSE),"")</f>
        <v/>
      </c>
      <c r="I170" s="282" t="e">
        <f>VLOOKUP(T_Convention[[#This Row],[NumL]],T_suiviDi[#Data],COLUMN((T_suiviDi[[#This Row],[Email]])),FALSE)</f>
        <v>#VALUE!</v>
      </c>
      <c r="J170" s="282" t="e">
        <f>IF(VLOOKUP(T_Convention[[#This Row],[NumL]],T_suiviDi[#Data],COLUMN(T_suiviDi[[#This Row],[Fonction]]),FALSE)="","",VLOOKUP(T_Convention[[#This Row],[NumL]],T_suiviDi[#Data],COLUMN(T_suiviDi[[#This Row],[Fonction]]),FALSE))</f>
        <v>#VALUE!</v>
      </c>
      <c r="K170" s="282" t="e">
        <f>IF(VLOOKUP(T_Convention[[#This Row],[NumL]],T_suiviDi[#Data],COLUMN(T_suiviDi[[#This Row],[Grade]]),FALSE)="","",VLOOKUP(T_Convention[[#This Row],[NumL]],T_suiviDi[#Data],COLUMN(T_suiviDi[[#This Row],[Grade]]),FALSE))</f>
        <v>#VALUE!</v>
      </c>
      <c r="L170" s="282" t="e">
        <f>IF(VLOOKUP(T_Convention[[#This Row],[NumL]],T_suiviDi[#Data],COLUMN(T_suiviDi[[#This Row],[Service ]]),FALSE)="","",VLOOKUP(T_Convention[[#This Row],[NumL]],T_suiviDi[#Data],COLUMN(T_suiviDi[[#This Row],[Service ]]),FALSE))</f>
        <v>#VALUE!</v>
      </c>
      <c r="M170" s="164" t="str">
        <f t="shared" si="11"/>
        <v>01 septembre 2021</v>
      </c>
      <c r="N170" s="164" t="str">
        <f t="shared" si="12"/>
        <v>30 novembre 2021</v>
      </c>
      <c r="O170" s="284" t="str">
        <f t="shared" si="13"/>
        <v>30 novembre 2021</v>
      </c>
      <c r="P170" s="282" t="e">
        <f>IF(VLOOKUP(T_Convention[[#This Row],[NumL]],T_TraitDi[#Data],COLUMN(T_TraitDi[M1]),FALSE)="","",VLOOKUP(T_Convention[[#This Row],[NumL]],T_TraitDi[#Data],COLUMN(T_TraitDi[M1]),FALSE))</f>
        <v>#N/A</v>
      </c>
      <c r="Q170" s="282" t="e">
        <f>IF(VLOOKUP(T_Convention[[#This Row],[NumL]],T_TraitDi[#Data],COLUMN(T_TraitDi[M2]),FALSE)="","",VLOOKUP(T_Convention[[#This Row],[NumL]],T_TraitDi[#Data],COLUMN(T_TraitDi[M2]),FALSE))</f>
        <v>#N/A</v>
      </c>
      <c r="R170" s="282" t="e">
        <f>IF(VLOOKUP(T_Convention[[#This Row],[NumL]],T_TraitDi[#Data],COLUMN(T_TraitDi[M3]),FALSE)="","",VLOOKUP(T_Convention[[#This Row],[NumL]],T_TraitDi[#Data],COLUMN(T_TraitDi[M3]),FALSE))</f>
        <v>#N/A</v>
      </c>
      <c r="S170" s="282" t="e">
        <f>IF(VLOOKUP(T_Convention[[#This Row],[NumL]],T_TraitDi[#Data],COLUMN(T_TraitDi[M4]),FALSE)="","",VLOOKUP(T_Convention[[#This Row],[NumL]],T_TraitDi[#Data],COLUMN(T_TraitDi[M4]),FALSE))</f>
        <v>#N/A</v>
      </c>
      <c r="T170" s="282" t="e">
        <f>IF(VLOOKUP(T_Convention[[#This Row],[NumL]],T_TraitDi[#Data],COLUMN(T_TraitDi[M5]),FALSE)="","",VLOOKUP(T_Convention[[#This Row],[NumL]],T_TraitDi[#Data],COLUMN(T_TraitDi[M5]),FALSE))</f>
        <v>#N/A</v>
      </c>
      <c r="U170" s="282" t="e">
        <f>IF(VLOOKUP(T_Convention[[#This Row],[NumL]],T_TraitDi[#Data],COLUMN(T_TraitDi[M6]),FALSE)="","",VLOOKUP(T_Convention[[#This Row],[NumL]],T_TraitDi[#Data],COLUMN(T_TraitDi[M6]),FALSE))</f>
        <v>#N/A</v>
      </c>
      <c r="V170" s="176" t="e">
        <f t="shared" si="14"/>
        <v>#N/A</v>
      </c>
      <c r="W170" s="284" t="str">
        <f>IFERROR(TEXT(VLOOKUP(T_Convention[[#This Row],[NumL]],T_TraitDi[#Data],COLUMN(T_TraitDi[Q2]),FALSE),"###%"),"")</f>
        <v/>
      </c>
      <c r="X170" s="97" t="e">
        <f>VLOOKUP(T_Convention[[#This Row],[NumL]],T_TraitDi[#Data],COLUMN(T_TraitDi[Reg Ponct]),FALSE)</f>
        <v>#N/A</v>
      </c>
      <c r="Y170" s="97" t="e">
        <f>VLOOKUP(T_Convention[NumL],T_TraitDi[#Data],COLUMN(T_TraitDi[Jours flottants]),FALSE)</f>
        <v>#N/A</v>
      </c>
      <c r="Z170" s="284" t="str">
        <f>IFERROR(VLOOKUP(T_Convention[[#This Row],[NumL]],T_TraitDi[#Data],COLUMN(T_TraitDi[Lundi]),FALSE),"")</f>
        <v/>
      </c>
      <c r="AA170" s="284" t="e">
        <f>IF(VLOOKUP(T_Convention[[#This Row],[NumL]],T_TraitDi[#Data],COLUMN(T_TraitDi[Colonne3]),FALSE)=0,"",TEXT(IFERROR(VLOOKUP(T_Convention[[#This Row],[NumL]],T_TraitDi[#Data],COLUMN(T_TraitDi[Colonne3]),FALSE),""),"[hh]:mm"))</f>
        <v>#N/A</v>
      </c>
      <c r="AB170" s="284" t="e">
        <f>IF(VLOOKUP(T_Convention[[#This Row],[NumL]],T_TraitDi[#Data],COLUMN(T_TraitDi[Colonne4]),FALSE)=0,"",TEXT(IFERROR(VLOOKUP(T_Convention[[#This Row],[NumL]],T_TraitDi[#Data],COLUMN(T_TraitDi[Colonne4]),FALSE),""),"[hh]:mm"))</f>
        <v>#N/A</v>
      </c>
      <c r="AC170" s="284" t="e">
        <f>IF(VLOOKUP(T_Convention[[#This Row],[NumL]],T_TraitDi[#Data],COLUMN(T_TraitDi[Colonne5]),FALSE)=0,"",TEXT(IFERROR(VLOOKUP(T_Convention[[#This Row],[NumL]],T_TraitDi[#Data],COLUMN(T_TraitDi[Colonne5]),FALSE),""),"[hh]:mm"))</f>
        <v>#N/A</v>
      </c>
      <c r="AD170" s="284" t="e">
        <f>IF(VLOOKUP(T_Convention[[#This Row],[NumL]],T_TraitDi[#Data],COLUMN(T_TraitDi[Colonne6]),FALSE)=0,"",TEXT(IFERROR(VLOOKUP(T_Convention[[#This Row],[NumL]],T_TraitDi[#Data],COLUMN(T_TraitDi[Colonne6]),FALSE),""),"[hh]:mm"))</f>
        <v>#N/A</v>
      </c>
      <c r="AE170" s="284" t="e">
        <f>IF(VLOOKUP(T_Convention[[#This Row],[NumL]],T_TraitDi[#Data],COLUMN(T_TraitDi[Colonne7]),FALSE)=0,"",TEXT(IFERROR(VLOOKUP(T_Convention[[#This Row],[NumL]],T_TraitDi[#Data],COLUMN(T_TraitDi[Colonne7]),FALSE),""),"[hh]:mm"))</f>
        <v>#N/A</v>
      </c>
      <c r="AF170" s="284" t="e">
        <f>IF(VLOOKUP(T_Convention[[#This Row],[NumL]],T_TraitDi[#Data],COLUMN(T_TraitDi[Colonne8]),FALSE)=0,"",TEXT(IFERROR(VLOOKUP(T_Convention[[#This Row],[NumL]],T_TraitDi[#Data],COLUMN(T_TraitDi[Colonne8]),FALSE),""),"[hh]:mm"))</f>
        <v>#N/A</v>
      </c>
      <c r="AG170" s="284" t="str">
        <f>IFERROR(VLOOKUP(T_Convention[[#This Row],[NumL]],T_TraitDi[#Data],COLUMN(T_TraitDi[Mardi]),FALSE),"")</f>
        <v/>
      </c>
      <c r="AH170" s="284" t="e">
        <f>IF(VLOOKUP(T_Convention[[#This Row],[NumL]],T_TraitDi[#Data],COLUMN(T_TraitDi[Colonne1]),FALSE)=0,"",TEXT(IFERROR(VLOOKUP(T_Convention[[#This Row],[NumL]],T_TraitDi[#Data],COLUMN(T_TraitDi[Colonne1]),FALSE),""),"[hh]:mm"))</f>
        <v>#N/A</v>
      </c>
      <c r="AI170" s="284" t="e">
        <f>IF(VLOOKUP(T_Convention[[#This Row],[NumL]],T_TraitDi[#Data],COLUMN(T_TraitDi[Colonne9]),FALSE)=0,"",TEXT(IFERROR(VLOOKUP(T_Convention[[#This Row],[NumL]],T_TraitDi[#Data],COLUMN(T_TraitDi[Colonne9]),FALSE),""),"[hh]:mm"))</f>
        <v>#N/A</v>
      </c>
      <c r="AJ170" s="284" t="str">
        <f>IFERROR(VLOOKUP(T_Convention[[#This Row],[NumL]],T_TraitDi[#Data],COLUMN(T_TraitDi[Colonne10]),FALSE),"")</f>
        <v/>
      </c>
      <c r="AK170" s="284" t="e">
        <f>IF(VLOOKUP(T_Convention[[#This Row],[NumL]],T_TraitDi[#Data],COLUMN(T_TraitDi[Colonne11]),FALSE)=0,"",TEXT(IFERROR(VLOOKUP(T_Convention[[#This Row],[NumL]],T_TraitDi[#Data],COLUMN(T_TraitDi[Colonne11]),FALSE),""),"[hh]:mm"))</f>
        <v>#N/A</v>
      </c>
      <c r="AL170" s="284" t="e">
        <f>IF(VLOOKUP(T_Convention[[#This Row],[NumL]],T_TraitDi[#Data],COLUMN(T_TraitDi[Colonne12]),FALSE)=0,"",TEXT(IFERROR(VLOOKUP(T_Convention[[#This Row],[NumL]],T_TraitDi[#Data],COLUMN(T_TraitDi[Colonne12]),FALSE),""),"[hh]:mm"))</f>
        <v>#N/A</v>
      </c>
      <c r="AM170" s="284" t="e">
        <f>IF(VLOOKUP(T_Convention[[#This Row],[NumL]],T_TraitDi[#Data],COLUMN(T_TraitDi[Colonne14]),FALSE)=0,"",TEXT(IFERROR(VLOOKUP(T_Convention[[#This Row],[NumL]],T_TraitDi[#Data],COLUMN(T_TraitDi[Colonne14]),FALSE),""),"[hh]:mm"))</f>
        <v>#N/A</v>
      </c>
      <c r="AN170" s="284" t="str">
        <f>IFERROR(VLOOKUP(T_Convention[[#This Row],[NumL]],T_TraitDi[#Data],COLUMN(T_TraitDi[Mercredi]),FALSE),"")</f>
        <v/>
      </c>
      <c r="AO170" s="284" t="e">
        <f>IF(VLOOKUP(T_Convention[[#This Row],[NumL]],T_TraitDi[#Data],COLUMN(T_TraitDi[Colonne15]),FALSE)=0,"",TEXT(IFERROR(VLOOKUP(T_Convention[[#This Row],[NumL]],T_TraitDi[#Data],COLUMN(T_TraitDi[Colonne15]),FALSE),""),"[hh]:mm"))</f>
        <v>#N/A</v>
      </c>
      <c r="AP170" s="284" t="e">
        <f>IF(VLOOKUP(T_Convention[[#This Row],[NumL]],T_TraitDi[#Data],COLUMN(T_TraitDi[Colonne16]),FALSE)=0,"",TEXT(IFERROR(VLOOKUP(T_Convention[[#This Row],[NumL]],T_TraitDi[#Data],COLUMN(T_TraitDi[Colonne16]),FALSE),""),"[hh]:mm"))</f>
        <v>#N/A</v>
      </c>
      <c r="AQ170" s="284" t="str">
        <f>IFERROR(VLOOKUP(T_Convention[[#This Row],[NumL]],T_TraitDi[#Data],COLUMN(T_TraitDi[Colonne17]),FALSE),"")</f>
        <v/>
      </c>
      <c r="AR170" s="284" t="e">
        <f>IF(VLOOKUP(T_Convention[[#This Row],[NumL]],T_TraitDi[#Data],COLUMN(T_TraitDi[Colonne18]),FALSE)=0,"",TEXT(IFERROR(VLOOKUP(T_Convention[[#This Row],[NumL]],T_TraitDi[#Data],COLUMN(T_TraitDi[Colonne18]),FALSE),""),"[hh]:mm"))</f>
        <v>#N/A</v>
      </c>
      <c r="AS170" s="284" t="e">
        <f>IF(VLOOKUP(T_Convention[[#This Row],[NumL]],T_TraitDi[#Data],COLUMN(T_TraitDi[Colonne19]),FALSE)=0,"",TEXT(IFERROR(VLOOKUP(T_Convention[[#This Row],[NumL]],T_TraitDi[#Data],COLUMN(T_TraitDi[Colonne19]),FALSE),""),"[hh]:mm"))</f>
        <v>#N/A</v>
      </c>
      <c r="AT170" s="284" t="e">
        <f>IF(VLOOKUP(T_Convention[[#This Row],[NumL]],T_TraitDi[#Data],COLUMN(T_TraitDi[Colonne20]),FALSE)=0,"",TEXT(IFERROR(VLOOKUP(T_Convention[[#This Row],[NumL]],T_TraitDi[#Data],COLUMN(T_TraitDi[Colonne20]),FALSE),""),"[hh]:mm"))</f>
        <v>#N/A</v>
      </c>
      <c r="AU170" s="284" t="str">
        <f>IFERROR(VLOOKUP(T_Convention[[#This Row],[NumL]],T_TraitDi[#Data],COLUMN(T_TraitDi[Jeudi]),FALSE),"")</f>
        <v/>
      </c>
      <c r="AV170" s="284" t="e">
        <f>IF(VLOOKUP(T_Convention[[#This Row],[NumL]],T_TraitDi[#Data],COLUMN(T_TraitDi[Colonne21]),FALSE)=0,"",TEXT(IFERROR(VLOOKUP(T_Convention[[#This Row],[NumL]],T_TraitDi[#Data],COLUMN(T_TraitDi[Colonne21]),FALSE),""),"[hh]:mm"))</f>
        <v>#N/A</v>
      </c>
      <c r="AW170" s="284" t="e">
        <f>IF(VLOOKUP(T_Convention[[#This Row],[NumL]],T_TraitDi[#Data],COLUMN(T_TraitDi[Colonne22]),FALSE)=0,"",TEXT(IFERROR(VLOOKUP(T_Convention[[#This Row],[NumL]],T_TraitDi[#Data],COLUMN(T_TraitDi[Colonne22]),FALSE),""),"[hh]:mm"))</f>
        <v>#N/A</v>
      </c>
      <c r="AX170" s="284" t="str">
        <f>IFERROR(VLOOKUP(T_Convention[[#This Row],[NumL]],T_TraitDi[#Data],COLUMN(T_TraitDi[Colonne23]),FALSE),"")</f>
        <v/>
      </c>
      <c r="AY170" s="284" t="e">
        <f>IF(VLOOKUP(T_Convention[[#This Row],[NumL]],T_TraitDi[#Data],COLUMN(T_TraitDi[Colonne24]),FALSE)=0,"",TEXT(IFERROR(VLOOKUP(T_Convention[[#This Row],[NumL]],T_TraitDi[#Data],COLUMN(T_TraitDi[Colonne24]),FALSE),""),"[hh]:mm"))</f>
        <v>#N/A</v>
      </c>
      <c r="AZ170" s="284" t="e">
        <f>IF(VLOOKUP(T_Convention[[#This Row],[NumL]],T_TraitDi[#Data],COLUMN(T_TraitDi[Colonne25]),FALSE)=0,"",TEXT(IFERROR(VLOOKUP(T_Convention[[#This Row],[NumL]],T_TraitDi[#Data],COLUMN(T_TraitDi[Colonne25]),FALSE),""),"[hh]:mm"))</f>
        <v>#N/A</v>
      </c>
      <c r="BA170" s="284" t="e">
        <f>IF(VLOOKUP(T_Convention[[#This Row],[NumL]],T_TraitDi[#Data],COLUMN(T_TraitDi[Colonne26]),FALSE)=0,"",TEXT(IFERROR(VLOOKUP(T_Convention[[#This Row],[NumL]],T_TraitDi[#Data],COLUMN(T_TraitDi[Colonne26]),FALSE),""),"[hh]:mm"))</f>
        <v>#N/A</v>
      </c>
      <c r="BB170" s="284" t="str">
        <f>IFERROR(VLOOKUP(T_Convention[[#This Row],[NumL]],T_TraitDi[#Data],COLUMN(T_TraitDi[Vendredi]),FALSE),"")</f>
        <v/>
      </c>
      <c r="BC170" s="284" t="e">
        <f>IF(VLOOKUP(T_Convention[[#This Row],[NumL]],T_TraitDi[#Data],COLUMN(T_TraitDi[Colonne27]),FALSE)=0,"",TEXT(IFERROR(VLOOKUP(T_Convention[[#This Row],[NumL]],T_TraitDi[#Data],COLUMN(T_TraitDi[Colonne27]),FALSE),""),"[hh]:mm"))</f>
        <v>#N/A</v>
      </c>
      <c r="BD170" s="284" t="e">
        <f>IF(VLOOKUP(T_Convention[[#This Row],[NumL]],T_TraitDi[#Data],COLUMN(T_TraitDi[Colonne28]),FALSE)=0,"",TEXT(IFERROR(VLOOKUP(T_Convention[[#This Row],[NumL]],T_TraitDi[#Data],COLUMN(T_TraitDi[Colonne28]),FALSE),""),"[hh]:mm"))</f>
        <v>#N/A</v>
      </c>
      <c r="BE170" s="284" t="str">
        <f>IFERROR(VLOOKUP(T_Convention[[#This Row],[NumL]],T_TraitDi[#Data],COLUMN(T_TraitDi[Colonne29]),FALSE),"")</f>
        <v/>
      </c>
      <c r="BF170" s="284" t="e">
        <f>IF(VLOOKUP(T_Convention[[#This Row],[NumL]],T_TraitDi[#Data],COLUMN(T_TraitDi[Colonne30]),FALSE)=0,"",TEXT(IFERROR(VLOOKUP(T_Convention[[#This Row],[NumL]],T_TraitDi[#Data],COLUMN(T_TraitDi[Colonne30]),FALSE),""),"[hh]:mm"))</f>
        <v>#N/A</v>
      </c>
      <c r="BG170" s="284" t="e">
        <f>IF(VLOOKUP(T_Convention[[#This Row],[NumL]],T_TraitDi[#Data],COLUMN(T_TraitDi[Colonne31]),FALSE)=0,"",TEXT(IFERROR(VLOOKUP(T_Convention[[#This Row],[NumL]],T_TraitDi[#Data],COLUMN(T_TraitDi[Colonne31]),FALSE),""),"[hh]:mm"))</f>
        <v>#N/A</v>
      </c>
      <c r="BH170" s="284" t="e">
        <f>IF(VLOOKUP(T_Convention[[#This Row],[NumL]],T_TraitDi[#Data],COLUMN(T_TraitDi[Colonne32]),FALSE)=0,"",TEXT(IFERROR(VLOOKUP(T_Convention[[#This Row],[NumL]],T_TraitDi[#Data],COLUMN(T_TraitDi[Colonne32]),FALSE),""),"[hh]:mm"))</f>
        <v>#N/A</v>
      </c>
      <c r="BI170" s="284" t="str">
        <f>IFERROR(VLOOKUP(T_Convention[[#This Row],[NumL]],T_TraitDi[#Data],COLUMN(T_TraitDi[NbJTW]),FALSE),"")</f>
        <v/>
      </c>
      <c r="BJ170" s="284" t="e">
        <f>IF(VLOOKUP(T_Convention[[#This Row],[NumL]],T_TraitDi[#Data],COLUMN(T_TraitDi[NbhTW]),FALSE)=0,"",TEXT(IFERROR(VLOOKUP(T_Convention[[#This Row],[NumL]],T_TraitDi[#Data],COLUMN(T_TraitDi[NbhTW]),FALSE),""),"[hh]:mm"))</f>
        <v>#N/A</v>
      </c>
      <c r="BK170" s="286" t="e">
        <f>IF(VLOOKUP(T_Convention[[#This Row],[NumL]],T_TraitDi[#Data],COLUMN(T_TraitDi[Nbhheb]),FALSE)=0,"",TEXT(IFERROR(VLOOKUP(T_Convention[[#This Row],[NumL]],T_TraitDi[#Data],COLUMN(T_TraitDi[Nbhheb]),FALSE),""),"[hh]:mm"))</f>
        <v>#N/A</v>
      </c>
      <c r="BL170" s="287" t="str">
        <f>IFERROR(VLOOKUP(VLOOKUP(T_Convention[[#This Row],[NumL]],T_TraitDi[#Data],COLUMN(T_TraitDi[Type1]),FALSE),TypeTW,2,FALSE),"")</f>
        <v/>
      </c>
      <c r="BM170" s="288" t="str">
        <f>IFERROR(VLOOKUP(T_Convention[[#This Row],[NumL]],T_TraitDi[#Data],COLUMN(T_TraitDi[Rue1]),FALSE),"")</f>
        <v/>
      </c>
      <c r="BN170" s="289" t="str">
        <f>IFERROR(VLOOKUP(T_Convention[[#This Row],[NumL]],T_TraitDi[#Data],COLUMN(T_TraitDi[CP1]),FALSE),"")</f>
        <v/>
      </c>
      <c r="BO170" s="282" t="str">
        <f>IFERROR(VLOOKUP(T_Convention[[#This Row],[NumL]],T_TraitDi[#Data],COLUMN(T_TraitDi[VILLE1]),FALSE),"")</f>
        <v/>
      </c>
      <c r="BP170" s="290" t="str">
        <f>IFERROR(VLOOKUP(VLOOKUP(T_Convention[[#This Row],[NumL]],T_TraitDi[#Data],COLUMN(T_TraitDi[Type2]),FALSE),TypeTW,2,FALSE),"")</f>
        <v/>
      </c>
      <c r="BQ170" s="182" t="str">
        <f>IFERROR(VLOOKUP(T_Convention[[#This Row],[NumL]],T_TraitDi[#Data],COLUMN(T_TraitDi[Rue2]),FALSE),"")</f>
        <v/>
      </c>
      <c r="BR170" s="173" t="str">
        <f>IFERROR(VLOOKUP(T_Convention[[#This Row],[NumL]],T_TraitDi[#Data],COLUMN(T_TraitDi[CP2]),FALSE),"")</f>
        <v/>
      </c>
      <c r="BS170" s="173" t="str">
        <f>IFERROR(VLOOKUP(T_Convention[[#This Row],[NumL]],T_TraitDi[#Data],COLUMN(T_TraitDi[VILLE2]),FALSE),"")</f>
        <v/>
      </c>
      <c r="BT170" s="182" t="str">
        <f>IF(VLOOKUP(T_Convention[[#This Row],[NumL]],T_Equipement[#Data],COLUMN(T_Equipement[PC]),FALSE)="","Aucun équipement spécifique directement lié au télétravail",VLOOKUP(T_Convention[[#This Row],[NumL]],T_Equipement[#Data],COLUMN(T_Equipement[PC]),FALSE))</f>
        <v xml:space="preserve">18-015	</v>
      </c>
      <c r="BU170" s="166" t="str">
        <f>IFERROR(IF(VLOOKUP(T_Convention[[#This Row],[NumL]],T_TraitDi[#Data],COLUMN(T_TraitDi[Plan]),FALSE)="OK","Un planning spécifique de télétravail est annexé à la présente convention.",""),"")</f>
        <v/>
      </c>
      <c r="BV170" s="185" t="s">
        <v>3330</v>
      </c>
      <c r="BW170" s="164" t="e">
        <f>IF(VLOOKUP(T_Convention[[#This Row],[NumL]],T_suiviDi[#Data],COLUMN(T_suiviDi[Entité]),FALSE)="","",VLOOKUP(T_Convention[[#This Row],[NumL]],T_suiviDi[#Data],COLUMN(T_suiviDi[Entité]),FALSE))</f>
        <v>#N/A</v>
      </c>
      <c r="BX170" s="164" t="str">
        <f>IF(VLOOKUP(T_Convention[[#This Row],[NumL]],T_Commission[#Data],COLUMN(T_Commission[envoi confirm TW]),FALSE)="","",VLOOKUP(T_Convention[[#This Row],[NumL]],T_Commission[#Data],COLUMN(T_Commission[envoi confirm TW]),FALSE))</f>
        <v>Oui</v>
      </c>
      <c r="BY17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0" s="264">
        <f>VLOOKUP(T_Convention[[#This Row],[NumL]],T_Commission[#Data],COLUMN(T_Commission[Commentaire]),FALSE)</f>
        <v>0</v>
      </c>
      <c r="CA170" s="254" t="str">
        <f>IF(VLOOKUP(T_Convention[[#This Row],[NumL]],T_Commission[#Data],COLUMN(T_Commission[Encadrant Email]),FALSE)="","",VLOOKUP(T_Convention[[#This Row],[NumL]],T_Commission[#Data],COLUMN(T_Commission[Encadrant Email]),FALSE))</f>
        <v/>
      </c>
      <c r="CB170" s="352" t="e">
        <f>VLOOKUP(T_Convention[[#This Row],[NumL]],T_TraitDi[#Data],COLUMN(T_TraitDi[NbJTot]),FALSE)</f>
        <v>#N/A</v>
      </c>
      <c r="CC170" s="352" t="e">
        <f>VLOOKUP(T_Convention[[#This Row],[NumL]],T_TraitDi[#Data],COLUMN(T_TraitDi[Reg Ponct]),FALSE)</f>
        <v>#N/A</v>
      </c>
      <c r="CD170" s="348" t="str">
        <f>IF(T_Convention[[#This Row],[Final]]&lt;&gt;"",VLOOKUP(T_Convention[[#This Row],[NumL]],T_suiviDi[#Data],COLUMN((T_suiviDi[Statut])),FALSE),"")</f>
        <v/>
      </c>
    </row>
    <row r="171" spans="1:82" s="106" customFormat="1" ht="18.75" customHeight="1" x14ac:dyDescent="0.25">
      <c r="A171" s="160">
        <v>144</v>
      </c>
      <c r="B171" s="161" t="str">
        <f>VLOOKUP(T_Convention[[#This Row],[NumL]],T_Commission[#Data],COLUMN(T_Commission[FINAL]),FALSE)</f>
        <v/>
      </c>
      <c r="C171" s="162"/>
      <c r="D171" s="95" t="e">
        <f>IF(VLOOKUP(T_Convention[[#This Row],[NumL]],T_TraitDi[#Data],COLUMN(T_TraitDi[WebC]),FALSE)="","",VLOOKUP(T_Convention[[#This Row],[NumL]],T_TraitDi[#Data],COLUMN(T_TraitDi[WebC]),FALSE))</f>
        <v>#N/A</v>
      </c>
      <c r="E171" s="163" t="str">
        <f t="shared" si="10"/>
        <v>12 janvier 2021</v>
      </c>
      <c r="F171" s="282" t="str">
        <f>IF(T_Convention[[#This Row],[Final]]&lt;&gt;"",VLOOKUP(T_Convention[[#This Row],[NumL]],T_suiviDi[#Data],COLUMN((T_suiviDi[Civ.])),FALSE),"")</f>
        <v/>
      </c>
      <c r="G171" s="283" t="str">
        <f>IF(T_Convention[[#This Row],[Final]]&lt;&gt;"",VLOOKUP(T_Convention[[#This Row],[NumL]],T_suiviDi[#Data],COLUMN((T_suiviDi[Nom])),FALSE),"")</f>
        <v/>
      </c>
      <c r="H171" s="282" t="str">
        <f>IF(T_Convention[[#This Row],[Final]]&lt;&gt;"",VLOOKUP(T_Convention[[#This Row],[NumL]],T_suiviDi[#Data],COLUMN((T_suiviDi[Prénom])),FALSE),"")</f>
        <v/>
      </c>
      <c r="I171" s="282" t="e">
        <f>VLOOKUP(T_Convention[[#This Row],[NumL]],T_suiviDi[#Data],COLUMN((T_suiviDi[[#This Row],[Email]])),FALSE)</f>
        <v>#VALUE!</v>
      </c>
      <c r="J171" s="282" t="e">
        <f>IF(VLOOKUP(T_Convention[[#This Row],[NumL]],T_suiviDi[#Data],COLUMN(T_suiviDi[[#This Row],[Fonction]]),FALSE)="","",VLOOKUP(T_Convention[[#This Row],[NumL]],T_suiviDi[#Data],COLUMN(T_suiviDi[[#This Row],[Fonction]]),FALSE))</f>
        <v>#VALUE!</v>
      </c>
      <c r="K171" s="282" t="e">
        <f>IF(VLOOKUP(T_Convention[[#This Row],[NumL]],T_suiviDi[#Data],COLUMN(T_suiviDi[[#This Row],[Grade]]),FALSE)="","",VLOOKUP(T_Convention[[#This Row],[NumL]],T_suiviDi[#Data],COLUMN(T_suiviDi[[#This Row],[Grade]]),FALSE))</f>
        <v>#VALUE!</v>
      </c>
      <c r="L171" s="282" t="e">
        <f>IF(VLOOKUP(T_Convention[[#This Row],[NumL]],T_suiviDi[#Data],COLUMN(T_suiviDi[[#This Row],[Service ]]),FALSE)="","",VLOOKUP(T_Convention[[#This Row],[NumL]],T_suiviDi[#Data],COLUMN(T_suiviDi[[#This Row],[Service ]]),FALSE))</f>
        <v>#VALUE!</v>
      </c>
      <c r="M171" s="164" t="str">
        <f t="shared" si="11"/>
        <v>01 septembre 2021</v>
      </c>
      <c r="N171" s="164" t="str">
        <f t="shared" si="12"/>
        <v>30 novembre 2021</v>
      </c>
      <c r="O171" s="284" t="str">
        <f t="shared" si="13"/>
        <v>30 novembre 2021</v>
      </c>
      <c r="P171" s="282" t="e">
        <f>IF(VLOOKUP(T_Convention[[#This Row],[NumL]],T_TraitDi[#Data],COLUMN(T_TraitDi[M1]),FALSE)="","",VLOOKUP(T_Convention[[#This Row],[NumL]],T_TraitDi[#Data],COLUMN(T_TraitDi[M1]),FALSE))</f>
        <v>#N/A</v>
      </c>
      <c r="Q171" s="282" t="e">
        <f>IF(VLOOKUP(T_Convention[[#This Row],[NumL]],T_TraitDi[#Data],COLUMN(T_TraitDi[M2]),FALSE)="","",VLOOKUP(T_Convention[[#This Row],[NumL]],T_TraitDi[#Data],COLUMN(T_TraitDi[M2]),FALSE))</f>
        <v>#N/A</v>
      </c>
      <c r="R171" s="282" t="e">
        <f>IF(VLOOKUP(T_Convention[[#This Row],[NumL]],T_TraitDi[#Data],COLUMN(T_TraitDi[M3]),FALSE)="","",VLOOKUP(T_Convention[[#This Row],[NumL]],T_TraitDi[#Data],COLUMN(T_TraitDi[M3]),FALSE))</f>
        <v>#N/A</v>
      </c>
      <c r="S171" s="282" t="e">
        <f>IF(VLOOKUP(T_Convention[[#This Row],[NumL]],T_TraitDi[#Data],COLUMN(T_TraitDi[M4]),FALSE)="","",VLOOKUP(T_Convention[[#This Row],[NumL]],T_TraitDi[#Data],COLUMN(T_TraitDi[M4]),FALSE))</f>
        <v>#N/A</v>
      </c>
      <c r="T171" s="282" t="e">
        <f>IF(VLOOKUP(T_Convention[[#This Row],[NumL]],T_TraitDi[#Data],COLUMN(T_TraitDi[M5]),FALSE)="","",VLOOKUP(T_Convention[[#This Row],[NumL]],T_TraitDi[#Data],COLUMN(T_TraitDi[M5]),FALSE))</f>
        <v>#N/A</v>
      </c>
      <c r="U171" s="282" t="e">
        <f>IF(VLOOKUP(T_Convention[[#This Row],[NumL]],T_TraitDi[#Data],COLUMN(T_TraitDi[M6]),FALSE)="","",VLOOKUP(T_Convention[[#This Row],[NumL]],T_TraitDi[#Data],COLUMN(T_TraitDi[M6]),FALSE))</f>
        <v>#N/A</v>
      </c>
      <c r="V171" s="176" t="e">
        <f t="shared" si="14"/>
        <v>#N/A</v>
      </c>
      <c r="W171" s="284" t="str">
        <f>IFERROR(TEXT(VLOOKUP(T_Convention[[#This Row],[NumL]],T_TraitDi[#Data],COLUMN(T_TraitDi[Q2]),FALSE),"###%"),"")</f>
        <v/>
      </c>
      <c r="X171" s="97" t="e">
        <f>VLOOKUP(T_Convention[[#This Row],[NumL]],T_TraitDi[#Data],COLUMN(T_TraitDi[Reg Ponct]),FALSE)</f>
        <v>#N/A</v>
      </c>
      <c r="Y171" s="97" t="e">
        <f>VLOOKUP(T_Convention[NumL],T_TraitDi[#Data],COLUMN(T_TraitDi[Jours flottants]),FALSE)</f>
        <v>#N/A</v>
      </c>
      <c r="Z171" s="284" t="str">
        <f>IFERROR(VLOOKUP(T_Convention[[#This Row],[NumL]],T_TraitDi[#Data],COLUMN(T_TraitDi[Lundi]),FALSE),"")</f>
        <v/>
      </c>
      <c r="AA171" s="284" t="e">
        <f>IF(VLOOKUP(T_Convention[[#This Row],[NumL]],T_TraitDi[#Data],COLUMN(T_TraitDi[Colonne3]),FALSE)=0,"",TEXT(IFERROR(VLOOKUP(T_Convention[[#This Row],[NumL]],T_TraitDi[#Data],COLUMN(T_TraitDi[Colonne3]),FALSE),""),"[hh]:mm"))</f>
        <v>#N/A</v>
      </c>
      <c r="AB171" s="284" t="e">
        <f>IF(VLOOKUP(T_Convention[[#This Row],[NumL]],T_TraitDi[#Data],COLUMN(T_TraitDi[Colonne4]),FALSE)=0,"",TEXT(IFERROR(VLOOKUP(T_Convention[[#This Row],[NumL]],T_TraitDi[#Data],COLUMN(T_TraitDi[Colonne4]),FALSE),""),"[hh]:mm"))</f>
        <v>#N/A</v>
      </c>
      <c r="AC171" s="284" t="e">
        <f>IF(VLOOKUP(T_Convention[[#This Row],[NumL]],T_TraitDi[#Data],COLUMN(T_TraitDi[Colonne5]),FALSE)=0,"",TEXT(IFERROR(VLOOKUP(T_Convention[[#This Row],[NumL]],T_TraitDi[#Data],COLUMN(T_TraitDi[Colonne5]),FALSE),""),"[hh]:mm"))</f>
        <v>#N/A</v>
      </c>
      <c r="AD171" s="284" t="e">
        <f>IF(VLOOKUP(T_Convention[[#This Row],[NumL]],T_TraitDi[#Data],COLUMN(T_TraitDi[Colonne6]),FALSE)=0,"",TEXT(IFERROR(VLOOKUP(T_Convention[[#This Row],[NumL]],T_TraitDi[#Data],COLUMN(T_TraitDi[Colonne6]),FALSE),""),"[hh]:mm"))</f>
        <v>#N/A</v>
      </c>
      <c r="AE171" s="284" t="e">
        <f>IF(VLOOKUP(T_Convention[[#This Row],[NumL]],T_TraitDi[#Data],COLUMN(T_TraitDi[Colonne7]),FALSE)=0,"",TEXT(IFERROR(VLOOKUP(T_Convention[[#This Row],[NumL]],T_TraitDi[#Data],COLUMN(T_TraitDi[Colonne7]),FALSE),""),"[hh]:mm"))</f>
        <v>#N/A</v>
      </c>
      <c r="AF171" s="284" t="e">
        <f>IF(VLOOKUP(T_Convention[[#This Row],[NumL]],T_TraitDi[#Data],COLUMN(T_TraitDi[Colonne8]),FALSE)=0,"",TEXT(IFERROR(VLOOKUP(T_Convention[[#This Row],[NumL]],T_TraitDi[#Data],COLUMN(T_TraitDi[Colonne8]),FALSE),""),"[hh]:mm"))</f>
        <v>#N/A</v>
      </c>
      <c r="AG171" s="284" t="str">
        <f>IFERROR(VLOOKUP(T_Convention[[#This Row],[NumL]],T_TraitDi[#Data],COLUMN(T_TraitDi[Mardi]),FALSE),"")</f>
        <v/>
      </c>
      <c r="AH171" s="284" t="e">
        <f>IF(VLOOKUP(T_Convention[[#This Row],[NumL]],T_TraitDi[#Data],COLUMN(T_TraitDi[Colonne1]),FALSE)=0,"",TEXT(IFERROR(VLOOKUP(T_Convention[[#This Row],[NumL]],T_TraitDi[#Data],COLUMN(T_TraitDi[Colonne1]),FALSE),""),"[hh]:mm"))</f>
        <v>#N/A</v>
      </c>
      <c r="AI171" s="284" t="e">
        <f>IF(VLOOKUP(T_Convention[[#This Row],[NumL]],T_TraitDi[#Data],COLUMN(T_TraitDi[Colonne9]),FALSE)=0,"",TEXT(IFERROR(VLOOKUP(T_Convention[[#This Row],[NumL]],T_TraitDi[#Data],COLUMN(T_TraitDi[Colonne9]),FALSE),""),"[hh]:mm"))</f>
        <v>#N/A</v>
      </c>
      <c r="AJ171" s="284" t="str">
        <f>IFERROR(VLOOKUP(T_Convention[[#This Row],[NumL]],T_TraitDi[#Data],COLUMN(T_TraitDi[Colonne10]),FALSE),"")</f>
        <v/>
      </c>
      <c r="AK171" s="284" t="e">
        <f>IF(VLOOKUP(T_Convention[[#This Row],[NumL]],T_TraitDi[#Data],COLUMN(T_TraitDi[Colonne11]),FALSE)=0,"",TEXT(IFERROR(VLOOKUP(T_Convention[[#This Row],[NumL]],T_TraitDi[#Data],COLUMN(T_TraitDi[Colonne11]),FALSE),""),"[hh]:mm"))</f>
        <v>#N/A</v>
      </c>
      <c r="AL171" s="284" t="e">
        <f>IF(VLOOKUP(T_Convention[[#This Row],[NumL]],T_TraitDi[#Data],COLUMN(T_TraitDi[Colonne12]),FALSE)=0,"",TEXT(IFERROR(VLOOKUP(T_Convention[[#This Row],[NumL]],T_TraitDi[#Data],COLUMN(T_TraitDi[Colonne12]),FALSE),""),"[hh]:mm"))</f>
        <v>#N/A</v>
      </c>
      <c r="AM171" s="284" t="e">
        <f>IF(VLOOKUP(T_Convention[[#This Row],[NumL]],T_TraitDi[#Data],COLUMN(T_TraitDi[Colonne14]),FALSE)=0,"",TEXT(IFERROR(VLOOKUP(T_Convention[[#This Row],[NumL]],T_TraitDi[#Data],COLUMN(T_TraitDi[Colonne14]),FALSE),""),"[hh]:mm"))</f>
        <v>#N/A</v>
      </c>
      <c r="AN171" s="284" t="str">
        <f>IFERROR(VLOOKUP(T_Convention[[#This Row],[NumL]],T_TraitDi[#Data],COLUMN(T_TraitDi[Mercredi]),FALSE),"")</f>
        <v/>
      </c>
      <c r="AO171" s="284" t="e">
        <f>IF(VLOOKUP(T_Convention[[#This Row],[NumL]],T_TraitDi[#Data],COLUMN(T_TraitDi[Colonne15]),FALSE)=0,"",TEXT(IFERROR(VLOOKUP(T_Convention[[#This Row],[NumL]],T_TraitDi[#Data],COLUMN(T_TraitDi[Colonne15]),FALSE),""),"[hh]:mm"))</f>
        <v>#N/A</v>
      </c>
      <c r="AP171" s="284" t="e">
        <f>IF(VLOOKUP(T_Convention[[#This Row],[NumL]],T_TraitDi[#Data],COLUMN(T_TraitDi[Colonne16]),FALSE)=0,"",TEXT(IFERROR(VLOOKUP(T_Convention[[#This Row],[NumL]],T_TraitDi[#Data],COLUMN(T_TraitDi[Colonne16]),FALSE),""),"[hh]:mm"))</f>
        <v>#N/A</v>
      </c>
      <c r="AQ171" s="284" t="str">
        <f>IFERROR(VLOOKUP(T_Convention[[#This Row],[NumL]],T_TraitDi[#Data],COLUMN(T_TraitDi[Colonne17]),FALSE),"")</f>
        <v/>
      </c>
      <c r="AR171" s="284" t="e">
        <f>IF(VLOOKUP(T_Convention[[#This Row],[NumL]],T_TraitDi[#Data],COLUMN(T_TraitDi[Colonne18]),FALSE)=0,"",TEXT(IFERROR(VLOOKUP(T_Convention[[#This Row],[NumL]],T_TraitDi[#Data],COLUMN(T_TraitDi[Colonne18]),FALSE),""),"[hh]:mm"))</f>
        <v>#N/A</v>
      </c>
      <c r="AS171" s="284" t="e">
        <f>IF(VLOOKUP(T_Convention[[#This Row],[NumL]],T_TraitDi[#Data],COLUMN(T_TraitDi[Colonne19]),FALSE)=0,"",TEXT(IFERROR(VLOOKUP(T_Convention[[#This Row],[NumL]],T_TraitDi[#Data],COLUMN(T_TraitDi[Colonne19]),FALSE),""),"[hh]:mm"))</f>
        <v>#N/A</v>
      </c>
      <c r="AT171" s="284" t="e">
        <f>IF(VLOOKUP(T_Convention[[#This Row],[NumL]],T_TraitDi[#Data],COLUMN(T_TraitDi[Colonne20]),FALSE)=0,"",TEXT(IFERROR(VLOOKUP(T_Convention[[#This Row],[NumL]],T_TraitDi[#Data],COLUMN(T_TraitDi[Colonne20]),FALSE),""),"[hh]:mm"))</f>
        <v>#N/A</v>
      </c>
      <c r="AU171" s="284" t="str">
        <f>IFERROR(VLOOKUP(T_Convention[[#This Row],[NumL]],T_TraitDi[#Data],COLUMN(T_TraitDi[Jeudi]),FALSE),"")</f>
        <v/>
      </c>
      <c r="AV171" s="284" t="e">
        <f>IF(VLOOKUP(T_Convention[[#This Row],[NumL]],T_TraitDi[#Data],COLUMN(T_TraitDi[Colonne21]),FALSE)=0,"",TEXT(IFERROR(VLOOKUP(T_Convention[[#This Row],[NumL]],T_TraitDi[#Data],COLUMN(T_TraitDi[Colonne21]),FALSE),""),"[hh]:mm"))</f>
        <v>#N/A</v>
      </c>
      <c r="AW171" s="284" t="e">
        <f>IF(VLOOKUP(T_Convention[[#This Row],[NumL]],T_TraitDi[#Data],COLUMN(T_TraitDi[Colonne22]),FALSE)=0,"",TEXT(IFERROR(VLOOKUP(T_Convention[[#This Row],[NumL]],T_TraitDi[#Data],COLUMN(T_TraitDi[Colonne22]),FALSE),""),"[hh]:mm"))</f>
        <v>#N/A</v>
      </c>
      <c r="AX171" s="284" t="str">
        <f>IFERROR(VLOOKUP(T_Convention[[#This Row],[NumL]],T_TraitDi[#Data],COLUMN(T_TraitDi[Colonne23]),FALSE),"")</f>
        <v/>
      </c>
      <c r="AY171" s="284" t="e">
        <f>IF(VLOOKUP(T_Convention[[#This Row],[NumL]],T_TraitDi[#Data],COLUMN(T_TraitDi[Colonne24]),FALSE)=0,"",TEXT(IFERROR(VLOOKUP(T_Convention[[#This Row],[NumL]],T_TraitDi[#Data],COLUMN(T_TraitDi[Colonne24]),FALSE),""),"[hh]:mm"))</f>
        <v>#N/A</v>
      </c>
      <c r="AZ171" s="284" t="e">
        <f>IF(VLOOKUP(T_Convention[[#This Row],[NumL]],T_TraitDi[#Data],COLUMN(T_TraitDi[Colonne25]),FALSE)=0,"",TEXT(IFERROR(VLOOKUP(T_Convention[[#This Row],[NumL]],T_TraitDi[#Data],COLUMN(T_TraitDi[Colonne25]),FALSE),""),"[hh]:mm"))</f>
        <v>#N/A</v>
      </c>
      <c r="BA171" s="284" t="e">
        <f>IF(VLOOKUP(T_Convention[[#This Row],[NumL]],T_TraitDi[#Data],COLUMN(T_TraitDi[Colonne26]),FALSE)=0,"",TEXT(IFERROR(VLOOKUP(T_Convention[[#This Row],[NumL]],T_TraitDi[#Data],COLUMN(T_TraitDi[Colonne26]),FALSE),""),"[hh]:mm"))</f>
        <v>#N/A</v>
      </c>
      <c r="BB171" s="284" t="str">
        <f>IFERROR(VLOOKUP(T_Convention[[#This Row],[NumL]],T_TraitDi[#Data],COLUMN(T_TraitDi[Vendredi]),FALSE),"")</f>
        <v/>
      </c>
      <c r="BC171" s="284" t="e">
        <f>IF(VLOOKUP(T_Convention[[#This Row],[NumL]],T_TraitDi[#Data],COLUMN(T_TraitDi[Colonne27]),FALSE)=0,"",TEXT(IFERROR(VLOOKUP(T_Convention[[#This Row],[NumL]],T_TraitDi[#Data],COLUMN(T_TraitDi[Colonne27]),FALSE),""),"[hh]:mm"))</f>
        <v>#N/A</v>
      </c>
      <c r="BD171" s="284" t="e">
        <f>IF(VLOOKUP(T_Convention[[#This Row],[NumL]],T_TraitDi[#Data],COLUMN(T_TraitDi[Colonne28]),FALSE)=0,"",TEXT(IFERROR(VLOOKUP(T_Convention[[#This Row],[NumL]],T_TraitDi[#Data],COLUMN(T_TraitDi[Colonne28]),FALSE),""),"[hh]:mm"))</f>
        <v>#N/A</v>
      </c>
      <c r="BE171" s="284" t="str">
        <f>IFERROR(VLOOKUP(T_Convention[[#This Row],[NumL]],T_TraitDi[#Data],COLUMN(T_TraitDi[Colonne29]),FALSE),"")</f>
        <v/>
      </c>
      <c r="BF171" s="284" t="e">
        <f>IF(VLOOKUP(T_Convention[[#This Row],[NumL]],T_TraitDi[#Data],COLUMN(T_TraitDi[Colonne30]),FALSE)=0,"",TEXT(IFERROR(VLOOKUP(T_Convention[[#This Row],[NumL]],T_TraitDi[#Data],COLUMN(T_TraitDi[Colonne30]),FALSE),""),"[hh]:mm"))</f>
        <v>#N/A</v>
      </c>
      <c r="BG171" s="284" t="e">
        <f>IF(VLOOKUP(T_Convention[[#This Row],[NumL]],T_TraitDi[#Data],COLUMN(T_TraitDi[Colonne31]),FALSE)=0,"",TEXT(IFERROR(VLOOKUP(T_Convention[[#This Row],[NumL]],T_TraitDi[#Data],COLUMN(T_TraitDi[Colonne31]),FALSE),""),"[hh]:mm"))</f>
        <v>#N/A</v>
      </c>
      <c r="BH171" s="284" t="e">
        <f>IF(VLOOKUP(T_Convention[[#This Row],[NumL]],T_TraitDi[#Data],COLUMN(T_TraitDi[Colonne32]),FALSE)=0,"",TEXT(IFERROR(VLOOKUP(T_Convention[[#This Row],[NumL]],T_TraitDi[#Data],COLUMN(T_TraitDi[Colonne32]),FALSE),""),"[hh]:mm"))</f>
        <v>#N/A</v>
      </c>
      <c r="BI171" s="284" t="str">
        <f>IFERROR(VLOOKUP(T_Convention[[#This Row],[NumL]],T_TraitDi[#Data],COLUMN(T_TraitDi[NbJTW]),FALSE),"")</f>
        <v/>
      </c>
      <c r="BJ171" s="284" t="e">
        <f>IF(VLOOKUP(T_Convention[[#This Row],[NumL]],T_TraitDi[#Data],COLUMN(T_TraitDi[NbhTW]),FALSE)=0,"",TEXT(IFERROR(VLOOKUP(T_Convention[[#This Row],[NumL]],T_TraitDi[#Data],COLUMN(T_TraitDi[NbhTW]),FALSE),""),"[hh]:mm"))</f>
        <v>#N/A</v>
      </c>
      <c r="BK171" s="286" t="e">
        <f>IF(VLOOKUP(T_Convention[[#This Row],[NumL]],T_TraitDi[#Data],COLUMN(T_TraitDi[Nbhheb]),FALSE)=0,"",TEXT(IFERROR(VLOOKUP(T_Convention[[#This Row],[NumL]],T_TraitDi[#Data],COLUMN(T_TraitDi[Nbhheb]),FALSE),""),"[hh]:mm"))</f>
        <v>#N/A</v>
      </c>
      <c r="BL171" s="287" t="str">
        <f>IFERROR(VLOOKUP(VLOOKUP(T_Convention[[#This Row],[NumL]],T_TraitDi[#Data],COLUMN(T_TraitDi[Type1]),FALSE),TypeTW,2,FALSE),"")</f>
        <v/>
      </c>
      <c r="BM171" s="288" t="str">
        <f>IFERROR(VLOOKUP(T_Convention[[#This Row],[NumL]],T_TraitDi[#Data],COLUMN(T_TraitDi[Rue1]),FALSE),"")</f>
        <v/>
      </c>
      <c r="BN171" s="289" t="str">
        <f>IFERROR(VLOOKUP(T_Convention[[#This Row],[NumL]],T_TraitDi[#Data],COLUMN(T_TraitDi[CP1]),FALSE),"")</f>
        <v/>
      </c>
      <c r="BO171" s="282" t="str">
        <f>IFERROR(VLOOKUP(T_Convention[[#This Row],[NumL]],T_TraitDi[#Data],COLUMN(T_TraitDi[VILLE1]),FALSE),"")</f>
        <v/>
      </c>
      <c r="BP171" s="290" t="str">
        <f>IFERROR(VLOOKUP(VLOOKUP(T_Convention[[#This Row],[NumL]],T_TraitDi[#Data],COLUMN(T_TraitDi[Type2]),FALSE),TypeTW,2,FALSE),"")</f>
        <v/>
      </c>
      <c r="BQ171" s="182" t="str">
        <f>IFERROR(VLOOKUP(T_Convention[[#This Row],[NumL]],T_TraitDi[#Data],COLUMN(T_TraitDi[Rue2]),FALSE),"")</f>
        <v/>
      </c>
      <c r="BR171" s="173" t="str">
        <f>IFERROR(VLOOKUP(T_Convention[[#This Row],[NumL]],T_TraitDi[#Data],COLUMN(T_TraitDi[CP2]),FALSE),"")</f>
        <v/>
      </c>
      <c r="BS171" s="173" t="str">
        <f>IFERROR(VLOOKUP(T_Convention[[#This Row],[NumL]],T_TraitDi[#Data],COLUMN(T_TraitDi[VILLE2]),FALSE),"")</f>
        <v/>
      </c>
      <c r="BT171" s="182" t="str">
        <f>IF(VLOOKUP(T_Convention[[#This Row],[NumL]],T_Equipement[#Data],COLUMN(T_Equipement[PC]),FALSE)="","Aucun équipement spécifique directement lié au télétravail",VLOOKUP(T_Convention[[#This Row],[NumL]],T_Equipement[#Data],COLUMN(T_Equipement[PC]),FALSE))</f>
        <v>20-404</v>
      </c>
      <c r="BU171" s="166" t="str">
        <f>IFERROR(IF(VLOOKUP(T_Convention[[#This Row],[NumL]],T_TraitDi[#Data],COLUMN(T_TraitDi[Plan]),FALSE)="OK","Un planning spécifique de télétravail est annexé à la présente convention.",""),"")</f>
        <v/>
      </c>
      <c r="BV171" s="185" t="s">
        <v>3491</v>
      </c>
      <c r="BW171" s="164" t="e">
        <f>IF(VLOOKUP(T_Convention[[#This Row],[NumL]],T_suiviDi[#Data],COLUMN(T_suiviDi[Entité]),FALSE)="","",VLOOKUP(T_Convention[[#This Row],[NumL]],T_suiviDi[#Data],COLUMN(T_suiviDi[Entité]),FALSE))</f>
        <v>#N/A</v>
      </c>
      <c r="BX171" s="164" t="str">
        <f>IF(VLOOKUP(T_Convention[[#This Row],[NumL]],T_Commission[#Data],COLUMN(T_Commission[envoi confirm TW]),FALSE)="","",VLOOKUP(T_Convention[[#This Row],[NumL]],T_Commission[#Data],COLUMN(T_Commission[envoi confirm TW]),FALSE))</f>
        <v>Oui</v>
      </c>
      <c r="BY17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1" s="264">
        <f>VLOOKUP(T_Convention[[#This Row],[NumL]],T_Commission[#Data],COLUMN(T_Commission[Commentaire]),FALSE)</f>
        <v>0</v>
      </c>
      <c r="CA171" s="254" t="str">
        <f>IF(VLOOKUP(T_Convention[[#This Row],[NumL]],T_Commission[#Data],COLUMN(T_Commission[Encadrant Email]),FALSE)="","",VLOOKUP(T_Convention[[#This Row],[NumL]],T_Commission[#Data],COLUMN(T_Commission[Encadrant Email]),FALSE))</f>
        <v/>
      </c>
      <c r="CB171" s="352" t="e">
        <f>VLOOKUP(T_Convention[[#This Row],[NumL]],T_TraitDi[#Data],COLUMN(T_TraitDi[NbJTot]),FALSE)</f>
        <v>#N/A</v>
      </c>
      <c r="CC171" s="352" t="e">
        <f>VLOOKUP(T_Convention[[#This Row],[NumL]],T_TraitDi[#Data],COLUMN(T_TraitDi[Reg Ponct]),FALSE)</f>
        <v>#N/A</v>
      </c>
      <c r="CD171" s="348" t="str">
        <f>IF(T_Convention[[#This Row],[Final]]&lt;&gt;"",VLOOKUP(T_Convention[[#This Row],[NumL]],T_suiviDi[#Data],COLUMN((T_suiviDi[Statut])),FALSE),"")</f>
        <v/>
      </c>
    </row>
    <row r="172" spans="1:82" s="106" customFormat="1" ht="18.75" customHeight="1" x14ac:dyDescent="0.25">
      <c r="A172" s="160">
        <v>101</v>
      </c>
      <c r="B172" s="161" t="str">
        <f>VLOOKUP(T_Convention[[#This Row],[NumL]],T_Commission[#Data],COLUMN(T_Commission[FINAL]),FALSE)</f>
        <v/>
      </c>
      <c r="C172" s="162"/>
      <c r="D172" s="95" t="e">
        <f>IF(VLOOKUP(T_Convention[[#This Row],[NumL]],T_TraitDi[#Data],COLUMN(T_TraitDi[WebC]),FALSE)="","",VLOOKUP(T_Convention[[#This Row],[NumL]],T_TraitDi[#Data],COLUMN(T_TraitDi[WebC]),FALSE))</f>
        <v>#N/A</v>
      </c>
      <c r="E172" s="163" t="str">
        <f t="shared" si="10"/>
        <v>12 janvier 2021</v>
      </c>
      <c r="F172" s="282" t="str">
        <f>IF(T_Convention[[#This Row],[Final]]&lt;&gt;"",VLOOKUP(T_Convention[[#This Row],[NumL]],T_suiviDi[#Data],COLUMN((T_suiviDi[Civ.])),FALSE),"")</f>
        <v/>
      </c>
      <c r="G172" s="283" t="str">
        <f>IF(T_Convention[[#This Row],[Final]]&lt;&gt;"",VLOOKUP(T_Convention[[#This Row],[NumL]],T_suiviDi[#Data],COLUMN((T_suiviDi[Nom])),FALSE),"")</f>
        <v/>
      </c>
      <c r="H172" s="282" t="str">
        <f>IF(T_Convention[[#This Row],[Final]]&lt;&gt;"",VLOOKUP(T_Convention[[#This Row],[NumL]],T_suiviDi[#Data],COLUMN((T_suiviDi[Prénom])),FALSE),"")</f>
        <v/>
      </c>
      <c r="I172" s="282" t="e">
        <f>VLOOKUP(T_Convention[[#This Row],[NumL]],T_suiviDi[#Data],COLUMN((T_suiviDi[[#This Row],[Email]])),FALSE)</f>
        <v>#VALUE!</v>
      </c>
      <c r="J172" s="282" t="e">
        <f>IF(VLOOKUP(T_Convention[[#This Row],[NumL]],T_suiviDi[#Data],COLUMN(T_suiviDi[[#This Row],[Fonction]]),FALSE)="","",VLOOKUP(T_Convention[[#This Row],[NumL]],T_suiviDi[#Data],COLUMN(T_suiviDi[[#This Row],[Fonction]]),FALSE))</f>
        <v>#VALUE!</v>
      </c>
      <c r="K172" s="282" t="e">
        <f>IF(VLOOKUP(T_Convention[[#This Row],[NumL]],T_suiviDi[#Data],COLUMN(T_suiviDi[[#This Row],[Grade]]),FALSE)="","",VLOOKUP(T_Convention[[#This Row],[NumL]],T_suiviDi[#Data],COLUMN(T_suiviDi[[#This Row],[Grade]]),FALSE))</f>
        <v>#VALUE!</v>
      </c>
      <c r="L172" s="282" t="e">
        <f>IF(VLOOKUP(T_Convention[[#This Row],[NumL]],T_suiviDi[#Data],COLUMN(T_suiviDi[[#This Row],[Service ]]),FALSE)="","",VLOOKUP(T_Convention[[#This Row],[NumL]],T_suiviDi[#Data],COLUMN(T_suiviDi[[#This Row],[Service ]]),FALSE))</f>
        <v>#VALUE!</v>
      </c>
      <c r="M172" s="164" t="str">
        <f t="shared" si="11"/>
        <v>01 septembre 2021</v>
      </c>
      <c r="N172" s="164" t="str">
        <f t="shared" si="12"/>
        <v>30 novembre 2021</v>
      </c>
      <c r="O172" s="284" t="str">
        <f t="shared" si="13"/>
        <v>30 novembre 2021</v>
      </c>
      <c r="P172" s="282" t="e">
        <f>IF(VLOOKUP(T_Convention[[#This Row],[NumL]],T_TraitDi[#Data],COLUMN(T_TraitDi[M1]),FALSE)="","",VLOOKUP(T_Convention[[#This Row],[NumL]],T_TraitDi[#Data],COLUMN(T_TraitDi[M1]),FALSE))</f>
        <v>#N/A</v>
      </c>
      <c r="Q172" s="282" t="e">
        <f>IF(VLOOKUP(T_Convention[[#This Row],[NumL]],T_TraitDi[#Data],COLUMN(T_TraitDi[M2]),FALSE)="","",VLOOKUP(T_Convention[[#This Row],[NumL]],T_TraitDi[#Data],COLUMN(T_TraitDi[M2]),FALSE))</f>
        <v>#N/A</v>
      </c>
      <c r="R172" s="282" t="e">
        <f>IF(VLOOKUP(T_Convention[[#This Row],[NumL]],T_TraitDi[#Data],COLUMN(T_TraitDi[M3]),FALSE)="","",VLOOKUP(T_Convention[[#This Row],[NumL]],T_TraitDi[#Data],COLUMN(T_TraitDi[M3]),FALSE))</f>
        <v>#N/A</v>
      </c>
      <c r="S172" s="282" t="e">
        <f>IF(VLOOKUP(T_Convention[[#This Row],[NumL]],T_TraitDi[#Data],COLUMN(T_TraitDi[M4]),FALSE)="","",VLOOKUP(T_Convention[[#This Row],[NumL]],T_TraitDi[#Data],COLUMN(T_TraitDi[M4]),FALSE))</f>
        <v>#N/A</v>
      </c>
      <c r="T172" s="282" t="e">
        <f>IF(VLOOKUP(T_Convention[[#This Row],[NumL]],T_TraitDi[#Data],COLUMN(T_TraitDi[M5]),FALSE)="","",VLOOKUP(T_Convention[[#This Row],[NumL]],T_TraitDi[#Data],COLUMN(T_TraitDi[M5]),FALSE))</f>
        <v>#N/A</v>
      </c>
      <c r="U172" s="282" t="e">
        <f>IF(VLOOKUP(T_Convention[[#This Row],[NumL]],T_TraitDi[#Data],COLUMN(T_TraitDi[M6]),FALSE)="","",VLOOKUP(T_Convention[[#This Row],[NumL]],T_TraitDi[#Data],COLUMN(T_TraitDi[M6]),FALSE))</f>
        <v>#N/A</v>
      </c>
      <c r="V172" s="176" t="e">
        <f t="shared" si="14"/>
        <v>#N/A</v>
      </c>
      <c r="W172" s="284" t="str">
        <f>IFERROR(TEXT(VLOOKUP(T_Convention[[#This Row],[NumL]],T_TraitDi[#Data],COLUMN(T_TraitDi[Q2]),FALSE),"###%"),"")</f>
        <v/>
      </c>
      <c r="X172" s="97" t="e">
        <f>VLOOKUP(T_Convention[[#This Row],[NumL]],T_TraitDi[#Data],COLUMN(T_TraitDi[Reg Ponct]),FALSE)</f>
        <v>#N/A</v>
      </c>
      <c r="Y172" s="97" t="e">
        <f>VLOOKUP(T_Convention[NumL],T_TraitDi[#Data],COLUMN(T_TraitDi[Jours flottants]),FALSE)</f>
        <v>#N/A</v>
      </c>
      <c r="Z172" s="284" t="str">
        <f>IFERROR(VLOOKUP(T_Convention[[#This Row],[NumL]],T_TraitDi[#Data],COLUMN(T_TraitDi[Lundi]),FALSE),"")</f>
        <v/>
      </c>
      <c r="AA172" s="284" t="e">
        <f>IF(VLOOKUP(T_Convention[[#This Row],[NumL]],T_TraitDi[#Data],COLUMN(T_TraitDi[Colonne3]),FALSE)=0,"",TEXT(IFERROR(VLOOKUP(T_Convention[[#This Row],[NumL]],T_TraitDi[#Data],COLUMN(T_TraitDi[Colonne3]),FALSE),""),"[hh]:mm"))</f>
        <v>#N/A</v>
      </c>
      <c r="AB172" s="284" t="e">
        <f>IF(VLOOKUP(T_Convention[[#This Row],[NumL]],T_TraitDi[#Data],COLUMN(T_TraitDi[Colonne4]),FALSE)=0,"",TEXT(IFERROR(VLOOKUP(T_Convention[[#This Row],[NumL]],T_TraitDi[#Data],COLUMN(T_TraitDi[Colonne4]),FALSE),""),"[hh]:mm"))</f>
        <v>#N/A</v>
      </c>
      <c r="AC172" s="284" t="e">
        <f>IF(VLOOKUP(T_Convention[[#This Row],[NumL]],T_TraitDi[#Data],COLUMN(T_TraitDi[Colonne5]),FALSE)=0,"",TEXT(IFERROR(VLOOKUP(T_Convention[[#This Row],[NumL]],T_TraitDi[#Data],COLUMN(T_TraitDi[Colonne5]),FALSE),""),"[hh]:mm"))</f>
        <v>#N/A</v>
      </c>
      <c r="AD172" s="284" t="e">
        <f>IF(VLOOKUP(T_Convention[[#This Row],[NumL]],T_TraitDi[#Data],COLUMN(T_TraitDi[Colonne6]),FALSE)=0,"",TEXT(IFERROR(VLOOKUP(T_Convention[[#This Row],[NumL]],T_TraitDi[#Data],COLUMN(T_TraitDi[Colonne6]),FALSE),""),"[hh]:mm"))</f>
        <v>#N/A</v>
      </c>
      <c r="AE172" s="284" t="e">
        <f>IF(VLOOKUP(T_Convention[[#This Row],[NumL]],T_TraitDi[#Data],COLUMN(T_TraitDi[Colonne7]),FALSE)=0,"",TEXT(IFERROR(VLOOKUP(T_Convention[[#This Row],[NumL]],T_TraitDi[#Data],COLUMN(T_TraitDi[Colonne7]),FALSE),""),"[hh]:mm"))</f>
        <v>#N/A</v>
      </c>
      <c r="AF172" s="284" t="e">
        <f>IF(VLOOKUP(T_Convention[[#This Row],[NumL]],T_TraitDi[#Data],COLUMN(T_TraitDi[Colonne8]),FALSE)=0,"",TEXT(IFERROR(VLOOKUP(T_Convention[[#This Row],[NumL]],T_TraitDi[#Data],COLUMN(T_TraitDi[Colonne8]),FALSE),""),"[hh]:mm"))</f>
        <v>#N/A</v>
      </c>
      <c r="AG172" s="284" t="str">
        <f>IFERROR(VLOOKUP(T_Convention[[#This Row],[NumL]],T_TraitDi[#Data],COLUMN(T_TraitDi[Mardi]),FALSE),"")</f>
        <v/>
      </c>
      <c r="AH172" s="284" t="e">
        <f>IF(VLOOKUP(T_Convention[[#This Row],[NumL]],T_TraitDi[#Data],COLUMN(T_TraitDi[Colonne1]),FALSE)=0,"",TEXT(IFERROR(VLOOKUP(T_Convention[[#This Row],[NumL]],T_TraitDi[#Data],COLUMN(T_TraitDi[Colonne1]),FALSE),""),"[hh]:mm"))</f>
        <v>#N/A</v>
      </c>
      <c r="AI172" s="284" t="e">
        <f>IF(VLOOKUP(T_Convention[[#This Row],[NumL]],T_TraitDi[#Data],COLUMN(T_TraitDi[Colonne9]),FALSE)=0,"",TEXT(IFERROR(VLOOKUP(T_Convention[[#This Row],[NumL]],T_TraitDi[#Data],COLUMN(T_TraitDi[Colonne9]),FALSE),""),"[hh]:mm"))</f>
        <v>#N/A</v>
      </c>
      <c r="AJ172" s="284" t="str">
        <f>IFERROR(VLOOKUP(T_Convention[[#This Row],[NumL]],T_TraitDi[#Data],COLUMN(T_TraitDi[Colonne10]),FALSE),"")</f>
        <v/>
      </c>
      <c r="AK172" s="284" t="e">
        <f>IF(VLOOKUP(T_Convention[[#This Row],[NumL]],T_TraitDi[#Data],COLUMN(T_TraitDi[Colonne11]),FALSE)=0,"",TEXT(IFERROR(VLOOKUP(T_Convention[[#This Row],[NumL]],T_TraitDi[#Data],COLUMN(T_TraitDi[Colonne11]),FALSE),""),"[hh]:mm"))</f>
        <v>#N/A</v>
      </c>
      <c r="AL172" s="284" t="e">
        <f>IF(VLOOKUP(T_Convention[[#This Row],[NumL]],T_TraitDi[#Data],COLUMN(T_TraitDi[Colonne12]),FALSE)=0,"",TEXT(IFERROR(VLOOKUP(T_Convention[[#This Row],[NumL]],T_TraitDi[#Data],COLUMN(T_TraitDi[Colonne12]),FALSE),""),"[hh]:mm"))</f>
        <v>#N/A</v>
      </c>
      <c r="AM172" s="284" t="e">
        <f>IF(VLOOKUP(T_Convention[[#This Row],[NumL]],T_TraitDi[#Data],COLUMN(T_TraitDi[Colonne14]),FALSE)=0,"",TEXT(IFERROR(VLOOKUP(T_Convention[[#This Row],[NumL]],T_TraitDi[#Data],COLUMN(T_TraitDi[Colonne14]),FALSE),""),"[hh]:mm"))</f>
        <v>#N/A</v>
      </c>
      <c r="AN172" s="284" t="str">
        <f>IFERROR(VLOOKUP(T_Convention[[#This Row],[NumL]],T_TraitDi[#Data],COLUMN(T_TraitDi[Mercredi]),FALSE),"")</f>
        <v/>
      </c>
      <c r="AO172" s="284" t="e">
        <f>IF(VLOOKUP(T_Convention[[#This Row],[NumL]],T_TraitDi[#Data],COLUMN(T_TraitDi[Colonne15]),FALSE)=0,"",TEXT(IFERROR(VLOOKUP(T_Convention[[#This Row],[NumL]],T_TraitDi[#Data],COLUMN(T_TraitDi[Colonne15]),FALSE),""),"[hh]:mm"))</f>
        <v>#N/A</v>
      </c>
      <c r="AP172" s="284" t="e">
        <f>IF(VLOOKUP(T_Convention[[#This Row],[NumL]],T_TraitDi[#Data],COLUMN(T_TraitDi[Colonne16]),FALSE)=0,"",TEXT(IFERROR(VLOOKUP(T_Convention[[#This Row],[NumL]],T_TraitDi[#Data],COLUMN(T_TraitDi[Colonne16]),FALSE),""),"[hh]:mm"))</f>
        <v>#N/A</v>
      </c>
      <c r="AQ172" s="284" t="str">
        <f>IFERROR(VLOOKUP(T_Convention[[#This Row],[NumL]],T_TraitDi[#Data],COLUMN(T_TraitDi[Colonne17]),FALSE),"")</f>
        <v/>
      </c>
      <c r="AR172" s="284" t="e">
        <f>IF(VLOOKUP(T_Convention[[#This Row],[NumL]],T_TraitDi[#Data],COLUMN(T_TraitDi[Colonne18]),FALSE)=0,"",TEXT(IFERROR(VLOOKUP(T_Convention[[#This Row],[NumL]],T_TraitDi[#Data],COLUMN(T_TraitDi[Colonne18]),FALSE),""),"[hh]:mm"))</f>
        <v>#N/A</v>
      </c>
      <c r="AS172" s="284" t="e">
        <f>IF(VLOOKUP(T_Convention[[#This Row],[NumL]],T_TraitDi[#Data],COLUMN(T_TraitDi[Colonne19]),FALSE)=0,"",TEXT(IFERROR(VLOOKUP(T_Convention[[#This Row],[NumL]],T_TraitDi[#Data],COLUMN(T_TraitDi[Colonne19]),FALSE),""),"[hh]:mm"))</f>
        <v>#N/A</v>
      </c>
      <c r="AT172" s="284" t="e">
        <f>IF(VLOOKUP(T_Convention[[#This Row],[NumL]],T_TraitDi[#Data],COLUMN(T_TraitDi[Colonne20]),FALSE)=0,"",TEXT(IFERROR(VLOOKUP(T_Convention[[#This Row],[NumL]],T_TraitDi[#Data],COLUMN(T_TraitDi[Colonne20]),FALSE),""),"[hh]:mm"))</f>
        <v>#N/A</v>
      </c>
      <c r="AU172" s="284" t="str">
        <f>IFERROR(VLOOKUP(T_Convention[[#This Row],[NumL]],T_TraitDi[#Data],COLUMN(T_TraitDi[Jeudi]),FALSE),"")</f>
        <v/>
      </c>
      <c r="AV172" s="284" t="e">
        <f>IF(VLOOKUP(T_Convention[[#This Row],[NumL]],T_TraitDi[#Data],COLUMN(T_TraitDi[Colonne21]),FALSE)=0,"",TEXT(IFERROR(VLOOKUP(T_Convention[[#This Row],[NumL]],T_TraitDi[#Data],COLUMN(T_TraitDi[Colonne21]),FALSE),""),"[hh]:mm"))</f>
        <v>#N/A</v>
      </c>
      <c r="AW172" s="284" t="e">
        <f>IF(VLOOKUP(T_Convention[[#This Row],[NumL]],T_TraitDi[#Data],COLUMN(T_TraitDi[Colonne22]),FALSE)=0,"",TEXT(IFERROR(VLOOKUP(T_Convention[[#This Row],[NumL]],T_TraitDi[#Data],COLUMN(T_TraitDi[Colonne22]),FALSE),""),"[hh]:mm"))</f>
        <v>#N/A</v>
      </c>
      <c r="AX172" s="284" t="str">
        <f>IFERROR(VLOOKUP(T_Convention[[#This Row],[NumL]],T_TraitDi[#Data],COLUMN(T_TraitDi[Colonne23]),FALSE),"")</f>
        <v/>
      </c>
      <c r="AY172" s="284" t="e">
        <f>IF(VLOOKUP(T_Convention[[#This Row],[NumL]],T_TraitDi[#Data],COLUMN(T_TraitDi[Colonne24]),FALSE)=0,"",TEXT(IFERROR(VLOOKUP(T_Convention[[#This Row],[NumL]],T_TraitDi[#Data],COLUMN(T_TraitDi[Colonne24]),FALSE),""),"[hh]:mm"))</f>
        <v>#N/A</v>
      </c>
      <c r="AZ172" s="284" t="e">
        <f>IF(VLOOKUP(T_Convention[[#This Row],[NumL]],T_TraitDi[#Data],COLUMN(T_TraitDi[Colonne25]),FALSE)=0,"",TEXT(IFERROR(VLOOKUP(T_Convention[[#This Row],[NumL]],T_TraitDi[#Data],COLUMN(T_TraitDi[Colonne25]),FALSE),""),"[hh]:mm"))</f>
        <v>#N/A</v>
      </c>
      <c r="BA172" s="284" t="e">
        <f>IF(VLOOKUP(T_Convention[[#This Row],[NumL]],T_TraitDi[#Data],COLUMN(T_TraitDi[Colonne26]),FALSE)=0,"",TEXT(IFERROR(VLOOKUP(T_Convention[[#This Row],[NumL]],T_TraitDi[#Data],COLUMN(T_TraitDi[Colonne26]),FALSE),""),"[hh]:mm"))</f>
        <v>#N/A</v>
      </c>
      <c r="BB172" s="284" t="str">
        <f>IFERROR(VLOOKUP(T_Convention[[#This Row],[NumL]],T_TraitDi[#Data],COLUMN(T_TraitDi[Vendredi]),FALSE),"")</f>
        <v/>
      </c>
      <c r="BC172" s="284" t="e">
        <f>IF(VLOOKUP(T_Convention[[#This Row],[NumL]],T_TraitDi[#Data],COLUMN(T_TraitDi[Colonne27]),FALSE)=0,"",TEXT(IFERROR(VLOOKUP(T_Convention[[#This Row],[NumL]],T_TraitDi[#Data],COLUMN(T_TraitDi[Colonne27]),FALSE),""),"[hh]:mm"))</f>
        <v>#N/A</v>
      </c>
      <c r="BD172" s="284" t="e">
        <f>IF(VLOOKUP(T_Convention[[#This Row],[NumL]],T_TraitDi[#Data],COLUMN(T_TraitDi[Colonne28]),FALSE)=0,"",TEXT(IFERROR(VLOOKUP(T_Convention[[#This Row],[NumL]],T_TraitDi[#Data],COLUMN(T_TraitDi[Colonne28]),FALSE),""),"[hh]:mm"))</f>
        <v>#N/A</v>
      </c>
      <c r="BE172" s="284" t="str">
        <f>IFERROR(VLOOKUP(T_Convention[[#This Row],[NumL]],T_TraitDi[#Data],COLUMN(T_TraitDi[Colonne29]),FALSE),"")</f>
        <v/>
      </c>
      <c r="BF172" s="284" t="e">
        <f>IF(VLOOKUP(T_Convention[[#This Row],[NumL]],T_TraitDi[#Data],COLUMN(T_TraitDi[Colonne30]),FALSE)=0,"",TEXT(IFERROR(VLOOKUP(T_Convention[[#This Row],[NumL]],T_TraitDi[#Data],COLUMN(T_TraitDi[Colonne30]),FALSE),""),"[hh]:mm"))</f>
        <v>#N/A</v>
      </c>
      <c r="BG172" s="284" t="e">
        <f>IF(VLOOKUP(T_Convention[[#This Row],[NumL]],T_TraitDi[#Data],COLUMN(T_TraitDi[Colonne31]),FALSE)=0,"",TEXT(IFERROR(VLOOKUP(T_Convention[[#This Row],[NumL]],T_TraitDi[#Data],COLUMN(T_TraitDi[Colonne31]),FALSE),""),"[hh]:mm"))</f>
        <v>#N/A</v>
      </c>
      <c r="BH172" s="284" t="e">
        <f>IF(VLOOKUP(T_Convention[[#This Row],[NumL]],T_TraitDi[#Data],COLUMN(T_TraitDi[Colonne32]),FALSE)=0,"",TEXT(IFERROR(VLOOKUP(T_Convention[[#This Row],[NumL]],T_TraitDi[#Data],COLUMN(T_TraitDi[Colonne32]),FALSE),""),"[hh]:mm"))</f>
        <v>#N/A</v>
      </c>
      <c r="BI172" s="284" t="str">
        <f>IFERROR(VLOOKUP(T_Convention[[#This Row],[NumL]],T_TraitDi[#Data],COLUMN(T_TraitDi[NbJTW]),FALSE),"")</f>
        <v/>
      </c>
      <c r="BJ172" s="284" t="e">
        <f>IF(VLOOKUP(T_Convention[[#This Row],[NumL]],T_TraitDi[#Data],COLUMN(T_TraitDi[NbhTW]),FALSE)=0,"",TEXT(IFERROR(VLOOKUP(T_Convention[[#This Row],[NumL]],T_TraitDi[#Data],COLUMN(T_TraitDi[NbhTW]),FALSE),""),"[hh]:mm"))</f>
        <v>#N/A</v>
      </c>
      <c r="BK172" s="286" t="e">
        <f>IF(VLOOKUP(T_Convention[[#This Row],[NumL]],T_TraitDi[#Data],COLUMN(T_TraitDi[Nbhheb]),FALSE)=0,"",TEXT(IFERROR(VLOOKUP(T_Convention[[#This Row],[NumL]],T_TraitDi[#Data],COLUMN(T_TraitDi[Nbhheb]),FALSE),""),"[hh]:mm"))</f>
        <v>#N/A</v>
      </c>
      <c r="BL172" s="287" t="str">
        <f>IFERROR(VLOOKUP(VLOOKUP(T_Convention[[#This Row],[NumL]],T_TraitDi[#Data],COLUMN(T_TraitDi[Type1]),FALSE),TypeTW,2,FALSE),"")</f>
        <v/>
      </c>
      <c r="BM172" s="288" t="str">
        <f>IFERROR(VLOOKUP(T_Convention[[#This Row],[NumL]],T_TraitDi[#Data],COLUMN(T_TraitDi[Rue1]),FALSE),"")</f>
        <v/>
      </c>
      <c r="BN172" s="289" t="str">
        <f>IFERROR(VLOOKUP(T_Convention[[#This Row],[NumL]],T_TraitDi[#Data],COLUMN(T_TraitDi[CP1]),FALSE),"")</f>
        <v/>
      </c>
      <c r="BO172" s="282" t="str">
        <f>IFERROR(VLOOKUP(T_Convention[[#This Row],[NumL]],T_TraitDi[#Data],COLUMN(T_TraitDi[VILLE1]),FALSE),"")</f>
        <v/>
      </c>
      <c r="BP172" s="290" t="str">
        <f>IFERROR(VLOOKUP(VLOOKUP(T_Convention[[#This Row],[NumL]],T_TraitDi[#Data],COLUMN(T_TraitDi[Type2]),FALSE),TypeTW,2,FALSE),"")</f>
        <v/>
      </c>
      <c r="BQ172" s="182" t="str">
        <f>IFERROR(VLOOKUP(T_Convention[[#This Row],[NumL]],T_TraitDi[#Data],COLUMN(T_TraitDi[Rue2]),FALSE),"")</f>
        <v/>
      </c>
      <c r="BR172" s="173" t="str">
        <f>IFERROR(VLOOKUP(T_Convention[[#This Row],[NumL]],T_TraitDi[#Data],COLUMN(T_TraitDi[CP2]),FALSE),"")</f>
        <v/>
      </c>
      <c r="BS172" s="173" t="str">
        <f>IFERROR(VLOOKUP(T_Convention[[#This Row],[NumL]],T_TraitDi[#Data],COLUMN(T_TraitDi[VILLE2]),FALSE),"")</f>
        <v/>
      </c>
      <c r="BT172" s="182" t="str">
        <f>IF(VLOOKUP(T_Convention[[#This Row],[NumL]],T_Equipement[#Data],COLUMN(T_Equipement[PC]),FALSE)="","Aucun équipement spécifique directement lié au télétravail",VLOOKUP(T_Convention[[#This Row],[NumL]],T_Equipement[#Data],COLUMN(T_Equipement[PC]),FALSE))</f>
        <v xml:space="preserve">18-053	</v>
      </c>
      <c r="BU172" s="166" t="str">
        <f>IFERROR(IF(VLOOKUP(T_Convention[[#This Row],[NumL]],T_TraitDi[#Data],COLUMN(T_TraitDi[Plan]),FALSE)="OK","Un planning spécifique de télétravail est annexé à la présente convention.",""),"")</f>
        <v/>
      </c>
      <c r="BV172" s="185" t="s">
        <v>3457</v>
      </c>
      <c r="BW172" s="164" t="e">
        <f>IF(VLOOKUP(T_Convention[[#This Row],[NumL]],T_suiviDi[#Data],COLUMN(T_suiviDi[Entité]),FALSE)="","",VLOOKUP(T_Convention[[#This Row],[NumL]],T_suiviDi[#Data],COLUMN(T_suiviDi[Entité]),FALSE))</f>
        <v>#N/A</v>
      </c>
      <c r="BX172" s="164" t="str">
        <f>IF(VLOOKUP(T_Convention[[#This Row],[NumL]],T_Commission[#Data],COLUMN(T_Commission[envoi confirm TW]),FALSE)="","",VLOOKUP(T_Convention[[#This Row],[NumL]],T_Commission[#Data],COLUMN(T_Commission[envoi confirm TW]),FALSE))</f>
        <v>Oui</v>
      </c>
      <c r="BY17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2" s="264">
        <f>VLOOKUP(T_Convention[[#This Row],[NumL]],T_Commission[#Data],COLUMN(T_Commission[Commentaire]),FALSE)</f>
        <v>0</v>
      </c>
      <c r="CA172" s="254" t="str">
        <f>IF(VLOOKUP(T_Convention[[#This Row],[NumL]],T_Commission[#Data],COLUMN(T_Commission[Encadrant Email]),FALSE)="","",VLOOKUP(T_Convention[[#This Row],[NumL]],T_Commission[#Data],COLUMN(T_Commission[Encadrant Email]),FALSE))</f>
        <v/>
      </c>
      <c r="CB172" s="352" t="e">
        <f>VLOOKUP(T_Convention[[#This Row],[NumL]],T_TraitDi[#Data],COLUMN(T_TraitDi[NbJTot]),FALSE)</f>
        <v>#N/A</v>
      </c>
      <c r="CC172" s="352" t="e">
        <f>VLOOKUP(T_Convention[[#This Row],[NumL]],T_TraitDi[#Data],COLUMN(T_TraitDi[Reg Ponct]),FALSE)</f>
        <v>#N/A</v>
      </c>
      <c r="CD172" s="348" t="str">
        <f>IF(T_Convention[[#This Row],[Final]]&lt;&gt;"",VLOOKUP(T_Convention[[#This Row],[NumL]],T_suiviDi[#Data],COLUMN((T_suiviDi[Statut])),FALSE),"")</f>
        <v/>
      </c>
    </row>
    <row r="173" spans="1:82" s="106" customFormat="1" ht="18.75" customHeight="1" x14ac:dyDescent="0.25">
      <c r="A173" s="160">
        <v>67</v>
      </c>
      <c r="B173" s="161" t="str">
        <f>VLOOKUP(T_Convention[[#This Row],[NumL]],T_Commission[#Data],COLUMN(T_Commission[FINAL]),FALSE)</f>
        <v/>
      </c>
      <c r="C173" s="162"/>
      <c r="D173" s="95" t="e">
        <f>IF(VLOOKUP(T_Convention[[#This Row],[NumL]],T_TraitDi[#Data],COLUMN(T_TraitDi[WebC]),FALSE)="","",VLOOKUP(T_Convention[[#This Row],[NumL]],T_TraitDi[#Data],COLUMN(T_TraitDi[WebC]),FALSE))</f>
        <v>#N/A</v>
      </c>
      <c r="E173" s="163" t="str">
        <f t="shared" si="10"/>
        <v>12 janvier 2021</v>
      </c>
      <c r="F173" s="282" t="str">
        <f>IF(T_Convention[[#This Row],[Final]]&lt;&gt;"",VLOOKUP(T_Convention[[#This Row],[NumL]],T_suiviDi[#Data],COLUMN((T_suiviDi[Civ.])),FALSE),"")</f>
        <v/>
      </c>
      <c r="G173" s="283" t="str">
        <f>IF(T_Convention[[#This Row],[Final]]&lt;&gt;"",VLOOKUP(T_Convention[[#This Row],[NumL]],T_suiviDi[#Data],COLUMN((T_suiviDi[Nom])),FALSE),"")</f>
        <v/>
      </c>
      <c r="H173" s="282" t="str">
        <f>IF(T_Convention[[#This Row],[Final]]&lt;&gt;"",VLOOKUP(T_Convention[[#This Row],[NumL]],T_suiviDi[#Data],COLUMN((T_suiviDi[Prénom])),FALSE),"")</f>
        <v/>
      </c>
      <c r="I173" s="282" t="e">
        <f>VLOOKUP(T_Convention[[#This Row],[NumL]],T_suiviDi[#Data],COLUMN((T_suiviDi[[#This Row],[Email]])),FALSE)</f>
        <v>#VALUE!</v>
      </c>
      <c r="J173" s="282" t="e">
        <f>IF(VLOOKUP(T_Convention[[#This Row],[NumL]],T_suiviDi[#Data],COLUMN(T_suiviDi[[#This Row],[Fonction]]),FALSE)="","",VLOOKUP(T_Convention[[#This Row],[NumL]],T_suiviDi[#Data],COLUMN(T_suiviDi[[#This Row],[Fonction]]),FALSE))</f>
        <v>#VALUE!</v>
      </c>
      <c r="K173" s="282" t="e">
        <f>IF(VLOOKUP(T_Convention[[#This Row],[NumL]],T_suiviDi[#Data],COLUMN(T_suiviDi[[#This Row],[Grade]]),FALSE)="","",VLOOKUP(T_Convention[[#This Row],[NumL]],T_suiviDi[#Data],COLUMN(T_suiviDi[[#This Row],[Grade]]),FALSE))</f>
        <v>#VALUE!</v>
      </c>
      <c r="L173" s="282" t="e">
        <f>IF(VLOOKUP(T_Convention[[#This Row],[NumL]],T_suiviDi[#Data],COLUMN(T_suiviDi[[#This Row],[Service ]]),FALSE)="","",VLOOKUP(T_Convention[[#This Row],[NumL]],T_suiviDi[#Data],COLUMN(T_suiviDi[[#This Row],[Service ]]),FALSE))</f>
        <v>#VALUE!</v>
      </c>
      <c r="M173" s="164" t="str">
        <f t="shared" si="11"/>
        <v>01 septembre 2021</v>
      </c>
      <c r="N173" s="164" t="str">
        <f t="shared" si="12"/>
        <v>30 novembre 2021</v>
      </c>
      <c r="O173" s="284" t="str">
        <f t="shared" si="13"/>
        <v>30 novembre 2021</v>
      </c>
      <c r="P173" s="282" t="e">
        <f>IF(VLOOKUP(T_Convention[[#This Row],[NumL]],T_TraitDi[#Data],COLUMN(T_TraitDi[M1]),FALSE)="","",VLOOKUP(T_Convention[[#This Row],[NumL]],T_TraitDi[#Data],COLUMN(T_TraitDi[M1]),FALSE))</f>
        <v>#N/A</v>
      </c>
      <c r="Q173" s="282" t="e">
        <f>IF(VLOOKUP(T_Convention[[#This Row],[NumL]],T_TraitDi[#Data],COLUMN(T_TraitDi[M2]),FALSE)="","",VLOOKUP(T_Convention[[#This Row],[NumL]],T_TraitDi[#Data],COLUMN(T_TraitDi[M2]),FALSE))</f>
        <v>#N/A</v>
      </c>
      <c r="R173" s="282" t="e">
        <f>IF(VLOOKUP(T_Convention[[#This Row],[NumL]],T_TraitDi[#Data],COLUMN(T_TraitDi[M3]),FALSE)="","",VLOOKUP(T_Convention[[#This Row],[NumL]],T_TraitDi[#Data],COLUMN(T_TraitDi[M3]),FALSE))</f>
        <v>#N/A</v>
      </c>
      <c r="S173" s="282" t="e">
        <f>IF(VLOOKUP(T_Convention[[#This Row],[NumL]],T_TraitDi[#Data],COLUMN(T_TraitDi[M4]),FALSE)="","",VLOOKUP(T_Convention[[#This Row],[NumL]],T_TraitDi[#Data],COLUMN(T_TraitDi[M4]),FALSE))</f>
        <v>#N/A</v>
      </c>
      <c r="T173" s="282" t="e">
        <f>IF(VLOOKUP(T_Convention[[#This Row],[NumL]],T_TraitDi[#Data],COLUMN(T_TraitDi[M5]),FALSE)="","",VLOOKUP(T_Convention[[#This Row],[NumL]],T_TraitDi[#Data],COLUMN(T_TraitDi[M5]),FALSE))</f>
        <v>#N/A</v>
      </c>
      <c r="U173" s="282" t="e">
        <f>IF(VLOOKUP(T_Convention[[#This Row],[NumL]],T_TraitDi[#Data],COLUMN(T_TraitDi[M6]),FALSE)="","",VLOOKUP(T_Convention[[#This Row],[NumL]],T_TraitDi[#Data],COLUMN(T_TraitDi[M6]),FALSE))</f>
        <v>#N/A</v>
      </c>
      <c r="V173" s="176" t="e">
        <f t="shared" si="14"/>
        <v>#N/A</v>
      </c>
      <c r="W173" s="284" t="str">
        <f>IFERROR(TEXT(VLOOKUP(T_Convention[[#This Row],[NumL]],T_TraitDi[#Data],COLUMN(T_TraitDi[Q2]),FALSE),"###%"),"")</f>
        <v/>
      </c>
      <c r="X173" s="97" t="e">
        <f>VLOOKUP(T_Convention[[#This Row],[NumL]],T_TraitDi[#Data],COLUMN(T_TraitDi[Reg Ponct]),FALSE)</f>
        <v>#N/A</v>
      </c>
      <c r="Y173" s="97" t="e">
        <f>VLOOKUP(T_Convention[NumL],T_TraitDi[#Data],COLUMN(T_TraitDi[Jours flottants]),FALSE)</f>
        <v>#N/A</v>
      </c>
      <c r="Z173" s="284" t="str">
        <f>IFERROR(VLOOKUP(T_Convention[[#This Row],[NumL]],T_TraitDi[#Data],COLUMN(T_TraitDi[Lundi]),FALSE),"")</f>
        <v/>
      </c>
      <c r="AA173" s="284" t="e">
        <f>IF(VLOOKUP(T_Convention[[#This Row],[NumL]],T_TraitDi[#Data],COLUMN(T_TraitDi[Colonne3]),FALSE)=0,"",TEXT(IFERROR(VLOOKUP(T_Convention[[#This Row],[NumL]],T_TraitDi[#Data],COLUMN(T_TraitDi[Colonne3]),FALSE),""),"[hh]:mm"))</f>
        <v>#N/A</v>
      </c>
      <c r="AB173" s="284" t="e">
        <f>IF(VLOOKUP(T_Convention[[#This Row],[NumL]],T_TraitDi[#Data],COLUMN(T_TraitDi[Colonne4]),FALSE)=0,"",TEXT(IFERROR(VLOOKUP(T_Convention[[#This Row],[NumL]],T_TraitDi[#Data],COLUMN(T_TraitDi[Colonne4]),FALSE),""),"[hh]:mm"))</f>
        <v>#N/A</v>
      </c>
      <c r="AC173" s="284" t="e">
        <f>IF(VLOOKUP(T_Convention[[#This Row],[NumL]],T_TraitDi[#Data],COLUMN(T_TraitDi[Colonne5]),FALSE)=0,"",TEXT(IFERROR(VLOOKUP(T_Convention[[#This Row],[NumL]],T_TraitDi[#Data],COLUMN(T_TraitDi[Colonne5]),FALSE),""),"[hh]:mm"))</f>
        <v>#N/A</v>
      </c>
      <c r="AD173" s="284" t="e">
        <f>IF(VLOOKUP(T_Convention[[#This Row],[NumL]],T_TraitDi[#Data],COLUMN(T_TraitDi[Colonne6]),FALSE)=0,"",TEXT(IFERROR(VLOOKUP(T_Convention[[#This Row],[NumL]],T_TraitDi[#Data],COLUMN(T_TraitDi[Colonne6]),FALSE),""),"[hh]:mm"))</f>
        <v>#N/A</v>
      </c>
      <c r="AE173" s="284" t="e">
        <f>IF(VLOOKUP(T_Convention[[#This Row],[NumL]],T_TraitDi[#Data],COLUMN(T_TraitDi[Colonne7]),FALSE)=0,"",TEXT(IFERROR(VLOOKUP(T_Convention[[#This Row],[NumL]],T_TraitDi[#Data],COLUMN(T_TraitDi[Colonne7]),FALSE),""),"[hh]:mm"))</f>
        <v>#N/A</v>
      </c>
      <c r="AF173" s="284" t="e">
        <f>IF(VLOOKUP(T_Convention[[#This Row],[NumL]],T_TraitDi[#Data],COLUMN(T_TraitDi[Colonne8]),FALSE)=0,"",TEXT(IFERROR(VLOOKUP(T_Convention[[#This Row],[NumL]],T_TraitDi[#Data],COLUMN(T_TraitDi[Colonne8]),FALSE),""),"[hh]:mm"))</f>
        <v>#N/A</v>
      </c>
      <c r="AG173" s="284" t="str">
        <f>IFERROR(VLOOKUP(T_Convention[[#This Row],[NumL]],T_TraitDi[#Data],COLUMN(T_TraitDi[Mardi]),FALSE),"")</f>
        <v/>
      </c>
      <c r="AH173" s="284" t="e">
        <f>IF(VLOOKUP(T_Convention[[#This Row],[NumL]],T_TraitDi[#Data],COLUMN(T_TraitDi[Colonne1]),FALSE)=0,"",TEXT(IFERROR(VLOOKUP(T_Convention[[#This Row],[NumL]],T_TraitDi[#Data],COLUMN(T_TraitDi[Colonne1]),FALSE),""),"[hh]:mm"))</f>
        <v>#N/A</v>
      </c>
      <c r="AI173" s="284" t="e">
        <f>IF(VLOOKUP(T_Convention[[#This Row],[NumL]],T_TraitDi[#Data],COLUMN(T_TraitDi[Colonne9]),FALSE)=0,"",TEXT(IFERROR(VLOOKUP(T_Convention[[#This Row],[NumL]],T_TraitDi[#Data],COLUMN(T_TraitDi[Colonne9]),FALSE),""),"[hh]:mm"))</f>
        <v>#N/A</v>
      </c>
      <c r="AJ173" s="284" t="str">
        <f>IFERROR(VLOOKUP(T_Convention[[#This Row],[NumL]],T_TraitDi[#Data],COLUMN(T_TraitDi[Colonne10]),FALSE),"")</f>
        <v/>
      </c>
      <c r="AK173" s="284" t="e">
        <f>IF(VLOOKUP(T_Convention[[#This Row],[NumL]],T_TraitDi[#Data],COLUMN(T_TraitDi[Colonne11]),FALSE)=0,"",TEXT(IFERROR(VLOOKUP(T_Convention[[#This Row],[NumL]],T_TraitDi[#Data],COLUMN(T_TraitDi[Colonne11]),FALSE),""),"[hh]:mm"))</f>
        <v>#N/A</v>
      </c>
      <c r="AL173" s="284" t="e">
        <f>IF(VLOOKUP(T_Convention[[#This Row],[NumL]],T_TraitDi[#Data],COLUMN(T_TraitDi[Colonne12]),FALSE)=0,"",TEXT(IFERROR(VLOOKUP(T_Convention[[#This Row],[NumL]],T_TraitDi[#Data],COLUMN(T_TraitDi[Colonne12]),FALSE),""),"[hh]:mm"))</f>
        <v>#N/A</v>
      </c>
      <c r="AM173" s="284" t="e">
        <f>IF(VLOOKUP(T_Convention[[#This Row],[NumL]],T_TraitDi[#Data],COLUMN(T_TraitDi[Colonne14]),FALSE)=0,"",TEXT(IFERROR(VLOOKUP(T_Convention[[#This Row],[NumL]],T_TraitDi[#Data],COLUMN(T_TraitDi[Colonne14]),FALSE),""),"[hh]:mm"))</f>
        <v>#N/A</v>
      </c>
      <c r="AN173" s="284" t="str">
        <f>IFERROR(VLOOKUP(T_Convention[[#This Row],[NumL]],T_TraitDi[#Data],COLUMN(T_TraitDi[Mercredi]),FALSE),"")</f>
        <v/>
      </c>
      <c r="AO173" s="284" t="e">
        <f>IF(VLOOKUP(T_Convention[[#This Row],[NumL]],T_TraitDi[#Data],COLUMN(T_TraitDi[Colonne15]),FALSE)=0,"",TEXT(IFERROR(VLOOKUP(T_Convention[[#This Row],[NumL]],T_TraitDi[#Data],COLUMN(T_TraitDi[Colonne15]),FALSE),""),"[hh]:mm"))</f>
        <v>#N/A</v>
      </c>
      <c r="AP173" s="284" t="e">
        <f>IF(VLOOKUP(T_Convention[[#This Row],[NumL]],T_TraitDi[#Data],COLUMN(T_TraitDi[Colonne16]),FALSE)=0,"",TEXT(IFERROR(VLOOKUP(T_Convention[[#This Row],[NumL]],T_TraitDi[#Data],COLUMN(T_TraitDi[Colonne16]),FALSE),""),"[hh]:mm"))</f>
        <v>#N/A</v>
      </c>
      <c r="AQ173" s="284" t="str">
        <f>IFERROR(VLOOKUP(T_Convention[[#This Row],[NumL]],T_TraitDi[#Data],COLUMN(T_TraitDi[Colonne17]),FALSE),"")</f>
        <v/>
      </c>
      <c r="AR173" s="284" t="e">
        <f>IF(VLOOKUP(T_Convention[[#This Row],[NumL]],T_TraitDi[#Data],COLUMN(T_TraitDi[Colonne18]),FALSE)=0,"",TEXT(IFERROR(VLOOKUP(T_Convention[[#This Row],[NumL]],T_TraitDi[#Data],COLUMN(T_TraitDi[Colonne18]),FALSE),""),"[hh]:mm"))</f>
        <v>#N/A</v>
      </c>
      <c r="AS173" s="284" t="e">
        <f>IF(VLOOKUP(T_Convention[[#This Row],[NumL]],T_TraitDi[#Data],COLUMN(T_TraitDi[Colonne19]),FALSE)=0,"",TEXT(IFERROR(VLOOKUP(T_Convention[[#This Row],[NumL]],T_TraitDi[#Data],COLUMN(T_TraitDi[Colonne19]),FALSE),""),"[hh]:mm"))</f>
        <v>#N/A</v>
      </c>
      <c r="AT173" s="284" t="e">
        <f>IF(VLOOKUP(T_Convention[[#This Row],[NumL]],T_TraitDi[#Data],COLUMN(T_TraitDi[Colonne20]),FALSE)=0,"",TEXT(IFERROR(VLOOKUP(T_Convention[[#This Row],[NumL]],T_TraitDi[#Data],COLUMN(T_TraitDi[Colonne20]),FALSE),""),"[hh]:mm"))</f>
        <v>#N/A</v>
      </c>
      <c r="AU173" s="284" t="str">
        <f>IFERROR(VLOOKUP(T_Convention[[#This Row],[NumL]],T_TraitDi[#Data],COLUMN(T_TraitDi[Jeudi]),FALSE),"")</f>
        <v/>
      </c>
      <c r="AV173" s="284" t="e">
        <f>IF(VLOOKUP(T_Convention[[#This Row],[NumL]],T_TraitDi[#Data],COLUMN(T_TraitDi[Colonne21]),FALSE)=0,"",TEXT(IFERROR(VLOOKUP(T_Convention[[#This Row],[NumL]],T_TraitDi[#Data],COLUMN(T_TraitDi[Colonne21]),FALSE),""),"[hh]:mm"))</f>
        <v>#N/A</v>
      </c>
      <c r="AW173" s="284" t="e">
        <f>IF(VLOOKUP(T_Convention[[#This Row],[NumL]],T_TraitDi[#Data],COLUMN(T_TraitDi[Colonne22]),FALSE)=0,"",TEXT(IFERROR(VLOOKUP(T_Convention[[#This Row],[NumL]],T_TraitDi[#Data],COLUMN(T_TraitDi[Colonne22]),FALSE),""),"[hh]:mm"))</f>
        <v>#N/A</v>
      </c>
      <c r="AX173" s="284" t="str">
        <f>IFERROR(VLOOKUP(T_Convention[[#This Row],[NumL]],T_TraitDi[#Data],COLUMN(T_TraitDi[Colonne23]),FALSE),"")</f>
        <v/>
      </c>
      <c r="AY173" s="284" t="e">
        <f>IF(VLOOKUP(T_Convention[[#This Row],[NumL]],T_TraitDi[#Data],COLUMN(T_TraitDi[Colonne24]),FALSE)=0,"",TEXT(IFERROR(VLOOKUP(T_Convention[[#This Row],[NumL]],T_TraitDi[#Data],COLUMN(T_TraitDi[Colonne24]),FALSE),""),"[hh]:mm"))</f>
        <v>#N/A</v>
      </c>
      <c r="AZ173" s="284" t="e">
        <f>IF(VLOOKUP(T_Convention[[#This Row],[NumL]],T_TraitDi[#Data],COLUMN(T_TraitDi[Colonne25]),FALSE)=0,"",TEXT(IFERROR(VLOOKUP(T_Convention[[#This Row],[NumL]],T_TraitDi[#Data],COLUMN(T_TraitDi[Colonne25]),FALSE),""),"[hh]:mm"))</f>
        <v>#N/A</v>
      </c>
      <c r="BA173" s="284" t="e">
        <f>IF(VLOOKUP(T_Convention[[#This Row],[NumL]],T_TraitDi[#Data],COLUMN(T_TraitDi[Colonne26]),FALSE)=0,"",TEXT(IFERROR(VLOOKUP(T_Convention[[#This Row],[NumL]],T_TraitDi[#Data],COLUMN(T_TraitDi[Colonne26]),FALSE),""),"[hh]:mm"))</f>
        <v>#N/A</v>
      </c>
      <c r="BB173" s="284" t="str">
        <f>IFERROR(VLOOKUP(T_Convention[[#This Row],[NumL]],T_TraitDi[#Data],COLUMN(T_TraitDi[Vendredi]),FALSE),"")</f>
        <v/>
      </c>
      <c r="BC173" s="284" t="e">
        <f>IF(VLOOKUP(T_Convention[[#This Row],[NumL]],T_TraitDi[#Data],COLUMN(T_TraitDi[Colonne27]),FALSE)=0,"",TEXT(IFERROR(VLOOKUP(T_Convention[[#This Row],[NumL]],T_TraitDi[#Data],COLUMN(T_TraitDi[Colonne27]),FALSE),""),"[hh]:mm"))</f>
        <v>#N/A</v>
      </c>
      <c r="BD173" s="284" t="e">
        <f>IF(VLOOKUP(T_Convention[[#This Row],[NumL]],T_TraitDi[#Data],COLUMN(T_TraitDi[Colonne28]),FALSE)=0,"",TEXT(IFERROR(VLOOKUP(T_Convention[[#This Row],[NumL]],T_TraitDi[#Data],COLUMN(T_TraitDi[Colonne28]),FALSE),""),"[hh]:mm"))</f>
        <v>#N/A</v>
      </c>
      <c r="BE173" s="284" t="str">
        <f>IFERROR(VLOOKUP(T_Convention[[#This Row],[NumL]],T_TraitDi[#Data],COLUMN(T_TraitDi[Colonne29]),FALSE),"")</f>
        <v/>
      </c>
      <c r="BF173" s="284" t="e">
        <f>IF(VLOOKUP(T_Convention[[#This Row],[NumL]],T_TraitDi[#Data],COLUMN(T_TraitDi[Colonne30]),FALSE)=0,"",TEXT(IFERROR(VLOOKUP(T_Convention[[#This Row],[NumL]],T_TraitDi[#Data],COLUMN(T_TraitDi[Colonne30]),FALSE),""),"[hh]:mm"))</f>
        <v>#N/A</v>
      </c>
      <c r="BG173" s="284" t="e">
        <f>IF(VLOOKUP(T_Convention[[#This Row],[NumL]],T_TraitDi[#Data],COLUMN(T_TraitDi[Colonne31]),FALSE)=0,"",TEXT(IFERROR(VLOOKUP(T_Convention[[#This Row],[NumL]],T_TraitDi[#Data],COLUMN(T_TraitDi[Colonne31]),FALSE),""),"[hh]:mm"))</f>
        <v>#N/A</v>
      </c>
      <c r="BH173" s="284" t="e">
        <f>IF(VLOOKUP(T_Convention[[#This Row],[NumL]],T_TraitDi[#Data],COLUMN(T_TraitDi[Colonne32]),FALSE)=0,"",TEXT(IFERROR(VLOOKUP(T_Convention[[#This Row],[NumL]],T_TraitDi[#Data],COLUMN(T_TraitDi[Colonne32]),FALSE),""),"[hh]:mm"))</f>
        <v>#N/A</v>
      </c>
      <c r="BI173" s="284" t="str">
        <f>IFERROR(VLOOKUP(T_Convention[[#This Row],[NumL]],T_TraitDi[#Data],COLUMN(T_TraitDi[NbJTW]),FALSE),"")</f>
        <v/>
      </c>
      <c r="BJ173" s="284" t="e">
        <f>IF(VLOOKUP(T_Convention[[#This Row],[NumL]],T_TraitDi[#Data],COLUMN(T_TraitDi[NbhTW]),FALSE)=0,"",TEXT(IFERROR(VLOOKUP(T_Convention[[#This Row],[NumL]],T_TraitDi[#Data],COLUMN(T_TraitDi[NbhTW]),FALSE),""),"[hh]:mm"))</f>
        <v>#N/A</v>
      </c>
      <c r="BK173" s="286" t="e">
        <f>IF(VLOOKUP(T_Convention[[#This Row],[NumL]],T_TraitDi[#Data],COLUMN(T_TraitDi[Nbhheb]),FALSE)=0,"",TEXT(IFERROR(VLOOKUP(T_Convention[[#This Row],[NumL]],T_TraitDi[#Data],COLUMN(T_TraitDi[Nbhheb]),FALSE),""),"[hh]:mm"))</f>
        <v>#N/A</v>
      </c>
      <c r="BL173" s="287" t="str">
        <f>IFERROR(VLOOKUP(VLOOKUP(T_Convention[[#This Row],[NumL]],T_TraitDi[#Data],COLUMN(T_TraitDi[Type1]),FALSE),TypeTW,2,FALSE),"")</f>
        <v/>
      </c>
      <c r="BM173" s="288" t="str">
        <f>IFERROR(VLOOKUP(T_Convention[[#This Row],[NumL]],T_TraitDi[#Data],COLUMN(T_TraitDi[Rue1]),FALSE),"")</f>
        <v/>
      </c>
      <c r="BN173" s="289" t="str">
        <f>IFERROR(VLOOKUP(T_Convention[[#This Row],[NumL]],T_TraitDi[#Data],COLUMN(T_TraitDi[CP1]),FALSE),"")</f>
        <v/>
      </c>
      <c r="BO173" s="282" t="str">
        <f>IFERROR(VLOOKUP(T_Convention[[#This Row],[NumL]],T_TraitDi[#Data],COLUMN(T_TraitDi[VILLE1]),FALSE),"")</f>
        <v/>
      </c>
      <c r="BP173" s="290" t="str">
        <f>IFERROR(VLOOKUP(VLOOKUP(T_Convention[[#This Row],[NumL]],T_TraitDi[#Data],COLUMN(T_TraitDi[Type2]),FALSE),TypeTW,2,FALSE),"")</f>
        <v/>
      </c>
      <c r="BQ173" s="182" t="str">
        <f>IFERROR(VLOOKUP(T_Convention[[#This Row],[NumL]],T_TraitDi[#Data],COLUMN(T_TraitDi[Rue2]),FALSE),"")</f>
        <v/>
      </c>
      <c r="BR173" s="173" t="str">
        <f>IFERROR(VLOOKUP(T_Convention[[#This Row],[NumL]],T_TraitDi[#Data],COLUMN(T_TraitDi[CP2]),FALSE),"")</f>
        <v/>
      </c>
      <c r="BS173" s="173" t="str">
        <f>IFERROR(VLOOKUP(T_Convention[[#This Row],[NumL]],T_TraitDi[#Data],COLUMN(T_TraitDi[VILLE2]),FALSE),"")</f>
        <v/>
      </c>
      <c r="BT173" s="182" t="str">
        <f>IF(VLOOKUP(T_Convention[[#This Row],[NumL]],T_Equipement[#Data],COLUMN(T_Equipement[PC]),FALSE)="","Aucun équipement spécifique directement lié au télétravail",VLOOKUP(T_Convention[[#This Row],[NumL]],T_Equipement[#Data],COLUMN(T_Equipement[PC]),FALSE))</f>
        <v xml:space="preserve">20-403	</v>
      </c>
      <c r="BU173" s="166" t="str">
        <f>IFERROR(IF(VLOOKUP(T_Convention[[#This Row],[NumL]],T_TraitDi[#Data],COLUMN(T_TraitDi[Plan]),FALSE)="OK","Un planning spécifique de télétravail est annexé à la présente convention.",""),"")</f>
        <v/>
      </c>
      <c r="BV173" s="185" t="s">
        <v>3370</v>
      </c>
      <c r="BW173" s="164" t="e">
        <f>IF(VLOOKUP(T_Convention[[#This Row],[NumL]],T_suiviDi[#Data],COLUMN(T_suiviDi[Entité]),FALSE)="","",VLOOKUP(T_Convention[[#This Row],[NumL]],T_suiviDi[#Data],COLUMN(T_suiviDi[Entité]),FALSE))</f>
        <v>#N/A</v>
      </c>
      <c r="BX173" s="164" t="str">
        <f>IF(VLOOKUP(T_Convention[[#This Row],[NumL]],T_Commission[#Data],COLUMN(T_Commission[envoi confirm TW]),FALSE)="","",VLOOKUP(T_Convention[[#This Row],[NumL]],T_Commission[#Data],COLUMN(T_Commission[envoi confirm TW]),FALSE))</f>
        <v>Non</v>
      </c>
      <c r="BY17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3" s="264" t="str">
        <f>VLOOKUP(T_Convention[[#This Row],[NumL]],T_Commission[#Data],COLUMN(T_Commission[Commentaire]),FALSE)</f>
        <v>La demande de télétravail est accordée sous réserve de la fourniture des pièces demandées au déménagement de l'agent.</v>
      </c>
      <c r="CA173" s="254" t="str">
        <f>IF(VLOOKUP(T_Convention[[#This Row],[NumL]],T_Commission[#Data],COLUMN(T_Commission[Encadrant Email]),FALSE)="","",VLOOKUP(T_Convention[[#This Row],[NumL]],T_Commission[#Data],COLUMN(T_Commission[Encadrant Email]),FALSE))</f>
        <v/>
      </c>
      <c r="CB173" s="352" t="e">
        <f>VLOOKUP(T_Convention[[#This Row],[NumL]],T_TraitDi[#Data],COLUMN(T_TraitDi[NbJTot]),FALSE)</f>
        <v>#N/A</v>
      </c>
      <c r="CC173" s="352" t="e">
        <f>VLOOKUP(T_Convention[[#This Row],[NumL]],T_TraitDi[#Data],COLUMN(T_TraitDi[Reg Ponct]),FALSE)</f>
        <v>#N/A</v>
      </c>
      <c r="CD173" s="348" t="str">
        <f>IF(T_Convention[[#This Row],[Final]]&lt;&gt;"",VLOOKUP(T_Convention[[#This Row],[NumL]],T_suiviDi[#Data],COLUMN((T_suiviDi[Statut])),FALSE),"")</f>
        <v/>
      </c>
    </row>
    <row r="174" spans="1:82" s="106" customFormat="1" ht="18.75" customHeight="1" x14ac:dyDescent="0.25">
      <c r="A174" s="160">
        <v>339</v>
      </c>
      <c r="B174" s="281" t="str">
        <f>VLOOKUP(T_Convention[[#This Row],[NumL]],T_Commission[#Data],COLUMN(T_Commission[FINAL]),FALSE)</f>
        <v/>
      </c>
      <c r="C174" s="162"/>
      <c r="D174" s="95" t="e">
        <f>IF(VLOOKUP(T_Convention[[#This Row],[NumL]],T_TraitDi[#Data],COLUMN(T_TraitDi[WebC]),FALSE)="","",VLOOKUP(T_Convention[[#This Row],[NumL]],T_TraitDi[#Data],COLUMN(T_TraitDi[WebC]),FALSE))</f>
        <v>#N/A</v>
      </c>
      <c r="E174" s="163" t="str">
        <f t="shared" si="10"/>
        <v>12 janvier 2021</v>
      </c>
      <c r="F174" s="282" t="str">
        <f>IF(T_Convention[[#This Row],[Final]]&lt;&gt;"",VLOOKUP(T_Convention[[#This Row],[NumL]],T_suiviDi[#Data],COLUMN((T_suiviDi[Civ.])),FALSE),"")</f>
        <v/>
      </c>
      <c r="G174" s="283" t="str">
        <f>IF(T_Convention[[#This Row],[Final]]&lt;&gt;"",VLOOKUP(T_Convention[[#This Row],[NumL]],T_suiviDi[#Data],COLUMN((T_suiviDi[Nom])),FALSE),"")</f>
        <v/>
      </c>
      <c r="H174" s="282" t="str">
        <f>IF(T_Convention[[#This Row],[Final]]&lt;&gt;"",VLOOKUP(T_Convention[[#This Row],[NumL]],T_suiviDi[#Data],COLUMN((T_suiviDi[Prénom])),FALSE),"")</f>
        <v/>
      </c>
      <c r="I174" s="282" t="e">
        <f>VLOOKUP(T_Convention[[#This Row],[NumL]],T_suiviDi[#Data],COLUMN((T_suiviDi[[#This Row],[Email]])),FALSE)</f>
        <v>#VALUE!</v>
      </c>
      <c r="J174" s="282" t="e">
        <f>IF(VLOOKUP(T_Convention[[#This Row],[NumL]],T_suiviDi[#Data],COLUMN(T_suiviDi[[#This Row],[Fonction]]),FALSE)="","",VLOOKUP(T_Convention[[#This Row],[NumL]],T_suiviDi[#Data],COLUMN(T_suiviDi[[#This Row],[Fonction]]),FALSE))</f>
        <v>#VALUE!</v>
      </c>
      <c r="K174" s="282" t="e">
        <f>IF(VLOOKUP(T_Convention[[#This Row],[NumL]],T_suiviDi[#Data],COLUMN(T_suiviDi[[#This Row],[Grade]]),FALSE)="","",VLOOKUP(T_Convention[[#This Row],[NumL]],T_suiviDi[#Data],COLUMN(T_suiviDi[[#This Row],[Grade]]),FALSE))</f>
        <v>#VALUE!</v>
      </c>
      <c r="L174" s="282" t="e">
        <f>IF(VLOOKUP(T_Convention[[#This Row],[NumL]],T_suiviDi[#Data],COLUMN(T_suiviDi[[#This Row],[Service ]]),FALSE)="","",VLOOKUP(T_Convention[[#This Row],[NumL]],T_suiviDi[#Data],COLUMN(T_suiviDi[[#This Row],[Service ]]),FALSE))</f>
        <v>#VALUE!</v>
      </c>
      <c r="M174" s="314" t="str">
        <f t="shared" si="11"/>
        <v>01 septembre 2021</v>
      </c>
      <c r="N174" s="314" t="str">
        <f t="shared" si="12"/>
        <v>30 novembre 2021</v>
      </c>
      <c r="O174" s="284" t="str">
        <f t="shared" si="13"/>
        <v>30 novembre 2021</v>
      </c>
      <c r="P174" s="282" t="e">
        <f>IF(VLOOKUP(T_Convention[[#This Row],[NumL]],T_TraitDi[#Data],COLUMN(T_TraitDi[M1]),FALSE)="","",VLOOKUP(T_Convention[[#This Row],[NumL]],T_TraitDi[#Data],COLUMN(T_TraitDi[M1]),FALSE))</f>
        <v>#N/A</v>
      </c>
      <c r="Q174" s="282" t="e">
        <f>IF(VLOOKUP(T_Convention[[#This Row],[NumL]],T_TraitDi[#Data],COLUMN(T_TraitDi[M2]),FALSE)="","",VLOOKUP(T_Convention[[#This Row],[NumL]],T_TraitDi[#Data],COLUMN(T_TraitDi[M2]),FALSE))</f>
        <v>#N/A</v>
      </c>
      <c r="R174" s="282" t="e">
        <f>IF(VLOOKUP(T_Convention[[#This Row],[NumL]],T_TraitDi[#Data],COLUMN(T_TraitDi[M3]),FALSE)="","",VLOOKUP(T_Convention[[#This Row],[NumL]],T_TraitDi[#Data],COLUMN(T_TraitDi[M3]),FALSE))</f>
        <v>#N/A</v>
      </c>
      <c r="S174" s="282" t="e">
        <f>IF(VLOOKUP(T_Convention[[#This Row],[NumL]],T_TraitDi[#Data],COLUMN(T_TraitDi[M4]),FALSE)="","",VLOOKUP(T_Convention[[#This Row],[NumL]],T_TraitDi[#Data],COLUMN(T_TraitDi[M4]),FALSE))</f>
        <v>#N/A</v>
      </c>
      <c r="T174" s="282" t="e">
        <f>IF(VLOOKUP(T_Convention[[#This Row],[NumL]],T_TraitDi[#Data],COLUMN(T_TraitDi[M5]),FALSE)="","",VLOOKUP(T_Convention[[#This Row],[NumL]],T_TraitDi[#Data],COLUMN(T_TraitDi[M5]),FALSE))</f>
        <v>#N/A</v>
      </c>
      <c r="U174" s="282" t="e">
        <f>IF(VLOOKUP(T_Convention[[#This Row],[NumL]],T_TraitDi[#Data],COLUMN(T_TraitDi[M6]),FALSE)="","",VLOOKUP(T_Convention[[#This Row],[NumL]],T_TraitDi[#Data],COLUMN(T_TraitDi[M6]),FALSE))</f>
        <v>#N/A</v>
      </c>
      <c r="V174" s="314" t="e">
        <f t="shared" si="14"/>
        <v>#N/A</v>
      </c>
      <c r="W174" s="284" t="str">
        <f>IFERROR(TEXT(VLOOKUP(T_Convention[[#This Row],[NumL]],T_TraitDi[#Data],COLUMN(T_TraitDi[Q2]),FALSE),"###%"),"")</f>
        <v/>
      </c>
      <c r="X174" s="285" t="e">
        <f>VLOOKUP(T_Convention[[#This Row],[NumL]],T_TraitDi[#Data],COLUMN(T_TraitDi[Reg Ponct]),FALSE)</f>
        <v>#N/A</v>
      </c>
      <c r="Y174" s="285" t="e">
        <f>VLOOKUP(T_Convention[NumL],T_TraitDi[#Data],COLUMN(T_TraitDi[Jours flottants]),FALSE)</f>
        <v>#N/A</v>
      </c>
      <c r="Z174" s="284" t="str">
        <f>IFERROR(VLOOKUP(T_Convention[[#This Row],[NumL]],T_TraitDi[#Data],COLUMN(T_TraitDi[Lundi]),FALSE),"")</f>
        <v/>
      </c>
      <c r="AA174" s="284" t="e">
        <f>IF(VLOOKUP(T_Convention[[#This Row],[NumL]],T_TraitDi[#Data],COLUMN(T_TraitDi[Colonne3]),FALSE)=0,"",TEXT(IFERROR(VLOOKUP(T_Convention[[#This Row],[NumL]],T_TraitDi[#Data],COLUMN(T_TraitDi[Colonne3]),FALSE),""),"[hh]:mm"))</f>
        <v>#N/A</v>
      </c>
      <c r="AB174" s="284" t="e">
        <f>IF(VLOOKUP(T_Convention[[#This Row],[NumL]],T_TraitDi[#Data],COLUMN(T_TraitDi[Colonne4]),FALSE)=0,"",TEXT(IFERROR(VLOOKUP(T_Convention[[#This Row],[NumL]],T_TraitDi[#Data],COLUMN(T_TraitDi[Colonne4]),FALSE),""),"[hh]:mm"))</f>
        <v>#N/A</v>
      </c>
      <c r="AC174" s="284" t="e">
        <f>IF(VLOOKUP(T_Convention[[#This Row],[NumL]],T_TraitDi[#Data],COLUMN(T_TraitDi[Colonne5]),FALSE)=0,"",TEXT(IFERROR(VLOOKUP(T_Convention[[#This Row],[NumL]],T_TraitDi[#Data],COLUMN(T_TraitDi[Colonne5]),FALSE),""),"[hh]:mm"))</f>
        <v>#N/A</v>
      </c>
      <c r="AD174" s="284" t="e">
        <f>IF(VLOOKUP(T_Convention[[#This Row],[NumL]],T_TraitDi[#Data],COLUMN(T_TraitDi[Colonne6]),FALSE)=0,"",TEXT(IFERROR(VLOOKUP(T_Convention[[#This Row],[NumL]],T_TraitDi[#Data],COLUMN(T_TraitDi[Colonne6]),FALSE),""),"[hh]:mm"))</f>
        <v>#N/A</v>
      </c>
      <c r="AE174" s="284" t="e">
        <f>IF(VLOOKUP(T_Convention[[#This Row],[NumL]],T_TraitDi[#Data],COLUMN(T_TraitDi[Colonne7]),FALSE)=0,"",TEXT(IFERROR(VLOOKUP(T_Convention[[#This Row],[NumL]],T_TraitDi[#Data],COLUMN(T_TraitDi[Colonne7]),FALSE),""),"[hh]:mm"))</f>
        <v>#N/A</v>
      </c>
      <c r="AF174" s="284" t="e">
        <f>IF(VLOOKUP(T_Convention[[#This Row],[NumL]],T_TraitDi[#Data],COLUMN(T_TraitDi[Colonne8]),FALSE)=0,"",TEXT(IFERROR(VLOOKUP(T_Convention[[#This Row],[NumL]],T_TraitDi[#Data],COLUMN(T_TraitDi[Colonne8]),FALSE),""),"[hh]:mm"))</f>
        <v>#N/A</v>
      </c>
      <c r="AG174" s="284" t="str">
        <f>IFERROR(VLOOKUP(T_Convention[[#This Row],[NumL]],T_TraitDi[#Data],COLUMN(T_TraitDi[Mardi]),FALSE),"")</f>
        <v/>
      </c>
      <c r="AH174" s="284" t="e">
        <f>IF(VLOOKUP(T_Convention[[#This Row],[NumL]],T_TraitDi[#Data],COLUMN(T_TraitDi[Colonne1]),FALSE)=0,"",TEXT(IFERROR(VLOOKUP(T_Convention[[#This Row],[NumL]],T_TraitDi[#Data],COLUMN(T_TraitDi[Colonne1]),FALSE),""),"[hh]:mm"))</f>
        <v>#N/A</v>
      </c>
      <c r="AI174" s="284" t="e">
        <f>IF(VLOOKUP(T_Convention[[#This Row],[NumL]],T_TraitDi[#Data],COLUMN(T_TraitDi[Colonne9]),FALSE)=0,"",TEXT(IFERROR(VLOOKUP(T_Convention[[#This Row],[NumL]],T_TraitDi[#Data],COLUMN(T_TraitDi[Colonne9]),FALSE),""),"[hh]:mm"))</f>
        <v>#N/A</v>
      </c>
      <c r="AJ174" s="284" t="str">
        <f>IFERROR(VLOOKUP(T_Convention[[#This Row],[NumL]],T_TraitDi[#Data],COLUMN(T_TraitDi[Colonne10]),FALSE),"")</f>
        <v/>
      </c>
      <c r="AK174" s="284" t="e">
        <f>IF(VLOOKUP(T_Convention[[#This Row],[NumL]],T_TraitDi[#Data],COLUMN(T_TraitDi[Colonne11]),FALSE)=0,"",TEXT(IFERROR(VLOOKUP(T_Convention[[#This Row],[NumL]],T_TraitDi[#Data],COLUMN(T_TraitDi[Colonne11]),FALSE),""),"[hh]:mm"))</f>
        <v>#N/A</v>
      </c>
      <c r="AL174" s="284" t="e">
        <f>IF(VLOOKUP(T_Convention[[#This Row],[NumL]],T_TraitDi[#Data],COLUMN(T_TraitDi[Colonne12]),FALSE)=0,"",TEXT(IFERROR(VLOOKUP(T_Convention[[#This Row],[NumL]],T_TraitDi[#Data],COLUMN(T_TraitDi[Colonne12]),FALSE),""),"[hh]:mm"))</f>
        <v>#N/A</v>
      </c>
      <c r="AM174" s="284" t="e">
        <f>IF(VLOOKUP(T_Convention[[#This Row],[NumL]],T_TraitDi[#Data],COLUMN(T_TraitDi[Colonne14]),FALSE)=0,"",TEXT(IFERROR(VLOOKUP(T_Convention[[#This Row],[NumL]],T_TraitDi[#Data],COLUMN(T_TraitDi[Colonne14]),FALSE),""),"[hh]:mm"))</f>
        <v>#N/A</v>
      </c>
      <c r="AN174" s="284" t="str">
        <f>IFERROR(VLOOKUP(T_Convention[[#This Row],[NumL]],T_TraitDi[#Data],COLUMN(T_TraitDi[Mercredi]),FALSE),"")</f>
        <v/>
      </c>
      <c r="AO174" s="284" t="e">
        <f>IF(VLOOKUP(T_Convention[[#This Row],[NumL]],T_TraitDi[#Data],COLUMN(T_TraitDi[Colonne15]),FALSE)=0,"",TEXT(IFERROR(VLOOKUP(T_Convention[[#This Row],[NumL]],T_TraitDi[#Data],COLUMN(T_TraitDi[Colonne15]),FALSE),""),"[hh]:mm"))</f>
        <v>#N/A</v>
      </c>
      <c r="AP174" s="284" t="e">
        <f>IF(VLOOKUP(T_Convention[[#This Row],[NumL]],T_TraitDi[#Data],COLUMN(T_TraitDi[Colonne16]),FALSE)=0,"",TEXT(IFERROR(VLOOKUP(T_Convention[[#This Row],[NumL]],T_TraitDi[#Data],COLUMN(T_TraitDi[Colonne16]),FALSE),""),"[hh]:mm"))</f>
        <v>#N/A</v>
      </c>
      <c r="AQ174" s="284" t="str">
        <f>IFERROR(VLOOKUP(T_Convention[[#This Row],[NumL]],T_TraitDi[#Data],COLUMN(T_TraitDi[Colonne17]),FALSE),"")</f>
        <v/>
      </c>
      <c r="AR174" s="284" t="e">
        <f>IF(VLOOKUP(T_Convention[[#This Row],[NumL]],T_TraitDi[#Data],COLUMN(T_TraitDi[Colonne18]),FALSE)=0,"",TEXT(IFERROR(VLOOKUP(T_Convention[[#This Row],[NumL]],T_TraitDi[#Data],COLUMN(T_TraitDi[Colonne18]),FALSE),""),"[hh]:mm"))</f>
        <v>#N/A</v>
      </c>
      <c r="AS174" s="284" t="e">
        <f>IF(VLOOKUP(T_Convention[[#This Row],[NumL]],T_TraitDi[#Data],COLUMN(T_TraitDi[Colonne19]),FALSE)=0,"",TEXT(IFERROR(VLOOKUP(T_Convention[[#This Row],[NumL]],T_TraitDi[#Data],COLUMN(T_TraitDi[Colonne19]),FALSE),""),"[hh]:mm"))</f>
        <v>#N/A</v>
      </c>
      <c r="AT174" s="284" t="e">
        <f>IF(VLOOKUP(T_Convention[[#This Row],[NumL]],T_TraitDi[#Data],COLUMN(T_TraitDi[Colonne20]),FALSE)=0,"",TEXT(IFERROR(VLOOKUP(T_Convention[[#This Row],[NumL]],T_TraitDi[#Data],COLUMN(T_TraitDi[Colonne20]),FALSE),""),"[hh]:mm"))</f>
        <v>#N/A</v>
      </c>
      <c r="AU174" s="284" t="str">
        <f>IFERROR(VLOOKUP(T_Convention[[#This Row],[NumL]],T_TraitDi[#Data],COLUMN(T_TraitDi[Jeudi]),FALSE),"")</f>
        <v/>
      </c>
      <c r="AV174" s="284" t="e">
        <f>IF(VLOOKUP(T_Convention[[#This Row],[NumL]],T_TraitDi[#Data],COLUMN(T_TraitDi[Colonne21]),FALSE)=0,"",TEXT(IFERROR(VLOOKUP(T_Convention[[#This Row],[NumL]],T_TraitDi[#Data],COLUMN(T_TraitDi[Colonne21]),FALSE),""),"[hh]:mm"))</f>
        <v>#N/A</v>
      </c>
      <c r="AW174" s="284" t="e">
        <f>IF(VLOOKUP(T_Convention[[#This Row],[NumL]],T_TraitDi[#Data],COLUMN(T_TraitDi[Colonne22]),FALSE)=0,"",TEXT(IFERROR(VLOOKUP(T_Convention[[#This Row],[NumL]],T_TraitDi[#Data],COLUMN(T_TraitDi[Colonne22]),FALSE),""),"[hh]:mm"))</f>
        <v>#N/A</v>
      </c>
      <c r="AX174" s="284" t="str">
        <f>IFERROR(VLOOKUP(T_Convention[[#This Row],[NumL]],T_TraitDi[#Data],COLUMN(T_TraitDi[Colonne23]),FALSE),"")</f>
        <v/>
      </c>
      <c r="AY174" s="284" t="e">
        <f>IF(VLOOKUP(T_Convention[[#This Row],[NumL]],T_TraitDi[#Data],COLUMN(T_TraitDi[Colonne24]),FALSE)=0,"",TEXT(IFERROR(VLOOKUP(T_Convention[[#This Row],[NumL]],T_TraitDi[#Data],COLUMN(T_TraitDi[Colonne24]),FALSE),""),"[hh]:mm"))</f>
        <v>#N/A</v>
      </c>
      <c r="AZ174" s="284" t="e">
        <f>IF(VLOOKUP(T_Convention[[#This Row],[NumL]],T_TraitDi[#Data],COLUMN(T_TraitDi[Colonne25]),FALSE)=0,"",TEXT(IFERROR(VLOOKUP(T_Convention[[#This Row],[NumL]],T_TraitDi[#Data],COLUMN(T_TraitDi[Colonne25]),FALSE),""),"[hh]:mm"))</f>
        <v>#N/A</v>
      </c>
      <c r="BA174" s="284" t="e">
        <f>IF(VLOOKUP(T_Convention[[#This Row],[NumL]],T_TraitDi[#Data],COLUMN(T_TraitDi[Colonne26]),FALSE)=0,"",TEXT(IFERROR(VLOOKUP(T_Convention[[#This Row],[NumL]],T_TraitDi[#Data],COLUMN(T_TraitDi[Colonne26]),FALSE),""),"[hh]:mm"))</f>
        <v>#N/A</v>
      </c>
      <c r="BB174" s="284" t="str">
        <f>IFERROR(VLOOKUP(T_Convention[[#This Row],[NumL]],T_TraitDi[#Data],COLUMN(T_TraitDi[Vendredi]),FALSE),"")</f>
        <v/>
      </c>
      <c r="BC174" s="284" t="e">
        <f>IF(VLOOKUP(T_Convention[[#This Row],[NumL]],T_TraitDi[#Data],COLUMN(T_TraitDi[Colonne27]),FALSE)=0,"",TEXT(IFERROR(VLOOKUP(T_Convention[[#This Row],[NumL]],T_TraitDi[#Data],COLUMN(T_TraitDi[Colonne27]),FALSE),""),"[hh]:mm"))</f>
        <v>#N/A</v>
      </c>
      <c r="BD174" s="284" t="e">
        <f>IF(VLOOKUP(T_Convention[[#This Row],[NumL]],T_TraitDi[#Data],COLUMN(T_TraitDi[Colonne28]),FALSE)=0,"",TEXT(IFERROR(VLOOKUP(T_Convention[[#This Row],[NumL]],T_TraitDi[#Data],COLUMN(T_TraitDi[Colonne28]),FALSE),""),"[hh]:mm"))</f>
        <v>#N/A</v>
      </c>
      <c r="BE174" s="284" t="str">
        <f>IFERROR(VLOOKUP(T_Convention[[#This Row],[NumL]],T_TraitDi[#Data],COLUMN(T_TraitDi[Colonne29]),FALSE),"")</f>
        <v/>
      </c>
      <c r="BF174" s="284" t="e">
        <f>IF(VLOOKUP(T_Convention[[#This Row],[NumL]],T_TraitDi[#Data],COLUMN(T_TraitDi[Colonne30]),FALSE)=0,"",TEXT(IFERROR(VLOOKUP(T_Convention[[#This Row],[NumL]],T_TraitDi[#Data],COLUMN(T_TraitDi[Colonne30]),FALSE),""),"[hh]:mm"))</f>
        <v>#N/A</v>
      </c>
      <c r="BG174" s="284" t="e">
        <f>IF(VLOOKUP(T_Convention[[#This Row],[NumL]],T_TraitDi[#Data],COLUMN(T_TraitDi[Colonne31]),FALSE)=0,"",TEXT(IFERROR(VLOOKUP(T_Convention[[#This Row],[NumL]],T_TraitDi[#Data],COLUMN(T_TraitDi[Colonne31]),FALSE),""),"[hh]:mm"))</f>
        <v>#N/A</v>
      </c>
      <c r="BH174" s="284" t="e">
        <f>IF(VLOOKUP(T_Convention[[#This Row],[NumL]],T_TraitDi[#Data],COLUMN(T_TraitDi[Colonne32]),FALSE)=0,"",TEXT(IFERROR(VLOOKUP(T_Convention[[#This Row],[NumL]],T_TraitDi[#Data],COLUMN(T_TraitDi[Colonne32]),FALSE),""),"[hh]:mm"))</f>
        <v>#N/A</v>
      </c>
      <c r="BI174" s="284" t="str">
        <f>IFERROR(VLOOKUP(T_Convention[[#This Row],[NumL]],T_TraitDi[#Data],COLUMN(T_TraitDi[NbJTW]),FALSE),"")</f>
        <v/>
      </c>
      <c r="BJ174" s="284" t="e">
        <f>IF(VLOOKUP(T_Convention[[#This Row],[NumL]],T_TraitDi[#Data],COLUMN(T_TraitDi[NbhTW]),FALSE)=0,"",TEXT(IFERROR(VLOOKUP(T_Convention[[#This Row],[NumL]],T_TraitDi[#Data],COLUMN(T_TraitDi[NbhTW]),FALSE),""),"[hh]:mm"))</f>
        <v>#N/A</v>
      </c>
      <c r="BK174" s="315" t="e">
        <f>IF(VLOOKUP(T_Convention[[#This Row],[NumL]],T_TraitDi[#Data],COLUMN(T_TraitDi[Nbhheb]),FALSE)=0,"",TEXT(IFERROR(VLOOKUP(T_Convention[[#This Row],[NumL]],T_TraitDi[#Data],COLUMN(T_TraitDi[Nbhheb]),FALSE),""),"[hh]:mm"))</f>
        <v>#N/A</v>
      </c>
      <c r="BL174" s="287" t="str">
        <f>IFERROR(VLOOKUP(VLOOKUP(T_Convention[[#This Row],[NumL]],T_TraitDi[#Data],COLUMN(T_TraitDi[Type1]),FALSE),TypeTW,2,FALSE),"")</f>
        <v/>
      </c>
      <c r="BM174" s="288" t="str">
        <f>IFERROR(VLOOKUP(T_Convention[[#This Row],[NumL]],T_TraitDi[#Data],COLUMN(T_TraitDi[Rue1]),FALSE),"")</f>
        <v/>
      </c>
      <c r="BN174" s="289" t="str">
        <f>IFERROR(VLOOKUP(T_Convention[[#This Row],[NumL]],T_TraitDi[#Data],COLUMN(T_TraitDi[CP1]),FALSE),"")</f>
        <v/>
      </c>
      <c r="BO174" s="282" t="str">
        <f>IFERROR(VLOOKUP(T_Convention[[#This Row],[NumL]],T_TraitDi[#Data],COLUMN(T_TraitDi[VILLE1]),FALSE),"")</f>
        <v/>
      </c>
      <c r="BP174" s="290" t="str">
        <f>IFERROR(VLOOKUP(VLOOKUP(T_Convention[[#This Row],[NumL]],T_TraitDi[#Data],COLUMN(T_TraitDi[Type2]),FALSE),TypeTW,2,FALSE),"")</f>
        <v/>
      </c>
      <c r="BQ174" s="310" t="str">
        <f>IFERROR(VLOOKUP(T_Convention[[#This Row],[NumL]],T_TraitDi[#Data],COLUMN(T_TraitDi[Rue2]),FALSE),"")</f>
        <v/>
      </c>
      <c r="BR174" s="290" t="str">
        <f>IFERROR(VLOOKUP(T_Convention[[#This Row],[NumL]],T_TraitDi[#Data],COLUMN(T_TraitDi[CP2]),FALSE),"")</f>
        <v/>
      </c>
      <c r="BS174" s="290" t="str">
        <f>IFERROR(VLOOKUP(T_Convention[[#This Row],[NumL]],T_TraitDi[#Data],COLUMN(T_TraitDi[VILLE2]),FALSE),"")</f>
        <v/>
      </c>
      <c r="BT17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74" s="314" t="str">
        <f>IFERROR(IF(VLOOKUP(T_Convention[[#This Row],[NumL]],T_TraitDi[#Data],COLUMN(T_TraitDi[Plan]),FALSE)="OK","Un planning spécifique de télétravail est annexé à la présente convention.",""),"")</f>
        <v/>
      </c>
      <c r="BV174" s="291"/>
      <c r="BW174" s="292" t="e">
        <f>IF(VLOOKUP(T_Convention[[#This Row],[NumL]],T_suiviDi[#Data],COLUMN(T_suiviDi[Entité]),FALSE)="","",VLOOKUP(T_Convention[[#This Row],[NumL]],T_suiviDi[#Data],COLUMN(T_suiviDi[Entité]),FALSE))</f>
        <v>#N/A</v>
      </c>
      <c r="BX174" s="311" t="str">
        <f>IF(VLOOKUP(T_Convention[[#This Row],[NumL]],T_Commission[#Data],COLUMN(T_Commission[envoi confirm TW]),FALSE)="","",VLOOKUP(T_Convention[[#This Row],[NumL]],T_Commission[#Data],COLUMN(T_Commission[envoi confirm TW]),FALSE))</f>
        <v>Non</v>
      </c>
      <c r="BY17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4" s="265" t="str">
        <f>VLOOKUP(T_Convention[[#This Row],[NumL]],T_Commission[#Data],COLUMN(T_Commission[Commentaire]),FALSE)</f>
        <v>La demande de télétravail est accordée sous réserve de fourniture des pièces demandées.</v>
      </c>
      <c r="CA174" s="255" t="str">
        <f>IF(VLOOKUP(T_Convention[[#This Row],[NumL]],T_Commission[#Data],COLUMN(T_Commission[Encadrant Email]),FALSE)="","",VLOOKUP(T_Convention[[#This Row],[NumL]],T_Commission[#Data],COLUMN(T_Commission[Encadrant Email]),FALSE))</f>
        <v/>
      </c>
      <c r="CB174" s="352" t="e">
        <f>VLOOKUP(T_Convention[[#This Row],[NumL]],T_TraitDi[#Data],COLUMN(T_TraitDi[NbJTot]),FALSE)</f>
        <v>#N/A</v>
      </c>
      <c r="CC174" s="352" t="e">
        <f>VLOOKUP(T_Convention[[#This Row],[NumL]],T_TraitDi[#Data],COLUMN(T_TraitDi[Reg Ponct]),FALSE)</f>
        <v>#N/A</v>
      </c>
      <c r="CD174" s="348" t="str">
        <f>IF(T_Convention[[#This Row],[Final]]&lt;&gt;"",VLOOKUP(T_Convention[[#This Row],[NumL]],T_suiviDi[#Data],COLUMN((T_suiviDi[Statut])),FALSE),"")</f>
        <v/>
      </c>
    </row>
    <row r="175" spans="1:82" s="106" customFormat="1" ht="18.75" customHeight="1" x14ac:dyDescent="0.25">
      <c r="A175" s="160">
        <v>287</v>
      </c>
      <c r="B175" s="161" t="str">
        <f>VLOOKUP(T_Convention[[#This Row],[NumL]],T_Commission[#Data],COLUMN(T_Commission[FINAL]),FALSE)</f>
        <v/>
      </c>
      <c r="C175" s="162"/>
      <c r="D175" s="95" t="e">
        <f>IF(VLOOKUP(T_Convention[[#This Row],[NumL]],T_TraitDi[#Data],COLUMN(T_TraitDi[WebC]),FALSE)="","",VLOOKUP(T_Convention[[#This Row],[NumL]],T_TraitDi[#Data],COLUMN(T_TraitDi[WebC]),FALSE))</f>
        <v>#N/A</v>
      </c>
      <c r="E175" s="163" t="str">
        <f t="shared" si="10"/>
        <v>12 janvier 2021</v>
      </c>
      <c r="F175" s="282" t="str">
        <f>IF(T_Convention[[#This Row],[Final]]&lt;&gt;"",VLOOKUP(T_Convention[[#This Row],[NumL]],T_suiviDi[#Data],COLUMN((T_suiviDi[Civ.])),FALSE),"")</f>
        <v/>
      </c>
      <c r="G175" s="283" t="str">
        <f>IF(T_Convention[[#This Row],[Final]]&lt;&gt;"",VLOOKUP(T_Convention[[#This Row],[NumL]],T_suiviDi[#Data],COLUMN((T_suiviDi[Nom])),FALSE),"")</f>
        <v/>
      </c>
      <c r="H175" s="282" t="str">
        <f>IF(T_Convention[[#This Row],[Final]]&lt;&gt;"",VLOOKUP(T_Convention[[#This Row],[NumL]],T_suiviDi[#Data],COLUMN((T_suiviDi[Prénom])),FALSE),"")</f>
        <v/>
      </c>
      <c r="I175" s="282" t="e">
        <f>VLOOKUP(T_Convention[[#This Row],[NumL]],T_suiviDi[#Data],COLUMN((T_suiviDi[[#This Row],[Email]])),FALSE)</f>
        <v>#VALUE!</v>
      </c>
      <c r="J175" s="282" t="e">
        <f>IF(VLOOKUP(T_Convention[[#This Row],[NumL]],T_suiviDi[#Data],COLUMN(T_suiviDi[[#This Row],[Fonction]]),FALSE)="","",VLOOKUP(T_Convention[[#This Row],[NumL]],T_suiviDi[#Data],COLUMN(T_suiviDi[[#This Row],[Fonction]]),FALSE))</f>
        <v>#VALUE!</v>
      </c>
      <c r="K175" s="282" t="e">
        <f>IF(VLOOKUP(T_Convention[[#This Row],[NumL]],T_suiviDi[#Data],COLUMN(T_suiviDi[[#This Row],[Grade]]),FALSE)="","",VLOOKUP(T_Convention[[#This Row],[NumL]],T_suiviDi[#Data],COLUMN(T_suiviDi[[#This Row],[Grade]]),FALSE))</f>
        <v>#VALUE!</v>
      </c>
      <c r="L175" s="282" t="e">
        <f>IF(VLOOKUP(T_Convention[[#This Row],[NumL]],T_suiviDi[#Data],COLUMN(T_suiviDi[[#This Row],[Service ]]),FALSE)="","",VLOOKUP(T_Convention[[#This Row],[NumL]],T_suiviDi[#Data],COLUMN(T_suiviDi[[#This Row],[Service ]]),FALSE))</f>
        <v>#VALUE!</v>
      </c>
      <c r="M175" s="164" t="str">
        <f t="shared" si="11"/>
        <v>01 septembre 2021</v>
      </c>
      <c r="N175" s="164" t="str">
        <f t="shared" si="12"/>
        <v>30 novembre 2021</v>
      </c>
      <c r="O175" s="284" t="str">
        <f t="shared" si="13"/>
        <v>30 novembre 2021</v>
      </c>
      <c r="P175" s="282" t="e">
        <f>IF(VLOOKUP(T_Convention[[#This Row],[NumL]],T_TraitDi[#Data],COLUMN(T_TraitDi[M1]),FALSE)="","",VLOOKUP(T_Convention[[#This Row],[NumL]],T_TraitDi[#Data],COLUMN(T_TraitDi[M1]),FALSE))</f>
        <v>#N/A</v>
      </c>
      <c r="Q175" s="282" t="e">
        <f>IF(VLOOKUP(T_Convention[[#This Row],[NumL]],T_TraitDi[#Data],COLUMN(T_TraitDi[M2]),FALSE)="","",VLOOKUP(T_Convention[[#This Row],[NumL]],T_TraitDi[#Data],COLUMN(T_TraitDi[M2]),FALSE))</f>
        <v>#N/A</v>
      </c>
      <c r="R175" s="282" t="e">
        <f>IF(VLOOKUP(T_Convention[[#This Row],[NumL]],T_TraitDi[#Data],COLUMN(T_TraitDi[M3]),FALSE)="","",VLOOKUP(T_Convention[[#This Row],[NumL]],T_TraitDi[#Data],COLUMN(T_TraitDi[M3]),FALSE))</f>
        <v>#N/A</v>
      </c>
      <c r="S175" s="282" t="e">
        <f>IF(VLOOKUP(T_Convention[[#This Row],[NumL]],T_TraitDi[#Data],COLUMN(T_TraitDi[M4]),FALSE)="","",VLOOKUP(T_Convention[[#This Row],[NumL]],T_TraitDi[#Data],COLUMN(T_TraitDi[M4]),FALSE))</f>
        <v>#N/A</v>
      </c>
      <c r="T175" s="282" t="e">
        <f>IF(VLOOKUP(T_Convention[[#This Row],[NumL]],T_TraitDi[#Data],COLUMN(T_TraitDi[M5]),FALSE)="","",VLOOKUP(T_Convention[[#This Row],[NumL]],T_TraitDi[#Data],COLUMN(T_TraitDi[M5]),FALSE))</f>
        <v>#N/A</v>
      </c>
      <c r="U175" s="282" t="e">
        <f>IF(VLOOKUP(T_Convention[[#This Row],[NumL]],T_TraitDi[#Data],COLUMN(T_TraitDi[M6]),FALSE)="","",VLOOKUP(T_Convention[[#This Row],[NumL]],T_TraitDi[#Data],COLUMN(T_TraitDi[M6]),FALSE))</f>
        <v>#N/A</v>
      </c>
      <c r="V175" s="176" t="e">
        <f t="shared" si="14"/>
        <v>#N/A</v>
      </c>
      <c r="W175" s="284" t="str">
        <f>IFERROR(TEXT(VLOOKUP(T_Convention[[#This Row],[NumL]],T_TraitDi[#Data],COLUMN(T_TraitDi[Q2]),FALSE),"###%"),"")</f>
        <v/>
      </c>
      <c r="X175" s="97" t="e">
        <f>VLOOKUP(T_Convention[[#This Row],[NumL]],T_TraitDi[#Data],COLUMN(T_TraitDi[Reg Ponct]),FALSE)</f>
        <v>#N/A</v>
      </c>
      <c r="Y175" s="97" t="e">
        <f>VLOOKUP(T_Convention[NumL],T_TraitDi[#Data],COLUMN(T_TraitDi[Jours flottants]),FALSE)</f>
        <v>#N/A</v>
      </c>
      <c r="Z175" s="284" t="str">
        <f>IFERROR(VLOOKUP(T_Convention[[#This Row],[NumL]],T_TraitDi[#Data],COLUMN(T_TraitDi[Lundi]),FALSE),"")</f>
        <v/>
      </c>
      <c r="AA175" s="284" t="e">
        <f>IF(VLOOKUP(T_Convention[[#This Row],[NumL]],T_TraitDi[#Data],COLUMN(T_TraitDi[Colonne3]),FALSE)=0,"",TEXT(IFERROR(VLOOKUP(T_Convention[[#This Row],[NumL]],T_TraitDi[#Data],COLUMN(T_TraitDi[Colonne3]),FALSE),""),"[hh]:mm"))</f>
        <v>#N/A</v>
      </c>
      <c r="AB175" s="284" t="e">
        <f>IF(VLOOKUP(T_Convention[[#This Row],[NumL]],T_TraitDi[#Data],COLUMN(T_TraitDi[Colonne4]),FALSE)=0,"",TEXT(IFERROR(VLOOKUP(T_Convention[[#This Row],[NumL]],T_TraitDi[#Data],COLUMN(T_TraitDi[Colonne4]),FALSE),""),"[hh]:mm"))</f>
        <v>#N/A</v>
      </c>
      <c r="AC175" s="284" t="e">
        <f>IF(VLOOKUP(T_Convention[[#This Row],[NumL]],T_TraitDi[#Data],COLUMN(T_TraitDi[Colonne5]),FALSE)=0,"",TEXT(IFERROR(VLOOKUP(T_Convention[[#This Row],[NumL]],T_TraitDi[#Data],COLUMN(T_TraitDi[Colonne5]),FALSE),""),"[hh]:mm"))</f>
        <v>#N/A</v>
      </c>
      <c r="AD175" s="284" t="e">
        <f>IF(VLOOKUP(T_Convention[[#This Row],[NumL]],T_TraitDi[#Data],COLUMN(T_TraitDi[Colonne6]),FALSE)=0,"",TEXT(IFERROR(VLOOKUP(T_Convention[[#This Row],[NumL]],T_TraitDi[#Data],COLUMN(T_TraitDi[Colonne6]),FALSE),""),"[hh]:mm"))</f>
        <v>#N/A</v>
      </c>
      <c r="AE175" s="284" t="e">
        <f>IF(VLOOKUP(T_Convention[[#This Row],[NumL]],T_TraitDi[#Data],COLUMN(T_TraitDi[Colonne7]),FALSE)=0,"",TEXT(IFERROR(VLOOKUP(T_Convention[[#This Row],[NumL]],T_TraitDi[#Data],COLUMN(T_TraitDi[Colonne7]),FALSE),""),"[hh]:mm"))</f>
        <v>#N/A</v>
      </c>
      <c r="AF175" s="284" t="e">
        <f>IF(VLOOKUP(T_Convention[[#This Row],[NumL]],T_TraitDi[#Data],COLUMN(T_TraitDi[Colonne8]),FALSE)=0,"",TEXT(IFERROR(VLOOKUP(T_Convention[[#This Row],[NumL]],T_TraitDi[#Data],COLUMN(T_TraitDi[Colonne8]),FALSE),""),"[hh]:mm"))</f>
        <v>#N/A</v>
      </c>
      <c r="AG175" s="284" t="str">
        <f>IFERROR(VLOOKUP(T_Convention[[#This Row],[NumL]],T_TraitDi[#Data],COLUMN(T_TraitDi[Mardi]),FALSE),"")</f>
        <v/>
      </c>
      <c r="AH175" s="284" t="e">
        <f>IF(VLOOKUP(T_Convention[[#This Row],[NumL]],T_TraitDi[#Data],COLUMN(T_TraitDi[Colonne1]),FALSE)=0,"",TEXT(IFERROR(VLOOKUP(T_Convention[[#This Row],[NumL]],T_TraitDi[#Data],COLUMN(T_TraitDi[Colonne1]),FALSE),""),"[hh]:mm"))</f>
        <v>#N/A</v>
      </c>
      <c r="AI175" s="284" t="e">
        <f>IF(VLOOKUP(T_Convention[[#This Row],[NumL]],T_TraitDi[#Data],COLUMN(T_TraitDi[Colonne9]),FALSE)=0,"",TEXT(IFERROR(VLOOKUP(T_Convention[[#This Row],[NumL]],T_TraitDi[#Data],COLUMN(T_TraitDi[Colonne9]),FALSE),""),"[hh]:mm"))</f>
        <v>#N/A</v>
      </c>
      <c r="AJ175" s="284" t="str">
        <f>IFERROR(VLOOKUP(T_Convention[[#This Row],[NumL]],T_TraitDi[#Data],COLUMN(T_TraitDi[Colonne10]),FALSE),"")</f>
        <v/>
      </c>
      <c r="AK175" s="284" t="e">
        <f>IF(VLOOKUP(T_Convention[[#This Row],[NumL]],T_TraitDi[#Data],COLUMN(T_TraitDi[Colonne11]),FALSE)=0,"",TEXT(IFERROR(VLOOKUP(T_Convention[[#This Row],[NumL]],T_TraitDi[#Data],COLUMN(T_TraitDi[Colonne11]),FALSE),""),"[hh]:mm"))</f>
        <v>#N/A</v>
      </c>
      <c r="AL175" s="284" t="e">
        <f>IF(VLOOKUP(T_Convention[[#This Row],[NumL]],T_TraitDi[#Data],COLUMN(T_TraitDi[Colonne12]),FALSE)=0,"",TEXT(IFERROR(VLOOKUP(T_Convention[[#This Row],[NumL]],T_TraitDi[#Data],COLUMN(T_TraitDi[Colonne12]),FALSE),""),"[hh]:mm"))</f>
        <v>#N/A</v>
      </c>
      <c r="AM175" s="284" t="e">
        <f>IF(VLOOKUP(T_Convention[[#This Row],[NumL]],T_TraitDi[#Data],COLUMN(T_TraitDi[Colonne14]),FALSE)=0,"",TEXT(IFERROR(VLOOKUP(T_Convention[[#This Row],[NumL]],T_TraitDi[#Data],COLUMN(T_TraitDi[Colonne14]),FALSE),""),"[hh]:mm"))</f>
        <v>#N/A</v>
      </c>
      <c r="AN175" s="284" t="str">
        <f>IFERROR(VLOOKUP(T_Convention[[#This Row],[NumL]],T_TraitDi[#Data],COLUMN(T_TraitDi[Mercredi]),FALSE),"")</f>
        <v/>
      </c>
      <c r="AO175" s="284" t="e">
        <f>IF(VLOOKUP(T_Convention[[#This Row],[NumL]],T_TraitDi[#Data],COLUMN(T_TraitDi[Colonne15]),FALSE)=0,"",TEXT(IFERROR(VLOOKUP(T_Convention[[#This Row],[NumL]],T_TraitDi[#Data],COLUMN(T_TraitDi[Colonne15]),FALSE),""),"[hh]:mm"))</f>
        <v>#N/A</v>
      </c>
      <c r="AP175" s="284" t="e">
        <f>IF(VLOOKUP(T_Convention[[#This Row],[NumL]],T_TraitDi[#Data],COLUMN(T_TraitDi[Colonne16]),FALSE)=0,"",TEXT(IFERROR(VLOOKUP(T_Convention[[#This Row],[NumL]],T_TraitDi[#Data],COLUMN(T_TraitDi[Colonne16]),FALSE),""),"[hh]:mm"))</f>
        <v>#N/A</v>
      </c>
      <c r="AQ175" s="284" t="str">
        <f>IFERROR(VLOOKUP(T_Convention[[#This Row],[NumL]],T_TraitDi[#Data],COLUMN(T_TraitDi[Colonne17]),FALSE),"")</f>
        <v/>
      </c>
      <c r="AR175" s="284" t="e">
        <f>IF(VLOOKUP(T_Convention[[#This Row],[NumL]],T_TraitDi[#Data],COLUMN(T_TraitDi[Colonne18]),FALSE)=0,"",TEXT(IFERROR(VLOOKUP(T_Convention[[#This Row],[NumL]],T_TraitDi[#Data],COLUMN(T_TraitDi[Colonne18]),FALSE),""),"[hh]:mm"))</f>
        <v>#N/A</v>
      </c>
      <c r="AS175" s="284" t="e">
        <f>IF(VLOOKUP(T_Convention[[#This Row],[NumL]],T_TraitDi[#Data],COLUMN(T_TraitDi[Colonne19]),FALSE)=0,"",TEXT(IFERROR(VLOOKUP(T_Convention[[#This Row],[NumL]],T_TraitDi[#Data],COLUMN(T_TraitDi[Colonne19]),FALSE),""),"[hh]:mm"))</f>
        <v>#N/A</v>
      </c>
      <c r="AT175" s="284" t="e">
        <f>IF(VLOOKUP(T_Convention[[#This Row],[NumL]],T_TraitDi[#Data],COLUMN(T_TraitDi[Colonne20]),FALSE)=0,"",TEXT(IFERROR(VLOOKUP(T_Convention[[#This Row],[NumL]],T_TraitDi[#Data],COLUMN(T_TraitDi[Colonne20]),FALSE),""),"[hh]:mm"))</f>
        <v>#N/A</v>
      </c>
      <c r="AU175" s="284" t="str">
        <f>IFERROR(VLOOKUP(T_Convention[[#This Row],[NumL]],T_TraitDi[#Data],COLUMN(T_TraitDi[Jeudi]),FALSE),"")</f>
        <v/>
      </c>
      <c r="AV175" s="284" t="e">
        <f>IF(VLOOKUP(T_Convention[[#This Row],[NumL]],T_TraitDi[#Data],COLUMN(T_TraitDi[Colonne21]),FALSE)=0,"",TEXT(IFERROR(VLOOKUP(T_Convention[[#This Row],[NumL]],T_TraitDi[#Data],COLUMN(T_TraitDi[Colonne21]),FALSE),""),"[hh]:mm"))</f>
        <v>#N/A</v>
      </c>
      <c r="AW175" s="284" t="e">
        <f>IF(VLOOKUP(T_Convention[[#This Row],[NumL]],T_TraitDi[#Data],COLUMN(T_TraitDi[Colonne22]),FALSE)=0,"",TEXT(IFERROR(VLOOKUP(T_Convention[[#This Row],[NumL]],T_TraitDi[#Data],COLUMN(T_TraitDi[Colonne22]),FALSE),""),"[hh]:mm"))</f>
        <v>#N/A</v>
      </c>
      <c r="AX175" s="284" t="str">
        <f>IFERROR(VLOOKUP(T_Convention[[#This Row],[NumL]],T_TraitDi[#Data],COLUMN(T_TraitDi[Colonne23]),FALSE),"")</f>
        <v/>
      </c>
      <c r="AY175" s="284" t="e">
        <f>IF(VLOOKUP(T_Convention[[#This Row],[NumL]],T_TraitDi[#Data],COLUMN(T_TraitDi[Colonne24]),FALSE)=0,"",TEXT(IFERROR(VLOOKUP(T_Convention[[#This Row],[NumL]],T_TraitDi[#Data],COLUMN(T_TraitDi[Colonne24]),FALSE),""),"[hh]:mm"))</f>
        <v>#N/A</v>
      </c>
      <c r="AZ175" s="284" t="e">
        <f>IF(VLOOKUP(T_Convention[[#This Row],[NumL]],T_TraitDi[#Data],COLUMN(T_TraitDi[Colonne25]),FALSE)=0,"",TEXT(IFERROR(VLOOKUP(T_Convention[[#This Row],[NumL]],T_TraitDi[#Data],COLUMN(T_TraitDi[Colonne25]),FALSE),""),"[hh]:mm"))</f>
        <v>#N/A</v>
      </c>
      <c r="BA175" s="284" t="e">
        <f>IF(VLOOKUP(T_Convention[[#This Row],[NumL]],T_TraitDi[#Data],COLUMN(T_TraitDi[Colonne26]),FALSE)=0,"",TEXT(IFERROR(VLOOKUP(T_Convention[[#This Row],[NumL]],T_TraitDi[#Data],COLUMN(T_TraitDi[Colonne26]),FALSE),""),"[hh]:mm"))</f>
        <v>#N/A</v>
      </c>
      <c r="BB175" s="284" t="str">
        <f>IFERROR(VLOOKUP(T_Convention[[#This Row],[NumL]],T_TraitDi[#Data],COLUMN(T_TraitDi[Vendredi]),FALSE),"")</f>
        <v/>
      </c>
      <c r="BC175" s="284" t="e">
        <f>IF(VLOOKUP(T_Convention[[#This Row],[NumL]],T_TraitDi[#Data],COLUMN(T_TraitDi[Colonne27]),FALSE)=0,"",TEXT(IFERROR(VLOOKUP(T_Convention[[#This Row],[NumL]],T_TraitDi[#Data],COLUMN(T_TraitDi[Colonne27]),FALSE),""),"[hh]:mm"))</f>
        <v>#N/A</v>
      </c>
      <c r="BD175" s="284" t="e">
        <f>IF(VLOOKUP(T_Convention[[#This Row],[NumL]],T_TraitDi[#Data],COLUMN(T_TraitDi[Colonne28]),FALSE)=0,"",TEXT(IFERROR(VLOOKUP(T_Convention[[#This Row],[NumL]],T_TraitDi[#Data],COLUMN(T_TraitDi[Colonne28]),FALSE),""),"[hh]:mm"))</f>
        <v>#N/A</v>
      </c>
      <c r="BE175" s="284" t="str">
        <f>IFERROR(VLOOKUP(T_Convention[[#This Row],[NumL]],T_TraitDi[#Data],COLUMN(T_TraitDi[Colonne29]),FALSE),"")</f>
        <v/>
      </c>
      <c r="BF175" s="284" t="e">
        <f>IF(VLOOKUP(T_Convention[[#This Row],[NumL]],T_TraitDi[#Data],COLUMN(T_TraitDi[Colonne30]),FALSE)=0,"",TEXT(IFERROR(VLOOKUP(T_Convention[[#This Row],[NumL]],T_TraitDi[#Data],COLUMN(T_TraitDi[Colonne30]),FALSE),""),"[hh]:mm"))</f>
        <v>#N/A</v>
      </c>
      <c r="BG175" s="284" t="e">
        <f>IF(VLOOKUP(T_Convention[[#This Row],[NumL]],T_TraitDi[#Data],COLUMN(T_TraitDi[Colonne31]),FALSE)=0,"",TEXT(IFERROR(VLOOKUP(T_Convention[[#This Row],[NumL]],T_TraitDi[#Data],COLUMN(T_TraitDi[Colonne31]),FALSE),""),"[hh]:mm"))</f>
        <v>#N/A</v>
      </c>
      <c r="BH175" s="284" t="e">
        <f>IF(VLOOKUP(T_Convention[[#This Row],[NumL]],T_TraitDi[#Data],COLUMN(T_TraitDi[Colonne32]),FALSE)=0,"",TEXT(IFERROR(VLOOKUP(T_Convention[[#This Row],[NumL]],T_TraitDi[#Data],COLUMN(T_TraitDi[Colonne32]),FALSE),""),"[hh]:mm"))</f>
        <v>#N/A</v>
      </c>
      <c r="BI175" s="284" t="str">
        <f>IFERROR(VLOOKUP(T_Convention[[#This Row],[NumL]],T_TraitDi[#Data],COLUMN(T_TraitDi[NbJTW]),FALSE),"")</f>
        <v/>
      </c>
      <c r="BJ175" s="284" t="e">
        <f>IF(VLOOKUP(T_Convention[[#This Row],[NumL]],T_TraitDi[#Data],COLUMN(T_TraitDi[NbhTW]),FALSE)=0,"",TEXT(IFERROR(VLOOKUP(T_Convention[[#This Row],[NumL]],T_TraitDi[#Data],COLUMN(T_TraitDi[NbhTW]),FALSE),""),"[hh]:mm"))</f>
        <v>#N/A</v>
      </c>
      <c r="BK175" s="286" t="e">
        <f>IF(VLOOKUP(T_Convention[[#This Row],[NumL]],T_TraitDi[#Data],COLUMN(T_TraitDi[Nbhheb]),FALSE)=0,"",TEXT(IFERROR(VLOOKUP(T_Convention[[#This Row],[NumL]],T_TraitDi[#Data],COLUMN(T_TraitDi[Nbhheb]),FALSE),""),"[hh]:mm"))</f>
        <v>#N/A</v>
      </c>
      <c r="BL175" s="287" t="str">
        <f>IFERROR(VLOOKUP(VLOOKUP(T_Convention[[#This Row],[NumL]],T_TraitDi[#Data],COLUMN(T_TraitDi[Type1]),FALSE),TypeTW,2,FALSE),"")</f>
        <v/>
      </c>
      <c r="BM175" s="288" t="str">
        <f>IFERROR(VLOOKUP(T_Convention[[#This Row],[NumL]],T_TraitDi[#Data],COLUMN(T_TraitDi[Rue1]),FALSE),"")</f>
        <v/>
      </c>
      <c r="BN175" s="289" t="str">
        <f>IFERROR(VLOOKUP(T_Convention[[#This Row],[NumL]],T_TraitDi[#Data],COLUMN(T_TraitDi[CP1]),FALSE),"")</f>
        <v/>
      </c>
      <c r="BO175" s="282" t="str">
        <f>IFERROR(VLOOKUP(T_Convention[[#This Row],[NumL]],T_TraitDi[#Data],COLUMN(T_TraitDi[VILLE1]),FALSE),"")</f>
        <v/>
      </c>
      <c r="BP175" s="290" t="str">
        <f>IFERROR(VLOOKUP(VLOOKUP(T_Convention[[#This Row],[NumL]],T_TraitDi[#Data],COLUMN(T_TraitDi[Type2]),FALSE),TypeTW,2,FALSE),"")</f>
        <v/>
      </c>
      <c r="BQ175" s="182" t="str">
        <f>IFERROR(VLOOKUP(T_Convention[[#This Row],[NumL]],T_TraitDi[#Data],COLUMN(T_TraitDi[Rue2]),FALSE),"")</f>
        <v/>
      </c>
      <c r="BR175" s="173" t="str">
        <f>IFERROR(VLOOKUP(T_Convention[[#This Row],[NumL]],T_TraitDi[#Data],COLUMN(T_TraitDi[CP2]),FALSE),"")</f>
        <v/>
      </c>
      <c r="BS175" s="173" t="str">
        <f>IFERROR(VLOOKUP(T_Convention[[#This Row],[NumL]],T_TraitDi[#Data],COLUMN(T_TraitDi[VILLE2]),FALSE),"")</f>
        <v/>
      </c>
      <c r="BT175" s="182" t="str">
        <f>IF(VLOOKUP(T_Convention[[#This Row],[NumL]],T_Equipement[#Data],COLUMN(T_Equipement[PC]),FALSE)="","Aucun équipement spécifique directement lié au télétravail",VLOOKUP(T_Convention[[#This Row],[NumL]],T_Equipement[#Data],COLUMN(T_Equipement[PC]),FALSE))</f>
        <v xml:space="preserve">20-010	</v>
      </c>
      <c r="BU175" s="166" t="str">
        <f>IFERROR(IF(VLOOKUP(T_Convention[[#This Row],[NumL]],T_TraitDi[#Data],COLUMN(T_TraitDi[Plan]),FALSE)="OK","Un planning spécifique de télétravail est annexé à la présente convention.",""),"")</f>
        <v/>
      </c>
      <c r="BV175" s="185" t="s">
        <v>3492</v>
      </c>
      <c r="BW175" s="164" t="e">
        <f>IF(VLOOKUP(T_Convention[[#This Row],[NumL]],T_suiviDi[#Data],COLUMN(T_suiviDi[Entité]),FALSE)="","",VLOOKUP(T_Convention[[#This Row],[NumL]],T_suiviDi[#Data],COLUMN(T_suiviDi[Entité]),FALSE))</f>
        <v>#N/A</v>
      </c>
      <c r="BX175" s="164" t="str">
        <f>IF(VLOOKUP(T_Convention[[#This Row],[NumL]],T_Commission[#Data],COLUMN(T_Commission[envoi confirm TW]),FALSE)="","",VLOOKUP(T_Convention[[#This Row],[NumL]],T_Commission[#Data],COLUMN(T_Commission[envoi confirm TW]),FALSE))</f>
        <v>Oui</v>
      </c>
      <c r="BY17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5" s="264">
        <f>VLOOKUP(T_Convention[[#This Row],[NumL]],T_Commission[#Data],COLUMN(T_Commission[Commentaire]),FALSE)</f>
        <v>0</v>
      </c>
      <c r="CA175" s="254" t="str">
        <f>IF(VLOOKUP(T_Convention[[#This Row],[NumL]],T_Commission[#Data],COLUMN(T_Commission[Encadrant Email]),FALSE)="","",VLOOKUP(T_Convention[[#This Row],[NumL]],T_Commission[#Data],COLUMN(T_Commission[Encadrant Email]),FALSE))</f>
        <v/>
      </c>
      <c r="CB175" s="352" t="e">
        <f>VLOOKUP(T_Convention[[#This Row],[NumL]],T_TraitDi[#Data],COLUMN(T_TraitDi[NbJTot]),FALSE)</f>
        <v>#N/A</v>
      </c>
      <c r="CC175" s="352" t="e">
        <f>VLOOKUP(T_Convention[[#This Row],[NumL]],T_TraitDi[#Data],COLUMN(T_TraitDi[Reg Ponct]),FALSE)</f>
        <v>#N/A</v>
      </c>
      <c r="CD175" s="348" t="str">
        <f>IF(T_Convention[[#This Row],[Final]]&lt;&gt;"",VLOOKUP(T_Convention[[#This Row],[NumL]],T_suiviDi[#Data],COLUMN((T_suiviDi[Statut])),FALSE),"")</f>
        <v/>
      </c>
    </row>
    <row r="176" spans="1:82" s="106" customFormat="1" ht="18.75" customHeight="1" x14ac:dyDescent="0.25">
      <c r="A176" s="160">
        <v>224</v>
      </c>
      <c r="B176" s="161" t="str">
        <f>VLOOKUP(T_Convention[[#This Row],[NumL]],T_Commission[#Data],COLUMN(T_Commission[FINAL]),FALSE)</f>
        <v/>
      </c>
      <c r="C176" s="162"/>
      <c r="D176" s="95" t="e">
        <f>IF(VLOOKUP(T_Convention[[#This Row],[NumL]],T_TraitDi[#Data],COLUMN(T_TraitDi[WebC]),FALSE)="","",VLOOKUP(T_Convention[[#This Row],[NumL]],T_TraitDi[#Data],COLUMN(T_TraitDi[WebC]),FALSE))</f>
        <v>#N/A</v>
      </c>
      <c r="E176" s="163" t="str">
        <f t="shared" si="10"/>
        <v>12 janvier 2021</v>
      </c>
      <c r="F176" s="282" t="str">
        <f>IF(T_Convention[[#This Row],[Final]]&lt;&gt;"",VLOOKUP(T_Convention[[#This Row],[NumL]],T_suiviDi[#Data],COLUMN((T_suiviDi[Civ.])),FALSE),"")</f>
        <v/>
      </c>
      <c r="G176" s="283" t="str">
        <f>IF(T_Convention[[#This Row],[Final]]&lt;&gt;"",VLOOKUP(T_Convention[[#This Row],[NumL]],T_suiviDi[#Data],COLUMN((T_suiviDi[Nom])),FALSE),"")</f>
        <v/>
      </c>
      <c r="H176" s="282" t="str">
        <f>IF(T_Convention[[#This Row],[Final]]&lt;&gt;"",VLOOKUP(T_Convention[[#This Row],[NumL]],T_suiviDi[#Data],COLUMN((T_suiviDi[Prénom])),FALSE),"")</f>
        <v/>
      </c>
      <c r="I176" s="282" t="e">
        <f>VLOOKUP(T_Convention[[#This Row],[NumL]],T_suiviDi[#Data],COLUMN((T_suiviDi[[#This Row],[Email]])),FALSE)</f>
        <v>#VALUE!</v>
      </c>
      <c r="J176" s="282" t="e">
        <f>IF(VLOOKUP(T_Convention[[#This Row],[NumL]],T_suiviDi[#Data],COLUMN(T_suiviDi[[#This Row],[Fonction]]),FALSE)="","",VLOOKUP(T_Convention[[#This Row],[NumL]],T_suiviDi[#Data],COLUMN(T_suiviDi[[#This Row],[Fonction]]),FALSE))</f>
        <v>#VALUE!</v>
      </c>
      <c r="K176" s="282" t="e">
        <f>IF(VLOOKUP(T_Convention[[#This Row],[NumL]],T_suiviDi[#Data],COLUMN(T_suiviDi[[#This Row],[Grade]]),FALSE)="","",VLOOKUP(T_Convention[[#This Row],[NumL]],T_suiviDi[#Data],COLUMN(T_suiviDi[[#This Row],[Grade]]),FALSE))</f>
        <v>#VALUE!</v>
      </c>
      <c r="L176" s="282" t="e">
        <f>IF(VLOOKUP(T_Convention[[#This Row],[NumL]],T_suiviDi[#Data],COLUMN(T_suiviDi[[#This Row],[Service ]]),FALSE)="","",VLOOKUP(T_Convention[[#This Row],[NumL]],T_suiviDi[#Data],COLUMN(T_suiviDi[[#This Row],[Service ]]),FALSE))</f>
        <v>#VALUE!</v>
      </c>
      <c r="M176" s="164" t="str">
        <f t="shared" si="11"/>
        <v>01 septembre 2021</v>
      </c>
      <c r="N176" s="164" t="str">
        <f t="shared" si="12"/>
        <v>30 novembre 2021</v>
      </c>
      <c r="O176" s="284" t="str">
        <f t="shared" si="13"/>
        <v>30 novembre 2021</v>
      </c>
      <c r="P176" s="282" t="e">
        <f>IF(VLOOKUP(T_Convention[[#This Row],[NumL]],T_TraitDi[#Data],COLUMN(T_TraitDi[M1]),FALSE)="","",VLOOKUP(T_Convention[[#This Row],[NumL]],T_TraitDi[#Data],COLUMN(T_TraitDi[M1]),FALSE))</f>
        <v>#N/A</v>
      </c>
      <c r="Q176" s="282" t="e">
        <f>IF(VLOOKUP(T_Convention[[#This Row],[NumL]],T_TraitDi[#Data],COLUMN(T_TraitDi[M2]),FALSE)="","",VLOOKUP(T_Convention[[#This Row],[NumL]],T_TraitDi[#Data],COLUMN(T_TraitDi[M2]),FALSE))</f>
        <v>#N/A</v>
      </c>
      <c r="R176" s="282" t="e">
        <f>IF(VLOOKUP(T_Convention[[#This Row],[NumL]],T_TraitDi[#Data],COLUMN(T_TraitDi[M3]),FALSE)="","",VLOOKUP(T_Convention[[#This Row],[NumL]],T_TraitDi[#Data],COLUMN(T_TraitDi[M3]),FALSE))</f>
        <v>#N/A</v>
      </c>
      <c r="S176" s="282" t="e">
        <f>IF(VLOOKUP(T_Convention[[#This Row],[NumL]],T_TraitDi[#Data],COLUMN(T_TraitDi[M4]),FALSE)="","",VLOOKUP(T_Convention[[#This Row],[NumL]],T_TraitDi[#Data],COLUMN(T_TraitDi[M4]),FALSE))</f>
        <v>#N/A</v>
      </c>
      <c r="T176" s="282" t="e">
        <f>IF(VLOOKUP(T_Convention[[#This Row],[NumL]],T_TraitDi[#Data],COLUMN(T_TraitDi[M5]),FALSE)="","",VLOOKUP(T_Convention[[#This Row],[NumL]],T_TraitDi[#Data],COLUMN(T_TraitDi[M5]),FALSE))</f>
        <v>#N/A</v>
      </c>
      <c r="U176" s="282" t="e">
        <f>IF(VLOOKUP(T_Convention[[#This Row],[NumL]],T_TraitDi[#Data],COLUMN(T_TraitDi[M6]),FALSE)="","",VLOOKUP(T_Convention[[#This Row],[NumL]],T_TraitDi[#Data],COLUMN(T_TraitDi[M6]),FALSE))</f>
        <v>#N/A</v>
      </c>
      <c r="V176" s="176" t="e">
        <f t="shared" si="14"/>
        <v>#N/A</v>
      </c>
      <c r="W176" s="284" t="str">
        <f>IFERROR(TEXT(VLOOKUP(T_Convention[[#This Row],[NumL]],T_TraitDi[#Data],COLUMN(T_TraitDi[Q2]),FALSE),"###%"),"")</f>
        <v/>
      </c>
      <c r="X176" s="97" t="e">
        <f>VLOOKUP(T_Convention[[#This Row],[NumL]],T_TraitDi[#Data],COLUMN(T_TraitDi[Reg Ponct]),FALSE)</f>
        <v>#N/A</v>
      </c>
      <c r="Y176" s="97" t="e">
        <f>VLOOKUP(T_Convention[NumL],T_TraitDi[#Data],COLUMN(T_TraitDi[Jours flottants]),FALSE)</f>
        <v>#N/A</v>
      </c>
      <c r="Z176" s="284" t="str">
        <f>IFERROR(VLOOKUP(T_Convention[[#This Row],[NumL]],T_TraitDi[#Data],COLUMN(T_TraitDi[Lundi]),FALSE),"")</f>
        <v/>
      </c>
      <c r="AA176" s="284" t="e">
        <f>IF(VLOOKUP(T_Convention[[#This Row],[NumL]],T_TraitDi[#Data],COLUMN(T_TraitDi[Colonne3]),FALSE)=0,"",TEXT(IFERROR(VLOOKUP(T_Convention[[#This Row],[NumL]],T_TraitDi[#Data],COLUMN(T_TraitDi[Colonne3]),FALSE),""),"[hh]:mm"))</f>
        <v>#N/A</v>
      </c>
      <c r="AB176" s="284" t="e">
        <f>IF(VLOOKUP(T_Convention[[#This Row],[NumL]],T_TraitDi[#Data],COLUMN(T_TraitDi[Colonne4]),FALSE)=0,"",TEXT(IFERROR(VLOOKUP(T_Convention[[#This Row],[NumL]],T_TraitDi[#Data],COLUMN(T_TraitDi[Colonne4]),FALSE),""),"[hh]:mm"))</f>
        <v>#N/A</v>
      </c>
      <c r="AC176" s="284" t="e">
        <f>IF(VLOOKUP(T_Convention[[#This Row],[NumL]],T_TraitDi[#Data],COLUMN(T_TraitDi[Colonne5]),FALSE)=0,"",TEXT(IFERROR(VLOOKUP(T_Convention[[#This Row],[NumL]],T_TraitDi[#Data],COLUMN(T_TraitDi[Colonne5]),FALSE),""),"[hh]:mm"))</f>
        <v>#N/A</v>
      </c>
      <c r="AD176" s="284" t="e">
        <f>IF(VLOOKUP(T_Convention[[#This Row],[NumL]],T_TraitDi[#Data],COLUMN(T_TraitDi[Colonne6]),FALSE)=0,"",TEXT(IFERROR(VLOOKUP(T_Convention[[#This Row],[NumL]],T_TraitDi[#Data],COLUMN(T_TraitDi[Colonne6]),FALSE),""),"[hh]:mm"))</f>
        <v>#N/A</v>
      </c>
      <c r="AE176" s="284" t="e">
        <f>IF(VLOOKUP(T_Convention[[#This Row],[NumL]],T_TraitDi[#Data],COLUMN(T_TraitDi[Colonne7]),FALSE)=0,"",TEXT(IFERROR(VLOOKUP(T_Convention[[#This Row],[NumL]],T_TraitDi[#Data],COLUMN(T_TraitDi[Colonne7]),FALSE),""),"[hh]:mm"))</f>
        <v>#N/A</v>
      </c>
      <c r="AF176" s="284" t="e">
        <f>IF(VLOOKUP(T_Convention[[#This Row],[NumL]],T_TraitDi[#Data],COLUMN(T_TraitDi[Colonne8]),FALSE)=0,"",TEXT(IFERROR(VLOOKUP(T_Convention[[#This Row],[NumL]],T_TraitDi[#Data],COLUMN(T_TraitDi[Colonne8]),FALSE),""),"[hh]:mm"))</f>
        <v>#N/A</v>
      </c>
      <c r="AG176" s="284" t="str">
        <f>IFERROR(VLOOKUP(T_Convention[[#This Row],[NumL]],T_TraitDi[#Data],COLUMN(T_TraitDi[Mardi]),FALSE),"")</f>
        <v/>
      </c>
      <c r="AH176" s="284" t="e">
        <f>IF(VLOOKUP(T_Convention[[#This Row],[NumL]],T_TraitDi[#Data],COLUMN(T_TraitDi[Colonne1]),FALSE)=0,"",TEXT(IFERROR(VLOOKUP(T_Convention[[#This Row],[NumL]],T_TraitDi[#Data],COLUMN(T_TraitDi[Colonne1]),FALSE),""),"[hh]:mm"))</f>
        <v>#N/A</v>
      </c>
      <c r="AI176" s="284" t="e">
        <f>IF(VLOOKUP(T_Convention[[#This Row],[NumL]],T_TraitDi[#Data],COLUMN(T_TraitDi[Colonne9]),FALSE)=0,"",TEXT(IFERROR(VLOOKUP(T_Convention[[#This Row],[NumL]],T_TraitDi[#Data],COLUMN(T_TraitDi[Colonne9]),FALSE),""),"[hh]:mm"))</f>
        <v>#N/A</v>
      </c>
      <c r="AJ176" s="284" t="str">
        <f>IFERROR(VLOOKUP(T_Convention[[#This Row],[NumL]],T_TraitDi[#Data],COLUMN(T_TraitDi[Colonne10]),FALSE),"")</f>
        <v/>
      </c>
      <c r="AK176" s="284" t="e">
        <f>IF(VLOOKUP(T_Convention[[#This Row],[NumL]],T_TraitDi[#Data],COLUMN(T_TraitDi[Colonne11]),FALSE)=0,"",TEXT(IFERROR(VLOOKUP(T_Convention[[#This Row],[NumL]],T_TraitDi[#Data],COLUMN(T_TraitDi[Colonne11]),FALSE),""),"[hh]:mm"))</f>
        <v>#N/A</v>
      </c>
      <c r="AL176" s="284" t="e">
        <f>IF(VLOOKUP(T_Convention[[#This Row],[NumL]],T_TraitDi[#Data],COLUMN(T_TraitDi[Colonne12]),FALSE)=0,"",TEXT(IFERROR(VLOOKUP(T_Convention[[#This Row],[NumL]],T_TraitDi[#Data],COLUMN(T_TraitDi[Colonne12]),FALSE),""),"[hh]:mm"))</f>
        <v>#N/A</v>
      </c>
      <c r="AM176" s="284" t="e">
        <f>IF(VLOOKUP(T_Convention[[#This Row],[NumL]],T_TraitDi[#Data],COLUMN(T_TraitDi[Colonne14]),FALSE)=0,"",TEXT(IFERROR(VLOOKUP(T_Convention[[#This Row],[NumL]],T_TraitDi[#Data],COLUMN(T_TraitDi[Colonne14]),FALSE),""),"[hh]:mm"))</f>
        <v>#N/A</v>
      </c>
      <c r="AN176" s="284" t="str">
        <f>IFERROR(VLOOKUP(T_Convention[[#This Row],[NumL]],T_TraitDi[#Data],COLUMN(T_TraitDi[Mercredi]),FALSE),"")</f>
        <v/>
      </c>
      <c r="AO176" s="284" t="e">
        <f>IF(VLOOKUP(T_Convention[[#This Row],[NumL]],T_TraitDi[#Data],COLUMN(T_TraitDi[Colonne15]),FALSE)=0,"",TEXT(IFERROR(VLOOKUP(T_Convention[[#This Row],[NumL]],T_TraitDi[#Data],COLUMN(T_TraitDi[Colonne15]),FALSE),""),"[hh]:mm"))</f>
        <v>#N/A</v>
      </c>
      <c r="AP176" s="284" t="e">
        <f>IF(VLOOKUP(T_Convention[[#This Row],[NumL]],T_TraitDi[#Data],COLUMN(T_TraitDi[Colonne16]),FALSE)=0,"",TEXT(IFERROR(VLOOKUP(T_Convention[[#This Row],[NumL]],T_TraitDi[#Data],COLUMN(T_TraitDi[Colonne16]),FALSE),""),"[hh]:mm"))</f>
        <v>#N/A</v>
      </c>
      <c r="AQ176" s="284" t="str">
        <f>IFERROR(VLOOKUP(T_Convention[[#This Row],[NumL]],T_TraitDi[#Data],COLUMN(T_TraitDi[Colonne17]),FALSE),"")</f>
        <v/>
      </c>
      <c r="AR176" s="284" t="e">
        <f>IF(VLOOKUP(T_Convention[[#This Row],[NumL]],T_TraitDi[#Data],COLUMN(T_TraitDi[Colonne18]),FALSE)=0,"",TEXT(IFERROR(VLOOKUP(T_Convention[[#This Row],[NumL]],T_TraitDi[#Data],COLUMN(T_TraitDi[Colonne18]),FALSE),""),"[hh]:mm"))</f>
        <v>#N/A</v>
      </c>
      <c r="AS176" s="284" t="e">
        <f>IF(VLOOKUP(T_Convention[[#This Row],[NumL]],T_TraitDi[#Data],COLUMN(T_TraitDi[Colonne19]),FALSE)=0,"",TEXT(IFERROR(VLOOKUP(T_Convention[[#This Row],[NumL]],T_TraitDi[#Data],COLUMN(T_TraitDi[Colonne19]),FALSE),""),"[hh]:mm"))</f>
        <v>#N/A</v>
      </c>
      <c r="AT176" s="284" t="e">
        <f>IF(VLOOKUP(T_Convention[[#This Row],[NumL]],T_TraitDi[#Data],COLUMN(T_TraitDi[Colonne20]),FALSE)=0,"",TEXT(IFERROR(VLOOKUP(T_Convention[[#This Row],[NumL]],T_TraitDi[#Data],COLUMN(T_TraitDi[Colonne20]),FALSE),""),"[hh]:mm"))</f>
        <v>#N/A</v>
      </c>
      <c r="AU176" s="284" t="str">
        <f>IFERROR(VLOOKUP(T_Convention[[#This Row],[NumL]],T_TraitDi[#Data],COLUMN(T_TraitDi[Jeudi]),FALSE),"")</f>
        <v/>
      </c>
      <c r="AV176" s="284" t="e">
        <f>IF(VLOOKUP(T_Convention[[#This Row],[NumL]],T_TraitDi[#Data],COLUMN(T_TraitDi[Colonne21]),FALSE)=0,"",TEXT(IFERROR(VLOOKUP(T_Convention[[#This Row],[NumL]],T_TraitDi[#Data],COLUMN(T_TraitDi[Colonne21]),FALSE),""),"[hh]:mm"))</f>
        <v>#N/A</v>
      </c>
      <c r="AW176" s="284" t="e">
        <f>IF(VLOOKUP(T_Convention[[#This Row],[NumL]],T_TraitDi[#Data],COLUMN(T_TraitDi[Colonne22]),FALSE)=0,"",TEXT(IFERROR(VLOOKUP(T_Convention[[#This Row],[NumL]],T_TraitDi[#Data],COLUMN(T_TraitDi[Colonne22]),FALSE),""),"[hh]:mm"))</f>
        <v>#N/A</v>
      </c>
      <c r="AX176" s="284" t="str">
        <f>IFERROR(VLOOKUP(T_Convention[[#This Row],[NumL]],T_TraitDi[#Data],COLUMN(T_TraitDi[Colonne23]),FALSE),"")</f>
        <v/>
      </c>
      <c r="AY176" s="284" t="e">
        <f>IF(VLOOKUP(T_Convention[[#This Row],[NumL]],T_TraitDi[#Data],COLUMN(T_TraitDi[Colonne24]),FALSE)=0,"",TEXT(IFERROR(VLOOKUP(T_Convention[[#This Row],[NumL]],T_TraitDi[#Data],COLUMN(T_TraitDi[Colonne24]),FALSE),""),"[hh]:mm"))</f>
        <v>#N/A</v>
      </c>
      <c r="AZ176" s="284" t="e">
        <f>IF(VLOOKUP(T_Convention[[#This Row],[NumL]],T_TraitDi[#Data],COLUMN(T_TraitDi[Colonne25]),FALSE)=0,"",TEXT(IFERROR(VLOOKUP(T_Convention[[#This Row],[NumL]],T_TraitDi[#Data],COLUMN(T_TraitDi[Colonne25]),FALSE),""),"[hh]:mm"))</f>
        <v>#N/A</v>
      </c>
      <c r="BA176" s="284" t="e">
        <f>IF(VLOOKUP(T_Convention[[#This Row],[NumL]],T_TraitDi[#Data],COLUMN(T_TraitDi[Colonne26]),FALSE)=0,"",TEXT(IFERROR(VLOOKUP(T_Convention[[#This Row],[NumL]],T_TraitDi[#Data],COLUMN(T_TraitDi[Colonne26]),FALSE),""),"[hh]:mm"))</f>
        <v>#N/A</v>
      </c>
      <c r="BB176" s="284" t="str">
        <f>IFERROR(VLOOKUP(T_Convention[[#This Row],[NumL]],T_TraitDi[#Data],COLUMN(T_TraitDi[Vendredi]),FALSE),"")</f>
        <v/>
      </c>
      <c r="BC176" s="284" t="e">
        <f>IF(VLOOKUP(T_Convention[[#This Row],[NumL]],T_TraitDi[#Data],COLUMN(T_TraitDi[Colonne27]),FALSE)=0,"",TEXT(IFERROR(VLOOKUP(T_Convention[[#This Row],[NumL]],T_TraitDi[#Data],COLUMN(T_TraitDi[Colonne27]),FALSE),""),"[hh]:mm"))</f>
        <v>#N/A</v>
      </c>
      <c r="BD176" s="284" t="e">
        <f>IF(VLOOKUP(T_Convention[[#This Row],[NumL]],T_TraitDi[#Data],COLUMN(T_TraitDi[Colonne28]),FALSE)=0,"",TEXT(IFERROR(VLOOKUP(T_Convention[[#This Row],[NumL]],T_TraitDi[#Data],COLUMN(T_TraitDi[Colonne28]),FALSE),""),"[hh]:mm"))</f>
        <v>#N/A</v>
      </c>
      <c r="BE176" s="284" t="str">
        <f>IFERROR(VLOOKUP(T_Convention[[#This Row],[NumL]],T_TraitDi[#Data],COLUMN(T_TraitDi[Colonne29]),FALSE),"")</f>
        <v/>
      </c>
      <c r="BF176" s="284" t="e">
        <f>IF(VLOOKUP(T_Convention[[#This Row],[NumL]],T_TraitDi[#Data],COLUMN(T_TraitDi[Colonne30]),FALSE)=0,"",TEXT(IFERROR(VLOOKUP(T_Convention[[#This Row],[NumL]],T_TraitDi[#Data],COLUMN(T_TraitDi[Colonne30]),FALSE),""),"[hh]:mm"))</f>
        <v>#N/A</v>
      </c>
      <c r="BG176" s="284" t="e">
        <f>IF(VLOOKUP(T_Convention[[#This Row],[NumL]],T_TraitDi[#Data],COLUMN(T_TraitDi[Colonne31]),FALSE)=0,"",TEXT(IFERROR(VLOOKUP(T_Convention[[#This Row],[NumL]],T_TraitDi[#Data],COLUMN(T_TraitDi[Colonne31]),FALSE),""),"[hh]:mm"))</f>
        <v>#N/A</v>
      </c>
      <c r="BH176" s="284" t="e">
        <f>IF(VLOOKUP(T_Convention[[#This Row],[NumL]],T_TraitDi[#Data],COLUMN(T_TraitDi[Colonne32]),FALSE)=0,"",TEXT(IFERROR(VLOOKUP(T_Convention[[#This Row],[NumL]],T_TraitDi[#Data],COLUMN(T_TraitDi[Colonne32]),FALSE),""),"[hh]:mm"))</f>
        <v>#N/A</v>
      </c>
      <c r="BI176" s="284" t="str">
        <f>IFERROR(VLOOKUP(T_Convention[[#This Row],[NumL]],T_TraitDi[#Data],COLUMN(T_TraitDi[NbJTW]),FALSE),"")</f>
        <v/>
      </c>
      <c r="BJ176" s="284" t="e">
        <f>IF(VLOOKUP(T_Convention[[#This Row],[NumL]],T_TraitDi[#Data],COLUMN(T_TraitDi[NbhTW]),FALSE)=0,"",TEXT(IFERROR(VLOOKUP(T_Convention[[#This Row],[NumL]],T_TraitDi[#Data],COLUMN(T_TraitDi[NbhTW]),FALSE),""),"[hh]:mm"))</f>
        <v>#N/A</v>
      </c>
      <c r="BK176" s="286" t="e">
        <f>IF(VLOOKUP(T_Convention[[#This Row],[NumL]],T_TraitDi[#Data],COLUMN(T_TraitDi[Nbhheb]),FALSE)=0,"",TEXT(IFERROR(VLOOKUP(T_Convention[[#This Row],[NumL]],T_TraitDi[#Data],COLUMN(T_TraitDi[Nbhheb]),FALSE),""),"[hh]:mm"))</f>
        <v>#N/A</v>
      </c>
      <c r="BL176" s="287" t="str">
        <f>IFERROR(VLOOKUP(VLOOKUP(T_Convention[[#This Row],[NumL]],T_TraitDi[#Data],COLUMN(T_TraitDi[Type1]),FALSE),TypeTW,2,FALSE),"")</f>
        <v/>
      </c>
      <c r="BM176" s="288" t="str">
        <f>IFERROR(VLOOKUP(T_Convention[[#This Row],[NumL]],T_TraitDi[#Data],COLUMN(T_TraitDi[Rue1]),FALSE),"")</f>
        <v/>
      </c>
      <c r="BN176" s="289" t="str">
        <f>IFERROR(VLOOKUP(T_Convention[[#This Row],[NumL]],T_TraitDi[#Data],COLUMN(T_TraitDi[CP1]),FALSE),"")</f>
        <v/>
      </c>
      <c r="BO176" s="282" t="str">
        <f>IFERROR(VLOOKUP(T_Convention[[#This Row],[NumL]],T_TraitDi[#Data],COLUMN(T_TraitDi[VILLE1]),FALSE),"")</f>
        <v/>
      </c>
      <c r="BP176" s="290" t="str">
        <f>IFERROR(VLOOKUP(VLOOKUP(T_Convention[[#This Row],[NumL]],T_TraitDi[#Data],COLUMN(T_TraitDi[Type2]),FALSE),TypeTW,2,FALSE),"")</f>
        <v/>
      </c>
      <c r="BQ176" s="182" t="str">
        <f>IFERROR(VLOOKUP(T_Convention[[#This Row],[NumL]],T_TraitDi[#Data],COLUMN(T_TraitDi[Rue2]),FALSE),"")</f>
        <v/>
      </c>
      <c r="BR176" s="173" t="str">
        <f>IFERROR(VLOOKUP(T_Convention[[#This Row],[NumL]],T_TraitDi[#Data],COLUMN(T_TraitDi[CP2]),FALSE),"")</f>
        <v/>
      </c>
      <c r="BS176" s="173" t="str">
        <f>IFERROR(VLOOKUP(T_Convention[[#This Row],[NumL]],T_TraitDi[#Data],COLUMN(T_TraitDi[VILLE2]),FALSE),"")</f>
        <v/>
      </c>
      <c r="BT176" s="182" t="str">
        <f>IF(VLOOKUP(T_Convention[[#This Row],[NumL]],T_Equipement[#Data],COLUMN(T_Equipement[PC]),FALSE)="","Aucun équipement spécifique directement lié au télétravail",VLOOKUP(T_Convention[[#This Row],[NumL]],T_Equipement[#Data],COLUMN(T_Equipement[PC]),FALSE))</f>
        <v xml:space="preserve">20-373	</v>
      </c>
      <c r="BU176" s="166" t="str">
        <f>IFERROR(IF(VLOOKUP(T_Convention[[#This Row],[NumL]],T_TraitDi[#Data],COLUMN(T_TraitDi[Plan]),FALSE)="OK","Un planning spécifique de télétravail est annexé à la présente convention.",""),"")</f>
        <v/>
      </c>
      <c r="BV176" s="185"/>
      <c r="BW176" s="164" t="e">
        <f>IF(VLOOKUP(T_Convention[[#This Row],[NumL]],T_suiviDi[#Data],COLUMN(T_suiviDi[Entité]),FALSE)="","",VLOOKUP(T_Convention[[#This Row],[NumL]],T_suiviDi[#Data],COLUMN(T_suiviDi[Entité]),FALSE))</f>
        <v>#N/A</v>
      </c>
      <c r="BX176" s="164" t="str">
        <f>IF(VLOOKUP(T_Convention[[#This Row],[NumL]],T_Commission[#Data],COLUMN(T_Commission[envoi confirm TW]),FALSE)="","",VLOOKUP(T_Convention[[#This Row],[NumL]],T_Commission[#Data],COLUMN(T_Commission[envoi confirm TW]),FALSE))</f>
        <v>Oui</v>
      </c>
      <c r="BY17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6" s="264">
        <f>VLOOKUP(T_Convention[[#This Row],[NumL]],T_Commission[#Data],COLUMN(T_Commission[Commentaire]),FALSE)</f>
        <v>0</v>
      </c>
      <c r="CA176" s="254" t="str">
        <f>IF(VLOOKUP(T_Convention[[#This Row],[NumL]],T_Commission[#Data],COLUMN(T_Commission[Encadrant Email]),FALSE)="","",VLOOKUP(T_Convention[[#This Row],[NumL]],T_Commission[#Data],COLUMN(T_Commission[Encadrant Email]),FALSE))</f>
        <v/>
      </c>
      <c r="CB176" s="352" t="e">
        <f>VLOOKUP(T_Convention[[#This Row],[NumL]],T_TraitDi[#Data],COLUMN(T_TraitDi[NbJTot]),FALSE)</f>
        <v>#N/A</v>
      </c>
      <c r="CC176" s="352" t="e">
        <f>VLOOKUP(T_Convention[[#This Row],[NumL]],T_TraitDi[#Data],COLUMN(T_TraitDi[Reg Ponct]),FALSE)</f>
        <v>#N/A</v>
      </c>
      <c r="CD176" s="348" t="str">
        <f>IF(T_Convention[[#This Row],[Final]]&lt;&gt;"",VLOOKUP(T_Convention[[#This Row],[NumL]],T_suiviDi[#Data],COLUMN((T_suiviDi[Statut])),FALSE),"")</f>
        <v/>
      </c>
    </row>
    <row r="177" spans="1:82" s="106" customFormat="1" ht="18.75" customHeight="1" x14ac:dyDescent="0.25">
      <c r="A177" s="160">
        <v>250</v>
      </c>
      <c r="B177" s="161" t="str">
        <f>VLOOKUP(T_Convention[[#This Row],[NumL]],T_Commission[#Data],COLUMN(T_Commission[FINAL]),FALSE)</f>
        <v/>
      </c>
      <c r="C177" s="162"/>
      <c r="D177" s="95" t="e">
        <f>IF(VLOOKUP(T_Convention[[#This Row],[NumL]],T_TraitDi[#Data],COLUMN(T_TraitDi[WebC]),FALSE)="","",VLOOKUP(T_Convention[[#This Row],[NumL]],T_TraitDi[#Data],COLUMN(T_TraitDi[WebC]),FALSE))</f>
        <v>#N/A</v>
      </c>
      <c r="E177" s="163" t="str">
        <f t="shared" si="10"/>
        <v>12 janvier 2021</v>
      </c>
      <c r="F177" s="282" t="str">
        <f>IF(T_Convention[[#This Row],[Final]]&lt;&gt;"",VLOOKUP(T_Convention[[#This Row],[NumL]],T_suiviDi[#Data],COLUMN((T_suiviDi[Civ.])),FALSE),"")</f>
        <v/>
      </c>
      <c r="G177" s="283" t="str">
        <f>IF(T_Convention[[#This Row],[Final]]&lt;&gt;"",VLOOKUP(T_Convention[[#This Row],[NumL]],T_suiviDi[#Data],COLUMN((T_suiviDi[Nom])),FALSE),"")</f>
        <v/>
      </c>
      <c r="H177" s="282" t="str">
        <f>IF(T_Convention[[#This Row],[Final]]&lt;&gt;"",VLOOKUP(T_Convention[[#This Row],[NumL]],T_suiviDi[#Data],COLUMN((T_suiviDi[Prénom])),FALSE),"")</f>
        <v/>
      </c>
      <c r="I177" s="282" t="e">
        <f>VLOOKUP(T_Convention[[#This Row],[NumL]],T_suiviDi[#Data],COLUMN((T_suiviDi[[#This Row],[Email]])),FALSE)</f>
        <v>#VALUE!</v>
      </c>
      <c r="J177" s="282" t="e">
        <f>IF(VLOOKUP(T_Convention[[#This Row],[NumL]],T_suiviDi[#Data],COLUMN(T_suiviDi[[#This Row],[Fonction]]),FALSE)="","",VLOOKUP(T_Convention[[#This Row],[NumL]],T_suiviDi[#Data],COLUMN(T_suiviDi[[#This Row],[Fonction]]),FALSE))</f>
        <v>#VALUE!</v>
      </c>
      <c r="K177" s="282" t="e">
        <f>IF(VLOOKUP(T_Convention[[#This Row],[NumL]],T_suiviDi[#Data],COLUMN(T_suiviDi[[#This Row],[Grade]]),FALSE)="","",VLOOKUP(T_Convention[[#This Row],[NumL]],T_suiviDi[#Data],COLUMN(T_suiviDi[[#This Row],[Grade]]),FALSE))</f>
        <v>#VALUE!</v>
      </c>
      <c r="L177" s="282" t="e">
        <f>IF(VLOOKUP(T_Convention[[#This Row],[NumL]],T_suiviDi[#Data],COLUMN(T_suiviDi[[#This Row],[Service ]]),FALSE)="","",VLOOKUP(T_Convention[[#This Row],[NumL]],T_suiviDi[#Data],COLUMN(T_suiviDi[[#This Row],[Service ]]),FALSE))</f>
        <v>#VALUE!</v>
      </c>
      <c r="M177" s="164" t="str">
        <f t="shared" si="11"/>
        <v>01 septembre 2021</v>
      </c>
      <c r="N177" s="164" t="str">
        <f t="shared" si="12"/>
        <v>30 novembre 2021</v>
      </c>
      <c r="O177" s="284" t="str">
        <f t="shared" si="13"/>
        <v>30 novembre 2021</v>
      </c>
      <c r="P177" s="282" t="e">
        <f>IF(VLOOKUP(T_Convention[[#This Row],[NumL]],T_TraitDi[#Data],COLUMN(T_TraitDi[M1]),FALSE)="","",VLOOKUP(T_Convention[[#This Row],[NumL]],T_TraitDi[#Data],COLUMN(T_TraitDi[M1]),FALSE))</f>
        <v>#N/A</v>
      </c>
      <c r="Q177" s="282" t="e">
        <f>IF(VLOOKUP(T_Convention[[#This Row],[NumL]],T_TraitDi[#Data],COLUMN(T_TraitDi[M2]),FALSE)="","",VLOOKUP(T_Convention[[#This Row],[NumL]],T_TraitDi[#Data],COLUMN(T_TraitDi[M2]),FALSE))</f>
        <v>#N/A</v>
      </c>
      <c r="R177" s="282" t="e">
        <f>IF(VLOOKUP(T_Convention[[#This Row],[NumL]],T_TraitDi[#Data],COLUMN(T_TraitDi[M3]),FALSE)="","",VLOOKUP(T_Convention[[#This Row],[NumL]],T_TraitDi[#Data],COLUMN(T_TraitDi[M3]),FALSE))</f>
        <v>#N/A</v>
      </c>
      <c r="S177" s="282" t="e">
        <f>IF(VLOOKUP(T_Convention[[#This Row],[NumL]],T_TraitDi[#Data],COLUMN(T_TraitDi[M4]),FALSE)="","",VLOOKUP(T_Convention[[#This Row],[NumL]],T_TraitDi[#Data],COLUMN(T_TraitDi[M4]),FALSE))</f>
        <v>#N/A</v>
      </c>
      <c r="T177" s="282" t="e">
        <f>IF(VLOOKUP(T_Convention[[#This Row],[NumL]],T_TraitDi[#Data],COLUMN(T_TraitDi[M5]),FALSE)="","",VLOOKUP(T_Convention[[#This Row],[NumL]],T_TraitDi[#Data],COLUMN(T_TraitDi[M5]),FALSE))</f>
        <v>#N/A</v>
      </c>
      <c r="U177" s="282" t="e">
        <f>IF(VLOOKUP(T_Convention[[#This Row],[NumL]],T_TraitDi[#Data],COLUMN(T_TraitDi[M6]),FALSE)="","",VLOOKUP(T_Convention[[#This Row],[NumL]],T_TraitDi[#Data],COLUMN(T_TraitDi[M6]),FALSE))</f>
        <v>#N/A</v>
      </c>
      <c r="V177" s="176" t="e">
        <f t="shared" si="14"/>
        <v>#N/A</v>
      </c>
      <c r="W177" s="284" t="str">
        <f>IFERROR(TEXT(VLOOKUP(T_Convention[[#This Row],[NumL]],T_TraitDi[#Data],COLUMN(T_TraitDi[Q2]),FALSE),"###%"),"")</f>
        <v/>
      </c>
      <c r="X177" s="97" t="e">
        <f>VLOOKUP(T_Convention[[#This Row],[NumL]],T_TraitDi[#Data],COLUMN(T_TraitDi[Reg Ponct]),FALSE)</f>
        <v>#N/A</v>
      </c>
      <c r="Y177" s="97" t="e">
        <f>VLOOKUP(T_Convention[NumL],T_TraitDi[#Data],COLUMN(T_TraitDi[Jours flottants]),FALSE)</f>
        <v>#N/A</v>
      </c>
      <c r="Z177" s="284" t="str">
        <f>IFERROR(VLOOKUP(T_Convention[[#This Row],[NumL]],T_TraitDi[#Data],COLUMN(T_TraitDi[Lundi]),FALSE),"")</f>
        <v/>
      </c>
      <c r="AA177" s="284" t="e">
        <f>IF(VLOOKUP(T_Convention[[#This Row],[NumL]],T_TraitDi[#Data],COLUMN(T_TraitDi[Colonne3]),FALSE)=0,"",TEXT(IFERROR(VLOOKUP(T_Convention[[#This Row],[NumL]],T_TraitDi[#Data],COLUMN(T_TraitDi[Colonne3]),FALSE),""),"[hh]:mm"))</f>
        <v>#N/A</v>
      </c>
      <c r="AB177" s="284" t="e">
        <f>IF(VLOOKUP(T_Convention[[#This Row],[NumL]],T_TraitDi[#Data],COLUMN(T_TraitDi[Colonne4]),FALSE)=0,"",TEXT(IFERROR(VLOOKUP(T_Convention[[#This Row],[NumL]],T_TraitDi[#Data],COLUMN(T_TraitDi[Colonne4]),FALSE),""),"[hh]:mm"))</f>
        <v>#N/A</v>
      </c>
      <c r="AC177" s="284" t="e">
        <f>IF(VLOOKUP(T_Convention[[#This Row],[NumL]],T_TraitDi[#Data],COLUMN(T_TraitDi[Colonne5]),FALSE)=0,"",TEXT(IFERROR(VLOOKUP(T_Convention[[#This Row],[NumL]],T_TraitDi[#Data],COLUMN(T_TraitDi[Colonne5]),FALSE),""),"[hh]:mm"))</f>
        <v>#N/A</v>
      </c>
      <c r="AD177" s="284" t="e">
        <f>IF(VLOOKUP(T_Convention[[#This Row],[NumL]],T_TraitDi[#Data],COLUMN(T_TraitDi[Colonne6]),FALSE)=0,"",TEXT(IFERROR(VLOOKUP(T_Convention[[#This Row],[NumL]],T_TraitDi[#Data],COLUMN(T_TraitDi[Colonne6]),FALSE),""),"[hh]:mm"))</f>
        <v>#N/A</v>
      </c>
      <c r="AE177" s="284" t="e">
        <f>IF(VLOOKUP(T_Convention[[#This Row],[NumL]],T_TraitDi[#Data],COLUMN(T_TraitDi[Colonne7]),FALSE)=0,"",TEXT(IFERROR(VLOOKUP(T_Convention[[#This Row],[NumL]],T_TraitDi[#Data],COLUMN(T_TraitDi[Colonne7]),FALSE),""),"[hh]:mm"))</f>
        <v>#N/A</v>
      </c>
      <c r="AF177" s="284" t="e">
        <f>IF(VLOOKUP(T_Convention[[#This Row],[NumL]],T_TraitDi[#Data],COLUMN(T_TraitDi[Colonne8]),FALSE)=0,"",TEXT(IFERROR(VLOOKUP(T_Convention[[#This Row],[NumL]],T_TraitDi[#Data],COLUMN(T_TraitDi[Colonne8]),FALSE),""),"[hh]:mm"))</f>
        <v>#N/A</v>
      </c>
      <c r="AG177" s="284" t="str">
        <f>IFERROR(VLOOKUP(T_Convention[[#This Row],[NumL]],T_TraitDi[#Data],COLUMN(T_TraitDi[Mardi]),FALSE),"")</f>
        <v/>
      </c>
      <c r="AH177" s="284" t="e">
        <f>IF(VLOOKUP(T_Convention[[#This Row],[NumL]],T_TraitDi[#Data],COLUMN(T_TraitDi[Colonne1]),FALSE)=0,"",TEXT(IFERROR(VLOOKUP(T_Convention[[#This Row],[NumL]],T_TraitDi[#Data],COLUMN(T_TraitDi[Colonne1]),FALSE),""),"[hh]:mm"))</f>
        <v>#N/A</v>
      </c>
      <c r="AI177" s="284" t="e">
        <f>IF(VLOOKUP(T_Convention[[#This Row],[NumL]],T_TraitDi[#Data],COLUMN(T_TraitDi[Colonne9]),FALSE)=0,"",TEXT(IFERROR(VLOOKUP(T_Convention[[#This Row],[NumL]],T_TraitDi[#Data],COLUMN(T_TraitDi[Colonne9]),FALSE),""),"[hh]:mm"))</f>
        <v>#N/A</v>
      </c>
      <c r="AJ177" s="284" t="str">
        <f>IFERROR(VLOOKUP(T_Convention[[#This Row],[NumL]],T_TraitDi[#Data],COLUMN(T_TraitDi[Colonne10]),FALSE),"")</f>
        <v/>
      </c>
      <c r="AK177" s="284" t="e">
        <f>IF(VLOOKUP(T_Convention[[#This Row],[NumL]],T_TraitDi[#Data],COLUMN(T_TraitDi[Colonne11]),FALSE)=0,"",TEXT(IFERROR(VLOOKUP(T_Convention[[#This Row],[NumL]],T_TraitDi[#Data],COLUMN(T_TraitDi[Colonne11]),FALSE),""),"[hh]:mm"))</f>
        <v>#N/A</v>
      </c>
      <c r="AL177" s="284" t="e">
        <f>IF(VLOOKUP(T_Convention[[#This Row],[NumL]],T_TraitDi[#Data],COLUMN(T_TraitDi[Colonne12]),FALSE)=0,"",TEXT(IFERROR(VLOOKUP(T_Convention[[#This Row],[NumL]],T_TraitDi[#Data],COLUMN(T_TraitDi[Colonne12]),FALSE),""),"[hh]:mm"))</f>
        <v>#N/A</v>
      </c>
      <c r="AM177" s="284" t="e">
        <f>IF(VLOOKUP(T_Convention[[#This Row],[NumL]],T_TraitDi[#Data],COLUMN(T_TraitDi[Colonne14]),FALSE)=0,"",TEXT(IFERROR(VLOOKUP(T_Convention[[#This Row],[NumL]],T_TraitDi[#Data],COLUMN(T_TraitDi[Colonne14]),FALSE),""),"[hh]:mm"))</f>
        <v>#N/A</v>
      </c>
      <c r="AN177" s="284" t="str">
        <f>IFERROR(VLOOKUP(T_Convention[[#This Row],[NumL]],T_TraitDi[#Data],COLUMN(T_TraitDi[Mercredi]),FALSE),"")</f>
        <v/>
      </c>
      <c r="AO177" s="284" t="e">
        <f>IF(VLOOKUP(T_Convention[[#This Row],[NumL]],T_TraitDi[#Data],COLUMN(T_TraitDi[Colonne15]),FALSE)=0,"",TEXT(IFERROR(VLOOKUP(T_Convention[[#This Row],[NumL]],T_TraitDi[#Data],COLUMN(T_TraitDi[Colonne15]),FALSE),""),"[hh]:mm"))</f>
        <v>#N/A</v>
      </c>
      <c r="AP177" s="284" t="e">
        <f>IF(VLOOKUP(T_Convention[[#This Row],[NumL]],T_TraitDi[#Data],COLUMN(T_TraitDi[Colonne16]),FALSE)=0,"",TEXT(IFERROR(VLOOKUP(T_Convention[[#This Row],[NumL]],T_TraitDi[#Data],COLUMN(T_TraitDi[Colonne16]),FALSE),""),"[hh]:mm"))</f>
        <v>#N/A</v>
      </c>
      <c r="AQ177" s="284" t="str">
        <f>IFERROR(VLOOKUP(T_Convention[[#This Row],[NumL]],T_TraitDi[#Data],COLUMN(T_TraitDi[Colonne17]),FALSE),"")</f>
        <v/>
      </c>
      <c r="AR177" s="284" t="e">
        <f>IF(VLOOKUP(T_Convention[[#This Row],[NumL]],T_TraitDi[#Data],COLUMN(T_TraitDi[Colonne18]),FALSE)=0,"",TEXT(IFERROR(VLOOKUP(T_Convention[[#This Row],[NumL]],T_TraitDi[#Data],COLUMN(T_TraitDi[Colonne18]),FALSE),""),"[hh]:mm"))</f>
        <v>#N/A</v>
      </c>
      <c r="AS177" s="284" t="e">
        <f>IF(VLOOKUP(T_Convention[[#This Row],[NumL]],T_TraitDi[#Data],COLUMN(T_TraitDi[Colonne19]),FALSE)=0,"",TEXT(IFERROR(VLOOKUP(T_Convention[[#This Row],[NumL]],T_TraitDi[#Data],COLUMN(T_TraitDi[Colonne19]),FALSE),""),"[hh]:mm"))</f>
        <v>#N/A</v>
      </c>
      <c r="AT177" s="284" t="e">
        <f>IF(VLOOKUP(T_Convention[[#This Row],[NumL]],T_TraitDi[#Data],COLUMN(T_TraitDi[Colonne20]),FALSE)=0,"",TEXT(IFERROR(VLOOKUP(T_Convention[[#This Row],[NumL]],T_TraitDi[#Data],COLUMN(T_TraitDi[Colonne20]),FALSE),""),"[hh]:mm"))</f>
        <v>#N/A</v>
      </c>
      <c r="AU177" s="284" t="str">
        <f>IFERROR(VLOOKUP(T_Convention[[#This Row],[NumL]],T_TraitDi[#Data],COLUMN(T_TraitDi[Jeudi]),FALSE),"")</f>
        <v/>
      </c>
      <c r="AV177" s="284" t="e">
        <f>IF(VLOOKUP(T_Convention[[#This Row],[NumL]],T_TraitDi[#Data],COLUMN(T_TraitDi[Colonne21]),FALSE)=0,"",TEXT(IFERROR(VLOOKUP(T_Convention[[#This Row],[NumL]],T_TraitDi[#Data],COLUMN(T_TraitDi[Colonne21]),FALSE),""),"[hh]:mm"))</f>
        <v>#N/A</v>
      </c>
      <c r="AW177" s="284" t="e">
        <f>IF(VLOOKUP(T_Convention[[#This Row],[NumL]],T_TraitDi[#Data],COLUMN(T_TraitDi[Colonne22]),FALSE)=0,"",TEXT(IFERROR(VLOOKUP(T_Convention[[#This Row],[NumL]],T_TraitDi[#Data],COLUMN(T_TraitDi[Colonne22]),FALSE),""),"[hh]:mm"))</f>
        <v>#N/A</v>
      </c>
      <c r="AX177" s="284" t="str">
        <f>IFERROR(VLOOKUP(T_Convention[[#This Row],[NumL]],T_TraitDi[#Data],COLUMN(T_TraitDi[Colonne23]),FALSE),"")</f>
        <v/>
      </c>
      <c r="AY177" s="284" t="e">
        <f>IF(VLOOKUP(T_Convention[[#This Row],[NumL]],T_TraitDi[#Data],COLUMN(T_TraitDi[Colonne24]),FALSE)=0,"",TEXT(IFERROR(VLOOKUP(T_Convention[[#This Row],[NumL]],T_TraitDi[#Data],COLUMN(T_TraitDi[Colonne24]),FALSE),""),"[hh]:mm"))</f>
        <v>#N/A</v>
      </c>
      <c r="AZ177" s="284" t="e">
        <f>IF(VLOOKUP(T_Convention[[#This Row],[NumL]],T_TraitDi[#Data],COLUMN(T_TraitDi[Colonne25]),FALSE)=0,"",TEXT(IFERROR(VLOOKUP(T_Convention[[#This Row],[NumL]],T_TraitDi[#Data],COLUMN(T_TraitDi[Colonne25]),FALSE),""),"[hh]:mm"))</f>
        <v>#N/A</v>
      </c>
      <c r="BA177" s="284" t="e">
        <f>IF(VLOOKUP(T_Convention[[#This Row],[NumL]],T_TraitDi[#Data],COLUMN(T_TraitDi[Colonne26]),FALSE)=0,"",TEXT(IFERROR(VLOOKUP(T_Convention[[#This Row],[NumL]],T_TraitDi[#Data],COLUMN(T_TraitDi[Colonne26]),FALSE),""),"[hh]:mm"))</f>
        <v>#N/A</v>
      </c>
      <c r="BB177" s="284" t="str">
        <f>IFERROR(VLOOKUP(T_Convention[[#This Row],[NumL]],T_TraitDi[#Data],COLUMN(T_TraitDi[Vendredi]),FALSE),"")</f>
        <v/>
      </c>
      <c r="BC177" s="284" t="e">
        <f>IF(VLOOKUP(T_Convention[[#This Row],[NumL]],T_TraitDi[#Data],COLUMN(T_TraitDi[Colonne27]),FALSE)=0,"",TEXT(IFERROR(VLOOKUP(T_Convention[[#This Row],[NumL]],T_TraitDi[#Data],COLUMN(T_TraitDi[Colonne27]),FALSE),""),"[hh]:mm"))</f>
        <v>#N/A</v>
      </c>
      <c r="BD177" s="284" t="e">
        <f>IF(VLOOKUP(T_Convention[[#This Row],[NumL]],T_TraitDi[#Data],COLUMN(T_TraitDi[Colonne28]),FALSE)=0,"",TEXT(IFERROR(VLOOKUP(T_Convention[[#This Row],[NumL]],T_TraitDi[#Data],COLUMN(T_TraitDi[Colonne28]),FALSE),""),"[hh]:mm"))</f>
        <v>#N/A</v>
      </c>
      <c r="BE177" s="284" t="str">
        <f>IFERROR(VLOOKUP(T_Convention[[#This Row],[NumL]],T_TraitDi[#Data],COLUMN(T_TraitDi[Colonne29]),FALSE),"")</f>
        <v/>
      </c>
      <c r="BF177" s="284" t="e">
        <f>IF(VLOOKUP(T_Convention[[#This Row],[NumL]],T_TraitDi[#Data],COLUMN(T_TraitDi[Colonne30]),FALSE)=0,"",TEXT(IFERROR(VLOOKUP(T_Convention[[#This Row],[NumL]],T_TraitDi[#Data],COLUMN(T_TraitDi[Colonne30]),FALSE),""),"[hh]:mm"))</f>
        <v>#N/A</v>
      </c>
      <c r="BG177" s="284" t="e">
        <f>IF(VLOOKUP(T_Convention[[#This Row],[NumL]],T_TraitDi[#Data],COLUMN(T_TraitDi[Colonne31]),FALSE)=0,"",TEXT(IFERROR(VLOOKUP(T_Convention[[#This Row],[NumL]],T_TraitDi[#Data],COLUMN(T_TraitDi[Colonne31]),FALSE),""),"[hh]:mm"))</f>
        <v>#N/A</v>
      </c>
      <c r="BH177" s="284" t="e">
        <f>IF(VLOOKUP(T_Convention[[#This Row],[NumL]],T_TraitDi[#Data],COLUMN(T_TraitDi[Colonne32]),FALSE)=0,"",TEXT(IFERROR(VLOOKUP(T_Convention[[#This Row],[NumL]],T_TraitDi[#Data],COLUMN(T_TraitDi[Colonne32]),FALSE),""),"[hh]:mm"))</f>
        <v>#N/A</v>
      </c>
      <c r="BI177" s="284" t="str">
        <f>IFERROR(VLOOKUP(T_Convention[[#This Row],[NumL]],T_TraitDi[#Data],COLUMN(T_TraitDi[NbJTW]),FALSE),"")</f>
        <v/>
      </c>
      <c r="BJ177" s="284" t="e">
        <f>IF(VLOOKUP(T_Convention[[#This Row],[NumL]],T_TraitDi[#Data],COLUMN(T_TraitDi[NbhTW]),FALSE)=0,"",TEXT(IFERROR(VLOOKUP(T_Convention[[#This Row],[NumL]],T_TraitDi[#Data],COLUMN(T_TraitDi[NbhTW]),FALSE),""),"[hh]:mm"))</f>
        <v>#N/A</v>
      </c>
      <c r="BK177" s="286" t="e">
        <f>IF(VLOOKUP(T_Convention[[#This Row],[NumL]],T_TraitDi[#Data],COLUMN(T_TraitDi[Nbhheb]),FALSE)=0,"",TEXT(IFERROR(VLOOKUP(T_Convention[[#This Row],[NumL]],T_TraitDi[#Data],COLUMN(T_TraitDi[Nbhheb]),FALSE),""),"[hh]:mm"))</f>
        <v>#N/A</v>
      </c>
      <c r="BL177" s="287" t="str">
        <f>IFERROR(VLOOKUP(VLOOKUP(T_Convention[[#This Row],[NumL]],T_TraitDi[#Data],COLUMN(T_TraitDi[Type1]),FALSE),TypeTW,2,FALSE),"")</f>
        <v/>
      </c>
      <c r="BM177" s="288" t="str">
        <f>IFERROR(VLOOKUP(T_Convention[[#This Row],[NumL]],T_TraitDi[#Data],COLUMN(T_TraitDi[Rue1]),FALSE),"")</f>
        <v/>
      </c>
      <c r="BN177" s="289" t="str">
        <f>IFERROR(VLOOKUP(T_Convention[[#This Row],[NumL]],T_TraitDi[#Data],COLUMN(T_TraitDi[CP1]),FALSE),"")</f>
        <v/>
      </c>
      <c r="BO177" s="282" t="str">
        <f>IFERROR(VLOOKUP(T_Convention[[#This Row],[NumL]],T_TraitDi[#Data],COLUMN(T_TraitDi[VILLE1]),FALSE),"")</f>
        <v/>
      </c>
      <c r="BP177" s="290" t="str">
        <f>IFERROR(VLOOKUP(VLOOKUP(T_Convention[[#This Row],[NumL]],T_TraitDi[#Data],COLUMN(T_TraitDi[Type2]),FALSE),TypeTW,2,FALSE),"")</f>
        <v/>
      </c>
      <c r="BQ177" s="182" t="str">
        <f>IFERROR(VLOOKUP(T_Convention[[#This Row],[NumL]],T_TraitDi[#Data],COLUMN(T_TraitDi[Rue2]),FALSE),"")</f>
        <v/>
      </c>
      <c r="BR177" s="173" t="str">
        <f>IFERROR(VLOOKUP(T_Convention[[#This Row],[NumL]],T_TraitDi[#Data],COLUMN(T_TraitDi[CP2]),FALSE),"")</f>
        <v/>
      </c>
      <c r="BS177" s="173" t="str">
        <f>IFERROR(VLOOKUP(T_Convention[[#This Row],[NumL]],T_TraitDi[#Data],COLUMN(T_TraitDi[VILLE2]),FALSE),"")</f>
        <v/>
      </c>
      <c r="BT177" s="182" t="str">
        <f>IF(VLOOKUP(T_Convention[[#This Row],[NumL]],T_Equipement[#Data],COLUMN(T_Equipement[PC]),FALSE)="","Aucun équipement spécifique directement lié au télétravail",VLOOKUP(T_Convention[[#This Row],[NumL]],T_Equipement[#Data],COLUMN(T_Equipement[PC]),FALSE))</f>
        <v xml:space="preserve">20-657	</v>
      </c>
      <c r="BU177" s="166" t="str">
        <f>IFERROR(IF(VLOOKUP(T_Convention[[#This Row],[NumL]],T_TraitDi[#Data],COLUMN(T_TraitDi[Plan]),FALSE)="OK","Un planning spécifique de télétravail est annexé à la présente convention.",""),"")</f>
        <v/>
      </c>
      <c r="BV177" s="185" t="s">
        <v>3433</v>
      </c>
      <c r="BW177" s="164" t="e">
        <f>IF(VLOOKUP(T_Convention[[#This Row],[NumL]],T_suiviDi[#Data],COLUMN(T_suiviDi[Entité]),FALSE)="","",VLOOKUP(T_Convention[[#This Row],[NumL]],T_suiviDi[#Data],COLUMN(T_suiviDi[Entité]),FALSE))</f>
        <v>#N/A</v>
      </c>
      <c r="BX177" s="164" t="str">
        <f>IF(VLOOKUP(T_Convention[[#This Row],[NumL]],T_Commission[#Data],COLUMN(T_Commission[envoi confirm TW]),FALSE)="","",VLOOKUP(T_Convention[[#This Row],[NumL]],T_Commission[#Data],COLUMN(T_Commission[envoi confirm TW]),FALSE))</f>
        <v>Oui</v>
      </c>
      <c r="BY17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7" s="264">
        <f>VLOOKUP(T_Convention[[#This Row],[NumL]],T_Commission[#Data],COLUMN(T_Commission[Commentaire]),FALSE)</f>
        <v>0</v>
      </c>
      <c r="CA177" s="254" t="str">
        <f>IF(VLOOKUP(T_Convention[[#This Row],[NumL]],T_Commission[#Data],COLUMN(T_Commission[Encadrant Email]),FALSE)="","",VLOOKUP(T_Convention[[#This Row],[NumL]],T_Commission[#Data],COLUMN(T_Commission[Encadrant Email]),FALSE))</f>
        <v/>
      </c>
      <c r="CB177" s="352" t="e">
        <f>VLOOKUP(T_Convention[[#This Row],[NumL]],T_TraitDi[#Data],COLUMN(T_TraitDi[NbJTot]),FALSE)</f>
        <v>#N/A</v>
      </c>
      <c r="CC177" s="352" t="e">
        <f>VLOOKUP(T_Convention[[#This Row],[NumL]],T_TraitDi[#Data],COLUMN(T_TraitDi[Reg Ponct]),FALSE)</f>
        <v>#N/A</v>
      </c>
      <c r="CD177" s="348" t="str">
        <f>IF(T_Convention[[#This Row],[Final]]&lt;&gt;"",VLOOKUP(T_Convention[[#This Row],[NumL]],T_suiviDi[#Data],COLUMN((T_suiviDi[Statut])),FALSE),"")</f>
        <v/>
      </c>
    </row>
    <row r="178" spans="1:82" s="106" customFormat="1" ht="18.75" customHeight="1" x14ac:dyDescent="0.25">
      <c r="A178" s="160">
        <v>81</v>
      </c>
      <c r="B178" s="161" t="str">
        <f>VLOOKUP(T_Convention[[#This Row],[NumL]],T_Commission[#Data],COLUMN(T_Commission[FINAL]),FALSE)</f>
        <v/>
      </c>
      <c r="C178" s="162"/>
      <c r="D178" s="95" t="e">
        <f>IF(VLOOKUP(T_Convention[[#This Row],[NumL]],T_TraitDi[#Data],COLUMN(T_TraitDi[WebC]),FALSE)="","",VLOOKUP(T_Convention[[#This Row],[NumL]],T_TraitDi[#Data],COLUMN(T_TraitDi[WebC]),FALSE))</f>
        <v>#N/A</v>
      </c>
      <c r="E178" s="163" t="str">
        <f t="shared" si="10"/>
        <v>12 janvier 2021</v>
      </c>
      <c r="F178" s="282" t="str">
        <f>IF(T_Convention[[#This Row],[Final]]&lt;&gt;"",VLOOKUP(T_Convention[[#This Row],[NumL]],T_suiviDi[#Data],COLUMN((T_suiviDi[Civ.])),FALSE),"")</f>
        <v/>
      </c>
      <c r="G178" s="283" t="str">
        <f>IF(T_Convention[[#This Row],[Final]]&lt;&gt;"",VLOOKUP(T_Convention[[#This Row],[NumL]],T_suiviDi[#Data],COLUMN((T_suiviDi[Nom])),FALSE),"")</f>
        <v/>
      </c>
      <c r="H178" s="282" t="str">
        <f>IF(T_Convention[[#This Row],[Final]]&lt;&gt;"",VLOOKUP(T_Convention[[#This Row],[NumL]],T_suiviDi[#Data],COLUMN((T_suiviDi[Prénom])),FALSE),"")</f>
        <v/>
      </c>
      <c r="I178" s="282" t="e">
        <f>VLOOKUP(T_Convention[[#This Row],[NumL]],T_suiviDi[#Data],COLUMN((T_suiviDi[[#This Row],[Email]])),FALSE)</f>
        <v>#VALUE!</v>
      </c>
      <c r="J178" s="282" t="e">
        <f>IF(VLOOKUP(T_Convention[[#This Row],[NumL]],T_suiviDi[#Data],COLUMN(T_suiviDi[[#This Row],[Fonction]]),FALSE)="","",VLOOKUP(T_Convention[[#This Row],[NumL]],T_suiviDi[#Data],COLUMN(T_suiviDi[[#This Row],[Fonction]]),FALSE))</f>
        <v>#VALUE!</v>
      </c>
      <c r="K178" s="282" t="e">
        <f>IF(VLOOKUP(T_Convention[[#This Row],[NumL]],T_suiviDi[#Data],COLUMN(T_suiviDi[[#This Row],[Grade]]),FALSE)="","",VLOOKUP(T_Convention[[#This Row],[NumL]],T_suiviDi[#Data],COLUMN(T_suiviDi[[#This Row],[Grade]]),FALSE))</f>
        <v>#VALUE!</v>
      </c>
      <c r="L178" s="282" t="e">
        <f>IF(VLOOKUP(T_Convention[[#This Row],[NumL]],T_suiviDi[#Data],COLUMN(T_suiviDi[[#This Row],[Service ]]),FALSE)="","",VLOOKUP(T_Convention[[#This Row],[NumL]],T_suiviDi[#Data],COLUMN(T_suiviDi[[#This Row],[Service ]]),FALSE))</f>
        <v>#VALUE!</v>
      </c>
      <c r="M178" s="164" t="str">
        <f t="shared" si="11"/>
        <v>01 septembre 2021</v>
      </c>
      <c r="N178" s="164" t="str">
        <f t="shared" si="12"/>
        <v>30 novembre 2021</v>
      </c>
      <c r="O178" s="284" t="str">
        <f t="shared" si="13"/>
        <v>30 novembre 2021</v>
      </c>
      <c r="P178" s="282" t="e">
        <f>IF(VLOOKUP(T_Convention[[#This Row],[NumL]],T_TraitDi[#Data],COLUMN(T_TraitDi[M1]),FALSE)="","",VLOOKUP(T_Convention[[#This Row],[NumL]],T_TraitDi[#Data],COLUMN(T_TraitDi[M1]),FALSE))</f>
        <v>#N/A</v>
      </c>
      <c r="Q178" s="282" t="e">
        <f>IF(VLOOKUP(T_Convention[[#This Row],[NumL]],T_TraitDi[#Data],COLUMN(T_TraitDi[M2]),FALSE)="","",VLOOKUP(T_Convention[[#This Row],[NumL]],T_TraitDi[#Data],COLUMN(T_TraitDi[M2]),FALSE))</f>
        <v>#N/A</v>
      </c>
      <c r="R178" s="282" t="e">
        <f>IF(VLOOKUP(T_Convention[[#This Row],[NumL]],T_TraitDi[#Data],COLUMN(T_TraitDi[M3]),FALSE)="","",VLOOKUP(T_Convention[[#This Row],[NumL]],T_TraitDi[#Data],COLUMN(T_TraitDi[M3]),FALSE))</f>
        <v>#N/A</v>
      </c>
      <c r="S178" s="282" t="e">
        <f>IF(VLOOKUP(T_Convention[[#This Row],[NumL]],T_TraitDi[#Data],COLUMN(T_TraitDi[M4]),FALSE)="","",VLOOKUP(T_Convention[[#This Row],[NumL]],T_TraitDi[#Data],COLUMN(T_TraitDi[M4]),FALSE))</f>
        <v>#N/A</v>
      </c>
      <c r="T178" s="282" t="e">
        <f>IF(VLOOKUP(T_Convention[[#This Row],[NumL]],T_TraitDi[#Data],COLUMN(T_TraitDi[M5]),FALSE)="","",VLOOKUP(T_Convention[[#This Row],[NumL]],T_TraitDi[#Data],COLUMN(T_TraitDi[M5]),FALSE))</f>
        <v>#N/A</v>
      </c>
      <c r="U178" s="282" t="e">
        <f>IF(VLOOKUP(T_Convention[[#This Row],[NumL]],T_TraitDi[#Data],COLUMN(T_TraitDi[M6]),FALSE)="","",VLOOKUP(T_Convention[[#This Row],[NumL]],T_TraitDi[#Data],COLUMN(T_TraitDi[M6]),FALSE))</f>
        <v>#N/A</v>
      </c>
      <c r="V178" s="176" t="e">
        <f t="shared" si="14"/>
        <v>#N/A</v>
      </c>
      <c r="W178" s="284" t="str">
        <f>IFERROR(TEXT(VLOOKUP(T_Convention[[#This Row],[NumL]],T_TraitDi[#Data],COLUMN(T_TraitDi[Q2]),FALSE),"###%"),"")</f>
        <v/>
      </c>
      <c r="X178" s="97" t="e">
        <f>VLOOKUP(T_Convention[[#This Row],[NumL]],T_TraitDi[#Data],COLUMN(T_TraitDi[Reg Ponct]),FALSE)</f>
        <v>#N/A</v>
      </c>
      <c r="Y178" s="97" t="e">
        <f>VLOOKUP(T_Convention[NumL],T_TraitDi[#Data],COLUMN(T_TraitDi[Jours flottants]),FALSE)</f>
        <v>#N/A</v>
      </c>
      <c r="Z178" s="284" t="str">
        <f>IFERROR(VLOOKUP(T_Convention[[#This Row],[NumL]],T_TraitDi[#Data],COLUMN(T_TraitDi[Lundi]),FALSE),"")</f>
        <v/>
      </c>
      <c r="AA178" s="284" t="e">
        <f>IF(VLOOKUP(T_Convention[[#This Row],[NumL]],T_TraitDi[#Data],COLUMN(T_TraitDi[Colonne3]),FALSE)=0,"",TEXT(IFERROR(VLOOKUP(T_Convention[[#This Row],[NumL]],T_TraitDi[#Data],COLUMN(T_TraitDi[Colonne3]),FALSE),""),"[hh]:mm"))</f>
        <v>#N/A</v>
      </c>
      <c r="AB178" s="284" t="e">
        <f>IF(VLOOKUP(T_Convention[[#This Row],[NumL]],T_TraitDi[#Data],COLUMN(T_TraitDi[Colonne4]),FALSE)=0,"",TEXT(IFERROR(VLOOKUP(T_Convention[[#This Row],[NumL]],T_TraitDi[#Data],COLUMN(T_TraitDi[Colonne4]),FALSE),""),"[hh]:mm"))</f>
        <v>#N/A</v>
      </c>
      <c r="AC178" s="284" t="e">
        <f>IF(VLOOKUP(T_Convention[[#This Row],[NumL]],T_TraitDi[#Data],COLUMN(T_TraitDi[Colonne5]),FALSE)=0,"",TEXT(IFERROR(VLOOKUP(T_Convention[[#This Row],[NumL]],T_TraitDi[#Data],COLUMN(T_TraitDi[Colonne5]),FALSE),""),"[hh]:mm"))</f>
        <v>#N/A</v>
      </c>
      <c r="AD178" s="284" t="e">
        <f>IF(VLOOKUP(T_Convention[[#This Row],[NumL]],T_TraitDi[#Data],COLUMN(T_TraitDi[Colonne6]),FALSE)=0,"",TEXT(IFERROR(VLOOKUP(T_Convention[[#This Row],[NumL]],T_TraitDi[#Data],COLUMN(T_TraitDi[Colonne6]),FALSE),""),"[hh]:mm"))</f>
        <v>#N/A</v>
      </c>
      <c r="AE178" s="284" t="e">
        <f>IF(VLOOKUP(T_Convention[[#This Row],[NumL]],T_TraitDi[#Data],COLUMN(T_TraitDi[Colonne7]),FALSE)=0,"",TEXT(IFERROR(VLOOKUP(T_Convention[[#This Row],[NumL]],T_TraitDi[#Data],COLUMN(T_TraitDi[Colonne7]),FALSE),""),"[hh]:mm"))</f>
        <v>#N/A</v>
      </c>
      <c r="AF178" s="284" t="e">
        <f>IF(VLOOKUP(T_Convention[[#This Row],[NumL]],T_TraitDi[#Data],COLUMN(T_TraitDi[Colonne8]),FALSE)=0,"",TEXT(IFERROR(VLOOKUP(T_Convention[[#This Row],[NumL]],T_TraitDi[#Data],COLUMN(T_TraitDi[Colonne8]),FALSE),""),"[hh]:mm"))</f>
        <v>#N/A</v>
      </c>
      <c r="AG178" s="284" t="str">
        <f>IFERROR(VLOOKUP(T_Convention[[#This Row],[NumL]],T_TraitDi[#Data],COLUMN(T_TraitDi[Mardi]),FALSE),"")</f>
        <v/>
      </c>
      <c r="AH178" s="284" t="e">
        <f>IF(VLOOKUP(T_Convention[[#This Row],[NumL]],T_TraitDi[#Data],COLUMN(T_TraitDi[Colonne1]),FALSE)=0,"",TEXT(IFERROR(VLOOKUP(T_Convention[[#This Row],[NumL]],T_TraitDi[#Data],COLUMN(T_TraitDi[Colonne1]),FALSE),""),"[hh]:mm"))</f>
        <v>#N/A</v>
      </c>
      <c r="AI178" s="284" t="e">
        <f>IF(VLOOKUP(T_Convention[[#This Row],[NumL]],T_TraitDi[#Data],COLUMN(T_TraitDi[Colonne9]),FALSE)=0,"",TEXT(IFERROR(VLOOKUP(T_Convention[[#This Row],[NumL]],T_TraitDi[#Data],COLUMN(T_TraitDi[Colonne9]),FALSE),""),"[hh]:mm"))</f>
        <v>#N/A</v>
      </c>
      <c r="AJ178" s="284" t="str">
        <f>IFERROR(VLOOKUP(T_Convention[[#This Row],[NumL]],T_TraitDi[#Data],COLUMN(T_TraitDi[Colonne10]),FALSE),"")</f>
        <v/>
      </c>
      <c r="AK178" s="284" t="e">
        <f>IF(VLOOKUP(T_Convention[[#This Row],[NumL]],T_TraitDi[#Data],COLUMN(T_TraitDi[Colonne11]),FALSE)=0,"",TEXT(IFERROR(VLOOKUP(T_Convention[[#This Row],[NumL]],T_TraitDi[#Data],COLUMN(T_TraitDi[Colonne11]),FALSE),""),"[hh]:mm"))</f>
        <v>#N/A</v>
      </c>
      <c r="AL178" s="284" t="e">
        <f>IF(VLOOKUP(T_Convention[[#This Row],[NumL]],T_TraitDi[#Data],COLUMN(T_TraitDi[Colonne12]),FALSE)=0,"",TEXT(IFERROR(VLOOKUP(T_Convention[[#This Row],[NumL]],T_TraitDi[#Data],COLUMN(T_TraitDi[Colonne12]),FALSE),""),"[hh]:mm"))</f>
        <v>#N/A</v>
      </c>
      <c r="AM178" s="284" t="e">
        <f>IF(VLOOKUP(T_Convention[[#This Row],[NumL]],T_TraitDi[#Data],COLUMN(T_TraitDi[Colonne14]),FALSE)=0,"",TEXT(IFERROR(VLOOKUP(T_Convention[[#This Row],[NumL]],T_TraitDi[#Data],COLUMN(T_TraitDi[Colonne14]),FALSE),""),"[hh]:mm"))</f>
        <v>#N/A</v>
      </c>
      <c r="AN178" s="284" t="str">
        <f>IFERROR(VLOOKUP(T_Convention[[#This Row],[NumL]],T_TraitDi[#Data],COLUMN(T_TraitDi[Mercredi]),FALSE),"")</f>
        <v/>
      </c>
      <c r="AO178" s="284" t="e">
        <f>IF(VLOOKUP(T_Convention[[#This Row],[NumL]],T_TraitDi[#Data],COLUMN(T_TraitDi[Colonne15]),FALSE)=0,"",TEXT(IFERROR(VLOOKUP(T_Convention[[#This Row],[NumL]],T_TraitDi[#Data],COLUMN(T_TraitDi[Colonne15]),FALSE),""),"[hh]:mm"))</f>
        <v>#N/A</v>
      </c>
      <c r="AP178" s="284" t="e">
        <f>IF(VLOOKUP(T_Convention[[#This Row],[NumL]],T_TraitDi[#Data],COLUMN(T_TraitDi[Colonne16]),FALSE)=0,"",TEXT(IFERROR(VLOOKUP(T_Convention[[#This Row],[NumL]],T_TraitDi[#Data],COLUMN(T_TraitDi[Colonne16]),FALSE),""),"[hh]:mm"))</f>
        <v>#N/A</v>
      </c>
      <c r="AQ178" s="284" t="str">
        <f>IFERROR(VLOOKUP(T_Convention[[#This Row],[NumL]],T_TraitDi[#Data],COLUMN(T_TraitDi[Colonne17]),FALSE),"")</f>
        <v/>
      </c>
      <c r="AR178" s="284" t="e">
        <f>IF(VLOOKUP(T_Convention[[#This Row],[NumL]],T_TraitDi[#Data],COLUMN(T_TraitDi[Colonne18]),FALSE)=0,"",TEXT(IFERROR(VLOOKUP(T_Convention[[#This Row],[NumL]],T_TraitDi[#Data],COLUMN(T_TraitDi[Colonne18]),FALSE),""),"[hh]:mm"))</f>
        <v>#N/A</v>
      </c>
      <c r="AS178" s="284" t="e">
        <f>IF(VLOOKUP(T_Convention[[#This Row],[NumL]],T_TraitDi[#Data],COLUMN(T_TraitDi[Colonne19]),FALSE)=0,"",TEXT(IFERROR(VLOOKUP(T_Convention[[#This Row],[NumL]],T_TraitDi[#Data],COLUMN(T_TraitDi[Colonne19]),FALSE),""),"[hh]:mm"))</f>
        <v>#N/A</v>
      </c>
      <c r="AT178" s="284" t="e">
        <f>IF(VLOOKUP(T_Convention[[#This Row],[NumL]],T_TraitDi[#Data],COLUMN(T_TraitDi[Colonne20]),FALSE)=0,"",TEXT(IFERROR(VLOOKUP(T_Convention[[#This Row],[NumL]],T_TraitDi[#Data],COLUMN(T_TraitDi[Colonne20]),FALSE),""),"[hh]:mm"))</f>
        <v>#N/A</v>
      </c>
      <c r="AU178" s="284" t="str">
        <f>IFERROR(VLOOKUP(T_Convention[[#This Row],[NumL]],T_TraitDi[#Data],COLUMN(T_TraitDi[Jeudi]),FALSE),"")</f>
        <v/>
      </c>
      <c r="AV178" s="284" t="e">
        <f>IF(VLOOKUP(T_Convention[[#This Row],[NumL]],T_TraitDi[#Data],COLUMN(T_TraitDi[Colonne21]),FALSE)=0,"",TEXT(IFERROR(VLOOKUP(T_Convention[[#This Row],[NumL]],T_TraitDi[#Data],COLUMN(T_TraitDi[Colonne21]),FALSE),""),"[hh]:mm"))</f>
        <v>#N/A</v>
      </c>
      <c r="AW178" s="284" t="e">
        <f>IF(VLOOKUP(T_Convention[[#This Row],[NumL]],T_TraitDi[#Data],COLUMN(T_TraitDi[Colonne22]),FALSE)=0,"",TEXT(IFERROR(VLOOKUP(T_Convention[[#This Row],[NumL]],T_TraitDi[#Data],COLUMN(T_TraitDi[Colonne22]),FALSE),""),"[hh]:mm"))</f>
        <v>#N/A</v>
      </c>
      <c r="AX178" s="284" t="str">
        <f>IFERROR(VLOOKUP(T_Convention[[#This Row],[NumL]],T_TraitDi[#Data],COLUMN(T_TraitDi[Colonne23]),FALSE),"")</f>
        <v/>
      </c>
      <c r="AY178" s="284" t="e">
        <f>IF(VLOOKUP(T_Convention[[#This Row],[NumL]],T_TraitDi[#Data],COLUMN(T_TraitDi[Colonne24]),FALSE)=0,"",TEXT(IFERROR(VLOOKUP(T_Convention[[#This Row],[NumL]],T_TraitDi[#Data],COLUMN(T_TraitDi[Colonne24]),FALSE),""),"[hh]:mm"))</f>
        <v>#N/A</v>
      </c>
      <c r="AZ178" s="284" t="e">
        <f>IF(VLOOKUP(T_Convention[[#This Row],[NumL]],T_TraitDi[#Data],COLUMN(T_TraitDi[Colonne25]),FALSE)=0,"",TEXT(IFERROR(VLOOKUP(T_Convention[[#This Row],[NumL]],T_TraitDi[#Data],COLUMN(T_TraitDi[Colonne25]),FALSE),""),"[hh]:mm"))</f>
        <v>#N/A</v>
      </c>
      <c r="BA178" s="284" t="e">
        <f>IF(VLOOKUP(T_Convention[[#This Row],[NumL]],T_TraitDi[#Data],COLUMN(T_TraitDi[Colonne26]),FALSE)=0,"",TEXT(IFERROR(VLOOKUP(T_Convention[[#This Row],[NumL]],T_TraitDi[#Data],COLUMN(T_TraitDi[Colonne26]),FALSE),""),"[hh]:mm"))</f>
        <v>#N/A</v>
      </c>
      <c r="BB178" s="284" t="str">
        <f>IFERROR(VLOOKUP(T_Convention[[#This Row],[NumL]],T_TraitDi[#Data],COLUMN(T_TraitDi[Vendredi]),FALSE),"")</f>
        <v/>
      </c>
      <c r="BC178" s="284" t="e">
        <f>IF(VLOOKUP(T_Convention[[#This Row],[NumL]],T_TraitDi[#Data],COLUMN(T_TraitDi[Colonne27]),FALSE)=0,"",TEXT(IFERROR(VLOOKUP(T_Convention[[#This Row],[NumL]],T_TraitDi[#Data],COLUMN(T_TraitDi[Colonne27]),FALSE),""),"[hh]:mm"))</f>
        <v>#N/A</v>
      </c>
      <c r="BD178" s="284" t="e">
        <f>IF(VLOOKUP(T_Convention[[#This Row],[NumL]],T_TraitDi[#Data],COLUMN(T_TraitDi[Colonne28]),FALSE)=0,"",TEXT(IFERROR(VLOOKUP(T_Convention[[#This Row],[NumL]],T_TraitDi[#Data],COLUMN(T_TraitDi[Colonne28]),FALSE),""),"[hh]:mm"))</f>
        <v>#N/A</v>
      </c>
      <c r="BE178" s="284" t="str">
        <f>IFERROR(VLOOKUP(T_Convention[[#This Row],[NumL]],T_TraitDi[#Data],COLUMN(T_TraitDi[Colonne29]),FALSE),"")</f>
        <v/>
      </c>
      <c r="BF178" s="284" t="e">
        <f>IF(VLOOKUP(T_Convention[[#This Row],[NumL]],T_TraitDi[#Data],COLUMN(T_TraitDi[Colonne30]),FALSE)=0,"",TEXT(IFERROR(VLOOKUP(T_Convention[[#This Row],[NumL]],T_TraitDi[#Data],COLUMN(T_TraitDi[Colonne30]),FALSE),""),"[hh]:mm"))</f>
        <v>#N/A</v>
      </c>
      <c r="BG178" s="284" t="e">
        <f>IF(VLOOKUP(T_Convention[[#This Row],[NumL]],T_TraitDi[#Data],COLUMN(T_TraitDi[Colonne31]),FALSE)=0,"",TEXT(IFERROR(VLOOKUP(T_Convention[[#This Row],[NumL]],T_TraitDi[#Data],COLUMN(T_TraitDi[Colonne31]),FALSE),""),"[hh]:mm"))</f>
        <v>#N/A</v>
      </c>
      <c r="BH178" s="284" t="e">
        <f>IF(VLOOKUP(T_Convention[[#This Row],[NumL]],T_TraitDi[#Data],COLUMN(T_TraitDi[Colonne32]),FALSE)=0,"",TEXT(IFERROR(VLOOKUP(T_Convention[[#This Row],[NumL]],T_TraitDi[#Data],COLUMN(T_TraitDi[Colonne32]),FALSE),""),"[hh]:mm"))</f>
        <v>#N/A</v>
      </c>
      <c r="BI178" s="284" t="str">
        <f>IFERROR(VLOOKUP(T_Convention[[#This Row],[NumL]],T_TraitDi[#Data],COLUMN(T_TraitDi[NbJTW]),FALSE),"")</f>
        <v/>
      </c>
      <c r="BJ178" s="284" t="e">
        <f>IF(VLOOKUP(T_Convention[[#This Row],[NumL]],T_TraitDi[#Data],COLUMN(T_TraitDi[NbhTW]),FALSE)=0,"",TEXT(IFERROR(VLOOKUP(T_Convention[[#This Row],[NumL]],T_TraitDi[#Data],COLUMN(T_TraitDi[NbhTW]),FALSE),""),"[hh]:mm"))</f>
        <v>#N/A</v>
      </c>
      <c r="BK178" s="286" t="e">
        <f>IF(VLOOKUP(T_Convention[[#This Row],[NumL]],T_TraitDi[#Data],COLUMN(T_TraitDi[Nbhheb]),FALSE)=0,"",TEXT(IFERROR(VLOOKUP(T_Convention[[#This Row],[NumL]],T_TraitDi[#Data],COLUMN(T_TraitDi[Nbhheb]),FALSE),""),"[hh]:mm"))</f>
        <v>#N/A</v>
      </c>
      <c r="BL178" s="287" t="str">
        <f>IFERROR(VLOOKUP(VLOOKUP(T_Convention[[#This Row],[NumL]],T_TraitDi[#Data],COLUMN(T_TraitDi[Type1]),FALSE),TypeTW,2,FALSE),"")</f>
        <v/>
      </c>
      <c r="BM178" s="288" t="str">
        <f>IFERROR(VLOOKUP(T_Convention[[#This Row],[NumL]],T_TraitDi[#Data],COLUMN(T_TraitDi[Rue1]),FALSE),"")</f>
        <v/>
      </c>
      <c r="BN178" s="289" t="str">
        <f>IFERROR(VLOOKUP(T_Convention[[#This Row],[NumL]],T_TraitDi[#Data],COLUMN(T_TraitDi[CP1]),FALSE),"")</f>
        <v/>
      </c>
      <c r="BO178" s="282" t="str">
        <f>IFERROR(VLOOKUP(T_Convention[[#This Row],[NumL]],T_TraitDi[#Data],COLUMN(T_TraitDi[VILLE1]),FALSE),"")</f>
        <v/>
      </c>
      <c r="BP178" s="290" t="str">
        <f>IFERROR(VLOOKUP(VLOOKUP(T_Convention[[#This Row],[NumL]],T_TraitDi[#Data],COLUMN(T_TraitDi[Type2]),FALSE),TypeTW,2,FALSE),"")</f>
        <v/>
      </c>
      <c r="BQ178" s="182" t="str">
        <f>IFERROR(VLOOKUP(T_Convention[[#This Row],[NumL]],T_TraitDi[#Data],COLUMN(T_TraitDi[Rue2]),FALSE),"")</f>
        <v/>
      </c>
      <c r="BR178" s="173" t="str">
        <f>IFERROR(VLOOKUP(T_Convention[[#This Row],[NumL]],T_TraitDi[#Data],COLUMN(T_TraitDi[CP2]),FALSE),"")</f>
        <v/>
      </c>
      <c r="BS178" s="173" t="str">
        <f>IFERROR(VLOOKUP(T_Convention[[#This Row],[NumL]],T_TraitDi[#Data],COLUMN(T_TraitDi[VILLE2]),FALSE),"")</f>
        <v/>
      </c>
      <c r="BT178" s="182" t="str">
        <f>IF(VLOOKUP(T_Convention[[#This Row],[NumL]],T_Equipement[#Data],COLUMN(T_Equipement[PC]),FALSE)="","Aucun équipement spécifique directement lié au télétravail",VLOOKUP(T_Convention[[#This Row],[NumL]],T_Equipement[#Data],COLUMN(T_Equipement[PC]),FALSE))</f>
        <v xml:space="preserve">18-030	</v>
      </c>
      <c r="BU178" s="166" t="str">
        <f>IFERROR(IF(VLOOKUP(T_Convention[[#This Row],[NumL]],T_TraitDi[#Data],COLUMN(T_TraitDi[Plan]),FALSE)="OK","Un planning spécifique de télétravail est annexé à la présente convention.",""),"")</f>
        <v/>
      </c>
      <c r="BV178" s="185" t="s">
        <v>3374</v>
      </c>
      <c r="BW178" s="164" t="e">
        <f>IF(VLOOKUP(T_Convention[[#This Row],[NumL]],T_suiviDi[#Data],COLUMN(T_suiviDi[Entité]),FALSE)="","",VLOOKUP(T_Convention[[#This Row],[NumL]],T_suiviDi[#Data],COLUMN(T_suiviDi[Entité]),FALSE))</f>
        <v>#N/A</v>
      </c>
      <c r="BX178" s="164" t="str">
        <f>IF(VLOOKUP(T_Convention[[#This Row],[NumL]],T_Commission[#Data],COLUMN(T_Commission[envoi confirm TW]),FALSE)="","",VLOOKUP(T_Convention[[#This Row],[NumL]],T_Commission[#Data],COLUMN(T_Commission[envoi confirm TW]),FALSE))</f>
        <v>Oui</v>
      </c>
      <c r="BY17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8" s="264">
        <f>VLOOKUP(T_Convention[[#This Row],[NumL]],T_Commission[#Data],COLUMN(T_Commission[Commentaire]),FALSE)</f>
        <v>0</v>
      </c>
      <c r="CA178" s="254" t="str">
        <f>IF(VLOOKUP(T_Convention[[#This Row],[NumL]],T_Commission[#Data],COLUMN(T_Commission[Encadrant Email]),FALSE)="","",VLOOKUP(T_Convention[[#This Row],[NumL]],T_Commission[#Data],COLUMN(T_Commission[Encadrant Email]),FALSE))</f>
        <v/>
      </c>
      <c r="CB178" s="352" t="e">
        <f>VLOOKUP(T_Convention[[#This Row],[NumL]],T_TraitDi[#Data],COLUMN(T_TraitDi[NbJTot]),FALSE)</f>
        <v>#N/A</v>
      </c>
      <c r="CC178" s="352" t="e">
        <f>VLOOKUP(T_Convention[[#This Row],[NumL]],T_TraitDi[#Data],COLUMN(T_TraitDi[Reg Ponct]),FALSE)</f>
        <v>#N/A</v>
      </c>
      <c r="CD178" s="348" t="str">
        <f>IF(T_Convention[[#This Row],[Final]]&lt;&gt;"",VLOOKUP(T_Convention[[#This Row],[NumL]],T_suiviDi[#Data],COLUMN((T_suiviDi[Statut])),FALSE),"")</f>
        <v/>
      </c>
    </row>
    <row r="179" spans="1:82" s="106" customFormat="1" ht="18.75" customHeight="1" x14ac:dyDescent="0.25">
      <c r="A179" s="160">
        <v>195</v>
      </c>
      <c r="B179" s="161" t="str">
        <f>VLOOKUP(T_Convention[[#This Row],[NumL]],T_Commission[#Data],COLUMN(T_Commission[FINAL]),FALSE)</f>
        <v/>
      </c>
      <c r="C179" s="162"/>
      <c r="D179" s="95" t="e">
        <f>IF(VLOOKUP(T_Convention[[#This Row],[NumL]],T_TraitDi[#Data],COLUMN(T_TraitDi[WebC]),FALSE)="","",VLOOKUP(T_Convention[[#This Row],[NumL]],T_TraitDi[#Data],COLUMN(T_TraitDi[WebC]),FALSE))</f>
        <v>#N/A</v>
      </c>
      <c r="E179" s="163" t="str">
        <f t="shared" si="10"/>
        <v>12 janvier 2021</v>
      </c>
      <c r="F179" s="282" t="str">
        <f>IF(T_Convention[[#This Row],[Final]]&lt;&gt;"",VLOOKUP(T_Convention[[#This Row],[NumL]],T_suiviDi[#Data],COLUMN((T_suiviDi[Civ.])),FALSE),"")</f>
        <v/>
      </c>
      <c r="G179" s="283" t="str">
        <f>IF(T_Convention[[#This Row],[Final]]&lt;&gt;"",VLOOKUP(T_Convention[[#This Row],[NumL]],T_suiviDi[#Data],COLUMN((T_suiviDi[Nom])),FALSE),"")</f>
        <v/>
      </c>
      <c r="H179" s="282" t="str">
        <f>IF(T_Convention[[#This Row],[Final]]&lt;&gt;"",VLOOKUP(T_Convention[[#This Row],[NumL]],T_suiviDi[#Data],COLUMN((T_suiviDi[Prénom])),FALSE),"")</f>
        <v/>
      </c>
      <c r="I179" s="282" t="e">
        <f>VLOOKUP(T_Convention[[#This Row],[NumL]],T_suiviDi[#Data],COLUMN((T_suiviDi[[#This Row],[Email]])),FALSE)</f>
        <v>#VALUE!</v>
      </c>
      <c r="J179" s="282" t="e">
        <f>IF(VLOOKUP(T_Convention[[#This Row],[NumL]],T_suiviDi[#Data],COLUMN(T_suiviDi[[#This Row],[Fonction]]),FALSE)="","",VLOOKUP(T_Convention[[#This Row],[NumL]],T_suiviDi[#Data],COLUMN(T_suiviDi[[#This Row],[Fonction]]),FALSE))</f>
        <v>#VALUE!</v>
      </c>
      <c r="K179" s="282" t="e">
        <f>IF(VLOOKUP(T_Convention[[#This Row],[NumL]],T_suiviDi[#Data],COLUMN(T_suiviDi[[#This Row],[Grade]]),FALSE)="","",VLOOKUP(T_Convention[[#This Row],[NumL]],T_suiviDi[#Data],COLUMN(T_suiviDi[[#This Row],[Grade]]),FALSE))</f>
        <v>#VALUE!</v>
      </c>
      <c r="L179" s="282" t="e">
        <f>IF(VLOOKUP(T_Convention[[#This Row],[NumL]],T_suiviDi[#Data],COLUMN(T_suiviDi[[#This Row],[Service ]]),FALSE)="","",VLOOKUP(T_Convention[[#This Row],[NumL]],T_suiviDi[#Data],COLUMN(T_suiviDi[[#This Row],[Service ]]),FALSE))</f>
        <v>#VALUE!</v>
      </c>
      <c r="M179" s="164" t="str">
        <f t="shared" si="11"/>
        <v>01 septembre 2021</v>
      </c>
      <c r="N179" s="164" t="str">
        <f t="shared" si="12"/>
        <v>30 novembre 2021</v>
      </c>
      <c r="O179" s="284" t="str">
        <f t="shared" si="13"/>
        <v>30 novembre 2021</v>
      </c>
      <c r="P179" s="282" t="e">
        <f>IF(VLOOKUP(T_Convention[[#This Row],[NumL]],T_TraitDi[#Data],COLUMN(T_TraitDi[M1]),FALSE)="","",VLOOKUP(T_Convention[[#This Row],[NumL]],T_TraitDi[#Data],COLUMN(T_TraitDi[M1]),FALSE))</f>
        <v>#N/A</v>
      </c>
      <c r="Q179" s="282" t="e">
        <f>IF(VLOOKUP(T_Convention[[#This Row],[NumL]],T_TraitDi[#Data],COLUMN(T_TraitDi[M2]),FALSE)="","",VLOOKUP(T_Convention[[#This Row],[NumL]],T_TraitDi[#Data],COLUMN(T_TraitDi[M2]),FALSE))</f>
        <v>#N/A</v>
      </c>
      <c r="R179" s="282" t="e">
        <f>IF(VLOOKUP(T_Convention[[#This Row],[NumL]],T_TraitDi[#Data],COLUMN(T_TraitDi[M3]),FALSE)="","",VLOOKUP(T_Convention[[#This Row],[NumL]],T_TraitDi[#Data],COLUMN(T_TraitDi[M3]),FALSE))</f>
        <v>#N/A</v>
      </c>
      <c r="S179" s="282" t="e">
        <f>IF(VLOOKUP(T_Convention[[#This Row],[NumL]],T_TraitDi[#Data],COLUMN(T_TraitDi[M4]),FALSE)="","",VLOOKUP(T_Convention[[#This Row],[NumL]],T_TraitDi[#Data],COLUMN(T_TraitDi[M4]),FALSE))</f>
        <v>#N/A</v>
      </c>
      <c r="T179" s="282" t="e">
        <f>IF(VLOOKUP(T_Convention[[#This Row],[NumL]],T_TraitDi[#Data],COLUMN(T_TraitDi[M5]),FALSE)="","",VLOOKUP(T_Convention[[#This Row],[NumL]],T_TraitDi[#Data],COLUMN(T_TraitDi[M5]),FALSE))</f>
        <v>#N/A</v>
      </c>
      <c r="U179" s="282" t="e">
        <f>IF(VLOOKUP(T_Convention[[#This Row],[NumL]],T_TraitDi[#Data],COLUMN(T_TraitDi[M6]),FALSE)="","",VLOOKUP(T_Convention[[#This Row],[NumL]],T_TraitDi[#Data],COLUMN(T_TraitDi[M6]),FALSE))</f>
        <v>#N/A</v>
      </c>
      <c r="V179" s="176" t="e">
        <f t="shared" si="14"/>
        <v>#N/A</v>
      </c>
      <c r="W179" s="284" t="str">
        <f>IFERROR(TEXT(VLOOKUP(T_Convention[[#This Row],[NumL]],T_TraitDi[#Data],COLUMN(T_TraitDi[Q2]),FALSE),"###%"),"")</f>
        <v/>
      </c>
      <c r="X179" s="97" t="e">
        <f>VLOOKUP(T_Convention[[#This Row],[NumL]],T_TraitDi[#Data],COLUMN(T_TraitDi[Reg Ponct]),FALSE)</f>
        <v>#N/A</v>
      </c>
      <c r="Y179" s="97" t="e">
        <f>VLOOKUP(T_Convention[NumL],T_TraitDi[#Data],COLUMN(T_TraitDi[Jours flottants]),FALSE)</f>
        <v>#N/A</v>
      </c>
      <c r="Z179" s="284" t="str">
        <f>IFERROR(VLOOKUP(T_Convention[[#This Row],[NumL]],T_TraitDi[#Data],COLUMN(T_TraitDi[Lundi]),FALSE),"")</f>
        <v/>
      </c>
      <c r="AA179" s="284" t="e">
        <f>IF(VLOOKUP(T_Convention[[#This Row],[NumL]],T_TraitDi[#Data],COLUMN(T_TraitDi[Colonne3]),FALSE)=0,"",TEXT(IFERROR(VLOOKUP(T_Convention[[#This Row],[NumL]],T_TraitDi[#Data],COLUMN(T_TraitDi[Colonne3]),FALSE),""),"[hh]:mm"))</f>
        <v>#N/A</v>
      </c>
      <c r="AB179" s="284" t="e">
        <f>IF(VLOOKUP(T_Convention[[#This Row],[NumL]],T_TraitDi[#Data],COLUMN(T_TraitDi[Colonne4]),FALSE)=0,"",TEXT(IFERROR(VLOOKUP(T_Convention[[#This Row],[NumL]],T_TraitDi[#Data],COLUMN(T_TraitDi[Colonne4]),FALSE),""),"[hh]:mm"))</f>
        <v>#N/A</v>
      </c>
      <c r="AC179" s="284" t="e">
        <f>IF(VLOOKUP(T_Convention[[#This Row],[NumL]],T_TraitDi[#Data],COLUMN(T_TraitDi[Colonne5]),FALSE)=0,"",TEXT(IFERROR(VLOOKUP(T_Convention[[#This Row],[NumL]],T_TraitDi[#Data],COLUMN(T_TraitDi[Colonne5]),FALSE),""),"[hh]:mm"))</f>
        <v>#N/A</v>
      </c>
      <c r="AD179" s="284" t="e">
        <f>IF(VLOOKUP(T_Convention[[#This Row],[NumL]],T_TraitDi[#Data],COLUMN(T_TraitDi[Colonne6]),FALSE)=0,"",TEXT(IFERROR(VLOOKUP(T_Convention[[#This Row],[NumL]],T_TraitDi[#Data],COLUMN(T_TraitDi[Colonne6]),FALSE),""),"[hh]:mm"))</f>
        <v>#N/A</v>
      </c>
      <c r="AE179" s="284" t="e">
        <f>IF(VLOOKUP(T_Convention[[#This Row],[NumL]],T_TraitDi[#Data],COLUMN(T_TraitDi[Colonne7]),FALSE)=0,"",TEXT(IFERROR(VLOOKUP(T_Convention[[#This Row],[NumL]],T_TraitDi[#Data],COLUMN(T_TraitDi[Colonne7]),FALSE),""),"[hh]:mm"))</f>
        <v>#N/A</v>
      </c>
      <c r="AF179" s="284" t="e">
        <f>IF(VLOOKUP(T_Convention[[#This Row],[NumL]],T_TraitDi[#Data],COLUMN(T_TraitDi[Colonne8]),FALSE)=0,"",TEXT(IFERROR(VLOOKUP(T_Convention[[#This Row],[NumL]],T_TraitDi[#Data],COLUMN(T_TraitDi[Colonne8]),FALSE),""),"[hh]:mm"))</f>
        <v>#N/A</v>
      </c>
      <c r="AG179" s="284" t="str">
        <f>IFERROR(VLOOKUP(T_Convention[[#This Row],[NumL]],T_TraitDi[#Data],COLUMN(T_TraitDi[Mardi]),FALSE),"")</f>
        <v/>
      </c>
      <c r="AH179" s="284" t="e">
        <f>IF(VLOOKUP(T_Convention[[#This Row],[NumL]],T_TraitDi[#Data],COLUMN(T_TraitDi[Colonne1]),FALSE)=0,"",TEXT(IFERROR(VLOOKUP(T_Convention[[#This Row],[NumL]],T_TraitDi[#Data],COLUMN(T_TraitDi[Colonne1]),FALSE),""),"[hh]:mm"))</f>
        <v>#N/A</v>
      </c>
      <c r="AI179" s="284" t="e">
        <f>IF(VLOOKUP(T_Convention[[#This Row],[NumL]],T_TraitDi[#Data],COLUMN(T_TraitDi[Colonne9]),FALSE)=0,"",TEXT(IFERROR(VLOOKUP(T_Convention[[#This Row],[NumL]],T_TraitDi[#Data],COLUMN(T_TraitDi[Colonne9]),FALSE),""),"[hh]:mm"))</f>
        <v>#N/A</v>
      </c>
      <c r="AJ179" s="284" t="str">
        <f>IFERROR(VLOOKUP(T_Convention[[#This Row],[NumL]],T_TraitDi[#Data],COLUMN(T_TraitDi[Colonne10]),FALSE),"")</f>
        <v/>
      </c>
      <c r="AK179" s="284" t="e">
        <f>IF(VLOOKUP(T_Convention[[#This Row],[NumL]],T_TraitDi[#Data],COLUMN(T_TraitDi[Colonne11]),FALSE)=0,"",TEXT(IFERROR(VLOOKUP(T_Convention[[#This Row],[NumL]],T_TraitDi[#Data],COLUMN(T_TraitDi[Colonne11]),FALSE),""),"[hh]:mm"))</f>
        <v>#N/A</v>
      </c>
      <c r="AL179" s="284" t="e">
        <f>IF(VLOOKUP(T_Convention[[#This Row],[NumL]],T_TraitDi[#Data],COLUMN(T_TraitDi[Colonne12]),FALSE)=0,"",TEXT(IFERROR(VLOOKUP(T_Convention[[#This Row],[NumL]],T_TraitDi[#Data],COLUMN(T_TraitDi[Colonne12]),FALSE),""),"[hh]:mm"))</f>
        <v>#N/A</v>
      </c>
      <c r="AM179" s="284" t="e">
        <f>IF(VLOOKUP(T_Convention[[#This Row],[NumL]],T_TraitDi[#Data],COLUMN(T_TraitDi[Colonne14]),FALSE)=0,"",TEXT(IFERROR(VLOOKUP(T_Convention[[#This Row],[NumL]],T_TraitDi[#Data],COLUMN(T_TraitDi[Colonne14]),FALSE),""),"[hh]:mm"))</f>
        <v>#N/A</v>
      </c>
      <c r="AN179" s="284" t="str">
        <f>IFERROR(VLOOKUP(T_Convention[[#This Row],[NumL]],T_TraitDi[#Data],COLUMN(T_TraitDi[Mercredi]),FALSE),"")</f>
        <v/>
      </c>
      <c r="AO179" s="284" t="e">
        <f>IF(VLOOKUP(T_Convention[[#This Row],[NumL]],T_TraitDi[#Data],COLUMN(T_TraitDi[Colonne15]),FALSE)=0,"",TEXT(IFERROR(VLOOKUP(T_Convention[[#This Row],[NumL]],T_TraitDi[#Data],COLUMN(T_TraitDi[Colonne15]),FALSE),""),"[hh]:mm"))</f>
        <v>#N/A</v>
      </c>
      <c r="AP179" s="284" t="e">
        <f>IF(VLOOKUP(T_Convention[[#This Row],[NumL]],T_TraitDi[#Data],COLUMN(T_TraitDi[Colonne16]),FALSE)=0,"",TEXT(IFERROR(VLOOKUP(T_Convention[[#This Row],[NumL]],T_TraitDi[#Data],COLUMN(T_TraitDi[Colonne16]),FALSE),""),"[hh]:mm"))</f>
        <v>#N/A</v>
      </c>
      <c r="AQ179" s="284" t="str">
        <f>IFERROR(VLOOKUP(T_Convention[[#This Row],[NumL]],T_TraitDi[#Data],COLUMN(T_TraitDi[Colonne17]),FALSE),"")</f>
        <v/>
      </c>
      <c r="AR179" s="284" t="e">
        <f>IF(VLOOKUP(T_Convention[[#This Row],[NumL]],T_TraitDi[#Data],COLUMN(T_TraitDi[Colonne18]),FALSE)=0,"",TEXT(IFERROR(VLOOKUP(T_Convention[[#This Row],[NumL]],T_TraitDi[#Data],COLUMN(T_TraitDi[Colonne18]),FALSE),""),"[hh]:mm"))</f>
        <v>#N/A</v>
      </c>
      <c r="AS179" s="284" t="e">
        <f>IF(VLOOKUP(T_Convention[[#This Row],[NumL]],T_TraitDi[#Data],COLUMN(T_TraitDi[Colonne19]),FALSE)=0,"",TEXT(IFERROR(VLOOKUP(T_Convention[[#This Row],[NumL]],T_TraitDi[#Data],COLUMN(T_TraitDi[Colonne19]),FALSE),""),"[hh]:mm"))</f>
        <v>#N/A</v>
      </c>
      <c r="AT179" s="284" t="e">
        <f>IF(VLOOKUP(T_Convention[[#This Row],[NumL]],T_TraitDi[#Data],COLUMN(T_TraitDi[Colonne20]),FALSE)=0,"",TEXT(IFERROR(VLOOKUP(T_Convention[[#This Row],[NumL]],T_TraitDi[#Data],COLUMN(T_TraitDi[Colonne20]),FALSE),""),"[hh]:mm"))</f>
        <v>#N/A</v>
      </c>
      <c r="AU179" s="284" t="str">
        <f>IFERROR(VLOOKUP(T_Convention[[#This Row],[NumL]],T_TraitDi[#Data],COLUMN(T_TraitDi[Jeudi]),FALSE),"")</f>
        <v/>
      </c>
      <c r="AV179" s="284" t="e">
        <f>IF(VLOOKUP(T_Convention[[#This Row],[NumL]],T_TraitDi[#Data],COLUMN(T_TraitDi[Colonne21]),FALSE)=0,"",TEXT(IFERROR(VLOOKUP(T_Convention[[#This Row],[NumL]],T_TraitDi[#Data],COLUMN(T_TraitDi[Colonne21]),FALSE),""),"[hh]:mm"))</f>
        <v>#N/A</v>
      </c>
      <c r="AW179" s="284" t="e">
        <f>IF(VLOOKUP(T_Convention[[#This Row],[NumL]],T_TraitDi[#Data],COLUMN(T_TraitDi[Colonne22]),FALSE)=0,"",TEXT(IFERROR(VLOOKUP(T_Convention[[#This Row],[NumL]],T_TraitDi[#Data],COLUMN(T_TraitDi[Colonne22]),FALSE),""),"[hh]:mm"))</f>
        <v>#N/A</v>
      </c>
      <c r="AX179" s="284" t="str">
        <f>IFERROR(VLOOKUP(T_Convention[[#This Row],[NumL]],T_TraitDi[#Data],COLUMN(T_TraitDi[Colonne23]),FALSE),"")</f>
        <v/>
      </c>
      <c r="AY179" s="284" t="e">
        <f>IF(VLOOKUP(T_Convention[[#This Row],[NumL]],T_TraitDi[#Data],COLUMN(T_TraitDi[Colonne24]),FALSE)=0,"",TEXT(IFERROR(VLOOKUP(T_Convention[[#This Row],[NumL]],T_TraitDi[#Data],COLUMN(T_TraitDi[Colonne24]),FALSE),""),"[hh]:mm"))</f>
        <v>#N/A</v>
      </c>
      <c r="AZ179" s="284" t="e">
        <f>IF(VLOOKUP(T_Convention[[#This Row],[NumL]],T_TraitDi[#Data],COLUMN(T_TraitDi[Colonne25]),FALSE)=0,"",TEXT(IFERROR(VLOOKUP(T_Convention[[#This Row],[NumL]],T_TraitDi[#Data],COLUMN(T_TraitDi[Colonne25]),FALSE),""),"[hh]:mm"))</f>
        <v>#N/A</v>
      </c>
      <c r="BA179" s="284" t="e">
        <f>IF(VLOOKUP(T_Convention[[#This Row],[NumL]],T_TraitDi[#Data],COLUMN(T_TraitDi[Colonne26]),FALSE)=0,"",TEXT(IFERROR(VLOOKUP(T_Convention[[#This Row],[NumL]],T_TraitDi[#Data],COLUMN(T_TraitDi[Colonne26]),FALSE),""),"[hh]:mm"))</f>
        <v>#N/A</v>
      </c>
      <c r="BB179" s="284" t="str">
        <f>IFERROR(VLOOKUP(T_Convention[[#This Row],[NumL]],T_TraitDi[#Data],COLUMN(T_TraitDi[Vendredi]),FALSE),"")</f>
        <v/>
      </c>
      <c r="BC179" s="284" t="e">
        <f>IF(VLOOKUP(T_Convention[[#This Row],[NumL]],T_TraitDi[#Data],COLUMN(T_TraitDi[Colonne27]),FALSE)=0,"",TEXT(IFERROR(VLOOKUP(T_Convention[[#This Row],[NumL]],T_TraitDi[#Data],COLUMN(T_TraitDi[Colonne27]),FALSE),""),"[hh]:mm"))</f>
        <v>#N/A</v>
      </c>
      <c r="BD179" s="284" t="e">
        <f>IF(VLOOKUP(T_Convention[[#This Row],[NumL]],T_TraitDi[#Data],COLUMN(T_TraitDi[Colonne28]),FALSE)=0,"",TEXT(IFERROR(VLOOKUP(T_Convention[[#This Row],[NumL]],T_TraitDi[#Data],COLUMN(T_TraitDi[Colonne28]),FALSE),""),"[hh]:mm"))</f>
        <v>#N/A</v>
      </c>
      <c r="BE179" s="284" t="str">
        <f>IFERROR(VLOOKUP(T_Convention[[#This Row],[NumL]],T_TraitDi[#Data],COLUMN(T_TraitDi[Colonne29]),FALSE),"")</f>
        <v/>
      </c>
      <c r="BF179" s="284" t="e">
        <f>IF(VLOOKUP(T_Convention[[#This Row],[NumL]],T_TraitDi[#Data],COLUMN(T_TraitDi[Colonne30]),FALSE)=0,"",TEXT(IFERROR(VLOOKUP(T_Convention[[#This Row],[NumL]],T_TraitDi[#Data],COLUMN(T_TraitDi[Colonne30]),FALSE),""),"[hh]:mm"))</f>
        <v>#N/A</v>
      </c>
      <c r="BG179" s="284" t="e">
        <f>IF(VLOOKUP(T_Convention[[#This Row],[NumL]],T_TraitDi[#Data],COLUMN(T_TraitDi[Colonne31]),FALSE)=0,"",TEXT(IFERROR(VLOOKUP(T_Convention[[#This Row],[NumL]],T_TraitDi[#Data],COLUMN(T_TraitDi[Colonne31]),FALSE),""),"[hh]:mm"))</f>
        <v>#N/A</v>
      </c>
      <c r="BH179" s="284" t="e">
        <f>IF(VLOOKUP(T_Convention[[#This Row],[NumL]],T_TraitDi[#Data],COLUMN(T_TraitDi[Colonne32]),FALSE)=0,"",TEXT(IFERROR(VLOOKUP(T_Convention[[#This Row],[NumL]],T_TraitDi[#Data],COLUMN(T_TraitDi[Colonne32]),FALSE),""),"[hh]:mm"))</f>
        <v>#N/A</v>
      </c>
      <c r="BI179" s="284" t="str">
        <f>IFERROR(VLOOKUP(T_Convention[[#This Row],[NumL]],T_TraitDi[#Data],COLUMN(T_TraitDi[NbJTW]),FALSE),"")</f>
        <v/>
      </c>
      <c r="BJ179" s="284" t="e">
        <f>IF(VLOOKUP(T_Convention[[#This Row],[NumL]],T_TraitDi[#Data],COLUMN(T_TraitDi[NbhTW]),FALSE)=0,"",TEXT(IFERROR(VLOOKUP(T_Convention[[#This Row],[NumL]],T_TraitDi[#Data],COLUMN(T_TraitDi[NbhTW]),FALSE),""),"[hh]:mm"))</f>
        <v>#N/A</v>
      </c>
      <c r="BK179" s="286" t="e">
        <f>IF(VLOOKUP(T_Convention[[#This Row],[NumL]],T_TraitDi[#Data],COLUMN(T_TraitDi[Nbhheb]),FALSE)=0,"",TEXT(IFERROR(VLOOKUP(T_Convention[[#This Row],[NumL]],T_TraitDi[#Data],COLUMN(T_TraitDi[Nbhheb]),FALSE),""),"[hh]:mm"))</f>
        <v>#N/A</v>
      </c>
      <c r="BL179" s="287" t="str">
        <f>IFERROR(VLOOKUP(VLOOKUP(T_Convention[[#This Row],[NumL]],T_TraitDi[#Data],COLUMN(T_TraitDi[Type1]),FALSE),TypeTW,2,FALSE),"")</f>
        <v/>
      </c>
      <c r="BM179" s="288" t="str">
        <f>IFERROR(VLOOKUP(T_Convention[[#This Row],[NumL]],T_TraitDi[#Data],COLUMN(T_TraitDi[Rue1]),FALSE),"")</f>
        <v/>
      </c>
      <c r="BN179" s="289" t="str">
        <f>IFERROR(VLOOKUP(T_Convention[[#This Row],[NumL]],T_TraitDi[#Data],COLUMN(T_TraitDi[CP1]),FALSE),"")</f>
        <v/>
      </c>
      <c r="BO179" s="282" t="str">
        <f>IFERROR(VLOOKUP(T_Convention[[#This Row],[NumL]],T_TraitDi[#Data],COLUMN(T_TraitDi[VILLE1]),FALSE),"")</f>
        <v/>
      </c>
      <c r="BP179" s="290" t="str">
        <f>IFERROR(VLOOKUP(VLOOKUP(T_Convention[[#This Row],[NumL]],T_TraitDi[#Data],COLUMN(T_TraitDi[Type2]),FALSE),TypeTW,2,FALSE),"")</f>
        <v/>
      </c>
      <c r="BQ179" s="182" t="str">
        <f>IFERROR(VLOOKUP(T_Convention[[#This Row],[NumL]],T_TraitDi[#Data],COLUMN(T_TraitDi[Rue2]),FALSE),"")</f>
        <v/>
      </c>
      <c r="BR179" s="173" t="str">
        <f>IFERROR(VLOOKUP(T_Convention[[#This Row],[NumL]],T_TraitDi[#Data],COLUMN(T_TraitDi[CP2]),FALSE),"")</f>
        <v/>
      </c>
      <c r="BS179" s="173" t="str">
        <f>IFERROR(VLOOKUP(T_Convention[[#This Row],[NumL]],T_TraitDi[#Data],COLUMN(T_TraitDi[VILLE2]),FALSE),"")</f>
        <v/>
      </c>
      <c r="BT179" s="182" t="str">
        <f>IF(VLOOKUP(T_Convention[[#This Row],[NumL]],T_Equipement[#Data],COLUMN(T_Equipement[PC]),FALSE)="","Aucun équipement spécifique directement lié au télétravail",VLOOKUP(T_Convention[[#This Row],[NumL]],T_Equipement[#Data],COLUMN(T_Equipement[PC]),FALSE))</f>
        <v xml:space="preserve">20-375	</v>
      </c>
      <c r="BU179" s="166" t="str">
        <f>IFERROR(IF(VLOOKUP(T_Convention[[#This Row],[NumL]],T_TraitDi[#Data],COLUMN(T_TraitDi[Plan]),FALSE)="OK","Un planning spécifique de télétravail est annexé à la présente convention.",""),"")</f>
        <v/>
      </c>
      <c r="BV179" s="185" t="s">
        <v>3493</v>
      </c>
      <c r="BW179" s="164" t="e">
        <f>IF(VLOOKUP(T_Convention[[#This Row],[NumL]],T_suiviDi[#Data],COLUMN(T_suiviDi[Entité]),FALSE)="","",VLOOKUP(T_Convention[[#This Row],[NumL]],T_suiviDi[#Data],COLUMN(T_suiviDi[Entité]),FALSE))</f>
        <v>#N/A</v>
      </c>
      <c r="BX179" s="164" t="str">
        <f>IF(VLOOKUP(T_Convention[[#This Row],[NumL]],T_Commission[#Data],COLUMN(T_Commission[envoi confirm TW]),FALSE)="","",VLOOKUP(T_Convention[[#This Row],[NumL]],T_Commission[#Data],COLUMN(T_Commission[envoi confirm TW]),FALSE))</f>
        <v>Oui</v>
      </c>
      <c r="BY17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79" s="264">
        <f>VLOOKUP(T_Convention[[#This Row],[NumL]],T_Commission[#Data],COLUMN(T_Commission[Commentaire]),FALSE)</f>
        <v>0</v>
      </c>
      <c r="CA179" s="254" t="str">
        <f>IF(VLOOKUP(T_Convention[[#This Row],[NumL]],T_Commission[#Data],COLUMN(T_Commission[Encadrant Email]),FALSE)="","",VLOOKUP(T_Convention[[#This Row],[NumL]],T_Commission[#Data],COLUMN(T_Commission[Encadrant Email]),FALSE))</f>
        <v/>
      </c>
      <c r="CB179" s="352" t="e">
        <f>VLOOKUP(T_Convention[[#This Row],[NumL]],T_TraitDi[#Data],COLUMN(T_TraitDi[NbJTot]),FALSE)</f>
        <v>#N/A</v>
      </c>
      <c r="CC179" s="352" t="e">
        <f>VLOOKUP(T_Convention[[#This Row],[NumL]],T_TraitDi[#Data],COLUMN(T_TraitDi[Reg Ponct]),FALSE)</f>
        <v>#N/A</v>
      </c>
      <c r="CD179" s="348" t="str">
        <f>IF(T_Convention[[#This Row],[Final]]&lt;&gt;"",VLOOKUP(T_Convention[[#This Row],[NumL]],T_suiviDi[#Data],COLUMN((T_suiviDi[Statut])),FALSE),"")</f>
        <v/>
      </c>
    </row>
    <row r="180" spans="1:82" s="106" customFormat="1" ht="18.75" customHeight="1" x14ac:dyDescent="0.25">
      <c r="A180" s="160">
        <v>289</v>
      </c>
      <c r="B180" s="161" t="str">
        <f>VLOOKUP(T_Convention[[#This Row],[NumL]],T_Commission[#Data],COLUMN(T_Commission[FINAL]),FALSE)</f>
        <v/>
      </c>
      <c r="C180" s="162"/>
      <c r="D180" s="95" t="e">
        <f>IF(VLOOKUP(T_Convention[[#This Row],[NumL]],T_TraitDi[#Data],COLUMN(T_TraitDi[WebC]),FALSE)="","",VLOOKUP(T_Convention[[#This Row],[NumL]],T_TraitDi[#Data],COLUMN(T_TraitDi[WebC]),FALSE))</f>
        <v>#N/A</v>
      </c>
      <c r="E180" s="163" t="str">
        <f t="shared" si="10"/>
        <v>12 janvier 2021</v>
      </c>
      <c r="F180" s="282" t="str">
        <f>IF(T_Convention[[#This Row],[Final]]&lt;&gt;"",VLOOKUP(T_Convention[[#This Row],[NumL]],T_suiviDi[#Data],COLUMN((T_suiviDi[Civ.])),FALSE),"")</f>
        <v/>
      </c>
      <c r="G180" s="283" t="str">
        <f>IF(T_Convention[[#This Row],[Final]]&lt;&gt;"",VLOOKUP(T_Convention[[#This Row],[NumL]],T_suiviDi[#Data],COLUMN((T_suiviDi[Nom])),FALSE),"")</f>
        <v/>
      </c>
      <c r="H180" s="282" t="str">
        <f>IF(T_Convention[[#This Row],[Final]]&lt;&gt;"",VLOOKUP(T_Convention[[#This Row],[NumL]],T_suiviDi[#Data],COLUMN((T_suiviDi[Prénom])),FALSE),"")</f>
        <v/>
      </c>
      <c r="I180" s="282" t="e">
        <f>VLOOKUP(T_Convention[[#This Row],[NumL]],T_suiviDi[#Data],COLUMN((T_suiviDi[[#This Row],[Email]])),FALSE)</f>
        <v>#VALUE!</v>
      </c>
      <c r="J180" s="282" t="e">
        <f>IF(VLOOKUP(T_Convention[[#This Row],[NumL]],T_suiviDi[#Data],COLUMN(T_suiviDi[[#This Row],[Fonction]]),FALSE)="","",VLOOKUP(T_Convention[[#This Row],[NumL]],T_suiviDi[#Data],COLUMN(T_suiviDi[[#This Row],[Fonction]]),FALSE))</f>
        <v>#VALUE!</v>
      </c>
      <c r="K180" s="282" t="e">
        <f>IF(VLOOKUP(T_Convention[[#This Row],[NumL]],T_suiviDi[#Data],COLUMN(T_suiviDi[[#This Row],[Grade]]),FALSE)="","",VLOOKUP(T_Convention[[#This Row],[NumL]],T_suiviDi[#Data],COLUMN(T_suiviDi[[#This Row],[Grade]]),FALSE))</f>
        <v>#VALUE!</v>
      </c>
      <c r="L180" s="282" t="e">
        <f>IF(VLOOKUP(T_Convention[[#This Row],[NumL]],T_suiviDi[#Data],COLUMN(T_suiviDi[[#This Row],[Service ]]),FALSE)="","",VLOOKUP(T_Convention[[#This Row],[NumL]],T_suiviDi[#Data],COLUMN(T_suiviDi[[#This Row],[Service ]]),FALSE))</f>
        <v>#VALUE!</v>
      </c>
      <c r="M180" s="164" t="str">
        <f t="shared" si="11"/>
        <v>01 septembre 2021</v>
      </c>
      <c r="N180" s="164" t="str">
        <f t="shared" si="12"/>
        <v>30 novembre 2021</v>
      </c>
      <c r="O180" s="284" t="str">
        <f t="shared" si="13"/>
        <v>30 novembre 2021</v>
      </c>
      <c r="P180" s="282" t="e">
        <f>IF(VLOOKUP(T_Convention[[#This Row],[NumL]],T_TraitDi[#Data],COLUMN(T_TraitDi[M1]),FALSE)="","",VLOOKUP(T_Convention[[#This Row],[NumL]],T_TraitDi[#Data],COLUMN(T_TraitDi[M1]),FALSE))</f>
        <v>#N/A</v>
      </c>
      <c r="Q180" s="282" t="e">
        <f>IF(VLOOKUP(T_Convention[[#This Row],[NumL]],T_TraitDi[#Data],COLUMN(T_TraitDi[M2]),FALSE)="","",VLOOKUP(T_Convention[[#This Row],[NumL]],T_TraitDi[#Data],COLUMN(T_TraitDi[M2]),FALSE))</f>
        <v>#N/A</v>
      </c>
      <c r="R180" s="282" t="e">
        <f>IF(VLOOKUP(T_Convention[[#This Row],[NumL]],T_TraitDi[#Data],COLUMN(T_TraitDi[M3]),FALSE)="","",VLOOKUP(T_Convention[[#This Row],[NumL]],T_TraitDi[#Data],COLUMN(T_TraitDi[M3]),FALSE))</f>
        <v>#N/A</v>
      </c>
      <c r="S180" s="282" t="e">
        <f>IF(VLOOKUP(T_Convention[[#This Row],[NumL]],T_TraitDi[#Data],COLUMN(T_TraitDi[M4]),FALSE)="","",VLOOKUP(T_Convention[[#This Row],[NumL]],T_TraitDi[#Data],COLUMN(T_TraitDi[M4]),FALSE))</f>
        <v>#N/A</v>
      </c>
      <c r="T180" s="282" t="e">
        <f>IF(VLOOKUP(T_Convention[[#This Row],[NumL]],T_TraitDi[#Data],COLUMN(T_TraitDi[M5]),FALSE)="","",VLOOKUP(T_Convention[[#This Row],[NumL]],T_TraitDi[#Data],COLUMN(T_TraitDi[M5]),FALSE))</f>
        <v>#N/A</v>
      </c>
      <c r="U180" s="282" t="e">
        <f>IF(VLOOKUP(T_Convention[[#This Row],[NumL]],T_TraitDi[#Data],COLUMN(T_TraitDi[M6]),FALSE)="","",VLOOKUP(T_Convention[[#This Row],[NumL]],T_TraitDi[#Data],COLUMN(T_TraitDi[M6]),FALSE))</f>
        <v>#N/A</v>
      </c>
      <c r="V180" s="176" t="e">
        <f t="shared" si="14"/>
        <v>#N/A</v>
      </c>
      <c r="W180" s="284" t="str">
        <f>IFERROR(TEXT(VLOOKUP(T_Convention[[#This Row],[NumL]],T_TraitDi[#Data],COLUMN(T_TraitDi[Q2]),FALSE),"###%"),"")</f>
        <v/>
      </c>
      <c r="X180" s="97" t="e">
        <f>VLOOKUP(T_Convention[[#This Row],[NumL]],T_TraitDi[#Data],COLUMN(T_TraitDi[Reg Ponct]),FALSE)</f>
        <v>#N/A</v>
      </c>
      <c r="Y180" s="97" t="e">
        <f>VLOOKUP(T_Convention[NumL],T_TraitDi[#Data],COLUMN(T_TraitDi[Jours flottants]),FALSE)</f>
        <v>#N/A</v>
      </c>
      <c r="Z180" s="284" t="str">
        <f>IFERROR(VLOOKUP(T_Convention[[#This Row],[NumL]],T_TraitDi[#Data],COLUMN(T_TraitDi[Lundi]),FALSE),"")</f>
        <v/>
      </c>
      <c r="AA180" s="284" t="e">
        <f>IF(VLOOKUP(T_Convention[[#This Row],[NumL]],T_TraitDi[#Data],COLUMN(T_TraitDi[Colonne3]),FALSE)=0,"",TEXT(IFERROR(VLOOKUP(T_Convention[[#This Row],[NumL]],T_TraitDi[#Data],COLUMN(T_TraitDi[Colonne3]),FALSE),""),"[hh]:mm"))</f>
        <v>#N/A</v>
      </c>
      <c r="AB180" s="284" t="e">
        <f>IF(VLOOKUP(T_Convention[[#This Row],[NumL]],T_TraitDi[#Data],COLUMN(T_TraitDi[Colonne4]),FALSE)=0,"",TEXT(IFERROR(VLOOKUP(T_Convention[[#This Row],[NumL]],T_TraitDi[#Data],COLUMN(T_TraitDi[Colonne4]),FALSE),""),"[hh]:mm"))</f>
        <v>#N/A</v>
      </c>
      <c r="AC180" s="284" t="e">
        <f>IF(VLOOKUP(T_Convention[[#This Row],[NumL]],T_TraitDi[#Data],COLUMN(T_TraitDi[Colonne5]),FALSE)=0,"",TEXT(IFERROR(VLOOKUP(T_Convention[[#This Row],[NumL]],T_TraitDi[#Data],COLUMN(T_TraitDi[Colonne5]),FALSE),""),"[hh]:mm"))</f>
        <v>#N/A</v>
      </c>
      <c r="AD180" s="284" t="e">
        <f>IF(VLOOKUP(T_Convention[[#This Row],[NumL]],T_TraitDi[#Data],COLUMN(T_TraitDi[Colonne6]),FALSE)=0,"",TEXT(IFERROR(VLOOKUP(T_Convention[[#This Row],[NumL]],T_TraitDi[#Data],COLUMN(T_TraitDi[Colonne6]),FALSE),""),"[hh]:mm"))</f>
        <v>#N/A</v>
      </c>
      <c r="AE180" s="284" t="e">
        <f>IF(VLOOKUP(T_Convention[[#This Row],[NumL]],T_TraitDi[#Data],COLUMN(T_TraitDi[Colonne7]),FALSE)=0,"",TEXT(IFERROR(VLOOKUP(T_Convention[[#This Row],[NumL]],T_TraitDi[#Data],COLUMN(T_TraitDi[Colonne7]),FALSE),""),"[hh]:mm"))</f>
        <v>#N/A</v>
      </c>
      <c r="AF180" s="284" t="e">
        <f>IF(VLOOKUP(T_Convention[[#This Row],[NumL]],T_TraitDi[#Data],COLUMN(T_TraitDi[Colonne8]),FALSE)=0,"",TEXT(IFERROR(VLOOKUP(T_Convention[[#This Row],[NumL]],T_TraitDi[#Data],COLUMN(T_TraitDi[Colonne8]),FALSE),""),"[hh]:mm"))</f>
        <v>#N/A</v>
      </c>
      <c r="AG180" s="284" t="str">
        <f>IFERROR(VLOOKUP(T_Convention[[#This Row],[NumL]],T_TraitDi[#Data],COLUMN(T_TraitDi[Mardi]),FALSE),"")</f>
        <v/>
      </c>
      <c r="AH180" s="284" t="e">
        <f>IF(VLOOKUP(T_Convention[[#This Row],[NumL]],T_TraitDi[#Data],COLUMN(T_TraitDi[Colonne1]),FALSE)=0,"",TEXT(IFERROR(VLOOKUP(T_Convention[[#This Row],[NumL]],T_TraitDi[#Data],COLUMN(T_TraitDi[Colonne1]),FALSE),""),"[hh]:mm"))</f>
        <v>#N/A</v>
      </c>
      <c r="AI180" s="284" t="e">
        <f>IF(VLOOKUP(T_Convention[[#This Row],[NumL]],T_TraitDi[#Data],COLUMN(T_TraitDi[Colonne9]),FALSE)=0,"",TEXT(IFERROR(VLOOKUP(T_Convention[[#This Row],[NumL]],T_TraitDi[#Data],COLUMN(T_TraitDi[Colonne9]),FALSE),""),"[hh]:mm"))</f>
        <v>#N/A</v>
      </c>
      <c r="AJ180" s="284" t="str">
        <f>IFERROR(VLOOKUP(T_Convention[[#This Row],[NumL]],T_TraitDi[#Data],COLUMN(T_TraitDi[Colonne10]),FALSE),"")</f>
        <v/>
      </c>
      <c r="AK180" s="284" t="e">
        <f>IF(VLOOKUP(T_Convention[[#This Row],[NumL]],T_TraitDi[#Data],COLUMN(T_TraitDi[Colonne11]),FALSE)=0,"",TEXT(IFERROR(VLOOKUP(T_Convention[[#This Row],[NumL]],T_TraitDi[#Data],COLUMN(T_TraitDi[Colonne11]),FALSE),""),"[hh]:mm"))</f>
        <v>#N/A</v>
      </c>
      <c r="AL180" s="284" t="e">
        <f>IF(VLOOKUP(T_Convention[[#This Row],[NumL]],T_TraitDi[#Data],COLUMN(T_TraitDi[Colonne12]),FALSE)=0,"",TEXT(IFERROR(VLOOKUP(T_Convention[[#This Row],[NumL]],T_TraitDi[#Data],COLUMN(T_TraitDi[Colonne12]),FALSE),""),"[hh]:mm"))</f>
        <v>#N/A</v>
      </c>
      <c r="AM180" s="284" t="e">
        <f>IF(VLOOKUP(T_Convention[[#This Row],[NumL]],T_TraitDi[#Data],COLUMN(T_TraitDi[Colonne14]),FALSE)=0,"",TEXT(IFERROR(VLOOKUP(T_Convention[[#This Row],[NumL]],T_TraitDi[#Data],COLUMN(T_TraitDi[Colonne14]),FALSE),""),"[hh]:mm"))</f>
        <v>#N/A</v>
      </c>
      <c r="AN180" s="284" t="str">
        <f>IFERROR(VLOOKUP(T_Convention[[#This Row],[NumL]],T_TraitDi[#Data],COLUMN(T_TraitDi[Mercredi]),FALSE),"")</f>
        <v/>
      </c>
      <c r="AO180" s="284" t="e">
        <f>IF(VLOOKUP(T_Convention[[#This Row],[NumL]],T_TraitDi[#Data],COLUMN(T_TraitDi[Colonne15]),FALSE)=0,"",TEXT(IFERROR(VLOOKUP(T_Convention[[#This Row],[NumL]],T_TraitDi[#Data],COLUMN(T_TraitDi[Colonne15]),FALSE),""),"[hh]:mm"))</f>
        <v>#N/A</v>
      </c>
      <c r="AP180" s="284" t="e">
        <f>IF(VLOOKUP(T_Convention[[#This Row],[NumL]],T_TraitDi[#Data],COLUMN(T_TraitDi[Colonne16]),FALSE)=0,"",TEXT(IFERROR(VLOOKUP(T_Convention[[#This Row],[NumL]],T_TraitDi[#Data],COLUMN(T_TraitDi[Colonne16]),FALSE),""),"[hh]:mm"))</f>
        <v>#N/A</v>
      </c>
      <c r="AQ180" s="284" t="str">
        <f>IFERROR(VLOOKUP(T_Convention[[#This Row],[NumL]],T_TraitDi[#Data],COLUMN(T_TraitDi[Colonne17]),FALSE),"")</f>
        <v/>
      </c>
      <c r="AR180" s="284" t="e">
        <f>IF(VLOOKUP(T_Convention[[#This Row],[NumL]],T_TraitDi[#Data],COLUMN(T_TraitDi[Colonne18]),FALSE)=0,"",TEXT(IFERROR(VLOOKUP(T_Convention[[#This Row],[NumL]],T_TraitDi[#Data],COLUMN(T_TraitDi[Colonne18]),FALSE),""),"[hh]:mm"))</f>
        <v>#N/A</v>
      </c>
      <c r="AS180" s="284" t="e">
        <f>IF(VLOOKUP(T_Convention[[#This Row],[NumL]],T_TraitDi[#Data],COLUMN(T_TraitDi[Colonne19]),FALSE)=0,"",TEXT(IFERROR(VLOOKUP(T_Convention[[#This Row],[NumL]],T_TraitDi[#Data],COLUMN(T_TraitDi[Colonne19]),FALSE),""),"[hh]:mm"))</f>
        <v>#N/A</v>
      </c>
      <c r="AT180" s="284" t="e">
        <f>IF(VLOOKUP(T_Convention[[#This Row],[NumL]],T_TraitDi[#Data],COLUMN(T_TraitDi[Colonne20]),FALSE)=0,"",TEXT(IFERROR(VLOOKUP(T_Convention[[#This Row],[NumL]],T_TraitDi[#Data],COLUMN(T_TraitDi[Colonne20]),FALSE),""),"[hh]:mm"))</f>
        <v>#N/A</v>
      </c>
      <c r="AU180" s="284" t="str">
        <f>IFERROR(VLOOKUP(T_Convention[[#This Row],[NumL]],T_TraitDi[#Data],COLUMN(T_TraitDi[Jeudi]),FALSE),"")</f>
        <v/>
      </c>
      <c r="AV180" s="284" t="e">
        <f>IF(VLOOKUP(T_Convention[[#This Row],[NumL]],T_TraitDi[#Data],COLUMN(T_TraitDi[Colonne21]),FALSE)=0,"",TEXT(IFERROR(VLOOKUP(T_Convention[[#This Row],[NumL]],T_TraitDi[#Data],COLUMN(T_TraitDi[Colonne21]),FALSE),""),"[hh]:mm"))</f>
        <v>#N/A</v>
      </c>
      <c r="AW180" s="284" t="e">
        <f>IF(VLOOKUP(T_Convention[[#This Row],[NumL]],T_TraitDi[#Data],COLUMN(T_TraitDi[Colonne22]),FALSE)=0,"",TEXT(IFERROR(VLOOKUP(T_Convention[[#This Row],[NumL]],T_TraitDi[#Data],COLUMN(T_TraitDi[Colonne22]),FALSE),""),"[hh]:mm"))</f>
        <v>#N/A</v>
      </c>
      <c r="AX180" s="284" t="str">
        <f>IFERROR(VLOOKUP(T_Convention[[#This Row],[NumL]],T_TraitDi[#Data],COLUMN(T_TraitDi[Colonne23]),FALSE),"")</f>
        <v/>
      </c>
      <c r="AY180" s="284" t="e">
        <f>IF(VLOOKUP(T_Convention[[#This Row],[NumL]],T_TraitDi[#Data],COLUMN(T_TraitDi[Colonne24]),FALSE)=0,"",TEXT(IFERROR(VLOOKUP(T_Convention[[#This Row],[NumL]],T_TraitDi[#Data],COLUMN(T_TraitDi[Colonne24]),FALSE),""),"[hh]:mm"))</f>
        <v>#N/A</v>
      </c>
      <c r="AZ180" s="284" t="e">
        <f>IF(VLOOKUP(T_Convention[[#This Row],[NumL]],T_TraitDi[#Data],COLUMN(T_TraitDi[Colonne25]),FALSE)=0,"",TEXT(IFERROR(VLOOKUP(T_Convention[[#This Row],[NumL]],T_TraitDi[#Data],COLUMN(T_TraitDi[Colonne25]),FALSE),""),"[hh]:mm"))</f>
        <v>#N/A</v>
      </c>
      <c r="BA180" s="284" t="e">
        <f>IF(VLOOKUP(T_Convention[[#This Row],[NumL]],T_TraitDi[#Data],COLUMN(T_TraitDi[Colonne26]),FALSE)=0,"",TEXT(IFERROR(VLOOKUP(T_Convention[[#This Row],[NumL]],T_TraitDi[#Data],COLUMN(T_TraitDi[Colonne26]),FALSE),""),"[hh]:mm"))</f>
        <v>#N/A</v>
      </c>
      <c r="BB180" s="284" t="str">
        <f>IFERROR(VLOOKUP(T_Convention[[#This Row],[NumL]],T_TraitDi[#Data],COLUMN(T_TraitDi[Vendredi]),FALSE),"")</f>
        <v/>
      </c>
      <c r="BC180" s="284" t="e">
        <f>IF(VLOOKUP(T_Convention[[#This Row],[NumL]],T_TraitDi[#Data],COLUMN(T_TraitDi[Colonne27]),FALSE)=0,"",TEXT(IFERROR(VLOOKUP(T_Convention[[#This Row],[NumL]],T_TraitDi[#Data],COLUMN(T_TraitDi[Colonne27]),FALSE),""),"[hh]:mm"))</f>
        <v>#N/A</v>
      </c>
      <c r="BD180" s="284" t="e">
        <f>IF(VLOOKUP(T_Convention[[#This Row],[NumL]],T_TraitDi[#Data],COLUMN(T_TraitDi[Colonne28]),FALSE)=0,"",TEXT(IFERROR(VLOOKUP(T_Convention[[#This Row],[NumL]],T_TraitDi[#Data],COLUMN(T_TraitDi[Colonne28]),FALSE),""),"[hh]:mm"))</f>
        <v>#N/A</v>
      </c>
      <c r="BE180" s="284" t="str">
        <f>IFERROR(VLOOKUP(T_Convention[[#This Row],[NumL]],T_TraitDi[#Data],COLUMN(T_TraitDi[Colonne29]),FALSE),"")</f>
        <v/>
      </c>
      <c r="BF180" s="284" t="e">
        <f>IF(VLOOKUP(T_Convention[[#This Row],[NumL]],T_TraitDi[#Data],COLUMN(T_TraitDi[Colonne30]),FALSE)=0,"",TEXT(IFERROR(VLOOKUP(T_Convention[[#This Row],[NumL]],T_TraitDi[#Data],COLUMN(T_TraitDi[Colonne30]),FALSE),""),"[hh]:mm"))</f>
        <v>#N/A</v>
      </c>
      <c r="BG180" s="284" t="e">
        <f>IF(VLOOKUP(T_Convention[[#This Row],[NumL]],T_TraitDi[#Data],COLUMN(T_TraitDi[Colonne31]),FALSE)=0,"",TEXT(IFERROR(VLOOKUP(T_Convention[[#This Row],[NumL]],T_TraitDi[#Data],COLUMN(T_TraitDi[Colonne31]),FALSE),""),"[hh]:mm"))</f>
        <v>#N/A</v>
      </c>
      <c r="BH180" s="284" t="e">
        <f>IF(VLOOKUP(T_Convention[[#This Row],[NumL]],T_TraitDi[#Data],COLUMN(T_TraitDi[Colonne32]),FALSE)=0,"",TEXT(IFERROR(VLOOKUP(T_Convention[[#This Row],[NumL]],T_TraitDi[#Data],COLUMN(T_TraitDi[Colonne32]),FALSE),""),"[hh]:mm"))</f>
        <v>#N/A</v>
      </c>
      <c r="BI180" s="284" t="str">
        <f>IFERROR(VLOOKUP(T_Convention[[#This Row],[NumL]],T_TraitDi[#Data],COLUMN(T_TraitDi[NbJTW]),FALSE),"")</f>
        <v/>
      </c>
      <c r="BJ180" s="284" t="e">
        <f>IF(VLOOKUP(T_Convention[[#This Row],[NumL]],T_TraitDi[#Data],COLUMN(T_TraitDi[NbhTW]),FALSE)=0,"",TEXT(IFERROR(VLOOKUP(T_Convention[[#This Row],[NumL]],T_TraitDi[#Data],COLUMN(T_TraitDi[NbhTW]),FALSE),""),"[hh]:mm"))</f>
        <v>#N/A</v>
      </c>
      <c r="BK180" s="286" t="e">
        <f>IF(VLOOKUP(T_Convention[[#This Row],[NumL]],T_TraitDi[#Data],COLUMN(T_TraitDi[Nbhheb]),FALSE)=0,"",TEXT(IFERROR(VLOOKUP(T_Convention[[#This Row],[NumL]],T_TraitDi[#Data],COLUMN(T_TraitDi[Nbhheb]),FALSE),""),"[hh]:mm"))</f>
        <v>#N/A</v>
      </c>
      <c r="BL180" s="287" t="str">
        <f>IFERROR(VLOOKUP(VLOOKUP(T_Convention[[#This Row],[NumL]],T_TraitDi[#Data],COLUMN(T_TraitDi[Type1]),FALSE),TypeTW,2,FALSE),"")</f>
        <v/>
      </c>
      <c r="BM180" s="288" t="str">
        <f>IFERROR(VLOOKUP(T_Convention[[#This Row],[NumL]],T_TraitDi[#Data],COLUMN(T_TraitDi[Rue1]),FALSE),"")</f>
        <v/>
      </c>
      <c r="BN180" s="289" t="str">
        <f>IFERROR(VLOOKUP(T_Convention[[#This Row],[NumL]],T_TraitDi[#Data],COLUMN(T_TraitDi[CP1]),FALSE),"")</f>
        <v/>
      </c>
      <c r="BO180" s="282" t="str">
        <f>IFERROR(VLOOKUP(T_Convention[[#This Row],[NumL]],T_TraitDi[#Data],COLUMN(T_TraitDi[VILLE1]),FALSE),"")</f>
        <v/>
      </c>
      <c r="BP180" s="290" t="str">
        <f>IFERROR(VLOOKUP(VLOOKUP(T_Convention[[#This Row],[NumL]],T_TraitDi[#Data],COLUMN(T_TraitDi[Type2]),FALSE),TypeTW,2,FALSE),"")</f>
        <v/>
      </c>
      <c r="BQ180" s="182" t="str">
        <f>IFERROR(VLOOKUP(T_Convention[[#This Row],[NumL]],T_TraitDi[#Data],COLUMN(T_TraitDi[Rue2]),FALSE),"")</f>
        <v/>
      </c>
      <c r="BR180" s="173" t="str">
        <f>IFERROR(VLOOKUP(T_Convention[[#This Row],[NumL]],T_TraitDi[#Data],COLUMN(T_TraitDi[CP2]),FALSE),"")</f>
        <v/>
      </c>
      <c r="BS180" s="173" t="str">
        <f>IFERROR(VLOOKUP(T_Convention[[#This Row],[NumL]],T_TraitDi[#Data],COLUMN(T_TraitDi[VILLE2]),FALSE),"")</f>
        <v/>
      </c>
      <c r="BT180" s="182" t="str">
        <f>IF(VLOOKUP(T_Convention[[#This Row],[NumL]],T_Equipement[#Data],COLUMN(T_Equipement[PC]),FALSE)="","Aucun équipement spécifique directement lié au télétravail",VLOOKUP(T_Convention[[#This Row],[NumL]],T_Equipement[#Data],COLUMN(T_Equipement[PC]),FALSE))</f>
        <v>20-384</v>
      </c>
      <c r="BU180" s="166" t="str">
        <f>IFERROR(IF(VLOOKUP(T_Convention[[#This Row],[NumL]],T_TraitDi[#Data],COLUMN(T_TraitDi[Plan]),FALSE)="OK","Un planning spécifique de télétravail est annexé à la présente convention.",""),"")</f>
        <v/>
      </c>
      <c r="BV180" s="185" t="s">
        <v>3494</v>
      </c>
      <c r="BW180" s="164" t="e">
        <f>IF(VLOOKUP(T_Convention[[#This Row],[NumL]],T_suiviDi[#Data],COLUMN(T_suiviDi[Entité]),FALSE)="","",VLOOKUP(T_Convention[[#This Row],[NumL]],T_suiviDi[#Data],COLUMN(T_suiviDi[Entité]),FALSE))</f>
        <v>#N/A</v>
      </c>
      <c r="BX180" s="164" t="str">
        <f>IF(VLOOKUP(T_Convention[[#This Row],[NumL]],T_Commission[#Data],COLUMN(T_Commission[envoi confirm TW]),FALSE)="","",VLOOKUP(T_Convention[[#This Row],[NumL]],T_Commission[#Data],COLUMN(T_Commission[envoi confirm TW]),FALSE))</f>
        <v>Oui</v>
      </c>
      <c r="BY18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0" s="264">
        <f>VLOOKUP(T_Convention[[#This Row],[NumL]],T_Commission[#Data],COLUMN(T_Commission[Commentaire]),FALSE)</f>
        <v>0</v>
      </c>
      <c r="CA180" s="254" t="str">
        <f>IF(VLOOKUP(T_Convention[[#This Row],[NumL]],T_Commission[#Data],COLUMN(T_Commission[Encadrant Email]),FALSE)="","",VLOOKUP(T_Convention[[#This Row],[NumL]],T_Commission[#Data],COLUMN(T_Commission[Encadrant Email]),FALSE))</f>
        <v/>
      </c>
      <c r="CB180" s="352" t="e">
        <f>VLOOKUP(T_Convention[[#This Row],[NumL]],T_TraitDi[#Data],COLUMN(T_TraitDi[NbJTot]),FALSE)</f>
        <v>#N/A</v>
      </c>
      <c r="CC180" s="352" t="e">
        <f>VLOOKUP(T_Convention[[#This Row],[NumL]],T_TraitDi[#Data],COLUMN(T_TraitDi[Reg Ponct]),FALSE)</f>
        <v>#N/A</v>
      </c>
      <c r="CD180" s="348" t="str">
        <f>IF(T_Convention[[#This Row],[Final]]&lt;&gt;"",VLOOKUP(T_Convention[[#This Row],[NumL]],T_suiviDi[#Data],COLUMN((T_suiviDi[Statut])),FALSE),"")</f>
        <v/>
      </c>
    </row>
    <row r="181" spans="1:82" s="106" customFormat="1" ht="18.75" customHeight="1" x14ac:dyDescent="0.25">
      <c r="A181" s="160">
        <v>99</v>
      </c>
      <c r="B181" s="161" t="str">
        <f>VLOOKUP(T_Convention[[#This Row],[NumL]],T_Commission[#Data],COLUMN(T_Commission[FINAL]),FALSE)</f>
        <v/>
      </c>
      <c r="C181" s="162"/>
      <c r="D181" s="95" t="e">
        <f>IF(VLOOKUP(T_Convention[[#This Row],[NumL]],T_TraitDi[#Data],COLUMN(T_TraitDi[WebC]),FALSE)="","",VLOOKUP(T_Convention[[#This Row],[NumL]],T_TraitDi[#Data],COLUMN(T_TraitDi[WebC]),FALSE))</f>
        <v>#N/A</v>
      </c>
      <c r="E181" s="163" t="str">
        <f t="shared" si="10"/>
        <v>12 janvier 2021</v>
      </c>
      <c r="F181" s="282" t="str">
        <f>IF(T_Convention[[#This Row],[Final]]&lt;&gt;"",VLOOKUP(T_Convention[[#This Row],[NumL]],T_suiviDi[#Data],COLUMN((T_suiviDi[Civ.])),FALSE),"")</f>
        <v/>
      </c>
      <c r="G181" s="283" t="str">
        <f>IF(T_Convention[[#This Row],[Final]]&lt;&gt;"",VLOOKUP(T_Convention[[#This Row],[NumL]],T_suiviDi[#Data],COLUMN((T_suiviDi[Nom])),FALSE),"")</f>
        <v/>
      </c>
      <c r="H181" s="282" t="str">
        <f>IF(T_Convention[[#This Row],[Final]]&lt;&gt;"",VLOOKUP(T_Convention[[#This Row],[NumL]],T_suiviDi[#Data],COLUMN((T_suiviDi[Prénom])),FALSE),"")</f>
        <v/>
      </c>
      <c r="I181" s="282" t="e">
        <f>VLOOKUP(T_Convention[[#This Row],[NumL]],T_suiviDi[#Data],COLUMN((T_suiviDi[[#This Row],[Email]])),FALSE)</f>
        <v>#VALUE!</v>
      </c>
      <c r="J181" s="282" t="e">
        <f>IF(VLOOKUP(T_Convention[[#This Row],[NumL]],T_suiviDi[#Data],COLUMN(T_suiviDi[[#This Row],[Fonction]]),FALSE)="","",VLOOKUP(T_Convention[[#This Row],[NumL]],T_suiviDi[#Data],COLUMN(T_suiviDi[[#This Row],[Fonction]]),FALSE))</f>
        <v>#VALUE!</v>
      </c>
      <c r="K181" s="282" t="e">
        <f>IF(VLOOKUP(T_Convention[[#This Row],[NumL]],T_suiviDi[#Data],COLUMN(T_suiviDi[[#This Row],[Grade]]),FALSE)="","",VLOOKUP(T_Convention[[#This Row],[NumL]],T_suiviDi[#Data],COLUMN(T_suiviDi[[#This Row],[Grade]]),FALSE))</f>
        <v>#VALUE!</v>
      </c>
      <c r="L181" s="282" t="e">
        <f>IF(VLOOKUP(T_Convention[[#This Row],[NumL]],T_suiviDi[#Data],COLUMN(T_suiviDi[[#This Row],[Service ]]),FALSE)="","",VLOOKUP(T_Convention[[#This Row],[NumL]],T_suiviDi[#Data],COLUMN(T_suiviDi[[#This Row],[Service ]]),FALSE))</f>
        <v>#VALUE!</v>
      </c>
      <c r="M181" s="164" t="str">
        <f t="shared" si="11"/>
        <v>01 septembre 2021</v>
      </c>
      <c r="N181" s="164" t="str">
        <f t="shared" si="12"/>
        <v>30 novembre 2021</v>
      </c>
      <c r="O181" s="284" t="str">
        <f t="shared" si="13"/>
        <v>30 novembre 2021</v>
      </c>
      <c r="P181" s="282" t="e">
        <f>IF(VLOOKUP(T_Convention[[#This Row],[NumL]],T_TraitDi[#Data],COLUMN(T_TraitDi[M1]),FALSE)="","",VLOOKUP(T_Convention[[#This Row],[NumL]],T_TraitDi[#Data],COLUMN(T_TraitDi[M1]),FALSE))</f>
        <v>#N/A</v>
      </c>
      <c r="Q181" s="282" t="e">
        <f>IF(VLOOKUP(T_Convention[[#This Row],[NumL]],T_TraitDi[#Data],COLUMN(T_TraitDi[M2]),FALSE)="","",VLOOKUP(T_Convention[[#This Row],[NumL]],T_TraitDi[#Data],COLUMN(T_TraitDi[M2]),FALSE))</f>
        <v>#N/A</v>
      </c>
      <c r="R181" s="282" t="e">
        <f>IF(VLOOKUP(T_Convention[[#This Row],[NumL]],T_TraitDi[#Data],COLUMN(T_TraitDi[M3]),FALSE)="","",VLOOKUP(T_Convention[[#This Row],[NumL]],T_TraitDi[#Data],COLUMN(T_TraitDi[M3]),FALSE))</f>
        <v>#N/A</v>
      </c>
      <c r="S181" s="282" t="e">
        <f>IF(VLOOKUP(T_Convention[[#This Row],[NumL]],T_TraitDi[#Data],COLUMN(T_TraitDi[M4]),FALSE)="","",VLOOKUP(T_Convention[[#This Row],[NumL]],T_TraitDi[#Data],COLUMN(T_TraitDi[M4]),FALSE))</f>
        <v>#N/A</v>
      </c>
      <c r="T181" s="282" t="e">
        <f>IF(VLOOKUP(T_Convention[[#This Row],[NumL]],T_TraitDi[#Data],COLUMN(T_TraitDi[M5]),FALSE)="","",VLOOKUP(T_Convention[[#This Row],[NumL]],T_TraitDi[#Data],COLUMN(T_TraitDi[M5]),FALSE))</f>
        <v>#N/A</v>
      </c>
      <c r="U181" s="282" t="e">
        <f>IF(VLOOKUP(T_Convention[[#This Row],[NumL]],T_TraitDi[#Data],COLUMN(T_TraitDi[M6]),FALSE)="","",VLOOKUP(T_Convention[[#This Row],[NumL]],T_TraitDi[#Data],COLUMN(T_TraitDi[M6]),FALSE))</f>
        <v>#N/A</v>
      </c>
      <c r="V181" s="176" t="e">
        <f t="shared" si="14"/>
        <v>#N/A</v>
      </c>
      <c r="W181" s="284" t="str">
        <f>IFERROR(TEXT(VLOOKUP(T_Convention[[#This Row],[NumL]],T_TraitDi[#Data],COLUMN(T_TraitDi[Q2]),FALSE),"###%"),"")</f>
        <v/>
      </c>
      <c r="X181" s="97" t="e">
        <f>VLOOKUP(T_Convention[[#This Row],[NumL]],T_TraitDi[#Data],COLUMN(T_TraitDi[Reg Ponct]),FALSE)</f>
        <v>#N/A</v>
      </c>
      <c r="Y181" s="97" t="e">
        <f>VLOOKUP(T_Convention[NumL],T_TraitDi[#Data],COLUMN(T_TraitDi[Jours flottants]),FALSE)</f>
        <v>#N/A</v>
      </c>
      <c r="Z181" s="284" t="str">
        <f>IFERROR(VLOOKUP(T_Convention[[#This Row],[NumL]],T_TraitDi[#Data],COLUMN(T_TraitDi[Lundi]),FALSE),"")</f>
        <v/>
      </c>
      <c r="AA181" s="284" t="e">
        <f>IF(VLOOKUP(T_Convention[[#This Row],[NumL]],T_TraitDi[#Data],COLUMN(T_TraitDi[Colonne3]),FALSE)=0,"",TEXT(IFERROR(VLOOKUP(T_Convention[[#This Row],[NumL]],T_TraitDi[#Data],COLUMN(T_TraitDi[Colonne3]),FALSE),""),"[hh]:mm"))</f>
        <v>#N/A</v>
      </c>
      <c r="AB181" s="284" t="e">
        <f>IF(VLOOKUP(T_Convention[[#This Row],[NumL]],T_TraitDi[#Data],COLUMN(T_TraitDi[Colonne4]),FALSE)=0,"",TEXT(IFERROR(VLOOKUP(T_Convention[[#This Row],[NumL]],T_TraitDi[#Data],COLUMN(T_TraitDi[Colonne4]),FALSE),""),"[hh]:mm"))</f>
        <v>#N/A</v>
      </c>
      <c r="AC181" s="284" t="e">
        <f>IF(VLOOKUP(T_Convention[[#This Row],[NumL]],T_TraitDi[#Data],COLUMN(T_TraitDi[Colonne5]),FALSE)=0,"",TEXT(IFERROR(VLOOKUP(T_Convention[[#This Row],[NumL]],T_TraitDi[#Data],COLUMN(T_TraitDi[Colonne5]),FALSE),""),"[hh]:mm"))</f>
        <v>#N/A</v>
      </c>
      <c r="AD181" s="284" t="e">
        <f>IF(VLOOKUP(T_Convention[[#This Row],[NumL]],T_TraitDi[#Data],COLUMN(T_TraitDi[Colonne6]),FALSE)=0,"",TEXT(IFERROR(VLOOKUP(T_Convention[[#This Row],[NumL]],T_TraitDi[#Data],COLUMN(T_TraitDi[Colonne6]),FALSE),""),"[hh]:mm"))</f>
        <v>#N/A</v>
      </c>
      <c r="AE181" s="284" t="e">
        <f>IF(VLOOKUP(T_Convention[[#This Row],[NumL]],T_TraitDi[#Data],COLUMN(T_TraitDi[Colonne7]),FALSE)=0,"",TEXT(IFERROR(VLOOKUP(T_Convention[[#This Row],[NumL]],T_TraitDi[#Data],COLUMN(T_TraitDi[Colonne7]),FALSE),""),"[hh]:mm"))</f>
        <v>#N/A</v>
      </c>
      <c r="AF181" s="284" t="e">
        <f>IF(VLOOKUP(T_Convention[[#This Row],[NumL]],T_TraitDi[#Data],COLUMN(T_TraitDi[Colonne8]),FALSE)=0,"",TEXT(IFERROR(VLOOKUP(T_Convention[[#This Row],[NumL]],T_TraitDi[#Data],COLUMN(T_TraitDi[Colonne8]),FALSE),""),"[hh]:mm"))</f>
        <v>#N/A</v>
      </c>
      <c r="AG181" s="284" t="str">
        <f>IFERROR(VLOOKUP(T_Convention[[#This Row],[NumL]],T_TraitDi[#Data],COLUMN(T_TraitDi[Mardi]),FALSE),"")</f>
        <v/>
      </c>
      <c r="AH181" s="284" t="e">
        <f>IF(VLOOKUP(T_Convention[[#This Row],[NumL]],T_TraitDi[#Data],COLUMN(T_TraitDi[Colonne1]),FALSE)=0,"",TEXT(IFERROR(VLOOKUP(T_Convention[[#This Row],[NumL]],T_TraitDi[#Data],COLUMN(T_TraitDi[Colonne1]),FALSE),""),"[hh]:mm"))</f>
        <v>#N/A</v>
      </c>
      <c r="AI181" s="284" t="e">
        <f>IF(VLOOKUP(T_Convention[[#This Row],[NumL]],T_TraitDi[#Data],COLUMN(T_TraitDi[Colonne9]),FALSE)=0,"",TEXT(IFERROR(VLOOKUP(T_Convention[[#This Row],[NumL]],T_TraitDi[#Data],COLUMN(T_TraitDi[Colonne9]),FALSE),""),"[hh]:mm"))</f>
        <v>#N/A</v>
      </c>
      <c r="AJ181" s="284" t="str">
        <f>IFERROR(VLOOKUP(T_Convention[[#This Row],[NumL]],T_TraitDi[#Data],COLUMN(T_TraitDi[Colonne10]),FALSE),"")</f>
        <v/>
      </c>
      <c r="AK181" s="284" t="e">
        <f>IF(VLOOKUP(T_Convention[[#This Row],[NumL]],T_TraitDi[#Data],COLUMN(T_TraitDi[Colonne11]),FALSE)=0,"",TEXT(IFERROR(VLOOKUP(T_Convention[[#This Row],[NumL]],T_TraitDi[#Data],COLUMN(T_TraitDi[Colonne11]),FALSE),""),"[hh]:mm"))</f>
        <v>#N/A</v>
      </c>
      <c r="AL181" s="284" t="e">
        <f>IF(VLOOKUP(T_Convention[[#This Row],[NumL]],T_TraitDi[#Data],COLUMN(T_TraitDi[Colonne12]),FALSE)=0,"",TEXT(IFERROR(VLOOKUP(T_Convention[[#This Row],[NumL]],T_TraitDi[#Data],COLUMN(T_TraitDi[Colonne12]),FALSE),""),"[hh]:mm"))</f>
        <v>#N/A</v>
      </c>
      <c r="AM181" s="284" t="e">
        <f>IF(VLOOKUP(T_Convention[[#This Row],[NumL]],T_TraitDi[#Data],COLUMN(T_TraitDi[Colonne14]),FALSE)=0,"",TEXT(IFERROR(VLOOKUP(T_Convention[[#This Row],[NumL]],T_TraitDi[#Data],COLUMN(T_TraitDi[Colonne14]),FALSE),""),"[hh]:mm"))</f>
        <v>#N/A</v>
      </c>
      <c r="AN181" s="284" t="str">
        <f>IFERROR(VLOOKUP(T_Convention[[#This Row],[NumL]],T_TraitDi[#Data],COLUMN(T_TraitDi[Mercredi]),FALSE),"")</f>
        <v/>
      </c>
      <c r="AO181" s="284" t="e">
        <f>IF(VLOOKUP(T_Convention[[#This Row],[NumL]],T_TraitDi[#Data],COLUMN(T_TraitDi[Colonne15]),FALSE)=0,"",TEXT(IFERROR(VLOOKUP(T_Convention[[#This Row],[NumL]],T_TraitDi[#Data],COLUMN(T_TraitDi[Colonne15]),FALSE),""),"[hh]:mm"))</f>
        <v>#N/A</v>
      </c>
      <c r="AP181" s="284" t="e">
        <f>IF(VLOOKUP(T_Convention[[#This Row],[NumL]],T_TraitDi[#Data],COLUMN(T_TraitDi[Colonne16]),FALSE)=0,"",TEXT(IFERROR(VLOOKUP(T_Convention[[#This Row],[NumL]],T_TraitDi[#Data],COLUMN(T_TraitDi[Colonne16]),FALSE),""),"[hh]:mm"))</f>
        <v>#N/A</v>
      </c>
      <c r="AQ181" s="284" t="str">
        <f>IFERROR(VLOOKUP(T_Convention[[#This Row],[NumL]],T_TraitDi[#Data],COLUMN(T_TraitDi[Colonne17]),FALSE),"")</f>
        <v/>
      </c>
      <c r="AR181" s="284" t="e">
        <f>IF(VLOOKUP(T_Convention[[#This Row],[NumL]],T_TraitDi[#Data],COLUMN(T_TraitDi[Colonne18]),FALSE)=0,"",TEXT(IFERROR(VLOOKUP(T_Convention[[#This Row],[NumL]],T_TraitDi[#Data],COLUMN(T_TraitDi[Colonne18]),FALSE),""),"[hh]:mm"))</f>
        <v>#N/A</v>
      </c>
      <c r="AS181" s="284" t="e">
        <f>IF(VLOOKUP(T_Convention[[#This Row],[NumL]],T_TraitDi[#Data],COLUMN(T_TraitDi[Colonne19]),FALSE)=0,"",TEXT(IFERROR(VLOOKUP(T_Convention[[#This Row],[NumL]],T_TraitDi[#Data],COLUMN(T_TraitDi[Colonne19]),FALSE),""),"[hh]:mm"))</f>
        <v>#N/A</v>
      </c>
      <c r="AT181" s="284" t="e">
        <f>IF(VLOOKUP(T_Convention[[#This Row],[NumL]],T_TraitDi[#Data],COLUMN(T_TraitDi[Colonne20]),FALSE)=0,"",TEXT(IFERROR(VLOOKUP(T_Convention[[#This Row],[NumL]],T_TraitDi[#Data],COLUMN(T_TraitDi[Colonne20]),FALSE),""),"[hh]:mm"))</f>
        <v>#N/A</v>
      </c>
      <c r="AU181" s="284" t="str">
        <f>IFERROR(VLOOKUP(T_Convention[[#This Row],[NumL]],T_TraitDi[#Data],COLUMN(T_TraitDi[Jeudi]),FALSE),"")</f>
        <v/>
      </c>
      <c r="AV181" s="284" t="e">
        <f>IF(VLOOKUP(T_Convention[[#This Row],[NumL]],T_TraitDi[#Data],COLUMN(T_TraitDi[Colonne21]),FALSE)=0,"",TEXT(IFERROR(VLOOKUP(T_Convention[[#This Row],[NumL]],T_TraitDi[#Data],COLUMN(T_TraitDi[Colonne21]),FALSE),""),"[hh]:mm"))</f>
        <v>#N/A</v>
      </c>
      <c r="AW181" s="284" t="e">
        <f>IF(VLOOKUP(T_Convention[[#This Row],[NumL]],T_TraitDi[#Data],COLUMN(T_TraitDi[Colonne22]),FALSE)=0,"",TEXT(IFERROR(VLOOKUP(T_Convention[[#This Row],[NumL]],T_TraitDi[#Data],COLUMN(T_TraitDi[Colonne22]),FALSE),""),"[hh]:mm"))</f>
        <v>#N/A</v>
      </c>
      <c r="AX181" s="284" t="str">
        <f>IFERROR(VLOOKUP(T_Convention[[#This Row],[NumL]],T_TraitDi[#Data],COLUMN(T_TraitDi[Colonne23]),FALSE),"")</f>
        <v/>
      </c>
      <c r="AY181" s="284" t="e">
        <f>IF(VLOOKUP(T_Convention[[#This Row],[NumL]],T_TraitDi[#Data],COLUMN(T_TraitDi[Colonne24]),FALSE)=0,"",TEXT(IFERROR(VLOOKUP(T_Convention[[#This Row],[NumL]],T_TraitDi[#Data],COLUMN(T_TraitDi[Colonne24]),FALSE),""),"[hh]:mm"))</f>
        <v>#N/A</v>
      </c>
      <c r="AZ181" s="284" t="e">
        <f>IF(VLOOKUP(T_Convention[[#This Row],[NumL]],T_TraitDi[#Data],COLUMN(T_TraitDi[Colonne25]),FALSE)=0,"",TEXT(IFERROR(VLOOKUP(T_Convention[[#This Row],[NumL]],T_TraitDi[#Data],COLUMN(T_TraitDi[Colonne25]),FALSE),""),"[hh]:mm"))</f>
        <v>#N/A</v>
      </c>
      <c r="BA181" s="284" t="e">
        <f>IF(VLOOKUP(T_Convention[[#This Row],[NumL]],T_TraitDi[#Data],COLUMN(T_TraitDi[Colonne26]),FALSE)=0,"",TEXT(IFERROR(VLOOKUP(T_Convention[[#This Row],[NumL]],T_TraitDi[#Data],COLUMN(T_TraitDi[Colonne26]),FALSE),""),"[hh]:mm"))</f>
        <v>#N/A</v>
      </c>
      <c r="BB181" s="284" t="str">
        <f>IFERROR(VLOOKUP(T_Convention[[#This Row],[NumL]],T_TraitDi[#Data],COLUMN(T_TraitDi[Vendredi]),FALSE),"")</f>
        <v/>
      </c>
      <c r="BC181" s="284" t="e">
        <f>IF(VLOOKUP(T_Convention[[#This Row],[NumL]],T_TraitDi[#Data],COLUMN(T_TraitDi[Colonne27]),FALSE)=0,"",TEXT(IFERROR(VLOOKUP(T_Convention[[#This Row],[NumL]],T_TraitDi[#Data],COLUMN(T_TraitDi[Colonne27]),FALSE),""),"[hh]:mm"))</f>
        <v>#N/A</v>
      </c>
      <c r="BD181" s="284" t="e">
        <f>IF(VLOOKUP(T_Convention[[#This Row],[NumL]],T_TraitDi[#Data],COLUMN(T_TraitDi[Colonne28]),FALSE)=0,"",TEXT(IFERROR(VLOOKUP(T_Convention[[#This Row],[NumL]],T_TraitDi[#Data],COLUMN(T_TraitDi[Colonne28]),FALSE),""),"[hh]:mm"))</f>
        <v>#N/A</v>
      </c>
      <c r="BE181" s="284" t="str">
        <f>IFERROR(VLOOKUP(T_Convention[[#This Row],[NumL]],T_TraitDi[#Data],COLUMN(T_TraitDi[Colonne29]),FALSE),"")</f>
        <v/>
      </c>
      <c r="BF181" s="284" t="e">
        <f>IF(VLOOKUP(T_Convention[[#This Row],[NumL]],T_TraitDi[#Data],COLUMN(T_TraitDi[Colonne30]),FALSE)=0,"",TEXT(IFERROR(VLOOKUP(T_Convention[[#This Row],[NumL]],T_TraitDi[#Data],COLUMN(T_TraitDi[Colonne30]),FALSE),""),"[hh]:mm"))</f>
        <v>#N/A</v>
      </c>
      <c r="BG181" s="284" t="e">
        <f>IF(VLOOKUP(T_Convention[[#This Row],[NumL]],T_TraitDi[#Data],COLUMN(T_TraitDi[Colonne31]),FALSE)=0,"",TEXT(IFERROR(VLOOKUP(T_Convention[[#This Row],[NumL]],T_TraitDi[#Data],COLUMN(T_TraitDi[Colonne31]),FALSE),""),"[hh]:mm"))</f>
        <v>#N/A</v>
      </c>
      <c r="BH181" s="284" t="e">
        <f>IF(VLOOKUP(T_Convention[[#This Row],[NumL]],T_TraitDi[#Data],COLUMN(T_TraitDi[Colonne32]),FALSE)=0,"",TEXT(IFERROR(VLOOKUP(T_Convention[[#This Row],[NumL]],T_TraitDi[#Data],COLUMN(T_TraitDi[Colonne32]),FALSE),""),"[hh]:mm"))</f>
        <v>#N/A</v>
      </c>
      <c r="BI181" s="284" t="str">
        <f>IFERROR(VLOOKUP(T_Convention[[#This Row],[NumL]],T_TraitDi[#Data],COLUMN(T_TraitDi[NbJTW]),FALSE),"")</f>
        <v/>
      </c>
      <c r="BJ181" s="284" t="e">
        <f>IF(VLOOKUP(T_Convention[[#This Row],[NumL]],T_TraitDi[#Data],COLUMN(T_TraitDi[NbhTW]),FALSE)=0,"",TEXT(IFERROR(VLOOKUP(T_Convention[[#This Row],[NumL]],T_TraitDi[#Data],COLUMN(T_TraitDi[NbhTW]),FALSE),""),"[hh]:mm"))</f>
        <v>#N/A</v>
      </c>
      <c r="BK181" s="286" t="e">
        <f>IF(VLOOKUP(T_Convention[[#This Row],[NumL]],T_TraitDi[#Data],COLUMN(T_TraitDi[Nbhheb]),FALSE)=0,"",TEXT(IFERROR(VLOOKUP(T_Convention[[#This Row],[NumL]],T_TraitDi[#Data],COLUMN(T_TraitDi[Nbhheb]),FALSE),""),"[hh]:mm"))</f>
        <v>#N/A</v>
      </c>
      <c r="BL181" s="287" t="str">
        <f>IFERROR(VLOOKUP(VLOOKUP(T_Convention[[#This Row],[NumL]],T_TraitDi[#Data],COLUMN(T_TraitDi[Type1]),FALSE),TypeTW,2,FALSE),"")</f>
        <v/>
      </c>
      <c r="BM181" s="288" t="str">
        <f>IFERROR(VLOOKUP(T_Convention[[#This Row],[NumL]],T_TraitDi[#Data],COLUMN(T_TraitDi[Rue1]),FALSE),"")</f>
        <v/>
      </c>
      <c r="BN181" s="289" t="str">
        <f>IFERROR(VLOOKUP(T_Convention[[#This Row],[NumL]],T_TraitDi[#Data],COLUMN(T_TraitDi[CP1]),FALSE),"")</f>
        <v/>
      </c>
      <c r="BO181" s="282" t="str">
        <f>IFERROR(VLOOKUP(T_Convention[[#This Row],[NumL]],T_TraitDi[#Data],COLUMN(T_TraitDi[VILLE1]),FALSE),"")</f>
        <v/>
      </c>
      <c r="BP181" s="290" t="str">
        <f>IFERROR(VLOOKUP(VLOOKUP(T_Convention[[#This Row],[NumL]],T_TraitDi[#Data],COLUMN(T_TraitDi[Type2]),FALSE),TypeTW,2,FALSE),"")</f>
        <v/>
      </c>
      <c r="BQ181" s="182" t="str">
        <f>IFERROR(VLOOKUP(T_Convention[[#This Row],[NumL]],T_TraitDi[#Data],COLUMN(T_TraitDi[Rue2]),FALSE),"")</f>
        <v/>
      </c>
      <c r="BR181" s="173" t="str">
        <f>IFERROR(VLOOKUP(T_Convention[[#This Row],[NumL]],T_TraitDi[#Data],COLUMN(T_TraitDi[CP2]),FALSE),"")</f>
        <v/>
      </c>
      <c r="BS181" s="173" t="str">
        <f>IFERROR(VLOOKUP(T_Convention[[#This Row],[NumL]],T_TraitDi[#Data],COLUMN(T_TraitDi[VILLE2]),FALSE),"")</f>
        <v/>
      </c>
      <c r="BT181" s="182" t="str">
        <f>IF(VLOOKUP(T_Convention[[#This Row],[NumL]],T_Equipement[#Data],COLUMN(T_Equipement[PC]),FALSE)="","Aucun équipement spécifique directement lié au télétravail",VLOOKUP(T_Convention[[#This Row],[NumL]],T_Equipement[#Data],COLUMN(T_Equipement[PC]),FALSE))</f>
        <v xml:space="preserve">20-472	</v>
      </c>
      <c r="BU181" s="166" t="str">
        <f>IFERROR(IF(VLOOKUP(T_Convention[[#This Row],[NumL]],T_TraitDi[#Data],COLUMN(T_TraitDi[Plan]),FALSE)="OK","Un planning spécifique de télétravail est annexé à la présente convention.",""),"")</f>
        <v/>
      </c>
      <c r="BV181" s="185" t="s">
        <v>3441</v>
      </c>
      <c r="BW181" s="164" t="e">
        <f>IF(VLOOKUP(T_Convention[[#This Row],[NumL]],T_suiviDi[#Data],COLUMN(T_suiviDi[Entité]),FALSE)="","",VLOOKUP(T_Convention[[#This Row],[NumL]],T_suiviDi[#Data],COLUMN(T_suiviDi[Entité]),FALSE))</f>
        <v>#N/A</v>
      </c>
      <c r="BX181" s="164" t="str">
        <f>IF(VLOOKUP(T_Convention[[#This Row],[NumL]],T_Commission[#Data],COLUMN(T_Commission[envoi confirm TW]),FALSE)="","",VLOOKUP(T_Convention[[#This Row],[NumL]],T_Commission[#Data],COLUMN(T_Commission[envoi confirm TW]),FALSE))</f>
        <v>Oui</v>
      </c>
      <c r="BY181" s="377"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1" s="264">
        <f>VLOOKUP(T_Convention[[#This Row],[NumL]],T_Commission[#Data],COLUMN(T_Commission[Commentaire]),FALSE)</f>
        <v>0</v>
      </c>
      <c r="CA181" s="254" t="str">
        <f>IF(VLOOKUP(T_Convention[[#This Row],[NumL]],T_Commission[#Data],COLUMN(T_Commission[Encadrant Email]),FALSE)="","",VLOOKUP(T_Convention[[#This Row],[NumL]],T_Commission[#Data],COLUMN(T_Commission[Encadrant Email]),FALSE))</f>
        <v/>
      </c>
      <c r="CB181" s="352" t="e">
        <f>VLOOKUP(T_Convention[[#This Row],[NumL]],T_TraitDi[#Data],COLUMN(T_TraitDi[NbJTot]),FALSE)</f>
        <v>#N/A</v>
      </c>
      <c r="CC181" s="352" t="e">
        <f>VLOOKUP(T_Convention[[#This Row],[NumL]],T_TraitDi[#Data],COLUMN(T_TraitDi[Reg Ponct]),FALSE)</f>
        <v>#N/A</v>
      </c>
      <c r="CD181" s="348" t="str">
        <f>IF(T_Convention[[#This Row],[Final]]&lt;&gt;"",VLOOKUP(T_Convention[[#This Row],[NumL]],T_suiviDi[#Data],COLUMN((T_suiviDi[Statut])),FALSE),"")</f>
        <v/>
      </c>
    </row>
    <row r="182" spans="1:82" s="106" customFormat="1" ht="18.75" customHeight="1" x14ac:dyDescent="0.25">
      <c r="A182" s="160">
        <v>270</v>
      </c>
      <c r="B182" s="161" t="str">
        <f>VLOOKUP(T_Convention[[#This Row],[NumL]],T_Commission[#Data],COLUMN(T_Commission[FINAL]),FALSE)</f>
        <v/>
      </c>
      <c r="C182" s="162"/>
      <c r="D182" s="95" t="e">
        <f>IF(VLOOKUP(T_Convention[[#This Row],[NumL]],T_TraitDi[#Data],COLUMN(T_TraitDi[WebC]),FALSE)="","",VLOOKUP(T_Convention[[#This Row],[NumL]],T_TraitDi[#Data],COLUMN(T_TraitDi[WebC]),FALSE))</f>
        <v>#N/A</v>
      </c>
      <c r="E182" s="163" t="str">
        <f t="shared" si="10"/>
        <v>12 janvier 2021</v>
      </c>
      <c r="F182" s="282" t="str">
        <f>IF(T_Convention[[#This Row],[Final]]&lt;&gt;"",VLOOKUP(T_Convention[[#This Row],[NumL]],T_suiviDi[#Data],COLUMN((T_suiviDi[Civ.])),FALSE),"")</f>
        <v/>
      </c>
      <c r="G182" s="283" t="str">
        <f>IF(T_Convention[[#This Row],[Final]]&lt;&gt;"",VLOOKUP(T_Convention[[#This Row],[NumL]],T_suiviDi[#Data],COLUMN((T_suiviDi[Nom])),FALSE),"")</f>
        <v/>
      </c>
      <c r="H182" s="282" t="str">
        <f>IF(T_Convention[[#This Row],[Final]]&lt;&gt;"",VLOOKUP(T_Convention[[#This Row],[NumL]],T_suiviDi[#Data],COLUMN((T_suiviDi[Prénom])),FALSE),"")</f>
        <v/>
      </c>
      <c r="I182" s="282" t="e">
        <f>VLOOKUP(T_Convention[[#This Row],[NumL]],T_suiviDi[#Data],COLUMN((T_suiviDi[[#This Row],[Email]])),FALSE)</f>
        <v>#VALUE!</v>
      </c>
      <c r="J182" s="282" t="e">
        <f>IF(VLOOKUP(T_Convention[[#This Row],[NumL]],T_suiviDi[#Data],COLUMN(T_suiviDi[[#This Row],[Fonction]]),FALSE)="","",VLOOKUP(T_Convention[[#This Row],[NumL]],T_suiviDi[#Data],COLUMN(T_suiviDi[[#This Row],[Fonction]]),FALSE))</f>
        <v>#VALUE!</v>
      </c>
      <c r="K182" s="282" t="e">
        <f>IF(VLOOKUP(T_Convention[[#This Row],[NumL]],T_suiviDi[#Data],COLUMN(T_suiviDi[[#This Row],[Grade]]),FALSE)="","",VLOOKUP(T_Convention[[#This Row],[NumL]],T_suiviDi[#Data],COLUMN(T_suiviDi[[#This Row],[Grade]]),FALSE))</f>
        <v>#VALUE!</v>
      </c>
      <c r="L182" s="282" t="e">
        <f>IF(VLOOKUP(T_Convention[[#This Row],[NumL]],T_suiviDi[#Data],COLUMN(T_suiviDi[[#This Row],[Service ]]),FALSE)="","",VLOOKUP(T_Convention[[#This Row],[NumL]],T_suiviDi[#Data],COLUMN(T_suiviDi[[#This Row],[Service ]]),FALSE))</f>
        <v>#VALUE!</v>
      </c>
      <c r="M182" s="164" t="str">
        <f t="shared" si="11"/>
        <v>01 septembre 2021</v>
      </c>
      <c r="N182" s="164" t="str">
        <f t="shared" si="12"/>
        <v>30 novembre 2021</v>
      </c>
      <c r="O182" s="284" t="str">
        <f t="shared" si="13"/>
        <v>30 novembre 2021</v>
      </c>
      <c r="P182" s="282" t="e">
        <f>IF(VLOOKUP(T_Convention[[#This Row],[NumL]],T_TraitDi[#Data],COLUMN(T_TraitDi[M1]),FALSE)="","",VLOOKUP(T_Convention[[#This Row],[NumL]],T_TraitDi[#Data],COLUMN(T_TraitDi[M1]),FALSE))</f>
        <v>#N/A</v>
      </c>
      <c r="Q182" s="282" t="e">
        <f>IF(VLOOKUP(T_Convention[[#This Row],[NumL]],T_TraitDi[#Data],COLUMN(T_TraitDi[M2]),FALSE)="","",VLOOKUP(T_Convention[[#This Row],[NumL]],T_TraitDi[#Data],COLUMN(T_TraitDi[M2]),FALSE))</f>
        <v>#N/A</v>
      </c>
      <c r="R182" s="282" t="e">
        <f>IF(VLOOKUP(T_Convention[[#This Row],[NumL]],T_TraitDi[#Data],COLUMN(T_TraitDi[M3]),FALSE)="","",VLOOKUP(T_Convention[[#This Row],[NumL]],T_TraitDi[#Data],COLUMN(T_TraitDi[M3]),FALSE))</f>
        <v>#N/A</v>
      </c>
      <c r="S182" s="282" t="e">
        <f>IF(VLOOKUP(T_Convention[[#This Row],[NumL]],T_TraitDi[#Data],COLUMN(T_TraitDi[M4]),FALSE)="","",VLOOKUP(T_Convention[[#This Row],[NumL]],T_TraitDi[#Data],COLUMN(T_TraitDi[M4]),FALSE))</f>
        <v>#N/A</v>
      </c>
      <c r="T182" s="282" t="e">
        <f>IF(VLOOKUP(T_Convention[[#This Row],[NumL]],T_TraitDi[#Data],COLUMN(T_TraitDi[M5]),FALSE)="","",VLOOKUP(T_Convention[[#This Row],[NumL]],T_TraitDi[#Data],COLUMN(T_TraitDi[M5]),FALSE))</f>
        <v>#N/A</v>
      </c>
      <c r="U182" s="282" t="e">
        <f>IF(VLOOKUP(T_Convention[[#This Row],[NumL]],T_TraitDi[#Data],COLUMN(T_TraitDi[M6]),FALSE)="","",VLOOKUP(T_Convention[[#This Row],[NumL]],T_TraitDi[#Data],COLUMN(T_TraitDi[M6]),FALSE))</f>
        <v>#N/A</v>
      </c>
      <c r="V182" s="176" t="e">
        <f t="shared" si="14"/>
        <v>#N/A</v>
      </c>
      <c r="W182" s="284" t="str">
        <f>IFERROR(TEXT(VLOOKUP(T_Convention[[#This Row],[NumL]],T_TraitDi[#Data],COLUMN(T_TraitDi[Q2]),FALSE),"###%"),"")</f>
        <v/>
      </c>
      <c r="X182" s="97" t="e">
        <f>VLOOKUP(T_Convention[[#This Row],[NumL]],T_TraitDi[#Data],COLUMN(T_TraitDi[Reg Ponct]),FALSE)</f>
        <v>#N/A</v>
      </c>
      <c r="Y182" s="97" t="e">
        <f>VLOOKUP(T_Convention[NumL],T_TraitDi[#Data],COLUMN(T_TraitDi[Jours flottants]),FALSE)</f>
        <v>#N/A</v>
      </c>
      <c r="Z182" s="284" t="str">
        <f>IFERROR(VLOOKUP(T_Convention[[#This Row],[NumL]],T_TraitDi[#Data],COLUMN(T_TraitDi[Lundi]),FALSE),"")</f>
        <v/>
      </c>
      <c r="AA182" s="284" t="e">
        <f>IF(VLOOKUP(T_Convention[[#This Row],[NumL]],T_TraitDi[#Data],COLUMN(T_TraitDi[Colonne3]),FALSE)=0,"",TEXT(IFERROR(VLOOKUP(T_Convention[[#This Row],[NumL]],T_TraitDi[#Data],COLUMN(T_TraitDi[Colonne3]),FALSE),""),"[hh]:mm"))</f>
        <v>#N/A</v>
      </c>
      <c r="AB182" s="284" t="e">
        <f>IF(VLOOKUP(T_Convention[[#This Row],[NumL]],T_TraitDi[#Data],COLUMN(T_TraitDi[Colonne4]),FALSE)=0,"",TEXT(IFERROR(VLOOKUP(T_Convention[[#This Row],[NumL]],T_TraitDi[#Data],COLUMN(T_TraitDi[Colonne4]),FALSE),""),"[hh]:mm"))</f>
        <v>#N/A</v>
      </c>
      <c r="AC182" s="284" t="e">
        <f>IF(VLOOKUP(T_Convention[[#This Row],[NumL]],T_TraitDi[#Data],COLUMN(T_TraitDi[Colonne5]),FALSE)=0,"",TEXT(IFERROR(VLOOKUP(T_Convention[[#This Row],[NumL]],T_TraitDi[#Data],COLUMN(T_TraitDi[Colonne5]),FALSE),""),"[hh]:mm"))</f>
        <v>#N/A</v>
      </c>
      <c r="AD182" s="284" t="e">
        <f>IF(VLOOKUP(T_Convention[[#This Row],[NumL]],T_TraitDi[#Data],COLUMN(T_TraitDi[Colonne6]),FALSE)=0,"",TEXT(IFERROR(VLOOKUP(T_Convention[[#This Row],[NumL]],T_TraitDi[#Data],COLUMN(T_TraitDi[Colonne6]),FALSE),""),"[hh]:mm"))</f>
        <v>#N/A</v>
      </c>
      <c r="AE182" s="284" t="e">
        <f>IF(VLOOKUP(T_Convention[[#This Row],[NumL]],T_TraitDi[#Data],COLUMN(T_TraitDi[Colonne7]),FALSE)=0,"",TEXT(IFERROR(VLOOKUP(T_Convention[[#This Row],[NumL]],T_TraitDi[#Data],COLUMN(T_TraitDi[Colonne7]),FALSE),""),"[hh]:mm"))</f>
        <v>#N/A</v>
      </c>
      <c r="AF182" s="284" t="e">
        <f>IF(VLOOKUP(T_Convention[[#This Row],[NumL]],T_TraitDi[#Data],COLUMN(T_TraitDi[Colonne8]),FALSE)=0,"",TEXT(IFERROR(VLOOKUP(T_Convention[[#This Row],[NumL]],T_TraitDi[#Data],COLUMN(T_TraitDi[Colonne8]),FALSE),""),"[hh]:mm"))</f>
        <v>#N/A</v>
      </c>
      <c r="AG182" s="284" t="str">
        <f>IFERROR(VLOOKUP(T_Convention[[#This Row],[NumL]],T_TraitDi[#Data],COLUMN(T_TraitDi[Mardi]),FALSE),"")</f>
        <v/>
      </c>
      <c r="AH182" s="284" t="e">
        <f>IF(VLOOKUP(T_Convention[[#This Row],[NumL]],T_TraitDi[#Data],COLUMN(T_TraitDi[Colonne1]),FALSE)=0,"",TEXT(IFERROR(VLOOKUP(T_Convention[[#This Row],[NumL]],T_TraitDi[#Data],COLUMN(T_TraitDi[Colonne1]),FALSE),""),"[hh]:mm"))</f>
        <v>#N/A</v>
      </c>
      <c r="AI182" s="284" t="e">
        <f>IF(VLOOKUP(T_Convention[[#This Row],[NumL]],T_TraitDi[#Data],COLUMN(T_TraitDi[Colonne9]),FALSE)=0,"",TEXT(IFERROR(VLOOKUP(T_Convention[[#This Row],[NumL]],T_TraitDi[#Data],COLUMN(T_TraitDi[Colonne9]),FALSE),""),"[hh]:mm"))</f>
        <v>#N/A</v>
      </c>
      <c r="AJ182" s="284" t="str">
        <f>IFERROR(VLOOKUP(T_Convention[[#This Row],[NumL]],T_TraitDi[#Data],COLUMN(T_TraitDi[Colonne10]),FALSE),"")</f>
        <v/>
      </c>
      <c r="AK182" s="284" t="e">
        <f>IF(VLOOKUP(T_Convention[[#This Row],[NumL]],T_TraitDi[#Data],COLUMN(T_TraitDi[Colonne11]),FALSE)=0,"",TEXT(IFERROR(VLOOKUP(T_Convention[[#This Row],[NumL]],T_TraitDi[#Data],COLUMN(T_TraitDi[Colonne11]),FALSE),""),"[hh]:mm"))</f>
        <v>#N/A</v>
      </c>
      <c r="AL182" s="284" t="e">
        <f>IF(VLOOKUP(T_Convention[[#This Row],[NumL]],T_TraitDi[#Data],COLUMN(T_TraitDi[Colonne12]),FALSE)=0,"",TEXT(IFERROR(VLOOKUP(T_Convention[[#This Row],[NumL]],T_TraitDi[#Data],COLUMN(T_TraitDi[Colonne12]),FALSE),""),"[hh]:mm"))</f>
        <v>#N/A</v>
      </c>
      <c r="AM182" s="284" t="e">
        <f>IF(VLOOKUP(T_Convention[[#This Row],[NumL]],T_TraitDi[#Data],COLUMN(T_TraitDi[Colonne14]),FALSE)=0,"",TEXT(IFERROR(VLOOKUP(T_Convention[[#This Row],[NumL]],T_TraitDi[#Data],COLUMN(T_TraitDi[Colonne14]),FALSE),""),"[hh]:mm"))</f>
        <v>#N/A</v>
      </c>
      <c r="AN182" s="284" t="str">
        <f>IFERROR(VLOOKUP(T_Convention[[#This Row],[NumL]],T_TraitDi[#Data],COLUMN(T_TraitDi[Mercredi]),FALSE),"")</f>
        <v/>
      </c>
      <c r="AO182" s="284" t="e">
        <f>IF(VLOOKUP(T_Convention[[#This Row],[NumL]],T_TraitDi[#Data],COLUMN(T_TraitDi[Colonne15]),FALSE)=0,"",TEXT(IFERROR(VLOOKUP(T_Convention[[#This Row],[NumL]],T_TraitDi[#Data],COLUMN(T_TraitDi[Colonne15]),FALSE),""),"[hh]:mm"))</f>
        <v>#N/A</v>
      </c>
      <c r="AP182" s="284" t="e">
        <f>IF(VLOOKUP(T_Convention[[#This Row],[NumL]],T_TraitDi[#Data],COLUMN(T_TraitDi[Colonne16]),FALSE)=0,"",TEXT(IFERROR(VLOOKUP(T_Convention[[#This Row],[NumL]],T_TraitDi[#Data],COLUMN(T_TraitDi[Colonne16]),FALSE),""),"[hh]:mm"))</f>
        <v>#N/A</v>
      </c>
      <c r="AQ182" s="284" t="str">
        <f>IFERROR(VLOOKUP(T_Convention[[#This Row],[NumL]],T_TraitDi[#Data],COLUMN(T_TraitDi[Colonne17]),FALSE),"")</f>
        <v/>
      </c>
      <c r="AR182" s="284" t="e">
        <f>IF(VLOOKUP(T_Convention[[#This Row],[NumL]],T_TraitDi[#Data],COLUMN(T_TraitDi[Colonne18]),FALSE)=0,"",TEXT(IFERROR(VLOOKUP(T_Convention[[#This Row],[NumL]],T_TraitDi[#Data],COLUMN(T_TraitDi[Colonne18]),FALSE),""),"[hh]:mm"))</f>
        <v>#N/A</v>
      </c>
      <c r="AS182" s="284" t="e">
        <f>IF(VLOOKUP(T_Convention[[#This Row],[NumL]],T_TraitDi[#Data],COLUMN(T_TraitDi[Colonne19]),FALSE)=0,"",TEXT(IFERROR(VLOOKUP(T_Convention[[#This Row],[NumL]],T_TraitDi[#Data],COLUMN(T_TraitDi[Colonne19]),FALSE),""),"[hh]:mm"))</f>
        <v>#N/A</v>
      </c>
      <c r="AT182" s="284" t="e">
        <f>IF(VLOOKUP(T_Convention[[#This Row],[NumL]],T_TraitDi[#Data],COLUMN(T_TraitDi[Colonne20]),FALSE)=0,"",TEXT(IFERROR(VLOOKUP(T_Convention[[#This Row],[NumL]],T_TraitDi[#Data],COLUMN(T_TraitDi[Colonne20]),FALSE),""),"[hh]:mm"))</f>
        <v>#N/A</v>
      </c>
      <c r="AU182" s="284" t="str">
        <f>IFERROR(VLOOKUP(T_Convention[[#This Row],[NumL]],T_TraitDi[#Data],COLUMN(T_TraitDi[Jeudi]),FALSE),"")</f>
        <v/>
      </c>
      <c r="AV182" s="284" t="e">
        <f>IF(VLOOKUP(T_Convention[[#This Row],[NumL]],T_TraitDi[#Data],COLUMN(T_TraitDi[Colonne21]),FALSE)=0,"",TEXT(IFERROR(VLOOKUP(T_Convention[[#This Row],[NumL]],T_TraitDi[#Data],COLUMN(T_TraitDi[Colonne21]),FALSE),""),"[hh]:mm"))</f>
        <v>#N/A</v>
      </c>
      <c r="AW182" s="284" t="e">
        <f>IF(VLOOKUP(T_Convention[[#This Row],[NumL]],T_TraitDi[#Data],COLUMN(T_TraitDi[Colonne22]),FALSE)=0,"",TEXT(IFERROR(VLOOKUP(T_Convention[[#This Row],[NumL]],T_TraitDi[#Data],COLUMN(T_TraitDi[Colonne22]),FALSE),""),"[hh]:mm"))</f>
        <v>#N/A</v>
      </c>
      <c r="AX182" s="284" t="str">
        <f>IFERROR(VLOOKUP(T_Convention[[#This Row],[NumL]],T_TraitDi[#Data],COLUMN(T_TraitDi[Colonne23]),FALSE),"")</f>
        <v/>
      </c>
      <c r="AY182" s="284" t="e">
        <f>IF(VLOOKUP(T_Convention[[#This Row],[NumL]],T_TraitDi[#Data],COLUMN(T_TraitDi[Colonne24]),FALSE)=0,"",TEXT(IFERROR(VLOOKUP(T_Convention[[#This Row],[NumL]],T_TraitDi[#Data],COLUMN(T_TraitDi[Colonne24]),FALSE),""),"[hh]:mm"))</f>
        <v>#N/A</v>
      </c>
      <c r="AZ182" s="284" t="e">
        <f>IF(VLOOKUP(T_Convention[[#This Row],[NumL]],T_TraitDi[#Data],COLUMN(T_TraitDi[Colonne25]),FALSE)=0,"",TEXT(IFERROR(VLOOKUP(T_Convention[[#This Row],[NumL]],T_TraitDi[#Data],COLUMN(T_TraitDi[Colonne25]),FALSE),""),"[hh]:mm"))</f>
        <v>#N/A</v>
      </c>
      <c r="BA182" s="284" t="e">
        <f>IF(VLOOKUP(T_Convention[[#This Row],[NumL]],T_TraitDi[#Data],COLUMN(T_TraitDi[Colonne26]),FALSE)=0,"",TEXT(IFERROR(VLOOKUP(T_Convention[[#This Row],[NumL]],T_TraitDi[#Data],COLUMN(T_TraitDi[Colonne26]),FALSE),""),"[hh]:mm"))</f>
        <v>#N/A</v>
      </c>
      <c r="BB182" s="284" t="str">
        <f>IFERROR(VLOOKUP(T_Convention[[#This Row],[NumL]],T_TraitDi[#Data],COLUMN(T_TraitDi[Vendredi]),FALSE),"")</f>
        <v/>
      </c>
      <c r="BC182" s="284" t="e">
        <f>IF(VLOOKUP(T_Convention[[#This Row],[NumL]],T_TraitDi[#Data],COLUMN(T_TraitDi[Colonne27]),FALSE)=0,"",TEXT(IFERROR(VLOOKUP(T_Convention[[#This Row],[NumL]],T_TraitDi[#Data],COLUMN(T_TraitDi[Colonne27]),FALSE),""),"[hh]:mm"))</f>
        <v>#N/A</v>
      </c>
      <c r="BD182" s="284" t="e">
        <f>IF(VLOOKUP(T_Convention[[#This Row],[NumL]],T_TraitDi[#Data],COLUMN(T_TraitDi[Colonne28]),FALSE)=0,"",TEXT(IFERROR(VLOOKUP(T_Convention[[#This Row],[NumL]],T_TraitDi[#Data],COLUMN(T_TraitDi[Colonne28]),FALSE),""),"[hh]:mm"))</f>
        <v>#N/A</v>
      </c>
      <c r="BE182" s="284" t="str">
        <f>IFERROR(VLOOKUP(T_Convention[[#This Row],[NumL]],T_TraitDi[#Data],COLUMN(T_TraitDi[Colonne29]),FALSE),"")</f>
        <v/>
      </c>
      <c r="BF182" s="284" t="e">
        <f>IF(VLOOKUP(T_Convention[[#This Row],[NumL]],T_TraitDi[#Data],COLUMN(T_TraitDi[Colonne30]),FALSE)=0,"",TEXT(IFERROR(VLOOKUP(T_Convention[[#This Row],[NumL]],T_TraitDi[#Data],COLUMN(T_TraitDi[Colonne30]),FALSE),""),"[hh]:mm"))</f>
        <v>#N/A</v>
      </c>
      <c r="BG182" s="284" t="e">
        <f>IF(VLOOKUP(T_Convention[[#This Row],[NumL]],T_TraitDi[#Data],COLUMN(T_TraitDi[Colonne31]),FALSE)=0,"",TEXT(IFERROR(VLOOKUP(T_Convention[[#This Row],[NumL]],T_TraitDi[#Data],COLUMN(T_TraitDi[Colonne31]),FALSE),""),"[hh]:mm"))</f>
        <v>#N/A</v>
      </c>
      <c r="BH182" s="284" t="e">
        <f>IF(VLOOKUP(T_Convention[[#This Row],[NumL]],T_TraitDi[#Data],COLUMN(T_TraitDi[Colonne32]),FALSE)=0,"",TEXT(IFERROR(VLOOKUP(T_Convention[[#This Row],[NumL]],T_TraitDi[#Data],COLUMN(T_TraitDi[Colonne32]),FALSE),""),"[hh]:mm"))</f>
        <v>#N/A</v>
      </c>
      <c r="BI182" s="284" t="str">
        <f>IFERROR(VLOOKUP(T_Convention[[#This Row],[NumL]],T_TraitDi[#Data],COLUMN(T_TraitDi[NbJTW]),FALSE),"")</f>
        <v/>
      </c>
      <c r="BJ182" s="284" t="e">
        <f>IF(VLOOKUP(T_Convention[[#This Row],[NumL]],T_TraitDi[#Data],COLUMN(T_TraitDi[NbhTW]),FALSE)=0,"",TEXT(IFERROR(VLOOKUP(T_Convention[[#This Row],[NumL]],T_TraitDi[#Data],COLUMN(T_TraitDi[NbhTW]),FALSE),""),"[hh]:mm"))</f>
        <v>#N/A</v>
      </c>
      <c r="BK182" s="286" t="e">
        <f>IF(VLOOKUP(T_Convention[[#This Row],[NumL]],T_TraitDi[#Data],COLUMN(T_TraitDi[Nbhheb]),FALSE)=0,"",TEXT(IFERROR(VLOOKUP(T_Convention[[#This Row],[NumL]],T_TraitDi[#Data],COLUMN(T_TraitDi[Nbhheb]),FALSE),""),"[hh]:mm"))</f>
        <v>#N/A</v>
      </c>
      <c r="BL182" s="287" t="str">
        <f>IFERROR(VLOOKUP(VLOOKUP(T_Convention[[#This Row],[NumL]],T_TraitDi[#Data],COLUMN(T_TraitDi[Type1]),FALSE),TypeTW,2,FALSE),"")</f>
        <v/>
      </c>
      <c r="BM182" s="288" t="str">
        <f>IFERROR(VLOOKUP(T_Convention[[#This Row],[NumL]],T_TraitDi[#Data],COLUMN(T_TraitDi[Rue1]),FALSE),"")</f>
        <v/>
      </c>
      <c r="BN182" s="289" t="str">
        <f>IFERROR(VLOOKUP(T_Convention[[#This Row],[NumL]],T_TraitDi[#Data],COLUMN(T_TraitDi[CP1]),FALSE),"")</f>
        <v/>
      </c>
      <c r="BO182" s="282" t="str">
        <f>IFERROR(VLOOKUP(T_Convention[[#This Row],[NumL]],T_TraitDi[#Data],COLUMN(T_TraitDi[VILLE1]),FALSE),"")</f>
        <v/>
      </c>
      <c r="BP182" s="290" t="str">
        <f>IFERROR(VLOOKUP(VLOOKUP(T_Convention[[#This Row],[NumL]],T_TraitDi[#Data],COLUMN(T_TraitDi[Type2]),FALSE),TypeTW,2,FALSE),"")</f>
        <v/>
      </c>
      <c r="BQ182" s="182" t="str">
        <f>IFERROR(VLOOKUP(T_Convention[[#This Row],[NumL]],T_TraitDi[#Data],COLUMN(T_TraitDi[Rue2]),FALSE),"")</f>
        <v/>
      </c>
      <c r="BR182" s="173" t="str">
        <f>IFERROR(VLOOKUP(T_Convention[[#This Row],[NumL]],T_TraitDi[#Data],COLUMN(T_TraitDi[CP2]),FALSE),"")</f>
        <v/>
      </c>
      <c r="BS182" s="173" t="str">
        <f>IFERROR(VLOOKUP(T_Convention[[#This Row],[NumL]],T_TraitDi[#Data],COLUMN(T_TraitDi[VILLE2]),FALSE),"")</f>
        <v/>
      </c>
      <c r="BT182" s="182" t="str">
        <f>IF(VLOOKUP(T_Convention[[#This Row],[NumL]],T_Equipement[#Data],COLUMN(T_Equipement[PC]),FALSE)="","Aucun équipement spécifique directement lié au télétravail",VLOOKUP(T_Convention[[#This Row],[NumL]],T_Equipement[#Data],COLUMN(T_Equipement[PC]),FALSE))</f>
        <v xml:space="preserve">20-350	</v>
      </c>
      <c r="BU182" s="166" t="str">
        <f>IFERROR(IF(VLOOKUP(T_Convention[[#This Row],[NumL]],T_TraitDi[#Data],COLUMN(T_TraitDi[Plan]),FALSE)="OK","Un planning spécifique de télétravail est annexé à la présente convention.",""),"")</f>
        <v/>
      </c>
      <c r="BV182" s="185" t="s">
        <v>3523</v>
      </c>
      <c r="BW182" s="164" t="e">
        <f>IF(VLOOKUP(T_Convention[[#This Row],[NumL]],T_suiviDi[#Data],COLUMN(T_suiviDi[Entité]),FALSE)="","",VLOOKUP(T_Convention[[#This Row],[NumL]],T_suiviDi[#Data],COLUMN(T_suiviDi[Entité]),FALSE))</f>
        <v>#N/A</v>
      </c>
      <c r="BX182" s="164" t="str">
        <f>IF(VLOOKUP(T_Convention[[#This Row],[NumL]],T_Commission[#Data],COLUMN(T_Commission[envoi confirm TW]),FALSE)="","",VLOOKUP(T_Convention[[#This Row],[NumL]],T_Commission[#Data],COLUMN(T_Commission[envoi confirm TW]),FALSE))</f>
        <v>Oui</v>
      </c>
      <c r="BY18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2" s="264">
        <f>VLOOKUP(T_Convention[[#This Row],[NumL]],T_Commission[#Data],COLUMN(T_Commission[Commentaire]),FALSE)</f>
        <v>0</v>
      </c>
      <c r="CA182" s="254" t="str">
        <f>IF(VLOOKUP(T_Convention[[#This Row],[NumL]],T_Commission[#Data],COLUMN(T_Commission[Encadrant Email]),FALSE)="","",VLOOKUP(T_Convention[[#This Row],[NumL]],T_Commission[#Data],COLUMN(T_Commission[Encadrant Email]),FALSE))</f>
        <v/>
      </c>
      <c r="CB182" s="352" t="e">
        <f>VLOOKUP(T_Convention[[#This Row],[NumL]],T_TraitDi[#Data],COLUMN(T_TraitDi[NbJTot]),FALSE)</f>
        <v>#N/A</v>
      </c>
      <c r="CC182" s="352" t="e">
        <f>VLOOKUP(T_Convention[[#This Row],[NumL]],T_TraitDi[#Data],COLUMN(T_TraitDi[Reg Ponct]),FALSE)</f>
        <v>#N/A</v>
      </c>
      <c r="CD182" s="348" t="str">
        <f>IF(T_Convention[[#This Row],[Final]]&lt;&gt;"",VLOOKUP(T_Convention[[#This Row],[NumL]],T_suiviDi[#Data],COLUMN((T_suiviDi[Statut])),FALSE),"")</f>
        <v/>
      </c>
    </row>
    <row r="183" spans="1:82" s="106" customFormat="1" ht="18.75" customHeight="1" x14ac:dyDescent="0.25">
      <c r="A183" s="160">
        <v>276</v>
      </c>
      <c r="B183" s="161" t="str">
        <f>VLOOKUP(T_Convention[[#This Row],[NumL]],T_Commission[#Data],COLUMN(T_Commission[FINAL]),FALSE)</f>
        <v/>
      </c>
      <c r="C183" s="162"/>
      <c r="D183" s="95" t="e">
        <f>IF(VLOOKUP(T_Convention[[#This Row],[NumL]],T_TraitDi[#Data],COLUMN(T_TraitDi[WebC]),FALSE)="","",VLOOKUP(T_Convention[[#This Row],[NumL]],T_TraitDi[#Data],COLUMN(T_TraitDi[WebC]),FALSE))</f>
        <v>#N/A</v>
      </c>
      <c r="E183" s="163" t="str">
        <f t="shared" si="10"/>
        <v>12 janvier 2021</v>
      </c>
      <c r="F183" s="282" t="str">
        <f>IF(T_Convention[[#This Row],[Final]]&lt;&gt;"",VLOOKUP(T_Convention[[#This Row],[NumL]],T_suiviDi[#Data],COLUMN((T_suiviDi[Civ.])),FALSE),"")</f>
        <v/>
      </c>
      <c r="G183" s="283" t="str">
        <f>IF(T_Convention[[#This Row],[Final]]&lt;&gt;"",VLOOKUP(T_Convention[[#This Row],[NumL]],T_suiviDi[#Data],COLUMN((T_suiviDi[Nom])),FALSE),"")</f>
        <v/>
      </c>
      <c r="H183" s="282" t="str">
        <f>IF(T_Convention[[#This Row],[Final]]&lt;&gt;"",VLOOKUP(T_Convention[[#This Row],[NumL]],T_suiviDi[#Data],COLUMN((T_suiviDi[Prénom])),FALSE),"")</f>
        <v/>
      </c>
      <c r="I183" s="282" t="e">
        <f>VLOOKUP(T_Convention[[#This Row],[NumL]],T_suiviDi[#Data],COLUMN((T_suiviDi[[#This Row],[Email]])),FALSE)</f>
        <v>#VALUE!</v>
      </c>
      <c r="J183" s="282" t="e">
        <f>IF(VLOOKUP(T_Convention[[#This Row],[NumL]],T_suiviDi[#Data],COLUMN(T_suiviDi[[#This Row],[Fonction]]),FALSE)="","",VLOOKUP(T_Convention[[#This Row],[NumL]],T_suiviDi[#Data],COLUMN(T_suiviDi[[#This Row],[Fonction]]),FALSE))</f>
        <v>#VALUE!</v>
      </c>
      <c r="K183" s="282" t="e">
        <f>IF(VLOOKUP(T_Convention[[#This Row],[NumL]],T_suiviDi[#Data],COLUMN(T_suiviDi[[#This Row],[Grade]]),FALSE)="","",VLOOKUP(T_Convention[[#This Row],[NumL]],T_suiviDi[#Data],COLUMN(T_suiviDi[[#This Row],[Grade]]),FALSE))</f>
        <v>#VALUE!</v>
      </c>
      <c r="L183" s="282" t="e">
        <f>IF(VLOOKUP(T_Convention[[#This Row],[NumL]],T_suiviDi[#Data],COLUMN(T_suiviDi[[#This Row],[Service ]]),FALSE)="","",VLOOKUP(T_Convention[[#This Row],[NumL]],T_suiviDi[#Data],COLUMN(T_suiviDi[[#This Row],[Service ]]),FALSE))</f>
        <v>#VALUE!</v>
      </c>
      <c r="M183" s="164" t="str">
        <f t="shared" si="11"/>
        <v>01 septembre 2021</v>
      </c>
      <c r="N183" s="164" t="str">
        <f t="shared" si="12"/>
        <v>30 novembre 2021</v>
      </c>
      <c r="O183" s="284" t="str">
        <f t="shared" si="13"/>
        <v>30 novembre 2021</v>
      </c>
      <c r="P183" s="282" t="e">
        <f>IF(VLOOKUP(T_Convention[[#This Row],[NumL]],T_TraitDi[#Data],COLUMN(T_TraitDi[M1]),FALSE)="","",VLOOKUP(T_Convention[[#This Row],[NumL]],T_TraitDi[#Data],COLUMN(T_TraitDi[M1]),FALSE))</f>
        <v>#N/A</v>
      </c>
      <c r="Q183" s="282" t="e">
        <f>IF(VLOOKUP(T_Convention[[#This Row],[NumL]],T_TraitDi[#Data],COLUMN(T_TraitDi[M2]),FALSE)="","",VLOOKUP(T_Convention[[#This Row],[NumL]],T_TraitDi[#Data],COLUMN(T_TraitDi[M2]),FALSE))</f>
        <v>#N/A</v>
      </c>
      <c r="R183" s="282" t="e">
        <f>IF(VLOOKUP(T_Convention[[#This Row],[NumL]],T_TraitDi[#Data],COLUMN(T_TraitDi[M3]),FALSE)="","",VLOOKUP(T_Convention[[#This Row],[NumL]],T_TraitDi[#Data],COLUMN(T_TraitDi[M3]),FALSE))</f>
        <v>#N/A</v>
      </c>
      <c r="S183" s="282" t="e">
        <f>IF(VLOOKUP(T_Convention[[#This Row],[NumL]],T_TraitDi[#Data],COLUMN(T_TraitDi[M4]),FALSE)="","",VLOOKUP(T_Convention[[#This Row],[NumL]],T_TraitDi[#Data],COLUMN(T_TraitDi[M4]),FALSE))</f>
        <v>#N/A</v>
      </c>
      <c r="T183" s="282" t="e">
        <f>IF(VLOOKUP(T_Convention[[#This Row],[NumL]],T_TraitDi[#Data],COLUMN(T_TraitDi[M5]),FALSE)="","",VLOOKUP(T_Convention[[#This Row],[NumL]],T_TraitDi[#Data],COLUMN(T_TraitDi[M5]),FALSE))</f>
        <v>#N/A</v>
      </c>
      <c r="U183" s="282" t="e">
        <f>IF(VLOOKUP(T_Convention[[#This Row],[NumL]],T_TraitDi[#Data],COLUMN(T_TraitDi[M6]),FALSE)="","",VLOOKUP(T_Convention[[#This Row],[NumL]],T_TraitDi[#Data],COLUMN(T_TraitDi[M6]),FALSE))</f>
        <v>#N/A</v>
      </c>
      <c r="V183" s="176" t="e">
        <f t="shared" si="14"/>
        <v>#N/A</v>
      </c>
      <c r="W183" s="284" t="str">
        <f>IFERROR(TEXT(VLOOKUP(T_Convention[[#This Row],[NumL]],T_TraitDi[#Data],COLUMN(T_TraitDi[Q2]),FALSE),"###%"),"")</f>
        <v/>
      </c>
      <c r="X183" s="97" t="e">
        <f>VLOOKUP(T_Convention[[#This Row],[NumL]],T_TraitDi[#Data],COLUMN(T_TraitDi[Reg Ponct]),FALSE)</f>
        <v>#N/A</v>
      </c>
      <c r="Y183" s="97" t="e">
        <f>VLOOKUP(T_Convention[NumL],T_TraitDi[#Data],COLUMN(T_TraitDi[Jours flottants]),FALSE)</f>
        <v>#N/A</v>
      </c>
      <c r="Z183" s="284" t="str">
        <f>IFERROR(VLOOKUP(T_Convention[[#This Row],[NumL]],T_TraitDi[#Data],COLUMN(T_TraitDi[Lundi]),FALSE),"")</f>
        <v/>
      </c>
      <c r="AA183" s="284" t="e">
        <f>IF(VLOOKUP(T_Convention[[#This Row],[NumL]],T_TraitDi[#Data],COLUMN(T_TraitDi[Colonne3]),FALSE)=0,"",TEXT(IFERROR(VLOOKUP(T_Convention[[#This Row],[NumL]],T_TraitDi[#Data],COLUMN(T_TraitDi[Colonne3]),FALSE),""),"[hh]:mm"))</f>
        <v>#N/A</v>
      </c>
      <c r="AB183" s="284" t="e">
        <f>IF(VLOOKUP(T_Convention[[#This Row],[NumL]],T_TraitDi[#Data],COLUMN(T_TraitDi[Colonne4]),FALSE)=0,"",TEXT(IFERROR(VLOOKUP(T_Convention[[#This Row],[NumL]],T_TraitDi[#Data],COLUMN(T_TraitDi[Colonne4]),FALSE),""),"[hh]:mm"))</f>
        <v>#N/A</v>
      </c>
      <c r="AC183" s="284" t="e">
        <f>IF(VLOOKUP(T_Convention[[#This Row],[NumL]],T_TraitDi[#Data],COLUMN(T_TraitDi[Colonne5]),FALSE)=0,"",TEXT(IFERROR(VLOOKUP(T_Convention[[#This Row],[NumL]],T_TraitDi[#Data],COLUMN(T_TraitDi[Colonne5]),FALSE),""),"[hh]:mm"))</f>
        <v>#N/A</v>
      </c>
      <c r="AD183" s="284" t="e">
        <f>IF(VLOOKUP(T_Convention[[#This Row],[NumL]],T_TraitDi[#Data],COLUMN(T_TraitDi[Colonne6]),FALSE)=0,"",TEXT(IFERROR(VLOOKUP(T_Convention[[#This Row],[NumL]],T_TraitDi[#Data],COLUMN(T_TraitDi[Colonne6]),FALSE),""),"[hh]:mm"))</f>
        <v>#N/A</v>
      </c>
      <c r="AE183" s="284" t="e">
        <f>IF(VLOOKUP(T_Convention[[#This Row],[NumL]],T_TraitDi[#Data],COLUMN(T_TraitDi[Colonne7]),FALSE)=0,"",TEXT(IFERROR(VLOOKUP(T_Convention[[#This Row],[NumL]],T_TraitDi[#Data],COLUMN(T_TraitDi[Colonne7]),FALSE),""),"[hh]:mm"))</f>
        <v>#N/A</v>
      </c>
      <c r="AF183" s="284" t="e">
        <f>IF(VLOOKUP(T_Convention[[#This Row],[NumL]],T_TraitDi[#Data],COLUMN(T_TraitDi[Colonne8]),FALSE)=0,"",TEXT(IFERROR(VLOOKUP(T_Convention[[#This Row],[NumL]],T_TraitDi[#Data],COLUMN(T_TraitDi[Colonne8]),FALSE),""),"[hh]:mm"))</f>
        <v>#N/A</v>
      </c>
      <c r="AG183" s="284" t="str">
        <f>IFERROR(VLOOKUP(T_Convention[[#This Row],[NumL]],T_TraitDi[#Data],COLUMN(T_TraitDi[Mardi]),FALSE),"")</f>
        <v/>
      </c>
      <c r="AH183" s="284" t="e">
        <f>IF(VLOOKUP(T_Convention[[#This Row],[NumL]],T_TraitDi[#Data],COLUMN(T_TraitDi[Colonne1]),FALSE)=0,"",TEXT(IFERROR(VLOOKUP(T_Convention[[#This Row],[NumL]],T_TraitDi[#Data],COLUMN(T_TraitDi[Colonne1]),FALSE),""),"[hh]:mm"))</f>
        <v>#N/A</v>
      </c>
      <c r="AI183" s="284" t="e">
        <f>IF(VLOOKUP(T_Convention[[#This Row],[NumL]],T_TraitDi[#Data],COLUMN(T_TraitDi[Colonne9]),FALSE)=0,"",TEXT(IFERROR(VLOOKUP(T_Convention[[#This Row],[NumL]],T_TraitDi[#Data],COLUMN(T_TraitDi[Colonne9]),FALSE),""),"[hh]:mm"))</f>
        <v>#N/A</v>
      </c>
      <c r="AJ183" s="284" t="str">
        <f>IFERROR(VLOOKUP(T_Convention[[#This Row],[NumL]],T_TraitDi[#Data],COLUMN(T_TraitDi[Colonne10]),FALSE),"")</f>
        <v/>
      </c>
      <c r="AK183" s="284" t="e">
        <f>IF(VLOOKUP(T_Convention[[#This Row],[NumL]],T_TraitDi[#Data],COLUMN(T_TraitDi[Colonne11]),FALSE)=0,"",TEXT(IFERROR(VLOOKUP(T_Convention[[#This Row],[NumL]],T_TraitDi[#Data],COLUMN(T_TraitDi[Colonne11]),FALSE),""),"[hh]:mm"))</f>
        <v>#N/A</v>
      </c>
      <c r="AL183" s="284" t="e">
        <f>IF(VLOOKUP(T_Convention[[#This Row],[NumL]],T_TraitDi[#Data],COLUMN(T_TraitDi[Colonne12]),FALSE)=0,"",TEXT(IFERROR(VLOOKUP(T_Convention[[#This Row],[NumL]],T_TraitDi[#Data],COLUMN(T_TraitDi[Colonne12]),FALSE),""),"[hh]:mm"))</f>
        <v>#N/A</v>
      </c>
      <c r="AM183" s="284" t="e">
        <f>IF(VLOOKUP(T_Convention[[#This Row],[NumL]],T_TraitDi[#Data],COLUMN(T_TraitDi[Colonne14]),FALSE)=0,"",TEXT(IFERROR(VLOOKUP(T_Convention[[#This Row],[NumL]],T_TraitDi[#Data],COLUMN(T_TraitDi[Colonne14]),FALSE),""),"[hh]:mm"))</f>
        <v>#N/A</v>
      </c>
      <c r="AN183" s="284" t="str">
        <f>IFERROR(VLOOKUP(T_Convention[[#This Row],[NumL]],T_TraitDi[#Data],COLUMN(T_TraitDi[Mercredi]),FALSE),"")</f>
        <v/>
      </c>
      <c r="AO183" s="284" t="e">
        <f>IF(VLOOKUP(T_Convention[[#This Row],[NumL]],T_TraitDi[#Data],COLUMN(T_TraitDi[Colonne15]),FALSE)=0,"",TEXT(IFERROR(VLOOKUP(T_Convention[[#This Row],[NumL]],T_TraitDi[#Data],COLUMN(T_TraitDi[Colonne15]),FALSE),""),"[hh]:mm"))</f>
        <v>#N/A</v>
      </c>
      <c r="AP183" s="284" t="e">
        <f>IF(VLOOKUP(T_Convention[[#This Row],[NumL]],T_TraitDi[#Data],COLUMN(T_TraitDi[Colonne16]),FALSE)=0,"",TEXT(IFERROR(VLOOKUP(T_Convention[[#This Row],[NumL]],T_TraitDi[#Data],COLUMN(T_TraitDi[Colonne16]),FALSE),""),"[hh]:mm"))</f>
        <v>#N/A</v>
      </c>
      <c r="AQ183" s="284" t="str">
        <f>IFERROR(VLOOKUP(T_Convention[[#This Row],[NumL]],T_TraitDi[#Data],COLUMN(T_TraitDi[Colonne17]),FALSE),"")</f>
        <v/>
      </c>
      <c r="AR183" s="284" t="e">
        <f>IF(VLOOKUP(T_Convention[[#This Row],[NumL]],T_TraitDi[#Data],COLUMN(T_TraitDi[Colonne18]),FALSE)=0,"",TEXT(IFERROR(VLOOKUP(T_Convention[[#This Row],[NumL]],T_TraitDi[#Data],COLUMN(T_TraitDi[Colonne18]),FALSE),""),"[hh]:mm"))</f>
        <v>#N/A</v>
      </c>
      <c r="AS183" s="284" t="e">
        <f>IF(VLOOKUP(T_Convention[[#This Row],[NumL]],T_TraitDi[#Data],COLUMN(T_TraitDi[Colonne19]),FALSE)=0,"",TEXT(IFERROR(VLOOKUP(T_Convention[[#This Row],[NumL]],T_TraitDi[#Data],COLUMN(T_TraitDi[Colonne19]),FALSE),""),"[hh]:mm"))</f>
        <v>#N/A</v>
      </c>
      <c r="AT183" s="284" t="e">
        <f>IF(VLOOKUP(T_Convention[[#This Row],[NumL]],T_TraitDi[#Data],COLUMN(T_TraitDi[Colonne20]),FALSE)=0,"",TEXT(IFERROR(VLOOKUP(T_Convention[[#This Row],[NumL]],T_TraitDi[#Data],COLUMN(T_TraitDi[Colonne20]),FALSE),""),"[hh]:mm"))</f>
        <v>#N/A</v>
      </c>
      <c r="AU183" s="284" t="str">
        <f>IFERROR(VLOOKUP(T_Convention[[#This Row],[NumL]],T_TraitDi[#Data],COLUMN(T_TraitDi[Jeudi]),FALSE),"")</f>
        <v/>
      </c>
      <c r="AV183" s="284" t="e">
        <f>IF(VLOOKUP(T_Convention[[#This Row],[NumL]],T_TraitDi[#Data],COLUMN(T_TraitDi[Colonne21]),FALSE)=0,"",TEXT(IFERROR(VLOOKUP(T_Convention[[#This Row],[NumL]],T_TraitDi[#Data],COLUMN(T_TraitDi[Colonne21]),FALSE),""),"[hh]:mm"))</f>
        <v>#N/A</v>
      </c>
      <c r="AW183" s="284" t="e">
        <f>IF(VLOOKUP(T_Convention[[#This Row],[NumL]],T_TraitDi[#Data],COLUMN(T_TraitDi[Colonne22]),FALSE)=0,"",TEXT(IFERROR(VLOOKUP(T_Convention[[#This Row],[NumL]],T_TraitDi[#Data],COLUMN(T_TraitDi[Colonne22]),FALSE),""),"[hh]:mm"))</f>
        <v>#N/A</v>
      </c>
      <c r="AX183" s="284" t="str">
        <f>IFERROR(VLOOKUP(T_Convention[[#This Row],[NumL]],T_TraitDi[#Data],COLUMN(T_TraitDi[Colonne23]),FALSE),"")</f>
        <v/>
      </c>
      <c r="AY183" s="284" t="e">
        <f>IF(VLOOKUP(T_Convention[[#This Row],[NumL]],T_TraitDi[#Data],COLUMN(T_TraitDi[Colonne24]),FALSE)=0,"",TEXT(IFERROR(VLOOKUP(T_Convention[[#This Row],[NumL]],T_TraitDi[#Data],COLUMN(T_TraitDi[Colonne24]),FALSE),""),"[hh]:mm"))</f>
        <v>#N/A</v>
      </c>
      <c r="AZ183" s="284" t="e">
        <f>IF(VLOOKUP(T_Convention[[#This Row],[NumL]],T_TraitDi[#Data],COLUMN(T_TraitDi[Colonne25]),FALSE)=0,"",TEXT(IFERROR(VLOOKUP(T_Convention[[#This Row],[NumL]],T_TraitDi[#Data],COLUMN(T_TraitDi[Colonne25]),FALSE),""),"[hh]:mm"))</f>
        <v>#N/A</v>
      </c>
      <c r="BA183" s="284" t="e">
        <f>IF(VLOOKUP(T_Convention[[#This Row],[NumL]],T_TraitDi[#Data],COLUMN(T_TraitDi[Colonne26]),FALSE)=0,"",TEXT(IFERROR(VLOOKUP(T_Convention[[#This Row],[NumL]],T_TraitDi[#Data],COLUMN(T_TraitDi[Colonne26]),FALSE),""),"[hh]:mm"))</f>
        <v>#N/A</v>
      </c>
      <c r="BB183" s="284" t="str">
        <f>IFERROR(VLOOKUP(T_Convention[[#This Row],[NumL]],T_TraitDi[#Data],COLUMN(T_TraitDi[Vendredi]),FALSE),"")</f>
        <v/>
      </c>
      <c r="BC183" s="284" t="e">
        <f>IF(VLOOKUP(T_Convention[[#This Row],[NumL]],T_TraitDi[#Data],COLUMN(T_TraitDi[Colonne27]),FALSE)=0,"",TEXT(IFERROR(VLOOKUP(T_Convention[[#This Row],[NumL]],T_TraitDi[#Data],COLUMN(T_TraitDi[Colonne27]),FALSE),""),"[hh]:mm"))</f>
        <v>#N/A</v>
      </c>
      <c r="BD183" s="284" t="e">
        <f>IF(VLOOKUP(T_Convention[[#This Row],[NumL]],T_TraitDi[#Data],COLUMN(T_TraitDi[Colonne28]),FALSE)=0,"",TEXT(IFERROR(VLOOKUP(T_Convention[[#This Row],[NumL]],T_TraitDi[#Data],COLUMN(T_TraitDi[Colonne28]),FALSE),""),"[hh]:mm"))</f>
        <v>#N/A</v>
      </c>
      <c r="BE183" s="284" t="str">
        <f>IFERROR(VLOOKUP(T_Convention[[#This Row],[NumL]],T_TraitDi[#Data],COLUMN(T_TraitDi[Colonne29]),FALSE),"")</f>
        <v/>
      </c>
      <c r="BF183" s="284" t="e">
        <f>IF(VLOOKUP(T_Convention[[#This Row],[NumL]],T_TraitDi[#Data],COLUMN(T_TraitDi[Colonne30]),FALSE)=0,"",TEXT(IFERROR(VLOOKUP(T_Convention[[#This Row],[NumL]],T_TraitDi[#Data],COLUMN(T_TraitDi[Colonne30]),FALSE),""),"[hh]:mm"))</f>
        <v>#N/A</v>
      </c>
      <c r="BG183" s="284" t="e">
        <f>IF(VLOOKUP(T_Convention[[#This Row],[NumL]],T_TraitDi[#Data],COLUMN(T_TraitDi[Colonne31]),FALSE)=0,"",TEXT(IFERROR(VLOOKUP(T_Convention[[#This Row],[NumL]],T_TraitDi[#Data],COLUMN(T_TraitDi[Colonne31]),FALSE),""),"[hh]:mm"))</f>
        <v>#N/A</v>
      </c>
      <c r="BH183" s="284" t="e">
        <f>IF(VLOOKUP(T_Convention[[#This Row],[NumL]],T_TraitDi[#Data],COLUMN(T_TraitDi[Colonne32]),FALSE)=0,"",TEXT(IFERROR(VLOOKUP(T_Convention[[#This Row],[NumL]],T_TraitDi[#Data],COLUMN(T_TraitDi[Colonne32]),FALSE),""),"[hh]:mm"))</f>
        <v>#N/A</v>
      </c>
      <c r="BI183" s="284" t="str">
        <f>IFERROR(VLOOKUP(T_Convention[[#This Row],[NumL]],T_TraitDi[#Data],COLUMN(T_TraitDi[NbJTW]),FALSE),"")</f>
        <v/>
      </c>
      <c r="BJ183" s="284" t="e">
        <f>IF(VLOOKUP(T_Convention[[#This Row],[NumL]],T_TraitDi[#Data],COLUMN(T_TraitDi[NbhTW]),FALSE)=0,"",TEXT(IFERROR(VLOOKUP(T_Convention[[#This Row],[NumL]],T_TraitDi[#Data],COLUMN(T_TraitDi[NbhTW]),FALSE),""),"[hh]:mm"))</f>
        <v>#N/A</v>
      </c>
      <c r="BK183" s="286" t="e">
        <f>IF(VLOOKUP(T_Convention[[#This Row],[NumL]],T_TraitDi[#Data],COLUMN(T_TraitDi[Nbhheb]),FALSE)=0,"",TEXT(IFERROR(VLOOKUP(T_Convention[[#This Row],[NumL]],T_TraitDi[#Data],COLUMN(T_TraitDi[Nbhheb]),FALSE),""),"[hh]:mm"))</f>
        <v>#N/A</v>
      </c>
      <c r="BL183" s="287" t="str">
        <f>IFERROR(VLOOKUP(VLOOKUP(T_Convention[[#This Row],[NumL]],T_TraitDi[#Data],COLUMN(T_TraitDi[Type1]),FALSE),TypeTW,2,FALSE),"")</f>
        <v/>
      </c>
      <c r="BM183" s="288" t="str">
        <f>IFERROR(VLOOKUP(T_Convention[[#This Row],[NumL]],T_TraitDi[#Data],COLUMN(T_TraitDi[Rue1]),FALSE),"")</f>
        <v/>
      </c>
      <c r="BN183" s="289" t="str">
        <f>IFERROR(VLOOKUP(T_Convention[[#This Row],[NumL]],T_TraitDi[#Data],COLUMN(T_TraitDi[CP1]),FALSE),"")</f>
        <v/>
      </c>
      <c r="BO183" s="282" t="str">
        <f>IFERROR(VLOOKUP(T_Convention[[#This Row],[NumL]],T_TraitDi[#Data],COLUMN(T_TraitDi[VILLE1]),FALSE),"")</f>
        <v/>
      </c>
      <c r="BP183" s="290" t="str">
        <f>IFERROR(VLOOKUP(VLOOKUP(T_Convention[[#This Row],[NumL]],T_TraitDi[#Data],COLUMN(T_TraitDi[Type2]),FALSE),TypeTW,2,FALSE),"")</f>
        <v/>
      </c>
      <c r="BQ183" s="182" t="str">
        <f>IFERROR(VLOOKUP(T_Convention[[#This Row],[NumL]],T_TraitDi[#Data],COLUMN(T_TraitDi[Rue2]),FALSE),"")</f>
        <v/>
      </c>
      <c r="BR183" s="173" t="str">
        <f>IFERROR(VLOOKUP(T_Convention[[#This Row],[NumL]],T_TraitDi[#Data],COLUMN(T_TraitDi[CP2]),FALSE),"")</f>
        <v/>
      </c>
      <c r="BS183" s="173" t="str">
        <f>IFERROR(VLOOKUP(T_Convention[[#This Row],[NumL]],T_TraitDi[#Data],COLUMN(T_TraitDi[VILLE2]),FALSE),"")</f>
        <v/>
      </c>
      <c r="BT183" s="182" t="str">
        <f>IF(VLOOKUP(T_Convention[[#This Row],[NumL]],T_Equipement[#Data],COLUMN(T_Equipement[PC]),FALSE)="","Aucun équipement spécifique directement lié au télétravail",VLOOKUP(T_Convention[[#This Row],[NumL]],T_Equipement[#Data],COLUMN(T_Equipement[PC]),FALSE))</f>
        <v xml:space="preserve">19-160	</v>
      </c>
      <c r="BU183" s="166" t="str">
        <f>IFERROR(IF(VLOOKUP(T_Convention[[#This Row],[NumL]],T_TraitDi[#Data],COLUMN(T_TraitDi[Plan]),FALSE)="OK","Un planning spécifique de télétravail est annexé à la présente convention.",""),"")</f>
        <v/>
      </c>
      <c r="BV183" s="185" t="s">
        <v>3533</v>
      </c>
      <c r="BW183" s="164" t="e">
        <f>IF(VLOOKUP(T_Convention[[#This Row],[NumL]],T_suiviDi[#Data],COLUMN(T_suiviDi[Entité]),FALSE)="","",VLOOKUP(T_Convention[[#This Row],[NumL]],T_suiviDi[#Data],COLUMN(T_suiviDi[Entité]),FALSE))</f>
        <v>#N/A</v>
      </c>
      <c r="BX183" s="164" t="str">
        <f>IF(VLOOKUP(T_Convention[[#This Row],[NumL]],T_Commission[#Data],COLUMN(T_Commission[envoi confirm TW]),FALSE)="","",VLOOKUP(T_Convention[[#This Row],[NumL]],T_Commission[#Data],COLUMN(T_Commission[envoi confirm TW]),FALSE))</f>
        <v>Oui</v>
      </c>
      <c r="BY18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3" s="264">
        <f>VLOOKUP(T_Convention[[#This Row],[NumL]],T_Commission[#Data],COLUMN(T_Commission[Commentaire]),FALSE)</f>
        <v>0</v>
      </c>
      <c r="CA183" s="254" t="str">
        <f>IF(VLOOKUP(T_Convention[[#This Row],[NumL]],T_Commission[#Data],COLUMN(T_Commission[Encadrant Email]),FALSE)="","",VLOOKUP(T_Convention[[#This Row],[NumL]],T_Commission[#Data],COLUMN(T_Commission[Encadrant Email]),FALSE))</f>
        <v/>
      </c>
      <c r="CB183" s="352" t="e">
        <f>VLOOKUP(T_Convention[[#This Row],[NumL]],T_TraitDi[#Data],COLUMN(T_TraitDi[NbJTot]),FALSE)</f>
        <v>#N/A</v>
      </c>
      <c r="CC183" s="352" t="e">
        <f>VLOOKUP(T_Convention[[#This Row],[NumL]],T_TraitDi[#Data],COLUMN(T_TraitDi[Reg Ponct]),FALSE)</f>
        <v>#N/A</v>
      </c>
      <c r="CD183" s="348" t="str">
        <f>IF(T_Convention[[#This Row],[Final]]&lt;&gt;"",VLOOKUP(T_Convention[[#This Row],[NumL]],T_suiviDi[#Data],COLUMN((T_suiviDi[Statut])),FALSE),"")</f>
        <v/>
      </c>
    </row>
    <row r="184" spans="1:82" s="106" customFormat="1" ht="18.75" customHeight="1" x14ac:dyDescent="0.25">
      <c r="A184" s="160">
        <v>105</v>
      </c>
      <c r="B184" s="161" t="str">
        <f>VLOOKUP(T_Convention[[#This Row],[NumL]],T_Commission[#Data],COLUMN(T_Commission[FINAL]),FALSE)</f>
        <v/>
      </c>
      <c r="C184" s="162"/>
      <c r="D184" s="95" t="e">
        <f>IF(VLOOKUP(T_Convention[[#This Row],[NumL]],T_TraitDi[#Data],COLUMN(T_TraitDi[WebC]),FALSE)="","",VLOOKUP(T_Convention[[#This Row],[NumL]],T_TraitDi[#Data],COLUMN(T_TraitDi[WebC]),FALSE))</f>
        <v>#N/A</v>
      </c>
      <c r="E184" s="163" t="str">
        <f t="shared" si="10"/>
        <v>12 janvier 2021</v>
      </c>
      <c r="F184" s="282" t="str">
        <f>IF(T_Convention[[#This Row],[Final]]&lt;&gt;"",VLOOKUP(T_Convention[[#This Row],[NumL]],T_suiviDi[#Data],COLUMN((T_suiviDi[Civ.])),FALSE),"")</f>
        <v/>
      </c>
      <c r="G184" s="283" t="str">
        <f>IF(T_Convention[[#This Row],[Final]]&lt;&gt;"",VLOOKUP(T_Convention[[#This Row],[NumL]],T_suiviDi[#Data],COLUMN((T_suiviDi[Nom])),FALSE),"")</f>
        <v/>
      </c>
      <c r="H184" s="282" t="str">
        <f>IF(T_Convention[[#This Row],[Final]]&lt;&gt;"",VLOOKUP(T_Convention[[#This Row],[NumL]],T_suiviDi[#Data],COLUMN((T_suiviDi[Prénom])),FALSE),"")</f>
        <v/>
      </c>
      <c r="I184" s="282" t="e">
        <f>VLOOKUP(T_Convention[[#This Row],[NumL]],T_suiviDi[#Data],COLUMN((T_suiviDi[[#This Row],[Email]])),FALSE)</f>
        <v>#VALUE!</v>
      </c>
      <c r="J184" s="282" t="e">
        <f>IF(VLOOKUP(T_Convention[[#This Row],[NumL]],T_suiviDi[#Data],COLUMN(T_suiviDi[[#This Row],[Fonction]]),FALSE)="","",VLOOKUP(T_Convention[[#This Row],[NumL]],T_suiviDi[#Data],COLUMN(T_suiviDi[[#This Row],[Fonction]]),FALSE))</f>
        <v>#VALUE!</v>
      </c>
      <c r="K184" s="282" t="e">
        <f>IF(VLOOKUP(T_Convention[[#This Row],[NumL]],T_suiviDi[#Data],COLUMN(T_suiviDi[[#This Row],[Grade]]),FALSE)="","",VLOOKUP(T_Convention[[#This Row],[NumL]],T_suiviDi[#Data],COLUMN(T_suiviDi[[#This Row],[Grade]]),FALSE))</f>
        <v>#VALUE!</v>
      </c>
      <c r="L184" s="282" t="e">
        <f>IF(VLOOKUP(T_Convention[[#This Row],[NumL]],T_suiviDi[#Data],COLUMN(T_suiviDi[[#This Row],[Service ]]),FALSE)="","",VLOOKUP(T_Convention[[#This Row],[NumL]],T_suiviDi[#Data],COLUMN(T_suiviDi[[#This Row],[Service ]]),FALSE))</f>
        <v>#VALUE!</v>
      </c>
      <c r="M184" s="164" t="str">
        <f t="shared" si="11"/>
        <v>01 septembre 2021</v>
      </c>
      <c r="N184" s="164" t="str">
        <f t="shared" si="12"/>
        <v>30 novembre 2021</v>
      </c>
      <c r="O184" s="284" t="str">
        <f t="shared" si="13"/>
        <v>30 novembre 2021</v>
      </c>
      <c r="P184" s="282" t="e">
        <f>IF(VLOOKUP(T_Convention[[#This Row],[NumL]],T_TraitDi[#Data],COLUMN(T_TraitDi[M1]),FALSE)="","",VLOOKUP(T_Convention[[#This Row],[NumL]],T_TraitDi[#Data],COLUMN(T_TraitDi[M1]),FALSE))</f>
        <v>#N/A</v>
      </c>
      <c r="Q184" s="282" t="e">
        <f>IF(VLOOKUP(T_Convention[[#This Row],[NumL]],T_TraitDi[#Data],COLUMN(T_TraitDi[M2]),FALSE)="","",VLOOKUP(T_Convention[[#This Row],[NumL]],T_TraitDi[#Data],COLUMN(T_TraitDi[M2]),FALSE))</f>
        <v>#N/A</v>
      </c>
      <c r="R184" s="282" t="e">
        <f>IF(VLOOKUP(T_Convention[[#This Row],[NumL]],T_TraitDi[#Data],COLUMN(T_TraitDi[M3]),FALSE)="","",VLOOKUP(T_Convention[[#This Row],[NumL]],T_TraitDi[#Data],COLUMN(T_TraitDi[M3]),FALSE))</f>
        <v>#N/A</v>
      </c>
      <c r="S184" s="282" t="e">
        <f>IF(VLOOKUP(T_Convention[[#This Row],[NumL]],T_TraitDi[#Data],COLUMN(T_TraitDi[M4]),FALSE)="","",VLOOKUP(T_Convention[[#This Row],[NumL]],T_TraitDi[#Data],COLUMN(T_TraitDi[M4]),FALSE))</f>
        <v>#N/A</v>
      </c>
      <c r="T184" s="282" t="e">
        <f>IF(VLOOKUP(T_Convention[[#This Row],[NumL]],T_TraitDi[#Data],COLUMN(T_TraitDi[M5]),FALSE)="","",VLOOKUP(T_Convention[[#This Row],[NumL]],T_TraitDi[#Data],COLUMN(T_TraitDi[M5]),FALSE))</f>
        <v>#N/A</v>
      </c>
      <c r="U184" s="282" t="e">
        <f>IF(VLOOKUP(T_Convention[[#This Row],[NumL]],T_TraitDi[#Data],COLUMN(T_TraitDi[M6]),FALSE)="","",VLOOKUP(T_Convention[[#This Row],[NumL]],T_TraitDi[#Data],COLUMN(T_TraitDi[M6]),FALSE))</f>
        <v>#N/A</v>
      </c>
      <c r="V184" s="176" t="e">
        <f t="shared" si="14"/>
        <v>#N/A</v>
      </c>
      <c r="W184" s="284" t="str">
        <f>IFERROR(TEXT(VLOOKUP(T_Convention[[#This Row],[NumL]],T_TraitDi[#Data],COLUMN(T_TraitDi[Q2]),FALSE),"###%"),"")</f>
        <v/>
      </c>
      <c r="X184" s="97" t="e">
        <f>VLOOKUP(T_Convention[[#This Row],[NumL]],T_TraitDi[#Data],COLUMN(T_TraitDi[Reg Ponct]),FALSE)</f>
        <v>#N/A</v>
      </c>
      <c r="Y184" s="97" t="e">
        <f>VLOOKUP(T_Convention[NumL],T_TraitDi[#Data],COLUMN(T_TraitDi[Jours flottants]),FALSE)</f>
        <v>#N/A</v>
      </c>
      <c r="Z184" s="284" t="str">
        <f>IFERROR(VLOOKUP(T_Convention[[#This Row],[NumL]],T_TraitDi[#Data],COLUMN(T_TraitDi[Lundi]),FALSE),"")</f>
        <v/>
      </c>
      <c r="AA184" s="284" t="e">
        <f>IF(VLOOKUP(T_Convention[[#This Row],[NumL]],T_TraitDi[#Data],COLUMN(T_TraitDi[Colonne3]),FALSE)=0,"",TEXT(IFERROR(VLOOKUP(T_Convention[[#This Row],[NumL]],T_TraitDi[#Data],COLUMN(T_TraitDi[Colonne3]),FALSE),""),"[hh]:mm"))</f>
        <v>#N/A</v>
      </c>
      <c r="AB184" s="284" t="e">
        <f>IF(VLOOKUP(T_Convention[[#This Row],[NumL]],T_TraitDi[#Data],COLUMN(T_TraitDi[Colonne4]),FALSE)=0,"",TEXT(IFERROR(VLOOKUP(T_Convention[[#This Row],[NumL]],T_TraitDi[#Data],COLUMN(T_TraitDi[Colonne4]),FALSE),""),"[hh]:mm"))</f>
        <v>#N/A</v>
      </c>
      <c r="AC184" s="284" t="e">
        <f>IF(VLOOKUP(T_Convention[[#This Row],[NumL]],T_TraitDi[#Data],COLUMN(T_TraitDi[Colonne5]),FALSE)=0,"",TEXT(IFERROR(VLOOKUP(T_Convention[[#This Row],[NumL]],T_TraitDi[#Data],COLUMN(T_TraitDi[Colonne5]),FALSE),""),"[hh]:mm"))</f>
        <v>#N/A</v>
      </c>
      <c r="AD184" s="284" t="e">
        <f>IF(VLOOKUP(T_Convention[[#This Row],[NumL]],T_TraitDi[#Data],COLUMN(T_TraitDi[Colonne6]),FALSE)=0,"",TEXT(IFERROR(VLOOKUP(T_Convention[[#This Row],[NumL]],T_TraitDi[#Data],COLUMN(T_TraitDi[Colonne6]),FALSE),""),"[hh]:mm"))</f>
        <v>#N/A</v>
      </c>
      <c r="AE184" s="284" t="e">
        <f>IF(VLOOKUP(T_Convention[[#This Row],[NumL]],T_TraitDi[#Data],COLUMN(T_TraitDi[Colonne7]),FALSE)=0,"",TEXT(IFERROR(VLOOKUP(T_Convention[[#This Row],[NumL]],T_TraitDi[#Data],COLUMN(T_TraitDi[Colonne7]),FALSE),""),"[hh]:mm"))</f>
        <v>#N/A</v>
      </c>
      <c r="AF184" s="284" t="e">
        <f>IF(VLOOKUP(T_Convention[[#This Row],[NumL]],T_TraitDi[#Data],COLUMN(T_TraitDi[Colonne8]),FALSE)=0,"",TEXT(IFERROR(VLOOKUP(T_Convention[[#This Row],[NumL]],T_TraitDi[#Data],COLUMN(T_TraitDi[Colonne8]),FALSE),""),"[hh]:mm"))</f>
        <v>#N/A</v>
      </c>
      <c r="AG184" s="284" t="str">
        <f>IFERROR(VLOOKUP(T_Convention[[#This Row],[NumL]],T_TraitDi[#Data],COLUMN(T_TraitDi[Mardi]),FALSE),"")</f>
        <v/>
      </c>
      <c r="AH184" s="284" t="e">
        <f>IF(VLOOKUP(T_Convention[[#This Row],[NumL]],T_TraitDi[#Data],COLUMN(T_TraitDi[Colonne1]),FALSE)=0,"",TEXT(IFERROR(VLOOKUP(T_Convention[[#This Row],[NumL]],T_TraitDi[#Data],COLUMN(T_TraitDi[Colonne1]),FALSE),""),"[hh]:mm"))</f>
        <v>#N/A</v>
      </c>
      <c r="AI184" s="284" t="e">
        <f>IF(VLOOKUP(T_Convention[[#This Row],[NumL]],T_TraitDi[#Data],COLUMN(T_TraitDi[Colonne9]),FALSE)=0,"",TEXT(IFERROR(VLOOKUP(T_Convention[[#This Row],[NumL]],T_TraitDi[#Data],COLUMN(T_TraitDi[Colonne9]),FALSE),""),"[hh]:mm"))</f>
        <v>#N/A</v>
      </c>
      <c r="AJ184" s="284" t="str">
        <f>IFERROR(VLOOKUP(T_Convention[[#This Row],[NumL]],T_TraitDi[#Data],COLUMN(T_TraitDi[Colonne10]),FALSE),"")</f>
        <v/>
      </c>
      <c r="AK184" s="284" t="e">
        <f>IF(VLOOKUP(T_Convention[[#This Row],[NumL]],T_TraitDi[#Data],COLUMN(T_TraitDi[Colonne11]),FALSE)=0,"",TEXT(IFERROR(VLOOKUP(T_Convention[[#This Row],[NumL]],T_TraitDi[#Data],COLUMN(T_TraitDi[Colonne11]),FALSE),""),"[hh]:mm"))</f>
        <v>#N/A</v>
      </c>
      <c r="AL184" s="284" t="e">
        <f>IF(VLOOKUP(T_Convention[[#This Row],[NumL]],T_TraitDi[#Data],COLUMN(T_TraitDi[Colonne12]),FALSE)=0,"",TEXT(IFERROR(VLOOKUP(T_Convention[[#This Row],[NumL]],T_TraitDi[#Data],COLUMN(T_TraitDi[Colonne12]),FALSE),""),"[hh]:mm"))</f>
        <v>#N/A</v>
      </c>
      <c r="AM184" s="284" t="e">
        <f>IF(VLOOKUP(T_Convention[[#This Row],[NumL]],T_TraitDi[#Data],COLUMN(T_TraitDi[Colonne14]),FALSE)=0,"",TEXT(IFERROR(VLOOKUP(T_Convention[[#This Row],[NumL]],T_TraitDi[#Data],COLUMN(T_TraitDi[Colonne14]),FALSE),""),"[hh]:mm"))</f>
        <v>#N/A</v>
      </c>
      <c r="AN184" s="284" t="str">
        <f>IFERROR(VLOOKUP(T_Convention[[#This Row],[NumL]],T_TraitDi[#Data],COLUMN(T_TraitDi[Mercredi]),FALSE),"")</f>
        <v/>
      </c>
      <c r="AO184" s="284" t="e">
        <f>IF(VLOOKUP(T_Convention[[#This Row],[NumL]],T_TraitDi[#Data],COLUMN(T_TraitDi[Colonne15]),FALSE)=0,"",TEXT(IFERROR(VLOOKUP(T_Convention[[#This Row],[NumL]],T_TraitDi[#Data],COLUMN(T_TraitDi[Colonne15]),FALSE),""),"[hh]:mm"))</f>
        <v>#N/A</v>
      </c>
      <c r="AP184" s="284" t="e">
        <f>IF(VLOOKUP(T_Convention[[#This Row],[NumL]],T_TraitDi[#Data],COLUMN(T_TraitDi[Colonne16]),FALSE)=0,"",TEXT(IFERROR(VLOOKUP(T_Convention[[#This Row],[NumL]],T_TraitDi[#Data],COLUMN(T_TraitDi[Colonne16]),FALSE),""),"[hh]:mm"))</f>
        <v>#N/A</v>
      </c>
      <c r="AQ184" s="284" t="str">
        <f>IFERROR(VLOOKUP(T_Convention[[#This Row],[NumL]],T_TraitDi[#Data],COLUMN(T_TraitDi[Colonne17]),FALSE),"")</f>
        <v/>
      </c>
      <c r="AR184" s="284" t="e">
        <f>IF(VLOOKUP(T_Convention[[#This Row],[NumL]],T_TraitDi[#Data],COLUMN(T_TraitDi[Colonne18]),FALSE)=0,"",TEXT(IFERROR(VLOOKUP(T_Convention[[#This Row],[NumL]],T_TraitDi[#Data],COLUMN(T_TraitDi[Colonne18]),FALSE),""),"[hh]:mm"))</f>
        <v>#N/A</v>
      </c>
      <c r="AS184" s="284" t="e">
        <f>IF(VLOOKUP(T_Convention[[#This Row],[NumL]],T_TraitDi[#Data],COLUMN(T_TraitDi[Colonne19]),FALSE)=0,"",TEXT(IFERROR(VLOOKUP(T_Convention[[#This Row],[NumL]],T_TraitDi[#Data],COLUMN(T_TraitDi[Colonne19]),FALSE),""),"[hh]:mm"))</f>
        <v>#N/A</v>
      </c>
      <c r="AT184" s="284" t="e">
        <f>IF(VLOOKUP(T_Convention[[#This Row],[NumL]],T_TraitDi[#Data],COLUMN(T_TraitDi[Colonne20]),FALSE)=0,"",TEXT(IFERROR(VLOOKUP(T_Convention[[#This Row],[NumL]],T_TraitDi[#Data],COLUMN(T_TraitDi[Colonne20]),FALSE),""),"[hh]:mm"))</f>
        <v>#N/A</v>
      </c>
      <c r="AU184" s="284" t="str">
        <f>IFERROR(VLOOKUP(T_Convention[[#This Row],[NumL]],T_TraitDi[#Data],COLUMN(T_TraitDi[Jeudi]),FALSE),"")</f>
        <v/>
      </c>
      <c r="AV184" s="284" t="e">
        <f>IF(VLOOKUP(T_Convention[[#This Row],[NumL]],T_TraitDi[#Data],COLUMN(T_TraitDi[Colonne21]),FALSE)=0,"",TEXT(IFERROR(VLOOKUP(T_Convention[[#This Row],[NumL]],T_TraitDi[#Data],COLUMN(T_TraitDi[Colonne21]),FALSE),""),"[hh]:mm"))</f>
        <v>#N/A</v>
      </c>
      <c r="AW184" s="284" t="e">
        <f>IF(VLOOKUP(T_Convention[[#This Row],[NumL]],T_TraitDi[#Data],COLUMN(T_TraitDi[Colonne22]),FALSE)=0,"",TEXT(IFERROR(VLOOKUP(T_Convention[[#This Row],[NumL]],T_TraitDi[#Data],COLUMN(T_TraitDi[Colonne22]),FALSE),""),"[hh]:mm"))</f>
        <v>#N/A</v>
      </c>
      <c r="AX184" s="284" t="str">
        <f>IFERROR(VLOOKUP(T_Convention[[#This Row],[NumL]],T_TraitDi[#Data],COLUMN(T_TraitDi[Colonne23]),FALSE),"")</f>
        <v/>
      </c>
      <c r="AY184" s="284" t="e">
        <f>IF(VLOOKUP(T_Convention[[#This Row],[NumL]],T_TraitDi[#Data],COLUMN(T_TraitDi[Colonne24]),FALSE)=0,"",TEXT(IFERROR(VLOOKUP(T_Convention[[#This Row],[NumL]],T_TraitDi[#Data],COLUMN(T_TraitDi[Colonne24]),FALSE),""),"[hh]:mm"))</f>
        <v>#N/A</v>
      </c>
      <c r="AZ184" s="284" t="e">
        <f>IF(VLOOKUP(T_Convention[[#This Row],[NumL]],T_TraitDi[#Data],COLUMN(T_TraitDi[Colonne25]),FALSE)=0,"",TEXT(IFERROR(VLOOKUP(T_Convention[[#This Row],[NumL]],T_TraitDi[#Data],COLUMN(T_TraitDi[Colonne25]),FALSE),""),"[hh]:mm"))</f>
        <v>#N/A</v>
      </c>
      <c r="BA184" s="284" t="e">
        <f>IF(VLOOKUP(T_Convention[[#This Row],[NumL]],T_TraitDi[#Data],COLUMN(T_TraitDi[Colonne26]),FALSE)=0,"",TEXT(IFERROR(VLOOKUP(T_Convention[[#This Row],[NumL]],T_TraitDi[#Data],COLUMN(T_TraitDi[Colonne26]),FALSE),""),"[hh]:mm"))</f>
        <v>#N/A</v>
      </c>
      <c r="BB184" s="284" t="str">
        <f>IFERROR(VLOOKUP(T_Convention[[#This Row],[NumL]],T_TraitDi[#Data],COLUMN(T_TraitDi[Vendredi]),FALSE),"")</f>
        <v/>
      </c>
      <c r="BC184" s="284" t="e">
        <f>IF(VLOOKUP(T_Convention[[#This Row],[NumL]],T_TraitDi[#Data],COLUMN(T_TraitDi[Colonne27]),FALSE)=0,"",TEXT(IFERROR(VLOOKUP(T_Convention[[#This Row],[NumL]],T_TraitDi[#Data],COLUMN(T_TraitDi[Colonne27]),FALSE),""),"[hh]:mm"))</f>
        <v>#N/A</v>
      </c>
      <c r="BD184" s="284" t="e">
        <f>IF(VLOOKUP(T_Convention[[#This Row],[NumL]],T_TraitDi[#Data],COLUMN(T_TraitDi[Colonne28]),FALSE)=0,"",TEXT(IFERROR(VLOOKUP(T_Convention[[#This Row],[NumL]],T_TraitDi[#Data],COLUMN(T_TraitDi[Colonne28]),FALSE),""),"[hh]:mm"))</f>
        <v>#N/A</v>
      </c>
      <c r="BE184" s="284" t="str">
        <f>IFERROR(VLOOKUP(T_Convention[[#This Row],[NumL]],T_TraitDi[#Data],COLUMN(T_TraitDi[Colonne29]),FALSE),"")</f>
        <v/>
      </c>
      <c r="BF184" s="284" t="e">
        <f>IF(VLOOKUP(T_Convention[[#This Row],[NumL]],T_TraitDi[#Data],COLUMN(T_TraitDi[Colonne30]),FALSE)=0,"",TEXT(IFERROR(VLOOKUP(T_Convention[[#This Row],[NumL]],T_TraitDi[#Data],COLUMN(T_TraitDi[Colonne30]),FALSE),""),"[hh]:mm"))</f>
        <v>#N/A</v>
      </c>
      <c r="BG184" s="284" t="e">
        <f>IF(VLOOKUP(T_Convention[[#This Row],[NumL]],T_TraitDi[#Data],COLUMN(T_TraitDi[Colonne31]),FALSE)=0,"",TEXT(IFERROR(VLOOKUP(T_Convention[[#This Row],[NumL]],T_TraitDi[#Data],COLUMN(T_TraitDi[Colonne31]),FALSE),""),"[hh]:mm"))</f>
        <v>#N/A</v>
      </c>
      <c r="BH184" s="284" t="e">
        <f>IF(VLOOKUP(T_Convention[[#This Row],[NumL]],T_TraitDi[#Data],COLUMN(T_TraitDi[Colonne32]),FALSE)=0,"",TEXT(IFERROR(VLOOKUP(T_Convention[[#This Row],[NumL]],T_TraitDi[#Data],COLUMN(T_TraitDi[Colonne32]),FALSE),""),"[hh]:mm"))</f>
        <v>#N/A</v>
      </c>
      <c r="BI184" s="284" t="str">
        <f>IFERROR(VLOOKUP(T_Convention[[#This Row],[NumL]],T_TraitDi[#Data],COLUMN(T_TraitDi[NbJTW]),FALSE),"")</f>
        <v/>
      </c>
      <c r="BJ184" s="284" t="e">
        <f>IF(VLOOKUP(T_Convention[[#This Row],[NumL]],T_TraitDi[#Data],COLUMN(T_TraitDi[NbhTW]),FALSE)=0,"",TEXT(IFERROR(VLOOKUP(T_Convention[[#This Row],[NumL]],T_TraitDi[#Data],COLUMN(T_TraitDi[NbhTW]),FALSE),""),"[hh]:mm"))</f>
        <v>#N/A</v>
      </c>
      <c r="BK184" s="286" t="e">
        <f>IF(VLOOKUP(T_Convention[[#This Row],[NumL]],T_TraitDi[#Data],COLUMN(T_TraitDi[Nbhheb]),FALSE)=0,"",TEXT(IFERROR(VLOOKUP(T_Convention[[#This Row],[NumL]],T_TraitDi[#Data],COLUMN(T_TraitDi[Nbhheb]),FALSE),""),"[hh]:mm"))</f>
        <v>#N/A</v>
      </c>
      <c r="BL184" s="287" t="str">
        <f>IFERROR(VLOOKUP(VLOOKUP(T_Convention[[#This Row],[NumL]],T_TraitDi[#Data],COLUMN(T_TraitDi[Type1]),FALSE),TypeTW,2,FALSE),"")</f>
        <v/>
      </c>
      <c r="BM184" s="288" t="str">
        <f>IFERROR(VLOOKUP(T_Convention[[#This Row],[NumL]],T_TraitDi[#Data],COLUMN(T_TraitDi[Rue1]),FALSE),"")</f>
        <v/>
      </c>
      <c r="BN184" s="289" t="str">
        <f>IFERROR(VLOOKUP(T_Convention[[#This Row],[NumL]],T_TraitDi[#Data],COLUMN(T_TraitDi[CP1]),FALSE),"")</f>
        <v/>
      </c>
      <c r="BO184" s="282" t="str">
        <f>IFERROR(VLOOKUP(T_Convention[[#This Row],[NumL]],T_TraitDi[#Data],COLUMN(T_TraitDi[VILLE1]),FALSE),"")</f>
        <v/>
      </c>
      <c r="BP184" s="290" t="str">
        <f>IFERROR(VLOOKUP(VLOOKUP(T_Convention[[#This Row],[NumL]],T_TraitDi[#Data],COLUMN(T_TraitDi[Type2]),FALSE),TypeTW,2,FALSE),"")</f>
        <v/>
      </c>
      <c r="BQ184" s="182" t="str">
        <f>IFERROR(VLOOKUP(T_Convention[[#This Row],[NumL]],T_TraitDi[#Data],COLUMN(T_TraitDi[Rue2]),FALSE),"")</f>
        <v/>
      </c>
      <c r="BR184" s="173" t="str">
        <f>IFERROR(VLOOKUP(T_Convention[[#This Row],[NumL]],T_TraitDi[#Data],COLUMN(T_TraitDi[CP2]),FALSE),"")</f>
        <v/>
      </c>
      <c r="BS184" s="173" t="str">
        <f>IFERROR(VLOOKUP(T_Convention[[#This Row],[NumL]],T_TraitDi[#Data],COLUMN(T_TraitDi[VILLE2]),FALSE),"")</f>
        <v/>
      </c>
      <c r="BT184" s="182" t="str">
        <f>IF(VLOOKUP(T_Convention[[#This Row],[NumL]],T_Equipement[#Data],COLUMN(T_Equipement[PC]),FALSE)="","Aucun équipement spécifique directement lié au télétravail",VLOOKUP(T_Convention[[#This Row],[NumL]],T_Equipement[#Data],COLUMN(T_Equipement[PC]),FALSE))</f>
        <v xml:space="preserve">18-025	</v>
      </c>
      <c r="BU184" s="166" t="str">
        <f>IFERROR(IF(VLOOKUP(T_Convention[[#This Row],[NumL]],T_TraitDi[#Data],COLUMN(T_TraitDi[Plan]),FALSE)="OK","Un planning spécifique de télétravail est annexé à la présente convention.",""),"")</f>
        <v/>
      </c>
      <c r="BV184" s="185" t="s">
        <v>3379</v>
      </c>
      <c r="BW184" s="164" t="e">
        <f>IF(VLOOKUP(T_Convention[[#This Row],[NumL]],T_suiviDi[#Data],COLUMN(T_suiviDi[Entité]),FALSE)="","",VLOOKUP(T_Convention[[#This Row],[NumL]],T_suiviDi[#Data],COLUMN(T_suiviDi[Entité]),FALSE))</f>
        <v>#N/A</v>
      </c>
      <c r="BX184" s="164" t="str">
        <f>IF(VLOOKUP(T_Convention[[#This Row],[NumL]],T_Commission[#Data],COLUMN(T_Commission[envoi confirm TW]),FALSE)="","",VLOOKUP(T_Convention[[#This Row],[NumL]],T_Commission[#Data],COLUMN(T_Commission[envoi confirm TW]),FALSE))</f>
        <v>Oui</v>
      </c>
      <c r="BY18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4" s="264">
        <f>VLOOKUP(T_Convention[[#This Row],[NumL]],T_Commission[#Data],COLUMN(T_Commission[Commentaire]),FALSE)</f>
        <v>0</v>
      </c>
      <c r="CA184" s="254" t="str">
        <f>IF(VLOOKUP(T_Convention[[#This Row],[NumL]],T_Commission[#Data],COLUMN(T_Commission[Encadrant Email]),FALSE)="","",VLOOKUP(T_Convention[[#This Row],[NumL]],T_Commission[#Data],COLUMN(T_Commission[Encadrant Email]),FALSE))</f>
        <v/>
      </c>
      <c r="CB184" s="352" t="e">
        <f>VLOOKUP(T_Convention[[#This Row],[NumL]],T_TraitDi[#Data],COLUMN(T_TraitDi[NbJTot]),FALSE)</f>
        <v>#N/A</v>
      </c>
      <c r="CC184" s="352" t="e">
        <f>VLOOKUP(T_Convention[[#This Row],[NumL]],T_TraitDi[#Data],COLUMN(T_TraitDi[Reg Ponct]),FALSE)</f>
        <v>#N/A</v>
      </c>
      <c r="CD184" s="348" t="str">
        <f>IF(T_Convention[[#This Row],[Final]]&lt;&gt;"",VLOOKUP(T_Convention[[#This Row],[NumL]],T_suiviDi[#Data],COLUMN((T_suiviDi[Statut])),FALSE),"")</f>
        <v/>
      </c>
    </row>
    <row r="185" spans="1:82" s="106" customFormat="1" ht="18.75" customHeight="1" x14ac:dyDescent="0.25">
      <c r="A185" s="160">
        <v>356</v>
      </c>
      <c r="B185" s="281" t="str">
        <f>VLOOKUP(T_Convention[[#This Row],[NumL]],T_Commission[#Data],COLUMN(T_Commission[FINAL]),FALSE)</f>
        <v/>
      </c>
      <c r="C185" s="162"/>
      <c r="D185" s="95" t="e">
        <f>IF(VLOOKUP($A185,TraitementDI,19,FALSE)="","",VLOOKUP($A185,TraitementDI,19,FALSE))</f>
        <v>#N/A</v>
      </c>
      <c r="E185" s="163" t="str">
        <f t="shared" si="10"/>
        <v>12 janvier 2021</v>
      </c>
      <c r="F185" s="282" t="str">
        <f>IF(T_Convention[[#This Row],[Final]]&lt;&gt;"",VLOOKUP(T_Convention[[#This Row],[NumL]],T_suiviDi[#Data],COLUMN((T_suiviDi[Civ.])),FALSE),"")</f>
        <v/>
      </c>
      <c r="G185" s="283" t="str">
        <f>IF(T_Convention[[#This Row],[Final]]&lt;&gt;"",VLOOKUP(T_Convention[[#This Row],[NumL]],T_suiviDi[#Data],COLUMN((T_suiviDi[Nom])),FALSE),"")</f>
        <v/>
      </c>
      <c r="H185" s="282" t="str">
        <f>IF(T_Convention[[#This Row],[Final]]&lt;&gt;"",VLOOKUP(T_Convention[[#This Row],[NumL]],T_suiviDi[#Data],COLUMN((T_suiviDi[Prénom])),FALSE),"")</f>
        <v/>
      </c>
      <c r="I185" s="282" t="e">
        <f>VLOOKUP(T_Convention[[#This Row],[NumL]],T_suiviDi[#Data],COLUMN((T_suiviDi[[#This Row],[Email]])),FALSE)</f>
        <v>#VALUE!</v>
      </c>
      <c r="J185" s="282" t="e">
        <f>IF(VLOOKUP(T_Convention[[#This Row],[NumL]],T_suiviDi[#Data],COLUMN(T_suiviDi[[#This Row],[Fonction]]),FALSE)="","",VLOOKUP(T_Convention[[#This Row],[NumL]],T_suiviDi[#Data],COLUMN(T_suiviDi[[#This Row],[Fonction]]),FALSE))</f>
        <v>#VALUE!</v>
      </c>
      <c r="K185" s="282" t="e">
        <f>IF(VLOOKUP(T_Convention[[#This Row],[NumL]],T_suiviDi[#Data],COLUMN(T_suiviDi[[#This Row],[Grade]]),FALSE)="","",VLOOKUP(T_Convention[[#This Row],[NumL]],T_suiviDi[#Data],COLUMN(T_suiviDi[[#This Row],[Grade]]),FALSE))</f>
        <v>#VALUE!</v>
      </c>
      <c r="L185" s="282" t="e">
        <f>IF(VLOOKUP(T_Convention[[#This Row],[NumL]],T_suiviDi[#Data],COLUMN(T_suiviDi[[#This Row],[Service ]]),FALSE)="","",VLOOKUP(T_Convention[[#This Row],[NumL]],T_suiviDi[#Data],COLUMN(T_suiviDi[[#This Row],[Service ]]),FALSE))</f>
        <v>#VALUE!</v>
      </c>
      <c r="M185" s="314" t="str">
        <f t="shared" si="11"/>
        <v>01 septembre 2021</v>
      </c>
      <c r="N185" s="314" t="str">
        <f t="shared" si="12"/>
        <v>30 novembre 2021</v>
      </c>
      <c r="O185" s="284" t="str">
        <f t="shared" si="13"/>
        <v>30 novembre 2021</v>
      </c>
      <c r="P185" s="282" t="e">
        <f>IF(VLOOKUP(T_Convention[[#This Row],[NumL]],T_TraitDi[#Data],COLUMN(T_TraitDi[M1]),FALSE)="","",VLOOKUP(T_Convention[[#This Row],[NumL]],T_TraitDi[#Data],COLUMN(T_TraitDi[M1]),FALSE))</f>
        <v>#N/A</v>
      </c>
      <c r="Q185" s="282" t="e">
        <f>IF(VLOOKUP(T_Convention[[#This Row],[NumL]],T_TraitDi[#Data],COLUMN(T_TraitDi[M2]),FALSE)="","",VLOOKUP(T_Convention[[#This Row],[NumL]],T_TraitDi[#Data],COLUMN(T_TraitDi[M2]),FALSE))</f>
        <v>#N/A</v>
      </c>
      <c r="R185" s="282" t="e">
        <f>IF(VLOOKUP(T_Convention[[#This Row],[NumL]],T_TraitDi[#Data],COLUMN(T_TraitDi[M3]),FALSE)="","",VLOOKUP(T_Convention[[#This Row],[NumL]],T_TraitDi[#Data],COLUMN(T_TraitDi[M3]),FALSE))</f>
        <v>#N/A</v>
      </c>
      <c r="S185" s="282" t="e">
        <f>IF(VLOOKUP(T_Convention[[#This Row],[NumL]],T_TraitDi[#Data],COLUMN(T_TraitDi[M4]),FALSE)="","",VLOOKUP(T_Convention[[#This Row],[NumL]],T_TraitDi[#Data],COLUMN(T_TraitDi[M4]),FALSE))</f>
        <v>#N/A</v>
      </c>
      <c r="T185" s="282" t="e">
        <f>IF(VLOOKUP(T_Convention[[#This Row],[NumL]],T_TraitDi[#Data],COLUMN(T_TraitDi[M5]),FALSE)="","",VLOOKUP(T_Convention[[#This Row],[NumL]],T_TraitDi[#Data],COLUMN(T_TraitDi[M5]),FALSE))</f>
        <v>#N/A</v>
      </c>
      <c r="U185" s="282" t="e">
        <f>IF(VLOOKUP(T_Convention[[#This Row],[NumL]],T_TraitDi[#Data],COLUMN(T_TraitDi[M6]),FALSE)="","",VLOOKUP(T_Convention[[#This Row],[NumL]],T_TraitDi[#Data],COLUMN(T_TraitDi[M6]),FALSE))</f>
        <v>#N/A</v>
      </c>
      <c r="V185" s="314" t="e">
        <f t="shared" si="14"/>
        <v>#N/A</v>
      </c>
      <c r="W185" s="284" t="str">
        <f>IFERROR(TEXT(VLOOKUP(T_Convention[[#This Row],[NumL]],T_TraitDi[#Data],COLUMN(T_TraitDi[Q2]),FALSE),"###%"),"")</f>
        <v/>
      </c>
      <c r="X185" s="285" t="e">
        <f>VLOOKUP(T_Convention[[#This Row],[NumL]],T_TraitDi[#Data],COLUMN(T_TraitDi[Reg Ponct]),FALSE)</f>
        <v>#N/A</v>
      </c>
      <c r="Y185" s="285" t="e">
        <f>VLOOKUP(T_Convention[NumL],T_TraitDi[#Data],COLUMN(T_TraitDi[Jours flottants]),FALSE)</f>
        <v>#N/A</v>
      </c>
      <c r="Z185" s="284" t="str">
        <f>IFERROR(VLOOKUP(T_Convention[[#This Row],[NumL]],T_TraitDi[#Data],COLUMN(T_TraitDi[Lundi]),FALSE),"")</f>
        <v/>
      </c>
      <c r="AA185" s="284" t="e">
        <f>IF(VLOOKUP(T_Convention[[#This Row],[NumL]],T_TraitDi[#Data],COLUMN(T_TraitDi[Colonne3]),FALSE)=0,"",TEXT(IFERROR(VLOOKUP(T_Convention[[#This Row],[NumL]],T_TraitDi[#Data],COLUMN(T_TraitDi[Colonne3]),FALSE),""),"[hh]:mm"))</f>
        <v>#N/A</v>
      </c>
      <c r="AB185" s="284" t="e">
        <f>IF(VLOOKUP(T_Convention[[#This Row],[NumL]],T_TraitDi[#Data],COLUMN(T_TraitDi[Colonne4]),FALSE)=0,"",TEXT(IFERROR(VLOOKUP(T_Convention[[#This Row],[NumL]],T_TraitDi[#Data],COLUMN(T_TraitDi[Colonne4]),FALSE),""),"[hh]:mm"))</f>
        <v>#N/A</v>
      </c>
      <c r="AC185" s="284" t="e">
        <f>IF(VLOOKUP(T_Convention[[#This Row],[NumL]],T_TraitDi[#Data],COLUMN(T_TraitDi[Colonne5]),FALSE)=0,"",TEXT(IFERROR(VLOOKUP(T_Convention[[#This Row],[NumL]],T_TraitDi[#Data],COLUMN(T_TraitDi[Colonne5]),FALSE),""),"[hh]:mm"))</f>
        <v>#N/A</v>
      </c>
      <c r="AD185" s="284" t="e">
        <f>IF(VLOOKUP(T_Convention[[#This Row],[NumL]],T_TraitDi[#Data],COLUMN(T_TraitDi[Colonne6]),FALSE)=0,"",TEXT(IFERROR(VLOOKUP(T_Convention[[#This Row],[NumL]],T_TraitDi[#Data],COLUMN(T_TraitDi[Colonne6]),FALSE),""),"[hh]:mm"))</f>
        <v>#N/A</v>
      </c>
      <c r="AE185" s="284" t="e">
        <f>IF(VLOOKUP(T_Convention[[#This Row],[NumL]],T_TraitDi[#Data],COLUMN(T_TraitDi[Colonne7]),FALSE)=0,"",TEXT(IFERROR(VLOOKUP(T_Convention[[#This Row],[NumL]],T_TraitDi[#Data],COLUMN(T_TraitDi[Colonne7]),FALSE),""),"[hh]:mm"))</f>
        <v>#N/A</v>
      </c>
      <c r="AF185" s="284" t="e">
        <f>IF(VLOOKUP(T_Convention[[#This Row],[NumL]],T_TraitDi[#Data],COLUMN(T_TraitDi[Colonne8]),FALSE)=0,"",TEXT(IFERROR(VLOOKUP(T_Convention[[#This Row],[NumL]],T_TraitDi[#Data],COLUMN(T_TraitDi[Colonne8]),FALSE),""),"[hh]:mm"))</f>
        <v>#N/A</v>
      </c>
      <c r="AG185" s="284" t="str">
        <f>IFERROR(VLOOKUP(T_Convention[[#This Row],[NumL]],T_TraitDi[#Data],COLUMN(T_TraitDi[Mardi]),FALSE),"")</f>
        <v/>
      </c>
      <c r="AH185" s="284" t="e">
        <f>IF(VLOOKUP(T_Convention[[#This Row],[NumL]],T_TraitDi[#Data],COLUMN(T_TraitDi[Colonne1]),FALSE)=0,"",TEXT(IFERROR(VLOOKUP(T_Convention[[#This Row],[NumL]],T_TraitDi[#Data],COLUMN(T_TraitDi[Colonne1]),FALSE),""),"[hh]:mm"))</f>
        <v>#N/A</v>
      </c>
      <c r="AI185" s="284" t="e">
        <f>IF(VLOOKUP(T_Convention[[#This Row],[NumL]],T_TraitDi[#Data],COLUMN(T_TraitDi[Colonne9]),FALSE)=0,"",TEXT(IFERROR(VLOOKUP(T_Convention[[#This Row],[NumL]],T_TraitDi[#Data],COLUMN(T_TraitDi[Colonne9]),FALSE),""),"[hh]:mm"))</f>
        <v>#N/A</v>
      </c>
      <c r="AJ185" s="284" t="str">
        <f>IFERROR(VLOOKUP(T_Convention[[#This Row],[NumL]],T_TraitDi[#Data],COLUMN(T_TraitDi[Colonne10]),FALSE),"")</f>
        <v/>
      </c>
      <c r="AK185" s="284" t="e">
        <f>IF(VLOOKUP(T_Convention[[#This Row],[NumL]],T_TraitDi[#Data],COLUMN(T_TraitDi[Colonne11]),FALSE)=0,"",TEXT(IFERROR(VLOOKUP(T_Convention[[#This Row],[NumL]],T_TraitDi[#Data],COLUMN(T_TraitDi[Colonne11]),FALSE),""),"[hh]:mm"))</f>
        <v>#N/A</v>
      </c>
      <c r="AL185" s="284" t="e">
        <f>IF(VLOOKUP(T_Convention[[#This Row],[NumL]],T_TraitDi[#Data],COLUMN(T_TraitDi[Colonne12]),FALSE)=0,"",TEXT(IFERROR(VLOOKUP(T_Convention[[#This Row],[NumL]],T_TraitDi[#Data],COLUMN(T_TraitDi[Colonne12]),FALSE),""),"[hh]:mm"))</f>
        <v>#N/A</v>
      </c>
      <c r="AM185" s="284" t="e">
        <f>IF(VLOOKUP(T_Convention[[#This Row],[NumL]],T_TraitDi[#Data],COLUMN(T_TraitDi[Colonne14]),FALSE)=0,"",TEXT(IFERROR(VLOOKUP(T_Convention[[#This Row],[NumL]],T_TraitDi[#Data],COLUMN(T_TraitDi[Colonne14]),FALSE),""),"[hh]:mm"))</f>
        <v>#N/A</v>
      </c>
      <c r="AN185" s="284" t="str">
        <f>IFERROR(VLOOKUP(T_Convention[[#This Row],[NumL]],T_TraitDi[#Data],COLUMN(T_TraitDi[Mercredi]),FALSE),"")</f>
        <v/>
      </c>
      <c r="AO185" s="284" t="e">
        <f>IF(VLOOKUP(T_Convention[[#This Row],[NumL]],T_TraitDi[#Data],COLUMN(T_TraitDi[Colonne15]),FALSE)=0,"",TEXT(IFERROR(VLOOKUP(T_Convention[[#This Row],[NumL]],T_TraitDi[#Data],COLUMN(T_TraitDi[Colonne15]),FALSE),""),"[hh]:mm"))</f>
        <v>#N/A</v>
      </c>
      <c r="AP185" s="284" t="e">
        <f>IF(VLOOKUP(T_Convention[[#This Row],[NumL]],T_TraitDi[#Data],COLUMN(T_TraitDi[Colonne16]),FALSE)=0,"",TEXT(IFERROR(VLOOKUP(T_Convention[[#This Row],[NumL]],T_TraitDi[#Data],COLUMN(T_TraitDi[Colonne16]),FALSE),""),"[hh]:mm"))</f>
        <v>#N/A</v>
      </c>
      <c r="AQ185" s="284" t="str">
        <f>IFERROR(VLOOKUP(T_Convention[[#This Row],[NumL]],T_TraitDi[#Data],COLUMN(T_TraitDi[Colonne17]),FALSE),"")</f>
        <v/>
      </c>
      <c r="AR185" s="284" t="e">
        <f>IF(VLOOKUP(T_Convention[[#This Row],[NumL]],T_TraitDi[#Data],COLUMN(T_TraitDi[Colonne18]),FALSE)=0,"",TEXT(IFERROR(VLOOKUP(T_Convention[[#This Row],[NumL]],T_TraitDi[#Data],COLUMN(T_TraitDi[Colonne18]),FALSE),""),"[hh]:mm"))</f>
        <v>#N/A</v>
      </c>
      <c r="AS185" s="284" t="e">
        <f>IF(VLOOKUP(T_Convention[[#This Row],[NumL]],T_TraitDi[#Data],COLUMN(T_TraitDi[Colonne19]),FALSE)=0,"",TEXT(IFERROR(VLOOKUP(T_Convention[[#This Row],[NumL]],T_TraitDi[#Data],COLUMN(T_TraitDi[Colonne19]),FALSE),""),"[hh]:mm"))</f>
        <v>#N/A</v>
      </c>
      <c r="AT185" s="284" t="e">
        <f>IF(VLOOKUP(T_Convention[[#This Row],[NumL]],T_TraitDi[#Data],COLUMN(T_TraitDi[Colonne20]),FALSE)=0,"",TEXT(IFERROR(VLOOKUP(T_Convention[[#This Row],[NumL]],T_TraitDi[#Data],COLUMN(T_TraitDi[Colonne20]),FALSE),""),"[hh]:mm"))</f>
        <v>#N/A</v>
      </c>
      <c r="AU185" s="284" t="str">
        <f>IFERROR(VLOOKUP(T_Convention[[#This Row],[NumL]],T_TraitDi[#Data],COLUMN(T_TraitDi[Jeudi]),FALSE),"")</f>
        <v/>
      </c>
      <c r="AV185" s="284" t="e">
        <f>IF(VLOOKUP(T_Convention[[#This Row],[NumL]],T_TraitDi[#Data],COLUMN(T_TraitDi[Colonne21]),FALSE)=0,"",TEXT(IFERROR(VLOOKUP(T_Convention[[#This Row],[NumL]],T_TraitDi[#Data],COLUMN(T_TraitDi[Colonne21]),FALSE),""),"[hh]:mm"))</f>
        <v>#N/A</v>
      </c>
      <c r="AW185" s="284" t="e">
        <f>IF(VLOOKUP(T_Convention[[#This Row],[NumL]],T_TraitDi[#Data],COLUMN(T_TraitDi[Colonne22]),FALSE)=0,"",TEXT(IFERROR(VLOOKUP(T_Convention[[#This Row],[NumL]],T_TraitDi[#Data],COLUMN(T_TraitDi[Colonne22]),FALSE),""),"[hh]:mm"))</f>
        <v>#N/A</v>
      </c>
      <c r="AX185" s="284" t="str">
        <f>IFERROR(VLOOKUP(T_Convention[[#This Row],[NumL]],T_TraitDi[#Data],COLUMN(T_TraitDi[Colonne23]),FALSE),"")</f>
        <v/>
      </c>
      <c r="AY185" s="284" t="e">
        <f>IF(VLOOKUP(T_Convention[[#This Row],[NumL]],T_TraitDi[#Data],COLUMN(T_TraitDi[Colonne24]),FALSE)=0,"",TEXT(IFERROR(VLOOKUP(T_Convention[[#This Row],[NumL]],T_TraitDi[#Data],COLUMN(T_TraitDi[Colonne24]),FALSE),""),"[hh]:mm"))</f>
        <v>#N/A</v>
      </c>
      <c r="AZ185" s="284" t="e">
        <f>IF(VLOOKUP(T_Convention[[#This Row],[NumL]],T_TraitDi[#Data],COLUMN(T_TraitDi[Colonne25]),FALSE)=0,"",TEXT(IFERROR(VLOOKUP(T_Convention[[#This Row],[NumL]],T_TraitDi[#Data],COLUMN(T_TraitDi[Colonne25]),FALSE),""),"[hh]:mm"))</f>
        <v>#N/A</v>
      </c>
      <c r="BA185" s="284" t="e">
        <f>IF(VLOOKUP(T_Convention[[#This Row],[NumL]],T_TraitDi[#Data],COLUMN(T_TraitDi[Colonne26]),FALSE)=0,"",TEXT(IFERROR(VLOOKUP(T_Convention[[#This Row],[NumL]],T_TraitDi[#Data],COLUMN(T_TraitDi[Colonne26]),FALSE),""),"[hh]:mm"))</f>
        <v>#N/A</v>
      </c>
      <c r="BB185" s="284" t="str">
        <f>IFERROR(VLOOKUP(T_Convention[[#This Row],[NumL]],T_TraitDi[#Data],COLUMN(T_TraitDi[Vendredi]),FALSE),"")</f>
        <v/>
      </c>
      <c r="BC185" s="284" t="e">
        <f>IF(VLOOKUP(T_Convention[[#This Row],[NumL]],T_TraitDi[#Data],COLUMN(T_TraitDi[Colonne27]),FALSE)=0,"",TEXT(IFERROR(VLOOKUP(T_Convention[[#This Row],[NumL]],T_TraitDi[#Data],COLUMN(T_TraitDi[Colonne27]),FALSE),""),"[hh]:mm"))</f>
        <v>#N/A</v>
      </c>
      <c r="BD185" s="284" t="e">
        <f>IF(VLOOKUP(T_Convention[[#This Row],[NumL]],T_TraitDi[#Data],COLUMN(T_TraitDi[Colonne28]),FALSE)=0,"",TEXT(IFERROR(VLOOKUP(T_Convention[[#This Row],[NumL]],T_TraitDi[#Data],COLUMN(T_TraitDi[Colonne28]),FALSE),""),"[hh]:mm"))</f>
        <v>#N/A</v>
      </c>
      <c r="BE185" s="284" t="str">
        <f>IFERROR(VLOOKUP(T_Convention[[#This Row],[NumL]],T_TraitDi[#Data],COLUMN(T_TraitDi[Colonne29]),FALSE),"")</f>
        <v/>
      </c>
      <c r="BF185" s="284" t="e">
        <f>IF(VLOOKUP(T_Convention[[#This Row],[NumL]],T_TraitDi[#Data],COLUMN(T_TraitDi[Colonne30]),FALSE)=0,"",TEXT(IFERROR(VLOOKUP(T_Convention[[#This Row],[NumL]],T_TraitDi[#Data],COLUMN(T_TraitDi[Colonne30]),FALSE),""),"[hh]:mm"))</f>
        <v>#N/A</v>
      </c>
      <c r="BG185" s="284" t="e">
        <f>IF(VLOOKUP(T_Convention[[#This Row],[NumL]],T_TraitDi[#Data],COLUMN(T_TraitDi[Colonne31]),FALSE)=0,"",TEXT(IFERROR(VLOOKUP(T_Convention[[#This Row],[NumL]],T_TraitDi[#Data],COLUMN(T_TraitDi[Colonne31]),FALSE),""),"[hh]:mm"))</f>
        <v>#N/A</v>
      </c>
      <c r="BH185" s="284" t="e">
        <f>IF(VLOOKUP(T_Convention[[#This Row],[NumL]],T_TraitDi[#Data],COLUMN(T_TraitDi[Colonne32]),FALSE)=0,"",TEXT(IFERROR(VLOOKUP(T_Convention[[#This Row],[NumL]],T_TraitDi[#Data],COLUMN(T_TraitDi[Colonne32]),FALSE),""),"[hh]:mm"))</f>
        <v>#N/A</v>
      </c>
      <c r="BI185" s="284" t="str">
        <f>IFERROR(VLOOKUP(T_Convention[[#This Row],[NumL]],T_TraitDi[#Data],COLUMN(T_TraitDi[NbJTW]),FALSE),"")</f>
        <v/>
      </c>
      <c r="BJ185" s="284" t="e">
        <f>IF(VLOOKUP(T_Convention[[#This Row],[NumL]],T_TraitDi[#Data],COLUMN(T_TraitDi[NbhTW]),FALSE)=0,"",TEXT(IFERROR(VLOOKUP(T_Convention[[#This Row],[NumL]],T_TraitDi[#Data],COLUMN(T_TraitDi[NbhTW]),FALSE),""),"[hh]:mm"))</f>
        <v>#N/A</v>
      </c>
      <c r="BK185" s="315" t="e">
        <f>IF(VLOOKUP(T_Convention[[#This Row],[NumL]],T_TraitDi[#Data],COLUMN(T_TraitDi[Nbhheb]),FALSE)=0,"",TEXT(IFERROR(VLOOKUP(T_Convention[[#This Row],[NumL]],T_TraitDi[#Data],COLUMN(T_TraitDi[Nbhheb]),FALSE),""),"[hh]:mm"))</f>
        <v>#N/A</v>
      </c>
      <c r="BL185" s="287" t="str">
        <f>IFERROR(VLOOKUP(VLOOKUP(T_Convention[[#This Row],[NumL]],T_TraitDi[#Data],COLUMN(T_TraitDi[Type1]),FALSE),TypeTW,2,FALSE),"")</f>
        <v/>
      </c>
      <c r="BM185" s="288" t="str">
        <f>IFERROR(VLOOKUP(T_Convention[[#This Row],[NumL]],T_TraitDi[#Data],COLUMN(T_TraitDi[Rue1]),FALSE),"")</f>
        <v/>
      </c>
      <c r="BN185" s="289" t="str">
        <f>IFERROR(VLOOKUP(T_Convention[[#This Row],[NumL]],T_TraitDi[#Data],COLUMN(T_TraitDi[CP1]),FALSE),"")</f>
        <v/>
      </c>
      <c r="BO185" s="282" t="str">
        <f>IFERROR(VLOOKUP(T_Convention[[#This Row],[NumL]],T_TraitDi[#Data],COLUMN(T_TraitDi[VILLE1]),FALSE),"")</f>
        <v/>
      </c>
      <c r="BP185" s="290" t="str">
        <f>IFERROR(VLOOKUP(VLOOKUP(T_Convention[[#This Row],[NumL]],T_TraitDi[#Data],COLUMN(T_TraitDi[Type2]),FALSE),TypeTW,2,FALSE),"")</f>
        <v/>
      </c>
      <c r="BQ185" s="310" t="str">
        <f>IFERROR(VLOOKUP(T_Convention[[#This Row],[NumL]],T_TraitDi[#Data],COLUMN(T_TraitDi[Rue2]),FALSE),"")</f>
        <v/>
      </c>
      <c r="BR185" s="290" t="str">
        <f>IFERROR(VLOOKUP(T_Convention[[#This Row],[NumL]],T_TraitDi[#Data],COLUMN(T_TraitDi[CP2]),FALSE),"")</f>
        <v/>
      </c>
      <c r="BS185" s="290" t="str">
        <f>IFERROR(VLOOKUP(T_Convention[[#This Row],[NumL]],T_TraitDi[#Data],COLUMN(T_TraitDi[VILLE2]),FALSE),"")</f>
        <v/>
      </c>
      <c r="BT185"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85" s="314" t="str">
        <f>IFERROR(IF(VLOOKUP(T_Convention[[#This Row],[NumL]],T_TraitDi[#Data],COLUMN(T_TraitDi[Plan]),FALSE)="OK","Un planning spécifique de télétravail est annexé à la présente convention.",""),"")</f>
        <v/>
      </c>
      <c r="BV185" s="291"/>
      <c r="BW185" s="292" t="e">
        <f>IF(VLOOKUP(T_Convention[[#This Row],[NumL]],T_suiviDi[#Data],COLUMN(T_suiviDi[Entité]),FALSE)="","",VLOOKUP(T_Convention[[#This Row],[NumL]],T_suiviDi[#Data],COLUMN(T_suiviDi[Entité]),FALSE))</f>
        <v>#N/A</v>
      </c>
      <c r="BX185" s="311" t="str">
        <f>IF(VLOOKUP(T_Convention[[#This Row],[NumL]],T_Commission[#Data],COLUMN(T_Commission[envoi confirm TW]),FALSE)="","",VLOOKUP(T_Convention[[#This Row],[NumL]],T_Commission[#Data],COLUMN(T_Commission[envoi confirm TW]),FALSE))</f>
        <v>Oui</v>
      </c>
      <c r="BY185"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5" s="293">
        <f>VLOOKUP(T_Convention[[#This Row],[NumL]],T_Commission[#Data],COLUMN(T_Commission[Commentaire]),FALSE)</f>
        <v>0</v>
      </c>
      <c r="CA185" s="292" t="str">
        <f>IF(VLOOKUP(T_Convention[[#This Row],[NumL]],T_Commission[#Data],COLUMN(T_Commission[Encadrant Email]),FALSE)="","",VLOOKUP(T_Convention[[#This Row],[NumL]],T_Commission[#Data],COLUMN(T_Commission[Encadrant Email]),FALSE))</f>
        <v/>
      </c>
      <c r="CB185" s="353" t="e">
        <f>VLOOKUP(T_Convention[[#This Row],[NumL]],T_TraitDi[#Data],COLUMN(T_TraitDi[NbJTot]),FALSE)</f>
        <v>#N/A</v>
      </c>
      <c r="CC185" s="353" t="e">
        <f>VLOOKUP(T_Convention[[#This Row],[NumL]],T_TraitDi[#Data],COLUMN(T_TraitDi[Reg Ponct]),FALSE)</f>
        <v>#N/A</v>
      </c>
      <c r="CD185" s="348" t="str">
        <f>IF(T_Convention[[#This Row],[Final]]&lt;&gt;"",VLOOKUP(T_Convention[[#This Row],[NumL]],T_suiviDi[#Data],COLUMN((T_suiviDi[Statut])),FALSE),"")</f>
        <v/>
      </c>
    </row>
    <row r="186" spans="1:82" s="106" customFormat="1" ht="18.75" customHeight="1" x14ac:dyDescent="0.25">
      <c r="A186" s="160">
        <v>52</v>
      </c>
      <c r="B186" s="161" t="str">
        <f>VLOOKUP(T_Convention[[#This Row],[NumL]],T_Commission[#Data],COLUMN(T_Commission[FINAL]),FALSE)</f>
        <v/>
      </c>
      <c r="C186" s="162"/>
      <c r="D186" s="95" t="e">
        <f>IF(VLOOKUP(T_Convention[[#This Row],[NumL]],T_TraitDi[#Data],COLUMN(T_TraitDi[WebC]),FALSE)="","",VLOOKUP(T_Convention[[#This Row],[NumL]],T_TraitDi[#Data],COLUMN(T_TraitDi[WebC]),FALSE))</f>
        <v>#N/A</v>
      </c>
      <c r="E186" s="163" t="str">
        <f t="shared" si="10"/>
        <v>12 janvier 2021</v>
      </c>
      <c r="F186" s="282" t="str">
        <f>IF(T_Convention[[#This Row],[Final]]&lt;&gt;"",VLOOKUP(T_Convention[[#This Row],[NumL]],T_suiviDi[#Data],COLUMN((T_suiviDi[Civ.])),FALSE),"")</f>
        <v/>
      </c>
      <c r="G186" s="283" t="str">
        <f>IF(T_Convention[[#This Row],[Final]]&lt;&gt;"",VLOOKUP(T_Convention[[#This Row],[NumL]],T_suiviDi[#Data],COLUMN((T_suiviDi[Nom])),FALSE),"")</f>
        <v/>
      </c>
      <c r="H186" s="282" t="str">
        <f>IF(T_Convention[[#This Row],[Final]]&lt;&gt;"",VLOOKUP(T_Convention[[#This Row],[NumL]],T_suiviDi[#Data],COLUMN((T_suiviDi[Prénom])),FALSE),"")</f>
        <v/>
      </c>
      <c r="I186" s="282" t="e">
        <f>VLOOKUP(T_Convention[[#This Row],[NumL]],T_suiviDi[#Data],COLUMN((T_suiviDi[[#This Row],[Email]])),FALSE)</f>
        <v>#VALUE!</v>
      </c>
      <c r="J186" s="282" t="e">
        <f>IF(VLOOKUP(T_Convention[[#This Row],[NumL]],T_suiviDi[#Data],COLUMN(T_suiviDi[[#This Row],[Fonction]]),FALSE)="","",VLOOKUP(T_Convention[[#This Row],[NumL]],T_suiviDi[#Data],COLUMN(T_suiviDi[[#This Row],[Fonction]]),FALSE))</f>
        <v>#VALUE!</v>
      </c>
      <c r="K186" s="282" t="e">
        <f>IF(VLOOKUP(T_Convention[[#This Row],[NumL]],T_suiviDi[#Data],COLUMN(T_suiviDi[[#This Row],[Grade]]),FALSE)="","",VLOOKUP(T_Convention[[#This Row],[NumL]],T_suiviDi[#Data],COLUMN(T_suiviDi[[#This Row],[Grade]]),FALSE))</f>
        <v>#VALUE!</v>
      </c>
      <c r="L186" s="282" t="e">
        <f>IF(VLOOKUP(T_Convention[[#This Row],[NumL]],T_suiviDi[#Data],COLUMN(T_suiviDi[[#This Row],[Service ]]),FALSE)="","",VLOOKUP(T_Convention[[#This Row],[NumL]],T_suiviDi[#Data],COLUMN(T_suiviDi[[#This Row],[Service ]]),FALSE))</f>
        <v>#VALUE!</v>
      </c>
      <c r="M186" s="164" t="str">
        <f t="shared" si="11"/>
        <v>01 septembre 2021</v>
      </c>
      <c r="N186" s="164" t="str">
        <f t="shared" si="12"/>
        <v>30 novembre 2021</v>
      </c>
      <c r="O186" s="284" t="str">
        <f t="shared" si="13"/>
        <v>30 novembre 2021</v>
      </c>
      <c r="P186" s="282" t="e">
        <f>IF(VLOOKUP(T_Convention[[#This Row],[NumL]],T_TraitDi[#Data],COLUMN(T_TraitDi[M1]),FALSE)="","",VLOOKUP(T_Convention[[#This Row],[NumL]],T_TraitDi[#Data],COLUMN(T_TraitDi[M1]),FALSE))</f>
        <v>#N/A</v>
      </c>
      <c r="Q186" s="282" t="e">
        <f>IF(VLOOKUP(T_Convention[[#This Row],[NumL]],T_TraitDi[#Data],COLUMN(T_TraitDi[M2]),FALSE)="","",VLOOKUP(T_Convention[[#This Row],[NumL]],T_TraitDi[#Data],COLUMN(T_TraitDi[M2]),FALSE))</f>
        <v>#N/A</v>
      </c>
      <c r="R186" s="282" t="e">
        <f>IF(VLOOKUP(T_Convention[[#This Row],[NumL]],T_TraitDi[#Data],COLUMN(T_TraitDi[M3]),FALSE)="","",VLOOKUP(T_Convention[[#This Row],[NumL]],T_TraitDi[#Data],COLUMN(T_TraitDi[M3]),FALSE))</f>
        <v>#N/A</v>
      </c>
      <c r="S186" s="282" t="e">
        <f>IF(VLOOKUP(T_Convention[[#This Row],[NumL]],T_TraitDi[#Data],COLUMN(T_TraitDi[M4]),FALSE)="","",VLOOKUP(T_Convention[[#This Row],[NumL]],T_TraitDi[#Data],COLUMN(T_TraitDi[M4]),FALSE))</f>
        <v>#N/A</v>
      </c>
      <c r="T186" s="282" t="e">
        <f>IF(VLOOKUP(T_Convention[[#This Row],[NumL]],T_TraitDi[#Data],COLUMN(T_TraitDi[M5]),FALSE)="","",VLOOKUP(T_Convention[[#This Row],[NumL]],T_TraitDi[#Data],COLUMN(T_TraitDi[M5]),FALSE))</f>
        <v>#N/A</v>
      </c>
      <c r="U186" s="282" t="e">
        <f>IF(VLOOKUP(T_Convention[[#This Row],[NumL]],T_TraitDi[#Data],COLUMN(T_TraitDi[M6]),FALSE)="","",VLOOKUP(T_Convention[[#This Row],[NumL]],T_TraitDi[#Data],COLUMN(T_TraitDi[M6]),FALSE))</f>
        <v>#N/A</v>
      </c>
      <c r="V186" s="176" t="e">
        <f t="shared" si="14"/>
        <v>#N/A</v>
      </c>
      <c r="W186" s="284" t="str">
        <f>IFERROR(TEXT(VLOOKUP(T_Convention[[#This Row],[NumL]],T_TraitDi[#Data],COLUMN(T_TraitDi[Q2]),FALSE),"###%"),"")</f>
        <v/>
      </c>
      <c r="X186" s="97" t="e">
        <f>VLOOKUP(T_Convention[[#This Row],[NumL]],T_TraitDi[#Data],COLUMN(T_TraitDi[Reg Ponct]),FALSE)</f>
        <v>#N/A</v>
      </c>
      <c r="Y186" s="97" t="e">
        <f>VLOOKUP(T_Convention[NumL],T_TraitDi[#Data],COLUMN(T_TraitDi[Jours flottants]),FALSE)</f>
        <v>#N/A</v>
      </c>
      <c r="Z186" s="284" t="str">
        <f>IFERROR(VLOOKUP(T_Convention[[#This Row],[NumL]],T_TraitDi[#Data],COLUMN(T_TraitDi[Lundi]),FALSE),"")</f>
        <v/>
      </c>
      <c r="AA186" s="284" t="e">
        <f>IF(VLOOKUP(T_Convention[[#This Row],[NumL]],T_TraitDi[#Data],COLUMN(T_TraitDi[Colonne3]),FALSE)=0,"",TEXT(IFERROR(VLOOKUP(T_Convention[[#This Row],[NumL]],T_TraitDi[#Data],COLUMN(T_TraitDi[Colonne3]),FALSE),""),"[hh]:mm"))</f>
        <v>#N/A</v>
      </c>
      <c r="AB186" s="284" t="e">
        <f>IF(VLOOKUP(T_Convention[[#This Row],[NumL]],T_TraitDi[#Data],COLUMN(T_TraitDi[Colonne4]),FALSE)=0,"",TEXT(IFERROR(VLOOKUP(T_Convention[[#This Row],[NumL]],T_TraitDi[#Data],COLUMN(T_TraitDi[Colonne4]),FALSE),""),"[hh]:mm"))</f>
        <v>#N/A</v>
      </c>
      <c r="AC186" s="284" t="e">
        <f>IF(VLOOKUP(T_Convention[[#This Row],[NumL]],T_TraitDi[#Data],COLUMN(T_TraitDi[Colonne5]),FALSE)=0,"",TEXT(IFERROR(VLOOKUP(T_Convention[[#This Row],[NumL]],T_TraitDi[#Data],COLUMN(T_TraitDi[Colonne5]),FALSE),""),"[hh]:mm"))</f>
        <v>#N/A</v>
      </c>
      <c r="AD186" s="284" t="e">
        <f>IF(VLOOKUP(T_Convention[[#This Row],[NumL]],T_TraitDi[#Data],COLUMN(T_TraitDi[Colonne6]),FALSE)=0,"",TEXT(IFERROR(VLOOKUP(T_Convention[[#This Row],[NumL]],T_TraitDi[#Data],COLUMN(T_TraitDi[Colonne6]),FALSE),""),"[hh]:mm"))</f>
        <v>#N/A</v>
      </c>
      <c r="AE186" s="284" t="e">
        <f>IF(VLOOKUP(T_Convention[[#This Row],[NumL]],T_TraitDi[#Data],COLUMN(T_TraitDi[Colonne7]),FALSE)=0,"",TEXT(IFERROR(VLOOKUP(T_Convention[[#This Row],[NumL]],T_TraitDi[#Data],COLUMN(T_TraitDi[Colonne7]),FALSE),""),"[hh]:mm"))</f>
        <v>#N/A</v>
      </c>
      <c r="AF186" s="284" t="e">
        <f>IF(VLOOKUP(T_Convention[[#This Row],[NumL]],T_TraitDi[#Data],COLUMN(T_TraitDi[Colonne8]),FALSE)=0,"",TEXT(IFERROR(VLOOKUP(T_Convention[[#This Row],[NumL]],T_TraitDi[#Data],COLUMN(T_TraitDi[Colonne8]),FALSE),""),"[hh]:mm"))</f>
        <v>#N/A</v>
      </c>
      <c r="AG186" s="284" t="str">
        <f>IFERROR(VLOOKUP(T_Convention[[#This Row],[NumL]],T_TraitDi[#Data],COLUMN(T_TraitDi[Mardi]),FALSE),"")</f>
        <v/>
      </c>
      <c r="AH186" s="284" t="e">
        <f>IF(VLOOKUP(T_Convention[[#This Row],[NumL]],T_TraitDi[#Data],COLUMN(T_TraitDi[Colonne1]),FALSE)=0,"",TEXT(IFERROR(VLOOKUP(T_Convention[[#This Row],[NumL]],T_TraitDi[#Data],COLUMN(T_TraitDi[Colonne1]),FALSE),""),"[hh]:mm"))</f>
        <v>#N/A</v>
      </c>
      <c r="AI186" s="284" t="e">
        <f>IF(VLOOKUP(T_Convention[[#This Row],[NumL]],T_TraitDi[#Data],COLUMN(T_TraitDi[Colonne9]),FALSE)=0,"",TEXT(IFERROR(VLOOKUP(T_Convention[[#This Row],[NumL]],T_TraitDi[#Data],COLUMN(T_TraitDi[Colonne9]),FALSE),""),"[hh]:mm"))</f>
        <v>#N/A</v>
      </c>
      <c r="AJ186" s="284" t="str">
        <f>IFERROR(VLOOKUP(T_Convention[[#This Row],[NumL]],T_TraitDi[#Data],COLUMN(T_TraitDi[Colonne10]),FALSE),"")</f>
        <v/>
      </c>
      <c r="AK186" s="284" t="e">
        <f>IF(VLOOKUP(T_Convention[[#This Row],[NumL]],T_TraitDi[#Data],COLUMN(T_TraitDi[Colonne11]),FALSE)=0,"",TEXT(IFERROR(VLOOKUP(T_Convention[[#This Row],[NumL]],T_TraitDi[#Data],COLUMN(T_TraitDi[Colonne11]),FALSE),""),"[hh]:mm"))</f>
        <v>#N/A</v>
      </c>
      <c r="AL186" s="284" t="e">
        <f>IF(VLOOKUP(T_Convention[[#This Row],[NumL]],T_TraitDi[#Data],COLUMN(T_TraitDi[Colonne12]),FALSE)=0,"",TEXT(IFERROR(VLOOKUP(T_Convention[[#This Row],[NumL]],T_TraitDi[#Data],COLUMN(T_TraitDi[Colonne12]),FALSE),""),"[hh]:mm"))</f>
        <v>#N/A</v>
      </c>
      <c r="AM186" s="284" t="e">
        <f>IF(VLOOKUP(T_Convention[[#This Row],[NumL]],T_TraitDi[#Data],COLUMN(T_TraitDi[Colonne14]),FALSE)=0,"",TEXT(IFERROR(VLOOKUP(T_Convention[[#This Row],[NumL]],T_TraitDi[#Data],COLUMN(T_TraitDi[Colonne14]),FALSE),""),"[hh]:mm"))</f>
        <v>#N/A</v>
      </c>
      <c r="AN186" s="284" t="str">
        <f>IFERROR(VLOOKUP(T_Convention[[#This Row],[NumL]],T_TraitDi[#Data],COLUMN(T_TraitDi[Mercredi]),FALSE),"")</f>
        <v/>
      </c>
      <c r="AO186" s="284" t="e">
        <f>IF(VLOOKUP(T_Convention[[#This Row],[NumL]],T_TraitDi[#Data],COLUMN(T_TraitDi[Colonne15]),FALSE)=0,"",TEXT(IFERROR(VLOOKUP(T_Convention[[#This Row],[NumL]],T_TraitDi[#Data],COLUMN(T_TraitDi[Colonne15]),FALSE),""),"[hh]:mm"))</f>
        <v>#N/A</v>
      </c>
      <c r="AP186" s="284" t="e">
        <f>IF(VLOOKUP(T_Convention[[#This Row],[NumL]],T_TraitDi[#Data],COLUMN(T_TraitDi[Colonne16]),FALSE)=0,"",TEXT(IFERROR(VLOOKUP(T_Convention[[#This Row],[NumL]],T_TraitDi[#Data],COLUMN(T_TraitDi[Colonne16]),FALSE),""),"[hh]:mm"))</f>
        <v>#N/A</v>
      </c>
      <c r="AQ186" s="284" t="str">
        <f>IFERROR(VLOOKUP(T_Convention[[#This Row],[NumL]],T_TraitDi[#Data],COLUMN(T_TraitDi[Colonne17]),FALSE),"")</f>
        <v/>
      </c>
      <c r="AR186" s="284" t="e">
        <f>IF(VLOOKUP(T_Convention[[#This Row],[NumL]],T_TraitDi[#Data],COLUMN(T_TraitDi[Colonne18]),FALSE)=0,"",TEXT(IFERROR(VLOOKUP(T_Convention[[#This Row],[NumL]],T_TraitDi[#Data],COLUMN(T_TraitDi[Colonne18]),FALSE),""),"[hh]:mm"))</f>
        <v>#N/A</v>
      </c>
      <c r="AS186" s="284" t="e">
        <f>IF(VLOOKUP(T_Convention[[#This Row],[NumL]],T_TraitDi[#Data],COLUMN(T_TraitDi[Colonne19]),FALSE)=0,"",TEXT(IFERROR(VLOOKUP(T_Convention[[#This Row],[NumL]],T_TraitDi[#Data],COLUMN(T_TraitDi[Colonne19]),FALSE),""),"[hh]:mm"))</f>
        <v>#N/A</v>
      </c>
      <c r="AT186" s="284" t="e">
        <f>IF(VLOOKUP(T_Convention[[#This Row],[NumL]],T_TraitDi[#Data],COLUMN(T_TraitDi[Colonne20]),FALSE)=0,"",TEXT(IFERROR(VLOOKUP(T_Convention[[#This Row],[NumL]],T_TraitDi[#Data],COLUMN(T_TraitDi[Colonne20]),FALSE),""),"[hh]:mm"))</f>
        <v>#N/A</v>
      </c>
      <c r="AU186" s="284" t="str">
        <f>IFERROR(VLOOKUP(T_Convention[[#This Row],[NumL]],T_TraitDi[#Data],COLUMN(T_TraitDi[Jeudi]),FALSE),"")</f>
        <v/>
      </c>
      <c r="AV186" s="284" t="e">
        <f>IF(VLOOKUP(T_Convention[[#This Row],[NumL]],T_TraitDi[#Data],COLUMN(T_TraitDi[Colonne21]),FALSE)=0,"",TEXT(IFERROR(VLOOKUP(T_Convention[[#This Row],[NumL]],T_TraitDi[#Data],COLUMN(T_TraitDi[Colonne21]),FALSE),""),"[hh]:mm"))</f>
        <v>#N/A</v>
      </c>
      <c r="AW186" s="284" t="e">
        <f>IF(VLOOKUP(T_Convention[[#This Row],[NumL]],T_TraitDi[#Data],COLUMN(T_TraitDi[Colonne22]),FALSE)=0,"",TEXT(IFERROR(VLOOKUP(T_Convention[[#This Row],[NumL]],T_TraitDi[#Data],COLUMN(T_TraitDi[Colonne22]),FALSE),""),"[hh]:mm"))</f>
        <v>#N/A</v>
      </c>
      <c r="AX186" s="284" t="str">
        <f>IFERROR(VLOOKUP(T_Convention[[#This Row],[NumL]],T_TraitDi[#Data],COLUMN(T_TraitDi[Colonne23]),FALSE),"")</f>
        <v/>
      </c>
      <c r="AY186" s="284" t="e">
        <f>IF(VLOOKUP(T_Convention[[#This Row],[NumL]],T_TraitDi[#Data],COLUMN(T_TraitDi[Colonne24]),FALSE)=0,"",TEXT(IFERROR(VLOOKUP(T_Convention[[#This Row],[NumL]],T_TraitDi[#Data],COLUMN(T_TraitDi[Colonne24]),FALSE),""),"[hh]:mm"))</f>
        <v>#N/A</v>
      </c>
      <c r="AZ186" s="284" t="e">
        <f>IF(VLOOKUP(T_Convention[[#This Row],[NumL]],T_TraitDi[#Data],COLUMN(T_TraitDi[Colonne25]),FALSE)=0,"",TEXT(IFERROR(VLOOKUP(T_Convention[[#This Row],[NumL]],T_TraitDi[#Data],COLUMN(T_TraitDi[Colonne25]),FALSE),""),"[hh]:mm"))</f>
        <v>#N/A</v>
      </c>
      <c r="BA186" s="284" t="e">
        <f>IF(VLOOKUP(T_Convention[[#This Row],[NumL]],T_TraitDi[#Data],COLUMN(T_TraitDi[Colonne26]),FALSE)=0,"",TEXT(IFERROR(VLOOKUP(T_Convention[[#This Row],[NumL]],T_TraitDi[#Data],COLUMN(T_TraitDi[Colonne26]),FALSE),""),"[hh]:mm"))</f>
        <v>#N/A</v>
      </c>
      <c r="BB186" s="284" t="str">
        <f>IFERROR(VLOOKUP(T_Convention[[#This Row],[NumL]],T_TraitDi[#Data],COLUMN(T_TraitDi[Vendredi]),FALSE),"")</f>
        <v/>
      </c>
      <c r="BC186" s="284" t="e">
        <f>IF(VLOOKUP(T_Convention[[#This Row],[NumL]],T_TraitDi[#Data],COLUMN(T_TraitDi[Colonne27]),FALSE)=0,"",TEXT(IFERROR(VLOOKUP(T_Convention[[#This Row],[NumL]],T_TraitDi[#Data],COLUMN(T_TraitDi[Colonne27]),FALSE),""),"[hh]:mm"))</f>
        <v>#N/A</v>
      </c>
      <c r="BD186" s="284" t="e">
        <f>IF(VLOOKUP(T_Convention[[#This Row],[NumL]],T_TraitDi[#Data],COLUMN(T_TraitDi[Colonne28]),FALSE)=0,"",TEXT(IFERROR(VLOOKUP(T_Convention[[#This Row],[NumL]],T_TraitDi[#Data],COLUMN(T_TraitDi[Colonne28]),FALSE),""),"[hh]:mm"))</f>
        <v>#N/A</v>
      </c>
      <c r="BE186" s="284" t="str">
        <f>IFERROR(VLOOKUP(T_Convention[[#This Row],[NumL]],T_TraitDi[#Data],COLUMN(T_TraitDi[Colonne29]),FALSE),"")</f>
        <v/>
      </c>
      <c r="BF186" s="284" t="e">
        <f>IF(VLOOKUP(T_Convention[[#This Row],[NumL]],T_TraitDi[#Data],COLUMN(T_TraitDi[Colonne30]),FALSE)=0,"",TEXT(IFERROR(VLOOKUP(T_Convention[[#This Row],[NumL]],T_TraitDi[#Data],COLUMN(T_TraitDi[Colonne30]),FALSE),""),"[hh]:mm"))</f>
        <v>#N/A</v>
      </c>
      <c r="BG186" s="284" t="e">
        <f>IF(VLOOKUP(T_Convention[[#This Row],[NumL]],T_TraitDi[#Data],COLUMN(T_TraitDi[Colonne31]),FALSE)=0,"",TEXT(IFERROR(VLOOKUP(T_Convention[[#This Row],[NumL]],T_TraitDi[#Data],COLUMN(T_TraitDi[Colonne31]),FALSE),""),"[hh]:mm"))</f>
        <v>#N/A</v>
      </c>
      <c r="BH186" s="284" t="e">
        <f>IF(VLOOKUP(T_Convention[[#This Row],[NumL]],T_TraitDi[#Data],COLUMN(T_TraitDi[Colonne32]),FALSE)=0,"",TEXT(IFERROR(VLOOKUP(T_Convention[[#This Row],[NumL]],T_TraitDi[#Data],COLUMN(T_TraitDi[Colonne32]),FALSE),""),"[hh]:mm"))</f>
        <v>#N/A</v>
      </c>
      <c r="BI186" s="284" t="str">
        <f>IFERROR(VLOOKUP(T_Convention[[#This Row],[NumL]],T_TraitDi[#Data],COLUMN(T_TraitDi[NbJTW]),FALSE),"")</f>
        <v/>
      </c>
      <c r="BJ186" s="284" t="e">
        <f>IF(VLOOKUP(T_Convention[[#This Row],[NumL]],T_TraitDi[#Data],COLUMN(T_TraitDi[NbhTW]),FALSE)=0,"",TEXT(IFERROR(VLOOKUP(T_Convention[[#This Row],[NumL]],T_TraitDi[#Data],COLUMN(T_TraitDi[NbhTW]),FALSE),""),"[hh]:mm"))</f>
        <v>#N/A</v>
      </c>
      <c r="BK186" s="286" t="e">
        <f>IF(VLOOKUP(T_Convention[[#This Row],[NumL]],T_TraitDi[#Data],COLUMN(T_TraitDi[Nbhheb]),FALSE)=0,"",TEXT(IFERROR(VLOOKUP(T_Convention[[#This Row],[NumL]],T_TraitDi[#Data],COLUMN(T_TraitDi[Nbhheb]),FALSE),""),"[hh]:mm"))</f>
        <v>#N/A</v>
      </c>
      <c r="BL186" s="287" t="str">
        <f>IFERROR(VLOOKUP(VLOOKUP(T_Convention[[#This Row],[NumL]],T_TraitDi[#Data],COLUMN(T_TraitDi[Type1]),FALSE),TypeTW,2,FALSE),"")</f>
        <v/>
      </c>
      <c r="BM186" s="288" t="str">
        <f>IFERROR(VLOOKUP(T_Convention[[#This Row],[NumL]],T_TraitDi[#Data],COLUMN(T_TraitDi[Rue1]),FALSE),"")</f>
        <v/>
      </c>
      <c r="BN186" s="289" t="str">
        <f>IFERROR(VLOOKUP(T_Convention[[#This Row],[NumL]],T_TraitDi[#Data],COLUMN(T_TraitDi[CP1]),FALSE),"")</f>
        <v/>
      </c>
      <c r="BO186" s="282" t="str">
        <f>IFERROR(VLOOKUP(T_Convention[[#This Row],[NumL]],T_TraitDi[#Data],COLUMN(T_TraitDi[VILLE1]),FALSE),"")</f>
        <v/>
      </c>
      <c r="BP186" s="290" t="str">
        <f>IFERROR(VLOOKUP(VLOOKUP(T_Convention[[#This Row],[NumL]],T_TraitDi[#Data],COLUMN(T_TraitDi[Type2]),FALSE),TypeTW,2,FALSE),"")</f>
        <v/>
      </c>
      <c r="BQ186" s="182" t="str">
        <f>IFERROR(VLOOKUP(T_Convention[[#This Row],[NumL]],T_TraitDi[#Data],COLUMN(T_TraitDi[Rue2]),FALSE),"")</f>
        <v/>
      </c>
      <c r="BR186" s="173" t="str">
        <f>IFERROR(VLOOKUP(T_Convention[[#This Row],[NumL]],T_TraitDi[#Data],COLUMN(T_TraitDi[CP2]),FALSE),"")</f>
        <v/>
      </c>
      <c r="BS186" s="173" t="str">
        <f>IFERROR(VLOOKUP(T_Convention[[#This Row],[NumL]],T_TraitDi[#Data],COLUMN(T_TraitDi[VILLE2]),FALSE),"")</f>
        <v/>
      </c>
      <c r="BT186" s="182" t="str">
        <f>IF(VLOOKUP(T_Convention[[#This Row],[NumL]],T_Equipement[#Data],COLUMN(T_Equipement[PC]),FALSE)="","Aucun équipement spécifique directement lié au télétravail",VLOOKUP(T_Convention[[#This Row],[NumL]],T_Equipement[#Data],COLUMN(T_Equipement[PC]),FALSE))</f>
        <v>20-352</v>
      </c>
      <c r="BU186" s="166" t="str">
        <f>IFERROR(IF(VLOOKUP(T_Convention[[#This Row],[NumL]],T_TraitDi[#Data],COLUMN(T_TraitDi[Plan]),FALSE)="OK","Un planning spécifique de télétravail est annexé à la présente convention.",""),"")</f>
        <v/>
      </c>
      <c r="BV186" s="185" t="s">
        <v>3333</v>
      </c>
      <c r="BW186" s="164" t="e">
        <f>IF(VLOOKUP(T_Convention[[#This Row],[NumL]],T_suiviDi[#Data],COLUMN(T_suiviDi[Entité]),FALSE)="","",VLOOKUP(T_Convention[[#This Row],[NumL]],T_suiviDi[#Data],COLUMN(T_suiviDi[Entité]),FALSE))</f>
        <v>#N/A</v>
      </c>
      <c r="BX186" s="164" t="str">
        <f>IF(VLOOKUP(T_Convention[[#This Row],[NumL]],T_Commission[#Data],COLUMN(T_Commission[envoi confirm TW]),FALSE)="","",VLOOKUP(T_Convention[[#This Row],[NumL]],T_Commission[#Data],COLUMN(T_Commission[envoi confirm TW]),FALSE))</f>
        <v>Oui</v>
      </c>
      <c r="BY18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6" s="264">
        <f>VLOOKUP(T_Convention[[#This Row],[NumL]],T_Commission[#Data],COLUMN(T_Commission[Commentaire]),FALSE)</f>
        <v>0</v>
      </c>
      <c r="CA186" s="254" t="str">
        <f>IF(VLOOKUP(T_Convention[[#This Row],[NumL]],T_Commission[#Data],COLUMN(T_Commission[Encadrant Email]),FALSE)="","",VLOOKUP(T_Convention[[#This Row],[NumL]],T_Commission[#Data],COLUMN(T_Commission[Encadrant Email]),FALSE))</f>
        <v/>
      </c>
      <c r="CB186" s="352" t="e">
        <f>VLOOKUP(T_Convention[[#This Row],[NumL]],T_TraitDi[#Data],COLUMN(T_TraitDi[NbJTot]),FALSE)</f>
        <v>#N/A</v>
      </c>
      <c r="CC186" s="352" t="e">
        <f>VLOOKUP(T_Convention[[#This Row],[NumL]],T_TraitDi[#Data],COLUMN(T_TraitDi[Reg Ponct]),FALSE)</f>
        <v>#N/A</v>
      </c>
      <c r="CD186" s="348" t="str">
        <f>IF(T_Convention[[#This Row],[Final]]&lt;&gt;"",VLOOKUP(T_Convention[[#This Row],[NumL]],T_suiviDi[#Data],COLUMN((T_suiviDi[Statut])),FALSE),"")</f>
        <v/>
      </c>
    </row>
    <row r="187" spans="1:82" s="106" customFormat="1" ht="18.75" customHeight="1" x14ac:dyDescent="0.25">
      <c r="A187" s="160">
        <v>309</v>
      </c>
      <c r="B187" s="281" t="str">
        <f>VLOOKUP(T_Convention[[#This Row],[NumL]],T_Commission[#Data],COLUMN(T_Commission[FINAL]),FALSE)</f>
        <v/>
      </c>
      <c r="C187" s="162"/>
      <c r="D187" s="95" t="e">
        <f>IF(VLOOKUP(T_Convention[[#This Row],[NumL]],T_TraitDi[#Data],COLUMN(T_TraitDi[WebC]),FALSE)="","",VLOOKUP(T_Convention[[#This Row],[NumL]],T_TraitDi[#Data],COLUMN(T_TraitDi[WebC]),FALSE))</f>
        <v>#N/A</v>
      </c>
      <c r="E187" s="163" t="str">
        <f t="shared" si="10"/>
        <v>12 janvier 2021</v>
      </c>
      <c r="F187" s="282" t="str">
        <f>IF(T_Convention[[#This Row],[Final]]&lt;&gt;"",VLOOKUP(T_Convention[[#This Row],[NumL]],T_suiviDi[#Data],COLUMN((T_suiviDi[Civ.])),FALSE),"")</f>
        <v/>
      </c>
      <c r="G187" s="283" t="str">
        <f>IF(T_Convention[[#This Row],[Final]]&lt;&gt;"",VLOOKUP(T_Convention[[#This Row],[NumL]],T_suiviDi[#Data],COLUMN((T_suiviDi[Nom])),FALSE),"")</f>
        <v/>
      </c>
      <c r="H187" s="282" t="str">
        <f>IF(T_Convention[[#This Row],[Final]]&lt;&gt;"",VLOOKUP(T_Convention[[#This Row],[NumL]],T_suiviDi[#Data],COLUMN((T_suiviDi[Prénom])),FALSE),"")</f>
        <v/>
      </c>
      <c r="I187" s="282" t="e">
        <f>VLOOKUP(T_Convention[[#This Row],[NumL]],T_suiviDi[#Data],COLUMN((T_suiviDi[[#This Row],[Email]])),FALSE)</f>
        <v>#VALUE!</v>
      </c>
      <c r="J187" s="282" t="e">
        <f>IF(VLOOKUP(T_Convention[[#This Row],[NumL]],T_suiviDi[#Data],COLUMN(T_suiviDi[[#This Row],[Fonction]]),FALSE)="","",VLOOKUP(T_Convention[[#This Row],[NumL]],T_suiviDi[#Data],COLUMN(T_suiviDi[[#This Row],[Fonction]]),FALSE))</f>
        <v>#VALUE!</v>
      </c>
      <c r="K187" s="282" t="e">
        <f>IF(VLOOKUP(T_Convention[[#This Row],[NumL]],T_suiviDi[#Data],COLUMN(T_suiviDi[[#This Row],[Grade]]),FALSE)="","",VLOOKUP(T_Convention[[#This Row],[NumL]],T_suiviDi[#Data],COLUMN(T_suiviDi[[#This Row],[Grade]]),FALSE))</f>
        <v>#VALUE!</v>
      </c>
      <c r="L187" s="282" t="e">
        <f>IF(VLOOKUP(T_Convention[[#This Row],[NumL]],T_suiviDi[#Data],COLUMN(T_suiviDi[[#This Row],[Service ]]),FALSE)="","",VLOOKUP(T_Convention[[#This Row],[NumL]],T_suiviDi[#Data],COLUMN(T_suiviDi[[#This Row],[Service ]]),FALSE))</f>
        <v>#VALUE!</v>
      </c>
      <c r="M187" s="314" t="str">
        <f t="shared" si="11"/>
        <v>01 septembre 2021</v>
      </c>
      <c r="N187" s="314" t="str">
        <f t="shared" si="12"/>
        <v>30 novembre 2021</v>
      </c>
      <c r="O187" s="284" t="str">
        <f t="shared" si="13"/>
        <v>30 novembre 2021</v>
      </c>
      <c r="P187" s="282" t="e">
        <f>IF(VLOOKUP(T_Convention[[#This Row],[NumL]],T_TraitDi[#Data],COLUMN(T_TraitDi[M1]),FALSE)="","",VLOOKUP(T_Convention[[#This Row],[NumL]],T_TraitDi[#Data],COLUMN(T_TraitDi[M1]),FALSE))</f>
        <v>#N/A</v>
      </c>
      <c r="Q187" s="282" t="e">
        <f>IF(VLOOKUP(T_Convention[[#This Row],[NumL]],T_TraitDi[#Data],COLUMN(T_TraitDi[M2]),FALSE)="","",VLOOKUP(T_Convention[[#This Row],[NumL]],T_TraitDi[#Data],COLUMN(T_TraitDi[M2]),FALSE))</f>
        <v>#N/A</v>
      </c>
      <c r="R187" s="282" t="e">
        <f>IF(VLOOKUP(T_Convention[[#This Row],[NumL]],T_TraitDi[#Data],COLUMN(T_TraitDi[M3]),FALSE)="","",VLOOKUP(T_Convention[[#This Row],[NumL]],T_TraitDi[#Data],COLUMN(T_TraitDi[M3]),FALSE))</f>
        <v>#N/A</v>
      </c>
      <c r="S187" s="282" t="e">
        <f>IF(VLOOKUP(T_Convention[[#This Row],[NumL]],T_TraitDi[#Data],COLUMN(T_TraitDi[M4]),FALSE)="","",VLOOKUP(T_Convention[[#This Row],[NumL]],T_TraitDi[#Data],COLUMN(T_TraitDi[M4]),FALSE))</f>
        <v>#N/A</v>
      </c>
      <c r="T187" s="282" t="e">
        <f>IF(VLOOKUP(T_Convention[[#This Row],[NumL]],T_TraitDi[#Data],COLUMN(T_TraitDi[M5]),FALSE)="","",VLOOKUP(T_Convention[[#This Row],[NumL]],T_TraitDi[#Data],COLUMN(T_TraitDi[M5]),FALSE))</f>
        <v>#N/A</v>
      </c>
      <c r="U187" s="282" t="e">
        <f>IF(VLOOKUP(T_Convention[[#This Row],[NumL]],T_TraitDi[#Data],COLUMN(T_TraitDi[M6]),FALSE)="","",VLOOKUP(T_Convention[[#This Row],[NumL]],T_TraitDi[#Data],COLUMN(T_TraitDi[M6]),FALSE))</f>
        <v>#N/A</v>
      </c>
      <c r="V187" s="314" t="e">
        <f t="shared" si="14"/>
        <v>#N/A</v>
      </c>
      <c r="W187" s="284" t="str">
        <f>IFERROR(TEXT(VLOOKUP(T_Convention[[#This Row],[NumL]],T_TraitDi[#Data],COLUMN(T_TraitDi[Q2]),FALSE),"###%"),"")</f>
        <v/>
      </c>
      <c r="X187" s="285" t="e">
        <f>VLOOKUP(T_Convention[[#This Row],[NumL]],T_TraitDi[#Data],COLUMN(T_TraitDi[Reg Ponct]),FALSE)</f>
        <v>#N/A</v>
      </c>
      <c r="Y187" s="285" t="e">
        <f>VLOOKUP(T_Convention[NumL],T_TraitDi[#Data],COLUMN(T_TraitDi[Jours flottants]),FALSE)</f>
        <v>#N/A</v>
      </c>
      <c r="Z187" s="284" t="str">
        <f>IFERROR(VLOOKUP(T_Convention[[#This Row],[NumL]],T_TraitDi[#Data],COLUMN(T_TraitDi[Lundi]),FALSE),"")</f>
        <v/>
      </c>
      <c r="AA187" s="284" t="e">
        <f>IF(VLOOKUP(T_Convention[[#This Row],[NumL]],T_TraitDi[#Data],COLUMN(T_TraitDi[Colonne3]),FALSE)=0,"",TEXT(IFERROR(VLOOKUP(T_Convention[[#This Row],[NumL]],T_TraitDi[#Data],COLUMN(T_TraitDi[Colonne3]),FALSE),""),"[hh]:mm"))</f>
        <v>#N/A</v>
      </c>
      <c r="AB187" s="284" t="e">
        <f>IF(VLOOKUP(T_Convention[[#This Row],[NumL]],T_TraitDi[#Data],COLUMN(T_TraitDi[Colonne4]),FALSE)=0,"",TEXT(IFERROR(VLOOKUP(T_Convention[[#This Row],[NumL]],T_TraitDi[#Data],COLUMN(T_TraitDi[Colonne4]),FALSE),""),"[hh]:mm"))</f>
        <v>#N/A</v>
      </c>
      <c r="AC187" s="284" t="e">
        <f>IF(VLOOKUP(T_Convention[[#This Row],[NumL]],T_TraitDi[#Data],COLUMN(T_TraitDi[Colonne5]),FALSE)=0,"",TEXT(IFERROR(VLOOKUP(T_Convention[[#This Row],[NumL]],T_TraitDi[#Data],COLUMN(T_TraitDi[Colonne5]),FALSE),""),"[hh]:mm"))</f>
        <v>#N/A</v>
      </c>
      <c r="AD187" s="284" t="e">
        <f>IF(VLOOKUP(T_Convention[[#This Row],[NumL]],T_TraitDi[#Data],COLUMN(T_TraitDi[Colonne6]),FALSE)=0,"",TEXT(IFERROR(VLOOKUP(T_Convention[[#This Row],[NumL]],T_TraitDi[#Data],COLUMN(T_TraitDi[Colonne6]),FALSE),""),"[hh]:mm"))</f>
        <v>#N/A</v>
      </c>
      <c r="AE187" s="284" t="e">
        <f>IF(VLOOKUP(T_Convention[[#This Row],[NumL]],T_TraitDi[#Data],COLUMN(T_TraitDi[Colonne7]),FALSE)=0,"",TEXT(IFERROR(VLOOKUP(T_Convention[[#This Row],[NumL]],T_TraitDi[#Data],COLUMN(T_TraitDi[Colonne7]),FALSE),""),"[hh]:mm"))</f>
        <v>#N/A</v>
      </c>
      <c r="AF187" s="284" t="e">
        <f>IF(VLOOKUP(T_Convention[[#This Row],[NumL]],T_TraitDi[#Data],COLUMN(T_TraitDi[Colonne8]),FALSE)=0,"",TEXT(IFERROR(VLOOKUP(T_Convention[[#This Row],[NumL]],T_TraitDi[#Data],COLUMN(T_TraitDi[Colonne8]),FALSE),""),"[hh]:mm"))</f>
        <v>#N/A</v>
      </c>
      <c r="AG187" s="284" t="str">
        <f>IFERROR(VLOOKUP(T_Convention[[#This Row],[NumL]],T_TraitDi[#Data],COLUMN(T_TraitDi[Mardi]),FALSE),"")</f>
        <v/>
      </c>
      <c r="AH187" s="284" t="e">
        <f>IF(VLOOKUP(T_Convention[[#This Row],[NumL]],T_TraitDi[#Data],COLUMN(T_TraitDi[Colonne1]),FALSE)=0,"",TEXT(IFERROR(VLOOKUP(T_Convention[[#This Row],[NumL]],T_TraitDi[#Data],COLUMN(T_TraitDi[Colonne1]),FALSE),""),"[hh]:mm"))</f>
        <v>#N/A</v>
      </c>
      <c r="AI187" s="284" t="e">
        <f>IF(VLOOKUP(T_Convention[[#This Row],[NumL]],T_TraitDi[#Data],COLUMN(T_TraitDi[Colonne9]),FALSE)=0,"",TEXT(IFERROR(VLOOKUP(T_Convention[[#This Row],[NumL]],T_TraitDi[#Data],COLUMN(T_TraitDi[Colonne9]),FALSE),""),"[hh]:mm"))</f>
        <v>#N/A</v>
      </c>
      <c r="AJ187" s="284" t="str">
        <f>IFERROR(VLOOKUP(T_Convention[[#This Row],[NumL]],T_TraitDi[#Data],COLUMN(T_TraitDi[Colonne10]),FALSE),"")</f>
        <v/>
      </c>
      <c r="AK187" s="284" t="e">
        <f>IF(VLOOKUP(T_Convention[[#This Row],[NumL]],T_TraitDi[#Data],COLUMN(T_TraitDi[Colonne11]),FALSE)=0,"",TEXT(IFERROR(VLOOKUP(T_Convention[[#This Row],[NumL]],T_TraitDi[#Data],COLUMN(T_TraitDi[Colonne11]),FALSE),""),"[hh]:mm"))</f>
        <v>#N/A</v>
      </c>
      <c r="AL187" s="284" t="e">
        <f>IF(VLOOKUP(T_Convention[[#This Row],[NumL]],T_TraitDi[#Data],COLUMN(T_TraitDi[Colonne12]),FALSE)=0,"",TEXT(IFERROR(VLOOKUP(T_Convention[[#This Row],[NumL]],T_TraitDi[#Data],COLUMN(T_TraitDi[Colonne12]),FALSE),""),"[hh]:mm"))</f>
        <v>#N/A</v>
      </c>
      <c r="AM187" s="284" t="e">
        <f>IF(VLOOKUP(T_Convention[[#This Row],[NumL]],T_TraitDi[#Data],COLUMN(T_TraitDi[Colonne14]),FALSE)=0,"",TEXT(IFERROR(VLOOKUP(T_Convention[[#This Row],[NumL]],T_TraitDi[#Data],COLUMN(T_TraitDi[Colonne14]),FALSE),""),"[hh]:mm"))</f>
        <v>#N/A</v>
      </c>
      <c r="AN187" s="284" t="str">
        <f>IFERROR(VLOOKUP(T_Convention[[#This Row],[NumL]],T_TraitDi[#Data],COLUMN(T_TraitDi[Mercredi]),FALSE),"")</f>
        <v/>
      </c>
      <c r="AO187" s="284" t="e">
        <f>IF(VLOOKUP(T_Convention[[#This Row],[NumL]],T_TraitDi[#Data],COLUMN(T_TraitDi[Colonne15]),FALSE)=0,"",TEXT(IFERROR(VLOOKUP(T_Convention[[#This Row],[NumL]],T_TraitDi[#Data],COLUMN(T_TraitDi[Colonne15]),FALSE),""),"[hh]:mm"))</f>
        <v>#N/A</v>
      </c>
      <c r="AP187" s="284" t="e">
        <f>IF(VLOOKUP(T_Convention[[#This Row],[NumL]],T_TraitDi[#Data],COLUMN(T_TraitDi[Colonne16]),FALSE)=0,"",TEXT(IFERROR(VLOOKUP(T_Convention[[#This Row],[NumL]],T_TraitDi[#Data],COLUMN(T_TraitDi[Colonne16]),FALSE),""),"[hh]:mm"))</f>
        <v>#N/A</v>
      </c>
      <c r="AQ187" s="284" t="str">
        <f>IFERROR(VLOOKUP(T_Convention[[#This Row],[NumL]],T_TraitDi[#Data],COLUMN(T_TraitDi[Colonne17]),FALSE),"")</f>
        <v/>
      </c>
      <c r="AR187" s="284" t="e">
        <f>IF(VLOOKUP(T_Convention[[#This Row],[NumL]],T_TraitDi[#Data],COLUMN(T_TraitDi[Colonne18]),FALSE)=0,"",TEXT(IFERROR(VLOOKUP(T_Convention[[#This Row],[NumL]],T_TraitDi[#Data],COLUMN(T_TraitDi[Colonne18]),FALSE),""),"[hh]:mm"))</f>
        <v>#N/A</v>
      </c>
      <c r="AS187" s="284" t="e">
        <f>IF(VLOOKUP(T_Convention[[#This Row],[NumL]],T_TraitDi[#Data],COLUMN(T_TraitDi[Colonne19]),FALSE)=0,"",TEXT(IFERROR(VLOOKUP(T_Convention[[#This Row],[NumL]],T_TraitDi[#Data],COLUMN(T_TraitDi[Colonne19]),FALSE),""),"[hh]:mm"))</f>
        <v>#N/A</v>
      </c>
      <c r="AT187" s="284" t="e">
        <f>IF(VLOOKUP(T_Convention[[#This Row],[NumL]],T_TraitDi[#Data],COLUMN(T_TraitDi[Colonne20]),FALSE)=0,"",TEXT(IFERROR(VLOOKUP(T_Convention[[#This Row],[NumL]],T_TraitDi[#Data],COLUMN(T_TraitDi[Colonne20]),FALSE),""),"[hh]:mm"))</f>
        <v>#N/A</v>
      </c>
      <c r="AU187" s="284" t="str">
        <f>IFERROR(VLOOKUP(T_Convention[[#This Row],[NumL]],T_TraitDi[#Data],COLUMN(T_TraitDi[Jeudi]),FALSE),"")</f>
        <v/>
      </c>
      <c r="AV187" s="284" t="e">
        <f>IF(VLOOKUP(T_Convention[[#This Row],[NumL]],T_TraitDi[#Data],COLUMN(T_TraitDi[Colonne21]),FALSE)=0,"",TEXT(IFERROR(VLOOKUP(T_Convention[[#This Row],[NumL]],T_TraitDi[#Data],COLUMN(T_TraitDi[Colonne21]),FALSE),""),"[hh]:mm"))</f>
        <v>#N/A</v>
      </c>
      <c r="AW187" s="284" t="e">
        <f>IF(VLOOKUP(T_Convention[[#This Row],[NumL]],T_TraitDi[#Data],COLUMN(T_TraitDi[Colonne22]),FALSE)=0,"",TEXT(IFERROR(VLOOKUP(T_Convention[[#This Row],[NumL]],T_TraitDi[#Data],COLUMN(T_TraitDi[Colonne22]),FALSE),""),"[hh]:mm"))</f>
        <v>#N/A</v>
      </c>
      <c r="AX187" s="284" t="str">
        <f>IFERROR(VLOOKUP(T_Convention[[#This Row],[NumL]],T_TraitDi[#Data],COLUMN(T_TraitDi[Colonne23]),FALSE),"")</f>
        <v/>
      </c>
      <c r="AY187" s="284" t="e">
        <f>IF(VLOOKUP(T_Convention[[#This Row],[NumL]],T_TraitDi[#Data],COLUMN(T_TraitDi[Colonne24]),FALSE)=0,"",TEXT(IFERROR(VLOOKUP(T_Convention[[#This Row],[NumL]],T_TraitDi[#Data],COLUMN(T_TraitDi[Colonne24]),FALSE),""),"[hh]:mm"))</f>
        <v>#N/A</v>
      </c>
      <c r="AZ187" s="284" t="e">
        <f>IF(VLOOKUP(T_Convention[[#This Row],[NumL]],T_TraitDi[#Data],COLUMN(T_TraitDi[Colonne25]),FALSE)=0,"",TEXT(IFERROR(VLOOKUP(T_Convention[[#This Row],[NumL]],T_TraitDi[#Data],COLUMN(T_TraitDi[Colonne25]),FALSE),""),"[hh]:mm"))</f>
        <v>#N/A</v>
      </c>
      <c r="BA187" s="284" t="e">
        <f>IF(VLOOKUP(T_Convention[[#This Row],[NumL]],T_TraitDi[#Data],COLUMN(T_TraitDi[Colonne26]),FALSE)=0,"",TEXT(IFERROR(VLOOKUP(T_Convention[[#This Row],[NumL]],T_TraitDi[#Data],COLUMN(T_TraitDi[Colonne26]),FALSE),""),"[hh]:mm"))</f>
        <v>#N/A</v>
      </c>
      <c r="BB187" s="284" t="str">
        <f>IFERROR(VLOOKUP(T_Convention[[#This Row],[NumL]],T_TraitDi[#Data],COLUMN(T_TraitDi[Vendredi]),FALSE),"")</f>
        <v/>
      </c>
      <c r="BC187" s="284" t="e">
        <f>IF(VLOOKUP(T_Convention[[#This Row],[NumL]],T_TraitDi[#Data],COLUMN(T_TraitDi[Colonne27]),FALSE)=0,"",TEXT(IFERROR(VLOOKUP(T_Convention[[#This Row],[NumL]],T_TraitDi[#Data],COLUMN(T_TraitDi[Colonne27]),FALSE),""),"[hh]:mm"))</f>
        <v>#N/A</v>
      </c>
      <c r="BD187" s="284" t="e">
        <f>IF(VLOOKUP(T_Convention[[#This Row],[NumL]],T_TraitDi[#Data],COLUMN(T_TraitDi[Colonne28]),FALSE)=0,"",TEXT(IFERROR(VLOOKUP(T_Convention[[#This Row],[NumL]],T_TraitDi[#Data],COLUMN(T_TraitDi[Colonne28]),FALSE),""),"[hh]:mm"))</f>
        <v>#N/A</v>
      </c>
      <c r="BE187" s="284" t="str">
        <f>IFERROR(VLOOKUP(T_Convention[[#This Row],[NumL]],T_TraitDi[#Data],COLUMN(T_TraitDi[Colonne29]),FALSE),"")</f>
        <v/>
      </c>
      <c r="BF187" s="284" t="e">
        <f>IF(VLOOKUP(T_Convention[[#This Row],[NumL]],T_TraitDi[#Data],COLUMN(T_TraitDi[Colonne30]),FALSE)=0,"",TEXT(IFERROR(VLOOKUP(T_Convention[[#This Row],[NumL]],T_TraitDi[#Data],COLUMN(T_TraitDi[Colonne30]),FALSE),""),"[hh]:mm"))</f>
        <v>#N/A</v>
      </c>
      <c r="BG187" s="284" t="e">
        <f>IF(VLOOKUP(T_Convention[[#This Row],[NumL]],T_TraitDi[#Data],COLUMN(T_TraitDi[Colonne31]),FALSE)=0,"",TEXT(IFERROR(VLOOKUP(T_Convention[[#This Row],[NumL]],T_TraitDi[#Data],COLUMN(T_TraitDi[Colonne31]),FALSE),""),"[hh]:mm"))</f>
        <v>#N/A</v>
      </c>
      <c r="BH187" s="284" t="e">
        <f>IF(VLOOKUP(T_Convention[[#This Row],[NumL]],T_TraitDi[#Data],COLUMN(T_TraitDi[Colonne32]),FALSE)=0,"",TEXT(IFERROR(VLOOKUP(T_Convention[[#This Row],[NumL]],T_TraitDi[#Data],COLUMN(T_TraitDi[Colonne32]),FALSE),""),"[hh]:mm"))</f>
        <v>#N/A</v>
      </c>
      <c r="BI187" s="284" t="str">
        <f>IFERROR(VLOOKUP(T_Convention[[#This Row],[NumL]],T_TraitDi[#Data],COLUMN(T_TraitDi[NbJTW]),FALSE),"")</f>
        <v/>
      </c>
      <c r="BJ187" s="284" t="e">
        <f>IF(VLOOKUP(T_Convention[[#This Row],[NumL]],T_TraitDi[#Data],COLUMN(T_TraitDi[NbhTW]),FALSE)=0,"",TEXT(IFERROR(VLOOKUP(T_Convention[[#This Row],[NumL]],T_TraitDi[#Data],COLUMN(T_TraitDi[NbhTW]),FALSE),""),"[hh]:mm"))</f>
        <v>#N/A</v>
      </c>
      <c r="BK187" s="315" t="e">
        <f>IF(VLOOKUP(T_Convention[[#This Row],[NumL]],T_TraitDi[#Data],COLUMN(T_TraitDi[Nbhheb]),FALSE)=0,"",TEXT(IFERROR(VLOOKUP(T_Convention[[#This Row],[NumL]],T_TraitDi[#Data],COLUMN(T_TraitDi[Nbhheb]),FALSE),""),"[hh]:mm"))</f>
        <v>#N/A</v>
      </c>
      <c r="BL187" s="287" t="str">
        <f>IFERROR(VLOOKUP(VLOOKUP(T_Convention[[#This Row],[NumL]],T_TraitDi[#Data],COLUMN(T_TraitDi[Type1]),FALSE),TypeTW,2,FALSE),"")</f>
        <v/>
      </c>
      <c r="BM187" s="288" t="str">
        <f>IFERROR(VLOOKUP(T_Convention[[#This Row],[NumL]],T_TraitDi[#Data],COLUMN(T_TraitDi[Rue1]),FALSE),"")</f>
        <v/>
      </c>
      <c r="BN187" s="289" t="str">
        <f>IFERROR(VLOOKUP(T_Convention[[#This Row],[NumL]],T_TraitDi[#Data],COLUMN(T_TraitDi[CP1]),FALSE),"")</f>
        <v/>
      </c>
      <c r="BO187" s="282" t="str">
        <f>IFERROR(VLOOKUP(T_Convention[[#This Row],[NumL]],T_TraitDi[#Data],COLUMN(T_TraitDi[VILLE1]),FALSE),"")</f>
        <v/>
      </c>
      <c r="BP187" s="290" t="str">
        <f>IFERROR(VLOOKUP(VLOOKUP(T_Convention[[#This Row],[NumL]],T_TraitDi[#Data],COLUMN(T_TraitDi[Type2]),FALSE),TypeTW,2,FALSE),"")</f>
        <v/>
      </c>
      <c r="BQ187" s="310" t="str">
        <f>IFERROR(VLOOKUP(T_Convention[[#This Row],[NumL]],T_TraitDi[#Data],COLUMN(T_TraitDi[Rue2]),FALSE),"")</f>
        <v/>
      </c>
      <c r="BR187" s="290" t="str">
        <f>IFERROR(VLOOKUP(T_Convention[[#This Row],[NumL]],T_TraitDi[#Data],COLUMN(T_TraitDi[CP2]),FALSE),"")</f>
        <v/>
      </c>
      <c r="BS187" s="290" t="str">
        <f>IFERROR(VLOOKUP(T_Convention[[#This Row],[NumL]],T_TraitDi[#Data],COLUMN(T_TraitDi[VILLE2]),FALSE),"")</f>
        <v/>
      </c>
      <c r="BT18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87" s="314" t="str">
        <f>IFERROR(IF(VLOOKUP(T_Convention[[#This Row],[NumL]],T_TraitDi[#Data],COLUMN(T_TraitDi[Plan]),FALSE)="OK","Un planning spécifique de télétravail est annexé à la présente convention.",""),"")</f>
        <v/>
      </c>
      <c r="BV187" s="291"/>
      <c r="BW187" s="292" t="e">
        <f>IF(VLOOKUP(T_Convention[[#This Row],[NumL]],T_suiviDi[#Data],COLUMN(T_suiviDi[Entité]),FALSE)="","",VLOOKUP(T_Convention[[#This Row],[NumL]],T_suiviDi[#Data],COLUMN(T_suiviDi[Entité]),FALSE))</f>
        <v>#N/A</v>
      </c>
      <c r="BX187" s="311" t="str">
        <f>IF(VLOOKUP(T_Convention[[#This Row],[NumL]],T_Commission[#Data],COLUMN(T_Commission[envoi confirm TW]),FALSE)="","",VLOOKUP(T_Convention[[#This Row],[NumL]],T_Commission[#Data],COLUMN(T_Commission[envoi confirm TW]),FALSE))</f>
        <v>Oui</v>
      </c>
      <c r="BY187" s="378"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7" s="265">
        <f>VLOOKUP(T_Convention[[#This Row],[NumL]],T_Commission[#Data],COLUMN(T_Commission[Commentaire]),FALSE)</f>
        <v>0</v>
      </c>
      <c r="CA187" s="255" t="str">
        <f>IF(VLOOKUP(T_Convention[[#This Row],[NumL]],T_Commission[#Data],COLUMN(T_Commission[Encadrant Email]),FALSE)="","",VLOOKUP(T_Convention[[#This Row],[NumL]],T_Commission[#Data],COLUMN(T_Commission[Encadrant Email]),FALSE))</f>
        <v/>
      </c>
      <c r="CB187" s="352" t="e">
        <f>VLOOKUP(T_Convention[[#This Row],[NumL]],T_TraitDi[#Data],COLUMN(T_TraitDi[NbJTot]),FALSE)</f>
        <v>#N/A</v>
      </c>
      <c r="CC187" s="352" t="e">
        <f>VLOOKUP(T_Convention[[#This Row],[NumL]],T_TraitDi[#Data],COLUMN(T_TraitDi[Reg Ponct]),FALSE)</f>
        <v>#N/A</v>
      </c>
      <c r="CD187" s="348" t="str">
        <f>IF(T_Convention[[#This Row],[Final]]&lt;&gt;"",VLOOKUP(T_Convention[[#This Row],[NumL]],T_suiviDi[#Data],COLUMN((T_suiviDi[Statut])),FALSE),"")</f>
        <v/>
      </c>
    </row>
    <row r="188" spans="1:82" s="106" customFormat="1" ht="18.75" customHeight="1" x14ac:dyDescent="0.25">
      <c r="A188" s="160">
        <v>35</v>
      </c>
      <c r="B188" s="161" t="str">
        <f>VLOOKUP(T_Convention[[#This Row],[NumL]],T_Commission[#Data],COLUMN(T_Commission[FINAL]),FALSE)</f>
        <v/>
      </c>
      <c r="C188" s="162"/>
      <c r="D188" s="95" t="e">
        <f>IF(VLOOKUP(T_Convention[[#This Row],[NumL]],T_TraitDi[#Data],COLUMN(T_TraitDi[WebC]),FALSE)="","",VLOOKUP(T_Convention[[#This Row],[NumL]],T_TraitDi[#Data],COLUMN(T_TraitDi[WebC]),FALSE))</f>
        <v>#N/A</v>
      </c>
      <c r="E188" s="163" t="str">
        <f t="shared" si="10"/>
        <v>12 janvier 2021</v>
      </c>
      <c r="F188" s="282" t="str">
        <f>IF(T_Convention[[#This Row],[Final]]&lt;&gt;"",VLOOKUP(T_Convention[[#This Row],[NumL]],T_suiviDi[#Data],COLUMN((T_suiviDi[Civ.])),FALSE),"")</f>
        <v/>
      </c>
      <c r="G188" s="283" t="str">
        <f>IF(T_Convention[[#This Row],[Final]]&lt;&gt;"",VLOOKUP(T_Convention[[#This Row],[NumL]],T_suiviDi[#Data],COLUMN((T_suiviDi[Nom])),FALSE),"")</f>
        <v/>
      </c>
      <c r="H188" s="282" t="str">
        <f>IF(T_Convention[[#This Row],[Final]]&lt;&gt;"",VLOOKUP(T_Convention[[#This Row],[NumL]],T_suiviDi[#Data],COLUMN((T_suiviDi[Prénom])),FALSE),"")</f>
        <v/>
      </c>
      <c r="I188" s="282" t="e">
        <f>VLOOKUP(T_Convention[[#This Row],[NumL]],T_suiviDi[#Data],COLUMN((T_suiviDi[[#This Row],[Email]])),FALSE)</f>
        <v>#VALUE!</v>
      </c>
      <c r="J188" s="282" t="e">
        <f>IF(VLOOKUP(T_Convention[[#This Row],[NumL]],T_suiviDi[#Data],COLUMN(T_suiviDi[[#This Row],[Fonction]]),FALSE)="","",VLOOKUP(T_Convention[[#This Row],[NumL]],T_suiviDi[#Data],COLUMN(T_suiviDi[[#This Row],[Fonction]]),FALSE))</f>
        <v>#VALUE!</v>
      </c>
      <c r="K188" s="282" t="e">
        <f>IF(VLOOKUP(T_Convention[[#This Row],[NumL]],T_suiviDi[#Data],COLUMN(T_suiviDi[[#This Row],[Grade]]),FALSE)="","",VLOOKUP(T_Convention[[#This Row],[NumL]],T_suiviDi[#Data],COLUMN(T_suiviDi[[#This Row],[Grade]]),FALSE))</f>
        <v>#VALUE!</v>
      </c>
      <c r="L188" s="282" t="e">
        <f>IF(VLOOKUP(T_Convention[[#This Row],[NumL]],T_suiviDi[#Data],COLUMN(T_suiviDi[[#This Row],[Service ]]),FALSE)="","",VLOOKUP(T_Convention[[#This Row],[NumL]],T_suiviDi[#Data],COLUMN(T_suiviDi[[#This Row],[Service ]]),FALSE))</f>
        <v>#VALUE!</v>
      </c>
      <c r="M188" s="164" t="str">
        <f t="shared" si="11"/>
        <v>01 septembre 2021</v>
      </c>
      <c r="N188" s="164" t="str">
        <f t="shared" si="12"/>
        <v>30 novembre 2021</v>
      </c>
      <c r="O188" s="284" t="str">
        <f t="shared" si="13"/>
        <v>30 novembre 2021</v>
      </c>
      <c r="P188" s="282" t="e">
        <f>IF(VLOOKUP(T_Convention[[#This Row],[NumL]],T_TraitDi[#Data],COLUMN(T_TraitDi[M1]),FALSE)="","",VLOOKUP(T_Convention[[#This Row],[NumL]],T_TraitDi[#Data],COLUMN(T_TraitDi[M1]),FALSE))</f>
        <v>#N/A</v>
      </c>
      <c r="Q188" s="282" t="e">
        <f>IF(VLOOKUP(T_Convention[[#This Row],[NumL]],T_TraitDi[#Data],COLUMN(T_TraitDi[M2]),FALSE)="","",VLOOKUP(T_Convention[[#This Row],[NumL]],T_TraitDi[#Data],COLUMN(T_TraitDi[M2]),FALSE))</f>
        <v>#N/A</v>
      </c>
      <c r="R188" s="282" t="e">
        <f>IF(VLOOKUP(T_Convention[[#This Row],[NumL]],T_TraitDi[#Data],COLUMN(T_TraitDi[M3]),FALSE)="","",VLOOKUP(T_Convention[[#This Row],[NumL]],T_TraitDi[#Data],COLUMN(T_TraitDi[M3]),FALSE))</f>
        <v>#N/A</v>
      </c>
      <c r="S188" s="282" t="e">
        <f>IF(VLOOKUP(T_Convention[[#This Row],[NumL]],T_TraitDi[#Data],COLUMN(T_TraitDi[M4]),FALSE)="","",VLOOKUP(T_Convention[[#This Row],[NumL]],T_TraitDi[#Data],COLUMN(T_TraitDi[M4]),FALSE))</f>
        <v>#N/A</v>
      </c>
      <c r="T188" s="282" t="e">
        <f>IF(VLOOKUP(T_Convention[[#This Row],[NumL]],T_TraitDi[#Data],COLUMN(T_TraitDi[M5]),FALSE)="","",VLOOKUP(T_Convention[[#This Row],[NumL]],T_TraitDi[#Data],COLUMN(T_TraitDi[M5]),FALSE))</f>
        <v>#N/A</v>
      </c>
      <c r="U188" s="282" t="e">
        <f>IF(VLOOKUP(T_Convention[[#This Row],[NumL]],T_TraitDi[#Data],COLUMN(T_TraitDi[M6]),FALSE)="","",VLOOKUP(T_Convention[[#This Row],[NumL]],T_TraitDi[#Data],COLUMN(T_TraitDi[M6]),FALSE))</f>
        <v>#N/A</v>
      </c>
      <c r="V188" s="176" t="e">
        <f t="shared" si="14"/>
        <v>#N/A</v>
      </c>
      <c r="W188" s="284" t="str">
        <f>IFERROR(TEXT(VLOOKUP(T_Convention[[#This Row],[NumL]],T_TraitDi[#Data],COLUMN(T_TraitDi[Q2]),FALSE),"###%"),"")</f>
        <v/>
      </c>
      <c r="X188" s="97" t="e">
        <f>VLOOKUP(T_Convention[[#This Row],[NumL]],T_TraitDi[#Data],COLUMN(T_TraitDi[Reg Ponct]),FALSE)</f>
        <v>#N/A</v>
      </c>
      <c r="Y188" s="97" t="e">
        <f>VLOOKUP(T_Convention[NumL],T_TraitDi[#Data],COLUMN(T_TraitDi[Jours flottants]),FALSE)</f>
        <v>#N/A</v>
      </c>
      <c r="Z188" s="284" t="str">
        <f>IFERROR(VLOOKUP(T_Convention[[#This Row],[NumL]],T_TraitDi[#Data],COLUMN(T_TraitDi[Lundi]),FALSE),"")</f>
        <v/>
      </c>
      <c r="AA188" s="284" t="e">
        <f>IF(VLOOKUP(T_Convention[[#This Row],[NumL]],T_TraitDi[#Data],COLUMN(T_TraitDi[Colonne3]),FALSE)=0,"",TEXT(IFERROR(VLOOKUP(T_Convention[[#This Row],[NumL]],T_TraitDi[#Data],COLUMN(T_TraitDi[Colonne3]),FALSE),""),"[hh]:mm"))</f>
        <v>#N/A</v>
      </c>
      <c r="AB188" s="284" t="e">
        <f>IF(VLOOKUP(T_Convention[[#This Row],[NumL]],T_TraitDi[#Data],COLUMN(T_TraitDi[Colonne4]),FALSE)=0,"",TEXT(IFERROR(VLOOKUP(T_Convention[[#This Row],[NumL]],T_TraitDi[#Data],COLUMN(T_TraitDi[Colonne4]),FALSE),""),"[hh]:mm"))</f>
        <v>#N/A</v>
      </c>
      <c r="AC188" s="284" t="e">
        <f>IF(VLOOKUP(T_Convention[[#This Row],[NumL]],T_TraitDi[#Data],COLUMN(T_TraitDi[Colonne5]),FALSE)=0,"",TEXT(IFERROR(VLOOKUP(T_Convention[[#This Row],[NumL]],T_TraitDi[#Data],COLUMN(T_TraitDi[Colonne5]),FALSE),""),"[hh]:mm"))</f>
        <v>#N/A</v>
      </c>
      <c r="AD188" s="284" t="e">
        <f>IF(VLOOKUP(T_Convention[[#This Row],[NumL]],T_TraitDi[#Data],COLUMN(T_TraitDi[Colonne6]),FALSE)=0,"",TEXT(IFERROR(VLOOKUP(T_Convention[[#This Row],[NumL]],T_TraitDi[#Data],COLUMN(T_TraitDi[Colonne6]),FALSE),""),"[hh]:mm"))</f>
        <v>#N/A</v>
      </c>
      <c r="AE188" s="284" t="e">
        <f>IF(VLOOKUP(T_Convention[[#This Row],[NumL]],T_TraitDi[#Data],COLUMN(T_TraitDi[Colonne7]),FALSE)=0,"",TEXT(IFERROR(VLOOKUP(T_Convention[[#This Row],[NumL]],T_TraitDi[#Data],COLUMN(T_TraitDi[Colonne7]),FALSE),""),"[hh]:mm"))</f>
        <v>#N/A</v>
      </c>
      <c r="AF188" s="284" t="e">
        <f>IF(VLOOKUP(T_Convention[[#This Row],[NumL]],T_TraitDi[#Data],COLUMN(T_TraitDi[Colonne8]),FALSE)=0,"",TEXT(IFERROR(VLOOKUP(T_Convention[[#This Row],[NumL]],T_TraitDi[#Data],COLUMN(T_TraitDi[Colonne8]),FALSE),""),"[hh]:mm"))</f>
        <v>#N/A</v>
      </c>
      <c r="AG188" s="284" t="str">
        <f>IFERROR(VLOOKUP(T_Convention[[#This Row],[NumL]],T_TraitDi[#Data],COLUMN(T_TraitDi[Mardi]),FALSE),"")</f>
        <v/>
      </c>
      <c r="AH188" s="284" t="e">
        <f>IF(VLOOKUP(T_Convention[[#This Row],[NumL]],T_TraitDi[#Data],COLUMN(T_TraitDi[Colonne1]),FALSE)=0,"",TEXT(IFERROR(VLOOKUP(T_Convention[[#This Row],[NumL]],T_TraitDi[#Data],COLUMN(T_TraitDi[Colonne1]),FALSE),""),"[hh]:mm"))</f>
        <v>#N/A</v>
      </c>
      <c r="AI188" s="284" t="e">
        <f>IF(VLOOKUP(T_Convention[[#This Row],[NumL]],T_TraitDi[#Data],COLUMN(T_TraitDi[Colonne9]),FALSE)=0,"",TEXT(IFERROR(VLOOKUP(T_Convention[[#This Row],[NumL]],T_TraitDi[#Data],COLUMN(T_TraitDi[Colonne9]),FALSE),""),"[hh]:mm"))</f>
        <v>#N/A</v>
      </c>
      <c r="AJ188" s="284" t="str">
        <f>IFERROR(VLOOKUP(T_Convention[[#This Row],[NumL]],T_TraitDi[#Data],COLUMN(T_TraitDi[Colonne10]),FALSE),"")</f>
        <v/>
      </c>
      <c r="AK188" s="284" t="e">
        <f>IF(VLOOKUP(T_Convention[[#This Row],[NumL]],T_TraitDi[#Data],COLUMN(T_TraitDi[Colonne11]),FALSE)=0,"",TEXT(IFERROR(VLOOKUP(T_Convention[[#This Row],[NumL]],T_TraitDi[#Data],COLUMN(T_TraitDi[Colonne11]),FALSE),""),"[hh]:mm"))</f>
        <v>#N/A</v>
      </c>
      <c r="AL188" s="284" t="e">
        <f>IF(VLOOKUP(T_Convention[[#This Row],[NumL]],T_TraitDi[#Data],COLUMN(T_TraitDi[Colonne12]),FALSE)=0,"",TEXT(IFERROR(VLOOKUP(T_Convention[[#This Row],[NumL]],T_TraitDi[#Data],COLUMN(T_TraitDi[Colonne12]),FALSE),""),"[hh]:mm"))</f>
        <v>#N/A</v>
      </c>
      <c r="AM188" s="284" t="e">
        <f>IF(VLOOKUP(T_Convention[[#This Row],[NumL]],T_TraitDi[#Data],COLUMN(T_TraitDi[Colonne14]),FALSE)=0,"",TEXT(IFERROR(VLOOKUP(T_Convention[[#This Row],[NumL]],T_TraitDi[#Data],COLUMN(T_TraitDi[Colonne14]),FALSE),""),"[hh]:mm"))</f>
        <v>#N/A</v>
      </c>
      <c r="AN188" s="284" t="str">
        <f>IFERROR(VLOOKUP(T_Convention[[#This Row],[NumL]],T_TraitDi[#Data],COLUMN(T_TraitDi[Mercredi]),FALSE),"")</f>
        <v/>
      </c>
      <c r="AO188" s="284" t="e">
        <f>IF(VLOOKUP(T_Convention[[#This Row],[NumL]],T_TraitDi[#Data],COLUMN(T_TraitDi[Colonne15]),FALSE)=0,"",TEXT(IFERROR(VLOOKUP(T_Convention[[#This Row],[NumL]],T_TraitDi[#Data],COLUMN(T_TraitDi[Colonne15]),FALSE),""),"[hh]:mm"))</f>
        <v>#N/A</v>
      </c>
      <c r="AP188" s="284" t="e">
        <f>IF(VLOOKUP(T_Convention[[#This Row],[NumL]],T_TraitDi[#Data],COLUMN(T_TraitDi[Colonne16]),FALSE)=0,"",TEXT(IFERROR(VLOOKUP(T_Convention[[#This Row],[NumL]],T_TraitDi[#Data],COLUMN(T_TraitDi[Colonne16]),FALSE),""),"[hh]:mm"))</f>
        <v>#N/A</v>
      </c>
      <c r="AQ188" s="284" t="str">
        <f>IFERROR(VLOOKUP(T_Convention[[#This Row],[NumL]],T_TraitDi[#Data],COLUMN(T_TraitDi[Colonne17]),FALSE),"")</f>
        <v/>
      </c>
      <c r="AR188" s="284" t="e">
        <f>IF(VLOOKUP(T_Convention[[#This Row],[NumL]],T_TraitDi[#Data],COLUMN(T_TraitDi[Colonne18]),FALSE)=0,"",TEXT(IFERROR(VLOOKUP(T_Convention[[#This Row],[NumL]],T_TraitDi[#Data],COLUMN(T_TraitDi[Colonne18]),FALSE),""),"[hh]:mm"))</f>
        <v>#N/A</v>
      </c>
      <c r="AS188" s="284" t="e">
        <f>IF(VLOOKUP(T_Convention[[#This Row],[NumL]],T_TraitDi[#Data],COLUMN(T_TraitDi[Colonne19]),FALSE)=0,"",TEXT(IFERROR(VLOOKUP(T_Convention[[#This Row],[NumL]],T_TraitDi[#Data],COLUMN(T_TraitDi[Colonne19]),FALSE),""),"[hh]:mm"))</f>
        <v>#N/A</v>
      </c>
      <c r="AT188" s="284" t="e">
        <f>IF(VLOOKUP(T_Convention[[#This Row],[NumL]],T_TraitDi[#Data],COLUMN(T_TraitDi[Colonne20]),FALSE)=0,"",TEXT(IFERROR(VLOOKUP(T_Convention[[#This Row],[NumL]],T_TraitDi[#Data],COLUMN(T_TraitDi[Colonne20]),FALSE),""),"[hh]:mm"))</f>
        <v>#N/A</v>
      </c>
      <c r="AU188" s="284" t="str">
        <f>IFERROR(VLOOKUP(T_Convention[[#This Row],[NumL]],T_TraitDi[#Data],COLUMN(T_TraitDi[Jeudi]),FALSE),"")</f>
        <v/>
      </c>
      <c r="AV188" s="284" t="e">
        <f>IF(VLOOKUP(T_Convention[[#This Row],[NumL]],T_TraitDi[#Data],COLUMN(T_TraitDi[Colonne21]),FALSE)=0,"",TEXT(IFERROR(VLOOKUP(T_Convention[[#This Row],[NumL]],T_TraitDi[#Data],COLUMN(T_TraitDi[Colonne21]),FALSE),""),"[hh]:mm"))</f>
        <v>#N/A</v>
      </c>
      <c r="AW188" s="284" t="e">
        <f>IF(VLOOKUP(T_Convention[[#This Row],[NumL]],T_TraitDi[#Data],COLUMN(T_TraitDi[Colonne22]),FALSE)=0,"",TEXT(IFERROR(VLOOKUP(T_Convention[[#This Row],[NumL]],T_TraitDi[#Data],COLUMN(T_TraitDi[Colonne22]),FALSE),""),"[hh]:mm"))</f>
        <v>#N/A</v>
      </c>
      <c r="AX188" s="284" t="str">
        <f>IFERROR(VLOOKUP(T_Convention[[#This Row],[NumL]],T_TraitDi[#Data],COLUMN(T_TraitDi[Colonne23]),FALSE),"")</f>
        <v/>
      </c>
      <c r="AY188" s="284" t="e">
        <f>IF(VLOOKUP(T_Convention[[#This Row],[NumL]],T_TraitDi[#Data],COLUMN(T_TraitDi[Colonne24]),FALSE)=0,"",TEXT(IFERROR(VLOOKUP(T_Convention[[#This Row],[NumL]],T_TraitDi[#Data],COLUMN(T_TraitDi[Colonne24]),FALSE),""),"[hh]:mm"))</f>
        <v>#N/A</v>
      </c>
      <c r="AZ188" s="284" t="e">
        <f>IF(VLOOKUP(T_Convention[[#This Row],[NumL]],T_TraitDi[#Data],COLUMN(T_TraitDi[Colonne25]),FALSE)=0,"",TEXT(IFERROR(VLOOKUP(T_Convention[[#This Row],[NumL]],T_TraitDi[#Data],COLUMN(T_TraitDi[Colonne25]),FALSE),""),"[hh]:mm"))</f>
        <v>#N/A</v>
      </c>
      <c r="BA188" s="284" t="e">
        <f>IF(VLOOKUP(T_Convention[[#This Row],[NumL]],T_TraitDi[#Data],COLUMN(T_TraitDi[Colonne26]),FALSE)=0,"",TEXT(IFERROR(VLOOKUP(T_Convention[[#This Row],[NumL]],T_TraitDi[#Data],COLUMN(T_TraitDi[Colonne26]),FALSE),""),"[hh]:mm"))</f>
        <v>#N/A</v>
      </c>
      <c r="BB188" s="284" t="str">
        <f>IFERROR(VLOOKUP(T_Convention[[#This Row],[NumL]],T_TraitDi[#Data],COLUMN(T_TraitDi[Vendredi]),FALSE),"")</f>
        <v/>
      </c>
      <c r="BC188" s="284" t="e">
        <f>IF(VLOOKUP(T_Convention[[#This Row],[NumL]],T_TraitDi[#Data],COLUMN(T_TraitDi[Colonne27]),FALSE)=0,"",TEXT(IFERROR(VLOOKUP(T_Convention[[#This Row],[NumL]],T_TraitDi[#Data],COLUMN(T_TraitDi[Colonne27]),FALSE),""),"[hh]:mm"))</f>
        <v>#N/A</v>
      </c>
      <c r="BD188" s="284" t="e">
        <f>IF(VLOOKUP(T_Convention[[#This Row],[NumL]],T_TraitDi[#Data],COLUMN(T_TraitDi[Colonne28]),FALSE)=0,"",TEXT(IFERROR(VLOOKUP(T_Convention[[#This Row],[NumL]],T_TraitDi[#Data],COLUMN(T_TraitDi[Colonne28]),FALSE),""),"[hh]:mm"))</f>
        <v>#N/A</v>
      </c>
      <c r="BE188" s="284" t="str">
        <f>IFERROR(VLOOKUP(T_Convention[[#This Row],[NumL]],T_TraitDi[#Data],COLUMN(T_TraitDi[Colonne29]),FALSE),"")</f>
        <v/>
      </c>
      <c r="BF188" s="284" t="e">
        <f>IF(VLOOKUP(T_Convention[[#This Row],[NumL]],T_TraitDi[#Data],COLUMN(T_TraitDi[Colonne30]),FALSE)=0,"",TEXT(IFERROR(VLOOKUP(T_Convention[[#This Row],[NumL]],T_TraitDi[#Data],COLUMN(T_TraitDi[Colonne30]),FALSE),""),"[hh]:mm"))</f>
        <v>#N/A</v>
      </c>
      <c r="BG188" s="284" t="e">
        <f>IF(VLOOKUP(T_Convention[[#This Row],[NumL]],T_TraitDi[#Data],COLUMN(T_TraitDi[Colonne31]),FALSE)=0,"",TEXT(IFERROR(VLOOKUP(T_Convention[[#This Row],[NumL]],T_TraitDi[#Data],COLUMN(T_TraitDi[Colonne31]),FALSE),""),"[hh]:mm"))</f>
        <v>#N/A</v>
      </c>
      <c r="BH188" s="284" t="e">
        <f>IF(VLOOKUP(T_Convention[[#This Row],[NumL]],T_TraitDi[#Data],COLUMN(T_TraitDi[Colonne32]),FALSE)=0,"",TEXT(IFERROR(VLOOKUP(T_Convention[[#This Row],[NumL]],T_TraitDi[#Data],COLUMN(T_TraitDi[Colonne32]),FALSE),""),"[hh]:mm"))</f>
        <v>#N/A</v>
      </c>
      <c r="BI188" s="284" t="str">
        <f>IFERROR(VLOOKUP(T_Convention[[#This Row],[NumL]],T_TraitDi[#Data],COLUMN(T_TraitDi[NbJTW]),FALSE),"")</f>
        <v/>
      </c>
      <c r="BJ188" s="284" t="e">
        <f>IF(VLOOKUP(T_Convention[[#This Row],[NumL]],T_TraitDi[#Data],COLUMN(T_TraitDi[NbhTW]),FALSE)=0,"",TEXT(IFERROR(VLOOKUP(T_Convention[[#This Row],[NumL]],T_TraitDi[#Data],COLUMN(T_TraitDi[NbhTW]),FALSE),""),"[hh]:mm"))</f>
        <v>#N/A</v>
      </c>
      <c r="BK188" s="286" t="e">
        <f>IF(VLOOKUP(T_Convention[[#This Row],[NumL]],T_TraitDi[#Data],COLUMN(T_TraitDi[Nbhheb]),FALSE)=0,"",TEXT(IFERROR(VLOOKUP(T_Convention[[#This Row],[NumL]],T_TraitDi[#Data],COLUMN(T_TraitDi[Nbhheb]),FALSE),""),"[hh]:mm"))</f>
        <v>#N/A</v>
      </c>
      <c r="BL188" s="287" t="str">
        <f>IFERROR(VLOOKUP(VLOOKUP(T_Convention[[#This Row],[NumL]],T_TraitDi[#Data],COLUMN(T_TraitDi[Type1]),FALSE),TypeTW,2,FALSE),"")</f>
        <v/>
      </c>
      <c r="BM188" s="288" t="str">
        <f>IFERROR(VLOOKUP(T_Convention[[#This Row],[NumL]],T_TraitDi[#Data],COLUMN(T_TraitDi[Rue1]),FALSE),"")</f>
        <v/>
      </c>
      <c r="BN188" s="289" t="str">
        <f>IFERROR(VLOOKUP(T_Convention[[#This Row],[NumL]],T_TraitDi[#Data],COLUMN(T_TraitDi[CP1]),FALSE),"")</f>
        <v/>
      </c>
      <c r="BO188" s="282" t="str">
        <f>IFERROR(VLOOKUP(T_Convention[[#This Row],[NumL]],T_TraitDi[#Data],COLUMN(T_TraitDi[VILLE1]),FALSE),"")</f>
        <v/>
      </c>
      <c r="BP188" s="290" t="str">
        <f>IFERROR(VLOOKUP(VLOOKUP(T_Convention[[#This Row],[NumL]],T_TraitDi[#Data],COLUMN(T_TraitDi[Type2]),FALSE),TypeTW,2,FALSE),"")</f>
        <v/>
      </c>
      <c r="BQ188" s="182" t="str">
        <f>IFERROR(VLOOKUP(T_Convention[[#This Row],[NumL]],T_TraitDi[#Data],COLUMN(T_TraitDi[Rue2]),FALSE),"")</f>
        <v/>
      </c>
      <c r="BR188" s="173" t="str">
        <f>IFERROR(VLOOKUP(T_Convention[[#This Row],[NumL]],T_TraitDi[#Data],COLUMN(T_TraitDi[CP2]),FALSE),"")</f>
        <v/>
      </c>
      <c r="BS188" s="173" t="str">
        <f>IFERROR(VLOOKUP(T_Convention[[#This Row],[NumL]],T_TraitDi[#Data],COLUMN(T_TraitDi[VILLE2]),FALSE),"")</f>
        <v/>
      </c>
      <c r="BT188" s="182" t="str">
        <f>IF(VLOOKUP(T_Convention[[#This Row],[NumL]],T_Equipement[#Data],COLUMN(T_Equipement[PC]),FALSE)="","Aucun équipement spécifique directement lié au télétravail",VLOOKUP(T_Convention[[#This Row],[NumL]],T_Equipement[#Data],COLUMN(T_Equipement[PC]),FALSE))</f>
        <v xml:space="preserve">17-024	</v>
      </c>
      <c r="BU188" s="166" t="str">
        <f>IFERROR(IF(VLOOKUP(T_Convention[[#This Row],[NumL]],T_TraitDi[#Data],COLUMN(T_TraitDi[Plan]),FALSE)="OK","Un planning spécifique de télétravail est annexé à la présente convention.",""),"")</f>
        <v/>
      </c>
      <c r="BV188" s="185" t="s">
        <v>3439</v>
      </c>
      <c r="BW188" s="164" t="e">
        <f>IF(VLOOKUP(T_Convention[[#This Row],[NumL]],T_suiviDi[#Data],COLUMN(T_suiviDi[Entité]),FALSE)="","",VLOOKUP(T_Convention[[#This Row],[NumL]],T_suiviDi[#Data],COLUMN(T_suiviDi[Entité]),FALSE))</f>
        <v>#N/A</v>
      </c>
      <c r="BX188" s="164" t="str">
        <f>IF(VLOOKUP(T_Convention[[#This Row],[NumL]],T_Commission[#Data],COLUMN(T_Commission[envoi confirm TW]),FALSE)="","",VLOOKUP(T_Convention[[#This Row],[NumL]],T_Commission[#Data],COLUMN(T_Commission[envoi confirm TW]),FALSE))</f>
        <v>Oui</v>
      </c>
      <c r="BY188" s="377"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8" s="264">
        <f>VLOOKUP(T_Convention[[#This Row],[NumL]],T_Commission[#Data],COLUMN(T_Commission[Commentaire]),FALSE)</f>
        <v>0</v>
      </c>
      <c r="CA188" s="254" t="str">
        <f>IF(VLOOKUP(T_Convention[[#This Row],[NumL]],T_Commission[#Data],COLUMN(T_Commission[Encadrant Email]),FALSE)="","",VLOOKUP(T_Convention[[#This Row],[NumL]],T_Commission[#Data],COLUMN(T_Commission[Encadrant Email]),FALSE))</f>
        <v/>
      </c>
      <c r="CB188" s="352" t="e">
        <f>VLOOKUP(T_Convention[[#This Row],[NumL]],T_TraitDi[#Data],COLUMN(T_TraitDi[NbJTot]),FALSE)</f>
        <v>#N/A</v>
      </c>
      <c r="CC188" s="352" t="e">
        <f>VLOOKUP(T_Convention[[#This Row],[NumL]],T_TraitDi[#Data],COLUMN(T_TraitDi[Reg Ponct]),FALSE)</f>
        <v>#N/A</v>
      </c>
      <c r="CD188" s="348" t="str">
        <f>IF(T_Convention[[#This Row],[Final]]&lt;&gt;"",VLOOKUP(T_Convention[[#This Row],[NumL]],T_suiviDi[#Data],COLUMN((T_suiviDi[Statut])),FALSE),"")</f>
        <v/>
      </c>
    </row>
    <row r="189" spans="1:82" s="106" customFormat="1" ht="18.75" customHeight="1" x14ac:dyDescent="0.25">
      <c r="A189" s="160">
        <v>75</v>
      </c>
      <c r="B189" s="161" t="str">
        <f>VLOOKUP(T_Convention[[#This Row],[NumL]],T_Commission[#Data],COLUMN(T_Commission[FINAL]),FALSE)</f>
        <v/>
      </c>
      <c r="C189" s="162"/>
      <c r="D189" s="95" t="e">
        <f>IF(VLOOKUP(T_Convention[[#This Row],[NumL]],T_TraitDi[#Data],COLUMN(T_TraitDi[WebC]),FALSE)="","",VLOOKUP(T_Convention[[#This Row],[NumL]],T_TraitDi[#Data],COLUMN(T_TraitDi[WebC]),FALSE))</f>
        <v>#N/A</v>
      </c>
      <c r="E189" s="163" t="str">
        <f t="shared" si="10"/>
        <v>12 janvier 2021</v>
      </c>
      <c r="F189" s="282" t="str">
        <f>IF(T_Convention[[#This Row],[Final]]&lt;&gt;"",VLOOKUP(T_Convention[[#This Row],[NumL]],T_suiviDi[#Data],COLUMN((T_suiviDi[Civ.])),FALSE),"")</f>
        <v/>
      </c>
      <c r="G189" s="283" t="str">
        <f>IF(T_Convention[[#This Row],[Final]]&lt;&gt;"",VLOOKUP(T_Convention[[#This Row],[NumL]],T_suiviDi[#Data],COLUMN((T_suiviDi[Nom])),FALSE),"")</f>
        <v/>
      </c>
      <c r="H189" s="282" t="str">
        <f>IF(T_Convention[[#This Row],[Final]]&lt;&gt;"",VLOOKUP(T_Convention[[#This Row],[NumL]],T_suiviDi[#Data],COLUMN((T_suiviDi[Prénom])),FALSE),"")</f>
        <v/>
      </c>
      <c r="I189" s="282" t="e">
        <f>VLOOKUP(T_Convention[[#This Row],[NumL]],T_suiviDi[#Data],COLUMN((T_suiviDi[[#This Row],[Email]])),FALSE)</f>
        <v>#VALUE!</v>
      </c>
      <c r="J189" s="282" t="e">
        <f>IF(VLOOKUP(T_Convention[[#This Row],[NumL]],T_suiviDi[#Data],COLUMN(T_suiviDi[[#This Row],[Fonction]]),FALSE)="","",VLOOKUP(T_Convention[[#This Row],[NumL]],T_suiviDi[#Data],COLUMN(T_suiviDi[[#This Row],[Fonction]]),FALSE))</f>
        <v>#VALUE!</v>
      </c>
      <c r="K189" s="282" t="e">
        <f>IF(VLOOKUP(T_Convention[[#This Row],[NumL]],T_suiviDi[#Data],COLUMN(T_suiviDi[[#This Row],[Grade]]),FALSE)="","",VLOOKUP(T_Convention[[#This Row],[NumL]],T_suiviDi[#Data],COLUMN(T_suiviDi[[#This Row],[Grade]]),FALSE))</f>
        <v>#VALUE!</v>
      </c>
      <c r="L189" s="282" t="e">
        <f>IF(VLOOKUP(T_Convention[[#This Row],[NumL]],T_suiviDi[#Data],COLUMN(T_suiviDi[[#This Row],[Service ]]),FALSE)="","",VLOOKUP(T_Convention[[#This Row],[NumL]],T_suiviDi[#Data],COLUMN(T_suiviDi[[#This Row],[Service ]]),FALSE))</f>
        <v>#VALUE!</v>
      </c>
      <c r="M189" s="164" t="str">
        <f t="shared" si="11"/>
        <v>01 septembre 2021</v>
      </c>
      <c r="N189" s="164" t="str">
        <f t="shared" si="12"/>
        <v>30 novembre 2021</v>
      </c>
      <c r="O189" s="284" t="str">
        <f t="shared" si="13"/>
        <v>30 novembre 2021</v>
      </c>
      <c r="P189" s="282" t="e">
        <f>IF(VLOOKUP(T_Convention[[#This Row],[NumL]],T_TraitDi[#Data],COLUMN(T_TraitDi[M1]),FALSE)="","",VLOOKUP(T_Convention[[#This Row],[NumL]],T_TraitDi[#Data],COLUMN(T_TraitDi[M1]),FALSE))</f>
        <v>#N/A</v>
      </c>
      <c r="Q189" s="282" t="e">
        <f>IF(VLOOKUP(T_Convention[[#This Row],[NumL]],T_TraitDi[#Data],COLUMN(T_TraitDi[M2]),FALSE)="","",VLOOKUP(T_Convention[[#This Row],[NumL]],T_TraitDi[#Data],COLUMN(T_TraitDi[M2]),FALSE))</f>
        <v>#N/A</v>
      </c>
      <c r="R189" s="282" t="e">
        <f>IF(VLOOKUP(T_Convention[[#This Row],[NumL]],T_TraitDi[#Data],COLUMN(T_TraitDi[M3]),FALSE)="","",VLOOKUP(T_Convention[[#This Row],[NumL]],T_TraitDi[#Data],COLUMN(T_TraitDi[M3]),FALSE))</f>
        <v>#N/A</v>
      </c>
      <c r="S189" s="282" t="e">
        <f>IF(VLOOKUP(T_Convention[[#This Row],[NumL]],T_TraitDi[#Data],COLUMN(T_TraitDi[M4]),FALSE)="","",VLOOKUP(T_Convention[[#This Row],[NumL]],T_TraitDi[#Data],COLUMN(T_TraitDi[M4]),FALSE))</f>
        <v>#N/A</v>
      </c>
      <c r="T189" s="282" t="e">
        <f>IF(VLOOKUP(T_Convention[[#This Row],[NumL]],T_TraitDi[#Data],COLUMN(T_TraitDi[M5]),FALSE)="","",VLOOKUP(T_Convention[[#This Row],[NumL]],T_TraitDi[#Data],COLUMN(T_TraitDi[M5]),FALSE))</f>
        <v>#N/A</v>
      </c>
      <c r="U189" s="282" t="e">
        <f>IF(VLOOKUP(T_Convention[[#This Row],[NumL]],T_TraitDi[#Data],COLUMN(T_TraitDi[M6]),FALSE)="","",VLOOKUP(T_Convention[[#This Row],[NumL]],T_TraitDi[#Data],COLUMN(T_TraitDi[M6]),FALSE))</f>
        <v>#N/A</v>
      </c>
      <c r="V189" s="176" t="e">
        <f t="shared" si="14"/>
        <v>#N/A</v>
      </c>
      <c r="W189" s="284" t="str">
        <f>IFERROR(TEXT(VLOOKUP(T_Convention[[#This Row],[NumL]],T_TraitDi[#Data],COLUMN(T_TraitDi[Q2]),FALSE),"###%"),"")</f>
        <v/>
      </c>
      <c r="X189" s="97" t="e">
        <f>VLOOKUP(T_Convention[[#This Row],[NumL]],T_TraitDi[#Data],COLUMN(T_TraitDi[Reg Ponct]),FALSE)</f>
        <v>#N/A</v>
      </c>
      <c r="Y189" s="97" t="e">
        <f>VLOOKUP(T_Convention[NumL],T_TraitDi[#Data],COLUMN(T_TraitDi[Jours flottants]),FALSE)</f>
        <v>#N/A</v>
      </c>
      <c r="Z189" s="284" t="str">
        <f>IFERROR(VLOOKUP(T_Convention[[#This Row],[NumL]],T_TraitDi[#Data],COLUMN(T_TraitDi[Lundi]),FALSE),"")</f>
        <v/>
      </c>
      <c r="AA189" s="284" t="e">
        <f>IF(VLOOKUP(T_Convention[[#This Row],[NumL]],T_TraitDi[#Data],COLUMN(T_TraitDi[Colonne3]),FALSE)=0,"",TEXT(IFERROR(VLOOKUP(T_Convention[[#This Row],[NumL]],T_TraitDi[#Data],COLUMN(T_TraitDi[Colonne3]),FALSE),""),"[hh]:mm"))</f>
        <v>#N/A</v>
      </c>
      <c r="AB189" s="284" t="e">
        <f>IF(VLOOKUP(T_Convention[[#This Row],[NumL]],T_TraitDi[#Data],COLUMN(T_TraitDi[Colonne4]),FALSE)=0,"",TEXT(IFERROR(VLOOKUP(T_Convention[[#This Row],[NumL]],T_TraitDi[#Data],COLUMN(T_TraitDi[Colonne4]),FALSE),""),"[hh]:mm"))</f>
        <v>#N/A</v>
      </c>
      <c r="AC189" s="284" t="e">
        <f>IF(VLOOKUP(T_Convention[[#This Row],[NumL]],T_TraitDi[#Data],COLUMN(T_TraitDi[Colonne5]),FALSE)=0,"",TEXT(IFERROR(VLOOKUP(T_Convention[[#This Row],[NumL]],T_TraitDi[#Data],COLUMN(T_TraitDi[Colonne5]),FALSE),""),"[hh]:mm"))</f>
        <v>#N/A</v>
      </c>
      <c r="AD189" s="284" t="e">
        <f>IF(VLOOKUP(T_Convention[[#This Row],[NumL]],T_TraitDi[#Data],COLUMN(T_TraitDi[Colonne6]),FALSE)=0,"",TEXT(IFERROR(VLOOKUP(T_Convention[[#This Row],[NumL]],T_TraitDi[#Data],COLUMN(T_TraitDi[Colonne6]),FALSE),""),"[hh]:mm"))</f>
        <v>#N/A</v>
      </c>
      <c r="AE189" s="284" t="e">
        <f>IF(VLOOKUP(T_Convention[[#This Row],[NumL]],T_TraitDi[#Data],COLUMN(T_TraitDi[Colonne7]),FALSE)=0,"",TEXT(IFERROR(VLOOKUP(T_Convention[[#This Row],[NumL]],T_TraitDi[#Data],COLUMN(T_TraitDi[Colonne7]),FALSE),""),"[hh]:mm"))</f>
        <v>#N/A</v>
      </c>
      <c r="AF189" s="284" t="e">
        <f>IF(VLOOKUP(T_Convention[[#This Row],[NumL]],T_TraitDi[#Data],COLUMN(T_TraitDi[Colonne8]),FALSE)=0,"",TEXT(IFERROR(VLOOKUP(T_Convention[[#This Row],[NumL]],T_TraitDi[#Data],COLUMN(T_TraitDi[Colonne8]),FALSE),""),"[hh]:mm"))</f>
        <v>#N/A</v>
      </c>
      <c r="AG189" s="284" t="str">
        <f>IFERROR(VLOOKUP(T_Convention[[#This Row],[NumL]],T_TraitDi[#Data],COLUMN(T_TraitDi[Mardi]),FALSE),"")</f>
        <v/>
      </c>
      <c r="AH189" s="284" t="e">
        <f>IF(VLOOKUP(T_Convention[[#This Row],[NumL]],T_TraitDi[#Data],COLUMN(T_TraitDi[Colonne1]),FALSE)=0,"",TEXT(IFERROR(VLOOKUP(T_Convention[[#This Row],[NumL]],T_TraitDi[#Data],COLUMN(T_TraitDi[Colonne1]),FALSE),""),"[hh]:mm"))</f>
        <v>#N/A</v>
      </c>
      <c r="AI189" s="284" t="e">
        <f>IF(VLOOKUP(T_Convention[[#This Row],[NumL]],T_TraitDi[#Data],COLUMN(T_TraitDi[Colonne9]),FALSE)=0,"",TEXT(IFERROR(VLOOKUP(T_Convention[[#This Row],[NumL]],T_TraitDi[#Data],COLUMN(T_TraitDi[Colonne9]),FALSE),""),"[hh]:mm"))</f>
        <v>#N/A</v>
      </c>
      <c r="AJ189" s="284" t="str">
        <f>IFERROR(VLOOKUP(T_Convention[[#This Row],[NumL]],T_TraitDi[#Data],COLUMN(T_TraitDi[Colonne10]),FALSE),"")</f>
        <v/>
      </c>
      <c r="AK189" s="284" t="e">
        <f>IF(VLOOKUP(T_Convention[[#This Row],[NumL]],T_TraitDi[#Data],COLUMN(T_TraitDi[Colonne11]),FALSE)=0,"",TEXT(IFERROR(VLOOKUP(T_Convention[[#This Row],[NumL]],T_TraitDi[#Data],COLUMN(T_TraitDi[Colonne11]),FALSE),""),"[hh]:mm"))</f>
        <v>#N/A</v>
      </c>
      <c r="AL189" s="284" t="e">
        <f>IF(VLOOKUP(T_Convention[[#This Row],[NumL]],T_TraitDi[#Data],COLUMN(T_TraitDi[Colonne12]),FALSE)=0,"",TEXT(IFERROR(VLOOKUP(T_Convention[[#This Row],[NumL]],T_TraitDi[#Data],COLUMN(T_TraitDi[Colonne12]),FALSE),""),"[hh]:mm"))</f>
        <v>#N/A</v>
      </c>
      <c r="AM189" s="284" t="e">
        <f>IF(VLOOKUP(T_Convention[[#This Row],[NumL]],T_TraitDi[#Data],COLUMN(T_TraitDi[Colonne14]),FALSE)=0,"",TEXT(IFERROR(VLOOKUP(T_Convention[[#This Row],[NumL]],T_TraitDi[#Data],COLUMN(T_TraitDi[Colonne14]),FALSE),""),"[hh]:mm"))</f>
        <v>#N/A</v>
      </c>
      <c r="AN189" s="284" t="str">
        <f>IFERROR(VLOOKUP(T_Convention[[#This Row],[NumL]],T_TraitDi[#Data],COLUMN(T_TraitDi[Mercredi]),FALSE),"")</f>
        <v/>
      </c>
      <c r="AO189" s="284" t="e">
        <f>IF(VLOOKUP(T_Convention[[#This Row],[NumL]],T_TraitDi[#Data],COLUMN(T_TraitDi[Colonne15]),FALSE)=0,"",TEXT(IFERROR(VLOOKUP(T_Convention[[#This Row],[NumL]],T_TraitDi[#Data],COLUMN(T_TraitDi[Colonne15]),FALSE),""),"[hh]:mm"))</f>
        <v>#N/A</v>
      </c>
      <c r="AP189" s="284" t="e">
        <f>IF(VLOOKUP(T_Convention[[#This Row],[NumL]],T_TraitDi[#Data],COLUMN(T_TraitDi[Colonne16]),FALSE)=0,"",TEXT(IFERROR(VLOOKUP(T_Convention[[#This Row],[NumL]],T_TraitDi[#Data],COLUMN(T_TraitDi[Colonne16]),FALSE),""),"[hh]:mm"))</f>
        <v>#N/A</v>
      </c>
      <c r="AQ189" s="284" t="str">
        <f>IFERROR(VLOOKUP(T_Convention[[#This Row],[NumL]],T_TraitDi[#Data],COLUMN(T_TraitDi[Colonne17]),FALSE),"")</f>
        <v/>
      </c>
      <c r="AR189" s="284" t="e">
        <f>IF(VLOOKUP(T_Convention[[#This Row],[NumL]],T_TraitDi[#Data],COLUMN(T_TraitDi[Colonne18]),FALSE)=0,"",TEXT(IFERROR(VLOOKUP(T_Convention[[#This Row],[NumL]],T_TraitDi[#Data],COLUMN(T_TraitDi[Colonne18]),FALSE),""),"[hh]:mm"))</f>
        <v>#N/A</v>
      </c>
      <c r="AS189" s="284" t="e">
        <f>IF(VLOOKUP(T_Convention[[#This Row],[NumL]],T_TraitDi[#Data],COLUMN(T_TraitDi[Colonne19]),FALSE)=0,"",TEXT(IFERROR(VLOOKUP(T_Convention[[#This Row],[NumL]],T_TraitDi[#Data],COLUMN(T_TraitDi[Colonne19]),FALSE),""),"[hh]:mm"))</f>
        <v>#N/A</v>
      </c>
      <c r="AT189" s="284" t="e">
        <f>IF(VLOOKUP(T_Convention[[#This Row],[NumL]],T_TraitDi[#Data],COLUMN(T_TraitDi[Colonne20]),FALSE)=0,"",TEXT(IFERROR(VLOOKUP(T_Convention[[#This Row],[NumL]],T_TraitDi[#Data],COLUMN(T_TraitDi[Colonne20]),FALSE),""),"[hh]:mm"))</f>
        <v>#N/A</v>
      </c>
      <c r="AU189" s="284" t="str">
        <f>IFERROR(VLOOKUP(T_Convention[[#This Row],[NumL]],T_TraitDi[#Data],COLUMN(T_TraitDi[Jeudi]),FALSE),"")</f>
        <v/>
      </c>
      <c r="AV189" s="284" t="e">
        <f>IF(VLOOKUP(T_Convention[[#This Row],[NumL]],T_TraitDi[#Data],COLUMN(T_TraitDi[Colonne21]),FALSE)=0,"",TEXT(IFERROR(VLOOKUP(T_Convention[[#This Row],[NumL]],T_TraitDi[#Data],COLUMN(T_TraitDi[Colonne21]),FALSE),""),"[hh]:mm"))</f>
        <v>#N/A</v>
      </c>
      <c r="AW189" s="284" t="e">
        <f>IF(VLOOKUP(T_Convention[[#This Row],[NumL]],T_TraitDi[#Data],COLUMN(T_TraitDi[Colonne22]),FALSE)=0,"",TEXT(IFERROR(VLOOKUP(T_Convention[[#This Row],[NumL]],T_TraitDi[#Data],COLUMN(T_TraitDi[Colonne22]),FALSE),""),"[hh]:mm"))</f>
        <v>#N/A</v>
      </c>
      <c r="AX189" s="284" t="str">
        <f>IFERROR(VLOOKUP(T_Convention[[#This Row],[NumL]],T_TraitDi[#Data],COLUMN(T_TraitDi[Colonne23]),FALSE),"")</f>
        <v/>
      </c>
      <c r="AY189" s="284" t="e">
        <f>IF(VLOOKUP(T_Convention[[#This Row],[NumL]],T_TraitDi[#Data],COLUMN(T_TraitDi[Colonne24]),FALSE)=0,"",TEXT(IFERROR(VLOOKUP(T_Convention[[#This Row],[NumL]],T_TraitDi[#Data],COLUMN(T_TraitDi[Colonne24]),FALSE),""),"[hh]:mm"))</f>
        <v>#N/A</v>
      </c>
      <c r="AZ189" s="284" t="e">
        <f>IF(VLOOKUP(T_Convention[[#This Row],[NumL]],T_TraitDi[#Data],COLUMN(T_TraitDi[Colonne25]),FALSE)=0,"",TEXT(IFERROR(VLOOKUP(T_Convention[[#This Row],[NumL]],T_TraitDi[#Data],COLUMN(T_TraitDi[Colonne25]),FALSE),""),"[hh]:mm"))</f>
        <v>#N/A</v>
      </c>
      <c r="BA189" s="284" t="e">
        <f>IF(VLOOKUP(T_Convention[[#This Row],[NumL]],T_TraitDi[#Data],COLUMN(T_TraitDi[Colonne26]),FALSE)=0,"",TEXT(IFERROR(VLOOKUP(T_Convention[[#This Row],[NumL]],T_TraitDi[#Data],COLUMN(T_TraitDi[Colonne26]),FALSE),""),"[hh]:mm"))</f>
        <v>#N/A</v>
      </c>
      <c r="BB189" s="284" t="str">
        <f>IFERROR(VLOOKUP(T_Convention[[#This Row],[NumL]],T_TraitDi[#Data],COLUMN(T_TraitDi[Vendredi]),FALSE),"")</f>
        <v/>
      </c>
      <c r="BC189" s="284" t="e">
        <f>IF(VLOOKUP(T_Convention[[#This Row],[NumL]],T_TraitDi[#Data],COLUMN(T_TraitDi[Colonne27]),FALSE)=0,"",TEXT(IFERROR(VLOOKUP(T_Convention[[#This Row],[NumL]],T_TraitDi[#Data],COLUMN(T_TraitDi[Colonne27]),FALSE),""),"[hh]:mm"))</f>
        <v>#N/A</v>
      </c>
      <c r="BD189" s="284" t="e">
        <f>IF(VLOOKUP(T_Convention[[#This Row],[NumL]],T_TraitDi[#Data],COLUMN(T_TraitDi[Colonne28]),FALSE)=0,"",TEXT(IFERROR(VLOOKUP(T_Convention[[#This Row],[NumL]],T_TraitDi[#Data],COLUMN(T_TraitDi[Colonne28]),FALSE),""),"[hh]:mm"))</f>
        <v>#N/A</v>
      </c>
      <c r="BE189" s="284" t="str">
        <f>IFERROR(VLOOKUP(T_Convention[[#This Row],[NumL]],T_TraitDi[#Data],COLUMN(T_TraitDi[Colonne29]),FALSE),"")</f>
        <v/>
      </c>
      <c r="BF189" s="284" t="e">
        <f>IF(VLOOKUP(T_Convention[[#This Row],[NumL]],T_TraitDi[#Data],COLUMN(T_TraitDi[Colonne30]),FALSE)=0,"",TEXT(IFERROR(VLOOKUP(T_Convention[[#This Row],[NumL]],T_TraitDi[#Data],COLUMN(T_TraitDi[Colonne30]),FALSE),""),"[hh]:mm"))</f>
        <v>#N/A</v>
      </c>
      <c r="BG189" s="284" t="e">
        <f>IF(VLOOKUP(T_Convention[[#This Row],[NumL]],T_TraitDi[#Data],COLUMN(T_TraitDi[Colonne31]),FALSE)=0,"",TEXT(IFERROR(VLOOKUP(T_Convention[[#This Row],[NumL]],T_TraitDi[#Data],COLUMN(T_TraitDi[Colonne31]),FALSE),""),"[hh]:mm"))</f>
        <v>#N/A</v>
      </c>
      <c r="BH189" s="284" t="e">
        <f>IF(VLOOKUP(T_Convention[[#This Row],[NumL]],T_TraitDi[#Data],COLUMN(T_TraitDi[Colonne32]),FALSE)=0,"",TEXT(IFERROR(VLOOKUP(T_Convention[[#This Row],[NumL]],T_TraitDi[#Data],COLUMN(T_TraitDi[Colonne32]),FALSE),""),"[hh]:mm"))</f>
        <v>#N/A</v>
      </c>
      <c r="BI189" s="284" t="str">
        <f>IFERROR(VLOOKUP(T_Convention[[#This Row],[NumL]],T_TraitDi[#Data],COLUMN(T_TraitDi[NbJTW]),FALSE),"")</f>
        <v/>
      </c>
      <c r="BJ189" s="284" t="e">
        <f>IF(VLOOKUP(T_Convention[[#This Row],[NumL]],T_TraitDi[#Data],COLUMN(T_TraitDi[NbhTW]),FALSE)=0,"",TEXT(IFERROR(VLOOKUP(T_Convention[[#This Row],[NumL]],T_TraitDi[#Data],COLUMN(T_TraitDi[NbhTW]),FALSE),""),"[hh]:mm"))</f>
        <v>#N/A</v>
      </c>
      <c r="BK189" s="286" t="e">
        <f>IF(VLOOKUP(T_Convention[[#This Row],[NumL]],T_TraitDi[#Data],COLUMN(T_TraitDi[Nbhheb]),FALSE)=0,"",TEXT(IFERROR(VLOOKUP(T_Convention[[#This Row],[NumL]],T_TraitDi[#Data],COLUMN(T_TraitDi[Nbhheb]),FALSE),""),"[hh]:mm"))</f>
        <v>#N/A</v>
      </c>
      <c r="BL189" s="287" t="str">
        <f>IFERROR(VLOOKUP(VLOOKUP(T_Convention[[#This Row],[NumL]],T_TraitDi[#Data],COLUMN(T_TraitDi[Type1]),FALSE),TypeTW,2,FALSE),"")</f>
        <v/>
      </c>
      <c r="BM189" s="288" t="str">
        <f>IFERROR(VLOOKUP(T_Convention[[#This Row],[NumL]],T_TraitDi[#Data],COLUMN(T_TraitDi[Rue1]),FALSE),"")</f>
        <v/>
      </c>
      <c r="BN189" s="289" t="str">
        <f>IFERROR(VLOOKUP(T_Convention[[#This Row],[NumL]],T_TraitDi[#Data],COLUMN(T_TraitDi[CP1]),FALSE),"")</f>
        <v/>
      </c>
      <c r="BO189" s="282" t="str">
        <f>IFERROR(VLOOKUP(T_Convention[[#This Row],[NumL]],T_TraitDi[#Data],COLUMN(T_TraitDi[VILLE1]),FALSE),"")</f>
        <v/>
      </c>
      <c r="BP189" s="290" t="str">
        <f>IFERROR(VLOOKUP(VLOOKUP(T_Convention[[#This Row],[NumL]],T_TraitDi[#Data],COLUMN(T_TraitDi[Type2]),FALSE),TypeTW,2,FALSE),"")</f>
        <v/>
      </c>
      <c r="BQ189" s="182" t="str">
        <f>IFERROR(VLOOKUP(T_Convention[[#This Row],[NumL]],T_TraitDi[#Data],COLUMN(T_TraitDi[Rue2]),FALSE),"")</f>
        <v/>
      </c>
      <c r="BR189" s="173" t="str">
        <f>IFERROR(VLOOKUP(T_Convention[[#This Row],[NumL]],T_TraitDi[#Data],COLUMN(T_TraitDi[CP2]),FALSE),"")</f>
        <v/>
      </c>
      <c r="BS189" s="173" t="str">
        <f>IFERROR(VLOOKUP(T_Convention[[#This Row],[NumL]],T_TraitDi[#Data],COLUMN(T_TraitDi[VILLE2]),FALSE),"")</f>
        <v/>
      </c>
      <c r="BT189" s="182" t="str">
        <f>IF(VLOOKUP(T_Convention[[#This Row],[NumL]],T_Equipement[#Data],COLUMN(T_Equipement[PC]),FALSE)="","Aucun équipement spécifique directement lié au télétravail",VLOOKUP(T_Convention[[#This Row],[NumL]],T_Equipement[#Data],COLUMN(T_Equipement[PC]),FALSE))</f>
        <v xml:space="preserve">14-008	</v>
      </c>
      <c r="BU189" s="166" t="str">
        <f>IFERROR(IF(VLOOKUP(T_Convention[[#This Row],[NumL]],T_TraitDi[#Data],COLUMN(T_TraitDi[Plan]),FALSE)="OK","Un planning spécifique de télétravail est annexé à la présente convention.",""),"")</f>
        <v/>
      </c>
      <c r="BV189" s="185" t="s">
        <v>3336</v>
      </c>
      <c r="BW189" s="164" t="e">
        <f>IF(VLOOKUP(T_Convention[[#This Row],[NumL]],T_suiviDi[#Data],COLUMN(T_suiviDi[Entité]),FALSE)="","",VLOOKUP(T_Convention[[#This Row],[NumL]],T_suiviDi[#Data],COLUMN(T_suiviDi[Entité]),FALSE))</f>
        <v>#N/A</v>
      </c>
      <c r="BX189" s="164" t="str">
        <f>IF(VLOOKUP(T_Convention[[#This Row],[NumL]],T_Commission[#Data],COLUMN(T_Commission[envoi confirm TW]),FALSE)="","",VLOOKUP(T_Convention[[#This Row],[NumL]],T_Commission[#Data],COLUMN(T_Commission[envoi confirm TW]),FALSE))</f>
        <v>Oui</v>
      </c>
      <c r="BY18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89" s="264">
        <f>VLOOKUP(T_Convention[[#This Row],[NumL]],T_Commission[#Data],COLUMN(T_Commission[Commentaire]),FALSE)</f>
        <v>0</v>
      </c>
      <c r="CA189" s="254" t="str">
        <f>IF(VLOOKUP(T_Convention[[#This Row],[NumL]],T_Commission[#Data],COLUMN(T_Commission[Encadrant Email]),FALSE)="","",VLOOKUP(T_Convention[[#This Row],[NumL]],T_Commission[#Data],COLUMN(T_Commission[Encadrant Email]),FALSE))</f>
        <v/>
      </c>
      <c r="CB189" s="352" t="e">
        <f>VLOOKUP(T_Convention[[#This Row],[NumL]],T_TraitDi[#Data],COLUMN(T_TraitDi[NbJTot]),FALSE)</f>
        <v>#N/A</v>
      </c>
      <c r="CC189" s="352" t="e">
        <f>VLOOKUP(T_Convention[[#This Row],[NumL]],T_TraitDi[#Data],COLUMN(T_TraitDi[Reg Ponct]),FALSE)</f>
        <v>#N/A</v>
      </c>
      <c r="CD189" s="348" t="str">
        <f>IF(T_Convention[[#This Row],[Final]]&lt;&gt;"",VLOOKUP(T_Convention[[#This Row],[NumL]],T_suiviDi[#Data],COLUMN((T_suiviDi[Statut])),FALSE),"")</f>
        <v/>
      </c>
    </row>
    <row r="190" spans="1:82" s="106" customFormat="1" ht="18.75" customHeight="1" x14ac:dyDescent="0.25">
      <c r="A190" s="160">
        <v>281</v>
      </c>
      <c r="B190" s="161" t="str">
        <f>VLOOKUP(T_Convention[[#This Row],[NumL]],T_Commission[#Data],COLUMN(T_Commission[FINAL]),FALSE)</f>
        <v/>
      </c>
      <c r="C190" s="162"/>
      <c r="D190" s="95" t="e">
        <f>IF(VLOOKUP(T_Convention[[#This Row],[NumL]],T_TraitDi[#Data],COLUMN(T_TraitDi[WebC]),FALSE)="","",VLOOKUP(T_Convention[[#This Row],[NumL]],T_TraitDi[#Data],COLUMN(T_TraitDi[WebC]),FALSE))</f>
        <v>#N/A</v>
      </c>
      <c r="E190" s="163" t="str">
        <f t="shared" si="10"/>
        <v>12 janvier 2021</v>
      </c>
      <c r="F190" s="282" t="str">
        <f>IF(T_Convention[[#This Row],[Final]]&lt;&gt;"",VLOOKUP(T_Convention[[#This Row],[NumL]],T_suiviDi[#Data],COLUMN((T_suiviDi[Civ.])),FALSE),"")</f>
        <v/>
      </c>
      <c r="G190" s="283" t="str">
        <f>IF(T_Convention[[#This Row],[Final]]&lt;&gt;"",VLOOKUP(T_Convention[[#This Row],[NumL]],T_suiviDi[#Data],COLUMN((T_suiviDi[Nom])),FALSE),"")</f>
        <v/>
      </c>
      <c r="H190" s="282" t="str">
        <f>IF(T_Convention[[#This Row],[Final]]&lt;&gt;"",VLOOKUP(T_Convention[[#This Row],[NumL]],T_suiviDi[#Data],COLUMN((T_suiviDi[Prénom])),FALSE),"")</f>
        <v/>
      </c>
      <c r="I190" s="282" t="e">
        <f>VLOOKUP(T_Convention[[#This Row],[NumL]],T_suiviDi[#Data],COLUMN((T_suiviDi[[#This Row],[Email]])),FALSE)</f>
        <v>#VALUE!</v>
      </c>
      <c r="J190" s="282" t="e">
        <f>IF(VLOOKUP(T_Convention[[#This Row],[NumL]],T_suiviDi[#Data],COLUMN(T_suiviDi[[#This Row],[Fonction]]),FALSE)="","",VLOOKUP(T_Convention[[#This Row],[NumL]],T_suiviDi[#Data],COLUMN(T_suiviDi[[#This Row],[Fonction]]),FALSE))</f>
        <v>#VALUE!</v>
      </c>
      <c r="K190" s="282" t="e">
        <f>IF(VLOOKUP(T_Convention[[#This Row],[NumL]],T_suiviDi[#Data],COLUMN(T_suiviDi[[#This Row],[Grade]]),FALSE)="","",VLOOKUP(T_Convention[[#This Row],[NumL]],T_suiviDi[#Data],COLUMN(T_suiviDi[[#This Row],[Grade]]),FALSE))</f>
        <v>#VALUE!</v>
      </c>
      <c r="L190" s="282" t="e">
        <f>IF(VLOOKUP(T_Convention[[#This Row],[NumL]],T_suiviDi[#Data],COLUMN(T_suiviDi[[#This Row],[Service ]]),FALSE)="","",VLOOKUP(T_Convention[[#This Row],[NumL]],T_suiviDi[#Data],COLUMN(T_suiviDi[[#This Row],[Service ]]),FALSE))</f>
        <v>#VALUE!</v>
      </c>
      <c r="M190" s="164" t="str">
        <f t="shared" si="11"/>
        <v>01 septembre 2021</v>
      </c>
      <c r="N190" s="164" t="str">
        <f t="shared" si="12"/>
        <v>30 novembre 2021</v>
      </c>
      <c r="O190" s="284" t="str">
        <f t="shared" si="13"/>
        <v>30 novembre 2021</v>
      </c>
      <c r="P190" s="282" t="e">
        <f>IF(VLOOKUP(T_Convention[[#This Row],[NumL]],T_TraitDi[#Data],COLUMN(T_TraitDi[M1]),FALSE)="","",VLOOKUP(T_Convention[[#This Row],[NumL]],T_TraitDi[#Data],COLUMN(T_TraitDi[M1]),FALSE))</f>
        <v>#N/A</v>
      </c>
      <c r="Q190" s="282" t="e">
        <f>IF(VLOOKUP(T_Convention[[#This Row],[NumL]],T_TraitDi[#Data],COLUMN(T_TraitDi[M2]),FALSE)="","",VLOOKUP(T_Convention[[#This Row],[NumL]],T_TraitDi[#Data],COLUMN(T_TraitDi[M2]),FALSE))</f>
        <v>#N/A</v>
      </c>
      <c r="R190" s="282" t="e">
        <f>IF(VLOOKUP(T_Convention[[#This Row],[NumL]],T_TraitDi[#Data],COLUMN(T_TraitDi[M3]),FALSE)="","",VLOOKUP(T_Convention[[#This Row],[NumL]],T_TraitDi[#Data],COLUMN(T_TraitDi[M3]),FALSE))</f>
        <v>#N/A</v>
      </c>
      <c r="S190" s="282" t="e">
        <f>IF(VLOOKUP(T_Convention[[#This Row],[NumL]],T_TraitDi[#Data],COLUMN(T_TraitDi[M4]),FALSE)="","",VLOOKUP(T_Convention[[#This Row],[NumL]],T_TraitDi[#Data],COLUMN(T_TraitDi[M4]),FALSE))</f>
        <v>#N/A</v>
      </c>
      <c r="T190" s="282" t="e">
        <f>IF(VLOOKUP(T_Convention[[#This Row],[NumL]],T_TraitDi[#Data],COLUMN(T_TraitDi[M5]),FALSE)="","",VLOOKUP(T_Convention[[#This Row],[NumL]],T_TraitDi[#Data],COLUMN(T_TraitDi[M5]),FALSE))</f>
        <v>#N/A</v>
      </c>
      <c r="U190" s="282" t="e">
        <f>IF(VLOOKUP(T_Convention[[#This Row],[NumL]],T_TraitDi[#Data],COLUMN(T_TraitDi[M6]),FALSE)="","",VLOOKUP(T_Convention[[#This Row],[NumL]],T_TraitDi[#Data],COLUMN(T_TraitDi[M6]),FALSE))</f>
        <v>#N/A</v>
      </c>
      <c r="V190" s="176" t="e">
        <f t="shared" si="14"/>
        <v>#N/A</v>
      </c>
      <c r="W190" s="284" t="str">
        <f>IFERROR(TEXT(VLOOKUP(T_Convention[[#This Row],[NumL]],T_TraitDi[#Data],COLUMN(T_TraitDi[Q2]),FALSE),"###%"),"")</f>
        <v/>
      </c>
      <c r="X190" s="97" t="e">
        <f>VLOOKUP(T_Convention[[#This Row],[NumL]],T_TraitDi[#Data],COLUMN(T_TraitDi[Reg Ponct]),FALSE)</f>
        <v>#N/A</v>
      </c>
      <c r="Y190" s="97" t="e">
        <f>VLOOKUP(T_Convention[NumL],T_TraitDi[#Data],COLUMN(T_TraitDi[Jours flottants]),FALSE)</f>
        <v>#N/A</v>
      </c>
      <c r="Z190" s="284" t="str">
        <f>IFERROR(VLOOKUP(T_Convention[[#This Row],[NumL]],T_TraitDi[#Data],COLUMN(T_TraitDi[Lundi]),FALSE),"")</f>
        <v/>
      </c>
      <c r="AA190" s="284" t="e">
        <f>IF(VLOOKUP(T_Convention[[#This Row],[NumL]],T_TraitDi[#Data],COLUMN(T_TraitDi[Colonne3]),FALSE)=0,"",TEXT(IFERROR(VLOOKUP(T_Convention[[#This Row],[NumL]],T_TraitDi[#Data],COLUMN(T_TraitDi[Colonne3]),FALSE),""),"[hh]:mm"))</f>
        <v>#N/A</v>
      </c>
      <c r="AB190" s="284" t="e">
        <f>IF(VLOOKUP(T_Convention[[#This Row],[NumL]],T_TraitDi[#Data],COLUMN(T_TraitDi[Colonne4]),FALSE)=0,"",TEXT(IFERROR(VLOOKUP(T_Convention[[#This Row],[NumL]],T_TraitDi[#Data],COLUMN(T_TraitDi[Colonne4]),FALSE),""),"[hh]:mm"))</f>
        <v>#N/A</v>
      </c>
      <c r="AC190" s="284" t="e">
        <f>IF(VLOOKUP(T_Convention[[#This Row],[NumL]],T_TraitDi[#Data],COLUMN(T_TraitDi[Colonne5]),FALSE)=0,"",TEXT(IFERROR(VLOOKUP(T_Convention[[#This Row],[NumL]],T_TraitDi[#Data],COLUMN(T_TraitDi[Colonne5]),FALSE),""),"[hh]:mm"))</f>
        <v>#N/A</v>
      </c>
      <c r="AD190" s="284" t="e">
        <f>IF(VLOOKUP(T_Convention[[#This Row],[NumL]],T_TraitDi[#Data],COLUMN(T_TraitDi[Colonne6]),FALSE)=0,"",TEXT(IFERROR(VLOOKUP(T_Convention[[#This Row],[NumL]],T_TraitDi[#Data],COLUMN(T_TraitDi[Colonne6]),FALSE),""),"[hh]:mm"))</f>
        <v>#N/A</v>
      </c>
      <c r="AE190" s="284" t="e">
        <f>IF(VLOOKUP(T_Convention[[#This Row],[NumL]],T_TraitDi[#Data],COLUMN(T_TraitDi[Colonne7]),FALSE)=0,"",TEXT(IFERROR(VLOOKUP(T_Convention[[#This Row],[NumL]],T_TraitDi[#Data],COLUMN(T_TraitDi[Colonne7]),FALSE),""),"[hh]:mm"))</f>
        <v>#N/A</v>
      </c>
      <c r="AF190" s="284" t="e">
        <f>IF(VLOOKUP(T_Convention[[#This Row],[NumL]],T_TraitDi[#Data],COLUMN(T_TraitDi[Colonne8]),FALSE)=0,"",TEXT(IFERROR(VLOOKUP(T_Convention[[#This Row],[NumL]],T_TraitDi[#Data],COLUMN(T_TraitDi[Colonne8]),FALSE),""),"[hh]:mm"))</f>
        <v>#N/A</v>
      </c>
      <c r="AG190" s="284" t="str">
        <f>IFERROR(VLOOKUP(T_Convention[[#This Row],[NumL]],T_TraitDi[#Data],COLUMN(T_TraitDi[Mardi]),FALSE),"")</f>
        <v/>
      </c>
      <c r="AH190" s="284" t="e">
        <f>IF(VLOOKUP(T_Convention[[#This Row],[NumL]],T_TraitDi[#Data],COLUMN(T_TraitDi[Colonne1]),FALSE)=0,"",TEXT(IFERROR(VLOOKUP(T_Convention[[#This Row],[NumL]],T_TraitDi[#Data],COLUMN(T_TraitDi[Colonne1]),FALSE),""),"[hh]:mm"))</f>
        <v>#N/A</v>
      </c>
      <c r="AI190" s="284" t="e">
        <f>IF(VLOOKUP(T_Convention[[#This Row],[NumL]],T_TraitDi[#Data],COLUMN(T_TraitDi[Colonne9]),FALSE)=0,"",TEXT(IFERROR(VLOOKUP(T_Convention[[#This Row],[NumL]],T_TraitDi[#Data],COLUMN(T_TraitDi[Colonne9]),FALSE),""),"[hh]:mm"))</f>
        <v>#N/A</v>
      </c>
      <c r="AJ190" s="284" t="str">
        <f>IFERROR(VLOOKUP(T_Convention[[#This Row],[NumL]],T_TraitDi[#Data],COLUMN(T_TraitDi[Colonne10]),FALSE),"")</f>
        <v/>
      </c>
      <c r="AK190" s="284" t="e">
        <f>IF(VLOOKUP(T_Convention[[#This Row],[NumL]],T_TraitDi[#Data],COLUMN(T_TraitDi[Colonne11]),FALSE)=0,"",TEXT(IFERROR(VLOOKUP(T_Convention[[#This Row],[NumL]],T_TraitDi[#Data],COLUMN(T_TraitDi[Colonne11]),FALSE),""),"[hh]:mm"))</f>
        <v>#N/A</v>
      </c>
      <c r="AL190" s="284" t="e">
        <f>IF(VLOOKUP(T_Convention[[#This Row],[NumL]],T_TraitDi[#Data],COLUMN(T_TraitDi[Colonne12]),FALSE)=0,"",TEXT(IFERROR(VLOOKUP(T_Convention[[#This Row],[NumL]],T_TraitDi[#Data],COLUMN(T_TraitDi[Colonne12]),FALSE),""),"[hh]:mm"))</f>
        <v>#N/A</v>
      </c>
      <c r="AM190" s="284" t="e">
        <f>IF(VLOOKUP(T_Convention[[#This Row],[NumL]],T_TraitDi[#Data],COLUMN(T_TraitDi[Colonne14]),FALSE)=0,"",TEXT(IFERROR(VLOOKUP(T_Convention[[#This Row],[NumL]],T_TraitDi[#Data],COLUMN(T_TraitDi[Colonne14]),FALSE),""),"[hh]:mm"))</f>
        <v>#N/A</v>
      </c>
      <c r="AN190" s="284" t="str">
        <f>IFERROR(VLOOKUP(T_Convention[[#This Row],[NumL]],T_TraitDi[#Data],COLUMN(T_TraitDi[Mercredi]),FALSE),"")</f>
        <v/>
      </c>
      <c r="AO190" s="284" t="e">
        <f>IF(VLOOKUP(T_Convention[[#This Row],[NumL]],T_TraitDi[#Data],COLUMN(T_TraitDi[Colonne15]),FALSE)=0,"",TEXT(IFERROR(VLOOKUP(T_Convention[[#This Row],[NumL]],T_TraitDi[#Data],COLUMN(T_TraitDi[Colonne15]),FALSE),""),"[hh]:mm"))</f>
        <v>#N/A</v>
      </c>
      <c r="AP190" s="284" t="e">
        <f>IF(VLOOKUP(T_Convention[[#This Row],[NumL]],T_TraitDi[#Data],COLUMN(T_TraitDi[Colonne16]),FALSE)=0,"",TEXT(IFERROR(VLOOKUP(T_Convention[[#This Row],[NumL]],T_TraitDi[#Data],COLUMN(T_TraitDi[Colonne16]),FALSE),""),"[hh]:mm"))</f>
        <v>#N/A</v>
      </c>
      <c r="AQ190" s="284" t="str">
        <f>IFERROR(VLOOKUP(T_Convention[[#This Row],[NumL]],T_TraitDi[#Data],COLUMN(T_TraitDi[Colonne17]),FALSE),"")</f>
        <v/>
      </c>
      <c r="AR190" s="284" t="e">
        <f>IF(VLOOKUP(T_Convention[[#This Row],[NumL]],T_TraitDi[#Data],COLUMN(T_TraitDi[Colonne18]),FALSE)=0,"",TEXT(IFERROR(VLOOKUP(T_Convention[[#This Row],[NumL]],T_TraitDi[#Data],COLUMN(T_TraitDi[Colonne18]),FALSE),""),"[hh]:mm"))</f>
        <v>#N/A</v>
      </c>
      <c r="AS190" s="284" t="e">
        <f>IF(VLOOKUP(T_Convention[[#This Row],[NumL]],T_TraitDi[#Data],COLUMN(T_TraitDi[Colonne19]),FALSE)=0,"",TEXT(IFERROR(VLOOKUP(T_Convention[[#This Row],[NumL]],T_TraitDi[#Data],COLUMN(T_TraitDi[Colonne19]),FALSE),""),"[hh]:mm"))</f>
        <v>#N/A</v>
      </c>
      <c r="AT190" s="284" t="e">
        <f>IF(VLOOKUP(T_Convention[[#This Row],[NumL]],T_TraitDi[#Data],COLUMN(T_TraitDi[Colonne20]),FALSE)=0,"",TEXT(IFERROR(VLOOKUP(T_Convention[[#This Row],[NumL]],T_TraitDi[#Data],COLUMN(T_TraitDi[Colonne20]),FALSE),""),"[hh]:mm"))</f>
        <v>#N/A</v>
      </c>
      <c r="AU190" s="284" t="str">
        <f>IFERROR(VLOOKUP(T_Convention[[#This Row],[NumL]],T_TraitDi[#Data],COLUMN(T_TraitDi[Jeudi]),FALSE),"")</f>
        <v/>
      </c>
      <c r="AV190" s="284" t="e">
        <f>IF(VLOOKUP(T_Convention[[#This Row],[NumL]],T_TraitDi[#Data],COLUMN(T_TraitDi[Colonne21]),FALSE)=0,"",TEXT(IFERROR(VLOOKUP(T_Convention[[#This Row],[NumL]],T_TraitDi[#Data],COLUMN(T_TraitDi[Colonne21]),FALSE),""),"[hh]:mm"))</f>
        <v>#N/A</v>
      </c>
      <c r="AW190" s="284" t="e">
        <f>IF(VLOOKUP(T_Convention[[#This Row],[NumL]],T_TraitDi[#Data],COLUMN(T_TraitDi[Colonne22]),FALSE)=0,"",TEXT(IFERROR(VLOOKUP(T_Convention[[#This Row],[NumL]],T_TraitDi[#Data],COLUMN(T_TraitDi[Colonne22]),FALSE),""),"[hh]:mm"))</f>
        <v>#N/A</v>
      </c>
      <c r="AX190" s="284" t="str">
        <f>IFERROR(VLOOKUP(T_Convention[[#This Row],[NumL]],T_TraitDi[#Data],COLUMN(T_TraitDi[Colonne23]),FALSE),"")</f>
        <v/>
      </c>
      <c r="AY190" s="284" t="e">
        <f>IF(VLOOKUP(T_Convention[[#This Row],[NumL]],T_TraitDi[#Data],COLUMN(T_TraitDi[Colonne24]),FALSE)=0,"",TEXT(IFERROR(VLOOKUP(T_Convention[[#This Row],[NumL]],T_TraitDi[#Data],COLUMN(T_TraitDi[Colonne24]),FALSE),""),"[hh]:mm"))</f>
        <v>#N/A</v>
      </c>
      <c r="AZ190" s="284" t="e">
        <f>IF(VLOOKUP(T_Convention[[#This Row],[NumL]],T_TraitDi[#Data],COLUMN(T_TraitDi[Colonne25]),FALSE)=0,"",TEXT(IFERROR(VLOOKUP(T_Convention[[#This Row],[NumL]],T_TraitDi[#Data],COLUMN(T_TraitDi[Colonne25]),FALSE),""),"[hh]:mm"))</f>
        <v>#N/A</v>
      </c>
      <c r="BA190" s="284" t="e">
        <f>IF(VLOOKUP(T_Convention[[#This Row],[NumL]],T_TraitDi[#Data],COLUMN(T_TraitDi[Colonne26]),FALSE)=0,"",TEXT(IFERROR(VLOOKUP(T_Convention[[#This Row],[NumL]],T_TraitDi[#Data],COLUMN(T_TraitDi[Colonne26]),FALSE),""),"[hh]:mm"))</f>
        <v>#N/A</v>
      </c>
      <c r="BB190" s="284" t="str">
        <f>IFERROR(VLOOKUP(T_Convention[[#This Row],[NumL]],T_TraitDi[#Data],COLUMN(T_TraitDi[Vendredi]),FALSE),"")</f>
        <v/>
      </c>
      <c r="BC190" s="284" t="e">
        <f>IF(VLOOKUP(T_Convention[[#This Row],[NumL]],T_TraitDi[#Data],COLUMN(T_TraitDi[Colonne27]),FALSE)=0,"",TEXT(IFERROR(VLOOKUP(T_Convention[[#This Row],[NumL]],T_TraitDi[#Data],COLUMN(T_TraitDi[Colonne27]),FALSE),""),"[hh]:mm"))</f>
        <v>#N/A</v>
      </c>
      <c r="BD190" s="284" t="e">
        <f>IF(VLOOKUP(T_Convention[[#This Row],[NumL]],T_TraitDi[#Data],COLUMN(T_TraitDi[Colonne28]),FALSE)=0,"",TEXT(IFERROR(VLOOKUP(T_Convention[[#This Row],[NumL]],T_TraitDi[#Data],COLUMN(T_TraitDi[Colonne28]),FALSE),""),"[hh]:mm"))</f>
        <v>#N/A</v>
      </c>
      <c r="BE190" s="284" t="str">
        <f>IFERROR(VLOOKUP(T_Convention[[#This Row],[NumL]],T_TraitDi[#Data],COLUMN(T_TraitDi[Colonne29]),FALSE),"")</f>
        <v/>
      </c>
      <c r="BF190" s="284" t="e">
        <f>IF(VLOOKUP(T_Convention[[#This Row],[NumL]],T_TraitDi[#Data],COLUMN(T_TraitDi[Colonne30]),FALSE)=0,"",TEXT(IFERROR(VLOOKUP(T_Convention[[#This Row],[NumL]],T_TraitDi[#Data],COLUMN(T_TraitDi[Colonne30]),FALSE),""),"[hh]:mm"))</f>
        <v>#N/A</v>
      </c>
      <c r="BG190" s="284" t="e">
        <f>IF(VLOOKUP(T_Convention[[#This Row],[NumL]],T_TraitDi[#Data],COLUMN(T_TraitDi[Colonne31]),FALSE)=0,"",TEXT(IFERROR(VLOOKUP(T_Convention[[#This Row],[NumL]],T_TraitDi[#Data],COLUMN(T_TraitDi[Colonne31]),FALSE),""),"[hh]:mm"))</f>
        <v>#N/A</v>
      </c>
      <c r="BH190" s="284" t="e">
        <f>IF(VLOOKUP(T_Convention[[#This Row],[NumL]],T_TraitDi[#Data],COLUMN(T_TraitDi[Colonne32]),FALSE)=0,"",TEXT(IFERROR(VLOOKUP(T_Convention[[#This Row],[NumL]],T_TraitDi[#Data],COLUMN(T_TraitDi[Colonne32]),FALSE),""),"[hh]:mm"))</f>
        <v>#N/A</v>
      </c>
      <c r="BI190" s="284" t="str">
        <f>IFERROR(VLOOKUP(T_Convention[[#This Row],[NumL]],T_TraitDi[#Data],COLUMN(T_TraitDi[NbJTW]),FALSE),"")</f>
        <v/>
      </c>
      <c r="BJ190" s="284" t="e">
        <f>IF(VLOOKUP(T_Convention[[#This Row],[NumL]],T_TraitDi[#Data],COLUMN(T_TraitDi[NbhTW]),FALSE)=0,"",TEXT(IFERROR(VLOOKUP(T_Convention[[#This Row],[NumL]],T_TraitDi[#Data],COLUMN(T_TraitDi[NbhTW]),FALSE),""),"[hh]:mm"))</f>
        <v>#N/A</v>
      </c>
      <c r="BK190" s="286" t="e">
        <f>IF(VLOOKUP(T_Convention[[#This Row],[NumL]],T_TraitDi[#Data],COLUMN(T_TraitDi[Nbhheb]),FALSE)=0,"",TEXT(IFERROR(VLOOKUP(T_Convention[[#This Row],[NumL]],T_TraitDi[#Data],COLUMN(T_TraitDi[Nbhheb]),FALSE),""),"[hh]:mm"))</f>
        <v>#N/A</v>
      </c>
      <c r="BL190" s="287" t="str">
        <f>IFERROR(VLOOKUP(VLOOKUP(T_Convention[[#This Row],[NumL]],T_TraitDi[#Data],COLUMN(T_TraitDi[Type1]),FALSE),TypeTW,2,FALSE),"")</f>
        <v/>
      </c>
      <c r="BM190" s="288" t="str">
        <f>IFERROR(VLOOKUP(T_Convention[[#This Row],[NumL]],T_TraitDi[#Data],COLUMN(T_TraitDi[Rue1]),FALSE),"")</f>
        <v/>
      </c>
      <c r="BN190" s="289" t="str">
        <f>IFERROR(VLOOKUP(T_Convention[[#This Row],[NumL]],T_TraitDi[#Data],COLUMN(T_TraitDi[CP1]),FALSE),"")</f>
        <v/>
      </c>
      <c r="BO190" s="282" t="str">
        <f>IFERROR(VLOOKUP(T_Convention[[#This Row],[NumL]],T_TraitDi[#Data],COLUMN(T_TraitDi[VILLE1]),FALSE),"")</f>
        <v/>
      </c>
      <c r="BP190" s="290" t="str">
        <f>IFERROR(VLOOKUP(VLOOKUP(T_Convention[[#This Row],[NumL]],T_TraitDi[#Data],COLUMN(T_TraitDi[Type2]),FALSE),TypeTW,2,FALSE),"")</f>
        <v/>
      </c>
      <c r="BQ190" s="182" t="str">
        <f>IFERROR(VLOOKUP(T_Convention[[#This Row],[NumL]],T_TraitDi[#Data],COLUMN(T_TraitDi[Rue2]),FALSE),"")</f>
        <v/>
      </c>
      <c r="BR190" s="173" t="str">
        <f>IFERROR(VLOOKUP(T_Convention[[#This Row],[NumL]],T_TraitDi[#Data],COLUMN(T_TraitDi[CP2]),FALSE),"")</f>
        <v/>
      </c>
      <c r="BS190" s="173" t="str">
        <f>IFERROR(VLOOKUP(T_Convention[[#This Row],[NumL]],T_TraitDi[#Data],COLUMN(T_TraitDi[VILLE2]),FALSE),"")</f>
        <v/>
      </c>
      <c r="BT190" s="182" t="str">
        <f>IF(VLOOKUP(T_Convention[[#This Row],[NumL]],T_Equipement[#Data],COLUMN(T_Equipement[PC]),FALSE)="","Aucun équipement spécifique directement lié au télétravail",VLOOKUP(T_Convention[[#This Row],[NumL]],T_Equipement[#Data],COLUMN(T_Equipement[PC]),FALSE))</f>
        <v>18-072	 mac</v>
      </c>
      <c r="BU190" s="166" t="str">
        <f>IFERROR(IF(VLOOKUP(T_Convention[[#This Row],[NumL]],T_TraitDi[#Data],COLUMN(T_TraitDi[Plan]),FALSE)="OK","Un planning spécifique de télétravail est annexé à la présente convention.",""),"")</f>
        <v/>
      </c>
      <c r="BV190" s="185" t="s">
        <v>3495</v>
      </c>
      <c r="BW190" s="164" t="e">
        <f>IF(VLOOKUP(T_Convention[[#This Row],[NumL]],T_suiviDi[#Data],COLUMN(T_suiviDi[Entité]),FALSE)="","",VLOOKUP(T_Convention[[#This Row],[NumL]],T_suiviDi[#Data],COLUMN(T_suiviDi[Entité]),FALSE))</f>
        <v>#N/A</v>
      </c>
      <c r="BX190" s="164" t="str">
        <f>IF(VLOOKUP(T_Convention[[#This Row],[NumL]],T_Commission[#Data],COLUMN(T_Commission[envoi confirm TW]),FALSE)="","",VLOOKUP(T_Convention[[#This Row],[NumL]],T_Commission[#Data],COLUMN(T_Commission[envoi confirm TW]),FALSE))</f>
        <v>Oui</v>
      </c>
      <c r="BY19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0" s="264">
        <f>VLOOKUP(T_Convention[[#This Row],[NumL]],T_Commission[#Data],COLUMN(T_Commission[Commentaire]),FALSE)</f>
        <v>0</v>
      </c>
      <c r="CA190" s="254" t="str">
        <f>IF(VLOOKUP(T_Convention[[#This Row],[NumL]],T_Commission[#Data],COLUMN(T_Commission[Encadrant Email]),FALSE)="","",VLOOKUP(T_Convention[[#This Row],[NumL]],T_Commission[#Data],COLUMN(T_Commission[Encadrant Email]),FALSE))</f>
        <v/>
      </c>
      <c r="CB190" s="352" t="e">
        <f>VLOOKUP(T_Convention[[#This Row],[NumL]],T_TraitDi[#Data],COLUMN(T_TraitDi[NbJTot]),FALSE)</f>
        <v>#N/A</v>
      </c>
      <c r="CC190" s="352" t="e">
        <f>VLOOKUP(T_Convention[[#This Row],[NumL]],T_TraitDi[#Data],COLUMN(T_TraitDi[Reg Ponct]),FALSE)</f>
        <v>#N/A</v>
      </c>
      <c r="CD190" s="348" t="str">
        <f>IF(T_Convention[[#This Row],[Final]]&lt;&gt;"",VLOOKUP(T_Convention[[#This Row],[NumL]],T_suiviDi[#Data],COLUMN((T_suiviDi[Statut])),FALSE),"")</f>
        <v/>
      </c>
    </row>
    <row r="191" spans="1:82" s="106" customFormat="1" ht="18.75" customHeight="1" x14ac:dyDescent="0.25">
      <c r="A191" s="160">
        <v>181</v>
      </c>
      <c r="B191" s="161" t="str">
        <f>VLOOKUP(T_Convention[[#This Row],[NumL]],T_Commission[#Data],COLUMN(T_Commission[FINAL]),FALSE)</f>
        <v/>
      </c>
      <c r="C191" s="162"/>
      <c r="D191" s="95" t="e">
        <f>IF(VLOOKUP(T_Convention[[#This Row],[NumL]],T_TraitDi[#Data],COLUMN(T_TraitDi[WebC]),FALSE)="","",VLOOKUP(T_Convention[[#This Row],[NumL]],T_TraitDi[#Data],COLUMN(T_TraitDi[WebC]),FALSE))</f>
        <v>#N/A</v>
      </c>
      <c r="E191" s="163" t="str">
        <f t="shared" si="10"/>
        <v>12 janvier 2021</v>
      </c>
      <c r="F191" s="282" t="str">
        <f>IF(T_Convention[[#This Row],[Final]]&lt;&gt;"",VLOOKUP(T_Convention[[#This Row],[NumL]],T_suiviDi[#Data],COLUMN((T_suiviDi[Civ.])),FALSE),"")</f>
        <v/>
      </c>
      <c r="G191" s="283" t="str">
        <f>IF(T_Convention[[#This Row],[Final]]&lt;&gt;"",VLOOKUP(T_Convention[[#This Row],[NumL]],T_suiviDi[#Data],COLUMN((T_suiviDi[Nom])),FALSE),"")</f>
        <v/>
      </c>
      <c r="H191" s="282" t="str">
        <f>IF(T_Convention[[#This Row],[Final]]&lt;&gt;"",VLOOKUP(T_Convention[[#This Row],[NumL]],T_suiviDi[#Data],COLUMN((T_suiviDi[Prénom])),FALSE),"")</f>
        <v/>
      </c>
      <c r="I191" s="282" t="e">
        <f>VLOOKUP(T_Convention[[#This Row],[NumL]],T_suiviDi[#Data],COLUMN((T_suiviDi[[#This Row],[Email]])),FALSE)</f>
        <v>#VALUE!</v>
      </c>
      <c r="J191" s="282" t="e">
        <f>IF(VLOOKUP(T_Convention[[#This Row],[NumL]],T_suiviDi[#Data],COLUMN(T_suiviDi[[#This Row],[Fonction]]),FALSE)="","",VLOOKUP(T_Convention[[#This Row],[NumL]],T_suiviDi[#Data],COLUMN(T_suiviDi[[#This Row],[Fonction]]),FALSE))</f>
        <v>#VALUE!</v>
      </c>
      <c r="K191" s="282" t="e">
        <f>IF(VLOOKUP(T_Convention[[#This Row],[NumL]],T_suiviDi[#Data],COLUMN(T_suiviDi[[#This Row],[Grade]]),FALSE)="","",VLOOKUP(T_Convention[[#This Row],[NumL]],T_suiviDi[#Data],COLUMN(T_suiviDi[[#This Row],[Grade]]),FALSE))</f>
        <v>#VALUE!</v>
      </c>
      <c r="L191" s="282" t="e">
        <f>IF(VLOOKUP(T_Convention[[#This Row],[NumL]],T_suiviDi[#Data],COLUMN(T_suiviDi[[#This Row],[Service ]]),FALSE)="","",VLOOKUP(T_Convention[[#This Row],[NumL]],T_suiviDi[#Data],COLUMN(T_suiviDi[[#This Row],[Service ]]),FALSE))</f>
        <v>#VALUE!</v>
      </c>
      <c r="M191" s="164" t="str">
        <f t="shared" si="11"/>
        <v>01 septembre 2021</v>
      </c>
      <c r="N191" s="164" t="str">
        <f t="shared" si="12"/>
        <v>30 novembre 2021</v>
      </c>
      <c r="O191" s="284" t="str">
        <f t="shared" si="13"/>
        <v>30 novembre 2021</v>
      </c>
      <c r="P191" s="282" t="e">
        <f>IF(VLOOKUP(T_Convention[[#This Row],[NumL]],T_TraitDi[#Data],COLUMN(T_TraitDi[M1]),FALSE)="","",VLOOKUP(T_Convention[[#This Row],[NumL]],T_TraitDi[#Data],COLUMN(T_TraitDi[M1]),FALSE))</f>
        <v>#N/A</v>
      </c>
      <c r="Q191" s="282" t="e">
        <f>IF(VLOOKUP(T_Convention[[#This Row],[NumL]],T_TraitDi[#Data],COLUMN(T_TraitDi[M2]),FALSE)="","",VLOOKUP(T_Convention[[#This Row],[NumL]],T_TraitDi[#Data],COLUMN(T_TraitDi[M2]),FALSE))</f>
        <v>#N/A</v>
      </c>
      <c r="R191" s="282" t="e">
        <f>IF(VLOOKUP(T_Convention[[#This Row],[NumL]],T_TraitDi[#Data],COLUMN(T_TraitDi[M3]),FALSE)="","",VLOOKUP(T_Convention[[#This Row],[NumL]],T_TraitDi[#Data],COLUMN(T_TraitDi[M3]),FALSE))</f>
        <v>#N/A</v>
      </c>
      <c r="S191" s="282" t="e">
        <f>IF(VLOOKUP(T_Convention[[#This Row],[NumL]],T_TraitDi[#Data],COLUMN(T_TraitDi[M4]),FALSE)="","",VLOOKUP(T_Convention[[#This Row],[NumL]],T_TraitDi[#Data],COLUMN(T_TraitDi[M4]),FALSE))</f>
        <v>#N/A</v>
      </c>
      <c r="T191" s="282" t="e">
        <f>IF(VLOOKUP(T_Convention[[#This Row],[NumL]],T_TraitDi[#Data],COLUMN(T_TraitDi[M5]),FALSE)="","",VLOOKUP(T_Convention[[#This Row],[NumL]],T_TraitDi[#Data],COLUMN(T_TraitDi[M5]),FALSE))</f>
        <v>#N/A</v>
      </c>
      <c r="U191" s="282" t="e">
        <f>IF(VLOOKUP(T_Convention[[#This Row],[NumL]],T_TraitDi[#Data],COLUMN(T_TraitDi[M6]),FALSE)="","",VLOOKUP(T_Convention[[#This Row],[NumL]],T_TraitDi[#Data],COLUMN(T_TraitDi[M6]),FALSE))</f>
        <v>#N/A</v>
      </c>
      <c r="V191" s="176" t="e">
        <f t="shared" si="14"/>
        <v>#N/A</v>
      </c>
      <c r="W191" s="284" t="str">
        <f>IFERROR(TEXT(VLOOKUP(T_Convention[[#This Row],[NumL]],T_TraitDi[#Data],COLUMN(T_TraitDi[Q2]),FALSE),"###%"),"")</f>
        <v/>
      </c>
      <c r="X191" s="97" t="e">
        <f>VLOOKUP(T_Convention[[#This Row],[NumL]],T_TraitDi[#Data],COLUMN(T_TraitDi[Reg Ponct]),FALSE)</f>
        <v>#N/A</v>
      </c>
      <c r="Y191" s="97" t="e">
        <f>VLOOKUP(T_Convention[NumL],T_TraitDi[#Data],COLUMN(T_TraitDi[Jours flottants]),FALSE)</f>
        <v>#N/A</v>
      </c>
      <c r="Z191" s="284" t="str">
        <f>IFERROR(VLOOKUP(T_Convention[[#This Row],[NumL]],T_TraitDi[#Data],COLUMN(T_TraitDi[Lundi]),FALSE),"")</f>
        <v/>
      </c>
      <c r="AA191" s="284" t="e">
        <f>IF(VLOOKUP(T_Convention[[#This Row],[NumL]],T_TraitDi[#Data],COLUMN(T_TraitDi[Colonne3]),FALSE)=0,"",TEXT(IFERROR(VLOOKUP(T_Convention[[#This Row],[NumL]],T_TraitDi[#Data],COLUMN(T_TraitDi[Colonne3]),FALSE),""),"[hh]:mm"))</f>
        <v>#N/A</v>
      </c>
      <c r="AB191" s="284" t="e">
        <f>IF(VLOOKUP(T_Convention[[#This Row],[NumL]],T_TraitDi[#Data],COLUMN(T_TraitDi[Colonne4]),FALSE)=0,"",TEXT(IFERROR(VLOOKUP(T_Convention[[#This Row],[NumL]],T_TraitDi[#Data],COLUMN(T_TraitDi[Colonne4]),FALSE),""),"[hh]:mm"))</f>
        <v>#N/A</v>
      </c>
      <c r="AC191" s="284" t="e">
        <f>IF(VLOOKUP(T_Convention[[#This Row],[NumL]],T_TraitDi[#Data],COLUMN(T_TraitDi[Colonne5]),FALSE)=0,"",TEXT(IFERROR(VLOOKUP(T_Convention[[#This Row],[NumL]],T_TraitDi[#Data],COLUMN(T_TraitDi[Colonne5]),FALSE),""),"[hh]:mm"))</f>
        <v>#N/A</v>
      </c>
      <c r="AD191" s="284" t="e">
        <f>IF(VLOOKUP(T_Convention[[#This Row],[NumL]],T_TraitDi[#Data],COLUMN(T_TraitDi[Colonne6]),FALSE)=0,"",TEXT(IFERROR(VLOOKUP(T_Convention[[#This Row],[NumL]],T_TraitDi[#Data],COLUMN(T_TraitDi[Colonne6]),FALSE),""),"[hh]:mm"))</f>
        <v>#N/A</v>
      </c>
      <c r="AE191" s="284" t="e">
        <f>IF(VLOOKUP(T_Convention[[#This Row],[NumL]],T_TraitDi[#Data],COLUMN(T_TraitDi[Colonne7]),FALSE)=0,"",TEXT(IFERROR(VLOOKUP(T_Convention[[#This Row],[NumL]],T_TraitDi[#Data],COLUMN(T_TraitDi[Colonne7]),FALSE),""),"[hh]:mm"))</f>
        <v>#N/A</v>
      </c>
      <c r="AF191" s="284" t="e">
        <f>IF(VLOOKUP(T_Convention[[#This Row],[NumL]],T_TraitDi[#Data],COLUMN(T_TraitDi[Colonne8]),FALSE)=0,"",TEXT(IFERROR(VLOOKUP(T_Convention[[#This Row],[NumL]],T_TraitDi[#Data],COLUMN(T_TraitDi[Colonne8]),FALSE),""),"[hh]:mm"))</f>
        <v>#N/A</v>
      </c>
      <c r="AG191" s="284" t="str">
        <f>IFERROR(VLOOKUP(T_Convention[[#This Row],[NumL]],T_TraitDi[#Data],COLUMN(T_TraitDi[Mardi]),FALSE),"")</f>
        <v/>
      </c>
      <c r="AH191" s="284" t="e">
        <f>IF(VLOOKUP(T_Convention[[#This Row],[NumL]],T_TraitDi[#Data],COLUMN(T_TraitDi[Colonne1]),FALSE)=0,"",TEXT(IFERROR(VLOOKUP(T_Convention[[#This Row],[NumL]],T_TraitDi[#Data],COLUMN(T_TraitDi[Colonne1]),FALSE),""),"[hh]:mm"))</f>
        <v>#N/A</v>
      </c>
      <c r="AI191" s="284" t="e">
        <f>IF(VLOOKUP(T_Convention[[#This Row],[NumL]],T_TraitDi[#Data],COLUMN(T_TraitDi[Colonne9]),FALSE)=0,"",TEXT(IFERROR(VLOOKUP(T_Convention[[#This Row],[NumL]],T_TraitDi[#Data],COLUMN(T_TraitDi[Colonne9]),FALSE),""),"[hh]:mm"))</f>
        <v>#N/A</v>
      </c>
      <c r="AJ191" s="284" t="str">
        <f>IFERROR(VLOOKUP(T_Convention[[#This Row],[NumL]],T_TraitDi[#Data],COLUMN(T_TraitDi[Colonne10]),FALSE),"")</f>
        <v/>
      </c>
      <c r="AK191" s="284" t="e">
        <f>IF(VLOOKUP(T_Convention[[#This Row],[NumL]],T_TraitDi[#Data],COLUMN(T_TraitDi[Colonne11]),FALSE)=0,"",TEXT(IFERROR(VLOOKUP(T_Convention[[#This Row],[NumL]],T_TraitDi[#Data],COLUMN(T_TraitDi[Colonne11]),FALSE),""),"[hh]:mm"))</f>
        <v>#N/A</v>
      </c>
      <c r="AL191" s="284" t="e">
        <f>IF(VLOOKUP(T_Convention[[#This Row],[NumL]],T_TraitDi[#Data],COLUMN(T_TraitDi[Colonne12]),FALSE)=0,"",TEXT(IFERROR(VLOOKUP(T_Convention[[#This Row],[NumL]],T_TraitDi[#Data],COLUMN(T_TraitDi[Colonne12]),FALSE),""),"[hh]:mm"))</f>
        <v>#N/A</v>
      </c>
      <c r="AM191" s="284" t="e">
        <f>IF(VLOOKUP(T_Convention[[#This Row],[NumL]],T_TraitDi[#Data],COLUMN(T_TraitDi[Colonne14]),FALSE)=0,"",TEXT(IFERROR(VLOOKUP(T_Convention[[#This Row],[NumL]],T_TraitDi[#Data],COLUMN(T_TraitDi[Colonne14]),FALSE),""),"[hh]:mm"))</f>
        <v>#N/A</v>
      </c>
      <c r="AN191" s="284" t="str">
        <f>IFERROR(VLOOKUP(T_Convention[[#This Row],[NumL]],T_TraitDi[#Data],COLUMN(T_TraitDi[Mercredi]),FALSE),"")</f>
        <v/>
      </c>
      <c r="AO191" s="284" t="e">
        <f>IF(VLOOKUP(T_Convention[[#This Row],[NumL]],T_TraitDi[#Data],COLUMN(T_TraitDi[Colonne15]),FALSE)=0,"",TEXT(IFERROR(VLOOKUP(T_Convention[[#This Row],[NumL]],T_TraitDi[#Data],COLUMN(T_TraitDi[Colonne15]),FALSE),""),"[hh]:mm"))</f>
        <v>#N/A</v>
      </c>
      <c r="AP191" s="284" t="e">
        <f>IF(VLOOKUP(T_Convention[[#This Row],[NumL]],T_TraitDi[#Data],COLUMN(T_TraitDi[Colonne16]),FALSE)=0,"",TEXT(IFERROR(VLOOKUP(T_Convention[[#This Row],[NumL]],T_TraitDi[#Data],COLUMN(T_TraitDi[Colonne16]),FALSE),""),"[hh]:mm"))</f>
        <v>#N/A</v>
      </c>
      <c r="AQ191" s="284" t="str">
        <f>IFERROR(VLOOKUP(T_Convention[[#This Row],[NumL]],T_TraitDi[#Data],COLUMN(T_TraitDi[Colonne17]),FALSE),"")</f>
        <v/>
      </c>
      <c r="AR191" s="284" t="e">
        <f>IF(VLOOKUP(T_Convention[[#This Row],[NumL]],T_TraitDi[#Data],COLUMN(T_TraitDi[Colonne18]),FALSE)=0,"",TEXT(IFERROR(VLOOKUP(T_Convention[[#This Row],[NumL]],T_TraitDi[#Data],COLUMN(T_TraitDi[Colonne18]),FALSE),""),"[hh]:mm"))</f>
        <v>#N/A</v>
      </c>
      <c r="AS191" s="284" t="e">
        <f>IF(VLOOKUP(T_Convention[[#This Row],[NumL]],T_TraitDi[#Data],COLUMN(T_TraitDi[Colonne19]),FALSE)=0,"",TEXT(IFERROR(VLOOKUP(T_Convention[[#This Row],[NumL]],T_TraitDi[#Data],COLUMN(T_TraitDi[Colonne19]),FALSE),""),"[hh]:mm"))</f>
        <v>#N/A</v>
      </c>
      <c r="AT191" s="284" t="e">
        <f>IF(VLOOKUP(T_Convention[[#This Row],[NumL]],T_TraitDi[#Data],COLUMN(T_TraitDi[Colonne20]),FALSE)=0,"",TEXT(IFERROR(VLOOKUP(T_Convention[[#This Row],[NumL]],T_TraitDi[#Data],COLUMN(T_TraitDi[Colonne20]),FALSE),""),"[hh]:mm"))</f>
        <v>#N/A</v>
      </c>
      <c r="AU191" s="284" t="str">
        <f>IFERROR(VLOOKUP(T_Convention[[#This Row],[NumL]],T_TraitDi[#Data],COLUMN(T_TraitDi[Jeudi]),FALSE),"")</f>
        <v/>
      </c>
      <c r="AV191" s="284" t="e">
        <f>IF(VLOOKUP(T_Convention[[#This Row],[NumL]],T_TraitDi[#Data],COLUMN(T_TraitDi[Colonne21]),FALSE)=0,"",TEXT(IFERROR(VLOOKUP(T_Convention[[#This Row],[NumL]],T_TraitDi[#Data],COLUMN(T_TraitDi[Colonne21]),FALSE),""),"[hh]:mm"))</f>
        <v>#N/A</v>
      </c>
      <c r="AW191" s="284" t="e">
        <f>IF(VLOOKUP(T_Convention[[#This Row],[NumL]],T_TraitDi[#Data],COLUMN(T_TraitDi[Colonne22]),FALSE)=0,"",TEXT(IFERROR(VLOOKUP(T_Convention[[#This Row],[NumL]],T_TraitDi[#Data],COLUMN(T_TraitDi[Colonne22]),FALSE),""),"[hh]:mm"))</f>
        <v>#N/A</v>
      </c>
      <c r="AX191" s="284" t="str">
        <f>IFERROR(VLOOKUP(T_Convention[[#This Row],[NumL]],T_TraitDi[#Data],COLUMN(T_TraitDi[Colonne23]),FALSE),"")</f>
        <v/>
      </c>
      <c r="AY191" s="284" t="e">
        <f>IF(VLOOKUP(T_Convention[[#This Row],[NumL]],T_TraitDi[#Data],COLUMN(T_TraitDi[Colonne24]),FALSE)=0,"",TEXT(IFERROR(VLOOKUP(T_Convention[[#This Row],[NumL]],T_TraitDi[#Data],COLUMN(T_TraitDi[Colonne24]),FALSE),""),"[hh]:mm"))</f>
        <v>#N/A</v>
      </c>
      <c r="AZ191" s="284" t="e">
        <f>IF(VLOOKUP(T_Convention[[#This Row],[NumL]],T_TraitDi[#Data],COLUMN(T_TraitDi[Colonne25]),FALSE)=0,"",TEXT(IFERROR(VLOOKUP(T_Convention[[#This Row],[NumL]],T_TraitDi[#Data],COLUMN(T_TraitDi[Colonne25]),FALSE),""),"[hh]:mm"))</f>
        <v>#N/A</v>
      </c>
      <c r="BA191" s="284" t="e">
        <f>IF(VLOOKUP(T_Convention[[#This Row],[NumL]],T_TraitDi[#Data],COLUMN(T_TraitDi[Colonne26]),FALSE)=0,"",TEXT(IFERROR(VLOOKUP(T_Convention[[#This Row],[NumL]],T_TraitDi[#Data],COLUMN(T_TraitDi[Colonne26]),FALSE),""),"[hh]:mm"))</f>
        <v>#N/A</v>
      </c>
      <c r="BB191" s="284" t="str">
        <f>IFERROR(VLOOKUP(T_Convention[[#This Row],[NumL]],T_TraitDi[#Data],COLUMN(T_TraitDi[Vendredi]),FALSE),"")</f>
        <v/>
      </c>
      <c r="BC191" s="284" t="e">
        <f>IF(VLOOKUP(T_Convention[[#This Row],[NumL]],T_TraitDi[#Data],COLUMN(T_TraitDi[Colonne27]),FALSE)=0,"",TEXT(IFERROR(VLOOKUP(T_Convention[[#This Row],[NumL]],T_TraitDi[#Data],COLUMN(T_TraitDi[Colonne27]),FALSE),""),"[hh]:mm"))</f>
        <v>#N/A</v>
      </c>
      <c r="BD191" s="284" t="e">
        <f>IF(VLOOKUP(T_Convention[[#This Row],[NumL]],T_TraitDi[#Data],COLUMN(T_TraitDi[Colonne28]),FALSE)=0,"",TEXT(IFERROR(VLOOKUP(T_Convention[[#This Row],[NumL]],T_TraitDi[#Data],COLUMN(T_TraitDi[Colonne28]),FALSE),""),"[hh]:mm"))</f>
        <v>#N/A</v>
      </c>
      <c r="BE191" s="284" t="str">
        <f>IFERROR(VLOOKUP(T_Convention[[#This Row],[NumL]],T_TraitDi[#Data],COLUMN(T_TraitDi[Colonne29]),FALSE),"")</f>
        <v/>
      </c>
      <c r="BF191" s="284" t="e">
        <f>IF(VLOOKUP(T_Convention[[#This Row],[NumL]],T_TraitDi[#Data],COLUMN(T_TraitDi[Colonne30]),FALSE)=0,"",TEXT(IFERROR(VLOOKUP(T_Convention[[#This Row],[NumL]],T_TraitDi[#Data],COLUMN(T_TraitDi[Colonne30]),FALSE),""),"[hh]:mm"))</f>
        <v>#N/A</v>
      </c>
      <c r="BG191" s="284" t="e">
        <f>IF(VLOOKUP(T_Convention[[#This Row],[NumL]],T_TraitDi[#Data],COLUMN(T_TraitDi[Colonne31]),FALSE)=0,"",TEXT(IFERROR(VLOOKUP(T_Convention[[#This Row],[NumL]],T_TraitDi[#Data],COLUMN(T_TraitDi[Colonne31]),FALSE),""),"[hh]:mm"))</f>
        <v>#N/A</v>
      </c>
      <c r="BH191" s="284" t="e">
        <f>IF(VLOOKUP(T_Convention[[#This Row],[NumL]],T_TraitDi[#Data],COLUMN(T_TraitDi[Colonne32]),FALSE)=0,"",TEXT(IFERROR(VLOOKUP(T_Convention[[#This Row],[NumL]],T_TraitDi[#Data],COLUMN(T_TraitDi[Colonne32]),FALSE),""),"[hh]:mm"))</f>
        <v>#N/A</v>
      </c>
      <c r="BI191" s="284" t="str">
        <f>IFERROR(VLOOKUP(T_Convention[[#This Row],[NumL]],T_TraitDi[#Data],COLUMN(T_TraitDi[NbJTW]),FALSE),"")</f>
        <v/>
      </c>
      <c r="BJ191" s="284" t="e">
        <f>IF(VLOOKUP(T_Convention[[#This Row],[NumL]],T_TraitDi[#Data],COLUMN(T_TraitDi[NbhTW]),FALSE)=0,"",TEXT(IFERROR(VLOOKUP(T_Convention[[#This Row],[NumL]],T_TraitDi[#Data],COLUMN(T_TraitDi[NbhTW]),FALSE),""),"[hh]:mm"))</f>
        <v>#N/A</v>
      </c>
      <c r="BK191" s="286" t="e">
        <f>IF(VLOOKUP(T_Convention[[#This Row],[NumL]],T_TraitDi[#Data],COLUMN(T_TraitDi[Nbhheb]),FALSE)=0,"",TEXT(IFERROR(VLOOKUP(T_Convention[[#This Row],[NumL]],T_TraitDi[#Data],COLUMN(T_TraitDi[Nbhheb]),FALSE),""),"[hh]:mm"))</f>
        <v>#N/A</v>
      </c>
      <c r="BL191" s="287" t="str">
        <f>IFERROR(VLOOKUP(VLOOKUP(T_Convention[[#This Row],[NumL]],T_TraitDi[#Data],COLUMN(T_TraitDi[Type1]),FALSE),TypeTW,2,FALSE),"")</f>
        <v/>
      </c>
      <c r="BM191" s="288" t="str">
        <f>IFERROR(VLOOKUP(T_Convention[[#This Row],[NumL]],T_TraitDi[#Data],COLUMN(T_TraitDi[Rue1]),FALSE),"")</f>
        <v/>
      </c>
      <c r="BN191" s="289" t="str">
        <f>IFERROR(VLOOKUP(T_Convention[[#This Row],[NumL]],T_TraitDi[#Data],COLUMN(T_TraitDi[CP1]),FALSE),"")</f>
        <v/>
      </c>
      <c r="BO191" s="282" t="str">
        <f>IFERROR(VLOOKUP(T_Convention[[#This Row],[NumL]],T_TraitDi[#Data],COLUMN(T_TraitDi[VILLE1]),FALSE),"")</f>
        <v/>
      </c>
      <c r="BP191" s="290" t="str">
        <f>IFERROR(VLOOKUP(VLOOKUP(T_Convention[[#This Row],[NumL]],T_TraitDi[#Data],COLUMN(T_TraitDi[Type2]),FALSE),TypeTW,2,FALSE),"")</f>
        <v/>
      </c>
      <c r="BQ191" s="182" t="str">
        <f>IFERROR(VLOOKUP(T_Convention[[#This Row],[NumL]],T_TraitDi[#Data],COLUMN(T_TraitDi[Rue2]),FALSE),"")</f>
        <v/>
      </c>
      <c r="BR191" s="173" t="str">
        <f>IFERROR(VLOOKUP(T_Convention[[#This Row],[NumL]],T_TraitDi[#Data],COLUMN(T_TraitDi[CP2]),FALSE),"")</f>
        <v/>
      </c>
      <c r="BS191" s="173" t="str">
        <f>IFERROR(VLOOKUP(T_Convention[[#This Row],[NumL]],T_TraitDi[#Data],COLUMN(T_TraitDi[VILLE2]),FALSE),"")</f>
        <v/>
      </c>
      <c r="BT191" s="182" t="str">
        <f>IF(VLOOKUP(T_Convention[[#This Row],[NumL]],T_Equipement[#Data],COLUMN(T_Equipement[PC]),FALSE)="","Aucun équipement spécifique directement lié au télétravail",VLOOKUP(T_Convention[[#This Row],[NumL]],T_Equipement[#Data],COLUMN(T_Equipement[PC]),FALSE))</f>
        <v xml:space="preserve">20-455	</v>
      </c>
      <c r="BU191" s="166" t="str">
        <f>IFERROR(IF(VLOOKUP(T_Convention[[#This Row],[NumL]],T_TraitDi[#Data],COLUMN(T_TraitDi[Plan]),FALSE)="OK","Un planning spécifique de télétravail est annexé à la présente convention.",""),"")</f>
        <v/>
      </c>
      <c r="BV191" s="185" t="s">
        <v>3425</v>
      </c>
      <c r="BW191" s="164" t="e">
        <f>IF(VLOOKUP(T_Convention[[#This Row],[NumL]],T_suiviDi[#Data],COLUMN(T_suiviDi[Entité]),FALSE)="","",VLOOKUP(T_Convention[[#This Row],[NumL]],T_suiviDi[#Data],COLUMN(T_suiviDi[Entité]),FALSE))</f>
        <v>#N/A</v>
      </c>
      <c r="BX191" s="164" t="str">
        <f>IF(VLOOKUP(T_Convention[[#This Row],[NumL]],T_Commission[#Data],COLUMN(T_Commission[envoi confirm TW]),FALSE)="","",VLOOKUP(T_Convention[[#This Row],[NumL]],T_Commission[#Data],COLUMN(T_Commission[envoi confirm TW]),FALSE))</f>
        <v>Oui</v>
      </c>
      <c r="BY19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1" s="264">
        <f>VLOOKUP(T_Convention[[#This Row],[NumL]],T_Commission[#Data],COLUMN(T_Commission[Commentaire]),FALSE)</f>
        <v>0</v>
      </c>
      <c r="CA191" s="254" t="str">
        <f>IF(VLOOKUP(T_Convention[[#This Row],[NumL]],T_Commission[#Data],COLUMN(T_Commission[Encadrant Email]),FALSE)="","",VLOOKUP(T_Convention[[#This Row],[NumL]],T_Commission[#Data],COLUMN(T_Commission[Encadrant Email]),FALSE))</f>
        <v/>
      </c>
      <c r="CB191" s="352" t="e">
        <f>VLOOKUP(T_Convention[[#This Row],[NumL]],T_TraitDi[#Data],COLUMN(T_TraitDi[NbJTot]),FALSE)</f>
        <v>#N/A</v>
      </c>
      <c r="CC191" s="352" t="e">
        <f>VLOOKUP(T_Convention[[#This Row],[NumL]],T_TraitDi[#Data],COLUMN(T_TraitDi[Reg Ponct]),FALSE)</f>
        <v>#N/A</v>
      </c>
      <c r="CD191" s="348" t="str">
        <f>IF(T_Convention[[#This Row],[Final]]&lt;&gt;"",VLOOKUP(T_Convention[[#This Row],[NumL]],T_suiviDi[#Data],COLUMN((T_suiviDi[Statut])),FALSE),"")</f>
        <v/>
      </c>
    </row>
    <row r="192" spans="1:82" s="106" customFormat="1" ht="18.75" customHeight="1" x14ac:dyDescent="0.25">
      <c r="A192" s="160">
        <v>97</v>
      </c>
      <c r="B192" s="161" t="str">
        <f>VLOOKUP(T_Convention[[#This Row],[NumL]],T_Commission[#Data],COLUMN(T_Commission[FINAL]),FALSE)</f>
        <v/>
      </c>
      <c r="C192" s="162"/>
      <c r="D192" s="95" t="e">
        <f>IF(VLOOKUP(T_Convention[[#This Row],[NumL]],T_TraitDi[#Data],COLUMN(T_TraitDi[WebC]),FALSE)="","",VLOOKUP(T_Convention[[#This Row],[NumL]],T_TraitDi[#Data],COLUMN(T_TraitDi[WebC]),FALSE))</f>
        <v>#N/A</v>
      </c>
      <c r="E192" s="163" t="str">
        <f t="shared" si="10"/>
        <v>12 janvier 2021</v>
      </c>
      <c r="F192" s="282" t="str">
        <f>IF(T_Convention[[#This Row],[Final]]&lt;&gt;"",VLOOKUP(T_Convention[[#This Row],[NumL]],T_suiviDi[#Data],COLUMN((T_suiviDi[Civ.])),FALSE),"")</f>
        <v/>
      </c>
      <c r="G192" s="283" t="str">
        <f>IF(T_Convention[[#This Row],[Final]]&lt;&gt;"",VLOOKUP(T_Convention[[#This Row],[NumL]],T_suiviDi[#Data],COLUMN((T_suiviDi[Nom])),FALSE),"")</f>
        <v/>
      </c>
      <c r="H192" s="282" t="str">
        <f>IF(T_Convention[[#This Row],[Final]]&lt;&gt;"",VLOOKUP(T_Convention[[#This Row],[NumL]],T_suiviDi[#Data],COLUMN((T_suiviDi[Prénom])),FALSE),"")</f>
        <v/>
      </c>
      <c r="I192" s="282" t="e">
        <f>VLOOKUP(T_Convention[[#This Row],[NumL]],T_suiviDi[#Data],COLUMN((T_suiviDi[[#This Row],[Email]])),FALSE)</f>
        <v>#VALUE!</v>
      </c>
      <c r="J192" s="282" t="e">
        <f>IF(VLOOKUP(T_Convention[[#This Row],[NumL]],T_suiviDi[#Data],COLUMN(T_suiviDi[[#This Row],[Fonction]]),FALSE)="","",VLOOKUP(T_Convention[[#This Row],[NumL]],T_suiviDi[#Data],COLUMN(T_suiviDi[[#This Row],[Fonction]]),FALSE))</f>
        <v>#VALUE!</v>
      </c>
      <c r="K192" s="282" t="e">
        <f>IF(VLOOKUP(T_Convention[[#This Row],[NumL]],T_suiviDi[#Data],COLUMN(T_suiviDi[[#This Row],[Grade]]),FALSE)="","",VLOOKUP(T_Convention[[#This Row],[NumL]],T_suiviDi[#Data],COLUMN(T_suiviDi[[#This Row],[Grade]]),FALSE))</f>
        <v>#VALUE!</v>
      </c>
      <c r="L192" s="282" t="e">
        <f>IF(VLOOKUP(T_Convention[[#This Row],[NumL]],T_suiviDi[#Data],COLUMN(T_suiviDi[[#This Row],[Service ]]),FALSE)="","",VLOOKUP(T_Convention[[#This Row],[NumL]],T_suiviDi[#Data],COLUMN(T_suiviDi[[#This Row],[Service ]]),FALSE))</f>
        <v>#VALUE!</v>
      </c>
      <c r="M192" s="164" t="str">
        <f t="shared" si="11"/>
        <v>01 septembre 2021</v>
      </c>
      <c r="N192" s="164" t="str">
        <f t="shared" si="12"/>
        <v>30 novembre 2021</v>
      </c>
      <c r="O192" s="284" t="str">
        <f t="shared" si="13"/>
        <v>30 novembre 2021</v>
      </c>
      <c r="P192" s="282" t="e">
        <f>IF(VLOOKUP(T_Convention[[#This Row],[NumL]],T_TraitDi[#Data],COLUMN(T_TraitDi[M1]),FALSE)="","",VLOOKUP(T_Convention[[#This Row],[NumL]],T_TraitDi[#Data],COLUMN(T_TraitDi[M1]),FALSE))</f>
        <v>#N/A</v>
      </c>
      <c r="Q192" s="282" t="e">
        <f>IF(VLOOKUP(T_Convention[[#This Row],[NumL]],T_TraitDi[#Data],COLUMN(T_TraitDi[M2]),FALSE)="","",VLOOKUP(T_Convention[[#This Row],[NumL]],T_TraitDi[#Data],COLUMN(T_TraitDi[M2]),FALSE))</f>
        <v>#N/A</v>
      </c>
      <c r="R192" s="282" t="e">
        <f>IF(VLOOKUP(T_Convention[[#This Row],[NumL]],T_TraitDi[#Data],COLUMN(T_TraitDi[M3]),FALSE)="","",VLOOKUP(T_Convention[[#This Row],[NumL]],T_TraitDi[#Data],COLUMN(T_TraitDi[M3]),FALSE))</f>
        <v>#N/A</v>
      </c>
      <c r="S192" s="282" t="e">
        <f>IF(VLOOKUP(T_Convention[[#This Row],[NumL]],T_TraitDi[#Data],COLUMN(T_TraitDi[M4]),FALSE)="","",VLOOKUP(T_Convention[[#This Row],[NumL]],T_TraitDi[#Data],COLUMN(T_TraitDi[M4]),FALSE))</f>
        <v>#N/A</v>
      </c>
      <c r="T192" s="282" t="e">
        <f>IF(VLOOKUP(T_Convention[[#This Row],[NumL]],T_TraitDi[#Data],COLUMN(T_TraitDi[M5]),FALSE)="","",VLOOKUP(T_Convention[[#This Row],[NumL]],T_TraitDi[#Data],COLUMN(T_TraitDi[M5]),FALSE))</f>
        <v>#N/A</v>
      </c>
      <c r="U192" s="282" t="e">
        <f>IF(VLOOKUP(T_Convention[[#This Row],[NumL]],T_TraitDi[#Data],COLUMN(T_TraitDi[M6]),FALSE)="","",VLOOKUP(T_Convention[[#This Row],[NumL]],T_TraitDi[#Data],COLUMN(T_TraitDi[M6]),FALSE))</f>
        <v>#N/A</v>
      </c>
      <c r="V192" s="176" t="e">
        <f t="shared" si="14"/>
        <v>#N/A</v>
      </c>
      <c r="W192" s="284" t="str">
        <f>IFERROR(TEXT(VLOOKUP(T_Convention[[#This Row],[NumL]],T_TraitDi[#Data],COLUMN(T_TraitDi[Q2]),FALSE),"###%"),"")</f>
        <v/>
      </c>
      <c r="X192" s="97" t="e">
        <f>VLOOKUP(T_Convention[[#This Row],[NumL]],T_TraitDi[#Data],COLUMN(T_TraitDi[Reg Ponct]),FALSE)</f>
        <v>#N/A</v>
      </c>
      <c r="Y192" s="97" t="e">
        <f>VLOOKUP(T_Convention[NumL],T_TraitDi[#Data],COLUMN(T_TraitDi[Jours flottants]),FALSE)</f>
        <v>#N/A</v>
      </c>
      <c r="Z192" s="284" t="str">
        <f>IFERROR(VLOOKUP(T_Convention[[#This Row],[NumL]],T_TraitDi[#Data],COLUMN(T_TraitDi[Lundi]),FALSE),"")</f>
        <v/>
      </c>
      <c r="AA192" s="284" t="e">
        <f>IF(VLOOKUP(T_Convention[[#This Row],[NumL]],T_TraitDi[#Data],COLUMN(T_TraitDi[Colonne3]),FALSE)=0,"",TEXT(IFERROR(VLOOKUP(T_Convention[[#This Row],[NumL]],T_TraitDi[#Data],COLUMN(T_TraitDi[Colonne3]),FALSE),""),"[hh]:mm"))</f>
        <v>#N/A</v>
      </c>
      <c r="AB192" s="284" t="e">
        <f>IF(VLOOKUP(T_Convention[[#This Row],[NumL]],T_TraitDi[#Data],COLUMN(T_TraitDi[Colonne4]),FALSE)=0,"",TEXT(IFERROR(VLOOKUP(T_Convention[[#This Row],[NumL]],T_TraitDi[#Data],COLUMN(T_TraitDi[Colonne4]),FALSE),""),"[hh]:mm"))</f>
        <v>#N/A</v>
      </c>
      <c r="AC192" s="284" t="e">
        <f>IF(VLOOKUP(T_Convention[[#This Row],[NumL]],T_TraitDi[#Data],COLUMN(T_TraitDi[Colonne5]),FALSE)=0,"",TEXT(IFERROR(VLOOKUP(T_Convention[[#This Row],[NumL]],T_TraitDi[#Data],COLUMN(T_TraitDi[Colonne5]),FALSE),""),"[hh]:mm"))</f>
        <v>#N/A</v>
      </c>
      <c r="AD192" s="284" t="e">
        <f>IF(VLOOKUP(T_Convention[[#This Row],[NumL]],T_TraitDi[#Data],COLUMN(T_TraitDi[Colonne6]),FALSE)=0,"",TEXT(IFERROR(VLOOKUP(T_Convention[[#This Row],[NumL]],T_TraitDi[#Data],COLUMN(T_TraitDi[Colonne6]),FALSE),""),"[hh]:mm"))</f>
        <v>#N/A</v>
      </c>
      <c r="AE192" s="284" t="e">
        <f>IF(VLOOKUP(T_Convention[[#This Row],[NumL]],T_TraitDi[#Data],COLUMN(T_TraitDi[Colonne7]),FALSE)=0,"",TEXT(IFERROR(VLOOKUP(T_Convention[[#This Row],[NumL]],T_TraitDi[#Data],COLUMN(T_TraitDi[Colonne7]),FALSE),""),"[hh]:mm"))</f>
        <v>#N/A</v>
      </c>
      <c r="AF192" s="284" t="e">
        <f>IF(VLOOKUP(T_Convention[[#This Row],[NumL]],T_TraitDi[#Data],COLUMN(T_TraitDi[Colonne8]),FALSE)=0,"",TEXT(IFERROR(VLOOKUP(T_Convention[[#This Row],[NumL]],T_TraitDi[#Data],COLUMN(T_TraitDi[Colonne8]),FALSE),""),"[hh]:mm"))</f>
        <v>#N/A</v>
      </c>
      <c r="AG192" s="284" t="str">
        <f>IFERROR(VLOOKUP(T_Convention[[#This Row],[NumL]],T_TraitDi[#Data],COLUMN(T_TraitDi[Mardi]),FALSE),"")</f>
        <v/>
      </c>
      <c r="AH192" s="284" t="e">
        <f>IF(VLOOKUP(T_Convention[[#This Row],[NumL]],T_TraitDi[#Data],COLUMN(T_TraitDi[Colonne1]),FALSE)=0,"",TEXT(IFERROR(VLOOKUP(T_Convention[[#This Row],[NumL]],T_TraitDi[#Data],COLUMN(T_TraitDi[Colonne1]),FALSE),""),"[hh]:mm"))</f>
        <v>#N/A</v>
      </c>
      <c r="AI192" s="284" t="e">
        <f>IF(VLOOKUP(T_Convention[[#This Row],[NumL]],T_TraitDi[#Data],COLUMN(T_TraitDi[Colonne9]),FALSE)=0,"",TEXT(IFERROR(VLOOKUP(T_Convention[[#This Row],[NumL]],T_TraitDi[#Data],COLUMN(T_TraitDi[Colonne9]),FALSE),""),"[hh]:mm"))</f>
        <v>#N/A</v>
      </c>
      <c r="AJ192" s="284" t="str">
        <f>IFERROR(VLOOKUP(T_Convention[[#This Row],[NumL]],T_TraitDi[#Data],COLUMN(T_TraitDi[Colonne10]),FALSE),"")</f>
        <v/>
      </c>
      <c r="AK192" s="284" t="e">
        <f>IF(VLOOKUP(T_Convention[[#This Row],[NumL]],T_TraitDi[#Data],COLUMN(T_TraitDi[Colonne11]),FALSE)=0,"",TEXT(IFERROR(VLOOKUP(T_Convention[[#This Row],[NumL]],T_TraitDi[#Data],COLUMN(T_TraitDi[Colonne11]),FALSE),""),"[hh]:mm"))</f>
        <v>#N/A</v>
      </c>
      <c r="AL192" s="284" t="e">
        <f>IF(VLOOKUP(T_Convention[[#This Row],[NumL]],T_TraitDi[#Data],COLUMN(T_TraitDi[Colonne12]),FALSE)=0,"",TEXT(IFERROR(VLOOKUP(T_Convention[[#This Row],[NumL]],T_TraitDi[#Data],COLUMN(T_TraitDi[Colonne12]),FALSE),""),"[hh]:mm"))</f>
        <v>#N/A</v>
      </c>
      <c r="AM192" s="284" t="e">
        <f>IF(VLOOKUP(T_Convention[[#This Row],[NumL]],T_TraitDi[#Data],COLUMN(T_TraitDi[Colonne14]),FALSE)=0,"",TEXT(IFERROR(VLOOKUP(T_Convention[[#This Row],[NumL]],T_TraitDi[#Data],COLUMN(T_TraitDi[Colonne14]),FALSE),""),"[hh]:mm"))</f>
        <v>#N/A</v>
      </c>
      <c r="AN192" s="284" t="str">
        <f>IFERROR(VLOOKUP(T_Convention[[#This Row],[NumL]],T_TraitDi[#Data],COLUMN(T_TraitDi[Mercredi]),FALSE),"")</f>
        <v/>
      </c>
      <c r="AO192" s="284" t="e">
        <f>IF(VLOOKUP(T_Convention[[#This Row],[NumL]],T_TraitDi[#Data],COLUMN(T_TraitDi[Colonne15]),FALSE)=0,"",TEXT(IFERROR(VLOOKUP(T_Convention[[#This Row],[NumL]],T_TraitDi[#Data],COLUMN(T_TraitDi[Colonne15]),FALSE),""),"[hh]:mm"))</f>
        <v>#N/A</v>
      </c>
      <c r="AP192" s="284" t="e">
        <f>IF(VLOOKUP(T_Convention[[#This Row],[NumL]],T_TraitDi[#Data],COLUMN(T_TraitDi[Colonne16]),FALSE)=0,"",TEXT(IFERROR(VLOOKUP(T_Convention[[#This Row],[NumL]],T_TraitDi[#Data],COLUMN(T_TraitDi[Colonne16]),FALSE),""),"[hh]:mm"))</f>
        <v>#N/A</v>
      </c>
      <c r="AQ192" s="284" t="str">
        <f>IFERROR(VLOOKUP(T_Convention[[#This Row],[NumL]],T_TraitDi[#Data],COLUMN(T_TraitDi[Colonne17]),FALSE),"")</f>
        <v/>
      </c>
      <c r="AR192" s="284" t="e">
        <f>IF(VLOOKUP(T_Convention[[#This Row],[NumL]],T_TraitDi[#Data],COLUMN(T_TraitDi[Colonne18]),FALSE)=0,"",TEXT(IFERROR(VLOOKUP(T_Convention[[#This Row],[NumL]],T_TraitDi[#Data],COLUMN(T_TraitDi[Colonne18]),FALSE),""),"[hh]:mm"))</f>
        <v>#N/A</v>
      </c>
      <c r="AS192" s="284" t="e">
        <f>IF(VLOOKUP(T_Convention[[#This Row],[NumL]],T_TraitDi[#Data],COLUMN(T_TraitDi[Colonne19]),FALSE)=0,"",TEXT(IFERROR(VLOOKUP(T_Convention[[#This Row],[NumL]],T_TraitDi[#Data],COLUMN(T_TraitDi[Colonne19]),FALSE),""),"[hh]:mm"))</f>
        <v>#N/A</v>
      </c>
      <c r="AT192" s="284" t="e">
        <f>IF(VLOOKUP(T_Convention[[#This Row],[NumL]],T_TraitDi[#Data],COLUMN(T_TraitDi[Colonne20]),FALSE)=0,"",TEXT(IFERROR(VLOOKUP(T_Convention[[#This Row],[NumL]],T_TraitDi[#Data],COLUMN(T_TraitDi[Colonne20]),FALSE),""),"[hh]:mm"))</f>
        <v>#N/A</v>
      </c>
      <c r="AU192" s="284" t="str">
        <f>IFERROR(VLOOKUP(T_Convention[[#This Row],[NumL]],T_TraitDi[#Data],COLUMN(T_TraitDi[Jeudi]),FALSE),"")</f>
        <v/>
      </c>
      <c r="AV192" s="284" t="e">
        <f>IF(VLOOKUP(T_Convention[[#This Row],[NumL]],T_TraitDi[#Data],COLUMN(T_TraitDi[Colonne21]),FALSE)=0,"",TEXT(IFERROR(VLOOKUP(T_Convention[[#This Row],[NumL]],T_TraitDi[#Data],COLUMN(T_TraitDi[Colonne21]),FALSE),""),"[hh]:mm"))</f>
        <v>#N/A</v>
      </c>
      <c r="AW192" s="284" t="e">
        <f>IF(VLOOKUP(T_Convention[[#This Row],[NumL]],T_TraitDi[#Data],COLUMN(T_TraitDi[Colonne22]),FALSE)=0,"",TEXT(IFERROR(VLOOKUP(T_Convention[[#This Row],[NumL]],T_TraitDi[#Data],COLUMN(T_TraitDi[Colonne22]),FALSE),""),"[hh]:mm"))</f>
        <v>#N/A</v>
      </c>
      <c r="AX192" s="284" t="str">
        <f>IFERROR(VLOOKUP(T_Convention[[#This Row],[NumL]],T_TraitDi[#Data],COLUMN(T_TraitDi[Colonne23]),FALSE),"")</f>
        <v/>
      </c>
      <c r="AY192" s="284" t="e">
        <f>IF(VLOOKUP(T_Convention[[#This Row],[NumL]],T_TraitDi[#Data],COLUMN(T_TraitDi[Colonne24]),FALSE)=0,"",TEXT(IFERROR(VLOOKUP(T_Convention[[#This Row],[NumL]],T_TraitDi[#Data],COLUMN(T_TraitDi[Colonne24]),FALSE),""),"[hh]:mm"))</f>
        <v>#N/A</v>
      </c>
      <c r="AZ192" s="284" t="e">
        <f>IF(VLOOKUP(T_Convention[[#This Row],[NumL]],T_TraitDi[#Data],COLUMN(T_TraitDi[Colonne25]),FALSE)=0,"",TEXT(IFERROR(VLOOKUP(T_Convention[[#This Row],[NumL]],T_TraitDi[#Data],COLUMN(T_TraitDi[Colonne25]),FALSE),""),"[hh]:mm"))</f>
        <v>#N/A</v>
      </c>
      <c r="BA192" s="284" t="e">
        <f>IF(VLOOKUP(T_Convention[[#This Row],[NumL]],T_TraitDi[#Data],COLUMN(T_TraitDi[Colonne26]),FALSE)=0,"",TEXT(IFERROR(VLOOKUP(T_Convention[[#This Row],[NumL]],T_TraitDi[#Data],COLUMN(T_TraitDi[Colonne26]),FALSE),""),"[hh]:mm"))</f>
        <v>#N/A</v>
      </c>
      <c r="BB192" s="284" t="str">
        <f>IFERROR(VLOOKUP(T_Convention[[#This Row],[NumL]],T_TraitDi[#Data],COLUMN(T_TraitDi[Vendredi]),FALSE),"")</f>
        <v/>
      </c>
      <c r="BC192" s="284" t="e">
        <f>IF(VLOOKUP(T_Convention[[#This Row],[NumL]],T_TraitDi[#Data],COLUMN(T_TraitDi[Colonne27]),FALSE)=0,"",TEXT(IFERROR(VLOOKUP(T_Convention[[#This Row],[NumL]],T_TraitDi[#Data],COLUMN(T_TraitDi[Colonne27]),FALSE),""),"[hh]:mm"))</f>
        <v>#N/A</v>
      </c>
      <c r="BD192" s="284" t="e">
        <f>IF(VLOOKUP(T_Convention[[#This Row],[NumL]],T_TraitDi[#Data],COLUMN(T_TraitDi[Colonne28]),FALSE)=0,"",TEXT(IFERROR(VLOOKUP(T_Convention[[#This Row],[NumL]],T_TraitDi[#Data],COLUMN(T_TraitDi[Colonne28]),FALSE),""),"[hh]:mm"))</f>
        <v>#N/A</v>
      </c>
      <c r="BE192" s="284" t="str">
        <f>IFERROR(VLOOKUP(T_Convention[[#This Row],[NumL]],T_TraitDi[#Data],COLUMN(T_TraitDi[Colonne29]),FALSE),"")</f>
        <v/>
      </c>
      <c r="BF192" s="284" t="e">
        <f>IF(VLOOKUP(T_Convention[[#This Row],[NumL]],T_TraitDi[#Data],COLUMN(T_TraitDi[Colonne30]),FALSE)=0,"",TEXT(IFERROR(VLOOKUP(T_Convention[[#This Row],[NumL]],T_TraitDi[#Data],COLUMN(T_TraitDi[Colonne30]),FALSE),""),"[hh]:mm"))</f>
        <v>#N/A</v>
      </c>
      <c r="BG192" s="284" t="e">
        <f>IF(VLOOKUP(T_Convention[[#This Row],[NumL]],T_TraitDi[#Data],COLUMN(T_TraitDi[Colonne31]),FALSE)=0,"",TEXT(IFERROR(VLOOKUP(T_Convention[[#This Row],[NumL]],T_TraitDi[#Data],COLUMN(T_TraitDi[Colonne31]),FALSE),""),"[hh]:mm"))</f>
        <v>#N/A</v>
      </c>
      <c r="BH192" s="284" t="e">
        <f>IF(VLOOKUP(T_Convention[[#This Row],[NumL]],T_TraitDi[#Data],COLUMN(T_TraitDi[Colonne32]),FALSE)=0,"",TEXT(IFERROR(VLOOKUP(T_Convention[[#This Row],[NumL]],T_TraitDi[#Data],COLUMN(T_TraitDi[Colonne32]),FALSE),""),"[hh]:mm"))</f>
        <v>#N/A</v>
      </c>
      <c r="BI192" s="284" t="str">
        <f>IFERROR(VLOOKUP(T_Convention[[#This Row],[NumL]],T_TraitDi[#Data],COLUMN(T_TraitDi[NbJTW]),FALSE),"")</f>
        <v/>
      </c>
      <c r="BJ192" s="284" t="e">
        <f>IF(VLOOKUP(T_Convention[[#This Row],[NumL]],T_TraitDi[#Data],COLUMN(T_TraitDi[NbhTW]),FALSE)=0,"",TEXT(IFERROR(VLOOKUP(T_Convention[[#This Row],[NumL]],T_TraitDi[#Data],COLUMN(T_TraitDi[NbhTW]),FALSE),""),"[hh]:mm"))</f>
        <v>#N/A</v>
      </c>
      <c r="BK192" s="286" t="e">
        <f>IF(VLOOKUP(T_Convention[[#This Row],[NumL]],T_TraitDi[#Data],COLUMN(T_TraitDi[Nbhheb]),FALSE)=0,"",TEXT(IFERROR(VLOOKUP(T_Convention[[#This Row],[NumL]],T_TraitDi[#Data],COLUMN(T_TraitDi[Nbhheb]),FALSE),""),"[hh]:mm"))</f>
        <v>#N/A</v>
      </c>
      <c r="BL192" s="287" t="str">
        <f>IFERROR(VLOOKUP(VLOOKUP(T_Convention[[#This Row],[NumL]],T_TraitDi[#Data],COLUMN(T_TraitDi[Type1]),FALSE),TypeTW,2,FALSE),"")</f>
        <v/>
      </c>
      <c r="BM192" s="288" t="str">
        <f>IFERROR(VLOOKUP(T_Convention[[#This Row],[NumL]],T_TraitDi[#Data],COLUMN(T_TraitDi[Rue1]),FALSE),"")</f>
        <v/>
      </c>
      <c r="BN192" s="289" t="str">
        <f>IFERROR(VLOOKUP(T_Convention[[#This Row],[NumL]],T_TraitDi[#Data],COLUMN(T_TraitDi[CP1]),FALSE),"")</f>
        <v/>
      </c>
      <c r="BO192" s="282" t="str">
        <f>IFERROR(VLOOKUP(T_Convention[[#This Row],[NumL]],T_TraitDi[#Data],COLUMN(T_TraitDi[VILLE1]),FALSE),"")</f>
        <v/>
      </c>
      <c r="BP192" s="290" t="str">
        <f>IFERROR(VLOOKUP(VLOOKUP(T_Convention[[#This Row],[NumL]],T_TraitDi[#Data],COLUMN(T_TraitDi[Type2]),FALSE),TypeTW,2,FALSE),"")</f>
        <v/>
      </c>
      <c r="BQ192" s="182" t="str">
        <f>IFERROR(VLOOKUP(T_Convention[[#This Row],[NumL]],T_TraitDi[#Data],COLUMN(T_TraitDi[Rue2]),FALSE),"")</f>
        <v/>
      </c>
      <c r="BR192" s="173" t="str">
        <f>IFERROR(VLOOKUP(T_Convention[[#This Row],[NumL]],T_TraitDi[#Data],COLUMN(T_TraitDi[CP2]),FALSE),"")</f>
        <v/>
      </c>
      <c r="BS192" s="173" t="str">
        <f>IFERROR(VLOOKUP(T_Convention[[#This Row],[NumL]],T_TraitDi[#Data],COLUMN(T_TraitDi[VILLE2]),FALSE),"")</f>
        <v/>
      </c>
      <c r="BT192" s="182" t="str">
        <f>IF(VLOOKUP(T_Convention[[#This Row],[NumL]],T_Equipement[#Data],COLUMN(T_Equipement[PC]),FALSE)="","Aucun équipement spécifique directement lié au télétravail",VLOOKUP(T_Convention[[#This Row],[NumL]],T_Equipement[#Data],COLUMN(T_Equipement[PC]),FALSE))</f>
        <v xml:space="preserve">20-094	</v>
      </c>
      <c r="BU192" s="166" t="str">
        <f>IFERROR(IF(VLOOKUP(T_Convention[[#This Row],[NumL]],T_TraitDi[#Data],COLUMN(T_TraitDi[Plan]),FALSE)="OK","Un planning spécifique de télétravail est annexé à la présente convention.",""),"")</f>
        <v/>
      </c>
      <c r="BV192" s="185" t="s">
        <v>3525</v>
      </c>
      <c r="BW192" s="164" t="e">
        <f>IF(VLOOKUP(T_Convention[[#This Row],[NumL]],T_suiviDi[#Data],COLUMN(T_suiviDi[Entité]),FALSE)="","",VLOOKUP(T_Convention[[#This Row],[NumL]],T_suiviDi[#Data],COLUMN(T_suiviDi[Entité]),FALSE))</f>
        <v>#N/A</v>
      </c>
      <c r="BX192" s="164" t="str">
        <f>IF(VLOOKUP(T_Convention[[#This Row],[NumL]],T_Commission[#Data],COLUMN(T_Commission[envoi confirm TW]),FALSE)="","",VLOOKUP(T_Convention[[#This Row],[NumL]],T_Commission[#Data],COLUMN(T_Commission[envoi confirm TW]),FALSE))</f>
        <v>Oui</v>
      </c>
      <c r="BY19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2" s="264">
        <f>VLOOKUP(T_Convention[[#This Row],[NumL]],T_Commission[#Data],COLUMN(T_Commission[Commentaire]),FALSE)</f>
        <v>0</v>
      </c>
      <c r="CA192" s="254" t="str">
        <f>IF(VLOOKUP(T_Convention[[#This Row],[NumL]],T_Commission[#Data],COLUMN(T_Commission[Encadrant Email]),FALSE)="","",VLOOKUP(T_Convention[[#This Row],[NumL]],T_Commission[#Data],COLUMN(T_Commission[Encadrant Email]),FALSE))</f>
        <v/>
      </c>
      <c r="CB192" s="352" t="e">
        <f>VLOOKUP(T_Convention[[#This Row],[NumL]],T_TraitDi[#Data],COLUMN(T_TraitDi[NbJTot]),FALSE)</f>
        <v>#N/A</v>
      </c>
      <c r="CC192" s="352" t="e">
        <f>VLOOKUP(T_Convention[[#This Row],[NumL]],T_TraitDi[#Data],COLUMN(T_TraitDi[Reg Ponct]),FALSE)</f>
        <v>#N/A</v>
      </c>
      <c r="CD192" s="348" t="str">
        <f>IF(T_Convention[[#This Row],[Final]]&lt;&gt;"",VLOOKUP(T_Convention[[#This Row],[NumL]],T_suiviDi[#Data],COLUMN((T_suiviDi[Statut])),FALSE),"")</f>
        <v/>
      </c>
    </row>
    <row r="193" spans="1:82" s="106" customFormat="1" ht="18.75" customHeight="1" x14ac:dyDescent="0.25">
      <c r="A193" s="160">
        <v>219</v>
      </c>
      <c r="B193" s="161" t="str">
        <f>VLOOKUP(T_Convention[[#This Row],[NumL]],T_Commission[#Data],COLUMN(T_Commission[FINAL]),FALSE)</f>
        <v/>
      </c>
      <c r="C193" s="162"/>
      <c r="D193" s="95" t="e">
        <f>IF(VLOOKUP(T_Convention[[#This Row],[NumL]],T_TraitDi[#Data],COLUMN(T_TraitDi[WebC]),FALSE)="","",VLOOKUP(T_Convention[[#This Row],[NumL]],T_TraitDi[#Data],COLUMN(T_TraitDi[WebC]),FALSE))</f>
        <v>#N/A</v>
      </c>
      <c r="E193" s="163" t="str">
        <f t="shared" si="10"/>
        <v>12 janvier 2021</v>
      </c>
      <c r="F193" s="282" t="str">
        <f>IF(T_Convention[[#This Row],[Final]]&lt;&gt;"",VLOOKUP(T_Convention[[#This Row],[NumL]],T_suiviDi[#Data],COLUMN((T_suiviDi[Civ.])),FALSE),"")</f>
        <v/>
      </c>
      <c r="G193" s="283" t="str">
        <f>IF(T_Convention[[#This Row],[Final]]&lt;&gt;"",VLOOKUP(T_Convention[[#This Row],[NumL]],T_suiviDi[#Data],COLUMN((T_suiviDi[Nom])),FALSE),"")</f>
        <v/>
      </c>
      <c r="H193" s="282" t="str">
        <f>IF(T_Convention[[#This Row],[Final]]&lt;&gt;"",VLOOKUP(T_Convention[[#This Row],[NumL]],T_suiviDi[#Data],COLUMN((T_suiviDi[Prénom])),FALSE),"")</f>
        <v/>
      </c>
      <c r="I193" s="282" t="e">
        <f>VLOOKUP(T_Convention[[#This Row],[NumL]],T_suiviDi[#Data],COLUMN((T_suiviDi[[#This Row],[Email]])),FALSE)</f>
        <v>#VALUE!</v>
      </c>
      <c r="J193" s="282" t="e">
        <f>IF(VLOOKUP(T_Convention[[#This Row],[NumL]],T_suiviDi[#Data],COLUMN(T_suiviDi[[#This Row],[Fonction]]),FALSE)="","",VLOOKUP(T_Convention[[#This Row],[NumL]],T_suiviDi[#Data],COLUMN(T_suiviDi[[#This Row],[Fonction]]),FALSE))</f>
        <v>#VALUE!</v>
      </c>
      <c r="K193" s="282" t="e">
        <f>IF(VLOOKUP(T_Convention[[#This Row],[NumL]],T_suiviDi[#Data],COLUMN(T_suiviDi[[#This Row],[Grade]]),FALSE)="","",VLOOKUP(T_Convention[[#This Row],[NumL]],T_suiviDi[#Data],COLUMN(T_suiviDi[[#This Row],[Grade]]),FALSE))</f>
        <v>#VALUE!</v>
      </c>
      <c r="L193" s="282" t="e">
        <f>IF(VLOOKUP(T_Convention[[#This Row],[NumL]],T_suiviDi[#Data],COLUMN(T_suiviDi[[#This Row],[Service ]]),FALSE)="","",VLOOKUP(T_Convention[[#This Row],[NumL]],T_suiviDi[#Data],COLUMN(T_suiviDi[[#This Row],[Service ]]),FALSE))</f>
        <v>#VALUE!</v>
      </c>
      <c r="M193" s="164" t="str">
        <f t="shared" si="11"/>
        <v>01 septembre 2021</v>
      </c>
      <c r="N193" s="164" t="str">
        <f t="shared" si="12"/>
        <v>30 novembre 2021</v>
      </c>
      <c r="O193" s="284" t="str">
        <f t="shared" si="13"/>
        <v>30 novembre 2021</v>
      </c>
      <c r="P193" s="282" t="e">
        <f>IF(VLOOKUP(T_Convention[[#This Row],[NumL]],T_TraitDi[#Data],COLUMN(T_TraitDi[M1]),FALSE)="","",VLOOKUP(T_Convention[[#This Row],[NumL]],T_TraitDi[#Data],COLUMN(T_TraitDi[M1]),FALSE))</f>
        <v>#N/A</v>
      </c>
      <c r="Q193" s="282" t="e">
        <f>IF(VLOOKUP(T_Convention[[#This Row],[NumL]],T_TraitDi[#Data],COLUMN(T_TraitDi[M2]),FALSE)="","",VLOOKUP(T_Convention[[#This Row],[NumL]],T_TraitDi[#Data],COLUMN(T_TraitDi[M2]),FALSE))</f>
        <v>#N/A</v>
      </c>
      <c r="R193" s="282" t="e">
        <f>IF(VLOOKUP(T_Convention[[#This Row],[NumL]],T_TraitDi[#Data],COLUMN(T_TraitDi[M3]),FALSE)="","",VLOOKUP(T_Convention[[#This Row],[NumL]],T_TraitDi[#Data],COLUMN(T_TraitDi[M3]),FALSE))</f>
        <v>#N/A</v>
      </c>
      <c r="S193" s="282" t="e">
        <f>IF(VLOOKUP(T_Convention[[#This Row],[NumL]],T_TraitDi[#Data],COLUMN(T_TraitDi[M4]),FALSE)="","",VLOOKUP(T_Convention[[#This Row],[NumL]],T_TraitDi[#Data],COLUMN(T_TraitDi[M4]),FALSE))</f>
        <v>#N/A</v>
      </c>
      <c r="T193" s="282" t="e">
        <f>IF(VLOOKUP(T_Convention[[#This Row],[NumL]],T_TraitDi[#Data],COLUMN(T_TraitDi[M5]),FALSE)="","",VLOOKUP(T_Convention[[#This Row],[NumL]],T_TraitDi[#Data],COLUMN(T_TraitDi[M5]),FALSE))</f>
        <v>#N/A</v>
      </c>
      <c r="U193" s="282" t="e">
        <f>IF(VLOOKUP(T_Convention[[#This Row],[NumL]],T_TraitDi[#Data],COLUMN(T_TraitDi[M6]),FALSE)="","",VLOOKUP(T_Convention[[#This Row],[NumL]],T_TraitDi[#Data],COLUMN(T_TraitDi[M6]),FALSE))</f>
        <v>#N/A</v>
      </c>
      <c r="V193" s="176" t="e">
        <f t="shared" si="14"/>
        <v>#N/A</v>
      </c>
      <c r="W193" s="284" t="str">
        <f>IFERROR(TEXT(VLOOKUP(T_Convention[[#This Row],[NumL]],T_TraitDi[#Data],COLUMN(T_TraitDi[Q2]),FALSE),"###%"),"")</f>
        <v/>
      </c>
      <c r="X193" s="97" t="e">
        <f>VLOOKUP(T_Convention[[#This Row],[NumL]],T_TraitDi[#Data],COLUMN(T_TraitDi[Reg Ponct]),FALSE)</f>
        <v>#N/A</v>
      </c>
      <c r="Y193" s="97" t="e">
        <f>VLOOKUP(T_Convention[NumL],T_TraitDi[#Data],COLUMN(T_TraitDi[Jours flottants]),FALSE)</f>
        <v>#N/A</v>
      </c>
      <c r="Z193" s="284" t="str">
        <f>IFERROR(VLOOKUP(T_Convention[[#This Row],[NumL]],T_TraitDi[#Data],COLUMN(T_TraitDi[Lundi]),FALSE),"")</f>
        <v/>
      </c>
      <c r="AA193" s="284" t="e">
        <f>IF(VLOOKUP(T_Convention[[#This Row],[NumL]],T_TraitDi[#Data],COLUMN(T_TraitDi[Colonne3]),FALSE)=0,"",TEXT(IFERROR(VLOOKUP(T_Convention[[#This Row],[NumL]],T_TraitDi[#Data],COLUMN(T_TraitDi[Colonne3]),FALSE),""),"[hh]:mm"))</f>
        <v>#N/A</v>
      </c>
      <c r="AB193" s="284" t="e">
        <f>IF(VLOOKUP(T_Convention[[#This Row],[NumL]],T_TraitDi[#Data],COLUMN(T_TraitDi[Colonne4]),FALSE)=0,"",TEXT(IFERROR(VLOOKUP(T_Convention[[#This Row],[NumL]],T_TraitDi[#Data],COLUMN(T_TraitDi[Colonne4]),FALSE),""),"[hh]:mm"))</f>
        <v>#N/A</v>
      </c>
      <c r="AC193" s="284" t="e">
        <f>IF(VLOOKUP(T_Convention[[#This Row],[NumL]],T_TraitDi[#Data],COLUMN(T_TraitDi[Colonne5]),FALSE)=0,"",TEXT(IFERROR(VLOOKUP(T_Convention[[#This Row],[NumL]],T_TraitDi[#Data],COLUMN(T_TraitDi[Colonne5]),FALSE),""),"[hh]:mm"))</f>
        <v>#N/A</v>
      </c>
      <c r="AD193" s="284" t="e">
        <f>IF(VLOOKUP(T_Convention[[#This Row],[NumL]],T_TraitDi[#Data],COLUMN(T_TraitDi[Colonne6]),FALSE)=0,"",TEXT(IFERROR(VLOOKUP(T_Convention[[#This Row],[NumL]],T_TraitDi[#Data],COLUMN(T_TraitDi[Colonne6]),FALSE),""),"[hh]:mm"))</f>
        <v>#N/A</v>
      </c>
      <c r="AE193" s="284" t="e">
        <f>IF(VLOOKUP(T_Convention[[#This Row],[NumL]],T_TraitDi[#Data],COLUMN(T_TraitDi[Colonne7]),FALSE)=0,"",TEXT(IFERROR(VLOOKUP(T_Convention[[#This Row],[NumL]],T_TraitDi[#Data],COLUMN(T_TraitDi[Colonne7]),FALSE),""),"[hh]:mm"))</f>
        <v>#N/A</v>
      </c>
      <c r="AF193" s="284" t="e">
        <f>IF(VLOOKUP(T_Convention[[#This Row],[NumL]],T_TraitDi[#Data],COLUMN(T_TraitDi[Colonne8]),FALSE)=0,"",TEXT(IFERROR(VLOOKUP(T_Convention[[#This Row],[NumL]],T_TraitDi[#Data],COLUMN(T_TraitDi[Colonne8]),FALSE),""),"[hh]:mm"))</f>
        <v>#N/A</v>
      </c>
      <c r="AG193" s="284" t="str">
        <f>IFERROR(VLOOKUP(T_Convention[[#This Row],[NumL]],T_TraitDi[#Data],COLUMN(T_TraitDi[Mardi]),FALSE),"")</f>
        <v/>
      </c>
      <c r="AH193" s="284" t="e">
        <f>IF(VLOOKUP(T_Convention[[#This Row],[NumL]],T_TraitDi[#Data],COLUMN(T_TraitDi[Colonne1]),FALSE)=0,"",TEXT(IFERROR(VLOOKUP(T_Convention[[#This Row],[NumL]],T_TraitDi[#Data],COLUMN(T_TraitDi[Colonne1]),FALSE),""),"[hh]:mm"))</f>
        <v>#N/A</v>
      </c>
      <c r="AI193" s="284" t="e">
        <f>IF(VLOOKUP(T_Convention[[#This Row],[NumL]],T_TraitDi[#Data],COLUMN(T_TraitDi[Colonne9]),FALSE)=0,"",TEXT(IFERROR(VLOOKUP(T_Convention[[#This Row],[NumL]],T_TraitDi[#Data],COLUMN(T_TraitDi[Colonne9]),FALSE),""),"[hh]:mm"))</f>
        <v>#N/A</v>
      </c>
      <c r="AJ193" s="284" t="str">
        <f>IFERROR(VLOOKUP(T_Convention[[#This Row],[NumL]],T_TraitDi[#Data],COLUMN(T_TraitDi[Colonne10]),FALSE),"")</f>
        <v/>
      </c>
      <c r="AK193" s="284" t="e">
        <f>IF(VLOOKUP(T_Convention[[#This Row],[NumL]],T_TraitDi[#Data],COLUMN(T_TraitDi[Colonne11]),FALSE)=0,"",TEXT(IFERROR(VLOOKUP(T_Convention[[#This Row],[NumL]],T_TraitDi[#Data],COLUMN(T_TraitDi[Colonne11]),FALSE),""),"[hh]:mm"))</f>
        <v>#N/A</v>
      </c>
      <c r="AL193" s="284" t="e">
        <f>IF(VLOOKUP(T_Convention[[#This Row],[NumL]],T_TraitDi[#Data],COLUMN(T_TraitDi[Colonne12]),FALSE)=0,"",TEXT(IFERROR(VLOOKUP(T_Convention[[#This Row],[NumL]],T_TraitDi[#Data],COLUMN(T_TraitDi[Colonne12]),FALSE),""),"[hh]:mm"))</f>
        <v>#N/A</v>
      </c>
      <c r="AM193" s="284" t="e">
        <f>IF(VLOOKUP(T_Convention[[#This Row],[NumL]],T_TraitDi[#Data],COLUMN(T_TraitDi[Colonne14]),FALSE)=0,"",TEXT(IFERROR(VLOOKUP(T_Convention[[#This Row],[NumL]],T_TraitDi[#Data],COLUMN(T_TraitDi[Colonne14]),FALSE),""),"[hh]:mm"))</f>
        <v>#N/A</v>
      </c>
      <c r="AN193" s="284" t="str">
        <f>IFERROR(VLOOKUP(T_Convention[[#This Row],[NumL]],T_TraitDi[#Data],COLUMN(T_TraitDi[Mercredi]),FALSE),"")</f>
        <v/>
      </c>
      <c r="AO193" s="284" t="e">
        <f>IF(VLOOKUP(T_Convention[[#This Row],[NumL]],T_TraitDi[#Data],COLUMN(T_TraitDi[Colonne15]),FALSE)=0,"",TEXT(IFERROR(VLOOKUP(T_Convention[[#This Row],[NumL]],T_TraitDi[#Data],COLUMN(T_TraitDi[Colonne15]),FALSE),""),"[hh]:mm"))</f>
        <v>#N/A</v>
      </c>
      <c r="AP193" s="284" t="e">
        <f>IF(VLOOKUP(T_Convention[[#This Row],[NumL]],T_TraitDi[#Data],COLUMN(T_TraitDi[Colonne16]),FALSE)=0,"",TEXT(IFERROR(VLOOKUP(T_Convention[[#This Row],[NumL]],T_TraitDi[#Data],COLUMN(T_TraitDi[Colonne16]),FALSE),""),"[hh]:mm"))</f>
        <v>#N/A</v>
      </c>
      <c r="AQ193" s="284" t="str">
        <f>IFERROR(VLOOKUP(T_Convention[[#This Row],[NumL]],T_TraitDi[#Data],COLUMN(T_TraitDi[Colonne17]),FALSE),"")</f>
        <v/>
      </c>
      <c r="AR193" s="284" t="e">
        <f>IF(VLOOKUP(T_Convention[[#This Row],[NumL]],T_TraitDi[#Data],COLUMN(T_TraitDi[Colonne18]),FALSE)=0,"",TEXT(IFERROR(VLOOKUP(T_Convention[[#This Row],[NumL]],T_TraitDi[#Data],COLUMN(T_TraitDi[Colonne18]),FALSE),""),"[hh]:mm"))</f>
        <v>#N/A</v>
      </c>
      <c r="AS193" s="284" t="e">
        <f>IF(VLOOKUP(T_Convention[[#This Row],[NumL]],T_TraitDi[#Data],COLUMN(T_TraitDi[Colonne19]),FALSE)=0,"",TEXT(IFERROR(VLOOKUP(T_Convention[[#This Row],[NumL]],T_TraitDi[#Data],COLUMN(T_TraitDi[Colonne19]),FALSE),""),"[hh]:mm"))</f>
        <v>#N/A</v>
      </c>
      <c r="AT193" s="284" t="e">
        <f>IF(VLOOKUP(T_Convention[[#This Row],[NumL]],T_TraitDi[#Data],COLUMN(T_TraitDi[Colonne20]),FALSE)=0,"",TEXT(IFERROR(VLOOKUP(T_Convention[[#This Row],[NumL]],T_TraitDi[#Data],COLUMN(T_TraitDi[Colonne20]),FALSE),""),"[hh]:mm"))</f>
        <v>#N/A</v>
      </c>
      <c r="AU193" s="284" t="str">
        <f>IFERROR(VLOOKUP(T_Convention[[#This Row],[NumL]],T_TraitDi[#Data],COLUMN(T_TraitDi[Jeudi]),FALSE),"")</f>
        <v/>
      </c>
      <c r="AV193" s="284" t="e">
        <f>IF(VLOOKUP(T_Convention[[#This Row],[NumL]],T_TraitDi[#Data],COLUMN(T_TraitDi[Colonne21]),FALSE)=0,"",TEXT(IFERROR(VLOOKUP(T_Convention[[#This Row],[NumL]],T_TraitDi[#Data],COLUMN(T_TraitDi[Colonne21]),FALSE),""),"[hh]:mm"))</f>
        <v>#N/A</v>
      </c>
      <c r="AW193" s="284" t="e">
        <f>IF(VLOOKUP(T_Convention[[#This Row],[NumL]],T_TraitDi[#Data],COLUMN(T_TraitDi[Colonne22]),FALSE)=0,"",TEXT(IFERROR(VLOOKUP(T_Convention[[#This Row],[NumL]],T_TraitDi[#Data],COLUMN(T_TraitDi[Colonne22]),FALSE),""),"[hh]:mm"))</f>
        <v>#N/A</v>
      </c>
      <c r="AX193" s="284" t="str">
        <f>IFERROR(VLOOKUP(T_Convention[[#This Row],[NumL]],T_TraitDi[#Data],COLUMN(T_TraitDi[Colonne23]),FALSE),"")</f>
        <v/>
      </c>
      <c r="AY193" s="284" t="e">
        <f>IF(VLOOKUP(T_Convention[[#This Row],[NumL]],T_TraitDi[#Data],COLUMN(T_TraitDi[Colonne24]),FALSE)=0,"",TEXT(IFERROR(VLOOKUP(T_Convention[[#This Row],[NumL]],T_TraitDi[#Data],COLUMN(T_TraitDi[Colonne24]),FALSE),""),"[hh]:mm"))</f>
        <v>#N/A</v>
      </c>
      <c r="AZ193" s="284" t="e">
        <f>IF(VLOOKUP(T_Convention[[#This Row],[NumL]],T_TraitDi[#Data],COLUMN(T_TraitDi[Colonne25]),FALSE)=0,"",TEXT(IFERROR(VLOOKUP(T_Convention[[#This Row],[NumL]],T_TraitDi[#Data],COLUMN(T_TraitDi[Colonne25]),FALSE),""),"[hh]:mm"))</f>
        <v>#N/A</v>
      </c>
      <c r="BA193" s="284" t="e">
        <f>IF(VLOOKUP(T_Convention[[#This Row],[NumL]],T_TraitDi[#Data],COLUMN(T_TraitDi[Colonne26]),FALSE)=0,"",TEXT(IFERROR(VLOOKUP(T_Convention[[#This Row],[NumL]],T_TraitDi[#Data],COLUMN(T_TraitDi[Colonne26]),FALSE),""),"[hh]:mm"))</f>
        <v>#N/A</v>
      </c>
      <c r="BB193" s="284" t="str">
        <f>IFERROR(VLOOKUP(T_Convention[[#This Row],[NumL]],T_TraitDi[#Data],COLUMN(T_TraitDi[Vendredi]),FALSE),"")</f>
        <v/>
      </c>
      <c r="BC193" s="284" t="e">
        <f>IF(VLOOKUP(T_Convention[[#This Row],[NumL]],T_TraitDi[#Data],COLUMN(T_TraitDi[Colonne27]),FALSE)=0,"",TEXT(IFERROR(VLOOKUP(T_Convention[[#This Row],[NumL]],T_TraitDi[#Data],COLUMN(T_TraitDi[Colonne27]),FALSE),""),"[hh]:mm"))</f>
        <v>#N/A</v>
      </c>
      <c r="BD193" s="284" t="e">
        <f>IF(VLOOKUP(T_Convention[[#This Row],[NumL]],T_TraitDi[#Data],COLUMN(T_TraitDi[Colonne28]),FALSE)=0,"",TEXT(IFERROR(VLOOKUP(T_Convention[[#This Row],[NumL]],T_TraitDi[#Data],COLUMN(T_TraitDi[Colonne28]),FALSE),""),"[hh]:mm"))</f>
        <v>#N/A</v>
      </c>
      <c r="BE193" s="284" t="str">
        <f>IFERROR(VLOOKUP(T_Convention[[#This Row],[NumL]],T_TraitDi[#Data],COLUMN(T_TraitDi[Colonne29]),FALSE),"")</f>
        <v/>
      </c>
      <c r="BF193" s="284" t="e">
        <f>IF(VLOOKUP(T_Convention[[#This Row],[NumL]],T_TraitDi[#Data],COLUMN(T_TraitDi[Colonne30]),FALSE)=0,"",TEXT(IFERROR(VLOOKUP(T_Convention[[#This Row],[NumL]],T_TraitDi[#Data],COLUMN(T_TraitDi[Colonne30]),FALSE),""),"[hh]:mm"))</f>
        <v>#N/A</v>
      </c>
      <c r="BG193" s="284" t="e">
        <f>IF(VLOOKUP(T_Convention[[#This Row],[NumL]],T_TraitDi[#Data],COLUMN(T_TraitDi[Colonne31]),FALSE)=0,"",TEXT(IFERROR(VLOOKUP(T_Convention[[#This Row],[NumL]],T_TraitDi[#Data],COLUMN(T_TraitDi[Colonne31]),FALSE),""),"[hh]:mm"))</f>
        <v>#N/A</v>
      </c>
      <c r="BH193" s="284" t="e">
        <f>IF(VLOOKUP(T_Convention[[#This Row],[NumL]],T_TraitDi[#Data],COLUMN(T_TraitDi[Colonne32]),FALSE)=0,"",TEXT(IFERROR(VLOOKUP(T_Convention[[#This Row],[NumL]],T_TraitDi[#Data],COLUMN(T_TraitDi[Colonne32]),FALSE),""),"[hh]:mm"))</f>
        <v>#N/A</v>
      </c>
      <c r="BI193" s="284" t="str">
        <f>IFERROR(VLOOKUP(T_Convention[[#This Row],[NumL]],T_TraitDi[#Data],COLUMN(T_TraitDi[NbJTW]),FALSE),"")</f>
        <v/>
      </c>
      <c r="BJ193" s="284" t="e">
        <f>IF(VLOOKUP(T_Convention[[#This Row],[NumL]],T_TraitDi[#Data],COLUMN(T_TraitDi[NbhTW]),FALSE)=0,"",TEXT(IFERROR(VLOOKUP(T_Convention[[#This Row],[NumL]],T_TraitDi[#Data],COLUMN(T_TraitDi[NbhTW]),FALSE),""),"[hh]:mm"))</f>
        <v>#N/A</v>
      </c>
      <c r="BK193" s="286" t="e">
        <f>IF(VLOOKUP(T_Convention[[#This Row],[NumL]],T_TraitDi[#Data],COLUMN(T_TraitDi[Nbhheb]),FALSE)=0,"",TEXT(IFERROR(VLOOKUP(T_Convention[[#This Row],[NumL]],T_TraitDi[#Data],COLUMN(T_TraitDi[Nbhheb]),FALSE),""),"[hh]:mm"))</f>
        <v>#N/A</v>
      </c>
      <c r="BL193" s="287" t="str">
        <f>IFERROR(VLOOKUP(VLOOKUP(T_Convention[[#This Row],[NumL]],T_TraitDi[#Data],COLUMN(T_TraitDi[Type1]),FALSE),TypeTW,2,FALSE),"")</f>
        <v/>
      </c>
      <c r="BM193" s="288" t="str">
        <f>IFERROR(VLOOKUP(T_Convention[[#This Row],[NumL]],T_TraitDi[#Data],COLUMN(T_TraitDi[Rue1]),FALSE),"")</f>
        <v/>
      </c>
      <c r="BN193" s="289" t="str">
        <f>IFERROR(VLOOKUP(T_Convention[[#This Row],[NumL]],T_TraitDi[#Data],COLUMN(T_TraitDi[CP1]),FALSE),"")</f>
        <v/>
      </c>
      <c r="BO193" s="282" t="str">
        <f>IFERROR(VLOOKUP(T_Convention[[#This Row],[NumL]],T_TraitDi[#Data],COLUMN(T_TraitDi[VILLE1]),FALSE),"")</f>
        <v/>
      </c>
      <c r="BP193" s="290" t="str">
        <f>IFERROR(VLOOKUP(VLOOKUP(T_Convention[[#This Row],[NumL]],T_TraitDi[#Data],COLUMN(T_TraitDi[Type2]),FALSE),TypeTW,2,FALSE),"")</f>
        <v/>
      </c>
      <c r="BQ193" s="182" t="str">
        <f>IFERROR(VLOOKUP(T_Convention[[#This Row],[NumL]],T_TraitDi[#Data],COLUMN(T_TraitDi[Rue2]),FALSE),"")</f>
        <v/>
      </c>
      <c r="BR193" s="173" t="str">
        <f>IFERROR(VLOOKUP(T_Convention[[#This Row],[NumL]],T_TraitDi[#Data],COLUMN(T_TraitDi[CP2]),FALSE),"")</f>
        <v/>
      </c>
      <c r="BS193" s="173" t="str">
        <f>IFERROR(VLOOKUP(T_Convention[[#This Row],[NumL]],T_TraitDi[#Data],COLUMN(T_TraitDi[VILLE2]),FALSE),"")</f>
        <v/>
      </c>
      <c r="BT193" s="182" t="str">
        <f>IF(VLOOKUP(T_Convention[[#This Row],[NumL]],T_Equipement[#Data],COLUMN(T_Equipement[PC]),FALSE)="","Aucun équipement spécifique directement lié au télétravail",VLOOKUP(T_Convention[[#This Row],[NumL]],T_Equipement[#Data],COLUMN(T_Equipement[PC]),FALSE))</f>
        <v xml:space="preserve">16-500	</v>
      </c>
      <c r="BU193" s="166" t="str">
        <f>IFERROR(IF(VLOOKUP(T_Convention[[#This Row],[NumL]],T_TraitDi[#Data],COLUMN(T_TraitDi[Plan]),FALSE)="OK","Un planning spécifique de télétravail est annexé à la présente convention.",""),"")</f>
        <v/>
      </c>
      <c r="BV193" s="185" t="s">
        <v>3392</v>
      </c>
      <c r="BW193" s="164" t="e">
        <f>IF(VLOOKUP(T_Convention[[#This Row],[NumL]],T_suiviDi[#Data],COLUMN(T_suiviDi[Entité]),FALSE)="","",VLOOKUP(T_Convention[[#This Row],[NumL]],T_suiviDi[#Data],COLUMN(T_suiviDi[Entité]),FALSE))</f>
        <v>#N/A</v>
      </c>
      <c r="BX193" s="164" t="str">
        <f>IF(VLOOKUP(T_Convention[[#This Row],[NumL]],T_Commission[#Data],COLUMN(T_Commission[envoi confirm TW]),FALSE)="","",VLOOKUP(T_Convention[[#This Row],[NumL]],T_Commission[#Data],COLUMN(T_Commission[envoi confirm TW]),FALSE))</f>
        <v>Oui</v>
      </c>
      <c r="BY19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3" s="264">
        <f>VLOOKUP(T_Convention[[#This Row],[NumL]],T_Commission[#Data],COLUMN(T_Commission[Commentaire]),FALSE)</f>
        <v>0</v>
      </c>
      <c r="CA193" s="254" t="str">
        <f>IF(VLOOKUP(T_Convention[[#This Row],[NumL]],T_Commission[#Data],COLUMN(T_Commission[Encadrant Email]),FALSE)="","",VLOOKUP(T_Convention[[#This Row],[NumL]],T_Commission[#Data],COLUMN(T_Commission[Encadrant Email]),FALSE))</f>
        <v/>
      </c>
      <c r="CB193" s="352" t="e">
        <f>VLOOKUP(T_Convention[[#This Row],[NumL]],T_TraitDi[#Data],COLUMN(T_TraitDi[NbJTot]),FALSE)</f>
        <v>#N/A</v>
      </c>
      <c r="CC193" s="352" t="e">
        <f>VLOOKUP(T_Convention[[#This Row],[NumL]],T_TraitDi[#Data],COLUMN(T_TraitDi[Reg Ponct]),FALSE)</f>
        <v>#N/A</v>
      </c>
      <c r="CD193" s="348" t="str">
        <f>IF(T_Convention[[#This Row],[Final]]&lt;&gt;"",VLOOKUP(T_Convention[[#This Row],[NumL]],T_suiviDi[#Data],COLUMN((T_suiviDi[Statut])),FALSE),"")</f>
        <v/>
      </c>
    </row>
    <row r="194" spans="1:82" s="106" customFormat="1" ht="18.75" customHeight="1" x14ac:dyDescent="0.25">
      <c r="A194" s="160">
        <v>225</v>
      </c>
      <c r="B194" s="161" t="str">
        <f>VLOOKUP(T_Convention[[#This Row],[NumL]],T_Commission[#Data],COLUMN(T_Commission[FINAL]),FALSE)</f>
        <v/>
      </c>
      <c r="C194" s="162"/>
      <c r="D194" s="95" t="e">
        <f>IF(VLOOKUP(T_Convention[[#This Row],[NumL]],T_TraitDi[#Data],COLUMN(T_TraitDi[WebC]),FALSE)="","",VLOOKUP(T_Convention[[#This Row],[NumL]],T_TraitDi[#Data],COLUMN(T_TraitDi[WebC]),FALSE))</f>
        <v>#N/A</v>
      </c>
      <c r="E194" s="163" t="str">
        <f t="shared" si="10"/>
        <v>12 janvier 2021</v>
      </c>
      <c r="F194" s="282" t="str">
        <f>IF(T_Convention[[#This Row],[Final]]&lt;&gt;"",VLOOKUP(T_Convention[[#This Row],[NumL]],T_suiviDi[#Data],COLUMN((T_suiviDi[Civ.])),FALSE),"")</f>
        <v/>
      </c>
      <c r="G194" s="283" t="str">
        <f>IF(T_Convention[[#This Row],[Final]]&lt;&gt;"",VLOOKUP(T_Convention[[#This Row],[NumL]],T_suiviDi[#Data],COLUMN((T_suiviDi[Nom])),FALSE),"")</f>
        <v/>
      </c>
      <c r="H194" s="282" t="str">
        <f>IF(T_Convention[[#This Row],[Final]]&lt;&gt;"",VLOOKUP(T_Convention[[#This Row],[NumL]],T_suiviDi[#Data],COLUMN((T_suiviDi[Prénom])),FALSE),"")</f>
        <v/>
      </c>
      <c r="I194" s="282" t="e">
        <f>VLOOKUP(T_Convention[[#This Row],[NumL]],T_suiviDi[#Data],COLUMN((T_suiviDi[[#This Row],[Email]])),FALSE)</f>
        <v>#VALUE!</v>
      </c>
      <c r="J194" s="282" t="e">
        <f>IF(VLOOKUP(T_Convention[[#This Row],[NumL]],T_suiviDi[#Data],COLUMN(T_suiviDi[[#This Row],[Fonction]]),FALSE)="","",VLOOKUP(T_Convention[[#This Row],[NumL]],T_suiviDi[#Data],COLUMN(T_suiviDi[[#This Row],[Fonction]]),FALSE))</f>
        <v>#VALUE!</v>
      </c>
      <c r="K194" s="282" t="e">
        <f>IF(VLOOKUP(T_Convention[[#This Row],[NumL]],T_suiviDi[#Data],COLUMN(T_suiviDi[[#This Row],[Grade]]),FALSE)="","",VLOOKUP(T_Convention[[#This Row],[NumL]],T_suiviDi[#Data],COLUMN(T_suiviDi[[#This Row],[Grade]]),FALSE))</f>
        <v>#VALUE!</v>
      </c>
      <c r="L194" s="282" t="e">
        <f>IF(VLOOKUP(T_Convention[[#This Row],[NumL]],T_suiviDi[#Data],COLUMN(T_suiviDi[[#This Row],[Service ]]),FALSE)="","",VLOOKUP(T_Convention[[#This Row],[NumL]],T_suiviDi[#Data],COLUMN(T_suiviDi[[#This Row],[Service ]]),FALSE))</f>
        <v>#VALUE!</v>
      </c>
      <c r="M194" s="164" t="str">
        <f t="shared" si="11"/>
        <v>01 septembre 2021</v>
      </c>
      <c r="N194" s="164" t="str">
        <f t="shared" si="12"/>
        <v>30 novembre 2021</v>
      </c>
      <c r="O194" s="284" t="str">
        <f t="shared" si="13"/>
        <v>30 novembre 2021</v>
      </c>
      <c r="P194" s="282" t="e">
        <f>IF(VLOOKUP(T_Convention[[#This Row],[NumL]],T_TraitDi[#Data],COLUMN(T_TraitDi[M1]),FALSE)="","",VLOOKUP(T_Convention[[#This Row],[NumL]],T_TraitDi[#Data],COLUMN(T_TraitDi[M1]),FALSE))</f>
        <v>#N/A</v>
      </c>
      <c r="Q194" s="282" t="e">
        <f>IF(VLOOKUP(T_Convention[[#This Row],[NumL]],T_TraitDi[#Data],COLUMN(T_TraitDi[M2]),FALSE)="","",VLOOKUP(T_Convention[[#This Row],[NumL]],T_TraitDi[#Data],COLUMN(T_TraitDi[M2]),FALSE))</f>
        <v>#N/A</v>
      </c>
      <c r="R194" s="282" t="e">
        <f>IF(VLOOKUP(T_Convention[[#This Row],[NumL]],T_TraitDi[#Data],COLUMN(T_TraitDi[M3]),FALSE)="","",VLOOKUP(T_Convention[[#This Row],[NumL]],T_TraitDi[#Data],COLUMN(T_TraitDi[M3]),FALSE))</f>
        <v>#N/A</v>
      </c>
      <c r="S194" s="282" t="e">
        <f>IF(VLOOKUP(T_Convention[[#This Row],[NumL]],T_TraitDi[#Data],COLUMN(T_TraitDi[M4]),FALSE)="","",VLOOKUP(T_Convention[[#This Row],[NumL]],T_TraitDi[#Data],COLUMN(T_TraitDi[M4]),FALSE))</f>
        <v>#N/A</v>
      </c>
      <c r="T194" s="282" t="e">
        <f>IF(VLOOKUP(T_Convention[[#This Row],[NumL]],T_TraitDi[#Data],COLUMN(T_TraitDi[M5]),FALSE)="","",VLOOKUP(T_Convention[[#This Row],[NumL]],T_TraitDi[#Data],COLUMN(T_TraitDi[M5]),FALSE))</f>
        <v>#N/A</v>
      </c>
      <c r="U194" s="282" t="e">
        <f>IF(VLOOKUP(T_Convention[[#This Row],[NumL]],T_TraitDi[#Data],COLUMN(T_TraitDi[M6]),FALSE)="","",VLOOKUP(T_Convention[[#This Row],[NumL]],T_TraitDi[#Data],COLUMN(T_TraitDi[M6]),FALSE))</f>
        <v>#N/A</v>
      </c>
      <c r="V194" s="176" t="e">
        <f t="shared" si="14"/>
        <v>#N/A</v>
      </c>
      <c r="W194" s="284" t="str">
        <f>IFERROR(TEXT(VLOOKUP(T_Convention[[#This Row],[NumL]],T_TraitDi[#Data],COLUMN(T_TraitDi[Q2]),FALSE),"###%"),"")</f>
        <v/>
      </c>
      <c r="X194" s="97" t="e">
        <f>VLOOKUP(T_Convention[[#This Row],[NumL]],T_TraitDi[#Data],COLUMN(T_TraitDi[Reg Ponct]),FALSE)</f>
        <v>#N/A</v>
      </c>
      <c r="Y194" s="97" t="e">
        <f>VLOOKUP(T_Convention[NumL],T_TraitDi[#Data],COLUMN(T_TraitDi[Jours flottants]),FALSE)</f>
        <v>#N/A</v>
      </c>
      <c r="Z194" s="284" t="str">
        <f>IFERROR(VLOOKUP(T_Convention[[#This Row],[NumL]],T_TraitDi[#Data],COLUMN(T_TraitDi[Lundi]),FALSE),"")</f>
        <v/>
      </c>
      <c r="AA194" s="284" t="e">
        <f>IF(VLOOKUP(T_Convention[[#This Row],[NumL]],T_TraitDi[#Data],COLUMN(T_TraitDi[Colonne3]),FALSE)=0,"",TEXT(IFERROR(VLOOKUP(T_Convention[[#This Row],[NumL]],T_TraitDi[#Data],COLUMN(T_TraitDi[Colonne3]),FALSE),""),"[hh]:mm"))</f>
        <v>#N/A</v>
      </c>
      <c r="AB194" s="284" t="e">
        <f>IF(VLOOKUP(T_Convention[[#This Row],[NumL]],T_TraitDi[#Data],COLUMN(T_TraitDi[Colonne4]),FALSE)=0,"",TEXT(IFERROR(VLOOKUP(T_Convention[[#This Row],[NumL]],T_TraitDi[#Data],COLUMN(T_TraitDi[Colonne4]),FALSE),""),"[hh]:mm"))</f>
        <v>#N/A</v>
      </c>
      <c r="AC194" s="284" t="e">
        <f>IF(VLOOKUP(T_Convention[[#This Row],[NumL]],T_TraitDi[#Data],COLUMN(T_TraitDi[Colonne5]),FALSE)=0,"",TEXT(IFERROR(VLOOKUP(T_Convention[[#This Row],[NumL]],T_TraitDi[#Data],COLUMN(T_TraitDi[Colonne5]),FALSE),""),"[hh]:mm"))</f>
        <v>#N/A</v>
      </c>
      <c r="AD194" s="284" t="e">
        <f>IF(VLOOKUP(T_Convention[[#This Row],[NumL]],T_TraitDi[#Data],COLUMN(T_TraitDi[Colonne6]),FALSE)=0,"",TEXT(IFERROR(VLOOKUP(T_Convention[[#This Row],[NumL]],T_TraitDi[#Data],COLUMN(T_TraitDi[Colonne6]),FALSE),""),"[hh]:mm"))</f>
        <v>#N/A</v>
      </c>
      <c r="AE194" s="284" t="e">
        <f>IF(VLOOKUP(T_Convention[[#This Row],[NumL]],T_TraitDi[#Data],COLUMN(T_TraitDi[Colonne7]),FALSE)=0,"",TEXT(IFERROR(VLOOKUP(T_Convention[[#This Row],[NumL]],T_TraitDi[#Data],COLUMN(T_TraitDi[Colonne7]),FALSE),""),"[hh]:mm"))</f>
        <v>#N/A</v>
      </c>
      <c r="AF194" s="284" t="e">
        <f>IF(VLOOKUP(T_Convention[[#This Row],[NumL]],T_TraitDi[#Data],COLUMN(T_TraitDi[Colonne8]),FALSE)=0,"",TEXT(IFERROR(VLOOKUP(T_Convention[[#This Row],[NumL]],T_TraitDi[#Data],COLUMN(T_TraitDi[Colonne8]),FALSE),""),"[hh]:mm"))</f>
        <v>#N/A</v>
      </c>
      <c r="AG194" s="284" t="str">
        <f>IFERROR(VLOOKUP(T_Convention[[#This Row],[NumL]],T_TraitDi[#Data],COLUMN(T_TraitDi[Mardi]),FALSE),"")</f>
        <v/>
      </c>
      <c r="AH194" s="284" t="e">
        <f>IF(VLOOKUP(T_Convention[[#This Row],[NumL]],T_TraitDi[#Data],COLUMN(T_TraitDi[Colonne1]),FALSE)=0,"",TEXT(IFERROR(VLOOKUP(T_Convention[[#This Row],[NumL]],T_TraitDi[#Data],COLUMN(T_TraitDi[Colonne1]),FALSE),""),"[hh]:mm"))</f>
        <v>#N/A</v>
      </c>
      <c r="AI194" s="284" t="e">
        <f>IF(VLOOKUP(T_Convention[[#This Row],[NumL]],T_TraitDi[#Data],COLUMN(T_TraitDi[Colonne9]),FALSE)=0,"",TEXT(IFERROR(VLOOKUP(T_Convention[[#This Row],[NumL]],T_TraitDi[#Data],COLUMN(T_TraitDi[Colonne9]),FALSE),""),"[hh]:mm"))</f>
        <v>#N/A</v>
      </c>
      <c r="AJ194" s="284" t="str">
        <f>IFERROR(VLOOKUP(T_Convention[[#This Row],[NumL]],T_TraitDi[#Data],COLUMN(T_TraitDi[Colonne10]),FALSE),"")</f>
        <v/>
      </c>
      <c r="AK194" s="284" t="e">
        <f>IF(VLOOKUP(T_Convention[[#This Row],[NumL]],T_TraitDi[#Data],COLUMN(T_TraitDi[Colonne11]),FALSE)=0,"",TEXT(IFERROR(VLOOKUP(T_Convention[[#This Row],[NumL]],T_TraitDi[#Data],COLUMN(T_TraitDi[Colonne11]),FALSE),""),"[hh]:mm"))</f>
        <v>#N/A</v>
      </c>
      <c r="AL194" s="284" t="e">
        <f>IF(VLOOKUP(T_Convention[[#This Row],[NumL]],T_TraitDi[#Data],COLUMN(T_TraitDi[Colonne12]),FALSE)=0,"",TEXT(IFERROR(VLOOKUP(T_Convention[[#This Row],[NumL]],T_TraitDi[#Data],COLUMN(T_TraitDi[Colonne12]),FALSE),""),"[hh]:mm"))</f>
        <v>#N/A</v>
      </c>
      <c r="AM194" s="284" t="e">
        <f>IF(VLOOKUP(T_Convention[[#This Row],[NumL]],T_TraitDi[#Data],COLUMN(T_TraitDi[Colonne14]),FALSE)=0,"",TEXT(IFERROR(VLOOKUP(T_Convention[[#This Row],[NumL]],T_TraitDi[#Data],COLUMN(T_TraitDi[Colonne14]),FALSE),""),"[hh]:mm"))</f>
        <v>#N/A</v>
      </c>
      <c r="AN194" s="284" t="str">
        <f>IFERROR(VLOOKUP(T_Convention[[#This Row],[NumL]],T_TraitDi[#Data],COLUMN(T_TraitDi[Mercredi]),FALSE),"")</f>
        <v/>
      </c>
      <c r="AO194" s="284" t="e">
        <f>IF(VLOOKUP(T_Convention[[#This Row],[NumL]],T_TraitDi[#Data],COLUMN(T_TraitDi[Colonne15]),FALSE)=0,"",TEXT(IFERROR(VLOOKUP(T_Convention[[#This Row],[NumL]],T_TraitDi[#Data],COLUMN(T_TraitDi[Colonne15]),FALSE),""),"[hh]:mm"))</f>
        <v>#N/A</v>
      </c>
      <c r="AP194" s="284" t="e">
        <f>IF(VLOOKUP(T_Convention[[#This Row],[NumL]],T_TraitDi[#Data],COLUMN(T_TraitDi[Colonne16]),FALSE)=0,"",TEXT(IFERROR(VLOOKUP(T_Convention[[#This Row],[NumL]],T_TraitDi[#Data],COLUMN(T_TraitDi[Colonne16]),FALSE),""),"[hh]:mm"))</f>
        <v>#N/A</v>
      </c>
      <c r="AQ194" s="284" t="str">
        <f>IFERROR(VLOOKUP(T_Convention[[#This Row],[NumL]],T_TraitDi[#Data],COLUMN(T_TraitDi[Colonne17]),FALSE),"")</f>
        <v/>
      </c>
      <c r="AR194" s="284" t="e">
        <f>IF(VLOOKUP(T_Convention[[#This Row],[NumL]],T_TraitDi[#Data],COLUMN(T_TraitDi[Colonne18]),FALSE)=0,"",TEXT(IFERROR(VLOOKUP(T_Convention[[#This Row],[NumL]],T_TraitDi[#Data],COLUMN(T_TraitDi[Colonne18]),FALSE),""),"[hh]:mm"))</f>
        <v>#N/A</v>
      </c>
      <c r="AS194" s="284" t="e">
        <f>IF(VLOOKUP(T_Convention[[#This Row],[NumL]],T_TraitDi[#Data],COLUMN(T_TraitDi[Colonne19]),FALSE)=0,"",TEXT(IFERROR(VLOOKUP(T_Convention[[#This Row],[NumL]],T_TraitDi[#Data],COLUMN(T_TraitDi[Colonne19]),FALSE),""),"[hh]:mm"))</f>
        <v>#N/A</v>
      </c>
      <c r="AT194" s="284" t="e">
        <f>IF(VLOOKUP(T_Convention[[#This Row],[NumL]],T_TraitDi[#Data],COLUMN(T_TraitDi[Colonne20]),FALSE)=0,"",TEXT(IFERROR(VLOOKUP(T_Convention[[#This Row],[NumL]],T_TraitDi[#Data],COLUMN(T_TraitDi[Colonne20]),FALSE),""),"[hh]:mm"))</f>
        <v>#N/A</v>
      </c>
      <c r="AU194" s="284" t="str">
        <f>IFERROR(VLOOKUP(T_Convention[[#This Row],[NumL]],T_TraitDi[#Data],COLUMN(T_TraitDi[Jeudi]),FALSE),"")</f>
        <v/>
      </c>
      <c r="AV194" s="284" t="e">
        <f>IF(VLOOKUP(T_Convention[[#This Row],[NumL]],T_TraitDi[#Data],COLUMN(T_TraitDi[Colonne21]),FALSE)=0,"",TEXT(IFERROR(VLOOKUP(T_Convention[[#This Row],[NumL]],T_TraitDi[#Data],COLUMN(T_TraitDi[Colonne21]),FALSE),""),"[hh]:mm"))</f>
        <v>#N/A</v>
      </c>
      <c r="AW194" s="284" t="e">
        <f>IF(VLOOKUP(T_Convention[[#This Row],[NumL]],T_TraitDi[#Data],COLUMN(T_TraitDi[Colonne22]),FALSE)=0,"",TEXT(IFERROR(VLOOKUP(T_Convention[[#This Row],[NumL]],T_TraitDi[#Data],COLUMN(T_TraitDi[Colonne22]),FALSE),""),"[hh]:mm"))</f>
        <v>#N/A</v>
      </c>
      <c r="AX194" s="284" t="str">
        <f>IFERROR(VLOOKUP(T_Convention[[#This Row],[NumL]],T_TraitDi[#Data],COLUMN(T_TraitDi[Colonne23]),FALSE),"")</f>
        <v/>
      </c>
      <c r="AY194" s="284" t="e">
        <f>IF(VLOOKUP(T_Convention[[#This Row],[NumL]],T_TraitDi[#Data],COLUMN(T_TraitDi[Colonne24]),FALSE)=0,"",TEXT(IFERROR(VLOOKUP(T_Convention[[#This Row],[NumL]],T_TraitDi[#Data],COLUMN(T_TraitDi[Colonne24]),FALSE),""),"[hh]:mm"))</f>
        <v>#N/A</v>
      </c>
      <c r="AZ194" s="284" t="e">
        <f>IF(VLOOKUP(T_Convention[[#This Row],[NumL]],T_TraitDi[#Data],COLUMN(T_TraitDi[Colonne25]),FALSE)=0,"",TEXT(IFERROR(VLOOKUP(T_Convention[[#This Row],[NumL]],T_TraitDi[#Data],COLUMN(T_TraitDi[Colonne25]),FALSE),""),"[hh]:mm"))</f>
        <v>#N/A</v>
      </c>
      <c r="BA194" s="284" t="e">
        <f>IF(VLOOKUP(T_Convention[[#This Row],[NumL]],T_TraitDi[#Data],COLUMN(T_TraitDi[Colonne26]),FALSE)=0,"",TEXT(IFERROR(VLOOKUP(T_Convention[[#This Row],[NumL]],T_TraitDi[#Data],COLUMN(T_TraitDi[Colonne26]),FALSE),""),"[hh]:mm"))</f>
        <v>#N/A</v>
      </c>
      <c r="BB194" s="284" t="str">
        <f>IFERROR(VLOOKUP(T_Convention[[#This Row],[NumL]],T_TraitDi[#Data],COLUMN(T_TraitDi[Vendredi]),FALSE),"")</f>
        <v/>
      </c>
      <c r="BC194" s="284" t="e">
        <f>IF(VLOOKUP(T_Convention[[#This Row],[NumL]],T_TraitDi[#Data],COLUMN(T_TraitDi[Colonne27]),FALSE)=0,"",TEXT(IFERROR(VLOOKUP(T_Convention[[#This Row],[NumL]],T_TraitDi[#Data],COLUMN(T_TraitDi[Colonne27]),FALSE),""),"[hh]:mm"))</f>
        <v>#N/A</v>
      </c>
      <c r="BD194" s="284" t="e">
        <f>IF(VLOOKUP(T_Convention[[#This Row],[NumL]],T_TraitDi[#Data],COLUMN(T_TraitDi[Colonne28]),FALSE)=0,"",TEXT(IFERROR(VLOOKUP(T_Convention[[#This Row],[NumL]],T_TraitDi[#Data],COLUMN(T_TraitDi[Colonne28]),FALSE),""),"[hh]:mm"))</f>
        <v>#N/A</v>
      </c>
      <c r="BE194" s="284" t="str">
        <f>IFERROR(VLOOKUP(T_Convention[[#This Row],[NumL]],T_TraitDi[#Data],COLUMN(T_TraitDi[Colonne29]),FALSE),"")</f>
        <v/>
      </c>
      <c r="BF194" s="284" t="e">
        <f>IF(VLOOKUP(T_Convention[[#This Row],[NumL]],T_TraitDi[#Data],COLUMN(T_TraitDi[Colonne30]),FALSE)=0,"",TEXT(IFERROR(VLOOKUP(T_Convention[[#This Row],[NumL]],T_TraitDi[#Data],COLUMN(T_TraitDi[Colonne30]),FALSE),""),"[hh]:mm"))</f>
        <v>#N/A</v>
      </c>
      <c r="BG194" s="284" t="e">
        <f>IF(VLOOKUP(T_Convention[[#This Row],[NumL]],T_TraitDi[#Data],COLUMN(T_TraitDi[Colonne31]),FALSE)=0,"",TEXT(IFERROR(VLOOKUP(T_Convention[[#This Row],[NumL]],T_TraitDi[#Data],COLUMN(T_TraitDi[Colonne31]),FALSE),""),"[hh]:mm"))</f>
        <v>#N/A</v>
      </c>
      <c r="BH194" s="284" t="e">
        <f>IF(VLOOKUP(T_Convention[[#This Row],[NumL]],T_TraitDi[#Data],COLUMN(T_TraitDi[Colonne32]),FALSE)=0,"",TEXT(IFERROR(VLOOKUP(T_Convention[[#This Row],[NumL]],T_TraitDi[#Data],COLUMN(T_TraitDi[Colonne32]),FALSE),""),"[hh]:mm"))</f>
        <v>#N/A</v>
      </c>
      <c r="BI194" s="284" t="str">
        <f>IFERROR(VLOOKUP(T_Convention[[#This Row],[NumL]],T_TraitDi[#Data],COLUMN(T_TraitDi[NbJTW]),FALSE),"")</f>
        <v/>
      </c>
      <c r="BJ194" s="284" t="e">
        <f>IF(VLOOKUP(T_Convention[[#This Row],[NumL]],T_TraitDi[#Data],COLUMN(T_TraitDi[NbhTW]),FALSE)=0,"",TEXT(IFERROR(VLOOKUP(T_Convention[[#This Row],[NumL]],T_TraitDi[#Data],COLUMN(T_TraitDi[NbhTW]),FALSE),""),"[hh]:mm"))</f>
        <v>#N/A</v>
      </c>
      <c r="BK194" s="286" t="e">
        <f>IF(VLOOKUP(T_Convention[[#This Row],[NumL]],T_TraitDi[#Data],COLUMN(T_TraitDi[Nbhheb]),FALSE)=0,"",TEXT(IFERROR(VLOOKUP(T_Convention[[#This Row],[NumL]],T_TraitDi[#Data],COLUMN(T_TraitDi[Nbhheb]),FALSE),""),"[hh]:mm"))</f>
        <v>#N/A</v>
      </c>
      <c r="BL194" s="287" t="str">
        <f>IFERROR(VLOOKUP(VLOOKUP(T_Convention[[#This Row],[NumL]],T_TraitDi[#Data],COLUMN(T_TraitDi[Type1]),FALSE),TypeTW,2,FALSE),"")</f>
        <v/>
      </c>
      <c r="BM194" s="288" t="str">
        <f>IFERROR(VLOOKUP(T_Convention[[#This Row],[NumL]],T_TraitDi[#Data],COLUMN(T_TraitDi[Rue1]),FALSE),"")</f>
        <v/>
      </c>
      <c r="BN194" s="289" t="str">
        <f>IFERROR(VLOOKUP(T_Convention[[#This Row],[NumL]],T_TraitDi[#Data],COLUMN(T_TraitDi[CP1]),FALSE),"")</f>
        <v/>
      </c>
      <c r="BO194" s="282" t="str">
        <f>IFERROR(VLOOKUP(T_Convention[[#This Row],[NumL]],T_TraitDi[#Data],COLUMN(T_TraitDi[VILLE1]),FALSE),"")</f>
        <v/>
      </c>
      <c r="BP194" s="290" t="str">
        <f>IFERROR(VLOOKUP(VLOOKUP(T_Convention[[#This Row],[NumL]],T_TraitDi[#Data],COLUMN(T_TraitDi[Type2]),FALSE),TypeTW,2,FALSE),"")</f>
        <v/>
      </c>
      <c r="BQ194" s="182" t="str">
        <f>IFERROR(VLOOKUP(T_Convention[[#This Row],[NumL]],T_TraitDi[#Data],COLUMN(T_TraitDi[Rue2]),FALSE),"")</f>
        <v/>
      </c>
      <c r="BR194" s="173" t="str">
        <f>IFERROR(VLOOKUP(T_Convention[[#This Row],[NumL]],T_TraitDi[#Data],COLUMN(T_TraitDi[CP2]),FALSE),"")</f>
        <v/>
      </c>
      <c r="BS194" s="173" t="str">
        <f>IFERROR(VLOOKUP(T_Convention[[#This Row],[NumL]],T_TraitDi[#Data],COLUMN(T_TraitDi[VILLE2]),FALSE),"")</f>
        <v/>
      </c>
      <c r="BT194" s="182" t="str">
        <f>IF(VLOOKUP(T_Convention[[#This Row],[NumL]],T_Equipement[#Data],COLUMN(T_Equipement[PC]),FALSE)="","Aucun équipement spécifique directement lié au télétravail",VLOOKUP(T_Convention[[#This Row],[NumL]],T_Equipement[#Data],COLUMN(T_Equipement[PC]),FALSE))</f>
        <v xml:space="preserve">20-421	</v>
      </c>
      <c r="BU194" s="166" t="str">
        <f>IFERROR(IF(VLOOKUP(T_Convention[[#This Row],[NumL]],T_TraitDi[#Data],COLUMN(T_TraitDi[Plan]),FALSE)="OK","Un planning spécifique de télétravail est annexé à la présente convention.",""),"")</f>
        <v/>
      </c>
      <c r="BV194" s="185" t="s">
        <v>3428</v>
      </c>
      <c r="BW194" s="164" t="e">
        <f>IF(VLOOKUP(T_Convention[[#This Row],[NumL]],T_suiviDi[#Data],COLUMN(T_suiviDi[Entité]),FALSE)="","",VLOOKUP(T_Convention[[#This Row],[NumL]],T_suiviDi[#Data],COLUMN(T_suiviDi[Entité]),FALSE))</f>
        <v>#N/A</v>
      </c>
      <c r="BX194" s="164" t="str">
        <f>IF(VLOOKUP(T_Convention[[#This Row],[NumL]],T_Commission[#Data],COLUMN(T_Commission[envoi confirm TW]),FALSE)="","",VLOOKUP(T_Convention[[#This Row],[NumL]],T_Commission[#Data],COLUMN(T_Commission[envoi confirm TW]),FALSE))</f>
        <v>Oui</v>
      </c>
      <c r="BY19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4" s="264">
        <f>VLOOKUP(T_Convention[[#This Row],[NumL]],T_Commission[#Data],COLUMN(T_Commission[Commentaire]),FALSE)</f>
        <v>0</v>
      </c>
      <c r="CA194" s="254" t="str">
        <f>IF(VLOOKUP(T_Convention[[#This Row],[NumL]],T_Commission[#Data],COLUMN(T_Commission[Encadrant Email]),FALSE)="","",VLOOKUP(T_Convention[[#This Row],[NumL]],T_Commission[#Data],COLUMN(T_Commission[Encadrant Email]),FALSE))</f>
        <v/>
      </c>
      <c r="CB194" s="352" t="e">
        <f>VLOOKUP(T_Convention[[#This Row],[NumL]],T_TraitDi[#Data],COLUMN(T_TraitDi[NbJTot]),FALSE)</f>
        <v>#N/A</v>
      </c>
      <c r="CC194" s="352" t="e">
        <f>VLOOKUP(T_Convention[[#This Row],[NumL]],T_TraitDi[#Data],COLUMN(T_TraitDi[Reg Ponct]),FALSE)</f>
        <v>#N/A</v>
      </c>
      <c r="CD194" s="348" t="str">
        <f>IF(T_Convention[[#This Row],[Final]]&lt;&gt;"",VLOOKUP(T_Convention[[#This Row],[NumL]],T_suiviDi[#Data],COLUMN((T_suiviDi[Statut])),FALSE),"")</f>
        <v/>
      </c>
    </row>
    <row r="195" spans="1:82" s="106" customFormat="1" ht="18.75" customHeight="1" x14ac:dyDescent="0.25">
      <c r="A195" s="160">
        <v>242</v>
      </c>
      <c r="B195" s="161" t="str">
        <f>VLOOKUP(T_Convention[[#This Row],[NumL]],T_Commission[#Data],COLUMN(T_Commission[FINAL]),FALSE)</f>
        <v/>
      </c>
      <c r="C195" s="162"/>
      <c r="D195" s="95" t="e">
        <f>IF(VLOOKUP(T_Convention[[#This Row],[NumL]],T_TraitDi[#Data],COLUMN(T_TraitDi[WebC]),FALSE)="","",VLOOKUP(T_Convention[[#This Row],[NumL]],T_TraitDi[#Data],COLUMN(T_TraitDi[WebC]),FALSE))</f>
        <v>#N/A</v>
      </c>
      <c r="E195" s="163" t="str">
        <f t="shared" ref="E195:E258" si="15">TEXT(DateEdition,"jj mmmm aaaa")</f>
        <v>12 janvier 2021</v>
      </c>
      <c r="F195" s="282" t="str">
        <f>IF(T_Convention[[#This Row],[Final]]&lt;&gt;"",VLOOKUP(T_Convention[[#This Row],[NumL]],T_suiviDi[#Data],COLUMN((T_suiviDi[Civ.])),FALSE),"")</f>
        <v/>
      </c>
      <c r="G195" s="283" t="str">
        <f>IF(T_Convention[[#This Row],[Final]]&lt;&gt;"",VLOOKUP(T_Convention[[#This Row],[NumL]],T_suiviDi[#Data],COLUMN((T_suiviDi[Nom])),FALSE),"")</f>
        <v/>
      </c>
      <c r="H195" s="282" t="str">
        <f>IF(T_Convention[[#This Row],[Final]]&lt;&gt;"",VLOOKUP(T_Convention[[#This Row],[NumL]],T_suiviDi[#Data],COLUMN((T_suiviDi[Prénom])),FALSE),"")</f>
        <v/>
      </c>
      <c r="I195" s="282" t="e">
        <f>VLOOKUP(T_Convention[[#This Row],[NumL]],T_suiviDi[#Data],COLUMN((T_suiviDi[[#This Row],[Email]])),FALSE)</f>
        <v>#VALUE!</v>
      </c>
      <c r="J195" s="282" t="e">
        <f>IF(VLOOKUP(T_Convention[[#This Row],[NumL]],T_suiviDi[#Data],COLUMN(T_suiviDi[[#This Row],[Fonction]]),FALSE)="","",VLOOKUP(T_Convention[[#This Row],[NumL]],T_suiviDi[#Data],COLUMN(T_suiviDi[[#This Row],[Fonction]]),FALSE))</f>
        <v>#VALUE!</v>
      </c>
      <c r="K195" s="282" t="e">
        <f>IF(VLOOKUP(T_Convention[[#This Row],[NumL]],T_suiviDi[#Data],COLUMN(T_suiviDi[[#This Row],[Grade]]),FALSE)="","",VLOOKUP(T_Convention[[#This Row],[NumL]],T_suiviDi[#Data],COLUMN(T_suiviDi[[#This Row],[Grade]]),FALSE))</f>
        <v>#VALUE!</v>
      </c>
      <c r="L195" s="282" t="e">
        <f>IF(VLOOKUP(T_Convention[[#This Row],[NumL]],T_suiviDi[#Data],COLUMN(T_suiviDi[[#This Row],[Service ]]),FALSE)="","",VLOOKUP(T_Convention[[#This Row],[NumL]],T_suiviDi[#Data],COLUMN(T_suiviDi[[#This Row],[Service ]]),FALSE))</f>
        <v>#VALUE!</v>
      </c>
      <c r="M195" s="164" t="str">
        <f t="shared" ref="M195:M258" si="16">TEXT(Dateeffet,"jj mmmm aaaa")</f>
        <v>01 septembre 2021</v>
      </c>
      <c r="N195" s="164" t="str">
        <f t="shared" ref="N195:N258" si="17">TEXT(DateFinadapt,"jj mmmm aaaa")</f>
        <v>30 novembre 2021</v>
      </c>
      <c r="O195" s="284" t="str">
        <f t="shared" ref="O195:O258" si="18">TEXT(Datebilan,"jj mmmm aaaa")</f>
        <v>30 novembre 2021</v>
      </c>
      <c r="P195" s="282" t="e">
        <f>IF(VLOOKUP(T_Convention[[#This Row],[NumL]],T_TraitDi[#Data],COLUMN(T_TraitDi[M1]),FALSE)="","",VLOOKUP(T_Convention[[#This Row],[NumL]],T_TraitDi[#Data],COLUMN(T_TraitDi[M1]),FALSE))</f>
        <v>#N/A</v>
      </c>
      <c r="Q195" s="282" t="e">
        <f>IF(VLOOKUP(T_Convention[[#This Row],[NumL]],T_TraitDi[#Data],COLUMN(T_TraitDi[M2]),FALSE)="","",VLOOKUP(T_Convention[[#This Row],[NumL]],T_TraitDi[#Data],COLUMN(T_TraitDi[M2]),FALSE))</f>
        <v>#N/A</v>
      </c>
      <c r="R195" s="282" t="e">
        <f>IF(VLOOKUP(T_Convention[[#This Row],[NumL]],T_TraitDi[#Data],COLUMN(T_TraitDi[M3]),FALSE)="","",VLOOKUP(T_Convention[[#This Row],[NumL]],T_TraitDi[#Data],COLUMN(T_TraitDi[M3]),FALSE))</f>
        <v>#N/A</v>
      </c>
      <c r="S195" s="282" t="e">
        <f>IF(VLOOKUP(T_Convention[[#This Row],[NumL]],T_TraitDi[#Data],COLUMN(T_TraitDi[M4]),FALSE)="","",VLOOKUP(T_Convention[[#This Row],[NumL]],T_TraitDi[#Data],COLUMN(T_TraitDi[M4]),FALSE))</f>
        <v>#N/A</v>
      </c>
      <c r="T195" s="282" t="e">
        <f>IF(VLOOKUP(T_Convention[[#This Row],[NumL]],T_TraitDi[#Data],COLUMN(T_TraitDi[M5]),FALSE)="","",VLOOKUP(T_Convention[[#This Row],[NumL]],T_TraitDi[#Data],COLUMN(T_TraitDi[M5]),FALSE))</f>
        <v>#N/A</v>
      </c>
      <c r="U195" s="282" t="e">
        <f>IF(VLOOKUP(T_Convention[[#This Row],[NumL]],T_TraitDi[#Data],COLUMN(T_TraitDi[M6]),FALSE)="","",VLOOKUP(T_Convention[[#This Row],[NumL]],T_TraitDi[#Data],COLUMN(T_TraitDi[M6]),FALSE))</f>
        <v>#N/A</v>
      </c>
      <c r="V195" s="176" t="e">
        <f t="shared" ref="V195:V258" si="19">P195&amp;Q195&amp;R195&amp;S195&amp;T195&amp;U195</f>
        <v>#N/A</v>
      </c>
      <c r="W195" s="284" t="str">
        <f>IFERROR(TEXT(VLOOKUP(T_Convention[[#This Row],[NumL]],T_TraitDi[#Data],COLUMN(T_TraitDi[Q2]),FALSE),"###%"),"")</f>
        <v/>
      </c>
      <c r="X195" s="97" t="e">
        <f>VLOOKUP(T_Convention[[#This Row],[NumL]],T_TraitDi[#Data],COLUMN(T_TraitDi[Reg Ponct]),FALSE)</f>
        <v>#N/A</v>
      </c>
      <c r="Y195" s="97" t="e">
        <f>VLOOKUP(T_Convention[NumL],T_TraitDi[#Data],COLUMN(T_TraitDi[Jours flottants]),FALSE)</f>
        <v>#N/A</v>
      </c>
      <c r="Z195" s="284" t="str">
        <f>IFERROR(VLOOKUP(T_Convention[[#This Row],[NumL]],T_TraitDi[#Data],COLUMN(T_TraitDi[Lundi]),FALSE),"")</f>
        <v/>
      </c>
      <c r="AA195" s="284" t="e">
        <f>IF(VLOOKUP(T_Convention[[#This Row],[NumL]],T_TraitDi[#Data],COLUMN(T_TraitDi[Colonne3]),FALSE)=0,"",TEXT(IFERROR(VLOOKUP(T_Convention[[#This Row],[NumL]],T_TraitDi[#Data],COLUMN(T_TraitDi[Colonne3]),FALSE),""),"[hh]:mm"))</f>
        <v>#N/A</v>
      </c>
      <c r="AB195" s="284" t="e">
        <f>IF(VLOOKUP(T_Convention[[#This Row],[NumL]],T_TraitDi[#Data],COLUMN(T_TraitDi[Colonne4]),FALSE)=0,"",TEXT(IFERROR(VLOOKUP(T_Convention[[#This Row],[NumL]],T_TraitDi[#Data],COLUMN(T_TraitDi[Colonne4]),FALSE),""),"[hh]:mm"))</f>
        <v>#N/A</v>
      </c>
      <c r="AC195" s="284" t="e">
        <f>IF(VLOOKUP(T_Convention[[#This Row],[NumL]],T_TraitDi[#Data],COLUMN(T_TraitDi[Colonne5]),FALSE)=0,"",TEXT(IFERROR(VLOOKUP(T_Convention[[#This Row],[NumL]],T_TraitDi[#Data],COLUMN(T_TraitDi[Colonne5]),FALSE),""),"[hh]:mm"))</f>
        <v>#N/A</v>
      </c>
      <c r="AD195" s="284" t="e">
        <f>IF(VLOOKUP(T_Convention[[#This Row],[NumL]],T_TraitDi[#Data],COLUMN(T_TraitDi[Colonne6]),FALSE)=0,"",TEXT(IFERROR(VLOOKUP(T_Convention[[#This Row],[NumL]],T_TraitDi[#Data],COLUMN(T_TraitDi[Colonne6]),FALSE),""),"[hh]:mm"))</f>
        <v>#N/A</v>
      </c>
      <c r="AE195" s="284" t="e">
        <f>IF(VLOOKUP(T_Convention[[#This Row],[NumL]],T_TraitDi[#Data],COLUMN(T_TraitDi[Colonne7]),FALSE)=0,"",TEXT(IFERROR(VLOOKUP(T_Convention[[#This Row],[NumL]],T_TraitDi[#Data],COLUMN(T_TraitDi[Colonne7]),FALSE),""),"[hh]:mm"))</f>
        <v>#N/A</v>
      </c>
      <c r="AF195" s="284" t="e">
        <f>IF(VLOOKUP(T_Convention[[#This Row],[NumL]],T_TraitDi[#Data],COLUMN(T_TraitDi[Colonne8]),FALSE)=0,"",TEXT(IFERROR(VLOOKUP(T_Convention[[#This Row],[NumL]],T_TraitDi[#Data],COLUMN(T_TraitDi[Colonne8]),FALSE),""),"[hh]:mm"))</f>
        <v>#N/A</v>
      </c>
      <c r="AG195" s="284" t="str">
        <f>IFERROR(VLOOKUP(T_Convention[[#This Row],[NumL]],T_TraitDi[#Data],COLUMN(T_TraitDi[Mardi]),FALSE),"")</f>
        <v/>
      </c>
      <c r="AH195" s="284" t="e">
        <f>IF(VLOOKUP(T_Convention[[#This Row],[NumL]],T_TraitDi[#Data],COLUMN(T_TraitDi[Colonne1]),FALSE)=0,"",TEXT(IFERROR(VLOOKUP(T_Convention[[#This Row],[NumL]],T_TraitDi[#Data],COLUMN(T_TraitDi[Colonne1]),FALSE),""),"[hh]:mm"))</f>
        <v>#N/A</v>
      </c>
      <c r="AI195" s="284" t="e">
        <f>IF(VLOOKUP(T_Convention[[#This Row],[NumL]],T_TraitDi[#Data],COLUMN(T_TraitDi[Colonne9]),FALSE)=0,"",TEXT(IFERROR(VLOOKUP(T_Convention[[#This Row],[NumL]],T_TraitDi[#Data],COLUMN(T_TraitDi[Colonne9]),FALSE),""),"[hh]:mm"))</f>
        <v>#N/A</v>
      </c>
      <c r="AJ195" s="284" t="str">
        <f>IFERROR(VLOOKUP(T_Convention[[#This Row],[NumL]],T_TraitDi[#Data],COLUMN(T_TraitDi[Colonne10]),FALSE),"")</f>
        <v/>
      </c>
      <c r="AK195" s="284" t="e">
        <f>IF(VLOOKUP(T_Convention[[#This Row],[NumL]],T_TraitDi[#Data],COLUMN(T_TraitDi[Colonne11]),FALSE)=0,"",TEXT(IFERROR(VLOOKUP(T_Convention[[#This Row],[NumL]],T_TraitDi[#Data],COLUMN(T_TraitDi[Colonne11]),FALSE),""),"[hh]:mm"))</f>
        <v>#N/A</v>
      </c>
      <c r="AL195" s="284" t="e">
        <f>IF(VLOOKUP(T_Convention[[#This Row],[NumL]],T_TraitDi[#Data],COLUMN(T_TraitDi[Colonne12]),FALSE)=0,"",TEXT(IFERROR(VLOOKUP(T_Convention[[#This Row],[NumL]],T_TraitDi[#Data],COLUMN(T_TraitDi[Colonne12]),FALSE),""),"[hh]:mm"))</f>
        <v>#N/A</v>
      </c>
      <c r="AM195" s="284" t="e">
        <f>IF(VLOOKUP(T_Convention[[#This Row],[NumL]],T_TraitDi[#Data],COLUMN(T_TraitDi[Colonne14]),FALSE)=0,"",TEXT(IFERROR(VLOOKUP(T_Convention[[#This Row],[NumL]],T_TraitDi[#Data],COLUMN(T_TraitDi[Colonne14]),FALSE),""),"[hh]:mm"))</f>
        <v>#N/A</v>
      </c>
      <c r="AN195" s="284" t="str">
        <f>IFERROR(VLOOKUP(T_Convention[[#This Row],[NumL]],T_TraitDi[#Data],COLUMN(T_TraitDi[Mercredi]),FALSE),"")</f>
        <v/>
      </c>
      <c r="AO195" s="284" t="e">
        <f>IF(VLOOKUP(T_Convention[[#This Row],[NumL]],T_TraitDi[#Data],COLUMN(T_TraitDi[Colonne15]),FALSE)=0,"",TEXT(IFERROR(VLOOKUP(T_Convention[[#This Row],[NumL]],T_TraitDi[#Data],COLUMN(T_TraitDi[Colonne15]),FALSE),""),"[hh]:mm"))</f>
        <v>#N/A</v>
      </c>
      <c r="AP195" s="284" t="e">
        <f>IF(VLOOKUP(T_Convention[[#This Row],[NumL]],T_TraitDi[#Data],COLUMN(T_TraitDi[Colonne16]),FALSE)=0,"",TEXT(IFERROR(VLOOKUP(T_Convention[[#This Row],[NumL]],T_TraitDi[#Data],COLUMN(T_TraitDi[Colonne16]),FALSE),""),"[hh]:mm"))</f>
        <v>#N/A</v>
      </c>
      <c r="AQ195" s="284" t="str">
        <f>IFERROR(VLOOKUP(T_Convention[[#This Row],[NumL]],T_TraitDi[#Data],COLUMN(T_TraitDi[Colonne17]),FALSE),"")</f>
        <v/>
      </c>
      <c r="AR195" s="284" t="e">
        <f>IF(VLOOKUP(T_Convention[[#This Row],[NumL]],T_TraitDi[#Data],COLUMN(T_TraitDi[Colonne18]),FALSE)=0,"",TEXT(IFERROR(VLOOKUP(T_Convention[[#This Row],[NumL]],T_TraitDi[#Data],COLUMN(T_TraitDi[Colonne18]),FALSE),""),"[hh]:mm"))</f>
        <v>#N/A</v>
      </c>
      <c r="AS195" s="284" t="e">
        <f>IF(VLOOKUP(T_Convention[[#This Row],[NumL]],T_TraitDi[#Data],COLUMN(T_TraitDi[Colonne19]),FALSE)=0,"",TEXT(IFERROR(VLOOKUP(T_Convention[[#This Row],[NumL]],T_TraitDi[#Data],COLUMN(T_TraitDi[Colonne19]),FALSE),""),"[hh]:mm"))</f>
        <v>#N/A</v>
      </c>
      <c r="AT195" s="284" t="e">
        <f>IF(VLOOKUP(T_Convention[[#This Row],[NumL]],T_TraitDi[#Data],COLUMN(T_TraitDi[Colonne20]),FALSE)=0,"",TEXT(IFERROR(VLOOKUP(T_Convention[[#This Row],[NumL]],T_TraitDi[#Data],COLUMN(T_TraitDi[Colonne20]),FALSE),""),"[hh]:mm"))</f>
        <v>#N/A</v>
      </c>
      <c r="AU195" s="284" t="str">
        <f>IFERROR(VLOOKUP(T_Convention[[#This Row],[NumL]],T_TraitDi[#Data],COLUMN(T_TraitDi[Jeudi]),FALSE),"")</f>
        <v/>
      </c>
      <c r="AV195" s="284" t="e">
        <f>IF(VLOOKUP(T_Convention[[#This Row],[NumL]],T_TraitDi[#Data],COLUMN(T_TraitDi[Colonne21]),FALSE)=0,"",TEXT(IFERROR(VLOOKUP(T_Convention[[#This Row],[NumL]],T_TraitDi[#Data],COLUMN(T_TraitDi[Colonne21]),FALSE),""),"[hh]:mm"))</f>
        <v>#N/A</v>
      </c>
      <c r="AW195" s="284" t="e">
        <f>IF(VLOOKUP(T_Convention[[#This Row],[NumL]],T_TraitDi[#Data],COLUMN(T_TraitDi[Colonne22]),FALSE)=0,"",TEXT(IFERROR(VLOOKUP(T_Convention[[#This Row],[NumL]],T_TraitDi[#Data],COLUMN(T_TraitDi[Colonne22]),FALSE),""),"[hh]:mm"))</f>
        <v>#N/A</v>
      </c>
      <c r="AX195" s="284" t="str">
        <f>IFERROR(VLOOKUP(T_Convention[[#This Row],[NumL]],T_TraitDi[#Data],COLUMN(T_TraitDi[Colonne23]),FALSE),"")</f>
        <v/>
      </c>
      <c r="AY195" s="284" t="e">
        <f>IF(VLOOKUP(T_Convention[[#This Row],[NumL]],T_TraitDi[#Data],COLUMN(T_TraitDi[Colonne24]),FALSE)=0,"",TEXT(IFERROR(VLOOKUP(T_Convention[[#This Row],[NumL]],T_TraitDi[#Data],COLUMN(T_TraitDi[Colonne24]),FALSE),""),"[hh]:mm"))</f>
        <v>#N/A</v>
      </c>
      <c r="AZ195" s="284" t="e">
        <f>IF(VLOOKUP(T_Convention[[#This Row],[NumL]],T_TraitDi[#Data],COLUMN(T_TraitDi[Colonne25]),FALSE)=0,"",TEXT(IFERROR(VLOOKUP(T_Convention[[#This Row],[NumL]],T_TraitDi[#Data],COLUMN(T_TraitDi[Colonne25]),FALSE),""),"[hh]:mm"))</f>
        <v>#N/A</v>
      </c>
      <c r="BA195" s="284" t="e">
        <f>IF(VLOOKUP(T_Convention[[#This Row],[NumL]],T_TraitDi[#Data],COLUMN(T_TraitDi[Colonne26]),FALSE)=0,"",TEXT(IFERROR(VLOOKUP(T_Convention[[#This Row],[NumL]],T_TraitDi[#Data],COLUMN(T_TraitDi[Colonne26]),FALSE),""),"[hh]:mm"))</f>
        <v>#N/A</v>
      </c>
      <c r="BB195" s="284" t="str">
        <f>IFERROR(VLOOKUP(T_Convention[[#This Row],[NumL]],T_TraitDi[#Data],COLUMN(T_TraitDi[Vendredi]),FALSE),"")</f>
        <v/>
      </c>
      <c r="BC195" s="284" t="e">
        <f>IF(VLOOKUP(T_Convention[[#This Row],[NumL]],T_TraitDi[#Data],COLUMN(T_TraitDi[Colonne27]),FALSE)=0,"",TEXT(IFERROR(VLOOKUP(T_Convention[[#This Row],[NumL]],T_TraitDi[#Data],COLUMN(T_TraitDi[Colonne27]),FALSE),""),"[hh]:mm"))</f>
        <v>#N/A</v>
      </c>
      <c r="BD195" s="284" t="e">
        <f>IF(VLOOKUP(T_Convention[[#This Row],[NumL]],T_TraitDi[#Data],COLUMN(T_TraitDi[Colonne28]),FALSE)=0,"",TEXT(IFERROR(VLOOKUP(T_Convention[[#This Row],[NumL]],T_TraitDi[#Data],COLUMN(T_TraitDi[Colonne28]),FALSE),""),"[hh]:mm"))</f>
        <v>#N/A</v>
      </c>
      <c r="BE195" s="284" t="str">
        <f>IFERROR(VLOOKUP(T_Convention[[#This Row],[NumL]],T_TraitDi[#Data],COLUMN(T_TraitDi[Colonne29]),FALSE),"")</f>
        <v/>
      </c>
      <c r="BF195" s="284" t="e">
        <f>IF(VLOOKUP(T_Convention[[#This Row],[NumL]],T_TraitDi[#Data],COLUMN(T_TraitDi[Colonne30]),FALSE)=0,"",TEXT(IFERROR(VLOOKUP(T_Convention[[#This Row],[NumL]],T_TraitDi[#Data],COLUMN(T_TraitDi[Colonne30]),FALSE),""),"[hh]:mm"))</f>
        <v>#N/A</v>
      </c>
      <c r="BG195" s="284" t="e">
        <f>IF(VLOOKUP(T_Convention[[#This Row],[NumL]],T_TraitDi[#Data],COLUMN(T_TraitDi[Colonne31]),FALSE)=0,"",TEXT(IFERROR(VLOOKUP(T_Convention[[#This Row],[NumL]],T_TraitDi[#Data],COLUMN(T_TraitDi[Colonne31]),FALSE),""),"[hh]:mm"))</f>
        <v>#N/A</v>
      </c>
      <c r="BH195" s="284" t="e">
        <f>IF(VLOOKUP(T_Convention[[#This Row],[NumL]],T_TraitDi[#Data],COLUMN(T_TraitDi[Colonne32]),FALSE)=0,"",TEXT(IFERROR(VLOOKUP(T_Convention[[#This Row],[NumL]],T_TraitDi[#Data],COLUMN(T_TraitDi[Colonne32]),FALSE),""),"[hh]:mm"))</f>
        <v>#N/A</v>
      </c>
      <c r="BI195" s="284" t="str">
        <f>IFERROR(VLOOKUP(T_Convention[[#This Row],[NumL]],T_TraitDi[#Data],COLUMN(T_TraitDi[NbJTW]),FALSE),"")</f>
        <v/>
      </c>
      <c r="BJ195" s="284" t="e">
        <f>IF(VLOOKUP(T_Convention[[#This Row],[NumL]],T_TraitDi[#Data],COLUMN(T_TraitDi[NbhTW]),FALSE)=0,"",TEXT(IFERROR(VLOOKUP(T_Convention[[#This Row],[NumL]],T_TraitDi[#Data],COLUMN(T_TraitDi[NbhTW]),FALSE),""),"[hh]:mm"))</f>
        <v>#N/A</v>
      </c>
      <c r="BK195" s="286" t="e">
        <f>IF(VLOOKUP(T_Convention[[#This Row],[NumL]],T_TraitDi[#Data],COLUMN(T_TraitDi[Nbhheb]),FALSE)=0,"",TEXT(IFERROR(VLOOKUP(T_Convention[[#This Row],[NumL]],T_TraitDi[#Data],COLUMN(T_TraitDi[Nbhheb]),FALSE),""),"[hh]:mm"))</f>
        <v>#N/A</v>
      </c>
      <c r="BL195" s="287" t="str">
        <f>IFERROR(VLOOKUP(VLOOKUP(T_Convention[[#This Row],[NumL]],T_TraitDi[#Data],COLUMN(T_TraitDi[Type1]),FALSE),TypeTW,2,FALSE),"")</f>
        <v/>
      </c>
      <c r="BM195" s="288" t="str">
        <f>IFERROR(VLOOKUP(T_Convention[[#This Row],[NumL]],T_TraitDi[#Data],COLUMN(T_TraitDi[Rue1]),FALSE),"")</f>
        <v/>
      </c>
      <c r="BN195" s="289" t="str">
        <f>IFERROR(VLOOKUP(T_Convention[[#This Row],[NumL]],T_TraitDi[#Data],COLUMN(T_TraitDi[CP1]),FALSE),"")</f>
        <v/>
      </c>
      <c r="BO195" s="282" t="str">
        <f>IFERROR(VLOOKUP(T_Convention[[#This Row],[NumL]],T_TraitDi[#Data],COLUMN(T_TraitDi[VILLE1]),FALSE),"")</f>
        <v/>
      </c>
      <c r="BP195" s="290" t="str">
        <f>IFERROR(VLOOKUP(VLOOKUP(T_Convention[[#This Row],[NumL]],T_TraitDi[#Data],COLUMN(T_TraitDi[Type2]),FALSE),TypeTW,2,FALSE),"")</f>
        <v/>
      </c>
      <c r="BQ195" s="182" t="str">
        <f>IFERROR(VLOOKUP(T_Convention[[#This Row],[NumL]],T_TraitDi[#Data],COLUMN(T_TraitDi[Rue2]),FALSE),"")</f>
        <v/>
      </c>
      <c r="BR195" s="173" t="str">
        <f>IFERROR(VLOOKUP(T_Convention[[#This Row],[NumL]],T_TraitDi[#Data],COLUMN(T_TraitDi[CP2]),FALSE),"")</f>
        <v/>
      </c>
      <c r="BS195" s="173" t="str">
        <f>IFERROR(VLOOKUP(T_Convention[[#This Row],[NumL]],T_TraitDi[#Data],COLUMN(T_TraitDi[VILLE2]),FALSE),"")</f>
        <v/>
      </c>
      <c r="BT195" s="182" t="str">
        <f>IF(VLOOKUP(T_Convention[[#This Row],[NumL]],T_Equipement[#Data],COLUMN(T_Equipement[PC]),FALSE)="","Aucun équipement spécifique directement lié au télétravail",VLOOKUP(T_Convention[[#This Row],[NumL]],T_Equipement[#Data],COLUMN(T_Equipement[PC]),FALSE))</f>
        <v xml:space="preserve">20-250	</v>
      </c>
      <c r="BU195" s="166" t="str">
        <f>IFERROR(IF(VLOOKUP(T_Convention[[#This Row],[NumL]],T_TraitDi[#Data],COLUMN(T_TraitDi[Plan]),FALSE)="OK","Un planning spécifique de télétravail est annexé à la présente convention.",""),"")</f>
        <v/>
      </c>
      <c r="BV195" s="185" t="s">
        <v>3432</v>
      </c>
      <c r="BW195" s="164" t="e">
        <f>IF(VLOOKUP(T_Convention[[#This Row],[NumL]],T_suiviDi[#Data],COLUMN(T_suiviDi[Entité]),FALSE)="","",VLOOKUP(T_Convention[[#This Row],[NumL]],T_suiviDi[#Data],COLUMN(T_suiviDi[Entité]),FALSE))</f>
        <v>#N/A</v>
      </c>
      <c r="BX195" s="164" t="str">
        <f>IF(VLOOKUP(T_Convention[[#This Row],[NumL]],T_Commission[#Data],COLUMN(T_Commission[envoi confirm TW]),FALSE)="","",VLOOKUP(T_Convention[[#This Row],[NumL]],T_Commission[#Data],COLUMN(T_Commission[envoi confirm TW]),FALSE))</f>
        <v>Oui</v>
      </c>
      <c r="BY19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5" s="264">
        <f>VLOOKUP(T_Convention[[#This Row],[NumL]],T_Commission[#Data],COLUMN(T_Commission[Commentaire]),FALSE)</f>
        <v>0</v>
      </c>
      <c r="CA195" s="254" t="str">
        <f>IF(VLOOKUP(T_Convention[[#This Row],[NumL]],T_Commission[#Data],COLUMN(T_Commission[Encadrant Email]),FALSE)="","",VLOOKUP(T_Convention[[#This Row],[NumL]],T_Commission[#Data],COLUMN(T_Commission[Encadrant Email]),FALSE))</f>
        <v/>
      </c>
      <c r="CB195" s="352" t="e">
        <f>VLOOKUP(T_Convention[[#This Row],[NumL]],T_TraitDi[#Data],COLUMN(T_TraitDi[NbJTot]),FALSE)</f>
        <v>#N/A</v>
      </c>
      <c r="CC195" s="352" t="e">
        <f>VLOOKUP(T_Convention[[#This Row],[NumL]],T_TraitDi[#Data],COLUMN(T_TraitDi[Reg Ponct]),FALSE)</f>
        <v>#N/A</v>
      </c>
      <c r="CD195" s="348" t="str">
        <f>IF(T_Convention[[#This Row],[Final]]&lt;&gt;"",VLOOKUP(T_Convention[[#This Row],[NumL]],T_suiviDi[#Data],COLUMN((T_suiviDi[Statut])),FALSE),"")</f>
        <v/>
      </c>
    </row>
    <row r="196" spans="1:82" s="106" customFormat="1" ht="18.75" customHeight="1" x14ac:dyDescent="0.25">
      <c r="A196" s="160">
        <v>236</v>
      </c>
      <c r="B196" s="161" t="str">
        <f>VLOOKUP(T_Convention[[#This Row],[NumL]],T_Commission[#Data],COLUMN(T_Commission[FINAL]),FALSE)</f>
        <v/>
      </c>
      <c r="C196" s="162"/>
      <c r="D196" s="95" t="e">
        <f>IF(VLOOKUP(T_Convention[[#This Row],[NumL]],T_TraitDi[#Data],COLUMN(T_TraitDi[WebC]),FALSE)="","",VLOOKUP(T_Convention[[#This Row],[NumL]],T_TraitDi[#Data],COLUMN(T_TraitDi[WebC]),FALSE))</f>
        <v>#N/A</v>
      </c>
      <c r="E196" s="163" t="str">
        <f t="shared" si="15"/>
        <v>12 janvier 2021</v>
      </c>
      <c r="F196" s="282" t="str">
        <f>IF(T_Convention[[#This Row],[Final]]&lt;&gt;"",VLOOKUP(T_Convention[[#This Row],[NumL]],T_suiviDi[#Data],COLUMN((T_suiviDi[Civ.])),FALSE),"")</f>
        <v/>
      </c>
      <c r="G196" s="283" t="str">
        <f>IF(T_Convention[[#This Row],[Final]]&lt;&gt;"",VLOOKUP(T_Convention[[#This Row],[NumL]],T_suiviDi[#Data],COLUMN((T_suiviDi[Nom])),FALSE),"")</f>
        <v/>
      </c>
      <c r="H196" s="282" t="str">
        <f>IF(T_Convention[[#This Row],[Final]]&lt;&gt;"",VLOOKUP(T_Convention[[#This Row],[NumL]],T_suiviDi[#Data],COLUMN((T_suiviDi[Prénom])),FALSE),"")</f>
        <v/>
      </c>
      <c r="I196" s="282" t="e">
        <f>VLOOKUP(T_Convention[[#This Row],[NumL]],T_suiviDi[#Data],COLUMN((T_suiviDi[[#This Row],[Email]])),FALSE)</f>
        <v>#VALUE!</v>
      </c>
      <c r="J196" s="282" t="e">
        <f>IF(VLOOKUP(T_Convention[[#This Row],[NumL]],T_suiviDi[#Data],COLUMN(T_suiviDi[[#This Row],[Fonction]]),FALSE)="","",VLOOKUP(T_Convention[[#This Row],[NumL]],T_suiviDi[#Data],COLUMN(T_suiviDi[[#This Row],[Fonction]]),FALSE))</f>
        <v>#VALUE!</v>
      </c>
      <c r="K196" s="282" t="e">
        <f>IF(VLOOKUP(T_Convention[[#This Row],[NumL]],T_suiviDi[#Data],COLUMN(T_suiviDi[[#This Row],[Grade]]),FALSE)="","",VLOOKUP(T_Convention[[#This Row],[NumL]],T_suiviDi[#Data],COLUMN(T_suiviDi[[#This Row],[Grade]]),FALSE))</f>
        <v>#VALUE!</v>
      </c>
      <c r="L196" s="282" t="e">
        <f>IF(VLOOKUP(T_Convention[[#This Row],[NumL]],T_suiviDi[#Data],COLUMN(T_suiviDi[[#This Row],[Service ]]),FALSE)="","",VLOOKUP(T_Convention[[#This Row],[NumL]],T_suiviDi[#Data],COLUMN(T_suiviDi[[#This Row],[Service ]]),FALSE))</f>
        <v>#VALUE!</v>
      </c>
      <c r="M196" s="164" t="str">
        <f t="shared" si="16"/>
        <v>01 septembre 2021</v>
      </c>
      <c r="N196" s="164" t="str">
        <f t="shared" si="17"/>
        <v>30 novembre 2021</v>
      </c>
      <c r="O196" s="284" t="str">
        <f t="shared" si="18"/>
        <v>30 novembre 2021</v>
      </c>
      <c r="P196" s="282" t="e">
        <f>IF(VLOOKUP(T_Convention[[#This Row],[NumL]],T_TraitDi[#Data],COLUMN(T_TraitDi[M1]),FALSE)="","",VLOOKUP(T_Convention[[#This Row],[NumL]],T_TraitDi[#Data],COLUMN(T_TraitDi[M1]),FALSE))</f>
        <v>#N/A</v>
      </c>
      <c r="Q196" s="282" t="e">
        <f>IF(VLOOKUP(T_Convention[[#This Row],[NumL]],T_TraitDi[#Data],COLUMN(T_TraitDi[M2]),FALSE)="","",VLOOKUP(T_Convention[[#This Row],[NumL]],T_TraitDi[#Data],COLUMN(T_TraitDi[M2]),FALSE))</f>
        <v>#N/A</v>
      </c>
      <c r="R196" s="282" t="e">
        <f>IF(VLOOKUP(T_Convention[[#This Row],[NumL]],T_TraitDi[#Data],COLUMN(T_TraitDi[M3]),FALSE)="","",VLOOKUP(T_Convention[[#This Row],[NumL]],T_TraitDi[#Data],COLUMN(T_TraitDi[M3]),FALSE))</f>
        <v>#N/A</v>
      </c>
      <c r="S196" s="282" t="e">
        <f>IF(VLOOKUP(T_Convention[[#This Row],[NumL]],T_TraitDi[#Data],COLUMN(T_TraitDi[M4]),FALSE)="","",VLOOKUP(T_Convention[[#This Row],[NumL]],T_TraitDi[#Data],COLUMN(T_TraitDi[M4]),FALSE))</f>
        <v>#N/A</v>
      </c>
      <c r="T196" s="282" t="e">
        <f>IF(VLOOKUP(T_Convention[[#This Row],[NumL]],T_TraitDi[#Data],COLUMN(T_TraitDi[M5]),FALSE)="","",VLOOKUP(T_Convention[[#This Row],[NumL]],T_TraitDi[#Data],COLUMN(T_TraitDi[M5]),FALSE))</f>
        <v>#N/A</v>
      </c>
      <c r="U196" s="282" t="e">
        <f>IF(VLOOKUP(T_Convention[[#This Row],[NumL]],T_TraitDi[#Data],COLUMN(T_TraitDi[M6]),FALSE)="","",VLOOKUP(T_Convention[[#This Row],[NumL]],T_TraitDi[#Data],COLUMN(T_TraitDi[M6]),FALSE))</f>
        <v>#N/A</v>
      </c>
      <c r="V196" s="176" t="e">
        <f t="shared" si="19"/>
        <v>#N/A</v>
      </c>
      <c r="W196" s="284" t="str">
        <f>IFERROR(TEXT(VLOOKUP(T_Convention[[#This Row],[NumL]],T_TraitDi[#Data],COLUMN(T_TraitDi[Q2]),FALSE),"###%"),"")</f>
        <v/>
      </c>
      <c r="X196" s="97" t="e">
        <f>VLOOKUP(T_Convention[[#This Row],[NumL]],T_TraitDi[#Data],COLUMN(T_TraitDi[Reg Ponct]),FALSE)</f>
        <v>#N/A</v>
      </c>
      <c r="Y196" s="97" t="e">
        <f>VLOOKUP(T_Convention[NumL],T_TraitDi[#Data],COLUMN(T_TraitDi[Jours flottants]),FALSE)</f>
        <v>#N/A</v>
      </c>
      <c r="Z196" s="284" t="str">
        <f>IFERROR(VLOOKUP(T_Convention[[#This Row],[NumL]],T_TraitDi[#Data],COLUMN(T_TraitDi[Lundi]),FALSE),"")</f>
        <v/>
      </c>
      <c r="AA196" s="284" t="e">
        <f>IF(VLOOKUP(T_Convention[[#This Row],[NumL]],T_TraitDi[#Data],COLUMN(T_TraitDi[Colonne3]),FALSE)=0,"",TEXT(IFERROR(VLOOKUP(T_Convention[[#This Row],[NumL]],T_TraitDi[#Data],COLUMN(T_TraitDi[Colonne3]),FALSE),""),"[hh]:mm"))</f>
        <v>#N/A</v>
      </c>
      <c r="AB196" s="284" t="e">
        <f>IF(VLOOKUP(T_Convention[[#This Row],[NumL]],T_TraitDi[#Data],COLUMN(T_TraitDi[Colonne4]),FALSE)=0,"",TEXT(IFERROR(VLOOKUP(T_Convention[[#This Row],[NumL]],T_TraitDi[#Data],COLUMN(T_TraitDi[Colonne4]),FALSE),""),"[hh]:mm"))</f>
        <v>#N/A</v>
      </c>
      <c r="AC196" s="284" t="e">
        <f>IF(VLOOKUP(T_Convention[[#This Row],[NumL]],T_TraitDi[#Data],COLUMN(T_TraitDi[Colonne5]),FALSE)=0,"",TEXT(IFERROR(VLOOKUP(T_Convention[[#This Row],[NumL]],T_TraitDi[#Data],COLUMN(T_TraitDi[Colonne5]),FALSE),""),"[hh]:mm"))</f>
        <v>#N/A</v>
      </c>
      <c r="AD196" s="284" t="e">
        <f>IF(VLOOKUP(T_Convention[[#This Row],[NumL]],T_TraitDi[#Data],COLUMN(T_TraitDi[Colonne6]),FALSE)=0,"",TEXT(IFERROR(VLOOKUP(T_Convention[[#This Row],[NumL]],T_TraitDi[#Data],COLUMN(T_TraitDi[Colonne6]),FALSE),""),"[hh]:mm"))</f>
        <v>#N/A</v>
      </c>
      <c r="AE196" s="284" t="e">
        <f>IF(VLOOKUP(T_Convention[[#This Row],[NumL]],T_TraitDi[#Data],COLUMN(T_TraitDi[Colonne7]),FALSE)=0,"",TEXT(IFERROR(VLOOKUP(T_Convention[[#This Row],[NumL]],T_TraitDi[#Data],COLUMN(T_TraitDi[Colonne7]),FALSE),""),"[hh]:mm"))</f>
        <v>#N/A</v>
      </c>
      <c r="AF196" s="284" t="e">
        <f>IF(VLOOKUP(T_Convention[[#This Row],[NumL]],T_TraitDi[#Data],COLUMN(T_TraitDi[Colonne8]),FALSE)=0,"",TEXT(IFERROR(VLOOKUP(T_Convention[[#This Row],[NumL]],T_TraitDi[#Data],COLUMN(T_TraitDi[Colonne8]),FALSE),""),"[hh]:mm"))</f>
        <v>#N/A</v>
      </c>
      <c r="AG196" s="284" t="str">
        <f>IFERROR(VLOOKUP(T_Convention[[#This Row],[NumL]],T_TraitDi[#Data],COLUMN(T_TraitDi[Mardi]),FALSE),"")</f>
        <v/>
      </c>
      <c r="AH196" s="284" t="e">
        <f>IF(VLOOKUP(T_Convention[[#This Row],[NumL]],T_TraitDi[#Data],COLUMN(T_TraitDi[Colonne1]),FALSE)=0,"",TEXT(IFERROR(VLOOKUP(T_Convention[[#This Row],[NumL]],T_TraitDi[#Data],COLUMN(T_TraitDi[Colonne1]),FALSE),""),"[hh]:mm"))</f>
        <v>#N/A</v>
      </c>
      <c r="AI196" s="284" t="e">
        <f>IF(VLOOKUP(T_Convention[[#This Row],[NumL]],T_TraitDi[#Data],COLUMN(T_TraitDi[Colonne9]),FALSE)=0,"",TEXT(IFERROR(VLOOKUP(T_Convention[[#This Row],[NumL]],T_TraitDi[#Data],COLUMN(T_TraitDi[Colonne9]),FALSE),""),"[hh]:mm"))</f>
        <v>#N/A</v>
      </c>
      <c r="AJ196" s="284" t="str">
        <f>IFERROR(VLOOKUP(T_Convention[[#This Row],[NumL]],T_TraitDi[#Data],COLUMN(T_TraitDi[Colonne10]),FALSE),"")</f>
        <v/>
      </c>
      <c r="AK196" s="284" t="e">
        <f>IF(VLOOKUP(T_Convention[[#This Row],[NumL]],T_TraitDi[#Data],COLUMN(T_TraitDi[Colonne11]),FALSE)=0,"",TEXT(IFERROR(VLOOKUP(T_Convention[[#This Row],[NumL]],T_TraitDi[#Data],COLUMN(T_TraitDi[Colonne11]),FALSE),""),"[hh]:mm"))</f>
        <v>#N/A</v>
      </c>
      <c r="AL196" s="284" t="e">
        <f>IF(VLOOKUP(T_Convention[[#This Row],[NumL]],T_TraitDi[#Data],COLUMN(T_TraitDi[Colonne12]),FALSE)=0,"",TEXT(IFERROR(VLOOKUP(T_Convention[[#This Row],[NumL]],T_TraitDi[#Data],COLUMN(T_TraitDi[Colonne12]),FALSE),""),"[hh]:mm"))</f>
        <v>#N/A</v>
      </c>
      <c r="AM196" s="284" t="e">
        <f>IF(VLOOKUP(T_Convention[[#This Row],[NumL]],T_TraitDi[#Data],COLUMN(T_TraitDi[Colonne14]),FALSE)=0,"",TEXT(IFERROR(VLOOKUP(T_Convention[[#This Row],[NumL]],T_TraitDi[#Data],COLUMN(T_TraitDi[Colonne14]),FALSE),""),"[hh]:mm"))</f>
        <v>#N/A</v>
      </c>
      <c r="AN196" s="284" t="str">
        <f>IFERROR(VLOOKUP(T_Convention[[#This Row],[NumL]],T_TraitDi[#Data],COLUMN(T_TraitDi[Mercredi]),FALSE),"")</f>
        <v/>
      </c>
      <c r="AO196" s="284" t="e">
        <f>IF(VLOOKUP(T_Convention[[#This Row],[NumL]],T_TraitDi[#Data],COLUMN(T_TraitDi[Colonne15]),FALSE)=0,"",TEXT(IFERROR(VLOOKUP(T_Convention[[#This Row],[NumL]],T_TraitDi[#Data],COLUMN(T_TraitDi[Colonne15]),FALSE),""),"[hh]:mm"))</f>
        <v>#N/A</v>
      </c>
      <c r="AP196" s="284" t="e">
        <f>IF(VLOOKUP(T_Convention[[#This Row],[NumL]],T_TraitDi[#Data],COLUMN(T_TraitDi[Colonne16]),FALSE)=0,"",TEXT(IFERROR(VLOOKUP(T_Convention[[#This Row],[NumL]],T_TraitDi[#Data],COLUMN(T_TraitDi[Colonne16]),FALSE),""),"[hh]:mm"))</f>
        <v>#N/A</v>
      </c>
      <c r="AQ196" s="284" t="str">
        <f>IFERROR(VLOOKUP(T_Convention[[#This Row],[NumL]],T_TraitDi[#Data],COLUMN(T_TraitDi[Colonne17]),FALSE),"")</f>
        <v/>
      </c>
      <c r="AR196" s="284" t="e">
        <f>IF(VLOOKUP(T_Convention[[#This Row],[NumL]],T_TraitDi[#Data],COLUMN(T_TraitDi[Colonne18]),FALSE)=0,"",TEXT(IFERROR(VLOOKUP(T_Convention[[#This Row],[NumL]],T_TraitDi[#Data],COLUMN(T_TraitDi[Colonne18]),FALSE),""),"[hh]:mm"))</f>
        <v>#N/A</v>
      </c>
      <c r="AS196" s="284" t="e">
        <f>IF(VLOOKUP(T_Convention[[#This Row],[NumL]],T_TraitDi[#Data],COLUMN(T_TraitDi[Colonne19]),FALSE)=0,"",TEXT(IFERROR(VLOOKUP(T_Convention[[#This Row],[NumL]],T_TraitDi[#Data],COLUMN(T_TraitDi[Colonne19]),FALSE),""),"[hh]:mm"))</f>
        <v>#N/A</v>
      </c>
      <c r="AT196" s="284" t="e">
        <f>IF(VLOOKUP(T_Convention[[#This Row],[NumL]],T_TraitDi[#Data],COLUMN(T_TraitDi[Colonne20]),FALSE)=0,"",TEXT(IFERROR(VLOOKUP(T_Convention[[#This Row],[NumL]],T_TraitDi[#Data],COLUMN(T_TraitDi[Colonne20]),FALSE),""),"[hh]:mm"))</f>
        <v>#N/A</v>
      </c>
      <c r="AU196" s="284" t="str">
        <f>IFERROR(VLOOKUP(T_Convention[[#This Row],[NumL]],T_TraitDi[#Data],COLUMN(T_TraitDi[Jeudi]),FALSE),"")</f>
        <v/>
      </c>
      <c r="AV196" s="284" t="e">
        <f>IF(VLOOKUP(T_Convention[[#This Row],[NumL]],T_TraitDi[#Data],COLUMN(T_TraitDi[Colonne21]),FALSE)=0,"",TEXT(IFERROR(VLOOKUP(T_Convention[[#This Row],[NumL]],T_TraitDi[#Data],COLUMN(T_TraitDi[Colonne21]),FALSE),""),"[hh]:mm"))</f>
        <v>#N/A</v>
      </c>
      <c r="AW196" s="284" t="e">
        <f>IF(VLOOKUP(T_Convention[[#This Row],[NumL]],T_TraitDi[#Data],COLUMN(T_TraitDi[Colonne22]),FALSE)=0,"",TEXT(IFERROR(VLOOKUP(T_Convention[[#This Row],[NumL]],T_TraitDi[#Data],COLUMN(T_TraitDi[Colonne22]),FALSE),""),"[hh]:mm"))</f>
        <v>#N/A</v>
      </c>
      <c r="AX196" s="284" t="str">
        <f>IFERROR(VLOOKUP(T_Convention[[#This Row],[NumL]],T_TraitDi[#Data],COLUMN(T_TraitDi[Colonne23]),FALSE),"")</f>
        <v/>
      </c>
      <c r="AY196" s="284" t="e">
        <f>IF(VLOOKUP(T_Convention[[#This Row],[NumL]],T_TraitDi[#Data],COLUMN(T_TraitDi[Colonne24]),FALSE)=0,"",TEXT(IFERROR(VLOOKUP(T_Convention[[#This Row],[NumL]],T_TraitDi[#Data],COLUMN(T_TraitDi[Colonne24]),FALSE),""),"[hh]:mm"))</f>
        <v>#N/A</v>
      </c>
      <c r="AZ196" s="284" t="e">
        <f>IF(VLOOKUP(T_Convention[[#This Row],[NumL]],T_TraitDi[#Data],COLUMN(T_TraitDi[Colonne25]),FALSE)=0,"",TEXT(IFERROR(VLOOKUP(T_Convention[[#This Row],[NumL]],T_TraitDi[#Data],COLUMN(T_TraitDi[Colonne25]),FALSE),""),"[hh]:mm"))</f>
        <v>#N/A</v>
      </c>
      <c r="BA196" s="284" t="e">
        <f>IF(VLOOKUP(T_Convention[[#This Row],[NumL]],T_TraitDi[#Data],COLUMN(T_TraitDi[Colonne26]),FALSE)=0,"",TEXT(IFERROR(VLOOKUP(T_Convention[[#This Row],[NumL]],T_TraitDi[#Data],COLUMN(T_TraitDi[Colonne26]),FALSE),""),"[hh]:mm"))</f>
        <v>#N/A</v>
      </c>
      <c r="BB196" s="284" t="str">
        <f>IFERROR(VLOOKUP(T_Convention[[#This Row],[NumL]],T_TraitDi[#Data],COLUMN(T_TraitDi[Vendredi]),FALSE),"")</f>
        <v/>
      </c>
      <c r="BC196" s="284" t="e">
        <f>IF(VLOOKUP(T_Convention[[#This Row],[NumL]],T_TraitDi[#Data],COLUMN(T_TraitDi[Colonne27]),FALSE)=0,"",TEXT(IFERROR(VLOOKUP(T_Convention[[#This Row],[NumL]],T_TraitDi[#Data],COLUMN(T_TraitDi[Colonne27]),FALSE),""),"[hh]:mm"))</f>
        <v>#N/A</v>
      </c>
      <c r="BD196" s="284" t="e">
        <f>IF(VLOOKUP(T_Convention[[#This Row],[NumL]],T_TraitDi[#Data],COLUMN(T_TraitDi[Colonne28]),FALSE)=0,"",TEXT(IFERROR(VLOOKUP(T_Convention[[#This Row],[NumL]],T_TraitDi[#Data],COLUMN(T_TraitDi[Colonne28]),FALSE),""),"[hh]:mm"))</f>
        <v>#N/A</v>
      </c>
      <c r="BE196" s="284" t="str">
        <f>IFERROR(VLOOKUP(T_Convention[[#This Row],[NumL]],T_TraitDi[#Data],COLUMN(T_TraitDi[Colonne29]),FALSE),"")</f>
        <v/>
      </c>
      <c r="BF196" s="284" t="e">
        <f>IF(VLOOKUP(T_Convention[[#This Row],[NumL]],T_TraitDi[#Data],COLUMN(T_TraitDi[Colonne30]),FALSE)=0,"",TEXT(IFERROR(VLOOKUP(T_Convention[[#This Row],[NumL]],T_TraitDi[#Data],COLUMN(T_TraitDi[Colonne30]),FALSE),""),"[hh]:mm"))</f>
        <v>#N/A</v>
      </c>
      <c r="BG196" s="284" t="e">
        <f>IF(VLOOKUP(T_Convention[[#This Row],[NumL]],T_TraitDi[#Data],COLUMN(T_TraitDi[Colonne31]),FALSE)=0,"",TEXT(IFERROR(VLOOKUP(T_Convention[[#This Row],[NumL]],T_TraitDi[#Data],COLUMN(T_TraitDi[Colonne31]),FALSE),""),"[hh]:mm"))</f>
        <v>#N/A</v>
      </c>
      <c r="BH196" s="284" t="e">
        <f>IF(VLOOKUP(T_Convention[[#This Row],[NumL]],T_TraitDi[#Data],COLUMN(T_TraitDi[Colonne32]),FALSE)=0,"",TEXT(IFERROR(VLOOKUP(T_Convention[[#This Row],[NumL]],T_TraitDi[#Data],COLUMN(T_TraitDi[Colonne32]),FALSE),""),"[hh]:mm"))</f>
        <v>#N/A</v>
      </c>
      <c r="BI196" s="284" t="str">
        <f>IFERROR(VLOOKUP(T_Convention[[#This Row],[NumL]],T_TraitDi[#Data],COLUMN(T_TraitDi[NbJTW]),FALSE),"")</f>
        <v/>
      </c>
      <c r="BJ196" s="284" t="e">
        <f>IF(VLOOKUP(T_Convention[[#This Row],[NumL]],T_TraitDi[#Data],COLUMN(T_TraitDi[NbhTW]),FALSE)=0,"",TEXT(IFERROR(VLOOKUP(T_Convention[[#This Row],[NumL]],T_TraitDi[#Data],COLUMN(T_TraitDi[NbhTW]),FALSE),""),"[hh]:mm"))</f>
        <v>#N/A</v>
      </c>
      <c r="BK196" s="286" t="e">
        <f>IF(VLOOKUP(T_Convention[[#This Row],[NumL]],T_TraitDi[#Data],COLUMN(T_TraitDi[Nbhheb]),FALSE)=0,"",TEXT(IFERROR(VLOOKUP(T_Convention[[#This Row],[NumL]],T_TraitDi[#Data],COLUMN(T_TraitDi[Nbhheb]),FALSE),""),"[hh]:mm"))</f>
        <v>#N/A</v>
      </c>
      <c r="BL196" s="287" t="str">
        <f>IFERROR(VLOOKUP(VLOOKUP(T_Convention[[#This Row],[NumL]],T_TraitDi[#Data],COLUMN(T_TraitDi[Type1]),FALSE),TypeTW,2,FALSE),"")</f>
        <v/>
      </c>
      <c r="BM196" s="288" t="str">
        <f>IFERROR(VLOOKUP(T_Convention[[#This Row],[NumL]],T_TraitDi[#Data],COLUMN(T_TraitDi[Rue1]),FALSE),"")</f>
        <v/>
      </c>
      <c r="BN196" s="289" t="str">
        <f>IFERROR(VLOOKUP(T_Convention[[#This Row],[NumL]],T_TraitDi[#Data],COLUMN(T_TraitDi[CP1]),FALSE),"")</f>
        <v/>
      </c>
      <c r="BO196" s="282" t="str">
        <f>IFERROR(VLOOKUP(T_Convention[[#This Row],[NumL]],T_TraitDi[#Data],COLUMN(T_TraitDi[VILLE1]),FALSE),"")</f>
        <v/>
      </c>
      <c r="BP196" s="290" t="str">
        <f>IFERROR(VLOOKUP(VLOOKUP(T_Convention[[#This Row],[NumL]],T_TraitDi[#Data],COLUMN(T_TraitDi[Type2]),FALSE),TypeTW,2,FALSE),"")</f>
        <v/>
      </c>
      <c r="BQ196" s="182" t="str">
        <f>IFERROR(VLOOKUP(T_Convention[[#This Row],[NumL]],T_TraitDi[#Data],COLUMN(T_TraitDi[Rue2]),FALSE),"")</f>
        <v/>
      </c>
      <c r="BR196" s="173" t="str">
        <f>IFERROR(VLOOKUP(T_Convention[[#This Row],[NumL]],T_TraitDi[#Data],COLUMN(T_TraitDi[CP2]),FALSE),"")</f>
        <v/>
      </c>
      <c r="BS196" s="173" t="str">
        <f>IFERROR(VLOOKUP(T_Convention[[#This Row],[NumL]],T_TraitDi[#Data],COLUMN(T_TraitDi[VILLE2]),FALSE),"")</f>
        <v/>
      </c>
      <c r="BT196" s="182" t="str">
        <f>IF(VLOOKUP(T_Convention[[#This Row],[NumL]],T_Equipement[#Data],COLUMN(T_Equipement[PC]),FALSE)="","Aucun équipement spécifique directement lié au télétravail",VLOOKUP(T_Convention[[#This Row],[NumL]],T_Equipement[#Data],COLUMN(T_Equipement[PC]),FALSE))</f>
        <v>20-503</v>
      </c>
      <c r="BU196" s="166" t="str">
        <f>IFERROR(IF(VLOOKUP(T_Convention[[#This Row],[NumL]],T_TraitDi[#Data],COLUMN(T_TraitDi[Plan]),FALSE)="OK","Un planning spécifique de télétravail est annexé à la présente convention.",""),"")</f>
        <v/>
      </c>
      <c r="BV196" s="185" t="s">
        <v>3496</v>
      </c>
      <c r="BW196" s="164" t="e">
        <f>IF(VLOOKUP(T_Convention[[#This Row],[NumL]],T_suiviDi[#Data],COLUMN(T_suiviDi[Entité]),FALSE)="","",VLOOKUP(T_Convention[[#This Row],[NumL]],T_suiviDi[#Data],COLUMN(T_suiviDi[Entité]),FALSE))</f>
        <v>#N/A</v>
      </c>
      <c r="BX196" s="164" t="str">
        <f>IF(VLOOKUP(T_Convention[[#This Row],[NumL]],T_Commission[#Data],COLUMN(T_Commission[envoi confirm TW]),FALSE)="","",VLOOKUP(T_Convention[[#This Row],[NumL]],T_Commission[#Data],COLUMN(T_Commission[envoi confirm TW]),FALSE))</f>
        <v>Oui</v>
      </c>
      <c r="BY19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6" s="264">
        <f>VLOOKUP(T_Convention[[#This Row],[NumL]],T_Commission[#Data],COLUMN(T_Commission[Commentaire]),FALSE)</f>
        <v>0</v>
      </c>
      <c r="CA196" s="254" t="str">
        <f>IF(VLOOKUP(T_Convention[[#This Row],[NumL]],T_Commission[#Data],COLUMN(T_Commission[Encadrant Email]),FALSE)="","",VLOOKUP(T_Convention[[#This Row],[NumL]],T_Commission[#Data],COLUMN(T_Commission[Encadrant Email]),FALSE))</f>
        <v/>
      </c>
      <c r="CB196" s="352" t="e">
        <f>VLOOKUP(T_Convention[[#This Row],[NumL]],T_TraitDi[#Data],COLUMN(T_TraitDi[NbJTot]),FALSE)</f>
        <v>#N/A</v>
      </c>
      <c r="CC196" s="352" t="e">
        <f>VLOOKUP(T_Convention[[#This Row],[NumL]],T_TraitDi[#Data],COLUMN(T_TraitDi[Reg Ponct]),FALSE)</f>
        <v>#N/A</v>
      </c>
      <c r="CD196" s="348" t="str">
        <f>IF(T_Convention[[#This Row],[Final]]&lt;&gt;"",VLOOKUP(T_Convention[[#This Row],[NumL]],T_suiviDi[#Data],COLUMN((T_suiviDi[Statut])),FALSE),"")</f>
        <v/>
      </c>
    </row>
    <row r="197" spans="1:82" s="106" customFormat="1" ht="18.75" customHeight="1" x14ac:dyDescent="0.25">
      <c r="A197" s="160">
        <v>74</v>
      </c>
      <c r="B197" s="161" t="str">
        <f>VLOOKUP(T_Convention[[#This Row],[NumL]],T_Commission[#Data],COLUMN(T_Commission[FINAL]),FALSE)</f>
        <v/>
      </c>
      <c r="C197" s="162"/>
      <c r="D197" s="95" t="e">
        <f>IF(VLOOKUP(T_Convention[[#This Row],[NumL]],T_TraitDi[#Data],COLUMN(T_TraitDi[WebC]),FALSE)="","",VLOOKUP(T_Convention[[#This Row],[NumL]],T_TraitDi[#Data],COLUMN(T_TraitDi[WebC]),FALSE))</f>
        <v>#N/A</v>
      </c>
      <c r="E197" s="163" t="str">
        <f t="shared" si="15"/>
        <v>12 janvier 2021</v>
      </c>
      <c r="F197" s="282" t="str">
        <f>IF(T_Convention[[#This Row],[Final]]&lt;&gt;"",VLOOKUP(T_Convention[[#This Row],[NumL]],T_suiviDi[#Data],COLUMN((T_suiviDi[Civ.])),FALSE),"")</f>
        <v/>
      </c>
      <c r="G197" s="283" t="str">
        <f>IF(T_Convention[[#This Row],[Final]]&lt;&gt;"",VLOOKUP(T_Convention[[#This Row],[NumL]],T_suiviDi[#Data],COLUMN((T_suiviDi[Nom])),FALSE),"")</f>
        <v/>
      </c>
      <c r="H197" s="282" t="str">
        <f>IF(T_Convention[[#This Row],[Final]]&lt;&gt;"",VLOOKUP(T_Convention[[#This Row],[NumL]],T_suiviDi[#Data],COLUMN((T_suiviDi[Prénom])),FALSE),"")</f>
        <v/>
      </c>
      <c r="I197" s="282" t="e">
        <f>VLOOKUP(T_Convention[[#This Row],[NumL]],T_suiviDi[#Data],COLUMN((T_suiviDi[[#This Row],[Email]])),FALSE)</f>
        <v>#VALUE!</v>
      </c>
      <c r="J197" s="282" t="e">
        <f>IF(VLOOKUP(T_Convention[[#This Row],[NumL]],T_suiviDi[#Data],COLUMN(T_suiviDi[[#This Row],[Fonction]]),FALSE)="","",VLOOKUP(T_Convention[[#This Row],[NumL]],T_suiviDi[#Data],COLUMN(T_suiviDi[[#This Row],[Fonction]]),FALSE))</f>
        <v>#VALUE!</v>
      </c>
      <c r="K197" s="282" t="e">
        <f>IF(VLOOKUP(T_Convention[[#This Row],[NumL]],T_suiviDi[#Data],COLUMN(T_suiviDi[[#This Row],[Grade]]),FALSE)="","",VLOOKUP(T_Convention[[#This Row],[NumL]],T_suiviDi[#Data],COLUMN(T_suiviDi[[#This Row],[Grade]]),FALSE))</f>
        <v>#VALUE!</v>
      </c>
      <c r="L197" s="282" t="e">
        <f>IF(VLOOKUP(T_Convention[[#This Row],[NumL]],T_suiviDi[#Data],COLUMN(T_suiviDi[[#This Row],[Service ]]),FALSE)="","",VLOOKUP(T_Convention[[#This Row],[NumL]],T_suiviDi[#Data],COLUMN(T_suiviDi[[#This Row],[Service ]]),FALSE))</f>
        <v>#VALUE!</v>
      </c>
      <c r="M197" s="164" t="str">
        <f t="shared" si="16"/>
        <v>01 septembre 2021</v>
      </c>
      <c r="N197" s="164" t="str">
        <f t="shared" si="17"/>
        <v>30 novembre 2021</v>
      </c>
      <c r="O197" s="284" t="str">
        <f t="shared" si="18"/>
        <v>30 novembre 2021</v>
      </c>
      <c r="P197" s="282" t="e">
        <f>IF(VLOOKUP(T_Convention[[#This Row],[NumL]],T_TraitDi[#Data],COLUMN(T_TraitDi[M1]),FALSE)="","",VLOOKUP(T_Convention[[#This Row],[NumL]],T_TraitDi[#Data],COLUMN(T_TraitDi[M1]),FALSE))</f>
        <v>#N/A</v>
      </c>
      <c r="Q197" s="282" t="e">
        <f>IF(VLOOKUP(T_Convention[[#This Row],[NumL]],T_TraitDi[#Data],COLUMN(T_TraitDi[M2]),FALSE)="","",VLOOKUP(T_Convention[[#This Row],[NumL]],T_TraitDi[#Data],COLUMN(T_TraitDi[M2]),FALSE))</f>
        <v>#N/A</v>
      </c>
      <c r="R197" s="282" t="e">
        <f>IF(VLOOKUP(T_Convention[[#This Row],[NumL]],T_TraitDi[#Data],COLUMN(T_TraitDi[M3]),FALSE)="","",VLOOKUP(T_Convention[[#This Row],[NumL]],T_TraitDi[#Data],COLUMN(T_TraitDi[M3]),FALSE))</f>
        <v>#N/A</v>
      </c>
      <c r="S197" s="282" t="e">
        <f>IF(VLOOKUP(T_Convention[[#This Row],[NumL]],T_TraitDi[#Data],COLUMN(T_TraitDi[M4]),FALSE)="","",VLOOKUP(T_Convention[[#This Row],[NumL]],T_TraitDi[#Data],COLUMN(T_TraitDi[M4]),FALSE))</f>
        <v>#N/A</v>
      </c>
      <c r="T197" s="282" t="e">
        <f>IF(VLOOKUP(T_Convention[[#This Row],[NumL]],T_TraitDi[#Data],COLUMN(T_TraitDi[M5]),FALSE)="","",VLOOKUP(T_Convention[[#This Row],[NumL]],T_TraitDi[#Data],COLUMN(T_TraitDi[M5]),FALSE))</f>
        <v>#N/A</v>
      </c>
      <c r="U197" s="282" t="e">
        <f>IF(VLOOKUP(T_Convention[[#This Row],[NumL]],T_TraitDi[#Data],COLUMN(T_TraitDi[M6]),FALSE)="","",VLOOKUP(T_Convention[[#This Row],[NumL]],T_TraitDi[#Data],COLUMN(T_TraitDi[M6]),FALSE))</f>
        <v>#N/A</v>
      </c>
      <c r="V197" s="176" t="e">
        <f t="shared" si="19"/>
        <v>#N/A</v>
      </c>
      <c r="W197" s="284" t="str">
        <f>IFERROR(TEXT(VLOOKUP(T_Convention[[#This Row],[NumL]],T_TraitDi[#Data],COLUMN(T_TraitDi[Q2]),FALSE),"###%"),"")</f>
        <v/>
      </c>
      <c r="X197" s="97" t="e">
        <f>VLOOKUP(T_Convention[[#This Row],[NumL]],T_TraitDi[#Data],COLUMN(T_TraitDi[Reg Ponct]),FALSE)</f>
        <v>#N/A</v>
      </c>
      <c r="Y197" s="97" t="e">
        <f>VLOOKUP(T_Convention[NumL],T_TraitDi[#Data],COLUMN(T_TraitDi[Jours flottants]),FALSE)</f>
        <v>#N/A</v>
      </c>
      <c r="Z197" s="284" t="str">
        <f>IFERROR(VLOOKUP(T_Convention[[#This Row],[NumL]],T_TraitDi[#Data],COLUMN(T_TraitDi[Lundi]),FALSE),"")</f>
        <v/>
      </c>
      <c r="AA197" s="284" t="e">
        <f>IF(VLOOKUP(T_Convention[[#This Row],[NumL]],T_TraitDi[#Data],COLUMN(T_TraitDi[Colonne3]),FALSE)=0,"",TEXT(IFERROR(VLOOKUP(T_Convention[[#This Row],[NumL]],T_TraitDi[#Data],COLUMN(T_TraitDi[Colonne3]),FALSE),""),"[hh]:mm"))</f>
        <v>#N/A</v>
      </c>
      <c r="AB197" s="284" t="e">
        <f>IF(VLOOKUP(T_Convention[[#This Row],[NumL]],T_TraitDi[#Data],COLUMN(T_TraitDi[Colonne4]),FALSE)=0,"",TEXT(IFERROR(VLOOKUP(T_Convention[[#This Row],[NumL]],T_TraitDi[#Data],COLUMN(T_TraitDi[Colonne4]),FALSE),""),"[hh]:mm"))</f>
        <v>#N/A</v>
      </c>
      <c r="AC197" s="284" t="e">
        <f>IF(VLOOKUP(T_Convention[[#This Row],[NumL]],T_TraitDi[#Data],COLUMN(T_TraitDi[Colonne5]),FALSE)=0,"",TEXT(IFERROR(VLOOKUP(T_Convention[[#This Row],[NumL]],T_TraitDi[#Data],COLUMN(T_TraitDi[Colonne5]),FALSE),""),"[hh]:mm"))</f>
        <v>#N/A</v>
      </c>
      <c r="AD197" s="284" t="e">
        <f>IF(VLOOKUP(T_Convention[[#This Row],[NumL]],T_TraitDi[#Data],COLUMN(T_TraitDi[Colonne6]),FALSE)=0,"",TEXT(IFERROR(VLOOKUP(T_Convention[[#This Row],[NumL]],T_TraitDi[#Data],COLUMN(T_TraitDi[Colonne6]),FALSE),""),"[hh]:mm"))</f>
        <v>#N/A</v>
      </c>
      <c r="AE197" s="284" t="e">
        <f>IF(VLOOKUP(T_Convention[[#This Row],[NumL]],T_TraitDi[#Data],COLUMN(T_TraitDi[Colonne7]),FALSE)=0,"",TEXT(IFERROR(VLOOKUP(T_Convention[[#This Row],[NumL]],T_TraitDi[#Data],COLUMN(T_TraitDi[Colonne7]),FALSE),""),"[hh]:mm"))</f>
        <v>#N/A</v>
      </c>
      <c r="AF197" s="284" t="e">
        <f>IF(VLOOKUP(T_Convention[[#This Row],[NumL]],T_TraitDi[#Data],COLUMN(T_TraitDi[Colonne8]),FALSE)=0,"",TEXT(IFERROR(VLOOKUP(T_Convention[[#This Row],[NumL]],T_TraitDi[#Data],COLUMN(T_TraitDi[Colonne8]),FALSE),""),"[hh]:mm"))</f>
        <v>#N/A</v>
      </c>
      <c r="AG197" s="284" t="str">
        <f>IFERROR(VLOOKUP(T_Convention[[#This Row],[NumL]],T_TraitDi[#Data],COLUMN(T_TraitDi[Mardi]),FALSE),"")</f>
        <v/>
      </c>
      <c r="AH197" s="284" t="e">
        <f>IF(VLOOKUP(T_Convention[[#This Row],[NumL]],T_TraitDi[#Data],COLUMN(T_TraitDi[Colonne1]),FALSE)=0,"",TEXT(IFERROR(VLOOKUP(T_Convention[[#This Row],[NumL]],T_TraitDi[#Data],COLUMN(T_TraitDi[Colonne1]),FALSE),""),"[hh]:mm"))</f>
        <v>#N/A</v>
      </c>
      <c r="AI197" s="284" t="e">
        <f>IF(VLOOKUP(T_Convention[[#This Row],[NumL]],T_TraitDi[#Data],COLUMN(T_TraitDi[Colonne9]),FALSE)=0,"",TEXT(IFERROR(VLOOKUP(T_Convention[[#This Row],[NumL]],T_TraitDi[#Data],COLUMN(T_TraitDi[Colonne9]),FALSE),""),"[hh]:mm"))</f>
        <v>#N/A</v>
      </c>
      <c r="AJ197" s="284" t="str">
        <f>IFERROR(VLOOKUP(T_Convention[[#This Row],[NumL]],T_TraitDi[#Data],COLUMN(T_TraitDi[Colonne10]),FALSE),"")</f>
        <v/>
      </c>
      <c r="AK197" s="284" t="e">
        <f>IF(VLOOKUP(T_Convention[[#This Row],[NumL]],T_TraitDi[#Data],COLUMN(T_TraitDi[Colonne11]),FALSE)=0,"",TEXT(IFERROR(VLOOKUP(T_Convention[[#This Row],[NumL]],T_TraitDi[#Data],COLUMN(T_TraitDi[Colonne11]),FALSE),""),"[hh]:mm"))</f>
        <v>#N/A</v>
      </c>
      <c r="AL197" s="284" t="e">
        <f>IF(VLOOKUP(T_Convention[[#This Row],[NumL]],T_TraitDi[#Data],COLUMN(T_TraitDi[Colonne12]),FALSE)=0,"",TEXT(IFERROR(VLOOKUP(T_Convention[[#This Row],[NumL]],T_TraitDi[#Data],COLUMN(T_TraitDi[Colonne12]),FALSE),""),"[hh]:mm"))</f>
        <v>#N/A</v>
      </c>
      <c r="AM197" s="284" t="e">
        <f>IF(VLOOKUP(T_Convention[[#This Row],[NumL]],T_TraitDi[#Data],COLUMN(T_TraitDi[Colonne14]),FALSE)=0,"",TEXT(IFERROR(VLOOKUP(T_Convention[[#This Row],[NumL]],T_TraitDi[#Data],COLUMN(T_TraitDi[Colonne14]),FALSE),""),"[hh]:mm"))</f>
        <v>#N/A</v>
      </c>
      <c r="AN197" s="284" t="str">
        <f>IFERROR(VLOOKUP(T_Convention[[#This Row],[NumL]],T_TraitDi[#Data],COLUMN(T_TraitDi[Mercredi]),FALSE),"")</f>
        <v/>
      </c>
      <c r="AO197" s="284" t="e">
        <f>IF(VLOOKUP(T_Convention[[#This Row],[NumL]],T_TraitDi[#Data],COLUMN(T_TraitDi[Colonne15]),FALSE)=0,"",TEXT(IFERROR(VLOOKUP(T_Convention[[#This Row],[NumL]],T_TraitDi[#Data],COLUMN(T_TraitDi[Colonne15]),FALSE),""),"[hh]:mm"))</f>
        <v>#N/A</v>
      </c>
      <c r="AP197" s="284" t="e">
        <f>IF(VLOOKUP(T_Convention[[#This Row],[NumL]],T_TraitDi[#Data],COLUMN(T_TraitDi[Colonne16]),FALSE)=0,"",TEXT(IFERROR(VLOOKUP(T_Convention[[#This Row],[NumL]],T_TraitDi[#Data],COLUMN(T_TraitDi[Colonne16]),FALSE),""),"[hh]:mm"))</f>
        <v>#N/A</v>
      </c>
      <c r="AQ197" s="284" t="str">
        <f>IFERROR(VLOOKUP(T_Convention[[#This Row],[NumL]],T_TraitDi[#Data],COLUMN(T_TraitDi[Colonne17]),FALSE),"")</f>
        <v/>
      </c>
      <c r="AR197" s="284" t="e">
        <f>IF(VLOOKUP(T_Convention[[#This Row],[NumL]],T_TraitDi[#Data],COLUMN(T_TraitDi[Colonne18]),FALSE)=0,"",TEXT(IFERROR(VLOOKUP(T_Convention[[#This Row],[NumL]],T_TraitDi[#Data],COLUMN(T_TraitDi[Colonne18]),FALSE),""),"[hh]:mm"))</f>
        <v>#N/A</v>
      </c>
      <c r="AS197" s="284" t="e">
        <f>IF(VLOOKUP(T_Convention[[#This Row],[NumL]],T_TraitDi[#Data],COLUMN(T_TraitDi[Colonne19]),FALSE)=0,"",TEXT(IFERROR(VLOOKUP(T_Convention[[#This Row],[NumL]],T_TraitDi[#Data],COLUMN(T_TraitDi[Colonne19]),FALSE),""),"[hh]:mm"))</f>
        <v>#N/A</v>
      </c>
      <c r="AT197" s="284" t="e">
        <f>IF(VLOOKUP(T_Convention[[#This Row],[NumL]],T_TraitDi[#Data],COLUMN(T_TraitDi[Colonne20]),FALSE)=0,"",TEXT(IFERROR(VLOOKUP(T_Convention[[#This Row],[NumL]],T_TraitDi[#Data],COLUMN(T_TraitDi[Colonne20]),FALSE),""),"[hh]:mm"))</f>
        <v>#N/A</v>
      </c>
      <c r="AU197" s="284" t="str">
        <f>IFERROR(VLOOKUP(T_Convention[[#This Row],[NumL]],T_TraitDi[#Data],COLUMN(T_TraitDi[Jeudi]),FALSE),"")</f>
        <v/>
      </c>
      <c r="AV197" s="284" t="e">
        <f>IF(VLOOKUP(T_Convention[[#This Row],[NumL]],T_TraitDi[#Data],COLUMN(T_TraitDi[Colonne21]),FALSE)=0,"",TEXT(IFERROR(VLOOKUP(T_Convention[[#This Row],[NumL]],T_TraitDi[#Data],COLUMN(T_TraitDi[Colonne21]),FALSE),""),"[hh]:mm"))</f>
        <v>#N/A</v>
      </c>
      <c r="AW197" s="284" t="e">
        <f>IF(VLOOKUP(T_Convention[[#This Row],[NumL]],T_TraitDi[#Data],COLUMN(T_TraitDi[Colonne22]),FALSE)=0,"",TEXT(IFERROR(VLOOKUP(T_Convention[[#This Row],[NumL]],T_TraitDi[#Data],COLUMN(T_TraitDi[Colonne22]),FALSE),""),"[hh]:mm"))</f>
        <v>#N/A</v>
      </c>
      <c r="AX197" s="284" t="str">
        <f>IFERROR(VLOOKUP(T_Convention[[#This Row],[NumL]],T_TraitDi[#Data],COLUMN(T_TraitDi[Colonne23]),FALSE),"")</f>
        <v/>
      </c>
      <c r="AY197" s="284" t="e">
        <f>IF(VLOOKUP(T_Convention[[#This Row],[NumL]],T_TraitDi[#Data],COLUMN(T_TraitDi[Colonne24]),FALSE)=0,"",TEXT(IFERROR(VLOOKUP(T_Convention[[#This Row],[NumL]],T_TraitDi[#Data],COLUMN(T_TraitDi[Colonne24]),FALSE),""),"[hh]:mm"))</f>
        <v>#N/A</v>
      </c>
      <c r="AZ197" s="284" t="e">
        <f>IF(VLOOKUP(T_Convention[[#This Row],[NumL]],T_TraitDi[#Data],COLUMN(T_TraitDi[Colonne25]),FALSE)=0,"",TEXT(IFERROR(VLOOKUP(T_Convention[[#This Row],[NumL]],T_TraitDi[#Data],COLUMN(T_TraitDi[Colonne25]),FALSE),""),"[hh]:mm"))</f>
        <v>#N/A</v>
      </c>
      <c r="BA197" s="284" t="e">
        <f>IF(VLOOKUP(T_Convention[[#This Row],[NumL]],T_TraitDi[#Data],COLUMN(T_TraitDi[Colonne26]),FALSE)=0,"",TEXT(IFERROR(VLOOKUP(T_Convention[[#This Row],[NumL]],T_TraitDi[#Data],COLUMN(T_TraitDi[Colonne26]),FALSE),""),"[hh]:mm"))</f>
        <v>#N/A</v>
      </c>
      <c r="BB197" s="284" t="str">
        <f>IFERROR(VLOOKUP(T_Convention[[#This Row],[NumL]],T_TraitDi[#Data],COLUMN(T_TraitDi[Vendredi]),FALSE),"")</f>
        <v/>
      </c>
      <c r="BC197" s="284" t="e">
        <f>IF(VLOOKUP(T_Convention[[#This Row],[NumL]],T_TraitDi[#Data],COLUMN(T_TraitDi[Colonne27]),FALSE)=0,"",TEXT(IFERROR(VLOOKUP(T_Convention[[#This Row],[NumL]],T_TraitDi[#Data],COLUMN(T_TraitDi[Colonne27]),FALSE),""),"[hh]:mm"))</f>
        <v>#N/A</v>
      </c>
      <c r="BD197" s="284" t="e">
        <f>IF(VLOOKUP(T_Convention[[#This Row],[NumL]],T_TraitDi[#Data],COLUMN(T_TraitDi[Colonne28]),FALSE)=0,"",TEXT(IFERROR(VLOOKUP(T_Convention[[#This Row],[NumL]],T_TraitDi[#Data],COLUMN(T_TraitDi[Colonne28]),FALSE),""),"[hh]:mm"))</f>
        <v>#N/A</v>
      </c>
      <c r="BE197" s="284" t="str">
        <f>IFERROR(VLOOKUP(T_Convention[[#This Row],[NumL]],T_TraitDi[#Data],COLUMN(T_TraitDi[Colonne29]),FALSE),"")</f>
        <v/>
      </c>
      <c r="BF197" s="284" t="e">
        <f>IF(VLOOKUP(T_Convention[[#This Row],[NumL]],T_TraitDi[#Data],COLUMN(T_TraitDi[Colonne30]),FALSE)=0,"",TEXT(IFERROR(VLOOKUP(T_Convention[[#This Row],[NumL]],T_TraitDi[#Data],COLUMN(T_TraitDi[Colonne30]),FALSE),""),"[hh]:mm"))</f>
        <v>#N/A</v>
      </c>
      <c r="BG197" s="284" t="e">
        <f>IF(VLOOKUP(T_Convention[[#This Row],[NumL]],T_TraitDi[#Data],COLUMN(T_TraitDi[Colonne31]),FALSE)=0,"",TEXT(IFERROR(VLOOKUP(T_Convention[[#This Row],[NumL]],T_TraitDi[#Data],COLUMN(T_TraitDi[Colonne31]),FALSE),""),"[hh]:mm"))</f>
        <v>#N/A</v>
      </c>
      <c r="BH197" s="284" t="e">
        <f>IF(VLOOKUP(T_Convention[[#This Row],[NumL]],T_TraitDi[#Data],COLUMN(T_TraitDi[Colonne32]),FALSE)=0,"",TEXT(IFERROR(VLOOKUP(T_Convention[[#This Row],[NumL]],T_TraitDi[#Data],COLUMN(T_TraitDi[Colonne32]),FALSE),""),"[hh]:mm"))</f>
        <v>#N/A</v>
      </c>
      <c r="BI197" s="284" t="str">
        <f>IFERROR(VLOOKUP(T_Convention[[#This Row],[NumL]],T_TraitDi[#Data],COLUMN(T_TraitDi[NbJTW]),FALSE),"")</f>
        <v/>
      </c>
      <c r="BJ197" s="284" t="e">
        <f>IF(VLOOKUP(T_Convention[[#This Row],[NumL]],T_TraitDi[#Data],COLUMN(T_TraitDi[NbhTW]),FALSE)=0,"",TEXT(IFERROR(VLOOKUP(T_Convention[[#This Row],[NumL]],T_TraitDi[#Data],COLUMN(T_TraitDi[NbhTW]),FALSE),""),"[hh]:mm"))</f>
        <v>#N/A</v>
      </c>
      <c r="BK197" s="286" t="e">
        <f>IF(VLOOKUP(T_Convention[[#This Row],[NumL]],T_TraitDi[#Data],COLUMN(T_TraitDi[Nbhheb]),FALSE)=0,"",TEXT(IFERROR(VLOOKUP(T_Convention[[#This Row],[NumL]],T_TraitDi[#Data],COLUMN(T_TraitDi[Nbhheb]),FALSE),""),"[hh]:mm"))</f>
        <v>#N/A</v>
      </c>
      <c r="BL197" s="287" t="str">
        <f>IFERROR(VLOOKUP(VLOOKUP(T_Convention[[#This Row],[NumL]],T_TraitDi[#Data],COLUMN(T_TraitDi[Type1]),FALSE),TypeTW,2,FALSE),"")</f>
        <v/>
      </c>
      <c r="BM197" s="288" t="str">
        <f>IFERROR(VLOOKUP(T_Convention[[#This Row],[NumL]],T_TraitDi[#Data],COLUMN(T_TraitDi[Rue1]),FALSE),"")</f>
        <v/>
      </c>
      <c r="BN197" s="289" t="str">
        <f>IFERROR(VLOOKUP(T_Convention[[#This Row],[NumL]],T_TraitDi[#Data],COLUMN(T_TraitDi[CP1]),FALSE),"")</f>
        <v/>
      </c>
      <c r="BO197" s="282" t="str">
        <f>IFERROR(VLOOKUP(T_Convention[[#This Row],[NumL]],T_TraitDi[#Data],COLUMN(T_TraitDi[VILLE1]),FALSE),"")</f>
        <v/>
      </c>
      <c r="BP197" s="290" t="str">
        <f>IFERROR(VLOOKUP(VLOOKUP(T_Convention[[#This Row],[NumL]],T_TraitDi[#Data],COLUMN(T_TraitDi[Type2]),FALSE),TypeTW,2,FALSE),"")</f>
        <v/>
      </c>
      <c r="BQ197" s="182" t="str">
        <f>IFERROR(VLOOKUP(T_Convention[[#This Row],[NumL]],T_TraitDi[#Data],COLUMN(T_TraitDi[Rue2]),FALSE),"")</f>
        <v/>
      </c>
      <c r="BR197" s="173" t="str">
        <f>IFERROR(VLOOKUP(T_Convention[[#This Row],[NumL]],T_TraitDi[#Data],COLUMN(T_TraitDi[CP2]),FALSE),"")</f>
        <v/>
      </c>
      <c r="BS197" s="173" t="str">
        <f>IFERROR(VLOOKUP(T_Convention[[#This Row],[NumL]],T_TraitDi[#Data],COLUMN(T_TraitDi[VILLE2]),FALSE),"")</f>
        <v/>
      </c>
      <c r="BT197" s="182" t="str">
        <f>IF(VLOOKUP(T_Convention[[#This Row],[NumL]],T_Equipement[#Data],COLUMN(T_Equipement[PC]),FALSE)="","Aucun équipement spécifique directement lié au télétravail",VLOOKUP(T_Convention[[#This Row],[NumL]],T_Equipement[#Data],COLUMN(T_Equipement[PC]),FALSE))</f>
        <v xml:space="preserve">20-288	</v>
      </c>
      <c r="BU197" s="166" t="str">
        <f>IFERROR(IF(VLOOKUP(T_Convention[[#This Row],[NumL]],T_TraitDi[#Data],COLUMN(T_TraitDi[Plan]),FALSE)="OK","Un planning spécifique de télétravail est annexé à la présente convention.",""),"")</f>
        <v/>
      </c>
      <c r="BV197" s="185" t="s">
        <v>3536</v>
      </c>
      <c r="BW197" s="164" t="e">
        <f>IF(VLOOKUP(T_Convention[[#This Row],[NumL]],T_suiviDi[#Data],COLUMN(T_suiviDi[Entité]),FALSE)="","",VLOOKUP(T_Convention[[#This Row],[NumL]],T_suiviDi[#Data],COLUMN(T_suiviDi[Entité]),FALSE))</f>
        <v>#N/A</v>
      </c>
      <c r="BX197" s="164" t="str">
        <f>IF(VLOOKUP(T_Convention[[#This Row],[NumL]],T_Commission[#Data],COLUMN(T_Commission[envoi confirm TW]),FALSE)="","",VLOOKUP(T_Convention[[#This Row],[NumL]],T_Commission[#Data],COLUMN(T_Commission[envoi confirm TW]),FALSE))</f>
        <v>Oui</v>
      </c>
      <c r="BY19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7" s="264">
        <f>VLOOKUP(T_Convention[[#This Row],[NumL]],T_Commission[#Data],COLUMN(T_Commission[Commentaire]),FALSE)</f>
        <v>0</v>
      </c>
      <c r="CA197" s="254" t="str">
        <f>IF(VLOOKUP(T_Convention[[#This Row],[NumL]],T_Commission[#Data],COLUMN(T_Commission[Encadrant Email]),FALSE)="","",VLOOKUP(T_Convention[[#This Row],[NumL]],T_Commission[#Data],COLUMN(T_Commission[Encadrant Email]),FALSE))</f>
        <v/>
      </c>
      <c r="CB197" s="352" t="e">
        <f>VLOOKUP(T_Convention[[#This Row],[NumL]],T_TraitDi[#Data],COLUMN(T_TraitDi[NbJTot]),FALSE)</f>
        <v>#N/A</v>
      </c>
      <c r="CC197" s="352" t="e">
        <f>VLOOKUP(T_Convention[[#This Row],[NumL]],T_TraitDi[#Data],COLUMN(T_TraitDi[Reg Ponct]),FALSE)</f>
        <v>#N/A</v>
      </c>
      <c r="CD197" s="348" t="str">
        <f>IF(T_Convention[[#This Row],[Final]]&lt;&gt;"",VLOOKUP(T_Convention[[#This Row],[NumL]],T_suiviDi[#Data],COLUMN((T_suiviDi[Statut])),FALSE),"")</f>
        <v/>
      </c>
    </row>
    <row r="198" spans="1:82" s="106" customFormat="1" ht="18.75" customHeight="1" x14ac:dyDescent="0.25">
      <c r="A198" s="160">
        <v>256</v>
      </c>
      <c r="B198" s="161" t="str">
        <f>VLOOKUP(T_Convention[[#This Row],[NumL]],T_Commission[#Data],COLUMN(T_Commission[FINAL]),FALSE)</f>
        <v/>
      </c>
      <c r="C198" s="162"/>
      <c r="D198" s="95" t="e">
        <f>IF(VLOOKUP(T_Convention[[#This Row],[NumL]],T_TraitDi[#Data],COLUMN(T_TraitDi[WebC]),FALSE)="","",VLOOKUP(T_Convention[[#This Row],[NumL]],T_TraitDi[#Data],COLUMN(T_TraitDi[WebC]),FALSE))</f>
        <v>#N/A</v>
      </c>
      <c r="E198" s="163" t="str">
        <f t="shared" si="15"/>
        <v>12 janvier 2021</v>
      </c>
      <c r="F198" s="282" t="str">
        <f>IF(T_Convention[[#This Row],[Final]]&lt;&gt;"",VLOOKUP(T_Convention[[#This Row],[NumL]],T_suiviDi[#Data],COLUMN((T_suiviDi[Civ.])),FALSE),"")</f>
        <v/>
      </c>
      <c r="G198" s="283" t="str">
        <f>IF(T_Convention[[#This Row],[Final]]&lt;&gt;"",VLOOKUP(T_Convention[[#This Row],[NumL]],T_suiviDi[#Data],COLUMN((T_suiviDi[Nom])),FALSE),"")</f>
        <v/>
      </c>
      <c r="H198" s="282" t="str">
        <f>IF(T_Convention[[#This Row],[Final]]&lt;&gt;"",VLOOKUP(T_Convention[[#This Row],[NumL]],T_suiviDi[#Data],COLUMN((T_suiviDi[Prénom])),FALSE),"")</f>
        <v/>
      </c>
      <c r="I198" s="282" t="e">
        <f>VLOOKUP(T_Convention[[#This Row],[NumL]],T_suiviDi[#Data],COLUMN((T_suiviDi[[#This Row],[Email]])),FALSE)</f>
        <v>#VALUE!</v>
      </c>
      <c r="J198" s="282" t="e">
        <f>IF(VLOOKUP(T_Convention[[#This Row],[NumL]],T_suiviDi[#Data],COLUMN(T_suiviDi[[#This Row],[Fonction]]),FALSE)="","",VLOOKUP(T_Convention[[#This Row],[NumL]],T_suiviDi[#Data],COLUMN(T_suiviDi[[#This Row],[Fonction]]),FALSE))</f>
        <v>#VALUE!</v>
      </c>
      <c r="K198" s="282" t="e">
        <f>IF(VLOOKUP(T_Convention[[#This Row],[NumL]],T_suiviDi[#Data],COLUMN(T_suiviDi[[#This Row],[Grade]]),FALSE)="","",VLOOKUP(T_Convention[[#This Row],[NumL]],T_suiviDi[#Data],COLUMN(T_suiviDi[[#This Row],[Grade]]),FALSE))</f>
        <v>#VALUE!</v>
      </c>
      <c r="L198" s="282" t="e">
        <f>IF(VLOOKUP(T_Convention[[#This Row],[NumL]],T_suiviDi[#Data],COLUMN(T_suiviDi[[#This Row],[Service ]]),FALSE)="","",VLOOKUP(T_Convention[[#This Row],[NumL]],T_suiviDi[#Data],COLUMN(T_suiviDi[[#This Row],[Service ]]),FALSE))</f>
        <v>#VALUE!</v>
      </c>
      <c r="M198" s="164" t="str">
        <f t="shared" si="16"/>
        <v>01 septembre 2021</v>
      </c>
      <c r="N198" s="164" t="str">
        <f t="shared" si="17"/>
        <v>30 novembre 2021</v>
      </c>
      <c r="O198" s="284" t="str">
        <f t="shared" si="18"/>
        <v>30 novembre 2021</v>
      </c>
      <c r="P198" s="282" t="e">
        <f>IF(VLOOKUP(T_Convention[[#This Row],[NumL]],T_TraitDi[#Data],COLUMN(T_TraitDi[M1]),FALSE)="","",VLOOKUP(T_Convention[[#This Row],[NumL]],T_TraitDi[#Data],COLUMN(T_TraitDi[M1]),FALSE))</f>
        <v>#N/A</v>
      </c>
      <c r="Q198" s="282" t="e">
        <f>IF(VLOOKUP(T_Convention[[#This Row],[NumL]],T_TraitDi[#Data],COLUMN(T_TraitDi[M2]),FALSE)="","",VLOOKUP(T_Convention[[#This Row],[NumL]],T_TraitDi[#Data],COLUMN(T_TraitDi[M2]),FALSE))</f>
        <v>#N/A</v>
      </c>
      <c r="R198" s="282" t="e">
        <f>IF(VLOOKUP(T_Convention[[#This Row],[NumL]],T_TraitDi[#Data],COLUMN(T_TraitDi[M3]),FALSE)="","",VLOOKUP(T_Convention[[#This Row],[NumL]],T_TraitDi[#Data],COLUMN(T_TraitDi[M3]),FALSE))</f>
        <v>#N/A</v>
      </c>
      <c r="S198" s="282" t="e">
        <f>IF(VLOOKUP(T_Convention[[#This Row],[NumL]],T_TraitDi[#Data],COLUMN(T_TraitDi[M4]),FALSE)="","",VLOOKUP(T_Convention[[#This Row],[NumL]],T_TraitDi[#Data],COLUMN(T_TraitDi[M4]),FALSE))</f>
        <v>#N/A</v>
      </c>
      <c r="T198" s="282" t="e">
        <f>IF(VLOOKUP(T_Convention[[#This Row],[NumL]],T_TraitDi[#Data],COLUMN(T_TraitDi[M5]),FALSE)="","",VLOOKUP(T_Convention[[#This Row],[NumL]],T_TraitDi[#Data],COLUMN(T_TraitDi[M5]),FALSE))</f>
        <v>#N/A</v>
      </c>
      <c r="U198" s="282" t="e">
        <f>IF(VLOOKUP(T_Convention[[#This Row],[NumL]],T_TraitDi[#Data],COLUMN(T_TraitDi[M6]),FALSE)="","",VLOOKUP(T_Convention[[#This Row],[NumL]],T_TraitDi[#Data],COLUMN(T_TraitDi[M6]),FALSE))</f>
        <v>#N/A</v>
      </c>
      <c r="V198" s="176" t="e">
        <f t="shared" si="19"/>
        <v>#N/A</v>
      </c>
      <c r="W198" s="284" t="str">
        <f>IFERROR(TEXT(VLOOKUP(T_Convention[[#This Row],[NumL]],T_TraitDi[#Data],COLUMN(T_TraitDi[Q2]),FALSE),"###%"),"")</f>
        <v/>
      </c>
      <c r="X198" s="97" t="e">
        <f>VLOOKUP(T_Convention[[#This Row],[NumL]],T_TraitDi[#Data],COLUMN(T_TraitDi[Reg Ponct]),FALSE)</f>
        <v>#N/A</v>
      </c>
      <c r="Y198" s="97" t="e">
        <f>VLOOKUP(T_Convention[NumL],T_TraitDi[#Data],COLUMN(T_TraitDi[Jours flottants]),FALSE)</f>
        <v>#N/A</v>
      </c>
      <c r="Z198" s="284" t="str">
        <f>IFERROR(VLOOKUP(T_Convention[[#This Row],[NumL]],T_TraitDi[#Data],COLUMN(T_TraitDi[Lundi]),FALSE),"")</f>
        <v/>
      </c>
      <c r="AA198" s="284" t="e">
        <f>IF(VLOOKUP(T_Convention[[#This Row],[NumL]],T_TraitDi[#Data],COLUMN(T_TraitDi[Colonne3]),FALSE)=0,"",TEXT(IFERROR(VLOOKUP(T_Convention[[#This Row],[NumL]],T_TraitDi[#Data],COLUMN(T_TraitDi[Colonne3]),FALSE),""),"[hh]:mm"))</f>
        <v>#N/A</v>
      </c>
      <c r="AB198" s="284" t="e">
        <f>IF(VLOOKUP(T_Convention[[#This Row],[NumL]],T_TraitDi[#Data],COLUMN(T_TraitDi[Colonne4]),FALSE)=0,"",TEXT(IFERROR(VLOOKUP(T_Convention[[#This Row],[NumL]],T_TraitDi[#Data],COLUMN(T_TraitDi[Colonne4]),FALSE),""),"[hh]:mm"))</f>
        <v>#N/A</v>
      </c>
      <c r="AC198" s="284" t="e">
        <f>IF(VLOOKUP(T_Convention[[#This Row],[NumL]],T_TraitDi[#Data],COLUMN(T_TraitDi[Colonne5]),FALSE)=0,"",TEXT(IFERROR(VLOOKUP(T_Convention[[#This Row],[NumL]],T_TraitDi[#Data],COLUMN(T_TraitDi[Colonne5]),FALSE),""),"[hh]:mm"))</f>
        <v>#N/A</v>
      </c>
      <c r="AD198" s="284" t="e">
        <f>IF(VLOOKUP(T_Convention[[#This Row],[NumL]],T_TraitDi[#Data],COLUMN(T_TraitDi[Colonne6]),FALSE)=0,"",TEXT(IFERROR(VLOOKUP(T_Convention[[#This Row],[NumL]],T_TraitDi[#Data],COLUMN(T_TraitDi[Colonne6]),FALSE),""),"[hh]:mm"))</f>
        <v>#N/A</v>
      </c>
      <c r="AE198" s="284" t="e">
        <f>IF(VLOOKUP(T_Convention[[#This Row],[NumL]],T_TraitDi[#Data],COLUMN(T_TraitDi[Colonne7]),FALSE)=0,"",TEXT(IFERROR(VLOOKUP(T_Convention[[#This Row],[NumL]],T_TraitDi[#Data],COLUMN(T_TraitDi[Colonne7]),FALSE),""),"[hh]:mm"))</f>
        <v>#N/A</v>
      </c>
      <c r="AF198" s="284" t="e">
        <f>IF(VLOOKUP(T_Convention[[#This Row],[NumL]],T_TraitDi[#Data],COLUMN(T_TraitDi[Colonne8]),FALSE)=0,"",TEXT(IFERROR(VLOOKUP(T_Convention[[#This Row],[NumL]],T_TraitDi[#Data],COLUMN(T_TraitDi[Colonne8]),FALSE),""),"[hh]:mm"))</f>
        <v>#N/A</v>
      </c>
      <c r="AG198" s="284" t="str">
        <f>IFERROR(VLOOKUP(T_Convention[[#This Row],[NumL]],T_TraitDi[#Data],COLUMN(T_TraitDi[Mardi]),FALSE),"")</f>
        <v/>
      </c>
      <c r="AH198" s="284" t="e">
        <f>IF(VLOOKUP(T_Convention[[#This Row],[NumL]],T_TraitDi[#Data],COLUMN(T_TraitDi[Colonne1]),FALSE)=0,"",TEXT(IFERROR(VLOOKUP(T_Convention[[#This Row],[NumL]],T_TraitDi[#Data],COLUMN(T_TraitDi[Colonne1]),FALSE),""),"[hh]:mm"))</f>
        <v>#N/A</v>
      </c>
      <c r="AI198" s="284" t="e">
        <f>IF(VLOOKUP(T_Convention[[#This Row],[NumL]],T_TraitDi[#Data],COLUMN(T_TraitDi[Colonne9]),FALSE)=0,"",TEXT(IFERROR(VLOOKUP(T_Convention[[#This Row],[NumL]],T_TraitDi[#Data],COLUMN(T_TraitDi[Colonne9]),FALSE),""),"[hh]:mm"))</f>
        <v>#N/A</v>
      </c>
      <c r="AJ198" s="284" t="str">
        <f>IFERROR(VLOOKUP(T_Convention[[#This Row],[NumL]],T_TraitDi[#Data],COLUMN(T_TraitDi[Colonne10]),FALSE),"")</f>
        <v/>
      </c>
      <c r="AK198" s="284" t="e">
        <f>IF(VLOOKUP(T_Convention[[#This Row],[NumL]],T_TraitDi[#Data],COLUMN(T_TraitDi[Colonne11]),FALSE)=0,"",TEXT(IFERROR(VLOOKUP(T_Convention[[#This Row],[NumL]],T_TraitDi[#Data],COLUMN(T_TraitDi[Colonne11]),FALSE),""),"[hh]:mm"))</f>
        <v>#N/A</v>
      </c>
      <c r="AL198" s="284" t="e">
        <f>IF(VLOOKUP(T_Convention[[#This Row],[NumL]],T_TraitDi[#Data],COLUMN(T_TraitDi[Colonne12]),FALSE)=0,"",TEXT(IFERROR(VLOOKUP(T_Convention[[#This Row],[NumL]],T_TraitDi[#Data],COLUMN(T_TraitDi[Colonne12]),FALSE),""),"[hh]:mm"))</f>
        <v>#N/A</v>
      </c>
      <c r="AM198" s="284" t="e">
        <f>IF(VLOOKUP(T_Convention[[#This Row],[NumL]],T_TraitDi[#Data],COLUMN(T_TraitDi[Colonne14]),FALSE)=0,"",TEXT(IFERROR(VLOOKUP(T_Convention[[#This Row],[NumL]],T_TraitDi[#Data],COLUMN(T_TraitDi[Colonne14]),FALSE),""),"[hh]:mm"))</f>
        <v>#N/A</v>
      </c>
      <c r="AN198" s="284" t="str">
        <f>IFERROR(VLOOKUP(T_Convention[[#This Row],[NumL]],T_TraitDi[#Data],COLUMN(T_TraitDi[Mercredi]),FALSE),"")</f>
        <v/>
      </c>
      <c r="AO198" s="284" t="e">
        <f>IF(VLOOKUP(T_Convention[[#This Row],[NumL]],T_TraitDi[#Data],COLUMN(T_TraitDi[Colonne15]),FALSE)=0,"",TEXT(IFERROR(VLOOKUP(T_Convention[[#This Row],[NumL]],T_TraitDi[#Data],COLUMN(T_TraitDi[Colonne15]),FALSE),""),"[hh]:mm"))</f>
        <v>#N/A</v>
      </c>
      <c r="AP198" s="284" t="e">
        <f>IF(VLOOKUP(T_Convention[[#This Row],[NumL]],T_TraitDi[#Data],COLUMN(T_TraitDi[Colonne16]),FALSE)=0,"",TEXT(IFERROR(VLOOKUP(T_Convention[[#This Row],[NumL]],T_TraitDi[#Data],COLUMN(T_TraitDi[Colonne16]),FALSE),""),"[hh]:mm"))</f>
        <v>#N/A</v>
      </c>
      <c r="AQ198" s="284" t="str">
        <f>IFERROR(VLOOKUP(T_Convention[[#This Row],[NumL]],T_TraitDi[#Data],COLUMN(T_TraitDi[Colonne17]),FALSE),"")</f>
        <v/>
      </c>
      <c r="AR198" s="284" t="e">
        <f>IF(VLOOKUP(T_Convention[[#This Row],[NumL]],T_TraitDi[#Data],COLUMN(T_TraitDi[Colonne18]),FALSE)=0,"",TEXT(IFERROR(VLOOKUP(T_Convention[[#This Row],[NumL]],T_TraitDi[#Data],COLUMN(T_TraitDi[Colonne18]),FALSE),""),"[hh]:mm"))</f>
        <v>#N/A</v>
      </c>
      <c r="AS198" s="284" t="e">
        <f>IF(VLOOKUP(T_Convention[[#This Row],[NumL]],T_TraitDi[#Data],COLUMN(T_TraitDi[Colonne19]),FALSE)=0,"",TEXT(IFERROR(VLOOKUP(T_Convention[[#This Row],[NumL]],T_TraitDi[#Data],COLUMN(T_TraitDi[Colonne19]),FALSE),""),"[hh]:mm"))</f>
        <v>#N/A</v>
      </c>
      <c r="AT198" s="284" t="e">
        <f>IF(VLOOKUP(T_Convention[[#This Row],[NumL]],T_TraitDi[#Data],COLUMN(T_TraitDi[Colonne20]),FALSE)=0,"",TEXT(IFERROR(VLOOKUP(T_Convention[[#This Row],[NumL]],T_TraitDi[#Data],COLUMN(T_TraitDi[Colonne20]),FALSE),""),"[hh]:mm"))</f>
        <v>#N/A</v>
      </c>
      <c r="AU198" s="284" t="str">
        <f>IFERROR(VLOOKUP(T_Convention[[#This Row],[NumL]],T_TraitDi[#Data],COLUMN(T_TraitDi[Jeudi]),FALSE),"")</f>
        <v/>
      </c>
      <c r="AV198" s="284" t="e">
        <f>IF(VLOOKUP(T_Convention[[#This Row],[NumL]],T_TraitDi[#Data],COLUMN(T_TraitDi[Colonne21]),FALSE)=0,"",TEXT(IFERROR(VLOOKUP(T_Convention[[#This Row],[NumL]],T_TraitDi[#Data],COLUMN(T_TraitDi[Colonne21]),FALSE),""),"[hh]:mm"))</f>
        <v>#N/A</v>
      </c>
      <c r="AW198" s="284" t="e">
        <f>IF(VLOOKUP(T_Convention[[#This Row],[NumL]],T_TraitDi[#Data],COLUMN(T_TraitDi[Colonne22]),FALSE)=0,"",TEXT(IFERROR(VLOOKUP(T_Convention[[#This Row],[NumL]],T_TraitDi[#Data],COLUMN(T_TraitDi[Colonne22]),FALSE),""),"[hh]:mm"))</f>
        <v>#N/A</v>
      </c>
      <c r="AX198" s="284" t="str">
        <f>IFERROR(VLOOKUP(T_Convention[[#This Row],[NumL]],T_TraitDi[#Data],COLUMN(T_TraitDi[Colonne23]),FALSE),"")</f>
        <v/>
      </c>
      <c r="AY198" s="284" t="e">
        <f>IF(VLOOKUP(T_Convention[[#This Row],[NumL]],T_TraitDi[#Data],COLUMN(T_TraitDi[Colonne24]),FALSE)=0,"",TEXT(IFERROR(VLOOKUP(T_Convention[[#This Row],[NumL]],T_TraitDi[#Data],COLUMN(T_TraitDi[Colonne24]),FALSE),""),"[hh]:mm"))</f>
        <v>#N/A</v>
      </c>
      <c r="AZ198" s="284" t="e">
        <f>IF(VLOOKUP(T_Convention[[#This Row],[NumL]],T_TraitDi[#Data],COLUMN(T_TraitDi[Colonne25]),FALSE)=0,"",TEXT(IFERROR(VLOOKUP(T_Convention[[#This Row],[NumL]],T_TraitDi[#Data],COLUMN(T_TraitDi[Colonne25]),FALSE),""),"[hh]:mm"))</f>
        <v>#N/A</v>
      </c>
      <c r="BA198" s="284" t="e">
        <f>IF(VLOOKUP(T_Convention[[#This Row],[NumL]],T_TraitDi[#Data],COLUMN(T_TraitDi[Colonne26]),FALSE)=0,"",TEXT(IFERROR(VLOOKUP(T_Convention[[#This Row],[NumL]],T_TraitDi[#Data],COLUMN(T_TraitDi[Colonne26]),FALSE),""),"[hh]:mm"))</f>
        <v>#N/A</v>
      </c>
      <c r="BB198" s="284" t="str">
        <f>IFERROR(VLOOKUP(T_Convention[[#This Row],[NumL]],T_TraitDi[#Data],COLUMN(T_TraitDi[Vendredi]),FALSE),"")</f>
        <v/>
      </c>
      <c r="BC198" s="284" t="e">
        <f>IF(VLOOKUP(T_Convention[[#This Row],[NumL]],T_TraitDi[#Data],COLUMN(T_TraitDi[Colonne27]),FALSE)=0,"",TEXT(IFERROR(VLOOKUP(T_Convention[[#This Row],[NumL]],T_TraitDi[#Data],COLUMN(T_TraitDi[Colonne27]),FALSE),""),"[hh]:mm"))</f>
        <v>#N/A</v>
      </c>
      <c r="BD198" s="284" t="e">
        <f>IF(VLOOKUP(T_Convention[[#This Row],[NumL]],T_TraitDi[#Data],COLUMN(T_TraitDi[Colonne28]),FALSE)=0,"",TEXT(IFERROR(VLOOKUP(T_Convention[[#This Row],[NumL]],T_TraitDi[#Data],COLUMN(T_TraitDi[Colonne28]),FALSE),""),"[hh]:mm"))</f>
        <v>#N/A</v>
      </c>
      <c r="BE198" s="284" t="str">
        <f>IFERROR(VLOOKUP(T_Convention[[#This Row],[NumL]],T_TraitDi[#Data],COLUMN(T_TraitDi[Colonne29]),FALSE),"")</f>
        <v/>
      </c>
      <c r="BF198" s="284" t="e">
        <f>IF(VLOOKUP(T_Convention[[#This Row],[NumL]],T_TraitDi[#Data],COLUMN(T_TraitDi[Colonne30]),FALSE)=0,"",TEXT(IFERROR(VLOOKUP(T_Convention[[#This Row],[NumL]],T_TraitDi[#Data],COLUMN(T_TraitDi[Colonne30]),FALSE),""),"[hh]:mm"))</f>
        <v>#N/A</v>
      </c>
      <c r="BG198" s="284" t="e">
        <f>IF(VLOOKUP(T_Convention[[#This Row],[NumL]],T_TraitDi[#Data],COLUMN(T_TraitDi[Colonne31]),FALSE)=0,"",TEXT(IFERROR(VLOOKUP(T_Convention[[#This Row],[NumL]],T_TraitDi[#Data],COLUMN(T_TraitDi[Colonne31]),FALSE),""),"[hh]:mm"))</f>
        <v>#N/A</v>
      </c>
      <c r="BH198" s="284" t="e">
        <f>IF(VLOOKUP(T_Convention[[#This Row],[NumL]],T_TraitDi[#Data],COLUMN(T_TraitDi[Colonne32]),FALSE)=0,"",TEXT(IFERROR(VLOOKUP(T_Convention[[#This Row],[NumL]],T_TraitDi[#Data],COLUMN(T_TraitDi[Colonne32]),FALSE),""),"[hh]:mm"))</f>
        <v>#N/A</v>
      </c>
      <c r="BI198" s="284" t="str">
        <f>IFERROR(VLOOKUP(T_Convention[[#This Row],[NumL]],T_TraitDi[#Data],COLUMN(T_TraitDi[NbJTW]),FALSE),"")</f>
        <v/>
      </c>
      <c r="BJ198" s="284" t="e">
        <f>IF(VLOOKUP(T_Convention[[#This Row],[NumL]],T_TraitDi[#Data],COLUMN(T_TraitDi[NbhTW]),FALSE)=0,"",TEXT(IFERROR(VLOOKUP(T_Convention[[#This Row],[NumL]],T_TraitDi[#Data],COLUMN(T_TraitDi[NbhTW]),FALSE),""),"[hh]:mm"))</f>
        <v>#N/A</v>
      </c>
      <c r="BK198" s="286" t="e">
        <f>IF(VLOOKUP(T_Convention[[#This Row],[NumL]],T_TraitDi[#Data],COLUMN(T_TraitDi[Nbhheb]),FALSE)=0,"",TEXT(IFERROR(VLOOKUP(T_Convention[[#This Row],[NumL]],T_TraitDi[#Data],COLUMN(T_TraitDi[Nbhheb]),FALSE),""),"[hh]:mm"))</f>
        <v>#N/A</v>
      </c>
      <c r="BL198" s="287" t="str">
        <f>IFERROR(VLOOKUP(VLOOKUP(T_Convention[[#This Row],[NumL]],T_TraitDi[#Data],COLUMN(T_TraitDi[Type1]),FALSE),TypeTW,2,FALSE),"")</f>
        <v/>
      </c>
      <c r="BM198" s="288" t="str">
        <f>IFERROR(VLOOKUP(T_Convention[[#This Row],[NumL]],T_TraitDi[#Data],COLUMN(T_TraitDi[Rue1]),FALSE),"")</f>
        <v/>
      </c>
      <c r="BN198" s="289" t="str">
        <f>IFERROR(VLOOKUP(T_Convention[[#This Row],[NumL]],T_TraitDi[#Data],COLUMN(T_TraitDi[CP1]),FALSE),"")</f>
        <v/>
      </c>
      <c r="BO198" s="282" t="str">
        <f>IFERROR(VLOOKUP(T_Convention[[#This Row],[NumL]],T_TraitDi[#Data],COLUMN(T_TraitDi[VILLE1]),FALSE),"")</f>
        <v/>
      </c>
      <c r="BP198" s="290" t="str">
        <f>IFERROR(VLOOKUP(VLOOKUP(T_Convention[[#This Row],[NumL]],T_TraitDi[#Data],COLUMN(T_TraitDi[Type2]),FALSE),TypeTW,2,FALSE),"")</f>
        <v/>
      </c>
      <c r="BQ198" s="182" t="str">
        <f>IFERROR(VLOOKUP(T_Convention[[#This Row],[NumL]],T_TraitDi[#Data],COLUMN(T_TraitDi[Rue2]),FALSE),"")</f>
        <v/>
      </c>
      <c r="BR198" s="173" t="str">
        <f>IFERROR(VLOOKUP(T_Convention[[#This Row],[NumL]],T_TraitDi[#Data],COLUMN(T_TraitDi[CP2]),FALSE),"")</f>
        <v/>
      </c>
      <c r="BS198" s="173" t="str">
        <f>IFERROR(VLOOKUP(T_Convention[[#This Row],[NumL]],T_TraitDi[#Data],COLUMN(T_TraitDi[VILLE2]),FALSE),"")</f>
        <v/>
      </c>
      <c r="BT198" s="182" t="str">
        <f>IF(VLOOKUP(T_Convention[[#This Row],[NumL]],T_Equipement[#Data],COLUMN(T_Equipement[PC]),FALSE)="","Aucun équipement spécifique directement lié au télétravail",VLOOKUP(T_Convention[[#This Row],[NumL]],T_Equipement[#Data],COLUMN(T_Equipement[PC]),FALSE))</f>
        <v xml:space="preserve">19-585	</v>
      </c>
      <c r="BU198" s="166" t="str">
        <f>IFERROR(IF(VLOOKUP(T_Convention[[#This Row],[NumL]],T_TraitDi[#Data],COLUMN(T_TraitDi[Plan]),FALSE)="OK","Un planning spécifique de télétravail est annexé à la présente convention.",""),"")</f>
        <v/>
      </c>
      <c r="BV198" s="185" t="s">
        <v>3467</v>
      </c>
      <c r="BW198" s="164" t="e">
        <f>IF(VLOOKUP(T_Convention[[#This Row],[NumL]],T_suiviDi[#Data],COLUMN(T_suiviDi[Entité]),FALSE)="","",VLOOKUP(T_Convention[[#This Row],[NumL]],T_suiviDi[#Data],COLUMN(T_suiviDi[Entité]),FALSE))</f>
        <v>#N/A</v>
      </c>
      <c r="BX198" s="164" t="str">
        <f>IF(VLOOKUP(T_Convention[[#This Row],[NumL]],T_Commission[#Data],COLUMN(T_Commission[envoi confirm TW]),FALSE)="","",VLOOKUP(T_Convention[[#This Row],[NumL]],T_Commission[#Data],COLUMN(T_Commission[envoi confirm TW]),FALSE))</f>
        <v>Oui</v>
      </c>
      <c r="BY19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8" s="264">
        <f>VLOOKUP(T_Convention[[#This Row],[NumL]],T_Commission[#Data],COLUMN(T_Commission[Commentaire]),FALSE)</f>
        <v>0</v>
      </c>
      <c r="CA198" s="254" t="str">
        <f>IF(VLOOKUP(T_Convention[[#This Row],[NumL]],T_Commission[#Data],COLUMN(T_Commission[Encadrant Email]),FALSE)="","",VLOOKUP(T_Convention[[#This Row],[NumL]],T_Commission[#Data],COLUMN(T_Commission[Encadrant Email]),FALSE))</f>
        <v/>
      </c>
      <c r="CB198" s="352" t="e">
        <f>VLOOKUP(T_Convention[[#This Row],[NumL]],T_TraitDi[#Data],COLUMN(T_TraitDi[NbJTot]),FALSE)</f>
        <v>#N/A</v>
      </c>
      <c r="CC198" s="352" t="e">
        <f>VLOOKUP(T_Convention[[#This Row],[NumL]],T_TraitDi[#Data],COLUMN(T_TraitDi[Reg Ponct]),FALSE)</f>
        <v>#N/A</v>
      </c>
      <c r="CD198" s="348" t="str">
        <f>IF(T_Convention[[#This Row],[Final]]&lt;&gt;"",VLOOKUP(T_Convention[[#This Row],[NumL]],T_suiviDi[#Data],COLUMN((T_suiviDi[Statut])),FALSE),"")</f>
        <v/>
      </c>
    </row>
    <row r="199" spans="1:82" s="106" customFormat="1" ht="18.75" customHeight="1" x14ac:dyDescent="0.25">
      <c r="A199" s="160">
        <v>307</v>
      </c>
      <c r="B199" s="281" t="str">
        <f>VLOOKUP(T_Convention[[#This Row],[NumL]],T_Commission[#Data],COLUMN(T_Commission[FINAL]),FALSE)</f>
        <v/>
      </c>
      <c r="C199" s="162"/>
      <c r="D199" s="95" t="e">
        <f>IF(VLOOKUP(T_Convention[[#This Row],[NumL]],T_TraitDi[#Data],COLUMN(T_TraitDi[WebC]),FALSE)="","",VLOOKUP(T_Convention[[#This Row],[NumL]],T_TraitDi[#Data],COLUMN(T_TraitDi[WebC]),FALSE))</f>
        <v>#N/A</v>
      </c>
      <c r="E199" s="163" t="str">
        <f t="shared" si="15"/>
        <v>12 janvier 2021</v>
      </c>
      <c r="F199" s="282" t="str">
        <f>IF(T_Convention[[#This Row],[Final]]&lt;&gt;"",VLOOKUP(T_Convention[[#This Row],[NumL]],T_suiviDi[#Data],COLUMN((T_suiviDi[Civ.])),FALSE),"")</f>
        <v/>
      </c>
      <c r="G199" s="283" t="str">
        <f>IF(T_Convention[[#This Row],[Final]]&lt;&gt;"",VLOOKUP(T_Convention[[#This Row],[NumL]],T_suiviDi[#Data],COLUMN((T_suiviDi[Nom])),FALSE),"")</f>
        <v/>
      </c>
      <c r="H199" s="282" t="str">
        <f>IF(T_Convention[[#This Row],[Final]]&lt;&gt;"",VLOOKUP(T_Convention[[#This Row],[NumL]],T_suiviDi[#Data],COLUMN((T_suiviDi[Prénom])),FALSE),"")</f>
        <v/>
      </c>
      <c r="I199" s="282" t="e">
        <f>VLOOKUP(T_Convention[[#This Row],[NumL]],T_suiviDi[#Data],COLUMN((T_suiviDi[[#This Row],[Email]])),FALSE)</f>
        <v>#VALUE!</v>
      </c>
      <c r="J199" s="282" t="e">
        <f>IF(VLOOKUP(T_Convention[[#This Row],[NumL]],T_suiviDi[#Data],COLUMN(T_suiviDi[[#This Row],[Fonction]]),FALSE)="","",VLOOKUP(T_Convention[[#This Row],[NumL]],T_suiviDi[#Data],COLUMN(T_suiviDi[[#This Row],[Fonction]]),FALSE))</f>
        <v>#VALUE!</v>
      </c>
      <c r="K199" s="282" t="e">
        <f>IF(VLOOKUP(T_Convention[[#This Row],[NumL]],T_suiviDi[#Data],COLUMN(T_suiviDi[[#This Row],[Grade]]),FALSE)="","",VLOOKUP(T_Convention[[#This Row],[NumL]],T_suiviDi[#Data],COLUMN(T_suiviDi[[#This Row],[Grade]]),FALSE))</f>
        <v>#VALUE!</v>
      </c>
      <c r="L199" s="282" t="e">
        <f>IF(VLOOKUP(T_Convention[[#This Row],[NumL]],T_suiviDi[#Data],COLUMN(T_suiviDi[[#This Row],[Service ]]),FALSE)="","",VLOOKUP(T_Convention[[#This Row],[NumL]],T_suiviDi[#Data],COLUMN(T_suiviDi[[#This Row],[Service ]]),FALSE))</f>
        <v>#VALUE!</v>
      </c>
      <c r="M199" s="314" t="str">
        <f t="shared" si="16"/>
        <v>01 septembre 2021</v>
      </c>
      <c r="N199" s="314" t="str">
        <f t="shared" si="17"/>
        <v>30 novembre 2021</v>
      </c>
      <c r="O199" s="284" t="str">
        <f t="shared" si="18"/>
        <v>30 novembre 2021</v>
      </c>
      <c r="P199" s="282" t="e">
        <f>IF(VLOOKUP(T_Convention[[#This Row],[NumL]],T_TraitDi[#Data],COLUMN(T_TraitDi[M1]),FALSE)="","",VLOOKUP(T_Convention[[#This Row],[NumL]],T_TraitDi[#Data],COLUMN(T_TraitDi[M1]),FALSE))</f>
        <v>#N/A</v>
      </c>
      <c r="Q199" s="282" t="e">
        <f>IF(VLOOKUP(T_Convention[[#This Row],[NumL]],T_TraitDi[#Data],COLUMN(T_TraitDi[M2]),FALSE)="","",VLOOKUP(T_Convention[[#This Row],[NumL]],T_TraitDi[#Data],COLUMN(T_TraitDi[M2]),FALSE))</f>
        <v>#N/A</v>
      </c>
      <c r="R199" s="282" t="e">
        <f>IF(VLOOKUP(T_Convention[[#This Row],[NumL]],T_TraitDi[#Data],COLUMN(T_TraitDi[M3]),FALSE)="","",VLOOKUP(T_Convention[[#This Row],[NumL]],T_TraitDi[#Data],COLUMN(T_TraitDi[M3]),FALSE))</f>
        <v>#N/A</v>
      </c>
      <c r="S199" s="282" t="e">
        <f>IF(VLOOKUP(T_Convention[[#This Row],[NumL]],T_TraitDi[#Data],COLUMN(T_TraitDi[M4]),FALSE)="","",VLOOKUP(T_Convention[[#This Row],[NumL]],T_TraitDi[#Data],COLUMN(T_TraitDi[M4]),FALSE))</f>
        <v>#N/A</v>
      </c>
      <c r="T199" s="282" t="e">
        <f>IF(VLOOKUP(T_Convention[[#This Row],[NumL]],T_TraitDi[#Data],COLUMN(T_TraitDi[M5]),FALSE)="","",VLOOKUP(T_Convention[[#This Row],[NumL]],T_TraitDi[#Data],COLUMN(T_TraitDi[M5]),FALSE))</f>
        <v>#N/A</v>
      </c>
      <c r="U199" s="282" t="e">
        <f>IF(VLOOKUP(T_Convention[[#This Row],[NumL]],T_TraitDi[#Data],COLUMN(T_TraitDi[M6]),FALSE)="","",VLOOKUP(T_Convention[[#This Row],[NumL]],T_TraitDi[#Data],COLUMN(T_TraitDi[M6]),FALSE))</f>
        <v>#N/A</v>
      </c>
      <c r="V199" s="314" t="e">
        <f t="shared" si="19"/>
        <v>#N/A</v>
      </c>
      <c r="W199" s="284" t="str">
        <f>IFERROR(TEXT(VLOOKUP(T_Convention[[#This Row],[NumL]],T_TraitDi[#Data],COLUMN(T_TraitDi[Q2]),FALSE),"###%"),"")</f>
        <v/>
      </c>
      <c r="X199" s="285" t="e">
        <f>VLOOKUP(T_Convention[[#This Row],[NumL]],T_TraitDi[#Data],COLUMN(T_TraitDi[Reg Ponct]),FALSE)</f>
        <v>#N/A</v>
      </c>
      <c r="Y199" s="285" t="e">
        <f>VLOOKUP(T_Convention[NumL],T_TraitDi[#Data],COLUMN(T_TraitDi[Jours flottants]),FALSE)</f>
        <v>#N/A</v>
      </c>
      <c r="Z199" s="284" t="str">
        <f>IFERROR(VLOOKUP(T_Convention[[#This Row],[NumL]],T_TraitDi[#Data],COLUMN(T_TraitDi[Lundi]),FALSE),"")</f>
        <v/>
      </c>
      <c r="AA199" s="284" t="e">
        <f>IF(VLOOKUP(T_Convention[[#This Row],[NumL]],T_TraitDi[#Data],COLUMN(T_TraitDi[Colonne3]),FALSE)=0,"",TEXT(IFERROR(VLOOKUP(T_Convention[[#This Row],[NumL]],T_TraitDi[#Data],COLUMN(T_TraitDi[Colonne3]),FALSE),""),"[hh]:mm"))</f>
        <v>#N/A</v>
      </c>
      <c r="AB199" s="284" t="e">
        <f>IF(VLOOKUP(T_Convention[[#This Row],[NumL]],T_TraitDi[#Data],COLUMN(T_TraitDi[Colonne4]),FALSE)=0,"",TEXT(IFERROR(VLOOKUP(T_Convention[[#This Row],[NumL]],T_TraitDi[#Data],COLUMN(T_TraitDi[Colonne4]),FALSE),""),"[hh]:mm"))</f>
        <v>#N/A</v>
      </c>
      <c r="AC199" s="284" t="e">
        <f>IF(VLOOKUP(T_Convention[[#This Row],[NumL]],T_TraitDi[#Data],COLUMN(T_TraitDi[Colonne5]),FALSE)=0,"",TEXT(IFERROR(VLOOKUP(T_Convention[[#This Row],[NumL]],T_TraitDi[#Data],COLUMN(T_TraitDi[Colonne5]),FALSE),""),"[hh]:mm"))</f>
        <v>#N/A</v>
      </c>
      <c r="AD199" s="284" t="e">
        <f>IF(VLOOKUP(T_Convention[[#This Row],[NumL]],T_TraitDi[#Data],COLUMN(T_TraitDi[Colonne6]),FALSE)=0,"",TEXT(IFERROR(VLOOKUP(T_Convention[[#This Row],[NumL]],T_TraitDi[#Data],COLUMN(T_TraitDi[Colonne6]),FALSE),""),"[hh]:mm"))</f>
        <v>#N/A</v>
      </c>
      <c r="AE199" s="284" t="e">
        <f>IF(VLOOKUP(T_Convention[[#This Row],[NumL]],T_TraitDi[#Data],COLUMN(T_TraitDi[Colonne7]),FALSE)=0,"",TEXT(IFERROR(VLOOKUP(T_Convention[[#This Row],[NumL]],T_TraitDi[#Data],COLUMN(T_TraitDi[Colonne7]),FALSE),""),"[hh]:mm"))</f>
        <v>#N/A</v>
      </c>
      <c r="AF199" s="284" t="e">
        <f>IF(VLOOKUP(T_Convention[[#This Row],[NumL]],T_TraitDi[#Data],COLUMN(T_TraitDi[Colonne8]),FALSE)=0,"",TEXT(IFERROR(VLOOKUP(T_Convention[[#This Row],[NumL]],T_TraitDi[#Data],COLUMN(T_TraitDi[Colonne8]),FALSE),""),"[hh]:mm"))</f>
        <v>#N/A</v>
      </c>
      <c r="AG199" s="284" t="str">
        <f>IFERROR(VLOOKUP(T_Convention[[#This Row],[NumL]],T_TraitDi[#Data],COLUMN(T_TraitDi[Mardi]),FALSE),"")</f>
        <v/>
      </c>
      <c r="AH199" s="284" t="e">
        <f>IF(VLOOKUP(T_Convention[[#This Row],[NumL]],T_TraitDi[#Data],COLUMN(T_TraitDi[Colonne1]),FALSE)=0,"",TEXT(IFERROR(VLOOKUP(T_Convention[[#This Row],[NumL]],T_TraitDi[#Data],COLUMN(T_TraitDi[Colonne1]),FALSE),""),"[hh]:mm"))</f>
        <v>#N/A</v>
      </c>
      <c r="AI199" s="284" t="e">
        <f>IF(VLOOKUP(T_Convention[[#This Row],[NumL]],T_TraitDi[#Data],COLUMN(T_TraitDi[Colonne9]),FALSE)=0,"",TEXT(IFERROR(VLOOKUP(T_Convention[[#This Row],[NumL]],T_TraitDi[#Data],COLUMN(T_TraitDi[Colonne9]),FALSE),""),"[hh]:mm"))</f>
        <v>#N/A</v>
      </c>
      <c r="AJ199" s="284" t="str">
        <f>IFERROR(VLOOKUP(T_Convention[[#This Row],[NumL]],T_TraitDi[#Data],COLUMN(T_TraitDi[Colonne10]),FALSE),"")</f>
        <v/>
      </c>
      <c r="AK199" s="284" t="e">
        <f>IF(VLOOKUP(T_Convention[[#This Row],[NumL]],T_TraitDi[#Data],COLUMN(T_TraitDi[Colonne11]),FALSE)=0,"",TEXT(IFERROR(VLOOKUP(T_Convention[[#This Row],[NumL]],T_TraitDi[#Data],COLUMN(T_TraitDi[Colonne11]),FALSE),""),"[hh]:mm"))</f>
        <v>#N/A</v>
      </c>
      <c r="AL199" s="284" t="e">
        <f>IF(VLOOKUP(T_Convention[[#This Row],[NumL]],T_TraitDi[#Data],COLUMN(T_TraitDi[Colonne12]),FALSE)=0,"",TEXT(IFERROR(VLOOKUP(T_Convention[[#This Row],[NumL]],T_TraitDi[#Data],COLUMN(T_TraitDi[Colonne12]),FALSE),""),"[hh]:mm"))</f>
        <v>#N/A</v>
      </c>
      <c r="AM199" s="284" t="e">
        <f>IF(VLOOKUP(T_Convention[[#This Row],[NumL]],T_TraitDi[#Data],COLUMN(T_TraitDi[Colonne14]),FALSE)=0,"",TEXT(IFERROR(VLOOKUP(T_Convention[[#This Row],[NumL]],T_TraitDi[#Data],COLUMN(T_TraitDi[Colonne14]),FALSE),""),"[hh]:mm"))</f>
        <v>#N/A</v>
      </c>
      <c r="AN199" s="284" t="str">
        <f>IFERROR(VLOOKUP(T_Convention[[#This Row],[NumL]],T_TraitDi[#Data],COLUMN(T_TraitDi[Mercredi]),FALSE),"")</f>
        <v/>
      </c>
      <c r="AO199" s="284" t="e">
        <f>IF(VLOOKUP(T_Convention[[#This Row],[NumL]],T_TraitDi[#Data],COLUMN(T_TraitDi[Colonne15]),FALSE)=0,"",TEXT(IFERROR(VLOOKUP(T_Convention[[#This Row],[NumL]],T_TraitDi[#Data],COLUMN(T_TraitDi[Colonne15]),FALSE),""),"[hh]:mm"))</f>
        <v>#N/A</v>
      </c>
      <c r="AP199" s="284" t="e">
        <f>IF(VLOOKUP(T_Convention[[#This Row],[NumL]],T_TraitDi[#Data],COLUMN(T_TraitDi[Colonne16]),FALSE)=0,"",TEXT(IFERROR(VLOOKUP(T_Convention[[#This Row],[NumL]],T_TraitDi[#Data],COLUMN(T_TraitDi[Colonne16]),FALSE),""),"[hh]:mm"))</f>
        <v>#N/A</v>
      </c>
      <c r="AQ199" s="284" t="str">
        <f>IFERROR(VLOOKUP(T_Convention[[#This Row],[NumL]],T_TraitDi[#Data],COLUMN(T_TraitDi[Colonne17]),FALSE),"")</f>
        <v/>
      </c>
      <c r="AR199" s="284" t="e">
        <f>IF(VLOOKUP(T_Convention[[#This Row],[NumL]],T_TraitDi[#Data],COLUMN(T_TraitDi[Colonne18]),FALSE)=0,"",TEXT(IFERROR(VLOOKUP(T_Convention[[#This Row],[NumL]],T_TraitDi[#Data],COLUMN(T_TraitDi[Colonne18]),FALSE),""),"[hh]:mm"))</f>
        <v>#N/A</v>
      </c>
      <c r="AS199" s="284" t="e">
        <f>IF(VLOOKUP(T_Convention[[#This Row],[NumL]],T_TraitDi[#Data],COLUMN(T_TraitDi[Colonne19]),FALSE)=0,"",TEXT(IFERROR(VLOOKUP(T_Convention[[#This Row],[NumL]],T_TraitDi[#Data],COLUMN(T_TraitDi[Colonne19]),FALSE),""),"[hh]:mm"))</f>
        <v>#N/A</v>
      </c>
      <c r="AT199" s="284" t="e">
        <f>IF(VLOOKUP(T_Convention[[#This Row],[NumL]],T_TraitDi[#Data],COLUMN(T_TraitDi[Colonne20]),FALSE)=0,"",TEXT(IFERROR(VLOOKUP(T_Convention[[#This Row],[NumL]],T_TraitDi[#Data],COLUMN(T_TraitDi[Colonne20]),FALSE),""),"[hh]:mm"))</f>
        <v>#N/A</v>
      </c>
      <c r="AU199" s="284" t="str">
        <f>IFERROR(VLOOKUP(T_Convention[[#This Row],[NumL]],T_TraitDi[#Data],COLUMN(T_TraitDi[Jeudi]),FALSE),"")</f>
        <v/>
      </c>
      <c r="AV199" s="284" t="e">
        <f>IF(VLOOKUP(T_Convention[[#This Row],[NumL]],T_TraitDi[#Data],COLUMN(T_TraitDi[Colonne21]),FALSE)=0,"",TEXT(IFERROR(VLOOKUP(T_Convention[[#This Row],[NumL]],T_TraitDi[#Data],COLUMN(T_TraitDi[Colonne21]),FALSE),""),"[hh]:mm"))</f>
        <v>#N/A</v>
      </c>
      <c r="AW199" s="284" t="e">
        <f>IF(VLOOKUP(T_Convention[[#This Row],[NumL]],T_TraitDi[#Data],COLUMN(T_TraitDi[Colonne22]),FALSE)=0,"",TEXT(IFERROR(VLOOKUP(T_Convention[[#This Row],[NumL]],T_TraitDi[#Data],COLUMN(T_TraitDi[Colonne22]),FALSE),""),"[hh]:mm"))</f>
        <v>#N/A</v>
      </c>
      <c r="AX199" s="284" t="str">
        <f>IFERROR(VLOOKUP(T_Convention[[#This Row],[NumL]],T_TraitDi[#Data],COLUMN(T_TraitDi[Colonne23]),FALSE),"")</f>
        <v/>
      </c>
      <c r="AY199" s="284" t="e">
        <f>IF(VLOOKUP(T_Convention[[#This Row],[NumL]],T_TraitDi[#Data],COLUMN(T_TraitDi[Colonne24]),FALSE)=0,"",TEXT(IFERROR(VLOOKUP(T_Convention[[#This Row],[NumL]],T_TraitDi[#Data],COLUMN(T_TraitDi[Colonne24]),FALSE),""),"[hh]:mm"))</f>
        <v>#N/A</v>
      </c>
      <c r="AZ199" s="284" t="e">
        <f>IF(VLOOKUP(T_Convention[[#This Row],[NumL]],T_TraitDi[#Data],COLUMN(T_TraitDi[Colonne25]),FALSE)=0,"",TEXT(IFERROR(VLOOKUP(T_Convention[[#This Row],[NumL]],T_TraitDi[#Data],COLUMN(T_TraitDi[Colonne25]),FALSE),""),"[hh]:mm"))</f>
        <v>#N/A</v>
      </c>
      <c r="BA199" s="284" t="e">
        <f>IF(VLOOKUP(T_Convention[[#This Row],[NumL]],T_TraitDi[#Data],COLUMN(T_TraitDi[Colonne26]),FALSE)=0,"",TEXT(IFERROR(VLOOKUP(T_Convention[[#This Row],[NumL]],T_TraitDi[#Data],COLUMN(T_TraitDi[Colonne26]),FALSE),""),"[hh]:mm"))</f>
        <v>#N/A</v>
      </c>
      <c r="BB199" s="284" t="str">
        <f>IFERROR(VLOOKUP(T_Convention[[#This Row],[NumL]],T_TraitDi[#Data],COLUMN(T_TraitDi[Vendredi]),FALSE),"")</f>
        <v/>
      </c>
      <c r="BC199" s="284" t="e">
        <f>IF(VLOOKUP(T_Convention[[#This Row],[NumL]],T_TraitDi[#Data],COLUMN(T_TraitDi[Colonne27]),FALSE)=0,"",TEXT(IFERROR(VLOOKUP(T_Convention[[#This Row],[NumL]],T_TraitDi[#Data],COLUMN(T_TraitDi[Colonne27]),FALSE),""),"[hh]:mm"))</f>
        <v>#N/A</v>
      </c>
      <c r="BD199" s="284" t="e">
        <f>IF(VLOOKUP(T_Convention[[#This Row],[NumL]],T_TraitDi[#Data],COLUMN(T_TraitDi[Colonne28]),FALSE)=0,"",TEXT(IFERROR(VLOOKUP(T_Convention[[#This Row],[NumL]],T_TraitDi[#Data],COLUMN(T_TraitDi[Colonne28]),FALSE),""),"[hh]:mm"))</f>
        <v>#N/A</v>
      </c>
      <c r="BE199" s="284" t="str">
        <f>IFERROR(VLOOKUP(T_Convention[[#This Row],[NumL]],T_TraitDi[#Data],COLUMN(T_TraitDi[Colonne29]),FALSE),"")</f>
        <v/>
      </c>
      <c r="BF199" s="284" t="e">
        <f>IF(VLOOKUP(T_Convention[[#This Row],[NumL]],T_TraitDi[#Data],COLUMN(T_TraitDi[Colonne30]),FALSE)=0,"",TEXT(IFERROR(VLOOKUP(T_Convention[[#This Row],[NumL]],T_TraitDi[#Data],COLUMN(T_TraitDi[Colonne30]),FALSE),""),"[hh]:mm"))</f>
        <v>#N/A</v>
      </c>
      <c r="BG199" s="284" t="e">
        <f>IF(VLOOKUP(T_Convention[[#This Row],[NumL]],T_TraitDi[#Data],COLUMN(T_TraitDi[Colonne31]),FALSE)=0,"",TEXT(IFERROR(VLOOKUP(T_Convention[[#This Row],[NumL]],T_TraitDi[#Data],COLUMN(T_TraitDi[Colonne31]),FALSE),""),"[hh]:mm"))</f>
        <v>#N/A</v>
      </c>
      <c r="BH199" s="284" t="e">
        <f>IF(VLOOKUP(T_Convention[[#This Row],[NumL]],T_TraitDi[#Data],COLUMN(T_TraitDi[Colonne32]),FALSE)=0,"",TEXT(IFERROR(VLOOKUP(T_Convention[[#This Row],[NumL]],T_TraitDi[#Data],COLUMN(T_TraitDi[Colonne32]),FALSE),""),"[hh]:mm"))</f>
        <v>#N/A</v>
      </c>
      <c r="BI199" s="284" t="str">
        <f>IFERROR(VLOOKUP(T_Convention[[#This Row],[NumL]],T_TraitDi[#Data],COLUMN(T_TraitDi[NbJTW]),FALSE),"")</f>
        <v/>
      </c>
      <c r="BJ199" s="284" t="e">
        <f>IF(VLOOKUP(T_Convention[[#This Row],[NumL]],T_TraitDi[#Data],COLUMN(T_TraitDi[NbhTW]),FALSE)=0,"",TEXT(IFERROR(VLOOKUP(T_Convention[[#This Row],[NumL]],T_TraitDi[#Data],COLUMN(T_TraitDi[NbhTW]),FALSE),""),"[hh]:mm"))</f>
        <v>#N/A</v>
      </c>
      <c r="BK199" s="315" t="e">
        <f>IF(VLOOKUP(T_Convention[[#This Row],[NumL]],T_TraitDi[#Data],COLUMN(T_TraitDi[Nbhheb]),FALSE)=0,"",TEXT(IFERROR(VLOOKUP(T_Convention[[#This Row],[NumL]],T_TraitDi[#Data],COLUMN(T_TraitDi[Nbhheb]),FALSE),""),"[hh]:mm"))</f>
        <v>#N/A</v>
      </c>
      <c r="BL199" s="287" t="str">
        <f>IFERROR(VLOOKUP(VLOOKUP(T_Convention[[#This Row],[NumL]],T_TraitDi[#Data],COLUMN(T_TraitDi[Type1]),FALSE),TypeTW,2,FALSE),"")</f>
        <v/>
      </c>
      <c r="BM199" s="288" t="str">
        <f>IFERROR(VLOOKUP(T_Convention[[#This Row],[NumL]],T_TraitDi[#Data],COLUMN(T_TraitDi[Rue1]),FALSE),"")</f>
        <v/>
      </c>
      <c r="BN199" s="289" t="str">
        <f>IFERROR(VLOOKUP(T_Convention[[#This Row],[NumL]],T_TraitDi[#Data],COLUMN(T_TraitDi[CP1]),FALSE),"")</f>
        <v/>
      </c>
      <c r="BO199" s="282" t="str">
        <f>IFERROR(VLOOKUP(T_Convention[[#This Row],[NumL]],T_TraitDi[#Data],COLUMN(T_TraitDi[VILLE1]),FALSE),"")</f>
        <v/>
      </c>
      <c r="BP199" s="290" t="str">
        <f>IFERROR(VLOOKUP(VLOOKUP(T_Convention[[#This Row],[NumL]],T_TraitDi[#Data],COLUMN(T_TraitDi[Type2]),FALSE),TypeTW,2,FALSE),"")</f>
        <v/>
      </c>
      <c r="BQ199" s="310" t="str">
        <f>IFERROR(VLOOKUP(T_Convention[[#This Row],[NumL]],T_TraitDi[#Data],COLUMN(T_TraitDi[Rue2]),FALSE),"")</f>
        <v/>
      </c>
      <c r="BR199" s="290" t="str">
        <f>IFERROR(VLOOKUP(T_Convention[[#This Row],[NumL]],T_TraitDi[#Data],COLUMN(T_TraitDi[CP2]),FALSE),"")</f>
        <v/>
      </c>
      <c r="BS199" s="290" t="str">
        <f>IFERROR(VLOOKUP(T_Convention[[#This Row],[NumL]],T_TraitDi[#Data],COLUMN(T_TraitDi[VILLE2]),FALSE),"")</f>
        <v/>
      </c>
      <c r="BT199"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199" s="314" t="str">
        <f>IFERROR(IF(VLOOKUP(T_Convention[[#This Row],[NumL]],T_TraitDi[#Data],COLUMN(T_TraitDi[Plan]),FALSE)="OK","Un planning spécifique de télétravail est annexé à la présente convention.",""),"")</f>
        <v/>
      </c>
      <c r="BV199" s="291"/>
      <c r="BW199" s="292" t="e">
        <f>IF(VLOOKUP(T_Convention[[#This Row],[NumL]],T_suiviDi[#Data],COLUMN(T_suiviDi[Entité]),FALSE)="","",VLOOKUP(T_Convention[[#This Row],[NumL]],T_suiviDi[#Data],COLUMN(T_suiviDi[Entité]),FALSE))</f>
        <v>#N/A</v>
      </c>
      <c r="BX199" s="311" t="str">
        <f>IF(VLOOKUP(T_Convention[[#This Row],[NumL]],T_Commission[#Data],COLUMN(T_Commission[envoi confirm TW]),FALSE)="","",VLOOKUP(T_Convention[[#This Row],[NumL]],T_Commission[#Data],COLUMN(T_Commission[envoi confirm TW]),FALSE))</f>
        <v>Oui</v>
      </c>
      <c r="BY199"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199" s="265">
        <f>VLOOKUP(T_Convention[[#This Row],[NumL]],T_Commission[#Data],COLUMN(T_Commission[Commentaire]),FALSE)</f>
        <v>0</v>
      </c>
      <c r="CA199" s="255" t="str">
        <f>IF(VLOOKUP(T_Convention[[#This Row],[NumL]],T_Commission[#Data],COLUMN(T_Commission[Encadrant Email]),FALSE)="","",VLOOKUP(T_Convention[[#This Row],[NumL]],T_Commission[#Data],COLUMN(T_Commission[Encadrant Email]),FALSE))</f>
        <v/>
      </c>
      <c r="CB199" s="352" t="e">
        <f>VLOOKUP(T_Convention[[#This Row],[NumL]],T_TraitDi[#Data],COLUMN(T_TraitDi[NbJTot]),FALSE)</f>
        <v>#N/A</v>
      </c>
      <c r="CC199" s="352" t="e">
        <f>VLOOKUP(T_Convention[[#This Row],[NumL]],T_TraitDi[#Data],COLUMN(T_TraitDi[Reg Ponct]),FALSE)</f>
        <v>#N/A</v>
      </c>
      <c r="CD199" s="348" t="str">
        <f>IF(T_Convention[[#This Row],[Final]]&lt;&gt;"",VLOOKUP(T_Convention[[#This Row],[NumL]],T_suiviDi[#Data],COLUMN((T_suiviDi[Statut])),FALSE),"")</f>
        <v/>
      </c>
    </row>
    <row r="200" spans="1:82" s="106" customFormat="1" ht="18.75" customHeight="1" x14ac:dyDescent="0.25">
      <c r="A200" s="160">
        <v>330</v>
      </c>
      <c r="B200" s="281" t="str">
        <f>VLOOKUP(T_Convention[[#This Row],[NumL]],T_Commission[#Data],COLUMN(T_Commission[FINAL]),FALSE)</f>
        <v/>
      </c>
      <c r="C200" s="162"/>
      <c r="D200" s="95" t="e">
        <f>IF(VLOOKUP(T_Convention[[#This Row],[NumL]],T_TraitDi[#Data],COLUMN(T_TraitDi[WebC]),FALSE)="","",VLOOKUP(T_Convention[[#This Row],[NumL]],T_TraitDi[#Data],COLUMN(T_TraitDi[WebC]),FALSE))</f>
        <v>#N/A</v>
      </c>
      <c r="E200" s="163" t="str">
        <f t="shared" si="15"/>
        <v>12 janvier 2021</v>
      </c>
      <c r="F200" s="282" t="str">
        <f>IF(T_Convention[[#This Row],[Final]]&lt;&gt;"",VLOOKUP(T_Convention[[#This Row],[NumL]],T_suiviDi[#Data],COLUMN((T_suiviDi[Civ.])),FALSE),"")</f>
        <v/>
      </c>
      <c r="G200" s="283" t="str">
        <f>IF(T_Convention[[#This Row],[Final]]&lt;&gt;"",VLOOKUP(T_Convention[[#This Row],[NumL]],T_suiviDi[#Data],COLUMN((T_suiviDi[Nom])),FALSE),"")</f>
        <v/>
      </c>
      <c r="H200" s="282" t="str">
        <f>IF(T_Convention[[#This Row],[Final]]&lt;&gt;"",VLOOKUP(T_Convention[[#This Row],[NumL]],T_suiviDi[#Data],COLUMN((T_suiviDi[Prénom])),FALSE),"")</f>
        <v/>
      </c>
      <c r="I200" s="282" t="e">
        <f>VLOOKUP(T_Convention[[#This Row],[NumL]],T_suiviDi[#Data],COLUMN((T_suiviDi[[#This Row],[Email]])),FALSE)</f>
        <v>#VALUE!</v>
      </c>
      <c r="J200" s="282" t="e">
        <f>IF(VLOOKUP(T_Convention[[#This Row],[NumL]],T_suiviDi[#Data],COLUMN(T_suiviDi[[#This Row],[Fonction]]),FALSE)="","",VLOOKUP(T_Convention[[#This Row],[NumL]],T_suiviDi[#Data],COLUMN(T_suiviDi[[#This Row],[Fonction]]),FALSE))</f>
        <v>#VALUE!</v>
      </c>
      <c r="K200" s="282" t="e">
        <f>IF(VLOOKUP(T_Convention[[#This Row],[NumL]],T_suiviDi[#Data],COLUMN(T_suiviDi[[#This Row],[Grade]]),FALSE)="","",VLOOKUP(T_Convention[[#This Row],[NumL]],T_suiviDi[#Data],COLUMN(T_suiviDi[[#This Row],[Grade]]),FALSE))</f>
        <v>#VALUE!</v>
      </c>
      <c r="L200" s="282" t="e">
        <f>IF(VLOOKUP(T_Convention[[#This Row],[NumL]],T_suiviDi[#Data],COLUMN(T_suiviDi[[#This Row],[Service ]]),FALSE)="","",VLOOKUP(T_Convention[[#This Row],[NumL]],T_suiviDi[#Data],COLUMN(T_suiviDi[[#This Row],[Service ]]),FALSE))</f>
        <v>#VALUE!</v>
      </c>
      <c r="M200" s="314" t="str">
        <f t="shared" si="16"/>
        <v>01 septembre 2021</v>
      </c>
      <c r="N200" s="314" t="str">
        <f t="shared" si="17"/>
        <v>30 novembre 2021</v>
      </c>
      <c r="O200" s="284" t="str">
        <f t="shared" si="18"/>
        <v>30 novembre 2021</v>
      </c>
      <c r="P200" s="282" t="e">
        <f>IF(VLOOKUP(T_Convention[[#This Row],[NumL]],T_TraitDi[#Data],COLUMN(T_TraitDi[M1]),FALSE)="","",VLOOKUP(T_Convention[[#This Row],[NumL]],T_TraitDi[#Data],COLUMN(T_TraitDi[M1]),FALSE))</f>
        <v>#N/A</v>
      </c>
      <c r="Q200" s="282" t="e">
        <f>IF(VLOOKUP(T_Convention[[#This Row],[NumL]],T_TraitDi[#Data],COLUMN(T_TraitDi[M2]),FALSE)="","",VLOOKUP(T_Convention[[#This Row],[NumL]],T_TraitDi[#Data],COLUMN(T_TraitDi[M2]),FALSE))</f>
        <v>#N/A</v>
      </c>
      <c r="R200" s="282" t="e">
        <f>IF(VLOOKUP(T_Convention[[#This Row],[NumL]],T_TraitDi[#Data],COLUMN(T_TraitDi[M3]),FALSE)="","",VLOOKUP(T_Convention[[#This Row],[NumL]],T_TraitDi[#Data],COLUMN(T_TraitDi[M3]),FALSE))</f>
        <v>#N/A</v>
      </c>
      <c r="S200" s="282" t="e">
        <f>IF(VLOOKUP(T_Convention[[#This Row],[NumL]],T_TraitDi[#Data],COLUMN(T_TraitDi[M4]),FALSE)="","",VLOOKUP(T_Convention[[#This Row],[NumL]],T_TraitDi[#Data],COLUMN(T_TraitDi[M4]),FALSE))</f>
        <v>#N/A</v>
      </c>
      <c r="T200" s="282" t="e">
        <f>IF(VLOOKUP(T_Convention[[#This Row],[NumL]],T_TraitDi[#Data],COLUMN(T_TraitDi[M5]),FALSE)="","",VLOOKUP(T_Convention[[#This Row],[NumL]],T_TraitDi[#Data],COLUMN(T_TraitDi[M5]),FALSE))</f>
        <v>#N/A</v>
      </c>
      <c r="U200" s="282" t="e">
        <f>IF(VLOOKUP(T_Convention[[#This Row],[NumL]],T_TraitDi[#Data],COLUMN(T_TraitDi[M6]),FALSE)="","",VLOOKUP(T_Convention[[#This Row],[NumL]],T_TraitDi[#Data],COLUMN(T_TraitDi[M6]),FALSE))</f>
        <v>#N/A</v>
      </c>
      <c r="V200" s="314" t="e">
        <f t="shared" si="19"/>
        <v>#N/A</v>
      </c>
      <c r="W200" s="284" t="str">
        <f>IFERROR(TEXT(VLOOKUP(T_Convention[[#This Row],[NumL]],T_TraitDi[#Data],COLUMN(T_TraitDi[Q2]),FALSE),"###%"),"")</f>
        <v/>
      </c>
      <c r="X200" s="285" t="e">
        <f>VLOOKUP(T_Convention[[#This Row],[NumL]],T_TraitDi[#Data],COLUMN(T_TraitDi[Reg Ponct]),FALSE)</f>
        <v>#N/A</v>
      </c>
      <c r="Y200" s="285" t="e">
        <f>VLOOKUP(T_Convention[NumL],T_TraitDi[#Data],COLUMN(T_TraitDi[Jours flottants]),FALSE)</f>
        <v>#N/A</v>
      </c>
      <c r="Z200" s="284" t="str">
        <f>IFERROR(VLOOKUP(T_Convention[[#This Row],[NumL]],T_TraitDi[#Data],COLUMN(T_TraitDi[Lundi]),FALSE),"")</f>
        <v/>
      </c>
      <c r="AA200" s="284" t="e">
        <f>IF(VLOOKUP(T_Convention[[#This Row],[NumL]],T_TraitDi[#Data],COLUMN(T_TraitDi[Colonne3]),FALSE)=0,"",TEXT(IFERROR(VLOOKUP(T_Convention[[#This Row],[NumL]],T_TraitDi[#Data],COLUMN(T_TraitDi[Colonne3]),FALSE),""),"[hh]:mm"))</f>
        <v>#N/A</v>
      </c>
      <c r="AB200" s="284" t="e">
        <f>IF(VLOOKUP(T_Convention[[#This Row],[NumL]],T_TraitDi[#Data],COLUMN(T_TraitDi[Colonne4]),FALSE)=0,"",TEXT(IFERROR(VLOOKUP(T_Convention[[#This Row],[NumL]],T_TraitDi[#Data],COLUMN(T_TraitDi[Colonne4]),FALSE),""),"[hh]:mm"))</f>
        <v>#N/A</v>
      </c>
      <c r="AC200" s="284" t="e">
        <f>IF(VLOOKUP(T_Convention[[#This Row],[NumL]],T_TraitDi[#Data],COLUMN(T_TraitDi[Colonne5]),FALSE)=0,"",TEXT(IFERROR(VLOOKUP(T_Convention[[#This Row],[NumL]],T_TraitDi[#Data],COLUMN(T_TraitDi[Colonne5]),FALSE),""),"[hh]:mm"))</f>
        <v>#N/A</v>
      </c>
      <c r="AD200" s="284" t="e">
        <f>IF(VLOOKUP(T_Convention[[#This Row],[NumL]],T_TraitDi[#Data],COLUMN(T_TraitDi[Colonne6]),FALSE)=0,"",TEXT(IFERROR(VLOOKUP(T_Convention[[#This Row],[NumL]],T_TraitDi[#Data],COLUMN(T_TraitDi[Colonne6]),FALSE),""),"[hh]:mm"))</f>
        <v>#N/A</v>
      </c>
      <c r="AE200" s="284" t="e">
        <f>IF(VLOOKUP(T_Convention[[#This Row],[NumL]],T_TraitDi[#Data],COLUMN(T_TraitDi[Colonne7]),FALSE)=0,"",TEXT(IFERROR(VLOOKUP(T_Convention[[#This Row],[NumL]],T_TraitDi[#Data],COLUMN(T_TraitDi[Colonne7]),FALSE),""),"[hh]:mm"))</f>
        <v>#N/A</v>
      </c>
      <c r="AF200" s="284" t="e">
        <f>IF(VLOOKUP(T_Convention[[#This Row],[NumL]],T_TraitDi[#Data],COLUMN(T_TraitDi[Colonne8]),FALSE)=0,"",TEXT(IFERROR(VLOOKUP(T_Convention[[#This Row],[NumL]],T_TraitDi[#Data],COLUMN(T_TraitDi[Colonne8]),FALSE),""),"[hh]:mm"))</f>
        <v>#N/A</v>
      </c>
      <c r="AG200" s="284" t="str">
        <f>IFERROR(VLOOKUP(T_Convention[[#This Row],[NumL]],T_TraitDi[#Data],COLUMN(T_TraitDi[Mardi]),FALSE),"")</f>
        <v/>
      </c>
      <c r="AH200" s="284" t="e">
        <f>IF(VLOOKUP(T_Convention[[#This Row],[NumL]],T_TraitDi[#Data],COLUMN(T_TraitDi[Colonne1]),FALSE)=0,"",TEXT(IFERROR(VLOOKUP(T_Convention[[#This Row],[NumL]],T_TraitDi[#Data],COLUMN(T_TraitDi[Colonne1]),FALSE),""),"[hh]:mm"))</f>
        <v>#N/A</v>
      </c>
      <c r="AI200" s="284" t="e">
        <f>IF(VLOOKUP(T_Convention[[#This Row],[NumL]],T_TraitDi[#Data],COLUMN(T_TraitDi[Colonne9]),FALSE)=0,"",TEXT(IFERROR(VLOOKUP(T_Convention[[#This Row],[NumL]],T_TraitDi[#Data],COLUMN(T_TraitDi[Colonne9]),FALSE),""),"[hh]:mm"))</f>
        <v>#N/A</v>
      </c>
      <c r="AJ200" s="284" t="str">
        <f>IFERROR(VLOOKUP(T_Convention[[#This Row],[NumL]],T_TraitDi[#Data],COLUMN(T_TraitDi[Colonne10]),FALSE),"")</f>
        <v/>
      </c>
      <c r="AK200" s="284" t="e">
        <f>IF(VLOOKUP(T_Convention[[#This Row],[NumL]],T_TraitDi[#Data],COLUMN(T_TraitDi[Colonne11]),FALSE)=0,"",TEXT(IFERROR(VLOOKUP(T_Convention[[#This Row],[NumL]],T_TraitDi[#Data],COLUMN(T_TraitDi[Colonne11]),FALSE),""),"[hh]:mm"))</f>
        <v>#N/A</v>
      </c>
      <c r="AL200" s="284" t="e">
        <f>IF(VLOOKUP(T_Convention[[#This Row],[NumL]],T_TraitDi[#Data],COLUMN(T_TraitDi[Colonne12]),FALSE)=0,"",TEXT(IFERROR(VLOOKUP(T_Convention[[#This Row],[NumL]],T_TraitDi[#Data],COLUMN(T_TraitDi[Colonne12]),FALSE),""),"[hh]:mm"))</f>
        <v>#N/A</v>
      </c>
      <c r="AM200" s="284" t="e">
        <f>IF(VLOOKUP(T_Convention[[#This Row],[NumL]],T_TraitDi[#Data],COLUMN(T_TraitDi[Colonne14]),FALSE)=0,"",TEXT(IFERROR(VLOOKUP(T_Convention[[#This Row],[NumL]],T_TraitDi[#Data],COLUMN(T_TraitDi[Colonne14]),FALSE),""),"[hh]:mm"))</f>
        <v>#N/A</v>
      </c>
      <c r="AN200" s="284" t="str">
        <f>IFERROR(VLOOKUP(T_Convention[[#This Row],[NumL]],T_TraitDi[#Data],COLUMN(T_TraitDi[Mercredi]),FALSE),"")</f>
        <v/>
      </c>
      <c r="AO200" s="284" t="e">
        <f>IF(VLOOKUP(T_Convention[[#This Row],[NumL]],T_TraitDi[#Data],COLUMN(T_TraitDi[Colonne15]),FALSE)=0,"",TEXT(IFERROR(VLOOKUP(T_Convention[[#This Row],[NumL]],T_TraitDi[#Data],COLUMN(T_TraitDi[Colonne15]),FALSE),""),"[hh]:mm"))</f>
        <v>#N/A</v>
      </c>
      <c r="AP200" s="284" t="e">
        <f>IF(VLOOKUP(T_Convention[[#This Row],[NumL]],T_TraitDi[#Data],COLUMN(T_TraitDi[Colonne16]),FALSE)=0,"",TEXT(IFERROR(VLOOKUP(T_Convention[[#This Row],[NumL]],T_TraitDi[#Data],COLUMN(T_TraitDi[Colonne16]),FALSE),""),"[hh]:mm"))</f>
        <v>#N/A</v>
      </c>
      <c r="AQ200" s="284" t="str">
        <f>IFERROR(VLOOKUP(T_Convention[[#This Row],[NumL]],T_TraitDi[#Data],COLUMN(T_TraitDi[Colonne17]),FALSE),"")</f>
        <v/>
      </c>
      <c r="AR200" s="284" t="e">
        <f>IF(VLOOKUP(T_Convention[[#This Row],[NumL]],T_TraitDi[#Data],COLUMN(T_TraitDi[Colonne18]),FALSE)=0,"",TEXT(IFERROR(VLOOKUP(T_Convention[[#This Row],[NumL]],T_TraitDi[#Data],COLUMN(T_TraitDi[Colonne18]),FALSE),""),"[hh]:mm"))</f>
        <v>#N/A</v>
      </c>
      <c r="AS200" s="284" t="e">
        <f>IF(VLOOKUP(T_Convention[[#This Row],[NumL]],T_TraitDi[#Data],COLUMN(T_TraitDi[Colonne19]),FALSE)=0,"",TEXT(IFERROR(VLOOKUP(T_Convention[[#This Row],[NumL]],T_TraitDi[#Data],COLUMN(T_TraitDi[Colonne19]),FALSE),""),"[hh]:mm"))</f>
        <v>#N/A</v>
      </c>
      <c r="AT200" s="284" t="e">
        <f>IF(VLOOKUP(T_Convention[[#This Row],[NumL]],T_TraitDi[#Data],COLUMN(T_TraitDi[Colonne20]),FALSE)=0,"",TEXT(IFERROR(VLOOKUP(T_Convention[[#This Row],[NumL]],T_TraitDi[#Data],COLUMN(T_TraitDi[Colonne20]),FALSE),""),"[hh]:mm"))</f>
        <v>#N/A</v>
      </c>
      <c r="AU200" s="284" t="str">
        <f>IFERROR(VLOOKUP(T_Convention[[#This Row],[NumL]],T_TraitDi[#Data],COLUMN(T_TraitDi[Jeudi]),FALSE),"")</f>
        <v/>
      </c>
      <c r="AV200" s="284" t="e">
        <f>IF(VLOOKUP(T_Convention[[#This Row],[NumL]],T_TraitDi[#Data],COLUMN(T_TraitDi[Colonne21]),FALSE)=0,"",TEXT(IFERROR(VLOOKUP(T_Convention[[#This Row],[NumL]],T_TraitDi[#Data],COLUMN(T_TraitDi[Colonne21]),FALSE),""),"[hh]:mm"))</f>
        <v>#N/A</v>
      </c>
      <c r="AW200" s="284" t="e">
        <f>IF(VLOOKUP(T_Convention[[#This Row],[NumL]],T_TraitDi[#Data],COLUMN(T_TraitDi[Colonne22]),FALSE)=0,"",TEXT(IFERROR(VLOOKUP(T_Convention[[#This Row],[NumL]],T_TraitDi[#Data],COLUMN(T_TraitDi[Colonne22]),FALSE),""),"[hh]:mm"))</f>
        <v>#N/A</v>
      </c>
      <c r="AX200" s="284" t="str">
        <f>IFERROR(VLOOKUP(T_Convention[[#This Row],[NumL]],T_TraitDi[#Data],COLUMN(T_TraitDi[Colonne23]),FALSE),"")</f>
        <v/>
      </c>
      <c r="AY200" s="284" t="e">
        <f>IF(VLOOKUP(T_Convention[[#This Row],[NumL]],T_TraitDi[#Data],COLUMN(T_TraitDi[Colonne24]),FALSE)=0,"",TEXT(IFERROR(VLOOKUP(T_Convention[[#This Row],[NumL]],T_TraitDi[#Data],COLUMN(T_TraitDi[Colonne24]),FALSE),""),"[hh]:mm"))</f>
        <v>#N/A</v>
      </c>
      <c r="AZ200" s="284" t="e">
        <f>IF(VLOOKUP(T_Convention[[#This Row],[NumL]],T_TraitDi[#Data],COLUMN(T_TraitDi[Colonne25]),FALSE)=0,"",TEXT(IFERROR(VLOOKUP(T_Convention[[#This Row],[NumL]],T_TraitDi[#Data],COLUMN(T_TraitDi[Colonne25]),FALSE),""),"[hh]:mm"))</f>
        <v>#N/A</v>
      </c>
      <c r="BA200" s="284" t="e">
        <f>IF(VLOOKUP(T_Convention[[#This Row],[NumL]],T_TraitDi[#Data],COLUMN(T_TraitDi[Colonne26]),FALSE)=0,"",TEXT(IFERROR(VLOOKUP(T_Convention[[#This Row],[NumL]],T_TraitDi[#Data],COLUMN(T_TraitDi[Colonne26]),FALSE),""),"[hh]:mm"))</f>
        <v>#N/A</v>
      </c>
      <c r="BB200" s="284" t="str">
        <f>IFERROR(VLOOKUP(T_Convention[[#This Row],[NumL]],T_TraitDi[#Data],COLUMN(T_TraitDi[Vendredi]),FALSE),"")</f>
        <v/>
      </c>
      <c r="BC200" s="284" t="e">
        <f>IF(VLOOKUP(T_Convention[[#This Row],[NumL]],T_TraitDi[#Data],COLUMN(T_TraitDi[Colonne27]),FALSE)=0,"",TEXT(IFERROR(VLOOKUP(T_Convention[[#This Row],[NumL]],T_TraitDi[#Data],COLUMN(T_TraitDi[Colonne27]),FALSE),""),"[hh]:mm"))</f>
        <v>#N/A</v>
      </c>
      <c r="BD200" s="284" t="e">
        <f>IF(VLOOKUP(T_Convention[[#This Row],[NumL]],T_TraitDi[#Data],COLUMN(T_TraitDi[Colonne28]),FALSE)=0,"",TEXT(IFERROR(VLOOKUP(T_Convention[[#This Row],[NumL]],T_TraitDi[#Data],COLUMN(T_TraitDi[Colonne28]),FALSE),""),"[hh]:mm"))</f>
        <v>#N/A</v>
      </c>
      <c r="BE200" s="284" t="str">
        <f>IFERROR(VLOOKUP(T_Convention[[#This Row],[NumL]],T_TraitDi[#Data],COLUMN(T_TraitDi[Colonne29]),FALSE),"")</f>
        <v/>
      </c>
      <c r="BF200" s="284" t="e">
        <f>IF(VLOOKUP(T_Convention[[#This Row],[NumL]],T_TraitDi[#Data],COLUMN(T_TraitDi[Colonne30]),FALSE)=0,"",TEXT(IFERROR(VLOOKUP(T_Convention[[#This Row],[NumL]],T_TraitDi[#Data],COLUMN(T_TraitDi[Colonne30]),FALSE),""),"[hh]:mm"))</f>
        <v>#N/A</v>
      </c>
      <c r="BG200" s="284" t="e">
        <f>IF(VLOOKUP(T_Convention[[#This Row],[NumL]],T_TraitDi[#Data],COLUMN(T_TraitDi[Colonne31]),FALSE)=0,"",TEXT(IFERROR(VLOOKUP(T_Convention[[#This Row],[NumL]],T_TraitDi[#Data],COLUMN(T_TraitDi[Colonne31]),FALSE),""),"[hh]:mm"))</f>
        <v>#N/A</v>
      </c>
      <c r="BH200" s="284" t="e">
        <f>IF(VLOOKUP(T_Convention[[#This Row],[NumL]],T_TraitDi[#Data],COLUMN(T_TraitDi[Colonne32]),FALSE)=0,"",TEXT(IFERROR(VLOOKUP(T_Convention[[#This Row],[NumL]],T_TraitDi[#Data],COLUMN(T_TraitDi[Colonne32]),FALSE),""),"[hh]:mm"))</f>
        <v>#N/A</v>
      </c>
      <c r="BI200" s="284" t="str">
        <f>IFERROR(VLOOKUP(T_Convention[[#This Row],[NumL]],T_TraitDi[#Data],COLUMN(T_TraitDi[NbJTW]),FALSE),"")</f>
        <v/>
      </c>
      <c r="BJ200" s="284" t="e">
        <f>IF(VLOOKUP(T_Convention[[#This Row],[NumL]],T_TraitDi[#Data],COLUMN(T_TraitDi[NbhTW]),FALSE)=0,"",TEXT(IFERROR(VLOOKUP(T_Convention[[#This Row],[NumL]],T_TraitDi[#Data],COLUMN(T_TraitDi[NbhTW]),FALSE),""),"[hh]:mm"))</f>
        <v>#N/A</v>
      </c>
      <c r="BK200" s="315" t="e">
        <f>IF(VLOOKUP(T_Convention[[#This Row],[NumL]],T_TraitDi[#Data],COLUMN(T_TraitDi[Nbhheb]),FALSE)=0,"",TEXT(IFERROR(VLOOKUP(T_Convention[[#This Row],[NumL]],T_TraitDi[#Data],COLUMN(T_TraitDi[Nbhheb]),FALSE),""),"[hh]:mm"))</f>
        <v>#N/A</v>
      </c>
      <c r="BL200" s="287" t="str">
        <f>IFERROR(VLOOKUP(VLOOKUP(T_Convention[[#This Row],[NumL]],T_TraitDi[#Data],COLUMN(T_TraitDi[Type1]),FALSE),TypeTW,2,FALSE),"")</f>
        <v/>
      </c>
      <c r="BM200" s="288" t="str">
        <f>IFERROR(VLOOKUP(T_Convention[[#This Row],[NumL]],T_TraitDi[#Data],COLUMN(T_TraitDi[Rue1]),FALSE),"")</f>
        <v/>
      </c>
      <c r="BN200" s="289" t="str">
        <f>IFERROR(VLOOKUP(T_Convention[[#This Row],[NumL]],T_TraitDi[#Data],COLUMN(T_TraitDi[CP1]),FALSE),"")</f>
        <v/>
      </c>
      <c r="BO200" s="282" t="str">
        <f>IFERROR(VLOOKUP(T_Convention[[#This Row],[NumL]],T_TraitDi[#Data],COLUMN(T_TraitDi[VILLE1]),FALSE),"")</f>
        <v/>
      </c>
      <c r="BP200" s="290" t="str">
        <f>IFERROR(VLOOKUP(VLOOKUP(T_Convention[[#This Row],[NumL]],T_TraitDi[#Data],COLUMN(T_TraitDi[Type2]),FALSE),TypeTW,2,FALSE),"")</f>
        <v/>
      </c>
      <c r="BQ200" s="310" t="str">
        <f>IFERROR(VLOOKUP(T_Convention[[#This Row],[NumL]],T_TraitDi[#Data],COLUMN(T_TraitDi[Rue2]),FALSE),"")</f>
        <v/>
      </c>
      <c r="BR200" s="290" t="str">
        <f>IFERROR(VLOOKUP(T_Convention[[#This Row],[NumL]],T_TraitDi[#Data],COLUMN(T_TraitDi[CP2]),FALSE),"")</f>
        <v/>
      </c>
      <c r="BS200" s="290" t="str">
        <f>IFERROR(VLOOKUP(T_Convention[[#This Row],[NumL]],T_TraitDi[#Data],COLUMN(T_TraitDi[VILLE2]),FALSE),"")</f>
        <v/>
      </c>
      <c r="BT20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00" s="314" t="str">
        <f>IFERROR(IF(VLOOKUP(T_Convention[[#This Row],[NumL]],T_TraitDi[#Data],COLUMN(T_TraitDi[Plan]),FALSE)="OK","Un planning spécifique de télétravail est annexé à la présente convention.",""),"")</f>
        <v/>
      </c>
      <c r="BV200" s="291"/>
      <c r="BW200" s="292" t="e">
        <f>IF(VLOOKUP(T_Convention[[#This Row],[NumL]],T_suiviDi[#Data],COLUMN(T_suiviDi[Entité]),FALSE)="","",VLOOKUP(T_Convention[[#This Row],[NumL]],T_suiviDi[#Data],COLUMN(T_suiviDi[Entité]),FALSE))</f>
        <v>#N/A</v>
      </c>
      <c r="BX200" s="311" t="str">
        <f>IF(VLOOKUP(T_Convention[[#This Row],[NumL]],T_Commission[#Data],COLUMN(T_Commission[envoi confirm TW]),FALSE)="","",VLOOKUP(T_Convention[[#This Row],[NumL]],T_Commission[#Data],COLUMN(T_Commission[envoi confirm TW]),FALSE))</f>
        <v>Oui</v>
      </c>
      <c r="BY20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0" s="265">
        <f>VLOOKUP(T_Convention[[#This Row],[NumL]],T_Commission[#Data],COLUMN(T_Commission[Commentaire]),FALSE)</f>
        <v>0</v>
      </c>
      <c r="CA200" s="255" t="str">
        <f>IF(VLOOKUP(T_Convention[[#This Row],[NumL]],T_Commission[#Data],COLUMN(T_Commission[Encadrant Email]),FALSE)="","",VLOOKUP(T_Convention[[#This Row],[NumL]],T_Commission[#Data],COLUMN(T_Commission[Encadrant Email]),FALSE))</f>
        <v/>
      </c>
      <c r="CB200" s="352" t="e">
        <f>VLOOKUP(T_Convention[[#This Row],[NumL]],T_TraitDi[#Data],COLUMN(T_TraitDi[NbJTot]),FALSE)</f>
        <v>#N/A</v>
      </c>
      <c r="CC200" s="352" t="e">
        <f>VLOOKUP(T_Convention[[#This Row],[NumL]],T_TraitDi[#Data],COLUMN(T_TraitDi[Reg Ponct]),FALSE)</f>
        <v>#N/A</v>
      </c>
      <c r="CD200" s="348" t="str">
        <f>IF(T_Convention[[#This Row],[Final]]&lt;&gt;"",VLOOKUP(T_Convention[[#This Row],[NumL]],T_suiviDi[#Data],COLUMN((T_suiviDi[Statut])),FALSE),"")</f>
        <v/>
      </c>
    </row>
    <row r="201" spans="1:82" s="106" customFormat="1" ht="18.75" customHeight="1" x14ac:dyDescent="0.25">
      <c r="A201" s="160">
        <v>165</v>
      </c>
      <c r="B201" s="161" t="str">
        <f>VLOOKUP(T_Convention[[#This Row],[NumL]],T_Commission[#Data],COLUMN(T_Commission[FINAL]),FALSE)</f>
        <v/>
      </c>
      <c r="C201" s="162"/>
      <c r="D201" s="95" t="e">
        <f>IF(VLOOKUP(T_Convention[[#This Row],[NumL]],T_TraitDi[#Data],COLUMN(T_TraitDi[WebC]),FALSE)="","",VLOOKUP(T_Convention[[#This Row],[NumL]],T_TraitDi[#Data],COLUMN(T_TraitDi[WebC]),FALSE))</f>
        <v>#N/A</v>
      </c>
      <c r="E201" s="163" t="str">
        <f t="shared" si="15"/>
        <v>12 janvier 2021</v>
      </c>
      <c r="F201" s="282" t="str">
        <f>IF(T_Convention[[#This Row],[Final]]&lt;&gt;"",VLOOKUP(T_Convention[[#This Row],[NumL]],T_suiviDi[#Data],COLUMN((T_suiviDi[Civ.])),FALSE),"")</f>
        <v/>
      </c>
      <c r="G201" s="283" t="str">
        <f>IF(T_Convention[[#This Row],[Final]]&lt;&gt;"",VLOOKUP(T_Convention[[#This Row],[NumL]],T_suiviDi[#Data],COLUMN((T_suiviDi[Nom])),FALSE),"")</f>
        <v/>
      </c>
      <c r="H201" s="282" t="str">
        <f>IF(T_Convention[[#This Row],[Final]]&lt;&gt;"",VLOOKUP(T_Convention[[#This Row],[NumL]],T_suiviDi[#Data],COLUMN((T_suiviDi[Prénom])),FALSE),"")</f>
        <v/>
      </c>
      <c r="I201" s="282" t="e">
        <f>VLOOKUP(T_Convention[[#This Row],[NumL]],T_suiviDi[#Data],COLUMN((T_suiviDi[[#This Row],[Email]])),FALSE)</f>
        <v>#VALUE!</v>
      </c>
      <c r="J201" s="282" t="e">
        <f>IF(VLOOKUP(T_Convention[[#This Row],[NumL]],T_suiviDi[#Data],COLUMN(T_suiviDi[[#This Row],[Fonction]]),FALSE)="","",VLOOKUP(T_Convention[[#This Row],[NumL]],T_suiviDi[#Data],COLUMN(T_suiviDi[[#This Row],[Fonction]]),FALSE))</f>
        <v>#VALUE!</v>
      </c>
      <c r="K201" s="282" t="e">
        <f>IF(VLOOKUP(T_Convention[[#This Row],[NumL]],T_suiviDi[#Data],COLUMN(T_suiviDi[[#This Row],[Grade]]),FALSE)="","",VLOOKUP(T_Convention[[#This Row],[NumL]],T_suiviDi[#Data],COLUMN(T_suiviDi[[#This Row],[Grade]]),FALSE))</f>
        <v>#VALUE!</v>
      </c>
      <c r="L201" s="282" t="e">
        <f>IF(VLOOKUP(T_Convention[[#This Row],[NumL]],T_suiviDi[#Data],COLUMN(T_suiviDi[[#This Row],[Service ]]),FALSE)="","",VLOOKUP(T_Convention[[#This Row],[NumL]],T_suiviDi[#Data],COLUMN(T_suiviDi[[#This Row],[Service ]]),FALSE))</f>
        <v>#VALUE!</v>
      </c>
      <c r="M201" s="164" t="str">
        <f t="shared" si="16"/>
        <v>01 septembre 2021</v>
      </c>
      <c r="N201" s="164" t="str">
        <f t="shared" si="17"/>
        <v>30 novembre 2021</v>
      </c>
      <c r="O201" s="284" t="str">
        <f t="shared" si="18"/>
        <v>30 novembre 2021</v>
      </c>
      <c r="P201" s="282" t="e">
        <f>IF(VLOOKUP(T_Convention[[#This Row],[NumL]],T_TraitDi[#Data],COLUMN(T_TraitDi[M1]),FALSE)="","",VLOOKUP(T_Convention[[#This Row],[NumL]],T_TraitDi[#Data],COLUMN(T_TraitDi[M1]),FALSE))</f>
        <v>#N/A</v>
      </c>
      <c r="Q201" s="282" t="e">
        <f>IF(VLOOKUP(T_Convention[[#This Row],[NumL]],T_TraitDi[#Data],COLUMN(T_TraitDi[M2]),FALSE)="","",VLOOKUP(T_Convention[[#This Row],[NumL]],T_TraitDi[#Data],COLUMN(T_TraitDi[M2]),FALSE))</f>
        <v>#N/A</v>
      </c>
      <c r="R201" s="282" t="e">
        <f>IF(VLOOKUP(T_Convention[[#This Row],[NumL]],T_TraitDi[#Data],COLUMN(T_TraitDi[M3]),FALSE)="","",VLOOKUP(T_Convention[[#This Row],[NumL]],T_TraitDi[#Data],COLUMN(T_TraitDi[M3]),FALSE))</f>
        <v>#N/A</v>
      </c>
      <c r="S201" s="282" t="e">
        <f>IF(VLOOKUP(T_Convention[[#This Row],[NumL]],T_TraitDi[#Data],COLUMN(T_TraitDi[M4]),FALSE)="","",VLOOKUP(T_Convention[[#This Row],[NumL]],T_TraitDi[#Data],COLUMN(T_TraitDi[M4]),FALSE))</f>
        <v>#N/A</v>
      </c>
      <c r="T201" s="282" t="e">
        <f>IF(VLOOKUP(T_Convention[[#This Row],[NumL]],T_TraitDi[#Data],COLUMN(T_TraitDi[M5]),FALSE)="","",VLOOKUP(T_Convention[[#This Row],[NumL]],T_TraitDi[#Data],COLUMN(T_TraitDi[M5]),FALSE))</f>
        <v>#N/A</v>
      </c>
      <c r="U201" s="282" t="e">
        <f>IF(VLOOKUP(T_Convention[[#This Row],[NumL]],T_TraitDi[#Data],COLUMN(T_TraitDi[M6]),FALSE)="","",VLOOKUP(T_Convention[[#This Row],[NumL]],T_TraitDi[#Data],COLUMN(T_TraitDi[M6]),FALSE))</f>
        <v>#N/A</v>
      </c>
      <c r="V201" s="176" t="e">
        <f t="shared" si="19"/>
        <v>#N/A</v>
      </c>
      <c r="W201" s="284" t="str">
        <f>IFERROR(TEXT(VLOOKUP(T_Convention[[#This Row],[NumL]],T_TraitDi[#Data],COLUMN(T_TraitDi[Q2]),FALSE),"###%"),"")</f>
        <v/>
      </c>
      <c r="X201" s="97" t="e">
        <f>VLOOKUP(T_Convention[[#This Row],[NumL]],T_TraitDi[#Data],COLUMN(T_TraitDi[Reg Ponct]),FALSE)</f>
        <v>#N/A</v>
      </c>
      <c r="Y201" s="97" t="e">
        <f>VLOOKUP(T_Convention[NumL],T_TraitDi[#Data],COLUMN(T_TraitDi[Jours flottants]),FALSE)</f>
        <v>#N/A</v>
      </c>
      <c r="Z201" s="284" t="str">
        <f>IFERROR(VLOOKUP(T_Convention[[#This Row],[NumL]],T_TraitDi[#Data],COLUMN(T_TraitDi[Lundi]),FALSE),"")</f>
        <v/>
      </c>
      <c r="AA201" s="284" t="e">
        <f>IF(VLOOKUP(T_Convention[[#This Row],[NumL]],T_TraitDi[#Data],COLUMN(T_TraitDi[Colonne3]),FALSE)=0,"",TEXT(IFERROR(VLOOKUP(T_Convention[[#This Row],[NumL]],T_TraitDi[#Data],COLUMN(T_TraitDi[Colonne3]),FALSE),""),"[hh]:mm"))</f>
        <v>#N/A</v>
      </c>
      <c r="AB201" s="284" t="e">
        <f>IF(VLOOKUP(T_Convention[[#This Row],[NumL]],T_TraitDi[#Data],COLUMN(T_TraitDi[Colonne4]),FALSE)=0,"",TEXT(IFERROR(VLOOKUP(T_Convention[[#This Row],[NumL]],T_TraitDi[#Data],COLUMN(T_TraitDi[Colonne4]),FALSE),""),"[hh]:mm"))</f>
        <v>#N/A</v>
      </c>
      <c r="AC201" s="284" t="e">
        <f>IF(VLOOKUP(T_Convention[[#This Row],[NumL]],T_TraitDi[#Data],COLUMN(T_TraitDi[Colonne5]),FALSE)=0,"",TEXT(IFERROR(VLOOKUP(T_Convention[[#This Row],[NumL]],T_TraitDi[#Data],COLUMN(T_TraitDi[Colonne5]),FALSE),""),"[hh]:mm"))</f>
        <v>#N/A</v>
      </c>
      <c r="AD201" s="284" t="e">
        <f>IF(VLOOKUP(T_Convention[[#This Row],[NumL]],T_TraitDi[#Data],COLUMN(T_TraitDi[Colonne6]),FALSE)=0,"",TEXT(IFERROR(VLOOKUP(T_Convention[[#This Row],[NumL]],T_TraitDi[#Data],COLUMN(T_TraitDi[Colonne6]),FALSE),""),"[hh]:mm"))</f>
        <v>#N/A</v>
      </c>
      <c r="AE201" s="284" t="e">
        <f>IF(VLOOKUP(T_Convention[[#This Row],[NumL]],T_TraitDi[#Data],COLUMN(T_TraitDi[Colonne7]),FALSE)=0,"",TEXT(IFERROR(VLOOKUP(T_Convention[[#This Row],[NumL]],T_TraitDi[#Data],COLUMN(T_TraitDi[Colonne7]),FALSE),""),"[hh]:mm"))</f>
        <v>#N/A</v>
      </c>
      <c r="AF201" s="284" t="e">
        <f>IF(VLOOKUP(T_Convention[[#This Row],[NumL]],T_TraitDi[#Data],COLUMN(T_TraitDi[Colonne8]),FALSE)=0,"",TEXT(IFERROR(VLOOKUP(T_Convention[[#This Row],[NumL]],T_TraitDi[#Data],COLUMN(T_TraitDi[Colonne8]),FALSE),""),"[hh]:mm"))</f>
        <v>#N/A</v>
      </c>
      <c r="AG201" s="284" t="str">
        <f>IFERROR(VLOOKUP(T_Convention[[#This Row],[NumL]],T_TraitDi[#Data],COLUMN(T_TraitDi[Mardi]),FALSE),"")</f>
        <v/>
      </c>
      <c r="AH201" s="284" t="e">
        <f>IF(VLOOKUP(T_Convention[[#This Row],[NumL]],T_TraitDi[#Data],COLUMN(T_TraitDi[Colonne1]),FALSE)=0,"",TEXT(IFERROR(VLOOKUP(T_Convention[[#This Row],[NumL]],T_TraitDi[#Data],COLUMN(T_TraitDi[Colonne1]),FALSE),""),"[hh]:mm"))</f>
        <v>#N/A</v>
      </c>
      <c r="AI201" s="284" t="e">
        <f>IF(VLOOKUP(T_Convention[[#This Row],[NumL]],T_TraitDi[#Data],COLUMN(T_TraitDi[Colonne9]),FALSE)=0,"",TEXT(IFERROR(VLOOKUP(T_Convention[[#This Row],[NumL]],T_TraitDi[#Data],COLUMN(T_TraitDi[Colonne9]),FALSE),""),"[hh]:mm"))</f>
        <v>#N/A</v>
      </c>
      <c r="AJ201" s="284" t="str">
        <f>IFERROR(VLOOKUP(T_Convention[[#This Row],[NumL]],T_TraitDi[#Data],COLUMN(T_TraitDi[Colonne10]),FALSE),"")</f>
        <v/>
      </c>
      <c r="AK201" s="284" t="e">
        <f>IF(VLOOKUP(T_Convention[[#This Row],[NumL]],T_TraitDi[#Data],COLUMN(T_TraitDi[Colonne11]),FALSE)=0,"",TEXT(IFERROR(VLOOKUP(T_Convention[[#This Row],[NumL]],T_TraitDi[#Data],COLUMN(T_TraitDi[Colonne11]),FALSE),""),"[hh]:mm"))</f>
        <v>#N/A</v>
      </c>
      <c r="AL201" s="284" t="e">
        <f>IF(VLOOKUP(T_Convention[[#This Row],[NumL]],T_TraitDi[#Data],COLUMN(T_TraitDi[Colonne12]),FALSE)=0,"",TEXT(IFERROR(VLOOKUP(T_Convention[[#This Row],[NumL]],T_TraitDi[#Data],COLUMN(T_TraitDi[Colonne12]),FALSE),""),"[hh]:mm"))</f>
        <v>#N/A</v>
      </c>
      <c r="AM201" s="284" t="e">
        <f>IF(VLOOKUP(T_Convention[[#This Row],[NumL]],T_TraitDi[#Data],COLUMN(T_TraitDi[Colonne14]),FALSE)=0,"",TEXT(IFERROR(VLOOKUP(T_Convention[[#This Row],[NumL]],T_TraitDi[#Data],COLUMN(T_TraitDi[Colonne14]),FALSE),""),"[hh]:mm"))</f>
        <v>#N/A</v>
      </c>
      <c r="AN201" s="284" t="str">
        <f>IFERROR(VLOOKUP(T_Convention[[#This Row],[NumL]],T_TraitDi[#Data],COLUMN(T_TraitDi[Mercredi]),FALSE),"")</f>
        <v/>
      </c>
      <c r="AO201" s="284" t="e">
        <f>IF(VLOOKUP(T_Convention[[#This Row],[NumL]],T_TraitDi[#Data],COLUMN(T_TraitDi[Colonne15]),FALSE)=0,"",TEXT(IFERROR(VLOOKUP(T_Convention[[#This Row],[NumL]],T_TraitDi[#Data],COLUMN(T_TraitDi[Colonne15]),FALSE),""),"[hh]:mm"))</f>
        <v>#N/A</v>
      </c>
      <c r="AP201" s="284" t="e">
        <f>IF(VLOOKUP(T_Convention[[#This Row],[NumL]],T_TraitDi[#Data],COLUMN(T_TraitDi[Colonne16]),FALSE)=0,"",TEXT(IFERROR(VLOOKUP(T_Convention[[#This Row],[NumL]],T_TraitDi[#Data],COLUMN(T_TraitDi[Colonne16]),FALSE),""),"[hh]:mm"))</f>
        <v>#N/A</v>
      </c>
      <c r="AQ201" s="284" t="str">
        <f>IFERROR(VLOOKUP(T_Convention[[#This Row],[NumL]],T_TraitDi[#Data],COLUMN(T_TraitDi[Colonne17]),FALSE),"")</f>
        <v/>
      </c>
      <c r="AR201" s="284" t="e">
        <f>IF(VLOOKUP(T_Convention[[#This Row],[NumL]],T_TraitDi[#Data],COLUMN(T_TraitDi[Colonne18]),FALSE)=0,"",TEXT(IFERROR(VLOOKUP(T_Convention[[#This Row],[NumL]],T_TraitDi[#Data],COLUMN(T_TraitDi[Colonne18]),FALSE),""),"[hh]:mm"))</f>
        <v>#N/A</v>
      </c>
      <c r="AS201" s="284" t="e">
        <f>IF(VLOOKUP(T_Convention[[#This Row],[NumL]],T_TraitDi[#Data],COLUMN(T_TraitDi[Colonne19]),FALSE)=0,"",TEXT(IFERROR(VLOOKUP(T_Convention[[#This Row],[NumL]],T_TraitDi[#Data],COLUMN(T_TraitDi[Colonne19]),FALSE),""),"[hh]:mm"))</f>
        <v>#N/A</v>
      </c>
      <c r="AT201" s="284" t="e">
        <f>IF(VLOOKUP(T_Convention[[#This Row],[NumL]],T_TraitDi[#Data],COLUMN(T_TraitDi[Colonne20]),FALSE)=0,"",TEXT(IFERROR(VLOOKUP(T_Convention[[#This Row],[NumL]],T_TraitDi[#Data],COLUMN(T_TraitDi[Colonne20]),FALSE),""),"[hh]:mm"))</f>
        <v>#N/A</v>
      </c>
      <c r="AU201" s="284" t="str">
        <f>IFERROR(VLOOKUP(T_Convention[[#This Row],[NumL]],T_TraitDi[#Data],COLUMN(T_TraitDi[Jeudi]),FALSE),"")</f>
        <v/>
      </c>
      <c r="AV201" s="284" t="e">
        <f>IF(VLOOKUP(T_Convention[[#This Row],[NumL]],T_TraitDi[#Data],COLUMN(T_TraitDi[Colonne21]),FALSE)=0,"",TEXT(IFERROR(VLOOKUP(T_Convention[[#This Row],[NumL]],T_TraitDi[#Data],COLUMN(T_TraitDi[Colonne21]),FALSE),""),"[hh]:mm"))</f>
        <v>#N/A</v>
      </c>
      <c r="AW201" s="284" t="e">
        <f>IF(VLOOKUP(T_Convention[[#This Row],[NumL]],T_TraitDi[#Data],COLUMN(T_TraitDi[Colonne22]),FALSE)=0,"",TEXT(IFERROR(VLOOKUP(T_Convention[[#This Row],[NumL]],T_TraitDi[#Data],COLUMN(T_TraitDi[Colonne22]),FALSE),""),"[hh]:mm"))</f>
        <v>#N/A</v>
      </c>
      <c r="AX201" s="284" t="str">
        <f>IFERROR(VLOOKUP(T_Convention[[#This Row],[NumL]],T_TraitDi[#Data],COLUMN(T_TraitDi[Colonne23]),FALSE),"")</f>
        <v/>
      </c>
      <c r="AY201" s="284" t="e">
        <f>IF(VLOOKUP(T_Convention[[#This Row],[NumL]],T_TraitDi[#Data],COLUMN(T_TraitDi[Colonne24]),FALSE)=0,"",TEXT(IFERROR(VLOOKUP(T_Convention[[#This Row],[NumL]],T_TraitDi[#Data],COLUMN(T_TraitDi[Colonne24]),FALSE),""),"[hh]:mm"))</f>
        <v>#N/A</v>
      </c>
      <c r="AZ201" s="284" t="e">
        <f>IF(VLOOKUP(T_Convention[[#This Row],[NumL]],T_TraitDi[#Data],COLUMN(T_TraitDi[Colonne25]),FALSE)=0,"",TEXT(IFERROR(VLOOKUP(T_Convention[[#This Row],[NumL]],T_TraitDi[#Data],COLUMN(T_TraitDi[Colonne25]),FALSE),""),"[hh]:mm"))</f>
        <v>#N/A</v>
      </c>
      <c r="BA201" s="284" t="e">
        <f>IF(VLOOKUP(T_Convention[[#This Row],[NumL]],T_TraitDi[#Data],COLUMN(T_TraitDi[Colonne26]),FALSE)=0,"",TEXT(IFERROR(VLOOKUP(T_Convention[[#This Row],[NumL]],T_TraitDi[#Data],COLUMN(T_TraitDi[Colonne26]),FALSE),""),"[hh]:mm"))</f>
        <v>#N/A</v>
      </c>
      <c r="BB201" s="284" t="str">
        <f>IFERROR(VLOOKUP(T_Convention[[#This Row],[NumL]],T_TraitDi[#Data],COLUMN(T_TraitDi[Vendredi]),FALSE),"")</f>
        <v/>
      </c>
      <c r="BC201" s="284" t="e">
        <f>IF(VLOOKUP(T_Convention[[#This Row],[NumL]],T_TraitDi[#Data],COLUMN(T_TraitDi[Colonne27]),FALSE)=0,"",TEXT(IFERROR(VLOOKUP(T_Convention[[#This Row],[NumL]],T_TraitDi[#Data],COLUMN(T_TraitDi[Colonne27]),FALSE),""),"[hh]:mm"))</f>
        <v>#N/A</v>
      </c>
      <c r="BD201" s="284" t="e">
        <f>IF(VLOOKUP(T_Convention[[#This Row],[NumL]],T_TraitDi[#Data],COLUMN(T_TraitDi[Colonne28]),FALSE)=0,"",TEXT(IFERROR(VLOOKUP(T_Convention[[#This Row],[NumL]],T_TraitDi[#Data],COLUMN(T_TraitDi[Colonne28]),FALSE),""),"[hh]:mm"))</f>
        <v>#N/A</v>
      </c>
      <c r="BE201" s="284" t="str">
        <f>IFERROR(VLOOKUP(T_Convention[[#This Row],[NumL]],T_TraitDi[#Data],COLUMN(T_TraitDi[Colonne29]),FALSE),"")</f>
        <v/>
      </c>
      <c r="BF201" s="284" t="e">
        <f>IF(VLOOKUP(T_Convention[[#This Row],[NumL]],T_TraitDi[#Data],COLUMN(T_TraitDi[Colonne30]),FALSE)=0,"",TEXT(IFERROR(VLOOKUP(T_Convention[[#This Row],[NumL]],T_TraitDi[#Data],COLUMN(T_TraitDi[Colonne30]),FALSE),""),"[hh]:mm"))</f>
        <v>#N/A</v>
      </c>
      <c r="BG201" s="284" t="e">
        <f>IF(VLOOKUP(T_Convention[[#This Row],[NumL]],T_TraitDi[#Data],COLUMN(T_TraitDi[Colonne31]),FALSE)=0,"",TEXT(IFERROR(VLOOKUP(T_Convention[[#This Row],[NumL]],T_TraitDi[#Data],COLUMN(T_TraitDi[Colonne31]),FALSE),""),"[hh]:mm"))</f>
        <v>#N/A</v>
      </c>
      <c r="BH201" s="284" t="e">
        <f>IF(VLOOKUP(T_Convention[[#This Row],[NumL]],T_TraitDi[#Data],COLUMN(T_TraitDi[Colonne32]),FALSE)=0,"",TEXT(IFERROR(VLOOKUP(T_Convention[[#This Row],[NumL]],T_TraitDi[#Data],COLUMN(T_TraitDi[Colonne32]),FALSE),""),"[hh]:mm"))</f>
        <v>#N/A</v>
      </c>
      <c r="BI201" s="284" t="str">
        <f>IFERROR(VLOOKUP(T_Convention[[#This Row],[NumL]],T_TraitDi[#Data],COLUMN(T_TraitDi[NbJTW]),FALSE),"")</f>
        <v/>
      </c>
      <c r="BJ201" s="284" t="e">
        <f>IF(VLOOKUP(T_Convention[[#This Row],[NumL]],T_TraitDi[#Data],COLUMN(T_TraitDi[NbhTW]),FALSE)=0,"",TEXT(IFERROR(VLOOKUP(T_Convention[[#This Row],[NumL]],T_TraitDi[#Data],COLUMN(T_TraitDi[NbhTW]),FALSE),""),"[hh]:mm"))</f>
        <v>#N/A</v>
      </c>
      <c r="BK201" s="286" t="e">
        <f>IF(VLOOKUP(T_Convention[[#This Row],[NumL]],T_TraitDi[#Data],COLUMN(T_TraitDi[Nbhheb]),FALSE)=0,"",TEXT(IFERROR(VLOOKUP(T_Convention[[#This Row],[NumL]],T_TraitDi[#Data],COLUMN(T_TraitDi[Nbhheb]),FALSE),""),"[hh]:mm"))</f>
        <v>#N/A</v>
      </c>
      <c r="BL201" s="287" t="str">
        <f>IFERROR(VLOOKUP(VLOOKUP(T_Convention[[#This Row],[NumL]],T_TraitDi[#Data],COLUMN(T_TraitDi[Type1]),FALSE),TypeTW,2,FALSE),"")</f>
        <v/>
      </c>
      <c r="BM201" s="288" t="str">
        <f>IFERROR(VLOOKUP(T_Convention[[#This Row],[NumL]],T_TraitDi[#Data],COLUMN(T_TraitDi[Rue1]),FALSE),"")</f>
        <v/>
      </c>
      <c r="BN201" s="289" t="str">
        <f>IFERROR(VLOOKUP(T_Convention[[#This Row],[NumL]],T_TraitDi[#Data],COLUMN(T_TraitDi[CP1]),FALSE),"")</f>
        <v/>
      </c>
      <c r="BO201" s="282" t="str">
        <f>IFERROR(VLOOKUP(T_Convention[[#This Row],[NumL]],T_TraitDi[#Data],COLUMN(T_TraitDi[VILLE1]),FALSE),"")</f>
        <v/>
      </c>
      <c r="BP201" s="290" t="str">
        <f>IFERROR(VLOOKUP(VLOOKUP(T_Convention[[#This Row],[NumL]],T_TraitDi[#Data],COLUMN(T_TraitDi[Type2]),FALSE),TypeTW,2,FALSE),"")</f>
        <v/>
      </c>
      <c r="BQ201" s="182" t="str">
        <f>IFERROR(VLOOKUP(T_Convention[[#This Row],[NumL]],T_TraitDi[#Data],COLUMN(T_TraitDi[Rue2]),FALSE),"")</f>
        <v/>
      </c>
      <c r="BR201" s="173" t="str">
        <f>IFERROR(VLOOKUP(T_Convention[[#This Row],[NumL]],T_TraitDi[#Data],COLUMN(T_TraitDi[CP2]),FALSE),"")</f>
        <v/>
      </c>
      <c r="BS201" s="173" t="str">
        <f>IFERROR(VLOOKUP(T_Convention[[#This Row],[NumL]],T_TraitDi[#Data],COLUMN(T_TraitDi[VILLE2]),FALSE),"")</f>
        <v/>
      </c>
      <c r="BT201" s="182" t="str">
        <f>IF(VLOOKUP(T_Convention[[#This Row],[NumL]],T_Equipement[#Data],COLUMN(T_Equipement[PC]),FALSE)="","Aucun équipement spécifique directement lié au télétravail",VLOOKUP(T_Convention[[#This Row],[NumL]],T_Equipement[#Data],COLUMN(T_Equipement[PC]),FALSE))</f>
        <v xml:space="preserve">19-586	</v>
      </c>
      <c r="BU201" s="166" t="str">
        <f>IFERROR(IF(VLOOKUP(T_Convention[[#This Row],[NumL]],T_TraitDi[#Data],COLUMN(T_TraitDi[Plan]),FALSE)="OK","Un planning spécifique de télétravail est annexé à la présente convention.",""),"")</f>
        <v/>
      </c>
      <c r="BV201" s="185" t="s">
        <v>3529</v>
      </c>
      <c r="BW201" s="164" t="e">
        <f>IF(VLOOKUP(T_Convention[[#This Row],[NumL]],T_suiviDi[#Data],COLUMN(T_suiviDi[Entité]),FALSE)="","",VLOOKUP(T_Convention[[#This Row],[NumL]],T_suiviDi[#Data],COLUMN(T_suiviDi[Entité]),FALSE))</f>
        <v>#N/A</v>
      </c>
      <c r="BX201" s="164" t="str">
        <f>IF(VLOOKUP(T_Convention[[#This Row],[NumL]],T_Commission[#Data],COLUMN(T_Commission[envoi confirm TW]),FALSE)="","",VLOOKUP(T_Convention[[#This Row],[NumL]],T_Commission[#Data],COLUMN(T_Commission[envoi confirm TW]),FALSE))</f>
        <v>Oui</v>
      </c>
      <c r="BY20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1" s="264">
        <f>VLOOKUP(T_Convention[[#This Row],[NumL]],T_Commission[#Data],COLUMN(T_Commission[Commentaire]),FALSE)</f>
        <v>0</v>
      </c>
      <c r="CA201" s="254" t="str">
        <f>IF(VLOOKUP(T_Convention[[#This Row],[NumL]],T_Commission[#Data],COLUMN(T_Commission[Encadrant Email]),FALSE)="","",VLOOKUP(T_Convention[[#This Row],[NumL]],T_Commission[#Data],COLUMN(T_Commission[Encadrant Email]),FALSE))</f>
        <v/>
      </c>
      <c r="CB201" s="352" t="e">
        <f>VLOOKUP(T_Convention[[#This Row],[NumL]],T_TraitDi[#Data],COLUMN(T_TraitDi[NbJTot]),FALSE)</f>
        <v>#N/A</v>
      </c>
      <c r="CC201" s="352" t="e">
        <f>VLOOKUP(T_Convention[[#This Row],[NumL]],T_TraitDi[#Data],COLUMN(T_TraitDi[Reg Ponct]),FALSE)</f>
        <v>#N/A</v>
      </c>
      <c r="CD201" s="348" t="str">
        <f>IF(T_Convention[[#This Row],[Final]]&lt;&gt;"",VLOOKUP(T_Convention[[#This Row],[NumL]],T_suiviDi[#Data],COLUMN((T_suiviDi[Statut])),FALSE),"")</f>
        <v/>
      </c>
    </row>
    <row r="202" spans="1:82" s="106" customFormat="1" ht="18.75" customHeight="1" x14ac:dyDescent="0.25">
      <c r="A202" s="160">
        <v>122</v>
      </c>
      <c r="B202" s="161" t="str">
        <f>VLOOKUP(T_Convention[[#This Row],[NumL]],T_Commission[#Data],COLUMN(T_Commission[FINAL]),FALSE)</f>
        <v/>
      </c>
      <c r="C202" s="162"/>
      <c r="D202" s="95" t="e">
        <f>IF(VLOOKUP(T_Convention[[#This Row],[NumL]],T_TraitDi[#Data],COLUMN(T_TraitDi[WebC]),FALSE)="","",VLOOKUP(T_Convention[[#This Row],[NumL]],T_TraitDi[#Data],COLUMN(T_TraitDi[WebC]),FALSE))</f>
        <v>#N/A</v>
      </c>
      <c r="E202" s="163" t="str">
        <f t="shared" si="15"/>
        <v>12 janvier 2021</v>
      </c>
      <c r="F202" s="282" t="str">
        <f>IF(T_Convention[[#This Row],[Final]]&lt;&gt;"",VLOOKUP(T_Convention[[#This Row],[NumL]],T_suiviDi[#Data],COLUMN((T_suiviDi[Civ.])),FALSE),"")</f>
        <v/>
      </c>
      <c r="G202" s="283" t="str">
        <f>IF(T_Convention[[#This Row],[Final]]&lt;&gt;"",VLOOKUP(T_Convention[[#This Row],[NumL]],T_suiviDi[#Data],COLUMN((T_suiviDi[Nom])),FALSE),"")</f>
        <v/>
      </c>
      <c r="H202" s="282" t="str">
        <f>IF(T_Convention[[#This Row],[Final]]&lt;&gt;"",VLOOKUP(T_Convention[[#This Row],[NumL]],T_suiviDi[#Data],COLUMN((T_suiviDi[Prénom])),FALSE),"")</f>
        <v/>
      </c>
      <c r="I202" s="282" t="e">
        <f>VLOOKUP(T_Convention[[#This Row],[NumL]],T_suiviDi[#Data],COLUMN((T_suiviDi[[#This Row],[Email]])),FALSE)</f>
        <v>#VALUE!</v>
      </c>
      <c r="J202" s="282" t="e">
        <f>IF(VLOOKUP(T_Convention[[#This Row],[NumL]],T_suiviDi[#Data],COLUMN(T_suiviDi[[#This Row],[Fonction]]),FALSE)="","",VLOOKUP(T_Convention[[#This Row],[NumL]],T_suiviDi[#Data],COLUMN(T_suiviDi[[#This Row],[Fonction]]),FALSE))</f>
        <v>#VALUE!</v>
      </c>
      <c r="K202" s="282" t="e">
        <f>IF(VLOOKUP(T_Convention[[#This Row],[NumL]],T_suiviDi[#Data],COLUMN(T_suiviDi[[#This Row],[Grade]]),FALSE)="","",VLOOKUP(T_Convention[[#This Row],[NumL]],T_suiviDi[#Data],COLUMN(T_suiviDi[[#This Row],[Grade]]),FALSE))</f>
        <v>#VALUE!</v>
      </c>
      <c r="L202" s="282" t="e">
        <f>IF(VLOOKUP(T_Convention[[#This Row],[NumL]],T_suiviDi[#Data],COLUMN(T_suiviDi[[#This Row],[Service ]]),FALSE)="","",VLOOKUP(T_Convention[[#This Row],[NumL]],T_suiviDi[#Data],COLUMN(T_suiviDi[[#This Row],[Service ]]),FALSE))</f>
        <v>#VALUE!</v>
      </c>
      <c r="M202" s="164" t="str">
        <f t="shared" si="16"/>
        <v>01 septembre 2021</v>
      </c>
      <c r="N202" s="164" t="str">
        <f t="shared" si="17"/>
        <v>30 novembre 2021</v>
      </c>
      <c r="O202" s="284" t="str">
        <f t="shared" si="18"/>
        <v>30 novembre 2021</v>
      </c>
      <c r="P202" s="282" t="e">
        <f>IF(VLOOKUP(T_Convention[[#This Row],[NumL]],T_TraitDi[#Data],COLUMN(T_TraitDi[M1]),FALSE)="","",VLOOKUP(T_Convention[[#This Row],[NumL]],T_TraitDi[#Data],COLUMN(T_TraitDi[M1]),FALSE))</f>
        <v>#N/A</v>
      </c>
      <c r="Q202" s="282" t="e">
        <f>IF(VLOOKUP(T_Convention[[#This Row],[NumL]],T_TraitDi[#Data],COLUMN(T_TraitDi[M2]),FALSE)="","",VLOOKUP(T_Convention[[#This Row],[NumL]],T_TraitDi[#Data],COLUMN(T_TraitDi[M2]),FALSE))</f>
        <v>#N/A</v>
      </c>
      <c r="R202" s="282" t="e">
        <f>IF(VLOOKUP(T_Convention[[#This Row],[NumL]],T_TraitDi[#Data],COLUMN(T_TraitDi[M3]),FALSE)="","",VLOOKUP(T_Convention[[#This Row],[NumL]],T_TraitDi[#Data],COLUMN(T_TraitDi[M3]),FALSE))</f>
        <v>#N/A</v>
      </c>
      <c r="S202" s="282" t="e">
        <f>IF(VLOOKUP(T_Convention[[#This Row],[NumL]],T_TraitDi[#Data],COLUMN(T_TraitDi[M4]),FALSE)="","",VLOOKUP(T_Convention[[#This Row],[NumL]],T_TraitDi[#Data],COLUMN(T_TraitDi[M4]),FALSE))</f>
        <v>#N/A</v>
      </c>
      <c r="T202" s="282" t="e">
        <f>IF(VLOOKUP(T_Convention[[#This Row],[NumL]],T_TraitDi[#Data],COLUMN(T_TraitDi[M5]),FALSE)="","",VLOOKUP(T_Convention[[#This Row],[NumL]],T_TraitDi[#Data],COLUMN(T_TraitDi[M5]),FALSE))</f>
        <v>#N/A</v>
      </c>
      <c r="U202" s="282" t="e">
        <f>IF(VLOOKUP(T_Convention[[#This Row],[NumL]],T_TraitDi[#Data],COLUMN(T_TraitDi[M6]),FALSE)="","",VLOOKUP(T_Convention[[#This Row],[NumL]],T_TraitDi[#Data],COLUMN(T_TraitDi[M6]),FALSE))</f>
        <v>#N/A</v>
      </c>
      <c r="V202" s="176" t="e">
        <f t="shared" si="19"/>
        <v>#N/A</v>
      </c>
      <c r="W202" s="284" t="str">
        <f>IFERROR(TEXT(VLOOKUP(T_Convention[[#This Row],[NumL]],T_TraitDi[#Data],COLUMN(T_TraitDi[Q2]),FALSE),"###%"),"")</f>
        <v/>
      </c>
      <c r="X202" s="97" t="e">
        <f>VLOOKUP(T_Convention[[#This Row],[NumL]],T_TraitDi[#Data],COLUMN(T_TraitDi[Reg Ponct]),FALSE)</f>
        <v>#N/A</v>
      </c>
      <c r="Y202" s="97" t="e">
        <f>VLOOKUP(T_Convention[NumL],T_TraitDi[#Data],COLUMN(T_TraitDi[Jours flottants]),FALSE)</f>
        <v>#N/A</v>
      </c>
      <c r="Z202" s="284" t="str">
        <f>IFERROR(VLOOKUP(T_Convention[[#This Row],[NumL]],T_TraitDi[#Data],COLUMN(T_TraitDi[Lundi]),FALSE),"")</f>
        <v/>
      </c>
      <c r="AA202" s="284" t="e">
        <f>IF(VLOOKUP(T_Convention[[#This Row],[NumL]],T_TraitDi[#Data],COLUMN(T_TraitDi[Colonne3]),FALSE)=0,"",TEXT(IFERROR(VLOOKUP(T_Convention[[#This Row],[NumL]],T_TraitDi[#Data],COLUMN(T_TraitDi[Colonne3]),FALSE),""),"[hh]:mm"))</f>
        <v>#N/A</v>
      </c>
      <c r="AB202" s="284" t="e">
        <f>IF(VLOOKUP(T_Convention[[#This Row],[NumL]],T_TraitDi[#Data],COLUMN(T_TraitDi[Colonne4]),FALSE)=0,"",TEXT(IFERROR(VLOOKUP(T_Convention[[#This Row],[NumL]],T_TraitDi[#Data],COLUMN(T_TraitDi[Colonne4]),FALSE),""),"[hh]:mm"))</f>
        <v>#N/A</v>
      </c>
      <c r="AC202" s="284" t="e">
        <f>IF(VLOOKUP(T_Convention[[#This Row],[NumL]],T_TraitDi[#Data],COLUMN(T_TraitDi[Colonne5]),FALSE)=0,"",TEXT(IFERROR(VLOOKUP(T_Convention[[#This Row],[NumL]],T_TraitDi[#Data],COLUMN(T_TraitDi[Colonne5]),FALSE),""),"[hh]:mm"))</f>
        <v>#N/A</v>
      </c>
      <c r="AD202" s="284" t="e">
        <f>IF(VLOOKUP(T_Convention[[#This Row],[NumL]],T_TraitDi[#Data],COLUMN(T_TraitDi[Colonne6]),FALSE)=0,"",TEXT(IFERROR(VLOOKUP(T_Convention[[#This Row],[NumL]],T_TraitDi[#Data],COLUMN(T_TraitDi[Colonne6]),FALSE),""),"[hh]:mm"))</f>
        <v>#N/A</v>
      </c>
      <c r="AE202" s="284" t="e">
        <f>IF(VLOOKUP(T_Convention[[#This Row],[NumL]],T_TraitDi[#Data],COLUMN(T_TraitDi[Colonne7]),FALSE)=0,"",TEXT(IFERROR(VLOOKUP(T_Convention[[#This Row],[NumL]],T_TraitDi[#Data],COLUMN(T_TraitDi[Colonne7]),FALSE),""),"[hh]:mm"))</f>
        <v>#N/A</v>
      </c>
      <c r="AF202" s="284" t="e">
        <f>IF(VLOOKUP(T_Convention[[#This Row],[NumL]],T_TraitDi[#Data],COLUMN(T_TraitDi[Colonne8]),FALSE)=0,"",TEXT(IFERROR(VLOOKUP(T_Convention[[#This Row],[NumL]],T_TraitDi[#Data],COLUMN(T_TraitDi[Colonne8]),FALSE),""),"[hh]:mm"))</f>
        <v>#N/A</v>
      </c>
      <c r="AG202" s="284" t="str">
        <f>IFERROR(VLOOKUP(T_Convention[[#This Row],[NumL]],T_TraitDi[#Data],COLUMN(T_TraitDi[Mardi]),FALSE),"")</f>
        <v/>
      </c>
      <c r="AH202" s="284" t="e">
        <f>IF(VLOOKUP(T_Convention[[#This Row],[NumL]],T_TraitDi[#Data],COLUMN(T_TraitDi[Colonne1]),FALSE)=0,"",TEXT(IFERROR(VLOOKUP(T_Convention[[#This Row],[NumL]],T_TraitDi[#Data],COLUMN(T_TraitDi[Colonne1]),FALSE),""),"[hh]:mm"))</f>
        <v>#N/A</v>
      </c>
      <c r="AI202" s="284" t="e">
        <f>IF(VLOOKUP(T_Convention[[#This Row],[NumL]],T_TraitDi[#Data],COLUMN(T_TraitDi[Colonne9]),FALSE)=0,"",TEXT(IFERROR(VLOOKUP(T_Convention[[#This Row],[NumL]],T_TraitDi[#Data],COLUMN(T_TraitDi[Colonne9]),FALSE),""),"[hh]:mm"))</f>
        <v>#N/A</v>
      </c>
      <c r="AJ202" s="284" t="str">
        <f>IFERROR(VLOOKUP(T_Convention[[#This Row],[NumL]],T_TraitDi[#Data],COLUMN(T_TraitDi[Colonne10]),FALSE),"")</f>
        <v/>
      </c>
      <c r="AK202" s="284" t="e">
        <f>IF(VLOOKUP(T_Convention[[#This Row],[NumL]],T_TraitDi[#Data],COLUMN(T_TraitDi[Colonne11]),FALSE)=0,"",TEXT(IFERROR(VLOOKUP(T_Convention[[#This Row],[NumL]],T_TraitDi[#Data],COLUMN(T_TraitDi[Colonne11]),FALSE),""),"[hh]:mm"))</f>
        <v>#N/A</v>
      </c>
      <c r="AL202" s="284" t="e">
        <f>IF(VLOOKUP(T_Convention[[#This Row],[NumL]],T_TraitDi[#Data],COLUMN(T_TraitDi[Colonne12]),FALSE)=0,"",TEXT(IFERROR(VLOOKUP(T_Convention[[#This Row],[NumL]],T_TraitDi[#Data],COLUMN(T_TraitDi[Colonne12]),FALSE),""),"[hh]:mm"))</f>
        <v>#N/A</v>
      </c>
      <c r="AM202" s="284" t="e">
        <f>IF(VLOOKUP(T_Convention[[#This Row],[NumL]],T_TraitDi[#Data],COLUMN(T_TraitDi[Colonne14]),FALSE)=0,"",TEXT(IFERROR(VLOOKUP(T_Convention[[#This Row],[NumL]],T_TraitDi[#Data],COLUMN(T_TraitDi[Colonne14]),FALSE),""),"[hh]:mm"))</f>
        <v>#N/A</v>
      </c>
      <c r="AN202" s="284" t="str">
        <f>IFERROR(VLOOKUP(T_Convention[[#This Row],[NumL]],T_TraitDi[#Data],COLUMN(T_TraitDi[Mercredi]),FALSE),"")</f>
        <v/>
      </c>
      <c r="AO202" s="284" t="e">
        <f>IF(VLOOKUP(T_Convention[[#This Row],[NumL]],T_TraitDi[#Data],COLUMN(T_TraitDi[Colonne15]),FALSE)=0,"",TEXT(IFERROR(VLOOKUP(T_Convention[[#This Row],[NumL]],T_TraitDi[#Data],COLUMN(T_TraitDi[Colonne15]),FALSE),""),"[hh]:mm"))</f>
        <v>#N/A</v>
      </c>
      <c r="AP202" s="284" t="e">
        <f>IF(VLOOKUP(T_Convention[[#This Row],[NumL]],T_TraitDi[#Data],COLUMN(T_TraitDi[Colonne16]),FALSE)=0,"",TEXT(IFERROR(VLOOKUP(T_Convention[[#This Row],[NumL]],T_TraitDi[#Data],COLUMN(T_TraitDi[Colonne16]),FALSE),""),"[hh]:mm"))</f>
        <v>#N/A</v>
      </c>
      <c r="AQ202" s="284" t="str">
        <f>IFERROR(VLOOKUP(T_Convention[[#This Row],[NumL]],T_TraitDi[#Data],COLUMN(T_TraitDi[Colonne17]),FALSE),"")</f>
        <v/>
      </c>
      <c r="AR202" s="284" t="e">
        <f>IF(VLOOKUP(T_Convention[[#This Row],[NumL]],T_TraitDi[#Data],COLUMN(T_TraitDi[Colonne18]),FALSE)=0,"",TEXT(IFERROR(VLOOKUP(T_Convention[[#This Row],[NumL]],T_TraitDi[#Data],COLUMN(T_TraitDi[Colonne18]),FALSE),""),"[hh]:mm"))</f>
        <v>#N/A</v>
      </c>
      <c r="AS202" s="284" t="e">
        <f>IF(VLOOKUP(T_Convention[[#This Row],[NumL]],T_TraitDi[#Data],COLUMN(T_TraitDi[Colonne19]),FALSE)=0,"",TEXT(IFERROR(VLOOKUP(T_Convention[[#This Row],[NumL]],T_TraitDi[#Data],COLUMN(T_TraitDi[Colonne19]),FALSE),""),"[hh]:mm"))</f>
        <v>#N/A</v>
      </c>
      <c r="AT202" s="284" t="e">
        <f>IF(VLOOKUP(T_Convention[[#This Row],[NumL]],T_TraitDi[#Data],COLUMN(T_TraitDi[Colonne20]),FALSE)=0,"",TEXT(IFERROR(VLOOKUP(T_Convention[[#This Row],[NumL]],T_TraitDi[#Data],COLUMN(T_TraitDi[Colonne20]),FALSE),""),"[hh]:mm"))</f>
        <v>#N/A</v>
      </c>
      <c r="AU202" s="284" t="str">
        <f>IFERROR(VLOOKUP(T_Convention[[#This Row],[NumL]],T_TraitDi[#Data],COLUMN(T_TraitDi[Jeudi]),FALSE),"")</f>
        <v/>
      </c>
      <c r="AV202" s="284" t="e">
        <f>IF(VLOOKUP(T_Convention[[#This Row],[NumL]],T_TraitDi[#Data],COLUMN(T_TraitDi[Colonne21]),FALSE)=0,"",TEXT(IFERROR(VLOOKUP(T_Convention[[#This Row],[NumL]],T_TraitDi[#Data],COLUMN(T_TraitDi[Colonne21]),FALSE),""),"[hh]:mm"))</f>
        <v>#N/A</v>
      </c>
      <c r="AW202" s="284" t="e">
        <f>IF(VLOOKUP(T_Convention[[#This Row],[NumL]],T_TraitDi[#Data],COLUMN(T_TraitDi[Colonne22]),FALSE)=0,"",TEXT(IFERROR(VLOOKUP(T_Convention[[#This Row],[NumL]],T_TraitDi[#Data],COLUMN(T_TraitDi[Colonne22]),FALSE),""),"[hh]:mm"))</f>
        <v>#N/A</v>
      </c>
      <c r="AX202" s="284" t="str">
        <f>IFERROR(VLOOKUP(T_Convention[[#This Row],[NumL]],T_TraitDi[#Data],COLUMN(T_TraitDi[Colonne23]),FALSE),"")</f>
        <v/>
      </c>
      <c r="AY202" s="284" t="e">
        <f>IF(VLOOKUP(T_Convention[[#This Row],[NumL]],T_TraitDi[#Data],COLUMN(T_TraitDi[Colonne24]),FALSE)=0,"",TEXT(IFERROR(VLOOKUP(T_Convention[[#This Row],[NumL]],T_TraitDi[#Data],COLUMN(T_TraitDi[Colonne24]),FALSE),""),"[hh]:mm"))</f>
        <v>#N/A</v>
      </c>
      <c r="AZ202" s="284" t="e">
        <f>IF(VLOOKUP(T_Convention[[#This Row],[NumL]],T_TraitDi[#Data],COLUMN(T_TraitDi[Colonne25]),FALSE)=0,"",TEXT(IFERROR(VLOOKUP(T_Convention[[#This Row],[NumL]],T_TraitDi[#Data],COLUMN(T_TraitDi[Colonne25]),FALSE),""),"[hh]:mm"))</f>
        <v>#N/A</v>
      </c>
      <c r="BA202" s="284" t="e">
        <f>IF(VLOOKUP(T_Convention[[#This Row],[NumL]],T_TraitDi[#Data],COLUMN(T_TraitDi[Colonne26]),FALSE)=0,"",TEXT(IFERROR(VLOOKUP(T_Convention[[#This Row],[NumL]],T_TraitDi[#Data],COLUMN(T_TraitDi[Colonne26]),FALSE),""),"[hh]:mm"))</f>
        <v>#N/A</v>
      </c>
      <c r="BB202" s="284" t="str">
        <f>IFERROR(VLOOKUP(T_Convention[[#This Row],[NumL]],T_TraitDi[#Data],COLUMN(T_TraitDi[Vendredi]),FALSE),"")</f>
        <v/>
      </c>
      <c r="BC202" s="284" t="e">
        <f>IF(VLOOKUP(T_Convention[[#This Row],[NumL]],T_TraitDi[#Data],COLUMN(T_TraitDi[Colonne27]),FALSE)=0,"",TEXT(IFERROR(VLOOKUP(T_Convention[[#This Row],[NumL]],T_TraitDi[#Data],COLUMN(T_TraitDi[Colonne27]),FALSE),""),"[hh]:mm"))</f>
        <v>#N/A</v>
      </c>
      <c r="BD202" s="284" t="e">
        <f>IF(VLOOKUP(T_Convention[[#This Row],[NumL]],T_TraitDi[#Data],COLUMN(T_TraitDi[Colonne28]),FALSE)=0,"",TEXT(IFERROR(VLOOKUP(T_Convention[[#This Row],[NumL]],T_TraitDi[#Data],COLUMN(T_TraitDi[Colonne28]),FALSE),""),"[hh]:mm"))</f>
        <v>#N/A</v>
      </c>
      <c r="BE202" s="284" t="str">
        <f>IFERROR(VLOOKUP(T_Convention[[#This Row],[NumL]],T_TraitDi[#Data],COLUMN(T_TraitDi[Colonne29]),FALSE),"")</f>
        <v/>
      </c>
      <c r="BF202" s="284" t="e">
        <f>IF(VLOOKUP(T_Convention[[#This Row],[NumL]],T_TraitDi[#Data],COLUMN(T_TraitDi[Colonne30]),FALSE)=0,"",TEXT(IFERROR(VLOOKUP(T_Convention[[#This Row],[NumL]],T_TraitDi[#Data],COLUMN(T_TraitDi[Colonne30]),FALSE),""),"[hh]:mm"))</f>
        <v>#N/A</v>
      </c>
      <c r="BG202" s="284" t="e">
        <f>IF(VLOOKUP(T_Convention[[#This Row],[NumL]],T_TraitDi[#Data],COLUMN(T_TraitDi[Colonne31]),FALSE)=0,"",TEXT(IFERROR(VLOOKUP(T_Convention[[#This Row],[NumL]],T_TraitDi[#Data],COLUMN(T_TraitDi[Colonne31]),FALSE),""),"[hh]:mm"))</f>
        <v>#N/A</v>
      </c>
      <c r="BH202" s="284" t="e">
        <f>IF(VLOOKUP(T_Convention[[#This Row],[NumL]],T_TraitDi[#Data],COLUMN(T_TraitDi[Colonne32]),FALSE)=0,"",TEXT(IFERROR(VLOOKUP(T_Convention[[#This Row],[NumL]],T_TraitDi[#Data],COLUMN(T_TraitDi[Colonne32]),FALSE),""),"[hh]:mm"))</f>
        <v>#N/A</v>
      </c>
      <c r="BI202" s="284" t="str">
        <f>IFERROR(VLOOKUP(T_Convention[[#This Row],[NumL]],T_TraitDi[#Data],COLUMN(T_TraitDi[NbJTW]),FALSE),"")</f>
        <v/>
      </c>
      <c r="BJ202" s="284" t="e">
        <f>IF(VLOOKUP(T_Convention[[#This Row],[NumL]],T_TraitDi[#Data],COLUMN(T_TraitDi[NbhTW]),FALSE)=0,"",TEXT(IFERROR(VLOOKUP(T_Convention[[#This Row],[NumL]],T_TraitDi[#Data],COLUMN(T_TraitDi[NbhTW]),FALSE),""),"[hh]:mm"))</f>
        <v>#N/A</v>
      </c>
      <c r="BK202" s="286" t="e">
        <f>IF(VLOOKUP(T_Convention[[#This Row],[NumL]],T_TraitDi[#Data],COLUMN(T_TraitDi[Nbhheb]),FALSE)=0,"",TEXT(IFERROR(VLOOKUP(T_Convention[[#This Row],[NumL]],T_TraitDi[#Data],COLUMN(T_TraitDi[Nbhheb]),FALSE),""),"[hh]:mm"))</f>
        <v>#N/A</v>
      </c>
      <c r="BL202" s="287" t="str">
        <f>IFERROR(VLOOKUP(VLOOKUP(T_Convention[[#This Row],[NumL]],T_TraitDi[#Data],COLUMN(T_TraitDi[Type1]),FALSE),TypeTW,2,FALSE),"")</f>
        <v/>
      </c>
      <c r="BM202" s="288" t="str">
        <f>IFERROR(VLOOKUP(T_Convention[[#This Row],[NumL]],T_TraitDi[#Data],COLUMN(T_TraitDi[Rue1]),FALSE),"")</f>
        <v/>
      </c>
      <c r="BN202" s="289" t="str">
        <f>IFERROR(VLOOKUP(T_Convention[[#This Row],[NumL]],T_TraitDi[#Data],COLUMN(T_TraitDi[CP1]),FALSE),"")</f>
        <v/>
      </c>
      <c r="BO202" s="282" t="str">
        <f>IFERROR(VLOOKUP(T_Convention[[#This Row],[NumL]],T_TraitDi[#Data],COLUMN(T_TraitDi[VILLE1]),FALSE),"")</f>
        <v/>
      </c>
      <c r="BP202" s="290" t="str">
        <f>IFERROR(VLOOKUP(VLOOKUP(T_Convention[[#This Row],[NumL]],T_TraitDi[#Data],COLUMN(T_TraitDi[Type2]),FALSE),TypeTW,2,FALSE),"")</f>
        <v/>
      </c>
      <c r="BQ202" s="182" t="str">
        <f>IFERROR(VLOOKUP(T_Convention[[#This Row],[NumL]],T_TraitDi[#Data],COLUMN(T_TraitDi[Rue2]),FALSE),"")</f>
        <v/>
      </c>
      <c r="BR202" s="173" t="str">
        <f>IFERROR(VLOOKUP(T_Convention[[#This Row],[NumL]],T_TraitDi[#Data],COLUMN(T_TraitDi[CP2]),FALSE),"")</f>
        <v/>
      </c>
      <c r="BS202" s="173" t="str">
        <f>IFERROR(VLOOKUP(T_Convention[[#This Row],[NumL]],T_TraitDi[#Data],COLUMN(T_TraitDi[VILLE2]),FALSE),"")</f>
        <v/>
      </c>
      <c r="BT202" s="182" t="str">
        <f>IF(VLOOKUP(T_Convention[[#This Row],[NumL]],T_Equipement[#Data],COLUMN(T_Equipement[PC]),FALSE)="","Aucun équipement spécifique directement lié au télétravail",VLOOKUP(T_Convention[[#This Row],[NumL]],T_Equipement[#Data],COLUMN(T_Equipement[PC]),FALSE))</f>
        <v xml:space="preserve">20-515	</v>
      </c>
      <c r="BU202" s="166" t="str">
        <f>IFERROR(IF(VLOOKUP(T_Convention[[#This Row],[NumL]],T_TraitDi[#Data],COLUMN(T_TraitDi[Plan]),FALSE)="OK","Un planning spécifique de télétravail est annexé à la présente convention.",""),"")</f>
        <v/>
      </c>
      <c r="BV202" s="185" t="s">
        <v>3383</v>
      </c>
      <c r="BW202" s="164" t="e">
        <f>IF(VLOOKUP(T_Convention[[#This Row],[NumL]],T_suiviDi[#Data],COLUMN(T_suiviDi[Entité]),FALSE)="","",VLOOKUP(T_Convention[[#This Row],[NumL]],T_suiviDi[#Data],COLUMN(T_suiviDi[Entité]),FALSE))</f>
        <v>#N/A</v>
      </c>
      <c r="BX202" s="164" t="str">
        <f>IF(VLOOKUP(T_Convention[[#This Row],[NumL]],T_Commission[#Data],COLUMN(T_Commission[envoi confirm TW]),FALSE)="","",VLOOKUP(T_Convention[[#This Row],[NumL]],T_Commission[#Data],COLUMN(T_Commission[envoi confirm TW]),FALSE))</f>
        <v>Oui</v>
      </c>
      <c r="BY20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2" s="264">
        <f>VLOOKUP(T_Convention[[#This Row],[NumL]],T_Commission[#Data],COLUMN(T_Commission[Commentaire]),FALSE)</f>
        <v>0</v>
      </c>
      <c r="CA202" s="254" t="str">
        <f>IF(VLOOKUP(T_Convention[[#This Row],[NumL]],T_Commission[#Data],COLUMN(T_Commission[Encadrant Email]),FALSE)="","",VLOOKUP(T_Convention[[#This Row],[NumL]],T_Commission[#Data],COLUMN(T_Commission[Encadrant Email]),FALSE))</f>
        <v/>
      </c>
      <c r="CB202" s="352" t="e">
        <f>VLOOKUP(T_Convention[[#This Row],[NumL]],T_TraitDi[#Data],COLUMN(T_TraitDi[NbJTot]),FALSE)</f>
        <v>#N/A</v>
      </c>
      <c r="CC202" s="352" t="e">
        <f>VLOOKUP(T_Convention[[#This Row],[NumL]],T_TraitDi[#Data],COLUMN(T_TraitDi[Reg Ponct]),FALSE)</f>
        <v>#N/A</v>
      </c>
      <c r="CD202" s="348" t="str">
        <f>IF(T_Convention[[#This Row],[Final]]&lt;&gt;"",VLOOKUP(T_Convention[[#This Row],[NumL]],T_suiviDi[#Data],COLUMN((T_suiviDi[Statut])),FALSE),"")</f>
        <v/>
      </c>
    </row>
    <row r="203" spans="1:82" s="106" customFormat="1" ht="18.75" customHeight="1" x14ac:dyDescent="0.25">
      <c r="A203" s="160">
        <v>38</v>
      </c>
      <c r="B203" s="161" t="str">
        <f>VLOOKUP(T_Convention[[#This Row],[NumL]],T_Commission[#Data],COLUMN(T_Commission[FINAL]),FALSE)</f>
        <v/>
      </c>
      <c r="C203" s="162"/>
      <c r="D203" s="95" t="e">
        <f>IF(VLOOKUP(T_Convention[[#This Row],[NumL]],T_TraitDi[#Data],COLUMN(T_TraitDi[WebC]),FALSE)="","",VLOOKUP(T_Convention[[#This Row],[NumL]],T_TraitDi[#Data],COLUMN(T_TraitDi[WebC]),FALSE))</f>
        <v>#N/A</v>
      </c>
      <c r="E203" s="163" t="str">
        <f t="shared" si="15"/>
        <v>12 janvier 2021</v>
      </c>
      <c r="F203" s="282" t="str">
        <f>IF(T_Convention[[#This Row],[Final]]&lt;&gt;"",VLOOKUP(T_Convention[[#This Row],[NumL]],T_suiviDi[#Data],COLUMN((T_suiviDi[Civ.])),FALSE),"")</f>
        <v/>
      </c>
      <c r="G203" s="283" t="str">
        <f>IF(T_Convention[[#This Row],[Final]]&lt;&gt;"",VLOOKUP(T_Convention[[#This Row],[NumL]],T_suiviDi[#Data],COLUMN((T_suiviDi[Nom])),FALSE),"")</f>
        <v/>
      </c>
      <c r="H203" s="282" t="str">
        <f>IF(T_Convention[[#This Row],[Final]]&lt;&gt;"",VLOOKUP(T_Convention[[#This Row],[NumL]],T_suiviDi[#Data],COLUMN((T_suiviDi[Prénom])),FALSE),"")</f>
        <v/>
      </c>
      <c r="I203" s="282" t="e">
        <f>VLOOKUP(T_Convention[[#This Row],[NumL]],T_suiviDi[#Data],COLUMN((T_suiviDi[[#This Row],[Email]])),FALSE)</f>
        <v>#VALUE!</v>
      </c>
      <c r="J203" s="282" t="e">
        <f>IF(VLOOKUP(T_Convention[[#This Row],[NumL]],T_suiviDi[#Data],COLUMN(T_suiviDi[[#This Row],[Fonction]]),FALSE)="","",VLOOKUP(T_Convention[[#This Row],[NumL]],T_suiviDi[#Data],COLUMN(T_suiviDi[[#This Row],[Fonction]]),FALSE))</f>
        <v>#VALUE!</v>
      </c>
      <c r="K203" s="282" t="e">
        <f>IF(VLOOKUP(T_Convention[[#This Row],[NumL]],T_suiviDi[#Data],COLUMN(T_suiviDi[[#This Row],[Grade]]),FALSE)="","",VLOOKUP(T_Convention[[#This Row],[NumL]],T_suiviDi[#Data],COLUMN(T_suiviDi[[#This Row],[Grade]]),FALSE))</f>
        <v>#VALUE!</v>
      </c>
      <c r="L203" s="282" t="e">
        <f>IF(VLOOKUP(T_Convention[[#This Row],[NumL]],T_suiviDi[#Data],COLUMN(T_suiviDi[[#This Row],[Service ]]),FALSE)="","",VLOOKUP(T_Convention[[#This Row],[NumL]],T_suiviDi[#Data],COLUMN(T_suiviDi[[#This Row],[Service ]]),FALSE))</f>
        <v>#VALUE!</v>
      </c>
      <c r="M203" s="164" t="str">
        <f t="shared" si="16"/>
        <v>01 septembre 2021</v>
      </c>
      <c r="N203" s="164" t="str">
        <f t="shared" si="17"/>
        <v>30 novembre 2021</v>
      </c>
      <c r="O203" s="284" t="str">
        <f t="shared" si="18"/>
        <v>30 novembre 2021</v>
      </c>
      <c r="P203" s="282" t="e">
        <f>IF(VLOOKUP(T_Convention[[#This Row],[NumL]],T_TraitDi[#Data],COLUMN(T_TraitDi[M1]),FALSE)="","",VLOOKUP(T_Convention[[#This Row],[NumL]],T_TraitDi[#Data],COLUMN(T_TraitDi[M1]),FALSE))</f>
        <v>#N/A</v>
      </c>
      <c r="Q203" s="282" t="e">
        <f>IF(VLOOKUP(T_Convention[[#This Row],[NumL]],T_TraitDi[#Data],COLUMN(T_TraitDi[M2]),FALSE)="","",VLOOKUP(T_Convention[[#This Row],[NumL]],T_TraitDi[#Data],COLUMN(T_TraitDi[M2]),FALSE))</f>
        <v>#N/A</v>
      </c>
      <c r="R203" s="282" t="e">
        <f>IF(VLOOKUP(T_Convention[[#This Row],[NumL]],T_TraitDi[#Data],COLUMN(T_TraitDi[M3]),FALSE)="","",VLOOKUP(T_Convention[[#This Row],[NumL]],T_TraitDi[#Data],COLUMN(T_TraitDi[M3]),FALSE))</f>
        <v>#N/A</v>
      </c>
      <c r="S203" s="282" t="e">
        <f>IF(VLOOKUP(T_Convention[[#This Row],[NumL]],T_TraitDi[#Data],COLUMN(T_TraitDi[M4]),FALSE)="","",VLOOKUP(T_Convention[[#This Row],[NumL]],T_TraitDi[#Data],COLUMN(T_TraitDi[M4]),FALSE))</f>
        <v>#N/A</v>
      </c>
      <c r="T203" s="282" t="e">
        <f>IF(VLOOKUP(T_Convention[[#This Row],[NumL]],T_TraitDi[#Data],COLUMN(T_TraitDi[M5]),FALSE)="","",VLOOKUP(T_Convention[[#This Row],[NumL]],T_TraitDi[#Data],COLUMN(T_TraitDi[M5]),FALSE))</f>
        <v>#N/A</v>
      </c>
      <c r="U203" s="282" t="e">
        <f>IF(VLOOKUP(T_Convention[[#This Row],[NumL]],T_TraitDi[#Data],COLUMN(T_TraitDi[M6]),FALSE)="","",VLOOKUP(T_Convention[[#This Row],[NumL]],T_TraitDi[#Data],COLUMN(T_TraitDi[M6]),FALSE))</f>
        <v>#N/A</v>
      </c>
      <c r="V203" s="176" t="e">
        <f t="shared" si="19"/>
        <v>#N/A</v>
      </c>
      <c r="W203" s="284" t="str">
        <f>IFERROR(TEXT(VLOOKUP(T_Convention[[#This Row],[NumL]],T_TraitDi[#Data],COLUMN(T_TraitDi[Q2]),FALSE),"###%"),"")</f>
        <v/>
      </c>
      <c r="X203" s="97" t="e">
        <f>VLOOKUP(T_Convention[[#This Row],[NumL]],T_TraitDi[#Data],COLUMN(T_TraitDi[Reg Ponct]),FALSE)</f>
        <v>#N/A</v>
      </c>
      <c r="Y203" s="97" t="e">
        <f>VLOOKUP(T_Convention[NumL],T_TraitDi[#Data],COLUMN(T_TraitDi[Jours flottants]),FALSE)</f>
        <v>#N/A</v>
      </c>
      <c r="Z203" s="284" t="str">
        <f>IFERROR(VLOOKUP(T_Convention[[#This Row],[NumL]],T_TraitDi[#Data],COLUMN(T_TraitDi[Lundi]),FALSE),"")</f>
        <v/>
      </c>
      <c r="AA203" s="284" t="e">
        <f>IF(VLOOKUP(T_Convention[[#This Row],[NumL]],T_TraitDi[#Data],COLUMN(T_TraitDi[Colonne3]),FALSE)=0,"",TEXT(IFERROR(VLOOKUP(T_Convention[[#This Row],[NumL]],T_TraitDi[#Data],COLUMN(T_TraitDi[Colonne3]),FALSE),""),"[hh]:mm"))</f>
        <v>#N/A</v>
      </c>
      <c r="AB203" s="284" t="e">
        <f>IF(VLOOKUP(T_Convention[[#This Row],[NumL]],T_TraitDi[#Data],COLUMN(T_TraitDi[Colonne4]),FALSE)=0,"",TEXT(IFERROR(VLOOKUP(T_Convention[[#This Row],[NumL]],T_TraitDi[#Data],COLUMN(T_TraitDi[Colonne4]),FALSE),""),"[hh]:mm"))</f>
        <v>#N/A</v>
      </c>
      <c r="AC203" s="284" t="e">
        <f>IF(VLOOKUP(T_Convention[[#This Row],[NumL]],T_TraitDi[#Data],COLUMN(T_TraitDi[Colonne5]),FALSE)=0,"",TEXT(IFERROR(VLOOKUP(T_Convention[[#This Row],[NumL]],T_TraitDi[#Data],COLUMN(T_TraitDi[Colonne5]),FALSE),""),"[hh]:mm"))</f>
        <v>#N/A</v>
      </c>
      <c r="AD203" s="284" t="e">
        <f>IF(VLOOKUP(T_Convention[[#This Row],[NumL]],T_TraitDi[#Data],COLUMN(T_TraitDi[Colonne6]),FALSE)=0,"",TEXT(IFERROR(VLOOKUP(T_Convention[[#This Row],[NumL]],T_TraitDi[#Data],COLUMN(T_TraitDi[Colonne6]),FALSE),""),"[hh]:mm"))</f>
        <v>#N/A</v>
      </c>
      <c r="AE203" s="284" t="e">
        <f>IF(VLOOKUP(T_Convention[[#This Row],[NumL]],T_TraitDi[#Data],COLUMN(T_TraitDi[Colonne7]),FALSE)=0,"",TEXT(IFERROR(VLOOKUP(T_Convention[[#This Row],[NumL]],T_TraitDi[#Data],COLUMN(T_TraitDi[Colonne7]),FALSE),""),"[hh]:mm"))</f>
        <v>#N/A</v>
      </c>
      <c r="AF203" s="284" t="e">
        <f>IF(VLOOKUP(T_Convention[[#This Row],[NumL]],T_TraitDi[#Data],COLUMN(T_TraitDi[Colonne8]),FALSE)=0,"",TEXT(IFERROR(VLOOKUP(T_Convention[[#This Row],[NumL]],T_TraitDi[#Data],COLUMN(T_TraitDi[Colonne8]),FALSE),""),"[hh]:mm"))</f>
        <v>#N/A</v>
      </c>
      <c r="AG203" s="284" t="str">
        <f>IFERROR(VLOOKUP(T_Convention[[#This Row],[NumL]],T_TraitDi[#Data],COLUMN(T_TraitDi[Mardi]),FALSE),"")</f>
        <v/>
      </c>
      <c r="AH203" s="284" t="e">
        <f>IF(VLOOKUP(T_Convention[[#This Row],[NumL]],T_TraitDi[#Data],COLUMN(T_TraitDi[Colonne1]),FALSE)=0,"",TEXT(IFERROR(VLOOKUP(T_Convention[[#This Row],[NumL]],T_TraitDi[#Data],COLUMN(T_TraitDi[Colonne1]),FALSE),""),"[hh]:mm"))</f>
        <v>#N/A</v>
      </c>
      <c r="AI203" s="284" t="e">
        <f>IF(VLOOKUP(T_Convention[[#This Row],[NumL]],T_TraitDi[#Data],COLUMN(T_TraitDi[Colonne9]),FALSE)=0,"",TEXT(IFERROR(VLOOKUP(T_Convention[[#This Row],[NumL]],T_TraitDi[#Data],COLUMN(T_TraitDi[Colonne9]),FALSE),""),"[hh]:mm"))</f>
        <v>#N/A</v>
      </c>
      <c r="AJ203" s="284" t="str">
        <f>IFERROR(VLOOKUP(T_Convention[[#This Row],[NumL]],T_TraitDi[#Data],COLUMN(T_TraitDi[Colonne10]),FALSE),"")</f>
        <v/>
      </c>
      <c r="AK203" s="284" t="e">
        <f>IF(VLOOKUP(T_Convention[[#This Row],[NumL]],T_TraitDi[#Data],COLUMN(T_TraitDi[Colonne11]),FALSE)=0,"",TEXT(IFERROR(VLOOKUP(T_Convention[[#This Row],[NumL]],T_TraitDi[#Data],COLUMN(T_TraitDi[Colonne11]),FALSE),""),"[hh]:mm"))</f>
        <v>#N/A</v>
      </c>
      <c r="AL203" s="284" t="e">
        <f>IF(VLOOKUP(T_Convention[[#This Row],[NumL]],T_TraitDi[#Data],COLUMN(T_TraitDi[Colonne12]),FALSE)=0,"",TEXT(IFERROR(VLOOKUP(T_Convention[[#This Row],[NumL]],T_TraitDi[#Data],COLUMN(T_TraitDi[Colonne12]),FALSE),""),"[hh]:mm"))</f>
        <v>#N/A</v>
      </c>
      <c r="AM203" s="284" t="e">
        <f>IF(VLOOKUP(T_Convention[[#This Row],[NumL]],T_TraitDi[#Data],COLUMN(T_TraitDi[Colonne14]),FALSE)=0,"",TEXT(IFERROR(VLOOKUP(T_Convention[[#This Row],[NumL]],T_TraitDi[#Data],COLUMN(T_TraitDi[Colonne14]),FALSE),""),"[hh]:mm"))</f>
        <v>#N/A</v>
      </c>
      <c r="AN203" s="284" t="str">
        <f>IFERROR(VLOOKUP(T_Convention[[#This Row],[NumL]],T_TraitDi[#Data],COLUMN(T_TraitDi[Mercredi]),FALSE),"")</f>
        <v/>
      </c>
      <c r="AO203" s="284" t="e">
        <f>IF(VLOOKUP(T_Convention[[#This Row],[NumL]],T_TraitDi[#Data],COLUMN(T_TraitDi[Colonne15]),FALSE)=0,"",TEXT(IFERROR(VLOOKUP(T_Convention[[#This Row],[NumL]],T_TraitDi[#Data],COLUMN(T_TraitDi[Colonne15]),FALSE),""),"[hh]:mm"))</f>
        <v>#N/A</v>
      </c>
      <c r="AP203" s="284" t="e">
        <f>IF(VLOOKUP(T_Convention[[#This Row],[NumL]],T_TraitDi[#Data],COLUMN(T_TraitDi[Colonne16]),FALSE)=0,"",TEXT(IFERROR(VLOOKUP(T_Convention[[#This Row],[NumL]],T_TraitDi[#Data],COLUMN(T_TraitDi[Colonne16]),FALSE),""),"[hh]:mm"))</f>
        <v>#N/A</v>
      </c>
      <c r="AQ203" s="284" t="str">
        <f>IFERROR(VLOOKUP(T_Convention[[#This Row],[NumL]],T_TraitDi[#Data],COLUMN(T_TraitDi[Colonne17]),FALSE),"")</f>
        <v/>
      </c>
      <c r="AR203" s="284" t="e">
        <f>IF(VLOOKUP(T_Convention[[#This Row],[NumL]],T_TraitDi[#Data],COLUMN(T_TraitDi[Colonne18]),FALSE)=0,"",TEXT(IFERROR(VLOOKUP(T_Convention[[#This Row],[NumL]],T_TraitDi[#Data],COLUMN(T_TraitDi[Colonne18]),FALSE),""),"[hh]:mm"))</f>
        <v>#N/A</v>
      </c>
      <c r="AS203" s="284" t="e">
        <f>IF(VLOOKUP(T_Convention[[#This Row],[NumL]],T_TraitDi[#Data],COLUMN(T_TraitDi[Colonne19]),FALSE)=0,"",TEXT(IFERROR(VLOOKUP(T_Convention[[#This Row],[NumL]],T_TraitDi[#Data],COLUMN(T_TraitDi[Colonne19]),FALSE),""),"[hh]:mm"))</f>
        <v>#N/A</v>
      </c>
      <c r="AT203" s="284" t="e">
        <f>IF(VLOOKUP(T_Convention[[#This Row],[NumL]],T_TraitDi[#Data],COLUMN(T_TraitDi[Colonne20]),FALSE)=0,"",TEXT(IFERROR(VLOOKUP(T_Convention[[#This Row],[NumL]],T_TraitDi[#Data],COLUMN(T_TraitDi[Colonne20]),FALSE),""),"[hh]:mm"))</f>
        <v>#N/A</v>
      </c>
      <c r="AU203" s="284" t="str">
        <f>IFERROR(VLOOKUP(T_Convention[[#This Row],[NumL]],T_TraitDi[#Data],COLUMN(T_TraitDi[Jeudi]),FALSE),"")</f>
        <v/>
      </c>
      <c r="AV203" s="284" t="e">
        <f>IF(VLOOKUP(T_Convention[[#This Row],[NumL]],T_TraitDi[#Data],COLUMN(T_TraitDi[Colonne21]),FALSE)=0,"",TEXT(IFERROR(VLOOKUP(T_Convention[[#This Row],[NumL]],T_TraitDi[#Data],COLUMN(T_TraitDi[Colonne21]),FALSE),""),"[hh]:mm"))</f>
        <v>#N/A</v>
      </c>
      <c r="AW203" s="284" t="e">
        <f>IF(VLOOKUP(T_Convention[[#This Row],[NumL]],T_TraitDi[#Data],COLUMN(T_TraitDi[Colonne22]),FALSE)=0,"",TEXT(IFERROR(VLOOKUP(T_Convention[[#This Row],[NumL]],T_TraitDi[#Data],COLUMN(T_TraitDi[Colonne22]),FALSE),""),"[hh]:mm"))</f>
        <v>#N/A</v>
      </c>
      <c r="AX203" s="284" t="str">
        <f>IFERROR(VLOOKUP(T_Convention[[#This Row],[NumL]],T_TraitDi[#Data],COLUMN(T_TraitDi[Colonne23]),FALSE),"")</f>
        <v/>
      </c>
      <c r="AY203" s="284" t="e">
        <f>IF(VLOOKUP(T_Convention[[#This Row],[NumL]],T_TraitDi[#Data],COLUMN(T_TraitDi[Colonne24]),FALSE)=0,"",TEXT(IFERROR(VLOOKUP(T_Convention[[#This Row],[NumL]],T_TraitDi[#Data],COLUMN(T_TraitDi[Colonne24]),FALSE),""),"[hh]:mm"))</f>
        <v>#N/A</v>
      </c>
      <c r="AZ203" s="284" t="e">
        <f>IF(VLOOKUP(T_Convention[[#This Row],[NumL]],T_TraitDi[#Data],COLUMN(T_TraitDi[Colonne25]),FALSE)=0,"",TEXT(IFERROR(VLOOKUP(T_Convention[[#This Row],[NumL]],T_TraitDi[#Data],COLUMN(T_TraitDi[Colonne25]),FALSE),""),"[hh]:mm"))</f>
        <v>#N/A</v>
      </c>
      <c r="BA203" s="284" t="e">
        <f>IF(VLOOKUP(T_Convention[[#This Row],[NumL]],T_TraitDi[#Data],COLUMN(T_TraitDi[Colonne26]),FALSE)=0,"",TEXT(IFERROR(VLOOKUP(T_Convention[[#This Row],[NumL]],T_TraitDi[#Data],COLUMN(T_TraitDi[Colonne26]),FALSE),""),"[hh]:mm"))</f>
        <v>#N/A</v>
      </c>
      <c r="BB203" s="284" t="str">
        <f>IFERROR(VLOOKUP(T_Convention[[#This Row],[NumL]],T_TraitDi[#Data],COLUMN(T_TraitDi[Vendredi]),FALSE),"")</f>
        <v/>
      </c>
      <c r="BC203" s="284" t="e">
        <f>IF(VLOOKUP(T_Convention[[#This Row],[NumL]],T_TraitDi[#Data],COLUMN(T_TraitDi[Colonne27]),FALSE)=0,"",TEXT(IFERROR(VLOOKUP(T_Convention[[#This Row],[NumL]],T_TraitDi[#Data],COLUMN(T_TraitDi[Colonne27]),FALSE),""),"[hh]:mm"))</f>
        <v>#N/A</v>
      </c>
      <c r="BD203" s="284" t="e">
        <f>IF(VLOOKUP(T_Convention[[#This Row],[NumL]],T_TraitDi[#Data],COLUMN(T_TraitDi[Colonne28]),FALSE)=0,"",TEXT(IFERROR(VLOOKUP(T_Convention[[#This Row],[NumL]],T_TraitDi[#Data],COLUMN(T_TraitDi[Colonne28]),FALSE),""),"[hh]:mm"))</f>
        <v>#N/A</v>
      </c>
      <c r="BE203" s="284" t="str">
        <f>IFERROR(VLOOKUP(T_Convention[[#This Row],[NumL]],T_TraitDi[#Data],COLUMN(T_TraitDi[Colonne29]),FALSE),"")</f>
        <v/>
      </c>
      <c r="BF203" s="284" t="e">
        <f>IF(VLOOKUP(T_Convention[[#This Row],[NumL]],T_TraitDi[#Data],COLUMN(T_TraitDi[Colonne30]),FALSE)=0,"",TEXT(IFERROR(VLOOKUP(T_Convention[[#This Row],[NumL]],T_TraitDi[#Data],COLUMN(T_TraitDi[Colonne30]),FALSE),""),"[hh]:mm"))</f>
        <v>#N/A</v>
      </c>
      <c r="BG203" s="284" t="e">
        <f>IF(VLOOKUP(T_Convention[[#This Row],[NumL]],T_TraitDi[#Data],COLUMN(T_TraitDi[Colonne31]),FALSE)=0,"",TEXT(IFERROR(VLOOKUP(T_Convention[[#This Row],[NumL]],T_TraitDi[#Data],COLUMN(T_TraitDi[Colonne31]),FALSE),""),"[hh]:mm"))</f>
        <v>#N/A</v>
      </c>
      <c r="BH203" s="284" t="e">
        <f>IF(VLOOKUP(T_Convention[[#This Row],[NumL]],T_TraitDi[#Data],COLUMN(T_TraitDi[Colonne32]),FALSE)=0,"",TEXT(IFERROR(VLOOKUP(T_Convention[[#This Row],[NumL]],T_TraitDi[#Data],COLUMN(T_TraitDi[Colonne32]),FALSE),""),"[hh]:mm"))</f>
        <v>#N/A</v>
      </c>
      <c r="BI203" s="284" t="str">
        <f>IFERROR(VLOOKUP(T_Convention[[#This Row],[NumL]],T_TraitDi[#Data],COLUMN(T_TraitDi[NbJTW]),FALSE),"")</f>
        <v/>
      </c>
      <c r="BJ203" s="284" t="e">
        <f>IF(VLOOKUP(T_Convention[[#This Row],[NumL]],T_TraitDi[#Data],COLUMN(T_TraitDi[NbhTW]),FALSE)=0,"",TEXT(IFERROR(VLOOKUP(T_Convention[[#This Row],[NumL]],T_TraitDi[#Data],COLUMN(T_TraitDi[NbhTW]),FALSE),""),"[hh]:mm"))</f>
        <v>#N/A</v>
      </c>
      <c r="BK203" s="286" t="e">
        <f>IF(VLOOKUP(T_Convention[[#This Row],[NumL]],T_TraitDi[#Data],COLUMN(T_TraitDi[Nbhheb]),FALSE)=0,"",TEXT(IFERROR(VLOOKUP(T_Convention[[#This Row],[NumL]],T_TraitDi[#Data],COLUMN(T_TraitDi[Nbhheb]),FALSE),""),"[hh]:mm"))</f>
        <v>#N/A</v>
      </c>
      <c r="BL203" s="287" t="str">
        <f>IFERROR(VLOOKUP(VLOOKUP(T_Convention[[#This Row],[NumL]],T_TraitDi[#Data],COLUMN(T_TraitDi[Type1]),FALSE),TypeTW,2,FALSE),"")</f>
        <v/>
      </c>
      <c r="BM203" s="288" t="str">
        <f>IFERROR(VLOOKUP(T_Convention[[#This Row],[NumL]],T_TraitDi[#Data],COLUMN(T_TraitDi[Rue1]),FALSE),"")</f>
        <v/>
      </c>
      <c r="BN203" s="289" t="str">
        <f>IFERROR(VLOOKUP(T_Convention[[#This Row],[NumL]],T_TraitDi[#Data],COLUMN(T_TraitDi[CP1]),FALSE),"")</f>
        <v/>
      </c>
      <c r="BO203" s="282" t="str">
        <f>IFERROR(VLOOKUP(T_Convention[[#This Row],[NumL]],T_TraitDi[#Data],COLUMN(T_TraitDi[VILLE1]),FALSE),"")</f>
        <v/>
      </c>
      <c r="BP203" s="290" t="str">
        <f>IFERROR(VLOOKUP(VLOOKUP(T_Convention[[#This Row],[NumL]],T_TraitDi[#Data],COLUMN(T_TraitDi[Type2]),FALSE),TypeTW,2,FALSE),"")</f>
        <v/>
      </c>
      <c r="BQ203" s="182" t="str">
        <f>IFERROR(VLOOKUP(T_Convention[[#This Row],[NumL]],T_TraitDi[#Data],COLUMN(T_TraitDi[Rue2]),FALSE),"")</f>
        <v/>
      </c>
      <c r="BR203" s="173" t="str">
        <f>IFERROR(VLOOKUP(T_Convention[[#This Row],[NumL]],T_TraitDi[#Data],COLUMN(T_TraitDi[CP2]),FALSE),"")</f>
        <v/>
      </c>
      <c r="BS203" s="173" t="str">
        <f>IFERROR(VLOOKUP(T_Convention[[#This Row],[NumL]],T_TraitDi[#Data],COLUMN(T_TraitDi[VILLE2]),FALSE),"")</f>
        <v/>
      </c>
      <c r="BT203" s="182" t="str">
        <f>IF(VLOOKUP(T_Convention[[#This Row],[NumL]],T_Equipement[#Data],COLUMN(T_Equipement[PC]),FALSE)="","Aucun équipement spécifique directement lié au télétravail",VLOOKUP(T_Convention[[#This Row],[NumL]],T_Equipement[#Data],COLUMN(T_Equipement[PC]),FALSE))</f>
        <v xml:space="preserve">20-418	 / 20-714	</v>
      </c>
      <c r="BU203" s="166" t="str">
        <f>IFERROR(IF(VLOOKUP(T_Convention[[#This Row],[NumL]],T_TraitDi[#Data],COLUMN(T_TraitDi[Plan]),FALSE)="OK","Un planning spécifique de télétravail est annexé à la présente convention.",""),"")</f>
        <v/>
      </c>
      <c r="BV203" s="185" t="s">
        <v>3497</v>
      </c>
      <c r="BW203" s="164" t="e">
        <f>IF(VLOOKUP(T_Convention[[#This Row],[NumL]],T_suiviDi[#Data],COLUMN(T_suiviDi[Entité]),FALSE)="","",VLOOKUP(T_Convention[[#This Row],[NumL]],T_suiviDi[#Data],COLUMN(T_suiviDi[Entité]),FALSE))</f>
        <v>#N/A</v>
      </c>
      <c r="BX203" s="164" t="str">
        <f>IF(VLOOKUP(T_Convention[[#This Row],[NumL]],T_Commission[#Data],COLUMN(T_Commission[envoi confirm TW]),FALSE)="","",VLOOKUP(T_Convention[[#This Row],[NumL]],T_Commission[#Data],COLUMN(T_Commission[envoi confirm TW]),FALSE))</f>
        <v>Oui</v>
      </c>
      <c r="BY20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3" s="264">
        <f>VLOOKUP(T_Convention[[#This Row],[NumL]],T_Commission[#Data],COLUMN(T_Commission[Commentaire]),FALSE)</f>
        <v>0</v>
      </c>
      <c r="CA203" s="254" t="str">
        <f>IF(VLOOKUP(T_Convention[[#This Row],[NumL]],T_Commission[#Data],COLUMN(T_Commission[Encadrant Email]),FALSE)="","",VLOOKUP(T_Convention[[#This Row],[NumL]],T_Commission[#Data],COLUMN(T_Commission[Encadrant Email]),FALSE))</f>
        <v/>
      </c>
      <c r="CB203" s="352" t="e">
        <f>VLOOKUP(T_Convention[[#This Row],[NumL]],T_TraitDi[#Data],COLUMN(T_TraitDi[NbJTot]),FALSE)</f>
        <v>#N/A</v>
      </c>
      <c r="CC203" s="352" t="e">
        <f>VLOOKUP(T_Convention[[#This Row],[NumL]],T_TraitDi[#Data],COLUMN(T_TraitDi[Reg Ponct]),FALSE)</f>
        <v>#N/A</v>
      </c>
      <c r="CD203" s="348" t="str">
        <f>IF(T_Convention[[#This Row],[Final]]&lt;&gt;"",VLOOKUP(T_Convention[[#This Row],[NumL]],T_suiviDi[#Data],COLUMN((T_suiviDi[Statut])),FALSE),"")</f>
        <v/>
      </c>
    </row>
    <row r="204" spans="1:82" s="106" customFormat="1" ht="18.75" customHeight="1" x14ac:dyDescent="0.25">
      <c r="A204" s="160">
        <v>110</v>
      </c>
      <c r="B204" s="161" t="str">
        <f>VLOOKUP(T_Convention[[#This Row],[NumL]],T_Commission[#Data],COLUMN(T_Commission[FINAL]),FALSE)</f>
        <v/>
      </c>
      <c r="C204" s="162"/>
      <c r="D204" s="95" t="e">
        <f>IF(VLOOKUP(T_Convention[[#This Row],[NumL]],T_TraitDi[#Data],COLUMN(T_TraitDi[WebC]),FALSE)="","",VLOOKUP(T_Convention[[#This Row],[NumL]],T_TraitDi[#Data],COLUMN(T_TraitDi[WebC]),FALSE))</f>
        <v>#N/A</v>
      </c>
      <c r="E204" s="163" t="str">
        <f t="shared" si="15"/>
        <v>12 janvier 2021</v>
      </c>
      <c r="F204" s="282" t="str">
        <f>IF(T_Convention[[#This Row],[Final]]&lt;&gt;"",VLOOKUP(T_Convention[[#This Row],[NumL]],T_suiviDi[#Data],COLUMN((T_suiviDi[Civ.])),FALSE),"")</f>
        <v/>
      </c>
      <c r="G204" s="283" t="str">
        <f>IF(T_Convention[[#This Row],[Final]]&lt;&gt;"",VLOOKUP(T_Convention[[#This Row],[NumL]],T_suiviDi[#Data],COLUMN((T_suiviDi[Nom])),FALSE),"")</f>
        <v/>
      </c>
      <c r="H204" s="282" t="str">
        <f>IF(T_Convention[[#This Row],[Final]]&lt;&gt;"",VLOOKUP(T_Convention[[#This Row],[NumL]],T_suiviDi[#Data],COLUMN((T_suiviDi[Prénom])),FALSE),"")</f>
        <v/>
      </c>
      <c r="I204" s="282" t="e">
        <f>VLOOKUP(T_Convention[[#This Row],[NumL]],T_suiviDi[#Data],COLUMN((T_suiviDi[[#This Row],[Email]])),FALSE)</f>
        <v>#VALUE!</v>
      </c>
      <c r="J204" s="282" t="e">
        <f>IF(VLOOKUP(T_Convention[[#This Row],[NumL]],T_suiviDi[#Data],COLUMN(T_suiviDi[[#This Row],[Fonction]]),FALSE)="","",VLOOKUP(T_Convention[[#This Row],[NumL]],T_suiviDi[#Data],COLUMN(T_suiviDi[[#This Row],[Fonction]]),FALSE))</f>
        <v>#VALUE!</v>
      </c>
      <c r="K204" s="282" t="e">
        <f>IF(VLOOKUP(T_Convention[[#This Row],[NumL]],T_suiviDi[#Data],COLUMN(T_suiviDi[[#This Row],[Grade]]),FALSE)="","",VLOOKUP(T_Convention[[#This Row],[NumL]],T_suiviDi[#Data],COLUMN(T_suiviDi[[#This Row],[Grade]]),FALSE))</f>
        <v>#VALUE!</v>
      </c>
      <c r="L204" s="282" t="e">
        <f>IF(VLOOKUP(T_Convention[[#This Row],[NumL]],T_suiviDi[#Data],COLUMN(T_suiviDi[[#This Row],[Service ]]),FALSE)="","",VLOOKUP(T_Convention[[#This Row],[NumL]],T_suiviDi[#Data],COLUMN(T_suiviDi[[#This Row],[Service ]]),FALSE))</f>
        <v>#VALUE!</v>
      </c>
      <c r="M204" s="164" t="str">
        <f t="shared" si="16"/>
        <v>01 septembre 2021</v>
      </c>
      <c r="N204" s="164" t="str">
        <f t="shared" si="17"/>
        <v>30 novembre 2021</v>
      </c>
      <c r="O204" s="284" t="str">
        <f t="shared" si="18"/>
        <v>30 novembre 2021</v>
      </c>
      <c r="P204" s="282" t="e">
        <f>IF(VLOOKUP(T_Convention[[#This Row],[NumL]],T_TraitDi[#Data],COLUMN(T_TraitDi[M1]),FALSE)="","",VLOOKUP(T_Convention[[#This Row],[NumL]],T_TraitDi[#Data],COLUMN(T_TraitDi[M1]),FALSE))</f>
        <v>#N/A</v>
      </c>
      <c r="Q204" s="282" t="e">
        <f>IF(VLOOKUP(T_Convention[[#This Row],[NumL]],T_TraitDi[#Data],COLUMN(T_TraitDi[M2]),FALSE)="","",VLOOKUP(T_Convention[[#This Row],[NumL]],T_TraitDi[#Data],COLUMN(T_TraitDi[M2]),FALSE))</f>
        <v>#N/A</v>
      </c>
      <c r="R204" s="282" t="e">
        <f>IF(VLOOKUP(T_Convention[[#This Row],[NumL]],T_TraitDi[#Data],COLUMN(T_TraitDi[M3]),FALSE)="","",VLOOKUP(T_Convention[[#This Row],[NumL]],T_TraitDi[#Data],COLUMN(T_TraitDi[M3]),FALSE))</f>
        <v>#N/A</v>
      </c>
      <c r="S204" s="282" t="e">
        <f>IF(VLOOKUP(T_Convention[[#This Row],[NumL]],T_TraitDi[#Data],COLUMN(T_TraitDi[M4]),FALSE)="","",VLOOKUP(T_Convention[[#This Row],[NumL]],T_TraitDi[#Data],COLUMN(T_TraitDi[M4]),FALSE))</f>
        <v>#N/A</v>
      </c>
      <c r="T204" s="282" t="e">
        <f>IF(VLOOKUP(T_Convention[[#This Row],[NumL]],T_TraitDi[#Data],COLUMN(T_TraitDi[M5]),FALSE)="","",VLOOKUP(T_Convention[[#This Row],[NumL]],T_TraitDi[#Data],COLUMN(T_TraitDi[M5]),FALSE))</f>
        <v>#N/A</v>
      </c>
      <c r="U204" s="282" t="e">
        <f>IF(VLOOKUP(T_Convention[[#This Row],[NumL]],T_TraitDi[#Data],COLUMN(T_TraitDi[M6]),FALSE)="","",VLOOKUP(T_Convention[[#This Row],[NumL]],T_TraitDi[#Data],COLUMN(T_TraitDi[M6]),FALSE))</f>
        <v>#N/A</v>
      </c>
      <c r="V204" s="176" t="e">
        <f t="shared" si="19"/>
        <v>#N/A</v>
      </c>
      <c r="W204" s="284" t="str">
        <f>IFERROR(TEXT(VLOOKUP(T_Convention[[#This Row],[NumL]],T_TraitDi[#Data],COLUMN(T_TraitDi[Q2]),FALSE),"###%"),"")</f>
        <v/>
      </c>
      <c r="X204" s="97" t="e">
        <f>VLOOKUP(T_Convention[[#This Row],[NumL]],T_TraitDi[#Data],COLUMN(T_TraitDi[Reg Ponct]),FALSE)</f>
        <v>#N/A</v>
      </c>
      <c r="Y204" s="97" t="e">
        <f>VLOOKUP(T_Convention[NumL],T_TraitDi[#Data],COLUMN(T_TraitDi[Jours flottants]),FALSE)</f>
        <v>#N/A</v>
      </c>
      <c r="Z204" s="284" t="str">
        <f>IFERROR(VLOOKUP(T_Convention[[#This Row],[NumL]],T_TraitDi[#Data],COLUMN(T_TraitDi[Lundi]),FALSE),"")</f>
        <v/>
      </c>
      <c r="AA204" s="284" t="e">
        <f>IF(VLOOKUP(T_Convention[[#This Row],[NumL]],T_TraitDi[#Data],COLUMN(T_TraitDi[Colonne3]),FALSE)=0,"",TEXT(IFERROR(VLOOKUP(T_Convention[[#This Row],[NumL]],T_TraitDi[#Data],COLUMN(T_TraitDi[Colonne3]),FALSE),""),"[hh]:mm"))</f>
        <v>#N/A</v>
      </c>
      <c r="AB204" s="284" t="e">
        <f>IF(VLOOKUP(T_Convention[[#This Row],[NumL]],T_TraitDi[#Data],COLUMN(T_TraitDi[Colonne4]),FALSE)=0,"",TEXT(IFERROR(VLOOKUP(T_Convention[[#This Row],[NumL]],T_TraitDi[#Data],COLUMN(T_TraitDi[Colonne4]),FALSE),""),"[hh]:mm"))</f>
        <v>#N/A</v>
      </c>
      <c r="AC204" s="284" t="e">
        <f>IF(VLOOKUP(T_Convention[[#This Row],[NumL]],T_TraitDi[#Data],COLUMN(T_TraitDi[Colonne5]),FALSE)=0,"",TEXT(IFERROR(VLOOKUP(T_Convention[[#This Row],[NumL]],T_TraitDi[#Data],COLUMN(T_TraitDi[Colonne5]),FALSE),""),"[hh]:mm"))</f>
        <v>#N/A</v>
      </c>
      <c r="AD204" s="284" t="e">
        <f>IF(VLOOKUP(T_Convention[[#This Row],[NumL]],T_TraitDi[#Data],COLUMN(T_TraitDi[Colonne6]),FALSE)=0,"",TEXT(IFERROR(VLOOKUP(T_Convention[[#This Row],[NumL]],T_TraitDi[#Data],COLUMN(T_TraitDi[Colonne6]),FALSE),""),"[hh]:mm"))</f>
        <v>#N/A</v>
      </c>
      <c r="AE204" s="284" t="e">
        <f>IF(VLOOKUP(T_Convention[[#This Row],[NumL]],T_TraitDi[#Data],COLUMN(T_TraitDi[Colonne7]),FALSE)=0,"",TEXT(IFERROR(VLOOKUP(T_Convention[[#This Row],[NumL]],T_TraitDi[#Data],COLUMN(T_TraitDi[Colonne7]),FALSE),""),"[hh]:mm"))</f>
        <v>#N/A</v>
      </c>
      <c r="AF204" s="284" t="e">
        <f>IF(VLOOKUP(T_Convention[[#This Row],[NumL]],T_TraitDi[#Data],COLUMN(T_TraitDi[Colonne8]),FALSE)=0,"",TEXT(IFERROR(VLOOKUP(T_Convention[[#This Row],[NumL]],T_TraitDi[#Data],COLUMN(T_TraitDi[Colonne8]),FALSE),""),"[hh]:mm"))</f>
        <v>#N/A</v>
      </c>
      <c r="AG204" s="284" t="str">
        <f>IFERROR(VLOOKUP(T_Convention[[#This Row],[NumL]],T_TraitDi[#Data],COLUMN(T_TraitDi[Mardi]),FALSE),"")</f>
        <v/>
      </c>
      <c r="AH204" s="284" t="e">
        <f>IF(VLOOKUP(T_Convention[[#This Row],[NumL]],T_TraitDi[#Data],COLUMN(T_TraitDi[Colonne1]),FALSE)=0,"",TEXT(IFERROR(VLOOKUP(T_Convention[[#This Row],[NumL]],T_TraitDi[#Data],COLUMN(T_TraitDi[Colonne1]),FALSE),""),"[hh]:mm"))</f>
        <v>#N/A</v>
      </c>
      <c r="AI204" s="284" t="e">
        <f>IF(VLOOKUP(T_Convention[[#This Row],[NumL]],T_TraitDi[#Data],COLUMN(T_TraitDi[Colonne9]),FALSE)=0,"",TEXT(IFERROR(VLOOKUP(T_Convention[[#This Row],[NumL]],T_TraitDi[#Data],COLUMN(T_TraitDi[Colonne9]),FALSE),""),"[hh]:mm"))</f>
        <v>#N/A</v>
      </c>
      <c r="AJ204" s="284" t="str">
        <f>IFERROR(VLOOKUP(T_Convention[[#This Row],[NumL]],T_TraitDi[#Data],COLUMN(T_TraitDi[Colonne10]),FALSE),"")</f>
        <v/>
      </c>
      <c r="AK204" s="284" t="e">
        <f>IF(VLOOKUP(T_Convention[[#This Row],[NumL]],T_TraitDi[#Data],COLUMN(T_TraitDi[Colonne11]),FALSE)=0,"",TEXT(IFERROR(VLOOKUP(T_Convention[[#This Row],[NumL]],T_TraitDi[#Data],COLUMN(T_TraitDi[Colonne11]),FALSE),""),"[hh]:mm"))</f>
        <v>#N/A</v>
      </c>
      <c r="AL204" s="284" t="e">
        <f>IF(VLOOKUP(T_Convention[[#This Row],[NumL]],T_TraitDi[#Data],COLUMN(T_TraitDi[Colonne12]),FALSE)=0,"",TEXT(IFERROR(VLOOKUP(T_Convention[[#This Row],[NumL]],T_TraitDi[#Data],COLUMN(T_TraitDi[Colonne12]),FALSE),""),"[hh]:mm"))</f>
        <v>#N/A</v>
      </c>
      <c r="AM204" s="284" t="e">
        <f>IF(VLOOKUP(T_Convention[[#This Row],[NumL]],T_TraitDi[#Data],COLUMN(T_TraitDi[Colonne14]),FALSE)=0,"",TEXT(IFERROR(VLOOKUP(T_Convention[[#This Row],[NumL]],T_TraitDi[#Data],COLUMN(T_TraitDi[Colonne14]),FALSE),""),"[hh]:mm"))</f>
        <v>#N/A</v>
      </c>
      <c r="AN204" s="284" t="str">
        <f>IFERROR(VLOOKUP(T_Convention[[#This Row],[NumL]],T_TraitDi[#Data],COLUMN(T_TraitDi[Mercredi]),FALSE),"")</f>
        <v/>
      </c>
      <c r="AO204" s="284" t="e">
        <f>IF(VLOOKUP(T_Convention[[#This Row],[NumL]],T_TraitDi[#Data],COLUMN(T_TraitDi[Colonne15]),FALSE)=0,"",TEXT(IFERROR(VLOOKUP(T_Convention[[#This Row],[NumL]],T_TraitDi[#Data],COLUMN(T_TraitDi[Colonne15]),FALSE),""),"[hh]:mm"))</f>
        <v>#N/A</v>
      </c>
      <c r="AP204" s="284" t="e">
        <f>IF(VLOOKUP(T_Convention[[#This Row],[NumL]],T_TraitDi[#Data],COLUMN(T_TraitDi[Colonne16]),FALSE)=0,"",TEXT(IFERROR(VLOOKUP(T_Convention[[#This Row],[NumL]],T_TraitDi[#Data],COLUMN(T_TraitDi[Colonne16]),FALSE),""),"[hh]:mm"))</f>
        <v>#N/A</v>
      </c>
      <c r="AQ204" s="284" t="str">
        <f>IFERROR(VLOOKUP(T_Convention[[#This Row],[NumL]],T_TraitDi[#Data],COLUMN(T_TraitDi[Colonne17]),FALSE),"")</f>
        <v/>
      </c>
      <c r="AR204" s="284" t="e">
        <f>IF(VLOOKUP(T_Convention[[#This Row],[NumL]],T_TraitDi[#Data],COLUMN(T_TraitDi[Colonne18]),FALSE)=0,"",TEXT(IFERROR(VLOOKUP(T_Convention[[#This Row],[NumL]],T_TraitDi[#Data],COLUMN(T_TraitDi[Colonne18]),FALSE),""),"[hh]:mm"))</f>
        <v>#N/A</v>
      </c>
      <c r="AS204" s="284" t="e">
        <f>IF(VLOOKUP(T_Convention[[#This Row],[NumL]],T_TraitDi[#Data],COLUMN(T_TraitDi[Colonne19]),FALSE)=0,"",TEXT(IFERROR(VLOOKUP(T_Convention[[#This Row],[NumL]],T_TraitDi[#Data],COLUMN(T_TraitDi[Colonne19]),FALSE),""),"[hh]:mm"))</f>
        <v>#N/A</v>
      </c>
      <c r="AT204" s="284" t="e">
        <f>IF(VLOOKUP(T_Convention[[#This Row],[NumL]],T_TraitDi[#Data],COLUMN(T_TraitDi[Colonne20]),FALSE)=0,"",TEXT(IFERROR(VLOOKUP(T_Convention[[#This Row],[NumL]],T_TraitDi[#Data],COLUMN(T_TraitDi[Colonne20]),FALSE),""),"[hh]:mm"))</f>
        <v>#N/A</v>
      </c>
      <c r="AU204" s="284" t="str">
        <f>IFERROR(VLOOKUP(T_Convention[[#This Row],[NumL]],T_TraitDi[#Data],COLUMN(T_TraitDi[Jeudi]),FALSE),"")</f>
        <v/>
      </c>
      <c r="AV204" s="284" t="e">
        <f>IF(VLOOKUP(T_Convention[[#This Row],[NumL]],T_TraitDi[#Data],COLUMN(T_TraitDi[Colonne21]),FALSE)=0,"",TEXT(IFERROR(VLOOKUP(T_Convention[[#This Row],[NumL]],T_TraitDi[#Data],COLUMN(T_TraitDi[Colonne21]),FALSE),""),"[hh]:mm"))</f>
        <v>#N/A</v>
      </c>
      <c r="AW204" s="284" t="e">
        <f>IF(VLOOKUP(T_Convention[[#This Row],[NumL]],T_TraitDi[#Data],COLUMN(T_TraitDi[Colonne22]),FALSE)=0,"",TEXT(IFERROR(VLOOKUP(T_Convention[[#This Row],[NumL]],T_TraitDi[#Data],COLUMN(T_TraitDi[Colonne22]),FALSE),""),"[hh]:mm"))</f>
        <v>#N/A</v>
      </c>
      <c r="AX204" s="284" t="str">
        <f>IFERROR(VLOOKUP(T_Convention[[#This Row],[NumL]],T_TraitDi[#Data],COLUMN(T_TraitDi[Colonne23]),FALSE),"")</f>
        <v/>
      </c>
      <c r="AY204" s="284" t="e">
        <f>IF(VLOOKUP(T_Convention[[#This Row],[NumL]],T_TraitDi[#Data],COLUMN(T_TraitDi[Colonne24]),FALSE)=0,"",TEXT(IFERROR(VLOOKUP(T_Convention[[#This Row],[NumL]],T_TraitDi[#Data],COLUMN(T_TraitDi[Colonne24]),FALSE),""),"[hh]:mm"))</f>
        <v>#N/A</v>
      </c>
      <c r="AZ204" s="284" t="e">
        <f>IF(VLOOKUP(T_Convention[[#This Row],[NumL]],T_TraitDi[#Data],COLUMN(T_TraitDi[Colonne25]),FALSE)=0,"",TEXT(IFERROR(VLOOKUP(T_Convention[[#This Row],[NumL]],T_TraitDi[#Data],COLUMN(T_TraitDi[Colonne25]),FALSE),""),"[hh]:mm"))</f>
        <v>#N/A</v>
      </c>
      <c r="BA204" s="284" t="e">
        <f>IF(VLOOKUP(T_Convention[[#This Row],[NumL]],T_TraitDi[#Data],COLUMN(T_TraitDi[Colonne26]),FALSE)=0,"",TEXT(IFERROR(VLOOKUP(T_Convention[[#This Row],[NumL]],T_TraitDi[#Data],COLUMN(T_TraitDi[Colonne26]),FALSE),""),"[hh]:mm"))</f>
        <v>#N/A</v>
      </c>
      <c r="BB204" s="284" t="str">
        <f>IFERROR(VLOOKUP(T_Convention[[#This Row],[NumL]],T_TraitDi[#Data],COLUMN(T_TraitDi[Vendredi]),FALSE),"")</f>
        <v/>
      </c>
      <c r="BC204" s="284" t="e">
        <f>IF(VLOOKUP(T_Convention[[#This Row],[NumL]],T_TraitDi[#Data],COLUMN(T_TraitDi[Colonne27]),FALSE)=0,"",TEXT(IFERROR(VLOOKUP(T_Convention[[#This Row],[NumL]],T_TraitDi[#Data],COLUMN(T_TraitDi[Colonne27]),FALSE),""),"[hh]:mm"))</f>
        <v>#N/A</v>
      </c>
      <c r="BD204" s="284" t="e">
        <f>IF(VLOOKUP(T_Convention[[#This Row],[NumL]],T_TraitDi[#Data],COLUMN(T_TraitDi[Colonne28]),FALSE)=0,"",TEXT(IFERROR(VLOOKUP(T_Convention[[#This Row],[NumL]],T_TraitDi[#Data],COLUMN(T_TraitDi[Colonne28]),FALSE),""),"[hh]:mm"))</f>
        <v>#N/A</v>
      </c>
      <c r="BE204" s="284" t="str">
        <f>IFERROR(VLOOKUP(T_Convention[[#This Row],[NumL]],T_TraitDi[#Data],COLUMN(T_TraitDi[Colonne29]),FALSE),"")</f>
        <v/>
      </c>
      <c r="BF204" s="284" t="e">
        <f>IF(VLOOKUP(T_Convention[[#This Row],[NumL]],T_TraitDi[#Data],COLUMN(T_TraitDi[Colonne30]),FALSE)=0,"",TEXT(IFERROR(VLOOKUP(T_Convention[[#This Row],[NumL]],T_TraitDi[#Data],COLUMN(T_TraitDi[Colonne30]),FALSE),""),"[hh]:mm"))</f>
        <v>#N/A</v>
      </c>
      <c r="BG204" s="284" t="e">
        <f>IF(VLOOKUP(T_Convention[[#This Row],[NumL]],T_TraitDi[#Data],COLUMN(T_TraitDi[Colonne31]),FALSE)=0,"",TEXT(IFERROR(VLOOKUP(T_Convention[[#This Row],[NumL]],T_TraitDi[#Data],COLUMN(T_TraitDi[Colonne31]),FALSE),""),"[hh]:mm"))</f>
        <v>#N/A</v>
      </c>
      <c r="BH204" s="284" t="e">
        <f>IF(VLOOKUP(T_Convention[[#This Row],[NumL]],T_TraitDi[#Data],COLUMN(T_TraitDi[Colonne32]),FALSE)=0,"",TEXT(IFERROR(VLOOKUP(T_Convention[[#This Row],[NumL]],T_TraitDi[#Data],COLUMN(T_TraitDi[Colonne32]),FALSE),""),"[hh]:mm"))</f>
        <v>#N/A</v>
      </c>
      <c r="BI204" s="284" t="str">
        <f>IFERROR(VLOOKUP(T_Convention[[#This Row],[NumL]],T_TraitDi[#Data],COLUMN(T_TraitDi[NbJTW]),FALSE),"")</f>
        <v/>
      </c>
      <c r="BJ204" s="284" t="e">
        <f>IF(VLOOKUP(T_Convention[[#This Row],[NumL]],T_TraitDi[#Data],COLUMN(T_TraitDi[NbhTW]),FALSE)=0,"",TEXT(IFERROR(VLOOKUP(T_Convention[[#This Row],[NumL]],T_TraitDi[#Data],COLUMN(T_TraitDi[NbhTW]),FALSE),""),"[hh]:mm"))</f>
        <v>#N/A</v>
      </c>
      <c r="BK204" s="286" t="e">
        <f>IF(VLOOKUP(T_Convention[[#This Row],[NumL]],T_TraitDi[#Data],COLUMN(T_TraitDi[Nbhheb]),FALSE)=0,"",TEXT(IFERROR(VLOOKUP(T_Convention[[#This Row],[NumL]],T_TraitDi[#Data],COLUMN(T_TraitDi[Nbhheb]),FALSE),""),"[hh]:mm"))</f>
        <v>#N/A</v>
      </c>
      <c r="BL204" s="287" t="str">
        <f>IFERROR(VLOOKUP(VLOOKUP(T_Convention[[#This Row],[NumL]],T_TraitDi[#Data],COLUMN(T_TraitDi[Type1]),FALSE),TypeTW,2,FALSE),"")</f>
        <v/>
      </c>
      <c r="BM204" s="288" t="str">
        <f>IFERROR(VLOOKUP(T_Convention[[#This Row],[NumL]],T_TraitDi[#Data],COLUMN(T_TraitDi[Rue1]),FALSE),"")</f>
        <v/>
      </c>
      <c r="BN204" s="289" t="str">
        <f>IFERROR(VLOOKUP(T_Convention[[#This Row],[NumL]],T_TraitDi[#Data],COLUMN(T_TraitDi[CP1]),FALSE),"")</f>
        <v/>
      </c>
      <c r="BO204" s="282" t="str">
        <f>IFERROR(VLOOKUP(T_Convention[[#This Row],[NumL]],T_TraitDi[#Data],COLUMN(T_TraitDi[VILLE1]),FALSE),"")</f>
        <v/>
      </c>
      <c r="BP204" s="290" t="str">
        <f>IFERROR(VLOOKUP(VLOOKUP(T_Convention[[#This Row],[NumL]],T_TraitDi[#Data],COLUMN(T_TraitDi[Type2]),FALSE),TypeTW,2,FALSE),"")</f>
        <v/>
      </c>
      <c r="BQ204" s="182" t="str">
        <f>IFERROR(VLOOKUP(T_Convention[[#This Row],[NumL]],T_TraitDi[#Data],COLUMN(T_TraitDi[Rue2]),FALSE),"")</f>
        <v/>
      </c>
      <c r="BR204" s="173" t="str">
        <f>IFERROR(VLOOKUP(T_Convention[[#This Row],[NumL]],T_TraitDi[#Data],COLUMN(T_TraitDi[CP2]),FALSE),"")</f>
        <v/>
      </c>
      <c r="BS204" s="173" t="str">
        <f>IFERROR(VLOOKUP(T_Convention[[#This Row],[NumL]],T_TraitDi[#Data],COLUMN(T_TraitDi[VILLE2]),FALSE),"")</f>
        <v/>
      </c>
      <c r="BT204" s="182" t="str">
        <f>IF(VLOOKUP(T_Convention[[#This Row],[NumL]],T_Equipement[#Data],COLUMN(T_Equipement[PC]),FALSE)="","Aucun équipement spécifique directement lié au télétravail",VLOOKUP(T_Convention[[#This Row],[NumL]],T_Equipement[#Data],COLUMN(T_Equipement[PC]),FALSE))</f>
        <v xml:space="preserve">20-647	</v>
      </c>
      <c r="BU204" s="166" t="str">
        <f>IFERROR(IF(VLOOKUP(T_Convention[[#This Row],[NumL]],T_TraitDi[#Data],COLUMN(T_TraitDi[Plan]),FALSE)="OK","Un planning spécifique de télétravail est annexé à la présente convention.",""),"")</f>
        <v/>
      </c>
      <c r="BV204" s="185" t="s">
        <v>3420</v>
      </c>
      <c r="BW204" s="164" t="e">
        <f>IF(VLOOKUP(T_Convention[[#This Row],[NumL]],T_suiviDi[#Data],COLUMN(T_suiviDi[Entité]),FALSE)="","",VLOOKUP(T_Convention[[#This Row],[NumL]],T_suiviDi[#Data],COLUMN(T_suiviDi[Entité]),FALSE))</f>
        <v>#N/A</v>
      </c>
      <c r="BX204" s="164" t="str">
        <f>IF(VLOOKUP(T_Convention[[#This Row],[NumL]],T_Commission[#Data],COLUMN(T_Commission[envoi confirm TW]),FALSE)="","",VLOOKUP(T_Convention[[#This Row],[NumL]],T_Commission[#Data],COLUMN(T_Commission[envoi confirm TW]),FALSE))</f>
        <v>Oui</v>
      </c>
      <c r="BY20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4" s="264">
        <f>VLOOKUP(T_Convention[[#This Row],[NumL]],T_Commission[#Data],COLUMN(T_Commission[Commentaire]),FALSE)</f>
        <v>0</v>
      </c>
      <c r="CA204" s="254" t="str">
        <f>IF(VLOOKUP(T_Convention[[#This Row],[NumL]],T_Commission[#Data],COLUMN(T_Commission[Encadrant Email]),FALSE)="","",VLOOKUP(T_Convention[[#This Row],[NumL]],T_Commission[#Data],COLUMN(T_Commission[Encadrant Email]),FALSE))</f>
        <v/>
      </c>
      <c r="CB204" s="352" t="e">
        <f>VLOOKUP(T_Convention[[#This Row],[NumL]],T_TraitDi[#Data],COLUMN(T_TraitDi[NbJTot]),FALSE)</f>
        <v>#N/A</v>
      </c>
      <c r="CC204" s="352" t="e">
        <f>VLOOKUP(T_Convention[[#This Row],[NumL]],T_TraitDi[#Data],COLUMN(T_TraitDi[Reg Ponct]),FALSE)</f>
        <v>#N/A</v>
      </c>
      <c r="CD204" s="348" t="str">
        <f>IF(T_Convention[[#This Row],[Final]]&lt;&gt;"",VLOOKUP(T_Convention[[#This Row],[NumL]],T_suiviDi[#Data],COLUMN((T_suiviDi[Statut])),FALSE),"")</f>
        <v/>
      </c>
    </row>
    <row r="205" spans="1:82" s="106" customFormat="1" ht="18.75" customHeight="1" x14ac:dyDescent="0.25">
      <c r="A205" s="160">
        <v>16</v>
      </c>
      <c r="B205" s="161" t="str">
        <f>VLOOKUP(T_Convention[[#This Row],[NumL]],T_Commission[#Data],COLUMN(T_Commission[FINAL]),FALSE)</f>
        <v/>
      </c>
      <c r="C205" s="162"/>
      <c r="D205" s="95" t="e">
        <f>IF(VLOOKUP(T_Convention[[#This Row],[NumL]],T_TraitDi[#Data],COLUMN(T_TraitDi[WebC]),FALSE)="","",VLOOKUP(T_Convention[[#This Row],[NumL]],T_TraitDi[#Data],COLUMN(T_TraitDi[WebC]),FALSE))</f>
        <v>#N/A</v>
      </c>
      <c r="E205" s="163" t="str">
        <f t="shared" si="15"/>
        <v>12 janvier 2021</v>
      </c>
      <c r="F205" s="282" t="str">
        <f>IF(T_Convention[[#This Row],[Final]]&lt;&gt;"",VLOOKUP(T_Convention[[#This Row],[NumL]],T_suiviDi[#Data],COLUMN((T_suiviDi[Civ.])),FALSE),"")</f>
        <v/>
      </c>
      <c r="G205" s="283" t="str">
        <f>IF(T_Convention[[#This Row],[Final]]&lt;&gt;"",VLOOKUP(T_Convention[[#This Row],[NumL]],T_suiviDi[#Data],COLUMN((T_suiviDi[Nom])),FALSE),"")</f>
        <v/>
      </c>
      <c r="H205" s="282" t="str">
        <f>IF(T_Convention[[#This Row],[Final]]&lt;&gt;"",VLOOKUP(T_Convention[[#This Row],[NumL]],T_suiviDi[#Data],COLUMN((T_suiviDi[Prénom])),FALSE),"")</f>
        <v/>
      </c>
      <c r="I205" s="282" t="e">
        <f>VLOOKUP(T_Convention[[#This Row],[NumL]],T_suiviDi[#Data],COLUMN((T_suiviDi[[#This Row],[Email]])),FALSE)</f>
        <v>#VALUE!</v>
      </c>
      <c r="J205" s="282" t="e">
        <f>IF(VLOOKUP(T_Convention[[#This Row],[NumL]],T_suiviDi[#Data],COLUMN(T_suiviDi[[#This Row],[Fonction]]),FALSE)="","",VLOOKUP(T_Convention[[#This Row],[NumL]],T_suiviDi[#Data],COLUMN(T_suiviDi[[#This Row],[Fonction]]),FALSE))</f>
        <v>#VALUE!</v>
      </c>
      <c r="K205" s="282" t="e">
        <f>IF(VLOOKUP(T_Convention[[#This Row],[NumL]],T_suiviDi[#Data],COLUMN(T_suiviDi[[#This Row],[Grade]]),FALSE)="","",VLOOKUP(T_Convention[[#This Row],[NumL]],T_suiviDi[#Data],COLUMN(T_suiviDi[[#This Row],[Grade]]),FALSE))</f>
        <v>#VALUE!</v>
      </c>
      <c r="L205" s="282" t="e">
        <f>IF(VLOOKUP(T_Convention[[#This Row],[NumL]],T_suiviDi[#Data],COLUMN(T_suiviDi[[#This Row],[Service ]]),FALSE)="","",VLOOKUP(T_Convention[[#This Row],[NumL]],T_suiviDi[#Data],COLUMN(T_suiviDi[[#This Row],[Service ]]),FALSE))</f>
        <v>#VALUE!</v>
      </c>
      <c r="M205" s="164" t="str">
        <f t="shared" si="16"/>
        <v>01 septembre 2021</v>
      </c>
      <c r="N205" s="164" t="str">
        <f t="shared" si="17"/>
        <v>30 novembre 2021</v>
      </c>
      <c r="O205" s="284" t="str">
        <f t="shared" si="18"/>
        <v>30 novembre 2021</v>
      </c>
      <c r="P205" s="282" t="e">
        <f>IF(VLOOKUP(T_Convention[[#This Row],[NumL]],T_TraitDi[#Data],COLUMN(T_TraitDi[M1]),FALSE)="","",VLOOKUP(T_Convention[[#This Row],[NumL]],T_TraitDi[#Data],COLUMN(T_TraitDi[M1]),FALSE))</f>
        <v>#N/A</v>
      </c>
      <c r="Q205" s="282" t="e">
        <f>IF(VLOOKUP(T_Convention[[#This Row],[NumL]],T_TraitDi[#Data],COLUMN(T_TraitDi[M2]),FALSE)="","",VLOOKUP(T_Convention[[#This Row],[NumL]],T_TraitDi[#Data],COLUMN(T_TraitDi[M2]),FALSE))</f>
        <v>#N/A</v>
      </c>
      <c r="R205" s="282" t="e">
        <f>IF(VLOOKUP(T_Convention[[#This Row],[NumL]],T_TraitDi[#Data],COLUMN(T_TraitDi[M3]),FALSE)="","",VLOOKUP(T_Convention[[#This Row],[NumL]],T_TraitDi[#Data],COLUMN(T_TraitDi[M3]),FALSE))</f>
        <v>#N/A</v>
      </c>
      <c r="S205" s="282" t="e">
        <f>IF(VLOOKUP(T_Convention[[#This Row],[NumL]],T_TraitDi[#Data],COLUMN(T_TraitDi[M4]),FALSE)="","",VLOOKUP(T_Convention[[#This Row],[NumL]],T_TraitDi[#Data],COLUMN(T_TraitDi[M4]),FALSE))</f>
        <v>#N/A</v>
      </c>
      <c r="T205" s="282" t="e">
        <f>IF(VLOOKUP(T_Convention[[#This Row],[NumL]],T_TraitDi[#Data],COLUMN(T_TraitDi[M5]),FALSE)="","",VLOOKUP(T_Convention[[#This Row],[NumL]],T_TraitDi[#Data],COLUMN(T_TraitDi[M5]),FALSE))</f>
        <v>#N/A</v>
      </c>
      <c r="U205" s="282" t="e">
        <f>IF(VLOOKUP(T_Convention[[#This Row],[NumL]],T_TraitDi[#Data],COLUMN(T_TraitDi[M6]),FALSE)="","",VLOOKUP(T_Convention[[#This Row],[NumL]],T_TraitDi[#Data],COLUMN(T_TraitDi[M6]),FALSE))</f>
        <v>#N/A</v>
      </c>
      <c r="V205" s="176" t="e">
        <f t="shared" si="19"/>
        <v>#N/A</v>
      </c>
      <c r="W205" s="284" t="str">
        <f>IFERROR(TEXT(VLOOKUP(T_Convention[[#This Row],[NumL]],T_TraitDi[#Data],COLUMN(T_TraitDi[Q2]),FALSE),"###%"),"")</f>
        <v/>
      </c>
      <c r="X205" s="97" t="e">
        <f>VLOOKUP(T_Convention[[#This Row],[NumL]],T_TraitDi[#Data],COLUMN(T_TraitDi[Reg Ponct]),FALSE)</f>
        <v>#N/A</v>
      </c>
      <c r="Y205" s="97" t="e">
        <f>VLOOKUP(T_Convention[NumL],T_TraitDi[#Data],COLUMN(T_TraitDi[Jours flottants]),FALSE)</f>
        <v>#N/A</v>
      </c>
      <c r="Z205" s="284" t="str">
        <f>IFERROR(VLOOKUP(T_Convention[[#This Row],[NumL]],T_TraitDi[#Data],COLUMN(T_TraitDi[Lundi]),FALSE),"")</f>
        <v/>
      </c>
      <c r="AA205" s="284" t="e">
        <f>IF(VLOOKUP(T_Convention[[#This Row],[NumL]],T_TraitDi[#Data],COLUMN(T_TraitDi[Colonne3]),FALSE)=0,"",TEXT(IFERROR(VLOOKUP(T_Convention[[#This Row],[NumL]],T_TraitDi[#Data],COLUMN(T_TraitDi[Colonne3]),FALSE),""),"[hh]:mm"))</f>
        <v>#N/A</v>
      </c>
      <c r="AB205" s="284" t="e">
        <f>IF(VLOOKUP(T_Convention[[#This Row],[NumL]],T_TraitDi[#Data],COLUMN(T_TraitDi[Colonne4]),FALSE)=0,"",TEXT(IFERROR(VLOOKUP(T_Convention[[#This Row],[NumL]],T_TraitDi[#Data],COLUMN(T_TraitDi[Colonne4]),FALSE),""),"[hh]:mm"))</f>
        <v>#N/A</v>
      </c>
      <c r="AC205" s="284" t="e">
        <f>IF(VLOOKUP(T_Convention[[#This Row],[NumL]],T_TraitDi[#Data],COLUMN(T_TraitDi[Colonne5]),FALSE)=0,"",TEXT(IFERROR(VLOOKUP(T_Convention[[#This Row],[NumL]],T_TraitDi[#Data],COLUMN(T_TraitDi[Colonne5]),FALSE),""),"[hh]:mm"))</f>
        <v>#N/A</v>
      </c>
      <c r="AD205" s="284" t="e">
        <f>IF(VLOOKUP(T_Convention[[#This Row],[NumL]],T_TraitDi[#Data],COLUMN(T_TraitDi[Colonne6]),FALSE)=0,"",TEXT(IFERROR(VLOOKUP(T_Convention[[#This Row],[NumL]],T_TraitDi[#Data],COLUMN(T_TraitDi[Colonne6]),FALSE),""),"[hh]:mm"))</f>
        <v>#N/A</v>
      </c>
      <c r="AE205" s="284" t="e">
        <f>IF(VLOOKUP(T_Convention[[#This Row],[NumL]],T_TraitDi[#Data],COLUMN(T_TraitDi[Colonne7]),FALSE)=0,"",TEXT(IFERROR(VLOOKUP(T_Convention[[#This Row],[NumL]],T_TraitDi[#Data],COLUMN(T_TraitDi[Colonne7]),FALSE),""),"[hh]:mm"))</f>
        <v>#N/A</v>
      </c>
      <c r="AF205" s="284" t="e">
        <f>IF(VLOOKUP(T_Convention[[#This Row],[NumL]],T_TraitDi[#Data],COLUMN(T_TraitDi[Colonne8]),FALSE)=0,"",TEXT(IFERROR(VLOOKUP(T_Convention[[#This Row],[NumL]],T_TraitDi[#Data],COLUMN(T_TraitDi[Colonne8]),FALSE),""),"[hh]:mm"))</f>
        <v>#N/A</v>
      </c>
      <c r="AG205" s="284" t="str">
        <f>IFERROR(VLOOKUP(T_Convention[[#This Row],[NumL]],T_TraitDi[#Data],COLUMN(T_TraitDi[Mardi]),FALSE),"")</f>
        <v/>
      </c>
      <c r="AH205" s="284" t="e">
        <f>IF(VLOOKUP(T_Convention[[#This Row],[NumL]],T_TraitDi[#Data],COLUMN(T_TraitDi[Colonne1]),FALSE)=0,"",TEXT(IFERROR(VLOOKUP(T_Convention[[#This Row],[NumL]],T_TraitDi[#Data],COLUMN(T_TraitDi[Colonne1]),FALSE),""),"[hh]:mm"))</f>
        <v>#N/A</v>
      </c>
      <c r="AI205" s="284" t="e">
        <f>IF(VLOOKUP(T_Convention[[#This Row],[NumL]],T_TraitDi[#Data],COLUMN(T_TraitDi[Colonne9]),FALSE)=0,"",TEXT(IFERROR(VLOOKUP(T_Convention[[#This Row],[NumL]],T_TraitDi[#Data],COLUMN(T_TraitDi[Colonne9]),FALSE),""),"[hh]:mm"))</f>
        <v>#N/A</v>
      </c>
      <c r="AJ205" s="284" t="str">
        <f>IFERROR(VLOOKUP(T_Convention[[#This Row],[NumL]],T_TraitDi[#Data],COLUMN(T_TraitDi[Colonne10]),FALSE),"")</f>
        <v/>
      </c>
      <c r="AK205" s="284" t="e">
        <f>IF(VLOOKUP(T_Convention[[#This Row],[NumL]],T_TraitDi[#Data],COLUMN(T_TraitDi[Colonne11]),FALSE)=0,"",TEXT(IFERROR(VLOOKUP(T_Convention[[#This Row],[NumL]],T_TraitDi[#Data],COLUMN(T_TraitDi[Colonne11]),FALSE),""),"[hh]:mm"))</f>
        <v>#N/A</v>
      </c>
      <c r="AL205" s="284" t="e">
        <f>IF(VLOOKUP(T_Convention[[#This Row],[NumL]],T_TraitDi[#Data],COLUMN(T_TraitDi[Colonne12]),FALSE)=0,"",TEXT(IFERROR(VLOOKUP(T_Convention[[#This Row],[NumL]],T_TraitDi[#Data],COLUMN(T_TraitDi[Colonne12]),FALSE),""),"[hh]:mm"))</f>
        <v>#N/A</v>
      </c>
      <c r="AM205" s="284" t="e">
        <f>IF(VLOOKUP(T_Convention[[#This Row],[NumL]],T_TraitDi[#Data],COLUMN(T_TraitDi[Colonne14]),FALSE)=0,"",TEXT(IFERROR(VLOOKUP(T_Convention[[#This Row],[NumL]],T_TraitDi[#Data],COLUMN(T_TraitDi[Colonne14]),FALSE),""),"[hh]:mm"))</f>
        <v>#N/A</v>
      </c>
      <c r="AN205" s="284" t="str">
        <f>IFERROR(VLOOKUP(T_Convention[[#This Row],[NumL]],T_TraitDi[#Data],COLUMN(T_TraitDi[Mercredi]),FALSE),"")</f>
        <v/>
      </c>
      <c r="AO205" s="284" t="e">
        <f>IF(VLOOKUP(T_Convention[[#This Row],[NumL]],T_TraitDi[#Data],COLUMN(T_TraitDi[Colonne15]),FALSE)=0,"",TEXT(IFERROR(VLOOKUP(T_Convention[[#This Row],[NumL]],T_TraitDi[#Data],COLUMN(T_TraitDi[Colonne15]),FALSE),""),"[hh]:mm"))</f>
        <v>#N/A</v>
      </c>
      <c r="AP205" s="284" t="e">
        <f>IF(VLOOKUP(T_Convention[[#This Row],[NumL]],T_TraitDi[#Data],COLUMN(T_TraitDi[Colonne16]),FALSE)=0,"",TEXT(IFERROR(VLOOKUP(T_Convention[[#This Row],[NumL]],T_TraitDi[#Data],COLUMN(T_TraitDi[Colonne16]),FALSE),""),"[hh]:mm"))</f>
        <v>#N/A</v>
      </c>
      <c r="AQ205" s="284" t="str">
        <f>IFERROR(VLOOKUP(T_Convention[[#This Row],[NumL]],T_TraitDi[#Data],COLUMN(T_TraitDi[Colonne17]),FALSE),"")</f>
        <v/>
      </c>
      <c r="AR205" s="284" t="e">
        <f>IF(VLOOKUP(T_Convention[[#This Row],[NumL]],T_TraitDi[#Data],COLUMN(T_TraitDi[Colonne18]),FALSE)=0,"",TEXT(IFERROR(VLOOKUP(T_Convention[[#This Row],[NumL]],T_TraitDi[#Data],COLUMN(T_TraitDi[Colonne18]),FALSE),""),"[hh]:mm"))</f>
        <v>#N/A</v>
      </c>
      <c r="AS205" s="284" t="e">
        <f>IF(VLOOKUP(T_Convention[[#This Row],[NumL]],T_TraitDi[#Data],COLUMN(T_TraitDi[Colonne19]),FALSE)=0,"",TEXT(IFERROR(VLOOKUP(T_Convention[[#This Row],[NumL]],T_TraitDi[#Data],COLUMN(T_TraitDi[Colonne19]),FALSE),""),"[hh]:mm"))</f>
        <v>#N/A</v>
      </c>
      <c r="AT205" s="284" t="e">
        <f>IF(VLOOKUP(T_Convention[[#This Row],[NumL]],T_TraitDi[#Data],COLUMN(T_TraitDi[Colonne20]),FALSE)=0,"",TEXT(IFERROR(VLOOKUP(T_Convention[[#This Row],[NumL]],T_TraitDi[#Data],COLUMN(T_TraitDi[Colonne20]),FALSE),""),"[hh]:mm"))</f>
        <v>#N/A</v>
      </c>
      <c r="AU205" s="284" t="str">
        <f>IFERROR(VLOOKUP(T_Convention[[#This Row],[NumL]],T_TraitDi[#Data],COLUMN(T_TraitDi[Jeudi]),FALSE),"")</f>
        <v/>
      </c>
      <c r="AV205" s="284" t="e">
        <f>IF(VLOOKUP(T_Convention[[#This Row],[NumL]],T_TraitDi[#Data],COLUMN(T_TraitDi[Colonne21]),FALSE)=0,"",TEXT(IFERROR(VLOOKUP(T_Convention[[#This Row],[NumL]],T_TraitDi[#Data],COLUMN(T_TraitDi[Colonne21]),FALSE),""),"[hh]:mm"))</f>
        <v>#N/A</v>
      </c>
      <c r="AW205" s="284" t="e">
        <f>IF(VLOOKUP(T_Convention[[#This Row],[NumL]],T_TraitDi[#Data],COLUMN(T_TraitDi[Colonne22]),FALSE)=0,"",TEXT(IFERROR(VLOOKUP(T_Convention[[#This Row],[NumL]],T_TraitDi[#Data],COLUMN(T_TraitDi[Colonne22]),FALSE),""),"[hh]:mm"))</f>
        <v>#N/A</v>
      </c>
      <c r="AX205" s="284" t="str">
        <f>IFERROR(VLOOKUP(T_Convention[[#This Row],[NumL]],T_TraitDi[#Data],COLUMN(T_TraitDi[Colonne23]),FALSE),"")</f>
        <v/>
      </c>
      <c r="AY205" s="284" t="e">
        <f>IF(VLOOKUP(T_Convention[[#This Row],[NumL]],T_TraitDi[#Data],COLUMN(T_TraitDi[Colonne24]),FALSE)=0,"",TEXT(IFERROR(VLOOKUP(T_Convention[[#This Row],[NumL]],T_TraitDi[#Data],COLUMN(T_TraitDi[Colonne24]),FALSE),""),"[hh]:mm"))</f>
        <v>#N/A</v>
      </c>
      <c r="AZ205" s="284" t="e">
        <f>IF(VLOOKUP(T_Convention[[#This Row],[NumL]],T_TraitDi[#Data],COLUMN(T_TraitDi[Colonne25]),FALSE)=0,"",TEXT(IFERROR(VLOOKUP(T_Convention[[#This Row],[NumL]],T_TraitDi[#Data],COLUMN(T_TraitDi[Colonne25]),FALSE),""),"[hh]:mm"))</f>
        <v>#N/A</v>
      </c>
      <c r="BA205" s="284" t="e">
        <f>IF(VLOOKUP(T_Convention[[#This Row],[NumL]],T_TraitDi[#Data],COLUMN(T_TraitDi[Colonne26]),FALSE)=0,"",TEXT(IFERROR(VLOOKUP(T_Convention[[#This Row],[NumL]],T_TraitDi[#Data],COLUMN(T_TraitDi[Colonne26]),FALSE),""),"[hh]:mm"))</f>
        <v>#N/A</v>
      </c>
      <c r="BB205" s="284" t="str">
        <f>IFERROR(VLOOKUP(T_Convention[[#This Row],[NumL]],T_TraitDi[#Data],COLUMN(T_TraitDi[Vendredi]),FALSE),"")</f>
        <v/>
      </c>
      <c r="BC205" s="284" t="e">
        <f>IF(VLOOKUP(T_Convention[[#This Row],[NumL]],T_TraitDi[#Data],COLUMN(T_TraitDi[Colonne27]),FALSE)=0,"",TEXT(IFERROR(VLOOKUP(T_Convention[[#This Row],[NumL]],T_TraitDi[#Data],COLUMN(T_TraitDi[Colonne27]),FALSE),""),"[hh]:mm"))</f>
        <v>#N/A</v>
      </c>
      <c r="BD205" s="284" t="e">
        <f>IF(VLOOKUP(T_Convention[[#This Row],[NumL]],T_TraitDi[#Data],COLUMN(T_TraitDi[Colonne28]),FALSE)=0,"",TEXT(IFERROR(VLOOKUP(T_Convention[[#This Row],[NumL]],T_TraitDi[#Data],COLUMN(T_TraitDi[Colonne28]),FALSE),""),"[hh]:mm"))</f>
        <v>#N/A</v>
      </c>
      <c r="BE205" s="284" t="str">
        <f>IFERROR(VLOOKUP(T_Convention[[#This Row],[NumL]],T_TraitDi[#Data],COLUMN(T_TraitDi[Colonne29]),FALSE),"")</f>
        <v/>
      </c>
      <c r="BF205" s="284" t="e">
        <f>IF(VLOOKUP(T_Convention[[#This Row],[NumL]],T_TraitDi[#Data],COLUMN(T_TraitDi[Colonne30]),FALSE)=0,"",TEXT(IFERROR(VLOOKUP(T_Convention[[#This Row],[NumL]],T_TraitDi[#Data],COLUMN(T_TraitDi[Colonne30]),FALSE),""),"[hh]:mm"))</f>
        <v>#N/A</v>
      </c>
      <c r="BG205" s="284" t="e">
        <f>IF(VLOOKUP(T_Convention[[#This Row],[NumL]],T_TraitDi[#Data],COLUMN(T_TraitDi[Colonne31]),FALSE)=0,"",TEXT(IFERROR(VLOOKUP(T_Convention[[#This Row],[NumL]],T_TraitDi[#Data],COLUMN(T_TraitDi[Colonne31]),FALSE),""),"[hh]:mm"))</f>
        <v>#N/A</v>
      </c>
      <c r="BH205" s="284" t="e">
        <f>IF(VLOOKUP(T_Convention[[#This Row],[NumL]],T_TraitDi[#Data],COLUMN(T_TraitDi[Colonne32]),FALSE)=0,"",TEXT(IFERROR(VLOOKUP(T_Convention[[#This Row],[NumL]],T_TraitDi[#Data],COLUMN(T_TraitDi[Colonne32]),FALSE),""),"[hh]:mm"))</f>
        <v>#N/A</v>
      </c>
      <c r="BI205" s="284" t="str">
        <f>IFERROR(VLOOKUP(T_Convention[[#This Row],[NumL]],T_TraitDi[#Data],COLUMN(T_TraitDi[NbJTW]),FALSE),"")</f>
        <v/>
      </c>
      <c r="BJ205" s="284" t="e">
        <f>IF(VLOOKUP(T_Convention[[#This Row],[NumL]],T_TraitDi[#Data],COLUMN(T_TraitDi[NbhTW]),FALSE)=0,"",TEXT(IFERROR(VLOOKUP(T_Convention[[#This Row],[NumL]],T_TraitDi[#Data],COLUMN(T_TraitDi[NbhTW]),FALSE),""),"[hh]:mm"))</f>
        <v>#N/A</v>
      </c>
      <c r="BK205" s="286" t="e">
        <f>IF(VLOOKUP(T_Convention[[#This Row],[NumL]],T_TraitDi[#Data],COLUMN(T_TraitDi[Nbhheb]),FALSE)=0,"",TEXT(IFERROR(VLOOKUP(T_Convention[[#This Row],[NumL]],T_TraitDi[#Data],COLUMN(T_TraitDi[Nbhheb]),FALSE),""),"[hh]:mm"))</f>
        <v>#N/A</v>
      </c>
      <c r="BL205" s="287" t="str">
        <f>IFERROR(VLOOKUP(VLOOKUP(T_Convention[[#This Row],[NumL]],T_TraitDi[#Data],COLUMN(T_TraitDi[Type1]),FALSE),TypeTW,2,FALSE),"")</f>
        <v/>
      </c>
      <c r="BM205" s="288" t="str">
        <f>IFERROR(VLOOKUP(T_Convention[[#This Row],[NumL]],T_TraitDi[#Data],COLUMN(T_TraitDi[Rue1]),FALSE),"")</f>
        <v/>
      </c>
      <c r="BN205" s="289" t="str">
        <f>IFERROR(VLOOKUP(T_Convention[[#This Row],[NumL]],T_TraitDi[#Data],COLUMN(T_TraitDi[CP1]),FALSE),"")</f>
        <v/>
      </c>
      <c r="BO205" s="282" t="str">
        <f>IFERROR(VLOOKUP(T_Convention[[#This Row],[NumL]],T_TraitDi[#Data],COLUMN(T_TraitDi[VILLE1]),FALSE),"")</f>
        <v/>
      </c>
      <c r="BP205" s="290" t="str">
        <f>IFERROR(VLOOKUP(VLOOKUP(T_Convention[[#This Row],[NumL]],T_TraitDi[#Data],COLUMN(T_TraitDi[Type2]),FALSE),TypeTW,2,FALSE),"")</f>
        <v/>
      </c>
      <c r="BQ205" s="182" t="str">
        <f>IFERROR(VLOOKUP(T_Convention[[#This Row],[NumL]],T_TraitDi[#Data],COLUMN(T_TraitDi[Rue2]),FALSE),"")</f>
        <v/>
      </c>
      <c r="BR205" s="173" t="str">
        <f>IFERROR(VLOOKUP(T_Convention[[#This Row],[NumL]],T_TraitDi[#Data],COLUMN(T_TraitDi[CP2]),FALSE),"")</f>
        <v/>
      </c>
      <c r="BS205" s="173" t="str">
        <f>IFERROR(VLOOKUP(T_Convention[[#This Row],[NumL]],T_TraitDi[#Data],COLUMN(T_TraitDi[VILLE2]),FALSE),"")</f>
        <v/>
      </c>
      <c r="BT205" s="182" t="str">
        <f>IF(VLOOKUP(T_Convention[[#This Row],[NumL]],T_Equipement[#Data],COLUMN(T_Equipement[PC]),FALSE)="","Aucun équipement spécifique directement lié au télétravail",VLOOKUP(T_Convention[[#This Row],[NumL]],T_Equipement[#Data],COLUMN(T_Equipement[PC]),FALSE))</f>
        <v xml:space="preserve">16-087	</v>
      </c>
      <c r="BU205" s="166" t="str">
        <f>IFERROR(IF(VLOOKUP(T_Convention[[#This Row],[NumL]],T_TraitDi[#Data],COLUMN(T_TraitDi[Plan]),FALSE)="OK","Un planning spécifique de télétravail est annexé à la présente convention.",""),"")</f>
        <v/>
      </c>
      <c r="BV205" s="185"/>
      <c r="BW205" s="164" t="e">
        <f>IF(VLOOKUP(T_Convention[[#This Row],[NumL]],T_suiviDi[#Data],COLUMN(T_suiviDi[Entité]),FALSE)="","",VLOOKUP(T_Convention[[#This Row],[NumL]],T_suiviDi[#Data],COLUMN(T_suiviDi[Entité]),FALSE))</f>
        <v>#N/A</v>
      </c>
      <c r="BX205" s="164" t="str">
        <f>IF(VLOOKUP(T_Convention[[#This Row],[NumL]],T_Commission[#Data],COLUMN(T_Commission[envoi confirm TW]),FALSE)="","",VLOOKUP(T_Convention[[#This Row],[NumL]],T_Commission[#Data],COLUMN(T_Commission[envoi confirm TW]),FALSE))</f>
        <v>Oui</v>
      </c>
      <c r="BY20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5" s="264">
        <f>VLOOKUP(T_Convention[[#This Row],[NumL]],T_Commission[#Data],COLUMN(T_Commission[Commentaire]),FALSE)</f>
        <v>0</v>
      </c>
      <c r="CA205" s="254" t="str">
        <f>IF(VLOOKUP(T_Convention[[#This Row],[NumL]],T_Commission[#Data],COLUMN(T_Commission[Encadrant Email]),FALSE)="","",VLOOKUP(T_Convention[[#This Row],[NumL]],T_Commission[#Data],COLUMN(T_Commission[Encadrant Email]),FALSE))</f>
        <v/>
      </c>
      <c r="CB205" s="352" t="e">
        <f>VLOOKUP(T_Convention[[#This Row],[NumL]],T_TraitDi[#Data],COLUMN(T_TraitDi[NbJTot]),FALSE)</f>
        <v>#N/A</v>
      </c>
      <c r="CC205" s="352" t="e">
        <f>VLOOKUP(T_Convention[[#This Row],[NumL]],T_TraitDi[#Data],COLUMN(T_TraitDi[Reg Ponct]),FALSE)</f>
        <v>#N/A</v>
      </c>
      <c r="CD205" s="348" t="str">
        <f>IF(T_Convention[[#This Row],[Final]]&lt;&gt;"",VLOOKUP(T_Convention[[#This Row],[NumL]],T_suiviDi[#Data],COLUMN((T_suiviDi[Statut])),FALSE),"")</f>
        <v/>
      </c>
    </row>
    <row r="206" spans="1:82" s="106" customFormat="1" ht="18.75" customHeight="1" x14ac:dyDescent="0.25">
      <c r="A206" s="160">
        <v>335</v>
      </c>
      <c r="B206" s="281" t="str">
        <f>VLOOKUP(T_Convention[[#This Row],[NumL]],T_Commission[#Data],COLUMN(T_Commission[FINAL]),FALSE)</f>
        <v/>
      </c>
      <c r="C206" s="162"/>
      <c r="D206" s="95" t="e">
        <f>IF(VLOOKUP(T_Convention[[#This Row],[NumL]],T_TraitDi[#Data],COLUMN(T_TraitDi[WebC]),FALSE)="","",VLOOKUP(T_Convention[[#This Row],[NumL]],T_TraitDi[#Data],COLUMN(T_TraitDi[WebC]),FALSE))</f>
        <v>#N/A</v>
      </c>
      <c r="E206" s="163" t="str">
        <f t="shared" si="15"/>
        <v>12 janvier 2021</v>
      </c>
      <c r="F206" s="282" t="str">
        <f>IF(T_Convention[[#This Row],[Final]]&lt;&gt;"",VLOOKUP(T_Convention[[#This Row],[NumL]],T_suiviDi[#Data],COLUMN((T_suiviDi[Civ.])),FALSE),"")</f>
        <v/>
      </c>
      <c r="G206" s="283" t="str">
        <f>IF(T_Convention[[#This Row],[Final]]&lt;&gt;"",VLOOKUP(T_Convention[[#This Row],[NumL]],T_suiviDi[#Data],COLUMN((T_suiviDi[Nom])),FALSE),"")</f>
        <v/>
      </c>
      <c r="H206" s="282" t="str">
        <f>IF(T_Convention[[#This Row],[Final]]&lt;&gt;"",VLOOKUP(T_Convention[[#This Row],[NumL]],T_suiviDi[#Data],COLUMN((T_suiviDi[Prénom])),FALSE),"")</f>
        <v/>
      </c>
      <c r="I206" s="282" t="e">
        <f>VLOOKUP(T_Convention[[#This Row],[NumL]],T_suiviDi[#Data],COLUMN((T_suiviDi[[#This Row],[Email]])),FALSE)</f>
        <v>#VALUE!</v>
      </c>
      <c r="J206" s="282" t="e">
        <f>IF(VLOOKUP(T_Convention[[#This Row],[NumL]],T_suiviDi[#Data],COLUMN(T_suiviDi[[#This Row],[Fonction]]),FALSE)="","",VLOOKUP(T_Convention[[#This Row],[NumL]],T_suiviDi[#Data],COLUMN(T_suiviDi[[#This Row],[Fonction]]),FALSE))</f>
        <v>#VALUE!</v>
      </c>
      <c r="K206" s="282" t="e">
        <f>IF(VLOOKUP(T_Convention[[#This Row],[NumL]],T_suiviDi[#Data],COLUMN(T_suiviDi[[#This Row],[Grade]]),FALSE)="","",VLOOKUP(T_Convention[[#This Row],[NumL]],T_suiviDi[#Data],COLUMN(T_suiviDi[[#This Row],[Grade]]),FALSE))</f>
        <v>#VALUE!</v>
      </c>
      <c r="L206" s="282" t="e">
        <f>IF(VLOOKUP(T_Convention[[#This Row],[NumL]],T_suiviDi[#Data],COLUMN(T_suiviDi[[#This Row],[Service ]]),FALSE)="","",VLOOKUP(T_Convention[[#This Row],[NumL]],T_suiviDi[#Data],COLUMN(T_suiviDi[[#This Row],[Service ]]),FALSE))</f>
        <v>#VALUE!</v>
      </c>
      <c r="M206" s="314" t="str">
        <f t="shared" si="16"/>
        <v>01 septembre 2021</v>
      </c>
      <c r="N206" s="314" t="str">
        <f t="shared" si="17"/>
        <v>30 novembre 2021</v>
      </c>
      <c r="O206" s="284" t="str">
        <f t="shared" si="18"/>
        <v>30 novembre 2021</v>
      </c>
      <c r="P206" s="282" t="e">
        <f>IF(VLOOKUP(T_Convention[[#This Row],[NumL]],T_TraitDi[#Data],COLUMN(T_TraitDi[M1]),FALSE)="","",VLOOKUP(T_Convention[[#This Row],[NumL]],T_TraitDi[#Data],COLUMN(T_TraitDi[M1]),FALSE))</f>
        <v>#N/A</v>
      </c>
      <c r="Q206" s="282" t="e">
        <f>IF(VLOOKUP(T_Convention[[#This Row],[NumL]],T_TraitDi[#Data],COLUMN(T_TraitDi[M2]),FALSE)="","",VLOOKUP(T_Convention[[#This Row],[NumL]],T_TraitDi[#Data],COLUMN(T_TraitDi[M2]),FALSE))</f>
        <v>#N/A</v>
      </c>
      <c r="R206" s="282" t="e">
        <f>IF(VLOOKUP(T_Convention[[#This Row],[NumL]],T_TraitDi[#Data],COLUMN(T_TraitDi[M3]),FALSE)="","",VLOOKUP(T_Convention[[#This Row],[NumL]],T_TraitDi[#Data],COLUMN(T_TraitDi[M3]),FALSE))</f>
        <v>#N/A</v>
      </c>
      <c r="S206" s="282" t="e">
        <f>IF(VLOOKUP(T_Convention[[#This Row],[NumL]],T_TraitDi[#Data],COLUMN(T_TraitDi[M4]),FALSE)="","",VLOOKUP(T_Convention[[#This Row],[NumL]],T_TraitDi[#Data],COLUMN(T_TraitDi[M4]),FALSE))</f>
        <v>#N/A</v>
      </c>
      <c r="T206" s="282" t="e">
        <f>IF(VLOOKUP(T_Convention[[#This Row],[NumL]],T_TraitDi[#Data],COLUMN(T_TraitDi[M5]),FALSE)="","",VLOOKUP(T_Convention[[#This Row],[NumL]],T_TraitDi[#Data],COLUMN(T_TraitDi[M5]),FALSE))</f>
        <v>#N/A</v>
      </c>
      <c r="U206" s="282" t="e">
        <f>IF(VLOOKUP(T_Convention[[#This Row],[NumL]],T_TraitDi[#Data],COLUMN(T_TraitDi[M6]),FALSE)="","",VLOOKUP(T_Convention[[#This Row],[NumL]],T_TraitDi[#Data],COLUMN(T_TraitDi[M6]),FALSE))</f>
        <v>#N/A</v>
      </c>
      <c r="V206" s="314" t="e">
        <f t="shared" si="19"/>
        <v>#N/A</v>
      </c>
      <c r="W206" s="284" t="str">
        <f>IFERROR(TEXT(VLOOKUP(T_Convention[[#This Row],[NumL]],T_TraitDi[#Data],COLUMN(T_TraitDi[Q2]),FALSE),"###%"),"")</f>
        <v/>
      </c>
      <c r="X206" s="285" t="e">
        <f>VLOOKUP(T_Convention[[#This Row],[NumL]],T_TraitDi[#Data],COLUMN(T_TraitDi[Reg Ponct]),FALSE)</f>
        <v>#N/A</v>
      </c>
      <c r="Y206" s="285" t="e">
        <f>VLOOKUP(T_Convention[NumL],T_TraitDi[#Data],COLUMN(T_TraitDi[Jours flottants]),FALSE)</f>
        <v>#N/A</v>
      </c>
      <c r="Z206" s="284" t="str">
        <f>IFERROR(VLOOKUP(T_Convention[[#This Row],[NumL]],T_TraitDi[#Data],COLUMN(T_TraitDi[Lundi]),FALSE),"")</f>
        <v/>
      </c>
      <c r="AA206" s="284" t="e">
        <f>IF(VLOOKUP(T_Convention[[#This Row],[NumL]],T_TraitDi[#Data],COLUMN(T_TraitDi[Colonne3]),FALSE)=0,"",TEXT(IFERROR(VLOOKUP(T_Convention[[#This Row],[NumL]],T_TraitDi[#Data],COLUMN(T_TraitDi[Colonne3]),FALSE),""),"[hh]:mm"))</f>
        <v>#N/A</v>
      </c>
      <c r="AB206" s="284" t="e">
        <f>IF(VLOOKUP(T_Convention[[#This Row],[NumL]],T_TraitDi[#Data],COLUMN(T_TraitDi[Colonne4]),FALSE)=0,"",TEXT(IFERROR(VLOOKUP(T_Convention[[#This Row],[NumL]],T_TraitDi[#Data],COLUMN(T_TraitDi[Colonne4]),FALSE),""),"[hh]:mm"))</f>
        <v>#N/A</v>
      </c>
      <c r="AC206" s="284" t="e">
        <f>IF(VLOOKUP(T_Convention[[#This Row],[NumL]],T_TraitDi[#Data],COLUMN(T_TraitDi[Colonne5]),FALSE)=0,"",TEXT(IFERROR(VLOOKUP(T_Convention[[#This Row],[NumL]],T_TraitDi[#Data],COLUMN(T_TraitDi[Colonne5]),FALSE),""),"[hh]:mm"))</f>
        <v>#N/A</v>
      </c>
      <c r="AD206" s="284" t="e">
        <f>IF(VLOOKUP(T_Convention[[#This Row],[NumL]],T_TraitDi[#Data],COLUMN(T_TraitDi[Colonne6]),FALSE)=0,"",TEXT(IFERROR(VLOOKUP(T_Convention[[#This Row],[NumL]],T_TraitDi[#Data],COLUMN(T_TraitDi[Colonne6]),FALSE),""),"[hh]:mm"))</f>
        <v>#N/A</v>
      </c>
      <c r="AE206" s="284" t="e">
        <f>IF(VLOOKUP(T_Convention[[#This Row],[NumL]],T_TraitDi[#Data],COLUMN(T_TraitDi[Colonne7]),FALSE)=0,"",TEXT(IFERROR(VLOOKUP(T_Convention[[#This Row],[NumL]],T_TraitDi[#Data],COLUMN(T_TraitDi[Colonne7]),FALSE),""),"[hh]:mm"))</f>
        <v>#N/A</v>
      </c>
      <c r="AF206" s="284" t="e">
        <f>IF(VLOOKUP(T_Convention[[#This Row],[NumL]],T_TraitDi[#Data],COLUMN(T_TraitDi[Colonne8]),FALSE)=0,"",TEXT(IFERROR(VLOOKUP(T_Convention[[#This Row],[NumL]],T_TraitDi[#Data],COLUMN(T_TraitDi[Colonne8]),FALSE),""),"[hh]:mm"))</f>
        <v>#N/A</v>
      </c>
      <c r="AG206" s="284" t="str">
        <f>IFERROR(VLOOKUP(T_Convention[[#This Row],[NumL]],T_TraitDi[#Data],COLUMN(T_TraitDi[Mardi]),FALSE),"")</f>
        <v/>
      </c>
      <c r="AH206" s="284" t="e">
        <f>IF(VLOOKUP(T_Convention[[#This Row],[NumL]],T_TraitDi[#Data],COLUMN(T_TraitDi[Colonne1]),FALSE)=0,"",TEXT(IFERROR(VLOOKUP(T_Convention[[#This Row],[NumL]],T_TraitDi[#Data],COLUMN(T_TraitDi[Colonne1]),FALSE),""),"[hh]:mm"))</f>
        <v>#N/A</v>
      </c>
      <c r="AI206" s="284" t="e">
        <f>IF(VLOOKUP(T_Convention[[#This Row],[NumL]],T_TraitDi[#Data],COLUMN(T_TraitDi[Colonne9]),FALSE)=0,"",TEXT(IFERROR(VLOOKUP(T_Convention[[#This Row],[NumL]],T_TraitDi[#Data],COLUMN(T_TraitDi[Colonne9]),FALSE),""),"[hh]:mm"))</f>
        <v>#N/A</v>
      </c>
      <c r="AJ206" s="284" t="str">
        <f>IFERROR(VLOOKUP(T_Convention[[#This Row],[NumL]],T_TraitDi[#Data],COLUMN(T_TraitDi[Colonne10]),FALSE),"")</f>
        <v/>
      </c>
      <c r="AK206" s="284" t="e">
        <f>IF(VLOOKUP(T_Convention[[#This Row],[NumL]],T_TraitDi[#Data],COLUMN(T_TraitDi[Colonne11]),FALSE)=0,"",TEXT(IFERROR(VLOOKUP(T_Convention[[#This Row],[NumL]],T_TraitDi[#Data],COLUMN(T_TraitDi[Colonne11]),FALSE),""),"[hh]:mm"))</f>
        <v>#N/A</v>
      </c>
      <c r="AL206" s="284" t="e">
        <f>IF(VLOOKUP(T_Convention[[#This Row],[NumL]],T_TraitDi[#Data],COLUMN(T_TraitDi[Colonne12]),FALSE)=0,"",TEXT(IFERROR(VLOOKUP(T_Convention[[#This Row],[NumL]],T_TraitDi[#Data],COLUMN(T_TraitDi[Colonne12]),FALSE),""),"[hh]:mm"))</f>
        <v>#N/A</v>
      </c>
      <c r="AM206" s="284" t="e">
        <f>IF(VLOOKUP(T_Convention[[#This Row],[NumL]],T_TraitDi[#Data],COLUMN(T_TraitDi[Colonne14]),FALSE)=0,"",TEXT(IFERROR(VLOOKUP(T_Convention[[#This Row],[NumL]],T_TraitDi[#Data],COLUMN(T_TraitDi[Colonne14]),FALSE),""),"[hh]:mm"))</f>
        <v>#N/A</v>
      </c>
      <c r="AN206" s="284" t="str">
        <f>IFERROR(VLOOKUP(T_Convention[[#This Row],[NumL]],T_TraitDi[#Data],COLUMN(T_TraitDi[Mercredi]),FALSE),"")</f>
        <v/>
      </c>
      <c r="AO206" s="284" t="e">
        <f>IF(VLOOKUP(T_Convention[[#This Row],[NumL]],T_TraitDi[#Data],COLUMN(T_TraitDi[Colonne15]),FALSE)=0,"",TEXT(IFERROR(VLOOKUP(T_Convention[[#This Row],[NumL]],T_TraitDi[#Data],COLUMN(T_TraitDi[Colonne15]),FALSE),""),"[hh]:mm"))</f>
        <v>#N/A</v>
      </c>
      <c r="AP206" s="284" t="e">
        <f>IF(VLOOKUP(T_Convention[[#This Row],[NumL]],T_TraitDi[#Data],COLUMN(T_TraitDi[Colonne16]),FALSE)=0,"",TEXT(IFERROR(VLOOKUP(T_Convention[[#This Row],[NumL]],T_TraitDi[#Data],COLUMN(T_TraitDi[Colonne16]),FALSE),""),"[hh]:mm"))</f>
        <v>#N/A</v>
      </c>
      <c r="AQ206" s="284" t="str">
        <f>IFERROR(VLOOKUP(T_Convention[[#This Row],[NumL]],T_TraitDi[#Data],COLUMN(T_TraitDi[Colonne17]),FALSE),"")</f>
        <v/>
      </c>
      <c r="AR206" s="284" t="e">
        <f>IF(VLOOKUP(T_Convention[[#This Row],[NumL]],T_TraitDi[#Data],COLUMN(T_TraitDi[Colonne18]),FALSE)=0,"",TEXT(IFERROR(VLOOKUP(T_Convention[[#This Row],[NumL]],T_TraitDi[#Data],COLUMN(T_TraitDi[Colonne18]),FALSE),""),"[hh]:mm"))</f>
        <v>#N/A</v>
      </c>
      <c r="AS206" s="284" t="e">
        <f>IF(VLOOKUP(T_Convention[[#This Row],[NumL]],T_TraitDi[#Data],COLUMN(T_TraitDi[Colonne19]),FALSE)=0,"",TEXT(IFERROR(VLOOKUP(T_Convention[[#This Row],[NumL]],T_TraitDi[#Data],COLUMN(T_TraitDi[Colonne19]),FALSE),""),"[hh]:mm"))</f>
        <v>#N/A</v>
      </c>
      <c r="AT206" s="284" t="e">
        <f>IF(VLOOKUP(T_Convention[[#This Row],[NumL]],T_TraitDi[#Data],COLUMN(T_TraitDi[Colonne20]),FALSE)=0,"",TEXT(IFERROR(VLOOKUP(T_Convention[[#This Row],[NumL]],T_TraitDi[#Data],COLUMN(T_TraitDi[Colonne20]),FALSE),""),"[hh]:mm"))</f>
        <v>#N/A</v>
      </c>
      <c r="AU206" s="284" t="str">
        <f>IFERROR(VLOOKUP(T_Convention[[#This Row],[NumL]],T_TraitDi[#Data],COLUMN(T_TraitDi[Jeudi]),FALSE),"")</f>
        <v/>
      </c>
      <c r="AV206" s="284" t="e">
        <f>IF(VLOOKUP(T_Convention[[#This Row],[NumL]],T_TraitDi[#Data],COLUMN(T_TraitDi[Colonne21]),FALSE)=0,"",TEXT(IFERROR(VLOOKUP(T_Convention[[#This Row],[NumL]],T_TraitDi[#Data],COLUMN(T_TraitDi[Colonne21]),FALSE),""),"[hh]:mm"))</f>
        <v>#N/A</v>
      </c>
      <c r="AW206" s="284" t="e">
        <f>IF(VLOOKUP(T_Convention[[#This Row],[NumL]],T_TraitDi[#Data],COLUMN(T_TraitDi[Colonne22]),FALSE)=0,"",TEXT(IFERROR(VLOOKUP(T_Convention[[#This Row],[NumL]],T_TraitDi[#Data],COLUMN(T_TraitDi[Colonne22]),FALSE),""),"[hh]:mm"))</f>
        <v>#N/A</v>
      </c>
      <c r="AX206" s="284" t="str">
        <f>IFERROR(VLOOKUP(T_Convention[[#This Row],[NumL]],T_TraitDi[#Data],COLUMN(T_TraitDi[Colonne23]),FALSE),"")</f>
        <v/>
      </c>
      <c r="AY206" s="284" t="e">
        <f>IF(VLOOKUP(T_Convention[[#This Row],[NumL]],T_TraitDi[#Data],COLUMN(T_TraitDi[Colonne24]),FALSE)=0,"",TEXT(IFERROR(VLOOKUP(T_Convention[[#This Row],[NumL]],T_TraitDi[#Data],COLUMN(T_TraitDi[Colonne24]),FALSE),""),"[hh]:mm"))</f>
        <v>#N/A</v>
      </c>
      <c r="AZ206" s="284" t="e">
        <f>IF(VLOOKUP(T_Convention[[#This Row],[NumL]],T_TraitDi[#Data],COLUMN(T_TraitDi[Colonne25]),FALSE)=0,"",TEXT(IFERROR(VLOOKUP(T_Convention[[#This Row],[NumL]],T_TraitDi[#Data],COLUMN(T_TraitDi[Colonne25]),FALSE),""),"[hh]:mm"))</f>
        <v>#N/A</v>
      </c>
      <c r="BA206" s="284" t="e">
        <f>IF(VLOOKUP(T_Convention[[#This Row],[NumL]],T_TraitDi[#Data],COLUMN(T_TraitDi[Colonne26]),FALSE)=0,"",TEXT(IFERROR(VLOOKUP(T_Convention[[#This Row],[NumL]],T_TraitDi[#Data],COLUMN(T_TraitDi[Colonne26]),FALSE),""),"[hh]:mm"))</f>
        <v>#N/A</v>
      </c>
      <c r="BB206" s="284" t="str">
        <f>IFERROR(VLOOKUP(T_Convention[[#This Row],[NumL]],T_TraitDi[#Data],COLUMN(T_TraitDi[Vendredi]),FALSE),"")</f>
        <v/>
      </c>
      <c r="BC206" s="284" t="e">
        <f>IF(VLOOKUP(T_Convention[[#This Row],[NumL]],T_TraitDi[#Data],COLUMN(T_TraitDi[Colonne27]),FALSE)=0,"",TEXT(IFERROR(VLOOKUP(T_Convention[[#This Row],[NumL]],T_TraitDi[#Data],COLUMN(T_TraitDi[Colonne27]),FALSE),""),"[hh]:mm"))</f>
        <v>#N/A</v>
      </c>
      <c r="BD206" s="284" t="e">
        <f>IF(VLOOKUP(T_Convention[[#This Row],[NumL]],T_TraitDi[#Data],COLUMN(T_TraitDi[Colonne28]),FALSE)=0,"",TEXT(IFERROR(VLOOKUP(T_Convention[[#This Row],[NumL]],T_TraitDi[#Data],COLUMN(T_TraitDi[Colonne28]),FALSE),""),"[hh]:mm"))</f>
        <v>#N/A</v>
      </c>
      <c r="BE206" s="284" t="str">
        <f>IFERROR(VLOOKUP(T_Convention[[#This Row],[NumL]],T_TraitDi[#Data],COLUMN(T_TraitDi[Colonne29]),FALSE),"")</f>
        <v/>
      </c>
      <c r="BF206" s="284" t="e">
        <f>IF(VLOOKUP(T_Convention[[#This Row],[NumL]],T_TraitDi[#Data],COLUMN(T_TraitDi[Colonne30]),FALSE)=0,"",TEXT(IFERROR(VLOOKUP(T_Convention[[#This Row],[NumL]],T_TraitDi[#Data],COLUMN(T_TraitDi[Colonne30]),FALSE),""),"[hh]:mm"))</f>
        <v>#N/A</v>
      </c>
      <c r="BG206" s="284" t="e">
        <f>IF(VLOOKUP(T_Convention[[#This Row],[NumL]],T_TraitDi[#Data],COLUMN(T_TraitDi[Colonne31]),FALSE)=0,"",TEXT(IFERROR(VLOOKUP(T_Convention[[#This Row],[NumL]],T_TraitDi[#Data],COLUMN(T_TraitDi[Colonne31]),FALSE),""),"[hh]:mm"))</f>
        <v>#N/A</v>
      </c>
      <c r="BH206" s="284" t="e">
        <f>IF(VLOOKUP(T_Convention[[#This Row],[NumL]],T_TraitDi[#Data],COLUMN(T_TraitDi[Colonne32]),FALSE)=0,"",TEXT(IFERROR(VLOOKUP(T_Convention[[#This Row],[NumL]],T_TraitDi[#Data],COLUMN(T_TraitDi[Colonne32]),FALSE),""),"[hh]:mm"))</f>
        <v>#N/A</v>
      </c>
      <c r="BI206" s="284" t="str">
        <f>IFERROR(VLOOKUP(T_Convention[[#This Row],[NumL]],T_TraitDi[#Data],COLUMN(T_TraitDi[NbJTW]),FALSE),"")</f>
        <v/>
      </c>
      <c r="BJ206" s="284" t="e">
        <f>IF(VLOOKUP(T_Convention[[#This Row],[NumL]],T_TraitDi[#Data],COLUMN(T_TraitDi[NbhTW]),FALSE)=0,"",TEXT(IFERROR(VLOOKUP(T_Convention[[#This Row],[NumL]],T_TraitDi[#Data],COLUMN(T_TraitDi[NbhTW]),FALSE),""),"[hh]:mm"))</f>
        <v>#N/A</v>
      </c>
      <c r="BK206" s="315" t="e">
        <f>IF(VLOOKUP(T_Convention[[#This Row],[NumL]],T_TraitDi[#Data],COLUMN(T_TraitDi[Nbhheb]),FALSE)=0,"",TEXT(IFERROR(VLOOKUP(T_Convention[[#This Row],[NumL]],T_TraitDi[#Data],COLUMN(T_TraitDi[Nbhheb]),FALSE),""),"[hh]:mm"))</f>
        <v>#N/A</v>
      </c>
      <c r="BL206" s="287" t="str">
        <f>IFERROR(VLOOKUP(VLOOKUP(T_Convention[[#This Row],[NumL]],T_TraitDi[#Data],COLUMN(T_TraitDi[Type1]),FALSE),TypeTW,2,FALSE),"")</f>
        <v/>
      </c>
      <c r="BM206" s="288" t="str">
        <f>IFERROR(VLOOKUP(T_Convention[[#This Row],[NumL]],T_TraitDi[#Data],COLUMN(T_TraitDi[Rue1]),FALSE),"")</f>
        <v/>
      </c>
      <c r="BN206" s="289" t="str">
        <f>IFERROR(VLOOKUP(T_Convention[[#This Row],[NumL]],T_TraitDi[#Data],COLUMN(T_TraitDi[CP1]),FALSE),"")</f>
        <v/>
      </c>
      <c r="BO206" s="282" t="str">
        <f>IFERROR(VLOOKUP(T_Convention[[#This Row],[NumL]],T_TraitDi[#Data],COLUMN(T_TraitDi[VILLE1]),FALSE),"")</f>
        <v/>
      </c>
      <c r="BP206" s="290" t="str">
        <f>IFERROR(VLOOKUP(VLOOKUP(T_Convention[[#This Row],[NumL]],T_TraitDi[#Data],COLUMN(T_TraitDi[Type2]),FALSE),TypeTW,2,FALSE),"")</f>
        <v/>
      </c>
      <c r="BQ206" s="310" t="str">
        <f>IFERROR(VLOOKUP(T_Convention[[#This Row],[NumL]],T_TraitDi[#Data],COLUMN(T_TraitDi[Rue2]),FALSE),"")</f>
        <v/>
      </c>
      <c r="BR206" s="290" t="str">
        <f>IFERROR(VLOOKUP(T_Convention[[#This Row],[NumL]],T_TraitDi[#Data],COLUMN(T_TraitDi[CP2]),FALSE),"")</f>
        <v/>
      </c>
      <c r="BS206" s="290" t="str">
        <f>IFERROR(VLOOKUP(T_Convention[[#This Row],[NumL]],T_TraitDi[#Data],COLUMN(T_TraitDi[VILLE2]),FALSE),"")</f>
        <v/>
      </c>
      <c r="BT20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06" s="314" t="str">
        <f>IFERROR(IF(VLOOKUP(T_Convention[[#This Row],[NumL]],T_TraitDi[#Data],COLUMN(T_TraitDi[Plan]),FALSE)="OK","Un planning spécifique de télétravail est annexé à la présente convention.",""),"")</f>
        <v/>
      </c>
      <c r="BV206" s="291"/>
      <c r="BW206" s="292" t="e">
        <f>IF(VLOOKUP(T_Convention[[#This Row],[NumL]],T_suiviDi[#Data],COLUMN(T_suiviDi[Entité]),FALSE)="","",VLOOKUP(T_Convention[[#This Row],[NumL]],T_suiviDi[#Data],COLUMN(T_suiviDi[Entité]),FALSE))</f>
        <v>#N/A</v>
      </c>
      <c r="BX206" s="311" t="str">
        <f>IF(VLOOKUP(T_Convention[[#This Row],[NumL]],T_Commission[#Data],COLUMN(T_Commission[envoi confirm TW]),FALSE)="","",VLOOKUP(T_Convention[[#This Row],[NumL]],T_Commission[#Data],COLUMN(T_Commission[envoi confirm TW]),FALSE))</f>
        <v>Oui</v>
      </c>
      <c r="BY20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6" s="265">
        <f>VLOOKUP(T_Convention[[#This Row],[NumL]],T_Commission[#Data],COLUMN(T_Commission[Commentaire]),FALSE)</f>
        <v>0</v>
      </c>
      <c r="CA206" s="255" t="str">
        <f>IF(VLOOKUP(T_Convention[[#This Row],[NumL]],T_Commission[#Data],COLUMN(T_Commission[Encadrant Email]),FALSE)="","",VLOOKUP(T_Convention[[#This Row],[NumL]],T_Commission[#Data],COLUMN(T_Commission[Encadrant Email]),FALSE))</f>
        <v/>
      </c>
      <c r="CB206" s="352" t="e">
        <f>VLOOKUP(T_Convention[[#This Row],[NumL]],T_TraitDi[#Data],COLUMN(T_TraitDi[NbJTot]),FALSE)</f>
        <v>#N/A</v>
      </c>
      <c r="CC206" s="352" t="e">
        <f>VLOOKUP(T_Convention[[#This Row],[NumL]],T_TraitDi[#Data],COLUMN(T_TraitDi[Reg Ponct]),FALSE)</f>
        <v>#N/A</v>
      </c>
      <c r="CD206" s="348" t="str">
        <f>IF(T_Convention[[#This Row],[Final]]&lt;&gt;"",VLOOKUP(T_Convention[[#This Row],[NumL]],T_suiviDi[#Data],COLUMN((T_suiviDi[Statut])),FALSE),"")</f>
        <v/>
      </c>
    </row>
    <row r="207" spans="1:82" s="106" customFormat="1" ht="18.75" customHeight="1" x14ac:dyDescent="0.25">
      <c r="A207" s="160">
        <v>179</v>
      </c>
      <c r="B207" s="161" t="str">
        <f>VLOOKUP(T_Convention[[#This Row],[NumL]],T_Commission[#Data],COLUMN(T_Commission[FINAL]),FALSE)</f>
        <v/>
      </c>
      <c r="C207" s="162"/>
      <c r="D207" s="95" t="e">
        <f>IF(VLOOKUP(T_Convention[[#This Row],[NumL]],T_TraitDi[#Data],COLUMN(T_TraitDi[WebC]),FALSE)="","",VLOOKUP(T_Convention[[#This Row],[NumL]],T_TraitDi[#Data],COLUMN(T_TraitDi[WebC]),FALSE))</f>
        <v>#N/A</v>
      </c>
      <c r="E207" s="163" t="str">
        <f t="shared" si="15"/>
        <v>12 janvier 2021</v>
      </c>
      <c r="F207" s="282" t="str">
        <f>IF(T_Convention[[#This Row],[Final]]&lt;&gt;"",VLOOKUP(T_Convention[[#This Row],[NumL]],T_suiviDi[#Data],COLUMN((T_suiviDi[Civ.])),FALSE),"")</f>
        <v/>
      </c>
      <c r="G207" s="283" t="str">
        <f>IF(T_Convention[[#This Row],[Final]]&lt;&gt;"",VLOOKUP(T_Convention[[#This Row],[NumL]],T_suiviDi[#Data],COLUMN((T_suiviDi[Nom])),FALSE),"")</f>
        <v/>
      </c>
      <c r="H207" s="282" t="str">
        <f>IF(T_Convention[[#This Row],[Final]]&lt;&gt;"",VLOOKUP(T_Convention[[#This Row],[NumL]],T_suiviDi[#Data],COLUMN((T_suiviDi[Prénom])),FALSE),"")</f>
        <v/>
      </c>
      <c r="I207" s="282" t="e">
        <f>VLOOKUP(T_Convention[[#This Row],[NumL]],T_suiviDi[#Data],COLUMN((T_suiviDi[[#This Row],[Email]])),FALSE)</f>
        <v>#VALUE!</v>
      </c>
      <c r="J207" s="282" t="e">
        <f>IF(VLOOKUP(T_Convention[[#This Row],[NumL]],T_suiviDi[#Data],COLUMN(T_suiviDi[[#This Row],[Fonction]]),FALSE)="","",VLOOKUP(T_Convention[[#This Row],[NumL]],T_suiviDi[#Data],COLUMN(T_suiviDi[[#This Row],[Fonction]]),FALSE))</f>
        <v>#VALUE!</v>
      </c>
      <c r="K207" s="282" t="e">
        <f>IF(VLOOKUP(T_Convention[[#This Row],[NumL]],T_suiviDi[#Data],COLUMN(T_suiviDi[[#This Row],[Grade]]),FALSE)="","",VLOOKUP(T_Convention[[#This Row],[NumL]],T_suiviDi[#Data],COLUMN(T_suiviDi[[#This Row],[Grade]]),FALSE))</f>
        <v>#VALUE!</v>
      </c>
      <c r="L207" s="282" t="e">
        <f>IF(VLOOKUP(T_Convention[[#This Row],[NumL]],T_suiviDi[#Data],COLUMN(T_suiviDi[[#This Row],[Service ]]),FALSE)="","",VLOOKUP(T_Convention[[#This Row],[NumL]],T_suiviDi[#Data],COLUMN(T_suiviDi[[#This Row],[Service ]]),FALSE))</f>
        <v>#VALUE!</v>
      </c>
      <c r="M207" s="164" t="str">
        <f t="shared" si="16"/>
        <v>01 septembre 2021</v>
      </c>
      <c r="N207" s="164" t="str">
        <f t="shared" si="17"/>
        <v>30 novembre 2021</v>
      </c>
      <c r="O207" s="284" t="str">
        <f t="shared" si="18"/>
        <v>30 novembre 2021</v>
      </c>
      <c r="P207" s="282" t="e">
        <f>IF(VLOOKUP(T_Convention[[#This Row],[NumL]],T_TraitDi[#Data],COLUMN(T_TraitDi[M1]),FALSE)="","",VLOOKUP(T_Convention[[#This Row],[NumL]],T_TraitDi[#Data],COLUMN(T_TraitDi[M1]),FALSE))</f>
        <v>#N/A</v>
      </c>
      <c r="Q207" s="282" t="e">
        <f>IF(VLOOKUP(T_Convention[[#This Row],[NumL]],T_TraitDi[#Data],COLUMN(T_TraitDi[M2]),FALSE)="","",VLOOKUP(T_Convention[[#This Row],[NumL]],T_TraitDi[#Data],COLUMN(T_TraitDi[M2]),FALSE))</f>
        <v>#N/A</v>
      </c>
      <c r="R207" s="282" t="e">
        <f>IF(VLOOKUP(T_Convention[[#This Row],[NumL]],T_TraitDi[#Data],COLUMN(T_TraitDi[M3]),FALSE)="","",VLOOKUP(T_Convention[[#This Row],[NumL]],T_TraitDi[#Data],COLUMN(T_TraitDi[M3]),FALSE))</f>
        <v>#N/A</v>
      </c>
      <c r="S207" s="282" t="e">
        <f>IF(VLOOKUP(T_Convention[[#This Row],[NumL]],T_TraitDi[#Data],COLUMN(T_TraitDi[M4]),FALSE)="","",VLOOKUP(T_Convention[[#This Row],[NumL]],T_TraitDi[#Data],COLUMN(T_TraitDi[M4]),FALSE))</f>
        <v>#N/A</v>
      </c>
      <c r="T207" s="282" t="e">
        <f>IF(VLOOKUP(T_Convention[[#This Row],[NumL]],T_TraitDi[#Data],COLUMN(T_TraitDi[M5]),FALSE)="","",VLOOKUP(T_Convention[[#This Row],[NumL]],T_TraitDi[#Data],COLUMN(T_TraitDi[M5]),FALSE))</f>
        <v>#N/A</v>
      </c>
      <c r="U207" s="282" t="e">
        <f>IF(VLOOKUP(T_Convention[[#This Row],[NumL]],T_TraitDi[#Data],COLUMN(T_TraitDi[M6]),FALSE)="","",VLOOKUP(T_Convention[[#This Row],[NumL]],T_TraitDi[#Data],COLUMN(T_TraitDi[M6]),FALSE))</f>
        <v>#N/A</v>
      </c>
      <c r="V207" s="176" t="e">
        <f t="shared" si="19"/>
        <v>#N/A</v>
      </c>
      <c r="W207" s="284" t="str">
        <f>IFERROR(TEXT(VLOOKUP(T_Convention[[#This Row],[NumL]],T_TraitDi[#Data],COLUMN(T_TraitDi[Q2]),FALSE),"###%"),"")</f>
        <v/>
      </c>
      <c r="X207" s="97" t="e">
        <f>VLOOKUP(T_Convention[[#This Row],[NumL]],T_TraitDi[#Data],COLUMN(T_TraitDi[Reg Ponct]),FALSE)</f>
        <v>#N/A</v>
      </c>
      <c r="Y207" s="97" t="e">
        <f>VLOOKUP(T_Convention[NumL],T_TraitDi[#Data],COLUMN(T_TraitDi[Jours flottants]),FALSE)</f>
        <v>#N/A</v>
      </c>
      <c r="Z207" s="284" t="str">
        <f>IFERROR(VLOOKUP(T_Convention[[#This Row],[NumL]],T_TraitDi[#Data],COLUMN(T_TraitDi[Lundi]),FALSE),"")</f>
        <v/>
      </c>
      <c r="AA207" s="284" t="e">
        <f>IF(VLOOKUP(T_Convention[[#This Row],[NumL]],T_TraitDi[#Data],COLUMN(T_TraitDi[Colonne3]),FALSE)=0,"",TEXT(IFERROR(VLOOKUP(T_Convention[[#This Row],[NumL]],T_TraitDi[#Data],COLUMN(T_TraitDi[Colonne3]),FALSE),""),"[hh]:mm"))</f>
        <v>#N/A</v>
      </c>
      <c r="AB207" s="284" t="e">
        <f>IF(VLOOKUP(T_Convention[[#This Row],[NumL]],T_TraitDi[#Data],COLUMN(T_TraitDi[Colonne4]),FALSE)=0,"",TEXT(IFERROR(VLOOKUP(T_Convention[[#This Row],[NumL]],T_TraitDi[#Data],COLUMN(T_TraitDi[Colonne4]),FALSE),""),"[hh]:mm"))</f>
        <v>#N/A</v>
      </c>
      <c r="AC207" s="284" t="e">
        <f>IF(VLOOKUP(T_Convention[[#This Row],[NumL]],T_TraitDi[#Data],COLUMN(T_TraitDi[Colonne5]),FALSE)=0,"",TEXT(IFERROR(VLOOKUP(T_Convention[[#This Row],[NumL]],T_TraitDi[#Data],COLUMN(T_TraitDi[Colonne5]),FALSE),""),"[hh]:mm"))</f>
        <v>#N/A</v>
      </c>
      <c r="AD207" s="284" t="e">
        <f>IF(VLOOKUP(T_Convention[[#This Row],[NumL]],T_TraitDi[#Data],COLUMN(T_TraitDi[Colonne6]),FALSE)=0,"",TEXT(IFERROR(VLOOKUP(T_Convention[[#This Row],[NumL]],T_TraitDi[#Data],COLUMN(T_TraitDi[Colonne6]),FALSE),""),"[hh]:mm"))</f>
        <v>#N/A</v>
      </c>
      <c r="AE207" s="284" t="e">
        <f>IF(VLOOKUP(T_Convention[[#This Row],[NumL]],T_TraitDi[#Data],COLUMN(T_TraitDi[Colonne7]),FALSE)=0,"",TEXT(IFERROR(VLOOKUP(T_Convention[[#This Row],[NumL]],T_TraitDi[#Data],COLUMN(T_TraitDi[Colonne7]),FALSE),""),"[hh]:mm"))</f>
        <v>#N/A</v>
      </c>
      <c r="AF207" s="284" t="e">
        <f>IF(VLOOKUP(T_Convention[[#This Row],[NumL]],T_TraitDi[#Data],COLUMN(T_TraitDi[Colonne8]),FALSE)=0,"",TEXT(IFERROR(VLOOKUP(T_Convention[[#This Row],[NumL]],T_TraitDi[#Data],COLUMN(T_TraitDi[Colonne8]),FALSE),""),"[hh]:mm"))</f>
        <v>#N/A</v>
      </c>
      <c r="AG207" s="284" t="str">
        <f>IFERROR(VLOOKUP(T_Convention[[#This Row],[NumL]],T_TraitDi[#Data],COLUMN(T_TraitDi[Mardi]),FALSE),"")</f>
        <v/>
      </c>
      <c r="AH207" s="284" t="e">
        <f>IF(VLOOKUP(T_Convention[[#This Row],[NumL]],T_TraitDi[#Data],COLUMN(T_TraitDi[Colonne1]),FALSE)=0,"",TEXT(IFERROR(VLOOKUP(T_Convention[[#This Row],[NumL]],T_TraitDi[#Data],COLUMN(T_TraitDi[Colonne1]),FALSE),""),"[hh]:mm"))</f>
        <v>#N/A</v>
      </c>
      <c r="AI207" s="284" t="e">
        <f>IF(VLOOKUP(T_Convention[[#This Row],[NumL]],T_TraitDi[#Data],COLUMN(T_TraitDi[Colonne9]),FALSE)=0,"",TEXT(IFERROR(VLOOKUP(T_Convention[[#This Row],[NumL]],T_TraitDi[#Data],COLUMN(T_TraitDi[Colonne9]),FALSE),""),"[hh]:mm"))</f>
        <v>#N/A</v>
      </c>
      <c r="AJ207" s="284" t="str">
        <f>IFERROR(VLOOKUP(T_Convention[[#This Row],[NumL]],T_TraitDi[#Data],COLUMN(T_TraitDi[Colonne10]),FALSE),"")</f>
        <v/>
      </c>
      <c r="AK207" s="284" t="e">
        <f>IF(VLOOKUP(T_Convention[[#This Row],[NumL]],T_TraitDi[#Data],COLUMN(T_TraitDi[Colonne11]),FALSE)=0,"",TEXT(IFERROR(VLOOKUP(T_Convention[[#This Row],[NumL]],T_TraitDi[#Data],COLUMN(T_TraitDi[Colonne11]),FALSE),""),"[hh]:mm"))</f>
        <v>#N/A</v>
      </c>
      <c r="AL207" s="284" t="e">
        <f>IF(VLOOKUP(T_Convention[[#This Row],[NumL]],T_TraitDi[#Data],COLUMN(T_TraitDi[Colonne12]),FALSE)=0,"",TEXT(IFERROR(VLOOKUP(T_Convention[[#This Row],[NumL]],T_TraitDi[#Data],COLUMN(T_TraitDi[Colonne12]),FALSE),""),"[hh]:mm"))</f>
        <v>#N/A</v>
      </c>
      <c r="AM207" s="284" t="e">
        <f>IF(VLOOKUP(T_Convention[[#This Row],[NumL]],T_TraitDi[#Data],COLUMN(T_TraitDi[Colonne14]),FALSE)=0,"",TEXT(IFERROR(VLOOKUP(T_Convention[[#This Row],[NumL]],T_TraitDi[#Data],COLUMN(T_TraitDi[Colonne14]),FALSE),""),"[hh]:mm"))</f>
        <v>#N/A</v>
      </c>
      <c r="AN207" s="284" t="str">
        <f>IFERROR(VLOOKUP(T_Convention[[#This Row],[NumL]],T_TraitDi[#Data],COLUMN(T_TraitDi[Mercredi]),FALSE),"")</f>
        <v/>
      </c>
      <c r="AO207" s="284" t="e">
        <f>IF(VLOOKUP(T_Convention[[#This Row],[NumL]],T_TraitDi[#Data],COLUMN(T_TraitDi[Colonne15]),FALSE)=0,"",TEXT(IFERROR(VLOOKUP(T_Convention[[#This Row],[NumL]],T_TraitDi[#Data],COLUMN(T_TraitDi[Colonne15]),FALSE),""),"[hh]:mm"))</f>
        <v>#N/A</v>
      </c>
      <c r="AP207" s="284" t="e">
        <f>IF(VLOOKUP(T_Convention[[#This Row],[NumL]],T_TraitDi[#Data],COLUMN(T_TraitDi[Colonne16]),FALSE)=0,"",TEXT(IFERROR(VLOOKUP(T_Convention[[#This Row],[NumL]],T_TraitDi[#Data],COLUMN(T_TraitDi[Colonne16]),FALSE),""),"[hh]:mm"))</f>
        <v>#N/A</v>
      </c>
      <c r="AQ207" s="284" t="str">
        <f>IFERROR(VLOOKUP(T_Convention[[#This Row],[NumL]],T_TraitDi[#Data],COLUMN(T_TraitDi[Colonne17]),FALSE),"")</f>
        <v/>
      </c>
      <c r="AR207" s="284" t="e">
        <f>IF(VLOOKUP(T_Convention[[#This Row],[NumL]],T_TraitDi[#Data],COLUMN(T_TraitDi[Colonne18]),FALSE)=0,"",TEXT(IFERROR(VLOOKUP(T_Convention[[#This Row],[NumL]],T_TraitDi[#Data],COLUMN(T_TraitDi[Colonne18]),FALSE),""),"[hh]:mm"))</f>
        <v>#N/A</v>
      </c>
      <c r="AS207" s="284" t="e">
        <f>IF(VLOOKUP(T_Convention[[#This Row],[NumL]],T_TraitDi[#Data],COLUMN(T_TraitDi[Colonne19]),FALSE)=0,"",TEXT(IFERROR(VLOOKUP(T_Convention[[#This Row],[NumL]],T_TraitDi[#Data],COLUMN(T_TraitDi[Colonne19]),FALSE),""),"[hh]:mm"))</f>
        <v>#N/A</v>
      </c>
      <c r="AT207" s="284" t="e">
        <f>IF(VLOOKUP(T_Convention[[#This Row],[NumL]],T_TraitDi[#Data],COLUMN(T_TraitDi[Colonne20]),FALSE)=0,"",TEXT(IFERROR(VLOOKUP(T_Convention[[#This Row],[NumL]],T_TraitDi[#Data],COLUMN(T_TraitDi[Colonne20]),FALSE),""),"[hh]:mm"))</f>
        <v>#N/A</v>
      </c>
      <c r="AU207" s="284" t="str">
        <f>IFERROR(VLOOKUP(T_Convention[[#This Row],[NumL]],T_TraitDi[#Data],COLUMN(T_TraitDi[Jeudi]),FALSE),"")</f>
        <v/>
      </c>
      <c r="AV207" s="284" t="e">
        <f>IF(VLOOKUP(T_Convention[[#This Row],[NumL]],T_TraitDi[#Data],COLUMN(T_TraitDi[Colonne21]),FALSE)=0,"",TEXT(IFERROR(VLOOKUP(T_Convention[[#This Row],[NumL]],T_TraitDi[#Data],COLUMN(T_TraitDi[Colonne21]),FALSE),""),"[hh]:mm"))</f>
        <v>#N/A</v>
      </c>
      <c r="AW207" s="284" t="e">
        <f>IF(VLOOKUP(T_Convention[[#This Row],[NumL]],T_TraitDi[#Data],COLUMN(T_TraitDi[Colonne22]),FALSE)=0,"",TEXT(IFERROR(VLOOKUP(T_Convention[[#This Row],[NumL]],T_TraitDi[#Data],COLUMN(T_TraitDi[Colonne22]),FALSE),""),"[hh]:mm"))</f>
        <v>#N/A</v>
      </c>
      <c r="AX207" s="284" t="str">
        <f>IFERROR(VLOOKUP(T_Convention[[#This Row],[NumL]],T_TraitDi[#Data],COLUMN(T_TraitDi[Colonne23]),FALSE),"")</f>
        <v/>
      </c>
      <c r="AY207" s="284" t="e">
        <f>IF(VLOOKUP(T_Convention[[#This Row],[NumL]],T_TraitDi[#Data],COLUMN(T_TraitDi[Colonne24]),FALSE)=0,"",TEXT(IFERROR(VLOOKUP(T_Convention[[#This Row],[NumL]],T_TraitDi[#Data],COLUMN(T_TraitDi[Colonne24]),FALSE),""),"[hh]:mm"))</f>
        <v>#N/A</v>
      </c>
      <c r="AZ207" s="284" t="e">
        <f>IF(VLOOKUP(T_Convention[[#This Row],[NumL]],T_TraitDi[#Data],COLUMN(T_TraitDi[Colonne25]),FALSE)=0,"",TEXT(IFERROR(VLOOKUP(T_Convention[[#This Row],[NumL]],T_TraitDi[#Data],COLUMN(T_TraitDi[Colonne25]),FALSE),""),"[hh]:mm"))</f>
        <v>#N/A</v>
      </c>
      <c r="BA207" s="284" t="e">
        <f>IF(VLOOKUP(T_Convention[[#This Row],[NumL]],T_TraitDi[#Data],COLUMN(T_TraitDi[Colonne26]),FALSE)=0,"",TEXT(IFERROR(VLOOKUP(T_Convention[[#This Row],[NumL]],T_TraitDi[#Data],COLUMN(T_TraitDi[Colonne26]),FALSE),""),"[hh]:mm"))</f>
        <v>#N/A</v>
      </c>
      <c r="BB207" s="284" t="str">
        <f>IFERROR(VLOOKUP(T_Convention[[#This Row],[NumL]],T_TraitDi[#Data],COLUMN(T_TraitDi[Vendredi]),FALSE),"")</f>
        <v/>
      </c>
      <c r="BC207" s="284" t="e">
        <f>IF(VLOOKUP(T_Convention[[#This Row],[NumL]],T_TraitDi[#Data],COLUMN(T_TraitDi[Colonne27]),FALSE)=0,"",TEXT(IFERROR(VLOOKUP(T_Convention[[#This Row],[NumL]],T_TraitDi[#Data],COLUMN(T_TraitDi[Colonne27]),FALSE),""),"[hh]:mm"))</f>
        <v>#N/A</v>
      </c>
      <c r="BD207" s="284" t="e">
        <f>IF(VLOOKUP(T_Convention[[#This Row],[NumL]],T_TraitDi[#Data],COLUMN(T_TraitDi[Colonne28]),FALSE)=0,"",TEXT(IFERROR(VLOOKUP(T_Convention[[#This Row],[NumL]],T_TraitDi[#Data],COLUMN(T_TraitDi[Colonne28]),FALSE),""),"[hh]:mm"))</f>
        <v>#N/A</v>
      </c>
      <c r="BE207" s="284" t="str">
        <f>IFERROR(VLOOKUP(T_Convention[[#This Row],[NumL]],T_TraitDi[#Data],COLUMN(T_TraitDi[Colonne29]),FALSE),"")</f>
        <v/>
      </c>
      <c r="BF207" s="284" t="e">
        <f>IF(VLOOKUP(T_Convention[[#This Row],[NumL]],T_TraitDi[#Data],COLUMN(T_TraitDi[Colonne30]),FALSE)=0,"",TEXT(IFERROR(VLOOKUP(T_Convention[[#This Row],[NumL]],T_TraitDi[#Data],COLUMN(T_TraitDi[Colonne30]),FALSE),""),"[hh]:mm"))</f>
        <v>#N/A</v>
      </c>
      <c r="BG207" s="284" t="e">
        <f>IF(VLOOKUP(T_Convention[[#This Row],[NumL]],T_TraitDi[#Data],COLUMN(T_TraitDi[Colonne31]),FALSE)=0,"",TEXT(IFERROR(VLOOKUP(T_Convention[[#This Row],[NumL]],T_TraitDi[#Data],COLUMN(T_TraitDi[Colonne31]),FALSE),""),"[hh]:mm"))</f>
        <v>#N/A</v>
      </c>
      <c r="BH207" s="284" t="e">
        <f>IF(VLOOKUP(T_Convention[[#This Row],[NumL]],T_TraitDi[#Data],COLUMN(T_TraitDi[Colonne32]),FALSE)=0,"",TEXT(IFERROR(VLOOKUP(T_Convention[[#This Row],[NumL]],T_TraitDi[#Data],COLUMN(T_TraitDi[Colonne32]),FALSE),""),"[hh]:mm"))</f>
        <v>#N/A</v>
      </c>
      <c r="BI207" s="284" t="str">
        <f>IFERROR(VLOOKUP(T_Convention[[#This Row],[NumL]],T_TraitDi[#Data],COLUMN(T_TraitDi[NbJTW]),FALSE),"")</f>
        <v/>
      </c>
      <c r="BJ207" s="284" t="e">
        <f>IF(VLOOKUP(T_Convention[[#This Row],[NumL]],T_TraitDi[#Data],COLUMN(T_TraitDi[NbhTW]),FALSE)=0,"",TEXT(IFERROR(VLOOKUP(T_Convention[[#This Row],[NumL]],T_TraitDi[#Data],COLUMN(T_TraitDi[NbhTW]),FALSE),""),"[hh]:mm"))</f>
        <v>#N/A</v>
      </c>
      <c r="BK207" s="286" t="e">
        <f>IF(VLOOKUP(T_Convention[[#This Row],[NumL]],T_TraitDi[#Data],COLUMN(T_TraitDi[Nbhheb]),FALSE)=0,"",TEXT(IFERROR(VLOOKUP(T_Convention[[#This Row],[NumL]],T_TraitDi[#Data],COLUMN(T_TraitDi[Nbhheb]),FALSE),""),"[hh]:mm"))</f>
        <v>#N/A</v>
      </c>
      <c r="BL207" s="287" t="str">
        <f>IFERROR(VLOOKUP(VLOOKUP(T_Convention[[#This Row],[NumL]],T_TraitDi[#Data],COLUMN(T_TraitDi[Type1]),FALSE),TypeTW,2,FALSE),"")</f>
        <v/>
      </c>
      <c r="BM207" s="288" t="str">
        <f>IFERROR(VLOOKUP(T_Convention[[#This Row],[NumL]],T_TraitDi[#Data],COLUMN(T_TraitDi[Rue1]),FALSE),"")</f>
        <v/>
      </c>
      <c r="BN207" s="289" t="str">
        <f>IFERROR(VLOOKUP(T_Convention[[#This Row],[NumL]],T_TraitDi[#Data],COLUMN(T_TraitDi[CP1]),FALSE),"")</f>
        <v/>
      </c>
      <c r="BO207" s="282" t="str">
        <f>IFERROR(VLOOKUP(T_Convention[[#This Row],[NumL]],T_TraitDi[#Data],COLUMN(T_TraitDi[VILLE1]),FALSE),"")</f>
        <v/>
      </c>
      <c r="BP207" s="290" t="str">
        <f>IFERROR(VLOOKUP(VLOOKUP(T_Convention[[#This Row],[NumL]],T_TraitDi[#Data],COLUMN(T_TraitDi[Type2]),FALSE),TypeTW,2,FALSE),"")</f>
        <v/>
      </c>
      <c r="BQ207" s="182" t="str">
        <f>IFERROR(VLOOKUP(T_Convention[[#This Row],[NumL]],T_TraitDi[#Data],COLUMN(T_TraitDi[Rue2]),FALSE),"")</f>
        <v/>
      </c>
      <c r="BR207" s="173" t="str">
        <f>IFERROR(VLOOKUP(T_Convention[[#This Row],[NumL]],T_TraitDi[#Data],COLUMN(T_TraitDi[CP2]),FALSE),"")</f>
        <v/>
      </c>
      <c r="BS207" s="173" t="str">
        <f>IFERROR(VLOOKUP(T_Convention[[#This Row],[NumL]],T_TraitDi[#Data],COLUMN(T_TraitDi[VILLE2]),FALSE),"")</f>
        <v/>
      </c>
      <c r="BT207" s="182" t="str">
        <f>IF(VLOOKUP(T_Convention[[#This Row],[NumL]],T_Equipement[#Data],COLUMN(T_Equipement[PC]),FALSE)="","Aucun équipement spécifique directement lié au télétravail",VLOOKUP(T_Convention[[#This Row],[NumL]],T_Equipement[#Data],COLUMN(T_Equipement[PC]),FALSE))</f>
        <v xml:space="preserve">	20-3002</v>
      </c>
      <c r="BU207" s="166" t="str">
        <f>IFERROR(IF(VLOOKUP(T_Convention[[#This Row],[NumL]],T_TraitDi[#Data],COLUMN(T_TraitDi[Plan]),FALSE)="OK","Un planning spécifique de télétravail est annexé à la présente convention.",""),"")</f>
        <v/>
      </c>
      <c r="BV207" s="185" t="s">
        <v>3386</v>
      </c>
      <c r="BW207" s="164" t="e">
        <f>IF(VLOOKUP(T_Convention[[#This Row],[NumL]],T_suiviDi[#Data],COLUMN(T_suiviDi[Entité]),FALSE)="","",VLOOKUP(T_Convention[[#This Row],[NumL]],T_suiviDi[#Data],COLUMN(T_suiviDi[Entité]),FALSE))</f>
        <v>#N/A</v>
      </c>
      <c r="BX207" s="164" t="str">
        <f>IF(VLOOKUP(T_Convention[[#This Row],[NumL]],T_Commission[#Data],COLUMN(T_Commission[envoi confirm TW]),FALSE)="","",VLOOKUP(T_Convention[[#This Row],[NumL]],T_Commission[#Data],COLUMN(T_Commission[envoi confirm TW]),FALSE))</f>
        <v>Oui</v>
      </c>
      <c r="BY20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7" s="264">
        <f>VLOOKUP(T_Convention[[#This Row],[NumL]],T_Commission[#Data],COLUMN(T_Commission[Commentaire]),FALSE)</f>
        <v>0</v>
      </c>
      <c r="CA207" s="254" t="str">
        <f>IF(VLOOKUP(T_Convention[[#This Row],[NumL]],T_Commission[#Data],COLUMN(T_Commission[Encadrant Email]),FALSE)="","",VLOOKUP(T_Convention[[#This Row],[NumL]],T_Commission[#Data],COLUMN(T_Commission[Encadrant Email]),FALSE))</f>
        <v/>
      </c>
      <c r="CB207" s="352" t="e">
        <f>VLOOKUP(T_Convention[[#This Row],[NumL]],T_TraitDi[#Data],COLUMN(T_TraitDi[NbJTot]),FALSE)</f>
        <v>#N/A</v>
      </c>
      <c r="CC207" s="352" t="e">
        <f>VLOOKUP(T_Convention[[#This Row],[NumL]],T_TraitDi[#Data],COLUMN(T_TraitDi[Reg Ponct]),FALSE)</f>
        <v>#N/A</v>
      </c>
      <c r="CD207" s="348" t="str">
        <f>IF(T_Convention[[#This Row],[Final]]&lt;&gt;"",VLOOKUP(T_Convention[[#This Row],[NumL]],T_suiviDi[#Data],COLUMN((T_suiviDi[Statut])),FALSE),"")</f>
        <v/>
      </c>
    </row>
    <row r="208" spans="1:82" s="106" customFormat="1" ht="18.75" customHeight="1" x14ac:dyDescent="0.25">
      <c r="A208" s="160">
        <v>33</v>
      </c>
      <c r="B208" s="161" t="str">
        <f>VLOOKUP(T_Convention[[#This Row],[NumL]],T_Commission[#Data],COLUMN(T_Commission[FINAL]),FALSE)</f>
        <v/>
      </c>
      <c r="C208" s="162"/>
      <c r="D208" s="95" t="e">
        <f>IF(VLOOKUP(T_Convention[[#This Row],[NumL]],T_TraitDi[#Data],COLUMN(T_TraitDi[WebC]),FALSE)="","",VLOOKUP(T_Convention[[#This Row],[NumL]],T_TraitDi[#Data],COLUMN(T_TraitDi[WebC]),FALSE))</f>
        <v>#N/A</v>
      </c>
      <c r="E208" s="163" t="str">
        <f t="shared" si="15"/>
        <v>12 janvier 2021</v>
      </c>
      <c r="F208" s="282" t="str">
        <f>IF(T_Convention[[#This Row],[Final]]&lt;&gt;"",VLOOKUP(T_Convention[[#This Row],[NumL]],T_suiviDi[#Data],COLUMN((T_suiviDi[Civ.])),FALSE),"")</f>
        <v/>
      </c>
      <c r="G208" s="283" t="str">
        <f>IF(T_Convention[[#This Row],[Final]]&lt;&gt;"",VLOOKUP(T_Convention[[#This Row],[NumL]],T_suiviDi[#Data],COLUMN((T_suiviDi[Nom])),FALSE),"")</f>
        <v/>
      </c>
      <c r="H208" s="282" t="str">
        <f>IF(T_Convention[[#This Row],[Final]]&lt;&gt;"",VLOOKUP(T_Convention[[#This Row],[NumL]],T_suiviDi[#Data],COLUMN((T_suiviDi[Prénom])),FALSE),"")</f>
        <v/>
      </c>
      <c r="I208" s="282" t="e">
        <f>VLOOKUP(T_Convention[[#This Row],[NumL]],T_suiviDi[#Data],COLUMN((T_suiviDi[[#This Row],[Email]])),FALSE)</f>
        <v>#VALUE!</v>
      </c>
      <c r="J208" s="282" t="e">
        <f>IF(VLOOKUP(T_Convention[[#This Row],[NumL]],T_suiviDi[#Data],COLUMN(T_suiviDi[[#This Row],[Fonction]]),FALSE)="","",VLOOKUP(T_Convention[[#This Row],[NumL]],T_suiviDi[#Data],COLUMN(T_suiviDi[[#This Row],[Fonction]]),FALSE))</f>
        <v>#VALUE!</v>
      </c>
      <c r="K208" s="282" t="e">
        <f>IF(VLOOKUP(T_Convention[[#This Row],[NumL]],T_suiviDi[#Data],COLUMN(T_suiviDi[[#This Row],[Grade]]),FALSE)="","",VLOOKUP(T_Convention[[#This Row],[NumL]],T_suiviDi[#Data],COLUMN(T_suiviDi[[#This Row],[Grade]]),FALSE))</f>
        <v>#VALUE!</v>
      </c>
      <c r="L208" s="282" t="e">
        <f>IF(VLOOKUP(T_Convention[[#This Row],[NumL]],T_suiviDi[#Data],COLUMN(T_suiviDi[[#This Row],[Service ]]),FALSE)="","",VLOOKUP(T_Convention[[#This Row],[NumL]],T_suiviDi[#Data],COLUMN(T_suiviDi[[#This Row],[Service ]]),FALSE))</f>
        <v>#VALUE!</v>
      </c>
      <c r="M208" s="164" t="str">
        <f t="shared" si="16"/>
        <v>01 septembre 2021</v>
      </c>
      <c r="N208" s="164" t="str">
        <f t="shared" si="17"/>
        <v>30 novembre 2021</v>
      </c>
      <c r="O208" s="284" t="str">
        <f t="shared" si="18"/>
        <v>30 novembre 2021</v>
      </c>
      <c r="P208" s="282" t="e">
        <f>IF(VLOOKUP(T_Convention[[#This Row],[NumL]],T_TraitDi[#Data],COLUMN(T_TraitDi[M1]),FALSE)="","",VLOOKUP(T_Convention[[#This Row],[NumL]],T_TraitDi[#Data],COLUMN(T_TraitDi[M1]),FALSE))</f>
        <v>#N/A</v>
      </c>
      <c r="Q208" s="282" t="e">
        <f>IF(VLOOKUP(T_Convention[[#This Row],[NumL]],T_TraitDi[#Data],COLUMN(T_TraitDi[M2]),FALSE)="","",VLOOKUP(T_Convention[[#This Row],[NumL]],T_TraitDi[#Data],COLUMN(T_TraitDi[M2]),FALSE))</f>
        <v>#N/A</v>
      </c>
      <c r="R208" s="282" t="e">
        <f>IF(VLOOKUP(T_Convention[[#This Row],[NumL]],T_TraitDi[#Data],COLUMN(T_TraitDi[M3]),FALSE)="","",VLOOKUP(T_Convention[[#This Row],[NumL]],T_TraitDi[#Data],COLUMN(T_TraitDi[M3]),FALSE))</f>
        <v>#N/A</v>
      </c>
      <c r="S208" s="282" t="e">
        <f>IF(VLOOKUP(T_Convention[[#This Row],[NumL]],T_TraitDi[#Data],COLUMN(T_TraitDi[M4]),FALSE)="","",VLOOKUP(T_Convention[[#This Row],[NumL]],T_TraitDi[#Data],COLUMN(T_TraitDi[M4]),FALSE))</f>
        <v>#N/A</v>
      </c>
      <c r="T208" s="282" t="e">
        <f>IF(VLOOKUP(T_Convention[[#This Row],[NumL]],T_TraitDi[#Data],COLUMN(T_TraitDi[M5]),FALSE)="","",VLOOKUP(T_Convention[[#This Row],[NumL]],T_TraitDi[#Data],COLUMN(T_TraitDi[M5]),FALSE))</f>
        <v>#N/A</v>
      </c>
      <c r="U208" s="282" t="e">
        <f>IF(VLOOKUP(T_Convention[[#This Row],[NumL]],T_TraitDi[#Data],COLUMN(T_TraitDi[M6]),FALSE)="","",VLOOKUP(T_Convention[[#This Row],[NumL]],T_TraitDi[#Data],COLUMN(T_TraitDi[M6]),FALSE))</f>
        <v>#N/A</v>
      </c>
      <c r="V208" s="176" t="e">
        <f t="shared" si="19"/>
        <v>#N/A</v>
      </c>
      <c r="W208" s="284" t="str">
        <f>IFERROR(TEXT(VLOOKUP(T_Convention[[#This Row],[NumL]],T_TraitDi[#Data],COLUMN(T_TraitDi[Q2]),FALSE),"###%"),"")</f>
        <v/>
      </c>
      <c r="X208" s="97" t="e">
        <f>VLOOKUP(T_Convention[[#This Row],[NumL]],T_TraitDi[#Data],COLUMN(T_TraitDi[Reg Ponct]),FALSE)</f>
        <v>#N/A</v>
      </c>
      <c r="Y208" s="97" t="e">
        <f>VLOOKUP(T_Convention[NumL],T_TraitDi[#Data],COLUMN(T_TraitDi[Jours flottants]),FALSE)</f>
        <v>#N/A</v>
      </c>
      <c r="Z208" s="284" t="str">
        <f>IFERROR(VLOOKUP(T_Convention[[#This Row],[NumL]],T_TraitDi[#Data],COLUMN(T_TraitDi[Lundi]),FALSE),"")</f>
        <v/>
      </c>
      <c r="AA208" s="284" t="e">
        <f>IF(VLOOKUP(T_Convention[[#This Row],[NumL]],T_TraitDi[#Data],COLUMN(T_TraitDi[Colonne3]),FALSE)=0,"",TEXT(IFERROR(VLOOKUP(T_Convention[[#This Row],[NumL]],T_TraitDi[#Data],COLUMN(T_TraitDi[Colonne3]),FALSE),""),"[hh]:mm"))</f>
        <v>#N/A</v>
      </c>
      <c r="AB208" s="284" t="e">
        <f>IF(VLOOKUP(T_Convention[[#This Row],[NumL]],T_TraitDi[#Data],COLUMN(T_TraitDi[Colonne4]),FALSE)=0,"",TEXT(IFERROR(VLOOKUP(T_Convention[[#This Row],[NumL]],T_TraitDi[#Data],COLUMN(T_TraitDi[Colonne4]),FALSE),""),"[hh]:mm"))</f>
        <v>#N/A</v>
      </c>
      <c r="AC208" s="284" t="e">
        <f>IF(VLOOKUP(T_Convention[[#This Row],[NumL]],T_TraitDi[#Data],COLUMN(T_TraitDi[Colonne5]),FALSE)=0,"",TEXT(IFERROR(VLOOKUP(T_Convention[[#This Row],[NumL]],T_TraitDi[#Data],COLUMN(T_TraitDi[Colonne5]),FALSE),""),"[hh]:mm"))</f>
        <v>#N/A</v>
      </c>
      <c r="AD208" s="284" t="e">
        <f>IF(VLOOKUP(T_Convention[[#This Row],[NumL]],T_TraitDi[#Data],COLUMN(T_TraitDi[Colonne6]),FALSE)=0,"",TEXT(IFERROR(VLOOKUP(T_Convention[[#This Row],[NumL]],T_TraitDi[#Data],COLUMN(T_TraitDi[Colonne6]),FALSE),""),"[hh]:mm"))</f>
        <v>#N/A</v>
      </c>
      <c r="AE208" s="284" t="e">
        <f>IF(VLOOKUP(T_Convention[[#This Row],[NumL]],T_TraitDi[#Data],COLUMN(T_TraitDi[Colonne7]),FALSE)=0,"",TEXT(IFERROR(VLOOKUP(T_Convention[[#This Row],[NumL]],T_TraitDi[#Data],COLUMN(T_TraitDi[Colonne7]),FALSE),""),"[hh]:mm"))</f>
        <v>#N/A</v>
      </c>
      <c r="AF208" s="284" t="e">
        <f>IF(VLOOKUP(T_Convention[[#This Row],[NumL]],T_TraitDi[#Data],COLUMN(T_TraitDi[Colonne8]),FALSE)=0,"",TEXT(IFERROR(VLOOKUP(T_Convention[[#This Row],[NumL]],T_TraitDi[#Data],COLUMN(T_TraitDi[Colonne8]),FALSE),""),"[hh]:mm"))</f>
        <v>#N/A</v>
      </c>
      <c r="AG208" s="284" t="str">
        <f>IFERROR(VLOOKUP(T_Convention[[#This Row],[NumL]],T_TraitDi[#Data],COLUMN(T_TraitDi[Mardi]),FALSE),"")</f>
        <v/>
      </c>
      <c r="AH208" s="284" t="e">
        <f>IF(VLOOKUP(T_Convention[[#This Row],[NumL]],T_TraitDi[#Data],COLUMN(T_TraitDi[Colonne1]),FALSE)=0,"",TEXT(IFERROR(VLOOKUP(T_Convention[[#This Row],[NumL]],T_TraitDi[#Data],COLUMN(T_TraitDi[Colonne1]),FALSE),""),"[hh]:mm"))</f>
        <v>#N/A</v>
      </c>
      <c r="AI208" s="284" t="e">
        <f>IF(VLOOKUP(T_Convention[[#This Row],[NumL]],T_TraitDi[#Data],COLUMN(T_TraitDi[Colonne9]),FALSE)=0,"",TEXT(IFERROR(VLOOKUP(T_Convention[[#This Row],[NumL]],T_TraitDi[#Data],COLUMN(T_TraitDi[Colonne9]),FALSE),""),"[hh]:mm"))</f>
        <v>#N/A</v>
      </c>
      <c r="AJ208" s="284" t="str">
        <f>IFERROR(VLOOKUP(T_Convention[[#This Row],[NumL]],T_TraitDi[#Data],COLUMN(T_TraitDi[Colonne10]),FALSE),"")</f>
        <v/>
      </c>
      <c r="AK208" s="284" t="e">
        <f>IF(VLOOKUP(T_Convention[[#This Row],[NumL]],T_TraitDi[#Data],COLUMN(T_TraitDi[Colonne11]),FALSE)=0,"",TEXT(IFERROR(VLOOKUP(T_Convention[[#This Row],[NumL]],T_TraitDi[#Data],COLUMN(T_TraitDi[Colonne11]),FALSE),""),"[hh]:mm"))</f>
        <v>#N/A</v>
      </c>
      <c r="AL208" s="284" t="e">
        <f>IF(VLOOKUP(T_Convention[[#This Row],[NumL]],T_TraitDi[#Data],COLUMN(T_TraitDi[Colonne12]),FALSE)=0,"",TEXT(IFERROR(VLOOKUP(T_Convention[[#This Row],[NumL]],T_TraitDi[#Data],COLUMN(T_TraitDi[Colonne12]),FALSE),""),"[hh]:mm"))</f>
        <v>#N/A</v>
      </c>
      <c r="AM208" s="284" t="e">
        <f>IF(VLOOKUP(T_Convention[[#This Row],[NumL]],T_TraitDi[#Data],COLUMN(T_TraitDi[Colonne14]),FALSE)=0,"",TEXT(IFERROR(VLOOKUP(T_Convention[[#This Row],[NumL]],T_TraitDi[#Data],COLUMN(T_TraitDi[Colonne14]),FALSE),""),"[hh]:mm"))</f>
        <v>#N/A</v>
      </c>
      <c r="AN208" s="284" t="str">
        <f>IFERROR(VLOOKUP(T_Convention[[#This Row],[NumL]],T_TraitDi[#Data],COLUMN(T_TraitDi[Mercredi]),FALSE),"")</f>
        <v/>
      </c>
      <c r="AO208" s="284" t="e">
        <f>IF(VLOOKUP(T_Convention[[#This Row],[NumL]],T_TraitDi[#Data],COLUMN(T_TraitDi[Colonne15]),FALSE)=0,"",TEXT(IFERROR(VLOOKUP(T_Convention[[#This Row],[NumL]],T_TraitDi[#Data],COLUMN(T_TraitDi[Colonne15]),FALSE),""),"[hh]:mm"))</f>
        <v>#N/A</v>
      </c>
      <c r="AP208" s="284" t="e">
        <f>IF(VLOOKUP(T_Convention[[#This Row],[NumL]],T_TraitDi[#Data],COLUMN(T_TraitDi[Colonne16]),FALSE)=0,"",TEXT(IFERROR(VLOOKUP(T_Convention[[#This Row],[NumL]],T_TraitDi[#Data],COLUMN(T_TraitDi[Colonne16]),FALSE),""),"[hh]:mm"))</f>
        <v>#N/A</v>
      </c>
      <c r="AQ208" s="284" t="str">
        <f>IFERROR(VLOOKUP(T_Convention[[#This Row],[NumL]],T_TraitDi[#Data],COLUMN(T_TraitDi[Colonne17]),FALSE),"")</f>
        <v/>
      </c>
      <c r="AR208" s="284" t="e">
        <f>IF(VLOOKUP(T_Convention[[#This Row],[NumL]],T_TraitDi[#Data],COLUMN(T_TraitDi[Colonne18]),FALSE)=0,"",TEXT(IFERROR(VLOOKUP(T_Convention[[#This Row],[NumL]],T_TraitDi[#Data],COLUMN(T_TraitDi[Colonne18]),FALSE),""),"[hh]:mm"))</f>
        <v>#N/A</v>
      </c>
      <c r="AS208" s="284" t="e">
        <f>IF(VLOOKUP(T_Convention[[#This Row],[NumL]],T_TraitDi[#Data],COLUMN(T_TraitDi[Colonne19]),FALSE)=0,"",TEXT(IFERROR(VLOOKUP(T_Convention[[#This Row],[NumL]],T_TraitDi[#Data],COLUMN(T_TraitDi[Colonne19]),FALSE),""),"[hh]:mm"))</f>
        <v>#N/A</v>
      </c>
      <c r="AT208" s="284" t="e">
        <f>IF(VLOOKUP(T_Convention[[#This Row],[NumL]],T_TraitDi[#Data],COLUMN(T_TraitDi[Colonne20]),FALSE)=0,"",TEXT(IFERROR(VLOOKUP(T_Convention[[#This Row],[NumL]],T_TraitDi[#Data],COLUMN(T_TraitDi[Colonne20]),FALSE),""),"[hh]:mm"))</f>
        <v>#N/A</v>
      </c>
      <c r="AU208" s="284" t="str">
        <f>IFERROR(VLOOKUP(T_Convention[[#This Row],[NumL]],T_TraitDi[#Data],COLUMN(T_TraitDi[Jeudi]),FALSE),"")</f>
        <v/>
      </c>
      <c r="AV208" s="284" t="e">
        <f>IF(VLOOKUP(T_Convention[[#This Row],[NumL]],T_TraitDi[#Data],COLUMN(T_TraitDi[Colonne21]),FALSE)=0,"",TEXT(IFERROR(VLOOKUP(T_Convention[[#This Row],[NumL]],T_TraitDi[#Data],COLUMN(T_TraitDi[Colonne21]),FALSE),""),"[hh]:mm"))</f>
        <v>#N/A</v>
      </c>
      <c r="AW208" s="284" t="e">
        <f>IF(VLOOKUP(T_Convention[[#This Row],[NumL]],T_TraitDi[#Data],COLUMN(T_TraitDi[Colonne22]),FALSE)=0,"",TEXT(IFERROR(VLOOKUP(T_Convention[[#This Row],[NumL]],T_TraitDi[#Data],COLUMN(T_TraitDi[Colonne22]),FALSE),""),"[hh]:mm"))</f>
        <v>#N/A</v>
      </c>
      <c r="AX208" s="284" t="str">
        <f>IFERROR(VLOOKUP(T_Convention[[#This Row],[NumL]],T_TraitDi[#Data],COLUMN(T_TraitDi[Colonne23]),FALSE),"")</f>
        <v/>
      </c>
      <c r="AY208" s="284" t="e">
        <f>IF(VLOOKUP(T_Convention[[#This Row],[NumL]],T_TraitDi[#Data],COLUMN(T_TraitDi[Colonne24]),FALSE)=0,"",TEXT(IFERROR(VLOOKUP(T_Convention[[#This Row],[NumL]],T_TraitDi[#Data],COLUMN(T_TraitDi[Colonne24]),FALSE),""),"[hh]:mm"))</f>
        <v>#N/A</v>
      </c>
      <c r="AZ208" s="284" t="e">
        <f>IF(VLOOKUP(T_Convention[[#This Row],[NumL]],T_TraitDi[#Data],COLUMN(T_TraitDi[Colonne25]),FALSE)=0,"",TEXT(IFERROR(VLOOKUP(T_Convention[[#This Row],[NumL]],T_TraitDi[#Data],COLUMN(T_TraitDi[Colonne25]),FALSE),""),"[hh]:mm"))</f>
        <v>#N/A</v>
      </c>
      <c r="BA208" s="284" t="e">
        <f>IF(VLOOKUP(T_Convention[[#This Row],[NumL]],T_TraitDi[#Data],COLUMN(T_TraitDi[Colonne26]),FALSE)=0,"",TEXT(IFERROR(VLOOKUP(T_Convention[[#This Row],[NumL]],T_TraitDi[#Data],COLUMN(T_TraitDi[Colonne26]),FALSE),""),"[hh]:mm"))</f>
        <v>#N/A</v>
      </c>
      <c r="BB208" s="284" t="str">
        <f>IFERROR(VLOOKUP(T_Convention[[#This Row],[NumL]],T_TraitDi[#Data],COLUMN(T_TraitDi[Vendredi]),FALSE),"")</f>
        <v/>
      </c>
      <c r="BC208" s="284" t="e">
        <f>IF(VLOOKUP(T_Convention[[#This Row],[NumL]],T_TraitDi[#Data],COLUMN(T_TraitDi[Colonne27]),FALSE)=0,"",TEXT(IFERROR(VLOOKUP(T_Convention[[#This Row],[NumL]],T_TraitDi[#Data],COLUMN(T_TraitDi[Colonne27]),FALSE),""),"[hh]:mm"))</f>
        <v>#N/A</v>
      </c>
      <c r="BD208" s="284" t="e">
        <f>IF(VLOOKUP(T_Convention[[#This Row],[NumL]],T_TraitDi[#Data],COLUMN(T_TraitDi[Colonne28]),FALSE)=0,"",TEXT(IFERROR(VLOOKUP(T_Convention[[#This Row],[NumL]],T_TraitDi[#Data],COLUMN(T_TraitDi[Colonne28]),FALSE),""),"[hh]:mm"))</f>
        <v>#N/A</v>
      </c>
      <c r="BE208" s="284" t="str">
        <f>IFERROR(VLOOKUP(T_Convention[[#This Row],[NumL]],T_TraitDi[#Data],COLUMN(T_TraitDi[Colonne29]),FALSE),"")</f>
        <v/>
      </c>
      <c r="BF208" s="284" t="e">
        <f>IF(VLOOKUP(T_Convention[[#This Row],[NumL]],T_TraitDi[#Data],COLUMN(T_TraitDi[Colonne30]),FALSE)=0,"",TEXT(IFERROR(VLOOKUP(T_Convention[[#This Row],[NumL]],T_TraitDi[#Data],COLUMN(T_TraitDi[Colonne30]),FALSE),""),"[hh]:mm"))</f>
        <v>#N/A</v>
      </c>
      <c r="BG208" s="284" t="e">
        <f>IF(VLOOKUP(T_Convention[[#This Row],[NumL]],T_TraitDi[#Data],COLUMN(T_TraitDi[Colonne31]),FALSE)=0,"",TEXT(IFERROR(VLOOKUP(T_Convention[[#This Row],[NumL]],T_TraitDi[#Data],COLUMN(T_TraitDi[Colonne31]),FALSE),""),"[hh]:mm"))</f>
        <v>#N/A</v>
      </c>
      <c r="BH208" s="284" t="e">
        <f>IF(VLOOKUP(T_Convention[[#This Row],[NumL]],T_TraitDi[#Data],COLUMN(T_TraitDi[Colonne32]),FALSE)=0,"",TEXT(IFERROR(VLOOKUP(T_Convention[[#This Row],[NumL]],T_TraitDi[#Data],COLUMN(T_TraitDi[Colonne32]),FALSE),""),"[hh]:mm"))</f>
        <v>#N/A</v>
      </c>
      <c r="BI208" s="284" t="str">
        <f>IFERROR(VLOOKUP(T_Convention[[#This Row],[NumL]],T_TraitDi[#Data],COLUMN(T_TraitDi[NbJTW]),FALSE),"")</f>
        <v/>
      </c>
      <c r="BJ208" s="284" t="e">
        <f>IF(VLOOKUP(T_Convention[[#This Row],[NumL]],T_TraitDi[#Data],COLUMN(T_TraitDi[NbhTW]),FALSE)=0,"",TEXT(IFERROR(VLOOKUP(T_Convention[[#This Row],[NumL]],T_TraitDi[#Data],COLUMN(T_TraitDi[NbhTW]),FALSE),""),"[hh]:mm"))</f>
        <v>#N/A</v>
      </c>
      <c r="BK208" s="286" t="e">
        <f>IF(VLOOKUP(T_Convention[[#This Row],[NumL]],T_TraitDi[#Data],COLUMN(T_TraitDi[Nbhheb]),FALSE)=0,"",TEXT(IFERROR(VLOOKUP(T_Convention[[#This Row],[NumL]],T_TraitDi[#Data],COLUMN(T_TraitDi[Nbhheb]),FALSE),""),"[hh]:mm"))</f>
        <v>#N/A</v>
      </c>
      <c r="BL208" s="287" t="str">
        <f>IFERROR(VLOOKUP(VLOOKUP(T_Convention[[#This Row],[NumL]],T_TraitDi[#Data],COLUMN(T_TraitDi[Type1]),FALSE),TypeTW,2,FALSE),"")</f>
        <v/>
      </c>
      <c r="BM208" s="288" t="str">
        <f>IFERROR(VLOOKUP(T_Convention[[#This Row],[NumL]],T_TraitDi[#Data],COLUMN(T_TraitDi[Rue1]),FALSE),"")</f>
        <v/>
      </c>
      <c r="BN208" s="289" t="str">
        <f>IFERROR(VLOOKUP(T_Convention[[#This Row],[NumL]],T_TraitDi[#Data],COLUMN(T_TraitDi[CP1]),FALSE),"")</f>
        <v/>
      </c>
      <c r="BO208" s="282" t="str">
        <f>IFERROR(VLOOKUP(T_Convention[[#This Row],[NumL]],T_TraitDi[#Data],COLUMN(T_TraitDi[VILLE1]),FALSE),"")</f>
        <v/>
      </c>
      <c r="BP208" s="290" t="str">
        <f>IFERROR(VLOOKUP(VLOOKUP(T_Convention[[#This Row],[NumL]],T_TraitDi[#Data],COLUMN(T_TraitDi[Type2]),FALSE),TypeTW,2,FALSE),"")</f>
        <v/>
      </c>
      <c r="BQ208" s="182" t="str">
        <f>IFERROR(VLOOKUP(T_Convention[[#This Row],[NumL]],T_TraitDi[#Data],COLUMN(T_TraitDi[Rue2]),FALSE),"")</f>
        <v/>
      </c>
      <c r="BR208" s="173" t="str">
        <f>IFERROR(VLOOKUP(T_Convention[[#This Row],[NumL]],T_TraitDi[#Data],COLUMN(T_TraitDi[CP2]),FALSE),"")</f>
        <v/>
      </c>
      <c r="BS208" s="173" t="str">
        <f>IFERROR(VLOOKUP(T_Convention[[#This Row],[NumL]],T_TraitDi[#Data],COLUMN(T_TraitDi[VILLE2]),FALSE),"")</f>
        <v/>
      </c>
      <c r="BT208" s="182" t="str">
        <f>IF(VLOOKUP(T_Convention[[#This Row],[NumL]],T_Equipement[#Data],COLUMN(T_Equipement[PC]),FALSE)="","Aucun équipement spécifique directement lié au télétravail",VLOOKUP(T_Convention[[#This Row],[NumL]],T_Equipement[#Data],COLUMN(T_Equipement[PC]),FALSE))</f>
        <v xml:space="preserve">16-436	</v>
      </c>
      <c r="BU208" s="166" t="str">
        <f>IFERROR(IF(VLOOKUP(T_Convention[[#This Row],[NumL]],T_TraitDi[#Data],COLUMN(T_TraitDi[Plan]),FALSE)="OK","Un planning spécifique de télétravail est annexé à la présente convention.",""),"")</f>
        <v/>
      </c>
      <c r="BV208" s="185" t="s">
        <v>3311</v>
      </c>
      <c r="BW208" s="164" t="e">
        <f>IF(VLOOKUP(T_Convention[[#This Row],[NumL]],T_suiviDi[#Data],COLUMN(T_suiviDi[Entité]),FALSE)="","",VLOOKUP(T_Convention[[#This Row],[NumL]],T_suiviDi[#Data],COLUMN(T_suiviDi[Entité]),FALSE))</f>
        <v>#N/A</v>
      </c>
      <c r="BX208" s="164" t="str">
        <f>IF(VLOOKUP(T_Convention[[#This Row],[NumL]],T_Commission[#Data],COLUMN(T_Commission[envoi confirm TW]),FALSE)="","",VLOOKUP(T_Convention[[#This Row],[NumL]],T_Commission[#Data],COLUMN(T_Commission[envoi confirm TW]),FALSE))</f>
        <v>Oui</v>
      </c>
      <c r="BY20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8" s="264">
        <f>VLOOKUP(T_Convention[[#This Row],[NumL]],T_Commission[#Data],COLUMN(T_Commission[Commentaire]),FALSE)</f>
        <v>0</v>
      </c>
      <c r="CA208" s="254" t="str">
        <f>IF(VLOOKUP(T_Convention[[#This Row],[NumL]],T_Commission[#Data],COLUMN(T_Commission[Encadrant Email]),FALSE)="","",VLOOKUP(T_Convention[[#This Row],[NumL]],T_Commission[#Data],COLUMN(T_Commission[Encadrant Email]),FALSE))</f>
        <v/>
      </c>
      <c r="CB208" s="352" t="e">
        <f>VLOOKUP(T_Convention[[#This Row],[NumL]],T_TraitDi[#Data],COLUMN(T_TraitDi[NbJTot]),FALSE)</f>
        <v>#N/A</v>
      </c>
      <c r="CC208" s="352" t="e">
        <f>VLOOKUP(T_Convention[[#This Row],[NumL]],T_TraitDi[#Data],COLUMN(T_TraitDi[Reg Ponct]),FALSE)</f>
        <v>#N/A</v>
      </c>
      <c r="CD208" s="348" t="str">
        <f>IF(T_Convention[[#This Row],[Final]]&lt;&gt;"",VLOOKUP(T_Convention[[#This Row],[NumL]],T_suiviDi[#Data],COLUMN((T_suiviDi[Statut])),FALSE),"")</f>
        <v/>
      </c>
    </row>
    <row r="209" spans="1:82" s="106" customFormat="1" ht="18.75" customHeight="1" x14ac:dyDescent="0.25">
      <c r="A209" s="160">
        <v>143</v>
      </c>
      <c r="B209" s="161" t="str">
        <f>VLOOKUP(T_Convention[[#This Row],[NumL]],T_Commission[#Data],COLUMN(T_Commission[FINAL]),FALSE)</f>
        <v/>
      </c>
      <c r="C209" s="162"/>
      <c r="D209" s="95" t="e">
        <f>IF(VLOOKUP(T_Convention[[#This Row],[NumL]],T_TraitDi[#Data],COLUMN(T_TraitDi[WebC]),FALSE)="","",VLOOKUP(T_Convention[[#This Row],[NumL]],T_TraitDi[#Data],COLUMN(T_TraitDi[WebC]),FALSE))</f>
        <v>#N/A</v>
      </c>
      <c r="E209" s="163" t="str">
        <f t="shared" si="15"/>
        <v>12 janvier 2021</v>
      </c>
      <c r="F209" s="282" t="str">
        <f>IF(T_Convention[[#This Row],[Final]]&lt;&gt;"",VLOOKUP(T_Convention[[#This Row],[NumL]],T_suiviDi[#Data],COLUMN((T_suiviDi[Civ.])),FALSE),"")</f>
        <v/>
      </c>
      <c r="G209" s="283" t="str">
        <f>IF(T_Convention[[#This Row],[Final]]&lt;&gt;"",VLOOKUP(T_Convention[[#This Row],[NumL]],T_suiviDi[#Data],COLUMN((T_suiviDi[Nom])),FALSE),"")</f>
        <v/>
      </c>
      <c r="H209" s="282" t="str">
        <f>IF(T_Convention[[#This Row],[Final]]&lt;&gt;"",VLOOKUP(T_Convention[[#This Row],[NumL]],T_suiviDi[#Data],COLUMN((T_suiviDi[Prénom])),FALSE),"")</f>
        <v/>
      </c>
      <c r="I209" s="282" t="e">
        <f>VLOOKUP(T_Convention[[#This Row],[NumL]],T_suiviDi[#Data],COLUMN((T_suiviDi[[#This Row],[Email]])),FALSE)</f>
        <v>#VALUE!</v>
      </c>
      <c r="J209" s="282" t="e">
        <f>IF(VLOOKUP(T_Convention[[#This Row],[NumL]],T_suiviDi[#Data],COLUMN(T_suiviDi[[#This Row],[Fonction]]),FALSE)="","",VLOOKUP(T_Convention[[#This Row],[NumL]],T_suiviDi[#Data],COLUMN(T_suiviDi[[#This Row],[Fonction]]),FALSE))</f>
        <v>#VALUE!</v>
      </c>
      <c r="K209" s="282" t="e">
        <f>IF(VLOOKUP(T_Convention[[#This Row],[NumL]],T_suiviDi[#Data],COLUMN(T_suiviDi[[#This Row],[Grade]]),FALSE)="","",VLOOKUP(T_Convention[[#This Row],[NumL]],T_suiviDi[#Data],COLUMN(T_suiviDi[[#This Row],[Grade]]),FALSE))</f>
        <v>#VALUE!</v>
      </c>
      <c r="L209" s="282" t="e">
        <f>IF(VLOOKUP(T_Convention[[#This Row],[NumL]],T_suiviDi[#Data],COLUMN(T_suiviDi[[#This Row],[Service ]]),FALSE)="","",VLOOKUP(T_Convention[[#This Row],[NumL]],T_suiviDi[#Data],COLUMN(T_suiviDi[[#This Row],[Service ]]),FALSE))</f>
        <v>#VALUE!</v>
      </c>
      <c r="M209" s="164" t="str">
        <f t="shared" si="16"/>
        <v>01 septembre 2021</v>
      </c>
      <c r="N209" s="164" t="str">
        <f t="shared" si="17"/>
        <v>30 novembre 2021</v>
      </c>
      <c r="O209" s="284" t="str">
        <f t="shared" si="18"/>
        <v>30 novembre 2021</v>
      </c>
      <c r="P209" s="282" t="e">
        <f>IF(VLOOKUP(T_Convention[[#This Row],[NumL]],T_TraitDi[#Data],COLUMN(T_TraitDi[M1]),FALSE)="","",VLOOKUP(T_Convention[[#This Row],[NumL]],T_TraitDi[#Data],COLUMN(T_TraitDi[M1]),FALSE))</f>
        <v>#N/A</v>
      </c>
      <c r="Q209" s="282" t="e">
        <f>IF(VLOOKUP(T_Convention[[#This Row],[NumL]],T_TraitDi[#Data],COLUMN(T_TraitDi[M2]),FALSE)="","",VLOOKUP(T_Convention[[#This Row],[NumL]],T_TraitDi[#Data],COLUMN(T_TraitDi[M2]),FALSE))</f>
        <v>#N/A</v>
      </c>
      <c r="R209" s="282" t="e">
        <f>IF(VLOOKUP(T_Convention[[#This Row],[NumL]],T_TraitDi[#Data],COLUMN(T_TraitDi[M3]),FALSE)="","",VLOOKUP(T_Convention[[#This Row],[NumL]],T_TraitDi[#Data],COLUMN(T_TraitDi[M3]),FALSE))</f>
        <v>#N/A</v>
      </c>
      <c r="S209" s="282" t="e">
        <f>IF(VLOOKUP(T_Convention[[#This Row],[NumL]],T_TraitDi[#Data],COLUMN(T_TraitDi[M4]),FALSE)="","",VLOOKUP(T_Convention[[#This Row],[NumL]],T_TraitDi[#Data],COLUMN(T_TraitDi[M4]),FALSE))</f>
        <v>#N/A</v>
      </c>
      <c r="T209" s="282" t="e">
        <f>IF(VLOOKUP(T_Convention[[#This Row],[NumL]],T_TraitDi[#Data],COLUMN(T_TraitDi[M5]),FALSE)="","",VLOOKUP(T_Convention[[#This Row],[NumL]],T_TraitDi[#Data],COLUMN(T_TraitDi[M5]),FALSE))</f>
        <v>#N/A</v>
      </c>
      <c r="U209" s="282" t="e">
        <f>IF(VLOOKUP(T_Convention[[#This Row],[NumL]],T_TraitDi[#Data],COLUMN(T_TraitDi[M6]),FALSE)="","",VLOOKUP(T_Convention[[#This Row],[NumL]],T_TraitDi[#Data],COLUMN(T_TraitDi[M6]),FALSE))</f>
        <v>#N/A</v>
      </c>
      <c r="V209" s="176" t="e">
        <f t="shared" si="19"/>
        <v>#N/A</v>
      </c>
      <c r="W209" s="284" t="str">
        <f>IFERROR(TEXT(VLOOKUP(T_Convention[[#This Row],[NumL]],T_TraitDi[#Data],COLUMN(T_TraitDi[Q2]),FALSE),"###%"),"")</f>
        <v/>
      </c>
      <c r="X209" s="97" t="e">
        <f>VLOOKUP(T_Convention[[#This Row],[NumL]],T_TraitDi[#Data],COLUMN(T_TraitDi[Reg Ponct]),FALSE)</f>
        <v>#N/A</v>
      </c>
      <c r="Y209" s="97" t="e">
        <f>VLOOKUP(T_Convention[NumL],T_TraitDi[#Data],COLUMN(T_TraitDi[Jours flottants]),FALSE)</f>
        <v>#N/A</v>
      </c>
      <c r="Z209" s="284" t="str">
        <f>IFERROR(VLOOKUP(T_Convention[[#This Row],[NumL]],T_TraitDi[#Data],COLUMN(T_TraitDi[Lundi]),FALSE),"")</f>
        <v/>
      </c>
      <c r="AA209" s="284" t="e">
        <f>IF(VLOOKUP(T_Convention[[#This Row],[NumL]],T_TraitDi[#Data],COLUMN(T_TraitDi[Colonne3]),FALSE)=0,"",TEXT(IFERROR(VLOOKUP(T_Convention[[#This Row],[NumL]],T_TraitDi[#Data],COLUMN(T_TraitDi[Colonne3]),FALSE),""),"[hh]:mm"))</f>
        <v>#N/A</v>
      </c>
      <c r="AB209" s="284" t="e">
        <f>IF(VLOOKUP(T_Convention[[#This Row],[NumL]],T_TraitDi[#Data],COLUMN(T_TraitDi[Colonne4]),FALSE)=0,"",TEXT(IFERROR(VLOOKUP(T_Convention[[#This Row],[NumL]],T_TraitDi[#Data],COLUMN(T_TraitDi[Colonne4]),FALSE),""),"[hh]:mm"))</f>
        <v>#N/A</v>
      </c>
      <c r="AC209" s="284" t="e">
        <f>IF(VLOOKUP(T_Convention[[#This Row],[NumL]],T_TraitDi[#Data],COLUMN(T_TraitDi[Colonne5]),FALSE)=0,"",TEXT(IFERROR(VLOOKUP(T_Convention[[#This Row],[NumL]],T_TraitDi[#Data],COLUMN(T_TraitDi[Colonne5]),FALSE),""),"[hh]:mm"))</f>
        <v>#N/A</v>
      </c>
      <c r="AD209" s="284" t="e">
        <f>IF(VLOOKUP(T_Convention[[#This Row],[NumL]],T_TraitDi[#Data],COLUMN(T_TraitDi[Colonne6]),FALSE)=0,"",TEXT(IFERROR(VLOOKUP(T_Convention[[#This Row],[NumL]],T_TraitDi[#Data],COLUMN(T_TraitDi[Colonne6]),FALSE),""),"[hh]:mm"))</f>
        <v>#N/A</v>
      </c>
      <c r="AE209" s="284" t="e">
        <f>IF(VLOOKUP(T_Convention[[#This Row],[NumL]],T_TraitDi[#Data],COLUMN(T_TraitDi[Colonne7]),FALSE)=0,"",TEXT(IFERROR(VLOOKUP(T_Convention[[#This Row],[NumL]],T_TraitDi[#Data],COLUMN(T_TraitDi[Colonne7]),FALSE),""),"[hh]:mm"))</f>
        <v>#N/A</v>
      </c>
      <c r="AF209" s="284" t="e">
        <f>IF(VLOOKUP(T_Convention[[#This Row],[NumL]],T_TraitDi[#Data],COLUMN(T_TraitDi[Colonne8]),FALSE)=0,"",TEXT(IFERROR(VLOOKUP(T_Convention[[#This Row],[NumL]],T_TraitDi[#Data],COLUMN(T_TraitDi[Colonne8]),FALSE),""),"[hh]:mm"))</f>
        <v>#N/A</v>
      </c>
      <c r="AG209" s="284" t="str">
        <f>IFERROR(VLOOKUP(T_Convention[[#This Row],[NumL]],T_TraitDi[#Data],COLUMN(T_TraitDi[Mardi]),FALSE),"")</f>
        <v/>
      </c>
      <c r="AH209" s="284" t="e">
        <f>IF(VLOOKUP(T_Convention[[#This Row],[NumL]],T_TraitDi[#Data],COLUMN(T_TraitDi[Colonne1]),FALSE)=0,"",TEXT(IFERROR(VLOOKUP(T_Convention[[#This Row],[NumL]],T_TraitDi[#Data],COLUMN(T_TraitDi[Colonne1]),FALSE),""),"[hh]:mm"))</f>
        <v>#N/A</v>
      </c>
      <c r="AI209" s="284" t="e">
        <f>IF(VLOOKUP(T_Convention[[#This Row],[NumL]],T_TraitDi[#Data],COLUMN(T_TraitDi[Colonne9]),FALSE)=0,"",TEXT(IFERROR(VLOOKUP(T_Convention[[#This Row],[NumL]],T_TraitDi[#Data],COLUMN(T_TraitDi[Colonne9]),FALSE),""),"[hh]:mm"))</f>
        <v>#N/A</v>
      </c>
      <c r="AJ209" s="284" t="str">
        <f>IFERROR(VLOOKUP(T_Convention[[#This Row],[NumL]],T_TraitDi[#Data],COLUMN(T_TraitDi[Colonne10]),FALSE),"")</f>
        <v/>
      </c>
      <c r="AK209" s="284" t="e">
        <f>IF(VLOOKUP(T_Convention[[#This Row],[NumL]],T_TraitDi[#Data],COLUMN(T_TraitDi[Colonne11]),FALSE)=0,"",TEXT(IFERROR(VLOOKUP(T_Convention[[#This Row],[NumL]],T_TraitDi[#Data],COLUMN(T_TraitDi[Colonne11]),FALSE),""),"[hh]:mm"))</f>
        <v>#N/A</v>
      </c>
      <c r="AL209" s="284" t="e">
        <f>IF(VLOOKUP(T_Convention[[#This Row],[NumL]],T_TraitDi[#Data],COLUMN(T_TraitDi[Colonne12]),FALSE)=0,"",TEXT(IFERROR(VLOOKUP(T_Convention[[#This Row],[NumL]],T_TraitDi[#Data],COLUMN(T_TraitDi[Colonne12]),FALSE),""),"[hh]:mm"))</f>
        <v>#N/A</v>
      </c>
      <c r="AM209" s="284" t="e">
        <f>IF(VLOOKUP(T_Convention[[#This Row],[NumL]],T_TraitDi[#Data],COLUMN(T_TraitDi[Colonne14]),FALSE)=0,"",TEXT(IFERROR(VLOOKUP(T_Convention[[#This Row],[NumL]],T_TraitDi[#Data],COLUMN(T_TraitDi[Colonne14]),FALSE),""),"[hh]:mm"))</f>
        <v>#N/A</v>
      </c>
      <c r="AN209" s="284" t="str">
        <f>IFERROR(VLOOKUP(T_Convention[[#This Row],[NumL]],T_TraitDi[#Data],COLUMN(T_TraitDi[Mercredi]),FALSE),"")</f>
        <v/>
      </c>
      <c r="AO209" s="284" t="e">
        <f>IF(VLOOKUP(T_Convention[[#This Row],[NumL]],T_TraitDi[#Data],COLUMN(T_TraitDi[Colonne15]),FALSE)=0,"",TEXT(IFERROR(VLOOKUP(T_Convention[[#This Row],[NumL]],T_TraitDi[#Data],COLUMN(T_TraitDi[Colonne15]),FALSE),""),"[hh]:mm"))</f>
        <v>#N/A</v>
      </c>
      <c r="AP209" s="284" t="e">
        <f>IF(VLOOKUP(T_Convention[[#This Row],[NumL]],T_TraitDi[#Data],COLUMN(T_TraitDi[Colonne16]),FALSE)=0,"",TEXT(IFERROR(VLOOKUP(T_Convention[[#This Row],[NumL]],T_TraitDi[#Data],COLUMN(T_TraitDi[Colonne16]),FALSE),""),"[hh]:mm"))</f>
        <v>#N/A</v>
      </c>
      <c r="AQ209" s="284" t="str">
        <f>IFERROR(VLOOKUP(T_Convention[[#This Row],[NumL]],T_TraitDi[#Data],COLUMN(T_TraitDi[Colonne17]),FALSE),"")</f>
        <v/>
      </c>
      <c r="AR209" s="284" t="e">
        <f>IF(VLOOKUP(T_Convention[[#This Row],[NumL]],T_TraitDi[#Data],COLUMN(T_TraitDi[Colonne18]),FALSE)=0,"",TEXT(IFERROR(VLOOKUP(T_Convention[[#This Row],[NumL]],T_TraitDi[#Data],COLUMN(T_TraitDi[Colonne18]),FALSE),""),"[hh]:mm"))</f>
        <v>#N/A</v>
      </c>
      <c r="AS209" s="284" t="e">
        <f>IF(VLOOKUP(T_Convention[[#This Row],[NumL]],T_TraitDi[#Data],COLUMN(T_TraitDi[Colonne19]),FALSE)=0,"",TEXT(IFERROR(VLOOKUP(T_Convention[[#This Row],[NumL]],T_TraitDi[#Data],COLUMN(T_TraitDi[Colonne19]),FALSE),""),"[hh]:mm"))</f>
        <v>#N/A</v>
      </c>
      <c r="AT209" s="284" t="e">
        <f>IF(VLOOKUP(T_Convention[[#This Row],[NumL]],T_TraitDi[#Data],COLUMN(T_TraitDi[Colonne20]),FALSE)=0,"",TEXT(IFERROR(VLOOKUP(T_Convention[[#This Row],[NumL]],T_TraitDi[#Data],COLUMN(T_TraitDi[Colonne20]),FALSE),""),"[hh]:mm"))</f>
        <v>#N/A</v>
      </c>
      <c r="AU209" s="284" t="str">
        <f>IFERROR(VLOOKUP(T_Convention[[#This Row],[NumL]],T_TraitDi[#Data],COLUMN(T_TraitDi[Jeudi]),FALSE),"")</f>
        <v/>
      </c>
      <c r="AV209" s="284" t="e">
        <f>IF(VLOOKUP(T_Convention[[#This Row],[NumL]],T_TraitDi[#Data],COLUMN(T_TraitDi[Colonne21]),FALSE)=0,"",TEXT(IFERROR(VLOOKUP(T_Convention[[#This Row],[NumL]],T_TraitDi[#Data],COLUMN(T_TraitDi[Colonne21]),FALSE),""),"[hh]:mm"))</f>
        <v>#N/A</v>
      </c>
      <c r="AW209" s="284" t="e">
        <f>IF(VLOOKUP(T_Convention[[#This Row],[NumL]],T_TraitDi[#Data],COLUMN(T_TraitDi[Colonne22]),FALSE)=0,"",TEXT(IFERROR(VLOOKUP(T_Convention[[#This Row],[NumL]],T_TraitDi[#Data],COLUMN(T_TraitDi[Colonne22]),FALSE),""),"[hh]:mm"))</f>
        <v>#N/A</v>
      </c>
      <c r="AX209" s="284" t="str">
        <f>IFERROR(VLOOKUP(T_Convention[[#This Row],[NumL]],T_TraitDi[#Data],COLUMN(T_TraitDi[Colonne23]),FALSE),"")</f>
        <v/>
      </c>
      <c r="AY209" s="284" t="e">
        <f>IF(VLOOKUP(T_Convention[[#This Row],[NumL]],T_TraitDi[#Data],COLUMN(T_TraitDi[Colonne24]),FALSE)=0,"",TEXT(IFERROR(VLOOKUP(T_Convention[[#This Row],[NumL]],T_TraitDi[#Data],COLUMN(T_TraitDi[Colonne24]),FALSE),""),"[hh]:mm"))</f>
        <v>#N/A</v>
      </c>
      <c r="AZ209" s="284" t="e">
        <f>IF(VLOOKUP(T_Convention[[#This Row],[NumL]],T_TraitDi[#Data],COLUMN(T_TraitDi[Colonne25]),FALSE)=0,"",TEXT(IFERROR(VLOOKUP(T_Convention[[#This Row],[NumL]],T_TraitDi[#Data],COLUMN(T_TraitDi[Colonne25]),FALSE),""),"[hh]:mm"))</f>
        <v>#N/A</v>
      </c>
      <c r="BA209" s="284" t="e">
        <f>IF(VLOOKUP(T_Convention[[#This Row],[NumL]],T_TraitDi[#Data],COLUMN(T_TraitDi[Colonne26]),FALSE)=0,"",TEXT(IFERROR(VLOOKUP(T_Convention[[#This Row],[NumL]],T_TraitDi[#Data],COLUMN(T_TraitDi[Colonne26]),FALSE),""),"[hh]:mm"))</f>
        <v>#N/A</v>
      </c>
      <c r="BB209" s="284" t="str">
        <f>IFERROR(VLOOKUP(T_Convention[[#This Row],[NumL]],T_TraitDi[#Data],COLUMN(T_TraitDi[Vendredi]),FALSE),"")</f>
        <v/>
      </c>
      <c r="BC209" s="284" t="e">
        <f>IF(VLOOKUP(T_Convention[[#This Row],[NumL]],T_TraitDi[#Data],COLUMN(T_TraitDi[Colonne27]),FALSE)=0,"",TEXT(IFERROR(VLOOKUP(T_Convention[[#This Row],[NumL]],T_TraitDi[#Data],COLUMN(T_TraitDi[Colonne27]),FALSE),""),"[hh]:mm"))</f>
        <v>#N/A</v>
      </c>
      <c r="BD209" s="284" t="e">
        <f>IF(VLOOKUP(T_Convention[[#This Row],[NumL]],T_TraitDi[#Data],COLUMN(T_TraitDi[Colonne28]),FALSE)=0,"",TEXT(IFERROR(VLOOKUP(T_Convention[[#This Row],[NumL]],T_TraitDi[#Data],COLUMN(T_TraitDi[Colonne28]),FALSE),""),"[hh]:mm"))</f>
        <v>#N/A</v>
      </c>
      <c r="BE209" s="284" t="str">
        <f>IFERROR(VLOOKUP(T_Convention[[#This Row],[NumL]],T_TraitDi[#Data],COLUMN(T_TraitDi[Colonne29]),FALSE),"")</f>
        <v/>
      </c>
      <c r="BF209" s="284" t="e">
        <f>IF(VLOOKUP(T_Convention[[#This Row],[NumL]],T_TraitDi[#Data],COLUMN(T_TraitDi[Colonne30]),FALSE)=0,"",TEXT(IFERROR(VLOOKUP(T_Convention[[#This Row],[NumL]],T_TraitDi[#Data],COLUMN(T_TraitDi[Colonne30]),FALSE),""),"[hh]:mm"))</f>
        <v>#N/A</v>
      </c>
      <c r="BG209" s="284" t="e">
        <f>IF(VLOOKUP(T_Convention[[#This Row],[NumL]],T_TraitDi[#Data],COLUMN(T_TraitDi[Colonne31]),FALSE)=0,"",TEXT(IFERROR(VLOOKUP(T_Convention[[#This Row],[NumL]],T_TraitDi[#Data],COLUMN(T_TraitDi[Colonne31]),FALSE),""),"[hh]:mm"))</f>
        <v>#N/A</v>
      </c>
      <c r="BH209" s="284" t="e">
        <f>IF(VLOOKUP(T_Convention[[#This Row],[NumL]],T_TraitDi[#Data],COLUMN(T_TraitDi[Colonne32]),FALSE)=0,"",TEXT(IFERROR(VLOOKUP(T_Convention[[#This Row],[NumL]],T_TraitDi[#Data],COLUMN(T_TraitDi[Colonne32]),FALSE),""),"[hh]:mm"))</f>
        <v>#N/A</v>
      </c>
      <c r="BI209" s="284" t="str">
        <f>IFERROR(VLOOKUP(T_Convention[[#This Row],[NumL]],T_TraitDi[#Data],COLUMN(T_TraitDi[NbJTW]),FALSE),"")</f>
        <v/>
      </c>
      <c r="BJ209" s="284" t="e">
        <f>IF(VLOOKUP(T_Convention[[#This Row],[NumL]],T_TraitDi[#Data],COLUMN(T_TraitDi[NbhTW]),FALSE)=0,"",TEXT(IFERROR(VLOOKUP(T_Convention[[#This Row],[NumL]],T_TraitDi[#Data],COLUMN(T_TraitDi[NbhTW]),FALSE),""),"[hh]:mm"))</f>
        <v>#N/A</v>
      </c>
      <c r="BK209" s="286" t="e">
        <f>IF(VLOOKUP(T_Convention[[#This Row],[NumL]],T_TraitDi[#Data],COLUMN(T_TraitDi[Nbhheb]),FALSE)=0,"",TEXT(IFERROR(VLOOKUP(T_Convention[[#This Row],[NumL]],T_TraitDi[#Data],COLUMN(T_TraitDi[Nbhheb]),FALSE),""),"[hh]:mm"))</f>
        <v>#N/A</v>
      </c>
      <c r="BL209" s="287" t="str">
        <f>IFERROR(VLOOKUP(VLOOKUP(T_Convention[[#This Row],[NumL]],T_TraitDi[#Data],COLUMN(T_TraitDi[Type1]),FALSE),TypeTW,2,FALSE),"")</f>
        <v/>
      </c>
      <c r="BM209" s="288" t="str">
        <f>IFERROR(VLOOKUP(T_Convention[[#This Row],[NumL]],T_TraitDi[#Data],COLUMN(T_TraitDi[Rue1]),FALSE),"")</f>
        <v/>
      </c>
      <c r="BN209" s="289" t="str">
        <f>IFERROR(VLOOKUP(T_Convention[[#This Row],[NumL]],T_TraitDi[#Data],COLUMN(T_TraitDi[CP1]),FALSE),"")</f>
        <v/>
      </c>
      <c r="BO209" s="282" t="str">
        <f>IFERROR(VLOOKUP(T_Convention[[#This Row],[NumL]],T_TraitDi[#Data],COLUMN(T_TraitDi[VILLE1]),FALSE),"")</f>
        <v/>
      </c>
      <c r="BP209" s="290" t="str">
        <f>IFERROR(VLOOKUP(VLOOKUP(T_Convention[[#This Row],[NumL]],T_TraitDi[#Data],COLUMN(T_TraitDi[Type2]),FALSE),TypeTW,2,FALSE),"")</f>
        <v/>
      </c>
      <c r="BQ209" s="182" t="str">
        <f>IFERROR(VLOOKUP(T_Convention[[#This Row],[NumL]],T_TraitDi[#Data],COLUMN(T_TraitDi[Rue2]),FALSE),"")</f>
        <v/>
      </c>
      <c r="BR209" s="173" t="str">
        <f>IFERROR(VLOOKUP(T_Convention[[#This Row],[NumL]],T_TraitDi[#Data],COLUMN(T_TraitDi[CP2]),FALSE),"")</f>
        <v/>
      </c>
      <c r="BS209" s="173" t="str">
        <f>IFERROR(VLOOKUP(T_Convention[[#This Row],[NumL]],T_TraitDi[#Data],COLUMN(T_TraitDi[VILLE2]),FALSE),"")</f>
        <v/>
      </c>
      <c r="BT209" s="182" t="str">
        <f>IF(VLOOKUP(T_Convention[[#This Row],[NumL]],T_Equipement[#Data],COLUMN(T_Equipement[PC]),FALSE)="","Aucun équipement spécifique directement lié au télétravail",VLOOKUP(T_Convention[[#This Row],[NumL]],T_Equipement[#Data],COLUMN(T_Equipement[PC]),FALSE))</f>
        <v xml:space="preserve">20-075	</v>
      </c>
      <c r="BU209" s="166" t="str">
        <f>IFERROR(IF(VLOOKUP(T_Convention[[#This Row],[NumL]],T_TraitDi[#Data],COLUMN(T_TraitDi[Plan]),FALSE)="OK","Un planning spécifique de télétravail est annexé à la présente convention.",""),"")</f>
        <v/>
      </c>
      <c r="BV209" s="185" t="s">
        <v>3506</v>
      </c>
      <c r="BW209" s="164" t="e">
        <f>IF(VLOOKUP(T_Convention[[#This Row],[NumL]],T_suiviDi[#Data],COLUMN(T_suiviDi[Entité]),FALSE)="","",VLOOKUP(T_Convention[[#This Row],[NumL]],T_suiviDi[#Data],COLUMN(T_suiviDi[Entité]),FALSE))</f>
        <v>#N/A</v>
      </c>
      <c r="BX209" s="164" t="str">
        <f>IF(VLOOKUP(T_Convention[[#This Row],[NumL]],T_Commission[#Data],COLUMN(T_Commission[envoi confirm TW]),FALSE)="","",VLOOKUP(T_Convention[[#This Row],[NumL]],T_Commission[#Data],COLUMN(T_Commission[envoi confirm TW]),FALSE))</f>
        <v>Oui</v>
      </c>
      <c r="BY20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09" s="264">
        <f>VLOOKUP(T_Convention[[#This Row],[NumL]],T_Commission[#Data],COLUMN(T_Commission[Commentaire]),FALSE)</f>
        <v>0</v>
      </c>
      <c r="CA209" s="254" t="str">
        <f>IF(VLOOKUP(T_Convention[[#This Row],[NumL]],T_Commission[#Data],COLUMN(T_Commission[Encadrant Email]),FALSE)="","",VLOOKUP(T_Convention[[#This Row],[NumL]],T_Commission[#Data],COLUMN(T_Commission[Encadrant Email]),FALSE))</f>
        <v/>
      </c>
      <c r="CB209" s="352" t="e">
        <f>VLOOKUP(T_Convention[[#This Row],[NumL]],T_TraitDi[#Data],COLUMN(T_TraitDi[NbJTot]),FALSE)</f>
        <v>#N/A</v>
      </c>
      <c r="CC209" s="352" t="e">
        <f>VLOOKUP(T_Convention[[#This Row],[NumL]],T_TraitDi[#Data],COLUMN(T_TraitDi[Reg Ponct]),FALSE)</f>
        <v>#N/A</v>
      </c>
      <c r="CD209" s="348" t="str">
        <f>IF(T_Convention[[#This Row],[Final]]&lt;&gt;"",VLOOKUP(T_Convention[[#This Row],[NumL]],T_suiviDi[#Data],COLUMN((T_suiviDi[Statut])),FALSE),"")</f>
        <v/>
      </c>
    </row>
    <row r="210" spans="1:82" s="106" customFormat="1" ht="18.75" customHeight="1" x14ac:dyDescent="0.25">
      <c r="A210" s="160">
        <v>169</v>
      </c>
      <c r="B210" s="161" t="str">
        <f>VLOOKUP(T_Convention[[#This Row],[NumL]],T_Commission[#Data],COLUMN(T_Commission[FINAL]),FALSE)</f>
        <v/>
      </c>
      <c r="C210" s="162"/>
      <c r="D210" s="95" t="e">
        <f>IF(VLOOKUP(T_Convention[[#This Row],[NumL]],T_TraitDi[#Data],COLUMN(T_TraitDi[WebC]),FALSE)="","",VLOOKUP(T_Convention[[#This Row],[NumL]],T_TraitDi[#Data],COLUMN(T_TraitDi[WebC]),FALSE))</f>
        <v>#N/A</v>
      </c>
      <c r="E210" s="163" t="str">
        <f t="shared" si="15"/>
        <v>12 janvier 2021</v>
      </c>
      <c r="F210" s="282" t="str">
        <f>IF(T_Convention[[#This Row],[Final]]&lt;&gt;"",VLOOKUP(T_Convention[[#This Row],[NumL]],T_suiviDi[#Data],COLUMN((T_suiviDi[Civ.])),FALSE),"")</f>
        <v/>
      </c>
      <c r="G210" s="283" t="str">
        <f>IF(T_Convention[[#This Row],[Final]]&lt;&gt;"",VLOOKUP(T_Convention[[#This Row],[NumL]],T_suiviDi[#Data],COLUMN((T_suiviDi[Nom])),FALSE),"")</f>
        <v/>
      </c>
      <c r="H210" s="282" t="str">
        <f>IF(T_Convention[[#This Row],[Final]]&lt;&gt;"",VLOOKUP(T_Convention[[#This Row],[NumL]],T_suiviDi[#Data],COLUMN((T_suiviDi[Prénom])),FALSE),"")</f>
        <v/>
      </c>
      <c r="I210" s="282" t="e">
        <f>VLOOKUP(T_Convention[[#This Row],[NumL]],T_suiviDi[#Data],COLUMN((T_suiviDi[[#This Row],[Email]])),FALSE)</f>
        <v>#VALUE!</v>
      </c>
      <c r="J210" s="282" t="e">
        <f>IF(VLOOKUP(T_Convention[[#This Row],[NumL]],T_suiviDi[#Data],COLUMN(T_suiviDi[[#This Row],[Fonction]]),FALSE)="","",VLOOKUP(T_Convention[[#This Row],[NumL]],T_suiviDi[#Data],COLUMN(T_suiviDi[[#This Row],[Fonction]]),FALSE))</f>
        <v>#VALUE!</v>
      </c>
      <c r="K210" s="282" t="e">
        <f>IF(VLOOKUP(T_Convention[[#This Row],[NumL]],T_suiviDi[#Data],COLUMN(T_suiviDi[[#This Row],[Grade]]),FALSE)="","",VLOOKUP(T_Convention[[#This Row],[NumL]],T_suiviDi[#Data],COLUMN(T_suiviDi[[#This Row],[Grade]]),FALSE))</f>
        <v>#VALUE!</v>
      </c>
      <c r="L210" s="282" t="e">
        <f>IF(VLOOKUP(T_Convention[[#This Row],[NumL]],T_suiviDi[#Data],COLUMN(T_suiviDi[[#This Row],[Service ]]),FALSE)="","",VLOOKUP(T_Convention[[#This Row],[NumL]],T_suiviDi[#Data],COLUMN(T_suiviDi[[#This Row],[Service ]]),FALSE))</f>
        <v>#VALUE!</v>
      </c>
      <c r="M210" s="164" t="str">
        <f t="shared" si="16"/>
        <v>01 septembre 2021</v>
      </c>
      <c r="N210" s="164" t="str">
        <f t="shared" si="17"/>
        <v>30 novembre 2021</v>
      </c>
      <c r="O210" s="284" t="str">
        <f t="shared" si="18"/>
        <v>30 novembre 2021</v>
      </c>
      <c r="P210" s="282" t="e">
        <f>IF(VLOOKUP(T_Convention[[#This Row],[NumL]],T_TraitDi[#Data],COLUMN(T_TraitDi[M1]),FALSE)="","",VLOOKUP(T_Convention[[#This Row],[NumL]],T_TraitDi[#Data],COLUMN(T_TraitDi[M1]),FALSE))</f>
        <v>#N/A</v>
      </c>
      <c r="Q210" s="282" t="e">
        <f>IF(VLOOKUP(T_Convention[[#This Row],[NumL]],T_TraitDi[#Data],COLUMN(T_TraitDi[M2]),FALSE)="","",VLOOKUP(T_Convention[[#This Row],[NumL]],T_TraitDi[#Data],COLUMN(T_TraitDi[M2]),FALSE))</f>
        <v>#N/A</v>
      </c>
      <c r="R210" s="282" t="e">
        <f>IF(VLOOKUP(T_Convention[[#This Row],[NumL]],T_TraitDi[#Data],COLUMN(T_TraitDi[M3]),FALSE)="","",VLOOKUP(T_Convention[[#This Row],[NumL]],T_TraitDi[#Data],COLUMN(T_TraitDi[M3]),FALSE))</f>
        <v>#N/A</v>
      </c>
      <c r="S210" s="282" t="e">
        <f>IF(VLOOKUP(T_Convention[[#This Row],[NumL]],T_TraitDi[#Data],COLUMN(T_TraitDi[M4]),FALSE)="","",VLOOKUP(T_Convention[[#This Row],[NumL]],T_TraitDi[#Data],COLUMN(T_TraitDi[M4]),FALSE))</f>
        <v>#N/A</v>
      </c>
      <c r="T210" s="282" t="e">
        <f>IF(VLOOKUP(T_Convention[[#This Row],[NumL]],T_TraitDi[#Data],COLUMN(T_TraitDi[M5]),FALSE)="","",VLOOKUP(T_Convention[[#This Row],[NumL]],T_TraitDi[#Data],COLUMN(T_TraitDi[M5]),FALSE))</f>
        <v>#N/A</v>
      </c>
      <c r="U210" s="282" t="e">
        <f>IF(VLOOKUP(T_Convention[[#This Row],[NumL]],T_TraitDi[#Data],COLUMN(T_TraitDi[M6]),FALSE)="","",VLOOKUP(T_Convention[[#This Row],[NumL]],T_TraitDi[#Data],COLUMN(T_TraitDi[M6]),FALSE))</f>
        <v>#N/A</v>
      </c>
      <c r="V210" s="176" t="e">
        <f t="shared" si="19"/>
        <v>#N/A</v>
      </c>
      <c r="W210" s="284" t="str">
        <f>IFERROR(TEXT(VLOOKUP(T_Convention[[#This Row],[NumL]],T_TraitDi[#Data],COLUMN(T_TraitDi[Q2]),FALSE),"###%"),"")</f>
        <v/>
      </c>
      <c r="X210" s="97" t="e">
        <f>VLOOKUP(T_Convention[[#This Row],[NumL]],T_TraitDi[#Data],COLUMN(T_TraitDi[Reg Ponct]),FALSE)</f>
        <v>#N/A</v>
      </c>
      <c r="Y210" s="97" t="e">
        <f>VLOOKUP(T_Convention[NumL],T_TraitDi[#Data],COLUMN(T_TraitDi[Jours flottants]),FALSE)</f>
        <v>#N/A</v>
      </c>
      <c r="Z210" s="284" t="str">
        <f>IFERROR(VLOOKUP(T_Convention[[#This Row],[NumL]],T_TraitDi[#Data],COLUMN(T_TraitDi[Lundi]),FALSE),"")</f>
        <v/>
      </c>
      <c r="AA210" s="284" t="e">
        <f>IF(VLOOKUP(T_Convention[[#This Row],[NumL]],T_TraitDi[#Data],COLUMN(T_TraitDi[Colonne3]),FALSE)=0,"",TEXT(IFERROR(VLOOKUP(T_Convention[[#This Row],[NumL]],T_TraitDi[#Data],COLUMN(T_TraitDi[Colonne3]),FALSE),""),"[hh]:mm"))</f>
        <v>#N/A</v>
      </c>
      <c r="AB210" s="284" t="e">
        <f>IF(VLOOKUP(T_Convention[[#This Row],[NumL]],T_TraitDi[#Data],COLUMN(T_TraitDi[Colonne4]),FALSE)=0,"",TEXT(IFERROR(VLOOKUP(T_Convention[[#This Row],[NumL]],T_TraitDi[#Data],COLUMN(T_TraitDi[Colonne4]),FALSE),""),"[hh]:mm"))</f>
        <v>#N/A</v>
      </c>
      <c r="AC210" s="284" t="e">
        <f>IF(VLOOKUP(T_Convention[[#This Row],[NumL]],T_TraitDi[#Data],COLUMN(T_TraitDi[Colonne5]),FALSE)=0,"",TEXT(IFERROR(VLOOKUP(T_Convention[[#This Row],[NumL]],T_TraitDi[#Data],COLUMN(T_TraitDi[Colonne5]),FALSE),""),"[hh]:mm"))</f>
        <v>#N/A</v>
      </c>
      <c r="AD210" s="284" t="e">
        <f>IF(VLOOKUP(T_Convention[[#This Row],[NumL]],T_TraitDi[#Data],COLUMN(T_TraitDi[Colonne6]),FALSE)=0,"",TEXT(IFERROR(VLOOKUP(T_Convention[[#This Row],[NumL]],T_TraitDi[#Data],COLUMN(T_TraitDi[Colonne6]),FALSE),""),"[hh]:mm"))</f>
        <v>#N/A</v>
      </c>
      <c r="AE210" s="284" t="e">
        <f>IF(VLOOKUP(T_Convention[[#This Row],[NumL]],T_TraitDi[#Data],COLUMN(T_TraitDi[Colonne7]),FALSE)=0,"",TEXT(IFERROR(VLOOKUP(T_Convention[[#This Row],[NumL]],T_TraitDi[#Data],COLUMN(T_TraitDi[Colonne7]),FALSE),""),"[hh]:mm"))</f>
        <v>#N/A</v>
      </c>
      <c r="AF210" s="284" t="e">
        <f>IF(VLOOKUP(T_Convention[[#This Row],[NumL]],T_TraitDi[#Data],COLUMN(T_TraitDi[Colonne8]),FALSE)=0,"",TEXT(IFERROR(VLOOKUP(T_Convention[[#This Row],[NumL]],T_TraitDi[#Data],COLUMN(T_TraitDi[Colonne8]),FALSE),""),"[hh]:mm"))</f>
        <v>#N/A</v>
      </c>
      <c r="AG210" s="284" t="str">
        <f>IFERROR(VLOOKUP(T_Convention[[#This Row],[NumL]],T_TraitDi[#Data],COLUMN(T_TraitDi[Mardi]),FALSE),"")</f>
        <v/>
      </c>
      <c r="AH210" s="284" t="e">
        <f>IF(VLOOKUP(T_Convention[[#This Row],[NumL]],T_TraitDi[#Data],COLUMN(T_TraitDi[Colonne1]),FALSE)=0,"",TEXT(IFERROR(VLOOKUP(T_Convention[[#This Row],[NumL]],T_TraitDi[#Data],COLUMN(T_TraitDi[Colonne1]),FALSE),""),"[hh]:mm"))</f>
        <v>#N/A</v>
      </c>
      <c r="AI210" s="284" t="e">
        <f>IF(VLOOKUP(T_Convention[[#This Row],[NumL]],T_TraitDi[#Data],COLUMN(T_TraitDi[Colonne9]),FALSE)=0,"",TEXT(IFERROR(VLOOKUP(T_Convention[[#This Row],[NumL]],T_TraitDi[#Data],COLUMN(T_TraitDi[Colonne9]),FALSE),""),"[hh]:mm"))</f>
        <v>#N/A</v>
      </c>
      <c r="AJ210" s="284" t="str">
        <f>IFERROR(VLOOKUP(T_Convention[[#This Row],[NumL]],T_TraitDi[#Data],COLUMN(T_TraitDi[Colonne10]),FALSE),"")</f>
        <v/>
      </c>
      <c r="AK210" s="284" t="e">
        <f>IF(VLOOKUP(T_Convention[[#This Row],[NumL]],T_TraitDi[#Data],COLUMN(T_TraitDi[Colonne11]),FALSE)=0,"",TEXT(IFERROR(VLOOKUP(T_Convention[[#This Row],[NumL]],T_TraitDi[#Data],COLUMN(T_TraitDi[Colonne11]),FALSE),""),"[hh]:mm"))</f>
        <v>#N/A</v>
      </c>
      <c r="AL210" s="284" t="e">
        <f>IF(VLOOKUP(T_Convention[[#This Row],[NumL]],T_TraitDi[#Data],COLUMN(T_TraitDi[Colonne12]),FALSE)=0,"",TEXT(IFERROR(VLOOKUP(T_Convention[[#This Row],[NumL]],T_TraitDi[#Data],COLUMN(T_TraitDi[Colonne12]),FALSE),""),"[hh]:mm"))</f>
        <v>#N/A</v>
      </c>
      <c r="AM210" s="284" t="e">
        <f>IF(VLOOKUP(T_Convention[[#This Row],[NumL]],T_TraitDi[#Data],COLUMN(T_TraitDi[Colonne14]),FALSE)=0,"",TEXT(IFERROR(VLOOKUP(T_Convention[[#This Row],[NumL]],T_TraitDi[#Data],COLUMN(T_TraitDi[Colonne14]),FALSE),""),"[hh]:mm"))</f>
        <v>#N/A</v>
      </c>
      <c r="AN210" s="284" t="str">
        <f>IFERROR(VLOOKUP(T_Convention[[#This Row],[NumL]],T_TraitDi[#Data],COLUMN(T_TraitDi[Mercredi]),FALSE),"")</f>
        <v/>
      </c>
      <c r="AO210" s="284" t="e">
        <f>IF(VLOOKUP(T_Convention[[#This Row],[NumL]],T_TraitDi[#Data],COLUMN(T_TraitDi[Colonne15]),FALSE)=0,"",TEXT(IFERROR(VLOOKUP(T_Convention[[#This Row],[NumL]],T_TraitDi[#Data],COLUMN(T_TraitDi[Colonne15]),FALSE),""),"[hh]:mm"))</f>
        <v>#N/A</v>
      </c>
      <c r="AP210" s="284" t="e">
        <f>IF(VLOOKUP(T_Convention[[#This Row],[NumL]],T_TraitDi[#Data],COLUMN(T_TraitDi[Colonne16]),FALSE)=0,"",TEXT(IFERROR(VLOOKUP(T_Convention[[#This Row],[NumL]],T_TraitDi[#Data],COLUMN(T_TraitDi[Colonne16]),FALSE),""),"[hh]:mm"))</f>
        <v>#N/A</v>
      </c>
      <c r="AQ210" s="284" t="str">
        <f>IFERROR(VLOOKUP(T_Convention[[#This Row],[NumL]],T_TraitDi[#Data],COLUMN(T_TraitDi[Colonne17]),FALSE),"")</f>
        <v/>
      </c>
      <c r="AR210" s="284" t="e">
        <f>IF(VLOOKUP(T_Convention[[#This Row],[NumL]],T_TraitDi[#Data],COLUMN(T_TraitDi[Colonne18]),FALSE)=0,"",TEXT(IFERROR(VLOOKUP(T_Convention[[#This Row],[NumL]],T_TraitDi[#Data],COLUMN(T_TraitDi[Colonne18]),FALSE),""),"[hh]:mm"))</f>
        <v>#N/A</v>
      </c>
      <c r="AS210" s="284" t="e">
        <f>IF(VLOOKUP(T_Convention[[#This Row],[NumL]],T_TraitDi[#Data],COLUMN(T_TraitDi[Colonne19]),FALSE)=0,"",TEXT(IFERROR(VLOOKUP(T_Convention[[#This Row],[NumL]],T_TraitDi[#Data],COLUMN(T_TraitDi[Colonne19]),FALSE),""),"[hh]:mm"))</f>
        <v>#N/A</v>
      </c>
      <c r="AT210" s="284" t="e">
        <f>IF(VLOOKUP(T_Convention[[#This Row],[NumL]],T_TraitDi[#Data],COLUMN(T_TraitDi[Colonne20]),FALSE)=0,"",TEXT(IFERROR(VLOOKUP(T_Convention[[#This Row],[NumL]],T_TraitDi[#Data],COLUMN(T_TraitDi[Colonne20]),FALSE),""),"[hh]:mm"))</f>
        <v>#N/A</v>
      </c>
      <c r="AU210" s="284" t="str">
        <f>IFERROR(VLOOKUP(T_Convention[[#This Row],[NumL]],T_TraitDi[#Data],COLUMN(T_TraitDi[Jeudi]),FALSE),"")</f>
        <v/>
      </c>
      <c r="AV210" s="284" t="e">
        <f>IF(VLOOKUP(T_Convention[[#This Row],[NumL]],T_TraitDi[#Data],COLUMN(T_TraitDi[Colonne21]),FALSE)=0,"",TEXT(IFERROR(VLOOKUP(T_Convention[[#This Row],[NumL]],T_TraitDi[#Data],COLUMN(T_TraitDi[Colonne21]),FALSE),""),"[hh]:mm"))</f>
        <v>#N/A</v>
      </c>
      <c r="AW210" s="284" t="e">
        <f>IF(VLOOKUP(T_Convention[[#This Row],[NumL]],T_TraitDi[#Data],COLUMN(T_TraitDi[Colonne22]),FALSE)=0,"",TEXT(IFERROR(VLOOKUP(T_Convention[[#This Row],[NumL]],T_TraitDi[#Data],COLUMN(T_TraitDi[Colonne22]),FALSE),""),"[hh]:mm"))</f>
        <v>#N/A</v>
      </c>
      <c r="AX210" s="284" t="str">
        <f>IFERROR(VLOOKUP(T_Convention[[#This Row],[NumL]],T_TraitDi[#Data],COLUMN(T_TraitDi[Colonne23]),FALSE),"")</f>
        <v/>
      </c>
      <c r="AY210" s="284" t="e">
        <f>IF(VLOOKUP(T_Convention[[#This Row],[NumL]],T_TraitDi[#Data],COLUMN(T_TraitDi[Colonne24]),FALSE)=0,"",TEXT(IFERROR(VLOOKUP(T_Convention[[#This Row],[NumL]],T_TraitDi[#Data],COLUMN(T_TraitDi[Colonne24]),FALSE),""),"[hh]:mm"))</f>
        <v>#N/A</v>
      </c>
      <c r="AZ210" s="284" t="e">
        <f>IF(VLOOKUP(T_Convention[[#This Row],[NumL]],T_TraitDi[#Data],COLUMN(T_TraitDi[Colonne25]),FALSE)=0,"",TEXT(IFERROR(VLOOKUP(T_Convention[[#This Row],[NumL]],T_TraitDi[#Data],COLUMN(T_TraitDi[Colonne25]),FALSE),""),"[hh]:mm"))</f>
        <v>#N/A</v>
      </c>
      <c r="BA210" s="284" t="e">
        <f>IF(VLOOKUP(T_Convention[[#This Row],[NumL]],T_TraitDi[#Data],COLUMN(T_TraitDi[Colonne26]),FALSE)=0,"",TEXT(IFERROR(VLOOKUP(T_Convention[[#This Row],[NumL]],T_TraitDi[#Data],COLUMN(T_TraitDi[Colonne26]),FALSE),""),"[hh]:mm"))</f>
        <v>#N/A</v>
      </c>
      <c r="BB210" s="284" t="str">
        <f>IFERROR(VLOOKUP(T_Convention[[#This Row],[NumL]],T_TraitDi[#Data],COLUMN(T_TraitDi[Vendredi]),FALSE),"")</f>
        <v/>
      </c>
      <c r="BC210" s="284" t="e">
        <f>IF(VLOOKUP(T_Convention[[#This Row],[NumL]],T_TraitDi[#Data],COLUMN(T_TraitDi[Colonne27]),FALSE)=0,"",TEXT(IFERROR(VLOOKUP(T_Convention[[#This Row],[NumL]],T_TraitDi[#Data],COLUMN(T_TraitDi[Colonne27]),FALSE),""),"[hh]:mm"))</f>
        <v>#N/A</v>
      </c>
      <c r="BD210" s="284" t="e">
        <f>IF(VLOOKUP(T_Convention[[#This Row],[NumL]],T_TraitDi[#Data],COLUMN(T_TraitDi[Colonne28]),FALSE)=0,"",TEXT(IFERROR(VLOOKUP(T_Convention[[#This Row],[NumL]],T_TraitDi[#Data],COLUMN(T_TraitDi[Colonne28]),FALSE),""),"[hh]:mm"))</f>
        <v>#N/A</v>
      </c>
      <c r="BE210" s="284" t="str">
        <f>IFERROR(VLOOKUP(T_Convention[[#This Row],[NumL]],T_TraitDi[#Data],COLUMN(T_TraitDi[Colonne29]),FALSE),"")</f>
        <v/>
      </c>
      <c r="BF210" s="284" t="e">
        <f>IF(VLOOKUP(T_Convention[[#This Row],[NumL]],T_TraitDi[#Data],COLUMN(T_TraitDi[Colonne30]),FALSE)=0,"",TEXT(IFERROR(VLOOKUP(T_Convention[[#This Row],[NumL]],T_TraitDi[#Data],COLUMN(T_TraitDi[Colonne30]),FALSE),""),"[hh]:mm"))</f>
        <v>#N/A</v>
      </c>
      <c r="BG210" s="284" t="e">
        <f>IF(VLOOKUP(T_Convention[[#This Row],[NumL]],T_TraitDi[#Data],COLUMN(T_TraitDi[Colonne31]),FALSE)=0,"",TEXT(IFERROR(VLOOKUP(T_Convention[[#This Row],[NumL]],T_TraitDi[#Data],COLUMN(T_TraitDi[Colonne31]),FALSE),""),"[hh]:mm"))</f>
        <v>#N/A</v>
      </c>
      <c r="BH210" s="284" t="e">
        <f>IF(VLOOKUP(T_Convention[[#This Row],[NumL]],T_TraitDi[#Data],COLUMN(T_TraitDi[Colonne32]),FALSE)=0,"",TEXT(IFERROR(VLOOKUP(T_Convention[[#This Row],[NumL]],T_TraitDi[#Data],COLUMN(T_TraitDi[Colonne32]),FALSE),""),"[hh]:mm"))</f>
        <v>#N/A</v>
      </c>
      <c r="BI210" s="284" t="str">
        <f>IFERROR(VLOOKUP(T_Convention[[#This Row],[NumL]],T_TraitDi[#Data],COLUMN(T_TraitDi[NbJTW]),FALSE),"")</f>
        <v/>
      </c>
      <c r="BJ210" s="284" t="e">
        <f>IF(VLOOKUP(T_Convention[[#This Row],[NumL]],T_TraitDi[#Data],COLUMN(T_TraitDi[NbhTW]),FALSE)=0,"",TEXT(IFERROR(VLOOKUP(T_Convention[[#This Row],[NumL]],T_TraitDi[#Data],COLUMN(T_TraitDi[NbhTW]),FALSE),""),"[hh]:mm"))</f>
        <v>#N/A</v>
      </c>
      <c r="BK210" s="286" t="e">
        <f>IF(VLOOKUP(T_Convention[[#This Row],[NumL]],T_TraitDi[#Data],COLUMN(T_TraitDi[Nbhheb]),FALSE)=0,"",TEXT(IFERROR(VLOOKUP(T_Convention[[#This Row],[NumL]],T_TraitDi[#Data],COLUMN(T_TraitDi[Nbhheb]),FALSE),""),"[hh]:mm"))</f>
        <v>#N/A</v>
      </c>
      <c r="BL210" s="287" t="str">
        <f>IFERROR(VLOOKUP(VLOOKUP(T_Convention[[#This Row],[NumL]],T_TraitDi[#Data],COLUMN(T_TraitDi[Type1]),FALSE),TypeTW,2,FALSE),"")</f>
        <v/>
      </c>
      <c r="BM210" s="288" t="str">
        <f>IFERROR(VLOOKUP(T_Convention[[#This Row],[NumL]],T_TraitDi[#Data],COLUMN(T_TraitDi[Rue1]),FALSE),"")</f>
        <v/>
      </c>
      <c r="BN210" s="289" t="str">
        <f>IFERROR(VLOOKUP(T_Convention[[#This Row],[NumL]],T_TraitDi[#Data],COLUMN(T_TraitDi[CP1]),FALSE),"")</f>
        <v/>
      </c>
      <c r="BO210" s="282" t="str">
        <f>IFERROR(VLOOKUP(T_Convention[[#This Row],[NumL]],T_TraitDi[#Data],COLUMN(T_TraitDi[VILLE1]),FALSE),"")</f>
        <v/>
      </c>
      <c r="BP210" s="290" t="str">
        <f>IFERROR(VLOOKUP(VLOOKUP(T_Convention[[#This Row],[NumL]],T_TraitDi[#Data],COLUMN(T_TraitDi[Type2]),FALSE),TypeTW,2,FALSE),"")</f>
        <v/>
      </c>
      <c r="BQ210" s="182" t="str">
        <f>IFERROR(VLOOKUP(T_Convention[[#This Row],[NumL]],T_TraitDi[#Data],COLUMN(T_TraitDi[Rue2]),FALSE),"")</f>
        <v/>
      </c>
      <c r="BR210" s="173" t="str">
        <f>IFERROR(VLOOKUP(T_Convention[[#This Row],[NumL]],T_TraitDi[#Data],COLUMN(T_TraitDi[CP2]),FALSE),"")</f>
        <v/>
      </c>
      <c r="BS210" s="173" t="str">
        <f>IFERROR(VLOOKUP(T_Convention[[#This Row],[NumL]],T_TraitDi[#Data],COLUMN(T_TraitDi[VILLE2]),FALSE),"")</f>
        <v/>
      </c>
      <c r="BT210" s="182" t="str">
        <f>IF(VLOOKUP(T_Convention[[#This Row],[NumL]],T_Equipement[#Data],COLUMN(T_Equipement[PC]),FALSE)="","Aucun équipement spécifique directement lié au télétravail",VLOOKUP(T_Convention[[#This Row],[NumL]],T_Equipement[#Data],COLUMN(T_Equipement[PC]),FALSE))</f>
        <v xml:space="preserve">20-603	</v>
      </c>
      <c r="BU210" s="166" t="str">
        <f>IFERROR(IF(VLOOKUP(T_Convention[[#This Row],[NumL]],T_TraitDi[#Data],COLUMN(T_TraitDi[Plan]),FALSE)="OK","Un planning spécifique de télétravail est annexé à la présente convention.",""),"")</f>
        <v/>
      </c>
      <c r="BV210" s="185" t="s">
        <v>3316</v>
      </c>
      <c r="BW210" s="164" t="e">
        <f>IF(VLOOKUP(T_Convention[[#This Row],[NumL]],T_suiviDi[#Data],COLUMN(T_suiviDi[Entité]),FALSE)="","",VLOOKUP(T_Convention[[#This Row],[NumL]],T_suiviDi[#Data],COLUMN(T_suiviDi[Entité]),FALSE))</f>
        <v>#N/A</v>
      </c>
      <c r="BX210" s="164" t="str">
        <f>IF(VLOOKUP(T_Convention[[#This Row],[NumL]],T_Commission[#Data],COLUMN(T_Commission[envoi confirm TW]),FALSE)="","",VLOOKUP(T_Convention[[#This Row],[NumL]],T_Commission[#Data],COLUMN(T_Commission[envoi confirm TW]),FALSE))</f>
        <v>Oui</v>
      </c>
      <c r="BY21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0" s="264">
        <f>VLOOKUP(T_Convention[[#This Row],[NumL]],T_Commission[#Data],COLUMN(T_Commission[Commentaire]),FALSE)</f>
        <v>0</v>
      </c>
      <c r="CA210" s="254" t="str">
        <f>IF(VLOOKUP(T_Convention[[#This Row],[NumL]],T_Commission[#Data],COLUMN(T_Commission[Encadrant Email]),FALSE)="","",VLOOKUP(T_Convention[[#This Row],[NumL]],T_Commission[#Data],COLUMN(T_Commission[Encadrant Email]),FALSE))</f>
        <v/>
      </c>
      <c r="CB210" s="352" t="e">
        <f>VLOOKUP(T_Convention[[#This Row],[NumL]],T_TraitDi[#Data],COLUMN(T_TraitDi[NbJTot]),FALSE)</f>
        <v>#N/A</v>
      </c>
      <c r="CC210" s="352" t="e">
        <f>VLOOKUP(T_Convention[[#This Row],[NumL]],T_TraitDi[#Data],COLUMN(T_TraitDi[Reg Ponct]),FALSE)</f>
        <v>#N/A</v>
      </c>
      <c r="CD210" s="348" t="str">
        <f>IF(T_Convention[[#This Row],[Final]]&lt;&gt;"",VLOOKUP(T_Convention[[#This Row],[NumL]],T_suiviDi[#Data],COLUMN((T_suiviDi[Statut])),FALSE),"")</f>
        <v/>
      </c>
    </row>
    <row r="211" spans="1:82" s="106" customFormat="1" ht="18.75" customHeight="1" x14ac:dyDescent="0.25">
      <c r="A211" s="160">
        <v>208</v>
      </c>
      <c r="B211" s="161" t="str">
        <f>VLOOKUP(T_Convention[[#This Row],[NumL]],T_Commission[#Data],COLUMN(T_Commission[FINAL]),FALSE)</f>
        <v/>
      </c>
      <c r="C211" s="162"/>
      <c r="D211" s="95" t="e">
        <f>IF(VLOOKUP(T_Convention[[#This Row],[NumL]],T_TraitDi[#Data],COLUMN(T_TraitDi[WebC]),FALSE)="","",VLOOKUP(T_Convention[[#This Row],[NumL]],T_TraitDi[#Data],COLUMN(T_TraitDi[WebC]),FALSE))</f>
        <v>#N/A</v>
      </c>
      <c r="E211" s="163" t="str">
        <f t="shared" si="15"/>
        <v>12 janvier 2021</v>
      </c>
      <c r="F211" s="282" t="str">
        <f>IF(T_Convention[[#This Row],[Final]]&lt;&gt;"",VLOOKUP(T_Convention[[#This Row],[NumL]],T_suiviDi[#Data],COLUMN((T_suiviDi[Civ.])),FALSE),"")</f>
        <v/>
      </c>
      <c r="G211" s="283" t="str">
        <f>IF(T_Convention[[#This Row],[Final]]&lt;&gt;"",VLOOKUP(T_Convention[[#This Row],[NumL]],T_suiviDi[#Data],COLUMN((T_suiviDi[Nom])),FALSE),"")</f>
        <v/>
      </c>
      <c r="H211" s="282" t="str">
        <f>IF(T_Convention[[#This Row],[Final]]&lt;&gt;"",VLOOKUP(T_Convention[[#This Row],[NumL]],T_suiviDi[#Data],COLUMN((T_suiviDi[Prénom])),FALSE),"")</f>
        <v/>
      </c>
      <c r="I211" s="282" t="e">
        <f>VLOOKUP(T_Convention[[#This Row],[NumL]],T_suiviDi[#Data],COLUMN((T_suiviDi[[#This Row],[Email]])),FALSE)</f>
        <v>#VALUE!</v>
      </c>
      <c r="J211" s="282" t="e">
        <f>IF(VLOOKUP(T_Convention[[#This Row],[NumL]],T_suiviDi[#Data],COLUMN(T_suiviDi[[#This Row],[Fonction]]),FALSE)="","",VLOOKUP(T_Convention[[#This Row],[NumL]],T_suiviDi[#Data],COLUMN(T_suiviDi[[#This Row],[Fonction]]),FALSE))</f>
        <v>#VALUE!</v>
      </c>
      <c r="K211" s="282" t="e">
        <f>IF(VLOOKUP(T_Convention[[#This Row],[NumL]],T_suiviDi[#Data],COLUMN(T_suiviDi[[#This Row],[Grade]]),FALSE)="","",VLOOKUP(T_Convention[[#This Row],[NumL]],T_suiviDi[#Data],COLUMN(T_suiviDi[[#This Row],[Grade]]),FALSE))</f>
        <v>#VALUE!</v>
      </c>
      <c r="L211" s="282" t="e">
        <f>IF(VLOOKUP(T_Convention[[#This Row],[NumL]],T_suiviDi[#Data],COLUMN(T_suiviDi[[#This Row],[Service ]]),FALSE)="","",VLOOKUP(T_Convention[[#This Row],[NumL]],T_suiviDi[#Data],COLUMN(T_suiviDi[[#This Row],[Service ]]),FALSE))</f>
        <v>#VALUE!</v>
      </c>
      <c r="M211" s="164" t="str">
        <f t="shared" si="16"/>
        <v>01 septembre 2021</v>
      </c>
      <c r="N211" s="164" t="str">
        <f t="shared" si="17"/>
        <v>30 novembre 2021</v>
      </c>
      <c r="O211" s="284" t="str">
        <f t="shared" si="18"/>
        <v>30 novembre 2021</v>
      </c>
      <c r="P211" s="282" t="e">
        <f>IF(VLOOKUP(T_Convention[[#This Row],[NumL]],T_TraitDi[#Data],COLUMN(T_TraitDi[M1]),FALSE)="","",VLOOKUP(T_Convention[[#This Row],[NumL]],T_TraitDi[#Data],COLUMN(T_TraitDi[M1]),FALSE))</f>
        <v>#N/A</v>
      </c>
      <c r="Q211" s="282" t="e">
        <f>IF(VLOOKUP(T_Convention[[#This Row],[NumL]],T_TraitDi[#Data],COLUMN(T_TraitDi[M2]),FALSE)="","",VLOOKUP(T_Convention[[#This Row],[NumL]],T_TraitDi[#Data],COLUMN(T_TraitDi[M2]),FALSE))</f>
        <v>#N/A</v>
      </c>
      <c r="R211" s="282" t="e">
        <f>IF(VLOOKUP(T_Convention[[#This Row],[NumL]],T_TraitDi[#Data],COLUMN(T_TraitDi[M3]),FALSE)="","",VLOOKUP(T_Convention[[#This Row],[NumL]],T_TraitDi[#Data],COLUMN(T_TraitDi[M3]),FALSE))</f>
        <v>#N/A</v>
      </c>
      <c r="S211" s="282" t="e">
        <f>IF(VLOOKUP(T_Convention[[#This Row],[NumL]],T_TraitDi[#Data],COLUMN(T_TraitDi[M4]),FALSE)="","",VLOOKUP(T_Convention[[#This Row],[NumL]],T_TraitDi[#Data],COLUMN(T_TraitDi[M4]),FALSE))</f>
        <v>#N/A</v>
      </c>
      <c r="T211" s="282" t="e">
        <f>IF(VLOOKUP(T_Convention[[#This Row],[NumL]],T_TraitDi[#Data],COLUMN(T_TraitDi[M5]),FALSE)="","",VLOOKUP(T_Convention[[#This Row],[NumL]],T_TraitDi[#Data],COLUMN(T_TraitDi[M5]),FALSE))</f>
        <v>#N/A</v>
      </c>
      <c r="U211" s="282" t="e">
        <f>IF(VLOOKUP(T_Convention[[#This Row],[NumL]],T_TraitDi[#Data],COLUMN(T_TraitDi[M6]),FALSE)="","",VLOOKUP(T_Convention[[#This Row],[NumL]],T_TraitDi[#Data],COLUMN(T_TraitDi[M6]),FALSE))</f>
        <v>#N/A</v>
      </c>
      <c r="V211" s="176" t="e">
        <f t="shared" si="19"/>
        <v>#N/A</v>
      </c>
      <c r="W211" s="284" t="str">
        <f>IFERROR(TEXT(VLOOKUP(T_Convention[[#This Row],[NumL]],T_TraitDi[#Data],COLUMN(T_TraitDi[Q2]),FALSE),"###%"),"")</f>
        <v/>
      </c>
      <c r="X211" s="97" t="e">
        <f>VLOOKUP(T_Convention[[#This Row],[NumL]],T_TraitDi[#Data],COLUMN(T_TraitDi[Reg Ponct]),FALSE)</f>
        <v>#N/A</v>
      </c>
      <c r="Y211" s="97" t="e">
        <f>VLOOKUP(T_Convention[NumL],T_TraitDi[#Data],COLUMN(T_TraitDi[Jours flottants]),FALSE)</f>
        <v>#N/A</v>
      </c>
      <c r="Z211" s="284" t="str">
        <f>IFERROR(VLOOKUP(T_Convention[[#This Row],[NumL]],T_TraitDi[#Data],COLUMN(T_TraitDi[Lundi]),FALSE),"")</f>
        <v/>
      </c>
      <c r="AA211" s="284" t="e">
        <f>IF(VLOOKUP(T_Convention[[#This Row],[NumL]],T_TraitDi[#Data],COLUMN(T_TraitDi[Colonne3]),FALSE)=0,"",TEXT(IFERROR(VLOOKUP(T_Convention[[#This Row],[NumL]],T_TraitDi[#Data],COLUMN(T_TraitDi[Colonne3]),FALSE),""),"[hh]:mm"))</f>
        <v>#N/A</v>
      </c>
      <c r="AB211" s="284" t="e">
        <f>IF(VLOOKUP(T_Convention[[#This Row],[NumL]],T_TraitDi[#Data],COLUMN(T_TraitDi[Colonne4]),FALSE)=0,"",TEXT(IFERROR(VLOOKUP(T_Convention[[#This Row],[NumL]],T_TraitDi[#Data],COLUMN(T_TraitDi[Colonne4]),FALSE),""),"[hh]:mm"))</f>
        <v>#N/A</v>
      </c>
      <c r="AC211" s="284" t="e">
        <f>IF(VLOOKUP(T_Convention[[#This Row],[NumL]],T_TraitDi[#Data],COLUMN(T_TraitDi[Colonne5]),FALSE)=0,"",TEXT(IFERROR(VLOOKUP(T_Convention[[#This Row],[NumL]],T_TraitDi[#Data],COLUMN(T_TraitDi[Colonne5]),FALSE),""),"[hh]:mm"))</f>
        <v>#N/A</v>
      </c>
      <c r="AD211" s="284" t="e">
        <f>IF(VLOOKUP(T_Convention[[#This Row],[NumL]],T_TraitDi[#Data],COLUMN(T_TraitDi[Colonne6]),FALSE)=0,"",TEXT(IFERROR(VLOOKUP(T_Convention[[#This Row],[NumL]],T_TraitDi[#Data],COLUMN(T_TraitDi[Colonne6]),FALSE),""),"[hh]:mm"))</f>
        <v>#N/A</v>
      </c>
      <c r="AE211" s="284" t="e">
        <f>IF(VLOOKUP(T_Convention[[#This Row],[NumL]],T_TraitDi[#Data],COLUMN(T_TraitDi[Colonne7]),FALSE)=0,"",TEXT(IFERROR(VLOOKUP(T_Convention[[#This Row],[NumL]],T_TraitDi[#Data],COLUMN(T_TraitDi[Colonne7]),FALSE),""),"[hh]:mm"))</f>
        <v>#N/A</v>
      </c>
      <c r="AF211" s="284" t="e">
        <f>IF(VLOOKUP(T_Convention[[#This Row],[NumL]],T_TraitDi[#Data],COLUMN(T_TraitDi[Colonne8]),FALSE)=0,"",TEXT(IFERROR(VLOOKUP(T_Convention[[#This Row],[NumL]],T_TraitDi[#Data],COLUMN(T_TraitDi[Colonne8]),FALSE),""),"[hh]:mm"))</f>
        <v>#N/A</v>
      </c>
      <c r="AG211" s="284" t="str">
        <f>IFERROR(VLOOKUP(T_Convention[[#This Row],[NumL]],T_TraitDi[#Data],COLUMN(T_TraitDi[Mardi]),FALSE),"")</f>
        <v/>
      </c>
      <c r="AH211" s="284" t="e">
        <f>IF(VLOOKUP(T_Convention[[#This Row],[NumL]],T_TraitDi[#Data],COLUMN(T_TraitDi[Colonne1]),FALSE)=0,"",TEXT(IFERROR(VLOOKUP(T_Convention[[#This Row],[NumL]],T_TraitDi[#Data],COLUMN(T_TraitDi[Colonne1]),FALSE),""),"[hh]:mm"))</f>
        <v>#N/A</v>
      </c>
      <c r="AI211" s="284" t="e">
        <f>IF(VLOOKUP(T_Convention[[#This Row],[NumL]],T_TraitDi[#Data],COLUMN(T_TraitDi[Colonne9]),FALSE)=0,"",TEXT(IFERROR(VLOOKUP(T_Convention[[#This Row],[NumL]],T_TraitDi[#Data],COLUMN(T_TraitDi[Colonne9]),FALSE),""),"[hh]:mm"))</f>
        <v>#N/A</v>
      </c>
      <c r="AJ211" s="284" t="str">
        <f>IFERROR(VLOOKUP(T_Convention[[#This Row],[NumL]],T_TraitDi[#Data],COLUMN(T_TraitDi[Colonne10]),FALSE),"")</f>
        <v/>
      </c>
      <c r="AK211" s="284" t="e">
        <f>IF(VLOOKUP(T_Convention[[#This Row],[NumL]],T_TraitDi[#Data],COLUMN(T_TraitDi[Colonne11]),FALSE)=0,"",TEXT(IFERROR(VLOOKUP(T_Convention[[#This Row],[NumL]],T_TraitDi[#Data],COLUMN(T_TraitDi[Colonne11]),FALSE),""),"[hh]:mm"))</f>
        <v>#N/A</v>
      </c>
      <c r="AL211" s="284" t="e">
        <f>IF(VLOOKUP(T_Convention[[#This Row],[NumL]],T_TraitDi[#Data],COLUMN(T_TraitDi[Colonne12]),FALSE)=0,"",TEXT(IFERROR(VLOOKUP(T_Convention[[#This Row],[NumL]],T_TraitDi[#Data],COLUMN(T_TraitDi[Colonne12]),FALSE),""),"[hh]:mm"))</f>
        <v>#N/A</v>
      </c>
      <c r="AM211" s="284" t="e">
        <f>IF(VLOOKUP(T_Convention[[#This Row],[NumL]],T_TraitDi[#Data],COLUMN(T_TraitDi[Colonne14]),FALSE)=0,"",TEXT(IFERROR(VLOOKUP(T_Convention[[#This Row],[NumL]],T_TraitDi[#Data],COLUMN(T_TraitDi[Colonne14]),FALSE),""),"[hh]:mm"))</f>
        <v>#N/A</v>
      </c>
      <c r="AN211" s="284" t="str">
        <f>IFERROR(VLOOKUP(T_Convention[[#This Row],[NumL]],T_TraitDi[#Data],COLUMN(T_TraitDi[Mercredi]),FALSE),"")</f>
        <v/>
      </c>
      <c r="AO211" s="284" t="e">
        <f>IF(VLOOKUP(T_Convention[[#This Row],[NumL]],T_TraitDi[#Data],COLUMN(T_TraitDi[Colonne15]),FALSE)=0,"",TEXT(IFERROR(VLOOKUP(T_Convention[[#This Row],[NumL]],T_TraitDi[#Data],COLUMN(T_TraitDi[Colonne15]),FALSE),""),"[hh]:mm"))</f>
        <v>#N/A</v>
      </c>
      <c r="AP211" s="284" t="e">
        <f>IF(VLOOKUP(T_Convention[[#This Row],[NumL]],T_TraitDi[#Data],COLUMN(T_TraitDi[Colonne16]),FALSE)=0,"",TEXT(IFERROR(VLOOKUP(T_Convention[[#This Row],[NumL]],T_TraitDi[#Data],COLUMN(T_TraitDi[Colonne16]),FALSE),""),"[hh]:mm"))</f>
        <v>#N/A</v>
      </c>
      <c r="AQ211" s="284" t="str">
        <f>IFERROR(VLOOKUP(T_Convention[[#This Row],[NumL]],T_TraitDi[#Data],COLUMN(T_TraitDi[Colonne17]),FALSE),"")</f>
        <v/>
      </c>
      <c r="AR211" s="284" t="e">
        <f>IF(VLOOKUP(T_Convention[[#This Row],[NumL]],T_TraitDi[#Data],COLUMN(T_TraitDi[Colonne18]),FALSE)=0,"",TEXT(IFERROR(VLOOKUP(T_Convention[[#This Row],[NumL]],T_TraitDi[#Data],COLUMN(T_TraitDi[Colonne18]),FALSE),""),"[hh]:mm"))</f>
        <v>#N/A</v>
      </c>
      <c r="AS211" s="284" t="e">
        <f>IF(VLOOKUP(T_Convention[[#This Row],[NumL]],T_TraitDi[#Data],COLUMN(T_TraitDi[Colonne19]),FALSE)=0,"",TEXT(IFERROR(VLOOKUP(T_Convention[[#This Row],[NumL]],T_TraitDi[#Data],COLUMN(T_TraitDi[Colonne19]),FALSE),""),"[hh]:mm"))</f>
        <v>#N/A</v>
      </c>
      <c r="AT211" s="284" t="e">
        <f>IF(VLOOKUP(T_Convention[[#This Row],[NumL]],T_TraitDi[#Data],COLUMN(T_TraitDi[Colonne20]),FALSE)=0,"",TEXT(IFERROR(VLOOKUP(T_Convention[[#This Row],[NumL]],T_TraitDi[#Data],COLUMN(T_TraitDi[Colonne20]),FALSE),""),"[hh]:mm"))</f>
        <v>#N/A</v>
      </c>
      <c r="AU211" s="284" t="str">
        <f>IFERROR(VLOOKUP(T_Convention[[#This Row],[NumL]],T_TraitDi[#Data],COLUMN(T_TraitDi[Jeudi]),FALSE),"")</f>
        <v/>
      </c>
      <c r="AV211" s="284" t="e">
        <f>IF(VLOOKUP(T_Convention[[#This Row],[NumL]],T_TraitDi[#Data],COLUMN(T_TraitDi[Colonne21]),FALSE)=0,"",TEXT(IFERROR(VLOOKUP(T_Convention[[#This Row],[NumL]],T_TraitDi[#Data],COLUMN(T_TraitDi[Colonne21]),FALSE),""),"[hh]:mm"))</f>
        <v>#N/A</v>
      </c>
      <c r="AW211" s="284" t="e">
        <f>IF(VLOOKUP(T_Convention[[#This Row],[NumL]],T_TraitDi[#Data],COLUMN(T_TraitDi[Colonne22]),FALSE)=0,"",TEXT(IFERROR(VLOOKUP(T_Convention[[#This Row],[NumL]],T_TraitDi[#Data],COLUMN(T_TraitDi[Colonne22]),FALSE),""),"[hh]:mm"))</f>
        <v>#N/A</v>
      </c>
      <c r="AX211" s="284" t="str">
        <f>IFERROR(VLOOKUP(T_Convention[[#This Row],[NumL]],T_TraitDi[#Data],COLUMN(T_TraitDi[Colonne23]),FALSE),"")</f>
        <v/>
      </c>
      <c r="AY211" s="284" t="e">
        <f>IF(VLOOKUP(T_Convention[[#This Row],[NumL]],T_TraitDi[#Data],COLUMN(T_TraitDi[Colonne24]),FALSE)=0,"",TEXT(IFERROR(VLOOKUP(T_Convention[[#This Row],[NumL]],T_TraitDi[#Data],COLUMN(T_TraitDi[Colonne24]),FALSE),""),"[hh]:mm"))</f>
        <v>#N/A</v>
      </c>
      <c r="AZ211" s="284" t="e">
        <f>IF(VLOOKUP(T_Convention[[#This Row],[NumL]],T_TraitDi[#Data],COLUMN(T_TraitDi[Colonne25]),FALSE)=0,"",TEXT(IFERROR(VLOOKUP(T_Convention[[#This Row],[NumL]],T_TraitDi[#Data],COLUMN(T_TraitDi[Colonne25]),FALSE),""),"[hh]:mm"))</f>
        <v>#N/A</v>
      </c>
      <c r="BA211" s="284" t="e">
        <f>IF(VLOOKUP(T_Convention[[#This Row],[NumL]],T_TraitDi[#Data],COLUMN(T_TraitDi[Colonne26]),FALSE)=0,"",TEXT(IFERROR(VLOOKUP(T_Convention[[#This Row],[NumL]],T_TraitDi[#Data],COLUMN(T_TraitDi[Colonne26]),FALSE),""),"[hh]:mm"))</f>
        <v>#N/A</v>
      </c>
      <c r="BB211" s="284" t="str">
        <f>IFERROR(VLOOKUP(T_Convention[[#This Row],[NumL]],T_TraitDi[#Data],COLUMN(T_TraitDi[Vendredi]),FALSE),"")</f>
        <v/>
      </c>
      <c r="BC211" s="284" t="e">
        <f>IF(VLOOKUP(T_Convention[[#This Row],[NumL]],T_TraitDi[#Data],COLUMN(T_TraitDi[Colonne27]),FALSE)=0,"",TEXT(IFERROR(VLOOKUP(T_Convention[[#This Row],[NumL]],T_TraitDi[#Data],COLUMN(T_TraitDi[Colonne27]),FALSE),""),"[hh]:mm"))</f>
        <v>#N/A</v>
      </c>
      <c r="BD211" s="284" t="e">
        <f>IF(VLOOKUP(T_Convention[[#This Row],[NumL]],T_TraitDi[#Data],COLUMN(T_TraitDi[Colonne28]),FALSE)=0,"",TEXT(IFERROR(VLOOKUP(T_Convention[[#This Row],[NumL]],T_TraitDi[#Data],COLUMN(T_TraitDi[Colonne28]),FALSE),""),"[hh]:mm"))</f>
        <v>#N/A</v>
      </c>
      <c r="BE211" s="284" t="str">
        <f>IFERROR(VLOOKUP(T_Convention[[#This Row],[NumL]],T_TraitDi[#Data],COLUMN(T_TraitDi[Colonne29]),FALSE),"")</f>
        <v/>
      </c>
      <c r="BF211" s="284" t="e">
        <f>IF(VLOOKUP(T_Convention[[#This Row],[NumL]],T_TraitDi[#Data],COLUMN(T_TraitDi[Colonne30]),FALSE)=0,"",TEXT(IFERROR(VLOOKUP(T_Convention[[#This Row],[NumL]],T_TraitDi[#Data],COLUMN(T_TraitDi[Colonne30]),FALSE),""),"[hh]:mm"))</f>
        <v>#N/A</v>
      </c>
      <c r="BG211" s="284" t="e">
        <f>IF(VLOOKUP(T_Convention[[#This Row],[NumL]],T_TraitDi[#Data],COLUMN(T_TraitDi[Colonne31]),FALSE)=0,"",TEXT(IFERROR(VLOOKUP(T_Convention[[#This Row],[NumL]],T_TraitDi[#Data],COLUMN(T_TraitDi[Colonne31]),FALSE),""),"[hh]:mm"))</f>
        <v>#N/A</v>
      </c>
      <c r="BH211" s="284" t="e">
        <f>IF(VLOOKUP(T_Convention[[#This Row],[NumL]],T_TraitDi[#Data],COLUMN(T_TraitDi[Colonne32]),FALSE)=0,"",TEXT(IFERROR(VLOOKUP(T_Convention[[#This Row],[NumL]],T_TraitDi[#Data],COLUMN(T_TraitDi[Colonne32]),FALSE),""),"[hh]:mm"))</f>
        <v>#N/A</v>
      </c>
      <c r="BI211" s="284" t="str">
        <f>IFERROR(VLOOKUP(T_Convention[[#This Row],[NumL]],T_TraitDi[#Data],COLUMN(T_TraitDi[NbJTW]),FALSE),"")</f>
        <v/>
      </c>
      <c r="BJ211" s="284" t="e">
        <f>IF(VLOOKUP(T_Convention[[#This Row],[NumL]],T_TraitDi[#Data],COLUMN(T_TraitDi[NbhTW]),FALSE)=0,"",TEXT(IFERROR(VLOOKUP(T_Convention[[#This Row],[NumL]],T_TraitDi[#Data],COLUMN(T_TraitDi[NbhTW]),FALSE),""),"[hh]:mm"))</f>
        <v>#N/A</v>
      </c>
      <c r="BK211" s="286" t="e">
        <f>IF(VLOOKUP(T_Convention[[#This Row],[NumL]],T_TraitDi[#Data],COLUMN(T_TraitDi[Nbhheb]),FALSE)=0,"",TEXT(IFERROR(VLOOKUP(T_Convention[[#This Row],[NumL]],T_TraitDi[#Data],COLUMN(T_TraitDi[Nbhheb]),FALSE),""),"[hh]:mm"))</f>
        <v>#N/A</v>
      </c>
      <c r="BL211" s="287" t="str">
        <f>IFERROR(VLOOKUP(VLOOKUP(T_Convention[[#This Row],[NumL]],T_TraitDi[#Data],COLUMN(T_TraitDi[Type1]),FALSE),TypeTW,2,FALSE),"")</f>
        <v/>
      </c>
      <c r="BM211" s="288" t="str">
        <f>IFERROR(VLOOKUP(T_Convention[[#This Row],[NumL]],T_TraitDi[#Data],COLUMN(T_TraitDi[Rue1]),FALSE),"")</f>
        <v/>
      </c>
      <c r="BN211" s="289" t="str">
        <f>IFERROR(VLOOKUP(T_Convention[[#This Row],[NumL]],T_TraitDi[#Data],COLUMN(T_TraitDi[CP1]),FALSE),"")</f>
        <v/>
      </c>
      <c r="BO211" s="282" t="str">
        <f>IFERROR(VLOOKUP(T_Convention[[#This Row],[NumL]],T_TraitDi[#Data],COLUMN(T_TraitDi[VILLE1]),FALSE),"")</f>
        <v/>
      </c>
      <c r="BP211" s="290" t="str">
        <f>IFERROR(VLOOKUP(VLOOKUP(T_Convention[[#This Row],[NumL]],T_TraitDi[#Data],COLUMN(T_TraitDi[Type2]),FALSE),TypeTW,2,FALSE),"")</f>
        <v/>
      </c>
      <c r="BQ211" s="182" t="str">
        <f>IFERROR(VLOOKUP(T_Convention[[#This Row],[NumL]],T_TraitDi[#Data],COLUMN(T_TraitDi[Rue2]),FALSE),"")</f>
        <v/>
      </c>
      <c r="BR211" s="173" t="str">
        <f>IFERROR(VLOOKUP(T_Convention[[#This Row],[NumL]],T_TraitDi[#Data],COLUMN(T_TraitDi[CP2]),FALSE),"")</f>
        <v/>
      </c>
      <c r="BS211" s="173" t="str">
        <f>IFERROR(VLOOKUP(T_Convention[[#This Row],[NumL]],T_TraitDi[#Data],COLUMN(T_TraitDi[VILLE2]),FALSE),"")</f>
        <v/>
      </c>
      <c r="BT211" s="182" t="str">
        <f>IF(VLOOKUP(T_Convention[[#This Row],[NumL]],T_Equipement[#Data],COLUMN(T_Equipement[PC]),FALSE)="","Aucun équipement spécifique directement lié au télétravail",VLOOKUP(T_Convention[[#This Row],[NumL]],T_Equipement[#Data],COLUMN(T_Equipement[PC]),FALSE))</f>
        <v xml:space="preserve">19-154	</v>
      </c>
      <c r="BU211" s="166" t="str">
        <f>IFERROR(IF(VLOOKUP(T_Convention[[#This Row],[NumL]],T_TraitDi[#Data],COLUMN(T_TraitDi[Plan]),FALSE)="OK","Un planning spécifique de télétravail est annexé à la présente convention.",""),"")</f>
        <v/>
      </c>
      <c r="BV211" s="185" t="s">
        <v>3356</v>
      </c>
      <c r="BW211" s="164" t="e">
        <f>IF(VLOOKUP(T_Convention[[#This Row],[NumL]],T_suiviDi[#Data],COLUMN(T_suiviDi[Entité]),FALSE)="","",VLOOKUP(T_Convention[[#This Row],[NumL]],T_suiviDi[#Data],COLUMN(T_suiviDi[Entité]),FALSE))</f>
        <v>#N/A</v>
      </c>
      <c r="BX211" s="164" t="str">
        <f>IF(VLOOKUP(T_Convention[[#This Row],[NumL]],T_Commission[#Data],COLUMN(T_Commission[envoi confirm TW]),FALSE)="","",VLOOKUP(T_Convention[[#This Row],[NumL]],T_Commission[#Data],COLUMN(T_Commission[envoi confirm TW]),FALSE))</f>
        <v>Oui</v>
      </c>
      <c r="BY21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1" s="264">
        <f>VLOOKUP(T_Convention[[#This Row],[NumL]],T_Commission[#Data],COLUMN(T_Commission[Commentaire]),FALSE)</f>
        <v>0</v>
      </c>
      <c r="CA211" s="254" t="str">
        <f>IF(VLOOKUP(T_Convention[[#This Row],[NumL]],T_Commission[#Data],COLUMN(T_Commission[Encadrant Email]),FALSE)="","",VLOOKUP(T_Convention[[#This Row],[NumL]],T_Commission[#Data],COLUMN(T_Commission[Encadrant Email]),FALSE))</f>
        <v/>
      </c>
      <c r="CB211" s="352" t="e">
        <f>VLOOKUP(T_Convention[[#This Row],[NumL]],T_TraitDi[#Data],COLUMN(T_TraitDi[NbJTot]),FALSE)</f>
        <v>#N/A</v>
      </c>
      <c r="CC211" s="352" t="e">
        <f>VLOOKUP(T_Convention[[#This Row],[NumL]],T_TraitDi[#Data],COLUMN(T_TraitDi[Reg Ponct]),FALSE)</f>
        <v>#N/A</v>
      </c>
      <c r="CD211" s="348" t="str">
        <f>IF(T_Convention[[#This Row],[Final]]&lt;&gt;"",VLOOKUP(T_Convention[[#This Row],[NumL]],T_suiviDi[#Data],COLUMN((T_suiviDi[Statut])),FALSE),"")</f>
        <v/>
      </c>
    </row>
    <row r="212" spans="1:82" s="106" customFormat="1" ht="18.75" customHeight="1" x14ac:dyDescent="0.25">
      <c r="A212" s="160">
        <v>198</v>
      </c>
      <c r="B212" s="161" t="str">
        <f>VLOOKUP(T_Convention[[#This Row],[NumL]],T_Commission[#Data],COLUMN(T_Commission[FINAL]),FALSE)</f>
        <v/>
      </c>
      <c r="C212" s="162"/>
      <c r="D212" s="95" t="e">
        <f>IF(VLOOKUP(T_Convention[[#This Row],[NumL]],T_TraitDi[#Data],COLUMN(T_TraitDi[WebC]),FALSE)="","",VLOOKUP(T_Convention[[#This Row],[NumL]],T_TraitDi[#Data],COLUMN(T_TraitDi[WebC]),FALSE))</f>
        <v>#N/A</v>
      </c>
      <c r="E212" s="163" t="str">
        <f t="shared" si="15"/>
        <v>12 janvier 2021</v>
      </c>
      <c r="F212" s="282" t="str">
        <f>IF(T_Convention[[#This Row],[Final]]&lt;&gt;"",VLOOKUP(T_Convention[[#This Row],[NumL]],T_suiviDi[#Data],COLUMN((T_suiviDi[Civ.])),FALSE),"")</f>
        <v/>
      </c>
      <c r="G212" s="283" t="str">
        <f>IF(T_Convention[[#This Row],[Final]]&lt;&gt;"",VLOOKUP(T_Convention[[#This Row],[NumL]],T_suiviDi[#Data],COLUMN((T_suiviDi[Nom])),FALSE),"")</f>
        <v/>
      </c>
      <c r="H212" s="282" t="str">
        <f>IF(T_Convention[[#This Row],[Final]]&lt;&gt;"",VLOOKUP(T_Convention[[#This Row],[NumL]],T_suiviDi[#Data],COLUMN((T_suiviDi[Prénom])),FALSE),"")</f>
        <v/>
      </c>
      <c r="I212" s="282" t="e">
        <f>VLOOKUP(T_Convention[[#This Row],[NumL]],T_suiviDi[#Data],COLUMN((T_suiviDi[[#This Row],[Email]])),FALSE)</f>
        <v>#VALUE!</v>
      </c>
      <c r="J212" s="282" t="e">
        <f>IF(VLOOKUP(T_Convention[[#This Row],[NumL]],T_suiviDi[#Data],COLUMN(T_suiviDi[[#This Row],[Fonction]]),FALSE)="","",VLOOKUP(T_Convention[[#This Row],[NumL]],T_suiviDi[#Data],COLUMN(T_suiviDi[[#This Row],[Fonction]]),FALSE))</f>
        <v>#VALUE!</v>
      </c>
      <c r="K212" s="282" t="e">
        <f>IF(VLOOKUP(T_Convention[[#This Row],[NumL]],T_suiviDi[#Data],COLUMN(T_suiviDi[[#This Row],[Grade]]),FALSE)="","",VLOOKUP(T_Convention[[#This Row],[NumL]],T_suiviDi[#Data],COLUMN(T_suiviDi[[#This Row],[Grade]]),FALSE))</f>
        <v>#VALUE!</v>
      </c>
      <c r="L212" s="282" t="e">
        <f>IF(VLOOKUP(T_Convention[[#This Row],[NumL]],T_suiviDi[#Data],COLUMN(T_suiviDi[[#This Row],[Service ]]),FALSE)="","",VLOOKUP(T_Convention[[#This Row],[NumL]],T_suiviDi[#Data],COLUMN(T_suiviDi[[#This Row],[Service ]]),FALSE))</f>
        <v>#VALUE!</v>
      </c>
      <c r="M212" s="164" t="str">
        <f t="shared" si="16"/>
        <v>01 septembre 2021</v>
      </c>
      <c r="N212" s="164" t="str">
        <f t="shared" si="17"/>
        <v>30 novembre 2021</v>
      </c>
      <c r="O212" s="284" t="str">
        <f t="shared" si="18"/>
        <v>30 novembre 2021</v>
      </c>
      <c r="P212" s="282" t="e">
        <f>IF(VLOOKUP(T_Convention[[#This Row],[NumL]],T_TraitDi[#Data],COLUMN(T_TraitDi[M1]),FALSE)="","",VLOOKUP(T_Convention[[#This Row],[NumL]],T_TraitDi[#Data],COLUMN(T_TraitDi[M1]),FALSE))</f>
        <v>#N/A</v>
      </c>
      <c r="Q212" s="282" t="e">
        <f>IF(VLOOKUP(T_Convention[[#This Row],[NumL]],T_TraitDi[#Data],COLUMN(T_TraitDi[M2]),FALSE)="","",VLOOKUP(T_Convention[[#This Row],[NumL]],T_TraitDi[#Data],COLUMN(T_TraitDi[M2]),FALSE))</f>
        <v>#N/A</v>
      </c>
      <c r="R212" s="282" t="e">
        <f>IF(VLOOKUP(T_Convention[[#This Row],[NumL]],T_TraitDi[#Data],COLUMN(T_TraitDi[M3]),FALSE)="","",VLOOKUP(T_Convention[[#This Row],[NumL]],T_TraitDi[#Data],COLUMN(T_TraitDi[M3]),FALSE))</f>
        <v>#N/A</v>
      </c>
      <c r="S212" s="282" t="e">
        <f>IF(VLOOKUP(T_Convention[[#This Row],[NumL]],T_TraitDi[#Data],COLUMN(T_TraitDi[M4]),FALSE)="","",VLOOKUP(T_Convention[[#This Row],[NumL]],T_TraitDi[#Data],COLUMN(T_TraitDi[M4]),FALSE))</f>
        <v>#N/A</v>
      </c>
      <c r="T212" s="282" t="e">
        <f>IF(VLOOKUP(T_Convention[[#This Row],[NumL]],T_TraitDi[#Data],COLUMN(T_TraitDi[M5]),FALSE)="","",VLOOKUP(T_Convention[[#This Row],[NumL]],T_TraitDi[#Data],COLUMN(T_TraitDi[M5]),FALSE))</f>
        <v>#N/A</v>
      </c>
      <c r="U212" s="282" t="e">
        <f>IF(VLOOKUP(T_Convention[[#This Row],[NumL]],T_TraitDi[#Data],COLUMN(T_TraitDi[M6]),FALSE)="","",VLOOKUP(T_Convention[[#This Row],[NumL]],T_TraitDi[#Data],COLUMN(T_TraitDi[M6]),FALSE))</f>
        <v>#N/A</v>
      </c>
      <c r="V212" s="176" t="e">
        <f t="shared" si="19"/>
        <v>#N/A</v>
      </c>
      <c r="W212" s="284" t="str">
        <f>IFERROR(TEXT(VLOOKUP(T_Convention[[#This Row],[NumL]],T_TraitDi[#Data],COLUMN(T_TraitDi[Q2]),FALSE),"###%"),"")</f>
        <v/>
      </c>
      <c r="X212" s="97" t="e">
        <f>VLOOKUP(T_Convention[[#This Row],[NumL]],T_TraitDi[#Data],COLUMN(T_TraitDi[Reg Ponct]),FALSE)</f>
        <v>#N/A</v>
      </c>
      <c r="Y212" s="97" t="e">
        <f>VLOOKUP(T_Convention[NumL],T_TraitDi[#Data],COLUMN(T_TraitDi[Jours flottants]),FALSE)</f>
        <v>#N/A</v>
      </c>
      <c r="Z212" s="284" t="str">
        <f>IFERROR(VLOOKUP(T_Convention[[#This Row],[NumL]],T_TraitDi[#Data],COLUMN(T_TraitDi[Lundi]),FALSE),"")</f>
        <v/>
      </c>
      <c r="AA212" s="284" t="e">
        <f>IF(VLOOKUP(T_Convention[[#This Row],[NumL]],T_TraitDi[#Data],COLUMN(T_TraitDi[Colonne3]),FALSE)=0,"",TEXT(IFERROR(VLOOKUP(T_Convention[[#This Row],[NumL]],T_TraitDi[#Data],COLUMN(T_TraitDi[Colonne3]),FALSE),""),"[hh]:mm"))</f>
        <v>#N/A</v>
      </c>
      <c r="AB212" s="284" t="e">
        <f>IF(VLOOKUP(T_Convention[[#This Row],[NumL]],T_TraitDi[#Data],COLUMN(T_TraitDi[Colonne4]),FALSE)=0,"",TEXT(IFERROR(VLOOKUP(T_Convention[[#This Row],[NumL]],T_TraitDi[#Data],COLUMN(T_TraitDi[Colonne4]),FALSE),""),"[hh]:mm"))</f>
        <v>#N/A</v>
      </c>
      <c r="AC212" s="284" t="e">
        <f>IF(VLOOKUP(T_Convention[[#This Row],[NumL]],T_TraitDi[#Data],COLUMN(T_TraitDi[Colonne5]),FALSE)=0,"",TEXT(IFERROR(VLOOKUP(T_Convention[[#This Row],[NumL]],T_TraitDi[#Data],COLUMN(T_TraitDi[Colonne5]),FALSE),""),"[hh]:mm"))</f>
        <v>#N/A</v>
      </c>
      <c r="AD212" s="284" t="e">
        <f>IF(VLOOKUP(T_Convention[[#This Row],[NumL]],T_TraitDi[#Data],COLUMN(T_TraitDi[Colonne6]),FALSE)=0,"",TEXT(IFERROR(VLOOKUP(T_Convention[[#This Row],[NumL]],T_TraitDi[#Data],COLUMN(T_TraitDi[Colonne6]),FALSE),""),"[hh]:mm"))</f>
        <v>#N/A</v>
      </c>
      <c r="AE212" s="284" t="e">
        <f>IF(VLOOKUP(T_Convention[[#This Row],[NumL]],T_TraitDi[#Data],COLUMN(T_TraitDi[Colonne7]),FALSE)=0,"",TEXT(IFERROR(VLOOKUP(T_Convention[[#This Row],[NumL]],T_TraitDi[#Data],COLUMN(T_TraitDi[Colonne7]),FALSE),""),"[hh]:mm"))</f>
        <v>#N/A</v>
      </c>
      <c r="AF212" s="284" t="e">
        <f>IF(VLOOKUP(T_Convention[[#This Row],[NumL]],T_TraitDi[#Data],COLUMN(T_TraitDi[Colonne8]),FALSE)=0,"",TEXT(IFERROR(VLOOKUP(T_Convention[[#This Row],[NumL]],T_TraitDi[#Data],COLUMN(T_TraitDi[Colonne8]),FALSE),""),"[hh]:mm"))</f>
        <v>#N/A</v>
      </c>
      <c r="AG212" s="284" t="str">
        <f>IFERROR(VLOOKUP(T_Convention[[#This Row],[NumL]],T_TraitDi[#Data],COLUMN(T_TraitDi[Mardi]),FALSE),"")</f>
        <v/>
      </c>
      <c r="AH212" s="284" t="e">
        <f>IF(VLOOKUP(T_Convention[[#This Row],[NumL]],T_TraitDi[#Data],COLUMN(T_TraitDi[Colonne1]),FALSE)=0,"",TEXT(IFERROR(VLOOKUP(T_Convention[[#This Row],[NumL]],T_TraitDi[#Data],COLUMN(T_TraitDi[Colonne1]),FALSE),""),"[hh]:mm"))</f>
        <v>#N/A</v>
      </c>
      <c r="AI212" s="284" t="e">
        <f>IF(VLOOKUP(T_Convention[[#This Row],[NumL]],T_TraitDi[#Data],COLUMN(T_TraitDi[Colonne9]),FALSE)=0,"",TEXT(IFERROR(VLOOKUP(T_Convention[[#This Row],[NumL]],T_TraitDi[#Data],COLUMN(T_TraitDi[Colonne9]),FALSE),""),"[hh]:mm"))</f>
        <v>#N/A</v>
      </c>
      <c r="AJ212" s="284" t="str">
        <f>IFERROR(VLOOKUP(T_Convention[[#This Row],[NumL]],T_TraitDi[#Data],COLUMN(T_TraitDi[Colonne10]),FALSE),"")</f>
        <v/>
      </c>
      <c r="AK212" s="284" t="e">
        <f>IF(VLOOKUP(T_Convention[[#This Row],[NumL]],T_TraitDi[#Data],COLUMN(T_TraitDi[Colonne11]),FALSE)=0,"",TEXT(IFERROR(VLOOKUP(T_Convention[[#This Row],[NumL]],T_TraitDi[#Data],COLUMN(T_TraitDi[Colonne11]),FALSE),""),"[hh]:mm"))</f>
        <v>#N/A</v>
      </c>
      <c r="AL212" s="284" t="e">
        <f>IF(VLOOKUP(T_Convention[[#This Row],[NumL]],T_TraitDi[#Data],COLUMN(T_TraitDi[Colonne12]),FALSE)=0,"",TEXT(IFERROR(VLOOKUP(T_Convention[[#This Row],[NumL]],T_TraitDi[#Data],COLUMN(T_TraitDi[Colonne12]),FALSE),""),"[hh]:mm"))</f>
        <v>#N/A</v>
      </c>
      <c r="AM212" s="284" t="e">
        <f>IF(VLOOKUP(T_Convention[[#This Row],[NumL]],T_TraitDi[#Data],COLUMN(T_TraitDi[Colonne14]),FALSE)=0,"",TEXT(IFERROR(VLOOKUP(T_Convention[[#This Row],[NumL]],T_TraitDi[#Data],COLUMN(T_TraitDi[Colonne14]),FALSE),""),"[hh]:mm"))</f>
        <v>#N/A</v>
      </c>
      <c r="AN212" s="284" t="str">
        <f>IFERROR(VLOOKUP(T_Convention[[#This Row],[NumL]],T_TraitDi[#Data],COLUMN(T_TraitDi[Mercredi]),FALSE),"")</f>
        <v/>
      </c>
      <c r="AO212" s="284" t="e">
        <f>IF(VLOOKUP(T_Convention[[#This Row],[NumL]],T_TraitDi[#Data],COLUMN(T_TraitDi[Colonne15]),FALSE)=0,"",TEXT(IFERROR(VLOOKUP(T_Convention[[#This Row],[NumL]],T_TraitDi[#Data],COLUMN(T_TraitDi[Colonne15]),FALSE),""),"[hh]:mm"))</f>
        <v>#N/A</v>
      </c>
      <c r="AP212" s="284" t="e">
        <f>IF(VLOOKUP(T_Convention[[#This Row],[NumL]],T_TraitDi[#Data],COLUMN(T_TraitDi[Colonne16]),FALSE)=0,"",TEXT(IFERROR(VLOOKUP(T_Convention[[#This Row],[NumL]],T_TraitDi[#Data],COLUMN(T_TraitDi[Colonne16]),FALSE),""),"[hh]:mm"))</f>
        <v>#N/A</v>
      </c>
      <c r="AQ212" s="284" t="str">
        <f>IFERROR(VLOOKUP(T_Convention[[#This Row],[NumL]],T_TraitDi[#Data],COLUMN(T_TraitDi[Colonne17]),FALSE),"")</f>
        <v/>
      </c>
      <c r="AR212" s="284" t="e">
        <f>IF(VLOOKUP(T_Convention[[#This Row],[NumL]],T_TraitDi[#Data],COLUMN(T_TraitDi[Colonne18]),FALSE)=0,"",TEXT(IFERROR(VLOOKUP(T_Convention[[#This Row],[NumL]],T_TraitDi[#Data],COLUMN(T_TraitDi[Colonne18]),FALSE),""),"[hh]:mm"))</f>
        <v>#N/A</v>
      </c>
      <c r="AS212" s="284" t="e">
        <f>IF(VLOOKUP(T_Convention[[#This Row],[NumL]],T_TraitDi[#Data],COLUMN(T_TraitDi[Colonne19]),FALSE)=0,"",TEXT(IFERROR(VLOOKUP(T_Convention[[#This Row],[NumL]],T_TraitDi[#Data],COLUMN(T_TraitDi[Colonne19]),FALSE),""),"[hh]:mm"))</f>
        <v>#N/A</v>
      </c>
      <c r="AT212" s="284" t="e">
        <f>IF(VLOOKUP(T_Convention[[#This Row],[NumL]],T_TraitDi[#Data],COLUMN(T_TraitDi[Colonne20]),FALSE)=0,"",TEXT(IFERROR(VLOOKUP(T_Convention[[#This Row],[NumL]],T_TraitDi[#Data],COLUMN(T_TraitDi[Colonne20]),FALSE),""),"[hh]:mm"))</f>
        <v>#N/A</v>
      </c>
      <c r="AU212" s="284" t="str">
        <f>IFERROR(VLOOKUP(T_Convention[[#This Row],[NumL]],T_TraitDi[#Data],COLUMN(T_TraitDi[Jeudi]),FALSE),"")</f>
        <v/>
      </c>
      <c r="AV212" s="284" t="e">
        <f>IF(VLOOKUP(T_Convention[[#This Row],[NumL]],T_TraitDi[#Data],COLUMN(T_TraitDi[Colonne21]),FALSE)=0,"",TEXT(IFERROR(VLOOKUP(T_Convention[[#This Row],[NumL]],T_TraitDi[#Data],COLUMN(T_TraitDi[Colonne21]),FALSE),""),"[hh]:mm"))</f>
        <v>#N/A</v>
      </c>
      <c r="AW212" s="284" t="e">
        <f>IF(VLOOKUP(T_Convention[[#This Row],[NumL]],T_TraitDi[#Data],COLUMN(T_TraitDi[Colonne22]),FALSE)=0,"",TEXT(IFERROR(VLOOKUP(T_Convention[[#This Row],[NumL]],T_TraitDi[#Data],COLUMN(T_TraitDi[Colonne22]),FALSE),""),"[hh]:mm"))</f>
        <v>#N/A</v>
      </c>
      <c r="AX212" s="284" t="str">
        <f>IFERROR(VLOOKUP(T_Convention[[#This Row],[NumL]],T_TraitDi[#Data],COLUMN(T_TraitDi[Colonne23]),FALSE),"")</f>
        <v/>
      </c>
      <c r="AY212" s="284" t="e">
        <f>IF(VLOOKUP(T_Convention[[#This Row],[NumL]],T_TraitDi[#Data],COLUMN(T_TraitDi[Colonne24]),FALSE)=0,"",TEXT(IFERROR(VLOOKUP(T_Convention[[#This Row],[NumL]],T_TraitDi[#Data],COLUMN(T_TraitDi[Colonne24]),FALSE),""),"[hh]:mm"))</f>
        <v>#N/A</v>
      </c>
      <c r="AZ212" s="284" t="e">
        <f>IF(VLOOKUP(T_Convention[[#This Row],[NumL]],T_TraitDi[#Data],COLUMN(T_TraitDi[Colonne25]),FALSE)=0,"",TEXT(IFERROR(VLOOKUP(T_Convention[[#This Row],[NumL]],T_TraitDi[#Data],COLUMN(T_TraitDi[Colonne25]),FALSE),""),"[hh]:mm"))</f>
        <v>#N/A</v>
      </c>
      <c r="BA212" s="284" t="e">
        <f>IF(VLOOKUP(T_Convention[[#This Row],[NumL]],T_TraitDi[#Data],COLUMN(T_TraitDi[Colonne26]),FALSE)=0,"",TEXT(IFERROR(VLOOKUP(T_Convention[[#This Row],[NumL]],T_TraitDi[#Data],COLUMN(T_TraitDi[Colonne26]),FALSE),""),"[hh]:mm"))</f>
        <v>#N/A</v>
      </c>
      <c r="BB212" s="284" t="str">
        <f>IFERROR(VLOOKUP(T_Convention[[#This Row],[NumL]],T_TraitDi[#Data],COLUMN(T_TraitDi[Vendredi]),FALSE),"")</f>
        <v/>
      </c>
      <c r="BC212" s="284" t="e">
        <f>IF(VLOOKUP(T_Convention[[#This Row],[NumL]],T_TraitDi[#Data],COLUMN(T_TraitDi[Colonne27]),FALSE)=0,"",TEXT(IFERROR(VLOOKUP(T_Convention[[#This Row],[NumL]],T_TraitDi[#Data],COLUMN(T_TraitDi[Colonne27]),FALSE),""),"[hh]:mm"))</f>
        <v>#N/A</v>
      </c>
      <c r="BD212" s="284" t="e">
        <f>IF(VLOOKUP(T_Convention[[#This Row],[NumL]],T_TraitDi[#Data],COLUMN(T_TraitDi[Colonne28]),FALSE)=0,"",TEXT(IFERROR(VLOOKUP(T_Convention[[#This Row],[NumL]],T_TraitDi[#Data],COLUMN(T_TraitDi[Colonne28]),FALSE),""),"[hh]:mm"))</f>
        <v>#N/A</v>
      </c>
      <c r="BE212" s="284" t="str">
        <f>IFERROR(VLOOKUP(T_Convention[[#This Row],[NumL]],T_TraitDi[#Data],COLUMN(T_TraitDi[Colonne29]),FALSE),"")</f>
        <v/>
      </c>
      <c r="BF212" s="284" t="e">
        <f>IF(VLOOKUP(T_Convention[[#This Row],[NumL]],T_TraitDi[#Data],COLUMN(T_TraitDi[Colonne30]),FALSE)=0,"",TEXT(IFERROR(VLOOKUP(T_Convention[[#This Row],[NumL]],T_TraitDi[#Data],COLUMN(T_TraitDi[Colonne30]),FALSE),""),"[hh]:mm"))</f>
        <v>#N/A</v>
      </c>
      <c r="BG212" s="284" t="e">
        <f>IF(VLOOKUP(T_Convention[[#This Row],[NumL]],T_TraitDi[#Data],COLUMN(T_TraitDi[Colonne31]),FALSE)=0,"",TEXT(IFERROR(VLOOKUP(T_Convention[[#This Row],[NumL]],T_TraitDi[#Data],COLUMN(T_TraitDi[Colonne31]),FALSE),""),"[hh]:mm"))</f>
        <v>#N/A</v>
      </c>
      <c r="BH212" s="284" t="e">
        <f>IF(VLOOKUP(T_Convention[[#This Row],[NumL]],T_TraitDi[#Data],COLUMN(T_TraitDi[Colonne32]),FALSE)=0,"",TEXT(IFERROR(VLOOKUP(T_Convention[[#This Row],[NumL]],T_TraitDi[#Data],COLUMN(T_TraitDi[Colonne32]),FALSE),""),"[hh]:mm"))</f>
        <v>#N/A</v>
      </c>
      <c r="BI212" s="284" t="str">
        <f>IFERROR(VLOOKUP(T_Convention[[#This Row],[NumL]],T_TraitDi[#Data],COLUMN(T_TraitDi[NbJTW]),FALSE),"")</f>
        <v/>
      </c>
      <c r="BJ212" s="284" t="e">
        <f>IF(VLOOKUP(T_Convention[[#This Row],[NumL]],T_TraitDi[#Data],COLUMN(T_TraitDi[NbhTW]),FALSE)=0,"",TEXT(IFERROR(VLOOKUP(T_Convention[[#This Row],[NumL]],T_TraitDi[#Data],COLUMN(T_TraitDi[NbhTW]),FALSE),""),"[hh]:mm"))</f>
        <v>#N/A</v>
      </c>
      <c r="BK212" s="286" t="e">
        <f>IF(VLOOKUP(T_Convention[[#This Row],[NumL]],T_TraitDi[#Data],COLUMN(T_TraitDi[Nbhheb]),FALSE)=0,"",TEXT(IFERROR(VLOOKUP(T_Convention[[#This Row],[NumL]],T_TraitDi[#Data],COLUMN(T_TraitDi[Nbhheb]),FALSE),""),"[hh]:mm"))</f>
        <v>#N/A</v>
      </c>
      <c r="BL212" s="287" t="str">
        <f>IFERROR(VLOOKUP(VLOOKUP(T_Convention[[#This Row],[NumL]],T_TraitDi[#Data],COLUMN(T_TraitDi[Type1]),FALSE),TypeTW,2,FALSE),"")</f>
        <v/>
      </c>
      <c r="BM212" s="288" t="str">
        <f>IFERROR(VLOOKUP(T_Convention[[#This Row],[NumL]],T_TraitDi[#Data],COLUMN(T_TraitDi[Rue1]),FALSE),"")</f>
        <v/>
      </c>
      <c r="BN212" s="289" t="str">
        <f>IFERROR(VLOOKUP(T_Convention[[#This Row],[NumL]],T_TraitDi[#Data],COLUMN(T_TraitDi[CP1]),FALSE),"")</f>
        <v/>
      </c>
      <c r="BO212" s="282" t="str">
        <f>IFERROR(VLOOKUP(T_Convention[[#This Row],[NumL]],T_TraitDi[#Data],COLUMN(T_TraitDi[VILLE1]),FALSE),"")</f>
        <v/>
      </c>
      <c r="BP212" s="290" t="str">
        <f>IFERROR(VLOOKUP(VLOOKUP(T_Convention[[#This Row],[NumL]],T_TraitDi[#Data],COLUMN(T_TraitDi[Type2]),FALSE),TypeTW,2,FALSE),"")</f>
        <v/>
      </c>
      <c r="BQ212" s="182" t="str">
        <f>IFERROR(VLOOKUP(T_Convention[[#This Row],[NumL]],T_TraitDi[#Data],COLUMN(T_TraitDi[Rue2]),FALSE),"")</f>
        <v/>
      </c>
      <c r="BR212" s="173" t="str">
        <f>IFERROR(VLOOKUP(T_Convention[[#This Row],[NumL]],T_TraitDi[#Data],COLUMN(T_TraitDi[CP2]),FALSE),"")</f>
        <v/>
      </c>
      <c r="BS212" s="173" t="str">
        <f>IFERROR(VLOOKUP(T_Convention[[#This Row],[NumL]],T_TraitDi[#Data],COLUMN(T_TraitDi[VILLE2]),FALSE),"")</f>
        <v/>
      </c>
      <c r="BT212" s="182" t="str">
        <f>IF(VLOOKUP(T_Convention[[#This Row],[NumL]],T_Equipement[#Data],COLUMN(T_Equipement[PC]),FALSE)="","Aucun équipement spécifique directement lié au télétravail",VLOOKUP(T_Convention[[#This Row],[NumL]],T_Equipement[#Data],COLUMN(T_Equipement[PC]),FALSE))</f>
        <v xml:space="preserve">16-368	</v>
      </c>
      <c r="BU212" s="166" t="str">
        <f>IFERROR(IF(VLOOKUP(T_Convention[[#This Row],[NumL]],T_TraitDi[#Data],COLUMN(T_TraitDi[Plan]),FALSE)="OK","Un planning spécifique de télétravail est annexé à la présente convention.",""),"")</f>
        <v/>
      </c>
      <c r="BV212" s="185" t="s">
        <v>3353</v>
      </c>
      <c r="BW212" s="164" t="e">
        <f>IF(VLOOKUP(T_Convention[[#This Row],[NumL]],T_suiviDi[#Data],COLUMN(T_suiviDi[Entité]),FALSE)="","",VLOOKUP(T_Convention[[#This Row],[NumL]],T_suiviDi[#Data],COLUMN(T_suiviDi[Entité]),FALSE))</f>
        <v>#N/A</v>
      </c>
      <c r="BX212" s="164" t="str">
        <f>IF(VLOOKUP(T_Convention[[#This Row],[NumL]],T_Commission[#Data],COLUMN(T_Commission[envoi confirm TW]),FALSE)="","",VLOOKUP(T_Convention[[#This Row],[NumL]],T_Commission[#Data],COLUMN(T_Commission[envoi confirm TW]),FALSE))</f>
        <v>Oui</v>
      </c>
      <c r="BY21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2" s="264">
        <f>VLOOKUP(T_Convention[[#This Row],[NumL]],T_Commission[#Data],COLUMN(T_Commission[Commentaire]),FALSE)</f>
        <v>0</v>
      </c>
      <c r="CA212" s="254" t="str">
        <f>IF(VLOOKUP(T_Convention[[#This Row],[NumL]],T_Commission[#Data],COLUMN(T_Commission[Encadrant Email]),FALSE)="","",VLOOKUP(T_Convention[[#This Row],[NumL]],T_Commission[#Data],COLUMN(T_Commission[Encadrant Email]),FALSE))</f>
        <v/>
      </c>
      <c r="CB212" s="352" t="e">
        <f>VLOOKUP(T_Convention[[#This Row],[NumL]],T_TraitDi[#Data],COLUMN(T_TraitDi[NbJTot]),FALSE)</f>
        <v>#N/A</v>
      </c>
      <c r="CC212" s="352" t="e">
        <f>VLOOKUP(T_Convention[[#This Row],[NumL]],T_TraitDi[#Data],COLUMN(T_TraitDi[Reg Ponct]),FALSE)</f>
        <v>#N/A</v>
      </c>
      <c r="CD212" s="348" t="str">
        <f>IF(T_Convention[[#This Row],[Final]]&lt;&gt;"",VLOOKUP(T_Convention[[#This Row],[NumL]],T_suiviDi[#Data],COLUMN((T_suiviDi[Statut])),FALSE),"")</f>
        <v/>
      </c>
    </row>
    <row r="213" spans="1:82" s="106" customFormat="1" ht="18.75" customHeight="1" x14ac:dyDescent="0.25">
      <c r="A213" s="160">
        <v>349</v>
      </c>
      <c r="B213" s="281" t="str">
        <f>VLOOKUP(T_Convention[[#This Row],[NumL]],T_Commission[#Data],COLUMN(T_Commission[FINAL]),FALSE)</f>
        <v/>
      </c>
      <c r="C213" s="162"/>
      <c r="D213" s="95" t="e">
        <f>IF(VLOOKUP(T_Convention[[#This Row],[NumL]],T_TraitDi[#Data],COLUMN(T_TraitDi[WebC]),FALSE)="","",VLOOKUP(T_Convention[[#This Row],[NumL]],T_TraitDi[#Data],COLUMN(T_TraitDi[WebC]),FALSE))</f>
        <v>#N/A</v>
      </c>
      <c r="E213" s="163" t="str">
        <f t="shared" si="15"/>
        <v>12 janvier 2021</v>
      </c>
      <c r="F213" s="282" t="str">
        <f>IF(T_Convention[[#This Row],[Final]]&lt;&gt;"",VLOOKUP(T_Convention[[#This Row],[NumL]],T_suiviDi[#Data],COLUMN((T_suiviDi[Civ.])),FALSE),"")</f>
        <v/>
      </c>
      <c r="G213" s="283" t="str">
        <f>IF(T_Convention[[#This Row],[Final]]&lt;&gt;"",VLOOKUP(T_Convention[[#This Row],[NumL]],T_suiviDi[#Data],COLUMN((T_suiviDi[Nom])),FALSE),"")</f>
        <v/>
      </c>
      <c r="H213" s="282" t="str">
        <f>IF(T_Convention[[#This Row],[Final]]&lt;&gt;"",VLOOKUP(T_Convention[[#This Row],[NumL]],T_suiviDi[#Data],COLUMN((T_suiviDi[Prénom])),FALSE),"")</f>
        <v/>
      </c>
      <c r="I213" s="282" t="e">
        <f>VLOOKUP(T_Convention[[#This Row],[NumL]],T_suiviDi[#Data],COLUMN((T_suiviDi[[#This Row],[Email]])),FALSE)</f>
        <v>#VALUE!</v>
      </c>
      <c r="J213" s="282" t="e">
        <f>IF(VLOOKUP(T_Convention[[#This Row],[NumL]],T_suiviDi[#Data],COLUMN(T_suiviDi[[#This Row],[Fonction]]),FALSE)="","",VLOOKUP(T_Convention[[#This Row],[NumL]],T_suiviDi[#Data],COLUMN(T_suiviDi[[#This Row],[Fonction]]),FALSE))</f>
        <v>#VALUE!</v>
      </c>
      <c r="K213" s="282" t="e">
        <f>IF(VLOOKUP(T_Convention[[#This Row],[NumL]],T_suiviDi[#Data],COLUMN(T_suiviDi[[#This Row],[Grade]]),FALSE)="","",VLOOKUP(T_Convention[[#This Row],[NumL]],T_suiviDi[#Data],COLUMN(T_suiviDi[[#This Row],[Grade]]),FALSE))</f>
        <v>#VALUE!</v>
      </c>
      <c r="L213" s="282" t="e">
        <f>IF(VLOOKUP(T_Convention[[#This Row],[NumL]],T_suiviDi[#Data],COLUMN(T_suiviDi[[#This Row],[Service ]]),FALSE)="","",VLOOKUP(T_Convention[[#This Row],[NumL]],T_suiviDi[#Data],COLUMN(T_suiviDi[[#This Row],[Service ]]),FALSE))</f>
        <v>#VALUE!</v>
      </c>
      <c r="M213" s="314" t="str">
        <f t="shared" si="16"/>
        <v>01 septembre 2021</v>
      </c>
      <c r="N213" s="314" t="str">
        <f t="shared" si="17"/>
        <v>30 novembre 2021</v>
      </c>
      <c r="O213" s="284" t="str">
        <f t="shared" si="18"/>
        <v>30 novembre 2021</v>
      </c>
      <c r="P213" s="282" t="e">
        <f>IF(VLOOKUP(T_Convention[[#This Row],[NumL]],T_TraitDi[#Data],COLUMN(T_TraitDi[M1]),FALSE)="","",VLOOKUP(T_Convention[[#This Row],[NumL]],T_TraitDi[#Data],COLUMN(T_TraitDi[M1]),FALSE))</f>
        <v>#N/A</v>
      </c>
      <c r="Q213" s="282" t="e">
        <f>IF(VLOOKUP(T_Convention[[#This Row],[NumL]],T_TraitDi[#Data],COLUMN(T_TraitDi[M2]),FALSE)="","",VLOOKUP(T_Convention[[#This Row],[NumL]],T_TraitDi[#Data],COLUMN(T_TraitDi[M2]),FALSE))</f>
        <v>#N/A</v>
      </c>
      <c r="R213" s="282" t="e">
        <f>IF(VLOOKUP(T_Convention[[#This Row],[NumL]],T_TraitDi[#Data],COLUMN(T_TraitDi[M3]),FALSE)="","",VLOOKUP(T_Convention[[#This Row],[NumL]],T_TraitDi[#Data],COLUMN(T_TraitDi[M3]),FALSE))</f>
        <v>#N/A</v>
      </c>
      <c r="S213" s="282" t="e">
        <f>IF(VLOOKUP(T_Convention[[#This Row],[NumL]],T_TraitDi[#Data],COLUMN(T_TraitDi[M4]),FALSE)="","",VLOOKUP(T_Convention[[#This Row],[NumL]],T_TraitDi[#Data],COLUMN(T_TraitDi[M4]),FALSE))</f>
        <v>#N/A</v>
      </c>
      <c r="T213" s="282" t="e">
        <f>IF(VLOOKUP(T_Convention[[#This Row],[NumL]],T_TraitDi[#Data],COLUMN(T_TraitDi[M5]),FALSE)="","",VLOOKUP(T_Convention[[#This Row],[NumL]],T_TraitDi[#Data],COLUMN(T_TraitDi[M5]),FALSE))</f>
        <v>#N/A</v>
      </c>
      <c r="U213" s="282" t="e">
        <f>IF(VLOOKUP(T_Convention[[#This Row],[NumL]],T_TraitDi[#Data],COLUMN(T_TraitDi[M6]),FALSE)="","",VLOOKUP(T_Convention[[#This Row],[NumL]],T_TraitDi[#Data],COLUMN(T_TraitDi[M6]),FALSE))</f>
        <v>#N/A</v>
      </c>
      <c r="V213" s="314" t="e">
        <f t="shared" si="19"/>
        <v>#N/A</v>
      </c>
      <c r="W213" s="284" t="str">
        <f>IFERROR(TEXT(VLOOKUP(T_Convention[[#This Row],[NumL]],T_TraitDi[#Data],COLUMN(T_TraitDi[Q2]),FALSE),"###%"),"")</f>
        <v/>
      </c>
      <c r="X213" s="285" t="e">
        <f>VLOOKUP(T_Convention[[#This Row],[NumL]],T_TraitDi[#Data],COLUMN(T_TraitDi[Reg Ponct]),FALSE)</f>
        <v>#N/A</v>
      </c>
      <c r="Y213" s="285" t="e">
        <f>VLOOKUP(T_Convention[NumL],T_TraitDi[#Data],COLUMN(T_TraitDi[Jours flottants]),FALSE)</f>
        <v>#N/A</v>
      </c>
      <c r="Z213" s="284" t="str">
        <f>IFERROR(VLOOKUP(T_Convention[[#This Row],[NumL]],T_TraitDi[#Data],COLUMN(T_TraitDi[Lundi]),FALSE),"")</f>
        <v/>
      </c>
      <c r="AA213" s="284" t="e">
        <f>IF(VLOOKUP(T_Convention[[#This Row],[NumL]],T_TraitDi[#Data],COLUMN(T_TraitDi[Colonne3]),FALSE)=0,"",TEXT(IFERROR(VLOOKUP(T_Convention[[#This Row],[NumL]],T_TraitDi[#Data],COLUMN(T_TraitDi[Colonne3]),FALSE),""),"[hh]:mm"))</f>
        <v>#N/A</v>
      </c>
      <c r="AB213" s="284" t="e">
        <f>IF(VLOOKUP(T_Convention[[#This Row],[NumL]],T_TraitDi[#Data],COLUMN(T_TraitDi[Colonne4]),FALSE)=0,"",TEXT(IFERROR(VLOOKUP(T_Convention[[#This Row],[NumL]],T_TraitDi[#Data],COLUMN(T_TraitDi[Colonne4]),FALSE),""),"[hh]:mm"))</f>
        <v>#N/A</v>
      </c>
      <c r="AC213" s="284" t="e">
        <f>IF(VLOOKUP(T_Convention[[#This Row],[NumL]],T_TraitDi[#Data],COLUMN(T_TraitDi[Colonne5]),FALSE)=0,"",TEXT(IFERROR(VLOOKUP(T_Convention[[#This Row],[NumL]],T_TraitDi[#Data],COLUMN(T_TraitDi[Colonne5]),FALSE),""),"[hh]:mm"))</f>
        <v>#N/A</v>
      </c>
      <c r="AD213" s="284" t="e">
        <f>IF(VLOOKUP(T_Convention[[#This Row],[NumL]],T_TraitDi[#Data],COLUMN(T_TraitDi[Colonne6]),FALSE)=0,"",TEXT(IFERROR(VLOOKUP(T_Convention[[#This Row],[NumL]],T_TraitDi[#Data],COLUMN(T_TraitDi[Colonne6]),FALSE),""),"[hh]:mm"))</f>
        <v>#N/A</v>
      </c>
      <c r="AE213" s="284" t="e">
        <f>IF(VLOOKUP(T_Convention[[#This Row],[NumL]],T_TraitDi[#Data],COLUMN(T_TraitDi[Colonne7]),FALSE)=0,"",TEXT(IFERROR(VLOOKUP(T_Convention[[#This Row],[NumL]],T_TraitDi[#Data],COLUMN(T_TraitDi[Colonne7]),FALSE),""),"[hh]:mm"))</f>
        <v>#N/A</v>
      </c>
      <c r="AF213" s="284" t="e">
        <f>IF(VLOOKUP(T_Convention[[#This Row],[NumL]],T_TraitDi[#Data],COLUMN(T_TraitDi[Colonne8]),FALSE)=0,"",TEXT(IFERROR(VLOOKUP(T_Convention[[#This Row],[NumL]],T_TraitDi[#Data],COLUMN(T_TraitDi[Colonne8]),FALSE),""),"[hh]:mm"))</f>
        <v>#N/A</v>
      </c>
      <c r="AG213" s="284" t="str">
        <f>IFERROR(VLOOKUP(T_Convention[[#This Row],[NumL]],T_TraitDi[#Data],COLUMN(T_TraitDi[Mardi]),FALSE),"")</f>
        <v/>
      </c>
      <c r="AH213" s="284" t="e">
        <f>IF(VLOOKUP(T_Convention[[#This Row],[NumL]],T_TraitDi[#Data],COLUMN(T_TraitDi[Colonne1]),FALSE)=0,"",TEXT(IFERROR(VLOOKUP(T_Convention[[#This Row],[NumL]],T_TraitDi[#Data],COLUMN(T_TraitDi[Colonne1]),FALSE),""),"[hh]:mm"))</f>
        <v>#N/A</v>
      </c>
      <c r="AI213" s="284" t="e">
        <f>IF(VLOOKUP(T_Convention[[#This Row],[NumL]],T_TraitDi[#Data],COLUMN(T_TraitDi[Colonne9]),FALSE)=0,"",TEXT(IFERROR(VLOOKUP(T_Convention[[#This Row],[NumL]],T_TraitDi[#Data],COLUMN(T_TraitDi[Colonne9]),FALSE),""),"[hh]:mm"))</f>
        <v>#N/A</v>
      </c>
      <c r="AJ213" s="284" t="str">
        <f>IFERROR(VLOOKUP(T_Convention[[#This Row],[NumL]],T_TraitDi[#Data],COLUMN(T_TraitDi[Colonne10]),FALSE),"")</f>
        <v/>
      </c>
      <c r="AK213" s="284" t="e">
        <f>IF(VLOOKUP(T_Convention[[#This Row],[NumL]],T_TraitDi[#Data],COLUMN(T_TraitDi[Colonne11]),FALSE)=0,"",TEXT(IFERROR(VLOOKUP(T_Convention[[#This Row],[NumL]],T_TraitDi[#Data],COLUMN(T_TraitDi[Colonne11]),FALSE),""),"[hh]:mm"))</f>
        <v>#N/A</v>
      </c>
      <c r="AL213" s="284" t="e">
        <f>IF(VLOOKUP(T_Convention[[#This Row],[NumL]],T_TraitDi[#Data],COLUMN(T_TraitDi[Colonne12]),FALSE)=0,"",TEXT(IFERROR(VLOOKUP(T_Convention[[#This Row],[NumL]],T_TraitDi[#Data],COLUMN(T_TraitDi[Colonne12]),FALSE),""),"[hh]:mm"))</f>
        <v>#N/A</v>
      </c>
      <c r="AM213" s="284" t="e">
        <f>IF(VLOOKUP(T_Convention[[#This Row],[NumL]],T_TraitDi[#Data],COLUMN(T_TraitDi[Colonne14]),FALSE)=0,"",TEXT(IFERROR(VLOOKUP(T_Convention[[#This Row],[NumL]],T_TraitDi[#Data],COLUMN(T_TraitDi[Colonne14]),FALSE),""),"[hh]:mm"))</f>
        <v>#N/A</v>
      </c>
      <c r="AN213" s="284" t="str">
        <f>IFERROR(VLOOKUP(T_Convention[[#This Row],[NumL]],T_TraitDi[#Data],COLUMN(T_TraitDi[Mercredi]),FALSE),"")</f>
        <v/>
      </c>
      <c r="AO213" s="284" t="e">
        <f>IF(VLOOKUP(T_Convention[[#This Row],[NumL]],T_TraitDi[#Data],COLUMN(T_TraitDi[Colonne15]),FALSE)=0,"",TEXT(IFERROR(VLOOKUP(T_Convention[[#This Row],[NumL]],T_TraitDi[#Data],COLUMN(T_TraitDi[Colonne15]),FALSE),""),"[hh]:mm"))</f>
        <v>#N/A</v>
      </c>
      <c r="AP213" s="284" t="e">
        <f>IF(VLOOKUP(T_Convention[[#This Row],[NumL]],T_TraitDi[#Data],COLUMN(T_TraitDi[Colonne16]),FALSE)=0,"",TEXT(IFERROR(VLOOKUP(T_Convention[[#This Row],[NumL]],T_TraitDi[#Data],COLUMN(T_TraitDi[Colonne16]),FALSE),""),"[hh]:mm"))</f>
        <v>#N/A</v>
      </c>
      <c r="AQ213" s="284" t="str">
        <f>IFERROR(VLOOKUP(T_Convention[[#This Row],[NumL]],T_TraitDi[#Data],COLUMN(T_TraitDi[Colonne17]),FALSE),"")</f>
        <v/>
      </c>
      <c r="AR213" s="284" t="e">
        <f>IF(VLOOKUP(T_Convention[[#This Row],[NumL]],T_TraitDi[#Data],COLUMN(T_TraitDi[Colonne18]),FALSE)=0,"",TEXT(IFERROR(VLOOKUP(T_Convention[[#This Row],[NumL]],T_TraitDi[#Data],COLUMN(T_TraitDi[Colonne18]),FALSE),""),"[hh]:mm"))</f>
        <v>#N/A</v>
      </c>
      <c r="AS213" s="284" t="e">
        <f>IF(VLOOKUP(T_Convention[[#This Row],[NumL]],T_TraitDi[#Data],COLUMN(T_TraitDi[Colonne19]),FALSE)=0,"",TEXT(IFERROR(VLOOKUP(T_Convention[[#This Row],[NumL]],T_TraitDi[#Data],COLUMN(T_TraitDi[Colonne19]),FALSE),""),"[hh]:mm"))</f>
        <v>#N/A</v>
      </c>
      <c r="AT213" s="284" t="e">
        <f>IF(VLOOKUP(T_Convention[[#This Row],[NumL]],T_TraitDi[#Data],COLUMN(T_TraitDi[Colonne20]),FALSE)=0,"",TEXT(IFERROR(VLOOKUP(T_Convention[[#This Row],[NumL]],T_TraitDi[#Data],COLUMN(T_TraitDi[Colonne20]),FALSE),""),"[hh]:mm"))</f>
        <v>#N/A</v>
      </c>
      <c r="AU213" s="284" t="str">
        <f>IFERROR(VLOOKUP(T_Convention[[#This Row],[NumL]],T_TraitDi[#Data],COLUMN(T_TraitDi[Jeudi]),FALSE),"")</f>
        <v/>
      </c>
      <c r="AV213" s="284" t="e">
        <f>IF(VLOOKUP(T_Convention[[#This Row],[NumL]],T_TraitDi[#Data],COLUMN(T_TraitDi[Colonne21]),FALSE)=0,"",TEXT(IFERROR(VLOOKUP(T_Convention[[#This Row],[NumL]],T_TraitDi[#Data],COLUMN(T_TraitDi[Colonne21]),FALSE),""),"[hh]:mm"))</f>
        <v>#N/A</v>
      </c>
      <c r="AW213" s="284" t="e">
        <f>IF(VLOOKUP(T_Convention[[#This Row],[NumL]],T_TraitDi[#Data],COLUMN(T_TraitDi[Colonne22]),FALSE)=0,"",TEXT(IFERROR(VLOOKUP(T_Convention[[#This Row],[NumL]],T_TraitDi[#Data],COLUMN(T_TraitDi[Colonne22]),FALSE),""),"[hh]:mm"))</f>
        <v>#N/A</v>
      </c>
      <c r="AX213" s="284" t="str">
        <f>IFERROR(VLOOKUP(T_Convention[[#This Row],[NumL]],T_TraitDi[#Data],COLUMN(T_TraitDi[Colonne23]),FALSE),"")</f>
        <v/>
      </c>
      <c r="AY213" s="284" t="e">
        <f>IF(VLOOKUP(T_Convention[[#This Row],[NumL]],T_TraitDi[#Data],COLUMN(T_TraitDi[Colonne24]),FALSE)=0,"",TEXT(IFERROR(VLOOKUP(T_Convention[[#This Row],[NumL]],T_TraitDi[#Data],COLUMN(T_TraitDi[Colonne24]),FALSE),""),"[hh]:mm"))</f>
        <v>#N/A</v>
      </c>
      <c r="AZ213" s="284" t="e">
        <f>IF(VLOOKUP(T_Convention[[#This Row],[NumL]],T_TraitDi[#Data],COLUMN(T_TraitDi[Colonne25]),FALSE)=0,"",TEXT(IFERROR(VLOOKUP(T_Convention[[#This Row],[NumL]],T_TraitDi[#Data],COLUMN(T_TraitDi[Colonne25]),FALSE),""),"[hh]:mm"))</f>
        <v>#N/A</v>
      </c>
      <c r="BA213" s="284" t="e">
        <f>IF(VLOOKUP(T_Convention[[#This Row],[NumL]],T_TraitDi[#Data],COLUMN(T_TraitDi[Colonne26]),FALSE)=0,"",TEXT(IFERROR(VLOOKUP(T_Convention[[#This Row],[NumL]],T_TraitDi[#Data],COLUMN(T_TraitDi[Colonne26]),FALSE),""),"[hh]:mm"))</f>
        <v>#N/A</v>
      </c>
      <c r="BB213" s="284" t="str">
        <f>IFERROR(VLOOKUP(T_Convention[[#This Row],[NumL]],T_TraitDi[#Data],COLUMN(T_TraitDi[Vendredi]),FALSE),"")</f>
        <v/>
      </c>
      <c r="BC213" s="284" t="e">
        <f>IF(VLOOKUP(T_Convention[[#This Row],[NumL]],T_TraitDi[#Data],COLUMN(T_TraitDi[Colonne27]),FALSE)=0,"",TEXT(IFERROR(VLOOKUP(T_Convention[[#This Row],[NumL]],T_TraitDi[#Data],COLUMN(T_TraitDi[Colonne27]),FALSE),""),"[hh]:mm"))</f>
        <v>#N/A</v>
      </c>
      <c r="BD213" s="284" t="e">
        <f>IF(VLOOKUP(T_Convention[[#This Row],[NumL]],T_TraitDi[#Data],COLUMN(T_TraitDi[Colonne28]),FALSE)=0,"",TEXT(IFERROR(VLOOKUP(T_Convention[[#This Row],[NumL]],T_TraitDi[#Data],COLUMN(T_TraitDi[Colonne28]),FALSE),""),"[hh]:mm"))</f>
        <v>#N/A</v>
      </c>
      <c r="BE213" s="284" t="str">
        <f>IFERROR(VLOOKUP(T_Convention[[#This Row],[NumL]],T_TraitDi[#Data],COLUMN(T_TraitDi[Colonne29]),FALSE),"")</f>
        <v/>
      </c>
      <c r="BF213" s="284" t="e">
        <f>IF(VLOOKUP(T_Convention[[#This Row],[NumL]],T_TraitDi[#Data],COLUMN(T_TraitDi[Colonne30]),FALSE)=0,"",TEXT(IFERROR(VLOOKUP(T_Convention[[#This Row],[NumL]],T_TraitDi[#Data],COLUMN(T_TraitDi[Colonne30]),FALSE),""),"[hh]:mm"))</f>
        <v>#N/A</v>
      </c>
      <c r="BG213" s="284" t="e">
        <f>IF(VLOOKUP(T_Convention[[#This Row],[NumL]],T_TraitDi[#Data],COLUMN(T_TraitDi[Colonne31]),FALSE)=0,"",TEXT(IFERROR(VLOOKUP(T_Convention[[#This Row],[NumL]],T_TraitDi[#Data],COLUMN(T_TraitDi[Colonne31]),FALSE),""),"[hh]:mm"))</f>
        <v>#N/A</v>
      </c>
      <c r="BH213" s="284" t="e">
        <f>IF(VLOOKUP(T_Convention[[#This Row],[NumL]],T_TraitDi[#Data],COLUMN(T_TraitDi[Colonne32]),FALSE)=0,"",TEXT(IFERROR(VLOOKUP(T_Convention[[#This Row],[NumL]],T_TraitDi[#Data],COLUMN(T_TraitDi[Colonne32]),FALSE),""),"[hh]:mm"))</f>
        <v>#N/A</v>
      </c>
      <c r="BI213" s="284" t="str">
        <f>IFERROR(VLOOKUP(T_Convention[[#This Row],[NumL]],T_TraitDi[#Data],COLUMN(T_TraitDi[NbJTW]),FALSE),"")</f>
        <v/>
      </c>
      <c r="BJ213" s="284" t="e">
        <f>IF(VLOOKUP(T_Convention[[#This Row],[NumL]],T_TraitDi[#Data],COLUMN(T_TraitDi[NbhTW]),FALSE)=0,"",TEXT(IFERROR(VLOOKUP(T_Convention[[#This Row],[NumL]],T_TraitDi[#Data],COLUMN(T_TraitDi[NbhTW]),FALSE),""),"[hh]:mm"))</f>
        <v>#N/A</v>
      </c>
      <c r="BK213" s="315" t="e">
        <f>IF(VLOOKUP(T_Convention[[#This Row],[NumL]],T_TraitDi[#Data],COLUMN(T_TraitDi[Nbhheb]),FALSE)=0,"",TEXT(IFERROR(VLOOKUP(T_Convention[[#This Row],[NumL]],T_TraitDi[#Data],COLUMN(T_TraitDi[Nbhheb]),FALSE),""),"[hh]:mm"))</f>
        <v>#N/A</v>
      </c>
      <c r="BL213" s="287" t="str">
        <f>IFERROR(VLOOKUP(VLOOKUP(T_Convention[[#This Row],[NumL]],T_TraitDi[#Data],COLUMN(T_TraitDi[Type1]),FALSE),TypeTW,2,FALSE),"")</f>
        <v/>
      </c>
      <c r="BM213" s="288" t="str">
        <f>IFERROR(VLOOKUP(T_Convention[[#This Row],[NumL]],T_TraitDi[#Data],COLUMN(T_TraitDi[Rue1]),FALSE),"")</f>
        <v/>
      </c>
      <c r="BN213" s="289" t="str">
        <f>IFERROR(VLOOKUP(T_Convention[[#This Row],[NumL]],T_TraitDi[#Data],COLUMN(T_TraitDi[CP1]),FALSE),"")</f>
        <v/>
      </c>
      <c r="BO213" s="282" t="str">
        <f>IFERROR(VLOOKUP(T_Convention[[#This Row],[NumL]],T_TraitDi[#Data],COLUMN(T_TraitDi[VILLE1]),FALSE),"")</f>
        <v/>
      </c>
      <c r="BP213" s="290" t="str">
        <f>IFERROR(VLOOKUP(VLOOKUP(T_Convention[[#This Row],[NumL]],T_TraitDi[#Data],COLUMN(T_TraitDi[Type2]),FALSE),TypeTW,2,FALSE),"")</f>
        <v/>
      </c>
      <c r="BQ213" s="310" t="str">
        <f>IFERROR(VLOOKUP(T_Convention[[#This Row],[NumL]],T_TraitDi[#Data],COLUMN(T_TraitDi[Rue2]),FALSE),"")</f>
        <v/>
      </c>
      <c r="BR213" s="290" t="str">
        <f>IFERROR(VLOOKUP(T_Convention[[#This Row],[NumL]],T_TraitDi[#Data],COLUMN(T_TraitDi[CP2]),FALSE),"")</f>
        <v/>
      </c>
      <c r="BS213" s="290" t="str">
        <f>IFERROR(VLOOKUP(T_Convention[[#This Row],[NumL]],T_TraitDi[#Data],COLUMN(T_TraitDi[VILLE2]),FALSE),"")</f>
        <v/>
      </c>
      <c r="BT213"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13" s="314" t="str">
        <f>IFERROR(IF(VLOOKUP(T_Convention[[#This Row],[NumL]],T_TraitDi[#Data],COLUMN(T_TraitDi[Plan]),FALSE)="OK","Un planning spécifique de télétravail est annexé à la présente convention.",""),"")</f>
        <v/>
      </c>
      <c r="BV213" s="291"/>
      <c r="BW213" s="292" t="e">
        <f>IF(VLOOKUP(T_Convention[[#This Row],[NumL]],T_suiviDi[#Data],COLUMN(T_suiviDi[Entité]),FALSE)="","",VLOOKUP(T_Convention[[#This Row],[NumL]],T_suiviDi[#Data],COLUMN(T_suiviDi[Entité]),FALSE))</f>
        <v>#N/A</v>
      </c>
      <c r="BX213" s="311" t="str">
        <f>IF(VLOOKUP(T_Convention[[#This Row],[NumL]],T_Commission[#Data],COLUMN(T_Commission[envoi confirm TW]),FALSE)="","",VLOOKUP(T_Convention[[#This Row],[NumL]],T_Commission[#Data],COLUMN(T_Commission[envoi confirm TW]),FALSE))</f>
        <v>Non</v>
      </c>
      <c r="BY213"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3" s="265" t="str">
        <f>VLOOKUP(T_Convention[[#This Row],[NumL]],T_Commission[#Data],COLUMN(T_Commission[Commentaire]),FALSE)</f>
        <v>L'agent occupe son poste actuel depuis moins d'un an et n'a pu explorer ses fonctions dans un fonctionnement normal de l'université.</v>
      </c>
      <c r="CA213" s="255" t="str">
        <f>IF(VLOOKUP(T_Convention[[#This Row],[NumL]],T_Commission[#Data],COLUMN(T_Commission[Encadrant Email]),FALSE)="","",VLOOKUP(T_Convention[[#This Row],[NumL]],T_Commission[#Data],COLUMN(T_Commission[Encadrant Email]),FALSE))</f>
        <v/>
      </c>
      <c r="CB213" s="352" t="e">
        <f>VLOOKUP(T_Convention[[#This Row],[NumL]],T_TraitDi[#Data],COLUMN(T_TraitDi[NbJTot]),FALSE)</f>
        <v>#N/A</v>
      </c>
      <c r="CC213" s="352" t="e">
        <f>VLOOKUP(T_Convention[[#This Row],[NumL]],T_TraitDi[#Data],COLUMN(T_TraitDi[Reg Ponct]),FALSE)</f>
        <v>#N/A</v>
      </c>
      <c r="CD213" s="348" t="str">
        <f>IF(T_Convention[[#This Row],[Final]]&lt;&gt;"",VLOOKUP(T_Convention[[#This Row],[NumL]],T_suiviDi[#Data],COLUMN((T_suiviDi[Statut])),FALSE),"")</f>
        <v/>
      </c>
    </row>
    <row r="214" spans="1:82" s="106" customFormat="1" ht="18.75" customHeight="1" x14ac:dyDescent="0.25">
      <c r="A214" s="160">
        <v>332</v>
      </c>
      <c r="B214" s="281" t="str">
        <f>VLOOKUP(T_Convention[[#This Row],[NumL]],T_Commission[#Data],COLUMN(T_Commission[FINAL]),FALSE)</f>
        <v/>
      </c>
      <c r="C214" s="162"/>
      <c r="D214" s="95" t="e">
        <f>IF(VLOOKUP(T_Convention[[#This Row],[NumL]],T_TraitDi[#Data],COLUMN(T_TraitDi[WebC]),FALSE)="","",VLOOKUP(T_Convention[[#This Row],[NumL]],T_TraitDi[#Data],COLUMN(T_TraitDi[WebC]),FALSE))</f>
        <v>#N/A</v>
      </c>
      <c r="E214" s="163" t="str">
        <f t="shared" si="15"/>
        <v>12 janvier 2021</v>
      </c>
      <c r="F214" s="282" t="str">
        <f>IF(T_Convention[[#This Row],[Final]]&lt;&gt;"",VLOOKUP(T_Convention[[#This Row],[NumL]],T_suiviDi[#Data],COLUMN((T_suiviDi[Civ.])),FALSE),"")</f>
        <v/>
      </c>
      <c r="G214" s="283" t="str">
        <f>IF(T_Convention[[#This Row],[Final]]&lt;&gt;"",VLOOKUP(T_Convention[[#This Row],[NumL]],T_suiviDi[#Data],COLUMN((T_suiviDi[Nom])),FALSE),"")</f>
        <v/>
      </c>
      <c r="H214" s="282" t="str">
        <f>IF(T_Convention[[#This Row],[Final]]&lt;&gt;"",VLOOKUP(T_Convention[[#This Row],[NumL]],T_suiviDi[#Data],COLUMN((T_suiviDi[Prénom])),FALSE),"")</f>
        <v/>
      </c>
      <c r="I214" s="282" t="e">
        <f>VLOOKUP(T_Convention[[#This Row],[NumL]],T_suiviDi[#Data],COLUMN((T_suiviDi[[#This Row],[Email]])),FALSE)</f>
        <v>#VALUE!</v>
      </c>
      <c r="J214" s="282" t="e">
        <f>IF(VLOOKUP(T_Convention[[#This Row],[NumL]],T_suiviDi[#Data],COLUMN(T_suiviDi[[#This Row],[Fonction]]),FALSE)="","",VLOOKUP(T_Convention[[#This Row],[NumL]],T_suiviDi[#Data],COLUMN(T_suiviDi[[#This Row],[Fonction]]),FALSE))</f>
        <v>#VALUE!</v>
      </c>
      <c r="K214" s="282" t="e">
        <f>IF(VLOOKUP(T_Convention[[#This Row],[NumL]],T_suiviDi[#Data],COLUMN(T_suiviDi[[#This Row],[Grade]]),FALSE)="","",VLOOKUP(T_Convention[[#This Row],[NumL]],T_suiviDi[#Data],COLUMN(T_suiviDi[[#This Row],[Grade]]),FALSE))</f>
        <v>#VALUE!</v>
      </c>
      <c r="L214" s="282" t="e">
        <f>IF(VLOOKUP(T_Convention[[#This Row],[NumL]],T_suiviDi[#Data],COLUMN(T_suiviDi[[#This Row],[Service ]]),FALSE)="","",VLOOKUP(T_Convention[[#This Row],[NumL]],T_suiviDi[#Data],COLUMN(T_suiviDi[[#This Row],[Service ]]),FALSE))</f>
        <v>#VALUE!</v>
      </c>
      <c r="M214" s="314" t="str">
        <f t="shared" si="16"/>
        <v>01 septembre 2021</v>
      </c>
      <c r="N214" s="314" t="str">
        <f t="shared" si="17"/>
        <v>30 novembre 2021</v>
      </c>
      <c r="O214" s="284" t="str">
        <f t="shared" si="18"/>
        <v>30 novembre 2021</v>
      </c>
      <c r="P214" s="282" t="e">
        <f>IF(VLOOKUP(T_Convention[[#This Row],[NumL]],T_TraitDi[#Data],COLUMN(T_TraitDi[M1]),FALSE)="","",VLOOKUP(T_Convention[[#This Row],[NumL]],T_TraitDi[#Data],COLUMN(T_TraitDi[M1]),FALSE))</f>
        <v>#N/A</v>
      </c>
      <c r="Q214" s="282" t="e">
        <f>IF(VLOOKUP(T_Convention[[#This Row],[NumL]],T_TraitDi[#Data],COLUMN(T_TraitDi[M2]),FALSE)="","",VLOOKUP(T_Convention[[#This Row],[NumL]],T_TraitDi[#Data],COLUMN(T_TraitDi[M2]),FALSE))</f>
        <v>#N/A</v>
      </c>
      <c r="R214" s="282" t="e">
        <f>IF(VLOOKUP(T_Convention[[#This Row],[NumL]],T_TraitDi[#Data],COLUMN(T_TraitDi[M3]),FALSE)="","",VLOOKUP(T_Convention[[#This Row],[NumL]],T_TraitDi[#Data],COLUMN(T_TraitDi[M3]),FALSE))</f>
        <v>#N/A</v>
      </c>
      <c r="S214" s="282" t="e">
        <f>IF(VLOOKUP(T_Convention[[#This Row],[NumL]],T_TraitDi[#Data],COLUMN(T_TraitDi[M4]),FALSE)="","",VLOOKUP(T_Convention[[#This Row],[NumL]],T_TraitDi[#Data],COLUMN(T_TraitDi[M4]),FALSE))</f>
        <v>#N/A</v>
      </c>
      <c r="T214" s="282" t="e">
        <f>IF(VLOOKUP(T_Convention[[#This Row],[NumL]],T_TraitDi[#Data],COLUMN(T_TraitDi[M5]),FALSE)="","",VLOOKUP(T_Convention[[#This Row],[NumL]],T_TraitDi[#Data],COLUMN(T_TraitDi[M5]),FALSE))</f>
        <v>#N/A</v>
      </c>
      <c r="U214" s="282" t="e">
        <f>IF(VLOOKUP(T_Convention[[#This Row],[NumL]],T_TraitDi[#Data],COLUMN(T_TraitDi[M6]),FALSE)="","",VLOOKUP(T_Convention[[#This Row],[NumL]],T_TraitDi[#Data],COLUMN(T_TraitDi[M6]),FALSE))</f>
        <v>#N/A</v>
      </c>
      <c r="V214" s="314" t="e">
        <f t="shared" si="19"/>
        <v>#N/A</v>
      </c>
      <c r="W214" s="284" t="str">
        <f>IFERROR(TEXT(VLOOKUP(T_Convention[[#This Row],[NumL]],T_TraitDi[#Data],COLUMN(T_TraitDi[Q2]),FALSE),"###%"),"")</f>
        <v/>
      </c>
      <c r="X214" s="285" t="e">
        <f>VLOOKUP(T_Convention[[#This Row],[NumL]],T_TraitDi[#Data],COLUMN(T_TraitDi[Reg Ponct]),FALSE)</f>
        <v>#N/A</v>
      </c>
      <c r="Y214" s="285" t="e">
        <f>VLOOKUP(T_Convention[NumL],T_TraitDi[#Data],COLUMN(T_TraitDi[Jours flottants]),FALSE)</f>
        <v>#N/A</v>
      </c>
      <c r="Z214" s="284" t="str">
        <f>IFERROR(VLOOKUP(T_Convention[[#This Row],[NumL]],T_TraitDi[#Data],COLUMN(T_TraitDi[Lundi]),FALSE),"")</f>
        <v/>
      </c>
      <c r="AA214" s="284" t="e">
        <f>IF(VLOOKUP(T_Convention[[#This Row],[NumL]],T_TraitDi[#Data],COLUMN(T_TraitDi[Colonne3]),FALSE)=0,"",TEXT(IFERROR(VLOOKUP(T_Convention[[#This Row],[NumL]],T_TraitDi[#Data],COLUMN(T_TraitDi[Colonne3]),FALSE),""),"[hh]:mm"))</f>
        <v>#N/A</v>
      </c>
      <c r="AB214" s="284" t="e">
        <f>IF(VLOOKUP(T_Convention[[#This Row],[NumL]],T_TraitDi[#Data],COLUMN(T_TraitDi[Colonne4]),FALSE)=0,"",TEXT(IFERROR(VLOOKUP(T_Convention[[#This Row],[NumL]],T_TraitDi[#Data],COLUMN(T_TraitDi[Colonne4]),FALSE),""),"[hh]:mm"))</f>
        <v>#N/A</v>
      </c>
      <c r="AC214" s="284" t="e">
        <f>IF(VLOOKUP(T_Convention[[#This Row],[NumL]],T_TraitDi[#Data],COLUMN(T_TraitDi[Colonne5]),FALSE)=0,"",TEXT(IFERROR(VLOOKUP(T_Convention[[#This Row],[NumL]],T_TraitDi[#Data],COLUMN(T_TraitDi[Colonne5]),FALSE),""),"[hh]:mm"))</f>
        <v>#N/A</v>
      </c>
      <c r="AD214" s="284" t="e">
        <f>IF(VLOOKUP(T_Convention[[#This Row],[NumL]],T_TraitDi[#Data],COLUMN(T_TraitDi[Colonne6]),FALSE)=0,"",TEXT(IFERROR(VLOOKUP(T_Convention[[#This Row],[NumL]],T_TraitDi[#Data],COLUMN(T_TraitDi[Colonne6]),FALSE),""),"[hh]:mm"))</f>
        <v>#N/A</v>
      </c>
      <c r="AE214" s="284" t="e">
        <f>IF(VLOOKUP(T_Convention[[#This Row],[NumL]],T_TraitDi[#Data],COLUMN(T_TraitDi[Colonne7]),FALSE)=0,"",TEXT(IFERROR(VLOOKUP(T_Convention[[#This Row],[NumL]],T_TraitDi[#Data],COLUMN(T_TraitDi[Colonne7]),FALSE),""),"[hh]:mm"))</f>
        <v>#N/A</v>
      </c>
      <c r="AF214" s="284" t="e">
        <f>IF(VLOOKUP(T_Convention[[#This Row],[NumL]],T_TraitDi[#Data],COLUMN(T_TraitDi[Colonne8]),FALSE)=0,"",TEXT(IFERROR(VLOOKUP(T_Convention[[#This Row],[NumL]],T_TraitDi[#Data],COLUMN(T_TraitDi[Colonne8]),FALSE),""),"[hh]:mm"))</f>
        <v>#N/A</v>
      </c>
      <c r="AG214" s="284" t="str">
        <f>IFERROR(VLOOKUP(T_Convention[[#This Row],[NumL]],T_TraitDi[#Data],COLUMN(T_TraitDi[Mardi]),FALSE),"")</f>
        <v/>
      </c>
      <c r="AH214" s="284" t="e">
        <f>IF(VLOOKUP(T_Convention[[#This Row],[NumL]],T_TraitDi[#Data],COLUMN(T_TraitDi[Colonne1]),FALSE)=0,"",TEXT(IFERROR(VLOOKUP(T_Convention[[#This Row],[NumL]],T_TraitDi[#Data],COLUMN(T_TraitDi[Colonne1]),FALSE),""),"[hh]:mm"))</f>
        <v>#N/A</v>
      </c>
      <c r="AI214" s="284" t="e">
        <f>IF(VLOOKUP(T_Convention[[#This Row],[NumL]],T_TraitDi[#Data],COLUMN(T_TraitDi[Colonne9]),FALSE)=0,"",TEXT(IFERROR(VLOOKUP(T_Convention[[#This Row],[NumL]],T_TraitDi[#Data],COLUMN(T_TraitDi[Colonne9]),FALSE),""),"[hh]:mm"))</f>
        <v>#N/A</v>
      </c>
      <c r="AJ214" s="284" t="str">
        <f>IFERROR(VLOOKUP(T_Convention[[#This Row],[NumL]],T_TraitDi[#Data],COLUMN(T_TraitDi[Colonne10]),FALSE),"")</f>
        <v/>
      </c>
      <c r="AK214" s="284" t="e">
        <f>IF(VLOOKUP(T_Convention[[#This Row],[NumL]],T_TraitDi[#Data],COLUMN(T_TraitDi[Colonne11]),FALSE)=0,"",TEXT(IFERROR(VLOOKUP(T_Convention[[#This Row],[NumL]],T_TraitDi[#Data],COLUMN(T_TraitDi[Colonne11]),FALSE),""),"[hh]:mm"))</f>
        <v>#N/A</v>
      </c>
      <c r="AL214" s="284" t="e">
        <f>IF(VLOOKUP(T_Convention[[#This Row],[NumL]],T_TraitDi[#Data],COLUMN(T_TraitDi[Colonne12]),FALSE)=0,"",TEXT(IFERROR(VLOOKUP(T_Convention[[#This Row],[NumL]],T_TraitDi[#Data],COLUMN(T_TraitDi[Colonne12]),FALSE),""),"[hh]:mm"))</f>
        <v>#N/A</v>
      </c>
      <c r="AM214" s="284" t="e">
        <f>IF(VLOOKUP(T_Convention[[#This Row],[NumL]],T_TraitDi[#Data],COLUMN(T_TraitDi[Colonne14]),FALSE)=0,"",TEXT(IFERROR(VLOOKUP(T_Convention[[#This Row],[NumL]],T_TraitDi[#Data],COLUMN(T_TraitDi[Colonne14]),FALSE),""),"[hh]:mm"))</f>
        <v>#N/A</v>
      </c>
      <c r="AN214" s="284" t="str">
        <f>IFERROR(VLOOKUP(T_Convention[[#This Row],[NumL]],T_TraitDi[#Data],COLUMN(T_TraitDi[Mercredi]),FALSE),"")</f>
        <v/>
      </c>
      <c r="AO214" s="284" t="e">
        <f>IF(VLOOKUP(T_Convention[[#This Row],[NumL]],T_TraitDi[#Data],COLUMN(T_TraitDi[Colonne15]),FALSE)=0,"",TEXT(IFERROR(VLOOKUP(T_Convention[[#This Row],[NumL]],T_TraitDi[#Data],COLUMN(T_TraitDi[Colonne15]),FALSE),""),"[hh]:mm"))</f>
        <v>#N/A</v>
      </c>
      <c r="AP214" s="284" t="e">
        <f>IF(VLOOKUP(T_Convention[[#This Row],[NumL]],T_TraitDi[#Data],COLUMN(T_TraitDi[Colonne16]),FALSE)=0,"",TEXT(IFERROR(VLOOKUP(T_Convention[[#This Row],[NumL]],T_TraitDi[#Data],COLUMN(T_TraitDi[Colonne16]),FALSE),""),"[hh]:mm"))</f>
        <v>#N/A</v>
      </c>
      <c r="AQ214" s="284" t="str">
        <f>IFERROR(VLOOKUP(T_Convention[[#This Row],[NumL]],T_TraitDi[#Data],COLUMN(T_TraitDi[Colonne17]),FALSE),"")</f>
        <v/>
      </c>
      <c r="AR214" s="284" t="e">
        <f>IF(VLOOKUP(T_Convention[[#This Row],[NumL]],T_TraitDi[#Data],COLUMN(T_TraitDi[Colonne18]),FALSE)=0,"",TEXT(IFERROR(VLOOKUP(T_Convention[[#This Row],[NumL]],T_TraitDi[#Data],COLUMN(T_TraitDi[Colonne18]),FALSE),""),"[hh]:mm"))</f>
        <v>#N/A</v>
      </c>
      <c r="AS214" s="284" t="e">
        <f>IF(VLOOKUP(T_Convention[[#This Row],[NumL]],T_TraitDi[#Data],COLUMN(T_TraitDi[Colonne19]),FALSE)=0,"",TEXT(IFERROR(VLOOKUP(T_Convention[[#This Row],[NumL]],T_TraitDi[#Data],COLUMN(T_TraitDi[Colonne19]),FALSE),""),"[hh]:mm"))</f>
        <v>#N/A</v>
      </c>
      <c r="AT214" s="284" t="e">
        <f>IF(VLOOKUP(T_Convention[[#This Row],[NumL]],T_TraitDi[#Data],COLUMN(T_TraitDi[Colonne20]),FALSE)=0,"",TEXT(IFERROR(VLOOKUP(T_Convention[[#This Row],[NumL]],T_TraitDi[#Data],COLUMN(T_TraitDi[Colonne20]),FALSE),""),"[hh]:mm"))</f>
        <v>#N/A</v>
      </c>
      <c r="AU214" s="284" t="str">
        <f>IFERROR(VLOOKUP(T_Convention[[#This Row],[NumL]],T_TraitDi[#Data],COLUMN(T_TraitDi[Jeudi]),FALSE),"")</f>
        <v/>
      </c>
      <c r="AV214" s="284" t="e">
        <f>IF(VLOOKUP(T_Convention[[#This Row],[NumL]],T_TraitDi[#Data],COLUMN(T_TraitDi[Colonne21]),FALSE)=0,"",TEXT(IFERROR(VLOOKUP(T_Convention[[#This Row],[NumL]],T_TraitDi[#Data],COLUMN(T_TraitDi[Colonne21]),FALSE),""),"[hh]:mm"))</f>
        <v>#N/A</v>
      </c>
      <c r="AW214" s="284" t="e">
        <f>IF(VLOOKUP(T_Convention[[#This Row],[NumL]],T_TraitDi[#Data],COLUMN(T_TraitDi[Colonne22]),FALSE)=0,"",TEXT(IFERROR(VLOOKUP(T_Convention[[#This Row],[NumL]],T_TraitDi[#Data],COLUMN(T_TraitDi[Colonne22]),FALSE),""),"[hh]:mm"))</f>
        <v>#N/A</v>
      </c>
      <c r="AX214" s="284" t="str">
        <f>IFERROR(VLOOKUP(T_Convention[[#This Row],[NumL]],T_TraitDi[#Data],COLUMN(T_TraitDi[Colonne23]),FALSE),"")</f>
        <v/>
      </c>
      <c r="AY214" s="284" t="e">
        <f>IF(VLOOKUP(T_Convention[[#This Row],[NumL]],T_TraitDi[#Data],COLUMN(T_TraitDi[Colonne24]),FALSE)=0,"",TEXT(IFERROR(VLOOKUP(T_Convention[[#This Row],[NumL]],T_TraitDi[#Data],COLUMN(T_TraitDi[Colonne24]),FALSE),""),"[hh]:mm"))</f>
        <v>#N/A</v>
      </c>
      <c r="AZ214" s="284" t="e">
        <f>IF(VLOOKUP(T_Convention[[#This Row],[NumL]],T_TraitDi[#Data],COLUMN(T_TraitDi[Colonne25]),FALSE)=0,"",TEXT(IFERROR(VLOOKUP(T_Convention[[#This Row],[NumL]],T_TraitDi[#Data],COLUMN(T_TraitDi[Colonne25]),FALSE),""),"[hh]:mm"))</f>
        <v>#N/A</v>
      </c>
      <c r="BA214" s="284" t="e">
        <f>IF(VLOOKUP(T_Convention[[#This Row],[NumL]],T_TraitDi[#Data],COLUMN(T_TraitDi[Colonne26]),FALSE)=0,"",TEXT(IFERROR(VLOOKUP(T_Convention[[#This Row],[NumL]],T_TraitDi[#Data],COLUMN(T_TraitDi[Colonne26]),FALSE),""),"[hh]:mm"))</f>
        <v>#N/A</v>
      </c>
      <c r="BB214" s="284" t="str">
        <f>IFERROR(VLOOKUP(T_Convention[[#This Row],[NumL]],T_TraitDi[#Data],COLUMN(T_TraitDi[Vendredi]),FALSE),"")</f>
        <v/>
      </c>
      <c r="BC214" s="284" t="e">
        <f>IF(VLOOKUP(T_Convention[[#This Row],[NumL]],T_TraitDi[#Data],COLUMN(T_TraitDi[Colonne27]),FALSE)=0,"",TEXT(IFERROR(VLOOKUP(T_Convention[[#This Row],[NumL]],T_TraitDi[#Data],COLUMN(T_TraitDi[Colonne27]),FALSE),""),"[hh]:mm"))</f>
        <v>#N/A</v>
      </c>
      <c r="BD214" s="284" t="e">
        <f>IF(VLOOKUP(T_Convention[[#This Row],[NumL]],T_TraitDi[#Data],COLUMN(T_TraitDi[Colonne28]),FALSE)=0,"",TEXT(IFERROR(VLOOKUP(T_Convention[[#This Row],[NumL]],T_TraitDi[#Data],COLUMN(T_TraitDi[Colonne28]),FALSE),""),"[hh]:mm"))</f>
        <v>#N/A</v>
      </c>
      <c r="BE214" s="284" t="str">
        <f>IFERROR(VLOOKUP(T_Convention[[#This Row],[NumL]],T_TraitDi[#Data],COLUMN(T_TraitDi[Colonne29]),FALSE),"")</f>
        <v/>
      </c>
      <c r="BF214" s="284" t="e">
        <f>IF(VLOOKUP(T_Convention[[#This Row],[NumL]],T_TraitDi[#Data],COLUMN(T_TraitDi[Colonne30]),FALSE)=0,"",TEXT(IFERROR(VLOOKUP(T_Convention[[#This Row],[NumL]],T_TraitDi[#Data],COLUMN(T_TraitDi[Colonne30]),FALSE),""),"[hh]:mm"))</f>
        <v>#N/A</v>
      </c>
      <c r="BG214" s="284" t="e">
        <f>IF(VLOOKUP(T_Convention[[#This Row],[NumL]],T_TraitDi[#Data],COLUMN(T_TraitDi[Colonne31]),FALSE)=0,"",TEXT(IFERROR(VLOOKUP(T_Convention[[#This Row],[NumL]],T_TraitDi[#Data],COLUMN(T_TraitDi[Colonne31]),FALSE),""),"[hh]:mm"))</f>
        <v>#N/A</v>
      </c>
      <c r="BH214" s="284" t="e">
        <f>IF(VLOOKUP(T_Convention[[#This Row],[NumL]],T_TraitDi[#Data],COLUMN(T_TraitDi[Colonne32]),FALSE)=0,"",TEXT(IFERROR(VLOOKUP(T_Convention[[#This Row],[NumL]],T_TraitDi[#Data],COLUMN(T_TraitDi[Colonne32]),FALSE),""),"[hh]:mm"))</f>
        <v>#N/A</v>
      </c>
      <c r="BI214" s="284" t="str">
        <f>IFERROR(VLOOKUP(T_Convention[[#This Row],[NumL]],T_TraitDi[#Data],COLUMN(T_TraitDi[NbJTW]),FALSE),"")</f>
        <v/>
      </c>
      <c r="BJ214" s="284" t="e">
        <f>IF(VLOOKUP(T_Convention[[#This Row],[NumL]],T_TraitDi[#Data],COLUMN(T_TraitDi[NbhTW]),FALSE)=0,"",TEXT(IFERROR(VLOOKUP(T_Convention[[#This Row],[NumL]],T_TraitDi[#Data],COLUMN(T_TraitDi[NbhTW]),FALSE),""),"[hh]:mm"))</f>
        <v>#N/A</v>
      </c>
      <c r="BK214" s="315" t="e">
        <f>IF(VLOOKUP(T_Convention[[#This Row],[NumL]],T_TraitDi[#Data],COLUMN(T_TraitDi[Nbhheb]),FALSE)=0,"",TEXT(IFERROR(VLOOKUP(T_Convention[[#This Row],[NumL]],T_TraitDi[#Data],COLUMN(T_TraitDi[Nbhheb]),FALSE),""),"[hh]:mm"))</f>
        <v>#N/A</v>
      </c>
      <c r="BL214" s="287" t="str">
        <f>IFERROR(VLOOKUP(VLOOKUP(T_Convention[[#This Row],[NumL]],T_TraitDi[#Data],COLUMN(T_TraitDi[Type1]),FALSE),TypeTW,2,FALSE),"")</f>
        <v/>
      </c>
      <c r="BM214" s="288" t="str">
        <f>IFERROR(VLOOKUP(T_Convention[[#This Row],[NumL]],T_TraitDi[#Data],COLUMN(T_TraitDi[Rue1]),FALSE),"")</f>
        <v/>
      </c>
      <c r="BN214" s="289" t="str">
        <f>IFERROR(VLOOKUP(T_Convention[[#This Row],[NumL]],T_TraitDi[#Data],COLUMN(T_TraitDi[CP1]),FALSE),"")</f>
        <v/>
      </c>
      <c r="BO214" s="282" t="str">
        <f>IFERROR(VLOOKUP(T_Convention[[#This Row],[NumL]],T_TraitDi[#Data],COLUMN(T_TraitDi[VILLE1]),FALSE),"")</f>
        <v/>
      </c>
      <c r="BP214" s="290" t="str">
        <f>IFERROR(VLOOKUP(VLOOKUP(T_Convention[[#This Row],[NumL]],T_TraitDi[#Data],COLUMN(T_TraitDi[Type2]),FALSE),TypeTW,2,FALSE),"")</f>
        <v/>
      </c>
      <c r="BQ214" s="310" t="str">
        <f>IFERROR(VLOOKUP(T_Convention[[#This Row],[NumL]],T_TraitDi[#Data],COLUMN(T_TraitDi[Rue2]),FALSE),"")</f>
        <v/>
      </c>
      <c r="BR214" s="290" t="str">
        <f>IFERROR(VLOOKUP(T_Convention[[#This Row],[NumL]],T_TraitDi[#Data],COLUMN(T_TraitDi[CP2]),FALSE),"")</f>
        <v/>
      </c>
      <c r="BS214" s="290" t="str">
        <f>IFERROR(VLOOKUP(T_Convention[[#This Row],[NumL]],T_TraitDi[#Data],COLUMN(T_TraitDi[VILLE2]),FALSE),"")</f>
        <v/>
      </c>
      <c r="BT21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14" s="314" t="str">
        <f>IFERROR(IF(VLOOKUP(T_Convention[[#This Row],[NumL]],T_TraitDi[#Data],COLUMN(T_TraitDi[Plan]),FALSE)="OK","Un planning spécifique de télétravail est annexé à la présente convention.",""),"")</f>
        <v/>
      </c>
      <c r="BV214" s="291"/>
      <c r="BW214" s="292" t="e">
        <f>IF(VLOOKUP(T_Convention[[#This Row],[NumL]],T_suiviDi[#Data],COLUMN(T_suiviDi[Entité]),FALSE)="","",VLOOKUP(T_Convention[[#This Row],[NumL]],T_suiviDi[#Data],COLUMN(T_suiviDi[Entité]),FALSE))</f>
        <v>#N/A</v>
      </c>
      <c r="BX214" s="311" t="str">
        <f>IF(VLOOKUP(T_Convention[[#This Row],[NumL]],T_Commission[#Data],COLUMN(T_Commission[envoi confirm TW]),FALSE)="","",VLOOKUP(T_Convention[[#This Row],[NumL]],T_Commission[#Data],COLUMN(T_Commission[envoi confirm TW]),FALSE))</f>
        <v>Oui</v>
      </c>
      <c r="BY21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4" s="265">
        <f>VLOOKUP(T_Convention[[#This Row],[NumL]],T_Commission[#Data],COLUMN(T_Commission[Commentaire]),FALSE)</f>
        <v>0</v>
      </c>
      <c r="CA214" s="255" t="str">
        <f>IF(VLOOKUP(T_Convention[[#This Row],[NumL]],T_Commission[#Data],COLUMN(T_Commission[Encadrant Email]),FALSE)="","",VLOOKUP(T_Convention[[#This Row],[NumL]],T_Commission[#Data],COLUMN(T_Commission[Encadrant Email]),FALSE))</f>
        <v/>
      </c>
      <c r="CB214" s="352" t="e">
        <f>VLOOKUP(T_Convention[[#This Row],[NumL]],T_TraitDi[#Data],COLUMN(T_TraitDi[NbJTot]),FALSE)</f>
        <v>#N/A</v>
      </c>
      <c r="CC214" s="352" t="e">
        <f>VLOOKUP(T_Convention[[#This Row],[NumL]],T_TraitDi[#Data],COLUMN(T_TraitDi[Reg Ponct]),FALSE)</f>
        <v>#N/A</v>
      </c>
      <c r="CD214" s="348" t="str">
        <f>IF(T_Convention[[#This Row],[Final]]&lt;&gt;"",VLOOKUP(T_Convention[[#This Row],[NumL]],T_suiviDi[#Data],COLUMN((T_suiviDi[Statut])),FALSE),"")</f>
        <v/>
      </c>
    </row>
    <row r="215" spans="1:82" s="106" customFormat="1" ht="18.75" customHeight="1" x14ac:dyDescent="0.25">
      <c r="A215" s="160">
        <v>351</v>
      </c>
      <c r="B215" s="281" t="str">
        <f>VLOOKUP(T_Convention[[#This Row],[NumL]],T_Commission[#Data],COLUMN(T_Commission[FINAL]),FALSE)</f>
        <v/>
      </c>
      <c r="C215" s="162"/>
      <c r="D215" s="95" t="e">
        <f>IF(VLOOKUP(T_Convention[[#This Row],[NumL]],T_TraitDi[#Data],COLUMN(T_TraitDi[WebC]),FALSE)="","",VLOOKUP(T_Convention[[#This Row],[NumL]],T_TraitDi[#Data],COLUMN(T_TraitDi[WebC]),FALSE))</f>
        <v>#N/A</v>
      </c>
      <c r="E215" s="163" t="str">
        <f t="shared" si="15"/>
        <v>12 janvier 2021</v>
      </c>
      <c r="F215" s="282" t="str">
        <f>IF(T_Convention[[#This Row],[Final]]&lt;&gt;"",VLOOKUP(T_Convention[[#This Row],[NumL]],T_suiviDi[#Data],COLUMN((T_suiviDi[Civ.])),FALSE),"")</f>
        <v/>
      </c>
      <c r="G215" s="283" t="str">
        <f>IF(T_Convention[[#This Row],[Final]]&lt;&gt;"",VLOOKUP(T_Convention[[#This Row],[NumL]],T_suiviDi[#Data],COLUMN((T_suiviDi[Nom])),FALSE),"")</f>
        <v/>
      </c>
      <c r="H215" s="282" t="str">
        <f>IF(T_Convention[[#This Row],[Final]]&lt;&gt;"",VLOOKUP(T_Convention[[#This Row],[NumL]],T_suiviDi[#Data],COLUMN((T_suiviDi[Prénom])),FALSE),"")</f>
        <v/>
      </c>
      <c r="I215" s="282" t="e">
        <f>VLOOKUP(T_Convention[[#This Row],[NumL]],T_suiviDi[#Data],COLUMN((T_suiviDi[[#This Row],[Email]])),FALSE)</f>
        <v>#VALUE!</v>
      </c>
      <c r="J215" s="282" t="e">
        <f>IF(VLOOKUP(T_Convention[[#This Row],[NumL]],T_suiviDi[#Data],COLUMN(T_suiviDi[[#This Row],[Fonction]]),FALSE)="","",VLOOKUP(T_Convention[[#This Row],[NumL]],T_suiviDi[#Data],COLUMN(T_suiviDi[[#This Row],[Fonction]]),FALSE))</f>
        <v>#VALUE!</v>
      </c>
      <c r="K215" s="282" t="e">
        <f>IF(VLOOKUP(T_Convention[[#This Row],[NumL]],T_suiviDi[#Data],COLUMN(T_suiviDi[[#This Row],[Grade]]),FALSE)="","",VLOOKUP(T_Convention[[#This Row],[NumL]],T_suiviDi[#Data],COLUMN(T_suiviDi[[#This Row],[Grade]]),FALSE))</f>
        <v>#VALUE!</v>
      </c>
      <c r="L215" s="282" t="e">
        <f>IF(VLOOKUP(T_Convention[[#This Row],[NumL]],T_suiviDi[#Data],COLUMN(T_suiviDi[[#This Row],[Service ]]),FALSE)="","",VLOOKUP(T_Convention[[#This Row],[NumL]],T_suiviDi[#Data],COLUMN(T_suiviDi[[#This Row],[Service ]]),FALSE))</f>
        <v>#VALUE!</v>
      </c>
      <c r="M215" s="314" t="str">
        <f t="shared" si="16"/>
        <v>01 septembre 2021</v>
      </c>
      <c r="N215" s="314" t="str">
        <f t="shared" si="17"/>
        <v>30 novembre 2021</v>
      </c>
      <c r="O215" s="284" t="str">
        <f t="shared" si="18"/>
        <v>30 novembre 2021</v>
      </c>
      <c r="P215" s="282" t="e">
        <f>IF(VLOOKUP(T_Convention[[#This Row],[NumL]],T_TraitDi[#Data],COLUMN(T_TraitDi[M1]),FALSE)="","",VLOOKUP(T_Convention[[#This Row],[NumL]],T_TraitDi[#Data],COLUMN(T_TraitDi[M1]),FALSE))</f>
        <v>#N/A</v>
      </c>
      <c r="Q215" s="282" t="e">
        <f>IF(VLOOKUP(T_Convention[[#This Row],[NumL]],T_TraitDi[#Data],COLUMN(T_TraitDi[M2]),FALSE)="","",VLOOKUP(T_Convention[[#This Row],[NumL]],T_TraitDi[#Data],COLUMN(T_TraitDi[M2]),FALSE))</f>
        <v>#N/A</v>
      </c>
      <c r="R215" s="282" t="e">
        <f>IF(VLOOKUP(T_Convention[[#This Row],[NumL]],T_TraitDi[#Data],COLUMN(T_TraitDi[M3]),FALSE)="","",VLOOKUP(T_Convention[[#This Row],[NumL]],T_TraitDi[#Data],COLUMN(T_TraitDi[M3]),FALSE))</f>
        <v>#N/A</v>
      </c>
      <c r="S215" s="282" t="e">
        <f>IF(VLOOKUP(T_Convention[[#This Row],[NumL]],T_TraitDi[#Data],COLUMN(T_TraitDi[M4]),FALSE)="","",VLOOKUP(T_Convention[[#This Row],[NumL]],T_TraitDi[#Data],COLUMN(T_TraitDi[M4]),FALSE))</f>
        <v>#N/A</v>
      </c>
      <c r="T215" s="282" t="e">
        <f>IF(VLOOKUP(T_Convention[[#This Row],[NumL]],T_TraitDi[#Data],COLUMN(T_TraitDi[M5]),FALSE)="","",VLOOKUP(T_Convention[[#This Row],[NumL]],T_TraitDi[#Data],COLUMN(T_TraitDi[M5]),FALSE))</f>
        <v>#N/A</v>
      </c>
      <c r="U215" s="282" t="e">
        <f>IF(VLOOKUP(T_Convention[[#This Row],[NumL]],T_TraitDi[#Data],COLUMN(T_TraitDi[M6]),FALSE)="","",VLOOKUP(T_Convention[[#This Row],[NumL]],T_TraitDi[#Data],COLUMN(T_TraitDi[M6]),FALSE))</f>
        <v>#N/A</v>
      </c>
      <c r="V215" s="314" t="e">
        <f t="shared" si="19"/>
        <v>#N/A</v>
      </c>
      <c r="W215" s="284" t="str">
        <f>IFERROR(TEXT(VLOOKUP(T_Convention[[#This Row],[NumL]],T_TraitDi[#Data],COLUMN(T_TraitDi[Q2]),FALSE),"###%"),"")</f>
        <v/>
      </c>
      <c r="X215" s="285" t="e">
        <f>VLOOKUP(T_Convention[[#This Row],[NumL]],T_TraitDi[#Data],COLUMN(T_TraitDi[Reg Ponct]),FALSE)</f>
        <v>#N/A</v>
      </c>
      <c r="Y215" s="285" t="e">
        <f>VLOOKUP(T_Convention[NumL],T_TraitDi[#Data],COLUMN(T_TraitDi[Jours flottants]),FALSE)</f>
        <v>#N/A</v>
      </c>
      <c r="Z215" s="284" t="str">
        <f>IFERROR(VLOOKUP(T_Convention[[#This Row],[NumL]],T_TraitDi[#Data],COLUMN(T_TraitDi[Lundi]),FALSE),"")</f>
        <v/>
      </c>
      <c r="AA215" s="284" t="e">
        <f>IF(VLOOKUP(T_Convention[[#This Row],[NumL]],T_TraitDi[#Data],COLUMN(T_TraitDi[Colonne3]),FALSE)=0,"",TEXT(IFERROR(VLOOKUP(T_Convention[[#This Row],[NumL]],T_TraitDi[#Data],COLUMN(T_TraitDi[Colonne3]),FALSE),""),"[hh]:mm"))</f>
        <v>#N/A</v>
      </c>
      <c r="AB215" s="284" t="e">
        <f>IF(VLOOKUP(T_Convention[[#This Row],[NumL]],T_TraitDi[#Data],COLUMN(T_TraitDi[Colonne4]),FALSE)=0,"",TEXT(IFERROR(VLOOKUP(T_Convention[[#This Row],[NumL]],T_TraitDi[#Data],COLUMN(T_TraitDi[Colonne4]),FALSE),""),"[hh]:mm"))</f>
        <v>#N/A</v>
      </c>
      <c r="AC215" s="284" t="e">
        <f>IF(VLOOKUP(T_Convention[[#This Row],[NumL]],T_TraitDi[#Data],COLUMN(T_TraitDi[Colonne5]),FALSE)=0,"",TEXT(IFERROR(VLOOKUP(T_Convention[[#This Row],[NumL]],T_TraitDi[#Data],COLUMN(T_TraitDi[Colonne5]),FALSE),""),"[hh]:mm"))</f>
        <v>#N/A</v>
      </c>
      <c r="AD215" s="284" t="e">
        <f>IF(VLOOKUP(T_Convention[[#This Row],[NumL]],T_TraitDi[#Data],COLUMN(T_TraitDi[Colonne6]),FALSE)=0,"",TEXT(IFERROR(VLOOKUP(T_Convention[[#This Row],[NumL]],T_TraitDi[#Data],COLUMN(T_TraitDi[Colonne6]),FALSE),""),"[hh]:mm"))</f>
        <v>#N/A</v>
      </c>
      <c r="AE215" s="284" t="e">
        <f>IF(VLOOKUP(T_Convention[[#This Row],[NumL]],T_TraitDi[#Data],COLUMN(T_TraitDi[Colonne7]),FALSE)=0,"",TEXT(IFERROR(VLOOKUP(T_Convention[[#This Row],[NumL]],T_TraitDi[#Data],COLUMN(T_TraitDi[Colonne7]),FALSE),""),"[hh]:mm"))</f>
        <v>#N/A</v>
      </c>
      <c r="AF215" s="284" t="e">
        <f>IF(VLOOKUP(T_Convention[[#This Row],[NumL]],T_TraitDi[#Data],COLUMN(T_TraitDi[Colonne8]),FALSE)=0,"",TEXT(IFERROR(VLOOKUP(T_Convention[[#This Row],[NumL]],T_TraitDi[#Data],COLUMN(T_TraitDi[Colonne8]),FALSE),""),"[hh]:mm"))</f>
        <v>#N/A</v>
      </c>
      <c r="AG215" s="284" t="str">
        <f>IFERROR(VLOOKUP(T_Convention[[#This Row],[NumL]],T_TraitDi[#Data],COLUMN(T_TraitDi[Mardi]),FALSE),"")</f>
        <v/>
      </c>
      <c r="AH215" s="284" t="e">
        <f>IF(VLOOKUP(T_Convention[[#This Row],[NumL]],T_TraitDi[#Data],COLUMN(T_TraitDi[Colonne1]),FALSE)=0,"",TEXT(IFERROR(VLOOKUP(T_Convention[[#This Row],[NumL]],T_TraitDi[#Data],COLUMN(T_TraitDi[Colonne1]),FALSE),""),"[hh]:mm"))</f>
        <v>#N/A</v>
      </c>
      <c r="AI215" s="284" t="e">
        <f>IF(VLOOKUP(T_Convention[[#This Row],[NumL]],T_TraitDi[#Data],COLUMN(T_TraitDi[Colonne9]),FALSE)=0,"",TEXT(IFERROR(VLOOKUP(T_Convention[[#This Row],[NumL]],T_TraitDi[#Data],COLUMN(T_TraitDi[Colonne9]),FALSE),""),"[hh]:mm"))</f>
        <v>#N/A</v>
      </c>
      <c r="AJ215" s="284" t="str">
        <f>IFERROR(VLOOKUP(T_Convention[[#This Row],[NumL]],T_TraitDi[#Data],COLUMN(T_TraitDi[Colonne10]),FALSE),"")</f>
        <v/>
      </c>
      <c r="AK215" s="284" t="e">
        <f>IF(VLOOKUP(T_Convention[[#This Row],[NumL]],T_TraitDi[#Data],COLUMN(T_TraitDi[Colonne11]),FALSE)=0,"",TEXT(IFERROR(VLOOKUP(T_Convention[[#This Row],[NumL]],T_TraitDi[#Data],COLUMN(T_TraitDi[Colonne11]),FALSE),""),"[hh]:mm"))</f>
        <v>#N/A</v>
      </c>
      <c r="AL215" s="284" t="e">
        <f>IF(VLOOKUP(T_Convention[[#This Row],[NumL]],T_TraitDi[#Data],COLUMN(T_TraitDi[Colonne12]),FALSE)=0,"",TEXT(IFERROR(VLOOKUP(T_Convention[[#This Row],[NumL]],T_TraitDi[#Data],COLUMN(T_TraitDi[Colonne12]),FALSE),""),"[hh]:mm"))</f>
        <v>#N/A</v>
      </c>
      <c r="AM215" s="284" t="e">
        <f>IF(VLOOKUP(T_Convention[[#This Row],[NumL]],T_TraitDi[#Data],COLUMN(T_TraitDi[Colonne14]),FALSE)=0,"",TEXT(IFERROR(VLOOKUP(T_Convention[[#This Row],[NumL]],T_TraitDi[#Data],COLUMN(T_TraitDi[Colonne14]),FALSE),""),"[hh]:mm"))</f>
        <v>#N/A</v>
      </c>
      <c r="AN215" s="284" t="str">
        <f>IFERROR(VLOOKUP(T_Convention[[#This Row],[NumL]],T_TraitDi[#Data],COLUMN(T_TraitDi[Mercredi]),FALSE),"")</f>
        <v/>
      </c>
      <c r="AO215" s="284" t="e">
        <f>IF(VLOOKUP(T_Convention[[#This Row],[NumL]],T_TraitDi[#Data],COLUMN(T_TraitDi[Colonne15]),FALSE)=0,"",TEXT(IFERROR(VLOOKUP(T_Convention[[#This Row],[NumL]],T_TraitDi[#Data],COLUMN(T_TraitDi[Colonne15]),FALSE),""),"[hh]:mm"))</f>
        <v>#N/A</v>
      </c>
      <c r="AP215" s="284" t="e">
        <f>IF(VLOOKUP(T_Convention[[#This Row],[NumL]],T_TraitDi[#Data],COLUMN(T_TraitDi[Colonne16]),FALSE)=0,"",TEXT(IFERROR(VLOOKUP(T_Convention[[#This Row],[NumL]],T_TraitDi[#Data],COLUMN(T_TraitDi[Colonne16]),FALSE),""),"[hh]:mm"))</f>
        <v>#N/A</v>
      </c>
      <c r="AQ215" s="284" t="str">
        <f>IFERROR(VLOOKUP(T_Convention[[#This Row],[NumL]],T_TraitDi[#Data],COLUMN(T_TraitDi[Colonne17]),FALSE),"")</f>
        <v/>
      </c>
      <c r="AR215" s="284" t="e">
        <f>IF(VLOOKUP(T_Convention[[#This Row],[NumL]],T_TraitDi[#Data],COLUMN(T_TraitDi[Colonne18]),FALSE)=0,"",TEXT(IFERROR(VLOOKUP(T_Convention[[#This Row],[NumL]],T_TraitDi[#Data],COLUMN(T_TraitDi[Colonne18]),FALSE),""),"[hh]:mm"))</f>
        <v>#N/A</v>
      </c>
      <c r="AS215" s="284" t="e">
        <f>IF(VLOOKUP(T_Convention[[#This Row],[NumL]],T_TraitDi[#Data],COLUMN(T_TraitDi[Colonne19]),FALSE)=0,"",TEXT(IFERROR(VLOOKUP(T_Convention[[#This Row],[NumL]],T_TraitDi[#Data],COLUMN(T_TraitDi[Colonne19]),FALSE),""),"[hh]:mm"))</f>
        <v>#N/A</v>
      </c>
      <c r="AT215" s="284" t="e">
        <f>IF(VLOOKUP(T_Convention[[#This Row],[NumL]],T_TraitDi[#Data],COLUMN(T_TraitDi[Colonne20]),FALSE)=0,"",TEXT(IFERROR(VLOOKUP(T_Convention[[#This Row],[NumL]],T_TraitDi[#Data],COLUMN(T_TraitDi[Colonne20]),FALSE),""),"[hh]:mm"))</f>
        <v>#N/A</v>
      </c>
      <c r="AU215" s="284" t="str">
        <f>IFERROR(VLOOKUP(T_Convention[[#This Row],[NumL]],T_TraitDi[#Data],COLUMN(T_TraitDi[Jeudi]),FALSE),"")</f>
        <v/>
      </c>
      <c r="AV215" s="284" t="e">
        <f>IF(VLOOKUP(T_Convention[[#This Row],[NumL]],T_TraitDi[#Data],COLUMN(T_TraitDi[Colonne21]),FALSE)=0,"",TEXT(IFERROR(VLOOKUP(T_Convention[[#This Row],[NumL]],T_TraitDi[#Data],COLUMN(T_TraitDi[Colonne21]),FALSE),""),"[hh]:mm"))</f>
        <v>#N/A</v>
      </c>
      <c r="AW215" s="284" t="e">
        <f>IF(VLOOKUP(T_Convention[[#This Row],[NumL]],T_TraitDi[#Data],COLUMN(T_TraitDi[Colonne22]),FALSE)=0,"",TEXT(IFERROR(VLOOKUP(T_Convention[[#This Row],[NumL]],T_TraitDi[#Data],COLUMN(T_TraitDi[Colonne22]),FALSE),""),"[hh]:mm"))</f>
        <v>#N/A</v>
      </c>
      <c r="AX215" s="284" t="str">
        <f>IFERROR(VLOOKUP(T_Convention[[#This Row],[NumL]],T_TraitDi[#Data],COLUMN(T_TraitDi[Colonne23]),FALSE),"")</f>
        <v/>
      </c>
      <c r="AY215" s="284" t="e">
        <f>IF(VLOOKUP(T_Convention[[#This Row],[NumL]],T_TraitDi[#Data],COLUMN(T_TraitDi[Colonne24]),FALSE)=0,"",TEXT(IFERROR(VLOOKUP(T_Convention[[#This Row],[NumL]],T_TraitDi[#Data],COLUMN(T_TraitDi[Colonne24]),FALSE),""),"[hh]:mm"))</f>
        <v>#N/A</v>
      </c>
      <c r="AZ215" s="284" t="e">
        <f>IF(VLOOKUP(T_Convention[[#This Row],[NumL]],T_TraitDi[#Data],COLUMN(T_TraitDi[Colonne25]),FALSE)=0,"",TEXT(IFERROR(VLOOKUP(T_Convention[[#This Row],[NumL]],T_TraitDi[#Data],COLUMN(T_TraitDi[Colonne25]),FALSE),""),"[hh]:mm"))</f>
        <v>#N/A</v>
      </c>
      <c r="BA215" s="284" t="e">
        <f>IF(VLOOKUP(T_Convention[[#This Row],[NumL]],T_TraitDi[#Data],COLUMN(T_TraitDi[Colonne26]),FALSE)=0,"",TEXT(IFERROR(VLOOKUP(T_Convention[[#This Row],[NumL]],T_TraitDi[#Data],COLUMN(T_TraitDi[Colonne26]),FALSE),""),"[hh]:mm"))</f>
        <v>#N/A</v>
      </c>
      <c r="BB215" s="284" t="str">
        <f>IFERROR(VLOOKUP(T_Convention[[#This Row],[NumL]],T_TraitDi[#Data],COLUMN(T_TraitDi[Vendredi]),FALSE),"")</f>
        <v/>
      </c>
      <c r="BC215" s="284" t="e">
        <f>IF(VLOOKUP(T_Convention[[#This Row],[NumL]],T_TraitDi[#Data],COLUMN(T_TraitDi[Colonne27]),FALSE)=0,"",TEXT(IFERROR(VLOOKUP(T_Convention[[#This Row],[NumL]],T_TraitDi[#Data],COLUMN(T_TraitDi[Colonne27]),FALSE),""),"[hh]:mm"))</f>
        <v>#N/A</v>
      </c>
      <c r="BD215" s="284" t="e">
        <f>IF(VLOOKUP(T_Convention[[#This Row],[NumL]],T_TraitDi[#Data],COLUMN(T_TraitDi[Colonne28]),FALSE)=0,"",TEXT(IFERROR(VLOOKUP(T_Convention[[#This Row],[NumL]],T_TraitDi[#Data],COLUMN(T_TraitDi[Colonne28]),FALSE),""),"[hh]:mm"))</f>
        <v>#N/A</v>
      </c>
      <c r="BE215" s="284" t="str">
        <f>IFERROR(VLOOKUP(T_Convention[[#This Row],[NumL]],T_TraitDi[#Data],COLUMN(T_TraitDi[Colonne29]),FALSE),"")</f>
        <v/>
      </c>
      <c r="BF215" s="284" t="e">
        <f>IF(VLOOKUP(T_Convention[[#This Row],[NumL]],T_TraitDi[#Data],COLUMN(T_TraitDi[Colonne30]),FALSE)=0,"",TEXT(IFERROR(VLOOKUP(T_Convention[[#This Row],[NumL]],T_TraitDi[#Data],COLUMN(T_TraitDi[Colonne30]),FALSE),""),"[hh]:mm"))</f>
        <v>#N/A</v>
      </c>
      <c r="BG215" s="284" t="e">
        <f>IF(VLOOKUP(T_Convention[[#This Row],[NumL]],T_TraitDi[#Data],COLUMN(T_TraitDi[Colonne31]),FALSE)=0,"",TEXT(IFERROR(VLOOKUP(T_Convention[[#This Row],[NumL]],T_TraitDi[#Data],COLUMN(T_TraitDi[Colonne31]),FALSE),""),"[hh]:mm"))</f>
        <v>#N/A</v>
      </c>
      <c r="BH215" s="284" t="e">
        <f>IF(VLOOKUP(T_Convention[[#This Row],[NumL]],T_TraitDi[#Data],COLUMN(T_TraitDi[Colonne32]),FALSE)=0,"",TEXT(IFERROR(VLOOKUP(T_Convention[[#This Row],[NumL]],T_TraitDi[#Data],COLUMN(T_TraitDi[Colonne32]),FALSE),""),"[hh]:mm"))</f>
        <v>#N/A</v>
      </c>
      <c r="BI215" s="284" t="str">
        <f>IFERROR(VLOOKUP(T_Convention[[#This Row],[NumL]],T_TraitDi[#Data],COLUMN(T_TraitDi[NbJTW]),FALSE),"")</f>
        <v/>
      </c>
      <c r="BJ215" s="284" t="e">
        <f>IF(VLOOKUP(T_Convention[[#This Row],[NumL]],T_TraitDi[#Data],COLUMN(T_TraitDi[NbhTW]),FALSE)=0,"",TEXT(IFERROR(VLOOKUP(T_Convention[[#This Row],[NumL]],T_TraitDi[#Data],COLUMN(T_TraitDi[NbhTW]),FALSE),""),"[hh]:mm"))</f>
        <v>#N/A</v>
      </c>
      <c r="BK215" s="315" t="e">
        <f>IF(VLOOKUP(T_Convention[[#This Row],[NumL]],T_TraitDi[#Data],COLUMN(T_TraitDi[Nbhheb]),FALSE)=0,"",TEXT(IFERROR(VLOOKUP(T_Convention[[#This Row],[NumL]],T_TraitDi[#Data],COLUMN(T_TraitDi[Nbhheb]),FALSE),""),"[hh]:mm"))</f>
        <v>#N/A</v>
      </c>
      <c r="BL215" s="287" t="str">
        <f>IFERROR(VLOOKUP(VLOOKUP(T_Convention[[#This Row],[NumL]],T_TraitDi[#Data],COLUMN(T_TraitDi[Type1]),FALSE),TypeTW,2,FALSE),"")</f>
        <v/>
      </c>
      <c r="BM215" s="288" t="str">
        <f>IFERROR(VLOOKUP(T_Convention[[#This Row],[NumL]],T_TraitDi[#Data],COLUMN(T_TraitDi[Rue1]),FALSE),"")</f>
        <v/>
      </c>
      <c r="BN215" s="289" t="str">
        <f>IFERROR(VLOOKUP(T_Convention[[#This Row],[NumL]],T_TraitDi[#Data],COLUMN(T_TraitDi[CP1]),FALSE),"")</f>
        <v/>
      </c>
      <c r="BO215" s="282" t="str">
        <f>IFERROR(VLOOKUP(T_Convention[[#This Row],[NumL]],T_TraitDi[#Data],COLUMN(T_TraitDi[VILLE1]),FALSE),"")</f>
        <v/>
      </c>
      <c r="BP215" s="290" t="str">
        <f>IFERROR(VLOOKUP(VLOOKUP(T_Convention[[#This Row],[NumL]],T_TraitDi[#Data],COLUMN(T_TraitDi[Type2]),FALSE),TypeTW,2,FALSE),"")</f>
        <v/>
      </c>
      <c r="BQ215" s="310" t="str">
        <f>IFERROR(VLOOKUP(T_Convention[[#This Row],[NumL]],T_TraitDi[#Data],COLUMN(T_TraitDi[Rue2]),FALSE),"")</f>
        <v/>
      </c>
      <c r="BR215" s="290" t="str">
        <f>IFERROR(VLOOKUP(T_Convention[[#This Row],[NumL]],T_TraitDi[#Data],COLUMN(T_TraitDi[CP2]),FALSE),"")</f>
        <v/>
      </c>
      <c r="BS215" s="290" t="str">
        <f>IFERROR(VLOOKUP(T_Convention[[#This Row],[NumL]],T_TraitDi[#Data],COLUMN(T_TraitDi[VILLE2]),FALSE),"")</f>
        <v/>
      </c>
      <c r="BT215"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15" s="314" t="str">
        <f>IFERROR(IF(VLOOKUP(T_Convention[[#This Row],[NumL]],T_TraitDi[#Data],COLUMN(T_TraitDi[Plan]),FALSE)="OK","Un planning spécifique de télétravail est annexé à la présente convention.",""),"")</f>
        <v/>
      </c>
      <c r="BV215" s="291"/>
      <c r="BW215" s="292" t="e">
        <f>IF(VLOOKUP(T_Convention[[#This Row],[NumL]],T_suiviDi[#Data],COLUMN(T_suiviDi[Entité]),FALSE)="","",VLOOKUP(T_Convention[[#This Row],[NumL]],T_suiviDi[#Data],COLUMN(T_suiviDi[Entité]),FALSE))</f>
        <v>#N/A</v>
      </c>
      <c r="BX215" s="311" t="str">
        <f>IF(VLOOKUP(T_Convention[[#This Row],[NumL]],T_Commission[#Data],COLUMN(T_Commission[envoi confirm TW]),FALSE)="","",VLOOKUP(T_Convention[[#This Row],[NumL]],T_Commission[#Data],COLUMN(T_Commission[envoi confirm TW]),FALSE))</f>
        <v>Oui</v>
      </c>
      <c r="BY215" s="378"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5" s="265">
        <f>VLOOKUP(T_Convention[[#This Row],[NumL]],T_Commission[#Data],COLUMN(T_Commission[Commentaire]),FALSE)</f>
        <v>0</v>
      </c>
      <c r="CA215" s="255" t="str">
        <f>IF(VLOOKUP(T_Convention[[#This Row],[NumL]],T_Commission[#Data],COLUMN(T_Commission[Encadrant Email]),FALSE)="","",VLOOKUP(T_Convention[[#This Row],[NumL]],T_Commission[#Data],COLUMN(T_Commission[Encadrant Email]),FALSE))</f>
        <v/>
      </c>
      <c r="CB215" s="352" t="e">
        <f>VLOOKUP(T_Convention[[#This Row],[NumL]],T_TraitDi[#Data],COLUMN(T_TraitDi[NbJTot]),FALSE)</f>
        <v>#N/A</v>
      </c>
      <c r="CC215" s="352" t="e">
        <f>VLOOKUP(T_Convention[[#This Row],[NumL]],T_TraitDi[#Data],COLUMN(T_TraitDi[Reg Ponct]),FALSE)</f>
        <v>#N/A</v>
      </c>
      <c r="CD215" s="348" t="str">
        <f>IF(T_Convention[[#This Row],[Final]]&lt;&gt;"",VLOOKUP(T_Convention[[#This Row],[NumL]],T_suiviDi[#Data],COLUMN((T_suiviDi[Statut])),FALSE),"")</f>
        <v/>
      </c>
    </row>
    <row r="216" spans="1:82" s="106" customFormat="1" ht="18.75" customHeight="1" x14ac:dyDescent="0.25">
      <c r="A216" s="160">
        <v>19</v>
      </c>
      <c r="B216" s="161" t="str">
        <f>VLOOKUP(T_Convention[[#This Row],[NumL]],T_Commission[#Data],COLUMN(T_Commission[FINAL]),FALSE)</f>
        <v/>
      </c>
      <c r="C216" s="162"/>
      <c r="D216" s="95" t="e">
        <f>IF(VLOOKUP(T_Convention[[#This Row],[NumL]],T_TraitDi[#Data],COLUMN(T_TraitDi[WebC]),FALSE)="","",VLOOKUP(T_Convention[[#This Row],[NumL]],T_TraitDi[#Data],COLUMN(T_TraitDi[WebC]),FALSE))</f>
        <v>#N/A</v>
      </c>
      <c r="E216" s="163" t="str">
        <f t="shared" si="15"/>
        <v>12 janvier 2021</v>
      </c>
      <c r="F216" s="282" t="str">
        <f>IF(T_Convention[[#This Row],[Final]]&lt;&gt;"",VLOOKUP(T_Convention[[#This Row],[NumL]],T_suiviDi[#Data],COLUMN((T_suiviDi[Civ.])),FALSE),"")</f>
        <v/>
      </c>
      <c r="G216" s="283" t="str">
        <f>IF(T_Convention[[#This Row],[Final]]&lt;&gt;"",VLOOKUP(T_Convention[[#This Row],[NumL]],T_suiviDi[#Data],COLUMN((T_suiviDi[Nom])),FALSE),"")</f>
        <v/>
      </c>
      <c r="H216" s="282" t="str">
        <f>IF(T_Convention[[#This Row],[Final]]&lt;&gt;"",VLOOKUP(T_Convention[[#This Row],[NumL]],T_suiviDi[#Data],COLUMN((T_suiviDi[Prénom])),FALSE),"")</f>
        <v/>
      </c>
      <c r="I216" s="282" t="e">
        <f>VLOOKUP(T_Convention[[#This Row],[NumL]],T_suiviDi[#Data],COLUMN((T_suiviDi[[#This Row],[Email]])),FALSE)</f>
        <v>#VALUE!</v>
      </c>
      <c r="J216" s="282" t="e">
        <f>IF(VLOOKUP(T_Convention[[#This Row],[NumL]],T_suiviDi[#Data],COLUMN(T_suiviDi[[#This Row],[Fonction]]),FALSE)="","",VLOOKUP(T_Convention[[#This Row],[NumL]],T_suiviDi[#Data],COLUMN(T_suiviDi[[#This Row],[Fonction]]),FALSE))</f>
        <v>#VALUE!</v>
      </c>
      <c r="K216" s="282" t="e">
        <f>IF(VLOOKUP(T_Convention[[#This Row],[NumL]],T_suiviDi[#Data],COLUMN(T_suiviDi[[#This Row],[Grade]]),FALSE)="","",VLOOKUP(T_Convention[[#This Row],[NumL]],T_suiviDi[#Data],COLUMN(T_suiviDi[[#This Row],[Grade]]),FALSE))</f>
        <v>#VALUE!</v>
      </c>
      <c r="L216" s="282" t="e">
        <f>IF(VLOOKUP(T_Convention[[#This Row],[NumL]],T_suiviDi[#Data],COLUMN(T_suiviDi[[#This Row],[Service ]]),FALSE)="","",VLOOKUP(T_Convention[[#This Row],[NumL]],T_suiviDi[#Data],COLUMN(T_suiviDi[[#This Row],[Service ]]),FALSE))</f>
        <v>#VALUE!</v>
      </c>
      <c r="M216" s="164" t="str">
        <f t="shared" si="16"/>
        <v>01 septembre 2021</v>
      </c>
      <c r="N216" s="164" t="str">
        <f t="shared" si="17"/>
        <v>30 novembre 2021</v>
      </c>
      <c r="O216" s="284" t="str">
        <f t="shared" si="18"/>
        <v>30 novembre 2021</v>
      </c>
      <c r="P216" s="282" t="e">
        <f>IF(VLOOKUP(T_Convention[[#This Row],[NumL]],T_TraitDi[#Data],COLUMN(T_TraitDi[M1]),FALSE)="","",VLOOKUP(T_Convention[[#This Row],[NumL]],T_TraitDi[#Data],COLUMN(T_TraitDi[M1]),FALSE))</f>
        <v>#N/A</v>
      </c>
      <c r="Q216" s="282" t="e">
        <f>IF(VLOOKUP(T_Convention[[#This Row],[NumL]],T_TraitDi[#Data],COLUMN(T_TraitDi[M2]),FALSE)="","",VLOOKUP(T_Convention[[#This Row],[NumL]],T_TraitDi[#Data],COLUMN(T_TraitDi[M2]),FALSE))</f>
        <v>#N/A</v>
      </c>
      <c r="R216" s="282" t="e">
        <f>IF(VLOOKUP(T_Convention[[#This Row],[NumL]],T_TraitDi[#Data],COLUMN(T_TraitDi[M3]),FALSE)="","",VLOOKUP(T_Convention[[#This Row],[NumL]],T_TraitDi[#Data],COLUMN(T_TraitDi[M3]),FALSE))</f>
        <v>#N/A</v>
      </c>
      <c r="S216" s="282" t="e">
        <f>IF(VLOOKUP(T_Convention[[#This Row],[NumL]],T_TraitDi[#Data],COLUMN(T_TraitDi[M4]),FALSE)="","",VLOOKUP(T_Convention[[#This Row],[NumL]],T_TraitDi[#Data],COLUMN(T_TraitDi[M4]),FALSE))</f>
        <v>#N/A</v>
      </c>
      <c r="T216" s="282" t="e">
        <f>IF(VLOOKUP(T_Convention[[#This Row],[NumL]],T_TraitDi[#Data],COLUMN(T_TraitDi[M5]),FALSE)="","",VLOOKUP(T_Convention[[#This Row],[NumL]],T_TraitDi[#Data],COLUMN(T_TraitDi[M5]),FALSE))</f>
        <v>#N/A</v>
      </c>
      <c r="U216" s="282" t="e">
        <f>IF(VLOOKUP(T_Convention[[#This Row],[NumL]],T_TraitDi[#Data],COLUMN(T_TraitDi[M6]),FALSE)="","",VLOOKUP(T_Convention[[#This Row],[NumL]],T_TraitDi[#Data],COLUMN(T_TraitDi[M6]),FALSE))</f>
        <v>#N/A</v>
      </c>
      <c r="V216" s="176" t="e">
        <f t="shared" si="19"/>
        <v>#N/A</v>
      </c>
      <c r="W216" s="284" t="str">
        <f>IFERROR(TEXT(VLOOKUP(T_Convention[[#This Row],[NumL]],T_TraitDi[#Data],COLUMN(T_TraitDi[Q2]),FALSE),"###%"),"")</f>
        <v/>
      </c>
      <c r="X216" s="97" t="e">
        <f>VLOOKUP(T_Convention[[#This Row],[NumL]],T_TraitDi[#Data],COLUMN(T_TraitDi[Reg Ponct]),FALSE)</f>
        <v>#N/A</v>
      </c>
      <c r="Y216" s="97" t="e">
        <f>VLOOKUP(T_Convention[NumL],T_TraitDi[#Data],COLUMN(T_TraitDi[Jours flottants]),FALSE)</f>
        <v>#N/A</v>
      </c>
      <c r="Z216" s="284" t="str">
        <f>IFERROR(VLOOKUP(T_Convention[[#This Row],[NumL]],T_TraitDi[#Data],COLUMN(T_TraitDi[Lundi]),FALSE),"")</f>
        <v/>
      </c>
      <c r="AA216" s="284" t="e">
        <f>IF(VLOOKUP(T_Convention[[#This Row],[NumL]],T_TraitDi[#Data],COLUMN(T_TraitDi[Colonne3]),FALSE)=0,"",TEXT(IFERROR(VLOOKUP(T_Convention[[#This Row],[NumL]],T_TraitDi[#Data],COLUMN(T_TraitDi[Colonne3]),FALSE),""),"[hh]:mm"))</f>
        <v>#N/A</v>
      </c>
      <c r="AB216" s="284" t="e">
        <f>IF(VLOOKUP(T_Convention[[#This Row],[NumL]],T_TraitDi[#Data],COLUMN(T_TraitDi[Colonne4]),FALSE)=0,"",TEXT(IFERROR(VLOOKUP(T_Convention[[#This Row],[NumL]],T_TraitDi[#Data],COLUMN(T_TraitDi[Colonne4]),FALSE),""),"[hh]:mm"))</f>
        <v>#N/A</v>
      </c>
      <c r="AC216" s="284" t="e">
        <f>IF(VLOOKUP(T_Convention[[#This Row],[NumL]],T_TraitDi[#Data],COLUMN(T_TraitDi[Colonne5]),FALSE)=0,"",TEXT(IFERROR(VLOOKUP(T_Convention[[#This Row],[NumL]],T_TraitDi[#Data],COLUMN(T_TraitDi[Colonne5]),FALSE),""),"[hh]:mm"))</f>
        <v>#N/A</v>
      </c>
      <c r="AD216" s="284" t="e">
        <f>IF(VLOOKUP(T_Convention[[#This Row],[NumL]],T_TraitDi[#Data],COLUMN(T_TraitDi[Colonne6]),FALSE)=0,"",TEXT(IFERROR(VLOOKUP(T_Convention[[#This Row],[NumL]],T_TraitDi[#Data],COLUMN(T_TraitDi[Colonne6]),FALSE),""),"[hh]:mm"))</f>
        <v>#N/A</v>
      </c>
      <c r="AE216" s="284" t="e">
        <f>IF(VLOOKUP(T_Convention[[#This Row],[NumL]],T_TraitDi[#Data],COLUMN(T_TraitDi[Colonne7]),FALSE)=0,"",TEXT(IFERROR(VLOOKUP(T_Convention[[#This Row],[NumL]],T_TraitDi[#Data],COLUMN(T_TraitDi[Colonne7]),FALSE),""),"[hh]:mm"))</f>
        <v>#N/A</v>
      </c>
      <c r="AF216" s="284" t="e">
        <f>IF(VLOOKUP(T_Convention[[#This Row],[NumL]],T_TraitDi[#Data],COLUMN(T_TraitDi[Colonne8]),FALSE)=0,"",TEXT(IFERROR(VLOOKUP(T_Convention[[#This Row],[NumL]],T_TraitDi[#Data],COLUMN(T_TraitDi[Colonne8]),FALSE),""),"[hh]:mm"))</f>
        <v>#N/A</v>
      </c>
      <c r="AG216" s="284" t="str">
        <f>IFERROR(VLOOKUP(T_Convention[[#This Row],[NumL]],T_TraitDi[#Data],COLUMN(T_TraitDi[Mardi]),FALSE),"")</f>
        <v/>
      </c>
      <c r="AH216" s="284" t="e">
        <f>IF(VLOOKUP(T_Convention[[#This Row],[NumL]],T_TraitDi[#Data],COLUMN(T_TraitDi[Colonne1]),FALSE)=0,"",TEXT(IFERROR(VLOOKUP(T_Convention[[#This Row],[NumL]],T_TraitDi[#Data],COLUMN(T_TraitDi[Colonne1]),FALSE),""),"[hh]:mm"))</f>
        <v>#N/A</v>
      </c>
      <c r="AI216" s="284" t="e">
        <f>IF(VLOOKUP(T_Convention[[#This Row],[NumL]],T_TraitDi[#Data],COLUMN(T_TraitDi[Colonne9]),FALSE)=0,"",TEXT(IFERROR(VLOOKUP(T_Convention[[#This Row],[NumL]],T_TraitDi[#Data],COLUMN(T_TraitDi[Colonne9]),FALSE),""),"[hh]:mm"))</f>
        <v>#N/A</v>
      </c>
      <c r="AJ216" s="284" t="str">
        <f>IFERROR(VLOOKUP(T_Convention[[#This Row],[NumL]],T_TraitDi[#Data],COLUMN(T_TraitDi[Colonne10]),FALSE),"")</f>
        <v/>
      </c>
      <c r="AK216" s="284" t="e">
        <f>IF(VLOOKUP(T_Convention[[#This Row],[NumL]],T_TraitDi[#Data],COLUMN(T_TraitDi[Colonne11]),FALSE)=0,"",TEXT(IFERROR(VLOOKUP(T_Convention[[#This Row],[NumL]],T_TraitDi[#Data],COLUMN(T_TraitDi[Colonne11]),FALSE),""),"[hh]:mm"))</f>
        <v>#N/A</v>
      </c>
      <c r="AL216" s="284" t="e">
        <f>IF(VLOOKUP(T_Convention[[#This Row],[NumL]],T_TraitDi[#Data],COLUMN(T_TraitDi[Colonne12]),FALSE)=0,"",TEXT(IFERROR(VLOOKUP(T_Convention[[#This Row],[NumL]],T_TraitDi[#Data],COLUMN(T_TraitDi[Colonne12]),FALSE),""),"[hh]:mm"))</f>
        <v>#N/A</v>
      </c>
      <c r="AM216" s="284" t="e">
        <f>IF(VLOOKUP(T_Convention[[#This Row],[NumL]],T_TraitDi[#Data],COLUMN(T_TraitDi[Colonne14]),FALSE)=0,"",TEXT(IFERROR(VLOOKUP(T_Convention[[#This Row],[NumL]],T_TraitDi[#Data],COLUMN(T_TraitDi[Colonne14]),FALSE),""),"[hh]:mm"))</f>
        <v>#N/A</v>
      </c>
      <c r="AN216" s="284" t="str">
        <f>IFERROR(VLOOKUP(T_Convention[[#This Row],[NumL]],T_TraitDi[#Data],COLUMN(T_TraitDi[Mercredi]),FALSE),"")</f>
        <v/>
      </c>
      <c r="AO216" s="284" t="e">
        <f>IF(VLOOKUP(T_Convention[[#This Row],[NumL]],T_TraitDi[#Data],COLUMN(T_TraitDi[Colonne15]),FALSE)=0,"",TEXT(IFERROR(VLOOKUP(T_Convention[[#This Row],[NumL]],T_TraitDi[#Data],COLUMN(T_TraitDi[Colonne15]),FALSE),""),"[hh]:mm"))</f>
        <v>#N/A</v>
      </c>
      <c r="AP216" s="284" t="e">
        <f>IF(VLOOKUP(T_Convention[[#This Row],[NumL]],T_TraitDi[#Data],COLUMN(T_TraitDi[Colonne16]),FALSE)=0,"",TEXT(IFERROR(VLOOKUP(T_Convention[[#This Row],[NumL]],T_TraitDi[#Data],COLUMN(T_TraitDi[Colonne16]),FALSE),""),"[hh]:mm"))</f>
        <v>#N/A</v>
      </c>
      <c r="AQ216" s="284" t="str">
        <f>IFERROR(VLOOKUP(T_Convention[[#This Row],[NumL]],T_TraitDi[#Data],COLUMN(T_TraitDi[Colonne17]),FALSE),"")</f>
        <v/>
      </c>
      <c r="AR216" s="284" t="e">
        <f>IF(VLOOKUP(T_Convention[[#This Row],[NumL]],T_TraitDi[#Data],COLUMN(T_TraitDi[Colonne18]),FALSE)=0,"",TEXT(IFERROR(VLOOKUP(T_Convention[[#This Row],[NumL]],T_TraitDi[#Data],COLUMN(T_TraitDi[Colonne18]),FALSE),""),"[hh]:mm"))</f>
        <v>#N/A</v>
      </c>
      <c r="AS216" s="284" t="e">
        <f>IF(VLOOKUP(T_Convention[[#This Row],[NumL]],T_TraitDi[#Data],COLUMN(T_TraitDi[Colonne19]),FALSE)=0,"",TEXT(IFERROR(VLOOKUP(T_Convention[[#This Row],[NumL]],T_TraitDi[#Data],COLUMN(T_TraitDi[Colonne19]),FALSE),""),"[hh]:mm"))</f>
        <v>#N/A</v>
      </c>
      <c r="AT216" s="284" t="e">
        <f>IF(VLOOKUP(T_Convention[[#This Row],[NumL]],T_TraitDi[#Data],COLUMN(T_TraitDi[Colonne20]),FALSE)=0,"",TEXT(IFERROR(VLOOKUP(T_Convention[[#This Row],[NumL]],T_TraitDi[#Data],COLUMN(T_TraitDi[Colonne20]),FALSE),""),"[hh]:mm"))</f>
        <v>#N/A</v>
      </c>
      <c r="AU216" s="284" t="str">
        <f>IFERROR(VLOOKUP(T_Convention[[#This Row],[NumL]],T_TraitDi[#Data],COLUMN(T_TraitDi[Jeudi]),FALSE),"")</f>
        <v/>
      </c>
      <c r="AV216" s="284" t="e">
        <f>IF(VLOOKUP(T_Convention[[#This Row],[NumL]],T_TraitDi[#Data],COLUMN(T_TraitDi[Colonne21]),FALSE)=0,"",TEXT(IFERROR(VLOOKUP(T_Convention[[#This Row],[NumL]],T_TraitDi[#Data],COLUMN(T_TraitDi[Colonne21]),FALSE),""),"[hh]:mm"))</f>
        <v>#N/A</v>
      </c>
      <c r="AW216" s="284" t="e">
        <f>IF(VLOOKUP(T_Convention[[#This Row],[NumL]],T_TraitDi[#Data],COLUMN(T_TraitDi[Colonne22]),FALSE)=0,"",TEXT(IFERROR(VLOOKUP(T_Convention[[#This Row],[NumL]],T_TraitDi[#Data],COLUMN(T_TraitDi[Colonne22]),FALSE),""),"[hh]:mm"))</f>
        <v>#N/A</v>
      </c>
      <c r="AX216" s="284" t="str">
        <f>IFERROR(VLOOKUP(T_Convention[[#This Row],[NumL]],T_TraitDi[#Data],COLUMN(T_TraitDi[Colonne23]),FALSE),"")</f>
        <v/>
      </c>
      <c r="AY216" s="284" t="e">
        <f>IF(VLOOKUP(T_Convention[[#This Row],[NumL]],T_TraitDi[#Data],COLUMN(T_TraitDi[Colonne24]),FALSE)=0,"",TEXT(IFERROR(VLOOKUP(T_Convention[[#This Row],[NumL]],T_TraitDi[#Data],COLUMN(T_TraitDi[Colonne24]),FALSE),""),"[hh]:mm"))</f>
        <v>#N/A</v>
      </c>
      <c r="AZ216" s="284" t="e">
        <f>IF(VLOOKUP(T_Convention[[#This Row],[NumL]],T_TraitDi[#Data],COLUMN(T_TraitDi[Colonne25]),FALSE)=0,"",TEXT(IFERROR(VLOOKUP(T_Convention[[#This Row],[NumL]],T_TraitDi[#Data],COLUMN(T_TraitDi[Colonne25]),FALSE),""),"[hh]:mm"))</f>
        <v>#N/A</v>
      </c>
      <c r="BA216" s="284" t="e">
        <f>IF(VLOOKUP(T_Convention[[#This Row],[NumL]],T_TraitDi[#Data],COLUMN(T_TraitDi[Colonne26]),FALSE)=0,"",TEXT(IFERROR(VLOOKUP(T_Convention[[#This Row],[NumL]],T_TraitDi[#Data],COLUMN(T_TraitDi[Colonne26]),FALSE),""),"[hh]:mm"))</f>
        <v>#N/A</v>
      </c>
      <c r="BB216" s="284" t="str">
        <f>IFERROR(VLOOKUP(T_Convention[[#This Row],[NumL]],T_TraitDi[#Data],COLUMN(T_TraitDi[Vendredi]),FALSE),"")</f>
        <v/>
      </c>
      <c r="BC216" s="284" t="e">
        <f>IF(VLOOKUP(T_Convention[[#This Row],[NumL]],T_TraitDi[#Data],COLUMN(T_TraitDi[Colonne27]),FALSE)=0,"",TEXT(IFERROR(VLOOKUP(T_Convention[[#This Row],[NumL]],T_TraitDi[#Data],COLUMN(T_TraitDi[Colonne27]),FALSE),""),"[hh]:mm"))</f>
        <v>#N/A</v>
      </c>
      <c r="BD216" s="284" t="e">
        <f>IF(VLOOKUP(T_Convention[[#This Row],[NumL]],T_TraitDi[#Data],COLUMN(T_TraitDi[Colonne28]),FALSE)=0,"",TEXT(IFERROR(VLOOKUP(T_Convention[[#This Row],[NumL]],T_TraitDi[#Data],COLUMN(T_TraitDi[Colonne28]),FALSE),""),"[hh]:mm"))</f>
        <v>#N/A</v>
      </c>
      <c r="BE216" s="284" t="str">
        <f>IFERROR(VLOOKUP(T_Convention[[#This Row],[NumL]],T_TraitDi[#Data],COLUMN(T_TraitDi[Colonne29]),FALSE),"")</f>
        <v/>
      </c>
      <c r="BF216" s="284" t="e">
        <f>IF(VLOOKUP(T_Convention[[#This Row],[NumL]],T_TraitDi[#Data],COLUMN(T_TraitDi[Colonne30]),FALSE)=0,"",TEXT(IFERROR(VLOOKUP(T_Convention[[#This Row],[NumL]],T_TraitDi[#Data],COLUMN(T_TraitDi[Colonne30]),FALSE),""),"[hh]:mm"))</f>
        <v>#N/A</v>
      </c>
      <c r="BG216" s="284" t="e">
        <f>IF(VLOOKUP(T_Convention[[#This Row],[NumL]],T_TraitDi[#Data],COLUMN(T_TraitDi[Colonne31]),FALSE)=0,"",TEXT(IFERROR(VLOOKUP(T_Convention[[#This Row],[NumL]],T_TraitDi[#Data],COLUMN(T_TraitDi[Colonne31]),FALSE),""),"[hh]:mm"))</f>
        <v>#N/A</v>
      </c>
      <c r="BH216" s="284" t="e">
        <f>IF(VLOOKUP(T_Convention[[#This Row],[NumL]],T_TraitDi[#Data],COLUMN(T_TraitDi[Colonne32]),FALSE)=0,"",TEXT(IFERROR(VLOOKUP(T_Convention[[#This Row],[NumL]],T_TraitDi[#Data],COLUMN(T_TraitDi[Colonne32]),FALSE),""),"[hh]:mm"))</f>
        <v>#N/A</v>
      </c>
      <c r="BI216" s="284" t="str">
        <f>IFERROR(VLOOKUP(T_Convention[[#This Row],[NumL]],T_TraitDi[#Data],COLUMN(T_TraitDi[NbJTW]),FALSE),"")</f>
        <v/>
      </c>
      <c r="BJ216" s="284" t="e">
        <f>IF(VLOOKUP(T_Convention[[#This Row],[NumL]],T_TraitDi[#Data],COLUMN(T_TraitDi[NbhTW]),FALSE)=0,"",TEXT(IFERROR(VLOOKUP(T_Convention[[#This Row],[NumL]],T_TraitDi[#Data],COLUMN(T_TraitDi[NbhTW]),FALSE),""),"[hh]:mm"))</f>
        <v>#N/A</v>
      </c>
      <c r="BK216" s="286" t="e">
        <f>IF(VLOOKUP(T_Convention[[#This Row],[NumL]],T_TraitDi[#Data],COLUMN(T_TraitDi[Nbhheb]),FALSE)=0,"",TEXT(IFERROR(VLOOKUP(T_Convention[[#This Row],[NumL]],T_TraitDi[#Data],COLUMN(T_TraitDi[Nbhheb]),FALSE),""),"[hh]:mm"))</f>
        <v>#N/A</v>
      </c>
      <c r="BL216" s="287" t="str">
        <f>IFERROR(VLOOKUP(VLOOKUP(T_Convention[[#This Row],[NumL]],T_TraitDi[#Data],COLUMN(T_TraitDi[Type1]),FALSE),TypeTW,2,FALSE),"")</f>
        <v/>
      </c>
      <c r="BM216" s="288" t="str">
        <f>IFERROR(VLOOKUP(T_Convention[[#This Row],[NumL]],T_TraitDi[#Data],COLUMN(T_TraitDi[Rue1]),FALSE),"")</f>
        <v/>
      </c>
      <c r="BN216" s="289" t="str">
        <f>IFERROR(VLOOKUP(T_Convention[[#This Row],[NumL]],T_TraitDi[#Data],COLUMN(T_TraitDi[CP1]),FALSE),"")</f>
        <v/>
      </c>
      <c r="BO216" s="282" t="str">
        <f>IFERROR(VLOOKUP(T_Convention[[#This Row],[NumL]],T_TraitDi[#Data],COLUMN(T_TraitDi[VILLE1]),FALSE),"")</f>
        <v/>
      </c>
      <c r="BP216" s="290" t="str">
        <f>IFERROR(VLOOKUP(VLOOKUP(T_Convention[[#This Row],[NumL]],T_TraitDi[#Data],COLUMN(T_TraitDi[Type2]),FALSE),TypeTW,2,FALSE),"")</f>
        <v/>
      </c>
      <c r="BQ216" s="182" t="str">
        <f>IFERROR(VLOOKUP(T_Convention[[#This Row],[NumL]],T_TraitDi[#Data],COLUMN(T_TraitDi[Rue2]),FALSE),"")</f>
        <v/>
      </c>
      <c r="BR216" s="173" t="str">
        <f>IFERROR(VLOOKUP(T_Convention[[#This Row],[NumL]],T_TraitDi[#Data],COLUMN(T_TraitDi[CP2]),FALSE),"")</f>
        <v/>
      </c>
      <c r="BS216" s="173" t="str">
        <f>IFERROR(VLOOKUP(T_Convention[[#This Row],[NumL]],T_TraitDi[#Data],COLUMN(T_TraitDi[VILLE2]),FALSE),"")</f>
        <v/>
      </c>
      <c r="BT216" s="182" t="str">
        <f>IF(VLOOKUP(T_Convention[[#This Row],[NumL]],T_Equipement[#Data],COLUMN(T_Equipement[PC]),FALSE)="","Aucun équipement spécifique directement lié au télétravail",VLOOKUP(T_Convention[[#This Row],[NumL]],T_Equipement[#Data],COLUMN(T_Equipement[PC]),FALSE))</f>
        <v xml:space="preserve">16-434	</v>
      </c>
      <c r="BU216" s="166" t="str">
        <f>IFERROR(IF(VLOOKUP(T_Convention[[#This Row],[NumL]],T_TraitDi[#Data],COLUMN(T_TraitDi[Plan]),FALSE)="OK","Un planning spécifique de télétravail est annexé à la présente convention.",""),"")</f>
        <v/>
      </c>
      <c r="BV216" s="185" t="s">
        <v>3498</v>
      </c>
      <c r="BW216" s="164" t="e">
        <f>IF(VLOOKUP(T_Convention[[#This Row],[NumL]],T_suiviDi[#Data],COLUMN(T_suiviDi[Entité]),FALSE)="","",VLOOKUP(T_Convention[[#This Row],[NumL]],T_suiviDi[#Data],COLUMN(T_suiviDi[Entité]),FALSE))</f>
        <v>#N/A</v>
      </c>
      <c r="BX216" s="164" t="str">
        <f>IF(VLOOKUP(T_Convention[[#This Row],[NumL]],T_Commission[#Data],COLUMN(T_Commission[envoi confirm TW]),FALSE)="","",VLOOKUP(T_Convention[[#This Row],[NumL]],T_Commission[#Data],COLUMN(T_Commission[envoi confirm TW]),FALSE))</f>
        <v>Oui</v>
      </c>
      <c r="BY21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6" s="264">
        <f>VLOOKUP(T_Convention[[#This Row],[NumL]],T_Commission[#Data],COLUMN(T_Commission[Commentaire]),FALSE)</f>
        <v>0</v>
      </c>
      <c r="CA216" s="254" t="str">
        <f>IF(VLOOKUP(T_Convention[[#This Row],[NumL]],T_Commission[#Data],COLUMN(T_Commission[Encadrant Email]),FALSE)="","",VLOOKUP(T_Convention[[#This Row],[NumL]],T_Commission[#Data],COLUMN(T_Commission[Encadrant Email]),FALSE))</f>
        <v/>
      </c>
      <c r="CB216" s="352" t="e">
        <f>VLOOKUP(T_Convention[[#This Row],[NumL]],T_TraitDi[#Data],COLUMN(T_TraitDi[NbJTot]),FALSE)</f>
        <v>#N/A</v>
      </c>
      <c r="CC216" s="352" t="e">
        <f>VLOOKUP(T_Convention[[#This Row],[NumL]],T_TraitDi[#Data],COLUMN(T_TraitDi[Reg Ponct]),FALSE)</f>
        <v>#N/A</v>
      </c>
      <c r="CD216" s="348" t="str">
        <f>IF(T_Convention[[#This Row],[Final]]&lt;&gt;"",VLOOKUP(T_Convention[[#This Row],[NumL]],T_suiviDi[#Data],COLUMN((T_suiviDi[Statut])),FALSE),"")</f>
        <v/>
      </c>
    </row>
    <row r="217" spans="1:82" s="106" customFormat="1" ht="18.75" customHeight="1" x14ac:dyDescent="0.25">
      <c r="A217" s="160">
        <v>210</v>
      </c>
      <c r="B217" s="161" t="str">
        <f>VLOOKUP(T_Convention[[#This Row],[NumL]],T_Commission[#Data],COLUMN(T_Commission[FINAL]),FALSE)</f>
        <v/>
      </c>
      <c r="C217" s="162"/>
      <c r="D217" s="95" t="e">
        <f>IF(VLOOKUP(T_Convention[[#This Row],[NumL]],T_TraitDi[#Data],COLUMN(T_TraitDi[WebC]),FALSE)="","",VLOOKUP(T_Convention[[#This Row],[NumL]],T_TraitDi[#Data],COLUMN(T_TraitDi[WebC]),FALSE))</f>
        <v>#N/A</v>
      </c>
      <c r="E217" s="163" t="str">
        <f t="shared" si="15"/>
        <v>12 janvier 2021</v>
      </c>
      <c r="F217" s="282" t="str">
        <f>IF(T_Convention[[#This Row],[Final]]&lt;&gt;"",VLOOKUP(T_Convention[[#This Row],[NumL]],T_suiviDi[#Data],COLUMN((T_suiviDi[Civ.])),FALSE),"")</f>
        <v/>
      </c>
      <c r="G217" s="283" t="str">
        <f>IF(T_Convention[[#This Row],[Final]]&lt;&gt;"",VLOOKUP(T_Convention[[#This Row],[NumL]],T_suiviDi[#Data],COLUMN((T_suiviDi[Nom])),FALSE),"")</f>
        <v/>
      </c>
      <c r="H217" s="282" t="str">
        <f>IF(T_Convention[[#This Row],[Final]]&lt;&gt;"",VLOOKUP(T_Convention[[#This Row],[NumL]],T_suiviDi[#Data],COLUMN((T_suiviDi[Prénom])),FALSE),"")</f>
        <v/>
      </c>
      <c r="I217" s="282" t="e">
        <f>VLOOKUP(T_Convention[[#This Row],[NumL]],T_suiviDi[#Data],COLUMN((T_suiviDi[[#This Row],[Email]])),FALSE)</f>
        <v>#VALUE!</v>
      </c>
      <c r="J217" s="282" t="e">
        <f>IF(VLOOKUP(T_Convention[[#This Row],[NumL]],T_suiviDi[#Data],COLUMN(T_suiviDi[[#This Row],[Fonction]]),FALSE)="","",VLOOKUP(T_Convention[[#This Row],[NumL]],T_suiviDi[#Data],COLUMN(T_suiviDi[[#This Row],[Fonction]]),FALSE))</f>
        <v>#VALUE!</v>
      </c>
      <c r="K217" s="282" t="e">
        <f>IF(VLOOKUP(T_Convention[[#This Row],[NumL]],T_suiviDi[#Data],COLUMN(T_suiviDi[[#This Row],[Grade]]),FALSE)="","",VLOOKUP(T_Convention[[#This Row],[NumL]],T_suiviDi[#Data],COLUMN(T_suiviDi[[#This Row],[Grade]]),FALSE))</f>
        <v>#VALUE!</v>
      </c>
      <c r="L217" s="282" t="e">
        <f>IF(VLOOKUP(T_Convention[[#This Row],[NumL]],T_suiviDi[#Data],COLUMN(T_suiviDi[[#This Row],[Service ]]),FALSE)="","",VLOOKUP(T_Convention[[#This Row],[NumL]],T_suiviDi[#Data],COLUMN(T_suiviDi[[#This Row],[Service ]]),FALSE))</f>
        <v>#VALUE!</v>
      </c>
      <c r="M217" s="164" t="str">
        <f t="shared" si="16"/>
        <v>01 septembre 2021</v>
      </c>
      <c r="N217" s="164" t="str">
        <f t="shared" si="17"/>
        <v>30 novembre 2021</v>
      </c>
      <c r="O217" s="284" t="str">
        <f t="shared" si="18"/>
        <v>30 novembre 2021</v>
      </c>
      <c r="P217" s="282" t="e">
        <f>IF(VLOOKUP(T_Convention[[#This Row],[NumL]],T_TraitDi[#Data],COLUMN(T_TraitDi[M1]),FALSE)="","",VLOOKUP(T_Convention[[#This Row],[NumL]],T_TraitDi[#Data],COLUMN(T_TraitDi[M1]),FALSE))</f>
        <v>#N/A</v>
      </c>
      <c r="Q217" s="282" t="e">
        <f>IF(VLOOKUP(T_Convention[[#This Row],[NumL]],T_TraitDi[#Data],COLUMN(T_TraitDi[M2]),FALSE)="","",VLOOKUP(T_Convention[[#This Row],[NumL]],T_TraitDi[#Data],COLUMN(T_TraitDi[M2]),FALSE))</f>
        <v>#N/A</v>
      </c>
      <c r="R217" s="282" t="e">
        <f>IF(VLOOKUP(T_Convention[[#This Row],[NumL]],T_TraitDi[#Data],COLUMN(T_TraitDi[M3]),FALSE)="","",VLOOKUP(T_Convention[[#This Row],[NumL]],T_TraitDi[#Data],COLUMN(T_TraitDi[M3]),FALSE))</f>
        <v>#N/A</v>
      </c>
      <c r="S217" s="282" t="e">
        <f>IF(VLOOKUP(T_Convention[[#This Row],[NumL]],T_TraitDi[#Data],COLUMN(T_TraitDi[M4]),FALSE)="","",VLOOKUP(T_Convention[[#This Row],[NumL]],T_TraitDi[#Data],COLUMN(T_TraitDi[M4]),FALSE))</f>
        <v>#N/A</v>
      </c>
      <c r="T217" s="282" t="e">
        <f>IF(VLOOKUP(T_Convention[[#This Row],[NumL]],T_TraitDi[#Data],COLUMN(T_TraitDi[M5]),FALSE)="","",VLOOKUP(T_Convention[[#This Row],[NumL]],T_TraitDi[#Data],COLUMN(T_TraitDi[M5]),FALSE))</f>
        <v>#N/A</v>
      </c>
      <c r="U217" s="282" t="e">
        <f>IF(VLOOKUP(T_Convention[[#This Row],[NumL]],T_TraitDi[#Data],COLUMN(T_TraitDi[M6]),FALSE)="","",VLOOKUP(T_Convention[[#This Row],[NumL]],T_TraitDi[#Data],COLUMN(T_TraitDi[M6]),FALSE))</f>
        <v>#N/A</v>
      </c>
      <c r="V217" s="176" t="e">
        <f t="shared" si="19"/>
        <v>#N/A</v>
      </c>
      <c r="W217" s="284" t="str">
        <f>IFERROR(TEXT(VLOOKUP(T_Convention[[#This Row],[NumL]],T_TraitDi[#Data],COLUMN(T_TraitDi[Q2]),FALSE),"###%"),"")</f>
        <v/>
      </c>
      <c r="X217" s="97" t="e">
        <f>VLOOKUP(T_Convention[[#This Row],[NumL]],T_TraitDi[#Data],COLUMN(T_TraitDi[Reg Ponct]),FALSE)</f>
        <v>#N/A</v>
      </c>
      <c r="Y217" s="97" t="e">
        <f>VLOOKUP(T_Convention[NumL],T_TraitDi[#Data],COLUMN(T_TraitDi[Jours flottants]),FALSE)</f>
        <v>#N/A</v>
      </c>
      <c r="Z217" s="284" t="str">
        <f>IFERROR(VLOOKUP(T_Convention[[#This Row],[NumL]],T_TraitDi[#Data],COLUMN(T_TraitDi[Lundi]),FALSE),"")</f>
        <v/>
      </c>
      <c r="AA217" s="284" t="e">
        <f>IF(VLOOKUP(T_Convention[[#This Row],[NumL]],T_TraitDi[#Data],COLUMN(T_TraitDi[Colonne3]),FALSE)=0,"",TEXT(IFERROR(VLOOKUP(T_Convention[[#This Row],[NumL]],T_TraitDi[#Data],COLUMN(T_TraitDi[Colonne3]),FALSE),""),"[hh]:mm"))</f>
        <v>#N/A</v>
      </c>
      <c r="AB217" s="284" t="e">
        <f>IF(VLOOKUP(T_Convention[[#This Row],[NumL]],T_TraitDi[#Data],COLUMN(T_TraitDi[Colonne4]),FALSE)=0,"",TEXT(IFERROR(VLOOKUP(T_Convention[[#This Row],[NumL]],T_TraitDi[#Data],COLUMN(T_TraitDi[Colonne4]),FALSE),""),"[hh]:mm"))</f>
        <v>#N/A</v>
      </c>
      <c r="AC217" s="284" t="e">
        <f>IF(VLOOKUP(T_Convention[[#This Row],[NumL]],T_TraitDi[#Data],COLUMN(T_TraitDi[Colonne5]),FALSE)=0,"",TEXT(IFERROR(VLOOKUP(T_Convention[[#This Row],[NumL]],T_TraitDi[#Data],COLUMN(T_TraitDi[Colonne5]),FALSE),""),"[hh]:mm"))</f>
        <v>#N/A</v>
      </c>
      <c r="AD217" s="284" t="e">
        <f>IF(VLOOKUP(T_Convention[[#This Row],[NumL]],T_TraitDi[#Data],COLUMN(T_TraitDi[Colonne6]),FALSE)=0,"",TEXT(IFERROR(VLOOKUP(T_Convention[[#This Row],[NumL]],T_TraitDi[#Data],COLUMN(T_TraitDi[Colonne6]),FALSE),""),"[hh]:mm"))</f>
        <v>#N/A</v>
      </c>
      <c r="AE217" s="284" t="e">
        <f>IF(VLOOKUP(T_Convention[[#This Row],[NumL]],T_TraitDi[#Data],COLUMN(T_TraitDi[Colonne7]),FALSE)=0,"",TEXT(IFERROR(VLOOKUP(T_Convention[[#This Row],[NumL]],T_TraitDi[#Data],COLUMN(T_TraitDi[Colonne7]),FALSE),""),"[hh]:mm"))</f>
        <v>#N/A</v>
      </c>
      <c r="AF217" s="284" t="e">
        <f>IF(VLOOKUP(T_Convention[[#This Row],[NumL]],T_TraitDi[#Data],COLUMN(T_TraitDi[Colonne8]),FALSE)=0,"",TEXT(IFERROR(VLOOKUP(T_Convention[[#This Row],[NumL]],T_TraitDi[#Data],COLUMN(T_TraitDi[Colonne8]),FALSE),""),"[hh]:mm"))</f>
        <v>#N/A</v>
      </c>
      <c r="AG217" s="284" t="str">
        <f>IFERROR(VLOOKUP(T_Convention[[#This Row],[NumL]],T_TraitDi[#Data],COLUMN(T_TraitDi[Mardi]),FALSE),"")</f>
        <v/>
      </c>
      <c r="AH217" s="284" t="e">
        <f>IF(VLOOKUP(T_Convention[[#This Row],[NumL]],T_TraitDi[#Data],COLUMN(T_TraitDi[Colonne1]),FALSE)=0,"",TEXT(IFERROR(VLOOKUP(T_Convention[[#This Row],[NumL]],T_TraitDi[#Data],COLUMN(T_TraitDi[Colonne1]),FALSE),""),"[hh]:mm"))</f>
        <v>#N/A</v>
      </c>
      <c r="AI217" s="284" t="e">
        <f>IF(VLOOKUP(T_Convention[[#This Row],[NumL]],T_TraitDi[#Data],COLUMN(T_TraitDi[Colonne9]),FALSE)=0,"",TEXT(IFERROR(VLOOKUP(T_Convention[[#This Row],[NumL]],T_TraitDi[#Data],COLUMN(T_TraitDi[Colonne9]),FALSE),""),"[hh]:mm"))</f>
        <v>#N/A</v>
      </c>
      <c r="AJ217" s="284" t="str">
        <f>IFERROR(VLOOKUP(T_Convention[[#This Row],[NumL]],T_TraitDi[#Data],COLUMN(T_TraitDi[Colonne10]),FALSE),"")</f>
        <v/>
      </c>
      <c r="AK217" s="284" t="e">
        <f>IF(VLOOKUP(T_Convention[[#This Row],[NumL]],T_TraitDi[#Data],COLUMN(T_TraitDi[Colonne11]),FALSE)=0,"",TEXT(IFERROR(VLOOKUP(T_Convention[[#This Row],[NumL]],T_TraitDi[#Data],COLUMN(T_TraitDi[Colonne11]),FALSE),""),"[hh]:mm"))</f>
        <v>#N/A</v>
      </c>
      <c r="AL217" s="284" t="e">
        <f>IF(VLOOKUP(T_Convention[[#This Row],[NumL]],T_TraitDi[#Data],COLUMN(T_TraitDi[Colonne12]),FALSE)=0,"",TEXT(IFERROR(VLOOKUP(T_Convention[[#This Row],[NumL]],T_TraitDi[#Data],COLUMN(T_TraitDi[Colonne12]),FALSE),""),"[hh]:mm"))</f>
        <v>#N/A</v>
      </c>
      <c r="AM217" s="284" t="e">
        <f>IF(VLOOKUP(T_Convention[[#This Row],[NumL]],T_TraitDi[#Data],COLUMN(T_TraitDi[Colonne14]),FALSE)=0,"",TEXT(IFERROR(VLOOKUP(T_Convention[[#This Row],[NumL]],T_TraitDi[#Data],COLUMN(T_TraitDi[Colonne14]),FALSE),""),"[hh]:mm"))</f>
        <v>#N/A</v>
      </c>
      <c r="AN217" s="284" t="str">
        <f>IFERROR(VLOOKUP(T_Convention[[#This Row],[NumL]],T_TraitDi[#Data],COLUMN(T_TraitDi[Mercredi]),FALSE),"")</f>
        <v/>
      </c>
      <c r="AO217" s="284" t="e">
        <f>IF(VLOOKUP(T_Convention[[#This Row],[NumL]],T_TraitDi[#Data],COLUMN(T_TraitDi[Colonne15]),FALSE)=0,"",TEXT(IFERROR(VLOOKUP(T_Convention[[#This Row],[NumL]],T_TraitDi[#Data],COLUMN(T_TraitDi[Colonne15]),FALSE),""),"[hh]:mm"))</f>
        <v>#N/A</v>
      </c>
      <c r="AP217" s="284" t="e">
        <f>IF(VLOOKUP(T_Convention[[#This Row],[NumL]],T_TraitDi[#Data],COLUMN(T_TraitDi[Colonne16]),FALSE)=0,"",TEXT(IFERROR(VLOOKUP(T_Convention[[#This Row],[NumL]],T_TraitDi[#Data],COLUMN(T_TraitDi[Colonne16]),FALSE),""),"[hh]:mm"))</f>
        <v>#N/A</v>
      </c>
      <c r="AQ217" s="284" t="str">
        <f>IFERROR(VLOOKUP(T_Convention[[#This Row],[NumL]],T_TraitDi[#Data],COLUMN(T_TraitDi[Colonne17]),FALSE),"")</f>
        <v/>
      </c>
      <c r="AR217" s="284" t="e">
        <f>IF(VLOOKUP(T_Convention[[#This Row],[NumL]],T_TraitDi[#Data],COLUMN(T_TraitDi[Colonne18]),FALSE)=0,"",TEXT(IFERROR(VLOOKUP(T_Convention[[#This Row],[NumL]],T_TraitDi[#Data],COLUMN(T_TraitDi[Colonne18]),FALSE),""),"[hh]:mm"))</f>
        <v>#N/A</v>
      </c>
      <c r="AS217" s="284" t="e">
        <f>IF(VLOOKUP(T_Convention[[#This Row],[NumL]],T_TraitDi[#Data],COLUMN(T_TraitDi[Colonne19]),FALSE)=0,"",TEXT(IFERROR(VLOOKUP(T_Convention[[#This Row],[NumL]],T_TraitDi[#Data],COLUMN(T_TraitDi[Colonne19]),FALSE),""),"[hh]:mm"))</f>
        <v>#N/A</v>
      </c>
      <c r="AT217" s="284" t="e">
        <f>IF(VLOOKUP(T_Convention[[#This Row],[NumL]],T_TraitDi[#Data],COLUMN(T_TraitDi[Colonne20]),FALSE)=0,"",TEXT(IFERROR(VLOOKUP(T_Convention[[#This Row],[NumL]],T_TraitDi[#Data],COLUMN(T_TraitDi[Colonne20]),FALSE),""),"[hh]:mm"))</f>
        <v>#N/A</v>
      </c>
      <c r="AU217" s="284" t="str">
        <f>IFERROR(VLOOKUP(T_Convention[[#This Row],[NumL]],T_TraitDi[#Data],COLUMN(T_TraitDi[Jeudi]),FALSE),"")</f>
        <v/>
      </c>
      <c r="AV217" s="284" t="e">
        <f>IF(VLOOKUP(T_Convention[[#This Row],[NumL]],T_TraitDi[#Data],COLUMN(T_TraitDi[Colonne21]),FALSE)=0,"",TEXT(IFERROR(VLOOKUP(T_Convention[[#This Row],[NumL]],T_TraitDi[#Data],COLUMN(T_TraitDi[Colonne21]),FALSE),""),"[hh]:mm"))</f>
        <v>#N/A</v>
      </c>
      <c r="AW217" s="284" t="e">
        <f>IF(VLOOKUP(T_Convention[[#This Row],[NumL]],T_TraitDi[#Data],COLUMN(T_TraitDi[Colonne22]),FALSE)=0,"",TEXT(IFERROR(VLOOKUP(T_Convention[[#This Row],[NumL]],T_TraitDi[#Data],COLUMN(T_TraitDi[Colonne22]),FALSE),""),"[hh]:mm"))</f>
        <v>#N/A</v>
      </c>
      <c r="AX217" s="284" t="str">
        <f>IFERROR(VLOOKUP(T_Convention[[#This Row],[NumL]],T_TraitDi[#Data],COLUMN(T_TraitDi[Colonne23]),FALSE),"")</f>
        <v/>
      </c>
      <c r="AY217" s="284" t="e">
        <f>IF(VLOOKUP(T_Convention[[#This Row],[NumL]],T_TraitDi[#Data],COLUMN(T_TraitDi[Colonne24]),FALSE)=0,"",TEXT(IFERROR(VLOOKUP(T_Convention[[#This Row],[NumL]],T_TraitDi[#Data],COLUMN(T_TraitDi[Colonne24]),FALSE),""),"[hh]:mm"))</f>
        <v>#N/A</v>
      </c>
      <c r="AZ217" s="284" t="e">
        <f>IF(VLOOKUP(T_Convention[[#This Row],[NumL]],T_TraitDi[#Data],COLUMN(T_TraitDi[Colonne25]),FALSE)=0,"",TEXT(IFERROR(VLOOKUP(T_Convention[[#This Row],[NumL]],T_TraitDi[#Data],COLUMN(T_TraitDi[Colonne25]),FALSE),""),"[hh]:mm"))</f>
        <v>#N/A</v>
      </c>
      <c r="BA217" s="284" t="e">
        <f>IF(VLOOKUP(T_Convention[[#This Row],[NumL]],T_TraitDi[#Data],COLUMN(T_TraitDi[Colonne26]),FALSE)=0,"",TEXT(IFERROR(VLOOKUP(T_Convention[[#This Row],[NumL]],T_TraitDi[#Data],COLUMN(T_TraitDi[Colonne26]),FALSE),""),"[hh]:mm"))</f>
        <v>#N/A</v>
      </c>
      <c r="BB217" s="284" t="str">
        <f>IFERROR(VLOOKUP(T_Convention[[#This Row],[NumL]],T_TraitDi[#Data],COLUMN(T_TraitDi[Vendredi]),FALSE),"")</f>
        <v/>
      </c>
      <c r="BC217" s="284" t="e">
        <f>IF(VLOOKUP(T_Convention[[#This Row],[NumL]],T_TraitDi[#Data],COLUMN(T_TraitDi[Colonne27]),FALSE)=0,"",TEXT(IFERROR(VLOOKUP(T_Convention[[#This Row],[NumL]],T_TraitDi[#Data],COLUMN(T_TraitDi[Colonne27]),FALSE),""),"[hh]:mm"))</f>
        <v>#N/A</v>
      </c>
      <c r="BD217" s="284" t="e">
        <f>IF(VLOOKUP(T_Convention[[#This Row],[NumL]],T_TraitDi[#Data],COLUMN(T_TraitDi[Colonne28]),FALSE)=0,"",TEXT(IFERROR(VLOOKUP(T_Convention[[#This Row],[NumL]],T_TraitDi[#Data],COLUMN(T_TraitDi[Colonne28]),FALSE),""),"[hh]:mm"))</f>
        <v>#N/A</v>
      </c>
      <c r="BE217" s="284" t="str">
        <f>IFERROR(VLOOKUP(T_Convention[[#This Row],[NumL]],T_TraitDi[#Data],COLUMN(T_TraitDi[Colonne29]),FALSE),"")</f>
        <v/>
      </c>
      <c r="BF217" s="284" t="e">
        <f>IF(VLOOKUP(T_Convention[[#This Row],[NumL]],T_TraitDi[#Data],COLUMN(T_TraitDi[Colonne30]),FALSE)=0,"",TEXT(IFERROR(VLOOKUP(T_Convention[[#This Row],[NumL]],T_TraitDi[#Data],COLUMN(T_TraitDi[Colonne30]),FALSE),""),"[hh]:mm"))</f>
        <v>#N/A</v>
      </c>
      <c r="BG217" s="284" t="e">
        <f>IF(VLOOKUP(T_Convention[[#This Row],[NumL]],T_TraitDi[#Data],COLUMN(T_TraitDi[Colonne31]),FALSE)=0,"",TEXT(IFERROR(VLOOKUP(T_Convention[[#This Row],[NumL]],T_TraitDi[#Data],COLUMN(T_TraitDi[Colonne31]),FALSE),""),"[hh]:mm"))</f>
        <v>#N/A</v>
      </c>
      <c r="BH217" s="284" t="e">
        <f>IF(VLOOKUP(T_Convention[[#This Row],[NumL]],T_TraitDi[#Data],COLUMN(T_TraitDi[Colonne32]),FALSE)=0,"",TEXT(IFERROR(VLOOKUP(T_Convention[[#This Row],[NumL]],T_TraitDi[#Data],COLUMN(T_TraitDi[Colonne32]),FALSE),""),"[hh]:mm"))</f>
        <v>#N/A</v>
      </c>
      <c r="BI217" s="284" t="str">
        <f>IFERROR(VLOOKUP(T_Convention[[#This Row],[NumL]],T_TraitDi[#Data],COLUMN(T_TraitDi[NbJTW]),FALSE),"")</f>
        <v/>
      </c>
      <c r="BJ217" s="284" t="e">
        <f>IF(VLOOKUP(T_Convention[[#This Row],[NumL]],T_TraitDi[#Data],COLUMN(T_TraitDi[NbhTW]),FALSE)=0,"",TEXT(IFERROR(VLOOKUP(T_Convention[[#This Row],[NumL]],T_TraitDi[#Data],COLUMN(T_TraitDi[NbhTW]),FALSE),""),"[hh]:mm"))</f>
        <v>#N/A</v>
      </c>
      <c r="BK217" s="286" t="e">
        <f>IF(VLOOKUP(T_Convention[[#This Row],[NumL]],T_TraitDi[#Data],COLUMN(T_TraitDi[Nbhheb]),FALSE)=0,"",TEXT(IFERROR(VLOOKUP(T_Convention[[#This Row],[NumL]],T_TraitDi[#Data],COLUMN(T_TraitDi[Nbhheb]),FALSE),""),"[hh]:mm"))</f>
        <v>#N/A</v>
      </c>
      <c r="BL217" s="287" t="str">
        <f>IFERROR(VLOOKUP(VLOOKUP(T_Convention[[#This Row],[NumL]],T_TraitDi[#Data],COLUMN(T_TraitDi[Type1]),FALSE),TypeTW,2,FALSE),"")</f>
        <v/>
      </c>
      <c r="BM217" s="288" t="str">
        <f>IFERROR(VLOOKUP(T_Convention[[#This Row],[NumL]],T_TraitDi[#Data],COLUMN(T_TraitDi[Rue1]),FALSE),"")</f>
        <v/>
      </c>
      <c r="BN217" s="289" t="str">
        <f>IFERROR(VLOOKUP(T_Convention[[#This Row],[NumL]],T_TraitDi[#Data],COLUMN(T_TraitDi[CP1]),FALSE),"")</f>
        <v/>
      </c>
      <c r="BO217" s="282" t="str">
        <f>IFERROR(VLOOKUP(T_Convention[[#This Row],[NumL]],T_TraitDi[#Data],COLUMN(T_TraitDi[VILLE1]),FALSE),"")</f>
        <v/>
      </c>
      <c r="BP217" s="290" t="str">
        <f>IFERROR(VLOOKUP(VLOOKUP(T_Convention[[#This Row],[NumL]],T_TraitDi[#Data],COLUMN(T_TraitDi[Type2]),FALSE),TypeTW,2,FALSE),"")</f>
        <v/>
      </c>
      <c r="BQ217" s="182" t="str">
        <f>IFERROR(VLOOKUP(T_Convention[[#This Row],[NumL]],T_TraitDi[#Data],COLUMN(T_TraitDi[Rue2]),FALSE),"")</f>
        <v/>
      </c>
      <c r="BR217" s="173" t="str">
        <f>IFERROR(VLOOKUP(T_Convention[[#This Row],[NumL]],T_TraitDi[#Data],COLUMN(T_TraitDi[CP2]),FALSE),"")</f>
        <v/>
      </c>
      <c r="BS217" s="173" t="str">
        <f>IFERROR(VLOOKUP(T_Convention[[#This Row],[NumL]],T_TraitDi[#Data],COLUMN(T_TraitDi[VILLE2]),FALSE),"")</f>
        <v/>
      </c>
      <c r="BT217" s="182" t="str">
        <f>IF(VLOOKUP(T_Convention[[#This Row],[NumL]],T_Equipement[#Data],COLUMN(T_Equipement[PC]),FALSE)="","Aucun équipement spécifique directement lié au télétravail",VLOOKUP(T_Convention[[#This Row],[NumL]],T_Equipement[#Data],COLUMN(T_Equipement[PC]),FALSE))</f>
        <v>15-150</v>
      </c>
      <c r="BU217" s="166" t="str">
        <f>IFERROR(IF(VLOOKUP(T_Convention[[#This Row],[NumL]],T_TraitDi[#Data],COLUMN(T_TraitDi[Plan]),FALSE)="OK","Un planning spécifique de télétravail est annexé à la présente convention.",""),"")</f>
        <v/>
      </c>
      <c r="BV217" s="185" t="s">
        <v>3323</v>
      </c>
      <c r="BW217" s="164" t="e">
        <f>IF(VLOOKUP(T_Convention[[#This Row],[NumL]],T_suiviDi[#Data],COLUMN(T_suiviDi[Entité]),FALSE)="","",VLOOKUP(T_Convention[[#This Row],[NumL]],T_suiviDi[#Data],COLUMN(T_suiviDi[Entité]),FALSE))</f>
        <v>#N/A</v>
      </c>
      <c r="BX217" s="164" t="str">
        <f>IF(VLOOKUP(T_Convention[[#This Row],[NumL]],T_Commission[#Data],COLUMN(T_Commission[envoi confirm TW]),FALSE)="","",VLOOKUP(T_Convention[[#This Row],[NumL]],T_Commission[#Data],COLUMN(T_Commission[envoi confirm TW]),FALSE))</f>
        <v>Oui</v>
      </c>
      <c r="BY21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7" s="264">
        <f>VLOOKUP(T_Convention[[#This Row],[NumL]],T_Commission[#Data],COLUMN(T_Commission[Commentaire]),FALSE)</f>
        <v>0</v>
      </c>
      <c r="CA217" s="254" t="str">
        <f>IF(VLOOKUP(T_Convention[[#This Row],[NumL]],T_Commission[#Data],COLUMN(T_Commission[Encadrant Email]),FALSE)="","",VLOOKUP(T_Convention[[#This Row],[NumL]],T_Commission[#Data],COLUMN(T_Commission[Encadrant Email]),FALSE))</f>
        <v/>
      </c>
      <c r="CB217" s="352" t="e">
        <f>VLOOKUP(T_Convention[[#This Row],[NumL]],T_TraitDi[#Data],COLUMN(T_TraitDi[NbJTot]),FALSE)</f>
        <v>#N/A</v>
      </c>
      <c r="CC217" s="352" t="e">
        <f>VLOOKUP(T_Convention[[#This Row],[NumL]],T_TraitDi[#Data],COLUMN(T_TraitDi[Reg Ponct]),FALSE)</f>
        <v>#N/A</v>
      </c>
      <c r="CD217" s="348" t="str">
        <f>IF(T_Convention[[#This Row],[Final]]&lt;&gt;"",VLOOKUP(T_Convention[[#This Row],[NumL]],T_suiviDi[#Data],COLUMN((T_suiviDi[Statut])),FALSE),"")</f>
        <v/>
      </c>
    </row>
    <row r="218" spans="1:82" s="106" customFormat="1" ht="18.75" customHeight="1" x14ac:dyDescent="0.25">
      <c r="A218" s="160">
        <v>136</v>
      </c>
      <c r="B218" s="161" t="str">
        <f>VLOOKUP(T_Convention[[#This Row],[NumL]],T_Commission[#Data],COLUMN(T_Commission[FINAL]),FALSE)</f>
        <v/>
      </c>
      <c r="C218" s="162"/>
      <c r="D218" s="95" t="e">
        <f>IF(VLOOKUP(T_Convention[[#This Row],[NumL]],T_TraitDi[#Data],COLUMN(T_TraitDi[WebC]),FALSE)="","",VLOOKUP(T_Convention[[#This Row],[NumL]],T_TraitDi[#Data],COLUMN(T_TraitDi[WebC]),FALSE))</f>
        <v>#N/A</v>
      </c>
      <c r="E218" s="163" t="str">
        <f t="shared" si="15"/>
        <v>12 janvier 2021</v>
      </c>
      <c r="F218" s="282" t="str">
        <f>IF(T_Convention[[#This Row],[Final]]&lt;&gt;"",VLOOKUP(T_Convention[[#This Row],[NumL]],T_suiviDi[#Data],COLUMN((T_suiviDi[Civ.])),FALSE),"")</f>
        <v/>
      </c>
      <c r="G218" s="283" t="str">
        <f>IF(T_Convention[[#This Row],[Final]]&lt;&gt;"",VLOOKUP(T_Convention[[#This Row],[NumL]],T_suiviDi[#Data],COLUMN((T_suiviDi[Nom])),FALSE),"")</f>
        <v/>
      </c>
      <c r="H218" s="282" t="str">
        <f>IF(T_Convention[[#This Row],[Final]]&lt;&gt;"",VLOOKUP(T_Convention[[#This Row],[NumL]],T_suiviDi[#Data],COLUMN((T_suiviDi[Prénom])),FALSE),"")</f>
        <v/>
      </c>
      <c r="I218" s="282" t="e">
        <f>VLOOKUP(T_Convention[[#This Row],[NumL]],T_suiviDi[#Data],COLUMN((T_suiviDi[[#This Row],[Email]])),FALSE)</f>
        <v>#VALUE!</v>
      </c>
      <c r="J218" s="282" t="e">
        <f>IF(VLOOKUP(T_Convention[[#This Row],[NumL]],T_suiviDi[#Data],COLUMN(T_suiviDi[[#This Row],[Fonction]]),FALSE)="","",VLOOKUP(T_Convention[[#This Row],[NumL]],T_suiviDi[#Data],COLUMN(T_suiviDi[[#This Row],[Fonction]]),FALSE))</f>
        <v>#VALUE!</v>
      </c>
      <c r="K218" s="282" t="e">
        <f>IF(VLOOKUP(T_Convention[[#This Row],[NumL]],T_suiviDi[#Data],COLUMN(T_suiviDi[[#This Row],[Grade]]),FALSE)="","",VLOOKUP(T_Convention[[#This Row],[NumL]],T_suiviDi[#Data],COLUMN(T_suiviDi[[#This Row],[Grade]]),FALSE))</f>
        <v>#VALUE!</v>
      </c>
      <c r="L218" s="282" t="e">
        <f>IF(VLOOKUP(T_Convention[[#This Row],[NumL]],T_suiviDi[#Data],COLUMN(T_suiviDi[[#This Row],[Service ]]),FALSE)="","",VLOOKUP(T_Convention[[#This Row],[NumL]],T_suiviDi[#Data],COLUMN(T_suiviDi[[#This Row],[Service ]]),FALSE))</f>
        <v>#VALUE!</v>
      </c>
      <c r="M218" s="164" t="str">
        <f t="shared" si="16"/>
        <v>01 septembre 2021</v>
      </c>
      <c r="N218" s="164" t="str">
        <f t="shared" si="17"/>
        <v>30 novembre 2021</v>
      </c>
      <c r="O218" s="284" t="str">
        <f t="shared" si="18"/>
        <v>30 novembre 2021</v>
      </c>
      <c r="P218" s="282" t="e">
        <f>IF(VLOOKUP(T_Convention[[#This Row],[NumL]],T_TraitDi[#Data],COLUMN(T_TraitDi[M1]),FALSE)="","",VLOOKUP(T_Convention[[#This Row],[NumL]],T_TraitDi[#Data],COLUMN(T_TraitDi[M1]),FALSE))</f>
        <v>#N/A</v>
      </c>
      <c r="Q218" s="282" t="e">
        <f>IF(VLOOKUP(T_Convention[[#This Row],[NumL]],T_TraitDi[#Data],COLUMN(T_TraitDi[M2]),FALSE)="","",VLOOKUP(T_Convention[[#This Row],[NumL]],T_TraitDi[#Data],COLUMN(T_TraitDi[M2]),FALSE))</f>
        <v>#N/A</v>
      </c>
      <c r="R218" s="282" t="e">
        <f>IF(VLOOKUP(T_Convention[[#This Row],[NumL]],T_TraitDi[#Data],COLUMN(T_TraitDi[M3]),FALSE)="","",VLOOKUP(T_Convention[[#This Row],[NumL]],T_TraitDi[#Data],COLUMN(T_TraitDi[M3]),FALSE))</f>
        <v>#N/A</v>
      </c>
      <c r="S218" s="282" t="e">
        <f>IF(VLOOKUP(T_Convention[[#This Row],[NumL]],T_TraitDi[#Data],COLUMN(T_TraitDi[M4]),FALSE)="","",VLOOKUP(T_Convention[[#This Row],[NumL]],T_TraitDi[#Data],COLUMN(T_TraitDi[M4]),FALSE))</f>
        <v>#N/A</v>
      </c>
      <c r="T218" s="282" t="e">
        <f>IF(VLOOKUP(T_Convention[[#This Row],[NumL]],T_TraitDi[#Data],COLUMN(T_TraitDi[M5]),FALSE)="","",VLOOKUP(T_Convention[[#This Row],[NumL]],T_TraitDi[#Data],COLUMN(T_TraitDi[M5]),FALSE))</f>
        <v>#N/A</v>
      </c>
      <c r="U218" s="282" t="e">
        <f>IF(VLOOKUP(T_Convention[[#This Row],[NumL]],T_TraitDi[#Data],COLUMN(T_TraitDi[M6]),FALSE)="","",VLOOKUP(T_Convention[[#This Row],[NumL]],T_TraitDi[#Data],COLUMN(T_TraitDi[M6]),FALSE))</f>
        <v>#N/A</v>
      </c>
      <c r="V218" s="176" t="e">
        <f t="shared" si="19"/>
        <v>#N/A</v>
      </c>
      <c r="W218" s="284" t="str">
        <f>IFERROR(TEXT(VLOOKUP(T_Convention[[#This Row],[NumL]],T_TraitDi[#Data],COLUMN(T_TraitDi[Q2]),FALSE),"###%"),"")</f>
        <v/>
      </c>
      <c r="X218" s="97" t="e">
        <f>VLOOKUP(T_Convention[[#This Row],[NumL]],T_TraitDi[#Data],COLUMN(T_TraitDi[Reg Ponct]),FALSE)</f>
        <v>#N/A</v>
      </c>
      <c r="Y218" s="97" t="e">
        <f>VLOOKUP(T_Convention[NumL],T_TraitDi[#Data],COLUMN(T_TraitDi[Jours flottants]),FALSE)</f>
        <v>#N/A</v>
      </c>
      <c r="Z218" s="284" t="str">
        <f>IFERROR(VLOOKUP(T_Convention[[#This Row],[NumL]],T_TraitDi[#Data],COLUMN(T_TraitDi[Lundi]),FALSE),"")</f>
        <v/>
      </c>
      <c r="AA218" s="284" t="e">
        <f>IF(VLOOKUP(T_Convention[[#This Row],[NumL]],T_TraitDi[#Data],COLUMN(T_TraitDi[Colonne3]),FALSE)=0,"",TEXT(IFERROR(VLOOKUP(T_Convention[[#This Row],[NumL]],T_TraitDi[#Data],COLUMN(T_TraitDi[Colonne3]),FALSE),""),"[hh]:mm"))</f>
        <v>#N/A</v>
      </c>
      <c r="AB218" s="284" t="e">
        <f>IF(VLOOKUP(T_Convention[[#This Row],[NumL]],T_TraitDi[#Data],COLUMN(T_TraitDi[Colonne4]),FALSE)=0,"",TEXT(IFERROR(VLOOKUP(T_Convention[[#This Row],[NumL]],T_TraitDi[#Data],COLUMN(T_TraitDi[Colonne4]),FALSE),""),"[hh]:mm"))</f>
        <v>#N/A</v>
      </c>
      <c r="AC218" s="284" t="e">
        <f>IF(VLOOKUP(T_Convention[[#This Row],[NumL]],T_TraitDi[#Data],COLUMN(T_TraitDi[Colonne5]),FALSE)=0,"",TEXT(IFERROR(VLOOKUP(T_Convention[[#This Row],[NumL]],T_TraitDi[#Data],COLUMN(T_TraitDi[Colonne5]),FALSE),""),"[hh]:mm"))</f>
        <v>#N/A</v>
      </c>
      <c r="AD218" s="284" t="e">
        <f>IF(VLOOKUP(T_Convention[[#This Row],[NumL]],T_TraitDi[#Data],COLUMN(T_TraitDi[Colonne6]),FALSE)=0,"",TEXT(IFERROR(VLOOKUP(T_Convention[[#This Row],[NumL]],T_TraitDi[#Data],COLUMN(T_TraitDi[Colonne6]),FALSE),""),"[hh]:mm"))</f>
        <v>#N/A</v>
      </c>
      <c r="AE218" s="284" t="e">
        <f>IF(VLOOKUP(T_Convention[[#This Row],[NumL]],T_TraitDi[#Data],COLUMN(T_TraitDi[Colonne7]),FALSE)=0,"",TEXT(IFERROR(VLOOKUP(T_Convention[[#This Row],[NumL]],T_TraitDi[#Data],COLUMN(T_TraitDi[Colonne7]),FALSE),""),"[hh]:mm"))</f>
        <v>#N/A</v>
      </c>
      <c r="AF218" s="284" t="e">
        <f>IF(VLOOKUP(T_Convention[[#This Row],[NumL]],T_TraitDi[#Data],COLUMN(T_TraitDi[Colonne8]),FALSE)=0,"",TEXT(IFERROR(VLOOKUP(T_Convention[[#This Row],[NumL]],T_TraitDi[#Data],COLUMN(T_TraitDi[Colonne8]),FALSE),""),"[hh]:mm"))</f>
        <v>#N/A</v>
      </c>
      <c r="AG218" s="284" t="str">
        <f>IFERROR(VLOOKUP(T_Convention[[#This Row],[NumL]],T_TraitDi[#Data],COLUMN(T_TraitDi[Mardi]),FALSE),"")</f>
        <v/>
      </c>
      <c r="AH218" s="284" t="e">
        <f>IF(VLOOKUP(T_Convention[[#This Row],[NumL]],T_TraitDi[#Data],COLUMN(T_TraitDi[Colonne1]),FALSE)=0,"",TEXT(IFERROR(VLOOKUP(T_Convention[[#This Row],[NumL]],T_TraitDi[#Data],COLUMN(T_TraitDi[Colonne1]),FALSE),""),"[hh]:mm"))</f>
        <v>#N/A</v>
      </c>
      <c r="AI218" s="284" t="e">
        <f>IF(VLOOKUP(T_Convention[[#This Row],[NumL]],T_TraitDi[#Data],COLUMN(T_TraitDi[Colonne9]),FALSE)=0,"",TEXT(IFERROR(VLOOKUP(T_Convention[[#This Row],[NumL]],T_TraitDi[#Data],COLUMN(T_TraitDi[Colonne9]),FALSE),""),"[hh]:mm"))</f>
        <v>#N/A</v>
      </c>
      <c r="AJ218" s="284" t="str">
        <f>IFERROR(VLOOKUP(T_Convention[[#This Row],[NumL]],T_TraitDi[#Data],COLUMN(T_TraitDi[Colonne10]),FALSE),"")</f>
        <v/>
      </c>
      <c r="AK218" s="284" t="e">
        <f>IF(VLOOKUP(T_Convention[[#This Row],[NumL]],T_TraitDi[#Data],COLUMN(T_TraitDi[Colonne11]),FALSE)=0,"",TEXT(IFERROR(VLOOKUP(T_Convention[[#This Row],[NumL]],T_TraitDi[#Data],COLUMN(T_TraitDi[Colonne11]),FALSE),""),"[hh]:mm"))</f>
        <v>#N/A</v>
      </c>
      <c r="AL218" s="284" t="e">
        <f>IF(VLOOKUP(T_Convention[[#This Row],[NumL]],T_TraitDi[#Data],COLUMN(T_TraitDi[Colonne12]),FALSE)=0,"",TEXT(IFERROR(VLOOKUP(T_Convention[[#This Row],[NumL]],T_TraitDi[#Data],COLUMN(T_TraitDi[Colonne12]),FALSE),""),"[hh]:mm"))</f>
        <v>#N/A</v>
      </c>
      <c r="AM218" s="284" t="e">
        <f>IF(VLOOKUP(T_Convention[[#This Row],[NumL]],T_TraitDi[#Data],COLUMN(T_TraitDi[Colonne14]),FALSE)=0,"",TEXT(IFERROR(VLOOKUP(T_Convention[[#This Row],[NumL]],T_TraitDi[#Data],COLUMN(T_TraitDi[Colonne14]),FALSE),""),"[hh]:mm"))</f>
        <v>#N/A</v>
      </c>
      <c r="AN218" s="284" t="str">
        <f>IFERROR(VLOOKUP(T_Convention[[#This Row],[NumL]],T_TraitDi[#Data],COLUMN(T_TraitDi[Mercredi]),FALSE),"")</f>
        <v/>
      </c>
      <c r="AO218" s="284" t="e">
        <f>IF(VLOOKUP(T_Convention[[#This Row],[NumL]],T_TraitDi[#Data],COLUMN(T_TraitDi[Colonne15]),FALSE)=0,"",TEXT(IFERROR(VLOOKUP(T_Convention[[#This Row],[NumL]],T_TraitDi[#Data],COLUMN(T_TraitDi[Colonne15]),FALSE),""),"[hh]:mm"))</f>
        <v>#N/A</v>
      </c>
      <c r="AP218" s="284" t="e">
        <f>IF(VLOOKUP(T_Convention[[#This Row],[NumL]],T_TraitDi[#Data],COLUMN(T_TraitDi[Colonne16]),FALSE)=0,"",TEXT(IFERROR(VLOOKUP(T_Convention[[#This Row],[NumL]],T_TraitDi[#Data],COLUMN(T_TraitDi[Colonne16]),FALSE),""),"[hh]:mm"))</f>
        <v>#N/A</v>
      </c>
      <c r="AQ218" s="284" t="str">
        <f>IFERROR(VLOOKUP(T_Convention[[#This Row],[NumL]],T_TraitDi[#Data],COLUMN(T_TraitDi[Colonne17]),FALSE),"")</f>
        <v/>
      </c>
      <c r="AR218" s="284" t="e">
        <f>IF(VLOOKUP(T_Convention[[#This Row],[NumL]],T_TraitDi[#Data],COLUMN(T_TraitDi[Colonne18]),FALSE)=0,"",TEXT(IFERROR(VLOOKUP(T_Convention[[#This Row],[NumL]],T_TraitDi[#Data],COLUMN(T_TraitDi[Colonne18]),FALSE),""),"[hh]:mm"))</f>
        <v>#N/A</v>
      </c>
      <c r="AS218" s="284" t="e">
        <f>IF(VLOOKUP(T_Convention[[#This Row],[NumL]],T_TraitDi[#Data],COLUMN(T_TraitDi[Colonne19]),FALSE)=0,"",TEXT(IFERROR(VLOOKUP(T_Convention[[#This Row],[NumL]],T_TraitDi[#Data],COLUMN(T_TraitDi[Colonne19]),FALSE),""),"[hh]:mm"))</f>
        <v>#N/A</v>
      </c>
      <c r="AT218" s="284" t="e">
        <f>IF(VLOOKUP(T_Convention[[#This Row],[NumL]],T_TraitDi[#Data],COLUMN(T_TraitDi[Colonne20]),FALSE)=0,"",TEXT(IFERROR(VLOOKUP(T_Convention[[#This Row],[NumL]],T_TraitDi[#Data],COLUMN(T_TraitDi[Colonne20]),FALSE),""),"[hh]:mm"))</f>
        <v>#N/A</v>
      </c>
      <c r="AU218" s="284" t="str">
        <f>IFERROR(VLOOKUP(T_Convention[[#This Row],[NumL]],T_TraitDi[#Data],COLUMN(T_TraitDi[Jeudi]),FALSE),"")</f>
        <v/>
      </c>
      <c r="AV218" s="284" t="e">
        <f>IF(VLOOKUP(T_Convention[[#This Row],[NumL]],T_TraitDi[#Data],COLUMN(T_TraitDi[Colonne21]),FALSE)=0,"",TEXT(IFERROR(VLOOKUP(T_Convention[[#This Row],[NumL]],T_TraitDi[#Data],COLUMN(T_TraitDi[Colonne21]),FALSE),""),"[hh]:mm"))</f>
        <v>#N/A</v>
      </c>
      <c r="AW218" s="284" t="e">
        <f>IF(VLOOKUP(T_Convention[[#This Row],[NumL]],T_TraitDi[#Data],COLUMN(T_TraitDi[Colonne22]),FALSE)=0,"",TEXT(IFERROR(VLOOKUP(T_Convention[[#This Row],[NumL]],T_TraitDi[#Data],COLUMN(T_TraitDi[Colonne22]),FALSE),""),"[hh]:mm"))</f>
        <v>#N/A</v>
      </c>
      <c r="AX218" s="284" t="str">
        <f>IFERROR(VLOOKUP(T_Convention[[#This Row],[NumL]],T_TraitDi[#Data],COLUMN(T_TraitDi[Colonne23]),FALSE),"")</f>
        <v/>
      </c>
      <c r="AY218" s="284" t="e">
        <f>IF(VLOOKUP(T_Convention[[#This Row],[NumL]],T_TraitDi[#Data],COLUMN(T_TraitDi[Colonne24]),FALSE)=0,"",TEXT(IFERROR(VLOOKUP(T_Convention[[#This Row],[NumL]],T_TraitDi[#Data],COLUMN(T_TraitDi[Colonne24]),FALSE),""),"[hh]:mm"))</f>
        <v>#N/A</v>
      </c>
      <c r="AZ218" s="284" t="e">
        <f>IF(VLOOKUP(T_Convention[[#This Row],[NumL]],T_TraitDi[#Data],COLUMN(T_TraitDi[Colonne25]),FALSE)=0,"",TEXT(IFERROR(VLOOKUP(T_Convention[[#This Row],[NumL]],T_TraitDi[#Data],COLUMN(T_TraitDi[Colonne25]),FALSE),""),"[hh]:mm"))</f>
        <v>#N/A</v>
      </c>
      <c r="BA218" s="284" t="e">
        <f>IF(VLOOKUP(T_Convention[[#This Row],[NumL]],T_TraitDi[#Data],COLUMN(T_TraitDi[Colonne26]),FALSE)=0,"",TEXT(IFERROR(VLOOKUP(T_Convention[[#This Row],[NumL]],T_TraitDi[#Data],COLUMN(T_TraitDi[Colonne26]),FALSE),""),"[hh]:mm"))</f>
        <v>#N/A</v>
      </c>
      <c r="BB218" s="284" t="str">
        <f>IFERROR(VLOOKUP(T_Convention[[#This Row],[NumL]],T_TraitDi[#Data],COLUMN(T_TraitDi[Vendredi]),FALSE),"")</f>
        <v/>
      </c>
      <c r="BC218" s="284" t="e">
        <f>IF(VLOOKUP(T_Convention[[#This Row],[NumL]],T_TraitDi[#Data],COLUMN(T_TraitDi[Colonne27]),FALSE)=0,"",TEXT(IFERROR(VLOOKUP(T_Convention[[#This Row],[NumL]],T_TraitDi[#Data],COLUMN(T_TraitDi[Colonne27]),FALSE),""),"[hh]:mm"))</f>
        <v>#N/A</v>
      </c>
      <c r="BD218" s="284" t="e">
        <f>IF(VLOOKUP(T_Convention[[#This Row],[NumL]],T_TraitDi[#Data],COLUMN(T_TraitDi[Colonne28]),FALSE)=0,"",TEXT(IFERROR(VLOOKUP(T_Convention[[#This Row],[NumL]],T_TraitDi[#Data],COLUMN(T_TraitDi[Colonne28]),FALSE),""),"[hh]:mm"))</f>
        <v>#N/A</v>
      </c>
      <c r="BE218" s="284" t="str">
        <f>IFERROR(VLOOKUP(T_Convention[[#This Row],[NumL]],T_TraitDi[#Data],COLUMN(T_TraitDi[Colonne29]),FALSE),"")</f>
        <v/>
      </c>
      <c r="BF218" s="284" t="e">
        <f>IF(VLOOKUP(T_Convention[[#This Row],[NumL]],T_TraitDi[#Data],COLUMN(T_TraitDi[Colonne30]),FALSE)=0,"",TEXT(IFERROR(VLOOKUP(T_Convention[[#This Row],[NumL]],T_TraitDi[#Data],COLUMN(T_TraitDi[Colonne30]),FALSE),""),"[hh]:mm"))</f>
        <v>#N/A</v>
      </c>
      <c r="BG218" s="284" t="e">
        <f>IF(VLOOKUP(T_Convention[[#This Row],[NumL]],T_TraitDi[#Data],COLUMN(T_TraitDi[Colonne31]),FALSE)=0,"",TEXT(IFERROR(VLOOKUP(T_Convention[[#This Row],[NumL]],T_TraitDi[#Data],COLUMN(T_TraitDi[Colonne31]),FALSE),""),"[hh]:mm"))</f>
        <v>#N/A</v>
      </c>
      <c r="BH218" s="284" t="e">
        <f>IF(VLOOKUP(T_Convention[[#This Row],[NumL]],T_TraitDi[#Data],COLUMN(T_TraitDi[Colonne32]),FALSE)=0,"",TEXT(IFERROR(VLOOKUP(T_Convention[[#This Row],[NumL]],T_TraitDi[#Data],COLUMN(T_TraitDi[Colonne32]),FALSE),""),"[hh]:mm"))</f>
        <v>#N/A</v>
      </c>
      <c r="BI218" s="284" t="str">
        <f>IFERROR(VLOOKUP(T_Convention[[#This Row],[NumL]],T_TraitDi[#Data],COLUMN(T_TraitDi[NbJTW]),FALSE),"")</f>
        <v/>
      </c>
      <c r="BJ218" s="284" t="e">
        <f>IF(VLOOKUP(T_Convention[[#This Row],[NumL]],T_TraitDi[#Data],COLUMN(T_TraitDi[NbhTW]),FALSE)=0,"",TEXT(IFERROR(VLOOKUP(T_Convention[[#This Row],[NumL]],T_TraitDi[#Data],COLUMN(T_TraitDi[NbhTW]),FALSE),""),"[hh]:mm"))</f>
        <v>#N/A</v>
      </c>
      <c r="BK218" s="286" t="e">
        <f>IF(VLOOKUP(T_Convention[[#This Row],[NumL]],T_TraitDi[#Data],COLUMN(T_TraitDi[Nbhheb]),FALSE)=0,"",TEXT(IFERROR(VLOOKUP(T_Convention[[#This Row],[NumL]],T_TraitDi[#Data],COLUMN(T_TraitDi[Nbhheb]),FALSE),""),"[hh]:mm"))</f>
        <v>#N/A</v>
      </c>
      <c r="BL218" s="287" t="str">
        <f>IFERROR(VLOOKUP(VLOOKUP(T_Convention[[#This Row],[NumL]],T_TraitDi[#Data],COLUMN(T_TraitDi[Type1]),FALSE),TypeTW,2,FALSE),"")</f>
        <v/>
      </c>
      <c r="BM218" s="288" t="str">
        <f>IFERROR(VLOOKUP(T_Convention[[#This Row],[NumL]],T_TraitDi[#Data],COLUMN(T_TraitDi[Rue1]),FALSE),"")</f>
        <v/>
      </c>
      <c r="BN218" s="289" t="str">
        <f>IFERROR(VLOOKUP(T_Convention[[#This Row],[NumL]],T_TraitDi[#Data],COLUMN(T_TraitDi[CP1]),FALSE),"")</f>
        <v/>
      </c>
      <c r="BO218" s="282" t="str">
        <f>IFERROR(VLOOKUP(T_Convention[[#This Row],[NumL]],T_TraitDi[#Data],COLUMN(T_TraitDi[VILLE1]),FALSE),"")</f>
        <v/>
      </c>
      <c r="BP218" s="290" t="str">
        <f>IFERROR(VLOOKUP(VLOOKUP(T_Convention[[#This Row],[NumL]],T_TraitDi[#Data],COLUMN(T_TraitDi[Type2]),FALSE),TypeTW,2,FALSE),"")</f>
        <v/>
      </c>
      <c r="BQ218" s="182" t="str">
        <f>IFERROR(VLOOKUP(T_Convention[[#This Row],[NumL]],T_TraitDi[#Data],COLUMN(T_TraitDi[Rue2]),FALSE),"")</f>
        <v/>
      </c>
      <c r="BR218" s="173" t="str">
        <f>IFERROR(VLOOKUP(T_Convention[[#This Row],[NumL]],T_TraitDi[#Data],COLUMN(T_TraitDi[CP2]),FALSE),"")</f>
        <v/>
      </c>
      <c r="BS218" s="173" t="str">
        <f>IFERROR(VLOOKUP(T_Convention[[#This Row],[NumL]],T_TraitDi[#Data],COLUMN(T_TraitDi[VILLE2]),FALSE),"")</f>
        <v/>
      </c>
      <c r="BT218" s="182" t="str">
        <f>IF(VLOOKUP(T_Convention[[#This Row],[NumL]],T_Equipement[#Data],COLUMN(T_Equipement[PC]),FALSE)="","Aucun équipement spécifique directement lié au télétravail",VLOOKUP(T_Convention[[#This Row],[NumL]],T_Equipement[#Data],COLUMN(T_Equipement[PC]),FALSE))</f>
        <v xml:space="preserve">20-255	</v>
      </c>
      <c r="BU218" s="166" t="str">
        <f>IFERROR(IF(VLOOKUP(T_Convention[[#This Row],[NumL]],T_TraitDi[#Data],COLUMN(T_TraitDi[Plan]),FALSE)="OK","Un planning spécifique de télétravail est annexé à la présente convention.",""),"")</f>
        <v/>
      </c>
      <c r="BV218" s="185" t="s">
        <v>3346</v>
      </c>
      <c r="BW218" s="164" t="e">
        <f>IF(VLOOKUP(T_Convention[[#This Row],[NumL]],T_suiviDi[#Data],COLUMN(T_suiviDi[Entité]),FALSE)="","",VLOOKUP(T_Convention[[#This Row],[NumL]],T_suiviDi[#Data],COLUMN(T_suiviDi[Entité]),FALSE))</f>
        <v>#N/A</v>
      </c>
      <c r="BX218" s="164" t="str">
        <f>IF(VLOOKUP(T_Convention[[#This Row],[NumL]],T_Commission[#Data],COLUMN(T_Commission[envoi confirm TW]),FALSE)="","",VLOOKUP(T_Convention[[#This Row],[NumL]],T_Commission[#Data],COLUMN(T_Commission[envoi confirm TW]),FALSE))</f>
        <v>Oui</v>
      </c>
      <c r="BY21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8" s="264">
        <f>VLOOKUP(T_Convention[[#This Row],[NumL]],T_Commission[#Data],COLUMN(T_Commission[Commentaire]),FALSE)</f>
        <v>0</v>
      </c>
      <c r="CA218" s="254" t="str">
        <f>IF(VLOOKUP(T_Convention[[#This Row],[NumL]],T_Commission[#Data],COLUMN(T_Commission[Encadrant Email]),FALSE)="","",VLOOKUP(T_Convention[[#This Row],[NumL]],T_Commission[#Data],COLUMN(T_Commission[Encadrant Email]),FALSE))</f>
        <v/>
      </c>
      <c r="CB218" s="352" t="e">
        <f>VLOOKUP(T_Convention[[#This Row],[NumL]],T_TraitDi[#Data],COLUMN(T_TraitDi[NbJTot]),FALSE)</f>
        <v>#N/A</v>
      </c>
      <c r="CC218" s="352" t="e">
        <f>VLOOKUP(T_Convention[[#This Row],[NumL]],T_TraitDi[#Data],COLUMN(T_TraitDi[Reg Ponct]),FALSE)</f>
        <v>#N/A</v>
      </c>
      <c r="CD218" s="348" t="str">
        <f>IF(T_Convention[[#This Row],[Final]]&lt;&gt;"",VLOOKUP(T_Convention[[#This Row],[NumL]],T_suiviDi[#Data],COLUMN((T_suiviDi[Statut])),FALSE),"")</f>
        <v/>
      </c>
    </row>
    <row r="219" spans="1:82" s="106" customFormat="1" ht="18.75" customHeight="1" x14ac:dyDescent="0.25">
      <c r="A219" s="160">
        <v>167</v>
      </c>
      <c r="B219" s="161" t="str">
        <f>VLOOKUP(T_Convention[[#This Row],[NumL]],T_Commission[#Data],COLUMN(T_Commission[FINAL]),FALSE)</f>
        <v/>
      </c>
      <c r="C219" s="162"/>
      <c r="D219" s="95" t="e">
        <f>IF(VLOOKUP(T_Convention[[#This Row],[NumL]],T_TraitDi[#Data],COLUMN(T_TraitDi[WebC]),FALSE)="","",VLOOKUP(T_Convention[[#This Row],[NumL]],T_TraitDi[#Data],COLUMN(T_TraitDi[WebC]),FALSE))</f>
        <v>#N/A</v>
      </c>
      <c r="E219" s="163" t="str">
        <f t="shared" si="15"/>
        <v>12 janvier 2021</v>
      </c>
      <c r="F219" s="282" t="str">
        <f>IF(T_Convention[[#This Row],[Final]]&lt;&gt;"",VLOOKUP(T_Convention[[#This Row],[NumL]],T_suiviDi[#Data],COLUMN((T_suiviDi[Civ.])),FALSE),"")</f>
        <v/>
      </c>
      <c r="G219" s="283" t="str">
        <f>IF(T_Convention[[#This Row],[Final]]&lt;&gt;"",VLOOKUP(T_Convention[[#This Row],[NumL]],T_suiviDi[#Data],COLUMN((T_suiviDi[Nom])),FALSE),"")</f>
        <v/>
      </c>
      <c r="H219" s="282" t="str">
        <f>IF(T_Convention[[#This Row],[Final]]&lt;&gt;"",VLOOKUP(T_Convention[[#This Row],[NumL]],T_suiviDi[#Data],COLUMN((T_suiviDi[Prénom])),FALSE),"")</f>
        <v/>
      </c>
      <c r="I219" s="282" t="e">
        <f>VLOOKUP(T_Convention[[#This Row],[NumL]],T_suiviDi[#Data],COLUMN((T_suiviDi[[#This Row],[Email]])),FALSE)</f>
        <v>#VALUE!</v>
      </c>
      <c r="J219" s="282" t="e">
        <f>IF(VLOOKUP(T_Convention[[#This Row],[NumL]],T_suiviDi[#Data],COLUMN(T_suiviDi[[#This Row],[Fonction]]),FALSE)="","",VLOOKUP(T_Convention[[#This Row],[NumL]],T_suiviDi[#Data],COLUMN(T_suiviDi[[#This Row],[Fonction]]),FALSE))</f>
        <v>#VALUE!</v>
      </c>
      <c r="K219" s="282" t="e">
        <f>IF(VLOOKUP(T_Convention[[#This Row],[NumL]],T_suiviDi[#Data],COLUMN(T_suiviDi[[#This Row],[Grade]]),FALSE)="","",VLOOKUP(T_Convention[[#This Row],[NumL]],T_suiviDi[#Data],COLUMN(T_suiviDi[[#This Row],[Grade]]),FALSE))</f>
        <v>#VALUE!</v>
      </c>
      <c r="L219" s="282" t="e">
        <f>IF(VLOOKUP(T_Convention[[#This Row],[NumL]],T_suiviDi[#Data],COLUMN(T_suiviDi[[#This Row],[Service ]]),FALSE)="","",VLOOKUP(T_Convention[[#This Row],[NumL]],T_suiviDi[#Data],COLUMN(T_suiviDi[[#This Row],[Service ]]),FALSE))</f>
        <v>#VALUE!</v>
      </c>
      <c r="M219" s="164" t="str">
        <f t="shared" si="16"/>
        <v>01 septembre 2021</v>
      </c>
      <c r="N219" s="164" t="str">
        <f t="shared" si="17"/>
        <v>30 novembre 2021</v>
      </c>
      <c r="O219" s="284" t="str">
        <f t="shared" si="18"/>
        <v>30 novembre 2021</v>
      </c>
      <c r="P219" s="282" t="e">
        <f>IF(VLOOKUP(T_Convention[[#This Row],[NumL]],T_TraitDi[#Data],COLUMN(T_TraitDi[M1]),FALSE)="","",VLOOKUP(T_Convention[[#This Row],[NumL]],T_TraitDi[#Data],COLUMN(T_TraitDi[M1]),FALSE))</f>
        <v>#N/A</v>
      </c>
      <c r="Q219" s="282" t="e">
        <f>IF(VLOOKUP(T_Convention[[#This Row],[NumL]],T_TraitDi[#Data],COLUMN(T_TraitDi[M2]),FALSE)="","",VLOOKUP(T_Convention[[#This Row],[NumL]],T_TraitDi[#Data],COLUMN(T_TraitDi[M2]),FALSE))</f>
        <v>#N/A</v>
      </c>
      <c r="R219" s="282" t="e">
        <f>IF(VLOOKUP(T_Convention[[#This Row],[NumL]],T_TraitDi[#Data],COLUMN(T_TraitDi[M3]),FALSE)="","",VLOOKUP(T_Convention[[#This Row],[NumL]],T_TraitDi[#Data],COLUMN(T_TraitDi[M3]),FALSE))</f>
        <v>#N/A</v>
      </c>
      <c r="S219" s="282" t="e">
        <f>IF(VLOOKUP(T_Convention[[#This Row],[NumL]],T_TraitDi[#Data],COLUMN(T_TraitDi[M4]),FALSE)="","",VLOOKUP(T_Convention[[#This Row],[NumL]],T_TraitDi[#Data],COLUMN(T_TraitDi[M4]),FALSE))</f>
        <v>#N/A</v>
      </c>
      <c r="T219" s="282" t="e">
        <f>IF(VLOOKUP(T_Convention[[#This Row],[NumL]],T_TraitDi[#Data],COLUMN(T_TraitDi[M5]),FALSE)="","",VLOOKUP(T_Convention[[#This Row],[NumL]],T_TraitDi[#Data],COLUMN(T_TraitDi[M5]),FALSE))</f>
        <v>#N/A</v>
      </c>
      <c r="U219" s="282" t="e">
        <f>IF(VLOOKUP(T_Convention[[#This Row],[NumL]],T_TraitDi[#Data],COLUMN(T_TraitDi[M6]),FALSE)="","",VLOOKUP(T_Convention[[#This Row],[NumL]],T_TraitDi[#Data],COLUMN(T_TraitDi[M6]),FALSE))</f>
        <v>#N/A</v>
      </c>
      <c r="V219" s="176" t="e">
        <f t="shared" si="19"/>
        <v>#N/A</v>
      </c>
      <c r="W219" s="284" t="str">
        <f>IFERROR(TEXT(VLOOKUP(T_Convention[[#This Row],[NumL]],T_TraitDi[#Data],COLUMN(T_TraitDi[Q2]),FALSE),"###%"),"")</f>
        <v/>
      </c>
      <c r="X219" s="97" t="e">
        <f>VLOOKUP(T_Convention[[#This Row],[NumL]],T_TraitDi[#Data],COLUMN(T_TraitDi[Reg Ponct]),FALSE)</f>
        <v>#N/A</v>
      </c>
      <c r="Y219" s="97" t="e">
        <f>VLOOKUP(T_Convention[NumL],T_TraitDi[#Data],COLUMN(T_TraitDi[Jours flottants]),FALSE)</f>
        <v>#N/A</v>
      </c>
      <c r="Z219" s="284" t="str">
        <f>IFERROR(VLOOKUP(T_Convention[[#This Row],[NumL]],T_TraitDi[#Data],COLUMN(T_TraitDi[Lundi]),FALSE),"")</f>
        <v/>
      </c>
      <c r="AA219" s="284" t="e">
        <f>IF(VLOOKUP(T_Convention[[#This Row],[NumL]],T_TraitDi[#Data],COLUMN(T_TraitDi[Colonne3]),FALSE)=0,"",TEXT(IFERROR(VLOOKUP(T_Convention[[#This Row],[NumL]],T_TraitDi[#Data],COLUMN(T_TraitDi[Colonne3]),FALSE),""),"[hh]:mm"))</f>
        <v>#N/A</v>
      </c>
      <c r="AB219" s="284" t="e">
        <f>IF(VLOOKUP(T_Convention[[#This Row],[NumL]],T_TraitDi[#Data],COLUMN(T_TraitDi[Colonne4]),FALSE)=0,"",TEXT(IFERROR(VLOOKUP(T_Convention[[#This Row],[NumL]],T_TraitDi[#Data],COLUMN(T_TraitDi[Colonne4]),FALSE),""),"[hh]:mm"))</f>
        <v>#N/A</v>
      </c>
      <c r="AC219" s="284" t="e">
        <f>IF(VLOOKUP(T_Convention[[#This Row],[NumL]],T_TraitDi[#Data],COLUMN(T_TraitDi[Colonne5]),FALSE)=0,"",TEXT(IFERROR(VLOOKUP(T_Convention[[#This Row],[NumL]],T_TraitDi[#Data],COLUMN(T_TraitDi[Colonne5]),FALSE),""),"[hh]:mm"))</f>
        <v>#N/A</v>
      </c>
      <c r="AD219" s="284" t="e">
        <f>IF(VLOOKUP(T_Convention[[#This Row],[NumL]],T_TraitDi[#Data],COLUMN(T_TraitDi[Colonne6]),FALSE)=0,"",TEXT(IFERROR(VLOOKUP(T_Convention[[#This Row],[NumL]],T_TraitDi[#Data],COLUMN(T_TraitDi[Colonne6]),FALSE),""),"[hh]:mm"))</f>
        <v>#N/A</v>
      </c>
      <c r="AE219" s="284" t="e">
        <f>IF(VLOOKUP(T_Convention[[#This Row],[NumL]],T_TraitDi[#Data],COLUMN(T_TraitDi[Colonne7]),FALSE)=0,"",TEXT(IFERROR(VLOOKUP(T_Convention[[#This Row],[NumL]],T_TraitDi[#Data],COLUMN(T_TraitDi[Colonne7]),FALSE),""),"[hh]:mm"))</f>
        <v>#N/A</v>
      </c>
      <c r="AF219" s="284" t="e">
        <f>IF(VLOOKUP(T_Convention[[#This Row],[NumL]],T_TraitDi[#Data],COLUMN(T_TraitDi[Colonne8]),FALSE)=0,"",TEXT(IFERROR(VLOOKUP(T_Convention[[#This Row],[NumL]],T_TraitDi[#Data],COLUMN(T_TraitDi[Colonne8]),FALSE),""),"[hh]:mm"))</f>
        <v>#N/A</v>
      </c>
      <c r="AG219" s="284" t="str">
        <f>IFERROR(VLOOKUP(T_Convention[[#This Row],[NumL]],T_TraitDi[#Data],COLUMN(T_TraitDi[Mardi]),FALSE),"")</f>
        <v/>
      </c>
      <c r="AH219" s="284" t="e">
        <f>IF(VLOOKUP(T_Convention[[#This Row],[NumL]],T_TraitDi[#Data],COLUMN(T_TraitDi[Colonne1]),FALSE)=0,"",TEXT(IFERROR(VLOOKUP(T_Convention[[#This Row],[NumL]],T_TraitDi[#Data],COLUMN(T_TraitDi[Colonne1]),FALSE),""),"[hh]:mm"))</f>
        <v>#N/A</v>
      </c>
      <c r="AI219" s="284" t="e">
        <f>IF(VLOOKUP(T_Convention[[#This Row],[NumL]],T_TraitDi[#Data],COLUMN(T_TraitDi[Colonne9]),FALSE)=0,"",TEXT(IFERROR(VLOOKUP(T_Convention[[#This Row],[NumL]],T_TraitDi[#Data],COLUMN(T_TraitDi[Colonne9]),FALSE),""),"[hh]:mm"))</f>
        <v>#N/A</v>
      </c>
      <c r="AJ219" s="284" t="str">
        <f>IFERROR(VLOOKUP(T_Convention[[#This Row],[NumL]],T_TraitDi[#Data],COLUMN(T_TraitDi[Colonne10]),FALSE),"")</f>
        <v/>
      </c>
      <c r="AK219" s="284" t="e">
        <f>IF(VLOOKUP(T_Convention[[#This Row],[NumL]],T_TraitDi[#Data],COLUMN(T_TraitDi[Colonne11]),FALSE)=0,"",TEXT(IFERROR(VLOOKUP(T_Convention[[#This Row],[NumL]],T_TraitDi[#Data],COLUMN(T_TraitDi[Colonne11]),FALSE),""),"[hh]:mm"))</f>
        <v>#N/A</v>
      </c>
      <c r="AL219" s="284" t="e">
        <f>IF(VLOOKUP(T_Convention[[#This Row],[NumL]],T_TraitDi[#Data],COLUMN(T_TraitDi[Colonne12]),FALSE)=0,"",TEXT(IFERROR(VLOOKUP(T_Convention[[#This Row],[NumL]],T_TraitDi[#Data],COLUMN(T_TraitDi[Colonne12]),FALSE),""),"[hh]:mm"))</f>
        <v>#N/A</v>
      </c>
      <c r="AM219" s="284" t="e">
        <f>IF(VLOOKUP(T_Convention[[#This Row],[NumL]],T_TraitDi[#Data],COLUMN(T_TraitDi[Colonne14]),FALSE)=0,"",TEXT(IFERROR(VLOOKUP(T_Convention[[#This Row],[NumL]],T_TraitDi[#Data],COLUMN(T_TraitDi[Colonne14]),FALSE),""),"[hh]:mm"))</f>
        <v>#N/A</v>
      </c>
      <c r="AN219" s="284" t="str">
        <f>IFERROR(VLOOKUP(T_Convention[[#This Row],[NumL]],T_TraitDi[#Data],COLUMN(T_TraitDi[Mercredi]),FALSE),"")</f>
        <v/>
      </c>
      <c r="AO219" s="284" t="e">
        <f>IF(VLOOKUP(T_Convention[[#This Row],[NumL]],T_TraitDi[#Data],COLUMN(T_TraitDi[Colonne15]),FALSE)=0,"",TEXT(IFERROR(VLOOKUP(T_Convention[[#This Row],[NumL]],T_TraitDi[#Data],COLUMN(T_TraitDi[Colonne15]),FALSE),""),"[hh]:mm"))</f>
        <v>#N/A</v>
      </c>
      <c r="AP219" s="284" t="e">
        <f>IF(VLOOKUP(T_Convention[[#This Row],[NumL]],T_TraitDi[#Data],COLUMN(T_TraitDi[Colonne16]),FALSE)=0,"",TEXT(IFERROR(VLOOKUP(T_Convention[[#This Row],[NumL]],T_TraitDi[#Data],COLUMN(T_TraitDi[Colonne16]),FALSE),""),"[hh]:mm"))</f>
        <v>#N/A</v>
      </c>
      <c r="AQ219" s="284" t="str">
        <f>IFERROR(VLOOKUP(T_Convention[[#This Row],[NumL]],T_TraitDi[#Data],COLUMN(T_TraitDi[Colonne17]),FALSE),"")</f>
        <v/>
      </c>
      <c r="AR219" s="284" t="e">
        <f>IF(VLOOKUP(T_Convention[[#This Row],[NumL]],T_TraitDi[#Data],COLUMN(T_TraitDi[Colonne18]),FALSE)=0,"",TEXT(IFERROR(VLOOKUP(T_Convention[[#This Row],[NumL]],T_TraitDi[#Data],COLUMN(T_TraitDi[Colonne18]),FALSE),""),"[hh]:mm"))</f>
        <v>#N/A</v>
      </c>
      <c r="AS219" s="284" t="e">
        <f>IF(VLOOKUP(T_Convention[[#This Row],[NumL]],T_TraitDi[#Data],COLUMN(T_TraitDi[Colonne19]),FALSE)=0,"",TEXT(IFERROR(VLOOKUP(T_Convention[[#This Row],[NumL]],T_TraitDi[#Data],COLUMN(T_TraitDi[Colonne19]),FALSE),""),"[hh]:mm"))</f>
        <v>#N/A</v>
      </c>
      <c r="AT219" s="284" t="e">
        <f>IF(VLOOKUP(T_Convention[[#This Row],[NumL]],T_TraitDi[#Data],COLUMN(T_TraitDi[Colonne20]),FALSE)=0,"",TEXT(IFERROR(VLOOKUP(T_Convention[[#This Row],[NumL]],T_TraitDi[#Data],COLUMN(T_TraitDi[Colonne20]),FALSE),""),"[hh]:mm"))</f>
        <v>#N/A</v>
      </c>
      <c r="AU219" s="284" t="str">
        <f>IFERROR(VLOOKUP(T_Convention[[#This Row],[NumL]],T_TraitDi[#Data],COLUMN(T_TraitDi[Jeudi]),FALSE),"")</f>
        <v/>
      </c>
      <c r="AV219" s="284" t="e">
        <f>IF(VLOOKUP(T_Convention[[#This Row],[NumL]],T_TraitDi[#Data],COLUMN(T_TraitDi[Colonne21]),FALSE)=0,"",TEXT(IFERROR(VLOOKUP(T_Convention[[#This Row],[NumL]],T_TraitDi[#Data],COLUMN(T_TraitDi[Colonne21]),FALSE),""),"[hh]:mm"))</f>
        <v>#N/A</v>
      </c>
      <c r="AW219" s="284" t="e">
        <f>IF(VLOOKUP(T_Convention[[#This Row],[NumL]],T_TraitDi[#Data],COLUMN(T_TraitDi[Colonne22]),FALSE)=0,"",TEXT(IFERROR(VLOOKUP(T_Convention[[#This Row],[NumL]],T_TraitDi[#Data],COLUMN(T_TraitDi[Colonne22]),FALSE),""),"[hh]:mm"))</f>
        <v>#N/A</v>
      </c>
      <c r="AX219" s="284" t="str">
        <f>IFERROR(VLOOKUP(T_Convention[[#This Row],[NumL]],T_TraitDi[#Data],COLUMN(T_TraitDi[Colonne23]),FALSE),"")</f>
        <v/>
      </c>
      <c r="AY219" s="284" t="e">
        <f>IF(VLOOKUP(T_Convention[[#This Row],[NumL]],T_TraitDi[#Data],COLUMN(T_TraitDi[Colonne24]),FALSE)=0,"",TEXT(IFERROR(VLOOKUP(T_Convention[[#This Row],[NumL]],T_TraitDi[#Data],COLUMN(T_TraitDi[Colonne24]),FALSE),""),"[hh]:mm"))</f>
        <v>#N/A</v>
      </c>
      <c r="AZ219" s="284" t="e">
        <f>IF(VLOOKUP(T_Convention[[#This Row],[NumL]],T_TraitDi[#Data],COLUMN(T_TraitDi[Colonne25]),FALSE)=0,"",TEXT(IFERROR(VLOOKUP(T_Convention[[#This Row],[NumL]],T_TraitDi[#Data],COLUMN(T_TraitDi[Colonne25]),FALSE),""),"[hh]:mm"))</f>
        <v>#N/A</v>
      </c>
      <c r="BA219" s="284" t="e">
        <f>IF(VLOOKUP(T_Convention[[#This Row],[NumL]],T_TraitDi[#Data],COLUMN(T_TraitDi[Colonne26]),FALSE)=0,"",TEXT(IFERROR(VLOOKUP(T_Convention[[#This Row],[NumL]],T_TraitDi[#Data],COLUMN(T_TraitDi[Colonne26]),FALSE),""),"[hh]:mm"))</f>
        <v>#N/A</v>
      </c>
      <c r="BB219" s="284" t="str">
        <f>IFERROR(VLOOKUP(T_Convention[[#This Row],[NumL]],T_TraitDi[#Data],COLUMN(T_TraitDi[Vendredi]),FALSE),"")</f>
        <v/>
      </c>
      <c r="BC219" s="284" t="e">
        <f>IF(VLOOKUP(T_Convention[[#This Row],[NumL]],T_TraitDi[#Data],COLUMN(T_TraitDi[Colonne27]),FALSE)=0,"",TEXT(IFERROR(VLOOKUP(T_Convention[[#This Row],[NumL]],T_TraitDi[#Data],COLUMN(T_TraitDi[Colonne27]),FALSE),""),"[hh]:mm"))</f>
        <v>#N/A</v>
      </c>
      <c r="BD219" s="284" t="e">
        <f>IF(VLOOKUP(T_Convention[[#This Row],[NumL]],T_TraitDi[#Data],COLUMN(T_TraitDi[Colonne28]),FALSE)=0,"",TEXT(IFERROR(VLOOKUP(T_Convention[[#This Row],[NumL]],T_TraitDi[#Data],COLUMN(T_TraitDi[Colonne28]),FALSE),""),"[hh]:mm"))</f>
        <v>#N/A</v>
      </c>
      <c r="BE219" s="284" t="str">
        <f>IFERROR(VLOOKUP(T_Convention[[#This Row],[NumL]],T_TraitDi[#Data],COLUMN(T_TraitDi[Colonne29]),FALSE),"")</f>
        <v/>
      </c>
      <c r="BF219" s="284" t="e">
        <f>IF(VLOOKUP(T_Convention[[#This Row],[NumL]],T_TraitDi[#Data],COLUMN(T_TraitDi[Colonne30]),FALSE)=0,"",TEXT(IFERROR(VLOOKUP(T_Convention[[#This Row],[NumL]],T_TraitDi[#Data],COLUMN(T_TraitDi[Colonne30]),FALSE),""),"[hh]:mm"))</f>
        <v>#N/A</v>
      </c>
      <c r="BG219" s="284" t="e">
        <f>IF(VLOOKUP(T_Convention[[#This Row],[NumL]],T_TraitDi[#Data],COLUMN(T_TraitDi[Colonne31]),FALSE)=0,"",TEXT(IFERROR(VLOOKUP(T_Convention[[#This Row],[NumL]],T_TraitDi[#Data],COLUMN(T_TraitDi[Colonne31]),FALSE),""),"[hh]:mm"))</f>
        <v>#N/A</v>
      </c>
      <c r="BH219" s="284" t="e">
        <f>IF(VLOOKUP(T_Convention[[#This Row],[NumL]],T_TraitDi[#Data],COLUMN(T_TraitDi[Colonne32]),FALSE)=0,"",TEXT(IFERROR(VLOOKUP(T_Convention[[#This Row],[NumL]],T_TraitDi[#Data],COLUMN(T_TraitDi[Colonne32]),FALSE),""),"[hh]:mm"))</f>
        <v>#N/A</v>
      </c>
      <c r="BI219" s="284" t="str">
        <f>IFERROR(VLOOKUP(T_Convention[[#This Row],[NumL]],T_TraitDi[#Data],COLUMN(T_TraitDi[NbJTW]),FALSE),"")</f>
        <v/>
      </c>
      <c r="BJ219" s="284" t="e">
        <f>IF(VLOOKUP(T_Convention[[#This Row],[NumL]],T_TraitDi[#Data],COLUMN(T_TraitDi[NbhTW]),FALSE)=0,"",TEXT(IFERROR(VLOOKUP(T_Convention[[#This Row],[NumL]],T_TraitDi[#Data],COLUMN(T_TraitDi[NbhTW]),FALSE),""),"[hh]:mm"))</f>
        <v>#N/A</v>
      </c>
      <c r="BK219" s="286" t="e">
        <f>IF(VLOOKUP(T_Convention[[#This Row],[NumL]],T_TraitDi[#Data],COLUMN(T_TraitDi[Nbhheb]),FALSE)=0,"",TEXT(IFERROR(VLOOKUP(T_Convention[[#This Row],[NumL]],T_TraitDi[#Data],COLUMN(T_TraitDi[Nbhheb]),FALSE),""),"[hh]:mm"))</f>
        <v>#N/A</v>
      </c>
      <c r="BL219" s="287" t="str">
        <f>IFERROR(VLOOKUP(VLOOKUP(T_Convention[[#This Row],[NumL]],T_TraitDi[#Data],COLUMN(T_TraitDi[Type1]),FALSE),TypeTW,2,FALSE),"")</f>
        <v/>
      </c>
      <c r="BM219" s="288" t="str">
        <f>IFERROR(VLOOKUP(T_Convention[[#This Row],[NumL]],T_TraitDi[#Data],COLUMN(T_TraitDi[Rue1]),FALSE),"")</f>
        <v/>
      </c>
      <c r="BN219" s="289" t="str">
        <f>IFERROR(VLOOKUP(T_Convention[[#This Row],[NumL]],T_TraitDi[#Data],COLUMN(T_TraitDi[CP1]),FALSE),"")</f>
        <v/>
      </c>
      <c r="BO219" s="282" t="str">
        <f>IFERROR(VLOOKUP(T_Convention[[#This Row],[NumL]],T_TraitDi[#Data],COLUMN(T_TraitDi[VILLE1]),FALSE),"")</f>
        <v/>
      </c>
      <c r="BP219" s="290" t="str">
        <f>IFERROR(VLOOKUP(VLOOKUP(T_Convention[[#This Row],[NumL]],T_TraitDi[#Data],COLUMN(T_TraitDi[Type2]),FALSE),TypeTW,2,FALSE),"")</f>
        <v/>
      </c>
      <c r="BQ219" s="182" t="str">
        <f>IFERROR(VLOOKUP(T_Convention[[#This Row],[NumL]],T_TraitDi[#Data],COLUMN(T_TraitDi[Rue2]),FALSE),"")</f>
        <v/>
      </c>
      <c r="BR219" s="173" t="str">
        <f>IFERROR(VLOOKUP(T_Convention[[#This Row],[NumL]],T_TraitDi[#Data],COLUMN(T_TraitDi[CP2]),FALSE),"")</f>
        <v/>
      </c>
      <c r="BS219" s="173" t="str">
        <f>IFERROR(VLOOKUP(T_Convention[[#This Row],[NumL]],T_TraitDi[#Data],COLUMN(T_TraitDi[VILLE2]),FALSE),"")</f>
        <v/>
      </c>
      <c r="BT219" s="182" t="str">
        <f>IF(VLOOKUP(T_Convention[[#This Row],[NumL]],T_Equipement[#Data],COLUMN(T_Equipement[PC]),FALSE)="","Aucun équipement spécifique directement lié au télétravail",VLOOKUP(T_Convention[[#This Row],[NumL]],T_Equipement[#Data],COLUMN(T_Equipement[PC]),FALSE))</f>
        <v xml:space="preserve">18-198	</v>
      </c>
      <c r="BU219" s="166" t="str">
        <f>IFERROR(IF(VLOOKUP(T_Convention[[#This Row],[NumL]],T_TraitDi[#Data],COLUMN(T_TraitDi[Plan]),FALSE)="OK","Un planning spécifique de télétravail est annexé à la présente convention.",""),"")</f>
        <v/>
      </c>
      <c r="BV219" s="185"/>
      <c r="BW219" s="164" t="e">
        <f>IF(VLOOKUP(T_Convention[[#This Row],[NumL]],T_suiviDi[#Data],COLUMN(T_suiviDi[Entité]),FALSE)="","",VLOOKUP(T_Convention[[#This Row],[NumL]],T_suiviDi[#Data],COLUMN(T_suiviDi[Entité]),FALSE))</f>
        <v>#N/A</v>
      </c>
      <c r="BX219" s="164" t="str">
        <f>IF(VLOOKUP(T_Convention[[#This Row],[NumL]],T_Commission[#Data],COLUMN(T_Commission[envoi confirm TW]),FALSE)="","",VLOOKUP(T_Convention[[#This Row],[NumL]],T_Commission[#Data],COLUMN(T_Commission[envoi confirm TW]),FALSE))</f>
        <v>Oui</v>
      </c>
      <c r="BY21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19" s="264">
        <f>VLOOKUP(T_Convention[[#This Row],[NumL]],T_Commission[#Data],COLUMN(T_Commission[Commentaire]),FALSE)</f>
        <v>0</v>
      </c>
      <c r="CA219" s="254" t="str">
        <f>IF(VLOOKUP(T_Convention[[#This Row],[NumL]],T_Commission[#Data],COLUMN(T_Commission[Encadrant Email]),FALSE)="","",VLOOKUP(T_Convention[[#This Row],[NumL]],T_Commission[#Data],COLUMN(T_Commission[Encadrant Email]),FALSE))</f>
        <v/>
      </c>
      <c r="CB219" s="352" t="e">
        <f>VLOOKUP(T_Convention[[#This Row],[NumL]],T_TraitDi[#Data],COLUMN(T_TraitDi[NbJTot]),FALSE)</f>
        <v>#N/A</v>
      </c>
      <c r="CC219" s="352" t="e">
        <f>VLOOKUP(T_Convention[[#This Row],[NumL]],T_TraitDi[#Data],COLUMN(T_TraitDi[Reg Ponct]),FALSE)</f>
        <v>#N/A</v>
      </c>
      <c r="CD219" s="348" t="str">
        <f>IF(T_Convention[[#This Row],[Final]]&lt;&gt;"",VLOOKUP(T_Convention[[#This Row],[NumL]],T_suiviDi[#Data],COLUMN((T_suiviDi[Statut])),FALSE),"")</f>
        <v/>
      </c>
    </row>
    <row r="220" spans="1:82" s="106" customFormat="1" ht="18.75" customHeight="1" x14ac:dyDescent="0.25">
      <c r="A220" s="160">
        <v>155</v>
      </c>
      <c r="B220" s="161" t="str">
        <f>VLOOKUP(T_Convention[[#This Row],[NumL]],T_Commission[#Data],COLUMN(T_Commission[FINAL]),FALSE)</f>
        <v/>
      </c>
      <c r="C220" s="162"/>
      <c r="D220" s="95" t="e">
        <f>IF(VLOOKUP(T_Convention[[#This Row],[NumL]],T_TraitDi[#Data],COLUMN(T_TraitDi[WebC]),FALSE)="","",VLOOKUP(T_Convention[[#This Row],[NumL]],T_TraitDi[#Data],COLUMN(T_TraitDi[WebC]),FALSE))</f>
        <v>#N/A</v>
      </c>
      <c r="E220" s="163" t="str">
        <f t="shared" si="15"/>
        <v>12 janvier 2021</v>
      </c>
      <c r="F220" s="282" t="str">
        <f>IF(T_Convention[[#This Row],[Final]]&lt;&gt;"",VLOOKUP(T_Convention[[#This Row],[NumL]],T_suiviDi[#Data],COLUMN((T_suiviDi[Civ.])),FALSE),"")</f>
        <v/>
      </c>
      <c r="G220" s="283" t="str">
        <f>IF(T_Convention[[#This Row],[Final]]&lt;&gt;"",VLOOKUP(T_Convention[[#This Row],[NumL]],T_suiviDi[#Data],COLUMN((T_suiviDi[Nom])),FALSE),"")</f>
        <v/>
      </c>
      <c r="H220" s="282" t="str">
        <f>IF(T_Convention[[#This Row],[Final]]&lt;&gt;"",VLOOKUP(T_Convention[[#This Row],[NumL]],T_suiviDi[#Data],COLUMN((T_suiviDi[Prénom])),FALSE),"")</f>
        <v/>
      </c>
      <c r="I220" s="282" t="e">
        <f>VLOOKUP(T_Convention[[#This Row],[NumL]],T_suiviDi[#Data],COLUMN((T_suiviDi[[#This Row],[Email]])),FALSE)</f>
        <v>#VALUE!</v>
      </c>
      <c r="J220" s="282" t="e">
        <f>IF(VLOOKUP(T_Convention[[#This Row],[NumL]],T_suiviDi[#Data],COLUMN(T_suiviDi[[#This Row],[Fonction]]),FALSE)="","",VLOOKUP(T_Convention[[#This Row],[NumL]],T_suiviDi[#Data],COLUMN(T_suiviDi[[#This Row],[Fonction]]),FALSE))</f>
        <v>#VALUE!</v>
      </c>
      <c r="K220" s="282" t="e">
        <f>IF(VLOOKUP(T_Convention[[#This Row],[NumL]],T_suiviDi[#Data],COLUMN(T_suiviDi[[#This Row],[Grade]]),FALSE)="","",VLOOKUP(T_Convention[[#This Row],[NumL]],T_suiviDi[#Data],COLUMN(T_suiviDi[[#This Row],[Grade]]),FALSE))</f>
        <v>#VALUE!</v>
      </c>
      <c r="L220" s="282" t="e">
        <f>IF(VLOOKUP(T_Convention[[#This Row],[NumL]],T_suiviDi[#Data],COLUMN(T_suiviDi[[#This Row],[Service ]]),FALSE)="","",VLOOKUP(T_Convention[[#This Row],[NumL]],T_suiviDi[#Data],COLUMN(T_suiviDi[[#This Row],[Service ]]),FALSE))</f>
        <v>#VALUE!</v>
      </c>
      <c r="M220" s="164" t="str">
        <f t="shared" si="16"/>
        <v>01 septembre 2021</v>
      </c>
      <c r="N220" s="164" t="str">
        <f t="shared" si="17"/>
        <v>30 novembre 2021</v>
      </c>
      <c r="O220" s="284" t="str">
        <f t="shared" si="18"/>
        <v>30 novembre 2021</v>
      </c>
      <c r="P220" s="282" t="e">
        <f>IF(VLOOKUP(T_Convention[[#This Row],[NumL]],T_TraitDi[#Data],COLUMN(T_TraitDi[M1]),FALSE)="","",VLOOKUP(T_Convention[[#This Row],[NumL]],T_TraitDi[#Data],COLUMN(T_TraitDi[M1]),FALSE))</f>
        <v>#N/A</v>
      </c>
      <c r="Q220" s="282" t="e">
        <f>IF(VLOOKUP(T_Convention[[#This Row],[NumL]],T_TraitDi[#Data],COLUMN(T_TraitDi[M2]),FALSE)="","",VLOOKUP(T_Convention[[#This Row],[NumL]],T_TraitDi[#Data],COLUMN(T_TraitDi[M2]),FALSE))</f>
        <v>#N/A</v>
      </c>
      <c r="R220" s="282" t="e">
        <f>IF(VLOOKUP(T_Convention[[#This Row],[NumL]],T_TraitDi[#Data],COLUMN(T_TraitDi[M3]),FALSE)="","",VLOOKUP(T_Convention[[#This Row],[NumL]],T_TraitDi[#Data],COLUMN(T_TraitDi[M3]),FALSE))</f>
        <v>#N/A</v>
      </c>
      <c r="S220" s="282" t="e">
        <f>IF(VLOOKUP(T_Convention[[#This Row],[NumL]],T_TraitDi[#Data],COLUMN(T_TraitDi[M4]),FALSE)="","",VLOOKUP(T_Convention[[#This Row],[NumL]],T_TraitDi[#Data],COLUMN(T_TraitDi[M4]),FALSE))</f>
        <v>#N/A</v>
      </c>
      <c r="T220" s="282" t="e">
        <f>IF(VLOOKUP(T_Convention[[#This Row],[NumL]],T_TraitDi[#Data],COLUMN(T_TraitDi[M5]),FALSE)="","",VLOOKUP(T_Convention[[#This Row],[NumL]],T_TraitDi[#Data],COLUMN(T_TraitDi[M5]),FALSE))</f>
        <v>#N/A</v>
      </c>
      <c r="U220" s="282" t="e">
        <f>IF(VLOOKUP(T_Convention[[#This Row],[NumL]],T_TraitDi[#Data],COLUMN(T_TraitDi[M6]),FALSE)="","",VLOOKUP(T_Convention[[#This Row],[NumL]],T_TraitDi[#Data],COLUMN(T_TraitDi[M6]),FALSE))</f>
        <v>#N/A</v>
      </c>
      <c r="V220" s="176" t="e">
        <f t="shared" si="19"/>
        <v>#N/A</v>
      </c>
      <c r="W220" s="284" t="str">
        <f>IFERROR(TEXT(VLOOKUP(T_Convention[[#This Row],[NumL]],T_TraitDi[#Data],COLUMN(T_TraitDi[Q2]),FALSE),"###%"),"")</f>
        <v/>
      </c>
      <c r="X220" s="97" t="e">
        <f>VLOOKUP(T_Convention[[#This Row],[NumL]],T_TraitDi[#Data],COLUMN(T_TraitDi[Reg Ponct]),FALSE)</f>
        <v>#N/A</v>
      </c>
      <c r="Y220" s="97" t="e">
        <f>VLOOKUP(T_Convention[NumL],T_TraitDi[#Data],COLUMN(T_TraitDi[Jours flottants]),FALSE)</f>
        <v>#N/A</v>
      </c>
      <c r="Z220" s="284" t="str">
        <f>IFERROR(VLOOKUP(T_Convention[[#This Row],[NumL]],T_TraitDi[#Data],COLUMN(T_TraitDi[Lundi]),FALSE),"")</f>
        <v/>
      </c>
      <c r="AA220" s="284" t="e">
        <f>IF(VLOOKUP(T_Convention[[#This Row],[NumL]],T_TraitDi[#Data],COLUMN(T_TraitDi[Colonne3]),FALSE)=0,"",TEXT(IFERROR(VLOOKUP(T_Convention[[#This Row],[NumL]],T_TraitDi[#Data],COLUMN(T_TraitDi[Colonne3]),FALSE),""),"[hh]:mm"))</f>
        <v>#N/A</v>
      </c>
      <c r="AB220" s="284" t="e">
        <f>IF(VLOOKUP(T_Convention[[#This Row],[NumL]],T_TraitDi[#Data],COLUMN(T_TraitDi[Colonne4]),FALSE)=0,"",TEXT(IFERROR(VLOOKUP(T_Convention[[#This Row],[NumL]],T_TraitDi[#Data],COLUMN(T_TraitDi[Colonne4]),FALSE),""),"[hh]:mm"))</f>
        <v>#N/A</v>
      </c>
      <c r="AC220" s="284" t="e">
        <f>IF(VLOOKUP(T_Convention[[#This Row],[NumL]],T_TraitDi[#Data],COLUMN(T_TraitDi[Colonne5]),FALSE)=0,"",TEXT(IFERROR(VLOOKUP(T_Convention[[#This Row],[NumL]],T_TraitDi[#Data],COLUMN(T_TraitDi[Colonne5]),FALSE),""),"[hh]:mm"))</f>
        <v>#N/A</v>
      </c>
      <c r="AD220" s="284" t="e">
        <f>IF(VLOOKUP(T_Convention[[#This Row],[NumL]],T_TraitDi[#Data],COLUMN(T_TraitDi[Colonne6]),FALSE)=0,"",TEXT(IFERROR(VLOOKUP(T_Convention[[#This Row],[NumL]],T_TraitDi[#Data],COLUMN(T_TraitDi[Colonne6]),FALSE),""),"[hh]:mm"))</f>
        <v>#N/A</v>
      </c>
      <c r="AE220" s="284" t="e">
        <f>IF(VLOOKUP(T_Convention[[#This Row],[NumL]],T_TraitDi[#Data],COLUMN(T_TraitDi[Colonne7]),FALSE)=0,"",TEXT(IFERROR(VLOOKUP(T_Convention[[#This Row],[NumL]],T_TraitDi[#Data],COLUMN(T_TraitDi[Colonne7]),FALSE),""),"[hh]:mm"))</f>
        <v>#N/A</v>
      </c>
      <c r="AF220" s="284" t="e">
        <f>IF(VLOOKUP(T_Convention[[#This Row],[NumL]],T_TraitDi[#Data],COLUMN(T_TraitDi[Colonne8]),FALSE)=0,"",TEXT(IFERROR(VLOOKUP(T_Convention[[#This Row],[NumL]],T_TraitDi[#Data],COLUMN(T_TraitDi[Colonne8]),FALSE),""),"[hh]:mm"))</f>
        <v>#N/A</v>
      </c>
      <c r="AG220" s="284" t="str">
        <f>IFERROR(VLOOKUP(T_Convention[[#This Row],[NumL]],T_TraitDi[#Data],COLUMN(T_TraitDi[Mardi]),FALSE),"")</f>
        <v/>
      </c>
      <c r="AH220" s="284" t="e">
        <f>IF(VLOOKUP(T_Convention[[#This Row],[NumL]],T_TraitDi[#Data],COLUMN(T_TraitDi[Colonne1]),FALSE)=0,"",TEXT(IFERROR(VLOOKUP(T_Convention[[#This Row],[NumL]],T_TraitDi[#Data],COLUMN(T_TraitDi[Colonne1]),FALSE),""),"[hh]:mm"))</f>
        <v>#N/A</v>
      </c>
      <c r="AI220" s="284" t="e">
        <f>IF(VLOOKUP(T_Convention[[#This Row],[NumL]],T_TraitDi[#Data],COLUMN(T_TraitDi[Colonne9]),FALSE)=0,"",TEXT(IFERROR(VLOOKUP(T_Convention[[#This Row],[NumL]],T_TraitDi[#Data],COLUMN(T_TraitDi[Colonne9]),FALSE),""),"[hh]:mm"))</f>
        <v>#N/A</v>
      </c>
      <c r="AJ220" s="284" t="str">
        <f>IFERROR(VLOOKUP(T_Convention[[#This Row],[NumL]],T_TraitDi[#Data],COLUMN(T_TraitDi[Colonne10]),FALSE),"")</f>
        <v/>
      </c>
      <c r="AK220" s="284" t="e">
        <f>IF(VLOOKUP(T_Convention[[#This Row],[NumL]],T_TraitDi[#Data],COLUMN(T_TraitDi[Colonne11]),FALSE)=0,"",TEXT(IFERROR(VLOOKUP(T_Convention[[#This Row],[NumL]],T_TraitDi[#Data],COLUMN(T_TraitDi[Colonne11]),FALSE),""),"[hh]:mm"))</f>
        <v>#N/A</v>
      </c>
      <c r="AL220" s="284" t="e">
        <f>IF(VLOOKUP(T_Convention[[#This Row],[NumL]],T_TraitDi[#Data],COLUMN(T_TraitDi[Colonne12]),FALSE)=0,"",TEXT(IFERROR(VLOOKUP(T_Convention[[#This Row],[NumL]],T_TraitDi[#Data],COLUMN(T_TraitDi[Colonne12]),FALSE),""),"[hh]:mm"))</f>
        <v>#N/A</v>
      </c>
      <c r="AM220" s="284" t="e">
        <f>IF(VLOOKUP(T_Convention[[#This Row],[NumL]],T_TraitDi[#Data],COLUMN(T_TraitDi[Colonne14]),FALSE)=0,"",TEXT(IFERROR(VLOOKUP(T_Convention[[#This Row],[NumL]],T_TraitDi[#Data],COLUMN(T_TraitDi[Colonne14]),FALSE),""),"[hh]:mm"))</f>
        <v>#N/A</v>
      </c>
      <c r="AN220" s="284" t="str">
        <f>IFERROR(VLOOKUP(T_Convention[[#This Row],[NumL]],T_TraitDi[#Data],COLUMN(T_TraitDi[Mercredi]),FALSE),"")</f>
        <v/>
      </c>
      <c r="AO220" s="284" t="e">
        <f>IF(VLOOKUP(T_Convention[[#This Row],[NumL]],T_TraitDi[#Data],COLUMN(T_TraitDi[Colonne15]),FALSE)=0,"",TEXT(IFERROR(VLOOKUP(T_Convention[[#This Row],[NumL]],T_TraitDi[#Data],COLUMN(T_TraitDi[Colonne15]),FALSE),""),"[hh]:mm"))</f>
        <v>#N/A</v>
      </c>
      <c r="AP220" s="284" t="e">
        <f>IF(VLOOKUP(T_Convention[[#This Row],[NumL]],T_TraitDi[#Data],COLUMN(T_TraitDi[Colonne16]),FALSE)=0,"",TEXT(IFERROR(VLOOKUP(T_Convention[[#This Row],[NumL]],T_TraitDi[#Data],COLUMN(T_TraitDi[Colonne16]),FALSE),""),"[hh]:mm"))</f>
        <v>#N/A</v>
      </c>
      <c r="AQ220" s="284" t="str">
        <f>IFERROR(VLOOKUP(T_Convention[[#This Row],[NumL]],T_TraitDi[#Data],COLUMN(T_TraitDi[Colonne17]),FALSE),"")</f>
        <v/>
      </c>
      <c r="AR220" s="284" t="e">
        <f>IF(VLOOKUP(T_Convention[[#This Row],[NumL]],T_TraitDi[#Data],COLUMN(T_TraitDi[Colonne18]),FALSE)=0,"",TEXT(IFERROR(VLOOKUP(T_Convention[[#This Row],[NumL]],T_TraitDi[#Data],COLUMN(T_TraitDi[Colonne18]),FALSE),""),"[hh]:mm"))</f>
        <v>#N/A</v>
      </c>
      <c r="AS220" s="284" t="e">
        <f>IF(VLOOKUP(T_Convention[[#This Row],[NumL]],T_TraitDi[#Data],COLUMN(T_TraitDi[Colonne19]),FALSE)=0,"",TEXT(IFERROR(VLOOKUP(T_Convention[[#This Row],[NumL]],T_TraitDi[#Data],COLUMN(T_TraitDi[Colonne19]),FALSE),""),"[hh]:mm"))</f>
        <v>#N/A</v>
      </c>
      <c r="AT220" s="284" t="e">
        <f>IF(VLOOKUP(T_Convention[[#This Row],[NumL]],T_TraitDi[#Data],COLUMN(T_TraitDi[Colonne20]),FALSE)=0,"",TEXT(IFERROR(VLOOKUP(T_Convention[[#This Row],[NumL]],T_TraitDi[#Data],COLUMN(T_TraitDi[Colonne20]),FALSE),""),"[hh]:mm"))</f>
        <v>#N/A</v>
      </c>
      <c r="AU220" s="284" t="str">
        <f>IFERROR(VLOOKUP(T_Convention[[#This Row],[NumL]],T_TraitDi[#Data],COLUMN(T_TraitDi[Jeudi]),FALSE),"")</f>
        <v/>
      </c>
      <c r="AV220" s="284" t="e">
        <f>IF(VLOOKUP(T_Convention[[#This Row],[NumL]],T_TraitDi[#Data],COLUMN(T_TraitDi[Colonne21]),FALSE)=0,"",TEXT(IFERROR(VLOOKUP(T_Convention[[#This Row],[NumL]],T_TraitDi[#Data],COLUMN(T_TraitDi[Colonne21]),FALSE),""),"[hh]:mm"))</f>
        <v>#N/A</v>
      </c>
      <c r="AW220" s="284" t="e">
        <f>IF(VLOOKUP(T_Convention[[#This Row],[NumL]],T_TraitDi[#Data],COLUMN(T_TraitDi[Colonne22]),FALSE)=0,"",TEXT(IFERROR(VLOOKUP(T_Convention[[#This Row],[NumL]],T_TraitDi[#Data],COLUMN(T_TraitDi[Colonne22]),FALSE),""),"[hh]:mm"))</f>
        <v>#N/A</v>
      </c>
      <c r="AX220" s="284" t="str">
        <f>IFERROR(VLOOKUP(T_Convention[[#This Row],[NumL]],T_TraitDi[#Data],COLUMN(T_TraitDi[Colonne23]),FALSE),"")</f>
        <v/>
      </c>
      <c r="AY220" s="284" t="e">
        <f>IF(VLOOKUP(T_Convention[[#This Row],[NumL]],T_TraitDi[#Data],COLUMN(T_TraitDi[Colonne24]),FALSE)=0,"",TEXT(IFERROR(VLOOKUP(T_Convention[[#This Row],[NumL]],T_TraitDi[#Data],COLUMN(T_TraitDi[Colonne24]),FALSE),""),"[hh]:mm"))</f>
        <v>#N/A</v>
      </c>
      <c r="AZ220" s="284" t="e">
        <f>IF(VLOOKUP(T_Convention[[#This Row],[NumL]],T_TraitDi[#Data],COLUMN(T_TraitDi[Colonne25]),FALSE)=0,"",TEXT(IFERROR(VLOOKUP(T_Convention[[#This Row],[NumL]],T_TraitDi[#Data],COLUMN(T_TraitDi[Colonne25]),FALSE),""),"[hh]:mm"))</f>
        <v>#N/A</v>
      </c>
      <c r="BA220" s="284" t="e">
        <f>IF(VLOOKUP(T_Convention[[#This Row],[NumL]],T_TraitDi[#Data],COLUMN(T_TraitDi[Colonne26]),FALSE)=0,"",TEXT(IFERROR(VLOOKUP(T_Convention[[#This Row],[NumL]],T_TraitDi[#Data],COLUMN(T_TraitDi[Colonne26]),FALSE),""),"[hh]:mm"))</f>
        <v>#N/A</v>
      </c>
      <c r="BB220" s="284" t="str">
        <f>IFERROR(VLOOKUP(T_Convention[[#This Row],[NumL]],T_TraitDi[#Data],COLUMN(T_TraitDi[Vendredi]),FALSE),"")</f>
        <v/>
      </c>
      <c r="BC220" s="284" t="e">
        <f>IF(VLOOKUP(T_Convention[[#This Row],[NumL]],T_TraitDi[#Data],COLUMN(T_TraitDi[Colonne27]),FALSE)=0,"",TEXT(IFERROR(VLOOKUP(T_Convention[[#This Row],[NumL]],T_TraitDi[#Data],COLUMN(T_TraitDi[Colonne27]),FALSE),""),"[hh]:mm"))</f>
        <v>#N/A</v>
      </c>
      <c r="BD220" s="284" t="e">
        <f>IF(VLOOKUP(T_Convention[[#This Row],[NumL]],T_TraitDi[#Data],COLUMN(T_TraitDi[Colonne28]),FALSE)=0,"",TEXT(IFERROR(VLOOKUP(T_Convention[[#This Row],[NumL]],T_TraitDi[#Data],COLUMN(T_TraitDi[Colonne28]),FALSE),""),"[hh]:mm"))</f>
        <v>#N/A</v>
      </c>
      <c r="BE220" s="284" t="str">
        <f>IFERROR(VLOOKUP(T_Convention[[#This Row],[NumL]],T_TraitDi[#Data],COLUMN(T_TraitDi[Colonne29]),FALSE),"")</f>
        <v/>
      </c>
      <c r="BF220" s="284" t="e">
        <f>IF(VLOOKUP(T_Convention[[#This Row],[NumL]],T_TraitDi[#Data],COLUMN(T_TraitDi[Colonne30]),FALSE)=0,"",TEXT(IFERROR(VLOOKUP(T_Convention[[#This Row],[NumL]],T_TraitDi[#Data],COLUMN(T_TraitDi[Colonne30]),FALSE),""),"[hh]:mm"))</f>
        <v>#N/A</v>
      </c>
      <c r="BG220" s="284" t="e">
        <f>IF(VLOOKUP(T_Convention[[#This Row],[NumL]],T_TraitDi[#Data],COLUMN(T_TraitDi[Colonne31]),FALSE)=0,"",TEXT(IFERROR(VLOOKUP(T_Convention[[#This Row],[NumL]],T_TraitDi[#Data],COLUMN(T_TraitDi[Colonne31]),FALSE),""),"[hh]:mm"))</f>
        <v>#N/A</v>
      </c>
      <c r="BH220" s="284" t="e">
        <f>IF(VLOOKUP(T_Convention[[#This Row],[NumL]],T_TraitDi[#Data],COLUMN(T_TraitDi[Colonne32]),FALSE)=0,"",TEXT(IFERROR(VLOOKUP(T_Convention[[#This Row],[NumL]],T_TraitDi[#Data],COLUMN(T_TraitDi[Colonne32]),FALSE),""),"[hh]:mm"))</f>
        <v>#N/A</v>
      </c>
      <c r="BI220" s="284" t="str">
        <f>IFERROR(VLOOKUP(T_Convention[[#This Row],[NumL]],T_TraitDi[#Data],COLUMN(T_TraitDi[NbJTW]),FALSE),"")</f>
        <v/>
      </c>
      <c r="BJ220" s="284" t="e">
        <f>IF(VLOOKUP(T_Convention[[#This Row],[NumL]],T_TraitDi[#Data],COLUMN(T_TraitDi[NbhTW]),FALSE)=0,"",TEXT(IFERROR(VLOOKUP(T_Convention[[#This Row],[NumL]],T_TraitDi[#Data],COLUMN(T_TraitDi[NbhTW]),FALSE),""),"[hh]:mm"))</f>
        <v>#N/A</v>
      </c>
      <c r="BK220" s="286" t="e">
        <f>IF(VLOOKUP(T_Convention[[#This Row],[NumL]],T_TraitDi[#Data],COLUMN(T_TraitDi[Nbhheb]),FALSE)=0,"",TEXT(IFERROR(VLOOKUP(T_Convention[[#This Row],[NumL]],T_TraitDi[#Data],COLUMN(T_TraitDi[Nbhheb]),FALSE),""),"[hh]:mm"))</f>
        <v>#N/A</v>
      </c>
      <c r="BL220" s="287" t="str">
        <f>IFERROR(VLOOKUP(VLOOKUP(T_Convention[[#This Row],[NumL]],T_TraitDi[#Data],COLUMN(T_TraitDi[Type1]),FALSE),TypeTW,2,FALSE),"")</f>
        <v/>
      </c>
      <c r="BM220" s="288" t="str">
        <f>IFERROR(VLOOKUP(T_Convention[[#This Row],[NumL]],T_TraitDi[#Data],COLUMN(T_TraitDi[Rue1]),FALSE),"")</f>
        <v/>
      </c>
      <c r="BN220" s="289" t="str">
        <f>IFERROR(VLOOKUP(T_Convention[[#This Row],[NumL]],T_TraitDi[#Data],COLUMN(T_TraitDi[CP1]),FALSE),"")</f>
        <v/>
      </c>
      <c r="BO220" s="282" t="str">
        <f>IFERROR(VLOOKUP(T_Convention[[#This Row],[NumL]],T_TraitDi[#Data],COLUMN(T_TraitDi[VILLE1]),FALSE),"")</f>
        <v/>
      </c>
      <c r="BP220" s="290" t="str">
        <f>IFERROR(VLOOKUP(VLOOKUP(T_Convention[[#This Row],[NumL]],T_TraitDi[#Data],COLUMN(T_TraitDi[Type2]),FALSE),TypeTW,2,FALSE),"")</f>
        <v/>
      </c>
      <c r="BQ220" s="182" t="str">
        <f>IFERROR(VLOOKUP(T_Convention[[#This Row],[NumL]],T_TraitDi[#Data],COLUMN(T_TraitDi[Rue2]),FALSE),"")</f>
        <v/>
      </c>
      <c r="BR220" s="173" t="str">
        <f>IFERROR(VLOOKUP(T_Convention[[#This Row],[NumL]],T_TraitDi[#Data],COLUMN(T_TraitDi[CP2]),FALSE),"")</f>
        <v/>
      </c>
      <c r="BS220" s="173" t="str">
        <f>IFERROR(VLOOKUP(T_Convention[[#This Row],[NumL]],T_TraitDi[#Data],COLUMN(T_TraitDi[VILLE2]),FALSE),"")</f>
        <v/>
      </c>
      <c r="BT220" s="182" t="str">
        <f>IF(VLOOKUP(T_Convention[[#This Row],[NumL]],T_Equipement[#Data],COLUMN(T_Equipement[PC]),FALSE)="","Aucun équipement spécifique directement lié au télétravail",VLOOKUP(T_Convention[[#This Row],[NumL]],T_Equipement[#Data],COLUMN(T_Equipement[PC]),FALSE))</f>
        <v>14-565</v>
      </c>
      <c r="BU220" s="166" t="str">
        <f>IFERROR(IF(VLOOKUP(T_Convention[[#This Row],[NumL]],T_TraitDi[#Data],COLUMN(T_TraitDi[Plan]),FALSE)="OK","Un planning spécifique de télétravail est annexé à la présente convention.",""),"")</f>
        <v/>
      </c>
      <c r="BV220" s="185" t="s">
        <v>3499</v>
      </c>
      <c r="BW220" s="164" t="e">
        <f>IF(VLOOKUP(T_Convention[[#This Row],[NumL]],T_suiviDi[#Data],COLUMN(T_suiviDi[Entité]),FALSE)="","",VLOOKUP(T_Convention[[#This Row],[NumL]],T_suiviDi[#Data],COLUMN(T_suiviDi[Entité]),FALSE))</f>
        <v>#N/A</v>
      </c>
      <c r="BX220" s="164" t="str">
        <f>IF(VLOOKUP(T_Convention[[#This Row],[NumL]],T_Commission[#Data],COLUMN(T_Commission[envoi confirm TW]),FALSE)="","",VLOOKUP(T_Convention[[#This Row],[NumL]],T_Commission[#Data],COLUMN(T_Commission[envoi confirm TW]),FALSE))</f>
        <v>Oui</v>
      </c>
      <c r="BY22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0" s="264">
        <f>VLOOKUP(T_Convention[[#This Row],[NumL]],T_Commission[#Data],COLUMN(T_Commission[Commentaire]),FALSE)</f>
        <v>0</v>
      </c>
      <c r="CA220" s="254" t="str">
        <f>IF(VLOOKUP(T_Convention[[#This Row],[NumL]],T_Commission[#Data],COLUMN(T_Commission[Encadrant Email]),FALSE)="","",VLOOKUP(T_Convention[[#This Row],[NumL]],T_Commission[#Data],COLUMN(T_Commission[Encadrant Email]),FALSE))</f>
        <v/>
      </c>
      <c r="CB220" s="352" t="e">
        <f>VLOOKUP(T_Convention[[#This Row],[NumL]],T_TraitDi[#Data],COLUMN(T_TraitDi[NbJTot]),FALSE)</f>
        <v>#N/A</v>
      </c>
      <c r="CC220" s="352" t="e">
        <f>VLOOKUP(T_Convention[[#This Row],[NumL]],T_TraitDi[#Data],COLUMN(T_TraitDi[Reg Ponct]),FALSE)</f>
        <v>#N/A</v>
      </c>
      <c r="CD220" s="348" t="str">
        <f>IF(T_Convention[[#This Row],[Final]]&lt;&gt;"",VLOOKUP(T_Convention[[#This Row],[NumL]],T_suiviDi[#Data],COLUMN((T_suiviDi[Statut])),FALSE),"")</f>
        <v/>
      </c>
    </row>
    <row r="221" spans="1:82" s="106" customFormat="1" ht="18.75" customHeight="1" x14ac:dyDescent="0.25">
      <c r="A221" s="160">
        <v>139</v>
      </c>
      <c r="B221" s="161" t="str">
        <f>VLOOKUP(T_Convention[[#This Row],[NumL]],T_Commission[#Data],COLUMN(T_Commission[FINAL]),FALSE)</f>
        <v/>
      </c>
      <c r="C221" s="162"/>
      <c r="D221" s="95" t="e">
        <f>IF(VLOOKUP(T_Convention[[#This Row],[NumL]],T_TraitDi[#Data],COLUMN(T_TraitDi[WebC]),FALSE)="","",VLOOKUP(T_Convention[[#This Row],[NumL]],T_TraitDi[#Data],COLUMN(T_TraitDi[WebC]),FALSE))</f>
        <v>#N/A</v>
      </c>
      <c r="E221" s="163" t="str">
        <f t="shared" si="15"/>
        <v>12 janvier 2021</v>
      </c>
      <c r="F221" s="282" t="str">
        <f>IF(T_Convention[[#This Row],[Final]]&lt;&gt;"",VLOOKUP(T_Convention[[#This Row],[NumL]],T_suiviDi[#Data],COLUMN((T_suiviDi[Civ.])),FALSE),"")</f>
        <v/>
      </c>
      <c r="G221" s="283" t="str">
        <f>IF(T_Convention[[#This Row],[Final]]&lt;&gt;"",VLOOKUP(T_Convention[[#This Row],[NumL]],T_suiviDi[#Data],COLUMN((T_suiviDi[Nom])),FALSE),"")</f>
        <v/>
      </c>
      <c r="H221" s="282" t="str">
        <f>IF(T_Convention[[#This Row],[Final]]&lt;&gt;"",VLOOKUP(T_Convention[[#This Row],[NumL]],T_suiviDi[#Data],COLUMN((T_suiviDi[Prénom])),FALSE),"")</f>
        <v/>
      </c>
      <c r="I221" s="282" t="e">
        <f>VLOOKUP(T_Convention[[#This Row],[NumL]],T_suiviDi[#Data],COLUMN((T_suiviDi[[#This Row],[Email]])),FALSE)</f>
        <v>#VALUE!</v>
      </c>
      <c r="J221" s="282" t="e">
        <f>IF(VLOOKUP(T_Convention[[#This Row],[NumL]],T_suiviDi[#Data],COLUMN(T_suiviDi[[#This Row],[Fonction]]),FALSE)="","",VLOOKUP(T_Convention[[#This Row],[NumL]],T_suiviDi[#Data],COLUMN(T_suiviDi[[#This Row],[Fonction]]),FALSE))</f>
        <v>#VALUE!</v>
      </c>
      <c r="K221" s="282" t="e">
        <f>IF(VLOOKUP(T_Convention[[#This Row],[NumL]],T_suiviDi[#Data],COLUMN(T_suiviDi[[#This Row],[Grade]]),FALSE)="","",VLOOKUP(T_Convention[[#This Row],[NumL]],T_suiviDi[#Data],COLUMN(T_suiviDi[[#This Row],[Grade]]),FALSE))</f>
        <v>#VALUE!</v>
      </c>
      <c r="L221" s="282" t="e">
        <f>IF(VLOOKUP(T_Convention[[#This Row],[NumL]],T_suiviDi[#Data],COLUMN(T_suiviDi[[#This Row],[Service ]]),FALSE)="","",VLOOKUP(T_Convention[[#This Row],[NumL]],T_suiviDi[#Data],COLUMN(T_suiviDi[[#This Row],[Service ]]),FALSE))</f>
        <v>#VALUE!</v>
      </c>
      <c r="M221" s="164" t="str">
        <f t="shared" si="16"/>
        <v>01 septembre 2021</v>
      </c>
      <c r="N221" s="164" t="str">
        <f t="shared" si="17"/>
        <v>30 novembre 2021</v>
      </c>
      <c r="O221" s="284" t="str">
        <f t="shared" si="18"/>
        <v>30 novembre 2021</v>
      </c>
      <c r="P221" s="282" t="e">
        <f>IF(VLOOKUP(T_Convention[[#This Row],[NumL]],T_TraitDi[#Data],COLUMN(T_TraitDi[M1]),FALSE)="","",VLOOKUP(T_Convention[[#This Row],[NumL]],T_TraitDi[#Data],COLUMN(T_TraitDi[M1]),FALSE))</f>
        <v>#N/A</v>
      </c>
      <c r="Q221" s="282" t="e">
        <f>IF(VLOOKUP(T_Convention[[#This Row],[NumL]],T_TraitDi[#Data],COLUMN(T_TraitDi[M2]),FALSE)="","",VLOOKUP(T_Convention[[#This Row],[NumL]],T_TraitDi[#Data],COLUMN(T_TraitDi[M2]),FALSE))</f>
        <v>#N/A</v>
      </c>
      <c r="R221" s="282" t="e">
        <f>IF(VLOOKUP(T_Convention[[#This Row],[NumL]],T_TraitDi[#Data],COLUMN(T_TraitDi[M3]),FALSE)="","",VLOOKUP(T_Convention[[#This Row],[NumL]],T_TraitDi[#Data],COLUMN(T_TraitDi[M3]),FALSE))</f>
        <v>#N/A</v>
      </c>
      <c r="S221" s="282" t="e">
        <f>IF(VLOOKUP(T_Convention[[#This Row],[NumL]],T_TraitDi[#Data],COLUMN(T_TraitDi[M4]),FALSE)="","",VLOOKUP(T_Convention[[#This Row],[NumL]],T_TraitDi[#Data],COLUMN(T_TraitDi[M4]),FALSE))</f>
        <v>#N/A</v>
      </c>
      <c r="T221" s="282" t="e">
        <f>IF(VLOOKUP(T_Convention[[#This Row],[NumL]],T_TraitDi[#Data],COLUMN(T_TraitDi[M5]),FALSE)="","",VLOOKUP(T_Convention[[#This Row],[NumL]],T_TraitDi[#Data],COLUMN(T_TraitDi[M5]),FALSE))</f>
        <v>#N/A</v>
      </c>
      <c r="U221" s="282" t="e">
        <f>IF(VLOOKUP(T_Convention[[#This Row],[NumL]],T_TraitDi[#Data],COLUMN(T_TraitDi[M6]),FALSE)="","",VLOOKUP(T_Convention[[#This Row],[NumL]],T_TraitDi[#Data],COLUMN(T_TraitDi[M6]),FALSE))</f>
        <v>#N/A</v>
      </c>
      <c r="V221" s="176" t="e">
        <f t="shared" si="19"/>
        <v>#N/A</v>
      </c>
      <c r="W221" s="284" t="str">
        <f>IFERROR(TEXT(VLOOKUP(T_Convention[[#This Row],[NumL]],T_TraitDi[#Data],COLUMN(T_TraitDi[Q2]),FALSE),"###%"),"")</f>
        <v/>
      </c>
      <c r="X221" s="97" t="e">
        <f>VLOOKUP(T_Convention[[#This Row],[NumL]],T_TraitDi[#Data],COLUMN(T_TraitDi[Reg Ponct]),FALSE)</f>
        <v>#N/A</v>
      </c>
      <c r="Y221" s="97" t="e">
        <f>VLOOKUP(T_Convention[NumL],T_TraitDi[#Data],COLUMN(T_TraitDi[Jours flottants]),FALSE)</f>
        <v>#N/A</v>
      </c>
      <c r="Z221" s="284" t="str">
        <f>IFERROR(VLOOKUP(T_Convention[[#This Row],[NumL]],T_TraitDi[#Data],COLUMN(T_TraitDi[Lundi]),FALSE),"")</f>
        <v/>
      </c>
      <c r="AA221" s="284" t="e">
        <f>IF(VLOOKUP(T_Convention[[#This Row],[NumL]],T_TraitDi[#Data],COLUMN(T_TraitDi[Colonne3]),FALSE)=0,"",TEXT(IFERROR(VLOOKUP(T_Convention[[#This Row],[NumL]],T_TraitDi[#Data],COLUMN(T_TraitDi[Colonne3]),FALSE),""),"[hh]:mm"))</f>
        <v>#N/A</v>
      </c>
      <c r="AB221" s="284" t="e">
        <f>IF(VLOOKUP(T_Convention[[#This Row],[NumL]],T_TraitDi[#Data],COLUMN(T_TraitDi[Colonne4]),FALSE)=0,"",TEXT(IFERROR(VLOOKUP(T_Convention[[#This Row],[NumL]],T_TraitDi[#Data],COLUMN(T_TraitDi[Colonne4]),FALSE),""),"[hh]:mm"))</f>
        <v>#N/A</v>
      </c>
      <c r="AC221" s="284" t="e">
        <f>IF(VLOOKUP(T_Convention[[#This Row],[NumL]],T_TraitDi[#Data],COLUMN(T_TraitDi[Colonne5]),FALSE)=0,"",TEXT(IFERROR(VLOOKUP(T_Convention[[#This Row],[NumL]],T_TraitDi[#Data],COLUMN(T_TraitDi[Colonne5]),FALSE),""),"[hh]:mm"))</f>
        <v>#N/A</v>
      </c>
      <c r="AD221" s="284" t="e">
        <f>IF(VLOOKUP(T_Convention[[#This Row],[NumL]],T_TraitDi[#Data],COLUMN(T_TraitDi[Colonne6]),FALSE)=0,"",TEXT(IFERROR(VLOOKUP(T_Convention[[#This Row],[NumL]],T_TraitDi[#Data],COLUMN(T_TraitDi[Colonne6]),FALSE),""),"[hh]:mm"))</f>
        <v>#N/A</v>
      </c>
      <c r="AE221" s="284" t="e">
        <f>IF(VLOOKUP(T_Convention[[#This Row],[NumL]],T_TraitDi[#Data],COLUMN(T_TraitDi[Colonne7]),FALSE)=0,"",TEXT(IFERROR(VLOOKUP(T_Convention[[#This Row],[NumL]],T_TraitDi[#Data],COLUMN(T_TraitDi[Colonne7]),FALSE),""),"[hh]:mm"))</f>
        <v>#N/A</v>
      </c>
      <c r="AF221" s="284" t="e">
        <f>IF(VLOOKUP(T_Convention[[#This Row],[NumL]],T_TraitDi[#Data],COLUMN(T_TraitDi[Colonne8]),FALSE)=0,"",TEXT(IFERROR(VLOOKUP(T_Convention[[#This Row],[NumL]],T_TraitDi[#Data],COLUMN(T_TraitDi[Colonne8]),FALSE),""),"[hh]:mm"))</f>
        <v>#N/A</v>
      </c>
      <c r="AG221" s="284" t="str">
        <f>IFERROR(VLOOKUP(T_Convention[[#This Row],[NumL]],T_TraitDi[#Data],COLUMN(T_TraitDi[Mardi]),FALSE),"")</f>
        <v/>
      </c>
      <c r="AH221" s="284" t="e">
        <f>IF(VLOOKUP(T_Convention[[#This Row],[NumL]],T_TraitDi[#Data],COLUMN(T_TraitDi[Colonne1]),FALSE)=0,"",TEXT(IFERROR(VLOOKUP(T_Convention[[#This Row],[NumL]],T_TraitDi[#Data],COLUMN(T_TraitDi[Colonne1]),FALSE),""),"[hh]:mm"))</f>
        <v>#N/A</v>
      </c>
      <c r="AI221" s="284" t="e">
        <f>IF(VLOOKUP(T_Convention[[#This Row],[NumL]],T_TraitDi[#Data],COLUMN(T_TraitDi[Colonne9]),FALSE)=0,"",TEXT(IFERROR(VLOOKUP(T_Convention[[#This Row],[NumL]],T_TraitDi[#Data],COLUMN(T_TraitDi[Colonne9]),FALSE),""),"[hh]:mm"))</f>
        <v>#N/A</v>
      </c>
      <c r="AJ221" s="284" t="str">
        <f>IFERROR(VLOOKUP(T_Convention[[#This Row],[NumL]],T_TraitDi[#Data],COLUMN(T_TraitDi[Colonne10]),FALSE),"")</f>
        <v/>
      </c>
      <c r="AK221" s="284" t="e">
        <f>IF(VLOOKUP(T_Convention[[#This Row],[NumL]],T_TraitDi[#Data],COLUMN(T_TraitDi[Colonne11]),FALSE)=0,"",TEXT(IFERROR(VLOOKUP(T_Convention[[#This Row],[NumL]],T_TraitDi[#Data],COLUMN(T_TraitDi[Colonne11]),FALSE),""),"[hh]:mm"))</f>
        <v>#N/A</v>
      </c>
      <c r="AL221" s="284" t="e">
        <f>IF(VLOOKUP(T_Convention[[#This Row],[NumL]],T_TraitDi[#Data],COLUMN(T_TraitDi[Colonne12]),FALSE)=0,"",TEXT(IFERROR(VLOOKUP(T_Convention[[#This Row],[NumL]],T_TraitDi[#Data],COLUMN(T_TraitDi[Colonne12]),FALSE),""),"[hh]:mm"))</f>
        <v>#N/A</v>
      </c>
      <c r="AM221" s="284" t="e">
        <f>IF(VLOOKUP(T_Convention[[#This Row],[NumL]],T_TraitDi[#Data],COLUMN(T_TraitDi[Colonne14]),FALSE)=0,"",TEXT(IFERROR(VLOOKUP(T_Convention[[#This Row],[NumL]],T_TraitDi[#Data],COLUMN(T_TraitDi[Colonne14]),FALSE),""),"[hh]:mm"))</f>
        <v>#N/A</v>
      </c>
      <c r="AN221" s="284" t="str">
        <f>IFERROR(VLOOKUP(T_Convention[[#This Row],[NumL]],T_TraitDi[#Data],COLUMN(T_TraitDi[Mercredi]),FALSE),"")</f>
        <v/>
      </c>
      <c r="AO221" s="284" t="e">
        <f>IF(VLOOKUP(T_Convention[[#This Row],[NumL]],T_TraitDi[#Data],COLUMN(T_TraitDi[Colonne15]),FALSE)=0,"",TEXT(IFERROR(VLOOKUP(T_Convention[[#This Row],[NumL]],T_TraitDi[#Data],COLUMN(T_TraitDi[Colonne15]),FALSE),""),"[hh]:mm"))</f>
        <v>#N/A</v>
      </c>
      <c r="AP221" s="284" t="e">
        <f>IF(VLOOKUP(T_Convention[[#This Row],[NumL]],T_TraitDi[#Data],COLUMN(T_TraitDi[Colonne16]),FALSE)=0,"",TEXT(IFERROR(VLOOKUP(T_Convention[[#This Row],[NumL]],T_TraitDi[#Data],COLUMN(T_TraitDi[Colonne16]),FALSE),""),"[hh]:mm"))</f>
        <v>#N/A</v>
      </c>
      <c r="AQ221" s="284" t="str">
        <f>IFERROR(VLOOKUP(T_Convention[[#This Row],[NumL]],T_TraitDi[#Data],COLUMN(T_TraitDi[Colonne17]),FALSE),"")</f>
        <v/>
      </c>
      <c r="AR221" s="284" t="e">
        <f>IF(VLOOKUP(T_Convention[[#This Row],[NumL]],T_TraitDi[#Data],COLUMN(T_TraitDi[Colonne18]),FALSE)=0,"",TEXT(IFERROR(VLOOKUP(T_Convention[[#This Row],[NumL]],T_TraitDi[#Data],COLUMN(T_TraitDi[Colonne18]),FALSE),""),"[hh]:mm"))</f>
        <v>#N/A</v>
      </c>
      <c r="AS221" s="284" t="e">
        <f>IF(VLOOKUP(T_Convention[[#This Row],[NumL]],T_TraitDi[#Data],COLUMN(T_TraitDi[Colonne19]),FALSE)=0,"",TEXT(IFERROR(VLOOKUP(T_Convention[[#This Row],[NumL]],T_TraitDi[#Data],COLUMN(T_TraitDi[Colonne19]),FALSE),""),"[hh]:mm"))</f>
        <v>#N/A</v>
      </c>
      <c r="AT221" s="284" t="e">
        <f>IF(VLOOKUP(T_Convention[[#This Row],[NumL]],T_TraitDi[#Data],COLUMN(T_TraitDi[Colonne20]),FALSE)=0,"",TEXT(IFERROR(VLOOKUP(T_Convention[[#This Row],[NumL]],T_TraitDi[#Data],COLUMN(T_TraitDi[Colonne20]),FALSE),""),"[hh]:mm"))</f>
        <v>#N/A</v>
      </c>
      <c r="AU221" s="284" t="str">
        <f>IFERROR(VLOOKUP(T_Convention[[#This Row],[NumL]],T_TraitDi[#Data],COLUMN(T_TraitDi[Jeudi]),FALSE),"")</f>
        <v/>
      </c>
      <c r="AV221" s="284" t="e">
        <f>IF(VLOOKUP(T_Convention[[#This Row],[NumL]],T_TraitDi[#Data],COLUMN(T_TraitDi[Colonne21]),FALSE)=0,"",TEXT(IFERROR(VLOOKUP(T_Convention[[#This Row],[NumL]],T_TraitDi[#Data],COLUMN(T_TraitDi[Colonne21]),FALSE),""),"[hh]:mm"))</f>
        <v>#N/A</v>
      </c>
      <c r="AW221" s="284" t="e">
        <f>IF(VLOOKUP(T_Convention[[#This Row],[NumL]],T_TraitDi[#Data],COLUMN(T_TraitDi[Colonne22]),FALSE)=0,"",TEXT(IFERROR(VLOOKUP(T_Convention[[#This Row],[NumL]],T_TraitDi[#Data],COLUMN(T_TraitDi[Colonne22]),FALSE),""),"[hh]:mm"))</f>
        <v>#N/A</v>
      </c>
      <c r="AX221" s="284" t="str">
        <f>IFERROR(VLOOKUP(T_Convention[[#This Row],[NumL]],T_TraitDi[#Data],COLUMN(T_TraitDi[Colonne23]),FALSE),"")</f>
        <v/>
      </c>
      <c r="AY221" s="284" t="e">
        <f>IF(VLOOKUP(T_Convention[[#This Row],[NumL]],T_TraitDi[#Data],COLUMN(T_TraitDi[Colonne24]),FALSE)=0,"",TEXT(IFERROR(VLOOKUP(T_Convention[[#This Row],[NumL]],T_TraitDi[#Data],COLUMN(T_TraitDi[Colonne24]),FALSE),""),"[hh]:mm"))</f>
        <v>#N/A</v>
      </c>
      <c r="AZ221" s="284" t="e">
        <f>IF(VLOOKUP(T_Convention[[#This Row],[NumL]],T_TraitDi[#Data],COLUMN(T_TraitDi[Colonne25]),FALSE)=0,"",TEXT(IFERROR(VLOOKUP(T_Convention[[#This Row],[NumL]],T_TraitDi[#Data],COLUMN(T_TraitDi[Colonne25]),FALSE),""),"[hh]:mm"))</f>
        <v>#N/A</v>
      </c>
      <c r="BA221" s="284" t="e">
        <f>IF(VLOOKUP(T_Convention[[#This Row],[NumL]],T_TraitDi[#Data],COLUMN(T_TraitDi[Colonne26]),FALSE)=0,"",TEXT(IFERROR(VLOOKUP(T_Convention[[#This Row],[NumL]],T_TraitDi[#Data],COLUMN(T_TraitDi[Colonne26]),FALSE),""),"[hh]:mm"))</f>
        <v>#N/A</v>
      </c>
      <c r="BB221" s="284" t="str">
        <f>IFERROR(VLOOKUP(T_Convention[[#This Row],[NumL]],T_TraitDi[#Data],COLUMN(T_TraitDi[Vendredi]),FALSE),"")</f>
        <v/>
      </c>
      <c r="BC221" s="284" t="e">
        <f>IF(VLOOKUP(T_Convention[[#This Row],[NumL]],T_TraitDi[#Data],COLUMN(T_TraitDi[Colonne27]),FALSE)=0,"",TEXT(IFERROR(VLOOKUP(T_Convention[[#This Row],[NumL]],T_TraitDi[#Data],COLUMN(T_TraitDi[Colonne27]),FALSE),""),"[hh]:mm"))</f>
        <v>#N/A</v>
      </c>
      <c r="BD221" s="284" t="e">
        <f>IF(VLOOKUP(T_Convention[[#This Row],[NumL]],T_TraitDi[#Data],COLUMN(T_TraitDi[Colonne28]),FALSE)=0,"",TEXT(IFERROR(VLOOKUP(T_Convention[[#This Row],[NumL]],T_TraitDi[#Data],COLUMN(T_TraitDi[Colonne28]),FALSE),""),"[hh]:mm"))</f>
        <v>#N/A</v>
      </c>
      <c r="BE221" s="284" t="str">
        <f>IFERROR(VLOOKUP(T_Convention[[#This Row],[NumL]],T_TraitDi[#Data],COLUMN(T_TraitDi[Colonne29]),FALSE),"")</f>
        <v/>
      </c>
      <c r="BF221" s="284" t="e">
        <f>IF(VLOOKUP(T_Convention[[#This Row],[NumL]],T_TraitDi[#Data],COLUMN(T_TraitDi[Colonne30]),FALSE)=0,"",TEXT(IFERROR(VLOOKUP(T_Convention[[#This Row],[NumL]],T_TraitDi[#Data],COLUMN(T_TraitDi[Colonne30]),FALSE),""),"[hh]:mm"))</f>
        <v>#N/A</v>
      </c>
      <c r="BG221" s="284" t="e">
        <f>IF(VLOOKUP(T_Convention[[#This Row],[NumL]],T_TraitDi[#Data],COLUMN(T_TraitDi[Colonne31]),FALSE)=0,"",TEXT(IFERROR(VLOOKUP(T_Convention[[#This Row],[NumL]],T_TraitDi[#Data],COLUMN(T_TraitDi[Colonne31]),FALSE),""),"[hh]:mm"))</f>
        <v>#N/A</v>
      </c>
      <c r="BH221" s="284" t="e">
        <f>IF(VLOOKUP(T_Convention[[#This Row],[NumL]],T_TraitDi[#Data],COLUMN(T_TraitDi[Colonne32]),FALSE)=0,"",TEXT(IFERROR(VLOOKUP(T_Convention[[#This Row],[NumL]],T_TraitDi[#Data],COLUMN(T_TraitDi[Colonne32]),FALSE),""),"[hh]:mm"))</f>
        <v>#N/A</v>
      </c>
      <c r="BI221" s="284" t="str">
        <f>IFERROR(VLOOKUP(T_Convention[[#This Row],[NumL]],T_TraitDi[#Data],COLUMN(T_TraitDi[NbJTW]),FALSE),"")</f>
        <v/>
      </c>
      <c r="BJ221" s="284" t="e">
        <f>IF(VLOOKUP(T_Convention[[#This Row],[NumL]],T_TraitDi[#Data],COLUMN(T_TraitDi[NbhTW]),FALSE)=0,"",TEXT(IFERROR(VLOOKUP(T_Convention[[#This Row],[NumL]],T_TraitDi[#Data],COLUMN(T_TraitDi[NbhTW]),FALSE),""),"[hh]:mm"))</f>
        <v>#N/A</v>
      </c>
      <c r="BK221" s="286" t="e">
        <f>IF(VLOOKUP(T_Convention[[#This Row],[NumL]],T_TraitDi[#Data],COLUMN(T_TraitDi[Nbhheb]),FALSE)=0,"",TEXT(IFERROR(VLOOKUP(T_Convention[[#This Row],[NumL]],T_TraitDi[#Data],COLUMN(T_TraitDi[Nbhheb]),FALSE),""),"[hh]:mm"))</f>
        <v>#N/A</v>
      </c>
      <c r="BL221" s="287" t="str">
        <f>IFERROR(VLOOKUP(VLOOKUP(T_Convention[[#This Row],[NumL]],T_TraitDi[#Data],COLUMN(T_TraitDi[Type1]),FALSE),TypeTW,2,FALSE),"")</f>
        <v/>
      </c>
      <c r="BM221" s="288" t="str">
        <f>IFERROR(VLOOKUP(T_Convention[[#This Row],[NumL]],T_TraitDi[#Data],COLUMN(T_TraitDi[Rue1]),FALSE),"")</f>
        <v/>
      </c>
      <c r="BN221" s="289" t="str">
        <f>IFERROR(VLOOKUP(T_Convention[[#This Row],[NumL]],T_TraitDi[#Data],COLUMN(T_TraitDi[CP1]),FALSE),"")</f>
        <v/>
      </c>
      <c r="BO221" s="282" t="str">
        <f>IFERROR(VLOOKUP(T_Convention[[#This Row],[NumL]],T_TraitDi[#Data],COLUMN(T_TraitDi[VILLE1]),FALSE),"")</f>
        <v/>
      </c>
      <c r="BP221" s="290" t="str">
        <f>IFERROR(VLOOKUP(VLOOKUP(T_Convention[[#This Row],[NumL]],T_TraitDi[#Data],COLUMN(T_TraitDi[Type2]),FALSE),TypeTW,2,FALSE),"")</f>
        <v/>
      </c>
      <c r="BQ221" s="182" t="str">
        <f>IFERROR(VLOOKUP(T_Convention[[#This Row],[NumL]],T_TraitDi[#Data],COLUMN(T_TraitDi[Rue2]),FALSE),"")</f>
        <v/>
      </c>
      <c r="BR221" s="173" t="str">
        <f>IFERROR(VLOOKUP(T_Convention[[#This Row],[NumL]],T_TraitDi[#Data],COLUMN(T_TraitDi[CP2]),FALSE),"")</f>
        <v/>
      </c>
      <c r="BS221" s="173" t="str">
        <f>IFERROR(VLOOKUP(T_Convention[[#This Row],[NumL]],T_TraitDi[#Data],COLUMN(T_TraitDi[VILLE2]),FALSE),"")</f>
        <v/>
      </c>
      <c r="BT221" s="182" t="str">
        <f>IF(VLOOKUP(T_Convention[[#This Row],[NumL]],T_Equipement[#Data],COLUMN(T_Equipement[PC]),FALSE)="","Aucun équipement spécifique directement lié au télétravail",VLOOKUP(T_Convention[[#This Row],[NumL]],T_Equipement[#Data],COLUMN(T_Equipement[PC]),FALSE))</f>
        <v xml:space="preserve">20-642	</v>
      </c>
      <c r="BU221" s="166" t="str">
        <f>IFERROR(IF(VLOOKUP(T_Convention[[#This Row],[NumL]],T_TraitDi[#Data],COLUMN(T_TraitDi[Plan]),FALSE)="OK","Un planning spécifique de télétravail est annexé à la présente convention.",""),"")</f>
        <v/>
      </c>
      <c r="BV221" s="185" t="s">
        <v>3347</v>
      </c>
      <c r="BW221" s="164" t="e">
        <f>IF(VLOOKUP(T_Convention[[#This Row],[NumL]],T_suiviDi[#Data],COLUMN(T_suiviDi[Entité]),FALSE)="","",VLOOKUP(T_Convention[[#This Row],[NumL]],T_suiviDi[#Data],COLUMN(T_suiviDi[Entité]),FALSE))</f>
        <v>#N/A</v>
      </c>
      <c r="BX221" s="164" t="str">
        <f>IF(VLOOKUP(T_Convention[[#This Row],[NumL]],T_Commission[#Data],COLUMN(T_Commission[envoi confirm TW]),FALSE)="","",VLOOKUP(T_Convention[[#This Row],[NumL]],T_Commission[#Data],COLUMN(T_Commission[envoi confirm TW]),FALSE))</f>
        <v>Oui</v>
      </c>
      <c r="BY22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1" s="264">
        <f>VLOOKUP(T_Convention[[#This Row],[NumL]],T_Commission[#Data],COLUMN(T_Commission[Commentaire]),FALSE)</f>
        <v>0</v>
      </c>
      <c r="CA221" s="254" t="str">
        <f>IF(VLOOKUP(T_Convention[[#This Row],[NumL]],T_Commission[#Data],COLUMN(T_Commission[Encadrant Email]),FALSE)="","",VLOOKUP(T_Convention[[#This Row],[NumL]],T_Commission[#Data],COLUMN(T_Commission[Encadrant Email]),FALSE))</f>
        <v/>
      </c>
      <c r="CB221" s="352" t="e">
        <f>VLOOKUP(T_Convention[[#This Row],[NumL]],T_TraitDi[#Data],COLUMN(T_TraitDi[NbJTot]),FALSE)</f>
        <v>#N/A</v>
      </c>
      <c r="CC221" s="352" t="e">
        <f>VLOOKUP(T_Convention[[#This Row],[NumL]],T_TraitDi[#Data],COLUMN(T_TraitDi[Reg Ponct]),FALSE)</f>
        <v>#N/A</v>
      </c>
      <c r="CD221" s="348" t="str">
        <f>IF(T_Convention[[#This Row],[Final]]&lt;&gt;"",VLOOKUP(T_Convention[[#This Row],[NumL]],T_suiviDi[#Data],COLUMN((T_suiviDi[Statut])),FALSE),"")</f>
        <v/>
      </c>
    </row>
    <row r="222" spans="1:82" s="106" customFormat="1" ht="18.75" customHeight="1" x14ac:dyDescent="0.25">
      <c r="A222" s="160">
        <v>317</v>
      </c>
      <c r="B222" s="281" t="str">
        <f>VLOOKUP(T_Convention[[#This Row],[NumL]],T_Commission[#Data],COLUMN(T_Commission[FINAL]),FALSE)</f>
        <v/>
      </c>
      <c r="C222" s="162"/>
      <c r="D222" s="95" t="e">
        <f>IF(VLOOKUP(T_Convention[[#This Row],[NumL]],T_TraitDi[#Data],COLUMN(T_TraitDi[WebC]),FALSE)="","",VLOOKUP(T_Convention[[#This Row],[NumL]],T_TraitDi[#Data],COLUMN(T_TraitDi[WebC]),FALSE))</f>
        <v>#N/A</v>
      </c>
      <c r="E222" s="163" t="str">
        <f t="shared" si="15"/>
        <v>12 janvier 2021</v>
      </c>
      <c r="F222" s="282" t="str">
        <f>IF(T_Convention[[#This Row],[Final]]&lt;&gt;"",VLOOKUP(T_Convention[[#This Row],[NumL]],T_suiviDi[#Data],COLUMN((T_suiviDi[Civ.])),FALSE),"")</f>
        <v/>
      </c>
      <c r="G222" s="283" t="str">
        <f>IF(T_Convention[[#This Row],[Final]]&lt;&gt;"",VLOOKUP(T_Convention[[#This Row],[NumL]],T_suiviDi[#Data],COLUMN((T_suiviDi[Nom])),FALSE),"")</f>
        <v/>
      </c>
      <c r="H222" s="282" t="str">
        <f>IF(T_Convention[[#This Row],[Final]]&lt;&gt;"",VLOOKUP(T_Convention[[#This Row],[NumL]],T_suiviDi[#Data],COLUMN((T_suiviDi[Prénom])),FALSE),"")</f>
        <v/>
      </c>
      <c r="I222" s="282" t="e">
        <f>VLOOKUP(T_Convention[[#This Row],[NumL]],T_suiviDi[#Data],COLUMN((T_suiviDi[[#This Row],[Email]])),FALSE)</f>
        <v>#VALUE!</v>
      </c>
      <c r="J222" s="282" t="e">
        <f>IF(VLOOKUP(T_Convention[[#This Row],[NumL]],T_suiviDi[#Data],COLUMN(T_suiviDi[[#This Row],[Fonction]]),FALSE)="","",VLOOKUP(T_Convention[[#This Row],[NumL]],T_suiviDi[#Data],COLUMN(T_suiviDi[[#This Row],[Fonction]]),FALSE))</f>
        <v>#VALUE!</v>
      </c>
      <c r="K222" s="282" t="e">
        <f>IF(VLOOKUP(T_Convention[[#This Row],[NumL]],T_suiviDi[#Data],COLUMN(T_suiviDi[[#This Row],[Grade]]),FALSE)="","",VLOOKUP(T_Convention[[#This Row],[NumL]],T_suiviDi[#Data],COLUMN(T_suiviDi[[#This Row],[Grade]]),FALSE))</f>
        <v>#VALUE!</v>
      </c>
      <c r="L222" s="282" t="e">
        <f>IF(VLOOKUP(T_Convention[[#This Row],[NumL]],T_suiviDi[#Data],COLUMN(T_suiviDi[[#This Row],[Service ]]),FALSE)="","",VLOOKUP(T_Convention[[#This Row],[NumL]],T_suiviDi[#Data],COLUMN(T_suiviDi[[#This Row],[Service ]]),FALSE))</f>
        <v>#VALUE!</v>
      </c>
      <c r="M222" s="314" t="str">
        <f t="shared" si="16"/>
        <v>01 septembre 2021</v>
      </c>
      <c r="N222" s="314" t="str">
        <f t="shared" si="17"/>
        <v>30 novembre 2021</v>
      </c>
      <c r="O222" s="284" t="str">
        <f t="shared" si="18"/>
        <v>30 novembre 2021</v>
      </c>
      <c r="P222" s="282" t="e">
        <f>IF(VLOOKUP(T_Convention[[#This Row],[NumL]],T_TraitDi[#Data],COLUMN(T_TraitDi[M1]),FALSE)="","",VLOOKUP(T_Convention[[#This Row],[NumL]],T_TraitDi[#Data],COLUMN(T_TraitDi[M1]),FALSE))</f>
        <v>#N/A</v>
      </c>
      <c r="Q222" s="282" t="e">
        <f>IF(VLOOKUP(T_Convention[[#This Row],[NumL]],T_TraitDi[#Data],COLUMN(T_TraitDi[M2]),FALSE)="","",VLOOKUP(T_Convention[[#This Row],[NumL]],T_TraitDi[#Data],COLUMN(T_TraitDi[M2]),FALSE))</f>
        <v>#N/A</v>
      </c>
      <c r="R222" s="282" t="e">
        <f>IF(VLOOKUP(T_Convention[[#This Row],[NumL]],T_TraitDi[#Data],COLUMN(T_TraitDi[M3]),FALSE)="","",VLOOKUP(T_Convention[[#This Row],[NumL]],T_TraitDi[#Data],COLUMN(T_TraitDi[M3]),FALSE))</f>
        <v>#N/A</v>
      </c>
      <c r="S222" s="282" t="e">
        <f>IF(VLOOKUP(T_Convention[[#This Row],[NumL]],T_TraitDi[#Data],COLUMN(T_TraitDi[M4]),FALSE)="","",VLOOKUP(T_Convention[[#This Row],[NumL]],T_TraitDi[#Data],COLUMN(T_TraitDi[M4]),FALSE))</f>
        <v>#N/A</v>
      </c>
      <c r="T222" s="282" t="e">
        <f>IF(VLOOKUP(T_Convention[[#This Row],[NumL]],T_TraitDi[#Data],COLUMN(T_TraitDi[M5]),FALSE)="","",VLOOKUP(T_Convention[[#This Row],[NumL]],T_TraitDi[#Data],COLUMN(T_TraitDi[M5]),FALSE))</f>
        <v>#N/A</v>
      </c>
      <c r="U222" s="282" t="e">
        <f>IF(VLOOKUP(T_Convention[[#This Row],[NumL]],T_TraitDi[#Data],COLUMN(T_TraitDi[M6]),FALSE)="","",VLOOKUP(T_Convention[[#This Row],[NumL]],T_TraitDi[#Data],COLUMN(T_TraitDi[M6]),FALSE))</f>
        <v>#N/A</v>
      </c>
      <c r="V222" s="314" t="e">
        <f t="shared" si="19"/>
        <v>#N/A</v>
      </c>
      <c r="W222" s="284" t="str">
        <f>IFERROR(TEXT(VLOOKUP(T_Convention[[#This Row],[NumL]],T_TraitDi[#Data],COLUMN(T_TraitDi[Q2]),FALSE),"###%"),"")</f>
        <v/>
      </c>
      <c r="X222" s="285" t="e">
        <f>VLOOKUP(T_Convention[[#This Row],[NumL]],T_TraitDi[#Data],COLUMN(T_TraitDi[Reg Ponct]),FALSE)</f>
        <v>#N/A</v>
      </c>
      <c r="Y222" s="285" t="e">
        <f>VLOOKUP(T_Convention[NumL],T_TraitDi[#Data],COLUMN(T_TraitDi[Jours flottants]),FALSE)</f>
        <v>#N/A</v>
      </c>
      <c r="Z222" s="284" t="str">
        <f>IFERROR(VLOOKUP(T_Convention[[#This Row],[NumL]],T_TraitDi[#Data],COLUMN(T_TraitDi[Lundi]),FALSE),"")</f>
        <v/>
      </c>
      <c r="AA222" s="284" t="e">
        <f>IF(VLOOKUP(T_Convention[[#This Row],[NumL]],T_TraitDi[#Data],COLUMN(T_TraitDi[Colonne3]),FALSE)=0,"",TEXT(IFERROR(VLOOKUP(T_Convention[[#This Row],[NumL]],T_TraitDi[#Data],COLUMN(T_TraitDi[Colonne3]),FALSE),""),"[hh]:mm"))</f>
        <v>#N/A</v>
      </c>
      <c r="AB222" s="284" t="e">
        <f>IF(VLOOKUP(T_Convention[[#This Row],[NumL]],T_TraitDi[#Data],COLUMN(T_TraitDi[Colonne4]),FALSE)=0,"",TEXT(IFERROR(VLOOKUP(T_Convention[[#This Row],[NumL]],T_TraitDi[#Data],COLUMN(T_TraitDi[Colonne4]),FALSE),""),"[hh]:mm"))</f>
        <v>#N/A</v>
      </c>
      <c r="AC222" s="284" t="e">
        <f>IF(VLOOKUP(T_Convention[[#This Row],[NumL]],T_TraitDi[#Data],COLUMN(T_TraitDi[Colonne5]),FALSE)=0,"",TEXT(IFERROR(VLOOKUP(T_Convention[[#This Row],[NumL]],T_TraitDi[#Data],COLUMN(T_TraitDi[Colonne5]),FALSE),""),"[hh]:mm"))</f>
        <v>#N/A</v>
      </c>
      <c r="AD222" s="284" t="e">
        <f>IF(VLOOKUP(T_Convention[[#This Row],[NumL]],T_TraitDi[#Data],COLUMN(T_TraitDi[Colonne6]),FALSE)=0,"",TEXT(IFERROR(VLOOKUP(T_Convention[[#This Row],[NumL]],T_TraitDi[#Data],COLUMN(T_TraitDi[Colonne6]),FALSE),""),"[hh]:mm"))</f>
        <v>#N/A</v>
      </c>
      <c r="AE222" s="284" t="e">
        <f>IF(VLOOKUP(T_Convention[[#This Row],[NumL]],T_TraitDi[#Data],COLUMN(T_TraitDi[Colonne7]),FALSE)=0,"",TEXT(IFERROR(VLOOKUP(T_Convention[[#This Row],[NumL]],T_TraitDi[#Data],COLUMN(T_TraitDi[Colonne7]),FALSE),""),"[hh]:mm"))</f>
        <v>#N/A</v>
      </c>
      <c r="AF222" s="284" t="e">
        <f>IF(VLOOKUP(T_Convention[[#This Row],[NumL]],T_TraitDi[#Data],COLUMN(T_TraitDi[Colonne8]),FALSE)=0,"",TEXT(IFERROR(VLOOKUP(T_Convention[[#This Row],[NumL]],T_TraitDi[#Data],COLUMN(T_TraitDi[Colonne8]),FALSE),""),"[hh]:mm"))</f>
        <v>#N/A</v>
      </c>
      <c r="AG222" s="284" t="str">
        <f>IFERROR(VLOOKUP(T_Convention[[#This Row],[NumL]],T_TraitDi[#Data],COLUMN(T_TraitDi[Mardi]),FALSE),"")</f>
        <v/>
      </c>
      <c r="AH222" s="284" t="e">
        <f>IF(VLOOKUP(T_Convention[[#This Row],[NumL]],T_TraitDi[#Data],COLUMN(T_TraitDi[Colonne1]),FALSE)=0,"",TEXT(IFERROR(VLOOKUP(T_Convention[[#This Row],[NumL]],T_TraitDi[#Data],COLUMN(T_TraitDi[Colonne1]),FALSE),""),"[hh]:mm"))</f>
        <v>#N/A</v>
      </c>
      <c r="AI222" s="284" t="e">
        <f>IF(VLOOKUP(T_Convention[[#This Row],[NumL]],T_TraitDi[#Data],COLUMN(T_TraitDi[Colonne9]),FALSE)=0,"",TEXT(IFERROR(VLOOKUP(T_Convention[[#This Row],[NumL]],T_TraitDi[#Data],COLUMN(T_TraitDi[Colonne9]),FALSE),""),"[hh]:mm"))</f>
        <v>#N/A</v>
      </c>
      <c r="AJ222" s="284" t="str">
        <f>IFERROR(VLOOKUP(T_Convention[[#This Row],[NumL]],T_TraitDi[#Data],COLUMN(T_TraitDi[Colonne10]),FALSE),"")</f>
        <v/>
      </c>
      <c r="AK222" s="284" t="e">
        <f>IF(VLOOKUP(T_Convention[[#This Row],[NumL]],T_TraitDi[#Data],COLUMN(T_TraitDi[Colonne11]),FALSE)=0,"",TEXT(IFERROR(VLOOKUP(T_Convention[[#This Row],[NumL]],T_TraitDi[#Data],COLUMN(T_TraitDi[Colonne11]),FALSE),""),"[hh]:mm"))</f>
        <v>#N/A</v>
      </c>
      <c r="AL222" s="284" t="e">
        <f>IF(VLOOKUP(T_Convention[[#This Row],[NumL]],T_TraitDi[#Data],COLUMN(T_TraitDi[Colonne12]),FALSE)=0,"",TEXT(IFERROR(VLOOKUP(T_Convention[[#This Row],[NumL]],T_TraitDi[#Data],COLUMN(T_TraitDi[Colonne12]),FALSE),""),"[hh]:mm"))</f>
        <v>#N/A</v>
      </c>
      <c r="AM222" s="284" t="e">
        <f>IF(VLOOKUP(T_Convention[[#This Row],[NumL]],T_TraitDi[#Data],COLUMN(T_TraitDi[Colonne14]),FALSE)=0,"",TEXT(IFERROR(VLOOKUP(T_Convention[[#This Row],[NumL]],T_TraitDi[#Data],COLUMN(T_TraitDi[Colonne14]),FALSE),""),"[hh]:mm"))</f>
        <v>#N/A</v>
      </c>
      <c r="AN222" s="284" t="str">
        <f>IFERROR(VLOOKUP(T_Convention[[#This Row],[NumL]],T_TraitDi[#Data],COLUMN(T_TraitDi[Mercredi]),FALSE),"")</f>
        <v/>
      </c>
      <c r="AO222" s="284" t="e">
        <f>IF(VLOOKUP(T_Convention[[#This Row],[NumL]],T_TraitDi[#Data],COLUMN(T_TraitDi[Colonne15]),FALSE)=0,"",TEXT(IFERROR(VLOOKUP(T_Convention[[#This Row],[NumL]],T_TraitDi[#Data],COLUMN(T_TraitDi[Colonne15]),FALSE),""),"[hh]:mm"))</f>
        <v>#N/A</v>
      </c>
      <c r="AP222" s="284" t="e">
        <f>IF(VLOOKUP(T_Convention[[#This Row],[NumL]],T_TraitDi[#Data],COLUMN(T_TraitDi[Colonne16]),FALSE)=0,"",TEXT(IFERROR(VLOOKUP(T_Convention[[#This Row],[NumL]],T_TraitDi[#Data],COLUMN(T_TraitDi[Colonne16]),FALSE),""),"[hh]:mm"))</f>
        <v>#N/A</v>
      </c>
      <c r="AQ222" s="284" t="str">
        <f>IFERROR(VLOOKUP(T_Convention[[#This Row],[NumL]],T_TraitDi[#Data],COLUMN(T_TraitDi[Colonne17]),FALSE),"")</f>
        <v/>
      </c>
      <c r="AR222" s="284" t="e">
        <f>IF(VLOOKUP(T_Convention[[#This Row],[NumL]],T_TraitDi[#Data],COLUMN(T_TraitDi[Colonne18]),FALSE)=0,"",TEXT(IFERROR(VLOOKUP(T_Convention[[#This Row],[NumL]],T_TraitDi[#Data],COLUMN(T_TraitDi[Colonne18]),FALSE),""),"[hh]:mm"))</f>
        <v>#N/A</v>
      </c>
      <c r="AS222" s="284" t="e">
        <f>IF(VLOOKUP(T_Convention[[#This Row],[NumL]],T_TraitDi[#Data],COLUMN(T_TraitDi[Colonne19]),FALSE)=0,"",TEXT(IFERROR(VLOOKUP(T_Convention[[#This Row],[NumL]],T_TraitDi[#Data],COLUMN(T_TraitDi[Colonne19]),FALSE),""),"[hh]:mm"))</f>
        <v>#N/A</v>
      </c>
      <c r="AT222" s="284" t="e">
        <f>IF(VLOOKUP(T_Convention[[#This Row],[NumL]],T_TraitDi[#Data],COLUMN(T_TraitDi[Colonne20]),FALSE)=0,"",TEXT(IFERROR(VLOOKUP(T_Convention[[#This Row],[NumL]],T_TraitDi[#Data],COLUMN(T_TraitDi[Colonne20]),FALSE),""),"[hh]:mm"))</f>
        <v>#N/A</v>
      </c>
      <c r="AU222" s="284" t="str">
        <f>IFERROR(VLOOKUP(T_Convention[[#This Row],[NumL]],T_TraitDi[#Data],COLUMN(T_TraitDi[Jeudi]),FALSE),"")</f>
        <v/>
      </c>
      <c r="AV222" s="284" t="e">
        <f>IF(VLOOKUP(T_Convention[[#This Row],[NumL]],T_TraitDi[#Data],COLUMN(T_TraitDi[Colonne21]),FALSE)=0,"",TEXT(IFERROR(VLOOKUP(T_Convention[[#This Row],[NumL]],T_TraitDi[#Data],COLUMN(T_TraitDi[Colonne21]),FALSE),""),"[hh]:mm"))</f>
        <v>#N/A</v>
      </c>
      <c r="AW222" s="284" t="e">
        <f>IF(VLOOKUP(T_Convention[[#This Row],[NumL]],T_TraitDi[#Data],COLUMN(T_TraitDi[Colonne22]),FALSE)=0,"",TEXT(IFERROR(VLOOKUP(T_Convention[[#This Row],[NumL]],T_TraitDi[#Data],COLUMN(T_TraitDi[Colonne22]),FALSE),""),"[hh]:mm"))</f>
        <v>#N/A</v>
      </c>
      <c r="AX222" s="284" t="str">
        <f>IFERROR(VLOOKUP(T_Convention[[#This Row],[NumL]],T_TraitDi[#Data],COLUMN(T_TraitDi[Colonne23]),FALSE),"")</f>
        <v/>
      </c>
      <c r="AY222" s="284" t="e">
        <f>IF(VLOOKUP(T_Convention[[#This Row],[NumL]],T_TraitDi[#Data],COLUMN(T_TraitDi[Colonne24]),FALSE)=0,"",TEXT(IFERROR(VLOOKUP(T_Convention[[#This Row],[NumL]],T_TraitDi[#Data],COLUMN(T_TraitDi[Colonne24]),FALSE),""),"[hh]:mm"))</f>
        <v>#N/A</v>
      </c>
      <c r="AZ222" s="284" t="e">
        <f>IF(VLOOKUP(T_Convention[[#This Row],[NumL]],T_TraitDi[#Data],COLUMN(T_TraitDi[Colonne25]),FALSE)=0,"",TEXT(IFERROR(VLOOKUP(T_Convention[[#This Row],[NumL]],T_TraitDi[#Data],COLUMN(T_TraitDi[Colonne25]),FALSE),""),"[hh]:mm"))</f>
        <v>#N/A</v>
      </c>
      <c r="BA222" s="284" t="e">
        <f>IF(VLOOKUP(T_Convention[[#This Row],[NumL]],T_TraitDi[#Data],COLUMN(T_TraitDi[Colonne26]),FALSE)=0,"",TEXT(IFERROR(VLOOKUP(T_Convention[[#This Row],[NumL]],T_TraitDi[#Data],COLUMN(T_TraitDi[Colonne26]),FALSE),""),"[hh]:mm"))</f>
        <v>#N/A</v>
      </c>
      <c r="BB222" s="284" t="str">
        <f>IFERROR(VLOOKUP(T_Convention[[#This Row],[NumL]],T_TraitDi[#Data],COLUMN(T_TraitDi[Vendredi]),FALSE),"")</f>
        <v/>
      </c>
      <c r="BC222" s="284" t="e">
        <f>IF(VLOOKUP(T_Convention[[#This Row],[NumL]],T_TraitDi[#Data],COLUMN(T_TraitDi[Colonne27]),FALSE)=0,"",TEXT(IFERROR(VLOOKUP(T_Convention[[#This Row],[NumL]],T_TraitDi[#Data],COLUMN(T_TraitDi[Colonne27]),FALSE),""),"[hh]:mm"))</f>
        <v>#N/A</v>
      </c>
      <c r="BD222" s="284" t="e">
        <f>IF(VLOOKUP(T_Convention[[#This Row],[NumL]],T_TraitDi[#Data],COLUMN(T_TraitDi[Colonne28]),FALSE)=0,"",TEXT(IFERROR(VLOOKUP(T_Convention[[#This Row],[NumL]],T_TraitDi[#Data],COLUMN(T_TraitDi[Colonne28]),FALSE),""),"[hh]:mm"))</f>
        <v>#N/A</v>
      </c>
      <c r="BE222" s="284" t="str">
        <f>IFERROR(VLOOKUP(T_Convention[[#This Row],[NumL]],T_TraitDi[#Data],COLUMN(T_TraitDi[Colonne29]),FALSE),"")</f>
        <v/>
      </c>
      <c r="BF222" s="284" t="e">
        <f>IF(VLOOKUP(T_Convention[[#This Row],[NumL]],T_TraitDi[#Data],COLUMN(T_TraitDi[Colonne30]),FALSE)=0,"",TEXT(IFERROR(VLOOKUP(T_Convention[[#This Row],[NumL]],T_TraitDi[#Data],COLUMN(T_TraitDi[Colonne30]),FALSE),""),"[hh]:mm"))</f>
        <v>#N/A</v>
      </c>
      <c r="BG222" s="284" t="e">
        <f>IF(VLOOKUP(T_Convention[[#This Row],[NumL]],T_TraitDi[#Data],COLUMN(T_TraitDi[Colonne31]),FALSE)=0,"",TEXT(IFERROR(VLOOKUP(T_Convention[[#This Row],[NumL]],T_TraitDi[#Data],COLUMN(T_TraitDi[Colonne31]),FALSE),""),"[hh]:mm"))</f>
        <v>#N/A</v>
      </c>
      <c r="BH222" s="284" t="e">
        <f>IF(VLOOKUP(T_Convention[[#This Row],[NumL]],T_TraitDi[#Data],COLUMN(T_TraitDi[Colonne32]),FALSE)=0,"",TEXT(IFERROR(VLOOKUP(T_Convention[[#This Row],[NumL]],T_TraitDi[#Data],COLUMN(T_TraitDi[Colonne32]),FALSE),""),"[hh]:mm"))</f>
        <v>#N/A</v>
      </c>
      <c r="BI222" s="284" t="str">
        <f>IFERROR(VLOOKUP(T_Convention[[#This Row],[NumL]],T_TraitDi[#Data],COLUMN(T_TraitDi[NbJTW]),FALSE),"")</f>
        <v/>
      </c>
      <c r="BJ222" s="284" t="e">
        <f>IF(VLOOKUP(T_Convention[[#This Row],[NumL]],T_TraitDi[#Data],COLUMN(T_TraitDi[NbhTW]),FALSE)=0,"",TEXT(IFERROR(VLOOKUP(T_Convention[[#This Row],[NumL]],T_TraitDi[#Data],COLUMN(T_TraitDi[NbhTW]),FALSE),""),"[hh]:mm"))</f>
        <v>#N/A</v>
      </c>
      <c r="BK222" s="315" t="e">
        <f>IF(VLOOKUP(T_Convention[[#This Row],[NumL]],T_TraitDi[#Data],COLUMN(T_TraitDi[Nbhheb]),FALSE)=0,"",TEXT(IFERROR(VLOOKUP(T_Convention[[#This Row],[NumL]],T_TraitDi[#Data],COLUMN(T_TraitDi[Nbhheb]),FALSE),""),"[hh]:mm"))</f>
        <v>#N/A</v>
      </c>
      <c r="BL222" s="287" t="str">
        <f>IFERROR(VLOOKUP(VLOOKUP(T_Convention[[#This Row],[NumL]],T_TraitDi[#Data],COLUMN(T_TraitDi[Type1]),FALSE),TypeTW,2,FALSE),"")</f>
        <v/>
      </c>
      <c r="BM222" s="288" t="str">
        <f>IFERROR(VLOOKUP(T_Convention[[#This Row],[NumL]],T_TraitDi[#Data],COLUMN(T_TraitDi[Rue1]),FALSE),"")</f>
        <v/>
      </c>
      <c r="BN222" s="289" t="str">
        <f>IFERROR(VLOOKUP(T_Convention[[#This Row],[NumL]],T_TraitDi[#Data],COLUMN(T_TraitDi[CP1]),FALSE),"")</f>
        <v/>
      </c>
      <c r="BO222" s="282" t="str">
        <f>IFERROR(VLOOKUP(T_Convention[[#This Row],[NumL]],T_TraitDi[#Data],COLUMN(T_TraitDi[VILLE1]),FALSE),"")</f>
        <v/>
      </c>
      <c r="BP222" s="290" t="str">
        <f>IFERROR(VLOOKUP(VLOOKUP(T_Convention[[#This Row],[NumL]],T_TraitDi[#Data],COLUMN(T_TraitDi[Type2]),FALSE),TypeTW,2,FALSE),"")</f>
        <v/>
      </c>
      <c r="BQ222" s="310" t="str">
        <f>IFERROR(VLOOKUP(T_Convention[[#This Row],[NumL]],T_TraitDi[#Data],COLUMN(T_TraitDi[Rue2]),FALSE),"")</f>
        <v/>
      </c>
      <c r="BR222" s="290" t="str">
        <f>IFERROR(VLOOKUP(T_Convention[[#This Row],[NumL]],T_TraitDi[#Data],COLUMN(T_TraitDi[CP2]),FALSE),"")</f>
        <v/>
      </c>
      <c r="BS222" s="290" t="str">
        <f>IFERROR(VLOOKUP(T_Convention[[#This Row],[NumL]],T_TraitDi[#Data],COLUMN(T_TraitDi[VILLE2]),FALSE),"")</f>
        <v/>
      </c>
      <c r="BT222"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22" s="314" t="str">
        <f>IFERROR(IF(VLOOKUP(T_Convention[[#This Row],[NumL]],T_TraitDi[#Data],COLUMN(T_TraitDi[Plan]),FALSE)="OK","Un planning spécifique de télétravail est annexé à la présente convention.",""),"")</f>
        <v/>
      </c>
      <c r="BV222" s="291"/>
      <c r="BW222" s="292" t="e">
        <f>IF(VLOOKUP(T_Convention[[#This Row],[NumL]],T_suiviDi[#Data],COLUMN(T_suiviDi[Entité]),FALSE)="","",VLOOKUP(T_Convention[[#This Row],[NumL]],T_suiviDi[#Data],COLUMN(T_suiviDi[Entité]),FALSE))</f>
        <v>#N/A</v>
      </c>
      <c r="BX222" s="311" t="str">
        <f>IF(VLOOKUP(T_Convention[[#This Row],[NumL]],T_Commission[#Data],COLUMN(T_Commission[envoi confirm TW]),FALSE)="","",VLOOKUP(T_Convention[[#This Row],[NumL]],T_Commission[#Data],COLUMN(T_Commission[envoi confirm TW]),FALSE))</f>
        <v>Oui</v>
      </c>
      <c r="BY22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2" s="265">
        <f>VLOOKUP(T_Convention[[#This Row],[NumL]],T_Commission[#Data],COLUMN(T_Commission[Commentaire]),FALSE)</f>
        <v>0</v>
      </c>
      <c r="CA222" s="255" t="str">
        <f>IF(VLOOKUP(T_Convention[[#This Row],[NumL]],T_Commission[#Data],COLUMN(T_Commission[Encadrant Email]),FALSE)="","",VLOOKUP(T_Convention[[#This Row],[NumL]],T_Commission[#Data],COLUMN(T_Commission[Encadrant Email]),FALSE))</f>
        <v/>
      </c>
      <c r="CB222" s="352" t="e">
        <f>VLOOKUP(T_Convention[[#This Row],[NumL]],T_TraitDi[#Data],COLUMN(T_TraitDi[NbJTot]),FALSE)</f>
        <v>#N/A</v>
      </c>
      <c r="CC222" s="352" t="e">
        <f>VLOOKUP(T_Convention[[#This Row],[NumL]],T_TraitDi[#Data],COLUMN(T_TraitDi[Reg Ponct]),FALSE)</f>
        <v>#N/A</v>
      </c>
      <c r="CD222" s="348" t="str">
        <f>IF(T_Convention[[#This Row],[Final]]&lt;&gt;"",VLOOKUP(T_Convention[[#This Row],[NumL]],T_suiviDi[#Data],COLUMN((T_suiviDi[Statut])),FALSE),"")</f>
        <v/>
      </c>
    </row>
    <row r="223" spans="1:82" s="106" customFormat="1" ht="18.75" customHeight="1" x14ac:dyDescent="0.25">
      <c r="A223" s="160">
        <v>129</v>
      </c>
      <c r="B223" s="161" t="str">
        <f>VLOOKUP(T_Convention[[#This Row],[NumL]],T_Commission[#Data],COLUMN(T_Commission[FINAL]),FALSE)</f>
        <v/>
      </c>
      <c r="C223" s="162"/>
      <c r="D223" s="95" t="e">
        <f>IF(VLOOKUP(T_Convention[[#This Row],[NumL]],T_TraitDi[#Data],COLUMN(T_TraitDi[WebC]),FALSE)="","",VLOOKUP(T_Convention[[#This Row],[NumL]],T_TraitDi[#Data],COLUMN(T_TraitDi[WebC]),FALSE))</f>
        <v>#N/A</v>
      </c>
      <c r="E223" s="163" t="str">
        <f t="shared" si="15"/>
        <v>12 janvier 2021</v>
      </c>
      <c r="F223" s="282" t="str">
        <f>IF(T_Convention[[#This Row],[Final]]&lt;&gt;"",VLOOKUP(T_Convention[[#This Row],[NumL]],T_suiviDi[#Data],COLUMN((T_suiviDi[Civ.])),FALSE),"")</f>
        <v/>
      </c>
      <c r="G223" s="283" t="str">
        <f>IF(T_Convention[[#This Row],[Final]]&lt;&gt;"",VLOOKUP(T_Convention[[#This Row],[NumL]],T_suiviDi[#Data],COLUMN((T_suiviDi[Nom])),FALSE),"")</f>
        <v/>
      </c>
      <c r="H223" s="282" t="str">
        <f>IF(T_Convention[[#This Row],[Final]]&lt;&gt;"",VLOOKUP(T_Convention[[#This Row],[NumL]],T_suiviDi[#Data],COLUMN((T_suiviDi[Prénom])),FALSE),"")</f>
        <v/>
      </c>
      <c r="I223" s="282" t="e">
        <f>VLOOKUP(T_Convention[[#This Row],[NumL]],T_suiviDi[#Data],COLUMN((T_suiviDi[[#This Row],[Email]])),FALSE)</f>
        <v>#VALUE!</v>
      </c>
      <c r="J223" s="282" t="e">
        <f>IF(VLOOKUP(T_Convention[[#This Row],[NumL]],T_suiviDi[#Data],COLUMN(T_suiviDi[[#This Row],[Fonction]]),FALSE)="","",VLOOKUP(T_Convention[[#This Row],[NumL]],T_suiviDi[#Data],COLUMN(T_suiviDi[[#This Row],[Fonction]]),FALSE))</f>
        <v>#VALUE!</v>
      </c>
      <c r="K223" s="282" t="e">
        <f>IF(VLOOKUP(T_Convention[[#This Row],[NumL]],T_suiviDi[#Data],COLUMN(T_suiviDi[[#This Row],[Grade]]),FALSE)="","",VLOOKUP(T_Convention[[#This Row],[NumL]],T_suiviDi[#Data],COLUMN(T_suiviDi[[#This Row],[Grade]]),FALSE))</f>
        <v>#VALUE!</v>
      </c>
      <c r="L223" s="282" t="e">
        <f>IF(VLOOKUP(T_Convention[[#This Row],[NumL]],T_suiviDi[#Data],COLUMN(T_suiviDi[[#This Row],[Service ]]),FALSE)="","",VLOOKUP(T_Convention[[#This Row],[NumL]],T_suiviDi[#Data],COLUMN(T_suiviDi[[#This Row],[Service ]]),FALSE))</f>
        <v>#VALUE!</v>
      </c>
      <c r="M223" s="164" t="str">
        <f t="shared" si="16"/>
        <v>01 septembre 2021</v>
      </c>
      <c r="N223" s="164" t="str">
        <f t="shared" si="17"/>
        <v>30 novembre 2021</v>
      </c>
      <c r="O223" s="284" t="str">
        <f t="shared" si="18"/>
        <v>30 novembre 2021</v>
      </c>
      <c r="P223" s="282" t="e">
        <f>IF(VLOOKUP(T_Convention[[#This Row],[NumL]],T_TraitDi[#Data],COLUMN(T_TraitDi[M1]),FALSE)="","",VLOOKUP(T_Convention[[#This Row],[NumL]],T_TraitDi[#Data],COLUMN(T_TraitDi[M1]),FALSE))</f>
        <v>#N/A</v>
      </c>
      <c r="Q223" s="282" t="e">
        <f>IF(VLOOKUP(T_Convention[[#This Row],[NumL]],T_TraitDi[#Data],COLUMN(T_TraitDi[M2]),FALSE)="","",VLOOKUP(T_Convention[[#This Row],[NumL]],T_TraitDi[#Data],COLUMN(T_TraitDi[M2]),FALSE))</f>
        <v>#N/A</v>
      </c>
      <c r="R223" s="282" t="e">
        <f>IF(VLOOKUP(T_Convention[[#This Row],[NumL]],T_TraitDi[#Data],COLUMN(T_TraitDi[M3]),FALSE)="","",VLOOKUP(T_Convention[[#This Row],[NumL]],T_TraitDi[#Data],COLUMN(T_TraitDi[M3]),FALSE))</f>
        <v>#N/A</v>
      </c>
      <c r="S223" s="282" t="e">
        <f>IF(VLOOKUP(T_Convention[[#This Row],[NumL]],T_TraitDi[#Data],COLUMN(T_TraitDi[M4]),FALSE)="","",VLOOKUP(T_Convention[[#This Row],[NumL]],T_TraitDi[#Data],COLUMN(T_TraitDi[M4]),FALSE))</f>
        <v>#N/A</v>
      </c>
      <c r="T223" s="282" t="e">
        <f>IF(VLOOKUP(T_Convention[[#This Row],[NumL]],T_TraitDi[#Data],COLUMN(T_TraitDi[M5]),FALSE)="","",VLOOKUP(T_Convention[[#This Row],[NumL]],T_TraitDi[#Data],COLUMN(T_TraitDi[M5]),FALSE))</f>
        <v>#N/A</v>
      </c>
      <c r="U223" s="282" t="e">
        <f>IF(VLOOKUP(T_Convention[[#This Row],[NumL]],T_TraitDi[#Data],COLUMN(T_TraitDi[M6]),FALSE)="","",VLOOKUP(T_Convention[[#This Row],[NumL]],T_TraitDi[#Data],COLUMN(T_TraitDi[M6]),FALSE))</f>
        <v>#N/A</v>
      </c>
      <c r="V223" s="176" t="e">
        <f t="shared" si="19"/>
        <v>#N/A</v>
      </c>
      <c r="W223" s="284" t="str">
        <f>IFERROR(TEXT(VLOOKUP(T_Convention[[#This Row],[NumL]],T_TraitDi[#Data],COLUMN(T_TraitDi[Q2]),FALSE),"###%"),"")</f>
        <v/>
      </c>
      <c r="X223" s="97" t="e">
        <f>VLOOKUP(T_Convention[[#This Row],[NumL]],T_TraitDi[#Data],COLUMN(T_TraitDi[Reg Ponct]),FALSE)</f>
        <v>#N/A</v>
      </c>
      <c r="Y223" s="97" t="e">
        <f>VLOOKUP(T_Convention[NumL],T_TraitDi[#Data],COLUMN(T_TraitDi[Jours flottants]),FALSE)</f>
        <v>#N/A</v>
      </c>
      <c r="Z223" s="284" t="str">
        <f>IFERROR(VLOOKUP(T_Convention[[#This Row],[NumL]],T_TraitDi[#Data],COLUMN(T_TraitDi[Lundi]),FALSE),"")</f>
        <v/>
      </c>
      <c r="AA223" s="284" t="e">
        <f>IF(VLOOKUP(T_Convention[[#This Row],[NumL]],T_TraitDi[#Data],COLUMN(T_TraitDi[Colonne3]),FALSE)=0,"",TEXT(IFERROR(VLOOKUP(T_Convention[[#This Row],[NumL]],T_TraitDi[#Data],COLUMN(T_TraitDi[Colonne3]),FALSE),""),"[hh]:mm"))</f>
        <v>#N/A</v>
      </c>
      <c r="AB223" s="284" t="e">
        <f>IF(VLOOKUP(T_Convention[[#This Row],[NumL]],T_TraitDi[#Data],COLUMN(T_TraitDi[Colonne4]),FALSE)=0,"",TEXT(IFERROR(VLOOKUP(T_Convention[[#This Row],[NumL]],T_TraitDi[#Data],COLUMN(T_TraitDi[Colonne4]),FALSE),""),"[hh]:mm"))</f>
        <v>#N/A</v>
      </c>
      <c r="AC223" s="284" t="e">
        <f>IF(VLOOKUP(T_Convention[[#This Row],[NumL]],T_TraitDi[#Data],COLUMN(T_TraitDi[Colonne5]),FALSE)=0,"",TEXT(IFERROR(VLOOKUP(T_Convention[[#This Row],[NumL]],T_TraitDi[#Data],COLUMN(T_TraitDi[Colonne5]),FALSE),""),"[hh]:mm"))</f>
        <v>#N/A</v>
      </c>
      <c r="AD223" s="284" t="e">
        <f>IF(VLOOKUP(T_Convention[[#This Row],[NumL]],T_TraitDi[#Data],COLUMN(T_TraitDi[Colonne6]),FALSE)=0,"",TEXT(IFERROR(VLOOKUP(T_Convention[[#This Row],[NumL]],T_TraitDi[#Data],COLUMN(T_TraitDi[Colonne6]),FALSE),""),"[hh]:mm"))</f>
        <v>#N/A</v>
      </c>
      <c r="AE223" s="284" t="e">
        <f>IF(VLOOKUP(T_Convention[[#This Row],[NumL]],T_TraitDi[#Data],COLUMN(T_TraitDi[Colonne7]),FALSE)=0,"",TEXT(IFERROR(VLOOKUP(T_Convention[[#This Row],[NumL]],T_TraitDi[#Data],COLUMN(T_TraitDi[Colonne7]),FALSE),""),"[hh]:mm"))</f>
        <v>#N/A</v>
      </c>
      <c r="AF223" s="284" t="e">
        <f>IF(VLOOKUP(T_Convention[[#This Row],[NumL]],T_TraitDi[#Data],COLUMN(T_TraitDi[Colonne8]),FALSE)=0,"",TEXT(IFERROR(VLOOKUP(T_Convention[[#This Row],[NumL]],T_TraitDi[#Data],COLUMN(T_TraitDi[Colonne8]),FALSE),""),"[hh]:mm"))</f>
        <v>#N/A</v>
      </c>
      <c r="AG223" s="284" t="str">
        <f>IFERROR(VLOOKUP(T_Convention[[#This Row],[NumL]],T_TraitDi[#Data],COLUMN(T_TraitDi[Mardi]),FALSE),"")</f>
        <v/>
      </c>
      <c r="AH223" s="284" t="e">
        <f>IF(VLOOKUP(T_Convention[[#This Row],[NumL]],T_TraitDi[#Data],COLUMN(T_TraitDi[Colonne1]),FALSE)=0,"",TEXT(IFERROR(VLOOKUP(T_Convention[[#This Row],[NumL]],T_TraitDi[#Data],COLUMN(T_TraitDi[Colonne1]),FALSE),""),"[hh]:mm"))</f>
        <v>#N/A</v>
      </c>
      <c r="AI223" s="284" t="e">
        <f>IF(VLOOKUP(T_Convention[[#This Row],[NumL]],T_TraitDi[#Data],COLUMN(T_TraitDi[Colonne9]),FALSE)=0,"",TEXT(IFERROR(VLOOKUP(T_Convention[[#This Row],[NumL]],T_TraitDi[#Data],COLUMN(T_TraitDi[Colonne9]),FALSE),""),"[hh]:mm"))</f>
        <v>#N/A</v>
      </c>
      <c r="AJ223" s="284" t="str">
        <f>IFERROR(VLOOKUP(T_Convention[[#This Row],[NumL]],T_TraitDi[#Data],COLUMN(T_TraitDi[Colonne10]),FALSE),"")</f>
        <v/>
      </c>
      <c r="AK223" s="284" t="e">
        <f>IF(VLOOKUP(T_Convention[[#This Row],[NumL]],T_TraitDi[#Data],COLUMN(T_TraitDi[Colonne11]),FALSE)=0,"",TEXT(IFERROR(VLOOKUP(T_Convention[[#This Row],[NumL]],T_TraitDi[#Data],COLUMN(T_TraitDi[Colonne11]),FALSE),""),"[hh]:mm"))</f>
        <v>#N/A</v>
      </c>
      <c r="AL223" s="284" t="e">
        <f>IF(VLOOKUP(T_Convention[[#This Row],[NumL]],T_TraitDi[#Data],COLUMN(T_TraitDi[Colonne12]),FALSE)=0,"",TEXT(IFERROR(VLOOKUP(T_Convention[[#This Row],[NumL]],T_TraitDi[#Data],COLUMN(T_TraitDi[Colonne12]),FALSE),""),"[hh]:mm"))</f>
        <v>#N/A</v>
      </c>
      <c r="AM223" s="284" t="e">
        <f>IF(VLOOKUP(T_Convention[[#This Row],[NumL]],T_TraitDi[#Data],COLUMN(T_TraitDi[Colonne14]),FALSE)=0,"",TEXT(IFERROR(VLOOKUP(T_Convention[[#This Row],[NumL]],T_TraitDi[#Data],COLUMN(T_TraitDi[Colonne14]),FALSE),""),"[hh]:mm"))</f>
        <v>#N/A</v>
      </c>
      <c r="AN223" s="284" t="str">
        <f>IFERROR(VLOOKUP(T_Convention[[#This Row],[NumL]],T_TraitDi[#Data],COLUMN(T_TraitDi[Mercredi]),FALSE),"")</f>
        <v/>
      </c>
      <c r="AO223" s="284" t="e">
        <f>IF(VLOOKUP(T_Convention[[#This Row],[NumL]],T_TraitDi[#Data],COLUMN(T_TraitDi[Colonne15]),FALSE)=0,"",TEXT(IFERROR(VLOOKUP(T_Convention[[#This Row],[NumL]],T_TraitDi[#Data],COLUMN(T_TraitDi[Colonne15]),FALSE),""),"[hh]:mm"))</f>
        <v>#N/A</v>
      </c>
      <c r="AP223" s="284" t="e">
        <f>IF(VLOOKUP(T_Convention[[#This Row],[NumL]],T_TraitDi[#Data],COLUMN(T_TraitDi[Colonne16]),FALSE)=0,"",TEXT(IFERROR(VLOOKUP(T_Convention[[#This Row],[NumL]],T_TraitDi[#Data],COLUMN(T_TraitDi[Colonne16]),FALSE),""),"[hh]:mm"))</f>
        <v>#N/A</v>
      </c>
      <c r="AQ223" s="284" t="str">
        <f>IFERROR(VLOOKUP(T_Convention[[#This Row],[NumL]],T_TraitDi[#Data],COLUMN(T_TraitDi[Colonne17]),FALSE),"")</f>
        <v/>
      </c>
      <c r="AR223" s="284" t="e">
        <f>IF(VLOOKUP(T_Convention[[#This Row],[NumL]],T_TraitDi[#Data],COLUMN(T_TraitDi[Colonne18]),FALSE)=0,"",TEXT(IFERROR(VLOOKUP(T_Convention[[#This Row],[NumL]],T_TraitDi[#Data],COLUMN(T_TraitDi[Colonne18]),FALSE),""),"[hh]:mm"))</f>
        <v>#N/A</v>
      </c>
      <c r="AS223" s="284" t="e">
        <f>IF(VLOOKUP(T_Convention[[#This Row],[NumL]],T_TraitDi[#Data],COLUMN(T_TraitDi[Colonne19]),FALSE)=0,"",TEXT(IFERROR(VLOOKUP(T_Convention[[#This Row],[NumL]],T_TraitDi[#Data],COLUMN(T_TraitDi[Colonne19]),FALSE),""),"[hh]:mm"))</f>
        <v>#N/A</v>
      </c>
      <c r="AT223" s="284" t="e">
        <f>IF(VLOOKUP(T_Convention[[#This Row],[NumL]],T_TraitDi[#Data],COLUMN(T_TraitDi[Colonne20]),FALSE)=0,"",TEXT(IFERROR(VLOOKUP(T_Convention[[#This Row],[NumL]],T_TraitDi[#Data],COLUMN(T_TraitDi[Colonne20]),FALSE),""),"[hh]:mm"))</f>
        <v>#N/A</v>
      </c>
      <c r="AU223" s="284" t="str">
        <f>IFERROR(VLOOKUP(T_Convention[[#This Row],[NumL]],T_TraitDi[#Data],COLUMN(T_TraitDi[Jeudi]),FALSE),"")</f>
        <v/>
      </c>
      <c r="AV223" s="284" t="e">
        <f>IF(VLOOKUP(T_Convention[[#This Row],[NumL]],T_TraitDi[#Data],COLUMN(T_TraitDi[Colonne21]),FALSE)=0,"",TEXT(IFERROR(VLOOKUP(T_Convention[[#This Row],[NumL]],T_TraitDi[#Data],COLUMN(T_TraitDi[Colonne21]),FALSE),""),"[hh]:mm"))</f>
        <v>#N/A</v>
      </c>
      <c r="AW223" s="284" t="e">
        <f>IF(VLOOKUP(T_Convention[[#This Row],[NumL]],T_TraitDi[#Data],COLUMN(T_TraitDi[Colonne22]),FALSE)=0,"",TEXT(IFERROR(VLOOKUP(T_Convention[[#This Row],[NumL]],T_TraitDi[#Data],COLUMN(T_TraitDi[Colonne22]),FALSE),""),"[hh]:mm"))</f>
        <v>#N/A</v>
      </c>
      <c r="AX223" s="284" t="str">
        <f>IFERROR(VLOOKUP(T_Convention[[#This Row],[NumL]],T_TraitDi[#Data],COLUMN(T_TraitDi[Colonne23]),FALSE),"")</f>
        <v/>
      </c>
      <c r="AY223" s="284" t="e">
        <f>IF(VLOOKUP(T_Convention[[#This Row],[NumL]],T_TraitDi[#Data],COLUMN(T_TraitDi[Colonne24]),FALSE)=0,"",TEXT(IFERROR(VLOOKUP(T_Convention[[#This Row],[NumL]],T_TraitDi[#Data],COLUMN(T_TraitDi[Colonne24]),FALSE),""),"[hh]:mm"))</f>
        <v>#N/A</v>
      </c>
      <c r="AZ223" s="284" t="e">
        <f>IF(VLOOKUP(T_Convention[[#This Row],[NumL]],T_TraitDi[#Data],COLUMN(T_TraitDi[Colonne25]),FALSE)=0,"",TEXT(IFERROR(VLOOKUP(T_Convention[[#This Row],[NumL]],T_TraitDi[#Data],COLUMN(T_TraitDi[Colonne25]),FALSE),""),"[hh]:mm"))</f>
        <v>#N/A</v>
      </c>
      <c r="BA223" s="284" t="e">
        <f>IF(VLOOKUP(T_Convention[[#This Row],[NumL]],T_TraitDi[#Data],COLUMN(T_TraitDi[Colonne26]),FALSE)=0,"",TEXT(IFERROR(VLOOKUP(T_Convention[[#This Row],[NumL]],T_TraitDi[#Data],COLUMN(T_TraitDi[Colonne26]),FALSE),""),"[hh]:mm"))</f>
        <v>#N/A</v>
      </c>
      <c r="BB223" s="284" t="str">
        <f>IFERROR(VLOOKUP(T_Convention[[#This Row],[NumL]],T_TraitDi[#Data],COLUMN(T_TraitDi[Vendredi]),FALSE),"")</f>
        <v/>
      </c>
      <c r="BC223" s="284" t="e">
        <f>IF(VLOOKUP(T_Convention[[#This Row],[NumL]],T_TraitDi[#Data],COLUMN(T_TraitDi[Colonne27]),FALSE)=0,"",TEXT(IFERROR(VLOOKUP(T_Convention[[#This Row],[NumL]],T_TraitDi[#Data],COLUMN(T_TraitDi[Colonne27]),FALSE),""),"[hh]:mm"))</f>
        <v>#N/A</v>
      </c>
      <c r="BD223" s="284" t="e">
        <f>IF(VLOOKUP(T_Convention[[#This Row],[NumL]],T_TraitDi[#Data],COLUMN(T_TraitDi[Colonne28]),FALSE)=0,"",TEXT(IFERROR(VLOOKUP(T_Convention[[#This Row],[NumL]],T_TraitDi[#Data],COLUMN(T_TraitDi[Colonne28]),FALSE),""),"[hh]:mm"))</f>
        <v>#N/A</v>
      </c>
      <c r="BE223" s="284" t="str">
        <f>IFERROR(VLOOKUP(T_Convention[[#This Row],[NumL]],T_TraitDi[#Data],COLUMN(T_TraitDi[Colonne29]),FALSE),"")</f>
        <v/>
      </c>
      <c r="BF223" s="284" t="e">
        <f>IF(VLOOKUP(T_Convention[[#This Row],[NumL]],T_TraitDi[#Data],COLUMN(T_TraitDi[Colonne30]),FALSE)=0,"",TEXT(IFERROR(VLOOKUP(T_Convention[[#This Row],[NumL]],T_TraitDi[#Data],COLUMN(T_TraitDi[Colonne30]),FALSE),""),"[hh]:mm"))</f>
        <v>#N/A</v>
      </c>
      <c r="BG223" s="284" t="e">
        <f>IF(VLOOKUP(T_Convention[[#This Row],[NumL]],T_TraitDi[#Data],COLUMN(T_TraitDi[Colonne31]),FALSE)=0,"",TEXT(IFERROR(VLOOKUP(T_Convention[[#This Row],[NumL]],T_TraitDi[#Data],COLUMN(T_TraitDi[Colonne31]),FALSE),""),"[hh]:mm"))</f>
        <v>#N/A</v>
      </c>
      <c r="BH223" s="284" t="e">
        <f>IF(VLOOKUP(T_Convention[[#This Row],[NumL]],T_TraitDi[#Data],COLUMN(T_TraitDi[Colonne32]),FALSE)=0,"",TEXT(IFERROR(VLOOKUP(T_Convention[[#This Row],[NumL]],T_TraitDi[#Data],COLUMN(T_TraitDi[Colonne32]),FALSE),""),"[hh]:mm"))</f>
        <v>#N/A</v>
      </c>
      <c r="BI223" s="284" t="str">
        <f>IFERROR(VLOOKUP(T_Convention[[#This Row],[NumL]],T_TraitDi[#Data],COLUMN(T_TraitDi[NbJTW]),FALSE),"")</f>
        <v/>
      </c>
      <c r="BJ223" s="284" t="e">
        <f>IF(VLOOKUP(T_Convention[[#This Row],[NumL]],T_TraitDi[#Data],COLUMN(T_TraitDi[NbhTW]),FALSE)=0,"",TEXT(IFERROR(VLOOKUP(T_Convention[[#This Row],[NumL]],T_TraitDi[#Data],COLUMN(T_TraitDi[NbhTW]),FALSE),""),"[hh]:mm"))</f>
        <v>#N/A</v>
      </c>
      <c r="BK223" s="286" t="e">
        <f>IF(VLOOKUP(T_Convention[[#This Row],[NumL]],T_TraitDi[#Data],COLUMN(T_TraitDi[Nbhheb]),FALSE)=0,"",TEXT(IFERROR(VLOOKUP(T_Convention[[#This Row],[NumL]],T_TraitDi[#Data],COLUMN(T_TraitDi[Nbhheb]),FALSE),""),"[hh]:mm"))</f>
        <v>#N/A</v>
      </c>
      <c r="BL223" s="287" t="str">
        <f>IFERROR(VLOOKUP(VLOOKUP(T_Convention[[#This Row],[NumL]],T_TraitDi[#Data],COLUMN(T_TraitDi[Type1]),FALSE),TypeTW,2,FALSE),"")</f>
        <v/>
      </c>
      <c r="BM223" s="288" t="str">
        <f>IFERROR(VLOOKUP(T_Convention[[#This Row],[NumL]],T_TraitDi[#Data],COLUMN(T_TraitDi[Rue1]),FALSE),"")</f>
        <v/>
      </c>
      <c r="BN223" s="289" t="str">
        <f>IFERROR(VLOOKUP(T_Convention[[#This Row],[NumL]],T_TraitDi[#Data],COLUMN(T_TraitDi[CP1]),FALSE),"")</f>
        <v/>
      </c>
      <c r="BO223" s="282" t="str">
        <f>IFERROR(VLOOKUP(T_Convention[[#This Row],[NumL]],T_TraitDi[#Data],COLUMN(T_TraitDi[VILLE1]),FALSE),"")</f>
        <v/>
      </c>
      <c r="BP223" s="290" t="str">
        <f>IFERROR(VLOOKUP(VLOOKUP(T_Convention[[#This Row],[NumL]],T_TraitDi[#Data],COLUMN(T_TraitDi[Type2]),FALSE),TypeTW,2,FALSE),"")</f>
        <v/>
      </c>
      <c r="BQ223" s="182" t="str">
        <f>IFERROR(VLOOKUP(T_Convention[[#This Row],[NumL]],T_TraitDi[#Data],COLUMN(T_TraitDi[Rue2]),FALSE),"")</f>
        <v/>
      </c>
      <c r="BR223" s="173" t="str">
        <f>IFERROR(VLOOKUP(T_Convention[[#This Row],[NumL]],T_TraitDi[#Data],COLUMN(T_TraitDi[CP2]),FALSE),"")</f>
        <v/>
      </c>
      <c r="BS223" s="173" t="str">
        <f>IFERROR(VLOOKUP(T_Convention[[#This Row],[NumL]],T_TraitDi[#Data],COLUMN(T_TraitDi[VILLE2]),FALSE),"")</f>
        <v/>
      </c>
      <c r="BT223" s="182" t="str">
        <f>IF(VLOOKUP(T_Convention[[#This Row],[NumL]],T_Equipement[#Data],COLUMN(T_Equipement[PC]),FALSE)="","Aucun équipement spécifique directement lié au télétravail",VLOOKUP(T_Convention[[#This Row],[NumL]],T_Equipement[#Data],COLUMN(T_Equipement[PC]),FALSE))</f>
        <v xml:space="preserve">18-048	</v>
      </c>
      <c r="BU223" s="166" t="str">
        <f>IFERROR(IF(VLOOKUP(T_Convention[[#This Row],[NumL]],T_TraitDi[#Data],COLUMN(T_TraitDi[Plan]),FALSE)="OK","Un planning spécifique de télétravail est annexé à la présente convention.",""),"")</f>
        <v/>
      </c>
      <c r="BV223" s="185" t="s">
        <v>3344</v>
      </c>
      <c r="BW223" s="164" t="e">
        <f>IF(VLOOKUP(T_Convention[[#This Row],[NumL]],T_suiviDi[#Data],COLUMN(T_suiviDi[Entité]),FALSE)="","",VLOOKUP(T_Convention[[#This Row],[NumL]],T_suiviDi[#Data],COLUMN(T_suiviDi[Entité]),FALSE))</f>
        <v>#N/A</v>
      </c>
      <c r="BX223" s="164" t="str">
        <f>IF(VLOOKUP(T_Convention[[#This Row],[NumL]],T_Commission[#Data],COLUMN(T_Commission[envoi confirm TW]),FALSE)="","",VLOOKUP(T_Convention[[#This Row],[NumL]],T_Commission[#Data],COLUMN(T_Commission[envoi confirm TW]),FALSE))</f>
        <v>Oui</v>
      </c>
      <c r="BY22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3" s="264">
        <f>VLOOKUP(T_Convention[[#This Row],[NumL]],T_Commission[#Data],COLUMN(T_Commission[Commentaire]),FALSE)</f>
        <v>0</v>
      </c>
      <c r="CA223" s="254" t="str">
        <f>IF(VLOOKUP(T_Convention[[#This Row],[NumL]],T_Commission[#Data],COLUMN(T_Commission[Encadrant Email]),FALSE)="","",VLOOKUP(T_Convention[[#This Row],[NumL]],T_Commission[#Data],COLUMN(T_Commission[Encadrant Email]),FALSE))</f>
        <v/>
      </c>
      <c r="CB223" s="352" t="e">
        <f>VLOOKUP(T_Convention[[#This Row],[NumL]],T_TraitDi[#Data],COLUMN(T_TraitDi[NbJTot]),FALSE)</f>
        <v>#N/A</v>
      </c>
      <c r="CC223" s="352" t="e">
        <f>VLOOKUP(T_Convention[[#This Row],[NumL]],T_TraitDi[#Data],COLUMN(T_TraitDi[Reg Ponct]),FALSE)</f>
        <v>#N/A</v>
      </c>
      <c r="CD223" s="348" t="str">
        <f>IF(T_Convention[[#This Row],[Final]]&lt;&gt;"",VLOOKUP(T_Convention[[#This Row],[NumL]],T_suiviDi[#Data],COLUMN((T_suiviDi[Statut])),FALSE),"")</f>
        <v/>
      </c>
    </row>
    <row r="224" spans="1:82" s="106" customFormat="1" ht="18.75" customHeight="1" x14ac:dyDescent="0.25">
      <c r="A224" s="160">
        <v>18</v>
      </c>
      <c r="B224" s="161" t="str">
        <f>VLOOKUP(T_Convention[[#This Row],[NumL]],T_Commission[#Data],COLUMN(T_Commission[FINAL]),FALSE)</f>
        <v/>
      </c>
      <c r="C224" s="162"/>
      <c r="D224" s="95" t="e">
        <f>IF(VLOOKUP(T_Convention[[#This Row],[NumL]],T_TraitDi[#Data],COLUMN(T_TraitDi[WebC]),FALSE)="","",VLOOKUP(T_Convention[[#This Row],[NumL]],T_TraitDi[#Data],COLUMN(T_TraitDi[WebC]),FALSE))</f>
        <v>#N/A</v>
      </c>
      <c r="E224" s="163" t="str">
        <f t="shared" si="15"/>
        <v>12 janvier 2021</v>
      </c>
      <c r="F224" s="282" t="str">
        <f>IF(T_Convention[[#This Row],[Final]]&lt;&gt;"",VLOOKUP(T_Convention[[#This Row],[NumL]],T_suiviDi[#Data],COLUMN((T_suiviDi[Civ.])),FALSE),"")</f>
        <v/>
      </c>
      <c r="G224" s="283" t="str">
        <f>IF(T_Convention[[#This Row],[Final]]&lt;&gt;"",VLOOKUP(T_Convention[[#This Row],[NumL]],T_suiviDi[#Data],COLUMN((T_suiviDi[Nom])),FALSE),"")</f>
        <v/>
      </c>
      <c r="H224" s="282" t="str">
        <f>IF(T_Convention[[#This Row],[Final]]&lt;&gt;"",VLOOKUP(T_Convention[[#This Row],[NumL]],T_suiviDi[#Data],COLUMN((T_suiviDi[Prénom])),FALSE),"")</f>
        <v/>
      </c>
      <c r="I224" s="282" t="e">
        <f>VLOOKUP(T_Convention[[#This Row],[NumL]],T_suiviDi[#Data],COLUMN((T_suiviDi[[#This Row],[Email]])),FALSE)</f>
        <v>#VALUE!</v>
      </c>
      <c r="J224" s="282" t="e">
        <f>IF(VLOOKUP(T_Convention[[#This Row],[NumL]],T_suiviDi[#Data],COLUMN(T_suiviDi[[#This Row],[Fonction]]),FALSE)="","",VLOOKUP(T_Convention[[#This Row],[NumL]],T_suiviDi[#Data],COLUMN(T_suiviDi[[#This Row],[Fonction]]),FALSE))</f>
        <v>#VALUE!</v>
      </c>
      <c r="K224" s="282" t="e">
        <f>IF(VLOOKUP(T_Convention[[#This Row],[NumL]],T_suiviDi[#Data],COLUMN(T_suiviDi[[#This Row],[Grade]]),FALSE)="","",VLOOKUP(T_Convention[[#This Row],[NumL]],T_suiviDi[#Data],COLUMN(T_suiviDi[[#This Row],[Grade]]),FALSE))</f>
        <v>#VALUE!</v>
      </c>
      <c r="L224" s="282" t="e">
        <f>IF(VLOOKUP(T_Convention[[#This Row],[NumL]],T_suiviDi[#Data],COLUMN(T_suiviDi[[#This Row],[Service ]]),FALSE)="","",VLOOKUP(T_Convention[[#This Row],[NumL]],T_suiviDi[#Data],COLUMN(T_suiviDi[[#This Row],[Service ]]),FALSE))</f>
        <v>#VALUE!</v>
      </c>
      <c r="M224" s="164" t="str">
        <f t="shared" si="16"/>
        <v>01 septembre 2021</v>
      </c>
      <c r="N224" s="164" t="str">
        <f t="shared" si="17"/>
        <v>30 novembre 2021</v>
      </c>
      <c r="O224" s="284" t="str">
        <f t="shared" si="18"/>
        <v>30 novembre 2021</v>
      </c>
      <c r="P224" s="282" t="e">
        <f>IF(VLOOKUP(T_Convention[[#This Row],[NumL]],T_TraitDi[#Data],COLUMN(T_TraitDi[M1]),FALSE)="","",VLOOKUP(T_Convention[[#This Row],[NumL]],T_TraitDi[#Data],COLUMN(T_TraitDi[M1]),FALSE))</f>
        <v>#N/A</v>
      </c>
      <c r="Q224" s="282" t="e">
        <f>IF(VLOOKUP(T_Convention[[#This Row],[NumL]],T_TraitDi[#Data],COLUMN(T_TraitDi[M2]),FALSE)="","",VLOOKUP(T_Convention[[#This Row],[NumL]],T_TraitDi[#Data],COLUMN(T_TraitDi[M2]),FALSE))</f>
        <v>#N/A</v>
      </c>
      <c r="R224" s="282" t="e">
        <f>IF(VLOOKUP(T_Convention[[#This Row],[NumL]],T_TraitDi[#Data],COLUMN(T_TraitDi[M3]),FALSE)="","",VLOOKUP(T_Convention[[#This Row],[NumL]],T_TraitDi[#Data],COLUMN(T_TraitDi[M3]),FALSE))</f>
        <v>#N/A</v>
      </c>
      <c r="S224" s="282" t="e">
        <f>IF(VLOOKUP(T_Convention[[#This Row],[NumL]],T_TraitDi[#Data],COLUMN(T_TraitDi[M4]),FALSE)="","",VLOOKUP(T_Convention[[#This Row],[NumL]],T_TraitDi[#Data],COLUMN(T_TraitDi[M4]),FALSE))</f>
        <v>#N/A</v>
      </c>
      <c r="T224" s="282" t="e">
        <f>IF(VLOOKUP(T_Convention[[#This Row],[NumL]],T_TraitDi[#Data],COLUMN(T_TraitDi[M5]),FALSE)="","",VLOOKUP(T_Convention[[#This Row],[NumL]],T_TraitDi[#Data],COLUMN(T_TraitDi[M5]),FALSE))</f>
        <v>#N/A</v>
      </c>
      <c r="U224" s="282" t="e">
        <f>IF(VLOOKUP(T_Convention[[#This Row],[NumL]],T_TraitDi[#Data],COLUMN(T_TraitDi[M6]),FALSE)="","",VLOOKUP(T_Convention[[#This Row],[NumL]],T_TraitDi[#Data],COLUMN(T_TraitDi[M6]),FALSE))</f>
        <v>#N/A</v>
      </c>
      <c r="V224" s="176" t="e">
        <f t="shared" si="19"/>
        <v>#N/A</v>
      </c>
      <c r="W224" s="284" t="str">
        <f>IFERROR(TEXT(VLOOKUP(T_Convention[[#This Row],[NumL]],T_TraitDi[#Data],COLUMN(T_TraitDi[Q2]),FALSE),"###%"),"")</f>
        <v/>
      </c>
      <c r="X224" s="97" t="e">
        <f>VLOOKUP(T_Convention[[#This Row],[NumL]],T_TraitDi[#Data],COLUMN(T_TraitDi[Reg Ponct]),FALSE)</f>
        <v>#N/A</v>
      </c>
      <c r="Y224" s="97" t="e">
        <f>VLOOKUP(T_Convention[NumL],T_TraitDi[#Data],COLUMN(T_TraitDi[Jours flottants]),FALSE)</f>
        <v>#N/A</v>
      </c>
      <c r="Z224" s="284" t="str">
        <f>IFERROR(VLOOKUP(T_Convention[[#This Row],[NumL]],T_TraitDi[#Data],COLUMN(T_TraitDi[Lundi]),FALSE),"")</f>
        <v/>
      </c>
      <c r="AA224" s="284" t="e">
        <f>IF(VLOOKUP(T_Convention[[#This Row],[NumL]],T_TraitDi[#Data],COLUMN(T_TraitDi[Colonne3]),FALSE)=0,"",TEXT(IFERROR(VLOOKUP(T_Convention[[#This Row],[NumL]],T_TraitDi[#Data],COLUMN(T_TraitDi[Colonne3]),FALSE),""),"[hh]:mm"))</f>
        <v>#N/A</v>
      </c>
      <c r="AB224" s="284" t="e">
        <f>IF(VLOOKUP(T_Convention[[#This Row],[NumL]],T_TraitDi[#Data],COLUMN(T_TraitDi[Colonne4]),FALSE)=0,"",TEXT(IFERROR(VLOOKUP(T_Convention[[#This Row],[NumL]],T_TraitDi[#Data],COLUMN(T_TraitDi[Colonne4]),FALSE),""),"[hh]:mm"))</f>
        <v>#N/A</v>
      </c>
      <c r="AC224" s="284" t="e">
        <f>IF(VLOOKUP(T_Convention[[#This Row],[NumL]],T_TraitDi[#Data],COLUMN(T_TraitDi[Colonne5]),FALSE)=0,"",TEXT(IFERROR(VLOOKUP(T_Convention[[#This Row],[NumL]],T_TraitDi[#Data],COLUMN(T_TraitDi[Colonne5]),FALSE),""),"[hh]:mm"))</f>
        <v>#N/A</v>
      </c>
      <c r="AD224" s="284" t="e">
        <f>IF(VLOOKUP(T_Convention[[#This Row],[NumL]],T_TraitDi[#Data],COLUMN(T_TraitDi[Colonne6]),FALSE)=0,"",TEXT(IFERROR(VLOOKUP(T_Convention[[#This Row],[NumL]],T_TraitDi[#Data],COLUMN(T_TraitDi[Colonne6]),FALSE),""),"[hh]:mm"))</f>
        <v>#N/A</v>
      </c>
      <c r="AE224" s="284" t="e">
        <f>IF(VLOOKUP(T_Convention[[#This Row],[NumL]],T_TraitDi[#Data],COLUMN(T_TraitDi[Colonne7]),FALSE)=0,"",TEXT(IFERROR(VLOOKUP(T_Convention[[#This Row],[NumL]],T_TraitDi[#Data],COLUMN(T_TraitDi[Colonne7]),FALSE),""),"[hh]:mm"))</f>
        <v>#N/A</v>
      </c>
      <c r="AF224" s="284" t="e">
        <f>IF(VLOOKUP(T_Convention[[#This Row],[NumL]],T_TraitDi[#Data],COLUMN(T_TraitDi[Colonne8]),FALSE)=0,"",TEXT(IFERROR(VLOOKUP(T_Convention[[#This Row],[NumL]],T_TraitDi[#Data],COLUMN(T_TraitDi[Colonne8]),FALSE),""),"[hh]:mm"))</f>
        <v>#N/A</v>
      </c>
      <c r="AG224" s="284" t="str">
        <f>IFERROR(VLOOKUP(T_Convention[[#This Row],[NumL]],T_TraitDi[#Data],COLUMN(T_TraitDi[Mardi]),FALSE),"")</f>
        <v/>
      </c>
      <c r="AH224" s="284" t="e">
        <f>IF(VLOOKUP(T_Convention[[#This Row],[NumL]],T_TraitDi[#Data],COLUMN(T_TraitDi[Colonne1]),FALSE)=0,"",TEXT(IFERROR(VLOOKUP(T_Convention[[#This Row],[NumL]],T_TraitDi[#Data],COLUMN(T_TraitDi[Colonne1]),FALSE),""),"[hh]:mm"))</f>
        <v>#N/A</v>
      </c>
      <c r="AI224" s="284" t="e">
        <f>IF(VLOOKUP(T_Convention[[#This Row],[NumL]],T_TraitDi[#Data],COLUMN(T_TraitDi[Colonne9]),FALSE)=0,"",TEXT(IFERROR(VLOOKUP(T_Convention[[#This Row],[NumL]],T_TraitDi[#Data],COLUMN(T_TraitDi[Colonne9]),FALSE),""),"[hh]:mm"))</f>
        <v>#N/A</v>
      </c>
      <c r="AJ224" s="284" t="str">
        <f>IFERROR(VLOOKUP(T_Convention[[#This Row],[NumL]],T_TraitDi[#Data],COLUMN(T_TraitDi[Colonne10]),FALSE),"")</f>
        <v/>
      </c>
      <c r="AK224" s="284" t="e">
        <f>IF(VLOOKUP(T_Convention[[#This Row],[NumL]],T_TraitDi[#Data],COLUMN(T_TraitDi[Colonne11]),FALSE)=0,"",TEXT(IFERROR(VLOOKUP(T_Convention[[#This Row],[NumL]],T_TraitDi[#Data],COLUMN(T_TraitDi[Colonne11]),FALSE),""),"[hh]:mm"))</f>
        <v>#N/A</v>
      </c>
      <c r="AL224" s="284" t="e">
        <f>IF(VLOOKUP(T_Convention[[#This Row],[NumL]],T_TraitDi[#Data],COLUMN(T_TraitDi[Colonne12]),FALSE)=0,"",TEXT(IFERROR(VLOOKUP(T_Convention[[#This Row],[NumL]],T_TraitDi[#Data],COLUMN(T_TraitDi[Colonne12]),FALSE),""),"[hh]:mm"))</f>
        <v>#N/A</v>
      </c>
      <c r="AM224" s="284" t="e">
        <f>IF(VLOOKUP(T_Convention[[#This Row],[NumL]],T_TraitDi[#Data],COLUMN(T_TraitDi[Colonne14]),FALSE)=0,"",TEXT(IFERROR(VLOOKUP(T_Convention[[#This Row],[NumL]],T_TraitDi[#Data],COLUMN(T_TraitDi[Colonne14]),FALSE),""),"[hh]:mm"))</f>
        <v>#N/A</v>
      </c>
      <c r="AN224" s="284" t="str">
        <f>IFERROR(VLOOKUP(T_Convention[[#This Row],[NumL]],T_TraitDi[#Data],COLUMN(T_TraitDi[Mercredi]),FALSE),"")</f>
        <v/>
      </c>
      <c r="AO224" s="284" t="e">
        <f>IF(VLOOKUP(T_Convention[[#This Row],[NumL]],T_TraitDi[#Data],COLUMN(T_TraitDi[Colonne15]),FALSE)=0,"",TEXT(IFERROR(VLOOKUP(T_Convention[[#This Row],[NumL]],T_TraitDi[#Data],COLUMN(T_TraitDi[Colonne15]),FALSE),""),"[hh]:mm"))</f>
        <v>#N/A</v>
      </c>
      <c r="AP224" s="284" t="e">
        <f>IF(VLOOKUP(T_Convention[[#This Row],[NumL]],T_TraitDi[#Data],COLUMN(T_TraitDi[Colonne16]),FALSE)=0,"",TEXT(IFERROR(VLOOKUP(T_Convention[[#This Row],[NumL]],T_TraitDi[#Data],COLUMN(T_TraitDi[Colonne16]),FALSE),""),"[hh]:mm"))</f>
        <v>#N/A</v>
      </c>
      <c r="AQ224" s="284" t="str">
        <f>IFERROR(VLOOKUP(T_Convention[[#This Row],[NumL]],T_TraitDi[#Data],COLUMN(T_TraitDi[Colonne17]),FALSE),"")</f>
        <v/>
      </c>
      <c r="AR224" s="284" t="e">
        <f>IF(VLOOKUP(T_Convention[[#This Row],[NumL]],T_TraitDi[#Data],COLUMN(T_TraitDi[Colonne18]),FALSE)=0,"",TEXT(IFERROR(VLOOKUP(T_Convention[[#This Row],[NumL]],T_TraitDi[#Data],COLUMN(T_TraitDi[Colonne18]),FALSE),""),"[hh]:mm"))</f>
        <v>#N/A</v>
      </c>
      <c r="AS224" s="284" t="e">
        <f>IF(VLOOKUP(T_Convention[[#This Row],[NumL]],T_TraitDi[#Data],COLUMN(T_TraitDi[Colonne19]),FALSE)=0,"",TEXT(IFERROR(VLOOKUP(T_Convention[[#This Row],[NumL]],T_TraitDi[#Data],COLUMN(T_TraitDi[Colonne19]),FALSE),""),"[hh]:mm"))</f>
        <v>#N/A</v>
      </c>
      <c r="AT224" s="284" t="e">
        <f>IF(VLOOKUP(T_Convention[[#This Row],[NumL]],T_TraitDi[#Data],COLUMN(T_TraitDi[Colonne20]),FALSE)=0,"",TEXT(IFERROR(VLOOKUP(T_Convention[[#This Row],[NumL]],T_TraitDi[#Data],COLUMN(T_TraitDi[Colonne20]),FALSE),""),"[hh]:mm"))</f>
        <v>#N/A</v>
      </c>
      <c r="AU224" s="284" t="str">
        <f>IFERROR(VLOOKUP(T_Convention[[#This Row],[NumL]],T_TraitDi[#Data],COLUMN(T_TraitDi[Jeudi]),FALSE),"")</f>
        <v/>
      </c>
      <c r="AV224" s="284" t="e">
        <f>IF(VLOOKUP(T_Convention[[#This Row],[NumL]],T_TraitDi[#Data],COLUMN(T_TraitDi[Colonne21]),FALSE)=0,"",TEXT(IFERROR(VLOOKUP(T_Convention[[#This Row],[NumL]],T_TraitDi[#Data],COLUMN(T_TraitDi[Colonne21]),FALSE),""),"[hh]:mm"))</f>
        <v>#N/A</v>
      </c>
      <c r="AW224" s="284" t="e">
        <f>IF(VLOOKUP(T_Convention[[#This Row],[NumL]],T_TraitDi[#Data],COLUMN(T_TraitDi[Colonne22]),FALSE)=0,"",TEXT(IFERROR(VLOOKUP(T_Convention[[#This Row],[NumL]],T_TraitDi[#Data],COLUMN(T_TraitDi[Colonne22]),FALSE),""),"[hh]:mm"))</f>
        <v>#N/A</v>
      </c>
      <c r="AX224" s="284" t="str">
        <f>IFERROR(VLOOKUP(T_Convention[[#This Row],[NumL]],T_TraitDi[#Data],COLUMN(T_TraitDi[Colonne23]),FALSE),"")</f>
        <v/>
      </c>
      <c r="AY224" s="284" t="e">
        <f>IF(VLOOKUP(T_Convention[[#This Row],[NumL]],T_TraitDi[#Data],COLUMN(T_TraitDi[Colonne24]),FALSE)=0,"",TEXT(IFERROR(VLOOKUP(T_Convention[[#This Row],[NumL]],T_TraitDi[#Data],COLUMN(T_TraitDi[Colonne24]),FALSE),""),"[hh]:mm"))</f>
        <v>#N/A</v>
      </c>
      <c r="AZ224" s="284" t="e">
        <f>IF(VLOOKUP(T_Convention[[#This Row],[NumL]],T_TraitDi[#Data],COLUMN(T_TraitDi[Colonne25]),FALSE)=0,"",TEXT(IFERROR(VLOOKUP(T_Convention[[#This Row],[NumL]],T_TraitDi[#Data],COLUMN(T_TraitDi[Colonne25]),FALSE),""),"[hh]:mm"))</f>
        <v>#N/A</v>
      </c>
      <c r="BA224" s="284" t="e">
        <f>IF(VLOOKUP(T_Convention[[#This Row],[NumL]],T_TraitDi[#Data],COLUMN(T_TraitDi[Colonne26]),FALSE)=0,"",TEXT(IFERROR(VLOOKUP(T_Convention[[#This Row],[NumL]],T_TraitDi[#Data],COLUMN(T_TraitDi[Colonne26]),FALSE),""),"[hh]:mm"))</f>
        <v>#N/A</v>
      </c>
      <c r="BB224" s="284" t="str">
        <f>IFERROR(VLOOKUP(T_Convention[[#This Row],[NumL]],T_TraitDi[#Data],COLUMN(T_TraitDi[Vendredi]),FALSE),"")</f>
        <v/>
      </c>
      <c r="BC224" s="284" t="e">
        <f>IF(VLOOKUP(T_Convention[[#This Row],[NumL]],T_TraitDi[#Data],COLUMN(T_TraitDi[Colonne27]),FALSE)=0,"",TEXT(IFERROR(VLOOKUP(T_Convention[[#This Row],[NumL]],T_TraitDi[#Data],COLUMN(T_TraitDi[Colonne27]),FALSE),""),"[hh]:mm"))</f>
        <v>#N/A</v>
      </c>
      <c r="BD224" s="284" t="e">
        <f>IF(VLOOKUP(T_Convention[[#This Row],[NumL]],T_TraitDi[#Data],COLUMN(T_TraitDi[Colonne28]),FALSE)=0,"",TEXT(IFERROR(VLOOKUP(T_Convention[[#This Row],[NumL]],T_TraitDi[#Data],COLUMN(T_TraitDi[Colonne28]),FALSE),""),"[hh]:mm"))</f>
        <v>#N/A</v>
      </c>
      <c r="BE224" s="284" t="str">
        <f>IFERROR(VLOOKUP(T_Convention[[#This Row],[NumL]],T_TraitDi[#Data],COLUMN(T_TraitDi[Colonne29]),FALSE),"")</f>
        <v/>
      </c>
      <c r="BF224" s="284" t="e">
        <f>IF(VLOOKUP(T_Convention[[#This Row],[NumL]],T_TraitDi[#Data],COLUMN(T_TraitDi[Colonne30]),FALSE)=0,"",TEXT(IFERROR(VLOOKUP(T_Convention[[#This Row],[NumL]],T_TraitDi[#Data],COLUMN(T_TraitDi[Colonne30]),FALSE),""),"[hh]:mm"))</f>
        <v>#N/A</v>
      </c>
      <c r="BG224" s="284" t="e">
        <f>IF(VLOOKUP(T_Convention[[#This Row],[NumL]],T_TraitDi[#Data],COLUMN(T_TraitDi[Colonne31]),FALSE)=0,"",TEXT(IFERROR(VLOOKUP(T_Convention[[#This Row],[NumL]],T_TraitDi[#Data],COLUMN(T_TraitDi[Colonne31]),FALSE),""),"[hh]:mm"))</f>
        <v>#N/A</v>
      </c>
      <c r="BH224" s="284" t="e">
        <f>IF(VLOOKUP(T_Convention[[#This Row],[NumL]],T_TraitDi[#Data],COLUMN(T_TraitDi[Colonne32]),FALSE)=0,"",TEXT(IFERROR(VLOOKUP(T_Convention[[#This Row],[NumL]],T_TraitDi[#Data],COLUMN(T_TraitDi[Colonne32]),FALSE),""),"[hh]:mm"))</f>
        <v>#N/A</v>
      </c>
      <c r="BI224" s="284" t="str">
        <f>IFERROR(VLOOKUP(T_Convention[[#This Row],[NumL]],T_TraitDi[#Data],COLUMN(T_TraitDi[NbJTW]),FALSE),"")</f>
        <v/>
      </c>
      <c r="BJ224" s="284" t="e">
        <f>IF(VLOOKUP(T_Convention[[#This Row],[NumL]],T_TraitDi[#Data],COLUMN(T_TraitDi[NbhTW]),FALSE)=0,"",TEXT(IFERROR(VLOOKUP(T_Convention[[#This Row],[NumL]],T_TraitDi[#Data],COLUMN(T_TraitDi[NbhTW]),FALSE),""),"[hh]:mm"))</f>
        <v>#N/A</v>
      </c>
      <c r="BK224" s="286" t="e">
        <f>IF(VLOOKUP(T_Convention[[#This Row],[NumL]],T_TraitDi[#Data],COLUMN(T_TraitDi[Nbhheb]),FALSE)=0,"",TEXT(IFERROR(VLOOKUP(T_Convention[[#This Row],[NumL]],T_TraitDi[#Data],COLUMN(T_TraitDi[Nbhheb]),FALSE),""),"[hh]:mm"))</f>
        <v>#N/A</v>
      </c>
      <c r="BL224" s="287" t="str">
        <f>IFERROR(VLOOKUP(VLOOKUP(T_Convention[[#This Row],[NumL]],T_TraitDi[#Data],COLUMN(T_TraitDi[Type1]),FALSE),TypeTW,2,FALSE),"")</f>
        <v/>
      </c>
      <c r="BM224" s="288" t="str">
        <f>IFERROR(VLOOKUP(T_Convention[[#This Row],[NumL]],T_TraitDi[#Data],COLUMN(T_TraitDi[Rue1]),FALSE),"")</f>
        <v/>
      </c>
      <c r="BN224" s="289" t="str">
        <f>IFERROR(VLOOKUP(T_Convention[[#This Row],[NumL]],T_TraitDi[#Data],COLUMN(T_TraitDi[CP1]),FALSE),"")</f>
        <v/>
      </c>
      <c r="BO224" s="282" t="str">
        <f>IFERROR(VLOOKUP(T_Convention[[#This Row],[NumL]],T_TraitDi[#Data],COLUMN(T_TraitDi[VILLE1]),FALSE),"")</f>
        <v/>
      </c>
      <c r="BP224" s="290" t="str">
        <f>IFERROR(VLOOKUP(VLOOKUP(T_Convention[[#This Row],[NumL]],T_TraitDi[#Data],COLUMN(T_TraitDi[Type2]),FALSE),TypeTW,2,FALSE),"")</f>
        <v/>
      </c>
      <c r="BQ224" s="182" t="str">
        <f>IFERROR(VLOOKUP(T_Convention[[#This Row],[NumL]],T_TraitDi[#Data],COLUMN(T_TraitDi[Rue2]),FALSE),"")</f>
        <v/>
      </c>
      <c r="BR224" s="173" t="str">
        <f>IFERROR(VLOOKUP(T_Convention[[#This Row],[NumL]],T_TraitDi[#Data],COLUMN(T_TraitDi[CP2]),FALSE),"")</f>
        <v/>
      </c>
      <c r="BS224" s="173" t="str">
        <f>IFERROR(VLOOKUP(T_Convention[[#This Row],[NumL]],T_TraitDi[#Data],COLUMN(T_TraitDi[VILLE2]),FALSE),"")</f>
        <v/>
      </c>
      <c r="BT224" s="182" t="str">
        <f>IF(VLOOKUP(T_Convention[[#This Row],[NumL]],T_Equipement[#Data],COLUMN(T_Equipement[PC]),FALSE)="","Aucun équipement spécifique directement lié au télétravail",VLOOKUP(T_Convention[[#This Row],[NumL]],T_Equipement[#Data],COLUMN(T_Equipement[PC]),FALSE))</f>
        <v xml:space="preserve">17-044	</v>
      </c>
      <c r="BU224" s="166" t="str">
        <f>IFERROR(IF(VLOOKUP(T_Convention[[#This Row],[NumL]],T_TraitDi[#Data],COLUMN(T_TraitDi[Plan]),FALSE)="OK","Un planning spécifique de télétravail est annexé à la présente convention.",""),"")</f>
        <v/>
      </c>
      <c r="BV224" s="185" t="s">
        <v>3326</v>
      </c>
      <c r="BW224" s="164" t="e">
        <f>IF(VLOOKUP(T_Convention[[#This Row],[NumL]],T_suiviDi[#Data],COLUMN(T_suiviDi[Entité]),FALSE)="","",VLOOKUP(T_Convention[[#This Row],[NumL]],T_suiviDi[#Data],COLUMN(T_suiviDi[Entité]),FALSE))</f>
        <v>#N/A</v>
      </c>
      <c r="BX224" s="164" t="str">
        <f>IF(VLOOKUP(T_Convention[[#This Row],[NumL]],T_Commission[#Data],COLUMN(T_Commission[envoi confirm TW]),FALSE)="","",VLOOKUP(T_Convention[[#This Row],[NumL]],T_Commission[#Data],COLUMN(T_Commission[envoi confirm TW]),FALSE))</f>
        <v>Oui</v>
      </c>
      <c r="BY22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4" s="264">
        <f>VLOOKUP(T_Convention[[#This Row],[NumL]],T_Commission[#Data],COLUMN(T_Commission[Commentaire]),FALSE)</f>
        <v>0</v>
      </c>
      <c r="CA224" s="254" t="str">
        <f>IF(VLOOKUP(T_Convention[[#This Row],[NumL]],T_Commission[#Data],COLUMN(T_Commission[Encadrant Email]),FALSE)="","",VLOOKUP(T_Convention[[#This Row],[NumL]],T_Commission[#Data],COLUMN(T_Commission[Encadrant Email]),FALSE))</f>
        <v/>
      </c>
      <c r="CB224" s="352" t="e">
        <f>VLOOKUP(T_Convention[[#This Row],[NumL]],T_TraitDi[#Data],COLUMN(T_TraitDi[NbJTot]),FALSE)</f>
        <v>#N/A</v>
      </c>
      <c r="CC224" s="352" t="e">
        <f>VLOOKUP(T_Convention[[#This Row],[NumL]],T_TraitDi[#Data],COLUMN(T_TraitDi[Reg Ponct]),FALSE)</f>
        <v>#N/A</v>
      </c>
      <c r="CD224" s="348" t="str">
        <f>IF(T_Convention[[#This Row],[Final]]&lt;&gt;"",VLOOKUP(T_Convention[[#This Row],[NumL]],T_suiviDi[#Data],COLUMN((T_suiviDi[Statut])),FALSE),"")</f>
        <v/>
      </c>
    </row>
    <row r="225" spans="1:82" s="106" customFormat="1" ht="18.75" customHeight="1" x14ac:dyDescent="0.25">
      <c r="A225" s="160">
        <v>243</v>
      </c>
      <c r="B225" s="161" t="str">
        <f>VLOOKUP(T_Convention[[#This Row],[NumL]],T_Commission[#Data],COLUMN(T_Commission[FINAL]),FALSE)</f>
        <v/>
      </c>
      <c r="C225" s="162"/>
      <c r="D225" s="95" t="e">
        <f>IF(VLOOKUP(T_Convention[[#This Row],[NumL]],T_TraitDi[#Data],COLUMN(T_TraitDi[WebC]),FALSE)="","",VLOOKUP(T_Convention[[#This Row],[NumL]],T_TraitDi[#Data],COLUMN(T_TraitDi[WebC]),FALSE))</f>
        <v>#N/A</v>
      </c>
      <c r="E225" s="163" t="str">
        <f t="shared" si="15"/>
        <v>12 janvier 2021</v>
      </c>
      <c r="F225" s="282" t="str">
        <f>IF(T_Convention[[#This Row],[Final]]&lt;&gt;"",VLOOKUP(T_Convention[[#This Row],[NumL]],T_suiviDi[#Data],COLUMN((T_suiviDi[Civ.])),FALSE),"")</f>
        <v/>
      </c>
      <c r="G225" s="283" t="str">
        <f>IF(T_Convention[[#This Row],[Final]]&lt;&gt;"",VLOOKUP(T_Convention[[#This Row],[NumL]],T_suiviDi[#Data],COLUMN((T_suiviDi[Nom])),FALSE),"")</f>
        <v/>
      </c>
      <c r="H225" s="282" t="str">
        <f>IF(T_Convention[[#This Row],[Final]]&lt;&gt;"",VLOOKUP(T_Convention[[#This Row],[NumL]],T_suiviDi[#Data],COLUMN((T_suiviDi[Prénom])),FALSE),"")</f>
        <v/>
      </c>
      <c r="I225" s="282" t="e">
        <f>VLOOKUP(T_Convention[[#This Row],[NumL]],T_suiviDi[#Data],COLUMN((T_suiviDi[[#This Row],[Email]])),FALSE)</f>
        <v>#VALUE!</v>
      </c>
      <c r="J225" s="282" t="e">
        <f>IF(VLOOKUP(T_Convention[[#This Row],[NumL]],T_suiviDi[#Data],COLUMN(T_suiviDi[[#This Row],[Fonction]]),FALSE)="","",VLOOKUP(T_Convention[[#This Row],[NumL]],T_suiviDi[#Data],COLUMN(T_suiviDi[[#This Row],[Fonction]]),FALSE))</f>
        <v>#VALUE!</v>
      </c>
      <c r="K225" s="282" t="e">
        <f>IF(VLOOKUP(T_Convention[[#This Row],[NumL]],T_suiviDi[#Data],COLUMN(T_suiviDi[[#This Row],[Grade]]),FALSE)="","",VLOOKUP(T_Convention[[#This Row],[NumL]],T_suiviDi[#Data],COLUMN(T_suiviDi[[#This Row],[Grade]]),FALSE))</f>
        <v>#VALUE!</v>
      </c>
      <c r="L225" s="282" t="e">
        <f>IF(VLOOKUP(T_Convention[[#This Row],[NumL]],T_suiviDi[#Data],COLUMN(T_suiviDi[[#This Row],[Service ]]),FALSE)="","",VLOOKUP(T_Convention[[#This Row],[NumL]],T_suiviDi[#Data],COLUMN(T_suiviDi[[#This Row],[Service ]]),FALSE))</f>
        <v>#VALUE!</v>
      </c>
      <c r="M225" s="164" t="str">
        <f t="shared" si="16"/>
        <v>01 septembre 2021</v>
      </c>
      <c r="N225" s="164" t="str">
        <f t="shared" si="17"/>
        <v>30 novembre 2021</v>
      </c>
      <c r="O225" s="284" t="str">
        <f t="shared" si="18"/>
        <v>30 novembre 2021</v>
      </c>
      <c r="P225" s="282" t="e">
        <f>IF(VLOOKUP(T_Convention[[#This Row],[NumL]],T_TraitDi[#Data],COLUMN(T_TraitDi[M1]),FALSE)="","",VLOOKUP(T_Convention[[#This Row],[NumL]],T_TraitDi[#Data],COLUMN(T_TraitDi[M1]),FALSE))</f>
        <v>#N/A</v>
      </c>
      <c r="Q225" s="282" t="e">
        <f>IF(VLOOKUP(T_Convention[[#This Row],[NumL]],T_TraitDi[#Data],COLUMN(T_TraitDi[M2]),FALSE)="","",VLOOKUP(T_Convention[[#This Row],[NumL]],T_TraitDi[#Data],COLUMN(T_TraitDi[M2]),FALSE))</f>
        <v>#N/A</v>
      </c>
      <c r="R225" s="282" t="e">
        <f>IF(VLOOKUP(T_Convention[[#This Row],[NumL]],T_TraitDi[#Data],COLUMN(T_TraitDi[M3]),FALSE)="","",VLOOKUP(T_Convention[[#This Row],[NumL]],T_TraitDi[#Data],COLUMN(T_TraitDi[M3]),FALSE))</f>
        <v>#N/A</v>
      </c>
      <c r="S225" s="282" t="e">
        <f>IF(VLOOKUP(T_Convention[[#This Row],[NumL]],T_TraitDi[#Data],COLUMN(T_TraitDi[M4]),FALSE)="","",VLOOKUP(T_Convention[[#This Row],[NumL]],T_TraitDi[#Data],COLUMN(T_TraitDi[M4]),FALSE))</f>
        <v>#N/A</v>
      </c>
      <c r="T225" s="282" t="e">
        <f>IF(VLOOKUP(T_Convention[[#This Row],[NumL]],T_TraitDi[#Data],COLUMN(T_TraitDi[M5]),FALSE)="","",VLOOKUP(T_Convention[[#This Row],[NumL]],T_TraitDi[#Data],COLUMN(T_TraitDi[M5]),FALSE))</f>
        <v>#N/A</v>
      </c>
      <c r="U225" s="282" t="e">
        <f>IF(VLOOKUP(T_Convention[[#This Row],[NumL]],T_TraitDi[#Data],COLUMN(T_TraitDi[M6]),FALSE)="","",VLOOKUP(T_Convention[[#This Row],[NumL]],T_TraitDi[#Data],COLUMN(T_TraitDi[M6]),FALSE))</f>
        <v>#N/A</v>
      </c>
      <c r="V225" s="176" t="e">
        <f t="shared" si="19"/>
        <v>#N/A</v>
      </c>
      <c r="W225" s="284" t="str">
        <f>IFERROR(TEXT(VLOOKUP(T_Convention[[#This Row],[NumL]],T_TraitDi[#Data],COLUMN(T_TraitDi[Q2]),FALSE),"###%"),"")</f>
        <v/>
      </c>
      <c r="X225" s="97" t="e">
        <f>VLOOKUP(T_Convention[[#This Row],[NumL]],T_TraitDi[#Data],COLUMN(T_TraitDi[Reg Ponct]),FALSE)</f>
        <v>#N/A</v>
      </c>
      <c r="Y225" s="97" t="e">
        <f>VLOOKUP(T_Convention[NumL],T_TraitDi[#Data],COLUMN(T_TraitDi[Jours flottants]),FALSE)</f>
        <v>#N/A</v>
      </c>
      <c r="Z225" s="284" t="str">
        <f>IFERROR(VLOOKUP(T_Convention[[#This Row],[NumL]],T_TraitDi[#Data],COLUMN(T_TraitDi[Lundi]),FALSE),"")</f>
        <v/>
      </c>
      <c r="AA225" s="284" t="e">
        <f>IF(VLOOKUP(T_Convention[[#This Row],[NumL]],T_TraitDi[#Data],COLUMN(T_TraitDi[Colonne3]),FALSE)=0,"",TEXT(IFERROR(VLOOKUP(T_Convention[[#This Row],[NumL]],T_TraitDi[#Data],COLUMN(T_TraitDi[Colonne3]),FALSE),""),"[hh]:mm"))</f>
        <v>#N/A</v>
      </c>
      <c r="AB225" s="284" t="e">
        <f>IF(VLOOKUP(T_Convention[[#This Row],[NumL]],T_TraitDi[#Data],COLUMN(T_TraitDi[Colonne4]),FALSE)=0,"",TEXT(IFERROR(VLOOKUP(T_Convention[[#This Row],[NumL]],T_TraitDi[#Data],COLUMN(T_TraitDi[Colonne4]),FALSE),""),"[hh]:mm"))</f>
        <v>#N/A</v>
      </c>
      <c r="AC225" s="284" t="e">
        <f>IF(VLOOKUP(T_Convention[[#This Row],[NumL]],T_TraitDi[#Data],COLUMN(T_TraitDi[Colonne5]),FALSE)=0,"",TEXT(IFERROR(VLOOKUP(T_Convention[[#This Row],[NumL]],T_TraitDi[#Data],COLUMN(T_TraitDi[Colonne5]),FALSE),""),"[hh]:mm"))</f>
        <v>#N/A</v>
      </c>
      <c r="AD225" s="284" t="e">
        <f>IF(VLOOKUP(T_Convention[[#This Row],[NumL]],T_TraitDi[#Data],COLUMN(T_TraitDi[Colonne6]),FALSE)=0,"",TEXT(IFERROR(VLOOKUP(T_Convention[[#This Row],[NumL]],T_TraitDi[#Data],COLUMN(T_TraitDi[Colonne6]),FALSE),""),"[hh]:mm"))</f>
        <v>#N/A</v>
      </c>
      <c r="AE225" s="284" t="e">
        <f>IF(VLOOKUP(T_Convention[[#This Row],[NumL]],T_TraitDi[#Data],COLUMN(T_TraitDi[Colonne7]),FALSE)=0,"",TEXT(IFERROR(VLOOKUP(T_Convention[[#This Row],[NumL]],T_TraitDi[#Data],COLUMN(T_TraitDi[Colonne7]),FALSE),""),"[hh]:mm"))</f>
        <v>#N/A</v>
      </c>
      <c r="AF225" s="284" t="e">
        <f>IF(VLOOKUP(T_Convention[[#This Row],[NumL]],T_TraitDi[#Data],COLUMN(T_TraitDi[Colonne8]),FALSE)=0,"",TEXT(IFERROR(VLOOKUP(T_Convention[[#This Row],[NumL]],T_TraitDi[#Data],COLUMN(T_TraitDi[Colonne8]),FALSE),""),"[hh]:mm"))</f>
        <v>#N/A</v>
      </c>
      <c r="AG225" s="284" t="str">
        <f>IFERROR(VLOOKUP(T_Convention[[#This Row],[NumL]],T_TraitDi[#Data],COLUMN(T_TraitDi[Mardi]),FALSE),"")</f>
        <v/>
      </c>
      <c r="AH225" s="284" t="e">
        <f>IF(VLOOKUP(T_Convention[[#This Row],[NumL]],T_TraitDi[#Data],COLUMN(T_TraitDi[Colonne1]),FALSE)=0,"",TEXT(IFERROR(VLOOKUP(T_Convention[[#This Row],[NumL]],T_TraitDi[#Data],COLUMN(T_TraitDi[Colonne1]),FALSE),""),"[hh]:mm"))</f>
        <v>#N/A</v>
      </c>
      <c r="AI225" s="284" t="e">
        <f>IF(VLOOKUP(T_Convention[[#This Row],[NumL]],T_TraitDi[#Data],COLUMN(T_TraitDi[Colonne9]),FALSE)=0,"",TEXT(IFERROR(VLOOKUP(T_Convention[[#This Row],[NumL]],T_TraitDi[#Data],COLUMN(T_TraitDi[Colonne9]),FALSE),""),"[hh]:mm"))</f>
        <v>#N/A</v>
      </c>
      <c r="AJ225" s="284" t="str">
        <f>IFERROR(VLOOKUP(T_Convention[[#This Row],[NumL]],T_TraitDi[#Data],COLUMN(T_TraitDi[Colonne10]),FALSE),"")</f>
        <v/>
      </c>
      <c r="AK225" s="284" t="e">
        <f>IF(VLOOKUP(T_Convention[[#This Row],[NumL]],T_TraitDi[#Data],COLUMN(T_TraitDi[Colonne11]),FALSE)=0,"",TEXT(IFERROR(VLOOKUP(T_Convention[[#This Row],[NumL]],T_TraitDi[#Data],COLUMN(T_TraitDi[Colonne11]),FALSE),""),"[hh]:mm"))</f>
        <v>#N/A</v>
      </c>
      <c r="AL225" s="284" t="e">
        <f>IF(VLOOKUP(T_Convention[[#This Row],[NumL]],T_TraitDi[#Data],COLUMN(T_TraitDi[Colonne12]),FALSE)=0,"",TEXT(IFERROR(VLOOKUP(T_Convention[[#This Row],[NumL]],T_TraitDi[#Data],COLUMN(T_TraitDi[Colonne12]),FALSE),""),"[hh]:mm"))</f>
        <v>#N/A</v>
      </c>
      <c r="AM225" s="284" t="e">
        <f>IF(VLOOKUP(T_Convention[[#This Row],[NumL]],T_TraitDi[#Data],COLUMN(T_TraitDi[Colonne14]),FALSE)=0,"",TEXT(IFERROR(VLOOKUP(T_Convention[[#This Row],[NumL]],T_TraitDi[#Data],COLUMN(T_TraitDi[Colonne14]),FALSE),""),"[hh]:mm"))</f>
        <v>#N/A</v>
      </c>
      <c r="AN225" s="284" t="str">
        <f>IFERROR(VLOOKUP(T_Convention[[#This Row],[NumL]],T_TraitDi[#Data],COLUMN(T_TraitDi[Mercredi]),FALSE),"")</f>
        <v/>
      </c>
      <c r="AO225" s="284" t="e">
        <f>IF(VLOOKUP(T_Convention[[#This Row],[NumL]],T_TraitDi[#Data],COLUMN(T_TraitDi[Colonne15]),FALSE)=0,"",TEXT(IFERROR(VLOOKUP(T_Convention[[#This Row],[NumL]],T_TraitDi[#Data],COLUMN(T_TraitDi[Colonne15]),FALSE),""),"[hh]:mm"))</f>
        <v>#N/A</v>
      </c>
      <c r="AP225" s="284" t="e">
        <f>IF(VLOOKUP(T_Convention[[#This Row],[NumL]],T_TraitDi[#Data],COLUMN(T_TraitDi[Colonne16]),FALSE)=0,"",TEXT(IFERROR(VLOOKUP(T_Convention[[#This Row],[NumL]],T_TraitDi[#Data],COLUMN(T_TraitDi[Colonne16]),FALSE),""),"[hh]:mm"))</f>
        <v>#N/A</v>
      </c>
      <c r="AQ225" s="284" t="str">
        <f>IFERROR(VLOOKUP(T_Convention[[#This Row],[NumL]],T_TraitDi[#Data],COLUMN(T_TraitDi[Colonne17]),FALSE),"")</f>
        <v/>
      </c>
      <c r="AR225" s="284" t="e">
        <f>IF(VLOOKUP(T_Convention[[#This Row],[NumL]],T_TraitDi[#Data],COLUMN(T_TraitDi[Colonne18]),FALSE)=0,"",TEXT(IFERROR(VLOOKUP(T_Convention[[#This Row],[NumL]],T_TraitDi[#Data],COLUMN(T_TraitDi[Colonne18]),FALSE),""),"[hh]:mm"))</f>
        <v>#N/A</v>
      </c>
      <c r="AS225" s="284" t="e">
        <f>IF(VLOOKUP(T_Convention[[#This Row],[NumL]],T_TraitDi[#Data],COLUMN(T_TraitDi[Colonne19]),FALSE)=0,"",TEXT(IFERROR(VLOOKUP(T_Convention[[#This Row],[NumL]],T_TraitDi[#Data],COLUMN(T_TraitDi[Colonne19]),FALSE),""),"[hh]:mm"))</f>
        <v>#N/A</v>
      </c>
      <c r="AT225" s="284" t="e">
        <f>IF(VLOOKUP(T_Convention[[#This Row],[NumL]],T_TraitDi[#Data],COLUMN(T_TraitDi[Colonne20]),FALSE)=0,"",TEXT(IFERROR(VLOOKUP(T_Convention[[#This Row],[NumL]],T_TraitDi[#Data],COLUMN(T_TraitDi[Colonne20]),FALSE),""),"[hh]:mm"))</f>
        <v>#N/A</v>
      </c>
      <c r="AU225" s="284" t="str">
        <f>IFERROR(VLOOKUP(T_Convention[[#This Row],[NumL]],T_TraitDi[#Data],COLUMN(T_TraitDi[Jeudi]),FALSE),"")</f>
        <v/>
      </c>
      <c r="AV225" s="284" t="e">
        <f>IF(VLOOKUP(T_Convention[[#This Row],[NumL]],T_TraitDi[#Data],COLUMN(T_TraitDi[Colonne21]),FALSE)=0,"",TEXT(IFERROR(VLOOKUP(T_Convention[[#This Row],[NumL]],T_TraitDi[#Data],COLUMN(T_TraitDi[Colonne21]),FALSE),""),"[hh]:mm"))</f>
        <v>#N/A</v>
      </c>
      <c r="AW225" s="284" t="e">
        <f>IF(VLOOKUP(T_Convention[[#This Row],[NumL]],T_TraitDi[#Data],COLUMN(T_TraitDi[Colonne22]),FALSE)=0,"",TEXT(IFERROR(VLOOKUP(T_Convention[[#This Row],[NumL]],T_TraitDi[#Data],COLUMN(T_TraitDi[Colonne22]),FALSE),""),"[hh]:mm"))</f>
        <v>#N/A</v>
      </c>
      <c r="AX225" s="284" t="str">
        <f>IFERROR(VLOOKUP(T_Convention[[#This Row],[NumL]],T_TraitDi[#Data],COLUMN(T_TraitDi[Colonne23]),FALSE),"")</f>
        <v/>
      </c>
      <c r="AY225" s="284" t="e">
        <f>IF(VLOOKUP(T_Convention[[#This Row],[NumL]],T_TraitDi[#Data],COLUMN(T_TraitDi[Colonne24]),FALSE)=0,"",TEXT(IFERROR(VLOOKUP(T_Convention[[#This Row],[NumL]],T_TraitDi[#Data],COLUMN(T_TraitDi[Colonne24]),FALSE),""),"[hh]:mm"))</f>
        <v>#N/A</v>
      </c>
      <c r="AZ225" s="284" t="e">
        <f>IF(VLOOKUP(T_Convention[[#This Row],[NumL]],T_TraitDi[#Data],COLUMN(T_TraitDi[Colonne25]),FALSE)=0,"",TEXT(IFERROR(VLOOKUP(T_Convention[[#This Row],[NumL]],T_TraitDi[#Data],COLUMN(T_TraitDi[Colonne25]),FALSE),""),"[hh]:mm"))</f>
        <v>#N/A</v>
      </c>
      <c r="BA225" s="284" t="e">
        <f>IF(VLOOKUP(T_Convention[[#This Row],[NumL]],T_TraitDi[#Data],COLUMN(T_TraitDi[Colonne26]),FALSE)=0,"",TEXT(IFERROR(VLOOKUP(T_Convention[[#This Row],[NumL]],T_TraitDi[#Data],COLUMN(T_TraitDi[Colonne26]),FALSE),""),"[hh]:mm"))</f>
        <v>#N/A</v>
      </c>
      <c r="BB225" s="284" t="str">
        <f>IFERROR(VLOOKUP(T_Convention[[#This Row],[NumL]],T_TraitDi[#Data],COLUMN(T_TraitDi[Vendredi]),FALSE),"")</f>
        <v/>
      </c>
      <c r="BC225" s="284" t="e">
        <f>IF(VLOOKUP(T_Convention[[#This Row],[NumL]],T_TraitDi[#Data],COLUMN(T_TraitDi[Colonne27]),FALSE)=0,"",TEXT(IFERROR(VLOOKUP(T_Convention[[#This Row],[NumL]],T_TraitDi[#Data],COLUMN(T_TraitDi[Colonne27]),FALSE),""),"[hh]:mm"))</f>
        <v>#N/A</v>
      </c>
      <c r="BD225" s="284" t="e">
        <f>IF(VLOOKUP(T_Convention[[#This Row],[NumL]],T_TraitDi[#Data],COLUMN(T_TraitDi[Colonne28]),FALSE)=0,"",TEXT(IFERROR(VLOOKUP(T_Convention[[#This Row],[NumL]],T_TraitDi[#Data],COLUMN(T_TraitDi[Colonne28]),FALSE),""),"[hh]:mm"))</f>
        <v>#N/A</v>
      </c>
      <c r="BE225" s="284" t="str">
        <f>IFERROR(VLOOKUP(T_Convention[[#This Row],[NumL]],T_TraitDi[#Data],COLUMN(T_TraitDi[Colonne29]),FALSE),"")</f>
        <v/>
      </c>
      <c r="BF225" s="284" t="e">
        <f>IF(VLOOKUP(T_Convention[[#This Row],[NumL]],T_TraitDi[#Data],COLUMN(T_TraitDi[Colonne30]),FALSE)=0,"",TEXT(IFERROR(VLOOKUP(T_Convention[[#This Row],[NumL]],T_TraitDi[#Data],COLUMN(T_TraitDi[Colonne30]),FALSE),""),"[hh]:mm"))</f>
        <v>#N/A</v>
      </c>
      <c r="BG225" s="284" t="e">
        <f>IF(VLOOKUP(T_Convention[[#This Row],[NumL]],T_TraitDi[#Data],COLUMN(T_TraitDi[Colonne31]),FALSE)=0,"",TEXT(IFERROR(VLOOKUP(T_Convention[[#This Row],[NumL]],T_TraitDi[#Data],COLUMN(T_TraitDi[Colonne31]),FALSE),""),"[hh]:mm"))</f>
        <v>#N/A</v>
      </c>
      <c r="BH225" s="284" t="e">
        <f>IF(VLOOKUP(T_Convention[[#This Row],[NumL]],T_TraitDi[#Data],COLUMN(T_TraitDi[Colonne32]),FALSE)=0,"",TEXT(IFERROR(VLOOKUP(T_Convention[[#This Row],[NumL]],T_TraitDi[#Data],COLUMN(T_TraitDi[Colonne32]),FALSE),""),"[hh]:mm"))</f>
        <v>#N/A</v>
      </c>
      <c r="BI225" s="284" t="str">
        <f>IFERROR(VLOOKUP(T_Convention[[#This Row],[NumL]],T_TraitDi[#Data],COLUMN(T_TraitDi[NbJTW]),FALSE),"")</f>
        <v/>
      </c>
      <c r="BJ225" s="284" t="e">
        <f>IF(VLOOKUP(T_Convention[[#This Row],[NumL]],T_TraitDi[#Data],COLUMN(T_TraitDi[NbhTW]),FALSE)=0,"",TEXT(IFERROR(VLOOKUP(T_Convention[[#This Row],[NumL]],T_TraitDi[#Data],COLUMN(T_TraitDi[NbhTW]),FALSE),""),"[hh]:mm"))</f>
        <v>#N/A</v>
      </c>
      <c r="BK225" s="286" t="e">
        <f>IF(VLOOKUP(T_Convention[[#This Row],[NumL]],T_TraitDi[#Data],COLUMN(T_TraitDi[Nbhheb]),FALSE)=0,"",TEXT(IFERROR(VLOOKUP(T_Convention[[#This Row],[NumL]],T_TraitDi[#Data],COLUMN(T_TraitDi[Nbhheb]),FALSE),""),"[hh]:mm"))</f>
        <v>#N/A</v>
      </c>
      <c r="BL225" s="287" t="str">
        <f>IFERROR(VLOOKUP(VLOOKUP(T_Convention[[#This Row],[NumL]],T_TraitDi[#Data],COLUMN(T_TraitDi[Type1]),FALSE),TypeTW,2,FALSE),"")</f>
        <v/>
      </c>
      <c r="BM225" s="288" t="str">
        <f>IFERROR(VLOOKUP(T_Convention[[#This Row],[NumL]],T_TraitDi[#Data],COLUMN(T_TraitDi[Rue1]),FALSE),"")</f>
        <v/>
      </c>
      <c r="BN225" s="289" t="str">
        <f>IFERROR(VLOOKUP(T_Convention[[#This Row],[NumL]],T_TraitDi[#Data],COLUMN(T_TraitDi[CP1]),FALSE),"")</f>
        <v/>
      </c>
      <c r="BO225" s="282" t="str">
        <f>IFERROR(VLOOKUP(T_Convention[[#This Row],[NumL]],T_TraitDi[#Data],COLUMN(T_TraitDi[VILLE1]),FALSE),"")</f>
        <v/>
      </c>
      <c r="BP225" s="290" t="str">
        <f>IFERROR(VLOOKUP(VLOOKUP(T_Convention[[#This Row],[NumL]],T_TraitDi[#Data],COLUMN(T_TraitDi[Type2]),FALSE),TypeTW,2,FALSE),"")</f>
        <v/>
      </c>
      <c r="BQ225" s="182" t="str">
        <f>IFERROR(VLOOKUP(T_Convention[[#This Row],[NumL]],T_TraitDi[#Data],COLUMN(T_TraitDi[Rue2]),FALSE),"")</f>
        <v/>
      </c>
      <c r="BR225" s="173" t="str">
        <f>IFERROR(VLOOKUP(T_Convention[[#This Row],[NumL]],T_TraitDi[#Data],COLUMN(T_TraitDi[CP2]),FALSE),"")</f>
        <v/>
      </c>
      <c r="BS225" s="173" t="str">
        <f>IFERROR(VLOOKUP(T_Convention[[#This Row],[NumL]],T_TraitDi[#Data],COLUMN(T_TraitDi[VILLE2]),FALSE),"")</f>
        <v/>
      </c>
      <c r="BT225" s="182" t="str">
        <f>IF(VLOOKUP(T_Convention[[#This Row],[NumL]],T_Equipement[#Data],COLUMN(T_Equipement[PC]),FALSE)="","Aucun équipement spécifique directement lié au télétravail",VLOOKUP(T_Convention[[#This Row],[NumL]],T_Equipement[#Data],COLUMN(T_Equipement[PC]),FALSE))</f>
        <v xml:space="preserve">18-009	</v>
      </c>
      <c r="BU225" s="166" t="str">
        <f>IFERROR(IF(VLOOKUP(T_Convention[[#This Row],[NumL]],T_TraitDi[#Data],COLUMN(T_TraitDi[Plan]),FALSE)="OK","Un planning spécifique de télétravail est annexé à la présente convention.",""),"")</f>
        <v/>
      </c>
      <c r="BV225" s="185"/>
      <c r="BW225" s="164" t="e">
        <f>IF(VLOOKUP(T_Convention[[#This Row],[NumL]],T_suiviDi[#Data],COLUMN(T_suiviDi[Entité]),FALSE)="","",VLOOKUP(T_Convention[[#This Row],[NumL]],T_suiviDi[#Data],COLUMN(T_suiviDi[Entité]),FALSE))</f>
        <v>#N/A</v>
      </c>
      <c r="BX225" s="164" t="str">
        <f>IF(VLOOKUP(T_Convention[[#This Row],[NumL]],T_Commission[#Data],COLUMN(T_Commission[envoi confirm TW]),FALSE)="","",VLOOKUP(T_Convention[[#This Row],[NumL]],T_Commission[#Data],COLUMN(T_Commission[envoi confirm TW]),FALSE))</f>
        <v>Oui</v>
      </c>
      <c r="BY22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5" s="264">
        <f>VLOOKUP(T_Convention[[#This Row],[NumL]],T_Commission[#Data],COLUMN(T_Commission[Commentaire]),FALSE)</f>
        <v>0</v>
      </c>
      <c r="CA225" s="254" t="str">
        <f>IF(VLOOKUP(T_Convention[[#This Row],[NumL]],T_Commission[#Data],COLUMN(T_Commission[Encadrant Email]),FALSE)="","",VLOOKUP(T_Convention[[#This Row],[NumL]],T_Commission[#Data],COLUMN(T_Commission[Encadrant Email]),FALSE))</f>
        <v/>
      </c>
      <c r="CB225" s="352" t="e">
        <f>VLOOKUP(T_Convention[[#This Row],[NumL]],T_TraitDi[#Data],COLUMN(T_TraitDi[NbJTot]),FALSE)</f>
        <v>#N/A</v>
      </c>
      <c r="CC225" s="352" t="e">
        <f>VLOOKUP(T_Convention[[#This Row],[NumL]],T_TraitDi[#Data],COLUMN(T_TraitDi[Reg Ponct]),FALSE)</f>
        <v>#N/A</v>
      </c>
      <c r="CD225" s="348" t="str">
        <f>IF(T_Convention[[#This Row],[Final]]&lt;&gt;"",VLOOKUP(T_Convention[[#This Row],[NumL]],T_suiviDi[#Data],COLUMN((T_suiviDi[Statut])),FALSE),"")</f>
        <v/>
      </c>
    </row>
    <row r="226" spans="1:82" s="106" customFormat="1" ht="18.75" customHeight="1" x14ac:dyDescent="0.25">
      <c r="A226" s="160">
        <v>43</v>
      </c>
      <c r="B226" s="161" t="str">
        <f>VLOOKUP(T_Convention[[#This Row],[NumL]],T_Commission[#Data],COLUMN(T_Commission[FINAL]),FALSE)</f>
        <v/>
      </c>
      <c r="C226" s="162"/>
      <c r="D226" s="95" t="e">
        <f>IF(VLOOKUP(T_Convention[[#This Row],[NumL]],T_TraitDi[#Data],COLUMN(T_TraitDi[WebC]),FALSE)="","",VLOOKUP(T_Convention[[#This Row],[NumL]],T_TraitDi[#Data],COLUMN(T_TraitDi[WebC]),FALSE))</f>
        <v>#N/A</v>
      </c>
      <c r="E226" s="163" t="str">
        <f t="shared" si="15"/>
        <v>12 janvier 2021</v>
      </c>
      <c r="F226" s="282" t="str">
        <f>IF(T_Convention[[#This Row],[Final]]&lt;&gt;"",VLOOKUP(T_Convention[[#This Row],[NumL]],T_suiviDi[#Data],COLUMN((T_suiviDi[Civ.])),FALSE),"")</f>
        <v/>
      </c>
      <c r="G226" s="283" t="str">
        <f>IF(T_Convention[[#This Row],[Final]]&lt;&gt;"",VLOOKUP(T_Convention[[#This Row],[NumL]],T_suiviDi[#Data],COLUMN((T_suiviDi[Nom])),FALSE),"")</f>
        <v/>
      </c>
      <c r="H226" s="282" t="str">
        <f>IF(T_Convention[[#This Row],[Final]]&lt;&gt;"",VLOOKUP(T_Convention[[#This Row],[NumL]],T_suiviDi[#Data],COLUMN((T_suiviDi[Prénom])),FALSE),"")</f>
        <v/>
      </c>
      <c r="I226" s="282" t="e">
        <f>VLOOKUP(T_Convention[[#This Row],[NumL]],T_suiviDi[#Data],COLUMN((T_suiviDi[[#This Row],[Email]])),FALSE)</f>
        <v>#VALUE!</v>
      </c>
      <c r="J226" s="282" t="e">
        <f>IF(VLOOKUP(T_Convention[[#This Row],[NumL]],T_suiviDi[#Data],COLUMN(T_suiviDi[[#This Row],[Fonction]]),FALSE)="","",VLOOKUP(T_Convention[[#This Row],[NumL]],T_suiviDi[#Data],COLUMN(T_suiviDi[[#This Row],[Fonction]]),FALSE))</f>
        <v>#VALUE!</v>
      </c>
      <c r="K226" s="282" t="e">
        <f>IF(VLOOKUP(T_Convention[[#This Row],[NumL]],T_suiviDi[#Data],COLUMN(T_suiviDi[[#This Row],[Grade]]),FALSE)="","",VLOOKUP(T_Convention[[#This Row],[NumL]],T_suiviDi[#Data],COLUMN(T_suiviDi[[#This Row],[Grade]]),FALSE))</f>
        <v>#VALUE!</v>
      </c>
      <c r="L226" s="282" t="e">
        <f>IF(VLOOKUP(T_Convention[[#This Row],[NumL]],T_suiviDi[#Data],COLUMN(T_suiviDi[[#This Row],[Service ]]),FALSE)="","",VLOOKUP(T_Convention[[#This Row],[NumL]],T_suiviDi[#Data],COLUMN(T_suiviDi[[#This Row],[Service ]]),FALSE))</f>
        <v>#VALUE!</v>
      </c>
      <c r="M226" s="164" t="str">
        <f t="shared" si="16"/>
        <v>01 septembre 2021</v>
      </c>
      <c r="N226" s="164" t="str">
        <f t="shared" si="17"/>
        <v>30 novembre 2021</v>
      </c>
      <c r="O226" s="284" t="str">
        <f t="shared" si="18"/>
        <v>30 novembre 2021</v>
      </c>
      <c r="P226" s="282" t="e">
        <f>IF(VLOOKUP(T_Convention[[#This Row],[NumL]],T_TraitDi[#Data],COLUMN(T_TraitDi[M1]),FALSE)="","",VLOOKUP(T_Convention[[#This Row],[NumL]],T_TraitDi[#Data],COLUMN(T_TraitDi[M1]),FALSE))</f>
        <v>#N/A</v>
      </c>
      <c r="Q226" s="282" t="e">
        <f>IF(VLOOKUP(T_Convention[[#This Row],[NumL]],T_TraitDi[#Data],COLUMN(T_TraitDi[M2]),FALSE)="","",VLOOKUP(T_Convention[[#This Row],[NumL]],T_TraitDi[#Data],COLUMN(T_TraitDi[M2]),FALSE))</f>
        <v>#N/A</v>
      </c>
      <c r="R226" s="282" t="e">
        <f>IF(VLOOKUP(T_Convention[[#This Row],[NumL]],T_TraitDi[#Data],COLUMN(T_TraitDi[M3]),FALSE)="","",VLOOKUP(T_Convention[[#This Row],[NumL]],T_TraitDi[#Data],COLUMN(T_TraitDi[M3]),FALSE))</f>
        <v>#N/A</v>
      </c>
      <c r="S226" s="282" t="e">
        <f>IF(VLOOKUP(T_Convention[[#This Row],[NumL]],T_TraitDi[#Data],COLUMN(T_TraitDi[M4]),FALSE)="","",VLOOKUP(T_Convention[[#This Row],[NumL]],T_TraitDi[#Data],COLUMN(T_TraitDi[M4]),FALSE))</f>
        <v>#N/A</v>
      </c>
      <c r="T226" s="282" t="e">
        <f>IF(VLOOKUP(T_Convention[[#This Row],[NumL]],T_TraitDi[#Data],COLUMN(T_TraitDi[M5]),FALSE)="","",VLOOKUP(T_Convention[[#This Row],[NumL]],T_TraitDi[#Data],COLUMN(T_TraitDi[M5]),FALSE))</f>
        <v>#N/A</v>
      </c>
      <c r="U226" s="282" t="e">
        <f>IF(VLOOKUP(T_Convention[[#This Row],[NumL]],T_TraitDi[#Data],COLUMN(T_TraitDi[M6]),FALSE)="","",VLOOKUP(T_Convention[[#This Row],[NumL]],T_TraitDi[#Data],COLUMN(T_TraitDi[M6]),FALSE))</f>
        <v>#N/A</v>
      </c>
      <c r="V226" s="176" t="e">
        <f t="shared" si="19"/>
        <v>#N/A</v>
      </c>
      <c r="W226" s="284" t="str">
        <f>IFERROR(TEXT(VLOOKUP(T_Convention[[#This Row],[NumL]],T_TraitDi[#Data],COLUMN(T_TraitDi[Q2]),FALSE),"###%"),"")</f>
        <v/>
      </c>
      <c r="X226" s="97" t="e">
        <f>VLOOKUP(T_Convention[[#This Row],[NumL]],T_TraitDi[#Data],COLUMN(T_TraitDi[Reg Ponct]),FALSE)</f>
        <v>#N/A</v>
      </c>
      <c r="Y226" s="97" t="e">
        <f>VLOOKUP(T_Convention[NumL],T_TraitDi[#Data],COLUMN(T_TraitDi[Jours flottants]),FALSE)</f>
        <v>#N/A</v>
      </c>
      <c r="Z226" s="284" t="str">
        <f>IFERROR(VLOOKUP(T_Convention[[#This Row],[NumL]],T_TraitDi[#Data],COLUMN(T_TraitDi[Lundi]),FALSE),"")</f>
        <v/>
      </c>
      <c r="AA226" s="284" t="e">
        <f>IF(VLOOKUP(T_Convention[[#This Row],[NumL]],T_TraitDi[#Data],COLUMN(T_TraitDi[Colonne3]),FALSE)=0,"",TEXT(IFERROR(VLOOKUP(T_Convention[[#This Row],[NumL]],T_TraitDi[#Data],COLUMN(T_TraitDi[Colonne3]),FALSE),""),"[hh]:mm"))</f>
        <v>#N/A</v>
      </c>
      <c r="AB226" s="284" t="e">
        <f>IF(VLOOKUP(T_Convention[[#This Row],[NumL]],T_TraitDi[#Data],COLUMN(T_TraitDi[Colonne4]),FALSE)=0,"",TEXT(IFERROR(VLOOKUP(T_Convention[[#This Row],[NumL]],T_TraitDi[#Data],COLUMN(T_TraitDi[Colonne4]),FALSE),""),"[hh]:mm"))</f>
        <v>#N/A</v>
      </c>
      <c r="AC226" s="284" t="e">
        <f>IF(VLOOKUP(T_Convention[[#This Row],[NumL]],T_TraitDi[#Data],COLUMN(T_TraitDi[Colonne5]),FALSE)=0,"",TEXT(IFERROR(VLOOKUP(T_Convention[[#This Row],[NumL]],T_TraitDi[#Data],COLUMN(T_TraitDi[Colonne5]),FALSE),""),"[hh]:mm"))</f>
        <v>#N/A</v>
      </c>
      <c r="AD226" s="284" t="e">
        <f>IF(VLOOKUP(T_Convention[[#This Row],[NumL]],T_TraitDi[#Data],COLUMN(T_TraitDi[Colonne6]),FALSE)=0,"",TEXT(IFERROR(VLOOKUP(T_Convention[[#This Row],[NumL]],T_TraitDi[#Data],COLUMN(T_TraitDi[Colonne6]),FALSE),""),"[hh]:mm"))</f>
        <v>#N/A</v>
      </c>
      <c r="AE226" s="284" t="e">
        <f>IF(VLOOKUP(T_Convention[[#This Row],[NumL]],T_TraitDi[#Data],COLUMN(T_TraitDi[Colonne7]),FALSE)=0,"",TEXT(IFERROR(VLOOKUP(T_Convention[[#This Row],[NumL]],T_TraitDi[#Data],COLUMN(T_TraitDi[Colonne7]),FALSE),""),"[hh]:mm"))</f>
        <v>#N/A</v>
      </c>
      <c r="AF226" s="284" t="e">
        <f>IF(VLOOKUP(T_Convention[[#This Row],[NumL]],T_TraitDi[#Data],COLUMN(T_TraitDi[Colonne8]),FALSE)=0,"",TEXT(IFERROR(VLOOKUP(T_Convention[[#This Row],[NumL]],T_TraitDi[#Data],COLUMN(T_TraitDi[Colonne8]),FALSE),""),"[hh]:mm"))</f>
        <v>#N/A</v>
      </c>
      <c r="AG226" s="284" t="str">
        <f>IFERROR(VLOOKUP(T_Convention[[#This Row],[NumL]],T_TraitDi[#Data],COLUMN(T_TraitDi[Mardi]),FALSE),"")</f>
        <v/>
      </c>
      <c r="AH226" s="284" t="e">
        <f>IF(VLOOKUP(T_Convention[[#This Row],[NumL]],T_TraitDi[#Data],COLUMN(T_TraitDi[Colonne1]),FALSE)=0,"",TEXT(IFERROR(VLOOKUP(T_Convention[[#This Row],[NumL]],T_TraitDi[#Data],COLUMN(T_TraitDi[Colonne1]),FALSE),""),"[hh]:mm"))</f>
        <v>#N/A</v>
      </c>
      <c r="AI226" s="284" t="e">
        <f>IF(VLOOKUP(T_Convention[[#This Row],[NumL]],T_TraitDi[#Data],COLUMN(T_TraitDi[Colonne9]),FALSE)=0,"",TEXT(IFERROR(VLOOKUP(T_Convention[[#This Row],[NumL]],T_TraitDi[#Data],COLUMN(T_TraitDi[Colonne9]),FALSE),""),"[hh]:mm"))</f>
        <v>#N/A</v>
      </c>
      <c r="AJ226" s="284" t="str">
        <f>IFERROR(VLOOKUP(T_Convention[[#This Row],[NumL]],T_TraitDi[#Data],COLUMN(T_TraitDi[Colonne10]),FALSE),"")</f>
        <v/>
      </c>
      <c r="AK226" s="284" t="e">
        <f>IF(VLOOKUP(T_Convention[[#This Row],[NumL]],T_TraitDi[#Data],COLUMN(T_TraitDi[Colonne11]),FALSE)=0,"",TEXT(IFERROR(VLOOKUP(T_Convention[[#This Row],[NumL]],T_TraitDi[#Data],COLUMN(T_TraitDi[Colonne11]),FALSE),""),"[hh]:mm"))</f>
        <v>#N/A</v>
      </c>
      <c r="AL226" s="284" t="e">
        <f>IF(VLOOKUP(T_Convention[[#This Row],[NumL]],T_TraitDi[#Data],COLUMN(T_TraitDi[Colonne12]),FALSE)=0,"",TEXT(IFERROR(VLOOKUP(T_Convention[[#This Row],[NumL]],T_TraitDi[#Data],COLUMN(T_TraitDi[Colonne12]),FALSE),""),"[hh]:mm"))</f>
        <v>#N/A</v>
      </c>
      <c r="AM226" s="284" t="e">
        <f>IF(VLOOKUP(T_Convention[[#This Row],[NumL]],T_TraitDi[#Data],COLUMN(T_TraitDi[Colonne14]),FALSE)=0,"",TEXT(IFERROR(VLOOKUP(T_Convention[[#This Row],[NumL]],T_TraitDi[#Data],COLUMN(T_TraitDi[Colonne14]),FALSE),""),"[hh]:mm"))</f>
        <v>#N/A</v>
      </c>
      <c r="AN226" s="284" t="str">
        <f>IFERROR(VLOOKUP(T_Convention[[#This Row],[NumL]],T_TraitDi[#Data],COLUMN(T_TraitDi[Mercredi]),FALSE),"")</f>
        <v/>
      </c>
      <c r="AO226" s="284" t="e">
        <f>IF(VLOOKUP(T_Convention[[#This Row],[NumL]],T_TraitDi[#Data],COLUMN(T_TraitDi[Colonne15]),FALSE)=0,"",TEXT(IFERROR(VLOOKUP(T_Convention[[#This Row],[NumL]],T_TraitDi[#Data],COLUMN(T_TraitDi[Colonne15]),FALSE),""),"[hh]:mm"))</f>
        <v>#N/A</v>
      </c>
      <c r="AP226" s="284" t="e">
        <f>IF(VLOOKUP(T_Convention[[#This Row],[NumL]],T_TraitDi[#Data],COLUMN(T_TraitDi[Colonne16]),FALSE)=0,"",TEXT(IFERROR(VLOOKUP(T_Convention[[#This Row],[NumL]],T_TraitDi[#Data],COLUMN(T_TraitDi[Colonne16]),FALSE),""),"[hh]:mm"))</f>
        <v>#N/A</v>
      </c>
      <c r="AQ226" s="284" t="str">
        <f>IFERROR(VLOOKUP(T_Convention[[#This Row],[NumL]],T_TraitDi[#Data],COLUMN(T_TraitDi[Colonne17]),FALSE),"")</f>
        <v/>
      </c>
      <c r="AR226" s="284" t="e">
        <f>IF(VLOOKUP(T_Convention[[#This Row],[NumL]],T_TraitDi[#Data],COLUMN(T_TraitDi[Colonne18]),FALSE)=0,"",TEXT(IFERROR(VLOOKUP(T_Convention[[#This Row],[NumL]],T_TraitDi[#Data],COLUMN(T_TraitDi[Colonne18]),FALSE),""),"[hh]:mm"))</f>
        <v>#N/A</v>
      </c>
      <c r="AS226" s="284" t="e">
        <f>IF(VLOOKUP(T_Convention[[#This Row],[NumL]],T_TraitDi[#Data],COLUMN(T_TraitDi[Colonne19]),FALSE)=0,"",TEXT(IFERROR(VLOOKUP(T_Convention[[#This Row],[NumL]],T_TraitDi[#Data],COLUMN(T_TraitDi[Colonne19]),FALSE),""),"[hh]:mm"))</f>
        <v>#N/A</v>
      </c>
      <c r="AT226" s="284" t="e">
        <f>IF(VLOOKUP(T_Convention[[#This Row],[NumL]],T_TraitDi[#Data],COLUMN(T_TraitDi[Colonne20]),FALSE)=0,"",TEXT(IFERROR(VLOOKUP(T_Convention[[#This Row],[NumL]],T_TraitDi[#Data],COLUMN(T_TraitDi[Colonne20]),FALSE),""),"[hh]:mm"))</f>
        <v>#N/A</v>
      </c>
      <c r="AU226" s="284" t="str">
        <f>IFERROR(VLOOKUP(T_Convention[[#This Row],[NumL]],T_TraitDi[#Data],COLUMN(T_TraitDi[Jeudi]),FALSE),"")</f>
        <v/>
      </c>
      <c r="AV226" s="284" t="e">
        <f>IF(VLOOKUP(T_Convention[[#This Row],[NumL]],T_TraitDi[#Data],COLUMN(T_TraitDi[Colonne21]),FALSE)=0,"",TEXT(IFERROR(VLOOKUP(T_Convention[[#This Row],[NumL]],T_TraitDi[#Data],COLUMN(T_TraitDi[Colonne21]),FALSE),""),"[hh]:mm"))</f>
        <v>#N/A</v>
      </c>
      <c r="AW226" s="284" t="e">
        <f>IF(VLOOKUP(T_Convention[[#This Row],[NumL]],T_TraitDi[#Data],COLUMN(T_TraitDi[Colonne22]),FALSE)=0,"",TEXT(IFERROR(VLOOKUP(T_Convention[[#This Row],[NumL]],T_TraitDi[#Data],COLUMN(T_TraitDi[Colonne22]),FALSE),""),"[hh]:mm"))</f>
        <v>#N/A</v>
      </c>
      <c r="AX226" s="284" t="str">
        <f>IFERROR(VLOOKUP(T_Convention[[#This Row],[NumL]],T_TraitDi[#Data],COLUMN(T_TraitDi[Colonne23]),FALSE),"")</f>
        <v/>
      </c>
      <c r="AY226" s="284" t="e">
        <f>IF(VLOOKUP(T_Convention[[#This Row],[NumL]],T_TraitDi[#Data],COLUMN(T_TraitDi[Colonne24]),FALSE)=0,"",TEXT(IFERROR(VLOOKUP(T_Convention[[#This Row],[NumL]],T_TraitDi[#Data],COLUMN(T_TraitDi[Colonne24]),FALSE),""),"[hh]:mm"))</f>
        <v>#N/A</v>
      </c>
      <c r="AZ226" s="284" t="e">
        <f>IF(VLOOKUP(T_Convention[[#This Row],[NumL]],T_TraitDi[#Data],COLUMN(T_TraitDi[Colonne25]),FALSE)=0,"",TEXT(IFERROR(VLOOKUP(T_Convention[[#This Row],[NumL]],T_TraitDi[#Data],COLUMN(T_TraitDi[Colonne25]),FALSE),""),"[hh]:mm"))</f>
        <v>#N/A</v>
      </c>
      <c r="BA226" s="284" t="e">
        <f>IF(VLOOKUP(T_Convention[[#This Row],[NumL]],T_TraitDi[#Data],COLUMN(T_TraitDi[Colonne26]),FALSE)=0,"",TEXT(IFERROR(VLOOKUP(T_Convention[[#This Row],[NumL]],T_TraitDi[#Data],COLUMN(T_TraitDi[Colonne26]),FALSE),""),"[hh]:mm"))</f>
        <v>#N/A</v>
      </c>
      <c r="BB226" s="284" t="str">
        <f>IFERROR(VLOOKUP(T_Convention[[#This Row],[NumL]],T_TraitDi[#Data],COLUMN(T_TraitDi[Vendredi]),FALSE),"")</f>
        <v/>
      </c>
      <c r="BC226" s="284" t="e">
        <f>IF(VLOOKUP(T_Convention[[#This Row],[NumL]],T_TraitDi[#Data],COLUMN(T_TraitDi[Colonne27]),FALSE)=0,"",TEXT(IFERROR(VLOOKUP(T_Convention[[#This Row],[NumL]],T_TraitDi[#Data],COLUMN(T_TraitDi[Colonne27]),FALSE),""),"[hh]:mm"))</f>
        <v>#N/A</v>
      </c>
      <c r="BD226" s="284" t="e">
        <f>IF(VLOOKUP(T_Convention[[#This Row],[NumL]],T_TraitDi[#Data],COLUMN(T_TraitDi[Colonne28]),FALSE)=0,"",TEXT(IFERROR(VLOOKUP(T_Convention[[#This Row],[NumL]],T_TraitDi[#Data],COLUMN(T_TraitDi[Colonne28]),FALSE),""),"[hh]:mm"))</f>
        <v>#N/A</v>
      </c>
      <c r="BE226" s="284" t="str">
        <f>IFERROR(VLOOKUP(T_Convention[[#This Row],[NumL]],T_TraitDi[#Data],COLUMN(T_TraitDi[Colonne29]),FALSE),"")</f>
        <v/>
      </c>
      <c r="BF226" s="284" t="e">
        <f>IF(VLOOKUP(T_Convention[[#This Row],[NumL]],T_TraitDi[#Data],COLUMN(T_TraitDi[Colonne30]),FALSE)=0,"",TEXT(IFERROR(VLOOKUP(T_Convention[[#This Row],[NumL]],T_TraitDi[#Data],COLUMN(T_TraitDi[Colonne30]),FALSE),""),"[hh]:mm"))</f>
        <v>#N/A</v>
      </c>
      <c r="BG226" s="284" t="e">
        <f>IF(VLOOKUP(T_Convention[[#This Row],[NumL]],T_TraitDi[#Data],COLUMN(T_TraitDi[Colonne31]),FALSE)=0,"",TEXT(IFERROR(VLOOKUP(T_Convention[[#This Row],[NumL]],T_TraitDi[#Data],COLUMN(T_TraitDi[Colonne31]),FALSE),""),"[hh]:mm"))</f>
        <v>#N/A</v>
      </c>
      <c r="BH226" s="284" t="e">
        <f>IF(VLOOKUP(T_Convention[[#This Row],[NumL]],T_TraitDi[#Data],COLUMN(T_TraitDi[Colonne32]),FALSE)=0,"",TEXT(IFERROR(VLOOKUP(T_Convention[[#This Row],[NumL]],T_TraitDi[#Data],COLUMN(T_TraitDi[Colonne32]),FALSE),""),"[hh]:mm"))</f>
        <v>#N/A</v>
      </c>
      <c r="BI226" s="284" t="str">
        <f>IFERROR(VLOOKUP(T_Convention[[#This Row],[NumL]],T_TraitDi[#Data],COLUMN(T_TraitDi[NbJTW]),FALSE),"")</f>
        <v/>
      </c>
      <c r="BJ226" s="284" t="e">
        <f>IF(VLOOKUP(T_Convention[[#This Row],[NumL]],T_TraitDi[#Data],COLUMN(T_TraitDi[NbhTW]),FALSE)=0,"",TEXT(IFERROR(VLOOKUP(T_Convention[[#This Row],[NumL]],T_TraitDi[#Data],COLUMN(T_TraitDi[NbhTW]),FALSE),""),"[hh]:mm"))</f>
        <v>#N/A</v>
      </c>
      <c r="BK226" s="286" t="e">
        <f>IF(VLOOKUP(T_Convention[[#This Row],[NumL]],T_TraitDi[#Data],COLUMN(T_TraitDi[Nbhheb]),FALSE)=0,"",TEXT(IFERROR(VLOOKUP(T_Convention[[#This Row],[NumL]],T_TraitDi[#Data],COLUMN(T_TraitDi[Nbhheb]),FALSE),""),"[hh]:mm"))</f>
        <v>#N/A</v>
      </c>
      <c r="BL226" s="287" t="str">
        <f>IFERROR(VLOOKUP(VLOOKUP(T_Convention[[#This Row],[NumL]],T_TraitDi[#Data],COLUMN(T_TraitDi[Type1]),FALSE),TypeTW,2,FALSE),"")</f>
        <v/>
      </c>
      <c r="BM226" s="288" t="str">
        <f>IFERROR(VLOOKUP(T_Convention[[#This Row],[NumL]],T_TraitDi[#Data],COLUMN(T_TraitDi[Rue1]),FALSE),"")</f>
        <v/>
      </c>
      <c r="BN226" s="289" t="str">
        <f>IFERROR(VLOOKUP(T_Convention[[#This Row],[NumL]],T_TraitDi[#Data],COLUMN(T_TraitDi[CP1]),FALSE),"")</f>
        <v/>
      </c>
      <c r="BO226" s="282" t="str">
        <f>IFERROR(VLOOKUP(T_Convention[[#This Row],[NumL]],T_TraitDi[#Data],COLUMN(T_TraitDi[VILLE1]),FALSE),"")</f>
        <v/>
      </c>
      <c r="BP226" s="290" t="str">
        <f>IFERROR(VLOOKUP(VLOOKUP(T_Convention[[#This Row],[NumL]],T_TraitDi[#Data],COLUMN(T_TraitDi[Type2]),FALSE),TypeTW,2,FALSE),"")</f>
        <v/>
      </c>
      <c r="BQ226" s="182" t="str">
        <f>IFERROR(VLOOKUP(T_Convention[[#This Row],[NumL]],T_TraitDi[#Data],COLUMN(T_TraitDi[Rue2]),FALSE),"")</f>
        <v/>
      </c>
      <c r="BR226" s="173" t="str">
        <f>IFERROR(VLOOKUP(T_Convention[[#This Row],[NumL]],T_TraitDi[#Data],COLUMN(T_TraitDi[CP2]),FALSE),"")</f>
        <v/>
      </c>
      <c r="BS226" s="173" t="str">
        <f>IFERROR(VLOOKUP(T_Convention[[#This Row],[NumL]],T_TraitDi[#Data],COLUMN(T_TraitDi[VILLE2]),FALSE),"")</f>
        <v/>
      </c>
      <c r="BT226" s="182" t="str">
        <f>IF(VLOOKUP(T_Convention[[#This Row],[NumL]],T_Equipement[#Data],COLUMN(T_Equipement[PC]),FALSE)="","Aucun équipement spécifique directement lié au télétravail",VLOOKUP(T_Convention[[#This Row],[NumL]],T_Equipement[#Data],COLUMN(T_Equipement[PC]),FALSE))</f>
        <v xml:space="preserve">20-124	</v>
      </c>
      <c r="BU226" s="166" t="str">
        <f>IFERROR(IF(VLOOKUP(T_Convention[[#This Row],[NumL]],T_TraitDi[#Data],COLUMN(T_TraitDi[Plan]),FALSE)="OK","Un planning spécifique de télétravail est annexé à la présente convention.",""),"")</f>
        <v/>
      </c>
      <c r="BV226" s="185" t="s">
        <v>3507</v>
      </c>
      <c r="BW226" s="164" t="e">
        <f>IF(VLOOKUP(T_Convention[[#This Row],[NumL]],T_suiviDi[#Data],COLUMN(T_suiviDi[Entité]),FALSE)="","",VLOOKUP(T_Convention[[#This Row],[NumL]],T_suiviDi[#Data],COLUMN(T_suiviDi[Entité]),FALSE))</f>
        <v>#N/A</v>
      </c>
      <c r="BX226" s="164" t="str">
        <f>IF(VLOOKUP(T_Convention[[#This Row],[NumL]],T_Commission[#Data],COLUMN(T_Commission[envoi confirm TW]),FALSE)="","",VLOOKUP(T_Convention[[#This Row],[NumL]],T_Commission[#Data],COLUMN(T_Commission[envoi confirm TW]),FALSE))</f>
        <v>Oui</v>
      </c>
      <c r="BY22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6" s="264">
        <f>VLOOKUP(T_Convention[[#This Row],[NumL]],T_Commission[#Data],COLUMN(T_Commission[Commentaire]),FALSE)</f>
        <v>0</v>
      </c>
      <c r="CA226" s="254" t="str">
        <f>IF(VLOOKUP(T_Convention[[#This Row],[NumL]],T_Commission[#Data],COLUMN(T_Commission[Encadrant Email]),FALSE)="","",VLOOKUP(T_Convention[[#This Row],[NumL]],T_Commission[#Data],COLUMN(T_Commission[Encadrant Email]),FALSE))</f>
        <v/>
      </c>
      <c r="CB226" s="352" t="e">
        <f>VLOOKUP(T_Convention[[#This Row],[NumL]],T_TraitDi[#Data],COLUMN(T_TraitDi[NbJTot]),FALSE)</f>
        <v>#N/A</v>
      </c>
      <c r="CC226" s="352" t="e">
        <f>VLOOKUP(T_Convention[[#This Row],[NumL]],T_TraitDi[#Data],COLUMN(T_TraitDi[Reg Ponct]),FALSE)</f>
        <v>#N/A</v>
      </c>
      <c r="CD226" s="348" t="str">
        <f>IF(T_Convention[[#This Row],[Final]]&lt;&gt;"",VLOOKUP(T_Convention[[#This Row],[NumL]],T_suiviDi[#Data],COLUMN((T_suiviDi[Statut])),FALSE),"")</f>
        <v/>
      </c>
    </row>
    <row r="227" spans="1:82" s="106" customFormat="1" ht="18.75" customHeight="1" x14ac:dyDescent="0.25">
      <c r="A227" s="160">
        <v>300</v>
      </c>
      <c r="B227" s="281" t="str">
        <f>VLOOKUP(T_Convention[[#This Row],[NumL]],T_Commission[#Data],COLUMN(T_Commission[FINAL]),FALSE)</f>
        <v/>
      </c>
      <c r="C227" s="162"/>
      <c r="D227" s="95" t="e">
        <f>IF(VLOOKUP(T_Convention[[#This Row],[NumL]],T_TraitDi[#Data],COLUMN(T_TraitDi[WebC]),FALSE)="","",VLOOKUP(T_Convention[[#This Row],[NumL]],T_TraitDi[#Data],COLUMN(T_TraitDi[WebC]),FALSE))</f>
        <v>#N/A</v>
      </c>
      <c r="E227" s="163" t="str">
        <f t="shared" si="15"/>
        <v>12 janvier 2021</v>
      </c>
      <c r="F227" s="282" t="str">
        <f>IF(T_Convention[[#This Row],[Final]]&lt;&gt;"",VLOOKUP(T_Convention[[#This Row],[NumL]],T_suiviDi[#Data],COLUMN((T_suiviDi[Civ.])),FALSE),"")</f>
        <v/>
      </c>
      <c r="G227" s="283" t="str">
        <f>IF(T_Convention[[#This Row],[Final]]&lt;&gt;"",VLOOKUP(T_Convention[[#This Row],[NumL]],T_suiviDi[#Data],COLUMN((T_suiviDi[Nom])),FALSE),"")</f>
        <v/>
      </c>
      <c r="H227" s="282" t="str">
        <f>IF(T_Convention[[#This Row],[Final]]&lt;&gt;"",VLOOKUP(T_Convention[[#This Row],[NumL]],T_suiviDi[#Data],COLUMN((T_suiviDi[Prénom])),FALSE),"")</f>
        <v/>
      </c>
      <c r="I227" s="282" t="e">
        <f>VLOOKUP(T_Convention[[#This Row],[NumL]],T_suiviDi[#Data],COLUMN((T_suiviDi[[#This Row],[Email]])),FALSE)</f>
        <v>#VALUE!</v>
      </c>
      <c r="J227" s="282" t="e">
        <f>IF(VLOOKUP(T_Convention[[#This Row],[NumL]],T_suiviDi[#Data],COLUMN(T_suiviDi[[#This Row],[Fonction]]),FALSE)="","",VLOOKUP(T_Convention[[#This Row],[NumL]],T_suiviDi[#Data],COLUMN(T_suiviDi[[#This Row],[Fonction]]),FALSE))</f>
        <v>#VALUE!</v>
      </c>
      <c r="K227" s="282" t="e">
        <f>IF(VLOOKUP(T_Convention[[#This Row],[NumL]],T_suiviDi[#Data],COLUMN(T_suiviDi[[#This Row],[Grade]]),FALSE)="","",VLOOKUP(T_Convention[[#This Row],[NumL]],T_suiviDi[#Data],COLUMN(T_suiviDi[[#This Row],[Grade]]),FALSE))</f>
        <v>#VALUE!</v>
      </c>
      <c r="L227" s="282" t="e">
        <f>IF(VLOOKUP(T_Convention[[#This Row],[NumL]],T_suiviDi[#Data],COLUMN(T_suiviDi[[#This Row],[Service ]]),FALSE)="","",VLOOKUP(T_Convention[[#This Row],[NumL]],T_suiviDi[#Data],COLUMN(T_suiviDi[[#This Row],[Service ]]),FALSE))</f>
        <v>#VALUE!</v>
      </c>
      <c r="M227" s="314" t="str">
        <f t="shared" si="16"/>
        <v>01 septembre 2021</v>
      </c>
      <c r="N227" s="314" t="str">
        <f t="shared" si="17"/>
        <v>30 novembre 2021</v>
      </c>
      <c r="O227" s="284" t="str">
        <f t="shared" si="18"/>
        <v>30 novembre 2021</v>
      </c>
      <c r="P227" s="282" t="e">
        <f>IF(VLOOKUP(T_Convention[[#This Row],[NumL]],T_TraitDi[#Data],COLUMN(T_TraitDi[M1]),FALSE)="","",VLOOKUP(T_Convention[[#This Row],[NumL]],T_TraitDi[#Data],COLUMN(T_TraitDi[M1]),FALSE))</f>
        <v>#N/A</v>
      </c>
      <c r="Q227" s="282" t="e">
        <f>IF(VLOOKUP(T_Convention[[#This Row],[NumL]],T_TraitDi[#Data],COLUMN(T_TraitDi[M2]),FALSE)="","",VLOOKUP(T_Convention[[#This Row],[NumL]],T_TraitDi[#Data],COLUMN(T_TraitDi[M2]),FALSE))</f>
        <v>#N/A</v>
      </c>
      <c r="R227" s="282" t="e">
        <f>IF(VLOOKUP(T_Convention[[#This Row],[NumL]],T_TraitDi[#Data],COLUMN(T_TraitDi[M3]),FALSE)="","",VLOOKUP(T_Convention[[#This Row],[NumL]],T_TraitDi[#Data],COLUMN(T_TraitDi[M3]),FALSE))</f>
        <v>#N/A</v>
      </c>
      <c r="S227" s="282" t="e">
        <f>IF(VLOOKUP(T_Convention[[#This Row],[NumL]],T_TraitDi[#Data],COLUMN(T_TraitDi[M4]),FALSE)="","",VLOOKUP(T_Convention[[#This Row],[NumL]],T_TraitDi[#Data],COLUMN(T_TraitDi[M4]),FALSE))</f>
        <v>#N/A</v>
      </c>
      <c r="T227" s="282" t="e">
        <f>IF(VLOOKUP(T_Convention[[#This Row],[NumL]],T_TraitDi[#Data],COLUMN(T_TraitDi[M5]),FALSE)="","",VLOOKUP(T_Convention[[#This Row],[NumL]],T_TraitDi[#Data],COLUMN(T_TraitDi[M5]),FALSE))</f>
        <v>#N/A</v>
      </c>
      <c r="U227" s="282" t="e">
        <f>IF(VLOOKUP(T_Convention[[#This Row],[NumL]],T_TraitDi[#Data],COLUMN(T_TraitDi[M6]),FALSE)="","",VLOOKUP(T_Convention[[#This Row],[NumL]],T_TraitDi[#Data],COLUMN(T_TraitDi[M6]),FALSE))</f>
        <v>#N/A</v>
      </c>
      <c r="V227" s="314" t="e">
        <f t="shared" si="19"/>
        <v>#N/A</v>
      </c>
      <c r="W227" s="284" t="str">
        <f>IFERROR(TEXT(VLOOKUP(T_Convention[[#This Row],[NumL]],T_TraitDi[#Data],COLUMN(T_TraitDi[Q2]),FALSE),"###%"),"")</f>
        <v/>
      </c>
      <c r="X227" s="285" t="e">
        <f>VLOOKUP(T_Convention[[#This Row],[NumL]],T_TraitDi[#Data],COLUMN(T_TraitDi[Reg Ponct]),FALSE)</f>
        <v>#N/A</v>
      </c>
      <c r="Y227" s="285" t="e">
        <f>VLOOKUP(T_Convention[NumL],T_TraitDi[#Data],COLUMN(T_TraitDi[Jours flottants]),FALSE)</f>
        <v>#N/A</v>
      </c>
      <c r="Z227" s="284" t="str">
        <f>IFERROR(VLOOKUP(T_Convention[[#This Row],[NumL]],T_TraitDi[#Data],COLUMN(T_TraitDi[Lundi]),FALSE),"")</f>
        <v/>
      </c>
      <c r="AA227" s="284" t="e">
        <f>IF(VLOOKUP(T_Convention[[#This Row],[NumL]],T_TraitDi[#Data],COLUMN(T_TraitDi[Colonne3]),FALSE)=0,"",TEXT(IFERROR(VLOOKUP(T_Convention[[#This Row],[NumL]],T_TraitDi[#Data],COLUMN(T_TraitDi[Colonne3]),FALSE),""),"[hh]:mm"))</f>
        <v>#N/A</v>
      </c>
      <c r="AB227" s="284" t="e">
        <f>IF(VLOOKUP(T_Convention[[#This Row],[NumL]],T_TraitDi[#Data],COLUMN(T_TraitDi[Colonne4]),FALSE)=0,"",TEXT(IFERROR(VLOOKUP(T_Convention[[#This Row],[NumL]],T_TraitDi[#Data],COLUMN(T_TraitDi[Colonne4]),FALSE),""),"[hh]:mm"))</f>
        <v>#N/A</v>
      </c>
      <c r="AC227" s="284" t="e">
        <f>IF(VLOOKUP(T_Convention[[#This Row],[NumL]],T_TraitDi[#Data],COLUMN(T_TraitDi[Colonne5]),FALSE)=0,"",TEXT(IFERROR(VLOOKUP(T_Convention[[#This Row],[NumL]],T_TraitDi[#Data],COLUMN(T_TraitDi[Colonne5]),FALSE),""),"[hh]:mm"))</f>
        <v>#N/A</v>
      </c>
      <c r="AD227" s="284" t="e">
        <f>IF(VLOOKUP(T_Convention[[#This Row],[NumL]],T_TraitDi[#Data],COLUMN(T_TraitDi[Colonne6]),FALSE)=0,"",TEXT(IFERROR(VLOOKUP(T_Convention[[#This Row],[NumL]],T_TraitDi[#Data],COLUMN(T_TraitDi[Colonne6]),FALSE),""),"[hh]:mm"))</f>
        <v>#N/A</v>
      </c>
      <c r="AE227" s="284" t="e">
        <f>IF(VLOOKUP(T_Convention[[#This Row],[NumL]],T_TraitDi[#Data],COLUMN(T_TraitDi[Colonne7]),FALSE)=0,"",TEXT(IFERROR(VLOOKUP(T_Convention[[#This Row],[NumL]],T_TraitDi[#Data],COLUMN(T_TraitDi[Colonne7]),FALSE),""),"[hh]:mm"))</f>
        <v>#N/A</v>
      </c>
      <c r="AF227" s="284" t="e">
        <f>IF(VLOOKUP(T_Convention[[#This Row],[NumL]],T_TraitDi[#Data],COLUMN(T_TraitDi[Colonne8]),FALSE)=0,"",TEXT(IFERROR(VLOOKUP(T_Convention[[#This Row],[NumL]],T_TraitDi[#Data],COLUMN(T_TraitDi[Colonne8]),FALSE),""),"[hh]:mm"))</f>
        <v>#N/A</v>
      </c>
      <c r="AG227" s="284" t="str">
        <f>IFERROR(VLOOKUP(T_Convention[[#This Row],[NumL]],T_TraitDi[#Data],COLUMN(T_TraitDi[Mardi]),FALSE),"")</f>
        <v/>
      </c>
      <c r="AH227" s="284" t="e">
        <f>IF(VLOOKUP(T_Convention[[#This Row],[NumL]],T_TraitDi[#Data],COLUMN(T_TraitDi[Colonne1]),FALSE)=0,"",TEXT(IFERROR(VLOOKUP(T_Convention[[#This Row],[NumL]],T_TraitDi[#Data],COLUMN(T_TraitDi[Colonne1]),FALSE),""),"[hh]:mm"))</f>
        <v>#N/A</v>
      </c>
      <c r="AI227" s="284" t="e">
        <f>IF(VLOOKUP(T_Convention[[#This Row],[NumL]],T_TraitDi[#Data],COLUMN(T_TraitDi[Colonne9]),FALSE)=0,"",TEXT(IFERROR(VLOOKUP(T_Convention[[#This Row],[NumL]],T_TraitDi[#Data],COLUMN(T_TraitDi[Colonne9]),FALSE),""),"[hh]:mm"))</f>
        <v>#N/A</v>
      </c>
      <c r="AJ227" s="284" t="str">
        <f>IFERROR(VLOOKUP(T_Convention[[#This Row],[NumL]],T_TraitDi[#Data],COLUMN(T_TraitDi[Colonne10]),FALSE),"")</f>
        <v/>
      </c>
      <c r="AK227" s="284" t="e">
        <f>IF(VLOOKUP(T_Convention[[#This Row],[NumL]],T_TraitDi[#Data],COLUMN(T_TraitDi[Colonne11]),FALSE)=0,"",TEXT(IFERROR(VLOOKUP(T_Convention[[#This Row],[NumL]],T_TraitDi[#Data],COLUMN(T_TraitDi[Colonne11]),FALSE),""),"[hh]:mm"))</f>
        <v>#N/A</v>
      </c>
      <c r="AL227" s="284" t="e">
        <f>IF(VLOOKUP(T_Convention[[#This Row],[NumL]],T_TraitDi[#Data],COLUMN(T_TraitDi[Colonne12]),FALSE)=0,"",TEXT(IFERROR(VLOOKUP(T_Convention[[#This Row],[NumL]],T_TraitDi[#Data],COLUMN(T_TraitDi[Colonne12]),FALSE),""),"[hh]:mm"))</f>
        <v>#N/A</v>
      </c>
      <c r="AM227" s="284" t="e">
        <f>IF(VLOOKUP(T_Convention[[#This Row],[NumL]],T_TraitDi[#Data],COLUMN(T_TraitDi[Colonne14]),FALSE)=0,"",TEXT(IFERROR(VLOOKUP(T_Convention[[#This Row],[NumL]],T_TraitDi[#Data],COLUMN(T_TraitDi[Colonne14]),FALSE),""),"[hh]:mm"))</f>
        <v>#N/A</v>
      </c>
      <c r="AN227" s="284" t="str">
        <f>IFERROR(VLOOKUP(T_Convention[[#This Row],[NumL]],T_TraitDi[#Data],COLUMN(T_TraitDi[Mercredi]),FALSE),"")</f>
        <v/>
      </c>
      <c r="AO227" s="284" t="e">
        <f>IF(VLOOKUP(T_Convention[[#This Row],[NumL]],T_TraitDi[#Data],COLUMN(T_TraitDi[Colonne15]),FALSE)=0,"",TEXT(IFERROR(VLOOKUP(T_Convention[[#This Row],[NumL]],T_TraitDi[#Data],COLUMN(T_TraitDi[Colonne15]),FALSE),""),"[hh]:mm"))</f>
        <v>#N/A</v>
      </c>
      <c r="AP227" s="284" t="e">
        <f>IF(VLOOKUP(T_Convention[[#This Row],[NumL]],T_TraitDi[#Data],COLUMN(T_TraitDi[Colonne16]),FALSE)=0,"",TEXT(IFERROR(VLOOKUP(T_Convention[[#This Row],[NumL]],T_TraitDi[#Data],COLUMN(T_TraitDi[Colonne16]),FALSE),""),"[hh]:mm"))</f>
        <v>#N/A</v>
      </c>
      <c r="AQ227" s="284" t="str">
        <f>IFERROR(VLOOKUP(T_Convention[[#This Row],[NumL]],T_TraitDi[#Data],COLUMN(T_TraitDi[Colonne17]),FALSE),"")</f>
        <v/>
      </c>
      <c r="AR227" s="284" t="e">
        <f>IF(VLOOKUP(T_Convention[[#This Row],[NumL]],T_TraitDi[#Data],COLUMN(T_TraitDi[Colonne18]),FALSE)=0,"",TEXT(IFERROR(VLOOKUP(T_Convention[[#This Row],[NumL]],T_TraitDi[#Data],COLUMN(T_TraitDi[Colonne18]),FALSE),""),"[hh]:mm"))</f>
        <v>#N/A</v>
      </c>
      <c r="AS227" s="284" t="e">
        <f>IF(VLOOKUP(T_Convention[[#This Row],[NumL]],T_TraitDi[#Data],COLUMN(T_TraitDi[Colonne19]),FALSE)=0,"",TEXT(IFERROR(VLOOKUP(T_Convention[[#This Row],[NumL]],T_TraitDi[#Data],COLUMN(T_TraitDi[Colonne19]),FALSE),""),"[hh]:mm"))</f>
        <v>#N/A</v>
      </c>
      <c r="AT227" s="284" t="e">
        <f>IF(VLOOKUP(T_Convention[[#This Row],[NumL]],T_TraitDi[#Data],COLUMN(T_TraitDi[Colonne20]),FALSE)=0,"",TEXT(IFERROR(VLOOKUP(T_Convention[[#This Row],[NumL]],T_TraitDi[#Data],COLUMN(T_TraitDi[Colonne20]),FALSE),""),"[hh]:mm"))</f>
        <v>#N/A</v>
      </c>
      <c r="AU227" s="284" t="str">
        <f>IFERROR(VLOOKUP(T_Convention[[#This Row],[NumL]],T_TraitDi[#Data],COLUMN(T_TraitDi[Jeudi]),FALSE),"")</f>
        <v/>
      </c>
      <c r="AV227" s="284" t="e">
        <f>IF(VLOOKUP(T_Convention[[#This Row],[NumL]],T_TraitDi[#Data],COLUMN(T_TraitDi[Colonne21]),FALSE)=0,"",TEXT(IFERROR(VLOOKUP(T_Convention[[#This Row],[NumL]],T_TraitDi[#Data],COLUMN(T_TraitDi[Colonne21]),FALSE),""),"[hh]:mm"))</f>
        <v>#N/A</v>
      </c>
      <c r="AW227" s="284" t="e">
        <f>IF(VLOOKUP(T_Convention[[#This Row],[NumL]],T_TraitDi[#Data],COLUMN(T_TraitDi[Colonne22]),FALSE)=0,"",TEXT(IFERROR(VLOOKUP(T_Convention[[#This Row],[NumL]],T_TraitDi[#Data],COLUMN(T_TraitDi[Colonne22]),FALSE),""),"[hh]:mm"))</f>
        <v>#N/A</v>
      </c>
      <c r="AX227" s="284" t="str">
        <f>IFERROR(VLOOKUP(T_Convention[[#This Row],[NumL]],T_TraitDi[#Data],COLUMN(T_TraitDi[Colonne23]),FALSE),"")</f>
        <v/>
      </c>
      <c r="AY227" s="284" t="e">
        <f>IF(VLOOKUP(T_Convention[[#This Row],[NumL]],T_TraitDi[#Data],COLUMN(T_TraitDi[Colonne24]),FALSE)=0,"",TEXT(IFERROR(VLOOKUP(T_Convention[[#This Row],[NumL]],T_TraitDi[#Data],COLUMN(T_TraitDi[Colonne24]),FALSE),""),"[hh]:mm"))</f>
        <v>#N/A</v>
      </c>
      <c r="AZ227" s="284" t="e">
        <f>IF(VLOOKUP(T_Convention[[#This Row],[NumL]],T_TraitDi[#Data],COLUMN(T_TraitDi[Colonne25]),FALSE)=0,"",TEXT(IFERROR(VLOOKUP(T_Convention[[#This Row],[NumL]],T_TraitDi[#Data],COLUMN(T_TraitDi[Colonne25]),FALSE),""),"[hh]:mm"))</f>
        <v>#N/A</v>
      </c>
      <c r="BA227" s="284" t="e">
        <f>IF(VLOOKUP(T_Convention[[#This Row],[NumL]],T_TraitDi[#Data],COLUMN(T_TraitDi[Colonne26]),FALSE)=0,"",TEXT(IFERROR(VLOOKUP(T_Convention[[#This Row],[NumL]],T_TraitDi[#Data],COLUMN(T_TraitDi[Colonne26]),FALSE),""),"[hh]:mm"))</f>
        <v>#N/A</v>
      </c>
      <c r="BB227" s="284" t="str">
        <f>IFERROR(VLOOKUP(T_Convention[[#This Row],[NumL]],T_TraitDi[#Data],COLUMN(T_TraitDi[Vendredi]),FALSE),"")</f>
        <v/>
      </c>
      <c r="BC227" s="284" t="e">
        <f>IF(VLOOKUP(T_Convention[[#This Row],[NumL]],T_TraitDi[#Data],COLUMN(T_TraitDi[Colonne27]),FALSE)=0,"",TEXT(IFERROR(VLOOKUP(T_Convention[[#This Row],[NumL]],T_TraitDi[#Data],COLUMN(T_TraitDi[Colonne27]),FALSE),""),"[hh]:mm"))</f>
        <v>#N/A</v>
      </c>
      <c r="BD227" s="284" t="e">
        <f>IF(VLOOKUP(T_Convention[[#This Row],[NumL]],T_TraitDi[#Data],COLUMN(T_TraitDi[Colonne28]),FALSE)=0,"",TEXT(IFERROR(VLOOKUP(T_Convention[[#This Row],[NumL]],T_TraitDi[#Data],COLUMN(T_TraitDi[Colonne28]),FALSE),""),"[hh]:mm"))</f>
        <v>#N/A</v>
      </c>
      <c r="BE227" s="284" t="str">
        <f>IFERROR(VLOOKUP(T_Convention[[#This Row],[NumL]],T_TraitDi[#Data],COLUMN(T_TraitDi[Colonne29]),FALSE),"")</f>
        <v/>
      </c>
      <c r="BF227" s="284" t="e">
        <f>IF(VLOOKUP(T_Convention[[#This Row],[NumL]],T_TraitDi[#Data],COLUMN(T_TraitDi[Colonne30]),FALSE)=0,"",TEXT(IFERROR(VLOOKUP(T_Convention[[#This Row],[NumL]],T_TraitDi[#Data],COLUMN(T_TraitDi[Colonne30]),FALSE),""),"[hh]:mm"))</f>
        <v>#N/A</v>
      </c>
      <c r="BG227" s="284" t="e">
        <f>IF(VLOOKUP(T_Convention[[#This Row],[NumL]],T_TraitDi[#Data],COLUMN(T_TraitDi[Colonne31]),FALSE)=0,"",TEXT(IFERROR(VLOOKUP(T_Convention[[#This Row],[NumL]],T_TraitDi[#Data],COLUMN(T_TraitDi[Colonne31]),FALSE),""),"[hh]:mm"))</f>
        <v>#N/A</v>
      </c>
      <c r="BH227" s="284" t="e">
        <f>IF(VLOOKUP(T_Convention[[#This Row],[NumL]],T_TraitDi[#Data],COLUMN(T_TraitDi[Colonne32]),FALSE)=0,"",TEXT(IFERROR(VLOOKUP(T_Convention[[#This Row],[NumL]],T_TraitDi[#Data],COLUMN(T_TraitDi[Colonne32]),FALSE),""),"[hh]:mm"))</f>
        <v>#N/A</v>
      </c>
      <c r="BI227" s="284" t="str">
        <f>IFERROR(VLOOKUP(T_Convention[[#This Row],[NumL]],T_TraitDi[#Data],COLUMN(T_TraitDi[NbJTW]),FALSE),"")</f>
        <v/>
      </c>
      <c r="BJ227" s="284" t="e">
        <f>IF(VLOOKUP(T_Convention[[#This Row],[NumL]],T_TraitDi[#Data],COLUMN(T_TraitDi[NbhTW]),FALSE)=0,"",TEXT(IFERROR(VLOOKUP(T_Convention[[#This Row],[NumL]],T_TraitDi[#Data],COLUMN(T_TraitDi[NbhTW]),FALSE),""),"[hh]:mm"))</f>
        <v>#N/A</v>
      </c>
      <c r="BK227" s="315" t="e">
        <f>IF(VLOOKUP(T_Convention[[#This Row],[NumL]],T_TraitDi[#Data],COLUMN(T_TraitDi[Nbhheb]),FALSE)=0,"",TEXT(IFERROR(VLOOKUP(T_Convention[[#This Row],[NumL]],T_TraitDi[#Data],COLUMN(T_TraitDi[Nbhheb]),FALSE),""),"[hh]:mm"))</f>
        <v>#N/A</v>
      </c>
      <c r="BL227" s="287" t="str">
        <f>IFERROR(VLOOKUP(VLOOKUP(T_Convention[[#This Row],[NumL]],T_TraitDi[#Data],COLUMN(T_TraitDi[Type1]),FALSE),TypeTW,2,FALSE),"")</f>
        <v/>
      </c>
      <c r="BM227" s="288" t="str">
        <f>IFERROR(VLOOKUP(T_Convention[[#This Row],[NumL]],T_TraitDi[#Data],COLUMN(T_TraitDi[Rue1]),FALSE),"")</f>
        <v/>
      </c>
      <c r="BN227" s="289" t="str">
        <f>IFERROR(VLOOKUP(T_Convention[[#This Row],[NumL]],T_TraitDi[#Data],COLUMN(T_TraitDi[CP1]),FALSE),"")</f>
        <v/>
      </c>
      <c r="BO227" s="282" t="str">
        <f>IFERROR(VLOOKUP(T_Convention[[#This Row],[NumL]],T_TraitDi[#Data],COLUMN(T_TraitDi[VILLE1]),FALSE),"")</f>
        <v/>
      </c>
      <c r="BP227" s="290" t="str">
        <f>IFERROR(VLOOKUP(VLOOKUP(T_Convention[[#This Row],[NumL]],T_TraitDi[#Data],COLUMN(T_TraitDi[Type2]),FALSE),TypeTW,2,FALSE),"")</f>
        <v/>
      </c>
      <c r="BQ227" s="310" t="str">
        <f>IFERROR(VLOOKUP(T_Convention[[#This Row],[NumL]],T_TraitDi[#Data],COLUMN(T_TraitDi[Rue2]),FALSE),"")</f>
        <v/>
      </c>
      <c r="BR227" s="290" t="str">
        <f>IFERROR(VLOOKUP(T_Convention[[#This Row],[NumL]],T_TraitDi[#Data],COLUMN(T_TraitDi[CP2]),FALSE),"")</f>
        <v/>
      </c>
      <c r="BS227" s="290" t="str">
        <f>IFERROR(VLOOKUP(T_Convention[[#This Row],[NumL]],T_TraitDi[#Data],COLUMN(T_TraitDi[VILLE2]),FALSE),"")</f>
        <v/>
      </c>
      <c r="BT22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27" s="314" t="str">
        <f>IFERROR(IF(VLOOKUP(T_Convention[[#This Row],[NumL]],T_TraitDi[#Data],COLUMN(T_TraitDi[Plan]),FALSE)="OK","Un planning spécifique de télétravail est annexé à la présente convention.",""),"")</f>
        <v/>
      </c>
      <c r="BV227" s="291"/>
      <c r="BW227" s="292" t="e">
        <f>IF(VLOOKUP(T_Convention[[#This Row],[NumL]],T_suiviDi[#Data],COLUMN(T_suiviDi[Entité]),FALSE)="","",VLOOKUP(T_Convention[[#This Row],[NumL]],T_suiviDi[#Data],COLUMN(T_suiviDi[Entité]),FALSE))</f>
        <v>#N/A</v>
      </c>
      <c r="BX227" s="311" t="str">
        <f>IF(VLOOKUP(T_Convention[[#This Row],[NumL]],T_Commission[#Data],COLUMN(T_Commission[envoi confirm TW]),FALSE)="","",VLOOKUP(T_Convention[[#This Row],[NumL]],T_Commission[#Data],COLUMN(T_Commission[envoi confirm TW]),FALSE))</f>
        <v>Oui</v>
      </c>
      <c r="BY22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7" s="265">
        <f>VLOOKUP(T_Convention[[#This Row],[NumL]],T_Commission[#Data],COLUMN(T_Commission[Commentaire]),FALSE)</f>
        <v>0</v>
      </c>
      <c r="CA227" s="255" t="str">
        <f>IF(VLOOKUP(T_Convention[[#This Row],[NumL]],T_Commission[#Data],COLUMN(T_Commission[Encadrant Email]),FALSE)="","",VLOOKUP(T_Convention[[#This Row],[NumL]],T_Commission[#Data],COLUMN(T_Commission[Encadrant Email]),FALSE))</f>
        <v/>
      </c>
      <c r="CB227" s="352" t="e">
        <f>VLOOKUP(T_Convention[[#This Row],[NumL]],T_TraitDi[#Data],COLUMN(T_TraitDi[NbJTot]),FALSE)</f>
        <v>#N/A</v>
      </c>
      <c r="CC227" s="352" t="e">
        <f>VLOOKUP(T_Convention[[#This Row],[NumL]],T_TraitDi[#Data],COLUMN(T_TraitDi[Reg Ponct]),FALSE)</f>
        <v>#N/A</v>
      </c>
      <c r="CD227" s="348" t="str">
        <f>IF(T_Convention[[#This Row],[Final]]&lt;&gt;"",VLOOKUP(T_Convention[[#This Row],[NumL]],T_suiviDi[#Data],COLUMN((T_suiviDi[Statut])),FALSE),"")</f>
        <v/>
      </c>
    </row>
    <row r="228" spans="1:82" s="106" customFormat="1" ht="18.75" customHeight="1" x14ac:dyDescent="0.25">
      <c r="A228" s="160">
        <v>354</v>
      </c>
      <c r="B228" s="281" t="str">
        <f>VLOOKUP(T_Convention[[#This Row],[NumL]],T_Commission[#Data],COLUMN(T_Commission[FINAL]),FALSE)</f>
        <v/>
      </c>
      <c r="C228" s="162"/>
      <c r="D228" s="95" t="e">
        <f>IF(VLOOKUP(T_Convention[[#This Row],[NumL]],T_TraitDi[#Data],COLUMN(T_TraitDi[WebC]),FALSE)="","",VLOOKUP(T_Convention[[#This Row],[NumL]],T_TraitDi[#Data],COLUMN(T_TraitDi[WebC]),FALSE))</f>
        <v>#N/A</v>
      </c>
      <c r="E228" s="163" t="str">
        <f t="shared" si="15"/>
        <v>12 janvier 2021</v>
      </c>
      <c r="F228" s="282" t="str">
        <f>IF(T_Convention[[#This Row],[Final]]&lt;&gt;"",VLOOKUP(T_Convention[[#This Row],[NumL]],T_suiviDi[#Data],COLUMN((T_suiviDi[Civ.])),FALSE),"")</f>
        <v/>
      </c>
      <c r="G228" s="283" t="str">
        <f>IF(T_Convention[[#This Row],[Final]]&lt;&gt;"",VLOOKUP(T_Convention[[#This Row],[NumL]],T_suiviDi[#Data],COLUMN((T_suiviDi[Nom])),FALSE),"")</f>
        <v/>
      </c>
      <c r="H228" s="282" t="str">
        <f>IF(T_Convention[[#This Row],[Final]]&lt;&gt;"",VLOOKUP(T_Convention[[#This Row],[NumL]],T_suiviDi[#Data],COLUMN((T_suiviDi[Prénom])),FALSE),"")</f>
        <v/>
      </c>
      <c r="I228" s="282" t="e">
        <f>VLOOKUP(T_Convention[[#This Row],[NumL]],T_suiviDi[#Data],COLUMN((T_suiviDi[[#This Row],[Email]])),FALSE)</f>
        <v>#VALUE!</v>
      </c>
      <c r="J228" s="282" t="e">
        <f>IF(VLOOKUP(T_Convention[[#This Row],[NumL]],T_suiviDi[#Data],COLUMN(T_suiviDi[[#This Row],[Fonction]]),FALSE)="","",VLOOKUP(T_Convention[[#This Row],[NumL]],T_suiviDi[#Data],COLUMN(T_suiviDi[[#This Row],[Fonction]]),FALSE))</f>
        <v>#VALUE!</v>
      </c>
      <c r="K228" s="282" t="e">
        <f>IF(VLOOKUP(T_Convention[[#This Row],[NumL]],T_suiviDi[#Data],COLUMN(T_suiviDi[[#This Row],[Grade]]),FALSE)="","",VLOOKUP(T_Convention[[#This Row],[NumL]],T_suiviDi[#Data],COLUMN(T_suiviDi[[#This Row],[Grade]]),FALSE))</f>
        <v>#VALUE!</v>
      </c>
      <c r="L228" s="282" t="e">
        <f>IF(VLOOKUP(T_Convention[[#This Row],[NumL]],T_suiviDi[#Data],COLUMN(T_suiviDi[[#This Row],[Service ]]),FALSE)="","",VLOOKUP(T_Convention[[#This Row],[NumL]],T_suiviDi[#Data],COLUMN(T_suiviDi[[#This Row],[Service ]]),FALSE))</f>
        <v>#VALUE!</v>
      </c>
      <c r="M228" s="314" t="str">
        <f t="shared" si="16"/>
        <v>01 septembre 2021</v>
      </c>
      <c r="N228" s="314" t="str">
        <f t="shared" si="17"/>
        <v>30 novembre 2021</v>
      </c>
      <c r="O228" s="284" t="str">
        <f t="shared" si="18"/>
        <v>30 novembre 2021</v>
      </c>
      <c r="P228" s="282" t="e">
        <f>IF(VLOOKUP(T_Convention[[#This Row],[NumL]],T_TraitDi[#Data],COLUMN(T_TraitDi[M1]),FALSE)="","",VLOOKUP(T_Convention[[#This Row],[NumL]],T_TraitDi[#Data],COLUMN(T_TraitDi[M1]),FALSE))</f>
        <v>#N/A</v>
      </c>
      <c r="Q228" s="282" t="e">
        <f>IF(VLOOKUP(T_Convention[[#This Row],[NumL]],T_TraitDi[#Data],COLUMN(T_TraitDi[M2]),FALSE)="","",VLOOKUP(T_Convention[[#This Row],[NumL]],T_TraitDi[#Data],COLUMN(T_TraitDi[M2]),FALSE))</f>
        <v>#N/A</v>
      </c>
      <c r="R228" s="282" t="e">
        <f>IF(VLOOKUP(T_Convention[[#This Row],[NumL]],T_TraitDi[#Data],COLUMN(T_TraitDi[M3]),FALSE)="","",VLOOKUP(T_Convention[[#This Row],[NumL]],T_TraitDi[#Data],COLUMN(T_TraitDi[M3]),FALSE))</f>
        <v>#N/A</v>
      </c>
      <c r="S228" s="282" t="e">
        <f>IF(VLOOKUP(T_Convention[[#This Row],[NumL]],T_TraitDi[#Data],COLUMN(T_TraitDi[M4]),FALSE)="","",VLOOKUP(T_Convention[[#This Row],[NumL]],T_TraitDi[#Data],COLUMN(T_TraitDi[M4]),FALSE))</f>
        <v>#N/A</v>
      </c>
      <c r="T228" s="282" t="e">
        <f>IF(VLOOKUP(T_Convention[[#This Row],[NumL]],T_TraitDi[#Data],COLUMN(T_TraitDi[M5]),FALSE)="","",VLOOKUP(T_Convention[[#This Row],[NumL]],T_TraitDi[#Data],COLUMN(T_TraitDi[M5]),FALSE))</f>
        <v>#N/A</v>
      </c>
      <c r="U228" s="282" t="e">
        <f>IF(VLOOKUP(T_Convention[[#This Row],[NumL]],T_TraitDi[#Data],COLUMN(T_TraitDi[M6]),FALSE)="","",VLOOKUP(T_Convention[[#This Row],[NumL]],T_TraitDi[#Data],COLUMN(T_TraitDi[M6]),FALSE))</f>
        <v>#N/A</v>
      </c>
      <c r="V228" s="314" t="e">
        <f t="shared" si="19"/>
        <v>#N/A</v>
      </c>
      <c r="W228" s="284" t="str">
        <f>IFERROR(TEXT(VLOOKUP(T_Convention[[#This Row],[NumL]],T_TraitDi[#Data],COLUMN(T_TraitDi[Q2]),FALSE),"###%"),"")</f>
        <v/>
      </c>
      <c r="X228" s="285" t="e">
        <f>VLOOKUP(T_Convention[[#This Row],[NumL]],T_TraitDi[#Data],COLUMN(T_TraitDi[Reg Ponct]),FALSE)</f>
        <v>#N/A</v>
      </c>
      <c r="Y228" s="285" t="e">
        <f>VLOOKUP(T_Convention[NumL],T_TraitDi[#Data],COLUMN(T_TraitDi[Jours flottants]),FALSE)</f>
        <v>#N/A</v>
      </c>
      <c r="Z228" s="284" t="str">
        <f>IFERROR(VLOOKUP(T_Convention[[#This Row],[NumL]],T_TraitDi[#Data],COLUMN(T_TraitDi[Lundi]),FALSE),"")</f>
        <v/>
      </c>
      <c r="AA228" s="284" t="e">
        <f>IF(VLOOKUP(T_Convention[[#This Row],[NumL]],T_TraitDi[#Data],COLUMN(T_TraitDi[Colonne3]),FALSE)=0,"",TEXT(IFERROR(VLOOKUP(T_Convention[[#This Row],[NumL]],T_TraitDi[#Data],COLUMN(T_TraitDi[Colonne3]),FALSE),""),"[hh]:mm"))</f>
        <v>#N/A</v>
      </c>
      <c r="AB228" s="284" t="e">
        <f>IF(VLOOKUP(T_Convention[[#This Row],[NumL]],T_TraitDi[#Data],COLUMN(T_TraitDi[Colonne4]),FALSE)=0,"",TEXT(IFERROR(VLOOKUP(T_Convention[[#This Row],[NumL]],T_TraitDi[#Data],COLUMN(T_TraitDi[Colonne4]),FALSE),""),"[hh]:mm"))</f>
        <v>#N/A</v>
      </c>
      <c r="AC228" s="284" t="e">
        <f>IF(VLOOKUP(T_Convention[[#This Row],[NumL]],T_TraitDi[#Data],COLUMN(T_TraitDi[Colonne5]),FALSE)=0,"",TEXT(IFERROR(VLOOKUP(T_Convention[[#This Row],[NumL]],T_TraitDi[#Data],COLUMN(T_TraitDi[Colonne5]),FALSE),""),"[hh]:mm"))</f>
        <v>#N/A</v>
      </c>
      <c r="AD228" s="284" t="e">
        <f>IF(VLOOKUP(T_Convention[[#This Row],[NumL]],T_TraitDi[#Data],COLUMN(T_TraitDi[Colonne6]),FALSE)=0,"",TEXT(IFERROR(VLOOKUP(T_Convention[[#This Row],[NumL]],T_TraitDi[#Data],COLUMN(T_TraitDi[Colonne6]),FALSE),""),"[hh]:mm"))</f>
        <v>#N/A</v>
      </c>
      <c r="AE228" s="284" t="e">
        <f>IF(VLOOKUP(T_Convention[[#This Row],[NumL]],T_TraitDi[#Data],COLUMN(T_TraitDi[Colonne7]),FALSE)=0,"",TEXT(IFERROR(VLOOKUP(T_Convention[[#This Row],[NumL]],T_TraitDi[#Data],COLUMN(T_TraitDi[Colonne7]),FALSE),""),"[hh]:mm"))</f>
        <v>#N/A</v>
      </c>
      <c r="AF228" s="284" t="e">
        <f>IF(VLOOKUP(T_Convention[[#This Row],[NumL]],T_TraitDi[#Data],COLUMN(T_TraitDi[Colonne8]),FALSE)=0,"",TEXT(IFERROR(VLOOKUP(T_Convention[[#This Row],[NumL]],T_TraitDi[#Data],COLUMN(T_TraitDi[Colonne8]),FALSE),""),"[hh]:mm"))</f>
        <v>#N/A</v>
      </c>
      <c r="AG228" s="284" t="str">
        <f>IFERROR(VLOOKUP(T_Convention[[#This Row],[NumL]],T_TraitDi[#Data],COLUMN(T_TraitDi[Mardi]),FALSE),"")</f>
        <v/>
      </c>
      <c r="AH228" s="284" t="e">
        <f>IF(VLOOKUP(T_Convention[[#This Row],[NumL]],T_TraitDi[#Data],COLUMN(T_TraitDi[Colonne1]),FALSE)=0,"",TEXT(IFERROR(VLOOKUP(T_Convention[[#This Row],[NumL]],T_TraitDi[#Data],COLUMN(T_TraitDi[Colonne1]),FALSE),""),"[hh]:mm"))</f>
        <v>#N/A</v>
      </c>
      <c r="AI228" s="284" t="e">
        <f>IF(VLOOKUP(T_Convention[[#This Row],[NumL]],T_TraitDi[#Data],COLUMN(T_TraitDi[Colonne9]),FALSE)=0,"",TEXT(IFERROR(VLOOKUP(T_Convention[[#This Row],[NumL]],T_TraitDi[#Data],COLUMN(T_TraitDi[Colonne9]),FALSE),""),"[hh]:mm"))</f>
        <v>#N/A</v>
      </c>
      <c r="AJ228" s="284" t="str">
        <f>IFERROR(VLOOKUP(T_Convention[[#This Row],[NumL]],T_TraitDi[#Data],COLUMN(T_TraitDi[Colonne10]),FALSE),"")</f>
        <v/>
      </c>
      <c r="AK228" s="284" t="e">
        <f>IF(VLOOKUP(T_Convention[[#This Row],[NumL]],T_TraitDi[#Data],COLUMN(T_TraitDi[Colonne11]),FALSE)=0,"",TEXT(IFERROR(VLOOKUP(T_Convention[[#This Row],[NumL]],T_TraitDi[#Data],COLUMN(T_TraitDi[Colonne11]),FALSE),""),"[hh]:mm"))</f>
        <v>#N/A</v>
      </c>
      <c r="AL228" s="284" t="e">
        <f>IF(VLOOKUP(T_Convention[[#This Row],[NumL]],T_TraitDi[#Data],COLUMN(T_TraitDi[Colonne12]),FALSE)=0,"",TEXT(IFERROR(VLOOKUP(T_Convention[[#This Row],[NumL]],T_TraitDi[#Data],COLUMN(T_TraitDi[Colonne12]),FALSE),""),"[hh]:mm"))</f>
        <v>#N/A</v>
      </c>
      <c r="AM228" s="284" t="e">
        <f>IF(VLOOKUP(T_Convention[[#This Row],[NumL]],T_TraitDi[#Data],COLUMN(T_TraitDi[Colonne14]),FALSE)=0,"",TEXT(IFERROR(VLOOKUP(T_Convention[[#This Row],[NumL]],T_TraitDi[#Data],COLUMN(T_TraitDi[Colonne14]),FALSE),""),"[hh]:mm"))</f>
        <v>#N/A</v>
      </c>
      <c r="AN228" s="284" t="str">
        <f>IFERROR(VLOOKUP(T_Convention[[#This Row],[NumL]],T_TraitDi[#Data],COLUMN(T_TraitDi[Mercredi]),FALSE),"")</f>
        <v/>
      </c>
      <c r="AO228" s="284" t="e">
        <f>IF(VLOOKUP(T_Convention[[#This Row],[NumL]],T_TraitDi[#Data],COLUMN(T_TraitDi[Colonne15]),FALSE)=0,"",TEXT(IFERROR(VLOOKUP(T_Convention[[#This Row],[NumL]],T_TraitDi[#Data],COLUMN(T_TraitDi[Colonne15]),FALSE),""),"[hh]:mm"))</f>
        <v>#N/A</v>
      </c>
      <c r="AP228" s="284" t="e">
        <f>IF(VLOOKUP(T_Convention[[#This Row],[NumL]],T_TraitDi[#Data],COLUMN(T_TraitDi[Colonne16]),FALSE)=0,"",TEXT(IFERROR(VLOOKUP(T_Convention[[#This Row],[NumL]],T_TraitDi[#Data],COLUMN(T_TraitDi[Colonne16]),FALSE),""),"[hh]:mm"))</f>
        <v>#N/A</v>
      </c>
      <c r="AQ228" s="284" t="str">
        <f>IFERROR(VLOOKUP(T_Convention[[#This Row],[NumL]],T_TraitDi[#Data],COLUMN(T_TraitDi[Colonne17]),FALSE),"")</f>
        <v/>
      </c>
      <c r="AR228" s="284" t="e">
        <f>IF(VLOOKUP(T_Convention[[#This Row],[NumL]],T_TraitDi[#Data],COLUMN(T_TraitDi[Colonne18]),FALSE)=0,"",TEXT(IFERROR(VLOOKUP(T_Convention[[#This Row],[NumL]],T_TraitDi[#Data],COLUMN(T_TraitDi[Colonne18]),FALSE),""),"[hh]:mm"))</f>
        <v>#N/A</v>
      </c>
      <c r="AS228" s="284" t="e">
        <f>IF(VLOOKUP(T_Convention[[#This Row],[NumL]],T_TraitDi[#Data],COLUMN(T_TraitDi[Colonne19]),FALSE)=0,"",TEXT(IFERROR(VLOOKUP(T_Convention[[#This Row],[NumL]],T_TraitDi[#Data],COLUMN(T_TraitDi[Colonne19]),FALSE),""),"[hh]:mm"))</f>
        <v>#N/A</v>
      </c>
      <c r="AT228" s="284" t="e">
        <f>IF(VLOOKUP(T_Convention[[#This Row],[NumL]],T_TraitDi[#Data],COLUMN(T_TraitDi[Colonne20]),FALSE)=0,"",TEXT(IFERROR(VLOOKUP(T_Convention[[#This Row],[NumL]],T_TraitDi[#Data],COLUMN(T_TraitDi[Colonne20]),FALSE),""),"[hh]:mm"))</f>
        <v>#N/A</v>
      </c>
      <c r="AU228" s="284" t="str">
        <f>IFERROR(VLOOKUP(T_Convention[[#This Row],[NumL]],T_TraitDi[#Data],COLUMN(T_TraitDi[Jeudi]),FALSE),"")</f>
        <v/>
      </c>
      <c r="AV228" s="284" t="e">
        <f>IF(VLOOKUP(T_Convention[[#This Row],[NumL]],T_TraitDi[#Data],COLUMN(T_TraitDi[Colonne21]),FALSE)=0,"",TEXT(IFERROR(VLOOKUP(T_Convention[[#This Row],[NumL]],T_TraitDi[#Data],COLUMN(T_TraitDi[Colonne21]),FALSE),""),"[hh]:mm"))</f>
        <v>#N/A</v>
      </c>
      <c r="AW228" s="284" t="e">
        <f>IF(VLOOKUP(T_Convention[[#This Row],[NumL]],T_TraitDi[#Data],COLUMN(T_TraitDi[Colonne22]),FALSE)=0,"",TEXT(IFERROR(VLOOKUP(T_Convention[[#This Row],[NumL]],T_TraitDi[#Data],COLUMN(T_TraitDi[Colonne22]),FALSE),""),"[hh]:mm"))</f>
        <v>#N/A</v>
      </c>
      <c r="AX228" s="284" t="str">
        <f>IFERROR(VLOOKUP(T_Convention[[#This Row],[NumL]],T_TraitDi[#Data],COLUMN(T_TraitDi[Colonne23]),FALSE),"")</f>
        <v/>
      </c>
      <c r="AY228" s="284" t="e">
        <f>IF(VLOOKUP(T_Convention[[#This Row],[NumL]],T_TraitDi[#Data],COLUMN(T_TraitDi[Colonne24]),FALSE)=0,"",TEXT(IFERROR(VLOOKUP(T_Convention[[#This Row],[NumL]],T_TraitDi[#Data],COLUMN(T_TraitDi[Colonne24]),FALSE),""),"[hh]:mm"))</f>
        <v>#N/A</v>
      </c>
      <c r="AZ228" s="284" t="e">
        <f>IF(VLOOKUP(T_Convention[[#This Row],[NumL]],T_TraitDi[#Data],COLUMN(T_TraitDi[Colonne25]),FALSE)=0,"",TEXT(IFERROR(VLOOKUP(T_Convention[[#This Row],[NumL]],T_TraitDi[#Data],COLUMN(T_TraitDi[Colonne25]),FALSE),""),"[hh]:mm"))</f>
        <v>#N/A</v>
      </c>
      <c r="BA228" s="284" t="e">
        <f>IF(VLOOKUP(T_Convention[[#This Row],[NumL]],T_TraitDi[#Data],COLUMN(T_TraitDi[Colonne26]),FALSE)=0,"",TEXT(IFERROR(VLOOKUP(T_Convention[[#This Row],[NumL]],T_TraitDi[#Data],COLUMN(T_TraitDi[Colonne26]),FALSE),""),"[hh]:mm"))</f>
        <v>#N/A</v>
      </c>
      <c r="BB228" s="284" t="str">
        <f>IFERROR(VLOOKUP(T_Convention[[#This Row],[NumL]],T_TraitDi[#Data],COLUMN(T_TraitDi[Vendredi]),FALSE),"")</f>
        <v/>
      </c>
      <c r="BC228" s="284" t="e">
        <f>IF(VLOOKUP(T_Convention[[#This Row],[NumL]],T_TraitDi[#Data],COLUMN(T_TraitDi[Colonne27]),FALSE)=0,"",TEXT(IFERROR(VLOOKUP(T_Convention[[#This Row],[NumL]],T_TraitDi[#Data],COLUMN(T_TraitDi[Colonne27]),FALSE),""),"[hh]:mm"))</f>
        <v>#N/A</v>
      </c>
      <c r="BD228" s="284" t="e">
        <f>IF(VLOOKUP(T_Convention[[#This Row],[NumL]],T_TraitDi[#Data],COLUMN(T_TraitDi[Colonne28]),FALSE)=0,"",TEXT(IFERROR(VLOOKUP(T_Convention[[#This Row],[NumL]],T_TraitDi[#Data],COLUMN(T_TraitDi[Colonne28]),FALSE),""),"[hh]:mm"))</f>
        <v>#N/A</v>
      </c>
      <c r="BE228" s="284" t="str">
        <f>IFERROR(VLOOKUP(T_Convention[[#This Row],[NumL]],T_TraitDi[#Data],COLUMN(T_TraitDi[Colonne29]),FALSE),"")</f>
        <v/>
      </c>
      <c r="BF228" s="284" t="e">
        <f>IF(VLOOKUP(T_Convention[[#This Row],[NumL]],T_TraitDi[#Data],COLUMN(T_TraitDi[Colonne30]),FALSE)=0,"",TEXT(IFERROR(VLOOKUP(T_Convention[[#This Row],[NumL]],T_TraitDi[#Data],COLUMN(T_TraitDi[Colonne30]),FALSE),""),"[hh]:mm"))</f>
        <v>#N/A</v>
      </c>
      <c r="BG228" s="284" t="e">
        <f>IF(VLOOKUP(T_Convention[[#This Row],[NumL]],T_TraitDi[#Data],COLUMN(T_TraitDi[Colonne31]),FALSE)=0,"",TEXT(IFERROR(VLOOKUP(T_Convention[[#This Row],[NumL]],T_TraitDi[#Data],COLUMN(T_TraitDi[Colonne31]),FALSE),""),"[hh]:mm"))</f>
        <v>#N/A</v>
      </c>
      <c r="BH228" s="284" t="e">
        <f>IF(VLOOKUP(T_Convention[[#This Row],[NumL]],T_TraitDi[#Data],COLUMN(T_TraitDi[Colonne32]),FALSE)=0,"",TEXT(IFERROR(VLOOKUP(T_Convention[[#This Row],[NumL]],T_TraitDi[#Data],COLUMN(T_TraitDi[Colonne32]),FALSE),""),"[hh]:mm"))</f>
        <v>#N/A</v>
      </c>
      <c r="BI228" s="284" t="str">
        <f>IFERROR(VLOOKUP(T_Convention[[#This Row],[NumL]],T_TraitDi[#Data],COLUMN(T_TraitDi[NbJTW]),FALSE),"")</f>
        <v/>
      </c>
      <c r="BJ228" s="284" t="e">
        <f>IF(VLOOKUP(T_Convention[[#This Row],[NumL]],T_TraitDi[#Data],COLUMN(T_TraitDi[NbhTW]),FALSE)=0,"",TEXT(IFERROR(VLOOKUP(T_Convention[[#This Row],[NumL]],T_TraitDi[#Data],COLUMN(T_TraitDi[NbhTW]),FALSE),""),"[hh]:mm"))</f>
        <v>#N/A</v>
      </c>
      <c r="BK228" s="315" t="e">
        <f>IF(VLOOKUP(T_Convention[[#This Row],[NumL]],T_TraitDi[#Data],COLUMN(T_TraitDi[Nbhheb]),FALSE)=0,"",TEXT(IFERROR(VLOOKUP(T_Convention[[#This Row],[NumL]],T_TraitDi[#Data],COLUMN(T_TraitDi[Nbhheb]),FALSE),""),"[hh]:mm"))</f>
        <v>#N/A</v>
      </c>
      <c r="BL228" s="287" t="str">
        <f>IFERROR(VLOOKUP(VLOOKUP(T_Convention[[#This Row],[NumL]],T_TraitDi[#Data],COLUMN(T_TraitDi[Type1]),FALSE),TypeTW,2,FALSE),"")</f>
        <v/>
      </c>
      <c r="BM228" s="288" t="str">
        <f>IFERROR(VLOOKUP(T_Convention[[#This Row],[NumL]],T_TraitDi[#Data],COLUMN(T_TraitDi[Rue1]),FALSE),"")</f>
        <v/>
      </c>
      <c r="BN228" s="289" t="str">
        <f>IFERROR(VLOOKUP(T_Convention[[#This Row],[NumL]],T_TraitDi[#Data],COLUMN(T_TraitDi[CP1]),FALSE),"")</f>
        <v/>
      </c>
      <c r="BO228" s="282" t="str">
        <f>IFERROR(VLOOKUP(T_Convention[[#This Row],[NumL]],T_TraitDi[#Data],COLUMN(T_TraitDi[VILLE1]),FALSE),"")</f>
        <v/>
      </c>
      <c r="BP228" s="290" t="str">
        <f>IFERROR(VLOOKUP(VLOOKUP(T_Convention[[#This Row],[NumL]],T_TraitDi[#Data],COLUMN(T_TraitDi[Type2]),FALSE),TypeTW,2,FALSE),"")</f>
        <v/>
      </c>
      <c r="BQ228" s="310" t="str">
        <f>IFERROR(VLOOKUP(T_Convention[[#This Row],[NumL]],T_TraitDi[#Data],COLUMN(T_TraitDi[Rue2]),FALSE),"")</f>
        <v/>
      </c>
      <c r="BR228" s="290" t="str">
        <f>IFERROR(VLOOKUP(T_Convention[[#This Row],[NumL]],T_TraitDi[#Data],COLUMN(T_TraitDi[CP2]),FALSE),"")</f>
        <v/>
      </c>
      <c r="BS228" s="290" t="str">
        <f>IFERROR(VLOOKUP(T_Convention[[#This Row],[NumL]],T_TraitDi[#Data],COLUMN(T_TraitDi[VILLE2]),FALSE),"")</f>
        <v/>
      </c>
      <c r="BT228"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28" s="314" t="str">
        <f>IFERROR(IF(VLOOKUP(T_Convention[[#This Row],[NumL]],T_TraitDi[#Data],COLUMN(T_TraitDi[Plan]),FALSE)="OK","Un planning spécifique de télétravail est annexé à la présente convention.",""),"")</f>
        <v/>
      </c>
      <c r="BV228" s="291"/>
      <c r="BW228" s="292" t="e">
        <f>IF(VLOOKUP(T_Convention[[#This Row],[NumL]],T_suiviDi[#Data],COLUMN(T_suiviDi[Entité]),FALSE)="","",VLOOKUP(T_Convention[[#This Row],[NumL]],T_suiviDi[#Data],COLUMN(T_suiviDi[Entité]),FALSE))</f>
        <v>#N/A</v>
      </c>
      <c r="BX228" s="311" t="str">
        <f>IF(VLOOKUP(T_Convention[[#This Row],[NumL]],T_Commission[#Data],COLUMN(T_Commission[envoi confirm TW]),FALSE)="","",VLOOKUP(T_Convention[[#This Row],[NumL]],T_Commission[#Data],COLUMN(T_Commission[envoi confirm TW]),FALSE))</f>
        <v>Non</v>
      </c>
      <c r="BY228"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8" s="293" t="str">
        <f>VLOOKUP(T_Convention[[#This Row],[NumL]],T_Commission[#Data],COLUMN(T_Commission[Commentaire]),FALSE)</f>
        <v>La charte de télétravail en vigueur à l'université ne permet pas de télétravailler en dessous d'une quotité de travail de 80 %.</v>
      </c>
      <c r="CA228" s="292" t="str">
        <f>IF(VLOOKUP(T_Convention[[#This Row],[NumL]],T_Commission[#Data],COLUMN(T_Commission[Encadrant Email]),FALSE)="","",VLOOKUP(T_Convention[[#This Row],[NumL]],T_Commission[#Data],COLUMN(T_Commission[Encadrant Email]),FALSE))</f>
        <v/>
      </c>
      <c r="CB228" s="353" t="e">
        <f>VLOOKUP(T_Convention[[#This Row],[NumL]],T_TraitDi[#Data],COLUMN(T_TraitDi[NbJTot]),FALSE)</f>
        <v>#N/A</v>
      </c>
      <c r="CC228" s="353" t="e">
        <f>VLOOKUP(T_Convention[[#This Row],[NumL]],T_TraitDi[#Data],COLUMN(T_TraitDi[Reg Ponct]),FALSE)</f>
        <v>#N/A</v>
      </c>
      <c r="CD228" s="348" t="str">
        <f>IF(T_Convention[[#This Row],[Final]]&lt;&gt;"",VLOOKUP(T_Convention[[#This Row],[NumL]],T_suiviDi[#Data],COLUMN((T_suiviDi[Statut])),FALSE),"")</f>
        <v/>
      </c>
    </row>
    <row r="229" spans="1:82" s="106" customFormat="1" ht="18.75" customHeight="1" x14ac:dyDescent="0.25">
      <c r="A229" s="160">
        <v>239</v>
      </c>
      <c r="B229" s="161" t="str">
        <f>VLOOKUP(T_Convention[[#This Row],[NumL]],T_Commission[#Data],COLUMN(T_Commission[FINAL]),FALSE)</f>
        <v/>
      </c>
      <c r="C229" s="162"/>
      <c r="D229" s="95" t="e">
        <f>IF(VLOOKUP(T_Convention[[#This Row],[NumL]],T_TraitDi[#Data],COLUMN(T_TraitDi[WebC]),FALSE)="","",VLOOKUP(T_Convention[[#This Row],[NumL]],T_TraitDi[#Data],COLUMN(T_TraitDi[WebC]),FALSE))</f>
        <v>#N/A</v>
      </c>
      <c r="E229" s="163" t="str">
        <f t="shared" si="15"/>
        <v>12 janvier 2021</v>
      </c>
      <c r="F229" s="282" t="str">
        <f>IF(T_Convention[[#This Row],[Final]]&lt;&gt;"",VLOOKUP(T_Convention[[#This Row],[NumL]],T_suiviDi[#Data],COLUMN((T_suiviDi[Civ.])),FALSE),"")</f>
        <v/>
      </c>
      <c r="G229" s="283" t="str">
        <f>IF(T_Convention[[#This Row],[Final]]&lt;&gt;"",VLOOKUP(T_Convention[[#This Row],[NumL]],T_suiviDi[#Data],COLUMN((T_suiviDi[Nom])),FALSE),"")</f>
        <v/>
      </c>
      <c r="H229" s="282" t="str">
        <f>IF(T_Convention[[#This Row],[Final]]&lt;&gt;"",VLOOKUP(T_Convention[[#This Row],[NumL]],T_suiviDi[#Data],COLUMN((T_suiviDi[Prénom])),FALSE),"")</f>
        <v/>
      </c>
      <c r="I229" s="282" t="e">
        <f>VLOOKUP(T_Convention[[#This Row],[NumL]],T_suiviDi[#Data],COLUMN((T_suiviDi[[#This Row],[Email]])),FALSE)</f>
        <v>#VALUE!</v>
      </c>
      <c r="J229" s="282" t="e">
        <f>IF(VLOOKUP(T_Convention[[#This Row],[NumL]],T_suiviDi[#Data],COLUMN(T_suiviDi[[#This Row],[Fonction]]),FALSE)="","",VLOOKUP(T_Convention[[#This Row],[NumL]],T_suiviDi[#Data],COLUMN(T_suiviDi[[#This Row],[Fonction]]),FALSE))</f>
        <v>#VALUE!</v>
      </c>
      <c r="K229" s="282" t="e">
        <f>IF(VLOOKUP(T_Convention[[#This Row],[NumL]],T_suiviDi[#Data],COLUMN(T_suiviDi[[#This Row],[Grade]]),FALSE)="","",VLOOKUP(T_Convention[[#This Row],[NumL]],T_suiviDi[#Data],COLUMN(T_suiviDi[[#This Row],[Grade]]),FALSE))</f>
        <v>#VALUE!</v>
      </c>
      <c r="L229" s="282" t="e">
        <f>IF(VLOOKUP(T_Convention[[#This Row],[NumL]],T_suiviDi[#Data],COLUMN(T_suiviDi[[#This Row],[Service ]]),FALSE)="","",VLOOKUP(T_Convention[[#This Row],[NumL]],T_suiviDi[#Data],COLUMN(T_suiviDi[[#This Row],[Service ]]),FALSE))</f>
        <v>#VALUE!</v>
      </c>
      <c r="M229" s="164" t="str">
        <f t="shared" si="16"/>
        <v>01 septembre 2021</v>
      </c>
      <c r="N229" s="164" t="str">
        <f t="shared" si="17"/>
        <v>30 novembre 2021</v>
      </c>
      <c r="O229" s="284" t="str">
        <f t="shared" si="18"/>
        <v>30 novembre 2021</v>
      </c>
      <c r="P229" s="282" t="e">
        <f>IF(VLOOKUP(T_Convention[[#This Row],[NumL]],T_TraitDi[#Data],COLUMN(T_TraitDi[M1]),FALSE)="","",VLOOKUP(T_Convention[[#This Row],[NumL]],T_TraitDi[#Data],COLUMN(T_TraitDi[M1]),FALSE))</f>
        <v>#N/A</v>
      </c>
      <c r="Q229" s="282" t="e">
        <f>IF(VLOOKUP(T_Convention[[#This Row],[NumL]],T_TraitDi[#Data],COLUMN(T_TraitDi[M2]),FALSE)="","",VLOOKUP(T_Convention[[#This Row],[NumL]],T_TraitDi[#Data],COLUMN(T_TraitDi[M2]),FALSE))</f>
        <v>#N/A</v>
      </c>
      <c r="R229" s="282" t="e">
        <f>IF(VLOOKUP(T_Convention[[#This Row],[NumL]],T_TraitDi[#Data],COLUMN(T_TraitDi[M3]),FALSE)="","",VLOOKUP(T_Convention[[#This Row],[NumL]],T_TraitDi[#Data],COLUMN(T_TraitDi[M3]),FALSE))</f>
        <v>#N/A</v>
      </c>
      <c r="S229" s="282" t="e">
        <f>IF(VLOOKUP(T_Convention[[#This Row],[NumL]],T_TraitDi[#Data],COLUMN(T_TraitDi[M4]),FALSE)="","",VLOOKUP(T_Convention[[#This Row],[NumL]],T_TraitDi[#Data],COLUMN(T_TraitDi[M4]),FALSE))</f>
        <v>#N/A</v>
      </c>
      <c r="T229" s="282" t="e">
        <f>IF(VLOOKUP(T_Convention[[#This Row],[NumL]],T_TraitDi[#Data],COLUMN(T_TraitDi[M5]),FALSE)="","",VLOOKUP(T_Convention[[#This Row],[NumL]],T_TraitDi[#Data],COLUMN(T_TraitDi[M5]),FALSE))</f>
        <v>#N/A</v>
      </c>
      <c r="U229" s="282" t="e">
        <f>IF(VLOOKUP(T_Convention[[#This Row],[NumL]],T_TraitDi[#Data],COLUMN(T_TraitDi[M6]),FALSE)="","",VLOOKUP(T_Convention[[#This Row],[NumL]],T_TraitDi[#Data],COLUMN(T_TraitDi[M6]),FALSE))</f>
        <v>#N/A</v>
      </c>
      <c r="V229" s="176" t="e">
        <f t="shared" si="19"/>
        <v>#N/A</v>
      </c>
      <c r="W229" s="284" t="str">
        <f>IFERROR(TEXT(VLOOKUP(T_Convention[[#This Row],[NumL]],T_TraitDi[#Data],COLUMN(T_TraitDi[Q2]),FALSE),"###%"),"")</f>
        <v/>
      </c>
      <c r="X229" s="97" t="e">
        <f>VLOOKUP(T_Convention[[#This Row],[NumL]],T_TraitDi[#Data],COLUMN(T_TraitDi[Reg Ponct]),FALSE)</f>
        <v>#N/A</v>
      </c>
      <c r="Y229" s="97" t="e">
        <f>VLOOKUP(T_Convention[NumL],T_TraitDi[#Data],COLUMN(T_TraitDi[Jours flottants]),FALSE)</f>
        <v>#N/A</v>
      </c>
      <c r="Z229" s="284" t="str">
        <f>IFERROR(VLOOKUP(T_Convention[[#This Row],[NumL]],T_TraitDi[#Data],COLUMN(T_TraitDi[Lundi]),FALSE),"")</f>
        <v/>
      </c>
      <c r="AA229" s="284" t="e">
        <f>IF(VLOOKUP(T_Convention[[#This Row],[NumL]],T_TraitDi[#Data],COLUMN(T_TraitDi[Colonne3]),FALSE)=0,"",TEXT(IFERROR(VLOOKUP(T_Convention[[#This Row],[NumL]],T_TraitDi[#Data],COLUMN(T_TraitDi[Colonne3]),FALSE),""),"[hh]:mm"))</f>
        <v>#N/A</v>
      </c>
      <c r="AB229" s="284" t="e">
        <f>IF(VLOOKUP(T_Convention[[#This Row],[NumL]],T_TraitDi[#Data],COLUMN(T_TraitDi[Colonne4]),FALSE)=0,"",TEXT(IFERROR(VLOOKUP(T_Convention[[#This Row],[NumL]],T_TraitDi[#Data],COLUMN(T_TraitDi[Colonne4]),FALSE),""),"[hh]:mm"))</f>
        <v>#N/A</v>
      </c>
      <c r="AC229" s="284" t="e">
        <f>IF(VLOOKUP(T_Convention[[#This Row],[NumL]],T_TraitDi[#Data],COLUMN(T_TraitDi[Colonne5]),FALSE)=0,"",TEXT(IFERROR(VLOOKUP(T_Convention[[#This Row],[NumL]],T_TraitDi[#Data],COLUMN(T_TraitDi[Colonne5]),FALSE),""),"[hh]:mm"))</f>
        <v>#N/A</v>
      </c>
      <c r="AD229" s="284" t="e">
        <f>IF(VLOOKUP(T_Convention[[#This Row],[NumL]],T_TraitDi[#Data],COLUMN(T_TraitDi[Colonne6]),FALSE)=0,"",TEXT(IFERROR(VLOOKUP(T_Convention[[#This Row],[NumL]],T_TraitDi[#Data],COLUMN(T_TraitDi[Colonne6]),FALSE),""),"[hh]:mm"))</f>
        <v>#N/A</v>
      </c>
      <c r="AE229" s="284" t="e">
        <f>IF(VLOOKUP(T_Convention[[#This Row],[NumL]],T_TraitDi[#Data],COLUMN(T_TraitDi[Colonne7]),FALSE)=0,"",TEXT(IFERROR(VLOOKUP(T_Convention[[#This Row],[NumL]],T_TraitDi[#Data],COLUMN(T_TraitDi[Colonne7]),FALSE),""),"[hh]:mm"))</f>
        <v>#N/A</v>
      </c>
      <c r="AF229" s="284" t="e">
        <f>IF(VLOOKUP(T_Convention[[#This Row],[NumL]],T_TraitDi[#Data],COLUMN(T_TraitDi[Colonne8]),FALSE)=0,"",TEXT(IFERROR(VLOOKUP(T_Convention[[#This Row],[NumL]],T_TraitDi[#Data],COLUMN(T_TraitDi[Colonne8]),FALSE),""),"[hh]:mm"))</f>
        <v>#N/A</v>
      </c>
      <c r="AG229" s="284" t="str">
        <f>IFERROR(VLOOKUP(T_Convention[[#This Row],[NumL]],T_TraitDi[#Data],COLUMN(T_TraitDi[Mardi]),FALSE),"")</f>
        <v/>
      </c>
      <c r="AH229" s="284" t="e">
        <f>IF(VLOOKUP(T_Convention[[#This Row],[NumL]],T_TraitDi[#Data],COLUMN(T_TraitDi[Colonne1]),FALSE)=0,"",TEXT(IFERROR(VLOOKUP(T_Convention[[#This Row],[NumL]],T_TraitDi[#Data],COLUMN(T_TraitDi[Colonne1]),FALSE),""),"[hh]:mm"))</f>
        <v>#N/A</v>
      </c>
      <c r="AI229" s="284" t="e">
        <f>IF(VLOOKUP(T_Convention[[#This Row],[NumL]],T_TraitDi[#Data],COLUMN(T_TraitDi[Colonne9]),FALSE)=0,"",TEXT(IFERROR(VLOOKUP(T_Convention[[#This Row],[NumL]],T_TraitDi[#Data],COLUMN(T_TraitDi[Colonne9]),FALSE),""),"[hh]:mm"))</f>
        <v>#N/A</v>
      </c>
      <c r="AJ229" s="284" t="str">
        <f>IFERROR(VLOOKUP(T_Convention[[#This Row],[NumL]],T_TraitDi[#Data],COLUMN(T_TraitDi[Colonne10]),FALSE),"")</f>
        <v/>
      </c>
      <c r="AK229" s="284" t="e">
        <f>IF(VLOOKUP(T_Convention[[#This Row],[NumL]],T_TraitDi[#Data],COLUMN(T_TraitDi[Colonne11]),FALSE)=0,"",TEXT(IFERROR(VLOOKUP(T_Convention[[#This Row],[NumL]],T_TraitDi[#Data],COLUMN(T_TraitDi[Colonne11]),FALSE),""),"[hh]:mm"))</f>
        <v>#N/A</v>
      </c>
      <c r="AL229" s="284" t="e">
        <f>IF(VLOOKUP(T_Convention[[#This Row],[NumL]],T_TraitDi[#Data],COLUMN(T_TraitDi[Colonne12]),FALSE)=0,"",TEXT(IFERROR(VLOOKUP(T_Convention[[#This Row],[NumL]],T_TraitDi[#Data],COLUMN(T_TraitDi[Colonne12]),FALSE),""),"[hh]:mm"))</f>
        <v>#N/A</v>
      </c>
      <c r="AM229" s="284" t="e">
        <f>IF(VLOOKUP(T_Convention[[#This Row],[NumL]],T_TraitDi[#Data],COLUMN(T_TraitDi[Colonne14]),FALSE)=0,"",TEXT(IFERROR(VLOOKUP(T_Convention[[#This Row],[NumL]],T_TraitDi[#Data],COLUMN(T_TraitDi[Colonne14]),FALSE),""),"[hh]:mm"))</f>
        <v>#N/A</v>
      </c>
      <c r="AN229" s="284" t="str">
        <f>IFERROR(VLOOKUP(T_Convention[[#This Row],[NumL]],T_TraitDi[#Data],COLUMN(T_TraitDi[Mercredi]),FALSE),"")</f>
        <v/>
      </c>
      <c r="AO229" s="284" t="e">
        <f>IF(VLOOKUP(T_Convention[[#This Row],[NumL]],T_TraitDi[#Data],COLUMN(T_TraitDi[Colonne15]),FALSE)=0,"",TEXT(IFERROR(VLOOKUP(T_Convention[[#This Row],[NumL]],T_TraitDi[#Data],COLUMN(T_TraitDi[Colonne15]),FALSE),""),"[hh]:mm"))</f>
        <v>#N/A</v>
      </c>
      <c r="AP229" s="284" t="e">
        <f>IF(VLOOKUP(T_Convention[[#This Row],[NumL]],T_TraitDi[#Data],COLUMN(T_TraitDi[Colonne16]),FALSE)=0,"",TEXT(IFERROR(VLOOKUP(T_Convention[[#This Row],[NumL]],T_TraitDi[#Data],COLUMN(T_TraitDi[Colonne16]),FALSE),""),"[hh]:mm"))</f>
        <v>#N/A</v>
      </c>
      <c r="AQ229" s="284" t="str">
        <f>IFERROR(VLOOKUP(T_Convention[[#This Row],[NumL]],T_TraitDi[#Data],COLUMN(T_TraitDi[Colonne17]),FALSE),"")</f>
        <v/>
      </c>
      <c r="AR229" s="284" t="e">
        <f>IF(VLOOKUP(T_Convention[[#This Row],[NumL]],T_TraitDi[#Data],COLUMN(T_TraitDi[Colonne18]),FALSE)=0,"",TEXT(IFERROR(VLOOKUP(T_Convention[[#This Row],[NumL]],T_TraitDi[#Data],COLUMN(T_TraitDi[Colonne18]),FALSE),""),"[hh]:mm"))</f>
        <v>#N/A</v>
      </c>
      <c r="AS229" s="284" t="e">
        <f>IF(VLOOKUP(T_Convention[[#This Row],[NumL]],T_TraitDi[#Data],COLUMN(T_TraitDi[Colonne19]),FALSE)=0,"",TEXT(IFERROR(VLOOKUP(T_Convention[[#This Row],[NumL]],T_TraitDi[#Data],COLUMN(T_TraitDi[Colonne19]),FALSE),""),"[hh]:mm"))</f>
        <v>#N/A</v>
      </c>
      <c r="AT229" s="284" t="e">
        <f>IF(VLOOKUP(T_Convention[[#This Row],[NumL]],T_TraitDi[#Data],COLUMN(T_TraitDi[Colonne20]),FALSE)=0,"",TEXT(IFERROR(VLOOKUP(T_Convention[[#This Row],[NumL]],T_TraitDi[#Data],COLUMN(T_TraitDi[Colonne20]),FALSE),""),"[hh]:mm"))</f>
        <v>#N/A</v>
      </c>
      <c r="AU229" s="284" t="str">
        <f>IFERROR(VLOOKUP(T_Convention[[#This Row],[NumL]],T_TraitDi[#Data],COLUMN(T_TraitDi[Jeudi]),FALSE),"")</f>
        <v/>
      </c>
      <c r="AV229" s="284" t="e">
        <f>IF(VLOOKUP(T_Convention[[#This Row],[NumL]],T_TraitDi[#Data],COLUMN(T_TraitDi[Colonne21]),FALSE)=0,"",TEXT(IFERROR(VLOOKUP(T_Convention[[#This Row],[NumL]],T_TraitDi[#Data],COLUMN(T_TraitDi[Colonne21]),FALSE),""),"[hh]:mm"))</f>
        <v>#N/A</v>
      </c>
      <c r="AW229" s="284" t="e">
        <f>IF(VLOOKUP(T_Convention[[#This Row],[NumL]],T_TraitDi[#Data],COLUMN(T_TraitDi[Colonne22]),FALSE)=0,"",TEXT(IFERROR(VLOOKUP(T_Convention[[#This Row],[NumL]],T_TraitDi[#Data],COLUMN(T_TraitDi[Colonne22]),FALSE),""),"[hh]:mm"))</f>
        <v>#N/A</v>
      </c>
      <c r="AX229" s="284" t="str">
        <f>IFERROR(VLOOKUP(T_Convention[[#This Row],[NumL]],T_TraitDi[#Data],COLUMN(T_TraitDi[Colonne23]),FALSE),"")</f>
        <v/>
      </c>
      <c r="AY229" s="284" t="e">
        <f>IF(VLOOKUP(T_Convention[[#This Row],[NumL]],T_TraitDi[#Data],COLUMN(T_TraitDi[Colonne24]),FALSE)=0,"",TEXT(IFERROR(VLOOKUP(T_Convention[[#This Row],[NumL]],T_TraitDi[#Data],COLUMN(T_TraitDi[Colonne24]),FALSE),""),"[hh]:mm"))</f>
        <v>#N/A</v>
      </c>
      <c r="AZ229" s="284" t="e">
        <f>IF(VLOOKUP(T_Convention[[#This Row],[NumL]],T_TraitDi[#Data],COLUMN(T_TraitDi[Colonne25]),FALSE)=0,"",TEXT(IFERROR(VLOOKUP(T_Convention[[#This Row],[NumL]],T_TraitDi[#Data],COLUMN(T_TraitDi[Colonne25]),FALSE),""),"[hh]:mm"))</f>
        <v>#N/A</v>
      </c>
      <c r="BA229" s="284" t="e">
        <f>IF(VLOOKUP(T_Convention[[#This Row],[NumL]],T_TraitDi[#Data],COLUMN(T_TraitDi[Colonne26]),FALSE)=0,"",TEXT(IFERROR(VLOOKUP(T_Convention[[#This Row],[NumL]],T_TraitDi[#Data],COLUMN(T_TraitDi[Colonne26]),FALSE),""),"[hh]:mm"))</f>
        <v>#N/A</v>
      </c>
      <c r="BB229" s="284" t="str">
        <f>IFERROR(VLOOKUP(T_Convention[[#This Row],[NumL]],T_TraitDi[#Data],COLUMN(T_TraitDi[Vendredi]),FALSE),"")</f>
        <v/>
      </c>
      <c r="BC229" s="284" t="e">
        <f>IF(VLOOKUP(T_Convention[[#This Row],[NumL]],T_TraitDi[#Data],COLUMN(T_TraitDi[Colonne27]),FALSE)=0,"",TEXT(IFERROR(VLOOKUP(T_Convention[[#This Row],[NumL]],T_TraitDi[#Data],COLUMN(T_TraitDi[Colonne27]),FALSE),""),"[hh]:mm"))</f>
        <v>#N/A</v>
      </c>
      <c r="BD229" s="284" t="e">
        <f>IF(VLOOKUP(T_Convention[[#This Row],[NumL]],T_TraitDi[#Data],COLUMN(T_TraitDi[Colonne28]),FALSE)=0,"",TEXT(IFERROR(VLOOKUP(T_Convention[[#This Row],[NumL]],T_TraitDi[#Data],COLUMN(T_TraitDi[Colonne28]),FALSE),""),"[hh]:mm"))</f>
        <v>#N/A</v>
      </c>
      <c r="BE229" s="284" t="str">
        <f>IFERROR(VLOOKUP(T_Convention[[#This Row],[NumL]],T_TraitDi[#Data],COLUMN(T_TraitDi[Colonne29]),FALSE),"")</f>
        <v/>
      </c>
      <c r="BF229" s="284" t="e">
        <f>IF(VLOOKUP(T_Convention[[#This Row],[NumL]],T_TraitDi[#Data],COLUMN(T_TraitDi[Colonne30]),FALSE)=0,"",TEXT(IFERROR(VLOOKUP(T_Convention[[#This Row],[NumL]],T_TraitDi[#Data],COLUMN(T_TraitDi[Colonne30]),FALSE),""),"[hh]:mm"))</f>
        <v>#N/A</v>
      </c>
      <c r="BG229" s="284" t="e">
        <f>IF(VLOOKUP(T_Convention[[#This Row],[NumL]],T_TraitDi[#Data],COLUMN(T_TraitDi[Colonne31]),FALSE)=0,"",TEXT(IFERROR(VLOOKUP(T_Convention[[#This Row],[NumL]],T_TraitDi[#Data],COLUMN(T_TraitDi[Colonne31]),FALSE),""),"[hh]:mm"))</f>
        <v>#N/A</v>
      </c>
      <c r="BH229" s="284" t="e">
        <f>IF(VLOOKUP(T_Convention[[#This Row],[NumL]],T_TraitDi[#Data],COLUMN(T_TraitDi[Colonne32]),FALSE)=0,"",TEXT(IFERROR(VLOOKUP(T_Convention[[#This Row],[NumL]],T_TraitDi[#Data],COLUMN(T_TraitDi[Colonne32]),FALSE),""),"[hh]:mm"))</f>
        <v>#N/A</v>
      </c>
      <c r="BI229" s="284" t="str">
        <f>IFERROR(VLOOKUP(T_Convention[[#This Row],[NumL]],T_TraitDi[#Data],COLUMN(T_TraitDi[NbJTW]),FALSE),"")</f>
        <v/>
      </c>
      <c r="BJ229" s="284" t="e">
        <f>IF(VLOOKUP(T_Convention[[#This Row],[NumL]],T_TraitDi[#Data],COLUMN(T_TraitDi[NbhTW]),FALSE)=0,"",TEXT(IFERROR(VLOOKUP(T_Convention[[#This Row],[NumL]],T_TraitDi[#Data],COLUMN(T_TraitDi[NbhTW]),FALSE),""),"[hh]:mm"))</f>
        <v>#N/A</v>
      </c>
      <c r="BK229" s="286" t="e">
        <f>IF(VLOOKUP(T_Convention[[#This Row],[NumL]],T_TraitDi[#Data],COLUMN(T_TraitDi[Nbhheb]),FALSE)=0,"",TEXT(IFERROR(VLOOKUP(T_Convention[[#This Row],[NumL]],T_TraitDi[#Data],COLUMN(T_TraitDi[Nbhheb]),FALSE),""),"[hh]:mm"))</f>
        <v>#N/A</v>
      </c>
      <c r="BL229" s="287" t="str">
        <f>IFERROR(VLOOKUP(VLOOKUP(T_Convention[[#This Row],[NumL]],T_TraitDi[#Data],COLUMN(T_TraitDi[Type1]),FALSE),TypeTW,2,FALSE),"")</f>
        <v/>
      </c>
      <c r="BM229" s="288" t="str">
        <f>IFERROR(VLOOKUP(T_Convention[[#This Row],[NumL]],T_TraitDi[#Data],COLUMN(T_TraitDi[Rue1]),FALSE),"")</f>
        <v/>
      </c>
      <c r="BN229" s="289" t="str">
        <f>IFERROR(VLOOKUP(T_Convention[[#This Row],[NumL]],T_TraitDi[#Data],COLUMN(T_TraitDi[CP1]),FALSE),"")</f>
        <v/>
      </c>
      <c r="BO229" s="282" t="str">
        <f>IFERROR(VLOOKUP(T_Convention[[#This Row],[NumL]],T_TraitDi[#Data],COLUMN(T_TraitDi[VILLE1]),FALSE),"")</f>
        <v/>
      </c>
      <c r="BP229" s="290" t="str">
        <f>IFERROR(VLOOKUP(VLOOKUP(T_Convention[[#This Row],[NumL]],T_TraitDi[#Data],COLUMN(T_TraitDi[Type2]),FALSE),TypeTW,2,FALSE),"")</f>
        <v/>
      </c>
      <c r="BQ229" s="182" t="str">
        <f>IFERROR(VLOOKUP(T_Convention[[#This Row],[NumL]],T_TraitDi[#Data],COLUMN(T_TraitDi[Rue2]),FALSE),"")</f>
        <v/>
      </c>
      <c r="BR229" s="173" t="str">
        <f>IFERROR(VLOOKUP(T_Convention[[#This Row],[NumL]],T_TraitDi[#Data],COLUMN(T_TraitDi[CP2]),FALSE),"")</f>
        <v/>
      </c>
      <c r="BS229" s="173" t="str">
        <f>IFERROR(VLOOKUP(T_Convention[[#This Row],[NumL]],T_TraitDi[#Data],COLUMN(T_TraitDi[VILLE2]),FALSE),"")</f>
        <v/>
      </c>
      <c r="BT229" s="182" t="str">
        <f>IF(VLOOKUP(T_Convention[[#This Row],[NumL]],T_Equipement[#Data],COLUMN(T_Equipement[PC]),FALSE)="","Aucun équipement spécifique directement lié au télétravail",VLOOKUP(T_Convention[[#This Row],[NumL]],T_Equipement[#Data],COLUMN(T_Equipement[PC]),FALSE))</f>
        <v xml:space="preserve">20-070	</v>
      </c>
      <c r="BU229" s="166" t="str">
        <f>IFERROR(IF(VLOOKUP(T_Convention[[#This Row],[NumL]],T_TraitDi[#Data],COLUMN(T_TraitDi[Plan]),FALSE)="OK","Un planning spécifique de télétravail est annexé à la présente convention.",""),"")</f>
        <v/>
      </c>
      <c r="BV229" s="185" t="s">
        <v>3437</v>
      </c>
      <c r="BW229" s="164" t="e">
        <f>IF(VLOOKUP(T_Convention[[#This Row],[NumL]],T_suiviDi[#Data],COLUMN(T_suiviDi[Entité]),FALSE)="","",VLOOKUP(T_Convention[[#This Row],[NumL]],T_suiviDi[#Data],COLUMN(T_suiviDi[Entité]),FALSE))</f>
        <v>#N/A</v>
      </c>
      <c r="BX229" s="164" t="str">
        <f>IF(VLOOKUP(T_Convention[[#This Row],[NumL]],T_Commission[#Data],COLUMN(T_Commission[envoi confirm TW]),FALSE)="","",VLOOKUP(T_Convention[[#This Row],[NumL]],T_Commission[#Data],COLUMN(T_Commission[envoi confirm TW]),FALSE))</f>
        <v>Oui</v>
      </c>
      <c r="BY22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29" s="264">
        <f>VLOOKUP(T_Convention[[#This Row],[NumL]],T_Commission[#Data],COLUMN(T_Commission[Commentaire]),FALSE)</f>
        <v>0</v>
      </c>
      <c r="CA229" s="254" t="str">
        <f>IF(VLOOKUP(T_Convention[[#This Row],[NumL]],T_Commission[#Data],COLUMN(T_Commission[Encadrant Email]),FALSE)="","",VLOOKUP(T_Convention[[#This Row],[NumL]],T_Commission[#Data],COLUMN(T_Commission[Encadrant Email]),FALSE))</f>
        <v/>
      </c>
      <c r="CB229" s="352" t="e">
        <f>VLOOKUP(T_Convention[[#This Row],[NumL]],T_TraitDi[#Data],COLUMN(T_TraitDi[NbJTot]),FALSE)</f>
        <v>#N/A</v>
      </c>
      <c r="CC229" s="352" t="e">
        <f>VLOOKUP(T_Convention[[#This Row],[NumL]],T_TraitDi[#Data],COLUMN(T_TraitDi[Reg Ponct]),FALSE)</f>
        <v>#N/A</v>
      </c>
      <c r="CD229" s="348" t="str">
        <f>IF(T_Convention[[#This Row],[Final]]&lt;&gt;"",VLOOKUP(T_Convention[[#This Row],[NumL]],T_suiviDi[#Data],COLUMN((T_suiviDi[Statut])),FALSE),"")</f>
        <v/>
      </c>
    </row>
    <row r="230" spans="1:82" s="106" customFormat="1" ht="18.75" customHeight="1" x14ac:dyDescent="0.25">
      <c r="A230" s="160">
        <v>4</v>
      </c>
      <c r="B230" s="161" t="str">
        <f>VLOOKUP(T_Convention[[#This Row],[NumL]],T_Commission[#Data],COLUMN(T_Commission[FINAL]),FALSE)</f>
        <v/>
      </c>
      <c r="C230" s="162"/>
      <c r="D230" s="95" t="e">
        <f>IF(VLOOKUP(T_Convention[[#This Row],[NumL]],T_TraitDi[#Data],COLUMN(T_TraitDi[WebC]),FALSE)="","",VLOOKUP(T_Convention[[#This Row],[NumL]],T_TraitDi[#Data],COLUMN(T_TraitDi[WebC]),FALSE))</f>
        <v>#N/A</v>
      </c>
      <c r="E230" s="163" t="str">
        <f t="shared" si="15"/>
        <v>12 janvier 2021</v>
      </c>
      <c r="F230" s="282" t="str">
        <f>IF(T_Convention[[#This Row],[Final]]&lt;&gt;"",VLOOKUP(T_Convention[[#This Row],[NumL]],T_suiviDi[#Data],COLUMN((T_suiviDi[Civ.])),FALSE),"")</f>
        <v/>
      </c>
      <c r="G230" s="283" t="str">
        <f>IF(T_Convention[[#This Row],[Final]]&lt;&gt;"",VLOOKUP(T_Convention[[#This Row],[NumL]],T_suiviDi[#Data],COLUMN((T_suiviDi[Nom])),FALSE),"")</f>
        <v/>
      </c>
      <c r="H230" s="282" t="str">
        <f>IF(T_Convention[[#This Row],[Final]]&lt;&gt;"",VLOOKUP(T_Convention[[#This Row],[NumL]],T_suiviDi[#Data],COLUMN((T_suiviDi[Prénom])),FALSE),"")</f>
        <v/>
      </c>
      <c r="I230" s="282" t="e">
        <f>VLOOKUP(T_Convention[[#This Row],[NumL]],T_suiviDi[#Data],COLUMN((T_suiviDi[[#This Row],[Email]])),FALSE)</f>
        <v>#VALUE!</v>
      </c>
      <c r="J230" s="282" t="e">
        <f>IF(VLOOKUP(T_Convention[[#This Row],[NumL]],T_suiviDi[#Data],COLUMN(T_suiviDi[[#This Row],[Fonction]]),FALSE)="","",VLOOKUP(T_Convention[[#This Row],[NumL]],T_suiviDi[#Data],COLUMN(T_suiviDi[[#This Row],[Fonction]]),FALSE))</f>
        <v>#VALUE!</v>
      </c>
      <c r="K230" s="282" t="e">
        <f>IF(VLOOKUP(T_Convention[[#This Row],[NumL]],T_suiviDi[#Data],COLUMN(T_suiviDi[[#This Row],[Grade]]),FALSE)="","",VLOOKUP(T_Convention[[#This Row],[NumL]],T_suiviDi[#Data],COLUMN(T_suiviDi[[#This Row],[Grade]]),FALSE))</f>
        <v>#VALUE!</v>
      </c>
      <c r="L230" s="282" t="e">
        <f>IF(VLOOKUP(T_Convention[[#This Row],[NumL]],T_suiviDi[#Data],COLUMN(T_suiviDi[[#This Row],[Service ]]),FALSE)="","",VLOOKUP(T_Convention[[#This Row],[NumL]],T_suiviDi[#Data],COLUMN(T_suiviDi[[#This Row],[Service ]]),FALSE))</f>
        <v>#VALUE!</v>
      </c>
      <c r="M230" s="164" t="str">
        <f t="shared" si="16"/>
        <v>01 septembre 2021</v>
      </c>
      <c r="N230" s="164" t="str">
        <f t="shared" si="17"/>
        <v>30 novembre 2021</v>
      </c>
      <c r="O230" s="284" t="str">
        <f t="shared" si="18"/>
        <v>30 novembre 2021</v>
      </c>
      <c r="P230" s="282" t="e">
        <f>IF(VLOOKUP(T_Convention[[#This Row],[NumL]],T_TraitDi[#Data],COLUMN(T_TraitDi[M1]),FALSE)="","",VLOOKUP(T_Convention[[#This Row],[NumL]],T_TraitDi[#Data],COLUMN(T_TraitDi[M1]),FALSE))</f>
        <v>#N/A</v>
      </c>
      <c r="Q230" s="282" t="e">
        <f>IF(VLOOKUP(T_Convention[[#This Row],[NumL]],T_TraitDi[#Data],COLUMN(T_TraitDi[M2]),FALSE)="","",VLOOKUP(T_Convention[[#This Row],[NumL]],T_TraitDi[#Data],COLUMN(T_TraitDi[M2]),FALSE))</f>
        <v>#N/A</v>
      </c>
      <c r="R230" s="282" t="e">
        <f>IF(VLOOKUP(T_Convention[[#This Row],[NumL]],T_TraitDi[#Data],COLUMN(T_TraitDi[M3]),FALSE)="","",VLOOKUP(T_Convention[[#This Row],[NumL]],T_TraitDi[#Data],COLUMN(T_TraitDi[M3]),FALSE))</f>
        <v>#N/A</v>
      </c>
      <c r="S230" s="282" t="e">
        <f>IF(VLOOKUP(T_Convention[[#This Row],[NumL]],T_TraitDi[#Data],COLUMN(T_TraitDi[M4]),FALSE)="","",VLOOKUP(T_Convention[[#This Row],[NumL]],T_TraitDi[#Data],COLUMN(T_TraitDi[M4]),FALSE))</f>
        <v>#N/A</v>
      </c>
      <c r="T230" s="282" t="e">
        <f>IF(VLOOKUP(T_Convention[[#This Row],[NumL]],T_TraitDi[#Data],COLUMN(T_TraitDi[M5]),FALSE)="","",VLOOKUP(T_Convention[[#This Row],[NumL]],T_TraitDi[#Data],COLUMN(T_TraitDi[M5]),FALSE))</f>
        <v>#N/A</v>
      </c>
      <c r="U230" s="282" t="e">
        <f>IF(VLOOKUP(T_Convention[[#This Row],[NumL]],T_TraitDi[#Data],COLUMN(T_TraitDi[M6]),FALSE)="","",VLOOKUP(T_Convention[[#This Row],[NumL]],T_TraitDi[#Data],COLUMN(T_TraitDi[M6]),FALSE))</f>
        <v>#N/A</v>
      </c>
      <c r="V230" s="176" t="e">
        <f t="shared" si="19"/>
        <v>#N/A</v>
      </c>
      <c r="W230" s="284" t="str">
        <f>IFERROR(TEXT(VLOOKUP(T_Convention[[#This Row],[NumL]],T_TraitDi[#Data],COLUMN(T_TraitDi[Q2]),FALSE),"###%"),"")</f>
        <v/>
      </c>
      <c r="X230" s="97" t="e">
        <f>VLOOKUP(T_Convention[[#This Row],[NumL]],T_TraitDi[#Data],COLUMN(T_TraitDi[Reg Ponct]),FALSE)</f>
        <v>#N/A</v>
      </c>
      <c r="Y230" s="97" t="e">
        <f>VLOOKUP(T_Convention[NumL],T_TraitDi[#Data],COLUMN(T_TraitDi[Jours flottants]),FALSE)</f>
        <v>#N/A</v>
      </c>
      <c r="Z230" s="284" t="str">
        <f>IFERROR(VLOOKUP(T_Convention[[#This Row],[NumL]],T_TraitDi[#Data],COLUMN(T_TraitDi[Lundi]),FALSE),"")</f>
        <v/>
      </c>
      <c r="AA230" s="284" t="e">
        <f>IF(VLOOKUP(T_Convention[[#This Row],[NumL]],T_TraitDi[#Data],COLUMN(T_TraitDi[Colonne3]),FALSE)=0,"",TEXT(IFERROR(VLOOKUP(T_Convention[[#This Row],[NumL]],T_TraitDi[#Data],COLUMN(T_TraitDi[Colonne3]),FALSE),""),"[hh]:mm"))</f>
        <v>#N/A</v>
      </c>
      <c r="AB230" s="284" t="e">
        <f>IF(VLOOKUP(T_Convention[[#This Row],[NumL]],T_TraitDi[#Data],COLUMN(T_TraitDi[Colonne4]),FALSE)=0,"",TEXT(IFERROR(VLOOKUP(T_Convention[[#This Row],[NumL]],T_TraitDi[#Data],COLUMN(T_TraitDi[Colonne4]),FALSE),""),"[hh]:mm"))</f>
        <v>#N/A</v>
      </c>
      <c r="AC230" s="284" t="e">
        <f>IF(VLOOKUP(T_Convention[[#This Row],[NumL]],T_TraitDi[#Data],COLUMN(T_TraitDi[Colonne5]),FALSE)=0,"",TEXT(IFERROR(VLOOKUP(T_Convention[[#This Row],[NumL]],T_TraitDi[#Data],COLUMN(T_TraitDi[Colonne5]),FALSE),""),"[hh]:mm"))</f>
        <v>#N/A</v>
      </c>
      <c r="AD230" s="284" t="e">
        <f>IF(VLOOKUP(T_Convention[[#This Row],[NumL]],T_TraitDi[#Data],COLUMN(T_TraitDi[Colonne6]),FALSE)=0,"",TEXT(IFERROR(VLOOKUP(T_Convention[[#This Row],[NumL]],T_TraitDi[#Data],COLUMN(T_TraitDi[Colonne6]),FALSE),""),"[hh]:mm"))</f>
        <v>#N/A</v>
      </c>
      <c r="AE230" s="284" t="e">
        <f>IF(VLOOKUP(T_Convention[[#This Row],[NumL]],T_TraitDi[#Data],COLUMN(T_TraitDi[Colonne7]),FALSE)=0,"",TEXT(IFERROR(VLOOKUP(T_Convention[[#This Row],[NumL]],T_TraitDi[#Data],COLUMN(T_TraitDi[Colonne7]),FALSE),""),"[hh]:mm"))</f>
        <v>#N/A</v>
      </c>
      <c r="AF230" s="284" t="e">
        <f>IF(VLOOKUP(T_Convention[[#This Row],[NumL]],T_TraitDi[#Data],COLUMN(T_TraitDi[Colonne8]),FALSE)=0,"",TEXT(IFERROR(VLOOKUP(T_Convention[[#This Row],[NumL]],T_TraitDi[#Data],COLUMN(T_TraitDi[Colonne8]),FALSE),""),"[hh]:mm"))</f>
        <v>#N/A</v>
      </c>
      <c r="AG230" s="284" t="str">
        <f>IFERROR(VLOOKUP(T_Convention[[#This Row],[NumL]],T_TraitDi[#Data],COLUMN(T_TraitDi[Mardi]),FALSE),"")</f>
        <v/>
      </c>
      <c r="AH230" s="284" t="e">
        <f>IF(VLOOKUP(T_Convention[[#This Row],[NumL]],T_TraitDi[#Data],COLUMN(T_TraitDi[Colonne1]),FALSE)=0,"",TEXT(IFERROR(VLOOKUP(T_Convention[[#This Row],[NumL]],T_TraitDi[#Data],COLUMN(T_TraitDi[Colonne1]),FALSE),""),"[hh]:mm"))</f>
        <v>#N/A</v>
      </c>
      <c r="AI230" s="284" t="e">
        <f>IF(VLOOKUP(T_Convention[[#This Row],[NumL]],T_TraitDi[#Data],COLUMN(T_TraitDi[Colonne9]),FALSE)=0,"",TEXT(IFERROR(VLOOKUP(T_Convention[[#This Row],[NumL]],T_TraitDi[#Data],COLUMN(T_TraitDi[Colonne9]),FALSE),""),"[hh]:mm"))</f>
        <v>#N/A</v>
      </c>
      <c r="AJ230" s="284" t="str">
        <f>IFERROR(VLOOKUP(T_Convention[[#This Row],[NumL]],T_TraitDi[#Data],COLUMN(T_TraitDi[Colonne10]),FALSE),"")</f>
        <v/>
      </c>
      <c r="AK230" s="284" t="e">
        <f>IF(VLOOKUP(T_Convention[[#This Row],[NumL]],T_TraitDi[#Data],COLUMN(T_TraitDi[Colonne11]),FALSE)=0,"",TEXT(IFERROR(VLOOKUP(T_Convention[[#This Row],[NumL]],T_TraitDi[#Data],COLUMN(T_TraitDi[Colonne11]),FALSE),""),"[hh]:mm"))</f>
        <v>#N/A</v>
      </c>
      <c r="AL230" s="284" t="e">
        <f>IF(VLOOKUP(T_Convention[[#This Row],[NumL]],T_TraitDi[#Data],COLUMN(T_TraitDi[Colonne12]),FALSE)=0,"",TEXT(IFERROR(VLOOKUP(T_Convention[[#This Row],[NumL]],T_TraitDi[#Data],COLUMN(T_TraitDi[Colonne12]),FALSE),""),"[hh]:mm"))</f>
        <v>#N/A</v>
      </c>
      <c r="AM230" s="284" t="e">
        <f>IF(VLOOKUP(T_Convention[[#This Row],[NumL]],T_TraitDi[#Data],COLUMN(T_TraitDi[Colonne14]),FALSE)=0,"",TEXT(IFERROR(VLOOKUP(T_Convention[[#This Row],[NumL]],T_TraitDi[#Data],COLUMN(T_TraitDi[Colonne14]),FALSE),""),"[hh]:mm"))</f>
        <v>#N/A</v>
      </c>
      <c r="AN230" s="284" t="str">
        <f>IFERROR(VLOOKUP(T_Convention[[#This Row],[NumL]],T_TraitDi[#Data],COLUMN(T_TraitDi[Mercredi]),FALSE),"")</f>
        <v/>
      </c>
      <c r="AO230" s="284" t="e">
        <f>IF(VLOOKUP(T_Convention[[#This Row],[NumL]],T_TraitDi[#Data],COLUMN(T_TraitDi[Colonne15]),FALSE)=0,"",TEXT(IFERROR(VLOOKUP(T_Convention[[#This Row],[NumL]],T_TraitDi[#Data],COLUMN(T_TraitDi[Colonne15]),FALSE),""),"[hh]:mm"))</f>
        <v>#N/A</v>
      </c>
      <c r="AP230" s="284" t="e">
        <f>IF(VLOOKUP(T_Convention[[#This Row],[NumL]],T_TraitDi[#Data],COLUMN(T_TraitDi[Colonne16]),FALSE)=0,"",TEXT(IFERROR(VLOOKUP(T_Convention[[#This Row],[NumL]],T_TraitDi[#Data],COLUMN(T_TraitDi[Colonne16]),FALSE),""),"[hh]:mm"))</f>
        <v>#N/A</v>
      </c>
      <c r="AQ230" s="284" t="str">
        <f>IFERROR(VLOOKUP(T_Convention[[#This Row],[NumL]],T_TraitDi[#Data],COLUMN(T_TraitDi[Colonne17]),FALSE),"")</f>
        <v/>
      </c>
      <c r="AR230" s="284" t="e">
        <f>IF(VLOOKUP(T_Convention[[#This Row],[NumL]],T_TraitDi[#Data],COLUMN(T_TraitDi[Colonne18]),FALSE)=0,"",TEXT(IFERROR(VLOOKUP(T_Convention[[#This Row],[NumL]],T_TraitDi[#Data],COLUMN(T_TraitDi[Colonne18]),FALSE),""),"[hh]:mm"))</f>
        <v>#N/A</v>
      </c>
      <c r="AS230" s="284" t="e">
        <f>IF(VLOOKUP(T_Convention[[#This Row],[NumL]],T_TraitDi[#Data],COLUMN(T_TraitDi[Colonne19]),FALSE)=0,"",TEXT(IFERROR(VLOOKUP(T_Convention[[#This Row],[NumL]],T_TraitDi[#Data],COLUMN(T_TraitDi[Colonne19]),FALSE),""),"[hh]:mm"))</f>
        <v>#N/A</v>
      </c>
      <c r="AT230" s="284" t="e">
        <f>IF(VLOOKUP(T_Convention[[#This Row],[NumL]],T_TraitDi[#Data],COLUMN(T_TraitDi[Colonne20]),FALSE)=0,"",TEXT(IFERROR(VLOOKUP(T_Convention[[#This Row],[NumL]],T_TraitDi[#Data],COLUMN(T_TraitDi[Colonne20]),FALSE),""),"[hh]:mm"))</f>
        <v>#N/A</v>
      </c>
      <c r="AU230" s="284" t="str">
        <f>IFERROR(VLOOKUP(T_Convention[[#This Row],[NumL]],T_TraitDi[#Data],COLUMN(T_TraitDi[Jeudi]),FALSE),"")</f>
        <v/>
      </c>
      <c r="AV230" s="284" t="e">
        <f>IF(VLOOKUP(T_Convention[[#This Row],[NumL]],T_TraitDi[#Data],COLUMN(T_TraitDi[Colonne21]),FALSE)=0,"",TEXT(IFERROR(VLOOKUP(T_Convention[[#This Row],[NumL]],T_TraitDi[#Data],COLUMN(T_TraitDi[Colonne21]),FALSE),""),"[hh]:mm"))</f>
        <v>#N/A</v>
      </c>
      <c r="AW230" s="284" t="e">
        <f>IF(VLOOKUP(T_Convention[[#This Row],[NumL]],T_TraitDi[#Data],COLUMN(T_TraitDi[Colonne22]),FALSE)=0,"",TEXT(IFERROR(VLOOKUP(T_Convention[[#This Row],[NumL]],T_TraitDi[#Data],COLUMN(T_TraitDi[Colonne22]),FALSE),""),"[hh]:mm"))</f>
        <v>#N/A</v>
      </c>
      <c r="AX230" s="284" t="str">
        <f>IFERROR(VLOOKUP(T_Convention[[#This Row],[NumL]],T_TraitDi[#Data],COLUMN(T_TraitDi[Colonne23]),FALSE),"")</f>
        <v/>
      </c>
      <c r="AY230" s="284" t="e">
        <f>IF(VLOOKUP(T_Convention[[#This Row],[NumL]],T_TraitDi[#Data],COLUMN(T_TraitDi[Colonne24]),FALSE)=0,"",TEXT(IFERROR(VLOOKUP(T_Convention[[#This Row],[NumL]],T_TraitDi[#Data],COLUMN(T_TraitDi[Colonne24]),FALSE),""),"[hh]:mm"))</f>
        <v>#N/A</v>
      </c>
      <c r="AZ230" s="284" t="e">
        <f>IF(VLOOKUP(T_Convention[[#This Row],[NumL]],T_TraitDi[#Data],COLUMN(T_TraitDi[Colonne25]),FALSE)=0,"",TEXT(IFERROR(VLOOKUP(T_Convention[[#This Row],[NumL]],T_TraitDi[#Data],COLUMN(T_TraitDi[Colonne25]),FALSE),""),"[hh]:mm"))</f>
        <v>#N/A</v>
      </c>
      <c r="BA230" s="284" t="e">
        <f>IF(VLOOKUP(T_Convention[[#This Row],[NumL]],T_TraitDi[#Data],COLUMN(T_TraitDi[Colonne26]),FALSE)=0,"",TEXT(IFERROR(VLOOKUP(T_Convention[[#This Row],[NumL]],T_TraitDi[#Data],COLUMN(T_TraitDi[Colonne26]),FALSE),""),"[hh]:mm"))</f>
        <v>#N/A</v>
      </c>
      <c r="BB230" s="284" t="str">
        <f>IFERROR(VLOOKUP(T_Convention[[#This Row],[NumL]],T_TraitDi[#Data],COLUMN(T_TraitDi[Vendredi]),FALSE),"")</f>
        <v/>
      </c>
      <c r="BC230" s="284" t="e">
        <f>IF(VLOOKUP(T_Convention[[#This Row],[NumL]],T_TraitDi[#Data],COLUMN(T_TraitDi[Colonne27]),FALSE)=0,"",TEXT(IFERROR(VLOOKUP(T_Convention[[#This Row],[NumL]],T_TraitDi[#Data],COLUMN(T_TraitDi[Colonne27]),FALSE),""),"[hh]:mm"))</f>
        <v>#N/A</v>
      </c>
      <c r="BD230" s="284" t="e">
        <f>IF(VLOOKUP(T_Convention[[#This Row],[NumL]],T_TraitDi[#Data],COLUMN(T_TraitDi[Colonne28]),FALSE)=0,"",TEXT(IFERROR(VLOOKUP(T_Convention[[#This Row],[NumL]],T_TraitDi[#Data],COLUMN(T_TraitDi[Colonne28]),FALSE),""),"[hh]:mm"))</f>
        <v>#N/A</v>
      </c>
      <c r="BE230" s="284" t="str">
        <f>IFERROR(VLOOKUP(T_Convention[[#This Row],[NumL]],T_TraitDi[#Data],COLUMN(T_TraitDi[Colonne29]),FALSE),"")</f>
        <v/>
      </c>
      <c r="BF230" s="284" t="e">
        <f>IF(VLOOKUP(T_Convention[[#This Row],[NumL]],T_TraitDi[#Data],COLUMN(T_TraitDi[Colonne30]),FALSE)=0,"",TEXT(IFERROR(VLOOKUP(T_Convention[[#This Row],[NumL]],T_TraitDi[#Data],COLUMN(T_TraitDi[Colonne30]),FALSE),""),"[hh]:mm"))</f>
        <v>#N/A</v>
      </c>
      <c r="BG230" s="284" t="e">
        <f>IF(VLOOKUP(T_Convention[[#This Row],[NumL]],T_TraitDi[#Data],COLUMN(T_TraitDi[Colonne31]),FALSE)=0,"",TEXT(IFERROR(VLOOKUP(T_Convention[[#This Row],[NumL]],T_TraitDi[#Data],COLUMN(T_TraitDi[Colonne31]),FALSE),""),"[hh]:mm"))</f>
        <v>#N/A</v>
      </c>
      <c r="BH230" s="284" t="e">
        <f>IF(VLOOKUP(T_Convention[[#This Row],[NumL]],T_TraitDi[#Data],COLUMN(T_TraitDi[Colonne32]),FALSE)=0,"",TEXT(IFERROR(VLOOKUP(T_Convention[[#This Row],[NumL]],T_TraitDi[#Data],COLUMN(T_TraitDi[Colonne32]),FALSE),""),"[hh]:mm"))</f>
        <v>#N/A</v>
      </c>
      <c r="BI230" s="284" t="str">
        <f>IFERROR(VLOOKUP(T_Convention[[#This Row],[NumL]],T_TraitDi[#Data],COLUMN(T_TraitDi[NbJTW]),FALSE),"")</f>
        <v/>
      </c>
      <c r="BJ230" s="284" t="e">
        <f>IF(VLOOKUP(T_Convention[[#This Row],[NumL]],T_TraitDi[#Data],COLUMN(T_TraitDi[NbhTW]),FALSE)=0,"",TEXT(IFERROR(VLOOKUP(T_Convention[[#This Row],[NumL]],T_TraitDi[#Data],COLUMN(T_TraitDi[NbhTW]),FALSE),""),"[hh]:mm"))</f>
        <v>#N/A</v>
      </c>
      <c r="BK230" s="286" t="e">
        <f>IF(VLOOKUP(T_Convention[[#This Row],[NumL]],T_TraitDi[#Data],COLUMN(T_TraitDi[Nbhheb]),FALSE)=0,"",TEXT(IFERROR(VLOOKUP(T_Convention[[#This Row],[NumL]],T_TraitDi[#Data],COLUMN(T_TraitDi[Nbhheb]),FALSE),""),"[hh]:mm"))</f>
        <v>#N/A</v>
      </c>
      <c r="BL230" s="287" t="str">
        <f>IFERROR(VLOOKUP(VLOOKUP(T_Convention[[#This Row],[NumL]],T_TraitDi[#Data],COLUMN(T_TraitDi[Type1]),FALSE),TypeTW,2,FALSE),"")</f>
        <v/>
      </c>
      <c r="BM230" s="288" t="str">
        <f>IFERROR(VLOOKUP(T_Convention[[#This Row],[NumL]],T_TraitDi[#Data],COLUMN(T_TraitDi[Rue1]),FALSE),"")</f>
        <v/>
      </c>
      <c r="BN230" s="289" t="str">
        <f>IFERROR(VLOOKUP(T_Convention[[#This Row],[NumL]],T_TraitDi[#Data],COLUMN(T_TraitDi[CP1]),FALSE),"")</f>
        <v/>
      </c>
      <c r="BO230" s="282" t="str">
        <f>IFERROR(VLOOKUP(T_Convention[[#This Row],[NumL]],T_TraitDi[#Data],COLUMN(T_TraitDi[VILLE1]),FALSE),"")</f>
        <v/>
      </c>
      <c r="BP230" s="290" t="str">
        <f>IFERROR(VLOOKUP(VLOOKUP(T_Convention[[#This Row],[NumL]],T_TraitDi[#Data],COLUMN(T_TraitDi[Type2]),FALSE),TypeTW,2,FALSE),"")</f>
        <v/>
      </c>
      <c r="BQ230" s="182" t="str">
        <f>IFERROR(VLOOKUP(T_Convention[[#This Row],[NumL]],T_TraitDi[#Data],COLUMN(T_TraitDi[Rue2]),FALSE),"")</f>
        <v/>
      </c>
      <c r="BR230" s="173" t="str">
        <f>IFERROR(VLOOKUP(T_Convention[[#This Row],[NumL]],T_TraitDi[#Data],COLUMN(T_TraitDi[CP2]),FALSE),"")</f>
        <v/>
      </c>
      <c r="BS230" s="173" t="str">
        <f>IFERROR(VLOOKUP(T_Convention[[#This Row],[NumL]],T_TraitDi[#Data],COLUMN(T_TraitDi[VILLE2]),FALSE),"")</f>
        <v/>
      </c>
      <c r="BT230" s="182" t="str">
        <f>IF(VLOOKUP(T_Convention[[#This Row],[NumL]],T_Equipement[#Data],COLUMN(T_Equipement[PC]),FALSE)="","Aucun équipement spécifique directement lié au télétravail",VLOOKUP(T_Convention[[#This Row],[NumL]],T_Equipement[#Data],COLUMN(T_Equipement[PC]),FALSE))</f>
        <v xml:space="preserve">20-358	</v>
      </c>
      <c r="BU230" s="166" t="str">
        <f>IFERROR(IF(VLOOKUP(T_Convention[[#This Row],[NumL]],T_TraitDi[#Data],COLUMN(T_TraitDi[Plan]),FALSE)="OK","Un planning spécifique de télétravail est annexé à la présente convention.",""),"")</f>
        <v/>
      </c>
      <c r="BV230" s="185" t="s">
        <v>3290</v>
      </c>
      <c r="BW230" s="164" t="e">
        <f>IF(VLOOKUP(T_Convention[[#This Row],[NumL]],T_suiviDi[#Data],COLUMN(T_suiviDi[Entité]),FALSE)="","",VLOOKUP(T_Convention[[#This Row],[NumL]],T_suiviDi[#Data],COLUMN(T_suiviDi[Entité]),FALSE))</f>
        <v>#N/A</v>
      </c>
      <c r="BX230" s="164" t="str">
        <f>IF(VLOOKUP(T_Convention[[#This Row],[NumL]],T_Commission[#Data],COLUMN(T_Commission[envoi confirm TW]),FALSE)="","",VLOOKUP(T_Convention[[#This Row],[NumL]],T_Commission[#Data],COLUMN(T_Commission[envoi confirm TW]),FALSE))</f>
        <v>Oui</v>
      </c>
      <c r="BY23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0" s="264">
        <f>VLOOKUP(T_Convention[[#This Row],[NumL]],T_Commission[#Data],COLUMN(T_Commission[Commentaire]),FALSE)</f>
        <v>0</v>
      </c>
      <c r="CA230" s="254" t="str">
        <f>IF(VLOOKUP(T_Convention[[#This Row],[NumL]],T_Commission[#Data],COLUMN(T_Commission[Encadrant Email]),FALSE)="","",VLOOKUP(T_Convention[[#This Row],[NumL]],T_Commission[#Data],COLUMN(T_Commission[Encadrant Email]),FALSE))</f>
        <v/>
      </c>
      <c r="CB230" s="353" t="e">
        <f>VLOOKUP(T_Convention[[#This Row],[NumL]],T_TraitDi[#Data],COLUMN(T_TraitDi[NbJTot]),FALSE)</f>
        <v>#N/A</v>
      </c>
      <c r="CC230" s="353" t="e">
        <f>VLOOKUP(T_Convention[[#This Row],[NumL]],T_TraitDi[#Data],COLUMN(T_TraitDi[Reg Ponct]),FALSE)</f>
        <v>#N/A</v>
      </c>
      <c r="CD230" s="348" t="str">
        <f>IF(T_Convention[[#This Row],[Final]]&lt;&gt;"",VLOOKUP(T_Convention[[#This Row],[NumL]],T_suiviDi[#Data],COLUMN((T_suiviDi[Statut])),FALSE),"")</f>
        <v/>
      </c>
    </row>
    <row r="231" spans="1:82" s="106" customFormat="1" ht="18.75" customHeight="1" x14ac:dyDescent="0.25">
      <c r="A231" s="160">
        <v>37</v>
      </c>
      <c r="B231" s="161" t="str">
        <f>VLOOKUP(T_Convention[[#This Row],[NumL]],T_Commission[#Data],COLUMN(T_Commission[FINAL]),FALSE)</f>
        <v/>
      </c>
      <c r="C231" s="162"/>
      <c r="D231" s="95" t="e">
        <f>IF(VLOOKUP(T_Convention[[#This Row],[NumL]],T_TraitDi[#Data],COLUMN(T_TraitDi[WebC]),FALSE)="","",VLOOKUP(T_Convention[[#This Row],[NumL]],T_TraitDi[#Data],COLUMN(T_TraitDi[WebC]),FALSE))</f>
        <v>#N/A</v>
      </c>
      <c r="E231" s="163" t="str">
        <f t="shared" si="15"/>
        <v>12 janvier 2021</v>
      </c>
      <c r="F231" s="282" t="str">
        <f>IF(T_Convention[[#This Row],[Final]]&lt;&gt;"",VLOOKUP(T_Convention[[#This Row],[NumL]],T_suiviDi[#Data],COLUMN((T_suiviDi[Civ.])),FALSE),"")</f>
        <v/>
      </c>
      <c r="G231" s="283" t="str">
        <f>IF(T_Convention[[#This Row],[Final]]&lt;&gt;"",VLOOKUP(T_Convention[[#This Row],[NumL]],T_suiviDi[#Data],COLUMN((T_suiviDi[Nom])),FALSE),"")</f>
        <v/>
      </c>
      <c r="H231" s="282" t="str">
        <f>IF(T_Convention[[#This Row],[Final]]&lt;&gt;"",VLOOKUP(T_Convention[[#This Row],[NumL]],T_suiviDi[#Data],COLUMN((T_suiviDi[Prénom])),FALSE),"")</f>
        <v/>
      </c>
      <c r="I231" s="282" t="e">
        <f>VLOOKUP(T_Convention[[#This Row],[NumL]],T_suiviDi[#Data],COLUMN((T_suiviDi[[#This Row],[Email]])),FALSE)</f>
        <v>#VALUE!</v>
      </c>
      <c r="J231" s="282" t="e">
        <f>IF(VLOOKUP(T_Convention[[#This Row],[NumL]],T_suiviDi[#Data],COLUMN(T_suiviDi[[#This Row],[Fonction]]),FALSE)="","",VLOOKUP(T_Convention[[#This Row],[NumL]],T_suiviDi[#Data],COLUMN(T_suiviDi[[#This Row],[Fonction]]),FALSE))</f>
        <v>#VALUE!</v>
      </c>
      <c r="K231" s="282" t="e">
        <f>IF(VLOOKUP(T_Convention[[#This Row],[NumL]],T_suiviDi[#Data],COLUMN(T_suiviDi[[#This Row],[Grade]]),FALSE)="","",VLOOKUP(T_Convention[[#This Row],[NumL]],T_suiviDi[#Data],COLUMN(T_suiviDi[[#This Row],[Grade]]),FALSE))</f>
        <v>#VALUE!</v>
      </c>
      <c r="L231" s="282" t="e">
        <f>IF(VLOOKUP(T_Convention[[#This Row],[NumL]],T_suiviDi[#Data],COLUMN(T_suiviDi[[#This Row],[Service ]]),FALSE)="","",VLOOKUP(T_Convention[[#This Row],[NumL]],T_suiviDi[#Data],COLUMN(T_suiviDi[[#This Row],[Service ]]),FALSE))</f>
        <v>#VALUE!</v>
      </c>
      <c r="M231" s="164" t="str">
        <f t="shared" si="16"/>
        <v>01 septembre 2021</v>
      </c>
      <c r="N231" s="164" t="str">
        <f t="shared" si="17"/>
        <v>30 novembre 2021</v>
      </c>
      <c r="O231" s="284" t="str">
        <f t="shared" si="18"/>
        <v>30 novembre 2021</v>
      </c>
      <c r="P231" s="282" t="e">
        <f>IF(VLOOKUP(T_Convention[[#This Row],[NumL]],T_TraitDi[#Data],COLUMN(T_TraitDi[M1]),FALSE)="","",VLOOKUP(T_Convention[[#This Row],[NumL]],T_TraitDi[#Data],COLUMN(T_TraitDi[M1]),FALSE))</f>
        <v>#N/A</v>
      </c>
      <c r="Q231" s="282" t="e">
        <f>IF(VLOOKUP(T_Convention[[#This Row],[NumL]],T_TraitDi[#Data],COLUMN(T_TraitDi[M2]),FALSE)="","",VLOOKUP(T_Convention[[#This Row],[NumL]],T_TraitDi[#Data],COLUMN(T_TraitDi[M2]),FALSE))</f>
        <v>#N/A</v>
      </c>
      <c r="R231" s="282" t="e">
        <f>IF(VLOOKUP(T_Convention[[#This Row],[NumL]],T_TraitDi[#Data],COLUMN(T_TraitDi[M3]),FALSE)="","",VLOOKUP(T_Convention[[#This Row],[NumL]],T_TraitDi[#Data],COLUMN(T_TraitDi[M3]),FALSE))</f>
        <v>#N/A</v>
      </c>
      <c r="S231" s="282" t="e">
        <f>IF(VLOOKUP(T_Convention[[#This Row],[NumL]],T_TraitDi[#Data],COLUMN(T_TraitDi[M4]),FALSE)="","",VLOOKUP(T_Convention[[#This Row],[NumL]],T_TraitDi[#Data],COLUMN(T_TraitDi[M4]),FALSE))</f>
        <v>#N/A</v>
      </c>
      <c r="T231" s="282" t="e">
        <f>IF(VLOOKUP(T_Convention[[#This Row],[NumL]],T_TraitDi[#Data],COLUMN(T_TraitDi[M5]),FALSE)="","",VLOOKUP(T_Convention[[#This Row],[NumL]],T_TraitDi[#Data],COLUMN(T_TraitDi[M5]),FALSE))</f>
        <v>#N/A</v>
      </c>
      <c r="U231" s="282" t="e">
        <f>IF(VLOOKUP(T_Convention[[#This Row],[NumL]],T_TraitDi[#Data],COLUMN(T_TraitDi[M6]),FALSE)="","",VLOOKUP(T_Convention[[#This Row],[NumL]],T_TraitDi[#Data],COLUMN(T_TraitDi[M6]),FALSE))</f>
        <v>#N/A</v>
      </c>
      <c r="V231" s="176" t="e">
        <f t="shared" si="19"/>
        <v>#N/A</v>
      </c>
      <c r="W231" s="284" t="str">
        <f>IFERROR(TEXT(VLOOKUP(T_Convention[[#This Row],[NumL]],T_TraitDi[#Data],COLUMN(T_TraitDi[Q2]),FALSE),"###%"),"")</f>
        <v/>
      </c>
      <c r="X231" s="97" t="e">
        <f>VLOOKUP(T_Convention[[#This Row],[NumL]],T_TraitDi[#Data],COLUMN(T_TraitDi[Reg Ponct]),FALSE)</f>
        <v>#N/A</v>
      </c>
      <c r="Y231" s="97" t="e">
        <f>VLOOKUP(T_Convention[NumL],T_TraitDi[#Data],COLUMN(T_TraitDi[Jours flottants]),FALSE)</f>
        <v>#N/A</v>
      </c>
      <c r="Z231" s="284" t="str">
        <f>IFERROR(VLOOKUP(T_Convention[[#This Row],[NumL]],T_TraitDi[#Data],COLUMN(T_TraitDi[Lundi]),FALSE),"")</f>
        <v/>
      </c>
      <c r="AA231" s="284" t="e">
        <f>IF(VLOOKUP(T_Convention[[#This Row],[NumL]],T_TraitDi[#Data],COLUMN(T_TraitDi[Colonne3]),FALSE)=0,"",TEXT(IFERROR(VLOOKUP(T_Convention[[#This Row],[NumL]],T_TraitDi[#Data],COLUMN(T_TraitDi[Colonne3]),FALSE),""),"[hh]:mm"))</f>
        <v>#N/A</v>
      </c>
      <c r="AB231" s="284" t="e">
        <f>IF(VLOOKUP(T_Convention[[#This Row],[NumL]],T_TraitDi[#Data],COLUMN(T_TraitDi[Colonne4]),FALSE)=0,"",TEXT(IFERROR(VLOOKUP(T_Convention[[#This Row],[NumL]],T_TraitDi[#Data],COLUMN(T_TraitDi[Colonne4]),FALSE),""),"[hh]:mm"))</f>
        <v>#N/A</v>
      </c>
      <c r="AC231" s="284" t="e">
        <f>IF(VLOOKUP(T_Convention[[#This Row],[NumL]],T_TraitDi[#Data],COLUMN(T_TraitDi[Colonne5]),FALSE)=0,"",TEXT(IFERROR(VLOOKUP(T_Convention[[#This Row],[NumL]],T_TraitDi[#Data],COLUMN(T_TraitDi[Colonne5]),FALSE),""),"[hh]:mm"))</f>
        <v>#N/A</v>
      </c>
      <c r="AD231" s="284" t="e">
        <f>IF(VLOOKUP(T_Convention[[#This Row],[NumL]],T_TraitDi[#Data],COLUMN(T_TraitDi[Colonne6]),FALSE)=0,"",TEXT(IFERROR(VLOOKUP(T_Convention[[#This Row],[NumL]],T_TraitDi[#Data],COLUMN(T_TraitDi[Colonne6]),FALSE),""),"[hh]:mm"))</f>
        <v>#N/A</v>
      </c>
      <c r="AE231" s="284" t="e">
        <f>IF(VLOOKUP(T_Convention[[#This Row],[NumL]],T_TraitDi[#Data],COLUMN(T_TraitDi[Colonne7]),FALSE)=0,"",TEXT(IFERROR(VLOOKUP(T_Convention[[#This Row],[NumL]],T_TraitDi[#Data],COLUMN(T_TraitDi[Colonne7]),FALSE),""),"[hh]:mm"))</f>
        <v>#N/A</v>
      </c>
      <c r="AF231" s="284" t="e">
        <f>IF(VLOOKUP(T_Convention[[#This Row],[NumL]],T_TraitDi[#Data],COLUMN(T_TraitDi[Colonne8]),FALSE)=0,"",TEXT(IFERROR(VLOOKUP(T_Convention[[#This Row],[NumL]],T_TraitDi[#Data],COLUMN(T_TraitDi[Colonne8]),FALSE),""),"[hh]:mm"))</f>
        <v>#N/A</v>
      </c>
      <c r="AG231" s="284" t="str">
        <f>IFERROR(VLOOKUP(T_Convention[[#This Row],[NumL]],T_TraitDi[#Data],COLUMN(T_TraitDi[Mardi]),FALSE),"")</f>
        <v/>
      </c>
      <c r="AH231" s="284" t="e">
        <f>IF(VLOOKUP(T_Convention[[#This Row],[NumL]],T_TraitDi[#Data],COLUMN(T_TraitDi[Colonne1]),FALSE)=0,"",TEXT(IFERROR(VLOOKUP(T_Convention[[#This Row],[NumL]],T_TraitDi[#Data],COLUMN(T_TraitDi[Colonne1]),FALSE),""),"[hh]:mm"))</f>
        <v>#N/A</v>
      </c>
      <c r="AI231" s="284" t="e">
        <f>IF(VLOOKUP(T_Convention[[#This Row],[NumL]],T_TraitDi[#Data],COLUMN(T_TraitDi[Colonne9]),FALSE)=0,"",TEXT(IFERROR(VLOOKUP(T_Convention[[#This Row],[NumL]],T_TraitDi[#Data],COLUMN(T_TraitDi[Colonne9]),FALSE),""),"[hh]:mm"))</f>
        <v>#N/A</v>
      </c>
      <c r="AJ231" s="284" t="str">
        <f>IFERROR(VLOOKUP(T_Convention[[#This Row],[NumL]],T_TraitDi[#Data],COLUMN(T_TraitDi[Colonne10]),FALSE),"")</f>
        <v/>
      </c>
      <c r="AK231" s="284" t="e">
        <f>IF(VLOOKUP(T_Convention[[#This Row],[NumL]],T_TraitDi[#Data],COLUMN(T_TraitDi[Colonne11]),FALSE)=0,"",TEXT(IFERROR(VLOOKUP(T_Convention[[#This Row],[NumL]],T_TraitDi[#Data],COLUMN(T_TraitDi[Colonne11]),FALSE),""),"[hh]:mm"))</f>
        <v>#N/A</v>
      </c>
      <c r="AL231" s="284" t="e">
        <f>IF(VLOOKUP(T_Convention[[#This Row],[NumL]],T_TraitDi[#Data],COLUMN(T_TraitDi[Colonne12]),FALSE)=0,"",TEXT(IFERROR(VLOOKUP(T_Convention[[#This Row],[NumL]],T_TraitDi[#Data],COLUMN(T_TraitDi[Colonne12]),FALSE),""),"[hh]:mm"))</f>
        <v>#N/A</v>
      </c>
      <c r="AM231" s="284" t="e">
        <f>IF(VLOOKUP(T_Convention[[#This Row],[NumL]],T_TraitDi[#Data],COLUMN(T_TraitDi[Colonne14]),FALSE)=0,"",TEXT(IFERROR(VLOOKUP(T_Convention[[#This Row],[NumL]],T_TraitDi[#Data],COLUMN(T_TraitDi[Colonne14]),FALSE),""),"[hh]:mm"))</f>
        <v>#N/A</v>
      </c>
      <c r="AN231" s="284" t="str">
        <f>IFERROR(VLOOKUP(T_Convention[[#This Row],[NumL]],T_TraitDi[#Data],COLUMN(T_TraitDi[Mercredi]),FALSE),"")</f>
        <v/>
      </c>
      <c r="AO231" s="284" t="e">
        <f>IF(VLOOKUP(T_Convention[[#This Row],[NumL]],T_TraitDi[#Data],COLUMN(T_TraitDi[Colonne15]),FALSE)=0,"",TEXT(IFERROR(VLOOKUP(T_Convention[[#This Row],[NumL]],T_TraitDi[#Data],COLUMN(T_TraitDi[Colonne15]),FALSE),""),"[hh]:mm"))</f>
        <v>#N/A</v>
      </c>
      <c r="AP231" s="284" t="e">
        <f>IF(VLOOKUP(T_Convention[[#This Row],[NumL]],T_TraitDi[#Data],COLUMN(T_TraitDi[Colonne16]),FALSE)=0,"",TEXT(IFERROR(VLOOKUP(T_Convention[[#This Row],[NumL]],T_TraitDi[#Data],COLUMN(T_TraitDi[Colonne16]),FALSE),""),"[hh]:mm"))</f>
        <v>#N/A</v>
      </c>
      <c r="AQ231" s="284" t="str">
        <f>IFERROR(VLOOKUP(T_Convention[[#This Row],[NumL]],T_TraitDi[#Data],COLUMN(T_TraitDi[Colonne17]),FALSE),"")</f>
        <v/>
      </c>
      <c r="AR231" s="284" t="e">
        <f>IF(VLOOKUP(T_Convention[[#This Row],[NumL]],T_TraitDi[#Data],COLUMN(T_TraitDi[Colonne18]),FALSE)=0,"",TEXT(IFERROR(VLOOKUP(T_Convention[[#This Row],[NumL]],T_TraitDi[#Data],COLUMN(T_TraitDi[Colonne18]),FALSE),""),"[hh]:mm"))</f>
        <v>#N/A</v>
      </c>
      <c r="AS231" s="284" t="e">
        <f>IF(VLOOKUP(T_Convention[[#This Row],[NumL]],T_TraitDi[#Data],COLUMN(T_TraitDi[Colonne19]),FALSE)=0,"",TEXT(IFERROR(VLOOKUP(T_Convention[[#This Row],[NumL]],T_TraitDi[#Data],COLUMN(T_TraitDi[Colonne19]),FALSE),""),"[hh]:mm"))</f>
        <v>#N/A</v>
      </c>
      <c r="AT231" s="284" t="e">
        <f>IF(VLOOKUP(T_Convention[[#This Row],[NumL]],T_TraitDi[#Data],COLUMN(T_TraitDi[Colonne20]),FALSE)=0,"",TEXT(IFERROR(VLOOKUP(T_Convention[[#This Row],[NumL]],T_TraitDi[#Data],COLUMN(T_TraitDi[Colonne20]),FALSE),""),"[hh]:mm"))</f>
        <v>#N/A</v>
      </c>
      <c r="AU231" s="284" t="str">
        <f>IFERROR(VLOOKUP(T_Convention[[#This Row],[NumL]],T_TraitDi[#Data],COLUMN(T_TraitDi[Jeudi]),FALSE),"")</f>
        <v/>
      </c>
      <c r="AV231" s="284" t="e">
        <f>IF(VLOOKUP(T_Convention[[#This Row],[NumL]],T_TraitDi[#Data],COLUMN(T_TraitDi[Colonne21]),FALSE)=0,"",TEXT(IFERROR(VLOOKUP(T_Convention[[#This Row],[NumL]],T_TraitDi[#Data],COLUMN(T_TraitDi[Colonne21]),FALSE),""),"[hh]:mm"))</f>
        <v>#N/A</v>
      </c>
      <c r="AW231" s="284" t="e">
        <f>IF(VLOOKUP(T_Convention[[#This Row],[NumL]],T_TraitDi[#Data],COLUMN(T_TraitDi[Colonne22]),FALSE)=0,"",TEXT(IFERROR(VLOOKUP(T_Convention[[#This Row],[NumL]],T_TraitDi[#Data],COLUMN(T_TraitDi[Colonne22]),FALSE),""),"[hh]:mm"))</f>
        <v>#N/A</v>
      </c>
      <c r="AX231" s="284" t="str">
        <f>IFERROR(VLOOKUP(T_Convention[[#This Row],[NumL]],T_TraitDi[#Data],COLUMN(T_TraitDi[Colonne23]),FALSE),"")</f>
        <v/>
      </c>
      <c r="AY231" s="284" t="e">
        <f>IF(VLOOKUP(T_Convention[[#This Row],[NumL]],T_TraitDi[#Data],COLUMN(T_TraitDi[Colonne24]),FALSE)=0,"",TEXT(IFERROR(VLOOKUP(T_Convention[[#This Row],[NumL]],T_TraitDi[#Data],COLUMN(T_TraitDi[Colonne24]),FALSE),""),"[hh]:mm"))</f>
        <v>#N/A</v>
      </c>
      <c r="AZ231" s="284" t="e">
        <f>IF(VLOOKUP(T_Convention[[#This Row],[NumL]],T_TraitDi[#Data],COLUMN(T_TraitDi[Colonne25]),FALSE)=0,"",TEXT(IFERROR(VLOOKUP(T_Convention[[#This Row],[NumL]],T_TraitDi[#Data],COLUMN(T_TraitDi[Colonne25]),FALSE),""),"[hh]:mm"))</f>
        <v>#N/A</v>
      </c>
      <c r="BA231" s="284" t="e">
        <f>IF(VLOOKUP(T_Convention[[#This Row],[NumL]],T_TraitDi[#Data],COLUMN(T_TraitDi[Colonne26]),FALSE)=0,"",TEXT(IFERROR(VLOOKUP(T_Convention[[#This Row],[NumL]],T_TraitDi[#Data],COLUMN(T_TraitDi[Colonne26]),FALSE),""),"[hh]:mm"))</f>
        <v>#N/A</v>
      </c>
      <c r="BB231" s="284" t="str">
        <f>IFERROR(VLOOKUP(T_Convention[[#This Row],[NumL]],T_TraitDi[#Data],COLUMN(T_TraitDi[Vendredi]),FALSE),"")</f>
        <v/>
      </c>
      <c r="BC231" s="284" t="e">
        <f>IF(VLOOKUP(T_Convention[[#This Row],[NumL]],T_TraitDi[#Data],COLUMN(T_TraitDi[Colonne27]),FALSE)=0,"",TEXT(IFERROR(VLOOKUP(T_Convention[[#This Row],[NumL]],T_TraitDi[#Data],COLUMN(T_TraitDi[Colonne27]),FALSE),""),"[hh]:mm"))</f>
        <v>#N/A</v>
      </c>
      <c r="BD231" s="284" t="e">
        <f>IF(VLOOKUP(T_Convention[[#This Row],[NumL]],T_TraitDi[#Data],COLUMN(T_TraitDi[Colonne28]),FALSE)=0,"",TEXT(IFERROR(VLOOKUP(T_Convention[[#This Row],[NumL]],T_TraitDi[#Data],COLUMN(T_TraitDi[Colonne28]),FALSE),""),"[hh]:mm"))</f>
        <v>#N/A</v>
      </c>
      <c r="BE231" s="284" t="str">
        <f>IFERROR(VLOOKUP(T_Convention[[#This Row],[NumL]],T_TraitDi[#Data],COLUMN(T_TraitDi[Colonne29]),FALSE),"")</f>
        <v/>
      </c>
      <c r="BF231" s="284" t="e">
        <f>IF(VLOOKUP(T_Convention[[#This Row],[NumL]],T_TraitDi[#Data],COLUMN(T_TraitDi[Colonne30]),FALSE)=0,"",TEXT(IFERROR(VLOOKUP(T_Convention[[#This Row],[NumL]],T_TraitDi[#Data],COLUMN(T_TraitDi[Colonne30]),FALSE),""),"[hh]:mm"))</f>
        <v>#N/A</v>
      </c>
      <c r="BG231" s="284" t="e">
        <f>IF(VLOOKUP(T_Convention[[#This Row],[NumL]],T_TraitDi[#Data],COLUMN(T_TraitDi[Colonne31]),FALSE)=0,"",TEXT(IFERROR(VLOOKUP(T_Convention[[#This Row],[NumL]],T_TraitDi[#Data],COLUMN(T_TraitDi[Colonne31]),FALSE),""),"[hh]:mm"))</f>
        <v>#N/A</v>
      </c>
      <c r="BH231" s="284" t="e">
        <f>IF(VLOOKUP(T_Convention[[#This Row],[NumL]],T_TraitDi[#Data],COLUMN(T_TraitDi[Colonne32]),FALSE)=0,"",TEXT(IFERROR(VLOOKUP(T_Convention[[#This Row],[NumL]],T_TraitDi[#Data],COLUMN(T_TraitDi[Colonne32]),FALSE),""),"[hh]:mm"))</f>
        <v>#N/A</v>
      </c>
      <c r="BI231" s="284" t="str">
        <f>IFERROR(VLOOKUP(T_Convention[[#This Row],[NumL]],T_TraitDi[#Data],COLUMN(T_TraitDi[NbJTW]),FALSE),"")</f>
        <v/>
      </c>
      <c r="BJ231" s="284" t="e">
        <f>IF(VLOOKUP(T_Convention[[#This Row],[NumL]],T_TraitDi[#Data],COLUMN(T_TraitDi[NbhTW]),FALSE)=0,"",TEXT(IFERROR(VLOOKUP(T_Convention[[#This Row],[NumL]],T_TraitDi[#Data],COLUMN(T_TraitDi[NbhTW]),FALSE),""),"[hh]:mm"))</f>
        <v>#N/A</v>
      </c>
      <c r="BK231" s="286" t="e">
        <f>IF(VLOOKUP(T_Convention[[#This Row],[NumL]],T_TraitDi[#Data],COLUMN(T_TraitDi[Nbhheb]),FALSE)=0,"",TEXT(IFERROR(VLOOKUP(T_Convention[[#This Row],[NumL]],T_TraitDi[#Data],COLUMN(T_TraitDi[Nbhheb]),FALSE),""),"[hh]:mm"))</f>
        <v>#N/A</v>
      </c>
      <c r="BL231" s="287" t="str">
        <f>IFERROR(VLOOKUP(VLOOKUP(T_Convention[[#This Row],[NumL]],T_TraitDi[#Data],COLUMN(T_TraitDi[Type1]),FALSE),TypeTW,2,FALSE),"")</f>
        <v/>
      </c>
      <c r="BM231" s="288" t="str">
        <f>IFERROR(VLOOKUP(T_Convention[[#This Row],[NumL]],T_TraitDi[#Data],COLUMN(T_TraitDi[Rue1]),FALSE),"")</f>
        <v/>
      </c>
      <c r="BN231" s="289" t="str">
        <f>IFERROR(VLOOKUP(T_Convention[[#This Row],[NumL]],T_TraitDi[#Data],COLUMN(T_TraitDi[CP1]),FALSE),"")</f>
        <v/>
      </c>
      <c r="BO231" s="282" t="str">
        <f>IFERROR(VLOOKUP(T_Convention[[#This Row],[NumL]],T_TraitDi[#Data],COLUMN(T_TraitDi[VILLE1]),FALSE),"")</f>
        <v/>
      </c>
      <c r="BP231" s="290" t="str">
        <f>IFERROR(VLOOKUP(VLOOKUP(T_Convention[[#This Row],[NumL]],T_TraitDi[#Data],COLUMN(T_TraitDi[Type2]),FALSE),TypeTW,2,FALSE),"")</f>
        <v/>
      </c>
      <c r="BQ231" s="182" t="str">
        <f>IFERROR(VLOOKUP(T_Convention[[#This Row],[NumL]],T_TraitDi[#Data],COLUMN(T_TraitDi[Rue2]),FALSE),"")</f>
        <v/>
      </c>
      <c r="BR231" s="173" t="str">
        <f>IFERROR(VLOOKUP(T_Convention[[#This Row],[NumL]],T_TraitDi[#Data],COLUMN(T_TraitDi[CP2]),FALSE),"")</f>
        <v/>
      </c>
      <c r="BS231" s="173" t="str">
        <f>IFERROR(VLOOKUP(T_Convention[[#This Row],[NumL]],T_TraitDi[#Data],COLUMN(T_TraitDi[VILLE2]),FALSE),"")</f>
        <v/>
      </c>
      <c r="BT231" s="182" t="str">
        <f>IF(VLOOKUP(T_Convention[[#This Row],[NumL]],T_Equipement[#Data],COLUMN(T_Equipement[PC]),FALSE)="","Aucun équipement spécifique directement lié au télétravail",VLOOKUP(T_Convention[[#This Row],[NumL]],T_Equipement[#Data],COLUMN(T_Equipement[PC]),FALSE))</f>
        <v>17-034</v>
      </c>
      <c r="BU231" s="166" t="str">
        <f>IFERROR(IF(VLOOKUP(T_Convention[[#This Row],[NumL]],T_TraitDi[#Data],COLUMN(T_TraitDi[Plan]),FALSE)="OK","Un planning spécifique de télétravail est annexé à la présente convention.",""),"")</f>
        <v/>
      </c>
      <c r="BV231" s="185" t="s">
        <v>3367</v>
      </c>
      <c r="BW231" s="164" t="e">
        <f>IF(VLOOKUP(T_Convention[[#This Row],[NumL]],T_suiviDi[#Data],COLUMN(T_suiviDi[Entité]),FALSE)="","",VLOOKUP(T_Convention[[#This Row],[NumL]],T_suiviDi[#Data],COLUMN(T_suiviDi[Entité]),FALSE))</f>
        <v>#N/A</v>
      </c>
      <c r="BX231" s="164" t="str">
        <f>IF(VLOOKUP(T_Convention[[#This Row],[NumL]],T_Commission[#Data],COLUMN(T_Commission[envoi confirm TW]),FALSE)="","",VLOOKUP(T_Convention[[#This Row],[NumL]],T_Commission[#Data],COLUMN(T_Commission[envoi confirm TW]),FALSE))</f>
        <v>Oui</v>
      </c>
      <c r="BY23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1" s="264">
        <f>VLOOKUP(T_Convention[[#This Row],[NumL]],T_Commission[#Data],COLUMN(T_Commission[Commentaire]),FALSE)</f>
        <v>0</v>
      </c>
      <c r="CA231" s="254" t="str">
        <f>IF(VLOOKUP(T_Convention[[#This Row],[NumL]],T_Commission[#Data],COLUMN(T_Commission[Encadrant Email]),FALSE)="","",VLOOKUP(T_Convention[[#This Row],[NumL]],T_Commission[#Data],COLUMN(T_Commission[Encadrant Email]),FALSE))</f>
        <v/>
      </c>
      <c r="CB231" s="352" t="e">
        <f>VLOOKUP(T_Convention[[#This Row],[NumL]],T_TraitDi[#Data],COLUMN(T_TraitDi[NbJTot]),FALSE)</f>
        <v>#N/A</v>
      </c>
      <c r="CC231" s="352" t="e">
        <f>VLOOKUP(T_Convention[[#This Row],[NumL]],T_TraitDi[#Data],COLUMN(T_TraitDi[Reg Ponct]),FALSE)</f>
        <v>#N/A</v>
      </c>
      <c r="CD231" s="348" t="str">
        <f>IF(T_Convention[[#This Row],[Final]]&lt;&gt;"",VLOOKUP(T_Convention[[#This Row],[NumL]],T_suiviDi[#Data],COLUMN((T_suiviDi[Statut])),FALSE),"")</f>
        <v/>
      </c>
    </row>
    <row r="232" spans="1:82" s="106" customFormat="1" ht="18.75" customHeight="1" x14ac:dyDescent="0.25">
      <c r="A232" s="160">
        <v>328</v>
      </c>
      <c r="B232" s="281" t="str">
        <f>VLOOKUP(T_Convention[[#This Row],[NumL]],T_Commission[#Data],COLUMN(T_Commission[FINAL]),FALSE)</f>
        <v/>
      </c>
      <c r="C232" s="162"/>
      <c r="D232" s="95" t="e">
        <f>IF(VLOOKUP(T_Convention[[#This Row],[NumL]],T_TraitDi[#Data],COLUMN(T_TraitDi[WebC]),FALSE)="","",VLOOKUP(T_Convention[[#This Row],[NumL]],T_TraitDi[#Data],COLUMN(T_TraitDi[WebC]),FALSE))</f>
        <v>#N/A</v>
      </c>
      <c r="E232" s="163" t="str">
        <f t="shared" si="15"/>
        <v>12 janvier 2021</v>
      </c>
      <c r="F232" s="282" t="str">
        <f>IF(T_Convention[[#This Row],[Final]]&lt;&gt;"",VLOOKUP(T_Convention[[#This Row],[NumL]],T_suiviDi[#Data],COLUMN((T_suiviDi[Civ.])),FALSE),"")</f>
        <v/>
      </c>
      <c r="G232" s="283" t="str">
        <f>IF(T_Convention[[#This Row],[Final]]&lt;&gt;"",VLOOKUP(T_Convention[[#This Row],[NumL]],T_suiviDi[#Data],COLUMN((T_suiviDi[Nom])),FALSE),"")</f>
        <v/>
      </c>
      <c r="H232" s="282" t="str">
        <f>IF(T_Convention[[#This Row],[Final]]&lt;&gt;"",VLOOKUP(T_Convention[[#This Row],[NumL]],T_suiviDi[#Data],COLUMN((T_suiviDi[Prénom])),FALSE),"")</f>
        <v/>
      </c>
      <c r="I232" s="282" t="e">
        <f>VLOOKUP(T_Convention[[#This Row],[NumL]],T_suiviDi[#Data],COLUMN((T_suiviDi[[#This Row],[Email]])),FALSE)</f>
        <v>#VALUE!</v>
      </c>
      <c r="J232" s="282" t="e">
        <f>IF(VLOOKUP(T_Convention[[#This Row],[NumL]],T_suiviDi[#Data],COLUMN(T_suiviDi[[#This Row],[Fonction]]),FALSE)="","",VLOOKUP(T_Convention[[#This Row],[NumL]],T_suiviDi[#Data],COLUMN(T_suiviDi[[#This Row],[Fonction]]),FALSE))</f>
        <v>#VALUE!</v>
      </c>
      <c r="K232" s="282" t="e">
        <f>IF(VLOOKUP(T_Convention[[#This Row],[NumL]],T_suiviDi[#Data],COLUMN(T_suiviDi[[#This Row],[Grade]]),FALSE)="","",VLOOKUP(T_Convention[[#This Row],[NumL]],T_suiviDi[#Data],COLUMN(T_suiviDi[[#This Row],[Grade]]),FALSE))</f>
        <v>#VALUE!</v>
      </c>
      <c r="L232" s="282" t="e">
        <f>IF(VLOOKUP(T_Convention[[#This Row],[NumL]],T_suiviDi[#Data],COLUMN(T_suiviDi[[#This Row],[Service ]]),FALSE)="","",VLOOKUP(T_Convention[[#This Row],[NumL]],T_suiviDi[#Data],COLUMN(T_suiviDi[[#This Row],[Service ]]),FALSE))</f>
        <v>#VALUE!</v>
      </c>
      <c r="M232" s="314" t="str">
        <f t="shared" si="16"/>
        <v>01 septembre 2021</v>
      </c>
      <c r="N232" s="314" t="str">
        <f t="shared" si="17"/>
        <v>30 novembre 2021</v>
      </c>
      <c r="O232" s="284" t="str">
        <f t="shared" si="18"/>
        <v>30 novembre 2021</v>
      </c>
      <c r="P232" s="282" t="e">
        <f>IF(VLOOKUP(T_Convention[[#This Row],[NumL]],T_TraitDi[#Data],COLUMN(T_TraitDi[M1]),FALSE)="","",VLOOKUP(T_Convention[[#This Row],[NumL]],T_TraitDi[#Data],COLUMN(T_TraitDi[M1]),FALSE))</f>
        <v>#N/A</v>
      </c>
      <c r="Q232" s="282" t="e">
        <f>IF(VLOOKUP(T_Convention[[#This Row],[NumL]],T_TraitDi[#Data],COLUMN(T_TraitDi[M2]),FALSE)="","",VLOOKUP(T_Convention[[#This Row],[NumL]],T_TraitDi[#Data],COLUMN(T_TraitDi[M2]),FALSE))</f>
        <v>#N/A</v>
      </c>
      <c r="R232" s="282" t="e">
        <f>IF(VLOOKUP(T_Convention[[#This Row],[NumL]],T_TraitDi[#Data],COLUMN(T_TraitDi[M3]),FALSE)="","",VLOOKUP(T_Convention[[#This Row],[NumL]],T_TraitDi[#Data],COLUMN(T_TraitDi[M3]),FALSE))</f>
        <v>#N/A</v>
      </c>
      <c r="S232" s="282" t="e">
        <f>IF(VLOOKUP(T_Convention[[#This Row],[NumL]],T_TraitDi[#Data],COLUMN(T_TraitDi[M4]),FALSE)="","",VLOOKUP(T_Convention[[#This Row],[NumL]],T_TraitDi[#Data],COLUMN(T_TraitDi[M4]),FALSE))</f>
        <v>#N/A</v>
      </c>
      <c r="T232" s="282" t="e">
        <f>IF(VLOOKUP(T_Convention[[#This Row],[NumL]],T_TraitDi[#Data],COLUMN(T_TraitDi[M5]),FALSE)="","",VLOOKUP(T_Convention[[#This Row],[NumL]],T_TraitDi[#Data],COLUMN(T_TraitDi[M5]),FALSE))</f>
        <v>#N/A</v>
      </c>
      <c r="U232" s="282" t="e">
        <f>IF(VLOOKUP(T_Convention[[#This Row],[NumL]],T_TraitDi[#Data],COLUMN(T_TraitDi[M6]),FALSE)="","",VLOOKUP(T_Convention[[#This Row],[NumL]],T_TraitDi[#Data],COLUMN(T_TraitDi[M6]),FALSE))</f>
        <v>#N/A</v>
      </c>
      <c r="V232" s="314" t="e">
        <f t="shared" si="19"/>
        <v>#N/A</v>
      </c>
      <c r="W232" s="284" t="str">
        <f>IFERROR(TEXT(VLOOKUP(T_Convention[[#This Row],[NumL]],T_TraitDi[#Data],COLUMN(T_TraitDi[Q2]),FALSE),"###%"),"")</f>
        <v/>
      </c>
      <c r="X232" s="285" t="e">
        <f>VLOOKUP(T_Convention[[#This Row],[NumL]],T_TraitDi[#Data],COLUMN(T_TraitDi[Reg Ponct]),FALSE)</f>
        <v>#N/A</v>
      </c>
      <c r="Y232" s="285" t="e">
        <f>VLOOKUP(T_Convention[NumL],T_TraitDi[#Data],COLUMN(T_TraitDi[Jours flottants]),FALSE)</f>
        <v>#N/A</v>
      </c>
      <c r="Z232" s="284" t="str">
        <f>IFERROR(VLOOKUP(T_Convention[[#This Row],[NumL]],T_TraitDi[#Data],COLUMN(T_TraitDi[Lundi]),FALSE),"")</f>
        <v/>
      </c>
      <c r="AA232" s="284" t="e">
        <f>IF(VLOOKUP(T_Convention[[#This Row],[NumL]],T_TraitDi[#Data],COLUMN(T_TraitDi[Colonne3]),FALSE)=0,"",TEXT(IFERROR(VLOOKUP(T_Convention[[#This Row],[NumL]],T_TraitDi[#Data],COLUMN(T_TraitDi[Colonne3]),FALSE),""),"[hh]:mm"))</f>
        <v>#N/A</v>
      </c>
      <c r="AB232" s="284" t="e">
        <f>IF(VLOOKUP(T_Convention[[#This Row],[NumL]],T_TraitDi[#Data],COLUMN(T_TraitDi[Colonne4]),FALSE)=0,"",TEXT(IFERROR(VLOOKUP(T_Convention[[#This Row],[NumL]],T_TraitDi[#Data],COLUMN(T_TraitDi[Colonne4]),FALSE),""),"[hh]:mm"))</f>
        <v>#N/A</v>
      </c>
      <c r="AC232" s="284" t="e">
        <f>IF(VLOOKUP(T_Convention[[#This Row],[NumL]],T_TraitDi[#Data],COLUMN(T_TraitDi[Colonne5]),FALSE)=0,"",TEXT(IFERROR(VLOOKUP(T_Convention[[#This Row],[NumL]],T_TraitDi[#Data],COLUMN(T_TraitDi[Colonne5]),FALSE),""),"[hh]:mm"))</f>
        <v>#N/A</v>
      </c>
      <c r="AD232" s="284" t="e">
        <f>IF(VLOOKUP(T_Convention[[#This Row],[NumL]],T_TraitDi[#Data],COLUMN(T_TraitDi[Colonne6]),FALSE)=0,"",TEXT(IFERROR(VLOOKUP(T_Convention[[#This Row],[NumL]],T_TraitDi[#Data],COLUMN(T_TraitDi[Colonne6]),FALSE),""),"[hh]:mm"))</f>
        <v>#N/A</v>
      </c>
      <c r="AE232" s="284" t="e">
        <f>IF(VLOOKUP(T_Convention[[#This Row],[NumL]],T_TraitDi[#Data],COLUMN(T_TraitDi[Colonne7]),FALSE)=0,"",TEXT(IFERROR(VLOOKUP(T_Convention[[#This Row],[NumL]],T_TraitDi[#Data],COLUMN(T_TraitDi[Colonne7]),FALSE),""),"[hh]:mm"))</f>
        <v>#N/A</v>
      </c>
      <c r="AF232" s="284" t="e">
        <f>IF(VLOOKUP(T_Convention[[#This Row],[NumL]],T_TraitDi[#Data],COLUMN(T_TraitDi[Colonne8]),FALSE)=0,"",TEXT(IFERROR(VLOOKUP(T_Convention[[#This Row],[NumL]],T_TraitDi[#Data],COLUMN(T_TraitDi[Colonne8]),FALSE),""),"[hh]:mm"))</f>
        <v>#N/A</v>
      </c>
      <c r="AG232" s="284" t="str">
        <f>IFERROR(VLOOKUP(T_Convention[[#This Row],[NumL]],T_TraitDi[#Data],COLUMN(T_TraitDi[Mardi]),FALSE),"")</f>
        <v/>
      </c>
      <c r="AH232" s="284" t="e">
        <f>IF(VLOOKUP(T_Convention[[#This Row],[NumL]],T_TraitDi[#Data],COLUMN(T_TraitDi[Colonne1]),FALSE)=0,"",TEXT(IFERROR(VLOOKUP(T_Convention[[#This Row],[NumL]],T_TraitDi[#Data],COLUMN(T_TraitDi[Colonne1]),FALSE),""),"[hh]:mm"))</f>
        <v>#N/A</v>
      </c>
      <c r="AI232" s="284" t="e">
        <f>IF(VLOOKUP(T_Convention[[#This Row],[NumL]],T_TraitDi[#Data],COLUMN(T_TraitDi[Colonne9]),FALSE)=0,"",TEXT(IFERROR(VLOOKUP(T_Convention[[#This Row],[NumL]],T_TraitDi[#Data],COLUMN(T_TraitDi[Colonne9]),FALSE),""),"[hh]:mm"))</f>
        <v>#N/A</v>
      </c>
      <c r="AJ232" s="284" t="str">
        <f>IFERROR(VLOOKUP(T_Convention[[#This Row],[NumL]],T_TraitDi[#Data],COLUMN(T_TraitDi[Colonne10]),FALSE),"")</f>
        <v/>
      </c>
      <c r="AK232" s="284" t="e">
        <f>IF(VLOOKUP(T_Convention[[#This Row],[NumL]],T_TraitDi[#Data],COLUMN(T_TraitDi[Colonne11]),FALSE)=0,"",TEXT(IFERROR(VLOOKUP(T_Convention[[#This Row],[NumL]],T_TraitDi[#Data],COLUMN(T_TraitDi[Colonne11]),FALSE),""),"[hh]:mm"))</f>
        <v>#N/A</v>
      </c>
      <c r="AL232" s="284" t="e">
        <f>IF(VLOOKUP(T_Convention[[#This Row],[NumL]],T_TraitDi[#Data],COLUMN(T_TraitDi[Colonne12]),FALSE)=0,"",TEXT(IFERROR(VLOOKUP(T_Convention[[#This Row],[NumL]],T_TraitDi[#Data],COLUMN(T_TraitDi[Colonne12]),FALSE),""),"[hh]:mm"))</f>
        <v>#N/A</v>
      </c>
      <c r="AM232" s="284" t="e">
        <f>IF(VLOOKUP(T_Convention[[#This Row],[NumL]],T_TraitDi[#Data],COLUMN(T_TraitDi[Colonne14]),FALSE)=0,"",TEXT(IFERROR(VLOOKUP(T_Convention[[#This Row],[NumL]],T_TraitDi[#Data],COLUMN(T_TraitDi[Colonne14]),FALSE),""),"[hh]:mm"))</f>
        <v>#N/A</v>
      </c>
      <c r="AN232" s="284" t="str">
        <f>IFERROR(VLOOKUP(T_Convention[[#This Row],[NumL]],T_TraitDi[#Data],COLUMN(T_TraitDi[Mercredi]),FALSE),"")</f>
        <v/>
      </c>
      <c r="AO232" s="284" t="e">
        <f>IF(VLOOKUP(T_Convention[[#This Row],[NumL]],T_TraitDi[#Data],COLUMN(T_TraitDi[Colonne15]),FALSE)=0,"",TEXT(IFERROR(VLOOKUP(T_Convention[[#This Row],[NumL]],T_TraitDi[#Data],COLUMN(T_TraitDi[Colonne15]),FALSE),""),"[hh]:mm"))</f>
        <v>#N/A</v>
      </c>
      <c r="AP232" s="284" t="e">
        <f>IF(VLOOKUP(T_Convention[[#This Row],[NumL]],T_TraitDi[#Data],COLUMN(T_TraitDi[Colonne16]),FALSE)=0,"",TEXT(IFERROR(VLOOKUP(T_Convention[[#This Row],[NumL]],T_TraitDi[#Data],COLUMN(T_TraitDi[Colonne16]),FALSE),""),"[hh]:mm"))</f>
        <v>#N/A</v>
      </c>
      <c r="AQ232" s="284" t="str">
        <f>IFERROR(VLOOKUP(T_Convention[[#This Row],[NumL]],T_TraitDi[#Data],COLUMN(T_TraitDi[Colonne17]),FALSE),"")</f>
        <v/>
      </c>
      <c r="AR232" s="284" t="e">
        <f>IF(VLOOKUP(T_Convention[[#This Row],[NumL]],T_TraitDi[#Data],COLUMN(T_TraitDi[Colonne18]),FALSE)=0,"",TEXT(IFERROR(VLOOKUP(T_Convention[[#This Row],[NumL]],T_TraitDi[#Data],COLUMN(T_TraitDi[Colonne18]),FALSE),""),"[hh]:mm"))</f>
        <v>#N/A</v>
      </c>
      <c r="AS232" s="284" t="e">
        <f>IF(VLOOKUP(T_Convention[[#This Row],[NumL]],T_TraitDi[#Data],COLUMN(T_TraitDi[Colonne19]),FALSE)=0,"",TEXT(IFERROR(VLOOKUP(T_Convention[[#This Row],[NumL]],T_TraitDi[#Data],COLUMN(T_TraitDi[Colonne19]),FALSE),""),"[hh]:mm"))</f>
        <v>#N/A</v>
      </c>
      <c r="AT232" s="284" t="e">
        <f>IF(VLOOKUP(T_Convention[[#This Row],[NumL]],T_TraitDi[#Data],COLUMN(T_TraitDi[Colonne20]),FALSE)=0,"",TEXT(IFERROR(VLOOKUP(T_Convention[[#This Row],[NumL]],T_TraitDi[#Data],COLUMN(T_TraitDi[Colonne20]),FALSE),""),"[hh]:mm"))</f>
        <v>#N/A</v>
      </c>
      <c r="AU232" s="284" t="str">
        <f>IFERROR(VLOOKUP(T_Convention[[#This Row],[NumL]],T_TraitDi[#Data],COLUMN(T_TraitDi[Jeudi]),FALSE),"")</f>
        <v/>
      </c>
      <c r="AV232" s="284" t="e">
        <f>IF(VLOOKUP(T_Convention[[#This Row],[NumL]],T_TraitDi[#Data],COLUMN(T_TraitDi[Colonne21]),FALSE)=0,"",TEXT(IFERROR(VLOOKUP(T_Convention[[#This Row],[NumL]],T_TraitDi[#Data],COLUMN(T_TraitDi[Colonne21]),FALSE),""),"[hh]:mm"))</f>
        <v>#N/A</v>
      </c>
      <c r="AW232" s="284" t="e">
        <f>IF(VLOOKUP(T_Convention[[#This Row],[NumL]],T_TraitDi[#Data],COLUMN(T_TraitDi[Colonne22]),FALSE)=0,"",TEXT(IFERROR(VLOOKUP(T_Convention[[#This Row],[NumL]],T_TraitDi[#Data],COLUMN(T_TraitDi[Colonne22]),FALSE),""),"[hh]:mm"))</f>
        <v>#N/A</v>
      </c>
      <c r="AX232" s="284" t="str">
        <f>IFERROR(VLOOKUP(T_Convention[[#This Row],[NumL]],T_TraitDi[#Data],COLUMN(T_TraitDi[Colonne23]),FALSE),"")</f>
        <v/>
      </c>
      <c r="AY232" s="284" t="e">
        <f>IF(VLOOKUP(T_Convention[[#This Row],[NumL]],T_TraitDi[#Data],COLUMN(T_TraitDi[Colonne24]),FALSE)=0,"",TEXT(IFERROR(VLOOKUP(T_Convention[[#This Row],[NumL]],T_TraitDi[#Data],COLUMN(T_TraitDi[Colonne24]),FALSE),""),"[hh]:mm"))</f>
        <v>#N/A</v>
      </c>
      <c r="AZ232" s="284" t="e">
        <f>IF(VLOOKUP(T_Convention[[#This Row],[NumL]],T_TraitDi[#Data],COLUMN(T_TraitDi[Colonne25]),FALSE)=0,"",TEXT(IFERROR(VLOOKUP(T_Convention[[#This Row],[NumL]],T_TraitDi[#Data],COLUMN(T_TraitDi[Colonne25]),FALSE),""),"[hh]:mm"))</f>
        <v>#N/A</v>
      </c>
      <c r="BA232" s="284" t="e">
        <f>IF(VLOOKUP(T_Convention[[#This Row],[NumL]],T_TraitDi[#Data],COLUMN(T_TraitDi[Colonne26]),FALSE)=0,"",TEXT(IFERROR(VLOOKUP(T_Convention[[#This Row],[NumL]],T_TraitDi[#Data],COLUMN(T_TraitDi[Colonne26]),FALSE),""),"[hh]:mm"))</f>
        <v>#N/A</v>
      </c>
      <c r="BB232" s="284" t="str">
        <f>IFERROR(VLOOKUP(T_Convention[[#This Row],[NumL]],T_TraitDi[#Data],COLUMN(T_TraitDi[Vendredi]),FALSE),"")</f>
        <v/>
      </c>
      <c r="BC232" s="284" t="e">
        <f>IF(VLOOKUP(T_Convention[[#This Row],[NumL]],T_TraitDi[#Data],COLUMN(T_TraitDi[Colonne27]),FALSE)=0,"",TEXT(IFERROR(VLOOKUP(T_Convention[[#This Row],[NumL]],T_TraitDi[#Data],COLUMN(T_TraitDi[Colonne27]),FALSE),""),"[hh]:mm"))</f>
        <v>#N/A</v>
      </c>
      <c r="BD232" s="284" t="e">
        <f>IF(VLOOKUP(T_Convention[[#This Row],[NumL]],T_TraitDi[#Data],COLUMN(T_TraitDi[Colonne28]),FALSE)=0,"",TEXT(IFERROR(VLOOKUP(T_Convention[[#This Row],[NumL]],T_TraitDi[#Data],COLUMN(T_TraitDi[Colonne28]),FALSE),""),"[hh]:mm"))</f>
        <v>#N/A</v>
      </c>
      <c r="BE232" s="284" t="str">
        <f>IFERROR(VLOOKUP(T_Convention[[#This Row],[NumL]],T_TraitDi[#Data],COLUMN(T_TraitDi[Colonne29]),FALSE),"")</f>
        <v/>
      </c>
      <c r="BF232" s="284" t="e">
        <f>IF(VLOOKUP(T_Convention[[#This Row],[NumL]],T_TraitDi[#Data],COLUMN(T_TraitDi[Colonne30]),FALSE)=0,"",TEXT(IFERROR(VLOOKUP(T_Convention[[#This Row],[NumL]],T_TraitDi[#Data],COLUMN(T_TraitDi[Colonne30]),FALSE),""),"[hh]:mm"))</f>
        <v>#N/A</v>
      </c>
      <c r="BG232" s="284" t="e">
        <f>IF(VLOOKUP(T_Convention[[#This Row],[NumL]],T_TraitDi[#Data],COLUMN(T_TraitDi[Colonne31]),FALSE)=0,"",TEXT(IFERROR(VLOOKUP(T_Convention[[#This Row],[NumL]],T_TraitDi[#Data],COLUMN(T_TraitDi[Colonne31]),FALSE),""),"[hh]:mm"))</f>
        <v>#N/A</v>
      </c>
      <c r="BH232" s="284" t="e">
        <f>IF(VLOOKUP(T_Convention[[#This Row],[NumL]],T_TraitDi[#Data],COLUMN(T_TraitDi[Colonne32]),FALSE)=0,"",TEXT(IFERROR(VLOOKUP(T_Convention[[#This Row],[NumL]],T_TraitDi[#Data],COLUMN(T_TraitDi[Colonne32]),FALSE),""),"[hh]:mm"))</f>
        <v>#N/A</v>
      </c>
      <c r="BI232" s="284" t="str">
        <f>IFERROR(VLOOKUP(T_Convention[[#This Row],[NumL]],T_TraitDi[#Data],COLUMN(T_TraitDi[NbJTW]),FALSE),"")</f>
        <v/>
      </c>
      <c r="BJ232" s="284" t="e">
        <f>IF(VLOOKUP(T_Convention[[#This Row],[NumL]],T_TraitDi[#Data],COLUMN(T_TraitDi[NbhTW]),FALSE)=0,"",TEXT(IFERROR(VLOOKUP(T_Convention[[#This Row],[NumL]],T_TraitDi[#Data],COLUMN(T_TraitDi[NbhTW]),FALSE),""),"[hh]:mm"))</f>
        <v>#N/A</v>
      </c>
      <c r="BK232" s="315" t="e">
        <f>IF(VLOOKUP(T_Convention[[#This Row],[NumL]],T_TraitDi[#Data],COLUMN(T_TraitDi[Nbhheb]),FALSE)=0,"",TEXT(IFERROR(VLOOKUP(T_Convention[[#This Row],[NumL]],T_TraitDi[#Data],COLUMN(T_TraitDi[Nbhheb]),FALSE),""),"[hh]:mm"))</f>
        <v>#N/A</v>
      </c>
      <c r="BL232" s="287" t="str">
        <f>IFERROR(VLOOKUP(VLOOKUP(T_Convention[[#This Row],[NumL]],T_TraitDi[#Data],COLUMN(T_TraitDi[Type1]),FALSE),TypeTW,2,FALSE),"")</f>
        <v/>
      </c>
      <c r="BM232" s="288" t="str">
        <f>IFERROR(VLOOKUP(T_Convention[[#This Row],[NumL]],T_TraitDi[#Data],COLUMN(T_TraitDi[Rue1]),FALSE),"")</f>
        <v/>
      </c>
      <c r="BN232" s="289" t="str">
        <f>IFERROR(VLOOKUP(T_Convention[[#This Row],[NumL]],T_TraitDi[#Data],COLUMN(T_TraitDi[CP1]),FALSE),"")</f>
        <v/>
      </c>
      <c r="BO232" s="282" t="str">
        <f>IFERROR(VLOOKUP(T_Convention[[#This Row],[NumL]],T_TraitDi[#Data],COLUMN(T_TraitDi[VILLE1]),FALSE),"")</f>
        <v/>
      </c>
      <c r="BP232" s="290" t="str">
        <f>IFERROR(VLOOKUP(VLOOKUP(T_Convention[[#This Row],[NumL]],T_TraitDi[#Data],COLUMN(T_TraitDi[Type2]),FALSE),TypeTW,2,FALSE),"")</f>
        <v/>
      </c>
      <c r="BQ232" s="310" t="str">
        <f>IFERROR(VLOOKUP(T_Convention[[#This Row],[NumL]],T_TraitDi[#Data],COLUMN(T_TraitDi[Rue2]),FALSE),"")</f>
        <v/>
      </c>
      <c r="BR232" s="290" t="str">
        <f>IFERROR(VLOOKUP(T_Convention[[#This Row],[NumL]],T_TraitDi[#Data],COLUMN(T_TraitDi[CP2]),FALSE),"")</f>
        <v/>
      </c>
      <c r="BS232" s="290" t="str">
        <f>IFERROR(VLOOKUP(T_Convention[[#This Row],[NumL]],T_TraitDi[#Data],COLUMN(T_TraitDi[VILLE2]),FALSE),"")</f>
        <v/>
      </c>
      <c r="BT232"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32" s="314" t="str">
        <f>IFERROR(IF(VLOOKUP(T_Convention[[#This Row],[NumL]],T_TraitDi[#Data],COLUMN(T_TraitDi[Plan]),FALSE)="OK","Un planning spécifique de télétravail est annexé à la présente convention.",""),"")</f>
        <v/>
      </c>
      <c r="BV232" s="291"/>
      <c r="BW232" s="292" t="e">
        <f>IF(VLOOKUP(T_Convention[[#This Row],[NumL]],T_suiviDi[#Data],COLUMN(T_suiviDi[Entité]),FALSE)="","",VLOOKUP(T_Convention[[#This Row],[NumL]],T_suiviDi[#Data],COLUMN(T_suiviDi[Entité]),FALSE))</f>
        <v>#N/A</v>
      </c>
      <c r="BX232" s="311" t="str">
        <f>IF(VLOOKUP(T_Convention[[#This Row],[NumL]],T_Commission[#Data],COLUMN(T_Commission[envoi confirm TW]),FALSE)="","",VLOOKUP(T_Convention[[#This Row],[NumL]],T_Commission[#Data],COLUMN(T_Commission[envoi confirm TW]),FALSE))</f>
        <v>Oui</v>
      </c>
      <c r="BY23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2" s="265">
        <f>VLOOKUP(T_Convention[[#This Row],[NumL]],T_Commission[#Data],COLUMN(T_Commission[Commentaire]),FALSE)</f>
        <v>0</v>
      </c>
      <c r="CA232" s="255" t="str">
        <f>IF(VLOOKUP(T_Convention[[#This Row],[NumL]],T_Commission[#Data],COLUMN(T_Commission[Encadrant Email]),FALSE)="","",VLOOKUP(T_Convention[[#This Row],[NumL]],T_Commission[#Data],COLUMN(T_Commission[Encadrant Email]),FALSE))</f>
        <v/>
      </c>
      <c r="CB232" s="352" t="e">
        <f>VLOOKUP(T_Convention[[#This Row],[NumL]],T_TraitDi[#Data],COLUMN(T_TraitDi[NbJTot]),FALSE)</f>
        <v>#N/A</v>
      </c>
      <c r="CC232" s="352" t="e">
        <f>VLOOKUP(T_Convention[[#This Row],[NumL]],T_TraitDi[#Data],COLUMN(T_TraitDi[Reg Ponct]),FALSE)</f>
        <v>#N/A</v>
      </c>
      <c r="CD232" s="348" t="str">
        <f>IF(T_Convention[[#This Row],[Final]]&lt;&gt;"",VLOOKUP(T_Convention[[#This Row],[NumL]],T_suiviDi[#Data],COLUMN((T_suiviDi[Statut])),FALSE),"")</f>
        <v/>
      </c>
    </row>
    <row r="233" spans="1:82" s="106" customFormat="1" ht="18.75" customHeight="1" x14ac:dyDescent="0.25">
      <c r="A233" s="160">
        <v>268</v>
      </c>
      <c r="B233" s="161" t="str">
        <f>VLOOKUP(T_Convention[[#This Row],[NumL]],T_Commission[#Data],COLUMN(T_Commission[FINAL]),FALSE)</f>
        <v/>
      </c>
      <c r="C233" s="162"/>
      <c r="D233" s="95" t="e">
        <f>IF(VLOOKUP(T_Convention[[#This Row],[NumL]],T_TraitDi[#Data],COLUMN(T_TraitDi[WebC]),FALSE)="","",VLOOKUP(T_Convention[[#This Row],[NumL]],T_TraitDi[#Data],COLUMN(T_TraitDi[WebC]),FALSE))</f>
        <v>#N/A</v>
      </c>
      <c r="E233" s="163" t="str">
        <f t="shared" si="15"/>
        <v>12 janvier 2021</v>
      </c>
      <c r="F233" s="282" t="str">
        <f>IF(T_Convention[[#This Row],[Final]]&lt;&gt;"",VLOOKUP(T_Convention[[#This Row],[NumL]],T_suiviDi[#Data],COLUMN((T_suiviDi[Civ.])),FALSE),"")</f>
        <v/>
      </c>
      <c r="G233" s="283" t="str">
        <f>IF(T_Convention[[#This Row],[Final]]&lt;&gt;"",VLOOKUP(T_Convention[[#This Row],[NumL]],T_suiviDi[#Data],COLUMN((T_suiviDi[Nom])),FALSE),"")</f>
        <v/>
      </c>
      <c r="H233" s="282" t="str">
        <f>IF(T_Convention[[#This Row],[Final]]&lt;&gt;"",VLOOKUP(T_Convention[[#This Row],[NumL]],T_suiviDi[#Data],COLUMN((T_suiviDi[Prénom])),FALSE),"")</f>
        <v/>
      </c>
      <c r="I233" s="282" t="e">
        <f>VLOOKUP(T_Convention[[#This Row],[NumL]],T_suiviDi[#Data],COLUMN((T_suiviDi[[#This Row],[Email]])),FALSE)</f>
        <v>#VALUE!</v>
      </c>
      <c r="J233" s="282" t="e">
        <f>IF(VLOOKUP(T_Convention[[#This Row],[NumL]],T_suiviDi[#Data],COLUMN(T_suiviDi[[#This Row],[Fonction]]),FALSE)="","",VLOOKUP(T_Convention[[#This Row],[NumL]],T_suiviDi[#Data],COLUMN(T_suiviDi[[#This Row],[Fonction]]),FALSE))</f>
        <v>#VALUE!</v>
      </c>
      <c r="K233" s="282" t="e">
        <f>IF(VLOOKUP(T_Convention[[#This Row],[NumL]],T_suiviDi[#Data],COLUMN(T_suiviDi[[#This Row],[Grade]]),FALSE)="","",VLOOKUP(T_Convention[[#This Row],[NumL]],T_suiviDi[#Data],COLUMN(T_suiviDi[[#This Row],[Grade]]),FALSE))</f>
        <v>#VALUE!</v>
      </c>
      <c r="L233" s="282" t="e">
        <f>IF(VLOOKUP(T_Convention[[#This Row],[NumL]],T_suiviDi[#Data],COLUMN(T_suiviDi[[#This Row],[Service ]]),FALSE)="","",VLOOKUP(T_Convention[[#This Row],[NumL]],T_suiviDi[#Data],COLUMN(T_suiviDi[[#This Row],[Service ]]),FALSE))</f>
        <v>#VALUE!</v>
      </c>
      <c r="M233" s="164" t="str">
        <f t="shared" si="16"/>
        <v>01 septembre 2021</v>
      </c>
      <c r="N233" s="164" t="str">
        <f t="shared" si="17"/>
        <v>30 novembre 2021</v>
      </c>
      <c r="O233" s="284" t="str">
        <f t="shared" si="18"/>
        <v>30 novembre 2021</v>
      </c>
      <c r="P233" s="282" t="e">
        <f>IF(VLOOKUP(T_Convention[[#This Row],[NumL]],T_TraitDi[#Data],COLUMN(T_TraitDi[M1]),FALSE)="","",VLOOKUP(T_Convention[[#This Row],[NumL]],T_TraitDi[#Data],COLUMN(T_TraitDi[M1]),FALSE))</f>
        <v>#N/A</v>
      </c>
      <c r="Q233" s="282" t="e">
        <f>IF(VLOOKUP(T_Convention[[#This Row],[NumL]],T_TraitDi[#Data],COLUMN(T_TraitDi[M2]),FALSE)="","",VLOOKUP(T_Convention[[#This Row],[NumL]],T_TraitDi[#Data],COLUMN(T_TraitDi[M2]),FALSE))</f>
        <v>#N/A</v>
      </c>
      <c r="R233" s="282" t="e">
        <f>IF(VLOOKUP(T_Convention[[#This Row],[NumL]],T_TraitDi[#Data],COLUMN(T_TraitDi[M3]),FALSE)="","",VLOOKUP(T_Convention[[#This Row],[NumL]],T_TraitDi[#Data],COLUMN(T_TraitDi[M3]),FALSE))</f>
        <v>#N/A</v>
      </c>
      <c r="S233" s="282" t="e">
        <f>IF(VLOOKUP(T_Convention[[#This Row],[NumL]],T_TraitDi[#Data],COLUMN(T_TraitDi[M4]),FALSE)="","",VLOOKUP(T_Convention[[#This Row],[NumL]],T_TraitDi[#Data],COLUMN(T_TraitDi[M4]),FALSE))</f>
        <v>#N/A</v>
      </c>
      <c r="T233" s="282" t="e">
        <f>IF(VLOOKUP(T_Convention[[#This Row],[NumL]],T_TraitDi[#Data],COLUMN(T_TraitDi[M5]),FALSE)="","",VLOOKUP(T_Convention[[#This Row],[NumL]],T_TraitDi[#Data],COLUMN(T_TraitDi[M5]),FALSE))</f>
        <v>#N/A</v>
      </c>
      <c r="U233" s="282" t="e">
        <f>IF(VLOOKUP(T_Convention[[#This Row],[NumL]],T_TraitDi[#Data],COLUMN(T_TraitDi[M6]),FALSE)="","",VLOOKUP(T_Convention[[#This Row],[NumL]],T_TraitDi[#Data],COLUMN(T_TraitDi[M6]),FALSE))</f>
        <v>#N/A</v>
      </c>
      <c r="V233" s="176" t="e">
        <f t="shared" si="19"/>
        <v>#N/A</v>
      </c>
      <c r="W233" s="284" t="str">
        <f>IFERROR(TEXT(VLOOKUP(T_Convention[[#This Row],[NumL]],T_TraitDi[#Data],COLUMN(T_TraitDi[Q2]),FALSE),"###%"),"")</f>
        <v/>
      </c>
      <c r="X233" s="97" t="e">
        <f>VLOOKUP(T_Convention[[#This Row],[NumL]],T_TraitDi[#Data],COLUMN(T_TraitDi[Reg Ponct]),FALSE)</f>
        <v>#N/A</v>
      </c>
      <c r="Y233" s="97" t="e">
        <f>VLOOKUP(T_Convention[NumL],T_TraitDi[#Data],COLUMN(T_TraitDi[Jours flottants]),FALSE)</f>
        <v>#N/A</v>
      </c>
      <c r="Z233" s="284" t="str">
        <f>IFERROR(VLOOKUP(T_Convention[[#This Row],[NumL]],T_TraitDi[#Data],COLUMN(T_TraitDi[Lundi]),FALSE),"")</f>
        <v/>
      </c>
      <c r="AA233" s="284" t="e">
        <f>IF(VLOOKUP(T_Convention[[#This Row],[NumL]],T_TraitDi[#Data],COLUMN(T_TraitDi[Colonne3]),FALSE)=0,"",TEXT(IFERROR(VLOOKUP(T_Convention[[#This Row],[NumL]],T_TraitDi[#Data],COLUMN(T_TraitDi[Colonne3]),FALSE),""),"[hh]:mm"))</f>
        <v>#N/A</v>
      </c>
      <c r="AB233" s="284" t="e">
        <f>IF(VLOOKUP(T_Convention[[#This Row],[NumL]],T_TraitDi[#Data],COLUMN(T_TraitDi[Colonne4]),FALSE)=0,"",TEXT(IFERROR(VLOOKUP(T_Convention[[#This Row],[NumL]],T_TraitDi[#Data],COLUMN(T_TraitDi[Colonne4]),FALSE),""),"[hh]:mm"))</f>
        <v>#N/A</v>
      </c>
      <c r="AC233" s="284" t="e">
        <f>IF(VLOOKUP(T_Convention[[#This Row],[NumL]],T_TraitDi[#Data],COLUMN(T_TraitDi[Colonne5]),FALSE)=0,"",TEXT(IFERROR(VLOOKUP(T_Convention[[#This Row],[NumL]],T_TraitDi[#Data],COLUMN(T_TraitDi[Colonne5]),FALSE),""),"[hh]:mm"))</f>
        <v>#N/A</v>
      </c>
      <c r="AD233" s="284" t="e">
        <f>IF(VLOOKUP(T_Convention[[#This Row],[NumL]],T_TraitDi[#Data],COLUMN(T_TraitDi[Colonne6]),FALSE)=0,"",TEXT(IFERROR(VLOOKUP(T_Convention[[#This Row],[NumL]],T_TraitDi[#Data],COLUMN(T_TraitDi[Colonne6]),FALSE),""),"[hh]:mm"))</f>
        <v>#N/A</v>
      </c>
      <c r="AE233" s="284" t="e">
        <f>IF(VLOOKUP(T_Convention[[#This Row],[NumL]],T_TraitDi[#Data],COLUMN(T_TraitDi[Colonne7]),FALSE)=0,"",TEXT(IFERROR(VLOOKUP(T_Convention[[#This Row],[NumL]],T_TraitDi[#Data],COLUMN(T_TraitDi[Colonne7]),FALSE),""),"[hh]:mm"))</f>
        <v>#N/A</v>
      </c>
      <c r="AF233" s="284" t="e">
        <f>IF(VLOOKUP(T_Convention[[#This Row],[NumL]],T_TraitDi[#Data],COLUMN(T_TraitDi[Colonne8]),FALSE)=0,"",TEXT(IFERROR(VLOOKUP(T_Convention[[#This Row],[NumL]],T_TraitDi[#Data],COLUMN(T_TraitDi[Colonne8]),FALSE),""),"[hh]:mm"))</f>
        <v>#N/A</v>
      </c>
      <c r="AG233" s="284" t="str">
        <f>IFERROR(VLOOKUP(T_Convention[[#This Row],[NumL]],T_TraitDi[#Data],COLUMN(T_TraitDi[Mardi]),FALSE),"")</f>
        <v/>
      </c>
      <c r="AH233" s="284" t="e">
        <f>IF(VLOOKUP(T_Convention[[#This Row],[NumL]],T_TraitDi[#Data],COLUMN(T_TraitDi[Colonne1]),FALSE)=0,"",TEXT(IFERROR(VLOOKUP(T_Convention[[#This Row],[NumL]],T_TraitDi[#Data],COLUMN(T_TraitDi[Colonne1]),FALSE),""),"[hh]:mm"))</f>
        <v>#N/A</v>
      </c>
      <c r="AI233" s="284" t="e">
        <f>IF(VLOOKUP(T_Convention[[#This Row],[NumL]],T_TraitDi[#Data],COLUMN(T_TraitDi[Colonne9]),FALSE)=0,"",TEXT(IFERROR(VLOOKUP(T_Convention[[#This Row],[NumL]],T_TraitDi[#Data],COLUMN(T_TraitDi[Colonne9]),FALSE),""),"[hh]:mm"))</f>
        <v>#N/A</v>
      </c>
      <c r="AJ233" s="284" t="str">
        <f>IFERROR(VLOOKUP(T_Convention[[#This Row],[NumL]],T_TraitDi[#Data],COLUMN(T_TraitDi[Colonne10]),FALSE),"")</f>
        <v/>
      </c>
      <c r="AK233" s="284" t="e">
        <f>IF(VLOOKUP(T_Convention[[#This Row],[NumL]],T_TraitDi[#Data],COLUMN(T_TraitDi[Colonne11]),FALSE)=0,"",TEXT(IFERROR(VLOOKUP(T_Convention[[#This Row],[NumL]],T_TraitDi[#Data],COLUMN(T_TraitDi[Colonne11]),FALSE),""),"[hh]:mm"))</f>
        <v>#N/A</v>
      </c>
      <c r="AL233" s="284" t="e">
        <f>IF(VLOOKUP(T_Convention[[#This Row],[NumL]],T_TraitDi[#Data],COLUMN(T_TraitDi[Colonne12]),FALSE)=0,"",TEXT(IFERROR(VLOOKUP(T_Convention[[#This Row],[NumL]],T_TraitDi[#Data],COLUMN(T_TraitDi[Colonne12]),FALSE),""),"[hh]:mm"))</f>
        <v>#N/A</v>
      </c>
      <c r="AM233" s="284" t="e">
        <f>IF(VLOOKUP(T_Convention[[#This Row],[NumL]],T_TraitDi[#Data],COLUMN(T_TraitDi[Colonne14]),FALSE)=0,"",TEXT(IFERROR(VLOOKUP(T_Convention[[#This Row],[NumL]],T_TraitDi[#Data],COLUMN(T_TraitDi[Colonne14]),FALSE),""),"[hh]:mm"))</f>
        <v>#N/A</v>
      </c>
      <c r="AN233" s="284" t="str">
        <f>IFERROR(VLOOKUP(T_Convention[[#This Row],[NumL]],T_TraitDi[#Data],COLUMN(T_TraitDi[Mercredi]),FALSE),"")</f>
        <v/>
      </c>
      <c r="AO233" s="284" t="e">
        <f>IF(VLOOKUP(T_Convention[[#This Row],[NumL]],T_TraitDi[#Data],COLUMN(T_TraitDi[Colonne15]),FALSE)=0,"",TEXT(IFERROR(VLOOKUP(T_Convention[[#This Row],[NumL]],T_TraitDi[#Data],COLUMN(T_TraitDi[Colonne15]),FALSE),""),"[hh]:mm"))</f>
        <v>#N/A</v>
      </c>
      <c r="AP233" s="284" t="e">
        <f>IF(VLOOKUP(T_Convention[[#This Row],[NumL]],T_TraitDi[#Data],COLUMN(T_TraitDi[Colonne16]),FALSE)=0,"",TEXT(IFERROR(VLOOKUP(T_Convention[[#This Row],[NumL]],T_TraitDi[#Data],COLUMN(T_TraitDi[Colonne16]),FALSE),""),"[hh]:mm"))</f>
        <v>#N/A</v>
      </c>
      <c r="AQ233" s="284" t="str">
        <f>IFERROR(VLOOKUP(T_Convention[[#This Row],[NumL]],T_TraitDi[#Data],COLUMN(T_TraitDi[Colonne17]),FALSE),"")</f>
        <v/>
      </c>
      <c r="AR233" s="284" t="e">
        <f>IF(VLOOKUP(T_Convention[[#This Row],[NumL]],T_TraitDi[#Data],COLUMN(T_TraitDi[Colonne18]),FALSE)=0,"",TEXT(IFERROR(VLOOKUP(T_Convention[[#This Row],[NumL]],T_TraitDi[#Data],COLUMN(T_TraitDi[Colonne18]),FALSE),""),"[hh]:mm"))</f>
        <v>#N/A</v>
      </c>
      <c r="AS233" s="284" t="e">
        <f>IF(VLOOKUP(T_Convention[[#This Row],[NumL]],T_TraitDi[#Data],COLUMN(T_TraitDi[Colonne19]),FALSE)=0,"",TEXT(IFERROR(VLOOKUP(T_Convention[[#This Row],[NumL]],T_TraitDi[#Data],COLUMN(T_TraitDi[Colonne19]),FALSE),""),"[hh]:mm"))</f>
        <v>#N/A</v>
      </c>
      <c r="AT233" s="284" t="e">
        <f>IF(VLOOKUP(T_Convention[[#This Row],[NumL]],T_TraitDi[#Data],COLUMN(T_TraitDi[Colonne20]),FALSE)=0,"",TEXT(IFERROR(VLOOKUP(T_Convention[[#This Row],[NumL]],T_TraitDi[#Data],COLUMN(T_TraitDi[Colonne20]),FALSE),""),"[hh]:mm"))</f>
        <v>#N/A</v>
      </c>
      <c r="AU233" s="284" t="str">
        <f>IFERROR(VLOOKUP(T_Convention[[#This Row],[NumL]],T_TraitDi[#Data],COLUMN(T_TraitDi[Jeudi]),FALSE),"")</f>
        <v/>
      </c>
      <c r="AV233" s="284" t="e">
        <f>IF(VLOOKUP(T_Convention[[#This Row],[NumL]],T_TraitDi[#Data],COLUMN(T_TraitDi[Colonne21]),FALSE)=0,"",TEXT(IFERROR(VLOOKUP(T_Convention[[#This Row],[NumL]],T_TraitDi[#Data],COLUMN(T_TraitDi[Colonne21]),FALSE),""),"[hh]:mm"))</f>
        <v>#N/A</v>
      </c>
      <c r="AW233" s="284" t="e">
        <f>IF(VLOOKUP(T_Convention[[#This Row],[NumL]],T_TraitDi[#Data],COLUMN(T_TraitDi[Colonne22]),FALSE)=0,"",TEXT(IFERROR(VLOOKUP(T_Convention[[#This Row],[NumL]],T_TraitDi[#Data],COLUMN(T_TraitDi[Colonne22]),FALSE),""),"[hh]:mm"))</f>
        <v>#N/A</v>
      </c>
      <c r="AX233" s="284" t="str">
        <f>IFERROR(VLOOKUP(T_Convention[[#This Row],[NumL]],T_TraitDi[#Data],COLUMN(T_TraitDi[Colonne23]),FALSE),"")</f>
        <v/>
      </c>
      <c r="AY233" s="284" t="e">
        <f>IF(VLOOKUP(T_Convention[[#This Row],[NumL]],T_TraitDi[#Data],COLUMN(T_TraitDi[Colonne24]),FALSE)=0,"",TEXT(IFERROR(VLOOKUP(T_Convention[[#This Row],[NumL]],T_TraitDi[#Data],COLUMN(T_TraitDi[Colonne24]),FALSE),""),"[hh]:mm"))</f>
        <v>#N/A</v>
      </c>
      <c r="AZ233" s="284" t="e">
        <f>IF(VLOOKUP(T_Convention[[#This Row],[NumL]],T_TraitDi[#Data],COLUMN(T_TraitDi[Colonne25]),FALSE)=0,"",TEXT(IFERROR(VLOOKUP(T_Convention[[#This Row],[NumL]],T_TraitDi[#Data],COLUMN(T_TraitDi[Colonne25]),FALSE),""),"[hh]:mm"))</f>
        <v>#N/A</v>
      </c>
      <c r="BA233" s="284" t="e">
        <f>IF(VLOOKUP(T_Convention[[#This Row],[NumL]],T_TraitDi[#Data],COLUMN(T_TraitDi[Colonne26]),FALSE)=0,"",TEXT(IFERROR(VLOOKUP(T_Convention[[#This Row],[NumL]],T_TraitDi[#Data],COLUMN(T_TraitDi[Colonne26]),FALSE),""),"[hh]:mm"))</f>
        <v>#N/A</v>
      </c>
      <c r="BB233" s="284" t="str">
        <f>IFERROR(VLOOKUP(T_Convention[[#This Row],[NumL]],T_TraitDi[#Data],COLUMN(T_TraitDi[Vendredi]),FALSE),"")</f>
        <v/>
      </c>
      <c r="BC233" s="284" t="e">
        <f>IF(VLOOKUP(T_Convention[[#This Row],[NumL]],T_TraitDi[#Data],COLUMN(T_TraitDi[Colonne27]),FALSE)=0,"",TEXT(IFERROR(VLOOKUP(T_Convention[[#This Row],[NumL]],T_TraitDi[#Data],COLUMN(T_TraitDi[Colonne27]),FALSE),""),"[hh]:mm"))</f>
        <v>#N/A</v>
      </c>
      <c r="BD233" s="284" t="e">
        <f>IF(VLOOKUP(T_Convention[[#This Row],[NumL]],T_TraitDi[#Data],COLUMN(T_TraitDi[Colonne28]),FALSE)=0,"",TEXT(IFERROR(VLOOKUP(T_Convention[[#This Row],[NumL]],T_TraitDi[#Data],COLUMN(T_TraitDi[Colonne28]),FALSE),""),"[hh]:mm"))</f>
        <v>#N/A</v>
      </c>
      <c r="BE233" s="284" t="str">
        <f>IFERROR(VLOOKUP(T_Convention[[#This Row],[NumL]],T_TraitDi[#Data],COLUMN(T_TraitDi[Colonne29]),FALSE),"")</f>
        <v/>
      </c>
      <c r="BF233" s="284" t="e">
        <f>IF(VLOOKUP(T_Convention[[#This Row],[NumL]],T_TraitDi[#Data],COLUMN(T_TraitDi[Colonne30]),FALSE)=0,"",TEXT(IFERROR(VLOOKUP(T_Convention[[#This Row],[NumL]],T_TraitDi[#Data],COLUMN(T_TraitDi[Colonne30]),FALSE),""),"[hh]:mm"))</f>
        <v>#N/A</v>
      </c>
      <c r="BG233" s="284" t="e">
        <f>IF(VLOOKUP(T_Convention[[#This Row],[NumL]],T_TraitDi[#Data],COLUMN(T_TraitDi[Colonne31]),FALSE)=0,"",TEXT(IFERROR(VLOOKUP(T_Convention[[#This Row],[NumL]],T_TraitDi[#Data],COLUMN(T_TraitDi[Colonne31]),FALSE),""),"[hh]:mm"))</f>
        <v>#N/A</v>
      </c>
      <c r="BH233" s="284" t="e">
        <f>IF(VLOOKUP(T_Convention[[#This Row],[NumL]],T_TraitDi[#Data],COLUMN(T_TraitDi[Colonne32]),FALSE)=0,"",TEXT(IFERROR(VLOOKUP(T_Convention[[#This Row],[NumL]],T_TraitDi[#Data],COLUMN(T_TraitDi[Colonne32]),FALSE),""),"[hh]:mm"))</f>
        <v>#N/A</v>
      </c>
      <c r="BI233" s="284" t="str">
        <f>IFERROR(VLOOKUP(T_Convention[[#This Row],[NumL]],T_TraitDi[#Data],COLUMN(T_TraitDi[NbJTW]),FALSE),"")</f>
        <v/>
      </c>
      <c r="BJ233" s="284" t="e">
        <f>IF(VLOOKUP(T_Convention[[#This Row],[NumL]],T_TraitDi[#Data],COLUMN(T_TraitDi[NbhTW]),FALSE)=0,"",TEXT(IFERROR(VLOOKUP(T_Convention[[#This Row],[NumL]],T_TraitDi[#Data],COLUMN(T_TraitDi[NbhTW]),FALSE),""),"[hh]:mm"))</f>
        <v>#N/A</v>
      </c>
      <c r="BK233" s="286" t="e">
        <f>IF(VLOOKUP(T_Convention[[#This Row],[NumL]],T_TraitDi[#Data],COLUMN(T_TraitDi[Nbhheb]),FALSE)=0,"",TEXT(IFERROR(VLOOKUP(T_Convention[[#This Row],[NumL]],T_TraitDi[#Data],COLUMN(T_TraitDi[Nbhheb]),FALSE),""),"[hh]:mm"))</f>
        <v>#N/A</v>
      </c>
      <c r="BL233" s="287" t="str">
        <f>IFERROR(VLOOKUP(VLOOKUP(T_Convention[[#This Row],[NumL]],T_TraitDi[#Data],COLUMN(T_TraitDi[Type1]),FALSE),TypeTW,2,FALSE),"")</f>
        <v/>
      </c>
      <c r="BM233" s="288" t="str">
        <f>IFERROR(VLOOKUP(T_Convention[[#This Row],[NumL]],T_TraitDi[#Data],COLUMN(T_TraitDi[Rue1]),FALSE),"")</f>
        <v/>
      </c>
      <c r="BN233" s="289" t="str">
        <f>IFERROR(VLOOKUP(T_Convention[[#This Row],[NumL]],T_TraitDi[#Data],COLUMN(T_TraitDi[CP1]),FALSE),"")</f>
        <v/>
      </c>
      <c r="BO233" s="282" t="str">
        <f>IFERROR(VLOOKUP(T_Convention[[#This Row],[NumL]],T_TraitDi[#Data],COLUMN(T_TraitDi[VILLE1]),FALSE),"")</f>
        <v/>
      </c>
      <c r="BP233" s="290" t="str">
        <f>IFERROR(VLOOKUP(VLOOKUP(T_Convention[[#This Row],[NumL]],T_TraitDi[#Data],COLUMN(T_TraitDi[Type2]),FALSE),TypeTW,2,FALSE),"")</f>
        <v/>
      </c>
      <c r="BQ233" s="182" t="str">
        <f>IFERROR(VLOOKUP(T_Convention[[#This Row],[NumL]],T_TraitDi[#Data],COLUMN(T_TraitDi[Rue2]),FALSE),"")</f>
        <v/>
      </c>
      <c r="BR233" s="173" t="str">
        <f>IFERROR(VLOOKUP(T_Convention[[#This Row],[NumL]],T_TraitDi[#Data],COLUMN(T_TraitDi[CP2]),FALSE),"")</f>
        <v/>
      </c>
      <c r="BS233" s="173" t="str">
        <f>IFERROR(VLOOKUP(T_Convention[[#This Row],[NumL]],T_TraitDi[#Data],COLUMN(T_TraitDi[VILLE2]),FALSE),"")</f>
        <v/>
      </c>
      <c r="BT233" s="182" t="str">
        <f>IF(VLOOKUP(T_Convention[[#This Row],[NumL]],T_Equipement[#Data],COLUMN(T_Equipement[PC]),FALSE)="","Aucun équipement spécifique directement lié au télétravail",VLOOKUP(T_Convention[[#This Row],[NumL]],T_Equipement[#Data],COLUMN(T_Equipement[PC]),FALSE))</f>
        <v xml:space="preserve">20-640	</v>
      </c>
      <c r="BU233" s="166" t="str">
        <f>IFERROR(IF(VLOOKUP(T_Convention[[#This Row],[NumL]],T_TraitDi[#Data],COLUMN(T_TraitDi[Plan]),FALSE)="OK","Un planning spécifique de télétravail est annexé à la présente convention.",""),"")</f>
        <v/>
      </c>
      <c r="BV233" s="185" t="s">
        <v>3518</v>
      </c>
      <c r="BW233" s="164" t="e">
        <f>IF(VLOOKUP(T_Convention[[#This Row],[NumL]],T_suiviDi[#Data],COLUMN(T_suiviDi[Entité]),FALSE)="","",VLOOKUP(T_Convention[[#This Row],[NumL]],T_suiviDi[#Data],COLUMN(T_suiviDi[Entité]),FALSE))</f>
        <v>#N/A</v>
      </c>
      <c r="BX233" s="164" t="str">
        <f>IF(VLOOKUP(T_Convention[[#This Row],[NumL]],T_Commission[#Data],COLUMN(T_Commission[envoi confirm TW]),FALSE)="","",VLOOKUP(T_Convention[[#This Row],[NumL]],T_Commission[#Data],COLUMN(T_Commission[envoi confirm TW]),FALSE))</f>
        <v>Oui</v>
      </c>
      <c r="BY23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3" s="264">
        <f>VLOOKUP(T_Convention[[#This Row],[NumL]],T_Commission[#Data],COLUMN(T_Commission[Commentaire]),FALSE)</f>
        <v>0</v>
      </c>
      <c r="CA233" s="254" t="str">
        <f>IF(VLOOKUP(T_Convention[[#This Row],[NumL]],T_Commission[#Data],COLUMN(T_Commission[Encadrant Email]),FALSE)="","",VLOOKUP(T_Convention[[#This Row],[NumL]],T_Commission[#Data],COLUMN(T_Commission[Encadrant Email]),FALSE))</f>
        <v/>
      </c>
      <c r="CB233" s="353" t="e">
        <f>VLOOKUP(T_Convention[[#This Row],[NumL]],T_TraitDi[#Data],COLUMN(T_TraitDi[NbJTot]),FALSE)</f>
        <v>#N/A</v>
      </c>
      <c r="CC233" s="353" t="e">
        <f>VLOOKUP(T_Convention[[#This Row],[NumL]],T_TraitDi[#Data],COLUMN(T_TraitDi[Reg Ponct]),FALSE)</f>
        <v>#N/A</v>
      </c>
      <c r="CD233" s="348" t="str">
        <f>IF(T_Convention[[#This Row],[Final]]&lt;&gt;"",VLOOKUP(T_Convention[[#This Row],[NumL]],T_suiviDi[#Data],COLUMN((T_suiviDi[Statut])),FALSE),"")</f>
        <v/>
      </c>
    </row>
    <row r="234" spans="1:82" s="106" customFormat="1" ht="18.75" customHeight="1" x14ac:dyDescent="0.25">
      <c r="A234" s="160">
        <v>207</v>
      </c>
      <c r="B234" s="161" t="str">
        <f>VLOOKUP(T_Convention[[#This Row],[NumL]],T_Commission[#Data],COLUMN(T_Commission[FINAL]),FALSE)</f>
        <v/>
      </c>
      <c r="C234" s="162"/>
      <c r="D234" s="95" t="e">
        <f>IF(VLOOKUP(T_Convention[[#This Row],[NumL]],T_TraitDi[#Data],COLUMN(T_TraitDi[WebC]),FALSE)="","",VLOOKUP(T_Convention[[#This Row],[NumL]],T_TraitDi[#Data],COLUMN(T_TraitDi[WebC]),FALSE))</f>
        <v>#N/A</v>
      </c>
      <c r="E234" s="163" t="str">
        <f t="shared" si="15"/>
        <v>12 janvier 2021</v>
      </c>
      <c r="F234" s="282" t="str">
        <f>IF(T_Convention[[#This Row],[Final]]&lt;&gt;"",VLOOKUP(T_Convention[[#This Row],[NumL]],T_suiviDi[#Data],COLUMN((T_suiviDi[Civ.])),FALSE),"")</f>
        <v/>
      </c>
      <c r="G234" s="283" t="str">
        <f>IF(T_Convention[[#This Row],[Final]]&lt;&gt;"",VLOOKUP(T_Convention[[#This Row],[NumL]],T_suiviDi[#Data],COLUMN((T_suiviDi[Nom])),FALSE),"")</f>
        <v/>
      </c>
      <c r="H234" s="282" t="str">
        <f>IF(T_Convention[[#This Row],[Final]]&lt;&gt;"",VLOOKUP(T_Convention[[#This Row],[NumL]],T_suiviDi[#Data],COLUMN((T_suiviDi[Prénom])),FALSE),"")</f>
        <v/>
      </c>
      <c r="I234" s="282" t="e">
        <f>VLOOKUP(T_Convention[[#This Row],[NumL]],T_suiviDi[#Data],COLUMN((T_suiviDi[[#This Row],[Email]])),FALSE)</f>
        <v>#VALUE!</v>
      </c>
      <c r="J234" s="282" t="e">
        <f>IF(VLOOKUP(T_Convention[[#This Row],[NumL]],T_suiviDi[#Data],COLUMN(T_suiviDi[[#This Row],[Fonction]]),FALSE)="","",VLOOKUP(T_Convention[[#This Row],[NumL]],T_suiviDi[#Data],COLUMN(T_suiviDi[[#This Row],[Fonction]]),FALSE))</f>
        <v>#VALUE!</v>
      </c>
      <c r="K234" s="282" t="e">
        <f>IF(VLOOKUP(T_Convention[[#This Row],[NumL]],T_suiviDi[#Data],COLUMN(T_suiviDi[[#This Row],[Grade]]),FALSE)="","",VLOOKUP(T_Convention[[#This Row],[NumL]],T_suiviDi[#Data],COLUMN(T_suiviDi[[#This Row],[Grade]]),FALSE))</f>
        <v>#VALUE!</v>
      </c>
      <c r="L234" s="282" t="e">
        <f>IF(VLOOKUP(T_Convention[[#This Row],[NumL]],T_suiviDi[#Data],COLUMN(T_suiviDi[[#This Row],[Service ]]),FALSE)="","",VLOOKUP(T_Convention[[#This Row],[NumL]],T_suiviDi[#Data],COLUMN(T_suiviDi[[#This Row],[Service ]]),FALSE))</f>
        <v>#VALUE!</v>
      </c>
      <c r="M234" s="164" t="str">
        <f t="shared" si="16"/>
        <v>01 septembre 2021</v>
      </c>
      <c r="N234" s="164" t="str">
        <f t="shared" si="17"/>
        <v>30 novembre 2021</v>
      </c>
      <c r="O234" s="284" t="str">
        <f t="shared" si="18"/>
        <v>30 novembre 2021</v>
      </c>
      <c r="P234" s="282" t="e">
        <f>IF(VLOOKUP(T_Convention[[#This Row],[NumL]],T_TraitDi[#Data],COLUMN(T_TraitDi[M1]),FALSE)="","",VLOOKUP(T_Convention[[#This Row],[NumL]],T_TraitDi[#Data],COLUMN(T_TraitDi[M1]),FALSE))</f>
        <v>#N/A</v>
      </c>
      <c r="Q234" s="282" t="e">
        <f>IF(VLOOKUP(T_Convention[[#This Row],[NumL]],T_TraitDi[#Data],COLUMN(T_TraitDi[M2]),FALSE)="","",VLOOKUP(T_Convention[[#This Row],[NumL]],T_TraitDi[#Data],COLUMN(T_TraitDi[M2]),FALSE))</f>
        <v>#N/A</v>
      </c>
      <c r="R234" s="282" t="e">
        <f>IF(VLOOKUP(T_Convention[[#This Row],[NumL]],T_TraitDi[#Data],COLUMN(T_TraitDi[M3]),FALSE)="","",VLOOKUP(T_Convention[[#This Row],[NumL]],T_TraitDi[#Data],COLUMN(T_TraitDi[M3]),FALSE))</f>
        <v>#N/A</v>
      </c>
      <c r="S234" s="282" t="e">
        <f>IF(VLOOKUP(T_Convention[[#This Row],[NumL]],T_TraitDi[#Data],COLUMN(T_TraitDi[M4]),FALSE)="","",VLOOKUP(T_Convention[[#This Row],[NumL]],T_TraitDi[#Data],COLUMN(T_TraitDi[M4]),FALSE))</f>
        <v>#N/A</v>
      </c>
      <c r="T234" s="282" t="e">
        <f>IF(VLOOKUP(T_Convention[[#This Row],[NumL]],T_TraitDi[#Data],COLUMN(T_TraitDi[M5]),FALSE)="","",VLOOKUP(T_Convention[[#This Row],[NumL]],T_TraitDi[#Data],COLUMN(T_TraitDi[M5]),FALSE))</f>
        <v>#N/A</v>
      </c>
      <c r="U234" s="282" t="e">
        <f>IF(VLOOKUP(T_Convention[[#This Row],[NumL]],T_TraitDi[#Data],COLUMN(T_TraitDi[M6]),FALSE)="","",VLOOKUP(T_Convention[[#This Row],[NumL]],T_TraitDi[#Data],COLUMN(T_TraitDi[M6]),FALSE))</f>
        <v>#N/A</v>
      </c>
      <c r="V234" s="176" t="e">
        <f t="shared" si="19"/>
        <v>#N/A</v>
      </c>
      <c r="W234" s="284" t="str">
        <f>IFERROR(TEXT(VLOOKUP(T_Convention[[#This Row],[NumL]],T_TraitDi[#Data],COLUMN(T_TraitDi[Q2]),FALSE),"###%"),"")</f>
        <v/>
      </c>
      <c r="X234" s="97" t="e">
        <f>VLOOKUP(T_Convention[[#This Row],[NumL]],T_TraitDi[#Data],COLUMN(T_TraitDi[Reg Ponct]),FALSE)</f>
        <v>#N/A</v>
      </c>
      <c r="Y234" s="97" t="e">
        <f>VLOOKUP(T_Convention[NumL],T_TraitDi[#Data],COLUMN(T_TraitDi[Jours flottants]),FALSE)</f>
        <v>#N/A</v>
      </c>
      <c r="Z234" s="284" t="str">
        <f>IFERROR(VLOOKUP(T_Convention[[#This Row],[NumL]],T_TraitDi[#Data],COLUMN(T_TraitDi[Lundi]),FALSE),"")</f>
        <v/>
      </c>
      <c r="AA234" s="284" t="e">
        <f>IF(VLOOKUP(T_Convention[[#This Row],[NumL]],T_TraitDi[#Data],COLUMN(T_TraitDi[Colonne3]),FALSE)=0,"",TEXT(IFERROR(VLOOKUP(T_Convention[[#This Row],[NumL]],T_TraitDi[#Data],COLUMN(T_TraitDi[Colonne3]),FALSE),""),"[hh]:mm"))</f>
        <v>#N/A</v>
      </c>
      <c r="AB234" s="284" t="e">
        <f>IF(VLOOKUP(T_Convention[[#This Row],[NumL]],T_TraitDi[#Data],COLUMN(T_TraitDi[Colonne4]),FALSE)=0,"",TEXT(IFERROR(VLOOKUP(T_Convention[[#This Row],[NumL]],T_TraitDi[#Data],COLUMN(T_TraitDi[Colonne4]),FALSE),""),"[hh]:mm"))</f>
        <v>#N/A</v>
      </c>
      <c r="AC234" s="284" t="e">
        <f>IF(VLOOKUP(T_Convention[[#This Row],[NumL]],T_TraitDi[#Data],COLUMN(T_TraitDi[Colonne5]),FALSE)=0,"",TEXT(IFERROR(VLOOKUP(T_Convention[[#This Row],[NumL]],T_TraitDi[#Data],COLUMN(T_TraitDi[Colonne5]),FALSE),""),"[hh]:mm"))</f>
        <v>#N/A</v>
      </c>
      <c r="AD234" s="284" t="e">
        <f>IF(VLOOKUP(T_Convention[[#This Row],[NumL]],T_TraitDi[#Data],COLUMN(T_TraitDi[Colonne6]),FALSE)=0,"",TEXT(IFERROR(VLOOKUP(T_Convention[[#This Row],[NumL]],T_TraitDi[#Data],COLUMN(T_TraitDi[Colonne6]),FALSE),""),"[hh]:mm"))</f>
        <v>#N/A</v>
      </c>
      <c r="AE234" s="284" t="e">
        <f>IF(VLOOKUP(T_Convention[[#This Row],[NumL]],T_TraitDi[#Data],COLUMN(T_TraitDi[Colonne7]),FALSE)=0,"",TEXT(IFERROR(VLOOKUP(T_Convention[[#This Row],[NumL]],T_TraitDi[#Data],COLUMN(T_TraitDi[Colonne7]),FALSE),""),"[hh]:mm"))</f>
        <v>#N/A</v>
      </c>
      <c r="AF234" s="284" t="e">
        <f>IF(VLOOKUP(T_Convention[[#This Row],[NumL]],T_TraitDi[#Data],COLUMN(T_TraitDi[Colonne8]),FALSE)=0,"",TEXT(IFERROR(VLOOKUP(T_Convention[[#This Row],[NumL]],T_TraitDi[#Data],COLUMN(T_TraitDi[Colonne8]),FALSE),""),"[hh]:mm"))</f>
        <v>#N/A</v>
      </c>
      <c r="AG234" s="284" t="str">
        <f>IFERROR(VLOOKUP(T_Convention[[#This Row],[NumL]],T_TraitDi[#Data],COLUMN(T_TraitDi[Mardi]),FALSE),"")</f>
        <v/>
      </c>
      <c r="AH234" s="284" t="e">
        <f>IF(VLOOKUP(T_Convention[[#This Row],[NumL]],T_TraitDi[#Data],COLUMN(T_TraitDi[Colonne1]),FALSE)=0,"",TEXT(IFERROR(VLOOKUP(T_Convention[[#This Row],[NumL]],T_TraitDi[#Data],COLUMN(T_TraitDi[Colonne1]),FALSE),""),"[hh]:mm"))</f>
        <v>#N/A</v>
      </c>
      <c r="AI234" s="284" t="e">
        <f>IF(VLOOKUP(T_Convention[[#This Row],[NumL]],T_TraitDi[#Data],COLUMN(T_TraitDi[Colonne9]),FALSE)=0,"",TEXT(IFERROR(VLOOKUP(T_Convention[[#This Row],[NumL]],T_TraitDi[#Data],COLUMN(T_TraitDi[Colonne9]),FALSE),""),"[hh]:mm"))</f>
        <v>#N/A</v>
      </c>
      <c r="AJ234" s="284" t="str">
        <f>IFERROR(VLOOKUP(T_Convention[[#This Row],[NumL]],T_TraitDi[#Data],COLUMN(T_TraitDi[Colonne10]),FALSE),"")</f>
        <v/>
      </c>
      <c r="AK234" s="284" t="e">
        <f>IF(VLOOKUP(T_Convention[[#This Row],[NumL]],T_TraitDi[#Data],COLUMN(T_TraitDi[Colonne11]),FALSE)=0,"",TEXT(IFERROR(VLOOKUP(T_Convention[[#This Row],[NumL]],T_TraitDi[#Data],COLUMN(T_TraitDi[Colonne11]),FALSE),""),"[hh]:mm"))</f>
        <v>#N/A</v>
      </c>
      <c r="AL234" s="284" t="e">
        <f>IF(VLOOKUP(T_Convention[[#This Row],[NumL]],T_TraitDi[#Data],COLUMN(T_TraitDi[Colonne12]),FALSE)=0,"",TEXT(IFERROR(VLOOKUP(T_Convention[[#This Row],[NumL]],T_TraitDi[#Data],COLUMN(T_TraitDi[Colonne12]),FALSE),""),"[hh]:mm"))</f>
        <v>#N/A</v>
      </c>
      <c r="AM234" s="284" t="e">
        <f>IF(VLOOKUP(T_Convention[[#This Row],[NumL]],T_TraitDi[#Data],COLUMN(T_TraitDi[Colonne14]),FALSE)=0,"",TEXT(IFERROR(VLOOKUP(T_Convention[[#This Row],[NumL]],T_TraitDi[#Data],COLUMN(T_TraitDi[Colonne14]),FALSE),""),"[hh]:mm"))</f>
        <v>#N/A</v>
      </c>
      <c r="AN234" s="284" t="str">
        <f>IFERROR(VLOOKUP(T_Convention[[#This Row],[NumL]],T_TraitDi[#Data],COLUMN(T_TraitDi[Mercredi]),FALSE),"")</f>
        <v/>
      </c>
      <c r="AO234" s="284" t="e">
        <f>IF(VLOOKUP(T_Convention[[#This Row],[NumL]],T_TraitDi[#Data],COLUMN(T_TraitDi[Colonne15]),FALSE)=0,"",TEXT(IFERROR(VLOOKUP(T_Convention[[#This Row],[NumL]],T_TraitDi[#Data],COLUMN(T_TraitDi[Colonne15]),FALSE),""),"[hh]:mm"))</f>
        <v>#N/A</v>
      </c>
      <c r="AP234" s="284" t="e">
        <f>IF(VLOOKUP(T_Convention[[#This Row],[NumL]],T_TraitDi[#Data],COLUMN(T_TraitDi[Colonne16]),FALSE)=0,"",TEXT(IFERROR(VLOOKUP(T_Convention[[#This Row],[NumL]],T_TraitDi[#Data],COLUMN(T_TraitDi[Colonne16]),FALSE),""),"[hh]:mm"))</f>
        <v>#N/A</v>
      </c>
      <c r="AQ234" s="284" t="str">
        <f>IFERROR(VLOOKUP(T_Convention[[#This Row],[NumL]],T_TraitDi[#Data],COLUMN(T_TraitDi[Colonne17]),FALSE),"")</f>
        <v/>
      </c>
      <c r="AR234" s="284" t="e">
        <f>IF(VLOOKUP(T_Convention[[#This Row],[NumL]],T_TraitDi[#Data],COLUMN(T_TraitDi[Colonne18]),FALSE)=0,"",TEXT(IFERROR(VLOOKUP(T_Convention[[#This Row],[NumL]],T_TraitDi[#Data],COLUMN(T_TraitDi[Colonne18]),FALSE),""),"[hh]:mm"))</f>
        <v>#N/A</v>
      </c>
      <c r="AS234" s="284" t="e">
        <f>IF(VLOOKUP(T_Convention[[#This Row],[NumL]],T_TraitDi[#Data],COLUMN(T_TraitDi[Colonne19]),FALSE)=0,"",TEXT(IFERROR(VLOOKUP(T_Convention[[#This Row],[NumL]],T_TraitDi[#Data],COLUMN(T_TraitDi[Colonne19]),FALSE),""),"[hh]:mm"))</f>
        <v>#N/A</v>
      </c>
      <c r="AT234" s="284" t="e">
        <f>IF(VLOOKUP(T_Convention[[#This Row],[NumL]],T_TraitDi[#Data],COLUMN(T_TraitDi[Colonne20]),FALSE)=0,"",TEXT(IFERROR(VLOOKUP(T_Convention[[#This Row],[NumL]],T_TraitDi[#Data],COLUMN(T_TraitDi[Colonne20]),FALSE),""),"[hh]:mm"))</f>
        <v>#N/A</v>
      </c>
      <c r="AU234" s="284" t="str">
        <f>IFERROR(VLOOKUP(T_Convention[[#This Row],[NumL]],T_TraitDi[#Data],COLUMN(T_TraitDi[Jeudi]),FALSE),"")</f>
        <v/>
      </c>
      <c r="AV234" s="284" t="e">
        <f>IF(VLOOKUP(T_Convention[[#This Row],[NumL]],T_TraitDi[#Data],COLUMN(T_TraitDi[Colonne21]),FALSE)=0,"",TEXT(IFERROR(VLOOKUP(T_Convention[[#This Row],[NumL]],T_TraitDi[#Data],COLUMN(T_TraitDi[Colonne21]),FALSE),""),"[hh]:mm"))</f>
        <v>#N/A</v>
      </c>
      <c r="AW234" s="284" t="e">
        <f>IF(VLOOKUP(T_Convention[[#This Row],[NumL]],T_TraitDi[#Data],COLUMN(T_TraitDi[Colonne22]),FALSE)=0,"",TEXT(IFERROR(VLOOKUP(T_Convention[[#This Row],[NumL]],T_TraitDi[#Data],COLUMN(T_TraitDi[Colonne22]),FALSE),""),"[hh]:mm"))</f>
        <v>#N/A</v>
      </c>
      <c r="AX234" s="284" t="str">
        <f>IFERROR(VLOOKUP(T_Convention[[#This Row],[NumL]],T_TraitDi[#Data],COLUMN(T_TraitDi[Colonne23]),FALSE),"")</f>
        <v/>
      </c>
      <c r="AY234" s="284" t="e">
        <f>IF(VLOOKUP(T_Convention[[#This Row],[NumL]],T_TraitDi[#Data],COLUMN(T_TraitDi[Colonne24]),FALSE)=0,"",TEXT(IFERROR(VLOOKUP(T_Convention[[#This Row],[NumL]],T_TraitDi[#Data],COLUMN(T_TraitDi[Colonne24]),FALSE),""),"[hh]:mm"))</f>
        <v>#N/A</v>
      </c>
      <c r="AZ234" s="284" t="e">
        <f>IF(VLOOKUP(T_Convention[[#This Row],[NumL]],T_TraitDi[#Data],COLUMN(T_TraitDi[Colonne25]),FALSE)=0,"",TEXT(IFERROR(VLOOKUP(T_Convention[[#This Row],[NumL]],T_TraitDi[#Data],COLUMN(T_TraitDi[Colonne25]),FALSE),""),"[hh]:mm"))</f>
        <v>#N/A</v>
      </c>
      <c r="BA234" s="284" t="e">
        <f>IF(VLOOKUP(T_Convention[[#This Row],[NumL]],T_TraitDi[#Data],COLUMN(T_TraitDi[Colonne26]),FALSE)=0,"",TEXT(IFERROR(VLOOKUP(T_Convention[[#This Row],[NumL]],T_TraitDi[#Data],COLUMN(T_TraitDi[Colonne26]),FALSE),""),"[hh]:mm"))</f>
        <v>#N/A</v>
      </c>
      <c r="BB234" s="284" t="str">
        <f>IFERROR(VLOOKUP(T_Convention[[#This Row],[NumL]],T_TraitDi[#Data],COLUMN(T_TraitDi[Vendredi]),FALSE),"")</f>
        <v/>
      </c>
      <c r="BC234" s="284" t="e">
        <f>IF(VLOOKUP(T_Convention[[#This Row],[NumL]],T_TraitDi[#Data],COLUMN(T_TraitDi[Colonne27]),FALSE)=0,"",TEXT(IFERROR(VLOOKUP(T_Convention[[#This Row],[NumL]],T_TraitDi[#Data],COLUMN(T_TraitDi[Colonne27]),FALSE),""),"[hh]:mm"))</f>
        <v>#N/A</v>
      </c>
      <c r="BD234" s="284" t="e">
        <f>IF(VLOOKUP(T_Convention[[#This Row],[NumL]],T_TraitDi[#Data],COLUMN(T_TraitDi[Colonne28]),FALSE)=0,"",TEXT(IFERROR(VLOOKUP(T_Convention[[#This Row],[NumL]],T_TraitDi[#Data],COLUMN(T_TraitDi[Colonne28]),FALSE),""),"[hh]:mm"))</f>
        <v>#N/A</v>
      </c>
      <c r="BE234" s="284" t="str">
        <f>IFERROR(VLOOKUP(T_Convention[[#This Row],[NumL]],T_TraitDi[#Data],COLUMN(T_TraitDi[Colonne29]),FALSE),"")</f>
        <v/>
      </c>
      <c r="BF234" s="284" t="e">
        <f>IF(VLOOKUP(T_Convention[[#This Row],[NumL]],T_TraitDi[#Data],COLUMN(T_TraitDi[Colonne30]),FALSE)=0,"",TEXT(IFERROR(VLOOKUP(T_Convention[[#This Row],[NumL]],T_TraitDi[#Data],COLUMN(T_TraitDi[Colonne30]),FALSE),""),"[hh]:mm"))</f>
        <v>#N/A</v>
      </c>
      <c r="BG234" s="284" t="e">
        <f>IF(VLOOKUP(T_Convention[[#This Row],[NumL]],T_TraitDi[#Data],COLUMN(T_TraitDi[Colonne31]),FALSE)=0,"",TEXT(IFERROR(VLOOKUP(T_Convention[[#This Row],[NumL]],T_TraitDi[#Data],COLUMN(T_TraitDi[Colonne31]),FALSE),""),"[hh]:mm"))</f>
        <v>#N/A</v>
      </c>
      <c r="BH234" s="284" t="e">
        <f>IF(VLOOKUP(T_Convention[[#This Row],[NumL]],T_TraitDi[#Data],COLUMN(T_TraitDi[Colonne32]),FALSE)=0,"",TEXT(IFERROR(VLOOKUP(T_Convention[[#This Row],[NumL]],T_TraitDi[#Data],COLUMN(T_TraitDi[Colonne32]),FALSE),""),"[hh]:mm"))</f>
        <v>#N/A</v>
      </c>
      <c r="BI234" s="284" t="str">
        <f>IFERROR(VLOOKUP(T_Convention[[#This Row],[NumL]],T_TraitDi[#Data],COLUMN(T_TraitDi[NbJTW]),FALSE),"")</f>
        <v/>
      </c>
      <c r="BJ234" s="284" t="e">
        <f>IF(VLOOKUP(T_Convention[[#This Row],[NumL]],T_TraitDi[#Data],COLUMN(T_TraitDi[NbhTW]),FALSE)=0,"",TEXT(IFERROR(VLOOKUP(T_Convention[[#This Row],[NumL]],T_TraitDi[#Data],COLUMN(T_TraitDi[NbhTW]),FALSE),""),"[hh]:mm"))</f>
        <v>#N/A</v>
      </c>
      <c r="BK234" s="286" t="e">
        <f>IF(VLOOKUP(T_Convention[[#This Row],[NumL]],T_TraitDi[#Data],COLUMN(T_TraitDi[Nbhheb]),FALSE)=0,"",TEXT(IFERROR(VLOOKUP(T_Convention[[#This Row],[NumL]],T_TraitDi[#Data],COLUMN(T_TraitDi[Nbhheb]),FALSE),""),"[hh]:mm"))</f>
        <v>#N/A</v>
      </c>
      <c r="BL234" s="287" t="str">
        <f>IFERROR(VLOOKUP(VLOOKUP(T_Convention[[#This Row],[NumL]],T_TraitDi[#Data],COLUMN(T_TraitDi[Type1]),FALSE),TypeTW,2,FALSE),"")</f>
        <v/>
      </c>
      <c r="BM234" s="288" t="str">
        <f>IFERROR(VLOOKUP(T_Convention[[#This Row],[NumL]],T_TraitDi[#Data],COLUMN(T_TraitDi[Rue1]),FALSE),"")</f>
        <v/>
      </c>
      <c r="BN234" s="289" t="str">
        <f>IFERROR(VLOOKUP(T_Convention[[#This Row],[NumL]],T_TraitDi[#Data],COLUMN(T_TraitDi[CP1]),FALSE),"")</f>
        <v/>
      </c>
      <c r="BO234" s="282" t="str">
        <f>IFERROR(VLOOKUP(T_Convention[[#This Row],[NumL]],T_TraitDi[#Data],COLUMN(T_TraitDi[VILLE1]),FALSE),"")</f>
        <v/>
      </c>
      <c r="BP234" s="290" t="str">
        <f>IFERROR(VLOOKUP(VLOOKUP(T_Convention[[#This Row],[NumL]],T_TraitDi[#Data],COLUMN(T_TraitDi[Type2]),FALSE),TypeTW,2,FALSE),"")</f>
        <v/>
      </c>
      <c r="BQ234" s="182" t="str">
        <f>IFERROR(VLOOKUP(T_Convention[[#This Row],[NumL]],T_TraitDi[#Data],COLUMN(T_TraitDi[Rue2]),FALSE),"")</f>
        <v/>
      </c>
      <c r="BR234" s="173" t="str">
        <f>IFERROR(VLOOKUP(T_Convention[[#This Row],[NumL]],T_TraitDi[#Data],COLUMN(T_TraitDi[CP2]),FALSE),"")</f>
        <v/>
      </c>
      <c r="BS234" s="173" t="str">
        <f>IFERROR(VLOOKUP(T_Convention[[#This Row],[NumL]],T_TraitDi[#Data],COLUMN(T_TraitDi[VILLE2]),FALSE),"")</f>
        <v/>
      </c>
      <c r="BT234" s="182" t="str">
        <f>IF(VLOOKUP(T_Convention[[#This Row],[NumL]],T_Equipement[#Data],COLUMN(T_Equipement[PC]),FALSE)="","Aucun équipement spécifique directement lié au télétravail",VLOOKUP(T_Convention[[#This Row],[NumL]],T_Equipement[#Data],COLUMN(T_Equipement[PC]),FALSE))</f>
        <v xml:space="preserve">17-030	</v>
      </c>
      <c r="BU234" s="166" t="str">
        <f>IFERROR(IF(VLOOKUP(T_Convention[[#This Row],[NumL]],T_TraitDi[#Data],COLUMN(T_TraitDi[Plan]),FALSE)="OK","Un planning spécifique de télétravail est annexé à la présente convention.",""),"")</f>
        <v/>
      </c>
      <c r="BV234" s="185" t="s">
        <v>3390</v>
      </c>
      <c r="BW234" s="164" t="e">
        <f>IF(VLOOKUP(T_Convention[[#This Row],[NumL]],T_suiviDi[#Data],COLUMN(T_suiviDi[Entité]),FALSE)="","",VLOOKUP(T_Convention[[#This Row],[NumL]],T_suiviDi[#Data],COLUMN(T_suiviDi[Entité]),FALSE))</f>
        <v>#N/A</v>
      </c>
      <c r="BX234" s="164" t="str">
        <f>IF(VLOOKUP(T_Convention[[#This Row],[NumL]],T_Commission[#Data],COLUMN(T_Commission[envoi confirm TW]),FALSE)="","",VLOOKUP(T_Convention[[#This Row],[NumL]],T_Commission[#Data],COLUMN(T_Commission[envoi confirm TW]),FALSE))</f>
        <v>Oui</v>
      </c>
      <c r="BY23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4" s="264">
        <f>VLOOKUP(T_Convention[[#This Row],[NumL]],T_Commission[#Data],COLUMN(T_Commission[Commentaire]),FALSE)</f>
        <v>0</v>
      </c>
      <c r="CA234" s="254" t="str">
        <f>IF(VLOOKUP(T_Convention[[#This Row],[NumL]],T_Commission[#Data],COLUMN(T_Commission[Encadrant Email]),FALSE)="","",VLOOKUP(T_Convention[[#This Row],[NumL]],T_Commission[#Data],COLUMN(T_Commission[Encadrant Email]),FALSE))</f>
        <v/>
      </c>
      <c r="CB234" s="353" t="e">
        <f>VLOOKUP(T_Convention[[#This Row],[NumL]],T_TraitDi[#Data],COLUMN(T_TraitDi[NbJTot]),FALSE)</f>
        <v>#N/A</v>
      </c>
      <c r="CC234" s="353" t="e">
        <f>VLOOKUP(T_Convention[[#This Row],[NumL]],T_TraitDi[#Data],COLUMN(T_TraitDi[Reg Ponct]),FALSE)</f>
        <v>#N/A</v>
      </c>
      <c r="CD234" s="348" t="str">
        <f>IF(T_Convention[[#This Row],[Final]]&lt;&gt;"",VLOOKUP(T_Convention[[#This Row],[NumL]],T_suiviDi[#Data],COLUMN((T_suiviDi[Statut])),FALSE),"")</f>
        <v/>
      </c>
    </row>
    <row r="235" spans="1:82" s="106" customFormat="1" ht="18.75" customHeight="1" x14ac:dyDescent="0.25">
      <c r="A235" s="160">
        <v>31</v>
      </c>
      <c r="B235" s="161" t="str">
        <f>VLOOKUP(T_Convention[[#This Row],[NumL]],T_Commission[#Data],COLUMN(T_Commission[FINAL]),FALSE)</f>
        <v/>
      </c>
      <c r="C235" s="162"/>
      <c r="D235" s="95" t="e">
        <f>IF(VLOOKUP(T_Convention[[#This Row],[NumL]],T_TraitDi[#Data],COLUMN(T_TraitDi[WebC]),FALSE)="","",VLOOKUP(T_Convention[[#This Row],[NumL]],T_TraitDi[#Data],COLUMN(T_TraitDi[WebC]),FALSE))</f>
        <v>#N/A</v>
      </c>
      <c r="E235" s="163" t="str">
        <f t="shared" si="15"/>
        <v>12 janvier 2021</v>
      </c>
      <c r="F235" s="282" t="str">
        <f>IF(T_Convention[[#This Row],[Final]]&lt;&gt;"",VLOOKUP(T_Convention[[#This Row],[NumL]],T_suiviDi[#Data],COLUMN((T_suiviDi[Civ.])),FALSE),"")</f>
        <v/>
      </c>
      <c r="G235" s="283" t="str">
        <f>IF(T_Convention[[#This Row],[Final]]&lt;&gt;"",VLOOKUP(T_Convention[[#This Row],[NumL]],T_suiviDi[#Data],COLUMN((T_suiviDi[Nom])),FALSE),"")</f>
        <v/>
      </c>
      <c r="H235" s="282" t="str">
        <f>IF(T_Convention[[#This Row],[Final]]&lt;&gt;"",VLOOKUP(T_Convention[[#This Row],[NumL]],T_suiviDi[#Data],COLUMN((T_suiviDi[Prénom])),FALSE),"")</f>
        <v/>
      </c>
      <c r="I235" s="282" t="e">
        <f>VLOOKUP(T_Convention[[#This Row],[NumL]],T_suiviDi[#Data],COLUMN((T_suiviDi[[#This Row],[Email]])),FALSE)</f>
        <v>#VALUE!</v>
      </c>
      <c r="J235" s="282" t="e">
        <f>IF(VLOOKUP(T_Convention[[#This Row],[NumL]],T_suiviDi[#Data],COLUMN(T_suiviDi[[#This Row],[Fonction]]),FALSE)="","",VLOOKUP(T_Convention[[#This Row],[NumL]],T_suiviDi[#Data],COLUMN(T_suiviDi[[#This Row],[Fonction]]),FALSE))</f>
        <v>#VALUE!</v>
      </c>
      <c r="K235" s="282" t="e">
        <f>IF(VLOOKUP(T_Convention[[#This Row],[NumL]],T_suiviDi[#Data],COLUMN(T_suiviDi[[#This Row],[Grade]]),FALSE)="","",VLOOKUP(T_Convention[[#This Row],[NumL]],T_suiviDi[#Data],COLUMN(T_suiviDi[[#This Row],[Grade]]),FALSE))</f>
        <v>#VALUE!</v>
      </c>
      <c r="L235" s="282" t="e">
        <f>IF(VLOOKUP(T_Convention[[#This Row],[NumL]],T_suiviDi[#Data],COLUMN(T_suiviDi[[#This Row],[Service ]]),FALSE)="","",VLOOKUP(T_Convention[[#This Row],[NumL]],T_suiviDi[#Data],COLUMN(T_suiviDi[[#This Row],[Service ]]),FALSE))</f>
        <v>#VALUE!</v>
      </c>
      <c r="M235" s="164" t="str">
        <f t="shared" si="16"/>
        <v>01 septembre 2021</v>
      </c>
      <c r="N235" s="164" t="str">
        <f t="shared" si="17"/>
        <v>30 novembre 2021</v>
      </c>
      <c r="O235" s="284" t="str">
        <f t="shared" si="18"/>
        <v>30 novembre 2021</v>
      </c>
      <c r="P235" s="282" t="e">
        <f>IF(VLOOKUP(T_Convention[[#This Row],[NumL]],T_TraitDi[#Data],COLUMN(T_TraitDi[M1]),FALSE)="","",VLOOKUP(T_Convention[[#This Row],[NumL]],T_TraitDi[#Data],COLUMN(T_TraitDi[M1]),FALSE))</f>
        <v>#N/A</v>
      </c>
      <c r="Q235" s="282" t="e">
        <f>IF(VLOOKUP(T_Convention[[#This Row],[NumL]],T_TraitDi[#Data],COLUMN(T_TraitDi[M2]),FALSE)="","",VLOOKUP(T_Convention[[#This Row],[NumL]],T_TraitDi[#Data],COLUMN(T_TraitDi[M2]),FALSE))</f>
        <v>#N/A</v>
      </c>
      <c r="R235" s="282" t="e">
        <f>IF(VLOOKUP(T_Convention[[#This Row],[NumL]],T_TraitDi[#Data],COLUMN(T_TraitDi[M3]),FALSE)="","",VLOOKUP(T_Convention[[#This Row],[NumL]],T_TraitDi[#Data],COLUMN(T_TraitDi[M3]),FALSE))</f>
        <v>#N/A</v>
      </c>
      <c r="S235" s="282" t="e">
        <f>IF(VLOOKUP(T_Convention[[#This Row],[NumL]],T_TraitDi[#Data],COLUMN(T_TraitDi[M4]),FALSE)="","",VLOOKUP(T_Convention[[#This Row],[NumL]],T_TraitDi[#Data],COLUMN(T_TraitDi[M4]),FALSE))</f>
        <v>#N/A</v>
      </c>
      <c r="T235" s="282" t="e">
        <f>IF(VLOOKUP(T_Convention[[#This Row],[NumL]],T_TraitDi[#Data],COLUMN(T_TraitDi[M5]),FALSE)="","",VLOOKUP(T_Convention[[#This Row],[NumL]],T_TraitDi[#Data],COLUMN(T_TraitDi[M5]),FALSE))</f>
        <v>#N/A</v>
      </c>
      <c r="U235" s="282" t="e">
        <f>IF(VLOOKUP(T_Convention[[#This Row],[NumL]],T_TraitDi[#Data],COLUMN(T_TraitDi[M6]),FALSE)="","",VLOOKUP(T_Convention[[#This Row],[NumL]],T_TraitDi[#Data],COLUMN(T_TraitDi[M6]),FALSE))</f>
        <v>#N/A</v>
      </c>
      <c r="V235" s="176" t="e">
        <f t="shared" si="19"/>
        <v>#N/A</v>
      </c>
      <c r="W235" s="284" t="str">
        <f>IFERROR(TEXT(VLOOKUP(T_Convention[[#This Row],[NumL]],T_TraitDi[#Data],COLUMN(T_TraitDi[Q2]),FALSE),"###%"),"")</f>
        <v/>
      </c>
      <c r="X235" s="97" t="e">
        <f>VLOOKUP(T_Convention[[#This Row],[NumL]],T_TraitDi[#Data],COLUMN(T_TraitDi[Reg Ponct]),FALSE)</f>
        <v>#N/A</v>
      </c>
      <c r="Y235" s="97" t="e">
        <f>VLOOKUP(T_Convention[NumL],T_TraitDi[#Data],COLUMN(T_TraitDi[Jours flottants]),FALSE)</f>
        <v>#N/A</v>
      </c>
      <c r="Z235" s="284" t="str">
        <f>IFERROR(VLOOKUP(T_Convention[[#This Row],[NumL]],T_TraitDi[#Data],COLUMN(T_TraitDi[Lundi]),FALSE),"")</f>
        <v/>
      </c>
      <c r="AA235" s="284" t="e">
        <f>IF(VLOOKUP(T_Convention[[#This Row],[NumL]],T_TraitDi[#Data],COLUMN(T_TraitDi[Colonne3]),FALSE)=0,"",TEXT(IFERROR(VLOOKUP(T_Convention[[#This Row],[NumL]],T_TraitDi[#Data],COLUMN(T_TraitDi[Colonne3]),FALSE),""),"[hh]:mm"))</f>
        <v>#N/A</v>
      </c>
      <c r="AB235" s="284" t="e">
        <f>IF(VLOOKUP(T_Convention[[#This Row],[NumL]],T_TraitDi[#Data],COLUMN(T_TraitDi[Colonne4]),FALSE)=0,"",TEXT(IFERROR(VLOOKUP(T_Convention[[#This Row],[NumL]],T_TraitDi[#Data],COLUMN(T_TraitDi[Colonne4]),FALSE),""),"[hh]:mm"))</f>
        <v>#N/A</v>
      </c>
      <c r="AC235" s="284" t="e">
        <f>IF(VLOOKUP(T_Convention[[#This Row],[NumL]],T_TraitDi[#Data],COLUMN(T_TraitDi[Colonne5]),FALSE)=0,"",TEXT(IFERROR(VLOOKUP(T_Convention[[#This Row],[NumL]],T_TraitDi[#Data],COLUMN(T_TraitDi[Colonne5]),FALSE),""),"[hh]:mm"))</f>
        <v>#N/A</v>
      </c>
      <c r="AD235" s="284" t="e">
        <f>IF(VLOOKUP(T_Convention[[#This Row],[NumL]],T_TraitDi[#Data],COLUMN(T_TraitDi[Colonne6]),FALSE)=0,"",TEXT(IFERROR(VLOOKUP(T_Convention[[#This Row],[NumL]],T_TraitDi[#Data],COLUMN(T_TraitDi[Colonne6]),FALSE),""),"[hh]:mm"))</f>
        <v>#N/A</v>
      </c>
      <c r="AE235" s="284" t="e">
        <f>IF(VLOOKUP(T_Convention[[#This Row],[NumL]],T_TraitDi[#Data],COLUMN(T_TraitDi[Colonne7]),FALSE)=0,"",TEXT(IFERROR(VLOOKUP(T_Convention[[#This Row],[NumL]],T_TraitDi[#Data],COLUMN(T_TraitDi[Colonne7]),FALSE),""),"[hh]:mm"))</f>
        <v>#N/A</v>
      </c>
      <c r="AF235" s="284" t="e">
        <f>IF(VLOOKUP(T_Convention[[#This Row],[NumL]],T_TraitDi[#Data],COLUMN(T_TraitDi[Colonne8]),FALSE)=0,"",TEXT(IFERROR(VLOOKUP(T_Convention[[#This Row],[NumL]],T_TraitDi[#Data],COLUMN(T_TraitDi[Colonne8]),FALSE),""),"[hh]:mm"))</f>
        <v>#N/A</v>
      </c>
      <c r="AG235" s="284" t="str">
        <f>IFERROR(VLOOKUP(T_Convention[[#This Row],[NumL]],T_TraitDi[#Data],COLUMN(T_TraitDi[Mardi]),FALSE),"")</f>
        <v/>
      </c>
      <c r="AH235" s="284" t="e">
        <f>IF(VLOOKUP(T_Convention[[#This Row],[NumL]],T_TraitDi[#Data],COLUMN(T_TraitDi[Colonne1]),FALSE)=0,"",TEXT(IFERROR(VLOOKUP(T_Convention[[#This Row],[NumL]],T_TraitDi[#Data],COLUMN(T_TraitDi[Colonne1]),FALSE),""),"[hh]:mm"))</f>
        <v>#N/A</v>
      </c>
      <c r="AI235" s="284" t="e">
        <f>IF(VLOOKUP(T_Convention[[#This Row],[NumL]],T_TraitDi[#Data],COLUMN(T_TraitDi[Colonne9]),FALSE)=0,"",TEXT(IFERROR(VLOOKUP(T_Convention[[#This Row],[NumL]],T_TraitDi[#Data],COLUMN(T_TraitDi[Colonne9]),FALSE),""),"[hh]:mm"))</f>
        <v>#N/A</v>
      </c>
      <c r="AJ235" s="284" t="str">
        <f>IFERROR(VLOOKUP(T_Convention[[#This Row],[NumL]],T_TraitDi[#Data],COLUMN(T_TraitDi[Colonne10]),FALSE),"")</f>
        <v/>
      </c>
      <c r="AK235" s="284" t="e">
        <f>IF(VLOOKUP(T_Convention[[#This Row],[NumL]],T_TraitDi[#Data],COLUMN(T_TraitDi[Colonne11]),FALSE)=0,"",TEXT(IFERROR(VLOOKUP(T_Convention[[#This Row],[NumL]],T_TraitDi[#Data],COLUMN(T_TraitDi[Colonne11]),FALSE),""),"[hh]:mm"))</f>
        <v>#N/A</v>
      </c>
      <c r="AL235" s="284" t="e">
        <f>IF(VLOOKUP(T_Convention[[#This Row],[NumL]],T_TraitDi[#Data],COLUMN(T_TraitDi[Colonne12]),FALSE)=0,"",TEXT(IFERROR(VLOOKUP(T_Convention[[#This Row],[NumL]],T_TraitDi[#Data],COLUMN(T_TraitDi[Colonne12]),FALSE),""),"[hh]:mm"))</f>
        <v>#N/A</v>
      </c>
      <c r="AM235" s="284" t="e">
        <f>IF(VLOOKUP(T_Convention[[#This Row],[NumL]],T_TraitDi[#Data],COLUMN(T_TraitDi[Colonne14]),FALSE)=0,"",TEXT(IFERROR(VLOOKUP(T_Convention[[#This Row],[NumL]],T_TraitDi[#Data],COLUMN(T_TraitDi[Colonne14]),FALSE),""),"[hh]:mm"))</f>
        <v>#N/A</v>
      </c>
      <c r="AN235" s="284" t="str">
        <f>IFERROR(VLOOKUP(T_Convention[[#This Row],[NumL]],T_TraitDi[#Data],COLUMN(T_TraitDi[Mercredi]),FALSE),"")</f>
        <v/>
      </c>
      <c r="AO235" s="284" t="e">
        <f>IF(VLOOKUP(T_Convention[[#This Row],[NumL]],T_TraitDi[#Data],COLUMN(T_TraitDi[Colonne15]),FALSE)=0,"",TEXT(IFERROR(VLOOKUP(T_Convention[[#This Row],[NumL]],T_TraitDi[#Data],COLUMN(T_TraitDi[Colonne15]),FALSE),""),"[hh]:mm"))</f>
        <v>#N/A</v>
      </c>
      <c r="AP235" s="284" t="e">
        <f>IF(VLOOKUP(T_Convention[[#This Row],[NumL]],T_TraitDi[#Data],COLUMN(T_TraitDi[Colonne16]),FALSE)=0,"",TEXT(IFERROR(VLOOKUP(T_Convention[[#This Row],[NumL]],T_TraitDi[#Data],COLUMN(T_TraitDi[Colonne16]),FALSE),""),"[hh]:mm"))</f>
        <v>#N/A</v>
      </c>
      <c r="AQ235" s="284" t="str">
        <f>IFERROR(VLOOKUP(T_Convention[[#This Row],[NumL]],T_TraitDi[#Data],COLUMN(T_TraitDi[Colonne17]),FALSE),"")</f>
        <v/>
      </c>
      <c r="AR235" s="284" t="e">
        <f>IF(VLOOKUP(T_Convention[[#This Row],[NumL]],T_TraitDi[#Data],COLUMN(T_TraitDi[Colonne18]),FALSE)=0,"",TEXT(IFERROR(VLOOKUP(T_Convention[[#This Row],[NumL]],T_TraitDi[#Data],COLUMN(T_TraitDi[Colonne18]),FALSE),""),"[hh]:mm"))</f>
        <v>#N/A</v>
      </c>
      <c r="AS235" s="284" t="e">
        <f>IF(VLOOKUP(T_Convention[[#This Row],[NumL]],T_TraitDi[#Data],COLUMN(T_TraitDi[Colonne19]),FALSE)=0,"",TEXT(IFERROR(VLOOKUP(T_Convention[[#This Row],[NumL]],T_TraitDi[#Data],COLUMN(T_TraitDi[Colonne19]),FALSE),""),"[hh]:mm"))</f>
        <v>#N/A</v>
      </c>
      <c r="AT235" s="284" t="e">
        <f>IF(VLOOKUP(T_Convention[[#This Row],[NumL]],T_TraitDi[#Data],COLUMN(T_TraitDi[Colonne20]),FALSE)=0,"",TEXT(IFERROR(VLOOKUP(T_Convention[[#This Row],[NumL]],T_TraitDi[#Data],COLUMN(T_TraitDi[Colonne20]),FALSE),""),"[hh]:mm"))</f>
        <v>#N/A</v>
      </c>
      <c r="AU235" s="284" t="str">
        <f>IFERROR(VLOOKUP(T_Convention[[#This Row],[NumL]],T_TraitDi[#Data],COLUMN(T_TraitDi[Jeudi]),FALSE),"")</f>
        <v/>
      </c>
      <c r="AV235" s="284" t="e">
        <f>IF(VLOOKUP(T_Convention[[#This Row],[NumL]],T_TraitDi[#Data],COLUMN(T_TraitDi[Colonne21]),FALSE)=0,"",TEXT(IFERROR(VLOOKUP(T_Convention[[#This Row],[NumL]],T_TraitDi[#Data],COLUMN(T_TraitDi[Colonne21]),FALSE),""),"[hh]:mm"))</f>
        <v>#N/A</v>
      </c>
      <c r="AW235" s="284" t="e">
        <f>IF(VLOOKUP(T_Convention[[#This Row],[NumL]],T_TraitDi[#Data],COLUMN(T_TraitDi[Colonne22]),FALSE)=0,"",TEXT(IFERROR(VLOOKUP(T_Convention[[#This Row],[NumL]],T_TraitDi[#Data],COLUMN(T_TraitDi[Colonne22]),FALSE),""),"[hh]:mm"))</f>
        <v>#N/A</v>
      </c>
      <c r="AX235" s="284" t="str">
        <f>IFERROR(VLOOKUP(T_Convention[[#This Row],[NumL]],T_TraitDi[#Data],COLUMN(T_TraitDi[Colonne23]),FALSE),"")</f>
        <v/>
      </c>
      <c r="AY235" s="284" t="e">
        <f>IF(VLOOKUP(T_Convention[[#This Row],[NumL]],T_TraitDi[#Data],COLUMN(T_TraitDi[Colonne24]),FALSE)=0,"",TEXT(IFERROR(VLOOKUP(T_Convention[[#This Row],[NumL]],T_TraitDi[#Data],COLUMN(T_TraitDi[Colonne24]),FALSE),""),"[hh]:mm"))</f>
        <v>#N/A</v>
      </c>
      <c r="AZ235" s="284" t="e">
        <f>IF(VLOOKUP(T_Convention[[#This Row],[NumL]],T_TraitDi[#Data],COLUMN(T_TraitDi[Colonne25]),FALSE)=0,"",TEXT(IFERROR(VLOOKUP(T_Convention[[#This Row],[NumL]],T_TraitDi[#Data],COLUMN(T_TraitDi[Colonne25]),FALSE),""),"[hh]:mm"))</f>
        <v>#N/A</v>
      </c>
      <c r="BA235" s="284" t="e">
        <f>IF(VLOOKUP(T_Convention[[#This Row],[NumL]],T_TraitDi[#Data],COLUMN(T_TraitDi[Colonne26]),FALSE)=0,"",TEXT(IFERROR(VLOOKUP(T_Convention[[#This Row],[NumL]],T_TraitDi[#Data],COLUMN(T_TraitDi[Colonne26]),FALSE),""),"[hh]:mm"))</f>
        <v>#N/A</v>
      </c>
      <c r="BB235" s="284" t="str">
        <f>IFERROR(VLOOKUP(T_Convention[[#This Row],[NumL]],T_TraitDi[#Data],COLUMN(T_TraitDi[Vendredi]),FALSE),"")</f>
        <v/>
      </c>
      <c r="BC235" s="284" t="e">
        <f>IF(VLOOKUP(T_Convention[[#This Row],[NumL]],T_TraitDi[#Data],COLUMN(T_TraitDi[Colonne27]),FALSE)=0,"",TEXT(IFERROR(VLOOKUP(T_Convention[[#This Row],[NumL]],T_TraitDi[#Data],COLUMN(T_TraitDi[Colonne27]),FALSE),""),"[hh]:mm"))</f>
        <v>#N/A</v>
      </c>
      <c r="BD235" s="284" t="e">
        <f>IF(VLOOKUP(T_Convention[[#This Row],[NumL]],T_TraitDi[#Data],COLUMN(T_TraitDi[Colonne28]),FALSE)=0,"",TEXT(IFERROR(VLOOKUP(T_Convention[[#This Row],[NumL]],T_TraitDi[#Data],COLUMN(T_TraitDi[Colonne28]),FALSE),""),"[hh]:mm"))</f>
        <v>#N/A</v>
      </c>
      <c r="BE235" s="284" t="str">
        <f>IFERROR(VLOOKUP(T_Convention[[#This Row],[NumL]],T_TraitDi[#Data],COLUMN(T_TraitDi[Colonne29]),FALSE),"")</f>
        <v/>
      </c>
      <c r="BF235" s="284" t="e">
        <f>IF(VLOOKUP(T_Convention[[#This Row],[NumL]],T_TraitDi[#Data],COLUMN(T_TraitDi[Colonne30]),FALSE)=0,"",TEXT(IFERROR(VLOOKUP(T_Convention[[#This Row],[NumL]],T_TraitDi[#Data],COLUMN(T_TraitDi[Colonne30]),FALSE),""),"[hh]:mm"))</f>
        <v>#N/A</v>
      </c>
      <c r="BG235" s="284" t="e">
        <f>IF(VLOOKUP(T_Convention[[#This Row],[NumL]],T_TraitDi[#Data],COLUMN(T_TraitDi[Colonne31]),FALSE)=0,"",TEXT(IFERROR(VLOOKUP(T_Convention[[#This Row],[NumL]],T_TraitDi[#Data],COLUMN(T_TraitDi[Colonne31]),FALSE),""),"[hh]:mm"))</f>
        <v>#N/A</v>
      </c>
      <c r="BH235" s="284" t="e">
        <f>IF(VLOOKUP(T_Convention[[#This Row],[NumL]],T_TraitDi[#Data],COLUMN(T_TraitDi[Colonne32]),FALSE)=0,"",TEXT(IFERROR(VLOOKUP(T_Convention[[#This Row],[NumL]],T_TraitDi[#Data],COLUMN(T_TraitDi[Colonne32]),FALSE),""),"[hh]:mm"))</f>
        <v>#N/A</v>
      </c>
      <c r="BI235" s="284" t="str">
        <f>IFERROR(VLOOKUP(T_Convention[[#This Row],[NumL]],T_TraitDi[#Data],COLUMN(T_TraitDi[NbJTW]),FALSE),"")</f>
        <v/>
      </c>
      <c r="BJ235" s="284" t="e">
        <f>IF(VLOOKUP(T_Convention[[#This Row],[NumL]],T_TraitDi[#Data],COLUMN(T_TraitDi[NbhTW]),FALSE)=0,"",TEXT(IFERROR(VLOOKUP(T_Convention[[#This Row],[NumL]],T_TraitDi[#Data],COLUMN(T_TraitDi[NbhTW]),FALSE),""),"[hh]:mm"))</f>
        <v>#N/A</v>
      </c>
      <c r="BK235" s="286" t="e">
        <f>IF(VLOOKUP(T_Convention[[#This Row],[NumL]],T_TraitDi[#Data],COLUMN(T_TraitDi[Nbhheb]),FALSE)=0,"",TEXT(IFERROR(VLOOKUP(T_Convention[[#This Row],[NumL]],T_TraitDi[#Data],COLUMN(T_TraitDi[Nbhheb]),FALSE),""),"[hh]:mm"))</f>
        <v>#N/A</v>
      </c>
      <c r="BL235" s="287" t="str">
        <f>IFERROR(VLOOKUP(VLOOKUP(T_Convention[[#This Row],[NumL]],T_TraitDi[#Data],COLUMN(T_TraitDi[Type1]),FALSE),TypeTW,2,FALSE),"")</f>
        <v/>
      </c>
      <c r="BM235" s="288" t="str">
        <f>IFERROR(VLOOKUP(T_Convention[[#This Row],[NumL]],T_TraitDi[#Data],COLUMN(T_TraitDi[Rue1]),FALSE),"")</f>
        <v/>
      </c>
      <c r="BN235" s="289" t="str">
        <f>IFERROR(VLOOKUP(T_Convention[[#This Row],[NumL]],T_TraitDi[#Data],COLUMN(T_TraitDi[CP1]),FALSE),"")</f>
        <v/>
      </c>
      <c r="BO235" s="282" t="str">
        <f>IFERROR(VLOOKUP(T_Convention[[#This Row],[NumL]],T_TraitDi[#Data],COLUMN(T_TraitDi[VILLE1]),FALSE),"")</f>
        <v/>
      </c>
      <c r="BP235" s="290" t="str">
        <f>IFERROR(VLOOKUP(VLOOKUP(T_Convention[[#This Row],[NumL]],T_TraitDi[#Data],COLUMN(T_TraitDi[Type2]),FALSE),TypeTW,2,FALSE),"")</f>
        <v/>
      </c>
      <c r="BQ235" s="182" t="str">
        <f>IFERROR(VLOOKUP(T_Convention[[#This Row],[NumL]],T_TraitDi[#Data],COLUMN(T_TraitDi[Rue2]),FALSE),"")</f>
        <v/>
      </c>
      <c r="BR235" s="173" t="str">
        <f>IFERROR(VLOOKUP(T_Convention[[#This Row],[NumL]],T_TraitDi[#Data],COLUMN(T_TraitDi[CP2]),FALSE),"")</f>
        <v/>
      </c>
      <c r="BS235" s="173" t="str">
        <f>IFERROR(VLOOKUP(T_Convention[[#This Row],[NumL]],T_TraitDi[#Data],COLUMN(T_TraitDi[VILLE2]),FALSE),"")</f>
        <v/>
      </c>
      <c r="BT235" s="182" t="str">
        <f>IF(VLOOKUP(T_Convention[[#This Row],[NumL]],T_Equipement[#Data],COLUMN(T_Equipement[PC]),FALSE)="","Aucun équipement spécifique directement lié au télétravail",VLOOKUP(T_Convention[[#This Row],[NumL]],T_Equipement[#Data],COLUMN(T_Equipement[PC]),FALSE))</f>
        <v xml:space="preserve">17-264	</v>
      </c>
      <c r="BU235" s="166" t="str">
        <f>IFERROR(IF(VLOOKUP(T_Convention[[#This Row],[NumL]],T_TraitDi[#Data],COLUMN(T_TraitDi[Plan]),FALSE)="OK","Un planning spécifique de télétravail est annexé à la présente convention.",""),"")</f>
        <v/>
      </c>
      <c r="BV235" s="185" t="s">
        <v>3500</v>
      </c>
      <c r="BW235" s="164" t="e">
        <f>IF(VLOOKUP(T_Convention[[#This Row],[NumL]],T_suiviDi[#Data],COLUMN(T_suiviDi[Entité]),FALSE)="","",VLOOKUP(T_Convention[[#This Row],[NumL]],T_suiviDi[#Data],COLUMN(T_suiviDi[Entité]),FALSE))</f>
        <v>#N/A</v>
      </c>
      <c r="BX235" s="164" t="str">
        <f>IF(VLOOKUP(T_Convention[[#This Row],[NumL]],T_Commission[#Data],COLUMN(T_Commission[envoi confirm TW]),FALSE)="","",VLOOKUP(T_Convention[[#This Row],[NumL]],T_Commission[#Data],COLUMN(T_Commission[envoi confirm TW]),FALSE))</f>
        <v>Oui</v>
      </c>
      <c r="BY23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5" s="264">
        <f>VLOOKUP(T_Convention[[#This Row],[NumL]],T_Commission[#Data],COLUMN(T_Commission[Commentaire]),FALSE)</f>
        <v>0</v>
      </c>
      <c r="CA235" s="254" t="str">
        <f>IF(VLOOKUP(T_Convention[[#This Row],[NumL]],T_Commission[#Data],COLUMN(T_Commission[Encadrant Email]),FALSE)="","",VLOOKUP(T_Convention[[#This Row],[NumL]],T_Commission[#Data],COLUMN(T_Commission[Encadrant Email]),FALSE))</f>
        <v/>
      </c>
      <c r="CB235" s="353" t="e">
        <f>VLOOKUP(T_Convention[[#This Row],[NumL]],T_TraitDi[#Data],COLUMN(T_TraitDi[NbJTot]),FALSE)</f>
        <v>#N/A</v>
      </c>
      <c r="CC235" s="353" t="e">
        <f>VLOOKUP(T_Convention[[#This Row],[NumL]],T_TraitDi[#Data],COLUMN(T_TraitDi[Reg Ponct]),FALSE)</f>
        <v>#N/A</v>
      </c>
      <c r="CD235" s="348" t="str">
        <f>IF(T_Convention[[#This Row],[Final]]&lt;&gt;"",VLOOKUP(T_Convention[[#This Row],[NumL]],T_suiviDi[#Data],COLUMN((T_suiviDi[Statut])),FALSE),"")</f>
        <v/>
      </c>
    </row>
    <row r="236" spans="1:82" s="106" customFormat="1" ht="18.75" customHeight="1" x14ac:dyDescent="0.25">
      <c r="A236" s="160">
        <v>3</v>
      </c>
      <c r="B236" s="161" t="str">
        <f>VLOOKUP(T_Convention[[#This Row],[NumL]],T_Commission[#Data],COLUMN(T_Commission[FINAL]),FALSE)</f>
        <v/>
      </c>
      <c r="C236" s="162"/>
      <c r="D236" s="95" t="e">
        <f>IF(VLOOKUP(T_Convention[[#This Row],[NumL]],T_TraitDi[#Data],COLUMN(T_TraitDi[WebC]),FALSE)="","",VLOOKUP(T_Convention[[#This Row],[NumL]],T_TraitDi[#Data],COLUMN(T_TraitDi[WebC]),FALSE))</f>
        <v>#N/A</v>
      </c>
      <c r="E236" s="163" t="str">
        <f t="shared" si="15"/>
        <v>12 janvier 2021</v>
      </c>
      <c r="F236" s="282" t="str">
        <f>IF(T_Convention[[#This Row],[Final]]&lt;&gt;"",VLOOKUP(T_Convention[[#This Row],[NumL]],T_suiviDi[#Data],COLUMN((T_suiviDi[Civ.])),FALSE),"")</f>
        <v/>
      </c>
      <c r="G236" s="283" t="str">
        <f>IF(T_Convention[[#This Row],[Final]]&lt;&gt;"",VLOOKUP(T_Convention[[#This Row],[NumL]],T_suiviDi[#Data],COLUMN((T_suiviDi[Nom])),FALSE),"")</f>
        <v/>
      </c>
      <c r="H236" s="282" t="str">
        <f>IF(T_Convention[[#This Row],[Final]]&lt;&gt;"",VLOOKUP(T_Convention[[#This Row],[NumL]],T_suiviDi[#Data],COLUMN((T_suiviDi[Prénom])),FALSE),"")</f>
        <v/>
      </c>
      <c r="I236" s="282" t="e">
        <f>VLOOKUP(T_Convention[[#This Row],[NumL]],T_suiviDi[#Data],COLUMN((T_suiviDi[[#This Row],[Email]])),FALSE)</f>
        <v>#VALUE!</v>
      </c>
      <c r="J236" s="282" t="e">
        <f>IF(VLOOKUP(T_Convention[[#This Row],[NumL]],T_suiviDi[#Data],COLUMN(T_suiviDi[[#This Row],[Fonction]]),FALSE)="","",VLOOKUP(T_Convention[[#This Row],[NumL]],T_suiviDi[#Data],COLUMN(T_suiviDi[[#This Row],[Fonction]]),FALSE))</f>
        <v>#VALUE!</v>
      </c>
      <c r="K236" s="282" t="e">
        <f>IF(VLOOKUP(T_Convention[[#This Row],[NumL]],T_suiviDi[#Data],COLUMN(T_suiviDi[[#This Row],[Grade]]),FALSE)="","",VLOOKUP(T_Convention[[#This Row],[NumL]],T_suiviDi[#Data],COLUMN(T_suiviDi[[#This Row],[Grade]]),FALSE))</f>
        <v>#VALUE!</v>
      </c>
      <c r="L236" s="282" t="e">
        <f>IF(VLOOKUP(T_Convention[[#This Row],[NumL]],T_suiviDi[#Data],COLUMN(T_suiviDi[[#This Row],[Service ]]),FALSE)="","",VLOOKUP(T_Convention[[#This Row],[NumL]],T_suiviDi[#Data],COLUMN(T_suiviDi[[#This Row],[Service ]]),FALSE))</f>
        <v>#VALUE!</v>
      </c>
      <c r="M236" s="164" t="str">
        <f t="shared" si="16"/>
        <v>01 septembre 2021</v>
      </c>
      <c r="N236" s="164" t="str">
        <f t="shared" si="17"/>
        <v>30 novembre 2021</v>
      </c>
      <c r="O236" s="284" t="str">
        <f t="shared" si="18"/>
        <v>30 novembre 2021</v>
      </c>
      <c r="P236" s="282" t="e">
        <f>IF(VLOOKUP(T_Convention[[#This Row],[NumL]],T_TraitDi[#Data],COLUMN(T_TraitDi[M1]),FALSE)="","",VLOOKUP(T_Convention[[#This Row],[NumL]],T_TraitDi[#Data],COLUMN(T_TraitDi[M1]),FALSE))</f>
        <v>#N/A</v>
      </c>
      <c r="Q236" s="282" t="e">
        <f>IF(VLOOKUP(T_Convention[[#This Row],[NumL]],T_TraitDi[#Data],COLUMN(T_TraitDi[M2]),FALSE)="","",VLOOKUP(T_Convention[[#This Row],[NumL]],T_TraitDi[#Data],COLUMN(T_TraitDi[M2]),FALSE))</f>
        <v>#N/A</v>
      </c>
      <c r="R236" s="282" t="e">
        <f>IF(VLOOKUP(T_Convention[[#This Row],[NumL]],T_TraitDi[#Data],COLUMN(T_TraitDi[M3]),FALSE)="","",VLOOKUP(T_Convention[[#This Row],[NumL]],T_TraitDi[#Data],COLUMN(T_TraitDi[M3]),FALSE))</f>
        <v>#N/A</v>
      </c>
      <c r="S236" s="282" t="e">
        <f>IF(VLOOKUP(T_Convention[[#This Row],[NumL]],T_TraitDi[#Data],COLUMN(T_TraitDi[M4]),FALSE)="","",VLOOKUP(T_Convention[[#This Row],[NumL]],T_TraitDi[#Data],COLUMN(T_TraitDi[M4]),FALSE))</f>
        <v>#N/A</v>
      </c>
      <c r="T236" s="282" t="e">
        <f>IF(VLOOKUP(T_Convention[[#This Row],[NumL]],T_TraitDi[#Data],COLUMN(T_TraitDi[M5]),FALSE)="","",VLOOKUP(T_Convention[[#This Row],[NumL]],T_TraitDi[#Data],COLUMN(T_TraitDi[M5]),FALSE))</f>
        <v>#N/A</v>
      </c>
      <c r="U236" s="282" t="e">
        <f>IF(VLOOKUP(T_Convention[[#This Row],[NumL]],T_TraitDi[#Data],COLUMN(T_TraitDi[M6]),FALSE)="","",VLOOKUP(T_Convention[[#This Row],[NumL]],T_TraitDi[#Data],COLUMN(T_TraitDi[M6]),FALSE))</f>
        <v>#N/A</v>
      </c>
      <c r="V236" s="176" t="e">
        <f t="shared" si="19"/>
        <v>#N/A</v>
      </c>
      <c r="W236" s="284" t="str">
        <f>IFERROR(TEXT(VLOOKUP(T_Convention[[#This Row],[NumL]],T_TraitDi[#Data],COLUMN(T_TraitDi[Q2]),FALSE),"###%"),"")</f>
        <v/>
      </c>
      <c r="X236" s="97" t="e">
        <f>VLOOKUP(T_Convention[[#This Row],[NumL]],T_TraitDi[#Data],COLUMN(T_TraitDi[Reg Ponct]),FALSE)</f>
        <v>#N/A</v>
      </c>
      <c r="Y236" s="97" t="e">
        <f>VLOOKUP(T_Convention[NumL],T_TraitDi[#Data],COLUMN(T_TraitDi[Jours flottants]),FALSE)</f>
        <v>#N/A</v>
      </c>
      <c r="Z236" s="284" t="str">
        <f>IFERROR(VLOOKUP(T_Convention[[#This Row],[NumL]],T_TraitDi[#Data],COLUMN(T_TraitDi[Lundi]),FALSE),"")</f>
        <v/>
      </c>
      <c r="AA236" s="284" t="e">
        <f>IF(VLOOKUP(T_Convention[[#This Row],[NumL]],T_TraitDi[#Data],COLUMN(T_TraitDi[Colonne3]),FALSE)=0,"",TEXT(IFERROR(VLOOKUP(T_Convention[[#This Row],[NumL]],T_TraitDi[#Data],COLUMN(T_TraitDi[Colonne3]),FALSE),""),"[hh]:mm"))</f>
        <v>#N/A</v>
      </c>
      <c r="AB236" s="284" t="e">
        <f>IF(VLOOKUP(T_Convention[[#This Row],[NumL]],T_TraitDi[#Data],COLUMN(T_TraitDi[Colonne4]),FALSE)=0,"",TEXT(IFERROR(VLOOKUP(T_Convention[[#This Row],[NumL]],T_TraitDi[#Data],COLUMN(T_TraitDi[Colonne4]),FALSE),""),"[hh]:mm"))</f>
        <v>#N/A</v>
      </c>
      <c r="AC236" s="284" t="e">
        <f>IF(VLOOKUP(T_Convention[[#This Row],[NumL]],T_TraitDi[#Data],COLUMN(T_TraitDi[Colonne5]),FALSE)=0,"",TEXT(IFERROR(VLOOKUP(T_Convention[[#This Row],[NumL]],T_TraitDi[#Data],COLUMN(T_TraitDi[Colonne5]),FALSE),""),"[hh]:mm"))</f>
        <v>#N/A</v>
      </c>
      <c r="AD236" s="284" t="e">
        <f>IF(VLOOKUP(T_Convention[[#This Row],[NumL]],T_TraitDi[#Data],COLUMN(T_TraitDi[Colonne6]),FALSE)=0,"",TEXT(IFERROR(VLOOKUP(T_Convention[[#This Row],[NumL]],T_TraitDi[#Data],COLUMN(T_TraitDi[Colonne6]),FALSE),""),"[hh]:mm"))</f>
        <v>#N/A</v>
      </c>
      <c r="AE236" s="284" t="e">
        <f>IF(VLOOKUP(T_Convention[[#This Row],[NumL]],T_TraitDi[#Data],COLUMN(T_TraitDi[Colonne7]),FALSE)=0,"",TEXT(IFERROR(VLOOKUP(T_Convention[[#This Row],[NumL]],T_TraitDi[#Data],COLUMN(T_TraitDi[Colonne7]),FALSE),""),"[hh]:mm"))</f>
        <v>#N/A</v>
      </c>
      <c r="AF236" s="284" t="e">
        <f>IF(VLOOKUP(T_Convention[[#This Row],[NumL]],T_TraitDi[#Data],COLUMN(T_TraitDi[Colonne8]),FALSE)=0,"",TEXT(IFERROR(VLOOKUP(T_Convention[[#This Row],[NumL]],T_TraitDi[#Data],COLUMN(T_TraitDi[Colonne8]),FALSE),""),"[hh]:mm"))</f>
        <v>#N/A</v>
      </c>
      <c r="AG236" s="284" t="str">
        <f>IFERROR(VLOOKUP(T_Convention[[#This Row],[NumL]],T_TraitDi[#Data],COLUMN(T_TraitDi[Mardi]),FALSE),"")</f>
        <v/>
      </c>
      <c r="AH236" s="284" t="e">
        <f>IF(VLOOKUP(T_Convention[[#This Row],[NumL]],T_TraitDi[#Data],COLUMN(T_TraitDi[Colonne1]),FALSE)=0,"",TEXT(IFERROR(VLOOKUP(T_Convention[[#This Row],[NumL]],T_TraitDi[#Data],COLUMN(T_TraitDi[Colonne1]),FALSE),""),"[hh]:mm"))</f>
        <v>#N/A</v>
      </c>
      <c r="AI236" s="284" t="e">
        <f>IF(VLOOKUP(T_Convention[[#This Row],[NumL]],T_TraitDi[#Data],COLUMN(T_TraitDi[Colonne9]),FALSE)=0,"",TEXT(IFERROR(VLOOKUP(T_Convention[[#This Row],[NumL]],T_TraitDi[#Data],COLUMN(T_TraitDi[Colonne9]),FALSE),""),"[hh]:mm"))</f>
        <v>#N/A</v>
      </c>
      <c r="AJ236" s="284" t="str">
        <f>IFERROR(VLOOKUP(T_Convention[[#This Row],[NumL]],T_TraitDi[#Data],COLUMN(T_TraitDi[Colonne10]),FALSE),"")</f>
        <v/>
      </c>
      <c r="AK236" s="284" t="e">
        <f>IF(VLOOKUP(T_Convention[[#This Row],[NumL]],T_TraitDi[#Data],COLUMN(T_TraitDi[Colonne11]),FALSE)=0,"",TEXT(IFERROR(VLOOKUP(T_Convention[[#This Row],[NumL]],T_TraitDi[#Data],COLUMN(T_TraitDi[Colonne11]),FALSE),""),"[hh]:mm"))</f>
        <v>#N/A</v>
      </c>
      <c r="AL236" s="284" t="e">
        <f>IF(VLOOKUP(T_Convention[[#This Row],[NumL]],T_TraitDi[#Data],COLUMN(T_TraitDi[Colonne12]),FALSE)=0,"",TEXT(IFERROR(VLOOKUP(T_Convention[[#This Row],[NumL]],T_TraitDi[#Data],COLUMN(T_TraitDi[Colonne12]),FALSE),""),"[hh]:mm"))</f>
        <v>#N/A</v>
      </c>
      <c r="AM236" s="284" t="e">
        <f>IF(VLOOKUP(T_Convention[[#This Row],[NumL]],T_TraitDi[#Data],COLUMN(T_TraitDi[Colonne14]),FALSE)=0,"",TEXT(IFERROR(VLOOKUP(T_Convention[[#This Row],[NumL]],T_TraitDi[#Data],COLUMN(T_TraitDi[Colonne14]),FALSE),""),"[hh]:mm"))</f>
        <v>#N/A</v>
      </c>
      <c r="AN236" s="284" t="str">
        <f>IFERROR(VLOOKUP(T_Convention[[#This Row],[NumL]],T_TraitDi[#Data],COLUMN(T_TraitDi[Mercredi]),FALSE),"")</f>
        <v/>
      </c>
      <c r="AO236" s="284" t="e">
        <f>IF(VLOOKUP(T_Convention[[#This Row],[NumL]],T_TraitDi[#Data],COLUMN(T_TraitDi[Colonne15]),FALSE)=0,"",TEXT(IFERROR(VLOOKUP(T_Convention[[#This Row],[NumL]],T_TraitDi[#Data],COLUMN(T_TraitDi[Colonne15]),FALSE),""),"[hh]:mm"))</f>
        <v>#N/A</v>
      </c>
      <c r="AP236" s="284" t="e">
        <f>IF(VLOOKUP(T_Convention[[#This Row],[NumL]],T_TraitDi[#Data],COLUMN(T_TraitDi[Colonne16]),FALSE)=0,"",TEXT(IFERROR(VLOOKUP(T_Convention[[#This Row],[NumL]],T_TraitDi[#Data],COLUMN(T_TraitDi[Colonne16]),FALSE),""),"[hh]:mm"))</f>
        <v>#N/A</v>
      </c>
      <c r="AQ236" s="284" t="str">
        <f>IFERROR(VLOOKUP(T_Convention[[#This Row],[NumL]],T_TraitDi[#Data],COLUMN(T_TraitDi[Colonne17]),FALSE),"")</f>
        <v/>
      </c>
      <c r="AR236" s="284" t="e">
        <f>IF(VLOOKUP(T_Convention[[#This Row],[NumL]],T_TraitDi[#Data],COLUMN(T_TraitDi[Colonne18]),FALSE)=0,"",TEXT(IFERROR(VLOOKUP(T_Convention[[#This Row],[NumL]],T_TraitDi[#Data],COLUMN(T_TraitDi[Colonne18]),FALSE),""),"[hh]:mm"))</f>
        <v>#N/A</v>
      </c>
      <c r="AS236" s="284" t="e">
        <f>IF(VLOOKUP(T_Convention[[#This Row],[NumL]],T_TraitDi[#Data],COLUMN(T_TraitDi[Colonne19]),FALSE)=0,"",TEXT(IFERROR(VLOOKUP(T_Convention[[#This Row],[NumL]],T_TraitDi[#Data],COLUMN(T_TraitDi[Colonne19]),FALSE),""),"[hh]:mm"))</f>
        <v>#N/A</v>
      </c>
      <c r="AT236" s="284" t="e">
        <f>IF(VLOOKUP(T_Convention[[#This Row],[NumL]],T_TraitDi[#Data],COLUMN(T_TraitDi[Colonne20]),FALSE)=0,"",TEXT(IFERROR(VLOOKUP(T_Convention[[#This Row],[NumL]],T_TraitDi[#Data],COLUMN(T_TraitDi[Colonne20]),FALSE),""),"[hh]:mm"))</f>
        <v>#N/A</v>
      </c>
      <c r="AU236" s="284" t="str">
        <f>IFERROR(VLOOKUP(T_Convention[[#This Row],[NumL]],T_TraitDi[#Data],COLUMN(T_TraitDi[Jeudi]),FALSE),"")</f>
        <v/>
      </c>
      <c r="AV236" s="284" t="e">
        <f>IF(VLOOKUP(T_Convention[[#This Row],[NumL]],T_TraitDi[#Data],COLUMN(T_TraitDi[Colonne21]),FALSE)=0,"",TEXT(IFERROR(VLOOKUP(T_Convention[[#This Row],[NumL]],T_TraitDi[#Data],COLUMN(T_TraitDi[Colonne21]),FALSE),""),"[hh]:mm"))</f>
        <v>#N/A</v>
      </c>
      <c r="AW236" s="284" t="e">
        <f>IF(VLOOKUP(T_Convention[[#This Row],[NumL]],T_TraitDi[#Data],COLUMN(T_TraitDi[Colonne22]),FALSE)=0,"",TEXT(IFERROR(VLOOKUP(T_Convention[[#This Row],[NumL]],T_TraitDi[#Data],COLUMN(T_TraitDi[Colonne22]),FALSE),""),"[hh]:mm"))</f>
        <v>#N/A</v>
      </c>
      <c r="AX236" s="284" t="str">
        <f>IFERROR(VLOOKUP(T_Convention[[#This Row],[NumL]],T_TraitDi[#Data],COLUMN(T_TraitDi[Colonne23]),FALSE),"")</f>
        <v/>
      </c>
      <c r="AY236" s="284" t="e">
        <f>IF(VLOOKUP(T_Convention[[#This Row],[NumL]],T_TraitDi[#Data],COLUMN(T_TraitDi[Colonne24]),FALSE)=0,"",TEXT(IFERROR(VLOOKUP(T_Convention[[#This Row],[NumL]],T_TraitDi[#Data],COLUMN(T_TraitDi[Colonne24]),FALSE),""),"[hh]:mm"))</f>
        <v>#N/A</v>
      </c>
      <c r="AZ236" s="284" t="e">
        <f>IF(VLOOKUP(T_Convention[[#This Row],[NumL]],T_TraitDi[#Data],COLUMN(T_TraitDi[Colonne25]),FALSE)=0,"",TEXT(IFERROR(VLOOKUP(T_Convention[[#This Row],[NumL]],T_TraitDi[#Data],COLUMN(T_TraitDi[Colonne25]),FALSE),""),"[hh]:mm"))</f>
        <v>#N/A</v>
      </c>
      <c r="BA236" s="284" t="e">
        <f>IF(VLOOKUP(T_Convention[[#This Row],[NumL]],T_TraitDi[#Data],COLUMN(T_TraitDi[Colonne26]),FALSE)=0,"",TEXT(IFERROR(VLOOKUP(T_Convention[[#This Row],[NumL]],T_TraitDi[#Data],COLUMN(T_TraitDi[Colonne26]),FALSE),""),"[hh]:mm"))</f>
        <v>#N/A</v>
      </c>
      <c r="BB236" s="284" t="str">
        <f>IFERROR(VLOOKUP(T_Convention[[#This Row],[NumL]],T_TraitDi[#Data],COLUMN(T_TraitDi[Vendredi]),FALSE),"")</f>
        <v/>
      </c>
      <c r="BC236" s="284" t="e">
        <f>IF(VLOOKUP(T_Convention[[#This Row],[NumL]],T_TraitDi[#Data],COLUMN(T_TraitDi[Colonne27]),FALSE)=0,"",TEXT(IFERROR(VLOOKUP(T_Convention[[#This Row],[NumL]],T_TraitDi[#Data],COLUMN(T_TraitDi[Colonne27]),FALSE),""),"[hh]:mm"))</f>
        <v>#N/A</v>
      </c>
      <c r="BD236" s="284" t="e">
        <f>IF(VLOOKUP(T_Convention[[#This Row],[NumL]],T_TraitDi[#Data],COLUMN(T_TraitDi[Colonne28]),FALSE)=0,"",TEXT(IFERROR(VLOOKUP(T_Convention[[#This Row],[NumL]],T_TraitDi[#Data],COLUMN(T_TraitDi[Colonne28]),FALSE),""),"[hh]:mm"))</f>
        <v>#N/A</v>
      </c>
      <c r="BE236" s="284" t="str">
        <f>IFERROR(VLOOKUP(T_Convention[[#This Row],[NumL]],T_TraitDi[#Data],COLUMN(T_TraitDi[Colonne29]),FALSE),"")</f>
        <v/>
      </c>
      <c r="BF236" s="284" t="e">
        <f>IF(VLOOKUP(T_Convention[[#This Row],[NumL]],T_TraitDi[#Data],COLUMN(T_TraitDi[Colonne30]),FALSE)=0,"",TEXT(IFERROR(VLOOKUP(T_Convention[[#This Row],[NumL]],T_TraitDi[#Data],COLUMN(T_TraitDi[Colonne30]),FALSE),""),"[hh]:mm"))</f>
        <v>#N/A</v>
      </c>
      <c r="BG236" s="284" t="e">
        <f>IF(VLOOKUP(T_Convention[[#This Row],[NumL]],T_TraitDi[#Data],COLUMN(T_TraitDi[Colonne31]),FALSE)=0,"",TEXT(IFERROR(VLOOKUP(T_Convention[[#This Row],[NumL]],T_TraitDi[#Data],COLUMN(T_TraitDi[Colonne31]),FALSE),""),"[hh]:mm"))</f>
        <v>#N/A</v>
      </c>
      <c r="BH236" s="284" t="e">
        <f>IF(VLOOKUP(T_Convention[[#This Row],[NumL]],T_TraitDi[#Data],COLUMN(T_TraitDi[Colonne32]),FALSE)=0,"",TEXT(IFERROR(VLOOKUP(T_Convention[[#This Row],[NumL]],T_TraitDi[#Data],COLUMN(T_TraitDi[Colonne32]),FALSE),""),"[hh]:mm"))</f>
        <v>#N/A</v>
      </c>
      <c r="BI236" s="284" t="str">
        <f>IFERROR(VLOOKUP(T_Convention[[#This Row],[NumL]],T_TraitDi[#Data],COLUMN(T_TraitDi[NbJTW]),FALSE),"")</f>
        <v/>
      </c>
      <c r="BJ236" s="284" t="e">
        <f>IF(VLOOKUP(T_Convention[[#This Row],[NumL]],T_TraitDi[#Data],COLUMN(T_TraitDi[NbhTW]),FALSE)=0,"",TEXT(IFERROR(VLOOKUP(T_Convention[[#This Row],[NumL]],T_TraitDi[#Data],COLUMN(T_TraitDi[NbhTW]),FALSE),""),"[hh]:mm"))</f>
        <v>#N/A</v>
      </c>
      <c r="BK236" s="286" t="e">
        <f>IF(VLOOKUP(T_Convention[[#This Row],[NumL]],T_TraitDi[#Data],COLUMN(T_TraitDi[Nbhheb]),FALSE)=0,"",TEXT(IFERROR(VLOOKUP(T_Convention[[#This Row],[NumL]],T_TraitDi[#Data],COLUMN(T_TraitDi[Nbhheb]),FALSE),""),"[hh]:mm"))</f>
        <v>#N/A</v>
      </c>
      <c r="BL236" s="287" t="str">
        <f>IFERROR(VLOOKUP(VLOOKUP(T_Convention[[#This Row],[NumL]],T_TraitDi[#Data],COLUMN(T_TraitDi[Type1]),FALSE),TypeTW,2,FALSE),"")</f>
        <v/>
      </c>
      <c r="BM236" s="288" t="str">
        <f>IFERROR(VLOOKUP(T_Convention[[#This Row],[NumL]],T_TraitDi[#Data],COLUMN(T_TraitDi[Rue1]),FALSE),"")</f>
        <v/>
      </c>
      <c r="BN236" s="289" t="str">
        <f>IFERROR(VLOOKUP(T_Convention[[#This Row],[NumL]],T_TraitDi[#Data],COLUMN(T_TraitDi[CP1]),FALSE),"")</f>
        <v/>
      </c>
      <c r="BO236" s="282" t="str">
        <f>IFERROR(VLOOKUP(T_Convention[[#This Row],[NumL]],T_TraitDi[#Data],COLUMN(T_TraitDi[VILLE1]),FALSE),"")</f>
        <v/>
      </c>
      <c r="BP236" s="290" t="str">
        <f>IFERROR(VLOOKUP(VLOOKUP(T_Convention[[#This Row],[NumL]],T_TraitDi[#Data],COLUMN(T_TraitDi[Type2]),FALSE),TypeTW,2,FALSE),"")</f>
        <v/>
      </c>
      <c r="BQ236" s="182" t="str">
        <f>IFERROR(VLOOKUP(T_Convention[[#This Row],[NumL]],T_TraitDi[#Data],COLUMN(T_TraitDi[Rue2]),FALSE),"")</f>
        <v/>
      </c>
      <c r="BR236" s="173" t="str">
        <f>IFERROR(VLOOKUP(T_Convention[[#This Row],[NumL]],T_TraitDi[#Data],COLUMN(T_TraitDi[CP2]),FALSE),"")</f>
        <v/>
      </c>
      <c r="BS236" s="173" t="str">
        <f>IFERROR(VLOOKUP(T_Convention[[#This Row],[NumL]],T_TraitDi[#Data],COLUMN(T_TraitDi[VILLE2]),FALSE),"")</f>
        <v/>
      </c>
      <c r="BT236" s="182" t="str">
        <f>IF(VLOOKUP(T_Convention[[#This Row],[NumL]],T_Equipement[#Data],COLUMN(T_Equipement[PC]),FALSE)="","Aucun équipement spécifique directement lié au télétravail",VLOOKUP(T_Convention[[#This Row],[NumL]],T_Equipement[#Data],COLUMN(T_Equipement[PC]),FALSE))</f>
        <v xml:space="preserve">20-520	</v>
      </c>
      <c r="BU236" s="166" t="str">
        <f>IFERROR(IF(VLOOKUP(T_Convention[[#This Row],[NumL]],T_TraitDi[#Data],COLUMN(T_TraitDi[Plan]),FALSE)="OK","Un planning spécifique de télétravail est annexé à la présente convention.",""),"")</f>
        <v/>
      </c>
      <c r="BV236" s="185" t="s">
        <v>3508</v>
      </c>
      <c r="BW236" s="164" t="e">
        <f>IF(VLOOKUP(T_Convention[[#This Row],[NumL]],T_suiviDi[#Data],COLUMN(T_suiviDi[Entité]),FALSE)="","",VLOOKUP(T_Convention[[#This Row],[NumL]],T_suiviDi[#Data],COLUMN(T_suiviDi[Entité]),FALSE))</f>
        <v>#N/A</v>
      </c>
      <c r="BX236" s="164" t="str">
        <f>IF(VLOOKUP(T_Convention[[#This Row],[NumL]],T_Commission[#Data],COLUMN(T_Commission[envoi confirm TW]),FALSE)="","",VLOOKUP(T_Convention[[#This Row],[NumL]],T_Commission[#Data],COLUMN(T_Commission[envoi confirm TW]),FALSE))</f>
        <v>Oui</v>
      </c>
      <c r="BY23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6" s="264">
        <f>VLOOKUP(T_Convention[[#This Row],[NumL]],T_Commission[#Data],COLUMN(T_Commission[Commentaire]),FALSE)</f>
        <v>0</v>
      </c>
      <c r="CA236" s="254" t="str">
        <f>IF(VLOOKUP(T_Convention[[#This Row],[NumL]],T_Commission[#Data],COLUMN(T_Commission[Encadrant Email]),FALSE)="","",VLOOKUP(T_Convention[[#This Row],[NumL]],T_Commission[#Data],COLUMN(T_Commission[Encadrant Email]),FALSE))</f>
        <v/>
      </c>
      <c r="CB236" s="353" t="e">
        <f>VLOOKUP(T_Convention[[#This Row],[NumL]],T_TraitDi[#Data],COLUMN(T_TraitDi[NbJTot]),FALSE)</f>
        <v>#N/A</v>
      </c>
      <c r="CC236" s="353" t="e">
        <f>VLOOKUP(T_Convention[[#This Row],[NumL]],T_TraitDi[#Data],COLUMN(T_TraitDi[Reg Ponct]),FALSE)</f>
        <v>#N/A</v>
      </c>
      <c r="CD236" s="348" t="str">
        <f>IF(T_Convention[[#This Row],[Final]]&lt;&gt;"",VLOOKUP(T_Convention[[#This Row],[NumL]],T_suiviDi[#Data],COLUMN((T_suiviDi[Statut])),FALSE),"")</f>
        <v/>
      </c>
    </row>
    <row r="237" spans="1:82" s="106" customFormat="1" ht="18.75" customHeight="1" x14ac:dyDescent="0.25">
      <c r="A237" s="160">
        <v>98</v>
      </c>
      <c r="B237" s="161" t="str">
        <f>VLOOKUP(T_Convention[[#This Row],[NumL]],T_Commission[#Data],COLUMN(T_Commission[FINAL]),FALSE)</f>
        <v/>
      </c>
      <c r="C237" s="162"/>
      <c r="D237" s="95" t="e">
        <f>IF(VLOOKUP(T_Convention[[#This Row],[NumL]],T_TraitDi[#Data],COLUMN(T_TraitDi[WebC]),FALSE)="","",VLOOKUP(T_Convention[[#This Row],[NumL]],T_TraitDi[#Data],COLUMN(T_TraitDi[WebC]),FALSE))</f>
        <v>#N/A</v>
      </c>
      <c r="E237" s="163" t="str">
        <f t="shared" si="15"/>
        <v>12 janvier 2021</v>
      </c>
      <c r="F237" s="282" t="str">
        <f>IF(T_Convention[[#This Row],[Final]]&lt;&gt;"",VLOOKUP(T_Convention[[#This Row],[NumL]],T_suiviDi[#Data],COLUMN((T_suiviDi[Civ.])),FALSE),"")</f>
        <v/>
      </c>
      <c r="G237" s="283" t="str">
        <f>IF(T_Convention[[#This Row],[Final]]&lt;&gt;"",VLOOKUP(T_Convention[[#This Row],[NumL]],T_suiviDi[#Data],COLUMN((T_suiviDi[Nom])),FALSE),"")</f>
        <v/>
      </c>
      <c r="H237" s="282" t="str">
        <f>IF(T_Convention[[#This Row],[Final]]&lt;&gt;"",VLOOKUP(T_Convention[[#This Row],[NumL]],T_suiviDi[#Data],COLUMN((T_suiviDi[Prénom])),FALSE),"")</f>
        <v/>
      </c>
      <c r="I237" s="282" t="e">
        <f>VLOOKUP(T_Convention[[#This Row],[NumL]],T_suiviDi[#Data],COLUMN((T_suiviDi[[#This Row],[Email]])),FALSE)</f>
        <v>#VALUE!</v>
      </c>
      <c r="J237" s="282" t="e">
        <f>IF(VLOOKUP(T_Convention[[#This Row],[NumL]],T_suiviDi[#Data],COLUMN(T_suiviDi[[#This Row],[Fonction]]),FALSE)="","",VLOOKUP(T_Convention[[#This Row],[NumL]],T_suiviDi[#Data],COLUMN(T_suiviDi[[#This Row],[Fonction]]),FALSE))</f>
        <v>#VALUE!</v>
      </c>
      <c r="K237" s="282" t="e">
        <f>IF(VLOOKUP(T_Convention[[#This Row],[NumL]],T_suiviDi[#Data],COLUMN(T_suiviDi[[#This Row],[Grade]]),FALSE)="","",VLOOKUP(T_Convention[[#This Row],[NumL]],T_suiviDi[#Data],COLUMN(T_suiviDi[[#This Row],[Grade]]),FALSE))</f>
        <v>#VALUE!</v>
      </c>
      <c r="L237" s="282" t="e">
        <f>IF(VLOOKUP(T_Convention[[#This Row],[NumL]],T_suiviDi[#Data],COLUMN(T_suiviDi[[#This Row],[Service ]]),FALSE)="","",VLOOKUP(T_Convention[[#This Row],[NumL]],T_suiviDi[#Data],COLUMN(T_suiviDi[[#This Row],[Service ]]),FALSE))</f>
        <v>#VALUE!</v>
      </c>
      <c r="M237" s="164" t="str">
        <f t="shared" si="16"/>
        <v>01 septembre 2021</v>
      </c>
      <c r="N237" s="164" t="str">
        <f t="shared" si="17"/>
        <v>30 novembre 2021</v>
      </c>
      <c r="O237" s="284" t="str">
        <f t="shared" si="18"/>
        <v>30 novembre 2021</v>
      </c>
      <c r="P237" s="282" t="e">
        <f>IF(VLOOKUP(T_Convention[[#This Row],[NumL]],T_TraitDi[#Data],COLUMN(T_TraitDi[M1]),FALSE)="","",VLOOKUP(T_Convention[[#This Row],[NumL]],T_TraitDi[#Data],COLUMN(T_TraitDi[M1]),FALSE))</f>
        <v>#N/A</v>
      </c>
      <c r="Q237" s="282" t="e">
        <f>IF(VLOOKUP(T_Convention[[#This Row],[NumL]],T_TraitDi[#Data],COLUMN(T_TraitDi[M2]),FALSE)="","",VLOOKUP(T_Convention[[#This Row],[NumL]],T_TraitDi[#Data],COLUMN(T_TraitDi[M2]),FALSE))</f>
        <v>#N/A</v>
      </c>
      <c r="R237" s="282" t="e">
        <f>IF(VLOOKUP(T_Convention[[#This Row],[NumL]],T_TraitDi[#Data],COLUMN(T_TraitDi[M3]),FALSE)="","",VLOOKUP(T_Convention[[#This Row],[NumL]],T_TraitDi[#Data],COLUMN(T_TraitDi[M3]),FALSE))</f>
        <v>#N/A</v>
      </c>
      <c r="S237" s="282" t="e">
        <f>IF(VLOOKUP(T_Convention[[#This Row],[NumL]],T_TraitDi[#Data],COLUMN(T_TraitDi[M4]),FALSE)="","",VLOOKUP(T_Convention[[#This Row],[NumL]],T_TraitDi[#Data],COLUMN(T_TraitDi[M4]),FALSE))</f>
        <v>#N/A</v>
      </c>
      <c r="T237" s="282" t="e">
        <f>IF(VLOOKUP(T_Convention[[#This Row],[NumL]],T_TraitDi[#Data],COLUMN(T_TraitDi[M5]),FALSE)="","",VLOOKUP(T_Convention[[#This Row],[NumL]],T_TraitDi[#Data],COLUMN(T_TraitDi[M5]),FALSE))</f>
        <v>#N/A</v>
      </c>
      <c r="U237" s="282" t="e">
        <f>IF(VLOOKUP(T_Convention[[#This Row],[NumL]],T_TraitDi[#Data],COLUMN(T_TraitDi[M6]),FALSE)="","",VLOOKUP(T_Convention[[#This Row],[NumL]],T_TraitDi[#Data],COLUMN(T_TraitDi[M6]),FALSE))</f>
        <v>#N/A</v>
      </c>
      <c r="V237" s="176" t="e">
        <f t="shared" si="19"/>
        <v>#N/A</v>
      </c>
      <c r="W237" s="284" t="str">
        <f>IFERROR(TEXT(VLOOKUP(T_Convention[[#This Row],[NumL]],T_TraitDi[#Data],COLUMN(T_TraitDi[Q2]),FALSE),"###%"),"")</f>
        <v/>
      </c>
      <c r="X237" s="97" t="e">
        <f>VLOOKUP(T_Convention[[#This Row],[NumL]],T_TraitDi[#Data],COLUMN(T_TraitDi[Reg Ponct]),FALSE)</f>
        <v>#N/A</v>
      </c>
      <c r="Y237" s="97" t="e">
        <f>VLOOKUP(T_Convention[NumL],T_TraitDi[#Data],COLUMN(T_TraitDi[Jours flottants]),FALSE)</f>
        <v>#N/A</v>
      </c>
      <c r="Z237" s="284" t="str">
        <f>IFERROR(VLOOKUP(T_Convention[[#This Row],[NumL]],T_TraitDi[#Data],COLUMN(T_TraitDi[Lundi]),FALSE),"")</f>
        <v/>
      </c>
      <c r="AA237" s="284" t="e">
        <f>IF(VLOOKUP(T_Convention[[#This Row],[NumL]],T_TraitDi[#Data],COLUMN(T_TraitDi[Colonne3]),FALSE)=0,"",TEXT(IFERROR(VLOOKUP(T_Convention[[#This Row],[NumL]],T_TraitDi[#Data],COLUMN(T_TraitDi[Colonne3]),FALSE),""),"[hh]:mm"))</f>
        <v>#N/A</v>
      </c>
      <c r="AB237" s="284" t="e">
        <f>IF(VLOOKUP(T_Convention[[#This Row],[NumL]],T_TraitDi[#Data],COLUMN(T_TraitDi[Colonne4]),FALSE)=0,"",TEXT(IFERROR(VLOOKUP(T_Convention[[#This Row],[NumL]],T_TraitDi[#Data],COLUMN(T_TraitDi[Colonne4]),FALSE),""),"[hh]:mm"))</f>
        <v>#N/A</v>
      </c>
      <c r="AC237" s="284" t="e">
        <f>IF(VLOOKUP(T_Convention[[#This Row],[NumL]],T_TraitDi[#Data],COLUMN(T_TraitDi[Colonne5]),FALSE)=0,"",TEXT(IFERROR(VLOOKUP(T_Convention[[#This Row],[NumL]],T_TraitDi[#Data],COLUMN(T_TraitDi[Colonne5]),FALSE),""),"[hh]:mm"))</f>
        <v>#N/A</v>
      </c>
      <c r="AD237" s="284" t="e">
        <f>IF(VLOOKUP(T_Convention[[#This Row],[NumL]],T_TraitDi[#Data],COLUMN(T_TraitDi[Colonne6]),FALSE)=0,"",TEXT(IFERROR(VLOOKUP(T_Convention[[#This Row],[NumL]],T_TraitDi[#Data],COLUMN(T_TraitDi[Colonne6]),FALSE),""),"[hh]:mm"))</f>
        <v>#N/A</v>
      </c>
      <c r="AE237" s="284" t="e">
        <f>IF(VLOOKUP(T_Convention[[#This Row],[NumL]],T_TraitDi[#Data],COLUMN(T_TraitDi[Colonne7]),FALSE)=0,"",TEXT(IFERROR(VLOOKUP(T_Convention[[#This Row],[NumL]],T_TraitDi[#Data],COLUMN(T_TraitDi[Colonne7]),FALSE),""),"[hh]:mm"))</f>
        <v>#N/A</v>
      </c>
      <c r="AF237" s="284" t="e">
        <f>IF(VLOOKUP(T_Convention[[#This Row],[NumL]],T_TraitDi[#Data],COLUMN(T_TraitDi[Colonne8]),FALSE)=0,"",TEXT(IFERROR(VLOOKUP(T_Convention[[#This Row],[NumL]],T_TraitDi[#Data],COLUMN(T_TraitDi[Colonne8]),FALSE),""),"[hh]:mm"))</f>
        <v>#N/A</v>
      </c>
      <c r="AG237" s="284" t="str">
        <f>IFERROR(VLOOKUP(T_Convention[[#This Row],[NumL]],T_TraitDi[#Data],COLUMN(T_TraitDi[Mardi]),FALSE),"")</f>
        <v/>
      </c>
      <c r="AH237" s="284" t="e">
        <f>IF(VLOOKUP(T_Convention[[#This Row],[NumL]],T_TraitDi[#Data],COLUMN(T_TraitDi[Colonne1]),FALSE)=0,"",TEXT(IFERROR(VLOOKUP(T_Convention[[#This Row],[NumL]],T_TraitDi[#Data],COLUMN(T_TraitDi[Colonne1]),FALSE),""),"[hh]:mm"))</f>
        <v>#N/A</v>
      </c>
      <c r="AI237" s="284" t="e">
        <f>IF(VLOOKUP(T_Convention[[#This Row],[NumL]],T_TraitDi[#Data],COLUMN(T_TraitDi[Colonne9]),FALSE)=0,"",TEXT(IFERROR(VLOOKUP(T_Convention[[#This Row],[NumL]],T_TraitDi[#Data],COLUMN(T_TraitDi[Colonne9]),FALSE),""),"[hh]:mm"))</f>
        <v>#N/A</v>
      </c>
      <c r="AJ237" s="284" t="str">
        <f>IFERROR(VLOOKUP(T_Convention[[#This Row],[NumL]],T_TraitDi[#Data],COLUMN(T_TraitDi[Colonne10]),FALSE),"")</f>
        <v/>
      </c>
      <c r="AK237" s="284" t="e">
        <f>IF(VLOOKUP(T_Convention[[#This Row],[NumL]],T_TraitDi[#Data],COLUMN(T_TraitDi[Colonne11]),FALSE)=0,"",TEXT(IFERROR(VLOOKUP(T_Convention[[#This Row],[NumL]],T_TraitDi[#Data],COLUMN(T_TraitDi[Colonne11]),FALSE),""),"[hh]:mm"))</f>
        <v>#N/A</v>
      </c>
      <c r="AL237" s="284" t="e">
        <f>IF(VLOOKUP(T_Convention[[#This Row],[NumL]],T_TraitDi[#Data],COLUMN(T_TraitDi[Colonne12]),FALSE)=0,"",TEXT(IFERROR(VLOOKUP(T_Convention[[#This Row],[NumL]],T_TraitDi[#Data],COLUMN(T_TraitDi[Colonne12]),FALSE),""),"[hh]:mm"))</f>
        <v>#N/A</v>
      </c>
      <c r="AM237" s="284" t="e">
        <f>IF(VLOOKUP(T_Convention[[#This Row],[NumL]],T_TraitDi[#Data],COLUMN(T_TraitDi[Colonne14]),FALSE)=0,"",TEXT(IFERROR(VLOOKUP(T_Convention[[#This Row],[NumL]],T_TraitDi[#Data],COLUMN(T_TraitDi[Colonne14]),FALSE),""),"[hh]:mm"))</f>
        <v>#N/A</v>
      </c>
      <c r="AN237" s="284" t="str">
        <f>IFERROR(VLOOKUP(T_Convention[[#This Row],[NumL]],T_TraitDi[#Data],COLUMN(T_TraitDi[Mercredi]),FALSE),"")</f>
        <v/>
      </c>
      <c r="AO237" s="284" t="e">
        <f>IF(VLOOKUP(T_Convention[[#This Row],[NumL]],T_TraitDi[#Data],COLUMN(T_TraitDi[Colonne15]),FALSE)=0,"",TEXT(IFERROR(VLOOKUP(T_Convention[[#This Row],[NumL]],T_TraitDi[#Data],COLUMN(T_TraitDi[Colonne15]),FALSE),""),"[hh]:mm"))</f>
        <v>#N/A</v>
      </c>
      <c r="AP237" s="284" t="e">
        <f>IF(VLOOKUP(T_Convention[[#This Row],[NumL]],T_TraitDi[#Data],COLUMN(T_TraitDi[Colonne16]),FALSE)=0,"",TEXT(IFERROR(VLOOKUP(T_Convention[[#This Row],[NumL]],T_TraitDi[#Data],COLUMN(T_TraitDi[Colonne16]),FALSE),""),"[hh]:mm"))</f>
        <v>#N/A</v>
      </c>
      <c r="AQ237" s="284" t="str">
        <f>IFERROR(VLOOKUP(T_Convention[[#This Row],[NumL]],T_TraitDi[#Data],COLUMN(T_TraitDi[Colonne17]),FALSE),"")</f>
        <v/>
      </c>
      <c r="AR237" s="284" t="e">
        <f>IF(VLOOKUP(T_Convention[[#This Row],[NumL]],T_TraitDi[#Data],COLUMN(T_TraitDi[Colonne18]),FALSE)=0,"",TEXT(IFERROR(VLOOKUP(T_Convention[[#This Row],[NumL]],T_TraitDi[#Data],COLUMN(T_TraitDi[Colonne18]),FALSE),""),"[hh]:mm"))</f>
        <v>#N/A</v>
      </c>
      <c r="AS237" s="284" t="e">
        <f>IF(VLOOKUP(T_Convention[[#This Row],[NumL]],T_TraitDi[#Data],COLUMN(T_TraitDi[Colonne19]),FALSE)=0,"",TEXT(IFERROR(VLOOKUP(T_Convention[[#This Row],[NumL]],T_TraitDi[#Data],COLUMN(T_TraitDi[Colonne19]),FALSE),""),"[hh]:mm"))</f>
        <v>#N/A</v>
      </c>
      <c r="AT237" s="284" t="e">
        <f>IF(VLOOKUP(T_Convention[[#This Row],[NumL]],T_TraitDi[#Data],COLUMN(T_TraitDi[Colonne20]),FALSE)=0,"",TEXT(IFERROR(VLOOKUP(T_Convention[[#This Row],[NumL]],T_TraitDi[#Data],COLUMN(T_TraitDi[Colonne20]),FALSE),""),"[hh]:mm"))</f>
        <v>#N/A</v>
      </c>
      <c r="AU237" s="284" t="str">
        <f>IFERROR(VLOOKUP(T_Convention[[#This Row],[NumL]],T_TraitDi[#Data],COLUMN(T_TraitDi[Jeudi]),FALSE),"")</f>
        <v/>
      </c>
      <c r="AV237" s="284" t="e">
        <f>IF(VLOOKUP(T_Convention[[#This Row],[NumL]],T_TraitDi[#Data],COLUMN(T_TraitDi[Colonne21]),FALSE)=0,"",TEXT(IFERROR(VLOOKUP(T_Convention[[#This Row],[NumL]],T_TraitDi[#Data],COLUMN(T_TraitDi[Colonne21]),FALSE),""),"[hh]:mm"))</f>
        <v>#N/A</v>
      </c>
      <c r="AW237" s="284" t="e">
        <f>IF(VLOOKUP(T_Convention[[#This Row],[NumL]],T_TraitDi[#Data],COLUMN(T_TraitDi[Colonne22]),FALSE)=0,"",TEXT(IFERROR(VLOOKUP(T_Convention[[#This Row],[NumL]],T_TraitDi[#Data],COLUMN(T_TraitDi[Colonne22]),FALSE),""),"[hh]:mm"))</f>
        <v>#N/A</v>
      </c>
      <c r="AX237" s="284" t="str">
        <f>IFERROR(VLOOKUP(T_Convention[[#This Row],[NumL]],T_TraitDi[#Data],COLUMN(T_TraitDi[Colonne23]),FALSE),"")</f>
        <v/>
      </c>
      <c r="AY237" s="284" t="e">
        <f>IF(VLOOKUP(T_Convention[[#This Row],[NumL]],T_TraitDi[#Data],COLUMN(T_TraitDi[Colonne24]),FALSE)=0,"",TEXT(IFERROR(VLOOKUP(T_Convention[[#This Row],[NumL]],T_TraitDi[#Data],COLUMN(T_TraitDi[Colonne24]),FALSE),""),"[hh]:mm"))</f>
        <v>#N/A</v>
      </c>
      <c r="AZ237" s="284" t="e">
        <f>IF(VLOOKUP(T_Convention[[#This Row],[NumL]],T_TraitDi[#Data],COLUMN(T_TraitDi[Colonne25]),FALSE)=0,"",TEXT(IFERROR(VLOOKUP(T_Convention[[#This Row],[NumL]],T_TraitDi[#Data],COLUMN(T_TraitDi[Colonne25]),FALSE),""),"[hh]:mm"))</f>
        <v>#N/A</v>
      </c>
      <c r="BA237" s="284" t="e">
        <f>IF(VLOOKUP(T_Convention[[#This Row],[NumL]],T_TraitDi[#Data],COLUMN(T_TraitDi[Colonne26]),FALSE)=0,"",TEXT(IFERROR(VLOOKUP(T_Convention[[#This Row],[NumL]],T_TraitDi[#Data],COLUMN(T_TraitDi[Colonne26]),FALSE),""),"[hh]:mm"))</f>
        <v>#N/A</v>
      </c>
      <c r="BB237" s="284" t="str">
        <f>IFERROR(VLOOKUP(T_Convention[[#This Row],[NumL]],T_TraitDi[#Data],COLUMN(T_TraitDi[Vendredi]),FALSE),"")</f>
        <v/>
      </c>
      <c r="BC237" s="284" t="e">
        <f>IF(VLOOKUP(T_Convention[[#This Row],[NumL]],T_TraitDi[#Data],COLUMN(T_TraitDi[Colonne27]),FALSE)=0,"",TEXT(IFERROR(VLOOKUP(T_Convention[[#This Row],[NumL]],T_TraitDi[#Data],COLUMN(T_TraitDi[Colonne27]),FALSE),""),"[hh]:mm"))</f>
        <v>#N/A</v>
      </c>
      <c r="BD237" s="284" t="e">
        <f>IF(VLOOKUP(T_Convention[[#This Row],[NumL]],T_TraitDi[#Data],COLUMN(T_TraitDi[Colonne28]),FALSE)=0,"",TEXT(IFERROR(VLOOKUP(T_Convention[[#This Row],[NumL]],T_TraitDi[#Data],COLUMN(T_TraitDi[Colonne28]),FALSE),""),"[hh]:mm"))</f>
        <v>#N/A</v>
      </c>
      <c r="BE237" s="284" t="str">
        <f>IFERROR(VLOOKUP(T_Convention[[#This Row],[NumL]],T_TraitDi[#Data],COLUMN(T_TraitDi[Colonne29]),FALSE),"")</f>
        <v/>
      </c>
      <c r="BF237" s="284" t="e">
        <f>IF(VLOOKUP(T_Convention[[#This Row],[NumL]],T_TraitDi[#Data],COLUMN(T_TraitDi[Colonne30]),FALSE)=0,"",TEXT(IFERROR(VLOOKUP(T_Convention[[#This Row],[NumL]],T_TraitDi[#Data],COLUMN(T_TraitDi[Colonne30]),FALSE),""),"[hh]:mm"))</f>
        <v>#N/A</v>
      </c>
      <c r="BG237" s="284" t="e">
        <f>IF(VLOOKUP(T_Convention[[#This Row],[NumL]],T_TraitDi[#Data],COLUMN(T_TraitDi[Colonne31]),FALSE)=0,"",TEXT(IFERROR(VLOOKUP(T_Convention[[#This Row],[NumL]],T_TraitDi[#Data],COLUMN(T_TraitDi[Colonne31]),FALSE),""),"[hh]:mm"))</f>
        <v>#N/A</v>
      </c>
      <c r="BH237" s="284" t="e">
        <f>IF(VLOOKUP(T_Convention[[#This Row],[NumL]],T_TraitDi[#Data],COLUMN(T_TraitDi[Colonne32]),FALSE)=0,"",TEXT(IFERROR(VLOOKUP(T_Convention[[#This Row],[NumL]],T_TraitDi[#Data],COLUMN(T_TraitDi[Colonne32]),FALSE),""),"[hh]:mm"))</f>
        <v>#N/A</v>
      </c>
      <c r="BI237" s="284" t="str">
        <f>IFERROR(VLOOKUP(T_Convention[[#This Row],[NumL]],T_TraitDi[#Data],COLUMN(T_TraitDi[NbJTW]),FALSE),"")</f>
        <v/>
      </c>
      <c r="BJ237" s="284" t="e">
        <f>IF(VLOOKUP(T_Convention[[#This Row],[NumL]],T_TraitDi[#Data],COLUMN(T_TraitDi[NbhTW]),FALSE)=0,"",TEXT(IFERROR(VLOOKUP(T_Convention[[#This Row],[NumL]],T_TraitDi[#Data],COLUMN(T_TraitDi[NbhTW]),FALSE),""),"[hh]:mm"))</f>
        <v>#N/A</v>
      </c>
      <c r="BK237" s="286" t="e">
        <f>IF(VLOOKUP(T_Convention[[#This Row],[NumL]],T_TraitDi[#Data],COLUMN(T_TraitDi[Nbhheb]),FALSE)=0,"",TEXT(IFERROR(VLOOKUP(T_Convention[[#This Row],[NumL]],T_TraitDi[#Data],COLUMN(T_TraitDi[Nbhheb]),FALSE),""),"[hh]:mm"))</f>
        <v>#N/A</v>
      </c>
      <c r="BL237" s="287" t="str">
        <f>IFERROR(VLOOKUP(VLOOKUP(T_Convention[[#This Row],[NumL]],T_TraitDi[#Data],COLUMN(T_TraitDi[Type1]),FALSE),TypeTW,2,FALSE),"")</f>
        <v/>
      </c>
      <c r="BM237" s="288" t="str">
        <f>IFERROR(VLOOKUP(T_Convention[[#This Row],[NumL]],T_TraitDi[#Data],COLUMN(T_TraitDi[Rue1]),FALSE),"")</f>
        <v/>
      </c>
      <c r="BN237" s="289" t="str">
        <f>IFERROR(VLOOKUP(T_Convention[[#This Row],[NumL]],T_TraitDi[#Data],COLUMN(T_TraitDi[CP1]),FALSE),"")</f>
        <v/>
      </c>
      <c r="BO237" s="282" t="str">
        <f>IFERROR(VLOOKUP(T_Convention[[#This Row],[NumL]],T_TraitDi[#Data],COLUMN(T_TraitDi[VILLE1]),FALSE),"")</f>
        <v/>
      </c>
      <c r="BP237" s="290" t="str">
        <f>IFERROR(VLOOKUP(VLOOKUP(T_Convention[[#This Row],[NumL]],T_TraitDi[#Data],COLUMN(T_TraitDi[Type2]),FALSE),TypeTW,2,FALSE),"")</f>
        <v/>
      </c>
      <c r="BQ237" s="182" t="str">
        <f>IFERROR(VLOOKUP(T_Convention[[#This Row],[NumL]],T_TraitDi[#Data],COLUMN(T_TraitDi[Rue2]),FALSE),"")</f>
        <v/>
      </c>
      <c r="BR237" s="173" t="str">
        <f>IFERROR(VLOOKUP(T_Convention[[#This Row],[NumL]],T_TraitDi[#Data],COLUMN(T_TraitDi[CP2]),FALSE),"")</f>
        <v/>
      </c>
      <c r="BS237" s="173" t="str">
        <f>IFERROR(VLOOKUP(T_Convention[[#This Row],[NumL]],T_TraitDi[#Data],COLUMN(T_TraitDi[VILLE2]),FALSE),"")</f>
        <v/>
      </c>
      <c r="BT237" s="182" t="str">
        <f>IF(VLOOKUP(T_Convention[[#This Row],[NumL]],T_Equipement[#Data],COLUMN(T_Equipement[PC]),FALSE)="","Aucun équipement spécifique directement lié au télétravail",VLOOKUP(T_Convention[[#This Row],[NumL]],T_Equipement[#Data],COLUMN(T_Equipement[PC]),FALSE))</f>
        <v>20-3078</v>
      </c>
      <c r="BU237" s="166" t="str">
        <f>IFERROR(IF(VLOOKUP(T_Convention[[#This Row],[NumL]],T_TraitDi[#Data],COLUMN(T_TraitDi[Plan]),FALSE)="OK","Un planning spécifique de télétravail est annexé à la présente convention.",""),"")</f>
        <v/>
      </c>
      <c r="BV237" s="185" t="s">
        <v>3418</v>
      </c>
      <c r="BW237" s="164" t="e">
        <f>IF(VLOOKUP(T_Convention[[#This Row],[NumL]],T_suiviDi[#Data],COLUMN(T_suiviDi[Entité]),FALSE)="","",VLOOKUP(T_Convention[[#This Row],[NumL]],T_suiviDi[#Data],COLUMN(T_suiviDi[Entité]),FALSE))</f>
        <v>#N/A</v>
      </c>
      <c r="BX237" s="164" t="str">
        <f>IF(VLOOKUP(T_Convention[[#This Row],[NumL]],T_Commission[#Data],COLUMN(T_Commission[envoi confirm TW]),FALSE)="","",VLOOKUP(T_Convention[[#This Row],[NumL]],T_Commission[#Data],COLUMN(T_Commission[envoi confirm TW]),FALSE))</f>
        <v>Oui</v>
      </c>
      <c r="BY23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7" s="264">
        <f>VLOOKUP(T_Convention[[#This Row],[NumL]],T_Commission[#Data],COLUMN(T_Commission[Commentaire]),FALSE)</f>
        <v>0</v>
      </c>
      <c r="CA237" s="254" t="str">
        <f>IF(VLOOKUP(T_Convention[[#This Row],[NumL]],T_Commission[#Data],COLUMN(T_Commission[Encadrant Email]),FALSE)="","",VLOOKUP(T_Convention[[#This Row],[NumL]],T_Commission[#Data],COLUMN(T_Commission[Encadrant Email]),FALSE))</f>
        <v/>
      </c>
      <c r="CB237" s="353" t="e">
        <f>VLOOKUP(T_Convention[[#This Row],[NumL]],T_TraitDi[#Data],COLUMN(T_TraitDi[NbJTot]),FALSE)</f>
        <v>#N/A</v>
      </c>
      <c r="CC237" s="353" t="e">
        <f>VLOOKUP(T_Convention[[#This Row],[NumL]],T_TraitDi[#Data],COLUMN(T_TraitDi[Reg Ponct]),FALSE)</f>
        <v>#N/A</v>
      </c>
      <c r="CD237" s="348" t="str">
        <f>IF(T_Convention[[#This Row],[Final]]&lt;&gt;"",VLOOKUP(T_Convention[[#This Row],[NumL]],T_suiviDi[#Data],COLUMN((T_suiviDi[Statut])),FALSE),"")</f>
        <v/>
      </c>
    </row>
    <row r="238" spans="1:82" s="106" customFormat="1" ht="18.75" customHeight="1" x14ac:dyDescent="0.25">
      <c r="A238" s="160">
        <v>106</v>
      </c>
      <c r="B238" s="161" t="str">
        <f>VLOOKUP(T_Convention[[#This Row],[NumL]],T_Commission[#Data],COLUMN(T_Commission[FINAL]),FALSE)</f>
        <v/>
      </c>
      <c r="C238" s="162"/>
      <c r="D238" s="95" t="e">
        <f>IF(VLOOKUP(T_Convention[[#This Row],[NumL]],T_TraitDi[#Data],COLUMN(T_TraitDi[WebC]),FALSE)="","",VLOOKUP(T_Convention[[#This Row],[NumL]],T_TraitDi[#Data],COLUMN(T_TraitDi[WebC]),FALSE))</f>
        <v>#N/A</v>
      </c>
      <c r="E238" s="163" t="str">
        <f t="shared" si="15"/>
        <v>12 janvier 2021</v>
      </c>
      <c r="F238" s="282" t="str">
        <f>IF(T_Convention[[#This Row],[Final]]&lt;&gt;"",VLOOKUP(T_Convention[[#This Row],[NumL]],T_suiviDi[#Data],COLUMN((T_suiviDi[Civ.])),FALSE),"")</f>
        <v/>
      </c>
      <c r="G238" s="283" t="str">
        <f>IF(T_Convention[[#This Row],[Final]]&lt;&gt;"",VLOOKUP(T_Convention[[#This Row],[NumL]],T_suiviDi[#Data],COLUMN((T_suiviDi[Nom])),FALSE),"")</f>
        <v/>
      </c>
      <c r="H238" s="282" t="str">
        <f>IF(T_Convention[[#This Row],[Final]]&lt;&gt;"",VLOOKUP(T_Convention[[#This Row],[NumL]],T_suiviDi[#Data],COLUMN((T_suiviDi[Prénom])),FALSE),"")</f>
        <v/>
      </c>
      <c r="I238" s="282" t="e">
        <f>VLOOKUP(T_Convention[[#This Row],[NumL]],T_suiviDi[#Data],COLUMN((T_suiviDi[[#This Row],[Email]])),FALSE)</f>
        <v>#VALUE!</v>
      </c>
      <c r="J238" s="282" t="e">
        <f>IF(VLOOKUP(T_Convention[[#This Row],[NumL]],T_suiviDi[#Data],COLUMN(T_suiviDi[[#This Row],[Fonction]]),FALSE)="","",VLOOKUP(T_Convention[[#This Row],[NumL]],T_suiviDi[#Data],COLUMN(T_suiviDi[[#This Row],[Fonction]]),FALSE))</f>
        <v>#VALUE!</v>
      </c>
      <c r="K238" s="282" t="e">
        <f>IF(VLOOKUP(T_Convention[[#This Row],[NumL]],T_suiviDi[#Data],COLUMN(T_suiviDi[[#This Row],[Grade]]),FALSE)="","",VLOOKUP(T_Convention[[#This Row],[NumL]],T_suiviDi[#Data],COLUMN(T_suiviDi[[#This Row],[Grade]]),FALSE))</f>
        <v>#VALUE!</v>
      </c>
      <c r="L238" s="282" t="e">
        <f>IF(VLOOKUP(T_Convention[[#This Row],[NumL]],T_suiviDi[#Data],COLUMN(T_suiviDi[[#This Row],[Service ]]),FALSE)="","",VLOOKUP(T_Convention[[#This Row],[NumL]],T_suiviDi[#Data],COLUMN(T_suiviDi[[#This Row],[Service ]]),FALSE))</f>
        <v>#VALUE!</v>
      </c>
      <c r="M238" s="164" t="str">
        <f t="shared" si="16"/>
        <v>01 septembre 2021</v>
      </c>
      <c r="N238" s="164" t="str">
        <f t="shared" si="17"/>
        <v>30 novembre 2021</v>
      </c>
      <c r="O238" s="284" t="str">
        <f t="shared" si="18"/>
        <v>30 novembre 2021</v>
      </c>
      <c r="P238" s="282" t="e">
        <f>IF(VLOOKUP(T_Convention[[#This Row],[NumL]],T_TraitDi[#Data],COLUMN(T_TraitDi[M1]),FALSE)="","",VLOOKUP(T_Convention[[#This Row],[NumL]],T_TraitDi[#Data],COLUMN(T_TraitDi[M1]),FALSE))</f>
        <v>#N/A</v>
      </c>
      <c r="Q238" s="282" t="e">
        <f>IF(VLOOKUP(T_Convention[[#This Row],[NumL]],T_TraitDi[#Data],COLUMN(T_TraitDi[M2]),FALSE)="","",VLOOKUP(T_Convention[[#This Row],[NumL]],T_TraitDi[#Data],COLUMN(T_TraitDi[M2]),FALSE))</f>
        <v>#N/A</v>
      </c>
      <c r="R238" s="282" t="e">
        <f>IF(VLOOKUP(T_Convention[[#This Row],[NumL]],T_TraitDi[#Data],COLUMN(T_TraitDi[M3]),FALSE)="","",VLOOKUP(T_Convention[[#This Row],[NumL]],T_TraitDi[#Data],COLUMN(T_TraitDi[M3]),FALSE))</f>
        <v>#N/A</v>
      </c>
      <c r="S238" s="282" t="e">
        <f>IF(VLOOKUP(T_Convention[[#This Row],[NumL]],T_TraitDi[#Data],COLUMN(T_TraitDi[M4]),FALSE)="","",VLOOKUP(T_Convention[[#This Row],[NumL]],T_TraitDi[#Data],COLUMN(T_TraitDi[M4]),FALSE))</f>
        <v>#N/A</v>
      </c>
      <c r="T238" s="282" t="e">
        <f>IF(VLOOKUP(T_Convention[[#This Row],[NumL]],T_TraitDi[#Data],COLUMN(T_TraitDi[M5]),FALSE)="","",VLOOKUP(T_Convention[[#This Row],[NumL]],T_TraitDi[#Data],COLUMN(T_TraitDi[M5]),FALSE))</f>
        <v>#N/A</v>
      </c>
      <c r="U238" s="282" t="e">
        <f>IF(VLOOKUP(T_Convention[[#This Row],[NumL]],T_TraitDi[#Data],COLUMN(T_TraitDi[M6]),FALSE)="","",VLOOKUP(T_Convention[[#This Row],[NumL]],T_TraitDi[#Data],COLUMN(T_TraitDi[M6]),FALSE))</f>
        <v>#N/A</v>
      </c>
      <c r="V238" s="176" t="e">
        <f t="shared" si="19"/>
        <v>#N/A</v>
      </c>
      <c r="W238" s="284" t="str">
        <f>IFERROR(TEXT(VLOOKUP(T_Convention[[#This Row],[NumL]],T_TraitDi[#Data],COLUMN(T_TraitDi[Q2]),FALSE),"###%"),"")</f>
        <v/>
      </c>
      <c r="X238" s="97" t="e">
        <f>VLOOKUP(T_Convention[[#This Row],[NumL]],T_TraitDi[#Data],COLUMN(T_TraitDi[Reg Ponct]),FALSE)</f>
        <v>#N/A</v>
      </c>
      <c r="Y238" s="97" t="e">
        <f>VLOOKUP(T_Convention[NumL],T_TraitDi[#Data],COLUMN(T_TraitDi[Jours flottants]),FALSE)</f>
        <v>#N/A</v>
      </c>
      <c r="Z238" s="284" t="str">
        <f>IFERROR(VLOOKUP(T_Convention[[#This Row],[NumL]],T_TraitDi[#Data],COLUMN(T_TraitDi[Lundi]),FALSE),"")</f>
        <v/>
      </c>
      <c r="AA238" s="284" t="e">
        <f>IF(VLOOKUP(T_Convention[[#This Row],[NumL]],T_TraitDi[#Data],COLUMN(T_TraitDi[Colonne3]),FALSE)=0,"",TEXT(IFERROR(VLOOKUP(T_Convention[[#This Row],[NumL]],T_TraitDi[#Data],COLUMN(T_TraitDi[Colonne3]),FALSE),""),"[hh]:mm"))</f>
        <v>#N/A</v>
      </c>
      <c r="AB238" s="284" t="e">
        <f>IF(VLOOKUP(T_Convention[[#This Row],[NumL]],T_TraitDi[#Data],COLUMN(T_TraitDi[Colonne4]),FALSE)=0,"",TEXT(IFERROR(VLOOKUP(T_Convention[[#This Row],[NumL]],T_TraitDi[#Data],COLUMN(T_TraitDi[Colonne4]),FALSE),""),"[hh]:mm"))</f>
        <v>#N/A</v>
      </c>
      <c r="AC238" s="284" t="e">
        <f>IF(VLOOKUP(T_Convention[[#This Row],[NumL]],T_TraitDi[#Data],COLUMN(T_TraitDi[Colonne5]),FALSE)=0,"",TEXT(IFERROR(VLOOKUP(T_Convention[[#This Row],[NumL]],T_TraitDi[#Data],COLUMN(T_TraitDi[Colonne5]),FALSE),""),"[hh]:mm"))</f>
        <v>#N/A</v>
      </c>
      <c r="AD238" s="284" t="e">
        <f>IF(VLOOKUP(T_Convention[[#This Row],[NumL]],T_TraitDi[#Data],COLUMN(T_TraitDi[Colonne6]),FALSE)=0,"",TEXT(IFERROR(VLOOKUP(T_Convention[[#This Row],[NumL]],T_TraitDi[#Data],COLUMN(T_TraitDi[Colonne6]),FALSE),""),"[hh]:mm"))</f>
        <v>#N/A</v>
      </c>
      <c r="AE238" s="284" t="e">
        <f>IF(VLOOKUP(T_Convention[[#This Row],[NumL]],T_TraitDi[#Data],COLUMN(T_TraitDi[Colonne7]),FALSE)=0,"",TEXT(IFERROR(VLOOKUP(T_Convention[[#This Row],[NumL]],T_TraitDi[#Data],COLUMN(T_TraitDi[Colonne7]),FALSE),""),"[hh]:mm"))</f>
        <v>#N/A</v>
      </c>
      <c r="AF238" s="284" t="e">
        <f>IF(VLOOKUP(T_Convention[[#This Row],[NumL]],T_TraitDi[#Data],COLUMN(T_TraitDi[Colonne8]),FALSE)=0,"",TEXT(IFERROR(VLOOKUP(T_Convention[[#This Row],[NumL]],T_TraitDi[#Data],COLUMN(T_TraitDi[Colonne8]),FALSE),""),"[hh]:mm"))</f>
        <v>#N/A</v>
      </c>
      <c r="AG238" s="284" t="str">
        <f>IFERROR(VLOOKUP(T_Convention[[#This Row],[NumL]],T_TraitDi[#Data],COLUMN(T_TraitDi[Mardi]),FALSE),"")</f>
        <v/>
      </c>
      <c r="AH238" s="284" t="e">
        <f>IF(VLOOKUP(T_Convention[[#This Row],[NumL]],T_TraitDi[#Data],COLUMN(T_TraitDi[Colonne1]),FALSE)=0,"",TEXT(IFERROR(VLOOKUP(T_Convention[[#This Row],[NumL]],T_TraitDi[#Data],COLUMN(T_TraitDi[Colonne1]),FALSE),""),"[hh]:mm"))</f>
        <v>#N/A</v>
      </c>
      <c r="AI238" s="284" t="e">
        <f>IF(VLOOKUP(T_Convention[[#This Row],[NumL]],T_TraitDi[#Data],COLUMN(T_TraitDi[Colonne9]),FALSE)=0,"",TEXT(IFERROR(VLOOKUP(T_Convention[[#This Row],[NumL]],T_TraitDi[#Data],COLUMN(T_TraitDi[Colonne9]),FALSE),""),"[hh]:mm"))</f>
        <v>#N/A</v>
      </c>
      <c r="AJ238" s="284" t="str">
        <f>IFERROR(VLOOKUP(T_Convention[[#This Row],[NumL]],T_TraitDi[#Data],COLUMN(T_TraitDi[Colonne10]),FALSE),"")</f>
        <v/>
      </c>
      <c r="AK238" s="284" t="e">
        <f>IF(VLOOKUP(T_Convention[[#This Row],[NumL]],T_TraitDi[#Data],COLUMN(T_TraitDi[Colonne11]),FALSE)=0,"",TEXT(IFERROR(VLOOKUP(T_Convention[[#This Row],[NumL]],T_TraitDi[#Data],COLUMN(T_TraitDi[Colonne11]),FALSE),""),"[hh]:mm"))</f>
        <v>#N/A</v>
      </c>
      <c r="AL238" s="284" t="e">
        <f>IF(VLOOKUP(T_Convention[[#This Row],[NumL]],T_TraitDi[#Data],COLUMN(T_TraitDi[Colonne12]),FALSE)=0,"",TEXT(IFERROR(VLOOKUP(T_Convention[[#This Row],[NumL]],T_TraitDi[#Data],COLUMN(T_TraitDi[Colonne12]),FALSE),""),"[hh]:mm"))</f>
        <v>#N/A</v>
      </c>
      <c r="AM238" s="284" t="e">
        <f>IF(VLOOKUP(T_Convention[[#This Row],[NumL]],T_TraitDi[#Data],COLUMN(T_TraitDi[Colonne14]),FALSE)=0,"",TEXT(IFERROR(VLOOKUP(T_Convention[[#This Row],[NumL]],T_TraitDi[#Data],COLUMN(T_TraitDi[Colonne14]),FALSE),""),"[hh]:mm"))</f>
        <v>#N/A</v>
      </c>
      <c r="AN238" s="284" t="str">
        <f>IFERROR(VLOOKUP(T_Convention[[#This Row],[NumL]],T_TraitDi[#Data],COLUMN(T_TraitDi[Mercredi]),FALSE),"")</f>
        <v/>
      </c>
      <c r="AO238" s="284" t="e">
        <f>IF(VLOOKUP(T_Convention[[#This Row],[NumL]],T_TraitDi[#Data],COLUMN(T_TraitDi[Colonne15]),FALSE)=0,"",TEXT(IFERROR(VLOOKUP(T_Convention[[#This Row],[NumL]],T_TraitDi[#Data],COLUMN(T_TraitDi[Colonne15]),FALSE),""),"[hh]:mm"))</f>
        <v>#N/A</v>
      </c>
      <c r="AP238" s="284" t="e">
        <f>IF(VLOOKUP(T_Convention[[#This Row],[NumL]],T_TraitDi[#Data],COLUMN(T_TraitDi[Colonne16]),FALSE)=0,"",TEXT(IFERROR(VLOOKUP(T_Convention[[#This Row],[NumL]],T_TraitDi[#Data],COLUMN(T_TraitDi[Colonne16]),FALSE),""),"[hh]:mm"))</f>
        <v>#N/A</v>
      </c>
      <c r="AQ238" s="284" t="str">
        <f>IFERROR(VLOOKUP(T_Convention[[#This Row],[NumL]],T_TraitDi[#Data],COLUMN(T_TraitDi[Colonne17]),FALSE),"")</f>
        <v/>
      </c>
      <c r="AR238" s="284" t="e">
        <f>IF(VLOOKUP(T_Convention[[#This Row],[NumL]],T_TraitDi[#Data],COLUMN(T_TraitDi[Colonne18]),FALSE)=0,"",TEXT(IFERROR(VLOOKUP(T_Convention[[#This Row],[NumL]],T_TraitDi[#Data],COLUMN(T_TraitDi[Colonne18]),FALSE),""),"[hh]:mm"))</f>
        <v>#N/A</v>
      </c>
      <c r="AS238" s="284" t="e">
        <f>IF(VLOOKUP(T_Convention[[#This Row],[NumL]],T_TraitDi[#Data],COLUMN(T_TraitDi[Colonne19]),FALSE)=0,"",TEXT(IFERROR(VLOOKUP(T_Convention[[#This Row],[NumL]],T_TraitDi[#Data],COLUMN(T_TraitDi[Colonne19]),FALSE),""),"[hh]:mm"))</f>
        <v>#N/A</v>
      </c>
      <c r="AT238" s="284" t="e">
        <f>IF(VLOOKUP(T_Convention[[#This Row],[NumL]],T_TraitDi[#Data],COLUMN(T_TraitDi[Colonne20]),FALSE)=0,"",TEXT(IFERROR(VLOOKUP(T_Convention[[#This Row],[NumL]],T_TraitDi[#Data],COLUMN(T_TraitDi[Colonne20]),FALSE),""),"[hh]:mm"))</f>
        <v>#N/A</v>
      </c>
      <c r="AU238" s="284" t="str">
        <f>IFERROR(VLOOKUP(T_Convention[[#This Row],[NumL]],T_TraitDi[#Data],COLUMN(T_TraitDi[Jeudi]),FALSE),"")</f>
        <v/>
      </c>
      <c r="AV238" s="284" t="e">
        <f>IF(VLOOKUP(T_Convention[[#This Row],[NumL]],T_TraitDi[#Data],COLUMN(T_TraitDi[Colonne21]),FALSE)=0,"",TEXT(IFERROR(VLOOKUP(T_Convention[[#This Row],[NumL]],T_TraitDi[#Data],COLUMN(T_TraitDi[Colonne21]),FALSE),""),"[hh]:mm"))</f>
        <v>#N/A</v>
      </c>
      <c r="AW238" s="284" t="e">
        <f>IF(VLOOKUP(T_Convention[[#This Row],[NumL]],T_TraitDi[#Data],COLUMN(T_TraitDi[Colonne22]),FALSE)=0,"",TEXT(IFERROR(VLOOKUP(T_Convention[[#This Row],[NumL]],T_TraitDi[#Data],COLUMN(T_TraitDi[Colonne22]),FALSE),""),"[hh]:mm"))</f>
        <v>#N/A</v>
      </c>
      <c r="AX238" s="284" t="str">
        <f>IFERROR(VLOOKUP(T_Convention[[#This Row],[NumL]],T_TraitDi[#Data],COLUMN(T_TraitDi[Colonne23]),FALSE),"")</f>
        <v/>
      </c>
      <c r="AY238" s="284" t="e">
        <f>IF(VLOOKUP(T_Convention[[#This Row],[NumL]],T_TraitDi[#Data],COLUMN(T_TraitDi[Colonne24]),FALSE)=0,"",TEXT(IFERROR(VLOOKUP(T_Convention[[#This Row],[NumL]],T_TraitDi[#Data],COLUMN(T_TraitDi[Colonne24]),FALSE),""),"[hh]:mm"))</f>
        <v>#N/A</v>
      </c>
      <c r="AZ238" s="284" t="e">
        <f>IF(VLOOKUP(T_Convention[[#This Row],[NumL]],T_TraitDi[#Data],COLUMN(T_TraitDi[Colonne25]),FALSE)=0,"",TEXT(IFERROR(VLOOKUP(T_Convention[[#This Row],[NumL]],T_TraitDi[#Data],COLUMN(T_TraitDi[Colonne25]),FALSE),""),"[hh]:mm"))</f>
        <v>#N/A</v>
      </c>
      <c r="BA238" s="284" t="e">
        <f>IF(VLOOKUP(T_Convention[[#This Row],[NumL]],T_TraitDi[#Data],COLUMN(T_TraitDi[Colonne26]),FALSE)=0,"",TEXT(IFERROR(VLOOKUP(T_Convention[[#This Row],[NumL]],T_TraitDi[#Data],COLUMN(T_TraitDi[Colonne26]),FALSE),""),"[hh]:mm"))</f>
        <v>#N/A</v>
      </c>
      <c r="BB238" s="284" t="str">
        <f>IFERROR(VLOOKUP(T_Convention[[#This Row],[NumL]],T_TraitDi[#Data],COLUMN(T_TraitDi[Vendredi]),FALSE),"")</f>
        <v/>
      </c>
      <c r="BC238" s="284" t="e">
        <f>IF(VLOOKUP(T_Convention[[#This Row],[NumL]],T_TraitDi[#Data],COLUMN(T_TraitDi[Colonne27]),FALSE)=0,"",TEXT(IFERROR(VLOOKUP(T_Convention[[#This Row],[NumL]],T_TraitDi[#Data],COLUMN(T_TraitDi[Colonne27]),FALSE),""),"[hh]:mm"))</f>
        <v>#N/A</v>
      </c>
      <c r="BD238" s="284" t="e">
        <f>IF(VLOOKUP(T_Convention[[#This Row],[NumL]],T_TraitDi[#Data],COLUMN(T_TraitDi[Colonne28]),FALSE)=0,"",TEXT(IFERROR(VLOOKUP(T_Convention[[#This Row],[NumL]],T_TraitDi[#Data],COLUMN(T_TraitDi[Colonne28]),FALSE),""),"[hh]:mm"))</f>
        <v>#N/A</v>
      </c>
      <c r="BE238" s="284" t="str">
        <f>IFERROR(VLOOKUP(T_Convention[[#This Row],[NumL]],T_TraitDi[#Data],COLUMN(T_TraitDi[Colonne29]),FALSE),"")</f>
        <v/>
      </c>
      <c r="BF238" s="284" t="e">
        <f>IF(VLOOKUP(T_Convention[[#This Row],[NumL]],T_TraitDi[#Data],COLUMN(T_TraitDi[Colonne30]),FALSE)=0,"",TEXT(IFERROR(VLOOKUP(T_Convention[[#This Row],[NumL]],T_TraitDi[#Data],COLUMN(T_TraitDi[Colonne30]),FALSE),""),"[hh]:mm"))</f>
        <v>#N/A</v>
      </c>
      <c r="BG238" s="284" t="e">
        <f>IF(VLOOKUP(T_Convention[[#This Row],[NumL]],T_TraitDi[#Data],COLUMN(T_TraitDi[Colonne31]),FALSE)=0,"",TEXT(IFERROR(VLOOKUP(T_Convention[[#This Row],[NumL]],T_TraitDi[#Data],COLUMN(T_TraitDi[Colonne31]),FALSE),""),"[hh]:mm"))</f>
        <v>#N/A</v>
      </c>
      <c r="BH238" s="284" t="e">
        <f>IF(VLOOKUP(T_Convention[[#This Row],[NumL]],T_TraitDi[#Data],COLUMN(T_TraitDi[Colonne32]),FALSE)=0,"",TEXT(IFERROR(VLOOKUP(T_Convention[[#This Row],[NumL]],T_TraitDi[#Data],COLUMN(T_TraitDi[Colonne32]),FALSE),""),"[hh]:mm"))</f>
        <v>#N/A</v>
      </c>
      <c r="BI238" s="284" t="str">
        <f>IFERROR(VLOOKUP(T_Convention[[#This Row],[NumL]],T_TraitDi[#Data],COLUMN(T_TraitDi[NbJTW]),FALSE),"")</f>
        <v/>
      </c>
      <c r="BJ238" s="284" t="e">
        <f>IF(VLOOKUP(T_Convention[[#This Row],[NumL]],T_TraitDi[#Data],COLUMN(T_TraitDi[NbhTW]),FALSE)=0,"",TEXT(IFERROR(VLOOKUP(T_Convention[[#This Row],[NumL]],T_TraitDi[#Data],COLUMN(T_TraitDi[NbhTW]),FALSE),""),"[hh]:mm"))</f>
        <v>#N/A</v>
      </c>
      <c r="BK238" s="286" t="e">
        <f>IF(VLOOKUP(T_Convention[[#This Row],[NumL]],T_TraitDi[#Data],COLUMN(T_TraitDi[Nbhheb]),FALSE)=0,"",TEXT(IFERROR(VLOOKUP(T_Convention[[#This Row],[NumL]],T_TraitDi[#Data],COLUMN(T_TraitDi[Nbhheb]),FALSE),""),"[hh]:mm"))</f>
        <v>#N/A</v>
      </c>
      <c r="BL238" s="287" t="str">
        <f>IFERROR(VLOOKUP(VLOOKUP(T_Convention[[#This Row],[NumL]],T_TraitDi[#Data],COLUMN(T_TraitDi[Type1]),FALSE),TypeTW,2,FALSE),"")</f>
        <v/>
      </c>
      <c r="BM238" s="288" t="str">
        <f>IFERROR(VLOOKUP(T_Convention[[#This Row],[NumL]],T_TraitDi[#Data],COLUMN(T_TraitDi[Rue1]),FALSE),"")</f>
        <v/>
      </c>
      <c r="BN238" s="289" t="str">
        <f>IFERROR(VLOOKUP(T_Convention[[#This Row],[NumL]],T_TraitDi[#Data],COLUMN(T_TraitDi[CP1]),FALSE),"")</f>
        <v/>
      </c>
      <c r="BO238" s="282" t="str">
        <f>IFERROR(VLOOKUP(T_Convention[[#This Row],[NumL]],T_TraitDi[#Data],COLUMN(T_TraitDi[VILLE1]),FALSE),"")</f>
        <v/>
      </c>
      <c r="BP238" s="290" t="str">
        <f>IFERROR(VLOOKUP(VLOOKUP(T_Convention[[#This Row],[NumL]],T_TraitDi[#Data],COLUMN(T_TraitDi[Type2]),FALSE),TypeTW,2,FALSE),"")</f>
        <v/>
      </c>
      <c r="BQ238" s="182" t="str">
        <f>IFERROR(VLOOKUP(T_Convention[[#This Row],[NumL]],T_TraitDi[#Data],COLUMN(T_TraitDi[Rue2]),FALSE),"")</f>
        <v/>
      </c>
      <c r="BR238" s="173" t="str">
        <f>IFERROR(VLOOKUP(T_Convention[[#This Row],[NumL]],T_TraitDi[#Data],COLUMN(T_TraitDi[CP2]),FALSE),"")</f>
        <v/>
      </c>
      <c r="BS238" s="173" t="str">
        <f>IFERROR(VLOOKUP(T_Convention[[#This Row],[NumL]],T_TraitDi[#Data],COLUMN(T_TraitDi[VILLE2]),FALSE),"")</f>
        <v/>
      </c>
      <c r="BT238" s="182" t="str">
        <f>IF(VLOOKUP(T_Convention[[#This Row],[NumL]],T_Equipement[#Data],COLUMN(T_Equipement[PC]),FALSE)="","Aucun équipement spécifique directement lié au télétravail",VLOOKUP(T_Convention[[#This Row],[NumL]],T_Equipement[#Data],COLUMN(T_Equipement[PC]),FALSE))</f>
        <v xml:space="preserve">18-062	</v>
      </c>
      <c r="BU238" s="166" t="str">
        <f>IFERROR(IF(VLOOKUP(T_Convention[[#This Row],[NumL]],T_TraitDi[#Data],COLUMN(T_TraitDi[Plan]),FALSE)="OK","Un planning spécifique de télétravail est annexé à la présente convention.",""),"")</f>
        <v/>
      </c>
      <c r="BV238" s="185" t="s">
        <v>3380</v>
      </c>
      <c r="BW238" s="164" t="e">
        <f>IF(VLOOKUP(T_Convention[[#This Row],[NumL]],T_suiviDi[#Data],COLUMN(T_suiviDi[Entité]),FALSE)="","",VLOOKUP(T_Convention[[#This Row],[NumL]],T_suiviDi[#Data],COLUMN(T_suiviDi[Entité]),FALSE))</f>
        <v>#N/A</v>
      </c>
      <c r="BX238" s="164" t="str">
        <f>IF(VLOOKUP(T_Convention[[#This Row],[NumL]],T_Commission[#Data],COLUMN(T_Commission[envoi confirm TW]),FALSE)="","",VLOOKUP(T_Convention[[#This Row],[NumL]],T_Commission[#Data],COLUMN(T_Commission[envoi confirm TW]),FALSE))</f>
        <v>Oui</v>
      </c>
      <c r="BY23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8" s="264">
        <f>VLOOKUP(T_Convention[[#This Row],[NumL]],T_Commission[#Data],COLUMN(T_Commission[Commentaire]),FALSE)</f>
        <v>0</v>
      </c>
      <c r="CA238" s="254" t="str">
        <f>IF(VLOOKUP(T_Convention[[#This Row],[NumL]],T_Commission[#Data],COLUMN(T_Commission[Encadrant Email]),FALSE)="","",VLOOKUP(T_Convention[[#This Row],[NumL]],T_Commission[#Data],COLUMN(T_Commission[Encadrant Email]),FALSE))</f>
        <v/>
      </c>
      <c r="CB238" s="353" t="e">
        <f>VLOOKUP(T_Convention[[#This Row],[NumL]],T_TraitDi[#Data],COLUMN(T_TraitDi[NbJTot]),FALSE)</f>
        <v>#N/A</v>
      </c>
      <c r="CC238" s="353" t="e">
        <f>VLOOKUP(T_Convention[[#This Row],[NumL]],T_TraitDi[#Data],COLUMN(T_TraitDi[Reg Ponct]),FALSE)</f>
        <v>#N/A</v>
      </c>
      <c r="CD238" s="348" t="str">
        <f>IF(T_Convention[[#This Row],[Final]]&lt;&gt;"",VLOOKUP(T_Convention[[#This Row],[NumL]],T_suiviDi[#Data],COLUMN((T_suiviDi[Statut])),FALSE),"")</f>
        <v/>
      </c>
    </row>
    <row r="239" spans="1:82" s="106" customFormat="1" ht="18.75" customHeight="1" x14ac:dyDescent="0.25">
      <c r="A239" s="160">
        <v>44</v>
      </c>
      <c r="B239" s="161" t="str">
        <f>VLOOKUP(T_Convention[[#This Row],[NumL]],T_Commission[#Data],COLUMN(T_Commission[FINAL]),FALSE)</f>
        <v/>
      </c>
      <c r="C239" s="162"/>
      <c r="D239" s="95" t="e">
        <f>IF(VLOOKUP(T_Convention[[#This Row],[NumL]],T_TraitDi[#Data],COLUMN(T_TraitDi[WebC]),FALSE)="","",VLOOKUP(T_Convention[[#This Row],[NumL]],T_TraitDi[#Data],COLUMN(T_TraitDi[WebC]),FALSE))</f>
        <v>#N/A</v>
      </c>
      <c r="E239" s="163" t="str">
        <f t="shared" si="15"/>
        <v>12 janvier 2021</v>
      </c>
      <c r="F239" s="282" t="str">
        <f>IF(T_Convention[[#This Row],[Final]]&lt;&gt;"",VLOOKUP(T_Convention[[#This Row],[NumL]],T_suiviDi[#Data],COLUMN((T_suiviDi[Civ.])),FALSE),"")</f>
        <v/>
      </c>
      <c r="G239" s="283" t="str">
        <f>IF(T_Convention[[#This Row],[Final]]&lt;&gt;"",VLOOKUP(T_Convention[[#This Row],[NumL]],T_suiviDi[#Data],COLUMN((T_suiviDi[Nom])),FALSE),"")</f>
        <v/>
      </c>
      <c r="H239" s="282" t="str">
        <f>IF(T_Convention[[#This Row],[Final]]&lt;&gt;"",VLOOKUP(T_Convention[[#This Row],[NumL]],T_suiviDi[#Data],COLUMN((T_suiviDi[Prénom])),FALSE),"")</f>
        <v/>
      </c>
      <c r="I239" s="282" t="e">
        <f>VLOOKUP(T_Convention[[#This Row],[NumL]],T_suiviDi[#Data],COLUMN((T_suiviDi[[#This Row],[Email]])),FALSE)</f>
        <v>#VALUE!</v>
      </c>
      <c r="J239" s="282" t="e">
        <f>IF(VLOOKUP(T_Convention[[#This Row],[NumL]],T_suiviDi[#Data],COLUMN(T_suiviDi[[#This Row],[Fonction]]),FALSE)="","",VLOOKUP(T_Convention[[#This Row],[NumL]],T_suiviDi[#Data],COLUMN(T_suiviDi[[#This Row],[Fonction]]),FALSE))</f>
        <v>#VALUE!</v>
      </c>
      <c r="K239" s="282" t="e">
        <f>IF(VLOOKUP(T_Convention[[#This Row],[NumL]],T_suiviDi[#Data],COLUMN(T_suiviDi[[#This Row],[Grade]]),FALSE)="","",VLOOKUP(T_Convention[[#This Row],[NumL]],T_suiviDi[#Data],COLUMN(T_suiviDi[[#This Row],[Grade]]),FALSE))</f>
        <v>#VALUE!</v>
      </c>
      <c r="L239" s="282" t="e">
        <f>IF(VLOOKUP(T_Convention[[#This Row],[NumL]],T_suiviDi[#Data],COLUMN(T_suiviDi[[#This Row],[Service ]]),FALSE)="","",VLOOKUP(T_Convention[[#This Row],[NumL]],T_suiviDi[#Data],COLUMN(T_suiviDi[[#This Row],[Service ]]),FALSE))</f>
        <v>#VALUE!</v>
      </c>
      <c r="M239" s="164" t="str">
        <f t="shared" si="16"/>
        <v>01 septembre 2021</v>
      </c>
      <c r="N239" s="164" t="str">
        <f t="shared" si="17"/>
        <v>30 novembre 2021</v>
      </c>
      <c r="O239" s="284" t="str">
        <f t="shared" si="18"/>
        <v>30 novembre 2021</v>
      </c>
      <c r="P239" s="282" t="e">
        <f>IF(VLOOKUP(T_Convention[[#This Row],[NumL]],T_TraitDi[#Data],COLUMN(T_TraitDi[M1]),FALSE)="","",VLOOKUP(T_Convention[[#This Row],[NumL]],T_TraitDi[#Data],COLUMN(T_TraitDi[M1]),FALSE))</f>
        <v>#N/A</v>
      </c>
      <c r="Q239" s="282" t="e">
        <f>IF(VLOOKUP(T_Convention[[#This Row],[NumL]],T_TraitDi[#Data],COLUMN(T_TraitDi[M2]),FALSE)="","",VLOOKUP(T_Convention[[#This Row],[NumL]],T_TraitDi[#Data],COLUMN(T_TraitDi[M2]),FALSE))</f>
        <v>#N/A</v>
      </c>
      <c r="R239" s="282" t="e">
        <f>IF(VLOOKUP(T_Convention[[#This Row],[NumL]],T_TraitDi[#Data],COLUMN(T_TraitDi[M3]),FALSE)="","",VLOOKUP(T_Convention[[#This Row],[NumL]],T_TraitDi[#Data],COLUMN(T_TraitDi[M3]),FALSE))</f>
        <v>#N/A</v>
      </c>
      <c r="S239" s="282" t="e">
        <f>IF(VLOOKUP(T_Convention[[#This Row],[NumL]],T_TraitDi[#Data],COLUMN(T_TraitDi[M4]),FALSE)="","",VLOOKUP(T_Convention[[#This Row],[NumL]],T_TraitDi[#Data],COLUMN(T_TraitDi[M4]),FALSE))</f>
        <v>#N/A</v>
      </c>
      <c r="T239" s="282" t="e">
        <f>IF(VLOOKUP(T_Convention[[#This Row],[NumL]],T_TraitDi[#Data],COLUMN(T_TraitDi[M5]),FALSE)="","",VLOOKUP(T_Convention[[#This Row],[NumL]],T_TraitDi[#Data],COLUMN(T_TraitDi[M5]),FALSE))</f>
        <v>#N/A</v>
      </c>
      <c r="U239" s="282" t="e">
        <f>IF(VLOOKUP(T_Convention[[#This Row],[NumL]],T_TraitDi[#Data],COLUMN(T_TraitDi[M6]),FALSE)="","",VLOOKUP(T_Convention[[#This Row],[NumL]],T_TraitDi[#Data],COLUMN(T_TraitDi[M6]),FALSE))</f>
        <v>#N/A</v>
      </c>
      <c r="V239" s="176" t="e">
        <f t="shared" si="19"/>
        <v>#N/A</v>
      </c>
      <c r="W239" s="284" t="str">
        <f>IFERROR(TEXT(VLOOKUP(T_Convention[[#This Row],[NumL]],T_TraitDi[#Data],COLUMN(T_TraitDi[Q2]),FALSE),"###%"),"")</f>
        <v/>
      </c>
      <c r="X239" s="97" t="e">
        <f>VLOOKUP(T_Convention[[#This Row],[NumL]],T_TraitDi[#Data],COLUMN(T_TraitDi[Reg Ponct]),FALSE)</f>
        <v>#N/A</v>
      </c>
      <c r="Y239" s="97" t="e">
        <f>VLOOKUP(T_Convention[NumL],T_TraitDi[#Data],COLUMN(T_TraitDi[Jours flottants]),FALSE)</f>
        <v>#N/A</v>
      </c>
      <c r="Z239" s="284" t="str">
        <f>IFERROR(VLOOKUP(T_Convention[[#This Row],[NumL]],T_TraitDi[#Data],COLUMN(T_TraitDi[Lundi]),FALSE),"")</f>
        <v/>
      </c>
      <c r="AA239" s="284" t="e">
        <f>IF(VLOOKUP(T_Convention[[#This Row],[NumL]],T_TraitDi[#Data],COLUMN(T_TraitDi[Colonne3]),FALSE)=0,"",TEXT(IFERROR(VLOOKUP(T_Convention[[#This Row],[NumL]],T_TraitDi[#Data],COLUMN(T_TraitDi[Colonne3]),FALSE),""),"[hh]:mm"))</f>
        <v>#N/A</v>
      </c>
      <c r="AB239" s="284" t="e">
        <f>IF(VLOOKUP(T_Convention[[#This Row],[NumL]],T_TraitDi[#Data],COLUMN(T_TraitDi[Colonne4]),FALSE)=0,"",TEXT(IFERROR(VLOOKUP(T_Convention[[#This Row],[NumL]],T_TraitDi[#Data],COLUMN(T_TraitDi[Colonne4]),FALSE),""),"[hh]:mm"))</f>
        <v>#N/A</v>
      </c>
      <c r="AC239" s="284" t="e">
        <f>IF(VLOOKUP(T_Convention[[#This Row],[NumL]],T_TraitDi[#Data],COLUMN(T_TraitDi[Colonne5]),FALSE)=0,"",TEXT(IFERROR(VLOOKUP(T_Convention[[#This Row],[NumL]],T_TraitDi[#Data],COLUMN(T_TraitDi[Colonne5]),FALSE),""),"[hh]:mm"))</f>
        <v>#N/A</v>
      </c>
      <c r="AD239" s="284" t="e">
        <f>IF(VLOOKUP(T_Convention[[#This Row],[NumL]],T_TraitDi[#Data],COLUMN(T_TraitDi[Colonne6]),FALSE)=0,"",TEXT(IFERROR(VLOOKUP(T_Convention[[#This Row],[NumL]],T_TraitDi[#Data],COLUMN(T_TraitDi[Colonne6]),FALSE),""),"[hh]:mm"))</f>
        <v>#N/A</v>
      </c>
      <c r="AE239" s="284" t="e">
        <f>IF(VLOOKUP(T_Convention[[#This Row],[NumL]],T_TraitDi[#Data],COLUMN(T_TraitDi[Colonne7]),FALSE)=0,"",TEXT(IFERROR(VLOOKUP(T_Convention[[#This Row],[NumL]],T_TraitDi[#Data],COLUMN(T_TraitDi[Colonne7]),FALSE),""),"[hh]:mm"))</f>
        <v>#N/A</v>
      </c>
      <c r="AF239" s="284" t="e">
        <f>IF(VLOOKUP(T_Convention[[#This Row],[NumL]],T_TraitDi[#Data],COLUMN(T_TraitDi[Colonne8]),FALSE)=0,"",TEXT(IFERROR(VLOOKUP(T_Convention[[#This Row],[NumL]],T_TraitDi[#Data],COLUMN(T_TraitDi[Colonne8]),FALSE),""),"[hh]:mm"))</f>
        <v>#N/A</v>
      </c>
      <c r="AG239" s="284" t="str">
        <f>IFERROR(VLOOKUP(T_Convention[[#This Row],[NumL]],T_TraitDi[#Data],COLUMN(T_TraitDi[Mardi]),FALSE),"")</f>
        <v/>
      </c>
      <c r="AH239" s="284" t="e">
        <f>IF(VLOOKUP(T_Convention[[#This Row],[NumL]],T_TraitDi[#Data],COLUMN(T_TraitDi[Colonne1]),FALSE)=0,"",TEXT(IFERROR(VLOOKUP(T_Convention[[#This Row],[NumL]],T_TraitDi[#Data],COLUMN(T_TraitDi[Colonne1]),FALSE),""),"[hh]:mm"))</f>
        <v>#N/A</v>
      </c>
      <c r="AI239" s="284" t="e">
        <f>IF(VLOOKUP(T_Convention[[#This Row],[NumL]],T_TraitDi[#Data],COLUMN(T_TraitDi[Colonne9]),FALSE)=0,"",TEXT(IFERROR(VLOOKUP(T_Convention[[#This Row],[NumL]],T_TraitDi[#Data],COLUMN(T_TraitDi[Colonne9]),FALSE),""),"[hh]:mm"))</f>
        <v>#N/A</v>
      </c>
      <c r="AJ239" s="284" t="str">
        <f>IFERROR(VLOOKUP(T_Convention[[#This Row],[NumL]],T_TraitDi[#Data],COLUMN(T_TraitDi[Colonne10]),FALSE),"")</f>
        <v/>
      </c>
      <c r="AK239" s="284" t="e">
        <f>IF(VLOOKUP(T_Convention[[#This Row],[NumL]],T_TraitDi[#Data],COLUMN(T_TraitDi[Colonne11]),FALSE)=0,"",TEXT(IFERROR(VLOOKUP(T_Convention[[#This Row],[NumL]],T_TraitDi[#Data],COLUMN(T_TraitDi[Colonne11]),FALSE),""),"[hh]:mm"))</f>
        <v>#N/A</v>
      </c>
      <c r="AL239" s="284" t="e">
        <f>IF(VLOOKUP(T_Convention[[#This Row],[NumL]],T_TraitDi[#Data],COLUMN(T_TraitDi[Colonne12]),FALSE)=0,"",TEXT(IFERROR(VLOOKUP(T_Convention[[#This Row],[NumL]],T_TraitDi[#Data],COLUMN(T_TraitDi[Colonne12]),FALSE),""),"[hh]:mm"))</f>
        <v>#N/A</v>
      </c>
      <c r="AM239" s="284" t="e">
        <f>IF(VLOOKUP(T_Convention[[#This Row],[NumL]],T_TraitDi[#Data],COLUMN(T_TraitDi[Colonne14]),FALSE)=0,"",TEXT(IFERROR(VLOOKUP(T_Convention[[#This Row],[NumL]],T_TraitDi[#Data],COLUMN(T_TraitDi[Colonne14]),FALSE),""),"[hh]:mm"))</f>
        <v>#N/A</v>
      </c>
      <c r="AN239" s="284" t="str">
        <f>IFERROR(VLOOKUP(T_Convention[[#This Row],[NumL]],T_TraitDi[#Data],COLUMN(T_TraitDi[Mercredi]),FALSE),"")</f>
        <v/>
      </c>
      <c r="AO239" s="284" t="e">
        <f>IF(VLOOKUP(T_Convention[[#This Row],[NumL]],T_TraitDi[#Data],COLUMN(T_TraitDi[Colonne15]),FALSE)=0,"",TEXT(IFERROR(VLOOKUP(T_Convention[[#This Row],[NumL]],T_TraitDi[#Data],COLUMN(T_TraitDi[Colonne15]),FALSE),""),"[hh]:mm"))</f>
        <v>#N/A</v>
      </c>
      <c r="AP239" s="284" t="e">
        <f>IF(VLOOKUP(T_Convention[[#This Row],[NumL]],T_TraitDi[#Data],COLUMN(T_TraitDi[Colonne16]),FALSE)=0,"",TEXT(IFERROR(VLOOKUP(T_Convention[[#This Row],[NumL]],T_TraitDi[#Data],COLUMN(T_TraitDi[Colonne16]),FALSE),""),"[hh]:mm"))</f>
        <v>#N/A</v>
      </c>
      <c r="AQ239" s="284" t="str">
        <f>IFERROR(VLOOKUP(T_Convention[[#This Row],[NumL]],T_TraitDi[#Data],COLUMN(T_TraitDi[Colonne17]),FALSE),"")</f>
        <v/>
      </c>
      <c r="AR239" s="284" t="e">
        <f>IF(VLOOKUP(T_Convention[[#This Row],[NumL]],T_TraitDi[#Data],COLUMN(T_TraitDi[Colonne18]),FALSE)=0,"",TEXT(IFERROR(VLOOKUP(T_Convention[[#This Row],[NumL]],T_TraitDi[#Data],COLUMN(T_TraitDi[Colonne18]),FALSE),""),"[hh]:mm"))</f>
        <v>#N/A</v>
      </c>
      <c r="AS239" s="284" t="e">
        <f>IF(VLOOKUP(T_Convention[[#This Row],[NumL]],T_TraitDi[#Data],COLUMN(T_TraitDi[Colonne19]),FALSE)=0,"",TEXT(IFERROR(VLOOKUP(T_Convention[[#This Row],[NumL]],T_TraitDi[#Data],COLUMN(T_TraitDi[Colonne19]),FALSE),""),"[hh]:mm"))</f>
        <v>#N/A</v>
      </c>
      <c r="AT239" s="284" t="e">
        <f>IF(VLOOKUP(T_Convention[[#This Row],[NumL]],T_TraitDi[#Data],COLUMN(T_TraitDi[Colonne20]),FALSE)=0,"",TEXT(IFERROR(VLOOKUP(T_Convention[[#This Row],[NumL]],T_TraitDi[#Data],COLUMN(T_TraitDi[Colonne20]),FALSE),""),"[hh]:mm"))</f>
        <v>#N/A</v>
      </c>
      <c r="AU239" s="284" t="str">
        <f>IFERROR(VLOOKUP(T_Convention[[#This Row],[NumL]],T_TraitDi[#Data],COLUMN(T_TraitDi[Jeudi]),FALSE),"")</f>
        <v/>
      </c>
      <c r="AV239" s="284" t="e">
        <f>IF(VLOOKUP(T_Convention[[#This Row],[NumL]],T_TraitDi[#Data],COLUMN(T_TraitDi[Colonne21]),FALSE)=0,"",TEXT(IFERROR(VLOOKUP(T_Convention[[#This Row],[NumL]],T_TraitDi[#Data],COLUMN(T_TraitDi[Colonne21]),FALSE),""),"[hh]:mm"))</f>
        <v>#N/A</v>
      </c>
      <c r="AW239" s="284" t="e">
        <f>IF(VLOOKUP(T_Convention[[#This Row],[NumL]],T_TraitDi[#Data],COLUMN(T_TraitDi[Colonne22]),FALSE)=0,"",TEXT(IFERROR(VLOOKUP(T_Convention[[#This Row],[NumL]],T_TraitDi[#Data],COLUMN(T_TraitDi[Colonne22]),FALSE),""),"[hh]:mm"))</f>
        <v>#N/A</v>
      </c>
      <c r="AX239" s="284" t="str">
        <f>IFERROR(VLOOKUP(T_Convention[[#This Row],[NumL]],T_TraitDi[#Data],COLUMN(T_TraitDi[Colonne23]),FALSE),"")</f>
        <v/>
      </c>
      <c r="AY239" s="284" t="e">
        <f>IF(VLOOKUP(T_Convention[[#This Row],[NumL]],T_TraitDi[#Data],COLUMN(T_TraitDi[Colonne24]),FALSE)=0,"",TEXT(IFERROR(VLOOKUP(T_Convention[[#This Row],[NumL]],T_TraitDi[#Data],COLUMN(T_TraitDi[Colonne24]),FALSE),""),"[hh]:mm"))</f>
        <v>#N/A</v>
      </c>
      <c r="AZ239" s="284" t="e">
        <f>IF(VLOOKUP(T_Convention[[#This Row],[NumL]],T_TraitDi[#Data],COLUMN(T_TraitDi[Colonne25]),FALSE)=0,"",TEXT(IFERROR(VLOOKUP(T_Convention[[#This Row],[NumL]],T_TraitDi[#Data],COLUMN(T_TraitDi[Colonne25]),FALSE),""),"[hh]:mm"))</f>
        <v>#N/A</v>
      </c>
      <c r="BA239" s="284" t="e">
        <f>IF(VLOOKUP(T_Convention[[#This Row],[NumL]],T_TraitDi[#Data],COLUMN(T_TraitDi[Colonne26]),FALSE)=0,"",TEXT(IFERROR(VLOOKUP(T_Convention[[#This Row],[NumL]],T_TraitDi[#Data],COLUMN(T_TraitDi[Colonne26]),FALSE),""),"[hh]:mm"))</f>
        <v>#N/A</v>
      </c>
      <c r="BB239" s="284" t="str">
        <f>IFERROR(VLOOKUP(T_Convention[[#This Row],[NumL]],T_TraitDi[#Data],COLUMN(T_TraitDi[Vendredi]),FALSE),"")</f>
        <v/>
      </c>
      <c r="BC239" s="284" t="e">
        <f>IF(VLOOKUP(T_Convention[[#This Row],[NumL]],T_TraitDi[#Data],COLUMN(T_TraitDi[Colonne27]),FALSE)=0,"",TEXT(IFERROR(VLOOKUP(T_Convention[[#This Row],[NumL]],T_TraitDi[#Data],COLUMN(T_TraitDi[Colonne27]),FALSE),""),"[hh]:mm"))</f>
        <v>#N/A</v>
      </c>
      <c r="BD239" s="284" t="e">
        <f>IF(VLOOKUP(T_Convention[[#This Row],[NumL]],T_TraitDi[#Data],COLUMN(T_TraitDi[Colonne28]),FALSE)=0,"",TEXT(IFERROR(VLOOKUP(T_Convention[[#This Row],[NumL]],T_TraitDi[#Data],COLUMN(T_TraitDi[Colonne28]),FALSE),""),"[hh]:mm"))</f>
        <v>#N/A</v>
      </c>
      <c r="BE239" s="284" t="str">
        <f>IFERROR(VLOOKUP(T_Convention[[#This Row],[NumL]],T_TraitDi[#Data],COLUMN(T_TraitDi[Colonne29]),FALSE),"")</f>
        <v/>
      </c>
      <c r="BF239" s="284" t="e">
        <f>IF(VLOOKUP(T_Convention[[#This Row],[NumL]],T_TraitDi[#Data],COLUMN(T_TraitDi[Colonne30]),FALSE)=0,"",TEXT(IFERROR(VLOOKUP(T_Convention[[#This Row],[NumL]],T_TraitDi[#Data],COLUMN(T_TraitDi[Colonne30]),FALSE),""),"[hh]:mm"))</f>
        <v>#N/A</v>
      </c>
      <c r="BG239" s="284" t="e">
        <f>IF(VLOOKUP(T_Convention[[#This Row],[NumL]],T_TraitDi[#Data],COLUMN(T_TraitDi[Colonne31]),FALSE)=0,"",TEXT(IFERROR(VLOOKUP(T_Convention[[#This Row],[NumL]],T_TraitDi[#Data],COLUMN(T_TraitDi[Colonne31]),FALSE),""),"[hh]:mm"))</f>
        <v>#N/A</v>
      </c>
      <c r="BH239" s="284" t="e">
        <f>IF(VLOOKUP(T_Convention[[#This Row],[NumL]],T_TraitDi[#Data],COLUMN(T_TraitDi[Colonne32]),FALSE)=0,"",TEXT(IFERROR(VLOOKUP(T_Convention[[#This Row],[NumL]],T_TraitDi[#Data],COLUMN(T_TraitDi[Colonne32]),FALSE),""),"[hh]:mm"))</f>
        <v>#N/A</v>
      </c>
      <c r="BI239" s="284" t="str">
        <f>IFERROR(VLOOKUP(T_Convention[[#This Row],[NumL]],T_TraitDi[#Data],COLUMN(T_TraitDi[NbJTW]),FALSE),"")</f>
        <v/>
      </c>
      <c r="BJ239" s="284" t="e">
        <f>IF(VLOOKUP(T_Convention[[#This Row],[NumL]],T_TraitDi[#Data],COLUMN(T_TraitDi[NbhTW]),FALSE)=0,"",TEXT(IFERROR(VLOOKUP(T_Convention[[#This Row],[NumL]],T_TraitDi[#Data],COLUMN(T_TraitDi[NbhTW]),FALSE),""),"[hh]:mm"))</f>
        <v>#N/A</v>
      </c>
      <c r="BK239" s="286" t="e">
        <f>IF(VLOOKUP(T_Convention[[#This Row],[NumL]],T_TraitDi[#Data],COLUMN(T_TraitDi[Nbhheb]),FALSE)=0,"",TEXT(IFERROR(VLOOKUP(T_Convention[[#This Row],[NumL]],T_TraitDi[#Data],COLUMN(T_TraitDi[Nbhheb]),FALSE),""),"[hh]:mm"))</f>
        <v>#N/A</v>
      </c>
      <c r="BL239" s="287" t="str">
        <f>IFERROR(VLOOKUP(VLOOKUP(T_Convention[[#This Row],[NumL]],T_TraitDi[#Data],COLUMN(T_TraitDi[Type1]),FALSE),TypeTW,2,FALSE),"")</f>
        <v/>
      </c>
      <c r="BM239" s="288" t="str">
        <f>IFERROR(VLOOKUP(T_Convention[[#This Row],[NumL]],T_TraitDi[#Data],COLUMN(T_TraitDi[Rue1]),FALSE),"")</f>
        <v/>
      </c>
      <c r="BN239" s="289" t="str">
        <f>IFERROR(VLOOKUP(T_Convention[[#This Row],[NumL]],T_TraitDi[#Data],COLUMN(T_TraitDi[CP1]),FALSE),"")</f>
        <v/>
      </c>
      <c r="BO239" s="282" t="str">
        <f>IFERROR(VLOOKUP(T_Convention[[#This Row],[NumL]],T_TraitDi[#Data],COLUMN(T_TraitDi[VILLE1]),FALSE),"")</f>
        <v/>
      </c>
      <c r="BP239" s="290" t="str">
        <f>IFERROR(VLOOKUP(VLOOKUP(T_Convention[[#This Row],[NumL]],T_TraitDi[#Data],COLUMN(T_TraitDi[Type2]),FALSE),TypeTW,2,FALSE),"")</f>
        <v/>
      </c>
      <c r="BQ239" s="182" t="str">
        <f>IFERROR(VLOOKUP(T_Convention[[#This Row],[NumL]],T_TraitDi[#Data],COLUMN(T_TraitDi[Rue2]),FALSE),"")</f>
        <v/>
      </c>
      <c r="BR239" s="173" t="str">
        <f>IFERROR(VLOOKUP(T_Convention[[#This Row],[NumL]],T_TraitDi[#Data],COLUMN(T_TraitDi[CP2]),FALSE),"")</f>
        <v/>
      </c>
      <c r="BS239" s="173" t="str">
        <f>IFERROR(VLOOKUP(T_Convention[[#This Row],[NumL]],T_TraitDi[#Data],COLUMN(T_TraitDi[VILLE2]),FALSE),"")</f>
        <v/>
      </c>
      <c r="BT239" s="182" t="str">
        <f>IF(VLOOKUP(T_Convention[[#This Row],[NumL]],T_Equipement[#Data],COLUMN(T_Equipement[PC]),FALSE)="","Aucun équipement spécifique directement lié au télétravail",VLOOKUP(T_Convention[[#This Row],[NumL]],T_Equipement[#Data],COLUMN(T_Equipement[PC]),FALSE))</f>
        <v xml:space="preserve">20-130	</v>
      </c>
      <c r="BU239" s="166" t="str">
        <f>IFERROR(IF(VLOOKUP(T_Convention[[#This Row],[NumL]],T_TraitDi[#Data],COLUMN(T_TraitDi[Plan]),FALSE)="OK","Un planning spécifique de télétravail est annexé à la présente convention.",""),"")</f>
        <v/>
      </c>
      <c r="BV239" s="185" t="s">
        <v>3293</v>
      </c>
      <c r="BW239" s="164" t="e">
        <f>IF(VLOOKUP(T_Convention[[#This Row],[NumL]],T_suiviDi[#Data],COLUMN(T_suiviDi[Entité]),FALSE)="","",VLOOKUP(T_Convention[[#This Row],[NumL]],T_suiviDi[#Data],COLUMN(T_suiviDi[Entité]),FALSE))</f>
        <v>#N/A</v>
      </c>
      <c r="BX239" s="164" t="str">
        <f>IF(VLOOKUP(T_Convention[[#This Row],[NumL]],T_Commission[#Data],COLUMN(T_Commission[envoi confirm TW]),FALSE)="","",VLOOKUP(T_Convention[[#This Row],[NumL]],T_Commission[#Data],COLUMN(T_Commission[envoi confirm TW]),FALSE))</f>
        <v>Oui</v>
      </c>
      <c r="BY23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39" s="264">
        <f>VLOOKUP(T_Convention[[#This Row],[NumL]],T_Commission[#Data],COLUMN(T_Commission[Commentaire]),FALSE)</f>
        <v>0</v>
      </c>
      <c r="CA239" s="254" t="str">
        <f>IF(VLOOKUP(T_Convention[[#This Row],[NumL]],T_Commission[#Data],COLUMN(T_Commission[Encadrant Email]),FALSE)="","",VLOOKUP(T_Convention[[#This Row],[NumL]],T_Commission[#Data],COLUMN(T_Commission[Encadrant Email]),FALSE))</f>
        <v/>
      </c>
      <c r="CB239" s="353" t="e">
        <f>VLOOKUP(T_Convention[[#This Row],[NumL]],T_TraitDi[#Data],COLUMN(T_TraitDi[NbJTot]),FALSE)</f>
        <v>#N/A</v>
      </c>
      <c r="CC239" s="353" t="e">
        <f>VLOOKUP(T_Convention[[#This Row],[NumL]],T_TraitDi[#Data],COLUMN(T_TraitDi[Reg Ponct]),FALSE)</f>
        <v>#N/A</v>
      </c>
      <c r="CD239" s="348" t="str">
        <f>IF(T_Convention[[#This Row],[Final]]&lt;&gt;"",VLOOKUP(T_Convention[[#This Row],[NumL]],T_suiviDi[#Data],COLUMN((T_suiviDi[Statut])),FALSE),"")</f>
        <v/>
      </c>
    </row>
    <row r="240" spans="1:82" s="106" customFormat="1" ht="18.75" customHeight="1" x14ac:dyDescent="0.25">
      <c r="A240" s="160">
        <v>154</v>
      </c>
      <c r="B240" s="161" t="str">
        <f>VLOOKUP(T_Convention[[#This Row],[NumL]],T_Commission[#Data],COLUMN(T_Commission[FINAL]),FALSE)</f>
        <v/>
      </c>
      <c r="C240" s="162"/>
      <c r="D240" s="95" t="e">
        <f>IF(VLOOKUP(T_Convention[[#This Row],[NumL]],T_TraitDi[#Data],COLUMN(T_TraitDi[WebC]),FALSE)="","",VLOOKUP(T_Convention[[#This Row],[NumL]],T_TraitDi[#Data],COLUMN(T_TraitDi[WebC]),FALSE))</f>
        <v>#N/A</v>
      </c>
      <c r="E240" s="163" t="str">
        <f t="shared" si="15"/>
        <v>12 janvier 2021</v>
      </c>
      <c r="F240" s="282" t="str">
        <f>IF(T_Convention[[#This Row],[Final]]&lt;&gt;"",VLOOKUP(T_Convention[[#This Row],[NumL]],T_suiviDi[#Data],COLUMN((T_suiviDi[Civ.])),FALSE),"")</f>
        <v/>
      </c>
      <c r="G240" s="283" t="str">
        <f>IF(T_Convention[[#This Row],[Final]]&lt;&gt;"",VLOOKUP(T_Convention[[#This Row],[NumL]],T_suiviDi[#Data],COLUMN((T_suiviDi[Nom])),FALSE),"")</f>
        <v/>
      </c>
      <c r="H240" s="282" t="str">
        <f>IF(T_Convention[[#This Row],[Final]]&lt;&gt;"",VLOOKUP(T_Convention[[#This Row],[NumL]],T_suiviDi[#Data],COLUMN((T_suiviDi[Prénom])),FALSE),"")</f>
        <v/>
      </c>
      <c r="I240" s="282" t="e">
        <f>VLOOKUP(T_Convention[[#This Row],[NumL]],T_suiviDi[#Data],COLUMN((T_suiviDi[[#This Row],[Email]])),FALSE)</f>
        <v>#VALUE!</v>
      </c>
      <c r="J240" s="282" t="e">
        <f>IF(VLOOKUP(T_Convention[[#This Row],[NumL]],T_suiviDi[#Data],COLUMN(T_suiviDi[[#This Row],[Fonction]]),FALSE)="","",VLOOKUP(T_Convention[[#This Row],[NumL]],T_suiviDi[#Data],COLUMN(T_suiviDi[[#This Row],[Fonction]]),FALSE))</f>
        <v>#VALUE!</v>
      </c>
      <c r="K240" s="282" t="e">
        <f>IF(VLOOKUP(T_Convention[[#This Row],[NumL]],T_suiviDi[#Data],COLUMN(T_suiviDi[[#This Row],[Grade]]),FALSE)="","",VLOOKUP(T_Convention[[#This Row],[NumL]],T_suiviDi[#Data],COLUMN(T_suiviDi[[#This Row],[Grade]]),FALSE))</f>
        <v>#VALUE!</v>
      </c>
      <c r="L240" s="282" t="e">
        <f>IF(VLOOKUP(T_Convention[[#This Row],[NumL]],T_suiviDi[#Data],COLUMN(T_suiviDi[[#This Row],[Service ]]),FALSE)="","",VLOOKUP(T_Convention[[#This Row],[NumL]],T_suiviDi[#Data],COLUMN(T_suiviDi[[#This Row],[Service ]]),FALSE))</f>
        <v>#VALUE!</v>
      </c>
      <c r="M240" s="164" t="str">
        <f t="shared" si="16"/>
        <v>01 septembre 2021</v>
      </c>
      <c r="N240" s="164" t="str">
        <f t="shared" si="17"/>
        <v>30 novembre 2021</v>
      </c>
      <c r="O240" s="284" t="str">
        <f t="shared" si="18"/>
        <v>30 novembre 2021</v>
      </c>
      <c r="P240" s="282" t="e">
        <f>IF(VLOOKUP(T_Convention[[#This Row],[NumL]],T_TraitDi[#Data],COLUMN(T_TraitDi[M1]),FALSE)="","",VLOOKUP(T_Convention[[#This Row],[NumL]],T_TraitDi[#Data],COLUMN(T_TraitDi[M1]),FALSE))</f>
        <v>#N/A</v>
      </c>
      <c r="Q240" s="282" t="e">
        <f>IF(VLOOKUP(T_Convention[[#This Row],[NumL]],T_TraitDi[#Data],COLUMN(T_TraitDi[M2]),FALSE)="","",VLOOKUP(T_Convention[[#This Row],[NumL]],T_TraitDi[#Data],COLUMN(T_TraitDi[M2]),FALSE))</f>
        <v>#N/A</v>
      </c>
      <c r="R240" s="282" t="e">
        <f>IF(VLOOKUP(T_Convention[[#This Row],[NumL]],T_TraitDi[#Data],COLUMN(T_TraitDi[M3]),FALSE)="","",VLOOKUP(T_Convention[[#This Row],[NumL]],T_TraitDi[#Data],COLUMN(T_TraitDi[M3]),FALSE))</f>
        <v>#N/A</v>
      </c>
      <c r="S240" s="282" t="e">
        <f>IF(VLOOKUP(T_Convention[[#This Row],[NumL]],T_TraitDi[#Data],COLUMN(T_TraitDi[M4]),FALSE)="","",VLOOKUP(T_Convention[[#This Row],[NumL]],T_TraitDi[#Data],COLUMN(T_TraitDi[M4]),FALSE))</f>
        <v>#N/A</v>
      </c>
      <c r="T240" s="282" t="e">
        <f>IF(VLOOKUP(T_Convention[[#This Row],[NumL]],T_TraitDi[#Data],COLUMN(T_TraitDi[M5]),FALSE)="","",VLOOKUP(T_Convention[[#This Row],[NumL]],T_TraitDi[#Data],COLUMN(T_TraitDi[M5]),FALSE))</f>
        <v>#N/A</v>
      </c>
      <c r="U240" s="282" t="e">
        <f>IF(VLOOKUP(T_Convention[[#This Row],[NumL]],T_TraitDi[#Data],COLUMN(T_TraitDi[M6]),FALSE)="","",VLOOKUP(T_Convention[[#This Row],[NumL]],T_TraitDi[#Data],COLUMN(T_TraitDi[M6]),FALSE))</f>
        <v>#N/A</v>
      </c>
      <c r="V240" s="176" t="e">
        <f t="shared" si="19"/>
        <v>#N/A</v>
      </c>
      <c r="W240" s="284" t="str">
        <f>IFERROR(TEXT(VLOOKUP(T_Convention[[#This Row],[NumL]],T_TraitDi[#Data],COLUMN(T_TraitDi[Q2]),FALSE),"###%"),"")</f>
        <v/>
      </c>
      <c r="X240" s="97" t="e">
        <f>VLOOKUP(T_Convention[[#This Row],[NumL]],T_TraitDi[#Data],COLUMN(T_TraitDi[Reg Ponct]),FALSE)</f>
        <v>#N/A</v>
      </c>
      <c r="Y240" s="97" t="e">
        <f>VLOOKUP(T_Convention[NumL],T_TraitDi[#Data],COLUMN(T_TraitDi[Jours flottants]),FALSE)</f>
        <v>#N/A</v>
      </c>
      <c r="Z240" s="284" t="str">
        <f>IFERROR(VLOOKUP(T_Convention[[#This Row],[NumL]],T_TraitDi[#Data],COLUMN(T_TraitDi[Lundi]),FALSE),"")</f>
        <v/>
      </c>
      <c r="AA240" s="284" t="e">
        <f>IF(VLOOKUP(T_Convention[[#This Row],[NumL]],T_TraitDi[#Data],COLUMN(T_TraitDi[Colonne3]),FALSE)=0,"",TEXT(IFERROR(VLOOKUP(T_Convention[[#This Row],[NumL]],T_TraitDi[#Data],COLUMN(T_TraitDi[Colonne3]),FALSE),""),"[hh]:mm"))</f>
        <v>#N/A</v>
      </c>
      <c r="AB240" s="284" t="e">
        <f>IF(VLOOKUP(T_Convention[[#This Row],[NumL]],T_TraitDi[#Data],COLUMN(T_TraitDi[Colonne4]),FALSE)=0,"",TEXT(IFERROR(VLOOKUP(T_Convention[[#This Row],[NumL]],T_TraitDi[#Data],COLUMN(T_TraitDi[Colonne4]),FALSE),""),"[hh]:mm"))</f>
        <v>#N/A</v>
      </c>
      <c r="AC240" s="284" t="e">
        <f>IF(VLOOKUP(T_Convention[[#This Row],[NumL]],T_TraitDi[#Data],COLUMN(T_TraitDi[Colonne5]),FALSE)=0,"",TEXT(IFERROR(VLOOKUP(T_Convention[[#This Row],[NumL]],T_TraitDi[#Data],COLUMN(T_TraitDi[Colonne5]),FALSE),""),"[hh]:mm"))</f>
        <v>#N/A</v>
      </c>
      <c r="AD240" s="284" t="e">
        <f>IF(VLOOKUP(T_Convention[[#This Row],[NumL]],T_TraitDi[#Data],COLUMN(T_TraitDi[Colonne6]),FALSE)=0,"",TEXT(IFERROR(VLOOKUP(T_Convention[[#This Row],[NumL]],T_TraitDi[#Data],COLUMN(T_TraitDi[Colonne6]),FALSE),""),"[hh]:mm"))</f>
        <v>#N/A</v>
      </c>
      <c r="AE240" s="284" t="e">
        <f>IF(VLOOKUP(T_Convention[[#This Row],[NumL]],T_TraitDi[#Data],COLUMN(T_TraitDi[Colonne7]),FALSE)=0,"",TEXT(IFERROR(VLOOKUP(T_Convention[[#This Row],[NumL]],T_TraitDi[#Data],COLUMN(T_TraitDi[Colonne7]),FALSE),""),"[hh]:mm"))</f>
        <v>#N/A</v>
      </c>
      <c r="AF240" s="284" t="e">
        <f>IF(VLOOKUP(T_Convention[[#This Row],[NumL]],T_TraitDi[#Data],COLUMN(T_TraitDi[Colonne8]),FALSE)=0,"",TEXT(IFERROR(VLOOKUP(T_Convention[[#This Row],[NumL]],T_TraitDi[#Data],COLUMN(T_TraitDi[Colonne8]),FALSE),""),"[hh]:mm"))</f>
        <v>#N/A</v>
      </c>
      <c r="AG240" s="284" t="str">
        <f>IFERROR(VLOOKUP(T_Convention[[#This Row],[NumL]],T_TraitDi[#Data],COLUMN(T_TraitDi[Mardi]),FALSE),"")</f>
        <v/>
      </c>
      <c r="AH240" s="284" t="e">
        <f>IF(VLOOKUP(T_Convention[[#This Row],[NumL]],T_TraitDi[#Data],COLUMN(T_TraitDi[Colonne1]),FALSE)=0,"",TEXT(IFERROR(VLOOKUP(T_Convention[[#This Row],[NumL]],T_TraitDi[#Data],COLUMN(T_TraitDi[Colonne1]),FALSE),""),"[hh]:mm"))</f>
        <v>#N/A</v>
      </c>
      <c r="AI240" s="284" t="e">
        <f>IF(VLOOKUP(T_Convention[[#This Row],[NumL]],T_TraitDi[#Data],COLUMN(T_TraitDi[Colonne9]),FALSE)=0,"",TEXT(IFERROR(VLOOKUP(T_Convention[[#This Row],[NumL]],T_TraitDi[#Data],COLUMN(T_TraitDi[Colonne9]),FALSE),""),"[hh]:mm"))</f>
        <v>#N/A</v>
      </c>
      <c r="AJ240" s="284" t="str">
        <f>IFERROR(VLOOKUP(T_Convention[[#This Row],[NumL]],T_TraitDi[#Data],COLUMN(T_TraitDi[Colonne10]),FALSE),"")</f>
        <v/>
      </c>
      <c r="AK240" s="284" t="e">
        <f>IF(VLOOKUP(T_Convention[[#This Row],[NumL]],T_TraitDi[#Data],COLUMN(T_TraitDi[Colonne11]),FALSE)=0,"",TEXT(IFERROR(VLOOKUP(T_Convention[[#This Row],[NumL]],T_TraitDi[#Data],COLUMN(T_TraitDi[Colonne11]),FALSE),""),"[hh]:mm"))</f>
        <v>#N/A</v>
      </c>
      <c r="AL240" s="284" t="e">
        <f>IF(VLOOKUP(T_Convention[[#This Row],[NumL]],T_TraitDi[#Data],COLUMN(T_TraitDi[Colonne12]),FALSE)=0,"",TEXT(IFERROR(VLOOKUP(T_Convention[[#This Row],[NumL]],T_TraitDi[#Data],COLUMN(T_TraitDi[Colonne12]),FALSE),""),"[hh]:mm"))</f>
        <v>#N/A</v>
      </c>
      <c r="AM240" s="284" t="e">
        <f>IF(VLOOKUP(T_Convention[[#This Row],[NumL]],T_TraitDi[#Data],COLUMN(T_TraitDi[Colonne14]),FALSE)=0,"",TEXT(IFERROR(VLOOKUP(T_Convention[[#This Row],[NumL]],T_TraitDi[#Data],COLUMN(T_TraitDi[Colonne14]),FALSE),""),"[hh]:mm"))</f>
        <v>#N/A</v>
      </c>
      <c r="AN240" s="284" t="str">
        <f>IFERROR(VLOOKUP(T_Convention[[#This Row],[NumL]],T_TraitDi[#Data],COLUMN(T_TraitDi[Mercredi]),FALSE),"")</f>
        <v/>
      </c>
      <c r="AO240" s="284" t="e">
        <f>IF(VLOOKUP(T_Convention[[#This Row],[NumL]],T_TraitDi[#Data],COLUMN(T_TraitDi[Colonne15]),FALSE)=0,"",TEXT(IFERROR(VLOOKUP(T_Convention[[#This Row],[NumL]],T_TraitDi[#Data],COLUMN(T_TraitDi[Colonne15]),FALSE),""),"[hh]:mm"))</f>
        <v>#N/A</v>
      </c>
      <c r="AP240" s="284" t="e">
        <f>IF(VLOOKUP(T_Convention[[#This Row],[NumL]],T_TraitDi[#Data],COLUMN(T_TraitDi[Colonne16]),FALSE)=0,"",TEXT(IFERROR(VLOOKUP(T_Convention[[#This Row],[NumL]],T_TraitDi[#Data],COLUMN(T_TraitDi[Colonne16]),FALSE),""),"[hh]:mm"))</f>
        <v>#N/A</v>
      </c>
      <c r="AQ240" s="284" t="str">
        <f>IFERROR(VLOOKUP(T_Convention[[#This Row],[NumL]],T_TraitDi[#Data],COLUMN(T_TraitDi[Colonne17]),FALSE),"")</f>
        <v/>
      </c>
      <c r="AR240" s="284" t="e">
        <f>IF(VLOOKUP(T_Convention[[#This Row],[NumL]],T_TraitDi[#Data],COLUMN(T_TraitDi[Colonne18]),FALSE)=0,"",TEXT(IFERROR(VLOOKUP(T_Convention[[#This Row],[NumL]],T_TraitDi[#Data],COLUMN(T_TraitDi[Colonne18]),FALSE),""),"[hh]:mm"))</f>
        <v>#N/A</v>
      </c>
      <c r="AS240" s="284" t="e">
        <f>IF(VLOOKUP(T_Convention[[#This Row],[NumL]],T_TraitDi[#Data],COLUMN(T_TraitDi[Colonne19]),FALSE)=0,"",TEXT(IFERROR(VLOOKUP(T_Convention[[#This Row],[NumL]],T_TraitDi[#Data],COLUMN(T_TraitDi[Colonne19]),FALSE),""),"[hh]:mm"))</f>
        <v>#N/A</v>
      </c>
      <c r="AT240" s="284" t="e">
        <f>IF(VLOOKUP(T_Convention[[#This Row],[NumL]],T_TraitDi[#Data],COLUMN(T_TraitDi[Colonne20]),FALSE)=0,"",TEXT(IFERROR(VLOOKUP(T_Convention[[#This Row],[NumL]],T_TraitDi[#Data],COLUMN(T_TraitDi[Colonne20]),FALSE),""),"[hh]:mm"))</f>
        <v>#N/A</v>
      </c>
      <c r="AU240" s="284" t="str">
        <f>IFERROR(VLOOKUP(T_Convention[[#This Row],[NumL]],T_TraitDi[#Data],COLUMN(T_TraitDi[Jeudi]),FALSE),"")</f>
        <v/>
      </c>
      <c r="AV240" s="284" t="e">
        <f>IF(VLOOKUP(T_Convention[[#This Row],[NumL]],T_TraitDi[#Data],COLUMN(T_TraitDi[Colonne21]),FALSE)=0,"",TEXT(IFERROR(VLOOKUP(T_Convention[[#This Row],[NumL]],T_TraitDi[#Data],COLUMN(T_TraitDi[Colonne21]),FALSE),""),"[hh]:mm"))</f>
        <v>#N/A</v>
      </c>
      <c r="AW240" s="284" t="e">
        <f>IF(VLOOKUP(T_Convention[[#This Row],[NumL]],T_TraitDi[#Data],COLUMN(T_TraitDi[Colonne22]),FALSE)=0,"",TEXT(IFERROR(VLOOKUP(T_Convention[[#This Row],[NumL]],T_TraitDi[#Data],COLUMN(T_TraitDi[Colonne22]),FALSE),""),"[hh]:mm"))</f>
        <v>#N/A</v>
      </c>
      <c r="AX240" s="284" t="str">
        <f>IFERROR(VLOOKUP(T_Convention[[#This Row],[NumL]],T_TraitDi[#Data],COLUMN(T_TraitDi[Colonne23]),FALSE),"")</f>
        <v/>
      </c>
      <c r="AY240" s="284" t="e">
        <f>IF(VLOOKUP(T_Convention[[#This Row],[NumL]],T_TraitDi[#Data],COLUMN(T_TraitDi[Colonne24]),FALSE)=0,"",TEXT(IFERROR(VLOOKUP(T_Convention[[#This Row],[NumL]],T_TraitDi[#Data],COLUMN(T_TraitDi[Colonne24]),FALSE),""),"[hh]:mm"))</f>
        <v>#N/A</v>
      </c>
      <c r="AZ240" s="284" t="e">
        <f>IF(VLOOKUP(T_Convention[[#This Row],[NumL]],T_TraitDi[#Data],COLUMN(T_TraitDi[Colonne25]),FALSE)=0,"",TEXT(IFERROR(VLOOKUP(T_Convention[[#This Row],[NumL]],T_TraitDi[#Data],COLUMN(T_TraitDi[Colonne25]),FALSE),""),"[hh]:mm"))</f>
        <v>#N/A</v>
      </c>
      <c r="BA240" s="284" t="e">
        <f>IF(VLOOKUP(T_Convention[[#This Row],[NumL]],T_TraitDi[#Data],COLUMN(T_TraitDi[Colonne26]),FALSE)=0,"",TEXT(IFERROR(VLOOKUP(T_Convention[[#This Row],[NumL]],T_TraitDi[#Data],COLUMN(T_TraitDi[Colonne26]),FALSE),""),"[hh]:mm"))</f>
        <v>#N/A</v>
      </c>
      <c r="BB240" s="284" t="str">
        <f>IFERROR(VLOOKUP(T_Convention[[#This Row],[NumL]],T_TraitDi[#Data],COLUMN(T_TraitDi[Vendredi]),FALSE),"")</f>
        <v/>
      </c>
      <c r="BC240" s="284" t="e">
        <f>IF(VLOOKUP(T_Convention[[#This Row],[NumL]],T_TraitDi[#Data],COLUMN(T_TraitDi[Colonne27]),FALSE)=0,"",TEXT(IFERROR(VLOOKUP(T_Convention[[#This Row],[NumL]],T_TraitDi[#Data],COLUMN(T_TraitDi[Colonne27]),FALSE),""),"[hh]:mm"))</f>
        <v>#N/A</v>
      </c>
      <c r="BD240" s="284" t="e">
        <f>IF(VLOOKUP(T_Convention[[#This Row],[NumL]],T_TraitDi[#Data],COLUMN(T_TraitDi[Colonne28]),FALSE)=0,"",TEXT(IFERROR(VLOOKUP(T_Convention[[#This Row],[NumL]],T_TraitDi[#Data],COLUMN(T_TraitDi[Colonne28]),FALSE),""),"[hh]:mm"))</f>
        <v>#N/A</v>
      </c>
      <c r="BE240" s="284" t="str">
        <f>IFERROR(VLOOKUP(T_Convention[[#This Row],[NumL]],T_TraitDi[#Data],COLUMN(T_TraitDi[Colonne29]),FALSE),"")</f>
        <v/>
      </c>
      <c r="BF240" s="284" t="e">
        <f>IF(VLOOKUP(T_Convention[[#This Row],[NumL]],T_TraitDi[#Data],COLUMN(T_TraitDi[Colonne30]),FALSE)=0,"",TEXT(IFERROR(VLOOKUP(T_Convention[[#This Row],[NumL]],T_TraitDi[#Data],COLUMN(T_TraitDi[Colonne30]),FALSE),""),"[hh]:mm"))</f>
        <v>#N/A</v>
      </c>
      <c r="BG240" s="284" t="e">
        <f>IF(VLOOKUP(T_Convention[[#This Row],[NumL]],T_TraitDi[#Data],COLUMN(T_TraitDi[Colonne31]),FALSE)=0,"",TEXT(IFERROR(VLOOKUP(T_Convention[[#This Row],[NumL]],T_TraitDi[#Data],COLUMN(T_TraitDi[Colonne31]),FALSE),""),"[hh]:mm"))</f>
        <v>#N/A</v>
      </c>
      <c r="BH240" s="284" t="e">
        <f>IF(VLOOKUP(T_Convention[[#This Row],[NumL]],T_TraitDi[#Data],COLUMN(T_TraitDi[Colonne32]),FALSE)=0,"",TEXT(IFERROR(VLOOKUP(T_Convention[[#This Row],[NumL]],T_TraitDi[#Data],COLUMN(T_TraitDi[Colonne32]),FALSE),""),"[hh]:mm"))</f>
        <v>#N/A</v>
      </c>
      <c r="BI240" s="284" t="str">
        <f>IFERROR(VLOOKUP(T_Convention[[#This Row],[NumL]],T_TraitDi[#Data],COLUMN(T_TraitDi[NbJTW]),FALSE),"")</f>
        <v/>
      </c>
      <c r="BJ240" s="284" t="e">
        <f>IF(VLOOKUP(T_Convention[[#This Row],[NumL]],T_TraitDi[#Data],COLUMN(T_TraitDi[NbhTW]),FALSE)=0,"",TEXT(IFERROR(VLOOKUP(T_Convention[[#This Row],[NumL]],T_TraitDi[#Data],COLUMN(T_TraitDi[NbhTW]),FALSE),""),"[hh]:mm"))</f>
        <v>#N/A</v>
      </c>
      <c r="BK240" s="286" t="e">
        <f>IF(VLOOKUP(T_Convention[[#This Row],[NumL]],T_TraitDi[#Data],COLUMN(T_TraitDi[Nbhheb]),FALSE)=0,"",TEXT(IFERROR(VLOOKUP(T_Convention[[#This Row],[NumL]],T_TraitDi[#Data],COLUMN(T_TraitDi[Nbhheb]),FALSE),""),"[hh]:mm"))</f>
        <v>#N/A</v>
      </c>
      <c r="BL240" s="287" t="str">
        <f>IFERROR(VLOOKUP(VLOOKUP(T_Convention[[#This Row],[NumL]],T_TraitDi[#Data],COLUMN(T_TraitDi[Type1]),FALSE),TypeTW,2,FALSE),"")</f>
        <v/>
      </c>
      <c r="BM240" s="288" t="str">
        <f>IFERROR(VLOOKUP(T_Convention[[#This Row],[NumL]],T_TraitDi[#Data],COLUMN(T_TraitDi[Rue1]),FALSE),"")</f>
        <v/>
      </c>
      <c r="BN240" s="289" t="str">
        <f>IFERROR(VLOOKUP(T_Convention[[#This Row],[NumL]],T_TraitDi[#Data],COLUMN(T_TraitDi[CP1]),FALSE),"")</f>
        <v/>
      </c>
      <c r="BO240" s="282" t="str">
        <f>IFERROR(VLOOKUP(T_Convention[[#This Row],[NumL]],T_TraitDi[#Data],COLUMN(T_TraitDi[VILLE1]),FALSE),"")</f>
        <v/>
      </c>
      <c r="BP240" s="290" t="str">
        <f>IFERROR(VLOOKUP(VLOOKUP(T_Convention[[#This Row],[NumL]],T_TraitDi[#Data],COLUMN(T_TraitDi[Type2]),FALSE),TypeTW,2,FALSE),"")</f>
        <v/>
      </c>
      <c r="BQ240" s="182" t="str">
        <f>IFERROR(VLOOKUP(T_Convention[[#This Row],[NumL]],T_TraitDi[#Data],COLUMN(T_TraitDi[Rue2]),FALSE),"")</f>
        <v/>
      </c>
      <c r="BR240" s="173" t="str">
        <f>IFERROR(VLOOKUP(T_Convention[[#This Row],[NumL]],T_TraitDi[#Data],COLUMN(T_TraitDi[CP2]),FALSE),"")</f>
        <v/>
      </c>
      <c r="BS240" s="173" t="str">
        <f>IFERROR(VLOOKUP(T_Convention[[#This Row],[NumL]],T_TraitDi[#Data],COLUMN(T_TraitDi[VILLE2]),FALSE),"")</f>
        <v/>
      </c>
      <c r="BT240" s="182" t="str">
        <f>IF(VLOOKUP(T_Convention[[#This Row],[NumL]],T_Equipement[#Data],COLUMN(T_Equipement[PC]),FALSE)="","Aucun équipement spécifique directement lié au télétravail",VLOOKUP(T_Convention[[#This Row],[NumL]],T_Equipement[#Data],COLUMN(T_Equipement[PC]),FALSE))</f>
        <v xml:space="preserve">20-127	</v>
      </c>
      <c r="BU240" s="166" t="str">
        <f>IFERROR(IF(VLOOKUP(T_Convention[[#This Row],[NumL]],T_TraitDi[#Data],COLUMN(T_TraitDi[Plan]),FALSE)="OK","Un planning spécifique de télétravail est annexé à la présente convention.",""),"")</f>
        <v/>
      </c>
      <c r="BV240" s="185" t="s">
        <v>3300</v>
      </c>
      <c r="BW240" s="164" t="e">
        <f>IF(VLOOKUP(T_Convention[[#This Row],[NumL]],T_suiviDi[#Data],COLUMN(T_suiviDi[Entité]),FALSE)="","",VLOOKUP(T_Convention[[#This Row],[NumL]],T_suiviDi[#Data],COLUMN(T_suiviDi[Entité]),FALSE))</f>
        <v>#N/A</v>
      </c>
      <c r="BX240" s="164" t="str">
        <f>IF(VLOOKUP(T_Convention[[#This Row],[NumL]],T_Commission[#Data],COLUMN(T_Commission[envoi confirm TW]),FALSE)="","",VLOOKUP(T_Convention[[#This Row],[NumL]],T_Commission[#Data],COLUMN(T_Commission[envoi confirm TW]),FALSE))</f>
        <v>Oui</v>
      </c>
      <c r="BY24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0" s="264">
        <f>VLOOKUP(T_Convention[[#This Row],[NumL]],T_Commission[#Data],COLUMN(T_Commission[Commentaire]),FALSE)</f>
        <v>0</v>
      </c>
      <c r="CA240" s="254" t="str">
        <f>IF(VLOOKUP(T_Convention[[#This Row],[NumL]],T_Commission[#Data],COLUMN(T_Commission[Encadrant Email]),FALSE)="","",VLOOKUP(T_Convention[[#This Row],[NumL]],T_Commission[#Data],COLUMN(T_Commission[Encadrant Email]),FALSE))</f>
        <v/>
      </c>
      <c r="CB240" s="353" t="e">
        <f>VLOOKUP(T_Convention[[#This Row],[NumL]],T_TraitDi[#Data],COLUMN(T_TraitDi[NbJTot]),FALSE)</f>
        <v>#N/A</v>
      </c>
      <c r="CC240" s="353" t="e">
        <f>VLOOKUP(T_Convention[[#This Row],[NumL]],T_TraitDi[#Data],COLUMN(T_TraitDi[Reg Ponct]),FALSE)</f>
        <v>#N/A</v>
      </c>
      <c r="CD240" s="348" t="str">
        <f>IF(T_Convention[[#This Row],[Final]]&lt;&gt;"",VLOOKUP(T_Convention[[#This Row],[NumL]],T_suiviDi[#Data],COLUMN((T_suiviDi[Statut])),FALSE),"")</f>
        <v/>
      </c>
    </row>
    <row r="241" spans="1:82" s="106" customFormat="1" ht="18.75" customHeight="1" x14ac:dyDescent="0.25">
      <c r="A241" s="160">
        <v>171</v>
      </c>
      <c r="B241" s="161" t="str">
        <f>VLOOKUP(T_Convention[[#This Row],[NumL]],T_Commission[#Data],COLUMN(T_Commission[FINAL]),FALSE)</f>
        <v/>
      </c>
      <c r="C241" s="162"/>
      <c r="D241" s="95" t="e">
        <f>IF(VLOOKUP(T_Convention[[#This Row],[NumL]],T_TraitDi[#Data],COLUMN(T_TraitDi[WebC]),FALSE)="","",VLOOKUP(T_Convention[[#This Row],[NumL]],T_TraitDi[#Data],COLUMN(T_TraitDi[WebC]),FALSE))</f>
        <v>#N/A</v>
      </c>
      <c r="E241" s="163" t="str">
        <f t="shared" si="15"/>
        <v>12 janvier 2021</v>
      </c>
      <c r="F241" s="282" t="str">
        <f>IF(T_Convention[[#This Row],[Final]]&lt;&gt;"",VLOOKUP(T_Convention[[#This Row],[NumL]],T_suiviDi[#Data],COLUMN((T_suiviDi[Civ.])),FALSE),"")</f>
        <v/>
      </c>
      <c r="G241" s="283" t="str">
        <f>IF(T_Convention[[#This Row],[Final]]&lt;&gt;"",VLOOKUP(T_Convention[[#This Row],[NumL]],T_suiviDi[#Data],COLUMN((T_suiviDi[Nom])),FALSE),"")</f>
        <v/>
      </c>
      <c r="H241" s="282" t="str">
        <f>IF(T_Convention[[#This Row],[Final]]&lt;&gt;"",VLOOKUP(T_Convention[[#This Row],[NumL]],T_suiviDi[#Data],COLUMN((T_suiviDi[Prénom])),FALSE),"")</f>
        <v/>
      </c>
      <c r="I241" s="282" t="e">
        <f>VLOOKUP(T_Convention[[#This Row],[NumL]],T_suiviDi[#Data],COLUMN((T_suiviDi[[#This Row],[Email]])),FALSE)</f>
        <v>#VALUE!</v>
      </c>
      <c r="J241" s="282" t="e">
        <f>IF(VLOOKUP(T_Convention[[#This Row],[NumL]],T_suiviDi[#Data],COLUMN(T_suiviDi[[#This Row],[Fonction]]),FALSE)="","",VLOOKUP(T_Convention[[#This Row],[NumL]],T_suiviDi[#Data],COLUMN(T_suiviDi[[#This Row],[Fonction]]),FALSE))</f>
        <v>#VALUE!</v>
      </c>
      <c r="K241" s="282" t="e">
        <f>IF(VLOOKUP(T_Convention[[#This Row],[NumL]],T_suiviDi[#Data],COLUMN(T_suiviDi[[#This Row],[Grade]]),FALSE)="","",VLOOKUP(T_Convention[[#This Row],[NumL]],T_suiviDi[#Data],COLUMN(T_suiviDi[[#This Row],[Grade]]),FALSE))</f>
        <v>#VALUE!</v>
      </c>
      <c r="L241" s="282" t="e">
        <f>IF(VLOOKUP(T_Convention[[#This Row],[NumL]],T_suiviDi[#Data],COLUMN(T_suiviDi[[#This Row],[Service ]]),FALSE)="","",VLOOKUP(T_Convention[[#This Row],[NumL]],T_suiviDi[#Data],COLUMN(T_suiviDi[[#This Row],[Service ]]),FALSE))</f>
        <v>#VALUE!</v>
      </c>
      <c r="M241" s="164" t="str">
        <f t="shared" si="16"/>
        <v>01 septembre 2021</v>
      </c>
      <c r="N241" s="164" t="str">
        <f t="shared" si="17"/>
        <v>30 novembre 2021</v>
      </c>
      <c r="O241" s="284" t="str">
        <f t="shared" si="18"/>
        <v>30 novembre 2021</v>
      </c>
      <c r="P241" s="282" t="e">
        <f>IF(VLOOKUP(T_Convention[[#This Row],[NumL]],T_TraitDi[#Data],COLUMN(T_TraitDi[M1]),FALSE)="","",VLOOKUP(T_Convention[[#This Row],[NumL]],T_TraitDi[#Data],COLUMN(T_TraitDi[M1]),FALSE))</f>
        <v>#N/A</v>
      </c>
      <c r="Q241" s="282" t="e">
        <f>IF(VLOOKUP(T_Convention[[#This Row],[NumL]],T_TraitDi[#Data],COLUMN(T_TraitDi[M2]),FALSE)="","",VLOOKUP(T_Convention[[#This Row],[NumL]],T_TraitDi[#Data],COLUMN(T_TraitDi[M2]),FALSE))</f>
        <v>#N/A</v>
      </c>
      <c r="R241" s="282" t="e">
        <f>IF(VLOOKUP(T_Convention[[#This Row],[NumL]],T_TraitDi[#Data],COLUMN(T_TraitDi[M3]),FALSE)="","",VLOOKUP(T_Convention[[#This Row],[NumL]],T_TraitDi[#Data],COLUMN(T_TraitDi[M3]),FALSE))</f>
        <v>#N/A</v>
      </c>
      <c r="S241" s="282" t="e">
        <f>IF(VLOOKUP(T_Convention[[#This Row],[NumL]],T_TraitDi[#Data],COLUMN(T_TraitDi[M4]),FALSE)="","",VLOOKUP(T_Convention[[#This Row],[NumL]],T_TraitDi[#Data],COLUMN(T_TraitDi[M4]),FALSE))</f>
        <v>#N/A</v>
      </c>
      <c r="T241" s="282" t="e">
        <f>IF(VLOOKUP(T_Convention[[#This Row],[NumL]],T_TraitDi[#Data],COLUMN(T_TraitDi[M5]),FALSE)="","",VLOOKUP(T_Convention[[#This Row],[NumL]],T_TraitDi[#Data],COLUMN(T_TraitDi[M5]),FALSE))</f>
        <v>#N/A</v>
      </c>
      <c r="U241" s="282" t="e">
        <f>IF(VLOOKUP(T_Convention[[#This Row],[NumL]],T_TraitDi[#Data],COLUMN(T_TraitDi[M6]),FALSE)="","",VLOOKUP(T_Convention[[#This Row],[NumL]],T_TraitDi[#Data],COLUMN(T_TraitDi[M6]),FALSE))</f>
        <v>#N/A</v>
      </c>
      <c r="V241" s="176" t="e">
        <f t="shared" si="19"/>
        <v>#N/A</v>
      </c>
      <c r="W241" s="284" t="str">
        <f>IFERROR(TEXT(VLOOKUP(T_Convention[[#This Row],[NumL]],T_TraitDi[#Data],COLUMN(T_TraitDi[Q2]),FALSE),"###%"),"")</f>
        <v/>
      </c>
      <c r="X241" s="97" t="e">
        <f>VLOOKUP(T_Convention[[#This Row],[NumL]],T_TraitDi[#Data],COLUMN(T_TraitDi[Reg Ponct]),FALSE)</f>
        <v>#N/A</v>
      </c>
      <c r="Y241" s="97" t="e">
        <f>VLOOKUP(T_Convention[NumL],T_TraitDi[#Data],COLUMN(T_TraitDi[Jours flottants]),FALSE)</f>
        <v>#N/A</v>
      </c>
      <c r="Z241" s="284" t="str">
        <f>IFERROR(VLOOKUP(T_Convention[[#This Row],[NumL]],T_TraitDi[#Data],COLUMN(T_TraitDi[Lundi]),FALSE),"")</f>
        <v/>
      </c>
      <c r="AA241" s="284" t="e">
        <f>IF(VLOOKUP(T_Convention[[#This Row],[NumL]],T_TraitDi[#Data],COLUMN(T_TraitDi[Colonne3]),FALSE)=0,"",TEXT(IFERROR(VLOOKUP(T_Convention[[#This Row],[NumL]],T_TraitDi[#Data],COLUMN(T_TraitDi[Colonne3]),FALSE),""),"[hh]:mm"))</f>
        <v>#N/A</v>
      </c>
      <c r="AB241" s="284" t="e">
        <f>IF(VLOOKUP(T_Convention[[#This Row],[NumL]],T_TraitDi[#Data],COLUMN(T_TraitDi[Colonne4]),FALSE)=0,"",TEXT(IFERROR(VLOOKUP(T_Convention[[#This Row],[NumL]],T_TraitDi[#Data],COLUMN(T_TraitDi[Colonne4]),FALSE),""),"[hh]:mm"))</f>
        <v>#N/A</v>
      </c>
      <c r="AC241" s="284" t="e">
        <f>IF(VLOOKUP(T_Convention[[#This Row],[NumL]],T_TraitDi[#Data],COLUMN(T_TraitDi[Colonne5]),FALSE)=0,"",TEXT(IFERROR(VLOOKUP(T_Convention[[#This Row],[NumL]],T_TraitDi[#Data],COLUMN(T_TraitDi[Colonne5]),FALSE),""),"[hh]:mm"))</f>
        <v>#N/A</v>
      </c>
      <c r="AD241" s="284" t="e">
        <f>IF(VLOOKUP(T_Convention[[#This Row],[NumL]],T_TraitDi[#Data],COLUMN(T_TraitDi[Colonne6]),FALSE)=0,"",TEXT(IFERROR(VLOOKUP(T_Convention[[#This Row],[NumL]],T_TraitDi[#Data],COLUMN(T_TraitDi[Colonne6]),FALSE),""),"[hh]:mm"))</f>
        <v>#N/A</v>
      </c>
      <c r="AE241" s="284" t="e">
        <f>IF(VLOOKUP(T_Convention[[#This Row],[NumL]],T_TraitDi[#Data],COLUMN(T_TraitDi[Colonne7]),FALSE)=0,"",TEXT(IFERROR(VLOOKUP(T_Convention[[#This Row],[NumL]],T_TraitDi[#Data],COLUMN(T_TraitDi[Colonne7]),FALSE),""),"[hh]:mm"))</f>
        <v>#N/A</v>
      </c>
      <c r="AF241" s="284" t="e">
        <f>IF(VLOOKUP(T_Convention[[#This Row],[NumL]],T_TraitDi[#Data],COLUMN(T_TraitDi[Colonne8]),FALSE)=0,"",TEXT(IFERROR(VLOOKUP(T_Convention[[#This Row],[NumL]],T_TraitDi[#Data],COLUMN(T_TraitDi[Colonne8]),FALSE),""),"[hh]:mm"))</f>
        <v>#N/A</v>
      </c>
      <c r="AG241" s="284" t="str">
        <f>IFERROR(VLOOKUP(T_Convention[[#This Row],[NumL]],T_TraitDi[#Data],COLUMN(T_TraitDi[Mardi]),FALSE),"")</f>
        <v/>
      </c>
      <c r="AH241" s="284" t="e">
        <f>IF(VLOOKUP(T_Convention[[#This Row],[NumL]],T_TraitDi[#Data],COLUMN(T_TraitDi[Colonne1]),FALSE)=0,"",TEXT(IFERROR(VLOOKUP(T_Convention[[#This Row],[NumL]],T_TraitDi[#Data],COLUMN(T_TraitDi[Colonne1]),FALSE),""),"[hh]:mm"))</f>
        <v>#N/A</v>
      </c>
      <c r="AI241" s="284" t="e">
        <f>IF(VLOOKUP(T_Convention[[#This Row],[NumL]],T_TraitDi[#Data],COLUMN(T_TraitDi[Colonne9]),FALSE)=0,"",TEXT(IFERROR(VLOOKUP(T_Convention[[#This Row],[NumL]],T_TraitDi[#Data],COLUMN(T_TraitDi[Colonne9]),FALSE),""),"[hh]:mm"))</f>
        <v>#N/A</v>
      </c>
      <c r="AJ241" s="284" t="str">
        <f>IFERROR(VLOOKUP(T_Convention[[#This Row],[NumL]],T_TraitDi[#Data],COLUMN(T_TraitDi[Colonne10]),FALSE),"")</f>
        <v/>
      </c>
      <c r="AK241" s="284" t="e">
        <f>IF(VLOOKUP(T_Convention[[#This Row],[NumL]],T_TraitDi[#Data],COLUMN(T_TraitDi[Colonne11]),FALSE)=0,"",TEXT(IFERROR(VLOOKUP(T_Convention[[#This Row],[NumL]],T_TraitDi[#Data],COLUMN(T_TraitDi[Colonne11]),FALSE),""),"[hh]:mm"))</f>
        <v>#N/A</v>
      </c>
      <c r="AL241" s="284" t="e">
        <f>IF(VLOOKUP(T_Convention[[#This Row],[NumL]],T_TraitDi[#Data],COLUMN(T_TraitDi[Colonne12]),FALSE)=0,"",TEXT(IFERROR(VLOOKUP(T_Convention[[#This Row],[NumL]],T_TraitDi[#Data],COLUMN(T_TraitDi[Colonne12]),FALSE),""),"[hh]:mm"))</f>
        <v>#N/A</v>
      </c>
      <c r="AM241" s="284" t="e">
        <f>IF(VLOOKUP(T_Convention[[#This Row],[NumL]],T_TraitDi[#Data],COLUMN(T_TraitDi[Colonne14]),FALSE)=0,"",TEXT(IFERROR(VLOOKUP(T_Convention[[#This Row],[NumL]],T_TraitDi[#Data],COLUMN(T_TraitDi[Colonne14]),FALSE),""),"[hh]:mm"))</f>
        <v>#N/A</v>
      </c>
      <c r="AN241" s="284" t="str">
        <f>IFERROR(VLOOKUP(T_Convention[[#This Row],[NumL]],T_TraitDi[#Data],COLUMN(T_TraitDi[Mercredi]),FALSE),"")</f>
        <v/>
      </c>
      <c r="AO241" s="284" t="e">
        <f>IF(VLOOKUP(T_Convention[[#This Row],[NumL]],T_TraitDi[#Data],COLUMN(T_TraitDi[Colonne15]),FALSE)=0,"",TEXT(IFERROR(VLOOKUP(T_Convention[[#This Row],[NumL]],T_TraitDi[#Data],COLUMN(T_TraitDi[Colonne15]),FALSE),""),"[hh]:mm"))</f>
        <v>#N/A</v>
      </c>
      <c r="AP241" s="284" t="e">
        <f>IF(VLOOKUP(T_Convention[[#This Row],[NumL]],T_TraitDi[#Data],COLUMN(T_TraitDi[Colonne16]),FALSE)=0,"",TEXT(IFERROR(VLOOKUP(T_Convention[[#This Row],[NumL]],T_TraitDi[#Data],COLUMN(T_TraitDi[Colonne16]),FALSE),""),"[hh]:mm"))</f>
        <v>#N/A</v>
      </c>
      <c r="AQ241" s="284" t="str">
        <f>IFERROR(VLOOKUP(T_Convention[[#This Row],[NumL]],T_TraitDi[#Data],COLUMN(T_TraitDi[Colonne17]),FALSE),"")</f>
        <v/>
      </c>
      <c r="AR241" s="284" t="e">
        <f>IF(VLOOKUP(T_Convention[[#This Row],[NumL]],T_TraitDi[#Data],COLUMN(T_TraitDi[Colonne18]),FALSE)=0,"",TEXT(IFERROR(VLOOKUP(T_Convention[[#This Row],[NumL]],T_TraitDi[#Data],COLUMN(T_TraitDi[Colonne18]),FALSE),""),"[hh]:mm"))</f>
        <v>#N/A</v>
      </c>
      <c r="AS241" s="284" t="e">
        <f>IF(VLOOKUP(T_Convention[[#This Row],[NumL]],T_TraitDi[#Data],COLUMN(T_TraitDi[Colonne19]),FALSE)=0,"",TEXT(IFERROR(VLOOKUP(T_Convention[[#This Row],[NumL]],T_TraitDi[#Data],COLUMN(T_TraitDi[Colonne19]),FALSE),""),"[hh]:mm"))</f>
        <v>#N/A</v>
      </c>
      <c r="AT241" s="284" t="e">
        <f>IF(VLOOKUP(T_Convention[[#This Row],[NumL]],T_TraitDi[#Data],COLUMN(T_TraitDi[Colonne20]),FALSE)=0,"",TEXT(IFERROR(VLOOKUP(T_Convention[[#This Row],[NumL]],T_TraitDi[#Data],COLUMN(T_TraitDi[Colonne20]),FALSE),""),"[hh]:mm"))</f>
        <v>#N/A</v>
      </c>
      <c r="AU241" s="284" t="str">
        <f>IFERROR(VLOOKUP(T_Convention[[#This Row],[NumL]],T_TraitDi[#Data],COLUMN(T_TraitDi[Jeudi]),FALSE),"")</f>
        <v/>
      </c>
      <c r="AV241" s="284" t="e">
        <f>IF(VLOOKUP(T_Convention[[#This Row],[NumL]],T_TraitDi[#Data],COLUMN(T_TraitDi[Colonne21]),FALSE)=0,"",TEXT(IFERROR(VLOOKUP(T_Convention[[#This Row],[NumL]],T_TraitDi[#Data],COLUMN(T_TraitDi[Colonne21]),FALSE),""),"[hh]:mm"))</f>
        <v>#N/A</v>
      </c>
      <c r="AW241" s="284" t="e">
        <f>IF(VLOOKUP(T_Convention[[#This Row],[NumL]],T_TraitDi[#Data],COLUMN(T_TraitDi[Colonne22]),FALSE)=0,"",TEXT(IFERROR(VLOOKUP(T_Convention[[#This Row],[NumL]],T_TraitDi[#Data],COLUMN(T_TraitDi[Colonne22]),FALSE),""),"[hh]:mm"))</f>
        <v>#N/A</v>
      </c>
      <c r="AX241" s="284" t="str">
        <f>IFERROR(VLOOKUP(T_Convention[[#This Row],[NumL]],T_TraitDi[#Data],COLUMN(T_TraitDi[Colonne23]),FALSE),"")</f>
        <v/>
      </c>
      <c r="AY241" s="284" t="e">
        <f>IF(VLOOKUP(T_Convention[[#This Row],[NumL]],T_TraitDi[#Data],COLUMN(T_TraitDi[Colonne24]),FALSE)=0,"",TEXT(IFERROR(VLOOKUP(T_Convention[[#This Row],[NumL]],T_TraitDi[#Data],COLUMN(T_TraitDi[Colonne24]),FALSE),""),"[hh]:mm"))</f>
        <v>#N/A</v>
      </c>
      <c r="AZ241" s="284" t="e">
        <f>IF(VLOOKUP(T_Convention[[#This Row],[NumL]],T_TraitDi[#Data],COLUMN(T_TraitDi[Colonne25]),FALSE)=0,"",TEXT(IFERROR(VLOOKUP(T_Convention[[#This Row],[NumL]],T_TraitDi[#Data],COLUMN(T_TraitDi[Colonne25]),FALSE),""),"[hh]:mm"))</f>
        <v>#N/A</v>
      </c>
      <c r="BA241" s="284" t="e">
        <f>IF(VLOOKUP(T_Convention[[#This Row],[NumL]],T_TraitDi[#Data],COLUMN(T_TraitDi[Colonne26]),FALSE)=0,"",TEXT(IFERROR(VLOOKUP(T_Convention[[#This Row],[NumL]],T_TraitDi[#Data],COLUMN(T_TraitDi[Colonne26]),FALSE),""),"[hh]:mm"))</f>
        <v>#N/A</v>
      </c>
      <c r="BB241" s="284" t="str">
        <f>IFERROR(VLOOKUP(T_Convention[[#This Row],[NumL]],T_TraitDi[#Data],COLUMN(T_TraitDi[Vendredi]),FALSE),"")</f>
        <v/>
      </c>
      <c r="BC241" s="284" t="e">
        <f>IF(VLOOKUP(T_Convention[[#This Row],[NumL]],T_TraitDi[#Data],COLUMN(T_TraitDi[Colonne27]),FALSE)=0,"",TEXT(IFERROR(VLOOKUP(T_Convention[[#This Row],[NumL]],T_TraitDi[#Data],COLUMN(T_TraitDi[Colonne27]),FALSE),""),"[hh]:mm"))</f>
        <v>#N/A</v>
      </c>
      <c r="BD241" s="284" t="e">
        <f>IF(VLOOKUP(T_Convention[[#This Row],[NumL]],T_TraitDi[#Data],COLUMN(T_TraitDi[Colonne28]),FALSE)=0,"",TEXT(IFERROR(VLOOKUP(T_Convention[[#This Row],[NumL]],T_TraitDi[#Data],COLUMN(T_TraitDi[Colonne28]),FALSE),""),"[hh]:mm"))</f>
        <v>#N/A</v>
      </c>
      <c r="BE241" s="284" t="str">
        <f>IFERROR(VLOOKUP(T_Convention[[#This Row],[NumL]],T_TraitDi[#Data],COLUMN(T_TraitDi[Colonne29]),FALSE),"")</f>
        <v/>
      </c>
      <c r="BF241" s="284" t="e">
        <f>IF(VLOOKUP(T_Convention[[#This Row],[NumL]],T_TraitDi[#Data],COLUMN(T_TraitDi[Colonne30]),FALSE)=0,"",TEXT(IFERROR(VLOOKUP(T_Convention[[#This Row],[NumL]],T_TraitDi[#Data],COLUMN(T_TraitDi[Colonne30]),FALSE),""),"[hh]:mm"))</f>
        <v>#N/A</v>
      </c>
      <c r="BG241" s="284" t="e">
        <f>IF(VLOOKUP(T_Convention[[#This Row],[NumL]],T_TraitDi[#Data],COLUMN(T_TraitDi[Colonne31]),FALSE)=0,"",TEXT(IFERROR(VLOOKUP(T_Convention[[#This Row],[NumL]],T_TraitDi[#Data],COLUMN(T_TraitDi[Colonne31]),FALSE),""),"[hh]:mm"))</f>
        <v>#N/A</v>
      </c>
      <c r="BH241" s="284" t="e">
        <f>IF(VLOOKUP(T_Convention[[#This Row],[NumL]],T_TraitDi[#Data],COLUMN(T_TraitDi[Colonne32]),FALSE)=0,"",TEXT(IFERROR(VLOOKUP(T_Convention[[#This Row],[NumL]],T_TraitDi[#Data],COLUMN(T_TraitDi[Colonne32]),FALSE),""),"[hh]:mm"))</f>
        <v>#N/A</v>
      </c>
      <c r="BI241" s="284" t="str">
        <f>IFERROR(VLOOKUP(T_Convention[[#This Row],[NumL]],T_TraitDi[#Data],COLUMN(T_TraitDi[NbJTW]),FALSE),"")</f>
        <v/>
      </c>
      <c r="BJ241" s="284" t="e">
        <f>IF(VLOOKUP(T_Convention[[#This Row],[NumL]],T_TraitDi[#Data],COLUMN(T_TraitDi[NbhTW]),FALSE)=0,"",TEXT(IFERROR(VLOOKUP(T_Convention[[#This Row],[NumL]],T_TraitDi[#Data],COLUMN(T_TraitDi[NbhTW]),FALSE),""),"[hh]:mm"))</f>
        <v>#N/A</v>
      </c>
      <c r="BK241" s="286" t="e">
        <f>IF(VLOOKUP(T_Convention[[#This Row],[NumL]],T_TraitDi[#Data],COLUMN(T_TraitDi[Nbhheb]),FALSE)=0,"",TEXT(IFERROR(VLOOKUP(T_Convention[[#This Row],[NumL]],T_TraitDi[#Data],COLUMN(T_TraitDi[Nbhheb]),FALSE),""),"[hh]:mm"))</f>
        <v>#N/A</v>
      </c>
      <c r="BL241" s="287" t="str">
        <f>IFERROR(VLOOKUP(VLOOKUP(T_Convention[[#This Row],[NumL]],T_TraitDi[#Data],COLUMN(T_TraitDi[Type1]),FALSE),TypeTW,2,FALSE),"")</f>
        <v/>
      </c>
      <c r="BM241" s="288" t="str">
        <f>IFERROR(VLOOKUP(T_Convention[[#This Row],[NumL]],T_TraitDi[#Data],COLUMN(T_TraitDi[Rue1]),FALSE),"")</f>
        <v/>
      </c>
      <c r="BN241" s="289" t="str">
        <f>IFERROR(VLOOKUP(T_Convention[[#This Row],[NumL]],T_TraitDi[#Data],COLUMN(T_TraitDi[CP1]),FALSE),"")</f>
        <v/>
      </c>
      <c r="BO241" s="282" t="str">
        <f>IFERROR(VLOOKUP(T_Convention[[#This Row],[NumL]],T_TraitDi[#Data],COLUMN(T_TraitDi[VILLE1]),FALSE),"")</f>
        <v/>
      </c>
      <c r="BP241" s="290" t="str">
        <f>IFERROR(VLOOKUP(VLOOKUP(T_Convention[[#This Row],[NumL]],T_TraitDi[#Data],COLUMN(T_TraitDi[Type2]),FALSE),TypeTW,2,FALSE),"")</f>
        <v/>
      </c>
      <c r="BQ241" s="182" t="str">
        <f>IFERROR(VLOOKUP(T_Convention[[#This Row],[NumL]],T_TraitDi[#Data],COLUMN(T_TraitDi[Rue2]),FALSE),"")</f>
        <v/>
      </c>
      <c r="BR241" s="173" t="str">
        <f>IFERROR(VLOOKUP(T_Convention[[#This Row],[NumL]],T_TraitDi[#Data],COLUMN(T_TraitDi[CP2]),FALSE),"")</f>
        <v/>
      </c>
      <c r="BS241" s="173" t="str">
        <f>IFERROR(VLOOKUP(T_Convention[[#This Row],[NumL]],T_TraitDi[#Data],COLUMN(T_TraitDi[VILLE2]),FALSE),"")</f>
        <v/>
      </c>
      <c r="BT241" s="182" t="str">
        <f>IF(VLOOKUP(T_Convention[[#This Row],[NumL]],T_Equipement[#Data],COLUMN(T_Equipement[PC]),FALSE)="","Aucun équipement spécifique directement lié au télétravail",VLOOKUP(T_Convention[[#This Row],[NumL]],T_Equipement[#Data],COLUMN(T_Equipement[PC]),FALSE))</f>
        <v xml:space="preserve">	20-372</v>
      </c>
      <c r="BU241" s="166" t="str">
        <f>IFERROR(IF(VLOOKUP(T_Convention[[#This Row],[NumL]],T_TraitDi[#Data],COLUMN(T_TraitDi[Plan]),FALSE)="OK","Un planning spécifique de télétravail est annexé à la présente convention.",""),"")</f>
        <v/>
      </c>
      <c r="BV241" s="185" t="s">
        <v>3463</v>
      </c>
      <c r="BW241" s="164" t="e">
        <f>IF(VLOOKUP(T_Convention[[#This Row],[NumL]],T_suiviDi[#Data],COLUMN(T_suiviDi[Entité]),FALSE)="","",VLOOKUP(T_Convention[[#This Row],[NumL]],T_suiviDi[#Data],COLUMN(T_suiviDi[Entité]),FALSE))</f>
        <v>#N/A</v>
      </c>
      <c r="BX241" s="164" t="str">
        <f>IF(VLOOKUP(T_Convention[[#This Row],[NumL]],T_Commission[#Data],COLUMN(T_Commission[envoi confirm TW]),FALSE)="","",VLOOKUP(T_Convention[[#This Row],[NumL]],T_Commission[#Data],COLUMN(T_Commission[envoi confirm TW]),FALSE))</f>
        <v>Oui</v>
      </c>
      <c r="BY24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1" s="264">
        <f>VLOOKUP(T_Convention[[#This Row],[NumL]],T_Commission[#Data],COLUMN(T_Commission[Commentaire]),FALSE)</f>
        <v>0</v>
      </c>
      <c r="CA241" s="254" t="str">
        <f>IF(VLOOKUP(T_Convention[[#This Row],[NumL]],T_Commission[#Data],COLUMN(T_Commission[Encadrant Email]),FALSE)="","",VLOOKUP(T_Convention[[#This Row],[NumL]],T_Commission[#Data],COLUMN(T_Commission[Encadrant Email]),FALSE))</f>
        <v/>
      </c>
      <c r="CB241" s="353" t="e">
        <f>VLOOKUP(T_Convention[[#This Row],[NumL]],T_TraitDi[#Data],COLUMN(T_TraitDi[NbJTot]),FALSE)</f>
        <v>#N/A</v>
      </c>
      <c r="CC241" s="353" t="e">
        <f>VLOOKUP(T_Convention[[#This Row],[NumL]],T_TraitDi[#Data],COLUMN(T_TraitDi[Reg Ponct]),FALSE)</f>
        <v>#N/A</v>
      </c>
      <c r="CD241" s="348" t="str">
        <f>IF(T_Convention[[#This Row],[Final]]&lt;&gt;"",VLOOKUP(T_Convention[[#This Row],[NumL]],T_suiviDi[#Data],COLUMN((T_suiviDi[Statut])),FALSE),"")</f>
        <v/>
      </c>
    </row>
    <row r="242" spans="1:82" s="106" customFormat="1" ht="18.75" customHeight="1" x14ac:dyDescent="0.25">
      <c r="A242" s="160">
        <v>149</v>
      </c>
      <c r="B242" s="161" t="str">
        <f>VLOOKUP(T_Convention[[#This Row],[NumL]],T_Commission[#Data],COLUMN(T_Commission[FINAL]),FALSE)</f>
        <v/>
      </c>
      <c r="C242" s="162"/>
      <c r="D242" s="95" t="e">
        <f>IF(VLOOKUP(T_Convention[[#This Row],[NumL]],T_TraitDi[#Data],COLUMN(T_TraitDi[WebC]),FALSE)="","",VLOOKUP(T_Convention[[#This Row],[NumL]],T_TraitDi[#Data],COLUMN(T_TraitDi[WebC]),FALSE))</f>
        <v>#N/A</v>
      </c>
      <c r="E242" s="163" t="str">
        <f t="shared" si="15"/>
        <v>12 janvier 2021</v>
      </c>
      <c r="F242" s="282" t="str">
        <f>IF(T_Convention[[#This Row],[Final]]&lt;&gt;"",VLOOKUP(T_Convention[[#This Row],[NumL]],T_suiviDi[#Data],COLUMN((T_suiviDi[Civ.])),FALSE),"")</f>
        <v/>
      </c>
      <c r="G242" s="283" t="str">
        <f>IF(T_Convention[[#This Row],[Final]]&lt;&gt;"",VLOOKUP(T_Convention[[#This Row],[NumL]],T_suiviDi[#Data],COLUMN((T_suiviDi[Nom])),FALSE),"")</f>
        <v/>
      </c>
      <c r="H242" s="282" t="str">
        <f>IF(T_Convention[[#This Row],[Final]]&lt;&gt;"",VLOOKUP(T_Convention[[#This Row],[NumL]],T_suiviDi[#Data],COLUMN((T_suiviDi[Prénom])),FALSE),"")</f>
        <v/>
      </c>
      <c r="I242" s="282" t="e">
        <f>VLOOKUP(T_Convention[[#This Row],[NumL]],T_suiviDi[#Data],COLUMN((T_suiviDi[[#This Row],[Email]])),FALSE)</f>
        <v>#VALUE!</v>
      </c>
      <c r="J242" s="282" t="e">
        <f>IF(VLOOKUP(T_Convention[[#This Row],[NumL]],T_suiviDi[#Data],COLUMN(T_suiviDi[[#This Row],[Fonction]]),FALSE)="","",VLOOKUP(T_Convention[[#This Row],[NumL]],T_suiviDi[#Data],COLUMN(T_suiviDi[[#This Row],[Fonction]]),FALSE))</f>
        <v>#VALUE!</v>
      </c>
      <c r="K242" s="282" t="e">
        <f>IF(VLOOKUP(T_Convention[[#This Row],[NumL]],T_suiviDi[#Data],COLUMN(T_suiviDi[[#This Row],[Grade]]),FALSE)="","",VLOOKUP(T_Convention[[#This Row],[NumL]],T_suiviDi[#Data],COLUMN(T_suiviDi[[#This Row],[Grade]]),FALSE))</f>
        <v>#VALUE!</v>
      </c>
      <c r="L242" s="282" t="e">
        <f>IF(VLOOKUP(T_Convention[[#This Row],[NumL]],T_suiviDi[#Data],COLUMN(T_suiviDi[[#This Row],[Service ]]),FALSE)="","",VLOOKUP(T_Convention[[#This Row],[NumL]],T_suiviDi[#Data],COLUMN(T_suiviDi[[#This Row],[Service ]]),FALSE))</f>
        <v>#VALUE!</v>
      </c>
      <c r="M242" s="164" t="str">
        <f t="shared" si="16"/>
        <v>01 septembre 2021</v>
      </c>
      <c r="N242" s="164" t="str">
        <f t="shared" si="17"/>
        <v>30 novembre 2021</v>
      </c>
      <c r="O242" s="284" t="str">
        <f t="shared" si="18"/>
        <v>30 novembre 2021</v>
      </c>
      <c r="P242" s="282" t="e">
        <f>IF(VLOOKUP(T_Convention[[#This Row],[NumL]],T_TraitDi[#Data],COLUMN(T_TraitDi[M1]),FALSE)="","",VLOOKUP(T_Convention[[#This Row],[NumL]],T_TraitDi[#Data],COLUMN(T_TraitDi[M1]),FALSE))</f>
        <v>#N/A</v>
      </c>
      <c r="Q242" s="282" t="e">
        <f>IF(VLOOKUP(T_Convention[[#This Row],[NumL]],T_TraitDi[#Data],COLUMN(T_TraitDi[M2]),FALSE)="","",VLOOKUP(T_Convention[[#This Row],[NumL]],T_TraitDi[#Data],COLUMN(T_TraitDi[M2]),FALSE))</f>
        <v>#N/A</v>
      </c>
      <c r="R242" s="282" t="e">
        <f>IF(VLOOKUP(T_Convention[[#This Row],[NumL]],T_TraitDi[#Data],COLUMN(T_TraitDi[M3]),FALSE)="","",VLOOKUP(T_Convention[[#This Row],[NumL]],T_TraitDi[#Data],COLUMN(T_TraitDi[M3]),FALSE))</f>
        <v>#N/A</v>
      </c>
      <c r="S242" s="282" t="e">
        <f>IF(VLOOKUP(T_Convention[[#This Row],[NumL]],T_TraitDi[#Data],COLUMN(T_TraitDi[M4]),FALSE)="","",VLOOKUP(T_Convention[[#This Row],[NumL]],T_TraitDi[#Data],COLUMN(T_TraitDi[M4]),FALSE))</f>
        <v>#N/A</v>
      </c>
      <c r="T242" s="282" t="e">
        <f>IF(VLOOKUP(T_Convention[[#This Row],[NumL]],T_TraitDi[#Data],COLUMN(T_TraitDi[M5]),FALSE)="","",VLOOKUP(T_Convention[[#This Row],[NumL]],T_TraitDi[#Data],COLUMN(T_TraitDi[M5]),FALSE))</f>
        <v>#N/A</v>
      </c>
      <c r="U242" s="282" t="e">
        <f>IF(VLOOKUP(T_Convention[[#This Row],[NumL]],T_TraitDi[#Data],COLUMN(T_TraitDi[M6]),FALSE)="","",VLOOKUP(T_Convention[[#This Row],[NumL]],T_TraitDi[#Data],COLUMN(T_TraitDi[M6]),FALSE))</f>
        <v>#N/A</v>
      </c>
      <c r="V242" s="176" t="e">
        <f t="shared" si="19"/>
        <v>#N/A</v>
      </c>
      <c r="W242" s="284" t="str">
        <f>IFERROR(TEXT(VLOOKUP(T_Convention[[#This Row],[NumL]],T_TraitDi[#Data],COLUMN(T_TraitDi[Q2]),FALSE),"###%"),"")</f>
        <v/>
      </c>
      <c r="X242" s="97" t="e">
        <f>VLOOKUP(T_Convention[[#This Row],[NumL]],T_TraitDi[#Data],COLUMN(T_TraitDi[Reg Ponct]),FALSE)</f>
        <v>#N/A</v>
      </c>
      <c r="Y242" s="97" t="e">
        <f>VLOOKUP(T_Convention[NumL],T_TraitDi[#Data],COLUMN(T_TraitDi[Jours flottants]),FALSE)</f>
        <v>#N/A</v>
      </c>
      <c r="Z242" s="284" t="str">
        <f>IFERROR(VLOOKUP(T_Convention[[#This Row],[NumL]],T_TraitDi[#Data],COLUMN(T_TraitDi[Lundi]),FALSE),"")</f>
        <v/>
      </c>
      <c r="AA242" s="284" t="e">
        <f>IF(VLOOKUP(T_Convention[[#This Row],[NumL]],T_TraitDi[#Data],COLUMN(T_TraitDi[Colonne3]),FALSE)=0,"",TEXT(IFERROR(VLOOKUP(T_Convention[[#This Row],[NumL]],T_TraitDi[#Data],COLUMN(T_TraitDi[Colonne3]),FALSE),""),"[hh]:mm"))</f>
        <v>#N/A</v>
      </c>
      <c r="AB242" s="284" t="e">
        <f>IF(VLOOKUP(T_Convention[[#This Row],[NumL]],T_TraitDi[#Data],COLUMN(T_TraitDi[Colonne4]),FALSE)=0,"",TEXT(IFERROR(VLOOKUP(T_Convention[[#This Row],[NumL]],T_TraitDi[#Data],COLUMN(T_TraitDi[Colonne4]),FALSE),""),"[hh]:mm"))</f>
        <v>#N/A</v>
      </c>
      <c r="AC242" s="284" t="e">
        <f>IF(VLOOKUP(T_Convention[[#This Row],[NumL]],T_TraitDi[#Data],COLUMN(T_TraitDi[Colonne5]),FALSE)=0,"",TEXT(IFERROR(VLOOKUP(T_Convention[[#This Row],[NumL]],T_TraitDi[#Data],COLUMN(T_TraitDi[Colonne5]),FALSE),""),"[hh]:mm"))</f>
        <v>#N/A</v>
      </c>
      <c r="AD242" s="284" t="e">
        <f>IF(VLOOKUP(T_Convention[[#This Row],[NumL]],T_TraitDi[#Data],COLUMN(T_TraitDi[Colonne6]),FALSE)=0,"",TEXT(IFERROR(VLOOKUP(T_Convention[[#This Row],[NumL]],T_TraitDi[#Data],COLUMN(T_TraitDi[Colonne6]),FALSE),""),"[hh]:mm"))</f>
        <v>#N/A</v>
      </c>
      <c r="AE242" s="284" t="e">
        <f>IF(VLOOKUP(T_Convention[[#This Row],[NumL]],T_TraitDi[#Data],COLUMN(T_TraitDi[Colonne7]),FALSE)=0,"",TEXT(IFERROR(VLOOKUP(T_Convention[[#This Row],[NumL]],T_TraitDi[#Data],COLUMN(T_TraitDi[Colonne7]),FALSE),""),"[hh]:mm"))</f>
        <v>#N/A</v>
      </c>
      <c r="AF242" s="284" t="e">
        <f>IF(VLOOKUP(T_Convention[[#This Row],[NumL]],T_TraitDi[#Data],COLUMN(T_TraitDi[Colonne8]),FALSE)=0,"",TEXT(IFERROR(VLOOKUP(T_Convention[[#This Row],[NumL]],T_TraitDi[#Data],COLUMN(T_TraitDi[Colonne8]),FALSE),""),"[hh]:mm"))</f>
        <v>#N/A</v>
      </c>
      <c r="AG242" s="284" t="str">
        <f>IFERROR(VLOOKUP(T_Convention[[#This Row],[NumL]],T_TraitDi[#Data],COLUMN(T_TraitDi[Mardi]),FALSE),"")</f>
        <v/>
      </c>
      <c r="AH242" s="284" t="e">
        <f>IF(VLOOKUP(T_Convention[[#This Row],[NumL]],T_TraitDi[#Data],COLUMN(T_TraitDi[Colonne1]),FALSE)=0,"",TEXT(IFERROR(VLOOKUP(T_Convention[[#This Row],[NumL]],T_TraitDi[#Data],COLUMN(T_TraitDi[Colonne1]),FALSE),""),"[hh]:mm"))</f>
        <v>#N/A</v>
      </c>
      <c r="AI242" s="284" t="e">
        <f>IF(VLOOKUP(T_Convention[[#This Row],[NumL]],T_TraitDi[#Data],COLUMN(T_TraitDi[Colonne9]),FALSE)=0,"",TEXT(IFERROR(VLOOKUP(T_Convention[[#This Row],[NumL]],T_TraitDi[#Data],COLUMN(T_TraitDi[Colonne9]),FALSE),""),"[hh]:mm"))</f>
        <v>#N/A</v>
      </c>
      <c r="AJ242" s="284" t="str">
        <f>IFERROR(VLOOKUP(T_Convention[[#This Row],[NumL]],T_TraitDi[#Data],COLUMN(T_TraitDi[Colonne10]),FALSE),"")</f>
        <v/>
      </c>
      <c r="AK242" s="284" t="e">
        <f>IF(VLOOKUP(T_Convention[[#This Row],[NumL]],T_TraitDi[#Data],COLUMN(T_TraitDi[Colonne11]),FALSE)=0,"",TEXT(IFERROR(VLOOKUP(T_Convention[[#This Row],[NumL]],T_TraitDi[#Data],COLUMN(T_TraitDi[Colonne11]),FALSE),""),"[hh]:mm"))</f>
        <v>#N/A</v>
      </c>
      <c r="AL242" s="284" t="e">
        <f>IF(VLOOKUP(T_Convention[[#This Row],[NumL]],T_TraitDi[#Data],COLUMN(T_TraitDi[Colonne12]),FALSE)=0,"",TEXT(IFERROR(VLOOKUP(T_Convention[[#This Row],[NumL]],T_TraitDi[#Data],COLUMN(T_TraitDi[Colonne12]),FALSE),""),"[hh]:mm"))</f>
        <v>#N/A</v>
      </c>
      <c r="AM242" s="284" t="e">
        <f>IF(VLOOKUP(T_Convention[[#This Row],[NumL]],T_TraitDi[#Data],COLUMN(T_TraitDi[Colonne14]),FALSE)=0,"",TEXT(IFERROR(VLOOKUP(T_Convention[[#This Row],[NumL]],T_TraitDi[#Data],COLUMN(T_TraitDi[Colonne14]),FALSE),""),"[hh]:mm"))</f>
        <v>#N/A</v>
      </c>
      <c r="AN242" s="284" t="str">
        <f>IFERROR(VLOOKUP(T_Convention[[#This Row],[NumL]],T_TraitDi[#Data],COLUMN(T_TraitDi[Mercredi]),FALSE),"")</f>
        <v/>
      </c>
      <c r="AO242" s="284" t="e">
        <f>IF(VLOOKUP(T_Convention[[#This Row],[NumL]],T_TraitDi[#Data],COLUMN(T_TraitDi[Colonne15]),FALSE)=0,"",TEXT(IFERROR(VLOOKUP(T_Convention[[#This Row],[NumL]],T_TraitDi[#Data],COLUMN(T_TraitDi[Colonne15]),FALSE),""),"[hh]:mm"))</f>
        <v>#N/A</v>
      </c>
      <c r="AP242" s="284" t="e">
        <f>IF(VLOOKUP(T_Convention[[#This Row],[NumL]],T_TraitDi[#Data],COLUMN(T_TraitDi[Colonne16]),FALSE)=0,"",TEXT(IFERROR(VLOOKUP(T_Convention[[#This Row],[NumL]],T_TraitDi[#Data],COLUMN(T_TraitDi[Colonne16]),FALSE),""),"[hh]:mm"))</f>
        <v>#N/A</v>
      </c>
      <c r="AQ242" s="284" t="str">
        <f>IFERROR(VLOOKUP(T_Convention[[#This Row],[NumL]],T_TraitDi[#Data],COLUMN(T_TraitDi[Colonne17]),FALSE),"")</f>
        <v/>
      </c>
      <c r="AR242" s="284" t="e">
        <f>IF(VLOOKUP(T_Convention[[#This Row],[NumL]],T_TraitDi[#Data],COLUMN(T_TraitDi[Colonne18]),FALSE)=0,"",TEXT(IFERROR(VLOOKUP(T_Convention[[#This Row],[NumL]],T_TraitDi[#Data],COLUMN(T_TraitDi[Colonne18]),FALSE),""),"[hh]:mm"))</f>
        <v>#N/A</v>
      </c>
      <c r="AS242" s="284" t="e">
        <f>IF(VLOOKUP(T_Convention[[#This Row],[NumL]],T_TraitDi[#Data],COLUMN(T_TraitDi[Colonne19]),FALSE)=0,"",TEXT(IFERROR(VLOOKUP(T_Convention[[#This Row],[NumL]],T_TraitDi[#Data],COLUMN(T_TraitDi[Colonne19]),FALSE),""),"[hh]:mm"))</f>
        <v>#N/A</v>
      </c>
      <c r="AT242" s="284" t="e">
        <f>IF(VLOOKUP(T_Convention[[#This Row],[NumL]],T_TraitDi[#Data],COLUMN(T_TraitDi[Colonne20]),FALSE)=0,"",TEXT(IFERROR(VLOOKUP(T_Convention[[#This Row],[NumL]],T_TraitDi[#Data],COLUMN(T_TraitDi[Colonne20]),FALSE),""),"[hh]:mm"))</f>
        <v>#N/A</v>
      </c>
      <c r="AU242" s="284" t="str">
        <f>IFERROR(VLOOKUP(T_Convention[[#This Row],[NumL]],T_TraitDi[#Data],COLUMN(T_TraitDi[Jeudi]),FALSE),"")</f>
        <v/>
      </c>
      <c r="AV242" s="284" t="e">
        <f>IF(VLOOKUP(T_Convention[[#This Row],[NumL]],T_TraitDi[#Data],COLUMN(T_TraitDi[Colonne21]),FALSE)=0,"",TEXT(IFERROR(VLOOKUP(T_Convention[[#This Row],[NumL]],T_TraitDi[#Data],COLUMN(T_TraitDi[Colonne21]),FALSE),""),"[hh]:mm"))</f>
        <v>#N/A</v>
      </c>
      <c r="AW242" s="284" t="e">
        <f>IF(VLOOKUP(T_Convention[[#This Row],[NumL]],T_TraitDi[#Data],COLUMN(T_TraitDi[Colonne22]),FALSE)=0,"",TEXT(IFERROR(VLOOKUP(T_Convention[[#This Row],[NumL]],T_TraitDi[#Data],COLUMN(T_TraitDi[Colonne22]),FALSE),""),"[hh]:mm"))</f>
        <v>#N/A</v>
      </c>
      <c r="AX242" s="284" t="str">
        <f>IFERROR(VLOOKUP(T_Convention[[#This Row],[NumL]],T_TraitDi[#Data],COLUMN(T_TraitDi[Colonne23]),FALSE),"")</f>
        <v/>
      </c>
      <c r="AY242" s="284" t="e">
        <f>IF(VLOOKUP(T_Convention[[#This Row],[NumL]],T_TraitDi[#Data],COLUMN(T_TraitDi[Colonne24]),FALSE)=0,"",TEXT(IFERROR(VLOOKUP(T_Convention[[#This Row],[NumL]],T_TraitDi[#Data],COLUMN(T_TraitDi[Colonne24]),FALSE),""),"[hh]:mm"))</f>
        <v>#N/A</v>
      </c>
      <c r="AZ242" s="284" t="e">
        <f>IF(VLOOKUP(T_Convention[[#This Row],[NumL]],T_TraitDi[#Data],COLUMN(T_TraitDi[Colonne25]),FALSE)=0,"",TEXT(IFERROR(VLOOKUP(T_Convention[[#This Row],[NumL]],T_TraitDi[#Data],COLUMN(T_TraitDi[Colonne25]),FALSE),""),"[hh]:mm"))</f>
        <v>#N/A</v>
      </c>
      <c r="BA242" s="284" t="e">
        <f>IF(VLOOKUP(T_Convention[[#This Row],[NumL]],T_TraitDi[#Data],COLUMN(T_TraitDi[Colonne26]),FALSE)=0,"",TEXT(IFERROR(VLOOKUP(T_Convention[[#This Row],[NumL]],T_TraitDi[#Data],COLUMN(T_TraitDi[Colonne26]),FALSE),""),"[hh]:mm"))</f>
        <v>#N/A</v>
      </c>
      <c r="BB242" s="284" t="str">
        <f>IFERROR(VLOOKUP(T_Convention[[#This Row],[NumL]],T_TraitDi[#Data],COLUMN(T_TraitDi[Vendredi]),FALSE),"")</f>
        <v/>
      </c>
      <c r="BC242" s="284" t="e">
        <f>IF(VLOOKUP(T_Convention[[#This Row],[NumL]],T_TraitDi[#Data],COLUMN(T_TraitDi[Colonne27]),FALSE)=0,"",TEXT(IFERROR(VLOOKUP(T_Convention[[#This Row],[NumL]],T_TraitDi[#Data],COLUMN(T_TraitDi[Colonne27]),FALSE),""),"[hh]:mm"))</f>
        <v>#N/A</v>
      </c>
      <c r="BD242" s="284" t="e">
        <f>IF(VLOOKUP(T_Convention[[#This Row],[NumL]],T_TraitDi[#Data],COLUMN(T_TraitDi[Colonne28]),FALSE)=0,"",TEXT(IFERROR(VLOOKUP(T_Convention[[#This Row],[NumL]],T_TraitDi[#Data],COLUMN(T_TraitDi[Colonne28]),FALSE),""),"[hh]:mm"))</f>
        <v>#N/A</v>
      </c>
      <c r="BE242" s="284" t="str">
        <f>IFERROR(VLOOKUP(T_Convention[[#This Row],[NumL]],T_TraitDi[#Data],COLUMN(T_TraitDi[Colonne29]),FALSE),"")</f>
        <v/>
      </c>
      <c r="BF242" s="284" t="e">
        <f>IF(VLOOKUP(T_Convention[[#This Row],[NumL]],T_TraitDi[#Data],COLUMN(T_TraitDi[Colonne30]),FALSE)=0,"",TEXT(IFERROR(VLOOKUP(T_Convention[[#This Row],[NumL]],T_TraitDi[#Data],COLUMN(T_TraitDi[Colonne30]),FALSE),""),"[hh]:mm"))</f>
        <v>#N/A</v>
      </c>
      <c r="BG242" s="284" t="e">
        <f>IF(VLOOKUP(T_Convention[[#This Row],[NumL]],T_TraitDi[#Data],COLUMN(T_TraitDi[Colonne31]),FALSE)=0,"",TEXT(IFERROR(VLOOKUP(T_Convention[[#This Row],[NumL]],T_TraitDi[#Data],COLUMN(T_TraitDi[Colonne31]),FALSE),""),"[hh]:mm"))</f>
        <v>#N/A</v>
      </c>
      <c r="BH242" s="284" t="e">
        <f>IF(VLOOKUP(T_Convention[[#This Row],[NumL]],T_TraitDi[#Data],COLUMN(T_TraitDi[Colonne32]),FALSE)=0,"",TEXT(IFERROR(VLOOKUP(T_Convention[[#This Row],[NumL]],T_TraitDi[#Data],COLUMN(T_TraitDi[Colonne32]),FALSE),""),"[hh]:mm"))</f>
        <v>#N/A</v>
      </c>
      <c r="BI242" s="284" t="str">
        <f>IFERROR(VLOOKUP(T_Convention[[#This Row],[NumL]],T_TraitDi[#Data],COLUMN(T_TraitDi[NbJTW]),FALSE),"")</f>
        <v/>
      </c>
      <c r="BJ242" s="284" t="e">
        <f>IF(VLOOKUP(T_Convention[[#This Row],[NumL]],T_TraitDi[#Data],COLUMN(T_TraitDi[NbhTW]),FALSE)=0,"",TEXT(IFERROR(VLOOKUP(T_Convention[[#This Row],[NumL]],T_TraitDi[#Data],COLUMN(T_TraitDi[NbhTW]),FALSE),""),"[hh]:mm"))</f>
        <v>#N/A</v>
      </c>
      <c r="BK242" s="286" t="e">
        <f>IF(VLOOKUP(T_Convention[[#This Row],[NumL]],T_TraitDi[#Data],COLUMN(T_TraitDi[Nbhheb]),FALSE)=0,"",TEXT(IFERROR(VLOOKUP(T_Convention[[#This Row],[NumL]],T_TraitDi[#Data],COLUMN(T_TraitDi[Nbhheb]),FALSE),""),"[hh]:mm"))</f>
        <v>#N/A</v>
      </c>
      <c r="BL242" s="287" t="str">
        <f>IFERROR(VLOOKUP(VLOOKUP(T_Convention[[#This Row],[NumL]],T_TraitDi[#Data],COLUMN(T_TraitDi[Type1]),FALSE),TypeTW,2,FALSE),"")</f>
        <v/>
      </c>
      <c r="BM242" s="288" t="str">
        <f>IFERROR(VLOOKUP(T_Convention[[#This Row],[NumL]],T_TraitDi[#Data],COLUMN(T_TraitDi[Rue1]),FALSE),"")</f>
        <v/>
      </c>
      <c r="BN242" s="289" t="str">
        <f>IFERROR(VLOOKUP(T_Convention[[#This Row],[NumL]],T_TraitDi[#Data],COLUMN(T_TraitDi[CP1]),FALSE),"")</f>
        <v/>
      </c>
      <c r="BO242" s="282" t="str">
        <f>IFERROR(VLOOKUP(T_Convention[[#This Row],[NumL]],T_TraitDi[#Data],COLUMN(T_TraitDi[VILLE1]),FALSE),"")</f>
        <v/>
      </c>
      <c r="BP242" s="290" t="str">
        <f>IFERROR(VLOOKUP(VLOOKUP(T_Convention[[#This Row],[NumL]],T_TraitDi[#Data],COLUMN(T_TraitDi[Type2]),FALSE),TypeTW,2,FALSE),"")</f>
        <v/>
      </c>
      <c r="BQ242" s="182" t="str">
        <f>IFERROR(VLOOKUP(T_Convention[[#This Row],[NumL]],T_TraitDi[#Data],COLUMN(T_TraitDi[Rue2]),FALSE),"")</f>
        <v/>
      </c>
      <c r="BR242" s="173" t="str">
        <f>IFERROR(VLOOKUP(T_Convention[[#This Row],[NumL]],T_TraitDi[#Data],COLUMN(T_TraitDi[CP2]),FALSE),"")</f>
        <v/>
      </c>
      <c r="BS242" s="173" t="str">
        <f>IFERROR(VLOOKUP(T_Convention[[#This Row],[NumL]],T_TraitDi[#Data],COLUMN(T_TraitDi[VILLE2]),FALSE),"")</f>
        <v/>
      </c>
      <c r="BT242" s="182" t="str">
        <f>IF(VLOOKUP(T_Convention[[#This Row],[NumL]],T_Equipement[#Data],COLUMN(T_Equipement[PC]),FALSE)="","Aucun équipement spécifique directement lié au télétravail",VLOOKUP(T_Convention[[#This Row],[NumL]],T_Equipement[#Data],COLUMN(T_Equipement[PC]),FALSE))</f>
        <v xml:space="preserve">	12-181</v>
      </c>
      <c r="BU242" s="166" t="str">
        <f>IFERROR(IF(VLOOKUP(T_Convention[[#This Row],[NumL]],T_TraitDi[#Data],COLUMN(T_TraitDi[Plan]),FALSE)="OK","Un planning spécifique de télétravail est annexé à la présente convention.",""),"")</f>
        <v/>
      </c>
      <c r="BV242" s="185" t="s">
        <v>3477</v>
      </c>
      <c r="BW242" s="164" t="e">
        <f>IF(VLOOKUP(T_Convention[[#This Row],[NumL]],T_suiviDi[#Data],COLUMN(T_suiviDi[Entité]),FALSE)="","",VLOOKUP(T_Convention[[#This Row],[NumL]],T_suiviDi[#Data],COLUMN(T_suiviDi[Entité]),FALSE))</f>
        <v>#N/A</v>
      </c>
      <c r="BX242" s="164" t="str">
        <f>IF(VLOOKUP(T_Convention[[#This Row],[NumL]],T_Commission[#Data],COLUMN(T_Commission[envoi confirm TW]),FALSE)="","",VLOOKUP(T_Convention[[#This Row],[NumL]],T_Commission[#Data],COLUMN(T_Commission[envoi confirm TW]),FALSE))</f>
        <v>Oui</v>
      </c>
      <c r="BY24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2" s="264">
        <f>VLOOKUP(T_Convention[[#This Row],[NumL]],T_Commission[#Data],COLUMN(T_Commission[Commentaire]),FALSE)</f>
        <v>0</v>
      </c>
      <c r="CA242" s="254" t="str">
        <f>IF(VLOOKUP(T_Convention[[#This Row],[NumL]],T_Commission[#Data],COLUMN(T_Commission[Encadrant Email]),FALSE)="","",VLOOKUP(T_Convention[[#This Row],[NumL]],T_Commission[#Data],COLUMN(T_Commission[Encadrant Email]),FALSE))</f>
        <v/>
      </c>
      <c r="CB242" s="353" t="e">
        <f>VLOOKUP(T_Convention[[#This Row],[NumL]],T_TraitDi[#Data],COLUMN(T_TraitDi[NbJTot]),FALSE)</f>
        <v>#N/A</v>
      </c>
      <c r="CC242" s="353" t="e">
        <f>VLOOKUP(T_Convention[[#This Row],[NumL]],T_TraitDi[#Data],COLUMN(T_TraitDi[Reg Ponct]),FALSE)</f>
        <v>#N/A</v>
      </c>
      <c r="CD242" s="348" t="str">
        <f>IF(T_Convention[[#This Row],[Final]]&lt;&gt;"",VLOOKUP(T_Convention[[#This Row],[NumL]],T_suiviDi[#Data],COLUMN((T_suiviDi[Statut])),FALSE),"")</f>
        <v/>
      </c>
    </row>
    <row r="243" spans="1:82" s="106" customFormat="1" ht="18.75" customHeight="1" x14ac:dyDescent="0.25">
      <c r="A243" s="160">
        <v>14</v>
      </c>
      <c r="B243" s="161" t="str">
        <f>VLOOKUP(T_Convention[[#This Row],[NumL]],T_Commission[#Data],COLUMN(T_Commission[FINAL]),FALSE)</f>
        <v/>
      </c>
      <c r="C243" s="162"/>
      <c r="D243" s="95" t="e">
        <f>IF(VLOOKUP(T_Convention[[#This Row],[NumL]],T_TraitDi[#Data],COLUMN(T_TraitDi[WebC]),FALSE)="","",VLOOKUP(T_Convention[[#This Row],[NumL]],T_TraitDi[#Data],COLUMN(T_TraitDi[WebC]),FALSE))</f>
        <v>#N/A</v>
      </c>
      <c r="E243" s="163" t="str">
        <f t="shared" si="15"/>
        <v>12 janvier 2021</v>
      </c>
      <c r="F243" s="282" t="str">
        <f>IF(T_Convention[[#This Row],[Final]]&lt;&gt;"",VLOOKUP(T_Convention[[#This Row],[NumL]],T_suiviDi[#Data],COLUMN((T_suiviDi[Civ.])),FALSE),"")</f>
        <v/>
      </c>
      <c r="G243" s="283" t="str">
        <f>IF(T_Convention[[#This Row],[Final]]&lt;&gt;"",VLOOKUP(T_Convention[[#This Row],[NumL]],T_suiviDi[#Data],COLUMN((T_suiviDi[Nom])),FALSE),"")</f>
        <v/>
      </c>
      <c r="H243" s="282" t="str">
        <f>IF(T_Convention[[#This Row],[Final]]&lt;&gt;"",VLOOKUP(T_Convention[[#This Row],[NumL]],T_suiviDi[#Data],COLUMN((T_suiviDi[Prénom])),FALSE),"")</f>
        <v/>
      </c>
      <c r="I243" s="282" t="e">
        <f>VLOOKUP(T_Convention[[#This Row],[NumL]],T_suiviDi[#Data],COLUMN((T_suiviDi[[#This Row],[Email]])),FALSE)</f>
        <v>#VALUE!</v>
      </c>
      <c r="J243" s="282" t="e">
        <f>IF(VLOOKUP(T_Convention[[#This Row],[NumL]],T_suiviDi[#Data],COLUMN(T_suiviDi[[#This Row],[Fonction]]),FALSE)="","",VLOOKUP(T_Convention[[#This Row],[NumL]],T_suiviDi[#Data],COLUMN(T_suiviDi[[#This Row],[Fonction]]),FALSE))</f>
        <v>#VALUE!</v>
      </c>
      <c r="K243" s="282" t="e">
        <f>IF(VLOOKUP(T_Convention[[#This Row],[NumL]],T_suiviDi[#Data],COLUMN(T_suiviDi[[#This Row],[Grade]]),FALSE)="","",VLOOKUP(T_Convention[[#This Row],[NumL]],T_suiviDi[#Data],COLUMN(T_suiviDi[[#This Row],[Grade]]),FALSE))</f>
        <v>#VALUE!</v>
      </c>
      <c r="L243" s="282" t="e">
        <f>IF(VLOOKUP(T_Convention[[#This Row],[NumL]],T_suiviDi[#Data],COLUMN(T_suiviDi[[#This Row],[Service ]]),FALSE)="","",VLOOKUP(T_Convention[[#This Row],[NumL]],T_suiviDi[#Data],COLUMN(T_suiviDi[[#This Row],[Service ]]),FALSE))</f>
        <v>#VALUE!</v>
      </c>
      <c r="M243" s="164" t="str">
        <f t="shared" si="16"/>
        <v>01 septembre 2021</v>
      </c>
      <c r="N243" s="164" t="str">
        <f t="shared" si="17"/>
        <v>30 novembre 2021</v>
      </c>
      <c r="O243" s="284" t="str">
        <f t="shared" si="18"/>
        <v>30 novembre 2021</v>
      </c>
      <c r="P243" s="282" t="e">
        <f>IF(VLOOKUP(T_Convention[[#This Row],[NumL]],T_TraitDi[#Data],COLUMN(T_TraitDi[M1]),FALSE)="","",VLOOKUP(T_Convention[[#This Row],[NumL]],T_TraitDi[#Data],COLUMN(T_TraitDi[M1]),FALSE))</f>
        <v>#N/A</v>
      </c>
      <c r="Q243" s="282" t="e">
        <f>IF(VLOOKUP(T_Convention[[#This Row],[NumL]],T_TraitDi[#Data],COLUMN(T_TraitDi[M2]),FALSE)="","",VLOOKUP(T_Convention[[#This Row],[NumL]],T_TraitDi[#Data],COLUMN(T_TraitDi[M2]),FALSE))</f>
        <v>#N/A</v>
      </c>
      <c r="R243" s="282" t="e">
        <f>IF(VLOOKUP(T_Convention[[#This Row],[NumL]],T_TraitDi[#Data],COLUMN(T_TraitDi[M3]),FALSE)="","",VLOOKUP(T_Convention[[#This Row],[NumL]],T_TraitDi[#Data],COLUMN(T_TraitDi[M3]),FALSE))</f>
        <v>#N/A</v>
      </c>
      <c r="S243" s="282" t="e">
        <f>IF(VLOOKUP(T_Convention[[#This Row],[NumL]],T_TraitDi[#Data],COLUMN(T_TraitDi[M4]),FALSE)="","",VLOOKUP(T_Convention[[#This Row],[NumL]],T_TraitDi[#Data],COLUMN(T_TraitDi[M4]),FALSE))</f>
        <v>#N/A</v>
      </c>
      <c r="T243" s="282" t="e">
        <f>IF(VLOOKUP(T_Convention[[#This Row],[NumL]],T_TraitDi[#Data],COLUMN(T_TraitDi[M5]),FALSE)="","",VLOOKUP(T_Convention[[#This Row],[NumL]],T_TraitDi[#Data],COLUMN(T_TraitDi[M5]),FALSE))</f>
        <v>#N/A</v>
      </c>
      <c r="U243" s="282" t="e">
        <f>IF(VLOOKUP(T_Convention[[#This Row],[NumL]],T_TraitDi[#Data],COLUMN(T_TraitDi[M6]),FALSE)="","",VLOOKUP(T_Convention[[#This Row],[NumL]],T_TraitDi[#Data],COLUMN(T_TraitDi[M6]),FALSE))</f>
        <v>#N/A</v>
      </c>
      <c r="V243" s="176" t="e">
        <f t="shared" si="19"/>
        <v>#N/A</v>
      </c>
      <c r="W243" s="284" t="str">
        <f>IFERROR(TEXT(VLOOKUP(T_Convention[[#This Row],[NumL]],T_TraitDi[#Data],COLUMN(T_TraitDi[Q2]),FALSE),"###%"),"")</f>
        <v/>
      </c>
      <c r="X243" s="97" t="e">
        <f>VLOOKUP(T_Convention[[#This Row],[NumL]],T_TraitDi[#Data],COLUMN(T_TraitDi[Reg Ponct]),FALSE)</f>
        <v>#N/A</v>
      </c>
      <c r="Y243" s="97" t="e">
        <f>VLOOKUP(T_Convention[NumL],T_TraitDi[#Data],COLUMN(T_TraitDi[Jours flottants]),FALSE)</f>
        <v>#N/A</v>
      </c>
      <c r="Z243" s="284" t="str">
        <f>IFERROR(VLOOKUP(T_Convention[[#This Row],[NumL]],T_TraitDi[#Data],COLUMN(T_TraitDi[Lundi]),FALSE),"")</f>
        <v/>
      </c>
      <c r="AA243" s="284" t="e">
        <f>IF(VLOOKUP(T_Convention[[#This Row],[NumL]],T_TraitDi[#Data],COLUMN(T_TraitDi[Colonne3]),FALSE)=0,"",TEXT(IFERROR(VLOOKUP(T_Convention[[#This Row],[NumL]],T_TraitDi[#Data],COLUMN(T_TraitDi[Colonne3]),FALSE),""),"[hh]:mm"))</f>
        <v>#N/A</v>
      </c>
      <c r="AB243" s="284" t="e">
        <f>IF(VLOOKUP(T_Convention[[#This Row],[NumL]],T_TraitDi[#Data],COLUMN(T_TraitDi[Colonne4]),FALSE)=0,"",TEXT(IFERROR(VLOOKUP(T_Convention[[#This Row],[NumL]],T_TraitDi[#Data],COLUMN(T_TraitDi[Colonne4]),FALSE),""),"[hh]:mm"))</f>
        <v>#N/A</v>
      </c>
      <c r="AC243" s="284" t="e">
        <f>IF(VLOOKUP(T_Convention[[#This Row],[NumL]],T_TraitDi[#Data],COLUMN(T_TraitDi[Colonne5]),FALSE)=0,"",TEXT(IFERROR(VLOOKUP(T_Convention[[#This Row],[NumL]],T_TraitDi[#Data],COLUMN(T_TraitDi[Colonne5]),FALSE),""),"[hh]:mm"))</f>
        <v>#N/A</v>
      </c>
      <c r="AD243" s="284" t="e">
        <f>IF(VLOOKUP(T_Convention[[#This Row],[NumL]],T_TraitDi[#Data],COLUMN(T_TraitDi[Colonne6]),FALSE)=0,"",TEXT(IFERROR(VLOOKUP(T_Convention[[#This Row],[NumL]],T_TraitDi[#Data],COLUMN(T_TraitDi[Colonne6]),FALSE),""),"[hh]:mm"))</f>
        <v>#N/A</v>
      </c>
      <c r="AE243" s="284" t="e">
        <f>IF(VLOOKUP(T_Convention[[#This Row],[NumL]],T_TraitDi[#Data],COLUMN(T_TraitDi[Colonne7]),FALSE)=0,"",TEXT(IFERROR(VLOOKUP(T_Convention[[#This Row],[NumL]],T_TraitDi[#Data],COLUMN(T_TraitDi[Colonne7]),FALSE),""),"[hh]:mm"))</f>
        <v>#N/A</v>
      </c>
      <c r="AF243" s="284" t="e">
        <f>IF(VLOOKUP(T_Convention[[#This Row],[NumL]],T_TraitDi[#Data],COLUMN(T_TraitDi[Colonne8]),FALSE)=0,"",TEXT(IFERROR(VLOOKUP(T_Convention[[#This Row],[NumL]],T_TraitDi[#Data],COLUMN(T_TraitDi[Colonne8]),FALSE),""),"[hh]:mm"))</f>
        <v>#N/A</v>
      </c>
      <c r="AG243" s="284" t="str">
        <f>IFERROR(VLOOKUP(T_Convention[[#This Row],[NumL]],T_TraitDi[#Data],COLUMN(T_TraitDi[Mardi]),FALSE),"")</f>
        <v/>
      </c>
      <c r="AH243" s="284" t="e">
        <f>IF(VLOOKUP(T_Convention[[#This Row],[NumL]],T_TraitDi[#Data],COLUMN(T_TraitDi[Colonne1]),FALSE)=0,"",TEXT(IFERROR(VLOOKUP(T_Convention[[#This Row],[NumL]],T_TraitDi[#Data],COLUMN(T_TraitDi[Colonne1]),FALSE),""),"[hh]:mm"))</f>
        <v>#N/A</v>
      </c>
      <c r="AI243" s="284" t="e">
        <f>IF(VLOOKUP(T_Convention[[#This Row],[NumL]],T_TraitDi[#Data],COLUMN(T_TraitDi[Colonne9]),FALSE)=0,"",TEXT(IFERROR(VLOOKUP(T_Convention[[#This Row],[NumL]],T_TraitDi[#Data],COLUMN(T_TraitDi[Colonne9]),FALSE),""),"[hh]:mm"))</f>
        <v>#N/A</v>
      </c>
      <c r="AJ243" s="284" t="str">
        <f>IFERROR(VLOOKUP(T_Convention[[#This Row],[NumL]],T_TraitDi[#Data],COLUMN(T_TraitDi[Colonne10]),FALSE),"")</f>
        <v/>
      </c>
      <c r="AK243" s="284" t="e">
        <f>IF(VLOOKUP(T_Convention[[#This Row],[NumL]],T_TraitDi[#Data],COLUMN(T_TraitDi[Colonne11]),FALSE)=0,"",TEXT(IFERROR(VLOOKUP(T_Convention[[#This Row],[NumL]],T_TraitDi[#Data],COLUMN(T_TraitDi[Colonne11]),FALSE),""),"[hh]:mm"))</f>
        <v>#N/A</v>
      </c>
      <c r="AL243" s="284" t="e">
        <f>IF(VLOOKUP(T_Convention[[#This Row],[NumL]],T_TraitDi[#Data],COLUMN(T_TraitDi[Colonne12]),FALSE)=0,"",TEXT(IFERROR(VLOOKUP(T_Convention[[#This Row],[NumL]],T_TraitDi[#Data],COLUMN(T_TraitDi[Colonne12]),FALSE),""),"[hh]:mm"))</f>
        <v>#N/A</v>
      </c>
      <c r="AM243" s="284" t="e">
        <f>IF(VLOOKUP(T_Convention[[#This Row],[NumL]],T_TraitDi[#Data],COLUMN(T_TraitDi[Colonne14]),FALSE)=0,"",TEXT(IFERROR(VLOOKUP(T_Convention[[#This Row],[NumL]],T_TraitDi[#Data],COLUMN(T_TraitDi[Colonne14]),FALSE),""),"[hh]:mm"))</f>
        <v>#N/A</v>
      </c>
      <c r="AN243" s="284" t="str">
        <f>IFERROR(VLOOKUP(T_Convention[[#This Row],[NumL]],T_TraitDi[#Data],COLUMN(T_TraitDi[Mercredi]),FALSE),"")</f>
        <v/>
      </c>
      <c r="AO243" s="284" t="e">
        <f>IF(VLOOKUP(T_Convention[[#This Row],[NumL]],T_TraitDi[#Data],COLUMN(T_TraitDi[Colonne15]),FALSE)=0,"",TEXT(IFERROR(VLOOKUP(T_Convention[[#This Row],[NumL]],T_TraitDi[#Data],COLUMN(T_TraitDi[Colonne15]),FALSE),""),"[hh]:mm"))</f>
        <v>#N/A</v>
      </c>
      <c r="AP243" s="284" t="e">
        <f>IF(VLOOKUP(T_Convention[[#This Row],[NumL]],T_TraitDi[#Data],COLUMN(T_TraitDi[Colonne16]),FALSE)=0,"",TEXT(IFERROR(VLOOKUP(T_Convention[[#This Row],[NumL]],T_TraitDi[#Data],COLUMN(T_TraitDi[Colonne16]),FALSE),""),"[hh]:mm"))</f>
        <v>#N/A</v>
      </c>
      <c r="AQ243" s="284" t="str">
        <f>IFERROR(VLOOKUP(T_Convention[[#This Row],[NumL]],T_TraitDi[#Data],COLUMN(T_TraitDi[Colonne17]),FALSE),"")</f>
        <v/>
      </c>
      <c r="AR243" s="284" t="e">
        <f>IF(VLOOKUP(T_Convention[[#This Row],[NumL]],T_TraitDi[#Data],COLUMN(T_TraitDi[Colonne18]),FALSE)=0,"",TEXT(IFERROR(VLOOKUP(T_Convention[[#This Row],[NumL]],T_TraitDi[#Data],COLUMN(T_TraitDi[Colonne18]),FALSE),""),"[hh]:mm"))</f>
        <v>#N/A</v>
      </c>
      <c r="AS243" s="284" t="e">
        <f>IF(VLOOKUP(T_Convention[[#This Row],[NumL]],T_TraitDi[#Data],COLUMN(T_TraitDi[Colonne19]),FALSE)=0,"",TEXT(IFERROR(VLOOKUP(T_Convention[[#This Row],[NumL]],T_TraitDi[#Data],COLUMN(T_TraitDi[Colonne19]),FALSE),""),"[hh]:mm"))</f>
        <v>#N/A</v>
      </c>
      <c r="AT243" s="284" t="e">
        <f>IF(VLOOKUP(T_Convention[[#This Row],[NumL]],T_TraitDi[#Data],COLUMN(T_TraitDi[Colonne20]),FALSE)=0,"",TEXT(IFERROR(VLOOKUP(T_Convention[[#This Row],[NumL]],T_TraitDi[#Data],COLUMN(T_TraitDi[Colonne20]),FALSE),""),"[hh]:mm"))</f>
        <v>#N/A</v>
      </c>
      <c r="AU243" s="284" t="str">
        <f>IFERROR(VLOOKUP(T_Convention[[#This Row],[NumL]],T_TraitDi[#Data],COLUMN(T_TraitDi[Jeudi]),FALSE),"")</f>
        <v/>
      </c>
      <c r="AV243" s="284" t="e">
        <f>IF(VLOOKUP(T_Convention[[#This Row],[NumL]],T_TraitDi[#Data],COLUMN(T_TraitDi[Colonne21]),FALSE)=0,"",TEXT(IFERROR(VLOOKUP(T_Convention[[#This Row],[NumL]],T_TraitDi[#Data],COLUMN(T_TraitDi[Colonne21]),FALSE),""),"[hh]:mm"))</f>
        <v>#N/A</v>
      </c>
      <c r="AW243" s="284" t="e">
        <f>IF(VLOOKUP(T_Convention[[#This Row],[NumL]],T_TraitDi[#Data],COLUMN(T_TraitDi[Colonne22]),FALSE)=0,"",TEXT(IFERROR(VLOOKUP(T_Convention[[#This Row],[NumL]],T_TraitDi[#Data],COLUMN(T_TraitDi[Colonne22]),FALSE),""),"[hh]:mm"))</f>
        <v>#N/A</v>
      </c>
      <c r="AX243" s="284" t="str">
        <f>IFERROR(VLOOKUP(T_Convention[[#This Row],[NumL]],T_TraitDi[#Data],COLUMN(T_TraitDi[Colonne23]),FALSE),"")</f>
        <v/>
      </c>
      <c r="AY243" s="284" t="e">
        <f>IF(VLOOKUP(T_Convention[[#This Row],[NumL]],T_TraitDi[#Data],COLUMN(T_TraitDi[Colonne24]),FALSE)=0,"",TEXT(IFERROR(VLOOKUP(T_Convention[[#This Row],[NumL]],T_TraitDi[#Data],COLUMN(T_TraitDi[Colonne24]),FALSE),""),"[hh]:mm"))</f>
        <v>#N/A</v>
      </c>
      <c r="AZ243" s="284" t="e">
        <f>IF(VLOOKUP(T_Convention[[#This Row],[NumL]],T_TraitDi[#Data],COLUMN(T_TraitDi[Colonne25]),FALSE)=0,"",TEXT(IFERROR(VLOOKUP(T_Convention[[#This Row],[NumL]],T_TraitDi[#Data],COLUMN(T_TraitDi[Colonne25]),FALSE),""),"[hh]:mm"))</f>
        <v>#N/A</v>
      </c>
      <c r="BA243" s="284" t="e">
        <f>IF(VLOOKUP(T_Convention[[#This Row],[NumL]],T_TraitDi[#Data],COLUMN(T_TraitDi[Colonne26]),FALSE)=0,"",TEXT(IFERROR(VLOOKUP(T_Convention[[#This Row],[NumL]],T_TraitDi[#Data],COLUMN(T_TraitDi[Colonne26]),FALSE),""),"[hh]:mm"))</f>
        <v>#N/A</v>
      </c>
      <c r="BB243" s="284" t="str">
        <f>IFERROR(VLOOKUP(T_Convention[[#This Row],[NumL]],T_TraitDi[#Data],COLUMN(T_TraitDi[Vendredi]),FALSE),"")</f>
        <v/>
      </c>
      <c r="BC243" s="284" t="e">
        <f>IF(VLOOKUP(T_Convention[[#This Row],[NumL]],T_TraitDi[#Data],COLUMN(T_TraitDi[Colonne27]),FALSE)=0,"",TEXT(IFERROR(VLOOKUP(T_Convention[[#This Row],[NumL]],T_TraitDi[#Data],COLUMN(T_TraitDi[Colonne27]),FALSE),""),"[hh]:mm"))</f>
        <v>#N/A</v>
      </c>
      <c r="BD243" s="284" t="e">
        <f>IF(VLOOKUP(T_Convention[[#This Row],[NumL]],T_TraitDi[#Data],COLUMN(T_TraitDi[Colonne28]),FALSE)=0,"",TEXT(IFERROR(VLOOKUP(T_Convention[[#This Row],[NumL]],T_TraitDi[#Data],COLUMN(T_TraitDi[Colonne28]),FALSE),""),"[hh]:mm"))</f>
        <v>#N/A</v>
      </c>
      <c r="BE243" s="284" t="str">
        <f>IFERROR(VLOOKUP(T_Convention[[#This Row],[NumL]],T_TraitDi[#Data],COLUMN(T_TraitDi[Colonne29]),FALSE),"")</f>
        <v/>
      </c>
      <c r="BF243" s="284" t="e">
        <f>IF(VLOOKUP(T_Convention[[#This Row],[NumL]],T_TraitDi[#Data],COLUMN(T_TraitDi[Colonne30]),FALSE)=0,"",TEXT(IFERROR(VLOOKUP(T_Convention[[#This Row],[NumL]],T_TraitDi[#Data],COLUMN(T_TraitDi[Colonne30]),FALSE),""),"[hh]:mm"))</f>
        <v>#N/A</v>
      </c>
      <c r="BG243" s="284" t="e">
        <f>IF(VLOOKUP(T_Convention[[#This Row],[NumL]],T_TraitDi[#Data],COLUMN(T_TraitDi[Colonne31]),FALSE)=0,"",TEXT(IFERROR(VLOOKUP(T_Convention[[#This Row],[NumL]],T_TraitDi[#Data],COLUMN(T_TraitDi[Colonne31]),FALSE),""),"[hh]:mm"))</f>
        <v>#N/A</v>
      </c>
      <c r="BH243" s="284" t="e">
        <f>IF(VLOOKUP(T_Convention[[#This Row],[NumL]],T_TraitDi[#Data],COLUMN(T_TraitDi[Colonne32]),FALSE)=0,"",TEXT(IFERROR(VLOOKUP(T_Convention[[#This Row],[NumL]],T_TraitDi[#Data],COLUMN(T_TraitDi[Colonne32]),FALSE),""),"[hh]:mm"))</f>
        <v>#N/A</v>
      </c>
      <c r="BI243" s="284" t="str">
        <f>IFERROR(VLOOKUP(T_Convention[[#This Row],[NumL]],T_TraitDi[#Data],COLUMN(T_TraitDi[NbJTW]),FALSE),"")</f>
        <v/>
      </c>
      <c r="BJ243" s="284" t="e">
        <f>IF(VLOOKUP(T_Convention[[#This Row],[NumL]],T_TraitDi[#Data],COLUMN(T_TraitDi[NbhTW]),FALSE)=0,"",TEXT(IFERROR(VLOOKUP(T_Convention[[#This Row],[NumL]],T_TraitDi[#Data],COLUMN(T_TraitDi[NbhTW]),FALSE),""),"[hh]:mm"))</f>
        <v>#N/A</v>
      </c>
      <c r="BK243" s="286" t="e">
        <f>IF(VLOOKUP(T_Convention[[#This Row],[NumL]],T_TraitDi[#Data],COLUMN(T_TraitDi[Nbhheb]),FALSE)=0,"",TEXT(IFERROR(VLOOKUP(T_Convention[[#This Row],[NumL]],T_TraitDi[#Data],COLUMN(T_TraitDi[Nbhheb]),FALSE),""),"[hh]:mm"))</f>
        <v>#N/A</v>
      </c>
      <c r="BL243" s="287" t="str">
        <f>IFERROR(VLOOKUP(VLOOKUP(T_Convention[[#This Row],[NumL]],T_TraitDi[#Data],COLUMN(T_TraitDi[Type1]),FALSE),TypeTW,2,FALSE),"")</f>
        <v/>
      </c>
      <c r="BM243" s="288" t="str">
        <f>IFERROR(VLOOKUP(T_Convention[[#This Row],[NumL]],T_TraitDi[#Data],COLUMN(T_TraitDi[Rue1]),FALSE),"")</f>
        <v/>
      </c>
      <c r="BN243" s="289" t="str">
        <f>IFERROR(VLOOKUP(T_Convention[[#This Row],[NumL]],T_TraitDi[#Data],COLUMN(T_TraitDi[CP1]),FALSE),"")</f>
        <v/>
      </c>
      <c r="BO243" s="282" t="str">
        <f>IFERROR(VLOOKUP(T_Convention[[#This Row],[NumL]],T_TraitDi[#Data],COLUMN(T_TraitDi[VILLE1]),FALSE),"")</f>
        <v/>
      </c>
      <c r="BP243" s="290" t="str">
        <f>IFERROR(VLOOKUP(VLOOKUP(T_Convention[[#This Row],[NumL]],T_TraitDi[#Data],COLUMN(T_TraitDi[Type2]),FALSE),TypeTW,2,FALSE),"")</f>
        <v/>
      </c>
      <c r="BQ243" s="182" t="str">
        <f>IFERROR(VLOOKUP(T_Convention[[#This Row],[NumL]],T_TraitDi[#Data],COLUMN(T_TraitDi[Rue2]),FALSE),"")</f>
        <v/>
      </c>
      <c r="BR243" s="173" t="str">
        <f>IFERROR(VLOOKUP(T_Convention[[#This Row],[NumL]],T_TraitDi[#Data],COLUMN(T_TraitDi[CP2]),FALSE),"")</f>
        <v/>
      </c>
      <c r="BS243" s="173" t="str">
        <f>IFERROR(VLOOKUP(T_Convention[[#This Row],[NumL]],T_TraitDi[#Data],COLUMN(T_TraitDi[VILLE2]),FALSE),"")</f>
        <v/>
      </c>
      <c r="BT243" s="182" t="str">
        <f>IF(VLOOKUP(T_Convention[[#This Row],[NumL]],T_Equipement[#Data],COLUMN(T_Equipement[PC]),FALSE)="","Aucun équipement spécifique directement lié au télétravail",VLOOKUP(T_Convention[[#This Row],[NumL]],T_Equipement[#Data],COLUMN(T_Equipement[PC]),FALSE))</f>
        <v xml:space="preserve">18-038	</v>
      </c>
      <c r="BU243" s="166" t="str">
        <f>IFERROR(IF(VLOOKUP(T_Convention[[#This Row],[NumL]],T_TraitDi[#Data],COLUMN(T_TraitDi[Plan]),FALSE)="OK","Un planning spécifique de télétravail est annexé à la présente convention.",""),"")</f>
        <v/>
      </c>
      <c r="BV243" s="185" t="s">
        <v>3478</v>
      </c>
      <c r="BW243" s="164" t="e">
        <f>IF(VLOOKUP(T_Convention[[#This Row],[NumL]],T_suiviDi[#Data],COLUMN(T_suiviDi[Entité]),FALSE)="","",VLOOKUP(T_Convention[[#This Row],[NumL]],T_suiviDi[#Data],COLUMN(T_suiviDi[Entité]),FALSE))</f>
        <v>#N/A</v>
      </c>
      <c r="BX243" s="164" t="str">
        <f>IF(VLOOKUP(T_Convention[[#This Row],[NumL]],T_Commission[#Data],COLUMN(T_Commission[envoi confirm TW]),FALSE)="","",VLOOKUP(T_Convention[[#This Row],[NumL]],T_Commission[#Data],COLUMN(T_Commission[envoi confirm TW]),FALSE))</f>
        <v>Oui</v>
      </c>
      <c r="BY24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3" s="264">
        <f>VLOOKUP(T_Convention[[#This Row],[NumL]],T_Commission[#Data],COLUMN(T_Commission[Commentaire]),FALSE)</f>
        <v>0</v>
      </c>
      <c r="CA243" s="254" t="str">
        <f>IF(VLOOKUP(T_Convention[[#This Row],[NumL]],T_Commission[#Data],COLUMN(T_Commission[Encadrant Email]),FALSE)="","",VLOOKUP(T_Convention[[#This Row],[NumL]],T_Commission[#Data],COLUMN(T_Commission[Encadrant Email]),FALSE))</f>
        <v/>
      </c>
      <c r="CB243" s="353" t="e">
        <f>VLOOKUP(T_Convention[[#This Row],[NumL]],T_TraitDi[#Data],COLUMN(T_TraitDi[NbJTot]),FALSE)</f>
        <v>#N/A</v>
      </c>
      <c r="CC243" s="353" t="e">
        <f>VLOOKUP(T_Convention[[#This Row],[NumL]],T_TraitDi[#Data],COLUMN(T_TraitDi[Reg Ponct]),FALSE)</f>
        <v>#N/A</v>
      </c>
      <c r="CD243" s="348" t="str">
        <f>IF(T_Convention[[#This Row],[Final]]&lt;&gt;"",VLOOKUP(T_Convention[[#This Row],[NumL]],T_suiviDi[#Data],COLUMN((T_suiviDi[Statut])),FALSE),"")</f>
        <v/>
      </c>
    </row>
    <row r="244" spans="1:82" s="106" customFormat="1" ht="18.75" customHeight="1" x14ac:dyDescent="0.25">
      <c r="A244" s="160">
        <v>135</v>
      </c>
      <c r="B244" s="161" t="str">
        <f>VLOOKUP(T_Convention[[#This Row],[NumL]],T_Commission[#Data],COLUMN(T_Commission[FINAL]),FALSE)</f>
        <v/>
      </c>
      <c r="C244" s="162"/>
      <c r="D244" s="95" t="e">
        <f>IF(VLOOKUP(T_Convention[[#This Row],[NumL]],T_TraitDi[#Data],COLUMN(T_TraitDi[WebC]),FALSE)="","",VLOOKUP(T_Convention[[#This Row],[NumL]],T_TraitDi[#Data],COLUMN(T_TraitDi[WebC]),FALSE))</f>
        <v>#N/A</v>
      </c>
      <c r="E244" s="163" t="str">
        <f t="shared" si="15"/>
        <v>12 janvier 2021</v>
      </c>
      <c r="F244" s="282" t="str">
        <f>IF(T_Convention[[#This Row],[Final]]&lt;&gt;"",VLOOKUP(T_Convention[[#This Row],[NumL]],T_suiviDi[#Data],COLUMN((T_suiviDi[Civ.])),FALSE),"")</f>
        <v/>
      </c>
      <c r="G244" s="283" t="str">
        <f>IF(T_Convention[[#This Row],[Final]]&lt;&gt;"",VLOOKUP(T_Convention[[#This Row],[NumL]],T_suiviDi[#Data],COLUMN((T_suiviDi[Nom])),FALSE),"")</f>
        <v/>
      </c>
      <c r="H244" s="282" t="str">
        <f>IF(T_Convention[[#This Row],[Final]]&lt;&gt;"",VLOOKUP(T_Convention[[#This Row],[NumL]],T_suiviDi[#Data],COLUMN((T_suiviDi[Prénom])),FALSE),"")</f>
        <v/>
      </c>
      <c r="I244" s="282" t="e">
        <f>VLOOKUP(T_Convention[[#This Row],[NumL]],T_suiviDi[#Data],COLUMN((T_suiviDi[[#This Row],[Email]])),FALSE)</f>
        <v>#VALUE!</v>
      </c>
      <c r="J244" s="282" t="e">
        <f>IF(VLOOKUP(T_Convention[[#This Row],[NumL]],T_suiviDi[#Data],COLUMN(T_suiviDi[[#This Row],[Fonction]]),FALSE)="","",VLOOKUP(T_Convention[[#This Row],[NumL]],T_suiviDi[#Data],COLUMN(T_suiviDi[[#This Row],[Fonction]]),FALSE))</f>
        <v>#VALUE!</v>
      </c>
      <c r="K244" s="282" t="e">
        <f>IF(VLOOKUP(T_Convention[[#This Row],[NumL]],T_suiviDi[#Data],COLUMN(T_suiviDi[[#This Row],[Grade]]),FALSE)="","",VLOOKUP(T_Convention[[#This Row],[NumL]],T_suiviDi[#Data],COLUMN(T_suiviDi[[#This Row],[Grade]]),FALSE))</f>
        <v>#VALUE!</v>
      </c>
      <c r="L244" s="282" t="e">
        <f>IF(VLOOKUP(T_Convention[[#This Row],[NumL]],T_suiviDi[#Data],COLUMN(T_suiviDi[[#This Row],[Service ]]),FALSE)="","",VLOOKUP(T_Convention[[#This Row],[NumL]],T_suiviDi[#Data],COLUMN(T_suiviDi[[#This Row],[Service ]]),FALSE))</f>
        <v>#VALUE!</v>
      </c>
      <c r="M244" s="164" t="str">
        <f t="shared" si="16"/>
        <v>01 septembre 2021</v>
      </c>
      <c r="N244" s="164" t="str">
        <f t="shared" si="17"/>
        <v>30 novembre 2021</v>
      </c>
      <c r="O244" s="284" t="str">
        <f t="shared" si="18"/>
        <v>30 novembre 2021</v>
      </c>
      <c r="P244" s="282" t="e">
        <f>IF(VLOOKUP(T_Convention[[#This Row],[NumL]],T_TraitDi[#Data],COLUMN(T_TraitDi[M1]),FALSE)="","",VLOOKUP(T_Convention[[#This Row],[NumL]],T_TraitDi[#Data],COLUMN(T_TraitDi[M1]),FALSE))</f>
        <v>#N/A</v>
      </c>
      <c r="Q244" s="282" t="e">
        <f>IF(VLOOKUP(T_Convention[[#This Row],[NumL]],T_TraitDi[#Data],COLUMN(T_TraitDi[M2]),FALSE)="","",VLOOKUP(T_Convention[[#This Row],[NumL]],T_TraitDi[#Data],COLUMN(T_TraitDi[M2]),FALSE))</f>
        <v>#N/A</v>
      </c>
      <c r="R244" s="282" t="e">
        <f>IF(VLOOKUP(T_Convention[[#This Row],[NumL]],T_TraitDi[#Data],COLUMN(T_TraitDi[M3]),FALSE)="","",VLOOKUP(T_Convention[[#This Row],[NumL]],T_TraitDi[#Data],COLUMN(T_TraitDi[M3]),FALSE))</f>
        <v>#N/A</v>
      </c>
      <c r="S244" s="282" t="e">
        <f>IF(VLOOKUP(T_Convention[[#This Row],[NumL]],T_TraitDi[#Data],COLUMN(T_TraitDi[M4]),FALSE)="","",VLOOKUP(T_Convention[[#This Row],[NumL]],T_TraitDi[#Data],COLUMN(T_TraitDi[M4]),FALSE))</f>
        <v>#N/A</v>
      </c>
      <c r="T244" s="282" t="e">
        <f>IF(VLOOKUP(T_Convention[[#This Row],[NumL]],T_TraitDi[#Data],COLUMN(T_TraitDi[M5]),FALSE)="","",VLOOKUP(T_Convention[[#This Row],[NumL]],T_TraitDi[#Data],COLUMN(T_TraitDi[M5]),FALSE))</f>
        <v>#N/A</v>
      </c>
      <c r="U244" s="282" t="e">
        <f>IF(VLOOKUP(T_Convention[[#This Row],[NumL]],T_TraitDi[#Data],COLUMN(T_TraitDi[M6]),FALSE)="","",VLOOKUP(T_Convention[[#This Row],[NumL]],T_TraitDi[#Data],COLUMN(T_TraitDi[M6]),FALSE))</f>
        <v>#N/A</v>
      </c>
      <c r="V244" s="176" t="e">
        <f t="shared" si="19"/>
        <v>#N/A</v>
      </c>
      <c r="W244" s="284" t="str">
        <f>IFERROR(TEXT(VLOOKUP(T_Convention[[#This Row],[NumL]],T_TraitDi[#Data],COLUMN(T_TraitDi[Q2]),FALSE),"###%"),"")</f>
        <v/>
      </c>
      <c r="X244" s="97" t="e">
        <f>VLOOKUP(T_Convention[[#This Row],[NumL]],T_TraitDi[#Data],COLUMN(T_TraitDi[Reg Ponct]),FALSE)</f>
        <v>#N/A</v>
      </c>
      <c r="Y244" s="97" t="e">
        <f>VLOOKUP(T_Convention[NumL],T_TraitDi[#Data],COLUMN(T_TraitDi[Jours flottants]),FALSE)</f>
        <v>#N/A</v>
      </c>
      <c r="Z244" s="284" t="str">
        <f>IFERROR(VLOOKUP(T_Convention[[#This Row],[NumL]],T_TraitDi[#Data],COLUMN(T_TraitDi[Lundi]),FALSE),"")</f>
        <v/>
      </c>
      <c r="AA244" s="284" t="e">
        <f>IF(VLOOKUP(T_Convention[[#This Row],[NumL]],T_TraitDi[#Data],COLUMN(T_TraitDi[Colonne3]),FALSE)=0,"",TEXT(IFERROR(VLOOKUP(T_Convention[[#This Row],[NumL]],T_TraitDi[#Data],COLUMN(T_TraitDi[Colonne3]),FALSE),""),"[hh]:mm"))</f>
        <v>#N/A</v>
      </c>
      <c r="AB244" s="284" t="e">
        <f>IF(VLOOKUP(T_Convention[[#This Row],[NumL]],T_TraitDi[#Data],COLUMN(T_TraitDi[Colonne4]),FALSE)=0,"",TEXT(IFERROR(VLOOKUP(T_Convention[[#This Row],[NumL]],T_TraitDi[#Data],COLUMN(T_TraitDi[Colonne4]),FALSE),""),"[hh]:mm"))</f>
        <v>#N/A</v>
      </c>
      <c r="AC244" s="284" t="e">
        <f>IF(VLOOKUP(T_Convention[[#This Row],[NumL]],T_TraitDi[#Data],COLUMN(T_TraitDi[Colonne5]),FALSE)=0,"",TEXT(IFERROR(VLOOKUP(T_Convention[[#This Row],[NumL]],T_TraitDi[#Data],COLUMN(T_TraitDi[Colonne5]),FALSE),""),"[hh]:mm"))</f>
        <v>#N/A</v>
      </c>
      <c r="AD244" s="284" t="e">
        <f>IF(VLOOKUP(T_Convention[[#This Row],[NumL]],T_TraitDi[#Data],COLUMN(T_TraitDi[Colonne6]),FALSE)=0,"",TEXT(IFERROR(VLOOKUP(T_Convention[[#This Row],[NumL]],T_TraitDi[#Data],COLUMN(T_TraitDi[Colonne6]),FALSE),""),"[hh]:mm"))</f>
        <v>#N/A</v>
      </c>
      <c r="AE244" s="284" t="e">
        <f>IF(VLOOKUP(T_Convention[[#This Row],[NumL]],T_TraitDi[#Data],COLUMN(T_TraitDi[Colonne7]),FALSE)=0,"",TEXT(IFERROR(VLOOKUP(T_Convention[[#This Row],[NumL]],T_TraitDi[#Data],COLUMN(T_TraitDi[Colonne7]),FALSE),""),"[hh]:mm"))</f>
        <v>#N/A</v>
      </c>
      <c r="AF244" s="284" t="e">
        <f>IF(VLOOKUP(T_Convention[[#This Row],[NumL]],T_TraitDi[#Data],COLUMN(T_TraitDi[Colonne8]),FALSE)=0,"",TEXT(IFERROR(VLOOKUP(T_Convention[[#This Row],[NumL]],T_TraitDi[#Data],COLUMN(T_TraitDi[Colonne8]),FALSE),""),"[hh]:mm"))</f>
        <v>#N/A</v>
      </c>
      <c r="AG244" s="284" t="str">
        <f>IFERROR(VLOOKUP(T_Convention[[#This Row],[NumL]],T_TraitDi[#Data],COLUMN(T_TraitDi[Mardi]),FALSE),"")</f>
        <v/>
      </c>
      <c r="AH244" s="284" t="e">
        <f>IF(VLOOKUP(T_Convention[[#This Row],[NumL]],T_TraitDi[#Data],COLUMN(T_TraitDi[Colonne1]),FALSE)=0,"",TEXT(IFERROR(VLOOKUP(T_Convention[[#This Row],[NumL]],T_TraitDi[#Data],COLUMN(T_TraitDi[Colonne1]),FALSE),""),"[hh]:mm"))</f>
        <v>#N/A</v>
      </c>
      <c r="AI244" s="284" t="e">
        <f>IF(VLOOKUP(T_Convention[[#This Row],[NumL]],T_TraitDi[#Data],COLUMN(T_TraitDi[Colonne9]),FALSE)=0,"",TEXT(IFERROR(VLOOKUP(T_Convention[[#This Row],[NumL]],T_TraitDi[#Data],COLUMN(T_TraitDi[Colonne9]),FALSE),""),"[hh]:mm"))</f>
        <v>#N/A</v>
      </c>
      <c r="AJ244" s="284" t="str">
        <f>IFERROR(VLOOKUP(T_Convention[[#This Row],[NumL]],T_TraitDi[#Data],COLUMN(T_TraitDi[Colonne10]),FALSE),"")</f>
        <v/>
      </c>
      <c r="AK244" s="284" t="e">
        <f>IF(VLOOKUP(T_Convention[[#This Row],[NumL]],T_TraitDi[#Data],COLUMN(T_TraitDi[Colonne11]),FALSE)=0,"",TEXT(IFERROR(VLOOKUP(T_Convention[[#This Row],[NumL]],T_TraitDi[#Data],COLUMN(T_TraitDi[Colonne11]),FALSE),""),"[hh]:mm"))</f>
        <v>#N/A</v>
      </c>
      <c r="AL244" s="284" t="e">
        <f>IF(VLOOKUP(T_Convention[[#This Row],[NumL]],T_TraitDi[#Data],COLUMN(T_TraitDi[Colonne12]),FALSE)=0,"",TEXT(IFERROR(VLOOKUP(T_Convention[[#This Row],[NumL]],T_TraitDi[#Data],COLUMN(T_TraitDi[Colonne12]),FALSE),""),"[hh]:mm"))</f>
        <v>#N/A</v>
      </c>
      <c r="AM244" s="284" t="e">
        <f>IF(VLOOKUP(T_Convention[[#This Row],[NumL]],T_TraitDi[#Data],COLUMN(T_TraitDi[Colonne14]),FALSE)=0,"",TEXT(IFERROR(VLOOKUP(T_Convention[[#This Row],[NumL]],T_TraitDi[#Data],COLUMN(T_TraitDi[Colonne14]),FALSE),""),"[hh]:mm"))</f>
        <v>#N/A</v>
      </c>
      <c r="AN244" s="284" t="str">
        <f>IFERROR(VLOOKUP(T_Convention[[#This Row],[NumL]],T_TraitDi[#Data],COLUMN(T_TraitDi[Mercredi]),FALSE),"")</f>
        <v/>
      </c>
      <c r="AO244" s="284" t="e">
        <f>IF(VLOOKUP(T_Convention[[#This Row],[NumL]],T_TraitDi[#Data],COLUMN(T_TraitDi[Colonne15]),FALSE)=0,"",TEXT(IFERROR(VLOOKUP(T_Convention[[#This Row],[NumL]],T_TraitDi[#Data],COLUMN(T_TraitDi[Colonne15]),FALSE),""),"[hh]:mm"))</f>
        <v>#N/A</v>
      </c>
      <c r="AP244" s="284" t="e">
        <f>IF(VLOOKUP(T_Convention[[#This Row],[NumL]],T_TraitDi[#Data],COLUMN(T_TraitDi[Colonne16]),FALSE)=0,"",TEXT(IFERROR(VLOOKUP(T_Convention[[#This Row],[NumL]],T_TraitDi[#Data],COLUMN(T_TraitDi[Colonne16]),FALSE),""),"[hh]:mm"))</f>
        <v>#N/A</v>
      </c>
      <c r="AQ244" s="284" t="str">
        <f>IFERROR(VLOOKUP(T_Convention[[#This Row],[NumL]],T_TraitDi[#Data],COLUMN(T_TraitDi[Colonne17]),FALSE),"")</f>
        <v/>
      </c>
      <c r="AR244" s="284" t="e">
        <f>IF(VLOOKUP(T_Convention[[#This Row],[NumL]],T_TraitDi[#Data],COLUMN(T_TraitDi[Colonne18]),FALSE)=0,"",TEXT(IFERROR(VLOOKUP(T_Convention[[#This Row],[NumL]],T_TraitDi[#Data],COLUMN(T_TraitDi[Colonne18]),FALSE),""),"[hh]:mm"))</f>
        <v>#N/A</v>
      </c>
      <c r="AS244" s="284" t="e">
        <f>IF(VLOOKUP(T_Convention[[#This Row],[NumL]],T_TraitDi[#Data],COLUMN(T_TraitDi[Colonne19]),FALSE)=0,"",TEXT(IFERROR(VLOOKUP(T_Convention[[#This Row],[NumL]],T_TraitDi[#Data],COLUMN(T_TraitDi[Colonne19]),FALSE),""),"[hh]:mm"))</f>
        <v>#N/A</v>
      </c>
      <c r="AT244" s="284" t="e">
        <f>IF(VLOOKUP(T_Convention[[#This Row],[NumL]],T_TraitDi[#Data],COLUMN(T_TraitDi[Colonne20]),FALSE)=0,"",TEXT(IFERROR(VLOOKUP(T_Convention[[#This Row],[NumL]],T_TraitDi[#Data],COLUMN(T_TraitDi[Colonne20]),FALSE),""),"[hh]:mm"))</f>
        <v>#N/A</v>
      </c>
      <c r="AU244" s="284" t="str">
        <f>IFERROR(VLOOKUP(T_Convention[[#This Row],[NumL]],T_TraitDi[#Data],COLUMN(T_TraitDi[Jeudi]),FALSE),"")</f>
        <v/>
      </c>
      <c r="AV244" s="284" t="e">
        <f>IF(VLOOKUP(T_Convention[[#This Row],[NumL]],T_TraitDi[#Data],COLUMN(T_TraitDi[Colonne21]),FALSE)=0,"",TEXT(IFERROR(VLOOKUP(T_Convention[[#This Row],[NumL]],T_TraitDi[#Data],COLUMN(T_TraitDi[Colonne21]),FALSE),""),"[hh]:mm"))</f>
        <v>#N/A</v>
      </c>
      <c r="AW244" s="284" t="e">
        <f>IF(VLOOKUP(T_Convention[[#This Row],[NumL]],T_TraitDi[#Data],COLUMN(T_TraitDi[Colonne22]),FALSE)=0,"",TEXT(IFERROR(VLOOKUP(T_Convention[[#This Row],[NumL]],T_TraitDi[#Data],COLUMN(T_TraitDi[Colonne22]),FALSE),""),"[hh]:mm"))</f>
        <v>#N/A</v>
      </c>
      <c r="AX244" s="284" t="str">
        <f>IFERROR(VLOOKUP(T_Convention[[#This Row],[NumL]],T_TraitDi[#Data],COLUMN(T_TraitDi[Colonne23]),FALSE),"")</f>
        <v/>
      </c>
      <c r="AY244" s="284" t="e">
        <f>IF(VLOOKUP(T_Convention[[#This Row],[NumL]],T_TraitDi[#Data],COLUMN(T_TraitDi[Colonne24]),FALSE)=0,"",TEXT(IFERROR(VLOOKUP(T_Convention[[#This Row],[NumL]],T_TraitDi[#Data],COLUMN(T_TraitDi[Colonne24]),FALSE),""),"[hh]:mm"))</f>
        <v>#N/A</v>
      </c>
      <c r="AZ244" s="284" t="e">
        <f>IF(VLOOKUP(T_Convention[[#This Row],[NumL]],T_TraitDi[#Data],COLUMN(T_TraitDi[Colonne25]),FALSE)=0,"",TEXT(IFERROR(VLOOKUP(T_Convention[[#This Row],[NumL]],T_TraitDi[#Data],COLUMN(T_TraitDi[Colonne25]),FALSE),""),"[hh]:mm"))</f>
        <v>#N/A</v>
      </c>
      <c r="BA244" s="284" t="e">
        <f>IF(VLOOKUP(T_Convention[[#This Row],[NumL]],T_TraitDi[#Data],COLUMN(T_TraitDi[Colonne26]),FALSE)=0,"",TEXT(IFERROR(VLOOKUP(T_Convention[[#This Row],[NumL]],T_TraitDi[#Data],COLUMN(T_TraitDi[Colonne26]),FALSE),""),"[hh]:mm"))</f>
        <v>#N/A</v>
      </c>
      <c r="BB244" s="284" t="str">
        <f>IFERROR(VLOOKUP(T_Convention[[#This Row],[NumL]],T_TraitDi[#Data],COLUMN(T_TraitDi[Vendredi]),FALSE),"")</f>
        <v/>
      </c>
      <c r="BC244" s="284" t="e">
        <f>IF(VLOOKUP(T_Convention[[#This Row],[NumL]],T_TraitDi[#Data],COLUMN(T_TraitDi[Colonne27]),FALSE)=0,"",TEXT(IFERROR(VLOOKUP(T_Convention[[#This Row],[NumL]],T_TraitDi[#Data],COLUMN(T_TraitDi[Colonne27]),FALSE),""),"[hh]:mm"))</f>
        <v>#N/A</v>
      </c>
      <c r="BD244" s="284" t="e">
        <f>IF(VLOOKUP(T_Convention[[#This Row],[NumL]],T_TraitDi[#Data],COLUMN(T_TraitDi[Colonne28]),FALSE)=0,"",TEXT(IFERROR(VLOOKUP(T_Convention[[#This Row],[NumL]],T_TraitDi[#Data],COLUMN(T_TraitDi[Colonne28]),FALSE),""),"[hh]:mm"))</f>
        <v>#N/A</v>
      </c>
      <c r="BE244" s="284" t="str">
        <f>IFERROR(VLOOKUP(T_Convention[[#This Row],[NumL]],T_TraitDi[#Data],COLUMN(T_TraitDi[Colonne29]),FALSE),"")</f>
        <v/>
      </c>
      <c r="BF244" s="284" t="e">
        <f>IF(VLOOKUP(T_Convention[[#This Row],[NumL]],T_TraitDi[#Data],COLUMN(T_TraitDi[Colonne30]),FALSE)=0,"",TEXT(IFERROR(VLOOKUP(T_Convention[[#This Row],[NumL]],T_TraitDi[#Data],COLUMN(T_TraitDi[Colonne30]),FALSE),""),"[hh]:mm"))</f>
        <v>#N/A</v>
      </c>
      <c r="BG244" s="284" t="e">
        <f>IF(VLOOKUP(T_Convention[[#This Row],[NumL]],T_TraitDi[#Data],COLUMN(T_TraitDi[Colonne31]),FALSE)=0,"",TEXT(IFERROR(VLOOKUP(T_Convention[[#This Row],[NumL]],T_TraitDi[#Data],COLUMN(T_TraitDi[Colonne31]),FALSE),""),"[hh]:mm"))</f>
        <v>#N/A</v>
      </c>
      <c r="BH244" s="284" t="e">
        <f>IF(VLOOKUP(T_Convention[[#This Row],[NumL]],T_TraitDi[#Data],COLUMN(T_TraitDi[Colonne32]),FALSE)=0,"",TEXT(IFERROR(VLOOKUP(T_Convention[[#This Row],[NumL]],T_TraitDi[#Data],COLUMN(T_TraitDi[Colonne32]),FALSE),""),"[hh]:mm"))</f>
        <v>#N/A</v>
      </c>
      <c r="BI244" s="284" t="str">
        <f>IFERROR(VLOOKUP(T_Convention[[#This Row],[NumL]],T_TraitDi[#Data],COLUMN(T_TraitDi[NbJTW]),FALSE),"")</f>
        <v/>
      </c>
      <c r="BJ244" s="284" t="e">
        <f>IF(VLOOKUP(T_Convention[[#This Row],[NumL]],T_TraitDi[#Data],COLUMN(T_TraitDi[NbhTW]),FALSE)=0,"",TEXT(IFERROR(VLOOKUP(T_Convention[[#This Row],[NumL]],T_TraitDi[#Data],COLUMN(T_TraitDi[NbhTW]),FALSE),""),"[hh]:mm"))</f>
        <v>#N/A</v>
      </c>
      <c r="BK244" s="286" t="e">
        <f>IF(VLOOKUP(T_Convention[[#This Row],[NumL]],T_TraitDi[#Data],COLUMN(T_TraitDi[Nbhheb]),FALSE)=0,"",TEXT(IFERROR(VLOOKUP(T_Convention[[#This Row],[NumL]],T_TraitDi[#Data],COLUMN(T_TraitDi[Nbhheb]),FALSE),""),"[hh]:mm"))</f>
        <v>#N/A</v>
      </c>
      <c r="BL244" s="287" t="str">
        <f>IFERROR(VLOOKUP(VLOOKUP(T_Convention[[#This Row],[NumL]],T_TraitDi[#Data],COLUMN(T_TraitDi[Type1]),FALSE),TypeTW,2,FALSE),"")</f>
        <v/>
      </c>
      <c r="BM244" s="288" t="str">
        <f>IFERROR(VLOOKUP(T_Convention[[#This Row],[NumL]],T_TraitDi[#Data],COLUMN(T_TraitDi[Rue1]),FALSE),"")</f>
        <v/>
      </c>
      <c r="BN244" s="289" t="str">
        <f>IFERROR(VLOOKUP(T_Convention[[#This Row],[NumL]],T_TraitDi[#Data],COLUMN(T_TraitDi[CP1]),FALSE),"")</f>
        <v/>
      </c>
      <c r="BO244" s="282" t="str">
        <f>IFERROR(VLOOKUP(T_Convention[[#This Row],[NumL]],T_TraitDi[#Data],COLUMN(T_TraitDi[VILLE1]),FALSE),"")</f>
        <v/>
      </c>
      <c r="BP244" s="290" t="str">
        <f>IFERROR(VLOOKUP(VLOOKUP(T_Convention[[#This Row],[NumL]],T_TraitDi[#Data],COLUMN(T_TraitDi[Type2]),FALSE),TypeTW,2,FALSE),"")</f>
        <v/>
      </c>
      <c r="BQ244" s="182" t="str">
        <f>IFERROR(VLOOKUP(T_Convention[[#This Row],[NumL]],T_TraitDi[#Data],COLUMN(T_TraitDi[Rue2]),FALSE),"")</f>
        <v/>
      </c>
      <c r="BR244" s="173" t="str">
        <f>IFERROR(VLOOKUP(T_Convention[[#This Row],[NumL]],T_TraitDi[#Data],COLUMN(T_TraitDi[CP2]),FALSE),"")</f>
        <v/>
      </c>
      <c r="BS244" s="173" t="str">
        <f>IFERROR(VLOOKUP(T_Convention[[#This Row],[NumL]],T_TraitDi[#Data],COLUMN(T_TraitDi[VILLE2]),FALSE),"")</f>
        <v/>
      </c>
      <c r="BT244" s="182" t="str">
        <f>IF(VLOOKUP(T_Convention[[#This Row],[NumL]],T_Equipement[#Data],COLUMN(T_Equipement[PC]),FALSE)="","Aucun équipement spécifique directement lié au télétravail",VLOOKUP(T_Convention[[#This Row],[NumL]],T_Equipement[#Data],COLUMN(T_Equipement[PC]),FALSE))</f>
        <v xml:space="preserve">20-498	</v>
      </c>
      <c r="BU244" s="166" t="str">
        <f>IFERROR(IF(VLOOKUP(T_Convention[[#This Row],[NumL]],T_TraitDi[#Data],COLUMN(T_TraitDi[Plan]),FALSE)="OK","Un planning spécifique de télétravail est annexé à la présente convention.",""),"")</f>
        <v/>
      </c>
      <c r="BV244" s="185"/>
      <c r="BW244" s="164" t="e">
        <f>IF(VLOOKUP(T_Convention[[#This Row],[NumL]],T_suiviDi[#Data],COLUMN(T_suiviDi[Entité]),FALSE)="","",VLOOKUP(T_Convention[[#This Row],[NumL]],T_suiviDi[#Data],COLUMN(T_suiviDi[Entité]),FALSE))</f>
        <v>#N/A</v>
      </c>
      <c r="BX244" s="164" t="str">
        <f>IF(VLOOKUP(T_Convention[[#This Row],[NumL]],T_Commission[#Data],COLUMN(T_Commission[envoi confirm TW]),FALSE)="","",VLOOKUP(T_Convention[[#This Row],[NumL]],T_Commission[#Data],COLUMN(T_Commission[envoi confirm TW]),FALSE))</f>
        <v>Oui</v>
      </c>
      <c r="BY24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4" s="264">
        <f>VLOOKUP(T_Convention[[#This Row],[NumL]],T_Commission[#Data],COLUMN(T_Commission[Commentaire]),FALSE)</f>
        <v>0</v>
      </c>
      <c r="CA244" s="254" t="str">
        <f>IF(VLOOKUP(T_Convention[[#This Row],[NumL]],T_Commission[#Data],COLUMN(T_Commission[Encadrant Email]),FALSE)="","",VLOOKUP(T_Convention[[#This Row],[NumL]],T_Commission[#Data],COLUMN(T_Commission[Encadrant Email]),FALSE))</f>
        <v/>
      </c>
      <c r="CB244" s="353" t="e">
        <f>VLOOKUP(T_Convention[[#This Row],[NumL]],T_TraitDi[#Data],COLUMN(T_TraitDi[NbJTot]),FALSE)</f>
        <v>#N/A</v>
      </c>
      <c r="CC244" s="353" t="e">
        <f>VLOOKUP(T_Convention[[#This Row],[NumL]],T_TraitDi[#Data],COLUMN(T_TraitDi[Reg Ponct]),FALSE)</f>
        <v>#N/A</v>
      </c>
      <c r="CD244" s="348" t="str">
        <f>IF(T_Convention[[#This Row],[Final]]&lt;&gt;"",VLOOKUP(T_Convention[[#This Row],[NumL]],T_suiviDi[#Data],COLUMN((T_suiviDi[Statut])),FALSE),"")</f>
        <v/>
      </c>
    </row>
    <row r="245" spans="1:82" s="106" customFormat="1" ht="18.75" customHeight="1" x14ac:dyDescent="0.25">
      <c r="A245" s="160">
        <v>108</v>
      </c>
      <c r="B245" s="161" t="str">
        <f>VLOOKUP(T_Convention[[#This Row],[NumL]],T_Commission[#Data],COLUMN(T_Commission[FINAL]),FALSE)</f>
        <v/>
      </c>
      <c r="C245" s="162"/>
      <c r="D245" s="95" t="e">
        <f>IF(VLOOKUP(T_Convention[[#This Row],[NumL]],T_TraitDi[#Data],COLUMN(T_TraitDi[WebC]),FALSE)="","",VLOOKUP(T_Convention[[#This Row],[NumL]],T_TraitDi[#Data],COLUMN(T_TraitDi[WebC]),FALSE))</f>
        <v>#N/A</v>
      </c>
      <c r="E245" s="163" t="str">
        <f t="shared" si="15"/>
        <v>12 janvier 2021</v>
      </c>
      <c r="F245" s="282" t="str">
        <f>IF(T_Convention[[#This Row],[Final]]&lt;&gt;"",VLOOKUP(T_Convention[[#This Row],[NumL]],T_suiviDi[#Data],COLUMN((T_suiviDi[Civ.])),FALSE),"")</f>
        <v/>
      </c>
      <c r="G245" s="283" t="str">
        <f>IF(T_Convention[[#This Row],[Final]]&lt;&gt;"",VLOOKUP(T_Convention[[#This Row],[NumL]],T_suiviDi[#Data],COLUMN((T_suiviDi[Nom])),FALSE),"")</f>
        <v/>
      </c>
      <c r="H245" s="282" t="str">
        <f>IF(T_Convention[[#This Row],[Final]]&lt;&gt;"",VLOOKUP(T_Convention[[#This Row],[NumL]],T_suiviDi[#Data],COLUMN((T_suiviDi[Prénom])),FALSE),"")</f>
        <v/>
      </c>
      <c r="I245" s="282" t="e">
        <f>VLOOKUP(T_Convention[[#This Row],[NumL]],T_suiviDi[#Data],COLUMN((T_suiviDi[[#This Row],[Email]])),FALSE)</f>
        <v>#VALUE!</v>
      </c>
      <c r="J245" s="282" t="e">
        <f>IF(VLOOKUP(T_Convention[[#This Row],[NumL]],T_suiviDi[#Data],COLUMN(T_suiviDi[[#This Row],[Fonction]]),FALSE)="","",VLOOKUP(T_Convention[[#This Row],[NumL]],T_suiviDi[#Data],COLUMN(T_suiviDi[[#This Row],[Fonction]]),FALSE))</f>
        <v>#VALUE!</v>
      </c>
      <c r="K245" s="282" t="e">
        <f>IF(VLOOKUP(T_Convention[[#This Row],[NumL]],T_suiviDi[#Data],COLUMN(T_suiviDi[[#This Row],[Grade]]),FALSE)="","",VLOOKUP(T_Convention[[#This Row],[NumL]],T_suiviDi[#Data],COLUMN(T_suiviDi[[#This Row],[Grade]]),FALSE))</f>
        <v>#VALUE!</v>
      </c>
      <c r="L245" s="282" t="e">
        <f>IF(VLOOKUP(T_Convention[[#This Row],[NumL]],T_suiviDi[#Data],COLUMN(T_suiviDi[[#This Row],[Service ]]),FALSE)="","",VLOOKUP(T_Convention[[#This Row],[NumL]],T_suiviDi[#Data],COLUMN(T_suiviDi[[#This Row],[Service ]]),FALSE))</f>
        <v>#VALUE!</v>
      </c>
      <c r="M245" s="164" t="str">
        <f t="shared" si="16"/>
        <v>01 septembre 2021</v>
      </c>
      <c r="N245" s="164" t="str">
        <f t="shared" si="17"/>
        <v>30 novembre 2021</v>
      </c>
      <c r="O245" s="284" t="str">
        <f t="shared" si="18"/>
        <v>30 novembre 2021</v>
      </c>
      <c r="P245" s="282" t="e">
        <f>IF(VLOOKUP(T_Convention[[#This Row],[NumL]],T_TraitDi[#Data],COLUMN(T_TraitDi[M1]),FALSE)="","",VLOOKUP(T_Convention[[#This Row],[NumL]],T_TraitDi[#Data],COLUMN(T_TraitDi[M1]),FALSE))</f>
        <v>#N/A</v>
      </c>
      <c r="Q245" s="282" t="e">
        <f>IF(VLOOKUP(T_Convention[[#This Row],[NumL]],T_TraitDi[#Data],COLUMN(T_TraitDi[M2]),FALSE)="","",VLOOKUP(T_Convention[[#This Row],[NumL]],T_TraitDi[#Data],COLUMN(T_TraitDi[M2]),FALSE))</f>
        <v>#N/A</v>
      </c>
      <c r="R245" s="282" t="e">
        <f>IF(VLOOKUP(T_Convention[[#This Row],[NumL]],T_TraitDi[#Data],COLUMN(T_TraitDi[M3]),FALSE)="","",VLOOKUP(T_Convention[[#This Row],[NumL]],T_TraitDi[#Data],COLUMN(T_TraitDi[M3]),FALSE))</f>
        <v>#N/A</v>
      </c>
      <c r="S245" s="282" t="e">
        <f>IF(VLOOKUP(T_Convention[[#This Row],[NumL]],T_TraitDi[#Data],COLUMN(T_TraitDi[M4]),FALSE)="","",VLOOKUP(T_Convention[[#This Row],[NumL]],T_TraitDi[#Data],COLUMN(T_TraitDi[M4]),FALSE))</f>
        <v>#N/A</v>
      </c>
      <c r="T245" s="282" t="e">
        <f>IF(VLOOKUP(T_Convention[[#This Row],[NumL]],T_TraitDi[#Data],COLUMN(T_TraitDi[M5]),FALSE)="","",VLOOKUP(T_Convention[[#This Row],[NumL]],T_TraitDi[#Data],COLUMN(T_TraitDi[M5]),FALSE))</f>
        <v>#N/A</v>
      </c>
      <c r="U245" s="282" t="e">
        <f>IF(VLOOKUP(T_Convention[[#This Row],[NumL]],T_TraitDi[#Data],COLUMN(T_TraitDi[M6]),FALSE)="","",VLOOKUP(T_Convention[[#This Row],[NumL]],T_TraitDi[#Data],COLUMN(T_TraitDi[M6]),FALSE))</f>
        <v>#N/A</v>
      </c>
      <c r="V245" s="176" t="e">
        <f t="shared" si="19"/>
        <v>#N/A</v>
      </c>
      <c r="W245" s="284" t="str">
        <f>IFERROR(TEXT(VLOOKUP(T_Convention[[#This Row],[NumL]],T_TraitDi[#Data],COLUMN(T_TraitDi[Q2]),FALSE),"###%"),"")</f>
        <v/>
      </c>
      <c r="X245" s="97" t="e">
        <f>VLOOKUP(T_Convention[[#This Row],[NumL]],T_TraitDi[#Data],COLUMN(T_TraitDi[Reg Ponct]),FALSE)</f>
        <v>#N/A</v>
      </c>
      <c r="Y245" s="97" t="e">
        <f>VLOOKUP(T_Convention[NumL],T_TraitDi[#Data],COLUMN(T_TraitDi[Jours flottants]),FALSE)</f>
        <v>#N/A</v>
      </c>
      <c r="Z245" s="284" t="str">
        <f>IFERROR(VLOOKUP(T_Convention[[#This Row],[NumL]],T_TraitDi[#Data],COLUMN(T_TraitDi[Lundi]),FALSE),"")</f>
        <v/>
      </c>
      <c r="AA245" s="284" t="e">
        <f>IF(VLOOKUP(T_Convention[[#This Row],[NumL]],T_TraitDi[#Data],COLUMN(T_TraitDi[Colonne3]),FALSE)=0,"",TEXT(IFERROR(VLOOKUP(T_Convention[[#This Row],[NumL]],T_TraitDi[#Data],COLUMN(T_TraitDi[Colonne3]),FALSE),""),"[hh]:mm"))</f>
        <v>#N/A</v>
      </c>
      <c r="AB245" s="284" t="e">
        <f>IF(VLOOKUP(T_Convention[[#This Row],[NumL]],T_TraitDi[#Data],COLUMN(T_TraitDi[Colonne4]),FALSE)=0,"",TEXT(IFERROR(VLOOKUP(T_Convention[[#This Row],[NumL]],T_TraitDi[#Data],COLUMN(T_TraitDi[Colonne4]),FALSE),""),"[hh]:mm"))</f>
        <v>#N/A</v>
      </c>
      <c r="AC245" s="284" t="e">
        <f>IF(VLOOKUP(T_Convention[[#This Row],[NumL]],T_TraitDi[#Data],COLUMN(T_TraitDi[Colonne5]),FALSE)=0,"",TEXT(IFERROR(VLOOKUP(T_Convention[[#This Row],[NumL]],T_TraitDi[#Data],COLUMN(T_TraitDi[Colonne5]),FALSE),""),"[hh]:mm"))</f>
        <v>#N/A</v>
      </c>
      <c r="AD245" s="284" t="e">
        <f>IF(VLOOKUP(T_Convention[[#This Row],[NumL]],T_TraitDi[#Data],COLUMN(T_TraitDi[Colonne6]),FALSE)=0,"",TEXT(IFERROR(VLOOKUP(T_Convention[[#This Row],[NumL]],T_TraitDi[#Data],COLUMN(T_TraitDi[Colonne6]),FALSE),""),"[hh]:mm"))</f>
        <v>#N/A</v>
      </c>
      <c r="AE245" s="284" t="e">
        <f>IF(VLOOKUP(T_Convention[[#This Row],[NumL]],T_TraitDi[#Data],COLUMN(T_TraitDi[Colonne7]),FALSE)=0,"",TEXT(IFERROR(VLOOKUP(T_Convention[[#This Row],[NumL]],T_TraitDi[#Data],COLUMN(T_TraitDi[Colonne7]),FALSE),""),"[hh]:mm"))</f>
        <v>#N/A</v>
      </c>
      <c r="AF245" s="284" t="e">
        <f>IF(VLOOKUP(T_Convention[[#This Row],[NumL]],T_TraitDi[#Data],COLUMN(T_TraitDi[Colonne8]),FALSE)=0,"",TEXT(IFERROR(VLOOKUP(T_Convention[[#This Row],[NumL]],T_TraitDi[#Data],COLUMN(T_TraitDi[Colonne8]),FALSE),""),"[hh]:mm"))</f>
        <v>#N/A</v>
      </c>
      <c r="AG245" s="284" t="str">
        <f>IFERROR(VLOOKUP(T_Convention[[#This Row],[NumL]],T_TraitDi[#Data],COLUMN(T_TraitDi[Mardi]),FALSE),"")</f>
        <v/>
      </c>
      <c r="AH245" s="284" t="e">
        <f>IF(VLOOKUP(T_Convention[[#This Row],[NumL]],T_TraitDi[#Data],COLUMN(T_TraitDi[Colonne1]),FALSE)=0,"",TEXT(IFERROR(VLOOKUP(T_Convention[[#This Row],[NumL]],T_TraitDi[#Data],COLUMN(T_TraitDi[Colonne1]),FALSE),""),"[hh]:mm"))</f>
        <v>#N/A</v>
      </c>
      <c r="AI245" s="284" t="e">
        <f>IF(VLOOKUP(T_Convention[[#This Row],[NumL]],T_TraitDi[#Data],COLUMN(T_TraitDi[Colonne9]),FALSE)=0,"",TEXT(IFERROR(VLOOKUP(T_Convention[[#This Row],[NumL]],T_TraitDi[#Data],COLUMN(T_TraitDi[Colonne9]),FALSE),""),"[hh]:mm"))</f>
        <v>#N/A</v>
      </c>
      <c r="AJ245" s="284" t="str">
        <f>IFERROR(VLOOKUP(T_Convention[[#This Row],[NumL]],T_TraitDi[#Data],COLUMN(T_TraitDi[Colonne10]),FALSE),"")</f>
        <v/>
      </c>
      <c r="AK245" s="284" t="e">
        <f>IF(VLOOKUP(T_Convention[[#This Row],[NumL]],T_TraitDi[#Data],COLUMN(T_TraitDi[Colonne11]),FALSE)=0,"",TEXT(IFERROR(VLOOKUP(T_Convention[[#This Row],[NumL]],T_TraitDi[#Data],COLUMN(T_TraitDi[Colonne11]),FALSE),""),"[hh]:mm"))</f>
        <v>#N/A</v>
      </c>
      <c r="AL245" s="284" t="e">
        <f>IF(VLOOKUP(T_Convention[[#This Row],[NumL]],T_TraitDi[#Data],COLUMN(T_TraitDi[Colonne12]),FALSE)=0,"",TEXT(IFERROR(VLOOKUP(T_Convention[[#This Row],[NumL]],T_TraitDi[#Data],COLUMN(T_TraitDi[Colonne12]),FALSE),""),"[hh]:mm"))</f>
        <v>#N/A</v>
      </c>
      <c r="AM245" s="284" t="e">
        <f>IF(VLOOKUP(T_Convention[[#This Row],[NumL]],T_TraitDi[#Data],COLUMN(T_TraitDi[Colonne14]),FALSE)=0,"",TEXT(IFERROR(VLOOKUP(T_Convention[[#This Row],[NumL]],T_TraitDi[#Data],COLUMN(T_TraitDi[Colonne14]),FALSE),""),"[hh]:mm"))</f>
        <v>#N/A</v>
      </c>
      <c r="AN245" s="284" t="str">
        <f>IFERROR(VLOOKUP(T_Convention[[#This Row],[NumL]],T_TraitDi[#Data],COLUMN(T_TraitDi[Mercredi]),FALSE),"")</f>
        <v/>
      </c>
      <c r="AO245" s="284" t="e">
        <f>IF(VLOOKUP(T_Convention[[#This Row],[NumL]],T_TraitDi[#Data],COLUMN(T_TraitDi[Colonne15]),FALSE)=0,"",TEXT(IFERROR(VLOOKUP(T_Convention[[#This Row],[NumL]],T_TraitDi[#Data],COLUMN(T_TraitDi[Colonne15]),FALSE),""),"[hh]:mm"))</f>
        <v>#N/A</v>
      </c>
      <c r="AP245" s="284" t="e">
        <f>IF(VLOOKUP(T_Convention[[#This Row],[NumL]],T_TraitDi[#Data],COLUMN(T_TraitDi[Colonne16]),FALSE)=0,"",TEXT(IFERROR(VLOOKUP(T_Convention[[#This Row],[NumL]],T_TraitDi[#Data],COLUMN(T_TraitDi[Colonne16]),FALSE),""),"[hh]:mm"))</f>
        <v>#N/A</v>
      </c>
      <c r="AQ245" s="284" t="str">
        <f>IFERROR(VLOOKUP(T_Convention[[#This Row],[NumL]],T_TraitDi[#Data],COLUMN(T_TraitDi[Colonne17]),FALSE),"")</f>
        <v/>
      </c>
      <c r="AR245" s="284" t="e">
        <f>IF(VLOOKUP(T_Convention[[#This Row],[NumL]],T_TraitDi[#Data],COLUMN(T_TraitDi[Colonne18]),FALSE)=0,"",TEXT(IFERROR(VLOOKUP(T_Convention[[#This Row],[NumL]],T_TraitDi[#Data],COLUMN(T_TraitDi[Colonne18]),FALSE),""),"[hh]:mm"))</f>
        <v>#N/A</v>
      </c>
      <c r="AS245" s="284" t="e">
        <f>IF(VLOOKUP(T_Convention[[#This Row],[NumL]],T_TraitDi[#Data],COLUMN(T_TraitDi[Colonne19]),FALSE)=0,"",TEXT(IFERROR(VLOOKUP(T_Convention[[#This Row],[NumL]],T_TraitDi[#Data],COLUMN(T_TraitDi[Colonne19]),FALSE),""),"[hh]:mm"))</f>
        <v>#N/A</v>
      </c>
      <c r="AT245" s="284" t="e">
        <f>IF(VLOOKUP(T_Convention[[#This Row],[NumL]],T_TraitDi[#Data],COLUMN(T_TraitDi[Colonne20]),FALSE)=0,"",TEXT(IFERROR(VLOOKUP(T_Convention[[#This Row],[NumL]],T_TraitDi[#Data],COLUMN(T_TraitDi[Colonne20]),FALSE),""),"[hh]:mm"))</f>
        <v>#N/A</v>
      </c>
      <c r="AU245" s="284" t="str">
        <f>IFERROR(VLOOKUP(T_Convention[[#This Row],[NumL]],T_TraitDi[#Data],COLUMN(T_TraitDi[Jeudi]),FALSE),"")</f>
        <v/>
      </c>
      <c r="AV245" s="284" t="e">
        <f>IF(VLOOKUP(T_Convention[[#This Row],[NumL]],T_TraitDi[#Data],COLUMN(T_TraitDi[Colonne21]),FALSE)=0,"",TEXT(IFERROR(VLOOKUP(T_Convention[[#This Row],[NumL]],T_TraitDi[#Data],COLUMN(T_TraitDi[Colonne21]),FALSE),""),"[hh]:mm"))</f>
        <v>#N/A</v>
      </c>
      <c r="AW245" s="284" t="e">
        <f>IF(VLOOKUP(T_Convention[[#This Row],[NumL]],T_TraitDi[#Data],COLUMN(T_TraitDi[Colonne22]),FALSE)=0,"",TEXT(IFERROR(VLOOKUP(T_Convention[[#This Row],[NumL]],T_TraitDi[#Data],COLUMN(T_TraitDi[Colonne22]),FALSE),""),"[hh]:mm"))</f>
        <v>#N/A</v>
      </c>
      <c r="AX245" s="284" t="str">
        <f>IFERROR(VLOOKUP(T_Convention[[#This Row],[NumL]],T_TraitDi[#Data],COLUMN(T_TraitDi[Colonne23]),FALSE),"")</f>
        <v/>
      </c>
      <c r="AY245" s="284" t="e">
        <f>IF(VLOOKUP(T_Convention[[#This Row],[NumL]],T_TraitDi[#Data],COLUMN(T_TraitDi[Colonne24]),FALSE)=0,"",TEXT(IFERROR(VLOOKUP(T_Convention[[#This Row],[NumL]],T_TraitDi[#Data],COLUMN(T_TraitDi[Colonne24]),FALSE),""),"[hh]:mm"))</f>
        <v>#N/A</v>
      </c>
      <c r="AZ245" s="284" t="e">
        <f>IF(VLOOKUP(T_Convention[[#This Row],[NumL]],T_TraitDi[#Data],COLUMN(T_TraitDi[Colonne25]),FALSE)=0,"",TEXT(IFERROR(VLOOKUP(T_Convention[[#This Row],[NumL]],T_TraitDi[#Data],COLUMN(T_TraitDi[Colonne25]),FALSE),""),"[hh]:mm"))</f>
        <v>#N/A</v>
      </c>
      <c r="BA245" s="284" t="e">
        <f>IF(VLOOKUP(T_Convention[[#This Row],[NumL]],T_TraitDi[#Data],COLUMN(T_TraitDi[Colonne26]),FALSE)=0,"",TEXT(IFERROR(VLOOKUP(T_Convention[[#This Row],[NumL]],T_TraitDi[#Data],COLUMN(T_TraitDi[Colonne26]),FALSE),""),"[hh]:mm"))</f>
        <v>#N/A</v>
      </c>
      <c r="BB245" s="284" t="str">
        <f>IFERROR(VLOOKUP(T_Convention[[#This Row],[NumL]],T_TraitDi[#Data],COLUMN(T_TraitDi[Vendredi]),FALSE),"")</f>
        <v/>
      </c>
      <c r="BC245" s="284" t="e">
        <f>IF(VLOOKUP(T_Convention[[#This Row],[NumL]],T_TraitDi[#Data],COLUMN(T_TraitDi[Colonne27]),FALSE)=0,"",TEXT(IFERROR(VLOOKUP(T_Convention[[#This Row],[NumL]],T_TraitDi[#Data],COLUMN(T_TraitDi[Colonne27]),FALSE),""),"[hh]:mm"))</f>
        <v>#N/A</v>
      </c>
      <c r="BD245" s="284" t="e">
        <f>IF(VLOOKUP(T_Convention[[#This Row],[NumL]],T_TraitDi[#Data],COLUMN(T_TraitDi[Colonne28]),FALSE)=0,"",TEXT(IFERROR(VLOOKUP(T_Convention[[#This Row],[NumL]],T_TraitDi[#Data],COLUMN(T_TraitDi[Colonne28]),FALSE),""),"[hh]:mm"))</f>
        <v>#N/A</v>
      </c>
      <c r="BE245" s="284" t="str">
        <f>IFERROR(VLOOKUP(T_Convention[[#This Row],[NumL]],T_TraitDi[#Data],COLUMN(T_TraitDi[Colonne29]),FALSE),"")</f>
        <v/>
      </c>
      <c r="BF245" s="284" t="e">
        <f>IF(VLOOKUP(T_Convention[[#This Row],[NumL]],T_TraitDi[#Data],COLUMN(T_TraitDi[Colonne30]),FALSE)=0,"",TEXT(IFERROR(VLOOKUP(T_Convention[[#This Row],[NumL]],T_TraitDi[#Data],COLUMN(T_TraitDi[Colonne30]),FALSE),""),"[hh]:mm"))</f>
        <v>#N/A</v>
      </c>
      <c r="BG245" s="284" t="e">
        <f>IF(VLOOKUP(T_Convention[[#This Row],[NumL]],T_TraitDi[#Data],COLUMN(T_TraitDi[Colonne31]),FALSE)=0,"",TEXT(IFERROR(VLOOKUP(T_Convention[[#This Row],[NumL]],T_TraitDi[#Data],COLUMN(T_TraitDi[Colonne31]),FALSE),""),"[hh]:mm"))</f>
        <v>#N/A</v>
      </c>
      <c r="BH245" s="284" t="e">
        <f>IF(VLOOKUP(T_Convention[[#This Row],[NumL]],T_TraitDi[#Data],COLUMN(T_TraitDi[Colonne32]),FALSE)=0,"",TEXT(IFERROR(VLOOKUP(T_Convention[[#This Row],[NumL]],T_TraitDi[#Data],COLUMN(T_TraitDi[Colonne32]),FALSE),""),"[hh]:mm"))</f>
        <v>#N/A</v>
      </c>
      <c r="BI245" s="284" t="str">
        <f>IFERROR(VLOOKUP(T_Convention[[#This Row],[NumL]],T_TraitDi[#Data],COLUMN(T_TraitDi[NbJTW]),FALSE),"")</f>
        <v/>
      </c>
      <c r="BJ245" s="284" t="e">
        <f>IF(VLOOKUP(T_Convention[[#This Row],[NumL]],T_TraitDi[#Data],COLUMN(T_TraitDi[NbhTW]),FALSE)=0,"",TEXT(IFERROR(VLOOKUP(T_Convention[[#This Row],[NumL]],T_TraitDi[#Data],COLUMN(T_TraitDi[NbhTW]),FALSE),""),"[hh]:mm"))</f>
        <v>#N/A</v>
      </c>
      <c r="BK245" s="286" t="e">
        <f>IF(VLOOKUP(T_Convention[[#This Row],[NumL]],T_TraitDi[#Data],COLUMN(T_TraitDi[Nbhheb]),FALSE)=0,"",TEXT(IFERROR(VLOOKUP(T_Convention[[#This Row],[NumL]],T_TraitDi[#Data],COLUMN(T_TraitDi[Nbhheb]),FALSE),""),"[hh]:mm"))</f>
        <v>#N/A</v>
      </c>
      <c r="BL245" s="287" t="str">
        <f>IFERROR(VLOOKUP(VLOOKUP(T_Convention[[#This Row],[NumL]],T_TraitDi[#Data],COLUMN(T_TraitDi[Type1]),FALSE),TypeTW,2,FALSE),"")</f>
        <v/>
      </c>
      <c r="BM245" s="288" t="str">
        <f>IFERROR(VLOOKUP(T_Convention[[#This Row],[NumL]],T_TraitDi[#Data],COLUMN(T_TraitDi[Rue1]),FALSE),"")</f>
        <v/>
      </c>
      <c r="BN245" s="289" t="str">
        <f>IFERROR(VLOOKUP(T_Convention[[#This Row],[NumL]],T_TraitDi[#Data],COLUMN(T_TraitDi[CP1]),FALSE),"")</f>
        <v/>
      </c>
      <c r="BO245" s="282" t="str">
        <f>IFERROR(VLOOKUP(T_Convention[[#This Row],[NumL]],T_TraitDi[#Data],COLUMN(T_TraitDi[VILLE1]),FALSE),"")</f>
        <v/>
      </c>
      <c r="BP245" s="290" t="str">
        <f>IFERROR(VLOOKUP(VLOOKUP(T_Convention[[#This Row],[NumL]],T_TraitDi[#Data],COLUMN(T_TraitDi[Type2]),FALSE),TypeTW,2,FALSE),"")</f>
        <v/>
      </c>
      <c r="BQ245" s="182" t="str">
        <f>IFERROR(VLOOKUP(T_Convention[[#This Row],[NumL]],T_TraitDi[#Data],COLUMN(T_TraitDi[Rue2]),FALSE),"")</f>
        <v/>
      </c>
      <c r="BR245" s="173" t="str">
        <f>IFERROR(VLOOKUP(T_Convention[[#This Row],[NumL]],T_TraitDi[#Data],COLUMN(T_TraitDi[CP2]),FALSE),"")</f>
        <v/>
      </c>
      <c r="BS245" s="173" t="str">
        <f>IFERROR(VLOOKUP(T_Convention[[#This Row],[NumL]],T_TraitDi[#Data],COLUMN(T_TraitDi[VILLE2]),FALSE),"")</f>
        <v/>
      </c>
      <c r="BT245" s="182" t="str">
        <f>IF(VLOOKUP(T_Convention[[#This Row],[NumL]],T_Equipement[#Data],COLUMN(T_Equipement[PC]),FALSE)="","Aucun équipement spécifique directement lié au télétravail",VLOOKUP(T_Convention[[#This Row],[NumL]],T_Equipement[#Data],COLUMN(T_Equipement[PC]),FALSE))</f>
        <v xml:space="preserve">20-628	</v>
      </c>
      <c r="BU245" s="166" t="str">
        <f>IFERROR(IF(VLOOKUP(T_Convention[[#This Row],[NumL]],T_TraitDi[#Data],COLUMN(T_TraitDi[Plan]),FALSE)="OK","Un planning spécifique de télétravail est annexé à la présente convention.",""),"")</f>
        <v/>
      </c>
      <c r="BV245" s="185" t="s">
        <v>3419</v>
      </c>
      <c r="BW245" s="164" t="e">
        <f>IF(VLOOKUP(T_Convention[[#This Row],[NumL]],T_suiviDi[#Data],COLUMN(T_suiviDi[Entité]),FALSE)="","",VLOOKUP(T_Convention[[#This Row],[NumL]],T_suiviDi[#Data],COLUMN(T_suiviDi[Entité]),FALSE))</f>
        <v>#N/A</v>
      </c>
      <c r="BX245" s="164" t="str">
        <f>IF(VLOOKUP(T_Convention[[#This Row],[NumL]],T_Commission[#Data],COLUMN(T_Commission[envoi confirm TW]),FALSE)="","",VLOOKUP(T_Convention[[#This Row],[NumL]],T_Commission[#Data],COLUMN(T_Commission[envoi confirm TW]),FALSE))</f>
        <v>Oui</v>
      </c>
      <c r="BY24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5" s="264">
        <f>VLOOKUP(T_Convention[[#This Row],[NumL]],T_Commission[#Data],COLUMN(T_Commission[Commentaire]),FALSE)</f>
        <v>0</v>
      </c>
      <c r="CA245" s="254" t="str">
        <f>IF(VLOOKUP(T_Convention[[#This Row],[NumL]],T_Commission[#Data],COLUMN(T_Commission[Encadrant Email]),FALSE)="","",VLOOKUP(T_Convention[[#This Row],[NumL]],T_Commission[#Data],COLUMN(T_Commission[Encadrant Email]),FALSE))</f>
        <v/>
      </c>
      <c r="CB245" s="353" t="e">
        <f>VLOOKUP(T_Convention[[#This Row],[NumL]],T_TraitDi[#Data],COLUMN(T_TraitDi[NbJTot]),FALSE)</f>
        <v>#N/A</v>
      </c>
      <c r="CC245" s="353" t="e">
        <f>VLOOKUP(T_Convention[[#This Row],[NumL]],T_TraitDi[#Data],COLUMN(T_TraitDi[Reg Ponct]),FALSE)</f>
        <v>#N/A</v>
      </c>
      <c r="CD245" s="348" t="str">
        <f>IF(T_Convention[[#This Row],[Final]]&lt;&gt;"",VLOOKUP(T_Convention[[#This Row],[NumL]],T_suiviDi[#Data],COLUMN((T_suiviDi[Statut])),FALSE),"")</f>
        <v/>
      </c>
    </row>
    <row r="246" spans="1:82" s="106" customFormat="1" ht="18.75" customHeight="1" x14ac:dyDescent="0.25">
      <c r="A246" s="160">
        <v>311</v>
      </c>
      <c r="B246" s="281" t="str">
        <f>VLOOKUP(T_Convention[[#This Row],[NumL]],T_Commission[#Data],COLUMN(T_Commission[FINAL]),FALSE)</f>
        <v/>
      </c>
      <c r="C246" s="162"/>
      <c r="D246" s="95" t="e">
        <f>IF(VLOOKUP(T_Convention[[#This Row],[NumL]],T_TraitDi[#Data],COLUMN(T_TraitDi[WebC]),FALSE)="","",VLOOKUP(T_Convention[[#This Row],[NumL]],T_TraitDi[#Data],COLUMN(T_TraitDi[WebC]),FALSE))</f>
        <v>#N/A</v>
      </c>
      <c r="E246" s="163" t="str">
        <f t="shared" si="15"/>
        <v>12 janvier 2021</v>
      </c>
      <c r="F246" s="282" t="str">
        <f>IF(T_Convention[[#This Row],[Final]]&lt;&gt;"",VLOOKUP(T_Convention[[#This Row],[NumL]],T_suiviDi[#Data],COLUMN((T_suiviDi[Civ.])),FALSE),"")</f>
        <v/>
      </c>
      <c r="G246" s="283" t="str">
        <f>IF(T_Convention[[#This Row],[Final]]&lt;&gt;"",VLOOKUP(T_Convention[[#This Row],[NumL]],T_suiviDi[#Data],COLUMN((T_suiviDi[Nom])),FALSE),"")</f>
        <v/>
      </c>
      <c r="H246" s="282" t="str">
        <f>IF(T_Convention[[#This Row],[Final]]&lt;&gt;"",VLOOKUP(T_Convention[[#This Row],[NumL]],T_suiviDi[#Data],COLUMN((T_suiviDi[Prénom])),FALSE),"")</f>
        <v/>
      </c>
      <c r="I246" s="282" t="e">
        <f>VLOOKUP(T_Convention[[#This Row],[NumL]],T_suiviDi[#Data],COLUMN((T_suiviDi[[#This Row],[Email]])),FALSE)</f>
        <v>#VALUE!</v>
      </c>
      <c r="J246" s="282" t="e">
        <f>IF(VLOOKUP(T_Convention[[#This Row],[NumL]],T_suiviDi[#Data],COLUMN(T_suiviDi[[#This Row],[Fonction]]),FALSE)="","",VLOOKUP(T_Convention[[#This Row],[NumL]],T_suiviDi[#Data],COLUMN(T_suiviDi[[#This Row],[Fonction]]),FALSE))</f>
        <v>#VALUE!</v>
      </c>
      <c r="K246" s="282" t="e">
        <f>IF(VLOOKUP(T_Convention[[#This Row],[NumL]],T_suiviDi[#Data],COLUMN(T_suiviDi[[#This Row],[Grade]]),FALSE)="","",VLOOKUP(T_Convention[[#This Row],[NumL]],T_suiviDi[#Data],COLUMN(T_suiviDi[[#This Row],[Grade]]),FALSE))</f>
        <v>#VALUE!</v>
      </c>
      <c r="L246" s="282" t="e">
        <f>IF(VLOOKUP(T_Convention[[#This Row],[NumL]],T_suiviDi[#Data],COLUMN(T_suiviDi[[#This Row],[Service ]]),FALSE)="","",VLOOKUP(T_Convention[[#This Row],[NumL]],T_suiviDi[#Data],COLUMN(T_suiviDi[[#This Row],[Service ]]),FALSE))</f>
        <v>#VALUE!</v>
      </c>
      <c r="M246" s="314" t="str">
        <f t="shared" si="16"/>
        <v>01 septembre 2021</v>
      </c>
      <c r="N246" s="314" t="str">
        <f t="shared" si="17"/>
        <v>30 novembre 2021</v>
      </c>
      <c r="O246" s="284" t="str">
        <f t="shared" si="18"/>
        <v>30 novembre 2021</v>
      </c>
      <c r="P246" s="282" t="e">
        <f>IF(VLOOKUP(T_Convention[[#This Row],[NumL]],T_TraitDi[#Data],COLUMN(T_TraitDi[M1]),FALSE)="","",VLOOKUP(T_Convention[[#This Row],[NumL]],T_TraitDi[#Data],COLUMN(T_TraitDi[M1]),FALSE))</f>
        <v>#N/A</v>
      </c>
      <c r="Q246" s="282" t="e">
        <f>IF(VLOOKUP(T_Convention[[#This Row],[NumL]],T_TraitDi[#Data],COLUMN(T_TraitDi[M2]),FALSE)="","",VLOOKUP(T_Convention[[#This Row],[NumL]],T_TraitDi[#Data],COLUMN(T_TraitDi[M2]),FALSE))</f>
        <v>#N/A</v>
      </c>
      <c r="R246" s="282" t="e">
        <f>IF(VLOOKUP(T_Convention[[#This Row],[NumL]],T_TraitDi[#Data],COLUMN(T_TraitDi[M3]),FALSE)="","",VLOOKUP(T_Convention[[#This Row],[NumL]],T_TraitDi[#Data],COLUMN(T_TraitDi[M3]),FALSE))</f>
        <v>#N/A</v>
      </c>
      <c r="S246" s="282" t="e">
        <f>IF(VLOOKUP(T_Convention[[#This Row],[NumL]],T_TraitDi[#Data],COLUMN(T_TraitDi[M4]),FALSE)="","",VLOOKUP(T_Convention[[#This Row],[NumL]],T_TraitDi[#Data],COLUMN(T_TraitDi[M4]),FALSE))</f>
        <v>#N/A</v>
      </c>
      <c r="T246" s="282" t="e">
        <f>IF(VLOOKUP(T_Convention[[#This Row],[NumL]],T_TraitDi[#Data],COLUMN(T_TraitDi[M5]),FALSE)="","",VLOOKUP(T_Convention[[#This Row],[NumL]],T_TraitDi[#Data],COLUMN(T_TraitDi[M5]),FALSE))</f>
        <v>#N/A</v>
      </c>
      <c r="U246" s="282" t="e">
        <f>IF(VLOOKUP(T_Convention[[#This Row],[NumL]],T_TraitDi[#Data],COLUMN(T_TraitDi[M6]),FALSE)="","",VLOOKUP(T_Convention[[#This Row],[NumL]],T_TraitDi[#Data],COLUMN(T_TraitDi[M6]),FALSE))</f>
        <v>#N/A</v>
      </c>
      <c r="V246" s="314" t="e">
        <f t="shared" si="19"/>
        <v>#N/A</v>
      </c>
      <c r="W246" s="284" t="str">
        <f>IFERROR(TEXT(VLOOKUP(T_Convention[[#This Row],[NumL]],T_TraitDi[#Data],COLUMN(T_TraitDi[Q2]),FALSE),"###%"),"")</f>
        <v/>
      </c>
      <c r="X246" s="285" t="e">
        <f>VLOOKUP(T_Convention[[#This Row],[NumL]],T_TraitDi[#Data],COLUMN(T_TraitDi[Reg Ponct]),FALSE)</f>
        <v>#N/A</v>
      </c>
      <c r="Y246" s="285" t="e">
        <f>VLOOKUP(T_Convention[NumL],T_TraitDi[#Data],COLUMN(T_TraitDi[Jours flottants]),FALSE)</f>
        <v>#N/A</v>
      </c>
      <c r="Z246" s="284" t="str">
        <f>IFERROR(VLOOKUP(T_Convention[[#This Row],[NumL]],T_TraitDi[#Data],COLUMN(T_TraitDi[Lundi]),FALSE),"")</f>
        <v/>
      </c>
      <c r="AA246" s="284" t="e">
        <f>IF(VLOOKUP(T_Convention[[#This Row],[NumL]],T_TraitDi[#Data],COLUMN(T_TraitDi[Colonne3]),FALSE)=0,"",TEXT(IFERROR(VLOOKUP(T_Convention[[#This Row],[NumL]],T_TraitDi[#Data],COLUMN(T_TraitDi[Colonne3]),FALSE),""),"[hh]:mm"))</f>
        <v>#N/A</v>
      </c>
      <c r="AB246" s="284" t="e">
        <f>IF(VLOOKUP(T_Convention[[#This Row],[NumL]],T_TraitDi[#Data],COLUMN(T_TraitDi[Colonne4]),FALSE)=0,"",TEXT(IFERROR(VLOOKUP(T_Convention[[#This Row],[NumL]],T_TraitDi[#Data],COLUMN(T_TraitDi[Colonne4]),FALSE),""),"[hh]:mm"))</f>
        <v>#N/A</v>
      </c>
      <c r="AC246" s="284" t="e">
        <f>IF(VLOOKUP(T_Convention[[#This Row],[NumL]],T_TraitDi[#Data],COLUMN(T_TraitDi[Colonne5]),FALSE)=0,"",TEXT(IFERROR(VLOOKUP(T_Convention[[#This Row],[NumL]],T_TraitDi[#Data],COLUMN(T_TraitDi[Colonne5]),FALSE),""),"[hh]:mm"))</f>
        <v>#N/A</v>
      </c>
      <c r="AD246" s="284" t="e">
        <f>IF(VLOOKUP(T_Convention[[#This Row],[NumL]],T_TraitDi[#Data],COLUMN(T_TraitDi[Colonne6]),FALSE)=0,"",TEXT(IFERROR(VLOOKUP(T_Convention[[#This Row],[NumL]],T_TraitDi[#Data],COLUMN(T_TraitDi[Colonne6]),FALSE),""),"[hh]:mm"))</f>
        <v>#N/A</v>
      </c>
      <c r="AE246" s="284" t="e">
        <f>IF(VLOOKUP(T_Convention[[#This Row],[NumL]],T_TraitDi[#Data],COLUMN(T_TraitDi[Colonne7]),FALSE)=0,"",TEXT(IFERROR(VLOOKUP(T_Convention[[#This Row],[NumL]],T_TraitDi[#Data],COLUMN(T_TraitDi[Colonne7]),FALSE),""),"[hh]:mm"))</f>
        <v>#N/A</v>
      </c>
      <c r="AF246" s="284" t="e">
        <f>IF(VLOOKUP(T_Convention[[#This Row],[NumL]],T_TraitDi[#Data],COLUMN(T_TraitDi[Colonne8]),FALSE)=0,"",TEXT(IFERROR(VLOOKUP(T_Convention[[#This Row],[NumL]],T_TraitDi[#Data],COLUMN(T_TraitDi[Colonne8]),FALSE),""),"[hh]:mm"))</f>
        <v>#N/A</v>
      </c>
      <c r="AG246" s="284" t="str">
        <f>IFERROR(VLOOKUP(T_Convention[[#This Row],[NumL]],T_TraitDi[#Data],COLUMN(T_TraitDi[Mardi]),FALSE),"")</f>
        <v/>
      </c>
      <c r="AH246" s="284" t="e">
        <f>IF(VLOOKUP(T_Convention[[#This Row],[NumL]],T_TraitDi[#Data],COLUMN(T_TraitDi[Colonne1]),FALSE)=0,"",TEXT(IFERROR(VLOOKUP(T_Convention[[#This Row],[NumL]],T_TraitDi[#Data],COLUMN(T_TraitDi[Colonne1]),FALSE),""),"[hh]:mm"))</f>
        <v>#N/A</v>
      </c>
      <c r="AI246" s="284" t="e">
        <f>IF(VLOOKUP(T_Convention[[#This Row],[NumL]],T_TraitDi[#Data],COLUMN(T_TraitDi[Colonne9]),FALSE)=0,"",TEXT(IFERROR(VLOOKUP(T_Convention[[#This Row],[NumL]],T_TraitDi[#Data],COLUMN(T_TraitDi[Colonne9]),FALSE),""),"[hh]:mm"))</f>
        <v>#N/A</v>
      </c>
      <c r="AJ246" s="284" t="str">
        <f>IFERROR(VLOOKUP(T_Convention[[#This Row],[NumL]],T_TraitDi[#Data],COLUMN(T_TraitDi[Colonne10]),FALSE),"")</f>
        <v/>
      </c>
      <c r="AK246" s="284" t="e">
        <f>IF(VLOOKUP(T_Convention[[#This Row],[NumL]],T_TraitDi[#Data],COLUMN(T_TraitDi[Colonne11]),FALSE)=0,"",TEXT(IFERROR(VLOOKUP(T_Convention[[#This Row],[NumL]],T_TraitDi[#Data],COLUMN(T_TraitDi[Colonne11]),FALSE),""),"[hh]:mm"))</f>
        <v>#N/A</v>
      </c>
      <c r="AL246" s="284" t="e">
        <f>IF(VLOOKUP(T_Convention[[#This Row],[NumL]],T_TraitDi[#Data],COLUMN(T_TraitDi[Colonne12]),FALSE)=0,"",TEXT(IFERROR(VLOOKUP(T_Convention[[#This Row],[NumL]],T_TraitDi[#Data],COLUMN(T_TraitDi[Colonne12]),FALSE),""),"[hh]:mm"))</f>
        <v>#N/A</v>
      </c>
      <c r="AM246" s="284" t="e">
        <f>IF(VLOOKUP(T_Convention[[#This Row],[NumL]],T_TraitDi[#Data],COLUMN(T_TraitDi[Colonne14]),FALSE)=0,"",TEXT(IFERROR(VLOOKUP(T_Convention[[#This Row],[NumL]],T_TraitDi[#Data],COLUMN(T_TraitDi[Colonne14]),FALSE),""),"[hh]:mm"))</f>
        <v>#N/A</v>
      </c>
      <c r="AN246" s="284" t="str">
        <f>IFERROR(VLOOKUP(T_Convention[[#This Row],[NumL]],T_TraitDi[#Data],COLUMN(T_TraitDi[Mercredi]),FALSE),"")</f>
        <v/>
      </c>
      <c r="AO246" s="284" t="e">
        <f>IF(VLOOKUP(T_Convention[[#This Row],[NumL]],T_TraitDi[#Data],COLUMN(T_TraitDi[Colonne15]),FALSE)=0,"",TEXT(IFERROR(VLOOKUP(T_Convention[[#This Row],[NumL]],T_TraitDi[#Data],COLUMN(T_TraitDi[Colonne15]),FALSE),""),"[hh]:mm"))</f>
        <v>#N/A</v>
      </c>
      <c r="AP246" s="284" t="e">
        <f>IF(VLOOKUP(T_Convention[[#This Row],[NumL]],T_TraitDi[#Data],COLUMN(T_TraitDi[Colonne16]),FALSE)=0,"",TEXT(IFERROR(VLOOKUP(T_Convention[[#This Row],[NumL]],T_TraitDi[#Data],COLUMN(T_TraitDi[Colonne16]),FALSE),""),"[hh]:mm"))</f>
        <v>#N/A</v>
      </c>
      <c r="AQ246" s="284" t="str">
        <f>IFERROR(VLOOKUP(T_Convention[[#This Row],[NumL]],T_TraitDi[#Data],COLUMN(T_TraitDi[Colonne17]),FALSE),"")</f>
        <v/>
      </c>
      <c r="AR246" s="284" t="e">
        <f>IF(VLOOKUP(T_Convention[[#This Row],[NumL]],T_TraitDi[#Data],COLUMN(T_TraitDi[Colonne18]),FALSE)=0,"",TEXT(IFERROR(VLOOKUP(T_Convention[[#This Row],[NumL]],T_TraitDi[#Data],COLUMN(T_TraitDi[Colonne18]),FALSE),""),"[hh]:mm"))</f>
        <v>#N/A</v>
      </c>
      <c r="AS246" s="284" t="e">
        <f>IF(VLOOKUP(T_Convention[[#This Row],[NumL]],T_TraitDi[#Data],COLUMN(T_TraitDi[Colonne19]),FALSE)=0,"",TEXT(IFERROR(VLOOKUP(T_Convention[[#This Row],[NumL]],T_TraitDi[#Data],COLUMN(T_TraitDi[Colonne19]),FALSE),""),"[hh]:mm"))</f>
        <v>#N/A</v>
      </c>
      <c r="AT246" s="284" t="e">
        <f>IF(VLOOKUP(T_Convention[[#This Row],[NumL]],T_TraitDi[#Data],COLUMN(T_TraitDi[Colonne20]),FALSE)=0,"",TEXT(IFERROR(VLOOKUP(T_Convention[[#This Row],[NumL]],T_TraitDi[#Data],COLUMN(T_TraitDi[Colonne20]),FALSE),""),"[hh]:mm"))</f>
        <v>#N/A</v>
      </c>
      <c r="AU246" s="284" t="str">
        <f>IFERROR(VLOOKUP(T_Convention[[#This Row],[NumL]],T_TraitDi[#Data],COLUMN(T_TraitDi[Jeudi]),FALSE),"")</f>
        <v/>
      </c>
      <c r="AV246" s="284" t="e">
        <f>IF(VLOOKUP(T_Convention[[#This Row],[NumL]],T_TraitDi[#Data],COLUMN(T_TraitDi[Colonne21]),FALSE)=0,"",TEXT(IFERROR(VLOOKUP(T_Convention[[#This Row],[NumL]],T_TraitDi[#Data],COLUMN(T_TraitDi[Colonne21]),FALSE),""),"[hh]:mm"))</f>
        <v>#N/A</v>
      </c>
      <c r="AW246" s="284" t="e">
        <f>IF(VLOOKUP(T_Convention[[#This Row],[NumL]],T_TraitDi[#Data],COLUMN(T_TraitDi[Colonne22]),FALSE)=0,"",TEXT(IFERROR(VLOOKUP(T_Convention[[#This Row],[NumL]],T_TraitDi[#Data],COLUMN(T_TraitDi[Colonne22]),FALSE),""),"[hh]:mm"))</f>
        <v>#N/A</v>
      </c>
      <c r="AX246" s="284" t="str">
        <f>IFERROR(VLOOKUP(T_Convention[[#This Row],[NumL]],T_TraitDi[#Data],COLUMN(T_TraitDi[Colonne23]),FALSE),"")</f>
        <v/>
      </c>
      <c r="AY246" s="284" t="e">
        <f>IF(VLOOKUP(T_Convention[[#This Row],[NumL]],T_TraitDi[#Data],COLUMN(T_TraitDi[Colonne24]),FALSE)=0,"",TEXT(IFERROR(VLOOKUP(T_Convention[[#This Row],[NumL]],T_TraitDi[#Data],COLUMN(T_TraitDi[Colonne24]),FALSE),""),"[hh]:mm"))</f>
        <v>#N/A</v>
      </c>
      <c r="AZ246" s="284" t="e">
        <f>IF(VLOOKUP(T_Convention[[#This Row],[NumL]],T_TraitDi[#Data],COLUMN(T_TraitDi[Colonne25]),FALSE)=0,"",TEXT(IFERROR(VLOOKUP(T_Convention[[#This Row],[NumL]],T_TraitDi[#Data],COLUMN(T_TraitDi[Colonne25]),FALSE),""),"[hh]:mm"))</f>
        <v>#N/A</v>
      </c>
      <c r="BA246" s="284" t="e">
        <f>IF(VLOOKUP(T_Convention[[#This Row],[NumL]],T_TraitDi[#Data],COLUMN(T_TraitDi[Colonne26]),FALSE)=0,"",TEXT(IFERROR(VLOOKUP(T_Convention[[#This Row],[NumL]],T_TraitDi[#Data],COLUMN(T_TraitDi[Colonne26]),FALSE),""),"[hh]:mm"))</f>
        <v>#N/A</v>
      </c>
      <c r="BB246" s="284" t="str">
        <f>IFERROR(VLOOKUP(T_Convention[[#This Row],[NumL]],T_TraitDi[#Data],COLUMN(T_TraitDi[Vendredi]),FALSE),"")</f>
        <v/>
      </c>
      <c r="BC246" s="284" t="e">
        <f>IF(VLOOKUP(T_Convention[[#This Row],[NumL]],T_TraitDi[#Data],COLUMN(T_TraitDi[Colonne27]),FALSE)=0,"",TEXT(IFERROR(VLOOKUP(T_Convention[[#This Row],[NumL]],T_TraitDi[#Data],COLUMN(T_TraitDi[Colonne27]),FALSE),""),"[hh]:mm"))</f>
        <v>#N/A</v>
      </c>
      <c r="BD246" s="284" t="e">
        <f>IF(VLOOKUP(T_Convention[[#This Row],[NumL]],T_TraitDi[#Data],COLUMN(T_TraitDi[Colonne28]),FALSE)=0,"",TEXT(IFERROR(VLOOKUP(T_Convention[[#This Row],[NumL]],T_TraitDi[#Data],COLUMN(T_TraitDi[Colonne28]),FALSE),""),"[hh]:mm"))</f>
        <v>#N/A</v>
      </c>
      <c r="BE246" s="284" t="str">
        <f>IFERROR(VLOOKUP(T_Convention[[#This Row],[NumL]],T_TraitDi[#Data],COLUMN(T_TraitDi[Colonne29]),FALSE),"")</f>
        <v/>
      </c>
      <c r="BF246" s="284" t="e">
        <f>IF(VLOOKUP(T_Convention[[#This Row],[NumL]],T_TraitDi[#Data],COLUMN(T_TraitDi[Colonne30]),FALSE)=0,"",TEXT(IFERROR(VLOOKUP(T_Convention[[#This Row],[NumL]],T_TraitDi[#Data],COLUMN(T_TraitDi[Colonne30]),FALSE),""),"[hh]:mm"))</f>
        <v>#N/A</v>
      </c>
      <c r="BG246" s="284" t="e">
        <f>IF(VLOOKUP(T_Convention[[#This Row],[NumL]],T_TraitDi[#Data],COLUMN(T_TraitDi[Colonne31]),FALSE)=0,"",TEXT(IFERROR(VLOOKUP(T_Convention[[#This Row],[NumL]],T_TraitDi[#Data],COLUMN(T_TraitDi[Colonne31]),FALSE),""),"[hh]:mm"))</f>
        <v>#N/A</v>
      </c>
      <c r="BH246" s="284" t="e">
        <f>IF(VLOOKUP(T_Convention[[#This Row],[NumL]],T_TraitDi[#Data],COLUMN(T_TraitDi[Colonne32]),FALSE)=0,"",TEXT(IFERROR(VLOOKUP(T_Convention[[#This Row],[NumL]],T_TraitDi[#Data],COLUMN(T_TraitDi[Colonne32]),FALSE),""),"[hh]:mm"))</f>
        <v>#N/A</v>
      </c>
      <c r="BI246" s="284" t="str">
        <f>IFERROR(VLOOKUP(T_Convention[[#This Row],[NumL]],T_TraitDi[#Data],COLUMN(T_TraitDi[NbJTW]),FALSE),"")</f>
        <v/>
      </c>
      <c r="BJ246" s="284" t="e">
        <f>IF(VLOOKUP(T_Convention[[#This Row],[NumL]],T_TraitDi[#Data],COLUMN(T_TraitDi[NbhTW]),FALSE)=0,"",TEXT(IFERROR(VLOOKUP(T_Convention[[#This Row],[NumL]],T_TraitDi[#Data],COLUMN(T_TraitDi[NbhTW]),FALSE),""),"[hh]:mm"))</f>
        <v>#N/A</v>
      </c>
      <c r="BK246" s="315" t="e">
        <f>IF(VLOOKUP(T_Convention[[#This Row],[NumL]],T_TraitDi[#Data],COLUMN(T_TraitDi[Nbhheb]),FALSE)=0,"",TEXT(IFERROR(VLOOKUP(T_Convention[[#This Row],[NumL]],T_TraitDi[#Data],COLUMN(T_TraitDi[Nbhheb]),FALSE),""),"[hh]:mm"))</f>
        <v>#N/A</v>
      </c>
      <c r="BL246" s="287" t="str">
        <f>IFERROR(VLOOKUP(VLOOKUP(T_Convention[[#This Row],[NumL]],T_TraitDi[#Data],COLUMN(T_TraitDi[Type1]),FALSE),TypeTW,2,FALSE),"")</f>
        <v/>
      </c>
      <c r="BM246" s="288" t="str">
        <f>IFERROR(VLOOKUP(T_Convention[[#This Row],[NumL]],T_TraitDi[#Data],COLUMN(T_TraitDi[Rue1]),FALSE),"")</f>
        <v/>
      </c>
      <c r="BN246" s="289" t="str">
        <f>IFERROR(VLOOKUP(T_Convention[[#This Row],[NumL]],T_TraitDi[#Data],COLUMN(T_TraitDi[CP1]),FALSE),"")</f>
        <v/>
      </c>
      <c r="BO246" s="282" t="str">
        <f>IFERROR(VLOOKUP(T_Convention[[#This Row],[NumL]],T_TraitDi[#Data],COLUMN(T_TraitDi[VILLE1]),FALSE),"")</f>
        <v/>
      </c>
      <c r="BP246" s="290" t="str">
        <f>IFERROR(VLOOKUP(VLOOKUP(T_Convention[[#This Row],[NumL]],T_TraitDi[#Data],COLUMN(T_TraitDi[Type2]),FALSE),TypeTW,2,FALSE),"")</f>
        <v/>
      </c>
      <c r="BQ246" s="310" t="str">
        <f>IFERROR(VLOOKUP(T_Convention[[#This Row],[NumL]],T_TraitDi[#Data],COLUMN(T_TraitDi[Rue2]),FALSE),"")</f>
        <v/>
      </c>
      <c r="BR246" s="290" t="str">
        <f>IFERROR(VLOOKUP(T_Convention[[#This Row],[NumL]],T_TraitDi[#Data],COLUMN(T_TraitDi[CP2]),FALSE),"")</f>
        <v/>
      </c>
      <c r="BS246" s="290" t="str">
        <f>IFERROR(VLOOKUP(T_Convention[[#This Row],[NumL]],T_TraitDi[#Data],COLUMN(T_TraitDi[VILLE2]),FALSE),"")</f>
        <v/>
      </c>
      <c r="BT24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46" s="314" t="str">
        <f>IFERROR(IF(VLOOKUP(T_Convention[[#This Row],[NumL]],T_TraitDi[#Data],COLUMN(T_TraitDi[Plan]),FALSE)="OK","Un planning spécifique de télétravail est annexé à la présente convention.",""),"")</f>
        <v/>
      </c>
      <c r="BV246" s="291"/>
      <c r="BW246" s="292" t="e">
        <f>IF(VLOOKUP(T_Convention[[#This Row],[NumL]],T_suiviDi[#Data],COLUMN(T_suiviDi[Entité]),FALSE)="","",VLOOKUP(T_Convention[[#This Row],[NumL]],T_suiviDi[#Data],COLUMN(T_suiviDi[Entité]),FALSE))</f>
        <v>#N/A</v>
      </c>
      <c r="BX246" s="311" t="str">
        <f>IF(VLOOKUP(T_Convention[[#This Row],[NumL]],T_Commission[#Data],COLUMN(T_Commission[envoi confirm TW]),FALSE)="","",VLOOKUP(T_Convention[[#This Row],[NumL]],T_Commission[#Data],COLUMN(T_Commission[envoi confirm TW]),FALSE))</f>
        <v>Non</v>
      </c>
      <c r="BY24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6" s="265" t="str">
        <f>VLOOKUP(T_Convention[[#This Row],[NumL]],T_Commission[#Data],COLUMN(T_Commission[Commentaire]),FALSE)</f>
        <v>L'agent occupe son poste actuel depuis moins d'un an et n'a pu explorer ses fonctions dans un fonctionnement normal de l'université.</v>
      </c>
      <c r="CA246" s="255" t="str">
        <f>IF(VLOOKUP(T_Convention[[#This Row],[NumL]],T_Commission[#Data],COLUMN(T_Commission[Encadrant Email]),FALSE)="","",VLOOKUP(T_Convention[[#This Row],[NumL]],T_Commission[#Data],COLUMN(T_Commission[Encadrant Email]),FALSE))</f>
        <v/>
      </c>
      <c r="CB246" s="353" t="e">
        <f>VLOOKUP(T_Convention[[#This Row],[NumL]],T_TraitDi[#Data],COLUMN(T_TraitDi[NbJTot]),FALSE)</f>
        <v>#N/A</v>
      </c>
      <c r="CC246" s="353" t="e">
        <f>VLOOKUP(T_Convention[[#This Row],[NumL]],T_TraitDi[#Data],COLUMN(T_TraitDi[Reg Ponct]),FALSE)</f>
        <v>#N/A</v>
      </c>
      <c r="CD246" s="348" t="str">
        <f>IF(T_Convention[[#This Row],[Final]]&lt;&gt;"",VLOOKUP(T_Convention[[#This Row],[NumL]],T_suiviDi[#Data],COLUMN((T_suiviDi[Statut])),FALSE),"")</f>
        <v/>
      </c>
    </row>
    <row r="247" spans="1:82" s="106" customFormat="1" ht="18.75" customHeight="1" x14ac:dyDescent="0.25">
      <c r="A247" s="160">
        <v>174</v>
      </c>
      <c r="B247" s="161" t="str">
        <f>VLOOKUP(T_Convention[[#This Row],[NumL]],T_Commission[#Data],COLUMN(T_Commission[FINAL]),FALSE)</f>
        <v/>
      </c>
      <c r="C247" s="162"/>
      <c r="D247" s="95" t="e">
        <f>IF(VLOOKUP(T_Convention[[#This Row],[NumL]],T_TraitDi[#Data],COLUMN(T_TraitDi[WebC]),FALSE)="","",VLOOKUP(T_Convention[[#This Row],[NumL]],T_TraitDi[#Data],COLUMN(T_TraitDi[WebC]),FALSE))</f>
        <v>#N/A</v>
      </c>
      <c r="E247" s="163" t="str">
        <f t="shared" si="15"/>
        <v>12 janvier 2021</v>
      </c>
      <c r="F247" s="282" t="str">
        <f>IF(T_Convention[[#This Row],[Final]]&lt;&gt;"",VLOOKUP(T_Convention[[#This Row],[NumL]],T_suiviDi[#Data],COLUMN((T_suiviDi[Civ.])),FALSE),"")</f>
        <v/>
      </c>
      <c r="G247" s="283" t="str">
        <f>IF(T_Convention[[#This Row],[Final]]&lt;&gt;"",VLOOKUP(T_Convention[[#This Row],[NumL]],T_suiviDi[#Data],COLUMN((T_suiviDi[Nom])),FALSE),"")</f>
        <v/>
      </c>
      <c r="H247" s="282" t="str">
        <f>IF(T_Convention[[#This Row],[Final]]&lt;&gt;"",VLOOKUP(T_Convention[[#This Row],[NumL]],T_suiviDi[#Data],COLUMN((T_suiviDi[Prénom])),FALSE),"")</f>
        <v/>
      </c>
      <c r="I247" s="282" t="e">
        <f>VLOOKUP(T_Convention[[#This Row],[NumL]],T_suiviDi[#Data],COLUMN((T_suiviDi[[#This Row],[Email]])),FALSE)</f>
        <v>#VALUE!</v>
      </c>
      <c r="J247" s="282" t="e">
        <f>IF(VLOOKUP(T_Convention[[#This Row],[NumL]],T_suiviDi[#Data],COLUMN(T_suiviDi[[#This Row],[Fonction]]),FALSE)="","",VLOOKUP(T_Convention[[#This Row],[NumL]],T_suiviDi[#Data],COLUMN(T_suiviDi[[#This Row],[Fonction]]),FALSE))</f>
        <v>#VALUE!</v>
      </c>
      <c r="K247" s="282" t="e">
        <f>IF(VLOOKUP(T_Convention[[#This Row],[NumL]],T_suiviDi[#Data],COLUMN(T_suiviDi[[#This Row],[Grade]]),FALSE)="","",VLOOKUP(T_Convention[[#This Row],[NumL]],T_suiviDi[#Data],COLUMN(T_suiviDi[[#This Row],[Grade]]),FALSE))</f>
        <v>#VALUE!</v>
      </c>
      <c r="L247" s="282" t="e">
        <f>IF(VLOOKUP(T_Convention[[#This Row],[NumL]],T_suiviDi[#Data],COLUMN(T_suiviDi[[#This Row],[Service ]]),FALSE)="","",VLOOKUP(T_Convention[[#This Row],[NumL]],T_suiviDi[#Data],COLUMN(T_suiviDi[[#This Row],[Service ]]),FALSE))</f>
        <v>#VALUE!</v>
      </c>
      <c r="M247" s="164" t="str">
        <f t="shared" si="16"/>
        <v>01 septembre 2021</v>
      </c>
      <c r="N247" s="164" t="str">
        <f t="shared" si="17"/>
        <v>30 novembre 2021</v>
      </c>
      <c r="O247" s="284" t="str">
        <f t="shared" si="18"/>
        <v>30 novembre 2021</v>
      </c>
      <c r="P247" s="282" t="e">
        <f>IF(VLOOKUP(T_Convention[[#This Row],[NumL]],T_TraitDi[#Data],COLUMN(T_TraitDi[M1]),FALSE)="","",VLOOKUP(T_Convention[[#This Row],[NumL]],T_TraitDi[#Data],COLUMN(T_TraitDi[M1]),FALSE))</f>
        <v>#N/A</v>
      </c>
      <c r="Q247" s="282" t="e">
        <f>IF(VLOOKUP(T_Convention[[#This Row],[NumL]],T_TraitDi[#Data],COLUMN(T_TraitDi[M2]),FALSE)="","",VLOOKUP(T_Convention[[#This Row],[NumL]],T_TraitDi[#Data],COLUMN(T_TraitDi[M2]),FALSE))</f>
        <v>#N/A</v>
      </c>
      <c r="R247" s="282" t="e">
        <f>IF(VLOOKUP(T_Convention[[#This Row],[NumL]],T_TraitDi[#Data],COLUMN(T_TraitDi[M3]),FALSE)="","",VLOOKUP(T_Convention[[#This Row],[NumL]],T_TraitDi[#Data],COLUMN(T_TraitDi[M3]),FALSE))</f>
        <v>#N/A</v>
      </c>
      <c r="S247" s="282" t="e">
        <f>IF(VLOOKUP(T_Convention[[#This Row],[NumL]],T_TraitDi[#Data],COLUMN(T_TraitDi[M4]),FALSE)="","",VLOOKUP(T_Convention[[#This Row],[NumL]],T_TraitDi[#Data],COLUMN(T_TraitDi[M4]),FALSE))</f>
        <v>#N/A</v>
      </c>
      <c r="T247" s="282" t="e">
        <f>IF(VLOOKUP(T_Convention[[#This Row],[NumL]],T_TraitDi[#Data],COLUMN(T_TraitDi[M5]),FALSE)="","",VLOOKUP(T_Convention[[#This Row],[NumL]],T_TraitDi[#Data],COLUMN(T_TraitDi[M5]),FALSE))</f>
        <v>#N/A</v>
      </c>
      <c r="U247" s="282" t="e">
        <f>IF(VLOOKUP(T_Convention[[#This Row],[NumL]],T_TraitDi[#Data],COLUMN(T_TraitDi[M6]),FALSE)="","",VLOOKUP(T_Convention[[#This Row],[NumL]],T_TraitDi[#Data],COLUMN(T_TraitDi[M6]),FALSE))</f>
        <v>#N/A</v>
      </c>
      <c r="V247" s="176" t="e">
        <f t="shared" si="19"/>
        <v>#N/A</v>
      </c>
      <c r="W247" s="284" t="str">
        <f>IFERROR(TEXT(VLOOKUP(T_Convention[[#This Row],[NumL]],T_TraitDi[#Data],COLUMN(T_TraitDi[Q2]),FALSE),"###%"),"")</f>
        <v/>
      </c>
      <c r="X247" s="97" t="e">
        <f>VLOOKUP(T_Convention[[#This Row],[NumL]],T_TraitDi[#Data],COLUMN(T_TraitDi[Reg Ponct]),FALSE)</f>
        <v>#N/A</v>
      </c>
      <c r="Y247" s="97" t="e">
        <f>VLOOKUP(T_Convention[NumL],T_TraitDi[#Data],COLUMN(T_TraitDi[Jours flottants]),FALSE)</f>
        <v>#N/A</v>
      </c>
      <c r="Z247" s="284" t="str">
        <f>IFERROR(VLOOKUP(T_Convention[[#This Row],[NumL]],T_TraitDi[#Data],COLUMN(T_TraitDi[Lundi]),FALSE),"")</f>
        <v/>
      </c>
      <c r="AA247" s="284" t="e">
        <f>IF(VLOOKUP(T_Convention[[#This Row],[NumL]],T_TraitDi[#Data],COLUMN(T_TraitDi[Colonne3]),FALSE)=0,"",TEXT(IFERROR(VLOOKUP(T_Convention[[#This Row],[NumL]],T_TraitDi[#Data],COLUMN(T_TraitDi[Colonne3]),FALSE),""),"[hh]:mm"))</f>
        <v>#N/A</v>
      </c>
      <c r="AB247" s="284" t="e">
        <f>IF(VLOOKUP(T_Convention[[#This Row],[NumL]],T_TraitDi[#Data],COLUMN(T_TraitDi[Colonne4]),FALSE)=0,"",TEXT(IFERROR(VLOOKUP(T_Convention[[#This Row],[NumL]],T_TraitDi[#Data],COLUMN(T_TraitDi[Colonne4]),FALSE),""),"[hh]:mm"))</f>
        <v>#N/A</v>
      </c>
      <c r="AC247" s="284" t="e">
        <f>IF(VLOOKUP(T_Convention[[#This Row],[NumL]],T_TraitDi[#Data],COLUMN(T_TraitDi[Colonne5]),FALSE)=0,"",TEXT(IFERROR(VLOOKUP(T_Convention[[#This Row],[NumL]],T_TraitDi[#Data],COLUMN(T_TraitDi[Colonne5]),FALSE),""),"[hh]:mm"))</f>
        <v>#N/A</v>
      </c>
      <c r="AD247" s="284" t="e">
        <f>IF(VLOOKUP(T_Convention[[#This Row],[NumL]],T_TraitDi[#Data],COLUMN(T_TraitDi[Colonne6]),FALSE)=0,"",TEXT(IFERROR(VLOOKUP(T_Convention[[#This Row],[NumL]],T_TraitDi[#Data],COLUMN(T_TraitDi[Colonne6]),FALSE),""),"[hh]:mm"))</f>
        <v>#N/A</v>
      </c>
      <c r="AE247" s="284" t="e">
        <f>IF(VLOOKUP(T_Convention[[#This Row],[NumL]],T_TraitDi[#Data],COLUMN(T_TraitDi[Colonne7]),FALSE)=0,"",TEXT(IFERROR(VLOOKUP(T_Convention[[#This Row],[NumL]],T_TraitDi[#Data],COLUMN(T_TraitDi[Colonne7]),FALSE),""),"[hh]:mm"))</f>
        <v>#N/A</v>
      </c>
      <c r="AF247" s="284" t="e">
        <f>IF(VLOOKUP(T_Convention[[#This Row],[NumL]],T_TraitDi[#Data],COLUMN(T_TraitDi[Colonne8]),FALSE)=0,"",TEXT(IFERROR(VLOOKUP(T_Convention[[#This Row],[NumL]],T_TraitDi[#Data],COLUMN(T_TraitDi[Colonne8]),FALSE),""),"[hh]:mm"))</f>
        <v>#N/A</v>
      </c>
      <c r="AG247" s="284" t="str">
        <f>IFERROR(VLOOKUP(T_Convention[[#This Row],[NumL]],T_TraitDi[#Data],COLUMN(T_TraitDi[Mardi]),FALSE),"")</f>
        <v/>
      </c>
      <c r="AH247" s="284" t="e">
        <f>IF(VLOOKUP(T_Convention[[#This Row],[NumL]],T_TraitDi[#Data],COLUMN(T_TraitDi[Colonne1]),FALSE)=0,"",TEXT(IFERROR(VLOOKUP(T_Convention[[#This Row],[NumL]],T_TraitDi[#Data],COLUMN(T_TraitDi[Colonne1]),FALSE),""),"[hh]:mm"))</f>
        <v>#N/A</v>
      </c>
      <c r="AI247" s="284" t="e">
        <f>IF(VLOOKUP(T_Convention[[#This Row],[NumL]],T_TraitDi[#Data],COLUMN(T_TraitDi[Colonne9]),FALSE)=0,"",TEXT(IFERROR(VLOOKUP(T_Convention[[#This Row],[NumL]],T_TraitDi[#Data],COLUMN(T_TraitDi[Colonne9]),FALSE),""),"[hh]:mm"))</f>
        <v>#N/A</v>
      </c>
      <c r="AJ247" s="284" t="str">
        <f>IFERROR(VLOOKUP(T_Convention[[#This Row],[NumL]],T_TraitDi[#Data],COLUMN(T_TraitDi[Colonne10]),FALSE),"")</f>
        <v/>
      </c>
      <c r="AK247" s="284" t="e">
        <f>IF(VLOOKUP(T_Convention[[#This Row],[NumL]],T_TraitDi[#Data],COLUMN(T_TraitDi[Colonne11]),FALSE)=0,"",TEXT(IFERROR(VLOOKUP(T_Convention[[#This Row],[NumL]],T_TraitDi[#Data],COLUMN(T_TraitDi[Colonne11]),FALSE),""),"[hh]:mm"))</f>
        <v>#N/A</v>
      </c>
      <c r="AL247" s="284" t="e">
        <f>IF(VLOOKUP(T_Convention[[#This Row],[NumL]],T_TraitDi[#Data],COLUMN(T_TraitDi[Colonne12]),FALSE)=0,"",TEXT(IFERROR(VLOOKUP(T_Convention[[#This Row],[NumL]],T_TraitDi[#Data],COLUMN(T_TraitDi[Colonne12]),FALSE),""),"[hh]:mm"))</f>
        <v>#N/A</v>
      </c>
      <c r="AM247" s="284" t="e">
        <f>IF(VLOOKUP(T_Convention[[#This Row],[NumL]],T_TraitDi[#Data],COLUMN(T_TraitDi[Colonne14]),FALSE)=0,"",TEXT(IFERROR(VLOOKUP(T_Convention[[#This Row],[NumL]],T_TraitDi[#Data],COLUMN(T_TraitDi[Colonne14]),FALSE),""),"[hh]:mm"))</f>
        <v>#N/A</v>
      </c>
      <c r="AN247" s="284" t="str">
        <f>IFERROR(VLOOKUP(T_Convention[[#This Row],[NumL]],T_TraitDi[#Data],COLUMN(T_TraitDi[Mercredi]),FALSE),"")</f>
        <v/>
      </c>
      <c r="AO247" s="284" t="e">
        <f>IF(VLOOKUP(T_Convention[[#This Row],[NumL]],T_TraitDi[#Data],COLUMN(T_TraitDi[Colonne15]),FALSE)=0,"",TEXT(IFERROR(VLOOKUP(T_Convention[[#This Row],[NumL]],T_TraitDi[#Data],COLUMN(T_TraitDi[Colonne15]),FALSE),""),"[hh]:mm"))</f>
        <v>#N/A</v>
      </c>
      <c r="AP247" s="284" t="e">
        <f>IF(VLOOKUP(T_Convention[[#This Row],[NumL]],T_TraitDi[#Data],COLUMN(T_TraitDi[Colonne16]),FALSE)=0,"",TEXT(IFERROR(VLOOKUP(T_Convention[[#This Row],[NumL]],T_TraitDi[#Data],COLUMN(T_TraitDi[Colonne16]),FALSE),""),"[hh]:mm"))</f>
        <v>#N/A</v>
      </c>
      <c r="AQ247" s="284" t="str">
        <f>IFERROR(VLOOKUP(T_Convention[[#This Row],[NumL]],T_TraitDi[#Data],COLUMN(T_TraitDi[Colonne17]),FALSE),"")</f>
        <v/>
      </c>
      <c r="AR247" s="284" t="e">
        <f>IF(VLOOKUP(T_Convention[[#This Row],[NumL]],T_TraitDi[#Data],COLUMN(T_TraitDi[Colonne18]),FALSE)=0,"",TEXT(IFERROR(VLOOKUP(T_Convention[[#This Row],[NumL]],T_TraitDi[#Data],COLUMN(T_TraitDi[Colonne18]),FALSE),""),"[hh]:mm"))</f>
        <v>#N/A</v>
      </c>
      <c r="AS247" s="284" t="e">
        <f>IF(VLOOKUP(T_Convention[[#This Row],[NumL]],T_TraitDi[#Data],COLUMN(T_TraitDi[Colonne19]),FALSE)=0,"",TEXT(IFERROR(VLOOKUP(T_Convention[[#This Row],[NumL]],T_TraitDi[#Data],COLUMN(T_TraitDi[Colonne19]),FALSE),""),"[hh]:mm"))</f>
        <v>#N/A</v>
      </c>
      <c r="AT247" s="284" t="e">
        <f>IF(VLOOKUP(T_Convention[[#This Row],[NumL]],T_TraitDi[#Data],COLUMN(T_TraitDi[Colonne20]),FALSE)=0,"",TEXT(IFERROR(VLOOKUP(T_Convention[[#This Row],[NumL]],T_TraitDi[#Data],COLUMN(T_TraitDi[Colonne20]),FALSE),""),"[hh]:mm"))</f>
        <v>#N/A</v>
      </c>
      <c r="AU247" s="284" t="str">
        <f>IFERROR(VLOOKUP(T_Convention[[#This Row],[NumL]],T_TraitDi[#Data],COLUMN(T_TraitDi[Jeudi]),FALSE),"")</f>
        <v/>
      </c>
      <c r="AV247" s="284" t="e">
        <f>IF(VLOOKUP(T_Convention[[#This Row],[NumL]],T_TraitDi[#Data],COLUMN(T_TraitDi[Colonne21]),FALSE)=0,"",TEXT(IFERROR(VLOOKUP(T_Convention[[#This Row],[NumL]],T_TraitDi[#Data],COLUMN(T_TraitDi[Colonne21]),FALSE),""),"[hh]:mm"))</f>
        <v>#N/A</v>
      </c>
      <c r="AW247" s="284" t="e">
        <f>IF(VLOOKUP(T_Convention[[#This Row],[NumL]],T_TraitDi[#Data],COLUMN(T_TraitDi[Colonne22]),FALSE)=0,"",TEXT(IFERROR(VLOOKUP(T_Convention[[#This Row],[NumL]],T_TraitDi[#Data],COLUMN(T_TraitDi[Colonne22]),FALSE),""),"[hh]:mm"))</f>
        <v>#N/A</v>
      </c>
      <c r="AX247" s="284" t="str">
        <f>IFERROR(VLOOKUP(T_Convention[[#This Row],[NumL]],T_TraitDi[#Data],COLUMN(T_TraitDi[Colonne23]),FALSE),"")</f>
        <v/>
      </c>
      <c r="AY247" s="284" t="e">
        <f>IF(VLOOKUP(T_Convention[[#This Row],[NumL]],T_TraitDi[#Data],COLUMN(T_TraitDi[Colonne24]),FALSE)=0,"",TEXT(IFERROR(VLOOKUP(T_Convention[[#This Row],[NumL]],T_TraitDi[#Data],COLUMN(T_TraitDi[Colonne24]),FALSE),""),"[hh]:mm"))</f>
        <v>#N/A</v>
      </c>
      <c r="AZ247" s="284" t="e">
        <f>IF(VLOOKUP(T_Convention[[#This Row],[NumL]],T_TraitDi[#Data],COLUMN(T_TraitDi[Colonne25]),FALSE)=0,"",TEXT(IFERROR(VLOOKUP(T_Convention[[#This Row],[NumL]],T_TraitDi[#Data],COLUMN(T_TraitDi[Colonne25]),FALSE),""),"[hh]:mm"))</f>
        <v>#N/A</v>
      </c>
      <c r="BA247" s="284" t="e">
        <f>IF(VLOOKUP(T_Convention[[#This Row],[NumL]],T_TraitDi[#Data],COLUMN(T_TraitDi[Colonne26]),FALSE)=0,"",TEXT(IFERROR(VLOOKUP(T_Convention[[#This Row],[NumL]],T_TraitDi[#Data],COLUMN(T_TraitDi[Colonne26]),FALSE),""),"[hh]:mm"))</f>
        <v>#N/A</v>
      </c>
      <c r="BB247" s="284" t="str">
        <f>IFERROR(VLOOKUP(T_Convention[[#This Row],[NumL]],T_TraitDi[#Data],COLUMN(T_TraitDi[Vendredi]),FALSE),"")</f>
        <v/>
      </c>
      <c r="BC247" s="284" t="e">
        <f>IF(VLOOKUP(T_Convention[[#This Row],[NumL]],T_TraitDi[#Data],COLUMN(T_TraitDi[Colonne27]),FALSE)=0,"",TEXT(IFERROR(VLOOKUP(T_Convention[[#This Row],[NumL]],T_TraitDi[#Data],COLUMN(T_TraitDi[Colonne27]),FALSE),""),"[hh]:mm"))</f>
        <v>#N/A</v>
      </c>
      <c r="BD247" s="284" t="e">
        <f>IF(VLOOKUP(T_Convention[[#This Row],[NumL]],T_TraitDi[#Data],COLUMN(T_TraitDi[Colonne28]),FALSE)=0,"",TEXT(IFERROR(VLOOKUP(T_Convention[[#This Row],[NumL]],T_TraitDi[#Data],COLUMN(T_TraitDi[Colonne28]),FALSE),""),"[hh]:mm"))</f>
        <v>#N/A</v>
      </c>
      <c r="BE247" s="284" t="str">
        <f>IFERROR(VLOOKUP(T_Convention[[#This Row],[NumL]],T_TraitDi[#Data],COLUMN(T_TraitDi[Colonne29]),FALSE),"")</f>
        <v/>
      </c>
      <c r="BF247" s="284" t="e">
        <f>IF(VLOOKUP(T_Convention[[#This Row],[NumL]],T_TraitDi[#Data],COLUMN(T_TraitDi[Colonne30]),FALSE)=0,"",TEXT(IFERROR(VLOOKUP(T_Convention[[#This Row],[NumL]],T_TraitDi[#Data],COLUMN(T_TraitDi[Colonne30]),FALSE),""),"[hh]:mm"))</f>
        <v>#N/A</v>
      </c>
      <c r="BG247" s="284" t="e">
        <f>IF(VLOOKUP(T_Convention[[#This Row],[NumL]],T_TraitDi[#Data],COLUMN(T_TraitDi[Colonne31]),FALSE)=0,"",TEXT(IFERROR(VLOOKUP(T_Convention[[#This Row],[NumL]],T_TraitDi[#Data],COLUMN(T_TraitDi[Colonne31]),FALSE),""),"[hh]:mm"))</f>
        <v>#N/A</v>
      </c>
      <c r="BH247" s="284" t="e">
        <f>IF(VLOOKUP(T_Convention[[#This Row],[NumL]],T_TraitDi[#Data],COLUMN(T_TraitDi[Colonne32]),FALSE)=0,"",TEXT(IFERROR(VLOOKUP(T_Convention[[#This Row],[NumL]],T_TraitDi[#Data],COLUMN(T_TraitDi[Colonne32]),FALSE),""),"[hh]:mm"))</f>
        <v>#N/A</v>
      </c>
      <c r="BI247" s="284" t="str">
        <f>IFERROR(VLOOKUP(T_Convention[[#This Row],[NumL]],T_TraitDi[#Data],COLUMN(T_TraitDi[NbJTW]),FALSE),"")</f>
        <v/>
      </c>
      <c r="BJ247" s="284" t="e">
        <f>IF(VLOOKUP(T_Convention[[#This Row],[NumL]],T_TraitDi[#Data],COLUMN(T_TraitDi[NbhTW]),FALSE)=0,"",TEXT(IFERROR(VLOOKUP(T_Convention[[#This Row],[NumL]],T_TraitDi[#Data],COLUMN(T_TraitDi[NbhTW]),FALSE),""),"[hh]:mm"))</f>
        <v>#N/A</v>
      </c>
      <c r="BK247" s="286" t="e">
        <f>IF(VLOOKUP(T_Convention[[#This Row],[NumL]],T_TraitDi[#Data],COLUMN(T_TraitDi[Nbhheb]),FALSE)=0,"",TEXT(IFERROR(VLOOKUP(T_Convention[[#This Row],[NumL]],T_TraitDi[#Data],COLUMN(T_TraitDi[Nbhheb]),FALSE),""),"[hh]:mm"))</f>
        <v>#N/A</v>
      </c>
      <c r="BL247" s="287" t="str">
        <f>IFERROR(VLOOKUP(VLOOKUP(T_Convention[[#This Row],[NumL]],T_TraitDi[#Data],COLUMN(T_TraitDi[Type1]),FALSE),TypeTW,2,FALSE),"")</f>
        <v/>
      </c>
      <c r="BM247" s="288" t="str">
        <f>IFERROR(VLOOKUP(T_Convention[[#This Row],[NumL]],T_TraitDi[#Data],COLUMN(T_TraitDi[Rue1]),FALSE),"")</f>
        <v/>
      </c>
      <c r="BN247" s="289" t="str">
        <f>IFERROR(VLOOKUP(T_Convention[[#This Row],[NumL]],T_TraitDi[#Data],COLUMN(T_TraitDi[CP1]),FALSE),"")</f>
        <v/>
      </c>
      <c r="BO247" s="282" t="str">
        <f>IFERROR(VLOOKUP(T_Convention[[#This Row],[NumL]],T_TraitDi[#Data],COLUMN(T_TraitDi[VILLE1]),FALSE),"")</f>
        <v/>
      </c>
      <c r="BP247" s="290" t="str">
        <f>IFERROR(VLOOKUP(VLOOKUP(T_Convention[[#This Row],[NumL]],T_TraitDi[#Data],COLUMN(T_TraitDi[Type2]),FALSE),TypeTW,2,FALSE),"")</f>
        <v/>
      </c>
      <c r="BQ247" s="182" t="str">
        <f>IFERROR(VLOOKUP(T_Convention[[#This Row],[NumL]],T_TraitDi[#Data],COLUMN(T_TraitDi[Rue2]),FALSE),"")</f>
        <v/>
      </c>
      <c r="BR247" s="173" t="str">
        <f>IFERROR(VLOOKUP(T_Convention[[#This Row],[NumL]],T_TraitDi[#Data],COLUMN(T_TraitDi[CP2]),FALSE),"")</f>
        <v/>
      </c>
      <c r="BS247" s="173" t="str">
        <f>IFERROR(VLOOKUP(T_Convention[[#This Row],[NumL]],T_TraitDi[#Data],COLUMN(T_TraitDi[VILLE2]),FALSE),"")</f>
        <v/>
      </c>
      <c r="BT247" s="182" t="str">
        <f>IF(VLOOKUP(T_Convention[[#This Row],[NumL]],T_Equipement[#Data],COLUMN(T_Equipement[PC]),FALSE)="","Aucun équipement spécifique directement lié au télétravail",VLOOKUP(T_Convention[[#This Row],[NumL]],T_Equipement[#Data],COLUMN(T_Equipement[PC]),FALSE))</f>
        <v xml:space="preserve">20-643	</v>
      </c>
      <c r="BU247" s="166" t="str">
        <f>IFERROR(IF(VLOOKUP(T_Convention[[#This Row],[NumL]],T_TraitDi[#Data],COLUMN(T_TraitDi[Plan]),FALSE)="OK","Un planning spécifique de télétravail est annexé à la présente convention.",""),"")</f>
        <v/>
      </c>
      <c r="BV247" s="185" t="s">
        <v>3423</v>
      </c>
      <c r="BW247" s="164" t="e">
        <f>IF(VLOOKUP(T_Convention[[#This Row],[NumL]],T_suiviDi[#Data],COLUMN(T_suiviDi[Entité]),FALSE)="","",VLOOKUP(T_Convention[[#This Row],[NumL]],T_suiviDi[#Data],COLUMN(T_suiviDi[Entité]),FALSE))</f>
        <v>#N/A</v>
      </c>
      <c r="BX247" s="164" t="str">
        <f>IF(VLOOKUP(T_Convention[[#This Row],[NumL]],T_Commission[#Data],COLUMN(T_Commission[envoi confirm TW]),FALSE)="","",VLOOKUP(T_Convention[[#This Row],[NumL]],T_Commission[#Data],COLUMN(T_Commission[envoi confirm TW]),FALSE))</f>
        <v>Oui</v>
      </c>
      <c r="BY24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7" s="264">
        <f>VLOOKUP(T_Convention[[#This Row],[NumL]],T_Commission[#Data],COLUMN(T_Commission[Commentaire]),FALSE)</f>
        <v>0</v>
      </c>
      <c r="CA247" s="254" t="str">
        <f>IF(VLOOKUP(T_Convention[[#This Row],[NumL]],T_Commission[#Data],COLUMN(T_Commission[Encadrant Email]),FALSE)="","",VLOOKUP(T_Convention[[#This Row],[NumL]],T_Commission[#Data],COLUMN(T_Commission[Encadrant Email]),FALSE))</f>
        <v/>
      </c>
      <c r="CB247" s="353" t="e">
        <f>VLOOKUP(T_Convention[[#This Row],[NumL]],T_TraitDi[#Data],COLUMN(T_TraitDi[NbJTot]),FALSE)</f>
        <v>#N/A</v>
      </c>
      <c r="CC247" s="353" t="e">
        <f>VLOOKUP(T_Convention[[#This Row],[NumL]],T_TraitDi[#Data],COLUMN(T_TraitDi[Reg Ponct]),FALSE)</f>
        <v>#N/A</v>
      </c>
      <c r="CD247" s="348" t="str">
        <f>IF(T_Convention[[#This Row],[Final]]&lt;&gt;"",VLOOKUP(T_Convention[[#This Row],[NumL]],T_suiviDi[#Data],COLUMN((T_suiviDi[Statut])),FALSE),"")</f>
        <v/>
      </c>
    </row>
    <row r="248" spans="1:82" s="106" customFormat="1" ht="18.75" customHeight="1" x14ac:dyDescent="0.25">
      <c r="A248" s="160">
        <v>49</v>
      </c>
      <c r="B248" s="161" t="str">
        <f>VLOOKUP(T_Convention[[#This Row],[NumL]],T_Commission[#Data],COLUMN(T_Commission[FINAL]),FALSE)</f>
        <v/>
      </c>
      <c r="C248" s="162"/>
      <c r="D248" s="95" t="e">
        <f>IF(VLOOKUP(T_Convention[[#This Row],[NumL]],T_TraitDi[#Data],COLUMN(T_TraitDi[WebC]),FALSE)="","",VLOOKUP(T_Convention[[#This Row],[NumL]],T_TraitDi[#Data],COLUMN(T_TraitDi[WebC]),FALSE))</f>
        <v>#N/A</v>
      </c>
      <c r="E248" s="163" t="str">
        <f t="shared" si="15"/>
        <v>12 janvier 2021</v>
      </c>
      <c r="F248" s="282" t="str">
        <f>IF(T_Convention[[#This Row],[Final]]&lt;&gt;"",VLOOKUP(T_Convention[[#This Row],[NumL]],T_suiviDi[#Data],COLUMN((T_suiviDi[Civ.])),FALSE),"")</f>
        <v/>
      </c>
      <c r="G248" s="283" t="str">
        <f>IF(T_Convention[[#This Row],[Final]]&lt;&gt;"",VLOOKUP(T_Convention[[#This Row],[NumL]],T_suiviDi[#Data],COLUMN((T_suiviDi[Nom])),FALSE),"")</f>
        <v/>
      </c>
      <c r="H248" s="282" t="str">
        <f>IF(T_Convention[[#This Row],[Final]]&lt;&gt;"",VLOOKUP(T_Convention[[#This Row],[NumL]],T_suiviDi[#Data],COLUMN((T_suiviDi[Prénom])),FALSE),"")</f>
        <v/>
      </c>
      <c r="I248" s="282" t="e">
        <f>VLOOKUP(T_Convention[[#This Row],[NumL]],T_suiviDi[#Data],COLUMN((T_suiviDi[[#This Row],[Email]])),FALSE)</f>
        <v>#VALUE!</v>
      </c>
      <c r="J248" s="282" t="e">
        <f>IF(VLOOKUP(T_Convention[[#This Row],[NumL]],T_suiviDi[#Data],COLUMN(T_suiviDi[[#This Row],[Fonction]]),FALSE)="","",VLOOKUP(T_Convention[[#This Row],[NumL]],T_suiviDi[#Data],COLUMN(T_suiviDi[[#This Row],[Fonction]]),FALSE))</f>
        <v>#VALUE!</v>
      </c>
      <c r="K248" s="282" t="e">
        <f>IF(VLOOKUP(T_Convention[[#This Row],[NumL]],T_suiviDi[#Data],COLUMN(T_suiviDi[[#This Row],[Grade]]),FALSE)="","",VLOOKUP(T_Convention[[#This Row],[NumL]],T_suiviDi[#Data],COLUMN(T_suiviDi[[#This Row],[Grade]]),FALSE))</f>
        <v>#VALUE!</v>
      </c>
      <c r="L248" s="282" t="e">
        <f>IF(VLOOKUP(T_Convention[[#This Row],[NumL]],T_suiviDi[#Data],COLUMN(T_suiviDi[[#This Row],[Service ]]),FALSE)="","",VLOOKUP(T_Convention[[#This Row],[NumL]],T_suiviDi[#Data],COLUMN(T_suiviDi[[#This Row],[Service ]]),FALSE))</f>
        <v>#VALUE!</v>
      </c>
      <c r="M248" s="164" t="str">
        <f t="shared" si="16"/>
        <v>01 septembre 2021</v>
      </c>
      <c r="N248" s="164" t="str">
        <f t="shared" si="17"/>
        <v>30 novembre 2021</v>
      </c>
      <c r="O248" s="284" t="str">
        <f t="shared" si="18"/>
        <v>30 novembre 2021</v>
      </c>
      <c r="P248" s="282" t="e">
        <f>IF(VLOOKUP(T_Convention[[#This Row],[NumL]],T_TraitDi[#Data],COLUMN(T_TraitDi[M1]),FALSE)="","",VLOOKUP(T_Convention[[#This Row],[NumL]],T_TraitDi[#Data],COLUMN(T_TraitDi[M1]),FALSE))</f>
        <v>#N/A</v>
      </c>
      <c r="Q248" s="282" t="e">
        <f>IF(VLOOKUP(T_Convention[[#This Row],[NumL]],T_TraitDi[#Data],COLUMN(T_TraitDi[M2]),FALSE)="","",VLOOKUP(T_Convention[[#This Row],[NumL]],T_TraitDi[#Data],COLUMN(T_TraitDi[M2]),FALSE))</f>
        <v>#N/A</v>
      </c>
      <c r="R248" s="282" t="e">
        <f>IF(VLOOKUP(T_Convention[[#This Row],[NumL]],T_TraitDi[#Data],COLUMN(T_TraitDi[M3]),FALSE)="","",VLOOKUP(T_Convention[[#This Row],[NumL]],T_TraitDi[#Data],COLUMN(T_TraitDi[M3]),FALSE))</f>
        <v>#N/A</v>
      </c>
      <c r="S248" s="282" t="e">
        <f>IF(VLOOKUP(T_Convention[[#This Row],[NumL]],T_TraitDi[#Data],COLUMN(T_TraitDi[M4]),FALSE)="","",VLOOKUP(T_Convention[[#This Row],[NumL]],T_TraitDi[#Data],COLUMN(T_TraitDi[M4]),FALSE))</f>
        <v>#N/A</v>
      </c>
      <c r="T248" s="282" t="e">
        <f>IF(VLOOKUP(T_Convention[[#This Row],[NumL]],T_TraitDi[#Data],COLUMN(T_TraitDi[M5]),FALSE)="","",VLOOKUP(T_Convention[[#This Row],[NumL]],T_TraitDi[#Data],COLUMN(T_TraitDi[M5]),FALSE))</f>
        <v>#N/A</v>
      </c>
      <c r="U248" s="282" t="e">
        <f>IF(VLOOKUP(T_Convention[[#This Row],[NumL]],T_TraitDi[#Data],COLUMN(T_TraitDi[M6]),FALSE)="","",VLOOKUP(T_Convention[[#This Row],[NumL]],T_TraitDi[#Data],COLUMN(T_TraitDi[M6]),FALSE))</f>
        <v>#N/A</v>
      </c>
      <c r="V248" s="176" t="e">
        <f t="shared" si="19"/>
        <v>#N/A</v>
      </c>
      <c r="W248" s="284" t="str">
        <f>IFERROR(TEXT(VLOOKUP(T_Convention[[#This Row],[NumL]],T_TraitDi[#Data],COLUMN(T_TraitDi[Q2]),FALSE),"###%"),"")</f>
        <v/>
      </c>
      <c r="X248" s="97" t="e">
        <f>VLOOKUP(T_Convention[[#This Row],[NumL]],T_TraitDi[#Data],COLUMN(T_TraitDi[Reg Ponct]),FALSE)</f>
        <v>#N/A</v>
      </c>
      <c r="Y248" s="97" t="e">
        <f>VLOOKUP(T_Convention[NumL],T_TraitDi[#Data],COLUMN(T_TraitDi[Jours flottants]),FALSE)</f>
        <v>#N/A</v>
      </c>
      <c r="Z248" s="284" t="str">
        <f>IFERROR(VLOOKUP(T_Convention[[#This Row],[NumL]],T_TraitDi[#Data],COLUMN(T_TraitDi[Lundi]),FALSE),"")</f>
        <v/>
      </c>
      <c r="AA248" s="284" t="e">
        <f>IF(VLOOKUP(T_Convention[[#This Row],[NumL]],T_TraitDi[#Data],COLUMN(T_TraitDi[Colonne3]),FALSE)=0,"",TEXT(IFERROR(VLOOKUP(T_Convention[[#This Row],[NumL]],T_TraitDi[#Data],COLUMN(T_TraitDi[Colonne3]),FALSE),""),"[hh]:mm"))</f>
        <v>#N/A</v>
      </c>
      <c r="AB248" s="284" t="e">
        <f>IF(VLOOKUP(T_Convention[[#This Row],[NumL]],T_TraitDi[#Data],COLUMN(T_TraitDi[Colonne4]),FALSE)=0,"",TEXT(IFERROR(VLOOKUP(T_Convention[[#This Row],[NumL]],T_TraitDi[#Data],COLUMN(T_TraitDi[Colonne4]),FALSE),""),"[hh]:mm"))</f>
        <v>#N/A</v>
      </c>
      <c r="AC248" s="284" t="e">
        <f>IF(VLOOKUP(T_Convention[[#This Row],[NumL]],T_TraitDi[#Data],COLUMN(T_TraitDi[Colonne5]),FALSE)=0,"",TEXT(IFERROR(VLOOKUP(T_Convention[[#This Row],[NumL]],T_TraitDi[#Data],COLUMN(T_TraitDi[Colonne5]),FALSE),""),"[hh]:mm"))</f>
        <v>#N/A</v>
      </c>
      <c r="AD248" s="284" t="e">
        <f>IF(VLOOKUP(T_Convention[[#This Row],[NumL]],T_TraitDi[#Data],COLUMN(T_TraitDi[Colonne6]),FALSE)=0,"",TEXT(IFERROR(VLOOKUP(T_Convention[[#This Row],[NumL]],T_TraitDi[#Data],COLUMN(T_TraitDi[Colonne6]),FALSE),""),"[hh]:mm"))</f>
        <v>#N/A</v>
      </c>
      <c r="AE248" s="284" t="e">
        <f>IF(VLOOKUP(T_Convention[[#This Row],[NumL]],T_TraitDi[#Data],COLUMN(T_TraitDi[Colonne7]),FALSE)=0,"",TEXT(IFERROR(VLOOKUP(T_Convention[[#This Row],[NumL]],T_TraitDi[#Data],COLUMN(T_TraitDi[Colonne7]),FALSE),""),"[hh]:mm"))</f>
        <v>#N/A</v>
      </c>
      <c r="AF248" s="284" t="e">
        <f>IF(VLOOKUP(T_Convention[[#This Row],[NumL]],T_TraitDi[#Data],COLUMN(T_TraitDi[Colonne8]),FALSE)=0,"",TEXT(IFERROR(VLOOKUP(T_Convention[[#This Row],[NumL]],T_TraitDi[#Data],COLUMN(T_TraitDi[Colonne8]),FALSE),""),"[hh]:mm"))</f>
        <v>#N/A</v>
      </c>
      <c r="AG248" s="284" t="str">
        <f>IFERROR(VLOOKUP(T_Convention[[#This Row],[NumL]],T_TraitDi[#Data],COLUMN(T_TraitDi[Mardi]),FALSE),"")</f>
        <v/>
      </c>
      <c r="AH248" s="284" t="e">
        <f>IF(VLOOKUP(T_Convention[[#This Row],[NumL]],T_TraitDi[#Data],COLUMN(T_TraitDi[Colonne1]),FALSE)=0,"",TEXT(IFERROR(VLOOKUP(T_Convention[[#This Row],[NumL]],T_TraitDi[#Data],COLUMN(T_TraitDi[Colonne1]),FALSE),""),"[hh]:mm"))</f>
        <v>#N/A</v>
      </c>
      <c r="AI248" s="284" t="e">
        <f>IF(VLOOKUP(T_Convention[[#This Row],[NumL]],T_TraitDi[#Data],COLUMN(T_TraitDi[Colonne9]),FALSE)=0,"",TEXT(IFERROR(VLOOKUP(T_Convention[[#This Row],[NumL]],T_TraitDi[#Data],COLUMN(T_TraitDi[Colonne9]),FALSE),""),"[hh]:mm"))</f>
        <v>#N/A</v>
      </c>
      <c r="AJ248" s="284" t="str">
        <f>IFERROR(VLOOKUP(T_Convention[[#This Row],[NumL]],T_TraitDi[#Data],COLUMN(T_TraitDi[Colonne10]),FALSE),"")</f>
        <v/>
      </c>
      <c r="AK248" s="284" t="e">
        <f>IF(VLOOKUP(T_Convention[[#This Row],[NumL]],T_TraitDi[#Data],COLUMN(T_TraitDi[Colonne11]),FALSE)=0,"",TEXT(IFERROR(VLOOKUP(T_Convention[[#This Row],[NumL]],T_TraitDi[#Data],COLUMN(T_TraitDi[Colonne11]),FALSE),""),"[hh]:mm"))</f>
        <v>#N/A</v>
      </c>
      <c r="AL248" s="284" t="e">
        <f>IF(VLOOKUP(T_Convention[[#This Row],[NumL]],T_TraitDi[#Data],COLUMN(T_TraitDi[Colonne12]),FALSE)=0,"",TEXT(IFERROR(VLOOKUP(T_Convention[[#This Row],[NumL]],T_TraitDi[#Data],COLUMN(T_TraitDi[Colonne12]),FALSE),""),"[hh]:mm"))</f>
        <v>#N/A</v>
      </c>
      <c r="AM248" s="284" t="e">
        <f>IF(VLOOKUP(T_Convention[[#This Row],[NumL]],T_TraitDi[#Data],COLUMN(T_TraitDi[Colonne14]),FALSE)=0,"",TEXT(IFERROR(VLOOKUP(T_Convention[[#This Row],[NumL]],T_TraitDi[#Data],COLUMN(T_TraitDi[Colonne14]),FALSE),""),"[hh]:mm"))</f>
        <v>#N/A</v>
      </c>
      <c r="AN248" s="284" t="str">
        <f>IFERROR(VLOOKUP(T_Convention[[#This Row],[NumL]],T_TraitDi[#Data],COLUMN(T_TraitDi[Mercredi]),FALSE),"")</f>
        <v/>
      </c>
      <c r="AO248" s="284" t="e">
        <f>IF(VLOOKUP(T_Convention[[#This Row],[NumL]],T_TraitDi[#Data],COLUMN(T_TraitDi[Colonne15]),FALSE)=0,"",TEXT(IFERROR(VLOOKUP(T_Convention[[#This Row],[NumL]],T_TraitDi[#Data],COLUMN(T_TraitDi[Colonne15]),FALSE),""),"[hh]:mm"))</f>
        <v>#N/A</v>
      </c>
      <c r="AP248" s="284" t="e">
        <f>IF(VLOOKUP(T_Convention[[#This Row],[NumL]],T_TraitDi[#Data],COLUMN(T_TraitDi[Colonne16]),FALSE)=0,"",TEXT(IFERROR(VLOOKUP(T_Convention[[#This Row],[NumL]],T_TraitDi[#Data],COLUMN(T_TraitDi[Colonne16]),FALSE),""),"[hh]:mm"))</f>
        <v>#N/A</v>
      </c>
      <c r="AQ248" s="284" t="str">
        <f>IFERROR(VLOOKUP(T_Convention[[#This Row],[NumL]],T_TraitDi[#Data],COLUMN(T_TraitDi[Colonne17]),FALSE),"")</f>
        <v/>
      </c>
      <c r="AR248" s="284" t="e">
        <f>IF(VLOOKUP(T_Convention[[#This Row],[NumL]],T_TraitDi[#Data],COLUMN(T_TraitDi[Colonne18]),FALSE)=0,"",TEXT(IFERROR(VLOOKUP(T_Convention[[#This Row],[NumL]],T_TraitDi[#Data],COLUMN(T_TraitDi[Colonne18]),FALSE),""),"[hh]:mm"))</f>
        <v>#N/A</v>
      </c>
      <c r="AS248" s="284" t="e">
        <f>IF(VLOOKUP(T_Convention[[#This Row],[NumL]],T_TraitDi[#Data],COLUMN(T_TraitDi[Colonne19]),FALSE)=0,"",TEXT(IFERROR(VLOOKUP(T_Convention[[#This Row],[NumL]],T_TraitDi[#Data],COLUMN(T_TraitDi[Colonne19]),FALSE),""),"[hh]:mm"))</f>
        <v>#N/A</v>
      </c>
      <c r="AT248" s="284" t="e">
        <f>IF(VLOOKUP(T_Convention[[#This Row],[NumL]],T_TraitDi[#Data],COLUMN(T_TraitDi[Colonne20]),FALSE)=0,"",TEXT(IFERROR(VLOOKUP(T_Convention[[#This Row],[NumL]],T_TraitDi[#Data],COLUMN(T_TraitDi[Colonne20]),FALSE),""),"[hh]:mm"))</f>
        <v>#N/A</v>
      </c>
      <c r="AU248" s="284" t="str">
        <f>IFERROR(VLOOKUP(T_Convention[[#This Row],[NumL]],T_TraitDi[#Data],COLUMN(T_TraitDi[Jeudi]),FALSE),"")</f>
        <v/>
      </c>
      <c r="AV248" s="284" t="e">
        <f>IF(VLOOKUP(T_Convention[[#This Row],[NumL]],T_TraitDi[#Data],COLUMN(T_TraitDi[Colonne21]),FALSE)=0,"",TEXT(IFERROR(VLOOKUP(T_Convention[[#This Row],[NumL]],T_TraitDi[#Data],COLUMN(T_TraitDi[Colonne21]),FALSE),""),"[hh]:mm"))</f>
        <v>#N/A</v>
      </c>
      <c r="AW248" s="284" t="e">
        <f>IF(VLOOKUP(T_Convention[[#This Row],[NumL]],T_TraitDi[#Data],COLUMN(T_TraitDi[Colonne22]),FALSE)=0,"",TEXT(IFERROR(VLOOKUP(T_Convention[[#This Row],[NumL]],T_TraitDi[#Data],COLUMN(T_TraitDi[Colonne22]),FALSE),""),"[hh]:mm"))</f>
        <v>#N/A</v>
      </c>
      <c r="AX248" s="284" t="str">
        <f>IFERROR(VLOOKUP(T_Convention[[#This Row],[NumL]],T_TraitDi[#Data],COLUMN(T_TraitDi[Colonne23]),FALSE),"")</f>
        <v/>
      </c>
      <c r="AY248" s="284" t="e">
        <f>IF(VLOOKUP(T_Convention[[#This Row],[NumL]],T_TraitDi[#Data],COLUMN(T_TraitDi[Colonne24]),FALSE)=0,"",TEXT(IFERROR(VLOOKUP(T_Convention[[#This Row],[NumL]],T_TraitDi[#Data],COLUMN(T_TraitDi[Colonne24]),FALSE),""),"[hh]:mm"))</f>
        <v>#N/A</v>
      </c>
      <c r="AZ248" s="284" t="e">
        <f>IF(VLOOKUP(T_Convention[[#This Row],[NumL]],T_TraitDi[#Data],COLUMN(T_TraitDi[Colonne25]),FALSE)=0,"",TEXT(IFERROR(VLOOKUP(T_Convention[[#This Row],[NumL]],T_TraitDi[#Data],COLUMN(T_TraitDi[Colonne25]),FALSE),""),"[hh]:mm"))</f>
        <v>#N/A</v>
      </c>
      <c r="BA248" s="284" t="e">
        <f>IF(VLOOKUP(T_Convention[[#This Row],[NumL]],T_TraitDi[#Data],COLUMN(T_TraitDi[Colonne26]),FALSE)=0,"",TEXT(IFERROR(VLOOKUP(T_Convention[[#This Row],[NumL]],T_TraitDi[#Data],COLUMN(T_TraitDi[Colonne26]),FALSE),""),"[hh]:mm"))</f>
        <v>#N/A</v>
      </c>
      <c r="BB248" s="284" t="str">
        <f>IFERROR(VLOOKUP(T_Convention[[#This Row],[NumL]],T_TraitDi[#Data],COLUMN(T_TraitDi[Vendredi]),FALSE),"")</f>
        <v/>
      </c>
      <c r="BC248" s="284" t="e">
        <f>IF(VLOOKUP(T_Convention[[#This Row],[NumL]],T_TraitDi[#Data],COLUMN(T_TraitDi[Colonne27]),FALSE)=0,"",TEXT(IFERROR(VLOOKUP(T_Convention[[#This Row],[NumL]],T_TraitDi[#Data],COLUMN(T_TraitDi[Colonne27]),FALSE),""),"[hh]:mm"))</f>
        <v>#N/A</v>
      </c>
      <c r="BD248" s="284" t="e">
        <f>IF(VLOOKUP(T_Convention[[#This Row],[NumL]],T_TraitDi[#Data],COLUMN(T_TraitDi[Colonne28]),FALSE)=0,"",TEXT(IFERROR(VLOOKUP(T_Convention[[#This Row],[NumL]],T_TraitDi[#Data],COLUMN(T_TraitDi[Colonne28]),FALSE),""),"[hh]:mm"))</f>
        <v>#N/A</v>
      </c>
      <c r="BE248" s="284" t="str">
        <f>IFERROR(VLOOKUP(T_Convention[[#This Row],[NumL]],T_TraitDi[#Data],COLUMN(T_TraitDi[Colonne29]),FALSE),"")</f>
        <v/>
      </c>
      <c r="BF248" s="284" t="e">
        <f>IF(VLOOKUP(T_Convention[[#This Row],[NumL]],T_TraitDi[#Data],COLUMN(T_TraitDi[Colonne30]),FALSE)=0,"",TEXT(IFERROR(VLOOKUP(T_Convention[[#This Row],[NumL]],T_TraitDi[#Data],COLUMN(T_TraitDi[Colonne30]),FALSE),""),"[hh]:mm"))</f>
        <v>#N/A</v>
      </c>
      <c r="BG248" s="284" t="e">
        <f>IF(VLOOKUP(T_Convention[[#This Row],[NumL]],T_TraitDi[#Data],COLUMN(T_TraitDi[Colonne31]),FALSE)=0,"",TEXT(IFERROR(VLOOKUP(T_Convention[[#This Row],[NumL]],T_TraitDi[#Data],COLUMN(T_TraitDi[Colonne31]),FALSE),""),"[hh]:mm"))</f>
        <v>#N/A</v>
      </c>
      <c r="BH248" s="284" t="e">
        <f>IF(VLOOKUP(T_Convention[[#This Row],[NumL]],T_TraitDi[#Data],COLUMN(T_TraitDi[Colonne32]),FALSE)=0,"",TEXT(IFERROR(VLOOKUP(T_Convention[[#This Row],[NumL]],T_TraitDi[#Data],COLUMN(T_TraitDi[Colonne32]),FALSE),""),"[hh]:mm"))</f>
        <v>#N/A</v>
      </c>
      <c r="BI248" s="284" t="str">
        <f>IFERROR(VLOOKUP(T_Convention[[#This Row],[NumL]],T_TraitDi[#Data],COLUMN(T_TraitDi[NbJTW]),FALSE),"")</f>
        <v/>
      </c>
      <c r="BJ248" s="284" t="e">
        <f>IF(VLOOKUP(T_Convention[[#This Row],[NumL]],T_TraitDi[#Data],COLUMN(T_TraitDi[NbhTW]),FALSE)=0,"",TEXT(IFERROR(VLOOKUP(T_Convention[[#This Row],[NumL]],T_TraitDi[#Data],COLUMN(T_TraitDi[NbhTW]),FALSE),""),"[hh]:mm"))</f>
        <v>#N/A</v>
      </c>
      <c r="BK248" s="286" t="e">
        <f>IF(VLOOKUP(T_Convention[[#This Row],[NumL]],T_TraitDi[#Data],COLUMN(T_TraitDi[Nbhheb]),FALSE)=0,"",TEXT(IFERROR(VLOOKUP(T_Convention[[#This Row],[NumL]],T_TraitDi[#Data],COLUMN(T_TraitDi[Nbhheb]),FALSE),""),"[hh]:mm"))</f>
        <v>#N/A</v>
      </c>
      <c r="BL248" s="287" t="str">
        <f>IFERROR(VLOOKUP(VLOOKUP(T_Convention[[#This Row],[NumL]],T_TraitDi[#Data],COLUMN(T_TraitDi[Type1]),FALSE),TypeTW,2,FALSE),"")</f>
        <v/>
      </c>
      <c r="BM248" s="288" t="str">
        <f>IFERROR(VLOOKUP(T_Convention[[#This Row],[NumL]],T_TraitDi[#Data],COLUMN(T_TraitDi[Rue1]),FALSE),"")</f>
        <v/>
      </c>
      <c r="BN248" s="289" t="str">
        <f>IFERROR(VLOOKUP(T_Convention[[#This Row],[NumL]],T_TraitDi[#Data],COLUMN(T_TraitDi[CP1]),FALSE),"")</f>
        <v/>
      </c>
      <c r="BO248" s="282" t="str">
        <f>IFERROR(VLOOKUP(T_Convention[[#This Row],[NumL]],T_TraitDi[#Data],COLUMN(T_TraitDi[VILLE1]),FALSE),"")</f>
        <v/>
      </c>
      <c r="BP248" s="290" t="str">
        <f>IFERROR(VLOOKUP(VLOOKUP(T_Convention[[#This Row],[NumL]],T_TraitDi[#Data],COLUMN(T_TraitDi[Type2]),FALSE),TypeTW,2,FALSE),"")</f>
        <v/>
      </c>
      <c r="BQ248" s="182" t="str">
        <f>IFERROR(VLOOKUP(T_Convention[[#This Row],[NumL]],T_TraitDi[#Data],COLUMN(T_TraitDi[Rue2]),FALSE),"")</f>
        <v/>
      </c>
      <c r="BR248" s="173" t="str">
        <f>IFERROR(VLOOKUP(T_Convention[[#This Row],[NumL]],T_TraitDi[#Data],COLUMN(T_TraitDi[CP2]),FALSE),"")</f>
        <v/>
      </c>
      <c r="BS248" s="173" t="str">
        <f>IFERROR(VLOOKUP(T_Convention[[#This Row],[NumL]],T_TraitDi[#Data],COLUMN(T_TraitDi[VILLE2]),FALSE),"")</f>
        <v/>
      </c>
      <c r="BT248" s="182" t="str">
        <f>IF(VLOOKUP(T_Convention[[#This Row],[NumL]],T_Equipement[#Data],COLUMN(T_Equipement[PC]),FALSE)="","Aucun équipement spécifique directement lié au télétravail",VLOOKUP(T_Convention[[#This Row],[NumL]],T_Equipement[#Data],COLUMN(T_Equipement[PC]),FALSE))</f>
        <v xml:space="preserve">17-020	</v>
      </c>
      <c r="BU248" s="166" t="str">
        <f>IFERROR(IF(VLOOKUP(T_Convention[[#This Row],[NumL]],T_TraitDi[#Data],COLUMN(T_TraitDi[Plan]),FALSE)="OK","Un planning spécifique de télétravail est annexé à la présente convention.",""),"")</f>
        <v/>
      </c>
      <c r="BV248" s="185" t="s">
        <v>3332</v>
      </c>
      <c r="BW248" s="164" t="e">
        <f>IF(VLOOKUP(T_Convention[[#This Row],[NumL]],T_suiviDi[#Data],COLUMN(T_suiviDi[Entité]),FALSE)="","",VLOOKUP(T_Convention[[#This Row],[NumL]],T_suiviDi[#Data],COLUMN(T_suiviDi[Entité]),FALSE))</f>
        <v>#N/A</v>
      </c>
      <c r="BX248" s="164" t="str">
        <f>IF(VLOOKUP(T_Convention[[#This Row],[NumL]],T_Commission[#Data],COLUMN(T_Commission[envoi confirm TW]),FALSE)="","",VLOOKUP(T_Convention[[#This Row],[NumL]],T_Commission[#Data],COLUMN(T_Commission[envoi confirm TW]),FALSE))</f>
        <v>Oui</v>
      </c>
      <c r="BY24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8" s="264">
        <f>VLOOKUP(T_Convention[[#This Row],[NumL]],T_Commission[#Data],COLUMN(T_Commission[Commentaire]),FALSE)</f>
        <v>0</v>
      </c>
      <c r="CA248" s="254" t="str">
        <f>IF(VLOOKUP(T_Convention[[#This Row],[NumL]],T_Commission[#Data],COLUMN(T_Commission[Encadrant Email]),FALSE)="","",VLOOKUP(T_Convention[[#This Row],[NumL]],T_Commission[#Data],COLUMN(T_Commission[Encadrant Email]),FALSE))</f>
        <v/>
      </c>
      <c r="CB248" s="353" t="e">
        <f>VLOOKUP(T_Convention[[#This Row],[NumL]],T_TraitDi[#Data],COLUMN(T_TraitDi[NbJTot]),FALSE)</f>
        <v>#N/A</v>
      </c>
      <c r="CC248" s="353" t="e">
        <f>VLOOKUP(T_Convention[[#This Row],[NumL]],T_TraitDi[#Data],COLUMN(T_TraitDi[Reg Ponct]),FALSE)</f>
        <v>#N/A</v>
      </c>
      <c r="CD248" s="348" t="str">
        <f>IF(T_Convention[[#This Row],[Final]]&lt;&gt;"",VLOOKUP(T_Convention[[#This Row],[NumL]],T_suiviDi[#Data],COLUMN((T_suiviDi[Statut])),FALSE),"")</f>
        <v/>
      </c>
    </row>
    <row r="249" spans="1:82" s="106" customFormat="1" ht="18.75" customHeight="1" x14ac:dyDescent="0.25">
      <c r="A249" s="160">
        <v>246</v>
      </c>
      <c r="B249" s="161" t="str">
        <f>VLOOKUP(T_Convention[[#This Row],[NumL]],T_Commission[#Data],COLUMN(T_Commission[FINAL]),FALSE)</f>
        <v/>
      </c>
      <c r="C249" s="162"/>
      <c r="D249" s="95" t="e">
        <f>IF(VLOOKUP(T_Convention[[#This Row],[NumL]],T_TraitDi[#Data],COLUMN(T_TraitDi[WebC]),FALSE)="","",VLOOKUP(T_Convention[[#This Row],[NumL]],T_TraitDi[#Data],COLUMN(T_TraitDi[WebC]),FALSE))</f>
        <v>#N/A</v>
      </c>
      <c r="E249" s="163" t="str">
        <f t="shared" si="15"/>
        <v>12 janvier 2021</v>
      </c>
      <c r="F249" s="282" t="str">
        <f>IF(T_Convention[[#This Row],[Final]]&lt;&gt;"",VLOOKUP(T_Convention[[#This Row],[NumL]],T_suiviDi[#Data],COLUMN((T_suiviDi[Civ.])),FALSE),"")</f>
        <v/>
      </c>
      <c r="G249" s="283" t="str">
        <f>IF(T_Convention[[#This Row],[Final]]&lt;&gt;"",VLOOKUP(T_Convention[[#This Row],[NumL]],T_suiviDi[#Data],COLUMN((T_suiviDi[Nom])),FALSE),"")</f>
        <v/>
      </c>
      <c r="H249" s="282" t="str">
        <f>IF(T_Convention[[#This Row],[Final]]&lt;&gt;"",VLOOKUP(T_Convention[[#This Row],[NumL]],T_suiviDi[#Data],COLUMN((T_suiviDi[Prénom])),FALSE),"")</f>
        <v/>
      </c>
      <c r="I249" s="282" t="e">
        <f>VLOOKUP(T_Convention[[#This Row],[NumL]],T_suiviDi[#Data],COLUMN((T_suiviDi[[#This Row],[Email]])),FALSE)</f>
        <v>#VALUE!</v>
      </c>
      <c r="J249" s="282" t="e">
        <f>IF(VLOOKUP(T_Convention[[#This Row],[NumL]],T_suiviDi[#Data],COLUMN(T_suiviDi[[#This Row],[Fonction]]),FALSE)="","",VLOOKUP(T_Convention[[#This Row],[NumL]],T_suiviDi[#Data],COLUMN(T_suiviDi[[#This Row],[Fonction]]),FALSE))</f>
        <v>#VALUE!</v>
      </c>
      <c r="K249" s="282" t="e">
        <f>IF(VLOOKUP(T_Convention[[#This Row],[NumL]],T_suiviDi[#Data],COLUMN(T_suiviDi[[#This Row],[Grade]]),FALSE)="","",VLOOKUP(T_Convention[[#This Row],[NumL]],T_suiviDi[#Data],COLUMN(T_suiviDi[[#This Row],[Grade]]),FALSE))</f>
        <v>#VALUE!</v>
      </c>
      <c r="L249" s="282" t="e">
        <f>IF(VLOOKUP(T_Convention[[#This Row],[NumL]],T_suiviDi[#Data],COLUMN(T_suiviDi[[#This Row],[Service ]]),FALSE)="","",VLOOKUP(T_Convention[[#This Row],[NumL]],T_suiviDi[#Data],COLUMN(T_suiviDi[[#This Row],[Service ]]),FALSE))</f>
        <v>#VALUE!</v>
      </c>
      <c r="M249" s="164" t="str">
        <f t="shared" si="16"/>
        <v>01 septembre 2021</v>
      </c>
      <c r="N249" s="164" t="str">
        <f t="shared" si="17"/>
        <v>30 novembre 2021</v>
      </c>
      <c r="O249" s="284" t="str">
        <f t="shared" si="18"/>
        <v>30 novembre 2021</v>
      </c>
      <c r="P249" s="282" t="e">
        <f>IF(VLOOKUP(T_Convention[[#This Row],[NumL]],T_TraitDi[#Data],COLUMN(T_TraitDi[M1]),FALSE)="","",VLOOKUP(T_Convention[[#This Row],[NumL]],T_TraitDi[#Data],COLUMN(T_TraitDi[M1]),FALSE))</f>
        <v>#N/A</v>
      </c>
      <c r="Q249" s="282" t="e">
        <f>IF(VLOOKUP(T_Convention[[#This Row],[NumL]],T_TraitDi[#Data],COLUMN(T_TraitDi[M2]),FALSE)="","",VLOOKUP(T_Convention[[#This Row],[NumL]],T_TraitDi[#Data],COLUMN(T_TraitDi[M2]),FALSE))</f>
        <v>#N/A</v>
      </c>
      <c r="R249" s="282" t="e">
        <f>IF(VLOOKUP(T_Convention[[#This Row],[NumL]],T_TraitDi[#Data],COLUMN(T_TraitDi[M3]),FALSE)="","",VLOOKUP(T_Convention[[#This Row],[NumL]],T_TraitDi[#Data],COLUMN(T_TraitDi[M3]),FALSE))</f>
        <v>#N/A</v>
      </c>
      <c r="S249" s="282" t="e">
        <f>IF(VLOOKUP(T_Convention[[#This Row],[NumL]],T_TraitDi[#Data],COLUMN(T_TraitDi[M4]),FALSE)="","",VLOOKUP(T_Convention[[#This Row],[NumL]],T_TraitDi[#Data],COLUMN(T_TraitDi[M4]),FALSE))</f>
        <v>#N/A</v>
      </c>
      <c r="T249" s="282" t="e">
        <f>IF(VLOOKUP(T_Convention[[#This Row],[NumL]],T_TraitDi[#Data],COLUMN(T_TraitDi[M5]),FALSE)="","",VLOOKUP(T_Convention[[#This Row],[NumL]],T_TraitDi[#Data],COLUMN(T_TraitDi[M5]),FALSE))</f>
        <v>#N/A</v>
      </c>
      <c r="U249" s="282" t="e">
        <f>IF(VLOOKUP(T_Convention[[#This Row],[NumL]],T_TraitDi[#Data],COLUMN(T_TraitDi[M6]),FALSE)="","",VLOOKUP(T_Convention[[#This Row],[NumL]],T_TraitDi[#Data],COLUMN(T_TraitDi[M6]),FALSE))</f>
        <v>#N/A</v>
      </c>
      <c r="V249" s="176" t="e">
        <f t="shared" si="19"/>
        <v>#N/A</v>
      </c>
      <c r="W249" s="284" t="str">
        <f>IFERROR(TEXT(VLOOKUP(T_Convention[[#This Row],[NumL]],T_TraitDi[#Data],COLUMN(T_TraitDi[Q2]),FALSE),"###%"),"")</f>
        <v/>
      </c>
      <c r="X249" s="97" t="e">
        <f>VLOOKUP(T_Convention[[#This Row],[NumL]],T_TraitDi[#Data],COLUMN(T_TraitDi[Reg Ponct]),FALSE)</f>
        <v>#N/A</v>
      </c>
      <c r="Y249" s="97" t="e">
        <f>VLOOKUP(T_Convention[NumL],T_TraitDi[#Data],COLUMN(T_TraitDi[Jours flottants]),FALSE)</f>
        <v>#N/A</v>
      </c>
      <c r="Z249" s="284" t="str">
        <f>IFERROR(VLOOKUP(T_Convention[[#This Row],[NumL]],T_TraitDi[#Data],COLUMN(T_TraitDi[Lundi]),FALSE),"")</f>
        <v/>
      </c>
      <c r="AA249" s="284" t="e">
        <f>IF(VLOOKUP(T_Convention[[#This Row],[NumL]],T_TraitDi[#Data],COLUMN(T_TraitDi[Colonne3]),FALSE)=0,"",TEXT(IFERROR(VLOOKUP(T_Convention[[#This Row],[NumL]],T_TraitDi[#Data],COLUMN(T_TraitDi[Colonne3]),FALSE),""),"[hh]:mm"))</f>
        <v>#N/A</v>
      </c>
      <c r="AB249" s="284" t="e">
        <f>IF(VLOOKUP(T_Convention[[#This Row],[NumL]],T_TraitDi[#Data],COLUMN(T_TraitDi[Colonne4]),FALSE)=0,"",TEXT(IFERROR(VLOOKUP(T_Convention[[#This Row],[NumL]],T_TraitDi[#Data],COLUMN(T_TraitDi[Colonne4]),FALSE),""),"[hh]:mm"))</f>
        <v>#N/A</v>
      </c>
      <c r="AC249" s="284" t="e">
        <f>IF(VLOOKUP(T_Convention[[#This Row],[NumL]],T_TraitDi[#Data],COLUMN(T_TraitDi[Colonne5]),FALSE)=0,"",TEXT(IFERROR(VLOOKUP(T_Convention[[#This Row],[NumL]],T_TraitDi[#Data],COLUMN(T_TraitDi[Colonne5]),FALSE),""),"[hh]:mm"))</f>
        <v>#N/A</v>
      </c>
      <c r="AD249" s="284" t="e">
        <f>IF(VLOOKUP(T_Convention[[#This Row],[NumL]],T_TraitDi[#Data],COLUMN(T_TraitDi[Colonne6]),FALSE)=0,"",TEXT(IFERROR(VLOOKUP(T_Convention[[#This Row],[NumL]],T_TraitDi[#Data],COLUMN(T_TraitDi[Colonne6]),FALSE),""),"[hh]:mm"))</f>
        <v>#N/A</v>
      </c>
      <c r="AE249" s="284" t="e">
        <f>IF(VLOOKUP(T_Convention[[#This Row],[NumL]],T_TraitDi[#Data],COLUMN(T_TraitDi[Colonne7]),FALSE)=0,"",TEXT(IFERROR(VLOOKUP(T_Convention[[#This Row],[NumL]],T_TraitDi[#Data],COLUMN(T_TraitDi[Colonne7]),FALSE),""),"[hh]:mm"))</f>
        <v>#N/A</v>
      </c>
      <c r="AF249" s="284" t="e">
        <f>IF(VLOOKUP(T_Convention[[#This Row],[NumL]],T_TraitDi[#Data],COLUMN(T_TraitDi[Colonne8]),FALSE)=0,"",TEXT(IFERROR(VLOOKUP(T_Convention[[#This Row],[NumL]],T_TraitDi[#Data],COLUMN(T_TraitDi[Colonne8]),FALSE),""),"[hh]:mm"))</f>
        <v>#N/A</v>
      </c>
      <c r="AG249" s="284" t="str">
        <f>IFERROR(VLOOKUP(T_Convention[[#This Row],[NumL]],T_TraitDi[#Data],COLUMN(T_TraitDi[Mardi]),FALSE),"")</f>
        <v/>
      </c>
      <c r="AH249" s="284" t="e">
        <f>IF(VLOOKUP(T_Convention[[#This Row],[NumL]],T_TraitDi[#Data],COLUMN(T_TraitDi[Colonne1]),FALSE)=0,"",TEXT(IFERROR(VLOOKUP(T_Convention[[#This Row],[NumL]],T_TraitDi[#Data],COLUMN(T_TraitDi[Colonne1]),FALSE),""),"[hh]:mm"))</f>
        <v>#N/A</v>
      </c>
      <c r="AI249" s="284" t="e">
        <f>IF(VLOOKUP(T_Convention[[#This Row],[NumL]],T_TraitDi[#Data],COLUMN(T_TraitDi[Colonne9]),FALSE)=0,"",TEXT(IFERROR(VLOOKUP(T_Convention[[#This Row],[NumL]],T_TraitDi[#Data],COLUMN(T_TraitDi[Colonne9]),FALSE),""),"[hh]:mm"))</f>
        <v>#N/A</v>
      </c>
      <c r="AJ249" s="284" t="str">
        <f>IFERROR(VLOOKUP(T_Convention[[#This Row],[NumL]],T_TraitDi[#Data],COLUMN(T_TraitDi[Colonne10]),FALSE),"")</f>
        <v/>
      </c>
      <c r="AK249" s="284" t="e">
        <f>IF(VLOOKUP(T_Convention[[#This Row],[NumL]],T_TraitDi[#Data],COLUMN(T_TraitDi[Colonne11]),FALSE)=0,"",TEXT(IFERROR(VLOOKUP(T_Convention[[#This Row],[NumL]],T_TraitDi[#Data],COLUMN(T_TraitDi[Colonne11]),FALSE),""),"[hh]:mm"))</f>
        <v>#N/A</v>
      </c>
      <c r="AL249" s="284" t="e">
        <f>IF(VLOOKUP(T_Convention[[#This Row],[NumL]],T_TraitDi[#Data],COLUMN(T_TraitDi[Colonne12]),FALSE)=0,"",TEXT(IFERROR(VLOOKUP(T_Convention[[#This Row],[NumL]],T_TraitDi[#Data],COLUMN(T_TraitDi[Colonne12]),FALSE),""),"[hh]:mm"))</f>
        <v>#N/A</v>
      </c>
      <c r="AM249" s="284" t="e">
        <f>IF(VLOOKUP(T_Convention[[#This Row],[NumL]],T_TraitDi[#Data],COLUMN(T_TraitDi[Colonne14]),FALSE)=0,"",TEXT(IFERROR(VLOOKUP(T_Convention[[#This Row],[NumL]],T_TraitDi[#Data],COLUMN(T_TraitDi[Colonne14]),FALSE),""),"[hh]:mm"))</f>
        <v>#N/A</v>
      </c>
      <c r="AN249" s="284" t="str">
        <f>IFERROR(VLOOKUP(T_Convention[[#This Row],[NumL]],T_TraitDi[#Data],COLUMN(T_TraitDi[Mercredi]),FALSE),"")</f>
        <v/>
      </c>
      <c r="AO249" s="284" t="e">
        <f>IF(VLOOKUP(T_Convention[[#This Row],[NumL]],T_TraitDi[#Data],COLUMN(T_TraitDi[Colonne15]),FALSE)=0,"",TEXT(IFERROR(VLOOKUP(T_Convention[[#This Row],[NumL]],T_TraitDi[#Data],COLUMN(T_TraitDi[Colonne15]),FALSE),""),"[hh]:mm"))</f>
        <v>#N/A</v>
      </c>
      <c r="AP249" s="284" t="e">
        <f>IF(VLOOKUP(T_Convention[[#This Row],[NumL]],T_TraitDi[#Data],COLUMN(T_TraitDi[Colonne16]),FALSE)=0,"",TEXT(IFERROR(VLOOKUP(T_Convention[[#This Row],[NumL]],T_TraitDi[#Data],COLUMN(T_TraitDi[Colonne16]),FALSE),""),"[hh]:mm"))</f>
        <v>#N/A</v>
      </c>
      <c r="AQ249" s="284" t="str">
        <f>IFERROR(VLOOKUP(T_Convention[[#This Row],[NumL]],T_TraitDi[#Data],COLUMN(T_TraitDi[Colonne17]),FALSE),"")</f>
        <v/>
      </c>
      <c r="AR249" s="284" t="e">
        <f>IF(VLOOKUP(T_Convention[[#This Row],[NumL]],T_TraitDi[#Data],COLUMN(T_TraitDi[Colonne18]),FALSE)=0,"",TEXT(IFERROR(VLOOKUP(T_Convention[[#This Row],[NumL]],T_TraitDi[#Data],COLUMN(T_TraitDi[Colonne18]),FALSE),""),"[hh]:mm"))</f>
        <v>#N/A</v>
      </c>
      <c r="AS249" s="284" t="e">
        <f>IF(VLOOKUP(T_Convention[[#This Row],[NumL]],T_TraitDi[#Data],COLUMN(T_TraitDi[Colonne19]),FALSE)=0,"",TEXT(IFERROR(VLOOKUP(T_Convention[[#This Row],[NumL]],T_TraitDi[#Data],COLUMN(T_TraitDi[Colonne19]),FALSE),""),"[hh]:mm"))</f>
        <v>#N/A</v>
      </c>
      <c r="AT249" s="284" t="e">
        <f>IF(VLOOKUP(T_Convention[[#This Row],[NumL]],T_TraitDi[#Data],COLUMN(T_TraitDi[Colonne20]),FALSE)=0,"",TEXT(IFERROR(VLOOKUP(T_Convention[[#This Row],[NumL]],T_TraitDi[#Data],COLUMN(T_TraitDi[Colonne20]),FALSE),""),"[hh]:mm"))</f>
        <v>#N/A</v>
      </c>
      <c r="AU249" s="284" t="str">
        <f>IFERROR(VLOOKUP(T_Convention[[#This Row],[NumL]],T_TraitDi[#Data],COLUMN(T_TraitDi[Jeudi]),FALSE),"")</f>
        <v/>
      </c>
      <c r="AV249" s="284" t="e">
        <f>IF(VLOOKUP(T_Convention[[#This Row],[NumL]],T_TraitDi[#Data],COLUMN(T_TraitDi[Colonne21]),FALSE)=0,"",TEXT(IFERROR(VLOOKUP(T_Convention[[#This Row],[NumL]],T_TraitDi[#Data],COLUMN(T_TraitDi[Colonne21]),FALSE),""),"[hh]:mm"))</f>
        <v>#N/A</v>
      </c>
      <c r="AW249" s="284" t="e">
        <f>IF(VLOOKUP(T_Convention[[#This Row],[NumL]],T_TraitDi[#Data],COLUMN(T_TraitDi[Colonne22]),FALSE)=0,"",TEXT(IFERROR(VLOOKUP(T_Convention[[#This Row],[NumL]],T_TraitDi[#Data],COLUMN(T_TraitDi[Colonne22]),FALSE),""),"[hh]:mm"))</f>
        <v>#N/A</v>
      </c>
      <c r="AX249" s="284" t="str">
        <f>IFERROR(VLOOKUP(T_Convention[[#This Row],[NumL]],T_TraitDi[#Data],COLUMN(T_TraitDi[Colonne23]),FALSE),"")</f>
        <v/>
      </c>
      <c r="AY249" s="284" t="e">
        <f>IF(VLOOKUP(T_Convention[[#This Row],[NumL]],T_TraitDi[#Data],COLUMN(T_TraitDi[Colonne24]),FALSE)=0,"",TEXT(IFERROR(VLOOKUP(T_Convention[[#This Row],[NumL]],T_TraitDi[#Data],COLUMN(T_TraitDi[Colonne24]),FALSE),""),"[hh]:mm"))</f>
        <v>#N/A</v>
      </c>
      <c r="AZ249" s="284" t="e">
        <f>IF(VLOOKUP(T_Convention[[#This Row],[NumL]],T_TraitDi[#Data],COLUMN(T_TraitDi[Colonne25]),FALSE)=0,"",TEXT(IFERROR(VLOOKUP(T_Convention[[#This Row],[NumL]],T_TraitDi[#Data],COLUMN(T_TraitDi[Colonne25]),FALSE),""),"[hh]:mm"))</f>
        <v>#N/A</v>
      </c>
      <c r="BA249" s="284" t="e">
        <f>IF(VLOOKUP(T_Convention[[#This Row],[NumL]],T_TraitDi[#Data],COLUMN(T_TraitDi[Colonne26]),FALSE)=0,"",TEXT(IFERROR(VLOOKUP(T_Convention[[#This Row],[NumL]],T_TraitDi[#Data],COLUMN(T_TraitDi[Colonne26]),FALSE),""),"[hh]:mm"))</f>
        <v>#N/A</v>
      </c>
      <c r="BB249" s="284" t="str">
        <f>IFERROR(VLOOKUP(T_Convention[[#This Row],[NumL]],T_TraitDi[#Data],COLUMN(T_TraitDi[Vendredi]),FALSE),"")</f>
        <v/>
      </c>
      <c r="BC249" s="284" t="e">
        <f>IF(VLOOKUP(T_Convention[[#This Row],[NumL]],T_TraitDi[#Data],COLUMN(T_TraitDi[Colonne27]),FALSE)=0,"",TEXT(IFERROR(VLOOKUP(T_Convention[[#This Row],[NumL]],T_TraitDi[#Data],COLUMN(T_TraitDi[Colonne27]),FALSE),""),"[hh]:mm"))</f>
        <v>#N/A</v>
      </c>
      <c r="BD249" s="284" t="e">
        <f>IF(VLOOKUP(T_Convention[[#This Row],[NumL]],T_TraitDi[#Data],COLUMN(T_TraitDi[Colonne28]),FALSE)=0,"",TEXT(IFERROR(VLOOKUP(T_Convention[[#This Row],[NumL]],T_TraitDi[#Data],COLUMN(T_TraitDi[Colonne28]),FALSE),""),"[hh]:mm"))</f>
        <v>#N/A</v>
      </c>
      <c r="BE249" s="284" t="str">
        <f>IFERROR(VLOOKUP(T_Convention[[#This Row],[NumL]],T_TraitDi[#Data],COLUMN(T_TraitDi[Colonne29]),FALSE),"")</f>
        <v/>
      </c>
      <c r="BF249" s="284" t="e">
        <f>IF(VLOOKUP(T_Convention[[#This Row],[NumL]],T_TraitDi[#Data],COLUMN(T_TraitDi[Colonne30]),FALSE)=0,"",TEXT(IFERROR(VLOOKUP(T_Convention[[#This Row],[NumL]],T_TraitDi[#Data],COLUMN(T_TraitDi[Colonne30]),FALSE),""),"[hh]:mm"))</f>
        <v>#N/A</v>
      </c>
      <c r="BG249" s="284" t="e">
        <f>IF(VLOOKUP(T_Convention[[#This Row],[NumL]],T_TraitDi[#Data],COLUMN(T_TraitDi[Colonne31]),FALSE)=0,"",TEXT(IFERROR(VLOOKUP(T_Convention[[#This Row],[NumL]],T_TraitDi[#Data],COLUMN(T_TraitDi[Colonne31]),FALSE),""),"[hh]:mm"))</f>
        <v>#N/A</v>
      </c>
      <c r="BH249" s="284" t="e">
        <f>IF(VLOOKUP(T_Convention[[#This Row],[NumL]],T_TraitDi[#Data],COLUMN(T_TraitDi[Colonne32]),FALSE)=0,"",TEXT(IFERROR(VLOOKUP(T_Convention[[#This Row],[NumL]],T_TraitDi[#Data],COLUMN(T_TraitDi[Colonne32]),FALSE),""),"[hh]:mm"))</f>
        <v>#N/A</v>
      </c>
      <c r="BI249" s="284" t="str">
        <f>IFERROR(VLOOKUP(T_Convention[[#This Row],[NumL]],T_TraitDi[#Data],COLUMN(T_TraitDi[NbJTW]),FALSE),"")</f>
        <v/>
      </c>
      <c r="BJ249" s="284" t="e">
        <f>IF(VLOOKUP(T_Convention[[#This Row],[NumL]],T_TraitDi[#Data],COLUMN(T_TraitDi[NbhTW]),FALSE)=0,"",TEXT(IFERROR(VLOOKUP(T_Convention[[#This Row],[NumL]],T_TraitDi[#Data],COLUMN(T_TraitDi[NbhTW]),FALSE),""),"[hh]:mm"))</f>
        <v>#N/A</v>
      </c>
      <c r="BK249" s="286" t="e">
        <f>IF(VLOOKUP(T_Convention[[#This Row],[NumL]],T_TraitDi[#Data],COLUMN(T_TraitDi[Nbhheb]),FALSE)=0,"",TEXT(IFERROR(VLOOKUP(T_Convention[[#This Row],[NumL]],T_TraitDi[#Data],COLUMN(T_TraitDi[Nbhheb]),FALSE),""),"[hh]:mm"))</f>
        <v>#N/A</v>
      </c>
      <c r="BL249" s="287" t="str">
        <f>IFERROR(VLOOKUP(VLOOKUP(T_Convention[[#This Row],[NumL]],T_TraitDi[#Data],COLUMN(T_TraitDi[Type1]),FALSE),TypeTW,2,FALSE),"")</f>
        <v/>
      </c>
      <c r="BM249" s="288" t="str">
        <f>IFERROR(VLOOKUP(T_Convention[[#This Row],[NumL]],T_TraitDi[#Data],COLUMN(T_TraitDi[Rue1]),FALSE),"")</f>
        <v/>
      </c>
      <c r="BN249" s="289" t="str">
        <f>IFERROR(VLOOKUP(T_Convention[[#This Row],[NumL]],T_TraitDi[#Data],COLUMN(T_TraitDi[CP1]),FALSE),"")</f>
        <v/>
      </c>
      <c r="BO249" s="282" t="str">
        <f>IFERROR(VLOOKUP(T_Convention[[#This Row],[NumL]],T_TraitDi[#Data],COLUMN(T_TraitDi[VILLE1]),FALSE),"")</f>
        <v/>
      </c>
      <c r="BP249" s="290" t="str">
        <f>IFERROR(VLOOKUP(VLOOKUP(T_Convention[[#This Row],[NumL]],T_TraitDi[#Data],COLUMN(T_TraitDi[Type2]),FALSE),TypeTW,2,FALSE),"")</f>
        <v/>
      </c>
      <c r="BQ249" s="182" t="str">
        <f>IFERROR(VLOOKUP(T_Convention[[#This Row],[NumL]],T_TraitDi[#Data],COLUMN(T_TraitDi[Rue2]),FALSE),"")</f>
        <v/>
      </c>
      <c r="BR249" s="173" t="str">
        <f>IFERROR(VLOOKUP(T_Convention[[#This Row],[NumL]],T_TraitDi[#Data],COLUMN(T_TraitDi[CP2]),FALSE),"")</f>
        <v/>
      </c>
      <c r="BS249" s="173" t="str">
        <f>IFERROR(VLOOKUP(T_Convention[[#This Row],[NumL]],T_TraitDi[#Data],COLUMN(T_TraitDi[VILLE2]),FALSE),"")</f>
        <v/>
      </c>
      <c r="BT249" s="182" t="str">
        <f>IF(VLOOKUP(T_Convention[[#This Row],[NumL]],T_Equipement[#Data],COLUMN(T_Equipement[PC]),FALSE)="","Aucun équipement spécifique directement lié au télétravail",VLOOKUP(T_Convention[[#This Row],[NumL]],T_Equipement[#Data],COLUMN(T_Equipement[PC]),FALSE))</f>
        <v xml:space="preserve">20-332	</v>
      </c>
      <c r="BU249" s="166" t="str">
        <f>IFERROR(IF(VLOOKUP(T_Convention[[#This Row],[NumL]],T_TraitDi[#Data],COLUMN(T_TraitDi[Plan]),FALSE)="OK","Un planning spécifique de télétravail est annexé à la présente convention.",""),"")</f>
        <v/>
      </c>
      <c r="BV249" s="185" t="s">
        <v>3399</v>
      </c>
      <c r="BW249" s="164" t="e">
        <f>IF(VLOOKUP(T_Convention[[#This Row],[NumL]],T_suiviDi[#Data],COLUMN(T_suiviDi[Entité]),FALSE)="","",VLOOKUP(T_Convention[[#This Row],[NumL]],T_suiviDi[#Data],COLUMN(T_suiviDi[Entité]),FALSE))</f>
        <v>#N/A</v>
      </c>
      <c r="BX249" s="164" t="str">
        <f>IF(VLOOKUP(T_Convention[[#This Row],[NumL]],T_Commission[#Data],COLUMN(T_Commission[envoi confirm TW]),FALSE)="","",VLOOKUP(T_Convention[[#This Row],[NumL]],T_Commission[#Data],COLUMN(T_Commission[envoi confirm TW]),FALSE))</f>
        <v>Oui</v>
      </c>
      <c r="BY24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49" s="264">
        <f>VLOOKUP(T_Convention[[#This Row],[NumL]],T_Commission[#Data],COLUMN(T_Commission[Commentaire]),FALSE)</f>
        <v>0</v>
      </c>
      <c r="CA249" s="254" t="str">
        <f>IF(VLOOKUP(T_Convention[[#This Row],[NumL]],T_Commission[#Data],COLUMN(T_Commission[Encadrant Email]),FALSE)="","",VLOOKUP(T_Convention[[#This Row],[NumL]],T_Commission[#Data],COLUMN(T_Commission[Encadrant Email]),FALSE))</f>
        <v/>
      </c>
      <c r="CB249" s="353" t="e">
        <f>VLOOKUP(T_Convention[[#This Row],[NumL]],T_TraitDi[#Data],COLUMN(T_TraitDi[NbJTot]),FALSE)</f>
        <v>#N/A</v>
      </c>
      <c r="CC249" s="353" t="e">
        <f>VLOOKUP(T_Convention[[#This Row],[NumL]],T_TraitDi[#Data],COLUMN(T_TraitDi[Reg Ponct]),FALSE)</f>
        <v>#N/A</v>
      </c>
      <c r="CD249" s="348" t="str">
        <f>IF(T_Convention[[#This Row],[Final]]&lt;&gt;"",VLOOKUP(T_Convention[[#This Row],[NumL]],T_suiviDi[#Data],COLUMN((T_suiviDi[Statut])),FALSE),"")</f>
        <v/>
      </c>
    </row>
    <row r="250" spans="1:82" s="106" customFormat="1" ht="18.75" customHeight="1" x14ac:dyDescent="0.25">
      <c r="A250" s="160">
        <v>138</v>
      </c>
      <c r="B250" s="161" t="str">
        <f>VLOOKUP(T_Convention[[#This Row],[NumL]],T_Commission[#Data],COLUMN(T_Commission[FINAL]),FALSE)</f>
        <v/>
      </c>
      <c r="C250" s="162"/>
      <c r="D250" s="95" t="e">
        <f>IF(VLOOKUP(T_Convention[[#This Row],[NumL]],T_TraitDi[#Data],COLUMN(T_TraitDi[WebC]),FALSE)="","",VLOOKUP(T_Convention[[#This Row],[NumL]],T_TraitDi[#Data],COLUMN(T_TraitDi[WebC]),FALSE))</f>
        <v>#N/A</v>
      </c>
      <c r="E250" s="163" t="str">
        <f t="shared" si="15"/>
        <v>12 janvier 2021</v>
      </c>
      <c r="F250" s="282" t="str">
        <f>IF(T_Convention[[#This Row],[Final]]&lt;&gt;"",VLOOKUP(T_Convention[[#This Row],[NumL]],T_suiviDi[#Data],COLUMN((T_suiviDi[Civ.])),FALSE),"")</f>
        <v/>
      </c>
      <c r="G250" s="283" t="str">
        <f>IF(T_Convention[[#This Row],[Final]]&lt;&gt;"",VLOOKUP(T_Convention[[#This Row],[NumL]],T_suiviDi[#Data],COLUMN((T_suiviDi[Nom])),FALSE),"")</f>
        <v/>
      </c>
      <c r="H250" s="282" t="str">
        <f>IF(T_Convention[[#This Row],[Final]]&lt;&gt;"",VLOOKUP(T_Convention[[#This Row],[NumL]],T_suiviDi[#Data],COLUMN((T_suiviDi[Prénom])),FALSE),"")</f>
        <v/>
      </c>
      <c r="I250" s="282" t="e">
        <f>VLOOKUP(T_Convention[[#This Row],[NumL]],T_suiviDi[#Data],COLUMN((T_suiviDi[[#This Row],[Email]])),FALSE)</f>
        <v>#VALUE!</v>
      </c>
      <c r="J250" s="282" t="e">
        <f>IF(VLOOKUP(T_Convention[[#This Row],[NumL]],T_suiviDi[#Data],COLUMN(T_suiviDi[[#This Row],[Fonction]]),FALSE)="","",VLOOKUP(T_Convention[[#This Row],[NumL]],T_suiviDi[#Data],COLUMN(T_suiviDi[[#This Row],[Fonction]]),FALSE))</f>
        <v>#VALUE!</v>
      </c>
      <c r="K250" s="282" t="e">
        <f>IF(VLOOKUP(T_Convention[[#This Row],[NumL]],T_suiviDi[#Data],COLUMN(T_suiviDi[[#This Row],[Grade]]),FALSE)="","",VLOOKUP(T_Convention[[#This Row],[NumL]],T_suiviDi[#Data],COLUMN(T_suiviDi[[#This Row],[Grade]]),FALSE))</f>
        <v>#VALUE!</v>
      </c>
      <c r="L250" s="282" t="e">
        <f>IF(VLOOKUP(T_Convention[[#This Row],[NumL]],T_suiviDi[#Data],COLUMN(T_suiviDi[[#This Row],[Service ]]),FALSE)="","",VLOOKUP(T_Convention[[#This Row],[NumL]],T_suiviDi[#Data],COLUMN(T_suiviDi[[#This Row],[Service ]]),FALSE))</f>
        <v>#VALUE!</v>
      </c>
      <c r="M250" s="164" t="str">
        <f t="shared" si="16"/>
        <v>01 septembre 2021</v>
      </c>
      <c r="N250" s="164" t="str">
        <f t="shared" si="17"/>
        <v>30 novembre 2021</v>
      </c>
      <c r="O250" s="284" t="str">
        <f t="shared" si="18"/>
        <v>30 novembre 2021</v>
      </c>
      <c r="P250" s="282" t="e">
        <f>IF(VLOOKUP(T_Convention[[#This Row],[NumL]],T_TraitDi[#Data],COLUMN(T_TraitDi[M1]),FALSE)="","",VLOOKUP(T_Convention[[#This Row],[NumL]],T_TraitDi[#Data],COLUMN(T_TraitDi[M1]),FALSE))</f>
        <v>#N/A</v>
      </c>
      <c r="Q250" s="282" t="e">
        <f>IF(VLOOKUP(T_Convention[[#This Row],[NumL]],T_TraitDi[#Data],COLUMN(T_TraitDi[M2]),FALSE)="","",VLOOKUP(T_Convention[[#This Row],[NumL]],T_TraitDi[#Data],COLUMN(T_TraitDi[M2]),FALSE))</f>
        <v>#N/A</v>
      </c>
      <c r="R250" s="282" t="e">
        <f>IF(VLOOKUP(T_Convention[[#This Row],[NumL]],T_TraitDi[#Data],COLUMN(T_TraitDi[M3]),FALSE)="","",VLOOKUP(T_Convention[[#This Row],[NumL]],T_TraitDi[#Data],COLUMN(T_TraitDi[M3]),FALSE))</f>
        <v>#N/A</v>
      </c>
      <c r="S250" s="282" t="e">
        <f>IF(VLOOKUP(T_Convention[[#This Row],[NumL]],T_TraitDi[#Data],COLUMN(T_TraitDi[M4]),FALSE)="","",VLOOKUP(T_Convention[[#This Row],[NumL]],T_TraitDi[#Data],COLUMN(T_TraitDi[M4]),FALSE))</f>
        <v>#N/A</v>
      </c>
      <c r="T250" s="282" t="e">
        <f>IF(VLOOKUP(T_Convention[[#This Row],[NumL]],T_TraitDi[#Data],COLUMN(T_TraitDi[M5]),FALSE)="","",VLOOKUP(T_Convention[[#This Row],[NumL]],T_TraitDi[#Data],COLUMN(T_TraitDi[M5]),FALSE))</f>
        <v>#N/A</v>
      </c>
      <c r="U250" s="282" t="e">
        <f>IF(VLOOKUP(T_Convention[[#This Row],[NumL]],T_TraitDi[#Data],COLUMN(T_TraitDi[M6]),FALSE)="","",VLOOKUP(T_Convention[[#This Row],[NumL]],T_TraitDi[#Data],COLUMN(T_TraitDi[M6]),FALSE))</f>
        <v>#N/A</v>
      </c>
      <c r="V250" s="176" t="e">
        <f t="shared" si="19"/>
        <v>#N/A</v>
      </c>
      <c r="W250" s="284" t="str">
        <f>IFERROR(TEXT(VLOOKUP(T_Convention[[#This Row],[NumL]],T_TraitDi[#Data],COLUMN(T_TraitDi[Q2]),FALSE),"###%"),"")</f>
        <v/>
      </c>
      <c r="X250" s="97" t="e">
        <f>VLOOKUP(T_Convention[[#This Row],[NumL]],T_TraitDi[#Data],COLUMN(T_TraitDi[Reg Ponct]),FALSE)</f>
        <v>#N/A</v>
      </c>
      <c r="Y250" s="97" t="e">
        <f>VLOOKUP(T_Convention[NumL],T_TraitDi[#Data],COLUMN(T_TraitDi[Jours flottants]),FALSE)</f>
        <v>#N/A</v>
      </c>
      <c r="Z250" s="284" t="str">
        <f>IFERROR(VLOOKUP(T_Convention[[#This Row],[NumL]],T_TraitDi[#Data],COLUMN(T_TraitDi[Lundi]),FALSE),"")</f>
        <v/>
      </c>
      <c r="AA250" s="284" t="e">
        <f>IF(VLOOKUP(T_Convention[[#This Row],[NumL]],T_TraitDi[#Data],COLUMN(T_TraitDi[Colonne3]),FALSE)=0,"",TEXT(IFERROR(VLOOKUP(T_Convention[[#This Row],[NumL]],T_TraitDi[#Data],COLUMN(T_TraitDi[Colonne3]),FALSE),""),"[hh]:mm"))</f>
        <v>#N/A</v>
      </c>
      <c r="AB250" s="284" t="e">
        <f>IF(VLOOKUP(T_Convention[[#This Row],[NumL]],T_TraitDi[#Data],COLUMN(T_TraitDi[Colonne4]),FALSE)=0,"",TEXT(IFERROR(VLOOKUP(T_Convention[[#This Row],[NumL]],T_TraitDi[#Data],COLUMN(T_TraitDi[Colonne4]),FALSE),""),"[hh]:mm"))</f>
        <v>#N/A</v>
      </c>
      <c r="AC250" s="284" t="e">
        <f>IF(VLOOKUP(T_Convention[[#This Row],[NumL]],T_TraitDi[#Data],COLUMN(T_TraitDi[Colonne5]),FALSE)=0,"",TEXT(IFERROR(VLOOKUP(T_Convention[[#This Row],[NumL]],T_TraitDi[#Data],COLUMN(T_TraitDi[Colonne5]),FALSE),""),"[hh]:mm"))</f>
        <v>#N/A</v>
      </c>
      <c r="AD250" s="284" t="e">
        <f>IF(VLOOKUP(T_Convention[[#This Row],[NumL]],T_TraitDi[#Data],COLUMN(T_TraitDi[Colonne6]),FALSE)=0,"",TEXT(IFERROR(VLOOKUP(T_Convention[[#This Row],[NumL]],T_TraitDi[#Data],COLUMN(T_TraitDi[Colonne6]),FALSE),""),"[hh]:mm"))</f>
        <v>#N/A</v>
      </c>
      <c r="AE250" s="284" t="e">
        <f>IF(VLOOKUP(T_Convention[[#This Row],[NumL]],T_TraitDi[#Data],COLUMN(T_TraitDi[Colonne7]),FALSE)=0,"",TEXT(IFERROR(VLOOKUP(T_Convention[[#This Row],[NumL]],T_TraitDi[#Data],COLUMN(T_TraitDi[Colonne7]),FALSE),""),"[hh]:mm"))</f>
        <v>#N/A</v>
      </c>
      <c r="AF250" s="284" t="e">
        <f>IF(VLOOKUP(T_Convention[[#This Row],[NumL]],T_TraitDi[#Data],COLUMN(T_TraitDi[Colonne8]),FALSE)=0,"",TEXT(IFERROR(VLOOKUP(T_Convention[[#This Row],[NumL]],T_TraitDi[#Data],COLUMN(T_TraitDi[Colonne8]),FALSE),""),"[hh]:mm"))</f>
        <v>#N/A</v>
      </c>
      <c r="AG250" s="284" t="str">
        <f>IFERROR(VLOOKUP(T_Convention[[#This Row],[NumL]],T_TraitDi[#Data],COLUMN(T_TraitDi[Mardi]),FALSE),"")</f>
        <v/>
      </c>
      <c r="AH250" s="284" t="e">
        <f>IF(VLOOKUP(T_Convention[[#This Row],[NumL]],T_TraitDi[#Data],COLUMN(T_TraitDi[Colonne1]),FALSE)=0,"",TEXT(IFERROR(VLOOKUP(T_Convention[[#This Row],[NumL]],T_TraitDi[#Data],COLUMN(T_TraitDi[Colonne1]),FALSE),""),"[hh]:mm"))</f>
        <v>#N/A</v>
      </c>
      <c r="AI250" s="284" t="e">
        <f>IF(VLOOKUP(T_Convention[[#This Row],[NumL]],T_TraitDi[#Data],COLUMN(T_TraitDi[Colonne9]),FALSE)=0,"",TEXT(IFERROR(VLOOKUP(T_Convention[[#This Row],[NumL]],T_TraitDi[#Data],COLUMN(T_TraitDi[Colonne9]),FALSE),""),"[hh]:mm"))</f>
        <v>#N/A</v>
      </c>
      <c r="AJ250" s="284" t="str">
        <f>IFERROR(VLOOKUP(T_Convention[[#This Row],[NumL]],T_TraitDi[#Data],COLUMN(T_TraitDi[Colonne10]),FALSE),"")</f>
        <v/>
      </c>
      <c r="AK250" s="284" t="e">
        <f>IF(VLOOKUP(T_Convention[[#This Row],[NumL]],T_TraitDi[#Data],COLUMN(T_TraitDi[Colonne11]),FALSE)=0,"",TEXT(IFERROR(VLOOKUP(T_Convention[[#This Row],[NumL]],T_TraitDi[#Data],COLUMN(T_TraitDi[Colonne11]),FALSE),""),"[hh]:mm"))</f>
        <v>#N/A</v>
      </c>
      <c r="AL250" s="284" t="e">
        <f>IF(VLOOKUP(T_Convention[[#This Row],[NumL]],T_TraitDi[#Data],COLUMN(T_TraitDi[Colonne12]),FALSE)=0,"",TEXT(IFERROR(VLOOKUP(T_Convention[[#This Row],[NumL]],T_TraitDi[#Data],COLUMN(T_TraitDi[Colonne12]),FALSE),""),"[hh]:mm"))</f>
        <v>#N/A</v>
      </c>
      <c r="AM250" s="284" t="e">
        <f>IF(VLOOKUP(T_Convention[[#This Row],[NumL]],T_TraitDi[#Data],COLUMN(T_TraitDi[Colonne14]),FALSE)=0,"",TEXT(IFERROR(VLOOKUP(T_Convention[[#This Row],[NumL]],T_TraitDi[#Data],COLUMN(T_TraitDi[Colonne14]),FALSE),""),"[hh]:mm"))</f>
        <v>#N/A</v>
      </c>
      <c r="AN250" s="284" t="str">
        <f>IFERROR(VLOOKUP(T_Convention[[#This Row],[NumL]],T_TraitDi[#Data],COLUMN(T_TraitDi[Mercredi]),FALSE),"")</f>
        <v/>
      </c>
      <c r="AO250" s="284" t="e">
        <f>IF(VLOOKUP(T_Convention[[#This Row],[NumL]],T_TraitDi[#Data],COLUMN(T_TraitDi[Colonne15]),FALSE)=0,"",TEXT(IFERROR(VLOOKUP(T_Convention[[#This Row],[NumL]],T_TraitDi[#Data],COLUMN(T_TraitDi[Colonne15]),FALSE),""),"[hh]:mm"))</f>
        <v>#N/A</v>
      </c>
      <c r="AP250" s="284" t="e">
        <f>IF(VLOOKUP(T_Convention[[#This Row],[NumL]],T_TraitDi[#Data],COLUMN(T_TraitDi[Colonne16]),FALSE)=0,"",TEXT(IFERROR(VLOOKUP(T_Convention[[#This Row],[NumL]],T_TraitDi[#Data],COLUMN(T_TraitDi[Colonne16]),FALSE),""),"[hh]:mm"))</f>
        <v>#N/A</v>
      </c>
      <c r="AQ250" s="284" t="str">
        <f>IFERROR(VLOOKUP(T_Convention[[#This Row],[NumL]],T_TraitDi[#Data],COLUMN(T_TraitDi[Colonne17]),FALSE),"")</f>
        <v/>
      </c>
      <c r="AR250" s="284" t="e">
        <f>IF(VLOOKUP(T_Convention[[#This Row],[NumL]],T_TraitDi[#Data],COLUMN(T_TraitDi[Colonne18]),FALSE)=0,"",TEXT(IFERROR(VLOOKUP(T_Convention[[#This Row],[NumL]],T_TraitDi[#Data],COLUMN(T_TraitDi[Colonne18]),FALSE),""),"[hh]:mm"))</f>
        <v>#N/A</v>
      </c>
      <c r="AS250" s="284" t="e">
        <f>IF(VLOOKUP(T_Convention[[#This Row],[NumL]],T_TraitDi[#Data],COLUMN(T_TraitDi[Colonne19]),FALSE)=0,"",TEXT(IFERROR(VLOOKUP(T_Convention[[#This Row],[NumL]],T_TraitDi[#Data],COLUMN(T_TraitDi[Colonne19]),FALSE),""),"[hh]:mm"))</f>
        <v>#N/A</v>
      </c>
      <c r="AT250" s="284" t="e">
        <f>IF(VLOOKUP(T_Convention[[#This Row],[NumL]],T_TraitDi[#Data],COLUMN(T_TraitDi[Colonne20]),FALSE)=0,"",TEXT(IFERROR(VLOOKUP(T_Convention[[#This Row],[NumL]],T_TraitDi[#Data],COLUMN(T_TraitDi[Colonne20]),FALSE),""),"[hh]:mm"))</f>
        <v>#N/A</v>
      </c>
      <c r="AU250" s="284" t="str">
        <f>IFERROR(VLOOKUP(T_Convention[[#This Row],[NumL]],T_TraitDi[#Data],COLUMN(T_TraitDi[Jeudi]),FALSE),"")</f>
        <v/>
      </c>
      <c r="AV250" s="284" t="e">
        <f>IF(VLOOKUP(T_Convention[[#This Row],[NumL]],T_TraitDi[#Data],COLUMN(T_TraitDi[Colonne21]),FALSE)=0,"",TEXT(IFERROR(VLOOKUP(T_Convention[[#This Row],[NumL]],T_TraitDi[#Data],COLUMN(T_TraitDi[Colonne21]),FALSE),""),"[hh]:mm"))</f>
        <v>#N/A</v>
      </c>
      <c r="AW250" s="284" t="e">
        <f>IF(VLOOKUP(T_Convention[[#This Row],[NumL]],T_TraitDi[#Data],COLUMN(T_TraitDi[Colonne22]),FALSE)=0,"",TEXT(IFERROR(VLOOKUP(T_Convention[[#This Row],[NumL]],T_TraitDi[#Data],COLUMN(T_TraitDi[Colonne22]),FALSE),""),"[hh]:mm"))</f>
        <v>#N/A</v>
      </c>
      <c r="AX250" s="284" t="str">
        <f>IFERROR(VLOOKUP(T_Convention[[#This Row],[NumL]],T_TraitDi[#Data],COLUMN(T_TraitDi[Colonne23]),FALSE),"")</f>
        <v/>
      </c>
      <c r="AY250" s="284" t="e">
        <f>IF(VLOOKUP(T_Convention[[#This Row],[NumL]],T_TraitDi[#Data],COLUMN(T_TraitDi[Colonne24]),FALSE)=0,"",TEXT(IFERROR(VLOOKUP(T_Convention[[#This Row],[NumL]],T_TraitDi[#Data],COLUMN(T_TraitDi[Colonne24]),FALSE),""),"[hh]:mm"))</f>
        <v>#N/A</v>
      </c>
      <c r="AZ250" s="284" t="e">
        <f>IF(VLOOKUP(T_Convention[[#This Row],[NumL]],T_TraitDi[#Data],COLUMN(T_TraitDi[Colonne25]),FALSE)=0,"",TEXT(IFERROR(VLOOKUP(T_Convention[[#This Row],[NumL]],T_TraitDi[#Data],COLUMN(T_TraitDi[Colonne25]),FALSE),""),"[hh]:mm"))</f>
        <v>#N/A</v>
      </c>
      <c r="BA250" s="284" t="e">
        <f>IF(VLOOKUP(T_Convention[[#This Row],[NumL]],T_TraitDi[#Data],COLUMN(T_TraitDi[Colonne26]),FALSE)=0,"",TEXT(IFERROR(VLOOKUP(T_Convention[[#This Row],[NumL]],T_TraitDi[#Data],COLUMN(T_TraitDi[Colonne26]),FALSE),""),"[hh]:mm"))</f>
        <v>#N/A</v>
      </c>
      <c r="BB250" s="284" t="str">
        <f>IFERROR(VLOOKUP(T_Convention[[#This Row],[NumL]],T_TraitDi[#Data],COLUMN(T_TraitDi[Vendredi]),FALSE),"")</f>
        <v/>
      </c>
      <c r="BC250" s="284" t="e">
        <f>IF(VLOOKUP(T_Convention[[#This Row],[NumL]],T_TraitDi[#Data],COLUMN(T_TraitDi[Colonne27]),FALSE)=0,"",TEXT(IFERROR(VLOOKUP(T_Convention[[#This Row],[NumL]],T_TraitDi[#Data],COLUMN(T_TraitDi[Colonne27]),FALSE),""),"[hh]:mm"))</f>
        <v>#N/A</v>
      </c>
      <c r="BD250" s="284" t="e">
        <f>IF(VLOOKUP(T_Convention[[#This Row],[NumL]],T_TraitDi[#Data],COLUMN(T_TraitDi[Colonne28]),FALSE)=0,"",TEXT(IFERROR(VLOOKUP(T_Convention[[#This Row],[NumL]],T_TraitDi[#Data],COLUMN(T_TraitDi[Colonne28]),FALSE),""),"[hh]:mm"))</f>
        <v>#N/A</v>
      </c>
      <c r="BE250" s="284" t="str">
        <f>IFERROR(VLOOKUP(T_Convention[[#This Row],[NumL]],T_TraitDi[#Data],COLUMN(T_TraitDi[Colonne29]),FALSE),"")</f>
        <v/>
      </c>
      <c r="BF250" s="284" t="e">
        <f>IF(VLOOKUP(T_Convention[[#This Row],[NumL]],T_TraitDi[#Data],COLUMN(T_TraitDi[Colonne30]),FALSE)=0,"",TEXT(IFERROR(VLOOKUP(T_Convention[[#This Row],[NumL]],T_TraitDi[#Data],COLUMN(T_TraitDi[Colonne30]),FALSE),""),"[hh]:mm"))</f>
        <v>#N/A</v>
      </c>
      <c r="BG250" s="284" t="e">
        <f>IF(VLOOKUP(T_Convention[[#This Row],[NumL]],T_TraitDi[#Data],COLUMN(T_TraitDi[Colonne31]),FALSE)=0,"",TEXT(IFERROR(VLOOKUP(T_Convention[[#This Row],[NumL]],T_TraitDi[#Data],COLUMN(T_TraitDi[Colonne31]),FALSE),""),"[hh]:mm"))</f>
        <v>#N/A</v>
      </c>
      <c r="BH250" s="284" t="e">
        <f>IF(VLOOKUP(T_Convention[[#This Row],[NumL]],T_TraitDi[#Data],COLUMN(T_TraitDi[Colonne32]),FALSE)=0,"",TEXT(IFERROR(VLOOKUP(T_Convention[[#This Row],[NumL]],T_TraitDi[#Data],COLUMN(T_TraitDi[Colonne32]),FALSE),""),"[hh]:mm"))</f>
        <v>#N/A</v>
      </c>
      <c r="BI250" s="284" t="str">
        <f>IFERROR(VLOOKUP(T_Convention[[#This Row],[NumL]],T_TraitDi[#Data],COLUMN(T_TraitDi[NbJTW]),FALSE),"")</f>
        <v/>
      </c>
      <c r="BJ250" s="284" t="e">
        <f>IF(VLOOKUP(T_Convention[[#This Row],[NumL]],T_TraitDi[#Data],COLUMN(T_TraitDi[NbhTW]),FALSE)=0,"",TEXT(IFERROR(VLOOKUP(T_Convention[[#This Row],[NumL]],T_TraitDi[#Data],COLUMN(T_TraitDi[NbhTW]),FALSE),""),"[hh]:mm"))</f>
        <v>#N/A</v>
      </c>
      <c r="BK250" s="286" t="e">
        <f>IF(VLOOKUP(T_Convention[[#This Row],[NumL]],T_TraitDi[#Data],COLUMN(T_TraitDi[Nbhheb]),FALSE)=0,"",TEXT(IFERROR(VLOOKUP(T_Convention[[#This Row],[NumL]],T_TraitDi[#Data],COLUMN(T_TraitDi[Nbhheb]),FALSE),""),"[hh]:mm"))</f>
        <v>#N/A</v>
      </c>
      <c r="BL250" s="287" t="str">
        <f>IFERROR(VLOOKUP(VLOOKUP(T_Convention[[#This Row],[NumL]],T_TraitDi[#Data],COLUMN(T_TraitDi[Type1]),FALSE),TypeTW,2,FALSE),"")</f>
        <v/>
      </c>
      <c r="BM250" s="288" t="str">
        <f>IFERROR(VLOOKUP(T_Convention[[#This Row],[NumL]],T_TraitDi[#Data],COLUMN(T_TraitDi[Rue1]),FALSE),"")</f>
        <v/>
      </c>
      <c r="BN250" s="289" t="str">
        <f>IFERROR(VLOOKUP(T_Convention[[#This Row],[NumL]],T_TraitDi[#Data],COLUMN(T_TraitDi[CP1]),FALSE),"")</f>
        <v/>
      </c>
      <c r="BO250" s="282" t="str">
        <f>IFERROR(VLOOKUP(T_Convention[[#This Row],[NumL]],T_TraitDi[#Data],COLUMN(T_TraitDi[VILLE1]),FALSE),"")</f>
        <v/>
      </c>
      <c r="BP250" s="290" t="str">
        <f>IFERROR(VLOOKUP(VLOOKUP(T_Convention[[#This Row],[NumL]],T_TraitDi[#Data],COLUMN(T_TraitDi[Type2]),FALSE),TypeTW,2,FALSE),"")</f>
        <v/>
      </c>
      <c r="BQ250" s="182" t="str">
        <f>IFERROR(VLOOKUP(T_Convention[[#This Row],[NumL]],T_TraitDi[#Data],COLUMN(T_TraitDi[Rue2]),FALSE),"")</f>
        <v/>
      </c>
      <c r="BR250" s="173" t="str">
        <f>IFERROR(VLOOKUP(T_Convention[[#This Row],[NumL]],T_TraitDi[#Data],COLUMN(T_TraitDi[CP2]),FALSE),"")</f>
        <v/>
      </c>
      <c r="BS250" s="173" t="str">
        <f>IFERROR(VLOOKUP(T_Convention[[#This Row],[NumL]],T_TraitDi[#Data],COLUMN(T_TraitDi[VILLE2]),FALSE),"")</f>
        <v/>
      </c>
      <c r="BT250" s="182" t="str">
        <f>IF(VLOOKUP(T_Convention[[#This Row],[NumL]],T_Equipement[#Data],COLUMN(T_Equipement[PC]),FALSE)="","Aucun équipement spécifique directement lié au télétravail",VLOOKUP(T_Convention[[#This Row],[NumL]],T_Equipement[#Data],COLUMN(T_Equipement[PC]),FALSE))</f>
        <v>16-902 mac</v>
      </c>
      <c r="BU250" s="166" t="str">
        <f>IFERROR(IF(VLOOKUP(T_Convention[[#This Row],[NumL]],T_TraitDi[#Data],COLUMN(T_TraitDi[Plan]),FALSE)="OK","Un planning spécifique de télétravail est annexé à la présente convention.",""),"")</f>
        <v/>
      </c>
      <c r="BV250" s="185" t="s">
        <v>3462</v>
      </c>
      <c r="BW250" s="164" t="e">
        <f>IF(VLOOKUP(T_Convention[[#This Row],[NumL]],T_suiviDi[#Data],COLUMN(T_suiviDi[Entité]),FALSE)="","",VLOOKUP(T_Convention[[#This Row],[NumL]],T_suiviDi[#Data],COLUMN(T_suiviDi[Entité]),FALSE))</f>
        <v>#N/A</v>
      </c>
      <c r="BX250" s="164" t="str">
        <f>IF(VLOOKUP(T_Convention[[#This Row],[NumL]],T_Commission[#Data],COLUMN(T_Commission[envoi confirm TW]),FALSE)="","",VLOOKUP(T_Convention[[#This Row],[NumL]],T_Commission[#Data],COLUMN(T_Commission[envoi confirm TW]),FALSE))</f>
        <v>Oui</v>
      </c>
      <c r="BY25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0" s="264">
        <f>VLOOKUP(T_Convention[[#This Row],[NumL]],T_Commission[#Data],COLUMN(T_Commission[Commentaire]),FALSE)</f>
        <v>0</v>
      </c>
      <c r="CA250" s="254" t="str">
        <f>IF(VLOOKUP(T_Convention[[#This Row],[NumL]],T_Commission[#Data],COLUMN(T_Commission[Encadrant Email]),FALSE)="","",VLOOKUP(T_Convention[[#This Row],[NumL]],T_Commission[#Data],COLUMN(T_Commission[Encadrant Email]),FALSE))</f>
        <v/>
      </c>
      <c r="CB250" s="353" t="e">
        <f>VLOOKUP(T_Convention[[#This Row],[NumL]],T_TraitDi[#Data],COLUMN(T_TraitDi[NbJTot]),FALSE)</f>
        <v>#N/A</v>
      </c>
      <c r="CC250" s="353" t="e">
        <f>VLOOKUP(T_Convention[[#This Row],[NumL]],T_TraitDi[#Data],COLUMN(T_TraitDi[Reg Ponct]),FALSE)</f>
        <v>#N/A</v>
      </c>
      <c r="CD250" s="348" t="str">
        <f>IF(T_Convention[[#This Row],[Final]]&lt;&gt;"",VLOOKUP(T_Convention[[#This Row],[NumL]],T_suiviDi[#Data],COLUMN((T_suiviDi[Statut])),FALSE),"")</f>
        <v/>
      </c>
    </row>
    <row r="251" spans="1:82" s="106" customFormat="1" ht="18.75" customHeight="1" x14ac:dyDescent="0.25">
      <c r="A251" s="160">
        <v>85</v>
      </c>
      <c r="B251" s="161" t="str">
        <f>VLOOKUP(T_Convention[[#This Row],[NumL]],T_Commission[#Data],COLUMN(T_Commission[FINAL]),FALSE)</f>
        <v/>
      </c>
      <c r="C251" s="162"/>
      <c r="D251" s="95" t="e">
        <f>IF(VLOOKUP(T_Convention[[#This Row],[NumL]],T_TraitDi[#Data],COLUMN(T_TraitDi[WebC]),FALSE)="","",VLOOKUP(T_Convention[[#This Row],[NumL]],T_TraitDi[#Data],COLUMN(T_TraitDi[WebC]),FALSE))</f>
        <v>#N/A</v>
      </c>
      <c r="E251" s="163" t="str">
        <f t="shared" si="15"/>
        <v>12 janvier 2021</v>
      </c>
      <c r="F251" s="282" t="str">
        <f>IF(T_Convention[[#This Row],[Final]]&lt;&gt;"",VLOOKUP(T_Convention[[#This Row],[NumL]],T_suiviDi[#Data],COLUMN((T_suiviDi[Civ.])),FALSE),"")</f>
        <v/>
      </c>
      <c r="G251" s="283" t="str">
        <f>IF(T_Convention[[#This Row],[Final]]&lt;&gt;"",VLOOKUP(T_Convention[[#This Row],[NumL]],T_suiviDi[#Data],COLUMN((T_suiviDi[Nom])),FALSE),"")</f>
        <v/>
      </c>
      <c r="H251" s="282" t="str">
        <f>IF(T_Convention[[#This Row],[Final]]&lt;&gt;"",VLOOKUP(T_Convention[[#This Row],[NumL]],T_suiviDi[#Data],COLUMN((T_suiviDi[Prénom])),FALSE),"")</f>
        <v/>
      </c>
      <c r="I251" s="282" t="e">
        <f>VLOOKUP(T_Convention[[#This Row],[NumL]],T_suiviDi[#Data],COLUMN((T_suiviDi[[#This Row],[Email]])),FALSE)</f>
        <v>#VALUE!</v>
      </c>
      <c r="J251" s="282" t="e">
        <f>IF(VLOOKUP(T_Convention[[#This Row],[NumL]],T_suiviDi[#Data],COLUMN(T_suiviDi[[#This Row],[Fonction]]),FALSE)="","",VLOOKUP(T_Convention[[#This Row],[NumL]],T_suiviDi[#Data],COLUMN(T_suiviDi[[#This Row],[Fonction]]),FALSE))</f>
        <v>#VALUE!</v>
      </c>
      <c r="K251" s="282" t="e">
        <f>IF(VLOOKUP(T_Convention[[#This Row],[NumL]],T_suiviDi[#Data],COLUMN(T_suiviDi[[#This Row],[Grade]]),FALSE)="","",VLOOKUP(T_Convention[[#This Row],[NumL]],T_suiviDi[#Data],COLUMN(T_suiviDi[[#This Row],[Grade]]),FALSE))</f>
        <v>#VALUE!</v>
      </c>
      <c r="L251" s="282" t="e">
        <f>IF(VLOOKUP(T_Convention[[#This Row],[NumL]],T_suiviDi[#Data],COLUMN(T_suiviDi[[#This Row],[Service ]]),FALSE)="","",VLOOKUP(T_Convention[[#This Row],[NumL]],T_suiviDi[#Data],COLUMN(T_suiviDi[[#This Row],[Service ]]),FALSE))</f>
        <v>#VALUE!</v>
      </c>
      <c r="M251" s="164" t="str">
        <f t="shared" si="16"/>
        <v>01 septembre 2021</v>
      </c>
      <c r="N251" s="164" t="str">
        <f t="shared" si="17"/>
        <v>30 novembre 2021</v>
      </c>
      <c r="O251" s="284" t="str">
        <f t="shared" si="18"/>
        <v>30 novembre 2021</v>
      </c>
      <c r="P251" s="282" t="e">
        <f>IF(VLOOKUP(T_Convention[[#This Row],[NumL]],T_TraitDi[#Data],COLUMN(T_TraitDi[M1]),FALSE)="","",VLOOKUP(T_Convention[[#This Row],[NumL]],T_TraitDi[#Data],COLUMN(T_TraitDi[M1]),FALSE))</f>
        <v>#N/A</v>
      </c>
      <c r="Q251" s="282" t="e">
        <f>IF(VLOOKUP(T_Convention[[#This Row],[NumL]],T_TraitDi[#Data],COLUMN(T_TraitDi[M2]),FALSE)="","",VLOOKUP(T_Convention[[#This Row],[NumL]],T_TraitDi[#Data],COLUMN(T_TraitDi[M2]),FALSE))</f>
        <v>#N/A</v>
      </c>
      <c r="R251" s="282" t="e">
        <f>IF(VLOOKUP(T_Convention[[#This Row],[NumL]],T_TraitDi[#Data],COLUMN(T_TraitDi[M3]),FALSE)="","",VLOOKUP(T_Convention[[#This Row],[NumL]],T_TraitDi[#Data],COLUMN(T_TraitDi[M3]),FALSE))</f>
        <v>#N/A</v>
      </c>
      <c r="S251" s="282" t="e">
        <f>IF(VLOOKUP(T_Convention[[#This Row],[NumL]],T_TraitDi[#Data],COLUMN(T_TraitDi[M4]),FALSE)="","",VLOOKUP(T_Convention[[#This Row],[NumL]],T_TraitDi[#Data],COLUMN(T_TraitDi[M4]),FALSE))</f>
        <v>#N/A</v>
      </c>
      <c r="T251" s="282" t="e">
        <f>IF(VLOOKUP(T_Convention[[#This Row],[NumL]],T_TraitDi[#Data],COLUMN(T_TraitDi[M5]),FALSE)="","",VLOOKUP(T_Convention[[#This Row],[NumL]],T_TraitDi[#Data],COLUMN(T_TraitDi[M5]),FALSE))</f>
        <v>#N/A</v>
      </c>
      <c r="U251" s="282" t="e">
        <f>IF(VLOOKUP(T_Convention[[#This Row],[NumL]],T_TraitDi[#Data],COLUMN(T_TraitDi[M6]),FALSE)="","",VLOOKUP(T_Convention[[#This Row],[NumL]],T_TraitDi[#Data],COLUMN(T_TraitDi[M6]),FALSE))</f>
        <v>#N/A</v>
      </c>
      <c r="V251" s="176" t="e">
        <f t="shared" si="19"/>
        <v>#N/A</v>
      </c>
      <c r="W251" s="284" t="str">
        <f>IFERROR(TEXT(VLOOKUP(T_Convention[[#This Row],[NumL]],T_TraitDi[#Data],COLUMN(T_TraitDi[Q2]),FALSE),"###%"),"")</f>
        <v/>
      </c>
      <c r="X251" s="97" t="e">
        <f>VLOOKUP(T_Convention[[#This Row],[NumL]],T_TraitDi[#Data],COLUMN(T_TraitDi[Reg Ponct]),FALSE)</f>
        <v>#N/A</v>
      </c>
      <c r="Y251" s="97" t="e">
        <f>VLOOKUP(T_Convention[NumL],T_TraitDi[#Data],COLUMN(T_TraitDi[Jours flottants]),FALSE)</f>
        <v>#N/A</v>
      </c>
      <c r="Z251" s="284" t="str">
        <f>IFERROR(VLOOKUP(T_Convention[[#This Row],[NumL]],T_TraitDi[#Data],COLUMN(T_TraitDi[Lundi]),FALSE),"")</f>
        <v/>
      </c>
      <c r="AA251" s="284" t="e">
        <f>IF(VLOOKUP(T_Convention[[#This Row],[NumL]],T_TraitDi[#Data],COLUMN(T_TraitDi[Colonne3]),FALSE)=0,"",TEXT(IFERROR(VLOOKUP(T_Convention[[#This Row],[NumL]],T_TraitDi[#Data],COLUMN(T_TraitDi[Colonne3]),FALSE),""),"[hh]:mm"))</f>
        <v>#N/A</v>
      </c>
      <c r="AB251" s="284" t="e">
        <f>IF(VLOOKUP(T_Convention[[#This Row],[NumL]],T_TraitDi[#Data],COLUMN(T_TraitDi[Colonne4]),FALSE)=0,"",TEXT(IFERROR(VLOOKUP(T_Convention[[#This Row],[NumL]],T_TraitDi[#Data],COLUMN(T_TraitDi[Colonne4]),FALSE),""),"[hh]:mm"))</f>
        <v>#N/A</v>
      </c>
      <c r="AC251" s="284" t="e">
        <f>IF(VLOOKUP(T_Convention[[#This Row],[NumL]],T_TraitDi[#Data],COLUMN(T_TraitDi[Colonne5]),FALSE)=0,"",TEXT(IFERROR(VLOOKUP(T_Convention[[#This Row],[NumL]],T_TraitDi[#Data],COLUMN(T_TraitDi[Colonne5]),FALSE),""),"[hh]:mm"))</f>
        <v>#N/A</v>
      </c>
      <c r="AD251" s="284" t="e">
        <f>IF(VLOOKUP(T_Convention[[#This Row],[NumL]],T_TraitDi[#Data],COLUMN(T_TraitDi[Colonne6]),FALSE)=0,"",TEXT(IFERROR(VLOOKUP(T_Convention[[#This Row],[NumL]],T_TraitDi[#Data],COLUMN(T_TraitDi[Colonne6]),FALSE),""),"[hh]:mm"))</f>
        <v>#N/A</v>
      </c>
      <c r="AE251" s="284" t="e">
        <f>IF(VLOOKUP(T_Convention[[#This Row],[NumL]],T_TraitDi[#Data],COLUMN(T_TraitDi[Colonne7]),FALSE)=0,"",TEXT(IFERROR(VLOOKUP(T_Convention[[#This Row],[NumL]],T_TraitDi[#Data],COLUMN(T_TraitDi[Colonne7]),FALSE),""),"[hh]:mm"))</f>
        <v>#N/A</v>
      </c>
      <c r="AF251" s="284" t="e">
        <f>IF(VLOOKUP(T_Convention[[#This Row],[NumL]],T_TraitDi[#Data],COLUMN(T_TraitDi[Colonne8]),FALSE)=0,"",TEXT(IFERROR(VLOOKUP(T_Convention[[#This Row],[NumL]],T_TraitDi[#Data],COLUMN(T_TraitDi[Colonne8]),FALSE),""),"[hh]:mm"))</f>
        <v>#N/A</v>
      </c>
      <c r="AG251" s="284" t="str">
        <f>IFERROR(VLOOKUP(T_Convention[[#This Row],[NumL]],T_TraitDi[#Data],COLUMN(T_TraitDi[Mardi]),FALSE),"")</f>
        <v/>
      </c>
      <c r="AH251" s="284" t="e">
        <f>IF(VLOOKUP(T_Convention[[#This Row],[NumL]],T_TraitDi[#Data],COLUMN(T_TraitDi[Colonne1]),FALSE)=0,"",TEXT(IFERROR(VLOOKUP(T_Convention[[#This Row],[NumL]],T_TraitDi[#Data],COLUMN(T_TraitDi[Colonne1]),FALSE),""),"[hh]:mm"))</f>
        <v>#N/A</v>
      </c>
      <c r="AI251" s="284" t="e">
        <f>IF(VLOOKUP(T_Convention[[#This Row],[NumL]],T_TraitDi[#Data],COLUMN(T_TraitDi[Colonne9]),FALSE)=0,"",TEXT(IFERROR(VLOOKUP(T_Convention[[#This Row],[NumL]],T_TraitDi[#Data],COLUMN(T_TraitDi[Colonne9]),FALSE),""),"[hh]:mm"))</f>
        <v>#N/A</v>
      </c>
      <c r="AJ251" s="284" t="str">
        <f>IFERROR(VLOOKUP(T_Convention[[#This Row],[NumL]],T_TraitDi[#Data],COLUMN(T_TraitDi[Colonne10]),FALSE),"")</f>
        <v/>
      </c>
      <c r="AK251" s="284" t="e">
        <f>IF(VLOOKUP(T_Convention[[#This Row],[NumL]],T_TraitDi[#Data],COLUMN(T_TraitDi[Colonne11]),FALSE)=0,"",TEXT(IFERROR(VLOOKUP(T_Convention[[#This Row],[NumL]],T_TraitDi[#Data],COLUMN(T_TraitDi[Colonne11]),FALSE),""),"[hh]:mm"))</f>
        <v>#N/A</v>
      </c>
      <c r="AL251" s="284" t="e">
        <f>IF(VLOOKUP(T_Convention[[#This Row],[NumL]],T_TraitDi[#Data],COLUMN(T_TraitDi[Colonne12]),FALSE)=0,"",TEXT(IFERROR(VLOOKUP(T_Convention[[#This Row],[NumL]],T_TraitDi[#Data],COLUMN(T_TraitDi[Colonne12]),FALSE),""),"[hh]:mm"))</f>
        <v>#N/A</v>
      </c>
      <c r="AM251" s="284" t="e">
        <f>IF(VLOOKUP(T_Convention[[#This Row],[NumL]],T_TraitDi[#Data],COLUMN(T_TraitDi[Colonne14]),FALSE)=0,"",TEXT(IFERROR(VLOOKUP(T_Convention[[#This Row],[NumL]],T_TraitDi[#Data],COLUMN(T_TraitDi[Colonne14]),FALSE),""),"[hh]:mm"))</f>
        <v>#N/A</v>
      </c>
      <c r="AN251" s="284" t="str">
        <f>IFERROR(VLOOKUP(T_Convention[[#This Row],[NumL]],T_TraitDi[#Data],COLUMN(T_TraitDi[Mercredi]),FALSE),"")</f>
        <v/>
      </c>
      <c r="AO251" s="284" t="e">
        <f>IF(VLOOKUP(T_Convention[[#This Row],[NumL]],T_TraitDi[#Data],COLUMN(T_TraitDi[Colonne15]),FALSE)=0,"",TEXT(IFERROR(VLOOKUP(T_Convention[[#This Row],[NumL]],T_TraitDi[#Data],COLUMN(T_TraitDi[Colonne15]),FALSE),""),"[hh]:mm"))</f>
        <v>#N/A</v>
      </c>
      <c r="AP251" s="284" t="e">
        <f>IF(VLOOKUP(T_Convention[[#This Row],[NumL]],T_TraitDi[#Data],COLUMN(T_TraitDi[Colonne16]),FALSE)=0,"",TEXT(IFERROR(VLOOKUP(T_Convention[[#This Row],[NumL]],T_TraitDi[#Data],COLUMN(T_TraitDi[Colonne16]),FALSE),""),"[hh]:mm"))</f>
        <v>#N/A</v>
      </c>
      <c r="AQ251" s="284" t="str">
        <f>IFERROR(VLOOKUP(T_Convention[[#This Row],[NumL]],T_TraitDi[#Data],COLUMN(T_TraitDi[Colonne17]),FALSE),"")</f>
        <v/>
      </c>
      <c r="AR251" s="284" t="e">
        <f>IF(VLOOKUP(T_Convention[[#This Row],[NumL]],T_TraitDi[#Data],COLUMN(T_TraitDi[Colonne18]),FALSE)=0,"",TEXT(IFERROR(VLOOKUP(T_Convention[[#This Row],[NumL]],T_TraitDi[#Data],COLUMN(T_TraitDi[Colonne18]),FALSE),""),"[hh]:mm"))</f>
        <v>#N/A</v>
      </c>
      <c r="AS251" s="284" t="e">
        <f>IF(VLOOKUP(T_Convention[[#This Row],[NumL]],T_TraitDi[#Data],COLUMN(T_TraitDi[Colonne19]),FALSE)=0,"",TEXT(IFERROR(VLOOKUP(T_Convention[[#This Row],[NumL]],T_TraitDi[#Data],COLUMN(T_TraitDi[Colonne19]),FALSE),""),"[hh]:mm"))</f>
        <v>#N/A</v>
      </c>
      <c r="AT251" s="284" t="e">
        <f>IF(VLOOKUP(T_Convention[[#This Row],[NumL]],T_TraitDi[#Data],COLUMN(T_TraitDi[Colonne20]),FALSE)=0,"",TEXT(IFERROR(VLOOKUP(T_Convention[[#This Row],[NumL]],T_TraitDi[#Data],COLUMN(T_TraitDi[Colonne20]),FALSE),""),"[hh]:mm"))</f>
        <v>#N/A</v>
      </c>
      <c r="AU251" s="284" t="str">
        <f>IFERROR(VLOOKUP(T_Convention[[#This Row],[NumL]],T_TraitDi[#Data],COLUMN(T_TraitDi[Jeudi]),FALSE),"")</f>
        <v/>
      </c>
      <c r="AV251" s="284" t="e">
        <f>IF(VLOOKUP(T_Convention[[#This Row],[NumL]],T_TraitDi[#Data],COLUMN(T_TraitDi[Colonne21]),FALSE)=0,"",TEXT(IFERROR(VLOOKUP(T_Convention[[#This Row],[NumL]],T_TraitDi[#Data],COLUMN(T_TraitDi[Colonne21]),FALSE),""),"[hh]:mm"))</f>
        <v>#N/A</v>
      </c>
      <c r="AW251" s="284" t="e">
        <f>IF(VLOOKUP(T_Convention[[#This Row],[NumL]],T_TraitDi[#Data],COLUMN(T_TraitDi[Colonne22]),FALSE)=0,"",TEXT(IFERROR(VLOOKUP(T_Convention[[#This Row],[NumL]],T_TraitDi[#Data],COLUMN(T_TraitDi[Colonne22]),FALSE),""),"[hh]:mm"))</f>
        <v>#N/A</v>
      </c>
      <c r="AX251" s="284" t="str">
        <f>IFERROR(VLOOKUP(T_Convention[[#This Row],[NumL]],T_TraitDi[#Data],COLUMN(T_TraitDi[Colonne23]),FALSE),"")</f>
        <v/>
      </c>
      <c r="AY251" s="284" t="e">
        <f>IF(VLOOKUP(T_Convention[[#This Row],[NumL]],T_TraitDi[#Data],COLUMN(T_TraitDi[Colonne24]),FALSE)=0,"",TEXT(IFERROR(VLOOKUP(T_Convention[[#This Row],[NumL]],T_TraitDi[#Data],COLUMN(T_TraitDi[Colonne24]),FALSE),""),"[hh]:mm"))</f>
        <v>#N/A</v>
      </c>
      <c r="AZ251" s="284" t="e">
        <f>IF(VLOOKUP(T_Convention[[#This Row],[NumL]],T_TraitDi[#Data],COLUMN(T_TraitDi[Colonne25]),FALSE)=0,"",TEXT(IFERROR(VLOOKUP(T_Convention[[#This Row],[NumL]],T_TraitDi[#Data],COLUMN(T_TraitDi[Colonne25]),FALSE),""),"[hh]:mm"))</f>
        <v>#N/A</v>
      </c>
      <c r="BA251" s="284" t="e">
        <f>IF(VLOOKUP(T_Convention[[#This Row],[NumL]],T_TraitDi[#Data],COLUMN(T_TraitDi[Colonne26]),FALSE)=0,"",TEXT(IFERROR(VLOOKUP(T_Convention[[#This Row],[NumL]],T_TraitDi[#Data],COLUMN(T_TraitDi[Colonne26]),FALSE),""),"[hh]:mm"))</f>
        <v>#N/A</v>
      </c>
      <c r="BB251" s="284" t="str">
        <f>IFERROR(VLOOKUP(T_Convention[[#This Row],[NumL]],T_TraitDi[#Data],COLUMN(T_TraitDi[Vendredi]),FALSE),"")</f>
        <v/>
      </c>
      <c r="BC251" s="284" t="e">
        <f>IF(VLOOKUP(T_Convention[[#This Row],[NumL]],T_TraitDi[#Data],COLUMN(T_TraitDi[Colonne27]),FALSE)=0,"",TEXT(IFERROR(VLOOKUP(T_Convention[[#This Row],[NumL]],T_TraitDi[#Data],COLUMN(T_TraitDi[Colonne27]),FALSE),""),"[hh]:mm"))</f>
        <v>#N/A</v>
      </c>
      <c r="BD251" s="284" t="e">
        <f>IF(VLOOKUP(T_Convention[[#This Row],[NumL]],T_TraitDi[#Data],COLUMN(T_TraitDi[Colonne28]),FALSE)=0,"",TEXT(IFERROR(VLOOKUP(T_Convention[[#This Row],[NumL]],T_TraitDi[#Data],COLUMN(T_TraitDi[Colonne28]),FALSE),""),"[hh]:mm"))</f>
        <v>#N/A</v>
      </c>
      <c r="BE251" s="284" t="str">
        <f>IFERROR(VLOOKUP(T_Convention[[#This Row],[NumL]],T_TraitDi[#Data],COLUMN(T_TraitDi[Colonne29]),FALSE),"")</f>
        <v/>
      </c>
      <c r="BF251" s="284" t="e">
        <f>IF(VLOOKUP(T_Convention[[#This Row],[NumL]],T_TraitDi[#Data],COLUMN(T_TraitDi[Colonne30]),FALSE)=0,"",TEXT(IFERROR(VLOOKUP(T_Convention[[#This Row],[NumL]],T_TraitDi[#Data],COLUMN(T_TraitDi[Colonne30]),FALSE),""),"[hh]:mm"))</f>
        <v>#N/A</v>
      </c>
      <c r="BG251" s="284" t="e">
        <f>IF(VLOOKUP(T_Convention[[#This Row],[NumL]],T_TraitDi[#Data],COLUMN(T_TraitDi[Colonne31]),FALSE)=0,"",TEXT(IFERROR(VLOOKUP(T_Convention[[#This Row],[NumL]],T_TraitDi[#Data],COLUMN(T_TraitDi[Colonne31]),FALSE),""),"[hh]:mm"))</f>
        <v>#N/A</v>
      </c>
      <c r="BH251" s="284" t="e">
        <f>IF(VLOOKUP(T_Convention[[#This Row],[NumL]],T_TraitDi[#Data],COLUMN(T_TraitDi[Colonne32]),FALSE)=0,"",TEXT(IFERROR(VLOOKUP(T_Convention[[#This Row],[NumL]],T_TraitDi[#Data],COLUMN(T_TraitDi[Colonne32]),FALSE),""),"[hh]:mm"))</f>
        <v>#N/A</v>
      </c>
      <c r="BI251" s="284" t="str">
        <f>IFERROR(VLOOKUP(T_Convention[[#This Row],[NumL]],T_TraitDi[#Data],COLUMN(T_TraitDi[NbJTW]),FALSE),"")</f>
        <v/>
      </c>
      <c r="BJ251" s="284" t="e">
        <f>IF(VLOOKUP(T_Convention[[#This Row],[NumL]],T_TraitDi[#Data],COLUMN(T_TraitDi[NbhTW]),FALSE)=0,"",TEXT(IFERROR(VLOOKUP(T_Convention[[#This Row],[NumL]],T_TraitDi[#Data],COLUMN(T_TraitDi[NbhTW]),FALSE),""),"[hh]:mm"))</f>
        <v>#N/A</v>
      </c>
      <c r="BK251" s="286" t="e">
        <f>IF(VLOOKUP(T_Convention[[#This Row],[NumL]],T_TraitDi[#Data],COLUMN(T_TraitDi[Nbhheb]),FALSE)=0,"",TEXT(IFERROR(VLOOKUP(T_Convention[[#This Row],[NumL]],T_TraitDi[#Data],COLUMN(T_TraitDi[Nbhheb]),FALSE),""),"[hh]:mm"))</f>
        <v>#N/A</v>
      </c>
      <c r="BL251" s="287" t="str">
        <f>IFERROR(VLOOKUP(VLOOKUP(T_Convention[[#This Row],[NumL]],T_TraitDi[#Data],COLUMN(T_TraitDi[Type1]),FALSE),TypeTW,2,FALSE),"")</f>
        <v/>
      </c>
      <c r="BM251" s="288" t="str">
        <f>IFERROR(VLOOKUP(T_Convention[[#This Row],[NumL]],T_TraitDi[#Data],COLUMN(T_TraitDi[Rue1]),FALSE),"")</f>
        <v/>
      </c>
      <c r="BN251" s="289" t="str">
        <f>IFERROR(VLOOKUP(T_Convention[[#This Row],[NumL]],T_TraitDi[#Data],COLUMN(T_TraitDi[CP1]),FALSE),"")</f>
        <v/>
      </c>
      <c r="BO251" s="282" t="str">
        <f>IFERROR(VLOOKUP(T_Convention[[#This Row],[NumL]],T_TraitDi[#Data],COLUMN(T_TraitDi[VILLE1]),FALSE),"")</f>
        <v/>
      </c>
      <c r="BP251" s="290" t="str">
        <f>IFERROR(VLOOKUP(VLOOKUP(T_Convention[[#This Row],[NumL]],T_TraitDi[#Data],COLUMN(T_TraitDi[Type2]),FALSE),TypeTW,2,FALSE),"")</f>
        <v/>
      </c>
      <c r="BQ251" s="182" t="str">
        <f>IFERROR(VLOOKUP(T_Convention[[#This Row],[NumL]],T_TraitDi[#Data],COLUMN(T_TraitDi[Rue2]),FALSE),"")</f>
        <v/>
      </c>
      <c r="BR251" s="173" t="str">
        <f>IFERROR(VLOOKUP(T_Convention[[#This Row],[NumL]],T_TraitDi[#Data],COLUMN(T_TraitDi[CP2]),FALSE),"")</f>
        <v/>
      </c>
      <c r="BS251" s="173" t="str">
        <f>IFERROR(VLOOKUP(T_Convention[[#This Row],[NumL]],T_TraitDi[#Data],COLUMN(T_TraitDi[VILLE2]),FALSE),"")</f>
        <v/>
      </c>
      <c r="BT251" s="182" t="str">
        <f>IF(VLOOKUP(T_Convention[[#This Row],[NumL]],T_Equipement[#Data],COLUMN(T_Equipement[PC]),FALSE)="","Aucun équipement spécifique directement lié au télétravail",VLOOKUP(T_Convention[[#This Row],[NumL]],T_Equipement[#Data],COLUMN(T_Equipement[PC]),FALSE))</f>
        <v>20-293</v>
      </c>
      <c r="BU251" s="166" t="str">
        <f>IFERROR(IF(VLOOKUP(T_Convention[[#This Row],[NumL]],T_TraitDi[#Data],COLUMN(T_TraitDi[Plan]),FALSE)="OK","Un planning spécifique de télétravail est annexé à la présente convention.",""),"")</f>
        <v/>
      </c>
      <c r="BV251" s="185" t="s">
        <v>3479</v>
      </c>
      <c r="BW251" s="164" t="e">
        <f>IF(VLOOKUP(T_Convention[[#This Row],[NumL]],T_suiviDi[#Data],COLUMN(T_suiviDi[Entité]),FALSE)="","",VLOOKUP(T_Convention[[#This Row],[NumL]],T_suiviDi[#Data],COLUMN(T_suiviDi[Entité]),FALSE))</f>
        <v>#N/A</v>
      </c>
      <c r="BX251" s="164" t="str">
        <f>IF(VLOOKUP(T_Convention[[#This Row],[NumL]],T_Commission[#Data],COLUMN(T_Commission[envoi confirm TW]),FALSE)="","",VLOOKUP(T_Convention[[#This Row],[NumL]],T_Commission[#Data],COLUMN(T_Commission[envoi confirm TW]),FALSE))</f>
        <v>Oui</v>
      </c>
      <c r="BY25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1" s="264">
        <f>VLOOKUP(T_Convention[[#This Row],[NumL]],T_Commission[#Data],COLUMN(T_Commission[Commentaire]),FALSE)</f>
        <v>0</v>
      </c>
      <c r="CA251" s="254" t="str">
        <f>IF(VLOOKUP(T_Convention[[#This Row],[NumL]],T_Commission[#Data],COLUMN(T_Commission[Encadrant Email]),FALSE)="","",VLOOKUP(T_Convention[[#This Row],[NumL]],T_Commission[#Data],COLUMN(T_Commission[Encadrant Email]),FALSE))</f>
        <v/>
      </c>
      <c r="CB251" s="353" t="e">
        <f>VLOOKUP(T_Convention[[#This Row],[NumL]],T_TraitDi[#Data],COLUMN(T_TraitDi[NbJTot]),FALSE)</f>
        <v>#N/A</v>
      </c>
      <c r="CC251" s="353" t="e">
        <f>VLOOKUP(T_Convention[[#This Row],[NumL]],T_TraitDi[#Data],COLUMN(T_TraitDi[Reg Ponct]),FALSE)</f>
        <v>#N/A</v>
      </c>
      <c r="CD251" s="348" t="str">
        <f>IF(T_Convention[[#This Row],[Final]]&lt;&gt;"",VLOOKUP(T_Convention[[#This Row],[NumL]],T_suiviDi[#Data],COLUMN((T_suiviDi[Statut])),FALSE),"")</f>
        <v/>
      </c>
    </row>
    <row r="252" spans="1:82" s="106" customFormat="1" ht="18.75" customHeight="1" x14ac:dyDescent="0.25">
      <c r="A252" s="160">
        <v>203</v>
      </c>
      <c r="B252" s="161" t="str">
        <f>VLOOKUP(T_Convention[[#This Row],[NumL]],T_Commission[#Data],COLUMN(T_Commission[FINAL]),FALSE)</f>
        <v/>
      </c>
      <c r="C252" s="162"/>
      <c r="D252" s="95" t="e">
        <f>IF(VLOOKUP(T_Convention[[#This Row],[NumL]],T_TraitDi[#Data],COLUMN(T_TraitDi[WebC]),FALSE)="","",VLOOKUP(T_Convention[[#This Row],[NumL]],T_TraitDi[#Data],COLUMN(T_TraitDi[WebC]),FALSE))</f>
        <v>#N/A</v>
      </c>
      <c r="E252" s="163" t="str">
        <f t="shared" si="15"/>
        <v>12 janvier 2021</v>
      </c>
      <c r="F252" s="282" t="str">
        <f>IF(T_Convention[[#This Row],[Final]]&lt;&gt;"",VLOOKUP(T_Convention[[#This Row],[NumL]],T_suiviDi[#Data],COLUMN((T_suiviDi[Civ.])),FALSE),"")</f>
        <v/>
      </c>
      <c r="G252" s="283" t="str">
        <f>IF(T_Convention[[#This Row],[Final]]&lt;&gt;"",VLOOKUP(T_Convention[[#This Row],[NumL]],T_suiviDi[#Data],COLUMN((T_suiviDi[Nom])),FALSE),"")</f>
        <v/>
      </c>
      <c r="H252" s="282" t="str">
        <f>IF(T_Convention[[#This Row],[Final]]&lt;&gt;"",VLOOKUP(T_Convention[[#This Row],[NumL]],T_suiviDi[#Data],COLUMN((T_suiviDi[Prénom])),FALSE),"")</f>
        <v/>
      </c>
      <c r="I252" s="282" t="e">
        <f>VLOOKUP(T_Convention[[#This Row],[NumL]],T_suiviDi[#Data],COLUMN((T_suiviDi[[#This Row],[Email]])),FALSE)</f>
        <v>#VALUE!</v>
      </c>
      <c r="J252" s="282" t="e">
        <f>IF(VLOOKUP(T_Convention[[#This Row],[NumL]],T_suiviDi[#Data],COLUMN(T_suiviDi[[#This Row],[Fonction]]),FALSE)="","",VLOOKUP(T_Convention[[#This Row],[NumL]],T_suiviDi[#Data],COLUMN(T_suiviDi[[#This Row],[Fonction]]),FALSE))</f>
        <v>#VALUE!</v>
      </c>
      <c r="K252" s="282" t="e">
        <f>IF(VLOOKUP(T_Convention[[#This Row],[NumL]],T_suiviDi[#Data],COLUMN(T_suiviDi[[#This Row],[Grade]]),FALSE)="","",VLOOKUP(T_Convention[[#This Row],[NumL]],T_suiviDi[#Data],COLUMN(T_suiviDi[[#This Row],[Grade]]),FALSE))</f>
        <v>#VALUE!</v>
      </c>
      <c r="L252" s="282" t="e">
        <f>IF(VLOOKUP(T_Convention[[#This Row],[NumL]],T_suiviDi[#Data],COLUMN(T_suiviDi[[#This Row],[Service ]]),FALSE)="","",VLOOKUP(T_Convention[[#This Row],[NumL]],T_suiviDi[#Data],COLUMN(T_suiviDi[[#This Row],[Service ]]),FALSE))</f>
        <v>#VALUE!</v>
      </c>
      <c r="M252" s="164" t="str">
        <f t="shared" si="16"/>
        <v>01 septembre 2021</v>
      </c>
      <c r="N252" s="164" t="str">
        <f t="shared" si="17"/>
        <v>30 novembre 2021</v>
      </c>
      <c r="O252" s="284" t="str">
        <f t="shared" si="18"/>
        <v>30 novembre 2021</v>
      </c>
      <c r="P252" s="282" t="e">
        <f>IF(VLOOKUP(T_Convention[[#This Row],[NumL]],T_TraitDi[#Data],COLUMN(T_TraitDi[M1]),FALSE)="","",VLOOKUP(T_Convention[[#This Row],[NumL]],T_TraitDi[#Data],COLUMN(T_TraitDi[M1]),FALSE))</f>
        <v>#N/A</v>
      </c>
      <c r="Q252" s="282" t="e">
        <f>IF(VLOOKUP(T_Convention[[#This Row],[NumL]],T_TraitDi[#Data],COLUMN(T_TraitDi[M2]),FALSE)="","",VLOOKUP(T_Convention[[#This Row],[NumL]],T_TraitDi[#Data],COLUMN(T_TraitDi[M2]),FALSE))</f>
        <v>#N/A</v>
      </c>
      <c r="R252" s="282" t="e">
        <f>IF(VLOOKUP(T_Convention[[#This Row],[NumL]],T_TraitDi[#Data],COLUMN(T_TraitDi[M3]),FALSE)="","",VLOOKUP(T_Convention[[#This Row],[NumL]],T_TraitDi[#Data],COLUMN(T_TraitDi[M3]),FALSE))</f>
        <v>#N/A</v>
      </c>
      <c r="S252" s="282" t="e">
        <f>IF(VLOOKUP(T_Convention[[#This Row],[NumL]],T_TraitDi[#Data],COLUMN(T_TraitDi[M4]),FALSE)="","",VLOOKUP(T_Convention[[#This Row],[NumL]],T_TraitDi[#Data],COLUMN(T_TraitDi[M4]),FALSE))</f>
        <v>#N/A</v>
      </c>
      <c r="T252" s="282" t="e">
        <f>IF(VLOOKUP(T_Convention[[#This Row],[NumL]],T_TraitDi[#Data],COLUMN(T_TraitDi[M5]),FALSE)="","",VLOOKUP(T_Convention[[#This Row],[NumL]],T_TraitDi[#Data],COLUMN(T_TraitDi[M5]),FALSE))</f>
        <v>#N/A</v>
      </c>
      <c r="U252" s="282" t="e">
        <f>IF(VLOOKUP(T_Convention[[#This Row],[NumL]],T_TraitDi[#Data],COLUMN(T_TraitDi[M6]),FALSE)="","",VLOOKUP(T_Convention[[#This Row],[NumL]],T_TraitDi[#Data],COLUMN(T_TraitDi[M6]),FALSE))</f>
        <v>#N/A</v>
      </c>
      <c r="V252" s="176" t="e">
        <f t="shared" si="19"/>
        <v>#N/A</v>
      </c>
      <c r="W252" s="284" t="str">
        <f>IFERROR(TEXT(VLOOKUP(T_Convention[[#This Row],[NumL]],T_TraitDi[#Data],COLUMN(T_TraitDi[Q2]),FALSE),"###%"),"")</f>
        <v/>
      </c>
      <c r="X252" s="97" t="e">
        <f>VLOOKUP(T_Convention[[#This Row],[NumL]],T_TraitDi[#Data],COLUMN(T_TraitDi[Reg Ponct]),FALSE)</f>
        <v>#N/A</v>
      </c>
      <c r="Y252" s="97" t="e">
        <f>VLOOKUP(T_Convention[NumL],T_TraitDi[#Data],COLUMN(T_TraitDi[Jours flottants]),FALSE)</f>
        <v>#N/A</v>
      </c>
      <c r="Z252" s="284" t="str">
        <f>IFERROR(VLOOKUP(T_Convention[[#This Row],[NumL]],T_TraitDi[#Data],COLUMN(T_TraitDi[Lundi]),FALSE),"")</f>
        <v/>
      </c>
      <c r="AA252" s="284" t="e">
        <f>IF(VLOOKUP(T_Convention[[#This Row],[NumL]],T_TraitDi[#Data],COLUMN(T_TraitDi[Colonne3]),FALSE)=0,"",TEXT(IFERROR(VLOOKUP(T_Convention[[#This Row],[NumL]],T_TraitDi[#Data],COLUMN(T_TraitDi[Colonne3]),FALSE),""),"[hh]:mm"))</f>
        <v>#N/A</v>
      </c>
      <c r="AB252" s="284" t="e">
        <f>IF(VLOOKUP(T_Convention[[#This Row],[NumL]],T_TraitDi[#Data],COLUMN(T_TraitDi[Colonne4]),FALSE)=0,"",TEXT(IFERROR(VLOOKUP(T_Convention[[#This Row],[NumL]],T_TraitDi[#Data],COLUMN(T_TraitDi[Colonne4]),FALSE),""),"[hh]:mm"))</f>
        <v>#N/A</v>
      </c>
      <c r="AC252" s="284" t="e">
        <f>IF(VLOOKUP(T_Convention[[#This Row],[NumL]],T_TraitDi[#Data],COLUMN(T_TraitDi[Colonne5]),FALSE)=0,"",TEXT(IFERROR(VLOOKUP(T_Convention[[#This Row],[NumL]],T_TraitDi[#Data],COLUMN(T_TraitDi[Colonne5]),FALSE),""),"[hh]:mm"))</f>
        <v>#N/A</v>
      </c>
      <c r="AD252" s="284" t="e">
        <f>IF(VLOOKUP(T_Convention[[#This Row],[NumL]],T_TraitDi[#Data],COLUMN(T_TraitDi[Colonne6]),FALSE)=0,"",TEXT(IFERROR(VLOOKUP(T_Convention[[#This Row],[NumL]],T_TraitDi[#Data],COLUMN(T_TraitDi[Colonne6]),FALSE),""),"[hh]:mm"))</f>
        <v>#N/A</v>
      </c>
      <c r="AE252" s="284" t="e">
        <f>IF(VLOOKUP(T_Convention[[#This Row],[NumL]],T_TraitDi[#Data],COLUMN(T_TraitDi[Colonne7]),FALSE)=0,"",TEXT(IFERROR(VLOOKUP(T_Convention[[#This Row],[NumL]],T_TraitDi[#Data],COLUMN(T_TraitDi[Colonne7]),FALSE),""),"[hh]:mm"))</f>
        <v>#N/A</v>
      </c>
      <c r="AF252" s="284" t="e">
        <f>IF(VLOOKUP(T_Convention[[#This Row],[NumL]],T_TraitDi[#Data],COLUMN(T_TraitDi[Colonne8]),FALSE)=0,"",TEXT(IFERROR(VLOOKUP(T_Convention[[#This Row],[NumL]],T_TraitDi[#Data],COLUMN(T_TraitDi[Colonne8]),FALSE),""),"[hh]:mm"))</f>
        <v>#N/A</v>
      </c>
      <c r="AG252" s="284" t="str">
        <f>IFERROR(VLOOKUP(T_Convention[[#This Row],[NumL]],T_TraitDi[#Data],COLUMN(T_TraitDi[Mardi]),FALSE),"")</f>
        <v/>
      </c>
      <c r="AH252" s="284" t="e">
        <f>IF(VLOOKUP(T_Convention[[#This Row],[NumL]],T_TraitDi[#Data],COLUMN(T_TraitDi[Colonne1]),FALSE)=0,"",TEXT(IFERROR(VLOOKUP(T_Convention[[#This Row],[NumL]],T_TraitDi[#Data],COLUMN(T_TraitDi[Colonne1]),FALSE),""),"[hh]:mm"))</f>
        <v>#N/A</v>
      </c>
      <c r="AI252" s="284" t="e">
        <f>IF(VLOOKUP(T_Convention[[#This Row],[NumL]],T_TraitDi[#Data],COLUMN(T_TraitDi[Colonne9]),FALSE)=0,"",TEXT(IFERROR(VLOOKUP(T_Convention[[#This Row],[NumL]],T_TraitDi[#Data],COLUMN(T_TraitDi[Colonne9]),FALSE),""),"[hh]:mm"))</f>
        <v>#N/A</v>
      </c>
      <c r="AJ252" s="284" t="str">
        <f>IFERROR(VLOOKUP(T_Convention[[#This Row],[NumL]],T_TraitDi[#Data],COLUMN(T_TraitDi[Colonne10]),FALSE),"")</f>
        <v/>
      </c>
      <c r="AK252" s="284" t="e">
        <f>IF(VLOOKUP(T_Convention[[#This Row],[NumL]],T_TraitDi[#Data],COLUMN(T_TraitDi[Colonne11]),FALSE)=0,"",TEXT(IFERROR(VLOOKUP(T_Convention[[#This Row],[NumL]],T_TraitDi[#Data],COLUMN(T_TraitDi[Colonne11]),FALSE),""),"[hh]:mm"))</f>
        <v>#N/A</v>
      </c>
      <c r="AL252" s="284" t="e">
        <f>IF(VLOOKUP(T_Convention[[#This Row],[NumL]],T_TraitDi[#Data],COLUMN(T_TraitDi[Colonne12]),FALSE)=0,"",TEXT(IFERROR(VLOOKUP(T_Convention[[#This Row],[NumL]],T_TraitDi[#Data],COLUMN(T_TraitDi[Colonne12]),FALSE),""),"[hh]:mm"))</f>
        <v>#N/A</v>
      </c>
      <c r="AM252" s="284" t="e">
        <f>IF(VLOOKUP(T_Convention[[#This Row],[NumL]],T_TraitDi[#Data],COLUMN(T_TraitDi[Colonne14]),FALSE)=0,"",TEXT(IFERROR(VLOOKUP(T_Convention[[#This Row],[NumL]],T_TraitDi[#Data],COLUMN(T_TraitDi[Colonne14]),FALSE),""),"[hh]:mm"))</f>
        <v>#N/A</v>
      </c>
      <c r="AN252" s="284" t="str">
        <f>IFERROR(VLOOKUP(T_Convention[[#This Row],[NumL]],T_TraitDi[#Data],COLUMN(T_TraitDi[Mercredi]),FALSE),"")</f>
        <v/>
      </c>
      <c r="AO252" s="284" t="e">
        <f>IF(VLOOKUP(T_Convention[[#This Row],[NumL]],T_TraitDi[#Data],COLUMN(T_TraitDi[Colonne15]),FALSE)=0,"",TEXT(IFERROR(VLOOKUP(T_Convention[[#This Row],[NumL]],T_TraitDi[#Data],COLUMN(T_TraitDi[Colonne15]),FALSE),""),"[hh]:mm"))</f>
        <v>#N/A</v>
      </c>
      <c r="AP252" s="284" t="e">
        <f>IF(VLOOKUP(T_Convention[[#This Row],[NumL]],T_TraitDi[#Data],COLUMN(T_TraitDi[Colonne16]),FALSE)=0,"",TEXT(IFERROR(VLOOKUP(T_Convention[[#This Row],[NumL]],T_TraitDi[#Data],COLUMN(T_TraitDi[Colonne16]),FALSE),""),"[hh]:mm"))</f>
        <v>#N/A</v>
      </c>
      <c r="AQ252" s="284" t="str">
        <f>IFERROR(VLOOKUP(T_Convention[[#This Row],[NumL]],T_TraitDi[#Data],COLUMN(T_TraitDi[Colonne17]),FALSE),"")</f>
        <v/>
      </c>
      <c r="AR252" s="284" t="e">
        <f>IF(VLOOKUP(T_Convention[[#This Row],[NumL]],T_TraitDi[#Data],COLUMN(T_TraitDi[Colonne18]),FALSE)=0,"",TEXT(IFERROR(VLOOKUP(T_Convention[[#This Row],[NumL]],T_TraitDi[#Data],COLUMN(T_TraitDi[Colonne18]),FALSE),""),"[hh]:mm"))</f>
        <v>#N/A</v>
      </c>
      <c r="AS252" s="284" t="e">
        <f>IF(VLOOKUP(T_Convention[[#This Row],[NumL]],T_TraitDi[#Data],COLUMN(T_TraitDi[Colonne19]),FALSE)=0,"",TEXT(IFERROR(VLOOKUP(T_Convention[[#This Row],[NumL]],T_TraitDi[#Data],COLUMN(T_TraitDi[Colonne19]),FALSE),""),"[hh]:mm"))</f>
        <v>#N/A</v>
      </c>
      <c r="AT252" s="284" t="e">
        <f>IF(VLOOKUP(T_Convention[[#This Row],[NumL]],T_TraitDi[#Data],COLUMN(T_TraitDi[Colonne20]),FALSE)=0,"",TEXT(IFERROR(VLOOKUP(T_Convention[[#This Row],[NumL]],T_TraitDi[#Data],COLUMN(T_TraitDi[Colonne20]),FALSE),""),"[hh]:mm"))</f>
        <v>#N/A</v>
      </c>
      <c r="AU252" s="284" t="str">
        <f>IFERROR(VLOOKUP(T_Convention[[#This Row],[NumL]],T_TraitDi[#Data],COLUMN(T_TraitDi[Jeudi]),FALSE),"")</f>
        <v/>
      </c>
      <c r="AV252" s="284" t="e">
        <f>IF(VLOOKUP(T_Convention[[#This Row],[NumL]],T_TraitDi[#Data],COLUMN(T_TraitDi[Colonne21]),FALSE)=0,"",TEXT(IFERROR(VLOOKUP(T_Convention[[#This Row],[NumL]],T_TraitDi[#Data],COLUMN(T_TraitDi[Colonne21]),FALSE),""),"[hh]:mm"))</f>
        <v>#N/A</v>
      </c>
      <c r="AW252" s="284" t="e">
        <f>IF(VLOOKUP(T_Convention[[#This Row],[NumL]],T_TraitDi[#Data],COLUMN(T_TraitDi[Colonne22]),FALSE)=0,"",TEXT(IFERROR(VLOOKUP(T_Convention[[#This Row],[NumL]],T_TraitDi[#Data],COLUMN(T_TraitDi[Colonne22]),FALSE),""),"[hh]:mm"))</f>
        <v>#N/A</v>
      </c>
      <c r="AX252" s="284" t="str">
        <f>IFERROR(VLOOKUP(T_Convention[[#This Row],[NumL]],T_TraitDi[#Data],COLUMN(T_TraitDi[Colonne23]),FALSE),"")</f>
        <v/>
      </c>
      <c r="AY252" s="284" t="e">
        <f>IF(VLOOKUP(T_Convention[[#This Row],[NumL]],T_TraitDi[#Data],COLUMN(T_TraitDi[Colonne24]),FALSE)=0,"",TEXT(IFERROR(VLOOKUP(T_Convention[[#This Row],[NumL]],T_TraitDi[#Data],COLUMN(T_TraitDi[Colonne24]),FALSE),""),"[hh]:mm"))</f>
        <v>#N/A</v>
      </c>
      <c r="AZ252" s="284" t="e">
        <f>IF(VLOOKUP(T_Convention[[#This Row],[NumL]],T_TraitDi[#Data],COLUMN(T_TraitDi[Colonne25]),FALSE)=0,"",TEXT(IFERROR(VLOOKUP(T_Convention[[#This Row],[NumL]],T_TraitDi[#Data],COLUMN(T_TraitDi[Colonne25]),FALSE),""),"[hh]:mm"))</f>
        <v>#N/A</v>
      </c>
      <c r="BA252" s="284" t="e">
        <f>IF(VLOOKUP(T_Convention[[#This Row],[NumL]],T_TraitDi[#Data],COLUMN(T_TraitDi[Colonne26]),FALSE)=0,"",TEXT(IFERROR(VLOOKUP(T_Convention[[#This Row],[NumL]],T_TraitDi[#Data],COLUMN(T_TraitDi[Colonne26]),FALSE),""),"[hh]:mm"))</f>
        <v>#N/A</v>
      </c>
      <c r="BB252" s="284" t="str">
        <f>IFERROR(VLOOKUP(T_Convention[[#This Row],[NumL]],T_TraitDi[#Data],COLUMN(T_TraitDi[Vendredi]),FALSE),"")</f>
        <v/>
      </c>
      <c r="BC252" s="284" t="e">
        <f>IF(VLOOKUP(T_Convention[[#This Row],[NumL]],T_TraitDi[#Data],COLUMN(T_TraitDi[Colonne27]),FALSE)=0,"",TEXT(IFERROR(VLOOKUP(T_Convention[[#This Row],[NumL]],T_TraitDi[#Data],COLUMN(T_TraitDi[Colonne27]),FALSE),""),"[hh]:mm"))</f>
        <v>#N/A</v>
      </c>
      <c r="BD252" s="284" t="e">
        <f>IF(VLOOKUP(T_Convention[[#This Row],[NumL]],T_TraitDi[#Data],COLUMN(T_TraitDi[Colonne28]),FALSE)=0,"",TEXT(IFERROR(VLOOKUP(T_Convention[[#This Row],[NumL]],T_TraitDi[#Data],COLUMN(T_TraitDi[Colonne28]),FALSE),""),"[hh]:mm"))</f>
        <v>#N/A</v>
      </c>
      <c r="BE252" s="284" t="str">
        <f>IFERROR(VLOOKUP(T_Convention[[#This Row],[NumL]],T_TraitDi[#Data],COLUMN(T_TraitDi[Colonne29]),FALSE),"")</f>
        <v/>
      </c>
      <c r="BF252" s="284" t="e">
        <f>IF(VLOOKUP(T_Convention[[#This Row],[NumL]],T_TraitDi[#Data],COLUMN(T_TraitDi[Colonne30]),FALSE)=0,"",TEXT(IFERROR(VLOOKUP(T_Convention[[#This Row],[NumL]],T_TraitDi[#Data],COLUMN(T_TraitDi[Colonne30]),FALSE),""),"[hh]:mm"))</f>
        <v>#N/A</v>
      </c>
      <c r="BG252" s="284" t="e">
        <f>IF(VLOOKUP(T_Convention[[#This Row],[NumL]],T_TraitDi[#Data],COLUMN(T_TraitDi[Colonne31]),FALSE)=0,"",TEXT(IFERROR(VLOOKUP(T_Convention[[#This Row],[NumL]],T_TraitDi[#Data],COLUMN(T_TraitDi[Colonne31]),FALSE),""),"[hh]:mm"))</f>
        <v>#N/A</v>
      </c>
      <c r="BH252" s="284" t="e">
        <f>IF(VLOOKUP(T_Convention[[#This Row],[NumL]],T_TraitDi[#Data],COLUMN(T_TraitDi[Colonne32]),FALSE)=0,"",TEXT(IFERROR(VLOOKUP(T_Convention[[#This Row],[NumL]],T_TraitDi[#Data],COLUMN(T_TraitDi[Colonne32]),FALSE),""),"[hh]:mm"))</f>
        <v>#N/A</v>
      </c>
      <c r="BI252" s="284" t="str">
        <f>IFERROR(VLOOKUP(T_Convention[[#This Row],[NumL]],T_TraitDi[#Data],COLUMN(T_TraitDi[NbJTW]),FALSE),"")</f>
        <v/>
      </c>
      <c r="BJ252" s="284" t="e">
        <f>IF(VLOOKUP(T_Convention[[#This Row],[NumL]],T_TraitDi[#Data],COLUMN(T_TraitDi[NbhTW]),FALSE)=0,"",TEXT(IFERROR(VLOOKUP(T_Convention[[#This Row],[NumL]],T_TraitDi[#Data],COLUMN(T_TraitDi[NbhTW]),FALSE),""),"[hh]:mm"))</f>
        <v>#N/A</v>
      </c>
      <c r="BK252" s="286" t="e">
        <f>IF(VLOOKUP(T_Convention[[#This Row],[NumL]],T_TraitDi[#Data],COLUMN(T_TraitDi[Nbhheb]),FALSE)=0,"",TEXT(IFERROR(VLOOKUP(T_Convention[[#This Row],[NumL]],T_TraitDi[#Data],COLUMN(T_TraitDi[Nbhheb]),FALSE),""),"[hh]:mm"))</f>
        <v>#N/A</v>
      </c>
      <c r="BL252" s="287" t="str">
        <f>IFERROR(VLOOKUP(VLOOKUP(T_Convention[[#This Row],[NumL]],T_TraitDi[#Data],COLUMN(T_TraitDi[Type1]),FALSE),TypeTW,2,FALSE),"")</f>
        <v/>
      </c>
      <c r="BM252" s="288" t="str">
        <f>IFERROR(VLOOKUP(T_Convention[[#This Row],[NumL]],T_TraitDi[#Data],COLUMN(T_TraitDi[Rue1]),FALSE),"")</f>
        <v/>
      </c>
      <c r="BN252" s="289" t="str">
        <f>IFERROR(VLOOKUP(T_Convention[[#This Row],[NumL]],T_TraitDi[#Data],COLUMN(T_TraitDi[CP1]),FALSE),"")</f>
        <v/>
      </c>
      <c r="BO252" s="282" t="str">
        <f>IFERROR(VLOOKUP(T_Convention[[#This Row],[NumL]],T_TraitDi[#Data],COLUMN(T_TraitDi[VILLE1]),FALSE),"")</f>
        <v/>
      </c>
      <c r="BP252" s="290" t="str">
        <f>IFERROR(VLOOKUP(VLOOKUP(T_Convention[[#This Row],[NumL]],T_TraitDi[#Data],COLUMN(T_TraitDi[Type2]),FALSE),TypeTW,2,FALSE),"")</f>
        <v/>
      </c>
      <c r="BQ252" s="182" t="str">
        <f>IFERROR(VLOOKUP(T_Convention[[#This Row],[NumL]],T_TraitDi[#Data],COLUMN(T_TraitDi[Rue2]),FALSE),"")</f>
        <v/>
      </c>
      <c r="BR252" s="173" t="str">
        <f>IFERROR(VLOOKUP(T_Convention[[#This Row],[NumL]],T_TraitDi[#Data],COLUMN(T_TraitDi[CP2]),FALSE),"")</f>
        <v/>
      </c>
      <c r="BS252" s="173" t="str">
        <f>IFERROR(VLOOKUP(T_Convention[[#This Row],[NumL]],T_TraitDi[#Data],COLUMN(T_TraitDi[VILLE2]),FALSE),"")</f>
        <v/>
      </c>
      <c r="BT252" s="182" t="str">
        <f>IF(VLOOKUP(T_Convention[[#This Row],[NumL]],T_Equipement[#Data],COLUMN(T_Equipement[PC]),FALSE)="","Aucun équipement spécifique directement lié au télétravail",VLOOKUP(T_Convention[[#This Row],[NumL]],T_Equipement[#Data],COLUMN(T_Equipement[PC]),FALSE))</f>
        <v xml:space="preserve">20-655	</v>
      </c>
      <c r="BU252" s="166" t="str">
        <f>IFERROR(IF(VLOOKUP(T_Convention[[#This Row],[NumL]],T_TraitDi[#Data],COLUMN(T_TraitDi[Plan]),FALSE)="OK","Un planning spécifique de télétravail est annexé à la présente convention.",""),"")</f>
        <v/>
      </c>
      <c r="BV252" s="185" t="s">
        <v>3355</v>
      </c>
      <c r="BW252" s="164" t="e">
        <f>IF(VLOOKUP(T_Convention[[#This Row],[NumL]],T_suiviDi[#Data],COLUMN(T_suiviDi[Entité]),FALSE)="","",VLOOKUP(T_Convention[[#This Row],[NumL]],T_suiviDi[#Data],COLUMN(T_suiviDi[Entité]),FALSE))</f>
        <v>#N/A</v>
      </c>
      <c r="BX252" s="164" t="str">
        <f>IF(VLOOKUP(T_Convention[[#This Row],[NumL]],T_Commission[#Data],COLUMN(T_Commission[envoi confirm TW]),FALSE)="","",VLOOKUP(T_Convention[[#This Row],[NumL]],T_Commission[#Data],COLUMN(T_Commission[envoi confirm TW]),FALSE))</f>
        <v>Oui</v>
      </c>
      <c r="BY25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2" s="264">
        <f>VLOOKUP(T_Convention[[#This Row],[NumL]],T_Commission[#Data],COLUMN(T_Commission[Commentaire]),FALSE)</f>
        <v>0</v>
      </c>
      <c r="CA252" s="254" t="str">
        <f>IF(VLOOKUP(T_Convention[[#This Row],[NumL]],T_Commission[#Data],COLUMN(T_Commission[Encadrant Email]),FALSE)="","",VLOOKUP(T_Convention[[#This Row],[NumL]],T_Commission[#Data],COLUMN(T_Commission[Encadrant Email]),FALSE))</f>
        <v/>
      </c>
      <c r="CB252" s="353" t="e">
        <f>VLOOKUP(T_Convention[[#This Row],[NumL]],T_TraitDi[#Data],COLUMN(T_TraitDi[NbJTot]),FALSE)</f>
        <v>#N/A</v>
      </c>
      <c r="CC252" s="353" t="e">
        <f>VLOOKUP(T_Convention[[#This Row],[NumL]],T_TraitDi[#Data],COLUMN(T_TraitDi[Reg Ponct]),FALSE)</f>
        <v>#N/A</v>
      </c>
      <c r="CD252" s="348" t="str">
        <f>IF(T_Convention[[#This Row],[Final]]&lt;&gt;"",VLOOKUP(T_Convention[[#This Row],[NumL]],T_suiviDi[#Data],COLUMN((T_suiviDi[Statut])),FALSE),"")</f>
        <v/>
      </c>
    </row>
    <row r="253" spans="1:82" s="106" customFormat="1" ht="18.75" customHeight="1" x14ac:dyDescent="0.25">
      <c r="A253" s="160">
        <v>308</v>
      </c>
      <c r="B253" s="281" t="str">
        <f>VLOOKUP(T_Convention[[#This Row],[NumL]],T_Commission[#Data],COLUMN(T_Commission[FINAL]),FALSE)</f>
        <v/>
      </c>
      <c r="C253" s="162"/>
      <c r="D253" s="95" t="e">
        <f>IF(VLOOKUP(T_Convention[[#This Row],[NumL]],T_TraitDi[#Data],COLUMN(T_TraitDi[WebC]),FALSE)="","",VLOOKUP(T_Convention[[#This Row],[NumL]],T_TraitDi[#Data],COLUMN(T_TraitDi[WebC]),FALSE))</f>
        <v>#N/A</v>
      </c>
      <c r="E253" s="163" t="str">
        <f t="shared" si="15"/>
        <v>12 janvier 2021</v>
      </c>
      <c r="F253" s="282" t="str">
        <f>IF(T_Convention[[#This Row],[Final]]&lt;&gt;"",VLOOKUP(T_Convention[[#This Row],[NumL]],T_suiviDi[#Data],COLUMN((T_suiviDi[Civ.])),FALSE),"")</f>
        <v/>
      </c>
      <c r="G253" s="283" t="str">
        <f>IF(T_Convention[[#This Row],[Final]]&lt;&gt;"",VLOOKUP(T_Convention[[#This Row],[NumL]],T_suiviDi[#Data],COLUMN((T_suiviDi[Nom])),FALSE),"")</f>
        <v/>
      </c>
      <c r="H253" s="282" t="str">
        <f>IF(T_Convention[[#This Row],[Final]]&lt;&gt;"",VLOOKUP(T_Convention[[#This Row],[NumL]],T_suiviDi[#Data],COLUMN((T_suiviDi[Prénom])),FALSE),"")</f>
        <v/>
      </c>
      <c r="I253" s="282" t="e">
        <f>VLOOKUP(T_Convention[[#This Row],[NumL]],T_suiviDi[#Data],COLUMN((T_suiviDi[[#This Row],[Email]])),FALSE)</f>
        <v>#VALUE!</v>
      </c>
      <c r="J253" s="282" t="e">
        <f>IF(VLOOKUP(T_Convention[[#This Row],[NumL]],T_suiviDi[#Data],COLUMN(T_suiviDi[[#This Row],[Fonction]]),FALSE)="","",VLOOKUP(T_Convention[[#This Row],[NumL]],T_suiviDi[#Data],COLUMN(T_suiviDi[[#This Row],[Fonction]]),FALSE))</f>
        <v>#VALUE!</v>
      </c>
      <c r="K253" s="282" t="e">
        <f>IF(VLOOKUP(T_Convention[[#This Row],[NumL]],T_suiviDi[#Data],COLUMN(T_suiviDi[[#This Row],[Grade]]),FALSE)="","",VLOOKUP(T_Convention[[#This Row],[NumL]],T_suiviDi[#Data],COLUMN(T_suiviDi[[#This Row],[Grade]]),FALSE))</f>
        <v>#VALUE!</v>
      </c>
      <c r="L253" s="282" t="e">
        <f>IF(VLOOKUP(T_Convention[[#This Row],[NumL]],T_suiviDi[#Data],COLUMN(T_suiviDi[[#This Row],[Service ]]),FALSE)="","",VLOOKUP(T_Convention[[#This Row],[NumL]],T_suiviDi[#Data],COLUMN(T_suiviDi[[#This Row],[Service ]]),FALSE))</f>
        <v>#VALUE!</v>
      </c>
      <c r="M253" s="314" t="str">
        <f t="shared" si="16"/>
        <v>01 septembre 2021</v>
      </c>
      <c r="N253" s="314" t="str">
        <f t="shared" si="17"/>
        <v>30 novembre 2021</v>
      </c>
      <c r="O253" s="284" t="str">
        <f t="shared" si="18"/>
        <v>30 novembre 2021</v>
      </c>
      <c r="P253" s="282" t="e">
        <f>IF(VLOOKUP(T_Convention[[#This Row],[NumL]],T_TraitDi[#Data],COLUMN(T_TraitDi[M1]),FALSE)="","",VLOOKUP(T_Convention[[#This Row],[NumL]],T_TraitDi[#Data],COLUMN(T_TraitDi[M1]),FALSE))</f>
        <v>#N/A</v>
      </c>
      <c r="Q253" s="282" t="e">
        <f>IF(VLOOKUP(T_Convention[[#This Row],[NumL]],T_TraitDi[#Data],COLUMN(T_TraitDi[M2]),FALSE)="","",VLOOKUP(T_Convention[[#This Row],[NumL]],T_TraitDi[#Data],COLUMN(T_TraitDi[M2]),FALSE))</f>
        <v>#N/A</v>
      </c>
      <c r="R253" s="282" t="e">
        <f>IF(VLOOKUP(T_Convention[[#This Row],[NumL]],T_TraitDi[#Data],COLUMN(T_TraitDi[M3]),FALSE)="","",VLOOKUP(T_Convention[[#This Row],[NumL]],T_TraitDi[#Data],COLUMN(T_TraitDi[M3]),FALSE))</f>
        <v>#N/A</v>
      </c>
      <c r="S253" s="282" t="e">
        <f>IF(VLOOKUP(T_Convention[[#This Row],[NumL]],T_TraitDi[#Data],COLUMN(T_TraitDi[M4]),FALSE)="","",VLOOKUP(T_Convention[[#This Row],[NumL]],T_TraitDi[#Data],COLUMN(T_TraitDi[M4]),FALSE))</f>
        <v>#N/A</v>
      </c>
      <c r="T253" s="282" t="e">
        <f>IF(VLOOKUP(T_Convention[[#This Row],[NumL]],T_TraitDi[#Data],COLUMN(T_TraitDi[M5]),FALSE)="","",VLOOKUP(T_Convention[[#This Row],[NumL]],T_TraitDi[#Data],COLUMN(T_TraitDi[M5]),FALSE))</f>
        <v>#N/A</v>
      </c>
      <c r="U253" s="282" t="e">
        <f>IF(VLOOKUP(T_Convention[[#This Row],[NumL]],T_TraitDi[#Data],COLUMN(T_TraitDi[M6]),FALSE)="","",VLOOKUP(T_Convention[[#This Row],[NumL]],T_TraitDi[#Data],COLUMN(T_TraitDi[M6]),FALSE))</f>
        <v>#N/A</v>
      </c>
      <c r="V253" s="314" t="e">
        <f t="shared" si="19"/>
        <v>#N/A</v>
      </c>
      <c r="W253" s="284" t="str">
        <f>IFERROR(TEXT(VLOOKUP(T_Convention[[#This Row],[NumL]],T_TraitDi[#Data],COLUMN(T_TraitDi[Q2]),FALSE),"###%"),"")</f>
        <v/>
      </c>
      <c r="X253" s="285" t="e">
        <f>VLOOKUP(T_Convention[[#This Row],[NumL]],T_TraitDi[#Data],COLUMN(T_TraitDi[Reg Ponct]),FALSE)</f>
        <v>#N/A</v>
      </c>
      <c r="Y253" s="285" t="e">
        <f>VLOOKUP(T_Convention[NumL],T_TraitDi[#Data],COLUMN(T_TraitDi[Jours flottants]),FALSE)</f>
        <v>#N/A</v>
      </c>
      <c r="Z253" s="284" t="str">
        <f>IFERROR(VLOOKUP(T_Convention[[#This Row],[NumL]],T_TraitDi[#Data],COLUMN(T_TraitDi[Lundi]),FALSE),"")</f>
        <v/>
      </c>
      <c r="AA253" s="284" t="e">
        <f>IF(VLOOKUP(T_Convention[[#This Row],[NumL]],T_TraitDi[#Data],COLUMN(T_TraitDi[Colonne3]),FALSE)=0,"",TEXT(IFERROR(VLOOKUP(T_Convention[[#This Row],[NumL]],T_TraitDi[#Data],COLUMN(T_TraitDi[Colonne3]),FALSE),""),"[hh]:mm"))</f>
        <v>#N/A</v>
      </c>
      <c r="AB253" s="284" t="e">
        <f>IF(VLOOKUP(T_Convention[[#This Row],[NumL]],T_TraitDi[#Data],COLUMN(T_TraitDi[Colonne4]),FALSE)=0,"",TEXT(IFERROR(VLOOKUP(T_Convention[[#This Row],[NumL]],T_TraitDi[#Data],COLUMN(T_TraitDi[Colonne4]),FALSE),""),"[hh]:mm"))</f>
        <v>#N/A</v>
      </c>
      <c r="AC253" s="284" t="e">
        <f>IF(VLOOKUP(T_Convention[[#This Row],[NumL]],T_TraitDi[#Data],COLUMN(T_TraitDi[Colonne5]),FALSE)=0,"",TEXT(IFERROR(VLOOKUP(T_Convention[[#This Row],[NumL]],T_TraitDi[#Data],COLUMN(T_TraitDi[Colonne5]),FALSE),""),"[hh]:mm"))</f>
        <v>#N/A</v>
      </c>
      <c r="AD253" s="284" t="e">
        <f>IF(VLOOKUP(T_Convention[[#This Row],[NumL]],T_TraitDi[#Data],COLUMN(T_TraitDi[Colonne6]),FALSE)=0,"",TEXT(IFERROR(VLOOKUP(T_Convention[[#This Row],[NumL]],T_TraitDi[#Data],COLUMN(T_TraitDi[Colonne6]),FALSE),""),"[hh]:mm"))</f>
        <v>#N/A</v>
      </c>
      <c r="AE253" s="284" t="e">
        <f>IF(VLOOKUP(T_Convention[[#This Row],[NumL]],T_TraitDi[#Data],COLUMN(T_TraitDi[Colonne7]),FALSE)=0,"",TEXT(IFERROR(VLOOKUP(T_Convention[[#This Row],[NumL]],T_TraitDi[#Data],COLUMN(T_TraitDi[Colonne7]),FALSE),""),"[hh]:mm"))</f>
        <v>#N/A</v>
      </c>
      <c r="AF253" s="284" t="e">
        <f>IF(VLOOKUP(T_Convention[[#This Row],[NumL]],T_TraitDi[#Data],COLUMN(T_TraitDi[Colonne8]),FALSE)=0,"",TEXT(IFERROR(VLOOKUP(T_Convention[[#This Row],[NumL]],T_TraitDi[#Data],COLUMN(T_TraitDi[Colonne8]),FALSE),""),"[hh]:mm"))</f>
        <v>#N/A</v>
      </c>
      <c r="AG253" s="284" t="str">
        <f>IFERROR(VLOOKUP(T_Convention[[#This Row],[NumL]],T_TraitDi[#Data],COLUMN(T_TraitDi[Mardi]),FALSE),"")</f>
        <v/>
      </c>
      <c r="AH253" s="284" t="e">
        <f>IF(VLOOKUP(T_Convention[[#This Row],[NumL]],T_TraitDi[#Data],COLUMN(T_TraitDi[Colonne1]),FALSE)=0,"",TEXT(IFERROR(VLOOKUP(T_Convention[[#This Row],[NumL]],T_TraitDi[#Data],COLUMN(T_TraitDi[Colonne1]),FALSE),""),"[hh]:mm"))</f>
        <v>#N/A</v>
      </c>
      <c r="AI253" s="284" t="e">
        <f>IF(VLOOKUP(T_Convention[[#This Row],[NumL]],T_TraitDi[#Data],COLUMN(T_TraitDi[Colonne9]),FALSE)=0,"",TEXT(IFERROR(VLOOKUP(T_Convention[[#This Row],[NumL]],T_TraitDi[#Data],COLUMN(T_TraitDi[Colonne9]),FALSE),""),"[hh]:mm"))</f>
        <v>#N/A</v>
      </c>
      <c r="AJ253" s="284" t="str">
        <f>IFERROR(VLOOKUP(T_Convention[[#This Row],[NumL]],T_TraitDi[#Data],COLUMN(T_TraitDi[Colonne10]),FALSE),"")</f>
        <v/>
      </c>
      <c r="AK253" s="284" t="e">
        <f>IF(VLOOKUP(T_Convention[[#This Row],[NumL]],T_TraitDi[#Data],COLUMN(T_TraitDi[Colonne11]),FALSE)=0,"",TEXT(IFERROR(VLOOKUP(T_Convention[[#This Row],[NumL]],T_TraitDi[#Data],COLUMN(T_TraitDi[Colonne11]),FALSE),""),"[hh]:mm"))</f>
        <v>#N/A</v>
      </c>
      <c r="AL253" s="284" t="e">
        <f>IF(VLOOKUP(T_Convention[[#This Row],[NumL]],T_TraitDi[#Data],COLUMN(T_TraitDi[Colonne12]),FALSE)=0,"",TEXT(IFERROR(VLOOKUP(T_Convention[[#This Row],[NumL]],T_TraitDi[#Data],COLUMN(T_TraitDi[Colonne12]),FALSE),""),"[hh]:mm"))</f>
        <v>#N/A</v>
      </c>
      <c r="AM253" s="284" t="e">
        <f>IF(VLOOKUP(T_Convention[[#This Row],[NumL]],T_TraitDi[#Data],COLUMN(T_TraitDi[Colonne14]),FALSE)=0,"",TEXT(IFERROR(VLOOKUP(T_Convention[[#This Row],[NumL]],T_TraitDi[#Data],COLUMN(T_TraitDi[Colonne14]),FALSE),""),"[hh]:mm"))</f>
        <v>#N/A</v>
      </c>
      <c r="AN253" s="284" t="str">
        <f>IFERROR(VLOOKUP(T_Convention[[#This Row],[NumL]],T_TraitDi[#Data],COLUMN(T_TraitDi[Mercredi]),FALSE),"")</f>
        <v/>
      </c>
      <c r="AO253" s="284" t="e">
        <f>IF(VLOOKUP(T_Convention[[#This Row],[NumL]],T_TraitDi[#Data],COLUMN(T_TraitDi[Colonne15]),FALSE)=0,"",TEXT(IFERROR(VLOOKUP(T_Convention[[#This Row],[NumL]],T_TraitDi[#Data],COLUMN(T_TraitDi[Colonne15]),FALSE),""),"[hh]:mm"))</f>
        <v>#N/A</v>
      </c>
      <c r="AP253" s="284" t="e">
        <f>IF(VLOOKUP(T_Convention[[#This Row],[NumL]],T_TraitDi[#Data],COLUMN(T_TraitDi[Colonne16]),FALSE)=0,"",TEXT(IFERROR(VLOOKUP(T_Convention[[#This Row],[NumL]],T_TraitDi[#Data],COLUMN(T_TraitDi[Colonne16]),FALSE),""),"[hh]:mm"))</f>
        <v>#N/A</v>
      </c>
      <c r="AQ253" s="284" t="str">
        <f>IFERROR(VLOOKUP(T_Convention[[#This Row],[NumL]],T_TraitDi[#Data],COLUMN(T_TraitDi[Colonne17]),FALSE),"")</f>
        <v/>
      </c>
      <c r="AR253" s="284" t="e">
        <f>IF(VLOOKUP(T_Convention[[#This Row],[NumL]],T_TraitDi[#Data],COLUMN(T_TraitDi[Colonne18]),FALSE)=0,"",TEXT(IFERROR(VLOOKUP(T_Convention[[#This Row],[NumL]],T_TraitDi[#Data],COLUMN(T_TraitDi[Colonne18]),FALSE),""),"[hh]:mm"))</f>
        <v>#N/A</v>
      </c>
      <c r="AS253" s="284" t="e">
        <f>IF(VLOOKUP(T_Convention[[#This Row],[NumL]],T_TraitDi[#Data],COLUMN(T_TraitDi[Colonne19]),FALSE)=0,"",TEXT(IFERROR(VLOOKUP(T_Convention[[#This Row],[NumL]],T_TraitDi[#Data],COLUMN(T_TraitDi[Colonne19]),FALSE),""),"[hh]:mm"))</f>
        <v>#N/A</v>
      </c>
      <c r="AT253" s="284" t="e">
        <f>IF(VLOOKUP(T_Convention[[#This Row],[NumL]],T_TraitDi[#Data],COLUMN(T_TraitDi[Colonne20]),FALSE)=0,"",TEXT(IFERROR(VLOOKUP(T_Convention[[#This Row],[NumL]],T_TraitDi[#Data],COLUMN(T_TraitDi[Colonne20]),FALSE),""),"[hh]:mm"))</f>
        <v>#N/A</v>
      </c>
      <c r="AU253" s="284" t="str">
        <f>IFERROR(VLOOKUP(T_Convention[[#This Row],[NumL]],T_TraitDi[#Data],COLUMN(T_TraitDi[Jeudi]),FALSE),"")</f>
        <v/>
      </c>
      <c r="AV253" s="284" t="e">
        <f>IF(VLOOKUP(T_Convention[[#This Row],[NumL]],T_TraitDi[#Data],COLUMN(T_TraitDi[Colonne21]),FALSE)=0,"",TEXT(IFERROR(VLOOKUP(T_Convention[[#This Row],[NumL]],T_TraitDi[#Data],COLUMN(T_TraitDi[Colonne21]),FALSE),""),"[hh]:mm"))</f>
        <v>#N/A</v>
      </c>
      <c r="AW253" s="284" t="e">
        <f>IF(VLOOKUP(T_Convention[[#This Row],[NumL]],T_TraitDi[#Data],COLUMN(T_TraitDi[Colonne22]),FALSE)=0,"",TEXT(IFERROR(VLOOKUP(T_Convention[[#This Row],[NumL]],T_TraitDi[#Data],COLUMN(T_TraitDi[Colonne22]),FALSE),""),"[hh]:mm"))</f>
        <v>#N/A</v>
      </c>
      <c r="AX253" s="284" t="str">
        <f>IFERROR(VLOOKUP(T_Convention[[#This Row],[NumL]],T_TraitDi[#Data],COLUMN(T_TraitDi[Colonne23]),FALSE),"")</f>
        <v/>
      </c>
      <c r="AY253" s="284" t="e">
        <f>IF(VLOOKUP(T_Convention[[#This Row],[NumL]],T_TraitDi[#Data],COLUMN(T_TraitDi[Colonne24]),FALSE)=0,"",TEXT(IFERROR(VLOOKUP(T_Convention[[#This Row],[NumL]],T_TraitDi[#Data],COLUMN(T_TraitDi[Colonne24]),FALSE),""),"[hh]:mm"))</f>
        <v>#N/A</v>
      </c>
      <c r="AZ253" s="284" t="e">
        <f>IF(VLOOKUP(T_Convention[[#This Row],[NumL]],T_TraitDi[#Data],COLUMN(T_TraitDi[Colonne25]),FALSE)=0,"",TEXT(IFERROR(VLOOKUP(T_Convention[[#This Row],[NumL]],T_TraitDi[#Data],COLUMN(T_TraitDi[Colonne25]),FALSE),""),"[hh]:mm"))</f>
        <v>#N/A</v>
      </c>
      <c r="BA253" s="284" t="e">
        <f>IF(VLOOKUP(T_Convention[[#This Row],[NumL]],T_TraitDi[#Data],COLUMN(T_TraitDi[Colonne26]),FALSE)=0,"",TEXT(IFERROR(VLOOKUP(T_Convention[[#This Row],[NumL]],T_TraitDi[#Data],COLUMN(T_TraitDi[Colonne26]),FALSE),""),"[hh]:mm"))</f>
        <v>#N/A</v>
      </c>
      <c r="BB253" s="284" t="str">
        <f>IFERROR(VLOOKUP(T_Convention[[#This Row],[NumL]],T_TraitDi[#Data],COLUMN(T_TraitDi[Vendredi]),FALSE),"")</f>
        <v/>
      </c>
      <c r="BC253" s="284" t="e">
        <f>IF(VLOOKUP(T_Convention[[#This Row],[NumL]],T_TraitDi[#Data],COLUMN(T_TraitDi[Colonne27]),FALSE)=0,"",TEXT(IFERROR(VLOOKUP(T_Convention[[#This Row],[NumL]],T_TraitDi[#Data],COLUMN(T_TraitDi[Colonne27]),FALSE),""),"[hh]:mm"))</f>
        <v>#N/A</v>
      </c>
      <c r="BD253" s="284" t="e">
        <f>IF(VLOOKUP(T_Convention[[#This Row],[NumL]],T_TraitDi[#Data],COLUMN(T_TraitDi[Colonne28]),FALSE)=0,"",TEXT(IFERROR(VLOOKUP(T_Convention[[#This Row],[NumL]],T_TraitDi[#Data],COLUMN(T_TraitDi[Colonne28]),FALSE),""),"[hh]:mm"))</f>
        <v>#N/A</v>
      </c>
      <c r="BE253" s="284" t="str">
        <f>IFERROR(VLOOKUP(T_Convention[[#This Row],[NumL]],T_TraitDi[#Data],COLUMN(T_TraitDi[Colonne29]),FALSE),"")</f>
        <v/>
      </c>
      <c r="BF253" s="284" t="e">
        <f>IF(VLOOKUP(T_Convention[[#This Row],[NumL]],T_TraitDi[#Data],COLUMN(T_TraitDi[Colonne30]),FALSE)=0,"",TEXT(IFERROR(VLOOKUP(T_Convention[[#This Row],[NumL]],T_TraitDi[#Data],COLUMN(T_TraitDi[Colonne30]),FALSE),""),"[hh]:mm"))</f>
        <v>#N/A</v>
      </c>
      <c r="BG253" s="284" t="e">
        <f>IF(VLOOKUP(T_Convention[[#This Row],[NumL]],T_TraitDi[#Data],COLUMN(T_TraitDi[Colonne31]),FALSE)=0,"",TEXT(IFERROR(VLOOKUP(T_Convention[[#This Row],[NumL]],T_TraitDi[#Data],COLUMN(T_TraitDi[Colonne31]),FALSE),""),"[hh]:mm"))</f>
        <v>#N/A</v>
      </c>
      <c r="BH253" s="284" t="e">
        <f>IF(VLOOKUP(T_Convention[[#This Row],[NumL]],T_TraitDi[#Data],COLUMN(T_TraitDi[Colonne32]),FALSE)=0,"",TEXT(IFERROR(VLOOKUP(T_Convention[[#This Row],[NumL]],T_TraitDi[#Data],COLUMN(T_TraitDi[Colonne32]),FALSE),""),"[hh]:mm"))</f>
        <v>#N/A</v>
      </c>
      <c r="BI253" s="284" t="str">
        <f>IFERROR(VLOOKUP(T_Convention[[#This Row],[NumL]],T_TraitDi[#Data],COLUMN(T_TraitDi[NbJTW]),FALSE),"")</f>
        <v/>
      </c>
      <c r="BJ253" s="284" t="e">
        <f>IF(VLOOKUP(T_Convention[[#This Row],[NumL]],T_TraitDi[#Data],COLUMN(T_TraitDi[NbhTW]),FALSE)=0,"",TEXT(IFERROR(VLOOKUP(T_Convention[[#This Row],[NumL]],T_TraitDi[#Data],COLUMN(T_TraitDi[NbhTW]),FALSE),""),"[hh]:mm"))</f>
        <v>#N/A</v>
      </c>
      <c r="BK253" s="315" t="e">
        <f>IF(VLOOKUP(T_Convention[[#This Row],[NumL]],T_TraitDi[#Data],COLUMN(T_TraitDi[Nbhheb]),FALSE)=0,"",TEXT(IFERROR(VLOOKUP(T_Convention[[#This Row],[NumL]],T_TraitDi[#Data],COLUMN(T_TraitDi[Nbhheb]),FALSE),""),"[hh]:mm"))</f>
        <v>#N/A</v>
      </c>
      <c r="BL253" s="287" t="str">
        <f>IFERROR(VLOOKUP(VLOOKUP(T_Convention[[#This Row],[NumL]],T_TraitDi[#Data],COLUMN(T_TraitDi[Type1]),FALSE),TypeTW,2,FALSE),"")</f>
        <v/>
      </c>
      <c r="BM253" s="288" t="str">
        <f>IFERROR(VLOOKUP(T_Convention[[#This Row],[NumL]],T_TraitDi[#Data],COLUMN(T_TraitDi[Rue1]),FALSE),"")</f>
        <v/>
      </c>
      <c r="BN253" s="289" t="str">
        <f>IFERROR(VLOOKUP(T_Convention[[#This Row],[NumL]],T_TraitDi[#Data],COLUMN(T_TraitDi[CP1]),FALSE),"")</f>
        <v/>
      </c>
      <c r="BO253" s="282" t="str">
        <f>IFERROR(VLOOKUP(T_Convention[[#This Row],[NumL]],T_TraitDi[#Data],COLUMN(T_TraitDi[VILLE1]),FALSE),"")</f>
        <v/>
      </c>
      <c r="BP253" s="290" t="str">
        <f>IFERROR(VLOOKUP(VLOOKUP(T_Convention[[#This Row],[NumL]],T_TraitDi[#Data],COLUMN(T_TraitDi[Type2]),FALSE),TypeTW,2,FALSE),"")</f>
        <v/>
      </c>
      <c r="BQ253" s="310" t="str">
        <f>IFERROR(VLOOKUP(T_Convention[[#This Row],[NumL]],T_TraitDi[#Data],COLUMN(T_TraitDi[Rue2]),FALSE),"")</f>
        <v/>
      </c>
      <c r="BR253" s="290" t="str">
        <f>IFERROR(VLOOKUP(T_Convention[[#This Row],[NumL]],T_TraitDi[#Data],COLUMN(T_TraitDi[CP2]),FALSE),"")</f>
        <v/>
      </c>
      <c r="BS253" s="290" t="str">
        <f>IFERROR(VLOOKUP(T_Convention[[#This Row],[NumL]],T_TraitDi[#Data],COLUMN(T_TraitDi[VILLE2]),FALSE),"")</f>
        <v/>
      </c>
      <c r="BT253"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53" s="314" t="str">
        <f>IFERROR(IF(VLOOKUP(T_Convention[[#This Row],[NumL]],T_TraitDi[#Data],COLUMN(T_TraitDi[Plan]),FALSE)="OK","Un planning spécifique de télétravail est annexé à la présente convention.",""),"")</f>
        <v/>
      </c>
      <c r="BV253" s="291"/>
      <c r="BW253" s="292" t="e">
        <f>IF(VLOOKUP(T_Convention[[#This Row],[NumL]],T_suiviDi[#Data],COLUMN(T_suiviDi[Entité]),FALSE)="","",VLOOKUP(T_Convention[[#This Row],[NumL]],T_suiviDi[#Data],COLUMN(T_suiviDi[Entité]),FALSE))</f>
        <v>#N/A</v>
      </c>
      <c r="BX253" s="311" t="str">
        <f>IF(VLOOKUP(T_Convention[[#This Row],[NumL]],T_Commission[#Data],COLUMN(T_Commission[envoi confirm TW]),FALSE)="","",VLOOKUP(T_Convention[[#This Row],[NumL]],T_Commission[#Data],COLUMN(T_Commission[envoi confirm TW]),FALSE))</f>
        <v>Oui</v>
      </c>
      <c r="BY253"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3" s="265">
        <f>VLOOKUP(T_Convention[[#This Row],[NumL]],T_Commission[#Data],COLUMN(T_Commission[Commentaire]),FALSE)</f>
        <v>0</v>
      </c>
      <c r="CA253" s="255" t="str">
        <f>IF(VLOOKUP(T_Convention[[#This Row],[NumL]],T_Commission[#Data],COLUMN(T_Commission[Encadrant Email]),FALSE)="","",VLOOKUP(T_Convention[[#This Row],[NumL]],T_Commission[#Data],COLUMN(T_Commission[Encadrant Email]),FALSE))</f>
        <v/>
      </c>
      <c r="CB253" s="353" t="e">
        <f>VLOOKUP(T_Convention[[#This Row],[NumL]],T_TraitDi[#Data],COLUMN(T_TraitDi[NbJTot]),FALSE)</f>
        <v>#N/A</v>
      </c>
      <c r="CC253" s="353" t="e">
        <f>VLOOKUP(T_Convention[[#This Row],[NumL]],T_TraitDi[#Data],COLUMN(T_TraitDi[Reg Ponct]),FALSE)</f>
        <v>#N/A</v>
      </c>
      <c r="CD253" s="348" t="str">
        <f>IF(T_Convention[[#This Row],[Final]]&lt;&gt;"",VLOOKUP(T_Convention[[#This Row],[NumL]],T_suiviDi[#Data],COLUMN((T_suiviDi[Statut])),FALSE),"")</f>
        <v/>
      </c>
    </row>
    <row r="254" spans="1:82" s="106" customFormat="1" ht="18.75" customHeight="1" x14ac:dyDescent="0.25">
      <c r="A254" s="160">
        <v>320</v>
      </c>
      <c r="B254" s="281" t="str">
        <f>VLOOKUP(T_Convention[[#This Row],[NumL]],T_Commission[#Data],COLUMN(T_Commission[FINAL]),FALSE)</f>
        <v/>
      </c>
      <c r="C254" s="162"/>
      <c r="D254" s="95" t="e">
        <f>IF(VLOOKUP(T_Convention[[#This Row],[NumL]],T_TraitDi[#Data],COLUMN(T_TraitDi[WebC]),FALSE)="","",VLOOKUP(T_Convention[[#This Row],[NumL]],T_TraitDi[#Data],COLUMN(T_TraitDi[WebC]),FALSE))</f>
        <v>#N/A</v>
      </c>
      <c r="E254" s="163" t="str">
        <f t="shared" si="15"/>
        <v>12 janvier 2021</v>
      </c>
      <c r="F254" s="282" t="str">
        <f>IF(T_Convention[[#This Row],[Final]]&lt;&gt;"",VLOOKUP(T_Convention[[#This Row],[NumL]],T_suiviDi[#Data],COLUMN((T_suiviDi[Civ.])),FALSE),"")</f>
        <v/>
      </c>
      <c r="G254" s="283" t="str">
        <f>IF(T_Convention[[#This Row],[Final]]&lt;&gt;"",VLOOKUP(T_Convention[[#This Row],[NumL]],T_suiviDi[#Data],COLUMN((T_suiviDi[Nom])),FALSE),"")</f>
        <v/>
      </c>
      <c r="H254" s="282" t="str">
        <f>IF(T_Convention[[#This Row],[Final]]&lt;&gt;"",VLOOKUP(T_Convention[[#This Row],[NumL]],T_suiviDi[#Data],COLUMN((T_suiviDi[Prénom])),FALSE),"")</f>
        <v/>
      </c>
      <c r="I254" s="282" t="e">
        <f>VLOOKUP(T_Convention[[#This Row],[NumL]],T_suiviDi[#Data],COLUMN((T_suiviDi[[#This Row],[Email]])),FALSE)</f>
        <v>#VALUE!</v>
      </c>
      <c r="J254" s="282" t="e">
        <f>IF(VLOOKUP(T_Convention[[#This Row],[NumL]],T_suiviDi[#Data],COLUMN(T_suiviDi[[#This Row],[Fonction]]),FALSE)="","",VLOOKUP(T_Convention[[#This Row],[NumL]],T_suiviDi[#Data],COLUMN(T_suiviDi[[#This Row],[Fonction]]),FALSE))</f>
        <v>#VALUE!</v>
      </c>
      <c r="K254" s="282" t="e">
        <f>IF(VLOOKUP(T_Convention[[#This Row],[NumL]],T_suiviDi[#Data],COLUMN(T_suiviDi[[#This Row],[Grade]]),FALSE)="","",VLOOKUP(T_Convention[[#This Row],[NumL]],T_suiviDi[#Data],COLUMN(T_suiviDi[[#This Row],[Grade]]),FALSE))</f>
        <v>#VALUE!</v>
      </c>
      <c r="L254" s="282" t="e">
        <f>IF(VLOOKUP(T_Convention[[#This Row],[NumL]],T_suiviDi[#Data],COLUMN(T_suiviDi[[#This Row],[Service ]]),FALSE)="","",VLOOKUP(T_Convention[[#This Row],[NumL]],T_suiviDi[#Data],COLUMN(T_suiviDi[[#This Row],[Service ]]),FALSE))</f>
        <v>#VALUE!</v>
      </c>
      <c r="M254" s="314" t="str">
        <f t="shared" si="16"/>
        <v>01 septembre 2021</v>
      </c>
      <c r="N254" s="314" t="str">
        <f t="shared" si="17"/>
        <v>30 novembre 2021</v>
      </c>
      <c r="O254" s="284" t="str">
        <f t="shared" si="18"/>
        <v>30 novembre 2021</v>
      </c>
      <c r="P254" s="282" t="e">
        <f>IF(VLOOKUP(T_Convention[[#This Row],[NumL]],T_TraitDi[#Data],COLUMN(T_TraitDi[M1]),FALSE)="","",VLOOKUP(T_Convention[[#This Row],[NumL]],T_TraitDi[#Data],COLUMN(T_TraitDi[M1]),FALSE))</f>
        <v>#N/A</v>
      </c>
      <c r="Q254" s="282" t="e">
        <f>IF(VLOOKUP(T_Convention[[#This Row],[NumL]],T_TraitDi[#Data],COLUMN(T_TraitDi[M2]),FALSE)="","",VLOOKUP(T_Convention[[#This Row],[NumL]],T_TraitDi[#Data],COLUMN(T_TraitDi[M2]),FALSE))</f>
        <v>#N/A</v>
      </c>
      <c r="R254" s="282" t="e">
        <f>IF(VLOOKUP(T_Convention[[#This Row],[NumL]],T_TraitDi[#Data],COLUMN(T_TraitDi[M3]),FALSE)="","",VLOOKUP(T_Convention[[#This Row],[NumL]],T_TraitDi[#Data],COLUMN(T_TraitDi[M3]),FALSE))</f>
        <v>#N/A</v>
      </c>
      <c r="S254" s="282" t="e">
        <f>IF(VLOOKUP(T_Convention[[#This Row],[NumL]],T_TraitDi[#Data],COLUMN(T_TraitDi[M4]),FALSE)="","",VLOOKUP(T_Convention[[#This Row],[NumL]],T_TraitDi[#Data],COLUMN(T_TraitDi[M4]),FALSE))</f>
        <v>#N/A</v>
      </c>
      <c r="T254" s="282" t="e">
        <f>IF(VLOOKUP(T_Convention[[#This Row],[NumL]],T_TraitDi[#Data],COLUMN(T_TraitDi[M5]),FALSE)="","",VLOOKUP(T_Convention[[#This Row],[NumL]],T_TraitDi[#Data],COLUMN(T_TraitDi[M5]),FALSE))</f>
        <v>#N/A</v>
      </c>
      <c r="U254" s="282" t="e">
        <f>IF(VLOOKUP(T_Convention[[#This Row],[NumL]],T_TraitDi[#Data],COLUMN(T_TraitDi[M6]),FALSE)="","",VLOOKUP(T_Convention[[#This Row],[NumL]],T_TraitDi[#Data],COLUMN(T_TraitDi[M6]),FALSE))</f>
        <v>#N/A</v>
      </c>
      <c r="V254" s="314" t="e">
        <f t="shared" si="19"/>
        <v>#N/A</v>
      </c>
      <c r="W254" s="284" t="str">
        <f>IFERROR(TEXT(VLOOKUP(T_Convention[[#This Row],[NumL]],T_TraitDi[#Data],COLUMN(T_TraitDi[Q2]),FALSE),"###%"),"")</f>
        <v/>
      </c>
      <c r="X254" s="285" t="e">
        <f>VLOOKUP(T_Convention[[#This Row],[NumL]],T_TraitDi[#Data],COLUMN(T_TraitDi[Reg Ponct]),FALSE)</f>
        <v>#N/A</v>
      </c>
      <c r="Y254" s="285" t="e">
        <f>VLOOKUP(T_Convention[NumL],T_TraitDi[#Data],COLUMN(T_TraitDi[Jours flottants]),FALSE)</f>
        <v>#N/A</v>
      </c>
      <c r="Z254" s="284" t="str">
        <f>IFERROR(VLOOKUP(T_Convention[[#This Row],[NumL]],T_TraitDi[#Data],COLUMN(T_TraitDi[Lundi]),FALSE),"")</f>
        <v/>
      </c>
      <c r="AA254" s="284" t="e">
        <f>IF(VLOOKUP(T_Convention[[#This Row],[NumL]],T_TraitDi[#Data],COLUMN(T_TraitDi[Colonne3]),FALSE)=0,"",TEXT(IFERROR(VLOOKUP(T_Convention[[#This Row],[NumL]],T_TraitDi[#Data],COLUMN(T_TraitDi[Colonne3]),FALSE),""),"[hh]:mm"))</f>
        <v>#N/A</v>
      </c>
      <c r="AB254" s="284" t="e">
        <f>IF(VLOOKUP(T_Convention[[#This Row],[NumL]],T_TraitDi[#Data],COLUMN(T_TraitDi[Colonne4]),FALSE)=0,"",TEXT(IFERROR(VLOOKUP(T_Convention[[#This Row],[NumL]],T_TraitDi[#Data],COLUMN(T_TraitDi[Colonne4]),FALSE),""),"[hh]:mm"))</f>
        <v>#N/A</v>
      </c>
      <c r="AC254" s="284" t="e">
        <f>IF(VLOOKUP(T_Convention[[#This Row],[NumL]],T_TraitDi[#Data],COLUMN(T_TraitDi[Colonne5]),FALSE)=0,"",TEXT(IFERROR(VLOOKUP(T_Convention[[#This Row],[NumL]],T_TraitDi[#Data],COLUMN(T_TraitDi[Colonne5]),FALSE),""),"[hh]:mm"))</f>
        <v>#N/A</v>
      </c>
      <c r="AD254" s="284" t="e">
        <f>IF(VLOOKUP(T_Convention[[#This Row],[NumL]],T_TraitDi[#Data],COLUMN(T_TraitDi[Colonne6]),FALSE)=0,"",TEXT(IFERROR(VLOOKUP(T_Convention[[#This Row],[NumL]],T_TraitDi[#Data],COLUMN(T_TraitDi[Colonne6]),FALSE),""),"[hh]:mm"))</f>
        <v>#N/A</v>
      </c>
      <c r="AE254" s="284" t="e">
        <f>IF(VLOOKUP(T_Convention[[#This Row],[NumL]],T_TraitDi[#Data],COLUMN(T_TraitDi[Colonne7]),FALSE)=0,"",TEXT(IFERROR(VLOOKUP(T_Convention[[#This Row],[NumL]],T_TraitDi[#Data],COLUMN(T_TraitDi[Colonne7]),FALSE),""),"[hh]:mm"))</f>
        <v>#N/A</v>
      </c>
      <c r="AF254" s="284" t="e">
        <f>IF(VLOOKUP(T_Convention[[#This Row],[NumL]],T_TraitDi[#Data],COLUMN(T_TraitDi[Colonne8]),FALSE)=0,"",TEXT(IFERROR(VLOOKUP(T_Convention[[#This Row],[NumL]],T_TraitDi[#Data],COLUMN(T_TraitDi[Colonne8]),FALSE),""),"[hh]:mm"))</f>
        <v>#N/A</v>
      </c>
      <c r="AG254" s="284" t="str">
        <f>IFERROR(VLOOKUP(T_Convention[[#This Row],[NumL]],T_TraitDi[#Data],COLUMN(T_TraitDi[Mardi]),FALSE),"")</f>
        <v/>
      </c>
      <c r="AH254" s="284" t="e">
        <f>IF(VLOOKUP(T_Convention[[#This Row],[NumL]],T_TraitDi[#Data],COLUMN(T_TraitDi[Colonne1]),FALSE)=0,"",TEXT(IFERROR(VLOOKUP(T_Convention[[#This Row],[NumL]],T_TraitDi[#Data],COLUMN(T_TraitDi[Colonne1]),FALSE),""),"[hh]:mm"))</f>
        <v>#N/A</v>
      </c>
      <c r="AI254" s="284" t="e">
        <f>IF(VLOOKUP(T_Convention[[#This Row],[NumL]],T_TraitDi[#Data],COLUMN(T_TraitDi[Colonne9]),FALSE)=0,"",TEXT(IFERROR(VLOOKUP(T_Convention[[#This Row],[NumL]],T_TraitDi[#Data],COLUMN(T_TraitDi[Colonne9]),FALSE),""),"[hh]:mm"))</f>
        <v>#N/A</v>
      </c>
      <c r="AJ254" s="284" t="str">
        <f>IFERROR(VLOOKUP(T_Convention[[#This Row],[NumL]],T_TraitDi[#Data],COLUMN(T_TraitDi[Colonne10]),FALSE),"")</f>
        <v/>
      </c>
      <c r="AK254" s="284" t="e">
        <f>IF(VLOOKUP(T_Convention[[#This Row],[NumL]],T_TraitDi[#Data],COLUMN(T_TraitDi[Colonne11]),FALSE)=0,"",TEXT(IFERROR(VLOOKUP(T_Convention[[#This Row],[NumL]],T_TraitDi[#Data],COLUMN(T_TraitDi[Colonne11]),FALSE),""),"[hh]:mm"))</f>
        <v>#N/A</v>
      </c>
      <c r="AL254" s="284" t="e">
        <f>IF(VLOOKUP(T_Convention[[#This Row],[NumL]],T_TraitDi[#Data],COLUMN(T_TraitDi[Colonne12]),FALSE)=0,"",TEXT(IFERROR(VLOOKUP(T_Convention[[#This Row],[NumL]],T_TraitDi[#Data],COLUMN(T_TraitDi[Colonne12]),FALSE),""),"[hh]:mm"))</f>
        <v>#N/A</v>
      </c>
      <c r="AM254" s="284" t="e">
        <f>IF(VLOOKUP(T_Convention[[#This Row],[NumL]],T_TraitDi[#Data],COLUMN(T_TraitDi[Colonne14]),FALSE)=0,"",TEXT(IFERROR(VLOOKUP(T_Convention[[#This Row],[NumL]],T_TraitDi[#Data],COLUMN(T_TraitDi[Colonne14]),FALSE),""),"[hh]:mm"))</f>
        <v>#N/A</v>
      </c>
      <c r="AN254" s="284" t="str">
        <f>IFERROR(VLOOKUP(T_Convention[[#This Row],[NumL]],T_TraitDi[#Data],COLUMN(T_TraitDi[Mercredi]),FALSE),"")</f>
        <v/>
      </c>
      <c r="AO254" s="284" t="e">
        <f>IF(VLOOKUP(T_Convention[[#This Row],[NumL]],T_TraitDi[#Data],COLUMN(T_TraitDi[Colonne15]),FALSE)=0,"",TEXT(IFERROR(VLOOKUP(T_Convention[[#This Row],[NumL]],T_TraitDi[#Data],COLUMN(T_TraitDi[Colonne15]),FALSE),""),"[hh]:mm"))</f>
        <v>#N/A</v>
      </c>
      <c r="AP254" s="284" t="e">
        <f>IF(VLOOKUP(T_Convention[[#This Row],[NumL]],T_TraitDi[#Data],COLUMN(T_TraitDi[Colonne16]),FALSE)=0,"",TEXT(IFERROR(VLOOKUP(T_Convention[[#This Row],[NumL]],T_TraitDi[#Data],COLUMN(T_TraitDi[Colonne16]),FALSE),""),"[hh]:mm"))</f>
        <v>#N/A</v>
      </c>
      <c r="AQ254" s="284" t="str">
        <f>IFERROR(VLOOKUP(T_Convention[[#This Row],[NumL]],T_TraitDi[#Data],COLUMN(T_TraitDi[Colonne17]),FALSE),"")</f>
        <v/>
      </c>
      <c r="AR254" s="284" t="e">
        <f>IF(VLOOKUP(T_Convention[[#This Row],[NumL]],T_TraitDi[#Data],COLUMN(T_TraitDi[Colonne18]),FALSE)=0,"",TEXT(IFERROR(VLOOKUP(T_Convention[[#This Row],[NumL]],T_TraitDi[#Data],COLUMN(T_TraitDi[Colonne18]),FALSE),""),"[hh]:mm"))</f>
        <v>#N/A</v>
      </c>
      <c r="AS254" s="284" t="e">
        <f>IF(VLOOKUP(T_Convention[[#This Row],[NumL]],T_TraitDi[#Data],COLUMN(T_TraitDi[Colonne19]),FALSE)=0,"",TEXT(IFERROR(VLOOKUP(T_Convention[[#This Row],[NumL]],T_TraitDi[#Data],COLUMN(T_TraitDi[Colonne19]),FALSE),""),"[hh]:mm"))</f>
        <v>#N/A</v>
      </c>
      <c r="AT254" s="284" t="e">
        <f>IF(VLOOKUP(T_Convention[[#This Row],[NumL]],T_TraitDi[#Data],COLUMN(T_TraitDi[Colonne20]),FALSE)=0,"",TEXT(IFERROR(VLOOKUP(T_Convention[[#This Row],[NumL]],T_TraitDi[#Data],COLUMN(T_TraitDi[Colonne20]),FALSE),""),"[hh]:mm"))</f>
        <v>#N/A</v>
      </c>
      <c r="AU254" s="284" t="str">
        <f>IFERROR(VLOOKUP(T_Convention[[#This Row],[NumL]],T_TraitDi[#Data],COLUMN(T_TraitDi[Jeudi]),FALSE),"")</f>
        <v/>
      </c>
      <c r="AV254" s="284" t="e">
        <f>IF(VLOOKUP(T_Convention[[#This Row],[NumL]],T_TraitDi[#Data],COLUMN(T_TraitDi[Colonne21]),FALSE)=0,"",TEXT(IFERROR(VLOOKUP(T_Convention[[#This Row],[NumL]],T_TraitDi[#Data],COLUMN(T_TraitDi[Colonne21]),FALSE),""),"[hh]:mm"))</f>
        <v>#N/A</v>
      </c>
      <c r="AW254" s="284" t="e">
        <f>IF(VLOOKUP(T_Convention[[#This Row],[NumL]],T_TraitDi[#Data],COLUMN(T_TraitDi[Colonne22]),FALSE)=0,"",TEXT(IFERROR(VLOOKUP(T_Convention[[#This Row],[NumL]],T_TraitDi[#Data],COLUMN(T_TraitDi[Colonne22]),FALSE),""),"[hh]:mm"))</f>
        <v>#N/A</v>
      </c>
      <c r="AX254" s="284" t="str">
        <f>IFERROR(VLOOKUP(T_Convention[[#This Row],[NumL]],T_TraitDi[#Data],COLUMN(T_TraitDi[Colonne23]),FALSE),"")</f>
        <v/>
      </c>
      <c r="AY254" s="284" t="e">
        <f>IF(VLOOKUP(T_Convention[[#This Row],[NumL]],T_TraitDi[#Data],COLUMN(T_TraitDi[Colonne24]),FALSE)=0,"",TEXT(IFERROR(VLOOKUP(T_Convention[[#This Row],[NumL]],T_TraitDi[#Data],COLUMN(T_TraitDi[Colonne24]),FALSE),""),"[hh]:mm"))</f>
        <v>#N/A</v>
      </c>
      <c r="AZ254" s="284" t="e">
        <f>IF(VLOOKUP(T_Convention[[#This Row],[NumL]],T_TraitDi[#Data],COLUMN(T_TraitDi[Colonne25]),FALSE)=0,"",TEXT(IFERROR(VLOOKUP(T_Convention[[#This Row],[NumL]],T_TraitDi[#Data],COLUMN(T_TraitDi[Colonne25]),FALSE),""),"[hh]:mm"))</f>
        <v>#N/A</v>
      </c>
      <c r="BA254" s="284" t="e">
        <f>IF(VLOOKUP(T_Convention[[#This Row],[NumL]],T_TraitDi[#Data],COLUMN(T_TraitDi[Colonne26]),FALSE)=0,"",TEXT(IFERROR(VLOOKUP(T_Convention[[#This Row],[NumL]],T_TraitDi[#Data],COLUMN(T_TraitDi[Colonne26]),FALSE),""),"[hh]:mm"))</f>
        <v>#N/A</v>
      </c>
      <c r="BB254" s="284" t="str">
        <f>IFERROR(VLOOKUP(T_Convention[[#This Row],[NumL]],T_TraitDi[#Data],COLUMN(T_TraitDi[Vendredi]),FALSE),"")</f>
        <v/>
      </c>
      <c r="BC254" s="284" t="e">
        <f>IF(VLOOKUP(T_Convention[[#This Row],[NumL]],T_TraitDi[#Data],COLUMN(T_TraitDi[Colonne27]),FALSE)=0,"",TEXT(IFERROR(VLOOKUP(T_Convention[[#This Row],[NumL]],T_TraitDi[#Data],COLUMN(T_TraitDi[Colonne27]),FALSE),""),"[hh]:mm"))</f>
        <v>#N/A</v>
      </c>
      <c r="BD254" s="284" t="e">
        <f>IF(VLOOKUP(T_Convention[[#This Row],[NumL]],T_TraitDi[#Data],COLUMN(T_TraitDi[Colonne28]),FALSE)=0,"",TEXT(IFERROR(VLOOKUP(T_Convention[[#This Row],[NumL]],T_TraitDi[#Data],COLUMN(T_TraitDi[Colonne28]),FALSE),""),"[hh]:mm"))</f>
        <v>#N/A</v>
      </c>
      <c r="BE254" s="284" t="str">
        <f>IFERROR(VLOOKUP(T_Convention[[#This Row],[NumL]],T_TraitDi[#Data],COLUMN(T_TraitDi[Colonne29]),FALSE),"")</f>
        <v/>
      </c>
      <c r="BF254" s="284" t="e">
        <f>IF(VLOOKUP(T_Convention[[#This Row],[NumL]],T_TraitDi[#Data],COLUMN(T_TraitDi[Colonne30]),FALSE)=0,"",TEXT(IFERROR(VLOOKUP(T_Convention[[#This Row],[NumL]],T_TraitDi[#Data],COLUMN(T_TraitDi[Colonne30]),FALSE),""),"[hh]:mm"))</f>
        <v>#N/A</v>
      </c>
      <c r="BG254" s="284" t="e">
        <f>IF(VLOOKUP(T_Convention[[#This Row],[NumL]],T_TraitDi[#Data],COLUMN(T_TraitDi[Colonne31]),FALSE)=0,"",TEXT(IFERROR(VLOOKUP(T_Convention[[#This Row],[NumL]],T_TraitDi[#Data],COLUMN(T_TraitDi[Colonne31]),FALSE),""),"[hh]:mm"))</f>
        <v>#N/A</v>
      </c>
      <c r="BH254" s="284" t="e">
        <f>IF(VLOOKUP(T_Convention[[#This Row],[NumL]],T_TraitDi[#Data],COLUMN(T_TraitDi[Colonne32]),FALSE)=0,"",TEXT(IFERROR(VLOOKUP(T_Convention[[#This Row],[NumL]],T_TraitDi[#Data],COLUMN(T_TraitDi[Colonne32]),FALSE),""),"[hh]:mm"))</f>
        <v>#N/A</v>
      </c>
      <c r="BI254" s="284" t="str">
        <f>IFERROR(VLOOKUP(T_Convention[[#This Row],[NumL]],T_TraitDi[#Data],COLUMN(T_TraitDi[NbJTW]),FALSE),"")</f>
        <v/>
      </c>
      <c r="BJ254" s="284" t="e">
        <f>IF(VLOOKUP(T_Convention[[#This Row],[NumL]],T_TraitDi[#Data],COLUMN(T_TraitDi[NbhTW]),FALSE)=0,"",TEXT(IFERROR(VLOOKUP(T_Convention[[#This Row],[NumL]],T_TraitDi[#Data],COLUMN(T_TraitDi[NbhTW]),FALSE),""),"[hh]:mm"))</f>
        <v>#N/A</v>
      </c>
      <c r="BK254" s="315" t="e">
        <f>IF(VLOOKUP(T_Convention[[#This Row],[NumL]],T_TraitDi[#Data],COLUMN(T_TraitDi[Nbhheb]),FALSE)=0,"",TEXT(IFERROR(VLOOKUP(T_Convention[[#This Row],[NumL]],T_TraitDi[#Data],COLUMN(T_TraitDi[Nbhheb]),FALSE),""),"[hh]:mm"))</f>
        <v>#N/A</v>
      </c>
      <c r="BL254" s="287" t="str">
        <f>IFERROR(VLOOKUP(VLOOKUP(T_Convention[[#This Row],[NumL]],T_TraitDi[#Data],COLUMN(T_TraitDi[Type1]),FALSE),TypeTW,2,FALSE),"")</f>
        <v/>
      </c>
      <c r="BM254" s="288" t="str">
        <f>IFERROR(VLOOKUP(T_Convention[[#This Row],[NumL]],T_TraitDi[#Data],COLUMN(T_TraitDi[Rue1]),FALSE),"")</f>
        <v/>
      </c>
      <c r="BN254" s="289" t="str">
        <f>IFERROR(VLOOKUP(T_Convention[[#This Row],[NumL]],T_TraitDi[#Data],COLUMN(T_TraitDi[CP1]),FALSE),"")</f>
        <v/>
      </c>
      <c r="BO254" s="282" t="str">
        <f>IFERROR(VLOOKUP(T_Convention[[#This Row],[NumL]],T_TraitDi[#Data],COLUMN(T_TraitDi[VILLE1]),FALSE),"")</f>
        <v/>
      </c>
      <c r="BP254" s="290" t="str">
        <f>IFERROR(VLOOKUP(VLOOKUP(T_Convention[[#This Row],[NumL]],T_TraitDi[#Data],COLUMN(T_TraitDi[Type2]),FALSE),TypeTW,2,FALSE),"")</f>
        <v/>
      </c>
      <c r="BQ254" s="310" t="str">
        <f>IFERROR(VLOOKUP(T_Convention[[#This Row],[NumL]],T_TraitDi[#Data],COLUMN(T_TraitDi[Rue2]),FALSE),"")</f>
        <v/>
      </c>
      <c r="BR254" s="290" t="str">
        <f>IFERROR(VLOOKUP(T_Convention[[#This Row],[NumL]],T_TraitDi[#Data],COLUMN(T_TraitDi[CP2]),FALSE),"")</f>
        <v/>
      </c>
      <c r="BS254" s="290" t="str">
        <f>IFERROR(VLOOKUP(T_Convention[[#This Row],[NumL]],T_TraitDi[#Data],COLUMN(T_TraitDi[VILLE2]),FALSE),"")</f>
        <v/>
      </c>
      <c r="BT254"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54" s="314" t="str">
        <f>IFERROR(IF(VLOOKUP(T_Convention[[#This Row],[NumL]],T_TraitDi[#Data],COLUMN(T_TraitDi[Plan]),FALSE)="OK","Un planning spécifique de télétravail est annexé à la présente convention.",""),"")</f>
        <v/>
      </c>
      <c r="BV254" s="291"/>
      <c r="BW254" s="292" t="e">
        <f>IF(VLOOKUP(T_Convention[[#This Row],[NumL]],T_suiviDi[#Data],COLUMN(T_suiviDi[Entité]),FALSE)="","",VLOOKUP(T_Convention[[#This Row],[NumL]],T_suiviDi[#Data],COLUMN(T_suiviDi[Entité]),FALSE))</f>
        <v>#N/A</v>
      </c>
      <c r="BX254" s="311" t="str">
        <f>IF(VLOOKUP(T_Convention[[#This Row],[NumL]],T_Commission[#Data],COLUMN(T_Commission[envoi confirm TW]),FALSE)="","",VLOOKUP(T_Convention[[#This Row],[NumL]],T_Commission[#Data],COLUMN(T_Commission[envoi confirm TW]),FALSE))</f>
        <v>Oui</v>
      </c>
      <c r="BY254"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4" s="265">
        <f>VLOOKUP(T_Convention[[#This Row],[NumL]],T_Commission[#Data],COLUMN(T_Commission[Commentaire]),FALSE)</f>
        <v>0</v>
      </c>
      <c r="CA254" s="255" t="str">
        <f>IF(VLOOKUP(T_Convention[[#This Row],[NumL]],T_Commission[#Data],COLUMN(T_Commission[Encadrant Email]),FALSE)="","",VLOOKUP(T_Convention[[#This Row],[NumL]],T_Commission[#Data],COLUMN(T_Commission[Encadrant Email]),FALSE))</f>
        <v/>
      </c>
      <c r="CB254" s="353" t="e">
        <f>VLOOKUP(T_Convention[[#This Row],[NumL]],T_TraitDi[#Data],COLUMN(T_TraitDi[NbJTot]),FALSE)</f>
        <v>#N/A</v>
      </c>
      <c r="CC254" s="353" t="e">
        <f>VLOOKUP(T_Convention[[#This Row],[NumL]],T_TraitDi[#Data],COLUMN(T_TraitDi[Reg Ponct]),FALSE)</f>
        <v>#N/A</v>
      </c>
      <c r="CD254" s="348" t="str">
        <f>IF(T_Convention[[#This Row],[Final]]&lt;&gt;"",VLOOKUP(T_Convention[[#This Row],[NumL]],T_suiviDi[#Data],COLUMN((T_suiviDi[Statut])),FALSE),"")</f>
        <v/>
      </c>
    </row>
    <row r="255" spans="1:82" s="106" customFormat="1" ht="18.75" customHeight="1" x14ac:dyDescent="0.25">
      <c r="A255" s="160">
        <v>274</v>
      </c>
      <c r="B255" s="161" t="str">
        <f>VLOOKUP(T_Convention[[#This Row],[NumL]],T_Commission[#Data],COLUMN(T_Commission[FINAL]),FALSE)</f>
        <v/>
      </c>
      <c r="C255" s="162"/>
      <c r="D255" s="95" t="e">
        <f>IF(VLOOKUP(T_Convention[[#This Row],[NumL]],T_TraitDi[#Data],COLUMN(T_TraitDi[WebC]),FALSE)="","",VLOOKUP(T_Convention[[#This Row],[NumL]],T_TraitDi[#Data],COLUMN(T_TraitDi[WebC]),FALSE))</f>
        <v>#N/A</v>
      </c>
      <c r="E255" s="163" t="str">
        <f t="shared" si="15"/>
        <v>12 janvier 2021</v>
      </c>
      <c r="F255" s="282" t="str">
        <f>IF(T_Convention[[#This Row],[Final]]&lt;&gt;"",VLOOKUP(T_Convention[[#This Row],[NumL]],T_suiviDi[#Data],COLUMN((T_suiviDi[Civ.])),FALSE),"")</f>
        <v/>
      </c>
      <c r="G255" s="283" t="str">
        <f>IF(T_Convention[[#This Row],[Final]]&lt;&gt;"",VLOOKUP(T_Convention[[#This Row],[NumL]],T_suiviDi[#Data],COLUMN((T_suiviDi[Nom])),FALSE),"")</f>
        <v/>
      </c>
      <c r="H255" s="282" t="str">
        <f>IF(T_Convention[[#This Row],[Final]]&lt;&gt;"",VLOOKUP(T_Convention[[#This Row],[NumL]],T_suiviDi[#Data],COLUMN((T_suiviDi[Prénom])),FALSE),"")</f>
        <v/>
      </c>
      <c r="I255" s="282" t="e">
        <f>VLOOKUP(T_Convention[[#This Row],[NumL]],T_suiviDi[#Data],COLUMN((T_suiviDi[[#This Row],[Email]])),FALSE)</f>
        <v>#VALUE!</v>
      </c>
      <c r="J255" s="282" t="e">
        <f>IF(VLOOKUP(T_Convention[[#This Row],[NumL]],T_suiviDi[#Data],COLUMN(T_suiviDi[[#This Row],[Fonction]]),FALSE)="","",VLOOKUP(T_Convention[[#This Row],[NumL]],T_suiviDi[#Data],COLUMN(T_suiviDi[[#This Row],[Fonction]]),FALSE))</f>
        <v>#VALUE!</v>
      </c>
      <c r="K255" s="282" t="e">
        <f>IF(VLOOKUP(T_Convention[[#This Row],[NumL]],T_suiviDi[#Data],COLUMN(T_suiviDi[[#This Row],[Grade]]),FALSE)="","",VLOOKUP(T_Convention[[#This Row],[NumL]],T_suiviDi[#Data],COLUMN(T_suiviDi[[#This Row],[Grade]]),FALSE))</f>
        <v>#VALUE!</v>
      </c>
      <c r="L255" s="282" t="e">
        <f>IF(VLOOKUP(T_Convention[[#This Row],[NumL]],T_suiviDi[#Data],COLUMN(T_suiviDi[[#This Row],[Service ]]),FALSE)="","",VLOOKUP(T_Convention[[#This Row],[NumL]],T_suiviDi[#Data],COLUMN(T_suiviDi[[#This Row],[Service ]]),FALSE))</f>
        <v>#VALUE!</v>
      </c>
      <c r="M255" s="164" t="str">
        <f t="shared" si="16"/>
        <v>01 septembre 2021</v>
      </c>
      <c r="N255" s="164" t="str">
        <f t="shared" si="17"/>
        <v>30 novembre 2021</v>
      </c>
      <c r="O255" s="284" t="str">
        <f t="shared" si="18"/>
        <v>30 novembre 2021</v>
      </c>
      <c r="P255" s="282" t="e">
        <f>IF(VLOOKUP(T_Convention[[#This Row],[NumL]],T_TraitDi[#Data],COLUMN(T_TraitDi[M1]),FALSE)="","",VLOOKUP(T_Convention[[#This Row],[NumL]],T_TraitDi[#Data],COLUMN(T_TraitDi[M1]),FALSE))</f>
        <v>#N/A</v>
      </c>
      <c r="Q255" s="282" t="e">
        <f>IF(VLOOKUP(T_Convention[[#This Row],[NumL]],T_TraitDi[#Data],COLUMN(T_TraitDi[M2]),FALSE)="","",VLOOKUP(T_Convention[[#This Row],[NumL]],T_TraitDi[#Data],COLUMN(T_TraitDi[M2]),FALSE))</f>
        <v>#N/A</v>
      </c>
      <c r="R255" s="282" t="e">
        <f>IF(VLOOKUP(T_Convention[[#This Row],[NumL]],T_TraitDi[#Data],COLUMN(T_TraitDi[M3]),FALSE)="","",VLOOKUP(T_Convention[[#This Row],[NumL]],T_TraitDi[#Data],COLUMN(T_TraitDi[M3]),FALSE))</f>
        <v>#N/A</v>
      </c>
      <c r="S255" s="282" t="e">
        <f>IF(VLOOKUP(T_Convention[[#This Row],[NumL]],T_TraitDi[#Data],COLUMN(T_TraitDi[M4]),FALSE)="","",VLOOKUP(T_Convention[[#This Row],[NumL]],T_TraitDi[#Data],COLUMN(T_TraitDi[M4]),FALSE))</f>
        <v>#N/A</v>
      </c>
      <c r="T255" s="282" t="e">
        <f>IF(VLOOKUP(T_Convention[[#This Row],[NumL]],T_TraitDi[#Data],COLUMN(T_TraitDi[M5]),FALSE)="","",VLOOKUP(T_Convention[[#This Row],[NumL]],T_TraitDi[#Data],COLUMN(T_TraitDi[M5]),FALSE))</f>
        <v>#N/A</v>
      </c>
      <c r="U255" s="282" t="e">
        <f>IF(VLOOKUP(T_Convention[[#This Row],[NumL]],T_TraitDi[#Data],COLUMN(T_TraitDi[M6]),FALSE)="","",VLOOKUP(T_Convention[[#This Row],[NumL]],T_TraitDi[#Data],COLUMN(T_TraitDi[M6]),FALSE))</f>
        <v>#N/A</v>
      </c>
      <c r="V255" s="176" t="e">
        <f t="shared" si="19"/>
        <v>#N/A</v>
      </c>
      <c r="W255" s="284" t="str">
        <f>IFERROR(TEXT(VLOOKUP(T_Convention[[#This Row],[NumL]],T_TraitDi[#Data],COLUMN(T_TraitDi[Q2]),FALSE),"###%"),"")</f>
        <v/>
      </c>
      <c r="X255" s="97" t="e">
        <f>VLOOKUP(T_Convention[[#This Row],[NumL]],T_TraitDi[#Data],COLUMN(T_TraitDi[Reg Ponct]),FALSE)</f>
        <v>#N/A</v>
      </c>
      <c r="Y255" s="97" t="e">
        <f>VLOOKUP(T_Convention[NumL],T_TraitDi[#Data],COLUMN(T_TraitDi[Jours flottants]),FALSE)</f>
        <v>#N/A</v>
      </c>
      <c r="Z255" s="284" t="str">
        <f>IFERROR(VLOOKUP(T_Convention[[#This Row],[NumL]],T_TraitDi[#Data],COLUMN(T_TraitDi[Lundi]),FALSE),"")</f>
        <v/>
      </c>
      <c r="AA255" s="284" t="e">
        <f>IF(VLOOKUP(T_Convention[[#This Row],[NumL]],T_TraitDi[#Data],COLUMN(T_TraitDi[Colonne3]),FALSE)=0,"",TEXT(IFERROR(VLOOKUP(T_Convention[[#This Row],[NumL]],T_TraitDi[#Data],COLUMN(T_TraitDi[Colonne3]),FALSE),""),"[hh]:mm"))</f>
        <v>#N/A</v>
      </c>
      <c r="AB255" s="284" t="e">
        <f>IF(VLOOKUP(T_Convention[[#This Row],[NumL]],T_TraitDi[#Data],COLUMN(T_TraitDi[Colonne4]),FALSE)=0,"",TEXT(IFERROR(VLOOKUP(T_Convention[[#This Row],[NumL]],T_TraitDi[#Data],COLUMN(T_TraitDi[Colonne4]),FALSE),""),"[hh]:mm"))</f>
        <v>#N/A</v>
      </c>
      <c r="AC255" s="284" t="e">
        <f>IF(VLOOKUP(T_Convention[[#This Row],[NumL]],T_TraitDi[#Data],COLUMN(T_TraitDi[Colonne5]),FALSE)=0,"",TEXT(IFERROR(VLOOKUP(T_Convention[[#This Row],[NumL]],T_TraitDi[#Data],COLUMN(T_TraitDi[Colonne5]),FALSE),""),"[hh]:mm"))</f>
        <v>#N/A</v>
      </c>
      <c r="AD255" s="284" t="e">
        <f>IF(VLOOKUP(T_Convention[[#This Row],[NumL]],T_TraitDi[#Data],COLUMN(T_TraitDi[Colonne6]),FALSE)=0,"",TEXT(IFERROR(VLOOKUP(T_Convention[[#This Row],[NumL]],T_TraitDi[#Data],COLUMN(T_TraitDi[Colonne6]),FALSE),""),"[hh]:mm"))</f>
        <v>#N/A</v>
      </c>
      <c r="AE255" s="284" t="e">
        <f>IF(VLOOKUP(T_Convention[[#This Row],[NumL]],T_TraitDi[#Data],COLUMN(T_TraitDi[Colonne7]),FALSE)=0,"",TEXT(IFERROR(VLOOKUP(T_Convention[[#This Row],[NumL]],T_TraitDi[#Data],COLUMN(T_TraitDi[Colonne7]),FALSE),""),"[hh]:mm"))</f>
        <v>#N/A</v>
      </c>
      <c r="AF255" s="284" t="e">
        <f>IF(VLOOKUP(T_Convention[[#This Row],[NumL]],T_TraitDi[#Data],COLUMN(T_TraitDi[Colonne8]),FALSE)=0,"",TEXT(IFERROR(VLOOKUP(T_Convention[[#This Row],[NumL]],T_TraitDi[#Data],COLUMN(T_TraitDi[Colonne8]),FALSE),""),"[hh]:mm"))</f>
        <v>#N/A</v>
      </c>
      <c r="AG255" s="284" t="str">
        <f>IFERROR(VLOOKUP(T_Convention[[#This Row],[NumL]],T_TraitDi[#Data],COLUMN(T_TraitDi[Mardi]),FALSE),"")</f>
        <v/>
      </c>
      <c r="AH255" s="284" t="e">
        <f>IF(VLOOKUP(T_Convention[[#This Row],[NumL]],T_TraitDi[#Data],COLUMN(T_TraitDi[Colonne1]),FALSE)=0,"",TEXT(IFERROR(VLOOKUP(T_Convention[[#This Row],[NumL]],T_TraitDi[#Data],COLUMN(T_TraitDi[Colonne1]),FALSE),""),"[hh]:mm"))</f>
        <v>#N/A</v>
      </c>
      <c r="AI255" s="284" t="e">
        <f>IF(VLOOKUP(T_Convention[[#This Row],[NumL]],T_TraitDi[#Data],COLUMN(T_TraitDi[Colonne9]),FALSE)=0,"",TEXT(IFERROR(VLOOKUP(T_Convention[[#This Row],[NumL]],T_TraitDi[#Data],COLUMN(T_TraitDi[Colonne9]),FALSE),""),"[hh]:mm"))</f>
        <v>#N/A</v>
      </c>
      <c r="AJ255" s="284" t="str">
        <f>IFERROR(VLOOKUP(T_Convention[[#This Row],[NumL]],T_TraitDi[#Data],COLUMN(T_TraitDi[Colonne10]),FALSE),"")</f>
        <v/>
      </c>
      <c r="AK255" s="284" t="e">
        <f>IF(VLOOKUP(T_Convention[[#This Row],[NumL]],T_TraitDi[#Data],COLUMN(T_TraitDi[Colonne11]),FALSE)=0,"",TEXT(IFERROR(VLOOKUP(T_Convention[[#This Row],[NumL]],T_TraitDi[#Data],COLUMN(T_TraitDi[Colonne11]),FALSE),""),"[hh]:mm"))</f>
        <v>#N/A</v>
      </c>
      <c r="AL255" s="284" t="e">
        <f>IF(VLOOKUP(T_Convention[[#This Row],[NumL]],T_TraitDi[#Data],COLUMN(T_TraitDi[Colonne12]),FALSE)=0,"",TEXT(IFERROR(VLOOKUP(T_Convention[[#This Row],[NumL]],T_TraitDi[#Data],COLUMN(T_TraitDi[Colonne12]),FALSE),""),"[hh]:mm"))</f>
        <v>#N/A</v>
      </c>
      <c r="AM255" s="284" t="e">
        <f>IF(VLOOKUP(T_Convention[[#This Row],[NumL]],T_TraitDi[#Data],COLUMN(T_TraitDi[Colonne14]),FALSE)=0,"",TEXT(IFERROR(VLOOKUP(T_Convention[[#This Row],[NumL]],T_TraitDi[#Data],COLUMN(T_TraitDi[Colonne14]),FALSE),""),"[hh]:mm"))</f>
        <v>#N/A</v>
      </c>
      <c r="AN255" s="284" t="str">
        <f>IFERROR(VLOOKUP(T_Convention[[#This Row],[NumL]],T_TraitDi[#Data],COLUMN(T_TraitDi[Mercredi]),FALSE),"")</f>
        <v/>
      </c>
      <c r="AO255" s="284" t="e">
        <f>IF(VLOOKUP(T_Convention[[#This Row],[NumL]],T_TraitDi[#Data],COLUMN(T_TraitDi[Colonne15]),FALSE)=0,"",TEXT(IFERROR(VLOOKUP(T_Convention[[#This Row],[NumL]],T_TraitDi[#Data],COLUMN(T_TraitDi[Colonne15]),FALSE),""),"[hh]:mm"))</f>
        <v>#N/A</v>
      </c>
      <c r="AP255" s="284" t="e">
        <f>IF(VLOOKUP(T_Convention[[#This Row],[NumL]],T_TraitDi[#Data],COLUMN(T_TraitDi[Colonne16]),FALSE)=0,"",TEXT(IFERROR(VLOOKUP(T_Convention[[#This Row],[NumL]],T_TraitDi[#Data],COLUMN(T_TraitDi[Colonne16]),FALSE),""),"[hh]:mm"))</f>
        <v>#N/A</v>
      </c>
      <c r="AQ255" s="284" t="str">
        <f>IFERROR(VLOOKUP(T_Convention[[#This Row],[NumL]],T_TraitDi[#Data],COLUMN(T_TraitDi[Colonne17]),FALSE),"")</f>
        <v/>
      </c>
      <c r="AR255" s="284" t="e">
        <f>IF(VLOOKUP(T_Convention[[#This Row],[NumL]],T_TraitDi[#Data],COLUMN(T_TraitDi[Colonne18]),FALSE)=0,"",TEXT(IFERROR(VLOOKUP(T_Convention[[#This Row],[NumL]],T_TraitDi[#Data],COLUMN(T_TraitDi[Colonne18]),FALSE),""),"[hh]:mm"))</f>
        <v>#N/A</v>
      </c>
      <c r="AS255" s="284" t="e">
        <f>IF(VLOOKUP(T_Convention[[#This Row],[NumL]],T_TraitDi[#Data],COLUMN(T_TraitDi[Colonne19]),FALSE)=0,"",TEXT(IFERROR(VLOOKUP(T_Convention[[#This Row],[NumL]],T_TraitDi[#Data],COLUMN(T_TraitDi[Colonne19]),FALSE),""),"[hh]:mm"))</f>
        <v>#N/A</v>
      </c>
      <c r="AT255" s="284" t="e">
        <f>IF(VLOOKUP(T_Convention[[#This Row],[NumL]],T_TraitDi[#Data],COLUMN(T_TraitDi[Colonne20]),FALSE)=0,"",TEXT(IFERROR(VLOOKUP(T_Convention[[#This Row],[NumL]],T_TraitDi[#Data],COLUMN(T_TraitDi[Colonne20]),FALSE),""),"[hh]:mm"))</f>
        <v>#N/A</v>
      </c>
      <c r="AU255" s="284" t="str">
        <f>IFERROR(VLOOKUP(T_Convention[[#This Row],[NumL]],T_TraitDi[#Data],COLUMN(T_TraitDi[Jeudi]),FALSE),"")</f>
        <v/>
      </c>
      <c r="AV255" s="284" t="e">
        <f>IF(VLOOKUP(T_Convention[[#This Row],[NumL]],T_TraitDi[#Data],COLUMN(T_TraitDi[Colonne21]),FALSE)=0,"",TEXT(IFERROR(VLOOKUP(T_Convention[[#This Row],[NumL]],T_TraitDi[#Data],COLUMN(T_TraitDi[Colonne21]),FALSE),""),"[hh]:mm"))</f>
        <v>#N/A</v>
      </c>
      <c r="AW255" s="284" t="e">
        <f>IF(VLOOKUP(T_Convention[[#This Row],[NumL]],T_TraitDi[#Data],COLUMN(T_TraitDi[Colonne22]),FALSE)=0,"",TEXT(IFERROR(VLOOKUP(T_Convention[[#This Row],[NumL]],T_TraitDi[#Data],COLUMN(T_TraitDi[Colonne22]),FALSE),""),"[hh]:mm"))</f>
        <v>#N/A</v>
      </c>
      <c r="AX255" s="284" t="str">
        <f>IFERROR(VLOOKUP(T_Convention[[#This Row],[NumL]],T_TraitDi[#Data],COLUMN(T_TraitDi[Colonne23]),FALSE),"")</f>
        <v/>
      </c>
      <c r="AY255" s="284" t="e">
        <f>IF(VLOOKUP(T_Convention[[#This Row],[NumL]],T_TraitDi[#Data],COLUMN(T_TraitDi[Colonne24]),FALSE)=0,"",TEXT(IFERROR(VLOOKUP(T_Convention[[#This Row],[NumL]],T_TraitDi[#Data],COLUMN(T_TraitDi[Colonne24]),FALSE),""),"[hh]:mm"))</f>
        <v>#N/A</v>
      </c>
      <c r="AZ255" s="284" t="e">
        <f>IF(VLOOKUP(T_Convention[[#This Row],[NumL]],T_TraitDi[#Data],COLUMN(T_TraitDi[Colonne25]),FALSE)=0,"",TEXT(IFERROR(VLOOKUP(T_Convention[[#This Row],[NumL]],T_TraitDi[#Data],COLUMN(T_TraitDi[Colonne25]),FALSE),""),"[hh]:mm"))</f>
        <v>#N/A</v>
      </c>
      <c r="BA255" s="284" t="e">
        <f>IF(VLOOKUP(T_Convention[[#This Row],[NumL]],T_TraitDi[#Data],COLUMN(T_TraitDi[Colonne26]),FALSE)=0,"",TEXT(IFERROR(VLOOKUP(T_Convention[[#This Row],[NumL]],T_TraitDi[#Data],COLUMN(T_TraitDi[Colonne26]),FALSE),""),"[hh]:mm"))</f>
        <v>#N/A</v>
      </c>
      <c r="BB255" s="284" t="str">
        <f>IFERROR(VLOOKUP(T_Convention[[#This Row],[NumL]],T_TraitDi[#Data],COLUMN(T_TraitDi[Vendredi]),FALSE),"")</f>
        <v/>
      </c>
      <c r="BC255" s="284" t="e">
        <f>IF(VLOOKUP(T_Convention[[#This Row],[NumL]],T_TraitDi[#Data],COLUMN(T_TraitDi[Colonne27]),FALSE)=0,"",TEXT(IFERROR(VLOOKUP(T_Convention[[#This Row],[NumL]],T_TraitDi[#Data],COLUMN(T_TraitDi[Colonne27]),FALSE),""),"[hh]:mm"))</f>
        <v>#N/A</v>
      </c>
      <c r="BD255" s="284" t="e">
        <f>IF(VLOOKUP(T_Convention[[#This Row],[NumL]],T_TraitDi[#Data],COLUMN(T_TraitDi[Colonne28]),FALSE)=0,"",TEXT(IFERROR(VLOOKUP(T_Convention[[#This Row],[NumL]],T_TraitDi[#Data],COLUMN(T_TraitDi[Colonne28]),FALSE),""),"[hh]:mm"))</f>
        <v>#N/A</v>
      </c>
      <c r="BE255" s="284" t="str">
        <f>IFERROR(VLOOKUP(T_Convention[[#This Row],[NumL]],T_TraitDi[#Data],COLUMN(T_TraitDi[Colonne29]),FALSE),"")</f>
        <v/>
      </c>
      <c r="BF255" s="284" t="e">
        <f>IF(VLOOKUP(T_Convention[[#This Row],[NumL]],T_TraitDi[#Data],COLUMN(T_TraitDi[Colonne30]),FALSE)=0,"",TEXT(IFERROR(VLOOKUP(T_Convention[[#This Row],[NumL]],T_TraitDi[#Data],COLUMN(T_TraitDi[Colonne30]),FALSE),""),"[hh]:mm"))</f>
        <v>#N/A</v>
      </c>
      <c r="BG255" s="284" t="e">
        <f>IF(VLOOKUP(T_Convention[[#This Row],[NumL]],T_TraitDi[#Data],COLUMN(T_TraitDi[Colonne31]),FALSE)=0,"",TEXT(IFERROR(VLOOKUP(T_Convention[[#This Row],[NumL]],T_TraitDi[#Data],COLUMN(T_TraitDi[Colonne31]),FALSE),""),"[hh]:mm"))</f>
        <v>#N/A</v>
      </c>
      <c r="BH255" s="284" t="e">
        <f>IF(VLOOKUP(T_Convention[[#This Row],[NumL]],T_TraitDi[#Data],COLUMN(T_TraitDi[Colonne32]),FALSE)=0,"",TEXT(IFERROR(VLOOKUP(T_Convention[[#This Row],[NumL]],T_TraitDi[#Data],COLUMN(T_TraitDi[Colonne32]),FALSE),""),"[hh]:mm"))</f>
        <v>#N/A</v>
      </c>
      <c r="BI255" s="284" t="str">
        <f>IFERROR(VLOOKUP(T_Convention[[#This Row],[NumL]],T_TraitDi[#Data],COLUMN(T_TraitDi[NbJTW]),FALSE),"")</f>
        <v/>
      </c>
      <c r="BJ255" s="284" t="e">
        <f>IF(VLOOKUP(T_Convention[[#This Row],[NumL]],T_TraitDi[#Data],COLUMN(T_TraitDi[NbhTW]),FALSE)=0,"",TEXT(IFERROR(VLOOKUP(T_Convention[[#This Row],[NumL]],T_TraitDi[#Data],COLUMN(T_TraitDi[NbhTW]),FALSE),""),"[hh]:mm"))</f>
        <v>#N/A</v>
      </c>
      <c r="BK255" s="286" t="e">
        <f>IF(VLOOKUP(T_Convention[[#This Row],[NumL]],T_TraitDi[#Data],COLUMN(T_TraitDi[Nbhheb]),FALSE)=0,"",TEXT(IFERROR(VLOOKUP(T_Convention[[#This Row],[NumL]],T_TraitDi[#Data],COLUMN(T_TraitDi[Nbhheb]),FALSE),""),"[hh]:mm"))</f>
        <v>#N/A</v>
      </c>
      <c r="BL255" s="287" t="str">
        <f>IFERROR(VLOOKUP(VLOOKUP(T_Convention[[#This Row],[NumL]],T_TraitDi[#Data],COLUMN(T_TraitDi[Type1]),FALSE),TypeTW,2,FALSE),"")</f>
        <v/>
      </c>
      <c r="BM255" s="288" t="str">
        <f>IFERROR(VLOOKUP(T_Convention[[#This Row],[NumL]],T_TraitDi[#Data],COLUMN(T_TraitDi[Rue1]),FALSE),"")</f>
        <v/>
      </c>
      <c r="BN255" s="289" t="str">
        <f>IFERROR(VLOOKUP(T_Convention[[#This Row],[NumL]],T_TraitDi[#Data],COLUMN(T_TraitDi[CP1]),FALSE),"")</f>
        <v/>
      </c>
      <c r="BO255" s="282" t="str">
        <f>IFERROR(VLOOKUP(T_Convention[[#This Row],[NumL]],T_TraitDi[#Data],COLUMN(T_TraitDi[VILLE1]),FALSE),"")</f>
        <v/>
      </c>
      <c r="BP255" s="290" t="str">
        <f>IFERROR(VLOOKUP(VLOOKUP(T_Convention[[#This Row],[NumL]],T_TraitDi[#Data],COLUMN(T_TraitDi[Type2]),FALSE),TypeTW,2,FALSE),"")</f>
        <v/>
      </c>
      <c r="BQ255" s="182" t="str">
        <f>IFERROR(VLOOKUP(T_Convention[[#This Row],[NumL]],T_TraitDi[#Data],COLUMN(T_TraitDi[Rue2]),FALSE),"")</f>
        <v/>
      </c>
      <c r="BR255" s="173" t="str">
        <f>IFERROR(VLOOKUP(T_Convention[[#This Row],[NumL]],T_TraitDi[#Data],COLUMN(T_TraitDi[CP2]),FALSE),"")</f>
        <v/>
      </c>
      <c r="BS255" s="173" t="str">
        <f>IFERROR(VLOOKUP(T_Convention[[#This Row],[NumL]],T_TraitDi[#Data],COLUMN(T_TraitDi[VILLE2]),FALSE),"")</f>
        <v/>
      </c>
      <c r="BT255" s="182" t="str">
        <f>IF(VLOOKUP(T_Convention[[#This Row],[NumL]],T_Equipement[#Data],COLUMN(T_Equipement[PC]),FALSE)="","Aucun équipement spécifique directement lié au télétravail",VLOOKUP(T_Convention[[#This Row],[NumL]],T_Equipement[#Data],COLUMN(T_Equipement[PC]),FALSE))</f>
        <v xml:space="preserve">20-709	</v>
      </c>
      <c r="BU255" s="166" t="str">
        <f>IFERROR(IF(VLOOKUP(T_Convention[[#This Row],[NumL]],T_TraitDi[#Data],COLUMN(T_TraitDi[Plan]),FALSE)="OK","Un planning spécifique de télétravail est annexé à la présente convention.",""),"")</f>
        <v/>
      </c>
      <c r="BV255" s="185" t="s">
        <v>3456</v>
      </c>
      <c r="BW255" s="164" t="e">
        <f>IF(VLOOKUP(T_Convention[[#This Row],[NumL]],T_suiviDi[#Data],COLUMN(T_suiviDi[Entité]),FALSE)="","",VLOOKUP(T_Convention[[#This Row],[NumL]],T_suiviDi[#Data],COLUMN(T_suiviDi[Entité]),FALSE))</f>
        <v>#N/A</v>
      </c>
      <c r="BX255" s="164" t="str">
        <f>IF(VLOOKUP(T_Convention[[#This Row],[NumL]],T_Commission[#Data],COLUMN(T_Commission[envoi confirm TW]),FALSE)="","",VLOOKUP(T_Convention[[#This Row],[NumL]],T_Commission[#Data],COLUMN(T_Commission[envoi confirm TW]),FALSE))</f>
        <v>Oui</v>
      </c>
      <c r="BY25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5" s="264">
        <f>VLOOKUP(T_Convention[[#This Row],[NumL]],T_Commission[#Data],COLUMN(T_Commission[Commentaire]),FALSE)</f>
        <v>0</v>
      </c>
      <c r="CA255" s="254" t="str">
        <f>IF(VLOOKUP(T_Convention[[#This Row],[NumL]],T_Commission[#Data],COLUMN(T_Commission[Encadrant Email]),FALSE)="","",VLOOKUP(T_Convention[[#This Row],[NumL]],T_Commission[#Data],COLUMN(T_Commission[Encadrant Email]),FALSE))</f>
        <v/>
      </c>
      <c r="CB255" s="353" t="e">
        <f>VLOOKUP(T_Convention[[#This Row],[NumL]],T_TraitDi[#Data],COLUMN(T_TraitDi[NbJTot]),FALSE)</f>
        <v>#N/A</v>
      </c>
      <c r="CC255" s="353" t="e">
        <f>VLOOKUP(T_Convention[[#This Row],[NumL]],T_TraitDi[#Data],COLUMN(T_TraitDi[Reg Ponct]),FALSE)</f>
        <v>#N/A</v>
      </c>
      <c r="CD255" s="348" t="str">
        <f>IF(T_Convention[[#This Row],[Final]]&lt;&gt;"",VLOOKUP(T_Convention[[#This Row],[NumL]],T_suiviDi[#Data],COLUMN((T_suiviDi[Statut])),FALSE),"")</f>
        <v/>
      </c>
    </row>
    <row r="256" spans="1:82" s="106" customFormat="1" ht="18.75" customHeight="1" x14ac:dyDescent="0.25">
      <c r="A256" s="160">
        <v>40</v>
      </c>
      <c r="B256" s="161" t="str">
        <f>VLOOKUP(T_Convention[[#This Row],[NumL]],T_Commission[#Data],COLUMN(T_Commission[FINAL]),FALSE)</f>
        <v/>
      </c>
      <c r="C256" s="162"/>
      <c r="D256" s="95" t="e">
        <f>IF(VLOOKUP(T_Convention[[#This Row],[NumL]],T_TraitDi[#Data],COLUMN(T_TraitDi[WebC]),FALSE)="","",VLOOKUP(T_Convention[[#This Row],[NumL]],T_TraitDi[#Data],COLUMN(T_TraitDi[WebC]),FALSE))</f>
        <v>#N/A</v>
      </c>
      <c r="E256" s="163" t="str">
        <f t="shared" si="15"/>
        <v>12 janvier 2021</v>
      </c>
      <c r="F256" s="282" t="str">
        <f>IF(T_Convention[[#This Row],[Final]]&lt;&gt;"",VLOOKUP(T_Convention[[#This Row],[NumL]],T_suiviDi[#Data],COLUMN((T_suiviDi[Civ.])),FALSE),"")</f>
        <v/>
      </c>
      <c r="G256" s="283" t="str">
        <f>IF(T_Convention[[#This Row],[Final]]&lt;&gt;"",VLOOKUP(T_Convention[[#This Row],[NumL]],T_suiviDi[#Data],COLUMN((T_suiviDi[Nom])),FALSE),"")</f>
        <v/>
      </c>
      <c r="H256" s="282" t="str">
        <f>IF(T_Convention[[#This Row],[Final]]&lt;&gt;"",VLOOKUP(T_Convention[[#This Row],[NumL]],T_suiviDi[#Data],COLUMN((T_suiviDi[Prénom])),FALSE),"")</f>
        <v/>
      </c>
      <c r="I256" s="282" t="e">
        <f>VLOOKUP(T_Convention[[#This Row],[NumL]],T_suiviDi[#Data],COLUMN((T_suiviDi[[#This Row],[Email]])),FALSE)</f>
        <v>#VALUE!</v>
      </c>
      <c r="J256" s="282" t="e">
        <f>IF(VLOOKUP(T_Convention[[#This Row],[NumL]],T_suiviDi[#Data],COLUMN(T_suiviDi[[#This Row],[Fonction]]),FALSE)="","",VLOOKUP(T_Convention[[#This Row],[NumL]],T_suiviDi[#Data],COLUMN(T_suiviDi[[#This Row],[Fonction]]),FALSE))</f>
        <v>#VALUE!</v>
      </c>
      <c r="K256" s="282" t="e">
        <f>IF(VLOOKUP(T_Convention[[#This Row],[NumL]],T_suiviDi[#Data],COLUMN(T_suiviDi[[#This Row],[Grade]]),FALSE)="","",VLOOKUP(T_Convention[[#This Row],[NumL]],T_suiviDi[#Data],COLUMN(T_suiviDi[[#This Row],[Grade]]),FALSE))</f>
        <v>#VALUE!</v>
      </c>
      <c r="L256" s="282" t="e">
        <f>IF(VLOOKUP(T_Convention[[#This Row],[NumL]],T_suiviDi[#Data],COLUMN(T_suiviDi[[#This Row],[Service ]]),FALSE)="","",VLOOKUP(T_Convention[[#This Row],[NumL]],T_suiviDi[#Data],COLUMN(T_suiviDi[[#This Row],[Service ]]),FALSE))</f>
        <v>#VALUE!</v>
      </c>
      <c r="M256" s="164" t="str">
        <f t="shared" si="16"/>
        <v>01 septembre 2021</v>
      </c>
      <c r="N256" s="164" t="str">
        <f t="shared" si="17"/>
        <v>30 novembre 2021</v>
      </c>
      <c r="O256" s="284" t="str">
        <f t="shared" si="18"/>
        <v>30 novembre 2021</v>
      </c>
      <c r="P256" s="282" t="e">
        <f>IF(VLOOKUP(T_Convention[[#This Row],[NumL]],T_TraitDi[#Data],COLUMN(T_TraitDi[M1]),FALSE)="","",VLOOKUP(T_Convention[[#This Row],[NumL]],T_TraitDi[#Data],COLUMN(T_TraitDi[M1]),FALSE))</f>
        <v>#N/A</v>
      </c>
      <c r="Q256" s="282" t="e">
        <f>IF(VLOOKUP(T_Convention[[#This Row],[NumL]],T_TraitDi[#Data],COLUMN(T_TraitDi[M2]),FALSE)="","",VLOOKUP(T_Convention[[#This Row],[NumL]],T_TraitDi[#Data],COLUMN(T_TraitDi[M2]),FALSE))</f>
        <v>#N/A</v>
      </c>
      <c r="R256" s="282" t="e">
        <f>IF(VLOOKUP(T_Convention[[#This Row],[NumL]],T_TraitDi[#Data],COLUMN(T_TraitDi[M3]),FALSE)="","",VLOOKUP(T_Convention[[#This Row],[NumL]],T_TraitDi[#Data],COLUMN(T_TraitDi[M3]),FALSE))</f>
        <v>#N/A</v>
      </c>
      <c r="S256" s="282" t="e">
        <f>IF(VLOOKUP(T_Convention[[#This Row],[NumL]],T_TraitDi[#Data],COLUMN(T_TraitDi[M4]),FALSE)="","",VLOOKUP(T_Convention[[#This Row],[NumL]],T_TraitDi[#Data],COLUMN(T_TraitDi[M4]),FALSE))</f>
        <v>#N/A</v>
      </c>
      <c r="T256" s="282" t="e">
        <f>IF(VLOOKUP(T_Convention[[#This Row],[NumL]],T_TraitDi[#Data],COLUMN(T_TraitDi[M5]),FALSE)="","",VLOOKUP(T_Convention[[#This Row],[NumL]],T_TraitDi[#Data],COLUMN(T_TraitDi[M5]),FALSE))</f>
        <v>#N/A</v>
      </c>
      <c r="U256" s="282" t="e">
        <f>IF(VLOOKUP(T_Convention[[#This Row],[NumL]],T_TraitDi[#Data],COLUMN(T_TraitDi[M6]),FALSE)="","",VLOOKUP(T_Convention[[#This Row],[NumL]],T_TraitDi[#Data],COLUMN(T_TraitDi[M6]),FALSE))</f>
        <v>#N/A</v>
      </c>
      <c r="V256" s="176" t="e">
        <f t="shared" si="19"/>
        <v>#N/A</v>
      </c>
      <c r="W256" s="284" t="str">
        <f>IFERROR(TEXT(VLOOKUP(T_Convention[[#This Row],[NumL]],T_TraitDi[#Data],COLUMN(T_TraitDi[Q2]),FALSE),"###%"),"")</f>
        <v/>
      </c>
      <c r="X256" s="97" t="e">
        <f>VLOOKUP(T_Convention[[#This Row],[NumL]],T_TraitDi[#Data],COLUMN(T_TraitDi[Reg Ponct]),FALSE)</f>
        <v>#N/A</v>
      </c>
      <c r="Y256" s="97" t="e">
        <f>VLOOKUP(T_Convention[NumL],T_TraitDi[#Data],COLUMN(T_TraitDi[Jours flottants]),FALSE)</f>
        <v>#N/A</v>
      </c>
      <c r="Z256" s="284" t="str">
        <f>IFERROR(VLOOKUP(T_Convention[[#This Row],[NumL]],T_TraitDi[#Data],COLUMN(T_TraitDi[Lundi]),FALSE),"")</f>
        <v/>
      </c>
      <c r="AA256" s="284" t="e">
        <f>IF(VLOOKUP(T_Convention[[#This Row],[NumL]],T_TraitDi[#Data],COLUMN(T_TraitDi[Colonne3]),FALSE)=0,"",TEXT(IFERROR(VLOOKUP(T_Convention[[#This Row],[NumL]],T_TraitDi[#Data],COLUMN(T_TraitDi[Colonne3]),FALSE),""),"[hh]:mm"))</f>
        <v>#N/A</v>
      </c>
      <c r="AB256" s="284" t="e">
        <f>IF(VLOOKUP(T_Convention[[#This Row],[NumL]],T_TraitDi[#Data],COLUMN(T_TraitDi[Colonne4]),FALSE)=0,"",TEXT(IFERROR(VLOOKUP(T_Convention[[#This Row],[NumL]],T_TraitDi[#Data],COLUMN(T_TraitDi[Colonne4]),FALSE),""),"[hh]:mm"))</f>
        <v>#N/A</v>
      </c>
      <c r="AC256" s="284" t="e">
        <f>IF(VLOOKUP(T_Convention[[#This Row],[NumL]],T_TraitDi[#Data],COLUMN(T_TraitDi[Colonne5]),FALSE)=0,"",TEXT(IFERROR(VLOOKUP(T_Convention[[#This Row],[NumL]],T_TraitDi[#Data],COLUMN(T_TraitDi[Colonne5]),FALSE),""),"[hh]:mm"))</f>
        <v>#N/A</v>
      </c>
      <c r="AD256" s="284" t="e">
        <f>IF(VLOOKUP(T_Convention[[#This Row],[NumL]],T_TraitDi[#Data],COLUMN(T_TraitDi[Colonne6]),FALSE)=0,"",TEXT(IFERROR(VLOOKUP(T_Convention[[#This Row],[NumL]],T_TraitDi[#Data],COLUMN(T_TraitDi[Colonne6]),FALSE),""),"[hh]:mm"))</f>
        <v>#N/A</v>
      </c>
      <c r="AE256" s="284" t="e">
        <f>IF(VLOOKUP(T_Convention[[#This Row],[NumL]],T_TraitDi[#Data],COLUMN(T_TraitDi[Colonne7]),FALSE)=0,"",TEXT(IFERROR(VLOOKUP(T_Convention[[#This Row],[NumL]],T_TraitDi[#Data],COLUMN(T_TraitDi[Colonne7]),FALSE),""),"[hh]:mm"))</f>
        <v>#N/A</v>
      </c>
      <c r="AF256" s="284" t="e">
        <f>IF(VLOOKUP(T_Convention[[#This Row],[NumL]],T_TraitDi[#Data],COLUMN(T_TraitDi[Colonne8]),FALSE)=0,"",TEXT(IFERROR(VLOOKUP(T_Convention[[#This Row],[NumL]],T_TraitDi[#Data],COLUMN(T_TraitDi[Colonne8]),FALSE),""),"[hh]:mm"))</f>
        <v>#N/A</v>
      </c>
      <c r="AG256" s="284" t="str">
        <f>IFERROR(VLOOKUP(T_Convention[[#This Row],[NumL]],T_TraitDi[#Data],COLUMN(T_TraitDi[Mardi]),FALSE),"")</f>
        <v/>
      </c>
      <c r="AH256" s="284" t="e">
        <f>IF(VLOOKUP(T_Convention[[#This Row],[NumL]],T_TraitDi[#Data],COLUMN(T_TraitDi[Colonne1]),FALSE)=0,"",TEXT(IFERROR(VLOOKUP(T_Convention[[#This Row],[NumL]],T_TraitDi[#Data],COLUMN(T_TraitDi[Colonne1]),FALSE),""),"[hh]:mm"))</f>
        <v>#N/A</v>
      </c>
      <c r="AI256" s="284" t="e">
        <f>IF(VLOOKUP(T_Convention[[#This Row],[NumL]],T_TraitDi[#Data],COLUMN(T_TraitDi[Colonne9]),FALSE)=0,"",TEXT(IFERROR(VLOOKUP(T_Convention[[#This Row],[NumL]],T_TraitDi[#Data],COLUMN(T_TraitDi[Colonne9]),FALSE),""),"[hh]:mm"))</f>
        <v>#N/A</v>
      </c>
      <c r="AJ256" s="284" t="str">
        <f>IFERROR(VLOOKUP(T_Convention[[#This Row],[NumL]],T_TraitDi[#Data],COLUMN(T_TraitDi[Colonne10]),FALSE),"")</f>
        <v/>
      </c>
      <c r="AK256" s="284" t="e">
        <f>IF(VLOOKUP(T_Convention[[#This Row],[NumL]],T_TraitDi[#Data],COLUMN(T_TraitDi[Colonne11]),FALSE)=0,"",TEXT(IFERROR(VLOOKUP(T_Convention[[#This Row],[NumL]],T_TraitDi[#Data],COLUMN(T_TraitDi[Colonne11]),FALSE),""),"[hh]:mm"))</f>
        <v>#N/A</v>
      </c>
      <c r="AL256" s="284" t="e">
        <f>IF(VLOOKUP(T_Convention[[#This Row],[NumL]],T_TraitDi[#Data],COLUMN(T_TraitDi[Colonne12]),FALSE)=0,"",TEXT(IFERROR(VLOOKUP(T_Convention[[#This Row],[NumL]],T_TraitDi[#Data],COLUMN(T_TraitDi[Colonne12]),FALSE),""),"[hh]:mm"))</f>
        <v>#N/A</v>
      </c>
      <c r="AM256" s="284" t="e">
        <f>IF(VLOOKUP(T_Convention[[#This Row],[NumL]],T_TraitDi[#Data],COLUMN(T_TraitDi[Colonne14]),FALSE)=0,"",TEXT(IFERROR(VLOOKUP(T_Convention[[#This Row],[NumL]],T_TraitDi[#Data],COLUMN(T_TraitDi[Colonne14]),FALSE),""),"[hh]:mm"))</f>
        <v>#N/A</v>
      </c>
      <c r="AN256" s="284" t="str">
        <f>IFERROR(VLOOKUP(T_Convention[[#This Row],[NumL]],T_TraitDi[#Data],COLUMN(T_TraitDi[Mercredi]),FALSE),"")</f>
        <v/>
      </c>
      <c r="AO256" s="284" t="e">
        <f>IF(VLOOKUP(T_Convention[[#This Row],[NumL]],T_TraitDi[#Data],COLUMN(T_TraitDi[Colonne15]),FALSE)=0,"",TEXT(IFERROR(VLOOKUP(T_Convention[[#This Row],[NumL]],T_TraitDi[#Data],COLUMN(T_TraitDi[Colonne15]),FALSE),""),"[hh]:mm"))</f>
        <v>#N/A</v>
      </c>
      <c r="AP256" s="284" t="e">
        <f>IF(VLOOKUP(T_Convention[[#This Row],[NumL]],T_TraitDi[#Data],COLUMN(T_TraitDi[Colonne16]),FALSE)=0,"",TEXT(IFERROR(VLOOKUP(T_Convention[[#This Row],[NumL]],T_TraitDi[#Data],COLUMN(T_TraitDi[Colonne16]),FALSE),""),"[hh]:mm"))</f>
        <v>#N/A</v>
      </c>
      <c r="AQ256" s="284" t="str">
        <f>IFERROR(VLOOKUP(T_Convention[[#This Row],[NumL]],T_TraitDi[#Data],COLUMN(T_TraitDi[Colonne17]),FALSE),"")</f>
        <v/>
      </c>
      <c r="AR256" s="284" t="e">
        <f>IF(VLOOKUP(T_Convention[[#This Row],[NumL]],T_TraitDi[#Data],COLUMN(T_TraitDi[Colonne18]),FALSE)=0,"",TEXT(IFERROR(VLOOKUP(T_Convention[[#This Row],[NumL]],T_TraitDi[#Data],COLUMN(T_TraitDi[Colonne18]),FALSE),""),"[hh]:mm"))</f>
        <v>#N/A</v>
      </c>
      <c r="AS256" s="284" t="e">
        <f>IF(VLOOKUP(T_Convention[[#This Row],[NumL]],T_TraitDi[#Data],COLUMN(T_TraitDi[Colonne19]),FALSE)=0,"",TEXT(IFERROR(VLOOKUP(T_Convention[[#This Row],[NumL]],T_TraitDi[#Data],COLUMN(T_TraitDi[Colonne19]),FALSE),""),"[hh]:mm"))</f>
        <v>#N/A</v>
      </c>
      <c r="AT256" s="284" t="e">
        <f>IF(VLOOKUP(T_Convention[[#This Row],[NumL]],T_TraitDi[#Data],COLUMN(T_TraitDi[Colonne20]),FALSE)=0,"",TEXT(IFERROR(VLOOKUP(T_Convention[[#This Row],[NumL]],T_TraitDi[#Data],COLUMN(T_TraitDi[Colonne20]),FALSE),""),"[hh]:mm"))</f>
        <v>#N/A</v>
      </c>
      <c r="AU256" s="284" t="str">
        <f>IFERROR(VLOOKUP(T_Convention[[#This Row],[NumL]],T_TraitDi[#Data],COLUMN(T_TraitDi[Jeudi]),FALSE),"")</f>
        <v/>
      </c>
      <c r="AV256" s="284" t="e">
        <f>IF(VLOOKUP(T_Convention[[#This Row],[NumL]],T_TraitDi[#Data],COLUMN(T_TraitDi[Colonne21]),FALSE)=0,"",TEXT(IFERROR(VLOOKUP(T_Convention[[#This Row],[NumL]],T_TraitDi[#Data],COLUMN(T_TraitDi[Colonne21]),FALSE),""),"[hh]:mm"))</f>
        <v>#N/A</v>
      </c>
      <c r="AW256" s="284" t="e">
        <f>IF(VLOOKUP(T_Convention[[#This Row],[NumL]],T_TraitDi[#Data],COLUMN(T_TraitDi[Colonne22]),FALSE)=0,"",TEXT(IFERROR(VLOOKUP(T_Convention[[#This Row],[NumL]],T_TraitDi[#Data],COLUMN(T_TraitDi[Colonne22]),FALSE),""),"[hh]:mm"))</f>
        <v>#N/A</v>
      </c>
      <c r="AX256" s="284" t="str">
        <f>IFERROR(VLOOKUP(T_Convention[[#This Row],[NumL]],T_TraitDi[#Data],COLUMN(T_TraitDi[Colonne23]),FALSE),"")</f>
        <v/>
      </c>
      <c r="AY256" s="284" t="e">
        <f>IF(VLOOKUP(T_Convention[[#This Row],[NumL]],T_TraitDi[#Data],COLUMN(T_TraitDi[Colonne24]),FALSE)=0,"",TEXT(IFERROR(VLOOKUP(T_Convention[[#This Row],[NumL]],T_TraitDi[#Data],COLUMN(T_TraitDi[Colonne24]),FALSE),""),"[hh]:mm"))</f>
        <v>#N/A</v>
      </c>
      <c r="AZ256" s="284" t="e">
        <f>IF(VLOOKUP(T_Convention[[#This Row],[NumL]],T_TraitDi[#Data],COLUMN(T_TraitDi[Colonne25]),FALSE)=0,"",TEXT(IFERROR(VLOOKUP(T_Convention[[#This Row],[NumL]],T_TraitDi[#Data],COLUMN(T_TraitDi[Colonne25]),FALSE),""),"[hh]:mm"))</f>
        <v>#N/A</v>
      </c>
      <c r="BA256" s="284" t="e">
        <f>IF(VLOOKUP(T_Convention[[#This Row],[NumL]],T_TraitDi[#Data],COLUMN(T_TraitDi[Colonne26]),FALSE)=0,"",TEXT(IFERROR(VLOOKUP(T_Convention[[#This Row],[NumL]],T_TraitDi[#Data],COLUMN(T_TraitDi[Colonne26]),FALSE),""),"[hh]:mm"))</f>
        <v>#N/A</v>
      </c>
      <c r="BB256" s="284" t="str">
        <f>IFERROR(VLOOKUP(T_Convention[[#This Row],[NumL]],T_TraitDi[#Data],COLUMN(T_TraitDi[Vendredi]),FALSE),"")</f>
        <v/>
      </c>
      <c r="BC256" s="284" t="e">
        <f>IF(VLOOKUP(T_Convention[[#This Row],[NumL]],T_TraitDi[#Data],COLUMN(T_TraitDi[Colonne27]),FALSE)=0,"",TEXT(IFERROR(VLOOKUP(T_Convention[[#This Row],[NumL]],T_TraitDi[#Data],COLUMN(T_TraitDi[Colonne27]),FALSE),""),"[hh]:mm"))</f>
        <v>#N/A</v>
      </c>
      <c r="BD256" s="284" t="e">
        <f>IF(VLOOKUP(T_Convention[[#This Row],[NumL]],T_TraitDi[#Data],COLUMN(T_TraitDi[Colonne28]),FALSE)=0,"",TEXT(IFERROR(VLOOKUP(T_Convention[[#This Row],[NumL]],T_TraitDi[#Data],COLUMN(T_TraitDi[Colonne28]),FALSE),""),"[hh]:mm"))</f>
        <v>#N/A</v>
      </c>
      <c r="BE256" s="284" t="str">
        <f>IFERROR(VLOOKUP(T_Convention[[#This Row],[NumL]],T_TraitDi[#Data],COLUMN(T_TraitDi[Colonne29]),FALSE),"")</f>
        <v/>
      </c>
      <c r="BF256" s="284" t="e">
        <f>IF(VLOOKUP(T_Convention[[#This Row],[NumL]],T_TraitDi[#Data],COLUMN(T_TraitDi[Colonne30]),FALSE)=0,"",TEXT(IFERROR(VLOOKUP(T_Convention[[#This Row],[NumL]],T_TraitDi[#Data],COLUMN(T_TraitDi[Colonne30]),FALSE),""),"[hh]:mm"))</f>
        <v>#N/A</v>
      </c>
      <c r="BG256" s="284" t="e">
        <f>IF(VLOOKUP(T_Convention[[#This Row],[NumL]],T_TraitDi[#Data],COLUMN(T_TraitDi[Colonne31]),FALSE)=0,"",TEXT(IFERROR(VLOOKUP(T_Convention[[#This Row],[NumL]],T_TraitDi[#Data],COLUMN(T_TraitDi[Colonne31]),FALSE),""),"[hh]:mm"))</f>
        <v>#N/A</v>
      </c>
      <c r="BH256" s="284" t="e">
        <f>IF(VLOOKUP(T_Convention[[#This Row],[NumL]],T_TraitDi[#Data],COLUMN(T_TraitDi[Colonne32]),FALSE)=0,"",TEXT(IFERROR(VLOOKUP(T_Convention[[#This Row],[NumL]],T_TraitDi[#Data],COLUMN(T_TraitDi[Colonne32]),FALSE),""),"[hh]:mm"))</f>
        <v>#N/A</v>
      </c>
      <c r="BI256" s="284" t="str">
        <f>IFERROR(VLOOKUP(T_Convention[[#This Row],[NumL]],T_TraitDi[#Data],COLUMN(T_TraitDi[NbJTW]),FALSE),"")</f>
        <v/>
      </c>
      <c r="BJ256" s="284" t="e">
        <f>IF(VLOOKUP(T_Convention[[#This Row],[NumL]],T_TraitDi[#Data],COLUMN(T_TraitDi[NbhTW]),FALSE)=0,"",TEXT(IFERROR(VLOOKUP(T_Convention[[#This Row],[NumL]],T_TraitDi[#Data],COLUMN(T_TraitDi[NbhTW]),FALSE),""),"[hh]:mm"))</f>
        <v>#N/A</v>
      </c>
      <c r="BK256" s="286" t="e">
        <f>IF(VLOOKUP(T_Convention[[#This Row],[NumL]],T_TraitDi[#Data],COLUMN(T_TraitDi[Nbhheb]),FALSE)=0,"",TEXT(IFERROR(VLOOKUP(T_Convention[[#This Row],[NumL]],T_TraitDi[#Data],COLUMN(T_TraitDi[Nbhheb]),FALSE),""),"[hh]:mm"))</f>
        <v>#N/A</v>
      </c>
      <c r="BL256" s="287" t="str">
        <f>IFERROR(VLOOKUP(VLOOKUP(T_Convention[[#This Row],[NumL]],T_TraitDi[#Data],COLUMN(T_TraitDi[Type1]),FALSE),TypeTW,2,FALSE),"")</f>
        <v/>
      </c>
      <c r="BM256" s="288" t="str">
        <f>IFERROR(VLOOKUP(T_Convention[[#This Row],[NumL]],T_TraitDi[#Data],COLUMN(T_TraitDi[Rue1]),FALSE),"")</f>
        <v/>
      </c>
      <c r="BN256" s="289" t="str">
        <f>IFERROR(VLOOKUP(T_Convention[[#This Row],[NumL]],T_TraitDi[#Data],COLUMN(T_TraitDi[CP1]),FALSE),"")</f>
        <v/>
      </c>
      <c r="BO256" s="282" t="str">
        <f>IFERROR(VLOOKUP(T_Convention[[#This Row],[NumL]],T_TraitDi[#Data],COLUMN(T_TraitDi[VILLE1]),FALSE),"")</f>
        <v/>
      </c>
      <c r="BP256" s="290" t="str">
        <f>IFERROR(VLOOKUP(VLOOKUP(T_Convention[[#This Row],[NumL]],T_TraitDi[#Data],COLUMN(T_TraitDi[Type2]),FALSE),TypeTW,2,FALSE),"")</f>
        <v/>
      </c>
      <c r="BQ256" s="182" t="str">
        <f>IFERROR(VLOOKUP(T_Convention[[#This Row],[NumL]],T_TraitDi[#Data],COLUMN(T_TraitDi[Rue2]),FALSE),"")</f>
        <v/>
      </c>
      <c r="BR256" s="173" t="str">
        <f>IFERROR(VLOOKUP(T_Convention[[#This Row],[NumL]],T_TraitDi[#Data],COLUMN(T_TraitDi[CP2]),FALSE),"")</f>
        <v/>
      </c>
      <c r="BS256" s="173" t="str">
        <f>IFERROR(VLOOKUP(T_Convention[[#This Row],[NumL]],T_TraitDi[#Data],COLUMN(T_TraitDi[VILLE2]),FALSE),"")</f>
        <v/>
      </c>
      <c r="BT256" s="182" t="str">
        <f>IF(VLOOKUP(T_Convention[[#This Row],[NumL]],T_Equipement[#Data],COLUMN(T_Equipement[PC]),FALSE)="","Aucun équipement spécifique directement lié au télétravail",VLOOKUP(T_Convention[[#This Row],[NumL]],T_Equipement[#Data],COLUMN(T_Equipement[PC]),FALSE))</f>
        <v xml:space="preserve">18-020	</v>
      </c>
      <c r="BU256" s="166" t="str">
        <f>IFERROR(IF(VLOOKUP(T_Convention[[#This Row],[NumL]],T_TraitDi[#Data],COLUMN(T_TraitDi[Plan]),FALSE)="OK","Un planning spécifique de télétravail est annexé à la présente convention.",""),"")</f>
        <v/>
      </c>
      <c r="BV256" s="185" t="s">
        <v>3368</v>
      </c>
      <c r="BW256" s="164" t="e">
        <f>IF(VLOOKUP(T_Convention[[#This Row],[NumL]],T_suiviDi[#Data],COLUMN(T_suiviDi[Entité]),FALSE)="","",VLOOKUP(T_Convention[[#This Row],[NumL]],T_suiviDi[#Data],COLUMN(T_suiviDi[Entité]),FALSE))</f>
        <v>#N/A</v>
      </c>
      <c r="BX256" s="164" t="str">
        <f>IF(VLOOKUP(T_Convention[[#This Row],[NumL]],T_Commission[#Data],COLUMN(T_Commission[envoi confirm TW]),FALSE)="","",VLOOKUP(T_Convention[[#This Row],[NumL]],T_Commission[#Data],COLUMN(T_Commission[envoi confirm TW]),FALSE))</f>
        <v>Oui</v>
      </c>
      <c r="BY25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6" s="264">
        <f>VLOOKUP(T_Convention[[#This Row],[NumL]],T_Commission[#Data],COLUMN(T_Commission[Commentaire]),FALSE)</f>
        <v>0</v>
      </c>
      <c r="CA256" s="254" t="str">
        <f>IF(VLOOKUP(T_Convention[[#This Row],[NumL]],T_Commission[#Data],COLUMN(T_Commission[Encadrant Email]),FALSE)="","",VLOOKUP(T_Convention[[#This Row],[NumL]],T_Commission[#Data],COLUMN(T_Commission[Encadrant Email]),FALSE))</f>
        <v/>
      </c>
      <c r="CB256" s="353" t="e">
        <f>VLOOKUP(T_Convention[[#This Row],[NumL]],T_TraitDi[#Data],COLUMN(T_TraitDi[NbJTot]),FALSE)</f>
        <v>#N/A</v>
      </c>
      <c r="CC256" s="353" t="e">
        <f>VLOOKUP(T_Convention[[#This Row],[NumL]],T_TraitDi[#Data],COLUMN(T_TraitDi[Reg Ponct]),FALSE)</f>
        <v>#N/A</v>
      </c>
      <c r="CD256" s="348" t="str">
        <f>IF(T_Convention[[#This Row],[Final]]&lt;&gt;"",VLOOKUP(T_Convention[[#This Row],[NumL]],T_suiviDi[#Data],COLUMN((T_suiviDi[Statut])),FALSE),"")</f>
        <v/>
      </c>
    </row>
    <row r="257" spans="1:82" s="106" customFormat="1" ht="18.75" customHeight="1" x14ac:dyDescent="0.25">
      <c r="A257" s="160">
        <v>318</v>
      </c>
      <c r="B257" s="281" t="str">
        <f>VLOOKUP(T_Convention[[#This Row],[NumL]],T_Commission[#Data],COLUMN(T_Commission[FINAL]),FALSE)</f>
        <v/>
      </c>
      <c r="C257" s="162"/>
      <c r="D257" s="95" t="e">
        <f>IF(VLOOKUP(T_Convention[[#This Row],[NumL]],T_TraitDi[#Data],COLUMN(T_TraitDi[WebC]),FALSE)="","",VLOOKUP(T_Convention[[#This Row],[NumL]],T_TraitDi[#Data],COLUMN(T_TraitDi[WebC]),FALSE))</f>
        <v>#N/A</v>
      </c>
      <c r="E257" s="163" t="str">
        <f t="shared" si="15"/>
        <v>12 janvier 2021</v>
      </c>
      <c r="F257" s="282" t="str">
        <f>IF(T_Convention[[#This Row],[Final]]&lt;&gt;"",VLOOKUP(T_Convention[[#This Row],[NumL]],T_suiviDi[#Data],COLUMN((T_suiviDi[Civ.])),FALSE),"")</f>
        <v/>
      </c>
      <c r="G257" s="283" t="str">
        <f>IF(T_Convention[[#This Row],[Final]]&lt;&gt;"",VLOOKUP(T_Convention[[#This Row],[NumL]],T_suiviDi[#Data],COLUMN((T_suiviDi[Nom])),FALSE),"")</f>
        <v/>
      </c>
      <c r="H257" s="282" t="str">
        <f>IF(T_Convention[[#This Row],[Final]]&lt;&gt;"",VLOOKUP(T_Convention[[#This Row],[NumL]],T_suiviDi[#Data],COLUMN((T_suiviDi[Prénom])),FALSE),"")</f>
        <v/>
      </c>
      <c r="I257" s="282" t="e">
        <f>VLOOKUP(T_Convention[[#This Row],[NumL]],T_suiviDi[#Data],COLUMN((T_suiviDi[[#This Row],[Email]])),FALSE)</f>
        <v>#VALUE!</v>
      </c>
      <c r="J257" s="282" t="e">
        <f>IF(VLOOKUP(T_Convention[[#This Row],[NumL]],T_suiviDi[#Data],COLUMN(T_suiviDi[[#This Row],[Fonction]]),FALSE)="","",VLOOKUP(T_Convention[[#This Row],[NumL]],T_suiviDi[#Data],COLUMN(T_suiviDi[[#This Row],[Fonction]]),FALSE))</f>
        <v>#VALUE!</v>
      </c>
      <c r="K257" s="282" t="e">
        <f>IF(VLOOKUP(T_Convention[[#This Row],[NumL]],T_suiviDi[#Data],COLUMN(T_suiviDi[[#This Row],[Grade]]),FALSE)="","",VLOOKUP(T_Convention[[#This Row],[NumL]],T_suiviDi[#Data],COLUMN(T_suiviDi[[#This Row],[Grade]]),FALSE))</f>
        <v>#VALUE!</v>
      </c>
      <c r="L257" s="282" t="e">
        <f>IF(VLOOKUP(T_Convention[[#This Row],[NumL]],T_suiviDi[#Data],COLUMN(T_suiviDi[[#This Row],[Service ]]),FALSE)="","",VLOOKUP(T_Convention[[#This Row],[NumL]],T_suiviDi[#Data],COLUMN(T_suiviDi[[#This Row],[Service ]]),FALSE))</f>
        <v>#VALUE!</v>
      </c>
      <c r="M257" s="314" t="str">
        <f t="shared" si="16"/>
        <v>01 septembre 2021</v>
      </c>
      <c r="N257" s="314" t="str">
        <f t="shared" si="17"/>
        <v>30 novembre 2021</v>
      </c>
      <c r="O257" s="284" t="str">
        <f t="shared" si="18"/>
        <v>30 novembre 2021</v>
      </c>
      <c r="P257" s="282" t="e">
        <f>IF(VLOOKUP(T_Convention[[#This Row],[NumL]],T_TraitDi[#Data],COLUMN(T_TraitDi[M1]),FALSE)="","",VLOOKUP(T_Convention[[#This Row],[NumL]],T_TraitDi[#Data],COLUMN(T_TraitDi[M1]),FALSE))</f>
        <v>#N/A</v>
      </c>
      <c r="Q257" s="282" t="e">
        <f>IF(VLOOKUP(T_Convention[[#This Row],[NumL]],T_TraitDi[#Data],COLUMN(T_TraitDi[M2]),FALSE)="","",VLOOKUP(T_Convention[[#This Row],[NumL]],T_TraitDi[#Data],COLUMN(T_TraitDi[M2]),FALSE))</f>
        <v>#N/A</v>
      </c>
      <c r="R257" s="282" t="e">
        <f>IF(VLOOKUP(T_Convention[[#This Row],[NumL]],T_TraitDi[#Data],COLUMN(T_TraitDi[M3]),FALSE)="","",VLOOKUP(T_Convention[[#This Row],[NumL]],T_TraitDi[#Data],COLUMN(T_TraitDi[M3]),FALSE))</f>
        <v>#N/A</v>
      </c>
      <c r="S257" s="282" t="e">
        <f>IF(VLOOKUP(T_Convention[[#This Row],[NumL]],T_TraitDi[#Data],COLUMN(T_TraitDi[M4]),FALSE)="","",VLOOKUP(T_Convention[[#This Row],[NumL]],T_TraitDi[#Data],COLUMN(T_TraitDi[M4]),FALSE))</f>
        <v>#N/A</v>
      </c>
      <c r="T257" s="282" t="e">
        <f>IF(VLOOKUP(T_Convention[[#This Row],[NumL]],T_TraitDi[#Data],COLUMN(T_TraitDi[M5]),FALSE)="","",VLOOKUP(T_Convention[[#This Row],[NumL]],T_TraitDi[#Data],COLUMN(T_TraitDi[M5]),FALSE))</f>
        <v>#N/A</v>
      </c>
      <c r="U257" s="282" t="e">
        <f>IF(VLOOKUP(T_Convention[[#This Row],[NumL]],T_TraitDi[#Data],COLUMN(T_TraitDi[M6]),FALSE)="","",VLOOKUP(T_Convention[[#This Row],[NumL]],T_TraitDi[#Data],COLUMN(T_TraitDi[M6]),FALSE))</f>
        <v>#N/A</v>
      </c>
      <c r="V257" s="314" t="e">
        <f t="shared" si="19"/>
        <v>#N/A</v>
      </c>
      <c r="W257" s="284" t="str">
        <f>IFERROR(TEXT(VLOOKUP(T_Convention[[#This Row],[NumL]],T_TraitDi[#Data],COLUMN(T_TraitDi[Q2]),FALSE),"###%"),"")</f>
        <v/>
      </c>
      <c r="X257" s="285" t="e">
        <f>VLOOKUP(T_Convention[[#This Row],[NumL]],T_TraitDi[#Data],COLUMN(T_TraitDi[Reg Ponct]),FALSE)</f>
        <v>#N/A</v>
      </c>
      <c r="Y257" s="285" t="e">
        <f>VLOOKUP(T_Convention[NumL],T_TraitDi[#Data],COLUMN(T_TraitDi[Jours flottants]),FALSE)</f>
        <v>#N/A</v>
      </c>
      <c r="Z257" s="284" t="str">
        <f>IFERROR(VLOOKUP(T_Convention[[#This Row],[NumL]],T_TraitDi[#Data],COLUMN(T_TraitDi[Lundi]),FALSE),"")</f>
        <v/>
      </c>
      <c r="AA257" s="284" t="e">
        <f>IF(VLOOKUP(T_Convention[[#This Row],[NumL]],T_TraitDi[#Data],COLUMN(T_TraitDi[Colonne3]),FALSE)=0,"",TEXT(IFERROR(VLOOKUP(T_Convention[[#This Row],[NumL]],T_TraitDi[#Data],COLUMN(T_TraitDi[Colonne3]),FALSE),""),"[hh]:mm"))</f>
        <v>#N/A</v>
      </c>
      <c r="AB257" s="284" t="e">
        <f>IF(VLOOKUP(T_Convention[[#This Row],[NumL]],T_TraitDi[#Data],COLUMN(T_TraitDi[Colonne4]),FALSE)=0,"",TEXT(IFERROR(VLOOKUP(T_Convention[[#This Row],[NumL]],T_TraitDi[#Data],COLUMN(T_TraitDi[Colonne4]),FALSE),""),"[hh]:mm"))</f>
        <v>#N/A</v>
      </c>
      <c r="AC257" s="284" t="e">
        <f>IF(VLOOKUP(T_Convention[[#This Row],[NumL]],T_TraitDi[#Data],COLUMN(T_TraitDi[Colonne5]),FALSE)=0,"",TEXT(IFERROR(VLOOKUP(T_Convention[[#This Row],[NumL]],T_TraitDi[#Data],COLUMN(T_TraitDi[Colonne5]),FALSE),""),"[hh]:mm"))</f>
        <v>#N/A</v>
      </c>
      <c r="AD257" s="284" t="e">
        <f>IF(VLOOKUP(T_Convention[[#This Row],[NumL]],T_TraitDi[#Data],COLUMN(T_TraitDi[Colonne6]),FALSE)=0,"",TEXT(IFERROR(VLOOKUP(T_Convention[[#This Row],[NumL]],T_TraitDi[#Data],COLUMN(T_TraitDi[Colonne6]),FALSE),""),"[hh]:mm"))</f>
        <v>#N/A</v>
      </c>
      <c r="AE257" s="284" t="e">
        <f>IF(VLOOKUP(T_Convention[[#This Row],[NumL]],T_TraitDi[#Data],COLUMN(T_TraitDi[Colonne7]),FALSE)=0,"",TEXT(IFERROR(VLOOKUP(T_Convention[[#This Row],[NumL]],T_TraitDi[#Data],COLUMN(T_TraitDi[Colonne7]),FALSE),""),"[hh]:mm"))</f>
        <v>#N/A</v>
      </c>
      <c r="AF257" s="284" t="e">
        <f>IF(VLOOKUP(T_Convention[[#This Row],[NumL]],T_TraitDi[#Data],COLUMN(T_TraitDi[Colonne8]),FALSE)=0,"",TEXT(IFERROR(VLOOKUP(T_Convention[[#This Row],[NumL]],T_TraitDi[#Data],COLUMN(T_TraitDi[Colonne8]),FALSE),""),"[hh]:mm"))</f>
        <v>#N/A</v>
      </c>
      <c r="AG257" s="284" t="str">
        <f>IFERROR(VLOOKUP(T_Convention[[#This Row],[NumL]],T_TraitDi[#Data],COLUMN(T_TraitDi[Mardi]),FALSE),"")</f>
        <v/>
      </c>
      <c r="AH257" s="284" t="e">
        <f>IF(VLOOKUP(T_Convention[[#This Row],[NumL]],T_TraitDi[#Data],COLUMN(T_TraitDi[Colonne1]),FALSE)=0,"",TEXT(IFERROR(VLOOKUP(T_Convention[[#This Row],[NumL]],T_TraitDi[#Data],COLUMN(T_TraitDi[Colonne1]),FALSE),""),"[hh]:mm"))</f>
        <v>#N/A</v>
      </c>
      <c r="AI257" s="284" t="e">
        <f>IF(VLOOKUP(T_Convention[[#This Row],[NumL]],T_TraitDi[#Data],COLUMN(T_TraitDi[Colonne9]),FALSE)=0,"",TEXT(IFERROR(VLOOKUP(T_Convention[[#This Row],[NumL]],T_TraitDi[#Data],COLUMN(T_TraitDi[Colonne9]),FALSE),""),"[hh]:mm"))</f>
        <v>#N/A</v>
      </c>
      <c r="AJ257" s="284" t="str">
        <f>IFERROR(VLOOKUP(T_Convention[[#This Row],[NumL]],T_TraitDi[#Data],COLUMN(T_TraitDi[Colonne10]),FALSE),"")</f>
        <v/>
      </c>
      <c r="AK257" s="284" t="e">
        <f>IF(VLOOKUP(T_Convention[[#This Row],[NumL]],T_TraitDi[#Data],COLUMN(T_TraitDi[Colonne11]),FALSE)=0,"",TEXT(IFERROR(VLOOKUP(T_Convention[[#This Row],[NumL]],T_TraitDi[#Data],COLUMN(T_TraitDi[Colonne11]),FALSE),""),"[hh]:mm"))</f>
        <v>#N/A</v>
      </c>
      <c r="AL257" s="284" t="e">
        <f>IF(VLOOKUP(T_Convention[[#This Row],[NumL]],T_TraitDi[#Data],COLUMN(T_TraitDi[Colonne12]),FALSE)=0,"",TEXT(IFERROR(VLOOKUP(T_Convention[[#This Row],[NumL]],T_TraitDi[#Data],COLUMN(T_TraitDi[Colonne12]),FALSE),""),"[hh]:mm"))</f>
        <v>#N/A</v>
      </c>
      <c r="AM257" s="284" t="e">
        <f>IF(VLOOKUP(T_Convention[[#This Row],[NumL]],T_TraitDi[#Data],COLUMN(T_TraitDi[Colonne14]),FALSE)=0,"",TEXT(IFERROR(VLOOKUP(T_Convention[[#This Row],[NumL]],T_TraitDi[#Data],COLUMN(T_TraitDi[Colonne14]),FALSE),""),"[hh]:mm"))</f>
        <v>#N/A</v>
      </c>
      <c r="AN257" s="284" t="str">
        <f>IFERROR(VLOOKUP(T_Convention[[#This Row],[NumL]],T_TraitDi[#Data],COLUMN(T_TraitDi[Mercredi]),FALSE),"")</f>
        <v/>
      </c>
      <c r="AO257" s="284" t="e">
        <f>IF(VLOOKUP(T_Convention[[#This Row],[NumL]],T_TraitDi[#Data],COLUMN(T_TraitDi[Colonne15]),FALSE)=0,"",TEXT(IFERROR(VLOOKUP(T_Convention[[#This Row],[NumL]],T_TraitDi[#Data],COLUMN(T_TraitDi[Colonne15]),FALSE),""),"[hh]:mm"))</f>
        <v>#N/A</v>
      </c>
      <c r="AP257" s="284" t="e">
        <f>IF(VLOOKUP(T_Convention[[#This Row],[NumL]],T_TraitDi[#Data],COLUMN(T_TraitDi[Colonne16]),FALSE)=0,"",TEXT(IFERROR(VLOOKUP(T_Convention[[#This Row],[NumL]],T_TraitDi[#Data],COLUMN(T_TraitDi[Colonne16]),FALSE),""),"[hh]:mm"))</f>
        <v>#N/A</v>
      </c>
      <c r="AQ257" s="284" t="str">
        <f>IFERROR(VLOOKUP(T_Convention[[#This Row],[NumL]],T_TraitDi[#Data],COLUMN(T_TraitDi[Colonne17]),FALSE),"")</f>
        <v/>
      </c>
      <c r="AR257" s="284" t="e">
        <f>IF(VLOOKUP(T_Convention[[#This Row],[NumL]],T_TraitDi[#Data],COLUMN(T_TraitDi[Colonne18]),FALSE)=0,"",TEXT(IFERROR(VLOOKUP(T_Convention[[#This Row],[NumL]],T_TraitDi[#Data],COLUMN(T_TraitDi[Colonne18]),FALSE),""),"[hh]:mm"))</f>
        <v>#N/A</v>
      </c>
      <c r="AS257" s="284" t="e">
        <f>IF(VLOOKUP(T_Convention[[#This Row],[NumL]],T_TraitDi[#Data],COLUMN(T_TraitDi[Colonne19]),FALSE)=0,"",TEXT(IFERROR(VLOOKUP(T_Convention[[#This Row],[NumL]],T_TraitDi[#Data],COLUMN(T_TraitDi[Colonne19]),FALSE),""),"[hh]:mm"))</f>
        <v>#N/A</v>
      </c>
      <c r="AT257" s="284" t="e">
        <f>IF(VLOOKUP(T_Convention[[#This Row],[NumL]],T_TraitDi[#Data],COLUMN(T_TraitDi[Colonne20]),FALSE)=0,"",TEXT(IFERROR(VLOOKUP(T_Convention[[#This Row],[NumL]],T_TraitDi[#Data],COLUMN(T_TraitDi[Colonne20]),FALSE),""),"[hh]:mm"))</f>
        <v>#N/A</v>
      </c>
      <c r="AU257" s="284" t="str">
        <f>IFERROR(VLOOKUP(T_Convention[[#This Row],[NumL]],T_TraitDi[#Data],COLUMN(T_TraitDi[Jeudi]),FALSE),"")</f>
        <v/>
      </c>
      <c r="AV257" s="284" t="e">
        <f>IF(VLOOKUP(T_Convention[[#This Row],[NumL]],T_TraitDi[#Data],COLUMN(T_TraitDi[Colonne21]),FALSE)=0,"",TEXT(IFERROR(VLOOKUP(T_Convention[[#This Row],[NumL]],T_TraitDi[#Data],COLUMN(T_TraitDi[Colonne21]),FALSE),""),"[hh]:mm"))</f>
        <v>#N/A</v>
      </c>
      <c r="AW257" s="284" t="e">
        <f>IF(VLOOKUP(T_Convention[[#This Row],[NumL]],T_TraitDi[#Data],COLUMN(T_TraitDi[Colonne22]),FALSE)=0,"",TEXT(IFERROR(VLOOKUP(T_Convention[[#This Row],[NumL]],T_TraitDi[#Data],COLUMN(T_TraitDi[Colonne22]),FALSE),""),"[hh]:mm"))</f>
        <v>#N/A</v>
      </c>
      <c r="AX257" s="284" t="str">
        <f>IFERROR(VLOOKUP(T_Convention[[#This Row],[NumL]],T_TraitDi[#Data],COLUMN(T_TraitDi[Colonne23]),FALSE),"")</f>
        <v/>
      </c>
      <c r="AY257" s="284" t="e">
        <f>IF(VLOOKUP(T_Convention[[#This Row],[NumL]],T_TraitDi[#Data],COLUMN(T_TraitDi[Colonne24]),FALSE)=0,"",TEXT(IFERROR(VLOOKUP(T_Convention[[#This Row],[NumL]],T_TraitDi[#Data],COLUMN(T_TraitDi[Colonne24]),FALSE),""),"[hh]:mm"))</f>
        <v>#N/A</v>
      </c>
      <c r="AZ257" s="284" t="e">
        <f>IF(VLOOKUP(T_Convention[[#This Row],[NumL]],T_TraitDi[#Data],COLUMN(T_TraitDi[Colonne25]),FALSE)=0,"",TEXT(IFERROR(VLOOKUP(T_Convention[[#This Row],[NumL]],T_TraitDi[#Data],COLUMN(T_TraitDi[Colonne25]),FALSE),""),"[hh]:mm"))</f>
        <v>#N/A</v>
      </c>
      <c r="BA257" s="284" t="e">
        <f>IF(VLOOKUP(T_Convention[[#This Row],[NumL]],T_TraitDi[#Data],COLUMN(T_TraitDi[Colonne26]),FALSE)=0,"",TEXT(IFERROR(VLOOKUP(T_Convention[[#This Row],[NumL]],T_TraitDi[#Data],COLUMN(T_TraitDi[Colonne26]),FALSE),""),"[hh]:mm"))</f>
        <v>#N/A</v>
      </c>
      <c r="BB257" s="284" t="str">
        <f>IFERROR(VLOOKUP(T_Convention[[#This Row],[NumL]],T_TraitDi[#Data],COLUMN(T_TraitDi[Vendredi]),FALSE),"")</f>
        <v/>
      </c>
      <c r="BC257" s="284" t="e">
        <f>IF(VLOOKUP(T_Convention[[#This Row],[NumL]],T_TraitDi[#Data],COLUMN(T_TraitDi[Colonne27]),FALSE)=0,"",TEXT(IFERROR(VLOOKUP(T_Convention[[#This Row],[NumL]],T_TraitDi[#Data],COLUMN(T_TraitDi[Colonne27]),FALSE),""),"[hh]:mm"))</f>
        <v>#N/A</v>
      </c>
      <c r="BD257" s="284" t="e">
        <f>IF(VLOOKUP(T_Convention[[#This Row],[NumL]],T_TraitDi[#Data],COLUMN(T_TraitDi[Colonne28]),FALSE)=0,"",TEXT(IFERROR(VLOOKUP(T_Convention[[#This Row],[NumL]],T_TraitDi[#Data],COLUMN(T_TraitDi[Colonne28]),FALSE),""),"[hh]:mm"))</f>
        <v>#N/A</v>
      </c>
      <c r="BE257" s="284" t="str">
        <f>IFERROR(VLOOKUP(T_Convention[[#This Row],[NumL]],T_TraitDi[#Data],COLUMN(T_TraitDi[Colonne29]),FALSE),"")</f>
        <v/>
      </c>
      <c r="BF257" s="284" t="e">
        <f>IF(VLOOKUP(T_Convention[[#This Row],[NumL]],T_TraitDi[#Data],COLUMN(T_TraitDi[Colonne30]),FALSE)=0,"",TEXT(IFERROR(VLOOKUP(T_Convention[[#This Row],[NumL]],T_TraitDi[#Data],COLUMN(T_TraitDi[Colonne30]),FALSE),""),"[hh]:mm"))</f>
        <v>#N/A</v>
      </c>
      <c r="BG257" s="284" t="e">
        <f>IF(VLOOKUP(T_Convention[[#This Row],[NumL]],T_TraitDi[#Data],COLUMN(T_TraitDi[Colonne31]),FALSE)=0,"",TEXT(IFERROR(VLOOKUP(T_Convention[[#This Row],[NumL]],T_TraitDi[#Data],COLUMN(T_TraitDi[Colonne31]),FALSE),""),"[hh]:mm"))</f>
        <v>#N/A</v>
      </c>
      <c r="BH257" s="284" t="e">
        <f>IF(VLOOKUP(T_Convention[[#This Row],[NumL]],T_TraitDi[#Data],COLUMN(T_TraitDi[Colonne32]),FALSE)=0,"",TEXT(IFERROR(VLOOKUP(T_Convention[[#This Row],[NumL]],T_TraitDi[#Data],COLUMN(T_TraitDi[Colonne32]),FALSE),""),"[hh]:mm"))</f>
        <v>#N/A</v>
      </c>
      <c r="BI257" s="284" t="str">
        <f>IFERROR(VLOOKUP(T_Convention[[#This Row],[NumL]],T_TraitDi[#Data],COLUMN(T_TraitDi[NbJTW]),FALSE),"")</f>
        <v/>
      </c>
      <c r="BJ257" s="284" t="e">
        <f>IF(VLOOKUP(T_Convention[[#This Row],[NumL]],T_TraitDi[#Data],COLUMN(T_TraitDi[NbhTW]),FALSE)=0,"",TEXT(IFERROR(VLOOKUP(T_Convention[[#This Row],[NumL]],T_TraitDi[#Data],COLUMN(T_TraitDi[NbhTW]),FALSE),""),"[hh]:mm"))</f>
        <v>#N/A</v>
      </c>
      <c r="BK257" s="315" t="e">
        <f>IF(VLOOKUP(T_Convention[[#This Row],[NumL]],T_TraitDi[#Data],COLUMN(T_TraitDi[Nbhheb]),FALSE)=0,"",TEXT(IFERROR(VLOOKUP(T_Convention[[#This Row],[NumL]],T_TraitDi[#Data],COLUMN(T_TraitDi[Nbhheb]),FALSE),""),"[hh]:mm"))</f>
        <v>#N/A</v>
      </c>
      <c r="BL257" s="287" t="str">
        <f>IFERROR(VLOOKUP(VLOOKUP(T_Convention[[#This Row],[NumL]],T_TraitDi[#Data],COLUMN(T_TraitDi[Type1]),FALSE),TypeTW,2,FALSE),"")</f>
        <v/>
      </c>
      <c r="BM257" s="288" t="str">
        <f>IFERROR(VLOOKUP(T_Convention[[#This Row],[NumL]],T_TraitDi[#Data],COLUMN(T_TraitDi[Rue1]),FALSE),"")</f>
        <v/>
      </c>
      <c r="BN257" s="289" t="str">
        <f>IFERROR(VLOOKUP(T_Convention[[#This Row],[NumL]],T_TraitDi[#Data],COLUMN(T_TraitDi[CP1]),FALSE),"")</f>
        <v/>
      </c>
      <c r="BO257" s="282" t="str">
        <f>IFERROR(VLOOKUP(T_Convention[[#This Row],[NumL]],T_TraitDi[#Data],COLUMN(T_TraitDi[VILLE1]),FALSE),"")</f>
        <v/>
      </c>
      <c r="BP257" s="290" t="str">
        <f>IFERROR(VLOOKUP(VLOOKUP(T_Convention[[#This Row],[NumL]],T_TraitDi[#Data],COLUMN(T_TraitDi[Type2]),FALSE),TypeTW,2,FALSE),"")</f>
        <v/>
      </c>
      <c r="BQ257" s="310" t="str">
        <f>IFERROR(VLOOKUP(T_Convention[[#This Row],[NumL]],T_TraitDi[#Data],COLUMN(T_TraitDi[Rue2]),FALSE),"")</f>
        <v/>
      </c>
      <c r="BR257" s="290" t="str">
        <f>IFERROR(VLOOKUP(T_Convention[[#This Row],[NumL]],T_TraitDi[#Data],COLUMN(T_TraitDi[CP2]),FALSE),"")</f>
        <v/>
      </c>
      <c r="BS257" s="290" t="str">
        <f>IFERROR(VLOOKUP(T_Convention[[#This Row],[NumL]],T_TraitDi[#Data],COLUMN(T_TraitDi[VILLE2]),FALSE),"")</f>
        <v/>
      </c>
      <c r="BT25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57" s="314" t="str">
        <f>IFERROR(IF(VLOOKUP(T_Convention[[#This Row],[NumL]],T_TraitDi[#Data],COLUMN(T_TraitDi[Plan]),FALSE)="OK","Un planning spécifique de télétravail est annexé à la présente convention.",""),"")</f>
        <v/>
      </c>
      <c r="BV257" s="291"/>
      <c r="BW257" s="292" t="e">
        <f>IF(VLOOKUP(T_Convention[[#This Row],[NumL]],T_suiviDi[#Data],COLUMN(T_suiviDi[Entité]),FALSE)="","",VLOOKUP(T_Convention[[#This Row],[NumL]],T_suiviDi[#Data],COLUMN(T_suiviDi[Entité]),FALSE))</f>
        <v>#N/A</v>
      </c>
      <c r="BX257" s="311" t="str">
        <f>IF(VLOOKUP(T_Convention[[#This Row],[NumL]],T_Commission[#Data],COLUMN(T_Commission[envoi confirm TW]),FALSE)="","",VLOOKUP(T_Convention[[#This Row],[NumL]],T_Commission[#Data],COLUMN(T_Commission[envoi confirm TW]),FALSE))</f>
        <v>Oui</v>
      </c>
      <c r="BY25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7" s="265">
        <f>VLOOKUP(T_Convention[[#This Row],[NumL]],T_Commission[#Data],COLUMN(T_Commission[Commentaire]),FALSE)</f>
        <v>0</v>
      </c>
      <c r="CA257" s="255" t="str">
        <f>IF(VLOOKUP(T_Convention[[#This Row],[NumL]],T_Commission[#Data],COLUMN(T_Commission[Encadrant Email]),FALSE)="","",VLOOKUP(T_Convention[[#This Row],[NumL]],T_Commission[#Data],COLUMN(T_Commission[Encadrant Email]),FALSE))</f>
        <v/>
      </c>
      <c r="CB257" s="353" t="e">
        <f>VLOOKUP(T_Convention[[#This Row],[NumL]],T_TraitDi[#Data],COLUMN(T_TraitDi[NbJTot]),FALSE)</f>
        <v>#N/A</v>
      </c>
      <c r="CC257" s="353" t="e">
        <f>VLOOKUP(T_Convention[[#This Row],[NumL]],T_TraitDi[#Data],COLUMN(T_TraitDi[Reg Ponct]),FALSE)</f>
        <v>#N/A</v>
      </c>
      <c r="CD257" s="348" t="str">
        <f>IF(T_Convention[[#This Row],[Final]]&lt;&gt;"",VLOOKUP(T_Convention[[#This Row],[NumL]],T_suiviDi[#Data],COLUMN((T_suiviDi[Statut])),FALSE),"")</f>
        <v/>
      </c>
    </row>
    <row r="258" spans="1:82" s="106" customFormat="1" ht="18.75" customHeight="1" x14ac:dyDescent="0.25">
      <c r="A258" s="160">
        <v>20</v>
      </c>
      <c r="B258" s="161" t="str">
        <f>VLOOKUP(T_Convention[[#This Row],[NumL]],T_Commission[#Data],COLUMN(T_Commission[FINAL]),FALSE)</f>
        <v/>
      </c>
      <c r="C258" s="162"/>
      <c r="D258" s="95" t="e">
        <f>IF(VLOOKUP(T_Convention[[#This Row],[NumL]],T_TraitDi[#Data],COLUMN(T_TraitDi[WebC]),FALSE)="","",VLOOKUP(T_Convention[[#This Row],[NumL]],T_TraitDi[#Data],COLUMN(T_TraitDi[WebC]),FALSE))</f>
        <v>#N/A</v>
      </c>
      <c r="E258" s="163" t="str">
        <f t="shared" si="15"/>
        <v>12 janvier 2021</v>
      </c>
      <c r="F258" s="282" t="str">
        <f>IF(T_Convention[[#This Row],[Final]]&lt;&gt;"",VLOOKUP(T_Convention[[#This Row],[NumL]],T_suiviDi[#Data],COLUMN((T_suiviDi[Civ.])),FALSE),"")</f>
        <v/>
      </c>
      <c r="G258" s="283" t="str">
        <f>IF(T_Convention[[#This Row],[Final]]&lt;&gt;"",VLOOKUP(T_Convention[[#This Row],[NumL]],T_suiviDi[#Data],COLUMN((T_suiviDi[Nom])),FALSE),"")</f>
        <v/>
      </c>
      <c r="H258" s="282" t="str">
        <f>IF(T_Convention[[#This Row],[Final]]&lt;&gt;"",VLOOKUP(T_Convention[[#This Row],[NumL]],T_suiviDi[#Data],COLUMN((T_suiviDi[Prénom])),FALSE),"")</f>
        <v/>
      </c>
      <c r="I258" s="282" t="e">
        <f>VLOOKUP(T_Convention[[#This Row],[NumL]],T_suiviDi[#Data],COLUMN((T_suiviDi[[#This Row],[Email]])),FALSE)</f>
        <v>#VALUE!</v>
      </c>
      <c r="J258" s="282" t="e">
        <f>IF(VLOOKUP(T_Convention[[#This Row],[NumL]],T_suiviDi[#Data],COLUMN(T_suiviDi[[#This Row],[Fonction]]),FALSE)="","",VLOOKUP(T_Convention[[#This Row],[NumL]],T_suiviDi[#Data],COLUMN(T_suiviDi[[#This Row],[Fonction]]),FALSE))</f>
        <v>#VALUE!</v>
      </c>
      <c r="K258" s="282" t="e">
        <f>IF(VLOOKUP(T_Convention[[#This Row],[NumL]],T_suiviDi[#Data],COLUMN(T_suiviDi[[#This Row],[Grade]]),FALSE)="","",VLOOKUP(T_Convention[[#This Row],[NumL]],T_suiviDi[#Data],COLUMN(T_suiviDi[[#This Row],[Grade]]),FALSE))</f>
        <v>#VALUE!</v>
      </c>
      <c r="L258" s="282" t="e">
        <f>IF(VLOOKUP(T_Convention[[#This Row],[NumL]],T_suiviDi[#Data],COLUMN(T_suiviDi[[#This Row],[Service ]]),FALSE)="","",VLOOKUP(T_Convention[[#This Row],[NumL]],T_suiviDi[#Data],COLUMN(T_suiviDi[[#This Row],[Service ]]),FALSE))</f>
        <v>#VALUE!</v>
      </c>
      <c r="M258" s="164" t="str">
        <f t="shared" si="16"/>
        <v>01 septembre 2021</v>
      </c>
      <c r="N258" s="164" t="str">
        <f t="shared" si="17"/>
        <v>30 novembre 2021</v>
      </c>
      <c r="O258" s="284" t="str">
        <f t="shared" si="18"/>
        <v>30 novembre 2021</v>
      </c>
      <c r="P258" s="282" t="e">
        <f>IF(VLOOKUP(T_Convention[[#This Row],[NumL]],T_TraitDi[#Data],COLUMN(T_TraitDi[M1]),FALSE)="","",VLOOKUP(T_Convention[[#This Row],[NumL]],T_TraitDi[#Data],COLUMN(T_TraitDi[M1]),FALSE))</f>
        <v>#N/A</v>
      </c>
      <c r="Q258" s="282" t="e">
        <f>IF(VLOOKUP(T_Convention[[#This Row],[NumL]],T_TraitDi[#Data],COLUMN(T_TraitDi[M2]),FALSE)="","",VLOOKUP(T_Convention[[#This Row],[NumL]],T_TraitDi[#Data],COLUMN(T_TraitDi[M2]),FALSE))</f>
        <v>#N/A</v>
      </c>
      <c r="R258" s="282" t="e">
        <f>IF(VLOOKUP(T_Convention[[#This Row],[NumL]],T_TraitDi[#Data],COLUMN(T_TraitDi[M3]),FALSE)="","",VLOOKUP(T_Convention[[#This Row],[NumL]],T_TraitDi[#Data],COLUMN(T_TraitDi[M3]),FALSE))</f>
        <v>#N/A</v>
      </c>
      <c r="S258" s="282" t="e">
        <f>IF(VLOOKUP(T_Convention[[#This Row],[NumL]],T_TraitDi[#Data],COLUMN(T_TraitDi[M4]),FALSE)="","",VLOOKUP(T_Convention[[#This Row],[NumL]],T_TraitDi[#Data],COLUMN(T_TraitDi[M4]),FALSE))</f>
        <v>#N/A</v>
      </c>
      <c r="T258" s="282" t="e">
        <f>IF(VLOOKUP(T_Convention[[#This Row],[NumL]],T_TraitDi[#Data],COLUMN(T_TraitDi[M5]),FALSE)="","",VLOOKUP(T_Convention[[#This Row],[NumL]],T_TraitDi[#Data],COLUMN(T_TraitDi[M5]),FALSE))</f>
        <v>#N/A</v>
      </c>
      <c r="U258" s="282" t="e">
        <f>IF(VLOOKUP(T_Convention[[#This Row],[NumL]],T_TraitDi[#Data],COLUMN(T_TraitDi[M6]),FALSE)="","",VLOOKUP(T_Convention[[#This Row],[NumL]],T_TraitDi[#Data],COLUMN(T_TraitDi[M6]),FALSE))</f>
        <v>#N/A</v>
      </c>
      <c r="V258" s="176" t="e">
        <f t="shared" si="19"/>
        <v>#N/A</v>
      </c>
      <c r="W258" s="284" t="str">
        <f>IFERROR(TEXT(VLOOKUP(T_Convention[[#This Row],[NumL]],T_TraitDi[#Data],COLUMN(T_TraitDi[Q2]),FALSE),"###%"),"")</f>
        <v/>
      </c>
      <c r="X258" s="97" t="e">
        <f>VLOOKUP(T_Convention[[#This Row],[NumL]],T_TraitDi[#Data],COLUMN(T_TraitDi[Reg Ponct]),FALSE)</f>
        <v>#N/A</v>
      </c>
      <c r="Y258" s="97" t="e">
        <f>VLOOKUP(T_Convention[NumL],T_TraitDi[#Data],COLUMN(T_TraitDi[Jours flottants]),FALSE)</f>
        <v>#N/A</v>
      </c>
      <c r="Z258" s="284" t="str">
        <f>IFERROR(VLOOKUP(T_Convention[[#This Row],[NumL]],T_TraitDi[#Data],COLUMN(T_TraitDi[Lundi]),FALSE),"")</f>
        <v/>
      </c>
      <c r="AA258" s="284" t="e">
        <f>IF(VLOOKUP(T_Convention[[#This Row],[NumL]],T_TraitDi[#Data],COLUMN(T_TraitDi[Colonne3]),FALSE)=0,"",TEXT(IFERROR(VLOOKUP(T_Convention[[#This Row],[NumL]],T_TraitDi[#Data],COLUMN(T_TraitDi[Colonne3]),FALSE),""),"[hh]:mm"))</f>
        <v>#N/A</v>
      </c>
      <c r="AB258" s="284" t="e">
        <f>IF(VLOOKUP(T_Convention[[#This Row],[NumL]],T_TraitDi[#Data],COLUMN(T_TraitDi[Colonne4]),FALSE)=0,"",TEXT(IFERROR(VLOOKUP(T_Convention[[#This Row],[NumL]],T_TraitDi[#Data],COLUMN(T_TraitDi[Colonne4]),FALSE),""),"[hh]:mm"))</f>
        <v>#N/A</v>
      </c>
      <c r="AC258" s="284" t="e">
        <f>IF(VLOOKUP(T_Convention[[#This Row],[NumL]],T_TraitDi[#Data],COLUMN(T_TraitDi[Colonne5]),FALSE)=0,"",TEXT(IFERROR(VLOOKUP(T_Convention[[#This Row],[NumL]],T_TraitDi[#Data],COLUMN(T_TraitDi[Colonne5]),FALSE),""),"[hh]:mm"))</f>
        <v>#N/A</v>
      </c>
      <c r="AD258" s="284" t="e">
        <f>IF(VLOOKUP(T_Convention[[#This Row],[NumL]],T_TraitDi[#Data],COLUMN(T_TraitDi[Colonne6]),FALSE)=0,"",TEXT(IFERROR(VLOOKUP(T_Convention[[#This Row],[NumL]],T_TraitDi[#Data],COLUMN(T_TraitDi[Colonne6]),FALSE),""),"[hh]:mm"))</f>
        <v>#N/A</v>
      </c>
      <c r="AE258" s="284" t="e">
        <f>IF(VLOOKUP(T_Convention[[#This Row],[NumL]],T_TraitDi[#Data],COLUMN(T_TraitDi[Colonne7]),FALSE)=0,"",TEXT(IFERROR(VLOOKUP(T_Convention[[#This Row],[NumL]],T_TraitDi[#Data],COLUMN(T_TraitDi[Colonne7]),FALSE),""),"[hh]:mm"))</f>
        <v>#N/A</v>
      </c>
      <c r="AF258" s="284" t="e">
        <f>IF(VLOOKUP(T_Convention[[#This Row],[NumL]],T_TraitDi[#Data],COLUMN(T_TraitDi[Colonne8]),FALSE)=0,"",TEXT(IFERROR(VLOOKUP(T_Convention[[#This Row],[NumL]],T_TraitDi[#Data],COLUMN(T_TraitDi[Colonne8]),FALSE),""),"[hh]:mm"))</f>
        <v>#N/A</v>
      </c>
      <c r="AG258" s="284" t="str">
        <f>IFERROR(VLOOKUP(T_Convention[[#This Row],[NumL]],T_TraitDi[#Data],COLUMN(T_TraitDi[Mardi]),FALSE),"")</f>
        <v/>
      </c>
      <c r="AH258" s="284" t="e">
        <f>IF(VLOOKUP(T_Convention[[#This Row],[NumL]],T_TraitDi[#Data],COLUMN(T_TraitDi[Colonne1]),FALSE)=0,"",TEXT(IFERROR(VLOOKUP(T_Convention[[#This Row],[NumL]],T_TraitDi[#Data],COLUMN(T_TraitDi[Colonne1]),FALSE),""),"[hh]:mm"))</f>
        <v>#N/A</v>
      </c>
      <c r="AI258" s="284" t="e">
        <f>IF(VLOOKUP(T_Convention[[#This Row],[NumL]],T_TraitDi[#Data],COLUMN(T_TraitDi[Colonne9]),FALSE)=0,"",TEXT(IFERROR(VLOOKUP(T_Convention[[#This Row],[NumL]],T_TraitDi[#Data],COLUMN(T_TraitDi[Colonne9]),FALSE),""),"[hh]:mm"))</f>
        <v>#N/A</v>
      </c>
      <c r="AJ258" s="284" t="str">
        <f>IFERROR(VLOOKUP(T_Convention[[#This Row],[NumL]],T_TraitDi[#Data],COLUMN(T_TraitDi[Colonne10]),FALSE),"")</f>
        <v/>
      </c>
      <c r="AK258" s="284" t="e">
        <f>IF(VLOOKUP(T_Convention[[#This Row],[NumL]],T_TraitDi[#Data],COLUMN(T_TraitDi[Colonne11]),FALSE)=0,"",TEXT(IFERROR(VLOOKUP(T_Convention[[#This Row],[NumL]],T_TraitDi[#Data],COLUMN(T_TraitDi[Colonne11]),FALSE),""),"[hh]:mm"))</f>
        <v>#N/A</v>
      </c>
      <c r="AL258" s="284" t="e">
        <f>IF(VLOOKUP(T_Convention[[#This Row],[NumL]],T_TraitDi[#Data],COLUMN(T_TraitDi[Colonne12]),FALSE)=0,"",TEXT(IFERROR(VLOOKUP(T_Convention[[#This Row],[NumL]],T_TraitDi[#Data],COLUMN(T_TraitDi[Colonne12]),FALSE),""),"[hh]:mm"))</f>
        <v>#N/A</v>
      </c>
      <c r="AM258" s="284" t="e">
        <f>IF(VLOOKUP(T_Convention[[#This Row],[NumL]],T_TraitDi[#Data],COLUMN(T_TraitDi[Colonne14]),FALSE)=0,"",TEXT(IFERROR(VLOOKUP(T_Convention[[#This Row],[NumL]],T_TraitDi[#Data],COLUMN(T_TraitDi[Colonne14]),FALSE),""),"[hh]:mm"))</f>
        <v>#N/A</v>
      </c>
      <c r="AN258" s="284" t="str">
        <f>IFERROR(VLOOKUP(T_Convention[[#This Row],[NumL]],T_TraitDi[#Data],COLUMN(T_TraitDi[Mercredi]),FALSE),"")</f>
        <v/>
      </c>
      <c r="AO258" s="284" t="e">
        <f>IF(VLOOKUP(T_Convention[[#This Row],[NumL]],T_TraitDi[#Data],COLUMN(T_TraitDi[Colonne15]),FALSE)=0,"",TEXT(IFERROR(VLOOKUP(T_Convention[[#This Row],[NumL]],T_TraitDi[#Data],COLUMN(T_TraitDi[Colonne15]),FALSE),""),"[hh]:mm"))</f>
        <v>#N/A</v>
      </c>
      <c r="AP258" s="284" t="e">
        <f>IF(VLOOKUP(T_Convention[[#This Row],[NumL]],T_TraitDi[#Data],COLUMN(T_TraitDi[Colonne16]),FALSE)=0,"",TEXT(IFERROR(VLOOKUP(T_Convention[[#This Row],[NumL]],T_TraitDi[#Data],COLUMN(T_TraitDi[Colonne16]),FALSE),""),"[hh]:mm"))</f>
        <v>#N/A</v>
      </c>
      <c r="AQ258" s="284" t="str">
        <f>IFERROR(VLOOKUP(T_Convention[[#This Row],[NumL]],T_TraitDi[#Data],COLUMN(T_TraitDi[Colonne17]),FALSE),"")</f>
        <v/>
      </c>
      <c r="AR258" s="284" t="e">
        <f>IF(VLOOKUP(T_Convention[[#This Row],[NumL]],T_TraitDi[#Data],COLUMN(T_TraitDi[Colonne18]),FALSE)=0,"",TEXT(IFERROR(VLOOKUP(T_Convention[[#This Row],[NumL]],T_TraitDi[#Data],COLUMN(T_TraitDi[Colonne18]),FALSE),""),"[hh]:mm"))</f>
        <v>#N/A</v>
      </c>
      <c r="AS258" s="284" t="e">
        <f>IF(VLOOKUP(T_Convention[[#This Row],[NumL]],T_TraitDi[#Data],COLUMN(T_TraitDi[Colonne19]),FALSE)=0,"",TEXT(IFERROR(VLOOKUP(T_Convention[[#This Row],[NumL]],T_TraitDi[#Data],COLUMN(T_TraitDi[Colonne19]),FALSE),""),"[hh]:mm"))</f>
        <v>#N/A</v>
      </c>
      <c r="AT258" s="284" t="e">
        <f>IF(VLOOKUP(T_Convention[[#This Row],[NumL]],T_TraitDi[#Data],COLUMN(T_TraitDi[Colonne20]),FALSE)=0,"",TEXT(IFERROR(VLOOKUP(T_Convention[[#This Row],[NumL]],T_TraitDi[#Data],COLUMN(T_TraitDi[Colonne20]),FALSE),""),"[hh]:mm"))</f>
        <v>#N/A</v>
      </c>
      <c r="AU258" s="284" t="str">
        <f>IFERROR(VLOOKUP(T_Convention[[#This Row],[NumL]],T_TraitDi[#Data],COLUMN(T_TraitDi[Jeudi]),FALSE),"")</f>
        <v/>
      </c>
      <c r="AV258" s="284" t="e">
        <f>IF(VLOOKUP(T_Convention[[#This Row],[NumL]],T_TraitDi[#Data],COLUMN(T_TraitDi[Colonne21]),FALSE)=0,"",TEXT(IFERROR(VLOOKUP(T_Convention[[#This Row],[NumL]],T_TraitDi[#Data],COLUMN(T_TraitDi[Colonne21]),FALSE),""),"[hh]:mm"))</f>
        <v>#N/A</v>
      </c>
      <c r="AW258" s="284" t="e">
        <f>IF(VLOOKUP(T_Convention[[#This Row],[NumL]],T_TraitDi[#Data],COLUMN(T_TraitDi[Colonne22]),FALSE)=0,"",TEXT(IFERROR(VLOOKUP(T_Convention[[#This Row],[NumL]],T_TraitDi[#Data],COLUMN(T_TraitDi[Colonne22]),FALSE),""),"[hh]:mm"))</f>
        <v>#N/A</v>
      </c>
      <c r="AX258" s="284" t="str">
        <f>IFERROR(VLOOKUP(T_Convention[[#This Row],[NumL]],T_TraitDi[#Data],COLUMN(T_TraitDi[Colonne23]),FALSE),"")</f>
        <v/>
      </c>
      <c r="AY258" s="284" t="e">
        <f>IF(VLOOKUP(T_Convention[[#This Row],[NumL]],T_TraitDi[#Data],COLUMN(T_TraitDi[Colonne24]),FALSE)=0,"",TEXT(IFERROR(VLOOKUP(T_Convention[[#This Row],[NumL]],T_TraitDi[#Data],COLUMN(T_TraitDi[Colonne24]),FALSE),""),"[hh]:mm"))</f>
        <v>#N/A</v>
      </c>
      <c r="AZ258" s="284" t="e">
        <f>IF(VLOOKUP(T_Convention[[#This Row],[NumL]],T_TraitDi[#Data],COLUMN(T_TraitDi[Colonne25]),FALSE)=0,"",TEXT(IFERROR(VLOOKUP(T_Convention[[#This Row],[NumL]],T_TraitDi[#Data],COLUMN(T_TraitDi[Colonne25]),FALSE),""),"[hh]:mm"))</f>
        <v>#N/A</v>
      </c>
      <c r="BA258" s="284" t="e">
        <f>IF(VLOOKUP(T_Convention[[#This Row],[NumL]],T_TraitDi[#Data],COLUMN(T_TraitDi[Colonne26]),FALSE)=0,"",TEXT(IFERROR(VLOOKUP(T_Convention[[#This Row],[NumL]],T_TraitDi[#Data],COLUMN(T_TraitDi[Colonne26]),FALSE),""),"[hh]:mm"))</f>
        <v>#N/A</v>
      </c>
      <c r="BB258" s="284" t="str">
        <f>IFERROR(VLOOKUP(T_Convention[[#This Row],[NumL]],T_TraitDi[#Data],COLUMN(T_TraitDi[Vendredi]),FALSE),"")</f>
        <v/>
      </c>
      <c r="BC258" s="284" t="e">
        <f>IF(VLOOKUP(T_Convention[[#This Row],[NumL]],T_TraitDi[#Data],COLUMN(T_TraitDi[Colonne27]),FALSE)=0,"",TEXT(IFERROR(VLOOKUP(T_Convention[[#This Row],[NumL]],T_TraitDi[#Data],COLUMN(T_TraitDi[Colonne27]),FALSE),""),"[hh]:mm"))</f>
        <v>#N/A</v>
      </c>
      <c r="BD258" s="284" t="e">
        <f>IF(VLOOKUP(T_Convention[[#This Row],[NumL]],T_TraitDi[#Data],COLUMN(T_TraitDi[Colonne28]),FALSE)=0,"",TEXT(IFERROR(VLOOKUP(T_Convention[[#This Row],[NumL]],T_TraitDi[#Data],COLUMN(T_TraitDi[Colonne28]),FALSE),""),"[hh]:mm"))</f>
        <v>#N/A</v>
      </c>
      <c r="BE258" s="284" t="str">
        <f>IFERROR(VLOOKUP(T_Convention[[#This Row],[NumL]],T_TraitDi[#Data],COLUMN(T_TraitDi[Colonne29]),FALSE),"")</f>
        <v/>
      </c>
      <c r="BF258" s="284" t="e">
        <f>IF(VLOOKUP(T_Convention[[#This Row],[NumL]],T_TraitDi[#Data],COLUMN(T_TraitDi[Colonne30]),FALSE)=0,"",TEXT(IFERROR(VLOOKUP(T_Convention[[#This Row],[NumL]],T_TraitDi[#Data],COLUMN(T_TraitDi[Colonne30]),FALSE),""),"[hh]:mm"))</f>
        <v>#N/A</v>
      </c>
      <c r="BG258" s="284" t="e">
        <f>IF(VLOOKUP(T_Convention[[#This Row],[NumL]],T_TraitDi[#Data],COLUMN(T_TraitDi[Colonne31]),FALSE)=0,"",TEXT(IFERROR(VLOOKUP(T_Convention[[#This Row],[NumL]],T_TraitDi[#Data],COLUMN(T_TraitDi[Colonne31]),FALSE),""),"[hh]:mm"))</f>
        <v>#N/A</v>
      </c>
      <c r="BH258" s="284" t="e">
        <f>IF(VLOOKUP(T_Convention[[#This Row],[NumL]],T_TraitDi[#Data],COLUMN(T_TraitDi[Colonne32]),FALSE)=0,"",TEXT(IFERROR(VLOOKUP(T_Convention[[#This Row],[NumL]],T_TraitDi[#Data],COLUMN(T_TraitDi[Colonne32]),FALSE),""),"[hh]:mm"))</f>
        <v>#N/A</v>
      </c>
      <c r="BI258" s="284" t="str">
        <f>IFERROR(VLOOKUP(T_Convention[[#This Row],[NumL]],T_TraitDi[#Data],COLUMN(T_TraitDi[NbJTW]),FALSE),"")</f>
        <v/>
      </c>
      <c r="BJ258" s="284" t="e">
        <f>IF(VLOOKUP(T_Convention[[#This Row],[NumL]],T_TraitDi[#Data],COLUMN(T_TraitDi[NbhTW]),FALSE)=0,"",TEXT(IFERROR(VLOOKUP(T_Convention[[#This Row],[NumL]],T_TraitDi[#Data],COLUMN(T_TraitDi[NbhTW]),FALSE),""),"[hh]:mm"))</f>
        <v>#N/A</v>
      </c>
      <c r="BK258" s="286" t="e">
        <f>IF(VLOOKUP(T_Convention[[#This Row],[NumL]],T_TraitDi[#Data],COLUMN(T_TraitDi[Nbhheb]),FALSE)=0,"",TEXT(IFERROR(VLOOKUP(T_Convention[[#This Row],[NumL]],T_TraitDi[#Data],COLUMN(T_TraitDi[Nbhheb]),FALSE),""),"[hh]:mm"))</f>
        <v>#N/A</v>
      </c>
      <c r="BL258" s="287" t="str">
        <f>IFERROR(VLOOKUP(VLOOKUP(T_Convention[[#This Row],[NumL]],T_TraitDi[#Data],COLUMN(T_TraitDi[Type1]),FALSE),TypeTW,2,FALSE),"")</f>
        <v/>
      </c>
      <c r="BM258" s="288" t="str">
        <f>IFERROR(VLOOKUP(T_Convention[[#This Row],[NumL]],T_TraitDi[#Data],COLUMN(T_TraitDi[Rue1]),FALSE),"")</f>
        <v/>
      </c>
      <c r="BN258" s="289" t="str">
        <f>IFERROR(VLOOKUP(T_Convention[[#This Row],[NumL]],T_TraitDi[#Data],COLUMN(T_TraitDi[CP1]),FALSE),"")</f>
        <v/>
      </c>
      <c r="BO258" s="282" t="str">
        <f>IFERROR(VLOOKUP(T_Convention[[#This Row],[NumL]],T_TraitDi[#Data],COLUMN(T_TraitDi[VILLE1]),FALSE),"")</f>
        <v/>
      </c>
      <c r="BP258" s="290" t="str">
        <f>IFERROR(VLOOKUP(VLOOKUP(T_Convention[[#This Row],[NumL]],T_TraitDi[#Data],COLUMN(T_TraitDi[Type2]),FALSE),TypeTW,2,FALSE),"")</f>
        <v/>
      </c>
      <c r="BQ258" s="182" t="str">
        <f>IFERROR(VLOOKUP(T_Convention[[#This Row],[NumL]],T_TraitDi[#Data],COLUMN(T_TraitDi[Rue2]),FALSE),"")</f>
        <v/>
      </c>
      <c r="BR258" s="173" t="str">
        <f>IFERROR(VLOOKUP(T_Convention[[#This Row],[NumL]],T_TraitDi[#Data],COLUMN(T_TraitDi[CP2]),FALSE),"")</f>
        <v/>
      </c>
      <c r="BS258" s="173" t="str">
        <f>IFERROR(VLOOKUP(T_Convention[[#This Row],[NumL]],T_TraitDi[#Data],COLUMN(T_TraitDi[VILLE2]),FALSE),"")</f>
        <v/>
      </c>
      <c r="BT258" s="182" t="str">
        <f>IF(VLOOKUP(T_Convention[[#This Row],[NumL]],T_Equipement[#Data],COLUMN(T_Equipement[PC]),FALSE)="","Aucun équipement spécifique directement lié au télétravail",VLOOKUP(T_Convention[[#This Row],[NumL]],T_Equipement[#Data],COLUMN(T_Equipement[PC]),FALSE))</f>
        <v xml:space="preserve">16-076M	</v>
      </c>
      <c r="BU258" s="166" t="str">
        <f>IFERROR(IF(VLOOKUP(T_Convention[[#This Row],[NumL]],T_TraitDi[#Data],COLUMN(T_TraitDi[Plan]),FALSE)="OK","Un planning spécifique de télétravail est annexé à la présente convention.",""),"")</f>
        <v/>
      </c>
      <c r="BV258" s="185" t="s">
        <v>3327</v>
      </c>
      <c r="BW258" s="164" t="e">
        <f>IF(VLOOKUP(T_Convention[[#This Row],[NumL]],T_suiviDi[#Data],COLUMN(T_suiviDi[Entité]),FALSE)="","",VLOOKUP(T_Convention[[#This Row],[NumL]],T_suiviDi[#Data],COLUMN(T_suiviDi[Entité]),FALSE))</f>
        <v>#N/A</v>
      </c>
      <c r="BX258" s="164" t="str">
        <f>IF(VLOOKUP(T_Convention[[#This Row],[NumL]],T_Commission[#Data],COLUMN(T_Commission[envoi confirm TW]),FALSE)="","",VLOOKUP(T_Convention[[#This Row],[NumL]],T_Commission[#Data],COLUMN(T_Commission[envoi confirm TW]),FALSE))</f>
        <v>Oui</v>
      </c>
      <c r="BY25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8" s="264">
        <f>VLOOKUP(T_Convention[[#This Row],[NumL]],T_Commission[#Data],COLUMN(T_Commission[Commentaire]),FALSE)</f>
        <v>0</v>
      </c>
      <c r="CA258" s="254" t="str">
        <f>IF(VLOOKUP(T_Convention[[#This Row],[NumL]],T_Commission[#Data],COLUMN(T_Commission[Encadrant Email]),FALSE)="","",VLOOKUP(T_Convention[[#This Row],[NumL]],T_Commission[#Data],COLUMN(T_Commission[Encadrant Email]),FALSE))</f>
        <v/>
      </c>
      <c r="CB258" s="353" t="e">
        <f>VLOOKUP(T_Convention[[#This Row],[NumL]],T_TraitDi[#Data],COLUMN(T_TraitDi[NbJTot]),FALSE)</f>
        <v>#N/A</v>
      </c>
      <c r="CC258" s="353" t="e">
        <f>VLOOKUP(T_Convention[[#This Row],[NumL]],T_TraitDi[#Data],COLUMN(T_TraitDi[Reg Ponct]),FALSE)</f>
        <v>#N/A</v>
      </c>
      <c r="CD258" s="348" t="str">
        <f>IF(T_Convention[[#This Row],[Final]]&lt;&gt;"",VLOOKUP(T_Convention[[#This Row],[NumL]],T_suiviDi[#Data],COLUMN((T_suiviDi[Statut])),FALSE),"")</f>
        <v/>
      </c>
    </row>
    <row r="259" spans="1:82" s="106" customFormat="1" ht="18.75" customHeight="1" x14ac:dyDescent="0.25">
      <c r="A259" s="160">
        <v>292</v>
      </c>
      <c r="B259" s="161" t="str">
        <f>VLOOKUP(T_Convention[[#This Row],[NumL]],T_Commission[#Data],COLUMN(T_Commission[FINAL]),FALSE)</f>
        <v/>
      </c>
      <c r="C259" s="162"/>
      <c r="D259" s="95" t="e">
        <f>IF(VLOOKUP(T_Convention[[#This Row],[NumL]],T_TraitDi[#Data],COLUMN(T_TraitDi[WebC]),FALSE)="","",VLOOKUP(T_Convention[[#This Row],[NumL]],T_TraitDi[#Data],COLUMN(T_TraitDi[WebC]),FALSE))</f>
        <v>#N/A</v>
      </c>
      <c r="E259" s="174" t="str">
        <f t="shared" ref="E259:E320" si="20">TEXT(DateEdition,"jj mmmm aaaa")</f>
        <v>12 janvier 2021</v>
      </c>
      <c r="F259" s="282" t="str">
        <f>IF(T_Convention[[#This Row],[Final]]&lt;&gt;"",VLOOKUP(T_Convention[[#This Row],[NumL]],T_suiviDi[#Data],COLUMN((T_suiviDi[Civ.])),FALSE),"")</f>
        <v/>
      </c>
      <c r="G259" s="283" t="str">
        <f>IF(T_Convention[[#This Row],[Final]]&lt;&gt;"",VLOOKUP(T_Convention[[#This Row],[NumL]],T_suiviDi[#Data],COLUMN((T_suiviDi[Nom])),FALSE),"")</f>
        <v/>
      </c>
      <c r="H259" s="282" t="str">
        <f>IF(T_Convention[[#This Row],[Final]]&lt;&gt;"",VLOOKUP(T_Convention[[#This Row],[NumL]],T_suiviDi[#Data],COLUMN((T_suiviDi[Prénom])),FALSE),"")</f>
        <v/>
      </c>
      <c r="I259" s="282" t="e">
        <f>VLOOKUP(T_Convention[[#This Row],[NumL]],T_suiviDi[#Data],COLUMN((T_suiviDi[[#This Row],[Email]])),FALSE)</f>
        <v>#VALUE!</v>
      </c>
      <c r="J259" s="282" t="e">
        <f>IF(VLOOKUP(T_Convention[[#This Row],[NumL]],T_suiviDi[#Data],COLUMN(T_suiviDi[[#This Row],[Fonction]]),FALSE)="","",VLOOKUP(T_Convention[[#This Row],[NumL]],T_suiviDi[#Data],COLUMN(T_suiviDi[[#This Row],[Fonction]]),FALSE))</f>
        <v>#VALUE!</v>
      </c>
      <c r="K259" s="282" t="e">
        <f>IF(VLOOKUP(T_Convention[[#This Row],[NumL]],T_suiviDi[#Data],COLUMN(T_suiviDi[[#This Row],[Grade]]),FALSE)="","",VLOOKUP(T_Convention[[#This Row],[NumL]],T_suiviDi[#Data],COLUMN(T_suiviDi[[#This Row],[Grade]]),FALSE))</f>
        <v>#VALUE!</v>
      </c>
      <c r="L259" s="282" t="e">
        <f>IF(VLOOKUP(T_Convention[[#This Row],[NumL]],T_suiviDi[#Data],COLUMN(T_suiviDi[[#This Row],[Service ]]),FALSE)="","",VLOOKUP(T_Convention[[#This Row],[NumL]],T_suiviDi[#Data],COLUMN(T_suiviDi[[#This Row],[Service ]]),FALSE))</f>
        <v>#VALUE!</v>
      </c>
      <c r="M259" s="176" t="str">
        <f t="shared" ref="M259:M320" si="21">TEXT(Dateeffet,"jj mmmm aaaa")</f>
        <v>01 septembre 2021</v>
      </c>
      <c r="N259" s="176" t="str">
        <f t="shared" ref="N259:N320" si="22">TEXT(DateFinadapt,"jj mmmm aaaa")</f>
        <v>30 novembre 2021</v>
      </c>
      <c r="O259" s="284" t="str">
        <f t="shared" ref="O259:O320" si="23">TEXT(Datebilan,"jj mmmm aaaa")</f>
        <v>30 novembre 2021</v>
      </c>
      <c r="P259" s="282" t="e">
        <f>IF(VLOOKUP(T_Convention[[#This Row],[NumL]],T_TraitDi[#Data],COLUMN(T_TraitDi[M1]),FALSE)="","",VLOOKUP(T_Convention[[#This Row],[NumL]],T_TraitDi[#Data],COLUMN(T_TraitDi[M1]),FALSE))</f>
        <v>#N/A</v>
      </c>
      <c r="Q259" s="282" t="e">
        <f>IF(VLOOKUP(T_Convention[[#This Row],[NumL]],T_TraitDi[#Data],COLUMN(T_TraitDi[M2]),FALSE)="","",VLOOKUP(T_Convention[[#This Row],[NumL]],T_TraitDi[#Data],COLUMN(T_TraitDi[M2]),FALSE))</f>
        <v>#N/A</v>
      </c>
      <c r="R259" s="282" t="e">
        <f>IF(VLOOKUP(T_Convention[[#This Row],[NumL]],T_TraitDi[#Data],COLUMN(T_TraitDi[M3]),FALSE)="","",VLOOKUP(T_Convention[[#This Row],[NumL]],T_TraitDi[#Data],COLUMN(T_TraitDi[M3]),FALSE))</f>
        <v>#N/A</v>
      </c>
      <c r="S259" s="282" t="e">
        <f>IF(VLOOKUP(T_Convention[[#This Row],[NumL]],T_TraitDi[#Data],COLUMN(T_TraitDi[M4]),FALSE)="","",VLOOKUP(T_Convention[[#This Row],[NumL]],T_TraitDi[#Data],COLUMN(T_TraitDi[M4]),FALSE))</f>
        <v>#N/A</v>
      </c>
      <c r="T259" s="282" t="e">
        <f>IF(VLOOKUP(T_Convention[[#This Row],[NumL]],T_TraitDi[#Data],COLUMN(T_TraitDi[M5]),FALSE)="","",VLOOKUP(T_Convention[[#This Row],[NumL]],T_TraitDi[#Data],COLUMN(T_TraitDi[M5]),FALSE))</f>
        <v>#N/A</v>
      </c>
      <c r="U259" s="282" t="e">
        <f>IF(VLOOKUP(T_Convention[[#This Row],[NumL]],T_TraitDi[#Data],COLUMN(T_TraitDi[M6]),FALSE)="","",VLOOKUP(T_Convention[[#This Row],[NumL]],T_TraitDi[#Data],COLUMN(T_TraitDi[M6]),FALSE))</f>
        <v>#N/A</v>
      </c>
      <c r="V259" s="176" t="e">
        <f t="shared" ref="V259:V320" si="24">P259&amp;Q259&amp;R259&amp;S259&amp;T259&amp;U259</f>
        <v>#N/A</v>
      </c>
      <c r="W259" s="284" t="str">
        <f>IFERROR(TEXT(VLOOKUP(T_Convention[[#This Row],[NumL]],T_TraitDi[#Data],COLUMN(T_TraitDi[Q2]),FALSE),"###%"),"")</f>
        <v/>
      </c>
      <c r="X259" s="97" t="e">
        <f>VLOOKUP(T_Convention[[#This Row],[NumL]],T_TraitDi[#Data],COLUMN(T_TraitDi[Reg Ponct]),FALSE)</f>
        <v>#N/A</v>
      </c>
      <c r="Y259" s="97" t="e">
        <f>VLOOKUP(T_Convention[NumL],T_TraitDi[#Data],COLUMN(T_TraitDi[Jours flottants]),FALSE)</f>
        <v>#N/A</v>
      </c>
      <c r="Z259" s="284" t="str">
        <f>IFERROR(VLOOKUP(T_Convention[[#This Row],[NumL]],T_TraitDi[#Data],COLUMN(T_TraitDi[Lundi]),FALSE),"")</f>
        <v/>
      </c>
      <c r="AA259" s="284" t="e">
        <f>IF(VLOOKUP(T_Convention[[#This Row],[NumL]],T_TraitDi[#Data],COLUMN(T_TraitDi[Colonne3]),FALSE)=0,"",TEXT(IFERROR(VLOOKUP(T_Convention[[#This Row],[NumL]],T_TraitDi[#Data],COLUMN(T_TraitDi[Colonne3]),FALSE),""),"[hh]:mm"))</f>
        <v>#N/A</v>
      </c>
      <c r="AB259" s="284" t="e">
        <f>IF(VLOOKUP(T_Convention[[#This Row],[NumL]],T_TraitDi[#Data],COLUMN(T_TraitDi[Colonne4]),FALSE)=0,"",TEXT(IFERROR(VLOOKUP(T_Convention[[#This Row],[NumL]],T_TraitDi[#Data],COLUMN(T_TraitDi[Colonne4]),FALSE),""),"[hh]:mm"))</f>
        <v>#N/A</v>
      </c>
      <c r="AC259" s="284" t="e">
        <f>IF(VLOOKUP(T_Convention[[#This Row],[NumL]],T_TraitDi[#Data],COLUMN(T_TraitDi[Colonne5]),FALSE)=0,"",TEXT(IFERROR(VLOOKUP(T_Convention[[#This Row],[NumL]],T_TraitDi[#Data],COLUMN(T_TraitDi[Colonne5]),FALSE),""),"[hh]:mm"))</f>
        <v>#N/A</v>
      </c>
      <c r="AD259" s="284" t="e">
        <f>IF(VLOOKUP(T_Convention[[#This Row],[NumL]],T_TraitDi[#Data],COLUMN(T_TraitDi[Colonne6]),FALSE)=0,"",TEXT(IFERROR(VLOOKUP(T_Convention[[#This Row],[NumL]],T_TraitDi[#Data],COLUMN(T_TraitDi[Colonne6]),FALSE),""),"[hh]:mm"))</f>
        <v>#N/A</v>
      </c>
      <c r="AE259" s="284" t="e">
        <f>IF(VLOOKUP(T_Convention[[#This Row],[NumL]],T_TraitDi[#Data],COLUMN(T_TraitDi[Colonne7]),FALSE)=0,"",TEXT(IFERROR(VLOOKUP(T_Convention[[#This Row],[NumL]],T_TraitDi[#Data],COLUMN(T_TraitDi[Colonne7]),FALSE),""),"[hh]:mm"))</f>
        <v>#N/A</v>
      </c>
      <c r="AF259" s="284" t="e">
        <f>IF(VLOOKUP(T_Convention[[#This Row],[NumL]],T_TraitDi[#Data],COLUMN(T_TraitDi[Colonne8]),FALSE)=0,"",TEXT(IFERROR(VLOOKUP(T_Convention[[#This Row],[NumL]],T_TraitDi[#Data],COLUMN(T_TraitDi[Colonne8]),FALSE),""),"[hh]:mm"))</f>
        <v>#N/A</v>
      </c>
      <c r="AG259" s="284" t="str">
        <f>IFERROR(VLOOKUP(T_Convention[[#This Row],[NumL]],T_TraitDi[#Data],COLUMN(T_TraitDi[Mardi]),FALSE),"")</f>
        <v/>
      </c>
      <c r="AH259" s="284" t="e">
        <f>IF(VLOOKUP(T_Convention[[#This Row],[NumL]],T_TraitDi[#Data],COLUMN(T_TraitDi[Colonne1]),FALSE)=0,"",TEXT(IFERROR(VLOOKUP(T_Convention[[#This Row],[NumL]],T_TraitDi[#Data],COLUMN(T_TraitDi[Colonne1]),FALSE),""),"[hh]:mm"))</f>
        <v>#N/A</v>
      </c>
      <c r="AI259" s="284" t="e">
        <f>IF(VLOOKUP(T_Convention[[#This Row],[NumL]],T_TraitDi[#Data],COLUMN(T_TraitDi[Colonne9]),FALSE)=0,"",TEXT(IFERROR(VLOOKUP(T_Convention[[#This Row],[NumL]],T_TraitDi[#Data],COLUMN(T_TraitDi[Colonne9]),FALSE),""),"[hh]:mm"))</f>
        <v>#N/A</v>
      </c>
      <c r="AJ259" s="284" t="str">
        <f>IFERROR(VLOOKUP(T_Convention[[#This Row],[NumL]],T_TraitDi[#Data],COLUMN(T_TraitDi[Colonne10]),FALSE),"")</f>
        <v/>
      </c>
      <c r="AK259" s="284" t="e">
        <f>IF(VLOOKUP(T_Convention[[#This Row],[NumL]],T_TraitDi[#Data],COLUMN(T_TraitDi[Colonne11]),FALSE)=0,"",TEXT(IFERROR(VLOOKUP(T_Convention[[#This Row],[NumL]],T_TraitDi[#Data],COLUMN(T_TraitDi[Colonne11]),FALSE),""),"[hh]:mm"))</f>
        <v>#N/A</v>
      </c>
      <c r="AL259" s="284" t="e">
        <f>IF(VLOOKUP(T_Convention[[#This Row],[NumL]],T_TraitDi[#Data],COLUMN(T_TraitDi[Colonne12]),FALSE)=0,"",TEXT(IFERROR(VLOOKUP(T_Convention[[#This Row],[NumL]],T_TraitDi[#Data],COLUMN(T_TraitDi[Colonne12]),FALSE),""),"[hh]:mm"))</f>
        <v>#N/A</v>
      </c>
      <c r="AM259" s="284" t="e">
        <f>IF(VLOOKUP(T_Convention[[#This Row],[NumL]],T_TraitDi[#Data],COLUMN(T_TraitDi[Colonne14]),FALSE)=0,"",TEXT(IFERROR(VLOOKUP(T_Convention[[#This Row],[NumL]],T_TraitDi[#Data],COLUMN(T_TraitDi[Colonne14]),FALSE),""),"[hh]:mm"))</f>
        <v>#N/A</v>
      </c>
      <c r="AN259" s="284" t="str">
        <f>IFERROR(VLOOKUP(T_Convention[[#This Row],[NumL]],T_TraitDi[#Data],COLUMN(T_TraitDi[Mercredi]),FALSE),"")</f>
        <v/>
      </c>
      <c r="AO259" s="284" t="e">
        <f>IF(VLOOKUP(T_Convention[[#This Row],[NumL]],T_TraitDi[#Data],COLUMN(T_TraitDi[Colonne15]),FALSE)=0,"",TEXT(IFERROR(VLOOKUP(T_Convention[[#This Row],[NumL]],T_TraitDi[#Data],COLUMN(T_TraitDi[Colonne15]),FALSE),""),"[hh]:mm"))</f>
        <v>#N/A</v>
      </c>
      <c r="AP259" s="284" t="e">
        <f>IF(VLOOKUP(T_Convention[[#This Row],[NumL]],T_TraitDi[#Data],COLUMN(T_TraitDi[Colonne16]),FALSE)=0,"",TEXT(IFERROR(VLOOKUP(T_Convention[[#This Row],[NumL]],T_TraitDi[#Data],COLUMN(T_TraitDi[Colonne16]),FALSE),""),"[hh]:mm"))</f>
        <v>#N/A</v>
      </c>
      <c r="AQ259" s="284" t="str">
        <f>IFERROR(VLOOKUP(T_Convention[[#This Row],[NumL]],T_TraitDi[#Data],COLUMN(T_TraitDi[Colonne17]),FALSE),"")</f>
        <v/>
      </c>
      <c r="AR259" s="284" t="e">
        <f>IF(VLOOKUP(T_Convention[[#This Row],[NumL]],T_TraitDi[#Data],COLUMN(T_TraitDi[Colonne18]),FALSE)=0,"",TEXT(IFERROR(VLOOKUP(T_Convention[[#This Row],[NumL]],T_TraitDi[#Data],COLUMN(T_TraitDi[Colonne18]),FALSE),""),"[hh]:mm"))</f>
        <v>#N/A</v>
      </c>
      <c r="AS259" s="284" t="e">
        <f>IF(VLOOKUP(T_Convention[[#This Row],[NumL]],T_TraitDi[#Data],COLUMN(T_TraitDi[Colonne19]),FALSE)=0,"",TEXT(IFERROR(VLOOKUP(T_Convention[[#This Row],[NumL]],T_TraitDi[#Data],COLUMN(T_TraitDi[Colonne19]),FALSE),""),"[hh]:mm"))</f>
        <v>#N/A</v>
      </c>
      <c r="AT259" s="284" t="e">
        <f>IF(VLOOKUP(T_Convention[[#This Row],[NumL]],T_TraitDi[#Data],COLUMN(T_TraitDi[Colonne20]),FALSE)=0,"",TEXT(IFERROR(VLOOKUP(T_Convention[[#This Row],[NumL]],T_TraitDi[#Data],COLUMN(T_TraitDi[Colonne20]),FALSE),""),"[hh]:mm"))</f>
        <v>#N/A</v>
      </c>
      <c r="AU259" s="284" t="str">
        <f>IFERROR(VLOOKUP(T_Convention[[#This Row],[NumL]],T_TraitDi[#Data],COLUMN(T_TraitDi[Jeudi]),FALSE),"")</f>
        <v/>
      </c>
      <c r="AV259" s="284" t="e">
        <f>IF(VLOOKUP(T_Convention[[#This Row],[NumL]],T_TraitDi[#Data],COLUMN(T_TraitDi[Colonne21]),FALSE)=0,"",TEXT(IFERROR(VLOOKUP(T_Convention[[#This Row],[NumL]],T_TraitDi[#Data],COLUMN(T_TraitDi[Colonne21]),FALSE),""),"[hh]:mm"))</f>
        <v>#N/A</v>
      </c>
      <c r="AW259" s="284" t="e">
        <f>IF(VLOOKUP(T_Convention[[#This Row],[NumL]],T_TraitDi[#Data],COLUMN(T_TraitDi[Colonne22]),FALSE)=0,"",TEXT(IFERROR(VLOOKUP(T_Convention[[#This Row],[NumL]],T_TraitDi[#Data],COLUMN(T_TraitDi[Colonne22]),FALSE),""),"[hh]:mm"))</f>
        <v>#N/A</v>
      </c>
      <c r="AX259" s="284" t="str">
        <f>IFERROR(VLOOKUP(T_Convention[[#This Row],[NumL]],T_TraitDi[#Data],COLUMN(T_TraitDi[Colonne23]),FALSE),"")</f>
        <v/>
      </c>
      <c r="AY259" s="284" t="e">
        <f>IF(VLOOKUP(T_Convention[[#This Row],[NumL]],T_TraitDi[#Data],COLUMN(T_TraitDi[Colonne24]),FALSE)=0,"",TEXT(IFERROR(VLOOKUP(T_Convention[[#This Row],[NumL]],T_TraitDi[#Data],COLUMN(T_TraitDi[Colonne24]),FALSE),""),"[hh]:mm"))</f>
        <v>#N/A</v>
      </c>
      <c r="AZ259" s="284" t="e">
        <f>IF(VLOOKUP(T_Convention[[#This Row],[NumL]],T_TraitDi[#Data],COLUMN(T_TraitDi[Colonne25]),FALSE)=0,"",TEXT(IFERROR(VLOOKUP(T_Convention[[#This Row],[NumL]],T_TraitDi[#Data],COLUMN(T_TraitDi[Colonne25]),FALSE),""),"[hh]:mm"))</f>
        <v>#N/A</v>
      </c>
      <c r="BA259" s="284" t="e">
        <f>IF(VLOOKUP(T_Convention[[#This Row],[NumL]],T_TraitDi[#Data],COLUMN(T_TraitDi[Colonne26]),FALSE)=0,"",TEXT(IFERROR(VLOOKUP(T_Convention[[#This Row],[NumL]],T_TraitDi[#Data],COLUMN(T_TraitDi[Colonne26]),FALSE),""),"[hh]:mm"))</f>
        <v>#N/A</v>
      </c>
      <c r="BB259" s="284" t="str">
        <f>IFERROR(VLOOKUP(T_Convention[[#This Row],[NumL]],T_TraitDi[#Data],COLUMN(T_TraitDi[Vendredi]),FALSE),"")</f>
        <v/>
      </c>
      <c r="BC259" s="284" t="e">
        <f>IF(VLOOKUP(T_Convention[[#This Row],[NumL]],T_TraitDi[#Data],COLUMN(T_TraitDi[Colonne27]),FALSE)=0,"",TEXT(IFERROR(VLOOKUP(T_Convention[[#This Row],[NumL]],T_TraitDi[#Data],COLUMN(T_TraitDi[Colonne27]),FALSE),""),"[hh]:mm"))</f>
        <v>#N/A</v>
      </c>
      <c r="BD259" s="284" t="e">
        <f>IF(VLOOKUP(T_Convention[[#This Row],[NumL]],T_TraitDi[#Data],COLUMN(T_TraitDi[Colonne28]),FALSE)=0,"",TEXT(IFERROR(VLOOKUP(T_Convention[[#This Row],[NumL]],T_TraitDi[#Data],COLUMN(T_TraitDi[Colonne28]),FALSE),""),"[hh]:mm"))</f>
        <v>#N/A</v>
      </c>
      <c r="BE259" s="284" t="str">
        <f>IFERROR(VLOOKUP(T_Convention[[#This Row],[NumL]],T_TraitDi[#Data],COLUMN(T_TraitDi[Colonne29]),FALSE),"")</f>
        <v/>
      </c>
      <c r="BF259" s="284" t="e">
        <f>IF(VLOOKUP(T_Convention[[#This Row],[NumL]],T_TraitDi[#Data],COLUMN(T_TraitDi[Colonne30]),FALSE)=0,"",TEXT(IFERROR(VLOOKUP(T_Convention[[#This Row],[NumL]],T_TraitDi[#Data],COLUMN(T_TraitDi[Colonne30]),FALSE),""),"[hh]:mm"))</f>
        <v>#N/A</v>
      </c>
      <c r="BG259" s="284" t="e">
        <f>IF(VLOOKUP(T_Convention[[#This Row],[NumL]],T_TraitDi[#Data],COLUMN(T_TraitDi[Colonne31]),FALSE)=0,"",TEXT(IFERROR(VLOOKUP(T_Convention[[#This Row],[NumL]],T_TraitDi[#Data],COLUMN(T_TraitDi[Colonne31]),FALSE),""),"[hh]:mm"))</f>
        <v>#N/A</v>
      </c>
      <c r="BH259" s="284" t="e">
        <f>IF(VLOOKUP(T_Convention[[#This Row],[NumL]],T_TraitDi[#Data],COLUMN(T_TraitDi[Colonne32]),FALSE)=0,"",TEXT(IFERROR(VLOOKUP(T_Convention[[#This Row],[NumL]],T_TraitDi[#Data],COLUMN(T_TraitDi[Colonne32]),FALSE),""),"[hh]:mm"))</f>
        <v>#N/A</v>
      </c>
      <c r="BI259" s="284" t="str">
        <f>IFERROR(VLOOKUP(T_Convention[[#This Row],[NumL]],T_TraitDi[#Data],COLUMN(T_TraitDi[NbJTW]),FALSE),"")</f>
        <v/>
      </c>
      <c r="BJ259" s="284" t="e">
        <f>IF(VLOOKUP(T_Convention[[#This Row],[NumL]],T_TraitDi[#Data],COLUMN(T_TraitDi[NbhTW]),FALSE)=0,"",TEXT(IFERROR(VLOOKUP(T_Convention[[#This Row],[NumL]],T_TraitDi[#Data],COLUMN(T_TraitDi[NbhTW]),FALSE),""),"[hh]:mm"))</f>
        <v>#N/A</v>
      </c>
      <c r="BK259" s="286" t="e">
        <f>IF(VLOOKUP(T_Convention[[#This Row],[NumL]],T_TraitDi[#Data],COLUMN(T_TraitDi[Nbhheb]),FALSE)=0,"",TEXT(IFERROR(VLOOKUP(T_Convention[[#This Row],[NumL]],T_TraitDi[#Data],COLUMN(T_TraitDi[Nbhheb]),FALSE),""),"[hh]:mm"))</f>
        <v>#N/A</v>
      </c>
      <c r="BL259" s="287" t="str">
        <f>IFERROR(VLOOKUP(VLOOKUP(T_Convention[[#This Row],[NumL]],T_TraitDi[#Data],COLUMN(T_TraitDi[Type1]),FALSE),TypeTW,2,FALSE),"")</f>
        <v/>
      </c>
      <c r="BM259" s="288" t="str">
        <f>IFERROR(VLOOKUP(T_Convention[[#This Row],[NumL]],T_TraitDi[#Data],COLUMN(T_TraitDi[Rue1]),FALSE),"")</f>
        <v/>
      </c>
      <c r="BN259" s="289" t="str">
        <f>IFERROR(VLOOKUP(T_Convention[[#This Row],[NumL]],T_TraitDi[#Data],COLUMN(T_TraitDi[CP1]),FALSE),"")</f>
        <v/>
      </c>
      <c r="BO259" s="282" t="str">
        <f>IFERROR(VLOOKUP(T_Convention[[#This Row],[NumL]],T_TraitDi[#Data],COLUMN(T_TraitDi[VILLE1]),FALSE),"")</f>
        <v/>
      </c>
      <c r="BP259" s="290" t="str">
        <f>IFERROR(VLOOKUP(VLOOKUP(T_Convention[[#This Row],[NumL]],T_TraitDi[#Data],COLUMN(T_TraitDi[Type2]),FALSE),TypeTW,2,FALSE),"")</f>
        <v/>
      </c>
      <c r="BQ259" s="182" t="str">
        <f>IFERROR(VLOOKUP(T_Convention[[#This Row],[NumL]],T_TraitDi[#Data],COLUMN(T_TraitDi[Rue2]),FALSE),"")</f>
        <v/>
      </c>
      <c r="BR259" s="173" t="str">
        <f>IFERROR(VLOOKUP(T_Convention[[#This Row],[NumL]],T_TraitDi[#Data],COLUMN(T_TraitDi[CP2]),FALSE),"")</f>
        <v/>
      </c>
      <c r="BS259" s="173" t="str">
        <f>IFERROR(VLOOKUP(T_Convention[[#This Row],[NumL]],T_TraitDi[#Data],COLUMN(T_TraitDi[VILLE2]),FALSE),"")</f>
        <v/>
      </c>
      <c r="BT259"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59" s="166" t="str">
        <f>IFERROR(IF(VLOOKUP(T_Convention[[#This Row],[NumL]],T_TraitDi[#Data],COLUMN(T_TraitDi[Plan]),FALSE)="OK","Un planning spécifique de télétravail est annexé à la présente convention.",""),"")</f>
        <v/>
      </c>
      <c r="BV259" s="270"/>
      <c r="BW259" s="164" t="e">
        <f>IF(VLOOKUP(T_Convention[[#This Row],[NumL]],T_suiviDi[#Data],COLUMN(T_suiviDi[Entité]),FALSE)="","",VLOOKUP(T_Convention[[#This Row],[NumL]],T_suiviDi[#Data],COLUMN(T_suiviDi[Entité]),FALSE))</f>
        <v>#N/A</v>
      </c>
      <c r="BX259" s="164" t="str">
        <f>IF(VLOOKUP(T_Convention[[#This Row],[NumL]],T_Commission[#Data],COLUMN(T_Commission[envoi confirm TW]),FALSE)="","",VLOOKUP(T_Convention[[#This Row],[NumL]],T_Commission[#Data],COLUMN(T_Commission[envoi confirm TW]),FALSE))</f>
        <v>Oui</v>
      </c>
      <c r="BY25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59" s="264">
        <f>VLOOKUP(T_Convention[[#This Row],[NumL]],T_Commission[#Data],COLUMN(T_Commission[Commentaire]),FALSE)</f>
        <v>0</v>
      </c>
      <c r="CA259" s="254" t="str">
        <f>IF(VLOOKUP(T_Convention[[#This Row],[NumL]],T_Commission[#Data],COLUMN(T_Commission[Encadrant Email]),FALSE)="","",VLOOKUP(T_Convention[[#This Row],[NumL]],T_Commission[#Data],COLUMN(T_Commission[Encadrant Email]),FALSE))</f>
        <v/>
      </c>
      <c r="CB259" s="353" t="e">
        <f>VLOOKUP(T_Convention[[#This Row],[NumL]],T_TraitDi[#Data],COLUMN(T_TraitDi[NbJTot]),FALSE)</f>
        <v>#N/A</v>
      </c>
      <c r="CC259" s="353" t="e">
        <f>VLOOKUP(T_Convention[[#This Row],[NumL]],T_TraitDi[#Data],COLUMN(T_TraitDi[Reg Ponct]),FALSE)</f>
        <v>#N/A</v>
      </c>
      <c r="CD259" s="348" t="str">
        <f>IF(T_Convention[[#This Row],[Final]]&lt;&gt;"",VLOOKUP(T_Convention[[#This Row],[NumL]],T_suiviDi[#Data],COLUMN((T_suiviDi[Statut])),FALSE),"")</f>
        <v/>
      </c>
    </row>
    <row r="260" spans="1:82" s="106" customFormat="1" ht="18.75" customHeight="1" x14ac:dyDescent="0.25">
      <c r="A260" s="160">
        <v>102</v>
      </c>
      <c r="B260" s="161" t="str">
        <f>VLOOKUP(T_Convention[[#This Row],[NumL]],T_Commission[#Data],COLUMN(T_Commission[FINAL]),FALSE)</f>
        <v/>
      </c>
      <c r="C260" s="162"/>
      <c r="D260" s="95" t="e">
        <f>IF(VLOOKUP(T_Convention[[#This Row],[NumL]],T_TraitDi[#Data],COLUMN(T_TraitDi[WebC]),FALSE)="","",VLOOKUP(T_Convention[[#This Row],[NumL]],T_TraitDi[#Data],COLUMN(T_TraitDi[WebC]),FALSE))</f>
        <v>#N/A</v>
      </c>
      <c r="E260" s="163" t="str">
        <f t="shared" si="20"/>
        <v>12 janvier 2021</v>
      </c>
      <c r="F260" s="282" t="str">
        <f>IF(T_Convention[[#This Row],[Final]]&lt;&gt;"",VLOOKUP(T_Convention[[#This Row],[NumL]],T_suiviDi[#Data],COLUMN((T_suiviDi[Civ.])),FALSE),"")</f>
        <v/>
      </c>
      <c r="G260" s="283" t="str">
        <f>IF(T_Convention[[#This Row],[Final]]&lt;&gt;"",VLOOKUP(T_Convention[[#This Row],[NumL]],T_suiviDi[#Data],COLUMN((T_suiviDi[Nom])),FALSE),"")</f>
        <v/>
      </c>
      <c r="H260" s="282" t="str">
        <f>IF(T_Convention[[#This Row],[Final]]&lt;&gt;"",VLOOKUP(T_Convention[[#This Row],[NumL]],T_suiviDi[#Data],COLUMN((T_suiviDi[Prénom])),FALSE),"")</f>
        <v/>
      </c>
      <c r="I260" s="282" t="e">
        <f>VLOOKUP(T_Convention[[#This Row],[NumL]],T_suiviDi[#Data],COLUMN((T_suiviDi[[#This Row],[Email]])),FALSE)</f>
        <v>#VALUE!</v>
      </c>
      <c r="J260" s="282" t="e">
        <f>IF(VLOOKUP(T_Convention[[#This Row],[NumL]],T_suiviDi[#Data],COLUMN(T_suiviDi[[#This Row],[Fonction]]),FALSE)="","",VLOOKUP(T_Convention[[#This Row],[NumL]],T_suiviDi[#Data],COLUMN(T_suiviDi[[#This Row],[Fonction]]),FALSE))</f>
        <v>#VALUE!</v>
      </c>
      <c r="K260" s="282" t="e">
        <f>IF(VLOOKUP(T_Convention[[#This Row],[NumL]],T_suiviDi[#Data],COLUMN(T_suiviDi[[#This Row],[Grade]]),FALSE)="","",VLOOKUP(T_Convention[[#This Row],[NumL]],T_suiviDi[#Data],COLUMN(T_suiviDi[[#This Row],[Grade]]),FALSE))</f>
        <v>#VALUE!</v>
      </c>
      <c r="L260" s="282" t="e">
        <f>IF(VLOOKUP(T_Convention[[#This Row],[NumL]],T_suiviDi[#Data],COLUMN(T_suiviDi[[#This Row],[Service ]]),FALSE)="","",VLOOKUP(T_Convention[[#This Row],[NumL]],T_suiviDi[#Data],COLUMN(T_suiviDi[[#This Row],[Service ]]),FALSE))</f>
        <v>#VALUE!</v>
      </c>
      <c r="M260" s="164" t="str">
        <f t="shared" si="21"/>
        <v>01 septembre 2021</v>
      </c>
      <c r="N260" s="164" t="str">
        <f t="shared" si="22"/>
        <v>30 novembre 2021</v>
      </c>
      <c r="O260" s="284" t="str">
        <f t="shared" si="23"/>
        <v>30 novembre 2021</v>
      </c>
      <c r="P260" s="282" t="e">
        <f>IF(VLOOKUP(T_Convention[[#This Row],[NumL]],T_TraitDi[#Data],COLUMN(T_TraitDi[M1]),FALSE)="","",VLOOKUP(T_Convention[[#This Row],[NumL]],T_TraitDi[#Data],COLUMN(T_TraitDi[M1]),FALSE))</f>
        <v>#N/A</v>
      </c>
      <c r="Q260" s="282" t="e">
        <f>IF(VLOOKUP(T_Convention[[#This Row],[NumL]],T_TraitDi[#Data],COLUMN(T_TraitDi[M2]),FALSE)="","",VLOOKUP(T_Convention[[#This Row],[NumL]],T_TraitDi[#Data],COLUMN(T_TraitDi[M2]),FALSE))</f>
        <v>#N/A</v>
      </c>
      <c r="R260" s="282" t="e">
        <f>IF(VLOOKUP(T_Convention[[#This Row],[NumL]],T_TraitDi[#Data],COLUMN(T_TraitDi[M3]),FALSE)="","",VLOOKUP(T_Convention[[#This Row],[NumL]],T_TraitDi[#Data],COLUMN(T_TraitDi[M3]),FALSE))</f>
        <v>#N/A</v>
      </c>
      <c r="S260" s="282" t="e">
        <f>IF(VLOOKUP(T_Convention[[#This Row],[NumL]],T_TraitDi[#Data],COLUMN(T_TraitDi[M4]),FALSE)="","",VLOOKUP(T_Convention[[#This Row],[NumL]],T_TraitDi[#Data],COLUMN(T_TraitDi[M4]),FALSE))</f>
        <v>#N/A</v>
      </c>
      <c r="T260" s="282" t="e">
        <f>IF(VLOOKUP(T_Convention[[#This Row],[NumL]],T_TraitDi[#Data],COLUMN(T_TraitDi[M5]),FALSE)="","",VLOOKUP(T_Convention[[#This Row],[NumL]],T_TraitDi[#Data],COLUMN(T_TraitDi[M5]),FALSE))</f>
        <v>#N/A</v>
      </c>
      <c r="U260" s="282" t="e">
        <f>IF(VLOOKUP(T_Convention[[#This Row],[NumL]],T_TraitDi[#Data],COLUMN(T_TraitDi[M6]),FALSE)="","",VLOOKUP(T_Convention[[#This Row],[NumL]],T_TraitDi[#Data],COLUMN(T_TraitDi[M6]),FALSE))</f>
        <v>#N/A</v>
      </c>
      <c r="V260" s="176" t="e">
        <f t="shared" si="24"/>
        <v>#N/A</v>
      </c>
      <c r="W260" s="284" t="str">
        <f>IFERROR(TEXT(VLOOKUP(T_Convention[[#This Row],[NumL]],T_TraitDi[#Data],COLUMN(T_TraitDi[Q2]),FALSE),"###%"),"")</f>
        <v/>
      </c>
      <c r="X260" s="97" t="e">
        <f>VLOOKUP(T_Convention[[#This Row],[NumL]],T_TraitDi[#Data],COLUMN(T_TraitDi[Reg Ponct]),FALSE)</f>
        <v>#N/A</v>
      </c>
      <c r="Y260" s="97" t="e">
        <f>VLOOKUP(T_Convention[NumL],T_TraitDi[#Data],COLUMN(T_TraitDi[Jours flottants]),FALSE)</f>
        <v>#N/A</v>
      </c>
      <c r="Z260" s="284" t="str">
        <f>IFERROR(VLOOKUP(T_Convention[[#This Row],[NumL]],T_TraitDi[#Data],COLUMN(T_TraitDi[Lundi]),FALSE),"")</f>
        <v/>
      </c>
      <c r="AA260" s="284" t="e">
        <f>IF(VLOOKUP(T_Convention[[#This Row],[NumL]],T_TraitDi[#Data],COLUMN(T_TraitDi[Colonne3]),FALSE)=0,"",TEXT(IFERROR(VLOOKUP(T_Convention[[#This Row],[NumL]],T_TraitDi[#Data],COLUMN(T_TraitDi[Colonne3]),FALSE),""),"[hh]:mm"))</f>
        <v>#N/A</v>
      </c>
      <c r="AB260" s="284" t="e">
        <f>IF(VLOOKUP(T_Convention[[#This Row],[NumL]],T_TraitDi[#Data],COLUMN(T_TraitDi[Colonne4]),FALSE)=0,"",TEXT(IFERROR(VLOOKUP(T_Convention[[#This Row],[NumL]],T_TraitDi[#Data],COLUMN(T_TraitDi[Colonne4]),FALSE),""),"[hh]:mm"))</f>
        <v>#N/A</v>
      </c>
      <c r="AC260" s="284" t="e">
        <f>IF(VLOOKUP(T_Convention[[#This Row],[NumL]],T_TraitDi[#Data],COLUMN(T_TraitDi[Colonne5]),FALSE)=0,"",TEXT(IFERROR(VLOOKUP(T_Convention[[#This Row],[NumL]],T_TraitDi[#Data],COLUMN(T_TraitDi[Colonne5]),FALSE),""),"[hh]:mm"))</f>
        <v>#N/A</v>
      </c>
      <c r="AD260" s="284" t="e">
        <f>IF(VLOOKUP(T_Convention[[#This Row],[NumL]],T_TraitDi[#Data],COLUMN(T_TraitDi[Colonne6]),FALSE)=0,"",TEXT(IFERROR(VLOOKUP(T_Convention[[#This Row],[NumL]],T_TraitDi[#Data],COLUMN(T_TraitDi[Colonne6]),FALSE),""),"[hh]:mm"))</f>
        <v>#N/A</v>
      </c>
      <c r="AE260" s="284" t="e">
        <f>IF(VLOOKUP(T_Convention[[#This Row],[NumL]],T_TraitDi[#Data],COLUMN(T_TraitDi[Colonne7]),FALSE)=0,"",TEXT(IFERROR(VLOOKUP(T_Convention[[#This Row],[NumL]],T_TraitDi[#Data],COLUMN(T_TraitDi[Colonne7]),FALSE),""),"[hh]:mm"))</f>
        <v>#N/A</v>
      </c>
      <c r="AF260" s="284" t="e">
        <f>IF(VLOOKUP(T_Convention[[#This Row],[NumL]],T_TraitDi[#Data],COLUMN(T_TraitDi[Colonne8]),FALSE)=0,"",TEXT(IFERROR(VLOOKUP(T_Convention[[#This Row],[NumL]],T_TraitDi[#Data],COLUMN(T_TraitDi[Colonne8]),FALSE),""),"[hh]:mm"))</f>
        <v>#N/A</v>
      </c>
      <c r="AG260" s="284" t="str">
        <f>IFERROR(VLOOKUP(T_Convention[[#This Row],[NumL]],T_TraitDi[#Data],COLUMN(T_TraitDi[Mardi]),FALSE),"")</f>
        <v/>
      </c>
      <c r="AH260" s="284" t="e">
        <f>IF(VLOOKUP(T_Convention[[#This Row],[NumL]],T_TraitDi[#Data],COLUMN(T_TraitDi[Colonne1]),FALSE)=0,"",TEXT(IFERROR(VLOOKUP(T_Convention[[#This Row],[NumL]],T_TraitDi[#Data],COLUMN(T_TraitDi[Colonne1]),FALSE),""),"[hh]:mm"))</f>
        <v>#N/A</v>
      </c>
      <c r="AI260" s="284" t="e">
        <f>IF(VLOOKUP(T_Convention[[#This Row],[NumL]],T_TraitDi[#Data],COLUMN(T_TraitDi[Colonne9]),FALSE)=0,"",TEXT(IFERROR(VLOOKUP(T_Convention[[#This Row],[NumL]],T_TraitDi[#Data],COLUMN(T_TraitDi[Colonne9]),FALSE),""),"[hh]:mm"))</f>
        <v>#N/A</v>
      </c>
      <c r="AJ260" s="284" t="str">
        <f>IFERROR(VLOOKUP(T_Convention[[#This Row],[NumL]],T_TraitDi[#Data],COLUMN(T_TraitDi[Colonne10]),FALSE),"")</f>
        <v/>
      </c>
      <c r="AK260" s="284" t="e">
        <f>IF(VLOOKUP(T_Convention[[#This Row],[NumL]],T_TraitDi[#Data],COLUMN(T_TraitDi[Colonne11]),FALSE)=0,"",TEXT(IFERROR(VLOOKUP(T_Convention[[#This Row],[NumL]],T_TraitDi[#Data],COLUMN(T_TraitDi[Colonne11]),FALSE),""),"[hh]:mm"))</f>
        <v>#N/A</v>
      </c>
      <c r="AL260" s="284" t="e">
        <f>IF(VLOOKUP(T_Convention[[#This Row],[NumL]],T_TraitDi[#Data],COLUMN(T_TraitDi[Colonne12]),FALSE)=0,"",TEXT(IFERROR(VLOOKUP(T_Convention[[#This Row],[NumL]],T_TraitDi[#Data],COLUMN(T_TraitDi[Colonne12]),FALSE),""),"[hh]:mm"))</f>
        <v>#N/A</v>
      </c>
      <c r="AM260" s="284" t="e">
        <f>IF(VLOOKUP(T_Convention[[#This Row],[NumL]],T_TraitDi[#Data],COLUMN(T_TraitDi[Colonne14]),FALSE)=0,"",TEXT(IFERROR(VLOOKUP(T_Convention[[#This Row],[NumL]],T_TraitDi[#Data],COLUMN(T_TraitDi[Colonne14]),FALSE),""),"[hh]:mm"))</f>
        <v>#N/A</v>
      </c>
      <c r="AN260" s="284" t="str">
        <f>IFERROR(VLOOKUP(T_Convention[[#This Row],[NumL]],T_TraitDi[#Data],COLUMN(T_TraitDi[Mercredi]),FALSE),"")</f>
        <v/>
      </c>
      <c r="AO260" s="284" t="e">
        <f>IF(VLOOKUP(T_Convention[[#This Row],[NumL]],T_TraitDi[#Data],COLUMN(T_TraitDi[Colonne15]),FALSE)=0,"",TEXT(IFERROR(VLOOKUP(T_Convention[[#This Row],[NumL]],T_TraitDi[#Data],COLUMN(T_TraitDi[Colonne15]),FALSE),""),"[hh]:mm"))</f>
        <v>#N/A</v>
      </c>
      <c r="AP260" s="284" t="e">
        <f>IF(VLOOKUP(T_Convention[[#This Row],[NumL]],T_TraitDi[#Data],COLUMN(T_TraitDi[Colonne16]),FALSE)=0,"",TEXT(IFERROR(VLOOKUP(T_Convention[[#This Row],[NumL]],T_TraitDi[#Data],COLUMN(T_TraitDi[Colonne16]),FALSE),""),"[hh]:mm"))</f>
        <v>#N/A</v>
      </c>
      <c r="AQ260" s="284" t="str">
        <f>IFERROR(VLOOKUP(T_Convention[[#This Row],[NumL]],T_TraitDi[#Data],COLUMN(T_TraitDi[Colonne17]),FALSE),"")</f>
        <v/>
      </c>
      <c r="AR260" s="284" t="e">
        <f>IF(VLOOKUP(T_Convention[[#This Row],[NumL]],T_TraitDi[#Data],COLUMN(T_TraitDi[Colonne18]),FALSE)=0,"",TEXT(IFERROR(VLOOKUP(T_Convention[[#This Row],[NumL]],T_TraitDi[#Data],COLUMN(T_TraitDi[Colonne18]),FALSE),""),"[hh]:mm"))</f>
        <v>#N/A</v>
      </c>
      <c r="AS260" s="284" t="e">
        <f>IF(VLOOKUP(T_Convention[[#This Row],[NumL]],T_TraitDi[#Data],COLUMN(T_TraitDi[Colonne19]),FALSE)=0,"",TEXT(IFERROR(VLOOKUP(T_Convention[[#This Row],[NumL]],T_TraitDi[#Data],COLUMN(T_TraitDi[Colonne19]),FALSE),""),"[hh]:mm"))</f>
        <v>#N/A</v>
      </c>
      <c r="AT260" s="284" t="e">
        <f>IF(VLOOKUP(T_Convention[[#This Row],[NumL]],T_TraitDi[#Data],COLUMN(T_TraitDi[Colonne20]),FALSE)=0,"",TEXT(IFERROR(VLOOKUP(T_Convention[[#This Row],[NumL]],T_TraitDi[#Data],COLUMN(T_TraitDi[Colonne20]),FALSE),""),"[hh]:mm"))</f>
        <v>#N/A</v>
      </c>
      <c r="AU260" s="284" t="str">
        <f>IFERROR(VLOOKUP(T_Convention[[#This Row],[NumL]],T_TraitDi[#Data],COLUMN(T_TraitDi[Jeudi]),FALSE),"")</f>
        <v/>
      </c>
      <c r="AV260" s="284" t="e">
        <f>IF(VLOOKUP(T_Convention[[#This Row],[NumL]],T_TraitDi[#Data],COLUMN(T_TraitDi[Colonne21]),FALSE)=0,"",TEXT(IFERROR(VLOOKUP(T_Convention[[#This Row],[NumL]],T_TraitDi[#Data],COLUMN(T_TraitDi[Colonne21]),FALSE),""),"[hh]:mm"))</f>
        <v>#N/A</v>
      </c>
      <c r="AW260" s="284" t="e">
        <f>IF(VLOOKUP(T_Convention[[#This Row],[NumL]],T_TraitDi[#Data],COLUMN(T_TraitDi[Colonne22]),FALSE)=0,"",TEXT(IFERROR(VLOOKUP(T_Convention[[#This Row],[NumL]],T_TraitDi[#Data],COLUMN(T_TraitDi[Colonne22]),FALSE),""),"[hh]:mm"))</f>
        <v>#N/A</v>
      </c>
      <c r="AX260" s="284" t="str">
        <f>IFERROR(VLOOKUP(T_Convention[[#This Row],[NumL]],T_TraitDi[#Data],COLUMN(T_TraitDi[Colonne23]),FALSE),"")</f>
        <v/>
      </c>
      <c r="AY260" s="284" t="e">
        <f>IF(VLOOKUP(T_Convention[[#This Row],[NumL]],T_TraitDi[#Data],COLUMN(T_TraitDi[Colonne24]),FALSE)=0,"",TEXT(IFERROR(VLOOKUP(T_Convention[[#This Row],[NumL]],T_TraitDi[#Data],COLUMN(T_TraitDi[Colonne24]),FALSE),""),"[hh]:mm"))</f>
        <v>#N/A</v>
      </c>
      <c r="AZ260" s="284" t="e">
        <f>IF(VLOOKUP(T_Convention[[#This Row],[NumL]],T_TraitDi[#Data],COLUMN(T_TraitDi[Colonne25]),FALSE)=0,"",TEXT(IFERROR(VLOOKUP(T_Convention[[#This Row],[NumL]],T_TraitDi[#Data],COLUMN(T_TraitDi[Colonne25]),FALSE),""),"[hh]:mm"))</f>
        <v>#N/A</v>
      </c>
      <c r="BA260" s="284" t="e">
        <f>IF(VLOOKUP(T_Convention[[#This Row],[NumL]],T_TraitDi[#Data],COLUMN(T_TraitDi[Colonne26]),FALSE)=0,"",TEXT(IFERROR(VLOOKUP(T_Convention[[#This Row],[NumL]],T_TraitDi[#Data],COLUMN(T_TraitDi[Colonne26]),FALSE),""),"[hh]:mm"))</f>
        <v>#N/A</v>
      </c>
      <c r="BB260" s="284" t="str">
        <f>IFERROR(VLOOKUP(T_Convention[[#This Row],[NumL]],T_TraitDi[#Data],COLUMN(T_TraitDi[Vendredi]),FALSE),"")</f>
        <v/>
      </c>
      <c r="BC260" s="284" t="e">
        <f>IF(VLOOKUP(T_Convention[[#This Row],[NumL]],T_TraitDi[#Data],COLUMN(T_TraitDi[Colonne27]),FALSE)=0,"",TEXT(IFERROR(VLOOKUP(T_Convention[[#This Row],[NumL]],T_TraitDi[#Data],COLUMN(T_TraitDi[Colonne27]),FALSE),""),"[hh]:mm"))</f>
        <v>#N/A</v>
      </c>
      <c r="BD260" s="284" t="e">
        <f>IF(VLOOKUP(T_Convention[[#This Row],[NumL]],T_TraitDi[#Data],COLUMN(T_TraitDi[Colonne28]),FALSE)=0,"",TEXT(IFERROR(VLOOKUP(T_Convention[[#This Row],[NumL]],T_TraitDi[#Data],COLUMN(T_TraitDi[Colonne28]),FALSE),""),"[hh]:mm"))</f>
        <v>#N/A</v>
      </c>
      <c r="BE260" s="284" t="str">
        <f>IFERROR(VLOOKUP(T_Convention[[#This Row],[NumL]],T_TraitDi[#Data],COLUMN(T_TraitDi[Colonne29]),FALSE),"")</f>
        <v/>
      </c>
      <c r="BF260" s="284" t="e">
        <f>IF(VLOOKUP(T_Convention[[#This Row],[NumL]],T_TraitDi[#Data],COLUMN(T_TraitDi[Colonne30]),FALSE)=0,"",TEXT(IFERROR(VLOOKUP(T_Convention[[#This Row],[NumL]],T_TraitDi[#Data],COLUMN(T_TraitDi[Colonne30]),FALSE),""),"[hh]:mm"))</f>
        <v>#N/A</v>
      </c>
      <c r="BG260" s="284" t="e">
        <f>IF(VLOOKUP(T_Convention[[#This Row],[NumL]],T_TraitDi[#Data],COLUMN(T_TraitDi[Colonne31]),FALSE)=0,"",TEXT(IFERROR(VLOOKUP(T_Convention[[#This Row],[NumL]],T_TraitDi[#Data],COLUMN(T_TraitDi[Colonne31]),FALSE),""),"[hh]:mm"))</f>
        <v>#N/A</v>
      </c>
      <c r="BH260" s="284" t="e">
        <f>IF(VLOOKUP(T_Convention[[#This Row],[NumL]],T_TraitDi[#Data],COLUMN(T_TraitDi[Colonne32]),FALSE)=0,"",TEXT(IFERROR(VLOOKUP(T_Convention[[#This Row],[NumL]],T_TraitDi[#Data],COLUMN(T_TraitDi[Colonne32]),FALSE),""),"[hh]:mm"))</f>
        <v>#N/A</v>
      </c>
      <c r="BI260" s="284" t="str">
        <f>IFERROR(VLOOKUP(T_Convention[[#This Row],[NumL]],T_TraitDi[#Data],COLUMN(T_TraitDi[NbJTW]),FALSE),"")</f>
        <v/>
      </c>
      <c r="BJ260" s="284" t="e">
        <f>IF(VLOOKUP(T_Convention[[#This Row],[NumL]],T_TraitDi[#Data],COLUMN(T_TraitDi[NbhTW]),FALSE)=0,"",TEXT(IFERROR(VLOOKUP(T_Convention[[#This Row],[NumL]],T_TraitDi[#Data],COLUMN(T_TraitDi[NbhTW]),FALSE),""),"[hh]:mm"))</f>
        <v>#N/A</v>
      </c>
      <c r="BK260" s="286" t="e">
        <f>IF(VLOOKUP(T_Convention[[#This Row],[NumL]],T_TraitDi[#Data],COLUMN(T_TraitDi[Nbhheb]),FALSE)=0,"",TEXT(IFERROR(VLOOKUP(T_Convention[[#This Row],[NumL]],T_TraitDi[#Data],COLUMN(T_TraitDi[Nbhheb]),FALSE),""),"[hh]:mm"))</f>
        <v>#N/A</v>
      </c>
      <c r="BL260" s="287" t="str">
        <f>IFERROR(VLOOKUP(VLOOKUP(T_Convention[[#This Row],[NumL]],T_TraitDi[#Data],COLUMN(T_TraitDi[Type1]),FALSE),TypeTW,2,FALSE),"")</f>
        <v/>
      </c>
      <c r="BM260" s="288" t="str">
        <f>IFERROR(VLOOKUP(T_Convention[[#This Row],[NumL]],T_TraitDi[#Data],COLUMN(T_TraitDi[Rue1]),FALSE),"")</f>
        <v/>
      </c>
      <c r="BN260" s="289" t="str">
        <f>IFERROR(VLOOKUP(T_Convention[[#This Row],[NumL]],T_TraitDi[#Data],COLUMN(T_TraitDi[CP1]),FALSE),"")</f>
        <v/>
      </c>
      <c r="BO260" s="282" t="str">
        <f>IFERROR(VLOOKUP(T_Convention[[#This Row],[NumL]],T_TraitDi[#Data],COLUMN(T_TraitDi[VILLE1]),FALSE),"")</f>
        <v/>
      </c>
      <c r="BP260" s="290" t="str">
        <f>IFERROR(VLOOKUP(VLOOKUP(T_Convention[[#This Row],[NumL]],T_TraitDi[#Data],COLUMN(T_TraitDi[Type2]),FALSE),TypeTW,2,FALSE),"")</f>
        <v/>
      </c>
      <c r="BQ260" s="182" t="str">
        <f>IFERROR(VLOOKUP(T_Convention[[#This Row],[NumL]],T_TraitDi[#Data],COLUMN(T_TraitDi[Rue2]),FALSE),"")</f>
        <v/>
      </c>
      <c r="BR260" s="173" t="str">
        <f>IFERROR(VLOOKUP(T_Convention[[#This Row],[NumL]],T_TraitDi[#Data],COLUMN(T_TraitDi[CP2]),FALSE),"")</f>
        <v/>
      </c>
      <c r="BS260" s="173" t="str">
        <f>IFERROR(VLOOKUP(T_Convention[[#This Row],[NumL]],T_TraitDi[#Data],COLUMN(T_TraitDi[VILLE2]),FALSE),"")</f>
        <v/>
      </c>
      <c r="BT260" s="182" t="str">
        <f>IF(VLOOKUP(T_Convention[[#This Row],[NumL]],T_Equipement[#Data],COLUMN(T_Equipement[PC]),FALSE)="","Aucun équipement spécifique directement lié au télétravail",VLOOKUP(T_Convention[[#This Row],[NumL]],T_Equipement[#Data],COLUMN(T_Equipement[PC]),FALSE))</f>
        <v xml:space="preserve">20-269	</v>
      </c>
      <c r="BU260" s="166" t="str">
        <f>IFERROR(IF(VLOOKUP(T_Convention[[#This Row],[NumL]],T_TraitDi[#Data],COLUMN(T_TraitDi[Plan]),FALSE)="OK","Un planning spécifique de télétravail est annexé à la présente convention.",""),"")</f>
        <v/>
      </c>
      <c r="BV260" s="185" t="s">
        <v>3296</v>
      </c>
      <c r="BW260" s="164" t="e">
        <f>IF(VLOOKUP(T_Convention[[#This Row],[NumL]],T_suiviDi[#Data],COLUMN(T_suiviDi[Entité]),FALSE)="","",VLOOKUP(T_Convention[[#This Row],[NumL]],T_suiviDi[#Data],COLUMN(T_suiviDi[Entité]),FALSE))</f>
        <v>#N/A</v>
      </c>
      <c r="BX260" s="164" t="str">
        <f>IF(VLOOKUP(T_Convention[[#This Row],[NumL]],T_Commission[#Data],COLUMN(T_Commission[envoi confirm TW]),FALSE)="","",VLOOKUP(T_Convention[[#This Row],[NumL]],T_Commission[#Data],COLUMN(T_Commission[envoi confirm TW]),FALSE))</f>
        <v>Oui</v>
      </c>
      <c r="BY26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0" s="264">
        <f>VLOOKUP(T_Convention[[#This Row],[NumL]],T_Commission[#Data],COLUMN(T_Commission[Commentaire]),FALSE)</f>
        <v>0</v>
      </c>
      <c r="CA260" s="254" t="str">
        <f>IF(VLOOKUP(T_Convention[[#This Row],[NumL]],T_Commission[#Data],COLUMN(T_Commission[Encadrant Email]),FALSE)="","",VLOOKUP(T_Convention[[#This Row],[NumL]],T_Commission[#Data],COLUMN(T_Commission[Encadrant Email]),FALSE))</f>
        <v/>
      </c>
      <c r="CB260" s="353" t="e">
        <f>VLOOKUP(T_Convention[[#This Row],[NumL]],T_TraitDi[#Data],COLUMN(T_TraitDi[NbJTot]),FALSE)</f>
        <v>#N/A</v>
      </c>
      <c r="CC260" s="353" t="e">
        <f>VLOOKUP(T_Convention[[#This Row],[NumL]],T_TraitDi[#Data],COLUMN(T_TraitDi[Reg Ponct]),FALSE)</f>
        <v>#N/A</v>
      </c>
      <c r="CD260" s="348" t="str">
        <f>IF(T_Convention[[#This Row],[Final]]&lt;&gt;"",VLOOKUP(T_Convention[[#This Row],[NumL]],T_suiviDi[#Data],COLUMN((T_suiviDi[Statut])),FALSE),"")</f>
        <v/>
      </c>
    </row>
    <row r="261" spans="1:82" s="106" customFormat="1" ht="18.75" customHeight="1" x14ac:dyDescent="0.25">
      <c r="A261" s="160">
        <v>104</v>
      </c>
      <c r="B261" s="161" t="str">
        <f>VLOOKUP(T_Convention[[#This Row],[NumL]],T_Commission[#Data],COLUMN(T_Commission[FINAL]),FALSE)</f>
        <v/>
      </c>
      <c r="C261" s="162"/>
      <c r="D261" s="95" t="e">
        <f>IF(VLOOKUP(T_Convention[[#This Row],[NumL]],T_TraitDi[#Data],COLUMN(T_TraitDi[WebC]),FALSE)="","",VLOOKUP(T_Convention[[#This Row],[NumL]],T_TraitDi[#Data],COLUMN(T_TraitDi[WebC]),FALSE))</f>
        <v>#N/A</v>
      </c>
      <c r="E261" s="163" t="str">
        <f t="shared" si="20"/>
        <v>12 janvier 2021</v>
      </c>
      <c r="F261" s="282" t="str">
        <f>IF(T_Convention[[#This Row],[Final]]&lt;&gt;"",VLOOKUP(T_Convention[[#This Row],[NumL]],T_suiviDi[#Data],COLUMN((T_suiviDi[Civ.])),FALSE),"")</f>
        <v/>
      </c>
      <c r="G261" s="283" t="str">
        <f>IF(T_Convention[[#This Row],[Final]]&lt;&gt;"",VLOOKUP(T_Convention[[#This Row],[NumL]],T_suiviDi[#Data],COLUMN((T_suiviDi[Nom])),FALSE),"")</f>
        <v/>
      </c>
      <c r="H261" s="282" t="str">
        <f>IF(T_Convention[[#This Row],[Final]]&lt;&gt;"",VLOOKUP(T_Convention[[#This Row],[NumL]],T_suiviDi[#Data],COLUMN((T_suiviDi[Prénom])),FALSE),"")</f>
        <v/>
      </c>
      <c r="I261" s="282" t="e">
        <f>VLOOKUP(T_Convention[[#This Row],[NumL]],T_suiviDi[#Data],COLUMN((T_suiviDi[[#This Row],[Email]])),FALSE)</f>
        <v>#VALUE!</v>
      </c>
      <c r="J261" s="282" t="e">
        <f>IF(VLOOKUP(T_Convention[[#This Row],[NumL]],T_suiviDi[#Data],COLUMN(T_suiviDi[[#This Row],[Fonction]]),FALSE)="","",VLOOKUP(T_Convention[[#This Row],[NumL]],T_suiviDi[#Data],COLUMN(T_suiviDi[[#This Row],[Fonction]]),FALSE))</f>
        <v>#VALUE!</v>
      </c>
      <c r="K261" s="282" t="e">
        <f>IF(VLOOKUP(T_Convention[[#This Row],[NumL]],T_suiviDi[#Data],COLUMN(T_suiviDi[[#This Row],[Grade]]),FALSE)="","",VLOOKUP(T_Convention[[#This Row],[NumL]],T_suiviDi[#Data],COLUMN(T_suiviDi[[#This Row],[Grade]]),FALSE))</f>
        <v>#VALUE!</v>
      </c>
      <c r="L261" s="282" t="e">
        <f>IF(VLOOKUP(T_Convention[[#This Row],[NumL]],T_suiviDi[#Data],COLUMN(T_suiviDi[[#This Row],[Service ]]),FALSE)="","",VLOOKUP(T_Convention[[#This Row],[NumL]],T_suiviDi[#Data],COLUMN(T_suiviDi[[#This Row],[Service ]]),FALSE))</f>
        <v>#VALUE!</v>
      </c>
      <c r="M261" s="164" t="str">
        <f t="shared" si="21"/>
        <v>01 septembre 2021</v>
      </c>
      <c r="N261" s="164" t="str">
        <f t="shared" si="22"/>
        <v>30 novembre 2021</v>
      </c>
      <c r="O261" s="284" t="str">
        <f t="shared" si="23"/>
        <v>30 novembre 2021</v>
      </c>
      <c r="P261" s="282" t="e">
        <f>IF(VLOOKUP(T_Convention[[#This Row],[NumL]],T_TraitDi[#Data],COLUMN(T_TraitDi[M1]),FALSE)="","",VLOOKUP(T_Convention[[#This Row],[NumL]],T_TraitDi[#Data],COLUMN(T_TraitDi[M1]),FALSE))</f>
        <v>#N/A</v>
      </c>
      <c r="Q261" s="282" t="e">
        <f>IF(VLOOKUP(T_Convention[[#This Row],[NumL]],T_TraitDi[#Data],COLUMN(T_TraitDi[M2]),FALSE)="","",VLOOKUP(T_Convention[[#This Row],[NumL]],T_TraitDi[#Data],COLUMN(T_TraitDi[M2]),FALSE))</f>
        <v>#N/A</v>
      </c>
      <c r="R261" s="282" t="e">
        <f>IF(VLOOKUP(T_Convention[[#This Row],[NumL]],T_TraitDi[#Data],COLUMN(T_TraitDi[M3]),FALSE)="","",VLOOKUP(T_Convention[[#This Row],[NumL]],T_TraitDi[#Data],COLUMN(T_TraitDi[M3]),FALSE))</f>
        <v>#N/A</v>
      </c>
      <c r="S261" s="282" t="e">
        <f>IF(VLOOKUP(T_Convention[[#This Row],[NumL]],T_TraitDi[#Data],COLUMN(T_TraitDi[M4]),FALSE)="","",VLOOKUP(T_Convention[[#This Row],[NumL]],T_TraitDi[#Data],COLUMN(T_TraitDi[M4]),FALSE))</f>
        <v>#N/A</v>
      </c>
      <c r="T261" s="282" t="e">
        <f>IF(VLOOKUP(T_Convention[[#This Row],[NumL]],T_TraitDi[#Data],COLUMN(T_TraitDi[M5]),FALSE)="","",VLOOKUP(T_Convention[[#This Row],[NumL]],T_TraitDi[#Data],COLUMN(T_TraitDi[M5]),FALSE))</f>
        <v>#N/A</v>
      </c>
      <c r="U261" s="282" t="e">
        <f>IF(VLOOKUP(T_Convention[[#This Row],[NumL]],T_TraitDi[#Data],COLUMN(T_TraitDi[M6]),FALSE)="","",VLOOKUP(T_Convention[[#This Row],[NumL]],T_TraitDi[#Data],COLUMN(T_TraitDi[M6]),FALSE))</f>
        <v>#N/A</v>
      </c>
      <c r="V261" s="176" t="e">
        <f t="shared" si="24"/>
        <v>#N/A</v>
      </c>
      <c r="W261" s="284" t="str">
        <f>IFERROR(TEXT(VLOOKUP(T_Convention[[#This Row],[NumL]],T_TraitDi[#Data],COLUMN(T_TraitDi[Q2]),FALSE),"###%"),"")</f>
        <v/>
      </c>
      <c r="X261" s="97" t="e">
        <f>VLOOKUP(T_Convention[[#This Row],[NumL]],T_TraitDi[#Data],COLUMN(T_TraitDi[Reg Ponct]),FALSE)</f>
        <v>#N/A</v>
      </c>
      <c r="Y261" s="97" t="e">
        <f>VLOOKUP(T_Convention[NumL],T_TraitDi[#Data],COLUMN(T_TraitDi[Jours flottants]),FALSE)</f>
        <v>#N/A</v>
      </c>
      <c r="Z261" s="284" t="str">
        <f>IFERROR(VLOOKUP(T_Convention[[#This Row],[NumL]],T_TraitDi[#Data],COLUMN(T_TraitDi[Lundi]),FALSE),"")</f>
        <v/>
      </c>
      <c r="AA261" s="284" t="e">
        <f>IF(VLOOKUP(T_Convention[[#This Row],[NumL]],T_TraitDi[#Data],COLUMN(T_TraitDi[Colonne3]),FALSE)=0,"",TEXT(IFERROR(VLOOKUP(T_Convention[[#This Row],[NumL]],T_TraitDi[#Data],COLUMN(T_TraitDi[Colonne3]),FALSE),""),"[hh]:mm"))</f>
        <v>#N/A</v>
      </c>
      <c r="AB261" s="284" t="e">
        <f>IF(VLOOKUP(T_Convention[[#This Row],[NumL]],T_TraitDi[#Data],COLUMN(T_TraitDi[Colonne4]),FALSE)=0,"",TEXT(IFERROR(VLOOKUP(T_Convention[[#This Row],[NumL]],T_TraitDi[#Data],COLUMN(T_TraitDi[Colonne4]),FALSE),""),"[hh]:mm"))</f>
        <v>#N/A</v>
      </c>
      <c r="AC261" s="284" t="e">
        <f>IF(VLOOKUP(T_Convention[[#This Row],[NumL]],T_TraitDi[#Data],COLUMN(T_TraitDi[Colonne5]),FALSE)=0,"",TEXT(IFERROR(VLOOKUP(T_Convention[[#This Row],[NumL]],T_TraitDi[#Data],COLUMN(T_TraitDi[Colonne5]),FALSE),""),"[hh]:mm"))</f>
        <v>#N/A</v>
      </c>
      <c r="AD261" s="284" t="e">
        <f>IF(VLOOKUP(T_Convention[[#This Row],[NumL]],T_TraitDi[#Data],COLUMN(T_TraitDi[Colonne6]),FALSE)=0,"",TEXT(IFERROR(VLOOKUP(T_Convention[[#This Row],[NumL]],T_TraitDi[#Data],COLUMN(T_TraitDi[Colonne6]),FALSE),""),"[hh]:mm"))</f>
        <v>#N/A</v>
      </c>
      <c r="AE261" s="284" t="e">
        <f>IF(VLOOKUP(T_Convention[[#This Row],[NumL]],T_TraitDi[#Data],COLUMN(T_TraitDi[Colonne7]),FALSE)=0,"",TEXT(IFERROR(VLOOKUP(T_Convention[[#This Row],[NumL]],T_TraitDi[#Data],COLUMN(T_TraitDi[Colonne7]),FALSE),""),"[hh]:mm"))</f>
        <v>#N/A</v>
      </c>
      <c r="AF261" s="284" t="e">
        <f>IF(VLOOKUP(T_Convention[[#This Row],[NumL]],T_TraitDi[#Data],COLUMN(T_TraitDi[Colonne8]),FALSE)=0,"",TEXT(IFERROR(VLOOKUP(T_Convention[[#This Row],[NumL]],T_TraitDi[#Data],COLUMN(T_TraitDi[Colonne8]),FALSE),""),"[hh]:mm"))</f>
        <v>#N/A</v>
      </c>
      <c r="AG261" s="284" t="str">
        <f>IFERROR(VLOOKUP(T_Convention[[#This Row],[NumL]],T_TraitDi[#Data],COLUMN(T_TraitDi[Mardi]),FALSE),"")</f>
        <v/>
      </c>
      <c r="AH261" s="284" t="e">
        <f>IF(VLOOKUP(T_Convention[[#This Row],[NumL]],T_TraitDi[#Data],COLUMN(T_TraitDi[Colonne1]),FALSE)=0,"",TEXT(IFERROR(VLOOKUP(T_Convention[[#This Row],[NumL]],T_TraitDi[#Data],COLUMN(T_TraitDi[Colonne1]),FALSE),""),"[hh]:mm"))</f>
        <v>#N/A</v>
      </c>
      <c r="AI261" s="284" t="e">
        <f>IF(VLOOKUP(T_Convention[[#This Row],[NumL]],T_TraitDi[#Data],COLUMN(T_TraitDi[Colonne9]),FALSE)=0,"",TEXT(IFERROR(VLOOKUP(T_Convention[[#This Row],[NumL]],T_TraitDi[#Data],COLUMN(T_TraitDi[Colonne9]),FALSE),""),"[hh]:mm"))</f>
        <v>#N/A</v>
      </c>
      <c r="AJ261" s="284" t="str">
        <f>IFERROR(VLOOKUP(T_Convention[[#This Row],[NumL]],T_TraitDi[#Data],COLUMN(T_TraitDi[Colonne10]),FALSE),"")</f>
        <v/>
      </c>
      <c r="AK261" s="284" t="e">
        <f>IF(VLOOKUP(T_Convention[[#This Row],[NumL]],T_TraitDi[#Data],COLUMN(T_TraitDi[Colonne11]),FALSE)=0,"",TEXT(IFERROR(VLOOKUP(T_Convention[[#This Row],[NumL]],T_TraitDi[#Data],COLUMN(T_TraitDi[Colonne11]),FALSE),""),"[hh]:mm"))</f>
        <v>#N/A</v>
      </c>
      <c r="AL261" s="284" t="e">
        <f>IF(VLOOKUP(T_Convention[[#This Row],[NumL]],T_TraitDi[#Data],COLUMN(T_TraitDi[Colonne12]),FALSE)=0,"",TEXT(IFERROR(VLOOKUP(T_Convention[[#This Row],[NumL]],T_TraitDi[#Data],COLUMN(T_TraitDi[Colonne12]),FALSE),""),"[hh]:mm"))</f>
        <v>#N/A</v>
      </c>
      <c r="AM261" s="284" t="e">
        <f>IF(VLOOKUP(T_Convention[[#This Row],[NumL]],T_TraitDi[#Data],COLUMN(T_TraitDi[Colonne14]),FALSE)=0,"",TEXT(IFERROR(VLOOKUP(T_Convention[[#This Row],[NumL]],T_TraitDi[#Data],COLUMN(T_TraitDi[Colonne14]),FALSE),""),"[hh]:mm"))</f>
        <v>#N/A</v>
      </c>
      <c r="AN261" s="284" t="str">
        <f>IFERROR(VLOOKUP(T_Convention[[#This Row],[NumL]],T_TraitDi[#Data],COLUMN(T_TraitDi[Mercredi]),FALSE),"")</f>
        <v/>
      </c>
      <c r="AO261" s="284" t="e">
        <f>IF(VLOOKUP(T_Convention[[#This Row],[NumL]],T_TraitDi[#Data],COLUMN(T_TraitDi[Colonne15]),FALSE)=0,"",TEXT(IFERROR(VLOOKUP(T_Convention[[#This Row],[NumL]],T_TraitDi[#Data],COLUMN(T_TraitDi[Colonne15]),FALSE),""),"[hh]:mm"))</f>
        <v>#N/A</v>
      </c>
      <c r="AP261" s="284" t="e">
        <f>IF(VLOOKUP(T_Convention[[#This Row],[NumL]],T_TraitDi[#Data],COLUMN(T_TraitDi[Colonne16]),FALSE)=0,"",TEXT(IFERROR(VLOOKUP(T_Convention[[#This Row],[NumL]],T_TraitDi[#Data],COLUMN(T_TraitDi[Colonne16]),FALSE),""),"[hh]:mm"))</f>
        <v>#N/A</v>
      </c>
      <c r="AQ261" s="284" t="str">
        <f>IFERROR(VLOOKUP(T_Convention[[#This Row],[NumL]],T_TraitDi[#Data],COLUMN(T_TraitDi[Colonne17]),FALSE),"")</f>
        <v/>
      </c>
      <c r="AR261" s="284" t="e">
        <f>IF(VLOOKUP(T_Convention[[#This Row],[NumL]],T_TraitDi[#Data],COLUMN(T_TraitDi[Colonne18]),FALSE)=0,"",TEXT(IFERROR(VLOOKUP(T_Convention[[#This Row],[NumL]],T_TraitDi[#Data],COLUMN(T_TraitDi[Colonne18]),FALSE),""),"[hh]:mm"))</f>
        <v>#N/A</v>
      </c>
      <c r="AS261" s="284" t="e">
        <f>IF(VLOOKUP(T_Convention[[#This Row],[NumL]],T_TraitDi[#Data],COLUMN(T_TraitDi[Colonne19]),FALSE)=0,"",TEXT(IFERROR(VLOOKUP(T_Convention[[#This Row],[NumL]],T_TraitDi[#Data],COLUMN(T_TraitDi[Colonne19]),FALSE),""),"[hh]:mm"))</f>
        <v>#N/A</v>
      </c>
      <c r="AT261" s="284" t="e">
        <f>IF(VLOOKUP(T_Convention[[#This Row],[NumL]],T_TraitDi[#Data],COLUMN(T_TraitDi[Colonne20]),FALSE)=0,"",TEXT(IFERROR(VLOOKUP(T_Convention[[#This Row],[NumL]],T_TraitDi[#Data],COLUMN(T_TraitDi[Colonne20]),FALSE),""),"[hh]:mm"))</f>
        <v>#N/A</v>
      </c>
      <c r="AU261" s="284" t="str">
        <f>IFERROR(VLOOKUP(T_Convention[[#This Row],[NumL]],T_TraitDi[#Data],COLUMN(T_TraitDi[Jeudi]),FALSE),"")</f>
        <v/>
      </c>
      <c r="AV261" s="284" t="e">
        <f>IF(VLOOKUP(T_Convention[[#This Row],[NumL]],T_TraitDi[#Data],COLUMN(T_TraitDi[Colonne21]),FALSE)=0,"",TEXT(IFERROR(VLOOKUP(T_Convention[[#This Row],[NumL]],T_TraitDi[#Data],COLUMN(T_TraitDi[Colonne21]),FALSE),""),"[hh]:mm"))</f>
        <v>#N/A</v>
      </c>
      <c r="AW261" s="284" t="e">
        <f>IF(VLOOKUP(T_Convention[[#This Row],[NumL]],T_TraitDi[#Data],COLUMN(T_TraitDi[Colonne22]),FALSE)=0,"",TEXT(IFERROR(VLOOKUP(T_Convention[[#This Row],[NumL]],T_TraitDi[#Data],COLUMN(T_TraitDi[Colonne22]),FALSE),""),"[hh]:mm"))</f>
        <v>#N/A</v>
      </c>
      <c r="AX261" s="284" t="str">
        <f>IFERROR(VLOOKUP(T_Convention[[#This Row],[NumL]],T_TraitDi[#Data],COLUMN(T_TraitDi[Colonne23]),FALSE),"")</f>
        <v/>
      </c>
      <c r="AY261" s="284" t="e">
        <f>IF(VLOOKUP(T_Convention[[#This Row],[NumL]],T_TraitDi[#Data],COLUMN(T_TraitDi[Colonne24]),FALSE)=0,"",TEXT(IFERROR(VLOOKUP(T_Convention[[#This Row],[NumL]],T_TraitDi[#Data],COLUMN(T_TraitDi[Colonne24]),FALSE),""),"[hh]:mm"))</f>
        <v>#N/A</v>
      </c>
      <c r="AZ261" s="284" t="e">
        <f>IF(VLOOKUP(T_Convention[[#This Row],[NumL]],T_TraitDi[#Data],COLUMN(T_TraitDi[Colonne25]),FALSE)=0,"",TEXT(IFERROR(VLOOKUP(T_Convention[[#This Row],[NumL]],T_TraitDi[#Data],COLUMN(T_TraitDi[Colonne25]),FALSE),""),"[hh]:mm"))</f>
        <v>#N/A</v>
      </c>
      <c r="BA261" s="284" t="e">
        <f>IF(VLOOKUP(T_Convention[[#This Row],[NumL]],T_TraitDi[#Data],COLUMN(T_TraitDi[Colonne26]),FALSE)=0,"",TEXT(IFERROR(VLOOKUP(T_Convention[[#This Row],[NumL]],T_TraitDi[#Data],COLUMN(T_TraitDi[Colonne26]),FALSE),""),"[hh]:mm"))</f>
        <v>#N/A</v>
      </c>
      <c r="BB261" s="284" t="str">
        <f>IFERROR(VLOOKUP(T_Convention[[#This Row],[NumL]],T_TraitDi[#Data],COLUMN(T_TraitDi[Vendredi]),FALSE),"")</f>
        <v/>
      </c>
      <c r="BC261" s="284" t="e">
        <f>IF(VLOOKUP(T_Convention[[#This Row],[NumL]],T_TraitDi[#Data],COLUMN(T_TraitDi[Colonne27]),FALSE)=0,"",TEXT(IFERROR(VLOOKUP(T_Convention[[#This Row],[NumL]],T_TraitDi[#Data],COLUMN(T_TraitDi[Colonne27]),FALSE),""),"[hh]:mm"))</f>
        <v>#N/A</v>
      </c>
      <c r="BD261" s="284" t="e">
        <f>IF(VLOOKUP(T_Convention[[#This Row],[NumL]],T_TraitDi[#Data],COLUMN(T_TraitDi[Colonne28]),FALSE)=0,"",TEXT(IFERROR(VLOOKUP(T_Convention[[#This Row],[NumL]],T_TraitDi[#Data],COLUMN(T_TraitDi[Colonne28]),FALSE),""),"[hh]:mm"))</f>
        <v>#N/A</v>
      </c>
      <c r="BE261" s="284" t="str">
        <f>IFERROR(VLOOKUP(T_Convention[[#This Row],[NumL]],T_TraitDi[#Data],COLUMN(T_TraitDi[Colonne29]),FALSE),"")</f>
        <v/>
      </c>
      <c r="BF261" s="284" t="e">
        <f>IF(VLOOKUP(T_Convention[[#This Row],[NumL]],T_TraitDi[#Data],COLUMN(T_TraitDi[Colonne30]),FALSE)=0,"",TEXT(IFERROR(VLOOKUP(T_Convention[[#This Row],[NumL]],T_TraitDi[#Data],COLUMN(T_TraitDi[Colonne30]),FALSE),""),"[hh]:mm"))</f>
        <v>#N/A</v>
      </c>
      <c r="BG261" s="284" t="e">
        <f>IF(VLOOKUP(T_Convention[[#This Row],[NumL]],T_TraitDi[#Data],COLUMN(T_TraitDi[Colonne31]),FALSE)=0,"",TEXT(IFERROR(VLOOKUP(T_Convention[[#This Row],[NumL]],T_TraitDi[#Data],COLUMN(T_TraitDi[Colonne31]),FALSE),""),"[hh]:mm"))</f>
        <v>#N/A</v>
      </c>
      <c r="BH261" s="284" t="e">
        <f>IF(VLOOKUP(T_Convention[[#This Row],[NumL]],T_TraitDi[#Data],COLUMN(T_TraitDi[Colonne32]),FALSE)=0,"",TEXT(IFERROR(VLOOKUP(T_Convention[[#This Row],[NumL]],T_TraitDi[#Data],COLUMN(T_TraitDi[Colonne32]),FALSE),""),"[hh]:mm"))</f>
        <v>#N/A</v>
      </c>
      <c r="BI261" s="284" t="str">
        <f>IFERROR(VLOOKUP(T_Convention[[#This Row],[NumL]],T_TraitDi[#Data],COLUMN(T_TraitDi[NbJTW]),FALSE),"")</f>
        <v/>
      </c>
      <c r="BJ261" s="284" t="e">
        <f>IF(VLOOKUP(T_Convention[[#This Row],[NumL]],T_TraitDi[#Data],COLUMN(T_TraitDi[NbhTW]),FALSE)=0,"",TEXT(IFERROR(VLOOKUP(T_Convention[[#This Row],[NumL]],T_TraitDi[#Data],COLUMN(T_TraitDi[NbhTW]),FALSE),""),"[hh]:mm"))</f>
        <v>#N/A</v>
      </c>
      <c r="BK261" s="286" t="e">
        <f>IF(VLOOKUP(T_Convention[[#This Row],[NumL]],T_TraitDi[#Data],COLUMN(T_TraitDi[Nbhheb]),FALSE)=0,"",TEXT(IFERROR(VLOOKUP(T_Convention[[#This Row],[NumL]],T_TraitDi[#Data],COLUMN(T_TraitDi[Nbhheb]),FALSE),""),"[hh]:mm"))</f>
        <v>#N/A</v>
      </c>
      <c r="BL261" s="287" t="str">
        <f>IFERROR(VLOOKUP(VLOOKUP(T_Convention[[#This Row],[NumL]],T_TraitDi[#Data],COLUMN(T_TraitDi[Type1]),FALSE),TypeTW,2,FALSE),"")</f>
        <v/>
      </c>
      <c r="BM261" s="288" t="str">
        <f>IFERROR(VLOOKUP(T_Convention[[#This Row],[NumL]],T_TraitDi[#Data],COLUMN(T_TraitDi[Rue1]),FALSE),"")</f>
        <v/>
      </c>
      <c r="BN261" s="289" t="str">
        <f>IFERROR(VLOOKUP(T_Convention[[#This Row],[NumL]],T_TraitDi[#Data],COLUMN(T_TraitDi[CP1]),FALSE),"")</f>
        <v/>
      </c>
      <c r="BO261" s="282" t="str">
        <f>IFERROR(VLOOKUP(T_Convention[[#This Row],[NumL]],T_TraitDi[#Data],COLUMN(T_TraitDi[VILLE1]),FALSE),"")</f>
        <v/>
      </c>
      <c r="BP261" s="290" t="str">
        <f>IFERROR(VLOOKUP(VLOOKUP(T_Convention[[#This Row],[NumL]],T_TraitDi[#Data],COLUMN(T_TraitDi[Type2]),FALSE),TypeTW,2,FALSE),"")</f>
        <v/>
      </c>
      <c r="BQ261" s="182" t="str">
        <f>IFERROR(VLOOKUP(T_Convention[[#This Row],[NumL]],T_TraitDi[#Data],COLUMN(T_TraitDi[Rue2]),FALSE),"")</f>
        <v/>
      </c>
      <c r="BR261" s="173" t="str">
        <f>IFERROR(VLOOKUP(T_Convention[[#This Row],[NumL]],T_TraitDi[#Data],COLUMN(T_TraitDi[CP2]),FALSE),"")</f>
        <v/>
      </c>
      <c r="BS261" s="173" t="str">
        <f>IFERROR(VLOOKUP(T_Convention[[#This Row],[NumL]],T_TraitDi[#Data],COLUMN(T_TraitDi[VILLE2]),FALSE),"")</f>
        <v/>
      </c>
      <c r="BT261" s="182" t="str">
        <f>IF(VLOOKUP(T_Convention[[#This Row],[NumL]],T_Equipement[#Data],COLUMN(T_Equipement[PC]),FALSE)="","Aucun équipement spécifique directement lié au télétravail",VLOOKUP(T_Convention[[#This Row],[NumL]],T_Equipement[#Data],COLUMN(T_Equipement[PC]),FALSE))</f>
        <v xml:space="preserve">12-180	</v>
      </c>
      <c r="BU261" s="166" t="str">
        <f>IFERROR(IF(VLOOKUP(T_Convention[[#This Row],[NumL]],T_TraitDi[#Data],COLUMN(T_TraitDi[Plan]),FALSE)="OK","Un planning spécifique de télétravail est annexé à la présente convention.",""),"")</f>
        <v/>
      </c>
      <c r="BV261" s="185" t="s">
        <v>3378</v>
      </c>
      <c r="BW261" s="164" t="e">
        <f>IF(VLOOKUP(T_Convention[[#This Row],[NumL]],T_suiviDi[#Data],COLUMN(T_suiviDi[Entité]),FALSE)="","",VLOOKUP(T_Convention[[#This Row],[NumL]],T_suiviDi[#Data],COLUMN(T_suiviDi[Entité]),FALSE))</f>
        <v>#N/A</v>
      </c>
      <c r="BX261" s="164" t="str">
        <f>IF(VLOOKUP(T_Convention[[#This Row],[NumL]],T_Commission[#Data],COLUMN(T_Commission[envoi confirm TW]),FALSE)="","",VLOOKUP(T_Convention[[#This Row],[NumL]],T_Commission[#Data],COLUMN(T_Commission[envoi confirm TW]),FALSE))</f>
        <v>Oui</v>
      </c>
      <c r="BY26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1" s="264">
        <f>VLOOKUP(T_Convention[[#This Row],[NumL]],T_Commission[#Data],COLUMN(T_Commission[Commentaire]),FALSE)</f>
        <v>0</v>
      </c>
      <c r="CA261" s="254" t="str">
        <f>IF(VLOOKUP(T_Convention[[#This Row],[NumL]],T_Commission[#Data],COLUMN(T_Commission[Encadrant Email]),FALSE)="","",VLOOKUP(T_Convention[[#This Row],[NumL]],T_Commission[#Data],COLUMN(T_Commission[Encadrant Email]),FALSE))</f>
        <v/>
      </c>
      <c r="CB261" s="353" t="e">
        <f>VLOOKUP(T_Convention[[#This Row],[NumL]],T_TraitDi[#Data],COLUMN(T_TraitDi[NbJTot]),FALSE)</f>
        <v>#N/A</v>
      </c>
      <c r="CC261" s="353" t="e">
        <f>VLOOKUP(T_Convention[[#This Row],[NumL]],T_TraitDi[#Data],COLUMN(T_TraitDi[Reg Ponct]),FALSE)</f>
        <v>#N/A</v>
      </c>
      <c r="CD261" s="348" t="str">
        <f>IF(T_Convention[[#This Row],[Final]]&lt;&gt;"",VLOOKUP(T_Convention[[#This Row],[NumL]],T_suiviDi[#Data],COLUMN((T_suiviDi[Statut])),FALSE),"")</f>
        <v/>
      </c>
    </row>
    <row r="262" spans="1:82" s="106" customFormat="1" ht="18.75" customHeight="1" x14ac:dyDescent="0.25">
      <c r="A262" s="160">
        <v>269</v>
      </c>
      <c r="B262" s="161" t="str">
        <f>VLOOKUP(T_Convention[[#This Row],[NumL]],T_Commission[#Data],COLUMN(T_Commission[FINAL]),FALSE)</f>
        <v/>
      </c>
      <c r="C262" s="162"/>
      <c r="D262" s="95" t="e">
        <f>IF(VLOOKUP(T_Convention[[#This Row],[NumL]],T_TraitDi[#Data],COLUMN(T_TraitDi[WebC]),FALSE)="","",VLOOKUP(T_Convention[[#This Row],[NumL]],T_TraitDi[#Data],COLUMN(T_TraitDi[WebC]),FALSE))</f>
        <v>#N/A</v>
      </c>
      <c r="E262" s="163" t="str">
        <f t="shared" si="20"/>
        <v>12 janvier 2021</v>
      </c>
      <c r="F262" s="282" t="str">
        <f>IF(T_Convention[[#This Row],[Final]]&lt;&gt;"",VLOOKUP(T_Convention[[#This Row],[NumL]],T_suiviDi[#Data],COLUMN((T_suiviDi[Civ.])),FALSE),"")</f>
        <v/>
      </c>
      <c r="G262" s="283" t="str">
        <f>IF(T_Convention[[#This Row],[Final]]&lt;&gt;"",VLOOKUP(T_Convention[[#This Row],[NumL]],T_suiviDi[#Data],COLUMN((T_suiviDi[Nom])),FALSE),"")</f>
        <v/>
      </c>
      <c r="H262" s="282" t="str">
        <f>IF(T_Convention[[#This Row],[Final]]&lt;&gt;"",VLOOKUP(T_Convention[[#This Row],[NumL]],T_suiviDi[#Data],COLUMN((T_suiviDi[Prénom])),FALSE),"")</f>
        <v/>
      </c>
      <c r="I262" s="282" t="e">
        <f>VLOOKUP(T_Convention[[#This Row],[NumL]],T_suiviDi[#Data],COLUMN((T_suiviDi[[#This Row],[Email]])),FALSE)</f>
        <v>#VALUE!</v>
      </c>
      <c r="J262" s="282" t="e">
        <f>IF(VLOOKUP(T_Convention[[#This Row],[NumL]],T_suiviDi[#Data],COLUMN(T_suiviDi[[#This Row],[Fonction]]),FALSE)="","",VLOOKUP(T_Convention[[#This Row],[NumL]],T_suiviDi[#Data],COLUMN(T_suiviDi[[#This Row],[Fonction]]),FALSE))</f>
        <v>#VALUE!</v>
      </c>
      <c r="K262" s="282" t="e">
        <f>IF(VLOOKUP(T_Convention[[#This Row],[NumL]],T_suiviDi[#Data],COLUMN(T_suiviDi[[#This Row],[Grade]]),FALSE)="","",VLOOKUP(T_Convention[[#This Row],[NumL]],T_suiviDi[#Data],COLUMN(T_suiviDi[[#This Row],[Grade]]),FALSE))</f>
        <v>#VALUE!</v>
      </c>
      <c r="L262" s="282" t="e">
        <f>IF(VLOOKUP(T_Convention[[#This Row],[NumL]],T_suiviDi[#Data],COLUMN(T_suiviDi[[#This Row],[Service ]]),FALSE)="","",VLOOKUP(T_Convention[[#This Row],[NumL]],T_suiviDi[#Data],COLUMN(T_suiviDi[[#This Row],[Service ]]),FALSE))</f>
        <v>#VALUE!</v>
      </c>
      <c r="M262" s="164" t="str">
        <f t="shared" si="21"/>
        <v>01 septembre 2021</v>
      </c>
      <c r="N262" s="164" t="str">
        <f t="shared" si="22"/>
        <v>30 novembre 2021</v>
      </c>
      <c r="O262" s="284" t="str">
        <f t="shared" si="23"/>
        <v>30 novembre 2021</v>
      </c>
      <c r="P262" s="282" t="e">
        <f>IF(VLOOKUP(T_Convention[[#This Row],[NumL]],T_TraitDi[#Data],COLUMN(T_TraitDi[M1]),FALSE)="","",VLOOKUP(T_Convention[[#This Row],[NumL]],T_TraitDi[#Data],COLUMN(T_TraitDi[M1]),FALSE))</f>
        <v>#N/A</v>
      </c>
      <c r="Q262" s="282" t="e">
        <f>IF(VLOOKUP(T_Convention[[#This Row],[NumL]],T_TraitDi[#Data],COLUMN(T_TraitDi[M2]),FALSE)="","",VLOOKUP(T_Convention[[#This Row],[NumL]],T_TraitDi[#Data],COLUMN(T_TraitDi[M2]),FALSE))</f>
        <v>#N/A</v>
      </c>
      <c r="R262" s="282" t="e">
        <f>IF(VLOOKUP(T_Convention[[#This Row],[NumL]],T_TraitDi[#Data],COLUMN(T_TraitDi[M3]),FALSE)="","",VLOOKUP(T_Convention[[#This Row],[NumL]],T_TraitDi[#Data],COLUMN(T_TraitDi[M3]),FALSE))</f>
        <v>#N/A</v>
      </c>
      <c r="S262" s="282" t="e">
        <f>IF(VLOOKUP(T_Convention[[#This Row],[NumL]],T_TraitDi[#Data],COLUMN(T_TraitDi[M4]),FALSE)="","",VLOOKUP(T_Convention[[#This Row],[NumL]],T_TraitDi[#Data],COLUMN(T_TraitDi[M4]),FALSE))</f>
        <v>#N/A</v>
      </c>
      <c r="T262" s="282" t="e">
        <f>IF(VLOOKUP(T_Convention[[#This Row],[NumL]],T_TraitDi[#Data],COLUMN(T_TraitDi[M5]),FALSE)="","",VLOOKUP(T_Convention[[#This Row],[NumL]],T_TraitDi[#Data],COLUMN(T_TraitDi[M5]),FALSE))</f>
        <v>#N/A</v>
      </c>
      <c r="U262" s="282" t="e">
        <f>IF(VLOOKUP(T_Convention[[#This Row],[NumL]],T_TraitDi[#Data],COLUMN(T_TraitDi[M6]),FALSE)="","",VLOOKUP(T_Convention[[#This Row],[NumL]],T_TraitDi[#Data],COLUMN(T_TraitDi[M6]),FALSE))</f>
        <v>#N/A</v>
      </c>
      <c r="V262" s="176" t="e">
        <f t="shared" si="24"/>
        <v>#N/A</v>
      </c>
      <c r="W262" s="284" t="str">
        <f>IFERROR(TEXT(VLOOKUP(T_Convention[[#This Row],[NumL]],T_TraitDi[#Data],COLUMN(T_TraitDi[Q2]),FALSE),"###%"),"")</f>
        <v/>
      </c>
      <c r="X262" s="97" t="e">
        <f>VLOOKUP(T_Convention[[#This Row],[NumL]],T_TraitDi[#Data],COLUMN(T_TraitDi[Reg Ponct]),FALSE)</f>
        <v>#N/A</v>
      </c>
      <c r="Y262" s="97" t="e">
        <f>VLOOKUP(T_Convention[NumL],T_TraitDi[#Data],COLUMN(T_TraitDi[Jours flottants]),FALSE)</f>
        <v>#N/A</v>
      </c>
      <c r="Z262" s="284" t="str">
        <f>IFERROR(VLOOKUP(T_Convention[[#This Row],[NumL]],T_TraitDi[#Data],COLUMN(T_TraitDi[Lundi]),FALSE),"")</f>
        <v/>
      </c>
      <c r="AA262" s="284" t="e">
        <f>IF(VLOOKUP(T_Convention[[#This Row],[NumL]],T_TraitDi[#Data],COLUMN(T_TraitDi[Colonne3]),FALSE)=0,"",TEXT(IFERROR(VLOOKUP(T_Convention[[#This Row],[NumL]],T_TraitDi[#Data],COLUMN(T_TraitDi[Colonne3]),FALSE),""),"[hh]:mm"))</f>
        <v>#N/A</v>
      </c>
      <c r="AB262" s="284" t="e">
        <f>IF(VLOOKUP(T_Convention[[#This Row],[NumL]],T_TraitDi[#Data],COLUMN(T_TraitDi[Colonne4]),FALSE)=0,"",TEXT(IFERROR(VLOOKUP(T_Convention[[#This Row],[NumL]],T_TraitDi[#Data],COLUMN(T_TraitDi[Colonne4]),FALSE),""),"[hh]:mm"))</f>
        <v>#N/A</v>
      </c>
      <c r="AC262" s="284" t="e">
        <f>IF(VLOOKUP(T_Convention[[#This Row],[NumL]],T_TraitDi[#Data],COLUMN(T_TraitDi[Colonne5]),FALSE)=0,"",TEXT(IFERROR(VLOOKUP(T_Convention[[#This Row],[NumL]],T_TraitDi[#Data],COLUMN(T_TraitDi[Colonne5]),FALSE),""),"[hh]:mm"))</f>
        <v>#N/A</v>
      </c>
      <c r="AD262" s="284" t="e">
        <f>IF(VLOOKUP(T_Convention[[#This Row],[NumL]],T_TraitDi[#Data],COLUMN(T_TraitDi[Colonne6]),FALSE)=0,"",TEXT(IFERROR(VLOOKUP(T_Convention[[#This Row],[NumL]],T_TraitDi[#Data],COLUMN(T_TraitDi[Colonne6]),FALSE),""),"[hh]:mm"))</f>
        <v>#N/A</v>
      </c>
      <c r="AE262" s="284" t="e">
        <f>IF(VLOOKUP(T_Convention[[#This Row],[NumL]],T_TraitDi[#Data],COLUMN(T_TraitDi[Colonne7]),FALSE)=0,"",TEXT(IFERROR(VLOOKUP(T_Convention[[#This Row],[NumL]],T_TraitDi[#Data],COLUMN(T_TraitDi[Colonne7]),FALSE),""),"[hh]:mm"))</f>
        <v>#N/A</v>
      </c>
      <c r="AF262" s="284" t="e">
        <f>IF(VLOOKUP(T_Convention[[#This Row],[NumL]],T_TraitDi[#Data],COLUMN(T_TraitDi[Colonne8]),FALSE)=0,"",TEXT(IFERROR(VLOOKUP(T_Convention[[#This Row],[NumL]],T_TraitDi[#Data],COLUMN(T_TraitDi[Colonne8]),FALSE),""),"[hh]:mm"))</f>
        <v>#N/A</v>
      </c>
      <c r="AG262" s="284" t="str">
        <f>IFERROR(VLOOKUP(T_Convention[[#This Row],[NumL]],T_TraitDi[#Data],COLUMN(T_TraitDi[Mardi]),FALSE),"")</f>
        <v/>
      </c>
      <c r="AH262" s="284" t="e">
        <f>IF(VLOOKUP(T_Convention[[#This Row],[NumL]],T_TraitDi[#Data],COLUMN(T_TraitDi[Colonne1]),FALSE)=0,"",TEXT(IFERROR(VLOOKUP(T_Convention[[#This Row],[NumL]],T_TraitDi[#Data],COLUMN(T_TraitDi[Colonne1]),FALSE),""),"[hh]:mm"))</f>
        <v>#N/A</v>
      </c>
      <c r="AI262" s="284" t="e">
        <f>IF(VLOOKUP(T_Convention[[#This Row],[NumL]],T_TraitDi[#Data],COLUMN(T_TraitDi[Colonne9]),FALSE)=0,"",TEXT(IFERROR(VLOOKUP(T_Convention[[#This Row],[NumL]],T_TraitDi[#Data],COLUMN(T_TraitDi[Colonne9]),FALSE),""),"[hh]:mm"))</f>
        <v>#N/A</v>
      </c>
      <c r="AJ262" s="284" t="str">
        <f>IFERROR(VLOOKUP(T_Convention[[#This Row],[NumL]],T_TraitDi[#Data],COLUMN(T_TraitDi[Colonne10]),FALSE),"")</f>
        <v/>
      </c>
      <c r="AK262" s="284" t="e">
        <f>IF(VLOOKUP(T_Convention[[#This Row],[NumL]],T_TraitDi[#Data],COLUMN(T_TraitDi[Colonne11]),FALSE)=0,"",TEXT(IFERROR(VLOOKUP(T_Convention[[#This Row],[NumL]],T_TraitDi[#Data],COLUMN(T_TraitDi[Colonne11]),FALSE),""),"[hh]:mm"))</f>
        <v>#N/A</v>
      </c>
      <c r="AL262" s="284" t="e">
        <f>IF(VLOOKUP(T_Convention[[#This Row],[NumL]],T_TraitDi[#Data],COLUMN(T_TraitDi[Colonne12]),FALSE)=0,"",TEXT(IFERROR(VLOOKUP(T_Convention[[#This Row],[NumL]],T_TraitDi[#Data],COLUMN(T_TraitDi[Colonne12]),FALSE),""),"[hh]:mm"))</f>
        <v>#N/A</v>
      </c>
      <c r="AM262" s="284" t="e">
        <f>IF(VLOOKUP(T_Convention[[#This Row],[NumL]],T_TraitDi[#Data],COLUMN(T_TraitDi[Colonne14]),FALSE)=0,"",TEXT(IFERROR(VLOOKUP(T_Convention[[#This Row],[NumL]],T_TraitDi[#Data],COLUMN(T_TraitDi[Colonne14]),FALSE),""),"[hh]:mm"))</f>
        <v>#N/A</v>
      </c>
      <c r="AN262" s="284" t="str">
        <f>IFERROR(VLOOKUP(T_Convention[[#This Row],[NumL]],T_TraitDi[#Data],COLUMN(T_TraitDi[Mercredi]),FALSE),"")</f>
        <v/>
      </c>
      <c r="AO262" s="284" t="e">
        <f>IF(VLOOKUP(T_Convention[[#This Row],[NumL]],T_TraitDi[#Data],COLUMN(T_TraitDi[Colonne15]),FALSE)=0,"",TEXT(IFERROR(VLOOKUP(T_Convention[[#This Row],[NumL]],T_TraitDi[#Data],COLUMN(T_TraitDi[Colonne15]),FALSE),""),"[hh]:mm"))</f>
        <v>#N/A</v>
      </c>
      <c r="AP262" s="284" t="e">
        <f>IF(VLOOKUP(T_Convention[[#This Row],[NumL]],T_TraitDi[#Data],COLUMN(T_TraitDi[Colonne16]),FALSE)=0,"",TEXT(IFERROR(VLOOKUP(T_Convention[[#This Row],[NumL]],T_TraitDi[#Data],COLUMN(T_TraitDi[Colonne16]),FALSE),""),"[hh]:mm"))</f>
        <v>#N/A</v>
      </c>
      <c r="AQ262" s="284" t="str">
        <f>IFERROR(VLOOKUP(T_Convention[[#This Row],[NumL]],T_TraitDi[#Data],COLUMN(T_TraitDi[Colonne17]),FALSE),"")</f>
        <v/>
      </c>
      <c r="AR262" s="284" t="e">
        <f>IF(VLOOKUP(T_Convention[[#This Row],[NumL]],T_TraitDi[#Data],COLUMN(T_TraitDi[Colonne18]),FALSE)=0,"",TEXT(IFERROR(VLOOKUP(T_Convention[[#This Row],[NumL]],T_TraitDi[#Data],COLUMN(T_TraitDi[Colonne18]),FALSE),""),"[hh]:mm"))</f>
        <v>#N/A</v>
      </c>
      <c r="AS262" s="284" t="e">
        <f>IF(VLOOKUP(T_Convention[[#This Row],[NumL]],T_TraitDi[#Data],COLUMN(T_TraitDi[Colonne19]),FALSE)=0,"",TEXT(IFERROR(VLOOKUP(T_Convention[[#This Row],[NumL]],T_TraitDi[#Data],COLUMN(T_TraitDi[Colonne19]),FALSE),""),"[hh]:mm"))</f>
        <v>#N/A</v>
      </c>
      <c r="AT262" s="284" t="e">
        <f>IF(VLOOKUP(T_Convention[[#This Row],[NumL]],T_TraitDi[#Data],COLUMN(T_TraitDi[Colonne20]),FALSE)=0,"",TEXT(IFERROR(VLOOKUP(T_Convention[[#This Row],[NumL]],T_TraitDi[#Data],COLUMN(T_TraitDi[Colonne20]),FALSE),""),"[hh]:mm"))</f>
        <v>#N/A</v>
      </c>
      <c r="AU262" s="284" t="str">
        <f>IFERROR(VLOOKUP(T_Convention[[#This Row],[NumL]],T_TraitDi[#Data],COLUMN(T_TraitDi[Jeudi]),FALSE),"")</f>
        <v/>
      </c>
      <c r="AV262" s="284" t="e">
        <f>IF(VLOOKUP(T_Convention[[#This Row],[NumL]],T_TraitDi[#Data],COLUMN(T_TraitDi[Colonne21]),FALSE)=0,"",TEXT(IFERROR(VLOOKUP(T_Convention[[#This Row],[NumL]],T_TraitDi[#Data],COLUMN(T_TraitDi[Colonne21]),FALSE),""),"[hh]:mm"))</f>
        <v>#N/A</v>
      </c>
      <c r="AW262" s="284" t="e">
        <f>IF(VLOOKUP(T_Convention[[#This Row],[NumL]],T_TraitDi[#Data],COLUMN(T_TraitDi[Colonne22]),FALSE)=0,"",TEXT(IFERROR(VLOOKUP(T_Convention[[#This Row],[NumL]],T_TraitDi[#Data],COLUMN(T_TraitDi[Colonne22]),FALSE),""),"[hh]:mm"))</f>
        <v>#N/A</v>
      </c>
      <c r="AX262" s="284" t="str">
        <f>IFERROR(VLOOKUP(T_Convention[[#This Row],[NumL]],T_TraitDi[#Data],COLUMN(T_TraitDi[Colonne23]),FALSE),"")</f>
        <v/>
      </c>
      <c r="AY262" s="284" t="e">
        <f>IF(VLOOKUP(T_Convention[[#This Row],[NumL]],T_TraitDi[#Data],COLUMN(T_TraitDi[Colonne24]),FALSE)=0,"",TEXT(IFERROR(VLOOKUP(T_Convention[[#This Row],[NumL]],T_TraitDi[#Data],COLUMN(T_TraitDi[Colonne24]),FALSE),""),"[hh]:mm"))</f>
        <v>#N/A</v>
      </c>
      <c r="AZ262" s="284" t="e">
        <f>IF(VLOOKUP(T_Convention[[#This Row],[NumL]],T_TraitDi[#Data],COLUMN(T_TraitDi[Colonne25]),FALSE)=0,"",TEXT(IFERROR(VLOOKUP(T_Convention[[#This Row],[NumL]],T_TraitDi[#Data],COLUMN(T_TraitDi[Colonne25]),FALSE),""),"[hh]:mm"))</f>
        <v>#N/A</v>
      </c>
      <c r="BA262" s="284" t="e">
        <f>IF(VLOOKUP(T_Convention[[#This Row],[NumL]],T_TraitDi[#Data],COLUMN(T_TraitDi[Colonne26]),FALSE)=0,"",TEXT(IFERROR(VLOOKUP(T_Convention[[#This Row],[NumL]],T_TraitDi[#Data],COLUMN(T_TraitDi[Colonne26]),FALSE),""),"[hh]:mm"))</f>
        <v>#N/A</v>
      </c>
      <c r="BB262" s="284" t="str">
        <f>IFERROR(VLOOKUP(T_Convention[[#This Row],[NumL]],T_TraitDi[#Data],COLUMN(T_TraitDi[Vendredi]),FALSE),"")</f>
        <v/>
      </c>
      <c r="BC262" s="284" t="e">
        <f>IF(VLOOKUP(T_Convention[[#This Row],[NumL]],T_TraitDi[#Data],COLUMN(T_TraitDi[Colonne27]),FALSE)=0,"",TEXT(IFERROR(VLOOKUP(T_Convention[[#This Row],[NumL]],T_TraitDi[#Data],COLUMN(T_TraitDi[Colonne27]),FALSE),""),"[hh]:mm"))</f>
        <v>#N/A</v>
      </c>
      <c r="BD262" s="284" t="e">
        <f>IF(VLOOKUP(T_Convention[[#This Row],[NumL]],T_TraitDi[#Data],COLUMN(T_TraitDi[Colonne28]),FALSE)=0,"",TEXT(IFERROR(VLOOKUP(T_Convention[[#This Row],[NumL]],T_TraitDi[#Data],COLUMN(T_TraitDi[Colonne28]),FALSE),""),"[hh]:mm"))</f>
        <v>#N/A</v>
      </c>
      <c r="BE262" s="284" t="str">
        <f>IFERROR(VLOOKUP(T_Convention[[#This Row],[NumL]],T_TraitDi[#Data],COLUMN(T_TraitDi[Colonne29]),FALSE),"")</f>
        <v/>
      </c>
      <c r="BF262" s="284" t="e">
        <f>IF(VLOOKUP(T_Convention[[#This Row],[NumL]],T_TraitDi[#Data],COLUMN(T_TraitDi[Colonne30]),FALSE)=0,"",TEXT(IFERROR(VLOOKUP(T_Convention[[#This Row],[NumL]],T_TraitDi[#Data],COLUMN(T_TraitDi[Colonne30]),FALSE),""),"[hh]:mm"))</f>
        <v>#N/A</v>
      </c>
      <c r="BG262" s="284" t="e">
        <f>IF(VLOOKUP(T_Convention[[#This Row],[NumL]],T_TraitDi[#Data],COLUMN(T_TraitDi[Colonne31]),FALSE)=0,"",TEXT(IFERROR(VLOOKUP(T_Convention[[#This Row],[NumL]],T_TraitDi[#Data],COLUMN(T_TraitDi[Colonne31]),FALSE),""),"[hh]:mm"))</f>
        <v>#N/A</v>
      </c>
      <c r="BH262" s="284" t="e">
        <f>IF(VLOOKUP(T_Convention[[#This Row],[NumL]],T_TraitDi[#Data],COLUMN(T_TraitDi[Colonne32]),FALSE)=0,"",TEXT(IFERROR(VLOOKUP(T_Convention[[#This Row],[NumL]],T_TraitDi[#Data],COLUMN(T_TraitDi[Colonne32]),FALSE),""),"[hh]:mm"))</f>
        <v>#N/A</v>
      </c>
      <c r="BI262" s="284" t="str">
        <f>IFERROR(VLOOKUP(T_Convention[[#This Row],[NumL]],T_TraitDi[#Data],COLUMN(T_TraitDi[NbJTW]),FALSE),"")</f>
        <v/>
      </c>
      <c r="BJ262" s="284" t="e">
        <f>IF(VLOOKUP(T_Convention[[#This Row],[NumL]],T_TraitDi[#Data],COLUMN(T_TraitDi[NbhTW]),FALSE)=0,"",TEXT(IFERROR(VLOOKUP(T_Convention[[#This Row],[NumL]],T_TraitDi[#Data],COLUMN(T_TraitDi[NbhTW]),FALSE),""),"[hh]:mm"))</f>
        <v>#N/A</v>
      </c>
      <c r="BK262" s="286" t="e">
        <f>IF(VLOOKUP(T_Convention[[#This Row],[NumL]],T_TraitDi[#Data],COLUMN(T_TraitDi[Nbhheb]),FALSE)=0,"",TEXT(IFERROR(VLOOKUP(T_Convention[[#This Row],[NumL]],T_TraitDi[#Data],COLUMN(T_TraitDi[Nbhheb]),FALSE),""),"[hh]:mm"))</f>
        <v>#N/A</v>
      </c>
      <c r="BL262" s="287" t="str">
        <f>IFERROR(VLOOKUP(VLOOKUP(T_Convention[[#This Row],[NumL]],T_TraitDi[#Data],COLUMN(T_TraitDi[Type1]),FALSE),TypeTW,2,FALSE),"")</f>
        <v/>
      </c>
      <c r="BM262" s="288" t="str">
        <f>IFERROR(VLOOKUP(T_Convention[[#This Row],[NumL]],T_TraitDi[#Data],COLUMN(T_TraitDi[Rue1]),FALSE),"")</f>
        <v/>
      </c>
      <c r="BN262" s="289" t="str">
        <f>IFERROR(VLOOKUP(T_Convention[[#This Row],[NumL]],T_TraitDi[#Data],COLUMN(T_TraitDi[CP1]),FALSE),"")</f>
        <v/>
      </c>
      <c r="BO262" s="282" t="str">
        <f>IFERROR(VLOOKUP(T_Convention[[#This Row],[NumL]],T_TraitDi[#Data],COLUMN(T_TraitDi[VILLE1]),FALSE),"")</f>
        <v/>
      </c>
      <c r="BP262" s="290" t="str">
        <f>IFERROR(VLOOKUP(VLOOKUP(T_Convention[[#This Row],[NumL]],T_TraitDi[#Data],COLUMN(T_TraitDi[Type2]),FALSE),TypeTW,2,FALSE),"")</f>
        <v/>
      </c>
      <c r="BQ262" s="182" t="str">
        <f>IFERROR(VLOOKUP(T_Convention[[#This Row],[NumL]],T_TraitDi[#Data],COLUMN(T_TraitDi[Rue2]),FALSE),"")</f>
        <v/>
      </c>
      <c r="BR262" s="173" t="str">
        <f>IFERROR(VLOOKUP(T_Convention[[#This Row],[NumL]],T_TraitDi[#Data],COLUMN(T_TraitDi[CP2]),FALSE),"")</f>
        <v/>
      </c>
      <c r="BS262" s="173" t="str">
        <f>IFERROR(VLOOKUP(T_Convention[[#This Row],[NumL]],T_TraitDi[#Data],COLUMN(T_TraitDi[VILLE2]),FALSE),"")</f>
        <v/>
      </c>
      <c r="BT262" s="182" t="str">
        <f>IF(VLOOKUP(T_Convention[[#This Row],[NumL]],T_Equipement[#Data],COLUMN(T_Equipement[PC]),FALSE)="","Aucun équipement spécifique directement lié au télétravail",VLOOKUP(T_Convention[[#This Row],[NumL]],T_Equipement[#Data],COLUMN(T_Equipement[PC]),FALSE))</f>
        <v>20-3075</v>
      </c>
      <c r="BU262" s="166" t="str">
        <f>IFERROR(IF(VLOOKUP(T_Convention[[#This Row],[NumL]],T_TraitDi[#Data],COLUMN(T_TraitDi[Plan]),FALSE)="OK","Un planning spécifique de télétravail est annexé à la présente convention.",""),"")</f>
        <v/>
      </c>
      <c r="BV262" s="185" t="s">
        <v>3519</v>
      </c>
      <c r="BW262" s="164" t="e">
        <f>IF(VLOOKUP(T_Convention[[#This Row],[NumL]],T_suiviDi[#Data],COLUMN(T_suiviDi[Entité]),FALSE)="","",VLOOKUP(T_Convention[[#This Row],[NumL]],T_suiviDi[#Data],COLUMN(T_suiviDi[Entité]),FALSE))</f>
        <v>#N/A</v>
      </c>
      <c r="BX262" s="164" t="str">
        <f>IF(VLOOKUP(T_Convention[[#This Row],[NumL]],T_Commission[#Data],COLUMN(T_Commission[envoi confirm TW]),FALSE)="","",VLOOKUP(T_Convention[[#This Row],[NumL]],T_Commission[#Data],COLUMN(T_Commission[envoi confirm TW]),FALSE))</f>
        <v>Oui</v>
      </c>
      <c r="BY26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2" s="264">
        <f>VLOOKUP(T_Convention[[#This Row],[NumL]],T_Commission[#Data],COLUMN(T_Commission[Commentaire]),FALSE)</f>
        <v>0</v>
      </c>
      <c r="CA262" s="254" t="str">
        <f>IF(VLOOKUP(T_Convention[[#This Row],[NumL]],T_Commission[#Data],COLUMN(T_Commission[Encadrant Email]),FALSE)="","",VLOOKUP(T_Convention[[#This Row],[NumL]],T_Commission[#Data],COLUMN(T_Commission[Encadrant Email]),FALSE))</f>
        <v/>
      </c>
      <c r="CB262" s="353" t="e">
        <f>VLOOKUP(T_Convention[[#This Row],[NumL]],T_TraitDi[#Data],COLUMN(T_TraitDi[NbJTot]),FALSE)</f>
        <v>#N/A</v>
      </c>
      <c r="CC262" s="353" t="e">
        <f>VLOOKUP(T_Convention[[#This Row],[NumL]],T_TraitDi[#Data],COLUMN(T_TraitDi[Reg Ponct]),FALSE)</f>
        <v>#N/A</v>
      </c>
      <c r="CD262" s="348" t="str">
        <f>IF(T_Convention[[#This Row],[Final]]&lt;&gt;"",VLOOKUP(T_Convention[[#This Row],[NumL]],T_suiviDi[#Data],COLUMN((T_suiviDi[Statut])),FALSE),"")</f>
        <v/>
      </c>
    </row>
    <row r="263" spans="1:82" s="106" customFormat="1" ht="18.75" customHeight="1" x14ac:dyDescent="0.25">
      <c r="A263" s="160">
        <v>249</v>
      </c>
      <c r="B263" s="161" t="str">
        <f>VLOOKUP(T_Convention[[#This Row],[NumL]],T_Commission[#Data],COLUMN(T_Commission[FINAL]),FALSE)</f>
        <v/>
      </c>
      <c r="C263" s="162"/>
      <c r="D263" s="95" t="e">
        <f>IF(VLOOKUP(T_Convention[[#This Row],[NumL]],T_TraitDi[#Data],COLUMN(T_TraitDi[WebC]),FALSE)="","",VLOOKUP(T_Convention[[#This Row],[NumL]],T_TraitDi[#Data],COLUMN(T_TraitDi[WebC]),FALSE))</f>
        <v>#N/A</v>
      </c>
      <c r="E263" s="163" t="str">
        <f t="shared" si="20"/>
        <v>12 janvier 2021</v>
      </c>
      <c r="F263" s="282" t="str">
        <f>IF(T_Convention[[#This Row],[Final]]&lt;&gt;"",VLOOKUP(T_Convention[[#This Row],[NumL]],T_suiviDi[#Data],COLUMN((T_suiviDi[Civ.])),FALSE),"")</f>
        <v/>
      </c>
      <c r="G263" s="283" t="str">
        <f>IF(T_Convention[[#This Row],[Final]]&lt;&gt;"",VLOOKUP(T_Convention[[#This Row],[NumL]],T_suiviDi[#Data],COLUMN((T_suiviDi[Nom])),FALSE),"")</f>
        <v/>
      </c>
      <c r="H263" s="282" t="str">
        <f>IF(T_Convention[[#This Row],[Final]]&lt;&gt;"",VLOOKUP(T_Convention[[#This Row],[NumL]],T_suiviDi[#Data],COLUMN((T_suiviDi[Prénom])),FALSE),"")</f>
        <v/>
      </c>
      <c r="I263" s="282" t="e">
        <f>VLOOKUP(T_Convention[[#This Row],[NumL]],T_suiviDi[#Data],COLUMN((T_suiviDi[[#This Row],[Email]])),FALSE)</f>
        <v>#VALUE!</v>
      </c>
      <c r="J263" s="282" t="e">
        <f>IF(VLOOKUP(T_Convention[[#This Row],[NumL]],T_suiviDi[#Data],COLUMN(T_suiviDi[[#This Row],[Fonction]]),FALSE)="","",VLOOKUP(T_Convention[[#This Row],[NumL]],T_suiviDi[#Data],COLUMN(T_suiviDi[[#This Row],[Fonction]]),FALSE))</f>
        <v>#VALUE!</v>
      </c>
      <c r="K263" s="282" t="e">
        <f>IF(VLOOKUP(T_Convention[[#This Row],[NumL]],T_suiviDi[#Data],COLUMN(T_suiviDi[[#This Row],[Grade]]),FALSE)="","",VLOOKUP(T_Convention[[#This Row],[NumL]],T_suiviDi[#Data],COLUMN(T_suiviDi[[#This Row],[Grade]]),FALSE))</f>
        <v>#VALUE!</v>
      </c>
      <c r="L263" s="282" t="e">
        <f>IF(VLOOKUP(T_Convention[[#This Row],[NumL]],T_suiviDi[#Data],COLUMN(T_suiviDi[[#This Row],[Service ]]),FALSE)="","",VLOOKUP(T_Convention[[#This Row],[NumL]],T_suiviDi[#Data],COLUMN(T_suiviDi[[#This Row],[Service ]]),FALSE))</f>
        <v>#VALUE!</v>
      </c>
      <c r="M263" s="164" t="str">
        <f t="shared" si="21"/>
        <v>01 septembre 2021</v>
      </c>
      <c r="N263" s="164" t="str">
        <f t="shared" si="22"/>
        <v>30 novembre 2021</v>
      </c>
      <c r="O263" s="284" t="str">
        <f t="shared" si="23"/>
        <v>30 novembre 2021</v>
      </c>
      <c r="P263" s="282" t="e">
        <f>IF(VLOOKUP(T_Convention[[#This Row],[NumL]],T_TraitDi[#Data],COLUMN(T_TraitDi[M1]),FALSE)="","",VLOOKUP(T_Convention[[#This Row],[NumL]],T_TraitDi[#Data],COLUMN(T_TraitDi[M1]),FALSE))</f>
        <v>#N/A</v>
      </c>
      <c r="Q263" s="282" t="e">
        <f>IF(VLOOKUP(T_Convention[[#This Row],[NumL]],T_TraitDi[#Data],COLUMN(T_TraitDi[M2]),FALSE)="","",VLOOKUP(T_Convention[[#This Row],[NumL]],T_TraitDi[#Data],COLUMN(T_TraitDi[M2]),FALSE))</f>
        <v>#N/A</v>
      </c>
      <c r="R263" s="282" t="e">
        <f>IF(VLOOKUP(T_Convention[[#This Row],[NumL]],T_TraitDi[#Data],COLUMN(T_TraitDi[M3]),FALSE)="","",VLOOKUP(T_Convention[[#This Row],[NumL]],T_TraitDi[#Data],COLUMN(T_TraitDi[M3]),FALSE))</f>
        <v>#N/A</v>
      </c>
      <c r="S263" s="282" t="e">
        <f>IF(VLOOKUP(T_Convention[[#This Row],[NumL]],T_TraitDi[#Data],COLUMN(T_TraitDi[M4]),FALSE)="","",VLOOKUP(T_Convention[[#This Row],[NumL]],T_TraitDi[#Data],COLUMN(T_TraitDi[M4]),FALSE))</f>
        <v>#N/A</v>
      </c>
      <c r="T263" s="282" t="e">
        <f>IF(VLOOKUP(T_Convention[[#This Row],[NumL]],T_TraitDi[#Data],COLUMN(T_TraitDi[M5]),FALSE)="","",VLOOKUP(T_Convention[[#This Row],[NumL]],T_TraitDi[#Data],COLUMN(T_TraitDi[M5]),FALSE))</f>
        <v>#N/A</v>
      </c>
      <c r="U263" s="282" t="e">
        <f>IF(VLOOKUP(T_Convention[[#This Row],[NumL]],T_TraitDi[#Data],COLUMN(T_TraitDi[M6]),FALSE)="","",VLOOKUP(T_Convention[[#This Row],[NumL]],T_TraitDi[#Data],COLUMN(T_TraitDi[M6]),FALSE))</f>
        <v>#N/A</v>
      </c>
      <c r="V263" s="176" t="e">
        <f t="shared" si="24"/>
        <v>#N/A</v>
      </c>
      <c r="W263" s="284" t="str">
        <f>IFERROR(TEXT(VLOOKUP(T_Convention[[#This Row],[NumL]],T_TraitDi[#Data],COLUMN(T_TraitDi[Q2]),FALSE),"###%"),"")</f>
        <v/>
      </c>
      <c r="X263" s="97" t="e">
        <f>VLOOKUP(T_Convention[[#This Row],[NumL]],T_TraitDi[#Data],COLUMN(T_TraitDi[Reg Ponct]),FALSE)</f>
        <v>#N/A</v>
      </c>
      <c r="Y263" s="97" t="e">
        <f>VLOOKUP(T_Convention[NumL],T_TraitDi[#Data],COLUMN(T_TraitDi[Jours flottants]),FALSE)</f>
        <v>#N/A</v>
      </c>
      <c r="Z263" s="284" t="str">
        <f>IFERROR(VLOOKUP(T_Convention[[#This Row],[NumL]],T_TraitDi[#Data],COLUMN(T_TraitDi[Lundi]),FALSE),"")</f>
        <v/>
      </c>
      <c r="AA263" s="284" t="e">
        <f>IF(VLOOKUP(T_Convention[[#This Row],[NumL]],T_TraitDi[#Data],COLUMN(T_TraitDi[Colonne3]),FALSE)=0,"",TEXT(IFERROR(VLOOKUP(T_Convention[[#This Row],[NumL]],T_TraitDi[#Data],COLUMN(T_TraitDi[Colonne3]),FALSE),""),"[hh]:mm"))</f>
        <v>#N/A</v>
      </c>
      <c r="AB263" s="284" t="e">
        <f>IF(VLOOKUP(T_Convention[[#This Row],[NumL]],T_TraitDi[#Data],COLUMN(T_TraitDi[Colonne4]),FALSE)=0,"",TEXT(IFERROR(VLOOKUP(T_Convention[[#This Row],[NumL]],T_TraitDi[#Data],COLUMN(T_TraitDi[Colonne4]),FALSE),""),"[hh]:mm"))</f>
        <v>#N/A</v>
      </c>
      <c r="AC263" s="284" t="e">
        <f>IF(VLOOKUP(T_Convention[[#This Row],[NumL]],T_TraitDi[#Data],COLUMN(T_TraitDi[Colonne5]),FALSE)=0,"",TEXT(IFERROR(VLOOKUP(T_Convention[[#This Row],[NumL]],T_TraitDi[#Data],COLUMN(T_TraitDi[Colonne5]),FALSE),""),"[hh]:mm"))</f>
        <v>#N/A</v>
      </c>
      <c r="AD263" s="284" t="e">
        <f>IF(VLOOKUP(T_Convention[[#This Row],[NumL]],T_TraitDi[#Data],COLUMN(T_TraitDi[Colonne6]),FALSE)=0,"",TEXT(IFERROR(VLOOKUP(T_Convention[[#This Row],[NumL]],T_TraitDi[#Data],COLUMN(T_TraitDi[Colonne6]),FALSE),""),"[hh]:mm"))</f>
        <v>#N/A</v>
      </c>
      <c r="AE263" s="284" t="e">
        <f>IF(VLOOKUP(T_Convention[[#This Row],[NumL]],T_TraitDi[#Data],COLUMN(T_TraitDi[Colonne7]),FALSE)=0,"",TEXT(IFERROR(VLOOKUP(T_Convention[[#This Row],[NumL]],T_TraitDi[#Data],COLUMN(T_TraitDi[Colonne7]),FALSE),""),"[hh]:mm"))</f>
        <v>#N/A</v>
      </c>
      <c r="AF263" s="284" t="e">
        <f>IF(VLOOKUP(T_Convention[[#This Row],[NumL]],T_TraitDi[#Data],COLUMN(T_TraitDi[Colonne8]),FALSE)=0,"",TEXT(IFERROR(VLOOKUP(T_Convention[[#This Row],[NumL]],T_TraitDi[#Data],COLUMN(T_TraitDi[Colonne8]),FALSE),""),"[hh]:mm"))</f>
        <v>#N/A</v>
      </c>
      <c r="AG263" s="284" t="str">
        <f>IFERROR(VLOOKUP(T_Convention[[#This Row],[NumL]],T_TraitDi[#Data],COLUMN(T_TraitDi[Mardi]),FALSE),"")</f>
        <v/>
      </c>
      <c r="AH263" s="284" t="e">
        <f>IF(VLOOKUP(T_Convention[[#This Row],[NumL]],T_TraitDi[#Data],COLUMN(T_TraitDi[Colonne1]),FALSE)=0,"",TEXT(IFERROR(VLOOKUP(T_Convention[[#This Row],[NumL]],T_TraitDi[#Data],COLUMN(T_TraitDi[Colonne1]),FALSE),""),"[hh]:mm"))</f>
        <v>#N/A</v>
      </c>
      <c r="AI263" s="284" t="e">
        <f>IF(VLOOKUP(T_Convention[[#This Row],[NumL]],T_TraitDi[#Data],COLUMN(T_TraitDi[Colonne9]),FALSE)=0,"",TEXT(IFERROR(VLOOKUP(T_Convention[[#This Row],[NumL]],T_TraitDi[#Data],COLUMN(T_TraitDi[Colonne9]),FALSE),""),"[hh]:mm"))</f>
        <v>#N/A</v>
      </c>
      <c r="AJ263" s="284" t="str">
        <f>IFERROR(VLOOKUP(T_Convention[[#This Row],[NumL]],T_TraitDi[#Data],COLUMN(T_TraitDi[Colonne10]),FALSE),"")</f>
        <v/>
      </c>
      <c r="AK263" s="284" t="e">
        <f>IF(VLOOKUP(T_Convention[[#This Row],[NumL]],T_TraitDi[#Data],COLUMN(T_TraitDi[Colonne11]),FALSE)=0,"",TEXT(IFERROR(VLOOKUP(T_Convention[[#This Row],[NumL]],T_TraitDi[#Data],COLUMN(T_TraitDi[Colonne11]),FALSE),""),"[hh]:mm"))</f>
        <v>#N/A</v>
      </c>
      <c r="AL263" s="284" t="e">
        <f>IF(VLOOKUP(T_Convention[[#This Row],[NumL]],T_TraitDi[#Data],COLUMN(T_TraitDi[Colonne12]),FALSE)=0,"",TEXT(IFERROR(VLOOKUP(T_Convention[[#This Row],[NumL]],T_TraitDi[#Data],COLUMN(T_TraitDi[Colonne12]),FALSE),""),"[hh]:mm"))</f>
        <v>#N/A</v>
      </c>
      <c r="AM263" s="284" t="e">
        <f>IF(VLOOKUP(T_Convention[[#This Row],[NumL]],T_TraitDi[#Data],COLUMN(T_TraitDi[Colonne14]),FALSE)=0,"",TEXT(IFERROR(VLOOKUP(T_Convention[[#This Row],[NumL]],T_TraitDi[#Data],COLUMN(T_TraitDi[Colonne14]),FALSE),""),"[hh]:mm"))</f>
        <v>#N/A</v>
      </c>
      <c r="AN263" s="284" t="str">
        <f>IFERROR(VLOOKUP(T_Convention[[#This Row],[NumL]],T_TraitDi[#Data],COLUMN(T_TraitDi[Mercredi]),FALSE),"")</f>
        <v/>
      </c>
      <c r="AO263" s="284" t="e">
        <f>IF(VLOOKUP(T_Convention[[#This Row],[NumL]],T_TraitDi[#Data],COLUMN(T_TraitDi[Colonne15]),FALSE)=0,"",TEXT(IFERROR(VLOOKUP(T_Convention[[#This Row],[NumL]],T_TraitDi[#Data],COLUMN(T_TraitDi[Colonne15]),FALSE),""),"[hh]:mm"))</f>
        <v>#N/A</v>
      </c>
      <c r="AP263" s="284" t="e">
        <f>IF(VLOOKUP(T_Convention[[#This Row],[NumL]],T_TraitDi[#Data],COLUMN(T_TraitDi[Colonne16]),FALSE)=0,"",TEXT(IFERROR(VLOOKUP(T_Convention[[#This Row],[NumL]],T_TraitDi[#Data],COLUMN(T_TraitDi[Colonne16]),FALSE),""),"[hh]:mm"))</f>
        <v>#N/A</v>
      </c>
      <c r="AQ263" s="284" t="str">
        <f>IFERROR(VLOOKUP(T_Convention[[#This Row],[NumL]],T_TraitDi[#Data],COLUMN(T_TraitDi[Colonne17]),FALSE),"")</f>
        <v/>
      </c>
      <c r="AR263" s="284" t="e">
        <f>IF(VLOOKUP(T_Convention[[#This Row],[NumL]],T_TraitDi[#Data],COLUMN(T_TraitDi[Colonne18]),FALSE)=0,"",TEXT(IFERROR(VLOOKUP(T_Convention[[#This Row],[NumL]],T_TraitDi[#Data],COLUMN(T_TraitDi[Colonne18]),FALSE),""),"[hh]:mm"))</f>
        <v>#N/A</v>
      </c>
      <c r="AS263" s="284" t="e">
        <f>IF(VLOOKUP(T_Convention[[#This Row],[NumL]],T_TraitDi[#Data],COLUMN(T_TraitDi[Colonne19]),FALSE)=0,"",TEXT(IFERROR(VLOOKUP(T_Convention[[#This Row],[NumL]],T_TraitDi[#Data],COLUMN(T_TraitDi[Colonne19]),FALSE),""),"[hh]:mm"))</f>
        <v>#N/A</v>
      </c>
      <c r="AT263" s="284" t="e">
        <f>IF(VLOOKUP(T_Convention[[#This Row],[NumL]],T_TraitDi[#Data],COLUMN(T_TraitDi[Colonne20]),FALSE)=0,"",TEXT(IFERROR(VLOOKUP(T_Convention[[#This Row],[NumL]],T_TraitDi[#Data],COLUMN(T_TraitDi[Colonne20]),FALSE),""),"[hh]:mm"))</f>
        <v>#N/A</v>
      </c>
      <c r="AU263" s="284" t="str">
        <f>IFERROR(VLOOKUP(T_Convention[[#This Row],[NumL]],T_TraitDi[#Data],COLUMN(T_TraitDi[Jeudi]),FALSE),"")</f>
        <v/>
      </c>
      <c r="AV263" s="284" t="e">
        <f>IF(VLOOKUP(T_Convention[[#This Row],[NumL]],T_TraitDi[#Data],COLUMN(T_TraitDi[Colonne21]),FALSE)=0,"",TEXT(IFERROR(VLOOKUP(T_Convention[[#This Row],[NumL]],T_TraitDi[#Data],COLUMN(T_TraitDi[Colonne21]),FALSE),""),"[hh]:mm"))</f>
        <v>#N/A</v>
      </c>
      <c r="AW263" s="284" t="e">
        <f>IF(VLOOKUP(T_Convention[[#This Row],[NumL]],T_TraitDi[#Data],COLUMN(T_TraitDi[Colonne22]),FALSE)=0,"",TEXT(IFERROR(VLOOKUP(T_Convention[[#This Row],[NumL]],T_TraitDi[#Data],COLUMN(T_TraitDi[Colonne22]),FALSE),""),"[hh]:mm"))</f>
        <v>#N/A</v>
      </c>
      <c r="AX263" s="284" t="str">
        <f>IFERROR(VLOOKUP(T_Convention[[#This Row],[NumL]],T_TraitDi[#Data],COLUMN(T_TraitDi[Colonne23]),FALSE),"")</f>
        <v/>
      </c>
      <c r="AY263" s="284" t="e">
        <f>IF(VLOOKUP(T_Convention[[#This Row],[NumL]],T_TraitDi[#Data],COLUMN(T_TraitDi[Colonne24]),FALSE)=0,"",TEXT(IFERROR(VLOOKUP(T_Convention[[#This Row],[NumL]],T_TraitDi[#Data],COLUMN(T_TraitDi[Colonne24]),FALSE),""),"[hh]:mm"))</f>
        <v>#N/A</v>
      </c>
      <c r="AZ263" s="284" t="e">
        <f>IF(VLOOKUP(T_Convention[[#This Row],[NumL]],T_TraitDi[#Data],COLUMN(T_TraitDi[Colonne25]),FALSE)=0,"",TEXT(IFERROR(VLOOKUP(T_Convention[[#This Row],[NumL]],T_TraitDi[#Data],COLUMN(T_TraitDi[Colonne25]),FALSE),""),"[hh]:mm"))</f>
        <v>#N/A</v>
      </c>
      <c r="BA263" s="284" t="e">
        <f>IF(VLOOKUP(T_Convention[[#This Row],[NumL]],T_TraitDi[#Data],COLUMN(T_TraitDi[Colonne26]),FALSE)=0,"",TEXT(IFERROR(VLOOKUP(T_Convention[[#This Row],[NumL]],T_TraitDi[#Data],COLUMN(T_TraitDi[Colonne26]),FALSE),""),"[hh]:mm"))</f>
        <v>#N/A</v>
      </c>
      <c r="BB263" s="284" t="str">
        <f>IFERROR(VLOOKUP(T_Convention[[#This Row],[NumL]],T_TraitDi[#Data],COLUMN(T_TraitDi[Vendredi]),FALSE),"")</f>
        <v/>
      </c>
      <c r="BC263" s="284" t="e">
        <f>IF(VLOOKUP(T_Convention[[#This Row],[NumL]],T_TraitDi[#Data],COLUMN(T_TraitDi[Colonne27]),FALSE)=0,"",TEXT(IFERROR(VLOOKUP(T_Convention[[#This Row],[NumL]],T_TraitDi[#Data],COLUMN(T_TraitDi[Colonne27]),FALSE),""),"[hh]:mm"))</f>
        <v>#N/A</v>
      </c>
      <c r="BD263" s="284" t="e">
        <f>IF(VLOOKUP(T_Convention[[#This Row],[NumL]],T_TraitDi[#Data],COLUMN(T_TraitDi[Colonne28]),FALSE)=0,"",TEXT(IFERROR(VLOOKUP(T_Convention[[#This Row],[NumL]],T_TraitDi[#Data],COLUMN(T_TraitDi[Colonne28]),FALSE),""),"[hh]:mm"))</f>
        <v>#N/A</v>
      </c>
      <c r="BE263" s="284" t="str">
        <f>IFERROR(VLOOKUP(T_Convention[[#This Row],[NumL]],T_TraitDi[#Data],COLUMN(T_TraitDi[Colonne29]),FALSE),"")</f>
        <v/>
      </c>
      <c r="BF263" s="284" t="e">
        <f>IF(VLOOKUP(T_Convention[[#This Row],[NumL]],T_TraitDi[#Data],COLUMN(T_TraitDi[Colonne30]),FALSE)=0,"",TEXT(IFERROR(VLOOKUP(T_Convention[[#This Row],[NumL]],T_TraitDi[#Data],COLUMN(T_TraitDi[Colonne30]),FALSE),""),"[hh]:mm"))</f>
        <v>#N/A</v>
      </c>
      <c r="BG263" s="284" t="e">
        <f>IF(VLOOKUP(T_Convention[[#This Row],[NumL]],T_TraitDi[#Data],COLUMN(T_TraitDi[Colonne31]),FALSE)=0,"",TEXT(IFERROR(VLOOKUP(T_Convention[[#This Row],[NumL]],T_TraitDi[#Data],COLUMN(T_TraitDi[Colonne31]),FALSE),""),"[hh]:mm"))</f>
        <v>#N/A</v>
      </c>
      <c r="BH263" s="284" t="e">
        <f>IF(VLOOKUP(T_Convention[[#This Row],[NumL]],T_TraitDi[#Data],COLUMN(T_TraitDi[Colonne32]),FALSE)=0,"",TEXT(IFERROR(VLOOKUP(T_Convention[[#This Row],[NumL]],T_TraitDi[#Data],COLUMN(T_TraitDi[Colonne32]),FALSE),""),"[hh]:mm"))</f>
        <v>#N/A</v>
      </c>
      <c r="BI263" s="284" t="str">
        <f>IFERROR(VLOOKUP(T_Convention[[#This Row],[NumL]],T_TraitDi[#Data],COLUMN(T_TraitDi[NbJTW]),FALSE),"")</f>
        <v/>
      </c>
      <c r="BJ263" s="284" t="e">
        <f>IF(VLOOKUP(T_Convention[[#This Row],[NumL]],T_TraitDi[#Data],COLUMN(T_TraitDi[NbhTW]),FALSE)=0,"",TEXT(IFERROR(VLOOKUP(T_Convention[[#This Row],[NumL]],T_TraitDi[#Data],COLUMN(T_TraitDi[NbhTW]),FALSE),""),"[hh]:mm"))</f>
        <v>#N/A</v>
      </c>
      <c r="BK263" s="286" t="e">
        <f>IF(VLOOKUP(T_Convention[[#This Row],[NumL]],T_TraitDi[#Data],COLUMN(T_TraitDi[Nbhheb]),FALSE)=0,"",TEXT(IFERROR(VLOOKUP(T_Convention[[#This Row],[NumL]],T_TraitDi[#Data],COLUMN(T_TraitDi[Nbhheb]),FALSE),""),"[hh]:mm"))</f>
        <v>#N/A</v>
      </c>
      <c r="BL263" s="287" t="str">
        <f>IFERROR(VLOOKUP(VLOOKUP(T_Convention[[#This Row],[NumL]],T_TraitDi[#Data],COLUMN(T_TraitDi[Type1]),FALSE),TypeTW,2,FALSE),"")</f>
        <v/>
      </c>
      <c r="BM263" s="288" t="str">
        <f>IFERROR(VLOOKUP(T_Convention[[#This Row],[NumL]],T_TraitDi[#Data],COLUMN(T_TraitDi[Rue1]),FALSE),"")</f>
        <v/>
      </c>
      <c r="BN263" s="289" t="str">
        <f>IFERROR(VLOOKUP(T_Convention[[#This Row],[NumL]],T_TraitDi[#Data],COLUMN(T_TraitDi[CP1]),FALSE),"")</f>
        <v/>
      </c>
      <c r="BO263" s="282" t="str">
        <f>IFERROR(VLOOKUP(T_Convention[[#This Row],[NumL]],T_TraitDi[#Data],COLUMN(T_TraitDi[VILLE1]),FALSE),"")</f>
        <v/>
      </c>
      <c r="BP263" s="290" t="str">
        <f>IFERROR(VLOOKUP(VLOOKUP(T_Convention[[#This Row],[NumL]],T_TraitDi[#Data],COLUMN(T_TraitDi[Type2]),FALSE),TypeTW,2,FALSE),"")</f>
        <v/>
      </c>
      <c r="BQ263" s="182" t="str">
        <f>IFERROR(VLOOKUP(T_Convention[[#This Row],[NumL]],T_TraitDi[#Data],COLUMN(T_TraitDi[Rue2]),FALSE),"")</f>
        <v/>
      </c>
      <c r="BR263" s="173" t="str">
        <f>IFERROR(VLOOKUP(T_Convention[[#This Row],[NumL]],T_TraitDi[#Data],COLUMN(T_TraitDi[CP2]),FALSE),"")</f>
        <v/>
      </c>
      <c r="BS263" s="173" t="str">
        <f>IFERROR(VLOOKUP(T_Convention[[#This Row],[NumL]],T_TraitDi[#Data],COLUMN(T_TraitDi[VILLE2]),FALSE),"")</f>
        <v/>
      </c>
      <c r="BT263" s="182" t="str">
        <f>IF(VLOOKUP(T_Convention[[#This Row],[NumL]],T_Equipement[#Data],COLUMN(T_Equipement[PC]),FALSE)="","Aucun équipement spécifique directement lié au télétravail",VLOOKUP(T_Convention[[#This Row],[NumL]],T_Equipement[#Data],COLUMN(T_Equipement[PC]),FALSE))</f>
        <v xml:space="preserve">15-163	</v>
      </c>
      <c r="BU263" s="166" t="str">
        <f>IFERROR(IF(VLOOKUP(T_Convention[[#This Row],[NumL]],T_TraitDi[#Data],COLUMN(T_TraitDi[Plan]),FALSE)="OK","Un planning spécifique de télétravail est annexé à la présente convention.",""),"")</f>
        <v/>
      </c>
      <c r="BV263" s="185"/>
      <c r="BW263" s="164" t="e">
        <f>IF(VLOOKUP(T_Convention[[#This Row],[NumL]],T_suiviDi[#Data],COLUMN(T_suiviDi[Entité]),FALSE)="","",VLOOKUP(T_Convention[[#This Row],[NumL]],T_suiviDi[#Data],COLUMN(T_suiviDi[Entité]),FALSE))</f>
        <v>#N/A</v>
      </c>
      <c r="BX263" s="164" t="str">
        <f>IF(VLOOKUP(T_Convention[[#This Row],[NumL]],T_Commission[#Data],COLUMN(T_Commission[envoi confirm TW]),FALSE)="","",VLOOKUP(T_Convention[[#This Row],[NumL]],T_Commission[#Data],COLUMN(T_Commission[envoi confirm TW]),FALSE))</f>
        <v>Oui</v>
      </c>
      <c r="BY26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3" s="264">
        <f>VLOOKUP(T_Convention[[#This Row],[NumL]],T_Commission[#Data],COLUMN(T_Commission[Commentaire]),FALSE)</f>
        <v>0</v>
      </c>
      <c r="CA263" s="254" t="str">
        <f>IF(VLOOKUP(T_Convention[[#This Row],[NumL]],T_Commission[#Data],COLUMN(T_Commission[Encadrant Email]),FALSE)="","",VLOOKUP(T_Convention[[#This Row],[NumL]],T_Commission[#Data],COLUMN(T_Commission[Encadrant Email]),FALSE))</f>
        <v/>
      </c>
      <c r="CB263" s="353" t="e">
        <f>VLOOKUP(T_Convention[[#This Row],[NumL]],T_TraitDi[#Data],COLUMN(T_TraitDi[NbJTot]),FALSE)</f>
        <v>#N/A</v>
      </c>
      <c r="CC263" s="353" t="e">
        <f>VLOOKUP(T_Convention[[#This Row],[NumL]],T_TraitDi[#Data],COLUMN(T_TraitDi[Reg Ponct]),FALSE)</f>
        <v>#N/A</v>
      </c>
      <c r="CD263" s="348" t="str">
        <f>IF(T_Convention[[#This Row],[Final]]&lt;&gt;"",VLOOKUP(T_Convention[[#This Row],[NumL]],T_suiviDi[#Data],COLUMN((T_suiviDi[Statut])),FALSE),"")</f>
        <v/>
      </c>
    </row>
    <row r="264" spans="1:82" s="106" customFormat="1" ht="18.75" customHeight="1" x14ac:dyDescent="0.25">
      <c r="A264" s="160">
        <v>293</v>
      </c>
      <c r="B264" s="161" t="str">
        <f>VLOOKUP(T_Convention[[#This Row],[NumL]],T_Commission[#Data],COLUMN(T_Commission[FINAL]),FALSE)</f>
        <v/>
      </c>
      <c r="C264" s="162"/>
      <c r="D264" s="95" t="e">
        <f>IF(VLOOKUP(T_Convention[[#This Row],[NumL]],T_TraitDi[#Data],COLUMN(T_TraitDi[WebC]),FALSE)="","",VLOOKUP(T_Convention[[#This Row],[NumL]],T_TraitDi[#Data],COLUMN(T_TraitDi[WebC]),FALSE))</f>
        <v>#N/A</v>
      </c>
      <c r="E264" s="174" t="str">
        <f t="shared" si="20"/>
        <v>12 janvier 2021</v>
      </c>
      <c r="F264" s="282" t="str">
        <f>IF(T_Convention[[#This Row],[Final]]&lt;&gt;"",VLOOKUP(T_Convention[[#This Row],[NumL]],T_suiviDi[#Data],COLUMN((T_suiviDi[Civ.])),FALSE),"")</f>
        <v/>
      </c>
      <c r="G264" s="283" t="str">
        <f>IF(T_Convention[[#This Row],[Final]]&lt;&gt;"",VLOOKUP(T_Convention[[#This Row],[NumL]],T_suiviDi[#Data],COLUMN((T_suiviDi[Nom])),FALSE),"")</f>
        <v/>
      </c>
      <c r="H264" s="282" t="str">
        <f>IF(T_Convention[[#This Row],[Final]]&lt;&gt;"",VLOOKUP(T_Convention[[#This Row],[NumL]],T_suiviDi[#Data],COLUMN((T_suiviDi[Prénom])),FALSE),"")</f>
        <v/>
      </c>
      <c r="I264" s="282" t="e">
        <f>VLOOKUP(T_Convention[[#This Row],[NumL]],T_suiviDi[#Data],COLUMN((T_suiviDi[[#This Row],[Email]])),FALSE)</f>
        <v>#VALUE!</v>
      </c>
      <c r="J264" s="282" t="e">
        <f>IF(VLOOKUP(T_Convention[[#This Row],[NumL]],T_suiviDi[#Data],COLUMN(T_suiviDi[[#This Row],[Fonction]]),FALSE)="","",VLOOKUP(T_Convention[[#This Row],[NumL]],T_suiviDi[#Data],COLUMN(T_suiviDi[[#This Row],[Fonction]]),FALSE))</f>
        <v>#VALUE!</v>
      </c>
      <c r="K264" s="282" t="e">
        <f>IF(VLOOKUP(T_Convention[[#This Row],[NumL]],T_suiviDi[#Data],COLUMN(T_suiviDi[[#This Row],[Grade]]),FALSE)="","",VLOOKUP(T_Convention[[#This Row],[NumL]],T_suiviDi[#Data],COLUMN(T_suiviDi[[#This Row],[Grade]]),FALSE))</f>
        <v>#VALUE!</v>
      </c>
      <c r="L264" s="282" t="e">
        <f>IF(VLOOKUP(T_Convention[[#This Row],[NumL]],T_suiviDi[#Data],COLUMN(T_suiviDi[[#This Row],[Service ]]),FALSE)="","",VLOOKUP(T_Convention[[#This Row],[NumL]],T_suiviDi[#Data],COLUMN(T_suiviDi[[#This Row],[Service ]]),FALSE))</f>
        <v>#VALUE!</v>
      </c>
      <c r="M264" s="176" t="str">
        <f t="shared" si="21"/>
        <v>01 septembre 2021</v>
      </c>
      <c r="N264" s="176" t="str">
        <f t="shared" si="22"/>
        <v>30 novembre 2021</v>
      </c>
      <c r="O264" s="284" t="str">
        <f t="shared" si="23"/>
        <v>30 novembre 2021</v>
      </c>
      <c r="P264" s="282" t="e">
        <f>IF(VLOOKUP(T_Convention[[#This Row],[NumL]],T_TraitDi[#Data],COLUMN(T_TraitDi[M1]),FALSE)="","",VLOOKUP(T_Convention[[#This Row],[NumL]],T_TraitDi[#Data],COLUMN(T_TraitDi[M1]),FALSE))</f>
        <v>#N/A</v>
      </c>
      <c r="Q264" s="282" t="e">
        <f>IF(VLOOKUP(T_Convention[[#This Row],[NumL]],T_TraitDi[#Data],COLUMN(T_TraitDi[M2]),FALSE)="","",VLOOKUP(T_Convention[[#This Row],[NumL]],T_TraitDi[#Data],COLUMN(T_TraitDi[M2]),FALSE))</f>
        <v>#N/A</v>
      </c>
      <c r="R264" s="282" t="e">
        <f>IF(VLOOKUP(T_Convention[[#This Row],[NumL]],T_TraitDi[#Data],COLUMN(T_TraitDi[M3]),FALSE)="","",VLOOKUP(T_Convention[[#This Row],[NumL]],T_TraitDi[#Data],COLUMN(T_TraitDi[M3]),FALSE))</f>
        <v>#N/A</v>
      </c>
      <c r="S264" s="282" t="e">
        <f>IF(VLOOKUP(T_Convention[[#This Row],[NumL]],T_TraitDi[#Data],COLUMN(T_TraitDi[M4]),FALSE)="","",VLOOKUP(T_Convention[[#This Row],[NumL]],T_TraitDi[#Data],COLUMN(T_TraitDi[M4]),FALSE))</f>
        <v>#N/A</v>
      </c>
      <c r="T264" s="282" t="e">
        <f>IF(VLOOKUP(T_Convention[[#This Row],[NumL]],T_TraitDi[#Data],COLUMN(T_TraitDi[M5]),FALSE)="","",VLOOKUP(T_Convention[[#This Row],[NumL]],T_TraitDi[#Data],COLUMN(T_TraitDi[M5]),FALSE))</f>
        <v>#N/A</v>
      </c>
      <c r="U264" s="282" t="e">
        <f>IF(VLOOKUP(T_Convention[[#This Row],[NumL]],T_TraitDi[#Data],COLUMN(T_TraitDi[M6]),FALSE)="","",VLOOKUP(T_Convention[[#This Row],[NumL]],T_TraitDi[#Data],COLUMN(T_TraitDi[M6]),FALSE))</f>
        <v>#N/A</v>
      </c>
      <c r="V264" s="176" t="e">
        <f t="shared" si="24"/>
        <v>#N/A</v>
      </c>
      <c r="W264" s="284" t="str">
        <f>IFERROR(TEXT(VLOOKUP(T_Convention[[#This Row],[NumL]],T_TraitDi[#Data],COLUMN(T_TraitDi[Q2]),FALSE),"###%"),"")</f>
        <v/>
      </c>
      <c r="X264" s="97" t="e">
        <f>VLOOKUP(T_Convention[[#This Row],[NumL]],T_TraitDi[#Data],COLUMN(T_TraitDi[Reg Ponct]),FALSE)</f>
        <v>#N/A</v>
      </c>
      <c r="Y264" s="97" t="e">
        <f>VLOOKUP(T_Convention[NumL],T_TraitDi[#Data],COLUMN(T_TraitDi[Jours flottants]),FALSE)</f>
        <v>#N/A</v>
      </c>
      <c r="Z264" s="284" t="str">
        <f>IFERROR(VLOOKUP(T_Convention[[#This Row],[NumL]],T_TraitDi[#Data],COLUMN(T_TraitDi[Lundi]),FALSE),"")</f>
        <v/>
      </c>
      <c r="AA264" s="284" t="e">
        <f>IF(VLOOKUP(T_Convention[[#This Row],[NumL]],T_TraitDi[#Data],COLUMN(T_TraitDi[Colonne3]),FALSE)=0,"",TEXT(IFERROR(VLOOKUP(T_Convention[[#This Row],[NumL]],T_TraitDi[#Data],COLUMN(T_TraitDi[Colonne3]),FALSE),""),"[hh]:mm"))</f>
        <v>#N/A</v>
      </c>
      <c r="AB264" s="284" t="e">
        <f>IF(VLOOKUP(T_Convention[[#This Row],[NumL]],T_TraitDi[#Data],COLUMN(T_TraitDi[Colonne4]),FALSE)=0,"",TEXT(IFERROR(VLOOKUP(T_Convention[[#This Row],[NumL]],T_TraitDi[#Data],COLUMN(T_TraitDi[Colonne4]),FALSE),""),"[hh]:mm"))</f>
        <v>#N/A</v>
      </c>
      <c r="AC264" s="284" t="e">
        <f>IF(VLOOKUP(T_Convention[[#This Row],[NumL]],T_TraitDi[#Data],COLUMN(T_TraitDi[Colonne5]),FALSE)=0,"",TEXT(IFERROR(VLOOKUP(T_Convention[[#This Row],[NumL]],T_TraitDi[#Data],COLUMN(T_TraitDi[Colonne5]),FALSE),""),"[hh]:mm"))</f>
        <v>#N/A</v>
      </c>
      <c r="AD264" s="284" t="e">
        <f>IF(VLOOKUP(T_Convention[[#This Row],[NumL]],T_TraitDi[#Data],COLUMN(T_TraitDi[Colonne6]),FALSE)=0,"",TEXT(IFERROR(VLOOKUP(T_Convention[[#This Row],[NumL]],T_TraitDi[#Data],COLUMN(T_TraitDi[Colonne6]),FALSE),""),"[hh]:mm"))</f>
        <v>#N/A</v>
      </c>
      <c r="AE264" s="284" t="e">
        <f>IF(VLOOKUP(T_Convention[[#This Row],[NumL]],T_TraitDi[#Data],COLUMN(T_TraitDi[Colonne7]),FALSE)=0,"",TEXT(IFERROR(VLOOKUP(T_Convention[[#This Row],[NumL]],T_TraitDi[#Data],COLUMN(T_TraitDi[Colonne7]),FALSE),""),"[hh]:mm"))</f>
        <v>#N/A</v>
      </c>
      <c r="AF264" s="284" t="e">
        <f>IF(VLOOKUP(T_Convention[[#This Row],[NumL]],T_TraitDi[#Data],COLUMN(T_TraitDi[Colonne8]),FALSE)=0,"",TEXT(IFERROR(VLOOKUP(T_Convention[[#This Row],[NumL]],T_TraitDi[#Data],COLUMN(T_TraitDi[Colonne8]),FALSE),""),"[hh]:mm"))</f>
        <v>#N/A</v>
      </c>
      <c r="AG264" s="284" t="str">
        <f>IFERROR(VLOOKUP(T_Convention[[#This Row],[NumL]],T_TraitDi[#Data],COLUMN(T_TraitDi[Mardi]),FALSE),"")</f>
        <v/>
      </c>
      <c r="AH264" s="284" t="e">
        <f>IF(VLOOKUP(T_Convention[[#This Row],[NumL]],T_TraitDi[#Data],COLUMN(T_TraitDi[Colonne1]),FALSE)=0,"",TEXT(IFERROR(VLOOKUP(T_Convention[[#This Row],[NumL]],T_TraitDi[#Data],COLUMN(T_TraitDi[Colonne1]),FALSE),""),"[hh]:mm"))</f>
        <v>#N/A</v>
      </c>
      <c r="AI264" s="284" t="e">
        <f>IF(VLOOKUP(T_Convention[[#This Row],[NumL]],T_TraitDi[#Data],COLUMN(T_TraitDi[Colonne9]),FALSE)=0,"",TEXT(IFERROR(VLOOKUP(T_Convention[[#This Row],[NumL]],T_TraitDi[#Data],COLUMN(T_TraitDi[Colonne9]),FALSE),""),"[hh]:mm"))</f>
        <v>#N/A</v>
      </c>
      <c r="AJ264" s="284" t="str">
        <f>IFERROR(VLOOKUP(T_Convention[[#This Row],[NumL]],T_TraitDi[#Data],COLUMN(T_TraitDi[Colonne10]),FALSE),"")</f>
        <v/>
      </c>
      <c r="AK264" s="284" t="e">
        <f>IF(VLOOKUP(T_Convention[[#This Row],[NumL]],T_TraitDi[#Data],COLUMN(T_TraitDi[Colonne11]),FALSE)=0,"",TEXT(IFERROR(VLOOKUP(T_Convention[[#This Row],[NumL]],T_TraitDi[#Data],COLUMN(T_TraitDi[Colonne11]),FALSE),""),"[hh]:mm"))</f>
        <v>#N/A</v>
      </c>
      <c r="AL264" s="284" t="e">
        <f>IF(VLOOKUP(T_Convention[[#This Row],[NumL]],T_TraitDi[#Data],COLUMN(T_TraitDi[Colonne12]),FALSE)=0,"",TEXT(IFERROR(VLOOKUP(T_Convention[[#This Row],[NumL]],T_TraitDi[#Data],COLUMN(T_TraitDi[Colonne12]),FALSE),""),"[hh]:mm"))</f>
        <v>#N/A</v>
      </c>
      <c r="AM264" s="284" t="e">
        <f>IF(VLOOKUP(T_Convention[[#This Row],[NumL]],T_TraitDi[#Data],COLUMN(T_TraitDi[Colonne14]),FALSE)=0,"",TEXT(IFERROR(VLOOKUP(T_Convention[[#This Row],[NumL]],T_TraitDi[#Data],COLUMN(T_TraitDi[Colonne14]),FALSE),""),"[hh]:mm"))</f>
        <v>#N/A</v>
      </c>
      <c r="AN264" s="284" t="str">
        <f>IFERROR(VLOOKUP(T_Convention[[#This Row],[NumL]],T_TraitDi[#Data],COLUMN(T_TraitDi[Mercredi]),FALSE),"")</f>
        <v/>
      </c>
      <c r="AO264" s="284" t="e">
        <f>IF(VLOOKUP(T_Convention[[#This Row],[NumL]],T_TraitDi[#Data],COLUMN(T_TraitDi[Colonne15]),FALSE)=0,"",TEXT(IFERROR(VLOOKUP(T_Convention[[#This Row],[NumL]],T_TraitDi[#Data],COLUMN(T_TraitDi[Colonne15]),FALSE),""),"[hh]:mm"))</f>
        <v>#N/A</v>
      </c>
      <c r="AP264" s="284" t="e">
        <f>IF(VLOOKUP(T_Convention[[#This Row],[NumL]],T_TraitDi[#Data],COLUMN(T_TraitDi[Colonne16]),FALSE)=0,"",TEXT(IFERROR(VLOOKUP(T_Convention[[#This Row],[NumL]],T_TraitDi[#Data],COLUMN(T_TraitDi[Colonne16]),FALSE),""),"[hh]:mm"))</f>
        <v>#N/A</v>
      </c>
      <c r="AQ264" s="284" t="str">
        <f>IFERROR(VLOOKUP(T_Convention[[#This Row],[NumL]],T_TraitDi[#Data],COLUMN(T_TraitDi[Colonne17]),FALSE),"")</f>
        <v/>
      </c>
      <c r="AR264" s="284" t="e">
        <f>IF(VLOOKUP(T_Convention[[#This Row],[NumL]],T_TraitDi[#Data],COLUMN(T_TraitDi[Colonne18]),FALSE)=0,"",TEXT(IFERROR(VLOOKUP(T_Convention[[#This Row],[NumL]],T_TraitDi[#Data],COLUMN(T_TraitDi[Colonne18]),FALSE),""),"[hh]:mm"))</f>
        <v>#N/A</v>
      </c>
      <c r="AS264" s="284" t="e">
        <f>IF(VLOOKUP(T_Convention[[#This Row],[NumL]],T_TraitDi[#Data],COLUMN(T_TraitDi[Colonne19]),FALSE)=0,"",TEXT(IFERROR(VLOOKUP(T_Convention[[#This Row],[NumL]],T_TraitDi[#Data],COLUMN(T_TraitDi[Colonne19]),FALSE),""),"[hh]:mm"))</f>
        <v>#N/A</v>
      </c>
      <c r="AT264" s="284" t="e">
        <f>IF(VLOOKUP(T_Convention[[#This Row],[NumL]],T_TraitDi[#Data],COLUMN(T_TraitDi[Colonne20]),FALSE)=0,"",TEXT(IFERROR(VLOOKUP(T_Convention[[#This Row],[NumL]],T_TraitDi[#Data],COLUMN(T_TraitDi[Colonne20]),FALSE),""),"[hh]:mm"))</f>
        <v>#N/A</v>
      </c>
      <c r="AU264" s="284" t="str">
        <f>IFERROR(VLOOKUP(T_Convention[[#This Row],[NumL]],T_TraitDi[#Data],COLUMN(T_TraitDi[Jeudi]),FALSE),"")</f>
        <v/>
      </c>
      <c r="AV264" s="284" t="e">
        <f>IF(VLOOKUP(T_Convention[[#This Row],[NumL]],T_TraitDi[#Data],COLUMN(T_TraitDi[Colonne21]),FALSE)=0,"",TEXT(IFERROR(VLOOKUP(T_Convention[[#This Row],[NumL]],T_TraitDi[#Data],COLUMN(T_TraitDi[Colonne21]),FALSE),""),"[hh]:mm"))</f>
        <v>#N/A</v>
      </c>
      <c r="AW264" s="284" t="e">
        <f>IF(VLOOKUP(T_Convention[[#This Row],[NumL]],T_TraitDi[#Data],COLUMN(T_TraitDi[Colonne22]),FALSE)=0,"",TEXT(IFERROR(VLOOKUP(T_Convention[[#This Row],[NumL]],T_TraitDi[#Data],COLUMN(T_TraitDi[Colonne22]),FALSE),""),"[hh]:mm"))</f>
        <v>#N/A</v>
      </c>
      <c r="AX264" s="284" t="str">
        <f>IFERROR(VLOOKUP(T_Convention[[#This Row],[NumL]],T_TraitDi[#Data],COLUMN(T_TraitDi[Colonne23]),FALSE),"")</f>
        <v/>
      </c>
      <c r="AY264" s="284" t="e">
        <f>IF(VLOOKUP(T_Convention[[#This Row],[NumL]],T_TraitDi[#Data],COLUMN(T_TraitDi[Colonne24]),FALSE)=0,"",TEXT(IFERROR(VLOOKUP(T_Convention[[#This Row],[NumL]],T_TraitDi[#Data],COLUMN(T_TraitDi[Colonne24]),FALSE),""),"[hh]:mm"))</f>
        <v>#N/A</v>
      </c>
      <c r="AZ264" s="284" t="e">
        <f>IF(VLOOKUP(T_Convention[[#This Row],[NumL]],T_TraitDi[#Data],COLUMN(T_TraitDi[Colonne25]),FALSE)=0,"",TEXT(IFERROR(VLOOKUP(T_Convention[[#This Row],[NumL]],T_TraitDi[#Data],COLUMN(T_TraitDi[Colonne25]),FALSE),""),"[hh]:mm"))</f>
        <v>#N/A</v>
      </c>
      <c r="BA264" s="284" t="e">
        <f>IF(VLOOKUP(T_Convention[[#This Row],[NumL]],T_TraitDi[#Data],COLUMN(T_TraitDi[Colonne26]),FALSE)=0,"",TEXT(IFERROR(VLOOKUP(T_Convention[[#This Row],[NumL]],T_TraitDi[#Data],COLUMN(T_TraitDi[Colonne26]),FALSE),""),"[hh]:mm"))</f>
        <v>#N/A</v>
      </c>
      <c r="BB264" s="284" t="str">
        <f>IFERROR(VLOOKUP(T_Convention[[#This Row],[NumL]],T_TraitDi[#Data],COLUMN(T_TraitDi[Vendredi]),FALSE),"")</f>
        <v/>
      </c>
      <c r="BC264" s="284" t="e">
        <f>IF(VLOOKUP(T_Convention[[#This Row],[NumL]],T_TraitDi[#Data],COLUMN(T_TraitDi[Colonne27]),FALSE)=0,"",TEXT(IFERROR(VLOOKUP(T_Convention[[#This Row],[NumL]],T_TraitDi[#Data],COLUMN(T_TraitDi[Colonne27]),FALSE),""),"[hh]:mm"))</f>
        <v>#N/A</v>
      </c>
      <c r="BD264" s="284" t="e">
        <f>IF(VLOOKUP(T_Convention[[#This Row],[NumL]],T_TraitDi[#Data],COLUMN(T_TraitDi[Colonne28]),FALSE)=0,"",TEXT(IFERROR(VLOOKUP(T_Convention[[#This Row],[NumL]],T_TraitDi[#Data],COLUMN(T_TraitDi[Colonne28]),FALSE),""),"[hh]:mm"))</f>
        <v>#N/A</v>
      </c>
      <c r="BE264" s="284" t="str">
        <f>IFERROR(VLOOKUP(T_Convention[[#This Row],[NumL]],T_TraitDi[#Data],COLUMN(T_TraitDi[Colonne29]),FALSE),"")</f>
        <v/>
      </c>
      <c r="BF264" s="284" t="e">
        <f>IF(VLOOKUP(T_Convention[[#This Row],[NumL]],T_TraitDi[#Data],COLUMN(T_TraitDi[Colonne30]),FALSE)=0,"",TEXT(IFERROR(VLOOKUP(T_Convention[[#This Row],[NumL]],T_TraitDi[#Data],COLUMN(T_TraitDi[Colonne30]),FALSE),""),"[hh]:mm"))</f>
        <v>#N/A</v>
      </c>
      <c r="BG264" s="284" t="e">
        <f>IF(VLOOKUP(T_Convention[[#This Row],[NumL]],T_TraitDi[#Data],COLUMN(T_TraitDi[Colonne31]),FALSE)=0,"",TEXT(IFERROR(VLOOKUP(T_Convention[[#This Row],[NumL]],T_TraitDi[#Data],COLUMN(T_TraitDi[Colonne31]),FALSE),""),"[hh]:mm"))</f>
        <v>#N/A</v>
      </c>
      <c r="BH264" s="284" t="e">
        <f>IF(VLOOKUP(T_Convention[[#This Row],[NumL]],T_TraitDi[#Data],COLUMN(T_TraitDi[Colonne32]),FALSE)=0,"",TEXT(IFERROR(VLOOKUP(T_Convention[[#This Row],[NumL]],T_TraitDi[#Data],COLUMN(T_TraitDi[Colonne32]),FALSE),""),"[hh]:mm"))</f>
        <v>#N/A</v>
      </c>
      <c r="BI264" s="284" t="str">
        <f>IFERROR(VLOOKUP(T_Convention[[#This Row],[NumL]],T_TraitDi[#Data],COLUMN(T_TraitDi[NbJTW]),FALSE),"")</f>
        <v/>
      </c>
      <c r="BJ264" s="284" t="e">
        <f>IF(VLOOKUP(T_Convention[[#This Row],[NumL]],T_TraitDi[#Data],COLUMN(T_TraitDi[NbhTW]),FALSE)=0,"",TEXT(IFERROR(VLOOKUP(T_Convention[[#This Row],[NumL]],T_TraitDi[#Data],COLUMN(T_TraitDi[NbhTW]),FALSE),""),"[hh]:mm"))</f>
        <v>#N/A</v>
      </c>
      <c r="BK264" s="286" t="e">
        <f>IF(VLOOKUP(T_Convention[[#This Row],[NumL]],T_TraitDi[#Data],COLUMN(T_TraitDi[Nbhheb]),FALSE)=0,"",TEXT(IFERROR(VLOOKUP(T_Convention[[#This Row],[NumL]],T_TraitDi[#Data],COLUMN(T_TraitDi[Nbhheb]),FALSE),""),"[hh]:mm"))</f>
        <v>#N/A</v>
      </c>
      <c r="BL264" s="287" t="str">
        <f>IFERROR(VLOOKUP(VLOOKUP(T_Convention[[#This Row],[NumL]],T_TraitDi[#Data],COLUMN(T_TraitDi[Type1]),FALSE),TypeTW,2,FALSE),"")</f>
        <v/>
      </c>
      <c r="BM264" s="288" t="str">
        <f>IFERROR(VLOOKUP(T_Convention[[#This Row],[NumL]],T_TraitDi[#Data],COLUMN(T_TraitDi[Rue1]),FALSE),"")</f>
        <v/>
      </c>
      <c r="BN264" s="289" t="str">
        <f>IFERROR(VLOOKUP(T_Convention[[#This Row],[NumL]],T_TraitDi[#Data],COLUMN(T_TraitDi[CP1]),FALSE),"")</f>
        <v/>
      </c>
      <c r="BO264" s="282" t="str">
        <f>IFERROR(VLOOKUP(T_Convention[[#This Row],[NumL]],T_TraitDi[#Data],COLUMN(T_TraitDi[VILLE1]),FALSE),"")</f>
        <v/>
      </c>
      <c r="BP264" s="290" t="str">
        <f>IFERROR(VLOOKUP(VLOOKUP(T_Convention[[#This Row],[NumL]],T_TraitDi[#Data],COLUMN(T_TraitDi[Type2]),FALSE),TypeTW,2,FALSE),"")</f>
        <v/>
      </c>
      <c r="BQ264" s="182" t="str">
        <f>IFERROR(VLOOKUP(T_Convention[[#This Row],[NumL]],T_TraitDi[#Data],COLUMN(T_TraitDi[Rue2]),FALSE),"")</f>
        <v/>
      </c>
      <c r="BR264" s="173" t="str">
        <f>IFERROR(VLOOKUP(T_Convention[[#This Row],[NumL]],T_TraitDi[#Data],COLUMN(T_TraitDi[CP2]),FALSE),"")</f>
        <v/>
      </c>
      <c r="BS264" s="173" t="str">
        <f>IFERROR(VLOOKUP(T_Convention[[#This Row],[NumL]],T_TraitDi[#Data],COLUMN(T_TraitDi[VILLE2]),FALSE),"")</f>
        <v/>
      </c>
      <c r="BT264"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64" s="166" t="str">
        <f>IFERROR(IF(VLOOKUP(T_Convention[[#This Row],[NumL]],T_TraitDi[#Data],COLUMN(T_TraitDi[Plan]),FALSE)="OK","Un planning spécifique de télétravail est annexé à la présente convention.",""),"")</f>
        <v/>
      </c>
      <c r="BV264" s="270"/>
      <c r="BW264" s="164" t="e">
        <f>IF(VLOOKUP(T_Convention[[#This Row],[NumL]],T_suiviDi[#Data],COLUMN(T_suiviDi[Entité]),FALSE)="","",VLOOKUP(T_Convention[[#This Row],[NumL]],T_suiviDi[#Data],COLUMN(T_suiviDi[Entité]),FALSE))</f>
        <v>#N/A</v>
      </c>
      <c r="BX264" s="164" t="str">
        <f>IF(VLOOKUP(T_Convention[[#This Row],[NumL]],T_Commission[#Data],COLUMN(T_Commission[envoi confirm TW]),FALSE)="","",VLOOKUP(T_Convention[[#This Row],[NumL]],T_Commission[#Data],COLUMN(T_Commission[envoi confirm TW]),FALSE))</f>
        <v>Oui</v>
      </c>
      <c r="BY26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4" s="264">
        <f>VLOOKUP(T_Convention[[#This Row],[NumL]],T_Commission[#Data],COLUMN(T_Commission[Commentaire]),FALSE)</f>
        <v>0</v>
      </c>
      <c r="CA264" s="254" t="str">
        <f>IF(VLOOKUP(T_Convention[[#This Row],[NumL]],T_Commission[#Data],COLUMN(T_Commission[Encadrant Email]),FALSE)="","",VLOOKUP(T_Convention[[#This Row],[NumL]],T_Commission[#Data],COLUMN(T_Commission[Encadrant Email]),FALSE))</f>
        <v/>
      </c>
      <c r="CB264" s="353" t="e">
        <f>VLOOKUP(T_Convention[[#This Row],[NumL]],T_TraitDi[#Data],COLUMN(T_TraitDi[NbJTot]),FALSE)</f>
        <v>#N/A</v>
      </c>
      <c r="CC264" s="353" t="e">
        <f>VLOOKUP(T_Convention[[#This Row],[NumL]],T_TraitDi[#Data],COLUMN(T_TraitDi[Reg Ponct]),FALSE)</f>
        <v>#N/A</v>
      </c>
      <c r="CD264" s="348" t="str">
        <f>IF(T_Convention[[#This Row],[Final]]&lt;&gt;"",VLOOKUP(T_Convention[[#This Row],[NumL]],T_suiviDi[#Data],COLUMN((T_suiviDi[Statut])),FALSE),"")</f>
        <v/>
      </c>
    </row>
    <row r="265" spans="1:82" s="106" customFormat="1" ht="18.75" customHeight="1" x14ac:dyDescent="0.25">
      <c r="A265" s="160">
        <v>25</v>
      </c>
      <c r="B265" s="161" t="str">
        <f>VLOOKUP(T_Convention[[#This Row],[NumL]],T_Commission[#Data],COLUMN(T_Commission[FINAL]),FALSE)</f>
        <v/>
      </c>
      <c r="C265" s="162"/>
      <c r="D265" s="95" t="e">
        <f>IF(VLOOKUP(T_Convention[[#This Row],[NumL]],T_TraitDi[#Data],COLUMN(T_TraitDi[WebC]),FALSE)="","",VLOOKUP(T_Convention[[#This Row],[NumL]],T_TraitDi[#Data],COLUMN(T_TraitDi[WebC]),FALSE))</f>
        <v>#N/A</v>
      </c>
      <c r="E265" s="163" t="str">
        <f t="shared" si="20"/>
        <v>12 janvier 2021</v>
      </c>
      <c r="F265" s="282" t="str">
        <f>IF(T_Convention[[#This Row],[Final]]&lt;&gt;"",VLOOKUP(T_Convention[[#This Row],[NumL]],T_suiviDi[#Data],COLUMN((T_suiviDi[Civ.])),FALSE),"")</f>
        <v/>
      </c>
      <c r="G265" s="283" t="str">
        <f>IF(T_Convention[[#This Row],[Final]]&lt;&gt;"",VLOOKUP(T_Convention[[#This Row],[NumL]],T_suiviDi[#Data],COLUMN((T_suiviDi[Nom])),FALSE),"")</f>
        <v/>
      </c>
      <c r="H265" s="282" t="str">
        <f>IF(T_Convention[[#This Row],[Final]]&lt;&gt;"",VLOOKUP(T_Convention[[#This Row],[NumL]],T_suiviDi[#Data],COLUMN((T_suiviDi[Prénom])),FALSE),"")</f>
        <v/>
      </c>
      <c r="I265" s="282" t="e">
        <f>VLOOKUP(T_Convention[[#This Row],[NumL]],T_suiviDi[#Data],COLUMN((T_suiviDi[[#This Row],[Email]])),FALSE)</f>
        <v>#VALUE!</v>
      </c>
      <c r="J265" s="282" t="e">
        <f>IF(VLOOKUP(T_Convention[[#This Row],[NumL]],T_suiviDi[#Data],COLUMN(T_suiviDi[[#This Row],[Fonction]]),FALSE)="","",VLOOKUP(T_Convention[[#This Row],[NumL]],T_suiviDi[#Data],COLUMN(T_suiviDi[[#This Row],[Fonction]]),FALSE))</f>
        <v>#VALUE!</v>
      </c>
      <c r="K265" s="282" t="e">
        <f>IF(VLOOKUP(T_Convention[[#This Row],[NumL]],T_suiviDi[#Data],COLUMN(T_suiviDi[[#This Row],[Grade]]),FALSE)="","",VLOOKUP(T_Convention[[#This Row],[NumL]],T_suiviDi[#Data],COLUMN(T_suiviDi[[#This Row],[Grade]]),FALSE))</f>
        <v>#VALUE!</v>
      </c>
      <c r="L265" s="282" t="e">
        <f>IF(VLOOKUP(T_Convention[[#This Row],[NumL]],T_suiviDi[#Data],COLUMN(T_suiviDi[[#This Row],[Service ]]),FALSE)="","",VLOOKUP(T_Convention[[#This Row],[NumL]],T_suiviDi[#Data],COLUMN(T_suiviDi[[#This Row],[Service ]]),FALSE))</f>
        <v>#VALUE!</v>
      </c>
      <c r="M265" s="164" t="str">
        <f t="shared" si="21"/>
        <v>01 septembre 2021</v>
      </c>
      <c r="N265" s="164" t="str">
        <f t="shared" si="22"/>
        <v>30 novembre 2021</v>
      </c>
      <c r="O265" s="284" t="str">
        <f t="shared" si="23"/>
        <v>30 novembre 2021</v>
      </c>
      <c r="P265" s="282" t="e">
        <f>IF(VLOOKUP(T_Convention[[#This Row],[NumL]],T_TraitDi[#Data],COLUMN(T_TraitDi[M1]),FALSE)="","",VLOOKUP(T_Convention[[#This Row],[NumL]],T_TraitDi[#Data],COLUMN(T_TraitDi[M1]),FALSE))</f>
        <v>#N/A</v>
      </c>
      <c r="Q265" s="282" t="e">
        <f>IF(VLOOKUP(T_Convention[[#This Row],[NumL]],T_TraitDi[#Data],COLUMN(T_TraitDi[M2]),FALSE)="","",VLOOKUP(T_Convention[[#This Row],[NumL]],T_TraitDi[#Data],COLUMN(T_TraitDi[M2]),FALSE))</f>
        <v>#N/A</v>
      </c>
      <c r="R265" s="282" t="e">
        <f>IF(VLOOKUP(T_Convention[[#This Row],[NumL]],T_TraitDi[#Data],COLUMN(T_TraitDi[M3]),FALSE)="","",VLOOKUP(T_Convention[[#This Row],[NumL]],T_TraitDi[#Data],COLUMN(T_TraitDi[M3]),FALSE))</f>
        <v>#N/A</v>
      </c>
      <c r="S265" s="282" t="e">
        <f>IF(VLOOKUP(T_Convention[[#This Row],[NumL]],T_TraitDi[#Data],COLUMN(T_TraitDi[M4]),FALSE)="","",VLOOKUP(T_Convention[[#This Row],[NumL]],T_TraitDi[#Data],COLUMN(T_TraitDi[M4]),FALSE))</f>
        <v>#N/A</v>
      </c>
      <c r="T265" s="282" t="e">
        <f>IF(VLOOKUP(T_Convention[[#This Row],[NumL]],T_TraitDi[#Data],COLUMN(T_TraitDi[M5]),FALSE)="","",VLOOKUP(T_Convention[[#This Row],[NumL]],T_TraitDi[#Data],COLUMN(T_TraitDi[M5]),FALSE))</f>
        <v>#N/A</v>
      </c>
      <c r="U265" s="282" t="e">
        <f>IF(VLOOKUP(T_Convention[[#This Row],[NumL]],T_TraitDi[#Data],COLUMN(T_TraitDi[M6]),FALSE)="","",VLOOKUP(T_Convention[[#This Row],[NumL]],T_TraitDi[#Data],COLUMN(T_TraitDi[M6]),FALSE))</f>
        <v>#N/A</v>
      </c>
      <c r="V265" s="176" t="e">
        <f t="shared" si="24"/>
        <v>#N/A</v>
      </c>
      <c r="W265" s="284" t="str">
        <f>IFERROR(TEXT(VLOOKUP(T_Convention[[#This Row],[NumL]],T_TraitDi[#Data],COLUMN(T_TraitDi[Q2]),FALSE),"###%"),"")</f>
        <v/>
      </c>
      <c r="X265" s="97" t="e">
        <f>VLOOKUP(T_Convention[[#This Row],[NumL]],T_TraitDi[#Data],COLUMN(T_TraitDi[Reg Ponct]),FALSE)</f>
        <v>#N/A</v>
      </c>
      <c r="Y265" s="97" t="e">
        <f>VLOOKUP(T_Convention[NumL],T_TraitDi[#Data],COLUMN(T_TraitDi[Jours flottants]),FALSE)</f>
        <v>#N/A</v>
      </c>
      <c r="Z265" s="284" t="str">
        <f>IFERROR(VLOOKUP(T_Convention[[#This Row],[NumL]],T_TraitDi[#Data],COLUMN(T_TraitDi[Lundi]),FALSE),"")</f>
        <v/>
      </c>
      <c r="AA265" s="284" t="e">
        <f>IF(VLOOKUP(T_Convention[[#This Row],[NumL]],T_TraitDi[#Data],COLUMN(T_TraitDi[Colonne3]),FALSE)=0,"",TEXT(IFERROR(VLOOKUP(T_Convention[[#This Row],[NumL]],T_TraitDi[#Data],COLUMN(T_TraitDi[Colonne3]),FALSE),""),"[hh]:mm"))</f>
        <v>#N/A</v>
      </c>
      <c r="AB265" s="284" t="e">
        <f>IF(VLOOKUP(T_Convention[[#This Row],[NumL]],T_TraitDi[#Data],COLUMN(T_TraitDi[Colonne4]),FALSE)=0,"",TEXT(IFERROR(VLOOKUP(T_Convention[[#This Row],[NumL]],T_TraitDi[#Data],COLUMN(T_TraitDi[Colonne4]),FALSE),""),"[hh]:mm"))</f>
        <v>#N/A</v>
      </c>
      <c r="AC265" s="284" t="e">
        <f>IF(VLOOKUP(T_Convention[[#This Row],[NumL]],T_TraitDi[#Data],COLUMN(T_TraitDi[Colonne5]),FALSE)=0,"",TEXT(IFERROR(VLOOKUP(T_Convention[[#This Row],[NumL]],T_TraitDi[#Data],COLUMN(T_TraitDi[Colonne5]),FALSE),""),"[hh]:mm"))</f>
        <v>#N/A</v>
      </c>
      <c r="AD265" s="284" t="e">
        <f>IF(VLOOKUP(T_Convention[[#This Row],[NumL]],T_TraitDi[#Data],COLUMN(T_TraitDi[Colonne6]),FALSE)=0,"",TEXT(IFERROR(VLOOKUP(T_Convention[[#This Row],[NumL]],T_TraitDi[#Data],COLUMN(T_TraitDi[Colonne6]),FALSE),""),"[hh]:mm"))</f>
        <v>#N/A</v>
      </c>
      <c r="AE265" s="284" t="e">
        <f>IF(VLOOKUP(T_Convention[[#This Row],[NumL]],T_TraitDi[#Data],COLUMN(T_TraitDi[Colonne7]),FALSE)=0,"",TEXT(IFERROR(VLOOKUP(T_Convention[[#This Row],[NumL]],T_TraitDi[#Data],COLUMN(T_TraitDi[Colonne7]),FALSE),""),"[hh]:mm"))</f>
        <v>#N/A</v>
      </c>
      <c r="AF265" s="284" t="e">
        <f>IF(VLOOKUP(T_Convention[[#This Row],[NumL]],T_TraitDi[#Data],COLUMN(T_TraitDi[Colonne8]),FALSE)=0,"",TEXT(IFERROR(VLOOKUP(T_Convention[[#This Row],[NumL]],T_TraitDi[#Data],COLUMN(T_TraitDi[Colonne8]),FALSE),""),"[hh]:mm"))</f>
        <v>#N/A</v>
      </c>
      <c r="AG265" s="284" t="str">
        <f>IFERROR(VLOOKUP(T_Convention[[#This Row],[NumL]],T_TraitDi[#Data],COLUMN(T_TraitDi[Mardi]),FALSE),"")</f>
        <v/>
      </c>
      <c r="AH265" s="284" t="e">
        <f>IF(VLOOKUP(T_Convention[[#This Row],[NumL]],T_TraitDi[#Data],COLUMN(T_TraitDi[Colonne1]),FALSE)=0,"",TEXT(IFERROR(VLOOKUP(T_Convention[[#This Row],[NumL]],T_TraitDi[#Data],COLUMN(T_TraitDi[Colonne1]),FALSE),""),"[hh]:mm"))</f>
        <v>#N/A</v>
      </c>
      <c r="AI265" s="284" t="e">
        <f>IF(VLOOKUP(T_Convention[[#This Row],[NumL]],T_TraitDi[#Data],COLUMN(T_TraitDi[Colonne9]),FALSE)=0,"",TEXT(IFERROR(VLOOKUP(T_Convention[[#This Row],[NumL]],T_TraitDi[#Data],COLUMN(T_TraitDi[Colonne9]),FALSE),""),"[hh]:mm"))</f>
        <v>#N/A</v>
      </c>
      <c r="AJ265" s="284" t="str">
        <f>IFERROR(VLOOKUP(T_Convention[[#This Row],[NumL]],T_TraitDi[#Data],COLUMN(T_TraitDi[Colonne10]),FALSE),"")</f>
        <v/>
      </c>
      <c r="AK265" s="284" t="e">
        <f>IF(VLOOKUP(T_Convention[[#This Row],[NumL]],T_TraitDi[#Data],COLUMN(T_TraitDi[Colonne11]),FALSE)=0,"",TEXT(IFERROR(VLOOKUP(T_Convention[[#This Row],[NumL]],T_TraitDi[#Data],COLUMN(T_TraitDi[Colonne11]),FALSE),""),"[hh]:mm"))</f>
        <v>#N/A</v>
      </c>
      <c r="AL265" s="284" t="e">
        <f>IF(VLOOKUP(T_Convention[[#This Row],[NumL]],T_TraitDi[#Data],COLUMN(T_TraitDi[Colonne12]),FALSE)=0,"",TEXT(IFERROR(VLOOKUP(T_Convention[[#This Row],[NumL]],T_TraitDi[#Data],COLUMN(T_TraitDi[Colonne12]),FALSE),""),"[hh]:mm"))</f>
        <v>#N/A</v>
      </c>
      <c r="AM265" s="284" t="e">
        <f>IF(VLOOKUP(T_Convention[[#This Row],[NumL]],T_TraitDi[#Data],COLUMN(T_TraitDi[Colonne14]),FALSE)=0,"",TEXT(IFERROR(VLOOKUP(T_Convention[[#This Row],[NumL]],T_TraitDi[#Data],COLUMN(T_TraitDi[Colonne14]),FALSE),""),"[hh]:mm"))</f>
        <v>#N/A</v>
      </c>
      <c r="AN265" s="284" t="str">
        <f>IFERROR(VLOOKUP(T_Convention[[#This Row],[NumL]],T_TraitDi[#Data],COLUMN(T_TraitDi[Mercredi]),FALSE),"")</f>
        <v/>
      </c>
      <c r="AO265" s="284" t="e">
        <f>IF(VLOOKUP(T_Convention[[#This Row],[NumL]],T_TraitDi[#Data],COLUMN(T_TraitDi[Colonne15]),FALSE)=0,"",TEXT(IFERROR(VLOOKUP(T_Convention[[#This Row],[NumL]],T_TraitDi[#Data],COLUMN(T_TraitDi[Colonne15]),FALSE),""),"[hh]:mm"))</f>
        <v>#N/A</v>
      </c>
      <c r="AP265" s="284" t="e">
        <f>IF(VLOOKUP(T_Convention[[#This Row],[NumL]],T_TraitDi[#Data],COLUMN(T_TraitDi[Colonne16]),FALSE)=0,"",TEXT(IFERROR(VLOOKUP(T_Convention[[#This Row],[NumL]],T_TraitDi[#Data],COLUMN(T_TraitDi[Colonne16]),FALSE),""),"[hh]:mm"))</f>
        <v>#N/A</v>
      </c>
      <c r="AQ265" s="284" t="str">
        <f>IFERROR(VLOOKUP(T_Convention[[#This Row],[NumL]],T_TraitDi[#Data],COLUMN(T_TraitDi[Colonne17]),FALSE),"")</f>
        <v/>
      </c>
      <c r="AR265" s="284" t="e">
        <f>IF(VLOOKUP(T_Convention[[#This Row],[NumL]],T_TraitDi[#Data],COLUMN(T_TraitDi[Colonne18]),FALSE)=0,"",TEXT(IFERROR(VLOOKUP(T_Convention[[#This Row],[NumL]],T_TraitDi[#Data],COLUMN(T_TraitDi[Colonne18]),FALSE),""),"[hh]:mm"))</f>
        <v>#N/A</v>
      </c>
      <c r="AS265" s="284" t="e">
        <f>IF(VLOOKUP(T_Convention[[#This Row],[NumL]],T_TraitDi[#Data],COLUMN(T_TraitDi[Colonne19]),FALSE)=0,"",TEXT(IFERROR(VLOOKUP(T_Convention[[#This Row],[NumL]],T_TraitDi[#Data],COLUMN(T_TraitDi[Colonne19]),FALSE),""),"[hh]:mm"))</f>
        <v>#N/A</v>
      </c>
      <c r="AT265" s="284" t="e">
        <f>IF(VLOOKUP(T_Convention[[#This Row],[NumL]],T_TraitDi[#Data],COLUMN(T_TraitDi[Colonne20]),FALSE)=0,"",TEXT(IFERROR(VLOOKUP(T_Convention[[#This Row],[NumL]],T_TraitDi[#Data],COLUMN(T_TraitDi[Colonne20]),FALSE),""),"[hh]:mm"))</f>
        <v>#N/A</v>
      </c>
      <c r="AU265" s="284" t="str">
        <f>IFERROR(VLOOKUP(T_Convention[[#This Row],[NumL]],T_TraitDi[#Data],COLUMN(T_TraitDi[Jeudi]),FALSE),"")</f>
        <v/>
      </c>
      <c r="AV265" s="284" t="e">
        <f>IF(VLOOKUP(T_Convention[[#This Row],[NumL]],T_TraitDi[#Data],COLUMN(T_TraitDi[Colonne21]),FALSE)=0,"",TEXT(IFERROR(VLOOKUP(T_Convention[[#This Row],[NumL]],T_TraitDi[#Data],COLUMN(T_TraitDi[Colonne21]),FALSE),""),"[hh]:mm"))</f>
        <v>#N/A</v>
      </c>
      <c r="AW265" s="284" t="e">
        <f>IF(VLOOKUP(T_Convention[[#This Row],[NumL]],T_TraitDi[#Data],COLUMN(T_TraitDi[Colonne22]),FALSE)=0,"",TEXT(IFERROR(VLOOKUP(T_Convention[[#This Row],[NumL]],T_TraitDi[#Data],COLUMN(T_TraitDi[Colonne22]),FALSE),""),"[hh]:mm"))</f>
        <v>#N/A</v>
      </c>
      <c r="AX265" s="284" t="str">
        <f>IFERROR(VLOOKUP(T_Convention[[#This Row],[NumL]],T_TraitDi[#Data],COLUMN(T_TraitDi[Colonne23]),FALSE),"")</f>
        <v/>
      </c>
      <c r="AY265" s="284" t="e">
        <f>IF(VLOOKUP(T_Convention[[#This Row],[NumL]],T_TraitDi[#Data],COLUMN(T_TraitDi[Colonne24]),FALSE)=0,"",TEXT(IFERROR(VLOOKUP(T_Convention[[#This Row],[NumL]],T_TraitDi[#Data],COLUMN(T_TraitDi[Colonne24]),FALSE),""),"[hh]:mm"))</f>
        <v>#N/A</v>
      </c>
      <c r="AZ265" s="284" t="e">
        <f>IF(VLOOKUP(T_Convention[[#This Row],[NumL]],T_TraitDi[#Data],COLUMN(T_TraitDi[Colonne25]),FALSE)=0,"",TEXT(IFERROR(VLOOKUP(T_Convention[[#This Row],[NumL]],T_TraitDi[#Data],COLUMN(T_TraitDi[Colonne25]),FALSE),""),"[hh]:mm"))</f>
        <v>#N/A</v>
      </c>
      <c r="BA265" s="284" t="e">
        <f>IF(VLOOKUP(T_Convention[[#This Row],[NumL]],T_TraitDi[#Data],COLUMN(T_TraitDi[Colonne26]),FALSE)=0,"",TEXT(IFERROR(VLOOKUP(T_Convention[[#This Row],[NumL]],T_TraitDi[#Data],COLUMN(T_TraitDi[Colonne26]),FALSE),""),"[hh]:mm"))</f>
        <v>#N/A</v>
      </c>
      <c r="BB265" s="284" t="str">
        <f>IFERROR(VLOOKUP(T_Convention[[#This Row],[NumL]],T_TraitDi[#Data],COLUMN(T_TraitDi[Vendredi]),FALSE),"")</f>
        <v/>
      </c>
      <c r="BC265" s="284" t="e">
        <f>IF(VLOOKUP(T_Convention[[#This Row],[NumL]],T_TraitDi[#Data],COLUMN(T_TraitDi[Colonne27]),FALSE)=0,"",TEXT(IFERROR(VLOOKUP(T_Convention[[#This Row],[NumL]],T_TraitDi[#Data],COLUMN(T_TraitDi[Colonne27]),FALSE),""),"[hh]:mm"))</f>
        <v>#N/A</v>
      </c>
      <c r="BD265" s="284" t="e">
        <f>IF(VLOOKUP(T_Convention[[#This Row],[NumL]],T_TraitDi[#Data],COLUMN(T_TraitDi[Colonne28]),FALSE)=0,"",TEXT(IFERROR(VLOOKUP(T_Convention[[#This Row],[NumL]],T_TraitDi[#Data],COLUMN(T_TraitDi[Colonne28]),FALSE),""),"[hh]:mm"))</f>
        <v>#N/A</v>
      </c>
      <c r="BE265" s="284" t="str">
        <f>IFERROR(VLOOKUP(T_Convention[[#This Row],[NumL]],T_TraitDi[#Data],COLUMN(T_TraitDi[Colonne29]),FALSE),"")</f>
        <v/>
      </c>
      <c r="BF265" s="284" t="e">
        <f>IF(VLOOKUP(T_Convention[[#This Row],[NumL]],T_TraitDi[#Data],COLUMN(T_TraitDi[Colonne30]),FALSE)=0,"",TEXT(IFERROR(VLOOKUP(T_Convention[[#This Row],[NumL]],T_TraitDi[#Data],COLUMN(T_TraitDi[Colonne30]),FALSE),""),"[hh]:mm"))</f>
        <v>#N/A</v>
      </c>
      <c r="BG265" s="284" t="e">
        <f>IF(VLOOKUP(T_Convention[[#This Row],[NumL]],T_TraitDi[#Data],COLUMN(T_TraitDi[Colonne31]),FALSE)=0,"",TEXT(IFERROR(VLOOKUP(T_Convention[[#This Row],[NumL]],T_TraitDi[#Data],COLUMN(T_TraitDi[Colonne31]),FALSE),""),"[hh]:mm"))</f>
        <v>#N/A</v>
      </c>
      <c r="BH265" s="284" t="e">
        <f>IF(VLOOKUP(T_Convention[[#This Row],[NumL]],T_TraitDi[#Data],COLUMN(T_TraitDi[Colonne32]),FALSE)=0,"",TEXT(IFERROR(VLOOKUP(T_Convention[[#This Row],[NumL]],T_TraitDi[#Data],COLUMN(T_TraitDi[Colonne32]),FALSE),""),"[hh]:mm"))</f>
        <v>#N/A</v>
      </c>
      <c r="BI265" s="284" t="str">
        <f>IFERROR(VLOOKUP(T_Convention[[#This Row],[NumL]],T_TraitDi[#Data],COLUMN(T_TraitDi[NbJTW]),FALSE),"")</f>
        <v/>
      </c>
      <c r="BJ265" s="284" t="e">
        <f>IF(VLOOKUP(T_Convention[[#This Row],[NumL]],T_TraitDi[#Data],COLUMN(T_TraitDi[NbhTW]),FALSE)=0,"",TEXT(IFERROR(VLOOKUP(T_Convention[[#This Row],[NumL]],T_TraitDi[#Data],COLUMN(T_TraitDi[NbhTW]),FALSE),""),"[hh]:mm"))</f>
        <v>#N/A</v>
      </c>
      <c r="BK265" s="286" t="e">
        <f>IF(VLOOKUP(T_Convention[[#This Row],[NumL]],T_TraitDi[#Data],COLUMN(T_TraitDi[Nbhheb]),FALSE)=0,"",TEXT(IFERROR(VLOOKUP(T_Convention[[#This Row],[NumL]],T_TraitDi[#Data],COLUMN(T_TraitDi[Nbhheb]),FALSE),""),"[hh]:mm"))</f>
        <v>#N/A</v>
      </c>
      <c r="BL265" s="287" t="str">
        <f>IFERROR(VLOOKUP(VLOOKUP(T_Convention[[#This Row],[NumL]],T_TraitDi[#Data],COLUMN(T_TraitDi[Type1]),FALSE),TypeTW,2,FALSE),"")</f>
        <v/>
      </c>
      <c r="BM265" s="288" t="str">
        <f>IFERROR(VLOOKUP(T_Convention[[#This Row],[NumL]],T_TraitDi[#Data],COLUMN(T_TraitDi[Rue1]),FALSE),"")</f>
        <v/>
      </c>
      <c r="BN265" s="289" t="str">
        <f>IFERROR(VLOOKUP(T_Convention[[#This Row],[NumL]],T_TraitDi[#Data],COLUMN(T_TraitDi[CP1]),FALSE),"")</f>
        <v/>
      </c>
      <c r="BO265" s="282" t="str">
        <f>IFERROR(VLOOKUP(T_Convention[[#This Row],[NumL]],T_TraitDi[#Data],COLUMN(T_TraitDi[VILLE1]),FALSE),"")</f>
        <v/>
      </c>
      <c r="BP265" s="290" t="str">
        <f>IFERROR(VLOOKUP(VLOOKUP(T_Convention[[#This Row],[NumL]],T_TraitDi[#Data],COLUMN(T_TraitDi[Type2]),FALSE),TypeTW,2,FALSE),"")</f>
        <v/>
      </c>
      <c r="BQ265" s="182" t="str">
        <f>IFERROR(VLOOKUP(T_Convention[[#This Row],[NumL]],T_TraitDi[#Data],COLUMN(T_TraitDi[Rue2]),FALSE),"")</f>
        <v/>
      </c>
      <c r="BR265" s="173" t="str">
        <f>IFERROR(VLOOKUP(T_Convention[[#This Row],[NumL]],T_TraitDi[#Data],COLUMN(T_TraitDi[CP2]),FALSE),"")</f>
        <v/>
      </c>
      <c r="BS265" s="173" t="str">
        <f>IFERROR(VLOOKUP(T_Convention[[#This Row],[NumL]],T_TraitDi[#Data],COLUMN(T_TraitDi[VILLE2]),FALSE),"")</f>
        <v/>
      </c>
      <c r="BT265" s="182" t="str">
        <f>IF(VLOOKUP(T_Convention[[#This Row],[NumL]],T_Equipement[#Data],COLUMN(T_Equipement[PC]),FALSE)="","Aucun équipement spécifique directement lié au télétravail",VLOOKUP(T_Convention[[#This Row],[NumL]],T_Equipement[#Data],COLUMN(T_Equipement[PC]),FALSE))</f>
        <v xml:space="preserve">18-022	</v>
      </c>
      <c r="BU265" s="166" t="str">
        <f>IFERROR(IF(VLOOKUP(T_Convention[[#This Row],[NumL]],T_TraitDi[#Data],COLUMN(T_TraitDi[Plan]),FALSE)="OK","Un planning spécifique de télétravail est annexé à la présente convention.",""),"")</f>
        <v/>
      </c>
      <c r="BV265" s="185" t="s">
        <v>3328</v>
      </c>
      <c r="BW265" s="164" t="e">
        <f>IF(VLOOKUP(T_Convention[[#This Row],[NumL]],T_suiviDi[#Data],COLUMN(T_suiviDi[Entité]),FALSE)="","",VLOOKUP(T_Convention[[#This Row],[NumL]],T_suiviDi[#Data],COLUMN(T_suiviDi[Entité]),FALSE))</f>
        <v>#N/A</v>
      </c>
      <c r="BX265" s="164" t="str">
        <f>IF(VLOOKUP(T_Convention[[#This Row],[NumL]],T_Commission[#Data],COLUMN(T_Commission[envoi confirm TW]),FALSE)="","",VLOOKUP(T_Convention[[#This Row],[NumL]],T_Commission[#Data],COLUMN(T_Commission[envoi confirm TW]),FALSE))</f>
        <v>Oui</v>
      </c>
      <c r="BY26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5" s="264">
        <f>VLOOKUP(T_Convention[[#This Row],[NumL]],T_Commission[#Data],COLUMN(T_Commission[Commentaire]),FALSE)</f>
        <v>0</v>
      </c>
      <c r="CA265" s="254" t="str">
        <f>IF(VLOOKUP(T_Convention[[#This Row],[NumL]],T_Commission[#Data],COLUMN(T_Commission[Encadrant Email]),FALSE)="","",VLOOKUP(T_Convention[[#This Row],[NumL]],T_Commission[#Data],COLUMN(T_Commission[Encadrant Email]),FALSE))</f>
        <v/>
      </c>
      <c r="CB265" s="353" t="e">
        <f>VLOOKUP(T_Convention[[#This Row],[NumL]],T_TraitDi[#Data],COLUMN(T_TraitDi[NbJTot]),FALSE)</f>
        <v>#N/A</v>
      </c>
      <c r="CC265" s="353" t="e">
        <f>VLOOKUP(T_Convention[[#This Row],[NumL]],T_TraitDi[#Data],COLUMN(T_TraitDi[Reg Ponct]),FALSE)</f>
        <v>#N/A</v>
      </c>
      <c r="CD265" s="348" t="str">
        <f>IF(T_Convention[[#This Row],[Final]]&lt;&gt;"",VLOOKUP(T_Convention[[#This Row],[NumL]],T_suiviDi[#Data],COLUMN((T_suiviDi[Statut])),FALSE),"")</f>
        <v/>
      </c>
    </row>
    <row r="266" spans="1:82" s="106" customFormat="1" ht="18.75" customHeight="1" x14ac:dyDescent="0.25">
      <c r="A266" s="160">
        <v>180</v>
      </c>
      <c r="B266" s="161" t="str">
        <f>VLOOKUP(T_Convention[[#This Row],[NumL]],T_Commission[#Data],COLUMN(T_Commission[FINAL]),FALSE)</f>
        <v/>
      </c>
      <c r="C266" s="162"/>
      <c r="D266" s="95" t="e">
        <f>IF(VLOOKUP(T_Convention[[#This Row],[NumL]],T_TraitDi[#Data],COLUMN(T_TraitDi[WebC]),FALSE)="","",VLOOKUP(T_Convention[[#This Row],[NumL]],T_TraitDi[#Data],COLUMN(T_TraitDi[WebC]),FALSE))</f>
        <v>#N/A</v>
      </c>
      <c r="E266" s="163" t="str">
        <f t="shared" si="20"/>
        <v>12 janvier 2021</v>
      </c>
      <c r="F266" s="282" t="str">
        <f>IF(T_Convention[[#This Row],[Final]]&lt;&gt;"",VLOOKUP(T_Convention[[#This Row],[NumL]],T_suiviDi[#Data],COLUMN((T_suiviDi[Civ.])),FALSE),"")</f>
        <v/>
      </c>
      <c r="G266" s="283" t="str">
        <f>IF(T_Convention[[#This Row],[Final]]&lt;&gt;"",VLOOKUP(T_Convention[[#This Row],[NumL]],T_suiviDi[#Data],COLUMN((T_suiviDi[Nom])),FALSE),"")</f>
        <v/>
      </c>
      <c r="H266" s="282" t="str">
        <f>IF(T_Convention[[#This Row],[Final]]&lt;&gt;"",VLOOKUP(T_Convention[[#This Row],[NumL]],T_suiviDi[#Data],COLUMN((T_suiviDi[Prénom])),FALSE),"")</f>
        <v/>
      </c>
      <c r="I266" s="282" t="e">
        <f>VLOOKUP(T_Convention[[#This Row],[NumL]],T_suiviDi[#Data],COLUMN((T_suiviDi[[#This Row],[Email]])),FALSE)</f>
        <v>#VALUE!</v>
      </c>
      <c r="J266" s="282" t="e">
        <f>IF(VLOOKUP(T_Convention[[#This Row],[NumL]],T_suiviDi[#Data],COLUMN(T_suiviDi[[#This Row],[Fonction]]),FALSE)="","",VLOOKUP(T_Convention[[#This Row],[NumL]],T_suiviDi[#Data],COLUMN(T_suiviDi[[#This Row],[Fonction]]),FALSE))</f>
        <v>#VALUE!</v>
      </c>
      <c r="K266" s="282" t="e">
        <f>IF(VLOOKUP(T_Convention[[#This Row],[NumL]],T_suiviDi[#Data],COLUMN(T_suiviDi[[#This Row],[Grade]]),FALSE)="","",VLOOKUP(T_Convention[[#This Row],[NumL]],T_suiviDi[#Data],COLUMN(T_suiviDi[[#This Row],[Grade]]),FALSE))</f>
        <v>#VALUE!</v>
      </c>
      <c r="L266" s="282" t="e">
        <f>IF(VLOOKUP(T_Convention[[#This Row],[NumL]],T_suiviDi[#Data],COLUMN(T_suiviDi[[#This Row],[Service ]]),FALSE)="","",VLOOKUP(T_Convention[[#This Row],[NumL]],T_suiviDi[#Data],COLUMN(T_suiviDi[[#This Row],[Service ]]),FALSE))</f>
        <v>#VALUE!</v>
      </c>
      <c r="M266" s="164" t="str">
        <f t="shared" si="21"/>
        <v>01 septembre 2021</v>
      </c>
      <c r="N266" s="164" t="str">
        <f t="shared" si="22"/>
        <v>30 novembre 2021</v>
      </c>
      <c r="O266" s="284" t="str">
        <f t="shared" si="23"/>
        <v>30 novembre 2021</v>
      </c>
      <c r="P266" s="282" t="e">
        <f>IF(VLOOKUP(T_Convention[[#This Row],[NumL]],T_TraitDi[#Data],COLUMN(T_TraitDi[M1]),FALSE)="","",VLOOKUP(T_Convention[[#This Row],[NumL]],T_TraitDi[#Data],COLUMN(T_TraitDi[M1]),FALSE))</f>
        <v>#N/A</v>
      </c>
      <c r="Q266" s="282" t="e">
        <f>IF(VLOOKUP(T_Convention[[#This Row],[NumL]],T_TraitDi[#Data],COLUMN(T_TraitDi[M2]),FALSE)="","",VLOOKUP(T_Convention[[#This Row],[NumL]],T_TraitDi[#Data],COLUMN(T_TraitDi[M2]),FALSE))</f>
        <v>#N/A</v>
      </c>
      <c r="R266" s="282" t="e">
        <f>IF(VLOOKUP(T_Convention[[#This Row],[NumL]],T_TraitDi[#Data],COLUMN(T_TraitDi[M3]),FALSE)="","",VLOOKUP(T_Convention[[#This Row],[NumL]],T_TraitDi[#Data],COLUMN(T_TraitDi[M3]),FALSE))</f>
        <v>#N/A</v>
      </c>
      <c r="S266" s="282" t="e">
        <f>IF(VLOOKUP(T_Convention[[#This Row],[NumL]],T_TraitDi[#Data],COLUMN(T_TraitDi[M4]),FALSE)="","",VLOOKUP(T_Convention[[#This Row],[NumL]],T_TraitDi[#Data],COLUMN(T_TraitDi[M4]),FALSE))</f>
        <v>#N/A</v>
      </c>
      <c r="T266" s="282" t="e">
        <f>IF(VLOOKUP(T_Convention[[#This Row],[NumL]],T_TraitDi[#Data],COLUMN(T_TraitDi[M5]),FALSE)="","",VLOOKUP(T_Convention[[#This Row],[NumL]],T_TraitDi[#Data],COLUMN(T_TraitDi[M5]),FALSE))</f>
        <v>#N/A</v>
      </c>
      <c r="U266" s="282" t="e">
        <f>IF(VLOOKUP(T_Convention[[#This Row],[NumL]],T_TraitDi[#Data],COLUMN(T_TraitDi[M6]),FALSE)="","",VLOOKUP(T_Convention[[#This Row],[NumL]],T_TraitDi[#Data],COLUMN(T_TraitDi[M6]),FALSE))</f>
        <v>#N/A</v>
      </c>
      <c r="V266" s="176" t="e">
        <f t="shared" si="24"/>
        <v>#N/A</v>
      </c>
      <c r="W266" s="284" t="str">
        <f>IFERROR(TEXT(VLOOKUP(T_Convention[[#This Row],[NumL]],T_TraitDi[#Data],COLUMN(T_TraitDi[Q2]),FALSE),"###%"),"")</f>
        <v/>
      </c>
      <c r="X266" s="97" t="e">
        <f>VLOOKUP(T_Convention[[#This Row],[NumL]],T_TraitDi[#Data],COLUMN(T_TraitDi[Reg Ponct]),FALSE)</f>
        <v>#N/A</v>
      </c>
      <c r="Y266" s="97" t="e">
        <f>VLOOKUP(T_Convention[NumL],T_TraitDi[#Data],COLUMN(T_TraitDi[Jours flottants]),FALSE)</f>
        <v>#N/A</v>
      </c>
      <c r="Z266" s="284" t="str">
        <f>IFERROR(VLOOKUP(T_Convention[[#This Row],[NumL]],T_TraitDi[#Data],COLUMN(T_TraitDi[Lundi]),FALSE),"")</f>
        <v/>
      </c>
      <c r="AA266" s="284" t="e">
        <f>IF(VLOOKUP(T_Convention[[#This Row],[NumL]],T_TraitDi[#Data],COLUMN(T_TraitDi[Colonne3]),FALSE)=0,"",TEXT(IFERROR(VLOOKUP(T_Convention[[#This Row],[NumL]],T_TraitDi[#Data],COLUMN(T_TraitDi[Colonne3]),FALSE),""),"[hh]:mm"))</f>
        <v>#N/A</v>
      </c>
      <c r="AB266" s="284" t="e">
        <f>IF(VLOOKUP(T_Convention[[#This Row],[NumL]],T_TraitDi[#Data],COLUMN(T_TraitDi[Colonne4]),FALSE)=0,"",TEXT(IFERROR(VLOOKUP(T_Convention[[#This Row],[NumL]],T_TraitDi[#Data],COLUMN(T_TraitDi[Colonne4]),FALSE),""),"[hh]:mm"))</f>
        <v>#N/A</v>
      </c>
      <c r="AC266" s="284" t="e">
        <f>IF(VLOOKUP(T_Convention[[#This Row],[NumL]],T_TraitDi[#Data],COLUMN(T_TraitDi[Colonne5]),FALSE)=0,"",TEXT(IFERROR(VLOOKUP(T_Convention[[#This Row],[NumL]],T_TraitDi[#Data],COLUMN(T_TraitDi[Colonne5]),FALSE),""),"[hh]:mm"))</f>
        <v>#N/A</v>
      </c>
      <c r="AD266" s="284" t="e">
        <f>IF(VLOOKUP(T_Convention[[#This Row],[NumL]],T_TraitDi[#Data],COLUMN(T_TraitDi[Colonne6]),FALSE)=0,"",TEXT(IFERROR(VLOOKUP(T_Convention[[#This Row],[NumL]],T_TraitDi[#Data],COLUMN(T_TraitDi[Colonne6]),FALSE),""),"[hh]:mm"))</f>
        <v>#N/A</v>
      </c>
      <c r="AE266" s="284" t="e">
        <f>IF(VLOOKUP(T_Convention[[#This Row],[NumL]],T_TraitDi[#Data],COLUMN(T_TraitDi[Colonne7]),FALSE)=0,"",TEXT(IFERROR(VLOOKUP(T_Convention[[#This Row],[NumL]],T_TraitDi[#Data],COLUMN(T_TraitDi[Colonne7]),FALSE),""),"[hh]:mm"))</f>
        <v>#N/A</v>
      </c>
      <c r="AF266" s="284" t="e">
        <f>IF(VLOOKUP(T_Convention[[#This Row],[NumL]],T_TraitDi[#Data],COLUMN(T_TraitDi[Colonne8]),FALSE)=0,"",TEXT(IFERROR(VLOOKUP(T_Convention[[#This Row],[NumL]],T_TraitDi[#Data],COLUMN(T_TraitDi[Colonne8]),FALSE),""),"[hh]:mm"))</f>
        <v>#N/A</v>
      </c>
      <c r="AG266" s="284" t="str">
        <f>IFERROR(VLOOKUP(T_Convention[[#This Row],[NumL]],T_TraitDi[#Data],COLUMN(T_TraitDi[Mardi]),FALSE),"")</f>
        <v/>
      </c>
      <c r="AH266" s="284" t="e">
        <f>IF(VLOOKUP(T_Convention[[#This Row],[NumL]],T_TraitDi[#Data],COLUMN(T_TraitDi[Colonne1]),FALSE)=0,"",TEXT(IFERROR(VLOOKUP(T_Convention[[#This Row],[NumL]],T_TraitDi[#Data],COLUMN(T_TraitDi[Colonne1]),FALSE),""),"[hh]:mm"))</f>
        <v>#N/A</v>
      </c>
      <c r="AI266" s="284" t="e">
        <f>IF(VLOOKUP(T_Convention[[#This Row],[NumL]],T_TraitDi[#Data],COLUMN(T_TraitDi[Colonne9]),FALSE)=0,"",TEXT(IFERROR(VLOOKUP(T_Convention[[#This Row],[NumL]],T_TraitDi[#Data],COLUMN(T_TraitDi[Colonne9]),FALSE),""),"[hh]:mm"))</f>
        <v>#N/A</v>
      </c>
      <c r="AJ266" s="284" t="str">
        <f>IFERROR(VLOOKUP(T_Convention[[#This Row],[NumL]],T_TraitDi[#Data],COLUMN(T_TraitDi[Colonne10]),FALSE),"")</f>
        <v/>
      </c>
      <c r="AK266" s="284" t="e">
        <f>IF(VLOOKUP(T_Convention[[#This Row],[NumL]],T_TraitDi[#Data],COLUMN(T_TraitDi[Colonne11]),FALSE)=0,"",TEXT(IFERROR(VLOOKUP(T_Convention[[#This Row],[NumL]],T_TraitDi[#Data],COLUMN(T_TraitDi[Colonne11]),FALSE),""),"[hh]:mm"))</f>
        <v>#N/A</v>
      </c>
      <c r="AL266" s="284" t="e">
        <f>IF(VLOOKUP(T_Convention[[#This Row],[NumL]],T_TraitDi[#Data],COLUMN(T_TraitDi[Colonne12]),FALSE)=0,"",TEXT(IFERROR(VLOOKUP(T_Convention[[#This Row],[NumL]],T_TraitDi[#Data],COLUMN(T_TraitDi[Colonne12]),FALSE),""),"[hh]:mm"))</f>
        <v>#N/A</v>
      </c>
      <c r="AM266" s="284" t="e">
        <f>IF(VLOOKUP(T_Convention[[#This Row],[NumL]],T_TraitDi[#Data],COLUMN(T_TraitDi[Colonne14]),FALSE)=0,"",TEXT(IFERROR(VLOOKUP(T_Convention[[#This Row],[NumL]],T_TraitDi[#Data],COLUMN(T_TraitDi[Colonne14]),FALSE),""),"[hh]:mm"))</f>
        <v>#N/A</v>
      </c>
      <c r="AN266" s="284" t="str">
        <f>IFERROR(VLOOKUP(T_Convention[[#This Row],[NumL]],T_TraitDi[#Data],COLUMN(T_TraitDi[Mercredi]),FALSE),"")</f>
        <v/>
      </c>
      <c r="AO266" s="284" t="e">
        <f>IF(VLOOKUP(T_Convention[[#This Row],[NumL]],T_TraitDi[#Data],COLUMN(T_TraitDi[Colonne15]),FALSE)=0,"",TEXT(IFERROR(VLOOKUP(T_Convention[[#This Row],[NumL]],T_TraitDi[#Data],COLUMN(T_TraitDi[Colonne15]),FALSE),""),"[hh]:mm"))</f>
        <v>#N/A</v>
      </c>
      <c r="AP266" s="284" t="e">
        <f>IF(VLOOKUP(T_Convention[[#This Row],[NumL]],T_TraitDi[#Data],COLUMN(T_TraitDi[Colonne16]),FALSE)=0,"",TEXT(IFERROR(VLOOKUP(T_Convention[[#This Row],[NumL]],T_TraitDi[#Data],COLUMN(T_TraitDi[Colonne16]),FALSE),""),"[hh]:mm"))</f>
        <v>#N/A</v>
      </c>
      <c r="AQ266" s="284" t="str">
        <f>IFERROR(VLOOKUP(T_Convention[[#This Row],[NumL]],T_TraitDi[#Data],COLUMN(T_TraitDi[Colonne17]),FALSE),"")</f>
        <v/>
      </c>
      <c r="AR266" s="284" t="e">
        <f>IF(VLOOKUP(T_Convention[[#This Row],[NumL]],T_TraitDi[#Data],COLUMN(T_TraitDi[Colonne18]),FALSE)=0,"",TEXT(IFERROR(VLOOKUP(T_Convention[[#This Row],[NumL]],T_TraitDi[#Data],COLUMN(T_TraitDi[Colonne18]),FALSE),""),"[hh]:mm"))</f>
        <v>#N/A</v>
      </c>
      <c r="AS266" s="284" t="e">
        <f>IF(VLOOKUP(T_Convention[[#This Row],[NumL]],T_TraitDi[#Data],COLUMN(T_TraitDi[Colonne19]),FALSE)=0,"",TEXT(IFERROR(VLOOKUP(T_Convention[[#This Row],[NumL]],T_TraitDi[#Data],COLUMN(T_TraitDi[Colonne19]),FALSE),""),"[hh]:mm"))</f>
        <v>#N/A</v>
      </c>
      <c r="AT266" s="284" t="e">
        <f>IF(VLOOKUP(T_Convention[[#This Row],[NumL]],T_TraitDi[#Data],COLUMN(T_TraitDi[Colonne20]),FALSE)=0,"",TEXT(IFERROR(VLOOKUP(T_Convention[[#This Row],[NumL]],T_TraitDi[#Data],COLUMN(T_TraitDi[Colonne20]),FALSE),""),"[hh]:mm"))</f>
        <v>#N/A</v>
      </c>
      <c r="AU266" s="284" t="str">
        <f>IFERROR(VLOOKUP(T_Convention[[#This Row],[NumL]],T_TraitDi[#Data],COLUMN(T_TraitDi[Jeudi]),FALSE),"")</f>
        <v/>
      </c>
      <c r="AV266" s="284" t="e">
        <f>IF(VLOOKUP(T_Convention[[#This Row],[NumL]],T_TraitDi[#Data],COLUMN(T_TraitDi[Colonne21]),FALSE)=0,"",TEXT(IFERROR(VLOOKUP(T_Convention[[#This Row],[NumL]],T_TraitDi[#Data],COLUMN(T_TraitDi[Colonne21]),FALSE),""),"[hh]:mm"))</f>
        <v>#N/A</v>
      </c>
      <c r="AW266" s="284" t="e">
        <f>IF(VLOOKUP(T_Convention[[#This Row],[NumL]],T_TraitDi[#Data],COLUMN(T_TraitDi[Colonne22]),FALSE)=0,"",TEXT(IFERROR(VLOOKUP(T_Convention[[#This Row],[NumL]],T_TraitDi[#Data],COLUMN(T_TraitDi[Colonne22]),FALSE),""),"[hh]:mm"))</f>
        <v>#N/A</v>
      </c>
      <c r="AX266" s="284" t="str">
        <f>IFERROR(VLOOKUP(T_Convention[[#This Row],[NumL]],T_TraitDi[#Data],COLUMN(T_TraitDi[Colonne23]),FALSE),"")</f>
        <v/>
      </c>
      <c r="AY266" s="284" t="e">
        <f>IF(VLOOKUP(T_Convention[[#This Row],[NumL]],T_TraitDi[#Data],COLUMN(T_TraitDi[Colonne24]),FALSE)=0,"",TEXT(IFERROR(VLOOKUP(T_Convention[[#This Row],[NumL]],T_TraitDi[#Data],COLUMN(T_TraitDi[Colonne24]),FALSE),""),"[hh]:mm"))</f>
        <v>#N/A</v>
      </c>
      <c r="AZ266" s="284" t="e">
        <f>IF(VLOOKUP(T_Convention[[#This Row],[NumL]],T_TraitDi[#Data],COLUMN(T_TraitDi[Colonne25]),FALSE)=0,"",TEXT(IFERROR(VLOOKUP(T_Convention[[#This Row],[NumL]],T_TraitDi[#Data],COLUMN(T_TraitDi[Colonne25]),FALSE),""),"[hh]:mm"))</f>
        <v>#N/A</v>
      </c>
      <c r="BA266" s="284" t="e">
        <f>IF(VLOOKUP(T_Convention[[#This Row],[NumL]],T_TraitDi[#Data],COLUMN(T_TraitDi[Colonne26]),FALSE)=0,"",TEXT(IFERROR(VLOOKUP(T_Convention[[#This Row],[NumL]],T_TraitDi[#Data],COLUMN(T_TraitDi[Colonne26]),FALSE),""),"[hh]:mm"))</f>
        <v>#N/A</v>
      </c>
      <c r="BB266" s="284" t="str">
        <f>IFERROR(VLOOKUP(T_Convention[[#This Row],[NumL]],T_TraitDi[#Data],COLUMN(T_TraitDi[Vendredi]),FALSE),"")</f>
        <v/>
      </c>
      <c r="BC266" s="284" t="e">
        <f>IF(VLOOKUP(T_Convention[[#This Row],[NumL]],T_TraitDi[#Data],COLUMN(T_TraitDi[Colonne27]),FALSE)=0,"",TEXT(IFERROR(VLOOKUP(T_Convention[[#This Row],[NumL]],T_TraitDi[#Data],COLUMN(T_TraitDi[Colonne27]),FALSE),""),"[hh]:mm"))</f>
        <v>#N/A</v>
      </c>
      <c r="BD266" s="284" t="e">
        <f>IF(VLOOKUP(T_Convention[[#This Row],[NumL]],T_TraitDi[#Data],COLUMN(T_TraitDi[Colonne28]),FALSE)=0,"",TEXT(IFERROR(VLOOKUP(T_Convention[[#This Row],[NumL]],T_TraitDi[#Data],COLUMN(T_TraitDi[Colonne28]),FALSE),""),"[hh]:mm"))</f>
        <v>#N/A</v>
      </c>
      <c r="BE266" s="284" t="str">
        <f>IFERROR(VLOOKUP(T_Convention[[#This Row],[NumL]],T_TraitDi[#Data],COLUMN(T_TraitDi[Colonne29]),FALSE),"")</f>
        <v/>
      </c>
      <c r="BF266" s="284" t="e">
        <f>IF(VLOOKUP(T_Convention[[#This Row],[NumL]],T_TraitDi[#Data],COLUMN(T_TraitDi[Colonne30]),FALSE)=0,"",TEXT(IFERROR(VLOOKUP(T_Convention[[#This Row],[NumL]],T_TraitDi[#Data],COLUMN(T_TraitDi[Colonne30]),FALSE),""),"[hh]:mm"))</f>
        <v>#N/A</v>
      </c>
      <c r="BG266" s="284" t="e">
        <f>IF(VLOOKUP(T_Convention[[#This Row],[NumL]],T_TraitDi[#Data],COLUMN(T_TraitDi[Colonne31]),FALSE)=0,"",TEXT(IFERROR(VLOOKUP(T_Convention[[#This Row],[NumL]],T_TraitDi[#Data],COLUMN(T_TraitDi[Colonne31]),FALSE),""),"[hh]:mm"))</f>
        <v>#N/A</v>
      </c>
      <c r="BH266" s="284" t="e">
        <f>IF(VLOOKUP(T_Convention[[#This Row],[NumL]],T_TraitDi[#Data],COLUMN(T_TraitDi[Colonne32]),FALSE)=0,"",TEXT(IFERROR(VLOOKUP(T_Convention[[#This Row],[NumL]],T_TraitDi[#Data],COLUMN(T_TraitDi[Colonne32]),FALSE),""),"[hh]:mm"))</f>
        <v>#N/A</v>
      </c>
      <c r="BI266" s="284" t="str">
        <f>IFERROR(VLOOKUP(T_Convention[[#This Row],[NumL]],T_TraitDi[#Data],COLUMN(T_TraitDi[NbJTW]),FALSE),"")</f>
        <v/>
      </c>
      <c r="BJ266" s="284" t="e">
        <f>IF(VLOOKUP(T_Convention[[#This Row],[NumL]],T_TraitDi[#Data],COLUMN(T_TraitDi[NbhTW]),FALSE)=0,"",TEXT(IFERROR(VLOOKUP(T_Convention[[#This Row],[NumL]],T_TraitDi[#Data],COLUMN(T_TraitDi[NbhTW]),FALSE),""),"[hh]:mm"))</f>
        <v>#N/A</v>
      </c>
      <c r="BK266" s="286" t="e">
        <f>IF(VLOOKUP(T_Convention[[#This Row],[NumL]],T_TraitDi[#Data],COLUMN(T_TraitDi[Nbhheb]),FALSE)=0,"",TEXT(IFERROR(VLOOKUP(T_Convention[[#This Row],[NumL]],T_TraitDi[#Data],COLUMN(T_TraitDi[Nbhheb]),FALSE),""),"[hh]:mm"))</f>
        <v>#N/A</v>
      </c>
      <c r="BL266" s="287" t="str">
        <f>IFERROR(VLOOKUP(VLOOKUP(T_Convention[[#This Row],[NumL]],T_TraitDi[#Data],COLUMN(T_TraitDi[Type1]),FALSE),TypeTW,2,FALSE),"")</f>
        <v/>
      </c>
      <c r="BM266" s="288" t="str">
        <f>IFERROR(VLOOKUP(T_Convention[[#This Row],[NumL]],T_TraitDi[#Data],COLUMN(T_TraitDi[Rue1]),FALSE),"")</f>
        <v/>
      </c>
      <c r="BN266" s="289" t="str">
        <f>IFERROR(VLOOKUP(T_Convention[[#This Row],[NumL]],T_TraitDi[#Data],COLUMN(T_TraitDi[CP1]),FALSE),"")</f>
        <v/>
      </c>
      <c r="BO266" s="282" t="str">
        <f>IFERROR(VLOOKUP(T_Convention[[#This Row],[NumL]],T_TraitDi[#Data],COLUMN(T_TraitDi[VILLE1]),FALSE),"")</f>
        <v/>
      </c>
      <c r="BP266" s="290" t="str">
        <f>IFERROR(VLOOKUP(VLOOKUP(T_Convention[[#This Row],[NumL]],T_TraitDi[#Data],COLUMN(T_TraitDi[Type2]),FALSE),TypeTW,2,FALSE),"")</f>
        <v/>
      </c>
      <c r="BQ266" s="182" t="str">
        <f>IFERROR(VLOOKUP(T_Convention[[#This Row],[NumL]],T_TraitDi[#Data],COLUMN(T_TraitDi[Rue2]),FALSE),"")</f>
        <v/>
      </c>
      <c r="BR266" s="173" t="str">
        <f>IFERROR(VLOOKUP(T_Convention[[#This Row],[NumL]],T_TraitDi[#Data],COLUMN(T_TraitDi[CP2]),FALSE),"")</f>
        <v/>
      </c>
      <c r="BS266" s="173" t="str">
        <f>IFERROR(VLOOKUP(T_Convention[[#This Row],[NumL]],T_TraitDi[#Data],COLUMN(T_TraitDi[VILLE2]),FALSE),"")</f>
        <v/>
      </c>
      <c r="BT266" s="182" t="str">
        <f>IF(VLOOKUP(T_Convention[[#This Row],[NumL]],T_Equipement[#Data],COLUMN(T_Equipement[PC]),FALSE)="","Aucun équipement spécifique directement lié au télétravail",VLOOKUP(T_Convention[[#This Row],[NumL]],T_Equipement[#Data],COLUMN(T_Equipement[PC]),FALSE))</f>
        <v>20-256</v>
      </c>
      <c r="BU266" s="166" t="str">
        <f>IFERROR(IF(VLOOKUP(T_Convention[[#This Row],[NumL]],T_TraitDi[#Data],COLUMN(T_TraitDi[Plan]),FALSE)="OK","Un planning spécifique de télétravail est annexé à la présente convention.",""),"")</f>
        <v/>
      </c>
      <c r="BV266" s="185" t="s">
        <v>3387</v>
      </c>
      <c r="BW266" s="164" t="e">
        <f>IF(VLOOKUP(T_Convention[[#This Row],[NumL]],T_suiviDi[#Data],COLUMN(T_suiviDi[Entité]),FALSE)="","",VLOOKUP(T_Convention[[#This Row],[NumL]],T_suiviDi[#Data],COLUMN(T_suiviDi[Entité]),FALSE))</f>
        <v>#N/A</v>
      </c>
      <c r="BX266" s="164" t="str">
        <f>IF(VLOOKUP(T_Convention[[#This Row],[NumL]],T_Commission[#Data],COLUMN(T_Commission[envoi confirm TW]),FALSE)="","",VLOOKUP(T_Convention[[#This Row],[NumL]],T_Commission[#Data],COLUMN(T_Commission[envoi confirm TW]),FALSE))</f>
        <v>Oui</v>
      </c>
      <c r="BY26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6" s="264">
        <f>VLOOKUP(T_Convention[[#This Row],[NumL]],T_Commission[#Data],COLUMN(T_Commission[Commentaire]),FALSE)</f>
        <v>0</v>
      </c>
      <c r="CA266" s="254" t="str">
        <f>IF(VLOOKUP(T_Convention[[#This Row],[NumL]],T_Commission[#Data],COLUMN(T_Commission[Encadrant Email]),FALSE)="","",VLOOKUP(T_Convention[[#This Row],[NumL]],T_Commission[#Data],COLUMN(T_Commission[Encadrant Email]),FALSE))</f>
        <v/>
      </c>
      <c r="CB266" s="353" t="e">
        <f>VLOOKUP(T_Convention[[#This Row],[NumL]],T_TraitDi[#Data],COLUMN(T_TraitDi[NbJTot]),FALSE)</f>
        <v>#N/A</v>
      </c>
      <c r="CC266" s="353" t="e">
        <f>VLOOKUP(T_Convention[[#This Row],[NumL]],T_TraitDi[#Data],COLUMN(T_TraitDi[Reg Ponct]),FALSE)</f>
        <v>#N/A</v>
      </c>
      <c r="CD266" s="348" t="str">
        <f>IF(T_Convention[[#This Row],[Final]]&lt;&gt;"",VLOOKUP(T_Convention[[#This Row],[NumL]],T_suiviDi[#Data],COLUMN((T_suiviDi[Statut])),FALSE),"")</f>
        <v/>
      </c>
    </row>
    <row r="267" spans="1:82" s="106" customFormat="1" ht="18.75" customHeight="1" x14ac:dyDescent="0.25">
      <c r="A267" s="160">
        <v>117</v>
      </c>
      <c r="B267" s="161" t="str">
        <f>VLOOKUP(T_Convention[[#This Row],[NumL]],T_Commission[#Data],COLUMN(T_Commission[FINAL]),FALSE)</f>
        <v/>
      </c>
      <c r="C267" s="162"/>
      <c r="D267" s="95" t="e">
        <f>IF(VLOOKUP(T_Convention[[#This Row],[NumL]],T_TraitDi[#Data],COLUMN(T_TraitDi[WebC]),FALSE)="","",VLOOKUP(T_Convention[[#This Row],[NumL]],T_TraitDi[#Data],COLUMN(T_TraitDi[WebC]),FALSE))</f>
        <v>#N/A</v>
      </c>
      <c r="E267" s="163" t="str">
        <f t="shared" si="20"/>
        <v>12 janvier 2021</v>
      </c>
      <c r="F267" s="282" t="str">
        <f>IF(T_Convention[[#This Row],[Final]]&lt;&gt;"",VLOOKUP(T_Convention[[#This Row],[NumL]],T_suiviDi[#Data],COLUMN((T_suiviDi[Civ.])),FALSE),"")</f>
        <v/>
      </c>
      <c r="G267" s="283" t="str">
        <f>IF(T_Convention[[#This Row],[Final]]&lt;&gt;"",VLOOKUP(T_Convention[[#This Row],[NumL]],T_suiviDi[#Data],COLUMN((T_suiviDi[Nom])),FALSE),"")</f>
        <v/>
      </c>
      <c r="H267" s="282" t="str">
        <f>IF(T_Convention[[#This Row],[Final]]&lt;&gt;"",VLOOKUP(T_Convention[[#This Row],[NumL]],T_suiviDi[#Data],COLUMN((T_suiviDi[Prénom])),FALSE),"")</f>
        <v/>
      </c>
      <c r="I267" s="282" t="e">
        <f>VLOOKUP(T_Convention[[#This Row],[NumL]],T_suiviDi[#Data],COLUMN((T_suiviDi[[#This Row],[Email]])),FALSE)</f>
        <v>#VALUE!</v>
      </c>
      <c r="J267" s="282" t="e">
        <f>IF(VLOOKUP(T_Convention[[#This Row],[NumL]],T_suiviDi[#Data],COLUMN(T_suiviDi[[#This Row],[Fonction]]),FALSE)="","",VLOOKUP(T_Convention[[#This Row],[NumL]],T_suiviDi[#Data],COLUMN(T_suiviDi[[#This Row],[Fonction]]),FALSE))</f>
        <v>#VALUE!</v>
      </c>
      <c r="K267" s="282" t="e">
        <f>IF(VLOOKUP(T_Convention[[#This Row],[NumL]],T_suiviDi[#Data],COLUMN(T_suiviDi[[#This Row],[Grade]]),FALSE)="","",VLOOKUP(T_Convention[[#This Row],[NumL]],T_suiviDi[#Data],COLUMN(T_suiviDi[[#This Row],[Grade]]),FALSE))</f>
        <v>#VALUE!</v>
      </c>
      <c r="L267" s="282" t="e">
        <f>IF(VLOOKUP(T_Convention[[#This Row],[NumL]],T_suiviDi[#Data],COLUMN(T_suiviDi[[#This Row],[Service ]]),FALSE)="","",VLOOKUP(T_Convention[[#This Row],[NumL]],T_suiviDi[#Data],COLUMN(T_suiviDi[[#This Row],[Service ]]),FALSE))</f>
        <v>#VALUE!</v>
      </c>
      <c r="M267" s="164" t="str">
        <f t="shared" si="21"/>
        <v>01 septembre 2021</v>
      </c>
      <c r="N267" s="164" t="str">
        <f t="shared" si="22"/>
        <v>30 novembre 2021</v>
      </c>
      <c r="O267" s="284" t="str">
        <f t="shared" si="23"/>
        <v>30 novembre 2021</v>
      </c>
      <c r="P267" s="282" t="e">
        <f>IF(VLOOKUP(T_Convention[[#This Row],[NumL]],T_TraitDi[#Data],COLUMN(T_TraitDi[M1]),FALSE)="","",VLOOKUP(T_Convention[[#This Row],[NumL]],T_TraitDi[#Data],COLUMN(T_TraitDi[M1]),FALSE))</f>
        <v>#N/A</v>
      </c>
      <c r="Q267" s="282" t="e">
        <f>IF(VLOOKUP(T_Convention[[#This Row],[NumL]],T_TraitDi[#Data],COLUMN(T_TraitDi[M2]),FALSE)="","",VLOOKUP(T_Convention[[#This Row],[NumL]],T_TraitDi[#Data],COLUMN(T_TraitDi[M2]),FALSE))</f>
        <v>#N/A</v>
      </c>
      <c r="R267" s="282" t="e">
        <f>IF(VLOOKUP(T_Convention[[#This Row],[NumL]],T_TraitDi[#Data],COLUMN(T_TraitDi[M3]),FALSE)="","",VLOOKUP(T_Convention[[#This Row],[NumL]],T_TraitDi[#Data],COLUMN(T_TraitDi[M3]),FALSE))</f>
        <v>#N/A</v>
      </c>
      <c r="S267" s="282" t="e">
        <f>IF(VLOOKUP(T_Convention[[#This Row],[NumL]],T_TraitDi[#Data],COLUMN(T_TraitDi[M4]),FALSE)="","",VLOOKUP(T_Convention[[#This Row],[NumL]],T_TraitDi[#Data],COLUMN(T_TraitDi[M4]),FALSE))</f>
        <v>#N/A</v>
      </c>
      <c r="T267" s="282" t="e">
        <f>IF(VLOOKUP(T_Convention[[#This Row],[NumL]],T_TraitDi[#Data],COLUMN(T_TraitDi[M5]),FALSE)="","",VLOOKUP(T_Convention[[#This Row],[NumL]],T_TraitDi[#Data],COLUMN(T_TraitDi[M5]),FALSE))</f>
        <v>#N/A</v>
      </c>
      <c r="U267" s="282" t="e">
        <f>IF(VLOOKUP(T_Convention[[#This Row],[NumL]],T_TraitDi[#Data],COLUMN(T_TraitDi[M6]),FALSE)="","",VLOOKUP(T_Convention[[#This Row],[NumL]],T_TraitDi[#Data],COLUMN(T_TraitDi[M6]),FALSE))</f>
        <v>#N/A</v>
      </c>
      <c r="V267" s="176" t="e">
        <f t="shared" si="24"/>
        <v>#N/A</v>
      </c>
      <c r="W267" s="284" t="str">
        <f>IFERROR(TEXT(VLOOKUP(T_Convention[[#This Row],[NumL]],T_TraitDi[#Data],COLUMN(T_TraitDi[Q2]),FALSE),"###%"),"")</f>
        <v/>
      </c>
      <c r="X267" s="97" t="e">
        <f>VLOOKUP(T_Convention[[#This Row],[NumL]],T_TraitDi[#Data],COLUMN(T_TraitDi[Reg Ponct]),FALSE)</f>
        <v>#N/A</v>
      </c>
      <c r="Y267" s="97" t="e">
        <f>VLOOKUP(T_Convention[NumL],T_TraitDi[#Data],COLUMN(T_TraitDi[Jours flottants]),FALSE)</f>
        <v>#N/A</v>
      </c>
      <c r="Z267" s="284" t="str">
        <f>IFERROR(VLOOKUP(T_Convention[[#This Row],[NumL]],T_TraitDi[#Data],COLUMN(T_TraitDi[Lundi]),FALSE),"")</f>
        <v/>
      </c>
      <c r="AA267" s="284" t="e">
        <f>IF(VLOOKUP(T_Convention[[#This Row],[NumL]],T_TraitDi[#Data],COLUMN(T_TraitDi[Colonne3]),FALSE)=0,"",TEXT(IFERROR(VLOOKUP(T_Convention[[#This Row],[NumL]],T_TraitDi[#Data],COLUMN(T_TraitDi[Colonne3]),FALSE),""),"[hh]:mm"))</f>
        <v>#N/A</v>
      </c>
      <c r="AB267" s="284" t="e">
        <f>IF(VLOOKUP(T_Convention[[#This Row],[NumL]],T_TraitDi[#Data],COLUMN(T_TraitDi[Colonne4]),FALSE)=0,"",TEXT(IFERROR(VLOOKUP(T_Convention[[#This Row],[NumL]],T_TraitDi[#Data],COLUMN(T_TraitDi[Colonne4]),FALSE),""),"[hh]:mm"))</f>
        <v>#N/A</v>
      </c>
      <c r="AC267" s="284" t="e">
        <f>IF(VLOOKUP(T_Convention[[#This Row],[NumL]],T_TraitDi[#Data],COLUMN(T_TraitDi[Colonne5]),FALSE)=0,"",TEXT(IFERROR(VLOOKUP(T_Convention[[#This Row],[NumL]],T_TraitDi[#Data],COLUMN(T_TraitDi[Colonne5]),FALSE),""),"[hh]:mm"))</f>
        <v>#N/A</v>
      </c>
      <c r="AD267" s="284" t="e">
        <f>IF(VLOOKUP(T_Convention[[#This Row],[NumL]],T_TraitDi[#Data],COLUMN(T_TraitDi[Colonne6]),FALSE)=0,"",TEXT(IFERROR(VLOOKUP(T_Convention[[#This Row],[NumL]],T_TraitDi[#Data],COLUMN(T_TraitDi[Colonne6]),FALSE),""),"[hh]:mm"))</f>
        <v>#N/A</v>
      </c>
      <c r="AE267" s="284" t="e">
        <f>IF(VLOOKUP(T_Convention[[#This Row],[NumL]],T_TraitDi[#Data],COLUMN(T_TraitDi[Colonne7]),FALSE)=0,"",TEXT(IFERROR(VLOOKUP(T_Convention[[#This Row],[NumL]],T_TraitDi[#Data],COLUMN(T_TraitDi[Colonne7]),FALSE),""),"[hh]:mm"))</f>
        <v>#N/A</v>
      </c>
      <c r="AF267" s="284" t="e">
        <f>IF(VLOOKUP(T_Convention[[#This Row],[NumL]],T_TraitDi[#Data],COLUMN(T_TraitDi[Colonne8]),FALSE)=0,"",TEXT(IFERROR(VLOOKUP(T_Convention[[#This Row],[NumL]],T_TraitDi[#Data],COLUMN(T_TraitDi[Colonne8]),FALSE),""),"[hh]:mm"))</f>
        <v>#N/A</v>
      </c>
      <c r="AG267" s="284" t="str">
        <f>IFERROR(VLOOKUP(T_Convention[[#This Row],[NumL]],T_TraitDi[#Data],COLUMN(T_TraitDi[Mardi]),FALSE),"")</f>
        <v/>
      </c>
      <c r="AH267" s="284" t="e">
        <f>IF(VLOOKUP(T_Convention[[#This Row],[NumL]],T_TraitDi[#Data],COLUMN(T_TraitDi[Colonne1]),FALSE)=0,"",TEXT(IFERROR(VLOOKUP(T_Convention[[#This Row],[NumL]],T_TraitDi[#Data],COLUMN(T_TraitDi[Colonne1]),FALSE),""),"[hh]:mm"))</f>
        <v>#N/A</v>
      </c>
      <c r="AI267" s="284" t="e">
        <f>IF(VLOOKUP(T_Convention[[#This Row],[NumL]],T_TraitDi[#Data],COLUMN(T_TraitDi[Colonne9]),FALSE)=0,"",TEXT(IFERROR(VLOOKUP(T_Convention[[#This Row],[NumL]],T_TraitDi[#Data],COLUMN(T_TraitDi[Colonne9]),FALSE),""),"[hh]:mm"))</f>
        <v>#N/A</v>
      </c>
      <c r="AJ267" s="284" t="str">
        <f>IFERROR(VLOOKUP(T_Convention[[#This Row],[NumL]],T_TraitDi[#Data],COLUMN(T_TraitDi[Colonne10]),FALSE),"")</f>
        <v/>
      </c>
      <c r="AK267" s="284" t="e">
        <f>IF(VLOOKUP(T_Convention[[#This Row],[NumL]],T_TraitDi[#Data],COLUMN(T_TraitDi[Colonne11]),FALSE)=0,"",TEXT(IFERROR(VLOOKUP(T_Convention[[#This Row],[NumL]],T_TraitDi[#Data],COLUMN(T_TraitDi[Colonne11]),FALSE),""),"[hh]:mm"))</f>
        <v>#N/A</v>
      </c>
      <c r="AL267" s="284" t="e">
        <f>IF(VLOOKUP(T_Convention[[#This Row],[NumL]],T_TraitDi[#Data],COLUMN(T_TraitDi[Colonne12]),FALSE)=0,"",TEXT(IFERROR(VLOOKUP(T_Convention[[#This Row],[NumL]],T_TraitDi[#Data],COLUMN(T_TraitDi[Colonne12]),FALSE),""),"[hh]:mm"))</f>
        <v>#N/A</v>
      </c>
      <c r="AM267" s="284" t="e">
        <f>IF(VLOOKUP(T_Convention[[#This Row],[NumL]],T_TraitDi[#Data],COLUMN(T_TraitDi[Colonne14]),FALSE)=0,"",TEXT(IFERROR(VLOOKUP(T_Convention[[#This Row],[NumL]],T_TraitDi[#Data],COLUMN(T_TraitDi[Colonne14]),FALSE),""),"[hh]:mm"))</f>
        <v>#N/A</v>
      </c>
      <c r="AN267" s="284" t="str">
        <f>IFERROR(VLOOKUP(T_Convention[[#This Row],[NumL]],T_TraitDi[#Data],COLUMN(T_TraitDi[Mercredi]),FALSE),"")</f>
        <v/>
      </c>
      <c r="AO267" s="284" t="e">
        <f>IF(VLOOKUP(T_Convention[[#This Row],[NumL]],T_TraitDi[#Data],COLUMN(T_TraitDi[Colonne15]),FALSE)=0,"",TEXT(IFERROR(VLOOKUP(T_Convention[[#This Row],[NumL]],T_TraitDi[#Data],COLUMN(T_TraitDi[Colonne15]),FALSE),""),"[hh]:mm"))</f>
        <v>#N/A</v>
      </c>
      <c r="AP267" s="284" t="e">
        <f>IF(VLOOKUP(T_Convention[[#This Row],[NumL]],T_TraitDi[#Data],COLUMN(T_TraitDi[Colonne16]),FALSE)=0,"",TEXT(IFERROR(VLOOKUP(T_Convention[[#This Row],[NumL]],T_TraitDi[#Data],COLUMN(T_TraitDi[Colonne16]),FALSE),""),"[hh]:mm"))</f>
        <v>#N/A</v>
      </c>
      <c r="AQ267" s="284" t="str">
        <f>IFERROR(VLOOKUP(T_Convention[[#This Row],[NumL]],T_TraitDi[#Data],COLUMN(T_TraitDi[Colonne17]),FALSE),"")</f>
        <v/>
      </c>
      <c r="AR267" s="284" t="e">
        <f>IF(VLOOKUP(T_Convention[[#This Row],[NumL]],T_TraitDi[#Data],COLUMN(T_TraitDi[Colonne18]),FALSE)=0,"",TEXT(IFERROR(VLOOKUP(T_Convention[[#This Row],[NumL]],T_TraitDi[#Data],COLUMN(T_TraitDi[Colonne18]),FALSE),""),"[hh]:mm"))</f>
        <v>#N/A</v>
      </c>
      <c r="AS267" s="284" t="e">
        <f>IF(VLOOKUP(T_Convention[[#This Row],[NumL]],T_TraitDi[#Data],COLUMN(T_TraitDi[Colonne19]),FALSE)=0,"",TEXT(IFERROR(VLOOKUP(T_Convention[[#This Row],[NumL]],T_TraitDi[#Data],COLUMN(T_TraitDi[Colonne19]),FALSE),""),"[hh]:mm"))</f>
        <v>#N/A</v>
      </c>
      <c r="AT267" s="284" t="e">
        <f>IF(VLOOKUP(T_Convention[[#This Row],[NumL]],T_TraitDi[#Data],COLUMN(T_TraitDi[Colonne20]),FALSE)=0,"",TEXT(IFERROR(VLOOKUP(T_Convention[[#This Row],[NumL]],T_TraitDi[#Data],COLUMN(T_TraitDi[Colonne20]),FALSE),""),"[hh]:mm"))</f>
        <v>#N/A</v>
      </c>
      <c r="AU267" s="284" t="str">
        <f>IFERROR(VLOOKUP(T_Convention[[#This Row],[NumL]],T_TraitDi[#Data],COLUMN(T_TraitDi[Jeudi]),FALSE),"")</f>
        <v/>
      </c>
      <c r="AV267" s="284" t="e">
        <f>IF(VLOOKUP(T_Convention[[#This Row],[NumL]],T_TraitDi[#Data],COLUMN(T_TraitDi[Colonne21]),FALSE)=0,"",TEXT(IFERROR(VLOOKUP(T_Convention[[#This Row],[NumL]],T_TraitDi[#Data],COLUMN(T_TraitDi[Colonne21]),FALSE),""),"[hh]:mm"))</f>
        <v>#N/A</v>
      </c>
      <c r="AW267" s="284" t="e">
        <f>IF(VLOOKUP(T_Convention[[#This Row],[NumL]],T_TraitDi[#Data],COLUMN(T_TraitDi[Colonne22]),FALSE)=0,"",TEXT(IFERROR(VLOOKUP(T_Convention[[#This Row],[NumL]],T_TraitDi[#Data],COLUMN(T_TraitDi[Colonne22]),FALSE),""),"[hh]:mm"))</f>
        <v>#N/A</v>
      </c>
      <c r="AX267" s="284" t="str">
        <f>IFERROR(VLOOKUP(T_Convention[[#This Row],[NumL]],T_TraitDi[#Data],COLUMN(T_TraitDi[Colonne23]),FALSE),"")</f>
        <v/>
      </c>
      <c r="AY267" s="284" t="e">
        <f>IF(VLOOKUP(T_Convention[[#This Row],[NumL]],T_TraitDi[#Data],COLUMN(T_TraitDi[Colonne24]),FALSE)=0,"",TEXT(IFERROR(VLOOKUP(T_Convention[[#This Row],[NumL]],T_TraitDi[#Data],COLUMN(T_TraitDi[Colonne24]),FALSE),""),"[hh]:mm"))</f>
        <v>#N/A</v>
      </c>
      <c r="AZ267" s="284" t="e">
        <f>IF(VLOOKUP(T_Convention[[#This Row],[NumL]],T_TraitDi[#Data],COLUMN(T_TraitDi[Colonne25]),FALSE)=0,"",TEXT(IFERROR(VLOOKUP(T_Convention[[#This Row],[NumL]],T_TraitDi[#Data],COLUMN(T_TraitDi[Colonne25]),FALSE),""),"[hh]:mm"))</f>
        <v>#N/A</v>
      </c>
      <c r="BA267" s="284" t="e">
        <f>IF(VLOOKUP(T_Convention[[#This Row],[NumL]],T_TraitDi[#Data],COLUMN(T_TraitDi[Colonne26]),FALSE)=0,"",TEXT(IFERROR(VLOOKUP(T_Convention[[#This Row],[NumL]],T_TraitDi[#Data],COLUMN(T_TraitDi[Colonne26]),FALSE),""),"[hh]:mm"))</f>
        <v>#N/A</v>
      </c>
      <c r="BB267" s="284" t="str">
        <f>IFERROR(VLOOKUP(T_Convention[[#This Row],[NumL]],T_TraitDi[#Data],COLUMN(T_TraitDi[Vendredi]),FALSE),"")</f>
        <v/>
      </c>
      <c r="BC267" s="284" t="e">
        <f>IF(VLOOKUP(T_Convention[[#This Row],[NumL]],T_TraitDi[#Data],COLUMN(T_TraitDi[Colonne27]),FALSE)=0,"",TEXT(IFERROR(VLOOKUP(T_Convention[[#This Row],[NumL]],T_TraitDi[#Data],COLUMN(T_TraitDi[Colonne27]),FALSE),""),"[hh]:mm"))</f>
        <v>#N/A</v>
      </c>
      <c r="BD267" s="284" t="e">
        <f>IF(VLOOKUP(T_Convention[[#This Row],[NumL]],T_TraitDi[#Data],COLUMN(T_TraitDi[Colonne28]),FALSE)=0,"",TEXT(IFERROR(VLOOKUP(T_Convention[[#This Row],[NumL]],T_TraitDi[#Data],COLUMN(T_TraitDi[Colonne28]),FALSE),""),"[hh]:mm"))</f>
        <v>#N/A</v>
      </c>
      <c r="BE267" s="284" t="str">
        <f>IFERROR(VLOOKUP(T_Convention[[#This Row],[NumL]],T_TraitDi[#Data],COLUMN(T_TraitDi[Colonne29]),FALSE),"")</f>
        <v/>
      </c>
      <c r="BF267" s="284" t="e">
        <f>IF(VLOOKUP(T_Convention[[#This Row],[NumL]],T_TraitDi[#Data],COLUMN(T_TraitDi[Colonne30]),FALSE)=0,"",TEXT(IFERROR(VLOOKUP(T_Convention[[#This Row],[NumL]],T_TraitDi[#Data],COLUMN(T_TraitDi[Colonne30]),FALSE),""),"[hh]:mm"))</f>
        <v>#N/A</v>
      </c>
      <c r="BG267" s="284" t="e">
        <f>IF(VLOOKUP(T_Convention[[#This Row],[NumL]],T_TraitDi[#Data],COLUMN(T_TraitDi[Colonne31]),FALSE)=0,"",TEXT(IFERROR(VLOOKUP(T_Convention[[#This Row],[NumL]],T_TraitDi[#Data],COLUMN(T_TraitDi[Colonne31]),FALSE),""),"[hh]:mm"))</f>
        <v>#N/A</v>
      </c>
      <c r="BH267" s="284" t="e">
        <f>IF(VLOOKUP(T_Convention[[#This Row],[NumL]],T_TraitDi[#Data],COLUMN(T_TraitDi[Colonne32]),FALSE)=0,"",TEXT(IFERROR(VLOOKUP(T_Convention[[#This Row],[NumL]],T_TraitDi[#Data],COLUMN(T_TraitDi[Colonne32]),FALSE),""),"[hh]:mm"))</f>
        <v>#N/A</v>
      </c>
      <c r="BI267" s="284" t="str">
        <f>IFERROR(VLOOKUP(T_Convention[[#This Row],[NumL]],T_TraitDi[#Data],COLUMN(T_TraitDi[NbJTW]),FALSE),"")</f>
        <v/>
      </c>
      <c r="BJ267" s="284" t="e">
        <f>IF(VLOOKUP(T_Convention[[#This Row],[NumL]],T_TraitDi[#Data],COLUMN(T_TraitDi[NbhTW]),FALSE)=0,"",TEXT(IFERROR(VLOOKUP(T_Convention[[#This Row],[NumL]],T_TraitDi[#Data],COLUMN(T_TraitDi[NbhTW]),FALSE),""),"[hh]:mm"))</f>
        <v>#N/A</v>
      </c>
      <c r="BK267" s="286" t="e">
        <f>IF(VLOOKUP(T_Convention[[#This Row],[NumL]],T_TraitDi[#Data],COLUMN(T_TraitDi[Nbhheb]),FALSE)=0,"",TEXT(IFERROR(VLOOKUP(T_Convention[[#This Row],[NumL]],T_TraitDi[#Data],COLUMN(T_TraitDi[Nbhheb]),FALSE),""),"[hh]:mm"))</f>
        <v>#N/A</v>
      </c>
      <c r="BL267" s="287" t="str">
        <f>IFERROR(VLOOKUP(VLOOKUP(T_Convention[[#This Row],[NumL]],T_TraitDi[#Data],COLUMN(T_TraitDi[Type1]),FALSE),TypeTW,2,FALSE),"")</f>
        <v/>
      </c>
      <c r="BM267" s="288" t="str">
        <f>IFERROR(VLOOKUP(T_Convention[[#This Row],[NumL]],T_TraitDi[#Data],COLUMN(T_TraitDi[Rue1]),FALSE),"")</f>
        <v/>
      </c>
      <c r="BN267" s="289" t="str">
        <f>IFERROR(VLOOKUP(T_Convention[[#This Row],[NumL]],T_TraitDi[#Data],COLUMN(T_TraitDi[CP1]),FALSE),"")</f>
        <v/>
      </c>
      <c r="BO267" s="282" t="str">
        <f>IFERROR(VLOOKUP(T_Convention[[#This Row],[NumL]],T_TraitDi[#Data],COLUMN(T_TraitDi[VILLE1]),FALSE),"")</f>
        <v/>
      </c>
      <c r="BP267" s="290" t="str">
        <f>IFERROR(VLOOKUP(VLOOKUP(T_Convention[[#This Row],[NumL]],T_TraitDi[#Data],COLUMN(T_TraitDi[Type2]),FALSE),TypeTW,2,FALSE),"")</f>
        <v/>
      </c>
      <c r="BQ267" s="182" t="str">
        <f>IFERROR(VLOOKUP(T_Convention[[#This Row],[NumL]],T_TraitDi[#Data],COLUMN(T_TraitDi[Rue2]),FALSE),"")</f>
        <v/>
      </c>
      <c r="BR267" s="173" t="str">
        <f>IFERROR(VLOOKUP(T_Convention[[#This Row],[NumL]],T_TraitDi[#Data],COLUMN(T_TraitDi[CP2]),FALSE),"")</f>
        <v/>
      </c>
      <c r="BS267" s="173" t="str">
        <f>IFERROR(VLOOKUP(T_Convention[[#This Row],[NumL]],T_TraitDi[#Data],COLUMN(T_TraitDi[VILLE2]),FALSE),"")</f>
        <v/>
      </c>
      <c r="BT267" s="182" t="str">
        <f>IF(VLOOKUP(T_Convention[[#This Row],[NumL]],T_Equipement[#Data],COLUMN(T_Equipement[PC]),FALSE)="","Aucun équipement spécifique directement lié au télétravail",VLOOKUP(T_Convention[[#This Row],[NumL]],T_Equipement[#Data],COLUMN(T_Equipement[PC]),FALSE))</f>
        <v xml:space="preserve">20-637	</v>
      </c>
      <c r="BU267" s="166" t="str">
        <f>IFERROR(IF(VLOOKUP(T_Convention[[#This Row],[NumL]],T_TraitDi[#Data],COLUMN(T_TraitDi[Plan]),FALSE)="OK","Un planning spécifique de télétravail est annexé à la présente convention.",""),"")</f>
        <v/>
      </c>
      <c r="BV267" s="185" t="s">
        <v>3341</v>
      </c>
      <c r="BW267" s="164" t="e">
        <f>IF(VLOOKUP(T_Convention[[#This Row],[NumL]],T_suiviDi[#Data],COLUMN(T_suiviDi[Entité]),FALSE)="","",VLOOKUP(T_Convention[[#This Row],[NumL]],T_suiviDi[#Data],COLUMN(T_suiviDi[Entité]),FALSE))</f>
        <v>#N/A</v>
      </c>
      <c r="BX267" s="164" t="str">
        <f>IF(VLOOKUP(T_Convention[[#This Row],[NumL]],T_Commission[#Data],COLUMN(T_Commission[envoi confirm TW]),FALSE)="","",VLOOKUP(T_Convention[[#This Row],[NumL]],T_Commission[#Data],COLUMN(T_Commission[envoi confirm TW]),FALSE))</f>
        <v>Oui</v>
      </c>
      <c r="BY26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7" s="265">
        <f>VLOOKUP(T_Convention[[#This Row],[NumL]],T_Commission[#Data],COLUMN(T_Commission[Commentaire]),FALSE)</f>
        <v>0</v>
      </c>
      <c r="CA267" s="255" t="str">
        <f>IF(VLOOKUP(T_Convention[[#This Row],[NumL]],T_Commission[#Data],COLUMN(T_Commission[Encadrant Email]),FALSE)="","",VLOOKUP(T_Convention[[#This Row],[NumL]],T_Commission[#Data],COLUMN(T_Commission[Encadrant Email]),FALSE))</f>
        <v/>
      </c>
      <c r="CB267" s="353" t="e">
        <f>VLOOKUP(T_Convention[[#This Row],[NumL]],T_TraitDi[#Data],COLUMN(T_TraitDi[NbJTot]),FALSE)</f>
        <v>#N/A</v>
      </c>
      <c r="CC267" s="353" t="e">
        <f>VLOOKUP(T_Convention[[#This Row],[NumL]],T_TraitDi[#Data],COLUMN(T_TraitDi[Reg Ponct]),FALSE)</f>
        <v>#N/A</v>
      </c>
      <c r="CD267" s="348" t="str">
        <f>IF(T_Convention[[#This Row],[Final]]&lt;&gt;"",VLOOKUP(T_Convention[[#This Row],[NumL]],T_suiviDi[#Data],COLUMN((T_suiviDi[Statut])),FALSE),"")</f>
        <v/>
      </c>
    </row>
    <row r="268" spans="1:82" s="106" customFormat="1" ht="18.75" customHeight="1" x14ac:dyDescent="0.25">
      <c r="A268" s="160">
        <v>253</v>
      </c>
      <c r="B268" s="161" t="str">
        <f>VLOOKUP(T_Convention[[#This Row],[NumL]],T_Commission[#Data],COLUMN(T_Commission[FINAL]),FALSE)</f>
        <v/>
      </c>
      <c r="C268" s="162"/>
      <c r="D268" s="95" t="e">
        <f>IF(VLOOKUP(T_Convention[[#This Row],[NumL]],T_TraitDi[#Data],COLUMN(T_TraitDi[WebC]),FALSE)="","",VLOOKUP(T_Convention[[#This Row],[NumL]],T_TraitDi[#Data],COLUMN(T_TraitDi[WebC]),FALSE))</f>
        <v>#N/A</v>
      </c>
      <c r="E268" s="163" t="str">
        <f t="shared" si="20"/>
        <v>12 janvier 2021</v>
      </c>
      <c r="F268" s="282" t="str">
        <f>IF(T_Convention[[#This Row],[Final]]&lt;&gt;"",VLOOKUP(T_Convention[[#This Row],[NumL]],T_suiviDi[#Data],COLUMN((T_suiviDi[Civ.])),FALSE),"")</f>
        <v/>
      </c>
      <c r="G268" s="283" t="str">
        <f>IF(T_Convention[[#This Row],[Final]]&lt;&gt;"",VLOOKUP(T_Convention[[#This Row],[NumL]],T_suiviDi[#Data],COLUMN((T_suiviDi[Nom])),FALSE),"")</f>
        <v/>
      </c>
      <c r="H268" s="282" t="str">
        <f>IF(T_Convention[[#This Row],[Final]]&lt;&gt;"",VLOOKUP(T_Convention[[#This Row],[NumL]],T_suiviDi[#Data],COLUMN((T_suiviDi[Prénom])),FALSE),"")</f>
        <v/>
      </c>
      <c r="I268" s="282" t="e">
        <f>VLOOKUP(T_Convention[[#This Row],[NumL]],T_suiviDi[#Data],COLUMN((T_suiviDi[[#This Row],[Email]])),FALSE)</f>
        <v>#VALUE!</v>
      </c>
      <c r="J268" s="282" t="e">
        <f>IF(VLOOKUP(T_Convention[[#This Row],[NumL]],T_suiviDi[#Data],COLUMN(T_suiviDi[[#This Row],[Fonction]]),FALSE)="","",VLOOKUP(T_Convention[[#This Row],[NumL]],T_suiviDi[#Data],COLUMN(T_suiviDi[[#This Row],[Fonction]]),FALSE))</f>
        <v>#VALUE!</v>
      </c>
      <c r="K268" s="282" t="e">
        <f>IF(VLOOKUP(T_Convention[[#This Row],[NumL]],T_suiviDi[#Data],COLUMN(T_suiviDi[[#This Row],[Grade]]),FALSE)="","",VLOOKUP(T_Convention[[#This Row],[NumL]],T_suiviDi[#Data],COLUMN(T_suiviDi[[#This Row],[Grade]]),FALSE))</f>
        <v>#VALUE!</v>
      </c>
      <c r="L268" s="282" t="e">
        <f>IF(VLOOKUP(T_Convention[[#This Row],[NumL]],T_suiviDi[#Data],COLUMN(T_suiviDi[[#This Row],[Service ]]),FALSE)="","",VLOOKUP(T_Convention[[#This Row],[NumL]],T_suiviDi[#Data],COLUMN(T_suiviDi[[#This Row],[Service ]]),FALSE))</f>
        <v>#VALUE!</v>
      </c>
      <c r="M268" s="164" t="str">
        <f t="shared" si="21"/>
        <v>01 septembre 2021</v>
      </c>
      <c r="N268" s="164" t="str">
        <f t="shared" si="22"/>
        <v>30 novembre 2021</v>
      </c>
      <c r="O268" s="284" t="str">
        <f t="shared" si="23"/>
        <v>30 novembre 2021</v>
      </c>
      <c r="P268" s="282" t="e">
        <f>IF(VLOOKUP(T_Convention[[#This Row],[NumL]],T_TraitDi[#Data],COLUMN(T_TraitDi[M1]),FALSE)="","",VLOOKUP(T_Convention[[#This Row],[NumL]],T_TraitDi[#Data],COLUMN(T_TraitDi[M1]),FALSE))</f>
        <v>#N/A</v>
      </c>
      <c r="Q268" s="282" t="e">
        <f>IF(VLOOKUP(T_Convention[[#This Row],[NumL]],T_TraitDi[#Data],COLUMN(T_TraitDi[M2]),FALSE)="","",VLOOKUP(T_Convention[[#This Row],[NumL]],T_TraitDi[#Data],COLUMN(T_TraitDi[M2]),FALSE))</f>
        <v>#N/A</v>
      </c>
      <c r="R268" s="282" t="e">
        <f>IF(VLOOKUP(T_Convention[[#This Row],[NumL]],T_TraitDi[#Data],COLUMN(T_TraitDi[M3]),FALSE)="","",VLOOKUP(T_Convention[[#This Row],[NumL]],T_TraitDi[#Data],COLUMN(T_TraitDi[M3]),FALSE))</f>
        <v>#N/A</v>
      </c>
      <c r="S268" s="282" t="e">
        <f>IF(VLOOKUP(T_Convention[[#This Row],[NumL]],T_TraitDi[#Data],COLUMN(T_TraitDi[M4]),FALSE)="","",VLOOKUP(T_Convention[[#This Row],[NumL]],T_TraitDi[#Data],COLUMN(T_TraitDi[M4]),FALSE))</f>
        <v>#N/A</v>
      </c>
      <c r="T268" s="282" t="e">
        <f>IF(VLOOKUP(T_Convention[[#This Row],[NumL]],T_TraitDi[#Data],COLUMN(T_TraitDi[M5]),FALSE)="","",VLOOKUP(T_Convention[[#This Row],[NumL]],T_TraitDi[#Data],COLUMN(T_TraitDi[M5]),FALSE))</f>
        <v>#N/A</v>
      </c>
      <c r="U268" s="282" t="e">
        <f>IF(VLOOKUP(T_Convention[[#This Row],[NumL]],T_TraitDi[#Data],COLUMN(T_TraitDi[M6]),FALSE)="","",VLOOKUP(T_Convention[[#This Row],[NumL]],T_TraitDi[#Data],COLUMN(T_TraitDi[M6]),FALSE))</f>
        <v>#N/A</v>
      </c>
      <c r="V268" s="176" t="e">
        <f t="shared" si="24"/>
        <v>#N/A</v>
      </c>
      <c r="W268" s="284" t="str">
        <f>IFERROR(TEXT(VLOOKUP(T_Convention[[#This Row],[NumL]],T_TraitDi[#Data],COLUMN(T_TraitDi[Q2]),FALSE),"###%"),"")</f>
        <v/>
      </c>
      <c r="X268" s="97" t="e">
        <f>VLOOKUP(T_Convention[[#This Row],[NumL]],T_TraitDi[#Data],COLUMN(T_TraitDi[Reg Ponct]),FALSE)</f>
        <v>#N/A</v>
      </c>
      <c r="Y268" s="97" t="e">
        <f>VLOOKUP(T_Convention[NumL],T_TraitDi[#Data],COLUMN(T_TraitDi[Jours flottants]),FALSE)</f>
        <v>#N/A</v>
      </c>
      <c r="Z268" s="284" t="str">
        <f>IFERROR(VLOOKUP(T_Convention[[#This Row],[NumL]],T_TraitDi[#Data],COLUMN(T_TraitDi[Lundi]),FALSE),"")</f>
        <v/>
      </c>
      <c r="AA268" s="284" t="e">
        <f>IF(VLOOKUP(T_Convention[[#This Row],[NumL]],T_TraitDi[#Data],COLUMN(T_TraitDi[Colonne3]),FALSE)=0,"",TEXT(IFERROR(VLOOKUP(T_Convention[[#This Row],[NumL]],T_TraitDi[#Data],COLUMN(T_TraitDi[Colonne3]),FALSE),""),"[hh]:mm"))</f>
        <v>#N/A</v>
      </c>
      <c r="AB268" s="284" t="e">
        <f>IF(VLOOKUP(T_Convention[[#This Row],[NumL]],T_TraitDi[#Data],COLUMN(T_TraitDi[Colonne4]),FALSE)=0,"",TEXT(IFERROR(VLOOKUP(T_Convention[[#This Row],[NumL]],T_TraitDi[#Data],COLUMN(T_TraitDi[Colonne4]),FALSE),""),"[hh]:mm"))</f>
        <v>#N/A</v>
      </c>
      <c r="AC268" s="284" t="e">
        <f>IF(VLOOKUP(T_Convention[[#This Row],[NumL]],T_TraitDi[#Data],COLUMN(T_TraitDi[Colonne5]),FALSE)=0,"",TEXT(IFERROR(VLOOKUP(T_Convention[[#This Row],[NumL]],T_TraitDi[#Data],COLUMN(T_TraitDi[Colonne5]),FALSE),""),"[hh]:mm"))</f>
        <v>#N/A</v>
      </c>
      <c r="AD268" s="284" t="e">
        <f>IF(VLOOKUP(T_Convention[[#This Row],[NumL]],T_TraitDi[#Data],COLUMN(T_TraitDi[Colonne6]),FALSE)=0,"",TEXT(IFERROR(VLOOKUP(T_Convention[[#This Row],[NumL]],T_TraitDi[#Data],COLUMN(T_TraitDi[Colonne6]),FALSE),""),"[hh]:mm"))</f>
        <v>#N/A</v>
      </c>
      <c r="AE268" s="284" t="e">
        <f>IF(VLOOKUP(T_Convention[[#This Row],[NumL]],T_TraitDi[#Data],COLUMN(T_TraitDi[Colonne7]),FALSE)=0,"",TEXT(IFERROR(VLOOKUP(T_Convention[[#This Row],[NumL]],T_TraitDi[#Data],COLUMN(T_TraitDi[Colonne7]),FALSE),""),"[hh]:mm"))</f>
        <v>#N/A</v>
      </c>
      <c r="AF268" s="284" t="e">
        <f>IF(VLOOKUP(T_Convention[[#This Row],[NumL]],T_TraitDi[#Data],COLUMN(T_TraitDi[Colonne8]),FALSE)=0,"",TEXT(IFERROR(VLOOKUP(T_Convention[[#This Row],[NumL]],T_TraitDi[#Data],COLUMN(T_TraitDi[Colonne8]),FALSE),""),"[hh]:mm"))</f>
        <v>#N/A</v>
      </c>
      <c r="AG268" s="284" t="str">
        <f>IFERROR(VLOOKUP(T_Convention[[#This Row],[NumL]],T_TraitDi[#Data],COLUMN(T_TraitDi[Mardi]),FALSE),"")</f>
        <v/>
      </c>
      <c r="AH268" s="284" t="e">
        <f>IF(VLOOKUP(T_Convention[[#This Row],[NumL]],T_TraitDi[#Data],COLUMN(T_TraitDi[Colonne1]),FALSE)=0,"",TEXT(IFERROR(VLOOKUP(T_Convention[[#This Row],[NumL]],T_TraitDi[#Data],COLUMN(T_TraitDi[Colonne1]),FALSE),""),"[hh]:mm"))</f>
        <v>#N/A</v>
      </c>
      <c r="AI268" s="284" t="e">
        <f>IF(VLOOKUP(T_Convention[[#This Row],[NumL]],T_TraitDi[#Data],COLUMN(T_TraitDi[Colonne9]),FALSE)=0,"",TEXT(IFERROR(VLOOKUP(T_Convention[[#This Row],[NumL]],T_TraitDi[#Data],COLUMN(T_TraitDi[Colonne9]),FALSE),""),"[hh]:mm"))</f>
        <v>#N/A</v>
      </c>
      <c r="AJ268" s="284" t="str">
        <f>IFERROR(VLOOKUP(T_Convention[[#This Row],[NumL]],T_TraitDi[#Data],COLUMN(T_TraitDi[Colonne10]),FALSE),"")</f>
        <v/>
      </c>
      <c r="AK268" s="284" t="e">
        <f>IF(VLOOKUP(T_Convention[[#This Row],[NumL]],T_TraitDi[#Data],COLUMN(T_TraitDi[Colonne11]),FALSE)=0,"",TEXT(IFERROR(VLOOKUP(T_Convention[[#This Row],[NumL]],T_TraitDi[#Data],COLUMN(T_TraitDi[Colonne11]),FALSE),""),"[hh]:mm"))</f>
        <v>#N/A</v>
      </c>
      <c r="AL268" s="284" t="e">
        <f>IF(VLOOKUP(T_Convention[[#This Row],[NumL]],T_TraitDi[#Data],COLUMN(T_TraitDi[Colonne12]),FALSE)=0,"",TEXT(IFERROR(VLOOKUP(T_Convention[[#This Row],[NumL]],T_TraitDi[#Data],COLUMN(T_TraitDi[Colonne12]),FALSE),""),"[hh]:mm"))</f>
        <v>#N/A</v>
      </c>
      <c r="AM268" s="284" t="e">
        <f>IF(VLOOKUP(T_Convention[[#This Row],[NumL]],T_TraitDi[#Data],COLUMN(T_TraitDi[Colonne14]),FALSE)=0,"",TEXT(IFERROR(VLOOKUP(T_Convention[[#This Row],[NumL]],T_TraitDi[#Data],COLUMN(T_TraitDi[Colonne14]),FALSE),""),"[hh]:mm"))</f>
        <v>#N/A</v>
      </c>
      <c r="AN268" s="284" t="str">
        <f>IFERROR(VLOOKUP(T_Convention[[#This Row],[NumL]],T_TraitDi[#Data],COLUMN(T_TraitDi[Mercredi]),FALSE),"")</f>
        <v/>
      </c>
      <c r="AO268" s="284" t="e">
        <f>IF(VLOOKUP(T_Convention[[#This Row],[NumL]],T_TraitDi[#Data],COLUMN(T_TraitDi[Colonne15]),FALSE)=0,"",TEXT(IFERROR(VLOOKUP(T_Convention[[#This Row],[NumL]],T_TraitDi[#Data],COLUMN(T_TraitDi[Colonne15]),FALSE),""),"[hh]:mm"))</f>
        <v>#N/A</v>
      </c>
      <c r="AP268" s="284" t="e">
        <f>IF(VLOOKUP(T_Convention[[#This Row],[NumL]],T_TraitDi[#Data],COLUMN(T_TraitDi[Colonne16]),FALSE)=0,"",TEXT(IFERROR(VLOOKUP(T_Convention[[#This Row],[NumL]],T_TraitDi[#Data],COLUMN(T_TraitDi[Colonne16]),FALSE),""),"[hh]:mm"))</f>
        <v>#N/A</v>
      </c>
      <c r="AQ268" s="284" t="str">
        <f>IFERROR(VLOOKUP(T_Convention[[#This Row],[NumL]],T_TraitDi[#Data],COLUMN(T_TraitDi[Colonne17]),FALSE),"")</f>
        <v/>
      </c>
      <c r="AR268" s="284" t="e">
        <f>IF(VLOOKUP(T_Convention[[#This Row],[NumL]],T_TraitDi[#Data],COLUMN(T_TraitDi[Colonne18]),FALSE)=0,"",TEXT(IFERROR(VLOOKUP(T_Convention[[#This Row],[NumL]],T_TraitDi[#Data],COLUMN(T_TraitDi[Colonne18]),FALSE),""),"[hh]:mm"))</f>
        <v>#N/A</v>
      </c>
      <c r="AS268" s="284" t="e">
        <f>IF(VLOOKUP(T_Convention[[#This Row],[NumL]],T_TraitDi[#Data],COLUMN(T_TraitDi[Colonne19]),FALSE)=0,"",TEXT(IFERROR(VLOOKUP(T_Convention[[#This Row],[NumL]],T_TraitDi[#Data],COLUMN(T_TraitDi[Colonne19]),FALSE),""),"[hh]:mm"))</f>
        <v>#N/A</v>
      </c>
      <c r="AT268" s="284" t="e">
        <f>IF(VLOOKUP(T_Convention[[#This Row],[NumL]],T_TraitDi[#Data],COLUMN(T_TraitDi[Colonne20]),FALSE)=0,"",TEXT(IFERROR(VLOOKUP(T_Convention[[#This Row],[NumL]],T_TraitDi[#Data],COLUMN(T_TraitDi[Colonne20]),FALSE),""),"[hh]:mm"))</f>
        <v>#N/A</v>
      </c>
      <c r="AU268" s="284" t="str">
        <f>IFERROR(VLOOKUP(T_Convention[[#This Row],[NumL]],T_TraitDi[#Data],COLUMN(T_TraitDi[Jeudi]),FALSE),"")</f>
        <v/>
      </c>
      <c r="AV268" s="284" t="e">
        <f>IF(VLOOKUP(T_Convention[[#This Row],[NumL]],T_TraitDi[#Data],COLUMN(T_TraitDi[Colonne21]),FALSE)=0,"",TEXT(IFERROR(VLOOKUP(T_Convention[[#This Row],[NumL]],T_TraitDi[#Data],COLUMN(T_TraitDi[Colonne21]),FALSE),""),"[hh]:mm"))</f>
        <v>#N/A</v>
      </c>
      <c r="AW268" s="284" t="e">
        <f>IF(VLOOKUP(T_Convention[[#This Row],[NumL]],T_TraitDi[#Data],COLUMN(T_TraitDi[Colonne22]),FALSE)=0,"",TEXT(IFERROR(VLOOKUP(T_Convention[[#This Row],[NumL]],T_TraitDi[#Data],COLUMN(T_TraitDi[Colonne22]),FALSE),""),"[hh]:mm"))</f>
        <v>#N/A</v>
      </c>
      <c r="AX268" s="284" t="str">
        <f>IFERROR(VLOOKUP(T_Convention[[#This Row],[NumL]],T_TraitDi[#Data],COLUMN(T_TraitDi[Colonne23]),FALSE),"")</f>
        <v/>
      </c>
      <c r="AY268" s="284" t="e">
        <f>IF(VLOOKUP(T_Convention[[#This Row],[NumL]],T_TraitDi[#Data],COLUMN(T_TraitDi[Colonne24]),FALSE)=0,"",TEXT(IFERROR(VLOOKUP(T_Convention[[#This Row],[NumL]],T_TraitDi[#Data],COLUMN(T_TraitDi[Colonne24]),FALSE),""),"[hh]:mm"))</f>
        <v>#N/A</v>
      </c>
      <c r="AZ268" s="284" t="e">
        <f>IF(VLOOKUP(T_Convention[[#This Row],[NumL]],T_TraitDi[#Data],COLUMN(T_TraitDi[Colonne25]),FALSE)=0,"",TEXT(IFERROR(VLOOKUP(T_Convention[[#This Row],[NumL]],T_TraitDi[#Data],COLUMN(T_TraitDi[Colonne25]),FALSE),""),"[hh]:mm"))</f>
        <v>#N/A</v>
      </c>
      <c r="BA268" s="284" t="e">
        <f>IF(VLOOKUP(T_Convention[[#This Row],[NumL]],T_TraitDi[#Data],COLUMN(T_TraitDi[Colonne26]),FALSE)=0,"",TEXT(IFERROR(VLOOKUP(T_Convention[[#This Row],[NumL]],T_TraitDi[#Data],COLUMN(T_TraitDi[Colonne26]),FALSE),""),"[hh]:mm"))</f>
        <v>#N/A</v>
      </c>
      <c r="BB268" s="284" t="str">
        <f>IFERROR(VLOOKUP(T_Convention[[#This Row],[NumL]],T_TraitDi[#Data],COLUMN(T_TraitDi[Vendredi]),FALSE),"")</f>
        <v/>
      </c>
      <c r="BC268" s="284" t="e">
        <f>IF(VLOOKUP(T_Convention[[#This Row],[NumL]],T_TraitDi[#Data],COLUMN(T_TraitDi[Colonne27]),FALSE)=0,"",TEXT(IFERROR(VLOOKUP(T_Convention[[#This Row],[NumL]],T_TraitDi[#Data],COLUMN(T_TraitDi[Colonne27]),FALSE),""),"[hh]:mm"))</f>
        <v>#N/A</v>
      </c>
      <c r="BD268" s="284" t="e">
        <f>IF(VLOOKUP(T_Convention[[#This Row],[NumL]],T_TraitDi[#Data],COLUMN(T_TraitDi[Colonne28]),FALSE)=0,"",TEXT(IFERROR(VLOOKUP(T_Convention[[#This Row],[NumL]],T_TraitDi[#Data],COLUMN(T_TraitDi[Colonne28]),FALSE),""),"[hh]:mm"))</f>
        <v>#N/A</v>
      </c>
      <c r="BE268" s="284" t="str">
        <f>IFERROR(VLOOKUP(T_Convention[[#This Row],[NumL]],T_TraitDi[#Data],COLUMN(T_TraitDi[Colonne29]),FALSE),"")</f>
        <v/>
      </c>
      <c r="BF268" s="284" t="e">
        <f>IF(VLOOKUP(T_Convention[[#This Row],[NumL]],T_TraitDi[#Data],COLUMN(T_TraitDi[Colonne30]),FALSE)=0,"",TEXT(IFERROR(VLOOKUP(T_Convention[[#This Row],[NumL]],T_TraitDi[#Data],COLUMN(T_TraitDi[Colonne30]),FALSE),""),"[hh]:mm"))</f>
        <v>#N/A</v>
      </c>
      <c r="BG268" s="284" t="e">
        <f>IF(VLOOKUP(T_Convention[[#This Row],[NumL]],T_TraitDi[#Data],COLUMN(T_TraitDi[Colonne31]),FALSE)=0,"",TEXT(IFERROR(VLOOKUP(T_Convention[[#This Row],[NumL]],T_TraitDi[#Data],COLUMN(T_TraitDi[Colonne31]),FALSE),""),"[hh]:mm"))</f>
        <v>#N/A</v>
      </c>
      <c r="BH268" s="284" t="e">
        <f>IF(VLOOKUP(T_Convention[[#This Row],[NumL]],T_TraitDi[#Data],COLUMN(T_TraitDi[Colonne32]),FALSE)=0,"",TEXT(IFERROR(VLOOKUP(T_Convention[[#This Row],[NumL]],T_TraitDi[#Data],COLUMN(T_TraitDi[Colonne32]),FALSE),""),"[hh]:mm"))</f>
        <v>#N/A</v>
      </c>
      <c r="BI268" s="284" t="str">
        <f>IFERROR(VLOOKUP(T_Convention[[#This Row],[NumL]],T_TraitDi[#Data],COLUMN(T_TraitDi[NbJTW]),FALSE),"")</f>
        <v/>
      </c>
      <c r="BJ268" s="284" t="e">
        <f>IF(VLOOKUP(T_Convention[[#This Row],[NumL]],T_TraitDi[#Data],COLUMN(T_TraitDi[NbhTW]),FALSE)=0,"",TEXT(IFERROR(VLOOKUP(T_Convention[[#This Row],[NumL]],T_TraitDi[#Data],COLUMN(T_TraitDi[NbhTW]),FALSE),""),"[hh]:mm"))</f>
        <v>#N/A</v>
      </c>
      <c r="BK268" s="286" t="e">
        <f>IF(VLOOKUP(T_Convention[[#This Row],[NumL]],T_TraitDi[#Data],COLUMN(T_TraitDi[Nbhheb]),FALSE)=0,"",TEXT(IFERROR(VLOOKUP(T_Convention[[#This Row],[NumL]],T_TraitDi[#Data],COLUMN(T_TraitDi[Nbhheb]),FALSE),""),"[hh]:mm"))</f>
        <v>#N/A</v>
      </c>
      <c r="BL268" s="287" t="str">
        <f>IFERROR(VLOOKUP(VLOOKUP(T_Convention[[#This Row],[NumL]],T_TraitDi[#Data],COLUMN(T_TraitDi[Type1]),FALSE),TypeTW,2,FALSE),"")</f>
        <v/>
      </c>
      <c r="BM268" s="288" t="str">
        <f>IFERROR(VLOOKUP(T_Convention[[#This Row],[NumL]],T_TraitDi[#Data],COLUMN(T_TraitDi[Rue1]),FALSE),"")</f>
        <v/>
      </c>
      <c r="BN268" s="289" t="str">
        <f>IFERROR(VLOOKUP(T_Convention[[#This Row],[NumL]],T_TraitDi[#Data],COLUMN(T_TraitDi[CP1]),FALSE),"")</f>
        <v/>
      </c>
      <c r="BO268" s="282" t="str">
        <f>IFERROR(VLOOKUP(T_Convention[[#This Row],[NumL]],T_TraitDi[#Data],COLUMN(T_TraitDi[VILLE1]),FALSE),"")</f>
        <v/>
      </c>
      <c r="BP268" s="290" t="str">
        <f>IFERROR(VLOOKUP(VLOOKUP(T_Convention[[#This Row],[NumL]],T_TraitDi[#Data],COLUMN(T_TraitDi[Type2]),FALSE),TypeTW,2,FALSE),"")</f>
        <v/>
      </c>
      <c r="BQ268" s="182" t="str">
        <f>IFERROR(VLOOKUP(T_Convention[[#This Row],[NumL]],T_TraitDi[#Data],COLUMN(T_TraitDi[Rue2]),FALSE),"")</f>
        <v/>
      </c>
      <c r="BR268" s="173" t="str">
        <f>IFERROR(VLOOKUP(T_Convention[[#This Row],[NumL]],T_TraitDi[#Data],COLUMN(T_TraitDi[CP2]),FALSE),"")</f>
        <v/>
      </c>
      <c r="BS268" s="173" t="str">
        <f>IFERROR(VLOOKUP(T_Convention[[#This Row],[NumL]],T_TraitDi[#Data],COLUMN(T_TraitDi[VILLE2]),FALSE),"")</f>
        <v/>
      </c>
      <c r="BT268" s="182" t="str">
        <f>IF(VLOOKUP(T_Convention[[#This Row],[NumL]],T_Equipement[#Data],COLUMN(T_Equipement[PC]),FALSE)="","Aucun équipement spécifique directement lié au télétravail",VLOOKUP(T_Convention[[#This Row],[NumL]],T_Equipement[#Data],COLUMN(T_Equipement[PC]),FALSE))</f>
        <v>20-465</v>
      </c>
      <c r="BU268" s="166" t="str">
        <f>IFERROR(IF(VLOOKUP(T_Convention[[#This Row],[NumL]],T_TraitDi[#Data],COLUMN(T_TraitDi[Plan]),FALSE)="OK","Un planning spécifique de télétravail est annexé à la présente convention.",""),"")</f>
        <v/>
      </c>
      <c r="BV268" s="185"/>
      <c r="BW268" s="164" t="e">
        <f>IF(VLOOKUP(T_Convention[[#This Row],[NumL]],T_suiviDi[#Data],COLUMN(T_suiviDi[Entité]),FALSE)="","",VLOOKUP(T_Convention[[#This Row],[NumL]],T_suiviDi[#Data],COLUMN(T_suiviDi[Entité]),FALSE))</f>
        <v>#N/A</v>
      </c>
      <c r="BX268" s="164" t="str">
        <f>IF(VLOOKUP(T_Convention[[#This Row],[NumL]],T_Commission[#Data],COLUMN(T_Commission[envoi confirm TW]),FALSE)="","",VLOOKUP(T_Convention[[#This Row],[NumL]],T_Commission[#Data],COLUMN(T_Commission[envoi confirm TW]),FALSE))</f>
        <v>Oui</v>
      </c>
      <c r="BY26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8" s="264">
        <f>VLOOKUP(T_Convention[[#This Row],[NumL]],T_Commission[#Data],COLUMN(T_Commission[Commentaire]),FALSE)</f>
        <v>0</v>
      </c>
      <c r="CA268" s="254" t="str">
        <f>IF(VLOOKUP(T_Convention[[#This Row],[NumL]],T_Commission[#Data],COLUMN(T_Commission[Encadrant Email]),FALSE)="","",VLOOKUP(T_Convention[[#This Row],[NumL]],T_Commission[#Data],COLUMN(T_Commission[Encadrant Email]),FALSE))</f>
        <v/>
      </c>
      <c r="CB268" s="353" t="e">
        <f>VLOOKUP(T_Convention[[#This Row],[NumL]],T_TraitDi[#Data],COLUMN(T_TraitDi[NbJTot]),FALSE)</f>
        <v>#N/A</v>
      </c>
      <c r="CC268" s="353" t="e">
        <f>VLOOKUP(T_Convention[[#This Row],[NumL]],T_TraitDi[#Data],COLUMN(T_TraitDi[Reg Ponct]),FALSE)</f>
        <v>#N/A</v>
      </c>
      <c r="CD268" s="348" t="str">
        <f>IF(T_Convention[[#This Row],[Final]]&lt;&gt;"",VLOOKUP(T_Convention[[#This Row],[NumL]],T_suiviDi[#Data],COLUMN((T_suiviDi[Statut])),FALSE),"")</f>
        <v/>
      </c>
    </row>
    <row r="269" spans="1:82" s="106" customFormat="1" ht="18.75" customHeight="1" x14ac:dyDescent="0.25">
      <c r="A269" s="160">
        <v>30</v>
      </c>
      <c r="B269" s="161" t="str">
        <f>VLOOKUP(T_Convention[[#This Row],[NumL]],T_Commission[#Data],COLUMN(T_Commission[FINAL]),FALSE)</f>
        <v/>
      </c>
      <c r="C269" s="162"/>
      <c r="D269" s="95" t="e">
        <f>IF(VLOOKUP(T_Convention[[#This Row],[NumL]],T_TraitDi[#Data],COLUMN(T_TraitDi[WebC]),FALSE)="","",VLOOKUP(T_Convention[[#This Row],[NumL]],T_TraitDi[#Data],COLUMN(T_TraitDi[WebC]),FALSE))</f>
        <v>#N/A</v>
      </c>
      <c r="E269" s="163" t="str">
        <f t="shared" si="20"/>
        <v>12 janvier 2021</v>
      </c>
      <c r="F269" s="282" t="str">
        <f>IF(T_Convention[[#This Row],[Final]]&lt;&gt;"",VLOOKUP(T_Convention[[#This Row],[NumL]],T_suiviDi[#Data],COLUMN((T_suiviDi[Civ.])),FALSE),"")</f>
        <v/>
      </c>
      <c r="G269" s="283" t="str">
        <f>IF(T_Convention[[#This Row],[Final]]&lt;&gt;"",VLOOKUP(T_Convention[[#This Row],[NumL]],T_suiviDi[#Data],COLUMN((T_suiviDi[Nom])),FALSE),"")</f>
        <v/>
      </c>
      <c r="H269" s="282" t="str">
        <f>IF(T_Convention[[#This Row],[Final]]&lt;&gt;"",VLOOKUP(T_Convention[[#This Row],[NumL]],T_suiviDi[#Data],COLUMN((T_suiviDi[Prénom])),FALSE),"")</f>
        <v/>
      </c>
      <c r="I269" s="282" t="e">
        <f>VLOOKUP(T_Convention[[#This Row],[NumL]],T_suiviDi[#Data],COLUMN((T_suiviDi[[#This Row],[Email]])),FALSE)</f>
        <v>#VALUE!</v>
      </c>
      <c r="J269" s="282" t="e">
        <f>IF(VLOOKUP(T_Convention[[#This Row],[NumL]],T_suiviDi[#Data],COLUMN(T_suiviDi[[#This Row],[Fonction]]),FALSE)="","",VLOOKUP(T_Convention[[#This Row],[NumL]],T_suiviDi[#Data],COLUMN(T_suiviDi[[#This Row],[Fonction]]),FALSE))</f>
        <v>#VALUE!</v>
      </c>
      <c r="K269" s="282" t="e">
        <f>IF(VLOOKUP(T_Convention[[#This Row],[NumL]],T_suiviDi[#Data],COLUMN(T_suiviDi[[#This Row],[Grade]]),FALSE)="","",VLOOKUP(T_Convention[[#This Row],[NumL]],T_suiviDi[#Data],COLUMN(T_suiviDi[[#This Row],[Grade]]),FALSE))</f>
        <v>#VALUE!</v>
      </c>
      <c r="L269" s="282" t="e">
        <f>IF(VLOOKUP(T_Convention[[#This Row],[NumL]],T_suiviDi[#Data],COLUMN(T_suiviDi[[#This Row],[Service ]]),FALSE)="","",VLOOKUP(T_Convention[[#This Row],[NumL]],T_suiviDi[#Data],COLUMN(T_suiviDi[[#This Row],[Service ]]),FALSE))</f>
        <v>#VALUE!</v>
      </c>
      <c r="M269" s="164" t="str">
        <f t="shared" si="21"/>
        <v>01 septembre 2021</v>
      </c>
      <c r="N269" s="164" t="str">
        <f t="shared" si="22"/>
        <v>30 novembre 2021</v>
      </c>
      <c r="O269" s="284" t="str">
        <f t="shared" si="23"/>
        <v>30 novembre 2021</v>
      </c>
      <c r="P269" s="282" t="e">
        <f>IF(VLOOKUP(T_Convention[[#This Row],[NumL]],T_TraitDi[#Data],COLUMN(T_TraitDi[M1]),FALSE)="","",VLOOKUP(T_Convention[[#This Row],[NumL]],T_TraitDi[#Data],COLUMN(T_TraitDi[M1]),FALSE))</f>
        <v>#N/A</v>
      </c>
      <c r="Q269" s="282" t="e">
        <f>IF(VLOOKUP(T_Convention[[#This Row],[NumL]],T_TraitDi[#Data],COLUMN(T_TraitDi[M2]),FALSE)="","",VLOOKUP(T_Convention[[#This Row],[NumL]],T_TraitDi[#Data],COLUMN(T_TraitDi[M2]),FALSE))</f>
        <v>#N/A</v>
      </c>
      <c r="R269" s="282" t="e">
        <f>IF(VLOOKUP(T_Convention[[#This Row],[NumL]],T_TraitDi[#Data],COLUMN(T_TraitDi[M3]),FALSE)="","",VLOOKUP(T_Convention[[#This Row],[NumL]],T_TraitDi[#Data],COLUMN(T_TraitDi[M3]),FALSE))</f>
        <v>#N/A</v>
      </c>
      <c r="S269" s="282" t="e">
        <f>IF(VLOOKUP(T_Convention[[#This Row],[NumL]],T_TraitDi[#Data],COLUMN(T_TraitDi[M4]),FALSE)="","",VLOOKUP(T_Convention[[#This Row],[NumL]],T_TraitDi[#Data],COLUMN(T_TraitDi[M4]),FALSE))</f>
        <v>#N/A</v>
      </c>
      <c r="T269" s="282" t="e">
        <f>IF(VLOOKUP(T_Convention[[#This Row],[NumL]],T_TraitDi[#Data],COLUMN(T_TraitDi[M5]),FALSE)="","",VLOOKUP(T_Convention[[#This Row],[NumL]],T_TraitDi[#Data],COLUMN(T_TraitDi[M5]),FALSE))</f>
        <v>#N/A</v>
      </c>
      <c r="U269" s="282" t="e">
        <f>IF(VLOOKUP(T_Convention[[#This Row],[NumL]],T_TraitDi[#Data],COLUMN(T_TraitDi[M6]),FALSE)="","",VLOOKUP(T_Convention[[#This Row],[NumL]],T_TraitDi[#Data],COLUMN(T_TraitDi[M6]),FALSE))</f>
        <v>#N/A</v>
      </c>
      <c r="V269" s="176" t="e">
        <f t="shared" si="24"/>
        <v>#N/A</v>
      </c>
      <c r="W269" s="284" t="str">
        <f>IFERROR(TEXT(VLOOKUP(T_Convention[[#This Row],[NumL]],T_TraitDi[#Data],COLUMN(T_TraitDi[Q2]),FALSE),"###%"),"")</f>
        <v/>
      </c>
      <c r="X269" s="97" t="e">
        <f>VLOOKUP(T_Convention[[#This Row],[NumL]],T_TraitDi[#Data],COLUMN(T_TraitDi[Reg Ponct]),FALSE)</f>
        <v>#N/A</v>
      </c>
      <c r="Y269" s="97" t="e">
        <f>VLOOKUP(T_Convention[NumL],T_TraitDi[#Data],COLUMN(T_TraitDi[Jours flottants]),FALSE)</f>
        <v>#N/A</v>
      </c>
      <c r="Z269" s="284" t="str">
        <f>IFERROR(VLOOKUP(T_Convention[[#This Row],[NumL]],T_TraitDi[#Data],COLUMN(T_TraitDi[Lundi]),FALSE),"")</f>
        <v/>
      </c>
      <c r="AA269" s="284" t="e">
        <f>IF(VLOOKUP(T_Convention[[#This Row],[NumL]],T_TraitDi[#Data],COLUMN(T_TraitDi[Colonne3]),FALSE)=0,"",TEXT(IFERROR(VLOOKUP(T_Convention[[#This Row],[NumL]],T_TraitDi[#Data],COLUMN(T_TraitDi[Colonne3]),FALSE),""),"[hh]:mm"))</f>
        <v>#N/A</v>
      </c>
      <c r="AB269" s="284" t="e">
        <f>IF(VLOOKUP(T_Convention[[#This Row],[NumL]],T_TraitDi[#Data],COLUMN(T_TraitDi[Colonne4]),FALSE)=0,"",TEXT(IFERROR(VLOOKUP(T_Convention[[#This Row],[NumL]],T_TraitDi[#Data],COLUMN(T_TraitDi[Colonne4]),FALSE),""),"[hh]:mm"))</f>
        <v>#N/A</v>
      </c>
      <c r="AC269" s="284" t="e">
        <f>IF(VLOOKUP(T_Convention[[#This Row],[NumL]],T_TraitDi[#Data],COLUMN(T_TraitDi[Colonne5]),FALSE)=0,"",TEXT(IFERROR(VLOOKUP(T_Convention[[#This Row],[NumL]],T_TraitDi[#Data],COLUMN(T_TraitDi[Colonne5]),FALSE),""),"[hh]:mm"))</f>
        <v>#N/A</v>
      </c>
      <c r="AD269" s="284" t="e">
        <f>IF(VLOOKUP(T_Convention[[#This Row],[NumL]],T_TraitDi[#Data],COLUMN(T_TraitDi[Colonne6]),FALSE)=0,"",TEXT(IFERROR(VLOOKUP(T_Convention[[#This Row],[NumL]],T_TraitDi[#Data],COLUMN(T_TraitDi[Colonne6]),FALSE),""),"[hh]:mm"))</f>
        <v>#N/A</v>
      </c>
      <c r="AE269" s="284" t="e">
        <f>IF(VLOOKUP(T_Convention[[#This Row],[NumL]],T_TraitDi[#Data],COLUMN(T_TraitDi[Colonne7]),FALSE)=0,"",TEXT(IFERROR(VLOOKUP(T_Convention[[#This Row],[NumL]],T_TraitDi[#Data],COLUMN(T_TraitDi[Colonne7]),FALSE),""),"[hh]:mm"))</f>
        <v>#N/A</v>
      </c>
      <c r="AF269" s="284" t="e">
        <f>IF(VLOOKUP(T_Convention[[#This Row],[NumL]],T_TraitDi[#Data],COLUMN(T_TraitDi[Colonne8]),FALSE)=0,"",TEXT(IFERROR(VLOOKUP(T_Convention[[#This Row],[NumL]],T_TraitDi[#Data],COLUMN(T_TraitDi[Colonne8]),FALSE),""),"[hh]:mm"))</f>
        <v>#N/A</v>
      </c>
      <c r="AG269" s="284" t="str">
        <f>IFERROR(VLOOKUP(T_Convention[[#This Row],[NumL]],T_TraitDi[#Data],COLUMN(T_TraitDi[Mardi]),FALSE),"")</f>
        <v/>
      </c>
      <c r="AH269" s="284" t="e">
        <f>IF(VLOOKUP(T_Convention[[#This Row],[NumL]],T_TraitDi[#Data],COLUMN(T_TraitDi[Colonne1]),FALSE)=0,"",TEXT(IFERROR(VLOOKUP(T_Convention[[#This Row],[NumL]],T_TraitDi[#Data],COLUMN(T_TraitDi[Colonne1]),FALSE),""),"[hh]:mm"))</f>
        <v>#N/A</v>
      </c>
      <c r="AI269" s="284" t="e">
        <f>IF(VLOOKUP(T_Convention[[#This Row],[NumL]],T_TraitDi[#Data],COLUMN(T_TraitDi[Colonne9]),FALSE)=0,"",TEXT(IFERROR(VLOOKUP(T_Convention[[#This Row],[NumL]],T_TraitDi[#Data],COLUMN(T_TraitDi[Colonne9]),FALSE),""),"[hh]:mm"))</f>
        <v>#N/A</v>
      </c>
      <c r="AJ269" s="284" t="str">
        <f>IFERROR(VLOOKUP(T_Convention[[#This Row],[NumL]],T_TraitDi[#Data],COLUMN(T_TraitDi[Colonne10]),FALSE),"")</f>
        <v/>
      </c>
      <c r="AK269" s="284" t="e">
        <f>IF(VLOOKUP(T_Convention[[#This Row],[NumL]],T_TraitDi[#Data],COLUMN(T_TraitDi[Colonne11]),FALSE)=0,"",TEXT(IFERROR(VLOOKUP(T_Convention[[#This Row],[NumL]],T_TraitDi[#Data],COLUMN(T_TraitDi[Colonne11]),FALSE),""),"[hh]:mm"))</f>
        <v>#N/A</v>
      </c>
      <c r="AL269" s="284" t="e">
        <f>IF(VLOOKUP(T_Convention[[#This Row],[NumL]],T_TraitDi[#Data],COLUMN(T_TraitDi[Colonne12]),FALSE)=0,"",TEXT(IFERROR(VLOOKUP(T_Convention[[#This Row],[NumL]],T_TraitDi[#Data],COLUMN(T_TraitDi[Colonne12]),FALSE),""),"[hh]:mm"))</f>
        <v>#N/A</v>
      </c>
      <c r="AM269" s="284" t="e">
        <f>IF(VLOOKUP(T_Convention[[#This Row],[NumL]],T_TraitDi[#Data],COLUMN(T_TraitDi[Colonne14]),FALSE)=0,"",TEXT(IFERROR(VLOOKUP(T_Convention[[#This Row],[NumL]],T_TraitDi[#Data],COLUMN(T_TraitDi[Colonne14]),FALSE),""),"[hh]:mm"))</f>
        <v>#N/A</v>
      </c>
      <c r="AN269" s="284" t="str">
        <f>IFERROR(VLOOKUP(T_Convention[[#This Row],[NumL]],T_TraitDi[#Data],COLUMN(T_TraitDi[Mercredi]),FALSE),"")</f>
        <v/>
      </c>
      <c r="AO269" s="284" t="e">
        <f>IF(VLOOKUP(T_Convention[[#This Row],[NumL]],T_TraitDi[#Data],COLUMN(T_TraitDi[Colonne15]),FALSE)=0,"",TEXT(IFERROR(VLOOKUP(T_Convention[[#This Row],[NumL]],T_TraitDi[#Data],COLUMN(T_TraitDi[Colonne15]),FALSE),""),"[hh]:mm"))</f>
        <v>#N/A</v>
      </c>
      <c r="AP269" s="284" t="e">
        <f>IF(VLOOKUP(T_Convention[[#This Row],[NumL]],T_TraitDi[#Data],COLUMN(T_TraitDi[Colonne16]),FALSE)=0,"",TEXT(IFERROR(VLOOKUP(T_Convention[[#This Row],[NumL]],T_TraitDi[#Data],COLUMN(T_TraitDi[Colonne16]),FALSE),""),"[hh]:mm"))</f>
        <v>#N/A</v>
      </c>
      <c r="AQ269" s="284" t="str">
        <f>IFERROR(VLOOKUP(T_Convention[[#This Row],[NumL]],T_TraitDi[#Data],COLUMN(T_TraitDi[Colonne17]),FALSE),"")</f>
        <v/>
      </c>
      <c r="AR269" s="284" t="e">
        <f>IF(VLOOKUP(T_Convention[[#This Row],[NumL]],T_TraitDi[#Data],COLUMN(T_TraitDi[Colonne18]),FALSE)=0,"",TEXT(IFERROR(VLOOKUP(T_Convention[[#This Row],[NumL]],T_TraitDi[#Data],COLUMN(T_TraitDi[Colonne18]),FALSE),""),"[hh]:mm"))</f>
        <v>#N/A</v>
      </c>
      <c r="AS269" s="284" t="e">
        <f>IF(VLOOKUP(T_Convention[[#This Row],[NumL]],T_TraitDi[#Data],COLUMN(T_TraitDi[Colonne19]),FALSE)=0,"",TEXT(IFERROR(VLOOKUP(T_Convention[[#This Row],[NumL]],T_TraitDi[#Data],COLUMN(T_TraitDi[Colonne19]),FALSE),""),"[hh]:mm"))</f>
        <v>#N/A</v>
      </c>
      <c r="AT269" s="284" t="e">
        <f>IF(VLOOKUP(T_Convention[[#This Row],[NumL]],T_TraitDi[#Data],COLUMN(T_TraitDi[Colonne20]),FALSE)=0,"",TEXT(IFERROR(VLOOKUP(T_Convention[[#This Row],[NumL]],T_TraitDi[#Data],COLUMN(T_TraitDi[Colonne20]),FALSE),""),"[hh]:mm"))</f>
        <v>#N/A</v>
      </c>
      <c r="AU269" s="284" t="str">
        <f>IFERROR(VLOOKUP(T_Convention[[#This Row],[NumL]],T_TraitDi[#Data],COLUMN(T_TraitDi[Jeudi]),FALSE),"")</f>
        <v/>
      </c>
      <c r="AV269" s="284" t="e">
        <f>IF(VLOOKUP(T_Convention[[#This Row],[NumL]],T_TraitDi[#Data],COLUMN(T_TraitDi[Colonne21]),FALSE)=0,"",TEXT(IFERROR(VLOOKUP(T_Convention[[#This Row],[NumL]],T_TraitDi[#Data],COLUMN(T_TraitDi[Colonne21]),FALSE),""),"[hh]:mm"))</f>
        <v>#N/A</v>
      </c>
      <c r="AW269" s="284" t="e">
        <f>IF(VLOOKUP(T_Convention[[#This Row],[NumL]],T_TraitDi[#Data],COLUMN(T_TraitDi[Colonne22]),FALSE)=0,"",TEXT(IFERROR(VLOOKUP(T_Convention[[#This Row],[NumL]],T_TraitDi[#Data],COLUMN(T_TraitDi[Colonne22]),FALSE),""),"[hh]:mm"))</f>
        <v>#N/A</v>
      </c>
      <c r="AX269" s="284" t="str">
        <f>IFERROR(VLOOKUP(T_Convention[[#This Row],[NumL]],T_TraitDi[#Data],COLUMN(T_TraitDi[Colonne23]),FALSE),"")</f>
        <v/>
      </c>
      <c r="AY269" s="284" t="e">
        <f>IF(VLOOKUP(T_Convention[[#This Row],[NumL]],T_TraitDi[#Data],COLUMN(T_TraitDi[Colonne24]),FALSE)=0,"",TEXT(IFERROR(VLOOKUP(T_Convention[[#This Row],[NumL]],T_TraitDi[#Data],COLUMN(T_TraitDi[Colonne24]),FALSE),""),"[hh]:mm"))</f>
        <v>#N/A</v>
      </c>
      <c r="AZ269" s="284" t="e">
        <f>IF(VLOOKUP(T_Convention[[#This Row],[NumL]],T_TraitDi[#Data],COLUMN(T_TraitDi[Colonne25]),FALSE)=0,"",TEXT(IFERROR(VLOOKUP(T_Convention[[#This Row],[NumL]],T_TraitDi[#Data],COLUMN(T_TraitDi[Colonne25]),FALSE),""),"[hh]:mm"))</f>
        <v>#N/A</v>
      </c>
      <c r="BA269" s="284" t="e">
        <f>IF(VLOOKUP(T_Convention[[#This Row],[NumL]],T_TraitDi[#Data],COLUMN(T_TraitDi[Colonne26]),FALSE)=0,"",TEXT(IFERROR(VLOOKUP(T_Convention[[#This Row],[NumL]],T_TraitDi[#Data],COLUMN(T_TraitDi[Colonne26]),FALSE),""),"[hh]:mm"))</f>
        <v>#N/A</v>
      </c>
      <c r="BB269" s="284" t="str">
        <f>IFERROR(VLOOKUP(T_Convention[[#This Row],[NumL]],T_TraitDi[#Data],COLUMN(T_TraitDi[Vendredi]),FALSE),"")</f>
        <v/>
      </c>
      <c r="BC269" s="284" t="e">
        <f>IF(VLOOKUP(T_Convention[[#This Row],[NumL]],T_TraitDi[#Data],COLUMN(T_TraitDi[Colonne27]),FALSE)=0,"",TEXT(IFERROR(VLOOKUP(T_Convention[[#This Row],[NumL]],T_TraitDi[#Data],COLUMN(T_TraitDi[Colonne27]),FALSE),""),"[hh]:mm"))</f>
        <v>#N/A</v>
      </c>
      <c r="BD269" s="284" t="e">
        <f>IF(VLOOKUP(T_Convention[[#This Row],[NumL]],T_TraitDi[#Data],COLUMN(T_TraitDi[Colonne28]),FALSE)=0,"",TEXT(IFERROR(VLOOKUP(T_Convention[[#This Row],[NumL]],T_TraitDi[#Data],COLUMN(T_TraitDi[Colonne28]),FALSE),""),"[hh]:mm"))</f>
        <v>#N/A</v>
      </c>
      <c r="BE269" s="284" t="str">
        <f>IFERROR(VLOOKUP(T_Convention[[#This Row],[NumL]],T_TraitDi[#Data],COLUMN(T_TraitDi[Colonne29]),FALSE),"")</f>
        <v/>
      </c>
      <c r="BF269" s="284" t="e">
        <f>IF(VLOOKUP(T_Convention[[#This Row],[NumL]],T_TraitDi[#Data],COLUMN(T_TraitDi[Colonne30]),FALSE)=0,"",TEXT(IFERROR(VLOOKUP(T_Convention[[#This Row],[NumL]],T_TraitDi[#Data],COLUMN(T_TraitDi[Colonne30]),FALSE),""),"[hh]:mm"))</f>
        <v>#N/A</v>
      </c>
      <c r="BG269" s="284" t="e">
        <f>IF(VLOOKUP(T_Convention[[#This Row],[NumL]],T_TraitDi[#Data],COLUMN(T_TraitDi[Colonne31]),FALSE)=0,"",TEXT(IFERROR(VLOOKUP(T_Convention[[#This Row],[NumL]],T_TraitDi[#Data],COLUMN(T_TraitDi[Colonne31]),FALSE),""),"[hh]:mm"))</f>
        <v>#N/A</v>
      </c>
      <c r="BH269" s="284" t="e">
        <f>IF(VLOOKUP(T_Convention[[#This Row],[NumL]],T_TraitDi[#Data],COLUMN(T_TraitDi[Colonne32]),FALSE)=0,"",TEXT(IFERROR(VLOOKUP(T_Convention[[#This Row],[NumL]],T_TraitDi[#Data],COLUMN(T_TraitDi[Colonne32]),FALSE),""),"[hh]:mm"))</f>
        <v>#N/A</v>
      </c>
      <c r="BI269" s="284" t="str">
        <f>IFERROR(VLOOKUP(T_Convention[[#This Row],[NumL]],T_TraitDi[#Data],COLUMN(T_TraitDi[NbJTW]),FALSE),"")</f>
        <v/>
      </c>
      <c r="BJ269" s="284" t="e">
        <f>IF(VLOOKUP(T_Convention[[#This Row],[NumL]],T_TraitDi[#Data],COLUMN(T_TraitDi[NbhTW]),FALSE)=0,"",TEXT(IFERROR(VLOOKUP(T_Convention[[#This Row],[NumL]],T_TraitDi[#Data],COLUMN(T_TraitDi[NbhTW]),FALSE),""),"[hh]:mm"))</f>
        <v>#N/A</v>
      </c>
      <c r="BK269" s="286" t="e">
        <f>IF(VLOOKUP(T_Convention[[#This Row],[NumL]],T_TraitDi[#Data],COLUMN(T_TraitDi[Nbhheb]),FALSE)=0,"",TEXT(IFERROR(VLOOKUP(T_Convention[[#This Row],[NumL]],T_TraitDi[#Data],COLUMN(T_TraitDi[Nbhheb]),FALSE),""),"[hh]:mm"))</f>
        <v>#N/A</v>
      </c>
      <c r="BL269" s="287" t="str">
        <f>IFERROR(VLOOKUP(VLOOKUP(T_Convention[[#This Row],[NumL]],T_TraitDi[#Data],COLUMN(T_TraitDi[Type1]),FALSE),TypeTW,2,FALSE),"")</f>
        <v/>
      </c>
      <c r="BM269" s="288" t="str">
        <f>IFERROR(VLOOKUP(T_Convention[[#This Row],[NumL]],T_TraitDi[#Data],COLUMN(T_TraitDi[Rue1]),FALSE),"")</f>
        <v/>
      </c>
      <c r="BN269" s="289" t="str">
        <f>IFERROR(VLOOKUP(T_Convention[[#This Row],[NumL]],T_TraitDi[#Data],COLUMN(T_TraitDi[CP1]),FALSE),"")</f>
        <v/>
      </c>
      <c r="BO269" s="282" t="str">
        <f>IFERROR(VLOOKUP(T_Convention[[#This Row],[NumL]],T_TraitDi[#Data],COLUMN(T_TraitDi[VILLE1]),FALSE),"")</f>
        <v/>
      </c>
      <c r="BP269" s="290" t="str">
        <f>IFERROR(VLOOKUP(VLOOKUP(T_Convention[[#This Row],[NumL]],T_TraitDi[#Data],COLUMN(T_TraitDi[Type2]),FALSE),TypeTW,2,FALSE),"")</f>
        <v/>
      </c>
      <c r="BQ269" s="182" t="str">
        <f>IFERROR(VLOOKUP(T_Convention[[#This Row],[NumL]],T_TraitDi[#Data],COLUMN(T_TraitDi[Rue2]),FALSE),"")</f>
        <v/>
      </c>
      <c r="BR269" s="173" t="str">
        <f>IFERROR(VLOOKUP(T_Convention[[#This Row],[NumL]],T_TraitDi[#Data],COLUMN(T_TraitDi[CP2]),FALSE),"")</f>
        <v/>
      </c>
      <c r="BS269" s="173" t="str">
        <f>IFERROR(VLOOKUP(T_Convention[[#This Row],[NumL]],T_TraitDi[#Data],COLUMN(T_TraitDi[VILLE2]),FALSE),"")</f>
        <v/>
      </c>
      <c r="BT269" s="182" t="str">
        <f>IF(VLOOKUP(T_Convention[[#This Row],[NumL]],T_Equipement[#Data],COLUMN(T_Equipement[PC]),FALSE)="","Aucun équipement spécifique directement lié au télétravail",VLOOKUP(T_Convention[[#This Row],[NumL]],T_Equipement[#Data],COLUMN(T_Equipement[PC]),FALSE))</f>
        <v>17-032</v>
      </c>
      <c r="BU269" s="166" t="str">
        <f>IFERROR(IF(VLOOKUP(T_Convention[[#This Row],[NumL]],T_TraitDi[#Data],COLUMN(T_TraitDi[Plan]),FALSE)="OK","Un planning spécifique de télétravail est annexé à la présente convention.",""),"")</f>
        <v/>
      </c>
      <c r="BV269" s="185" t="s">
        <v>3329</v>
      </c>
      <c r="BW269" s="164" t="e">
        <f>IF(VLOOKUP(T_Convention[[#This Row],[NumL]],T_suiviDi[#Data],COLUMN(T_suiviDi[Entité]),FALSE)="","",VLOOKUP(T_Convention[[#This Row],[NumL]],T_suiviDi[#Data],COLUMN(T_suiviDi[Entité]),FALSE))</f>
        <v>#N/A</v>
      </c>
      <c r="BX269" s="164" t="str">
        <f>IF(VLOOKUP(T_Convention[[#This Row],[NumL]],T_Commission[#Data],COLUMN(T_Commission[envoi confirm TW]),FALSE)="","",VLOOKUP(T_Convention[[#This Row],[NumL]],T_Commission[#Data],COLUMN(T_Commission[envoi confirm TW]),FALSE))</f>
        <v>Oui</v>
      </c>
      <c r="BY26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69" s="264">
        <f>VLOOKUP(T_Convention[[#This Row],[NumL]],T_Commission[#Data],COLUMN(T_Commission[Commentaire]),FALSE)</f>
        <v>0</v>
      </c>
      <c r="CA269" s="254" t="str">
        <f>IF(VLOOKUP(T_Convention[[#This Row],[NumL]],T_Commission[#Data],COLUMN(T_Commission[Encadrant Email]),FALSE)="","",VLOOKUP(T_Convention[[#This Row],[NumL]],T_Commission[#Data],COLUMN(T_Commission[Encadrant Email]),FALSE))</f>
        <v/>
      </c>
      <c r="CB269" s="353" t="e">
        <f>VLOOKUP(T_Convention[[#This Row],[NumL]],T_TraitDi[#Data],COLUMN(T_TraitDi[NbJTot]),FALSE)</f>
        <v>#N/A</v>
      </c>
      <c r="CC269" s="353" t="e">
        <f>VLOOKUP(T_Convention[[#This Row],[NumL]],T_TraitDi[#Data],COLUMN(T_TraitDi[Reg Ponct]),FALSE)</f>
        <v>#N/A</v>
      </c>
      <c r="CD269" s="348" t="str">
        <f>IF(T_Convention[[#This Row],[Final]]&lt;&gt;"",VLOOKUP(T_Convention[[#This Row],[NumL]],T_suiviDi[#Data],COLUMN((T_suiviDi[Statut])),FALSE),"")</f>
        <v/>
      </c>
    </row>
    <row r="270" spans="1:82" s="106" customFormat="1" ht="18.75" customHeight="1" x14ac:dyDescent="0.25">
      <c r="A270" s="160">
        <v>223</v>
      </c>
      <c r="B270" s="161" t="str">
        <f>VLOOKUP(T_Convention[[#This Row],[NumL]],T_Commission[#Data],COLUMN(T_Commission[FINAL]),FALSE)</f>
        <v/>
      </c>
      <c r="C270" s="162"/>
      <c r="D270" s="95" t="e">
        <f>IF(VLOOKUP(T_Convention[[#This Row],[NumL]],T_TraitDi[#Data],COLUMN(T_TraitDi[WebC]),FALSE)="","",VLOOKUP(T_Convention[[#This Row],[NumL]],T_TraitDi[#Data],COLUMN(T_TraitDi[WebC]),FALSE))</f>
        <v>#N/A</v>
      </c>
      <c r="E270" s="163" t="str">
        <f t="shared" si="20"/>
        <v>12 janvier 2021</v>
      </c>
      <c r="F270" s="282" t="str">
        <f>IF(T_Convention[[#This Row],[Final]]&lt;&gt;"",VLOOKUP(T_Convention[[#This Row],[NumL]],T_suiviDi[#Data],COLUMN((T_suiviDi[Civ.])),FALSE),"")</f>
        <v/>
      </c>
      <c r="G270" s="283" t="str">
        <f>IF(T_Convention[[#This Row],[Final]]&lt;&gt;"",VLOOKUP(T_Convention[[#This Row],[NumL]],T_suiviDi[#Data],COLUMN((T_suiviDi[Nom])),FALSE),"")</f>
        <v/>
      </c>
      <c r="H270" s="282" t="str">
        <f>IF(T_Convention[[#This Row],[Final]]&lt;&gt;"",VLOOKUP(T_Convention[[#This Row],[NumL]],T_suiviDi[#Data],COLUMN((T_suiviDi[Prénom])),FALSE),"")</f>
        <v/>
      </c>
      <c r="I270" s="282" t="e">
        <f>VLOOKUP(T_Convention[[#This Row],[NumL]],T_suiviDi[#Data],COLUMN((T_suiviDi[[#This Row],[Email]])),FALSE)</f>
        <v>#VALUE!</v>
      </c>
      <c r="J270" s="282" t="e">
        <f>IF(VLOOKUP(T_Convention[[#This Row],[NumL]],T_suiviDi[#Data],COLUMN(T_suiviDi[[#This Row],[Fonction]]),FALSE)="","",VLOOKUP(T_Convention[[#This Row],[NumL]],T_suiviDi[#Data],COLUMN(T_suiviDi[[#This Row],[Fonction]]),FALSE))</f>
        <v>#VALUE!</v>
      </c>
      <c r="K270" s="282" t="e">
        <f>IF(VLOOKUP(T_Convention[[#This Row],[NumL]],T_suiviDi[#Data],COLUMN(T_suiviDi[[#This Row],[Grade]]),FALSE)="","",VLOOKUP(T_Convention[[#This Row],[NumL]],T_suiviDi[#Data],COLUMN(T_suiviDi[[#This Row],[Grade]]),FALSE))</f>
        <v>#VALUE!</v>
      </c>
      <c r="L270" s="282" t="e">
        <f>IF(VLOOKUP(T_Convention[[#This Row],[NumL]],T_suiviDi[#Data],COLUMN(T_suiviDi[[#This Row],[Service ]]),FALSE)="","",VLOOKUP(T_Convention[[#This Row],[NumL]],T_suiviDi[#Data],COLUMN(T_suiviDi[[#This Row],[Service ]]),FALSE))</f>
        <v>#VALUE!</v>
      </c>
      <c r="M270" s="164" t="str">
        <f t="shared" si="21"/>
        <v>01 septembre 2021</v>
      </c>
      <c r="N270" s="164" t="str">
        <f t="shared" si="22"/>
        <v>30 novembre 2021</v>
      </c>
      <c r="O270" s="284" t="str">
        <f t="shared" si="23"/>
        <v>30 novembre 2021</v>
      </c>
      <c r="P270" s="282" t="e">
        <f>IF(VLOOKUP(T_Convention[[#This Row],[NumL]],T_TraitDi[#Data],COLUMN(T_TraitDi[M1]),FALSE)="","",VLOOKUP(T_Convention[[#This Row],[NumL]],T_TraitDi[#Data],COLUMN(T_TraitDi[M1]),FALSE))</f>
        <v>#N/A</v>
      </c>
      <c r="Q270" s="282" t="e">
        <f>IF(VLOOKUP(T_Convention[[#This Row],[NumL]],T_TraitDi[#Data],COLUMN(T_TraitDi[M2]),FALSE)="","",VLOOKUP(T_Convention[[#This Row],[NumL]],T_TraitDi[#Data],COLUMN(T_TraitDi[M2]),FALSE))</f>
        <v>#N/A</v>
      </c>
      <c r="R270" s="282" t="e">
        <f>IF(VLOOKUP(T_Convention[[#This Row],[NumL]],T_TraitDi[#Data],COLUMN(T_TraitDi[M3]),FALSE)="","",VLOOKUP(T_Convention[[#This Row],[NumL]],T_TraitDi[#Data],COLUMN(T_TraitDi[M3]),FALSE))</f>
        <v>#N/A</v>
      </c>
      <c r="S270" s="282" t="e">
        <f>IF(VLOOKUP(T_Convention[[#This Row],[NumL]],T_TraitDi[#Data],COLUMN(T_TraitDi[M4]),FALSE)="","",VLOOKUP(T_Convention[[#This Row],[NumL]],T_TraitDi[#Data],COLUMN(T_TraitDi[M4]),FALSE))</f>
        <v>#N/A</v>
      </c>
      <c r="T270" s="282" t="e">
        <f>IF(VLOOKUP(T_Convention[[#This Row],[NumL]],T_TraitDi[#Data],COLUMN(T_TraitDi[M5]),FALSE)="","",VLOOKUP(T_Convention[[#This Row],[NumL]],T_TraitDi[#Data],COLUMN(T_TraitDi[M5]),FALSE))</f>
        <v>#N/A</v>
      </c>
      <c r="U270" s="282" t="e">
        <f>IF(VLOOKUP(T_Convention[[#This Row],[NumL]],T_TraitDi[#Data],COLUMN(T_TraitDi[M6]),FALSE)="","",VLOOKUP(T_Convention[[#This Row],[NumL]],T_TraitDi[#Data],COLUMN(T_TraitDi[M6]),FALSE))</f>
        <v>#N/A</v>
      </c>
      <c r="V270" s="176" t="e">
        <f t="shared" si="24"/>
        <v>#N/A</v>
      </c>
      <c r="W270" s="284" t="str">
        <f>IFERROR(TEXT(VLOOKUP(T_Convention[[#This Row],[NumL]],T_TraitDi[#Data],COLUMN(T_TraitDi[Q2]),FALSE),"###%"),"")</f>
        <v/>
      </c>
      <c r="X270" s="97" t="e">
        <f>VLOOKUP(T_Convention[[#This Row],[NumL]],T_TraitDi[#Data],COLUMN(T_TraitDi[Reg Ponct]),FALSE)</f>
        <v>#N/A</v>
      </c>
      <c r="Y270" s="97" t="e">
        <f>VLOOKUP(T_Convention[NumL],T_TraitDi[#Data],COLUMN(T_TraitDi[Jours flottants]),FALSE)</f>
        <v>#N/A</v>
      </c>
      <c r="Z270" s="284" t="str">
        <f>IFERROR(VLOOKUP(T_Convention[[#This Row],[NumL]],T_TraitDi[#Data],COLUMN(T_TraitDi[Lundi]),FALSE),"")</f>
        <v/>
      </c>
      <c r="AA270" s="284" t="e">
        <f>IF(VLOOKUP(T_Convention[[#This Row],[NumL]],T_TraitDi[#Data],COLUMN(T_TraitDi[Colonne3]),FALSE)=0,"",TEXT(IFERROR(VLOOKUP(T_Convention[[#This Row],[NumL]],T_TraitDi[#Data],COLUMN(T_TraitDi[Colonne3]),FALSE),""),"[hh]:mm"))</f>
        <v>#N/A</v>
      </c>
      <c r="AB270" s="284" t="e">
        <f>IF(VLOOKUP(T_Convention[[#This Row],[NumL]],T_TraitDi[#Data],COLUMN(T_TraitDi[Colonne4]),FALSE)=0,"",TEXT(IFERROR(VLOOKUP(T_Convention[[#This Row],[NumL]],T_TraitDi[#Data],COLUMN(T_TraitDi[Colonne4]),FALSE),""),"[hh]:mm"))</f>
        <v>#N/A</v>
      </c>
      <c r="AC270" s="284" t="e">
        <f>IF(VLOOKUP(T_Convention[[#This Row],[NumL]],T_TraitDi[#Data],COLUMN(T_TraitDi[Colonne5]),FALSE)=0,"",TEXT(IFERROR(VLOOKUP(T_Convention[[#This Row],[NumL]],T_TraitDi[#Data],COLUMN(T_TraitDi[Colonne5]),FALSE),""),"[hh]:mm"))</f>
        <v>#N/A</v>
      </c>
      <c r="AD270" s="284" t="e">
        <f>IF(VLOOKUP(T_Convention[[#This Row],[NumL]],T_TraitDi[#Data],COLUMN(T_TraitDi[Colonne6]),FALSE)=0,"",TEXT(IFERROR(VLOOKUP(T_Convention[[#This Row],[NumL]],T_TraitDi[#Data],COLUMN(T_TraitDi[Colonne6]),FALSE),""),"[hh]:mm"))</f>
        <v>#N/A</v>
      </c>
      <c r="AE270" s="284" t="e">
        <f>IF(VLOOKUP(T_Convention[[#This Row],[NumL]],T_TraitDi[#Data],COLUMN(T_TraitDi[Colonne7]),FALSE)=0,"",TEXT(IFERROR(VLOOKUP(T_Convention[[#This Row],[NumL]],T_TraitDi[#Data],COLUMN(T_TraitDi[Colonne7]),FALSE),""),"[hh]:mm"))</f>
        <v>#N/A</v>
      </c>
      <c r="AF270" s="284" t="e">
        <f>IF(VLOOKUP(T_Convention[[#This Row],[NumL]],T_TraitDi[#Data],COLUMN(T_TraitDi[Colonne8]),FALSE)=0,"",TEXT(IFERROR(VLOOKUP(T_Convention[[#This Row],[NumL]],T_TraitDi[#Data],COLUMN(T_TraitDi[Colonne8]),FALSE),""),"[hh]:mm"))</f>
        <v>#N/A</v>
      </c>
      <c r="AG270" s="284" t="str">
        <f>IFERROR(VLOOKUP(T_Convention[[#This Row],[NumL]],T_TraitDi[#Data],COLUMN(T_TraitDi[Mardi]),FALSE),"")</f>
        <v/>
      </c>
      <c r="AH270" s="284" t="e">
        <f>IF(VLOOKUP(T_Convention[[#This Row],[NumL]],T_TraitDi[#Data],COLUMN(T_TraitDi[Colonne1]),FALSE)=0,"",TEXT(IFERROR(VLOOKUP(T_Convention[[#This Row],[NumL]],T_TraitDi[#Data],COLUMN(T_TraitDi[Colonne1]),FALSE),""),"[hh]:mm"))</f>
        <v>#N/A</v>
      </c>
      <c r="AI270" s="284" t="e">
        <f>IF(VLOOKUP(T_Convention[[#This Row],[NumL]],T_TraitDi[#Data],COLUMN(T_TraitDi[Colonne9]),FALSE)=0,"",TEXT(IFERROR(VLOOKUP(T_Convention[[#This Row],[NumL]],T_TraitDi[#Data],COLUMN(T_TraitDi[Colonne9]),FALSE),""),"[hh]:mm"))</f>
        <v>#N/A</v>
      </c>
      <c r="AJ270" s="284" t="str">
        <f>IFERROR(VLOOKUP(T_Convention[[#This Row],[NumL]],T_TraitDi[#Data],COLUMN(T_TraitDi[Colonne10]),FALSE),"")</f>
        <v/>
      </c>
      <c r="AK270" s="284" t="e">
        <f>IF(VLOOKUP(T_Convention[[#This Row],[NumL]],T_TraitDi[#Data],COLUMN(T_TraitDi[Colonne11]),FALSE)=0,"",TEXT(IFERROR(VLOOKUP(T_Convention[[#This Row],[NumL]],T_TraitDi[#Data],COLUMN(T_TraitDi[Colonne11]),FALSE),""),"[hh]:mm"))</f>
        <v>#N/A</v>
      </c>
      <c r="AL270" s="284" t="e">
        <f>IF(VLOOKUP(T_Convention[[#This Row],[NumL]],T_TraitDi[#Data],COLUMN(T_TraitDi[Colonne12]),FALSE)=0,"",TEXT(IFERROR(VLOOKUP(T_Convention[[#This Row],[NumL]],T_TraitDi[#Data],COLUMN(T_TraitDi[Colonne12]),FALSE),""),"[hh]:mm"))</f>
        <v>#N/A</v>
      </c>
      <c r="AM270" s="284" t="e">
        <f>IF(VLOOKUP(T_Convention[[#This Row],[NumL]],T_TraitDi[#Data],COLUMN(T_TraitDi[Colonne14]),FALSE)=0,"",TEXT(IFERROR(VLOOKUP(T_Convention[[#This Row],[NumL]],T_TraitDi[#Data],COLUMN(T_TraitDi[Colonne14]),FALSE),""),"[hh]:mm"))</f>
        <v>#N/A</v>
      </c>
      <c r="AN270" s="284" t="str">
        <f>IFERROR(VLOOKUP(T_Convention[[#This Row],[NumL]],T_TraitDi[#Data],COLUMN(T_TraitDi[Mercredi]),FALSE),"")</f>
        <v/>
      </c>
      <c r="AO270" s="284" t="e">
        <f>IF(VLOOKUP(T_Convention[[#This Row],[NumL]],T_TraitDi[#Data],COLUMN(T_TraitDi[Colonne15]),FALSE)=0,"",TEXT(IFERROR(VLOOKUP(T_Convention[[#This Row],[NumL]],T_TraitDi[#Data],COLUMN(T_TraitDi[Colonne15]),FALSE),""),"[hh]:mm"))</f>
        <v>#N/A</v>
      </c>
      <c r="AP270" s="284" t="e">
        <f>IF(VLOOKUP(T_Convention[[#This Row],[NumL]],T_TraitDi[#Data],COLUMN(T_TraitDi[Colonne16]),FALSE)=0,"",TEXT(IFERROR(VLOOKUP(T_Convention[[#This Row],[NumL]],T_TraitDi[#Data],COLUMN(T_TraitDi[Colonne16]),FALSE),""),"[hh]:mm"))</f>
        <v>#N/A</v>
      </c>
      <c r="AQ270" s="284" t="str">
        <f>IFERROR(VLOOKUP(T_Convention[[#This Row],[NumL]],T_TraitDi[#Data],COLUMN(T_TraitDi[Colonne17]),FALSE),"")</f>
        <v/>
      </c>
      <c r="AR270" s="284" t="e">
        <f>IF(VLOOKUP(T_Convention[[#This Row],[NumL]],T_TraitDi[#Data],COLUMN(T_TraitDi[Colonne18]),FALSE)=0,"",TEXT(IFERROR(VLOOKUP(T_Convention[[#This Row],[NumL]],T_TraitDi[#Data],COLUMN(T_TraitDi[Colonne18]),FALSE),""),"[hh]:mm"))</f>
        <v>#N/A</v>
      </c>
      <c r="AS270" s="284" t="e">
        <f>IF(VLOOKUP(T_Convention[[#This Row],[NumL]],T_TraitDi[#Data],COLUMN(T_TraitDi[Colonne19]),FALSE)=0,"",TEXT(IFERROR(VLOOKUP(T_Convention[[#This Row],[NumL]],T_TraitDi[#Data],COLUMN(T_TraitDi[Colonne19]),FALSE),""),"[hh]:mm"))</f>
        <v>#N/A</v>
      </c>
      <c r="AT270" s="284" t="e">
        <f>IF(VLOOKUP(T_Convention[[#This Row],[NumL]],T_TraitDi[#Data],COLUMN(T_TraitDi[Colonne20]),FALSE)=0,"",TEXT(IFERROR(VLOOKUP(T_Convention[[#This Row],[NumL]],T_TraitDi[#Data],COLUMN(T_TraitDi[Colonne20]),FALSE),""),"[hh]:mm"))</f>
        <v>#N/A</v>
      </c>
      <c r="AU270" s="284" t="str">
        <f>IFERROR(VLOOKUP(T_Convention[[#This Row],[NumL]],T_TraitDi[#Data],COLUMN(T_TraitDi[Jeudi]),FALSE),"")</f>
        <v/>
      </c>
      <c r="AV270" s="284" t="e">
        <f>IF(VLOOKUP(T_Convention[[#This Row],[NumL]],T_TraitDi[#Data],COLUMN(T_TraitDi[Colonne21]),FALSE)=0,"",TEXT(IFERROR(VLOOKUP(T_Convention[[#This Row],[NumL]],T_TraitDi[#Data],COLUMN(T_TraitDi[Colonne21]),FALSE),""),"[hh]:mm"))</f>
        <v>#N/A</v>
      </c>
      <c r="AW270" s="284" t="e">
        <f>IF(VLOOKUP(T_Convention[[#This Row],[NumL]],T_TraitDi[#Data],COLUMN(T_TraitDi[Colonne22]),FALSE)=0,"",TEXT(IFERROR(VLOOKUP(T_Convention[[#This Row],[NumL]],T_TraitDi[#Data],COLUMN(T_TraitDi[Colonne22]),FALSE),""),"[hh]:mm"))</f>
        <v>#N/A</v>
      </c>
      <c r="AX270" s="284" t="str">
        <f>IFERROR(VLOOKUP(T_Convention[[#This Row],[NumL]],T_TraitDi[#Data],COLUMN(T_TraitDi[Colonne23]),FALSE),"")</f>
        <v/>
      </c>
      <c r="AY270" s="284" t="e">
        <f>IF(VLOOKUP(T_Convention[[#This Row],[NumL]],T_TraitDi[#Data],COLUMN(T_TraitDi[Colonne24]),FALSE)=0,"",TEXT(IFERROR(VLOOKUP(T_Convention[[#This Row],[NumL]],T_TraitDi[#Data],COLUMN(T_TraitDi[Colonne24]),FALSE),""),"[hh]:mm"))</f>
        <v>#N/A</v>
      </c>
      <c r="AZ270" s="284" t="e">
        <f>IF(VLOOKUP(T_Convention[[#This Row],[NumL]],T_TraitDi[#Data],COLUMN(T_TraitDi[Colonne25]),FALSE)=0,"",TEXT(IFERROR(VLOOKUP(T_Convention[[#This Row],[NumL]],T_TraitDi[#Data],COLUMN(T_TraitDi[Colonne25]),FALSE),""),"[hh]:mm"))</f>
        <v>#N/A</v>
      </c>
      <c r="BA270" s="284" t="e">
        <f>IF(VLOOKUP(T_Convention[[#This Row],[NumL]],T_TraitDi[#Data],COLUMN(T_TraitDi[Colonne26]),FALSE)=0,"",TEXT(IFERROR(VLOOKUP(T_Convention[[#This Row],[NumL]],T_TraitDi[#Data],COLUMN(T_TraitDi[Colonne26]),FALSE),""),"[hh]:mm"))</f>
        <v>#N/A</v>
      </c>
      <c r="BB270" s="284" t="str">
        <f>IFERROR(VLOOKUP(T_Convention[[#This Row],[NumL]],T_TraitDi[#Data],COLUMN(T_TraitDi[Vendredi]),FALSE),"")</f>
        <v/>
      </c>
      <c r="BC270" s="284" t="e">
        <f>IF(VLOOKUP(T_Convention[[#This Row],[NumL]],T_TraitDi[#Data],COLUMN(T_TraitDi[Colonne27]),FALSE)=0,"",TEXT(IFERROR(VLOOKUP(T_Convention[[#This Row],[NumL]],T_TraitDi[#Data],COLUMN(T_TraitDi[Colonne27]),FALSE),""),"[hh]:mm"))</f>
        <v>#N/A</v>
      </c>
      <c r="BD270" s="284" t="e">
        <f>IF(VLOOKUP(T_Convention[[#This Row],[NumL]],T_TraitDi[#Data],COLUMN(T_TraitDi[Colonne28]),FALSE)=0,"",TEXT(IFERROR(VLOOKUP(T_Convention[[#This Row],[NumL]],T_TraitDi[#Data],COLUMN(T_TraitDi[Colonne28]),FALSE),""),"[hh]:mm"))</f>
        <v>#N/A</v>
      </c>
      <c r="BE270" s="284" t="str">
        <f>IFERROR(VLOOKUP(T_Convention[[#This Row],[NumL]],T_TraitDi[#Data],COLUMN(T_TraitDi[Colonne29]),FALSE),"")</f>
        <v/>
      </c>
      <c r="BF270" s="284" t="e">
        <f>IF(VLOOKUP(T_Convention[[#This Row],[NumL]],T_TraitDi[#Data],COLUMN(T_TraitDi[Colonne30]),FALSE)=0,"",TEXT(IFERROR(VLOOKUP(T_Convention[[#This Row],[NumL]],T_TraitDi[#Data],COLUMN(T_TraitDi[Colonne30]),FALSE),""),"[hh]:mm"))</f>
        <v>#N/A</v>
      </c>
      <c r="BG270" s="284" t="e">
        <f>IF(VLOOKUP(T_Convention[[#This Row],[NumL]],T_TraitDi[#Data],COLUMN(T_TraitDi[Colonne31]),FALSE)=0,"",TEXT(IFERROR(VLOOKUP(T_Convention[[#This Row],[NumL]],T_TraitDi[#Data],COLUMN(T_TraitDi[Colonne31]),FALSE),""),"[hh]:mm"))</f>
        <v>#N/A</v>
      </c>
      <c r="BH270" s="284" t="e">
        <f>IF(VLOOKUP(T_Convention[[#This Row],[NumL]],T_TraitDi[#Data],COLUMN(T_TraitDi[Colonne32]),FALSE)=0,"",TEXT(IFERROR(VLOOKUP(T_Convention[[#This Row],[NumL]],T_TraitDi[#Data],COLUMN(T_TraitDi[Colonne32]),FALSE),""),"[hh]:mm"))</f>
        <v>#N/A</v>
      </c>
      <c r="BI270" s="284" t="str">
        <f>IFERROR(VLOOKUP(T_Convention[[#This Row],[NumL]],T_TraitDi[#Data],COLUMN(T_TraitDi[NbJTW]),FALSE),"")</f>
        <v/>
      </c>
      <c r="BJ270" s="284" t="e">
        <f>IF(VLOOKUP(T_Convention[[#This Row],[NumL]],T_TraitDi[#Data],COLUMN(T_TraitDi[NbhTW]),FALSE)=0,"",TEXT(IFERROR(VLOOKUP(T_Convention[[#This Row],[NumL]],T_TraitDi[#Data],COLUMN(T_TraitDi[NbhTW]),FALSE),""),"[hh]:mm"))</f>
        <v>#N/A</v>
      </c>
      <c r="BK270" s="286" t="e">
        <f>IF(VLOOKUP(T_Convention[[#This Row],[NumL]],T_TraitDi[#Data],COLUMN(T_TraitDi[Nbhheb]),FALSE)=0,"",TEXT(IFERROR(VLOOKUP(T_Convention[[#This Row],[NumL]],T_TraitDi[#Data],COLUMN(T_TraitDi[Nbhheb]),FALSE),""),"[hh]:mm"))</f>
        <v>#N/A</v>
      </c>
      <c r="BL270" s="287" t="str">
        <f>IFERROR(VLOOKUP(VLOOKUP(T_Convention[[#This Row],[NumL]],T_TraitDi[#Data],COLUMN(T_TraitDi[Type1]),FALSE),TypeTW,2,FALSE),"")</f>
        <v/>
      </c>
      <c r="BM270" s="288" t="str">
        <f>IFERROR(VLOOKUP(T_Convention[[#This Row],[NumL]],T_TraitDi[#Data],COLUMN(T_TraitDi[Rue1]),FALSE),"")</f>
        <v/>
      </c>
      <c r="BN270" s="289" t="str">
        <f>IFERROR(VLOOKUP(T_Convention[[#This Row],[NumL]],T_TraitDi[#Data],COLUMN(T_TraitDi[CP1]),FALSE),"")</f>
        <v/>
      </c>
      <c r="BO270" s="282" t="str">
        <f>IFERROR(VLOOKUP(T_Convention[[#This Row],[NumL]],T_TraitDi[#Data],COLUMN(T_TraitDi[VILLE1]),FALSE),"")</f>
        <v/>
      </c>
      <c r="BP270" s="290" t="str">
        <f>IFERROR(VLOOKUP(VLOOKUP(T_Convention[[#This Row],[NumL]],T_TraitDi[#Data],COLUMN(T_TraitDi[Type2]),FALSE),TypeTW,2,FALSE),"")</f>
        <v/>
      </c>
      <c r="BQ270" s="182" t="str">
        <f>IFERROR(VLOOKUP(T_Convention[[#This Row],[NumL]],T_TraitDi[#Data],COLUMN(T_TraitDi[Rue2]),FALSE),"")</f>
        <v/>
      </c>
      <c r="BR270" s="173" t="str">
        <f>IFERROR(VLOOKUP(T_Convention[[#This Row],[NumL]],T_TraitDi[#Data],COLUMN(T_TraitDi[CP2]),FALSE),"")</f>
        <v/>
      </c>
      <c r="BS270" s="173" t="str">
        <f>IFERROR(VLOOKUP(T_Convention[[#This Row],[NumL]],T_TraitDi[#Data],COLUMN(T_TraitDi[VILLE2]),FALSE),"")</f>
        <v/>
      </c>
      <c r="BT270" s="182" t="str">
        <f>IF(VLOOKUP(T_Convention[[#This Row],[NumL]],T_Equipement[#Data],COLUMN(T_Equipement[PC]),FALSE)="","Aucun équipement spécifique directement lié au télétravail",VLOOKUP(T_Convention[[#This Row],[NumL]],T_Equipement[#Data],COLUMN(T_Equipement[PC]),FALSE))</f>
        <v xml:space="preserve">20-296	</v>
      </c>
      <c r="BU270" s="166" t="str">
        <f>IFERROR(IF(VLOOKUP(T_Convention[[#This Row],[NumL]],T_TraitDi[#Data],COLUMN(T_TraitDi[Plan]),FALSE)="OK","Un planning spécifique de télétravail est annexé à la présente convention.",""),"")</f>
        <v/>
      </c>
      <c r="BV270" s="185" t="s">
        <v>3501</v>
      </c>
      <c r="BW270" s="164" t="e">
        <f>IF(VLOOKUP(T_Convention[[#This Row],[NumL]],T_suiviDi[#Data],COLUMN(T_suiviDi[Entité]),FALSE)="","",VLOOKUP(T_Convention[[#This Row],[NumL]],T_suiviDi[#Data],COLUMN(T_suiviDi[Entité]),FALSE))</f>
        <v>#N/A</v>
      </c>
      <c r="BX270" s="164" t="str">
        <f>IF(VLOOKUP(T_Convention[[#This Row],[NumL]],T_Commission[#Data],COLUMN(T_Commission[envoi confirm TW]),FALSE)="","",VLOOKUP(T_Convention[[#This Row],[NumL]],T_Commission[#Data],COLUMN(T_Commission[envoi confirm TW]),FALSE))</f>
        <v>Oui</v>
      </c>
      <c r="BY27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0" s="264">
        <f>VLOOKUP(T_Convention[[#This Row],[NumL]],T_Commission[#Data],COLUMN(T_Commission[Commentaire]),FALSE)</f>
        <v>0</v>
      </c>
      <c r="CA270" s="254" t="str">
        <f>IF(VLOOKUP(T_Convention[[#This Row],[NumL]],T_Commission[#Data],COLUMN(T_Commission[Encadrant Email]),FALSE)="","",VLOOKUP(T_Convention[[#This Row],[NumL]],T_Commission[#Data],COLUMN(T_Commission[Encadrant Email]),FALSE))</f>
        <v/>
      </c>
      <c r="CB270" s="353" t="e">
        <f>VLOOKUP(T_Convention[[#This Row],[NumL]],T_TraitDi[#Data],COLUMN(T_TraitDi[NbJTot]),FALSE)</f>
        <v>#N/A</v>
      </c>
      <c r="CC270" s="353" t="e">
        <f>VLOOKUP(T_Convention[[#This Row],[NumL]],T_TraitDi[#Data],COLUMN(T_TraitDi[Reg Ponct]),FALSE)</f>
        <v>#N/A</v>
      </c>
      <c r="CD270" s="348" t="str">
        <f>IF(T_Convention[[#This Row],[Final]]&lt;&gt;"",VLOOKUP(T_Convention[[#This Row],[NumL]],T_suiviDi[#Data],COLUMN((T_suiviDi[Statut])),FALSE),"")</f>
        <v/>
      </c>
    </row>
    <row r="271" spans="1:82" s="106" customFormat="1" ht="18.75" customHeight="1" x14ac:dyDescent="0.25">
      <c r="A271" s="160">
        <v>73</v>
      </c>
      <c r="B271" s="161" t="str">
        <f>VLOOKUP(T_Convention[[#This Row],[NumL]],T_Commission[#Data],COLUMN(T_Commission[FINAL]),FALSE)</f>
        <v/>
      </c>
      <c r="C271" s="162"/>
      <c r="D271" s="95" t="e">
        <f>IF(VLOOKUP(T_Convention[[#This Row],[NumL]],T_TraitDi[#Data],COLUMN(T_TraitDi[WebC]),FALSE)="","",VLOOKUP(T_Convention[[#This Row],[NumL]],T_TraitDi[#Data],COLUMN(T_TraitDi[WebC]),FALSE))</f>
        <v>#N/A</v>
      </c>
      <c r="E271" s="163" t="str">
        <f t="shared" si="20"/>
        <v>12 janvier 2021</v>
      </c>
      <c r="F271" s="282" t="str">
        <f>IF(T_Convention[[#This Row],[Final]]&lt;&gt;"",VLOOKUP(T_Convention[[#This Row],[NumL]],T_suiviDi[#Data],COLUMN((T_suiviDi[Civ.])),FALSE),"")</f>
        <v/>
      </c>
      <c r="G271" s="283" t="str">
        <f>IF(T_Convention[[#This Row],[Final]]&lt;&gt;"",VLOOKUP(T_Convention[[#This Row],[NumL]],T_suiviDi[#Data],COLUMN((T_suiviDi[Nom])),FALSE),"")</f>
        <v/>
      </c>
      <c r="H271" s="282" t="str">
        <f>IF(T_Convention[[#This Row],[Final]]&lt;&gt;"",VLOOKUP(T_Convention[[#This Row],[NumL]],T_suiviDi[#Data],COLUMN((T_suiviDi[Prénom])),FALSE),"")</f>
        <v/>
      </c>
      <c r="I271" s="282" t="e">
        <f>VLOOKUP(T_Convention[[#This Row],[NumL]],T_suiviDi[#Data],COLUMN((T_suiviDi[[#This Row],[Email]])),FALSE)</f>
        <v>#VALUE!</v>
      </c>
      <c r="J271" s="282" t="e">
        <f>IF(VLOOKUP(T_Convention[[#This Row],[NumL]],T_suiviDi[#Data],COLUMN(T_suiviDi[[#This Row],[Fonction]]),FALSE)="","",VLOOKUP(T_Convention[[#This Row],[NumL]],T_suiviDi[#Data],COLUMN(T_suiviDi[[#This Row],[Fonction]]),FALSE))</f>
        <v>#VALUE!</v>
      </c>
      <c r="K271" s="282" t="e">
        <f>IF(VLOOKUP(T_Convention[[#This Row],[NumL]],T_suiviDi[#Data],COLUMN(T_suiviDi[[#This Row],[Grade]]),FALSE)="","",VLOOKUP(T_Convention[[#This Row],[NumL]],T_suiviDi[#Data],COLUMN(T_suiviDi[[#This Row],[Grade]]),FALSE))</f>
        <v>#VALUE!</v>
      </c>
      <c r="L271" s="282" t="e">
        <f>IF(VLOOKUP(T_Convention[[#This Row],[NumL]],T_suiviDi[#Data],COLUMN(T_suiviDi[[#This Row],[Service ]]),FALSE)="","",VLOOKUP(T_Convention[[#This Row],[NumL]],T_suiviDi[#Data],COLUMN(T_suiviDi[[#This Row],[Service ]]),FALSE))</f>
        <v>#VALUE!</v>
      </c>
      <c r="M271" s="164" t="str">
        <f t="shared" si="21"/>
        <v>01 septembre 2021</v>
      </c>
      <c r="N271" s="164" t="str">
        <f t="shared" si="22"/>
        <v>30 novembre 2021</v>
      </c>
      <c r="O271" s="284" t="str">
        <f t="shared" si="23"/>
        <v>30 novembre 2021</v>
      </c>
      <c r="P271" s="282" t="e">
        <f>IF(VLOOKUP(T_Convention[[#This Row],[NumL]],T_TraitDi[#Data],COLUMN(T_TraitDi[M1]),FALSE)="","",VLOOKUP(T_Convention[[#This Row],[NumL]],T_TraitDi[#Data],COLUMN(T_TraitDi[M1]),FALSE))</f>
        <v>#N/A</v>
      </c>
      <c r="Q271" s="282" t="e">
        <f>IF(VLOOKUP(T_Convention[[#This Row],[NumL]],T_TraitDi[#Data],COLUMN(T_TraitDi[M2]),FALSE)="","",VLOOKUP(T_Convention[[#This Row],[NumL]],T_TraitDi[#Data],COLUMN(T_TraitDi[M2]),FALSE))</f>
        <v>#N/A</v>
      </c>
      <c r="R271" s="282" t="e">
        <f>IF(VLOOKUP(T_Convention[[#This Row],[NumL]],T_TraitDi[#Data],COLUMN(T_TraitDi[M3]),FALSE)="","",VLOOKUP(T_Convention[[#This Row],[NumL]],T_TraitDi[#Data],COLUMN(T_TraitDi[M3]),FALSE))</f>
        <v>#N/A</v>
      </c>
      <c r="S271" s="282" t="e">
        <f>IF(VLOOKUP(T_Convention[[#This Row],[NumL]],T_TraitDi[#Data],COLUMN(T_TraitDi[M4]),FALSE)="","",VLOOKUP(T_Convention[[#This Row],[NumL]],T_TraitDi[#Data],COLUMN(T_TraitDi[M4]),FALSE))</f>
        <v>#N/A</v>
      </c>
      <c r="T271" s="282" t="e">
        <f>IF(VLOOKUP(T_Convention[[#This Row],[NumL]],T_TraitDi[#Data],COLUMN(T_TraitDi[M5]),FALSE)="","",VLOOKUP(T_Convention[[#This Row],[NumL]],T_TraitDi[#Data],COLUMN(T_TraitDi[M5]),FALSE))</f>
        <v>#N/A</v>
      </c>
      <c r="U271" s="282" t="e">
        <f>IF(VLOOKUP(T_Convention[[#This Row],[NumL]],T_TraitDi[#Data],COLUMN(T_TraitDi[M6]),FALSE)="","",VLOOKUP(T_Convention[[#This Row],[NumL]],T_TraitDi[#Data],COLUMN(T_TraitDi[M6]),FALSE))</f>
        <v>#N/A</v>
      </c>
      <c r="V271" s="176" t="e">
        <f t="shared" si="24"/>
        <v>#N/A</v>
      </c>
      <c r="W271" s="284" t="str">
        <f>IFERROR(TEXT(VLOOKUP(T_Convention[[#This Row],[NumL]],T_TraitDi[#Data],COLUMN(T_TraitDi[Q2]),FALSE),"###%"),"")</f>
        <v/>
      </c>
      <c r="X271" s="97" t="e">
        <f>VLOOKUP(T_Convention[[#This Row],[NumL]],T_TraitDi[#Data],COLUMN(T_TraitDi[Reg Ponct]),FALSE)</f>
        <v>#N/A</v>
      </c>
      <c r="Y271" s="97" t="e">
        <f>VLOOKUP(T_Convention[NumL],T_TraitDi[#Data],COLUMN(T_TraitDi[Jours flottants]),FALSE)</f>
        <v>#N/A</v>
      </c>
      <c r="Z271" s="284" t="str">
        <f>IFERROR(VLOOKUP(T_Convention[[#This Row],[NumL]],T_TraitDi[#Data],COLUMN(T_TraitDi[Lundi]),FALSE),"")</f>
        <v/>
      </c>
      <c r="AA271" s="284" t="e">
        <f>IF(VLOOKUP(T_Convention[[#This Row],[NumL]],T_TraitDi[#Data],COLUMN(T_TraitDi[Colonne3]),FALSE)=0,"",TEXT(IFERROR(VLOOKUP(T_Convention[[#This Row],[NumL]],T_TraitDi[#Data],COLUMN(T_TraitDi[Colonne3]),FALSE),""),"[hh]:mm"))</f>
        <v>#N/A</v>
      </c>
      <c r="AB271" s="284" t="e">
        <f>IF(VLOOKUP(T_Convention[[#This Row],[NumL]],T_TraitDi[#Data],COLUMN(T_TraitDi[Colonne4]),FALSE)=0,"",TEXT(IFERROR(VLOOKUP(T_Convention[[#This Row],[NumL]],T_TraitDi[#Data],COLUMN(T_TraitDi[Colonne4]),FALSE),""),"[hh]:mm"))</f>
        <v>#N/A</v>
      </c>
      <c r="AC271" s="284" t="e">
        <f>IF(VLOOKUP(T_Convention[[#This Row],[NumL]],T_TraitDi[#Data],COLUMN(T_TraitDi[Colonne5]),FALSE)=0,"",TEXT(IFERROR(VLOOKUP(T_Convention[[#This Row],[NumL]],T_TraitDi[#Data],COLUMN(T_TraitDi[Colonne5]),FALSE),""),"[hh]:mm"))</f>
        <v>#N/A</v>
      </c>
      <c r="AD271" s="284" t="e">
        <f>IF(VLOOKUP(T_Convention[[#This Row],[NumL]],T_TraitDi[#Data],COLUMN(T_TraitDi[Colonne6]),FALSE)=0,"",TEXT(IFERROR(VLOOKUP(T_Convention[[#This Row],[NumL]],T_TraitDi[#Data],COLUMN(T_TraitDi[Colonne6]),FALSE),""),"[hh]:mm"))</f>
        <v>#N/A</v>
      </c>
      <c r="AE271" s="284" t="e">
        <f>IF(VLOOKUP(T_Convention[[#This Row],[NumL]],T_TraitDi[#Data],COLUMN(T_TraitDi[Colonne7]),FALSE)=0,"",TEXT(IFERROR(VLOOKUP(T_Convention[[#This Row],[NumL]],T_TraitDi[#Data],COLUMN(T_TraitDi[Colonne7]),FALSE),""),"[hh]:mm"))</f>
        <v>#N/A</v>
      </c>
      <c r="AF271" s="284" t="e">
        <f>IF(VLOOKUP(T_Convention[[#This Row],[NumL]],T_TraitDi[#Data],COLUMN(T_TraitDi[Colonne8]),FALSE)=0,"",TEXT(IFERROR(VLOOKUP(T_Convention[[#This Row],[NumL]],T_TraitDi[#Data],COLUMN(T_TraitDi[Colonne8]),FALSE),""),"[hh]:mm"))</f>
        <v>#N/A</v>
      </c>
      <c r="AG271" s="284" t="str">
        <f>IFERROR(VLOOKUP(T_Convention[[#This Row],[NumL]],T_TraitDi[#Data],COLUMN(T_TraitDi[Mardi]),FALSE),"")</f>
        <v/>
      </c>
      <c r="AH271" s="284" t="e">
        <f>IF(VLOOKUP(T_Convention[[#This Row],[NumL]],T_TraitDi[#Data],COLUMN(T_TraitDi[Colonne1]),FALSE)=0,"",TEXT(IFERROR(VLOOKUP(T_Convention[[#This Row],[NumL]],T_TraitDi[#Data],COLUMN(T_TraitDi[Colonne1]),FALSE),""),"[hh]:mm"))</f>
        <v>#N/A</v>
      </c>
      <c r="AI271" s="284" t="e">
        <f>IF(VLOOKUP(T_Convention[[#This Row],[NumL]],T_TraitDi[#Data],COLUMN(T_TraitDi[Colonne9]),FALSE)=0,"",TEXT(IFERROR(VLOOKUP(T_Convention[[#This Row],[NumL]],T_TraitDi[#Data],COLUMN(T_TraitDi[Colonne9]),FALSE),""),"[hh]:mm"))</f>
        <v>#N/A</v>
      </c>
      <c r="AJ271" s="284" t="str">
        <f>IFERROR(VLOOKUP(T_Convention[[#This Row],[NumL]],T_TraitDi[#Data],COLUMN(T_TraitDi[Colonne10]),FALSE),"")</f>
        <v/>
      </c>
      <c r="AK271" s="284" t="e">
        <f>IF(VLOOKUP(T_Convention[[#This Row],[NumL]],T_TraitDi[#Data],COLUMN(T_TraitDi[Colonne11]),FALSE)=0,"",TEXT(IFERROR(VLOOKUP(T_Convention[[#This Row],[NumL]],T_TraitDi[#Data],COLUMN(T_TraitDi[Colonne11]),FALSE),""),"[hh]:mm"))</f>
        <v>#N/A</v>
      </c>
      <c r="AL271" s="284" t="e">
        <f>IF(VLOOKUP(T_Convention[[#This Row],[NumL]],T_TraitDi[#Data],COLUMN(T_TraitDi[Colonne12]),FALSE)=0,"",TEXT(IFERROR(VLOOKUP(T_Convention[[#This Row],[NumL]],T_TraitDi[#Data],COLUMN(T_TraitDi[Colonne12]),FALSE),""),"[hh]:mm"))</f>
        <v>#N/A</v>
      </c>
      <c r="AM271" s="284" t="e">
        <f>IF(VLOOKUP(T_Convention[[#This Row],[NumL]],T_TraitDi[#Data],COLUMN(T_TraitDi[Colonne14]),FALSE)=0,"",TEXT(IFERROR(VLOOKUP(T_Convention[[#This Row],[NumL]],T_TraitDi[#Data],COLUMN(T_TraitDi[Colonne14]),FALSE),""),"[hh]:mm"))</f>
        <v>#N/A</v>
      </c>
      <c r="AN271" s="284" t="str">
        <f>IFERROR(VLOOKUP(T_Convention[[#This Row],[NumL]],T_TraitDi[#Data],COLUMN(T_TraitDi[Mercredi]),FALSE),"")</f>
        <v/>
      </c>
      <c r="AO271" s="284" t="e">
        <f>IF(VLOOKUP(T_Convention[[#This Row],[NumL]],T_TraitDi[#Data],COLUMN(T_TraitDi[Colonne15]),FALSE)=0,"",TEXT(IFERROR(VLOOKUP(T_Convention[[#This Row],[NumL]],T_TraitDi[#Data],COLUMN(T_TraitDi[Colonne15]),FALSE),""),"[hh]:mm"))</f>
        <v>#N/A</v>
      </c>
      <c r="AP271" s="284" t="e">
        <f>IF(VLOOKUP(T_Convention[[#This Row],[NumL]],T_TraitDi[#Data],COLUMN(T_TraitDi[Colonne16]),FALSE)=0,"",TEXT(IFERROR(VLOOKUP(T_Convention[[#This Row],[NumL]],T_TraitDi[#Data],COLUMN(T_TraitDi[Colonne16]),FALSE),""),"[hh]:mm"))</f>
        <v>#N/A</v>
      </c>
      <c r="AQ271" s="284" t="str">
        <f>IFERROR(VLOOKUP(T_Convention[[#This Row],[NumL]],T_TraitDi[#Data],COLUMN(T_TraitDi[Colonne17]),FALSE),"")</f>
        <v/>
      </c>
      <c r="AR271" s="284" t="e">
        <f>IF(VLOOKUP(T_Convention[[#This Row],[NumL]],T_TraitDi[#Data],COLUMN(T_TraitDi[Colonne18]),FALSE)=0,"",TEXT(IFERROR(VLOOKUP(T_Convention[[#This Row],[NumL]],T_TraitDi[#Data],COLUMN(T_TraitDi[Colonne18]),FALSE),""),"[hh]:mm"))</f>
        <v>#N/A</v>
      </c>
      <c r="AS271" s="284" t="e">
        <f>IF(VLOOKUP(T_Convention[[#This Row],[NumL]],T_TraitDi[#Data],COLUMN(T_TraitDi[Colonne19]),FALSE)=0,"",TEXT(IFERROR(VLOOKUP(T_Convention[[#This Row],[NumL]],T_TraitDi[#Data],COLUMN(T_TraitDi[Colonne19]),FALSE),""),"[hh]:mm"))</f>
        <v>#N/A</v>
      </c>
      <c r="AT271" s="284" t="e">
        <f>IF(VLOOKUP(T_Convention[[#This Row],[NumL]],T_TraitDi[#Data],COLUMN(T_TraitDi[Colonne20]),FALSE)=0,"",TEXT(IFERROR(VLOOKUP(T_Convention[[#This Row],[NumL]],T_TraitDi[#Data],COLUMN(T_TraitDi[Colonne20]),FALSE),""),"[hh]:mm"))</f>
        <v>#N/A</v>
      </c>
      <c r="AU271" s="284" t="str">
        <f>IFERROR(VLOOKUP(T_Convention[[#This Row],[NumL]],T_TraitDi[#Data],COLUMN(T_TraitDi[Jeudi]),FALSE),"")</f>
        <v/>
      </c>
      <c r="AV271" s="284" t="e">
        <f>IF(VLOOKUP(T_Convention[[#This Row],[NumL]],T_TraitDi[#Data],COLUMN(T_TraitDi[Colonne21]),FALSE)=0,"",TEXT(IFERROR(VLOOKUP(T_Convention[[#This Row],[NumL]],T_TraitDi[#Data],COLUMN(T_TraitDi[Colonne21]),FALSE),""),"[hh]:mm"))</f>
        <v>#N/A</v>
      </c>
      <c r="AW271" s="284" t="e">
        <f>IF(VLOOKUP(T_Convention[[#This Row],[NumL]],T_TraitDi[#Data],COLUMN(T_TraitDi[Colonne22]),FALSE)=0,"",TEXT(IFERROR(VLOOKUP(T_Convention[[#This Row],[NumL]],T_TraitDi[#Data],COLUMN(T_TraitDi[Colonne22]),FALSE),""),"[hh]:mm"))</f>
        <v>#N/A</v>
      </c>
      <c r="AX271" s="284" t="str">
        <f>IFERROR(VLOOKUP(T_Convention[[#This Row],[NumL]],T_TraitDi[#Data],COLUMN(T_TraitDi[Colonne23]),FALSE),"")</f>
        <v/>
      </c>
      <c r="AY271" s="284" t="e">
        <f>IF(VLOOKUP(T_Convention[[#This Row],[NumL]],T_TraitDi[#Data],COLUMN(T_TraitDi[Colonne24]),FALSE)=0,"",TEXT(IFERROR(VLOOKUP(T_Convention[[#This Row],[NumL]],T_TraitDi[#Data],COLUMN(T_TraitDi[Colonne24]),FALSE),""),"[hh]:mm"))</f>
        <v>#N/A</v>
      </c>
      <c r="AZ271" s="284" t="e">
        <f>IF(VLOOKUP(T_Convention[[#This Row],[NumL]],T_TraitDi[#Data],COLUMN(T_TraitDi[Colonne25]),FALSE)=0,"",TEXT(IFERROR(VLOOKUP(T_Convention[[#This Row],[NumL]],T_TraitDi[#Data],COLUMN(T_TraitDi[Colonne25]),FALSE),""),"[hh]:mm"))</f>
        <v>#N/A</v>
      </c>
      <c r="BA271" s="284" t="e">
        <f>IF(VLOOKUP(T_Convention[[#This Row],[NumL]],T_TraitDi[#Data],COLUMN(T_TraitDi[Colonne26]),FALSE)=0,"",TEXT(IFERROR(VLOOKUP(T_Convention[[#This Row],[NumL]],T_TraitDi[#Data],COLUMN(T_TraitDi[Colonne26]),FALSE),""),"[hh]:mm"))</f>
        <v>#N/A</v>
      </c>
      <c r="BB271" s="284" t="str">
        <f>IFERROR(VLOOKUP(T_Convention[[#This Row],[NumL]],T_TraitDi[#Data],COLUMN(T_TraitDi[Vendredi]),FALSE),"")</f>
        <v/>
      </c>
      <c r="BC271" s="284" t="e">
        <f>IF(VLOOKUP(T_Convention[[#This Row],[NumL]],T_TraitDi[#Data],COLUMN(T_TraitDi[Colonne27]),FALSE)=0,"",TEXT(IFERROR(VLOOKUP(T_Convention[[#This Row],[NumL]],T_TraitDi[#Data],COLUMN(T_TraitDi[Colonne27]),FALSE),""),"[hh]:mm"))</f>
        <v>#N/A</v>
      </c>
      <c r="BD271" s="284" t="e">
        <f>IF(VLOOKUP(T_Convention[[#This Row],[NumL]],T_TraitDi[#Data],COLUMN(T_TraitDi[Colonne28]),FALSE)=0,"",TEXT(IFERROR(VLOOKUP(T_Convention[[#This Row],[NumL]],T_TraitDi[#Data],COLUMN(T_TraitDi[Colonne28]),FALSE),""),"[hh]:mm"))</f>
        <v>#N/A</v>
      </c>
      <c r="BE271" s="284" t="str">
        <f>IFERROR(VLOOKUP(T_Convention[[#This Row],[NumL]],T_TraitDi[#Data],COLUMN(T_TraitDi[Colonne29]),FALSE),"")</f>
        <v/>
      </c>
      <c r="BF271" s="284" t="e">
        <f>IF(VLOOKUP(T_Convention[[#This Row],[NumL]],T_TraitDi[#Data],COLUMN(T_TraitDi[Colonne30]),FALSE)=0,"",TEXT(IFERROR(VLOOKUP(T_Convention[[#This Row],[NumL]],T_TraitDi[#Data],COLUMN(T_TraitDi[Colonne30]),FALSE),""),"[hh]:mm"))</f>
        <v>#N/A</v>
      </c>
      <c r="BG271" s="284" t="e">
        <f>IF(VLOOKUP(T_Convention[[#This Row],[NumL]],T_TraitDi[#Data],COLUMN(T_TraitDi[Colonne31]),FALSE)=0,"",TEXT(IFERROR(VLOOKUP(T_Convention[[#This Row],[NumL]],T_TraitDi[#Data],COLUMN(T_TraitDi[Colonne31]),FALSE),""),"[hh]:mm"))</f>
        <v>#N/A</v>
      </c>
      <c r="BH271" s="284" t="e">
        <f>IF(VLOOKUP(T_Convention[[#This Row],[NumL]],T_TraitDi[#Data],COLUMN(T_TraitDi[Colonne32]),FALSE)=0,"",TEXT(IFERROR(VLOOKUP(T_Convention[[#This Row],[NumL]],T_TraitDi[#Data],COLUMN(T_TraitDi[Colonne32]),FALSE),""),"[hh]:mm"))</f>
        <v>#N/A</v>
      </c>
      <c r="BI271" s="284" t="str">
        <f>IFERROR(VLOOKUP(T_Convention[[#This Row],[NumL]],T_TraitDi[#Data],COLUMN(T_TraitDi[NbJTW]),FALSE),"")</f>
        <v/>
      </c>
      <c r="BJ271" s="284" t="e">
        <f>IF(VLOOKUP(T_Convention[[#This Row],[NumL]],T_TraitDi[#Data],COLUMN(T_TraitDi[NbhTW]),FALSE)=0,"",TEXT(IFERROR(VLOOKUP(T_Convention[[#This Row],[NumL]],T_TraitDi[#Data],COLUMN(T_TraitDi[NbhTW]),FALSE),""),"[hh]:mm"))</f>
        <v>#N/A</v>
      </c>
      <c r="BK271" s="286" t="e">
        <f>IF(VLOOKUP(T_Convention[[#This Row],[NumL]],T_TraitDi[#Data],COLUMN(T_TraitDi[Nbhheb]),FALSE)=0,"",TEXT(IFERROR(VLOOKUP(T_Convention[[#This Row],[NumL]],T_TraitDi[#Data],COLUMN(T_TraitDi[Nbhheb]),FALSE),""),"[hh]:mm"))</f>
        <v>#N/A</v>
      </c>
      <c r="BL271" s="287" t="str">
        <f>IFERROR(VLOOKUP(VLOOKUP(T_Convention[[#This Row],[NumL]],T_TraitDi[#Data],COLUMN(T_TraitDi[Type1]),FALSE),TypeTW,2,FALSE),"")</f>
        <v/>
      </c>
      <c r="BM271" s="288" t="str">
        <f>IFERROR(VLOOKUP(T_Convention[[#This Row],[NumL]],T_TraitDi[#Data],COLUMN(T_TraitDi[Rue1]),FALSE),"")</f>
        <v/>
      </c>
      <c r="BN271" s="289" t="str">
        <f>IFERROR(VLOOKUP(T_Convention[[#This Row],[NumL]],T_TraitDi[#Data],COLUMN(T_TraitDi[CP1]),FALSE),"")</f>
        <v/>
      </c>
      <c r="BO271" s="282" t="str">
        <f>IFERROR(VLOOKUP(T_Convention[[#This Row],[NumL]],T_TraitDi[#Data],COLUMN(T_TraitDi[VILLE1]),FALSE),"")</f>
        <v/>
      </c>
      <c r="BP271" s="290" t="str">
        <f>IFERROR(VLOOKUP(VLOOKUP(T_Convention[[#This Row],[NumL]],T_TraitDi[#Data],COLUMN(T_TraitDi[Type2]),FALSE),TypeTW,2,FALSE),"")</f>
        <v/>
      </c>
      <c r="BQ271" s="182" t="str">
        <f>IFERROR(VLOOKUP(T_Convention[[#This Row],[NumL]],T_TraitDi[#Data],COLUMN(T_TraitDi[Rue2]),FALSE),"")</f>
        <v/>
      </c>
      <c r="BR271" s="173" t="str">
        <f>IFERROR(VLOOKUP(T_Convention[[#This Row],[NumL]],T_TraitDi[#Data],COLUMN(T_TraitDi[CP2]),FALSE),"")</f>
        <v/>
      </c>
      <c r="BS271" s="173" t="str">
        <f>IFERROR(VLOOKUP(T_Convention[[#This Row],[NumL]],T_TraitDi[#Data],COLUMN(T_TraitDi[VILLE2]),FALSE),"")</f>
        <v/>
      </c>
      <c r="BT271" s="182" t="str">
        <f>IF(VLOOKUP(T_Convention[[#This Row],[NumL]],T_Equipement[#Data],COLUMN(T_Equipement[PC]),FALSE)="","Aucun équipement spécifique directement lié au télétravail",VLOOKUP(T_Convention[[#This Row],[NumL]],T_Equipement[#Data],COLUMN(T_Equipement[PC]),FALSE))</f>
        <v xml:space="preserve">20-083	</v>
      </c>
      <c r="BU271" s="166" t="str">
        <f>IFERROR(IF(VLOOKUP(T_Convention[[#This Row],[NumL]],T_TraitDi[#Data],COLUMN(T_TraitDi[Plan]),FALSE)="OK","Un planning spécifique de télétravail est annexé à la présente convention.",""),"")</f>
        <v/>
      </c>
      <c r="BV271" s="185" t="s">
        <v>3296</v>
      </c>
      <c r="BW271" s="164" t="e">
        <f>IF(VLOOKUP(T_Convention[[#This Row],[NumL]],T_suiviDi[#Data],COLUMN(T_suiviDi[Entité]),FALSE)="","",VLOOKUP(T_Convention[[#This Row],[NumL]],T_suiviDi[#Data],COLUMN(T_suiviDi[Entité]),FALSE))</f>
        <v>#N/A</v>
      </c>
      <c r="BX271" s="164" t="str">
        <f>IF(VLOOKUP(T_Convention[[#This Row],[NumL]],T_Commission[#Data],COLUMN(T_Commission[envoi confirm TW]),FALSE)="","",VLOOKUP(T_Convention[[#This Row],[NumL]],T_Commission[#Data],COLUMN(T_Commission[envoi confirm TW]),FALSE))</f>
        <v>Oui</v>
      </c>
      <c r="BY27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1" s="264">
        <f>VLOOKUP(T_Convention[[#This Row],[NumL]],T_Commission[#Data],COLUMN(T_Commission[Commentaire]),FALSE)</f>
        <v>0</v>
      </c>
      <c r="CA271" s="254" t="str">
        <f>IF(VLOOKUP(T_Convention[[#This Row],[NumL]],T_Commission[#Data],COLUMN(T_Commission[Encadrant Email]),FALSE)="","",VLOOKUP(T_Convention[[#This Row],[NumL]],T_Commission[#Data],COLUMN(T_Commission[Encadrant Email]),FALSE))</f>
        <v/>
      </c>
      <c r="CB271" s="353" t="e">
        <f>VLOOKUP(T_Convention[[#This Row],[NumL]],T_TraitDi[#Data],COLUMN(T_TraitDi[NbJTot]),FALSE)</f>
        <v>#N/A</v>
      </c>
      <c r="CC271" s="353" t="e">
        <f>VLOOKUP(T_Convention[[#This Row],[NumL]],T_TraitDi[#Data],COLUMN(T_TraitDi[Reg Ponct]),FALSE)</f>
        <v>#N/A</v>
      </c>
      <c r="CD271" s="348" t="str">
        <f>IF(T_Convention[[#This Row],[Final]]&lt;&gt;"",VLOOKUP(T_Convention[[#This Row],[NumL]],T_suiviDi[#Data],COLUMN((T_suiviDi[Statut])),FALSE),"")</f>
        <v/>
      </c>
    </row>
    <row r="272" spans="1:82" s="106" customFormat="1" ht="18.75" customHeight="1" x14ac:dyDescent="0.25">
      <c r="A272" s="160">
        <v>232</v>
      </c>
      <c r="B272" s="161" t="str">
        <f>VLOOKUP(T_Convention[[#This Row],[NumL]],T_Commission[#Data],COLUMN(T_Commission[FINAL]),FALSE)</f>
        <v/>
      </c>
      <c r="C272" s="162"/>
      <c r="D272" s="95" t="e">
        <f>IF(VLOOKUP(T_Convention[[#This Row],[NumL]],T_TraitDi[#Data],COLUMN(T_TraitDi[WebC]),FALSE)="","",VLOOKUP(T_Convention[[#This Row],[NumL]],T_TraitDi[#Data],COLUMN(T_TraitDi[WebC]),FALSE))</f>
        <v>#N/A</v>
      </c>
      <c r="E272" s="163" t="str">
        <f t="shared" si="20"/>
        <v>12 janvier 2021</v>
      </c>
      <c r="F272" s="282" t="str">
        <f>IF(T_Convention[[#This Row],[Final]]&lt;&gt;"",VLOOKUP(T_Convention[[#This Row],[NumL]],T_suiviDi[#Data],COLUMN((T_suiviDi[Civ.])),FALSE),"")</f>
        <v/>
      </c>
      <c r="G272" s="283" t="str">
        <f>IF(T_Convention[[#This Row],[Final]]&lt;&gt;"",VLOOKUP(T_Convention[[#This Row],[NumL]],T_suiviDi[#Data],COLUMN((T_suiviDi[Nom])),FALSE),"")</f>
        <v/>
      </c>
      <c r="H272" s="282" t="str">
        <f>IF(T_Convention[[#This Row],[Final]]&lt;&gt;"",VLOOKUP(T_Convention[[#This Row],[NumL]],T_suiviDi[#Data],COLUMN((T_suiviDi[Prénom])),FALSE),"")</f>
        <v/>
      </c>
      <c r="I272" s="282" t="e">
        <f>VLOOKUP(T_Convention[[#This Row],[NumL]],T_suiviDi[#Data],COLUMN((T_suiviDi[[#This Row],[Email]])),FALSE)</f>
        <v>#VALUE!</v>
      </c>
      <c r="J272" s="282" t="e">
        <f>IF(VLOOKUP(T_Convention[[#This Row],[NumL]],T_suiviDi[#Data],COLUMN(T_suiviDi[[#This Row],[Fonction]]),FALSE)="","",VLOOKUP(T_Convention[[#This Row],[NumL]],T_suiviDi[#Data],COLUMN(T_suiviDi[[#This Row],[Fonction]]),FALSE))</f>
        <v>#VALUE!</v>
      </c>
      <c r="K272" s="282" t="e">
        <f>IF(VLOOKUP(T_Convention[[#This Row],[NumL]],T_suiviDi[#Data],COLUMN(T_suiviDi[[#This Row],[Grade]]),FALSE)="","",VLOOKUP(T_Convention[[#This Row],[NumL]],T_suiviDi[#Data],COLUMN(T_suiviDi[[#This Row],[Grade]]),FALSE))</f>
        <v>#VALUE!</v>
      </c>
      <c r="L272" s="282" t="e">
        <f>IF(VLOOKUP(T_Convention[[#This Row],[NumL]],T_suiviDi[#Data],COLUMN(T_suiviDi[[#This Row],[Service ]]),FALSE)="","",VLOOKUP(T_Convention[[#This Row],[NumL]],T_suiviDi[#Data],COLUMN(T_suiviDi[[#This Row],[Service ]]),FALSE))</f>
        <v>#VALUE!</v>
      </c>
      <c r="M272" s="164" t="str">
        <f t="shared" si="21"/>
        <v>01 septembre 2021</v>
      </c>
      <c r="N272" s="164" t="str">
        <f t="shared" si="22"/>
        <v>30 novembre 2021</v>
      </c>
      <c r="O272" s="284" t="str">
        <f t="shared" si="23"/>
        <v>30 novembre 2021</v>
      </c>
      <c r="P272" s="282" t="e">
        <f>IF(VLOOKUP(T_Convention[[#This Row],[NumL]],T_TraitDi[#Data],COLUMN(T_TraitDi[M1]),FALSE)="","",VLOOKUP(T_Convention[[#This Row],[NumL]],T_TraitDi[#Data],COLUMN(T_TraitDi[M1]),FALSE))</f>
        <v>#N/A</v>
      </c>
      <c r="Q272" s="282" t="e">
        <f>IF(VLOOKUP(T_Convention[[#This Row],[NumL]],T_TraitDi[#Data],COLUMN(T_TraitDi[M2]),FALSE)="","",VLOOKUP(T_Convention[[#This Row],[NumL]],T_TraitDi[#Data],COLUMN(T_TraitDi[M2]),FALSE))</f>
        <v>#N/A</v>
      </c>
      <c r="R272" s="282" t="e">
        <f>IF(VLOOKUP(T_Convention[[#This Row],[NumL]],T_TraitDi[#Data],COLUMN(T_TraitDi[M3]),FALSE)="","",VLOOKUP(T_Convention[[#This Row],[NumL]],T_TraitDi[#Data],COLUMN(T_TraitDi[M3]),FALSE))</f>
        <v>#N/A</v>
      </c>
      <c r="S272" s="282" t="e">
        <f>IF(VLOOKUP(T_Convention[[#This Row],[NumL]],T_TraitDi[#Data],COLUMN(T_TraitDi[M4]),FALSE)="","",VLOOKUP(T_Convention[[#This Row],[NumL]],T_TraitDi[#Data],COLUMN(T_TraitDi[M4]),FALSE))</f>
        <v>#N/A</v>
      </c>
      <c r="T272" s="282" t="e">
        <f>IF(VLOOKUP(T_Convention[[#This Row],[NumL]],T_TraitDi[#Data],COLUMN(T_TraitDi[M5]),FALSE)="","",VLOOKUP(T_Convention[[#This Row],[NumL]],T_TraitDi[#Data],COLUMN(T_TraitDi[M5]),FALSE))</f>
        <v>#N/A</v>
      </c>
      <c r="U272" s="282" t="e">
        <f>IF(VLOOKUP(T_Convention[[#This Row],[NumL]],T_TraitDi[#Data],COLUMN(T_TraitDi[M6]),FALSE)="","",VLOOKUP(T_Convention[[#This Row],[NumL]],T_TraitDi[#Data],COLUMN(T_TraitDi[M6]),FALSE))</f>
        <v>#N/A</v>
      </c>
      <c r="V272" s="176" t="e">
        <f t="shared" si="24"/>
        <v>#N/A</v>
      </c>
      <c r="W272" s="284" t="str">
        <f>IFERROR(TEXT(VLOOKUP(T_Convention[[#This Row],[NumL]],T_TraitDi[#Data],COLUMN(T_TraitDi[Q2]),FALSE),"###%"),"")</f>
        <v/>
      </c>
      <c r="X272" s="97" t="e">
        <f>VLOOKUP(T_Convention[[#This Row],[NumL]],T_TraitDi[#Data],COLUMN(T_TraitDi[Reg Ponct]),FALSE)</f>
        <v>#N/A</v>
      </c>
      <c r="Y272" s="97" t="e">
        <f>VLOOKUP(T_Convention[NumL],T_TraitDi[#Data],COLUMN(T_TraitDi[Jours flottants]),FALSE)</f>
        <v>#N/A</v>
      </c>
      <c r="Z272" s="284" t="str">
        <f>IFERROR(VLOOKUP(T_Convention[[#This Row],[NumL]],T_TraitDi[#Data],COLUMN(T_TraitDi[Lundi]),FALSE),"")</f>
        <v/>
      </c>
      <c r="AA272" s="284" t="e">
        <f>IF(VLOOKUP(T_Convention[[#This Row],[NumL]],T_TraitDi[#Data],COLUMN(T_TraitDi[Colonne3]),FALSE)=0,"",TEXT(IFERROR(VLOOKUP(T_Convention[[#This Row],[NumL]],T_TraitDi[#Data],COLUMN(T_TraitDi[Colonne3]),FALSE),""),"[hh]:mm"))</f>
        <v>#N/A</v>
      </c>
      <c r="AB272" s="284" t="e">
        <f>IF(VLOOKUP(T_Convention[[#This Row],[NumL]],T_TraitDi[#Data],COLUMN(T_TraitDi[Colonne4]),FALSE)=0,"",TEXT(IFERROR(VLOOKUP(T_Convention[[#This Row],[NumL]],T_TraitDi[#Data],COLUMN(T_TraitDi[Colonne4]),FALSE),""),"[hh]:mm"))</f>
        <v>#N/A</v>
      </c>
      <c r="AC272" s="284" t="e">
        <f>IF(VLOOKUP(T_Convention[[#This Row],[NumL]],T_TraitDi[#Data],COLUMN(T_TraitDi[Colonne5]),FALSE)=0,"",TEXT(IFERROR(VLOOKUP(T_Convention[[#This Row],[NumL]],T_TraitDi[#Data],COLUMN(T_TraitDi[Colonne5]),FALSE),""),"[hh]:mm"))</f>
        <v>#N/A</v>
      </c>
      <c r="AD272" s="284" t="e">
        <f>IF(VLOOKUP(T_Convention[[#This Row],[NumL]],T_TraitDi[#Data],COLUMN(T_TraitDi[Colonne6]),FALSE)=0,"",TEXT(IFERROR(VLOOKUP(T_Convention[[#This Row],[NumL]],T_TraitDi[#Data],COLUMN(T_TraitDi[Colonne6]),FALSE),""),"[hh]:mm"))</f>
        <v>#N/A</v>
      </c>
      <c r="AE272" s="284" t="e">
        <f>IF(VLOOKUP(T_Convention[[#This Row],[NumL]],T_TraitDi[#Data],COLUMN(T_TraitDi[Colonne7]),FALSE)=0,"",TEXT(IFERROR(VLOOKUP(T_Convention[[#This Row],[NumL]],T_TraitDi[#Data],COLUMN(T_TraitDi[Colonne7]),FALSE),""),"[hh]:mm"))</f>
        <v>#N/A</v>
      </c>
      <c r="AF272" s="284" t="e">
        <f>IF(VLOOKUP(T_Convention[[#This Row],[NumL]],T_TraitDi[#Data],COLUMN(T_TraitDi[Colonne8]),FALSE)=0,"",TEXT(IFERROR(VLOOKUP(T_Convention[[#This Row],[NumL]],T_TraitDi[#Data],COLUMN(T_TraitDi[Colonne8]),FALSE),""),"[hh]:mm"))</f>
        <v>#N/A</v>
      </c>
      <c r="AG272" s="284" t="str">
        <f>IFERROR(VLOOKUP(T_Convention[[#This Row],[NumL]],T_TraitDi[#Data],COLUMN(T_TraitDi[Mardi]),FALSE),"")</f>
        <v/>
      </c>
      <c r="AH272" s="284" t="e">
        <f>IF(VLOOKUP(T_Convention[[#This Row],[NumL]],T_TraitDi[#Data],COLUMN(T_TraitDi[Colonne1]),FALSE)=0,"",TEXT(IFERROR(VLOOKUP(T_Convention[[#This Row],[NumL]],T_TraitDi[#Data],COLUMN(T_TraitDi[Colonne1]),FALSE),""),"[hh]:mm"))</f>
        <v>#N/A</v>
      </c>
      <c r="AI272" s="284" t="e">
        <f>IF(VLOOKUP(T_Convention[[#This Row],[NumL]],T_TraitDi[#Data],COLUMN(T_TraitDi[Colonne9]),FALSE)=0,"",TEXT(IFERROR(VLOOKUP(T_Convention[[#This Row],[NumL]],T_TraitDi[#Data],COLUMN(T_TraitDi[Colonne9]),FALSE),""),"[hh]:mm"))</f>
        <v>#N/A</v>
      </c>
      <c r="AJ272" s="284" t="str">
        <f>IFERROR(VLOOKUP(T_Convention[[#This Row],[NumL]],T_TraitDi[#Data],COLUMN(T_TraitDi[Colonne10]),FALSE),"")</f>
        <v/>
      </c>
      <c r="AK272" s="284" t="e">
        <f>IF(VLOOKUP(T_Convention[[#This Row],[NumL]],T_TraitDi[#Data],COLUMN(T_TraitDi[Colonne11]),FALSE)=0,"",TEXT(IFERROR(VLOOKUP(T_Convention[[#This Row],[NumL]],T_TraitDi[#Data],COLUMN(T_TraitDi[Colonne11]),FALSE),""),"[hh]:mm"))</f>
        <v>#N/A</v>
      </c>
      <c r="AL272" s="284" t="e">
        <f>IF(VLOOKUP(T_Convention[[#This Row],[NumL]],T_TraitDi[#Data],COLUMN(T_TraitDi[Colonne12]),FALSE)=0,"",TEXT(IFERROR(VLOOKUP(T_Convention[[#This Row],[NumL]],T_TraitDi[#Data],COLUMN(T_TraitDi[Colonne12]),FALSE),""),"[hh]:mm"))</f>
        <v>#N/A</v>
      </c>
      <c r="AM272" s="284" t="e">
        <f>IF(VLOOKUP(T_Convention[[#This Row],[NumL]],T_TraitDi[#Data],COLUMN(T_TraitDi[Colonne14]),FALSE)=0,"",TEXT(IFERROR(VLOOKUP(T_Convention[[#This Row],[NumL]],T_TraitDi[#Data],COLUMN(T_TraitDi[Colonne14]),FALSE),""),"[hh]:mm"))</f>
        <v>#N/A</v>
      </c>
      <c r="AN272" s="284" t="str">
        <f>IFERROR(VLOOKUP(T_Convention[[#This Row],[NumL]],T_TraitDi[#Data],COLUMN(T_TraitDi[Mercredi]),FALSE),"")</f>
        <v/>
      </c>
      <c r="AO272" s="284" t="e">
        <f>IF(VLOOKUP(T_Convention[[#This Row],[NumL]],T_TraitDi[#Data],COLUMN(T_TraitDi[Colonne15]),FALSE)=0,"",TEXT(IFERROR(VLOOKUP(T_Convention[[#This Row],[NumL]],T_TraitDi[#Data],COLUMN(T_TraitDi[Colonne15]),FALSE),""),"[hh]:mm"))</f>
        <v>#N/A</v>
      </c>
      <c r="AP272" s="284" t="e">
        <f>IF(VLOOKUP(T_Convention[[#This Row],[NumL]],T_TraitDi[#Data],COLUMN(T_TraitDi[Colonne16]),FALSE)=0,"",TEXT(IFERROR(VLOOKUP(T_Convention[[#This Row],[NumL]],T_TraitDi[#Data],COLUMN(T_TraitDi[Colonne16]),FALSE),""),"[hh]:mm"))</f>
        <v>#N/A</v>
      </c>
      <c r="AQ272" s="284" t="str">
        <f>IFERROR(VLOOKUP(T_Convention[[#This Row],[NumL]],T_TraitDi[#Data],COLUMN(T_TraitDi[Colonne17]),FALSE),"")</f>
        <v/>
      </c>
      <c r="AR272" s="284" t="e">
        <f>IF(VLOOKUP(T_Convention[[#This Row],[NumL]],T_TraitDi[#Data],COLUMN(T_TraitDi[Colonne18]),FALSE)=0,"",TEXT(IFERROR(VLOOKUP(T_Convention[[#This Row],[NumL]],T_TraitDi[#Data],COLUMN(T_TraitDi[Colonne18]),FALSE),""),"[hh]:mm"))</f>
        <v>#N/A</v>
      </c>
      <c r="AS272" s="284" t="e">
        <f>IF(VLOOKUP(T_Convention[[#This Row],[NumL]],T_TraitDi[#Data],COLUMN(T_TraitDi[Colonne19]),FALSE)=0,"",TEXT(IFERROR(VLOOKUP(T_Convention[[#This Row],[NumL]],T_TraitDi[#Data],COLUMN(T_TraitDi[Colonne19]),FALSE),""),"[hh]:mm"))</f>
        <v>#N/A</v>
      </c>
      <c r="AT272" s="284" t="e">
        <f>IF(VLOOKUP(T_Convention[[#This Row],[NumL]],T_TraitDi[#Data],COLUMN(T_TraitDi[Colonne20]),FALSE)=0,"",TEXT(IFERROR(VLOOKUP(T_Convention[[#This Row],[NumL]],T_TraitDi[#Data],COLUMN(T_TraitDi[Colonne20]),FALSE),""),"[hh]:mm"))</f>
        <v>#N/A</v>
      </c>
      <c r="AU272" s="284" t="str">
        <f>IFERROR(VLOOKUP(T_Convention[[#This Row],[NumL]],T_TraitDi[#Data],COLUMN(T_TraitDi[Jeudi]),FALSE),"")</f>
        <v/>
      </c>
      <c r="AV272" s="284" t="e">
        <f>IF(VLOOKUP(T_Convention[[#This Row],[NumL]],T_TraitDi[#Data],COLUMN(T_TraitDi[Colonne21]),FALSE)=0,"",TEXT(IFERROR(VLOOKUP(T_Convention[[#This Row],[NumL]],T_TraitDi[#Data],COLUMN(T_TraitDi[Colonne21]),FALSE),""),"[hh]:mm"))</f>
        <v>#N/A</v>
      </c>
      <c r="AW272" s="284" t="e">
        <f>IF(VLOOKUP(T_Convention[[#This Row],[NumL]],T_TraitDi[#Data],COLUMN(T_TraitDi[Colonne22]),FALSE)=0,"",TEXT(IFERROR(VLOOKUP(T_Convention[[#This Row],[NumL]],T_TraitDi[#Data],COLUMN(T_TraitDi[Colonne22]),FALSE),""),"[hh]:mm"))</f>
        <v>#N/A</v>
      </c>
      <c r="AX272" s="284" t="str">
        <f>IFERROR(VLOOKUP(T_Convention[[#This Row],[NumL]],T_TraitDi[#Data],COLUMN(T_TraitDi[Colonne23]),FALSE),"")</f>
        <v/>
      </c>
      <c r="AY272" s="284" t="e">
        <f>IF(VLOOKUP(T_Convention[[#This Row],[NumL]],T_TraitDi[#Data],COLUMN(T_TraitDi[Colonne24]),FALSE)=0,"",TEXT(IFERROR(VLOOKUP(T_Convention[[#This Row],[NumL]],T_TraitDi[#Data],COLUMN(T_TraitDi[Colonne24]),FALSE),""),"[hh]:mm"))</f>
        <v>#N/A</v>
      </c>
      <c r="AZ272" s="284" t="e">
        <f>IF(VLOOKUP(T_Convention[[#This Row],[NumL]],T_TraitDi[#Data],COLUMN(T_TraitDi[Colonne25]),FALSE)=0,"",TEXT(IFERROR(VLOOKUP(T_Convention[[#This Row],[NumL]],T_TraitDi[#Data],COLUMN(T_TraitDi[Colonne25]),FALSE),""),"[hh]:mm"))</f>
        <v>#N/A</v>
      </c>
      <c r="BA272" s="284" t="e">
        <f>IF(VLOOKUP(T_Convention[[#This Row],[NumL]],T_TraitDi[#Data],COLUMN(T_TraitDi[Colonne26]),FALSE)=0,"",TEXT(IFERROR(VLOOKUP(T_Convention[[#This Row],[NumL]],T_TraitDi[#Data],COLUMN(T_TraitDi[Colonne26]),FALSE),""),"[hh]:mm"))</f>
        <v>#N/A</v>
      </c>
      <c r="BB272" s="284" t="str">
        <f>IFERROR(VLOOKUP(T_Convention[[#This Row],[NumL]],T_TraitDi[#Data],COLUMN(T_TraitDi[Vendredi]),FALSE),"")</f>
        <v/>
      </c>
      <c r="BC272" s="284" t="e">
        <f>IF(VLOOKUP(T_Convention[[#This Row],[NumL]],T_TraitDi[#Data],COLUMN(T_TraitDi[Colonne27]),FALSE)=0,"",TEXT(IFERROR(VLOOKUP(T_Convention[[#This Row],[NumL]],T_TraitDi[#Data],COLUMN(T_TraitDi[Colonne27]),FALSE),""),"[hh]:mm"))</f>
        <v>#N/A</v>
      </c>
      <c r="BD272" s="284" t="e">
        <f>IF(VLOOKUP(T_Convention[[#This Row],[NumL]],T_TraitDi[#Data],COLUMN(T_TraitDi[Colonne28]),FALSE)=0,"",TEXT(IFERROR(VLOOKUP(T_Convention[[#This Row],[NumL]],T_TraitDi[#Data],COLUMN(T_TraitDi[Colonne28]),FALSE),""),"[hh]:mm"))</f>
        <v>#N/A</v>
      </c>
      <c r="BE272" s="284" t="str">
        <f>IFERROR(VLOOKUP(T_Convention[[#This Row],[NumL]],T_TraitDi[#Data],COLUMN(T_TraitDi[Colonne29]),FALSE),"")</f>
        <v/>
      </c>
      <c r="BF272" s="284" t="e">
        <f>IF(VLOOKUP(T_Convention[[#This Row],[NumL]],T_TraitDi[#Data],COLUMN(T_TraitDi[Colonne30]),FALSE)=0,"",TEXT(IFERROR(VLOOKUP(T_Convention[[#This Row],[NumL]],T_TraitDi[#Data],COLUMN(T_TraitDi[Colonne30]),FALSE),""),"[hh]:mm"))</f>
        <v>#N/A</v>
      </c>
      <c r="BG272" s="284" t="e">
        <f>IF(VLOOKUP(T_Convention[[#This Row],[NumL]],T_TraitDi[#Data],COLUMN(T_TraitDi[Colonne31]),FALSE)=0,"",TEXT(IFERROR(VLOOKUP(T_Convention[[#This Row],[NumL]],T_TraitDi[#Data],COLUMN(T_TraitDi[Colonne31]),FALSE),""),"[hh]:mm"))</f>
        <v>#N/A</v>
      </c>
      <c r="BH272" s="284" t="e">
        <f>IF(VLOOKUP(T_Convention[[#This Row],[NumL]],T_TraitDi[#Data],COLUMN(T_TraitDi[Colonne32]),FALSE)=0,"",TEXT(IFERROR(VLOOKUP(T_Convention[[#This Row],[NumL]],T_TraitDi[#Data],COLUMN(T_TraitDi[Colonne32]),FALSE),""),"[hh]:mm"))</f>
        <v>#N/A</v>
      </c>
      <c r="BI272" s="284" t="str">
        <f>IFERROR(VLOOKUP(T_Convention[[#This Row],[NumL]],T_TraitDi[#Data],COLUMN(T_TraitDi[NbJTW]),FALSE),"")</f>
        <v/>
      </c>
      <c r="BJ272" s="284" t="e">
        <f>IF(VLOOKUP(T_Convention[[#This Row],[NumL]],T_TraitDi[#Data],COLUMN(T_TraitDi[NbhTW]),FALSE)=0,"",TEXT(IFERROR(VLOOKUP(T_Convention[[#This Row],[NumL]],T_TraitDi[#Data],COLUMN(T_TraitDi[NbhTW]),FALSE),""),"[hh]:mm"))</f>
        <v>#N/A</v>
      </c>
      <c r="BK272" s="286" t="e">
        <f>IF(VLOOKUP(T_Convention[[#This Row],[NumL]],T_TraitDi[#Data],COLUMN(T_TraitDi[Nbhheb]),FALSE)=0,"",TEXT(IFERROR(VLOOKUP(T_Convention[[#This Row],[NumL]],T_TraitDi[#Data],COLUMN(T_TraitDi[Nbhheb]),FALSE),""),"[hh]:mm"))</f>
        <v>#N/A</v>
      </c>
      <c r="BL272" s="287" t="str">
        <f>IFERROR(VLOOKUP(VLOOKUP(T_Convention[[#This Row],[NumL]],T_TraitDi[#Data],COLUMN(T_TraitDi[Type1]),FALSE),TypeTW,2,FALSE),"")</f>
        <v/>
      </c>
      <c r="BM272" s="288" t="str">
        <f>IFERROR(VLOOKUP(T_Convention[[#This Row],[NumL]],T_TraitDi[#Data],COLUMN(T_TraitDi[Rue1]),FALSE),"")</f>
        <v/>
      </c>
      <c r="BN272" s="289" t="str">
        <f>IFERROR(VLOOKUP(T_Convention[[#This Row],[NumL]],T_TraitDi[#Data],COLUMN(T_TraitDi[CP1]),FALSE),"")</f>
        <v/>
      </c>
      <c r="BO272" s="282" t="str">
        <f>IFERROR(VLOOKUP(T_Convention[[#This Row],[NumL]],T_TraitDi[#Data],COLUMN(T_TraitDi[VILLE1]),FALSE),"")</f>
        <v/>
      </c>
      <c r="BP272" s="290" t="str">
        <f>IFERROR(VLOOKUP(VLOOKUP(T_Convention[[#This Row],[NumL]],T_TraitDi[#Data],COLUMN(T_TraitDi[Type2]),FALSE),TypeTW,2,FALSE),"")</f>
        <v/>
      </c>
      <c r="BQ272" s="182" t="str">
        <f>IFERROR(VLOOKUP(T_Convention[[#This Row],[NumL]],T_TraitDi[#Data],COLUMN(T_TraitDi[Rue2]),FALSE),"")</f>
        <v/>
      </c>
      <c r="BR272" s="173" t="str">
        <f>IFERROR(VLOOKUP(T_Convention[[#This Row],[NumL]],T_TraitDi[#Data],COLUMN(T_TraitDi[CP2]),FALSE),"")</f>
        <v/>
      </c>
      <c r="BS272" s="173" t="str">
        <f>IFERROR(VLOOKUP(T_Convention[[#This Row],[NumL]],T_TraitDi[#Data],COLUMN(T_TraitDi[VILLE2]),FALSE),"")</f>
        <v/>
      </c>
      <c r="BT272" s="182" t="str">
        <f>IF(VLOOKUP(T_Convention[[#This Row],[NumL]],T_Equipement[#Data],COLUMN(T_Equipement[PC]),FALSE)="","Aucun équipement spécifique directement lié au télétravail",VLOOKUP(T_Convention[[#This Row],[NumL]],T_Equipement[#Data],COLUMN(T_Equipement[PC]),FALSE))</f>
        <v xml:space="preserve">18-026	</v>
      </c>
      <c r="BU272" s="166" t="str">
        <f>IFERROR(IF(VLOOKUP(T_Convention[[#This Row],[NumL]],T_TraitDi[#Data],COLUMN(T_TraitDi[Plan]),FALSE)="OK","Un planning spécifique de télétravail est annexé à la présente convention.",""),"")</f>
        <v/>
      </c>
      <c r="BV272" s="185" t="s">
        <v>3524</v>
      </c>
      <c r="BW272" s="164" t="e">
        <f>IF(VLOOKUP(T_Convention[[#This Row],[NumL]],T_suiviDi[#Data],COLUMN(T_suiviDi[Entité]),FALSE)="","",VLOOKUP(T_Convention[[#This Row],[NumL]],T_suiviDi[#Data],COLUMN(T_suiviDi[Entité]),FALSE))</f>
        <v>#N/A</v>
      </c>
      <c r="BX272" s="164" t="str">
        <f>IF(VLOOKUP(T_Convention[[#This Row],[NumL]],T_Commission[#Data],COLUMN(T_Commission[envoi confirm TW]),FALSE)="","",VLOOKUP(T_Convention[[#This Row],[NumL]],T_Commission[#Data],COLUMN(T_Commission[envoi confirm TW]),FALSE))</f>
        <v>Oui</v>
      </c>
      <c r="BY27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2" s="264">
        <f>VLOOKUP(T_Convention[[#This Row],[NumL]],T_Commission[#Data],COLUMN(T_Commission[Commentaire]),FALSE)</f>
        <v>0</v>
      </c>
      <c r="CA272" s="254" t="str">
        <f>IF(VLOOKUP(T_Convention[[#This Row],[NumL]],T_Commission[#Data],COLUMN(T_Commission[Encadrant Email]),FALSE)="","",VLOOKUP(T_Convention[[#This Row],[NumL]],T_Commission[#Data],COLUMN(T_Commission[Encadrant Email]),FALSE))</f>
        <v/>
      </c>
      <c r="CB272" s="353" t="e">
        <f>VLOOKUP(T_Convention[[#This Row],[NumL]],T_TraitDi[#Data],COLUMN(T_TraitDi[NbJTot]),FALSE)</f>
        <v>#N/A</v>
      </c>
      <c r="CC272" s="353" t="e">
        <f>VLOOKUP(T_Convention[[#This Row],[NumL]],T_TraitDi[#Data],COLUMN(T_TraitDi[Reg Ponct]),FALSE)</f>
        <v>#N/A</v>
      </c>
      <c r="CD272" s="348" t="str">
        <f>IF(T_Convention[[#This Row],[Final]]&lt;&gt;"",VLOOKUP(T_Convention[[#This Row],[NumL]],T_suiviDi[#Data],COLUMN((T_suiviDi[Statut])),FALSE),"")</f>
        <v/>
      </c>
    </row>
    <row r="273" spans="1:82" s="106" customFormat="1" ht="18.75" customHeight="1" x14ac:dyDescent="0.25">
      <c r="A273" s="160">
        <v>58</v>
      </c>
      <c r="B273" s="161" t="str">
        <f>VLOOKUP(T_Convention[[#This Row],[NumL]],T_Commission[#Data],COLUMN(T_Commission[FINAL]),FALSE)</f>
        <v/>
      </c>
      <c r="C273" s="162"/>
      <c r="D273" s="95" t="e">
        <f>IF(VLOOKUP(T_Convention[[#This Row],[NumL]],T_TraitDi[#Data],COLUMN(T_TraitDi[WebC]),FALSE)="","",VLOOKUP(T_Convention[[#This Row],[NumL]],T_TraitDi[#Data],COLUMN(T_TraitDi[WebC]),FALSE))</f>
        <v>#N/A</v>
      </c>
      <c r="E273" s="163" t="str">
        <f t="shared" si="20"/>
        <v>12 janvier 2021</v>
      </c>
      <c r="F273" s="282" t="str">
        <f>IF(T_Convention[[#This Row],[Final]]&lt;&gt;"",VLOOKUP(T_Convention[[#This Row],[NumL]],T_suiviDi[#Data],COLUMN((T_suiviDi[Civ.])),FALSE),"")</f>
        <v/>
      </c>
      <c r="G273" s="283" t="str">
        <f>IF(T_Convention[[#This Row],[Final]]&lt;&gt;"",VLOOKUP(T_Convention[[#This Row],[NumL]],T_suiviDi[#Data],COLUMN((T_suiviDi[Nom])),FALSE),"")</f>
        <v/>
      </c>
      <c r="H273" s="282" t="str">
        <f>IF(T_Convention[[#This Row],[Final]]&lt;&gt;"",VLOOKUP(T_Convention[[#This Row],[NumL]],T_suiviDi[#Data],COLUMN((T_suiviDi[Prénom])),FALSE),"")</f>
        <v/>
      </c>
      <c r="I273" s="282" t="e">
        <f>VLOOKUP(T_Convention[[#This Row],[NumL]],T_suiviDi[#Data],COLUMN((T_suiviDi[[#This Row],[Email]])),FALSE)</f>
        <v>#VALUE!</v>
      </c>
      <c r="J273" s="282" t="e">
        <f>IF(VLOOKUP(T_Convention[[#This Row],[NumL]],T_suiviDi[#Data],COLUMN(T_suiviDi[[#This Row],[Fonction]]),FALSE)="","",VLOOKUP(T_Convention[[#This Row],[NumL]],T_suiviDi[#Data],COLUMN(T_suiviDi[[#This Row],[Fonction]]),FALSE))</f>
        <v>#VALUE!</v>
      </c>
      <c r="K273" s="282" t="e">
        <f>IF(VLOOKUP(T_Convention[[#This Row],[NumL]],T_suiviDi[#Data],COLUMN(T_suiviDi[[#This Row],[Grade]]),FALSE)="","",VLOOKUP(T_Convention[[#This Row],[NumL]],T_suiviDi[#Data],COLUMN(T_suiviDi[[#This Row],[Grade]]),FALSE))</f>
        <v>#VALUE!</v>
      </c>
      <c r="L273" s="282" t="e">
        <f>IF(VLOOKUP(T_Convention[[#This Row],[NumL]],T_suiviDi[#Data],COLUMN(T_suiviDi[[#This Row],[Service ]]),FALSE)="","",VLOOKUP(T_Convention[[#This Row],[NumL]],T_suiviDi[#Data],COLUMN(T_suiviDi[[#This Row],[Service ]]),FALSE))</f>
        <v>#VALUE!</v>
      </c>
      <c r="M273" s="164" t="str">
        <f t="shared" si="21"/>
        <v>01 septembre 2021</v>
      </c>
      <c r="N273" s="164" t="str">
        <f t="shared" si="22"/>
        <v>30 novembre 2021</v>
      </c>
      <c r="O273" s="284" t="str">
        <f t="shared" si="23"/>
        <v>30 novembre 2021</v>
      </c>
      <c r="P273" s="282" t="e">
        <f>IF(VLOOKUP(T_Convention[[#This Row],[NumL]],T_TraitDi[#Data],COLUMN(T_TraitDi[M1]),FALSE)="","",VLOOKUP(T_Convention[[#This Row],[NumL]],T_TraitDi[#Data],COLUMN(T_TraitDi[M1]),FALSE))</f>
        <v>#N/A</v>
      </c>
      <c r="Q273" s="282" t="e">
        <f>IF(VLOOKUP(T_Convention[[#This Row],[NumL]],T_TraitDi[#Data],COLUMN(T_TraitDi[M2]),FALSE)="","",VLOOKUP(T_Convention[[#This Row],[NumL]],T_TraitDi[#Data],COLUMN(T_TraitDi[M2]),FALSE))</f>
        <v>#N/A</v>
      </c>
      <c r="R273" s="282" t="e">
        <f>IF(VLOOKUP(T_Convention[[#This Row],[NumL]],T_TraitDi[#Data],COLUMN(T_TraitDi[M3]),FALSE)="","",VLOOKUP(T_Convention[[#This Row],[NumL]],T_TraitDi[#Data],COLUMN(T_TraitDi[M3]),FALSE))</f>
        <v>#N/A</v>
      </c>
      <c r="S273" s="282" t="e">
        <f>IF(VLOOKUP(T_Convention[[#This Row],[NumL]],T_TraitDi[#Data],COLUMN(T_TraitDi[M4]),FALSE)="","",VLOOKUP(T_Convention[[#This Row],[NumL]],T_TraitDi[#Data],COLUMN(T_TraitDi[M4]),FALSE))</f>
        <v>#N/A</v>
      </c>
      <c r="T273" s="282" t="e">
        <f>IF(VLOOKUP(T_Convention[[#This Row],[NumL]],T_TraitDi[#Data],COLUMN(T_TraitDi[M5]),FALSE)="","",VLOOKUP(T_Convention[[#This Row],[NumL]],T_TraitDi[#Data],COLUMN(T_TraitDi[M5]),FALSE))</f>
        <v>#N/A</v>
      </c>
      <c r="U273" s="282" t="e">
        <f>IF(VLOOKUP(T_Convention[[#This Row],[NumL]],T_TraitDi[#Data],COLUMN(T_TraitDi[M6]),FALSE)="","",VLOOKUP(T_Convention[[#This Row],[NumL]],T_TraitDi[#Data],COLUMN(T_TraitDi[M6]),FALSE))</f>
        <v>#N/A</v>
      </c>
      <c r="V273" s="176" t="e">
        <f t="shared" si="24"/>
        <v>#N/A</v>
      </c>
      <c r="W273" s="284" t="str">
        <f>IFERROR(TEXT(VLOOKUP(T_Convention[[#This Row],[NumL]],T_TraitDi[#Data],COLUMN(T_TraitDi[Q2]),FALSE),"###%"),"")</f>
        <v/>
      </c>
      <c r="X273" s="97" t="e">
        <f>VLOOKUP(T_Convention[[#This Row],[NumL]],T_TraitDi[#Data],COLUMN(T_TraitDi[Reg Ponct]),FALSE)</f>
        <v>#N/A</v>
      </c>
      <c r="Y273" s="97" t="e">
        <f>VLOOKUP(T_Convention[NumL],T_TraitDi[#Data],COLUMN(T_TraitDi[Jours flottants]),FALSE)</f>
        <v>#N/A</v>
      </c>
      <c r="Z273" s="284" t="str">
        <f>IFERROR(VLOOKUP(T_Convention[[#This Row],[NumL]],T_TraitDi[#Data],COLUMN(T_TraitDi[Lundi]),FALSE),"")</f>
        <v/>
      </c>
      <c r="AA273" s="284" t="e">
        <f>IF(VLOOKUP(T_Convention[[#This Row],[NumL]],T_TraitDi[#Data],COLUMN(T_TraitDi[Colonne3]),FALSE)=0,"",TEXT(IFERROR(VLOOKUP(T_Convention[[#This Row],[NumL]],T_TraitDi[#Data],COLUMN(T_TraitDi[Colonne3]),FALSE),""),"[hh]:mm"))</f>
        <v>#N/A</v>
      </c>
      <c r="AB273" s="284" t="e">
        <f>IF(VLOOKUP(T_Convention[[#This Row],[NumL]],T_TraitDi[#Data],COLUMN(T_TraitDi[Colonne4]),FALSE)=0,"",TEXT(IFERROR(VLOOKUP(T_Convention[[#This Row],[NumL]],T_TraitDi[#Data],COLUMN(T_TraitDi[Colonne4]),FALSE),""),"[hh]:mm"))</f>
        <v>#N/A</v>
      </c>
      <c r="AC273" s="284" t="e">
        <f>IF(VLOOKUP(T_Convention[[#This Row],[NumL]],T_TraitDi[#Data],COLUMN(T_TraitDi[Colonne5]),FALSE)=0,"",TEXT(IFERROR(VLOOKUP(T_Convention[[#This Row],[NumL]],T_TraitDi[#Data],COLUMN(T_TraitDi[Colonne5]),FALSE),""),"[hh]:mm"))</f>
        <v>#N/A</v>
      </c>
      <c r="AD273" s="284" t="e">
        <f>IF(VLOOKUP(T_Convention[[#This Row],[NumL]],T_TraitDi[#Data],COLUMN(T_TraitDi[Colonne6]),FALSE)=0,"",TEXT(IFERROR(VLOOKUP(T_Convention[[#This Row],[NumL]],T_TraitDi[#Data],COLUMN(T_TraitDi[Colonne6]),FALSE),""),"[hh]:mm"))</f>
        <v>#N/A</v>
      </c>
      <c r="AE273" s="284" t="e">
        <f>IF(VLOOKUP(T_Convention[[#This Row],[NumL]],T_TraitDi[#Data],COLUMN(T_TraitDi[Colonne7]),FALSE)=0,"",TEXT(IFERROR(VLOOKUP(T_Convention[[#This Row],[NumL]],T_TraitDi[#Data],COLUMN(T_TraitDi[Colonne7]),FALSE),""),"[hh]:mm"))</f>
        <v>#N/A</v>
      </c>
      <c r="AF273" s="284" t="e">
        <f>IF(VLOOKUP(T_Convention[[#This Row],[NumL]],T_TraitDi[#Data],COLUMN(T_TraitDi[Colonne8]),FALSE)=0,"",TEXT(IFERROR(VLOOKUP(T_Convention[[#This Row],[NumL]],T_TraitDi[#Data],COLUMN(T_TraitDi[Colonne8]),FALSE),""),"[hh]:mm"))</f>
        <v>#N/A</v>
      </c>
      <c r="AG273" s="284" t="str">
        <f>IFERROR(VLOOKUP(T_Convention[[#This Row],[NumL]],T_TraitDi[#Data],COLUMN(T_TraitDi[Mardi]),FALSE),"")</f>
        <v/>
      </c>
      <c r="AH273" s="284" t="e">
        <f>IF(VLOOKUP(T_Convention[[#This Row],[NumL]],T_TraitDi[#Data],COLUMN(T_TraitDi[Colonne1]),FALSE)=0,"",TEXT(IFERROR(VLOOKUP(T_Convention[[#This Row],[NumL]],T_TraitDi[#Data],COLUMN(T_TraitDi[Colonne1]),FALSE),""),"[hh]:mm"))</f>
        <v>#N/A</v>
      </c>
      <c r="AI273" s="284" t="e">
        <f>IF(VLOOKUP(T_Convention[[#This Row],[NumL]],T_TraitDi[#Data],COLUMN(T_TraitDi[Colonne9]),FALSE)=0,"",TEXT(IFERROR(VLOOKUP(T_Convention[[#This Row],[NumL]],T_TraitDi[#Data],COLUMN(T_TraitDi[Colonne9]),FALSE),""),"[hh]:mm"))</f>
        <v>#N/A</v>
      </c>
      <c r="AJ273" s="284" t="str">
        <f>IFERROR(VLOOKUP(T_Convention[[#This Row],[NumL]],T_TraitDi[#Data],COLUMN(T_TraitDi[Colonne10]),FALSE),"")</f>
        <v/>
      </c>
      <c r="AK273" s="284" t="e">
        <f>IF(VLOOKUP(T_Convention[[#This Row],[NumL]],T_TraitDi[#Data],COLUMN(T_TraitDi[Colonne11]),FALSE)=0,"",TEXT(IFERROR(VLOOKUP(T_Convention[[#This Row],[NumL]],T_TraitDi[#Data],COLUMN(T_TraitDi[Colonne11]),FALSE),""),"[hh]:mm"))</f>
        <v>#N/A</v>
      </c>
      <c r="AL273" s="284" t="e">
        <f>IF(VLOOKUP(T_Convention[[#This Row],[NumL]],T_TraitDi[#Data],COLUMN(T_TraitDi[Colonne12]),FALSE)=0,"",TEXT(IFERROR(VLOOKUP(T_Convention[[#This Row],[NumL]],T_TraitDi[#Data],COLUMN(T_TraitDi[Colonne12]),FALSE),""),"[hh]:mm"))</f>
        <v>#N/A</v>
      </c>
      <c r="AM273" s="284" t="e">
        <f>IF(VLOOKUP(T_Convention[[#This Row],[NumL]],T_TraitDi[#Data],COLUMN(T_TraitDi[Colonne14]),FALSE)=0,"",TEXT(IFERROR(VLOOKUP(T_Convention[[#This Row],[NumL]],T_TraitDi[#Data],COLUMN(T_TraitDi[Colonne14]),FALSE),""),"[hh]:mm"))</f>
        <v>#N/A</v>
      </c>
      <c r="AN273" s="284" t="str">
        <f>IFERROR(VLOOKUP(T_Convention[[#This Row],[NumL]],T_TraitDi[#Data],COLUMN(T_TraitDi[Mercredi]),FALSE),"")</f>
        <v/>
      </c>
      <c r="AO273" s="284" t="e">
        <f>IF(VLOOKUP(T_Convention[[#This Row],[NumL]],T_TraitDi[#Data],COLUMN(T_TraitDi[Colonne15]),FALSE)=0,"",TEXT(IFERROR(VLOOKUP(T_Convention[[#This Row],[NumL]],T_TraitDi[#Data],COLUMN(T_TraitDi[Colonne15]),FALSE),""),"[hh]:mm"))</f>
        <v>#N/A</v>
      </c>
      <c r="AP273" s="284" t="e">
        <f>IF(VLOOKUP(T_Convention[[#This Row],[NumL]],T_TraitDi[#Data],COLUMN(T_TraitDi[Colonne16]),FALSE)=0,"",TEXT(IFERROR(VLOOKUP(T_Convention[[#This Row],[NumL]],T_TraitDi[#Data],COLUMN(T_TraitDi[Colonne16]),FALSE),""),"[hh]:mm"))</f>
        <v>#N/A</v>
      </c>
      <c r="AQ273" s="284" t="str">
        <f>IFERROR(VLOOKUP(T_Convention[[#This Row],[NumL]],T_TraitDi[#Data],COLUMN(T_TraitDi[Colonne17]),FALSE),"")</f>
        <v/>
      </c>
      <c r="AR273" s="284" t="e">
        <f>IF(VLOOKUP(T_Convention[[#This Row],[NumL]],T_TraitDi[#Data],COLUMN(T_TraitDi[Colonne18]),FALSE)=0,"",TEXT(IFERROR(VLOOKUP(T_Convention[[#This Row],[NumL]],T_TraitDi[#Data],COLUMN(T_TraitDi[Colonne18]),FALSE),""),"[hh]:mm"))</f>
        <v>#N/A</v>
      </c>
      <c r="AS273" s="284" t="e">
        <f>IF(VLOOKUP(T_Convention[[#This Row],[NumL]],T_TraitDi[#Data],COLUMN(T_TraitDi[Colonne19]),FALSE)=0,"",TEXT(IFERROR(VLOOKUP(T_Convention[[#This Row],[NumL]],T_TraitDi[#Data],COLUMN(T_TraitDi[Colonne19]),FALSE),""),"[hh]:mm"))</f>
        <v>#N/A</v>
      </c>
      <c r="AT273" s="284" t="e">
        <f>IF(VLOOKUP(T_Convention[[#This Row],[NumL]],T_TraitDi[#Data],COLUMN(T_TraitDi[Colonne20]),FALSE)=0,"",TEXT(IFERROR(VLOOKUP(T_Convention[[#This Row],[NumL]],T_TraitDi[#Data],COLUMN(T_TraitDi[Colonne20]),FALSE),""),"[hh]:mm"))</f>
        <v>#N/A</v>
      </c>
      <c r="AU273" s="284" t="str">
        <f>IFERROR(VLOOKUP(T_Convention[[#This Row],[NumL]],T_TraitDi[#Data],COLUMN(T_TraitDi[Jeudi]),FALSE),"")</f>
        <v/>
      </c>
      <c r="AV273" s="284" t="e">
        <f>IF(VLOOKUP(T_Convention[[#This Row],[NumL]],T_TraitDi[#Data],COLUMN(T_TraitDi[Colonne21]),FALSE)=0,"",TEXT(IFERROR(VLOOKUP(T_Convention[[#This Row],[NumL]],T_TraitDi[#Data],COLUMN(T_TraitDi[Colonne21]),FALSE),""),"[hh]:mm"))</f>
        <v>#N/A</v>
      </c>
      <c r="AW273" s="284" t="e">
        <f>IF(VLOOKUP(T_Convention[[#This Row],[NumL]],T_TraitDi[#Data],COLUMN(T_TraitDi[Colonne22]),FALSE)=0,"",TEXT(IFERROR(VLOOKUP(T_Convention[[#This Row],[NumL]],T_TraitDi[#Data],COLUMN(T_TraitDi[Colonne22]),FALSE),""),"[hh]:mm"))</f>
        <v>#N/A</v>
      </c>
      <c r="AX273" s="284" t="str">
        <f>IFERROR(VLOOKUP(T_Convention[[#This Row],[NumL]],T_TraitDi[#Data],COLUMN(T_TraitDi[Colonne23]),FALSE),"")</f>
        <v/>
      </c>
      <c r="AY273" s="284" t="e">
        <f>IF(VLOOKUP(T_Convention[[#This Row],[NumL]],T_TraitDi[#Data],COLUMN(T_TraitDi[Colonne24]),FALSE)=0,"",TEXT(IFERROR(VLOOKUP(T_Convention[[#This Row],[NumL]],T_TraitDi[#Data],COLUMN(T_TraitDi[Colonne24]),FALSE),""),"[hh]:mm"))</f>
        <v>#N/A</v>
      </c>
      <c r="AZ273" s="284" t="e">
        <f>IF(VLOOKUP(T_Convention[[#This Row],[NumL]],T_TraitDi[#Data],COLUMN(T_TraitDi[Colonne25]),FALSE)=0,"",TEXT(IFERROR(VLOOKUP(T_Convention[[#This Row],[NumL]],T_TraitDi[#Data],COLUMN(T_TraitDi[Colonne25]),FALSE),""),"[hh]:mm"))</f>
        <v>#N/A</v>
      </c>
      <c r="BA273" s="284" t="e">
        <f>IF(VLOOKUP(T_Convention[[#This Row],[NumL]],T_TraitDi[#Data],COLUMN(T_TraitDi[Colonne26]),FALSE)=0,"",TEXT(IFERROR(VLOOKUP(T_Convention[[#This Row],[NumL]],T_TraitDi[#Data],COLUMN(T_TraitDi[Colonne26]),FALSE),""),"[hh]:mm"))</f>
        <v>#N/A</v>
      </c>
      <c r="BB273" s="284" t="str">
        <f>IFERROR(VLOOKUP(T_Convention[[#This Row],[NumL]],T_TraitDi[#Data],COLUMN(T_TraitDi[Vendredi]),FALSE),"")</f>
        <v/>
      </c>
      <c r="BC273" s="284" t="e">
        <f>IF(VLOOKUP(T_Convention[[#This Row],[NumL]],T_TraitDi[#Data],COLUMN(T_TraitDi[Colonne27]),FALSE)=0,"",TEXT(IFERROR(VLOOKUP(T_Convention[[#This Row],[NumL]],T_TraitDi[#Data],COLUMN(T_TraitDi[Colonne27]),FALSE),""),"[hh]:mm"))</f>
        <v>#N/A</v>
      </c>
      <c r="BD273" s="284" t="e">
        <f>IF(VLOOKUP(T_Convention[[#This Row],[NumL]],T_TraitDi[#Data],COLUMN(T_TraitDi[Colonne28]),FALSE)=0,"",TEXT(IFERROR(VLOOKUP(T_Convention[[#This Row],[NumL]],T_TraitDi[#Data],COLUMN(T_TraitDi[Colonne28]),FALSE),""),"[hh]:mm"))</f>
        <v>#N/A</v>
      </c>
      <c r="BE273" s="284" t="str">
        <f>IFERROR(VLOOKUP(T_Convention[[#This Row],[NumL]],T_TraitDi[#Data],COLUMN(T_TraitDi[Colonne29]),FALSE),"")</f>
        <v/>
      </c>
      <c r="BF273" s="284" t="e">
        <f>IF(VLOOKUP(T_Convention[[#This Row],[NumL]],T_TraitDi[#Data],COLUMN(T_TraitDi[Colonne30]),FALSE)=0,"",TEXT(IFERROR(VLOOKUP(T_Convention[[#This Row],[NumL]],T_TraitDi[#Data],COLUMN(T_TraitDi[Colonne30]),FALSE),""),"[hh]:mm"))</f>
        <v>#N/A</v>
      </c>
      <c r="BG273" s="284" t="e">
        <f>IF(VLOOKUP(T_Convention[[#This Row],[NumL]],T_TraitDi[#Data],COLUMN(T_TraitDi[Colonne31]),FALSE)=0,"",TEXT(IFERROR(VLOOKUP(T_Convention[[#This Row],[NumL]],T_TraitDi[#Data],COLUMN(T_TraitDi[Colonne31]),FALSE),""),"[hh]:mm"))</f>
        <v>#N/A</v>
      </c>
      <c r="BH273" s="284" t="e">
        <f>IF(VLOOKUP(T_Convention[[#This Row],[NumL]],T_TraitDi[#Data],COLUMN(T_TraitDi[Colonne32]),FALSE)=0,"",TEXT(IFERROR(VLOOKUP(T_Convention[[#This Row],[NumL]],T_TraitDi[#Data],COLUMN(T_TraitDi[Colonne32]),FALSE),""),"[hh]:mm"))</f>
        <v>#N/A</v>
      </c>
      <c r="BI273" s="284" t="str">
        <f>IFERROR(VLOOKUP(T_Convention[[#This Row],[NumL]],T_TraitDi[#Data],COLUMN(T_TraitDi[NbJTW]),FALSE),"")</f>
        <v/>
      </c>
      <c r="BJ273" s="284" t="e">
        <f>IF(VLOOKUP(T_Convention[[#This Row],[NumL]],T_TraitDi[#Data],COLUMN(T_TraitDi[NbhTW]),FALSE)=0,"",TEXT(IFERROR(VLOOKUP(T_Convention[[#This Row],[NumL]],T_TraitDi[#Data],COLUMN(T_TraitDi[NbhTW]),FALSE),""),"[hh]:mm"))</f>
        <v>#N/A</v>
      </c>
      <c r="BK273" s="286" t="e">
        <f>IF(VLOOKUP(T_Convention[[#This Row],[NumL]],T_TraitDi[#Data],COLUMN(T_TraitDi[Nbhheb]),FALSE)=0,"",TEXT(IFERROR(VLOOKUP(T_Convention[[#This Row],[NumL]],T_TraitDi[#Data],COLUMN(T_TraitDi[Nbhheb]),FALSE),""),"[hh]:mm"))</f>
        <v>#N/A</v>
      </c>
      <c r="BL273" s="287" t="str">
        <f>IFERROR(VLOOKUP(VLOOKUP(T_Convention[[#This Row],[NumL]],T_TraitDi[#Data],COLUMN(T_TraitDi[Type1]),FALSE),TypeTW,2,FALSE),"")</f>
        <v/>
      </c>
      <c r="BM273" s="288" t="str">
        <f>IFERROR(VLOOKUP(T_Convention[[#This Row],[NumL]],T_TraitDi[#Data],COLUMN(T_TraitDi[Rue1]),FALSE),"")</f>
        <v/>
      </c>
      <c r="BN273" s="289" t="str">
        <f>IFERROR(VLOOKUP(T_Convention[[#This Row],[NumL]],T_TraitDi[#Data],COLUMN(T_TraitDi[CP1]),FALSE),"")</f>
        <v/>
      </c>
      <c r="BO273" s="282" t="str">
        <f>IFERROR(VLOOKUP(T_Convention[[#This Row],[NumL]],T_TraitDi[#Data],COLUMN(T_TraitDi[VILLE1]),FALSE),"")</f>
        <v/>
      </c>
      <c r="BP273" s="290" t="str">
        <f>IFERROR(VLOOKUP(VLOOKUP(T_Convention[[#This Row],[NumL]],T_TraitDi[#Data],COLUMN(T_TraitDi[Type2]),FALSE),TypeTW,2,FALSE),"")</f>
        <v/>
      </c>
      <c r="BQ273" s="182" t="str">
        <f>IFERROR(VLOOKUP(T_Convention[[#This Row],[NumL]],T_TraitDi[#Data],COLUMN(T_TraitDi[Rue2]),FALSE),"")</f>
        <v/>
      </c>
      <c r="BR273" s="173" t="str">
        <f>IFERROR(VLOOKUP(T_Convention[[#This Row],[NumL]],T_TraitDi[#Data],COLUMN(T_TraitDi[CP2]),FALSE),"")</f>
        <v/>
      </c>
      <c r="BS273" s="173" t="str">
        <f>IFERROR(VLOOKUP(T_Convention[[#This Row],[NumL]],T_TraitDi[#Data],COLUMN(T_TraitDi[VILLE2]),FALSE),"")</f>
        <v/>
      </c>
      <c r="BT273" s="182" t="str">
        <f>IF(VLOOKUP(T_Convention[[#This Row],[NumL]],T_Equipement[#Data],COLUMN(T_Equipement[PC]),FALSE)="","Aucun équipement spécifique directement lié au télétravail",VLOOKUP(T_Convention[[#This Row],[NumL]],T_Equipement[#Data],COLUMN(T_Equipement[PC]),FALSE))</f>
        <v>19-584</v>
      </c>
      <c r="BU273" s="166" t="str">
        <f>IFERROR(IF(VLOOKUP(T_Convention[[#This Row],[NumL]],T_TraitDi[#Data],COLUMN(T_TraitDi[Plan]),FALSE)="OK","Un planning spécifique de télétravail est annexé à la présente convention.",""),"")</f>
        <v/>
      </c>
      <c r="BV273" s="185"/>
      <c r="BW273" s="164" t="e">
        <f>IF(VLOOKUP(T_Convention[[#This Row],[NumL]],T_suiviDi[#Data],COLUMN(T_suiviDi[Entité]),FALSE)="","",VLOOKUP(T_Convention[[#This Row],[NumL]],T_suiviDi[#Data],COLUMN(T_suiviDi[Entité]),FALSE))</f>
        <v>#N/A</v>
      </c>
      <c r="BX273" s="164" t="str">
        <f>IF(VLOOKUP(T_Convention[[#This Row],[NumL]],T_Commission[#Data],COLUMN(T_Commission[envoi confirm TW]),FALSE)="","",VLOOKUP(T_Convention[[#This Row],[NumL]],T_Commission[#Data],COLUMN(T_Commission[envoi confirm TW]),FALSE))</f>
        <v>Oui</v>
      </c>
      <c r="BY27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3" s="264">
        <f>VLOOKUP(T_Convention[[#This Row],[NumL]],T_Commission[#Data],COLUMN(T_Commission[Commentaire]),FALSE)</f>
        <v>0</v>
      </c>
      <c r="CA273" s="254" t="str">
        <f>IF(VLOOKUP(T_Convention[[#This Row],[NumL]],T_Commission[#Data],COLUMN(T_Commission[Encadrant Email]),FALSE)="","",VLOOKUP(T_Convention[[#This Row],[NumL]],T_Commission[#Data],COLUMN(T_Commission[Encadrant Email]),FALSE))</f>
        <v/>
      </c>
      <c r="CB273" s="353" t="e">
        <f>VLOOKUP(T_Convention[[#This Row],[NumL]],T_TraitDi[#Data],COLUMN(T_TraitDi[NbJTot]),FALSE)</f>
        <v>#N/A</v>
      </c>
      <c r="CC273" s="353" t="e">
        <f>VLOOKUP(T_Convention[[#This Row],[NumL]],T_TraitDi[#Data],COLUMN(T_TraitDi[Reg Ponct]),FALSE)</f>
        <v>#N/A</v>
      </c>
      <c r="CD273" s="348" t="str">
        <f>IF(T_Convention[[#This Row],[Final]]&lt;&gt;"",VLOOKUP(T_Convention[[#This Row],[NumL]],T_suiviDi[#Data],COLUMN((T_suiviDi[Statut])),FALSE),"")</f>
        <v/>
      </c>
    </row>
    <row r="274" spans="1:82" s="106" customFormat="1" ht="18.75" customHeight="1" x14ac:dyDescent="0.25">
      <c r="A274" s="160">
        <v>116</v>
      </c>
      <c r="B274" s="161" t="str">
        <f>VLOOKUP(T_Convention[[#This Row],[NumL]],T_Commission[#Data],COLUMN(T_Commission[FINAL]),FALSE)</f>
        <v/>
      </c>
      <c r="C274" s="162"/>
      <c r="D274" s="95" t="e">
        <f>IF(VLOOKUP(T_Convention[[#This Row],[NumL]],T_TraitDi[#Data],COLUMN(T_TraitDi[WebC]),FALSE)="","",VLOOKUP(T_Convention[[#This Row],[NumL]],T_TraitDi[#Data],COLUMN(T_TraitDi[WebC]),FALSE))</f>
        <v>#N/A</v>
      </c>
      <c r="E274" s="163" t="str">
        <f t="shared" si="20"/>
        <v>12 janvier 2021</v>
      </c>
      <c r="F274" s="282" t="str">
        <f>IF(T_Convention[[#This Row],[Final]]&lt;&gt;"",VLOOKUP(T_Convention[[#This Row],[NumL]],T_suiviDi[#Data],COLUMN((T_suiviDi[Civ.])),FALSE),"")</f>
        <v/>
      </c>
      <c r="G274" s="283" t="str">
        <f>IF(T_Convention[[#This Row],[Final]]&lt;&gt;"",VLOOKUP(T_Convention[[#This Row],[NumL]],T_suiviDi[#Data],COLUMN((T_suiviDi[Nom])),FALSE),"")</f>
        <v/>
      </c>
      <c r="H274" s="282" t="str">
        <f>IF(T_Convention[[#This Row],[Final]]&lt;&gt;"",VLOOKUP(T_Convention[[#This Row],[NumL]],T_suiviDi[#Data],COLUMN((T_suiviDi[Prénom])),FALSE),"")</f>
        <v/>
      </c>
      <c r="I274" s="282" t="e">
        <f>VLOOKUP(T_Convention[[#This Row],[NumL]],T_suiviDi[#Data],COLUMN((T_suiviDi[[#This Row],[Email]])),FALSE)</f>
        <v>#VALUE!</v>
      </c>
      <c r="J274" s="282" t="e">
        <f>IF(VLOOKUP(T_Convention[[#This Row],[NumL]],T_suiviDi[#Data],COLUMN(T_suiviDi[[#This Row],[Fonction]]),FALSE)="","",VLOOKUP(T_Convention[[#This Row],[NumL]],T_suiviDi[#Data],COLUMN(T_suiviDi[[#This Row],[Fonction]]),FALSE))</f>
        <v>#VALUE!</v>
      </c>
      <c r="K274" s="282" t="e">
        <f>IF(VLOOKUP(T_Convention[[#This Row],[NumL]],T_suiviDi[#Data],COLUMN(T_suiviDi[[#This Row],[Grade]]),FALSE)="","",VLOOKUP(T_Convention[[#This Row],[NumL]],T_suiviDi[#Data],COLUMN(T_suiviDi[[#This Row],[Grade]]),FALSE))</f>
        <v>#VALUE!</v>
      </c>
      <c r="L274" s="282" t="e">
        <f>IF(VLOOKUP(T_Convention[[#This Row],[NumL]],T_suiviDi[#Data],COLUMN(T_suiviDi[[#This Row],[Service ]]),FALSE)="","",VLOOKUP(T_Convention[[#This Row],[NumL]],T_suiviDi[#Data],COLUMN(T_suiviDi[[#This Row],[Service ]]),FALSE))</f>
        <v>#VALUE!</v>
      </c>
      <c r="M274" s="164" t="str">
        <f t="shared" si="21"/>
        <v>01 septembre 2021</v>
      </c>
      <c r="N274" s="164" t="str">
        <f t="shared" si="22"/>
        <v>30 novembre 2021</v>
      </c>
      <c r="O274" s="284" t="str">
        <f t="shared" si="23"/>
        <v>30 novembre 2021</v>
      </c>
      <c r="P274" s="282" t="e">
        <f>IF(VLOOKUP(T_Convention[[#This Row],[NumL]],T_TraitDi[#Data],COLUMN(T_TraitDi[M1]),FALSE)="","",VLOOKUP(T_Convention[[#This Row],[NumL]],T_TraitDi[#Data],COLUMN(T_TraitDi[M1]),FALSE))</f>
        <v>#N/A</v>
      </c>
      <c r="Q274" s="282" t="e">
        <f>IF(VLOOKUP(T_Convention[[#This Row],[NumL]],T_TraitDi[#Data],COLUMN(T_TraitDi[M2]),FALSE)="","",VLOOKUP(T_Convention[[#This Row],[NumL]],T_TraitDi[#Data],COLUMN(T_TraitDi[M2]),FALSE))</f>
        <v>#N/A</v>
      </c>
      <c r="R274" s="282" t="e">
        <f>IF(VLOOKUP(T_Convention[[#This Row],[NumL]],T_TraitDi[#Data],COLUMN(T_TraitDi[M3]),FALSE)="","",VLOOKUP(T_Convention[[#This Row],[NumL]],T_TraitDi[#Data],COLUMN(T_TraitDi[M3]),FALSE))</f>
        <v>#N/A</v>
      </c>
      <c r="S274" s="282" t="e">
        <f>IF(VLOOKUP(T_Convention[[#This Row],[NumL]],T_TraitDi[#Data],COLUMN(T_TraitDi[M4]),FALSE)="","",VLOOKUP(T_Convention[[#This Row],[NumL]],T_TraitDi[#Data],COLUMN(T_TraitDi[M4]),FALSE))</f>
        <v>#N/A</v>
      </c>
      <c r="T274" s="282" t="e">
        <f>IF(VLOOKUP(T_Convention[[#This Row],[NumL]],T_TraitDi[#Data],COLUMN(T_TraitDi[M5]),FALSE)="","",VLOOKUP(T_Convention[[#This Row],[NumL]],T_TraitDi[#Data],COLUMN(T_TraitDi[M5]),FALSE))</f>
        <v>#N/A</v>
      </c>
      <c r="U274" s="282" t="e">
        <f>IF(VLOOKUP(T_Convention[[#This Row],[NumL]],T_TraitDi[#Data],COLUMN(T_TraitDi[M6]),FALSE)="","",VLOOKUP(T_Convention[[#This Row],[NumL]],T_TraitDi[#Data],COLUMN(T_TraitDi[M6]),FALSE))</f>
        <v>#N/A</v>
      </c>
      <c r="V274" s="176" t="e">
        <f t="shared" si="24"/>
        <v>#N/A</v>
      </c>
      <c r="W274" s="284" t="str">
        <f>IFERROR(TEXT(VLOOKUP(T_Convention[[#This Row],[NumL]],T_TraitDi[#Data],COLUMN(T_TraitDi[Q2]),FALSE),"###%"),"")</f>
        <v/>
      </c>
      <c r="X274" s="97" t="e">
        <f>VLOOKUP(T_Convention[[#This Row],[NumL]],T_TraitDi[#Data],COLUMN(T_TraitDi[Reg Ponct]),FALSE)</f>
        <v>#N/A</v>
      </c>
      <c r="Y274" s="97" t="e">
        <f>VLOOKUP(T_Convention[NumL],T_TraitDi[#Data],COLUMN(T_TraitDi[Jours flottants]),FALSE)</f>
        <v>#N/A</v>
      </c>
      <c r="Z274" s="284" t="str">
        <f>IFERROR(VLOOKUP(T_Convention[[#This Row],[NumL]],T_TraitDi[#Data],COLUMN(T_TraitDi[Lundi]),FALSE),"")</f>
        <v/>
      </c>
      <c r="AA274" s="284" t="e">
        <f>IF(VLOOKUP(T_Convention[[#This Row],[NumL]],T_TraitDi[#Data],COLUMN(T_TraitDi[Colonne3]),FALSE)=0,"",TEXT(IFERROR(VLOOKUP(T_Convention[[#This Row],[NumL]],T_TraitDi[#Data],COLUMN(T_TraitDi[Colonne3]),FALSE),""),"[hh]:mm"))</f>
        <v>#N/A</v>
      </c>
      <c r="AB274" s="284" t="e">
        <f>IF(VLOOKUP(T_Convention[[#This Row],[NumL]],T_TraitDi[#Data],COLUMN(T_TraitDi[Colonne4]),FALSE)=0,"",TEXT(IFERROR(VLOOKUP(T_Convention[[#This Row],[NumL]],T_TraitDi[#Data],COLUMN(T_TraitDi[Colonne4]),FALSE),""),"[hh]:mm"))</f>
        <v>#N/A</v>
      </c>
      <c r="AC274" s="284" t="e">
        <f>IF(VLOOKUP(T_Convention[[#This Row],[NumL]],T_TraitDi[#Data],COLUMN(T_TraitDi[Colonne5]),FALSE)=0,"",TEXT(IFERROR(VLOOKUP(T_Convention[[#This Row],[NumL]],T_TraitDi[#Data],COLUMN(T_TraitDi[Colonne5]),FALSE),""),"[hh]:mm"))</f>
        <v>#N/A</v>
      </c>
      <c r="AD274" s="284" t="e">
        <f>IF(VLOOKUP(T_Convention[[#This Row],[NumL]],T_TraitDi[#Data],COLUMN(T_TraitDi[Colonne6]),FALSE)=0,"",TEXT(IFERROR(VLOOKUP(T_Convention[[#This Row],[NumL]],T_TraitDi[#Data],COLUMN(T_TraitDi[Colonne6]),FALSE),""),"[hh]:mm"))</f>
        <v>#N/A</v>
      </c>
      <c r="AE274" s="284" t="e">
        <f>IF(VLOOKUP(T_Convention[[#This Row],[NumL]],T_TraitDi[#Data],COLUMN(T_TraitDi[Colonne7]),FALSE)=0,"",TEXT(IFERROR(VLOOKUP(T_Convention[[#This Row],[NumL]],T_TraitDi[#Data],COLUMN(T_TraitDi[Colonne7]),FALSE),""),"[hh]:mm"))</f>
        <v>#N/A</v>
      </c>
      <c r="AF274" s="284" t="e">
        <f>IF(VLOOKUP(T_Convention[[#This Row],[NumL]],T_TraitDi[#Data],COLUMN(T_TraitDi[Colonne8]),FALSE)=0,"",TEXT(IFERROR(VLOOKUP(T_Convention[[#This Row],[NumL]],T_TraitDi[#Data],COLUMN(T_TraitDi[Colonne8]),FALSE),""),"[hh]:mm"))</f>
        <v>#N/A</v>
      </c>
      <c r="AG274" s="284" t="str">
        <f>IFERROR(VLOOKUP(T_Convention[[#This Row],[NumL]],T_TraitDi[#Data],COLUMN(T_TraitDi[Mardi]),FALSE),"")</f>
        <v/>
      </c>
      <c r="AH274" s="284" t="e">
        <f>IF(VLOOKUP(T_Convention[[#This Row],[NumL]],T_TraitDi[#Data],COLUMN(T_TraitDi[Colonne1]),FALSE)=0,"",TEXT(IFERROR(VLOOKUP(T_Convention[[#This Row],[NumL]],T_TraitDi[#Data],COLUMN(T_TraitDi[Colonne1]),FALSE),""),"[hh]:mm"))</f>
        <v>#N/A</v>
      </c>
      <c r="AI274" s="284" t="e">
        <f>IF(VLOOKUP(T_Convention[[#This Row],[NumL]],T_TraitDi[#Data],COLUMN(T_TraitDi[Colonne9]),FALSE)=0,"",TEXT(IFERROR(VLOOKUP(T_Convention[[#This Row],[NumL]],T_TraitDi[#Data],COLUMN(T_TraitDi[Colonne9]),FALSE),""),"[hh]:mm"))</f>
        <v>#N/A</v>
      </c>
      <c r="AJ274" s="284" t="str">
        <f>IFERROR(VLOOKUP(T_Convention[[#This Row],[NumL]],T_TraitDi[#Data],COLUMN(T_TraitDi[Colonne10]),FALSE),"")</f>
        <v/>
      </c>
      <c r="AK274" s="284" t="e">
        <f>IF(VLOOKUP(T_Convention[[#This Row],[NumL]],T_TraitDi[#Data],COLUMN(T_TraitDi[Colonne11]),FALSE)=0,"",TEXT(IFERROR(VLOOKUP(T_Convention[[#This Row],[NumL]],T_TraitDi[#Data],COLUMN(T_TraitDi[Colonne11]),FALSE),""),"[hh]:mm"))</f>
        <v>#N/A</v>
      </c>
      <c r="AL274" s="284" t="e">
        <f>IF(VLOOKUP(T_Convention[[#This Row],[NumL]],T_TraitDi[#Data],COLUMN(T_TraitDi[Colonne12]),FALSE)=0,"",TEXT(IFERROR(VLOOKUP(T_Convention[[#This Row],[NumL]],T_TraitDi[#Data],COLUMN(T_TraitDi[Colonne12]),FALSE),""),"[hh]:mm"))</f>
        <v>#N/A</v>
      </c>
      <c r="AM274" s="284" t="e">
        <f>IF(VLOOKUP(T_Convention[[#This Row],[NumL]],T_TraitDi[#Data],COLUMN(T_TraitDi[Colonne14]),FALSE)=0,"",TEXT(IFERROR(VLOOKUP(T_Convention[[#This Row],[NumL]],T_TraitDi[#Data],COLUMN(T_TraitDi[Colonne14]),FALSE),""),"[hh]:mm"))</f>
        <v>#N/A</v>
      </c>
      <c r="AN274" s="284" t="str">
        <f>IFERROR(VLOOKUP(T_Convention[[#This Row],[NumL]],T_TraitDi[#Data],COLUMN(T_TraitDi[Mercredi]),FALSE),"")</f>
        <v/>
      </c>
      <c r="AO274" s="284" t="e">
        <f>IF(VLOOKUP(T_Convention[[#This Row],[NumL]],T_TraitDi[#Data],COLUMN(T_TraitDi[Colonne15]),FALSE)=0,"",TEXT(IFERROR(VLOOKUP(T_Convention[[#This Row],[NumL]],T_TraitDi[#Data],COLUMN(T_TraitDi[Colonne15]),FALSE),""),"[hh]:mm"))</f>
        <v>#N/A</v>
      </c>
      <c r="AP274" s="284" t="e">
        <f>IF(VLOOKUP(T_Convention[[#This Row],[NumL]],T_TraitDi[#Data],COLUMN(T_TraitDi[Colonne16]),FALSE)=0,"",TEXT(IFERROR(VLOOKUP(T_Convention[[#This Row],[NumL]],T_TraitDi[#Data],COLUMN(T_TraitDi[Colonne16]),FALSE),""),"[hh]:mm"))</f>
        <v>#N/A</v>
      </c>
      <c r="AQ274" s="284" t="str">
        <f>IFERROR(VLOOKUP(T_Convention[[#This Row],[NumL]],T_TraitDi[#Data],COLUMN(T_TraitDi[Colonne17]),FALSE),"")</f>
        <v/>
      </c>
      <c r="AR274" s="284" t="e">
        <f>IF(VLOOKUP(T_Convention[[#This Row],[NumL]],T_TraitDi[#Data],COLUMN(T_TraitDi[Colonne18]),FALSE)=0,"",TEXT(IFERROR(VLOOKUP(T_Convention[[#This Row],[NumL]],T_TraitDi[#Data],COLUMN(T_TraitDi[Colonne18]),FALSE),""),"[hh]:mm"))</f>
        <v>#N/A</v>
      </c>
      <c r="AS274" s="284" t="e">
        <f>IF(VLOOKUP(T_Convention[[#This Row],[NumL]],T_TraitDi[#Data],COLUMN(T_TraitDi[Colonne19]),FALSE)=0,"",TEXT(IFERROR(VLOOKUP(T_Convention[[#This Row],[NumL]],T_TraitDi[#Data],COLUMN(T_TraitDi[Colonne19]),FALSE),""),"[hh]:mm"))</f>
        <v>#N/A</v>
      </c>
      <c r="AT274" s="284" t="e">
        <f>IF(VLOOKUP(T_Convention[[#This Row],[NumL]],T_TraitDi[#Data],COLUMN(T_TraitDi[Colonne20]),FALSE)=0,"",TEXT(IFERROR(VLOOKUP(T_Convention[[#This Row],[NumL]],T_TraitDi[#Data],COLUMN(T_TraitDi[Colonne20]),FALSE),""),"[hh]:mm"))</f>
        <v>#N/A</v>
      </c>
      <c r="AU274" s="284" t="str">
        <f>IFERROR(VLOOKUP(T_Convention[[#This Row],[NumL]],T_TraitDi[#Data],COLUMN(T_TraitDi[Jeudi]),FALSE),"")</f>
        <v/>
      </c>
      <c r="AV274" s="284" t="e">
        <f>IF(VLOOKUP(T_Convention[[#This Row],[NumL]],T_TraitDi[#Data],COLUMN(T_TraitDi[Colonne21]),FALSE)=0,"",TEXT(IFERROR(VLOOKUP(T_Convention[[#This Row],[NumL]],T_TraitDi[#Data],COLUMN(T_TraitDi[Colonne21]),FALSE),""),"[hh]:mm"))</f>
        <v>#N/A</v>
      </c>
      <c r="AW274" s="284" t="e">
        <f>IF(VLOOKUP(T_Convention[[#This Row],[NumL]],T_TraitDi[#Data],COLUMN(T_TraitDi[Colonne22]),FALSE)=0,"",TEXT(IFERROR(VLOOKUP(T_Convention[[#This Row],[NumL]],T_TraitDi[#Data],COLUMN(T_TraitDi[Colonne22]),FALSE),""),"[hh]:mm"))</f>
        <v>#N/A</v>
      </c>
      <c r="AX274" s="284" t="str">
        <f>IFERROR(VLOOKUP(T_Convention[[#This Row],[NumL]],T_TraitDi[#Data],COLUMN(T_TraitDi[Colonne23]),FALSE),"")</f>
        <v/>
      </c>
      <c r="AY274" s="284" t="e">
        <f>IF(VLOOKUP(T_Convention[[#This Row],[NumL]],T_TraitDi[#Data],COLUMN(T_TraitDi[Colonne24]),FALSE)=0,"",TEXT(IFERROR(VLOOKUP(T_Convention[[#This Row],[NumL]],T_TraitDi[#Data],COLUMN(T_TraitDi[Colonne24]),FALSE),""),"[hh]:mm"))</f>
        <v>#N/A</v>
      </c>
      <c r="AZ274" s="284" t="e">
        <f>IF(VLOOKUP(T_Convention[[#This Row],[NumL]],T_TraitDi[#Data],COLUMN(T_TraitDi[Colonne25]),FALSE)=0,"",TEXT(IFERROR(VLOOKUP(T_Convention[[#This Row],[NumL]],T_TraitDi[#Data],COLUMN(T_TraitDi[Colonne25]),FALSE),""),"[hh]:mm"))</f>
        <v>#N/A</v>
      </c>
      <c r="BA274" s="284" t="e">
        <f>IF(VLOOKUP(T_Convention[[#This Row],[NumL]],T_TraitDi[#Data],COLUMN(T_TraitDi[Colonne26]),FALSE)=0,"",TEXT(IFERROR(VLOOKUP(T_Convention[[#This Row],[NumL]],T_TraitDi[#Data],COLUMN(T_TraitDi[Colonne26]),FALSE),""),"[hh]:mm"))</f>
        <v>#N/A</v>
      </c>
      <c r="BB274" s="284" t="str">
        <f>IFERROR(VLOOKUP(T_Convention[[#This Row],[NumL]],T_TraitDi[#Data],COLUMN(T_TraitDi[Vendredi]),FALSE),"")</f>
        <v/>
      </c>
      <c r="BC274" s="284" t="e">
        <f>IF(VLOOKUP(T_Convention[[#This Row],[NumL]],T_TraitDi[#Data],COLUMN(T_TraitDi[Colonne27]),FALSE)=0,"",TEXT(IFERROR(VLOOKUP(T_Convention[[#This Row],[NumL]],T_TraitDi[#Data],COLUMN(T_TraitDi[Colonne27]),FALSE),""),"[hh]:mm"))</f>
        <v>#N/A</v>
      </c>
      <c r="BD274" s="284" t="e">
        <f>IF(VLOOKUP(T_Convention[[#This Row],[NumL]],T_TraitDi[#Data],COLUMN(T_TraitDi[Colonne28]),FALSE)=0,"",TEXT(IFERROR(VLOOKUP(T_Convention[[#This Row],[NumL]],T_TraitDi[#Data],COLUMN(T_TraitDi[Colonne28]),FALSE),""),"[hh]:mm"))</f>
        <v>#N/A</v>
      </c>
      <c r="BE274" s="284" t="str">
        <f>IFERROR(VLOOKUP(T_Convention[[#This Row],[NumL]],T_TraitDi[#Data],COLUMN(T_TraitDi[Colonne29]),FALSE),"")</f>
        <v/>
      </c>
      <c r="BF274" s="284" t="e">
        <f>IF(VLOOKUP(T_Convention[[#This Row],[NumL]],T_TraitDi[#Data],COLUMN(T_TraitDi[Colonne30]),FALSE)=0,"",TEXT(IFERROR(VLOOKUP(T_Convention[[#This Row],[NumL]],T_TraitDi[#Data],COLUMN(T_TraitDi[Colonne30]),FALSE),""),"[hh]:mm"))</f>
        <v>#N/A</v>
      </c>
      <c r="BG274" s="284" t="e">
        <f>IF(VLOOKUP(T_Convention[[#This Row],[NumL]],T_TraitDi[#Data],COLUMN(T_TraitDi[Colonne31]),FALSE)=0,"",TEXT(IFERROR(VLOOKUP(T_Convention[[#This Row],[NumL]],T_TraitDi[#Data],COLUMN(T_TraitDi[Colonne31]),FALSE),""),"[hh]:mm"))</f>
        <v>#N/A</v>
      </c>
      <c r="BH274" s="284" t="e">
        <f>IF(VLOOKUP(T_Convention[[#This Row],[NumL]],T_TraitDi[#Data],COLUMN(T_TraitDi[Colonne32]),FALSE)=0,"",TEXT(IFERROR(VLOOKUP(T_Convention[[#This Row],[NumL]],T_TraitDi[#Data],COLUMN(T_TraitDi[Colonne32]),FALSE),""),"[hh]:mm"))</f>
        <v>#N/A</v>
      </c>
      <c r="BI274" s="284" t="str">
        <f>IFERROR(VLOOKUP(T_Convention[[#This Row],[NumL]],T_TraitDi[#Data],COLUMN(T_TraitDi[NbJTW]),FALSE),"")</f>
        <v/>
      </c>
      <c r="BJ274" s="284" t="e">
        <f>IF(VLOOKUP(T_Convention[[#This Row],[NumL]],T_TraitDi[#Data],COLUMN(T_TraitDi[NbhTW]),FALSE)=0,"",TEXT(IFERROR(VLOOKUP(T_Convention[[#This Row],[NumL]],T_TraitDi[#Data],COLUMN(T_TraitDi[NbhTW]),FALSE),""),"[hh]:mm"))</f>
        <v>#N/A</v>
      </c>
      <c r="BK274" s="286" t="e">
        <f>IF(VLOOKUP(T_Convention[[#This Row],[NumL]],T_TraitDi[#Data],COLUMN(T_TraitDi[Nbhheb]),FALSE)=0,"",TEXT(IFERROR(VLOOKUP(T_Convention[[#This Row],[NumL]],T_TraitDi[#Data],COLUMN(T_TraitDi[Nbhheb]),FALSE),""),"[hh]:mm"))</f>
        <v>#N/A</v>
      </c>
      <c r="BL274" s="287" t="str">
        <f>IFERROR(VLOOKUP(VLOOKUP(T_Convention[[#This Row],[NumL]],T_TraitDi[#Data],COLUMN(T_TraitDi[Type1]),FALSE),TypeTW,2,FALSE),"")</f>
        <v/>
      </c>
      <c r="BM274" s="288" t="str">
        <f>IFERROR(VLOOKUP(T_Convention[[#This Row],[NumL]],T_TraitDi[#Data],COLUMN(T_TraitDi[Rue1]),FALSE),"")</f>
        <v/>
      </c>
      <c r="BN274" s="289" t="str">
        <f>IFERROR(VLOOKUP(T_Convention[[#This Row],[NumL]],T_TraitDi[#Data],COLUMN(T_TraitDi[CP1]),FALSE),"")</f>
        <v/>
      </c>
      <c r="BO274" s="282" t="str">
        <f>IFERROR(VLOOKUP(T_Convention[[#This Row],[NumL]],T_TraitDi[#Data],COLUMN(T_TraitDi[VILLE1]),FALSE),"")</f>
        <v/>
      </c>
      <c r="BP274" s="290" t="str">
        <f>IFERROR(VLOOKUP(VLOOKUP(T_Convention[[#This Row],[NumL]],T_TraitDi[#Data],COLUMN(T_TraitDi[Type2]),FALSE),TypeTW,2,FALSE),"")</f>
        <v/>
      </c>
      <c r="BQ274" s="182" t="str">
        <f>IFERROR(VLOOKUP(T_Convention[[#This Row],[NumL]],T_TraitDi[#Data],COLUMN(T_TraitDi[Rue2]),FALSE),"")</f>
        <v/>
      </c>
      <c r="BR274" s="173" t="str">
        <f>IFERROR(VLOOKUP(T_Convention[[#This Row],[NumL]],T_TraitDi[#Data],COLUMN(T_TraitDi[CP2]),FALSE),"")</f>
        <v/>
      </c>
      <c r="BS274" s="173" t="str">
        <f>IFERROR(VLOOKUP(T_Convention[[#This Row],[NumL]],T_TraitDi[#Data],COLUMN(T_TraitDi[VILLE2]),FALSE),"")</f>
        <v/>
      </c>
      <c r="BT274" s="182" t="str">
        <f>IF(VLOOKUP(T_Convention[[#This Row],[NumL]],T_Equipement[#Data],COLUMN(T_Equipement[PC]),FALSE)="","Aucun équipement spécifique directement lié au télétravail",VLOOKUP(T_Convention[[#This Row],[NumL]],T_Equipement[#Data],COLUMN(T_Equipement[PC]),FALSE))</f>
        <v>20-786</v>
      </c>
      <c r="BU274" s="166" t="str">
        <f>IFERROR(IF(VLOOKUP(T_Convention[[#This Row],[NumL]],T_TraitDi[#Data],COLUMN(T_TraitDi[Plan]),FALSE)="OK","Un planning spécifique de télétravail est annexé à la présente convention.",""),"")</f>
        <v/>
      </c>
      <c r="BV274" s="185" t="s">
        <v>3314</v>
      </c>
      <c r="BW274" s="164" t="e">
        <f>IF(VLOOKUP(T_Convention[[#This Row],[NumL]],T_suiviDi[#Data],COLUMN(T_suiviDi[Entité]),FALSE)="","",VLOOKUP(T_Convention[[#This Row],[NumL]],T_suiviDi[#Data],COLUMN(T_suiviDi[Entité]),FALSE))</f>
        <v>#N/A</v>
      </c>
      <c r="BX274" s="164" t="str">
        <f>IF(VLOOKUP(T_Convention[[#This Row],[NumL]],T_Commission[#Data],COLUMN(T_Commission[envoi confirm TW]),FALSE)="","",VLOOKUP(T_Convention[[#This Row],[NumL]],T_Commission[#Data],COLUMN(T_Commission[envoi confirm TW]),FALSE))</f>
        <v>Oui</v>
      </c>
      <c r="BY27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4" s="264">
        <f>VLOOKUP(T_Convention[[#This Row],[NumL]],T_Commission[#Data],COLUMN(T_Commission[Commentaire]),FALSE)</f>
        <v>0</v>
      </c>
      <c r="CA274" s="254" t="str">
        <f>IF(VLOOKUP(T_Convention[[#This Row],[NumL]],T_Commission[#Data],COLUMN(T_Commission[Encadrant Email]),FALSE)="","",VLOOKUP(T_Convention[[#This Row],[NumL]],T_Commission[#Data],COLUMN(T_Commission[Encadrant Email]),FALSE))</f>
        <v/>
      </c>
      <c r="CB274" s="353" t="e">
        <f>VLOOKUP(T_Convention[[#This Row],[NumL]],T_TraitDi[#Data],COLUMN(T_TraitDi[NbJTot]),FALSE)</f>
        <v>#N/A</v>
      </c>
      <c r="CC274" s="353" t="e">
        <f>VLOOKUP(T_Convention[[#This Row],[NumL]],T_TraitDi[#Data],COLUMN(T_TraitDi[Reg Ponct]),FALSE)</f>
        <v>#N/A</v>
      </c>
      <c r="CD274" s="348" t="str">
        <f>IF(T_Convention[[#This Row],[Final]]&lt;&gt;"",VLOOKUP(T_Convention[[#This Row],[NumL]],T_suiviDi[#Data],COLUMN((T_suiviDi[Statut])),FALSE),"")</f>
        <v/>
      </c>
    </row>
    <row r="275" spans="1:82" s="106" customFormat="1" ht="18.75" customHeight="1" x14ac:dyDescent="0.25">
      <c r="A275" s="160">
        <v>111</v>
      </c>
      <c r="B275" s="161" t="str">
        <f>VLOOKUP(T_Convention[[#This Row],[NumL]],T_Commission[#Data],COLUMN(T_Commission[FINAL]),FALSE)</f>
        <v/>
      </c>
      <c r="C275" s="162"/>
      <c r="D275" s="95" t="e">
        <f>IF(VLOOKUP(T_Convention[[#This Row],[NumL]],T_TraitDi[#Data],COLUMN(T_TraitDi[WebC]),FALSE)="","",VLOOKUP(T_Convention[[#This Row],[NumL]],T_TraitDi[#Data],COLUMN(T_TraitDi[WebC]),FALSE))</f>
        <v>#N/A</v>
      </c>
      <c r="E275" s="163" t="str">
        <f t="shared" si="20"/>
        <v>12 janvier 2021</v>
      </c>
      <c r="F275" s="282" t="str">
        <f>IF(T_Convention[[#This Row],[Final]]&lt;&gt;"",VLOOKUP(T_Convention[[#This Row],[NumL]],T_suiviDi[#Data],COLUMN((T_suiviDi[Civ.])),FALSE),"")</f>
        <v/>
      </c>
      <c r="G275" s="283" t="str">
        <f>IF(T_Convention[[#This Row],[Final]]&lt;&gt;"",VLOOKUP(T_Convention[[#This Row],[NumL]],T_suiviDi[#Data],COLUMN((T_suiviDi[Nom])),FALSE),"")</f>
        <v/>
      </c>
      <c r="H275" s="282" t="str">
        <f>IF(T_Convention[[#This Row],[Final]]&lt;&gt;"",VLOOKUP(T_Convention[[#This Row],[NumL]],T_suiviDi[#Data],COLUMN((T_suiviDi[Prénom])),FALSE),"")</f>
        <v/>
      </c>
      <c r="I275" s="282" t="e">
        <f>VLOOKUP(T_Convention[[#This Row],[NumL]],T_suiviDi[#Data],COLUMN((T_suiviDi[[#This Row],[Email]])),FALSE)</f>
        <v>#VALUE!</v>
      </c>
      <c r="J275" s="282" t="e">
        <f>IF(VLOOKUP(T_Convention[[#This Row],[NumL]],T_suiviDi[#Data],COLUMN(T_suiviDi[[#This Row],[Fonction]]),FALSE)="","",VLOOKUP(T_Convention[[#This Row],[NumL]],T_suiviDi[#Data],COLUMN(T_suiviDi[[#This Row],[Fonction]]),FALSE))</f>
        <v>#VALUE!</v>
      </c>
      <c r="K275" s="282" t="e">
        <f>IF(VLOOKUP(T_Convention[[#This Row],[NumL]],T_suiviDi[#Data],COLUMN(T_suiviDi[[#This Row],[Grade]]),FALSE)="","",VLOOKUP(T_Convention[[#This Row],[NumL]],T_suiviDi[#Data],COLUMN(T_suiviDi[[#This Row],[Grade]]),FALSE))</f>
        <v>#VALUE!</v>
      </c>
      <c r="L275" s="282" t="e">
        <f>IF(VLOOKUP(T_Convention[[#This Row],[NumL]],T_suiviDi[#Data],COLUMN(T_suiviDi[[#This Row],[Service ]]),FALSE)="","",VLOOKUP(T_Convention[[#This Row],[NumL]],T_suiviDi[#Data],COLUMN(T_suiviDi[[#This Row],[Service ]]),FALSE))</f>
        <v>#VALUE!</v>
      </c>
      <c r="M275" s="164" t="str">
        <f t="shared" si="21"/>
        <v>01 septembre 2021</v>
      </c>
      <c r="N275" s="164" t="str">
        <f t="shared" si="22"/>
        <v>30 novembre 2021</v>
      </c>
      <c r="O275" s="284" t="str">
        <f t="shared" si="23"/>
        <v>30 novembre 2021</v>
      </c>
      <c r="P275" s="282" t="e">
        <f>IF(VLOOKUP(T_Convention[[#This Row],[NumL]],T_TraitDi[#Data],COLUMN(T_TraitDi[M1]),FALSE)="","",VLOOKUP(T_Convention[[#This Row],[NumL]],T_TraitDi[#Data],COLUMN(T_TraitDi[M1]),FALSE))</f>
        <v>#N/A</v>
      </c>
      <c r="Q275" s="282" t="e">
        <f>IF(VLOOKUP(T_Convention[[#This Row],[NumL]],T_TraitDi[#Data],COLUMN(T_TraitDi[M2]),FALSE)="","",VLOOKUP(T_Convention[[#This Row],[NumL]],T_TraitDi[#Data],COLUMN(T_TraitDi[M2]),FALSE))</f>
        <v>#N/A</v>
      </c>
      <c r="R275" s="282" t="e">
        <f>IF(VLOOKUP(T_Convention[[#This Row],[NumL]],T_TraitDi[#Data],COLUMN(T_TraitDi[M3]),FALSE)="","",VLOOKUP(T_Convention[[#This Row],[NumL]],T_TraitDi[#Data],COLUMN(T_TraitDi[M3]),FALSE))</f>
        <v>#N/A</v>
      </c>
      <c r="S275" s="282" t="e">
        <f>IF(VLOOKUP(T_Convention[[#This Row],[NumL]],T_TraitDi[#Data],COLUMN(T_TraitDi[M4]),FALSE)="","",VLOOKUP(T_Convention[[#This Row],[NumL]],T_TraitDi[#Data],COLUMN(T_TraitDi[M4]),FALSE))</f>
        <v>#N/A</v>
      </c>
      <c r="T275" s="282" t="e">
        <f>IF(VLOOKUP(T_Convention[[#This Row],[NumL]],T_TraitDi[#Data],COLUMN(T_TraitDi[M5]),FALSE)="","",VLOOKUP(T_Convention[[#This Row],[NumL]],T_TraitDi[#Data],COLUMN(T_TraitDi[M5]),FALSE))</f>
        <v>#N/A</v>
      </c>
      <c r="U275" s="282" t="e">
        <f>IF(VLOOKUP(T_Convention[[#This Row],[NumL]],T_TraitDi[#Data],COLUMN(T_TraitDi[M6]),FALSE)="","",VLOOKUP(T_Convention[[#This Row],[NumL]],T_TraitDi[#Data],COLUMN(T_TraitDi[M6]),FALSE))</f>
        <v>#N/A</v>
      </c>
      <c r="V275" s="176" t="e">
        <f t="shared" si="24"/>
        <v>#N/A</v>
      </c>
      <c r="W275" s="284" t="str">
        <f>IFERROR(TEXT(VLOOKUP(T_Convention[[#This Row],[NumL]],T_TraitDi[#Data],COLUMN(T_TraitDi[Q2]),FALSE),"###%"),"")</f>
        <v/>
      </c>
      <c r="X275" s="97" t="e">
        <f>VLOOKUP(T_Convention[[#This Row],[NumL]],T_TraitDi[#Data],COLUMN(T_TraitDi[Reg Ponct]),FALSE)</f>
        <v>#N/A</v>
      </c>
      <c r="Y275" s="97" t="e">
        <f>VLOOKUP(T_Convention[NumL],T_TraitDi[#Data],COLUMN(T_TraitDi[Jours flottants]),FALSE)</f>
        <v>#N/A</v>
      </c>
      <c r="Z275" s="284" t="str">
        <f>IFERROR(VLOOKUP(T_Convention[[#This Row],[NumL]],T_TraitDi[#Data],COLUMN(T_TraitDi[Lundi]),FALSE),"")</f>
        <v/>
      </c>
      <c r="AA275" s="284" t="e">
        <f>IF(VLOOKUP(T_Convention[[#This Row],[NumL]],T_TraitDi[#Data],COLUMN(T_TraitDi[Colonne3]),FALSE)=0,"",TEXT(IFERROR(VLOOKUP(T_Convention[[#This Row],[NumL]],T_TraitDi[#Data],COLUMN(T_TraitDi[Colonne3]),FALSE),""),"[hh]:mm"))</f>
        <v>#N/A</v>
      </c>
      <c r="AB275" s="284" t="e">
        <f>IF(VLOOKUP(T_Convention[[#This Row],[NumL]],T_TraitDi[#Data],COLUMN(T_TraitDi[Colonne4]),FALSE)=0,"",TEXT(IFERROR(VLOOKUP(T_Convention[[#This Row],[NumL]],T_TraitDi[#Data],COLUMN(T_TraitDi[Colonne4]),FALSE),""),"[hh]:mm"))</f>
        <v>#N/A</v>
      </c>
      <c r="AC275" s="284" t="e">
        <f>IF(VLOOKUP(T_Convention[[#This Row],[NumL]],T_TraitDi[#Data],COLUMN(T_TraitDi[Colonne5]),FALSE)=0,"",TEXT(IFERROR(VLOOKUP(T_Convention[[#This Row],[NumL]],T_TraitDi[#Data],COLUMN(T_TraitDi[Colonne5]),FALSE),""),"[hh]:mm"))</f>
        <v>#N/A</v>
      </c>
      <c r="AD275" s="284" t="e">
        <f>IF(VLOOKUP(T_Convention[[#This Row],[NumL]],T_TraitDi[#Data],COLUMN(T_TraitDi[Colonne6]),FALSE)=0,"",TEXT(IFERROR(VLOOKUP(T_Convention[[#This Row],[NumL]],T_TraitDi[#Data],COLUMN(T_TraitDi[Colonne6]),FALSE),""),"[hh]:mm"))</f>
        <v>#N/A</v>
      </c>
      <c r="AE275" s="284" t="e">
        <f>IF(VLOOKUP(T_Convention[[#This Row],[NumL]],T_TraitDi[#Data],COLUMN(T_TraitDi[Colonne7]),FALSE)=0,"",TEXT(IFERROR(VLOOKUP(T_Convention[[#This Row],[NumL]],T_TraitDi[#Data],COLUMN(T_TraitDi[Colonne7]),FALSE),""),"[hh]:mm"))</f>
        <v>#N/A</v>
      </c>
      <c r="AF275" s="284" t="e">
        <f>IF(VLOOKUP(T_Convention[[#This Row],[NumL]],T_TraitDi[#Data],COLUMN(T_TraitDi[Colonne8]),FALSE)=0,"",TEXT(IFERROR(VLOOKUP(T_Convention[[#This Row],[NumL]],T_TraitDi[#Data],COLUMN(T_TraitDi[Colonne8]),FALSE),""),"[hh]:mm"))</f>
        <v>#N/A</v>
      </c>
      <c r="AG275" s="284" t="str">
        <f>IFERROR(VLOOKUP(T_Convention[[#This Row],[NumL]],T_TraitDi[#Data],COLUMN(T_TraitDi[Mardi]),FALSE),"")</f>
        <v/>
      </c>
      <c r="AH275" s="284" t="e">
        <f>IF(VLOOKUP(T_Convention[[#This Row],[NumL]],T_TraitDi[#Data],COLUMN(T_TraitDi[Colonne1]),FALSE)=0,"",TEXT(IFERROR(VLOOKUP(T_Convention[[#This Row],[NumL]],T_TraitDi[#Data],COLUMN(T_TraitDi[Colonne1]),FALSE),""),"[hh]:mm"))</f>
        <v>#N/A</v>
      </c>
      <c r="AI275" s="284" t="e">
        <f>IF(VLOOKUP(T_Convention[[#This Row],[NumL]],T_TraitDi[#Data],COLUMN(T_TraitDi[Colonne9]),FALSE)=0,"",TEXT(IFERROR(VLOOKUP(T_Convention[[#This Row],[NumL]],T_TraitDi[#Data],COLUMN(T_TraitDi[Colonne9]),FALSE),""),"[hh]:mm"))</f>
        <v>#N/A</v>
      </c>
      <c r="AJ275" s="284" t="str">
        <f>IFERROR(VLOOKUP(T_Convention[[#This Row],[NumL]],T_TraitDi[#Data],COLUMN(T_TraitDi[Colonne10]),FALSE),"")</f>
        <v/>
      </c>
      <c r="AK275" s="284" t="e">
        <f>IF(VLOOKUP(T_Convention[[#This Row],[NumL]],T_TraitDi[#Data],COLUMN(T_TraitDi[Colonne11]),FALSE)=0,"",TEXT(IFERROR(VLOOKUP(T_Convention[[#This Row],[NumL]],T_TraitDi[#Data],COLUMN(T_TraitDi[Colonne11]),FALSE),""),"[hh]:mm"))</f>
        <v>#N/A</v>
      </c>
      <c r="AL275" s="284" t="e">
        <f>IF(VLOOKUP(T_Convention[[#This Row],[NumL]],T_TraitDi[#Data],COLUMN(T_TraitDi[Colonne12]),FALSE)=0,"",TEXT(IFERROR(VLOOKUP(T_Convention[[#This Row],[NumL]],T_TraitDi[#Data],COLUMN(T_TraitDi[Colonne12]),FALSE),""),"[hh]:mm"))</f>
        <v>#N/A</v>
      </c>
      <c r="AM275" s="284" t="e">
        <f>IF(VLOOKUP(T_Convention[[#This Row],[NumL]],T_TraitDi[#Data],COLUMN(T_TraitDi[Colonne14]),FALSE)=0,"",TEXT(IFERROR(VLOOKUP(T_Convention[[#This Row],[NumL]],T_TraitDi[#Data],COLUMN(T_TraitDi[Colonne14]),FALSE),""),"[hh]:mm"))</f>
        <v>#N/A</v>
      </c>
      <c r="AN275" s="284" t="str">
        <f>IFERROR(VLOOKUP(T_Convention[[#This Row],[NumL]],T_TraitDi[#Data],COLUMN(T_TraitDi[Mercredi]),FALSE),"")</f>
        <v/>
      </c>
      <c r="AO275" s="284" t="e">
        <f>IF(VLOOKUP(T_Convention[[#This Row],[NumL]],T_TraitDi[#Data],COLUMN(T_TraitDi[Colonne15]),FALSE)=0,"",TEXT(IFERROR(VLOOKUP(T_Convention[[#This Row],[NumL]],T_TraitDi[#Data],COLUMN(T_TraitDi[Colonne15]),FALSE),""),"[hh]:mm"))</f>
        <v>#N/A</v>
      </c>
      <c r="AP275" s="284" t="e">
        <f>IF(VLOOKUP(T_Convention[[#This Row],[NumL]],T_TraitDi[#Data],COLUMN(T_TraitDi[Colonne16]),FALSE)=0,"",TEXT(IFERROR(VLOOKUP(T_Convention[[#This Row],[NumL]],T_TraitDi[#Data],COLUMN(T_TraitDi[Colonne16]),FALSE),""),"[hh]:mm"))</f>
        <v>#N/A</v>
      </c>
      <c r="AQ275" s="284" t="str">
        <f>IFERROR(VLOOKUP(T_Convention[[#This Row],[NumL]],T_TraitDi[#Data],COLUMN(T_TraitDi[Colonne17]),FALSE),"")</f>
        <v/>
      </c>
      <c r="AR275" s="284" t="e">
        <f>IF(VLOOKUP(T_Convention[[#This Row],[NumL]],T_TraitDi[#Data],COLUMN(T_TraitDi[Colonne18]),FALSE)=0,"",TEXT(IFERROR(VLOOKUP(T_Convention[[#This Row],[NumL]],T_TraitDi[#Data],COLUMN(T_TraitDi[Colonne18]),FALSE),""),"[hh]:mm"))</f>
        <v>#N/A</v>
      </c>
      <c r="AS275" s="284" t="e">
        <f>IF(VLOOKUP(T_Convention[[#This Row],[NumL]],T_TraitDi[#Data],COLUMN(T_TraitDi[Colonne19]),FALSE)=0,"",TEXT(IFERROR(VLOOKUP(T_Convention[[#This Row],[NumL]],T_TraitDi[#Data],COLUMN(T_TraitDi[Colonne19]),FALSE),""),"[hh]:mm"))</f>
        <v>#N/A</v>
      </c>
      <c r="AT275" s="284" t="e">
        <f>IF(VLOOKUP(T_Convention[[#This Row],[NumL]],T_TraitDi[#Data],COLUMN(T_TraitDi[Colonne20]),FALSE)=0,"",TEXT(IFERROR(VLOOKUP(T_Convention[[#This Row],[NumL]],T_TraitDi[#Data],COLUMN(T_TraitDi[Colonne20]),FALSE),""),"[hh]:mm"))</f>
        <v>#N/A</v>
      </c>
      <c r="AU275" s="284" t="str">
        <f>IFERROR(VLOOKUP(T_Convention[[#This Row],[NumL]],T_TraitDi[#Data],COLUMN(T_TraitDi[Jeudi]),FALSE),"")</f>
        <v/>
      </c>
      <c r="AV275" s="284" t="e">
        <f>IF(VLOOKUP(T_Convention[[#This Row],[NumL]],T_TraitDi[#Data],COLUMN(T_TraitDi[Colonne21]),FALSE)=0,"",TEXT(IFERROR(VLOOKUP(T_Convention[[#This Row],[NumL]],T_TraitDi[#Data],COLUMN(T_TraitDi[Colonne21]),FALSE),""),"[hh]:mm"))</f>
        <v>#N/A</v>
      </c>
      <c r="AW275" s="284" t="e">
        <f>IF(VLOOKUP(T_Convention[[#This Row],[NumL]],T_TraitDi[#Data],COLUMN(T_TraitDi[Colonne22]),FALSE)=0,"",TEXT(IFERROR(VLOOKUP(T_Convention[[#This Row],[NumL]],T_TraitDi[#Data],COLUMN(T_TraitDi[Colonne22]),FALSE),""),"[hh]:mm"))</f>
        <v>#N/A</v>
      </c>
      <c r="AX275" s="284" t="str">
        <f>IFERROR(VLOOKUP(T_Convention[[#This Row],[NumL]],T_TraitDi[#Data],COLUMN(T_TraitDi[Colonne23]),FALSE),"")</f>
        <v/>
      </c>
      <c r="AY275" s="284" t="e">
        <f>IF(VLOOKUP(T_Convention[[#This Row],[NumL]],T_TraitDi[#Data],COLUMN(T_TraitDi[Colonne24]),FALSE)=0,"",TEXT(IFERROR(VLOOKUP(T_Convention[[#This Row],[NumL]],T_TraitDi[#Data],COLUMN(T_TraitDi[Colonne24]),FALSE),""),"[hh]:mm"))</f>
        <v>#N/A</v>
      </c>
      <c r="AZ275" s="284" t="e">
        <f>IF(VLOOKUP(T_Convention[[#This Row],[NumL]],T_TraitDi[#Data],COLUMN(T_TraitDi[Colonne25]),FALSE)=0,"",TEXT(IFERROR(VLOOKUP(T_Convention[[#This Row],[NumL]],T_TraitDi[#Data],COLUMN(T_TraitDi[Colonne25]),FALSE),""),"[hh]:mm"))</f>
        <v>#N/A</v>
      </c>
      <c r="BA275" s="284" t="e">
        <f>IF(VLOOKUP(T_Convention[[#This Row],[NumL]],T_TraitDi[#Data],COLUMN(T_TraitDi[Colonne26]),FALSE)=0,"",TEXT(IFERROR(VLOOKUP(T_Convention[[#This Row],[NumL]],T_TraitDi[#Data],COLUMN(T_TraitDi[Colonne26]),FALSE),""),"[hh]:mm"))</f>
        <v>#N/A</v>
      </c>
      <c r="BB275" s="284" t="str">
        <f>IFERROR(VLOOKUP(T_Convention[[#This Row],[NumL]],T_TraitDi[#Data],COLUMN(T_TraitDi[Vendredi]),FALSE),"")</f>
        <v/>
      </c>
      <c r="BC275" s="284" t="e">
        <f>IF(VLOOKUP(T_Convention[[#This Row],[NumL]],T_TraitDi[#Data],COLUMN(T_TraitDi[Colonne27]),FALSE)=0,"",TEXT(IFERROR(VLOOKUP(T_Convention[[#This Row],[NumL]],T_TraitDi[#Data],COLUMN(T_TraitDi[Colonne27]),FALSE),""),"[hh]:mm"))</f>
        <v>#N/A</v>
      </c>
      <c r="BD275" s="284" t="e">
        <f>IF(VLOOKUP(T_Convention[[#This Row],[NumL]],T_TraitDi[#Data],COLUMN(T_TraitDi[Colonne28]),FALSE)=0,"",TEXT(IFERROR(VLOOKUP(T_Convention[[#This Row],[NumL]],T_TraitDi[#Data],COLUMN(T_TraitDi[Colonne28]),FALSE),""),"[hh]:mm"))</f>
        <v>#N/A</v>
      </c>
      <c r="BE275" s="284" t="str">
        <f>IFERROR(VLOOKUP(T_Convention[[#This Row],[NumL]],T_TraitDi[#Data],COLUMN(T_TraitDi[Colonne29]),FALSE),"")</f>
        <v/>
      </c>
      <c r="BF275" s="284" t="e">
        <f>IF(VLOOKUP(T_Convention[[#This Row],[NumL]],T_TraitDi[#Data],COLUMN(T_TraitDi[Colonne30]),FALSE)=0,"",TEXT(IFERROR(VLOOKUP(T_Convention[[#This Row],[NumL]],T_TraitDi[#Data],COLUMN(T_TraitDi[Colonne30]),FALSE),""),"[hh]:mm"))</f>
        <v>#N/A</v>
      </c>
      <c r="BG275" s="284" t="e">
        <f>IF(VLOOKUP(T_Convention[[#This Row],[NumL]],T_TraitDi[#Data],COLUMN(T_TraitDi[Colonne31]),FALSE)=0,"",TEXT(IFERROR(VLOOKUP(T_Convention[[#This Row],[NumL]],T_TraitDi[#Data],COLUMN(T_TraitDi[Colonne31]),FALSE),""),"[hh]:mm"))</f>
        <v>#N/A</v>
      </c>
      <c r="BH275" s="284" t="e">
        <f>IF(VLOOKUP(T_Convention[[#This Row],[NumL]],T_TraitDi[#Data],COLUMN(T_TraitDi[Colonne32]),FALSE)=0,"",TEXT(IFERROR(VLOOKUP(T_Convention[[#This Row],[NumL]],T_TraitDi[#Data],COLUMN(T_TraitDi[Colonne32]),FALSE),""),"[hh]:mm"))</f>
        <v>#N/A</v>
      </c>
      <c r="BI275" s="284" t="str">
        <f>IFERROR(VLOOKUP(T_Convention[[#This Row],[NumL]],T_TraitDi[#Data],COLUMN(T_TraitDi[NbJTW]),FALSE),"")</f>
        <v/>
      </c>
      <c r="BJ275" s="284" t="e">
        <f>IF(VLOOKUP(T_Convention[[#This Row],[NumL]],T_TraitDi[#Data],COLUMN(T_TraitDi[NbhTW]),FALSE)=0,"",TEXT(IFERROR(VLOOKUP(T_Convention[[#This Row],[NumL]],T_TraitDi[#Data],COLUMN(T_TraitDi[NbhTW]),FALSE),""),"[hh]:mm"))</f>
        <v>#N/A</v>
      </c>
      <c r="BK275" s="286" t="e">
        <f>IF(VLOOKUP(T_Convention[[#This Row],[NumL]],T_TraitDi[#Data],COLUMN(T_TraitDi[Nbhheb]),FALSE)=0,"",TEXT(IFERROR(VLOOKUP(T_Convention[[#This Row],[NumL]],T_TraitDi[#Data],COLUMN(T_TraitDi[Nbhheb]),FALSE),""),"[hh]:mm"))</f>
        <v>#N/A</v>
      </c>
      <c r="BL275" s="287" t="str">
        <f>IFERROR(VLOOKUP(VLOOKUP(T_Convention[[#This Row],[NumL]],T_TraitDi[#Data],COLUMN(T_TraitDi[Type1]),FALSE),TypeTW,2,FALSE),"")</f>
        <v/>
      </c>
      <c r="BM275" s="288" t="str">
        <f>IFERROR(VLOOKUP(T_Convention[[#This Row],[NumL]],T_TraitDi[#Data],COLUMN(T_TraitDi[Rue1]),FALSE),"")</f>
        <v/>
      </c>
      <c r="BN275" s="289" t="str">
        <f>IFERROR(VLOOKUP(T_Convention[[#This Row],[NumL]],T_TraitDi[#Data],COLUMN(T_TraitDi[CP1]),FALSE),"")</f>
        <v/>
      </c>
      <c r="BO275" s="282" t="str">
        <f>IFERROR(VLOOKUP(T_Convention[[#This Row],[NumL]],T_TraitDi[#Data],COLUMN(T_TraitDi[VILLE1]),FALSE),"")</f>
        <v/>
      </c>
      <c r="BP275" s="290" t="str">
        <f>IFERROR(VLOOKUP(VLOOKUP(T_Convention[[#This Row],[NumL]],T_TraitDi[#Data],COLUMN(T_TraitDi[Type2]),FALSE),TypeTW,2,FALSE),"")</f>
        <v/>
      </c>
      <c r="BQ275" s="182" t="str">
        <f>IFERROR(VLOOKUP(T_Convention[[#This Row],[NumL]],T_TraitDi[#Data],COLUMN(T_TraitDi[Rue2]),FALSE),"")</f>
        <v/>
      </c>
      <c r="BR275" s="173" t="str">
        <f>IFERROR(VLOOKUP(T_Convention[[#This Row],[NumL]],T_TraitDi[#Data],COLUMN(T_TraitDi[CP2]),FALSE),"")</f>
        <v/>
      </c>
      <c r="BS275" s="173" t="str">
        <f>IFERROR(VLOOKUP(T_Convention[[#This Row],[NumL]],T_TraitDi[#Data],COLUMN(T_TraitDi[VILLE2]),FALSE),"")</f>
        <v/>
      </c>
      <c r="BT275" s="182" t="str">
        <f>IF(VLOOKUP(T_Convention[[#This Row],[NumL]],T_Equipement[#Data],COLUMN(T_Equipement[PC]),FALSE)="","Aucun équipement spécifique directement lié au télétravail",VLOOKUP(T_Convention[[#This Row],[NumL]],T_Equipement[#Data],COLUMN(T_Equipement[PC]),FALSE))</f>
        <v xml:space="preserve">16-415	</v>
      </c>
      <c r="BU275" s="166" t="str">
        <f>IFERROR(IF(VLOOKUP(T_Convention[[#This Row],[NumL]],T_TraitDi[#Data],COLUMN(T_TraitDi[Plan]),FALSE)="OK","Un planning spécifique de télétravail est annexé à la présente convention.",""),"")</f>
        <v/>
      </c>
      <c r="BV275" s="185" t="s">
        <v>3382</v>
      </c>
      <c r="BW275" s="164" t="e">
        <f>IF(VLOOKUP(T_Convention[[#This Row],[NumL]],T_suiviDi[#Data],COLUMN(T_suiviDi[Entité]),FALSE)="","",VLOOKUP(T_Convention[[#This Row],[NumL]],T_suiviDi[#Data],COLUMN(T_suiviDi[Entité]),FALSE))</f>
        <v>#N/A</v>
      </c>
      <c r="BX275" s="164" t="str">
        <f>IF(VLOOKUP(T_Convention[[#This Row],[NumL]],T_Commission[#Data],COLUMN(T_Commission[envoi confirm TW]),FALSE)="","",VLOOKUP(T_Convention[[#This Row],[NumL]],T_Commission[#Data],COLUMN(T_Commission[envoi confirm TW]),FALSE))</f>
        <v>Oui</v>
      </c>
      <c r="BY27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5" s="264">
        <f>VLOOKUP(T_Convention[[#This Row],[NumL]],T_Commission[#Data],COLUMN(T_Commission[Commentaire]),FALSE)</f>
        <v>0</v>
      </c>
      <c r="CA275" s="254" t="str">
        <f>IF(VLOOKUP(T_Convention[[#This Row],[NumL]],T_Commission[#Data],COLUMN(T_Commission[Encadrant Email]),FALSE)="","",VLOOKUP(T_Convention[[#This Row],[NumL]],T_Commission[#Data],COLUMN(T_Commission[Encadrant Email]),FALSE))</f>
        <v/>
      </c>
      <c r="CB275" s="353" t="e">
        <f>VLOOKUP(T_Convention[[#This Row],[NumL]],T_TraitDi[#Data],COLUMN(T_TraitDi[NbJTot]),FALSE)</f>
        <v>#N/A</v>
      </c>
      <c r="CC275" s="353" t="e">
        <f>VLOOKUP(T_Convention[[#This Row],[NumL]],T_TraitDi[#Data],COLUMN(T_TraitDi[Reg Ponct]),FALSE)</f>
        <v>#N/A</v>
      </c>
      <c r="CD275" s="348" t="str">
        <f>IF(T_Convention[[#This Row],[Final]]&lt;&gt;"",VLOOKUP(T_Convention[[#This Row],[NumL]],T_suiviDi[#Data],COLUMN((T_suiviDi[Statut])),FALSE),"")</f>
        <v/>
      </c>
    </row>
    <row r="276" spans="1:82" s="106" customFormat="1" ht="18.75" customHeight="1" x14ac:dyDescent="0.25">
      <c r="A276" s="160">
        <v>183</v>
      </c>
      <c r="B276" s="161" t="str">
        <f>VLOOKUP(T_Convention[[#This Row],[NumL]],T_Commission[#Data],COLUMN(T_Commission[FINAL]),FALSE)</f>
        <v/>
      </c>
      <c r="C276" s="162"/>
      <c r="D276" s="95" t="e">
        <f>IF(VLOOKUP(T_Convention[[#This Row],[NumL]],T_TraitDi[#Data],COLUMN(T_TraitDi[WebC]),FALSE)="","",VLOOKUP(T_Convention[[#This Row],[NumL]],T_TraitDi[#Data],COLUMN(T_TraitDi[WebC]),FALSE))</f>
        <v>#N/A</v>
      </c>
      <c r="E276" s="163" t="str">
        <f t="shared" si="20"/>
        <v>12 janvier 2021</v>
      </c>
      <c r="F276" s="282" t="str">
        <f>IF(T_Convention[[#This Row],[Final]]&lt;&gt;"",VLOOKUP(T_Convention[[#This Row],[NumL]],T_suiviDi[#Data],COLUMN((T_suiviDi[Civ.])),FALSE),"")</f>
        <v/>
      </c>
      <c r="G276" s="283" t="str">
        <f>IF(T_Convention[[#This Row],[Final]]&lt;&gt;"",VLOOKUP(T_Convention[[#This Row],[NumL]],T_suiviDi[#Data],COLUMN((T_suiviDi[Nom])),FALSE),"")</f>
        <v/>
      </c>
      <c r="H276" s="282" t="str">
        <f>IF(T_Convention[[#This Row],[Final]]&lt;&gt;"",VLOOKUP(T_Convention[[#This Row],[NumL]],T_suiviDi[#Data],COLUMN((T_suiviDi[Prénom])),FALSE),"")</f>
        <v/>
      </c>
      <c r="I276" s="282" t="e">
        <f>VLOOKUP(T_Convention[[#This Row],[NumL]],T_suiviDi[#Data],COLUMN((T_suiviDi[[#This Row],[Email]])),FALSE)</f>
        <v>#VALUE!</v>
      </c>
      <c r="J276" s="282" t="e">
        <f>IF(VLOOKUP(T_Convention[[#This Row],[NumL]],T_suiviDi[#Data],COLUMN(T_suiviDi[[#This Row],[Fonction]]),FALSE)="","",VLOOKUP(T_Convention[[#This Row],[NumL]],T_suiviDi[#Data],COLUMN(T_suiviDi[[#This Row],[Fonction]]),FALSE))</f>
        <v>#VALUE!</v>
      </c>
      <c r="K276" s="282" t="e">
        <f>IF(VLOOKUP(T_Convention[[#This Row],[NumL]],T_suiviDi[#Data],COLUMN(T_suiviDi[[#This Row],[Grade]]),FALSE)="","",VLOOKUP(T_Convention[[#This Row],[NumL]],T_suiviDi[#Data],COLUMN(T_suiviDi[[#This Row],[Grade]]),FALSE))</f>
        <v>#VALUE!</v>
      </c>
      <c r="L276" s="282" t="e">
        <f>IF(VLOOKUP(T_Convention[[#This Row],[NumL]],T_suiviDi[#Data],COLUMN(T_suiviDi[[#This Row],[Service ]]),FALSE)="","",VLOOKUP(T_Convention[[#This Row],[NumL]],T_suiviDi[#Data],COLUMN(T_suiviDi[[#This Row],[Service ]]),FALSE))</f>
        <v>#VALUE!</v>
      </c>
      <c r="M276" s="164" t="str">
        <f t="shared" si="21"/>
        <v>01 septembre 2021</v>
      </c>
      <c r="N276" s="164" t="str">
        <f t="shared" si="22"/>
        <v>30 novembre 2021</v>
      </c>
      <c r="O276" s="284" t="str">
        <f t="shared" si="23"/>
        <v>30 novembre 2021</v>
      </c>
      <c r="P276" s="282" t="e">
        <f>IF(VLOOKUP(T_Convention[[#This Row],[NumL]],T_TraitDi[#Data],COLUMN(T_TraitDi[M1]),FALSE)="","",VLOOKUP(T_Convention[[#This Row],[NumL]],T_TraitDi[#Data],COLUMN(T_TraitDi[M1]),FALSE))</f>
        <v>#N/A</v>
      </c>
      <c r="Q276" s="282" t="e">
        <f>IF(VLOOKUP(T_Convention[[#This Row],[NumL]],T_TraitDi[#Data],COLUMN(T_TraitDi[M2]),FALSE)="","",VLOOKUP(T_Convention[[#This Row],[NumL]],T_TraitDi[#Data],COLUMN(T_TraitDi[M2]),FALSE))</f>
        <v>#N/A</v>
      </c>
      <c r="R276" s="282" t="e">
        <f>IF(VLOOKUP(T_Convention[[#This Row],[NumL]],T_TraitDi[#Data],COLUMN(T_TraitDi[M3]),FALSE)="","",VLOOKUP(T_Convention[[#This Row],[NumL]],T_TraitDi[#Data],COLUMN(T_TraitDi[M3]),FALSE))</f>
        <v>#N/A</v>
      </c>
      <c r="S276" s="282" t="e">
        <f>IF(VLOOKUP(T_Convention[[#This Row],[NumL]],T_TraitDi[#Data],COLUMN(T_TraitDi[M4]),FALSE)="","",VLOOKUP(T_Convention[[#This Row],[NumL]],T_TraitDi[#Data],COLUMN(T_TraitDi[M4]),FALSE))</f>
        <v>#N/A</v>
      </c>
      <c r="T276" s="282" t="e">
        <f>IF(VLOOKUP(T_Convention[[#This Row],[NumL]],T_TraitDi[#Data],COLUMN(T_TraitDi[M5]),FALSE)="","",VLOOKUP(T_Convention[[#This Row],[NumL]],T_TraitDi[#Data],COLUMN(T_TraitDi[M5]),FALSE))</f>
        <v>#N/A</v>
      </c>
      <c r="U276" s="282" t="e">
        <f>IF(VLOOKUP(T_Convention[[#This Row],[NumL]],T_TraitDi[#Data],COLUMN(T_TraitDi[M6]),FALSE)="","",VLOOKUP(T_Convention[[#This Row],[NumL]],T_TraitDi[#Data],COLUMN(T_TraitDi[M6]),FALSE))</f>
        <v>#N/A</v>
      </c>
      <c r="V276" s="176" t="e">
        <f t="shared" si="24"/>
        <v>#N/A</v>
      </c>
      <c r="W276" s="284" t="str">
        <f>IFERROR(TEXT(VLOOKUP(T_Convention[[#This Row],[NumL]],T_TraitDi[#Data],COLUMN(T_TraitDi[Q2]),FALSE),"###%"),"")</f>
        <v/>
      </c>
      <c r="X276" s="97" t="e">
        <f>VLOOKUP(T_Convention[[#This Row],[NumL]],T_TraitDi[#Data],COLUMN(T_TraitDi[Reg Ponct]),FALSE)</f>
        <v>#N/A</v>
      </c>
      <c r="Y276" s="97" t="e">
        <f>VLOOKUP(T_Convention[NumL],T_TraitDi[#Data],COLUMN(T_TraitDi[Jours flottants]),FALSE)</f>
        <v>#N/A</v>
      </c>
      <c r="Z276" s="284" t="str">
        <f>IFERROR(VLOOKUP(T_Convention[[#This Row],[NumL]],T_TraitDi[#Data],COLUMN(T_TraitDi[Lundi]),FALSE),"")</f>
        <v/>
      </c>
      <c r="AA276" s="284" t="e">
        <f>IF(VLOOKUP(T_Convention[[#This Row],[NumL]],T_TraitDi[#Data],COLUMN(T_TraitDi[Colonne3]),FALSE)=0,"",TEXT(IFERROR(VLOOKUP(T_Convention[[#This Row],[NumL]],T_TraitDi[#Data],COLUMN(T_TraitDi[Colonne3]),FALSE),""),"[hh]:mm"))</f>
        <v>#N/A</v>
      </c>
      <c r="AB276" s="284" t="e">
        <f>IF(VLOOKUP(T_Convention[[#This Row],[NumL]],T_TraitDi[#Data],COLUMN(T_TraitDi[Colonne4]),FALSE)=0,"",TEXT(IFERROR(VLOOKUP(T_Convention[[#This Row],[NumL]],T_TraitDi[#Data],COLUMN(T_TraitDi[Colonne4]),FALSE),""),"[hh]:mm"))</f>
        <v>#N/A</v>
      </c>
      <c r="AC276" s="284" t="e">
        <f>IF(VLOOKUP(T_Convention[[#This Row],[NumL]],T_TraitDi[#Data],COLUMN(T_TraitDi[Colonne5]),FALSE)=0,"",TEXT(IFERROR(VLOOKUP(T_Convention[[#This Row],[NumL]],T_TraitDi[#Data],COLUMN(T_TraitDi[Colonne5]),FALSE),""),"[hh]:mm"))</f>
        <v>#N/A</v>
      </c>
      <c r="AD276" s="284" t="e">
        <f>IF(VLOOKUP(T_Convention[[#This Row],[NumL]],T_TraitDi[#Data],COLUMN(T_TraitDi[Colonne6]),FALSE)=0,"",TEXT(IFERROR(VLOOKUP(T_Convention[[#This Row],[NumL]],T_TraitDi[#Data],COLUMN(T_TraitDi[Colonne6]),FALSE),""),"[hh]:mm"))</f>
        <v>#N/A</v>
      </c>
      <c r="AE276" s="284" t="e">
        <f>IF(VLOOKUP(T_Convention[[#This Row],[NumL]],T_TraitDi[#Data],COLUMN(T_TraitDi[Colonne7]),FALSE)=0,"",TEXT(IFERROR(VLOOKUP(T_Convention[[#This Row],[NumL]],T_TraitDi[#Data],COLUMN(T_TraitDi[Colonne7]),FALSE),""),"[hh]:mm"))</f>
        <v>#N/A</v>
      </c>
      <c r="AF276" s="284" t="e">
        <f>IF(VLOOKUP(T_Convention[[#This Row],[NumL]],T_TraitDi[#Data],COLUMN(T_TraitDi[Colonne8]),FALSE)=0,"",TEXT(IFERROR(VLOOKUP(T_Convention[[#This Row],[NumL]],T_TraitDi[#Data],COLUMN(T_TraitDi[Colonne8]),FALSE),""),"[hh]:mm"))</f>
        <v>#N/A</v>
      </c>
      <c r="AG276" s="284" t="str">
        <f>IFERROR(VLOOKUP(T_Convention[[#This Row],[NumL]],T_TraitDi[#Data],COLUMN(T_TraitDi[Mardi]),FALSE),"")</f>
        <v/>
      </c>
      <c r="AH276" s="284" t="e">
        <f>IF(VLOOKUP(T_Convention[[#This Row],[NumL]],T_TraitDi[#Data],COLUMN(T_TraitDi[Colonne1]),FALSE)=0,"",TEXT(IFERROR(VLOOKUP(T_Convention[[#This Row],[NumL]],T_TraitDi[#Data],COLUMN(T_TraitDi[Colonne1]),FALSE),""),"[hh]:mm"))</f>
        <v>#N/A</v>
      </c>
      <c r="AI276" s="284" t="e">
        <f>IF(VLOOKUP(T_Convention[[#This Row],[NumL]],T_TraitDi[#Data],COLUMN(T_TraitDi[Colonne9]),FALSE)=0,"",TEXT(IFERROR(VLOOKUP(T_Convention[[#This Row],[NumL]],T_TraitDi[#Data],COLUMN(T_TraitDi[Colonne9]),FALSE),""),"[hh]:mm"))</f>
        <v>#N/A</v>
      </c>
      <c r="AJ276" s="284" t="str">
        <f>IFERROR(VLOOKUP(T_Convention[[#This Row],[NumL]],T_TraitDi[#Data],COLUMN(T_TraitDi[Colonne10]),FALSE),"")</f>
        <v/>
      </c>
      <c r="AK276" s="284" t="e">
        <f>IF(VLOOKUP(T_Convention[[#This Row],[NumL]],T_TraitDi[#Data],COLUMN(T_TraitDi[Colonne11]),FALSE)=0,"",TEXT(IFERROR(VLOOKUP(T_Convention[[#This Row],[NumL]],T_TraitDi[#Data],COLUMN(T_TraitDi[Colonne11]),FALSE),""),"[hh]:mm"))</f>
        <v>#N/A</v>
      </c>
      <c r="AL276" s="284" t="e">
        <f>IF(VLOOKUP(T_Convention[[#This Row],[NumL]],T_TraitDi[#Data],COLUMN(T_TraitDi[Colonne12]),FALSE)=0,"",TEXT(IFERROR(VLOOKUP(T_Convention[[#This Row],[NumL]],T_TraitDi[#Data],COLUMN(T_TraitDi[Colonne12]),FALSE),""),"[hh]:mm"))</f>
        <v>#N/A</v>
      </c>
      <c r="AM276" s="284" t="e">
        <f>IF(VLOOKUP(T_Convention[[#This Row],[NumL]],T_TraitDi[#Data],COLUMN(T_TraitDi[Colonne14]),FALSE)=0,"",TEXT(IFERROR(VLOOKUP(T_Convention[[#This Row],[NumL]],T_TraitDi[#Data],COLUMN(T_TraitDi[Colonne14]),FALSE),""),"[hh]:mm"))</f>
        <v>#N/A</v>
      </c>
      <c r="AN276" s="284" t="str">
        <f>IFERROR(VLOOKUP(T_Convention[[#This Row],[NumL]],T_TraitDi[#Data],COLUMN(T_TraitDi[Mercredi]),FALSE),"")</f>
        <v/>
      </c>
      <c r="AO276" s="284" t="e">
        <f>IF(VLOOKUP(T_Convention[[#This Row],[NumL]],T_TraitDi[#Data],COLUMN(T_TraitDi[Colonne15]),FALSE)=0,"",TEXT(IFERROR(VLOOKUP(T_Convention[[#This Row],[NumL]],T_TraitDi[#Data],COLUMN(T_TraitDi[Colonne15]),FALSE),""),"[hh]:mm"))</f>
        <v>#N/A</v>
      </c>
      <c r="AP276" s="284" t="e">
        <f>IF(VLOOKUP(T_Convention[[#This Row],[NumL]],T_TraitDi[#Data],COLUMN(T_TraitDi[Colonne16]),FALSE)=0,"",TEXT(IFERROR(VLOOKUP(T_Convention[[#This Row],[NumL]],T_TraitDi[#Data],COLUMN(T_TraitDi[Colonne16]),FALSE),""),"[hh]:mm"))</f>
        <v>#N/A</v>
      </c>
      <c r="AQ276" s="284" t="str">
        <f>IFERROR(VLOOKUP(T_Convention[[#This Row],[NumL]],T_TraitDi[#Data],COLUMN(T_TraitDi[Colonne17]),FALSE),"")</f>
        <v/>
      </c>
      <c r="AR276" s="284" t="e">
        <f>IF(VLOOKUP(T_Convention[[#This Row],[NumL]],T_TraitDi[#Data],COLUMN(T_TraitDi[Colonne18]),FALSE)=0,"",TEXT(IFERROR(VLOOKUP(T_Convention[[#This Row],[NumL]],T_TraitDi[#Data],COLUMN(T_TraitDi[Colonne18]),FALSE),""),"[hh]:mm"))</f>
        <v>#N/A</v>
      </c>
      <c r="AS276" s="284" t="e">
        <f>IF(VLOOKUP(T_Convention[[#This Row],[NumL]],T_TraitDi[#Data],COLUMN(T_TraitDi[Colonne19]),FALSE)=0,"",TEXT(IFERROR(VLOOKUP(T_Convention[[#This Row],[NumL]],T_TraitDi[#Data],COLUMN(T_TraitDi[Colonne19]),FALSE),""),"[hh]:mm"))</f>
        <v>#N/A</v>
      </c>
      <c r="AT276" s="284" t="e">
        <f>IF(VLOOKUP(T_Convention[[#This Row],[NumL]],T_TraitDi[#Data],COLUMN(T_TraitDi[Colonne20]),FALSE)=0,"",TEXT(IFERROR(VLOOKUP(T_Convention[[#This Row],[NumL]],T_TraitDi[#Data],COLUMN(T_TraitDi[Colonne20]),FALSE),""),"[hh]:mm"))</f>
        <v>#N/A</v>
      </c>
      <c r="AU276" s="284" t="str">
        <f>IFERROR(VLOOKUP(T_Convention[[#This Row],[NumL]],T_TraitDi[#Data],COLUMN(T_TraitDi[Jeudi]),FALSE),"")</f>
        <v/>
      </c>
      <c r="AV276" s="284" t="e">
        <f>IF(VLOOKUP(T_Convention[[#This Row],[NumL]],T_TraitDi[#Data],COLUMN(T_TraitDi[Colonne21]),FALSE)=0,"",TEXT(IFERROR(VLOOKUP(T_Convention[[#This Row],[NumL]],T_TraitDi[#Data],COLUMN(T_TraitDi[Colonne21]),FALSE),""),"[hh]:mm"))</f>
        <v>#N/A</v>
      </c>
      <c r="AW276" s="284" t="e">
        <f>IF(VLOOKUP(T_Convention[[#This Row],[NumL]],T_TraitDi[#Data],COLUMN(T_TraitDi[Colonne22]),FALSE)=0,"",TEXT(IFERROR(VLOOKUP(T_Convention[[#This Row],[NumL]],T_TraitDi[#Data],COLUMN(T_TraitDi[Colonne22]),FALSE),""),"[hh]:mm"))</f>
        <v>#N/A</v>
      </c>
      <c r="AX276" s="284" t="str">
        <f>IFERROR(VLOOKUP(T_Convention[[#This Row],[NumL]],T_TraitDi[#Data],COLUMN(T_TraitDi[Colonne23]),FALSE),"")</f>
        <v/>
      </c>
      <c r="AY276" s="284" t="e">
        <f>IF(VLOOKUP(T_Convention[[#This Row],[NumL]],T_TraitDi[#Data],COLUMN(T_TraitDi[Colonne24]),FALSE)=0,"",TEXT(IFERROR(VLOOKUP(T_Convention[[#This Row],[NumL]],T_TraitDi[#Data],COLUMN(T_TraitDi[Colonne24]),FALSE),""),"[hh]:mm"))</f>
        <v>#N/A</v>
      </c>
      <c r="AZ276" s="284" t="e">
        <f>IF(VLOOKUP(T_Convention[[#This Row],[NumL]],T_TraitDi[#Data],COLUMN(T_TraitDi[Colonne25]),FALSE)=0,"",TEXT(IFERROR(VLOOKUP(T_Convention[[#This Row],[NumL]],T_TraitDi[#Data],COLUMN(T_TraitDi[Colonne25]),FALSE),""),"[hh]:mm"))</f>
        <v>#N/A</v>
      </c>
      <c r="BA276" s="284" t="e">
        <f>IF(VLOOKUP(T_Convention[[#This Row],[NumL]],T_TraitDi[#Data],COLUMN(T_TraitDi[Colonne26]),FALSE)=0,"",TEXT(IFERROR(VLOOKUP(T_Convention[[#This Row],[NumL]],T_TraitDi[#Data],COLUMN(T_TraitDi[Colonne26]),FALSE),""),"[hh]:mm"))</f>
        <v>#N/A</v>
      </c>
      <c r="BB276" s="284" t="str">
        <f>IFERROR(VLOOKUP(T_Convention[[#This Row],[NumL]],T_TraitDi[#Data],COLUMN(T_TraitDi[Vendredi]),FALSE),"")</f>
        <v/>
      </c>
      <c r="BC276" s="284" t="e">
        <f>IF(VLOOKUP(T_Convention[[#This Row],[NumL]],T_TraitDi[#Data],COLUMN(T_TraitDi[Colonne27]),FALSE)=0,"",TEXT(IFERROR(VLOOKUP(T_Convention[[#This Row],[NumL]],T_TraitDi[#Data],COLUMN(T_TraitDi[Colonne27]),FALSE),""),"[hh]:mm"))</f>
        <v>#N/A</v>
      </c>
      <c r="BD276" s="284" t="e">
        <f>IF(VLOOKUP(T_Convention[[#This Row],[NumL]],T_TraitDi[#Data],COLUMN(T_TraitDi[Colonne28]),FALSE)=0,"",TEXT(IFERROR(VLOOKUP(T_Convention[[#This Row],[NumL]],T_TraitDi[#Data],COLUMN(T_TraitDi[Colonne28]),FALSE),""),"[hh]:mm"))</f>
        <v>#N/A</v>
      </c>
      <c r="BE276" s="284" t="str">
        <f>IFERROR(VLOOKUP(T_Convention[[#This Row],[NumL]],T_TraitDi[#Data],COLUMN(T_TraitDi[Colonne29]),FALSE),"")</f>
        <v/>
      </c>
      <c r="BF276" s="284" t="e">
        <f>IF(VLOOKUP(T_Convention[[#This Row],[NumL]],T_TraitDi[#Data],COLUMN(T_TraitDi[Colonne30]),FALSE)=0,"",TEXT(IFERROR(VLOOKUP(T_Convention[[#This Row],[NumL]],T_TraitDi[#Data],COLUMN(T_TraitDi[Colonne30]),FALSE),""),"[hh]:mm"))</f>
        <v>#N/A</v>
      </c>
      <c r="BG276" s="284" t="e">
        <f>IF(VLOOKUP(T_Convention[[#This Row],[NumL]],T_TraitDi[#Data],COLUMN(T_TraitDi[Colonne31]),FALSE)=0,"",TEXT(IFERROR(VLOOKUP(T_Convention[[#This Row],[NumL]],T_TraitDi[#Data],COLUMN(T_TraitDi[Colonne31]),FALSE),""),"[hh]:mm"))</f>
        <v>#N/A</v>
      </c>
      <c r="BH276" s="284" t="e">
        <f>IF(VLOOKUP(T_Convention[[#This Row],[NumL]],T_TraitDi[#Data],COLUMN(T_TraitDi[Colonne32]),FALSE)=0,"",TEXT(IFERROR(VLOOKUP(T_Convention[[#This Row],[NumL]],T_TraitDi[#Data],COLUMN(T_TraitDi[Colonne32]),FALSE),""),"[hh]:mm"))</f>
        <v>#N/A</v>
      </c>
      <c r="BI276" s="284" t="str">
        <f>IFERROR(VLOOKUP(T_Convention[[#This Row],[NumL]],T_TraitDi[#Data],COLUMN(T_TraitDi[NbJTW]),FALSE),"")</f>
        <v/>
      </c>
      <c r="BJ276" s="284" t="e">
        <f>IF(VLOOKUP(T_Convention[[#This Row],[NumL]],T_TraitDi[#Data],COLUMN(T_TraitDi[NbhTW]),FALSE)=0,"",TEXT(IFERROR(VLOOKUP(T_Convention[[#This Row],[NumL]],T_TraitDi[#Data],COLUMN(T_TraitDi[NbhTW]),FALSE),""),"[hh]:mm"))</f>
        <v>#N/A</v>
      </c>
      <c r="BK276" s="286" t="e">
        <f>IF(VLOOKUP(T_Convention[[#This Row],[NumL]],T_TraitDi[#Data],COLUMN(T_TraitDi[Nbhheb]),FALSE)=0,"",TEXT(IFERROR(VLOOKUP(T_Convention[[#This Row],[NumL]],T_TraitDi[#Data],COLUMN(T_TraitDi[Nbhheb]),FALSE),""),"[hh]:mm"))</f>
        <v>#N/A</v>
      </c>
      <c r="BL276" s="287" t="str">
        <f>IFERROR(VLOOKUP(VLOOKUP(T_Convention[[#This Row],[NumL]],T_TraitDi[#Data],COLUMN(T_TraitDi[Type1]),FALSE),TypeTW,2,FALSE),"")</f>
        <v/>
      </c>
      <c r="BM276" s="288" t="str">
        <f>IFERROR(VLOOKUP(T_Convention[[#This Row],[NumL]],T_TraitDi[#Data],COLUMN(T_TraitDi[Rue1]),FALSE),"")</f>
        <v/>
      </c>
      <c r="BN276" s="289" t="str">
        <f>IFERROR(VLOOKUP(T_Convention[[#This Row],[NumL]],T_TraitDi[#Data],COLUMN(T_TraitDi[CP1]),FALSE),"")</f>
        <v/>
      </c>
      <c r="BO276" s="282" t="str">
        <f>IFERROR(VLOOKUP(T_Convention[[#This Row],[NumL]],T_TraitDi[#Data],COLUMN(T_TraitDi[VILLE1]),FALSE),"")</f>
        <v/>
      </c>
      <c r="BP276" s="290" t="str">
        <f>IFERROR(VLOOKUP(VLOOKUP(T_Convention[[#This Row],[NumL]],T_TraitDi[#Data],COLUMN(T_TraitDi[Type2]),FALSE),TypeTW,2,FALSE),"")</f>
        <v/>
      </c>
      <c r="BQ276" s="182" t="str">
        <f>IFERROR(VLOOKUP(T_Convention[[#This Row],[NumL]],T_TraitDi[#Data],COLUMN(T_TraitDi[Rue2]),FALSE),"")</f>
        <v/>
      </c>
      <c r="BR276" s="173" t="str">
        <f>IFERROR(VLOOKUP(T_Convention[[#This Row],[NumL]],T_TraitDi[#Data],COLUMN(T_TraitDi[CP2]),FALSE),"")</f>
        <v/>
      </c>
      <c r="BS276" s="173" t="str">
        <f>IFERROR(VLOOKUP(T_Convention[[#This Row],[NumL]],T_TraitDi[#Data],COLUMN(T_TraitDi[VILLE2]),FALSE),"")</f>
        <v/>
      </c>
      <c r="BT276" s="182" t="str">
        <f>IF(VLOOKUP(T_Convention[[#This Row],[NumL]],T_Equipement[#Data],COLUMN(T_Equipement[PC]),FALSE)="","Aucun équipement spécifique directement lié au télétravail",VLOOKUP(T_Convention[[#This Row],[NumL]],T_Equipement[#Data],COLUMN(T_Equipement[PC]),FALSE))</f>
        <v xml:space="preserve">20-342	</v>
      </c>
      <c r="BU276" s="166" t="str">
        <f>IFERROR(IF(VLOOKUP(T_Convention[[#This Row],[NumL]],T_TraitDi[#Data],COLUMN(T_TraitDi[Plan]),FALSE)="OK","Un planning spécifique de télétravail est annexé à la présente convention.",""),"")</f>
        <v/>
      </c>
      <c r="BV276" s="185" t="s">
        <v>3397</v>
      </c>
      <c r="BW276" s="164" t="e">
        <f>IF(VLOOKUP(T_Convention[[#This Row],[NumL]],T_suiviDi[#Data],COLUMN(T_suiviDi[Entité]),FALSE)="","",VLOOKUP(T_Convention[[#This Row],[NumL]],T_suiviDi[#Data],COLUMN(T_suiviDi[Entité]),FALSE))</f>
        <v>#N/A</v>
      </c>
      <c r="BX276" s="164" t="str">
        <f>IF(VLOOKUP(T_Convention[[#This Row],[NumL]],T_Commission[#Data],COLUMN(T_Commission[envoi confirm TW]),FALSE)="","",VLOOKUP(T_Convention[[#This Row],[NumL]],T_Commission[#Data],COLUMN(T_Commission[envoi confirm TW]),FALSE))</f>
        <v>Oui</v>
      </c>
      <c r="BY27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6" s="264">
        <f>VLOOKUP(T_Convention[[#This Row],[NumL]],T_Commission[#Data],COLUMN(T_Commission[Commentaire]),FALSE)</f>
        <v>0</v>
      </c>
      <c r="CA276" s="254" t="str">
        <f>IF(VLOOKUP(T_Convention[[#This Row],[NumL]],T_Commission[#Data],COLUMN(T_Commission[Encadrant Email]),FALSE)="","",VLOOKUP(T_Convention[[#This Row],[NumL]],T_Commission[#Data],COLUMN(T_Commission[Encadrant Email]),FALSE))</f>
        <v/>
      </c>
      <c r="CB276" s="353" t="e">
        <f>VLOOKUP(T_Convention[[#This Row],[NumL]],T_TraitDi[#Data],COLUMN(T_TraitDi[NbJTot]),FALSE)</f>
        <v>#N/A</v>
      </c>
      <c r="CC276" s="353" t="e">
        <f>VLOOKUP(T_Convention[[#This Row],[NumL]],T_TraitDi[#Data],COLUMN(T_TraitDi[Reg Ponct]),FALSE)</f>
        <v>#N/A</v>
      </c>
      <c r="CD276" s="348" t="str">
        <f>IF(T_Convention[[#This Row],[Final]]&lt;&gt;"",VLOOKUP(T_Convention[[#This Row],[NumL]],T_suiviDi[#Data],COLUMN((T_suiviDi[Statut])),FALSE),"")</f>
        <v/>
      </c>
    </row>
    <row r="277" spans="1:82" s="106" customFormat="1" ht="18.75" customHeight="1" x14ac:dyDescent="0.25">
      <c r="A277" s="160">
        <v>319</v>
      </c>
      <c r="B277" s="281" t="str">
        <f>VLOOKUP(T_Convention[[#This Row],[NumL]],T_Commission[#Data],COLUMN(T_Commission[FINAL]),FALSE)</f>
        <v/>
      </c>
      <c r="C277" s="162"/>
      <c r="D277" s="95" t="e">
        <f>IF(VLOOKUP(T_Convention[[#This Row],[NumL]],T_TraitDi[#Data],COLUMN(T_TraitDi[WebC]),FALSE)="","",VLOOKUP(T_Convention[[#This Row],[NumL]],T_TraitDi[#Data],COLUMN(T_TraitDi[WebC]),FALSE))</f>
        <v>#N/A</v>
      </c>
      <c r="E277" s="163" t="str">
        <f t="shared" si="20"/>
        <v>12 janvier 2021</v>
      </c>
      <c r="F277" s="282" t="str">
        <f>IF(T_Convention[[#This Row],[Final]]&lt;&gt;"",VLOOKUP(T_Convention[[#This Row],[NumL]],T_suiviDi[#Data],COLUMN((T_suiviDi[Civ.])),FALSE),"")</f>
        <v/>
      </c>
      <c r="G277" s="283" t="str">
        <f>IF(T_Convention[[#This Row],[Final]]&lt;&gt;"",VLOOKUP(T_Convention[[#This Row],[NumL]],T_suiviDi[#Data],COLUMN((T_suiviDi[Nom])),FALSE),"")</f>
        <v/>
      </c>
      <c r="H277" s="282" t="str">
        <f>IF(T_Convention[[#This Row],[Final]]&lt;&gt;"",VLOOKUP(T_Convention[[#This Row],[NumL]],T_suiviDi[#Data],COLUMN((T_suiviDi[Prénom])),FALSE),"")</f>
        <v/>
      </c>
      <c r="I277" s="282" t="e">
        <f>VLOOKUP(T_Convention[[#This Row],[NumL]],T_suiviDi[#Data],COLUMN((T_suiviDi[[#This Row],[Email]])),FALSE)</f>
        <v>#VALUE!</v>
      </c>
      <c r="J277" s="282" t="e">
        <f>IF(VLOOKUP(T_Convention[[#This Row],[NumL]],T_suiviDi[#Data],COLUMN(T_suiviDi[[#This Row],[Fonction]]),FALSE)="","",VLOOKUP(T_Convention[[#This Row],[NumL]],T_suiviDi[#Data],COLUMN(T_suiviDi[[#This Row],[Fonction]]),FALSE))</f>
        <v>#VALUE!</v>
      </c>
      <c r="K277" s="282" t="e">
        <f>IF(VLOOKUP(T_Convention[[#This Row],[NumL]],T_suiviDi[#Data],COLUMN(T_suiviDi[[#This Row],[Grade]]),FALSE)="","",VLOOKUP(T_Convention[[#This Row],[NumL]],T_suiviDi[#Data],COLUMN(T_suiviDi[[#This Row],[Grade]]),FALSE))</f>
        <v>#VALUE!</v>
      </c>
      <c r="L277" s="282" t="e">
        <f>IF(VLOOKUP(T_Convention[[#This Row],[NumL]],T_suiviDi[#Data],COLUMN(T_suiviDi[[#This Row],[Service ]]),FALSE)="","",VLOOKUP(T_Convention[[#This Row],[NumL]],T_suiviDi[#Data],COLUMN(T_suiviDi[[#This Row],[Service ]]),FALSE))</f>
        <v>#VALUE!</v>
      </c>
      <c r="M277" s="314" t="str">
        <f t="shared" si="21"/>
        <v>01 septembre 2021</v>
      </c>
      <c r="N277" s="314" t="str">
        <f t="shared" si="22"/>
        <v>30 novembre 2021</v>
      </c>
      <c r="O277" s="284" t="str">
        <f t="shared" si="23"/>
        <v>30 novembre 2021</v>
      </c>
      <c r="P277" s="282" t="e">
        <f>IF(VLOOKUP(T_Convention[[#This Row],[NumL]],T_TraitDi[#Data],COLUMN(T_TraitDi[M1]),FALSE)="","",VLOOKUP(T_Convention[[#This Row],[NumL]],T_TraitDi[#Data],COLUMN(T_TraitDi[M1]),FALSE))</f>
        <v>#N/A</v>
      </c>
      <c r="Q277" s="282" t="e">
        <f>IF(VLOOKUP(T_Convention[[#This Row],[NumL]],T_TraitDi[#Data],COLUMN(T_TraitDi[M2]),FALSE)="","",VLOOKUP(T_Convention[[#This Row],[NumL]],T_TraitDi[#Data],COLUMN(T_TraitDi[M2]),FALSE))</f>
        <v>#N/A</v>
      </c>
      <c r="R277" s="282" t="e">
        <f>IF(VLOOKUP(T_Convention[[#This Row],[NumL]],T_TraitDi[#Data],COLUMN(T_TraitDi[M3]),FALSE)="","",VLOOKUP(T_Convention[[#This Row],[NumL]],T_TraitDi[#Data],COLUMN(T_TraitDi[M3]),FALSE))</f>
        <v>#N/A</v>
      </c>
      <c r="S277" s="282" t="e">
        <f>IF(VLOOKUP(T_Convention[[#This Row],[NumL]],T_TraitDi[#Data],COLUMN(T_TraitDi[M4]),FALSE)="","",VLOOKUP(T_Convention[[#This Row],[NumL]],T_TraitDi[#Data],COLUMN(T_TraitDi[M4]),FALSE))</f>
        <v>#N/A</v>
      </c>
      <c r="T277" s="282" t="e">
        <f>IF(VLOOKUP(T_Convention[[#This Row],[NumL]],T_TraitDi[#Data],COLUMN(T_TraitDi[M5]),FALSE)="","",VLOOKUP(T_Convention[[#This Row],[NumL]],T_TraitDi[#Data],COLUMN(T_TraitDi[M5]),FALSE))</f>
        <v>#N/A</v>
      </c>
      <c r="U277" s="282" t="e">
        <f>IF(VLOOKUP(T_Convention[[#This Row],[NumL]],T_TraitDi[#Data],COLUMN(T_TraitDi[M6]),FALSE)="","",VLOOKUP(T_Convention[[#This Row],[NumL]],T_TraitDi[#Data],COLUMN(T_TraitDi[M6]),FALSE))</f>
        <v>#N/A</v>
      </c>
      <c r="V277" s="314" t="e">
        <f t="shared" si="24"/>
        <v>#N/A</v>
      </c>
      <c r="W277" s="284" t="str">
        <f>IFERROR(TEXT(VLOOKUP(T_Convention[[#This Row],[NumL]],T_TraitDi[#Data],COLUMN(T_TraitDi[Q2]),FALSE),"###%"),"")</f>
        <v/>
      </c>
      <c r="X277" s="285" t="e">
        <f>VLOOKUP(T_Convention[[#This Row],[NumL]],T_TraitDi[#Data],COLUMN(T_TraitDi[Reg Ponct]),FALSE)</f>
        <v>#N/A</v>
      </c>
      <c r="Y277" s="285" t="e">
        <f>VLOOKUP(T_Convention[NumL],T_TraitDi[#Data],COLUMN(T_TraitDi[Jours flottants]),FALSE)</f>
        <v>#N/A</v>
      </c>
      <c r="Z277" s="284" t="str">
        <f>IFERROR(VLOOKUP(T_Convention[[#This Row],[NumL]],T_TraitDi[#Data],COLUMN(T_TraitDi[Lundi]),FALSE),"")</f>
        <v/>
      </c>
      <c r="AA277" s="284" t="e">
        <f>IF(VLOOKUP(T_Convention[[#This Row],[NumL]],T_TraitDi[#Data],COLUMN(T_TraitDi[Colonne3]),FALSE)=0,"",TEXT(IFERROR(VLOOKUP(T_Convention[[#This Row],[NumL]],T_TraitDi[#Data],COLUMN(T_TraitDi[Colonne3]),FALSE),""),"[hh]:mm"))</f>
        <v>#N/A</v>
      </c>
      <c r="AB277" s="284" t="e">
        <f>IF(VLOOKUP(T_Convention[[#This Row],[NumL]],T_TraitDi[#Data],COLUMN(T_TraitDi[Colonne4]),FALSE)=0,"",TEXT(IFERROR(VLOOKUP(T_Convention[[#This Row],[NumL]],T_TraitDi[#Data],COLUMN(T_TraitDi[Colonne4]),FALSE),""),"[hh]:mm"))</f>
        <v>#N/A</v>
      </c>
      <c r="AC277" s="284" t="e">
        <f>IF(VLOOKUP(T_Convention[[#This Row],[NumL]],T_TraitDi[#Data],COLUMN(T_TraitDi[Colonne5]),FALSE)=0,"",TEXT(IFERROR(VLOOKUP(T_Convention[[#This Row],[NumL]],T_TraitDi[#Data],COLUMN(T_TraitDi[Colonne5]),FALSE),""),"[hh]:mm"))</f>
        <v>#N/A</v>
      </c>
      <c r="AD277" s="284" t="e">
        <f>IF(VLOOKUP(T_Convention[[#This Row],[NumL]],T_TraitDi[#Data],COLUMN(T_TraitDi[Colonne6]),FALSE)=0,"",TEXT(IFERROR(VLOOKUP(T_Convention[[#This Row],[NumL]],T_TraitDi[#Data],COLUMN(T_TraitDi[Colonne6]),FALSE),""),"[hh]:mm"))</f>
        <v>#N/A</v>
      </c>
      <c r="AE277" s="284" t="e">
        <f>IF(VLOOKUP(T_Convention[[#This Row],[NumL]],T_TraitDi[#Data],COLUMN(T_TraitDi[Colonne7]),FALSE)=0,"",TEXT(IFERROR(VLOOKUP(T_Convention[[#This Row],[NumL]],T_TraitDi[#Data],COLUMN(T_TraitDi[Colonne7]),FALSE),""),"[hh]:mm"))</f>
        <v>#N/A</v>
      </c>
      <c r="AF277" s="284" t="e">
        <f>IF(VLOOKUP(T_Convention[[#This Row],[NumL]],T_TraitDi[#Data],COLUMN(T_TraitDi[Colonne8]),FALSE)=0,"",TEXT(IFERROR(VLOOKUP(T_Convention[[#This Row],[NumL]],T_TraitDi[#Data],COLUMN(T_TraitDi[Colonne8]),FALSE),""),"[hh]:mm"))</f>
        <v>#N/A</v>
      </c>
      <c r="AG277" s="284" t="str">
        <f>IFERROR(VLOOKUP(T_Convention[[#This Row],[NumL]],T_TraitDi[#Data],COLUMN(T_TraitDi[Mardi]),FALSE),"")</f>
        <v/>
      </c>
      <c r="AH277" s="284" t="e">
        <f>IF(VLOOKUP(T_Convention[[#This Row],[NumL]],T_TraitDi[#Data],COLUMN(T_TraitDi[Colonne1]),FALSE)=0,"",TEXT(IFERROR(VLOOKUP(T_Convention[[#This Row],[NumL]],T_TraitDi[#Data],COLUMN(T_TraitDi[Colonne1]),FALSE),""),"[hh]:mm"))</f>
        <v>#N/A</v>
      </c>
      <c r="AI277" s="284" t="e">
        <f>IF(VLOOKUP(T_Convention[[#This Row],[NumL]],T_TraitDi[#Data],COLUMN(T_TraitDi[Colonne9]),FALSE)=0,"",TEXT(IFERROR(VLOOKUP(T_Convention[[#This Row],[NumL]],T_TraitDi[#Data],COLUMN(T_TraitDi[Colonne9]),FALSE),""),"[hh]:mm"))</f>
        <v>#N/A</v>
      </c>
      <c r="AJ277" s="284" t="str">
        <f>IFERROR(VLOOKUP(T_Convention[[#This Row],[NumL]],T_TraitDi[#Data],COLUMN(T_TraitDi[Colonne10]),FALSE),"")</f>
        <v/>
      </c>
      <c r="AK277" s="284" t="e">
        <f>IF(VLOOKUP(T_Convention[[#This Row],[NumL]],T_TraitDi[#Data],COLUMN(T_TraitDi[Colonne11]),FALSE)=0,"",TEXT(IFERROR(VLOOKUP(T_Convention[[#This Row],[NumL]],T_TraitDi[#Data],COLUMN(T_TraitDi[Colonne11]),FALSE),""),"[hh]:mm"))</f>
        <v>#N/A</v>
      </c>
      <c r="AL277" s="284" t="e">
        <f>IF(VLOOKUP(T_Convention[[#This Row],[NumL]],T_TraitDi[#Data],COLUMN(T_TraitDi[Colonne12]),FALSE)=0,"",TEXT(IFERROR(VLOOKUP(T_Convention[[#This Row],[NumL]],T_TraitDi[#Data],COLUMN(T_TraitDi[Colonne12]),FALSE),""),"[hh]:mm"))</f>
        <v>#N/A</v>
      </c>
      <c r="AM277" s="284" t="e">
        <f>IF(VLOOKUP(T_Convention[[#This Row],[NumL]],T_TraitDi[#Data],COLUMN(T_TraitDi[Colonne14]),FALSE)=0,"",TEXT(IFERROR(VLOOKUP(T_Convention[[#This Row],[NumL]],T_TraitDi[#Data],COLUMN(T_TraitDi[Colonne14]),FALSE),""),"[hh]:mm"))</f>
        <v>#N/A</v>
      </c>
      <c r="AN277" s="284" t="str">
        <f>IFERROR(VLOOKUP(T_Convention[[#This Row],[NumL]],T_TraitDi[#Data],COLUMN(T_TraitDi[Mercredi]),FALSE),"")</f>
        <v/>
      </c>
      <c r="AO277" s="284" t="e">
        <f>IF(VLOOKUP(T_Convention[[#This Row],[NumL]],T_TraitDi[#Data],COLUMN(T_TraitDi[Colonne15]),FALSE)=0,"",TEXT(IFERROR(VLOOKUP(T_Convention[[#This Row],[NumL]],T_TraitDi[#Data],COLUMN(T_TraitDi[Colonne15]),FALSE),""),"[hh]:mm"))</f>
        <v>#N/A</v>
      </c>
      <c r="AP277" s="284" t="e">
        <f>IF(VLOOKUP(T_Convention[[#This Row],[NumL]],T_TraitDi[#Data],COLUMN(T_TraitDi[Colonne16]),FALSE)=0,"",TEXT(IFERROR(VLOOKUP(T_Convention[[#This Row],[NumL]],T_TraitDi[#Data],COLUMN(T_TraitDi[Colonne16]),FALSE),""),"[hh]:mm"))</f>
        <v>#N/A</v>
      </c>
      <c r="AQ277" s="284" t="str">
        <f>IFERROR(VLOOKUP(T_Convention[[#This Row],[NumL]],T_TraitDi[#Data],COLUMN(T_TraitDi[Colonne17]),FALSE),"")</f>
        <v/>
      </c>
      <c r="AR277" s="284" t="e">
        <f>IF(VLOOKUP(T_Convention[[#This Row],[NumL]],T_TraitDi[#Data],COLUMN(T_TraitDi[Colonne18]),FALSE)=0,"",TEXT(IFERROR(VLOOKUP(T_Convention[[#This Row],[NumL]],T_TraitDi[#Data],COLUMN(T_TraitDi[Colonne18]),FALSE),""),"[hh]:mm"))</f>
        <v>#N/A</v>
      </c>
      <c r="AS277" s="284" t="e">
        <f>IF(VLOOKUP(T_Convention[[#This Row],[NumL]],T_TraitDi[#Data],COLUMN(T_TraitDi[Colonne19]),FALSE)=0,"",TEXT(IFERROR(VLOOKUP(T_Convention[[#This Row],[NumL]],T_TraitDi[#Data],COLUMN(T_TraitDi[Colonne19]),FALSE),""),"[hh]:mm"))</f>
        <v>#N/A</v>
      </c>
      <c r="AT277" s="284" t="e">
        <f>IF(VLOOKUP(T_Convention[[#This Row],[NumL]],T_TraitDi[#Data],COLUMN(T_TraitDi[Colonne20]),FALSE)=0,"",TEXT(IFERROR(VLOOKUP(T_Convention[[#This Row],[NumL]],T_TraitDi[#Data],COLUMN(T_TraitDi[Colonne20]),FALSE),""),"[hh]:mm"))</f>
        <v>#N/A</v>
      </c>
      <c r="AU277" s="284" t="str">
        <f>IFERROR(VLOOKUP(T_Convention[[#This Row],[NumL]],T_TraitDi[#Data],COLUMN(T_TraitDi[Jeudi]),FALSE),"")</f>
        <v/>
      </c>
      <c r="AV277" s="284" t="e">
        <f>IF(VLOOKUP(T_Convention[[#This Row],[NumL]],T_TraitDi[#Data],COLUMN(T_TraitDi[Colonne21]),FALSE)=0,"",TEXT(IFERROR(VLOOKUP(T_Convention[[#This Row],[NumL]],T_TraitDi[#Data],COLUMN(T_TraitDi[Colonne21]),FALSE),""),"[hh]:mm"))</f>
        <v>#N/A</v>
      </c>
      <c r="AW277" s="284" t="e">
        <f>IF(VLOOKUP(T_Convention[[#This Row],[NumL]],T_TraitDi[#Data],COLUMN(T_TraitDi[Colonne22]),FALSE)=0,"",TEXT(IFERROR(VLOOKUP(T_Convention[[#This Row],[NumL]],T_TraitDi[#Data],COLUMN(T_TraitDi[Colonne22]),FALSE),""),"[hh]:mm"))</f>
        <v>#N/A</v>
      </c>
      <c r="AX277" s="284" t="str">
        <f>IFERROR(VLOOKUP(T_Convention[[#This Row],[NumL]],T_TraitDi[#Data],COLUMN(T_TraitDi[Colonne23]),FALSE),"")</f>
        <v/>
      </c>
      <c r="AY277" s="284" t="e">
        <f>IF(VLOOKUP(T_Convention[[#This Row],[NumL]],T_TraitDi[#Data],COLUMN(T_TraitDi[Colonne24]),FALSE)=0,"",TEXT(IFERROR(VLOOKUP(T_Convention[[#This Row],[NumL]],T_TraitDi[#Data],COLUMN(T_TraitDi[Colonne24]),FALSE),""),"[hh]:mm"))</f>
        <v>#N/A</v>
      </c>
      <c r="AZ277" s="284" t="e">
        <f>IF(VLOOKUP(T_Convention[[#This Row],[NumL]],T_TraitDi[#Data],COLUMN(T_TraitDi[Colonne25]),FALSE)=0,"",TEXT(IFERROR(VLOOKUP(T_Convention[[#This Row],[NumL]],T_TraitDi[#Data],COLUMN(T_TraitDi[Colonne25]),FALSE),""),"[hh]:mm"))</f>
        <v>#N/A</v>
      </c>
      <c r="BA277" s="284" t="e">
        <f>IF(VLOOKUP(T_Convention[[#This Row],[NumL]],T_TraitDi[#Data],COLUMN(T_TraitDi[Colonne26]),FALSE)=0,"",TEXT(IFERROR(VLOOKUP(T_Convention[[#This Row],[NumL]],T_TraitDi[#Data],COLUMN(T_TraitDi[Colonne26]),FALSE),""),"[hh]:mm"))</f>
        <v>#N/A</v>
      </c>
      <c r="BB277" s="284" t="str">
        <f>IFERROR(VLOOKUP(T_Convention[[#This Row],[NumL]],T_TraitDi[#Data],COLUMN(T_TraitDi[Vendredi]),FALSE),"")</f>
        <v/>
      </c>
      <c r="BC277" s="284" t="e">
        <f>IF(VLOOKUP(T_Convention[[#This Row],[NumL]],T_TraitDi[#Data],COLUMN(T_TraitDi[Colonne27]),FALSE)=0,"",TEXT(IFERROR(VLOOKUP(T_Convention[[#This Row],[NumL]],T_TraitDi[#Data],COLUMN(T_TraitDi[Colonne27]),FALSE),""),"[hh]:mm"))</f>
        <v>#N/A</v>
      </c>
      <c r="BD277" s="284" t="e">
        <f>IF(VLOOKUP(T_Convention[[#This Row],[NumL]],T_TraitDi[#Data],COLUMN(T_TraitDi[Colonne28]),FALSE)=0,"",TEXT(IFERROR(VLOOKUP(T_Convention[[#This Row],[NumL]],T_TraitDi[#Data],COLUMN(T_TraitDi[Colonne28]),FALSE),""),"[hh]:mm"))</f>
        <v>#N/A</v>
      </c>
      <c r="BE277" s="284" t="str">
        <f>IFERROR(VLOOKUP(T_Convention[[#This Row],[NumL]],T_TraitDi[#Data],COLUMN(T_TraitDi[Colonne29]),FALSE),"")</f>
        <v/>
      </c>
      <c r="BF277" s="284" t="e">
        <f>IF(VLOOKUP(T_Convention[[#This Row],[NumL]],T_TraitDi[#Data],COLUMN(T_TraitDi[Colonne30]),FALSE)=0,"",TEXT(IFERROR(VLOOKUP(T_Convention[[#This Row],[NumL]],T_TraitDi[#Data],COLUMN(T_TraitDi[Colonne30]),FALSE),""),"[hh]:mm"))</f>
        <v>#N/A</v>
      </c>
      <c r="BG277" s="284" t="e">
        <f>IF(VLOOKUP(T_Convention[[#This Row],[NumL]],T_TraitDi[#Data],COLUMN(T_TraitDi[Colonne31]),FALSE)=0,"",TEXT(IFERROR(VLOOKUP(T_Convention[[#This Row],[NumL]],T_TraitDi[#Data],COLUMN(T_TraitDi[Colonne31]),FALSE),""),"[hh]:mm"))</f>
        <v>#N/A</v>
      </c>
      <c r="BH277" s="284" t="e">
        <f>IF(VLOOKUP(T_Convention[[#This Row],[NumL]],T_TraitDi[#Data],COLUMN(T_TraitDi[Colonne32]),FALSE)=0,"",TEXT(IFERROR(VLOOKUP(T_Convention[[#This Row],[NumL]],T_TraitDi[#Data],COLUMN(T_TraitDi[Colonne32]),FALSE),""),"[hh]:mm"))</f>
        <v>#N/A</v>
      </c>
      <c r="BI277" s="284" t="str">
        <f>IFERROR(VLOOKUP(T_Convention[[#This Row],[NumL]],T_TraitDi[#Data],COLUMN(T_TraitDi[NbJTW]),FALSE),"")</f>
        <v/>
      </c>
      <c r="BJ277" s="284" t="e">
        <f>IF(VLOOKUP(T_Convention[[#This Row],[NumL]],T_TraitDi[#Data],COLUMN(T_TraitDi[NbhTW]),FALSE)=0,"",TEXT(IFERROR(VLOOKUP(T_Convention[[#This Row],[NumL]],T_TraitDi[#Data],COLUMN(T_TraitDi[NbhTW]),FALSE),""),"[hh]:mm"))</f>
        <v>#N/A</v>
      </c>
      <c r="BK277" s="315" t="e">
        <f>IF(VLOOKUP(T_Convention[[#This Row],[NumL]],T_TraitDi[#Data],COLUMN(T_TraitDi[Nbhheb]),FALSE)=0,"",TEXT(IFERROR(VLOOKUP(T_Convention[[#This Row],[NumL]],T_TraitDi[#Data],COLUMN(T_TraitDi[Nbhheb]),FALSE),""),"[hh]:mm"))</f>
        <v>#N/A</v>
      </c>
      <c r="BL277" s="287" t="str">
        <f>IFERROR(VLOOKUP(VLOOKUP(T_Convention[[#This Row],[NumL]],T_TraitDi[#Data],COLUMN(T_TraitDi[Type1]),FALSE),TypeTW,2,FALSE),"")</f>
        <v/>
      </c>
      <c r="BM277" s="288" t="str">
        <f>IFERROR(VLOOKUP(T_Convention[[#This Row],[NumL]],T_TraitDi[#Data],COLUMN(T_TraitDi[Rue1]),FALSE),"")</f>
        <v/>
      </c>
      <c r="BN277" s="289" t="str">
        <f>IFERROR(VLOOKUP(T_Convention[[#This Row],[NumL]],T_TraitDi[#Data],COLUMN(T_TraitDi[CP1]),FALSE),"")</f>
        <v/>
      </c>
      <c r="BO277" s="282" t="str">
        <f>IFERROR(VLOOKUP(T_Convention[[#This Row],[NumL]],T_TraitDi[#Data],COLUMN(T_TraitDi[VILLE1]),FALSE),"")</f>
        <v/>
      </c>
      <c r="BP277" s="290" t="str">
        <f>IFERROR(VLOOKUP(VLOOKUP(T_Convention[[#This Row],[NumL]],T_TraitDi[#Data],COLUMN(T_TraitDi[Type2]),FALSE),TypeTW,2,FALSE),"")</f>
        <v/>
      </c>
      <c r="BQ277" s="310" t="str">
        <f>IFERROR(VLOOKUP(T_Convention[[#This Row],[NumL]],T_TraitDi[#Data],COLUMN(T_TraitDi[Rue2]),FALSE),"")</f>
        <v/>
      </c>
      <c r="BR277" s="290" t="str">
        <f>IFERROR(VLOOKUP(T_Convention[[#This Row],[NumL]],T_TraitDi[#Data],COLUMN(T_TraitDi[CP2]),FALSE),"")</f>
        <v/>
      </c>
      <c r="BS277" s="290" t="str">
        <f>IFERROR(VLOOKUP(T_Convention[[#This Row],[NumL]],T_TraitDi[#Data],COLUMN(T_TraitDi[VILLE2]),FALSE),"")</f>
        <v/>
      </c>
      <c r="BT277"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77" s="314" t="str">
        <f>IFERROR(IF(VLOOKUP(T_Convention[[#This Row],[NumL]],T_TraitDi[#Data],COLUMN(T_TraitDi[Plan]),FALSE)="OK","Un planning spécifique de télétravail est annexé à la présente convention.",""),"")</f>
        <v/>
      </c>
      <c r="BV277" s="291"/>
      <c r="BW277" s="292" t="e">
        <f>IF(VLOOKUP(T_Convention[[#This Row],[NumL]],T_suiviDi[#Data],COLUMN(T_suiviDi[Entité]),FALSE)="","",VLOOKUP(T_Convention[[#This Row],[NumL]],T_suiviDi[#Data],COLUMN(T_suiviDi[Entité]),FALSE))</f>
        <v>#N/A</v>
      </c>
      <c r="BX277" s="311" t="str">
        <f>IF(VLOOKUP(T_Convention[[#This Row],[NumL]],T_Commission[#Data],COLUMN(T_Commission[envoi confirm TW]),FALSE)="","",VLOOKUP(T_Convention[[#This Row],[NumL]],T_Commission[#Data],COLUMN(T_Commission[envoi confirm TW]),FALSE))</f>
        <v>Oui</v>
      </c>
      <c r="BY277"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7" s="265">
        <f>VLOOKUP(T_Convention[[#This Row],[NumL]],T_Commission[#Data],COLUMN(T_Commission[Commentaire]),FALSE)</f>
        <v>0</v>
      </c>
      <c r="CA277" s="255" t="str">
        <f>IF(VLOOKUP(T_Convention[[#This Row],[NumL]],T_Commission[#Data],COLUMN(T_Commission[Encadrant Email]),FALSE)="","",VLOOKUP(T_Convention[[#This Row],[NumL]],T_Commission[#Data],COLUMN(T_Commission[Encadrant Email]),FALSE))</f>
        <v/>
      </c>
      <c r="CB277" s="353" t="e">
        <f>VLOOKUP(T_Convention[[#This Row],[NumL]],T_TraitDi[#Data],COLUMN(T_TraitDi[NbJTot]),FALSE)</f>
        <v>#N/A</v>
      </c>
      <c r="CC277" s="353" t="e">
        <f>VLOOKUP(T_Convention[[#This Row],[NumL]],T_TraitDi[#Data],COLUMN(T_TraitDi[Reg Ponct]),FALSE)</f>
        <v>#N/A</v>
      </c>
      <c r="CD277" s="348" t="str">
        <f>IF(T_Convention[[#This Row],[Final]]&lt;&gt;"",VLOOKUP(T_Convention[[#This Row],[NumL]],T_suiviDi[#Data],COLUMN((T_suiviDi[Statut])),FALSE),"")</f>
        <v/>
      </c>
    </row>
    <row r="278" spans="1:82" s="106" customFormat="1" ht="18.75" customHeight="1" x14ac:dyDescent="0.25">
      <c r="A278" s="160">
        <v>120</v>
      </c>
      <c r="B278" s="161" t="str">
        <f>VLOOKUP(T_Convention[[#This Row],[NumL]],T_Commission[#Data],COLUMN(T_Commission[FINAL]),FALSE)</f>
        <v/>
      </c>
      <c r="C278" s="162"/>
      <c r="D278" s="95" t="e">
        <f>IF(VLOOKUP(T_Convention[[#This Row],[NumL]],T_TraitDi[#Data],COLUMN(T_TraitDi[WebC]),FALSE)="","",VLOOKUP(T_Convention[[#This Row],[NumL]],T_TraitDi[#Data],COLUMN(T_TraitDi[WebC]),FALSE))</f>
        <v>#N/A</v>
      </c>
      <c r="E278" s="163" t="str">
        <f t="shared" si="20"/>
        <v>12 janvier 2021</v>
      </c>
      <c r="F278" s="282" t="str">
        <f>IF(T_Convention[[#This Row],[Final]]&lt;&gt;"",VLOOKUP(T_Convention[[#This Row],[NumL]],T_suiviDi[#Data],COLUMN((T_suiviDi[Civ.])),FALSE),"")</f>
        <v/>
      </c>
      <c r="G278" s="283" t="str">
        <f>IF(T_Convention[[#This Row],[Final]]&lt;&gt;"",VLOOKUP(T_Convention[[#This Row],[NumL]],T_suiviDi[#Data],COLUMN((T_suiviDi[Nom])),FALSE),"")</f>
        <v/>
      </c>
      <c r="H278" s="282" t="str">
        <f>IF(T_Convention[[#This Row],[Final]]&lt;&gt;"",VLOOKUP(T_Convention[[#This Row],[NumL]],T_suiviDi[#Data],COLUMN((T_suiviDi[Prénom])),FALSE),"")</f>
        <v/>
      </c>
      <c r="I278" s="282" t="e">
        <f>VLOOKUP(T_Convention[[#This Row],[NumL]],T_suiviDi[#Data],COLUMN((T_suiviDi[[#This Row],[Email]])),FALSE)</f>
        <v>#VALUE!</v>
      </c>
      <c r="J278" s="282" t="e">
        <f>IF(VLOOKUP(T_Convention[[#This Row],[NumL]],T_suiviDi[#Data],COLUMN(T_suiviDi[[#This Row],[Fonction]]),FALSE)="","",VLOOKUP(T_Convention[[#This Row],[NumL]],T_suiviDi[#Data],COLUMN(T_suiviDi[[#This Row],[Fonction]]),FALSE))</f>
        <v>#VALUE!</v>
      </c>
      <c r="K278" s="282" t="e">
        <f>IF(VLOOKUP(T_Convention[[#This Row],[NumL]],T_suiviDi[#Data],COLUMN(T_suiviDi[[#This Row],[Grade]]),FALSE)="","",VLOOKUP(T_Convention[[#This Row],[NumL]],T_suiviDi[#Data],COLUMN(T_suiviDi[[#This Row],[Grade]]),FALSE))</f>
        <v>#VALUE!</v>
      </c>
      <c r="L278" s="282" t="e">
        <f>IF(VLOOKUP(T_Convention[[#This Row],[NumL]],T_suiviDi[#Data],COLUMN(T_suiviDi[[#This Row],[Service ]]),FALSE)="","",VLOOKUP(T_Convention[[#This Row],[NumL]],T_suiviDi[#Data],COLUMN(T_suiviDi[[#This Row],[Service ]]),FALSE))</f>
        <v>#VALUE!</v>
      </c>
      <c r="M278" s="164" t="str">
        <f t="shared" si="21"/>
        <v>01 septembre 2021</v>
      </c>
      <c r="N278" s="164" t="str">
        <f t="shared" si="22"/>
        <v>30 novembre 2021</v>
      </c>
      <c r="O278" s="284" t="str">
        <f t="shared" si="23"/>
        <v>30 novembre 2021</v>
      </c>
      <c r="P278" s="282" t="e">
        <f>IF(VLOOKUP(T_Convention[[#This Row],[NumL]],T_TraitDi[#Data],COLUMN(T_TraitDi[M1]),FALSE)="","",VLOOKUP(T_Convention[[#This Row],[NumL]],T_TraitDi[#Data],COLUMN(T_TraitDi[M1]),FALSE))</f>
        <v>#N/A</v>
      </c>
      <c r="Q278" s="282" t="e">
        <f>IF(VLOOKUP(T_Convention[[#This Row],[NumL]],T_TraitDi[#Data],COLUMN(T_TraitDi[M2]),FALSE)="","",VLOOKUP(T_Convention[[#This Row],[NumL]],T_TraitDi[#Data],COLUMN(T_TraitDi[M2]),FALSE))</f>
        <v>#N/A</v>
      </c>
      <c r="R278" s="282" t="e">
        <f>IF(VLOOKUP(T_Convention[[#This Row],[NumL]],T_TraitDi[#Data],COLUMN(T_TraitDi[M3]),FALSE)="","",VLOOKUP(T_Convention[[#This Row],[NumL]],T_TraitDi[#Data],COLUMN(T_TraitDi[M3]),FALSE))</f>
        <v>#N/A</v>
      </c>
      <c r="S278" s="282" t="e">
        <f>IF(VLOOKUP(T_Convention[[#This Row],[NumL]],T_TraitDi[#Data],COLUMN(T_TraitDi[M4]),FALSE)="","",VLOOKUP(T_Convention[[#This Row],[NumL]],T_TraitDi[#Data],COLUMN(T_TraitDi[M4]),FALSE))</f>
        <v>#N/A</v>
      </c>
      <c r="T278" s="282" t="e">
        <f>IF(VLOOKUP(T_Convention[[#This Row],[NumL]],T_TraitDi[#Data],COLUMN(T_TraitDi[M5]),FALSE)="","",VLOOKUP(T_Convention[[#This Row],[NumL]],T_TraitDi[#Data],COLUMN(T_TraitDi[M5]),FALSE))</f>
        <v>#N/A</v>
      </c>
      <c r="U278" s="282" t="e">
        <f>IF(VLOOKUP(T_Convention[[#This Row],[NumL]],T_TraitDi[#Data],COLUMN(T_TraitDi[M6]),FALSE)="","",VLOOKUP(T_Convention[[#This Row],[NumL]],T_TraitDi[#Data],COLUMN(T_TraitDi[M6]),FALSE))</f>
        <v>#N/A</v>
      </c>
      <c r="V278" s="176" t="e">
        <f t="shared" si="24"/>
        <v>#N/A</v>
      </c>
      <c r="W278" s="284" t="str">
        <f>IFERROR(TEXT(VLOOKUP(T_Convention[[#This Row],[NumL]],T_TraitDi[#Data],COLUMN(T_TraitDi[Q2]),FALSE),"###%"),"")</f>
        <v/>
      </c>
      <c r="X278" s="97" t="e">
        <f>VLOOKUP(T_Convention[[#This Row],[NumL]],T_TraitDi[#Data],COLUMN(T_TraitDi[Reg Ponct]),FALSE)</f>
        <v>#N/A</v>
      </c>
      <c r="Y278" s="97" t="e">
        <f>VLOOKUP(T_Convention[NumL],T_TraitDi[#Data],COLUMN(T_TraitDi[Jours flottants]),FALSE)</f>
        <v>#N/A</v>
      </c>
      <c r="Z278" s="284" t="str">
        <f>IFERROR(VLOOKUP(T_Convention[[#This Row],[NumL]],T_TraitDi[#Data],COLUMN(T_TraitDi[Lundi]),FALSE),"")</f>
        <v/>
      </c>
      <c r="AA278" s="284" t="e">
        <f>IF(VLOOKUP(T_Convention[[#This Row],[NumL]],T_TraitDi[#Data],COLUMN(T_TraitDi[Colonne3]),FALSE)=0,"",TEXT(IFERROR(VLOOKUP(T_Convention[[#This Row],[NumL]],T_TraitDi[#Data],COLUMN(T_TraitDi[Colonne3]),FALSE),""),"[hh]:mm"))</f>
        <v>#N/A</v>
      </c>
      <c r="AB278" s="284" t="e">
        <f>IF(VLOOKUP(T_Convention[[#This Row],[NumL]],T_TraitDi[#Data],COLUMN(T_TraitDi[Colonne4]),FALSE)=0,"",TEXT(IFERROR(VLOOKUP(T_Convention[[#This Row],[NumL]],T_TraitDi[#Data],COLUMN(T_TraitDi[Colonne4]),FALSE),""),"[hh]:mm"))</f>
        <v>#N/A</v>
      </c>
      <c r="AC278" s="284" t="e">
        <f>IF(VLOOKUP(T_Convention[[#This Row],[NumL]],T_TraitDi[#Data],COLUMN(T_TraitDi[Colonne5]),FALSE)=0,"",TEXT(IFERROR(VLOOKUP(T_Convention[[#This Row],[NumL]],T_TraitDi[#Data],COLUMN(T_TraitDi[Colonne5]),FALSE),""),"[hh]:mm"))</f>
        <v>#N/A</v>
      </c>
      <c r="AD278" s="284" t="e">
        <f>IF(VLOOKUP(T_Convention[[#This Row],[NumL]],T_TraitDi[#Data],COLUMN(T_TraitDi[Colonne6]),FALSE)=0,"",TEXT(IFERROR(VLOOKUP(T_Convention[[#This Row],[NumL]],T_TraitDi[#Data],COLUMN(T_TraitDi[Colonne6]),FALSE),""),"[hh]:mm"))</f>
        <v>#N/A</v>
      </c>
      <c r="AE278" s="284" t="e">
        <f>IF(VLOOKUP(T_Convention[[#This Row],[NumL]],T_TraitDi[#Data],COLUMN(T_TraitDi[Colonne7]),FALSE)=0,"",TEXT(IFERROR(VLOOKUP(T_Convention[[#This Row],[NumL]],T_TraitDi[#Data],COLUMN(T_TraitDi[Colonne7]),FALSE),""),"[hh]:mm"))</f>
        <v>#N/A</v>
      </c>
      <c r="AF278" s="284" t="e">
        <f>IF(VLOOKUP(T_Convention[[#This Row],[NumL]],T_TraitDi[#Data],COLUMN(T_TraitDi[Colonne8]),FALSE)=0,"",TEXT(IFERROR(VLOOKUP(T_Convention[[#This Row],[NumL]],T_TraitDi[#Data],COLUMN(T_TraitDi[Colonne8]),FALSE),""),"[hh]:mm"))</f>
        <v>#N/A</v>
      </c>
      <c r="AG278" s="284" t="str">
        <f>IFERROR(VLOOKUP(T_Convention[[#This Row],[NumL]],T_TraitDi[#Data],COLUMN(T_TraitDi[Mardi]),FALSE),"")</f>
        <v/>
      </c>
      <c r="AH278" s="284" t="e">
        <f>IF(VLOOKUP(T_Convention[[#This Row],[NumL]],T_TraitDi[#Data],COLUMN(T_TraitDi[Colonne1]),FALSE)=0,"",TEXT(IFERROR(VLOOKUP(T_Convention[[#This Row],[NumL]],T_TraitDi[#Data],COLUMN(T_TraitDi[Colonne1]),FALSE),""),"[hh]:mm"))</f>
        <v>#N/A</v>
      </c>
      <c r="AI278" s="284" t="e">
        <f>IF(VLOOKUP(T_Convention[[#This Row],[NumL]],T_TraitDi[#Data],COLUMN(T_TraitDi[Colonne9]),FALSE)=0,"",TEXT(IFERROR(VLOOKUP(T_Convention[[#This Row],[NumL]],T_TraitDi[#Data],COLUMN(T_TraitDi[Colonne9]),FALSE),""),"[hh]:mm"))</f>
        <v>#N/A</v>
      </c>
      <c r="AJ278" s="284" t="str">
        <f>IFERROR(VLOOKUP(T_Convention[[#This Row],[NumL]],T_TraitDi[#Data],COLUMN(T_TraitDi[Colonne10]),FALSE),"")</f>
        <v/>
      </c>
      <c r="AK278" s="284" t="e">
        <f>IF(VLOOKUP(T_Convention[[#This Row],[NumL]],T_TraitDi[#Data],COLUMN(T_TraitDi[Colonne11]),FALSE)=0,"",TEXT(IFERROR(VLOOKUP(T_Convention[[#This Row],[NumL]],T_TraitDi[#Data],COLUMN(T_TraitDi[Colonne11]),FALSE),""),"[hh]:mm"))</f>
        <v>#N/A</v>
      </c>
      <c r="AL278" s="284" t="e">
        <f>IF(VLOOKUP(T_Convention[[#This Row],[NumL]],T_TraitDi[#Data],COLUMN(T_TraitDi[Colonne12]),FALSE)=0,"",TEXT(IFERROR(VLOOKUP(T_Convention[[#This Row],[NumL]],T_TraitDi[#Data],COLUMN(T_TraitDi[Colonne12]),FALSE),""),"[hh]:mm"))</f>
        <v>#N/A</v>
      </c>
      <c r="AM278" s="284" t="e">
        <f>IF(VLOOKUP(T_Convention[[#This Row],[NumL]],T_TraitDi[#Data],COLUMN(T_TraitDi[Colonne14]),FALSE)=0,"",TEXT(IFERROR(VLOOKUP(T_Convention[[#This Row],[NumL]],T_TraitDi[#Data],COLUMN(T_TraitDi[Colonne14]),FALSE),""),"[hh]:mm"))</f>
        <v>#N/A</v>
      </c>
      <c r="AN278" s="284" t="str">
        <f>IFERROR(VLOOKUP(T_Convention[[#This Row],[NumL]],T_TraitDi[#Data],COLUMN(T_TraitDi[Mercredi]),FALSE),"")</f>
        <v/>
      </c>
      <c r="AO278" s="284" t="e">
        <f>IF(VLOOKUP(T_Convention[[#This Row],[NumL]],T_TraitDi[#Data],COLUMN(T_TraitDi[Colonne15]),FALSE)=0,"",TEXT(IFERROR(VLOOKUP(T_Convention[[#This Row],[NumL]],T_TraitDi[#Data],COLUMN(T_TraitDi[Colonne15]),FALSE),""),"[hh]:mm"))</f>
        <v>#N/A</v>
      </c>
      <c r="AP278" s="284" t="e">
        <f>IF(VLOOKUP(T_Convention[[#This Row],[NumL]],T_TraitDi[#Data],COLUMN(T_TraitDi[Colonne16]),FALSE)=0,"",TEXT(IFERROR(VLOOKUP(T_Convention[[#This Row],[NumL]],T_TraitDi[#Data],COLUMN(T_TraitDi[Colonne16]),FALSE),""),"[hh]:mm"))</f>
        <v>#N/A</v>
      </c>
      <c r="AQ278" s="284" t="str">
        <f>IFERROR(VLOOKUP(T_Convention[[#This Row],[NumL]],T_TraitDi[#Data],COLUMN(T_TraitDi[Colonne17]),FALSE),"")</f>
        <v/>
      </c>
      <c r="AR278" s="284" t="e">
        <f>IF(VLOOKUP(T_Convention[[#This Row],[NumL]],T_TraitDi[#Data],COLUMN(T_TraitDi[Colonne18]),FALSE)=0,"",TEXT(IFERROR(VLOOKUP(T_Convention[[#This Row],[NumL]],T_TraitDi[#Data],COLUMN(T_TraitDi[Colonne18]),FALSE),""),"[hh]:mm"))</f>
        <v>#N/A</v>
      </c>
      <c r="AS278" s="284" t="e">
        <f>IF(VLOOKUP(T_Convention[[#This Row],[NumL]],T_TraitDi[#Data],COLUMN(T_TraitDi[Colonne19]),FALSE)=0,"",TEXT(IFERROR(VLOOKUP(T_Convention[[#This Row],[NumL]],T_TraitDi[#Data],COLUMN(T_TraitDi[Colonne19]),FALSE),""),"[hh]:mm"))</f>
        <v>#N/A</v>
      </c>
      <c r="AT278" s="284" t="e">
        <f>IF(VLOOKUP(T_Convention[[#This Row],[NumL]],T_TraitDi[#Data],COLUMN(T_TraitDi[Colonne20]),FALSE)=0,"",TEXT(IFERROR(VLOOKUP(T_Convention[[#This Row],[NumL]],T_TraitDi[#Data],COLUMN(T_TraitDi[Colonne20]),FALSE),""),"[hh]:mm"))</f>
        <v>#N/A</v>
      </c>
      <c r="AU278" s="284" t="str">
        <f>IFERROR(VLOOKUP(T_Convention[[#This Row],[NumL]],T_TraitDi[#Data],COLUMN(T_TraitDi[Jeudi]),FALSE),"")</f>
        <v/>
      </c>
      <c r="AV278" s="284" t="e">
        <f>IF(VLOOKUP(T_Convention[[#This Row],[NumL]],T_TraitDi[#Data],COLUMN(T_TraitDi[Colonne21]),FALSE)=0,"",TEXT(IFERROR(VLOOKUP(T_Convention[[#This Row],[NumL]],T_TraitDi[#Data],COLUMN(T_TraitDi[Colonne21]),FALSE),""),"[hh]:mm"))</f>
        <v>#N/A</v>
      </c>
      <c r="AW278" s="284" t="e">
        <f>IF(VLOOKUP(T_Convention[[#This Row],[NumL]],T_TraitDi[#Data],COLUMN(T_TraitDi[Colonne22]),FALSE)=0,"",TEXT(IFERROR(VLOOKUP(T_Convention[[#This Row],[NumL]],T_TraitDi[#Data],COLUMN(T_TraitDi[Colonne22]),FALSE),""),"[hh]:mm"))</f>
        <v>#N/A</v>
      </c>
      <c r="AX278" s="284" t="str">
        <f>IFERROR(VLOOKUP(T_Convention[[#This Row],[NumL]],T_TraitDi[#Data],COLUMN(T_TraitDi[Colonne23]),FALSE),"")</f>
        <v/>
      </c>
      <c r="AY278" s="284" t="e">
        <f>IF(VLOOKUP(T_Convention[[#This Row],[NumL]],T_TraitDi[#Data],COLUMN(T_TraitDi[Colonne24]),FALSE)=0,"",TEXT(IFERROR(VLOOKUP(T_Convention[[#This Row],[NumL]],T_TraitDi[#Data],COLUMN(T_TraitDi[Colonne24]),FALSE),""),"[hh]:mm"))</f>
        <v>#N/A</v>
      </c>
      <c r="AZ278" s="284" t="e">
        <f>IF(VLOOKUP(T_Convention[[#This Row],[NumL]],T_TraitDi[#Data],COLUMN(T_TraitDi[Colonne25]),FALSE)=0,"",TEXT(IFERROR(VLOOKUP(T_Convention[[#This Row],[NumL]],T_TraitDi[#Data],COLUMN(T_TraitDi[Colonne25]),FALSE),""),"[hh]:mm"))</f>
        <v>#N/A</v>
      </c>
      <c r="BA278" s="284" t="e">
        <f>IF(VLOOKUP(T_Convention[[#This Row],[NumL]],T_TraitDi[#Data],COLUMN(T_TraitDi[Colonne26]),FALSE)=0,"",TEXT(IFERROR(VLOOKUP(T_Convention[[#This Row],[NumL]],T_TraitDi[#Data],COLUMN(T_TraitDi[Colonne26]),FALSE),""),"[hh]:mm"))</f>
        <v>#N/A</v>
      </c>
      <c r="BB278" s="284" t="str">
        <f>IFERROR(VLOOKUP(T_Convention[[#This Row],[NumL]],T_TraitDi[#Data],COLUMN(T_TraitDi[Vendredi]),FALSE),"")</f>
        <v/>
      </c>
      <c r="BC278" s="284" t="e">
        <f>IF(VLOOKUP(T_Convention[[#This Row],[NumL]],T_TraitDi[#Data],COLUMN(T_TraitDi[Colonne27]),FALSE)=0,"",TEXT(IFERROR(VLOOKUP(T_Convention[[#This Row],[NumL]],T_TraitDi[#Data],COLUMN(T_TraitDi[Colonne27]),FALSE),""),"[hh]:mm"))</f>
        <v>#N/A</v>
      </c>
      <c r="BD278" s="284" t="e">
        <f>IF(VLOOKUP(T_Convention[[#This Row],[NumL]],T_TraitDi[#Data],COLUMN(T_TraitDi[Colonne28]),FALSE)=0,"",TEXT(IFERROR(VLOOKUP(T_Convention[[#This Row],[NumL]],T_TraitDi[#Data],COLUMN(T_TraitDi[Colonne28]),FALSE),""),"[hh]:mm"))</f>
        <v>#N/A</v>
      </c>
      <c r="BE278" s="284" t="str">
        <f>IFERROR(VLOOKUP(T_Convention[[#This Row],[NumL]],T_TraitDi[#Data],COLUMN(T_TraitDi[Colonne29]),FALSE),"")</f>
        <v/>
      </c>
      <c r="BF278" s="284" t="e">
        <f>IF(VLOOKUP(T_Convention[[#This Row],[NumL]],T_TraitDi[#Data],COLUMN(T_TraitDi[Colonne30]),FALSE)=0,"",TEXT(IFERROR(VLOOKUP(T_Convention[[#This Row],[NumL]],T_TraitDi[#Data],COLUMN(T_TraitDi[Colonne30]),FALSE),""),"[hh]:mm"))</f>
        <v>#N/A</v>
      </c>
      <c r="BG278" s="284" t="e">
        <f>IF(VLOOKUP(T_Convention[[#This Row],[NumL]],T_TraitDi[#Data],COLUMN(T_TraitDi[Colonne31]),FALSE)=0,"",TEXT(IFERROR(VLOOKUP(T_Convention[[#This Row],[NumL]],T_TraitDi[#Data],COLUMN(T_TraitDi[Colonne31]),FALSE),""),"[hh]:mm"))</f>
        <v>#N/A</v>
      </c>
      <c r="BH278" s="284" t="e">
        <f>IF(VLOOKUP(T_Convention[[#This Row],[NumL]],T_TraitDi[#Data],COLUMN(T_TraitDi[Colonne32]),FALSE)=0,"",TEXT(IFERROR(VLOOKUP(T_Convention[[#This Row],[NumL]],T_TraitDi[#Data],COLUMN(T_TraitDi[Colonne32]),FALSE),""),"[hh]:mm"))</f>
        <v>#N/A</v>
      </c>
      <c r="BI278" s="284" t="str">
        <f>IFERROR(VLOOKUP(T_Convention[[#This Row],[NumL]],T_TraitDi[#Data],COLUMN(T_TraitDi[NbJTW]),FALSE),"")</f>
        <v/>
      </c>
      <c r="BJ278" s="284" t="e">
        <f>IF(VLOOKUP(T_Convention[[#This Row],[NumL]],T_TraitDi[#Data],COLUMN(T_TraitDi[NbhTW]),FALSE)=0,"",TEXT(IFERROR(VLOOKUP(T_Convention[[#This Row],[NumL]],T_TraitDi[#Data],COLUMN(T_TraitDi[NbhTW]),FALSE),""),"[hh]:mm"))</f>
        <v>#N/A</v>
      </c>
      <c r="BK278" s="286" t="e">
        <f>IF(VLOOKUP(T_Convention[[#This Row],[NumL]],T_TraitDi[#Data],COLUMN(T_TraitDi[Nbhheb]),FALSE)=0,"",TEXT(IFERROR(VLOOKUP(T_Convention[[#This Row],[NumL]],T_TraitDi[#Data],COLUMN(T_TraitDi[Nbhheb]),FALSE),""),"[hh]:mm"))</f>
        <v>#N/A</v>
      </c>
      <c r="BL278" s="287" t="str">
        <f>IFERROR(VLOOKUP(VLOOKUP(T_Convention[[#This Row],[NumL]],T_TraitDi[#Data],COLUMN(T_TraitDi[Type1]),FALSE),TypeTW,2,FALSE),"")</f>
        <v/>
      </c>
      <c r="BM278" s="288" t="str">
        <f>IFERROR(VLOOKUP(T_Convention[[#This Row],[NumL]],T_TraitDi[#Data],COLUMN(T_TraitDi[Rue1]),FALSE),"")</f>
        <v/>
      </c>
      <c r="BN278" s="289" t="str">
        <f>IFERROR(VLOOKUP(T_Convention[[#This Row],[NumL]],T_TraitDi[#Data],COLUMN(T_TraitDi[CP1]),FALSE),"")</f>
        <v/>
      </c>
      <c r="BO278" s="282" t="str">
        <f>IFERROR(VLOOKUP(T_Convention[[#This Row],[NumL]],T_TraitDi[#Data],COLUMN(T_TraitDi[VILLE1]),FALSE),"")</f>
        <v/>
      </c>
      <c r="BP278" s="290" t="str">
        <f>IFERROR(VLOOKUP(VLOOKUP(T_Convention[[#This Row],[NumL]],T_TraitDi[#Data],COLUMN(T_TraitDi[Type2]),FALSE),TypeTW,2,FALSE),"")</f>
        <v/>
      </c>
      <c r="BQ278" s="182" t="str">
        <f>IFERROR(VLOOKUP(T_Convention[[#This Row],[NumL]],T_TraitDi[#Data],COLUMN(T_TraitDi[Rue2]),FALSE),"")</f>
        <v/>
      </c>
      <c r="BR278" s="173" t="str">
        <f>IFERROR(VLOOKUP(T_Convention[[#This Row],[NumL]],T_TraitDi[#Data],COLUMN(T_TraitDi[CP2]),FALSE),"")</f>
        <v/>
      </c>
      <c r="BS278" s="173" t="str">
        <f>IFERROR(VLOOKUP(T_Convention[[#This Row],[NumL]],T_TraitDi[#Data],COLUMN(T_TraitDi[VILLE2]),FALSE),"")</f>
        <v/>
      </c>
      <c r="BT278" s="182" t="str">
        <f>IF(VLOOKUP(T_Convention[[#This Row],[NumL]],T_Equipement[#Data],COLUMN(T_Equipement[PC]),FALSE)="","Aucun équipement spécifique directement lié au télétravail",VLOOKUP(T_Convention[[#This Row],[NumL]],T_Equipement[#Data],COLUMN(T_Equipement[PC]),FALSE))</f>
        <v>17-017</v>
      </c>
      <c r="BU278" s="166" t="str">
        <f>IFERROR(IF(VLOOKUP(T_Convention[[#This Row],[NumL]],T_TraitDi[#Data],COLUMN(T_TraitDi[Plan]),FALSE)="OK","Un planning spécifique de télétravail est annexé à la présente convention.",""),"")</f>
        <v/>
      </c>
      <c r="BV278" s="185" t="s">
        <v>3450</v>
      </c>
      <c r="BW278" s="164" t="e">
        <f>IF(VLOOKUP(T_Convention[[#This Row],[NumL]],T_suiviDi[#Data],COLUMN(T_suiviDi[Entité]),FALSE)="","",VLOOKUP(T_Convention[[#This Row],[NumL]],T_suiviDi[#Data],COLUMN(T_suiviDi[Entité]),FALSE))</f>
        <v>#N/A</v>
      </c>
      <c r="BX278" s="164" t="str">
        <f>IF(VLOOKUP(T_Convention[[#This Row],[NumL]],T_Commission[#Data],COLUMN(T_Commission[envoi confirm TW]),FALSE)="","",VLOOKUP(T_Convention[[#This Row],[NumL]],T_Commission[#Data],COLUMN(T_Commission[envoi confirm TW]),FALSE))</f>
        <v>Oui</v>
      </c>
      <c r="BY27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8" s="264">
        <f>VLOOKUP(T_Convention[[#This Row],[NumL]],T_Commission[#Data],COLUMN(T_Commission[Commentaire]),FALSE)</f>
        <v>0</v>
      </c>
      <c r="CA278" s="254" t="str">
        <f>IF(VLOOKUP(T_Convention[[#This Row],[NumL]],T_Commission[#Data],COLUMN(T_Commission[Encadrant Email]),FALSE)="","",VLOOKUP(T_Convention[[#This Row],[NumL]],T_Commission[#Data],COLUMN(T_Commission[Encadrant Email]),FALSE))</f>
        <v/>
      </c>
      <c r="CB278" s="353" t="e">
        <f>VLOOKUP(T_Convention[[#This Row],[NumL]],T_TraitDi[#Data],COLUMN(T_TraitDi[NbJTot]),FALSE)</f>
        <v>#N/A</v>
      </c>
      <c r="CC278" s="353" t="e">
        <f>VLOOKUP(T_Convention[[#This Row],[NumL]],T_TraitDi[#Data],COLUMN(T_TraitDi[Reg Ponct]),FALSE)</f>
        <v>#N/A</v>
      </c>
      <c r="CD278" s="348" t="str">
        <f>IF(T_Convention[[#This Row],[Final]]&lt;&gt;"",VLOOKUP(T_Convention[[#This Row],[NumL]],T_suiviDi[#Data],COLUMN((T_suiviDi[Statut])),FALSE),"")</f>
        <v/>
      </c>
    </row>
    <row r="279" spans="1:82" s="106" customFormat="1" ht="18.75" customHeight="1" x14ac:dyDescent="0.25">
      <c r="A279" s="160">
        <v>53</v>
      </c>
      <c r="B279" s="161" t="str">
        <f>VLOOKUP(T_Convention[[#This Row],[NumL]],T_Commission[#Data],COLUMN(T_Commission[FINAL]),FALSE)</f>
        <v/>
      </c>
      <c r="C279" s="162"/>
      <c r="D279" s="95" t="e">
        <f>IF(VLOOKUP(T_Convention[[#This Row],[NumL]],T_TraitDi[#Data],COLUMN(T_TraitDi[WebC]),FALSE)="","",VLOOKUP(T_Convention[[#This Row],[NumL]],T_TraitDi[#Data],COLUMN(T_TraitDi[WebC]),FALSE))</f>
        <v>#N/A</v>
      </c>
      <c r="E279" s="163" t="str">
        <f t="shared" si="20"/>
        <v>12 janvier 2021</v>
      </c>
      <c r="F279" s="282" t="str">
        <f>IF(T_Convention[[#This Row],[Final]]&lt;&gt;"",VLOOKUP(T_Convention[[#This Row],[NumL]],T_suiviDi[#Data],COLUMN((T_suiviDi[Civ.])),FALSE),"")</f>
        <v/>
      </c>
      <c r="G279" s="283" t="str">
        <f>IF(T_Convention[[#This Row],[Final]]&lt;&gt;"",VLOOKUP(T_Convention[[#This Row],[NumL]],T_suiviDi[#Data],COLUMN((T_suiviDi[Nom])),FALSE),"")</f>
        <v/>
      </c>
      <c r="H279" s="282" t="str">
        <f>IF(T_Convention[[#This Row],[Final]]&lt;&gt;"",VLOOKUP(T_Convention[[#This Row],[NumL]],T_suiviDi[#Data],COLUMN((T_suiviDi[Prénom])),FALSE),"")</f>
        <v/>
      </c>
      <c r="I279" s="282" t="e">
        <f>VLOOKUP(T_Convention[[#This Row],[NumL]],T_suiviDi[#Data],COLUMN((T_suiviDi[[#This Row],[Email]])),FALSE)</f>
        <v>#VALUE!</v>
      </c>
      <c r="J279" s="282" t="e">
        <f>IF(VLOOKUP(T_Convention[[#This Row],[NumL]],T_suiviDi[#Data],COLUMN(T_suiviDi[[#This Row],[Fonction]]),FALSE)="","",VLOOKUP(T_Convention[[#This Row],[NumL]],T_suiviDi[#Data],COLUMN(T_suiviDi[[#This Row],[Fonction]]),FALSE))</f>
        <v>#VALUE!</v>
      </c>
      <c r="K279" s="282" t="e">
        <f>IF(VLOOKUP(T_Convention[[#This Row],[NumL]],T_suiviDi[#Data],COLUMN(T_suiviDi[[#This Row],[Grade]]),FALSE)="","",VLOOKUP(T_Convention[[#This Row],[NumL]],T_suiviDi[#Data],COLUMN(T_suiviDi[[#This Row],[Grade]]),FALSE))</f>
        <v>#VALUE!</v>
      </c>
      <c r="L279" s="282" t="e">
        <f>IF(VLOOKUP(T_Convention[[#This Row],[NumL]],T_suiviDi[#Data],COLUMN(T_suiviDi[[#This Row],[Service ]]),FALSE)="","",VLOOKUP(T_Convention[[#This Row],[NumL]],T_suiviDi[#Data],COLUMN(T_suiviDi[[#This Row],[Service ]]),FALSE))</f>
        <v>#VALUE!</v>
      </c>
      <c r="M279" s="164" t="str">
        <f t="shared" si="21"/>
        <v>01 septembre 2021</v>
      </c>
      <c r="N279" s="164" t="str">
        <f t="shared" si="22"/>
        <v>30 novembre 2021</v>
      </c>
      <c r="O279" s="284" t="str">
        <f t="shared" si="23"/>
        <v>30 novembre 2021</v>
      </c>
      <c r="P279" s="282" t="e">
        <f>IF(VLOOKUP(T_Convention[[#This Row],[NumL]],T_TraitDi[#Data],COLUMN(T_TraitDi[M1]),FALSE)="","",VLOOKUP(T_Convention[[#This Row],[NumL]],T_TraitDi[#Data],COLUMN(T_TraitDi[M1]),FALSE))</f>
        <v>#N/A</v>
      </c>
      <c r="Q279" s="282" t="e">
        <f>IF(VLOOKUP(T_Convention[[#This Row],[NumL]],T_TraitDi[#Data],COLUMN(T_TraitDi[M2]),FALSE)="","",VLOOKUP(T_Convention[[#This Row],[NumL]],T_TraitDi[#Data],COLUMN(T_TraitDi[M2]),FALSE))</f>
        <v>#N/A</v>
      </c>
      <c r="R279" s="282" t="e">
        <f>IF(VLOOKUP(T_Convention[[#This Row],[NumL]],T_TraitDi[#Data],COLUMN(T_TraitDi[M3]),FALSE)="","",VLOOKUP(T_Convention[[#This Row],[NumL]],T_TraitDi[#Data],COLUMN(T_TraitDi[M3]),FALSE))</f>
        <v>#N/A</v>
      </c>
      <c r="S279" s="282" t="e">
        <f>IF(VLOOKUP(T_Convention[[#This Row],[NumL]],T_TraitDi[#Data],COLUMN(T_TraitDi[M4]),FALSE)="","",VLOOKUP(T_Convention[[#This Row],[NumL]],T_TraitDi[#Data],COLUMN(T_TraitDi[M4]),FALSE))</f>
        <v>#N/A</v>
      </c>
      <c r="T279" s="282" t="e">
        <f>IF(VLOOKUP(T_Convention[[#This Row],[NumL]],T_TraitDi[#Data],COLUMN(T_TraitDi[M5]),FALSE)="","",VLOOKUP(T_Convention[[#This Row],[NumL]],T_TraitDi[#Data],COLUMN(T_TraitDi[M5]),FALSE))</f>
        <v>#N/A</v>
      </c>
      <c r="U279" s="282" t="e">
        <f>IF(VLOOKUP(T_Convention[[#This Row],[NumL]],T_TraitDi[#Data],COLUMN(T_TraitDi[M6]),FALSE)="","",VLOOKUP(T_Convention[[#This Row],[NumL]],T_TraitDi[#Data],COLUMN(T_TraitDi[M6]),FALSE))</f>
        <v>#N/A</v>
      </c>
      <c r="V279" s="176" t="e">
        <f t="shared" si="24"/>
        <v>#N/A</v>
      </c>
      <c r="W279" s="284" t="str">
        <f>IFERROR(TEXT(VLOOKUP(T_Convention[[#This Row],[NumL]],T_TraitDi[#Data],COLUMN(T_TraitDi[Q2]),FALSE),"###%"),"")</f>
        <v/>
      </c>
      <c r="X279" s="97" t="e">
        <f>VLOOKUP(T_Convention[[#This Row],[NumL]],T_TraitDi[#Data],COLUMN(T_TraitDi[Reg Ponct]),FALSE)</f>
        <v>#N/A</v>
      </c>
      <c r="Y279" s="97" t="e">
        <f>VLOOKUP(T_Convention[NumL],T_TraitDi[#Data],COLUMN(T_TraitDi[Jours flottants]),FALSE)</f>
        <v>#N/A</v>
      </c>
      <c r="Z279" s="284" t="str">
        <f>IFERROR(VLOOKUP(T_Convention[[#This Row],[NumL]],T_TraitDi[#Data],COLUMN(T_TraitDi[Lundi]),FALSE),"")</f>
        <v/>
      </c>
      <c r="AA279" s="284" t="e">
        <f>IF(VLOOKUP(T_Convention[[#This Row],[NumL]],T_TraitDi[#Data],COLUMN(T_TraitDi[Colonne3]),FALSE)=0,"",TEXT(IFERROR(VLOOKUP(T_Convention[[#This Row],[NumL]],T_TraitDi[#Data],COLUMN(T_TraitDi[Colonne3]),FALSE),""),"[hh]:mm"))</f>
        <v>#N/A</v>
      </c>
      <c r="AB279" s="284" t="e">
        <f>IF(VLOOKUP(T_Convention[[#This Row],[NumL]],T_TraitDi[#Data],COLUMN(T_TraitDi[Colonne4]),FALSE)=0,"",TEXT(IFERROR(VLOOKUP(T_Convention[[#This Row],[NumL]],T_TraitDi[#Data],COLUMN(T_TraitDi[Colonne4]),FALSE),""),"[hh]:mm"))</f>
        <v>#N/A</v>
      </c>
      <c r="AC279" s="284" t="e">
        <f>IF(VLOOKUP(T_Convention[[#This Row],[NumL]],T_TraitDi[#Data],COLUMN(T_TraitDi[Colonne5]),FALSE)=0,"",TEXT(IFERROR(VLOOKUP(T_Convention[[#This Row],[NumL]],T_TraitDi[#Data],COLUMN(T_TraitDi[Colonne5]),FALSE),""),"[hh]:mm"))</f>
        <v>#N/A</v>
      </c>
      <c r="AD279" s="284" t="e">
        <f>IF(VLOOKUP(T_Convention[[#This Row],[NumL]],T_TraitDi[#Data],COLUMN(T_TraitDi[Colonne6]),FALSE)=0,"",TEXT(IFERROR(VLOOKUP(T_Convention[[#This Row],[NumL]],T_TraitDi[#Data],COLUMN(T_TraitDi[Colonne6]),FALSE),""),"[hh]:mm"))</f>
        <v>#N/A</v>
      </c>
      <c r="AE279" s="284" t="e">
        <f>IF(VLOOKUP(T_Convention[[#This Row],[NumL]],T_TraitDi[#Data],COLUMN(T_TraitDi[Colonne7]),FALSE)=0,"",TEXT(IFERROR(VLOOKUP(T_Convention[[#This Row],[NumL]],T_TraitDi[#Data],COLUMN(T_TraitDi[Colonne7]),FALSE),""),"[hh]:mm"))</f>
        <v>#N/A</v>
      </c>
      <c r="AF279" s="284" t="e">
        <f>IF(VLOOKUP(T_Convention[[#This Row],[NumL]],T_TraitDi[#Data],COLUMN(T_TraitDi[Colonne8]),FALSE)=0,"",TEXT(IFERROR(VLOOKUP(T_Convention[[#This Row],[NumL]],T_TraitDi[#Data],COLUMN(T_TraitDi[Colonne8]),FALSE),""),"[hh]:mm"))</f>
        <v>#N/A</v>
      </c>
      <c r="AG279" s="284" t="str">
        <f>IFERROR(VLOOKUP(T_Convention[[#This Row],[NumL]],T_TraitDi[#Data],COLUMN(T_TraitDi[Mardi]),FALSE),"")</f>
        <v/>
      </c>
      <c r="AH279" s="284" t="e">
        <f>IF(VLOOKUP(T_Convention[[#This Row],[NumL]],T_TraitDi[#Data],COLUMN(T_TraitDi[Colonne1]),FALSE)=0,"",TEXT(IFERROR(VLOOKUP(T_Convention[[#This Row],[NumL]],T_TraitDi[#Data],COLUMN(T_TraitDi[Colonne1]),FALSE),""),"[hh]:mm"))</f>
        <v>#N/A</v>
      </c>
      <c r="AI279" s="284" t="e">
        <f>IF(VLOOKUP(T_Convention[[#This Row],[NumL]],T_TraitDi[#Data],COLUMN(T_TraitDi[Colonne9]),FALSE)=0,"",TEXT(IFERROR(VLOOKUP(T_Convention[[#This Row],[NumL]],T_TraitDi[#Data],COLUMN(T_TraitDi[Colonne9]),FALSE),""),"[hh]:mm"))</f>
        <v>#N/A</v>
      </c>
      <c r="AJ279" s="284" t="str">
        <f>IFERROR(VLOOKUP(T_Convention[[#This Row],[NumL]],T_TraitDi[#Data],COLUMN(T_TraitDi[Colonne10]),FALSE),"")</f>
        <v/>
      </c>
      <c r="AK279" s="284" t="e">
        <f>IF(VLOOKUP(T_Convention[[#This Row],[NumL]],T_TraitDi[#Data],COLUMN(T_TraitDi[Colonne11]),FALSE)=0,"",TEXT(IFERROR(VLOOKUP(T_Convention[[#This Row],[NumL]],T_TraitDi[#Data],COLUMN(T_TraitDi[Colonne11]),FALSE),""),"[hh]:mm"))</f>
        <v>#N/A</v>
      </c>
      <c r="AL279" s="284" t="e">
        <f>IF(VLOOKUP(T_Convention[[#This Row],[NumL]],T_TraitDi[#Data],COLUMN(T_TraitDi[Colonne12]),FALSE)=0,"",TEXT(IFERROR(VLOOKUP(T_Convention[[#This Row],[NumL]],T_TraitDi[#Data],COLUMN(T_TraitDi[Colonne12]),FALSE),""),"[hh]:mm"))</f>
        <v>#N/A</v>
      </c>
      <c r="AM279" s="284" t="e">
        <f>IF(VLOOKUP(T_Convention[[#This Row],[NumL]],T_TraitDi[#Data],COLUMN(T_TraitDi[Colonne14]),FALSE)=0,"",TEXT(IFERROR(VLOOKUP(T_Convention[[#This Row],[NumL]],T_TraitDi[#Data],COLUMN(T_TraitDi[Colonne14]),FALSE),""),"[hh]:mm"))</f>
        <v>#N/A</v>
      </c>
      <c r="AN279" s="284" t="str">
        <f>IFERROR(VLOOKUP(T_Convention[[#This Row],[NumL]],T_TraitDi[#Data],COLUMN(T_TraitDi[Mercredi]),FALSE),"")</f>
        <v/>
      </c>
      <c r="AO279" s="284" t="e">
        <f>IF(VLOOKUP(T_Convention[[#This Row],[NumL]],T_TraitDi[#Data],COLUMN(T_TraitDi[Colonne15]),FALSE)=0,"",TEXT(IFERROR(VLOOKUP(T_Convention[[#This Row],[NumL]],T_TraitDi[#Data],COLUMN(T_TraitDi[Colonne15]),FALSE),""),"[hh]:mm"))</f>
        <v>#N/A</v>
      </c>
      <c r="AP279" s="284" t="e">
        <f>IF(VLOOKUP(T_Convention[[#This Row],[NumL]],T_TraitDi[#Data],COLUMN(T_TraitDi[Colonne16]),FALSE)=0,"",TEXT(IFERROR(VLOOKUP(T_Convention[[#This Row],[NumL]],T_TraitDi[#Data],COLUMN(T_TraitDi[Colonne16]),FALSE),""),"[hh]:mm"))</f>
        <v>#N/A</v>
      </c>
      <c r="AQ279" s="284" t="str">
        <f>IFERROR(VLOOKUP(T_Convention[[#This Row],[NumL]],T_TraitDi[#Data],COLUMN(T_TraitDi[Colonne17]),FALSE),"")</f>
        <v/>
      </c>
      <c r="AR279" s="284" t="e">
        <f>IF(VLOOKUP(T_Convention[[#This Row],[NumL]],T_TraitDi[#Data],COLUMN(T_TraitDi[Colonne18]),FALSE)=0,"",TEXT(IFERROR(VLOOKUP(T_Convention[[#This Row],[NumL]],T_TraitDi[#Data],COLUMN(T_TraitDi[Colonne18]),FALSE),""),"[hh]:mm"))</f>
        <v>#N/A</v>
      </c>
      <c r="AS279" s="284" t="e">
        <f>IF(VLOOKUP(T_Convention[[#This Row],[NumL]],T_TraitDi[#Data],COLUMN(T_TraitDi[Colonne19]),FALSE)=0,"",TEXT(IFERROR(VLOOKUP(T_Convention[[#This Row],[NumL]],T_TraitDi[#Data],COLUMN(T_TraitDi[Colonne19]),FALSE),""),"[hh]:mm"))</f>
        <v>#N/A</v>
      </c>
      <c r="AT279" s="284" t="e">
        <f>IF(VLOOKUP(T_Convention[[#This Row],[NumL]],T_TraitDi[#Data],COLUMN(T_TraitDi[Colonne20]),FALSE)=0,"",TEXT(IFERROR(VLOOKUP(T_Convention[[#This Row],[NumL]],T_TraitDi[#Data],COLUMN(T_TraitDi[Colonne20]),FALSE),""),"[hh]:mm"))</f>
        <v>#N/A</v>
      </c>
      <c r="AU279" s="284" t="str">
        <f>IFERROR(VLOOKUP(T_Convention[[#This Row],[NumL]],T_TraitDi[#Data],COLUMN(T_TraitDi[Jeudi]),FALSE),"")</f>
        <v/>
      </c>
      <c r="AV279" s="284" t="e">
        <f>IF(VLOOKUP(T_Convention[[#This Row],[NumL]],T_TraitDi[#Data],COLUMN(T_TraitDi[Colonne21]),FALSE)=0,"",TEXT(IFERROR(VLOOKUP(T_Convention[[#This Row],[NumL]],T_TraitDi[#Data],COLUMN(T_TraitDi[Colonne21]),FALSE),""),"[hh]:mm"))</f>
        <v>#N/A</v>
      </c>
      <c r="AW279" s="284" t="e">
        <f>IF(VLOOKUP(T_Convention[[#This Row],[NumL]],T_TraitDi[#Data],COLUMN(T_TraitDi[Colonne22]),FALSE)=0,"",TEXT(IFERROR(VLOOKUP(T_Convention[[#This Row],[NumL]],T_TraitDi[#Data],COLUMN(T_TraitDi[Colonne22]),FALSE),""),"[hh]:mm"))</f>
        <v>#N/A</v>
      </c>
      <c r="AX279" s="284" t="str">
        <f>IFERROR(VLOOKUP(T_Convention[[#This Row],[NumL]],T_TraitDi[#Data],COLUMN(T_TraitDi[Colonne23]),FALSE),"")</f>
        <v/>
      </c>
      <c r="AY279" s="284" t="e">
        <f>IF(VLOOKUP(T_Convention[[#This Row],[NumL]],T_TraitDi[#Data],COLUMN(T_TraitDi[Colonne24]),FALSE)=0,"",TEXT(IFERROR(VLOOKUP(T_Convention[[#This Row],[NumL]],T_TraitDi[#Data],COLUMN(T_TraitDi[Colonne24]),FALSE),""),"[hh]:mm"))</f>
        <v>#N/A</v>
      </c>
      <c r="AZ279" s="284" t="e">
        <f>IF(VLOOKUP(T_Convention[[#This Row],[NumL]],T_TraitDi[#Data],COLUMN(T_TraitDi[Colonne25]),FALSE)=0,"",TEXT(IFERROR(VLOOKUP(T_Convention[[#This Row],[NumL]],T_TraitDi[#Data],COLUMN(T_TraitDi[Colonne25]),FALSE),""),"[hh]:mm"))</f>
        <v>#N/A</v>
      </c>
      <c r="BA279" s="284" t="e">
        <f>IF(VLOOKUP(T_Convention[[#This Row],[NumL]],T_TraitDi[#Data],COLUMN(T_TraitDi[Colonne26]),FALSE)=0,"",TEXT(IFERROR(VLOOKUP(T_Convention[[#This Row],[NumL]],T_TraitDi[#Data],COLUMN(T_TraitDi[Colonne26]),FALSE),""),"[hh]:mm"))</f>
        <v>#N/A</v>
      </c>
      <c r="BB279" s="284" t="str">
        <f>IFERROR(VLOOKUP(T_Convention[[#This Row],[NumL]],T_TraitDi[#Data],COLUMN(T_TraitDi[Vendredi]),FALSE),"")</f>
        <v/>
      </c>
      <c r="BC279" s="284" t="e">
        <f>IF(VLOOKUP(T_Convention[[#This Row],[NumL]],T_TraitDi[#Data],COLUMN(T_TraitDi[Colonne27]),FALSE)=0,"",TEXT(IFERROR(VLOOKUP(T_Convention[[#This Row],[NumL]],T_TraitDi[#Data],COLUMN(T_TraitDi[Colonne27]),FALSE),""),"[hh]:mm"))</f>
        <v>#N/A</v>
      </c>
      <c r="BD279" s="284" t="e">
        <f>IF(VLOOKUP(T_Convention[[#This Row],[NumL]],T_TraitDi[#Data],COLUMN(T_TraitDi[Colonne28]),FALSE)=0,"",TEXT(IFERROR(VLOOKUP(T_Convention[[#This Row],[NumL]],T_TraitDi[#Data],COLUMN(T_TraitDi[Colonne28]),FALSE),""),"[hh]:mm"))</f>
        <v>#N/A</v>
      </c>
      <c r="BE279" s="284" t="str">
        <f>IFERROR(VLOOKUP(T_Convention[[#This Row],[NumL]],T_TraitDi[#Data],COLUMN(T_TraitDi[Colonne29]),FALSE),"")</f>
        <v/>
      </c>
      <c r="BF279" s="284" t="e">
        <f>IF(VLOOKUP(T_Convention[[#This Row],[NumL]],T_TraitDi[#Data],COLUMN(T_TraitDi[Colonne30]),FALSE)=0,"",TEXT(IFERROR(VLOOKUP(T_Convention[[#This Row],[NumL]],T_TraitDi[#Data],COLUMN(T_TraitDi[Colonne30]),FALSE),""),"[hh]:mm"))</f>
        <v>#N/A</v>
      </c>
      <c r="BG279" s="284" t="e">
        <f>IF(VLOOKUP(T_Convention[[#This Row],[NumL]],T_TraitDi[#Data],COLUMN(T_TraitDi[Colonne31]),FALSE)=0,"",TEXT(IFERROR(VLOOKUP(T_Convention[[#This Row],[NumL]],T_TraitDi[#Data],COLUMN(T_TraitDi[Colonne31]),FALSE),""),"[hh]:mm"))</f>
        <v>#N/A</v>
      </c>
      <c r="BH279" s="284" t="e">
        <f>IF(VLOOKUP(T_Convention[[#This Row],[NumL]],T_TraitDi[#Data],COLUMN(T_TraitDi[Colonne32]),FALSE)=0,"",TEXT(IFERROR(VLOOKUP(T_Convention[[#This Row],[NumL]],T_TraitDi[#Data],COLUMN(T_TraitDi[Colonne32]),FALSE),""),"[hh]:mm"))</f>
        <v>#N/A</v>
      </c>
      <c r="BI279" s="284" t="str">
        <f>IFERROR(VLOOKUP(T_Convention[[#This Row],[NumL]],T_TraitDi[#Data],COLUMN(T_TraitDi[NbJTW]),FALSE),"")</f>
        <v/>
      </c>
      <c r="BJ279" s="284" t="e">
        <f>IF(VLOOKUP(T_Convention[[#This Row],[NumL]],T_TraitDi[#Data],COLUMN(T_TraitDi[NbhTW]),FALSE)=0,"",TEXT(IFERROR(VLOOKUP(T_Convention[[#This Row],[NumL]],T_TraitDi[#Data],COLUMN(T_TraitDi[NbhTW]),FALSE),""),"[hh]:mm"))</f>
        <v>#N/A</v>
      </c>
      <c r="BK279" s="286" t="e">
        <f>IF(VLOOKUP(T_Convention[[#This Row],[NumL]],T_TraitDi[#Data],COLUMN(T_TraitDi[Nbhheb]),FALSE)=0,"",TEXT(IFERROR(VLOOKUP(T_Convention[[#This Row],[NumL]],T_TraitDi[#Data],COLUMN(T_TraitDi[Nbhheb]),FALSE),""),"[hh]:mm"))</f>
        <v>#N/A</v>
      </c>
      <c r="BL279" s="287" t="str">
        <f>IFERROR(VLOOKUP(VLOOKUP(T_Convention[[#This Row],[NumL]],T_TraitDi[#Data],COLUMN(T_TraitDi[Type1]),FALSE),TypeTW,2,FALSE),"")</f>
        <v/>
      </c>
      <c r="BM279" s="288" t="str">
        <f>IFERROR(VLOOKUP(T_Convention[[#This Row],[NumL]],T_TraitDi[#Data],COLUMN(T_TraitDi[Rue1]),FALSE),"")</f>
        <v/>
      </c>
      <c r="BN279" s="289" t="str">
        <f>IFERROR(VLOOKUP(T_Convention[[#This Row],[NumL]],T_TraitDi[#Data],COLUMN(T_TraitDi[CP1]),FALSE),"")</f>
        <v/>
      </c>
      <c r="BO279" s="282" t="str">
        <f>IFERROR(VLOOKUP(T_Convention[[#This Row],[NumL]],T_TraitDi[#Data],COLUMN(T_TraitDi[VILLE1]),FALSE),"")</f>
        <v/>
      </c>
      <c r="BP279" s="290" t="str">
        <f>IFERROR(VLOOKUP(VLOOKUP(T_Convention[[#This Row],[NumL]],T_TraitDi[#Data],COLUMN(T_TraitDi[Type2]),FALSE),TypeTW,2,FALSE),"")</f>
        <v/>
      </c>
      <c r="BQ279" s="182" t="str">
        <f>IFERROR(VLOOKUP(T_Convention[[#This Row],[NumL]],T_TraitDi[#Data],COLUMN(T_TraitDi[Rue2]),FALSE),"")</f>
        <v/>
      </c>
      <c r="BR279" s="173" t="str">
        <f>IFERROR(VLOOKUP(T_Convention[[#This Row],[NumL]],T_TraitDi[#Data],COLUMN(T_TraitDi[CP2]),FALSE),"")</f>
        <v/>
      </c>
      <c r="BS279" s="173" t="str">
        <f>IFERROR(VLOOKUP(T_Convention[[#This Row],[NumL]],T_TraitDi[#Data],COLUMN(T_TraitDi[VILLE2]),FALSE),"")</f>
        <v/>
      </c>
      <c r="BT279" s="182" t="str">
        <f>IF(VLOOKUP(T_Convention[[#This Row],[NumL]],T_Equipement[#Data],COLUMN(T_Equipement[PC]),FALSE)="","Aucun équipement spécifique directement lié au télétravail",VLOOKUP(T_Convention[[#This Row],[NumL]],T_Equipement[#Data],COLUMN(T_Equipement[PC]),FALSE))</f>
        <v xml:space="preserve">18-029	</v>
      </c>
      <c r="BU279" s="166" t="str">
        <f>IFERROR(IF(VLOOKUP(T_Convention[[#This Row],[NumL]],T_TraitDi[#Data],COLUMN(T_TraitDi[Plan]),FALSE)="OK","Un planning spécifique de télétravail est annexé à la présente convention.",""),"")</f>
        <v/>
      </c>
      <c r="BV279" s="185" t="s">
        <v>3411</v>
      </c>
      <c r="BW279" s="164" t="e">
        <f>IF(VLOOKUP(T_Convention[[#This Row],[NumL]],T_suiviDi[#Data],COLUMN(T_suiviDi[Entité]),FALSE)="","",VLOOKUP(T_Convention[[#This Row],[NumL]],T_suiviDi[#Data],COLUMN(T_suiviDi[Entité]),FALSE))</f>
        <v>#N/A</v>
      </c>
      <c r="BX279" s="164" t="str">
        <f>IF(VLOOKUP(T_Convention[[#This Row],[NumL]],T_Commission[#Data],COLUMN(T_Commission[envoi confirm TW]),FALSE)="","",VLOOKUP(T_Convention[[#This Row],[NumL]],T_Commission[#Data],COLUMN(T_Commission[envoi confirm TW]),FALSE))</f>
        <v>Non</v>
      </c>
      <c r="BY27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79" s="264" t="str">
        <f>VLOOKUP(T_Convention[[#This Row],[NumL]],T_Commission[#Data],COLUMN(T_Commission[Commentaire]),FALSE)</f>
        <v>Le télétravail est accordé dans la limite de 1 jour par semaine afin de permettre l'évaluation des conditions de télétravail pour une eventuelle évolution àr 2 jours par semaine.</v>
      </c>
      <c r="CA279" s="254" t="str">
        <f>IF(VLOOKUP(T_Convention[[#This Row],[NumL]],T_Commission[#Data],COLUMN(T_Commission[Encadrant Email]),FALSE)="","",VLOOKUP(T_Convention[[#This Row],[NumL]],T_Commission[#Data],COLUMN(T_Commission[Encadrant Email]),FALSE))</f>
        <v/>
      </c>
      <c r="CB279" s="353" t="e">
        <f>VLOOKUP(T_Convention[[#This Row],[NumL]],T_TraitDi[#Data],COLUMN(T_TraitDi[NbJTot]),FALSE)</f>
        <v>#N/A</v>
      </c>
      <c r="CC279" s="353" t="e">
        <f>VLOOKUP(T_Convention[[#This Row],[NumL]],T_TraitDi[#Data],COLUMN(T_TraitDi[Reg Ponct]),FALSE)</f>
        <v>#N/A</v>
      </c>
      <c r="CD279" s="348" t="str">
        <f>IF(T_Convention[[#This Row],[Final]]&lt;&gt;"",VLOOKUP(T_Convention[[#This Row],[NumL]],T_suiviDi[#Data],COLUMN((T_suiviDi[Statut])),FALSE),"")</f>
        <v/>
      </c>
    </row>
    <row r="280" spans="1:82" s="106" customFormat="1" ht="18.75" customHeight="1" x14ac:dyDescent="0.25">
      <c r="A280" s="160">
        <v>301</v>
      </c>
      <c r="B280" s="281" t="str">
        <f>VLOOKUP(T_Convention[[#This Row],[NumL]],T_Commission[#Data],COLUMN(T_Commission[FINAL]),FALSE)</f>
        <v/>
      </c>
      <c r="C280" s="162"/>
      <c r="D280" s="95" t="e">
        <f>IF(VLOOKUP(T_Convention[[#This Row],[NumL]],T_TraitDi[#Data],COLUMN(T_TraitDi[WebC]),FALSE)="","",VLOOKUP(T_Convention[[#This Row],[NumL]],T_TraitDi[#Data],COLUMN(T_TraitDi[WebC]),FALSE))</f>
        <v>#N/A</v>
      </c>
      <c r="E280" s="163" t="str">
        <f t="shared" si="20"/>
        <v>12 janvier 2021</v>
      </c>
      <c r="F280" s="282" t="str">
        <f>IF(T_Convention[[#This Row],[Final]]&lt;&gt;"",VLOOKUP(T_Convention[[#This Row],[NumL]],T_suiviDi[#Data],COLUMN((T_suiviDi[Civ.])),FALSE),"")</f>
        <v/>
      </c>
      <c r="G280" s="283" t="str">
        <f>IF(T_Convention[[#This Row],[Final]]&lt;&gt;"",VLOOKUP(T_Convention[[#This Row],[NumL]],T_suiviDi[#Data],COLUMN((T_suiviDi[Nom])),FALSE),"")</f>
        <v/>
      </c>
      <c r="H280" s="282" t="str">
        <f>IF(T_Convention[[#This Row],[Final]]&lt;&gt;"",VLOOKUP(T_Convention[[#This Row],[NumL]],T_suiviDi[#Data],COLUMN((T_suiviDi[Prénom])),FALSE),"")</f>
        <v/>
      </c>
      <c r="I280" s="282" t="e">
        <f>VLOOKUP(T_Convention[[#This Row],[NumL]],T_suiviDi[#Data],COLUMN((T_suiviDi[[#This Row],[Email]])),FALSE)</f>
        <v>#VALUE!</v>
      </c>
      <c r="J280" s="282" t="e">
        <f>IF(VLOOKUP(T_Convention[[#This Row],[NumL]],T_suiviDi[#Data],COLUMN(T_suiviDi[[#This Row],[Fonction]]),FALSE)="","",VLOOKUP(T_Convention[[#This Row],[NumL]],T_suiviDi[#Data],COLUMN(T_suiviDi[[#This Row],[Fonction]]),FALSE))</f>
        <v>#VALUE!</v>
      </c>
      <c r="K280" s="282" t="e">
        <f>IF(VLOOKUP(T_Convention[[#This Row],[NumL]],T_suiviDi[#Data],COLUMN(T_suiviDi[[#This Row],[Grade]]),FALSE)="","",VLOOKUP(T_Convention[[#This Row],[NumL]],T_suiviDi[#Data],COLUMN(T_suiviDi[[#This Row],[Grade]]),FALSE))</f>
        <v>#VALUE!</v>
      </c>
      <c r="L280" s="282" t="e">
        <f>IF(VLOOKUP(T_Convention[[#This Row],[NumL]],T_suiviDi[#Data],COLUMN(T_suiviDi[[#This Row],[Service ]]),FALSE)="","",VLOOKUP(T_Convention[[#This Row],[NumL]],T_suiviDi[#Data],COLUMN(T_suiviDi[[#This Row],[Service ]]),FALSE))</f>
        <v>#VALUE!</v>
      </c>
      <c r="M280" s="314" t="str">
        <f t="shared" si="21"/>
        <v>01 septembre 2021</v>
      </c>
      <c r="N280" s="314" t="str">
        <f t="shared" si="22"/>
        <v>30 novembre 2021</v>
      </c>
      <c r="O280" s="284" t="str">
        <f t="shared" si="23"/>
        <v>30 novembre 2021</v>
      </c>
      <c r="P280" s="282" t="e">
        <f>IF(VLOOKUP(T_Convention[[#This Row],[NumL]],T_TraitDi[#Data],COLUMN(T_TraitDi[M1]),FALSE)="","",VLOOKUP(T_Convention[[#This Row],[NumL]],T_TraitDi[#Data],COLUMN(T_TraitDi[M1]),FALSE))</f>
        <v>#N/A</v>
      </c>
      <c r="Q280" s="282" t="e">
        <f>IF(VLOOKUP(T_Convention[[#This Row],[NumL]],T_TraitDi[#Data],COLUMN(T_TraitDi[M2]),FALSE)="","",VLOOKUP(T_Convention[[#This Row],[NumL]],T_TraitDi[#Data],COLUMN(T_TraitDi[M2]),FALSE))</f>
        <v>#N/A</v>
      </c>
      <c r="R280" s="282" t="e">
        <f>IF(VLOOKUP(T_Convention[[#This Row],[NumL]],T_TraitDi[#Data],COLUMN(T_TraitDi[M3]),FALSE)="","",VLOOKUP(T_Convention[[#This Row],[NumL]],T_TraitDi[#Data],COLUMN(T_TraitDi[M3]),FALSE))</f>
        <v>#N/A</v>
      </c>
      <c r="S280" s="282" t="e">
        <f>IF(VLOOKUP(T_Convention[[#This Row],[NumL]],T_TraitDi[#Data],COLUMN(T_TraitDi[M4]),FALSE)="","",VLOOKUP(T_Convention[[#This Row],[NumL]],T_TraitDi[#Data],COLUMN(T_TraitDi[M4]),FALSE))</f>
        <v>#N/A</v>
      </c>
      <c r="T280" s="282" t="e">
        <f>IF(VLOOKUP(T_Convention[[#This Row],[NumL]],T_TraitDi[#Data],COLUMN(T_TraitDi[M5]),FALSE)="","",VLOOKUP(T_Convention[[#This Row],[NumL]],T_TraitDi[#Data],COLUMN(T_TraitDi[M5]),FALSE))</f>
        <v>#N/A</v>
      </c>
      <c r="U280" s="282" t="e">
        <f>IF(VLOOKUP(T_Convention[[#This Row],[NumL]],T_TraitDi[#Data],COLUMN(T_TraitDi[M6]),FALSE)="","",VLOOKUP(T_Convention[[#This Row],[NumL]],T_TraitDi[#Data],COLUMN(T_TraitDi[M6]),FALSE))</f>
        <v>#N/A</v>
      </c>
      <c r="V280" s="314" t="e">
        <f t="shared" si="24"/>
        <v>#N/A</v>
      </c>
      <c r="W280" s="284" t="str">
        <f>IFERROR(TEXT(VLOOKUP(T_Convention[[#This Row],[NumL]],T_TraitDi[#Data],COLUMN(T_TraitDi[Q2]),FALSE),"###%"),"")</f>
        <v/>
      </c>
      <c r="X280" s="285" t="e">
        <f>VLOOKUP(T_Convention[[#This Row],[NumL]],T_TraitDi[#Data],COLUMN(T_TraitDi[Reg Ponct]),FALSE)</f>
        <v>#N/A</v>
      </c>
      <c r="Y280" s="285" t="e">
        <f>VLOOKUP(T_Convention[NumL],T_TraitDi[#Data],COLUMN(T_TraitDi[Jours flottants]),FALSE)</f>
        <v>#N/A</v>
      </c>
      <c r="Z280" s="284" t="str">
        <f>IFERROR(VLOOKUP(T_Convention[[#This Row],[NumL]],T_TraitDi[#Data],COLUMN(T_TraitDi[Lundi]),FALSE),"")</f>
        <v/>
      </c>
      <c r="AA280" s="284" t="e">
        <f>IF(VLOOKUP(T_Convention[[#This Row],[NumL]],T_TraitDi[#Data],COLUMN(T_TraitDi[Colonne3]),FALSE)=0,"",TEXT(IFERROR(VLOOKUP(T_Convention[[#This Row],[NumL]],T_TraitDi[#Data],COLUMN(T_TraitDi[Colonne3]),FALSE),""),"[hh]:mm"))</f>
        <v>#N/A</v>
      </c>
      <c r="AB280" s="284" t="e">
        <f>IF(VLOOKUP(T_Convention[[#This Row],[NumL]],T_TraitDi[#Data],COLUMN(T_TraitDi[Colonne4]),FALSE)=0,"",TEXT(IFERROR(VLOOKUP(T_Convention[[#This Row],[NumL]],T_TraitDi[#Data],COLUMN(T_TraitDi[Colonne4]),FALSE),""),"[hh]:mm"))</f>
        <v>#N/A</v>
      </c>
      <c r="AC280" s="284" t="e">
        <f>IF(VLOOKUP(T_Convention[[#This Row],[NumL]],T_TraitDi[#Data],COLUMN(T_TraitDi[Colonne5]),FALSE)=0,"",TEXT(IFERROR(VLOOKUP(T_Convention[[#This Row],[NumL]],T_TraitDi[#Data],COLUMN(T_TraitDi[Colonne5]),FALSE),""),"[hh]:mm"))</f>
        <v>#N/A</v>
      </c>
      <c r="AD280" s="284" t="e">
        <f>IF(VLOOKUP(T_Convention[[#This Row],[NumL]],T_TraitDi[#Data],COLUMN(T_TraitDi[Colonne6]),FALSE)=0,"",TEXT(IFERROR(VLOOKUP(T_Convention[[#This Row],[NumL]],T_TraitDi[#Data],COLUMN(T_TraitDi[Colonne6]),FALSE),""),"[hh]:mm"))</f>
        <v>#N/A</v>
      </c>
      <c r="AE280" s="284" t="e">
        <f>IF(VLOOKUP(T_Convention[[#This Row],[NumL]],T_TraitDi[#Data],COLUMN(T_TraitDi[Colonne7]),FALSE)=0,"",TEXT(IFERROR(VLOOKUP(T_Convention[[#This Row],[NumL]],T_TraitDi[#Data],COLUMN(T_TraitDi[Colonne7]),FALSE),""),"[hh]:mm"))</f>
        <v>#N/A</v>
      </c>
      <c r="AF280" s="284" t="e">
        <f>IF(VLOOKUP(T_Convention[[#This Row],[NumL]],T_TraitDi[#Data],COLUMN(T_TraitDi[Colonne8]),FALSE)=0,"",TEXT(IFERROR(VLOOKUP(T_Convention[[#This Row],[NumL]],T_TraitDi[#Data],COLUMN(T_TraitDi[Colonne8]),FALSE),""),"[hh]:mm"))</f>
        <v>#N/A</v>
      </c>
      <c r="AG280" s="284" t="str">
        <f>IFERROR(VLOOKUP(T_Convention[[#This Row],[NumL]],T_TraitDi[#Data],COLUMN(T_TraitDi[Mardi]),FALSE),"")</f>
        <v/>
      </c>
      <c r="AH280" s="284" t="e">
        <f>IF(VLOOKUP(T_Convention[[#This Row],[NumL]],T_TraitDi[#Data],COLUMN(T_TraitDi[Colonne1]),FALSE)=0,"",TEXT(IFERROR(VLOOKUP(T_Convention[[#This Row],[NumL]],T_TraitDi[#Data],COLUMN(T_TraitDi[Colonne1]),FALSE),""),"[hh]:mm"))</f>
        <v>#N/A</v>
      </c>
      <c r="AI280" s="284" t="e">
        <f>IF(VLOOKUP(T_Convention[[#This Row],[NumL]],T_TraitDi[#Data],COLUMN(T_TraitDi[Colonne9]),FALSE)=0,"",TEXT(IFERROR(VLOOKUP(T_Convention[[#This Row],[NumL]],T_TraitDi[#Data],COLUMN(T_TraitDi[Colonne9]),FALSE),""),"[hh]:mm"))</f>
        <v>#N/A</v>
      </c>
      <c r="AJ280" s="284" t="str">
        <f>IFERROR(VLOOKUP(T_Convention[[#This Row],[NumL]],T_TraitDi[#Data],COLUMN(T_TraitDi[Colonne10]),FALSE),"")</f>
        <v/>
      </c>
      <c r="AK280" s="284" t="e">
        <f>IF(VLOOKUP(T_Convention[[#This Row],[NumL]],T_TraitDi[#Data],COLUMN(T_TraitDi[Colonne11]),FALSE)=0,"",TEXT(IFERROR(VLOOKUP(T_Convention[[#This Row],[NumL]],T_TraitDi[#Data],COLUMN(T_TraitDi[Colonne11]),FALSE),""),"[hh]:mm"))</f>
        <v>#N/A</v>
      </c>
      <c r="AL280" s="284" t="e">
        <f>IF(VLOOKUP(T_Convention[[#This Row],[NumL]],T_TraitDi[#Data],COLUMN(T_TraitDi[Colonne12]),FALSE)=0,"",TEXT(IFERROR(VLOOKUP(T_Convention[[#This Row],[NumL]],T_TraitDi[#Data],COLUMN(T_TraitDi[Colonne12]),FALSE),""),"[hh]:mm"))</f>
        <v>#N/A</v>
      </c>
      <c r="AM280" s="284" t="e">
        <f>IF(VLOOKUP(T_Convention[[#This Row],[NumL]],T_TraitDi[#Data],COLUMN(T_TraitDi[Colonne14]),FALSE)=0,"",TEXT(IFERROR(VLOOKUP(T_Convention[[#This Row],[NumL]],T_TraitDi[#Data],COLUMN(T_TraitDi[Colonne14]),FALSE),""),"[hh]:mm"))</f>
        <v>#N/A</v>
      </c>
      <c r="AN280" s="284" t="str">
        <f>IFERROR(VLOOKUP(T_Convention[[#This Row],[NumL]],T_TraitDi[#Data],COLUMN(T_TraitDi[Mercredi]),FALSE),"")</f>
        <v/>
      </c>
      <c r="AO280" s="284" t="e">
        <f>IF(VLOOKUP(T_Convention[[#This Row],[NumL]],T_TraitDi[#Data],COLUMN(T_TraitDi[Colonne15]),FALSE)=0,"",TEXT(IFERROR(VLOOKUP(T_Convention[[#This Row],[NumL]],T_TraitDi[#Data],COLUMN(T_TraitDi[Colonne15]),FALSE),""),"[hh]:mm"))</f>
        <v>#N/A</v>
      </c>
      <c r="AP280" s="284" t="e">
        <f>IF(VLOOKUP(T_Convention[[#This Row],[NumL]],T_TraitDi[#Data],COLUMN(T_TraitDi[Colonne16]),FALSE)=0,"",TEXT(IFERROR(VLOOKUP(T_Convention[[#This Row],[NumL]],T_TraitDi[#Data],COLUMN(T_TraitDi[Colonne16]),FALSE),""),"[hh]:mm"))</f>
        <v>#N/A</v>
      </c>
      <c r="AQ280" s="284" t="str">
        <f>IFERROR(VLOOKUP(T_Convention[[#This Row],[NumL]],T_TraitDi[#Data],COLUMN(T_TraitDi[Colonne17]),FALSE),"")</f>
        <v/>
      </c>
      <c r="AR280" s="284" t="e">
        <f>IF(VLOOKUP(T_Convention[[#This Row],[NumL]],T_TraitDi[#Data],COLUMN(T_TraitDi[Colonne18]),FALSE)=0,"",TEXT(IFERROR(VLOOKUP(T_Convention[[#This Row],[NumL]],T_TraitDi[#Data],COLUMN(T_TraitDi[Colonne18]),FALSE),""),"[hh]:mm"))</f>
        <v>#N/A</v>
      </c>
      <c r="AS280" s="284" t="e">
        <f>IF(VLOOKUP(T_Convention[[#This Row],[NumL]],T_TraitDi[#Data],COLUMN(T_TraitDi[Colonne19]),FALSE)=0,"",TEXT(IFERROR(VLOOKUP(T_Convention[[#This Row],[NumL]],T_TraitDi[#Data],COLUMN(T_TraitDi[Colonne19]),FALSE),""),"[hh]:mm"))</f>
        <v>#N/A</v>
      </c>
      <c r="AT280" s="284" t="e">
        <f>IF(VLOOKUP(T_Convention[[#This Row],[NumL]],T_TraitDi[#Data],COLUMN(T_TraitDi[Colonne20]),FALSE)=0,"",TEXT(IFERROR(VLOOKUP(T_Convention[[#This Row],[NumL]],T_TraitDi[#Data],COLUMN(T_TraitDi[Colonne20]),FALSE),""),"[hh]:mm"))</f>
        <v>#N/A</v>
      </c>
      <c r="AU280" s="284" t="str">
        <f>IFERROR(VLOOKUP(T_Convention[[#This Row],[NumL]],T_TraitDi[#Data],COLUMN(T_TraitDi[Jeudi]),FALSE),"")</f>
        <v/>
      </c>
      <c r="AV280" s="284" t="e">
        <f>IF(VLOOKUP(T_Convention[[#This Row],[NumL]],T_TraitDi[#Data],COLUMN(T_TraitDi[Colonne21]),FALSE)=0,"",TEXT(IFERROR(VLOOKUP(T_Convention[[#This Row],[NumL]],T_TraitDi[#Data],COLUMN(T_TraitDi[Colonne21]),FALSE),""),"[hh]:mm"))</f>
        <v>#N/A</v>
      </c>
      <c r="AW280" s="284" t="e">
        <f>IF(VLOOKUP(T_Convention[[#This Row],[NumL]],T_TraitDi[#Data],COLUMN(T_TraitDi[Colonne22]),FALSE)=0,"",TEXT(IFERROR(VLOOKUP(T_Convention[[#This Row],[NumL]],T_TraitDi[#Data],COLUMN(T_TraitDi[Colonne22]),FALSE),""),"[hh]:mm"))</f>
        <v>#N/A</v>
      </c>
      <c r="AX280" s="284" t="str">
        <f>IFERROR(VLOOKUP(T_Convention[[#This Row],[NumL]],T_TraitDi[#Data],COLUMN(T_TraitDi[Colonne23]),FALSE),"")</f>
        <v/>
      </c>
      <c r="AY280" s="284" t="e">
        <f>IF(VLOOKUP(T_Convention[[#This Row],[NumL]],T_TraitDi[#Data],COLUMN(T_TraitDi[Colonne24]),FALSE)=0,"",TEXT(IFERROR(VLOOKUP(T_Convention[[#This Row],[NumL]],T_TraitDi[#Data],COLUMN(T_TraitDi[Colonne24]),FALSE),""),"[hh]:mm"))</f>
        <v>#N/A</v>
      </c>
      <c r="AZ280" s="284" t="e">
        <f>IF(VLOOKUP(T_Convention[[#This Row],[NumL]],T_TraitDi[#Data],COLUMN(T_TraitDi[Colonne25]),FALSE)=0,"",TEXT(IFERROR(VLOOKUP(T_Convention[[#This Row],[NumL]],T_TraitDi[#Data],COLUMN(T_TraitDi[Colonne25]),FALSE),""),"[hh]:mm"))</f>
        <v>#N/A</v>
      </c>
      <c r="BA280" s="284" t="e">
        <f>IF(VLOOKUP(T_Convention[[#This Row],[NumL]],T_TraitDi[#Data],COLUMN(T_TraitDi[Colonne26]),FALSE)=0,"",TEXT(IFERROR(VLOOKUP(T_Convention[[#This Row],[NumL]],T_TraitDi[#Data],COLUMN(T_TraitDi[Colonne26]),FALSE),""),"[hh]:mm"))</f>
        <v>#N/A</v>
      </c>
      <c r="BB280" s="284" t="str">
        <f>IFERROR(VLOOKUP(T_Convention[[#This Row],[NumL]],T_TraitDi[#Data],COLUMN(T_TraitDi[Vendredi]),FALSE),"")</f>
        <v/>
      </c>
      <c r="BC280" s="284" t="e">
        <f>IF(VLOOKUP(T_Convention[[#This Row],[NumL]],T_TraitDi[#Data],COLUMN(T_TraitDi[Colonne27]),FALSE)=0,"",TEXT(IFERROR(VLOOKUP(T_Convention[[#This Row],[NumL]],T_TraitDi[#Data],COLUMN(T_TraitDi[Colonne27]),FALSE),""),"[hh]:mm"))</f>
        <v>#N/A</v>
      </c>
      <c r="BD280" s="284" t="e">
        <f>IF(VLOOKUP(T_Convention[[#This Row],[NumL]],T_TraitDi[#Data],COLUMN(T_TraitDi[Colonne28]),FALSE)=0,"",TEXT(IFERROR(VLOOKUP(T_Convention[[#This Row],[NumL]],T_TraitDi[#Data],COLUMN(T_TraitDi[Colonne28]),FALSE),""),"[hh]:mm"))</f>
        <v>#N/A</v>
      </c>
      <c r="BE280" s="284" t="str">
        <f>IFERROR(VLOOKUP(T_Convention[[#This Row],[NumL]],T_TraitDi[#Data],COLUMN(T_TraitDi[Colonne29]),FALSE),"")</f>
        <v/>
      </c>
      <c r="BF280" s="284" t="e">
        <f>IF(VLOOKUP(T_Convention[[#This Row],[NumL]],T_TraitDi[#Data],COLUMN(T_TraitDi[Colonne30]),FALSE)=0,"",TEXT(IFERROR(VLOOKUP(T_Convention[[#This Row],[NumL]],T_TraitDi[#Data],COLUMN(T_TraitDi[Colonne30]),FALSE),""),"[hh]:mm"))</f>
        <v>#N/A</v>
      </c>
      <c r="BG280" s="284" t="e">
        <f>IF(VLOOKUP(T_Convention[[#This Row],[NumL]],T_TraitDi[#Data],COLUMN(T_TraitDi[Colonne31]),FALSE)=0,"",TEXT(IFERROR(VLOOKUP(T_Convention[[#This Row],[NumL]],T_TraitDi[#Data],COLUMN(T_TraitDi[Colonne31]),FALSE),""),"[hh]:mm"))</f>
        <v>#N/A</v>
      </c>
      <c r="BH280" s="284" t="e">
        <f>IF(VLOOKUP(T_Convention[[#This Row],[NumL]],T_TraitDi[#Data],COLUMN(T_TraitDi[Colonne32]),FALSE)=0,"",TEXT(IFERROR(VLOOKUP(T_Convention[[#This Row],[NumL]],T_TraitDi[#Data],COLUMN(T_TraitDi[Colonne32]),FALSE),""),"[hh]:mm"))</f>
        <v>#N/A</v>
      </c>
      <c r="BI280" s="284" t="str">
        <f>IFERROR(VLOOKUP(T_Convention[[#This Row],[NumL]],T_TraitDi[#Data],COLUMN(T_TraitDi[NbJTW]),FALSE),"")</f>
        <v/>
      </c>
      <c r="BJ280" s="284" t="e">
        <f>IF(VLOOKUP(T_Convention[[#This Row],[NumL]],T_TraitDi[#Data],COLUMN(T_TraitDi[NbhTW]),FALSE)=0,"",TEXT(IFERROR(VLOOKUP(T_Convention[[#This Row],[NumL]],T_TraitDi[#Data],COLUMN(T_TraitDi[NbhTW]),FALSE),""),"[hh]:mm"))</f>
        <v>#N/A</v>
      </c>
      <c r="BK280" s="315" t="e">
        <f>IF(VLOOKUP(T_Convention[[#This Row],[NumL]],T_TraitDi[#Data],COLUMN(T_TraitDi[Nbhheb]),FALSE)=0,"",TEXT(IFERROR(VLOOKUP(T_Convention[[#This Row],[NumL]],T_TraitDi[#Data],COLUMN(T_TraitDi[Nbhheb]),FALSE),""),"[hh]:mm"))</f>
        <v>#N/A</v>
      </c>
      <c r="BL280" s="287" t="str">
        <f>IFERROR(VLOOKUP(VLOOKUP(T_Convention[[#This Row],[NumL]],T_TraitDi[#Data],COLUMN(T_TraitDi[Type1]),FALSE),TypeTW,2,FALSE),"")</f>
        <v/>
      </c>
      <c r="BM280" s="288" t="str">
        <f>IFERROR(VLOOKUP(T_Convention[[#This Row],[NumL]],T_TraitDi[#Data],COLUMN(T_TraitDi[Rue1]),FALSE),"")</f>
        <v/>
      </c>
      <c r="BN280" s="289" t="str">
        <f>IFERROR(VLOOKUP(T_Convention[[#This Row],[NumL]],T_TraitDi[#Data],COLUMN(T_TraitDi[CP1]),FALSE),"")</f>
        <v/>
      </c>
      <c r="BO280" s="282" t="str">
        <f>IFERROR(VLOOKUP(T_Convention[[#This Row],[NumL]],T_TraitDi[#Data],COLUMN(T_TraitDi[VILLE1]),FALSE),"")</f>
        <v/>
      </c>
      <c r="BP280" s="290" t="str">
        <f>IFERROR(VLOOKUP(VLOOKUP(T_Convention[[#This Row],[NumL]],T_TraitDi[#Data],COLUMN(T_TraitDi[Type2]),FALSE),TypeTW,2,FALSE),"")</f>
        <v/>
      </c>
      <c r="BQ280" s="310" t="str">
        <f>IFERROR(VLOOKUP(T_Convention[[#This Row],[NumL]],T_TraitDi[#Data],COLUMN(T_TraitDi[Rue2]),FALSE),"")</f>
        <v/>
      </c>
      <c r="BR280" s="290" t="str">
        <f>IFERROR(VLOOKUP(T_Convention[[#This Row],[NumL]],T_TraitDi[#Data],COLUMN(T_TraitDi[CP2]),FALSE),"")</f>
        <v/>
      </c>
      <c r="BS280" s="290" t="str">
        <f>IFERROR(VLOOKUP(T_Convention[[#This Row],[NumL]],T_TraitDi[#Data],COLUMN(T_TraitDi[VILLE2]),FALSE),"")</f>
        <v/>
      </c>
      <c r="BT28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80" s="314" t="str">
        <f>IFERROR(IF(VLOOKUP(T_Convention[[#This Row],[NumL]],T_TraitDi[#Data],COLUMN(T_TraitDi[Plan]),FALSE)="OK","Un planning spécifique de télétravail est annexé à la présente convention.",""),"")</f>
        <v/>
      </c>
      <c r="BV280" s="291"/>
      <c r="BW280" s="292" t="e">
        <f>IF(VLOOKUP(T_Convention[[#This Row],[NumL]],T_suiviDi[#Data],COLUMN(T_suiviDi[Entité]),FALSE)="","",VLOOKUP(T_Convention[[#This Row],[NumL]],T_suiviDi[#Data],COLUMN(T_suiviDi[Entité]),FALSE))</f>
        <v>#N/A</v>
      </c>
      <c r="BX280" s="311" t="str">
        <f>IF(VLOOKUP(T_Convention[[#This Row],[NumL]],T_Commission[#Data],COLUMN(T_Commission[envoi confirm TW]),FALSE)="","",VLOOKUP(T_Convention[[#This Row],[NumL]],T_Commission[#Data],COLUMN(T_Commission[envoi confirm TW]),FALSE))</f>
        <v>Oui</v>
      </c>
      <c r="BY28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0" s="265">
        <f>VLOOKUP(T_Convention[[#This Row],[NumL]],T_Commission[#Data],COLUMN(T_Commission[Commentaire]),FALSE)</f>
        <v>0</v>
      </c>
      <c r="CA280" s="255" t="str">
        <f>IF(VLOOKUP(T_Convention[[#This Row],[NumL]],T_Commission[#Data],COLUMN(T_Commission[Encadrant Email]),FALSE)="","",VLOOKUP(T_Convention[[#This Row],[NumL]],T_Commission[#Data],COLUMN(T_Commission[Encadrant Email]),FALSE))</f>
        <v/>
      </c>
      <c r="CB280" s="353" t="e">
        <f>VLOOKUP(T_Convention[[#This Row],[NumL]],T_TraitDi[#Data],COLUMN(T_TraitDi[NbJTot]),FALSE)</f>
        <v>#N/A</v>
      </c>
      <c r="CC280" s="353" t="e">
        <f>VLOOKUP(T_Convention[[#This Row],[NumL]],T_TraitDi[#Data],COLUMN(T_TraitDi[Reg Ponct]),FALSE)</f>
        <v>#N/A</v>
      </c>
      <c r="CD280" s="348" t="str">
        <f>IF(T_Convention[[#This Row],[Final]]&lt;&gt;"",VLOOKUP(T_Convention[[#This Row],[NumL]],T_suiviDi[#Data],COLUMN((T_suiviDi[Statut])),FALSE),"")</f>
        <v/>
      </c>
    </row>
    <row r="281" spans="1:82" s="106" customFormat="1" ht="18.75" customHeight="1" x14ac:dyDescent="0.25">
      <c r="A281" s="160">
        <v>200</v>
      </c>
      <c r="B281" s="161" t="str">
        <f>VLOOKUP(T_Convention[[#This Row],[NumL]],T_Commission[#Data],COLUMN(T_Commission[FINAL]),FALSE)</f>
        <v/>
      </c>
      <c r="C281" s="162"/>
      <c r="D281" s="95" t="e">
        <f>IF(VLOOKUP(T_Convention[[#This Row],[NumL]],T_TraitDi[#Data],COLUMN(T_TraitDi[WebC]),FALSE)="","",VLOOKUP(T_Convention[[#This Row],[NumL]],T_TraitDi[#Data],COLUMN(T_TraitDi[WebC]),FALSE))</f>
        <v>#N/A</v>
      </c>
      <c r="E281" s="163" t="str">
        <f t="shared" si="20"/>
        <v>12 janvier 2021</v>
      </c>
      <c r="F281" s="282" t="str">
        <f>IF(T_Convention[[#This Row],[Final]]&lt;&gt;"",VLOOKUP(T_Convention[[#This Row],[NumL]],T_suiviDi[#Data],COLUMN((T_suiviDi[Civ.])),FALSE),"")</f>
        <v/>
      </c>
      <c r="G281" s="283" t="str">
        <f>IF(T_Convention[[#This Row],[Final]]&lt;&gt;"",VLOOKUP(T_Convention[[#This Row],[NumL]],T_suiviDi[#Data],COLUMN((T_suiviDi[Nom])),FALSE),"")</f>
        <v/>
      </c>
      <c r="H281" s="282" t="str">
        <f>IF(T_Convention[[#This Row],[Final]]&lt;&gt;"",VLOOKUP(T_Convention[[#This Row],[NumL]],T_suiviDi[#Data],COLUMN((T_suiviDi[Prénom])),FALSE),"")</f>
        <v/>
      </c>
      <c r="I281" s="282" t="e">
        <f>VLOOKUP(T_Convention[[#This Row],[NumL]],T_suiviDi[#Data],COLUMN((T_suiviDi[[#This Row],[Email]])),FALSE)</f>
        <v>#VALUE!</v>
      </c>
      <c r="J281" s="282" t="e">
        <f>IF(VLOOKUP(T_Convention[[#This Row],[NumL]],T_suiviDi[#Data],COLUMN(T_suiviDi[[#This Row],[Fonction]]),FALSE)="","",VLOOKUP(T_Convention[[#This Row],[NumL]],T_suiviDi[#Data],COLUMN(T_suiviDi[[#This Row],[Fonction]]),FALSE))</f>
        <v>#VALUE!</v>
      </c>
      <c r="K281" s="282" t="e">
        <f>IF(VLOOKUP(T_Convention[[#This Row],[NumL]],T_suiviDi[#Data],COLUMN(T_suiviDi[[#This Row],[Grade]]),FALSE)="","",VLOOKUP(T_Convention[[#This Row],[NumL]],T_suiviDi[#Data],COLUMN(T_suiviDi[[#This Row],[Grade]]),FALSE))</f>
        <v>#VALUE!</v>
      </c>
      <c r="L281" s="282" t="e">
        <f>IF(VLOOKUP(T_Convention[[#This Row],[NumL]],T_suiviDi[#Data],COLUMN(T_suiviDi[[#This Row],[Service ]]),FALSE)="","",VLOOKUP(T_Convention[[#This Row],[NumL]],T_suiviDi[#Data],COLUMN(T_suiviDi[[#This Row],[Service ]]),FALSE))</f>
        <v>#VALUE!</v>
      </c>
      <c r="M281" s="164" t="str">
        <f t="shared" si="21"/>
        <v>01 septembre 2021</v>
      </c>
      <c r="N281" s="164" t="str">
        <f t="shared" si="22"/>
        <v>30 novembre 2021</v>
      </c>
      <c r="O281" s="284" t="str">
        <f t="shared" si="23"/>
        <v>30 novembre 2021</v>
      </c>
      <c r="P281" s="282" t="e">
        <f>IF(VLOOKUP(T_Convention[[#This Row],[NumL]],T_TraitDi[#Data],COLUMN(T_TraitDi[M1]),FALSE)="","",VLOOKUP(T_Convention[[#This Row],[NumL]],T_TraitDi[#Data],COLUMN(T_TraitDi[M1]),FALSE))</f>
        <v>#N/A</v>
      </c>
      <c r="Q281" s="282" t="e">
        <f>IF(VLOOKUP(T_Convention[[#This Row],[NumL]],T_TraitDi[#Data],COLUMN(T_TraitDi[M2]),FALSE)="","",VLOOKUP(T_Convention[[#This Row],[NumL]],T_TraitDi[#Data],COLUMN(T_TraitDi[M2]),FALSE))</f>
        <v>#N/A</v>
      </c>
      <c r="R281" s="282" t="e">
        <f>IF(VLOOKUP(T_Convention[[#This Row],[NumL]],T_TraitDi[#Data],COLUMN(T_TraitDi[M3]),FALSE)="","",VLOOKUP(T_Convention[[#This Row],[NumL]],T_TraitDi[#Data],COLUMN(T_TraitDi[M3]),FALSE))</f>
        <v>#N/A</v>
      </c>
      <c r="S281" s="282" t="e">
        <f>IF(VLOOKUP(T_Convention[[#This Row],[NumL]],T_TraitDi[#Data],COLUMN(T_TraitDi[M4]),FALSE)="","",VLOOKUP(T_Convention[[#This Row],[NumL]],T_TraitDi[#Data],COLUMN(T_TraitDi[M4]),FALSE))</f>
        <v>#N/A</v>
      </c>
      <c r="T281" s="282" t="e">
        <f>IF(VLOOKUP(T_Convention[[#This Row],[NumL]],T_TraitDi[#Data],COLUMN(T_TraitDi[M5]),FALSE)="","",VLOOKUP(T_Convention[[#This Row],[NumL]],T_TraitDi[#Data],COLUMN(T_TraitDi[M5]),FALSE))</f>
        <v>#N/A</v>
      </c>
      <c r="U281" s="282" t="e">
        <f>IF(VLOOKUP(T_Convention[[#This Row],[NumL]],T_TraitDi[#Data],COLUMN(T_TraitDi[M6]),FALSE)="","",VLOOKUP(T_Convention[[#This Row],[NumL]],T_TraitDi[#Data],COLUMN(T_TraitDi[M6]),FALSE))</f>
        <v>#N/A</v>
      </c>
      <c r="V281" s="176" t="e">
        <f t="shared" si="24"/>
        <v>#N/A</v>
      </c>
      <c r="W281" s="284" t="str">
        <f>IFERROR(TEXT(VLOOKUP(T_Convention[[#This Row],[NumL]],T_TraitDi[#Data],COLUMN(T_TraitDi[Q2]),FALSE),"###%"),"")</f>
        <v/>
      </c>
      <c r="X281" s="97" t="e">
        <f>VLOOKUP(T_Convention[[#This Row],[NumL]],T_TraitDi[#Data],COLUMN(T_TraitDi[Reg Ponct]),FALSE)</f>
        <v>#N/A</v>
      </c>
      <c r="Y281" s="97" t="e">
        <f>VLOOKUP(T_Convention[NumL],T_TraitDi[#Data],COLUMN(T_TraitDi[Jours flottants]),FALSE)</f>
        <v>#N/A</v>
      </c>
      <c r="Z281" s="284" t="str">
        <f>IFERROR(VLOOKUP(T_Convention[[#This Row],[NumL]],T_TraitDi[#Data],COLUMN(T_TraitDi[Lundi]),FALSE),"")</f>
        <v/>
      </c>
      <c r="AA281" s="284" t="e">
        <f>IF(VLOOKUP(T_Convention[[#This Row],[NumL]],T_TraitDi[#Data],COLUMN(T_TraitDi[Colonne3]),FALSE)=0,"",TEXT(IFERROR(VLOOKUP(T_Convention[[#This Row],[NumL]],T_TraitDi[#Data],COLUMN(T_TraitDi[Colonne3]),FALSE),""),"[hh]:mm"))</f>
        <v>#N/A</v>
      </c>
      <c r="AB281" s="284" t="e">
        <f>IF(VLOOKUP(T_Convention[[#This Row],[NumL]],T_TraitDi[#Data],COLUMN(T_TraitDi[Colonne4]),FALSE)=0,"",TEXT(IFERROR(VLOOKUP(T_Convention[[#This Row],[NumL]],T_TraitDi[#Data],COLUMN(T_TraitDi[Colonne4]),FALSE),""),"[hh]:mm"))</f>
        <v>#N/A</v>
      </c>
      <c r="AC281" s="284" t="e">
        <f>IF(VLOOKUP(T_Convention[[#This Row],[NumL]],T_TraitDi[#Data],COLUMN(T_TraitDi[Colonne5]),FALSE)=0,"",TEXT(IFERROR(VLOOKUP(T_Convention[[#This Row],[NumL]],T_TraitDi[#Data],COLUMN(T_TraitDi[Colonne5]),FALSE),""),"[hh]:mm"))</f>
        <v>#N/A</v>
      </c>
      <c r="AD281" s="284" t="e">
        <f>IF(VLOOKUP(T_Convention[[#This Row],[NumL]],T_TraitDi[#Data],COLUMN(T_TraitDi[Colonne6]),FALSE)=0,"",TEXT(IFERROR(VLOOKUP(T_Convention[[#This Row],[NumL]],T_TraitDi[#Data],COLUMN(T_TraitDi[Colonne6]),FALSE),""),"[hh]:mm"))</f>
        <v>#N/A</v>
      </c>
      <c r="AE281" s="284" t="e">
        <f>IF(VLOOKUP(T_Convention[[#This Row],[NumL]],T_TraitDi[#Data],COLUMN(T_TraitDi[Colonne7]),FALSE)=0,"",TEXT(IFERROR(VLOOKUP(T_Convention[[#This Row],[NumL]],T_TraitDi[#Data],COLUMN(T_TraitDi[Colonne7]),FALSE),""),"[hh]:mm"))</f>
        <v>#N/A</v>
      </c>
      <c r="AF281" s="284" t="e">
        <f>IF(VLOOKUP(T_Convention[[#This Row],[NumL]],T_TraitDi[#Data],COLUMN(T_TraitDi[Colonne8]),FALSE)=0,"",TEXT(IFERROR(VLOOKUP(T_Convention[[#This Row],[NumL]],T_TraitDi[#Data],COLUMN(T_TraitDi[Colonne8]),FALSE),""),"[hh]:mm"))</f>
        <v>#N/A</v>
      </c>
      <c r="AG281" s="284" t="str">
        <f>IFERROR(VLOOKUP(T_Convention[[#This Row],[NumL]],T_TraitDi[#Data],COLUMN(T_TraitDi[Mardi]),FALSE),"")</f>
        <v/>
      </c>
      <c r="AH281" s="284" t="e">
        <f>IF(VLOOKUP(T_Convention[[#This Row],[NumL]],T_TraitDi[#Data],COLUMN(T_TraitDi[Colonne1]),FALSE)=0,"",TEXT(IFERROR(VLOOKUP(T_Convention[[#This Row],[NumL]],T_TraitDi[#Data],COLUMN(T_TraitDi[Colonne1]),FALSE),""),"[hh]:mm"))</f>
        <v>#N/A</v>
      </c>
      <c r="AI281" s="284" t="e">
        <f>IF(VLOOKUP(T_Convention[[#This Row],[NumL]],T_TraitDi[#Data],COLUMN(T_TraitDi[Colonne9]),FALSE)=0,"",TEXT(IFERROR(VLOOKUP(T_Convention[[#This Row],[NumL]],T_TraitDi[#Data],COLUMN(T_TraitDi[Colonne9]),FALSE),""),"[hh]:mm"))</f>
        <v>#N/A</v>
      </c>
      <c r="AJ281" s="284" t="str">
        <f>IFERROR(VLOOKUP(T_Convention[[#This Row],[NumL]],T_TraitDi[#Data],COLUMN(T_TraitDi[Colonne10]),FALSE),"")</f>
        <v/>
      </c>
      <c r="AK281" s="284" t="e">
        <f>IF(VLOOKUP(T_Convention[[#This Row],[NumL]],T_TraitDi[#Data],COLUMN(T_TraitDi[Colonne11]),FALSE)=0,"",TEXT(IFERROR(VLOOKUP(T_Convention[[#This Row],[NumL]],T_TraitDi[#Data],COLUMN(T_TraitDi[Colonne11]),FALSE),""),"[hh]:mm"))</f>
        <v>#N/A</v>
      </c>
      <c r="AL281" s="284" t="e">
        <f>IF(VLOOKUP(T_Convention[[#This Row],[NumL]],T_TraitDi[#Data],COLUMN(T_TraitDi[Colonne12]),FALSE)=0,"",TEXT(IFERROR(VLOOKUP(T_Convention[[#This Row],[NumL]],T_TraitDi[#Data],COLUMN(T_TraitDi[Colonne12]),FALSE),""),"[hh]:mm"))</f>
        <v>#N/A</v>
      </c>
      <c r="AM281" s="284" t="e">
        <f>IF(VLOOKUP(T_Convention[[#This Row],[NumL]],T_TraitDi[#Data],COLUMN(T_TraitDi[Colonne14]),FALSE)=0,"",TEXT(IFERROR(VLOOKUP(T_Convention[[#This Row],[NumL]],T_TraitDi[#Data],COLUMN(T_TraitDi[Colonne14]),FALSE),""),"[hh]:mm"))</f>
        <v>#N/A</v>
      </c>
      <c r="AN281" s="284" t="str">
        <f>IFERROR(VLOOKUP(T_Convention[[#This Row],[NumL]],T_TraitDi[#Data],COLUMN(T_TraitDi[Mercredi]),FALSE),"")</f>
        <v/>
      </c>
      <c r="AO281" s="284" t="e">
        <f>IF(VLOOKUP(T_Convention[[#This Row],[NumL]],T_TraitDi[#Data],COLUMN(T_TraitDi[Colonne15]),FALSE)=0,"",TEXT(IFERROR(VLOOKUP(T_Convention[[#This Row],[NumL]],T_TraitDi[#Data],COLUMN(T_TraitDi[Colonne15]),FALSE),""),"[hh]:mm"))</f>
        <v>#N/A</v>
      </c>
      <c r="AP281" s="284" t="e">
        <f>IF(VLOOKUP(T_Convention[[#This Row],[NumL]],T_TraitDi[#Data],COLUMN(T_TraitDi[Colonne16]),FALSE)=0,"",TEXT(IFERROR(VLOOKUP(T_Convention[[#This Row],[NumL]],T_TraitDi[#Data],COLUMN(T_TraitDi[Colonne16]),FALSE),""),"[hh]:mm"))</f>
        <v>#N/A</v>
      </c>
      <c r="AQ281" s="284" t="str">
        <f>IFERROR(VLOOKUP(T_Convention[[#This Row],[NumL]],T_TraitDi[#Data],COLUMN(T_TraitDi[Colonne17]),FALSE),"")</f>
        <v/>
      </c>
      <c r="AR281" s="284" t="e">
        <f>IF(VLOOKUP(T_Convention[[#This Row],[NumL]],T_TraitDi[#Data],COLUMN(T_TraitDi[Colonne18]),FALSE)=0,"",TEXT(IFERROR(VLOOKUP(T_Convention[[#This Row],[NumL]],T_TraitDi[#Data],COLUMN(T_TraitDi[Colonne18]),FALSE),""),"[hh]:mm"))</f>
        <v>#N/A</v>
      </c>
      <c r="AS281" s="284" t="e">
        <f>IF(VLOOKUP(T_Convention[[#This Row],[NumL]],T_TraitDi[#Data],COLUMN(T_TraitDi[Colonne19]),FALSE)=0,"",TEXT(IFERROR(VLOOKUP(T_Convention[[#This Row],[NumL]],T_TraitDi[#Data],COLUMN(T_TraitDi[Colonne19]),FALSE),""),"[hh]:mm"))</f>
        <v>#N/A</v>
      </c>
      <c r="AT281" s="284" t="e">
        <f>IF(VLOOKUP(T_Convention[[#This Row],[NumL]],T_TraitDi[#Data],COLUMN(T_TraitDi[Colonne20]),FALSE)=0,"",TEXT(IFERROR(VLOOKUP(T_Convention[[#This Row],[NumL]],T_TraitDi[#Data],COLUMN(T_TraitDi[Colonne20]),FALSE),""),"[hh]:mm"))</f>
        <v>#N/A</v>
      </c>
      <c r="AU281" s="284" t="str">
        <f>IFERROR(VLOOKUP(T_Convention[[#This Row],[NumL]],T_TraitDi[#Data],COLUMN(T_TraitDi[Jeudi]),FALSE),"")</f>
        <v/>
      </c>
      <c r="AV281" s="284" t="e">
        <f>IF(VLOOKUP(T_Convention[[#This Row],[NumL]],T_TraitDi[#Data],COLUMN(T_TraitDi[Colonne21]),FALSE)=0,"",TEXT(IFERROR(VLOOKUP(T_Convention[[#This Row],[NumL]],T_TraitDi[#Data],COLUMN(T_TraitDi[Colonne21]),FALSE),""),"[hh]:mm"))</f>
        <v>#N/A</v>
      </c>
      <c r="AW281" s="284" t="e">
        <f>IF(VLOOKUP(T_Convention[[#This Row],[NumL]],T_TraitDi[#Data],COLUMN(T_TraitDi[Colonne22]),FALSE)=0,"",TEXT(IFERROR(VLOOKUP(T_Convention[[#This Row],[NumL]],T_TraitDi[#Data],COLUMN(T_TraitDi[Colonne22]),FALSE),""),"[hh]:mm"))</f>
        <v>#N/A</v>
      </c>
      <c r="AX281" s="284" t="str">
        <f>IFERROR(VLOOKUP(T_Convention[[#This Row],[NumL]],T_TraitDi[#Data],COLUMN(T_TraitDi[Colonne23]),FALSE),"")</f>
        <v/>
      </c>
      <c r="AY281" s="284" t="e">
        <f>IF(VLOOKUP(T_Convention[[#This Row],[NumL]],T_TraitDi[#Data],COLUMN(T_TraitDi[Colonne24]),FALSE)=0,"",TEXT(IFERROR(VLOOKUP(T_Convention[[#This Row],[NumL]],T_TraitDi[#Data],COLUMN(T_TraitDi[Colonne24]),FALSE),""),"[hh]:mm"))</f>
        <v>#N/A</v>
      </c>
      <c r="AZ281" s="284" t="e">
        <f>IF(VLOOKUP(T_Convention[[#This Row],[NumL]],T_TraitDi[#Data],COLUMN(T_TraitDi[Colonne25]),FALSE)=0,"",TEXT(IFERROR(VLOOKUP(T_Convention[[#This Row],[NumL]],T_TraitDi[#Data],COLUMN(T_TraitDi[Colonne25]),FALSE),""),"[hh]:mm"))</f>
        <v>#N/A</v>
      </c>
      <c r="BA281" s="284" t="e">
        <f>IF(VLOOKUP(T_Convention[[#This Row],[NumL]],T_TraitDi[#Data],COLUMN(T_TraitDi[Colonne26]),FALSE)=0,"",TEXT(IFERROR(VLOOKUP(T_Convention[[#This Row],[NumL]],T_TraitDi[#Data],COLUMN(T_TraitDi[Colonne26]),FALSE),""),"[hh]:mm"))</f>
        <v>#N/A</v>
      </c>
      <c r="BB281" s="284" t="str">
        <f>IFERROR(VLOOKUP(T_Convention[[#This Row],[NumL]],T_TraitDi[#Data],COLUMN(T_TraitDi[Vendredi]),FALSE),"")</f>
        <v/>
      </c>
      <c r="BC281" s="284" t="e">
        <f>IF(VLOOKUP(T_Convention[[#This Row],[NumL]],T_TraitDi[#Data],COLUMN(T_TraitDi[Colonne27]),FALSE)=0,"",TEXT(IFERROR(VLOOKUP(T_Convention[[#This Row],[NumL]],T_TraitDi[#Data],COLUMN(T_TraitDi[Colonne27]),FALSE),""),"[hh]:mm"))</f>
        <v>#N/A</v>
      </c>
      <c r="BD281" s="284" t="e">
        <f>IF(VLOOKUP(T_Convention[[#This Row],[NumL]],T_TraitDi[#Data],COLUMN(T_TraitDi[Colonne28]),FALSE)=0,"",TEXT(IFERROR(VLOOKUP(T_Convention[[#This Row],[NumL]],T_TraitDi[#Data],COLUMN(T_TraitDi[Colonne28]),FALSE),""),"[hh]:mm"))</f>
        <v>#N/A</v>
      </c>
      <c r="BE281" s="284" t="str">
        <f>IFERROR(VLOOKUP(T_Convention[[#This Row],[NumL]],T_TraitDi[#Data],COLUMN(T_TraitDi[Colonne29]),FALSE),"")</f>
        <v/>
      </c>
      <c r="BF281" s="284" t="e">
        <f>IF(VLOOKUP(T_Convention[[#This Row],[NumL]],T_TraitDi[#Data],COLUMN(T_TraitDi[Colonne30]),FALSE)=0,"",TEXT(IFERROR(VLOOKUP(T_Convention[[#This Row],[NumL]],T_TraitDi[#Data],COLUMN(T_TraitDi[Colonne30]),FALSE),""),"[hh]:mm"))</f>
        <v>#N/A</v>
      </c>
      <c r="BG281" s="284" t="e">
        <f>IF(VLOOKUP(T_Convention[[#This Row],[NumL]],T_TraitDi[#Data],COLUMN(T_TraitDi[Colonne31]),FALSE)=0,"",TEXT(IFERROR(VLOOKUP(T_Convention[[#This Row],[NumL]],T_TraitDi[#Data],COLUMN(T_TraitDi[Colonne31]),FALSE),""),"[hh]:mm"))</f>
        <v>#N/A</v>
      </c>
      <c r="BH281" s="284" t="e">
        <f>IF(VLOOKUP(T_Convention[[#This Row],[NumL]],T_TraitDi[#Data],COLUMN(T_TraitDi[Colonne32]),FALSE)=0,"",TEXT(IFERROR(VLOOKUP(T_Convention[[#This Row],[NumL]],T_TraitDi[#Data],COLUMN(T_TraitDi[Colonne32]),FALSE),""),"[hh]:mm"))</f>
        <v>#N/A</v>
      </c>
      <c r="BI281" s="284" t="str">
        <f>IFERROR(VLOOKUP(T_Convention[[#This Row],[NumL]],T_TraitDi[#Data],COLUMN(T_TraitDi[NbJTW]),FALSE),"")</f>
        <v/>
      </c>
      <c r="BJ281" s="284" t="e">
        <f>IF(VLOOKUP(T_Convention[[#This Row],[NumL]],T_TraitDi[#Data],COLUMN(T_TraitDi[NbhTW]),FALSE)=0,"",TEXT(IFERROR(VLOOKUP(T_Convention[[#This Row],[NumL]],T_TraitDi[#Data],COLUMN(T_TraitDi[NbhTW]),FALSE),""),"[hh]:mm"))</f>
        <v>#N/A</v>
      </c>
      <c r="BK281" s="286" t="e">
        <f>IF(VLOOKUP(T_Convention[[#This Row],[NumL]],T_TraitDi[#Data],COLUMN(T_TraitDi[Nbhheb]),FALSE)=0,"",TEXT(IFERROR(VLOOKUP(T_Convention[[#This Row],[NumL]],T_TraitDi[#Data],COLUMN(T_TraitDi[Nbhheb]),FALSE),""),"[hh]:mm"))</f>
        <v>#N/A</v>
      </c>
      <c r="BL281" s="287" t="str">
        <f>IFERROR(VLOOKUP(VLOOKUP(T_Convention[[#This Row],[NumL]],T_TraitDi[#Data],COLUMN(T_TraitDi[Type1]),FALSE),TypeTW,2,FALSE),"")</f>
        <v/>
      </c>
      <c r="BM281" s="288" t="str">
        <f>IFERROR(VLOOKUP(T_Convention[[#This Row],[NumL]],T_TraitDi[#Data],COLUMN(T_TraitDi[Rue1]),FALSE),"")</f>
        <v/>
      </c>
      <c r="BN281" s="289" t="str">
        <f>IFERROR(VLOOKUP(T_Convention[[#This Row],[NumL]],T_TraitDi[#Data],COLUMN(T_TraitDi[CP1]),FALSE),"")</f>
        <v/>
      </c>
      <c r="BO281" s="282" t="str">
        <f>IFERROR(VLOOKUP(T_Convention[[#This Row],[NumL]],T_TraitDi[#Data],COLUMN(T_TraitDi[VILLE1]),FALSE),"")</f>
        <v/>
      </c>
      <c r="BP281" s="290" t="str">
        <f>IFERROR(VLOOKUP(VLOOKUP(T_Convention[[#This Row],[NumL]],T_TraitDi[#Data],COLUMN(T_TraitDi[Type2]),FALSE),TypeTW,2,FALSE),"")</f>
        <v/>
      </c>
      <c r="BQ281" s="182" t="str">
        <f>IFERROR(VLOOKUP(T_Convention[[#This Row],[NumL]],T_TraitDi[#Data],COLUMN(T_TraitDi[Rue2]),FALSE),"")</f>
        <v/>
      </c>
      <c r="BR281" s="173" t="str">
        <f>IFERROR(VLOOKUP(T_Convention[[#This Row],[NumL]],T_TraitDi[#Data],COLUMN(T_TraitDi[CP2]),FALSE),"")</f>
        <v/>
      </c>
      <c r="BS281" s="173" t="str">
        <f>IFERROR(VLOOKUP(T_Convention[[#This Row],[NumL]],T_TraitDi[#Data],COLUMN(T_TraitDi[VILLE2]),FALSE),"")</f>
        <v/>
      </c>
      <c r="BT281" s="182" t="str">
        <f>IF(VLOOKUP(T_Convention[[#This Row],[NumL]],T_Equipement[#Data],COLUMN(T_Equipement[PC]),FALSE)="","Aucun équipement spécifique directement lié au télétravail",VLOOKUP(T_Convention[[#This Row],[NumL]],T_Equipement[#Data],COLUMN(T_Equipement[PC]),FALSE))</f>
        <v>20-3085</v>
      </c>
      <c r="BU281" s="166" t="str">
        <f>IFERROR(IF(VLOOKUP(T_Convention[[#This Row],[NumL]],T_TraitDi[#Data],COLUMN(T_TraitDi[Plan]),FALSE)="OK","Un planning spécifique de télétravail est annexé à la présente convention.",""),"")</f>
        <v/>
      </c>
      <c r="BV281" s="185"/>
      <c r="BW281" s="164" t="e">
        <f>IF(VLOOKUP(T_Convention[[#This Row],[NumL]],T_suiviDi[#Data],COLUMN(T_suiviDi[Entité]),FALSE)="","",VLOOKUP(T_Convention[[#This Row],[NumL]],T_suiviDi[#Data],COLUMN(T_suiviDi[Entité]),FALSE))</f>
        <v>#N/A</v>
      </c>
      <c r="BX281" s="164" t="str">
        <f>IF(VLOOKUP(T_Convention[[#This Row],[NumL]],T_Commission[#Data],COLUMN(T_Commission[envoi confirm TW]),FALSE)="","",VLOOKUP(T_Convention[[#This Row],[NumL]],T_Commission[#Data],COLUMN(T_Commission[envoi confirm TW]),FALSE))</f>
        <v>Oui</v>
      </c>
      <c r="BY28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1" s="265">
        <f>VLOOKUP(T_Convention[[#This Row],[NumL]],T_Commission[#Data],COLUMN(T_Commission[Commentaire]),FALSE)</f>
        <v>0</v>
      </c>
      <c r="CA281" s="255" t="str">
        <f>IF(VLOOKUP(T_Convention[[#This Row],[NumL]],T_Commission[#Data],COLUMN(T_Commission[Encadrant Email]),FALSE)="","",VLOOKUP(T_Convention[[#This Row],[NumL]],T_Commission[#Data],COLUMN(T_Commission[Encadrant Email]),FALSE))</f>
        <v/>
      </c>
      <c r="CB281" s="353" t="e">
        <f>VLOOKUP(T_Convention[[#This Row],[NumL]],T_TraitDi[#Data],COLUMN(T_TraitDi[NbJTot]),FALSE)</f>
        <v>#N/A</v>
      </c>
      <c r="CC281" s="353" t="e">
        <f>VLOOKUP(T_Convention[[#This Row],[NumL]],T_TraitDi[#Data],COLUMN(T_TraitDi[Reg Ponct]),FALSE)</f>
        <v>#N/A</v>
      </c>
      <c r="CD281" s="348" t="str">
        <f>IF(T_Convention[[#This Row],[Final]]&lt;&gt;"",VLOOKUP(T_Convention[[#This Row],[NumL]],T_suiviDi[#Data],COLUMN((T_suiviDi[Statut])),FALSE),"")</f>
        <v/>
      </c>
    </row>
    <row r="282" spans="1:82" s="106" customFormat="1" ht="18.75" customHeight="1" x14ac:dyDescent="0.25">
      <c r="A282" s="160">
        <v>353</v>
      </c>
      <c r="B282" s="281" t="str">
        <f>VLOOKUP(T_Convention[[#This Row],[NumL]],T_Commission[#Data],COLUMN(T_Commission[FINAL]),FALSE)</f>
        <v/>
      </c>
      <c r="C282" s="162"/>
      <c r="D282" s="95" t="e">
        <f>IF(VLOOKUP(T_Convention[[#This Row],[NumL]],T_TraitDi[#Data],COLUMN(T_TraitDi[WebC]),FALSE)="","",VLOOKUP(T_Convention[[#This Row],[NumL]],T_TraitDi[#Data],COLUMN(T_TraitDi[WebC]),FALSE))</f>
        <v>#N/A</v>
      </c>
      <c r="E282" s="163" t="str">
        <f t="shared" si="20"/>
        <v>12 janvier 2021</v>
      </c>
      <c r="F282" s="282" t="str">
        <f>IF(T_Convention[[#This Row],[Final]]&lt;&gt;"",VLOOKUP(T_Convention[[#This Row],[NumL]],T_suiviDi[#Data],COLUMN((T_suiviDi[Civ.])),FALSE),"")</f>
        <v/>
      </c>
      <c r="G282" s="283" t="str">
        <f>IF(T_Convention[[#This Row],[Final]]&lt;&gt;"",VLOOKUP(T_Convention[[#This Row],[NumL]],T_suiviDi[#Data],COLUMN((T_suiviDi[Nom])),FALSE),"")</f>
        <v/>
      </c>
      <c r="H282" s="282" t="str">
        <f>IF(T_Convention[[#This Row],[Final]]&lt;&gt;"",VLOOKUP(T_Convention[[#This Row],[NumL]],T_suiviDi[#Data],COLUMN((T_suiviDi[Prénom])),FALSE),"")</f>
        <v/>
      </c>
      <c r="I282" s="282" t="e">
        <f>VLOOKUP(T_Convention[[#This Row],[NumL]],T_suiviDi[#Data],COLUMN((T_suiviDi[[#This Row],[Email]])),FALSE)</f>
        <v>#VALUE!</v>
      </c>
      <c r="J282" s="282" t="e">
        <f>IF(VLOOKUP(T_Convention[[#This Row],[NumL]],T_suiviDi[#Data],COLUMN(T_suiviDi[[#This Row],[Fonction]]),FALSE)="","",VLOOKUP(T_Convention[[#This Row],[NumL]],T_suiviDi[#Data],COLUMN(T_suiviDi[[#This Row],[Fonction]]),FALSE))</f>
        <v>#VALUE!</v>
      </c>
      <c r="K282" s="282" t="e">
        <f>IF(VLOOKUP(T_Convention[[#This Row],[NumL]],T_suiviDi[#Data],COLUMN(T_suiviDi[[#This Row],[Grade]]),FALSE)="","",VLOOKUP(T_Convention[[#This Row],[NumL]],T_suiviDi[#Data],COLUMN(T_suiviDi[[#This Row],[Grade]]),FALSE))</f>
        <v>#VALUE!</v>
      </c>
      <c r="L282" s="282" t="e">
        <f>IF(VLOOKUP(T_Convention[[#This Row],[NumL]],T_suiviDi[#Data],COLUMN(T_suiviDi[[#This Row],[Service ]]),FALSE)="","",VLOOKUP(T_Convention[[#This Row],[NumL]],T_suiviDi[#Data],COLUMN(T_suiviDi[[#This Row],[Service ]]),FALSE))</f>
        <v>#VALUE!</v>
      </c>
      <c r="M282" s="314" t="str">
        <f t="shared" si="21"/>
        <v>01 septembre 2021</v>
      </c>
      <c r="N282" s="314" t="str">
        <f t="shared" si="22"/>
        <v>30 novembre 2021</v>
      </c>
      <c r="O282" s="284" t="str">
        <f t="shared" si="23"/>
        <v>30 novembre 2021</v>
      </c>
      <c r="P282" s="282" t="e">
        <f>IF(VLOOKUP(T_Convention[[#This Row],[NumL]],T_TraitDi[#Data],COLUMN(T_TraitDi[M1]),FALSE)="","",VLOOKUP(T_Convention[[#This Row],[NumL]],T_TraitDi[#Data],COLUMN(T_TraitDi[M1]),FALSE))</f>
        <v>#N/A</v>
      </c>
      <c r="Q282" s="282" t="e">
        <f>IF(VLOOKUP(T_Convention[[#This Row],[NumL]],T_TraitDi[#Data],COLUMN(T_TraitDi[M2]),FALSE)="","",VLOOKUP(T_Convention[[#This Row],[NumL]],T_TraitDi[#Data],COLUMN(T_TraitDi[M2]),FALSE))</f>
        <v>#N/A</v>
      </c>
      <c r="R282" s="282" t="e">
        <f>IF(VLOOKUP(T_Convention[[#This Row],[NumL]],T_TraitDi[#Data],COLUMN(T_TraitDi[M3]),FALSE)="","",VLOOKUP(T_Convention[[#This Row],[NumL]],T_TraitDi[#Data],COLUMN(T_TraitDi[M3]),FALSE))</f>
        <v>#N/A</v>
      </c>
      <c r="S282" s="282" t="e">
        <f>IF(VLOOKUP(T_Convention[[#This Row],[NumL]],T_TraitDi[#Data],COLUMN(T_TraitDi[M4]),FALSE)="","",VLOOKUP(T_Convention[[#This Row],[NumL]],T_TraitDi[#Data],COLUMN(T_TraitDi[M4]),FALSE))</f>
        <v>#N/A</v>
      </c>
      <c r="T282" s="282" t="e">
        <f>IF(VLOOKUP(T_Convention[[#This Row],[NumL]],T_TraitDi[#Data],COLUMN(T_TraitDi[M5]),FALSE)="","",VLOOKUP(T_Convention[[#This Row],[NumL]],T_TraitDi[#Data],COLUMN(T_TraitDi[M5]),FALSE))</f>
        <v>#N/A</v>
      </c>
      <c r="U282" s="282" t="e">
        <f>IF(VLOOKUP(T_Convention[[#This Row],[NumL]],T_TraitDi[#Data],COLUMN(T_TraitDi[M6]),FALSE)="","",VLOOKUP(T_Convention[[#This Row],[NumL]],T_TraitDi[#Data],COLUMN(T_TraitDi[M6]),FALSE))</f>
        <v>#N/A</v>
      </c>
      <c r="V282" s="314" t="e">
        <f t="shared" si="24"/>
        <v>#N/A</v>
      </c>
      <c r="W282" s="284" t="str">
        <f>IFERROR(TEXT(VLOOKUP(T_Convention[[#This Row],[NumL]],T_TraitDi[#Data],COLUMN(T_TraitDi[Q2]),FALSE),"###%"),"")</f>
        <v/>
      </c>
      <c r="X282" s="285" t="e">
        <f>VLOOKUP(T_Convention[[#This Row],[NumL]],T_TraitDi[#Data],COLUMN(T_TraitDi[Reg Ponct]),FALSE)</f>
        <v>#N/A</v>
      </c>
      <c r="Y282" s="285" t="e">
        <f>VLOOKUP(T_Convention[NumL],T_TraitDi[#Data],COLUMN(T_TraitDi[Jours flottants]),FALSE)</f>
        <v>#N/A</v>
      </c>
      <c r="Z282" s="284" t="str">
        <f>IFERROR(VLOOKUP(T_Convention[[#This Row],[NumL]],T_TraitDi[#Data],COLUMN(T_TraitDi[Lundi]),FALSE),"")</f>
        <v/>
      </c>
      <c r="AA282" s="284" t="e">
        <f>IF(VLOOKUP(T_Convention[[#This Row],[NumL]],T_TraitDi[#Data],COLUMN(T_TraitDi[Colonne3]),FALSE)=0,"",TEXT(IFERROR(VLOOKUP(T_Convention[[#This Row],[NumL]],T_TraitDi[#Data],COLUMN(T_TraitDi[Colonne3]),FALSE),""),"[hh]:mm"))</f>
        <v>#N/A</v>
      </c>
      <c r="AB282" s="284" t="e">
        <f>IF(VLOOKUP(T_Convention[[#This Row],[NumL]],T_TraitDi[#Data],COLUMN(T_TraitDi[Colonne4]),FALSE)=0,"",TEXT(IFERROR(VLOOKUP(T_Convention[[#This Row],[NumL]],T_TraitDi[#Data],COLUMN(T_TraitDi[Colonne4]),FALSE),""),"[hh]:mm"))</f>
        <v>#N/A</v>
      </c>
      <c r="AC282" s="284" t="e">
        <f>IF(VLOOKUP(T_Convention[[#This Row],[NumL]],T_TraitDi[#Data],COLUMN(T_TraitDi[Colonne5]),FALSE)=0,"",TEXT(IFERROR(VLOOKUP(T_Convention[[#This Row],[NumL]],T_TraitDi[#Data],COLUMN(T_TraitDi[Colonne5]),FALSE),""),"[hh]:mm"))</f>
        <v>#N/A</v>
      </c>
      <c r="AD282" s="284" t="e">
        <f>IF(VLOOKUP(T_Convention[[#This Row],[NumL]],T_TraitDi[#Data],COLUMN(T_TraitDi[Colonne6]),FALSE)=0,"",TEXT(IFERROR(VLOOKUP(T_Convention[[#This Row],[NumL]],T_TraitDi[#Data],COLUMN(T_TraitDi[Colonne6]),FALSE),""),"[hh]:mm"))</f>
        <v>#N/A</v>
      </c>
      <c r="AE282" s="284" t="e">
        <f>IF(VLOOKUP(T_Convention[[#This Row],[NumL]],T_TraitDi[#Data],COLUMN(T_TraitDi[Colonne7]),FALSE)=0,"",TEXT(IFERROR(VLOOKUP(T_Convention[[#This Row],[NumL]],T_TraitDi[#Data],COLUMN(T_TraitDi[Colonne7]),FALSE),""),"[hh]:mm"))</f>
        <v>#N/A</v>
      </c>
      <c r="AF282" s="284" t="e">
        <f>IF(VLOOKUP(T_Convention[[#This Row],[NumL]],T_TraitDi[#Data],COLUMN(T_TraitDi[Colonne8]),FALSE)=0,"",TEXT(IFERROR(VLOOKUP(T_Convention[[#This Row],[NumL]],T_TraitDi[#Data],COLUMN(T_TraitDi[Colonne8]),FALSE),""),"[hh]:mm"))</f>
        <v>#N/A</v>
      </c>
      <c r="AG282" s="284" t="str">
        <f>IFERROR(VLOOKUP(T_Convention[[#This Row],[NumL]],T_TraitDi[#Data],COLUMN(T_TraitDi[Mardi]),FALSE),"")</f>
        <v/>
      </c>
      <c r="AH282" s="284" t="e">
        <f>IF(VLOOKUP(T_Convention[[#This Row],[NumL]],T_TraitDi[#Data],COLUMN(T_TraitDi[Colonne1]),FALSE)=0,"",TEXT(IFERROR(VLOOKUP(T_Convention[[#This Row],[NumL]],T_TraitDi[#Data],COLUMN(T_TraitDi[Colonne1]),FALSE),""),"[hh]:mm"))</f>
        <v>#N/A</v>
      </c>
      <c r="AI282" s="284" t="e">
        <f>IF(VLOOKUP(T_Convention[[#This Row],[NumL]],T_TraitDi[#Data],COLUMN(T_TraitDi[Colonne9]),FALSE)=0,"",TEXT(IFERROR(VLOOKUP(T_Convention[[#This Row],[NumL]],T_TraitDi[#Data],COLUMN(T_TraitDi[Colonne9]),FALSE),""),"[hh]:mm"))</f>
        <v>#N/A</v>
      </c>
      <c r="AJ282" s="284" t="str">
        <f>IFERROR(VLOOKUP(T_Convention[[#This Row],[NumL]],T_TraitDi[#Data],COLUMN(T_TraitDi[Colonne10]),FALSE),"")</f>
        <v/>
      </c>
      <c r="AK282" s="284" t="e">
        <f>IF(VLOOKUP(T_Convention[[#This Row],[NumL]],T_TraitDi[#Data],COLUMN(T_TraitDi[Colonne11]),FALSE)=0,"",TEXT(IFERROR(VLOOKUP(T_Convention[[#This Row],[NumL]],T_TraitDi[#Data],COLUMN(T_TraitDi[Colonne11]),FALSE),""),"[hh]:mm"))</f>
        <v>#N/A</v>
      </c>
      <c r="AL282" s="284" t="e">
        <f>IF(VLOOKUP(T_Convention[[#This Row],[NumL]],T_TraitDi[#Data],COLUMN(T_TraitDi[Colonne12]),FALSE)=0,"",TEXT(IFERROR(VLOOKUP(T_Convention[[#This Row],[NumL]],T_TraitDi[#Data],COLUMN(T_TraitDi[Colonne12]),FALSE),""),"[hh]:mm"))</f>
        <v>#N/A</v>
      </c>
      <c r="AM282" s="284" t="e">
        <f>IF(VLOOKUP(T_Convention[[#This Row],[NumL]],T_TraitDi[#Data],COLUMN(T_TraitDi[Colonne14]),FALSE)=0,"",TEXT(IFERROR(VLOOKUP(T_Convention[[#This Row],[NumL]],T_TraitDi[#Data],COLUMN(T_TraitDi[Colonne14]),FALSE),""),"[hh]:mm"))</f>
        <v>#N/A</v>
      </c>
      <c r="AN282" s="284" t="str">
        <f>IFERROR(VLOOKUP(T_Convention[[#This Row],[NumL]],T_TraitDi[#Data],COLUMN(T_TraitDi[Mercredi]),FALSE),"")</f>
        <v/>
      </c>
      <c r="AO282" s="284" t="e">
        <f>IF(VLOOKUP(T_Convention[[#This Row],[NumL]],T_TraitDi[#Data],COLUMN(T_TraitDi[Colonne15]),FALSE)=0,"",TEXT(IFERROR(VLOOKUP(T_Convention[[#This Row],[NumL]],T_TraitDi[#Data],COLUMN(T_TraitDi[Colonne15]),FALSE),""),"[hh]:mm"))</f>
        <v>#N/A</v>
      </c>
      <c r="AP282" s="284" t="e">
        <f>IF(VLOOKUP(T_Convention[[#This Row],[NumL]],T_TraitDi[#Data],COLUMN(T_TraitDi[Colonne16]),FALSE)=0,"",TEXT(IFERROR(VLOOKUP(T_Convention[[#This Row],[NumL]],T_TraitDi[#Data],COLUMN(T_TraitDi[Colonne16]),FALSE),""),"[hh]:mm"))</f>
        <v>#N/A</v>
      </c>
      <c r="AQ282" s="284" t="str">
        <f>IFERROR(VLOOKUP(T_Convention[[#This Row],[NumL]],T_TraitDi[#Data],COLUMN(T_TraitDi[Colonne17]),FALSE),"")</f>
        <v/>
      </c>
      <c r="AR282" s="284" t="e">
        <f>IF(VLOOKUP(T_Convention[[#This Row],[NumL]],T_TraitDi[#Data],COLUMN(T_TraitDi[Colonne18]),FALSE)=0,"",TEXT(IFERROR(VLOOKUP(T_Convention[[#This Row],[NumL]],T_TraitDi[#Data],COLUMN(T_TraitDi[Colonne18]),FALSE),""),"[hh]:mm"))</f>
        <v>#N/A</v>
      </c>
      <c r="AS282" s="284" t="e">
        <f>IF(VLOOKUP(T_Convention[[#This Row],[NumL]],T_TraitDi[#Data],COLUMN(T_TraitDi[Colonne19]),FALSE)=0,"",TEXT(IFERROR(VLOOKUP(T_Convention[[#This Row],[NumL]],T_TraitDi[#Data],COLUMN(T_TraitDi[Colonne19]),FALSE),""),"[hh]:mm"))</f>
        <v>#N/A</v>
      </c>
      <c r="AT282" s="284" t="e">
        <f>IF(VLOOKUP(T_Convention[[#This Row],[NumL]],T_TraitDi[#Data],COLUMN(T_TraitDi[Colonne20]),FALSE)=0,"",TEXT(IFERROR(VLOOKUP(T_Convention[[#This Row],[NumL]],T_TraitDi[#Data],COLUMN(T_TraitDi[Colonne20]),FALSE),""),"[hh]:mm"))</f>
        <v>#N/A</v>
      </c>
      <c r="AU282" s="284" t="str">
        <f>IFERROR(VLOOKUP(T_Convention[[#This Row],[NumL]],T_TraitDi[#Data],COLUMN(T_TraitDi[Jeudi]),FALSE),"")</f>
        <v/>
      </c>
      <c r="AV282" s="284" t="e">
        <f>IF(VLOOKUP(T_Convention[[#This Row],[NumL]],T_TraitDi[#Data],COLUMN(T_TraitDi[Colonne21]),FALSE)=0,"",TEXT(IFERROR(VLOOKUP(T_Convention[[#This Row],[NumL]],T_TraitDi[#Data],COLUMN(T_TraitDi[Colonne21]),FALSE),""),"[hh]:mm"))</f>
        <v>#N/A</v>
      </c>
      <c r="AW282" s="284" t="e">
        <f>IF(VLOOKUP(T_Convention[[#This Row],[NumL]],T_TraitDi[#Data],COLUMN(T_TraitDi[Colonne22]),FALSE)=0,"",TEXT(IFERROR(VLOOKUP(T_Convention[[#This Row],[NumL]],T_TraitDi[#Data],COLUMN(T_TraitDi[Colonne22]),FALSE),""),"[hh]:mm"))</f>
        <v>#N/A</v>
      </c>
      <c r="AX282" s="284" t="str">
        <f>IFERROR(VLOOKUP(T_Convention[[#This Row],[NumL]],T_TraitDi[#Data],COLUMN(T_TraitDi[Colonne23]),FALSE),"")</f>
        <v/>
      </c>
      <c r="AY282" s="284" t="e">
        <f>IF(VLOOKUP(T_Convention[[#This Row],[NumL]],T_TraitDi[#Data],COLUMN(T_TraitDi[Colonne24]),FALSE)=0,"",TEXT(IFERROR(VLOOKUP(T_Convention[[#This Row],[NumL]],T_TraitDi[#Data],COLUMN(T_TraitDi[Colonne24]),FALSE),""),"[hh]:mm"))</f>
        <v>#N/A</v>
      </c>
      <c r="AZ282" s="284" t="e">
        <f>IF(VLOOKUP(T_Convention[[#This Row],[NumL]],T_TraitDi[#Data],COLUMN(T_TraitDi[Colonne25]),FALSE)=0,"",TEXT(IFERROR(VLOOKUP(T_Convention[[#This Row],[NumL]],T_TraitDi[#Data],COLUMN(T_TraitDi[Colonne25]),FALSE),""),"[hh]:mm"))</f>
        <v>#N/A</v>
      </c>
      <c r="BA282" s="284" t="e">
        <f>IF(VLOOKUP(T_Convention[[#This Row],[NumL]],T_TraitDi[#Data],COLUMN(T_TraitDi[Colonne26]),FALSE)=0,"",TEXT(IFERROR(VLOOKUP(T_Convention[[#This Row],[NumL]],T_TraitDi[#Data],COLUMN(T_TraitDi[Colonne26]),FALSE),""),"[hh]:mm"))</f>
        <v>#N/A</v>
      </c>
      <c r="BB282" s="284" t="str">
        <f>IFERROR(VLOOKUP(T_Convention[[#This Row],[NumL]],T_TraitDi[#Data],COLUMN(T_TraitDi[Vendredi]),FALSE),"")</f>
        <v/>
      </c>
      <c r="BC282" s="284" t="e">
        <f>IF(VLOOKUP(T_Convention[[#This Row],[NumL]],T_TraitDi[#Data],COLUMN(T_TraitDi[Colonne27]),FALSE)=0,"",TEXT(IFERROR(VLOOKUP(T_Convention[[#This Row],[NumL]],T_TraitDi[#Data],COLUMN(T_TraitDi[Colonne27]),FALSE),""),"[hh]:mm"))</f>
        <v>#N/A</v>
      </c>
      <c r="BD282" s="284" t="e">
        <f>IF(VLOOKUP(T_Convention[[#This Row],[NumL]],T_TraitDi[#Data],COLUMN(T_TraitDi[Colonne28]),FALSE)=0,"",TEXT(IFERROR(VLOOKUP(T_Convention[[#This Row],[NumL]],T_TraitDi[#Data],COLUMN(T_TraitDi[Colonne28]),FALSE),""),"[hh]:mm"))</f>
        <v>#N/A</v>
      </c>
      <c r="BE282" s="284" t="str">
        <f>IFERROR(VLOOKUP(T_Convention[[#This Row],[NumL]],T_TraitDi[#Data],COLUMN(T_TraitDi[Colonne29]),FALSE),"")</f>
        <v/>
      </c>
      <c r="BF282" s="284" t="e">
        <f>IF(VLOOKUP(T_Convention[[#This Row],[NumL]],T_TraitDi[#Data],COLUMN(T_TraitDi[Colonne30]),FALSE)=0,"",TEXT(IFERROR(VLOOKUP(T_Convention[[#This Row],[NumL]],T_TraitDi[#Data],COLUMN(T_TraitDi[Colonne30]),FALSE),""),"[hh]:mm"))</f>
        <v>#N/A</v>
      </c>
      <c r="BG282" s="284" t="e">
        <f>IF(VLOOKUP(T_Convention[[#This Row],[NumL]],T_TraitDi[#Data],COLUMN(T_TraitDi[Colonne31]),FALSE)=0,"",TEXT(IFERROR(VLOOKUP(T_Convention[[#This Row],[NumL]],T_TraitDi[#Data],COLUMN(T_TraitDi[Colonne31]),FALSE),""),"[hh]:mm"))</f>
        <v>#N/A</v>
      </c>
      <c r="BH282" s="284" t="e">
        <f>IF(VLOOKUP(T_Convention[[#This Row],[NumL]],T_TraitDi[#Data],COLUMN(T_TraitDi[Colonne32]),FALSE)=0,"",TEXT(IFERROR(VLOOKUP(T_Convention[[#This Row],[NumL]],T_TraitDi[#Data],COLUMN(T_TraitDi[Colonne32]),FALSE),""),"[hh]:mm"))</f>
        <v>#N/A</v>
      </c>
      <c r="BI282" s="284" t="str">
        <f>IFERROR(VLOOKUP(T_Convention[[#This Row],[NumL]],T_TraitDi[#Data],COLUMN(T_TraitDi[NbJTW]),FALSE),"")</f>
        <v/>
      </c>
      <c r="BJ282" s="284" t="e">
        <f>IF(VLOOKUP(T_Convention[[#This Row],[NumL]],T_TraitDi[#Data],COLUMN(T_TraitDi[NbhTW]),FALSE)=0,"",TEXT(IFERROR(VLOOKUP(T_Convention[[#This Row],[NumL]],T_TraitDi[#Data],COLUMN(T_TraitDi[NbhTW]),FALSE),""),"[hh]:mm"))</f>
        <v>#N/A</v>
      </c>
      <c r="BK282" s="315" t="e">
        <f>IF(VLOOKUP(T_Convention[[#This Row],[NumL]],T_TraitDi[#Data],COLUMN(T_TraitDi[Nbhheb]),FALSE)=0,"",TEXT(IFERROR(VLOOKUP(T_Convention[[#This Row],[NumL]],T_TraitDi[#Data],COLUMN(T_TraitDi[Nbhheb]),FALSE),""),"[hh]:mm"))</f>
        <v>#N/A</v>
      </c>
      <c r="BL282" s="287" t="str">
        <f>IFERROR(VLOOKUP(VLOOKUP(T_Convention[[#This Row],[NumL]],T_TraitDi[#Data],COLUMN(T_TraitDi[Type1]),FALSE),TypeTW,2,FALSE),"")</f>
        <v/>
      </c>
      <c r="BM282" s="288" t="str">
        <f>IFERROR(VLOOKUP(T_Convention[[#This Row],[NumL]],T_TraitDi[#Data],COLUMN(T_TraitDi[Rue1]),FALSE),"")</f>
        <v/>
      </c>
      <c r="BN282" s="289" t="str">
        <f>IFERROR(VLOOKUP(T_Convention[[#This Row],[NumL]],T_TraitDi[#Data],COLUMN(T_TraitDi[CP1]),FALSE),"")</f>
        <v/>
      </c>
      <c r="BO282" s="282" t="str">
        <f>IFERROR(VLOOKUP(T_Convention[[#This Row],[NumL]],T_TraitDi[#Data],COLUMN(T_TraitDi[VILLE1]),FALSE),"")</f>
        <v/>
      </c>
      <c r="BP282" s="290" t="str">
        <f>IFERROR(VLOOKUP(VLOOKUP(T_Convention[[#This Row],[NumL]],T_TraitDi[#Data],COLUMN(T_TraitDi[Type2]),FALSE),TypeTW,2,FALSE),"")</f>
        <v/>
      </c>
      <c r="BQ282" s="310" t="str">
        <f>IFERROR(VLOOKUP(T_Convention[[#This Row],[NumL]],T_TraitDi[#Data],COLUMN(T_TraitDi[Rue2]),FALSE),"")</f>
        <v/>
      </c>
      <c r="BR282" s="290" t="str">
        <f>IFERROR(VLOOKUP(T_Convention[[#This Row],[NumL]],T_TraitDi[#Data],COLUMN(T_TraitDi[CP2]),FALSE),"")</f>
        <v/>
      </c>
      <c r="BS282" s="290" t="str">
        <f>IFERROR(VLOOKUP(T_Convention[[#This Row],[NumL]],T_TraitDi[#Data],COLUMN(T_TraitDi[VILLE2]),FALSE),"")</f>
        <v/>
      </c>
      <c r="BT282"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82" s="314" t="str">
        <f>IFERROR(IF(VLOOKUP(T_Convention[[#This Row],[NumL]],T_TraitDi[#Data],COLUMN(T_TraitDi[Plan]),FALSE)="OK","Un planning spécifique de télétravail est annexé à la présente convention.",""),"")</f>
        <v/>
      </c>
      <c r="BV282" s="291"/>
      <c r="BW282" s="292" t="e">
        <f>IF(VLOOKUP(T_Convention[[#This Row],[NumL]],T_suiviDi[#Data],COLUMN(T_suiviDi[Entité]),FALSE)="","",VLOOKUP(T_Convention[[#This Row],[NumL]],T_suiviDi[#Data],COLUMN(T_suiviDi[Entité]),FALSE))</f>
        <v>#N/A</v>
      </c>
      <c r="BX282" s="311" t="str">
        <f>IF(VLOOKUP(T_Convention[[#This Row],[NumL]],T_Commission[#Data],COLUMN(T_Commission[envoi confirm TW]),FALSE)="","",VLOOKUP(T_Convention[[#This Row],[NumL]],T_Commission[#Data],COLUMN(T_Commission[envoi confirm TW]),FALSE))</f>
        <v>Oui</v>
      </c>
      <c r="BY28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2" s="265">
        <f>VLOOKUP(T_Convention[[#This Row],[NumL]],T_Commission[#Data],COLUMN(T_Commission[Commentaire]),FALSE)</f>
        <v>0</v>
      </c>
      <c r="CA282" s="255" t="str">
        <f>IF(VLOOKUP(T_Convention[[#This Row],[NumL]],T_Commission[#Data],COLUMN(T_Commission[Encadrant Email]),FALSE)="","",VLOOKUP(T_Convention[[#This Row],[NumL]],T_Commission[#Data],COLUMN(T_Commission[Encadrant Email]),FALSE))</f>
        <v/>
      </c>
      <c r="CB282" s="353" t="e">
        <f>VLOOKUP(T_Convention[[#This Row],[NumL]],T_TraitDi[#Data],COLUMN(T_TraitDi[NbJTot]),FALSE)</f>
        <v>#N/A</v>
      </c>
      <c r="CC282" s="353" t="e">
        <f>VLOOKUP(T_Convention[[#This Row],[NumL]],T_TraitDi[#Data],COLUMN(T_TraitDi[Reg Ponct]),FALSE)</f>
        <v>#N/A</v>
      </c>
      <c r="CD282" s="348" t="str">
        <f>IF(T_Convention[[#This Row],[Final]]&lt;&gt;"",VLOOKUP(T_Convention[[#This Row],[NumL]],T_suiviDi[#Data],COLUMN((T_suiviDi[Statut])),FALSE),"")</f>
        <v/>
      </c>
    </row>
    <row r="283" spans="1:82" s="106" customFormat="1" ht="18.75" customHeight="1" x14ac:dyDescent="0.25">
      <c r="A283" s="160">
        <v>192</v>
      </c>
      <c r="B283" s="161" t="str">
        <f>VLOOKUP(T_Convention[[#This Row],[NumL]],T_Commission[#Data],COLUMN(T_Commission[FINAL]),FALSE)</f>
        <v/>
      </c>
      <c r="C283" s="162"/>
      <c r="D283" s="95" t="e">
        <f>IF(VLOOKUP(T_Convention[[#This Row],[NumL]],T_TraitDi[#Data],COLUMN(T_TraitDi[WebC]),FALSE)="","",VLOOKUP(T_Convention[[#This Row],[NumL]],T_TraitDi[#Data],COLUMN(T_TraitDi[WebC]),FALSE))</f>
        <v>#N/A</v>
      </c>
      <c r="E283" s="163" t="str">
        <f t="shared" si="20"/>
        <v>12 janvier 2021</v>
      </c>
      <c r="F283" s="282" t="str">
        <f>IF(T_Convention[[#This Row],[Final]]&lt;&gt;"",VLOOKUP(T_Convention[[#This Row],[NumL]],T_suiviDi[#Data],COLUMN((T_suiviDi[Civ.])),FALSE),"")</f>
        <v/>
      </c>
      <c r="G283" s="283" t="str">
        <f>IF(T_Convention[[#This Row],[Final]]&lt;&gt;"",VLOOKUP(T_Convention[[#This Row],[NumL]],T_suiviDi[#Data],COLUMN((T_suiviDi[Nom])),FALSE),"")</f>
        <v/>
      </c>
      <c r="H283" s="282" t="str">
        <f>IF(T_Convention[[#This Row],[Final]]&lt;&gt;"",VLOOKUP(T_Convention[[#This Row],[NumL]],T_suiviDi[#Data],COLUMN((T_suiviDi[Prénom])),FALSE),"")</f>
        <v/>
      </c>
      <c r="I283" s="282" t="e">
        <f>VLOOKUP(T_Convention[[#This Row],[NumL]],T_suiviDi[#Data],COLUMN((T_suiviDi[[#This Row],[Email]])),FALSE)</f>
        <v>#VALUE!</v>
      </c>
      <c r="J283" s="282" t="e">
        <f>IF(VLOOKUP(T_Convention[[#This Row],[NumL]],T_suiviDi[#Data],COLUMN(T_suiviDi[[#This Row],[Fonction]]),FALSE)="","",VLOOKUP(T_Convention[[#This Row],[NumL]],T_suiviDi[#Data],COLUMN(T_suiviDi[[#This Row],[Fonction]]),FALSE))</f>
        <v>#VALUE!</v>
      </c>
      <c r="K283" s="282" t="e">
        <f>IF(VLOOKUP(T_Convention[[#This Row],[NumL]],T_suiviDi[#Data],COLUMN(T_suiviDi[[#This Row],[Grade]]),FALSE)="","",VLOOKUP(T_Convention[[#This Row],[NumL]],T_suiviDi[#Data],COLUMN(T_suiviDi[[#This Row],[Grade]]),FALSE))</f>
        <v>#VALUE!</v>
      </c>
      <c r="L283" s="282" t="e">
        <f>IF(VLOOKUP(T_Convention[[#This Row],[NumL]],T_suiviDi[#Data],COLUMN(T_suiviDi[[#This Row],[Service ]]),FALSE)="","",VLOOKUP(T_Convention[[#This Row],[NumL]],T_suiviDi[#Data],COLUMN(T_suiviDi[[#This Row],[Service ]]),FALSE))</f>
        <v>#VALUE!</v>
      </c>
      <c r="M283" s="164" t="str">
        <f t="shared" si="21"/>
        <v>01 septembre 2021</v>
      </c>
      <c r="N283" s="164" t="str">
        <f t="shared" si="22"/>
        <v>30 novembre 2021</v>
      </c>
      <c r="O283" s="284" t="str">
        <f t="shared" si="23"/>
        <v>30 novembre 2021</v>
      </c>
      <c r="P283" s="282" t="e">
        <f>IF(VLOOKUP(T_Convention[[#This Row],[NumL]],T_TraitDi[#Data],COLUMN(T_TraitDi[M1]),FALSE)="","",VLOOKUP(T_Convention[[#This Row],[NumL]],T_TraitDi[#Data],COLUMN(T_TraitDi[M1]),FALSE))</f>
        <v>#N/A</v>
      </c>
      <c r="Q283" s="282" t="e">
        <f>IF(VLOOKUP(T_Convention[[#This Row],[NumL]],T_TraitDi[#Data],COLUMN(T_TraitDi[M2]),FALSE)="","",VLOOKUP(T_Convention[[#This Row],[NumL]],T_TraitDi[#Data],COLUMN(T_TraitDi[M2]),FALSE))</f>
        <v>#N/A</v>
      </c>
      <c r="R283" s="282" t="e">
        <f>IF(VLOOKUP(T_Convention[[#This Row],[NumL]],T_TraitDi[#Data],COLUMN(T_TraitDi[M3]),FALSE)="","",VLOOKUP(T_Convention[[#This Row],[NumL]],T_TraitDi[#Data],COLUMN(T_TraitDi[M3]),FALSE))</f>
        <v>#N/A</v>
      </c>
      <c r="S283" s="282" t="e">
        <f>IF(VLOOKUP(T_Convention[[#This Row],[NumL]],T_TraitDi[#Data],COLUMN(T_TraitDi[M4]),FALSE)="","",VLOOKUP(T_Convention[[#This Row],[NumL]],T_TraitDi[#Data],COLUMN(T_TraitDi[M4]),FALSE))</f>
        <v>#N/A</v>
      </c>
      <c r="T283" s="282" t="e">
        <f>IF(VLOOKUP(T_Convention[[#This Row],[NumL]],T_TraitDi[#Data],COLUMN(T_TraitDi[M5]),FALSE)="","",VLOOKUP(T_Convention[[#This Row],[NumL]],T_TraitDi[#Data],COLUMN(T_TraitDi[M5]),FALSE))</f>
        <v>#N/A</v>
      </c>
      <c r="U283" s="282" t="e">
        <f>IF(VLOOKUP(T_Convention[[#This Row],[NumL]],T_TraitDi[#Data],COLUMN(T_TraitDi[M6]),FALSE)="","",VLOOKUP(T_Convention[[#This Row],[NumL]],T_TraitDi[#Data],COLUMN(T_TraitDi[M6]),FALSE))</f>
        <v>#N/A</v>
      </c>
      <c r="V283" s="176" t="e">
        <f t="shared" si="24"/>
        <v>#N/A</v>
      </c>
      <c r="W283" s="284" t="str">
        <f>IFERROR(TEXT(VLOOKUP(T_Convention[[#This Row],[NumL]],T_TraitDi[#Data],COLUMN(T_TraitDi[Q2]),FALSE),"###%"),"")</f>
        <v/>
      </c>
      <c r="X283" s="97" t="e">
        <f>VLOOKUP(T_Convention[[#This Row],[NumL]],T_TraitDi[#Data],COLUMN(T_TraitDi[Reg Ponct]),FALSE)</f>
        <v>#N/A</v>
      </c>
      <c r="Y283" s="97" t="e">
        <f>VLOOKUP(T_Convention[NumL],T_TraitDi[#Data],COLUMN(T_TraitDi[Jours flottants]),FALSE)</f>
        <v>#N/A</v>
      </c>
      <c r="Z283" s="284" t="str">
        <f>IFERROR(VLOOKUP(T_Convention[[#This Row],[NumL]],T_TraitDi[#Data],COLUMN(T_TraitDi[Lundi]),FALSE),"")</f>
        <v/>
      </c>
      <c r="AA283" s="284" t="e">
        <f>IF(VLOOKUP(T_Convention[[#This Row],[NumL]],T_TraitDi[#Data],COLUMN(T_TraitDi[Colonne3]),FALSE)=0,"",TEXT(IFERROR(VLOOKUP(T_Convention[[#This Row],[NumL]],T_TraitDi[#Data],COLUMN(T_TraitDi[Colonne3]),FALSE),""),"[hh]:mm"))</f>
        <v>#N/A</v>
      </c>
      <c r="AB283" s="284" t="e">
        <f>IF(VLOOKUP(T_Convention[[#This Row],[NumL]],T_TraitDi[#Data],COLUMN(T_TraitDi[Colonne4]),FALSE)=0,"",TEXT(IFERROR(VLOOKUP(T_Convention[[#This Row],[NumL]],T_TraitDi[#Data],COLUMN(T_TraitDi[Colonne4]),FALSE),""),"[hh]:mm"))</f>
        <v>#N/A</v>
      </c>
      <c r="AC283" s="284" t="e">
        <f>IF(VLOOKUP(T_Convention[[#This Row],[NumL]],T_TraitDi[#Data],COLUMN(T_TraitDi[Colonne5]),FALSE)=0,"",TEXT(IFERROR(VLOOKUP(T_Convention[[#This Row],[NumL]],T_TraitDi[#Data],COLUMN(T_TraitDi[Colonne5]),FALSE),""),"[hh]:mm"))</f>
        <v>#N/A</v>
      </c>
      <c r="AD283" s="284" t="e">
        <f>IF(VLOOKUP(T_Convention[[#This Row],[NumL]],T_TraitDi[#Data],COLUMN(T_TraitDi[Colonne6]),FALSE)=0,"",TEXT(IFERROR(VLOOKUP(T_Convention[[#This Row],[NumL]],T_TraitDi[#Data],COLUMN(T_TraitDi[Colonne6]),FALSE),""),"[hh]:mm"))</f>
        <v>#N/A</v>
      </c>
      <c r="AE283" s="284" t="e">
        <f>IF(VLOOKUP(T_Convention[[#This Row],[NumL]],T_TraitDi[#Data],COLUMN(T_TraitDi[Colonne7]),FALSE)=0,"",TEXT(IFERROR(VLOOKUP(T_Convention[[#This Row],[NumL]],T_TraitDi[#Data],COLUMN(T_TraitDi[Colonne7]),FALSE),""),"[hh]:mm"))</f>
        <v>#N/A</v>
      </c>
      <c r="AF283" s="284" t="e">
        <f>IF(VLOOKUP(T_Convention[[#This Row],[NumL]],T_TraitDi[#Data],COLUMN(T_TraitDi[Colonne8]),FALSE)=0,"",TEXT(IFERROR(VLOOKUP(T_Convention[[#This Row],[NumL]],T_TraitDi[#Data],COLUMN(T_TraitDi[Colonne8]),FALSE),""),"[hh]:mm"))</f>
        <v>#N/A</v>
      </c>
      <c r="AG283" s="284" t="str">
        <f>IFERROR(VLOOKUP(T_Convention[[#This Row],[NumL]],T_TraitDi[#Data],COLUMN(T_TraitDi[Mardi]),FALSE),"")</f>
        <v/>
      </c>
      <c r="AH283" s="284" t="e">
        <f>IF(VLOOKUP(T_Convention[[#This Row],[NumL]],T_TraitDi[#Data],COLUMN(T_TraitDi[Colonne1]),FALSE)=0,"",TEXT(IFERROR(VLOOKUP(T_Convention[[#This Row],[NumL]],T_TraitDi[#Data],COLUMN(T_TraitDi[Colonne1]),FALSE),""),"[hh]:mm"))</f>
        <v>#N/A</v>
      </c>
      <c r="AI283" s="284" t="e">
        <f>IF(VLOOKUP(T_Convention[[#This Row],[NumL]],T_TraitDi[#Data],COLUMN(T_TraitDi[Colonne9]),FALSE)=0,"",TEXT(IFERROR(VLOOKUP(T_Convention[[#This Row],[NumL]],T_TraitDi[#Data],COLUMN(T_TraitDi[Colonne9]),FALSE),""),"[hh]:mm"))</f>
        <v>#N/A</v>
      </c>
      <c r="AJ283" s="284" t="str">
        <f>IFERROR(VLOOKUP(T_Convention[[#This Row],[NumL]],T_TraitDi[#Data],COLUMN(T_TraitDi[Colonne10]),FALSE),"")</f>
        <v/>
      </c>
      <c r="AK283" s="284" t="e">
        <f>IF(VLOOKUP(T_Convention[[#This Row],[NumL]],T_TraitDi[#Data],COLUMN(T_TraitDi[Colonne11]),FALSE)=0,"",TEXT(IFERROR(VLOOKUP(T_Convention[[#This Row],[NumL]],T_TraitDi[#Data],COLUMN(T_TraitDi[Colonne11]),FALSE),""),"[hh]:mm"))</f>
        <v>#N/A</v>
      </c>
      <c r="AL283" s="284" t="e">
        <f>IF(VLOOKUP(T_Convention[[#This Row],[NumL]],T_TraitDi[#Data],COLUMN(T_TraitDi[Colonne12]),FALSE)=0,"",TEXT(IFERROR(VLOOKUP(T_Convention[[#This Row],[NumL]],T_TraitDi[#Data],COLUMN(T_TraitDi[Colonne12]),FALSE),""),"[hh]:mm"))</f>
        <v>#N/A</v>
      </c>
      <c r="AM283" s="284" t="e">
        <f>IF(VLOOKUP(T_Convention[[#This Row],[NumL]],T_TraitDi[#Data],COLUMN(T_TraitDi[Colonne14]),FALSE)=0,"",TEXT(IFERROR(VLOOKUP(T_Convention[[#This Row],[NumL]],T_TraitDi[#Data],COLUMN(T_TraitDi[Colonne14]),FALSE),""),"[hh]:mm"))</f>
        <v>#N/A</v>
      </c>
      <c r="AN283" s="284" t="str">
        <f>IFERROR(VLOOKUP(T_Convention[[#This Row],[NumL]],T_TraitDi[#Data],COLUMN(T_TraitDi[Mercredi]),FALSE),"")</f>
        <v/>
      </c>
      <c r="AO283" s="284" t="e">
        <f>IF(VLOOKUP(T_Convention[[#This Row],[NumL]],T_TraitDi[#Data],COLUMN(T_TraitDi[Colonne15]),FALSE)=0,"",TEXT(IFERROR(VLOOKUP(T_Convention[[#This Row],[NumL]],T_TraitDi[#Data],COLUMN(T_TraitDi[Colonne15]),FALSE),""),"[hh]:mm"))</f>
        <v>#N/A</v>
      </c>
      <c r="AP283" s="284" t="e">
        <f>IF(VLOOKUP(T_Convention[[#This Row],[NumL]],T_TraitDi[#Data],COLUMN(T_TraitDi[Colonne16]),FALSE)=0,"",TEXT(IFERROR(VLOOKUP(T_Convention[[#This Row],[NumL]],T_TraitDi[#Data],COLUMN(T_TraitDi[Colonne16]),FALSE),""),"[hh]:mm"))</f>
        <v>#N/A</v>
      </c>
      <c r="AQ283" s="284" t="str">
        <f>IFERROR(VLOOKUP(T_Convention[[#This Row],[NumL]],T_TraitDi[#Data],COLUMN(T_TraitDi[Colonne17]),FALSE),"")</f>
        <v/>
      </c>
      <c r="AR283" s="284" t="e">
        <f>IF(VLOOKUP(T_Convention[[#This Row],[NumL]],T_TraitDi[#Data],COLUMN(T_TraitDi[Colonne18]),FALSE)=0,"",TEXT(IFERROR(VLOOKUP(T_Convention[[#This Row],[NumL]],T_TraitDi[#Data],COLUMN(T_TraitDi[Colonne18]),FALSE),""),"[hh]:mm"))</f>
        <v>#N/A</v>
      </c>
      <c r="AS283" s="284" t="e">
        <f>IF(VLOOKUP(T_Convention[[#This Row],[NumL]],T_TraitDi[#Data],COLUMN(T_TraitDi[Colonne19]),FALSE)=0,"",TEXT(IFERROR(VLOOKUP(T_Convention[[#This Row],[NumL]],T_TraitDi[#Data],COLUMN(T_TraitDi[Colonne19]),FALSE),""),"[hh]:mm"))</f>
        <v>#N/A</v>
      </c>
      <c r="AT283" s="284" t="e">
        <f>IF(VLOOKUP(T_Convention[[#This Row],[NumL]],T_TraitDi[#Data],COLUMN(T_TraitDi[Colonne20]),FALSE)=0,"",TEXT(IFERROR(VLOOKUP(T_Convention[[#This Row],[NumL]],T_TraitDi[#Data],COLUMN(T_TraitDi[Colonne20]),FALSE),""),"[hh]:mm"))</f>
        <v>#N/A</v>
      </c>
      <c r="AU283" s="284" t="str">
        <f>IFERROR(VLOOKUP(T_Convention[[#This Row],[NumL]],T_TraitDi[#Data],COLUMN(T_TraitDi[Jeudi]),FALSE),"")</f>
        <v/>
      </c>
      <c r="AV283" s="284" t="e">
        <f>IF(VLOOKUP(T_Convention[[#This Row],[NumL]],T_TraitDi[#Data],COLUMN(T_TraitDi[Colonne21]),FALSE)=0,"",TEXT(IFERROR(VLOOKUP(T_Convention[[#This Row],[NumL]],T_TraitDi[#Data],COLUMN(T_TraitDi[Colonne21]),FALSE),""),"[hh]:mm"))</f>
        <v>#N/A</v>
      </c>
      <c r="AW283" s="284" t="e">
        <f>IF(VLOOKUP(T_Convention[[#This Row],[NumL]],T_TraitDi[#Data],COLUMN(T_TraitDi[Colonne22]),FALSE)=0,"",TEXT(IFERROR(VLOOKUP(T_Convention[[#This Row],[NumL]],T_TraitDi[#Data],COLUMN(T_TraitDi[Colonne22]),FALSE),""),"[hh]:mm"))</f>
        <v>#N/A</v>
      </c>
      <c r="AX283" s="284" t="str">
        <f>IFERROR(VLOOKUP(T_Convention[[#This Row],[NumL]],T_TraitDi[#Data],COLUMN(T_TraitDi[Colonne23]),FALSE),"")</f>
        <v/>
      </c>
      <c r="AY283" s="284" t="e">
        <f>IF(VLOOKUP(T_Convention[[#This Row],[NumL]],T_TraitDi[#Data],COLUMN(T_TraitDi[Colonne24]),FALSE)=0,"",TEXT(IFERROR(VLOOKUP(T_Convention[[#This Row],[NumL]],T_TraitDi[#Data],COLUMN(T_TraitDi[Colonne24]),FALSE),""),"[hh]:mm"))</f>
        <v>#N/A</v>
      </c>
      <c r="AZ283" s="284" t="e">
        <f>IF(VLOOKUP(T_Convention[[#This Row],[NumL]],T_TraitDi[#Data],COLUMN(T_TraitDi[Colonne25]),FALSE)=0,"",TEXT(IFERROR(VLOOKUP(T_Convention[[#This Row],[NumL]],T_TraitDi[#Data],COLUMN(T_TraitDi[Colonne25]),FALSE),""),"[hh]:mm"))</f>
        <v>#N/A</v>
      </c>
      <c r="BA283" s="284" t="e">
        <f>IF(VLOOKUP(T_Convention[[#This Row],[NumL]],T_TraitDi[#Data],COLUMN(T_TraitDi[Colonne26]),FALSE)=0,"",TEXT(IFERROR(VLOOKUP(T_Convention[[#This Row],[NumL]],T_TraitDi[#Data],COLUMN(T_TraitDi[Colonne26]),FALSE),""),"[hh]:mm"))</f>
        <v>#N/A</v>
      </c>
      <c r="BB283" s="284" t="str">
        <f>IFERROR(VLOOKUP(T_Convention[[#This Row],[NumL]],T_TraitDi[#Data],COLUMN(T_TraitDi[Vendredi]),FALSE),"")</f>
        <v/>
      </c>
      <c r="BC283" s="284" t="e">
        <f>IF(VLOOKUP(T_Convention[[#This Row],[NumL]],T_TraitDi[#Data],COLUMN(T_TraitDi[Colonne27]),FALSE)=0,"",TEXT(IFERROR(VLOOKUP(T_Convention[[#This Row],[NumL]],T_TraitDi[#Data],COLUMN(T_TraitDi[Colonne27]),FALSE),""),"[hh]:mm"))</f>
        <v>#N/A</v>
      </c>
      <c r="BD283" s="284" t="e">
        <f>IF(VLOOKUP(T_Convention[[#This Row],[NumL]],T_TraitDi[#Data],COLUMN(T_TraitDi[Colonne28]),FALSE)=0,"",TEXT(IFERROR(VLOOKUP(T_Convention[[#This Row],[NumL]],T_TraitDi[#Data],COLUMN(T_TraitDi[Colonne28]),FALSE),""),"[hh]:mm"))</f>
        <v>#N/A</v>
      </c>
      <c r="BE283" s="284" t="str">
        <f>IFERROR(VLOOKUP(T_Convention[[#This Row],[NumL]],T_TraitDi[#Data],COLUMN(T_TraitDi[Colonne29]),FALSE),"")</f>
        <v/>
      </c>
      <c r="BF283" s="284" t="e">
        <f>IF(VLOOKUP(T_Convention[[#This Row],[NumL]],T_TraitDi[#Data],COLUMN(T_TraitDi[Colonne30]),FALSE)=0,"",TEXT(IFERROR(VLOOKUP(T_Convention[[#This Row],[NumL]],T_TraitDi[#Data],COLUMN(T_TraitDi[Colonne30]),FALSE),""),"[hh]:mm"))</f>
        <v>#N/A</v>
      </c>
      <c r="BG283" s="284" t="e">
        <f>IF(VLOOKUP(T_Convention[[#This Row],[NumL]],T_TraitDi[#Data],COLUMN(T_TraitDi[Colonne31]),FALSE)=0,"",TEXT(IFERROR(VLOOKUP(T_Convention[[#This Row],[NumL]],T_TraitDi[#Data],COLUMN(T_TraitDi[Colonne31]),FALSE),""),"[hh]:mm"))</f>
        <v>#N/A</v>
      </c>
      <c r="BH283" s="284" t="e">
        <f>IF(VLOOKUP(T_Convention[[#This Row],[NumL]],T_TraitDi[#Data],COLUMN(T_TraitDi[Colonne32]),FALSE)=0,"",TEXT(IFERROR(VLOOKUP(T_Convention[[#This Row],[NumL]],T_TraitDi[#Data],COLUMN(T_TraitDi[Colonne32]),FALSE),""),"[hh]:mm"))</f>
        <v>#N/A</v>
      </c>
      <c r="BI283" s="284" t="str">
        <f>IFERROR(VLOOKUP(T_Convention[[#This Row],[NumL]],T_TraitDi[#Data],COLUMN(T_TraitDi[NbJTW]),FALSE),"")</f>
        <v/>
      </c>
      <c r="BJ283" s="284" t="e">
        <f>IF(VLOOKUP(T_Convention[[#This Row],[NumL]],T_TraitDi[#Data],COLUMN(T_TraitDi[NbhTW]),FALSE)=0,"",TEXT(IFERROR(VLOOKUP(T_Convention[[#This Row],[NumL]],T_TraitDi[#Data],COLUMN(T_TraitDi[NbhTW]),FALSE),""),"[hh]:mm"))</f>
        <v>#N/A</v>
      </c>
      <c r="BK283" s="286" t="e">
        <f>IF(VLOOKUP(T_Convention[[#This Row],[NumL]],T_TraitDi[#Data],COLUMN(T_TraitDi[Nbhheb]),FALSE)=0,"",TEXT(IFERROR(VLOOKUP(T_Convention[[#This Row],[NumL]],T_TraitDi[#Data],COLUMN(T_TraitDi[Nbhheb]),FALSE),""),"[hh]:mm"))</f>
        <v>#N/A</v>
      </c>
      <c r="BL283" s="287" t="str">
        <f>IFERROR(VLOOKUP(VLOOKUP(T_Convention[[#This Row],[NumL]],T_TraitDi[#Data],COLUMN(T_TraitDi[Type1]),FALSE),TypeTW,2,FALSE),"")</f>
        <v/>
      </c>
      <c r="BM283" s="288" t="str">
        <f>IFERROR(VLOOKUP(T_Convention[[#This Row],[NumL]],T_TraitDi[#Data],COLUMN(T_TraitDi[Rue1]),FALSE),"")</f>
        <v/>
      </c>
      <c r="BN283" s="289" t="str">
        <f>IFERROR(VLOOKUP(T_Convention[[#This Row],[NumL]],T_TraitDi[#Data],COLUMN(T_TraitDi[CP1]),FALSE),"")</f>
        <v/>
      </c>
      <c r="BO283" s="282" t="str">
        <f>IFERROR(VLOOKUP(T_Convention[[#This Row],[NumL]],T_TraitDi[#Data],COLUMN(T_TraitDi[VILLE1]),FALSE),"")</f>
        <v/>
      </c>
      <c r="BP283" s="290" t="str">
        <f>IFERROR(VLOOKUP(VLOOKUP(T_Convention[[#This Row],[NumL]],T_TraitDi[#Data],COLUMN(T_TraitDi[Type2]),FALSE),TypeTW,2,FALSE),"")</f>
        <v/>
      </c>
      <c r="BQ283" s="182" t="str">
        <f>IFERROR(VLOOKUP(T_Convention[[#This Row],[NumL]],T_TraitDi[#Data],COLUMN(T_TraitDi[Rue2]),FALSE),"")</f>
        <v/>
      </c>
      <c r="BR283" s="173" t="str">
        <f>IFERROR(VLOOKUP(T_Convention[[#This Row],[NumL]],T_TraitDi[#Data],COLUMN(T_TraitDi[CP2]),FALSE),"")</f>
        <v/>
      </c>
      <c r="BS283" s="173" t="str">
        <f>IFERROR(VLOOKUP(T_Convention[[#This Row],[NumL]],T_TraitDi[#Data],COLUMN(T_TraitDi[VILLE2]),FALSE),"")</f>
        <v/>
      </c>
      <c r="BT283" s="182" t="str">
        <f>IF(VLOOKUP(T_Convention[[#This Row],[NumL]],T_Equipement[#Data],COLUMN(T_Equipement[PC]),FALSE)="","Aucun équipement spécifique directement lié au télétravail",VLOOKUP(T_Convention[[#This Row],[NumL]],T_Equipement[#Data],COLUMN(T_Equipement[PC]),FALSE))</f>
        <v xml:space="preserve">SCD2014PORT03	</v>
      </c>
      <c r="BU283" s="166" t="str">
        <f>IFERROR(IF(VLOOKUP(T_Convention[[#This Row],[NumL]],T_TraitDi[#Data],COLUMN(T_TraitDi[Plan]),FALSE)="OK","Un planning spécifique de télétravail est annexé à la présente convention.",""),"")</f>
        <v/>
      </c>
      <c r="BV283" s="185" t="s">
        <v>3307</v>
      </c>
      <c r="BW283" s="164" t="e">
        <f>IF(VLOOKUP(T_Convention[[#This Row],[NumL]],T_suiviDi[#Data],COLUMN(T_suiviDi[Entité]),FALSE)="","",VLOOKUP(T_Convention[[#This Row],[NumL]],T_suiviDi[#Data],COLUMN(T_suiviDi[Entité]),FALSE))</f>
        <v>#N/A</v>
      </c>
      <c r="BX283" s="164" t="str">
        <f>IF(VLOOKUP(T_Convention[[#This Row],[NumL]],T_Commission[#Data],COLUMN(T_Commission[envoi confirm TW]),FALSE)="","",VLOOKUP(T_Convention[[#This Row],[NumL]],T_Commission[#Data],COLUMN(T_Commission[envoi confirm TW]),FALSE))</f>
        <v>Oui</v>
      </c>
      <c r="BY28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3" s="264">
        <f>VLOOKUP(T_Convention[[#This Row],[NumL]],T_Commission[#Data],COLUMN(T_Commission[Commentaire]),FALSE)</f>
        <v>0</v>
      </c>
      <c r="CA283" s="254" t="str">
        <f>IF(VLOOKUP(T_Convention[[#This Row],[NumL]],T_Commission[#Data],COLUMN(T_Commission[Encadrant Email]),FALSE)="","",VLOOKUP(T_Convention[[#This Row],[NumL]],T_Commission[#Data],COLUMN(T_Commission[Encadrant Email]),FALSE))</f>
        <v/>
      </c>
      <c r="CB283" s="353" t="e">
        <f>VLOOKUP(T_Convention[[#This Row],[NumL]],T_TraitDi[#Data],COLUMN(T_TraitDi[NbJTot]),FALSE)</f>
        <v>#N/A</v>
      </c>
      <c r="CC283" s="353" t="e">
        <f>VLOOKUP(T_Convention[[#This Row],[NumL]],T_TraitDi[#Data],COLUMN(T_TraitDi[Reg Ponct]),FALSE)</f>
        <v>#N/A</v>
      </c>
      <c r="CD283" s="348" t="str">
        <f>IF(T_Convention[[#This Row],[Final]]&lt;&gt;"",VLOOKUP(T_Convention[[#This Row],[NumL]],T_suiviDi[#Data],COLUMN((T_suiviDi[Statut])),FALSE),"")</f>
        <v/>
      </c>
    </row>
    <row r="284" spans="1:82" s="106" customFormat="1" ht="18.75" customHeight="1" x14ac:dyDescent="0.25">
      <c r="A284" s="160">
        <v>214</v>
      </c>
      <c r="B284" s="161" t="str">
        <f>VLOOKUP(T_Convention[[#This Row],[NumL]],T_Commission[#Data],COLUMN(T_Commission[FINAL]),FALSE)</f>
        <v/>
      </c>
      <c r="C284" s="162"/>
      <c r="D284" s="95" t="e">
        <f>IF(VLOOKUP(T_Convention[[#This Row],[NumL]],T_TraitDi[#Data],COLUMN(T_TraitDi[WebC]),FALSE)="","",VLOOKUP(T_Convention[[#This Row],[NumL]],T_TraitDi[#Data],COLUMN(T_TraitDi[WebC]),FALSE))</f>
        <v>#N/A</v>
      </c>
      <c r="E284" s="163" t="str">
        <f t="shared" si="20"/>
        <v>12 janvier 2021</v>
      </c>
      <c r="F284" s="282" t="str">
        <f>IF(T_Convention[[#This Row],[Final]]&lt;&gt;"",VLOOKUP(T_Convention[[#This Row],[NumL]],T_suiviDi[#Data],COLUMN((T_suiviDi[Civ.])),FALSE),"")</f>
        <v/>
      </c>
      <c r="G284" s="283" t="str">
        <f>IF(T_Convention[[#This Row],[Final]]&lt;&gt;"",VLOOKUP(T_Convention[[#This Row],[NumL]],T_suiviDi[#Data],COLUMN((T_suiviDi[Nom])),FALSE),"")</f>
        <v/>
      </c>
      <c r="H284" s="282" t="str">
        <f>IF(T_Convention[[#This Row],[Final]]&lt;&gt;"",VLOOKUP(T_Convention[[#This Row],[NumL]],T_suiviDi[#Data],COLUMN((T_suiviDi[Prénom])),FALSE),"")</f>
        <v/>
      </c>
      <c r="I284" s="282" t="e">
        <f>VLOOKUP(T_Convention[[#This Row],[NumL]],T_suiviDi[#Data],COLUMN((T_suiviDi[[#This Row],[Email]])),FALSE)</f>
        <v>#VALUE!</v>
      </c>
      <c r="J284" s="282" t="e">
        <f>IF(VLOOKUP(T_Convention[[#This Row],[NumL]],T_suiviDi[#Data],COLUMN(T_suiviDi[[#This Row],[Fonction]]),FALSE)="","",VLOOKUP(T_Convention[[#This Row],[NumL]],T_suiviDi[#Data],COLUMN(T_suiviDi[[#This Row],[Fonction]]),FALSE))</f>
        <v>#VALUE!</v>
      </c>
      <c r="K284" s="282" t="e">
        <f>IF(VLOOKUP(T_Convention[[#This Row],[NumL]],T_suiviDi[#Data],COLUMN(T_suiviDi[[#This Row],[Grade]]),FALSE)="","",VLOOKUP(T_Convention[[#This Row],[NumL]],T_suiviDi[#Data],COLUMN(T_suiviDi[[#This Row],[Grade]]),FALSE))</f>
        <v>#VALUE!</v>
      </c>
      <c r="L284" s="282" t="e">
        <f>IF(VLOOKUP(T_Convention[[#This Row],[NumL]],T_suiviDi[#Data],COLUMN(T_suiviDi[[#This Row],[Service ]]),FALSE)="","",VLOOKUP(T_Convention[[#This Row],[NumL]],T_suiviDi[#Data],COLUMN(T_suiviDi[[#This Row],[Service ]]),FALSE))</f>
        <v>#VALUE!</v>
      </c>
      <c r="M284" s="164" t="str">
        <f t="shared" si="21"/>
        <v>01 septembre 2021</v>
      </c>
      <c r="N284" s="164" t="str">
        <f t="shared" si="22"/>
        <v>30 novembre 2021</v>
      </c>
      <c r="O284" s="284" t="str">
        <f t="shared" si="23"/>
        <v>30 novembre 2021</v>
      </c>
      <c r="P284" s="282" t="e">
        <f>IF(VLOOKUP(T_Convention[[#This Row],[NumL]],T_TraitDi[#Data],COLUMN(T_TraitDi[M1]),FALSE)="","",VLOOKUP(T_Convention[[#This Row],[NumL]],T_TraitDi[#Data],COLUMN(T_TraitDi[M1]),FALSE))</f>
        <v>#N/A</v>
      </c>
      <c r="Q284" s="282" t="e">
        <f>IF(VLOOKUP(T_Convention[[#This Row],[NumL]],T_TraitDi[#Data],COLUMN(T_TraitDi[M2]),FALSE)="","",VLOOKUP(T_Convention[[#This Row],[NumL]],T_TraitDi[#Data],COLUMN(T_TraitDi[M2]),FALSE))</f>
        <v>#N/A</v>
      </c>
      <c r="R284" s="282" t="e">
        <f>IF(VLOOKUP(T_Convention[[#This Row],[NumL]],T_TraitDi[#Data],COLUMN(T_TraitDi[M3]),FALSE)="","",VLOOKUP(T_Convention[[#This Row],[NumL]],T_TraitDi[#Data],COLUMN(T_TraitDi[M3]),FALSE))</f>
        <v>#N/A</v>
      </c>
      <c r="S284" s="282" t="e">
        <f>IF(VLOOKUP(T_Convention[[#This Row],[NumL]],T_TraitDi[#Data],COLUMN(T_TraitDi[M4]),FALSE)="","",VLOOKUP(T_Convention[[#This Row],[NumL]],T_TraitDi[#Data],COLUMN(T_TraitDi[M4]),FALSE))</f>
        <v>#N/A</v>
      </c>
      <c r="T284" s="282" t="e">
        <f>IF(VLOOKUP(T_Convention[[#This Row],[NumL]],T_TraitDi[#Data],COLUMN(T_TraitDi[M5]),FALSE)="","",VLOOKUP(T_Convention[[#This Row],[NumL]],T_TraitDi[#Data],COLUMN(T_TraitDi[M5]),FALSE))</f>
        <v>#N/A</v>
      </c>
      <c r="U284" s="282" t="e">
        <f>IF(VLOOKUP(T_Convention[[#This Row],[NumL]],T_TraitDi[#Data],COLUMN(T_TraitDi[M6]),FALSE)="","",VLOOKUP(T_Convention[[#This Row],[NumL]],T_TraitDi[#Data],COLUMN(T_TraitDi[M6]),FALSE))</f>
        <v>#N/A</v>
      </c>
      <c r="V284" s="176" t="e">
        <f t="shared" si="24"/>
        <v>#N/A</v>
      </c>
      <c r="W284" s="284" t="str">
        <f>IFERROR(TEXT(VLOOKUP(T_Convention[[#This Row],[NumL]],T_TraitDi[#Data],COLUMN(T_TraitDi[Q2]),FALSE),"###%"),"")</f>
        <v/>
      </c>
      <c r="X284" s="97" t="e">
        <f>VLOOKUP(T_Convention[[#This Row],[NumL]],T_TraitDi[#Data],COLUMN(T_TraitDi[Reg Ponct]),FALSE)</f>
        <v>#N/A</v>
      </c>
      <c r="Y284" s="97" t="e">
        <f>VLOOKUP(T_Convention[NumL],T_TraitDi[#Data],COLUMN(T_TraitDi[Jours flottants]),FALSE)</f>
        <v>#N/A</v>
      </c>
      <c r="Z284" s="284" t="str">
        <f>IFERROR(VLOOKUP(T_Convention[[#This Row],[NumL]],T_TraitDi[#Data],COLUMN(T_TraitDi[Lundi]),FALSE),"")</f>
        <v/>
      </c>
      <c r="AA284" s="284" t="e">
        <f>IF(VLOOKUP(T_Convention[[#This Row],[NumL]],T_TraitDi[#Data],COLUMN(T_TraitDi[Colonne3]),FALSE)=0,"",TEXT(IFERROR(VLOOKUP(T_Convention[[#This Row],[NumL]],T_TraitDi[#Data],COLUMN(T_TraitDi[Colonne3]),FALSE),""),"[hh]:mm"))</f>
        <v>#N/A</v>
      </c>
      <c r="AB284" s="284" t="e">
        <f>IF(VLOOKUP(T_Convention[[#This Row],[NumL]],T_TraitDi[#Data],COLUMN(T_TraitDi[Colonne4]),FALSE)=0,"",TEXT(IFERROR(VLOOKUP(T_Convention[[#This Row],[NumL]],T_TraitDi[#Data],COLUMN(T_TraitDi[Colonne4]),FALSE),""),"[hh]:mm"))</f>
        <v>#N/A</v>
      </c>
      <c r="AC284" s="284" t="e">
        <f>IF(VLOOKUP(T_Convention[[#This Row],[NumL]],T_TraitDi[#Data],COLUMN(T_TraitDi[Colonne5]),FALSE)=0,"",TEXT(IFERROR(VLOOKUP(T_Convention[[#This Row],[NumL]],T_TraitDi[#Data],COLUMN(T_TraitDi[Colonne5]),FALSE),""),"[hh]:mm"))</f>
        <v>#N/A</v>
      </c>
      <c r="AD284" s="284" t="e">
        <f>IF(VLOOKUP(T_Convention[[#This Row],[NumL]],T_TraitDi[#Data],COLUMN(T_TraitDi[Colonne6]),FALSE)=0,"",TEXT(IFERROR(VLOOKUP(T_Convention[[#This Row],[NumL]],T_TraitDi[#Data],COLUMN(T_TraitDi[Colonne6]),FALSE),""),"[hh]:mm"))</f>
        <v>#N/A</v>
      </c>
      <c r="AE284" s="284" t="e">
        <f>IF(VLOOKUP(T_Convention[[#This Row],[NumL]],T_TraitDi[#Data],COLUMN(T_TraitDi[Colonne7]),FALSE)=0,"",TEXT(IFERROR(VLOOKUP(T_Convention[[#This Row],[NumL]],T_TraitDi[#Data],COLUMN(T_TraitDi[Colonne7]),FALSE),""),"[hh]:mm"))</f>
        <v>#N/A</v>
      </c>
      <c r="AF284" s="284" t="e">
        <f>IF(VLOOKUP(T_Convention[[#This Row],[NumL]],T_TraitDi[#Data],COLUMN(T_TraitDi[Colonne8]),FALSE)=0,"",TEXT(IFERROR(VLOOKUP(T_Convention[[#This Row],[NumL]],T_TraitDi[#Data],COLUMN(T_TraitDi[Colonne8]),FALSE),""),"[hh]:mm"))</f>
        <v>#N/A</v>
      </c>
      <c r="AG284" s="284" t="str">
        <f>IFERROR(VLOOKUP(T_Convention[[#This Row],[NumL]],T_TraitDi[#Data],COLUMN(T_TraitDi[Mardi]),FALSE),"")</f>
        <v/>
      </c>
      <c r="AH284" s="284" t="e">
        <f>IF(VLOOKUP(T_Convention[[#This Row],[NumL]],T_TraitDi[#Data],COLUMN(T_TraitDi[Colonne1]),FALSE)=0,"",TEXT(IFERROR(VLOOKUP(T_Convention[[#This Row],[NumL]],T_TraitDi[#Data],COLUMN(T_TraitDi[Colonne1]),FALSE),""),"[hh]:mm"))</f>
        <v>#N/A</v>
      </c>
      <c r="AI284" s="284" t="e">
        <f>IF(VLOOKUP(T_Convention[[#This Row],[NumL]],T_TraitDi[#Data],COLUMN(T_TraitDi[Colonne9]),FALSE)=0,"",TEXT(IFERROR(VLOOKUP(T_Convention[[#This Row],[NumL]],T_TraitDi[#Data],COLUMN(T_TraitDi[Colonne9]),FALSE),""),"[hh]:mm"))</f>
        <v>#N/A</v>
      </c>
      <c r="AJ284" s="284" t="str">
        <f>IFERROR(VLOOKUP(T_Convention[[#This Row],[NumL]],T_TraitDi[#Data],COLUMN(T_TraitDi[Colonne10]),FALSE),"")</f>
        <v/>
      </c>
      <c r="AK284" s="284" t="e">
        <f>IF(VLOOKUP(T_Convention[[#This Row],[NumL]],T_TraitDi[#Data],COLUMN(T_TraitDi[Colonne11]),FALSE)=0,"",TEXT(IFERROR(VLOOKUP(T_Convention[[#This Row],[NumL]],T_TraitDi[#Data],COLUMN(T_TraitDi[Colonne11]),FALSE),""),"[hh]:mm"))</f>
        <v>#N/A</v>
      </c>
      <c r="AL284" s="284" t="e">
        <f>IF(VLOOKUP(T_Convention[[#This Row],[NumL]],T_TraitDi[#Data],COLUMN(T_TraitDi[Colonne12]),FALSE)=0,"",TEXT(IFERROR(VLOOKUP(T_Convention[[#This Row],[NumL]],T_TraitDi[#Data],COLUMN(T_TraitDi[Colonne12]),FALSE),""),"[hh]:mm"))</f>
        <v>#N/A</v>
      </c>
      <c r="AM284" s="284" t="e">
        <f>IF(VLOOKUP(T_Convention[[#This Row],[NumL]],T_TraitDi[#Data],COLUMN(T_TraitDi[Colonne14]),FALSE)=0,"",TEXT(IFERROR(VLOOKUP(T_Convention[[#This Row],[NumL]],T_TraitDi[#Data],COLUMN(T_TraitDi[Colonne14]),FALSE),""),"[hh]:mm"))</f>
        <v>#N/A</v>
      </c>
      <c r="AN284" s="284" t="str">
        <f>IFERROR(VLOOKUP(T_Convention[[#This Row],[NumL]],T_TraitDi[#Data],COLUMN(T_TraitDi[Mercredi]),FALSE),"")</f>
        <v/>
      </c>
      <c r="AO284" s="284" t="e">
        <f>IF(VLOOKUP(T_Convention[[#This Row],[NumL]],T_TraitDi[#Data],COLUMN(T_TraitDi[Colonne15]),FALSE)=0,"",TEXT(IFERROR(VLOOKUP(T_Convention[[#This Row],[NumL]],T_TraitDi[#Data],COLUMN(T_TraitDi[Colonne15]),FALSE),""),"[hh]:mm"))</f>
        <v>#N/A</v>
      </c>
      <c r="AP284" s="284" t="e">
        <f>IF(VLOOKUP(T_Convention[[#This Row],[NumL]],T_TraitDi[#Data],COLUMN(T_TraitDi[Colonne16]),FALSE)=0,"",TEXT(IFERROR(VLOOKUP(T_Convention[[#This Row],[NumL]],T_TraitDi[#Data],COLUMN(T_TraitDi[Colonne16]),FALSE),""),"[hh]:mm"))</f>
        <v>#N/A</v>
      </c>
      <c r="AQ284" s="284" t="str">
        <f>IFERROR(VLOOKUP(T_Convention[[#This Row],[NumL]],T_TraitDi[#Data],COLUMN(T_TraitDi[Colonne17]),FALSE),"")</f>
        <v/>
      </c>
      <c r="AR284" s="284" t="e">
        <f>IF(VLOOKUP(T_Convention[[#This Row],[NumL]],T_TraitDi[#Data],COLUMN(T_TraitDi[Colonne18]),FALSE)=0,"",TEXT(IFERROR(VLOOKUP(T_Convention[[#This Row],[NumL]],T_TraitDi[#Data],COLUMN(T_TraitDi[Colonne18]),FALSE),""),"[hh]:mm"))</f>
        <v>#N/A</v>
      </c>
      <c r="AS284" s="284" t="e">
        <f>IF(VLOOKUP(T_Convention[[#This Row],[NumL]],T_TraitDi[#Data],COLUMN(T_TraitDi[Colonne19]),FALSE)=0,"",TEXT(IFERROR(VLOOKUP(T_Convention[[#This Row],[NumL]],T_TraitDi[#Data],COLUMN(T_TraitDi[Colonne19]),FALSE),""),"[hh]:mm"))</f>
        <v>#N/A</v>
      </c>
      <c r="AT284" s="284" t="e">
        <f>IF(VLOOKUP(T_Convention[[#This Row],[NumL]],T_TraitDi[#Data],COLUMN(T_TraitDi[Colonne20]),FALSE)=0,"",TEXT(IFERROR(VLOOKUP(T_Convention[[#This Row],[NumL]],T_TraitDi[#Data],COLUMN(T_TraitDi[Colonne20]),FALSE),""),"[hh]:mm"))</f>
        <v>#N/A</v>
      </c>
      <c r="AU284" s="284" t="str">
        <f>IFERROR(VLOOKUP(T_Convention[[#This Row],[NumL]],T_TraitDi[#Data],COLUMN(T_TraitDi[Jeudi]),FALSE),"")</f>
        <v/>
      </c>
      <c r="AV284" s="284" t="e">
        <f>IF(VLOOKUP(T_Convention[[#This Row],[NumL]],T_TraitDi[#Data],COLUMN(T_TraitDi[Colonne21]),FALSE)=0,"",TEXT(IFERROR(VLOOKUP(T_Convention[[#This Row],[NumL]],T_TraitDi[#Data],COLUMN(T_TraitDi[Colonne21]),FALSE),""),"[hh]:mm"))</f>
        <v>#N/A</v>
      </c>
      <c r="AW284" s="284" t="e">
        <f>IF(VLOOKUP(T_Convention[[#This Row],[NumL]],T_TraitDi[#Data],COLUMN(T_TraitDi[Colonne22]),FALSE)=0,"",TEXT(IFERROR(VLOOKUP(T_Convention[[#This Row],[NumL]],T_TraitDi[#Data],COLUMN(T_TraitDi[Colonne22]),FALSE),""),"[hh]:mm"))</f>
        <v>#N/A</v>
      </c>
      <c r="AX284" s="284" t="str">
        <f>IFERROR(VLOOKUP(T_Convention[[#This Row],[NumL]],T_TraitDi[#Data],COLUMN(T_TraitDi[Colonne23]),FALSE),"")</f>
        <v/>
      </c>
      <c r="AY284" s="284" t="e">
        <f>IF(VLOOKUP(T_Convention[[#This Row],[NumL]],T_TraitDi[#Data],COLUMN(T_TraitDi[Colonne24]),FALSE)=0,"",TEXT(IFERROR(VLOOKUP(T_Convention[[#This Row],[NumL]],T_TraitDi[#Data],COLUMN(T_TraitDi[Colonne24]),FALSE),""),"[hh]:mm"))</f>
        <v>#N/A</v>
      </c>
      <c r="AZ284" s="284" t="e">
        <f>IF(VLOOKUP(T_Convention[[#This Row],[NumL]],T_TraitDi[#Data],COLUMN(T_TraitDi[Colonne25]),FALSE)=0,"",TEXT(IFERROR(VLOOKUP(T_Convention[[#This Row],[NumL]],T_TraitDi[#Data],COLUMN(T_TraitDi[Colonne25]),FALSE),""),"[hh]:mm"))</f>
        <v>#N/A</v>
      </c>
      <c r="BA284" s="284" t="e">
        <f>IF(VLOOKUP(T_Convention[[#This Row],[NumL]],T_TraitDi[#Data],COLUMN(T_TraitDi[Colonne26]),FALSE)=0,"",TEXT(IFERROR(VLOOKUP(T_Convention[[#This Row],[NumL]],T_TraitDi[#Data],COLUMN(T_TraitDi[Colonne26]),FALSE),""),"[hh]:mm"))</f>
        <v>#N/A</v>
      </c>
      <c r="BB284" s="284" t="str">
        <f>IFERROR(VLOOKUP(T_Convention[[#This Row],[NumL]],T_TraitDi[#Data],COLUMN(T_TraitDi[Vendredi]),FALSE),"")</f>
        <v/>
      </c>
      <c r="BC284" s="284" t="e">
        <f>IF(VLOOKUP(T_Convention[[#This Row],[NumL]],T_TraitDi[#Data],COLUMN(T_TraitDi[Colonne27]),FALSE)=0,"",TEXT(IFERROR(VLOOKUP(T_Convention[[#This Row],[NumL]],T_TraitDi[#Data],COLUMN(T_TraitDi[Colonne27]),FALSE),""),"[hh]:mm"))</f>
        <v>#N/A</v>
      </c>
      <c r="BD284" s="284" t="e">
        <f>IF(VLOOKUP(T_Convention[[#This Row],[NumL]],T_TraitDi[#Data],COLUMN(T_TraitDi[Colonne28]),FALSE)=0,"",TEXT(IFERROR(VLOOKUP(T_Convention[[#This Row],[NumL]],T_TraitDi[#Data],COLUMN(T_TraitDi[Colonne28]),FALSE),""),"[hh]:mm"))</f>
        <v>#N/A</v>
      </c>
      <c r="BE284" s="284" t="str">
        <f>IFERROR(VLOOKUP(T_Convention[[#This Row],[NumL]],T_TraitDi[#Data],COLUMN(T_TraitDi[Colonne29]),FALSE),"")</f>
        <v/>
      </c>
      <c r="BF284" s="284" t="e">
        <f>IF(VLOOKUP(T_Convention[[#This Row],[NumL]],T_TraitDi[#Data],COLUMN(T_TraitDi[Colonne30]),FALSE)=0,"",TEXT(IFERROR(VLOOKUP(T_Convention[[#This Row],[NumL]],T_TraitDi[#Data],COLUMN(T_TraitDi[Colonne30]),FALSE),""),"[hh]:mm"))</f>
        <v>#N/A</v>
      </c>
      <c r="BG284" s="284" t="e">
        <f>IF(VLOOKUP(T_Convention[[#This Row],[NumL]],T_TraitDi[#Data],COLUMN(T_TraitDi[Colonne31]),FALSE)=0,"",TEXT(IFERROR(VLOOKUP(T_Convention[[#This Row],[NumL]],T_TraitDi[#Data],COLUMN(T_TraitDi[Colonne31]),FALSE),""),"[hh]:mm"))</f>
        <v>#N/A</v>
      </c>
      <c r="BH284" s="284" t="e">
        <f>IF(VLOOKUP(T_Convention[[#This Row],[NumL]],T_TraitDi[#Data],COLUMN(T_TraitDi[Colonne32]),FALSE)=0,"",TEXT(IFERROR(VLOOKUP(T_Convention[[#This Row],[NumL]],T_TraitDi[#Data],COLUMN(T_TraitDi[Colonne32]),FALSE),""),"[hh]:mm"))</f>
        <v>#N/A</v>
      </c>
      <c r="BI284" s="284" t="str">
        <f>IFERROR(VLOOKUP(T_Convention[[#This Row],[NumL]],T_TraitDi[#Data],COLUMN(T_TraitDi[NbJTW]),FALSE),"")</f>
        <v/>
      </c>
      <c r="BJ284" s="284" t="e">
        <f>IF(VLOOKUP(T_Convention[[#This Row],[NumL]],T_TraitDi[#Data],COLUMN(T_TraitDi[NbhTW]),FALSE)=0,"",TEXT(IFERROR(VLOOKUP(T_Convention[[#This Row],[NumL]],T_TraitDi[#Data],COLUMN(T_TraitDi[NbhTW]),FALSE),""),"[hh]:mm"))</f>
        <v>#N/A</v>
      </c>
      <c r="BK284" s="286" t="e">
        <f>IF(VLOOKUP(T_Convention[[#This Row],[NumL]],T_TraitDi[#Data],COLUMN(T_TraitDi[Nbhheb]),FALSE)=0,"",TEXT(IFERROR(VLOOKUP(T_Convention[[#This Row],[NumL]],T_TraitDi[#Data],COLUMN(T_TraitDi[Nbhheb]),FALSE),""),"[hh]:mm"))</f>
        <v>#N/A</v>
      </c>
      <c r="BL284" s="287" t="str">
        <f>IFERROR(VLOOKUP(VLOOKUP(T_Convention[[#This Row],[NumL]],T_TraitDi[#Data],COLUMN(T_TraitDi[Type1]),FALSE),TypeTW,2,FALSE),"")</f>
        <v/>
      </c>
      <c r="BM284" s="288" t="str">
        <f>IFERROR(VLOOKUP(T_Convention[[#This Row],[NumL]],T_TraitDi[#Data],COLUMN(T_TraitDi[Rue1]),FALSE),"")</f>
        <v/>
      </c>
      <c r="BN284" s="289" t="str">
        <f>IFERROR(VLOOKUP(T_Convention[[#This Row],[NumL]],T_TraitDi[#Data],COLUMN(T_TraitDi[CP1]),FALSE),"")</f>
        <v/>
      </c>
      <c r="BO284" s="282" t="str">
        <f>IFERROR(VLOOKUP(T_Convention[[#This Row],[NumL]],T_TraitDi[#Data],COLUMN(T_TraitDi[VILLE1]),FALSE),"")</f>
        <v/>
      </c>
      <c r="BP284" s="290" t="str">
        <f>IFERROR(VLOOKUP(VLOOKUP(T_Convention[[#This Row],[NumL]],T_TraitDi[#Data],COLUMN(T_TraitDi[Type2]),FALSE),TypeTW,2,FALSE),"")</f>
        <v/>
      </c>
      <c r="BQ284" s="182" t="str">
        <f>IFERROR(VLOOKUP(T_Convention[[#This Row],[NumL]],T_TraitDi[#Data],COLUMN(T_TraitDi[Rue2]),FALSE),"")</f>
        <v/>
      </c>
      <c r="BR284" s="173" t="str">
        <f>IFERROR(VLOOKUP(T_Convention[[#This Row],[NumL]],T_TraitDi[#Data],COLUMN(T_TraitDi[CP2]),FALSE),"")</f>
        <v/>
      </c>
      <c r="BS284" s="173" t="str">
        <f>IFERROR(VLOOKUP(T_Convention[[#This Row],[NumL]],T_TraitDi[#Data],COLUMN(T_TraitDi[VILLE2]),FALSE),"")</f>
        <v/>
      </c>
      <c r="BT284" s="182" t="str">
        <f>IF(VLOOKUP(T_Convention[[#This Row],[NumL]],T_Equipement[#Data],COLUMN(T_Equipement[PC]),FALSE)="","Aucun équipement spécifique directement lié au télétravail",VLOOKUP(T_Convention[[#This Row],[NumL]],T_Equipement[#Data],COLUMN(T_Equipement[PC]),FALSE))</f>
        <v xml:space="preserve">20-061	</v>
      </c>
      <c r="BU284" s="166" t="str">
        <f>IFERROR(IF(VLOOKUP(T_Convention[[#This Row],[NumL]],T_TraitDi[#Data],COLUMN(T_TraitDi[Plan]),FALSE)="OK","Un planning spécifique de télétravail est annexé à la présente convention.",""),"")</f>
        <v/>
      </c>
      <c r="BV284" s="185" t="s">
        <v>3391</v>
      </c>
      <c r="BW284" s="164" t="e">
        <f>IF(VLOOKUP(T_Convention[[#This Row],[NumL]],T_suiviDi[#Data],COLUMN(T_suiviDi[Entité]),FALSE)="","",VLOOKUP(T_Convention[[#This Row],[NumL]],T_suiviDi[#Data],COLUMN(T_suiviDi[Entité]),FALSE))</f>
        <v>#N/A</v>
      </c>
      <c r="BX284" s="164" t="str">
        <f>IF(VLOOKUP(T_Convention[[#This Row],[NumL]],T_Commission[#Data],COLUMN(T_Commission[envoi confirm TW]),FALSE)="","",VLOOKUP(T_Convention[[#This Row],[NumL]],T_Commission[#Data],COLUMN(T_Commission[envoi confirm TW]),FALSE))</f>
        <v>Oui</v>
      </c>
      <c r="BY28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4" s="264">
        <f>VLOOKUP(T_Convention[[#This Row],[NumL]],T_Commission[#Data],COLUMN(T_Commission[Commentaire]),FALSE)</f>
        <v>0</v>
      </c>
      <c r="CA284" s="254" t="str">
        <f>IF(VLOOKUP(T_Convention[[#This Row],[NumL]],T_Commission[#Data],COLUMN(T_Commission[Encadrant Email]),FALSE)="","",VLOOKUP(T_Convention[[#This Row],[NumL]],T_Commission[#Data],COLUMN(T_Commission[Encadrant Email]),FALSE))</f>
        <v/>
      </c>
      <c r="CB284" s="353" t="e">
        <f>VLOOKUP(T_Convention[[#This Row],[NumL]],T_TraitDi[#Data],COLUMN(T_TraitDi[NbJTot]),FALSE)</f>
        <v>#N/A</v>
      </c>
      <c r="CC284" s="353" t="e">
        <f>VLOOKUP(T_Convention[[#This Row],[NumL]],T_TraitDi[#Data],COLUMN(T_TraitDi[Reg Ponct]),FALSE)</f>
        <v>#N/A</v>
      </c>
      <c r="CD284" s="348" t="str">
        <f>IF(T_Convention[[#This Row],[Final]]&lt;&gt;"",VLOOKUP(T_Convention[[#This Row],[NumL]],T_suiviDi[#Data],COLUMN((T_suiviDi[Statut])),FALSE),"")</f>
        <v/>
      </c>
    </row>
    <row r="285" spans="1:82" s="106" customFormat="1" ht="18.75" customHeight="1" x14ac:dyDescent="0.25">
      <c r="A285" s="160">
        <v>50</v>
      </c>
      <c r="B285" s="161" t="str">
        <f>VLOOKUP(T_Convention[[#This Row],[NumL]],T_Commission[#Data],COLUMN(T_Commission[FINAL]),FALSE)</f>
        <v/>
      </c>
      <c r="C285" s="162"/>
      <c r="D285" s="95" t="e">
        <f>IF(VLOOKUP(T_Convention[[#This Row],[NumL]],T_TraitDi[#Data],COLUMN(T_TraitDi[WebC]),FALSE)="","",VLOOKUP(T_Convention[[#This Row],[NumL]],T_TraitDi[#Data],COLUMN(T_TraitDi[WebC]),FALSE))</f>
        <v>#N/A</v>
      </c>
      <c r="E285" s="163" t="str">
        <f t="shared" si="20"/>
        <v>12 janvier 2021</v>
      </c>
      <c r="F285" s="282" t="str">
        <f>IF(T_Convention[[#This Row],[Final]]&lt;&gt;"",VLOOKUP(T_Convention[[#This Row],[NumL]],T_suiviDi[#Data],COLUMN((T_suiviDi[Civ.])),FALSE),"")</f>
        <v/>
      </c>
      <c r="G285" s="283" t="str">
        <f>IF(T_Convention[[#This Row],[Final]]&lt;&gt;"",VLOOKUP(T_Convention[[#This Row],[NumL]],T_suiviDi[#Data],COLUMN((T_suiviDi[Nom])),FALSE),"")</f>
        <v/>
      </c>
      <c r="H285" s="282" t="str">
        <f>IF(T_Convention[[#This Row],[Final]]&lt;&gt;"",VLOOKUP(T_Convention[[#This Row],[NumL]],T_suiviDi[#Data],COLUMN((T_suiviDi[Prénom])),FALSE),"")</f>
        <v/>
      </c>
      <c r="I285" s="282" t="e">
        <f>VLOOKUP(T_Convention[[#This Row],[NumL]],T_suiviDi[#Data],COLUMN((T_suiviDi[[#This Row],[Email]])),FALSE)</f>
        <v>#VALUE!</v>
      </c>
      <c r="J285" s="282" t="e">
        <f>IF(VLOOKUP(T_Convention[[#This Row],[NumL]],T_suiviDi[#Data],COLUMN(T_suiviDi[[#This Row],[Fonction]]),FALSE)="","",VLOOKUP(T_Convention[[#This Row],[NumL]],T_suiviDi[#Data],COLUMN(T_suiviDi[[#This Row],[Fonction]]),FALSE))</f>
        <v>#VALUE!</v>
      </c>
      <c r="K285" s="282" t="e">
        <f>IF(VLOOKUP(T_Convention[[#This Row],[NumL]],T_suiviDi[#Data],COLUMN(T_suiviDi[[#This Row],[Grade]]),FALSE)="","",VLOOKUP(T_Convention[[#This Row],[NumL]],T_suiviDi[#Data],COLUMN(T_suiviDi[[#This Row],[Grade]]),FALSE))</f>
        <v>#VALUE!</v>
      </c>
      <c r="L285" s="282" t="e">
        <f>IF(VLOOKUP(T_Convention[[#This Row],[NumL]],T_suiviDi[#Data],COLUMN(T_suiviDi[[#This Row],[Service ]]),FALSE)="","",VLOOKUP(T_Convention[[#This Row],[NumL]],T_suiviDi[#Data],COLUMN(T_suiviDi[[#This Row],[Service ]]),FALSE))</f>
        <v>#VALUE!</v>
      </c>
      <c r="M285" s="164" t="str">
        <f t="shared" si="21"/>
        <v>01 septembre 2021</v>
      </c>
      <c r="N285" s="164" t="str">
        <f t="shared" si="22"/>
        <v>30 novembre 2021</v>
      </c>
      <c r="O285" s="284" t="str">
        <f t="shared" si="23"/>
        <v>30 novembre 2021</v>
      </c>
      <c r="P285" s="282" t="e">
        <f>IF(VLOOKUP(T_Convention[[#This Row],[NumL]],T_TraitDi[#Data],COLUMN(T_TraitDi[M1]),FALSE)="","",VLOOKUP(T_Convention[[#This Row],[NumL]],T_TraitDi[#Data],COLUMN(T_TraitDi[M1]),FALSE))</f>
        <v>#N/A</v>
      </c>
      <c r="Q285" s="282" t="e">
        <f>IF(VLOOKUP(T_Convention[[#This Row],[NumL]],T_TraitDi[#Data],COLUMN(T_TraitDi[M2]),FALSE)="","",VLOOKUP(T_Convention[[#This Row],[NumL]],T_TraitDi[#Data],COLUMN(T_TraitDi[M2]),FALSE))</f>
        <v>#N/A</v>
      </c>
      <c r="R285" s="282" t="e">
        <f>IF(VLOOKUP(T_Convention[[#This Row],[NumL]],T_TraitDi[#Data],COLUMN(T_TraitDi[M3]),FALSE)="","",VLOOKUP(T_Convention[[#This Row],[NumL]],T_TraitDi[#Data],COLUMN(T_TraitDi[M3]),FALSE))</f>
        <v>#N/A</v>
      </c>
      <c r="S285" s="282" t="e">
        <f>IF(VLOOKUP(T_Convention[[#This Row],[NumL]],T_TraitDi[#Data],COLUMN(T_TraitDi[M4]),FALSE)="","",VLOOKUP(T_Convention[[#This Row],[NumL]],T_TraitDi[#Data],COLUMN(T_TraitDi[M4]),FALSE))</f>
        <v>#N/A</v>
      </c>
      <c r="T285" s="282" t="e">
        <f>IF(VLOOKUP(T_Convention[[#This Row],[NumL]],T_TraitDi[#Data],COLUMN(T_TraitDi[M5]),FALSE)="","",VLOOKUP(T_Convention[[#This Row],[NumL]],T_TraitDi[#Data],COLUMN(T_TraitDi[M5]),FALSE))</f>
        <v>#N/A</v>
      </c>
      <c r="U285" s="282" t="e">
        <f>IF(VLOOKUP(T_Convention[[#This Row],[NumL]],T_TraitDi[#Data],COLUMN(T_TraitDi[M6]),FALSE)="","",VLOOKUP(T_Convention[[#This Row],[NumL]],T_TraitDi[#Data],COLUMN(T_TraitDi[M6]),FALSE))</f>
        <v>#N/A</v>
      </c>
      <c r="V285" s="176" t="e">
        <f t="shared" si="24"/>
        <v>#N/A</v>
      </c>
      <c r="W285" s="284" t="str">
        <f>IFERROR(TEXT(VLOOKUP(T_Convention[[#This Row],[NumL]],T_TraitDi[#Data],COLUMN(T_TraitDi[Q2]),FALSE),"###%"),"")</f>
        <v/>
      </c>
      <c r="X285" s="97" t="e">
        <f>VLOOKUP(T_Convention[[#This Row],[NumL]],T_TraitDi[#Data],COLUMN(T_TraitDi[Reg Ponct]),FALSE)</f>
        <v>#N/A</v>
      </c>
      <c r="Y285" s="97" t="e">
        <f>VLOOKUP(T_Convention[NumL],T_TraitDi[#Data],COLUMN(T_TraitDi[Jours flottants]),FALSE)</f>
        <v>#N/A</v>
      </c>
      <c r="Z285" s="284" t="str">
        <f>IFERROR(VLOOKUP(T_Convention[[#This Row],[NumL]],T_TraitDi[#Data],COLUMN(T_TraitDi[Lundi]),FALSE),"")</f>
        <v/>
      </c>
      <c r="AA285" s="284" t="e">
        <f>IF(VLOOKUP(T_Convention[[#This Row],[NumL]],T_TraitDi[#Data],COLUMN(T_TraitDi[Colonne3]),FALSE)=0,"",TEXT(IFERROR(VLOOKUP(T_Convention[[#This Row],[NumL]],T_TraitDi[#Data],COLUMN(T_TraitDi[Colonne3]),FALSE),""),"[hh]:mm"))</f>
        <v>#N/A</v>
      </c>
      <c r="AB285" s="284" t="e">
        <f>IF(VLOOKUP(T_Convention[[#This Row],[NumL]],T_TraitDi[#Data],COLUMN(T_TraitDi[Colonne4]),FALSE)=0,"",TEXT(IFERROR(VLOOKUP(T_Convention[[#This Row],[NumL]],T_TraitDi[#Data],COLUMN(T_TraitDi[Colonne4]),FALSE),""),"[hh]:mm"))</f>
        <v>#N/A</v>
      </c>
      <c r="AC285" s="284" t="e">
        <f>IF(VLOOKUP(T_Convention[[#This Row],[NumL]],T_TraitDi[#Data],COLUMN(T_TraitDi[Colonne5]),FALSE)=0,"",TEXT(IFERROR(VLOOKUP(T_Convention[[#This Row],[NumL]],T_TraitDi[#Data],COLUMN(T_TraitDi[Colonne5]),FALSE),""),"[hh]:mm"))</f>
        <v>#N/A</v>
      </c>
      <c r="AD285" s="284" t="e">
        <f>IF(VLOOKUP(T_Convention[[#This Row],[NumL]],T_TraitDi[#Data],COLUMN(T_TraitDi[Colonne6]),FALSE)=0,"",TEXT(IFERROR(VLOOKUP(T_Convention[[#This Row],[NumL]],T_TraitDi[#Data],COLUMN(T_TraitDi[Colonne6]),FALSE),""),"[hh]:mm"))</f>
        <v>#N/A</v>
      </c>
      <c r="AE285" s="284" t="e">
        <f>IF(VLOOKUP(T_Convention[[#This Row],[NumL]],T_TraitDi[#Data],COLUMN(T_TraitDi[Colonne7]),FALSE)=0,"",TEXT(IFERROR(VLOOKUP(T_Convention[[#This Row],[NumL]],T_TraitDi[#Data],COLUMN(T_TraitDi[Colonne7]),FALSE),""),"[hh]:mm"))</f>
        <v>#N/A</v>
      </c>
      <c r="AF285" s="284" t="e">
        <f>IF(VLOOKUP(T_Convention[[#This Row],[NumL]],T_TraitDi[#Data],COLUMN(T_TraitDi[Colonne8]),FALSE)=0,"",TEXT(IFERROR(VLOOKUP(T_Convention[[#This Row],[NumL]],T_TraitDi[#Data],COLUMN(T_TraitDi[Colonne8]),FALSE),""),"[hh]:mm"))</f>
        <v>#N/A</v>
      </c>
      <c r="AG285" s="284" t="str">
        <f>IFERROR(VLOOKUP(T_Convention[[#This Row],[NumL]],T_TraitDi[#Data],COLUMN(T_TraitDi[Mardi]),FALSE),"")</f>
        <v/>
      </c>
      <c r="AH285" s="284" t="e">
        <f>IF(VLOOKUP(T_Convention[[#This Row],[NumL]],T_TraitDi[#Data],COLUMN(T_TraitDi[Colonne1]),FALSE)=0,"",TEXT(IFERROR(VLOOKUP(T_Convention[[#This Row],[NumL]],T_TraitDi[#Data],COLUMN(T_TraitDi[Colonne1]),FALSE),""),"[hh]:mm"))</f>
        <v>#N/A</v>
      </c>
      <c r="AI285" s="284" t="e">
        <f>IF(VLOOKUP(T_Convention[[#This Row],[NumL]],T_TraitDi[#Data],COLUMN(T_TraitDi[Colonne9]),FALSE)=0,"",TEXT(IFERROR(VLOOKUP(T_Convention[[#This Row],[NumL]],T_TraitDi[#Data],COLUMN(T_TraitDi[Colonne9]),FALSE),""),"[hh]:mm"))</f>
        <v>#N/A</v>
      </c>
      <c r="AJ285" s="284" t="str">
        <f>IFERROR(VLOOKUP(T_Convention[[#This Row],[NumL]],T_TraitDi[#Data],COLUMN(T_TraitDi[Colonne10]),FALSE),"")</f>
        <v/>
      </c>
      <c r="AK285" s="284" t="e">
        <f>IF(VLOOKUP(T_Convention[[#This Row],[NumL]],T_TraitDi[#Data],COLUMN(T_TraitDi[Colonne11]),FALSE)=0,"",TEXT(IFERROR(VLOOKUP(T_Convention[[#This Row],[NumL]],T_TraitDi[#Data],COLUMN(T_TraitDi[Colonne11]),FALSE),""),"[hh]:mm"))</f>
        <v>#N/A</v>
      </c>
      <c r="AL285" s="284" t="e">
        <f>IF(VLOOKUP(T_Convention[[#This Row],[NumL]],T_TraitDi[#Data],COLUMN(T_TraitDi[Colonne12]),FALSE)=0,"",TEXT(IFERROR(VLOOKUP(T_Convention[[#This Row],[NumL]],T_TraitDi[#Data],COLUMN(T_TraitDi[Colonne12]),FALSE),""),"[hh]:mm"))</f>
        <v>#N/A</v>
      </c>
      <c r="AM285" s="284" t="e">
        <f>IF(VLOOKUP(T_Convention[[#This Row],[NumL]],T_TraitDi[#Data],COLUMN(T_TraitDi[Colonne14]),FALSE)=0,"",TEXT(IFERROR(VLOOKUP(T_Convention[[#This Row],[NumL]],T_TraitDi[#Data],COLUMN(T_TraitDi[Colonne14]),FALSE),""),"[hh]:mm"))</f>
        <v>#N/A</v>
      </c>
      <c r="AN285" s="284" t="str">
        <f>IFERROR(VLOOKUP(T_Convention[[#This Row],[NumL]],T_TraitDi[#Data],COLUMN(T_TraitDi[Mercredi]),FALSE),"")</f>
        <v/>
      </c>
      <c r="AO285" s="284" t="e">
        <f>IF(VLOOKUP(T_Convention[[#This Row],[NumL]],T_TraitDi[#Data],COLUMN(T_TraitDi[Colonne15]),FALSE)=0,"",TEXT(IFERROR(VLOOKUP(T_Convention[[#This Row],[NumL]],T_TraitDi[#Data],COLUMN(T_TraitDi[Colonne15]),FALSE),""),"[hh]:mm"))</f>
        <v>#N/A</v>
      </c>
      <c r="AP285" s="284" t="e">
        <f>IF(VLOOKUP(T_Convention[[#This Row],[NumL]],T_TraitDi[#Data],COLUMN(T_TraitDi[Colonne16]),FALSE)=0,"",TEXT(IFERROR(VLOOKUP(T_Convention[[#This Row],[NumL]],T_TraitDi[#Data],COLUMN(T_TraitDi[Colonne16]),FALSE),""),"[hh]:mm"))</f>
        <v>#N/A</v>
      </c>
      <c r="AQ285" s="284" t="str">
        <f>IFERROR(VLOOKUP(T_Convention[[#This Row],[NumL]],T_TraitDi[#Data],COLUMN(T_TraitDi[Colonne17]),FALSE),"")</f>
        <v/>
      </c>
      <c r="AR285" s="284" t="e">
        <f>IF(VLOOKUP(T_Convention[[#This Row],[NumL]],T_TraitDi[#Data],COLUMN(T_TraitDi[Colonne18]),FALSE)=0,"",TEXT(IFERROR(VLOOKUP(T_Convention[[#This Row],[NumL]],T_TraitDi[#Data],COLUMN(T_TraitDi[Colonne18]),FALSE),""),"[hh]:mm"))</f>
        <v>#N/A</v>
      </c>
      <c r="AS285" s="284" t="e">
        <f>IF(VLOOKUP(T_Convention[[#This Row],[NumL]],T_TraitDi[#Data],COLUMN(T_TraitDi[Colonne19]),FALSE)=0,"",TEXT(IFERROR(VLOOKUP(T_Convention[[#This Row],[NumL]],T_TraitDi[#Data],COLUMN(T_TraitDi[Colonne19]),FALSE),""),"[hh]:mm"))</f>
        <v>#N/A</v>
      </c>
      <c r="AT285" s="284" t="e">
        <f>IF(VLOOKUP(T_Convention[[#This Row],[NumL]],T_TraitDi[#Data],COLUMN(T_TraitDi[Colonne20]),FALSE)=0,"",TEXT(IFERROR(VLOOKUP(T_Convention[[#This Row],[NumL]],T_TraitDi[#Data],COLUMN(T_TraitDi[Colonne20]),FALSE),""),"[hh]:mm"))</f>
        <v>#N/A</v>
      </c>
      <c r="AU285" s="284" t="str">
        <f>IFERROR(VLOOKUP(T_Convention[[#This Row],[NumL]],T_TraitDi[#Data],COLUMN(T_TraitDi[Jeudi]),FALSE),"")</f>
        <v/>
      </c>
      <c r="AV285" s="284" t="e">
        <f>IF(VLOOKUP(T_Convention[[#This Row],[NumL]],T_TraitDi[#Data],COLUMN(T_TraitDi[Colonne21]),FALSE)=0,"",TEXT(IFERROR(VLOOKUP(T_Convention[[#This Row],[NumL]],T_TraitDi[#Data],COLUMN(T_TraitDi[Colonne21]),FALSE),""),"[hh]:mm"))</f>
        <v>#N/A</v>
      </c>
      <c r="AW285" s="284" t="e">
        <f>IF(VLOOKUP(T_Convention[[#This Row],[NumL]],T_TraitDi[#Data],COLUMN(T_TraitDi[Colonne22]),FALSE)=0,"",TEXT(IFERROR(VLOOKUP(T_Convention[[#This Row],[NumL]],T_TraitDi[#Data],COLUMN(T_TraitDi[Colonne22]),FALSE),""),"[hh]:mm"))</f>
        <v>#N/A</v>
      </c>
      <c r="AX285" s="284" t="str">
        <f>IFERROR(VLOOKUP(T_Convention[[#This Row],[NumL]],T_TraitDi[#Data],COLUMN(T_TraitDi[Colonne23]),FALSE),"")</f>
        <v/>
      </c>
      <c r="AY285" s="284" t="e">
        <f>IF(VLOOKUP(T_Convention[[#This Row],[NumL]],T_TraitDi[#Data],COLUMN(T_TraitDi[Colonne24]),FALSE)=0,"",TEXT(IFERROR(VLOOKUP(T_Convention[[#This Row],[NumL]],T_TraitDi[#Data],COLUMN(T_TraitDi[Colonne24]),FALSE),""),"[hh]:mm"))</f>
        <v>#N/A</v>
      </c>
      <c r="AZ285" s="284" t="e">
        <f>IF(VLOOKUP(T_Convention[[#This Row],[NumL]],T_TraitDi[#Data],COLUMN(T_TraitDi[Colonne25]),FALSE)=0,"",TEXT(IFERROR(VLOOKUP(T_Convention[[#This Row],[NumL]],T_TraitDi[#Data],COLUMN(T_TraitDi[Colonne25]),FALSE),""),"[hh]:mm"))</f>
        <v>#N/A</v>
      </c>
      <c r="BA285" s="284" t="e">
        <f>IF(VLOOKUP(T_Convention[[#This Row],[NumL]],T_TraitDi[#Data],COLUMN(T_TraitDi[Colonne26]),FALSE)=0,"",TEXT(IFERROR(VLOOKUP(T_Convention[[#This Row],[NumL]],T_TraitDi[#Data],COLUMN(T_TraitDi[Colonne26]),FALSE),""),"[hh]:mm"))</f>
        <v>#N/A</v>
      </c>
      <c r="BB285" s="284" t="str">
        <f>IFERROR(VLOOKUP(T_Convention[[#This Row],[NumL]],T_TraitDi[#Data],COLUMN(T_TraitDi[Vendredi]),FALSE),"")</f>
        <v/>
      </c>
      <c r="BC285" s="284" t="e">
        <f>IF(VLOOKUP(T_Convention[[#This Row],[NumL]],T_TraitDi[#Data],COLUMN(T_TraitDi[Colonne27]),FALSE)=0,"",TEXT(IFERROR(VLOOKUP(T_Convention[[#This Row],[NumL]],T_TraitDi[#Data],COLUMN(T_TraitDi[Colonne27]),FALSE),""),"[hh]:mm"))</f>
        <v>#N/A</v>
      </c>
      <c r="BD285" s="284" t="e">
        <f>IF(VLOOKUP(T_Convention[[#This Row],[NumL]],T_TraitDi[#Data],COLUMN(T_TraitDi[Colonne28]),FALSE)=0,"",TEXT(IFERROR(VLOOKUP(T_Convention[[#This Row],[NumL]],T_TraitDi[#Data],COLUMN(T_TraitDi[Colonne28]),FALSE),""),"[hh]:mm"))</f>
        <v>#N/A</v>
      </c>
      <c r="BE285" s="284" t="str">
        <f>IFERROR(VLOOKUP(T_Convention[[#This Row],[NumL]],T_TraitDi[#Data],COLUMN(T_TraitDi[Colonne29]),FALSE),"")</f>
        <v/>
      </c>
      <c r="BF285" s="284" t="e">
        <f>IF(VLOOKUP(T_Convention[[#This Row],[NumL]],T_TraitDi[#Data],COLUMN(T_TraitDi[Colonne30]),FALSE)=0,"",TEXT(IFERROR(VLOOKUP(T_Convention[[#This Row],[NumL]],T_TraitDi[#Data],COLUMN(T_TraitDi[Colonne30]),FALSE),""),"[hh]:mm"))</f>
        <v>#N/A</v>
      </c>
      <c r="BG285" s="284" t="e">
        <f>IF(VLOOKUP(T_Convention[[#This Row],[NumL]],T_TraitDi[#Data],COLUMN(T_TraitDi[Colonne31]),FALSE)=0,"",TEXT(IFERROR(VLOOKUP(T_Convention[[#This Row],[NumL]],T_TraitDi[#Data],COLUMN(T_TraitDi[Colonne31]),FALSE),""),"[hh]:mm"))</f>
        <v>#N/A</v>
      </c>
      <c r="BH285" s="284" t="e">
        <f>IF(VLOOKUP(T_Convention[[#This Row],[NumL]],T_TraitDi[#Data],COLUMN(T_TraitDi[Colonne32]),FALSE)=0,"",TEXT(IFERROR(VLOOKUP(T_Convention[[#This Row],[NumL]],T_TraitDi[#Data],COLUMN(T_TraitDi[Colonne32]),FALSE),""),"[hh]:mm"))</f>
        <v>#N/A</v>
      </c>
      <c r="BI285" s="284" t="str">
        <f>IFERROR(VLOOKUP(T_Convention[[#This Row],[NumL]],T_TraitDi[#Data],COLUMN(T_TraitDi[NbJTW]),FALSE),"")</f>
        <v/>
      </c>
      <c r="BJ285" s="284" t="e">
        <f>IF(VLOOKUP(T_Convention[[#This Row],[NumL]],T_TraitDi[#Data],COLUMN(T_TraitDi[NbhTW]),FALSE)=0,"",TEXT(IFERROR(VLOOKUP(T_Convention[[#This Row],[NumL]],T_TraitDi[#Data],COLUMN(T_TraitDi[NbhTW]),FALSE),""),"[hh]:mm"))</f>
        <v>#N/A</v>
      </c>
      <c r="BK285" s="286" t="e">
        <f>IF(VLOOKUP(T_Convention[[#This Row],[NumL]],T_TraitDi[#Data],COLUMN(T_TraitDi[Nbhheb]),FALSE)=0,"",TEXT(IFERROR(VLOOKUP(T_Convention[[#This Row],[NumL]],T_TraitDi[#Data],COLUMN(T_TraitDi[Nbhheb]),FALSE),""),"[hh]:mm"))</f>
        <v>#N/A</v>
      </c>
      <c r="BL285" s="287" t="str">
        <f>IFERROR(VLOOKUP(VLOOKUP(T_Convention[[#This Row],[NumL]],T_TraitDi[#Data],COLUMN(T_TraitDi[Type1]),FALSE),TypeTW,2,FALSE),"")</f>
        <v/>
      </c>
      <c r="BM285" s="288" t="str">
        <f>IFERROR(VLOOKUP(T_Convention[[#This Row],[NumL]],T_TraitDi[#Data],COLUMN(T_TraitDi[Rue1]),FALSE),"")</f>
        <v/>
      </c>
      <c r="BN285" s="289" t="str">
        <f>IFERROR(VLOOKUP(T_Convention[[#This Row],[NumL]],T_TraitDi[#Data],COLUMN(T_TraitDi[CP1]),FALSE),"")</f>
        <v/>
      </c>
      <c r="BO285" s="282" t="str">
        <f>IFERROR(VLOOKUP(T_Convention[[#This Row],[NumL]],T_TraitDi[#Data],COLUMN(T_TraitDi[VILLE1]),FALSE),"")</f>
        <v/>
      </c>
      <c r="BP285" s="290" t="str">
        <f>IFERROR(VLOOKUP(VLOOKUP(T_Convention[[#This Row],[NumL]],T_TraitDi[#Data],COLUMN(T_TraitDi[Type2]),FALSE),TypeTW,2,FALSE),"")</f>
        <v/>
      </c>
      <c r="BQ285" s="182" t="str">
        <f>IFERROR(VLOOKUP(T_Convention[[#This Row],[NumL]],T_TraitDi[#Data],COLUMN(T_TraitDi[Rue2]),FALSE),"")</f>
        <v/>
      </c>
      <c r="BR285" s="173" t="str">
        <f>IFERROR(VLOOKUP(T_Convention[[#This Row],[NumL]],T_TraitDi[#Data],COLUMN(T_TraitDi[CP2]),FALSE),"")</f>
        <v/>
      </c>
      <c r="BS285" s="173" t="str">
        <f>IFERROR(VLOOKUP(T_Convention[[#This Row],[NumL]],T_TraitDi[#Data],COLUMN(T_TraitDi[VILLE2]),FALSE),"")</f>
        <v/>
      </c>
      <c r="BT285" s="182" t="str">
        <f>IF(VLOOKUP(T_Convention[[#This Row],[NumL]],T_Equipement[#Data],COLUMN(T_Equipement[PC]),FALSE)="","Aucun équipement spécifique directement lié au télétravail",VLOOKUP(T_Convention[[#This Row],[NumL]],T_Equipement[#Data],COLUMN(T_Equipement[PC]),FALSE))</f>
        <v xml:space="preserve">20-266	</v>
      </c>
      <c r="BU285" s="166" t="str">
        <f>IFERROR(IF(VLOOKUP(T_Convention[[#This Row],[NumL]],T_TraitDi[#Data],COLUMN(T_TraitDi[Plan]),FALSE)="OK","Un planning spécifique de télétravail est annexé à la présente convention.",""),"")</f>
        <v/>
      </c>
      <c r="BV285" s="185" t="s">
        <v>3526</v>
      </c>
      <c r="BW285" s="164" t="e">
        <f>IF(VLOOKUP(T_Convention[[#This Row],[NumL]],T_suiviDi[#Data],COLUMN(T_suiviDi[Entité]),FALSE)="","",VLOOKUP(T_Convention[[#This Row],[NumL]],T_suiviDi[#Data],COLUMN(T_suiviDi[Entité]),FALSE))</f>
        <v>#N/A</v>
      </c>
      <c r="BX285" s="164" t="str">
        <f>IF(VLOOKUP(T_Convention[[#This Row],[NumL]],T_Commission[#Data],COLUMN(T_Commission[envoi confirm TW]),FALSE)="","",VLOOKUP(T_Convention[[#This Row],[NumL]],T_Commission[#Data],COLUMN(T_Commission[envoi confirm TW]),FALSE))</f>
        <v>Oui</v>
      </c>
      <c r="BY28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5" s="264">
        <f>VLOOKUP(T_Convention[[#This Row],[NumL]],T_Commission[#Data],COLUMN(T_Commission[Commentaire]),FALSE)</f>
        <v>0</v>
      </c>
      <c r="CA285" s="254" t="str">
        <f>IF(VLOOKUP(T_Convention[[#This Row],[NumL]],T_Commission[#Data],COLUMN(T_Commission[Encadrant Email]),FALSE)="","",VLOOKUP(T_Convention[[#This Row],[NumL]],T_Commission[#Data],COLUMN(T_Commission[Encadrant Email]),FALSE))</f>
        <v/>
      </c>
      <c r="CB285" s="353" t="e">
        <f>VLOOKUP(T_Convention[[#This Row],[NumL]],T_TraitDi[#Data],COLUMN(T_TraitDi[NbJTot]),FALSE)</f>
        <v>#N/A</v>
      </c>
      <c r="CC285" s="353" t="e">
        <f>VLOOKUP(T_Convention[[#This Row],[NumL]],T_TraitDi[#Data],COLUMN(T_TraitDi[Reg Ponct]),FALSE)</f>
        <v>#N/A</v>
      </c>
      <c r="CD285" s="348" t="str">
        <f>IF(T_Convention[[#This Row],[Final]]&lt;&gt;"",VLOOKUP(T_Convention[[#This Row],[NumL]],T_suiviDi[#Data],COLUMN((T_suiviDi[Statut])),FALSE),"")</f>
        <v/>
      </c>
    </row>
    <row r="286" spans="1:82" s="106" customFormat="1" ht="18.75" customHeight="1" x14ac:dyDescent="0.25">
      <c r="A286" s="160">
        <v>262</v>
      </c>
      <c r="B286" s="161" t="str">
        <f>VLOOKUP(T_Convention[[#This Row],[NumL]],T_Commission[#Data],COLUMN(T_Commission[FINAL]),FALSE)</f>
        <v/>
      </c>
      <c r="C286" s="162"/>
      <c r="D286" s="95" t="e">
        <f>IF(VLOOKUP(T_Convention[[#This Row],[NumL]],T_TraitDi[#Data],COLUMN(T_TraitDi[WebC]),FALSE)="","",VLOOKUP(T_Convention[[#This Row],[NumL]],T_TraitDi[#Data],COLUMN(T_TraitDi[WebC]),FALSE))</f>
        <v>#N/A</v>
      </c>
      <c r="E286" s="163" t="str">
        <f t="shared" si="20"/>
        <v>12 janvier 2021</v>
      </c>
      <c r="F286" s="282" t="str">
        <f>IF(T_Convention[[#This Row],[Final]]&lt;&gt;"",VLOOKUP(T_Convention[[#This Row],[NumL]],T_suiviDi[#Data],COLUMN((T_suiviDi[Civ.])),FALSE),"")</f>
        <v/>
      </c>
      <c r="G286" s="283" t="str">
        <f>IF(T_Convention[[#This Row],[Final]]&lt;&gt;"",VLOOKUP(T_Convention[[#This Row],[NumL]],T_suiviDi[#Data],COLUMN((T_suiviDi[Nom])),FALSE),"")</f>
        <v/>
      </c>
      <c r="H286" s="282" t="str">
        <f>IF(T_Convention[[#This Row],[Final]]&lt;&gt;"",VLOOKUP(T_Convention[[#This Row],[NumL]],T_suiviDi[#Data],COLUMN((T_suiviDi[Prénom])),FALSE),"")</f>
        <v/>
      </c>
      <c r="I286" s="282" t="e">
        <f>VLOOKUP(T_Convention[[#This Row],[NumL]],T_suiviDi[#Data],COLUMN((T_suiviDi[[#This Row],[Email]])),FALSE)</f>
        <v>#VALUE!</v>
      </c>
      <c r="J286" s="282" t="e">
        <f>IF(VLOOKUP(T_Convention[[#This Row],[NumL]],T_suiviDi[#Data],COLUMN(T_suiviDi[[#This Row],[Fonction]]),FALSE)="","",VLOOKUP(T_Convention[[#This Row],[NumL]],T_suiviDi[#Data],COLUMN(T_suiviDi[[#This Row],[Fonction]]),FALSE))</f>
        <v>#VALUE!</v>
      </c>
      <c r="K286" s="282" t="e">
        <f>IF(VLOOKUP(T_Convention[[#This Row],[NumL]],T_suiviDi[#Data],COLUMN(T_suiviDi[[#This Row],[Grade]]),FALSE)="","",VLOOKUP(T_Convention[[#This Row],[NumL]],T_suiviDi[#Data],COLUMN(T_suiviDi[[#This Row],[Grade]]),FALSE))</f>
        <v>#VALUE!</v>
      </c>
      <c r="L286" s="282" t="e">
        <f>IF(VLOOKUP(T_Convention[[#This Row],[NumL]],T_suiviDi[#Data],COLUMN(T_suiviDi[[#This Row],[Service ]]),FALSE)="","",VLOOKUP(T_Convention[[#This Row],[NumL]],T_suiviDi[#Data],COLUMN(T_suiviDi[[#This Row],[Service ]]),FALSE))</f>
        <v>#VALUE!</v>
      </c>
      <c r="M286" s="164" t="str">
        <f t="shared" si="21"/>
        <v>01 septembre 2021</v>
      </c>
      <c r="N286" s="164" t="str">
        <f t="shared" si="22"/>
        <v>30 novembre 2021</v>
      </c>
      <c r="O286" s="284" t="str">
        <f t="shared" si="23"/>
        <v>30 novembre 2021</v>
      </c>
      <c r="P286" s="282" t="e">
        <f>IF(VLOOKUP(T_Convention[[#This Row],[NumL]],T_TraitDi[#Data],COLUMN(T_TraitDi[M1]),FALSE)="","",VLOOKUP(T_Convention[[#This Row],[NumL]],T_TraitDi[#Data],COLUMN(T_TraitDi[M1]),FALSE))</f>
        <v>#N/A</v>
      </c>
      <c r="Q286" s="282" t="e">
        <f>IF(VLOOKUP(T_Convention[[#This Row],[NumL]],T_TraitDi[#Data],COLUMN(T_TraitDi[M2]),FALSE)="","",VLOOKUP(T_Convention[[#This Row],[NumL]],T_TraitDi[#Data],COLUMN(T_TraitDi[M2]),FALSE))</f>
        <v>#N/A</v>
      </c>
      <c r="R286" s="282" t="e">
        <f>IF(VLOOKUP(T_Convention[[#This Row],[NumL]],T_TraitDi[#Data],COLUMN(T_TraitDi[M3]),FALSE)="","",VLOOKUP(T_Convention[[#This Row],[NumL]],T_TraitDi[#Data],COLUMN(T_TraitDi[M3]),FALSE))</f>
        <v>#N/A</v>
      </c>
      <c r="S286" s="282" t="e">
        <f>IF(VLOOKUP(T_Convention[[#This Row],[NumL]],T_TraitDi[#Data],COLUMN(T_TraitDi[M4]),FALSE)="","",VLOOKUP(T_Convention[[#This Row],[NumL]],T_TraitDi[#Data],COLUMN(T_TraitDi[M4]),FALSE))</f>
        <v>#N/A</v>
      </c>
      <c r="T286" s="282" t="e">
        <f>IF(VLOOKUP(T_Convention[[#This Row],[NumL]],T_TraitDi[#Data],COLUMN(T_TraitDi[M5]),FALSE)="","",VLOOKUP(T_Convention[[#This Row],[NumL]],T_TraitDi[#Data],COLUMN(T_TraitDi[M5]),FALSE))</f>
        <v>#N/A</v>
      </c>
      <c r="U286" s="282" t="e">
        <f>IF(VLOOKUP(T_Convention[[#This Row],[NumL]],T_TraitDi[#Data],COLUMN(T_TraitDi[M6]),FALSE)="","",VLOOKUP(T_Convention[[#This Row],[NumL]],T_TraitDi[#Data],COLUMN(T_TraitDi[M6]),FALSE))</f>
        <v>#N/A</v>
      </c>
      <c r="V286" s="176" t="e">
        <f t="shared" si="24"/>
        <v>#N/A</v>
      </c>
      <c r="W286" s="284" t="str">
        <f>IFERROR(TEXT(VLOOKUP(T_Convention[[#This Row],[NumL]],T_TraitDi[#Data],COLUMN(T_TraitDi[Q2]),FALSE),"###%"),"")</f>
        <v/>
      </c>
      <c r="X286" s="97" t="e">
        <f>VLOOKUP(T_Convention[[#This Row],[NumL]],T_TraitDi[#Data],COLUMN(T_TraitDi[Reg Ponct]),FALSE)</f>
        <v>#N/A</v>
      </c>
      <c r="Y286" s="97" t="e">
        <f>VLOOKUP(T_Convention[NumL],T_TraitDi[#Data],COLUMN(T_TraitDi[Jours flottants]),FALSE)</f>
        <v>#N/A</v>
      </c>
      <c r="Z286" s="284" t="str">
        <f>IFERROR(VLOOKUP(T_Convention[[#This Row],[NumL]],T_TraitDi[#Data],COLUMN(T_TraitDi[Lundi]),FALSE),"")</f>
        <v/>
      </c>
      <c r="AA286" s="284" t="e">
        <f>IF(VLOOKUP(T_Convention[[#This Row],[NumL]],T_TraitDi[#Data],COLUMN(T_TraitDi[Colonne3]),FALSE)=0,"",TEXT(IFERROR(VLOOKUP(T_Convention[[#This Row],[NumL]],T_TraitDi[#Data],COLUMN(T_TraitDi[Colonne3]),FALSE),""),"[hh]:mm"))</f>
        <v>#N/A</v>
      </c>
      <c r="AB286" s="284" t="e">
        <f>IF(VLOOKUP(T_Convention[[#This Row],[NumL]],T_TraitDi[#Data],COLUMN(T_TraitDi[Colonne4]),FALSE)=0,"",TEXT(IFERROR(VLOOKUP(T_Convention[[#This Row],[NumL]],T_TraitDi[#Data],COLUMN(T_TraitDi[Colonne4]),FALSE),""),"[hh]:mm"))</f>
        <v>#N/A</v>
      </c>
      <c r="AC286" s="284" t="e">
        <f>IF(VLOOKUP(T_Convention[[#This Row],[NumL]],T_TraitDi[#Data],COLUMN(T_TraitDi[Colonne5]),FALSE)=0,"",TEXT(IFERROR(VLOOKUP(T_Convention[[#This Row],[NumL]],T_TraitDi[#Data],COLUMN(T_TraitDi[Colonne5]),FALSE),""),"[hh]:mm"))</f>
        <v>#N/A</v>
      </c>
      <c r="AD286" s="284" t="e">
        <f>IF(VLOOKUP(T_Convention[[#This Row],[NumL]],T_TraitDi[#Data],COLUMN(T_TraitDi[Colonne6]),FALSE)=0,"",TEXT(IFERROR(VLOOKUP(T_Convention[[#This Row],[NumL]],T_TraitDi[#Data],COLUMN(T_TraitDi[Colonne6]),FALSE),""),"[hh]:mm"))</f>
        <v>#N/A</v>
      </c>
      <c r="AE286" s="284" t="e">
        <f>IF(VLOOKUP(T_Convention[[#This Row],[NumL]],T_TraitDi[#Data],COLUMN(T_TraitDi[Colonne7]),FALSE)=0,"",TEXT(IFERROR(VLOOKUP(T_Convention[[#This Row],[NumL]],T_TraitDi[#Data],COLUMN(T_TraitDi[Colonne7]),FALSE),""),"[hh]:mm"))</f>
        <v>#N/A</v>
      </c>
      <c r="AF286" s="284" t="e">
        <f>IF(VLOOKUP(T_Convention[[#This Row],[NumL]],T_TraitDi[#Data],COLUMN(T_TraitDi[Colonne8]),FALSE)=0,"",TEXT(IFERROR(VLOOKUP(T_Convention[[#This Row],[NumL]],T_TraitDi[#Data],COLUMN(T_TraitDi[Colonne8]),FALSE),""),"[hh]:mm"))</f>
        <v>#N/A</v>
      </c>
      <c r="AG286" s="284" t="str">
        <f>IFERROR(VLOOKUP(T_Convention[[#This Row],[NumL]],T_TraitDi[#Data],COLUMN(T_TraitDi[Mardi]),FALSE),"")</f>
        <v/>
      </c>
      <c r="AH286" s="284" t="e">
        <f>IF(VLOOKUP(T_Convention[[#This Row],[NumL]],T_TraitDi[#Data],COLUMN(T_TraitDi[Colonne1]),FALSE)=0,"",TEXT(IFERROR(VLOOKUP(T_Convention[[#This Row],[NumL]],T_TraitDi[#Data],COLUMN(T_TraitDi[Colonne1]),FALSE),""),"[hh]:mm"))</f>
        <v>#N/A</v>
      </c>
      <c r="AI286" s="284" t="e">
        <f>IF(VLOOKUP(T_Convention[[#This Row],[NumL]],T_TraitDi[#Data],COLUMN(T_TraitDi[Colonne9]),FALSE)=0,"",TEXT(IFERROR(VLOOKUP(T_Convention[[#This Row],[NumL]],T_TraitDi[#Data],COLUMN(T_TraitDi[Colonne9]),FALSE),""),"[hh]:mm"))</f>
        <v>#N/A</v>
      </c>
      <c r="AJ286" s="284" t="str">
        <f>IFERROR(VLOOKUP(T_Convention[[#This Row],[NumL]],T_TraitDi[#Data],COLUMN(T_TraitDi[Colonne10]),FALSE),"")</f>
        <v/>
      </c>
      <c r="AK286" s="284" t="e">
        <f>IF(VLOOKUP(T_Convention[[#This Row],[NumL]],T_TraitDi[#Data],COLUMN(T_TraitDi[Colonne11]),FALSE)=0,"",TEXT(IFERROR(VLOOKUP(T_Convention[[#This Row],[NumL]],T_TraitDi[#Data],COLUMN(T_TraitDi[Colonne11]),FALSE),""),"[hh]:mm"))</f>
        <v>#N/A</v>
      </c>
      <c r="AL286" s="284" t="e">
        <f>IF(VLOOKUP(T_Convention[[#This Row],[NumL]],T_TraitDi[#Data],COLUMN(T_TraitDi[Colonne12]),FALSE)=0,"",TEXT(IFERROR(VLOOKUP(T_Convention[[#This Row],[NumL]],T_TraitDi[#Data],COLUMN(T_TraitDi[Colonne12]),FALSE),""),"[hh]:mm"))</f>
        <v>#N/A</v>
      </c>
      <c r="AM286" s="284" t="e">
        <f>IF(VLOOKUP(T_Convention[[#This Row],[NumL]],T_TraitDi[#Data],COLUMN(T_TraitDi[Colonne14]),FALSE)=0,"",TEXT(IFERROR(VLOOKUP(T_Convention[[#This Row],[NumL]],T_TraitDi[#Data],COLUMN(T_TraitDi[Colonne14]),FALSE),""),"[hh]:mm"))</f>
        <v>#N/A</v>
      </c>
      <c r="AN286" s="284" t="str">
        <f>IFERROR(VLOOKUP(T_Convention[[#This Row],[NumL]],T_TraitDi[#Data],COLUMN(T_TraitDi[Mercredi]),FALSE),"")</f>
        <v/>
      </c>
      <c r="AO286" s="284" t="e">
        <f>IF(VLOOKUP(T_Convention[[#This Row],[NumL]],T_TraitDi[#Data],COLUMN(T_TraitDi[Colonne15]),FALSE)=0,"",TEXT(IFERROR(VLOOKUP(T_Convention[[#This Row],[NumL]],T_TraitDi[#Data],COLUMN(T_TraitDi[Colonne15]),FALSE),""),"[hh]:mm"))</f>
        <v>#N/A</v>
      </c>
      <c r="AP286" s="284" t="e">
        <f>IF(VLOOKUP(T_Convention[[#This Row],[NumL]],T_TraitDi[#Data],COLUMN(T_TraitDi[Colonne16]),FALSE)=0,"",TEXT(IFERROR(VLOOKUP(T_Convention[[#This Row],[NumL]],T_TraitDi[#Data],COLUMN(T_TraitDi[Colonne16]),FALSE),""),"[hh]:mm"))</f>
        <v>#N/A</v>
      </c>
      <c r="AQ286" s="284" t="str">
        <f>IFERROR(VLOOKUP(T_Convention[[#This Row],[NumL]],T_TraitDi[#Data],COLUMN(T_TraitDi[Colonne17]),FALSE),"")</f>
        <v/>
      </c>
      <c r="AR286" s="284" t="e">
        <f>IF(VLOOKUP(T_Convention[[#This Row],[NumL]],T_TraitDi[#Data],COLUMN(T_TraitDi[Colonne18]),FALSE)=0,"",TEXT(IFERROR(VLOOKUP(T_Convention[[#This Row],[NumL]],T_TraitDi[#Data],COLUMN(T_TraitDi[Colonne18]),FALSE),""),"[hh]:mm"))</f>
        <v>#N/A</v>
      </c>
      <c r="AS286" s="284" t="e">
        <f>IF(VLOOKUP(T_Convention[[#This Row],[NumL]],T_TraitDi[#Data],COLUMN(T_TraitDi[Colonne19]),FALSE)=0,"",TEXT(IFERROR(VLOOKUP(T_Convention[[#This Row],[NumL]],T_TraitDi[#Data],COLUMN(T_TraitDi[Colonne19]),FALSE),""),"[hh]:mm"))</f>
        <v>#N/A</v>
      </c>
      <c r="AT286" s="284" t="e">
        <f>IF(VLOOKUP(T_Convention[[#This Row],[NumL]],T_TraitDi[#Data],COLUMN(T_TraitDi[Colonne20]),FALSE)=0,"",TEXT(IFERROR(VLOOKUP(T_Convention[[#This Row],[NumL]],T_TraitDi[#Data],COLUMN(T_TraitDi[Colonne20]),FALSE),""),"[hh]:mm"))</f>
        <v>#N/A</v>
      </c>
      <c r="AU286" s="284" t="str">
        <f>IFERROR(VLOOKUP(T_Convention[[#This Row],[NumL]],T_TraitDi[#Data],COLUMN(T_TraitDi[Jeudi]),FALSE),"")</f>
        <v/>
      </c>
      <c r="AV286" s="284" t="e">
        <f>IF(VLOOKUP(T_Convention[[#This Row],[NumL]],T_TraitDi[#Data],COLUMN(T_TraitDi[Colonne21]),FALSE)=0,"",TEXT(IFERROR(VLOOKUP(T_Convention[[#This Row],[NumL]],T_TraitDi[#Data],COLUMN(T_TraitDi[Colonne21]),FALSE),""),"[hh]:mm"))</f>
        <v>#N/A</v>
      </c>
      <c r="AW286" s="284" t="e">
        <f>IF(VLOOKUP(T_Convention[[#This Row],[NumL]],T_TraitDi[#Data],COLUMN(T_TraitDi[Colonne22]),FALSE)=0,"",TEXT(IFERROR(VLOOKUP(T_Convention[[#This Row],[NumL]],T_TraitDi[#Data],COLUMN(T_TraitDi[Colonne22]),FALSE),""),"[hh]:mm"))</f>
        <v>#N/A</v>
      </c>
      <c r="AX286" s="284" t="str">
        <f>IFERROR(VLOOKUP(T_Convention[[#This Row],[NumL]],T_TraitDi[#Data],COLUMN(T_TraitDi[Colonne23]),FALSE),"")</f>
        <v/>
      </c>
      <c r="AY286" s="284" t="e">
        <f>IF(VLOOKUP(T_Convention[[#This Row],[NumL]],T_TraitDi[#Data],COLUMN(T_TraitDi[Colonne24]),FALSE)=0,"",TEXT(IFERROR(VLOOKUP(T_Convention[[#This Row],[NumL]],T_TraitDi[#Data],COLUMN(T_TraitDi[Colonne24]),FALSE),""),"[hh]:mm"))</f>
        <v>#N/A</v>
      </c>
      <c r="AZ286" s="284" t="e">
        <f>IF(VLOOKUP(T_Convention[[#This Row],[NumL]],T_TraitDi[#Data],COLUMN(T_TraitDi[Colonne25]),FALSE)=0,"",TEXT(IFERROR(VLOOKUP(T_Convention[[#This Row],[NumL]],T_TraitDi[#Data],COLUMN(T_TraitDi[Colonne25]),FALSE),""),"[hh]:mm"))</f>
        <v>#N/A</v>
      </c>
      <c r="BA286" s="284" t="e">
        <f>IF(VLOOKUP(T_Convention[[#This Row],[NumL]],T_TraitDi[#Data],COLUMN(T_TraitDi[Colonne26]),FALSE)=0,"",TEXT(IFERROR(VLOOKUP(T_Convention[[#This Row],[NumL]],T_TraitDi[#Data],COLUMN(T_TraitDi[Colonne26]),FALSE),""),"[hh]:mm"))</f>
        <v>#N/A</v>
      </c>
      <c r="BB286" s="284" t="str">
        <f>IFERROR(VLOOKUP(T_Convention[[#This Row],[NumL]],T_TraitDi[#Data],COLUMN(T_TraitDi[Vendredi]),FALSE),"")</f>
        <v/>
      </c>
      <c r="BC286" s="284" t="e">
        <f>IF(VLOOKUP(T_Convention[[#This Row],[NumL]],T_TraitDi[#Data],COLUMN(T_TraitDi[Colonne27]),FALSE)=0,"",TEXT(IFERROR(VLOOKUP(T_Convention[[#This Row],[NumL]],T_TraitDi[#Data],COLUMN(T_TraitDi[Colonne27]),FALSE),""),"[hh]:mm"))</f>
        <v>#N/A</v>
      </c>
      <c r="BD286" s="284" t="e">
        <f>IF(VLOOKUP(T_Convention[[#This Row],[NumL]],T_TraitDi[#Data],COLUMN(T_TraitDi[Colonne28]),FALSE)=0,"",TEXT(IFERROR(VLOOKUP(T_Convention[[#This Row],[NumL]],T_TraitDi[#Data],COLUMN(T_TraitDi[Colonne28]),FALSE),""),"[hh]:mm"))</f>
        <v>#N/A</v>
      </c>
      <c r="BE286" s="284" t="str">
        <f>IFERROR(VLOOKUP(T_Convention[[#This Row],[NumL]],T_TraitDi[#Data],COLUMN(T_TraitDi[Colonne29]),FALSE),"")</f>
        <v/>
      </c>
      <c r="BF286" s="284" t="e">
        <f>IF(VLOOKUP(T_Convention[[#This Row],[NumL]],T_TraitDi[#Data],COLUMN(T_TraitDi[Colonne30]),FALSE)=0,"",TEXT(IFERROR(VLOOKUP(T_Convention[[#This Row],[NumL]],T_TraitDi[#Data],COLUMN(T_TraitDi[Colonne30]),FALSE),""),"[hh]:mm"))</f>
        <v>#N/A</v>
      </c>
      <c r="BG286" s="284" t="e">
        <f>IF(VLOOKUP(T_Convention[[#This Row],[NumL]],T_TraitDi[#Data],COLUMN(T_TraitDi[Colonne31]),FALSE)=0,"",TEXT(IFERROR(VLOOKUP(T_Convention[[#This Row],[NumL]],T_TraitDi[#Data],COLUMN(T_TraitDi[Colonne31]),FALSE),""),"[hh]:mm"))</f>
        <v>#N/A</v>
      </c>
      <c r="BH286" s="284" t="e">
        <f>IF(VLOOKUP(T_Convention[[#This Row],[NumL]],T_TraitDi[#Data],COLUMN(T_TraitDi[Colonne32]),FALSE)=0,"",TEXT(IFERROR(VLOOKUP(T_Convention[[#This Row],[NumL]],T_TraitDi[#Data],COLUMN(T_TraitDi[Colonne32]),FALSE),""),"[hh]:mm"))</f>
        <v>#N/A</v>
      </c>
      <c r="BI286" s="284" t="str">
        <f>IFERROR(VLOOKUP(T_Convention[[#This Row],[NumL]],T_TraitDi[#Data],COLUMN(T_TraitDi[NbJTW]),FALSE),"")</f>
        <v/>
      </c>
      <c r="BJ286" s="284" t="e">
        <f>IF(VLOOKUP(T_Convention[[#This Row],[NumL]],T_TraitDi[#Data],COLUMN(T_TraitDi[NbhTW]),FALSE)=0,"",TEXT(IFERROR(VLOOKUP(T_Convention[[#This Row],[NumL]],T_TraitDi[#Data],COLUMN(T_TraitDi[NbhTW]),FALSE),""),"[hh]:mm"))</f>
        <v>#N/A</v>
      </c>
      <c r="BK286" s="286" t="e">
        <f>IF(VLOOKUP(T_Convention[[#This Row],[NumL]],T_TraitDi[#Data],COLUMN(T_TraitDi[Nbhheb]),FALSE)=0,"",TEXT(IFERROR(VLOOKUP(T_Convention[[#This Row],[NumL]],T_TraitDi[#Data],COLUMN(T_TraitDi[Nbhheb]),FALSE),""),"[hh]:mm"))</f>
        <v>#N/A</v>
      </c>
      <c r="BL286" s="287" t="str">
        <f>IFERROR(VLOOKUP(VLOOKUP(T_Convention[[#This Row],[NumL]],T_TraitDi[#Data],COLUMN(T_TraitDi[Type1]),FALSE),TypeTW,2,FALSE),"")</f>
        <v/>
      </c>
      <c r="BM286" s="288" t="str">
        <f>IFERROR(VLOOKUP(T_Convention[[#This Row],[NumL]],T_TraitDi[#Data],COLUMN(T_TraitDi[Rue1]),FALSE),"")</f>
        <v/>
      </c>
      <c r="BN286" s="289" t="str">
        <f>IFERROR(VLOOKUP(T_Convention[[#This Row],[NumL]],T_TraitDi[#Data],COLUMN(T_TraitDi[CP1]),FALSE),"")</f>
        <v/>
      </c>
      <c r="BO286" s="282" t="str">
        <f>IFERROR(VLOOKUP(T_Convention[[#This Row],[NumL]],T_TraitDi[#Data],COLUMN(T_TraitDi[VILLE1]),FALSE),"")</f>
        <v/>
      </c>
      <c r="BP286" s="290" t="str">
        <f>IFERROR(VLOOKUP(VLOOKUP(T_Convention[[#This Row],[NumL]],T_TraitDi[#Data],COLUMN(T_TraitDi[Type2]),FALSE),TypeTW,2,FALSE),"")</f>
        <v/>
      </c>
      <c r="BQ286" s="182" t="str">
        <f>IFERROR(VLOOKUP(T_Convention[[#This Row],[NumL]],T_TraitDi[#Data],COLUMN(T_TraitDi[Rue2]),FALSE),"")</f>
        <v/>
      </c>
      <c r="BR286" s="173" t="str">
        <f>IFERROR(VLOOKUP(T_Convention[[#This Row],[NumL]],T_TraitDi[#Data],COLUMN(T_TraitDi[CP2]),FALSE),"")</f>
        <v/>
      </c>
      <c r="BS286" s="173" t="str">
        <f>IFERROR(VLOOKUP(T_Convention[[#This Row],[NumL]],T_TraitDi[#Data],COLUMN(T_TraitDi[VILLE2]),FALSE),"")</f>
        <v/>
      </c>
      <c r="BT286" s="182" t="str">
        <f>IF(VLOOKUP(T_Convention[[#This Row],[NumL]],T_Equipement[#Data],COLUMN(T_Equipement[PC]),FALSE)="","Aucun équipement spécifique directement lié au télétravail",VLOOKUP(T_Convention[[#This Row],[NumL]],T_Equipement[#Data],COLUMN(T_Equipement[PC]),FALSE))</f>
        <v xml:space="preserve">18-056	</v>
      </c>
      <c r="BU286" s="166" t="str">
        <f>IFERROR(IF(VLOOKUP(T_Convention[[#This Row],[NumL]],T_TraitDi[#Data],COLUMN(T_TraitDi[Plan]),FALSE)="OK","Un planning spécifique de télétravail est annexé à la présente convention.",""),"")</f>
        <v/>
      </c>
      <c r="BV286" s="185" t="s">
        <v>3527</v>
      </c>
      <c r="BW286" s="164" t="e">
        <f>IF(VLOOKUP(T_Convention[[#This Row],[NumL]],T_suiviDi[#Data],COLUMN(T_suiviDi[Entité]),FALSE)="","",VLOOKUP(T_Convention[[#This Row],[NumL]],T_suiviDi[#Data],COLUMN(T_suiviDi[Entité]),FALSE))</f>
        <v>#N/A</v>
      </c>
      <c r="BX286" s="164" t="str">
        <f>IF(VLOOKUP(T_Convention[[#This Row],[NumL]],T_Commission[#Data],COLUMN(T_Commission[envoi confirm TW]),FALSE)="","",VLOOKUP(T_Convention[[#This Row],[NumL]],T_Commission[#Data],COLUMN(T_Commission[envoi confirm TW]),FALSE))</f>
        <v>Oui</v>
      </c>
      <c r="BY28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6" s="265">
        <f>VLOOKUP(T_Convention[[#This Row],[NumL]],T_Commission[#Data],COLUMN(T_Commission[Commentaire]),FALSE)</f>
        <v>0</v>
      </c>
      <c r="CA286" s="255" t="str">
        <f>IF(VLOOKUP(T_Convention[[#This Row],[NumL]],T_Commission[#Data],COLUMN(T_Commission[Encadrant Email]),FALSE)="","",VLOOKUP(T_Convention[[#This Row],[NumL]],T_Commission[#Data],COLUMN(T_Commission[Encadrant Email]),FALSE))</f>
        <v/>
      </c>
      <c r="CB286" s="353" t="e">
        <f>VLOOKUP(T_Convention[[#This Row],[NumL]],T_TraitDi[#Data],COLUMN(T_TraitDi[NbJTot]),FALSE)</f>
        <v>#N/A</v>
      </c>
      <c r="CC286" s="353" t="e">
        <f>VLOOKUP(T_Convention[[#This Row],[NumL]],T_TraitDi[#Data],COLUMN(T_TraitDi[Reg Ponct]),FALSE)</f>
        <v>#N/A</v>
      </c>
      <c r="CD286" s="348" t="str">
        <f>IF(T_Convention[[#This Row],[Final]]&lt;&gt;"",VLOOKUP(T_Convention[[#This Row],[NumL]],T_suiviDi[#Data],COLUMN((T_suiviDi[Statut])),FALSE),"")</f>
        <v/>
      </c>
    </row>
    <row r="287" spans="1:82" s="106" customFormat="1" ht="18.75" customHeight="1" x14ac:dyDescent="0.25">
      <c r="A287" s="160">
        <v>132</v>
      </c>
      <c r="B287" s="161" t="str">
        <f>VLOOKUP(T_Convention[[#This Row],[NumL]],T_Commission[#Data],COLUMN(T_Commission[FINAL]),FALSE)</f>
        <v/>
      </c>
      <c r="C287" s="162"/>
      <c r="D287" s="95" t="e">
        <f>IF(VLOOKUP(T_Convention[[#This Row],[NumL]],T_TraitDi[#Data],COLUMN(T_TraitDi[WebC]),FALSE)="","",VLOOKUP(T_Convention[[#This Row],[NumL]],T_TraitDi[#Data],COLUMN(T_TraitDi[WebC]),FALSE))</f>
        <v>#N/A</v>
      </c>
      <c r="E287" s="163" t="str">
        <f t="shared" si="20"/>
        <v>12 janvier 2021</v>
      </c>
      <c r="F287" s="282" t="str">
        <f>IF(T_Convention[[#This Row],[Final]]&lt;&gt;"",VLOOKUP(T_Convention[[#This Row],[NumL]],T_suiviDi[#Data],COLUMN((T_suiviDi[Civ.])),FALSE),"")</f>
        <v/>
      </c>
      <c r="G287" s="283" t="str">
        <f>IF(T_Convention[[#This Row],[Final]]&lt;&gt;"",VLOOKUP(T_Convention[[#This Row],[NumL]],T_suiviDi[#Data],COLUMN((T_suiviDi[Nom])),FALSE),"")</f>
        <v/>
      </c>
      <c r="H287" s="282" t="str">
        <f>IF(T_Convention[[#This Row],[Final]]&lt;&gt;"",VLOOKUP(T_Convention[[#This Row],[NumL]],T_suiviDi[#Data],COLUMN((T_suiviDi[Prénom])),FALSE),"")</f>
        <v/>
      </c>
      <c r="I287" s="282" t="e">
        <f>VLOOKUP(T_Convention[[#This Row],[NumL]],T_suiviDi[#Data],COLUMN((T_suiviDi[[#This Row],[Email]])),FALSE)</f>
        <v>#VALUE!</v>
      </c>
      <c r="J287" s="282" t="e">
        <f>IF(VLOOKUP(T_Convention[[#This Row],[NumL]],T_suiviDi[#Data],COLUMN(T_suiviDi[[#This Row],[Fonction]]),FALSE)="","",VLOOKUP(T_Convention[[#This Row],[NumL]],T_suiviDi[#Data],COLUMN(T_suiviDi[[#This Row],[Fonction]]),FALSE))</f>
        <v>#VALUE!</v>
      </c>
      <c r="K287" s="282" t="e">
        <f>IF(VLOOKUP(T_Convention[[#This Row],[NumL]],T_suiviDi[#Data],COLUMN(T_suiviDi[[#This Row],[Grade]]),FALSE)="","",VLOOKUP(T_Convention[[#This Row],[NumL]],T_suiviDi[#Data],COLUMN(T_suiviDi[[#This Row],[Grade]]),FALSE))</f>
        <v>#VALUE!</v>
      </c>
      <c r="L287" s="282" t="e">
        <f>IF(VLOOKUP(T_Convention[[#This Row],[NumL]],T_suiviDi[#Data],COLUMN(T_suiviDi[[#This Row],[Service ]]),FALSE)="","",VLOOKUP(T_Convention[[#This Row],[NumL]],T_suiviDi[#Data],COLUMN(T_suiviDi[[#This Row],[Service ]]),FALSE))</f>
        <v>#VALUE!</v>
      </c>
      <c r="M287" s="164" t="str">
        <f t="shared" si="21"/>
        <v>01 septembre 2021</v>
      </c>
      <c r="N287" s="164" t="str">
        <f t="shared" si="22"/>
        <v>30 novembre 2021</v>
      </c>
      <c r="O287" s="284" t="str">
        <f t="shared" si="23"/>
        <v>30 novembre 2021</v>
      </c>
      <c r="P287" s="282" t="e">
        <f>IF(VLOOKUP(T_Convention[[#This Row],[NumL]],T_TraitDi[#Data],COLUMN(T_TraitDi[M1]),FALSE)="","",VLOOKUP(T_Convention[[#This Row],[NumL]],T_TraitDi[#Data],COLUMN(T_TraitDi[M1]),FALSE))</f>
        <v>#N/A</v>
      </c>
      <c r="Q287" s="282" t="e">
        <f>IF(VLOOKUP(T_Convention[[#This Row],[NumL]],T_TraitDi[#Data],COLUMN(T_TraitDi[M2]),FALSE)="","",VLOOKUP(T_Convention[[#This Row],[NumL]],T_TraitDi[#Data],COLUMN(T_TraitDi[M2]),FALSE))</f>
        <v>#N/A</v>
      </c>
      <c r="R287" s="282" t="e">
        <f>IF(VLOOKUP(T_Convention[[#This Row],[NumL]],T_TraitDi[#Data],COLUMN(T_TraitDi[M3]),FALSE)="","",VLOOKUP(T_Convention[[#This Row],[NumL]],T_TraitDi[#Data],COLUMN(T_TraitDi[M3]),FALSE))</f>
        <v>#N/A</v>
      </c>
      <c r="S287" s="282" t="e">
        <f>IF(VLOOKUP(T_Convention[[#This Row],[NumL]],T_TraitDi[#Data],COLUMN(T_TraitDi[M4]),FALSE)="","",VLOOKUP(T_Convention[[#This Row],[NumL]],T_TraitDi[#Data],COLUMN(T_TraitDi[M4]),FALSE))</f>
        <v>#N/A</v>
      </c>
      <c r="T287" s="282" t="e">
        <f>IF(VLOOKUP(T_Convention[[#This Row],[NumL]],T_TraitDi[#Data],COLUMN(T_TraitDi[M5]),FALSE)="","",VLOOKUP(T_Convention[[#This Row],[NumL]],T_TraitDi[#Data],COLUMN(T_TraitDi[M5]),FALSE))</f>
        <v>#N/A</v>
      </c>
      <c r="U287" s="282" t="e">
        <f>IF(VLOOKUP(T_Convention[[#This Row],[NumL]],T_TraitDi[#Data],COLUMN(T_TraitDi[M6]),FALSE)="","",VLOOKUP(T_Convention[[#This Row],[NumL]],T_TraitDi[#Data],COLUMN(T_TraitDi[M6]),FALSE))</f>
        <v>#N/A</v>
      </c>
      <c r="V287" s="176" t="e">
        <f t="shared" si="24"/>
        <v>#N/A</v>
      </c>
      <c r="W287" s="284" t="str">
        <f>IFERROR(TEXT(VLOOKUP(T_Convention[[#This Row],[NumL]],T_TraitDi[#Data],COLUMN(T_TraitDi[Q2]),FALSE),"###%"),"")</f>
        <v/>
      </c>
      <c r="X287" s="97" t="e">
        <f>VLOOKUP(T_Convention[[#This Row],[NumL]],T_TraitDi[#Data],COLUMN(T_TraitDi[Reg Ponct]),FALSE)</f>
        <v>#N/A</v>
      </c>
      <c r="Y287" s="97" t="e">
        <f>VLOOKUP(T_Convention[NumL],T_TraitDi[#Data],COLUMN(T_TraitDi[Jours flottants]),FALSE)</f>
        <v>#N/A</v>
      </c>
      <c r="Z287" s="284" t="str">
        <f>IFERROR(VLOOKUP(T_Convention[[#This Row],[NumL]],T_TraitDi[#Data],COLUMN(T_TraitDi[Lundi]),FALSE),"")</f>
        <v/>
      </c>
      <c r="AA287" s="284" t="e">
        <f>IF(VLOOKUP(T_Convention[[#This Row],[NumL]],T_TraitDi[#Data],COLUMN(T_TraitDi[Colonne3]),FALSE)=0,"",TEXT(IFERROR(VLOOKUP(T_Convention[[#This Row],[NumL]],T_TraitDi[#Data],COLUMN(T_TraitDi[Colonne3]),FALSE),""),"[hh]:mm"))</f>
        <v>#N/A</v>
      </c>
      <c r="AB287" s="284" t="e">
        <f>IF(VLOOKUP(T_Convention[[#This Row],[NumL]],T_TraitDi[#Data],COLUMN(T_TraitDi[Colonne4]),FALSE)=0,"",TEXT(IFERROR(VLOOKUP(T_Convention[[#This Row],[NumL]],T_TraitDi[#Data],COLUMN(T_TraitDi[Colonne4]),FALSE),""),"[hh]:mm"))</f>
        <v>#N/A</v>
      </c>
      <c r="AC287" s="284" t="e">
        <f>IF(VLOOKUP(T_Convention[[#This Row],[NumL]],T_TraitDi[#Data],COLUMN(T_TraitDi[Colonne5]),FALSE)=0,"",TEXT(IFERROR(VLOOKUP(T_Convention[[#This Row],[NumL]],T_TraitDi[#Data],COLUMN(T_TraitDi[Colonne5]),FALSE),""),"[hh]:mm"))</f>
        <v>#N/A</v>
      </c>
      <c r="AD287" s="284" t="e">
        <f>IF(VLOOKUP(T_Convention[[#This Row],[NumL]],T_TraitDi[#Data],COLUMN(T_TraitDi[Colonne6]),FALSE)=0,"",TEXT(IFERROR(VLOOKUP(T_Convention[[#This Row],[NumL]],T_TraitDi[#Data],COLUMN(T_TraitDi[Colonne6]),FALSE),""),"[hh]:mm"))</f>
        <v>#N/A</v>
      </c>
      <c r="AE287" s="284" t="e">
        <f>IF(VLOOKUP(T_Convention[[#This Row],[NumL]],T_TraitDi[#Data],COLUMN(T_TraitDi[Colonne7]),FALSE)=0,"",TEXT(IFERROR(VLOOKUP(T_Convention[[#This Row],[NumL]],T_TraitDi[#Data],COLUMN(T_TraitDi[Colonne7]),FALSE),""),"[hh]:mm"))</f>
        <v>#N/A</v>
      </c>
      <c r="AF287" s="284" t="e">
        <f>IF(VLOOKUP(T_Convention[[#This Row],[NumL]],T_TraitDi[#Data],COLUMN(T_TraitDi[Colonne8]),FALSE)=0,"",TEXT(IFERROR(VLOOKUP(T_Convention[[#This Row],[NumL]],T_TraitDi[#Data],COLUMN(T_TraitDi[Colonne8]),FALSE),""),"[hh]:mm"))</f>
        <v>#N/A</v>
      </c>
      <c r="AG287" s="284" t="str">
        <f>IFERROR(VLOOKUP(T_Convention[[#This Row],[NumL]],T_TraitDi[#Data],COLUMN(T_TraitDi[Mardi]),FALSE),"")</f>
        <v/>
      </c>
      <c r="AH287" s="284" t="e">
        <f>IF(VLOOKUP(T_Convention[[#This Row],[NumL]],T_TraitDi[#Data],COLUMN(T_TraitDi[Colonne1]),FALSE)=0,"",TEXT(IFERROR(VLOOKUP(T_Convention[[#This Row],[NumL]],T_TraitDi[#Data],COLUMN(T_TraitDi[Colonne1]),FALSE),""),"[hh]:mm"))</f>
        <v>#N/A</v>
      </c>
      <c r="AI287" s="284" t="e">
        <f>IF(VLOOKUP(T_Convention[[#This Row],[NumL]],T_TraitDi[#Data],COLUMN(T_TraitDi[Colonne9]),FALSE)=0,"",TEXT(IFERROR(VLOOKUP(T_Convention[[#This Row],[NumL]],T_TraitDi[#Data],COLUMN(T_TraitDi[Colonne9]),FALSE),""),"[hh]:mm"))</f>
        <v>#N/A</v>
      </c>
      <c r="AJ287" s="284" t="str">
        <f>IFERROR(VLOOKUP(T_Convention[[#This Row],[NumL]],T_TraitDi[#Data],COLUMN(T_TraitDi[Colonne10]),FALSE),"")</f>
        <v/>
      </c>
      <c r="AK287" s="284" t="e">
        <f>IF(VLOOKUP(T_Convention[[#This Row],[NumL]],T_TraitDi[#Data],COLUMN(T_TraitDi[Colonne11]),FALSE)=0,"",TEXT(IFERROR(VLOOKUP(T_Convention[[#This Row],[NumL]],T_TraitDi[#Data],COLUMN(T_TraitDi[Colonne11]),FALSE),""),"[hh]:mm"))</f>
        <v>#N/A</v>
      </c>
      <c r="AL287" s="284" t="e">
        <f>IF(VLOOKUP(T_Convention[[#This Row],[NumL]],T_TraitDi[#Data],COLUMN(T_TraitDi[Colonne12]),FALSE)=0,"",TEXT(IFERROR(VLOOKUP(T_Convention[[#This Row],[NumL]],T_TraitDi[#Data],COLUMN(T_TraitDi[Colonne12]),FALSE),""),"[hh]:mm"))</f>
        <v>#N/A</v>
      </c>
      <c r="AM287" s="284" t="e">
        <f>IF(VLOOKUP(T_Convention[[#This Row],[NumL]],T_TraitDi[#Data],COLUMN(T_TraitDi[Colonne14]),FALSE)=0,"",TEXT(IFERROR(VLOOKUP(T_Convention[[#This Row],[NumL]],T_TraitDi[#Data],COLUMN(T_TraitDi[Colonne14]),FALSE),""),"[hh]:mm"))</f>
        <v>#N/A</v>
      </c>
      <c r="AN287" s="284" t="str">
        <f>IFERROR(VLOOKUP(T_Convention[[#This Row],[NumL]],T_TraitDi[#Data],COLUMN(T_TraitDi[Mercredi]),FALSE),"")</f>
        <v/>
      </c>
      <c r="AO287" s="284" t="e">
        <f>IF(VLOOKUP(T_Convention[[#This Row],[NumL]],T_TraitDi[#Data],COLUMN(T_TraitDi[Colonne15]),FALSE)=0,"",TEXT(IFERROR(VLOOKUP(T_Convention[[#This Row],[NumL]],T_TraitDi[#Data],COLUMN(T_TraitDi[Colonne15]),FALSE),""),"[hh]:mm"))</f>
        <v>#N/A</v>
      </c>
      <c r="AP287" s="284" t="e">
        <f>IF(VLOOKUP(T_Convention[[#This Row],[NumL]],T_TraitDi[#Data],COLUMN(T_TraitDi[Colonne16]),FALSE)=0,"",TEXT(IFERROR(VLOOKUP(T_Convention[[#This Row],[NumL]],T_TraitDi[#Data],COLUMN(T_TraitDi[Colonne16]),FALSE),""),"[hh]:mm"))</f>
        <v>#N/A</v>
      </c>
      <c r="AQ287" s="284" t="str">
        <f>IFERROR(VLOOKUP(T_Convention[[#This Row],[NumL]],T_TraitDi[#Data],COLUMN(T_TraitDi[Colonne17]),FALSE),"")</f>
        <v/>
      </c>
      <c r="AR287" s="284" t="e">
        <f>IF(VLOOKUP(T_Convention[[#This Row],[NumL]],T_TraitDi[#Data],COLUMN(T_TraitDi[Colonne18]),FALSE)=0,"",TEXT(IFERROR(VLOOKUP(T_Convention[[#This Row],[NumL]],T_TraitDi[#Data],COLUMN(T_TraitDi[Colonne18]),FALSE),""),"[hh]:mm"))</f>
        <v>#N/A</v>
      </c>
      <c r="AS287" s="284" t="e">
        <f>IF(VLOOKUP(T_Convention[[#This Row],[NumL]],T_TraitDi[#Data],COLUMN(T_TraitDi[Colonne19]),FALSE)=0,"",TEXT(IFERROR(VLOOKUP(T_Convention[[#This Row],[NumL]],T_TraitDi[#Data],COLUMN(T_TraitDi[Colonne19]),FALSE),""),"[hh]:mm"))</f>
        <v>#N/A</v>
      </c>
      <c r="AT287" s="284" t="e">
        <f>IF(VLOOKUP(T_Convention[[#This Row],[NumL]],T_TraitDi[#Data],COLUMN(T_TraitDi[Colonne20]),FALSE)=0,"",TEXT(IFERROR(VLOOKUP(T_Convention[[#This Row],[NumL]],T_TraitDi[#Data],COLUMN(T_TraitDi[Colonne20]),FALSE),""),"[hh]:mm"))</f>
        <v>#N/A</v>
      </c>
      <c r="AU287" s="284" t="str">
        <f>IFERROR(VLOOKUP(T_Convention[[#This Row],[NumL]],T_TraitDi[#Data],COLUMN(T_TraitDi[Jeudi]),FALSE),"")</f>
        <v/>
      </c>
      <c r="AV287" s="284" t="e">
        <f>IF(VLOOKUP(T_Convention[[#This Row],[NumL]],T_TraitDi[#Data],COLUMN(T_TraitDi[Colonne21]),FALSE)=0,"",TEXT(IFERROR(VLOOKUP(T_Convention[[#This Row],[NumL]],T_TraitDi[#Data],COLUMN(T_TraitDi[Colonne21]),FALSE),""),"[hh]:mm"))</f>
        <v>#N/A</v>
      </c>
      <c r="AW287" s="284" t="e">
        <f>IF(VLOOKUP(T_Convention[[#This Row],[NumL]],T_TraitDi[#Data],COLUMN(T_TraitDi[Colonne22]),FALSE)=0,"",TEXT(IFERROR(VLOOKUP(T_Convention[[#This Row],[NumL]],T_TraitDi[#Data],COLUMN(T_TraitDi[Colonne22]),FALSE),""),"[hh]:mm"))</f>
        <v>#N/A</v>
      </c>
      <c r="AX287" s="284" t="str">
        <f>IFERROR(VLOOKUP(T_Convention[[#This Row],[NumL]],T_TraitDi[#Data],COLUMN(T_TraitDi[Colonne23]),FALSE),"")</f>
        <v/>
      </c>
      <c r="AY287" s="284" t="e">
        <f>IF(VLOOKUP(T_Convention[[#This Row],[NumL]],T_TraitDi[#Data],COLUMN(T_TraitDi[Colonne24]),FALSE)=0,"",TEXT(IFERROR(VLOOKUP(T_Convention[[#This Row],[NumL]],T_TraitDi[#Data],COLUMN(T_TraitDi[Colonne24]),FALSE),""),"[hh]:mm"))</f>
        <v>#N/A</v>
      </c>
      <c r="AZ287" s="284" t="e">
        <f>IF(VLOOKUP(T_Convention[[#This Row],[NumL]],T_TraitDi[#Data],COLUMN(T_TraitDi[Colonne25]),FALSE)=0,"",TEXT(IFERROR(VLOOKUP(T_Convention[[#This Row],[NumL]],T_TraitDi[#Data],COLUMN(T_TraitDi[Colonne25]),FALSE),""),"[hh]:mm"))</f>
        <v>#N/A</v>
      </c>
      <c r="BA287" s="284" t="e">
        <f>IF(VLOOKUP(T_Convention[[#This Row],[NumL]],T_TraitDi[#Data],COLUMN(T_TraitDi[Colonne26]),FALSE)=0,"",TEXT(IFERROR(VLOOKUP(T_Convention[[#This Row],[NumL]],T_TraitDi[#Data],COLUMN(T_TraitDi[Colonne26]),FALSE),""),"[hh]:mm"))</f>
        <v>#N/A</v>
      </c>
      <c r="BB287" s="284" t="str">
        <f>IFERROR(VLOOKUP(T_Convention[[#This Row],[NumL]],T_TraitDi[#Data],COLUMN(T_TraitDi[Vendredi]),FALSE),"")</f>
        <v/>
      </c>
      <c r="BC287" s="284" t="e">
        <f>IF(VLOOKUP(T_Convention[[#This Row],[NumL]],T_TraitDi[#Data],COLUMN(T_TraitDi[Colonne27]),FALSE)=0,"",TEXT(IFERROR(VLOOKUP(T_Convention[[#This Row],[NumL]],T_TraitDi[#Data],COLUMN(T_TraitDi[Colonne27]),FALSE),""),"[hh]:mm"))</f>
        <v>#N/A</v>
      </c>
      <c r="BD287" s="284" t="e">
        <f>IF(VLOOKUP(T_Convention[[#This Row],[NumL]],T_TraitDi[#Data],COLUMN(T_TraitDi[Colonne28]),FALSE)=0,"",TEXT(IFERROR(VLOOKUP(T_Convention[[#This Row],[NumL]],T_TraitDi[#Data],COLUMN(T_TraitDi[Colonne28]),FALSE),""),"[hh]:mm"))</f>
        <v>#N/A</v>
      </c>
      <c r="BE287" s="284" t="str">
        <f>IFERROR(VLOOKUP(T_Convention[[#This Row],[NumL]],T_TraitDi[#Data],COLUMN(T_TraitDi[Colonne29]),FALSE),"")</f>
        <v/>
      </c>
      <c r="BF287" s="284" t="e">
        <f>IF(VLOOKUP(T_Convention[[#This Row],[NumL]],T_TraitDi[#Data],COLUMN(T_TraitDi[Colonne30]),FALSE)=0,"",TEXT(IFERROR(VLOOKUP(T_Convention[[#This Row],[NumL]],T_TraitDi[#Data],COLUMN(T_TraitDi[Colonne30]),FALSE),""),"[hh]:mm"))</f>
        <v>#N/A</v>
      </c>
      <c r="BG287" s="284" t="e">
        <f>IF(VLOOKUP(T_Convention[[#This Row],[NumL]],T_TraitDi[#Data],COLUMN(T_TraitDi[Colonne31]),FALSE)=0,"",TEXT(IFERROR(VLOOKUP(T_Convention[[#This Row],[NumL]],T_TraitDi[#Data],COLUMN(T_TraitDi[Colonne31]),FALSE),""),"[hh]:mm"))</f>
        <v>#N/A</v>
      </c>
      <c r="BH287" s="284" t="e">
        <f>IF(VLOOKUP(T_Convention[[#This Row],[NumL]],T_TraitDi[#Data],COLUMN(T_TraitDi[Colonne32]),FALSE)=0,"",TEXT(IFERROR(VLOOKUP(T_Convention[[#This Row],[NumL]],T_TraitDi[#Data],COLUMN(T_TraitDi[Colonne32]),FALSE),""),"[hh]:mm"))</f>
        <v>#N/A</v>
      </c>
      <c r="BI287" s="284" t="str">
        <f>IFERROR(VLOOKUP(T_Convention[[#This Row],[NumL]],T_TraitDi[#Data],COLUMN(T_TraitDi[NbJTW]),FALSE),"")</f>
        <v/>
      </c>
      <c r="BJ287" s="284" t="e">
        <f>IF(VLOOKUP(T_Convention[[#This Row],[NumL]],T_TraitDi[#Data],COLUMN(T_TraitDi[NbhTW]),FALSE)=0,"",TEXT(IFERROR(VLOOKUP(T_Convention[[#This Row],[NumL]],T_TraitDi[#Data],COLUMN(T_TraitDi[NbhTW]),FALSE),""),"[hh]:mm"))</f>
        <v>#N/A</v>
      </c>
      <c r="BK287" s="286" t="e">
        <f>IF(VLOOKUP(T_Convention[[#This Row],[NumL]],T_TraitDi[#Data],COLUMN(T_TraitDi[Nbhheb]),FALSE)=0,"",TEXT(IFERROR(VLOOKUP(T_Convention[[#This Row],[NumL]],T_TraitDi[#Data],COLUMN(T_TraitDi[Nbhheb]),FALSE),""),"[hh]:mm"))</f>
        <v>#N/A</v>
      </c>
      <c r="BL287" s="287" t="str">
        <f>IFERROR(VLOOKUP(VLOOKUP(T_Convention[[#This Row],[NumL]],T_TraitDi[#Data],COLUMN(T_TraitDi[Type1]),FALSE),TypeTW,2,FALSE),"")</f>
        <v/>
      </c>
      <c r="BM287" s="288" t="str">
        <f>IFERROR(VLOOKUP(T_Convention[[#This Row],[NumL]],T_TraitDi[#Data],COLUMN(T_TraitDi[Rue1]),FALSE),"")</f>
        <v/>
      </c>
      <c r="BN287" s="289" t="str">
        <f>IFERROR(VLOOKUP(T_Convention[[#This Row],[NumL]],T_TraitDi[#Data],COLUMN(T_TraitDi[CP1]),FALSE),"")</f>
        <v/>
      </c>
      <c r="BO287" s="282" t="str">
        <f>IFERROR(VLOOKUP(T_Convention[[#This Row],[NumL]],T_TraitDi[#Data],COLUMN(T_TraitDi[VILLE1]),FALSE),"")</f>
        <v/>
      </c>
      <c r="BP287" s="290" t="str">
        <f>IFERROR(VLOOKUP(VLOOKUP(T_Convention[[#This Row],[NumL]],T_TraitDi[#Data],COLUMN(T_TraitDi[Type2]),FALSE),TypeTW,2,FALSE),"")</f>
        <v/>
      </c>
      <c r="BQ287" s="182" t="str">
        <f>IFERROR(VLOOKUP(T_Convention[[#This Row],[NumL]],T_TraitDi[#Data],COLUMN(T_TraitDi[Rue2]),FALSE),"")</f>
        <v/>
      </c>
      <c r="BR287" s="173" t="str">
        <f>IFERROR(VLOOKUP(T_Convention[[#This Row],[NumL]],T_TraitDi[#Data],COLUMN(T_TraitDi[CP2]),FALSE),"")</f>
        <v/>
      </c>
      <c r="BS287" s="173" t="str">
        <f>IFERROR(VLOOKUP(T_Convention[[#This Row],[NumL]],T_TraitDi[#Data],COLUMN(T_TraitDi[VILLE2]),FALSE),"")</f>
        <v/>
      </c>
      <c r="BT287" s="182" t="str">
        <f>IF(VLOOKUP(T_Convention[[#This Row],[NumL]],T_Equipement[#Data],COLUMN(T_Equipement[PC]),FALSE)="","Aucun équipement spécifique directement lié au télétravail",VLOOKUP(T_Convention[[#This Row],[NumL]],T_Equipement[#Data],COLUMN(T_Equipement[PC]),FALSE))</f>
        <v>14-054	 mac</v>
      </c>
      <c r="BU287" s="166" t="str">
        <f>IFERROR(IF(VLOOKUP(T_Convention[[#This Row],[NumL]],T_TraitDi[#Data],COLUMN(T_TraitDi[Plan]),FALSE)="OK","Un planning spécifique de télétravail est annexé à la présente convention.",""),"")</f>
        <v/>
      </c>
      <c r="BV287" s="185" t="s">
        <v>3534</v>
      </c>
      <c r="BW287" s="164" t="e">
        <f>IF(VLOOKUP(T_Convention[[#This Row],[NumL]],T_suiviDi[#Data],COLUMN(T_suiviDi[Entité]),FALSE)="","",VLOOKUP(T_Convention[[#This Row],[NumL]],T_suiviDi[#Data],COLUMN(T_suiviDi[Entité]),FALSE))</f>
        <v>#N/A</v>
      </c>
      <c r="BX287" s="164" t="str">
        <f>IF(VLOOKUP(T_Convention[[#This Row],[NumL]],T_Commission[#Data],COLUMN(T_Commission[envoi confirm TW]),FALSE)="","",VLOOKUP(T_Convention[[#This Row],[NumL]],T_Commission[#Data],COLUMN(T_Commission[envoi confirm TW]),FALSE))</f>
        <v>Oui</v>
      </c>
      <c r="BY28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7" s="265">
        <f>VLOOKUP(T_Convention[[#This Row],[NumL]],T_Commission[#Data],COLUMN(T_Commission[Commentaire]),FALSE)</f>
        <v>0</v>
      </c>
      <c r="CA287" s="255" t="str">
        <f>IF(VLOOKUP(T_Convention[[#This Row],[NumL]],T_Commission[#Data],COLUMN(T_Commission[Encadrant Email]),FALSE)="","",VLOOKUP(T_Convention[[#This Row],[NumL]],T_Commission[#Data],COLUMN(T_Commission[Encadrant Email]),FALSE))</f>
        <v/>
      </c>
      <c r="CB287" s="353" t="e">
        <f>VLOOKUP(T_Convention[[#This Row],[NumL]],T_TraitDi[#Data],COLUMN(T_TraitDi[NbJTot]),FALSE)</f>
        <v>#N/A</v>
      </c>
      <c r="CC287" s="353" t="e">
        <f>VLOOKUP(T_Convention[[#This Row],[NumL]],T_TraitDi[#Data],COLUMN(T_TraitDi[Reg Ponct]),FALSE)</f>
        <v>#N/A</v>
      </c>
      <c r="CD287" s="348" t="str">
        <f>IF(T_Convention[[#This Row],[Final]]&lt;&gt;"",VLOOKUP(T_Convention[[#This Row],[NumL]],T_suiviDi[#Data],COLUMN((T_suiviDi[Statut])),FALSE),"")</f>
        <v/>
      </c>
    </row>
    <row r="288" spans="1:82" s="106" customFormat="1" ht="18.75" customHeight="1" x14ac:dyDescent="0.25">
      <c r="A288" s="160">
        <v>166</v>
      </c>
      <c r="B288" s="161" t="str">
        <f>VLOOKUP(T_Convention[[#This Row],[NumL]],T_Commission[#Data],COLUMN(T_Commission[FINAL]),FALSE)</f>
        <v/>
      </c>
      <c r="C288" s="162"/>
      <c r="D288" s="95" t="e">
        <f>IF(VLOOKUP(T_Convention[[#This Row],[NumL]],T_TraitDi[#Data],COLUMN(T_TraitDi[WebC]),FALSE)="","",VLOOKUP(T_Convention[[#This Row],[NumL]],T_TraitDi[#Data],COLUMN(T_TraitDi[WebC]),FALSE))</f>
        <v>#N/A</v>
      </c>
      <c r="E288" s="163" t="str">
        <f t="shared" si="20"/>
        <v>12 janvier 2021</v>
      </c>
      <c r="F288" s="282" t="str">
        <f>IF(T_Convention[[#This Row],[Final]]&lt;&gt;"",VLOOKUP(T_Convention[[#This Row],[NumL]],T_suiviDi[#Data],COLUMN((T_suiviDi[Civ.])),FALSE),"")</f>
        <v/>
      </c>
      <c r="G288" s="283" t="str">
        <f>IF(T_Convention[[#This Row],[Final]]&lt;&gt;"",VLOOKUP(T_Convention[[#This Row],[NumL]],T_suiviDi[#Data],COLUMN((T_suiviDi[Nom])),FALSE),"")</f>
        <v/>
      </c>
      <c r="H288" s="282" t="str">
        <f>IF(T_Convention[[#This Row],[Final]]&lt;&gt;"",VLOOKUP(T_Convention[[#This Row],[NumL]],T_suiviDi[#Data],COLUMN((T_suiviDi[Prénom])),FALSE),"")</f>
        <v/>
      </c>
      <c r="I288" s="282" t="e">
        <f>VLOOKUP(T_Convention[[#This Row],[NumL]],T_suiviDi[#Data],COLUMN((T_suiviDi[[#This Row],[Email]])),FALSE)</f>
        <v>#VALUE!</v>
      </c>
      <c r="J288" s="282" t="e">
        <f>IF(VLOOKUP(T_Convention[[#This Row],[NumL]],T_suiviDi[#Data],COLUMN(T_suiviDi[[#This Row],[Fonction]]),FALSE)="","",VLOOKUP(T_Convention[[#This Row],[NumL]],T_suiviDi[#Data],COLUMN(T_suiviDi[[#This Row],[Fonction]]),FALSE))</f>
        <v>#VALUE!</v>
      </c>
      <c r="K288" s="282" t="e">
        <f>IF(VLOOKUP(T_Convention[[#This Row],[NumL]],T_suiviDi[#Data],COLUMN(T_suiviDi[[#This Row],[Grade]]),FALSE)="","",VLOOKUP(T_Convention[[#This Row],[NumL]],T_suiviDi[#Data],COLUMN(T_suiviDi[[#This Row],[Grade]]),FALSE))</f>
        <v>#VALUE!</v>
      </c>
      <c r="L288" s="282" t="e">
        <f>IF(VLOOKUP(T_Convention[[#This Row],[NumL]],T_suiviDi[#Data],COLUMN(T_suiviDi[[#This Row],[Service ]]),FALSE)="","",VLOOKUP(T_Convention[[#This Row],[NumL]],T_suiviDi[#Data],COLUMN(T_suiviDi[[#This Row],[Service ]]),FALSE))</f>
        <v>#VALUE!</v>
      </c>
      <c r="M288" s="164" t="str">
        <f t="shared" si="21"/>
        <v>01 septembre 2021</v>
      </c>
      <c r="N288" s="164" t="str">
        <f t="shared" si="22"/>
        <v>30 novembre 2021</v>
      </c>
      <c r="O288" s="284" t="str">
        <f t="shared" si="23"/>
        <v>30 novembre 2021</v>
      </c>
      <c r="P288" s="282" t="e">
        <f>IF(VLOOKUP(T_Convention[[#This Row],[NumL]],T_TraitDi[#Data],COLUMN(T_TraitDi[M1]),FALSE)="","",VLOOKUP(T_Convention[[#This Row],[NumL]],T_TraitDi[#Data],COLUMN(T_TraitDi[M1]),FALSE))</f>
        <v>#N/A</v>
      </c>
      <c r="Q288" s="282" t="e">
        <f>IF(VLOOKUP(T_Convention[[#This Row],[NumL]],T_TraitDi[#Data],COLUMN(T_TraitDi[M2]),FALSE)="","",VLOOKUP(T_Convention[[#This Row],[NumL]],T_TraitDi[#Data],COLUMN(T_TraitDi[M2]),FALSE))</f>
        <v>#N/A</v>
      </c>
      <c r="R288" s="282" t="e">
        <f>IF(VLOOKUP(T_Convention[[#This Row],[NumL]],T_TraitDi[#Data],COLUMN(T_TraitDi[M3]),FALSE)="","",VLOOKUP(T_Convention[[#This Row],[NumL]],T_TraitDi[#Data],COLUMN(T_TraitDi[M3]),FALSE))</f>
        <v>#N/A</v>
      </c>
      <c r="S288" s="282" t="e">
        <f>IF(VLOOKUP(T_Convention[[#This Row],[NumL]],T_TraitDi[#Data],COLUMN(T_TraitDi[M4]),FALSE)="","",VLOOKUP(T_Convention[[#This Row],[NumL]],T_TraitDi[#Data],COLUMN(T_TraitDi[M4]),FALSE))</f>
        <v>#N/A</v>
      </c>
      <c r="T288" s="282" t="e">
        <f>IF(VLOOKUP(T_Convention[[#This Row],[NumL]],T_TraitDi[#Data],COLUMN(T_TraitDi[M5]),FALSE)="","",VLOOKUP(T_Convention[[#This Row],[NumL]],T_TraitDi[#Data],COLUMN(T_TraitDi[M5]),FALSE))</f>
        <v>#N/A</v>
      </c>
      <c r="U288" s="282" t="e">
        <f>IF(VLOOKUP(T_Convention[[#This Row],[NumL]],T_TraitDi[#Data],COLUMN(T_TraitDi[M6]),FALSE)="","",VLOOKUP(T_Convention[[#This Row],[NumL]],T_TraitDi[#Data],COLUMN(T_TraitDi[M6]),FALSE))</f>
        <v>#N/A</v>
      </c>
      <c r="V288" s="176" t="e">
        <f t="shared" si="24"/>
        <v>#N/A</v>
      </c>
      <c r="W288" s="284" t="str">
        <f>IFERROR(TEXT(VLOOKUP(T_Convention[[#This Row],[NumL]],T_TraitDi[#Data],COLUMN(T_TraitDi[Q2]),FALSE),"###%"),"")</f>
        <v/>
      </c>
      <c r="X288" s="97" t="e">
        <f>VLOOKUP(T_Convention[[#This Row],[NumL]],T_TraitDi[#Data],COLUMN(T_TraitDi[Reg Ponct]),FALSE)</f>
        <v>#N/A</v>
      </c>
      <c r="Y288" s="97" t="e">
        <f>VLOOKUP(T_Convention[NumL],T_TraitDi[#Data],COLUMN(T_TraitDi[Jours flottants]),FALSE)</f>
        <v>#N/A</v>
      </c>
      <c r="Z288" s="284" t="str">
        <f>IFERROR(VLOOKUP(T_Convention[[#This Row],[NumL]],T_TraitDi[#Data],COLUMN(T_TraitDi[Lundi]),FALSE),"")</f>
        <v/>
      </c>
      <c r="AA288" s="284" t="e">
        <f>IF(VLOOKUP(T_Convention[[#This Row],[NumL]],T_TraitDi[#Data],COLUMN(T_TraitDi[Colonne3]),FALSE)=0,"",TEXT(IFERROR(VLOOKUP(T_Convention[[#This Row],[NumL]],T_TraitDi[#Data],COLUMN(T_TraitDi[Colonne3]),FALSE),""),"[hh]:mm"))</f>
        <v>#N/A</v>
      </c>
      <c r="AB288" s="284" t="e">
        <f>IF(VLOOKUP(T_Convention[[#This Row],[NumL]],T_TraitDi[#Data],COLUMN(T_TraitDi[Colonne4]),FALSE)=0,"",TEXT(IFERROR(VLOOKUP(T_Convention[[#This Row],[NumL]],T_TraitDi[#Data],COLUMN(T_TraitDi[Colonne4]),FALSE),""),"[hh]:mm"))</f>
        <v>#N/A</v>
      </c>
      <c r="AC288" s="284" t="e">
        <f>IF(VLOOKUP(T_Convention[[#This Row],[NumL]],T_TraitDi[#Data],COLUMN(T_TraitDi[Colonne5]),FALSE)=0,"",TEXT(IFERROR(VLOOKUP(T_Convention[[#This Row],[NumL]],T_TraitDi[#Data],COLUMN(T_TraitDi[Colonne5]),FALSE),""),"[hh]:mm"))</f>
        <v>#N/A</v>
      </c>
      <c r="AD288" s="284" t="e">
        <f>IF(VLOOKUP(T_Convention[[#This Row],[NumL]],T_TraitDi[#Data],COLUMN(T_TraitDi[Colonne6]),FALSE)=0,"",TEXT(IFERROR(VLOOKUP(T_Convention[[#This Row],[NumL]],T_TraitDi[#Data],COLUMN(T_TraitDi[Colonne6]),FALSE),""),"[hh]:mm"))</f>
        <v>#N/A</v>
      </c>
      <c r="AE288" s="284" t="e">
        <f>IF(VLOOKUP(T_Convention[[#This Row],[NumL]],T_TraitDi[#Data],COLUMN(T_TraitDi[Colonne7]),FALSE)=0,"",TEXT(IFERROR(VLOOKUP(T_Convention[[#This Row],[NumL]],T_TraitDi[#Data],COLUMN(T_TraitDi[Colonne7]),FALSE),""),"[hh]:mm"))</f>
        <v>#N/A</v>
      </c>
      <c r="AF288" s="284" t="e">
        <f>IF(VLOOKUP(T_Convention[[#This Row],[NumL]],T_TraitDi[#Data],COLUMN(T_TraitDi[Colonne8]),FALSE)=0,"",TEXT(IFERROR(VLOOKUP(T_Convention[[#This Row],[NumL]],T_TraitDi[#Data],COLUMN(T_TraitDi[Colonne8]),FALSE),""),"[hh]:mm"))</f>
        <v>#N/A</v>
      </c>
      <c r="AG288" s="284" t="str">
        <f>IFERROR(VLOOKUP(T_Convention[[#This Row],[NumL]],T_TraitDi[#Data],COLUMN(T_TraitDi[Mardi]),FALSE),"")</f>
        <v/>
      </c>
      <c r="AH288" s="284" t="e">
        <f>IF(VLOOKUP(T_Convention[[#This Row],[NumL]],T_TraitDi[#Data],COLUMN(T_TraitDi[Colonne1]),FALSE)=0,"",TEXT(IFERROR(VLOOKUP(T_Convention[[#This Row],[NumL]],T_TraitDi[#Data],COLUMN(T_TraitDi[Colonne1]),FALSE),""),"[hh]:mm"))</f>
        <v>#N/A</v>
      </c>
      <c r="AI288" s="284" t="e">
        <f>IF(VLOOKUP(T_Convention[[#This Row],[NumL]],T_TraitDi[#Data],COLUMN(T_TraitDi[Colonne9]),FALSE)=0,"",TEXT(IFERROR(VLOOKUP(T_Convention[[#This Row],[NumL]],T_TraitDi[#Data],COLUMN(T_TraitDi[Colonne9]),FALSE),""),"[hh]:mm"))</f>
        <v>#N/A</v>
      </c>
      <c r="AJ288" s="284" t="str">
        <f>IFERROR(VLOOKUP(T_Convention[[#This Row],[NumL]],T_TraitDi[#Data],COLUMN(T_TraitDi[Colonne10]),FALSE),"")</f>
        <v/>
      </c>
      <c r="AK288" s="284" t="e">
        <f>IF(VLOOKUP(T_Convention[[#This Row],[NumL]],T_TraitDi[#Data],COLUMN(T_TraitDi[Colonne11]),FALSE)=0,"",TEXT(IFERROR(VLOOKUP(T_Convention[[#This Row],[NumL]],T_TraitDi[#Data],COLUMN(T_TraitDi[Colonne11]),FALSE),""),"[hh]:mm"))</f>
        <v>#N/A</v>
      </c>
      <c r="AL288" s="284" t="e">
        <f>IF(VLOOKUP(T_Convention[[#This Row],[NumL]],T_TraitDi[#Data],COLUMN(T_TraitDi[Colonne12]),FALSE)=0,"",TEXT(IFERROR(VLOOKUP(T_Convention[[#This Row],[NumL]],T_TraitDi[#Data],COLUMN(T_TraitDi[Colonne12]),FALSE),""),"[hh]:mm"))</f>
        <v>#N/A</v>
      </c>
      <c r="AM288" s="284" t="e">
        <f>IF(VLOOKUP(T_Convention[[#This Row],[NumL]],T_TraitDi[#Data],COLUMN(T_TraitDi[Colonne14]),FALSE)=0,"",TEXT(IFERROR(VLOOKUP(T_Convention[[#This Row],[NumL]],T_TraitDi[#Data],COLUMN(T_TraitDi[Colonne14]),FALSE),""),"[hh]:mm"))</f>
        <v>#N/A</v>
      </c>
      <c r="AN288" s="284" t="str">
        <f>IFERROR(VLOOKUP(T_Convention[[#This Row],[NumL]],T_TraitDi[#Data],COLUMN(T_TraitDi[Mercredi]),FALSE),"")</f>
        <v/>
      </c>
      <c r="AO288" s="284" t="e">
        <f>IF(VLOOKUP(T_Convention[[#This Row],[NumL]],T_TraitDi[#Data],COLUMN(T_TraitDi[Colonne15]),FALSE)=0,"",TEXT(IFERROR(VLOOKUP(T_Convention[[#This Row],[NumL]],T_TraitDi[#Data],COLUMN(T_TraitDi[Colonne15]),FALSE),""),"[hh]:mm"))</f>
        <v>#N/A</v>
      </c>
      <c r="AP288" s="284" t="e">
        <f>IF(VLOOKUP(T_Convention[[#This Row],[NumL]],T_TraitDi[#Data],COLUMN(T_TraitDi[Colonne16]),FALSE)=0,"",TEXT(IFERROR(VLOOKUP(T_Convention[[#This Row],[NumL]],T_TraitDi[#Data],COLUMN(T_TraitDi[Colonne16]),FALSE),""),"[hh]:mm"))</f>
        <v>#N/A</v>
      </c>
      <c r="AQ288" s="284" t="str">
        <f>IFERROR(VLOOKUP(T_Convention[[#This Row],[NumL]],T_TraitDi[#Data],COLUMN(T_TraitDi[Colonne17]),FALSE),"")</f>
        <v/>
      </c>
      <c r="AR288" s="284" t="e">
        <f>IF(VLOOKUP(T_Convention[[#This Row],[NumL]],T_TraitDi[#Data],COLUMN(T_TraitDi[Colonne18]),FALSE)=0,"",TEXT(IFERROR(VLOOKUP(T_Convention[[#This Row],[NumL]],T_TraitDi[#Data],COLUMN(T_TraitDi[Colonne18]),FALSE),""),"[hh]:mm"))</f>
        <v>#N/A</v>
      </c>
      <c r="AS288" s="284" t="e">
        <f>IF(VLOOKUP(T_Convention[[#This Row],[NumL]],T_TraitDi[#Data],COLUMN(T_TraitDi[Colonne19]),FALSE)=0,"",TEXT(IFERROR(VLOOKUP(T_Convention[[#This Row],[NumL]],T_TraitDi[#Data],COLUMN(T_TraitDi[Colonne19]),FALSE),""),"[hh]:mm"))</f>
        <v>#N/A</v>
      </c>
      <c r="AT288" s="284" t="e">
        <f>IF(VLOOKUP(T_Convention[[#This Row],[NumL]],T_TraitDi[#Data],COLUMN(T_TraitDi[Colonne20]),FALSE)=0,"",TEXT(IFERROR(VLOOKUP(T_Convention[[#This Row],[NumL]],T_TraitDi[#Data],COLUMN(T_TraitDi[Colonne20]),FALSE),""),"[hh]:mm"))</f>
        <v>#N/A</v>
      </c>
      <c r="AU288" s="284" t="str">
        <f>IFERROR(VLOOKUP(T_Convention[[#This Row],[NumL]],T_TraitDi[#Data],COLUMN(T_TraitDi[Jeudi]),FALSE),"")</f>
        <v/>
      </c>
      <c r="AV288" s="284" t="e">
        <f>IF(VLOOKUP(T_Convention[[#This Row],[NumL]],T_TraitDi[#Data],COLUMN(T_TraitDi[Colonne21]),FALSE)=0,"",TEXT(IFERROR(VLOOKUP(T_Convention[[#This Row],[NumL]],T_TraitDi[#Data],COLUMN(T_TraitDi[Colonne21]),FALSE),""),"[hh]:mm"))</f>
        <v>#N/A</v>
      </c>
      <c r="AW288" s="284" t="e">
        <f>IF(VLOOKUP(T_Convention[[#This Row],[NumL]],T_TraitDi[#Data],COLUMN(T_TraitDi[Colonne22]),FALSE)=0,"",TEXT(IFERROR(VLOOKUP(T_Convention[[#This Row],[NumL]],T_TraitDi[#Data],COLUMN(T_TraitDi[Colonne22]),FALSE),""),"[hh]:mm"))</f>
        <v>#N/A</v>
      </c>
      <c r="AX288" s="284" t="str">
        <f>IFERROR(VLOOKUP(T_Convention[[#This Row],[NumL]],T_TraitDi[#Data],COLUMN(T_TraitDi[Colonne23]),FALSE),"")</f>
        <v/>
      </c>
      <c r="AY288" s="284" t="e">
        <f>IF(VLOOKUP(T_Convention[[#This Row],[NumL]],T_TraitDi[#Data],COLUMN(T_TraitDi[Colonne24]),FALSE)=0,"",TEXT(IFERROR(VLOOKUP(T_Convention[[#This Row],[NumL]],T_TraitDi[#Data],COLUMN(T_TraitDi[Colonne24]),FALSE),""),"[hh]:mm"))</f>
        <v>#N/A</v>
      </c>
      <c r="AZ288" s="284" t="e">
        <f>IF(VLOOKUP(T_Convention[[#This Row],[NumL]],T_TraitDi[#Data],COLUMN(T_TraitDi[Colonne25]),FALSE)=0,"",TEXT(IFERROR(VLOOKUP(T_Convention[[#This Row],[NumL]],T_TraitDi[#Data],COLUMN(T_TraitDi[Colonne25]),FALSE),""),"[hh]:mm"))</f>
        <v>#N/A</v>
      </c>
      <c r="BA288" s="284" t="e">
        <f>IF(VLOOKUP(T_Convention[[#This Row],[NumL]],T_TraitDi[#Data],COLUMN(T_TraitDi[Colonne26]),FALSE)=0,"",TEXT(IFERROR(VLOOKUP(T_Convention[[#This Row],[NumL]],T_TraitDi[#Data],COLUMN(T_TraitDi[Colonne26]),FALSE),""),"[hh]:mm"))</f>
        <v>#N/A</v>
      </c>
      <c r="BB288" s="284" t="str">
        <f>IFERROR(VLOOKUP(T_Convention[[#This Row],[NumL]],T_TraitDi[#Data],COLUMN(T_TraitDi[Vendredi]),FALSE),"")</f>
        <v/>
      </c>
      <c r="BC288" s="284" t="e">
        <f>IF(VLOOKUP(T_Convention[[#This Row],[NumL]],T_TraitDi[#Data],COLUMN(T_TraitDi[Colonne27]),FALSE)=0,"",TEXT(IFERROR(VLOOKUP(T_Convention[[#This Row],[NumL]],T_TraitDi[#Data],COLUMN(T_TraitDi[Colonne27]),FALSE),""),"[hh]:mm"))</f>
        <v>#N/A</v>
      </c>
      <c r="BD288" s="284" t="e">
        <f>IF(VLOOKUP(T_Convention[[#This Row],[NumL]],T_TraitDi[#Data],COLUMN(T_TraitDi[Colonne28]),FALSE)=0,"",TEXT(IFERROR(VLOOKUP(T_Convention[[#This Row],[NumL]],T_TraitDi[#Data],COLUMN(T_TraitDi[Colonne28]),FALSE),""),"[hh]:mm"))</f>
        <v>#N/A</v>
      </c>
      <c r="BE288" s="284" t="str">
        <f>IFERROR(VLOOKUP(T_Convention[[#This Row],[NumL]],T_TraitDi[#Data],COLUMN(T_TraitDi[Colonne29]),FALSE),"")</f>
        <v/>
      </c>
      <c r="BF288" s="284" t="e">
        <f>IF(VLOOKUP(T_Convention[[#This Row],[NumL]],T_TraitDi[#Data],COLUMN(T_TraitDi[Colonne30]),FALSE)=0,"",TEXT(IFERROR(VLOOKUP(T_Convention[[#This Row],[NumL]],T_TraitDi[#Data],COLUMN(T_TraitDi[Colonne30]),FALSE),""),"[hh]:mm"))</f>
        <v>#N/A</v>
      </c>
      <c r="BG288" s="284" t="e">
        <f>IF(VLOOKUP(T_Convention[[#This Row],[NumL]],T_TraitDi[#Data],COLUMN(T_TraitDi[Colonne31]),FALSE)=0,"",TEXT(IFERROR(VLOOKUP(T_Convention[[#This Row],[NumL]],T_TraitDi[#Data],COLUMN(T_TraitDi[Colonne31]),FALSE),""),"[hh]:mm"))</f>
        <v>#N/A</v>
      </c>
      <c r="BH288" s="284" t="e">
        <f>IF(VLOOKUP(T_Convention[[#This Row],[NumL]],T_TraitDi[#Data],COLUMN(T_TraitDi[Colonne32]),FALSE)=0,"",TEXT(IFERROR(VLOOKUP(T_Convention[[#This Row],[NumL]],T_TraitDi[#Data],COLUMN(T_TraitDi[Colonne32]),FALSE),""),"[hh]:mm"))</f>
        <v>#N/A</v>
      </c>
      <c r="BI288" s="284" t="str">
        <f>IFERROR(VLOOKUP(T_Convention[[#This Row],[NumL]],T_TraitDi[#Data],COLUMN(T_TraitDi[NbJTW]),FALSE),"")</f>
        <v/>
      </c>
      <c r="BJ288" s="284" t="e">
        <f>IF(VLOOKUP(T_Convention[[#This Row],[NumL]],T_TraitDi[#Data],COLUMN(T_TraitDi[NbhTW]),FALSE)=0,"",TEXT(IFERROR(VLOOKUP(T_Convention[[#This Row],[NumL]],T_TraitDi[#Data],COLUMN(T_TraitDi[NbhTW]),FALSE),""),"[hh]:mm"))</f>
        <v>#N/A</v>
      </c>
      <c r="BK288" s="286" t="e">
        <f>IF(VLOOKUP(T_Convention[[#This Row],[NumL]],T_TraitDi[#Data],COLUMN(T_TraitDi[Nbhheb]),FALSE)=0,"",TEXT(IFERROR(VLOOKUP(T_Convention[[#This Row],[NumL]],T_TraitDi[#Data],COLUMN(T_TraitDi[Nbhheb]),FALSE),""),"[hh]:mm"))</f>
        <v>#N/A</v>
      </c>
      <c r="BL288" s="287" t="str">
        <f>IFERROR(VLOOKUP(VLOOKUP(T_Convention[[#This Row],[NumL]],T_TraitDi[#Data],COLUMN(T_TraitDi[Type1]),FALSE),TypeTW,2,FALSE),"")</f>
        <v/>
      </c>
      <c r="BM288" s="288" t="str">
        <f>IFERROR(VLOOKUP(T_Convention[[#This Row],[NumL]],T_TraitDi[#Data],COLUMN(T_TraitDi[Rue1]),FALSE),"")</f>
        <v/>
      </c>
      <c r="BN288" s="289" t="str">
        <f>IFERROR(VLOOKUP(T_Convention[[#This Row],[NumL]],T_TraitDi[#Data],COLUMN(T_TraitDi[CP1]),FALSE),"")</f>
        <v/>
      </c>
      <c r="BO288" s="282" t="str">
        <f>IFERROR(VLOOKUP(T_Convention[[#This Row],[NumL]],T_TraitDi[#Data],COLUMN(T_TraitDi[VILLE1]),FALSE),"")</f>
        <v/>
      </c>
      <c r="BP288" s="290" t="str">
        <f>IFERROR(VLOOKUP(VLOOKUP(T_Convention[[#This Row],[NumL]],T_TraitDi[#Data],COLUMN(T_TraitDi[Type2]),FALSE),TypeTW,2,FALSE),"")</f>
        <v/>
      </c>
      <c r="BQ288" s="182" t="str">
        <f>IFERROR(VLOOKUP(T_Convention[[#This Row],[NumL]],T_TraitDi[#Data],COLUMN(T_TraitDi[Rue2]),FALSE),"")</f>
        <v/>
      </c>
      <c r="BR288" s="173" t="str">
        <f>IFERROR(VLOOKUP(T_Convention[[#This Row],[NumL]],T_TraitDi[#Data],COLUMN(T_TraitDi[CP2]),FALSE),"")</f>
        <v/>
      </c>
      <c r="BS288" s="173" t="str">
        <f>IFERROR(VLOOKUP(T_Convention[[#This Row],[NumL]],T_TraitDi[#Data],COLUMN(T_TraitDi[VILLE2]),FALSE),"")</f>
        <v/>
      </c>
      <c r="BT288" s="182" t="str">
        <f>IF(VLOOKUP(T_Convention[[#This Row],[NumL]],T_Equipement[#Data],COLUMN(T_Equipement[PC]),FALSE)="","Aucun équipement spécifique directement lié au télétravail",VLOOKUP(T_Convention[[#This Row],[NumL]],T_Equipement[#Data],COLUMN(T_Equipement[PC]),FALSE))</f>
        <v xml:space="preserve">18-033	</v>
      </c>
      <c r="BU288" s="166" t="str">
        <f>IFERROR(IF(VLOOKUP(T_Convention[[#This Row],[NumL]],T_TraitDi[#Data],COLUMN(T_TraitDi[Plan]),FALSE)="OK","Un planning spécifique de télétravail est annexé à la présente convention.",""),"")</f>
        <v/>
      </c>
      <c r="BV288" s="185" t="s">
        <v>3422</v>
      </c>
      <c r="BW288" s="164" t="e">
        <f>IF(VLOOKUP(T_Convention[[#This Row],[NumL]],T_suiviDi[#Data],COLUMN(T_suiviDi[Entité]),FALSE)="","",VLOOKUP(T_Convention[[#This Row],[NumL]],T_suiviDi[#Data],COLUMN(T_suiviDi[Entité]),FALSE))</f>
        <v>#N/A</v>
      </c>
      <c r="BX288" s="164" t="str">
        <f>IF(VLOOKUP(T_Convention[[#This Row],[NumL]],T_Commission[#Data],COLUMN(T_Commission[envoi confirm TW]),FALSE)="","",VLOOKUP(T_Convention[[#This Row],[NumL]],T_Commission[#Data],COLUMN(T_Commission[envoi confirm TW]),FALSE))</f>
        <v>Oui</v>
      </c>
      <c r="BY28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8" s="264">
        <f>VLOOKUP(T_Convention[[#This Row],[NumL]],T_Commission[#Data],COLUMN(T_Commission[Commentaire]),FALSE)</f>
        <v>0</v>
      </c>
      <c r="CA288" s="254" t="str">
        <f>IF(VLOOKUP(T_Convention[[#This Row],[NumL]],T_Commission[#Data],COLUMN(T_Commission[Encadrant Email]),FALSE)="","",VLOOKUP(T_Convention[[#This Row],[NumL]],T_Commission[#Data],COLUMN(T_Commission[Encadrant Email]),FALSE))</f>
        <v/>
      </c>
      <c r="CB288" s="353" t="e">
        <f>VLOOKUP(T_Convention[[#This Row],[NumL]],T_TraitDi[#Data],COLUMN(T_TraitDi[NbJTot]),FALSE)</f>
        <v>#N/A</v>
      </c>
      <c r="CC288" s="353" t="e">
        <f>VLOOKUP(T_Convention[[#This Row],[NumL]],T_TraitDi[#Data],COLUMN(T_TraitDi[Reg Ponct]),FALSE)</f>
        <v>#N/A</v>
      </c>
      <c r="CD288" s="348" t="str">
        <f>IF(T_Convention[[#This Row],[Final]]&lt;&gt;"",VLOOKUP(T_Convention[[#This Row],[NumL]],T_suiviDi[#Data],COLUMN((T_suiviDi[Statut])),FALSE),"")</f>
        <v/>
      </c>
    </row>
    <row r="289" spans="1:82" s="106" customFormat="1" ht="18.75" customHeight="1" x14ac:dyDescent="0.25">
      <c r="A289" s="160">
        <v>325</v>
      </c>
      <c r="B289" s="281" t="str">
        <f>VLOOKUP(T_Convention[[#This Row],[NumL]],T_Commission[#Data],COLUMN(T_Commission[FINAL]),FALSE)</f>
        <v/>
      </c>
      <c r="C289" s="162"/>
      <c r="D289" s="95" t="e">
        <f>IF(VLOOKUP(T_Convention[[#This Row],[NumL]],T_TraitDi[#Data],COLUMN(T_TraitDi[WebC]),FALSE)="","",VLOOKUP(T_Convention[[#This Row],[NumL]],T_TraitDi[#Data],COLUMN(T_TraitDi[WebC]),FALSE))</f>
        <v>#N/A</v>
      </c>
      <c r="E289" s="163" t="str">
        <f t="shared" si="20"/>
        <v>12 janvier 2021</v>
      </c>
      <c r="F289" s="282" t="str">
        <f>IF(T_Convention[[#This Row],[Final]]&lt;&gt;"",VLOOKUP(T_Convention[[#This Row],[NumL]],T_suiviDi[#Data],COLUMN((T_suiviDi[Civ.])),FALSE),"")</f>
        <v/>
      </c>
      <c r="G289" s="283" t="str">
        <f>IF(T_Convention[[#This Row],[Final]]&lt;&gt;"",VLOOKUP(T_Convention[[#This Row],[NumL]],T_suiviDi[#Data],COLUMN((T_suiviDi[Nom])),FALSE),"")</f>
        <v/>
      </c>
      <c r="H289" s="282" t="str">
        <f>IF(T_Convention[[#This Row],[Final]]&lt;&gt;"",VLOOKUP(T_Convention[[#This Row],[NumL]],T_suiviDi[#Data],COLUMN((T_suiviDi[Prénom])),FALSE),"")</f>
        <v/>
      </c>
      <c r="I289" s="282" t="e">
        <f>VLOOKUP(T_Convention[[#This Row],[NumL]],T_suiviDi[#Data],COLUMN((T_suiviDi[[#This Row],[Email]])),FALSE)</f>
        <v>#VALUE!</v>
      </c>
      <c r="J289" s="282" t="e">
        <f>IF(VLOOKUP(T_Convention[[#This Row],[NumL]],T_suiviDi[#Data],COLUMN(T_suiviDi[[#This Row],[Fonction]]),FALSE)="","",VLOOKUP(T_Convention[[#This Row],[NumL]],T_suiviDi[#Data],COLUMN(T_suiviDi[[#This Row],[Fonction]]),FALSE))</f>
        <v>#VALUE!</v>
      </c>
      <c r="K289" s="282" t="e">
        <f>IF(VLOOKUP(T_Convention[[#This Row],[NumL]],T_suiviDi[#Data],COLUMN(T_suiviDi[[#This Row],[Grade]]),FALSE)="","",VLOOKUP(T_Convention[[#This Row],[NumL]],T_suiviDi[#Data],COLUMN(T_suiviDi[[#This Row],[Grade]]),FALSE))</f>
        <v>#VALUE!</v>
      </c>
      <c r="L289" s="282" t="e">
        <f>IF(VLOOKUP(T_Convention[[#This Row],[NumL]],T_suiviDi[#Data],COLUMN(T_suiviDi[[#This Row],[Service ]]),FALSE)="","",VLOOKUP(T_Convention[[#This Row],[NumL]],T_suiviDi[#Data],COLUMN(T_suiviDi[[#This Row],[Service ]]),FALSE))</f>
        <v>#VALUE!</v>
      </c>
      <c r="M289" s="314" t="str">
        <f t="shared" si="21"/>
        <v>01 septembre 2021</v>
      </c>
      <c r="N289" s="314" t="str">
        <f t="shared" si="22"/>
        <v>30 novembre 2021</v>
      </c>
      <c r="O289" s="284" t="str">
        <f t="shared" si="23"/>
        <v>30 novembre 2021</v>
      </c>
      <c r="P289" s="282" t="e">
        <f>IF(VLOOKUP(T_Convention[[#This Row],[NumL]],T_TraitDi[#Data],COLUMN(T_TraitDi[M1]),FALSE)="","",VLOOKUP(T_Convention[[#This Row],[NumL]],T_TraitDi[#Data],COLUMN(T_TraitDi[M1]),FALSE))</f>
        <v>#N/A</v>
      </c>
      <c r="Q289" s="282" t="e">
        <f>IF(VLOOKUP(T_Convention[[#This Row],[NumL]],T_TraitDi[#Data],COLUMN(T_TraitDi[M2]),FALSE)="","",VLOOKUP(T_Convention[[#This Row],[NumL]],T_TraitDi[#Data],COLUMN(T_TraitDi[M2]),FALSE))</f>
        <v>#N/A</v>
      </c>
      <c r="R289" s="282" t="e">
        <f>IF(VLOOKUP(T_Convention[[#This Row],[NumL]],T_TraitDi[#Data],COLUMN(T_TraitDi[M3]),FALSE)="","",VLOOKUP(T_Convention[[#This Row],[NumL]],T_TraitDi[#Data],COLUMN(T_TraitDi[M3]),FALSE))</f>
        <v>#N/A</v>
      </c>
      <c r="S289" s="282" t="e">
        <f>IF(VLOOKUP(T_Convention[[#This Row],[NumL]],T_TraitDi[#Data],COLUMN(T_TraitDi[M4]),FALSE)="","",VLOOKUP(T_Convention[[#This Row],[NumL]],T_TraitDi[#Data],COLUMN(T_TraitDi[M4]),FALSE))</f>
        <v>#N/A</v>
      </c>
      <c r="T289" s="282" t="e">
        <f>IF(VLOOKUP(T_Convention[[#This Row],[NumL]],T_TraitDi[#Data],COLUMN(T_TraitDi[M5]),FALSE)="","",VLOOKUP(T_Convention[[#This Row],[NumL]],T_TraitDi[#Data],COLUMN(T_TraitDi[M5]),FALSE))</f>
        <v>#N/A</v>
      </c>
      <c r="U289" s="282" t="e">
        <f>IF(VLOOKUP(T_Convention[[#This Row],[NumL]],T_TraitDi[#Data],COLUMN(T_TraitDi[M6]),FALSE)="","",VLOOKUP(T_Convention[[#This Row],[NumL]],T_TraitDi[#Data],COLUMN(T_TraitDi[M6]),FALSE))</f>
        <v>#N/A</v>
      </c>
      <c r="V289" s="314" t="e">
        <f t="shared" si="24"/>
        <v>#N/A</v>
      </c>
      <c r="W289" s="284" t="str">
        <f>IFERROR(TEXT(VLOOKUP(T_Convention[[#This Row],[NumL]],T_TraitDi[#Data],COLUMN(T_TraitDi[Q2]),FALSE),"###%"),"")</f>
        <v/>
      </c>
      <c r="X289" s="285" t="e">
        <f>VLOOKUP(T_Convention[[#This Row],[NumL]],T_TraitDi[#Data],COLUMN(T_TraitDi[Reg Ponct]),FALSE)</f>
        <v>#N/A</v>
      </c>
      <c r="Y289" s="285" t="e">
        <f>VLOOKUP(T_Convention[NumL],T_TraitDi[#Data],COLUMN(T_TraitDi[Jours flottants]),FALSE)</f>
        <v>#N/A</v>
      </c>
      <c r="Z289" s="284" t="str">
        <f>IFERROR(VLOOKUP(T_Convention[[#This Row],[NumL]],T_TraitDi[#Data],COLUMN(T_TraitDi[Lundi]),FALSE),"")</f>
        <v/>
      </c>
      <c r="AA289" s="284" t="e">
        <f>IF(VLOOKUP(T_Convention[[#This Row],[NumL]],T_TraitDi[#Data],COLUMN(T_TraitDi[Colonne3]),FALSE)=0,"",TEXT(IFERROR(VLOOKUP(T_Convention[[#This Row],[NumL]],T_TraitDi[#Data],COLUMN(T_TraitDi[Colonne3]),FALSE),""),"[hh]:mm"))</f>
        <v>#N/A</v>
      </c>
      <c r="AB289" s="284" t="e">
        <f>IF(VLOOKUP(T_Convention[[#This Row],[NumL]],T_TraitDi[#Data],COLUMN(T_TraitDi[Colonne4]),FALSE)=0,"",TEXT(IFERROR(VLOOKUP(T_Convention[[#This Row],[NumL]],T_TraitDi[#Data],COLUMN(T_TraitDi[Colonne4]),FALSE),""),"[hh]:mm"))</f>
        <v>#N/A</v>
      </c>
      <c r="AC289" s="284" t="e">
        <f>IF(VLOOKUP(T_Convention[[#This Row],[NumL]],T_TraitDi[#Data],COLUMN(T_TraitDi[Colonne5]),FALSE)=0,"",TEXT(IFERROR(VLOOKUP(T_Convention[[#This Row],[NumL]],T_TraitDi[#Data],COLUMN(T_TraitDi[Colonne5]),FALSE),""),"[hh]:mm"))</f>
        <v>#N/A</v>
      </c>
      <c r="AD289" s="284" t="e">
        <f>IF(VLOOKUP(T_Convention[[#This Row],[NumL]],T_TraitDi[#Data],COLUMN(T_TraitDi[Colonne6]),FALSE)=0,"",TEXT(IFERROR(VLOOKUP(T_Convention[[#This Row],[NumL]],T_TraitDi[#Data],COLUMN(T_TraitDi[Colonne6]),FALSE),""),"[hh]:mm"))</f>
        <v>#N/A</v>
      </c>
      <c r="AE289" s="284" t="e">
        <f>IF(VLOOKUP(T_Convention[[#This Row],[NumL]],T_TraitDi[#Data],COLUMN(T_TraitDi[Colonne7]),FALSE)=0,"",TEXT(IFERROR(VLOOKUP(T_Convention[[#This Row],[NumL]],T_TraitDi[#Data],COLUMN(T_TraitDi[Colonne7]),FALSE),""),"[hh]:mm"))</f>
        <v>#N/A</v>
      </c>
      <c r="AF289" s="284" t="e">
        <f>IF(VLOOKUP(T_Convention[[#This Row],[NumL]],T_TraitDi[#Data],COLUMN(T_TraitDi[Colonne8]),FALSE)=0,"",TEXT(IFERROR(VLOOKUP(T_Convention[[#This Row],[NumL]],T_TraitDi[#Data],COLUMN(T_TraitDi[Colonne8]),FALSE),""),"[hh]:mm"))</f>
        <v>#N/A</v>
      </c>
      <c r="AG289" s="284" t="str">
        <f>IFERROR(VLOOKUP(T_Convention[[#This Row],[NumL]],T_TraitDi[#Data],COLUMN(T_TraitDi[Mardi]),FALSE),"")</f>
        <v/>
      </c>
      <c r="AH289" s="284" t="e">
        <f>IF(VLOOKUP(T_Convention[[#This Row],[NumL]],T_TraitDi[#Data],COLUMN(T_TraitDi[Colonne1]),FALSE)=0,"",TEXT(IFERROR(VLOOKUP(T_Convention[[#This Row],[NumL]],T_TraitDi[#Data],COLUMN(T_TraitDi[Colonne1]),FALSE),""),"[hh]:mm"))</f>
        <v>#N/A</v>
      </c>
      <c r="AI289" s="284" t="e">
        <f>IF(VLOOKUP(T_Convention[[#This Row],[NumL]],T_TraitDi[#Data],COLUMN(T_TraitDi[Colonne9]),FALSE)=0,"",TEXT(IFERROR(VLOOKUP(T_Convention[[#This Row],[NumL]],T_TraitDi[#Data],COLUMN(T_TraitDi[Colonne9]),FALSE),""),"[hh]:mm"))</f>
        <v>#N/A</v>
      </c>
      <c r="AJ289" s="284" t="str">
        <f>IFERROR(VLOOKUP(T_Convention[[#This Row],[NumL]],T_TraitDi[#Data],COLUMN(T_TraitDi[Colonne10]),FALSE),"")</f>
        <v/>
      </c>
      <c r="AK289" s="284" t="e">
        <f>IF(VLOOKUP(T_Convention[[#This Row],[NumL]],T_TraitDi[#Data],COLUMN(T_TraitDi[Colonne11]),FALSE)=0,"",TEXT(IFERROR(VLOOKUP(T_Convention[[#This Row],[NumL]],T_TraitDi[#Data],COLUMN(T_TraitDi[Colonne11]),FALSE),""),"[hh]:mm"))</f>
        <v>#N/A</v>
      </c>
      <c r="AL289" s="284" t="e">
        <f>IF(VLOOKUP(T_Convention[[#This Row],[NumL]],T_TraitDi[#Data],COLUMN(T_TraitDi[Colonne12]),FALSE)=0,"",TEXT(IFERROR(VLOOKUP(T_Convention[[#This Row],[NumL]],T_TraitDi[#Data],COLUMN(T_TraitDi[Colonne12]),FALSE),""),"[hh]:mm"))</f>
        <v>#N/A</v>
      </c>
      <c r="AM289" s="284" t="e">
        <f>IF(VLOOKUP(T_Convention[[#This Row],[NumL]],T_TraitDi[#Data],COLUMN(T_TraitDi[Colonne14]),FALSE)=0,"",TEXT(IFERROR(VLOOKUP(T_Convention[[#This Row],[NumL]],T_TraitDi[#Data],COLUMN(T_TraitDi[Colonne14]),FALSE),""),"[hh]:mm"))</f>
        <v>#N/A</v>
      </c>
      <c r="AN289" s="284" t="str">
        <f>IFERROR(VLOOKUP(T_Convention[[#This Row],[NumL]],T_TraitDi[#Data],COLUMN(T_TraitDi[Mercredi]),FALSE),"")</f>
        <v/>
      </c>
      <c r="AO289" s="284" t="e">
        <f>IF(VLOOKUP(T_Convention[[#This Row],[NumL]],T_TraitDi[#Data],COLUMN(T_TraitDi[Colonne15]),FALSE)=0,"",TEXT(IFERROR(VLOOKUP(T_Convention[[#This Row],[NumL]],T_TraitDi[#Data],COLUMN(T_TraitDi[Colonne15]),FALSE),""),"[hh]:mm"))</f>
        <v>#N/A</v>
      </c>
      <c r="AP289" s="284" t="e">
        <f>IF(VLOOKUP(T_Convention[[#This Row],[NumL]],T_TraitDi[#Data],COLUMN(T_TraitDi[Colonne16]),FALSE)=0,"",TEXT(IFERROR(VLOOKUP(T_Convention[[#This Row],[NumL]],T_TraitDi[#Data],COLUMN(T_TraitDi[Colonne16]),FALSE),""),"[hh]:mm"))</f>
        <v>#N/A</v>
      </c>
      <c r="AQ289" s="284" t="str">
        <f>IFERROR(VLOOKUP(T_Convention[[#This Row],[NumL]],T_TraitDi[#Data],COLUMN(T_TraitDi[Colonne17]),FALSE),"")</f>
        <v/>
      </c>
      <c r="AR289" s="284" t="e">
        <f>IF(VLOOKUP(T_Convention[[#This Row],[NumL]],T_TraitDi[#Data],COLUMN(T_TraitDi[Colonne18]),FALSE)=0,"",TEXT(IFERROR(VLOOKUP(T_Convention[[#This Row],[NumL]],T_TraitDi[#Data],COLUMN(T_TraitDi[Colonne18]),FALSE),""),"[hh]:mm"))</f>
        <v>#N/A</v>
      </c>
      <c r="AS289" s="284" t="e">
        <f>IF(VLOOKUP(T_Convention[[#This Row],[NumL]],T_TraitDi[#Data],COLUMN(T_TraitDi[Colonne19]),FALSE)=0,"",TEXT(IFERROR(VLOOKUP(T_Convention[[#This Row],[NumL]],T_TraitDi[#Data],COLUMN(T_TraitDi[Colonne19]),FALSE),""),"[hh]:mm"))</f>
        <v>#N/A</v>
      </c>
      <c r="AT289" s="284" t="e">
        <f>IF(VLOOKUP(T_Convention[[#This Row],[NumL]],T_TraitDi[#Data],COLUMN(T_TraitDi[Colonne20]),FALSE)=0,"",TEXT(IFERROR(VLOOKUP(T_Convention[[#This Row],[NumL]],T_TraitDi[#Data],COLUMN(T_TraitDi[Colonne20]),FALSE),""),"[hh]:mm"))</f>
        <v>#N/A</v>
      </c>
      <c r="AU289" s="284" t="str">
        <f>IFERROR(VLOOKUP(T_Convention[[#This Row],[NumL]],T_TraitDi[#Data],COLUMN(T_TraitDi[Jeudi]),FALSE),"")</f>
        <v/>
      </c>
      <c r="AV289" s="284" t="e">
        <f>IF(VLOOKUP(T_Convention[[#This Row],[NumL]],T_TraitDi[#Data],COLUMN(T_TraitDi[Colonne21]),FALSE)=0,"",TEXT(IFERROR(VLOOKUP(T_Convention[[#This Row],[NumL]],T_TraitDi[#Data],COLUMN(T_TraitDi[Colonne21]),FALSE),""),"[hh]:mm"))</f>
        <v>#N/A</v>
      </c>
      <c r="AW289" s="284" t="e">
        <f>IF(VLOOKUP(T_Convention[[#This Row],[NumL]],T_TraitDi[#Data],COLUMN(T_TraitDi[Colonne22]),FALSE)=0,"",TEXT(IFERROR(VLOOKUP(T_Convention[[#This Row],[NumL]],T_TraitDi[#Data],COLUMN(T_TraitDi[Colonne22]),FALSE),""),"[hh]:mm"))</f>
        <v>#N/A</v>
      </c>
      <c r="AX289" s="284" t="str">
        <f>IFERROR(VLOOKUP(T_Convention[[#This Row],[NumL]],T_TraitDi[#Data],COLUMN(T_TraitDi[Colonne23]),FALSE),"")</f>
        <v/>
      </c>
      <c r="AY289" s="284" t="e">
        <f>IF(VLOOKUP(T_Convention[[#This Row],[NumL]],T_TraitDi[#Data],COLUMN(T_TraitDi[Colonne24]),FALSE)=0,"",TEXT(IFERROR(VLOOKUP(T_Convention[[#This Row],[NumL]],T_TraitDi[#Data],COLUMN(T_TraitDi[Colonne24]),FALSE),""),"[hh]:mm"))</f>
        <v>#N/A</v>
      </c>
      <c r="AZ289" s="284" t="e">
        <f>IF(VLOOKUP(T_Convention[[#This Row],[NumL]],T_TraitDi[#Data],COLUMN(T_TraitDi[Colonne25]),FALSE)=0,"",TEXT(IFERROR(VLOOKUP(T_Convention[[#This Row],[NumL]],T_TraitDi[#Data],COLUMN(T_TraitDi[Colonne25]),FALSE),""),"[hh]:mm"))</f>
        <v>#N/A</v>
      </c>
      <c r="BA289" s="284" t="e">
        <f>IF(VLOOKUP(T_Convention[[#This Row],[NumL]],T_TraitDi[#Data],COLUMN(T_TraitDi[Colonne26]),FALSE)=0,"",TEXT(IFERROR(VLOOKUP(T_Convention[[#This Row],[NumL]],T_TraitDi[#Data],COLUMN(T_TraitDi[Colonne26]),FALSE),""),"[hh]:mm"))</f>
        <v>#N/A</v>
      </c>
      <c r="BB289" s="284" t="str">
        <f>IFERROR(VLOOKUP(T_Convention[[#This Row],[NumL]],T_TraitDi[#Data],COLUMN(T_TraitDi[Vendredi]),FALSE),"")</f>
        <v/>
      </c>
      <c r="BC289" s="284" t="e">
        <f>IF(VLOOKUP(T_Convention[[#This Row],[NumL]],T_TraitDi[#Data],COLUMN(T_TraitDi[Colonne27]),FALSE)=0,"",TEXT(IFERROR(VLOOKUP(T_Convention[[#This Row],[NumL]],T_TraitDi[#Data],COLUMN(T_TraitDi[Colonne27]),FALSE),""),"[hh]:mm"))</f>
        <v>#N/A</v>
      </c>
      <c r="BD289" s="284" t="e">
        <f>IF(VLOOKUP(T_Convention[[#This Row],[NumL]],T_TraitDi[#Data],COLUMN(T_TraitDi[Colonne28]),FALSE)=0,"",TEXT(IFERROR(VLOOKUP(T_Convention[[#This Row],[NumL]],T_TraitDi[#Data],COLUMN(T_TraitDi[Colonne28]),FALSE),""),"[hh]:mm"))</f>
        <v>#N/A</v>
      </c>
      <c r="BE289" s="284" t="str">
        <f>IFERROR(VLOOKUP(T_Convention[[#This Row],[NumL]],T_TraitDi[#Data],COLUMN(T_TraitDi[Colonne29]),FALSE),"")</f>
        <v/>
      </c>
      <c r="BF289" s="284" t="e">
        <f>IF(VLOOKUP(T_Convention[[#This Row],[NumL]],T_TraitDi[#Data],COLUMN(T_TraitDi[Colonne30]),FALSE)=0,"",TEXT(IFERROR(VLOOKUP(T_Convention[[#This Row],[NumL]],T_TraitDi[#Data],COLUMN(T_TraitDi[Colonne30]),FALSE),""),"[hh]:mm"))</f>
        <v>#N/A</v>
      </c>
      <c r="BG289" s="284" t="e">
        <f>IF(VLOOKUP(T_Convention[[#This Row],[NumL]],T_TraitDi[#Data],COLUMN(T_TraitDi[Colonne31]),FALSE)=0,"",TEXT(IFERROR(VLOOKUP(T_Convention[[#This Row],[NumL]],T_TraitDi[#Data],COLUMN(T_TraitDi[Colonne31]),FALSE),""),"[hh]:mm"))</f>
        <v>#N/A</v>
      </c>
      <c r="BH289" s="284" t="e">
        <f>IF(VLOOKUP(T_Convention[[#This Row],[NumL]],T_TraitDi[#Data],COLUMN(T_TraitDi[Colonne32]),FALSE)=0,"",TEXT(IFERROR(VLOOKUP(T_Convention[[#This Row],[NumL]],T_TraitDi[#Data],COLUMN(T_TraitDi[Colonne32]),FALSE),""),"[hh]:mm"))</f>
        <v>#N/A</v>
      </c>
      <c r="BI289" s="284" t="str">
        <f>IFERROR(VLOOKUP(T_Convention[[#This Row],[NumL]],T_TraitDi[#Data],COLUMN(T_TraitDi[NbJTW]),FALSE),"")</f>
        <v/>
      </c>
      <c r="BJ289" s="284" t="e">
        <f>IF(VLOOKUP(T_Convention[[#This Row],[NumL]],T_TraitDi[#Data],COLUMN(T_TraitDi[NbhTW]),FALSE)=0,"",TEXT(IFERROR(VLOOKUP(T_Convention[[#This Row],[NumL]],T_TraitDi[#Data],COLUMN(T_TraitDi[NbhTW]),FALSE),""),"[hh]:mm"))</f>
        <v>#N/A</v>
      </c>
      <c r="BK289" s="315" t="e">
        <f>IF(VLOOKUP(T_Convention[[#This Row],[NumL]],T_TraitDi[#Data],COLUMN(T_TraitDi[Nbhheb]),FALSE)=0,"",TEXT(IFERROR(VLOOKUP(T_Convention[[#This Row],[NumL]],T_TraitDi[#Data],COLUMN(T_TraitDi[Nbhheb]),FALSE),""),"[hh]:mm"))</f>
        <v>#N/A</v>
      </c>
      <c r="BL289" s="287" t="str">
        <f>IFERROR(VLOOKUP(VLOOKUP(T_Convention[[#This Row],[NumL]],T_TraitDi[#Data],COLUMN(T_TraitDi[Type1]),FALSE),TypeTW,2,FALSE),"")</f>
        <v/>
      </c>
      <c r="BM289" s="288" t="str">
        <f>IFERROR(VLOOKUP(T_Convention[[#This Row],[NumL]],T_TraitDi[#Data],COLUMN(T_TraitDi[Rue1]),FALSE),"")</f>
        <v/>
      </c>
      <c r="BN289" s="289" t="str">
        <f>IFERROR(VLOOKUP(T_Convention[[#This Row],[NumL]],T_TraitDi[#Data],COLUMN(T_TraitDi[CP1]),FALSE),"")</f>
        <v/>
      </c>
      <c r="BO289" s="282" t="str">
        <f>IFERROR(VLOOKUP(T_Convention[[#This Row],[NumL]],T_TraitDi[#Data],COLUMN(T_TraitDi[VILLE1]),FALSE),"")</f>
        <v/>
      </c>
      <c r="BP289" s="290" t="str">
        <f>IFERROR(VLOOKUP(VLOOKUP(T_Convention[[#This Row],[NumL]],T_TraitDi[#Data],COLUMN(T_TraitDi[Type2]),FALSE),TypeTW,2,FALSE),"")</f>
        <v/>
      </c>
      <c r="BQ289" s="310" t="str">
        <f>IFERROR(VLOOKUP(T_Convention[[#This Row],[NumL]],T_TraitDi[#Data],COLUMN(T_TraitDi[Rue2]),FALSE),"")</f>
        <v/>
      </c>
      <c r="BR289" s="290" t="str">
        <f>IFERROR(VLOOKUP(T_Convention[[#This Row],[NumL]],T_TraitDi[#Data],COLUMN(T_TraitDi[CP2]),FALSE),"")</f>
        <v/>
      </c>
      <c r="BS289" s="290" t="str">
        <f>IFERROR(VLOOKUP(T_Convention[[#This Row],[NumL]],T_TraitDi[#Data],COLUMN(T_TraitDi[VILLE2]),FALSE),"")</f>
        <v/>
      </c>
      <c r="BT289"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89" s="314" t="str">
        <f>IFERROR(IF(VLOOKUP(T_Convention[[#This Row],[NumL]],T_TraitDi[#Data],COLUMN(T_TraitDi[Plan]),FALSE)="OK","Un planning spécifique de télétravail est annexé à la présente convention.",""),"")</f>
        <v/>
      </c>
      <c r="BV289" s="291"/>
      <c r="BW289" s="292" t="e">
        <f>IF(VLOOKUP(T_Convention[[#This Row],[NumL]],T_suiviDi[#Data],COLUMN(T_suiviDi[Entité]),FALSE)="","",VLOOKUP(T_Convention[[#This Row],[NumL]],T_suiviDi[#Data],COLUMN(T_suiviDi[Entité]),FALSE))</f>
        <v>#N/A</v>
      </c>
      <c r="BX289" s="311" t="str">
        <f>IF(VLOOKUP(T_Convention[[#This Row],[NumL]],T_Commission[#Data],COLUMN(T_Commission[envoi confirm TW]),FALSE)="","",VLOOKUP(T_Convention[[#This Row],[NumL]],T_Commission[#Data],COLUMN(T_Commission[envoi confirm TW]),FALSE))</f>
        <v>Oui</v>
      </c>
      <c r="BY289"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89" s="265">
        <f>VLOOKUP(T_Convention[[#This Row],[NumL]],T_Commission[#Data],COLUMN(T_Commission[Commentaire]),FALSE)</f>
        <v>0</v>
      </c>
      <c r="CA289" s="255" t="str">
        <f>IF(VLOOKUP(T_Convention[[#This Row],[NumL]],T_Commission[#Data],COLUMN(T_Commission[Encadrant Email]),FALSE)="","",VLOOKUP(T_Convention[[#This Row],[NumL]],T_Commission[#Data],COLUMN(T_Commission[Encadrant Email]),FALSE))</f>
        <v/>
      </c>
      <c r="CB289" s="353" t="e">
        <f>VLOOKUP(T_Convention[[#This Row],[NumL]],T_TraitDi[#Data],COLUMN(T_TraitDi[NbJTot]),FALSE)</f>
        <v>#N/A</v>
      </c>
      <c r="CC289" s="353" t="e">
        <f>VLOOKUP(T_Convention[[#This Row],[NumL]],T_TraitDi[#Data],COLUMN(T_TraitDi[Reg Ponct]),FALSE)</f>
        <v>#N/A</v>
      </c>
      <c r="CD289" s="348" t="str">
        <f>IF(T_Convention[[#This Row],[Final]]&lt;&gt;"",VLOOKUP(T_Convention[[#This Row],[NumL]],T_suiviDi[#Data],COLUMN((T_suiviDi[Statut])),FALSE),"")</f>
        <v/>
      </c>
    </row>
    <row r="290" spans="1:82" s="106" customFormat="1" ht="18.75" customHeight="1" x14ac:dyDescent="0.25">
      <c r="A290" s="160">
        <v>175</v>
      </c>
      <c r="B290" s="161" t="str">
        <f>VLOOKUP(T_Convention[[#This Row],[NumL]],T_Commission[#Data],COLUMN(T_Commission[FINAL]),FALSE)</f>
        <v/>
      </c>
      <c r="C290" s="162"/>
      <c r="D290" s="95" t="e">
        <f>IF(VLOOKUP(T_Convention[[#This Row],[NumL]],T_TraitDi[#Data],COLUMN(T_TraitDi[WebC]),FALSE)="","",VLOOKUP(T_Convention[[#This Row],[NumL]],T_TraitDi[#Data],COLUMN(T_TraitDi[WebC]),FALSE))</f>
        <v>#N/A</v>
      </c>
      <c r="E290" s="163" t="str">
        <f t="shared" si="20"/>
        <v>12 janvier 2021</v>
      </c>
      <c r="F290" s="282" t="str">
        <f>IF(T_Convention[[#This Row],[Final]]&lt;&gt;"",VLOOKUP(T_Convention[[#This Row],[NumL]],T_suiviDi[#Data],COLUMN((T_suiviDi[Civ.])),FALSE),"")</f>
        <v/>
      </c>
      <c r="G290" s="283" t="str">
        <f>IF(T_Convention[[#This Row],[Final]]&lt;&gt;"",VLOOKUP(T_Convention[[#This Row],[NumL]],T_suiviDi[#Data],COLUMN((T_suiviDi[Nom])),FALSE),"")</f>
        <v/>
      </c>
      <c r="H290" s="282" t="str">
        <f>IF(T_Convention[[#This Row],[Final]]&lt;&gt;"",VLOOKUP(T_Convention[[#This Row],[NumL]],T_suiviDi[#Data],COLUMN((T_suiviDi[Prénom])),FALSE),"")</f>
        <v/>
      </c>
      <c r="I290" s="282" t="e">
        <f>VLOOKUP(T_Convention[[#This Row],[NumL]],T_suiviDi[#Data],COLUMN((T_suiviDi[[#This Row],[Email]])),FALSE)</f>
        <v>#VALUE!</v>
      </c>
      <c r="J290" s="282" t="e">
        <f>IF(VLOOKUP(T_Convention[[#This Row],[NumL]],T_suiviDi[#Data],COLUMN(T_suiviDi[[#This Row],[Fonction]]),FALSE)="","",VLOOKUP(T_Convention[[#This Row],[NumL]],T_suiviDi[#Data],COLUMN(T_suiviDi[[#This Row],[Fonction]]),FALSE))</f>
        <v>#VALUE!</v>
      </c>
      <c r="K290" s="282" t="e">
        <f>IF(VLOOKUP(T_Convention[[#This Row],[NumL]],T_suiviDi[#Data],COLUMN(T_suiviDi[[#This Row],[Grade]]),FALSE)="","",VLOOKUP(T_Convention[[#This Row],[NumL]],T_suiviDi[#Data],COLUMN(T_suiviDi[[#This Row],[Grade]]),FALSE))</f>
        <v>#VALUE!</v>
      </c>
      <c r="L290" s="282" t="e">
        <f>IF(VLOOKUP(T_Convention[[#This Row],[NumL]],T_suiviDi[#Data],COLUMN(T_suiviDi[[#This Row],[Service ]]),FALSE)="","",VLOOKUP(T_Convention[[#This Row],[NumL]],T_suiviDi[#Data],COLUMN(T_suiviDi[[#This Row],[Service ]]),FALSE))</f>
        <v>#VALUE!</v>
      </c>
      <c r="M290" s="164" t="str">
        <f t="shared" si="21"/>
        <v>01 septembre 2021</v>
      </c>
      <c r="N290" s="164" t="str">
        <f t="shared" si="22"/>
        <v>30 novembre 2021</v>
      </c>
      <c r="O290" s="284" t="str">
        <f t="shared" si="23"/>
        <v>30 novembre 2021</v>
      </c>
      <c r="P290" s="282" t="e">
        <f>IF(VLOOKUP(T_Convention[[#This Row],[NumL]],T_TraitDi[#Data],COLUMN(T_TraitDi[M1]),FALSE)="","",VLOOKUP(T_Convention[[#This Row],[NumL]],T_TraitDi[#Data],COLUMN(T_TraitDi[M1]),FALSE))</f>
        <v>#N/A</v>
      </c>
      <c r="Q290" s="282" t="e">
        <f>IF(VLOOKUP(T_Convention[[#This Row],[NumL]],T_TraitDi[#Data],COLUMN(T_TraitDi[M2]),FALSE)="","",VLOOKUP(T_Convention[[#This Row],[NumL]],T_TraitDi[#Data],COLUMN(T_TraitDi[M2]),FALSE))</f>
        <v>#N/A</v>
      </c>
      <c r="R290" s="282" t="e">
        <f>IF(VLOOKUP(T_Convention[[#This Row],[NumL]],T_TraitDi[#Data],COLUMN(T_TraitDi[M3]),FALSE)="","",VLOOKUP(T_Convention[[#This Row],[NumL]],T_TraitDi[#Data],COLUMN(T_TraitDi[M3]),FALSE))</f>
        <v>#N/A</v>
      </c>
      <c r="S290" s="282" t="e">
        <f>IF(VLOOKUP(T_Convention[[#This Row],[NumL]],T_TraitDi[#Data],COLUMN(T_TraitDi[M4]),FALSE)="","",VLOOKUP(T_Convention[[#This Row],[NumL]],T_TraitDi[#Data],COLUMN(T_TraitDi[M4]),FALSE))</f>
        <v>#N/A</v>
      </c>
      <c r="T290" s="282" t="e">
        <f>IF(VLOOKUP(T_Convention[[#This Row],[NumL]],T_TraitDi[#Data],COLUMN(T_TraitDi[M5]),FALSE)="","",VLOOKUP(T_Convention[[#This Row],[NumL]],T_TraitDi[#Data],COLUMN(T_TraitDi[M5]),FALSE))</f>
        <v>#N/A</v>
      </c>
      <c r="U290" s="282" t="e">
        <f>IF(VLOOKUP(T_Convention[[#This Row],[NumL]],T_TraitDi[#Data],COLUMN(T_TraitDi[M6]),FALSE)="","",VLOOKUP(T_Convention[[#This Row],[NumL]],T_TraitDi[#Data],COLUMN(T_TraitDi[M6]),FALSE))</f>
        <v>#N/A</v>
      </c>
      <c r="V290" s="176" t="e">
        <f t="shared" si="24"/>
        <v>#N/A</v>
      </c>
      <c r="W290" s="284" t="str">
        <f>IFERROR(TEXT(VLOOKUP(T_Convention[[#This Row],[NumL]],T_TraitDi[#Data],COLUMN(T_TraitDi[Q2]),FALSE),"###%"),"")</f>
        <v/>
      </c>
      <c r="X290" s="97" t="e">
        <f>VLOOKUP(T_Convention[[#This Row],[NumL]],T_TraitDi[#Data],COLUMN(T_TraitDi[Reg Ponct]),FALSE)</f>
        <v>#N/A</v>
      </c>
      <c r="Y290" s="97" t="e">
        <f>VLOOKUP(T_Convention[NumL],T_TraitDi[#Data],COLUMN(T_TraitDi[Jours flottants]),FALSE)</f>
        <v>#N/A</v>
      </c>
      <c r="Z290" s="284" t="str">
        <f>IFERROR(VLOOKUP(T_Convention[[#This Row],[NumL]],T_TraitDi[#Data],COLUMN(T_TraitDi[Lundi]),FALSE),"")</f>
        <v/>
      </c>
      <c r="AA290" s="284" t="e">
        <f>IF(VLOOKUP(T_Convention[[#This Row],[NumL]],T_TraitDi[#Data],COLUMN(T_TraitDi[Colonne3]),FALSE)=0,"",TEXT(IFERROR(VLOOKUP(T_Convention[[#This Row],[NumL]],T_TraitDi[#Data],COLUMN(T_TraitDi[Colonne3]),FALSE),""),"[hh]:mm"))</f>
        <v>#N/A</v>
      </c>
      <c r="AB290" s="284" t="e">
        <f>IF(VLOOKUP(T_Convention[[#This Row],[NumL]],T_TraitDi[#Data],COLUMN(T_TraitDi[Colonne4]),FALSE)=0,"",TEXT(IFERROR(VLOOKUP(T_Convention[[#This Row],[NumL]],T_TraitDi[#Data],COLUMN(T_TraitDi[Colonne4]),FALSE),""),"[hh]:mm"))</f>
        <v>#N/A</v>
      </c>
      <c r="AC290" s="284" t="e">
        <f>IF(VLOOKUP(T_Convention[[#This Row],[NumL]],T_TraitDi[#Data],COLUMN(T_TraitDi[Colonne5]),FALSE)=0,"",TEXT(IFERROR(VLOOKUP(T_Convention[[#This Row],[NumL]],T_TraitDi[#Data],COLUMN(T_TraitDi[Colonne5]),FALSE),""),"[hh]:mm"))</f>
        <v>#N/A</v>
      </c>
      <c r="AD290" s="284" t="e">
        <f>IF(VLOOKUP(T_Convention[[#This Row],[NumL]],T_TraitDi[#Data],COLUMN(T_TraitDi[Colonne6]),FALSE)=0,"",TEXT(IFERROR(VLOOKUP(T_Convention[[#This Row],[NumL]],T_TraitDi[#Data],COLUMN(T_TraitDi[Colonne6]),FALSE),""),"[hh]:mm"))</f>
        <v>#N/A</v>
      </c>
      <c r="AE290" s="284" t="e">
        <f>IF(VLOOKUP(T_Convention[[#This Row],[NumL]],T_TraitDi[#Data],COLUMN(T_TraitDi[Colonne7]),FALSE)=0,"",TEXT(IFERROR(VLOOKUP(T_Convention[[#This Row],[NumL]],T_TraitDi[#Data],COLUMN(T_TraitDi[Colonne7]),FALSE),""),"[hh]:mm"))</f>
        <v>#N/A</v>
      </c>
      <c r="AF290" s="284" t="e">
        <f>IF(VLOOKUP(T_Convention[[#This Row],[NumL]],T_TraitDi[#Data],COLUMN(T_TraitDi[Colonne8]),FALSE)=0,"",TEXT(IFERROR(VLOOKUP(T_Convention[[#This Row],[NumL]],T_TraitDi[#Data],COLUMN(T_TraitDi[Colonne8]),FALSE),""),"[hh]:mm"))</f>
        <v>#N/A</v>
      </c>
      <c r="AG290" s="284" t="str">
        <f>IFERROR(VLOOKUP(T_Convention[[#This Row],[NumL]],T_TraitDi[#Data],COLUMN(T_TraitDi[Mardi]),FALSE),"")</f>
        <v/>
      </c>
      <c r="AH290" s="284" t="e">
        <f>IF(VLOOKUP(T_Convention[[#This Row],[NumL]],T_TraitDi[#Data],COLUMN(T_TraitDi[Colonne1]),FALSE)=0,"",TEXT(IFERROR(VLOOKUP(T_Convention[[#This Row],[NumL]],T_TraitDi[#Data],COLUMN(T_TraitDi[Colonne1]),FALSE),""),"[hh]:mm"))</f>
        <v>#N/A</v>
      </c>
      <c r="AI290" s="284" t="e">
        <f>IF(VLOOKUP(T_Convention[[#This Row],[NumL]],T_TraitDi[#Data],COLUMN(T_TraitDi[Colonne9]),FALSE)=0,"",TEXT(IFERROR(VLOOKUP(T_Convention[[#This Row],[NumL]],T_TraitDi[#Data],COLUMN(T_TraitDi[Colonne9]),FALSE),""),"[hh]:mm"))</f>
        <v>#N/A</v>
      </c>
      <c r="AJ290" s="284" t="str">
        <f>IFERROR(VLOOKUP(T_Convention[[#This Row],[NumL]],T_TraitDi[#Data],COLUMN(T_TraitDi[Colonne10]),FALSE),"")</f>
        <v/>
      </c>
      <c r="AK290" s="284" t="e">
        <f>IF(VLOOKUP(T_Convention[[#This Row],[NumL]],T_TraitDi[#Data],COLUMN(T_TraitDi[Colonne11]),FALSE)=0,"",TEXT(IFERROR(VLOOKUP(T_Convention[[#This Row],[NumL]],T_TraitDi[#Data],COLUMN(T_TraitDi[Colonne11]),FALSE),""),"[hh]:mm"))</f>
        <v>#N/A</v>
      </c>
      <c r="AL290" s="284" t="e">
        <f>IF(VLOOKUP(T_Convention[[#This Row],[NumL]],T_TraitDi[#Data],COLUMN(T_TraitDi[Colonne12]),FALSE)=0,"",TEXT(IFERROR(VLOOKUP(T_Convention[[#This Row],[NumL]],T_TraitDi[#Data],COLUMN(T_TraitDi[Colonne12]),FALSE),""),"[hh]:mm"))</f>
        <v>#N/A</v>
      </c>
      <c r="AM290" s="284" t="e">
        <f>IF(VLOOKUP(T_Convention[[#This Row],[NumL]],T_TraitDi[#Data],COLUMN(T_TraitDi[Colonne14]),FALSE)=0,"",TEXT(IFERROR(VLOOKUP(T_Convention[[#This Row],[NumL]],T_TraitDi[#Data],COLUMN(T_TraitDi[Colonne14]),FALSE),""),"[hh]:mm"))</f>
        <v>#N/A</v>
      </c>
      <c r="AN290" s="284" t="str">
        <f>IFERROR(VLOOKUP(T_Convention[[#This Row],[NumL]],T_TraitDi[#Data],COLUMN(T_TraitDi[Mercredi]),FALSE),"")</f>
        <v/>
      </c>
      <c r="AO290" s="284" t="e">
        <f>IF(VLOOKUP(T_Convention[[#This Row],[NumL]],T_TraitDi[#Data],COLUMN(T_TraitDi[Colonne15]),FALSE)=0,"",TEXT(IFERROR(VLOOKUP(T_Convention[[#This Row],[NumL]],T_TraitDi[#Data],COLUMN(T_TraitDi[Colonne15]),FALSE),""),"[hh]:mm"))</f>
        <v>#N/A</v>
      </c>
      <c r="AP290" s="284" t="e">
        <f>IF(VLOOKUP(T_Convention[[#This Row],[NumL]],T_TraitDi[#Data],COLUMN(T_TraitDi[Colonne16]),FALSE)=0,"",TEXT(IFERROR(VLOOKUP(T_Convention[[#This Row],[NumL]],T_TraitDi[#Data],COLUMN(T_TraitDi[Colonne16]),FALSE),""),"[hh]:mm"))</f>
        <v>#N/A</v>
      </c>
      <c r="AQ290" s="284" t="str">
        <f>IFERROR(VLOOKUP(T_Convention[[#This Row],[NumL]],T_TraitDi[#Data],COLUMN(T_TraitDi[Colonne17]),FALSE),"")</f>
        <v/>
      </c>
      <c r="AR290" s="284" t="e">
        <f>IF(VLOOKUP(T_Convention[[#This Row],[NumL]],T_TraitDi[#Data],COLUMN(T_TraitDi[Colonne18]),FALSE)=0,"",TEXT(IFERROR(VLOOKUP(T_Convention[[#This Row],[NumL]],T_TraitDi[#Data],COLUMN(T_TraitDi[Colonne18]),FALSE),""),"[hh]:mm"))</f>
        <v>#N/A</v>
      </c>
      <c r="AS290" s="284" t="e">
        <f>IF(VLOOKUP(T_Convention[[#This Row],[NumL]],T_TraitDi[#Data],COLUMN(T_TraitDi[Colonne19]),FALSE)=0,"",TEXT(IFERROR(VLOOKUP(T_Convention[[#This Row],[NumL]],T_TraitDi[#Data],COLUMN(T_TraitDi[Colonne19]),FALSE),""),"[hh]:mm"))</f>
        <v>#N/A</v>
      </c>
      <c r="AT290" s="284" t="e">
        <f>IF(VLOOKUP(T_Convention[[#This Row],[NumL]],T_TraitDi[#Data],COLUMN(T_TraitDi[Colonne20]),FALSE)=0,"",TEXT(IFERROR(VLOOKUP(T_Convention[[#This Row],[NumL]],T_TraitDi[#Data],COLUMN(T_TraitDi[Colonne20]),FALSE),""),"[hh]:mm"))</f>
        <v>#N/A</v>
      </c>
      <c r="AU290" s="284" t="str">
        <f>IFERROR(VLOOKUP(T_Convention[[#This Row],[NumL]],T_TraitDi[#Data],COLUMN(T_TraitDi[Jeudi]),FALSE),"")</f>
        <v/>
      </c>
      <c r="AV290" s="284" t="e">
        <f>IF(VLOOKUP(T_Convention[[#This Row],[NumL]],T_TraitDi[#Data],COLUMN(T_TraitDi[Colonne21]),FALSE)=0,"",TEXT(IFERROR(VLOOKUP(T_Convention[[#This Row],[NumL]],T_TraitDi[#Data],COLUMN(T_TraitDi[Colonne21]),FALSE),""),"[hh]:mm"))</f>
        <v>#N/A</v>
      </c>
      <c r="AW290" s="284" t="e">
        <f>IF(VLOOKUP(T_Convention[[#This Row],[NumL]],T_TraitDi[#Data],COLUMN(T_TraitDi[Colonne22]),FALSE)=0,"",TEXT(IFERROR(VLOOKUP(T_Convention[[#This Row],[NumL]],T_TraitDi[#Data],COLUMN(T_TraitDi[Colonne22]),FALSE),""),"[hh]:mm"))</f>
        <v>#N/A</v>
      </c>
      <c r="AX290" s="284" t="str">
        <f>IFERROR(VLOOKUP(T_Convention[[#This Row],[NumL]],T_TraitDi[#Data],COLUMN(T_TraitDi[Colonne23]),FALSE),"")</f>
        <v/>
      </c>
      <c r="AY290" s="284" t="e">
        <f>IF(VLOOKUP(T_Convention[[#This Row],[NumL]],T_TraitDi[#Data],COLUMN(T_TraitDi[Colonne24]),FALSE)=0,"",TEXT(IFERROR(VLOOKUP(T_Convention[[#This Row],[NumL]],T_TraitDi[#Data],COLUMN(T_TraitDi[Colonne24]),FALSE),""),"[hh]:mm"))</f>
        <v>#N/A</v>
      </c>
      <c r="AZ290" s="284" t="e">
        <f>IF(VLOOKUP(T_Convention[[#This Row],[NumL]],T_TraitDi[#Data],COLUMN(T_TraitDi[Colonne25]),FALSE)=0,"",TEXT(IFERROR(VLOOKUP(T_Convention[[#This Row],[NumL]],T_TraitDi[#Data],COLUMN(T_TraitDi[Colonne25]),FALSE),""),"[hh]:mm"))</f>
        <v>#N/A</v>
      </c>
      <c r="BA290" s="284" t="e">
        <f>IF(VLOOKUP(T_Convention[[#This Row],[NumL]],T_TraitDi[#Data],COLUMN(T_TraitDi[Colonne26]),FALSE)=0,"",TEXT(IFERROR(VLOOKUP(T_Convention[[#This Row],[NumL]],T_TraitDi[#Data],COLUMN(T_TraitDi[Colonne26]),FALSE),""),"[hh]:mm"))</f>
        <v>#N/A</v>
      </c>
      <c r="BB290" s="284" t="str">
        <f>IFERROR(VLOOKUP(T_Convention[[#This Row],[NumL]],T_TraitDi[#Data],COLUMN(T_TraitDi[Vendredi]),FALSE),"")</f>
        <v/>
      </c>
      <c r="BC290" s="284" t="e">
        <f>IF(VLOOKUP(T_Convention[[#This Row],[NumL]],T_TraitDi[#Data],COLUMN(T_TraitDi[Colonne27]),FALSE)=0,"",TEXT(IFERROR(VLOOKUP(T_Convention[[#This Row],[NumL]],T_TraitDi[#Data],COLUMN(T_TraitDi[Colonne27]),FALSE),""),"[hh]:mm"))</f>
        <v>#N/A</v>
      </c>
      <c r="BD290" s="284" t="e">
        <f>IF(VLOOKUP(T_Convention[[#This Row],[NumL]],T_TraitDi[#Data],COLUMN(T_TraitDi[Colonne28]),FALSE)=0,"",TEXT(IFERROR(VLOOKUP(T_Convention[[#This Row],[NumL]],T_TraitDi[#Data],COLUMN(T_TraitDi[Colonne28]),FALSE),""),"[hh]:mm"))</f>
        <v>#N/A</v>
      </c>
      <c r="BE290" s="284" t="str">
        <f>IFERROR(VLOOKUP(T_Convention[[#This Row],[NumL]],T_TraitDi[#Data],COLUMN(T_TraitDi[Colonne29]),FALSE),"")</f>
        <v/>
      </c>
      <c r="BF290" s="284" t="e">
        <f>IF(VLOOKUP(T_Convention[[#This Row],[NumL]],T_TraitDi[#Data],COLUMN(T_TraitDi[Colonne30]),FALSE)=0,"",TEXT(IFERROR(VLOOKUP(T_Convention[[#This Row],[NumL]],T_TraitDi[#Data],COLUMN(T_TraitDi[Colonne30]),FALSE),""),"[hh]:mm"))</f>
        <v>#N/A</v>
      </c>
      <c r="BG290" s="284" t="e">
        <f>IF(VLOOKUP(T_Convention[[#This Row],[NumL]],T_TraitDi[#Data],COLUMN(T_TraitDi[Colonne31]),FALSE)=0,"",TEXT(IFERROR(VLOOKUP(T_Convention[[#This Row],[NumL]],T_TraitDi[#Data],COLUMN(T_TraitDi[Colonne31]),FALSE),""),"[hh]:mm"))</f>
        <v>#N/A</v>
      </c>
      <c r="BH290" s="284" t="e">
        <f>IF(VLOOKUP(T_Convention[[#This Row],[NumL]],T_TraitDi[#Data],COLUMN(T_TraitDi[Colonne32]),FALSE)=0,"",TEXT(IFERROR(VLOOKUP(T_Convention[[#This Row],[NumL]],T_TraitDi[#Data],COLUMN(T_TraitDi[Colonne32]),FALSE),""),"[hh]:mm"))</f>
        <v>#N/A</v>
      </c>
      <c r="BI290" s="284" t="str">
        <f>IFERROR(VLOOKUP(T_Convention[[#This Row],[NumL]],T_TraitDi[#Data],COLUMN(T_TraitDi[NbJTW]),FALSE),"")</f>
        <v/>
      </c>
      <c r="BJ290" s="284" t="e">
        <f>IF(VLOOKUP(T_Convention[[#This Row],[NumL]],T_TraitDi[#Data],COLUMN(T_TraitDi[NbhTW]),FALSE)=0,"",TEXT(IFERROR(VLOOKUP(T_Convention[[#This Row],[NumL]],T_TraitDi[#Data],COLUMN(T_TraitDi[NbhTW]),FALSE),""),"[hh]:mm"))</f>
        <v>#N/A</v>
      </c>
      <c r="BK290" s="286" t="e">
        <f>IF(VLOOKUP(T_Convention[[#This Row],[NumL]],T_TraitDi[#Data],COLUMN(T_TraitDi[Nbhheb]),FALSE)=0,"",TEXT(IFERROR(VLOOKUP(T_Convention[[#This Row],[NumL]],T_TraitDi[#Data],COLUMN(T_TraitDi[Nbhheb]),FALSE),""),"[hh]:mm"))</f>
        <v>#N/A</v>
      </c>
      <c r="BL290" s="287" t="str">
        <f>IFERROR(VLOOKUP(VLOOKUP(T_Convention[[#This Row],[NumL]],T_TraitDi[#Data],COLUMN(T_TraitDi[Type1]),FALSE),TypeTW,2,FALSE),"")</f>
        <v/>
      </c>
      <c r="BM290" s="288" t="str">
        <f>IFERROR(VLOOKUP(T_Convention[[#This Row],[NumL]],T_TraitDi[#Data],COLUMN(T_TraitDi[Rue1]),FALSE),"")</f>
        <v/>
      </c>
      <c r="BN290" s="289" t="str">
        <f>IFERROR(VLOOKUP(T_Convention[[#This Row],[NumL]],T_TraitDi[#Data],COLUMN(T_TraitDi[CP1]),FALSE),"")</f>
        <v/>
      </c>
      <c r="BO290" s="282" t="str">
        <f>IFERROR(VLOOKUP(T_Convention[[#This Row],[NumL]],T_TraitDi[#Data],COLUMN(T_TraitDi[VILLE1]),FALSE),"")</f>
        <v/>
      </c>
      <c r="BP290" s="290" t="str">
        <f>IFERROR(VLOOKUP(VLOOKUP(T_Convention[[#This Row],[NumL]],T_TraitDi[#Data],COLUMN(T_TraitDi[Type2]),FALSE),TypeTW,2,FALSE),"")</f>
        <v/>
      </c>
      <c r="BQ290" s="182" t="str">
        <f>IFERROR(VLOOKUP(T_Convention[[#This Row],[NumL]],T_TraitDi[#Data],COLUMN(T_TraitDi[Rue2]),FALSE),"")</f>
        <v/>
      </c>
      <c r="BR290" s="173" t="str">
        <f>IFERROR(VLOOKUP(T_Convention[[#This Row],[NumL]],T_TraitDi[#Data],COLUMN(T_TraitDi[CP2]),FALSE),"")</f>
        <v/>
      </c>
      <c r="BS290" s="173" t="str">
        <f>IFERROR(VLOOKUP(T_Convention[[#This Row],[NumL]],T_TraitDi[#Data],COLUMN(T_TraitDi[VILLE2]),FALSE),"")</f>
        <v/>
      </c>
      <c r="BT290" s="182" t="str">
        <f>IF(VLOOKUP(T_Convention[[#This Row],[NumL]],T_Equipement[#Data],COLUMN(T_Equipement[PC]),FALSE)="","Aucun équipement spécifique directement lié au télétravail",VLOOKUP(T_Convention[[#This Row],[NumL]],T_Equipement[#Data],COLUMN(T_Equipement[PC]),FALSE))</f>
        <v xml:space="preserve">20-510	</v>
      </c>
      <c r="BU290" s="166" t="str">
        <f>IFERROR(IF(VLOOKUP(T_Convention[[#This Row],[NumL]],T_TraitDi[#Data],COLUMN(T_TraitDi[Plan]),FALSE)="OK","Un planning spécifique de télétravail est annexé à la présente convention.",""),"")</f>
        <v/>
      </c>
      <c r="BV290" s="185" t="s">
        <v>3520</v>
      </c>
      <c r="BW290" s="164" t="e">
        <f>IF(VLOOKUP(T_Convention[[#This Row],[NumL]],T_suiviDi[#Data],COLUMN(T_suiviDi[Entité]),FALSE)="","",VLOOKUP(T_Convention[[#This Row],[NumL]],T_suiviDi[#Data],COLUMN(T_suiviDi[Entité]),FALSE))</f>
        <v>#N/A</v>
      </c>
      <c r="BX290" s="164" t="str">
        <f>IF(VLOOKUP(T_Convention[[#This Row],[NumL]],T_Commission[#Data],COLUMN(T_Commission[envoi confirm TW]),FALSE)="","",VLOOKUP(T_Convention[[#This Row],[NumL]],T_Commission[#Data],COLUMN(T_Commission[envoi confirm TW]),FALSE))</f>
        <v>Oui</v>
      </c>
      <c r="BY29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0" s="264">
        <f>VLOOKUP(T_Convention[[#This Row],[NumL]],T_Commission[#Data],COLUMN(T_Commission[Commentaire]),FALSE)</f>
        <v>0</v>
      </c>
      <c r="CA290" s="254" t="str">
        <f>IF(VLOOKUP(T_Convention[[#This Row],[NumL]],T_Commission[#Data],COLUMN(T_Commission[Encadrant Email]),FALSE)="","",VLOOKUP(T_Convention[[#This Row],[NumL]],T_Commission[#Data],COLUMN(T_Commission[Encadrant Email]),FALSE))</f>
        <v/>
      </c>
      <c r="CB290" s="353" t="e">
        <f>VLOOKUP(T_Convention[[#This Row],[NumL]],T_TraitDi[#Data],COLUMN(T_TraitDi[NbJTot]),FALSE)</f>
        <v>#N/A</v>
      </c>
      <c r="CC290" s="353" t="e">
        <f>VLOOKUP(T_Convention[[#This Row],[NumL]],T_TraitDi[#Data],COLUMN(T_TraitDi[Reg Ponct]),FALSE)</f>
        <v>#N/A</v>
      </c>
      <c r="CD290" s="348" t="str">
        <f>IF(T_Convention[[#This Row],[Final]]&lt;&gt;"",VLOOKUP(T_Convention[[#This Row],[NumL]],T_suiviDi[#Data],COLUMN((T_suiviDi[Statut])),FALSE),"")</f>
        <v/>
      </c>
    </row>
    <row r="291" spans="1:82" s="50" customFormat="1" ht="18.75" customHeight="1" x14ac:dyDescent="0.25">
      <c r="A291" s="160">
        <v>230</v>
      </c>
      <c r="B291" s="161" t="str">
        <f>VLOOKUP(T_Convention[[#This Row],[NumL]],T_Commission[#Data],COLUMN(T_Commission[FINAL]),FALSE)</f>
        <v/>
      </c>
      <c r="C291" s="162"/>
      <c r="D291" s="95" t="e">
        <f>IF(VLOOKUP(T_Convention[[#This Row],[NumL]],T_TraitDi[#Data],COLUMN(T_TraitDi[WebC]),FALSE)="","",VLOOKUP(T_Convention[[#This Row],[NumL]],T_TraitDi[#Data],COLUMN(T_TraitDi[WebC]),FALSE))</f>
        <v>#N/A</v>
      </c>
      <c r="E291" s="163" t="str">
        <f t="shared" si="20"/>
        <v>12 janvier 2021</v>
      </c>
      <c r="F291" s="282" t="str">
        <f>IF(T_Convention[[#This Row],[Final]]&lt;&gt;"",VLOOKUP(T_Convention[[#This Row],[NumL]],T_suiviDi[#Data],COLUMN((T_suiviDi[Civ.])),FALSE),"")</f>
        <v/>
      </c>
      <c r="G291" s="283" t="str">
        <f>IF(T_Convention[[#This Row],[Final]]&lt;&gt;"",VLOOKUP(T_Convention[[#This Row],[NumL]],T_suiviDi[#Data],COLUMN((T_suiviDi[Nom])),FALSE),"")</f>
        <v/>
      </c>
      <c r="H291" s="282" t="str">
        <f>IF(T_Convention[[#This Row],[Final]]&lt;&gt;"",VLOOKUP(T_Convention[[#This Row],[NumL]],T_suiviDi[#Data],COLUMN((T_suiviDi[Prénom])),FALSE),"")</f>
        <v/>
      </c>
      <c r="I291" s="282" t="e">
        <f>VLOOKUP(T_Convention[[#This Row],[NumL]],T_suiviDi[#Data],COLUMN((T_suiviDi[[#This Row],[Email]])),FALSE)</f>
        <v>#VALUE!</v>
      </c>
      <c r="J291" s="282" t="e">
        <f>IF(VLOOKUP(T_Convention[[#This Row],[NumL]],T_suiviDi[#Data],COLUMN(T_suiviDi[[#This Row],[Fonction]]),FALSE)="","",VLOOKUP(T_Convention[[#This Row],[NumL]],T_suiviDi[#Data],COLUMN(T_suiviDi[[#This Row],[Fonction]]),FALSE))</f>
        <v>#VALUE!</v>
      </c>
      <c r="K291" s="282" t="e">
        <f>IF(VLOOKUP(T_Convention[[#This Row],[NumL]],T_suiviDi[#Data],COLUMN(T_suiviDi[[#This Row],[Grade]]),FALSE)="","",VLOOKUP(T_Convention[[#This Row],[NumL]],T_suiviDi[#Data],COLUMN(T_suiviDi[[#This Row],[Grade]]),FALSE))</f>
        <v>#VALUE!</v>
      </c>
      <c r="L291" s="282" t="e">
        <f>IF(VLOOKUP(T_Convention[[#This Row],[NumL]],T_suiviDi[#Data],COLUMN(T_suiviDi[[#This Row],[Service ]]),FALSE)="","",VLOOKUP(T_Convention[[#This Row],[NumL]],T_suiviDi[#Data],COLUMN(T_suiviDi[[#This Row],[Service ]]),FALSE))</f>
        <v>#VALUE!</v>
      </c>
      <c r="M291" s="164" t="str">
        <f t="shared" si="21"/>
        <v>01 septembre 2021</v>
      </c>
      <c r="N291" s="164" t="str">
        <f t="shared" si="22"/>
        <v>30 novembre 2021</v>
      </c>
      <c r="O291" s="284" t="str">
        <f t="shared" si="23"/>
        <v>30 novembre 2021</v>
      </c>
      <c r="P291" s="282" t="e">
        <f>IF(VLOOKUP(T_Convention[[#This Row],[NumL]],T_TraitDi[#Data],COLUMN(T_TraitDi[M1]),FALSE)="","",VLOOKUP(T_Convention[[#This Row],[NumL]],T_TraitDi[#Data],COLUMN(T_TraitDi[M1]),FALSE))</f>
        <v>#N/A</v>
      </c>
      <c r="Q291" s="282" t="e">
        <f>IF(VLOOKUP(T_Convention[[#This Row],[NumL]],T_TraitDi[#Data],COLUMN(T_TraitDi[M2]),FALSE)="","",VLOOKUP(T_Convention[[#This Row],[NumL]],T_TraitDi[#Data],COLUMN(T_TraitDi[M2]),FALSE))</f>
        <v>#N/A</v>
      </c>
      <c r="R291" s="282" t="e">
        <f>IF(VLOOKUP(T_Convention[[#This Row],[NumL]],T_TraitDi[#Data],COLUMN(T_TraitDi[M3]),FALSE)="","",VLOOKUP(T_Convention[[#This Row],[NumL]],T_TraitDi[#Data],COLUMN(T_TraitDi[M3]),FALSE))</f>
        <v>#N/A</v>
      </c>
      <c r="S291" s="282" t="e">
        <f>IF(VLOOKUP(T_Convention[[#This Row],[NumL]],T_TraitDi[#Data],COLUMN(T_TraitDi[M4]),FALSE)="","",VLOOKUP(T_Convention[[#This Row],[NumL]],T_TraitDi[#Data],COLUMN(T_TraitDi[M4]),FALSE))</f>
        <v>#N/A</v>
      </c>
      <c r="T291" s="282" t="e">
        <f>IF(VLOOKUP(T_Convention[[#This Row],[NumL]],T_TraitDi[#Data],COLUMN(T_TraitDi[M5]),FALSE)="","",VLOOKUP(T_Convention[[#This Row],[NumL]],T_TraitDi[#Data],COLUMN(T_TraitDi[M5]),FALSE))</f>
        <v>#N/A</v>
      </c>
      <c r="U291" s="282" t="e">
        <f>IF(VLOOKUP(T_Convention[[#This Row],[NumL]],T_TraitDi[#Data],COLUMN(T_TraitDi[M6]),FALSE)="","",VLOOKUP(T_Convention[[#This Row],[NumL]],T_TraitDi[#Data],COLUMN(T_TraitDi[M6]),FALSE))</f>
        <v>#N/A</v>
      </c>
      <c r="V291" s="176" t="e">
        <f t="shared" si="24"/>
        <v>#N/A</v>
      </c>
      <c r="W291" s="284" t="str">
        <f>IFERROR(TEXT(VLOOKUP(T_Convention[[#This Row],[NumL]],T_TraitDi[#Data],COLUMN(T_TraitDi[Q2]),FALSE),"###%"),"")</f>
        <v/>
      </c>
      <c r="X291" s="97" t="e">
        <f>VLOOKUP(T_Convention[[#This Row],[NumL]],T_TraitDi[#Data],COLUMN(T_TraitDi[Reg Ponct]),FALSE)</f>
        <v>#N/A</v>
      </c>
      <c r="Y291" s="97" t="e">
        <f>VLOOKUP(T_Convention[NumL],T_TraitDi[#Data],COLUMN(T_TraitDi[Jours flottants]),FALSE)</f>
        <v>#N/A</v>
      </c>
      <c r="Z291" s="284" t="str">
        <f>IFERROR(VLOOKUP(T_Convention[[#This Row],[NumL]],T_TraitDi[#Data],COLUMN(T_TraitDi[Lundi]),FALSE),"")</f>
        <v/>
      </c>
      <c r="AA291" s="284" t="e">
        <f>IF(VLOOKUP(T_Convention[[#This Row],[NumL]],T_TraitDi[#Data],COLUMN(T_TraitDi[Colonne3]),FALSE)=0,"",TEXT(IFERROR(VLOOKUP(T_Convention[[#This Row],[NumL]],T_TraitDi[#Data],COLUMN(T_TraitDi[Colonne3]),FALSE),""),"[hh]:mm"))</f>
        <v>#N/A</v>
      </c>
      <c r="AB291" s="284" t="e">
        <f>IF(VLOOKUP(T_Convention[[#This Row],[NumL]],T_TraitDi[#Data],COLUMN(T_TraitDi[Colonne4]),FALSE)=0,"",TEXT(IFERROR(VLOOKUP(T_Convention[[#This Row],[NumL]],T_TraitDi[#Data],COLUMN(T_TraitDi[Colonne4]),FALSE),""),"[hh]:mm"))</f>
        <v>#N/A</v>
      </c>
      <c r="AC291" s="284" t="e">
        <f>IF(VLOOKUP(T_Convention[[#This Row],[NumL]],T_TraitDi[#Data],COLUMN(T_TraitDi[Colonne5]),FALSE)=0,"",TEXT(IFERROR(VLOOKUP(T_Convention[[#This Row],[NumL]],T_TraitDi[#Data],COLUMN(T_TraitDi[Colonne5]),FALSE),""),"[hh]:mm"))</f>
        <v>#N/A</v>
      </c>
      <c r="AD291" s="284" t="e">
        <f>IF(VLOOKUP(T_Convention[[#This Row],[NumL]],T_TraitDi[#Data],COLUMN(T_TraitDi[Colonne6]),FALSE)=0,"",TEXT(IFERROR(VLOOKUP(T_Convention[[#This Row],[NumL]],T_TraitDi[#Data],COLUMN(T_TraitDi[Colonne6]),FALSE),""),"[hh]:mm"))</f>
        <v>#N/A</v>
      </c>
      <c r="AE291" s="284" t="e">
        <f>IF(VLOOKUP(T_Convention[[#This Row],[NumL]],T_TraitDi[#Data],COLUMN(T_TraitDi[Colonne7]),FALSE)=0,"",TEXT(IFERROR(VLOOKUP(T_Convention[[#This Row],[NumL]],T_TraitDi[#Data],COLUMN(T_TraitDi[Colonne7]),FALSE),""),"[hh]:mm"))</f>
        <v>#N/A</v>
      </c>
      <c r="AF291" s="284" t="e">
        <f>IF(VLOOKUP(T_Convention[[#This Row],[NumL]],T_TraitDi[#Data],COLUMN(T_TraitDi[Colonne8]),FALSE)=0,"",TEXT(IFERROR(VLOOKUP(T_Convention[[#This Row],[NumL]],T_TraitDi[#Data],COLUMN(T_TraitDi[Colonne8]),FALSE),""),"[hh]:mm"))</f>
        <v>#N/A</v>
      </c>
      <c r="AG291" s="284" t="str">
        <f>IFERROR(VLOOKUP(T_Convention[[#This Row],[NumL]],T_TraitDi[#Data],COLUMN(T_TraitDi[Mardi]),FALSE),"")</f>
        <v/>
      </c>
      <c r="AH291" s="284" t="e">
        <f>IF(VLOOKUP(T_Convention[[#This Row],[NumL]],T_TraitDi[#Data],COLUMN(T_TraitDi[Colonne1]),FALSE)=0,"",TEXT(IFERROR(VLOOKUP(T_Convention[[#This Row],[NumL]],T_TraitDi[#Data],COLUMN(T_TraitDi[Colonne1]),FALSE),""),"[hh]:mm"))</f>
        <v>#N/A</v>
      </c>
      <c r="AI291" s="284" t="e">
        <f>IF(VLOOKUP(T_Convention[[#This Row],[NumL]],T_TraitDi[#Data],COLUMN(T_TraitDi[Colonne9]),FALSE)=0,"",TEXT(IFERROR(VLOOKUP(T_Convention[[#This Row],[NumL]],T_TraitDi[#Data],COLUMN(T_TraitDi[Colonne9]),FALSE),""),"[hh]:mm"))</f>
        <v>#N/A</v>
      </c>
      <c r="AJ291" s="284" t="str">
        <f>IFERROR(VLOOKUP(T_Convention[[#This Row],[NumL]],T_TraitDi[#Data],COLUMN(T_TraitDi[Colonne10]),FALSE),"")</f>
        <v/>
      </c>
      <c r="AK291" s="284" t="e">
        <f>IF(VLOOKUP(T_Convention[[#This Row],[NumL]],T_TraitDi[#Data],COLUMN(T_TraitDi[Colonne11]),FALSE)=0,"",TEXT(IFERROR(VLOOKUP(T_Convention[[#This Row],[NumL]],T_TraitDi[#Data],COLUMN(T_TraitDi[Colonne11]),FALSE),""),"[hh]:mm"))</f>
        <v>#N/A</v>
      </c>
      <c r="AL291" s="284" t="e">
        <f>IF(VLOOKUP(T_Convention[[#This Row],[NumL]],T_TraitDi[#Data],COLUMN(T_TraitDi[Colonne12]),FALSE)=0,"",TEXT(IFERROR(VLOOKUP(T_Convention[[#This Row],[NumL]],T_TraitDi[#Data],COLUMN(T_TraitDi[Colonne12]),FALSE),""),"[hh]:mm"))</f>
        <v>#N/A</v>
      </c>
      <c r="AM291" s="284" t="e">
        <f>IF(VLOOKUP(T_Convention[[#This Row],[NumL]],T_TraitDi[#Data],COLUMN(T_TraitDi[Colonne14]),FALSE)=0,"",TEXT(IFERROR(VLOOKUP(T_Convention[[#This Row],[NumL]],T_TraitDi[#Data],COLUMN(T_TraitDi[Colonne14]),FALSE),""),"[hh]:mm"))</f>
        <v>#N/A</v>
      </c>
      <c r="AN291" s="284" t="str">
        <f>IFERROR(VLOOKUP(T_Convention[[#This Row],[NumL]],T_TraitDi[#Data],COLUMN(T_TraitDi[Mercredi]),FALSE),"")</f>
        <v/>
      </c>
      <c r="AO291" s="284" t="e">
        <f>IF(VLOOKUP(T_Convention[[#This Row],[NumL]],T_TraitDi[#Data],COLUMN(T_TraitDi[Colonne15]),FALSE)=0,"",TEXT(IFERROR(VLOOKUP(T_Convention[[#This Row],[NumL]],T_TraitDi[#Data],COLUMN(T_TraitDi[Colonne15]),FALSE),""),"[hh]:mm"))</f>
        <v>#N/A</v>
      </c>
      <c r="AP291" s="284" t="e">
        <f>IF(VLOOKUP(T_Convention[[#This Row],[NumL]],T_TraitDi[#Data],COLUMN(T_TraitDi[Colonne16]),FALSE)=0,"",TEXT(IFERROR(VLOOKUP(T_Convention[[#This Row],[NumL]],T_TraitDi[#Data],COLUMN(T_TraitDi[Colonne16]),FALSE),""),"[hh]:mm"))</f>
        <v>#N/A</v>
      </c>
      <c r="AQ291" s="284" t="str">
        <f>IFERROR(VLOOKUP(T_Convention[[#This Row],[NumL]],T_TraitDi[#Data],COLUMN(T_TraitDi[Colonne17]),FALSE),"")</f>
        <v/>
      </c>
      <c r="AR291" s="284" t="e">
        <f>IF(VLOOKUP(T_Convention[[#This Row],[NumL]],T_TraitDi[#Data],COLUMN(T_TraitDi[Colonne18]),FALSE)=0,"",TEXT(IFERROR(VLOOKUP(T_Convention[[#This Row],[NumL]],T_TraitDi[#Data],COLUMN(T_TraitDi[Colonne18]),FALSE),""),"[hh]:mm"))</f>
        <v>#N/A</v>
      </c>
      <c r="AS291" s="284" t="e">
        <f>IF(VLOOKUP(T_Convention[[#This Row],[NumL]],T_TraitDi[#Data],COLUMN(T_TraitDi[Colonne19]),FALSE)=0,"",TEXT(IFERROR(VLOOKUP(T_Convention[[#This Row],[NumL]],T_TraitDi[#Data],COLUMN(T_TraitDi[Colonne19]),FALSE),""),"[hh]:mm"))</f>
        <v>#N/A</v>
      </c>
      <c r="AT291" s="284" t="e">
        <f>IF(VLOOKUP(T_Convention[[#This Row],[NumL]],T_TraitDi[#Data],COLUMN(T_TraitDi[Colonne20]),FALSE)=0,"",TEXT(IFERROR(VLOOKUP(T_Convention[[#This Row],[NumL]],T_TraitDi[#Data],COLUMN(T_TraitDi[Colonne20]),FALSE),""),"[hh]:mm"))</f>
        <v>#N/A</v>
      </c>
      <c r="AU291" s="284" t="str">
        <f>IFERROR(VLOOKUP(T_Convention[[#This Row],[NumL]],T_TraitDi[#Data],COLUMN(T_TraitDi[Jeudi]),FALSE),"")</f>
        <v/>
      </c>
      <c r="AV291" s="284" t="e">
        <f>IF(VLOOKUP(T_Convention[[#This Row],[NumL]],T_TraitDi[#Data],COLUMN(T_TraitDi[Colonne21]),FALSE)=0,"",TEXT(IFERROR(VLOOKUP(T_Convention[[#This Row],[NumL]],T_TraitDi[#Data],COLUMN(T_TraitDi[Colonne21]),FALSE),""),"[hh]:mm"))</f>
        <v>#N/A</v>
      </c>
      <c r="AW291" s="284" t="e">
        <f>IF(VLOOKUP(T_Convention[[#This Row],[NumL]],T_TraitDi[#Data],COLUMN(T_TraitDi[Colonne22]),FALSE)=0,"",TEXT(IFERROR(VLOOKUP(T_Convention[[#This Row],[NumL]],T_TraitDi[#Data],COLUMN(T_TraitDi[Colonne22]),FALSE),""),"[hh]:mm"))</f>
        <v>#N/A</v>
      </c>
      <c r="AX291" s="284" t="str">
        <f>IFERROR(VLOOKUP(T_Convention[[#This Row],[NumL]],T_TraitDi[#Data],COLUMN(T_TraitDi[Colonne23]),FALSE),"")</f>
        <v/>
      </c>
      <c r="AY291" s="284" t="e">
        <f>IF(VLOOKUP(T_Convention[[#This Row],[NumL]],T_TraitDi[#Data],COLUMN(T_TraitDi[Colonne24]),FALSE)=0,"",TEXT(IFERROR(VLOOKUP(T_Convention[[#This Row],[NumL]],T_TraitDi[#Data],COLUMN(T_TraitDi[Colonne24]),FALSE),""),"[hh]:mm"))</f>
        <v>#N/A</v>
      </c>
      <c r="AZ291" s="284" t="e">
        <f>IF(VLOOKUP(T_Convention[[#This Row],[NumL]],T_TraitDi[#Data],COLUMN(T_TraitDi[Colonne25]),FALSE)=0,"",TEXT(IFERROR(VLOOKUP(T_Convention[[#This Row],[NumL]],T_TraitDi[#Data],COLUMN(T_TraitDi[Colonne25]),FALSE),""),"[hh]:mm"))</f>
        <v>#N/A</v>
      </c>
      <c r="BA291" s="284" t="e">
        <f>IF(VLOOKUP(T_Convention[[#This Row],[NumL]],T_TraitDi[#Data],COLUMN(T_TraitDi[Colonne26]),FALSE)=0,"",TEXT(IFERROR(VLOOKUP(T_Convention[[#This Row],[NumL]],T_TraitDi[#Data],COLUMN(T_TraitDi[Colonne26]),FALSE),""),"[hh]:mm"))</f>
        <v>#N/A</v>
      </c>
      <c r="BB291" s="284" t="str">
        <f>IFERROR(VLOOKUP(T_Convention[[#This Row],[NumL]],T_TraitDi[#Data],COLUMN(T_TraitDi[Vendredi]),FALSE),"")</f>
        <v/>
      </c>
      <c r="BC291" s="284" t="e">
        <f>IF(VLOOKUP(T_Convention[[#This Row],[NumL]],T_TraitDi[#Data],COLUMN(T_TraitDi[Colonne27]),FALSE)=0,"",TEXT(IFERROR(VLOOKUP(T_Convention[[#This Row],[NumL]],T_TraitDi[#Data],COLUMN(T_TraitDi[Colonne27]),FALSE),""),"[hh]:mm"))</f>
        <v>#N/A</v>
      </c>
      <c r="BD291" s="284" t="e">
        <f>IF(VLOOKUP(T_Convention[[#This Row],[NumL]],T_TraitDi[#Data],COLUMN(T_TraitDi[Colonne28]),FALSE)=0,"",TEXT(IFERROR(VLOOKUP(T_Convention[[#This Row],[NumL]],T_TraitDi[#Data],COLUMN(T_TraitDi[Colonne28]),FALSE),""),"[hh]:mm"))</f>
        <v>#N/A</v>
      </c>
      <c r="BE291" s="284" t="str">
        <f>IFERROR(VLOOKUP(T_Convention[[#This Row],[NumL]],T_TraitDi[#Data],COLUMN(T_TraitDi[Colonne29]),FALSE),"")</f>
        <v/>
      </c>
      <c r="BF291" s="284" t="e">
        <f>IF(VLOOKUP(T_Convention[[#This Row],[NumL]],T_TraitDi[#Data],COLUMN(T_TraitDi[Colonne30]),FALSE)=0,"",TEXT(IFERROR(VLOOKUP(T_Convention[[#This Row],[NumL]],T_TraitDi[#Data],COLUMN(T_TraitDi[Colonne30]),FALSE),""),"[hh]:mm"))</f>
        <v>#N/A</v>
      </c>
      <c r="BG291" s="284" t="e">
        <f>IF(VLOOKUP(T_Convention[[#This Row],[NumL]],T_TraitDi[#Data],COLUMN(T_TraitDi[Colonne31]),FALSE)=0,"",TEXT(IFERROR(VLOOKUP(T_Convention[[#This Row],[NumL]],T_TraitDi[#Data],COLUMN(T_TraitDi[Colonne31]),FALSE),""),"[hh]:mm"))</f>
        <v>#N/A</v>
      </c>
      <c r="BH291" s="284" t="e">
        <f>IF(VLOOKUP(T_Convention[[#This Row],[NumL]],T_TraitDi[#Data],COLUMN(T_TraitDi[Colonne32]),FALSE)=0,"",TEXT(IFERROR(VLOOKUP(T_Convention[[#This Row],[NumL]],T_TraitDi[#Data],COLUMN(T_TraitDi[Colonne32]),FALSE),""),"[hh]:mm"))</f>
        <v>#N/A</v>
      </c>
      <c r="BI291" s="284" t="str">
        <f>IFERROR(VLOOKUP(T_Convention[[#This Row],[NumL]],T_TraitDi[#Data],COLUMN(T_TraitDi[NbJTW]),FALSE),"")</f>
        <v/>
      </c>
      <c r="BJ291" s="284" t="e">
        <f>IF(VLOOKUP(T_Convention[[#This Row],[NumL]],T_TraitDi[#Data],COLUMN(T_TraitDi[NbhTW]),FALSE)=0,"",TEXT(IFERROR(VLOOKUP(T_Convention[[#This Row],[NumL]],T_TraitDi[#Data],COLUMN(T_TraitDi[NbhTW]),FALSE),""),"[hh]:mm"))</f>
        <v>#N/A</v>
      </c>
      <c r="BK291" s="286" t="e">
        <f>IF(VLOOKUP(T_Convention[[#This Row],[NumL]],T_TraitDi[#Data],COLUMN(T_TraitDi[Nbhheb]),FALSE)=0,"",TEXT(IFERROR(VLOOKUP(T_Convention[[#This Row],[NumL]],T_TraitDi[#Data],COLUMN(T_TraitDi[Nbhheb]),FALSE),""),"[hh]:mm"))</f>
        <v>#N/A</v>
      </c>
      <c r="BL291" s="287" t="str">
        <f>IFERROR(VLOOKUP(VLOOKUP(T_Convention[[#This Row],[NumL]],T_TraitDi[#Data],COLUMN(T_TraitDi[Type1]),FALSE),TypeTW,2,FALSE),"")</f>
        <v/>
      </c>
      <c r="BM291" s="288" t="str">
        <f>IFERROR(VLOOKUP(T_Convention[[#This Row],[NumL]],T_TraitDi[#Data],COLUMN(T_TraitDi[Rue1]),FALSE),"")</f>
        <v/>
      </c>
      <c r="BN291" s="289" t="str">
        <f>IFERROR(VLOOKUP(T_Convention[[#This Row],[NumL]],T_TraitDi[#Data],COLUMN(T_TraitDi[CP1]),FALSE),"")</f>
        <v/>
      </c>
      <c r="BO291" s="282" t="str">
        <f>IFERROR(VLOOKUP(T_Convention[[#This Row],[NumL]],T_TraitDi[#Data],COLUMN(T_TraitDi[VILLE1]),FALSE),"")</f>
        <v/>
      </c>
      <c r="BP291" s="290" t="str">
        <f>IFERROR(VLOOKUP(VLOOKUP(T_Convention[[#This Row],[NumL]],T_TraitDi[#Data],COLUMN(T_TraitDi[Type2]),FALSE),TypeTW,2,FALSE),"")</f>
        <v/>
      </c>
      <c r="BQ291" s="182" t="str">
        <f>IFERROR(VLOOKUP(T_Convention[[#This Row],[NumL]],T_TraitDi[#Data],COLUMN(T_TraitDi[Rue2]),FALSE),"")</f>
        <v/>
      </c>
      <c r="BR291" s="173" t="str">
        <f>IFERROR(VLOOKUP(T_Convention[[#This Row],[NumL]],T_TraitDi[#Data],COLUMN(T_TraitDi[CP2]),FALSE),"")</f>
        <v/>
      </c>
      <c r="BS291" s="173" t="str">
        <f>IFERROR(VLOOKUP(T_Convention[[#This Row],[NumL]],T_TraitDi[#Data],COLUMN(T_TraitDi[VILLE2]),FALSE),"")</f>
        <v/>
      </c>
      <c r="BT291" s="182" t="str">
        <f>IF(VLOOKUP(T_Convention[[#This Row],[NumL]],T_Equipement[#Data],COLUMN(T_Equipement[PC]),FALSE)="","Aucun équipement spécifique directement lié au télétravail",VLOOKUP(T_Convention[[#This Row],[NumL]],T_Equipement[#Data],COLUMN(T_Equipement[PC]),FALSE))</f>
        <v xml:space="preserve">19-597	</v>
      </c>
      <c r="BU291" s="166" t="str">
        <f>IFERROR(IF(VLOOKUP(T_Convention[[#This Row],[NumL]],T_TraitDi[#Data],COLUMN(T_TraitDi[Plan]),FALSE)="OK","Un planning spécifique de télétravail est annexé à la présente convention.",""),"")</f>
        <v/>
      </c>
      <c r="BV291" s="185" t="s">
        <v>3358</v>
      </c>
      <c r="BW291" s="164" t="e">
        <f>IF(VLOOKUP(T_Convention[[#This Row],[NumL]],T_suiviDi[#Data],COLUMN(T_suiviDi[Entité]),FALSE)="","",VLOOKUP(T_Convention[[#This Row],[NumL]],T_suiviDi[#Data],COLUMN(T_suiviDi[Entité]),FALSE))</f>
        <v>#N/A</v>
      </c>
      <c r="BX291" s="164" t="str">
        <f>IF(VLOOKUP(T_Convention[[#This Row],[NumL]],T_Commission[#Data],COLUMN(T_Commission[envoi confirm TW]),FALSE)="","",VLOOKUP(T_Convention[[#This Row],[NumL]],T_Commission[#Data],COLUMN(T_Commission[envoi confirm TW]),FALSE))</f>
        <v>Oui</v>
      </c>
      <c r="BY29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1" s="264">
        <f>VLOOKUP(T_Convention[[#This Row],[NumL]],T_Commission[#Data],COLUMN(T_Commission[Commentaire]),FALSE)</f>
        <v>0</v>
      </c>
      <c r="CA291" s="254" t="str">
        <f>IF(VLOOKUP(T_Convention[[#This Row],[NumL]],T_Commission[#Data],COLUMN(T_Commission[Encadrant Email]),FALSE)="","",VLOOKUP(T_Convention[[#This Row],[NumL]],T_Commission[#Data],COLUMN(T_Commission[Encadrant Email]),FALSE))</f>
        <v/>
      </c>
      <c r="CB291" s="353" t="e">
        <f>VLOOKUP(T_Convention[[#This Row],[NumL]],T_TraitDi[#Data],COLUMN(T_TraitDi[NbJTot]),FALSE)</f>
        <v>#N/A</v>
      </c>
      <c r="CC291" s="353" t="e">
        <f>VLOOKUP(T_Convention[[#This Row],[NumL]],T_TraitDi[#Data],COLUMN(T_TraitDi[Reg Ponct]),FALSE)</f>
        <v>#N/A</v>
      </c>
      <c r="CD291" s="348" t="str">
        <f>IF(T_Convention[[#This Row],[Final]]&lt;&gt;"",VLOOKUP(T_Convention[[#This Row],[NumL]],T_suiviDi[#Data],COLUMN((T_suiviDi[Statut])),FALSE),"")</f>
        <v/>
      </c>
    </row>
    <row r="292" spans="1:82" s="106" customFormat="1" ht="18.75" customHeight="1" x14ac:dyDescent="0.25">
      <c r="A292" s="160">
        <v>344</v>
      </c>
      <c r="B292" s="281" t="str">
        <f>VLOOKUP(T_Convention[[#This Row],[NumL]],T_Commission[#Data],COLUMN(T_Commission[FINAL]),FALSE)</f>
        <v/>
      </c>
      <c r="C292" s="162"/>
      <c r="D292" s="95" t="e">
        <f>IF(VLOOKUP(T_Convention[[#This Row],[NumL]],T_TraitDi[#Data],COLUMN(T_TraitDi[WebC]),FALSE)="","",VLOOKUP(T_Convention[[#This Row],[NumL]],T_TraitDi[#Data],COLUMN(T_TraitDi[WebC]),FALSE))</f>
        <v>#N/A</v>
      </c>
      <c r="E292" s="163" t="str">
        <f t="shared" si="20"/>
        <v>12 janvier 2021</v>
      </c>
      <c r="F292" s="282" t="str">
        <f>IF(T_Convention[[#This Row],[Final]]&lt;&gt;"",VLOOKUP(T_Convention[[#This Row],[NumL]],T_suiviDi[#Data],COLUMN((T_suiviDi[Civ.])),FALSE),"")</f>
        <v/>
      </c>
      <c r="G292" s="283" t="str">
        <f>IF(T_Convention[[#This Row],[Final]]&lt;&gt;"",VLOOKUP(T_Convention[[#This Row],[NumL]],T_suiviDi[#Data],COLUMN((T_suiviDi[Nom])),FALSE),"")</f>
        <v/>
      </c>
      <c r="H292" s="282" t="str">
        <f>IF(T_Convention[[#This Row],[Final]]&lt;&gt;"",VLOOKUP(T_Convention[[#This Row],[NumL]],T_suiviDi[#Data],COLUMN((T_suiviDi[Prénom])),FALSE),"")</f>
        <v/>
      </c>
      <c r="I292" s="282" t="e">
        <f>VLOOKUP(T_Convention[[#This Row],[NumL]],T_suiviDi[#Data],COLUMN((T_suiviDi[[#This Row],[Email]])),FALSE)</f>
        <v>#VALUE!</v>
      </c>
      <c r="J292" s="282" t="e">
        <f>IF(VLOOKUP(T_Convention[[#This Row],[NumL]],T_suiviDi[#Data],COLUMN(T_suiviDi[[#This Row],[Fonction]]),FALSE)="","",VLOOKUP(T_Convention[[#This Row],[NumL]],T_suiviDi[#Data],COLUMN(T_suiviDi[[#This Row],[Fonction]]),FALSE))</f>
        <v>#VALUE!</v>
      </c>
      <c r="K292" s="282" t="e">
        <f>IF(VLOOKUP(T_Convention[[#This Row],[NumL]],T_suiviDi[#Data],COLUMN(T_suiviDi[[#This Row],[Grade]]),FALSE)="","",VLOOKUP(T_Convention[[#This Row],[NumL]],T_suiviDi[#Data],COLUMN(T_suiviDi[[#This Row],[Grade]]),FALSE))</f>
        <v>#VALUE!</v>
      </c>
      <c r="L292" s="282" t="e">
        <f>IF(VLOOKUP(T_Convention[[#This Row],[NumL]],T_suiviDi[#Data],COLUMN(T_suiviDi[[#This Row],[Service ]]),FALSE)="","",VLOOKUP(T_Convention[[#This Row],[NumL]],T_suiviDi[#Data],COLUMN(T_suiviDi[[#This Row],[Service ]]),FALSE))</f>
        <v>#VALUE!</v>
      </c>
      <c r="M292" s="314" t="str">
        <f t="shared" si="21"/>
        <v>01 septembre 2021</v>
      </c>
      <c r="N292" s="314" t="str">
        <f t="shared" si="22"/>
        <v>30 novembre 2021</v>
      </c>
      <c r="O292" s="284" t="str">
        <f t="shared" si="23"/>
        <v>30 novembre 2021</v>
      </c>
      <c r="P292" s="282" t="e">
        <f>IF(VLOOKUP(T_Convention[[#This Row],[NumL]],T_TraitDi[#Data],COLUMN(T_TraitDi[M1]),FALSE)="","",VLOOKUP(T_Convention[[#This Row],[NumL]],T_TraitDi[#Data],COLUMN(T_TraitDi[M1]),FALSE))</f>
        <v>#N/A</v>
      </c>
      <c r="Q292" s="282" t="e">
        <f>IF(VLOOKUP(T_Convention[[#This Row],[NumL]],T_TraitDi[#Data],COLUMN(T_TraitDi[M2]),FALSE)="","",VLOOKUP(T_Convention[[#This Row],[NumL]],T_TraitDi[#Data],COLUMN(T_TraitDi[M2]),FALSE))</f>
        <v>#N/A</v>
      </c>
      <c r="R292" s="282" t="e">
        <f>IF(VLOOKUP(T_Convention[[#This Row],[NumL]],T_TraitDi[#Data],COLUMN(T_TraitDi[M3]),FALSE)="","",VLOOKUP(T_Convention[[#This Row],[NumL]],T_TraitDi[#Data],COLUMN(T_TraitDi[M3]),FALSE))</f>
        <v>#N/A</v>
      </c>
      <c r="S292" s="282" t="e">
        <f>IF(VLOOKUP(T_Convention[[#This Row],[NumL]],T_TraitDi[#Data],COLUMN(T_TraitDi[M4]),FALSE)="","",VLOOKUP(T_Convention[[#This Row],[NumL]],T_TraitDi[#Data],COLUMN(T_TraitDi[M4]),FALSE))</f>
        <v>#N/A</v>
      </c>
      <c r="T292" s="282" t="e">
        <f>IF(VLOOKUP(T_Convention[[#This Row],[NumL]],T_TraitDi[#Data],COLUMN(T_TraitDi[M5]),FALSE)="","",VLOOKUP(T_Convention[[#This Row],[NumL]],T_TraitDi[#Data],COLUMN(T_TraitDi[M5]),FALSE))</f>
        <v>#N/A</v>
      </c>
      <c r="U292" s="282" t="e">
        <f>IF(VLOOKUP(T_Convention[[#This Row],[NumL]],T_TraitDi[#Data],COLUMN(T_TraitDi[M6]),FALSE)="","",VLOOKUP(T_Convention[[#This Row],[NumL]],T_TraitDi[#Data],COLUMN(T_TraitDi[M6]),FALSE))</f>
        <v>#N/A</v>
      </c>
      <c r="V292" s="314" t="e">
        <f t="shared" si="24"/>
        <v>#N/A</v>
      </c>
      <c r="W292" s="284" t="str">
        <f>IFERROR(TEXT(VLOOKUP(T_Convention[[#This Row],[NumL]],T_TraitDi[#Data],COLUMN(T_TraitDi[Q2]),FALSE),"###%"),"")</f>
        <v/>
      </c>
      <c r="X292" s="285" t="e">
        <f>VLOOKUP(T_Convention[[#This Row],[NumL]],T_TraitDi[#Data],COLUMN(T_TraitDi[Reg Ponct]),FALSE)</f>
        <v>#N/A</v>
      </c>
      <c r="Y292" s="285" t="e">
        <f>VLOOKUP(T_Convention[NumL],T_TraitDi[#Data],COLUMN(T_TraitDi[Jours flottants]),FALSE)</f>
        <v>#N/A</v>
      </c>
      <c r="Z292" s="284" t="str">
        <f>IFERROR(VLOOKUP(T_Convention[[#This Row],[NumL]],T_TraitDi[#Data],COLUMN(T_TraitDi[Lundi]),FALSE),"")</f>
        <v/>
      </c>
      <c r="AA292" s="284" t="e">
        <f>IF(VLOOKUP(T_Convention[[#This Row],[NumL]],T_TraitDi[#Data],COLUMN(T_TraitDi[Colonne3]),FALSE)=0,"",TEXT(IFERROR(VLOOKUP(T_Convention[[#This Row],[NumL]],T_TraitDi[#Data],COLUMN(T_TraitDi[Colonne3]),FALSE),""),"[hh]:mm"))</f>
        <v>#N/A</v>
      </c>
      <c r="AB292" s="284" t="e">
        <f>IF(VLOOKUP(T_Convention[[#This Row],[NumL]],T_TraitDi[#Data],COLUMN(T_TraitDi[Colonne4]),FALSE)=0,"",TEXT(IFERROR(VLOOKUP(T_Convention[[#This Row],[NumL]],T_TraitDi[#Data],COLUMN(T_TraitDi[Colonne4]),FALSE),""),"[hh]:mm"))</f>
        <v>#N/A</v>
      </c>
      <c r="AC292" s="284" t="e">
        <f>IF(VLOOKUP(T_Convention[[#This Row],[NumL]],T_TraitDi[#Data],COLUMN(T_TraitDi[Colonne5]),FALSE)=0,"",TEXT(IFERROR(VLOOKUP(T_Convention[[#This Row],[NumL]],T_TraitDi[#Data],COLUMN(T_TraitDi[Colonne5]),FALSE),""),"[hh]:mm"))</f>
        <v>#N/A</v>
      </c>
      <c r="AD292" s="284" t="e">
        <f>IF(VLOOKUP(T_Convention[[#This Row],[NumL]],T_TraitDi[#Data],COLUMN(T_TraitDi[Colonne6]),FALSE)=0,"",TEXT(IFERROR(VLOOKUP(T_Convention[[#This Row],[NumL]],T_TraitDi[#Data],COLUMN(T_TraitDi[Colonne6]),FALSE),""),"[hh]:mm"))</f>
        <v>#N/A</v>
      </c>
      <c r="AE292" s="284" t="e">
        <f>IF(VLOOKUP(T_Convention[[#This Row],[NumL]],T_TraitDi[#Data],COLUMN(T_TraitDi[Colonne7]),FALSE)=0,"",TEXT(IFERROR(VLOOKUP(T_Convention[[#This Row],[NumL]],T_TraitDi[#Data],COLUMN(T_TraitDi[Colonne7]),FALSE),""),"[hh]:mm"))</f>
        <v>#N/A</v>
      </c>
      <c r="AF292" s="284" t="e">
        <f>IF(VLOOKUP(T_Convention[[#This Row],[NumL]],T_TraitDi[#Data],COLUMN(T_TraitDi[Colonne8]),FALSE)=0,"",TEXT(IFERROR(VLOOKUP(T_Convention[[#This Row],[NumL]],T_TraitDi[#Data],COLUMN(T_TraitDi[Colonne8]),FALSE),""),"[hh]:mm"))</f>
        <v>#N/A</v>
      </c>
      <c r="AG292" s="284" t="str">
        <f>IFERROR(VLOOKUP(T_Convention[[#This Row],[NumL]],T_TraitDi[#Data],COLUMN(T_TraitDi[Mardi]),FALSE),"")</f>
        <v/>
      </c>
      <c r="AH292" s="284" t="e">
        <f>IF(VLOOKUP(T_Convention[[#This Row],[NumL]],T_TraitDi[#Data],COLUMN(T_TraitDi[Colonne1]),FALSE)=0,"",TEXT(IFERROR(VLOOKUP(T_Convention[[#This Row],[NumL]],T_TraitDi[#Data],COLUMN(T_TraitDi[Colonne1]),FALSE),""),"[hh]:mm"))</f>
        <v>#N/A</v>
      </c>
      <c r="AI292" s="284" t="e">
        <f>IF(VLOOKUP(T_Convention[[#This Row],[NumL]],T_TraitDi[#Data],COLUMN(T_TraitDi[Colonne9]),FALSE)=0,"",TEXT(IFERROR(VLOOKUP(T_Convention[[#This Row],[NumL]],T_TraitDi[#Data],COLUMN(T_TraitDi[Colonne9]),FALSE),""),"[hh]:mm"))</f>
        <v>#N/A</v>
      </c>
      <c r="AJ292" s="284" t="str">
        <f>IFERROR(VLOOKUP(T_Convention[[#This Row],[NumL]],T_TraitDi[#Data],COLUMN(T_TraitDi[Colonne10]),FALSE),"")</f>
        <v/>
      </c>
      <c r="AK292" s="284" t="e">
        <f>IF(VLOOKUP(T_Convention[[#This Row],[NumL]],T_TraitDi[#Data],COLUMN(T_TraitDi[Colonne11]),FALSE)=0,"",TEXT(IFERROR(VLOOKUP(T_Convention[[#This Row],[NumL]],T_TraitDi[#Data],COLUMN(T_TraitDi[Colonne11]),FALSE),""),"[hh]:mm"))</f>
        <v>#N/A</v>
      </c>
      <c r="AL292" s="284" t="e">
        <f>IF(VLOOKUP(T_Convention[[#This Row],[NumL]],T_TraitDi[#Data],COLUMN(T_TraitDi[Colonne12]),FALSE)=0,"",TEXT(IFERROR(VLOOKUP(T_Convention[[#This Row],[NumL]],T_TraitDi[#Data],COLUMN(T_TraitDi[Colonne12]),FALSE),""),"[hh]:mm"))</f>
        <v>#N/A</v>
      </c>
      <c r="AM292" s="284" t="e">
        <f>IF(VLOOKUP(T_Convention[[#This Row],[NumL]],T_TraitDi[#Data],COLUMN(T_TraitDi[Colonne14]),FALSE)=0,"",TEXT(IFERROR(VLOOKUP(T_Convention[[#This Row],[NumL]],T_TraitDi[#Data],COLUMN(T_TraitDi[Colonne14]),FALSE),""),"[hh]:mm"))</f>
        <v>#N/A</v>
      </c>
      <c r="AN292" s="284" t="str">
        <f>IFERROR(VLOOKUP(T_Convention[[#This Row],[NumL]],T_TraitDi[#Data],COLUMN(T_TraitDi[Mercredi]),FALSE),"")</f>
        <v/>
      </c>
      <c r="AO292" s="284" t="e">
        <f>IF(VLOOKUP(T_Convention[[#This Row],[NumL]],T_TraitDi[#Data],COLUMN(T_TraitDi[Colonne15]),FALSE)=0,"",TEXT(IFERROR(VLOOKUP(T_Convention[[#This Row],[NumL]],T_TraitDi[#Data],COLUMN(T_TraitDi[Colonne15]),FALSE),""),"[hh]:mm"))</f>
        <v>#N/A</v>
      </c>
      <c r="AP292" s="284" t="e">
        <f>IF(VLOOKUP(T_Convention[[#This Row],[NumL]],T_TraitDi[#Data],COLUMN(T_TraitDi[Colonne16]),FALSE)=0,"",TEXT(IFERROR(VLOOKUP(T_Convention[[#This Row],[NumL]],T_TraitDi[#Data],COLUMN(T_TraitDi[Colonne16]),FALSE),""),"[hh]:mm"))</f>
        <v>#N/A</v>
      </c>
      <c r="AQ292" s="284" t="str">
        <f>IFERROR(VLOOKUP(T_Convention[[#This Row],[NumL]],T_TraitDi[#Data],COLUMN(T_TraitDi[Colonne17]),FALSE),"")</f>
        <v/>
      </c>
      <c r="AR292" s="284" t="e">
        <f>IF(VLOOKUP(T_Convention[[#This Row],[NumL]],T_TraitDi[#Data],COLUMN(T_TraitDi[Colonne18]),FALSE)=0,"",TEXT(IFERROR(VLOOKUP(T_Convention[[#This Row],[NumL]],T_TraitDi[#Data],COLUMN(T_TraitDi[Colonne18]),FALSE),""),"[hh]:mm"))</f>
        <v>#N/A</v>
      </c>
      <c r="AS292" s="284" t="e">
        <f>IF(VLOOKUP(T_Convention[[#This Row],[NumL]],T_TraitDi[#Data],COLUMN(T_TraitDi[Colonne19]),FALSE)=0,"",TEXT(IFERROR(VLOOKUP(T_Convention[[#This Row],[NumL]],T_TraitDi[#Data],COLUMN(T_TraitDi[Colonne19]),FALSE),""),"[hh]:mm"))</f>
        <v>#N/A</v>
      </c>
      <c r="AT292" s="284" t="e">
        <f>IF(VLOOKUP(T_Convention[[#This Row],[NumL]],T_TraitDi[#Data],COLUMN(T_TraitDi[Colonne20]),FALSE)=0,"",TEXT(IFERROR(VLOOKUP(T_Convention[[#This Row],[NumL]],T_TraitDi[#Data],COLUMN(T_TraitDi[Colonne20]),FALSE),""),"[hh]:mm"))</f>
        <v>#N/A</v>
      </c>
      <c r="AU292" s="284" t="str">
        <f>IFERROR(VLOOKUP(T_Convention[[#This Row],[NumL]],T_TraitDi[#Data],COLUMN(T_TraitDi[Jeudi]),FALSE),"")</f>
        <v/>
      </c>
      <c r="AV292" s="284" t="e">
        <f>IF(VLOOKUP(T_Convention[[#This Row],[NumL]],T_TraitDi[#Data],COLUMN(T_TraitDi[Colonne21]),FALSE)=0,"",TEXT(IFERROR(VLOOKUP(T_Convention[[#This Row],[NumL]],T_TraitDi[#Data],COLUMN(T_TraitDi[Colonne21]),FALSE),""),"[hh]:mm"))</f>
        <v>#N/A</v>
      </c>
      <c r="AW292" s="284" t="e">
        <f>IF(VLOOKUP(T_Convention[[#This Row],[NumL]],T_TraitDi[#Data],COLUMN(T_TraitDi[Colonne22]),FALSE)=0,"",TEXT(IFERROR(VLOOKUP(T_Convention[[#This Row],[NumL]],T_TraitDi[#Data],COLUMN(T_TraitDi[Colonne22]),FALSE),""),"[hh]:mm"))</f>
        <v>#N/A</v>
      </c>
      <c r="AX292" s="284" t="str">
        <f>IFERROR(VLOOKUP(T_Convention[[#This Row],[NumL]],T_TraitDi[#Data],COLUMN(T_TraitDi[Colonne23]),FALSE),"")</f>
        <v/>
      </c>
      <c r="AY292" s="284" t="e">
        <f>IF(VLOOKUP(T_Convention[[#This Row],[NumL]],T_TraitDi[#Data],COLUMN(T_TraitDi[Colonne24]),FALSE)=0,"",TEXT(IFERROR(VLOOKUP(T_Convention[[#This Row],[NumL]],T_TraitDi[#Data],COLUMN(T_TraitDi[Colonne24]),FALSE),""),"[hh]:mm"))</f>
        <v>#N/A</v>
      </c>
      <c r="AZ292" s="284" t="e">
        <f>IF(VLOOKUP(T_Convention[[#This Row],[NumL]],T_TraitDi[#Data],COLUMN(T_TraitDi[Colonne25]),FALSE)=0,"",TEXT(IFERROR(VLOOKUP(T_Convention[[#This Row],[NumL]],T_TraitDi[#Data],COLUMN(T_TraitDi[Colonne25]),FALSE),""),"[hh]:mm"))</f>
        <v>#N/A</v>
      </c>
      <c r="BA292" s="284" t="e">
        <f>IF(VLOOKUP(T_Convention[[#This Row],[NumL]],T_TraitDi[#Data],COLUMN(T_TraitDi[Colonne26]),FALSE)=0,"",TEXT(IFERROR(VLOOKUP(T_Convention[[#This Row],[NumL]],T_TraitDi[#Data],COLUMN(T_TraitDi[Colonne26]),FALSE),""),"[hh]:mm"))</f>
        <v>#N/A</v>
      </c>
      <c r="BB292" s="284" t="str">
        <f>IFERROR(VLOOKUP(T_Convention[[#This Row],[NumL]],T_TraitDi[#Data],COLUMN(T_TraitDi[Vendredi]),FALSE),"")</f>
        <v/>
      </c>
      <c r="BC292" s="284" t="e">
        <f>IF(VLOOKUP(T_Convention[[#This Row],[NumL]],T_TraitDi[#Data],COLUMN(T_TraitDi[Colonne27]),FALSE)=0,"",TEXT(IFERROR(VLOOKUP(T_Convention[[#This Row],[NumL]],T_TraitDi[#Data],COLUMN(T_TraitDi[Colonne27]),FALSE),""),"[hh]:mm"))</f>
        <v>#N/A</v>
      </c>
      <c r="BD292" s="284" t="e">
        <f>IF(VLOOKUP(T_Convention[[#This Row],[NumL]],T_TraitDi[#Data],COLUMN(T_TraitDi[Colonne28]),FALSE)=0,"",TEXT(IFERROR(VLOOKUP(T_Convention[[#This Row],[NumL]],T_TraitDi[#Data],COLUMN(T_TraitDi[Colonne28]),FALSE),""),"[hh]:mm"))</f>
        <v>#N/A</v>
      </c>
      <c r="BE292" s="284" t="str">
        <f>IFERROR(VLOOKUP(T_Convention[[#This Row],[NumL]],T_TraitDi[#Data],COLUMN(T_TraitDi[Colonne29]),FALSE),"")</f>
        <v/>
      </c>
      <c r="BF292" s="284" t="e">
        <f>IF(VLOOKUP(T_Convention[[#This Row],[NumL]],T_TraitDi[#Data],COLUMN(T_TraitDi[Colonne30]),FALSE)=0,"",TEXT(IFERROR(VLOOKUP(T_Convention[[#This Row],[NumL]],T_TraitDi[#Data],COLUMN(T_TraitDi[Colonne30]),FALSE),""),"[hh]:mm"))</f>
        <v>#N/A</v>
      </c>
      <c r="BG292" s="284" t="e">
        <f>IF(VLOOKUP(T_Convention[[#This Row],[NumL]],T_TraitDi[#Data],COLUMN(T_TraitDi[Colonne31]),FALSE)=0,"",TEXT(IFERROR(VLOOKUP(T_Convention[[#This Row],[NumL]],T_TraitDi[#Data],COLUMN(T_TraitDi[Colonne31]),FALSE),""),"[hh]:mm"))</f>
        <v>#N/A</v>
      </c>
      <c r="BH292" s="284" t="e">
        <f>IF(VLOOKUP(T_Convention[[#This Row],[NumL]],T_TraitDi[#Data],COLUMN(T_TraitDi[Colonne32]),FALSE)=0,"",TEXT(IFERROR(VLOOKUP(T_Convention[[#This Row],[NumL]],T_TraitDi[#Data],COLUMN(T_TraitDi[Colonne32]),FALSE),""),"[hh]:mm"))</f>
        <v>#N/A</v>
      </c>
      <c r="BI292" s="284" t="str">
        <f>IFERROR(VLOOKUP(T_Convention[[#This Row],[NumL]],T_TraitDi[#Data],COLUMN(T_TraitDi[NbJTW]),FALSE),"")</f>
        <v/>
      </c>
      <c r="BJ292" s="284" t="e">
        <f>IF(VLOOKUP(T_Convention[[#This Row],[NumL]],T_TraitDi[#Data],COLUMN(T_TraitDi[NbhTW]),FALSE)=0,"",TEXT(IFERROR(VLOOKUP(T_Convention[[#This Row],[NumL]],T_TraitDi[#Data],COLUMN(T_TraitDi[NbhTW]),FALSE),""),"[hh]:mm"))</f>
        <v>#N/A</v>
      </c>
      <c r="BK292" s="315" t="e">
        <f>IF(VLOOKUP(T_Convention[[#This Row],[NumL]],T_TraitDi[#Data],COLUMN(T_TraitDi[Nbhheb]),FALSE)=0,"",TEXT(IFERROR(VLOOKUP(T_Convention[[#This Row],[NumL]],T_TraitDi[#Data],COLUMN(T_TraitDi[Nbhheb]),FALSE),""),"[hh]:mm"))</f>
        <v>#N/A</v>
      </c>
      <c r="BL292" s="287" t="str">
        <f>IFERROR(VLOOKUP(VLOOKUP(T_Convention[[#This Row],[NumL]],T_TraitDi[#Data],COLUMN(T_TraitDi[Type1]),FALSE),TypeTW,2,FALSE),"")</f>
        <v/>
      </c>
      <c r="BM292" s="288" t="str">
        <f>IFERROR(VLOOKUP(T_Convention[[#This Row],[NumL]],T_TraitDi[#Data],COLUMN(T_TraitDi[Rue1]),FALSE),"")</f>
        <v/>
      </c>
      <c r="BN292" s="289" t="str">
        <f>IFERROR(VLOOKUP(T_Convention[[#This Row],[NumL]],T_TraitDi[#Data],COLUMN(T_TraitDi[CP1]),FALSE),"")</f>
        <v/>
      </c>
      <c r="BO292" s="282" t="str">
        <f>IFERROR(VLOOKUP(T_Convention[[#This Row],[NumL]],T_TraitDi[#Data],COLUMN(T_TraitDi[VILLE1]),FALSE),"")</f>
        <v/>
      </c>
      <c r="BP292" s="290" t="str">
        <f>IFERROR(VLOOKUP(VLOOKUP(T_Convention[[#This Row],[NumL]],T_TraitDi[#Data],COLUMN(T_TraitDi[Type2]),FALSE),TypeTW,2,FALSE),"")</f>
        <v/>
      </c>
      <c r="BQ292" s="310" t="str">
        <f>IFERROR(VLOOKUP(T_Convention[[#This Row],[NumL]],T_TraitDi[#Data],COLUMN(T_TraitDi[Rue2]),FALSE),"")</f>
        <v/>
      </c>
      <c r="BR292" s="290" t="str">
        <f>IFERROR(VLOOKUP(T_Convention[[#This Row],[NumL]],T_TraitDi[#Data],COLUMN(T_TraitDi[CP2]),FALSE),"")</f>
        <v/>
      </c>
      <c r="BS292" s="290" t="str">
        <f>IFERROR(VLOOKUP(T_Convention[[#This Row],[NumL]],T_TraitDi[#Data],COLUMN(T_TraitDi[VILLE2]),FALSE),"")</f>
        <v/>
      </c>
      <c r="BT292"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92" s="314" t="str">
        <f>IFERROR(IF(VLOOKUP(T_Convention[[#This Row],[NumL]],T_TraitDi[#Data],COLUMN(T_TraitDi[Plan]),FALSE)="OK","Un planning spécifique de télétravail est annexé à la présente convention.",""),"")</f>
        <v/>
      </c>
      <c r="BV292" s="291"/>
      <c r="BW292" s="292" t="e">
        <f>IF(VLOOKUP(T_Convention[[#This Row],[NumL]],T_suiviDi[#Data],COLUMN(T_suiviDi[Entité]),FALSE)="","",VLOOKUP(T_Convention[[#This Row],[NumL]],T_suiviDi[#Data],COLUMN(T_suiviDi[Entité]),FALSE))</f>
        <v>#N/A</v>
      </c>
      <c r="BX292" s="311" t="str">
        <f>IF(VLOOKUP(T_Convention[[#This Row],[NumL]],T_Commission[#Data],COLUMN(T_Commission[envoi confirm TW]),FALSE)="","",VLOOKUP(T_Convention[[#This Row],[NumL]],T_Commission[#Data],COLUMN(T_Commission[envoi confirm TW]),FALSE))</f>
        <v>Non</v>
      </c>
      <c r="BY29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2" s="265" t="str">
        <f>VLOOKUP(T_Convention[[#This Row],[NumL]],T_Commission[#Data],COLUMN(T_Commission[Commentaire]),FALSE)</f>
        <v>Le télétravail est accordé dans la limite de 1 jour par semaine.</v>
      </c>
      <c r="CA292" s="255" t="str">
        <f>IF(VLOOKUP(T_Convention[[#This Row],[NumL]],T_Commission[#Data],COLUMN(T_Commission[Encadrant Email]),FALSE)="","",VLOOKUP(T_Convention[[#This Row],[NumL]],T_Commission[#Data],COLUMN(T_Commission[Encadrant Email]),FALSE))</f>
        <v/>
      </c>
      <c r="CB292" s="353" t="e">
        <f>VLOOKUP(T_Convention[[#This Row],[NumL]],T_TraitDi[#Data],COLUMN(T_TraitDi[NbJTot]),FALSE)</f>
        <v>#N/A</v>
      </c>
      <c r="CC292" s="353" t="e">
        <f>VLOOKUP(T_Convention[[#This Row],[NumL]],T_TraitDi[#Data],COLUMN(T_TraitDi[Reg Ponct]),FALSE)</f>
        <v>#N/A</v>
      </c>
      <c r="CD292" s="348" t="str">
        <f>IF(T_Convention[[#This Row],[Final]]&lt;&gt;"",VLOOKUP(T_Convention[[#This Row],[NumL]],T_suiviDi[#Data],COLUMN((T_suiviDi[Statut])),FALSE),"")</f>
        <v/>
      </c>
    </row>
    <row r="293" spans="1:82" s="106" customFormat="1" ht="18.75" customHeight="1" x14ac:dyDescent="0.25">
      <c r="A293" s="160">
        <v>123</v>
      </c>
      <c r="B293" s="161" t="str">
        <f>VLOOKUP(T_Convention[[#This Row],[NumL]],T_Commission[#Data],COLUMN(T_Commission[FINAL]),FALSE)</f>
        <v/>
      </c>
      <c r="C293" s="162"/>
      <c r="D293" s="95" t="e">
        <f>IF(VLOOKUP(T_Convention[[#This Row],[NumL]],T_TraitDi[#Data],COLUMN(T_TraitDi[WebC]),FALSE)="","",VLOOKUP(T_Convention[[#This Row],[NumL]],T_TraitDi[#Data],COLUMN(T_TraitDi[WebC]),FALSE))</f>
        <v>#N/A</v>
      </c>
      <c r="E293" s="163" t="str">
        <f t="shared" si="20"/>
        <v>12 janvier 2021</v>
      </c>
      <c r="F293" s="282" t="str">
        <f>IF(T_Convention[[#This Row],[Final]]&lt;&gt;"",VLOOKUP(T_Convention[[#This Row],[NumL]],T_suiviDi[#Data],COLUMN((T_suiviDi[Civ.])),FALSE),"")</f>
        <v/>
      </c>
      <c r="G293" s="283" t="str">
        <f>IF(T_Convention[[#This Row],[Final]]&lt;&gt;"",VLOOKUP(T_Convention[[#This Row],[NumL]],T_suiviDi[#Data],COLUMN((T_suiviDi[Nom])),FALSE),"")</f>
        <v/>
      </c>
      <c r="H293" s="282" t="str">
        <f>IF(T_Convention[[#This Row],[Final]]&lt;&gt;"",VLOOKUP(T_Convention[[#This Row],[NumL]],T_suiviDi[#Data],COLUMN((T_suiviDi[Prénom])),FALSE),"")</f>
        <v/>
      </c>
      <c r="I293" s="282" t="e">
        <f>VLOOKUP(T_Convention[[#This Row],[NumL]],T_suiviDi[#Data],COLUMN((T_suiviDi[[#This Row],[Email]])),FALSE)</f>
        <v>#VALUE!</v>
      </c>
      <c r="J293" s="282" t="e">
        <f>IF(VLOOKUP(T_Convention[[#This Row],[NumL]],T_suiviDi[#Data],COLUMN(T_suiviDi[[#This Row],[Fonction]]),FALSE)="","",VLOOKUP(T_Convention[[#This Row],[NumL]],T_suiviDi[#Data],COLUMN(T_suiviDi[[#This Row],[Fonction]]),FALSE))</f>
        <v>#VALUE!</v>
      </c>
      <c r="K293" s="282" t="e">
        <f>IF(VLOOKUP(T_Convention[[#This Row],[NumL]],T_suiviDi[#Data],COLUMN(T_suiviDi[[#This Row],[Grade]]),FALSE)="","",VLOOKUP(T_Convention[[#This Row],[NumL]],T_suiviDi[#Data],COLUMN(T_suiviDi[[#This Row],[Grade]]),FALSE))</f>
        <v>#VALUE!</v>
      </c>
      <c r="L293" s="282" t="e">
        <f>IF(VLOOKUP(T_Convention[[#This Row],[NumL]],T_suiviDi[#Data],COLUMN(T_suiviDi[[#This Row],[Service ]]),FALSE)="","",VLOOKUP(T_Convention[[#This Row],[NumL]],T_suiviDi[#Data],COLUMN(T_suiviDi[[#This Row],[Service ]]),FALSE))</f>
        <v>#VALUE!</v>
      </c>
      <c r="M293" s="164" t="str">
        <f t="shared" si="21"/>
        <v>01 septembre 2021</v>
      </c>
      <c r="N293" s="164" t="str">
        <f t="shared" si="22"/>
        <v>30 novembre 2021</v>
      </c>
      <c r="O293" s="284" t="str">
        <f t="shared" si="23"/>
        <v>30 novembre 2021</v>
      </c>
      <c r="P293" s="282" t="e">
        <f>IF(VLOOKUP(T_Convention[[#This Row],[NumL]],T_TraitDi[#Data],COLUMN(T_TraitDi[M1]),FALSE)="","",VLOOKUP(T_Convention[[#This Row],[NumL]],T_TraitDi[#Data],COLUMN(T_TraitDi[M1]),FALSE))</f>
        <v>#N/A</v>
      </c>
      <c r="Q293" s="282" t="e">
        <f>IF(VLOOKUP(T_Convention[[#This Row],[NumL]],T_TraitDi[#Data],COLUMN(T_TraitDi[M2]),FALSE)="","",VLOOKUP(T_Convention[[#This Row],[NumL]],T_TraitDi[#Data],COLUMN(T_TraitDi[M2]),FALSE))</f>
        <v>#N/A</v>
      </c>
      <c r="R293" s="282" t="e">
        <f>IF(VLOOKUP(T_Convention[[#This Row],[NumL]],T_TraitDi[#Data],COLUMN(T_TraitDi[M3]),FALSE)="","",VLOOKUP(T_Convention[[#This Row],[NumL]],T_TraitDi[#Data],COLUMN(T_TraitDi[M3]),FALSE))</f>
        <v>#N/A</v>
      </c>
      <c r="S293" s="282" t="e">
        <f>IF(VLOOKUP(T_Convention[[#This Row],[NumL]],T_TraitDi[#Data],COLUMN(T_TraitDi[M4]),FALSE)="","",VLOOKUP(T_Convention[[#This Row],[NumL]],T_TraitDi[#Data],COLUMN(T_TraitDi[M4]),FALSE))</f>
        <v>#N/A</v>
      </c>
      <c r="T293" s="282" t="e">
        <f>IF(VLOOKUP(T_Convention[[#This Row],[NumL]],T_TraitDi[#Data],COLUMN(T_TraitDi[M5]),FALSE)="","",VLOOKUP(T_Convention[[#This Row],[NumL]],T_TraitDi[#Data],COLUMN(T_TraitDi[M5]),FALSE))</f>
        <v>#N/A</v>
      </c>
      <c r="U293" s="282" t="e">
        <f>IF(VLOOKUP(T_Convention[[#This Row],[NumL]],T_TraitDi[#Data],COLUMN(T_TraitDi[M6]),FALSE)="","",VLOOKUP(T_Convention[[#This Row],[NumL]],T_TraitDi[#Data],COLUMN(T_TraitDi[M6]),FALSE))</f>
        <v>#N/A</v>
      </c>
      <c r="V293" s="176" t="e">
        <f t="shared" si="24"/>
        <v>#N/A</v>
      </c>
      <c r="W293" s="284" t="str">
        <f>IFERROR(TEXT(VLOOKUP(T_Convention[[#This Row],[NumL]],T_TraitDi[#Data],COLUMN(T_TraitDi[Q2]),FALSE),"###%"),"")</f>
        <v/>
      </c>
      <c r="X293" s="97" t="e">
        <f>VLOOKUP(T_Convention[[#This Row],[NumL]],T_TraitDi[#Data],COLUMN(T_TraitDi[Reg Ponct]),FALSE)</f>
        <v>#N/A</v>
      </c>
      <c r="Y293" s="97" t="e">
        <f>VLOOKUP(T_Convention[NumL],T_TraitDi[#Data],COLUMN(T_TraitDi[Jours flottants]),FALSE)</f>
        <v>#N/A</v>
      </c>
      <c r="Z293" s="284" t="str">
        <f>IFERROR(VLOOKUP(T_Convention[[#This Row],[NumL]],T_TraitDi[#Data],COLUMN(T_TraitDi[Lundi]),FALSE),"")</f>
        <v/>
      </c>
      <c r="AA293" s="284" t="e">
        <f>IF(VLOOKUP(T_Convention[[#This Row],[NumL]],T_TraitDi[#Data],COLUMN(T_TraitDi[Colonne3]),FALSE)=0,"",TEXT(IFERROR(VLOOKUP(T_Convention[[#This Row],[NumL]],T_TraitDi[#Data],COLUMN(T_TraitDi[Colonne3]),FALSE),""),"[hh]:mm"))</f>
        <v>#N/A</v>
      </c>
      <c r="AB293" s="284" t="e">
        <f>IF(VLOOKUP(T_Convention[[#This Row],[NumL]],T_TraitDi[#Data],COLUMN(T_TraitDi[Colonne4]),FALSE)=0,"",TEXT(IFERROR(VLOOKUP(T_Convention[[#This Row],[NumL]],T_TraitDi[#Data],COLUMN(T_TraitDi[Colonne4]),FALSE),""),"[hh]:mm"))</f>
        <v>#N/A</v>
      </c>
      <c r="AC293" s="284" t="e">
        <f>IF(VLOOKUP(T_Convention[[#This Row],[NumL]],T_TraitDi[#Data],COLUMN(T_TraitDi[Colonne5]),FALSE)=0,"",TEXT(IFERROR(VLOOKUP(T_Convention[[#This Row],[NumL]],T_TraitDi[#Data],COLUMN(T_TraitDi[Colonne5]),FALSE),""),"[hh]:mm"))</f>
        <v>#N/A</v>
      </c>
      <c r="AD293" s="284" t="e">
        <f>IF(VLOOKUP(T_Convention[[#This Row],[NumL]],T_TraitDi[#Data],COLUMN(T_TraitDi[Colonne6]),FALSE)=0,"",TEXT(IFERROR(VLOOKUP(T_Convention[[#This Row],[NumL]],T_TraitDi[#Data],COLUMN(T_TraitDi[Colonne6]),FALSE),""),"[hh]:mm"))</f>
        <v>#N/A</v>
      </c>
      <c r="AE293" s="284" t="e">
        <f>IF(VLOOKUP(T_Convention[[#This Row],[NumL]],T_TraitDi[#Data],COLUMN(T_TraitDi[Colonne7]),FALSE)=0,"",TEXT(IFERROR(VLOOKUP(T_Convention[[#This Row],[NumL]],T_TraitDi[#Data],COLUMN(T_TraitDi[Colonne7]),FALSE),""),"[hh]:mm"))</f>
        <v>#N/A</v>
      </c>
      <c r="AF293" s="284" t="e">
        <f>IF(VLOOKUP(T_Convention[[#This Row],[NumL]],T_TraitDi[#Data],COLUMN(T_TraitDi[Colonne8]),FALSE)=0,"",TEXT(IFERROR(VLOOKUP(T_Convention[[#This Row],[NumL]],T_TraitDi[#Data],COLUMN(T_TraitDi[Colonne8]),FALSE),""),"[hh]:mm"))</f>
        <v>#N/A</v>
      </c>
      <c r="AG293" s="284" t="str">
        <f>IFERROR(VLOOKUP(T_Convention[[#This Row],[NumL]],T_TraitDi[#Data],COLUMN(T_TraitDi[Mardi]),FALSE),"")</f>
        <v/>
      </c>
      <c r="AH293" s="284" t="e">
        <f>IF(VLOOKUP(T_Convention[[#This Row],[NumL]],T_TraitDi[#Data],COLUMN(T_TraitDi[Colonne1]),FALSE)=0,"",TEXT(IFERROR(VLOOKUP(T_Convention[[#This Row],[NumL]],T_TraitDi[#Data],COLUMN(T_TraitDi[Colonne1]),FALSE),""),"[hh]:mm"))</f>
        <v>#N/A</v>
      </c>
      <c r="AI293" s="284" t="e">
        <f>IF(VLOOKUP(T_Convention[[#This Row],[NumL]],T_TraitDi[#Data],COLUMN(T_TraitDi[Colonne9]),FALSE)=0,"",TEXT(IFERROR(VLOOKUP(T_Convention[[#This Row],[NumL]],T_TraitDi[#Data],COLUMN(T_TraitDi[Colonne9]),FALSE),""),"[hh]:mm"))</f>
        <v>#N/A</v>
      </c>
      <c r="AJ293" s="284" t="str">
        <f>IFERROR(VLOOKUP(T_Convention[[#This Row],[NumL]],T_TraitDi[#Data],COLUMN(T_TraitDi[Colonne10]),FALSE),"")</f>
        <v/>
      </c>
      <c r="AK293" s="284" t="e">
        <f>IF(VLOOKUP(T_Convention[[#This Row],[NumL]],T_TraitDi[#Data],COLUMN(T_TraitDi[Colonne11]),FALSE)=0,"",TEXT(IFERROR(VLOOKUP(T_Convention[[#This Row],[NumL]],T_TraitDi[#Data],COLUMN(T_TraitDi[Colonne11]),FALSE),""),"[hh]:mm"))</f>
        <v>#N/A</v>
      </c>
      <c r="AL293" s="284" t="e">
        <f>IF(VLOOKUP(T_Convention[[#This Row],[NumL]],T_TraitDi[#Data],COLUMN(T_TraitDi[Colonne12]),FALSE)=0,"",TEXT(IFERROR(VLOOKUP(T_Convention[[#This Row],[NumL]],T_TraitDi[#Data],COLUMN(T_TraitDi[Colonne12]),FALSE),""),"[hh]:mm"))</f>
        <v>#N/A</v>
      </c>
      <c r="AM293" s="284" t="e">
        <f>IF(VLOOKUP(T_Convention[[#This Row],[NumL]],T_TraitDi[#Data],COLUMN(T_TraitDi[Colonne14]),FALSE)=0,"",TEXT(IFERROR(VLOOKUP(T_Convention[[#This Row],[NumL]],T_TraitDi[#Data],COLUMN(T_TraitDi[Colonne14]),FALSE),""),"[hh]:mm"))</f>
        <v>#N/A</v>
      </c>
      <c r="AN293" s="284" t="str">
        <f>IFERROR(VLOOKUP(T_Convention[[#This Row],[NumL]],T_TraitDi[#Data],COLUMN(T_TraitDi[Mercredi]),FALSE),"")</f>
        <v/>
      </c>
      <c r="AO293" s="284" t="e">
        <f>IF(VLOOKUP(T_Convention[[#This Row],[NumL]],T_TraitDi[#Data],COLUMN(T_TraitDi[Colonne15]),FALSE)=0,"",TEXT(IFERROR(VLOOKUP(T_Convention[[#This Row],[NumL]],T_TraitDi[#Data],COLUMN(T_TraitDi[Colonne15]),FALSE),""),"[hh]:mm"))</f>
        <v>#N/A</v>
      </c>
      <c r="AP293" s="284" t="e">
        <f>IF(VLOOKUP(T_Convention[[#This Row],[NumL]],T_TraitDi[#Data],COLUMN(T_TraitDi[Colonne16]),FALSE)=0,"",TEXT(IFERROR(VLOOKUP(T_Convention[[#This Row],[NumL]],T_TraitDi[#Data],COLUMN(T_TraitDi[Colonne16]),FALSE),""),"[hh]:mm"))</f>
        <v>#N/A</v>
      </c>
      <c r="AQ293" s="284" t="str">
        <f>IFERROR(VLOOKUP(T_Convention[[#This Row],[NumL]],T_TraitDi[#Data],COLUMN(T_TraitDi[Colonne17]),FALSE),"")</f>
        <v/>
      </c>
      <c r="AR293" s="284" t="e">
        <f>IF(VLOOKUP(T_Convention[[#This Row],[NumL]],T_TraitDi[#Data],COLUMN(T_TraitDi[Colonne18]),FALSE)=0,"",TEXT(IFERROR(VLOOKUP(T_Convention[[#This Row],[NumL]],T_TraitDi[#Data],COLUMN(T_TraitDi[Colonne18]),FALSE),""),"[hh]:mm"))</f>
        <v>#N/A</v>
      </c>
      <c r="AS293" s="284" t="e">
        <f>IF(VLOOKUP(T_Convention[[#This Row],[NumL]],T_TraitDi[#Data],COLUMN(T_TraitDi[Colonne19]),FALSE)=0,"",TEXT(IFERROR(VLOOKUP(T_Convention[[#This Row],[NumL]],T_TraitDi[#Data],COLUMN(T_TraitDi[Colonne19]),FALSE),""),"[hh]:mm"))</f>
        <v>#N/A</v>
      </c>
      <c r="AT293" s="284" t="e">
        <f>IF(VLOOKUP(T_Convention[[#This Row],[NumL]],T_TraitDi[#Data],COLUMN(T_TraitDi[Colonne20]),FALSE)=0,"",TEXT(IFERROR(VLOOKUP(T_Convention[[#This Row],[NumL]],T_TraitDi[#Data],COLUMN(T_TraitDi[Colonne20]),FALSE),""),"[hh]:mm"))</f>
        <v>#N/A</v>
      </c>
      <c r="AU293" s="284" t="str">
        <f>IFERROR(VLOOKUP(T_Convention[[#This Row],[NumL]],T_TraitDi[#Data],COLUMN(T_TraitDi[Jeudi]),FALSE),"")</f>
        <v/>
      </c>
      <c r="AV293" s="284" t="e">
        <f>IF(VLOOKUP(T_Convention[[#This Row],[NumL]],T_TraitDi[#Data],COLUMN(T_TraitDi[Colonne21]),FALSE)=0,"",TEXT(IFERROR(VLOOKUP(T_Convention[[#This Row],[NumL]],T_TraitDi[#Data],COLUMN(T_TraitDi[Colonne21]),FALSE),""),"[hh]:mm"))</f>
        <v>#N/A</v>
      </c>
      <c r="AW293" s="284" t="e">
        <f>IF(VLOOKUP(T_Convention[[#This Row],[NumL]],T_TraitDi[#Data],COLUMN(T_TraitDi[Colonne22]),FALSE)=0,"",TEXT(IFERROR(VLOOKUP(T_Convention[[#This Row],[NumL]],T_TraitDi[#Data],COLUMN(T_TraitDi[Colonne22]),FALSE),""),"[hh]:mm"))</f>
        <v>#N/A</v>
      </c>
      <c r="AX293" s="284" t="str">
        <f>IFERROR(VLOOKUP(T_Convention[[#This Row],[NumL]],T_TraitDi[#Data],COLUMN(T_TraitDi[Colonne23]),FALSE),"")</f>
        <v/>
      </c>
      <c r="AY293" s="284" t="e">
        <f>IF(VLOOKUP(T_Convention[[#This Row],[NumL]],T_TraitDi[#Data],COLUMN(T_TraitDi[Colonne24]),FALSE)=0,"",TEXT(IFERROR(VLOOKUP(T_Convention[[#This Row],[NumL]],T_TraitDi[#Data],COLUMN(T_TraitDi[Colonne24]),FALSE),""),"[hh]:mm"))</f>
        <v>#N/A</v>
      </c>
      <c r="AZ293" s="284" t="e">
        <f>IF(VLOOKUP(T_Convention[[#This Row],[NumL]],T_TraitDi[#Data],COLUMN(T_TraitDi[Colonne25]),FALSE)=0,"",TEXT(IFERROR(VLOOKUP(T_Convention[[#This Row],[NumL]],T_TraitDi[#Data],COLUMN(T_TraitDi[Colonne25]),FALSE),""),"[hh]:mm"))</f>
        <v>#N/A</v>
      </c>
      <c r="BA293" s="284" t="e">
        <f>IF(VLOOKUP(T_Convention[[#This Row],[NumL]],T_TraitDi[#Data],COLUMN(T_TraitDi[Colonne26]),FALSE)=0,"",TEXT(IFERROR(VLOOKUP(T_Convention[[#This Row],[NumL]],T_TraitDi[#Data],COLUMN(T_TraitDi[Colonne26]),FALSE),""),"[hh]:mm"))</f>
        <v>#N/A</v>
      </c>
      <c r="BB293" s="284" t="str">
        <f>IFERROR(VLOOKUP(T_Convention[[#This Row],[NumL]],T_TraitDi[#Data],COLUMN(T_TraitDi[Vendredi]),FALSE),"")</f>
        <v/>
      </c>
      <c r="BC293" s="284" t="e">
        <f>IF(VLOOKUP(T_Convention[[#This Row],[NumL]],T_TraitDi[#Data],COLUMN(T_TraitDi[Colonne27]),FALSE)=0,"",TEXT(IFERROR(VLOOKUP(T_Convention[[#This Row],[NumL]],T_TraitDi[#Data],COLUMN(T_TraitDi[Colonne27]),FALSE),""),"[hh]:mm"))</f>
        <v>#N/A</v>
      </c>
      <c r="BD293" s="284" t="e">
        <f>IF(VLOOKUP(T_Convention[[#This Row],[NumL]],T_TraitDi[#Data],COLUMN(T_TraitDi[Colonne28]),FALSE)=0,"",TEXT(IFERROR(VLOOKUP(T_Convention[[#This Row],[NumL]],T_TraitDi[#Data],COLUMN(T_TraitDi[Colonne28]),FALSE),""),"[hh]:mm"))</f>
        <v>#N/A</v>
      </c>
      <c r="BE293" s="284" t="str">
        <f>IFERROR(VLOOKUP(T_Convention[[#This Row],[NumL]],T_TraitDi[#Data],COLUMN(T_TraitDi[Colonne29]),FALSE),"")</f>
        <v/>
      </c>
      <c r="BF293" s="284" t="e">
        <f>IF(VLOOKUP(T_Convention[[#This Row],[NumL]],T_TraitDi[#Data],COLUMN(T_TraitDi[Colonne30]),FALSE)=0,"",TEXT(IFERROR(VLOOKUP(T_Convention[[#This Row],[NumL]],T_TraitDi[#Data],COLUMN(T_TraitDi[Colonne30]),FALSE),""),"[hh]:mm"))</f>
        <v>#N/A</v>
      </c>
      <c r="BG293" s="284" t="e">
        <f>IF(VLOOKUP(T_Convention[[#This Row],[NumL]],T_TraitDi[#Data],COLUMN(T_TraitDi[Colonne31]),FALSE)=0,"",TEXT(IFERROR(VLOOKUP(T_Convention[[#This Row],[NumL]],T_TraitDi[#Data],COLUMN(T_TraitDi[Colonne31]),FALSE),""),"[hh]:mm"))</f>
        <v>#N/A</v>
      </c>
      <c r="BH293" s="284" t="e">
        <f>IF(VLOOKUP(T_Convention[[#This Row],[NumL]],T_TraitDi[#Data],COLUMN(T_TraitDi[Colonne32]),FALSE)=0,"",TEXT(IFERROR(VLOOKUP(T_Convention[[#This Row],[NumL]],T_TraitDi[#Data],COLUMN(T_TraitDi[Colonne32]),FALSE),""),"[hh]:mm"))</f>
        <v>#N/A</v>
      </c>
      <c r="BI293" s="284" t="str">
        <f>IFERROR(VLOOKUP(T_Convention[[#This Row],[NumL]],T_TraitDi[#Data],COLUMN(T_TraitDi[NbJTW]),FALSE),"")</f>
        <v/>
      </c>
      <c r="BJ293" s="284" t="e">
        <f>IF(VLOOKUP(T_Convention[[#This Row],[NumL]],T_TraitDi[#Data],COLUMN(T_TraitDi[NbhTW]),FALSE)=0,"",TEXT(IFERROR(VLOOKUP(T_Convention[[#This Row],[NumL]],T_TraitDi[#Data],COLUMN(T_TraitDi[NbhTW]),FALSE),""),"[hh]:mm"))</f>
        <v>#N/A</v>
      </c>
      <c r="BK293" s="286" t="e">
        <f>IF(VLOOKUP(T_Convention[[#This Row],[NumL]],T_TraitDi[#Data],COLUMN(T_TraitDi[Nbhheb]),FALSE)=0,"",TEXT(IFERROR(VLOOKUP(T_Convention[[#This Row],[NumL]],T_TraitDi[#Data],COLUMN(T_TraitDi[Nbhheb]),FALSE),""),"[hh]:mm"))</f>
        <v>#N/A</v>
      </c>
      <c r="BL293" s="287" t="str">
        <f>IFERROR(VLOOKUP(VLOOKUP(T_Convention[[#This Row],[NumL]],T_TraitDi[#Data],COLUMN(T_TraitDi[Type1]),FALSE),TypeTW,2,FALSE),"")</f>
        <v/>
      </c>
      <c r="BM293" s="288" t="str">
        <f>IFERROR(VLOOKUP(T_Convention[[#This Row],[NumL]],T_TraitDi[#Data],COLUMN(T_TraitDi[Rue1]),FALSE),"")</f>
        <v/>
      </c>
      <c r="BN293" s="289" t="str">
        <f>IFERROR(VLOOKUP(T_Convention[[#This Row],[NumL]],T_TraitDi[#Data],COLUMN(T_TraitDi[CP1]),FALSE),"")</f>
        <v/>
      </c>
      <c r="BO293" s="282" t="str">
        <f>IFERROR(VLOOKUP(T_Convention[[#This Row],[NumL]],T_TraitDi[#Data],COLUMN(T_TraitDi[VILLE1]),FALSE),"")</f>
        <v/>
      </c>
      <c r="BP293" s="290" t="str">
        <f>IFERROR(VLOOKUP(VLOOKUP(T_Convention[[#This Row],[NumL]],T_TraitDi[#Data],COLUMN(T_TraitDi[Type2]),FALSE),TypeTW,2,FALSE),"")</f>
        <v/>
      </c>
      <c r="BQ293" s="182" t="str">
        <f>IFERROR(VLOOKUP(T_Convention[[#This Row],[NumL]],T_TraitDi[#Data],COLUMN(T_TraitDi[Rue2]),FALSE),"")</f>
        <v/>
      </c>
      <c r="BR293" s="173" t="str">
        <f>IFERROR(VLOOKUP(T_Convention[[#This Row],[NumL]],T_TraitDi[#Data],COLUMN(T_TraitDi[CP2]),FALSE),"")</f>
        <v/>
      </c>
      <c r="BS293" s="173" t="str">
        <f>IFERROR(VLOOKUP(T_Convention[[#This Row],[NumL]],T_TraitDi[#Data],COLUMN(T_TraitDi[VILLE2]),FALSE),"")</f>
        <v/>
      </c>
      <c r="BT293" s="182" t="str">
        <f>IF(VLOOKUP(T_Convention[[#This Row],[NumL]],T_Equipement[#Data],COLUMN(T_Equipement[PC]),FALSE)="","Aucun équipement spécifique directement lié au télétravail",VLOOKUP(T_Convention[[#This Row],[NumL]],T_Equipement[#Data],COLUMN(T_Equipement[PC]),FALSE))</f>
        <v xml:space="preserve">20-031	</v>
      </c>
      <c r="BU293" s="166" t="str">
        <f>IFERROR(IF(VLOOKUP(T_Convention[[#This Row],[NumL]],T_TraitDi[#Data],COLUMN(T_TraitDi[Plan]),FALSE)="OK","Un planning spécifique de télétravail est annexé à la présente convention.",""),"")</f>
        <v/>
      </c>
      <c r="BV293" s="185" t="s">
        <v>3459</v>
      </c>
      <c r="BW293" s="164" t="e">
        <f>IF(VLOOKUP(T_Convention[[#This Row],[NumL]],T_suiviDi[#Data],COLUMN(T_suiviDi[Entité]),FALSE)="","",VLOOKUP(T_Convention[[#This Row],[NumL]],T_suiviDi[#Data],COLUMN(T_suiviDi[Entité]),FALSE))</f>
        <v>#N/A</v>
      </c>
      <c r="BX293" s="164" t="str">
        <f>IF(VLOOKUP(T_Convention[[#This Row],[NumL]],T_Commission[#Data],COLUMN(T_Commission[envoi confirm TW]),FALSE)="","",VLOOKUP(T_Convention[[#This Row],[NumL]],T_Commission[#Data],COLUMN(T_Commission[envoi confirm TW]),FALSE))</f>
        <v>Oui</v>
      </c>
      <c r="BY29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3" s="264">
        <f>VLOOKUP(T_Convention[[#This Row],[NumL]],T_Commission[#Data],COLUMN(T_Commission[Commentaire]),FALSE)</f>
        <v>0</v>
      </c>
      <c r="CA293" s="254" t="str">
        <f>IF(VLOOKUP(T_Convention[[#This Row],[NumL]],T_Commission[#Data],COLUMN(T_Commission[Encadrant Email]),FALSE)="","",VLOOKUP(T_Convention[[#This Row],[NumL]],T_Commission[#Data],COLUMN(T_Commission[Encadrant Email]),FALSE))</f>
        <v/>
      </c>
      <c r="CB293" s="353" t="e">
        <f>VLOOKUP(T_Convention[[#This Row],[NumL]],T_TraitDi[#Data],COLUMN(T_TraitDi[NbJTot]),FALSE)</f>
        <v>#N/A</v>
      </c>
      <c r="CC293" s="353" t="e">
        <f>VLOOKUP(T_Convention[[#This Row],[NumL]],T_TraitDi[#Data],COLUMN(T_TraitDi[Reg Ponct]),FALSE)</f>
        <v>#N/A</v>
      </c>
      <c r="CD293" s="348" t="str">
        <f>IF(T_Convention[[#This Row],[Final]]&lt;&gt;"",VLOOKUP(T_Convention[[#This Row],[NumL]],T_suiviDi[#Data],COLUMN((T_suiviDi[Statut])),FALSE),"")</f>
        <v/>
      </c>
    </row>
    <row r="294" spans="1:82" s="50" customFormat="1" ht="18.75" customHeight="1" x14ac:dyDescent="0.25">
      <c r="A294" s="160">
        <v>107</v>
      </c>
      <c r="B294" s="161">
        <f>VLOOKUP(T_Convention[[#This Row],[NumL]],T_Commission[#Data],COLUMN(T_Commission[FINAL]),FALSE)</f>
        <v>1</v>
      </c>
      <c r="C294" s="162"/>
      <c r="D294" s="95" t="str">
        <f>IF(VLOOKUP(T_Convention[[#This Row],[NumL]],T_TraitDi[#Data],COLUMN(T_TraitDi[WebC]),FALSE)="","",VLOOKUP(T_Convention[[#This Row],[NumL]],T_TraitDi[#Data],COLUMN(T_TraitDi[WebC]),FALSE))</f>
        <v>WG</v>
      </c>
      <c r="E294" s="163" t="str">
        <f t="shared" si="20"/>
        <v>12 janvier 2021</v>
      </c>
      <c r="F294" s="282" t="str">
        <f>IF(T_Convention[[#This Row],[Final]]&lt;&gt;"",VLOOKUP(T_Convention[[#This Row],[NumL]],T_suiviDi[#Data],COLUMN((T_suiviDi[Civ.])),FALSE),"")</f>
        <v>Mme</v>
      </c>
      <c r="G294" s="283" t="str">
        <f>IF(T_Convention[[#This Row],[Final]]&lt;&gt;"",VLOOKUP(T_Convention[[#This Row],[NumL]],T_suiviDi[#Data],COLUMN((T_suiviDi[Nom])),FALSE),"")</f>
        <v>A</v>
      </c>
      <c r="H294" s="282" t="str">
        <f>IF(T_Convention[[#This Row],[Final]]&lt;&gt;"",VLOOKUP(T_Convention[[#This Row],[NumL]],T_suiviDi[#Data],COLUMN((T_suiviDi[Prénom])),FALSE),"")</f>
        <v>Cécile</v>
      </c>
      <c r="I294" s="282" t="e">
        <f>VLOOKUP(T_Convention[[#This Row],[NumL]],T_suiviDi[#Data],COLUMN((T_suiviDi[[#This Row],[Email]])),FALSE)</f>
        <v>#VALUE!</v>
      </c>
      <c r="J294" s="282" t="e">
        <f>IF(VLOOKUP(T_Convention[[#This Row],[NumL]],T_suiviDi[#Data],COLUMN(T_suiviDi[[#This Row],[Fonction]]),FALSE)="","",VLOOKUP(T_Convention[[#This Row],[NumL]],T_suiviDi[#Data],COLUMN(T_suiviDi[[#This Row],[Fonction]]),FALSE))</f>
        <v>#VALUE!</v>
      </c>
      <c r="K294" s="282" t="e">
        <f>IF(VLOOKUP(T_Convention[[#This Row],[NumL]],T_suiviDi[#Data],COLUMN(T_suiviDi[[#This Row],[Grade]]),FALSE)="","",VLOOKUP(T_Convention[[#This Row],[NumL]],T_suiviDi[#Data],COLUMN(T_suiviDi[[#This Row],[Grade]]),FALSE))</f>
        <v>#VALUE!</v>
      </c>
      <c r="L294" s="282" t="e">
        <f>IF(VLOOKUP(T_Convention[[#This Row],[NumL]],T_suiviDi[#Data],COLUMN(T_suiviDi[[#This Row],[Service ]]),FALSE)="","",VLOOKUP(T_Convention[[#This Row],[NumL]],T_suiviDi[#Data],COLUMN(T_suiviDi[[#This Row],[Service ]]),FALSE))</f>
        <v>#VALUE!</v>
      </c>
      <c r="M294" s="164" t="str">
        <f t="shared" si="21"/>
        <v>01 septembre 2021</v>
      </c>
      <c r="N294" s="164" t="str">
        <f t="shared" si="22"/>
        <v>30 novembre 2021</v>
      </c>
      <c r="O294" s="284" t="str">
        <f t="shared" si="23"/>
        <v>30 novembre 2021</v>
      </c>
      <c r="P294" s="282" t="str">
        <f>IF(VLOOKUP(T_Convention[[#This Row],[NumL]],T_TraitDi[#Data],COLUMN(T_TraitDi[M1]),FALSE)="","",VLOOKUP(T_Convention[[#This Row],[NumL]],T_TraitDi[#Data],COLUMN(T_TraitDi[M1]),FALSE))</f>
        <v>Démarche Qualité</v>
      </c>
      <c r="Q294" s="282" t="str">
        <f>IF(VLOOKUP(T_Convention[[#This Row],[NumL]],T_TraitDi[#Data],COLUMN(T_TraitDi[M2]),FALSE)="","",VLOOKUP(T_Convention[[#This Row],[NumL]],T_TraitDi[#Data],COLUMN(T_TraitDi[M2]),FALSE))</f>
        <v>Déploiement des formations en apprentissage</v>
      </c>
      <c r="R294" s="282" t="str">
        <f>IF(VLOOKUP(T_Convention[[#This Row],[NumL]],T_TraitDi[#Data],COLUMN(T_TraitDi[M3]),FALSE)="","",VLOOKUP(T_Convention[[#This Row],[NumL]],T_TraitDi[#Data],COLUMN(T_TraitDi[M3]),FALSE))</f>
        <v>Référente (logiciels) FCA Manager/Kairos/G.E.D</v>
      </c>
      <c r="S294" s="282" t="str">
        <f>IF(VLOOKUP(T_Convention[[#This Row],[NumL]],T_TraitDi[#Data],COLUMN(T_TraitDi[M4]),FALSE)="","",VLOOKUP(T_Convention[[#This Row],[NumL]],T_TraitDi[#Data],COLUMN(T_TraitDi[M4]),FALSE))</f>
        <v>Coordination du pôle FCA</v>
      </c>
      <c r="T294" s="282" t="str">
        <f>IF(VLOOKUP(T_Convention[[#This Row],[NumL]],T_TraitDi[#Data],COLUMN(T_TraitDi[M5]),FALSE)="","",VLOOKUP(T_Convention[[#This Row],[NumL]],T_TraitDi[#Data],COLUMN(T_TraitDi[M5]),FALSE))</f>
        <v/>
      </c>
      <c r="U294" s="282" t="str">
        <f>IF(VLOOKUP(T_Convention[[#This Row],[NumL]],T_TraitDi[#Data],COLUMN(T_TraitDi[M6]),FALSE)="","",VLOOKUP(T_Convention[[#This Row],[NumL]],T_TraitDi[#Data],COLUMN(T_TraitDi[M6]),FALSE))</f>
        <v/>
      </c>
      <c r="V294" s="176" t="str">
        <f t="shared" si="24"/>
        <v>Démarche QualitéDéploiement des formations en apprentissageRéférente (logiciels) FCA Manager/Kairos/G.E.DCoordination du pôle FCA</v>
      </c>
      <c r="W294" s="284" t="str">
        <f>IFERROR(TEXT(VLOOKUP(T_Convention[[#This Row],[NumL]],T_TraitDi[#Data],COLUMN(T_TraitDi[Q2]),FALSE),"###%"),"")</f>
        <v>100%</v>
      </c>
      <c r="X294" s="97" t="str">
        <f>VLOOKUP(T_Convention[[#This Row],[NumL]],T_TraitDi[#Data],COLUMN(T_TraitDi[Reg Ponct]),FALSE)</f>
        <v>R</v>
      </c>
      <c r="Y294" s="97">
        <f>VLOOKUP(T_Convention[NumL],T_TraitDi[#Data],COLUMN(T_TraitDi[Jours flottants]),FALSE)</f>
        <v>10</v>
      </c>
      <c r="Z294" s="284" t="str">
        <f>IFERROR(VLOOKUP(T_Convention[[#This Row],[NumL]],T_TraitDi[#Data],COLUMN(T_TraitDi[Lundi]),FALSE),"")</f>
        <v>T</v>
      </c>
      <c r="AA294" s="284" t="str">
        <f>IF(VLOOKUP(T_Convention[[#This Row],[NumL]],T_TraitDi[#Data],COLUMN(T_TraitDi[Colonne3]),FALSE)=0,"",TEXT(IFERROR(VLOOKUP(T_Convention[[#This Row],[NumL]],T_TraitDi[#Data],COLUMN(T_TraitDi[Colonne3]),FALSE),""),"[hh]:mm"))</f>
        <v>08:00</v>
      </c>
      <c r="AB294" s="284" t="str">
        <f>IF(VLOOKUP(T_Convention[[#This Row],[NumL]],T_TraitDi[#Data],COLUMN(T_TraitDi[Colonne4]),FALSE)=0,"",TEXT(IFERROR(VLOOKUP(T_Convention[[#This Row],[NumL]],T_TraitDi[#Data],COLUMN(T_TraitDi[Colonne4]),FALSE),""),"[hh]:mm"))</f>
        <v>12:00</v>
      </c>
      <c r="AC294" s="284" t="str">
        <f>IF(VLOOKUP(T_Convention[[#This Row],[NumL]],T_TraitDi[#Data],COLUMN(T_TraitDi[Colonne5]),FALSE)=0,"",TEXT(IFERROR(VLOOKUP(T_Convention[[#This Row],[NumL]],T_TraitDi[#Data],COLUMN(T_TraitDi[Colonne5]),FALSE),""),"[hh]:mm"))</f>
        <v>T</v>
      </c>
      <c r="AD294" s="284" t="str">
        <f>IF(VLOOKUP(T_Convention[[#This Row],[NumL]],T_TraitDi[#Data],COLUMN(T_TraitDi[Colonne6]),FALSE)=0,"",TEXT(IFERROR(VLOOKUP(T_Convention[[#This Row],[NumL]],T_TraitDi[#Data],COLUMN(T_TraitDi[Colonne6]),FALSE),""),"[hh]:mm"))</f>
        <v>13:00</v>
      </c>
      <c r="AE294" s="284" t="str">
        <f>IF(VLOOKUP(T_Convention[[#This Row],[NumL]],T_TraitDi[#Data],COLUMN(T_TraitDi[Colonne7]),FALSE)=0,"",TEXT(IFERROR(VLOOKUP(T_Convention[[#This Row],[NumL]],T_TraitDi[#Data],COLUMN(T_TraitDi[Colonne7]),FALSE),""),"[hh]:mm"))</f>
        <v>17:00</v>
      </c>
      <c r="AF294" s="284" t="str">
        <f>IF(VLOOKUP(T_Convention[[#This Row],[NumL]],T_TraitDi[#Data],COLUMN(T_TraitDi[Colonne8]),FALSE)=0,"",TEXT(IFERROR(VLOOKUP(T_Convention[[#This Row],[NumL]],T_TraitDi[#Data],COLUMN(T_TraitDi[Colonne8]),FALSE),""),"[hh]:mm"))</f>
        <v>08:00</v>
      </c>
      <c r="AG294" s="284" t="str">
        <f>IFERROR(VLOOKUP(T_Convention[[#This Row],[NumL]],T_TraitDi[#Data],COLUMN(T_TraitDi[Mardi]),FALSE),"")</f>
        <v>S</v>
      </c>
      <c r="AH294" s="284" t="str">
        <f>IF(VLOOKUP(T_Convention[[#This Row],[NumL]],T_TraitDi[#Data],COLUMN(T_TraitDi[Colonne1]),FALSE)=0,"",TEXT(IFERROR(VLOOKUP(T_Convention[[#This Row],[NumL]],T_TraitDi[#Data],COLUMN(T_TraitDi[Colonne1]),FALSE),""),"[hh]:mm"))</f>
        <v>08:00</v>
      </c>
      <c r="AI294" s="284" t="str">
        <f>IF(VLOOKUP(T_Convention[[#This Row],[NumL]],T_TraitDi[#Data],COLUMN(T_TraitDi[Colonne9]),FALSE)=0,"",TEXT(IFERROR(VLOOKUP(T_Convention[[#This Row],[NumL]],T_TraitDi[#Data],COLUMN(T_TraitDi[Colonne9]),FALSE),""),"[hh]:mm"))</f>
        <v>12:00</v>
      </c>
      <c r="AJ294" s="284" t="str">
        <f>IFERROR(VLOOKUP(T_Convention[[#This Row],[NumL]],T_TraitDi[#Data],COLUMN(T_TraitDi[Colonne10]),FALSE),"")</f>
        <v>S</v>
      </c>
      <c r="AK294" s="284" t="str">
        <f>IF(VLOOKUP(T_Convention[[#This Row],[NumL]],T_TraitDi[#Data],COLUMN(T_TraitDi[Colonne11]),FALSE)=0,"",TEXT(IFERROR(VLOOKUP(T_Convention[[#This Row],[NumL]],T_TraitDi[#Data],COLUMN(T_TraitDi[Colonne11]),FALSE),""),"[hh]:mm"))</f>
        <v>13:00</v>
      </c>
      <c r="AL294" s="284" t="str">
        <f>IF(VLOOKUP(T_Convention[[#This Row],[NumL]],T_TraitDi[#Data],COLUMN(T_TraitDi[Colonne12]),FALSE)=0,"",TEXT(IFERROR(VLOOKUP(T_Convention[[#This Row],[NumL]],T_TraitDi[#Data],COLUMN(T_TraitDi[Colonne12]),FALSE),""),"[hh]:mm"))</f>
        <v>17:00</v>
      </c>
      <c r="AM294" s="284" t="str">
        <f>IF(VLOOKUP(T_Convention[[#This Row],[NumL]],T_TraitDi[#Data],COLUMN(T_TraitDi[Colonne14]),FALSE)=0,"",TEXT(IFERROR(VLOOKUP(T_Convention[[#This Row],[NumL]],T_TraitDi[#Data],COLUMN(T_TraitDi[Colonne14]),FALSE),""),"[hh]:mm"))</f>
        <v>08:00</v>
      </c>
      <c r="AN294" s="284" t="str">
        <f>IFERROR(VLOOKUP(T_Convention[[#This Row],[NumL]],T_TraitDi[#Data],COLUMN(T_TraitDi[Mercredi]),FALSE),"")</f>
        <v>S</v>
      </c>
      <c r="AO294" s="284" t="str">
        <f>IF(VLOOKUP(T_Convention[[#This Row],[NumL]],T_TraitDi[#Data],COLUMN(T_TraitDi[Colonne15]),FALSE)=0,"",TEXT(IFERROR(VLOOKUP(T_Convention[[#This Row],[NumL]],T_TraitDi[#Data],COLUMN(T_TraitDi[Colonne15]),FALSE),""),"[hh]:mm"))</f>
        <v>08:00</v>
      </c>
      <c r="AP294" s="284" t="str">
        <f>IF(VLOOKUP(T_Convention[[#This Row],[NumL]],T_TraitDi[#Data],COLUMN(T_TraitDi[Colonne16]),FALSE)=0,"",TEXT(IFERROR(VLOOKUP(T_Convention[[#This Row],[NumL]],T_TraitDi[#Data],COLUMN(T_TraitDi[Colonne16]),FALSE),""),"[hh]:mm"))</f>
        <v>12:00</v>
      </c>
      <c r="AQ294" s="284" t="str">
        <f>IFERROR(VLOOKUP(T_Convention[[#This Row],[NumL]],T_TraitDi[#Data],COLUMN(T_TraitDi[Colonne17]),FALSE),"")</f>
        <v>S</v>
      </c>
      <c r="AR294" s="284" t="str">
        <f>IF(VLOOKUP(T_Convention[[#This Row],[NumL]],T_TraitDi[#Data],COLUMN(T_TraitDi[Colonne18]),FALSE)=0,"",TEXT(IFERROR(VLOOKUP(T_Convention[[#This Row],[NumL]],T_TraitDi[#Data],COLUMN(T_TraitDi[Colonne18]),FALSE),""),"[hh]:mm"))</f>
        <v>13:00</v>
      </c>
      <c r="AS294" s="284" t="str">
        <f>IF(VLOOKUP(T_Convention[[#This Row],[NumL]],T_TraitDi[#Data],COLUMN(T_TraitDi[Colonne19]),FALSE)=0,"",TEXT(IFERROR(VLOOKUP(T_Convention[[#This Row],[NumL]],T_TraitDi[#Data],COLUMN(T_TraitDi[Colonne19]),FALSE),""),"[hh]:mm"))</f>
        <v>17:35</v>
      </c>
      <c r="AT294" s="284" t="str">
        <f>IF(VLOOKUP(T_Convention[[#This Row],[NumL]],T_TraitDi[#Data],COLUMN(T_TraitDi[Colonne20]),FALSE)=0,"",TEXT(IFERROR(VLOOKUP(T_Convention[[#This Row],[NumL]],T_TraitDi[#Data],COLUMN(T_TraitDi[Colonne20]),FALSE),""),"[hh]:mm"))</f>
        <v>08:35</v>
      </c>
      <c r="AU294" s="284" t="str">
        <f>IFERROR(VLOOKUP(T_Convention[[#This Row],[NumL]],T_TraitDi[#Data],COLUMN(T_TraitDi[Jeudi]),FALSE),"")</f>
        <v>S</v>
      </c>
      <c r="AV294" s="284" t="str">
        <f>IF(VLOOKUP(T_Convention[[#This Row],[NumL]],T_TraitDi[#Data],COLUMN(T_TraitDi[Colonne21]),FALSE)=0,"",TEXT(IFERROR(VLOOKUP(T_Convention[[#This Row],[NumL]],T_TraitDi[#Data],COLUMN(T_TraitDi[Colonne21]),FALSE),""),"[hh]:mm"))</f>
        <v>08:00</v>
      </c>
      <c r="AW294" s="284" t="str">
        <f>IF(VLOOKUP(T_Convention[[#This Row],[NumL]],T_TraitDi[#Data],COLUMN(T_TraitDi[Colonne22]),FALSE)=0,"",TEXT(IFERROR(VLOOKUP(T_Convention[[#This Row],[NumL]],T_TraitDi[#Data],COLUMN(T_TraitDi[Colonne22]),FALSE),""),"[hh]:mm"))</f>
        <v>12:00</v>
      </c>
      <c r="AX294" s="284" t="str">
        <f>IFERROR(VLOOKUP(T_Convention[[#This Row],[NumL]],T_TraitDi[#Data],COLUMN(T_TraitDi[Colonne23]),FALSE),"")</f>
        <v>S</v>
      </c>
      <c r="AY294" s="284" t="str">
        <f>IF(VLOOKUP(T_Convention[[#This Row],[NumL]],T_TraitDi[#Data],COLUMN(T_TraitDi[Colonne24]),FALSE)=0,"",TEXT(IFERROR(VLOOKUP(T_Convention[[#This Row],[NumL]],T_TraitDi[#Data],COLUMN(T_TraitDi[Colonne24]),FALSE),""),"[hh]:mm"))</f>
        <v>13:00</v>
      </c>
      <c r="AZ294" s="284" t="str">
        <f>IF(VLOOKUP(T_Convention[[#This Row],[NumL]],T_TraitDi[#Data],COLUMN(T_TraitDi[Colonne25]),FALSE)=0,"",TEXT(IFERROR(VLOOKUP(T_Convention[[#This Row],[NumL]],T_TraitDi[#Data],COLUMN(T_TraitDi[Colonne25]),FALSE),""),"[hh]:mm"))</f>
        <v>17:00</v>
      </c>
      <c r="BA294" s="284" t="str">
        <f>IF(VLOOKUP(T_Convention[[#This Row],[NumL]],T_TraitDi[#Data],COLUMN(T_TraitDi[Colonne26]),FALSE)=0,"",TEXT(IFERROR(VLOOKUP(T_Convention[[#This Row],[NumL]],T_TraitDi[#Data],COLUMN(T_TraitDi[Colonne26]),FALSE),""),"[hh]:mm"))</f>
        <v>08:00</v>
      </c>
      <c r="BB294" s="284" t="str">
        <f>IFERROR(VLOOKUP(T_Convention[[#This Row],[NumL]],T_TraitDi[#Data],COLUMN(T_TraitDi[Vendredi]),FALSE),"")</f>
        <v>T</v>
      </c>
      <c r="BC294" s="284" t="str">
        <f>IF(VLOOKUP(T_Convention[[#This Row],[NumL]],T_TraitDi[#Data],COLUMN(T_TraitDi[Colonne27]),FALSE)=0,"",TEXT(IFERROR(VLOOKUP(T_Convention[[#This Row],[NumL]],T_TraitDi[#Data],COLUMN(T_TraitDi[Colonne27]),FALSE),""),"[hh]:mm"))</f>
        <v>08:00</v>
      </c>
      <c r="BD294" s="284" t="str">
        <f>IF(VLOOKUP(T_Convention[[#This Row],[NumL]],T_TraitDi[#Data],COLUMN(T_TraitDi[Colonne28]),FALSE)=0,"",TEXT(IFERROR(VLOOKUP(T_Convention[[#This Row],[NumL]],T_TraitDi[#Data],COLUMN(T_TraitDi[Colonne28]),FALSE),""),"[hh]:mm"))</f>
        <v>12:30</v>
      </c>
      <c r="BE294" s="284" t="str">
        <f>IFERROR(VLOOKUP(T_Convention[[#This Row],[NumL]],T_TraitDi[#Data],COLUMN(T_TraitDi[Colonne29]),FALSE),"")</f>
        <v>A</v>
      </c>
      <c r="BF294" s="284" t="str">
        <f>IF(VLOOKUP(T_Convention[[#This Row],[NumL]],T_TraitDi[#Data],COLUMN(T_TraitDi[Colonne30]),FALSE)=0,"",TEXT(IFERROR(VLOOKUP(T_Convention[[#This Row],[NumL]],T_TraitDi[#Data],COLUMN(T_TraitDi[Colonne30]),FALSE),""),"[hh]:mm"))</f>
        <v/>
      </c>
      <c r="BG294" s="284" t="str">
        <f>IF(VLOOKUP(T_Convention[[#This Row],[NumL]],T_TraitDi[#Data],COLUMN(T_TraitDi[Colonne31]),FALSE)=0,"",TEXT(IFERROR(VLOOKUP(T_Convention[[#This Row],[NumL]],T_TraitDi[#Data],COLUMN(T_TraitDi[Colonne31]),FALSE),""),"[hh]:mm"))</f>
        <v/>
      </c>
      <c r="BH294" s="284" t="str">
        <f>IF(VLOOKUP(T_Convention[[#This Row],[NumL]],T_TraitDi[#Data],COLUMN(T_TraitDi[Colonne32]),FALSE)=0,"",TEXT(IFERROR(VLOOKUP(T_Convention[[#This Row],[NumL]],T_TraitDi[#Data],COLUMN(T_TraitDi[Colonne32]),FALSE),""),"[hh]:mm"))</f>
        <v>04:30</v>
      </c>
      <c r="BI294" s="284">
        <f>IFERROR(VLOOKUP(T_Convention[[#This Row],[NumL]],T_TraitDi[#Data],COLUMN(T_TraitDi[NbJTW]),FALSE),"")</f>
        <v>1.5</v>
      </c>
      <c r="BJ294" s="284" t="str">
        <f>IF(VLOOKUP(T_Convention[[#This Row],[NumL]],T_TraitDi[#Data],COLUMN(T_TraitDi[NbhTW]),FALSE)=0,"",TEXT(IFERROR(VLOOKUP(T_Convention[[#This Row],[NumL]],T_TraitDi[#Data],COLUMN(T_TraitDi[NbhTW]),FALSE),""),"[hh]:mm"))</f>
        <v>12:30</v>
      </c>
      <c r="BK294" s="286" t="str">
        <f>IF(VLOOKUP(T_Convention[[#This Row],[NumL]],T_TraitDi[#Data],COLUMN(T_TraitDi[Nbhheb]),FALSE)=0,"",TEXT(IFERROR(VLOOKUP(T_Convention[[#This Row],[NumL]],T_TraitDi[#Data],COLUMN(T_TraitDi[Nbhheb]),FALSE),""),"[hh]:mm"))</f>
        <v>37:05</v>
      </c>
      <c r="BL294" s="287" t="str">
        <f>IFERROR(VLOOKUP(VLOOKUP(T_Convention[[#This Row],[NumL]],T_TraitDi[#Data],COLUMN(T_TraitDi[Type1]),FALSE),TypeTW,2,FALSE),"")</f>
        <v>son domicile (lieu de résidence habituelle du télétravailleur)</v>
      </c>
      <c r="BM294" s="288" t="str">
        <f>IFERROR(VLOOKUP(T_Convention[[#This Row],[NumL]],T_TraitDi[#Data],COLUMN(T_TraitDi[Rue1]),FALSE),"")</f>
        <v>11 rue Domrémy</v>
      </c>
      <c r="BN294" s="289" t="str">
        <f>IFERROR(VLOOKUP(T_Convention[[#This Row],[NumL]],T_TraitDi[#Data],COLUMN(T_TraitDi[CP1]),FALSE),"")</f>
        <v>69003</v>
      </c>
      <c r="BO294" s="282" t="str">
        <f>IFERROR(VLOOKUP(T_Convention[[#This Row],[NumL]],T_TraitDi[#Data],COLUMN(T_TraitDi[VILLE1]),FALSE),"")</f>
        <v>LYON</v>
      </c>
      <c r="BP294" s="290" t="str">
        <f>IFERROR(VLOOKUP(VLOOKUP(T_Convention[[#This Row],[NumL]],T_TraitDi[#Data],COLUMN(T_TraitDi[Type2]),FALSE),TypeTW,2,FALSE),"")</f>
        <v/>
      </c>
      <c r="BQ294" s="182" t="str">
        <f>IFERROR(VLOOKUP(T_Convention[[#This Row],[NumL]],T_TraitDi[#Data],COLUMN(T_TraitDi[Rue2]),FALSE),"")</f>
        <v>Sans objet</v>
      </c>
      <c r="BR294" s="173" t="str">
        <f>IFERROR(VLOOKUP(T_Convention[[#This Row],[NumL]],T_TraitDi[#Data],COLUMN(T_TraitDi[CP2]),FALSE),"")</f>
        <v xml:space="preserve"> </v>
      </c>
      <c r="BS294" s="173" t="str">
        <f>IFERROR(VLOOKUP(T_Convention[[#This Row],[NumL]],T_TraitDi[#Data],COLUMN(T_TraitDi[VILLE2]),FALSE),"")</f>
        <v xml:space="preserve">  </v>
      </c>
      <c r="BT294" s="182" t="str">
        <f>IF(VLOOKUP(T_Convention[[#This Row],[NumL]],T_Equipement[#Data],COLUMN(T_Equipement[PC]),FALSE)="","Aucun équipement spécifique directement lié au télétravail",VLOOKUP(T_Convention[[#This Row],[NumL]],T_Equipement[#Data],COLUMN(T_Equipement[PC]),FALSE))</f>
        <v>16-148</v>
      </c>
      <c r="BU294" s="166" t="str">
        <f>IFERROR(IF(VLOOKUP(T_Convention[[#This Row],[NumL]],T_TraitDi[#Data],COLUMN(T_TraitDi[Plan]),FALSE)="OK","Un planning spécifique de télétravail est annexé à la présente convention.",""),"")</f>
        <v/>
      </c>
      <c r="BV294" s="185" t="s">
        <v>3381</v>
      </c>
      <c r="BW294" s="164" t="str">
        <f>IF(VLOOKUP(T_Convention[[#This Row],[NumL]],T_suiviDi[#Data],COLUMN(T_suiviDi[Entité]),FALSE)="","",VLOOKUP(T_Convention[[#This Row],[NumL]],T_suiviDi[#Data],COLUMN(T_suiviDi[Entité]),FALSE))</f>
        <v>IUT</v>
      </c>
      <c r="BX294" s="164" t="str">
        <f>IF(VLOOKUP(T_Convention[[#This Row],[NumL]],T_Commission[#Data],COLUMN(T_Commission[envoi confirm TW]),FALSE)="","",VLOOKUP(T_Convention[[#This Row],[NumL]],T_Commission[#Data],COLUMN(T_Commission[envoi confirm TW]),FALSE))</f>
        <v>Oui</v>
      </c>
      <c r="BY29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4" s="264">
        <f>VLOOKUP(T_Convention[[#This Row],[NumL]],T_Commission[#Data],COLUMN(T_Commission[Commentaire]),FALSE)</f>
        <v>0</v>
      </c>
      <c r="CA294" s="254" t="str">
        <f>IF(VLOOKUP(T_Convention[[#This Row],[NumL]],T_Commission[#Data],COLUMN(T_Commission[Encadrant Email]),FALSE)="","",VLOOKUP(T_Convention[[#This Row],[NumL]],T_Commission[#Data],COLUMN(T_Commission[Encadrant Email]),FALSE))</f>
        <v/>
      </c>
      <c r="CB294" s="352">
        <f>VLOOKUP(T_Convention[[#This Row],[NumL]],T_TraitDi[#Data],COLUMN(T_TraitDi[NbJTot]),FALSE)</f>
        <v>4.5</v>
      </c>
      <c r="CC294" s="352" t="str">
        <f>VLOOKUP(T_Convention[[#This Row],[NumL]],T_TraitDi[#Data],COLUMN(T_TraitDi[Reg Ponct]),FALSE)</f>
        <v>R</v>
      </c>
      <c r="CD294" s="348" t="str">
        <f>IF(T_Convention[[#This Row],[Final]]&lt;&gt;"",VLOOKUP(T_Convention[[#This Row],[NumL]],T_suiviDi[#Data],COLUMN((T_suiviDi[Statut])),FALSE),"")</f>
        <v/>
      </c>
    </row>
    <row r="295" spans="1:82" s="50" customFormat="1" ht="18.75" customHeight="1" x14ac:dyDescent="0.25">
      <c r="A295" s="160">
        <v>264</v>
      </c>
      <c r="B295" s="161">
        <f>VLOOKUP(T_Convention[[#This Row],[NumL]],T_Commission[#Data],COLUMN(T_Commission[FINAL]),FALSE)</f>
        <v>1</v>
      </c>
      <c r="C295" s="162"/>
      <c r="D295" s="95" t="str">
        <f>IF(VLOOKUP(T_Convention[[#This Row],[NumL]],T_TraitDi[#Data],COLUMN(T_TraitDi[WebC]),FALSE)="","",VLOOKUP(T_Convention[[#This Row],[NumL]],T_TraitDi[#Data],COLUMN(T_TraitDi[WebC]),FALSE))</f>
        <v>WG</v>
      </c>
      <c r="E295" s="163" t="str">
        <f t="shared" si="20"/>
        <v>12 janvier 2021</v>
      </c>
      <c r="F295" s="282" t="str">
        <f>IF(T_Convention[[#This Row],[Final]]&lt;&gt;"",VLOOKUP(T_Convention[[#This Row],[NumL]],T_suiviDi[#Data],COLUMN((T_suiviDi[Civ.])),FALSE),"")</f>
        <v>Mme</v>
      </c>
      <c r="G295" s="283" t="str">
        <f>IF(T_Convention[[#This Row],[Final]]&lt;&gt;"",VLOOKUP(T_Convention[[#This Row],[NumL]],T_suiviDi[#Data],COLUMN((T_suiviDi[Nom])),FALSE),"")</f>
        <v>A</v>
      </c>
      <c r="H295" s="282" t="str">
        <f>IF(T_Convention[[#This Row],[Final]]&lt;&gt;"",VLOOKUP(T_Convention[[#This Row],[NumL]],T_suiviDi[#Data],COLUMN((T_suiviDi[Prénom])),FALSE),"")</f>
        <v>Anne-Sophie</v>
      </c>
      <c r="I295" s="282" t="e">
        <f>VLOOKUP(T_Convention[[#This Row],[NumL]],T_suiviDi[#Data],COLUMN((T_suiviDi[[#This Row],[Email]])),FALSE)</f>
        <v>#VALUE!</v>
      </c>
      <c r="J295" s="282" t="e">
        <f>IF(VLOOKUP(T_Convention[[#This Row],[NumL]],T_suiviDi[#Data],COLUMN(T_suiviDi[[#This Row],[Fonction]]),FALSE)="","",VLOOKUP(T_Convention[[#This Row],[NumL]],T_suiviDi[#Data],COLUMN(T_suiviDi[[#This Row],[Fonction]]),FALSE))</f>
        <v>#VALUE!</v>
      </c>
      <c r="K295" s="282" t="e">
        <f>IF(VLOOKUP(T_Convention[[#This Row],[NumL]],T_suiviDi[#Data],COLUMN(T_suiviDi[[#This Row],[Grade]]),FALSE)="","",VLOOKUP(T_Convention[[#This Row],[NumL]],T_suiviDi[#Data],COLUMN(T_suiviDi[[#This Row],[Grade]]),FALSE))</f>
        <v>#VALUE!</v>
      </c>
      <c r="L295" s="282" t="e">
        <f>IF(VLOOKUP(T_Convention[[#This Row],[NumL]],T_suiviDi[#Data],COLUMN(T_suiviDi[[#This Row],[Service ]]),FALSE)="","",VLOOKUP(T_Convention[[#This Row],[NumL]],T_suiviDi[#Data],COLUMN(T_suiviDi[[#This Row],[Service ]]),FALSE))</f>
        <v>#VALUE!</v>
      </c>
      <c r="M295" s="164" t="str">
        <f t="shared" si="21"/>
        <v>01 septembre 2021</v>
      </c>
      <c r="N295" s="164" t="str">
        <f t="shared" si="22"/>
        <v>30 novembre 2021</v>
      </c>
      <c r="O295" s="284" t="str">
        <f t="shared" si="23"/>
        <v>30 novembre 2021</v>
      </c>
      <c r="P295" s="282" t="str">
        <f>IF(VLOOKUP(T_Convention[[#This Row],[NumL]],T_TraitDi[#Data],COLUMN(T_TraitDi[M1]),FALSE)="","",VLOOKUP(T_Convention[[#This Row],[NumL]],T_TraitDi[#Data],COLUMN(T_TraitDi[M1]),FALSE))</f>
        <v/>
      </c>
      <c r="Q295" s="282" t="str">
        <f>IF(VLOOKUP(T_Convention[[#This Row],[NumL]],T_TraitDi[#Data],COLUMN(T_TraitDi[M2]),FALSE)="","",VLOOKUP(T_Convention[[#This Row],[NumL]],T_TraitDi[#Data],COLUMN(T_TraitDi[M2]),FALSE))</f>
        <v/>
      </c>
      <c r="R295" s="282" t="str">
        <f>IF(VLOOKUP(T_Convention[[#This Row],[NumL]],T_TraitDi[#Data],COLUMN(T_TraitDi[M3]),FALSE)="","",VLOOKUP(T_Convention[[#This Row],[NumL]],T_TraitDi[#Data],COLUMN(T_TraitDi[M3]),FALSE))</f>
        <v/>
      </c>
      <c r="S295" s="282" t="str">
        <f>IF(VLOOKUP(T_Convention[[#This Row],[NumL]],T_TraitDi[#Data],COLUMN(T_TraitDi[M4]),FALSE)="","",VLOOKUP(T_Convention[[#This Row],[NumL]],T_TraitDi[#Data],COLUMN(T_TraitDi[M4]),FALSE))</f>
        <v/>
      </c>
      <c r="T295" s="282" t="str">
        <f>IF(VLOOKUP(T_Convention[[#This Row],[NumL]],T_TraitDi[#Data],COLUMN(T_TraitDi[M5]),FALSE)="","",VLOOKUP(T_Convention[[#This Row],[NumL]],T_TraitDi[#Data],COLUMN(T_TraitDi[M5]),FALSE))</f>
        <v/>
      </c>
      <c r="U295" s="282" t="str">
        <f>IF(VLOOKUP(T_Convention[[#This Row],[NumL]],T_TraitDi[#Data],COLUMN(T_TraitDi[M6]),FALSE)="","",VLOOKUP(T_Convention[[#This Row],[NumL]],T_TraitDi[#Data],COLUMN(T_TraitDi[M6]),FALSE))</f>
        <v/>
      </c>
      <c r="V295" s="176" t="str">
        <f t="shared" si="24"/>
        <v/>
      </c>
      <c r="W295" s="284" t="str">
        <f>IFERROR(TEXT(VLOOKUP(T_Convention[[#This Row],[NumL]],T_TraitDi[#Data],COLUMN(T_TraitDi[Q2]),FALSE),"###%"),"")</f>
        <v>100%</v>
      </c>
      <c r="X295" s="97" t="str">
        <f>VLOOKUP(T_Convention[[#This Row],[NumL]],T_TraitDi[#Data],COLUMN(T_TraitDi[Reg Ponct]),FALSE)</f>
        <v>P</v>
      </c>
      <c r="Y295" s="97">
        <f>VLOOKUP(T_Convention[NumL],T_TraitDi[#Data],COLUMN(T_TraitDi[Jours flottants]),FALSE)</f>
        <v>20</v>
      </c>
      <c r="Z295" s="284">
        <f>IFERROR(VLOOKUP(T_Convention[[#This Row],[NumL]],T_TraitDi[#Data],COLUMN(T_TraitDi[Lundi]),FALSE),"")</f>
        <v>0</v>
      </c>
      <c r="AA295" s="284" t="str">
        <f>IF(VLOOKUP(T_Convention[[#This Row],[NumL]],T_TraitDi[#Data],COLUMN(T_TraitDi[Colonne3]),FALSE)=0,"",TEXT(IFERROR(VLOOKUP(T_Convention[[#This Row],[NumL]],T_TraitDi[#Data],COLUMN(T_TraitDi[Colonne3]),FALSE),""),"[hh]:mm"))</f>
        <v/>
      </c>
      <c r="AB295" s="284" t="str">
        <f>IF(VLOOKUP(T_Convention[[#This Row],[NumL]],T_TraitDi[#Data],COLUMN(T_TraitDi[Colonne4]),FALSE)=0,"",TEXT(IFERROR(VLOOKUP(T_Convention[[#This Row],[NumL]],T_TraitDi[#Data],COLUMN(T_TraitDi[Colonne4]),FALSE),""),"[hh]:mm"))</f>
        <v/>
      </c>
      <c r="AC295" s="284" t="str">
        <f>IF(VLOOKUP(T_Convention[[#This Row],[NumL]],T_TraitDi[#Data],COLUMN(T_TraitDi[Colonne5]),FALSE)=0,"",TEXT(IFERROR(VLOOKUP(T_Convention[[#This Row],[NumL]],T_TraitDi[#Data],COLUMN(T_TraitDi[Colonne5]),FALSE),""),"[hh]:mm"))</f>
        <v/>
      </c>
      <c r="AD295" s="284" t="str">
        <f>IF(VLOOKUP(T_Convention[[#This Row],[NumL]],T_TraitDi[#Data],COLUMN(T_TraitDi[Colonne6]),FALSE)=0,"",TEXT(IFERROR(VLOOKUP(T_Convention[[#This Row],[NumL]],T_TraitDi[#Data],COLUMN(T_TraitDi[Colonne6]),FALSE),""),"[hh]:mm"))</f>
        <v/>
      </c>
      <c r="AE295" s="284" t="str">
        <f>IF(VLOOKUP(T_Convention[[#This Row],[NumL]],T_TraitDi[#Data],COLUMN(T_TraitDi[Colonne7]),FALSE)=0,"",TEXT(IFERROR(VLOOKUP(T_Convention[[#This Row],[NumL]],T_TraitDi[#Data],COLUMN(T_TraitDi[Colonne7]),FALSE),""),"[hh]:mm"))</f>
        <v/>
      </c>
      <c r="AF295" s="284" t="str">
        <f>IF(VLOOKUP(T_Convention[[#This Row],[NumL]],T_TraitDi[#Data],COLUMN(T_TraitDi[Colonne8]),FALSE)=0,"",TEXT(IFERROR(VLOOKUP(T_Convention[[#This Row],[NumL]],T_TraitDi[#Data],COLUMN(T_TraitDi[Colonne8]),FALSE),""),"[hh]:mm"))</f>
        <v/>
      </c>
      <c r="AG295" s="284">
        <f>IFERROR(VLOOKUP(T_Convention[[#This Row],[NumL]],T_TraitDi[#Data],COLUMN(T_TraitDi[Mardi]),FALSE),"")</f>
        <v>0</v>
      </c>
      <c r="AH295" s="284" t="str">
        <f>IF(VLOOKUP(T_Convention[[#This Row],[NumL]],T_TraitDi[#Data],COLUMN(T_TraitDi[Colonne1]),FALSE)=0,"",TEXT(IFERROR(VLOOKUP(T_Convention[[#This Row],[NumL]],T_TraitDi[#Data],COLUMN(T_TraitDi[Colonne1]),FALSE),""),"[hh]:mm"))</f>
        <v/>
      </c>
      <c r="AI295" s="284" t="str">
        <f>IF(VLOOKUP(T_Convention[[#This Row],[NumL]],T_TraitDi[#Data],COLUMN(T_TraitDi[Colonne9]),FALSE)=0,"",TEXT(IFERROR(VLOOKUP(T_Convention[[#This Row],[NumL]],T_TraitDi[#Data],COLUMN(T_TraitDi[Colonne9]),FALSE),""),"[hh]:mm"))</f>
        <v/>
      </c>
      <c r="AJ295" s="284">
        <f>IFERROR(VLOOKUP(T_Convention[[#This Row],[NumL]],T_TraitDi[#Data],COLUMN(T_TraitDi[Colonne10]),FALSE),"")</f>
        <v>0</v>
      </c>
      <c r="AK295" s="284" t="str">
        <f>IF(VLOOKUP(T_Convention[[#This Row],[NumL]],T_TraitDi[#Data],COLUMN(T_TraitDi[Colonne11]),FALSE)=0,"",TEXT(IFERROR(VLOOKUP(T_Convention[[#This Row],[NumL]],T_TraitDi[#Data],COLUMN(T_TraitDi[Colonne11]),FALSE),""),"[hh]:mm"))</f>
        <v/>
      </c>
      <c r="AL295" s="284" t="str">
        <f>IF(VLOOKUP(T_Convention[[#This Row],[NumL]],T_TraitDi[#Data],COLUMN(T_TraitDi[Colonne12]),FALSE)=0,"",TEXT(IFERROR(VLOOKUP(T_Convention[[#This Row],[NumL]],T_TraitDi[#Data],COLUMN(T_TraitDi[Colonne12]),FALSE),""),"[hh]:mm"))</f>
        <v/>
      </c>
      <c r="AM295" s="284" t="str">
        <f>IF(VLOOKUP(T_Convention[[#This Row],[NumL]],T_TraitDi[#Data],COLUMN(T_TraitDi[Colonne14]),FALSE)=0,"",TEXT(IFERROR(VLOOKUP(T_Convention[[#This Row],[NumL]],T_TraitDi[#Data],COLUMN(T_TraitDi[Colonne14]),FALSE),""),"[hh]:mm"))</f>
        <v/>
      </c>
      <c r="AN295" s="284">
        <f>IFERROR(VLOOKUP(T_Convention[[#This Row],[NumL]],T_TraitDi[#Data],COLUMN(T_TraitDi[Mercredi]),FALSE),"")</f>
        <v>0</v>
      </c>
      <c r="AO295" s="284" t="str">
        <f>IF(VLOOKUP(T_Convention[[#This Row],[NumL]],T_TraitDi[#Data],COLUMN(T_TraitDi[Colonne15]),FALSE)=0,"",TEXT(IFERROR(VLOOKUP(T_Convention[[#This Row],[NumL]],T_TraitDi[#Data],COLUMN(T_TraitDi[Colonne15]),FALSE),""),"[hh]:mm"))</f>
        <v/>
      </c>
      <c r="AP295" s="284" t="str">
        <f>IF(VLOOKUP(T_Convention[[#This Row],[NumL]],T_TraitDi[#Data],COLUMN(T_TraitDi[Colonne16]),FALSE)=0,"",TEXT(IFERROR(VLOOKUP(T_Convention[[#This Row],[NumL]],T_TraitDi[#Data],COLUMN(T_TraitDi[Colonne16]),FALSE),""),"[hh]:mm"))</f>
        <v/>
      </c>
      <c r="AQ295" s="284">
        <f>IFERROR(VLOOKUP(T_Convention[[#This Row],[NumL]],T_TraitDi[#Data],COLUMN(T_TraitDi[Colonne17]),FALSE),"")</f>
        <v>0</v>
      </c>
      <c r="AR295" s="284" t="str">
        <f>IF(VLOOKUP(T_Convention[[#This Row],[NumL]],T_TraitDi[#Data],COLUMN(T_TraitDi[Colonne18]),FALSE)=0,"",TEXT(IFERROR(VLOOKUP(T_Convention[[#This Row],[NumL]],T_TraitDi[#Data],COLUMN(T_TraitDi[Colonne18]),FALSE),""),"[hh]:mm"))</f>
        <v/>
      </c>
      <c r="AS295" s="284" t="str">
        <f>IF(VLOOKUP(T_Convention[[#This Row],[NumL]],T_TraitDi[#Data],COLUMN(T_TraitDi[Colonne19]),FALSE)=0,"",TEXT(IFERROR(VLOOKUP(T_Convention[[#This Row],[NumL]],T_TraitDi[#Data],COLUMN(T_TraitDi[Colonne19]),FALSE),""),"[hh]:mm"))</f>
        <v/>
      </c>
      <c r="AT295" s="284" t="str">
        <f>IF(VLOOKUP(T_Convention[[#This Row],[NumL]],T_TraitDi[#Data],COLUMN(T_TraitDi[Colonne20]),FALSE)=0,"",TEXT(IFERROR(VLOOKUP(T_Convention[[#This Row],[NumL]],T_TraitDi[#Data],COLUMN(T_TraitDi[Colonne20]),FALSE),""),"[hh]:mm"))</f>
        <v/>
      </c>
      <c r="AU295" s="284">
        <f>IFERROR(VLOOKUP(T_Convention[[#This Row],[NumL]],T_TraitDi[#Data],COLUMN(T_TraitDi[Jeudi]),FALSE),"")</f>
        <v>0</v>
      </c>
      <c r="AV295" s="284" t="str">
        <f>IF(VLOOKUP(T_Convention[[#This Row],[NumL]],T_TraitDi[#Data],COLUMN(T_TraitDi[Colonne21]),FALSE)=0,"",TEXT(IFERROR(VLOOKUP(T_Convention[[#This Row],[NumL]],T_TraitDi[#Data],COLUMN(T_TraitDi[Colonne21]),FALSE),""),"[hh]:mm"))</f>
        <v/>
      </c>
      <c r="AW295" s="284" t="str">
        <f>IF(VLOOKUP(T_Convention[[#This Row],[NumL]],T_TraitDi[#Data],COLUMN(T_TraitDi[Colonne22]),FALSE)=0,"",TEXT(IFERROR(VLOOKUP(T_Convention[[#This Row],[NumL]],T_TraitDi[#Data],COLUMN(T_TraitDi[Colonne22]),FALSE),""),"[hh]:mm"))</f>
        <v/>
      </c>
      <c r="AX295" s="284">
        <f>IFERROR(VLOOKUP(T_Convention[[#This Row],[NumL]],T_TraitDi[#Data],COLUMN(T_TraitDi[Colonne23]),FALSE),"")</f>
        <v>0</v>
      </c>
      <c r="AY295" s="284" t="str">
        <f>IF(VLOOKUP(T_Convention[[#This Row],[NumL]],T_TraitDi[#Data],COLUMN(T_TraitDi[Colonne24]),FALSE)=0,"",TEXT(IFERROR(VLOOKUP(T_Convention[[#This Row],[NumL]],T_TraitDi[#Data],COLUMN(T_TraitDi[Colonne24]),FALSE),""),"[hh]:mm"))</f>
        <v/>
      </c>
      <c r="AZ295" s="284" t="str">
        <f>IF(VLOOKUP(T_Convention[[#This Row],[NumL]],T_TraitDi[#Data],COLUMN(T_TraitDi[Colonne25]),FALSE)=0,"",TEXT(IFERROR(VLOOKUP(T_Convention[[#This Row],[NumL]],T_TraitDi[#Data],COLUMN(T_TraitDi[Colonne25]),FALSE),""),"[hh]:mm"))</f>
        <v/>
      </c>
      <c r="BA295" s="284" t="str">
        <f>IF(VLOOKUP(T_Convention[[#This Row],[NumL]],T_TraitDi[#Data],COLUMN(T_TraitDi[Colonne26]),FALSE)=0,"",TEXT(IFERROR(VLOOKUP(T_Convention[[#This Row],[NumL]],T_TraitDi[#Data],COLUMN(T_TraitDi[Colonne26]),FALSE),""),"[hh]:mm"))</f>
        <v/>
      </c>
      <c r="BB295" s="284">
        <f>IFERROR(VLOOKUP(T_Convention[[#This Row],[NumL]],T_TraitDi[#Data],COLUMN(T_TraitDi[Vendredi]),FALSE),"")</f>
        <v>0</v>
      </c>
      <c r="BC295" s="284" t="str">
        <f>IF(VLOOKUP(T_Convention[[#This Row],[NumL]],T_TraitDi[#Data],COLUMN(T_TraitDi[Colonne27]),FALSE)=0,"",TEXT(IFERROR(VLOOKUP(T_Convention[[#This Row],[NumL]],T_TraitDi[#Data],COLUMN(T_TraitDi[Colonne27]),FALSE),""),"[hh]:mm"))</f>
        <v/>
      </c>
      <c r="BD295" s="284" t="str">
        <f>IF(VLOOKUP(T_Convention[[#This Row],[NumL]],T_TraitDi[#Data],COLUMN(T_TraitDi[Colonne28]),FALSE)=0,"",TEXT(IFERROR(VLOOKUP(T_Convention[[#This Row],[NumL]],T_TraitDi[#Data],COLUMN(T_TraitDi[Colonne28]),FALSE),""),"[hh]:mm"))</f>
        <v/>
      </c>
      <c r="BE295" s="284">
        <f>IFERROR(VLOOKUP(T_Convention[[#This Row],[NumL]],T_TraitDi[#Data],COLUMN(T_TraitDi[Colonne29]),FALSE),"")</f>
        <v>0</v>
      </c>
      <c r="BF295" s="284" t="str">
        <f>IF(VLOOKUP(T_Convention[[#This Row],[NumL]],T_TraitDi[#Data],COLUMN(T_TraitDi[Colonne30]),FALSE)=0,"",TEXT(IFERROR(VLOOKUP(T_Convention[[#This Row],[NumL]],T_TraitDi[#Data],COLUMN(T_TraitDi[Colonne30]),FALSE),""),"[hh]:mm"))</f>
        <v/>
      </c>
      <c r="BG295" s="284" t="str">
        <f>IF(VLOOKUP(T_Convention[[#This Row],[NumL]],T_TraitDi[#Data],COLUMN(T_TraitDi[Colonne31]),FALSE)=0,"",TEXT(IFERROR(VLOOKUP(T_Convention[[#This Row],[NumL]],T_TraitDi[#Data],COLUMN(T_TraitDi[Colonne31]),FALSE),""),"[hh]:mm"))</f>
        <v/>
      </c>
      <c r="BH295" s="284" t="str">
        <f>IF(VLOOKUP(T_Convention[[#This Row],[NumL]],T_TraitDi[#Data],COLUMN(T_TraitDi[Colonne32]),FALSE)=0,"",TEXT(IFERROR(VLOOKUP(T_Convention[[#This Row],[NumL]],T_TraitDi[#Data],COLUMN(T_TraitDi[Colonne32]),FALSE),""),"[hh]:mm"))</f>
        <v/>
      </c>
      <c r="BI295" s="284" t="str">
        <f>IFERROR(VLOOKUP(T_Convention[[#This Row],[NumL]],T_TraitDi[#Data],COLUMN(T_TraitDi[NbJTW]),FALSE),"")</f>
        <v/>
      </c>
      <c r="BJ295" s="284" t="str">
        <f>IF(VLOOKUP(T_Convention[[#This Row],[NumL]],T_TraitDi[#Data],COLUMN(T_TraitDi[NbhTW]),FALSE)=0,"",TEXT(IFERROR(VLOOKUP(T_Convention[[#This Row],[NumL]],T_TraitDi[#Data],COLUMN(T_TraitDi[NbhTW]),FALSE),""),"[hh]:mm"))</f>
        <v/>
      </c>
      <c r="BK295" s="286" t="str">
        <f>IF(VLOOKUP(T_Convention[[#This Row],[NumL]],T_TraitDi[#Data],COLUMN(T_TraitDi[Nbhheb]),FALSE)=0,"",TEXT(IFERROR(VLOOKUP(T_Convention[[#This Row],[NumL]],T_TraitDi[#Data],COLUMN(T_TraitDi[Nbhheb]),FALSE),""),"[hh]:mm"))</f>
        <v/>
      </c>
      <c r="BL295" s="287" t="str">
        <f>IFERROR(VLOOKUP(VLOOKUP(T_Convention[[#This Row],[NumL]],T_TraitDi[#Data],COLUMN(T_TraitDi[Type1]),FALSE),TypeTW,2,FALSE),"")</f>
        <v>son domicile (lieu de résidence habituelle du télétravailleur)</v>
      </c>
      <c r="BM295" s="288" t="str">
        <f>IFERROR(VLOOKUP(T_Convention[[#This Row],[NumL]],T_TraitDi[#Data],COLUMN(T_TraitDi[Rue1]),FALSE),"")</f>
        <v>6 allée du parc</v>
      </c>
      <c r="BN295" s="289" t="str">
        <f>IFERROR(VLOOKUP(T_Convention[[#This Row],[NumL]],T_TraitDi[#Data],COLUMN(T_TraitDi[CP1]),FALSE),"")</f>
        <v>69003</v>
      </c>
      <c r="BO295" s="282" t="str">
        <f>IFERROR(VLOOKUP(T_Convention[[#This Row],[NumL]],T_TraitDi[#Data],COLUMN(T_TraitDi[VILLE1]),FALSE),"")</f>
        <v>LYON</v>
      </c>
      <c r="BP295" s="290" t="str">
        <f>IFERROR(VLOOKUP(VLOOKUP(T_Convention[[#This Row],[NumL]],T_TraitDi[#Data],COLUMN(T_TraitDi[Type2]),FALSE),TypeTW,2,FALSE),"")</f>
        <v/>
      </c>
      <c r="BQ295" s="182" t="str">
        <f>IFERROR(VLOOKUP(T_Convention[[#This Row],[NumL]],T_TraitDi[#Data],COLUMN(T_TraitDi[Rue2]),FALSE),"")</f>
        <v>Sans objet</v>
      </c>
      <c r="BR295" s="173" t="str">
        <f>IFERROR(VLOOKUP(T_Convention[[#This Row],[NumL]],T_TraitDi[#Data],COLUMN(T_TraitDi[CP2]),FALSE),"")</f>
        <v xml:space="preserve"> </v>
      </c>
      <c r="BS295" s="173" t="str">
        <f>IFERROR(VLOOKUP(T_Convention[[#This Row],[NumL]],T_TraitDi[#Data],COLUMN(T_TraitDi[VILLE2]),FALSE),"")</f>
        <v xml:space="preserve">  </v>
      </c>
      <c r="BT295" s="182" t="str">
        <f>IF(VLOOKUP(T_Convention[[#This Row],[NumL]],T_Equipement[#Data],COLUMN(T_Equipement[PC]),FALSE)="","Aucun équipement spécifique directement lié au télétravail",VLOOKUP(T_Convention[[#This Row],[NumL]],T_Equipement[#Data],COLUMN(T_Equipement[PC]),FALSE))</f>
        <v>20-629</v>
      </c>
      <c r="BU295" s="166" t="str">
        <f>IFERROR(IF(VLOOKUP(T_Convention[[#This Row],[NumL]],T_TraitDi[#Data],COLUMN(T_TraitDi[Plan]),FALSE)="OK","Un planning spécifique de télétravail est annexé à la présente convention.",""),"")</f>
        <v/>
      </c>
      <c r="BV295" s="185"/>
      <c r="BW295" s="164" t="str">
        <f>IF(VLOOKUP(T_Convention[[#This Row],[NumL]],T_suiviDi[#Data],COLUMN(T_suiviDi[Entité]),FALSE)="","",VLOOKUP(T_Convention[[#This Row],[NumL]],T_suiviDi[#Data],COLUMN(T_suiviDi[Entité]),FALSE))</f>
        <v>IAE</v>
      </c>
      <c r="BX295" s="164" t="str">
        <f>IF(VLOOKUP(T_Convention[[#This Row],[NumL]],T_Commission[#Data],COLUMN(T_Commission[envoi confirm TW]),FALSE)="","",VLOOKUP(T_Convention[[#This Row],[NumL]],T_Commission[#Data],COLUMN(T_Commission[envoi confirm TW]),FALSE))</f>
        <v>Oui</v>
      </c>
      <c r="BY29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5" s="264">
        <f>VLOOKUP(T_Convention[[#This Row],[NumL]],T_Commission[#Data],COLUMN(T_Commission[Commentaire]),FALSE)</f>
        <v>0</v>
      </c>
      <c r="CA295" s="254" t="str">
        <f>IF(VLOOKUP(T_Convention[[#This Row],[NumL]],T_Commission[#Data],COLUMN(T_Commission[Encadrant Email]),FALSE)="","",VLOOKUP(T_Convention[[#This Row],[NumL]],T_Commission[#Data],COLUMN(T_Commission[Encadrant Email]),FALSE))</f>
        <v/>
      </c>
      <c r="CB295" s="352" t="str">
        <f>VLOOKUP(T_Convention[[#This Row],[NumL]],T_TraitDi[#Data],COLUMN(T_TraitDi[NbJTot]),FALSE)</f>
        <v/>
      </c>
      <c r="CC295" s="352" t="str">
        <f>VLOOKUP(T_Convention[[#This Row],[NumL]],T_TraitDi[#Data],COLUMN(T_TraitDi[Reg Ponct]),FALSE)</f>
        <v>P</v>
      </c>
      <c r="CD295" s="348" t="str">
        <f>IF(T_Convention[[#This Row],[Final]]&lt;&gt;"",VLOOKUP(T_Convention[[#This Row],[NumL]],T_suiviDi[#Data],COLUMN((T_suiviDi[Statut])),FALSE),"")</f>
        <v>NOUV</v>
      </c>
    </row>
    <row r="296" spans="1:82" s="50" customFormat="1" ht="18.75" customHeight="1" x14ac:dyDescent="0.25">
      <c r="A296" s="160">
        <v>346</v>
      </c>
      <c r="B296" s="281" t="str">
        <f>VLOOKUP(T_Convention[[#This Row],[NumL]],T_Commission[#Data],COLUMN(T_Commission[FINAL]),FALSE)</f>
        <v/>
      </c>
      <c r="C296" s="162"/>
      <c r="D296" s="95" t="str">
        <f>IF(VLOOKUP(T_Convention[[#This Row],[NumL]],T_TraitDi[#Data],COLUMN(T_TraitDi[WebC]),FALSE)="","",VLOOKUP(T_Convention[[#This Row],[NumL]],T_TraitDi[#Data],COLUMN(T_TraitDi[WebC]),FALSE))</f>
        <v>WG</v>
      </c>
      <c r="E296" s="163" t="str">
        <f t="shared" si="20"/>
        <v>12 janvier 2021</v>
      </c>
      <c r="F296" s="282" t="str">
        <f>IF(T_Convention[[#This Row],[Final]]&lt;&gt;"",VLOOKUP(T_Convention[[#This Row],[NumL]],T_suiviDi[#Data],COLUMN((T_suiviDi[Civ.])),FALSE),"")</f>
        <v/>
      </c>
      <c r="G296" s="283" t="str">
        <f>IF(T_Convention[[#This Row],[Final]]&lt;&gt;"",VLOOKUP(T_Convention[[#This Row],[NumL]],T_suiviDi[#Data],COLUMN((T_suiviDi[Nom])),FALSE),"")</f>
        <v/>
      </c>
      <c r="H296" s="282" t="str">
        <f>IF(T_Convention[[#This Row],[Final]]&lt;&gt;"",VLOOKUP(T_Convention[[#This Row],[NumL]],T_suiviDi[#Data],COLUMN((T_suiviDi[Prénom])),FALSE),"")</f>
        <v/>
      </c>
      <c r="I296" s="282" t="e">
        <f>VLOOKUP(T_Convention[[#This Row],[NumL]],T_suiviDi[#Data],COLUMN((T_suiviDi[[#This Row],[Email]])),FALSE)</f>
        <v>#VALUE!</v>
      </c>
      <c r="J296" s="282" t="e">
        <f>IF(VLOOKUP(T_Convention[[#This Row],[NumL]],T_suiviDi[#Data],COLUMN(T_suiviDi[[#This Row],[Fonction]]),FALSE)="","",VLOOKUP(T_Convention[[#This Row],[NumL]],T_suiviDi[#Data],COLUMN(T_suiviDi[[#This Row],[Fonction]]),FALSE))</f>
        <v>#VALUE!</v>
      </c>
      <c r="K296" s="282" t="e">
        <f>IF(VLOOKUP(T_Convention[[#This Row],[NumL]],T_suiviDi[#Data],COLUMN(T_suiviDi[[#This Row],[Grade]]),FALSE)="","",VLOOKUP(T_Convention[[#This Row],[NumL]],T_suiviDi[#Data],COLUMN(T_suiviDi[[#This Row],[Grade]]),FALSE))</f>
        <v>#VALUE!</v>
      </c>
      <c r="L296" s="282" t="e">
        <f>IF(VLOOKUP(T_Convention[[#This Row],[NumL]],T_suiviDi[#Data],COLUMN(T_suiviDi[[#This Row],[Service ]]),FALSE)="","",VLOOKUP(T_Convention[[#This Row],[NumL]],T_suiviDi[#Data],COLUMN(T_suiviDi[[#This Row],[Service ]]),FALSE))</f>
        <v>#VALUE!</v>
      </c>
      <c r="M296" s="314" t="str">
        <f t="shared" si="21"/>
        <v>01 septembre 2021</v>
      </c>
      <c r="N296" s="314" t="str">
        <f t="shared" si="22"/>
        <v>30 novembre 2021</v>
      </c>
      <c r="O296" s="284" t="str">
        <f t="shared" si="23"/>
        <v>30 novembre 2021</v>
      </c>
      <c r="P296" s="282" t="str">
        <f>IF(VLOOKUP(T_Convention[[#This Row],[NumL]],T_TraitDi[#Data],COLUMN(T_TraitDi[M1]),FALSE)="","",VLOOKUP(T_Convention[[#This Row],[NumL]],T_TraitDi[#Data],COLUMN(T_TraitDi[M1]),FALSE))</f>
        <v>Préparation des plannings des examens</v>
      </c>
      <c r="Q296" s="282" t="str">
        <f>IF(VLOOKUP(T_Convention[[#This Row],[NumL]],T_TraitDi[#Data],COLUMN(T_TraitDi[M2]),FALSE)="","",VLOOKUP(T_Convention[[#This Row],[NumL]],T_TraitDi[#Data],COLUMN(T_TraitDi[M2]),FALSE))</f>
        <v>Mise en TD des étudiants</v>
      </c>
      <c r="R296" s="282" t="str">
        <f>IF(VLOOKUP(T_Convention[[#This Row],[NumL]],T_TraitDi[#Data],COLUMN(T_TraitDi[M3]),FALSE)="","",VLOOKUP(T_Convention[[#This Row],[NumL]],T_TraitDi[#Data],COLUMN(T_TraitDi[M3]),FALSE))</f>
        <v>Saisie des notes de TD et organisation des délibérations</v>
      </c>
      <c r="S296" s="282" t="str">
        <f>IF(VLOOKUP(T_Convention[[#This Row],[NumL]],T_TraitDi[#Data],COLUMN(T_TraitDi[M4]),FALSE)="","",VLOOKUP(T_Convention[[#This Row],[NumL]],T_TraitDi[#Data],COLUMN(T_TraitDi[M4]),FALSE))</f>
        <v>Elaboration des emplois du temps</v>
      </c>
      <c r="T296" s="282" t="str">
        <f>IF(VLOOKUP(T_Convention[[#This Row],[NumL]],T_TraitDi[#Data],COLUMN(T_TraitDi[M5]),FALSE)="","",VLOOKUP(T_Convention[[#This Row],[NumL]],T_TraitDi[#Data],COLUMN(T_TraitDi[M5]),FALSE))</f>
        <v>Divers</v>
      </c>
      <c r="U296" s="282" t="str">
        <f>IF(VLOOKUP(T_Convention[[#This Row],[NumL]],T_TraitDi[#Data],COLUMN(T_TraitDi[M6]),FALSE)="","",VLOOKUP(T_Convention[[#This Row],[NumL]],T_TraitDi[#Data],COLUMN(T_TraitDi[M6]),FALSE))</f>
        <v/>
      </c>
      <c r="V296" s="314" t="str">
        <f t="shared" si="24"/>
        <v>Préparation des plannings des examensMise en TD des étudiantsSaisie des notes de TD et organisation des délibérationsElaboration des emplois du tempsDivers</v>
      </c>
      <c r="W296" s="284" t="str">
        <f>IFERROR(TEXT(VLOOKUP(T_Convention[[#This Row],[NumL]],T_TraitDi[#Data],COLUMN(T_TraitDi[Q2]),FALSE),"###%"),"")</f>
        <v>100%</v>
      </c>
      <c r="X296" s="285" t="str">
        <f>VLOOKUP(T_Convention[[#This Row],[NumL]],T_TraitDi[#Data],COLUMN(T_TraitDi[Reg Ponct]),FALSE)</f>
        <v>R</v>
      </c>
      <c r="Y296" s="285">
        <f>VLOOKUP(T_Convention[NumL],T_TraitDi[#Data],COLUMN(T_TraitDi[Jours flottants]),FALSE)</f>
        <v>10</v>
      </c>
      <c r="Z296" s="284" t="str">
        <f>IFERROR(VLOOKUP(T_Convention[[#This Row],[NumL]],T_TraitDi[#Data],COLUMN(T_TraitDi[Lundi]),FALSE),"")</f>
        <v>S</v>
      </c>
      <c r="AA296" s="284" t="str">
        <f>IF(VLOOKUP(T_Convention[[#This Row],[NumL]],T_TraitDi[#Data],COLUMN(T_TraitDi[Colonne3]),FALSE)=0,"",TEXT(IFERROR(VLOOKUP(T_Convention[[#This Row],[NumL]],T_TraitDi[#Data],COLUMN(T_TraitDi[Colonne3]),FALSE),""),"[hh]:mm"))</f>
        <v>08:30</v>
      </c>
      <c r="AB296" s="284" t="str">
        <f>IF(VLOOKUP(T_Convention[[#This Row],[NumL]],T_TraitDi[#Data],COLUMN(T_TraitDi[Colonne4]),FALSE)=0,"",TEXT(IFERROR(VLOOKUP(T_Convention[[#This Row],[NumL]],T_TraitDi[#Data],COLUMN(T_TraitDi[Colonne4]),FALSE),""),"[hh]:mm"))</f>
        <v>12:00</v>
      </c>
      <c r="AC296" s="284" t="str">
        <f>IF(VLOOKUP(T_Convention[[#This Row],[NumL]],T_TraitDi[#Data],COLUMN(T_TraitDi[Colonne5]),FALSE)=0,"",TEXT(IFERROR(VLOOKUP(T_Convention[[#This Row],[NumL]],T_TraitDi[#Data],COLUMN(T_TraitDi[Colonne5]),FALSE),""),"[hh]:mm"))</f>
        <v>S</v>
      </c>
      <c r="AD296" s="284" t="str">
        <f>IF(VLOOKUP(T_Convention[[#This Row],[NumL]],T_TraitDi[#Data],COLUMN(T_TraitDi[Colonne6]),FALSE)=0,"",TEXT(IFERROR(VLOOKUP(T_Convention[[#This Row],[NumL]],T_TraitDi[#Data],COLUMN(T_TraitDi[Colonne6]),FALSE),""),"[hh]:mm"))</f>
        <v>13:00</v>
      </c>
      <c r="AE296" s="284" t="str">
        <f>IF(VLOOKUP(T_Convention[[#This Row],[NumL]],T_TraitDi[#Data],COLUMN(T_TraitDi[Colonne7]),FALSE)=0,"",TEXT(IFERROR(VLOOKUP(T_Convention[[#This Row],[NumL]],T_TraitDi[#Data],COLUMN(T_TraitDi[Colonne7]),FALSE),""),"[hh]:mm"))</f>
        <v>17:00</v>
      </c>
      <c r="AF296" s="284" t="str">
        <f>IF(VLOOKUP(T_Convention[[#This Row],[NumL]],T_TraitDi[#Data],COLUMN(T_TraitDi[Colonne8]),FALSE)=0,"",TEXT(IFERROR(VLOOKUP(T_Convention[[#This Row],[NumL]],T_TraitDi[#Data],COLUMN(T_TraitDi[Colonne8]),FALSE),""),"[hh]:mm"))</f>
        <v>07:30</v>
      </c>
      <c r="AG296" s="284" t="str">
        <f>IFERROR(VLOOKUP(T_Convention[[#This Row],[NumL]],T_TraitDi[#Data],COLUMN(T_TraitDi[Mardi]),FALSE),"")</f>
        <v>S</v>
      </c>
      <c r="AH296" s="284" t="str">
        <f>IF(VLOOKUP(T_Convention[[#This Row],[NumL]],T_TraitDi[#Data],COLUMN(T_TraitDi[Colonne1]),FALSE)=0,"",TEXT(IFERROR(VLOOKUP(T_Convention[[#This Row],[NumL]],T_TraitDi[#Data],COLUMN(T_TraitDi[Colonne1]),FALSE),""),"[hh]:mm"))</f>
        <v>08:30</v>
      </c>
      <c r="AI296" s="284" t="str">
        <f>IF(VLOOKUP(T_Convention[[#This Row],[NumL]],T_TraitDi[#Data],COLUMN(T_TraitDi[Colonne9]),FALSE)=0,"",TEXT(IFERROR(VLOOKUP(T_Convention[[#This Row],[NumL]],T_TraitDi[#Data],COLUMN(T_TraitDi[Colonne9]),FALSE),""),"[hh]:mm"))</f>
        <v>12:00</v>
      </c>
      <c r="AJ296" s="284" t="str">
        <f>IFERROR(VLOOKUP(T_Convention[[#This Row],[NumL]],T_TraitDi[#Data],COLUMN(T_TraitDi[Colonne10]),FALSE),"")</f>
        <v>S</v>
      </c>
      <c r="AK296" s="284" t="str">
        <f>IF(VLOOKUP(T_Convention[[#This Row],[NumL]],T_TraitDi[#Data],COLUMN(T_TraitDi[Colonne11]),FALSE)=0,"",TEXT(IFERROR(VLOOKUP(T_Convention[[#This Row],[NumL]],T_TraitDi[#Data],COLUMN(T_TraitDi[Colonne11]),FALSE),""),"[hh]:mm"))</f>
        <v>13:00</v>
      </c>
      <c r="AL296" s="284" t="str">
        <f>IF(VLOOKUP(T_Convention[[#This Row],[NumL]],T_TraitDi[#Data],COLUMN(T_TraitDi[Colonne12]),FALSE)=0,"",TEXT(IFERROR(VLOOKUP(T_Convention[[#This Row],[NumL]],T_TraitDi[#Data],COLUMN(T_TraitDi[Colonne12]),FALSE),""),"[hh]:mm"))</f>
        <v>17:00</v>
      </c>
      <c r="AM296" s="284" t="str">
        <f>IF(VLOOKUP(T_Convention[[#This Row],[NumL]],T_TraitDi[#Data],COLUMN(T_TraitDi[Colonne14]),FALSE)=0,"",TEXT(IFERROR(VLOOKUP(T_Convention[[#This Row],[NumL]],T_TraitDi[#Data],COLUMN(T_TraitDi[Colonne14]),FALSE),""),"[hh]:mm"))</f>
        <v>07:30</v>
      </c>
      <c r="AN296" s="284" t="str">
        <f>IFERROR(VLOOKUP(T_Convention[[#This Row],[NumL]],T_TraitDi[#Data],COLUMN(T_TraitDi[Mercredi]),FALSE),"")</f>
        <v>S</v>
      </c>
      <c r="AO296" s="284" t="str">
        <f>IF(VLOOKUP(T_Convention[[#This Row],[NumL]],T_TraitDi[#Data],COLUMN(T_TraitDi[Colonne15]),FALSE)=0,"",TEXT(IFERROR(VLOOKUP(T_Convention[[#This Row],[NumL]],T_TraitDi[#Data],COLUMN(T_TraitDi[Colonne15]),FALSE),""),"[hh]:mm"))</f>
        <v>08:30</v>
      </c>
      <c r="AP296" s="284" t="str">
        <f>IF(VLOOKUP(T_Convention[[#This Row],[NumL]],T_TraitDi[#Data],COLUMN(T_TraitDi[Colonne16]),FALSE)=0,"",TEXT(IFERROR(VLOOKUP(T_Convention[[#This Row],[NumL]],T_TraitDi[#Data],COLUMN(T_TraitDi[Colonne16]),FALSE),""),"[hh]:mm"))</f>
        <v>12:00</v>
      </c>
      <c r="AQ296" s="284" t="str">
        <f>IFERROR(VLOOKUP(T_Convention[[#This Row],[NumL]],T_TraitDi[#Data],COLUMN(T_TraitDi[Colonne17]),FALSE),"")</f>
        <v>S</v>
      </c>
      <c r="AR296" s="284" t="str">
        <f>IF(VLOOKUP(T_Convention[[#This Row],[NumL]],T_TraitDi[#Data],COLUMN(T_TraitDi[Colonne18]),FALSE)=0,"",TEXT(IFERROR(VLOOKUP(T_Convention[[#This Row],[NumL]],T_TraitDi[#Data],COLUMN(T_TraitDi[Colonne18]),FALSE),""),"[hh]:mm"))</f>
        <v>13:00</v>
      </c>
      <c r="AS296" s="284" t="str">
        <f>IF(VLOOKUP(T_Convention[[#This Row],[NumL]],T_TraitDi[#Data],COLUMN(T_TraitDi[Colonne19]),FALSE)=0,"",TEXT(IFERROR(VLOOKUP(T_Convention[[#This Row],[NumL]],T_TraitDi[#Data],COLUMN(T_TraitDi[Colonne19]),FALSE),""),"[hh]:mm"))</f>
        <v>17:00</v>
      </c>
      <c r="AT296" s="284" t="str">
        <f>IF(VLOOKUP(T_Convention[[#This Row],[NumL]],T_TraitDi[#Data],COLUMN(T_TraitDi[Colonne20]),FALSE)=0,"",TEXT(IFERROR(VLOOKUP(T_Convention[[#This Row],[NumL]],T_TraitDi[#Data],COLUMN(T_TraitDi[Colonne20]),FALSE),""),"[hh]:mm"))</f>
        <v>07:30</v>
      </c>
      <c r="AU296" s="284" t="str">
        <f>IFERROR(VLOOKUP(T_Convention[[#This Row],[NumL]],T_TraitDi[#Data],COLUMN(T_TraitDi[Jeudi]),FALSE),"")</f>
        <v>T</v>
      </c>
      <c r="AV296" s="284" t="str">
        <f>IF(VLOOKUP(T_Convention[[#This Row],[NumL]],T_TraitDi[#Data],COLUMN(T_TraitDi[Colonne21]),FALSE)=0,"",TEXT(IFERROR(VLOOKUP(T_Convention[[#This Row],[NumL]],T_TraitDi[#Data],COLUMN(T_TraitDi[Colonne21]),FALSE),""),"[hh]:mm"))</f>
        <v>08:30</v>
      </c>
      <c r="AW296" s="284" t="str">
        <f>IF(VLOOKUP(T_Convention[[#This Row],[NumL]],T_TraitDi[#Data],COLUMN(T_TraitDi[Colonne22]),FALSE)=0,"",TEXT(IFERROR(VLOOKUP(T_Convention[[#This Row],[NumL]],T_TraitDi[#Data],COLUMN(T_TraitDi[Colonne22]),FALSE),""),"[hh]:mm"))</f>
        <v>12:00</v>
      </c>
      <c r="AX296" s="284" t="str">
        <f>IFERROR(VLOOKUP(T_Convention[[#This Row],[NumL]],T_TraitDi[#Data],COLUMN(T_TraitDi[Colonne23]),FALSE),"")</f>
        <v>T</v>
      </c>
      <c r="AY296" s="284" t="str">
        <f>IF(VLOOKUP(T_Convention[[#This Row],[NumL]],T_TraitDi[#Data],COLUMN(T_TraitDi[Colonne24]),FALSE)=0,"",TEXT(IFERROR(VLOOKUP(T_Convention[[#This Row],[NumL]],T_TraitDi[#Data],COLUMN(T_TraitDi[Colonne24]),FALSE),""),"[hh]:mm"))</f>
        <v>13:00</v>
      </c>
      <c r="AZ296" s="284" t="str">
        <f>IF(VLOOKUP(T_Convention[[#This Row],[NumL]],T_TraitDi[#Data],COLUMN(T_TraitDi[Colonne25]),FALSE)=0,"",TEXT(IFERROR(VLOOKUP(T_Convention[[#This Row],[NumL]],T_TraitDi[#Data],COLUMN(T_TraitDi[Colonne25]),FALSE),""),"[hh]:mm"))</f>
        <v>17:00</v>
      </c>
      <c r="BA296" s="284" t="str">
        <f>IF(VLOOKUP(T_Convention[[#This Row],[NumL]],T_TraitDi[#Data],COLUMN(T_TraitDi[Colonne26]),FALSE)=0,"",TEXT(IFERROR(VLOOKUP(T_Convention[[#This Row],[NumL]],T_TraitDi[#Data],COLUMN(T_TraitDi[Colonne26]),FALSE),""),"[hh]:mm"))</f>
        <v>07:30</v>
      </c>
      <c r="BB296" s="284" t="str">
        <f>IFERROR(VLOOKUP(T_Convention[[#This Row],[NumL]],T_TraitDi[#Data],COLUMN(T_TraitDi[Vendredi]),FALSE),"")</f>
        <v>S</v>
      </c>
      <c r="BC296" s="284" t="str">
        <f>IF(VLOOKUP(T_Convention[[#This Row],[NumL]],T_TraitDi[#Data],COLUMN(T_TraitDi[Colonne27]),FALSE)=0,"",TEXT(IFERROR(VLOOKUP(T_Convention[[#This Row],[NumL]],T_TraitDi[#Data],COLUMN(T_TraitDi[Colonne27]),FALSE),""),"[hh]:mm"))</f>
        <v>08:30</v>
      </c>
      <c r="BD296" s="284" t="str">
        <f>IF(VLOOKUP(T_Convention[[#This Row],[NumL]],T_TraitDi[#Data],COLUMN(T_TraitDi[Colonne28]),FALSE)=0,"",TEXT(IFERROR(VLOOKUP(T_Convention[[#This Row],[NumL]],T_TraitDi[#Data],COLUMN(T_TraitDi[Colonne28]),FALSE),""),"[hh]:mm"))</f>
        <v>12:00</v>
      </c>
      <c r="BE296" s="284" t="str">
        <f>IFERROR(VLOOKUP(T_Convention[[#This Row],[NumL]],T_TraitDi[#Data],COLUMN(T_TraitDi[Colonne29]),FALSE),"")</f>
        <v>S</v>
      </c>
      <c r="BF296" s="284" t="str">
        <f>IF(VLOOKUP(T_Convention[[#This Row],[NumL]],T_TraitDi[#Data],COLUMN(T_TraitDi[Colonne30]),FALSE)=0,"",TEXT(IFERROR(VLOOKUP(T_Convention[[#This Row],[NumL]],T_TraitDi[#Data],COLUMN(T_TraitDi[Colonne30]),FALSE),""),"[hh]:mm"))</f>
        <v>13:00</v>
      </c>
      <c r="BG296" s="284" t="str">
        <f>IF(VLOOKUP(T_Convention[[#This Row],[NumL]],T_TraitDi[#Data],COLUMN(T_TraitDi[Colonne31]),FALSE)=0,"",TEXT(IFERROR(VLOOKUP(T_Convention[[#This Row],[NumL]],T_TraitDi[#Data],COLUMN(T_TraitDi[Colonne31]),FALSE),""),"[hh]:mm"))</f>
        <v>16:35</v>
      </c>
      <c r="BH296" s="284" t="str">
        <f>IF(VLOOKUP(T_Convention[[#This Row],[NumL]],T_TraitDi[#Data],COLUMN(T_TraitDi[Colonne32]),FALSE)=0,"",TEXT(IFERROR(VLOOKUP(T_Convention[[#This Row],[NumL]],T_TraitDi[#Data],COLUMN(T_TraitDi[Colonne32]),FALSE),""),"[hh]:mm"))</f>
        <v>07:05</v>
      </c>
      <c r="BI296" s="284">
        <f>IFERROR(VLOOKUP(T_Convention[[#This Row],[NumL]],T_TraitDi[#Data],COLUMN(T_TraitDi[NbJTW]),FALSE),"")</f>
        <v>1</v>
      </c>
      <c r="BJ296" s="284" t="str">
        <f>IF(VLOOKUP(T_Convention[[#This Row],[NumL]],T_TraitDi[#Data],COLUMN(T_TraitDi[NbhTW]),FALSE)=0,"",TEXT(IFERROR(VLOOKUP(T_Convention[[#This Row],[NumL]],T_TraitDi[#Data],COLUMN(T_TraitDi[NbhTW]),FALSE),""),"[hh]:mm"))</f>
        <v>07:30</v>
      </c>
      <c r="BK296" s="315" t="str">
        <f>IF(VLOOKUP(T_Convention[[#This Row],[NumL]],T_TraitDi[#Data],COLUMN(T_TraitDi[Nbhheb]),FALSE)=0,"",TEXT(IFERROR(VLOOKUP(T_Convention[[#This Row],[NumL]],T_TraitDi[#Data],COLUMN(T_TraitDi[Nbhheb]),FALSE),""),"[hh]:mm"))</f>
        <v>37:05</v>
      </c>
      <c r="BL296" s="287" t="str">
        <f>IFERROR(VLOOKUP(VLOOKUP(T_Convention[[#This Row],[NumL]],T_TraitDi[#Data],COLUMN(T_TraitDi[Type1]),FALSE),TypeTW,2,FALSE),"")</f>
        <v>son domicile (lieu de résidence habituelle du télétravailleur)</v>
      </c>
      <c r="BM296" s="288" t="str">
        <f>IFERROR(VLOOKUP(T_Convention[[#This Row],[NumL]],T_TraitDi[#Data],COLUMN(T_TraitDi[Rue1]),FALSE),"")</f>
        <v>2 Rue du docteur Rebatel</v>
      </c>
      <c r="BN296" s="289" t="str">
        <f>IFERROR(VLOOKUP(T_Convention[[#This Row],[NumL]],T_TraitDi[#Data],COLUMN(T_TraitDi[CP1]),FALSE),"")</f>
        <v>69003</v>
      </c>
      <c r="BO296" s="282" t="str">
        <f>IFERROR(VLOOKUP(T_Convention[[#This Row],[NumL]],T_TraitDi[#Data],COLUMN(T_TraitDi[VILLE1]),FALSE),"")</f>
        <v>LYON</v>
      </c>
      <c r="BP296" s="290" t="str">
        <f>IFERROR(VLOOKUP(VLOOKUP(T_Convention[[#This Row],[NumL]],T_TraitDi[#Data],COLUMN(T_TraitDi[Type2]),FALSE),TypeTW,2,FALSE),"")</f>
        <v/>
      </c>
      <c r="BQ296" s="310" t="str">
        <f>IFERROR(VLOOKUP(T_Convention[[#This Row],[NumL]],T_TraitDi[#Data],COLUMN(T_TraitDi[Rue2]),FALSE),"")</f>
        <v>Sans objet</v>
      </c>
      <c r="BR296" s="290">
        <f>IFERROR(VLOOKUP(T_Convention[[#This Row],[NumL]],T_TraitDi[#Data],COLUMN(T_TraitDi[CP2]),FALSE),"")</f>
        <v>0</v>
      </c>
      <c r="BS296" s="290">
        <f>IFERROR(VLOOKUP(T_Convention[[#This Row],[NumL]],T_TraitDi[#Data],COLUMN(T_TraitDi[VILLE2]),FALSE),"")</f>
        <v>0</v>
      </c>
      <c r="BT29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96" s="314" t="str">
        <f>IFERROR(IF(VLOOKUP(T_Convention[[#This Row],[NumL]],T_TraitDi[#Data],COLUMN(T_TraitDi[Plan]),FALSE)="OK","Un planning spécifique de télétravail est annexé à la présente convention.",""),"")</f>
        <v/>
      </c>
      <c r="BV296" s="291"/>
      <c r="BW296" s="292" t="str">
        <f>IF(VLOOKUP(T_Convention[[#This Row],[NumL]],T_suiviDi[#Data],COLUMN(T_suiviDi[Entité]),FALSE)="","",VLOOKUP(T_Convention[[#This Row],[NumL]],T_suiviDi[#Data],COLUMN(T_suiviDi[Entité]),FALSE))</f>
        <v>Langues</v>
      </c>
      <c r="BX296" s="311" t="str">
        <f>IF(VLOOKUP(T_Convention[[#This Row],[NumL]],T_Commission[#Data],COLUMN(T_Commission[envoi confirm TW]),FALSE)="","",VLOOKUP(T_Convention[[#This Row],[NumL]],T_Commission[#Data],COLUMN(T_Commission[envoi confirm TW]),FALSE))</f>
        <v>Oui</v>
      </c>
      <c r="BY29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6" s="265">
        <f>VLOOKUP(T_Convention[[#This Row],[NumL]],T_Commission[#Data],COLUMN(T_Commission[Commentaire]),FALSE)</f>
        <v>0</v>
      </c>
      <c r="CA296" s="255" t="str">
        <f>IF(VLOOKUP(T_Convention[[#This Row],[NumL]],T_Commission[#Data],COLUMN(T_Commission[Encadrant Email]),FALSE)="","",VLOOKUP(T_Convention[[#This Row],[NumL]],T_Commission[#Data],COLUMN(T_Commission[Encadrant Email]),FALSE))</f>
        <v/>
      </c>
      <c r="CB296" s="352">
        <f>VLOOKUP(T_Convention[[#This Row],[NumL]],T_TraitDi[#Data],COLUMN(T_TraitDi[NbJTot]),FALSE)</f>
        <v>5</v>
      </c>
      <c r="CC296" s="352" t="str">
        <f>VLOOKUP(T_Convention[[#This Row],[NumL]],T_TraitDi[#Data],COLUMN(T_TraitDi[Reg Ponct]),FALSE)</f>
        <v>R</v>
      </c>
      <c r="CD296" s="348" t="str">
        <f>IF(T_Convention[[#This Row],[Final]]&lt;&gt;"",VLOOKUP(T_Convention[[#This Row],[NumL]],T_suiviDi[#Data],COLUMN((T_suiviDi[Statut])),FALSE),"")</f>
        <v/>
      </c>
    </row>
    <row r="297" spans="1:82" s="50" customFormat="1" ht="18.75" customHeight="1" x14ac:dyDescent="0.25">
      <c r="A297" s="160">
        <v>221</v>
      </c>
      <c r="B297" s="161">
        <f>VLOOKUP(T_Convention[[#This Row],[NumL]],T_Commission[#Data],COLUMN(T_Commission[FINAL]),FALSE)</f>
        <v>1</v>
      </c>
      <c r="C297" s="162"/>
      <c r="D297" s="95" t="str">
        <f>IF(VLOOKUP(T_Convention[[#This Row],[NumL]],T_TraitDi[#Data],COLUMN(T_TraitDi[WebC]),FALSE)="","",VLOOKUP(T_Convention[[#This Row],[NumL]],T_TraitDi[#Data],COLUMN(T_TraitDi[WebC]),FALSE))</f>
        <v>WG</v>
      </c>
      <c r="E297" s="163" t="str">
        <f t="shared" si="20"/>
        <v>12 janvier 2021</v>
      </c>
      <c r="F297" s="282" t="str">
        <f>IF(T_Convention[[#This Row],[Final]]&lt;&gt;"",VLOOKUP(T_Convention[[#This Row],[NumL]],T_suiviDi[#Data],COLUMN((T_suiviDi[Civ.])),FALSE),"")</f>
        <v>Mme</v>
      </c>
      <c r="G297" s="283" t="str">
        <f>IF(T_Convention[[#This Row],[Final]]&lt;&gt;"",VLOOKUP(T_Convention[[#This Row],[NumL]],T_suiviDi[#Data],COLUMN((T_suiviDi[Nom])),FALSE),"")</f>
        <v>A</v>
      </c>
      <c r="H297" s="282" t="str">
        <f>IF(T_Convention[[#This Row],[Final]]&lt;&gt;"",VLOOKUP(T_Convention[[#This Row],[NumL]],T_suiviDi[#Data],COLUMN((T_suiviDi[Prénom])),FALSE),"")</f>
        <v>Marie</v>
      </c>
      <c r="I297" s="282" t="e">
        <f>VLOOKUP(T_Convention[[#This Row],[NumL]],T_suiviDi[#Data],COLUMN((T_suiviDi[[#This Row],[Email]])),FALSE)</f>
        <v>#VALUE!</v>
      </c>
      <c r="J297" s="282" t="e">
        <f>IF(VLOOKUP(T_Convention[[#This Row],[NumL]],T_suiviDi[#Data],COLUMN(T_suiviDi[[#This Row],[Fonction]]),FALSE)="","",VLOOKUP(T_Convention[[#This Row],[NumL]],T_suiviDi[#Data],COLUMN(T_suiviDi[[#This Row],[Fonction]]),FALSE))</f>
        <v>#VALUE!</v>
      </c>
      <c r="K297" s="282" t="e">
        <f>IF(VLOOKUP(T_Convention[[#This Row],[NumL]],T_suiviDi[#Data],COLUMN(T_suiviDi[[#This Row],[Grade]]),FALSE)="","",VLOOKUP(T_Convention[[#This Row],[NumL]],T_suiviDi[#Data],COLUMN(T_suiviDi[[#This Row],[Grade]]),FALSE))</f>
        <v>#VALUE!</v>
      </c>
      <c r="L297" s="282" t="e">
        <f>IF(VLOOKUP(T_Convention[[#This Row],[NumL]],T_suiviDi[#Data],COLUMN(T_suiviDi[[#This Row],[Service ]]),FALSE)="","",VLOOKUP(T_Convention[[#This Row],[NumL]],T_suiviDi[#Data],COLUMN(T_suiviDi[[#This Row],[Service ]]),FALSE))</f>
        <v>#VALUE!</v>
      </c>
      <c r="M297" s="164" t="str">
        <f t="shared" si="21"/>
        <v>01 septembre 2021</v>
      </c>
      <c r="N297" s="164" t="str">
        <f t="shared" si="22"/>
        <v>30 novembre 2021</v>
      </c>
      <c r="O297" s="284" t="str">
        <f t="shared" si="23"/>
        <v>30 novembre 2021</v>
      </c>
      <c r="P297" s="282" t="str">
        <f>IF(VLOOKUP(T_Convention[[#This Row],[NumL]],T_TraitDi[#Data],COLUMN(T_TraitDi[M1]),FALSE)="","",VLOOKUP(T_Convention[[#This Row],[NumL]],T_TraitDi[#Data],COLUMN(T_TraitDi[M1]),FALSE))</f>
        <v>Alimentation des réseaux sociaux</v>
      </c>
      <c r="Q297" s="282" t="str">
        <f>IF(VLOOKUP(T_Convention[[#This Row],[NumL]],T_TraitDi[#Data],COLUMN(T_TraitDi[M2]),FALSE)="","",VLOOKUP(T_Convention[[#This Row],[NumL]],T_TraitDi[#Data],COLUMN(T_TraitDi[M2]),FALSE))</f>
        <v>Mise à jour des sites internet</v>
      </c>
      <c r="R297" s="282" t="str">
        <f>IF(VLOOKUP(T_Convention[[#This Row],[NumL]],T_TraitDi[#Data],COLUMN(T_TraitDi[M3]),FALSE)="","",VLOOKUP(T_Convention[[#This Row],[NumL]],T_TraitDi[#Data],COLUMN(T_TraitDi[M3]),FALSE))</f>
        <v>Création graphique</v>
      </c>
      <c r="S297" s="282" t="str">
        <f>IF(VLOOKUP(T_Convention[[#This Row],[NumL]],T_TraitDi[#Data],COLUMN(T_TraitDi[M4]),FALSE)="","",VLOOKUP(T_Convention[[#This Row],[NumL]],T_TraitDi[#Data],COLUMN(T_TraitDi[M4]),FALSE))</f>
        <v/>
      </c>
      <c r="T297" s="282" t="str">
        <f>IF(VLOOKUP(T_Convention[[#This Row],[NumL]],T_TraitDi[#Data],COLUMN(T_TraitDi[M5]),FALSE)="","",VLOOKUP(T_Convention[[#This Row],[NumL]],T_TraitDi[#Data],COLUMN(T_TraitDi[M5]),FALSE))</f>
        <v/>
      </c>
      <c r="U297" s="282" t="str">
        <f>IF(VLOOKUP(T_Convention[[#This Row],[NumL]],T_TraitDi[#Data],COLUMN(T_TraitDi[M6]),FALSE)="","",VLOOKUP(T_Convention[[#This Row],[NumL]],T_TraitDi[#Data],COLUMN(T_TraitDi[M6]),FALSE))</f>
        <v/>
      </c>
      <c r="V297" s="176" t="str">
        <f t="shared" si="24"/>
        <v>Alimentation des réseaux sociauxMise à jour des sites internetCréation graphique</v>
      </c>
      <c r="W297" s="284" t="str">
        <f>IFERROR(TEXT(VLOOKUP(T_Convention[[#This Row],[NumL]],T_TraitDi[#Data],COLUMN(T_TraitDi[Q2]),FALSE),"###%"),"")</f>
        <v>100%</v>
      </c>
      <c r="X297" s="97" t="str">
        <f>VLOOKUP(T_Convention[[#This Row],[NumL]],T_TraitDi[#Data],COLUMN(T_TraitDi[Reg Ponct]),FALSE)</f>
        <v>R</v>
      </c>
      <c r="Y297" s="97">
        <f>VLOOKUP(T_Convention[NumL],T_TraitDi[#Data],COLUMN(T_TraitDi[Jours flottants]),FALSE)</f>
        <v>10</v>
      </c>
      <c r="Z297" s="284" t="str">
        <f>IFERROR(VLOOKUP(T_Convention[[#This Row],[NumL]],T_TraitDi[#Data],COLUMN(T_TraitDi[Lundi]),FALSE),"")</f>
        <v>S</v>
      </c>
      <c r="AA297" s="284" t="str">
        <f>IF(VLOOKUP(T_Convention[[#This Row],[NumL]],T_TraitDi[#Data],COLUMN(T_TraitDi[Colonne3]),FALSE)=0,"",TEXT(IFERROR(VLOOKUP(T_Convention[[#This Row],[NumL]],T_TraitDi[#Data],COLUMN(T_TraitDi[Colonne3]),FALSE),""),"[hh]:mm"))</f>
        <v>08:45</v>
      </c>
      <c r="AB297" s="284" t="str">
        <f>IF(VLOOKUP(T_Convention[[#This Row],[NumL]],T_TraitDi[#Data],COLUMN(T_TraitDi[Colonne4]),FALSE)=0,"",TEXT(IFERROR(VLOOKUP(T_Convention[[#This Row],[NumL]],T_TraitDi[#Data],COLUMN(T_TraitDi[Colonne4]),FALSE),""),"[hh]:mm"))</f>
        <v>12:30</v>
      </c>
      <c r="AC297" s="284" t="str">
        <f>IF(VLOOKUP(T_Convention[[#This Row],[NumL]],T_TraitDi[#Data],COLUMN(T_TraitDi[Colonne5]),FALSE)=0,"",TEXT(IFERROR(VLOOKUP(T_Convention[[#This Row],[NumL]],T_TraitDi[#Data],COLUMN(T_TraitDi[Colonne5]),FALSE),""),"[hh]:mm"))</f>
        <v>S</v>
      </c>
      <c r="AD297" s="284" t="str">
        <f>IF(VLOOKUP(T_Convention[[#This Row],[NumL]],T_TraitDi[#Data],COLUMN(T_TraitDi[Colonne6]),FALSE)=0,"",TEXT(IFERROR(VLOOKUP(T_Convention[[#This Row],[NumL]],T_TraitDi[#Data],COLUMN(T_TraitDi[Colonne6]),FALSE),""),"[hh]:mm"))</f>
        <v>13:30</v>
      </c>
      <c r="AE297" s="284" t="str">
        <f>IF(VLOOKUP(T_Convention[[#This Row],[NumL]],T_TraitDi[#Data],COLUMN(T_TraitDi[Colonne7]),FALSE)=0,"",TEXT(IFERROR(VLOOKUP(T_Convention[[#This Row],[NumL]],T_TraitDi[#Data],COLUMN(T_TraitDi[Colonne7]),FALSE),""),"[hh]:mm"))</f>
        <v>18:00</v>
      </c>
      <c r="AF297" s="284" t="str">
        <f>IF(VLOOKUP(T_Convention[[#This Row],[NumL]],T_TraitDi[#Data],COLUMN(T_TraitDi[Colonne8]),FALSE)=0,"",TEXT(IFERROR(VLOOKUP(T_Convention[[#This Row],[NumL]],T_TraitDi[#Data],COLUMN(T_TraitDi[Colonne8]),FALSE),""),"[hh]:mm"))</f>
        <v>08:15</v>
      </c>
      <c r="AG297" s="284" t="str">
        <f>IFERROR(VLOOKUP(T_Convention[[#This Row],[NumL]],T_TraitDi[#Data],COLUMN(T_TraitDi[Mardi]),FALSE),"")</f>
        <v>S</v>
      </c>
      <c r="AH297" s="284" t="str">
        <f>IF(VLOOKUP(T_Convention[[#This Row],[NumL]],T_TraitDi[#Data],COLUMN(T_TraitDi[Colonne1]),FALSE)=0,"",TEXT(IFERROR(VLOOKUP(T_Convention[[#This Row],[NumL]],T_TraitDi[#Data],COLUMN(T_TraitDi[Colonne1]),FALSE),""),"[hh]:mm"))</f>
        <v>08:45</v>
      </c>
      <c r="AI297" s="284" t="str">
        <f>IF(VLOOKUP(T_Convention[[#This Row],[NumL]],T_TraitDi[#Data],COLUMN(T_TraitDi[Colonne9]),FALSE)=0,"",TEXT(IFERROR(VLOOKUP(T_Convention[[#This Row],[NumL]],T_TraitDi[#Data],COLUMN(T_TraitDi[Colonne9]),FALSE),""),"[hh]:mm"))</f>
        <v>12:30</v>
      </c>
      <c r="AJ297" s="284" t="str">
        <f>IFERROR(VLOOKUP(T_Convention[[#This Row],[NumL]],T_TraitDi[#Data],COLUMN(T_TraitDi[Colonne10]),FALSE),"")</f>
        <v>S</v>
      </c>
      <c r="AK297" s="284" t="str">
        <f>IF(VLOOKUP(T_Convention[[#This Row],[NumL]],T_TraitDi[#Data],COLUMN(T_TraitDi[Colonne11]),FALSE)=0,"",TEXT(IFERROR(VLOOKUP(T_Convention[[#This Row],[NumL]],T_TraitDi[#Data],COLUMN(T_TraitDi[Colonne11]),FALSE),""),"[hh]:mm"))</f>
        <v>13:30</v>
      </c>
      <c r="AL297" s="284" t="str">
        <f>IF(VLOOKUP(T_Convention[[#This Row],[NumL]],T_TraitDi[#Data],COLUMN(T_TraitDi[Colonne12]),FALSE)=0,"",TEXT(IFERROR(VLOOKUP(T_Convention[[#This Row],[NumL]],T_TraitDi[#Data],COLUMN(T_TraitDi[Colonne12]),FALSE),""),"[hh]:mm"))</f>
        <v>18:00</v>
      </c>
      <c r="AM297" s="284" t="str">
        <f>IF(VLOOKUP(T_Convention[[#This Row],[NumL]],T_TraitDi[#Data],COLUMN(T_TraitDi[Colonne14]),FALSE)=0,"",TEXT(IFERROR(VLOOKUP(T_Convention[[#This Row],[NumL]],T_TraitDi[#Data],COLUMN(T_TraitDi[Colonne14]),FALSE),""),"[hh]:mm"))</f>
        <v>08:15</v>
      </c>
      <c r="AN297" s="284" t="str">
        <f>IFERROR(VLOOKUP(T_Convention[[#This Row],[NumL]],T_TraitDi[#Data],COLUMN(T_TraitDi[Mercredi]),FALSE),"")</f>
        <v>S</v>
      </c>
      <c r="AO297" s="284" t="str">
        <f>IF(VLOOKUP(T_Convention[[#This Row],[NumL]],T_TraitDi[#Data],COLUMN(T_TraitDi[Colonne15]),FALSE)=0,"",TEXT(IFERROR(VLOOKUP(T_Convention[[#This Row],[NumL]],T_TraitDi[#Data],COLUMN(T_TraitDi[Colonne15]),FALSE),""),"[hh]:mm"))</f>
        <v>08:45</v>
      </c>
      <c r="AP297" s="284" t="str">
        <f>IF(VLOOKUP(T_Convention[[#This Row],[NumL]],T_TraitDi[#Data],COLUMN(T_TraitDi[Colonne16]),FALSE)=0,"",TEXT(IFERROR(VLOOKUP(T_Convention[[#This Row],[NumL]],T_TraitDi[#Data],COLUMN(T_TraitDi[Colonne16]),FALSE),""),"[hh]:mm"))</f>
        <v>12:30</v>
      </c>
      <c r="AQ297" s="284" t="str">
        <f>IFERROR(VLOOKUP(T_Convention[[#This Row],[NumL]],T_TraitDi[#Data],COLUMN(T_TraitDi[Colonne17]),FALSE),"")</f>
        <v>S</v>
      </c>
      <c r="AR297" s="284" t="str">
        <f>IF(VLOOKUP(T_Convention[[#This Row],[NumL]],T_TraitDi[#Data],COLUMN(T_TraitDi[Colonne18]),FALSE)=0,"",TEXT(IFERROR(VLOOKUP(T_Convention[[#This Row],[NumL]],T_TraitDi[#Data],COLUMN(T_TraitDi[Colonne18]),FALSE),""),"[hh]:mm"))</f>
        <v>13:30</v>
      </c>
      <c r="AS297" s="284" t="str">
        <f>IF(VLOOKUP(T_Convention[[#This Row],[NumL]],T_TraitDi[#Data],COLUMN(T_TraitDi[Colonne19]),FALSE)=0,"",TEXT(IFERROR(VLOOKUP(T_Convention[[#This Row],[NumL]],T_TraitDi[#Data],COLUMN(T_TraitDi[Colonne19]),FALSE),""),"[hh]:mm"))</f>
        <v>18:00</v>
      </c>
      <c r="AT297" s="284" t="str">
        <f>IF(VLOOKUP(T_Convention[[#This Row],[NumL]],T_TraitDi[#Data],COLUMN(T_TraitDi[Colonne20]),FALSE)=0,"",TEXT(IFERROR(VLOOKUP(T_Convention[[#This Row],[NumL]],T_TraitDi[#Data],COLUMN(T_TraitDi[Colonne20]),FALSE),""),"[hh]:mm"))</f>
        <v>08:15</v>
      </c>
      <c r="AU297" s="284" t="str">
        <f>IFERROR(VLOOKUP(T_Convention[[#This Row],[NumL]],T_TraitDi[#Data],COLUMN(T_TraitDi[Jeudi]),FALSE),"")</f>
        <v>S</v>
      </c>
      <c r="AV297" s="284" t="str">
        <f>IF(VLOOKUP(T_Convention[[#This Row],[NumL]],T_TraitDi[#Data],COLUMN(T_TraitDi[Colonne21]),FALSE)=0,"",TEXT(IFERROR(VLOOKUP(T_Convention[[#This Row],[NumL]],T_TraitDi[#Data],COLUMN(T_TraitDi[Colonne21]),FALSE),""),"[hh]:mm"))</f>
        <v>08:45</v>
      </c>
      <c r="AW297" s="284" t="str">
        <f>IF(VLOOKUP(T_Convention[[#This Row],[NumL]],T_TraitDi[#Data],COLUMN(T_TraitDi[Colonne22]),FALSE)=0,"",TEXT(IFERROR(VLOOKUP(T_Convention[[#This Row],[NumL]],T_TraitDi[#Data],COLUMN(T_TraitDi[Colonne22]),FALSE),""),"[hh]:mm"))</f>
        <v>12:30</v>
      </c>
      <c r="AX297" s="284" t="str">
        <f>IFERROR(VLOOKUP(T_Convention[[#This Row],[NumL]],T_TraitDi[#Data],COLUMN(T_TraitDi[Colonne23]),FALSE),"")</f>
        <v>S</v>
      </c>
      <c r="AY297" s="284" t="str">
        <f>IF(VLOOKUP(T_Convention[[#This Row],[NumL]],T_TraitDi[#Data],COLUMN(T_TraitDi[Colonne24]),FALSE)=0,"",TEXT(IFERROR(VLOOKUP(T_Convention[[#This Row],[NumL]],T_TraitDi[#Data],COLUMN(T_TraitDi[Colonne24]),FALSE),""),"[hh]:mm"))</f>
        <v>13:30</v>
      </c>
      <c r="AZ297" s="284" t="str">
        <f>IF(VLOOKUP(T_Convention[[#This Row],[NumL]],T_TraitDi[#Data],COLUMN(T_TraitDi[Colonne25]),FALSE)=0,"",TEXT(IFERROR(VLOOKUP(T_Convention[[#This Row],[NumL]],T_TraitDi[#Data],COLUMN(T_TraitDi[Colonne25]),FALSE),""),"[hh]:mm"))</f>
        <v>18:00</v>
      </c>
      <c r="BA297" s="284" t="str">
        <f>IF(VLOOKUP(T_Convention[[#This Row],[NumL]],T_TraitDi[#Data],COLUMN(T_TraitDi[Colonne26]),FALSE)=0,"",TEXT(IFERROR(VLOOKUP(T_Convention[[#This Row],[NumL]],T_TraitDi[#Data],COLUMN(T_TraitDi[Colonne26]),FALSE),""),"[hh]:mm"))</f>
        <v>08:15</v>
      </c>
      <c r="BB297" s="284" t="str">
        <f>IFERROR(VLOOKUP(T_Convention[[#This Row],[NumL]],T_TraitDi[#Data],COLUMN(T_TraitDi[Vendredi]),FALSE),"")</f>
        <v>T</v>
      </c>
      <c r="BC297" s="284" t="str">
        <f>IF(VLOOKUP(T_Convention[[#This Row],[NumL]],T_TraitDi[#Data],COLUMN(T_TraitDi[Colonne27]),FALSE)=0,"",TEXT(IFERROR(VLOOKUP(T_Convention[[#This Row],[NumL]],T_TraitDi[#Data],COLUMN(T_TraitDi[Colonne27]),FALSE),""),"[hh]:mm"))</f>
        <v>08:45</v>
      </c>
      <c r="BD297" s="284" t="str">
        <f>IF(VLOOKUP(T_Convention[[#This Row],[NumL]],T_TraitDi[#Data],COLUMN(T_TraitDi[Colonne28]),FALSE)=0,"",TEXT(IFERROR(VLOOKUP(T_Convention[[#This Row],[NumL]],T_TraitDi[#Data],COLUMN(T_TraitDi[Colonne28]),FALSE),""),"[hh]:mm"))</f>
        <v>12:50</v>
      </c>
      <c r="BE297" s="284" t="str">
        <f>IFERROR(VLOOKUP(T_Convention[[#This Row],[NumL]],T_TraitDi[#Data],COLUMN(T_TraitDi[Colonne29]),FALSE),"")</f>
        <v>A</v>
      </c>
      <c r="BF297" s="284" t="str">
        <f>IF(VLOOKUP(T_Convention[[#This Row],[NumL]],T_TraitDi[#Data],COLUMN(T_TraitDi[Colonne30]),FALSE)=0,"",TEXT(IFERROR(VLOOKUP(T_Convention[[#This Row],[NumL]],T_TraitDi[#Data],COLUMN(T_TraitDi[Colonne30]),FALSE),""),"[hh]:mm"))</f>
        <v/>
      </c>
      <c r="BG297" s="284" t="str">
        <f>IF(VLOOKUP(T_Convention[[#This Row],[NumL]],T_TraitDi[#Data],COLUMN(T_TraitDi[Colonne31]),FALSE)=0,"",TEXT(IFERROR(VLOOKUP(T_Convention[[#This Row],[NumL]],T_TraitDi[#Data],COLUMN(T_TraitDi[Colonne31]),FALSE),""),"[hh]:mm"))</f>
        <v/>
      </c>
      <c r="BH297" s="284" t="str">
        <f>IF(VLOOKUP(T_Convention[[#This Row],[NumL]],T_TraitDi[#Data],COLUMN(T_TraitDi[Colonne32]),FALSE)=0,"",TEXT(IFERROR(VLOOKUP(T_Convention[[#This Row],[NumL]],T_TraitDi[#Data],COLUMN(T_TraitDi[Colonne32]),FALSE),""),"[hh]:mm"))</f>
        <v>04:05</v>
      </c>
      <c r="BI297" s="284">
        <f>IFERROR(VLOOKUP(T_Convention[[#This Row],[NumL]],T_TraitDi[#Data],COLUMN(T_TraitDi[NbJTW]),FALSE),"")</f>
        <v>0.5</v>
      </c>
      <c r="BJ297" s="284" t="str">
        <f>IF(VLOOKUP(T_Convention[[#This Row],[NumL]],T_TraitDi[#Data],COLUMN(T_TraitDi[NbhTW]),FALSE)=0,"",TEXT(IFERROR(VLOOKUP(T_Convention[[#This Row],[NumL]],T_TraitDi[#Data],COLUMN(T_TraitDi[NbhTW]),FALSE),""),"[hh]:mm"))</f>
        <v>04:05</v>
      </c>
      <c r="BK297" s="286" t="str">
        <f>IF(VLOOKUP(T_Convention[[#This Row],[NumL]],T_TraitDi[#Data],COLUMN(T_TraitDi[Nbhheb]),FALSE)=0,"",TEXT(IFERROR(VLOOKUP(T_Convention[[#This Row],[NumL]],T_TraitDi[#Data],COLUMN(T_TraitDi[Nbhheb]),FALSE),""),"[hh]:mm"))</f>
        <v>37:05</v>
      </c>
      <c r="BL297" s="287" t="str">
        <f>IFERROR(VLOOKUP(VLOOKUP(T_Convention[[#This Row],[NumL]],T_TraitDi[#Data],COLUMN(T_TraitDi[Type1]),FALSE),TypeTW,2,FALSE),"")</f>
        <v>son domicile (lieu de résidence habituelle du télétravailleur)</v>
      </c>
      <c r="BM297" s="288" t="str">
        <f>IFERROR(VLOOKUP(T_Convention[[#This Row],[NumL]],T_TraitDi[#Data],COLUMN(T_TraitDi[Rue1]),FALSE),"")</f>
        <v>2 b boulevard de la Liberté</v>
      </c>
      <c r="BN297" s="289" t="str">
        <f>IFERROR(VLOOKUP(T_Convention[[#This Row],[NumL]],T_TraitDi[#Data],COLUMN(T_TraitDi[CP1]),FALSE),"")</f>
        <v>71000</v>
      </c>
      <c r="BO297" s="282" t="str">
        <f>IFERROR(VLOOKUP(T_Convention[[#This Row],[NumL]],T_TraitDi[#Data],COLUMN(T_TraitDi[VILLE1]),FALSE),"")</f>
        <v>MACON</v>
      </c>
      <c r="BP297" s="290" t="str">
        <f>IFERROR(VLOOKUP(VLOOKUP(T_Convention[[#This Row],[NumL]],T_TraitDi[#Data],COLUMN(T_TraitDi[Type2]),FALSE),TypeTW,2,FALSE),"")</f>
        <v/>
      </c>
      <c r="BQ297" s="182" t="str">
        <f>IFERROR(VLOOKUP(T_Convention[[#This Row],[NumL]],T_TraitDi[#Data],COLUMN(T_TraitDi[Rue2]),FALSE),"")</f>
        <v>Sans objet</v>
      </c>
      <c r="BR297" s="173" t="str">
        <f>IFERROR(VLOOKUP(T_Convention[[#This Row],[NumL]],T_TraitDi[#Data],COLUMN(T_TraitDi[CP2]),FALSE),"")</f>
        <v xml:space="preserve"> </v>
      </c>
      <c r="BS297" s="173" t="str">
        <f>IFERROR(VLOOKUP(T_Convention[[#This Row],[NumL]],T_TraitDi[#Data],COLUMN(T_TraitDi[VILLE2]),FALSE),"")</f>
        <v xml:space="preserve">  </v>
      </c>
      <c r="BT297" s="182" t="str">
        <f>IF(VLOOKUP(T_Convention[[#This Row],[NumL]],T_Equipement[#Data],COLUMN(T_Equipement[PC]),FALSE)="","Aucun équipement spécifique directement lié au télétravail",VLOOKUP(T_Convention[[#This Row],[NumL]],T_Equipement[#Data],COLUMN(T_Equipement[PC]),FALSE))</f>
        <v>20-484</v>
      </c>
      <c r="BU297" s="166" t="str">
        <f>IFERROR(IF(VLOOKUP(T_Convention[[#This Row],[NumL]],T_TraitDi[#Data],COLUMN(T_TraitDi[Plan]),FALSE)="OK","Un planning spécifique de télétravail est annexé à la présente convention.",""),"")</f>
        <v/>
      </c>
      <c r="BV297" s="185" t="s">
        <v>3321</v>
      </c>
      <c r="BW297" s="164" t="str">
        <f>IF(VLOOKUP(T_Convention[[#This Row],[NumL]],T_suiviDi[#Data],COLUMN(T_suiviDi[Entité]),FALSE)="","",VLOOKUP(T_Convention[[#This Row],[NumL]],T_suiviDi[#Data],COLUMN(T_suiviDi[Entité]),FALSE))</f>
        <v>droit</v>
      </c>
      <c r="BX297" s="164" t="str">
        <f>IF(VLOOKUP(T_Convention[[#This Row],[NumL]],T_Commission[#Data],COLUMN(T_Commission[envoi confirm TW]),FALSE)="","",VLOOKUP(T_Convention[[#This Row],[NumL]],T_Commission[#Data],COLUMN(T_Commission[envoi confirm TW]),FALSE))</f>
        <v>Oui</v>
      </c>
      <c r="BY29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7" s="264">
        <f>VLOOKUP(T_Convention[[#This Row],[NumL]],T_Commission[#Data],COLUMN(T_Commission[Commentaire]),FALSE)</f>
        <v>0</v>
      </c>
      <c r="CA297" s="254" t="str">
        <f>IF(VLOOKUP(T_Convention[[#This Row],[NumL]],T_Commission[#Data],COLUMN(T_Commission[Encadrant Email]),FALSE)="","",VLOOKUP(T_Convention[[#This Row],[NumL]],T_Commission[#Data],COLUMN(T_Commission[Encadrant Email]),FALSE))</f>
        <v/>
      </c>
      <c r="CB297" s="352">
        <f>VLOOKUP(T_Convention[[#This Row],[NumL]],T_TraitDi[#Data],COLUMN(T_TraitDi[NbJTot]),FALSE)</f>
        <v>4.5</v>
      </c>
      <c r="CC297" s="352" t="str">
        <f>VLOOKUP(T_Convention[[#This Row],[NumL]],T_TraitDi[#Data],COLUMN(T_TraitDi[Reg Ponct]),FALSE)</f>
        <v>R</v>
      </c>
      <c r="CD297" s="348" t="str">
        <f>IF(T_Convention[[#This Row],[Final]]&lt;&gt;"",VLOOKUP(T_Convention[[#This Row],[NumL]],T_suiviDi[#Data],COLUMN((T_suiviDi[Statut])),FALSE),"")</f>
        <v>RENVL</v>
      </c>
    </row>
    <row r="298" spans="1:82" s="50" customFormat="1" ht="18.75" customHeight="1" x14ac:dyDescent="0.25">
      <c r="A298" s="160">
        <v>340</v>
      </c>
      <c r="B298" s="281" t="str">
        <f>VLOOKUP(T_Convention[[#This Row],[NumL]],T_Commission[#Data],COLUMN(T_Commission[FINAL]),FALSE)</f>
        <v/>
      </c>
      <c r="C298" s="162"/>
      <c r="D298" s="95" t="str">
        <f>IF(VLOOKUP(T_Convention[[#This Row],[NumL]],T_TraitDi[#Data],COLUMN(T_TraitDi[WebC]),FALSE)="","",VLOOKUP(T_Convention[[#This Row],[NumL]],T_TraitDi[#Data],COLUMN(T_TraitDi[WebC]),FALSE))</f>
        <v>WG</v>
      </c>
      <c r="E298" s="163" t="str">
        <f t="shared" si="20"/>
        <v>12 janvier 2021</v>
      </c>
      <c r="F298" s="282" t="str">
        <f>IF(T_Convention[[#This Row],[Final]]&lt;&gt;"",VLOOKUP(T_Convention[[#This Row],[NumL]],T_suiviDi[#Data],COLUMN((T_suiviDi[Civ.])),FALSE),"")</f>
        <v/>
      </c>
      <c r="G298" s="283" t="str">
        <f>IF(T_Convention[[#This Row],[Final]]&lt;&gt;"",VLOOKUP(T_Convention[[#This Row],[NumL]],T_suiviDi[#Data],COLUMN((T_suiviDi[Nom])),FALSE),"")</f>
        <v/>
      </c>
      <c r="H298" s="282" t="str">
        <f>IF(T_Convention[[#This Row],[Final]]&lt;&gt;"",VLOOKUP(T_Convention[[#This Row],[NumL]],T_suiviDi[#Data],COLUMN((T_suiviDi[Prénom])),FALSE),"")</f>
        <v/>
      </c>
      <c r="I298" s="282" t="e">
        <f>VLOOKUP(T_Convention[[#This Row],[NumL]],T_suiviDi[#Data],COLUMN((T_suiviDi[[#This Row],[Email]])),FALSE)</f>
        <v>#VALUE!</v>
      </c>
      <c r="J298" s="282" t="e">
        <f>IF(VLOOKUP(T_Convention[[#This Row],[NumL]],T_suiviDi[#Data],COLUMN(T_suiviDi[[#This Row],[Fonction]]),FALSE)="","",VLOOKUP(T_Convention[[#This Row],[NumL]],T_suiviDi[#Data],COLUMN(T_suiviDi[[#This Row],[Fonction]]),FALSE))</f>
        <v>#VALUE!</v>
      </c>
      <c r="K298" s="282" t="e">
        <f>IF(VLOOKUP(T_Convention[[#This Row],[NumL]],T_suiviDi[#Data],COLUMN(T_suiviDi[[#This Row],[Grade]]),FALSE)="","",VLOOKUP(T_Convention[[#This Row],[NumL]],T_suiviDi[#Data],COLUMN(T_suiviDi[[#This Row],[Grade]]),FALSE))</f>
        <v>#VALUE!</v>
      </c>
      <c r="L298" s="282" t="e">
        <f>IF(VLOOKUP(T_Convention[[#This Row],[NumL]],T_suiviDi[#Data],COLUMN(T_suiviDi[[#This Row],[Service ]]),FALSE)="","",VLOOKUP(T_Convention[[#This Row],[NumL]],T_suiviDi[#Data],COLUMN(T_suiviDi[[#This Row],[Service ]]),FALSE))</f>
        <v>#VALUE!</v>
      </c>
      <c r="M298" s="314" t="str">
        <f t="shared" si="21"/>
        <v>01 septembre 2021</v>
      </c>
      <c r="N298" s="314" t="str">
        <f t="shared" si="22"/>
        <v>30 novembre 2021</v>
      </c>
      <c r="O298" s="284" t="str">
        <f t="shared" si="23"/>
        <v>30 novembre 2021</v>
      </c>
      <c r="P298" s="282" t="str">
        <f>IF(VLOOKUP(T_Convention[[#This Row],[NumL]],T_TraitDi[#Data],COLUMN(T_TraitDi[M1]),FALSE)="","",VLOOKUP(T_Convention[[#This Row],[NumL]],T_TraitDi[#Data],COLUMN(T_TraitDi[M1]),FALSE))</f>
        <v>Préparation des examens</v>
      </c>
      <c r="Q298" s="282" t="str">
        <f>IF(VLOOKUP(T_Convention[[#This Row],[NumL]],T_TraitDi[#Data],COLUMN(T_TraitDi[M2]),FALSE)="","",VLOOKUP(T_Convention[[#This Row],[NumL]],T_TraitDi[#Data],COLUMN(T_TraitDi[M2]),FALSE))</f>
        <v>Mise en place de l'emploi du temps</v>
      </c>
      <c r="R298" s="282" t="str">
        <f>IF(VLOOKUP(T_Convention[[#This Row],[NumL]],T_TraitDi[#Data],COLUMN(T_TraitDi[M3]),FALSE)="","",VLOOKUP(T_Convention[[#This Row],[NumL]],T_TraitDi[#Data],COLUMN(T_TraitDi[M3]),FALSE))</f>
        <v>Saisie des notes</v>
      </c>
      <c r="S298" s="282" t="str">
        <f>IF(VLOOKUP(T_Convention[[#This Row],[NumL]],T_TraitDi[#Data],COLUMN(T_TraitDi[M4]),FALSE)="","",VLOOKUP(T_Convention[[#This Row],[NumL]],T_TraitDi[#Data],COLUMN(T_TraitDi[M4]),FALSE))</f>
        <v>Traitement des dossiers e-candidat</v>
      </c>
      <c r="T298" s="282" t="str">
        <f>IF(VLOOKUP(T_Convention[[#This Row],[NumL]],T_TraitDi[#Data],COLUMN(T_TraitDi[M5]),FALSE)="","",VLOOKUP(T_Convention[[#This Row],[NumL]],T_TraitDi[#Data],COLUMN(T_TraitDi[M5]),FALSE))</f>
        <v/>
      </c>
      <c r="U298" s="282" t="str">
        <f>IF(VLOOKUP(T_Convention[[#This Row],[NumL]],T_TraitDi[#Data],COLUMN(T_TraitDi[M6]),FALSE)="","",VLOOKUP(T_Convention[[#This Row],[NumL]],T_TraitDi[#Data],COLUMN(T_TraitDi[M6]),FALSE))</f>
        <v/>
      </c>
      <c r="V298" s="314" t="str">
        <f t="shared" si="24"/>
        <v>Préparation des examensMise en place de l'emploi du tempsSaisie des notesTraitement des dossiers e-candidat</v>
      </c>
      <c r="W298" s="284" t="str">
        <f>IFERROR(TEXT(VLOOKUP(T_Convention[[#This Row],[NumL]],T_TraitDi[#Data],COLUMN(T_TraitDi[Q2]),FALSE),"###%"),"")</f>
        <v>100%</v>
      </c>
      <c r="X298" s="285" t="str">
        <f>VLOOKUP(T_Convention[[#This Row],[NumL]],T_TraitDi[#Data],COLUMN(T_TraitDi[Reg Ponct]),FALSE)</f>
        <v>R</v>
      </c>
      <c r="Y298" s="285">
        <f>VLOOKUP(T_Convention[NumL],T_TraitDi[#Data],COLUMN(T_TraitDi[Jours flottants]),FALSE)</f>
        <v>10</v>
      </c>
      <c r="Z298" s="284" t="str">
        <f>IFERROR(VLOOKUP(T_Convention[[#This Row],[NumL]],T_TraitDi[#Data],COLUMN(T_TraitDi[Lundi]),FALSE),"")</f>
        <v>S</v>
      </c>
      <c r="AA298" s="284" t="str">
        <f>IF(VLOOKUP(T_Convention[[#This Row],[NumL]],T_TraitDi[#Data],COLUMN(T_TraitDi[Colonne3]),FALSE)=0,"",TEXT(IFERROR(VLOOKUP(T_Convention[[#This Row],[NumL]],T_TraitDi[#Data],COLUMN(T_TraitDi[Colonne3]),FALSE),""),"[hh]:mm"))</f>
        <v>08:30</v>
      </c>
      <c r="AB298" s="284" t="str">
        <f>IF(VLOOKUP(T_Convention[[#This Row],[NumL]],T_TraitDi[#Data],COLUMN(T_TraitDi[Colonne4]),FALSE)=0,"",TEXT(IFERROR(VLOOKUP(T_Convention[[#This Row],[NumL]],T_TraitDi[#Data],COLUMN(T_TraitDi[Colonne4]),FALSE),""),"[hh]:mm"))</f>
        <v>12:30</v>
      </c>
      <c r="AC298" s="284" t="str">
        <f>IF(VLOOKUP(T_Convention[[#This Row],[NumL]],T_TraitDi[#Data],COLUMN(T_TraitDi[Colonne5]),FALSE)=0,"",TEXT(IFERROR(VLOOKUP(T_Convention[[#This Row],[NumL]],T_TraitDi[#Data],COLUMN(T_TraitDi[Colonne5]),FALSE),""),"[hh]:mm"))</f>
        <v>S</v>
      </c>
      <c r="AD298" s="284" t="str">
        <f>IF(VLOOKUP(T_Convention[[#This Row],[NumL]],T_TraitDi[#Data],COLUMN(T_TraitDi[Colonne6]),FALSE)=0,"",TEXT(IFERROR(VLOOKUP(T_Convention[[#This Row],[NumL]],T_TraitDi[#Data],COLUMN(T_TraitDi[Colonne6]),FALSE),""),"[hh]:mm"))</f>
        <v>13:30</v>
      </c>
      <c r="AE298" s="284" t="str">
        <f>IF(VLOOKUP(T_Convention[[#This Row],[NumL]],T_TraitDi[#Data],COLUMN(T_TraitDi[Colonne7]),FALSE)=0,"",TEXT(IFERROR(VLOOKUP(T_Convention[[#This Row],[NumL]],T_TraitDi[#Data],COLUMN(T_TraitDi[Colonne7]),FALSE),""),"[hh]:mm"))</f>
        <v>18:00</v>
      </c>
      <c r="AF298" s="284" t="str">
        <f>IF(VLOOKUP(T_Convention[[#This Row],[NumL]],T_TraitDi[#Data],COLUMN(T_TraitDi[Colonne8]),FALSE)=0,"",TEXT(IFERROR(VLOOKUP(T_Convention[[#This Row],[NumL]],T_TraitDi[#Data],COLUMN(T_TraitDi[Colonne8]),FALSE),""),"[hh]:mm"))</f>
        <v>08:30</v>
      </c>
      <c r="AG298" s="284" t="str">
        <f>IFERROR(VLOOKUP(T_Convention[[#This Row],[NumL]],T_TraitDi[#Data],COLUMN(T_TraitDi[Mardi]),FALSE),"")</f>
        <v>S</v>
      </c>
      <c r="AH298" s="284" t="str">
        <f>IF(VLOOKUP(T_Convention[[#This Row],[NumL]],T_TraitDi[#Data],COLUMN(T_TraitDi[Colonne1]),FALSE)=0,"",TEXT(IFERROR(VLOOKUP(T_Convention[[#This Row],[NumL]],T_TraitDi[#Data],COLUMN(T_TraitDi[Colonne1]),FALSE),""),"[hh]:mm"))</f>
        <v>08:45</v>
      </c>
      <c r="AI298" s="284" t="str">
        <f>IF(VLOOKUP(T_Convention[[#This Row],[NumL]],T_TraitDi[#Data],COLUMN(T_TraitDi[Colonne9]),FALSE)=0,"",TEXT(IFERROR(VLOOKUP(T_Convention[[#This Row],[NumL]],T_TraitDi[#Data],COLUMN(T_TraitDi[Colonne9]),FALSE),""),"[hh]:mm"))</f>
        <v>12:30</v>
      </c>
      <c r="AJ298" s="284" t="str">
        <f>IFERROR(VLOOKUP(T_Convention[[#This Row],[NumL]],T_TraitDi[#Data],COLUMN(T_TraitDi[Colonne10]),FALSE),"")</f>
        <v>T</v>
      </c>
      <c r="AK298" s="284" t="str">
        <f>IF(VLOOKUP(T_Convention[[#This Row],[NumL]],T_TraitDi[#Data],COLUMN(T_TraitDi[Colonne11]),FALSE)=0,"",TEXT(IFERROR(VLOOKUP(T_Convention[[#This Row],[NumL]],T_TraitDi[#Data],COLUMN(T_TraitDi[Colonne11]),FALSE),""),"[hh]:mm"))</f>
        <v>13:30</v>
      </c>
      <c r="AL298" s="284" t="str">
        <f>IF(VLOOKUP(T_Convention[[#This Row],[NumL]],T_TraitDi[#Data],COLUMN(T_TraitDi[Colonne12]),FALSE)=0,"",TEXT(IFERROR(VLOOKUP(T_Convention[[#This Row],[NumL]],T_TraitDi[#Data],COLUMN(T_TraitDi[Colonne12]),FALSE),""),"[hh]:mm"))</f>
        <v>18:00</v>
      </c>
      <c r="AM298" s="284" t="str">
        <f>IF(VLOOKUP(T_Convention[[#This Row],[NumL]],T_TraitDi[#Data],COLUMN(T_TraitDi[Colonne14]),FALSE)=0,"",TEXT(IFERROR(VLOOKUP(T_Convention[[#This Row],[NumL]],T_TraitDi[#Data],COLUMN(T_TraitDi[Colonne14]),FALSE),""),"[hh]:mm"))</f>
        <v>08:15</v>
      </c>
      <c r="AN298" s="284" t="str">
        <f>IFERROR(VLOOKUP(T_Convention[[#This Row],[NumL]],T_TraitDi[#Data],COLUMN(T_TraitDi[Mercredi]),FALSE),"")</f>
        <v>S</v>
      </c>
      <c r="AO298" s="284" t="str">
        <f>IF(VLOOKUP(T_Convention[[#This Row],[NumL]],T_TraitDi[#Data],COLUMN(T_TraitDi[Colonne15]),FALSE)=0,"",TEXT(IFERROR(VLOOKUP(T_Convention[[#This Row],[NumL]],T_TraitDi[#Data],COLUMN(T_TraitDi[Colonne15]),FALSE),""),"[hh]:mm"))</f>
        <v>08:30</v>
      </c>
      <c r="AP298" s="284" t="str">
        <f>IF(VLOOKUP(T_Convention[[#This Row],[NumL]],T_TraitDi[#Data],COLUMN(T_TraitDi[Colonne16]),FALSE)=0,"",TEXT(IFERROR(VLOOKUP(T_Convention[[#This Row],[NumL]],T_TraitDi[#Data],COLUMN(T_TraitDi[Colonne16]),FALSE),""),"[hh]:mm"))</f>
        <v>12:30</v>
      </c>
      <c r="AQ298" s="284" t="str">
        <f>IFERROR(VLOOKUP(T_Convention[[#This Row],[NumL]],T_TraitDi[#Data],COLUMN(T_TraitDi[Colonne17]),FALSE),"")</f>
        <v>S</v>
      </c>
      <c r="AR298" s="284" t="str">
        <f>IF(VLOOKUP(T_Convention[[#This Row],[NumL]],T_TraitDi[#Data],COLUMN(T_TraitDi[Colonne18]),FALSE)=0,"",TEXT(IFERROR(VLOOKUP(T_Convention[[#This Row],[NumL]],T_TraitDi[#Data],COLUMN(T_TraitDi[Colonne18]),FALSE),""),"[hh]:mm"))</f>
        <v>13:30</v>
      </c>
      <c r="AS298" s="284" t="str">
        <f>IF(VLOOKUP(T_Convention[[#This Row],[NumL]],T_TraitDi[#Data],COLUMN(T_TraitDi[Colonne19]),FALSE)=0,"",TEXT(IFERROR(VLOOKUP(T_Convention[[#This Row],[NumL]],T_TraitDi[#Data],COLUMN(T_TraitDi[Colonne19]),FALSE),""),"[hh]:mm"))</f>
        <v>18:00</v>
      </c>
      <c r="AT298" s="284" t="str">
        <f>IF(VLOOKUP(T_Convention[[#This Row],[NumL]],T_TraitDi[#Data],COLUMN(T_TraitDi[Colonne20]),FALSE)=0,"",TEXT(IFERROR(VLOOKUP(T_Convention[[#This Row],[NumL]],T_TraitDi[#Data],COLUMN(T_TraitDi[Colonne20]),FALSE),""),"[hh]:mm"))</f>
        <v>08:30</v>
      </c>
      <c r="AU298" s="284" t="str">
        <f>IFERROR(VLOOKUP(T_Convention[[#This Row],[NumL]],T_TraitDi[#Data],COLUMN(T_TraitDi[Jeudi]),FALSE),"")</f>
        <v>T</v>
      </c>
      <c r="AV298" s="284" t="str">
        <f>IF(VLOOKUP(T_Convention[[#This Row],[NumL]],T_TraitDi[#Data],COLUMN(T_TraitDi[Colonne21]),FALSE)=0,"",TEXT(IFERROR(VLOOKUP(T_Convention[[#This Row],[NumL]],T_TraitDi[#Data],COLUMN(T_TraitDi[Colonne21]),FALSE),""),"[hh]:mm"))</f>
        <v>08:30</v>
      </c>
      <c r="AW298" s="284" t="str">
        <f>IF(VLOOKUP(T_Convention[[#This Row],[NumL]],T_TraitDi[#Data],COLUMN(T_TraitDi[Colonne22]),FALSE)=0,"",TEXT(IFERROR(VLOOKUP(T_Convention[[#This Row],[NumL]],T_TraitDi[#Data],COLUMN(T_TraitDi[Colonne22]),FALSE),""),"[hh]:mm"))</f>
        <v>13:00</v>
      </c>
      <c r="AX298" s="284" t="str">
        <f>IFERROR(VLOOKUP(T_Convention[[#This Row],[NumL]],T_TraitDi[#Data],COLUMN(T_TraitDi[Colonne23]),FALSE),"")</f>
        <v>A</v>
      </c>
      <c r="AY298" s="284" t="str">
        <f>IF(VLOOKUP(T_Convention[[#This Row],[NumL]],T_TraitDi[#Data],COLUMN(T_TraitDi[Colonne24]),FALSE)=0,"",TEXT(IFERROR(VLOOKUP(T_Convention[[#This Row],[NumL]],T_TraitDi[#Data],COLUMN(T_TraitDi[Colonne24]),FALSE),""),"[hh]:mm"))</f>
        <v/>
      </c>
      <c r="AZ298" s="284" t="str">
        <f>IF(VLOOKUP(T_Convention[[#This Row],[NumL]],T_TraitDi[#Data],COLUMN(T_TraitDi[Colonne25]),FALSE)=0,"",TEXT(IFERROR(VLOOKUP(T_Convention[[#This Row],[NumL]],T_TraitDi[#Data],COLUMN(T_TraitDi[Colonne25]),FALSE),""),"[hh]:mm"))</f>
        <v/>
      </c>
      <c r="BA298" s="284" t="str">
        <f>IF(VLOOKUP(T_Convention[[#This Row],[NumL]],T_TraitDi[#Data],COLUMN(T_TraitDi[Colonne26]),FALSE)=0,"",TEXT(IFERROR(VLOOKUP(T_Convention[[#This Row],[NumL]],T_TraitDi[#Data],COLUMN(T_TraitDi[Colonne26]),FALSE),""),"[hh]:mm"))</f>
        <v>04:30</v>
      </c>
      <c r="BB298" s="284" t="str">
        <f>IFERROR(VLOOKUP(T_Convention[[#This Row],[NumL]],T_TraitDi[#Data],COLUMN(T_TraitDi[Vendredi]),FALSE),"")</f>
        <v>S</v>
      </c>
      <c r="BC298" s="284" t="str">
        <f>IF(VLOOKUP(T_Convention[[#This Row],[NumL]],T_TraitDi[#Data],COLUMN(T_TraitDi[Colonne27]),FALSE)=0,"",TEXT(IFERROR(VLOOKUP(T_Convention[[#This Row],[NumL]],T_TraitDi[#Data],COLUMN(T_TraitDi[Colonne27]),FALSE),""),"[hh]:mm"))</f>
        <v>08:45</v>
      </c>
      <c r="BD298" s="284" t="str">
        <f>IF(VLOOKUP(T_Convention[[#This Row],[NumL]],T_TraitDi[#Data],COLUMN(T_TraitDi[Colonne28]),FALSE)=0,"",TEXT(IFERROR(VLOOKUP(T_Convention[[#This Row],[NumL]],T_TraitDi[#Data],COLUMN(T_TraitDi[Colonne28]),FALSE),""),"[hh]:mm"))</f>
        <v>12:30</v>
      </c>
      <c r="BE298" s="284" t="str">
        <f>IFERROR(VLOOKUP(T_Convention[[#This Row],[NumL]],T_TraitDi[#Data],COLUMN(T_TraitDi[Colonne29]),FALSE),"")</f>
        <v>S</v>
      </c>
      <c r="BF298" s="284" t="str">
        <f>IF(VLOOKUP(T_Convention[[#This Row],[NumL]],T_TraitDi[#Data],COLUMN(T_TraitDi[Colonne30]),FALSE)=0,"",TEXT(IFERROR(VLOOKUP(T_Convention[[#This Row],[NumL]],T_TraitDi[#Data],COLUMN(T_TraitDi[Colonne30]),FALSE),""),"[hh]:mm"))</f>
        <v>13:30</v>
      </c>
      <c r="BG298" s="284" t="str">
        <f>IF(VLOOKUP(T_Convention[[#This Row],[NumL]],T_TraitDi[#Data],COLUMN(T_TraitDi[Colonne31]),FALSE)=0,"",TEXT(IFERROR(VLOOKUP(T_Convention[[#This Row],[NumL]],T_TraitDi[#Data],COLUMN(T_TraitDi[Colonne31]),FALSE),""),"[hh]:mm"))</f>
        <v>17:05</v>
      </c>
      <c r="BH298" s="284" t="str">
        <f>IF(VLOOKUP(T_Convention[[#This Row],[NumL]],T_TraitDi[#Data],COLUMN(T_TraitDi[Colonne32]),FALSE)=0,"",TEXT(IFERROR(VLOOKUP(T_Convention[[#This Row],[NumL]],T_TraitDi[#Data],COLUMN(T_TraitDi[Colonne32]),FALSE),""),"[hh]:mm"))</f>
        <v>07:20</v>
      </c>
      <c r="BI298" s="284">
        <f>IFERROR(VLOOKUP(T_Convention[[#This Row],[NumL]],T_TraitDi[#Data],COLUMN(T_TraitDi[NbJTW]),FALSE),"")</f>
        <v>1</v>
      </c>
      <c r="BJ298" s="284" t="str">
        <f>IF(VLOOKUP(T_Convention[[#This Row],[NumL]],T_TraitDi[#Data],COLUMN(T_TraitDi[NbhTW]),FALSE)=0,"",TEXT(IFERROR(VLOOKUP(T_Convention[[#This Row],[NumL]],T_TraitDi[#Data],COLUMN(T_TraitDi[NbhTW]),FALSE),""),"[hh]:mm"))</f>
        <v>09:00</v>
      </c>
      <c r="BK298" s="315" t="str">
        <f>IF(VLOOKUP(T_Convention[[#This Row],[NumL]],T_TraitDi[#Data],COLUMN(T_TraitDi[Nbhheb]),FALSE)=0,"",TEXT(IFERROR(VLOOKUP(T_Convention[[#This Row],[NumL]],T_TraitDi[#Data],COLUMN(T_TraitDi[Nbhheb]),FALSE),""),"[hh]:mm"))</f>
        <v>37:05</v>
      </c>
      <c r="BL298" s="287" t="str">
        <f>IFERROR(VLOOKUP(VLOOKUP(T_Convention[[#This Row],[NumL]],T_TraitDi[#Data],COLUMN(T_TraitDi[Type1]),FALSE),TypeTW,2,FALSE),"")</f>
        <v>son domicile (lieu de résidence habituelle du télétravailleur)</v>
      </c>
      <c r="BM298" s="288" t="str">
        <f>IFERROR(VLOOKUP(T_Convention[[#This Row],[NumL]],T_TraitDi[#Data],COLUMN(T_TraitDi[Rue1]),FALSE),"")</f>
        <v>13 rue Victor Hugo</v>
      </c>
      <c r="BN298" s="289" t="str">
        <f>IFERROR(VLOOKUP(T_Convention[[#This Row],[NumL]],T_TraitDi[#Data],COLUMN(T_TraitDi[CP1]),FALSE),"")</f>
        <v>69100</v>
      </c>
      <c r="BO298" s="282" t="str">
        <f>IFERROR(VLOOKUP(T_Convention[[#This Row],[NumL]],T_TraitDi[#Data],COLUMN(T_TraitDi[VILLE1]),FALSE),"")</f>
        <v>VILLEURBANNE</v>
      </c>
      <c r="BP298" s="290" t="str">
        <f>IFERROR(VLOOKUP(VLOOKUP(T_Convention[[#This Row],[NumL]],T_TraitDi[#Data],COLUMN(T_TraitDi[Type2]),FALSE),TypeTW,2,FALSE),"")</f>
        <v/>
      </c>
      <c r="BQ298" s="310" t="str">
        <f>IFERROR(VLOOKUP(T_Convention[[#This Row],[NumL]],T_TraitDi[#Data],COLUMN(T_TraitDi[Rue2]),FALSE),"")</f>
        <v>Sans objet</v>
      </c>
      <c r="BR298" s="290">
        <f>IFERROR(VLOOKUP(T_Convention[[#This Row],[NumL]],T_TraitDi[#Data],COLUMN(T_TraitDi[CP2]),FALSE),"")</f>
        <v>0</v>
      </c>
      <c r="BS298" s="290">
        <f>IFERROR(VLOOKUP(T_Convention[[#This Row],[NumL]],T_TraitDi[#Data],COLUMN(T_TraitDi[VILLE2]),FALSE),"")</f>
        <v>0</v>
      </c>
      <c r="BT298"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298" s="314" t="str">
        <f>IFERROR(IF(VLOOKUP(T_Convention[[#This Row],[NumL]],T_TraitDi[#Data],COLUMN(T_TraitDi[Plan]),FALSE)="OK","Un planning spécifique de télétravail est annexé à la présente convention.",""),"")</f>
        <v/>
      </c>
      <c r="BV298" s="291"/>
      <c r="BW298" s="292" t="str">
        <f>IF(VLOOKUP(T_Convention[[#This Row],[NumL]],T_suiviDi[#Data],COLUMN(T_suiviDi[Entité]),FALSE)="","",VLOOKUP(T_Convention[[#This Row],[NumL]],T_suiviDi[#Data],COLUMN(T_suiviDi[Entité]),FALSE))</f>
        <v>IAE</v>
      </c>
      <c r="BX298" s="311" t="str">
        <f>IF(VLOOKUP(T_Convention[[#This Row],[NumL]],T_Commission[#Data],COLUMN(T_Commission[envoi confirm TW]),FALSE)="","",VLOOKUP(T_Convention[[#This Row],[NumL]],T_Commission[#Data],COLUMN(T_Commission[envoi confirm TW]),FALSE))</f>
        <v>Oui</v>
      </c>
      <c r="BY298"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8" s="265">
        <f>VLOOKUP(T_Convention[[#This Row],[NumL]],T_Commission[#Data],COLUMN(T_Commission[Commentaire]),FALSE)</f>
        <v>0</v>
      </c>
      <c r="CA298" s="255" t="str">
        <f>IF(VLOOKUP(T_Convention[[#This Row],[NumL]],T_Commission[#Data],COLUMN(T_Commission[Encadrant Email]),FALSE)="","",VLOOKUP(T_Convention[[#This Row],[NumL]],T_Commission[#Data],COLUMN(T_Commission[Encadrant Email]),FALSE))</f>
        <v/>
      </c>
      <c r="CB298" s="352">
        <f>VLOOKUP(T_Convention[[#This Row],[NumL]],T_TraitDi[#Data],COLUMN(T_TraitDi[NbJTot]),FALSE)</f>
        <v>4.5</v>
      </c>
      <c r="CC298" s="352" t="str">
        <f>VLOOKUP(T_Convention[[#This Row],[NumL]],T_TraitDi[#Data],COLUMN(T_TraitDi[Reg Ponct]),FALSE)</f>
        <v>R</v>
      </c>
      <c r="CD298" s="348" t="str">
        <f>IF(T_Convention[[#This Row],[Final]]&lt;&gt;"",VLOOKUP(T_Convention[[#This Row],[NumL]],T_suiviDi[#Data],COLUMN((T_suiviDi[Statut])),FALSE),"")</f>
        <v/>
      </c>
    </row>
    <row r="299" spans="1:82" s="50" customFormat="1" ht="18.75" customHeight="1" x14ac:dyDescent="0.25">
      <c r="A299" s="160">
        <v>12</v>
      </c>
      <c r="B299" s="161">
        <f>VLOOKUP(T_Convention[[#This Row],[NumL]],T_Commission[#Data],COLUMN(T_Commission[FINAL]),FALSE)</f>
        <v>1</v>
      </c>
      <c r="C299" s="162"/>
      <c r="D299" s="95" t="str">
        <f>IF(VLOOKUP(T_Convention[[#This Row],[NumL]],T_TraitDi[#Data],COLUMN(T_TraitDi[WebC]),FALSE)="","",VLOOKUP(T_Convention[[#This Row],[NumL]],T_TraitDi[#Data],COLUMN(T_TraitDi[WebC]),FALSE))</f>
        <v>WG</v>
      </c>
      <c r="E299" s="174" t="str">
        <f t="shared" si="20"/>
        <v>12 janvier 2021</v>
      </c>
      <c r="F299" s="282" t="str">
        <f>IF(T_Convention[[#This Row],[Final]]&lt;&gt;"",VLOOKUP(T_Convention[[#This Row],[NumL]],T_suiviDi[#Data],COLUMN((T_suiviDi[Civ.])),FALSE),"")</f>
        <v>M.</v>
      </c>
      <c r="G299" s="283" t="str">
        <f>IF(T_Convention[[#This Row],[Final]]&lt;&gt;"",VLOOKUP(T_Convention[[#This Row],[NumL]],T_suiviDi[#Data],COLUMN((T_suiviDi[Nom])),FALSE),"")</f>
        <v>A</v>
      </c>
      <c r="H299" s="282" t="str">
        <f>IF(T_Convention[[#This Row],[Final]]&lt;&gt;"",VLOOKUP(T_Convention[[#This Row],[NumL]],T_suiviDi[#Data],COLUMN((T_suiviDi[Prénom])),FALSE),"")</f>
        <v>Manuel</v>
      </c>
      <c r="I299" s="282" t="e">
        <f>VLOOKUP(T_Convention[[#This Row],[NumL]],T_suiviDi[#Data],COLUMN((T_suiviDi[[#This Row],[Email]])),FALSE)</f>
        <v>#VALUE!</v>
      </c>
      <c r="J299" s="282" t="e">
        <f>IF(VLOOKUP(T_Convention[[#This Row],[NumL]],T_suiviDi[#Data],COLUMN(T_suiviDi[[#This Row],[Fonction]]),FALSE)="","",VLOOKUP(T_Convention[[#This Row],[NumL]],T_suiviDi[#Data],COLUMN(T_suiviDi[[#This Row],[Fonction]]),FALSE))</f>
        <v>#VALUE!</v>
      </c>
      <c r="K299" s="282" t="e">
        <f>IF(VLOOKUP(T_Convention[[#This Row],[NumL]],T_suiviDi[#Data],COLUMN(T_suiviDi[[#This Row],[Grade]]),FALSE)="","",VLOOKUP(T_Convention[[#This Row],[NumL]],T_suiviDi[#Data],COLUMN(T_suiviDi[[#This Row],[Grade]]),FALSE))</f>
        <v>#VALUE!</v>
      </c>
      <c r="L299" s="282" t="e">
        <f>IF(VLOOKUP(T_Convention[[#This Row],[NumL]],T_suiviDi[#Data],COLUMN(T_suiviDi[[#This Row],[Service ]]),FALSE)="","",VLOOKUP(T_Convention[[#This Row],[NumL]],T_suiviDi[#Data],COLUMN(T_suiviDi[[#This Row],[Service ]]),FALSE))</f>
        <v>#VALUE!</v>
      </c>
      <c r="M299" s="176" t="str">
        <f t="shared" si="21"/>
        <v>01 septembre 2021</v>
      </c>
      <c r="N299" s="176" t="str">
        <f t="shared" si="22"/>
        <v>30 novembre 2021</v>
      </c>
      <c r="O299" s="284" t="str">
        <f t="shared" si="23"/>
        <v>30 novembre 2021</v>
      </c>
      <c r="P299" s="282" t="str">
        <f>IF(VLOOKUP(T_Convention[[#This Row],[NumL]],T_TraitDi[#Data],COLUMN(T_TraitDi[M1]),FALSE)="","",VLOOKUP(T_Convention[[#This Row],[NumL]],T_TraitDi[#Data],COLUMN(T_TraitDi[M1]),FALSE))</f>
        <v>Gestion de la WebTV de Lyon 3</v>
      </c>
      <c r="Q299" s="282" t="str">
        <f>IF(VLOOKUP(T_Convention[[#This Row],[NumL]],T_TraitDi[#Data],COLUMN(T_TraitDi[M2]),FALSE)="","",VLOOKUP(T_Convention[[#This Row],[NumL]],T_TraitDi[#Data],COLUMN(T_TraitDi[M2]),FALSE))</f>
        <v xml:space="preserve">Montage audiovisuel </v>
      </c>
      <c r="R299" s="282" t="str">
        <f>IF(VLOOKUP(T_Convention[[#This Row],[NumL]],T_TraitDi[#Data],COLUMN(T_TraitDi[M3]),FALSE)="","",VLOOKUP(T_Convention[[#This Row],[NumL]],T_TraitDi[#Data],COLUMN(T_TraitDi[M3]),FALSE))</f>
        <v>Gestion de la plateforme Moodle</v>
      </c>
      <c r="S299" s="282" t="str">
        <f>IF(VLOOKUP(T_Convention[[#This Row],[NumL]],T_TraitDi[#Data],COLUMN(T_TraitDi[M4]),FALSE)="","",VLOOKUP(T_Convention[[#This Row],[NumL]],T_TraitDi[#Data],COLUMN(T_TraitDi[M4]),FALSE))</f>
        <v/>
      </c>
      <c r="T299" s="282" t="str">
        <f>IF(VLOOKUP(T_Convention[[#This Row],[NumL]],T_TraitDi[#Data],COLUMN(T_TraitDi[M5]),FALSE)="","",VLOOKUP(T_Convention[[#This Row],[NumL]],T_TraitDi[#Data],COLUMN(T_TraitDi[M5]),FALSE))</f>
        <v/>
      </c>
      <c r="U299" s="282" t="str">
        <f>IF(VLOOKUP(T_Convention[[#This Row],[NumL]],T_TraitDi[#Data],COLUMN(T_TraitDi[M6]),FALSE)="","",VLOOKUP(T_Convention[[#This Row],[NumL]],T_TraitDi[#Data],COLUMN(T_TraitDi[M6]),FALSE))</f>
        <v/>
      </c>
      <c r="V299" s="176" t="str">
        <f t="shared" si="24"/>
        <v>Gestion de la WebTV de Lyon 3Montage audiovisuel Gestion de la plateforme Moodle</v>
      </c>
      <c r="W299" s="284" t="str">
        <f>IFERROR(TEXT(VLOOKUP(T_Convention[[#This Row],[NumL]],T_TraitDi[#Data],COLUMN(T_TraitDi[Q2]),FALSE),"###%"),"")</f>
        <v>100%</v>
      </c>
      <c r="X299" s="97" t="str">
        <f>VLOOKUP(T_Convention[[#This Row],[NumL]],T_TraitDi[#Data],COLUMN(T_TraitDi[Reg Ponct]),FALSE)</f>
        <v>R</v>
      </c>
      <c r="Y299" s="97">
        <f>VLOOKUP(T_Convention[NumL],T_TraitDi[#Data],COLUMN(T_TraitDi[Jours flottants]),FALSE)</f>
        <v>10</v>
      </c>
      <c r="Z299" s="284" t="str">
        <f>IFERROR(VLOOKUP(T_Convention[[#This Row],[NumL]],T_TraitDi[#Data],COLUMN(T_TraitDi[Lundi]),FALSE),"")</f>
        <v>S</v>
      </c>
      <c r="AA299" s="284" t="str">
        <f>IF(VLOOKUP(T_Convention[[#This Row],[NumL]],T_TraitDi[#Data],COLUMN(T_TraitDi[Colonne3]),FALSE)=0,"",TEXT(IFERROR(VLOOKUP(T_Convention[[#This Row],[NumL]],T_TraitDi[#Data],COLUMN(T_TraitDi[Colonne3]),FALSE),""),"[hh]:mm"))</f>
        <v>07:45</v>
      </c>
      <c r="AB299" s="284" t="str">
        <f>IF(VLOOKUP(T_Convention[[#This Row],[NumL]],T_TraitDi[#Data],COLUMN(T_TraitDi[Colonne4]),FALSE)=0,"",TEXT(IFERROR(VLOOKUP(T_Convention[[#This Row],[NumL]],T_TraitDi[#Data],COLUMN(T_TraitDi[Colonne4]),FALSE),""),"[hh]:mm"))</f>
        <v>12:00</v>
      </c>
      <c r="AC299" s="284" t="str">
        <f>IF(VLOOKUP(T_Convention[[#This Row],[NumL]],T_TraitDi[#Data],COLUMN(T_TraitDi[Colonne5]),FALSE)=0,"",TEXT(IFERROR(VLOOKUP(T_Convention[[#This Row],[NumL]],T_TraitDi[#Data],COLUMN(T_TraitDi[Colonne5]),FALSE),""),"[hh]:mm"))</f>
        <v>S</v>
      </c>
      <c r="AD299" s="284" t="str">
        <f>IF(VLOOKUP(T_Convention[[#This Row],[NumL]],T_TraitDi[#Data],COLUMN(T_TraitDi[Colonne6]),FALSE)=0,"",TEXT(IFERROR(VLOOKUP(T_Convention[[#This Row],[NumL]],T_TraitDi[#Data],COLUMN(T_TraitDi[Colonne6]),FALSE),""),"[hh]:mm"))</f>
        <v>13:00</v>
      </c>
      <c r="AE299" s="284" t="str">
        <f>IF(VLOOKUP(T_Convention[[#This Row],[NumL]],T_TraitDi[#Data],COLUMN(T_TraitDi[Colonne7]),FALSE)=0,"",TEXT(IFERROR(VLOOKUP(T_Convention[[#This Row],[NumL]],T_TraitDi[#Data],COLUMN(T_TraitDi[Colonne7]),FALSE),""),"[hh]:mm"))</f>
        <v>16:15</v>
      </c>
      <c r="AF299" s="284" t="str">
        <f>IF(VLOOKUP(T_Convention[[#This Row],[NumL]],T_TraitDi[#Data],COLUMN(T_TraitDi[Colonne8]),FALSE)=0,"",TEXT(IFERROR(VLOOKUP(T_Convention[[#This Row],[NumL]],T_TraitDi[#Data],COLUMN(T_TraitDi[Colonne8]),FALSE),""),"[hh]:mm"))</f>
        <v>07:30</v>
      </c>
      <c r="AG299" s="284" t="str">
        <f>IFERROR(VLOOKUP(T_Convention[[#This Row],[NumL]],T_TraitDi[#Data],COLUMN(T_TraitDi[Mardi]),FALSE),"")</f>
        <v>T</v>
      </c>
      <c r="AH299" s="284" t="str">
        <f>IF(VLOOKUP(T_Convention[[#This Row],[NumL]],T_TraitDi[#Data],COLUMN(T_TraitDi[Colonne1]),FALSE)=0,"",TEXT(IFERROR(VLOOKUP(T_Convention[[#This Row],[NumL]],T_TraitDi[#Data],COLUMN(T_TraitDi[Colonne1]),FALSE),""),"[hh]:mm"))</f>
        <v>07:30</v>
      </c>
      <c r="AI299" s="284" t="str">
        <f>IF(VLOOKUP(T_Convention[[#This Row],[NumL]],T_TraitDi[#Data],COLUMN(T_TraitDi[Colonne9]),FALSE)=0,"",TEXT(IFERROR(VLOOKUP(T_Convention[[#This Row],[NumL]],T_TraitDi[#Data],COLUMN(T_TraitDi[Colonne9]),FALSE),""),"[hh]:mm"))</f>
        <v>12:00</v>
      </c>
      <c r="AJ299" s="284" t="str">
        <f>IFERROR(VLOOKUP(T_Convention[[#This Row],[NumL]],T_TraitDi[#Data],COLUMN(T_TraitDi[Colonne10]),FALSE),"")</f>
        <v>T</v>
      </c>
      <c r="AK299" s="284" t="str">
        <f>IF(VLOOKUP(T_Convention[[#This Row],[NumL]],T_TraitDi[#Data],COLUMN(T_TraitDi[Colonne11]),FALSE)=0,"",TEXT(IFERROR(VLOOKUP(T_Convention[[#This Row],[NumL]],T_TraitDi[#Data],COLUMN(T_TraitDi[Colonne11]),FALSE),""),"[hh]:mm"))</f>
        <v>13:00</v>
      </c>
      <c r="AL299" s="284" t="str">
        <f>IF(VLOOKUP(T_Convention[[#This Row],[NumL]],T_TraitDi[#Data],COLUMN(T_TraitDi[Colonne12]),FALSE)=0,"",TEXT(IFERROR(VLOOKUP(T_Convention[[#This Row],[NumL]],T_TraitDi[#Data],COLUMN(T_TraitDi[Colonne12]),FALSE),""),"[hh]:mm"))</f>
        <v>16:00</v>
      </c>
      <c r="AM299" s="284" t="str">
        <f>IF(VLOOKUP(T_Convention[[#This Row],[NumL]],T_TraitDi[#Data],COLUMN(T_TraitDi[Colonne14]),FALSE)=0,"",TEXT(IFERROR(VLOOKUP(T_Convention[[#This Row],[NumL]],T_TraitDi[#Data],COLUMN(T_TraitDi[Colonne14]),FALSE),""),"[hh]:mm"))</f>
        <v>07:30</v>
      </c>
      <c r="AN299" s="284" t="str">
        <f>IFERROR(VLOOKUP(T_Convention[[#This Row],[NumL]],T_TraitDi[#Data],COLUMN(T_TraitDi[Mercredi]),FALSE),"")</f>
        <v>S</v>
      </c>
      <c r="AO299" s="284" t="str">
        <f>IF(VLOOKUP(T_Convention[[#This Row],[NumL]],T_TraitDi[#Data],COLUMN(T_TraitDi[Colonne15]),FALSE)=0,"",TEXT(IFERROR(VLOOKUP(T_Convention[[#This Row],[NumL]],T_TraitDi[#Data],COLUMN(T_TraitDi[Colonne15]),FALSE),""),"[hh]:mm"))</f>
        <v>07:30</v>
      </c>
      <c r="AP299" s="284" t="str">
        <f>IF(VLOOKUP(T_Convention[[#This Row],[NumL]],T_TraitDi[#Data],COLUMN(T_TraitDi[Colonne16]),FALSE)=0,"",TEXT(IFERROR(VLOOKUP(T_Convention[[#This Row],[NumL]],T_TraitDi[#Data],COLUMN(T_TraitDi[Colonne16]),FALSE),""),"[hh]:mm"))</f>
        <v>12:00</v>
      </c>
      <c r="AQ299" s="284" t="str">
        <f>IFERROR(VLOOKUP(T_Convention[[#This Row],[NumL]],T_TraitDi[#Data],COLUMN(T_TraitDi[Colonne17]),FALSE),"")</f>
        <v>S</v>
      </c>
      <c r="AR299" s="284" t="str">
        <f>IF(VLOOKUP(T_Convention[[#This Row],[NumL]],T_TraitDi[#Data],COLUMN(T_TraitDi[Colonne18]),FALSE)=0,"",TEXT(IFERROR(VLOOKUP(T_Convention[[#This Row],[NumL]],T_TraitDi[#Data],COLUMN(T_TraitDi[Colonne18]),FALSE),""),"[hh]:mm"))</f>
        <v>13:00</v>
      </c>
      <c r="AS299" s="284" t="str">
        <f>IF(VLOOKUP(T_Convention[[#This Row],[NumL]],T_TraitDi[#Data],COLUMN(T_TraitDi[Colonne19]),FALSE)=0,"",TEXT(IFERROR(VLOOKUP(T_Convention[[#This Row],[NumL]],T_TraitDi[#Data],COLUMN(T_TraitDi[Colonne19]),FALSE),""),"[hh]:mm"))</f>
        <v>16:00</v>
      </c>
      <c r="AT299" s="284" t="str">
        <f>IF(VLOOKUP(T_Convention[[#This Row],[NumL]],T_TraitDi[#Data],COLUMN(T_TraitDi[Colonne20]),FALSE)=0,"",TEXT(IFERROR(VLOOKUP(T_Convention[[#This Row],[NumL]],T_TraitDi[#Data],COLUMN(T_TraitDi[Colonne20]),FALSE),""),"[hh]:mm"))</f>
        <v>07:30</v>
      </c>
      <c r="AU299" s="284" t="str">
        <f>IFERROR(VLOOKUP(T_Convention[[#This Row],[NumL]],T_TraitDi[#Data],COLUMN(T_TraitDi[Jeudi]),FALSE),"")</f>
        <v>S</v>
      </c>
      <c r="AV299" s="284" t="str">
        <f>IF(VLOOKUP(T_Convention[[#This Row],[NumL]],T_TraitDi[#Data],COLUMN(T_TraitDi[Colonne21]),FALSE)=0,"",TEXT(IFERROR(VLOOKUP(T_Convention[[#This Row],[NumL]],T_TraitDi[#Data],COLUMN(T_TraitDi[Colonne21]),FALSE),""),"[hh]:mm"))</f>
        <v>07:30</v>
      </c>
      <c r="AW299" s="284" t="str">
        <f>IF(VLOOKUP(T_Convention[[#This Row],[NumL]],T_TraitDi[#Data],COLUMN(T_TraitDi[Colonne22]),FALSE)=0,"",TEXT(IFERROR(VLOOKUP(T_Convention[[#This Row],[NumL]],T_TraitDi[#Data],COLUMN(T_TraitDi[Colonne22]),FALSE),""),"[hh]:mm"))</f>
        <v>12:00</v>
      </c>
      <c r="AX299" s="284" t="str">
        <f>IFERROR(VLOOKUP(T_Convention[[#This Row],[NumL]],T_TraitDi[#Data],COLUMN(T_TraitDi[Colonne23]),FALSE),"")</f>
        <v>S</v>
      </c>
      <c r="AY299" s="284" t="str">
        <f>IF(VLOOKUP(T_Convention[[#This Row],[NumL]],T_TraitDi[#Data],COLUMN(T_TraitDi[Colonne24]),FALSE)=0,"",TEXT(IFERROR(VLOOKUP(T_Convention[[#This Row],[NumL]],T_TraitDi[#Data],COLUMN(T_TraitDi[Colonne24]),FALSE),""),"[hh]:mm"))</f>
        <v>13:00</v>
      </c>
      <c r="AZ299" s="284" t="str">
        <f>IF(VLOOKUP(T_Convention[[#This Row],[NumL]],T_TraitDi[#Data],COLUMN(T_TraitDi[Colonne25]),FALSE)=0,"",TEXT(IFERROR(VLOOKUP(T_Convention[[#This Row],[NumL]],T_TraitDi[#Data],COLUMN(T_TraitDi[Colonne25]),FALSE),""),"[hh]:mm"))</f>
        <v>16:00</v>
      </c>
      <c r="BA299" s="284" t="str">
        <f>IF(VLOOKUP(T_Convention[[#This Row],[NumL]],T_TraitDi[#Data],COLUMN(T_TraitDi[Colonne26]),FALSE)=0,"",TEXT(IFERROR(VLOOKUP(T_Convention[[#This Row],[NumL]],T_TraitDi[#Data],COLUMN(T_TraitDi[Colonne26]),FALSE),""),"[hh]:mm"))</f>
        <v>07:30</v>
      </c>
      <c r="BB299" s="284" t="str">
        <f>IFERROR(VLOOKUP(T_Convention[[#This Row],[NumL]],T_TraitDi[#Data],COLUMN(T_TraitDi[Vendredi]),FALSE),"")</f>
        <v>S</v>
      </c>
      <c r="BC299" s="284" t="str">
        <f>IF(VLOOKUP(T_Convention[[#This Row],[NumL]],T_TraitDi[#Data],COLUMN(T_TraitDi[Colonne27]),FALSE)=0,"",TEXT(IFERROR(VLOOKUP(T_Convention[[#This Row],[NumL]],T_TraitDi[#Data],COLUMN(T_TraitDi[Colonne27]),FALSE),""),"[hh]:mm"))</f>
        <v>07:55</v>
      </c>
      <c r="BD299" s="284" t="str">
        <f>IF(VLOOKUP(T_Convention[[#This Row],[NumL]],T_TraitDi[#Data],COLUMN(T_TraitDi[Colonne28]),FALSE)=0,"",TEXT(IFERROR(VLOOKUP(T_Convention[[#This Row],[NumL]],T_TraitDi[#Data],COLUMN(T_TraitDi[Colonne28]),FALSE),""),"[hh]:mm"))</f>
        <v>12:00</v>
      </c>
      <c r="BE299" s="284" t="str">
        <f>IFERROR(VLOOKUP(T_Convention[[#This Row],[NumL]],T_TraitDi[#Data],COLUMN(T_TraitDi[Colonne29]),FALSE),"")</f>
        <v>S</v>
      </c>
      <c r="BF299" s="284" t="str">
        <f>IF(VLOOKUP(T_Convention[[#This Row],[NumL]],T_TraitDi[#Data],COLUMN(T_TraitDi[Colonne30]),FALSE)=0,"",TEXT(IFERROR(VLOOKUP(T_Convention[[#This Row],[NumL]],T_TraitDi[#Data],COLUMN(T_TraitDi[Colonne30]),FALSE),""),"[hh]:mm"))</f>
        <v>13:00</v>
      </c>
      <c r="BG299" s="284" t="str">
        <f>IF(VLOOKUP(T_Convention[[#This Row],[NumL]],T_TraitDi[#Data],COLUMN(T_TraitDi[Colonne31]),FALSE)=0,"",TEXT(IFERROR(VLOOKUP(T_Convention[[#This Row],[NumL]],T_TraitDi[#Data],COLUMN(T_TraitDi[Colonne31]),FALSE),""),"[hh]:mm"))</f>
        <v>16:00</v>
      </c>
      <c r="BH299" s="284" t="str">
        <f>IF(VLOOKUP(T_Convention[[#This Row],[NumL]],T_TraitDi[#Data],COLUMN(T_TraitDi[Colonne32]),FALSE)=0,"",TEXT(IFERROR(VLOOKUP(T_Convention[[#This Row],[NumL]],T_TraitDi[#Data],COLUMN(T_TraitDi[Colonne32]),FALSE),""),"[hh]:mm"))</f>
        <v>07:05</v>
      </c>
      <c r="BI299" s="284">
        <f>IFERROR(VLOOKUP(T_Convention[[#This Row],[NumL]],T_TraitDi[#Data],COLUMN(T_TraitDi[NbJTW]),FALSE),"")</f>
        <v>1</v>
      </c>
      <c r="BJ299" s="284" t="str">
        <f>IF(VLOOKUP(T_Convention[[#This Row],[NumL]],T_TraitDi[#Data],COLUMN(T_TraitDi[NbhTW]),FALSE)=0,"",TEXT(IFERROR(VLOOKUP(T_Convention[[#This Row],[NumL]],T_TraitDi[#Data],COLUMN(T_TraitDi[NbhTW]),FALSE),""),"[hh]:mm"))</f>
        <v>07:30</v>
      </c>
      <c r="BK299" s="286" t="str">
        <f>IF(VLOOKUP(T_Convention[[#This Row],[NumL]],T_TraitDi[#Data],COLUMN(T_TraitDi[Nbhheb]),FALSE)=0,"",TEXT(IFERROR(VLOOKUP(T_Convention[[#This Row],[NumL]],T_TraitDi[#Data],COLUMN(T_TraitDi[Nbhheb]),FALSE),""),"[hh]:mm"))</f>
        <v>37:05</v>
      </c>
      <c r="BL299" s="287" t="str">
        <f>IFERROR(VLOOKUP(VLOOKUP(T_Convention[[#This Row],[NumL]],T_TraitDi[#Data],COLUMN(T_TraitDi[Type1]),FALSE),TypeTW,2,FALSE),"")</f>
        <v>son domicile (lieu de résidence habituelle du télétravailleur)</v>
      </c>
      <c r="BM299" s="288" t="str">
        <f>IFERROR(VLOOKUP(T_Convention[[#This Row],[NumL]],T_TraitDi[#Data],COLUMN(T_TraitDi[Rue1]),FALSE),"")</f>
        <v>3 rue des Cerisiers</v>
      </c>
      <c r="BN299" s="289" t="str">
        <f>IFERROR(VLOOKUP(T_Convention[[#This Row],[NumL]],T_TraitDi[#Data],COLUMN(T_TraitDi[CP1]),FALSE),"")</f>
        <v>69690</v>
      </c>
      <c r="BO299" s="282" t="str">
        <f>IFERROR(VLOOKUP(T_Convention[[#This Row],[NumL]],T_TraitDi[#Data],COLUMN(T_TraitDi[VILLE1]),FALSE),"")</f>
        <v>BRUSSIEU</v>
      </c>
      <c r="BP299" s="290" t="str">
        <f>IFERROR(VLOOKUP(VLOOKUP(T_Convention[[#This Row],[NumL]],T_TraitDi[#Data],COLUMN(T_TraitDi[Type2]),FALSE),TypeTW,2,FALSE),"")</f>
        <v/>
      </c>
      <c r="BQ299" s="182" t="str">
        <f>IFERROR(VLOOKUP(T_Convention[[#This Row],[NumL]],T_TraitDi[#Data],COLUMN(T_TraitDi[Rue2]),FALSE),"")</f>
        <v>Sans objet</v>
      </c>
      <c r="BR299" s="173" t="str">
        <f>IFERROR(VLOOKUP(T_Convention[[#This Row],[NumL]],T_TraitDi[#Data],COLUMN(T_TraitDi[CP2]),FALSE),"")</f>
        <v xml:space="preserve"> </v>
      </c>
      <c r="BS299" s="173" t="str">
        <f>IFERROR(VLOOKUP(T_Convention[[#This Row],[NumL]],T_TraitDi[#Data],COLUMN(T_TraitDi[VILLE2]),FALSE),"")</f>
        <v xml:space="preserve">  </v>
      </c>
      <c r="BT299" s="182" t="str">
        <f>IF(VLOOKUP(T_Convention[[#This Row],[NumL]],T_Equipement[#Data],COLUMN(T_Equipement[PC]),FALSE)="","Aucun équipement spécifique directement lié au télétravail",VLOOKUP(T_Convention[[#This Row],[NumL]],T_Equipement[#Data],COLUMN(T_Equipement[PC]),FALSE))</f>
        <v>19-600</v>
      </c>
      <c r="BU299" s="166" t="str">
        <f>IFERROR(IF(VLOOKUP(T_Convention[[#This Row],[NumL]],T_TraitDi[#Data],COLUMN(T_TraitDi[Plan]),FALSE)="OK","Un planning spécifique de télétravail est annexé à la présente convention.",""),"")</f>
        <v/>
      </c>
      <c r="BV299" s="270" t="s">
        <v>3409</v>
      </c>
      <c r="BW299" s="164" t="str">
        <f>IF(VLOOKUP(T_Convention[[#This Row],[NumL]],T_suiviDi[#Data],COLUMN(T_suiviDi[Entité]),FALSE)="","",VLOOKUP(T_Convention[[#This Row],[NumL]],T_suiviDi[#Data],COLUMN(T_suiviDi[Entité]),FALSE))</f>
        <v>IAE</v>
      </c>
      <c r="BX299" s="164" t="str">
        <f>IF(VLOOKUP(T_Convention[[#This Row],[NumL]],T_Commission[#Data],COLUMN(T_Commission[envoi confirm TW]),FALSE)="","",VLOOKUP(T_Convention[[#This Row],[NumL]],T_Commission[#Data],COLUMN(T_Commission[envoi confirm TW]),FALSE))</f>
        <v>Oui</v>
      </c>
      <c r="BY29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299" s="264">
        <f>VLOOKUP(T_Convention[[#This Row],[NumL]],T_Commission[#Data],COLUMN(T_Commission[Commentaire]),FALSE)</f>
        <v>0</v>
      </c>
      <c r="CA299" s="254" t="str">
        <f>IF(VLOOKUP(T_Convention[[#This Row],[NumL]],T_Commission[#Data],COLUMN(T_Commission[Encadrant Email]),FALSE)="","",VLOOKUP(T_Convention[[#This Row],[NumL]],T_Commission[#Data],COLUMN(T_Commission[Encadrant Email]),FALSE))</f>
        <v/>
      </c>
      <c r="CB299" s="352">
        <f>VLOOKUP(T_Convention[[#This Row],[NumL]],T_TraitDi[#Data],COLUMN(T_TraitDi[NbJTot]),FALSE)</f>
        <v>5</v>
      </c>
      <c r="CC299" s="352" t="str">
        <f>VLOOKUP(T_Convention[[#This Row],[NumL]],T_TraitDi[#Data],COLUMN(T_TraitDi[Reg Ponct]),FALSE)</f>
        <v>R</v>
      </c>
      <c r="CD299" s="348" t="str">
        <f>IF(T_Convention[[#This Row],[Final]]&lt;&gt;"",VLOOKUP(T_Convention[[#This Row],[NumL]],T_suiviDi[#Data],COLUMN((T_suiviDi[Statut])),FALSE),"")</f>
        <v>RENVL</v>
      </c>
    </row>
    <row r="300" spans="1:82" s="50" customFormat="1" ht="18.75" customHeight="1" x14ac:dyDescent="0.25">
      <c r="A300" s="160">
        <v>298</v>
      </c>
      <c r="B300" s="281" t="str">
        <f>VLOOKUP(T_Convention[[#This Row],[NumL]],T_Commission[#Data],COLUMN(T_Commission[FINAL]),FALSE)</f>
        <v/>
      </c>
      <c r="C300" s="162"/>
      <c r="D300" s="95" t="str">
        <f>IF(VLOOKUP(T_Convention[[#This Row],[NumL]],T_TraitDi[#Data],COLUMN(T_TraitDi[WebC]),FALSE)="","",VLOOKUP(T_Convention[[#This Row],[NumL]],T_TraitDi[#Data],COLUMN(T_TraitDi[WebC]),FALSE))</f>
        <v>DI</v>
      </c>
      <c r="E300" s="163" t="str">
        <f t="shared" si="20"/>
        <v>12 janvier 2021</v>
      </c>
      <c r="F300" s="282" t="str">
        <f>IF(T_Convention[[#This Row],[Final]]&lt;&gt;"",VLOOKUP(T_Convention[[#This Row],[NumL]],T_suiviDi[#Data],COLUMN((T_suiviDi[Civ.])),FALSE),"")</f>
        <v/>
      </c>
      <c r="G300" s="283" t="str">
        <f>IF(T_Convention[[#This Row],[Final]]&lt;&gt;"",VLOOKUP(T_Convention[[#This Row],[NumL]],T_suiviDi[#Data],COLUMN((T_suiviDi[Nom])),FALSE),"")</f>
        <v/>
      </c>
      <c r="H300" s="282" t="str">
        <f>IF(T_Convention[[#This Row],[Final]]&lt;&gt;"",VLOOKUP(T_Convention[[#This Row],[NumL]],T_suiviDi[#Data],COLUMN((T_suiviDi[Prénom])),FALSE),"")</f>
        <v/>
      </c>
      <c r="I300" s="282" t="e">
        <f>VLOOKUP(T_Convention[[#This Row],[NumL]],T_suiviDi[#Data],COLUMN((T_suiviDi[[#This Row],[Email]])),FALSE)</f>
        <v>#VALUE!</v>
      </c>
      <c r="J300" s="282" t="e">
        <f>IF(VLOOKUP(T_Convention[[#This Row],[NumL]],T_suiviDi[#Data],COLUMN(T_suiviDi[[#This Row],[Fonction]]),FALSE)="","",VLOOKUP(T_Convention[[#This Row],[NumL]],T_suiviDi[#Data],COLUMN(T_suiviDi[[#This Row],[Fonction]]),FALSE))</f>
        <v>#VALUE!</v>
      </c>
      <c r="K300" s="282" t="e">
        <f>IF(VLOOKUP(T_Convention[[#This Row],[NumL]],T_suiviDi[#Data],COLUMN(T_suiviDi[[#This Row],[Grade]]),FALSE)="","",VLOOKUP(T_Convention[[#This Row],[NumL]],T_suiviDi[#Data],COLUMN(T_suiviDi[[#This Row],[Grade]]),FALSE))</f>
        <v>#VALUE!</v>
      </c>
      <c r="L300" s="282" t="e">
        <f>IF(VLOOKUP(T_Convention[[#This Row],[NumL]],T_suiviDi[#Data],COLUMN(T_suiviDi[[#This Row],[Service ]]),FALSE)="","",VLOOKUP(T_Convention[[#This Row],[NumL]],T_suiviDi[#Data],COLUMN(T_suiviDi[[#This Row],[Service ]]),FALSE))</f>
        <v>#VALUE!</v>
      </c>
      <c r="M300" s="314" t="str">
        <f t="shared" si="21"/>
        <v>01 septembre 2021</v>
      </c>
      <c r="N300" s="314" t="str">
        <f t="shared" si="22"/>
        <v>30 novembre 2021</v>
      </c>
      <c r="O300" s="284" t="str">
        <f t="shared" si="23"/>
        <v>30 novembre 2021</v>
      </c>
      <c r="P300" s="282" t="str">
        <f>IF(VLOOKUP(T_Convention[[#This Row],[NumL]],T_TraitDi[#Data],COLUMN(T_TraitDi[M1]),FALSE)="","",VLOOKUP(T_Convention[[#This Row],[NumL]],T_TraitDi[#Data],COLUMN(T_TraitDi[M1]),FALSE))</f>
        <v>Outils de politique documentaire (fiche discipline)</v>
      </c>
      <c r="Q300" s="282" t="str">
        <f>IF(VLOOKUP(T_Convention[[#This Row],[NumL]],T_TraitDi[#Data],COLUMN(T_TraitDi[M2]),FALSE)="","",VLOOKUP(T_Convention[[#This Row],[NumL]],T_TraitDi[#Data],COLUMN(T_TraitDi[M2]),FALSE))</f>
        <v>Bilan d'activités des dépenses pour les monographies</v>
      </c>
      <c r="R300" s="282" t="str">
        <f>IF(VLOOKUP(T_Convention[[#This Row],[NumL]],T_TraitDi[#Data],COLUMN(T_TraitDi[M3]),FALSE)="","",VLOOKUP(T_Convention[[#This Row],[NumL]],T_TraitDi[#Data],COLUMN(T_TraitDi[M3]),FALSE))</f>
        <v>Entretiens professionnels et rapports de promotion</v>
      </c>
      <c r="S300" s="282" t="str">
        <f>IF(VLOOKUP(T_Convention[[#This Row],[NumL]],T_TraitDi[#Data],COLUMN(T_TraitDi[M4]),FALSE)="","",VLOOKUP(T_Convention[[#This Row],[NumL]],T_TraitDi[#Data],COLUMN(T_TraitDi[M4]),FALSE))</f>
        <v>Réabonnement des titres de périodiques pour le marché</v>
      </c>
      <c r="T300" s="282" t="str">
        <f>IF(VLOOKUP(T_Convention[[#This Row],[NumL]],T_TraitDi[#Data],COLUMN(T_TraitDi[M5]),FALSE)="","",VLOOKUP(T_Convention[[#This Row],[NumL]],T_TraitDi[#Data],COLUMN(T_TraitDi[M5]),FALSE))</f>
        <v xml:space="preserve">Bilan sur les activités liées aux périodiques </v>
      </c>
      <c r="U300" s="282" t="str">
        <f>IF(VLOOKUP(T_Convention[[#This Row],[NumL]],T_TraitDi[#Data],COLUMN(T_TraitDi[M6]),FALSE)="","",VLOOKUP(T_Convention[[#This Row],[NumL]],T_TraitDi[#Data],COLUMN(T_TraitDi[M6]),FALSE))</f>
        <v/>
      </c>
      <c r="V300" s="314" t="str">
        <f t="shared" si="24"/>
        <v xml:space="preserve">Outils de politique documentaire (fiche discipline)Bilan d'activités des dépenses pour les monographiesEntretiens professionnels et rapports de promotionRéabonnement des titres de périodiques pour le marchéBilan sur les activités liées aux périodiques </v>
      </c>
      <c r="W300" s="284" t="str">
        <f>IFERROR(TEXT(VLOOKUP(T_Convention[[#This Row],[NumL]],T_TraitDi[#Data],COLUMN(T_TraitDi[Q2]),FALSE),"###%"),"")</f>
        <v>100%</v>
      </c>
      <c r="X300" s="285" t="str">
        <f>VLOOKUP(T_Convention[[#This Row],[NumL]],T_TraitDi[#Data],COLUMN(T_TraitDi[Reg Ponct]),FALSE)</f>
        <v>R</v>
      </c>
      <c r="Y300" s="285">
        <f>VLOOKUP(T_Convention[NumL],T_TraitDi[#Data],COLUMN(T_TraitDi[Jours flottants]),FALSE)</f>
        <v>10</v>
      </c>
      <c r="Z300" s="284" t="str">
        <f>IFERROR(VLOOKUP(T_Convention[[#This Row],[NumL]],T_TraitDi[#Data],COLUMN(T_TraitDi[Lundi]),FALSE),"")</f>
        <v>S</v>
      </c>
      <c r="AA300" s="284" t="str">
        <f>IF(VLOOKUP(T_Convention[[#This Row],[NumL]],T_TraitDi[#Data],COLUMN(T_TraitDi[Colonne3]),FALSE)=0,"",TEXT(IFERROR(VLOOKUP(T_Convention[[#This Row],[NumL]],T_TraitDi[#Data],COLUMN(T_TraitDi[Colonne3]),FALSE),""),"[hh]:mm"))</f>
        <v>08:00</v>
      </c>
      <c r="AB300" s="284" t="str">
        <f>IF(VLOOKUP(T_Convention[[#This Row],[NumL]],T_TraitDi[#Data],COLUMN(T_TraitDi[Colonne4]),FALSE)=0,"",TEXT(IFERROR(VLOOKUP(T_Convention[[#This Row],[NumL]],T_TraitDi[#Data],COLUMN(T_TraitDi[Colonne4]),FALSE),""),"[hh]:mm"))</f>
        <v>13:00</v>
      </c>
      <c r="AC300" s="284" t="str">
        <f>IF(VLOOKUP(T_Convention[[#This Row],[NumL]],T_TraitDi[#Data],COLUMN(T_TraitDi[Colonne5]),FALSE)=0,"",TEXT(IFERROR(VLOOKUP(T_Convention[[#This Row],[NumL]],T_TraitDi[#Data],COLUMN(T_TraitDi[Colonne5]),FALSE),""),"[hh]:mm"))</f>
        <v>S</v>
      </c>
      <c r="AD300" s="284" t="str">
        <f>IF(VLOOKUP(T_Convention[[#This Row],[NumL]],T_TraitDi[#Data],COLUMN(T_TraitDi[Colonne6]),FALSE)=0,"",TEXT(IFERROR(VLOOKUP(T_Convention[[#This Row],[NumL]],T_TraitDi[#Data],COLUMN(T_TraitDi[Colonne6]),FALSE),""),"[hh]:mm"))</f>
        <v>14:00</v>
      </c>
      <c r="AE300" s="284" t="str">
        <f>IF(VLOOKUP(T_Convention[[#This Row],[NumL]],T_TraitDi[#Data],COLUMN(T_TraitDi[Colonne7]),FALSE)=0,"",TEXT(IFERROR(VLOOKUP(T_Convention[[#This Row],[NumL]],T_TraitDi[#Data],COLUMN(T_TraitDi[Colonne7]),FALSE),""),"[hh]:mm"))</f>
        <v>16:35</v>
      </c>
      <c r="AF300" s="284" t="str">
        <f>IF(VLOOKUP(T_Convention[[#This Row],[NumL]],T_TraitDi[#Data],COLUMN(T_TraitDi[Colonne8]),FALSE)=0,"",TEXT(IFERROR(VLOOKUP(T_Convention[[#This Row],[NumL]],T_TraitDi[#Data],COLUMN(T_TraitDi[Colonne8]),FALSE),""),"[hh]:mm"))</f>
        <v>07:35</v>
      </c>
      <c r="AG300" s="284" t="str">
        <f>IFERROR(VLOOKUP(T_Convention[[#This Row],[NumL]],T_TraitDi[#Data],COLUMN(T_TraitDi[Mardi]),FALSE),"")</f>
        <v>S</v>
      </c>
      <c r="AH300" s="284" t="str">
        <f>IF(VLOOKUP(T_Convention[[#This Row],[NumL]],T_TraitDi[#Data],COLUMN(T_TraitDi[Colonne1]),FALSE)=0,"",TEXT(IFERROR(VLOOKUP(T_Convention[[#This Row],[NumL]],T_TraitDi[#Data],COLUMN(T_TraitDi[Colonne1]),FALSE),""),"[hh]:mm"))</f>
        <v>08:00</v>
      </c>
      <c r="AI300" s="284" t="str">
        <f>IF(VLOOKUP(T_Convention[[#This Row],[NumL]],T_TraitDi[#Data],COLUMN(T_TraitDi[Colonne9]),FALSE)=0,"",TEXT(IFERROR(VLOOKUP(T_Convention[[#This Row],[NumL]],T_TraitDi[#Data],COLUMN(T_TraitDi[Colonne9]),FALSE),""),"[hh]:mm"))</f>
        <v>12:00</v>
      </c>
      <c r="AJ300" s="284" t="str">
        <f>IFERROR(VLOOKUP(T_Convention[[#This Row],[NumL]],T_TraitDi[#Data],COLUMN(T_TraitDi[Colonne10]),FALSE),"")</f>
        <v>S</v>
      </c>
      <c r="AK300" s="284" t="str">
        <f>IF(VLOOKUP(T_Convention[[#This Row],[NumL]],T_TraitDi[#Data],COLUMN(T_TraitDi[Colonne11]),FALSE)=0,"",TEXT(IFERROR(VLOOKUP(T_Convention[[#This Row],[NumL]],T_TraitDi[#Data],COLUMN(T_TraitDi[Colonne11]),FALSE),""),"[hh]:mm"))</f>
        <v>13:00</v>
      </c>
      <c r="AL300" s="284" t="str">
        <f>IF(VLOOKUP(T_Convention[[#This Row],[NumL]],T_TraitDi[#Data],COLUMN(T_TraitDi[Colonne12]),FALSE)=0,"",TEXT(IFERROR(VLOOKUP(T_Convention[[#This Row],[NumL]],T_TraitDi[#Data],COLUMN(T_TraitDi[Colonne12]),FALSE),""),"[hh]:mm"))</f>
        <v>16:30</v>
      </c>
      <c r="AM300" s="284" t="str">
        <f>IF(VLOOKUP(T_Convention[[#This Row],[NumL]],T_TraitDi[#Data],COLUMN(T_TraitDi[Colonne14]),FALSE)=0,"",TEXT(IFERROR(VLOOKUP(T_Convention[[#This Row],[NumL]],T_TraitDi[#Data],COLUMN(T_TraitDi[Colonne14]),FALSE),""),"[hh]:mm"))</f>
        <v>07:30</v>
      </c>
      <c r="AN300" s="284" t="str">
        <f>IFERROR(VLOOKUP(T_Convention[[#This Row],[NumL]],T_TraitDi[#Data],COLUMN(T_TraitDi[Mercredi]),FALSE),"")</f>
        <v>S</v>
      </c>
      <c r="AO300" s="284" t="str">
        <f>IF(VLOOKUP(T_Convention[[#This Row],[NumL]],T_TraitDi[#Data],COLUMN(T_TraitDi[Colonne15]),FALSE)=0,"",TEXT(IFERROR(VLOOKUP(T_Convention[[#This Row],[NumL]],T_TraitDi[#Data],COLUMN(T_TraitDi[Colonne15]),FALSE),""),"[hh]:mm"))</f>
        <v>08:00</v>
      </c>
      <c r="AP300" s="284" t="str">
        <f>IF(VLOOKUP(T_Convention[[#This Row],[NumL]],T_TraitDi[#Data],COLUMN(T_TraitDi[Colonne16]),FALSE)=0,"",TEXT(IFERROR(VLOOKUP(T_Convention[[#This Row],[NumL]],T_TraitDi[#Data],COLUMN(T_TraitDi[Colonne16]),FALSE),""),"[hh]:mm"))</f>
        <v>14:00</v>
      </c>
      <c r="AQ300" s="284" t="str">
        <f>IFERROR(VLOOKUP(T_Convention[[#This Row],[NumL]],T_TraitDi[#Data],COLUMN(T_TraitDi[Colonne17]),FALSE),"")</f>
        <v>A</v>
      </c>
      <c r="AR300" s="284" t="str">
        <f>IF(VLOOKUP(T_Convention[[#This Row],[NumL]],T_TraitDi[#Data],COLUMN(T_TraitDi[Colonne18]),FALSE)=0,"",TEXT(IFERROR(VLOOKUP(T_Convention[[#This Row],[NumL]],T_TraitDi[#Data],COLUMN(T_TraitDi[Colonne18]),FALSE),""),"[hh]:mm"))</f>
        <v/>
      </c>
      <c r="AS300" s="284" t="str">
        <f>IF(VLOOKUP(T_Convention[[#This Row],[NumL]],T_TraitDi[#Data],COLUMN(T_TraitDi[Colonne19]),FALSE)=0,"",TEXT(IFERROR(VLOOKUP(T_Convention[[#This Row],[NumL]],T_TraitDi[#Data],COLUMN(T_TraitDi[Colonne19]),FALSE),""),"[hh]:mm"))</f>
        <v/>
      </c>
      <c r="AT300" s="284" t="str">
        <f>IF(VLOOKUP(T_Convention[[#This Row],[NumL]],T_TraitDi[#Data],COLUMN(T_TraitDi[Colonne20]),FALSE)=0,"",TEXT(IFERROR(VLOOKUP(T_Convention[[#This Row],[NumL]],T_TraitDi[#Data],COLUMN(T_TraitDi[Colonne20]),FALSE),""),"[hh]:mm"))</f>
        <v>06:00</v>
      </c>
      <c r="AU300" s="284" t="str">
        <f>IFERROR(VLOOKUP(T_Convention[[#This Row],[NumL]],T_TraitDi[#Data],COLUMN(T_TraitDi[Jeudi]),FALSE),"")</f>
        <v>S</v>
      </c>
      <c r="AV300" s="284" t="str">
        <f>IF(VLOOKUP(T_Convention[[#This Row],[NumL]],T_TraitDi[#Data],COLUMN(T_TraitDi[Colonne21]),FALSE)=0,"",TEXT(IFERROR(VLOOKUP(T_Convention[[#This Row],[NumL]],T_TraitDi[#Data],COLUMN(T_TraitDi[Colonne21]),FALSE),""),"[hh]:mm"))</f>
        <v>08:00</v>
      </c>
      <c r="AW300" s="284" t="str">
        <f>IF(VLOOKUP(T_Convention[[#This Row],[NumL]],T_TraitDi[#Data],COLUMN(T_TraitDi[Colonne22]),FALSE)=0,"",TEXT(IFERROR(VLOOKUP(T_Convention[[#This Row],[NumL]],T_TraitDi[#Data],COLUMN(T_TraitDi[Colonne22]),FALSE),""),"[hh]:mm"))</f>
        <v>12:00</v>
      </c>
      <c r="AX300" s="284" t="str">
        <f>IFERROR(VLOOKUP(T_Convention[[#This Row],[NumL]],T_TraitDi[#Data],COLUMN(T_TraitDi[Colonne23]),FALSE),"")</f>
        <v>S</v>
      </c>
      <c r="AY300" s="284" t="str">
        <f>IF(VLOOKUP(T_Convention[[#This Row],[NumL]],T_TraitDi[#Data],COLUMN(T_TraitDi[Colonne24]),FALSE)=0,"",TEXT(IFERROR(VLOOKUP(T_Convention[[#This Row],[NumL]],T_TraitDi[#Data],COLUMN(T_TraitDi[Colonne24]),FALSE),""),"[hh]:mm"))</f>
        <v>13:00</v>
      </c>
      <c r="AZ300" s="284" t="str">
        <f>IF(VLOOKUP(T_Convention[[#This Row],[NumL]],T_TraitDi[#Data],COLUMN(T_TraitDi[Colonne25]),FALSE)=0,"",TEXT(IFERROR(VLOOKUP(T_Convention[[#This Row],[NumL]],T_TraitDi[#Data],COLUMN(T_TraitDi[Colonne25]),FALSE),""),"[hh]:mm"))</f>
        <v>16:30</v>
      </c>
      <c r="BA300" s="284" t="str">
        <f>IF(VLOOKUP(T_Convention[[#This Row],[NumL]],T_TraitDi[#Data],COLUMN(T_TraitDi[Colonne26]),FALSE)=0,"",TEXT(IFERROR(VLOOKUP(T_Convention[[#This Row],[NumL]],T_TraitDi[#Data],COLUMN(T_TraitDi[Colonne26]),FALSE),""),"[hh]:mm"))</f>
        <v>07:30</v>
      </c>
      <c r="BB300" s="284" t="str">
        <f>IFERROR(VLOOKUP(T_Convention[[#This Row],[NumL]],T_TraitDi[#Data],COLUMN(T_TraitDi[Vendredi]),FALSE),"")</f>
        <v>T</v>
      </c>
      <c r="BC300" s="284" t="str">
        <f>IF(VLOOKUP(T_Convention[[#This Row],[NumL]],T_TraitDi[#Data],COLUMN(T_TraitDi[Colonne27]),FALSE)=0,"",TEXT(IFERROR(VLOOKUP(T_Convention[[#This Row],[NumL]],T_TraitDi[#Data],COLUMN(T_TraitDi[Colonne27]),FALSE),""),"[hh]:mm"))</f>
        <v>08:00</v>
      </c>
      <c r="BD300" s="284" t="str">
        <f>IF(VLOOKUP(T_Convention[[#This Row],[NumL]],T_TraitDi[#Data],COLUMN(T_TraitDi[Colonne28]),FALSE)=0,"",TEXT(IFERROR(VLOOKUP(T_Convention[[#This Row],[NumL]],T_TraitDi[#Data],COLUMN(T_TraitDi[Colonne28]),FALSE),""),"[hh]:mm"))</f>
        <v>12:00</v>
      </c>
      <c r="BE300" s="284" t="str">
        <f>IFERROR(VLOOKUP(T_Convention[[#This Row],[NumL]],T_TraitDi[#Data],COLUMN(T_TraitDi[Colonne29]),FALSE),"")</f>
        <v>T</v>
      </c>
      <c r="BF300" s="284" t="str">
        <f>IF(VLOOKUP(T_Convention[[#This Row],[NumL]],T_TraitDi[#Data],COLUMN(T_TraitDi[Colonne30]),FALSE)=0,"",TEXT(IFERROR(VLOOKUP(T_Convention[[#This Row],[NumL]],T_TraitDi[#Data],COLUMN(T_TraitDi[Colonne30]),FALSE),""),"[hh]:mm"))</f>
        <v>13:00</v>
      </c>
      <c r="BG300" s="284" t="str">
        <f>IF(VLOOKUP(T_Convention[[#This Row],[NumL]],T_TraitDi[#Data],COLUMN(T_TraitDi[Colonne31]),FALSE)=0,"",TEXT(IFERROR(VLOOKUP(T_Convention[[#This Row],[NumL]],T_TraitDi[#Data],COLUMN(T_TraitDi[Colonne31]),FALSE),""),"[hh]:mm"))</f>
        <v>17:30</v>
      </c>
      <c r="BH300" s="284" t="str">
        <f>IF(VLOOKUP(T_Convention[[#This Row],[NumL]],T_TraitDi[#Data],COLUMN(T_TraitDi[Colonne32]),FALSE)=0,"",TEXT(IFERROR(VLOOKUP(T_Convention[[#This Row],[NumL]],T_TraitDi[#Data],COLUMN(T_TraitDi[Colonne32]),FALSE),""),"[hh]:mm"))</f>
        <v>08:30</v>
      </c>
      <c r="BI300" s="284">
        <f>IFERROR(VLOOKUP(T_Convention[[#This Row],[NumL]],T_TraitDi[#Data],COLUMN(T_TraitDi[NbJTW]),FALSE),"")</f>
        <v>1</v>
      </c>
      <c r="BJ300" s="284" t="str">
        <f>IF(VLOOKUP(T_Convention[[#This Row],[NumL]],T_TraitDi[#Data],COLUMN(T_TraitDi[NbhTW]),FALSE)=0,"",TEXT(IFERROR(VLOOKUP(T_Convention[[#This Row],[NumL]],T_TraitDi[#Data],COLUMN(T_TraitDi[NbhTW]),FALSE),""),"[hh]:mm"))</f>
        <v>08:30</v>
      </c>
      <c r="BK300" s="315" t="str">
        <f>IF(VLOOKUP(T_Convention[[#This Row],[NumL]],T_TraitDi[#Data],COLUMN(T_TraitDi[Nbhheb]),FALSE)=0,"",TEXT(IFERROR(VLOOKUP(T_Convention[[#This Row],[NumL]],T_TraitDi[#Data],COLUMN(T_TraitDi[Nbhheb]),FALSE),""),"[hh]:mm"))</f>
        <v>37:05</v>
      </c>
      <c r="BL300" s="287" t="str">
        <f>IFERROR(VLOOKUP(VLOOKUP(T_Convention[[#This Row],[NumL]],T_TraitDi[#Data],COLUMN(T_TraitDi[Type1]),FALSE),TypeTW,2,FALSE),"")</f>
        <v>son domicile (lieu de résidence habituelle du télétravailleur)</v>
      </c>
      <c r="BM300" s="288" t="str">
        <f>IFERROR(VLOOKUP(T_Convention[[#This Row],[NumL]],T_TraitDi[#Data],COLUMN(T_TraitDi[Rue1]),FALSE),"")</f>
        <v>8 Rue Pierre Bressat</v>
      </c>
      <c r="BN300" s="289" t="str">
        <f>IFERROR(VLOOKUP(T_Convention[[#This Row],[NumL]],T_TraitDi[#Data],COLUMN(T_TraitDi[CP1]),FALSE),"")</f>
        <v>69100</v>
      </c>
      <c r="BO300" s="282" t="str">
        <f>IFERROR(VLOOKUP(T_Convention[[#This Row],[NumL]],T_TraitDi[#Data],COLUMN(T_TraitDi[VILLE1]),FALSE),"")</f>
        <v>VILLEURBANNE</v>
      </c>
      <c r="BP300" s="290" t="str">
        <f>IFERROR(VLOOKUP(VLOOKUP(T_Convention[[#This Row],[NumL]],T_TraitDi[#Data],COLUMN(T_TraitDi[Type2]),FALSE),TypeTW,2,FALSE),"")</f>
        <v/>
      </c>
      <c r="BQ300" s="310" t="str">
        <f>IFERROR(VLOOKUP(T_Convention[[#This Row],[NumL]],T_TraitDi[#Data],COLUMN(T_TraitDi[Rue2]),FALSE),"")</f>
        <v>Sans objet</v>
      </c>
      <c r="BR300" s="290">
        <f>IFERROR(VLOOKUP(T_Convention[[#This Row],[NumL]],T_TraitDi[#Data],COLUMN(T_TraitDi[CP2]),FALSE),"")</f>
        <v>0</v>
      </c>
      <c r="BS300" s="290">
        <f>IFERROR(VLOOKUP(T_Convention[[#This Row],[NumL]],T_TraitDi[#Data],COLUMN(T_TraitDi[VILLE2]),FALSE),"")</f>
        <v>0</v>
      </c>
      <c r="BT300"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00" s="314" t="str">
        <f>IFERROR(IF(VLOOKUP(T_Convention[[#This Row],[NumL]],T_TraitDi[#Data],COLUMN(T_TraitDi[Plan]),FALSE)="OK","Un planning spécifique de télétravail est annexé à la présente convention.",""),"")</f>
        <v/>
      </c>
      <c r="BV300" s="291"/>
      <c r="BW300" s="292" t="str">
        <f>IF(VLOOKUP(T_Convention[[#This Row],[NumL]],T_suiviDi[#Data],COLUMN(T_suiviDi[Entité]),FALSE)="","",VLOOKUP(T_Convention[[#This Row],[NumL]],T_suiviDi[#Data],COLUMN(T_suiviDi[Entité]),FALSE))</f>
        <v>BU</v>
      </c>
      <c r="BX300" s="311" t="str">
        <f>IF(VLOOKUP(T_Convention[[#This Row],[NumL]],T_Commission[#Data],COLUMN(T_Commission[envoi confirm TW]),FALSE)="","",VLOOKUP(T_Convention[[#This Row],[NumL]],T_Commission[#Data],COLUMN(T_Commission[envoi confirm TW]),FALSE))</f>
        <v>Oui</v>
      </c>
      <c r="BY300"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0" s="265">
        <f>VLOOKUP(T_Convention[[#This Row],[NumL]],T_Commission[#Data],COLUMN(T_Commission[Commentaire]),FALSE)</f>
        <v>0</v>
      </c>
      <c r="CA300" s="255" t="str">
        <f>IF(VLOOKUP(T_Convention[[#This Row],[NumL]],T_Commission[#Data],COLUMN(T_Commission[Encadrant Email]),FALSE)="","",VLOOKUP(T_Convention[[#This Row],[NumL]],T_Commission[#Data],COLUMN(T_Commission[Encadrant Email]),FALSE))</f>
        <v/>
      </c>
      <c r="CB300" s="352">
        <f>VLOOKUP(T_Convention[[#This Row],[NumL]],T_TraitDi[#Data],COLUMN(T_TraitDi[NbJTot]),FALSE)</f>
        <v>4.5</v>
      </c>
      <c r="CC300" s="352" t="str">
        <f>VLOOKUP(T_Convention[[#This Row],[NumL]],T_TraitDi[#Data],COLUMN(T_TraitDi[Reg Ponct]),FALSE)</f>
        <v>R</v>
      </c>
      <c r="CD300" s="348" t="str">
        <f>IF(T_Convention[[#This Row],[Final]]&lt;&gt;"",VLOOKUP(T_Convention[[#This Row],[NumL]],T_suiviDi[#Data],COLUMN((T_suiviDi[Statut])),FALSE),"")</f>
        <v/>
      </c>
    </row>
    <row r="301" spans="1:82" s="50" customFormat="1" ht="18.75" customHeight="1" x14ac:dyDescent="0.25">
      <c r="A301" s="160">
        <v>291</v>
      </c>
      <c r="B301" s="161" t="str">
        <f>VLOOKUP(T_Convention[[#This Row],[NumL]],T_Commission[#Data],COLUMN(T_Commission[FINAL]),FALSE)</f>
        <v/>
      </c>
      <c r="C301" s="162"/>
      <c r="D301" s="95" t="str">
        <f>IF(VLOOKUP(T_Convention[[#This Row],[NumL]],T_TraitDi[#Data],COLUMN(T_TraitDi[WebC]),FALSE)="","",VLOOKUP(T_Convention[[#This Row],[NumL]],T_TraitDi[#Data],COLUMN(T_TraitDi[WebC]),FALSE))</f>
        <v>WG</v>
      </c>
      <c r="E301" s="174" t="str">
        <f t="shared" si="20"/>
        <v>12 janvier 2021</v>
      </c>
      <c r="F301" s="282" t="str">
        <f>IF(T_Convention[[#This Row],[Final]]&lt;&gt;"",VLOOKUP(T_Convention[[#This Row],[NumL]],T_suiviDi[#Data],COLUMN((T_suiviDi[Civ.])),FALSE),"")</f>
        <v/>
      </c>
      <c r="G301" s="283" t="str">
        <f>IF(T_Convention[[#This Row],[Final]]&lt;&gt;"",VLOOKUP(T_Convention[[#This Row],[NumL]],T_suiviDi[#Data],COLUMN((T_suiviDi[Nom])),FALSE),"")</f>
        <v/>
      </c>
      <c r="H301" s="282" t="str">
        <f>IF(T_Convention[[#This Row],[Final]]&lt;&gt;"",VLOOKUP(T_Convention[[#This Row],[NumL]],T_suiviDi[#Data],COLUMN((T_suiviDi[Prénom])),FALSE),"")</f>
        <v/>
      </c>
      <c r="I301" s="282" t="e">
        <f>VLOOKUP(T_Convention[[#This Row],[NumL]],T_suiviDi[#Data],COLUMN((T_suiviDi[[#This Row],[Email]])),FALSE)</f>
        <v>#VALUE!</v>
      </c>
      <c r="J301" s="282" t="e">
        <f>IF(VLOOKUP(T_Convention[[#This Row],[NumL]],T_suiviDi[#Data],COLUMN(T_suiviDi[[#This Row],[Fonction]]),FALSE)="","",VLOOKUP(T_Convention[[#This Row],[NumL]],T_suiviDi[#Data],COLUMN(T_suiviDi[[#This Row],[Fonction]]),FALSE))</f>
        <v>#VALUE!</v>
      </c>
      <c r="K301" s="282" t="e">
        <f>IF(VLOOKUP(T_Convention[[#This Row],[NumL]],T_suiviDi[#Data],COLUMN(T_suiviDi[[#This Row],[Grade]]),FALSE)="","",VLOOKUP(T_Convention[[#This Row],[NumL]],T_suiviDi[#Data],COLUMN(T_suiviDi[[#This Row],[Grade]]),FALSE))</f>
        <v>#VALUE!</v>
      </c>
      <c r="L301" s="282" t="e">
        <f>IF(VLOOKUP(T_Convention[[#This Row],[NumL]],T_suiviDi[#Data],COLUMN(T_suiviDi[[#This Row],[Service ]]),FALSE)="","",VLOOKUP(T_Convention[[#This Row],[NumL]],T_suiviDi[#Data],COLUMN(T_suiviDi[[#This Row],[Service ]]),FALSE))</f>
        <v>#VALUE!</v>
      </c>
      <c r="M301" s="176" t="str">
        <f t="shared" si="21"/>
        <v>01 septembre 2021</v>
      </c>
      <c r="N301" s="176" t="str">
        <f t="shared" si="22"/>
        <v>30 novembre 2021</v>
      </c>
      <c r="O301" s="284" t="str">
        <f t="shared" si="23"/>
        <v>30 novembre 2021</v>
      </c>
      <c r="P301" s="282" t="str">
        <f>IF(VLOOKUP(T_Convention[[#This Row],[NumL]],T_TraitDi[#Data],COLUMN(T_TraitDi[M1]),FALSE)="","",VLOOKUP(T_Convention[[#This Row],[NumL]],T_TraitDi[#Data],COLUMN(T_TraitDi[M1]),FALSE))</f>
        <v>Facturation clients</v>
      </c>
      <c r="Q301" s="282" t="str">
        <f>IF(VLOOKUP(T_Convention[[#This Row],[NumL]],T_TraitDi[#Data],COLUMN(T_TraitDi[M2]),FALSE)="","",VLOOKUP(T_Convention[[#This Row],[NumL]],T_TraitDi[#Data],COLUMN(T_TraitDi[M2]),FALSE))</f>
        <v>Envoi de factures par courrier, sur internet ou par mail</v>
      </c>
      <c r="R301" s="282" t="str">
        <f>IF(VLOOKUP(T_Convention[[#This Row],[NumL]],T_TraitDi[#Data],COLUMN(T_TraitDi[M3]),FALSE)="","",VLOOKUP(T_Convention[[#This Row],[NumL]],T_TraitDi[#Data],COLUMN(T_TraitDi[M3]),FALSE))</f>
        <v/>
      </c>
      <c r="S301" s="282" t="str">
        <f>IF(VLOOKUP(T_Convention[[#This Row],[NumL]],T_TraitDi[#Data],COLUMN(T_TraitDi[M4]),FALSE)="","",VLOOKUP(T_Convention[[#This Row],[NumL]],T_TraitDi[#Data],COLUMN(T_TraitDi[M4]),FALSE))</f>
        <v/>
      </c>
      <c r="T301" s="282" t="str">
        <f>IF(VLOOKUP(T_Convention[[#This Row],[NumL]],T_TraitDi[#Data],COLUMN(T_TraitDi[M5]),FALSE)="","",VLOOKUP(T_Convention[[#This Row],[NumL]],T_TraitDi[#Data],COLUMN(T_TraitDi[M5]),FALSE))</f>
        <v/>
      </c>
      <c r="U301" s="282" t="str">
        <f>IF(VLOOKUP(T_Convention[[#This Row],[NumL]],T_TraitDi[#Data],COLUMN(T_TraitDi[M6]),FALSE)="","",VLOOKUP(T_Convention[[#This Row],[NumL]],T_TraitDi[#Data],COLUMN(T_TraitDi[M6]),FALSE))</f>
        <v/>
      </c>
      <c r="V301" s="176" t="str">
        <f t="shared" si="24"/>
        <v>Facturation clientsEnvoi de factures par courrier, sur internet ou par mail</v>
      </c>
      <c r="W301" s="284" t="str">
        <f>IFERROR(TEXT(VLOOKUP(T_Convention[[#This Row],[NumL]],T_TraitDi[#Data],COLUMN(T_TraitDi[Q2]),FALSE),"###%"),"")</f>
        <v>80%</v>
      </c>
      <c r="X301" s="97" t="str">
        <f>VLOOKUP(T_Convention[[#This Row],[NumL]],T_TraitDi[#Data],COLUMN(T_TraitDi[Reg Ponct]),FALSE)</f>
        <v>R</v>
      </c>
      <c r="Y301" s="97">
        <f>VLOOKUP(T_Convention[NumL],T_TraitDi[#Data],COLUMN(T_TraitDi[Jours flottants]),FALSE)</f>
        <v>8</v>
      </c>
      <c r="Z301" s="284" t="str">
        <f>IFERROR(VLOOKUP(T_Convention[[#This Row],[NumL]],T_TraitDi[#Data],COLUMN(T_TraitDi[Lundi]),FALSE),"")</f>
        <v>S</v>
      </c>
      <c r="AA301" s="284" t="str">
        <f>IF(VLOOKUP(T_Convention[[#This Row],[NumL]],T_TraitDi[#Data],COLUMN(T_TraitDi[Colonne3]),FALSE)=0,"",TEXT(IFERROR(VLOOKUP(T_Convention[[#This Row],[NumL]],T_TraitDi[#Data],COLUMN(T_TraitDi[Colonne3]),FALSE),""),"[hh]:mm"))</f>
        <v>08:45</v>
      </c>
      <c r="AB301" s="284" t="str">
        <f>IF(VLOOKUP(T_Convention[[#This Row],[NumL]],T_TraitDi[#Data],COLUMN(T_TraitDi[Colonne4]),FALSE)=0,"",TEXT(IFERROR(VLOOKUP(T_Convention[[#This Row],[NumL]],T_TraitDi[#Data],COLUMN(T_TraitDi[Colonne4]),FALSE),""),"[hh]:mm"))</f>
        <v>12:00</v>
      </c>
      <c r="AC301" s="284" t="str">
        <f>IF(VLOOKUP(T_Convention[[#This Row],[NumL]],T_TraitDi[#Data],COLUMN(T_TraitDi[Colonne5]),FALSE)=0,"",TEXT(IFERROR(VLOOKUP(T_Convention[[#This Row],[NumL]],T_TraitDi[#Data],COLUMN(T_TraitDi[Colonne5]),FALSE),""),"[hh]:mm"))</f>
        <v>S</v>
      </c>
      <c r="AD301" s="284" t="str">
        <f>IF(VLOOKUP(T_Convention[[#This Row],[NumL]],T_TraitDi[#Data],COLUMN(T_TraitDi[Colonne6]),FALSE)=0,"",TEXT(IFERROR(VLOOKUP(T_Convention[[#This Row],[NumL]],T_TraitDi[#Data],COLUMN(T_TraitDi[Colonne6]),FALSE),""),"[hh]:mm"))</f>
        <v>13:00</v>
      </c>
      <c r="AE301" s="284" t="str">
        <f>IF(VLOOKUP(T_Convention[[#This Row],[NumL]],T_TraitDi[#Data],COLUMN(T_TraitDi[Colonne7]),FALSE)=0,"",TEXT(IFERROR(VLOOKUP(T_Convention[[#This Row],[NumL]],T_TraitDi[#Data],COLUMN(T_TraitDi[Colonne7]),FALSE),""),"[hh]:mm"))</f>
        <v>17:10</v>
      </c>
      <c r="AF301" s="284" t="str">
        <f>IF(VLOOKUP(T_Convention[[#This Row],[NumL]],T_TraitDi[#Data],COLUMN(T_TraitDi[Colonne8]),FALSE)=0,"",TEXT(IFERROR(VLOOKUP(T_Convention[[#This Row],[NumL]],T_TraitDi[#Data],COLUMN(T_TraitDi[Colonne8]),FALSE),""),"[hh]:mm"))</f>
        <v>07:25</v>
      </c>
      <c r="AG301" s="284" t="str">
        <f>IFERROR(VLOOKUP(T_Convention[[#This Row],[NumL]],T_TraitDi[#Data],COLUMN(T_TraitDi[Mardi]),FALSE),"")</f>
        <v>S</v>
      </c>
      <c r="AH301" s="284" t="str">
        <f>IF(VLOOKUP(T_Convention[[#This Row],[NumL]],T_TraitDi[#Data],COLUMN(T_TraitDi[Colonne1]),FALSE)=0,"",TEXT(IFERROR(VLOOKUP(T_Convention[[#This Row],[NumL]],T_TraitDi[#Data],COLUMN(T_TraitDi[Colonne1]),FALSE),""),"[hh]:mm"))</f>
        <v>08:45</v>
      </c>
      <c r="AI301" s="284" t="str">
        <f>IF(VLOOKUP(T_Convention[[#This Row],[NumL]],T_TraitDi[#Data],COLUMN(T_TraitDi[Colonne9]),FALSE)=0,"",TEXT(IFERROR(VLOOKUP(T_Convention[[#This Row],[NumL]],T_TraitDi[#Data],COLUMN(T_TraitDi[Colonne9]),FALSE),""),"[hh]:mm"))</f>
        <v>12:00</v>
      </c>
      <c r="AJ301" s="284" t="str">
        <f>IFERROR(VLOOKUP(T_Convention[[#This Row],[NumL]],T_TraitDi[#Data],COLUMN(T_TraitDi[Colonne10]),FALSE),"")</f>
        <v>S</v>
      </c>
      <c r="AK301" s="284" t="str">
        <f>IF(VLOOKUP(T_Convention[[#This Row],[NumL]],T_TraitDi[#Data],COLUMN(T_TraitDi[Colonne11]),FALSE)=0,"",TEXT(IFERROR(VLOOKUP(T_Convention[[#This Row],[NumL]],T_TraitDi[#Data],COLUMN(T_TraitDi[Colonne11]),FALSE),""),"[hh]:mm"))</f>
        <v>13:00</v>
      </c>
      <c r="AL301" s="284" t="str">
        <f>IF(VLOOKUP(T_Convention[[#This Row],[NumL]],T_TraitDi[#Data],COLUMN(T_TraitDi[Colonne12]),FALSE)=0,"",TEXT(IFERROR(VLOOKUP(T_Convention[[#This Row],[NumL]],T_TraitDi[#Data],COLUMN(T_TraitDi[Colonne12]),FALSE),""),"[hh]:mm"))</f>
        <v>17:10</v>
      </c>
      <c r="AM301" s="284" t="str">
        <f>IF(VLOOKUP(T_Convention[[#This Row],[NumL]],T_TraitDi[#Data],COLUMN(T_TraitDi[Colonne14]),FALSE)=0,"",TEXT(IFERROR(VLOOKUP(T_Convention[[#This Row],[NumL]],T_TraitDi[#Data],COLUMN(T_TraitDi[Colonne14]),FALSE),""),"[hh]:mm"))</f>
        <v>07:25</v>
      </c>
      <c r="AN301" s="284" t="str">
        <f>IFERROR(VLOOKUP(T_Convention[[#This Row],[NumL]],T_TraitDi[#Data],COLUMN(T_TraitDi[Mercredi]),FALSE),"")</f>
        <v>T</v>
      </c>
      <c r="AO301" s="284" t="str">
        <f>IF(VLOOKUP(T_Convention[[#This Row],[NumL]],T_TraitDi[#Data],COLUMN(T_TraitDi[Colonne15]),FALSE)=0,"",TEXT(IFERROR(VLOOKUP(T_Convention[[#This Row],[NumL]],T_TraitDi[#Data],COLUMN(T_TraitDi[Colonne15]),FALSE),""),"[hh]:mm"))</f>
        <v>08:45</v>
      </c>
      <c r="AP301" s="284" t="str">
        <f>IF(VLOOKUP(T_Convention[[#This Row],[NumL]],T_TraitDi[#Data],COLUMN(T_TraitDi[Colonne16]),FALSE)=0,"",TEXT(IFERROR(VLOOKUP(T_Convention[[#This Row],[NumL]],T_TraitDi[#Data],COLUMN(T_TraitDi[Colonne16]),FALSE),""),"[hh]:mm"))</f>
        <v>12:00</v>
      </c>
      <c r="AQ301" s="284" t="str">
        <f>IFERROR(VLOOKUP(T_Convention[[#This Row],[NumL]],T_TraitDi[#Data],COLUMN(T_TraitDi[Colonne17]),FALSE),"")</f>
        <v>T</v>
      </c>
      <c r="AR301" s="284" t="str">
        <f>IF(VLOOKUP(T_Convention[[#This Row],[NumL]],T_TraitDi[#Data],COLUMN(T_TraitDi[Colonne18]),FALSE)=0,"",TEXT(IFERROR(VLOOKUP(T_Convention[[#This Row],[NumL]],T_TraitDi[#Data],COLUMN(T_TraitDi[Colonne18]),FALSE),""),"[hh]:mm"))</f>
        <v>13:00</v>
      </c>
      <c r="AS301" s="284" t="str">
        <f>IF(VLOOKUP(T_Convention[[#This Row],[NumL]],T_TraitDi[#Data],COLUMN(T_TraitDi[Colonne19]),FALSE)=0,"",TEXT(IFERROR(VLOOKUP(T_Convention[[#This Row],[NumL]],T_TraitDi[#Data],COLUMN(T_TraitDi[Colonne19]),FALSE),""),"[hh]:mm"))</f>
        <v>17:10</v>
      </c>
      <c r="AT301" s="284" t="str">
        <f>IF(VLOOKUP(T_Convention[[#This Row],[NumL]],T_TraitDi[#Data],COLUMN(T_TraitDi[Colonne20]),FALSE)=0,"",TEXT(IFERROR(VLOOKUP(T_Convention[[#This Row],[NumL]],T_TraitDi[#Data],COLUMN(T_TraitDi[Colonne20]),FALSE),""),"[hh]:mm"))</f>
        <v>07:25</v>
      </c>
      <c r="AU301" s="284" t="str">
        <f>IFERROR(VLOOKUP(T_Convention[[#This Row],[NumL]],T_TraitDi[#Data],COLUMN(T_TraitDi[Jeudi]),FALSE),"")</f>
        <v>S</v>
      </c>
      <c r="AV301" s="284" t="str">
        <f>IF(VLOOKUP(T_Convention[[#This Row],[NumL]],T_TraitDi[#Data],COLUMN(T_TraitDi[Colonne21]),FALSE)=0,"",TEXT(IFERROR(VLOOKUP(T_Convention[[#This Row],[NumL]],T_TraitDi[#Data],COLUMN(T_TraitDi[Colonne21]),FALSE),""),"[hh]:mm"))</f>
        <v>08:45</v>
      </c>
      <c r="AW301" s="284" t="str">
        <f>IF(VLOOKUP(T_Convention[[#This Row],[NumL]],T_TraitDi[#Data],COLUMN(T_TraitDi[Colonne22]),FALSE)=0,"",TEXT(IFERROR(VLOOKUP(T_Convention[[#This Row],[NumL]],T_TraitDi[#Data],COLUMN(T_TraitDi[Colonne22]),FALSE),""),"[hh]:mm"))</f>
        <v>12:00</v>
      </c>
      <c r="AX301" s="284" t="str">
        <f>IFERROR(VLOOKUP(T_Convention[[#This Row],[NumL]],T_TraitDi[#Data],COLUMN(T_TraitDi[Colonne23]),FALSE),"")</f>
        <v>S</v>
      </c>
      <c r="AY301" s="284" t="str">
        <f>IF(VLOOKUP(T_Convention[[#This Row],[NumL]],T_TraitDi[#Data],COLUMN(T_TraitDi[Colonne24]),FALSE)=0,"",TEXT(IFERROR(VLOOKUP(T_Convention[[#This Row],[NumL]],T_TraitDi[#Data],COLUMN(T_TraitDi[Colonne24]),FALSE),""),"[hh]:mm"))</f>
        <v>13:00</v>
      </c>
      <c r="AZ301" s="284" t="str">
        <f>IF(VLOOKUP(T_Convention[[#This Row],[NumL]],T_TraitDi[#Data],COLUMN(T_TraitDi[Colonne25]),FALSE)=0,"",TEXT(IFERROR(VLOOKUP(T_Convention[[#This Row],[NumL]],T_TraitDi[#Data],COLUMN(T_TraitDi[Colonne25]),FALSE),""),"[hh]:mm"))</f>
        <v>17:10</v>
      </c>
      <c r="BA301" s="284" t="str">
        <f>IF(VLOOKUP(T_Convention[[#This Row],[NumL]],T_TraitDi[#Data],COLUMN(T_TraitDi[Colonne26]),FALSE)=0,"",TEXT(IFERROR(VLOOKUP(T_Convention[[#This Row],[NumL]],T_TraitDi[#Data],COLUMN(T_TraitDi[Colonne26]),FALSE),""),"[hh]:mm"))</f>
        <v>07:25</v>
      </c>
      <c r="BB301" s="284" t="str">
        <f>IFERROR(VLOOKUP(T_Convention[[#This Row],[NumL]],T_TraitDi[#Data],COLUMN(T_TraitDi[Vendredi]),FALSE),"")</f>
        <v>A</v>
      </c>
      <c r="BC301" s="284" t="str">
        <f>IF(VLOOKUP(T_Convention[[#This Row],[NumL]],T_TraitDi[#Data],COLUMN(T_TraitDi[Colonne27]),FALSE)=0,"",TEXT(IFERROR(VLOOKUP(T_Convention[[#This Row],[NumL]],T_TraitDi[#Data],COLUMN(T_TraitDi[Colonne27]),FALSE),""),"[hh]:mm"))</f>
        <v/>
      </c>
      <c r="BD301" s="284" t="str">
        <f>IF(VLOOKUP(T_Convention[[#This Row],[NumL]],T_TraitDi[#Data],COLUMN(T_TraitDi[Colonne28]),FALSE)=0,"",TEXT(IFERROR(VLOOKUP(T_Convention[[#This Row],[NumL]],T_TraitDi[#Data],COLUMN(T_TraitDi[Colonne28]),FALSE),""),"[hh]:mm"))</f>
        <v/>
      </c>
      <c r="BE301" s="284" t="str">
        <f>IFERROR(VLOOKUP(T_Convention[[#This Row],[NumL]],T_TraitDi[#Data],COLUMN(T_TraitDi[Colonne29]),FALSE),"")</f>
        <v>A</v>
      </c>
      <c r="BF301" s="284" t="str">
        <f>IF(VLOOKUP(T_Convention[[#This Row],[NumL]],T_TraitDi[#Data],COLUMN(T_TraitDi[Colonne30]),FALSE)=0,"",TEXT(IFERROR(VLOOKUP(T_Convention[[#This Row],[NumL]],T_TraitDi[#Data],COLUMN(T_TraitDi[Colonne30]),FALSE),""),"[hh]:mm"))</f>
        <v/>
      </c>
      <c r="BG301" s="284" t="str">
        <f>IF(VLOOKUP(T_Convention[[#This Row],[NumL]],T_TraitDi[#Data],COLUMN(T_TraitDi[Colonne31]),FALSE)=0,"",TEXT(IFERROR(VLOOKUP(T_Convention[[#This Row],[NumL]],T_TraitDi[#Data],COLUMN(T_TraitDi[Colonne31]),FALSE),""),"[hh]:mm"))</f>
        <v/>
      </c>
      <c r="BH301" s="284" t="str">
        <f>IF(VLOOKUP(T_Convention[[#This Row],[NumL]],T_TraitDi[#Data],COLUMN(T_TraitDi[Colonne32]),FALSE)=0,"",TEXT(IFERROR(VLOOKUP(T_Convention[[#This Row],[NumL]],T_TraitDi[#Data],COLUMN(T_TraitDi[Colonne32]),FALSE),""),"[hh]:mm"))</f>
        <v/>
      </c>
      <c r="BI301" s="284">
        <f>IFERROR(VLOOKUP(T_Convention[[#This Row],[NumL]],T_TraitDi[#Data],COLUMN(T_TraitDi[NbJTW]),FALSE),"")</f>
        <v>1</v>
      </c>
      <c r="BJ301" s="284" t="str">
        <f>IF(VLOOKUP(T_Convention[[#This Row],[NumL]],T_TraitDi[#Data],COLUMN(T_TraitDi[NbhTW]),FALSE)=0,"",TEXT(IFERROR(VLOOKUP(T_Convention[[#This Row],[NumL]],T_TraitDi[#Data],COLUMN(T_TraitDi[NbhTW]),FALSE),""),"[hh]:mm"))</f>
        <v>07:25</v>
      </c>
      <c r="BK301" s="286" t="str">
        <f>IF(VLOOKUP(T_Convention[[#This Row],[NumL]],T_TraitDi[#Data],COLUMN(T_TraitDi[Nbhheb]),FALSE)=0,"",TEXT(IFERROR(VLOOKUP(T_Convention[[#This Row],[NumL]],T_TraitDi[#Data],COLUMN(T_TraitDi[Nbhheb]),FALSE),""),"[hh]:mm"))</f>
        <v>29:40</v>
      </c>
      <c r="BL301" s="287" t="str">
        <f>IFERROR(VLOOKUP(VLOOKUP(T_Convention[[#This Row],[NumL]],T_TraitDi[#Data],COLUMN(T_TraitDi[Type1]),FALSE),TypeTW,2,FALSE),"")</f>
        <v>son domicile (lieu de résidence habituelle du télétravailleur)</v>
      </c>
      <c r="BM301" s="288" t="str">
        <f>IFERROR(VLOOKUP(T_Convention[[#This Row],[NumL]],T_TraitDi[#Data],COLUMN(T_TraitDi[Rue1]),FALSE),"")</f>
        <v xml:space="preserve">103 boulevard Emile Zola </v>
      </c>
      <c r="BN301" s="289" t="str">
        <f>IFERROR(VLOOKUP(T_Convention[[#This Row],[NumL]],T_TraitDi[#Data],COLUMN(T_TraitDi[CP1]),FALSE),"")</f>
        <v>69600</v>
      </c>
      <c r="BO301" s="282" t="str">
        <f>IFERROR(VLOOKUP(T_Convention[[#This Row],[NumL]],T_TraitDi[#Data],COLUMN(T_TraitDi[VILLE1]),FALSE),"")</f>
        <v>OULLINS</v>
      </c>
      <c r="BP301" s="290" t="str">
        <f>IFERROR(VLOOKUP(VLOOKUP(T_Convention[[#This Row],[NumL]],T_TraitDi[#Data],COLUMN(T_TraitDi[Type2]),FALSE),TypeTW,2,FALSE),"")</f>
        <v/>
      </c>
      <c r="BQ301" s="182" t="str">
        <f>IFERROR(VLOOKUP(T_Convention[[#This Row],[NumL]],T_TraitDi[#Data],COLUMN(T_TraitDi[Rue2]),FALSE),"")</f>
        <v>Sans objet</v>
      </c>
      <c r="BR301" s="173">
        <f>IFERROR(VLOOKUP(T_Convention[[#This Row],[NumL]],T_TraitDi[#Data],COLUMN(T_TraitDi[CP2]),FALSE),"")</f>
        <v>0</v>
      </c>
      <c r="BS301" s="173">
        <f>IFERROR(VLOOKUP(T_Convention[[#This Row],[NumL]],T_TraitDi[#Data],COLUMN(T_TraitDi[VILLE2]),FALSE),"")</f>
        <v>0</v>
      </c>
      <c r="BT301"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01" s="166" t="str">
        <f>IFERROR(IF(VLOOKUP(T_Convention[[#This Row],[NumL]],T_TraitDi[#Data],COLUMN(T_TraitDi[Plan]),FALSE)="OK","Un planning spécifique de télétravail est annexé à la présente convention.",""),"")</f>
        <v/>
      </c>
      <c r="BV301" s="270"/>
      <c r="BW301" s="164" t="str">
        <f>IF(VLOOKUP(T_Convention[[#This Row],[NumL]],T_suiviDi[#Data],COLUMN(T_suiviDi[Entité]),FALSE)="","",VLOOKUP(T_Convention[[#This Row],[NumL]],T_suiviDi[#Data],COLUMN(T_suiviDi[Entité]),FALSE))</f>
        <v>IAE</v>
      </c>
      <c r="BX301" s="164" t="str">
        <f>IF(VLOOKUP(T_Convention[[#This Row],[NumL]],T_Commission[#Data],COLUMN(T_Commission[envoi confirm TW]),FALSE)="","",VLOOKUP(T_Convention[[#This Row],[NumL]],T_Commission[#Data],COLUMN(T_Commission[envoi confirm TW]),FALSE))</f>
        <v>Oui</v>
      </c>
      <c r="BY30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1" s="264">
        <f>VLOOKUP(T_Convention[[#This Row],[NumL]],T_Commission[#Data],COLUMN(T_Commission[Commentaire]),FALSE)</f>
        <v>0</v>
      </c>
      <c r="CA301" s="254" t="str">
        <f>IF(VLOOKUP(T_Convention[[#This Row],[NumL]],T_Commission[#Data],COLUMN(T_Commission[Encadrant Email]),FALSE)="","",VLOOKUP(T_Convention[[#This Row],[NumL]],T_Commission[#Data],COLUMN(T_Commission[Encadrant Email]),FALSE))</f>
        <v/>
      </c>
      <c r="CB301" s="352">
        <f>VLOOKUP(T_Convention[[#This Row],[NumL]],T_TraitDi[#Data],COLUMN(T_TraitDi[NbJTot]),FALSE)</f>
        <v>4</v>
      </c>
      <c r="CC301" s="352" t="str">
        <f>VLOOKUP(T_Convention[[#This Row],[NumL]],T_TraitDi[#Data],COLUMN(T_TraitDi[Reg Ponct]),FALSE)</f>
        <v>R</v>
      </c>
      <c r="CD301" s="348" t="str">
        <f>IF(T_Convention[[#This Row],[Final]]&lt;&gt;"",VLOOKUP(T_Convention[[#This Row],[NumL]],T_suiviDi[#Data],COLUMN((T_suiviDi[Statut])),FALSE),"")</f>
        <v/>
      </c>
    </row>
    <row r="302" spans="1:82" s="50" customFormat="1" ht="18.75" customHeight="1" x14ac:dyDescent="0.25">
      <c r="A302" s="160">
        <v>234</v>
      </c>
      <c r="B302" s="161">
        <f>VLOOKUP(T_Convention[[#This Row],[NumL]],T_Commission[#Data],COLUMN(T_Commission[FINAL]),FALSE)</f>
        <v>1</v>
      </c>
      <c r="C302" s="162"/>
      <c r="D302" s="95" t="str">
        <f>IF(VLOOKUP(T_Convention[[#This Row],[NumL]],T_TraitDi[#Data],COLUMN(T_TraitDi[WebC]),FALSE)="","",VLOOKUP(T_Convention[[#This Row],[NumL]],T_TraitDi[#Data],COLUMN(T_TraitDi[WebC]),FALSE))</f>
        <v>WG</v>
      </c>
      <c r="E302" s="163" t="str">
        <f t="shared" si="20"/>
        <v>12 janvier 2021</v>
      </c>
      <c r="F302" s="282" t="str">
        <f>IF(T_Convention[[#This Row],[Final]]&lt;&gt;"",VLOOKUP(T_Convention[[#This Row],[NumL]],T_suiviDi[#Data],COLUMN((T_suiviDi[Civ.])),FALSE),"")</f>
        <v>Mme</v>
      </c>
      <c r="G302" s="283" t="str">
        <f>IF(T_Convention[[#This Row],[Final]]&lt;&gt;"",VLOOKUP(T_Convention[[#This Row],[NumL]],T_suiviDi[#Data],COLUMN((T_suiviDi[Nom])),FALSE),"")</f>
        <v>A</v>
      </c>
      <c r="H302" s="282" t="str">
        <f>IF(T_Convention[[#This Row],[Final]]&lt;&gt;"",VLOOKUP(T_Convention[[#This Row],[NumL]],T_suiviDi[#Data],COLUMN((T_suiviDi[Prénom])),FALSE),"")</f>
        <v>Aline</v>
      </c>
      <c r="I302" s="282" t="e">
        <f>VLOOKUP(T_Convention[[#This Row],[NumL]],T_suiviDi[#Data],COLUMN((T_suiviDi[[#This Row],[Email]])),FALSE)</f>
        <v>#VALUE!</v>
      </c>
      <c r="J302" s="282" t="e">
        <f>IF(VLOOKUP(T_Convention[[#This Row],[NumL]],T_suiviDi[#Data],COLUMN(T_suiviDi[[#This Row],[Fonction]]),FALSE)="","",VLOOKUP(T_Convention[[#This Row],[NumL]],T_suiviDi[#Data],COLUMN(T_suiviDi[[#This Row],[Fonction]]),FALSE))</f>
        <v>#VALUE!</v>
      </c>
      <c r="K302" s="282" t="e">
        <f>IF(VLOOKUP(T_Convention[[#This Row],[NumL]],T_suiviDi[#Data],COLUMN(T_suiviDi[[#This Row],[Grade]]),FALSE)="","",VLOOKUP(T_Convention[[#This Row],[NumL]],T_suiviDi[#Data],COLUMN(T_suiviDi[[#This Row],[Grade]]),FALSE))</f>
        <v>#VALUE!</v>
      </c>
      <c r="L302" s="282" t="e">
        <f>IF(VLOOKUP(T_Convention[[#This Row],[NumL]],T_suiviDi[#Data],COLUMN(T_suiviDi[[#This Row],[Service ]]),FALSE)="","",VLOOKUP(T_Convention[[#This Row],[NumL]],T_suiviDi[#Data],COLUMN(T_suiviDi[[#This Row],[Service ]]),FALSE))</f>
        <v>#VALUE!</v>
      </c>
      <c r="M302" s="164" t="str">
        <f t="shared" si="21"/>
        <v>01 septembre 2021</v>
      </c>
      <c r="N302" s="164" t="str">
        <f t="shared" si="22"/>
        <v>30 novembre 2021</v>
      </c>
      <c r="O302" s="284" t="str">
        <f t="shared" si="23"/>
        <v>30 novembre 2021</v>
      </c>
      <c r="P302" s="282" t="str">
        <f>IF(VLOOKUP(T_Convention[[#This Row],[NumL]],T_TraitDi[#Data],COLUMN(T_TraitDi[M1]),FALSE)="","",VLOOKUP(T_Convention[[#This Row],[NumL]],T_TraitDi[#Data],COLUMN(T_TraitDi[M1]),FALSE))</f>
        <v>Gestion des dossiers financiers des étudiants alternants</v>
      </c>
      <c r="Q302" s="282" t="str">
        <f>IF(VLOOKUP(T_Convention[[#This Row],[NumL]],T_TraitDi[#Data],COLUMN(T_TraitDi[M2]),FALSE)="","",VLOOKUP(T_Convention[[#This Row],[NumL]],T_TraitDi[#Data],COLUMN(T_TraitDi[M2]),FALSE))</f>
        <v>Gestion et Transmission des factures aux financeurs</v>
      </c>
      <c r="R302" s="282" t="str">
        <f>IF(VLOOKUP(T_Convention[[#This Row],[NumL]],T_TraitDi[#Data],COLUMN(T_TraitDi[M3]),FALSE)="","",VLOOKUP(T_Convention[[#This Row],[NumL]],T_TraitDi[#Data],COLUMN(T_TraitDi[M3]),FALSE))</f>
        <v>Gestion des contentieux et bons de commande</v>
      </c>
      <c r="S302" s="282" t="str">
        <f>IF(VLOOKUP(T_Convention[[#This Row],[NumL]],T_TraitDi[#Data],COLUMN(T_TraitDi[M4]),FALSE)="","",VLOOKUP(T_Convention[[#This Row],[NumL]],T_TraitDi[#Data],COLUMN(T_TraitDi[M4]),FALSE))</f>
        <v/>
      </c>
      <c r="T302" s="282" t="str">
        <f>IF(VLOOKUP(T_Convention[[#This Row],[NumL]],T_TraitDi[#Data],COLUMN(T_TraitDi[M5]),FALSE)="","",VLOOKUP(T_Convention[[#This Row],[NumL]],T_TraitDi[#Data],COLUMN(T_TraitDi[M5]),FALSE))</f>
        <v/>
      </c>
      <c r="U302" s="282" t="str">
        <f>IF(VLOOKUP(T_Convention[[#This Row],[NumL]],T_TraitDi[#Data],COLUMN(T_TraitDi[M6]),FALSE)="","",VLOOKUP(T_Convention[[#This Row],[NumL]],T_TraitDi[#Data],COLUMN(T_TraitDi[M6]),FALSE))</f>
        <v/>
      </c>
      <c r="V302" s="176" t="str">
        <f t="shared" si="24"/>
        <v>Gestion des dossiers financiers des étudiants alternantsGestion et Transmission des factures aux financeursGestion des contentieux et bons de commande</v>
      </c>
      <c r="W302" s="284" t="str">
        <f>IFERROR(TEXT(VLOOKUP(T_Convention[[#This Row],[NumL]],T_TraitDi[#Data],COLUMN(T_TraitDi[Q2]),FALSE),"###%"),"")</f>
        <v>100%</v>
      </c>
      <c r="X302" s="97" t="str">
        <f>VLOOKUP(T_Convention[[#This Row],[NumL]],T_TraitDi[#Data],COLUMN(T_TraitDi[Reg Ponct]),FALSE)</f>
        <v>R</v>
      </c>
      <c r="Y302" s="97">
        <f>VLOOKUP(T_Convention[NumL],T_TraitDi[#Data],COLUMN(T_TraitDi[Jours flottants]),FALSE)</f>
        <v>10</v>
      </c>
      <c r="Z302" s="284" t="str">
        <f>IFERROR(VLOOKUP(T_Convention[[#This Row],[NumL]],T_TraitDi[#Data],COLUMN(T_TraitDi[Lundi]),FALSE),"")</f>
        <v>T</v>
      </c>
      <c r="AA302" s="284" t="str">
        <f>IF(VLOOKUP(T_Convention[[#This Row],[NumL]],T_TraitDi[#Data],COLUMN(T_TraitDi[Colonne3]),FALSE)=0,"",TEXT(IFERROR(VLOOKUP(T_Convention[[#This Row],[NumL]],T_TraitDi[#Data],COLUMN(T_TraitDi[Colonne3]),FALSE),""),"[hh]:mm"))</f>
        <v>08:00</v>
      </c>
      <c r="AB302" s="284" t="str">
        <f>IF(VLOOKUP(T_Convention[[#This Row],[NumL]],T_TraitDi[#Data],COLUMN(T_TraitDi[Colonne4]),FALSE)=0,"",TEXT(IFERROR(VLOOKUP(T_Convention[[#This Row],[NumL]],T_TraitDi[#Data],COLUMN(T_TraitDi[Colonne4]),FALSE),""),"[hh]:mm"))</f>
        <v>12:30</v>
      </c>
      <c r="AC302" s="284" t="str">
        <f>IF(VLOOKUP(T_Convention[[#This Row],[NumL]],T_TraitDi[#Data],COLUMN(T_TraitDi[Colonne5]),FALSE)=0,"",TEXT(IFERROR(VLOOKUP(T_Convention[[#This Row],[NumL]],T_TraitDi[#Data],COLUMN(T_TraitDi[Colonne5]),FALSE),""),"[hh]:mm"))</f>
        <v>T</v>
      </c>
      <c r="AD302" s="284" t="str">
        <f>IF(VLOOKUP(T_Convention[[#This Row],[NumL]],T_TraitDi[#Data],COLUMN(T_TraitDi[Colonne6]),FALSE)=0,"",TEXT(IFERROR(VLOOKUP(T_Convention[[#This Row],[NumL]],T_TraitDi[#Data],COLUMN(T_TraitDi[Colonne6]),FALSE),""),"[hh]:mm"))</f>
        <v>13:30</v>
      </c>
      <c r="AE302" s="284" t="str">
        <f>IF(VLOOKUP(T_Convention[[#This Row],[NumL]],T_TraitDi[#Data],COLUMN(T_TraitDi[Colonne7]),FALSE)=0,"",TEXT(IFERROR(VLOOKUP(T_Convention[[#This Row],[NumL]],T_TraitDi[#Data],COLUMN(T_TraitDi[Colonne7]),FALSE),""),"[hh]:mm"))</f>
        <v>17:00</v>
      </c>
      <c r="AF302" s="284" t="str">
        <f>IF(VLOOKUP(T_Convention[[#This Row],[NumL]],T_TraitDi[#Data],COLUMN(T_TraitDi[Colonne8]),FALSE)=0,"",TEXT(IFERROR(VLOOKUP(T_Convention[[#This Row],[NumL]],T_TraitDi[#Data],COLUMN(T_TraitDi[Colonne8]),FALSE),""),"[hh]:mm"))</f>
        <v>08:00</v>
      </c>
      <c r="AG302" s="284" t="str">
        <f>IFERROR(VLOOKUP(T_Convention[[#This Row],[NumL]],T_TraitDi[#Data],COLUMN(T_TraitDi[Mardi]),FALSE),"")</f>
        <v>T</v>
      </c>
      <c r="AH302" s="284" t="str">
        <f>IF(VLOOKUP(T_Convention[[#This Row],[NumL]],T_TraitDi[#Data],COLUMN(T_TraitDi[Colonne1]),FALSE)=0,"",TEXT(IFERROR(VLOOKUP(T_Convention[[#This Row],[NumL]],T_TraitDi[#Data],COLUMN(T_TraitDi[Colonne1]),FALSE),""),"[hh]:mm"))</f>
        <v>08:00</v>
      </c>
      <c r="AI302" s="284" t="str">
        <f>IF(VLOOKUP(T_Convention[[#This Row],[NumL]],T_TraitDi[#Data],COLUMN(T_TraitDi[Colonne9]),FALSE)=0,"",TEXT(IFERROR(VLOOKUP(T_Convention[[#This Row],[NumL]],T_TraitDi[#Data],COLUMN(T_TraitDi[Colonne9]),FALSE),""),"[hh]:mm"))</f>
        <v>12:30</v>
      </c>
      <c r="AJ302" s="284" t="str">
        <f>IFERROR(VLOOKUP(T_Convention[[#This Row],[NumL]],T_TraitDi[#Data],COLUMN(T_TraitDi[Colonne10]),FALSE),"")</f>
        <v>T</v>
      </c>
      <c r="AK302" s="284" t="str">
        <f>IF(VLOOKUP(T_Convention[[#This Row],[NumL]],T_TraitDi[#Data],COLUMN(T_TraitDi[Colonne11]),FALSE)=0,"",TEXT(IFERROR(VLOOKUP(T_Convention[[#This Row],[NumL]],T_TraitDi[#Data],COLUMN(T_TraitDi[Colonne11]),FALSE),""),"[hh]:mm"))</f>
        <v>13:30</v>
      </c>
      <c r="AL302" s="284" t="str">
        <f>IF(VLOOKUP(T_Convention[[#This Row],[NumL]],T_TraitDi[#Data],COLUMN(T_TraitDi[Colonne12]),FALSE)=0,"",TEXT(IFERROR(VLOOKUP(T_Convention[[#This Row],[NumL]],T_TraitDi[#Data],COLUMN(T_TraitDi[Colonne12]),FALSE),""),"[hh]:mm"))</f>
        <v>17:00</v>
      </c>
      <c r="AM302" s="284" t="str">
        <f>IF(VLOOKUP(T_Convention[[#This Row],[NumL]],T_TraitDi[#Data],COLUMN(T_TraitDi[Colonne14]),FALSE)=0,"",TEXT(IFERROR(VLOOKUP(T_Convention[[#This Row],[NumL]],T_TraitDi[#Data],COLUMN(T_TraitDi[Colonne14]),FALSE),""),"[hh]:mm"))</f>
        <v>08:00</v>
      </c>
      <c r="AN302" s="284" t="str">
        <f>IFERROR(VLOOKUP(T_Convention[[#This Row],[NumL]],T_TraitDi[#Data],COLUMN(T_TraitDi[Mercredi]),FALSE),"")</f>
        <v>S</v>
      </c>
      <c r="AO302" s="284" t="str">
        <f>IF(VLOOKUP(T_Convention[[#This Row],[NumL]],T_TraitDi[#Data],COLUMN(T_TraitDi[Colonne15]),FALSE)=0,"",TEXT(IFERROR(VLOOKUP(T_Convention[[#This Row],[NumL]],T_TraitDi[#Data],COLUMN(T_TraitDi[Colonne15]),FALSE),""),"[hh]:mm"))</f>
        <v>08:00</v>
      </c>
      <c r="AP302" s="284" t="str">
        <f>IF(VLOOKUP(T_Convention[[#This Row],[NumL]],T_TraitDi[#Data],COLUMN(T_TraitDi[Colonne16]),FALSE)=0,"",TEXT(IFERROR(VLOOKUP(T_Convention[[#This Row],[NumL]],T_TraitDi[#Data],COLUMN(T_TraitDi[Colonne16]),FALSE),""),"[hh]:mm"))</f>
        <v>12:30</v>
      </c>
      <c r="AQ302" s="284" t="str">
        <f>IFERROR(VLOOKUP(T_Convention[[#This Row],[NumL]],T_TraitDi[#Data],COLUMN(T_TraitDi[Colonne17]),FALSE),"")</f>
        <v>S</v>
      </c>
      <c r="AR302" s="284" t="str">
        <f>IF(VLOOKUP(T_Convention[[#This Row],[NumL]],T_TraitDi[#Data],COLUMN(T_TraitDi[Colonne18]),FALSE)=0,"",TEXT(IFERROR(VLOOKUP(T_Convention[[#This Row],[NumL]],T_TraitDi[#Data],COLUMN(T_TraitDi[Colonne18]),FALSE),""),"[hh]:mm"))</f>
        <v>13:30</v>
      </c>
      <c r="AS302" s="284" t="str">
        <f>IF(VLOOKUP(T_Convention[[#This Row],[NumL]],T_TraitDi[#Data],COLUMN(T_TraitDi[Colonne19]),FALSE)=0,"",TEXT(IFERROR(VLOOKUP(T_Convention[[#This Row],[NumL]],T_TraitDi[#Data],COLUMN(T_TraitDi[Colonne19]),FALSE),""),"[hh]:mm"))</f>
        <v>17:30</v>
      </c>
      <c r="AT302" s="284" t="str">
        <f>IF(VLOOKUP(T_Convention[[#This Row],[NumL]],T_TraitDi[#Data],COLUMN(T_TraitDi[Colonne20]),FALSE)=0,"",TEXT(IFERROR(VLOOKUP(T_Convention[[#This Row],[NumL]],T_TraitDi[#Data],COLUMN(T_TraitDi[Colonne20]),FALSE),""),"[hh]:mm"))</f>
        <v>08:30</v>
      </c>
      <c r="AU302" s="284" t="str">
        <f>IFERROR(VLOOKUP(T_Convention[[#This Row],[NumL]],T_TraitDi[#Data],COLUMN(T_TraitDi[Jeudi]),FALSE),"")</f>
        <v>S</v>
      </c>
      <c r="AV302" s="284" t="str">
        <f>IF(VLOOKUP(T_Convention[[#This Row],[NumL]],T_TraitDi[#Data],COLUMN(T_TraitDi[Colonne21]),FALSE)=0,"",TEXT(IFERROR(VLOOKUP(T_Convention[[#This Row],[NumL]],T_TraitDi[#Data],COLUMN(T_TraitDi[Colonne21]),FALSE),""),"[hh]:mm"))</f>
        <v>08:00</v>
      </c>
      <c r="AW302" s="284" t="str">
        <f>IF(VLOOKUP(T_Convention[[#This Row],[NumL]],T_TraitDi[#Data],COLUMN(T_TraitDi[Colonne22]),FALSE)=0,"",TEXT(IFERROR(VLOOKUP(T_Convention[[#This Row],[NumL]],T_TraitDi[#Data],COLUMN(T_TraitDi[Colonne22]),FALSE),""),"[hh]:mm"))</f>
        <v>12:30</v>
      </c>
      <c r="AX302" s="284" t="str">
        <f>IFERROR(VLOOKUP(T_Convention[[#This Row],[NumL]],T_TraitDi[#Data],COLUMN(T_TraitDi[Colonne23]),FALSE),"")</f>
        <v>S</v>
      </c>
      <c r="AY302" s="284" t="str">
        <f>IF(VLOOKUP(T_Convention[[#This Row],[NumL]],T_TraitDi[#Data],COLUMN(T_TraitDi[Colonne24]),FALSE)=0,"",TEXT(IFERROR(VLOOKUP(T_Convention[[#This Row],[NumL]],T_TraitDi[#Data],COLUMN(T_TraitDi[Colonne24]),FALSE),""),"[hh]:mm"))</f>
        <v>13:30</v>
      </c>
      <c r="AZ302" s="284" t="str">
        <f>IF(VLOOKUP(T_Convention[[#This Row],[NumL]],T_TraitDi[#Data],COLUMN(T_TraitDi[Colonne25]),FALSE)=0,"",TEXT(IFERROR(VLOOKUP(T_Convention[[#This Row],[NumL]],T_TraitDi[#Data],COLUMN(T_TraitDi[Colonne25]),FALSE),""),"[hh]:mm"))</f>
        <v>17:30</v>
      </c>
      <c r="BA302" s="284" t="str">
        <f>IF(VLOOKUP(T_Convention[[#This Row],[NumL]],T_TraitDi[#Data],COLUMN(T_TraitDi[Colonne26]),FALSE)=0,"",TEXT(IFERROR(VLOOKUP(T_Convention[[#This Row],[NumL]],T_TraitDi[#Data],COLUMN(T_TraitDi[Colonne26]),FALSE),""),"[hh]:mm"))</f>
        <v>08:30</v>
      </c>
      <c r="BB302" s="284" t="str">
        <f>IFERROR(VLOOKUP(T_Convention[[#This Row],[NumL]],T_TraitDi[#Data],COLUMN(T_TraitDi[Vendredi]),FALSE),"")</f>
        <v>S</v>
      </c>
      <c r="BC302" s="284" t="str">
        <f>IF(VLOOKUP(T_Convention[[#This Row],[NumL]],T_TraitDi[#Data],COLUMN(T_TraitDi[Colonne27]),FALSE)=0,"",TEXT(IFERROR(VLOOKUP(T_Convention[[#This Row],[NumL]],T_TraitDi[#Data],COLUMN(T_TraitDi[Colonne27]),FALSE),""),"[hh]:mm"))</f>
        <v>08:30</v>
      </c>
      <c r="BD302" s="284" t="str">
        <f>IF(VLOOKUP(T_Convention[[#This Row],[NumL]],T_TraitDi[#Data],COLUMN(T_TraitDi[Colonne28]),FALSE)=0,"",TEXT(IFERROR(VLOOKUP(T_Convention[[#This Row],[NumL]],T_TraitDi[#Data],COLUMN(T_TraitDi[Colonne28]),FALSE),""),"[hh]:mm"))</f>
        <v>12:35</v>
      </c>
      <c r="BE302" s="284" t="str">
        <f>IFERROR(VLOOKUP(T_Convention[[#This Row],[NumL]],T_TraitDi[#Data],COLUMN(T_TraitDi[Colonne29]),FALSE),"")</f>
        <v>A</v>
      </c>
      <c r="BF302" s="284" t="str">
        <f>IF(VLOOKUP(T_Convention[[#This Row],[NumL]],T_TraitDi[#Data],COLUMN(T_TraitDi[Colonne30]),FALSE)=0,"",TEXT(IFERROR(VLOOKUP(T_Convention[[#This Row],[NumL]],T_TraitDi[#Data],COLUMN(T_TraitDi[Colonne30]),FALSE),""),"[hh]:mm"))</f>
        <v/>
      </c>
      <c r="BG302" s="284" t="str">
        <f>IF(VLOOKUP(T_Convention[[#This Row],[NumL]],T_TraitDi[#Data],COLUMN(T_TraitDi[Colonne31]),FALSE)=0,"",TEXT(IFERROR(VLOOKUP(T_Convention[[#This Row],[NumL]],T_TraitDi[#Data],COLUMN(T_TraitDi[Colonne31]),FALSE),""),"[hh]:mm"))</f>
        <v/>
      </c>
      <c r="BH302" s="284" t="str">
        <f>IF(VLOOKUP(T_Convention[[#This Row],[NumL]],T_TraitDi[#Data],COLUMN(T_TraitDi[Colonne32]),FALSE)=0,"",TEXT(IFERROR(VLOOKUP(T_Convention[[#This Row],[NumL]],T_TraitDi[#Data],COLUMN(T_TraitDi[Colonne32]),FALSE),""),"[hh]:mm"))</f>
        <v>04:05</v>
      </c>
      <c r="BI302" s="284">
        <f>IFERROR(VLOOKUP(T_Convention[[#This Row],[NumL]],T_TraitDi[#Data],COLUMN(T_TraitDi[NbJTW]),FALSE),"")</f>
        <v>2</v>
      </c>
      <c r="BJ302" s="284" t="str">
        <f>IF(VLOOKUP(T_Convention[[#This Row],[NumL]],T_TraitDi[#Data],COLUMN(T_TraitDi[NbhTW]),FALSE)=0,"",TEXT(IFERROR(VLOOKUP(T_Convention[[#This Row],[NumL]],T_TraitDi[#Data],COLUMN(T_TraitDi[NbhTW]),FALSE),""),"[hh]:mm"))</f>
        <v>16:00</v>
      </c>
      <c r="BK302" s="286" t="str">
        <f>IF(VLOOKUP(T_Convention[[#This Row],[NumL]],T_TraitDi[#Data],COLUMN(T_TraitDi[Nbhheb]),FALSE)=0,"",TEXT(IFERROR(VLOOKUP(T_Convention[[#This Row],[NumL]],T_TraitDi[#Data],COLUMN(T_TraitDi[Nbhheb]),FALSE),""),"[hh]:mm"))</f>
        <v>37:05</v>
      </c>
      <c r="BL302" s="287" t="str">
        <f>IFERROR(VLOOKUP(VLOOKUP(T_Convention[[#This Row],[NumL]],T_TraitDi[#Data],COLUMN(T_TraitDi[Type1]),FALSE),TypeTW,2,FALSE),"")</f>
        <v>son domicile (lieu de résidence habituelle du télétravailleur)</v>
      </c>
      <c r="BM302" s="288" t="str">
        <f>IFERROR(VLOOKUP(T_Convention[[#This Row],[NumL]],T_TraitDi[#Data],COLUMN(T_TraitDi[Rue1]),FALSE),"")</f>
        <v>13 Montée des Épies</v>
      </c>
      <c r="BN302" s="289" t="str">
        <f>IFERROR(VLOOKUP(T_Convention[[#This Row],[NumL]],T_TraitDi[#Data],COLUMN(T_TraitDi[CP1]),FALSE),"")</f>
        <v>69005</v>
      </c>
      <c r="BO302" s="282" t="str">
        <f>IFERROR(VLOOKUP(T_Convention[[#This Row],[NumL]],T_TraitDi[#Data],COLUMN(T_TraitDi[VILLE1]),FALSE),"")</f>
        <v>LYON</v>
      </c>
      <c r="BP302" s="290" t="str">
        <f>IFERROR(VLOOKUP(VLOOKUP(T_Convention[[#This Row],[NumL]],T_TraitDi[#Data],COLUMN(T_TraitDi[Type2]),FALSE),TypeTW,2,FALSE),"")</f>
        <v/>
      </c>
      <c r="BQ302" s="182" t="str">
        <f>IFERROR(VLOOKUP(T_Convention[[#This Row],[NumL]],T_TraitDi[#Data],COLUMN(T_TraitDi[Rue2]),FALSE),"")</f>
        <v>Sans objet</v>
      </c>
      <c r="BR302" s="173" t="str">
        <f>IFERROR(VLOOKUP(T_Convention[[#This Row],[NumL]],T_TraitDi[#Data],COLUMN(T_TraitDi[CP2]),FALSE),"")</f>
        <v xml:space="preserve"> </v>
      </c>
      <c r="BS302" s="173" t="str">
        <f>IFERROR(VLOOKUP(T_Convention[[#This Row],[NumL]],T_TraitDi[#Data],COLUMN(T_TraitDi[VILLE2]),FALSE),"")</f>
        <v xml:space="preserve">  </v>
      </c>
      <c r="BT302" s="182" t="str">
        <f>IF(VLOOKUP(T_Convention[[#This Row],[NumL]],T_Equipement[#Data],COLUMN(T_Equipement[PC]),FALSE)="","Aucun équipement spécifique directement lié au télétravail",VLOOKUP(T_Convention[[#This Row],[NumL]],T_Equipement[#Data],COLUMN(T_Equipement[PC]),FALSE))</f>
        <v>18-208</v>
      </c>
      <c r="BU302" s="166" t="str">
        <f>IFERROR(IF(VLOOKUP(T_Convention[[#This Row],[NumL]],T_TraitDi[#Data],COLUMN(T_TraitDi[Plan]),FALSE)="OK","Un planning spécifique de télétravail est annexé à la présente convention.",""),"")</f>
        <v/>
      </c>
      <c r="BV302" s="185" t="s">
        <v>3430</v>
      </c>
      <c r="BW302" s="164" t="str">
        <f>IF(VLOOKUP(T_Convention[[#This Row],[NumL]],T_suiviDi[#Data],COLUMN(T_suiviDi[Entité]),FALSE)="","",VLOOKUP(T_Convention[[#This Row],[NumL]],T_suiviDi[#Data],COLUMN(T_suiviDi[Entité]),FALSE))</f>
        <v>IUT</v>
      </c>
      <c r="BX302" s="164" t="str">
        <f>IF(VLOOKUP(T_Convention[[#This Row],[NumL]],T_Commission[#Data],COLUMN(T_Commission[envoi confirm TW]),FALSE)="","",VLOOKUP(T_Convention[[#This Row],[NumL]],T_Commission[#Data],COLUMN(T_Commission[envoi confirm TW]),FALSE))</f>
        <v>Oui</v>
      </c>
      <c r="BY302"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2" s="264">
        <f>VLOOKUP(T_Convention[[#This Row],[NumL]],T_Commission[#Data],COLUMN(T_Commission[Commentaire]),FALSE)</f>
        <v>0</v>
      </c>
      <c r="CA302" s="254" t="str">
        <f>IF(VLOOKUP(T_Convention[[#This Row],[NumL]],T_Commission[#Data],COLUMN(T_Commission[Encadrant Email]),FALSE)="","",VLOOKUP(T_Convention[[#This Row],[NumL]],T_Commission[#Data],COLUMN(T_Commission[Encadrant Email]),FALSE))</f>
        <v/>
      </c>
      <c r="CB302" s="352">
        <f>VLOOKUP(T_Convention[[#This Row],[NumL]],T_TraitDi[#Data],COLUMN(T_TraitDi[NbJTot]),FALSE)</f>
        <v>4.5</v>
      </c>
      <c r="CC302" s="352" t="str">
        <f>VLOOKUP(T_Convention[[#This Row],[NumL]],T_TraitDi[#Data],COLUMN(T_TraitDi[Reg Ponct]),FALSE)</f>
        <v>R</v>
      </c>
      <c r="CD302" s="348" t="str">
        <f>IF(T_Convention[[#This Row],[Final]]&lt;&gt;"",VLOOKUP(T_Convention[[#This Row],[NumL]],T_suiviDi[#Data],COLUMN((T_suiviDi[Statut])),FALSE),"")</f>
        <v>RENVL</v>
      </c>
    </row>
    <row r="303" spans="1:82" s="50" customFormat="1" ht="18.75" customHeight="1" x14ac:dyDescent="0.25">
      <c r="A303" s="160">
        <v>62</v>
      </c>
      <c r="B303" s="161">
        <f>VLOOKUP(T_Convention[[#This Row],[NumL]],T_Commission[#Data],COLUMN(T_Commission[FINAL]),FALSE)</f>
        <v>1</v>
      </c>
      <c r="C303" s="162"/>
      <c r="D303" s="95" t="str">
        <f>IF(VLOOKUP(T_Convention[[#This Row],[NumL]],T_TraitDi[#Data],COLUMN(T_TraitDi[WebC]),FALSE)="","",VLOOKUP(T_Convention[[#This Row],[NumL]],T_TraitDi[#Data],COLUMN(T_TraitDi[WebC]),FALSE))</f>
        <v>WG</v>
      </c>
      <c r="E303" s="163" t="str">
        <f t="shared" si="20"/>
        <v>12 janvier 2021</v>
      </c>
      <c r="F303" s="282" t="str">
        <f>IF(T_Convention[[#This Row],[Final]]&lt;&gt;"",VLOOKUP(T_Convention[[#This Row],[NumL]],T_suiviDi[#Data],COLUMN((T_suiviDi[Civ.])),FALSE),"")</f>
        <v>Mme</v>
      </c>
      <c r="G303" s="283" t="str">
        <f>IF(T_Convention[[#This Row],[Final]]&lt;&gt;"",VLOOKUP(T_Convention[[#This Row],[NumL]],T_suiviDi[#Data],COLUMN((T_suiviDi[Nom])),FALSE),"")</f>
        <v>A</v>
      </c>
      <c r="H303" s="282" t="str">
        <f>IF(T_Convention[[#This Row],[Final]]&lt;&gt;"",VLOOKUP(T_Convention[[#This Row],[NumL]],T_suiviDi[#Data],COLUMN((T_suiviDi[Prénom])),FALSE),"")</f>
        <v>Jean-Baptiste</v>
      </c>
      <c r="I303" s="282" t="e">
        <f>VLOOKUP(T_Convention[[#This Row],[NumL]],T_suiviDi[#Data],COLUMN((T_suiviDi[[#This Row],[Email]])),FALSE)</f>
        <v>#VALUE!</v>
      </c>
      <c r="J303" s="282" t="e">
        <f>IF(VLOOKUP(T_Convention[[#This Row],[NumL]],T_suiviDi[#Data],COLUMN(T_suiviDi[[#This Row],[Fonction]]),FALSE)="","",VLOOKUP(T_Convention[[#This Row],[NumL]],T_suiviDi[#Data],COLUMN(T_suiviDi[[#This Row],[Fonction]]),FALSE))</f>
        <v>#VALUE!</v>
      </c>
      <c r="K303" s="282" t="e">
        <f>IF(VLOOKUP(T_Convention[[#This Row],[NumL]],T_suiviDi[#Data],COLUMN(T_suiviDi[[#This Row],[Grade]]),FALSE)="","",VLOOKUP(T_Convention[[#This Row],[NumL]],T_suiviDi[#Data],COLUMN(T_suiviDi[[#This Row],[Grade]]),FALSE))</f>
        <v>#VALUE!</v>
      </c>
      <c r="L303" s="282" t="e">
        <f>IF(VLOOKUP(T_Convention[[#This Row],[NumL]],T_suiviDi[#Data],COLUMN(T_suiviDi[[#This Row],[Service ]]),FALSE)="","",VLOOKUP(T_Convention[[#This Row],[NumL]],T_suiviDi[#Data],COLUMN(T_suiviDi[[#This Row],[Service ]]),FALSE))</f>
        <v>#VALUE!</v>
      </c>
      <c r="M303" s="164" t="str">
        <f t="shared" si="21"/>
        <v>01 septembre 2021</v>
      </c>
      <c r="N303" s="164" t="str">
        <f t="shared" si="22"/>
        <v>30 novembre 2021</v>
      </c>
      <c r="O303" s="284" t="str">
        <f t="shared" si="23"/>
        <v>30 novembre 2021</v>
      </c>
      <c r="P303" s="282" t="str">
        <f>IF(VLOOKUP(T_Convention[[#This Row],[NumL]],T_TraitDi[#Data],COLUMN(T_TraitDi[M1]),FALSE)="","",VLOOKUP(T_Convention[[#This Row],[NumL]],T_TraitDi[#Data],COLUMN(T_TraitDi[M1]),FALSE))</f>
        <v>Préparation de la régie de recettes</v>
      </c>
      <c r="Q303" s="282" t="str">
        <f>IF(VLOOKUP(T_Convention[[#This Row],[NumL]],T_TraitDi[#Data],COLUMN(T_TraitDi[M2]),FALSE)="","",VLOOKUP(T_Convention[[#This Row],[NumL]],T_TraitDi[#Data],COLUMN(T_TraitDi[M2]),FALSE))</f>
        <v>Prospection et organisation des activités culturelles avec les prestataires</v>
      </c>
      <c r="R303" s="282" t="str">
        <f>IF(VLOOKUP(T_Convention[[#This Row],[NumL]],T_TraitDi[#Data],COLUMN(T_TraitDi[M3]),FALSE)="","",VLOOKUP(T_Convention[[#This Row],[NumL]],T_TraitDi[#Data],COLUMN(T_TraitDi[M3]),FALSE))</f>
        <v>Elaboration des actualités pour la diffusion des informations sur l'activité culturelle</v>
      </c>
      <c r="S303" s="282" t="str">
        <f>IF(VLOOKUP(T_Convention[[#This Row],[NumL]],T_TraitDi[#Data],COLUMN(T_TraitDi[M4]),FALSE)="","",VLOOKUP(T_Convention[[#This Row],[NumL]],T_TraitDi[#Data],COLUMN(T_TraitDi[M4]),FALSE))</f>
        <v>Mise en place de la billetterie cinéma : gestion des prestataires, préparation et gestion des ventes de billets cinéma</v>
      </c>
      <c r="T303" s="282" t="str">
        <f>IF(VLOOKUP(T_Convention[[#This Row],[NumL]],T_TraitDi[#Data],COLUMN(T_TraitDi[M5]),FALSE)="","",VLOOKUP(T_Convention[[#This Row],[NumL]],T_TraitDi[#Data],COLUMN(T_TraitDi[M5]),FALSE))</f>
        <v/>
      </c>
      <c r="U303" s="282" t="str">
        <f>IF(VLOOKUP(T_Convention[[#This Row],[NumL]],T_TraitDi[#Data],COLUMN(T_TraitDi[M6]),FALSE)="","",VLOOKUP(T_Convention[[#This Row],[NumL]],T_TraitDi[#Data],COLUMN(T_TraitDi[M6]),FALSE))</f>
        <v/>
      </c>
      <c r="V303" s="176" t="str">
        <f t="shared" si="24"/>
        <v>Préparation de la régie de recettesProspection et organisation des activités culturelles avec les prestatairesElaboration des actualités pour la diffusion des informations sur l'activité culturelleMise en place de la billetterie cinéma : gestion des prestataires, préparation et gestion des ventes de billets cinéma</v>
      </c>
      <c r="W303" s="284" t="str">
        <f>IFERROR(TEXT(VLOOKUP(T_Convention[[#This Row],[NumL]],T_TraitDi[#Data],COLUMN(T_TraitDi[Q2]),FALSE),"###%"),"")</f>
        <v>100%</v>
      </c>
      <c r="X303" s="97" t="str">
        <f>VLOOKUP(T_Convention[[#This Row],[NumL]],T_TraitDi[#Data],COLUMN(T_TraitDi[Reg Ponct]),FALSE)</f>
        <v>R</v>
      </c>
      <c r="Y303" s="97">
        <f>VLOOKUP(T_Convention[NumL],T_TraitDi[#Data],COLUMN(T_TraitDi[Jours flottants]),FALSE)</f>
        <v>10</v>
      </c>
      <c r="Z303" s="284" t="str">
        <f>IFERROR(VLOOKUP(T_Convention[[#This Row],[NumL]],T_TraitDi[#Data],COLUMN(T_TraitDi[Lundi]),FALSE),"")</f>
        <v>S</v>
      </c>
      <c r="AA303" s="284" t="str">
        <f>IF(VLOOKUP(T_Convention[[#This Row],[NumL]],T_TraitDi[#Data],COLUMN(T_TraitDi[Colonne3]),FALSE)=0,"",TEXT(IFERROR(VLOOKUP(T_Convention[[#This Row],[NumL]],T_TraitDi[#Data],COLUMN(T_TraitDi[Colonne3]),FALSE),""),"[hh]:mm"))</f>
        <v>08:30</v>
      </c>
      <c r="AB303" s="284" t="str">
        <f>IF(VLOOKUP(T_Convention[[#This Row],[NumL]],T_TraitDi[#Data],COLUMN(T_TraitDi[Colonne4]),FALSE)=0,"",TEXT(IFERROR(VLOOKUP(T_Convention[[#This Row],[NumL]],T_TraitDi[#Data],COLUMN(T_TraitDi[Colonne4]),FALSE),""),"[hh]:mm"))</f>
        <v>12:00</v>
      </c>
      <c r="AC303" s="284" t="str">
        <f>IF(VLOOKUP(T_Convention[[#This Row],[NumL]],T_TraitDi[#Data],COLUMN(T_TraitDi[Colonne5]),FALSE)=0,"",TEXT(IFERROR(VLOOKUP(T_Convention[[#This Row],[NumL]],T_TraitDi[#Data],COLUMN(T_TraitDi[Colonne5]),FALSE),""),"[hh]:mm"))</f>
        <v>S</v>
      </c>
      <c r="AD303" s="284" t="str">
        <f>IF(VLOOKUP(T_Convention[[#This Row],[NumL]],T_TraitDi[#Data],COLUMN(T_TraitDi[Colonne6]),FALSE)=0,"",TEXT(IFERROR(VLOOKUP(T_Convention[[#This Row],[NumL]],T_TraitDi[#Data],COLUMN(T_TraitDi[Colonne6]),FALSE),""),"[hh]:mm"))</f>
        <v>13:00</v>
      </c>
      <c r="AE303" s="284" t="str">
        <f>IF(VLOOKUP(T_Convention[[#This Row],[NumL]],T_TraitDi[#Data],COLUMN(T_TraitDi[Colonne7]),FALSE)=0,"",TEXT(IFERROR(VLOOKUP(T_Convention[[#This Row],[NumL]],T_TraitDi[#Data],COLUMN(T_TraitDi[Colonne7]),FALSE),""),"[hh]:mm"))</f>
        <v>18:00</v>
      </c>
      <c r="AF303" s="284" t="str">
        <f>IF(VLOOKUP(T_Convention[[#This Row],[NumL]],T_TraitDi[#Data],COLUMN(T_TraitDi[Colonne8]),FALSE)=0,"",TEXT(IFERROR(VLOOKUP(T_Convention[[#This Row],[NumL]],T_TraitDi[#Data],COLUMN(T_TraitDi[Colonne8]),FALSE),""),"[hh]:mm"))</f>
        <v>08:30</v>
      </c>
      <c r="AG303" s="284" t="str">
        <f>IFERROR(VLOOKUP(T_Convention[[#This Row],[NumL]],T_TraitDi[#Data],COLUMN(T_TraitDi[Mardi]),FALSE),"")</f>
        <v>S</v>
      </c>
      <c r="AH303" s="284" t="str">
        <f>IF(VLOOKUP(T_Convention[[#This Row],[NumL]],T_TraitDi[#Data],COLUMN(T_TraitDi[Colonne1]),FALSE)=0,"",TEXT(IFERROR(VLOOKUP(T_Convention[[#This Row],[NumL]],T_TraitDi[#Data],COLUMN(T_TraitDi[Colonne1]),FALSE),""),"[hh]:mm"))</f>
        <v>08:30</v>
      </c>
      <c r="AI303" s="284" t="str">
        <f>IF(VLOOKUP(T_Convention[[#This Row],[NumL]],T_TraitDi[#Data],COLUMN(T_TraitDi[Colonne9]),FALSE)=0,"",TEXT(IFERROR(VLOOKUP(T_Convention[[#This Row],[NumL]],T_TraitDi[#Data],COLUMN(T_TraitDi[Colonne9]),FALSE),""),"[hh]:mm"))</f>
        <v>12:00</v>
      </c>
      <c r="AJ303" s="284" t="str">
        <f>IFERROR(VLOOKUP(T_Convention[[#This Row],[NumL]],T_TraitDi[#Data],COLUMN(T_TraitDi[Colonne10]),FALSE),"")</f>
        <v>S</v>
      </c>
      <c r="AK303" s="284" t="str">
        <f>IF(VLOOKUP(T_Convention[[#This Row],[NumL]],T_TraitDi[#Data],COLUMN(T_TraitDi[Colonne11]),FALSE)=0,"",TEXT(IFERROR(VLOOKUP(T_Convention[[#This Row],[NumL]],T_TraitDi[#Data],COLUMN(T_TraitDi[Colonne11]),FALSE),""),"[hh]:mm"))</f>
        <v>13:00</v>
      </c>
      <c r="AL303" s="284" t="str">
        <f>IF(VLOOKUP(T_Convention[[#This Row],[NumL]],T_TraitDi[#Data],COLUMN(T_TraitDi[Colonne12]),FALSE)=0,"",TEXT(IFERROR(VLOOKUP(T_Convention[[#This Row],[NumL]],T_TraitDi[#Data],COLUMN(T_TraitDi[Colonne12]),FALSE),""),"[hh]:mm"))</f>
        <v>18:00</v>
      </c>
      <c r="AM303" s="284" t="str">
        <f>IF(VLOOKUP(T_Convention[[#This Row],[NumL]],T_TraitDi[#Data],COLUMN(T_TraitDi[Colonne14]),FALSE)=0,"",TEXT(IFERROR(VLOOKUP(T_Convention[[#This Row],[NumL]],T_TraitDi[#Data],COLUMN(T_TraitDi[Colonne14]),FALSE),""),"[hh]:mm"))</f>
        <v>08:30</v>
      </c>
      <c r="AN303" s="284" t="str">
        <f>IFERROR(VLOOKUP(T_Convention[[#This Row],[NumL]],T_TraitDi[#Data],COLUMN(T_TraitDi[Mercredi]),FALSE),"")</f>
        <v>S</v>
      </c>
      <c r="AO303" s="284" t="str">
        <f>IF(VLOOKUP(T_Convention[[#This Row],[NumL]],T_TraitDi[#Data],COLUMN(T_TraitDi[Colonne15]),FALSE)=0,"",TEXT(IFERROR(VLOOKUP(T_Convention[[#This Row],[NumL]],T_TraitDi[#Data],COLUMN(T_TraitDi[Colonne15]),FALSE),""),"[hh]:mm"))</f>
        <v>08:30</v>
      </c>
      <c r="AP303" s="284" t="str">
        <f>IF(VLOOKUP(T_Convention[[#This Row],[NumL]],T_TraitDi[#Data],COLUMN(T_TraitDi[Colonne16]),FALSE)=0,"",TEXT(IFERROR(VLOOKUP(T_Convention[[#This Row],[NumL]],T_TraitDi[#Data],COLUMN(T_TraitDi[Colonne16]),FALSE),""),"[hh]:mm"))</f>
        <v>12:00</v>
      </c>
      <c r="AQ303" s="284" t="str">
        <f>IFERROR(VLOOKUP(T_Convention[[#This Row],[NumL]],T_TraitDi[#Data],COLUMN(T_TraitDi[Colonne17]),FALSE),"")</f>
        <v>S</v>
      </c>
      <c r="AR303" s="284" t="str">
        <f>IF(VLOOKUP(T_Convention[[#This Row],[NumL]],T_TraitDi[#Data],COLUMN(T_TraitDi[Colonne18]),FALSE)=0,"",TEXT(IFERROR(VLOOKUP(T_Convention[[#This Row],[NumL]],T_TraitDi[#Data],COLUMN(T_TraitDi[Colonne18]),FALSE),""),"[hh]:mm"))</f>
        <v>13:00</v>
      </c>
      <c r="AS303" s="284" t="str">
        <f>IF(VLOOKUP(T_Convention[[#This Row],[NumL]],T_TraitDi[#Data],COLUMN(T_TraitDi[Colonne19]),FALSE)=0,"",TEXT(IFERROR(VLOOKUP(T_Convention[[#This Row],[NumL]],T_TraitDi[#Data],COLUMN(T_TraitDi[Colonne19]),FALSE),""),"[hh]:mm"))</f>
        <v>17:30</v>
      </c>
      <c r="AT303" s="284" t="str">
        <f>IF(VLOOKUP(T_Convention[[#This Row],[NumL]],T_TraitDi[#Data],COLUMN(T_TraitDi[Colonne20]),FALSE)=0,"",TEXT(IFERROR(VLOOKUP(T_Convention[[#This Row],[NumL]],T_TraitDi[#Data],COLUMN(T_TraitDi[Colonne20]),FALSE),""),"[hh]:mm"))</f>
        <v>08:00</v>
      </c>
      <c r="AU303" s="284" t="str">
        <f>IFERROR(VLOOKUP(T_Convention[[#This Row],[NumL]],T_TraitDi[#Data],COLUMN(T_TraitDi[Jeudi]),FALSE),"")</f>
        <v>S</v>
      </c>
      <c r="AV303" s="284" t="str">
        <f>IF(VLOOKUP(T_Convention[[#This Row],[NumL]],T_TraitDi[#Data],COLUMN(T_TraitDi[Colonne21]),FALSE)=0,"",TEXT(IFERROR(VLOOKUP(T_Convention[[#This Row],[NumL]],T_TraitDi[#Data],COLUMN(T_TraitDi[Colonne21]),FALSE),""),"[hh]:mm"))</f>
        <v>08:30</v>
      </c>
      <c r="AW303" s="284" t="str">
        <f>IF(VLOOKUP(T_Convention[[#This Row],[NumL]],T_TraitDi[#Data],COLUMN(T_TraitDi[Colonne22]),FALSE)=0,"",TEXT(IFERROR(VLOOKUP(T_Convention[[#This Row],[NumL]],T_TraitDi[#Data],COLUMN(T_TraitDi[Colonne22]),FALSE),""),"[hh]:mm"))</f>
        <v>13:05</v>
      </c>
      <c r="AX303" s="284" t="str">
        <f>IFERROR(VLOOKUP(T_Convention[[#This Row],[NumL]],T_TraitDi[#Data],COLUMN(T_TraitDi[Colonne23]),FALSE),"")</f>
        <v>A</v>
      </c>
      <c r="AY303" s="284" t="str">
        <f>IF(VLOOKUP(T_Convention[[#This Row],[NumL]],T_TraitDi[#Data],COLUMN(T_TraitDi[Colonne24]),FALSE)=0,"",TEXT(IFERROR(VLOOKUP(T_Convention[[#This Row],[NumL]],T_TraitDi[#Data],COLUMN(T_TraitDi[Colonne24]),FALSE),""),"[hh]:mm"))</f>
        <v/>
      </c>
      <c r="AZ303" s="284" t="str">
        <f>IF(VLOOKUP(T_Convention[[#This Row],[NumL]],T_TraitDi[#Data],COLUMN(T_TraitDi[Colonne25]),FALSE)=0,"",TEXT(IFERROR(VLOOKUP(T_Convention[[#This Row],[NumL]],T_TraitDi[#Data],COLUMN(T_TraitDi[Colonne25]),FALSE),""),"[hh]:mm"))</f>
        <v/>
      </c>
      <c r="BA303" s="284" t="str">
        <f>IF(VLOOKUP(T_Convention[[#This Row],[NumL]],T_TraitDi[#Data],COLUMN(T_TraitDi[Colonne26]),FALSE)=0,"",TEXT(IFERROR(VLOOKUP(T_Convention[[#This Row],[NumL]],T_TraitDi[#Data],COLUMN(T_TraitDi[Colonne26]),FALSE),""),"[hh]:mm"))</f>
        <v>04:35</v>
      </c>
      <c r="BB303" s="284" t="str">
        <f>IFERROR(VLOOKUP(T_Convention[[#This Row],[NumL]],T_TraitDi[#Data],COLUMN(T_TraitDi[Vendredi]),FALSE),"")</f>
        <v>T</v>
      </c>
      <c r="BC303" s="284" t="str">
        <f>IF(VLOOKUP(T_Convention[[#This Row],[NumL]],T_TraitDi[#Data],COLUMN(T_TraitDi[Colonne27]),FALSE)=0,"",TEXT(IFERROR(VLOOKUP(T_Convention[[#This Row],[NumL]],T_TraitDi[#Data],COLUMN(T_TraitDi[Colonne27]),FALSE),""),"[hh]:mm"))</f>
        <v>08:30</v>
      </c>
      <c r="BD303" s="284" t="str">
        <f>IF(VLOOKUP(T_Convention[[#This Row],[NumL]],T_TraitDi[#Data],COLUMN(T_TraitDi[Colonne28]),FALSE)=0,"",TEXT(IFERROR(VLOOKUP(T_Convention[[#This Row],[NumL]],T_TraitDi[#Data],COLUMN(T_TraitDi[Colonne28]),FALSE),""),"[hh]:mm"))</f>
        <v>12:30</v>
      </c>
      <c r="BE303" s="284" t="str">
        <f>IFERROR(VLOOKUP(T_Convention[[#This Row],[NumL]],T_TraitDi[#Data],COLUMN(T_TraitDi[Colonne29]),FALSE),"")</f>
        <v>T</v>
      </c>
      <c r="BF303" s="284" t="str">
        <f>IF(VLOOKUP(T_Convention[[#This Row],[NumL]],T_TraitDi[#Data],COLUMN(T_TraitDi[Colonne30]),FALSE)=0,"",TEXT(IFERROR(VLOOKUP(T_Convention[[#This Row],[NumL]],T_TraitDi[#Data],COLUMN(T_TraitDi[Colonne30]),FALSE),""),"[hh]:mm"))</f>
        <v>13:30</v>
      </c>
      <c r="BG303" s="284" t="str">
        <f>IF(VLOOKUP(T_Convention[[#This Row],[NumL]],T_TraitDi[#Data],COLUMN(T_TraitDi[Colonne31]),FALSE)=0,"",TEXT(IFERROR(VLOOKUP(T_Convention[[#This Row],[NumL]],T_TraitDi[#Data],COLUMN(T_TraitDi[Colonne31]),FALSE),""),"[hh]:mm"))</f>
        <v>17:00</v>
      </c>
      <c r="BH303" s="284" t="str">
        <f>IF(VLOOKUP(T_Convention[[#This Row],[NumL]],T_TraitDi[#Data],COLUMN(T_TraitDi[Colonne32]),FALSE)=0,"",TEXT(IFERROR(VLOOKUP(T_Convention[[#This Row],[NumL]],T_TraitDi[#Data],COLUMN(T_TraitDi[Colonne32]),FALSE),""),"[hh]:mm"))</f>
        <v>07:30</v>
      </c>
      <c r="BI303" s="284">
        <f>IFERROR(VLOOKUP(T_Convention[[#This Row],[NumL]],T_TraitDi[#Data],COLUMN(T_TraitDi[NbJTW]),FALSE),"")</f>
        <v>1</v>
      </c>
      <c r="BJ303" s="284" t="str">
        <f>IF(VLOOKUP(T_Convention[[#This Row],[NumL]],T_TraitDi[#Data],COLUMN(T_TraitDi[NbhTW]),FALSE)=0,"",TEXT(IFERROR(VLOOKUP(T_Convention[[#This Row],[NumL]],T_TraitDi[#Data],COLUMN(T_TraitDi[NbhTW]),FALSE),""),"[hh]:mm"))</f>
        <v>07:30</v>
      </c>
      <c r="BK303" s="286" t="str">
        <f>IF(VLOOKUP(T_Convention[[#This Row],[NumL]],T_TraitDi[#Data],COLUMN(T_TraitDi[Nbhheb]),FALSE)=0,"",TEXT(IFERROR(VLOOKUP(T_Convention[[#This Row],[NumL]],T_TraitDi[#Data],COLUMN(T_TraitDi[Nbhheb]),FALSE),""),"[hh]:mm"))</f>
        <v>37:05</v>
      </c>
      <c r="BL303" s="287" t="str">
        <f>IFERROR(VLOOKUP(VLOOKUP(T_Convention[[#This Row],[NumL]],T_TraitDi[#Data],COLUMN(T_TraitDi[Type1]),FALSE),TypeTW,2,FALSE),"")</f>
        <v>son domicile (lieu de résidence habituelle du télétravailleur)</v>
      </c>
      <c r="BM303" s="288" t="str">
        <f>IFERROR(VLOOKUP(T_Convention[[#This Row],[NumL]],T_TraitDi[#Data],COLUMN(T_TraitDi[Rue1]),FALSE),"")</f>
        <v>5, rue de Bonald</v>
      </c>
      <c r="BN303" s="289" t="str">
        <f>IFERROR(VLOOKUP(T_Convention[[#This Row],[NumL]],T_TraitDi[#Data],COLUMN(T_TraitDi[CP1]),FALSE),"")</f>
        <v>69007</v>
      </c>
      <c r="BO303" s="282" t="str">
        <f>IFERROR(VLOOKUP(T_Convention[[#This Row],[NumL]],T_TraitDi[#Data],COLUMN(T_TraitDi[VILLE1]),FALSE),"")</f>
        <v>LYON</v>
      </c>
      <c r="BP303" s="290" t="str">
        <f>IFERROR(VLOOKUP(VLOOKUP(T_Convention[[#This Row],[NumL]],T_TraitDi[#Data],COLUMN(T_TraitDi[Type2]),FALSE),TypeTW,2,FALSE),"")</f>
        <v/>
      </c>
      <c r="BQ303" s="182" t="str">
        <f>IFERROR(VLOOKUP(T_Convention[[#This Row],[NumL]],T_TraitDi[#Data],COLUMN(T_TraitDi[Rue2]),FALSE),"")</f>
        <v>Sans objet</v>
      </c>
      <c r="BR303" s="173" t="str">
        <f>IFERROR(VLOOKUP(T_Convention[[#This Row],[NumL]],T_TraitDi[#Data],COLUMN(T_TraitDi[CP2]),FALSE),"")</f>
        <v xml:space="preserve"> </v>
      </c>
      <c r="BS303" s="173" t="str">
        <f>IFERROR(VLOOKUP(T_Convention[[#This Row],[NumL]],T_TraitDi[#Data],COLUMN(T_TraitDi[VILLE2]),FALSE),"")</f>
        <v xml:space="preserve">  </v>
      </c>
      <c r="BT303" s="182" t="str">
        <f>IF(VLOOKUP(T_Convention[[#This Row],[NumL]],T_Equipement[#Data],COLUMN(T_Equipement[PC]),FALSE)="","Aucun équipement spécifique directement lié au télétravail",VLOOKUP(T_Convention[[#This Row],[NumL]],T_Equipement[#Data],COLUMN(T_Equipement[PC]),FALSE))</f>
        <v>15-155</v>
      </c>
      <c r="BU303" s="166" t="str">
        <f>IFERROR(IF(VLOOKUP(T_Convention[[#This Row],[NumL]],T_TraitDi[#Data],COLUMN(T_TraitDi[Plan]),FALSE)="OK","Un planning spécifique de télétravail est annexé à la présente convention.",""),"")</f>
        <v/>
      </c>
      <c r="BV303" s="185" t="s">
        <v>3470</v>
      </c>
      <c r="BW303" s="164" t="str">
        <f>IF(VLOOKUP(T_Convention[[#This Row],[NumL]],T_suiviDi[#Data],COLUMN(T_suiviDi[Entité]),FALSE)="","",VLOOKUP(T_Convention[[#This Row],[NumL]],T_suiviDi[#Data],COLUMN(T_suiviDi[Entité]),FALSE))</f>
        <v>SACSO</v>
      </c>
      <c r="BX303" s="164" t="str">
        <f>IF(VLOOKUP(T_Convention[[#This Row],[NumL]],T_Commission[#Data],COLUMN(T_Commission[envoi confirm TW]),FALSE)="","",VLOOKUP(T_Convention[[#This Row],[NumL]],T_Commission[#Data],COLUMN(T_Commission[envoi confirm TW]),FALSE))</f>
        <v>Oui</v>
      </c>
      <c r="BY30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3" s="264">
        <f>VLOOKUP(T_Convention[[#This Row],[NumL]],T_Commission[#Data],COLUMN(T_Commission[Commentaire]),FALSE)</f>
        <v>0</v>
      </c>
      <c r="CA303" s="254" t="str">
        <f>IF(VLOOKUP(T_Convention[[#This Row],[NumL]],T_Commission[#Data],COLUMN(T_Commission[Encadrant Email]),FALSE)="","",VLOOKUP(T_Convention[[#This Row],[NumL]],T_Commission[#Data],COLUMN(T_Commission[Encadrant Email]),FALSE))</f>
        <v/>
      </c>
      <c r="CB303" s="352">
        <f>VLOOKUP(T_Convention[[#This Row],[NumL]],T_TraitDi[#Data],COLUMN(T_TraitDi[NbJTot]),FALSE)</f>
        <v>4.5</v>
      </c>
      <c r="CC303" s="352" t="str">
        <f>VLOOKUP(T_Convention[[#This Row],[NumL]],T_TraitDi[#Data],COLUMN(T_TraitDi[Reg Ponct]),FALSE)</f>
        <v>R</v>
      </c>
      <c r="CD303" s="348" t="str">
        <f>IF(T_Convention[[#This Row],[Final]]&lt;&gt;"",VLOOKUP(T_Convention[[#This Row],[NumL]],T_suiviDi[#Data],COLUMN((T_suiviDi[Statut])),FALSE),"")</f>
        <v>RENVL</v>
      </c>
    </row>
    <row r="304" spans="1:82" s="50" customFormat="1" ht="18.75" customHeight="1" x14ac:dyDescent="0.25">
      <c r="A304" s="160">
        <v>176</v>
      </c>
      <c r="B304" s="161">
        <f>VLOOKUP(T_Convention[[#This Row],[NumL]],T_Commission[#Data],COLUMN(T_Commission[FINAL]),FALSE)</f>
        <v>1</v>
      </c>
      <c r="C304" s="162"/>
      <c r="D304" s="95" t="str">
        <f>IF(VLOOKUP(T_Convention[[#This Row],[NumL]],T_TraitDi[#Data],COLUMN(T_TraitDi[WebC]),FALSE)="","",VLOOKUP(T_Convention[[#This Row],[NumL]],T_TraitDi[#Data],COLUMN(T_TraitDi[WebC]),FALSE))</f>
        <v>WG</v>
      </c>
      <c r="E304" s="163" t="str">
        <f t="shared" si="20"/>
        <v>12 janvier 2021</v>
      </c>
      <c r="F304" s="282" t="str">
        <f>IF(T_Convention[[#This Row],[Final]]&lt;&gt;"",VLOOKUP(T_Convention[[#This Row],[NumL]],T_suiviDi[#Data],COLUMN((T_suiviDi[Civ.])),FALSE),"")</f>
        <v>Mme</v>
      </c>
      <c r="G304" s="283" t="str">
        <f>IF(T_Convention[[#This Row],[Final]]&lt;&gt;"",VLOOKUP(T_Convention[[#This Row],[NumL]],T_suiviDi[#Data],COLUMN((T_suiviDi[Nom])),FALSE),"")</f>
        <v>A</v>
      </c>
      <c r="H304" s="282" t="str">
        <f>IF(T_Convention[[#This Row],[Final]]&lt;&gt;"",VLOOKUP(T_Convention[[#This Row],[NumL]],T_suiviDi[#Data],COLUMN((T_suiviDi[Prénom])),FALSE),"")</f>
        <v>Annie</v>
      </c>
      <c r="I304" s="282" t="e">
        <f>VLOOKUP(T_Convention[[#This Row],[NumL]],T_suiviDi[#Data],COLUMN((T_suiviDi[[#This Row],[Email]])),FALSE)</f>
        <v>#VALUE!</v>
      </c>
      <c r="J304" s="282" t="e">
        <f>IF(VLOOKUP(T_Convention[[#This Row],[NumL]],T_suiviDi[#Data],COLUMN(T_suiviDi[[#This Row],[Fonction]]),FALSE)="","",VLOOKUP(T_Convention[[#This Row],[NumL]],T_suiviDi[#Data],COLUMN(T_suiviDi[[#This Row],[Fonction]]),FALSE))</f>
        <v>#VALUE!</v>
      </c>
      <c r="K304" s="282" t="e">
        <f>IF(VLOOKUP(T_Convention[[#This Row],[NumL]],T_suiviDi[#Data],COLUMN(T_suiviDi[[#This Row],[Grade]]),FALSE)="","",VLOOKUP(T_Convention[[#This Row],[NumL]],T_suiviDi[#Data],COLUMN(T_suiviDi[[#This Row],[Grade]]),FALSE))</f>
        <v>#VALUE!</v>
      </c>
      <c r="L304" s="282" t="e">
        <f>IF(VLOOKUP(T_Convention[[#This Row],[NumL]],T_suiviDi[#Data],COLUMN(T_suiviDi[[#This Row],[Service ]]),FALSE)="","",VLOOKUP(T_Convention[[#This Row],[NumL]],T_suiviDi[#Data],COLUMN(T_suiviDi[[#This Row],[Service ]]),FALSE))</f>
        <v>#VALUE!</v>
      </c>
      <c r="M304" s="164" t="str">
        <f t="shared" si="21"/>
        <v>01 septembre 2021</v>
      </c>
      <c r="N304" s="164" t="str">
        <f t="shared" si="22"/>
        <v>30 novembre 2021</v>
      </c>
      <c r="O304" s="284" t="str">
        <f t="shared" si="23"/>
        <v>30 novembre 2021</v>
      </c>
      <c r="P304" s="282" t="str">
        <f>IF(VLOOKUP(T_Convention[[#This Row],[NumL]],T_TraitDi[#Data],COLUMN(T_TraitDi[M1]),FALSE)="","",VLOOKUP(T_Convention[[#This Row],[NumL]],T_TraitDi[#Data],COLUMN(T_TraitDi[M1]),FALSE))</f>
        <v>Messageries électroniques</v>
      </c>
      <c r="Q304" s="282" t="str">
        <f>IF(VLOOKUP(T_Convention[[#This Row],[NumL]],T_TraitDi[#Data],COLUMN(T_TraitDi[M2]),FALSE)="","",VLOOKUP(T_Convention[[#This Row],[NumL]],T_TraitDi[#Data],COLUMN(T_TraitDi[M2]),FALSE))</f>
        <v xml:space="preserve">Plannings emploi du temps </v>
      </c>
      <c r="R304" s="282" t="str">
        <f>IF(VLOOKUP(T_Convention[[#This Row],[NumL]],T_TraitDi[#Data],COLUMN(T_TraitDi[M3]),FALSE)="","",VLOOKUP(T_Convention[[#This Row],[NumL]],T_TraitDi[#Data],COLUMN(T_TraitDi[M3]),FALSE))</f>
        <v>Planning des examens</v>
      </c>
      <c r="S304" s="282" t="str">
        <f>IF(VLOOKUP(T_Convention[[#This Row],[NumL]],T_TraitDi[#Data],COLUMN(T_TraitDi[M4]),FALSE)="","",VLOOKUP(T_Convention[[#This Row],[NumL]],T_TraitDi[#Data],COLUMN(T_TraitDi[M4]),FALSE))</f>
        <v>Examens des étudiants en situation de handicap</v>
      </c>
      <c r="T304" s="282" t="str">
        <f>IF(VLOOKUP(T_Convention[[#This Row],[NumL]],T_TraitDi[#Data],COLUMN(T_TraitDi[M5]),FALSE)="","",VLOOKUP(T_Convention[[#This Row],[NumL]],T_TraitDi[#Data],COLUMN(T_TraitDi[M5]),FALSE))</f>
        <v xml:space="preserve">Dossiers e-candidat </v>
      </c>
      <c r="U304" s="282" t="str">
        <f>IF(VLOOKUP(T_Convention[[#This Row],[NumL]],T_TraitDi[#Data],COLUMN(T_TraitDi[M6]),FALSE)="","",VLOOKUP(T_Convention[[#This Row],[NumL]],T_TraitDi[#Data],COLUMN(T_TraitDi[M6]),FALSE))</f>
        <v/>
      </c>
      <c r="V304" s="176" t="str">
        <f t="shared" si="24"/>
        <v xml:space="preserve">Messageries électroniquesPlannings emploi du temps Planning des examensExamens des étudiants en situation de handicapDossiers e-candidat </v>
      </c>
      <c r="W304" s="284" t="str">
        <f>IFERROR(TEXT(VLOOKUP(T_Convention[[#This Row],[NumL]],T_TraitDi[#Data],COLUMN(T_TraitDi[Q2]),FALSE),"###%"),"")</f>
        <v>100%</v>
      </c>
      <c r="X304" s="97" t="str">
        <f>VLOOKUP(T_Convention[[#This Row],[NumL]],T_TraitDi[#Data],COLUMN(T_TraitDi[Reg Ponct]),FALSE)</f>
        <v>R</v>
      </c>
      <c r="Y304" s="97">
        <f>VLOOKUP(T_Convention[NumL],T_TraitDi[#Data],COLUMN(T_TraitDi[Jours flottants]),FALSE)</f>
        <v>10</v>
      </c>
      <c r="Z304" s="284" t="str">
        <f>IFERROR(VLOOKUP(T_Convention[[#This Row],[NumL]],T_TraitDi[#Data],COLUMN(T_TraitDi[Lundi]),FALSE),"")</f>
        <v>S</v>
      </c>
      <c r="AA304" s="284" t="str">
        <f>IF(VLOOKUP(T_Convention[[#This Row],[NumL]],T_TraitDi[#Data],COLUMN(T_TraitDi[Colonne3]),FALSE)=0,"",TEXT(IFERROR(VLOOKUP(T_Convention[[#This Row],[NumL]],T_TraitDi[#Data],COLUMN(T_TraitDi[Colonne3]),FALSE),""),"[hh]:mm"))</f>
        <v>08:30</v>
      </c>
      <c r="AB304" s="284" t="str">
        <f>IF(VLOOKUP(T_Convention[[#This Row],[NumL]],T_TraitDi[#Data],COLUMN(T_TraitDi[Colonne4]),FALSE)=0,"",TEXT(IFERROR(VLOOKUP(T_Convention[[#This Row],[NumL]],T_TraitDi[#Data],COLUMN(T_TraitDi[Colonne4]),FALSE),""),"[hh]:mm"))</f>
        <v>12:30</v>
      </c>
      <c r="AC304" s="284" t="str">
        <f>IF(VLOOKUP(T_Convention[[#This Row],[NumL]],T_TraitDi[#Data],COLUMN(T_TraitDi[Colonne5]),FALSE)=0,"",TEXT(IFERROR(VLOOKUP(T_Convention[[#This Row],[NumL]],T_TraitDi[#Data],COLUMN(T_TraitDi[Colonne5]),FALSE),""),"[hh]:mm"))</f>
        <v>S</v>
      </c>
      <c r="AD304" s="284" t="str">
        <f>IF(VLOOKUP(T_Convention[[#This Row],[NumL]],T_TraitDi[#Data],COLUMN(T_TraitDi[Colonne6]),FALSE)=0,"",TEXT(IFERROR(VLOOKUP(T_Convention[[#This Row],[NumL]],T_TraitDi[#Data],COLUMN(T_TraitDi[Colonne6]),FALSE),""),"[hh]:mm"))</f>
        <v>13:30</v>
      </c>
      <c r="AE304" s="284" t="str">
        <f>IF(VLOOKUP(T_Convention[[#This Row],[NumL]],T_TraitDi[#Data],COLUMN(T_TraitDi[Colonne7]),FALSE)=0,"",TEXT(IFERROR(VLOOKUP(T_Convention[[#This Row],[NumL]],T_TraitDi[#Data],COLUMN(T_TraitDi[Colonne7]),FALSE),""),"[hh]:mm"))</f>
        <v>17:45</v>
      </c>
      <c r="AF304" s="284" t="str">
        <f>IF(VLOOKUP(T_Convention[[#This Row],[NumL]],T_TraitDi[#Data],COLUMN(T_TraitDi[Colonne8]),FALSE)=0,"",TEXT(IFERROR(VLOOKUP(T_Convention[[#This Row],[NumL]],T_TraitDi[#Data],COLUMN(T_TraitDi[Colonne8]),FALSE),""),"[hh]:mm"))</f>
        <v>08:15</v>
      </c>
      <c r="AG304" s="284" t="str">
        <f>IFERROR(VLOOKUP(T_Convention[[#This Row],[NumL]],T_TraitDi[#Data],COLUMN(T_TraitDi[Mardi]),FALSE),"")</f>
        <v>S</v>
      </c>
      <c r="AH304" s="284" t="str">
        <f>IF(VLOOKUP(T_Convention[[#This Row],[NumL]],T_TraitDi[#Data],COLUMN(T_TraitDi[Colonne1]),FALSE)=0,"",TEXT(IFERROR(VLOOKUP(T_Convention[[#This Row],[NumL]],T_TraitDi[#Data],COLUMN(T_TraitDi[Colonne1]),FALSE),""),"[hh]:mm"))</f>
        <v>08:30</v>
      </c>
      <c r="AI304" s="284" t="str">
        <f>IF(VLOOKUP(T_Convention[[#This Row],[NumL]],T_TraitDi[#Data],COLUMN(T_TraitDi[Colonne9]),FALSE)=0,"",TEXT(IFERROR(VLOOKUP(T_Convention[[#This Row],[NumL]],T_TraitDi[#Data],COLUMN(T_TraitDi[Colonne9]),FALSE),""),"[hh]:mm"))</f>
        <v>12:30</v>
      </c>
      <c r="AJ304" s="284" t="str">
        <f>IFERROR(VLOOKUP(T_Convention[[#This Row],[NumL]],T_TraitDi[#Data],COLUMN(T_TraitDi[Colonne10]),FALSE),"")</f>
        <v>S</v>
      </c>
      <c r="AK304" s="284" t="str">
        <f>IF(VLOOKUP(T_Convention[[#This Row],[NumL]],T_TraitDi[#Data],COLUMN(T_TraitDi[Colonne11]),FALSE)=0,"",TEXT(IFERROR(VLOOKUP(T_Convention[[#This Row],[NumL]],T_TraitDi[#Data],COLUMN(T_TraitDi[Colonne11]),FALSE),""),"[hh]:mm"))</f>
        <v>13:30</v>
      </c>
      <c r="AL304" s="284" t="str">
        <f>IF(VLOOKUP(T_Convention[[#This Row],[NumL]],T_TraitDi[#Data],COLUMN(T_TraitDi[Colonne12]),FALSE)=0,"",TEXT(IFERROR(VLOOKUP(T_Convention[[#This Row],[NumL]],T_TraitDi[#Data],COLUMN(T_TraitDi[Colonne12]),FALSE),""),"[hh]:mm"))</f>
        <v>17:45</v>
      </c>
      <c r="AM304" s="284" t="str">
        <f>IF(VLOOKUP(T_Convention[[#This Row],[NumL]],T_TraitDi[#Data],COLUMN(T_TraitDi[Colonne14]),FALSE)=0,"",TEXT(IFERROR(VLOOKUP(T_Convention[[#This Row],[NumL]],T_TraitDi[#Data],COLUMN(T_TraitDi[Colonne14]),FALSE),""),"[hh]:mm"))</f>
        <v>08:15</v>
      </c>
      <c r="AN304" s="284" t="str">
        <f>IFERROR(VLOOKUP(T_Convention[[#This Row],[NumL]],T_TraitDi[#Data],COLUMN(T_TraitDi[Mercredi]),FALSE),"")</f>
        <v>S</v>
      </c>
      <c r="AO304" s="284" t="str">
        <f>IF(VLOOKUP(T_Convention[[#This Row],[NumL]],T_TraitDi[#Data],COLUMN(T_TraitDi[Colonne15]),FALSE)=0,"",TEXT(IFERROR(VLOOKUP(T_Convention[[#This Row],[NumL]],T_TraitDi[#Data],COLUMN(T_TraitDi[Colonne15]),FALSE),""),"[hh]:mm"))</f>
        <v>08:30</v>
      </c>
      <c r="AP304" s="284" t="str">
        <f>IF(VLOOKUP(T_Convention[[#This Row],[NumL]],T_TraitDi[#Data],COLUMN(T_TraitDi[Colonne16]),FALSE)=0,"",TEXT(IFERROR(VLOOKUP(T_Convention[[#This Row],[NumL]],T_TraitDi[#Data],COLUMN(T_TraitDi[Colonne16]),FALSE),""),"[hh]:mm"))</f>
        <v>12:30</v>
      </c>
      <c r="AQ304" s="284" t="str">
        <f>IFERROR(VLOOKUP(T_Convention[[#This Row],[NumL]],T_TraitDi[#Data],COLUMN(T_TraitDi[Colonne17]),FALSE),"")</f>
        <v>S</v>
      </c>
      <c r="AR304" s="284" t="str">
        <f>IF(VLOOKUP(T_Convention[[#This Row],[NumL]],T_TraitDi[#Data],COLUMN(T_TraitDi[Colonne18]),FALSE)=0,"",TEXT(IFERROR(VLOOKUP(T_Convention[[#This Row],[NumL]],T_TraitDi[#Data],COLUMN(T_TraitDi[Colonne18]),FALSE),""),"[hh]:mm"))</f>
        <v>13:30</v>
      </c>
      <c r="AS304" s="284" t="str">
        <f>IF(VLOOKUP(T_Convention[[#This Row],[NumL]],T_TraitDi[#Data],COLUMN(T_TraitDi[Colonne19]),FALSE)=0,"",TEXT(IFERROR(VLOOKUP(T_Convention[[#This Row],[NumL]],T_TraitDi[#Data],COLUMN(T_TraitDi[Colonne19]),FALSE),""),"[hh]:mm"))</f>
        <v>17:45</v>
      </c>
      <c r="AT304" s="284" t="str">
        <f>IF(VLOOKUP(T_Convention[[#This Row],[NumL]],T_TraitDi[#Data],COLUMN(T_TraitDi[Colonne20]),FALSE)=0,"",TEXT(IFERROR(VLOOKUP(T_Convention[[#This Row],[NumL]],T_TraitDi[#Data],COLUMN(T_TraitDi[Colonne20]),FALSE),""),"[hh]:mm"))</f>
        <v>08:15</v>
      </c>
      <c r="AU304" s="284" t="str">
        <f>IFERROR(VLOOKUP(T_Convention[[#This Row],[NumL]],T_TraitDi[#Data],COLUMN(T_TraitDi[Jeudi]),FALSE),"")</f>
        <v>T</v>
      </c>
      <c r="AV304" s="284" t="str">
        <f>IF(VLOOKUP(T_Convention[[#This Row],[NumL]],T_TraitDi[#Data],COLUMN(T_TraitDi[Colonne21]),FALSE)=0,"",TEXT(IFERROR(VLOOKUP(T_Convention[[#This Row],[NumL]],T_TraitDi[#Data],COLUMN(T_TraitDi[Colonne21]),FALSE),""),"[hh]:mm"))</f>
        <v>08:00</v>
      </c>
      <c r="AW304" s="284" t="str">
        <f>IF(VLOOKUP(T_Convention[[#This Row],[NumL]],T_TraitDi[#Data],COLUMN(T_TraitDi[Colonne22]),FALSE)=0,"",TEXT(IFERROR(VLOOKUP(T_Convention[[#This Row],[NumL]],T_TraitDi[#Data],COLUMN(T_TraitDi[Colonne22]),FALSE),""),"[hh]:mm"))</f>
        <v>12:00</v>
      </c>
      <c r="AX304" s="284" t="str">
        <f>IFERROR(VLOOKUP(T_Convention[[#This Row],[NumL]],T_TraitDi[#Data],COLUMN(T_TraitDi[Colonne23]),FALSE),"")</f>
        <v>T</v>
      </c>
      <c r="AY304" s="284" t="str">
        <f>IF(VLOOKUP(T_Convention[[#This Row],[NumL]],T_TraitDi[#Data],COLUMN(T_TraitDi[Colonne24]),FALSE)=0,"",TEXT(IFERROR(VLOOKUP(T_Convention[[#This Row],[NumL]],T_TraitDi[#Data],COLUMN(T_TraitDi[Colonne24]),FALSE),""),"[hh]:mm"))</f>
        <v>13:00</v>
      </c>
      <c r="AZ304" s="284" t="str">
        <f>IF(VLOOKUP(T_Convention[[#This Row],[NumL]],T_TraitDi[#Data],COLUMN(T_TraitDi[Colonne25]),FALSE)=0,"",TEXT(IFERROR(VLOOKUP(T_Convention[[#This Row],[NumL]],T_TraitDi[#Data],COLUMN(T_TraitDi[Colonne25]),FALSE),""),"[hh]:mm"))</f>
        <v>17:20</v>
      </c>
      <c r="BA304" s="284" t="str">
        <f>IF(VLOOKUP(T_Convention[[#This Row],[NumL]],T_TraitDi[#Data],COLUMN(T_TraitDi[Colonne26]),FALSE)=0,"",TEXT(IFERROR(VLOOKUP(T_Convention[[#This Row],[NumL]],T_TraitDi[#Data],COLUMN(T_TraitDi[Colonne26]),FALSE),""),"[hh]:mm"))</f>
        <v>08:20</v>
      </c>
      <c r="BB304" s="284" t="str">
        <f>IFERROR(VLOOKUP(T_Convention[[#This Row],[NumL]],T_TraitDi[#Data],COLUMN(T_TraitDi[Vendredi]),FALSE),"")</f>
        <v>S</v>
      </c>
      <c r="BC304" s="284" t="str">
        <f>IF(VLOOKUP(T_Convention[[#This Row],[NumL]],T_TraitDi[#Data],COLUMN(T_TraitDi[Colonne27]),FALSE)=0,"",TEXT(IFERROR(VLOOKUP(T_Convention[[#This Row],[NumL]],T_TraitDi[#Data],COLUMN(T_TraitDi[Colonne27]),FALSE),""),"[hh]:mm"))</f>
        <v>08:30</v>
      </c>
      <c r="BD304" s="284" t="str">
        <f>IF(VLOOKUP(T_Convention[[#This Row],[NumL]],T_TraitDi[#Data],COLUMN(T_TraitDi[Colonne28]),FALSE)=0,"",TEXT(IFERROR(VLOOKUP(T_Convention[[#This Row],[NumL]],T_TraitDi[#Data],COLUMN(T_TraitDi[Colonne28]),FALSE),""),"[hh]:mm"))</f>
        <v>12:30</v>
      </c>
      <c r="BE304" s="284" t="str">
        <f>IFERROR(VLOOKUP(T_Convention[[#This Row],[NumL]],T_TraitDi[#Data],COLUMN(T_TraitDi[Colonne29]),FALSE),"")</f>
        <v>A</v>
      </c>
      <c r="BF304" s="284" t="str">
        <f>IF(VLOOKUP(T_Convention[[#This Row],[NumL]],T_TraitDi[#Data],COLUMN(T_TraitDi[Colonne30]),FALSE)=0,"",TEXT(IFERROR(VLOOKUP(T_Convention[[#This Row],[NumL]],T_TraitDi[#Data],COLUMN(T_TraitDi[Colonne30]),FALSE),""),"[hh]:mm"))</f>
        <v/>
      </c>
      <c r="BG304" s="284" t="str">
        <f>IF(VLOOKUP(T_Convention[[#This Row],[NumL]],T_TraitDi[#Data],COLUMN(T_TraitDi[Colonne31]),FALSE)=0,"",TEXT(IFERROR(VLOOKUP(T_Convention[[#This Row],[NumL]],T_TraitDi[#Data],COLUMN(T_TraitDi[Colonne31]),FALSE),""),"[hh]:mm"))</f>
        <v/>
      </c>
      <c r="BH304" s="284" t="str">
        <f>IF(VLOOKUP(T_Convention[[#This Row],[NumL]],T_TraitDi[#Data],COLUMN(T_TraitDi[Colonne32]),FALSE)=0,"",TEXT(IFERROR(VLOOKUP(T_Convention[[#This Row],[NumL]],T_TraitDi[#Data],COLUMN(T_TraitDi[Colonne32]),FALSE),""),"[hh]:mm"))</f>
        <v>04:00</v>
      </c>
      <c r="BI304" s="284">
        <f>IFERROR(VLOOKUP(T_Convention[[#This Row],[NumL]],T_TraitDi[#Data],COLUMN(T_TraitDi[NbJTW]),FALSE),"")</f>
        <v>1</v>
      </c>
      <c r="BJ304" s="284" t="str">
        <f>IF(VLOOKUP(T_Convention[[#This Row],[NumL]],T_TraitDi[#Data],COLUMN(T_TraitDi[NbhTW]),FALSE)=0,"",TEXT(IFERROR(VLOOKUP(T_Convention[[#This Row],[NumL]],T_TraitDi[#Data],COLUMN(T_TraitDi[NbhTW]),FALSE),""),"[hh]:mm"))</f>
        <v>08:20</v>
      </c>
      <c r="BK304" s="286" t="str">
        <f>IF(VLOOKUP(T_Convention[[#This Row],[NumL]],T_TraitDi[#Data],COLUMN(T_TraitDi[Nbhheb]),FALSE)=0,"",TEXT(IFERROR(VLOOKUP(T_Convention[[#This Row],[NumL]],T_TraitDi[#Data],COLUMN(T_TraitDi[Nbhheb]),FALSE),""),"[hh]:mm"))</f>
        <v>37:05</v>
      </c>
      <c r="BL304" s="287" t="str">
        <f>IFERROR(VLOOKUP(VLOOKUP(T_Convention[[#This Row],[NumL]],T_TraitDi[#Data],COLUMN(T_TraitDi[Type1]),FALSE),TypeTW,2,FALSE),"")</f>
        <v>son domicile (lieu de résidence habituelle du télétravailleur)</v>
      </c>
      <c r="BM304" s="288" t="str">
        <f>IFERROR(VLOOKUP(T_Convention[[#This Row],[NumL]],T_TraitDi[#Data],COLUMN(T_TraitDi[Rue1]),FALSE),"")</f>
        <v>3 rue Lionel Terray</v>
      </c>
      <c r="BN304" s="289" t="str">
        <f>IFERROR(VLOOKUP(T_Convention[[#This Row],[NumL]],T_TraitDi[#Data],COLUMN(T_TraitDi[CP1]),FALSE),"")</f>
        <v>69600</v>
      </c>
      <c r="BO304" s="282" t="str">
        <f>IFERROR(VLOOKUP(T_Convention[[#This Row],[NumL]],T_TraitDi[#Data],COLUMN(T_TraitDi[VILLE1]),FALSE),"")</f>
        <v>OULLINS</v>
      </c>
      <c r="BP304" s="290" t="str">
        <f>IFERROR(VLOOKUP(VLOOKUP(T_Convention[[#This Row],[NumL]],T_TraitDi[#Data],COLUMN(T_TraitDi[Type2]),FALSE),TypeTW,2,FALSE),"")</f>
        <v/>
      </c>
      <c r="BQ304" s="182" t="str">
        <f>IFERROR(VLOOKUP(T_Convention[[#This Row],[NumL]],T_TraitDi[#Data],COLUMN(T_TraitDi[Rue2]),FALSE),"")</f>
        <v>Sans objet</v>
      </c>
      <c r="BR304" s="173" t="str">
        <f>IFERROR(VLOOKUP(T_Convention[[#This Row],[NumL]],T_TraitDi[#Data],COLUMN(T_TraitDi[CP2]),FALSE),"")</f>
        <v xml:space="preserve"> </v>
      </c>
      <c r="BS304" s="173" t="str">
        <f>IFERROR(VLOOKUP(T_Convention[[#This Row],[NumL]],T_TraitDi[#Data],COLUMN(T_TraitDi[VILLE2]),FALSE),"")</f>
        <v xml:space="preserve">  </v>
      </c>
      <c r="BT304" s="182" t="str">
        <f>IF(VLOOKUP(T_Convention[[#This Row],[NumL]],T_Equipement[#Data],COLUMN(T_Equipement[PC]),FALSE)="","Aucun équipement spécifique directement lié au télétravail",VLOOKUP(T_Convention[[#This Row],[NumL]],T_Equipement[#Data],COLUMN(T_Equipement[PC]),FALSE))</f>
        <v>20-606</v>
      </c>
      <c r="BU304" s="166" t="str">
        <f>IFERROR(IF(VLOOKUP(T_Convention[[#This Row],[NumL]],T_TraitDi[#Data],COLUMN(T_TraitDi[Plan]),FALSE)="OK","Un planning spécifique de télétravail est annexé à la présente convention.",""),"")</f>
        <v/>
      </c>
      <c r="BV304" s="185" t="s">
        <v>3317</v>
      </c>
      <c r="BW304" s="164" t="str">
        <f>IF(VLOOKUP(T_Convention[[#This Row],[NumL]],T_suiviDi[#Data],COLUMN(T_suiviDi[Entité]),FALSE)="","",VLOOKUP(T_Convention[[#This Row],[NumL]],T_suiviDi[#Data],COLUMN(T_suiviDi[Entité]),FALSE))</f>
        <v>Langues</v>
      </c>
      <c r="BX304" s="164" t="str">
        <f>IF(VLOOKUP(T_Convention[[#This Row],[NumL]],T_Commission[#Data],COLUMN(T_Commission[envoi confirm TW]),FALSE)="","",VLOOKUP(T_Convention[[#This Row],[NumL]],T_Commission[#Data],COLUMN(T_Commission[envoi confirm TW]),FALSE))</f>
        <v>Oui</v>
      </c>
      <c r="BY30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4" s="264">
        <f>VLOOKUP(T_Convention[[#This Row],[NumL]],T_Commission[#Data],COLUMN(T_Commission[Commentaire]),FALSE)</f>
        <v>0</v>
      </c>
      <c r="CA304" s="254" t="str">
        <f>IF(VLOOKUP(T_Convention[[#This Row],[NumL]],T_Commission[#Data],COLUMN(T_Commission[Encadrant Email]),FALSE)="","",VLOOKUP(T_Convention[[#This Row],[NumL]],T_Commission[#Data],COLUMN(T_Commission[Encadrant Email]),FALSE))</f>
        <v/>
      </c>
      <c r="CB304" s="352">
        <f>VLOOKUP(T_Convention[[#This Row],[NumL]],T_TraitDi[#Data],COLUMN(T_TraitDi[NbJTot]),FALSE)</f>
        <v>4.5</v>
      </c>
      <c r="CC304" s="352" t="str">
        <f>VLOOKUP(T_Convention[[#This Row],[NumL]],T_TraitDi[#Data],COLUMN(T_TraitDi[Reg Ponct]),FALSE)</f>
        <v>R</v>
      </c>
      <c r="CD304" s="348" t="str">
        <f>IF(T_Convention[[#This Row],[Final]]&lt;&gt;"",VLOOKUP(T_Convention[[#This Row],[NumL]],T_suiviDi[#Data],COLUMN((T_suiviDi[Statut])),FALSE),"")</f>
        <v>RENVL</v>
      </c>
    </row>
    <row r="305" spans="1:82" s="50" customFormat="1" ht="18.75" customHeight="1" x14ac:dyDescent="0.25">
      <c r="A305" s="160">
        <v>57</v>
      </c>
      <c r="B305" s="161">
        <f>VLOOKUP(T_Convention[[#This Row],[NumL]],T_Commission[#Data],COLUMN(T_Commission[FINAL]),FALSE)</f>
        <v>1</v>
      </c>
      <c r="C305" s="162"/>
      <c r="D305" s="95" t="str">
        <f>IF(VLOOKUP(T_Convention[[#This Row],[NumL]],T_TraitDi[#Data],COLUMN(T_TraitDi[WebC]),FALSE)="","",VLOOKUP(T_Convention[[#This Row],[NumL]],T_TraitDi[#Data],COLUMN(T_TraitDi[WebC]),FALSE))</f>
        <v>WG</v>
      </c>
      <c r="E305" s="163" t="str">
        <f t="shared" si="20"/>
        <v>12 janvier 2021</v>
      </c>
      <c r="F305" s="282" t="str">
        <f>IF(T_Convention[[#This Row],[Final]]&lt;&gt;"",VLOOKUP(T_Convention[[#This Row],[NumL]],T_suiviDi[#Data],COLUMN((T_suiviDi[Civ.])),FALSE),"")</f>
        <v>M.</v>
      </c>
      <c r="G305" s="283" t="str">
        <f>IF(T_Convention[[#This Row],[Final]]&lt;&gt;"",VLOOKUP(T_Convention[[#This Row],[NumL]],T_suiviDi[#Data],COLUMN((T_suiviDi[Nom])),FALSE),"")</f>
        <v>A</v>
      </c>
      <c r="H305" s="282" t="str">
        <f>IF(T_Convention[[#This Row],[Final]]&lt;&gt;"",VLOOKUP(T_Convention[[#This Row],[NumL]],T_suiviDi[#Data],COLUMN((T_suiviDi[Prénom])),FALSE),"")</f>
        <v>Lionel</v>
      </c>
      <c r="I305" s="282" t="e">
        <f>VLOOKUP(T_Convention[[#This Row],[NumL]],T_suiviDi[#Data],COLUMN((T_suiviDi[[#This Row],[Email]])),FALSE)</f>
        <v>#VALUE!</v>
      </c>
      <c r="J305" s="282" t="e">
        <f>IF(VLOOKUP(T_Convention[[#This Row],[NumL]],T_suiviDi[#Data],COLUMN(T_suiviDi[[#This Row],[Fonction]]),FALSE)="","",VLOOKUP(T_Convention[[#This Row],[NumL]],T_suiviDi[#Data],COLUMN(T_suiviDi[[#This Row],[Fonction]]),FALSE))</f>
        <v>#VALUE!</v>
      </c>
      <c r="K305" s="282" t="e">
        <f>IF(VLOOKUP(T_Convention[[#This Row],[NumL]],T_suiviDi[#Data],COLUMN(T_suiviDi[[#This Row],[Grade]]),FALSE)="","",VLOOKUP(T_Convention[[#This Row],[NumL]],T_suiviDi[#Data],COLUMN(T_suiviDi[[#This Row],[Grade]]),FALSE))</f>
        <v>#VALUE!</v>
      </c>
      <c r="L305" s="282" t="e">
        <f>IF(VLOOKUP(T_Convention[[#This Row],[NumL]],T_suiviDi[#Data],COLUMN(T_suiviDi[[#This Row],[Service ]]),FALSE)="","",VLOOKUP(T_Convention[[#This Row],[NumL]],T_suiviDi[#Data],COLUMN(T_suiviDi[[#This Row],[Service ]]),FALSE))</f>
        <v>#VALUE!</v>
      </c>
      <c r="M305" s="164" t="str">
        <f t="shared" si="21"/>
        <v>01 septembre 2021</v>
      </c>
      <c r="N305" s="164" t="str">
        <f t="shared" si="22"/>
        <v>30 novembre 2021</v>
      </c>
      <c r="O305" s="284" t="str">
        <f t="shared" si="23"/>
        <v>30 novembre 2021</v>
      </c>
      <c r="P305" s="282" t="str">
        <f>IF(VLOOKUP(T_Convention[[#This Row],[NumL]],T_TraitDi[#Data],COLUMN(T_TraitDi[M1]),FALSE)="","",VLOOKUP(T_Convention[[#This Row],[NumL]],T_TraitDi[#Data],COLUMN(T_TraitDi[M1]),FALSE))</f>
        <v>Plannification des examens de L3</v>
      </c>
      <c r="Q305" s="282" t="str">
        <f>IF(VLOOKUP(T_Convention[[#This Row],[NumL]],T_TraitDi[#Data],COLUMN(T_TraitDi[M2]),FALSE)="","",VLOOKUP(T_Convention[[#This Row],[NumL]],T_TraitDi[#Data],COLUMN(T_TraitDi[M2]),FALSE))</f>
        <v>Convocations examens</v>
      </c>
      <c r="R305" s="282" t="str">
        <f>IF(VLOOKUP(T_Convention[[#This Row],[NumL]],T_TraitDi[#Data],COLUMN(T_TraitDi[M3]),FALSE)="","",VLOOKUP(T_Convention[[#This Row],[NumL]],T_TraitDi[#Data],COLUMN(T_TraitDi[M3]),FALSE))</f>
        <v>Diffusion des informations et des réponses numériques</v>
      </c>
      <c r="S305" s="282" t="str">
        <f>IF(VLOOKUP(T_Convention[[#This Row],[NumL]],T_TraitDi[#Data],COLUMN(T_TraitDi[M4]),FALSE)="","",VLOOKUP(T_Convention[[#This Row],[NumL]],T_TraitDi[#Data],COLUMN(T_TraitDi[M4]),FALSE))</f>
        <v/>
      </c>
      <c r="T305" s="282" t="str">
        <f>IF(VLOOKUP(T_Convention[[#This Row],[NumL]],T_TraitDi[#Data],COLUMN(T_TraitDi[M5]),FALSE)="","",VLOOKUP(T_Convention[[#This Row],[NumL]],T_TraitDi[#Data],COLUMN(T_TraitDi[M5]),FALSE))</f>
        <v/>
      </c>
      <c r="U305" s="282" t="str">
        <f>IF(VLOOKUP(T_Convention[[#This Row],[NumL]],T_TraitDi[#Data],COLUMN(T_TraitDi[M6]),FALSE)="","",VLOOKUP(T_Convention[[#This Row],[NumL]],T_TraitDi[#Data],COLUMN(T_TraitDi[M6]),FALSE))</f>
        <v/>
      </c>
      <c r="V305" s="176" t="str">
        <f t="shared" si="24"/>
        <v>Plannification des examens de L3Convocations examensDiffusion des informations et des réponses numériques</v>
      </c>
      <c r="W305" s="284" t="str">
        <f>IFERROR(TEXT(VLOOKUP(T_Convention[[#This Row],[NumL]],T_TraitDi[#Data],COLUMN(T_TraitDi[Q2]),FALSE),"###%"),"")</f>
        <v>100%</v>
      </c>
      <c r="X305" s="97" t="str">
        <f>VLOOKUP(T_Convention[[#This Row],[NumL]],T_TraitDi[#Data],COLUMN(T_TraitDi[Reg Ponct]),FALSE)</f>
        <v>R</v>
      </c>
      <c r="Y305" s="97">
        <f>VLOOKUP(T_Convention[NumL],T_TraitDi[#Data],COLUMN(T_TraitDi[Jours flottants]),FALSE)</f>
        <v>10</v>
      </c>
      <c r="Z305" s="284" t="str">
        <f>IFERROR(VLOOKUP(T_Convention[[#This Row],[NumL]],T_TraitDi[#Data],COLUMN(T_TraitDi[Lundi]),FALSE),"")</f>
        <v>S</v>
      </c>
      <c r="AA305" s="284" t="str">
        <f>IF(VLOOKUP(T_Convention[[#This Row],[NumL]],T_TraitDi[#Data],COLUMN(T_TraitDi[Colonne3]),FALSE)=0,"",TEXT(IFERROR(VLOOKUP(T_Convention[[#This Row],[NumL]],T_TraitDi[#Data],COLUMN(T_TraitDi[Colonne3]),FALSE),""),"[hh]:mm"))</f>
        <v>08:00</v>
      </c>
      <c r="AB305" s="284" t="str">
        <f>IF(VLOOKUP(T_Convention[[#This Row],[NumL]],T_TraitDi[#Data],COLUMN(T_TraitDi[Colonne4]),FALSE)=0,"",TEXT(IFERROR(VLOOKUP(T_Convention[[#This Row],[NumL]],T_TraitDi[#Data],COLUMN(T_TraitDi[Colonne4]),FALSE),""),"[hh]:mm"))</f>
        <v>12:30</v>
      </c>
      <c r="AC305" s="284" t="str">
        <f>IF(VLOOKUP(T_Convention[[#This Row],[NumL]],T_TraitDi[#Data],COLUMN(T_TraitDi[Colonne5]),FALSE)=0,"",TEXT(IFERROR(VLOOKUP(T_Convention[[#This Row],[NumL]],T_TraitDi[#Data],COLUMN(T_TraitDi[Colonne5]),FALSE),""),"[hh]:mm"))</f>
        <v>S</v>
      </c>
      <c r="AD305" s="284" t="str">
        <f>IF(VLOOKUP(T_Convention[[#This Row],[NumL]],T_TraitDi[#Data],COLUMN(T_TraitDi[Colonne6]),FALSE)=0,"",TEXT(IFERROR(VLOOKUP(T_Convention[[#This Row],[NumL]],T_TraitDi[#Data],COLUMN(T_TraitDi[Colonne6]),FALSE),""),"[hh]:mm"))</f>
        <v>13:30</v>
      </c>
      <c r="AE305" s="284" t="str">
        <f>IF(VLOOKUP(T_Convention[[#This Row],[NumL]],T_TraitDi[#Data],COLUMN(T_TraitDi[Colonne7]),FALSE)=0,"",TEXT(IFERROR(VLOOKUP(T_Convention[[#This Row],[NumL]],T_TraitDi[#Data],COLUMN(T_TraitDi[Colonne7]),FALSE),""),"[hh]:mm"))</f>
        <v>17:05</v>
      </c>
      <c r="AF305" s="284" t="str">
        <f>IF(VLOOKUP(T_Convention[[#This Row],[NumL]],T_TraitDi[#Data],COLUMN(T_TraitDi[Colonne8]),FALSE)=0,"",TEXT(IFERROR(VLOOKUP(T_Convention[[#This Row],[NumL]],T_TraitDi[#Data],COLUMN(T_TraitDi[Colonne8]),FALSE),""),"[hh]:mm"))</f>
        <v>08:05</v>
      </c>
      <c r="AG305" s="284" t="str">
        <f>IFERROR(VLOOKUP(T_Convention[[#This Row],[NumL]],T_TraitDi[#Data],COLUMN(T_TraitDi[Mardi]),FALSE),"")</f>
        <v>T</v>
      </c>
      <c r="AH305" s="284" t="str">
        <f>IF(VLOOKUP(T_Convention[[#This Row],[NumL]],T_TraitDi[#Data],COLUMN(T_TraitDi[Colonne1]),FALSE)=0,"",TEXT(IFERROR(VLOOKUP(T_Convention[[#This Row],[NumL]],T_TraitDi[#Data],COLUMN(T_TraitDi[Colonne1]),FALSE),""),"[hh]:mm"))</f>
        <v>07:30</v>
      </c>
      <c r="AI305" s="284" t="str">
        <f>IF(VLOOKUP(T_Convention[[#This Row],[NumL]],T_TraitDi[#Data],COLUMN(T_TraitDi[Colonne9]),FALSE)=0,"",TEXT(IFERROR(VLOOKUP(T_Convention[[#This Row],[NumL]],T_TraitDi[#Data],COLUMN(T_TraitDi[Colonne9]),FALSE),""),"[hh]:mm"))</f>
        <v>12:00</v>
      </c>
      <c r="AJ305" s="284" t="str">
        <f>IFERROR(VLOOKUP(T_Convention[[#This Row],[NumL]],T_TraitDi[#Data],COLUMN(T_TraitDi[Colonne10]),FALSE),"")</f>
        <v>T</v>
      </c>
      <c r="AK305" s="284" t="str">
        <f>IF(VLOOKUP(T_Convention[[#This Row],[NumL]],T_TraitDi[#Data],COLUMN(T_TraitDi[Colonne11]),FALSE)=0,"",TEXT(IFERROR(VLOOKUP(T_Convention[[#This Row],[NumL]],T_TraitDi[#Data],COLUMN(T_TraitDi[Colonne11]),FALSE),""),"[hh]:mm"))</f>
        <v>13:00</v>
      </c>
      <c r="AL305" s="284" t="str">
        <f>IF(VLOOKUP(T_Convention[[#This Row],[NumL]],T_TraitDi[#Data],COLUMN(T_TraitDi[Colonne12]),FALSE)=0,"",TEXT(IFERROR(VLOOKUP(T_Convention[[#This Row],[NumL]],T_TraitDi[#Data],COLUMN(T_TraitDi[Colonne12]),FALSE),""),"[hh]:mm"))</f>
        <v>17:00</v>
      </c>
      <c r="AM305" s="284" t="str">
        <f>IF(VLOOKUP(T_Convention[[#This Row],[NumL]],T_TraitDi[#Data],COLUMN(T_TraitDi[Colonne14]),FALSE)=0,"",TEXT(IFERROR(VLOOKUP(T_Convention[[#This Row],[NumL]],T_TraitDi[#Data],COLUMN(T_TraitDi[Colonne14]),FALSE),""),"[hh]:mm"))</f>
        <v>08:30</v>
      </c>
      <c r="AN305" s="284" t="str">
        <f>IFERROR(VLOOKUP(T_Convention[[#This Row],[NumL]],T_TraitDi[#Data],COLUMN(T_TraitDi[Mercredi]),FALSE),"")</f>
        <v>S</v>
      </c>
      <c r="AO305" s="284" t="str">
        <f>IF(VLOOKUP(T_Convention[[#This Row],[NumL]],T_TraitDi[#Data],COLUMN(T_TraitDi[Colonne15]),FALSE)=0,"",TEXT(IFERROR(VLOOKUP(T_Convention[[#This Row],[NumL]],T_TraitDi[#Data],COLUMN(T_TraitDi[Colonne15]),FALSE),""),"[hh]:mm"))</f>
        <v>08:00</v>
      </c>
      <c r="AP305" s="284" t="str">
        <f>IF(VLOOKUP(T_Convention[[#This Row],[NumL]],T_TraitDi[#Data],COLUMN(T_TraitDi[Colonne16]),FALSE)=0,"",TEXT(IFERROR(VLOOKUP(T_Convention[[#This Row],[NumL]],T_TraitDi[#Data],COLUMN(T_TraitDi[Colonne16]),FALSE),""),"[hh]:mm"))</f>
        <v>12:30</v>
      </c>
      <c r="AQ305" s="284" t="str">
        <f>IFERROR(VLOOKUP(T_Convention[[#This Row],[NumL]],T_TraitDi[#Data],COLUMN(T_TraitDi[Colonne17]),FALSE),"")</f>
        <v>S</v>
      </c>
      <c r="AR305" s="284" t="str">
        <f>IF(VLOOKUP(T_Convention[[#This Row],[NumL]],T_TraitDi[#Data],COLUMN(T_TraitDi[Colonne18]),FALSE)=0,"",TEXT(IFERROR(VLOOKUP(T_Convention[[#This Row],[NumL]],T_TraitDi[#Data],COLUMN(T_TraitDi[Colonne18]),FALSE),""),"[hh]:mm"))</f>
        <v>13:30</v>
      </c>
      <c r="AS305" s="284" t="str">
        <f>IF(VLOOKUP(T_Convention[[#This Row],[NumL]],T_TraitDi[#Data],COLUMN(T_TraitDi[Colonne19]),FALSE)=0,"",TEXT(IFERROR(VLOOKUP(T_Convention[[#This Row],[NumL]],T_TraitDi[#Data],COLUMN(T_TraitDi[Colonne19]),FALSE),""),"[hh]:mm"))</f>
        <v>17:00</v>
      </c>
      <c r="AT305" s="284" t="str">
        <f>IF(VLOOKUP(T_Convention[[#This Row],[NumL]],T_TraitDi[#Data],COLUMN(T_TraitDi[Colonne20]),FALSE)=0,"",TEXT(IFERROR(VLOOKUP(T_Convention[[#This Row],[NumL]],T_TraitDi[#Data],COLUMN(T_TraitDi[Colonne20]),FALSE),""),"[hh]:mm"))</f>
        <v>08:00</v>
      </c>
      <c r="AU305" s="284" t="str">
        <f>IFERROR(VLOOKUP(T_Convention[[#This Row],[NumL]],T_TraitDi[#Data],COLUMN(T_TraitDi[Jeudi]),FALSE),"")</f>
        <v>S</v>
      </c>
      <c r="AV305" s="284" t="str">
        <f>IF(VLOOKUP(T_Convention[[#This Row],[NumL]],T_TraitDi[#Data],COLUMN(T_TraitDi[Colonne21]),FALSE)=0,"",TEXT(IFERROR(VLOOKUP(T_Convention[[#This Row],[NumL]],T_TraitDi[#Data],COLUMN(T_TraitDi[Colonne21]),FALSE),""),"[hh]:mm"))</f>
        <v>07:30</v>
      </c>
      <c r="AW305" s="284" t="str">
        <f>IF(VLOOKUP(T_Convention[[#This Row],[NumL]],T_TraitDi[#Data],COLUMN(T_TraitDi[Colonne22]),FALSE)=0,"",TEXT(IFERROR(VLOOKUP(T_Convention[[#This Row],[NumL]],T_TraitDi[#Data],COLUMN(T_TraitDi[Colonne22]),FALSE),""),"[hh]:mm"))</f>
        <v>12:30</v>
      </c>
      <c r="AX305" s="284" t="str">
        <f>IFERROR(VLOOKUP(T_Convention[[#This Row],[NumL]],T_TraitDi[#Data],COLUMN(T_TraitDi[Colonne23]),FALSE),"")</f>
        <v>S</v>
      </c>
      <c r="AY305" s="284" t="str">
        <f>IF(VLOOKUP(T_Convention[[#This Row],[NumL]],T_TraitDi[#Data],COLUMN(T_TraitDi[Colonne24]),FALSE)=0,"",TEXT(IFERROR(VLOOKUP(T_Convention[[#This Row],[NumL]],T_TraitDi[#Data],COLUMN(T_TraitDi[Colonne24]),FALSE),""),"[hh]:mm"))</f>
        <v>13:30</v>
      </c>
      <c r="AZ305" s="284" t="str">
        <f>IF(VLOOKUP(T_Convention[[#This Row],[NumL]],T_TraitDi[#Data],COLUMN(T_TraitDi[Colonne25]),FALSE)=0,"",TEXT(IFERROR(VLOOKUP(T_Convention[[#This Row],[NumL]],T_TraitDi[#Data],COLUMN(T_TraitDi[Colonne25]),FALSE),""),"[hh]:mm"))</f>
        <v>16:30</v>
      </c>
      <c r="BA305" s="284" t="str">
        <f>IF(VLOOKUP(T_Convention[[#This Row],[NumL]],T_TraitDi[#Data],COLUMN(T_TraitDi[Colonne26]),FALSE)=0,"",TEXT(IFERROR(VLOOKUP(T_Convention[[#This Row],[NumL]],T_TraitDi[#Data],COLUMN(T_TraitDi[Colonne26]),FALSE),""),"[hh]:mm"))</f>
        <v>08:00</v>
      </c>
      <c r="BB305" s="284" t="str">
        <f>IFERROR(VLOOKUP(T_Convention[[#This Row],[NumL]],T_TraitDi[#Data],COLUMN(T_TraitDi[Vendredi]),FALSE),"")</f>
        <v>T</v>
      </c>
      <c r="BC305" s="284" t="str">
        <f>IF(VLOOKUP(T_Convention[[#This Row],[NumL]],T_TraitDi[#Data],COLUMN(T_TraitDi[Colonne27]),FALSE)=0,"",TEXT(IFERROR(VLOOKUP(T_Convention[[#This Row],[NumL]],T_TraitDi[#Data],COLUMN(T_TraitDi[Colonne27]),FALSE),""),"[hh]:mm"))</f>
        <v>08:00</v>
      </c>
      <c r="BD305" s="284" t="str">
        <f>IF(VLOOKUP(T_Convention[[#This Row],[NumL]],T_TraitDi[#Data],COLUMN(T_TraitDi[Colonne28]),FALSE)=0,"",TEXT(IFERROR(VLOOKUP(T_Convention[[#This Row],[NumL]],T_TraitDi[#Data],COLUMN(T_TraitDi[Colonne28]),FALSE),""),"[hh]:mm"))</f>
        <v>12:30</v>
      </c>
      <c r="BE305" s="284" t="str">
        <f>IFERROR(VLOOKUP(T_Convention[[#This Row],[NumL]],T_TraitDi[#Data],COLUMN(T_TraitDi[Colonne29]),FALSE),"")</f>
        <v>A</v>
      </c>
      <c r="BF305" s="284" t="str">
        <f>IF(VLOOKUP(T_Convention[[#This Row],[NumL]],T_TraitDi[#Data],COLUMN(T_TraitDi[Colonne30]),FALSE)=0,"",TEXT(IFERROR(VLOOKUP(T_Convention[[#This Row],[NumL]],T_TraitDi[#Data],COLUMN(T_TraitDi[Colonne30]),FALSE),""),"[hh]:mm"))</f>
        <v/>
      </c>
      <c r="BG305" s="284" t="str">
        <f>IF(VLOOKUP(T_Convention[[#This Row],[NumL]],T_TraitDi[#Data],COLUMN(T_TraitDi[Colonne31]),FALSE)=0,"",TEXT(IFERROR(VLOOKUP(T_Convention[[#This Row],[NumL]],T_TraitDi[#Data],COLUMN(T_TraitDi[Colonne31]),FALSE),""),"[hh]:mm"))</f>
        <v/>
      </c>
      <c r="BH305" s="284" t="str">
        <f>IF(VLOOKUP(T_Convention[[#This Row],[NumL]],T_TraitDi[#Data],COLUMN(T_TraitDi[Colonne32]),FALSE)=0,"",TEXT(IFERROR(VLOOKUP(T_Convention[[#This Row],[NumL]],T_TraitDi[#Data],COLUMN(T_TraitDi[Colonne32]),FALSE),""),"[hh]:mm"))</f>
        <v>04:30</v>
      </c>
      <c r="BI305" s="284">
        <f>IFERROR(VLOOKUP(T_Convention[[#This Row],[NumL]],T_TraitDi[#Data],COLUMN(T_TraitDi[NbJTW]),FALSE),"")</f>
        <v>1.5</v>
      </c>
      <c r="BJ305" s="284" t="str">
        <f>IF(VLOOKUP(T_Convention[[#This Row],[NumL]],T_TraitDi[#Data],COLUMN(T_TraitDi[NbhTW]),FALSE)=0,"",TEXT(IFERROR(VLOOKUP(T_Convention[[#This Row],[NumL]],T_TraitDi[#Data],COLUMN(T_TraitDi[NbhTW]),FALSE),""),"[hh]:mm"))</f>
        <v>13:00</v>
      </c>
      <c r="BK305" s="286" t="str">
        <f>IF(VLOOKUP(T_Convention[[#This Row],[NumL]],T_TraitDi[#Data],COLUMN(T_TraitDi[Nbhheb]),FALSE)=0,"",TEXT(IFERROR(VLOOKUP(T_Convention[[#This Row],[NumL]],T_TraitDi[#Data],COLUMN(T_TraitDi[Nbhheb]),FALSE),""),"[hh]:mm"))</f>
        <v>37:05</v>
      </c>
      <c r="BL305" s="287" t="str">
        <f>IFERROR(VLOOKUP(VLOOKUP(T_Convention[[#This Row],[NumL]],T_TraitDi[#Data],COLUMN(T_TraitDi[Type1]),FALSE),TypeTW,2,FALSE),"")</f>
        <v>son domicile (lieu de résidence habituelle du télétravailleur)</v>
      </c>
      <c r="BM305" s="288" t="str">
        <f>IFERROR(VLOOKUP(T_Convention[[#This Row],[NumL]],T_TraitDi[#Data],COLUMN(T_TraitDi[Rue1]),FALSE),"")</f>
        <v>19 rue Barodet</v>
      </c>
      <c r="BN305" s="289" t="str">
        <f>IFERROR(VLOOKUP(T_Convention[[#This Row],[NumL]],T_TraitDi[#Data],COLUMN(T_TraitDi[CP1]),FALSE),"")</f>
        <v>69004</v>
      </c>
      <c r="BO305" s="282" t="str">
        <f>IFERROR(VLOOKUP(T_Convention[[#This Row],[NumL]],T_TraitDi[#Data],COLUMN(T_TraitDi[VILLE1]),FALSE),"")</f>
        <v>LYON</v>
      </c>
      <c r="BP305" s="290" t="str">
        <f>IFERROR(VLOOKUP(VLOOKUP(T_Convention[[#This Row],[NumL]],T_TraitDi[#Data],COLUMN(T_TraitDi[Type2]),FALSE),TypeTW,2,FALSE),"")</f>
        <v/>
      </c>
      <c r="BQ305" s="182" t="str">
        <f>IFERROR(VLOOKUP(T_Convention[[#This Row],[NumL]],T_TraitDi[#Data],COLUMN(T_TraitDi[Rue2]),FALSE),"")</f>
        <v>Sans objet</v>
      </c>
      <c r="BR305" s="173" t="str">
        <f>IFERROR(VLOOKUP(T_Convention[[#This Row],[NumL]],T_TraitDi[#Data],COLUMN(T_TraitDi[CP2]),FALSE),"")</f>
        <v xml:space="preserve"> </v>
      </c>
      <c r="BS305" s="173" t="str">
        <f>IFERROR(VLOOKUP(T_Convention[[#This Row],[NumL]],T_TraitDi[#Data],COLUMN(T_TraitDi[VILLE2]),FALSE),"")</f>
        <v xml:space="preserve">  </v>
      </c>
      <c r="BT305" s="182" t="str">
        <f>IF(VLOOKUP(T_Convention[[#This Row],[NumL]],T_Equipement[#Data],COLUMN(T_Equipement[PC]),FALSE)="","Aucun équipement spécifique directement lié au télétravail",VLOOKUP(T_Convention[[#This Row],[NumL]],T_Equipement[#Data],COLUMN(T_Equipement[PC]),FALSE))</f>
        <v>17-028</v>
      </c>
      <c r="BU305" s="166" t="str">
        <f>IFERROR(IF(VLOOKUP(T_Convention[[#This Row],[NumL]],T_TraitDi[#Data],COLUMN(T_TraitDi[Plan]),FALSE)="OK","Un planning spécifique de télétravail est annexé à la présente convention.",""),"")</f>
        <v/>
      </c>
      <c r="BV305" s="185" t="s">
        <v>3448</v>
      </c>
      <c r="BW305" s="164" t="str">
        <f>IF(VLOOKUP(T_Convention[[#This Row],[NumL]],T_suiviDi[#Data],COLUMN(T_suiviDi[Entité]),FALSE)="","",VLOOKUP(T_Convention[[#This Row],[NumL]],T_suiviDi[#Data],COLUMN(T_suiviDi[Entité]),FALSE))</f>
        <v>Droit</v>
      </c>
      <c r="BX305" s="164" t="str">
        <f>IF(VLOOKUP(T_Convention[[#This Row],[NumL]],T_Commission[#Data],COLUMN(T_Commission[envoi confirm TW]),FALSE)="","",VLOOKUP(T_Convention[[#This Row],[NumL]],T_Commission[#Data],COLUMN(T_Commission[envoi confirm TW]),FALSE))</f>
        <v>Oui</v>
      </c>
      <c r="BY30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5" s="264">
        <f>VLOOKUP(T_Convention[[#This Row],[NumL]],T_Commission[#Data],COLUMN(T_Commission[Commentaire]),FALSE)</f>
        <v>0</v>
      </c>
      <c r="CA305" s="254" t="str">
        <f>IF(VLOOKUP(T_Convention[[#This Row],[NumL]],T_Commission[#Data],COLUMN(T_Commission[Encadrant Email]),FALSE)="","",VLOOKUP(T_Convention[[#This Row],[NumL]],T_Commission[#Data],COLUMN(T_Commission[Encadrant Email]),FALSE))</f>
        <v/>
      </c>
      <c r="CB305" s="352">
        <f>VLOOKUP(T_Convention[[#This Row],[NumL]],T_TraitDi[#Data],COLUMN(T_TraitDi[NbJTot]),FALSE)</f>
        <v>4.5</v>
      </c>
      <c r="CC305" s="352" t="str">
        <f>VLOOKUP(T_Convention[[#This Row],[NumL]],T_TraitDi[#Data],COLUMN(T_TraitDi[Reg Ponct]),FALSE)</f>
        <v>R</v>
      </c>
      <c r="CD305" s="348" t="str">
        <f>IF(T_Convention[[#This Row],[Final]]&lt;&gt;"",VLOOKUP(T_Convention[[#This Row],[NumL]],T_suiviDi[#Data],COLUMN((T_suiviDi[Statut])),FALSE),"")</f>
        <v>RENVL</v>
      </c>
    </row>
    <row r="306" spans="1:82" s="50" customFormat="1" ht="18.75" customHeight="1" x14ac:dyDescent="0.25">
      <c r="A306" s="160">
        <v>310</v>
      </c>
      <c r="B306" s="281" t="str">
        <f>VLOOKUP(T_Convention[[#This Row],[NumL]],T_Commission[#Data],COLUMN(T_Commission[FINAL]),FALSE)</f>
        <v/>
      </c>
      <c r="C306" s="162"/>
      <c r="D306" s="95" t="str">
        <f>IF(VLOOKUP(T_Convention[[#This Row],[NumL]],T_TraitDi[#Data],COLUMN(T_TraitDi[WebC]),FALSE)="","",VLOOKUP(T_Convention[[#This Row],[NumL]],T_TraitDi[#Data],COLUMN(T_TraitDi[WebC]),FALSE))</f>
        <v>DI</v>
      </c>
      <c r="E306" s="163" t="str">
        <f t="shared" si="20"/>
        <v>12 janvier 2021</v>
      </c>
      <c r="F306" s="282" t="str">
        <f>IF(T_Convention[[#This Row],[Final]]&lt;&gt;"",VLOOKUP(T_Convention[[#This Row],[NumL]],T_suiviDi[#Data],COLUMN((T_suiviDi[Civ.])),FALSE),"")</f>
        <v/>
      </c>
      <c r="G306" s="283" t="str">
        <f>IF(T_Convention[[#This Row],[Final]]&lt;&gt;"",VLOOKUP(T_Convention[[#This Row],[NumL]],T_suiviDi[#Data],COLUMN((T_suiviDi[Nom])),FALSE),"")</f>
        <v/>
      </c>
      <c r="H306" s="282" t="str">
        <f>IF(T_Convention[[#This Row],[Final]]&lt;&gt;"",VLOOKUP(T_Convention[[#This Row],[NumL]],T_suiviDi[#Data],COLUMN((T_suiviDi[Prénom])),FALSE),"")</f>
        <v/>
      </c>
      <c r="I306" s="282" t="e">
        <f>VLOOKUP(T_Convention[[#This Row],[NumL]],T_suiviDi[#Data],COLUMN((T_suiviDi[[#This Row],[Email]])),FALSE)</f>
        <v>#VALUE!</v>
      </c>
      <c r="J306" s="282" t="e">
        <f>IF(VLOOKUP(T_Convention[[#This Row],[NumL]],T_suiviDi[#Data],COLUMN(T_suiviDi[[#This Row],[Fonction]]),FALSE)="","",VLOOKUP(T_Convention[[#This Row],[NumL]],T_suiviDi[#Data],COLUMN(T_suiviDi[[#This Row],[Fonction]]),FALSE))</f>
        <v>#VALUE!</v>
      </c>
      <c r="K306" s="282" t="e">
        <f>IF(VLOOKUP(T_Convention[[#This Row],[NumL]],T_suiviDi[#Data],COLUMN(T_suiviDi[[#This Row],[Grade]]),FALSE)="","",VLOOKUP(T_Convention[[#This Row],[NumL]],T_suiviDi[#Data],COLUMN(T_suiviDi[[#This Row],[Grade]]),FALSE))</f>
        <v>#VALUE!</v>
      </c>
      <c r="L306" s="282" t="e">
        <f>IF(VLOOKUP(T_Convention[[#This Row],[NumL]],T_suiviDi[#Data],COLUMN(T_suiviDi[[#This Row],[Service ]]),FALSE)="","",VLOOKUP(T_Convention[[#This Row],[NumL]],T_suiviDi[#Data],COLUMN(T_suiviDi[[#This Row],[Service ]]),FALSE))</f>
        <v>#VALUE!</v>
      </c>
      <c r="M306" s="314" t="str">
        <f t="shared" si="21"/>
        <v>01 septembre 2021</v>
      </c>
      <c r="N306" s="314" t="str">
        <f t="shared" si="22"/>
        <v>30 novembre 2021</v>
      </c>
      <c r="O306" s="284" t="str">
        <f t="shared" si="23"/>
        <v>30 novembre 2021</v>
      </c>
      <c r="P306" s="282" t="str">
        <f>IF(VLOOKUP(T_Convention[[#This Row],[NumL]],T_TraitDi[#Data],COLUMN(T_TraitDi[M1]),FALSE)="","",VLOOKUP(T_Convention[[#This Row],[NumL]],T_TraitDi[#Data],COLUMN(T_TraitDi[M1]),FALSE))</f>
        <v/>
      </c>
      <c r="Q306" s="282" t="str">
        <f>IF(VLOOKUP(T_Convention[[#This Row],[NumL]],T_TraitDi[#Data],COLUMN(T_TraitDi[M2]),FALSE)="","",VLOOKUP(T_Convention[[#This Row],[NumL]],T_TraitDi[#Data],COLUMN(T_TraitDi[M2]),FALSE))</f>
        <v/>
      </c>
      <c r="R306" s="282" t="str">
        <f>IF(VLOOKUP(T_Convention[[#This Row],[NumL]],T_TraitDi[#Data],COLUMN(T_TraitDi[M3]),FALSE)="","",VLOOKUP(T_Convention[[#This Row],[NumL]],T_TraitDi[#Data],COLUMN(T_TraitDi[M3]),FALSE))</f>
        <v/>
      </c>
      <c r="S306" s="282" t="str">
        <f>IF(VLOOKUP(T_Convention[[#This Row],[NumL]],T_TraitDi[#Data],COLUMN(T_TraitDi[M4]),FALSE)="","",VLOOKUP(T_Convention[[#This Row],[NumL]],T_TraitDi[#Data],COLUMN(T_TraitDi[M4]),FALSE))</f>
        <v/>
      </c>
      <c r="T306" s="282" t="str">
        <f>IF(VLOOKUP(T_Convention[[#This Row],[NumL]],T_TraitDi[#Data],COLUMN(T_TraitDi[M5]),FALSE)="","",VLOOKUP(T_Convention[[#This Row],[NumL]],T_TraitDi[#Data],COLUMN(T_TraitDi[M5]),FALSE))</f>
        <v/>
      </c>
      <c r="U306" s="282" t="str">
        <f>IF(VLOOKUP(T_Convention[[#This Row],[NumL]],T_TraitDi[#Data],COLUMN(T_TraitDi[M6]),FALSE)="","",VLOOKUP(T_Convention[[#This Row],[NumL]],T_TraitDi[#Data],COLUMN(T_TraitDi[M6]),FALSE))</f>
        <v/>
      </c>
      <c r="V306" s="314" t="str">
        <f t="shared" si="24"/>
        <v/>
      </c>
      <c r="W306" s="284" t="str">
        <f>IFERROR(TEXT(VLOOKUP(T_Convention[[#This Row],[NumL]],T_TraitDi[#Data],COLUMN(T_TraitDi[Q2]),FALSE),"###%"),"")</f>
        <v>80%</v>
      </c>
      <c r="X306" s="285" t="str">
        <f>VLOOKUP(T_Convention[[#This Row],[NumL]],T_TraitDi[#Data],COLUMN(T_TraitDi[Reg Ponct]),FALSE)</f>
        <v>P</v>
      </c>
      <c r="Y306" s="285">
        <f>VLOOKUP(T_Convention[NumL],T_TraitDi[#Data],COLUMN(T_TraitDi[Jours flottants]),FALSE)</f>
        <v>16</v>
      </c>
      <c r="Z306" s="284">
        <f>IFERROR(VLOOKUP(T_Convention[[#This Row],[NumL]],T_TraitDi[#Data],COLUMN(T_TraitDi[Lundi]),FALSE),"")</f>
        <v>0</v>
      </c>
      <c r="AA306" s="284" t="str">
        <f>IF(VLOOKUP(T_Convention[[#This Row],[NumL]],T_TraitDi[#Data],COLUMN(T_TraitDi[Colonne3]),FALSE)=0,"",TEXT(IFERROR(VLOOKUP(T_Convention[[#This Row],[NumL]],T_TraitDi[#Data],COLUMN(T_TraitDi[Colonne3]),FALSE),""),"[hh]:mm"))</f>
        <v/>
      </c>
      <c r="AB306" s="284" t="str">
        <f>IF(VLOOKUP(T_Convention[[#This Row],[NumL]],T_TraitDi[#Data],COLUMN(T_TraitDi[Colonne4]),FALSE)=0,"",TEXT(IFERROR(VLOOKUP(T_Convention[[#This Row],[NumL]],T_TraitDi[#Data],COLUMN(T_TraitDi[Colonne4]),FALSE),""),"[hh]:mm"))</f>
        <v/>
      </c>
      <c r="AC306" s="284" t="str">
        <f>IF(VLOOKUP(T_Convention[[#This Row],[NumL]],T_TraitDi[#Data],COLUMN(T_TraitDi[Colonne5]),FALSE)=0,"",TEXT(IFERROR(VLOOKUP(T_Convention[[#This Row],[NumL]],T_TraitDi[#Data],COLUMN(T_TraitDi[Colonne5]),FALSE),""),"[hh]:mm"))</f>
        <v/>
      </c>
      <c r="AD306" s="284" t="str">
        <f>IF(VLOOKUP(T_Convention[[#This Row],[NumL]],T_TraitDi[#Data],COLUMN(T_TraitDi[Colonne6]),FALSE)=0,"",TEXT(IFERROR(VLOOKUP(T_Convention[[#This Row],[NumL]],T_TraitDi[#Data],COLUMN(T_TraitDi[Colonne6]),FALSE),""),"[hh]:mm"))</f>
        <v/>
      </c>
      <c r="AE306" s="284" t="str">
        <f>IF(VLOOKUP(T_Convention[[#This Row],[NumL]],T_TraitDi[#Data],COLUMN(T_TraitDi[Colonne7]),FALSE)=0,"",TEXT(IFERROR(VLOOKUP(T_Convention[[#This Row],[NumL]],T_TraitDi[#Data],COLUMN(T_TraitDi[Colonne7]),FALSE),""),"[hh]:mm"))</f>
        <v/>
      </c>
      <c r="AF306" s="284" t="str">
        <f>IF(VLOOKUP(T_Convention[[#This Row],[NumL]],T_TraitDi[#Data],COLUMN(T_TraitDi[Colonne8]),FALSE)=0,"",TEXT(IFERROR(VLOOKUP(T_Convention[[#This Row],[NumL]],T_TraitDi[#Data],COLUMN(T_TraitDi[Colonne8]),FALSE),""),"[hh]:mm"))</f>
        <v/>
      </c>
      <c r="AG306" s="284">
        <f>IFERROR(VLOOKUP(T_Convention[[#This Row],[NumL]],T_TraitDi[#Data],COLUMN(T_TraitDi[Mardi]),FALSE),"")</f>
        <v>0</v>
      </c>
      <c r="AH306" s="284" t="str">
        <f>IF(VLOOKUP(T_Convention[[#This Row],[NumL]],T_TraitDi[#Data],COLUMN(T_TraitDi[Colonne1]),FALSE)=0,"",TEXT(IFERROR(VLOOKUP(T_Convention[[#This Row],[NumL]],T_TraitDi[#Data],COLUMN(T_TraitDi[Colonne1]),FALSE),""),"[hh]:mm"))</f>
        <v/>
      </c>
      <c r="AI306" s="284" t="str">
        <f>IF(VLOOKUP(T_Convention[[#This Row],[NumL]],T_TraitDi[#Data],COLUMN(T_TraitDi[Colonne9]),FALSE)=0,"",TEXT(IFERROR(VLOOKUP(T_Convention[[#This Row],[NumL]],T_TraitDi[#Data],COLUMN(T_TraitDi[Colonne9]),FALSE),""),"[hh]:mm"))</f>
        <v/>
      </c>
      <c r="AJ306" s="284">
        <f>IFERROR(VLOOKUP(T_Convention[[#This Row],[NumL]],T_TraitDi[#Data],COLUMN(T_TraitDi[Colonne10]),FALSE),"")</f>
        <v>0</v>
      </c>
      <c r="AK306" s="284" t="str">
        <f>IF(VLOOKUP(T_Convention[[#This Row],[NumL]],T_TraitDi[#Data],COLUMN(T_TraitDi[Colonne11]),FALSE)=0,"",TEXT(IFERROR(VLOOKUP(T_Convention[[#This Row],[NumL]],T_TraitDi[#Data],COLUMN(T_TraitDi[Colonne11]),FALSE),""),"[hh]:mm"))</f>
        <v/>
      </c>
      <c r="AL306" s="284" t="str">
        <f>IF(VLOOKUP(T_Convention[[#This Row],[NumL]],T_TraitDi[#Data],COLUMN(T_TraitDi[Colonne12]),FALSE)=0,"",TEXT(IFERROR(VLOOKUP(T_Convention[[#This Row],[NumL]],T_TraitDi[#Data],COLUMN(T_TraitDi[Colonne12]),FALSE),""),"[hh]:mm"))</f>
        <v/>
      </c>
      <c r="AM306" s="284" t="str">
        <f>IF(VLOOKUP(T_Convention[[#This Row],[NumL]],T_TraitDi[#Data],COLUMN(T_TraitDi[Colonne14]),FALSE)=0,"",TEXT(IFERROR(VLOOKUP(T_Convention[[#This Row],[NumL]],T_TraitDi[#Data],COLUMN(T_TraitDi[Colonne14]),FALSE),""),"[hh]:mm"))</f>
        <v/>
      </c>
      <c r="AN306" s="284">
        <f>IFERROR(VLOOKUP(T_Convention[[#This Row],[NumL]],T_TraitDi[#Data],COLUMN(T_TraitDi[Mercredi]),FALSE),"")</f>
        <v>0</v>
      </c>
      <c r="AO306" s="284" t="str">
        <f>IF(VLOOKUP(T_Convention[[#This Row],[NumL]],T_TraitDi[#Data],COLUMN(T_TraitDi[Colonne15]),FALSE)=0,"",TEXT(IFERROR(VLOOKUP(T_Convention[[#This Row],[NumL]],T_TraitDi[#Data],COLUMN(T_TraitDi[Colonne15]),FALSE),""),"[hh]:mm"))</f>
        <v/>
      </c>
      <c r="AP306" s="284" t="str">
        <f>IF(VLOOKUP(T_Convention[[#This Row],[NumL]],T_TraitDi[#Data],COLUMN(T_TraitDi[Colonne16]),FALSE)=0,"",TEXT(IFERROR(VLOOKUP(T_Convention[[#This Row],[NumL]],T_TraitDi[#Data],COLUMN(T_TraitDi[Colonne16]),FALSE),""),"[hh]:mm"))</f>
        <v/>
      </c>
      <c r="AQ306" s="284">
        <f>IFERROR(VLOOKUP(T_Convention[[#This Row],[NumL]],T_TraitDi[#Data],COLUMN(T_TraitDi[Colonne17]),FALSE),"")</f>
        <v>0</v>
      </c>
      <c r="AR306" s="284" t="str">
        <f>IF(VLOOKUP(T_Convention[[#This Row],[NumL]],T_TraitDi[#Data],COLUMN(T_TraitDi[Colonne18]),FALSE)=0,"",TEXT(IFERROR(VLOOKUP(T_Convention[[#This Row],[NumL]],T_TraitDi[#Data],COLUMN(T_TraitDi[Colonne18]),FALSE),""),"[hh]:mm"))</f>
        <v/>
      </c>
      <c r="AS306" s="284" t="str">
        <f>IF(VLOOKUP(T_Convention[[#This Row],[NumL]],T_TraitDi[#Data],COLUMN(T_TraitDi[Colonne19]),FALSE)=0,"",TEXT(IFERROR(VLOOKUP(T_Convention[[#This Row],[NumL]],T_TraitDi[#Data],COLUMN(T_TraitDi[Colonne19]),FALSE),""),"[hh]:mm"))</f>
        <v/>
      </c>
      <c r="AT306" s="284" t="str">
        <f>IF(VLOOKUP(T_Convention[[#This Row],[NumL]],T_TraitDi[#Data],COLUMN(T_TraitDi[Colonne20]),FALSE)=0,"",TEXT(IFERROR(VLOOKUP(T_Convention[[#This Row],[NumL]],T_TraitDi[#Data],COLUMN(T_TraitDi[Colonne20]),FALSE),""),"[hh]:mm"))</f>
        <v/>
      </c>
      <c r="AU306" s="284">
        <f>IFERROR(VLOOKUP(T_Convention[[#This Row],[NumL]],T_TraitDi[#Data],COLUMN(T_TraitDi[Jeudi]),FALSE),"")</f>
        <v>0</v>
      </c>
      <c r="AV306" s="284" t="str">
        <f>IF(VLOOKUP(T_Convention[[#This Row],[NumL]],T_TraitDi[#Data],COLUMN(T_TraitDi[Colonne21]),FALSE)=0,"",TEXT(IFERROR(VLOOKUP(T_Convention[[#This Row],[NumL]],T_TraitDi[#Data],COLUMN(T_TraitDi[Colonne21]),FALSE),""),"[hh]:mm"))</f>
        <v/>
      </c>
      <c r="AW306" s="284" t="str">
        <f>IF(VLOOKUP(T_Convention[[#This Row],[NumL]],T_TraitDi[#Data],COLUMN(T_TraitDi[Colonne22]),FALSE)=0,"",TEXT(IFERROR(VLOOKUP(T_Convention[[#This Row],[NumL]],T_TraitDi[#Data],COLUMN(T_TraitDi[Colonne22]),FALSE),""),"[hh]:mm"))</f>
        <v/>
      </c>
      <c r="AX306" s="284">
        <f>IFERROR(VLOOKUP(T_Convention[[#This Row],[NumL]],T_TraitDi[#Data],COLUMN(T_TraitDi[Colonne23]),FALSE),"")</f>
        <v>0</v>
      </c>
      <c r="AY306" s="284" t="str">
        <f>IF(VLOOKUP(T_Convention[[#This Row],[NumL]],T_TraitDi[#Data],COLUMN(T_TraitDi[Colonne24]),FALSE)=0,"",TEXT(IFERROR(VLOOKUP(T_Convention[[#This Row],[NumL]],T_TraitDi[#Data],COLUMN(T_TraitDi[Colonne24]),FALSE),""),"[hh]:mm"))</f>
        <v/>
      </c>
      <c r="AZ306" s="284" t="str">
        <f>IF(VLOOKUP(T_Convention[[#This Row],[NumL]],T_TraitDi[#Data],COLUMN(T_TraitDi[Colonne25]),FALSE)=0,"",TEXT(IFERROR(VLOOKUP(T_Convention[[#This Row],[NumL]],T_TraitDi[#Data],COLUMN(T_TraitDi[Colonne25]),FALSE),""),"[hh]:mm"))</f>
        <v/>
      </c>
      <c r="BA306" s="284" t="str">
        <f>IF(VLOOKUP(T_Convention[[#This Row],[NumL]],T_TraitDi[#Data],COLUMN(T_TraitDi[Colonne26]),FALSE)=0,"",TEXT(IFERROR(VLOOKUP(T_Convention[[#This Row],[NumL]],T_TraitDi[#Data],COLUMN(T_TraitDi[Colonne26]),FALSE),""),"[hh]:mm"))</f>
        <v/>
      </c>
      <c r="BB306" s="284">
        <f>IFERROR(VLOOKUP(T_Convention[[#This Row],[NumL]],T_TraitDi[#Data],COLUMN(T_TraitDi[Vendredi]),FALSE),"")</f>
        <v>0</v>
      </c>
      <c r="BC306" s="284" t="str">
        <f>IF(VLOOKUP(T_Convention[[#This Row],[NumL]],T_TraitDi[#Data],COLUMN(T_TraitDi[Colonne27]),FALSE)=0,"",TEXT(IFERROR(VLOOKUP(T_Convention[[#This Row],[NumL]],T_TraitDi[#Data],COLUMN(T_TraitDi[Colonne27]),FALSE),""),"[hh]:mm"))</f>
        <v/>
      </c>
      <c r="BD306" s="284" t="str">
        <f>IF(VLOOKUP(T_Convention[[#This Row],[NumL]],T_TraitDi[#Data],COLUMN(T_TraitDi[Colonne28]),FALSE)=0,"",TEXT(IFERROR(VLOOKUP(T_Convention[[#This Row],[NumL]],T_TraitDi[#Data],COLUMN(T_TraitDi[Colonne28]),FALSE),""),"[hh]:mm"))</f>
        <v/>
      </c>
      <c r="BE306" s="284">
        <f>IFERROR(VLOOKUP(T_Convention[[#This Row],[NumL]],T_TraitDi[#Data],COLUMN(T_TraitDi[Colonne29]),FALSE),"")</f>
        <v>0</v>
      </c>
      <c r="BF306" s="284" t="str">
        <f>IF(VLOOKUP(T_Convention[[#This Row],[NumL]],T_TraitDi[#Data],COLUMN(T_TraitDi[Colonne30]),FALSE)=0,"",TEXT(IFERROR(VLOOKUP(T_Convention[[#This Row],[NumL]],T_TraitDi[#Data],COLUMN(T_TraitDi[Colonne30]),FALSE),""),"[hh]:mm"))</f>
        <v/>
      </c>
      <c r="BG306" s="284" t="str">
        <f>IF(VLOOKUP(T_Convention[[#This Row],[NumL]],T_TraitDi[#Data],COLUMN(T_TraitDi[Colonne31]),FALSE)=0,"",TEXT(IFERROR(VLOOKUP(T_Convention[[#This Row],[NumL]],T_TraitDi[#Data],COLUMN(T_TraitDi[Colonne31]),FALSE),""),"[hh]:mm"))</f>
        <v/>
      </c>
      <c r="BH306" s="284" t="str">
        <f>IF(VLOOKUP(T_Convention[[#This Row],[NumL]],T_TraitDi[#Data],COLUMN(T_TraitDi[Colonne32]),FALSE)=0,"",TEXT(IFERROR(VLOOKUP(T_Convention[[#This Row],[NumL]],T_TraitDi[#Data],COLUMN(T_TraitDi[Colonne32]),FALSE),""),"[hh]:mm"))</f>
        <v/>
      </c>
      <c r="BI306" s="284" t="str">
        <f>IFERROR(VLOOKUP(T_Convention[[#This Row],[NumL]],T_TraitDi[#Data],COLUMN(T_TraitDi[NbJTW]),FALSE),"")</f>
        <v/>
      </c>
      <c r="BJ306" s="284" t="str">
        <f>IF(VLOOKUP(T_Convention[[#This Row],[NumL]],T_TraitDi[#Data],COLUMN(T_TraitDi[NbhTW]),FALSE)=0,"",TEXT(IFERROR(VLOOKUP(T_Convention[[#This Row],[NumL]],T_TraitDi[#Data],COLUMN(T_TraitDi[NbhTW]),FALSE),""),"[hh]:mm"))</f>
        <v/>
      </c>
      <c r="BK306" s="315" t="str">
        <f>IF(VLOOKUP(T_Convention[[#This Row],[NumL]],T_TraitDi[#Data],COLUMN(T_TraitDi[Nbhheb]),FALSE)=0,"",TEXT(IFERROR(VLOOKUP(T_Convention[[#This Row],[NumL]],T_TraitDi[#Data],COLUMN(T_TraitDi[Nbhheb]),FALSE),""),"[hh]:mm"))</f>
        <v/>
      </c>
      <c r="BL306" s="287" t="str">
        <f>IFERROR(VLOOKUP(VLOOKUP(T_Convention[[#This Row],[NumL]],T_TraitDi[#Data],COLUMN(T_TraitDi[Type1]),FALSE),TypeTW,2,FALSE),"")</f>
        <v>son domicile (lieu de résidence habituelle du télétravailleur)</v>
      </c>
      <c r="BM306" s="288" t="str">
        <f>IFERROR(VLOOKUP(T_Convention[[#This Row],[NumL]],T_TraitDi[#Data],COLUMN(T_TraitDi[Rue1]),FALSE),"")</f>
        <v>85 Chaussée d'Erpent</v>
      </c>
      <c r="BN306" s="289" t="str">
        <f>IFERROR(VLOOKUP(T_Convention[[#This Row],[NumL]],T_TraitDi[#Data],COLUMN(T_TraitDi[CP1]),FALSE),"")</f>
        <v>69430</v>
      </c>
      <c r="BO306" s="282" t="str">
        <f>IFERROR(VLOOKUP(T_Convention[[#This Row],[NumL]],T_TraitDi[#Data],COLUMN(T_TraitDi[VILLE1]),FALSE),"")</f>
        <v>REGNIE DURETTE</v>
      </c>
      <c r="BP306" s="290" t="str">
        <f>IFERROR(VLOOKUP(VLOOKUP(T_Convention[[#This Row],[NumL]],T_TraitDi[#Data],COLUMN(T_TraitDi[Type2]),FALSE),TypeTW,2,FALSE),"")</f>
        <v/>
      </c>
      <c r="BQ306" s="310" t="str">
        <f>IFERROR(VLOOKUP(T_Convention[[#This Row],[NumL]],T_TraitDi[#Data],COLUMN(T_TraitDi[Rue2]),FALSE),"")</f>
        <v>Sans objet</v>
      </c>
      <c r="BR306" s="290">
        <f>IFERROR(VLOOKUP(T_Convention[[#This Row],[NumL]],T_TraitDi[#Data],COLUMN(T_TraitDi[CP2]),FALSE),"")</f>
        <v>0</v>
      </c>
      <c r="BS306" s="290">
        <f>IFERROR(VLOOKUP(T_Convention[[#This Row],[NumL]],T_TraitDi[#Data],COLUMN(T_TraitDi[VILLE2]),FALSE),"")</f>
        <v>0</v>
      </c>
      <c r="BT306"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06" s="314" t="str">
        <f>IFERROR(IF(VLOOKUP(T_Convention[[#This Row],[NumL]],T_TraitDi[#Data],COLUMN(T_TraitDi[Plan]),FALSE)="OK","Un planning spécifique de télétravail est annexé à la présente convention.",""),"")</f>
        <v/>
      </c>
      <c r="BV306" s="291"/>
      <c r="BW306" s="292" t="str">
        <f>IF(VLOOKUP(T_Convention[[#This Row],[NumL]],T_suiviDi[#Data],COLUMN(T_suiviDi[Entité]),FALSE)="","",VLOOKUP(T_Convention[[#This Row],[NumL]],T_suiviDi[#Data],COLUMN(T_suiviDi[Entité]),FALSE))</f>
        <v>BU</v>
      </c>
      <c r="BX306" s="311" t="str">
        <f>IF(VLOOKUP(T_Convention[[#This Row],[NumL]],T_Commission[#Data],COLUMN(T_Commission[envoi confirm TW]),FALSE)="","",VLOOKUP(T_Convention[[#This Row],[NumL]],T_Commission[#Data],COLUMN(T_Commission[envoi confirm TW]),FALSE))</f>
        <v>Oui</v>
      </c>
      <c r="BY306"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6" s="265">
        <f>VLOOKUP(T_Convention[[#This Row],[NumL]],T_Commission[#Data],COLUMN(T_Commission[Commentaire]),FALSE)</f>
        <v>0</v>
      </c>
      <c r="CA306" s="255" t="str">
        <f>IF(VLOOKUP(T_Convention[[#This Row],[NumL]],T_Commission[#Data],COLUMN(T_Commission[Encadrant Email]),FALSE)="","",VLOOKUP(T_Convention[[#This Row],[NumL]],T_Commission[#Data],COLUMN(T_Commission[Encadrant Email]),FALSE))</f>
        <v/>
      </c>
      <c r="CB306" s="352" t="str">
        <f>VLOOKUP(T_Convention[[#This Row],[NumL]],T_TraitDi[#Data],COLUMN(T_TraitDi[NbJTot]),FALSE)</f>
        <v/>
      </c>
      <c r="CC306" s="352" t="str">
        <f>VLOOKUP(T_Convention[[#This Row],[NumL]],T_TraitDi[#Data],COLUMN(T_TraitDi[Reg Ponct]),FALSE)</f>
        <v>P</v>
      </c>
      <c r="CD306" s="348" t="str">
        <f>IF(T_Convention[[#This Row],[Final]]&lt;&gt;"",VLOOKUP(T_Convention[[#This Row],[NumL]],T_suiviDi[#Data],COLUMN((T_suiviDi[Statut])),FALSE),"")</f>
        <v/>
      </c>
    </row>
    <row r="307" spans="1:82" s="50" customFormat="1" ht="18.75" customHeight="1" x14ac:dyDescent="0.25">
      <c r="A307" s="160">
        <v>245</v>
      </c>
      <c r="B307" s="161">
        <f>VLOOKUP(T_Convention[[#This Row],[NumL]],T_Commission[#Data],COLUMN(T_Commission[FINAL]),FALSE)</f>
        <v>1</v>
      </c>
      <c r="C307" s="162"/>
      <c r="D307" s="95" t="str">
        <f>IF(VLOOKUP(T_Convention[[#This Row],[NumL]],T_TraitDi[#Data],COLUMN(T_TraitDi[WebC]),FALSE)="","",VLOOKUP(T_Convention[[#This Row],[NumL]],T_TraitDi[#Data],COLUMN(T_TraitDi[WebC]),FALSE))</f>
        <v>WG</v>
      </c>
      <c r="E307" s="163" t="str">
        <f t="shared" si="20"/>
        <v>12 janvier 2021</v>
      </c>
      <c r="F307" s="282" t="str">
        <f>IF(T_Convention[[#This Row],[Final]]&lt;&gt;"",VLOOKUP(T_Convention[[#This Row],[NumL]],T_suiviDi[#Data],COLUMN((T_suiviDi[Civ.])),FALSE),"")</f>
        <v>Mme</v>
      </c>
      <c r="G307" s="283" t="str">
        <f>IF(T_Convention[[#This Row],[Final]]&lt;&gt;"",VLOOKUP(T_Convention[[#This Row],[NumL]],T_suiviDi[#Data],COLUMN((T_suiviDi[Nom])),FALSE),"")</f>
        <v>A</v>
      </c>
      <c r="H307" s="282" t="str">
        <f>IF(T_Convention[[#This Row],[Final]]&lt;&gt;"",VLOOKUP(T_Convention[[#This Row],[NumL]],T_suiviDi[#Data],COLUMN((T_suiviDi[Prénom])),FALSE),"")</f>
        <v>Christelle</v>
      </c>
      <c r="I307" s="282" t="e">
        <f>VLOOKUP(T_Convention[[#This Row],[NumL]],T_suiviDi[#Data],COLUMN((T_suiviDi[[#This Row],[Email]])),FALSE)</f>
        <v>#VALUE!</v>
      </c>
      <c r="J307" s="282" t="e">
        <f>IF(VLOOKUP(T_Convention[[#This Row],[NumL]],T_suiviDi[#Data],COLUMN(T_suiviDi[[#This Row],[Fonction]]),FALSE)="","",VLOOKUP(T_Convention[[#This Row],[NumL]],T_suiviDi[#Data],COLUMN(T_suiviDi[[#This Row],[Fonction]]),FALSE))</f>
        <v>#VALUE!</v>
      </c>
      <c r="K307" s="282" t="e">
        <f>IF(VLOOKUP(T_Convention[[#This Row],[NumL]],T_suiviDi[#Data],COLUMN(T_suiviDi[[#This Row],[Grade]]),FALSE)="","",VLOOKUP(T_Convention[[#This Row],[NumL]],T_suiviDi[#Data],COLUMN(T_suiviDi[[#This Row],[Grade]]),FALSE))</f>
        <v>#VALUE!</v>
      </c>
      <c r="L307" s="282" t="e">
        <f>IF(VLOOKUP(T_Convention[[#This Row],[NumL]],T_suiviDi[#Data],COLUMN(T_suiviDi[[#This Row],[Service ]]),FALSE)="","",VLOOKUP(T_Convention[[#This Row],[NumL]],T_suiviDi[#Data],COLUMN(T_suiviDi[[#This Row],[Service ]]),FALSE))</f>
        <v>#VALUE!</v>
      </c>
      <c r="M307" s="164" t="str">
        <f t="shared" si="21"/>
        <v>01 septembre 2021</v>
      </c>
      <c r="N307" s="164" t="str">
        <f t="shared" si="22"/>
        <v>30 novembre 2021</v>
      </c>
      <c r="O307" s="284" t="str">
        <f t="shared" si="23"/>
        <v>30 novembre 2021</v>
      </c>
      <c r="P307" s="282" t="str">
        <f>IF(VLOOKUP(T_Convention[[#This Row],[NumL]],T_TraitDi[#Data],COLUMN(T_TraitDi[M1]),FALSE)="","",VLOOKUP(T_Convention[[#This Row],[NumL]],T_TraitDi[#Data],COLUMN(T_TraitDi[M1]),FALSE))</f>
        <v>Acquisition et suivi des collections de droit</v>
      </c>
      <c r="Q307" s="282" t="str">
        <f>IF(VLOOKUP(T_Convention[[#This Row],[NumL]],T_TraitDi[#Data],COLUMN(T_TraitDi[M2]),FALSE)="","",VLOOKUP(T_Convention[[#This Row],[NumL]],T_TraitDi[#Data],COLUMN(T_TraitDi[M2]),FALSE))</f>
        <v>Production de documents liés à l'activité de la BU</v>
      </c>
      <c r="R307" s="282" t="str">
        <f>IF(VLOOKUP(T_Convention[[#This Row],[NumL]],T_TraitDi[#Data],COLUMN(T_TraitDi[M3]),FALSE)="","",VLOOKUP(T_Convention[[#This Row],[NumL]],T_TraitDi[#Data],COLUMN(T_TraitDi[M3]),FALSE))</f>
        <v>Valorisation des collections de droit de la BDP</v>
      </c>
      <c r="S307" s="282" t="str">
        <f>IF(VLOOKUP(T_Convention[[#This Row],[NumL]],T_TraitDi[#Data],COLUMN(T_TraitDi[M4]),FALSE)="","",VLOOKUP(T_Convention[[#This Row],[NumL]],T_TraitDi[#Data],COLUMN(T_TraitDi[M4]),FALSE))</f>
        <v>Communication sur les collections de droit</v>
      </c>
      <c r="T307" s="282" t="str">
        <f>IF(VLOOKUP(T_Convention[[#This Row],[NumL]],T_TraitDi[#Data],COLUMN(T_TraitDi[M5]),FALSE)="","",VLOOKUP(T_Convention[[#This Row],[NumL]],T_TraitDi[#Data],COLUMN(T_TraitDi[M5]),FALSE))</f>
        <v>Formation des usagers sur les collections de droit</v>
      </c>
      <c r="U307" s="282" t="str">
        <f>IF(VLOOKUP(T_Convention[[#This Row],[NumL]],T_TraitDi[#Data],COLUMN(T_TraitDi[M6]),FALSE)="","",VLOOKUP(T_Convention[[#This Row],[NumL]],T_TraitDi[#Data],COLUMN(T_TraitDi[M6]),FALSE))</f>
        <v/>
      </c>
      <c r="V307" s="176" t="str">
        <f t="shared" si="24"/>
        <v>Acquisition et suivi des collections de droitProduction de documents liés à l'activité de la BUValorisation des collections de droit de la BDPCommunication sur les collections de droitFormation des usagers sur les collections de droit</v>
      </c>
      <c r="W307" s="284" t="str">
        <f>IFERROR(TEXT(VLOOKUP(T_Convention[[#This Row],[NumL]],T_TraitDi[#Data],COLUMN(T_TraitDi[Q2]),FALSE),"###%"),"")</f>
        <v>100%</v>
      </c>
      <c r="X307" s="97" t="str">
        <f>VLOOKUP(T_Convention[[#This Row],[NumL]],T_TraitDi[#Data],COLUMN(T_TraitDi[Reg Ponct]),FALSE)</f>
        <v>R</v>
      </c>
      <c r="Y307" s="97" t="str">
        <f>VLOOKUP(T_Convention[NumL],T_TraitDi[#Data],COLUMN(T_TraitDi[Jours flottants]),FALSE)</f>
        <v xml:space="preserve">Pb quotité </v>
      </c>
      <c r="Z307" s="284" t="str">
        <f>IFERROR(VLOOKUP(T_Convention[[#This Row],[NumL]],T_TraitDi[#Data],COLUMN(T_TraitDi[Lundi]),FALSE),"")</f>
        <v>T</v>
      </c>
      <c r="AA307" s="284" t="str">
        <f>IF(VLOOKUP(T_Convention[[#This Row],[NumL]],T_TraitDi[#Data],COLUMN(T_TraitDi[Colonne3]),FALSE)=0,"",TEXT(IFERROR(VLOOKUP(T_Convention[[#This Row],[NumL]],T_TraitDi[#Data],COLUMN(T_TraitDi[Colonne3]),FALSE),""),"[hh]:mm"))</f>
        <v>08:00</v>
      </c>
      <c r="AB307" s="284" t="str">
        <f>IF(VLOOKUP(T_Convention[[#This Row],[NumL]],T_TraitDi[#Data],COLUMN(T_TraitDi[Colonne4]),FALSE)=0,"",TEXT(IFERROR(VLOOKUP(T_Convention[[#This Row],[NumL]],T_TraitDi[#Data],COLUMN(T_TraitDi[Colonne4]),FALSE),""),"[hh]:mm"))</f>
        <v>13:00</v>
      </c>
      <c r="AC307" s="284" t="str">
        <f>IF(VLOOKUP(T_Convention[[#This Row],[NumL]],T_TraitDi[#Data],COLUMN(T_TraitDi[Colonne5]),FALSE)=0,"",TEXT(IFERROR(VLOOKUP(T_Convention[[#This Row],[NumL]],T_TraitDi[#Data],COLUMN(T_TraitDi[Colonne5]),FALSE),""),"[hh]:mm"))</f>
        <v>T</v>
      </c>
      <c r="AD307" s="284" t="str">
        <f>IF(VLOOKUP(T_Convention[[#This Row],[NumL]],T_TraitDi[#Data],COLUMN(T_TraitDi[Colonne6]),FALSE)=0,"",TEXT(IFERROR(VLOOKUP(T_Convention[[#This Row],[NumL]],T_TraitDi[#Data],COLUMN(T_TraitDi[Colonne6]),FALSE),""),"[hh]:mm"))</f>
        <v>14:00</v>
      </c>
      <c r="AE307" s="284" t="str">
        <f>IF(VLOOKUP(T_Convention[[#This Row],[NumL]],T_TraitDi[#Data],COLUMN(T_TraitDi[Colonne7]),FALSE)=0,"",TEXT(IFERROR(VLOOKUP(T_Convention[[#This Row],[NumL]],T_TraitDi[#Data],COLUMN(T_TraitDi[Colonne7]),FALSE),""),"[hh]:mm"))</f>
        <v>17:00</v>
      </c>
      <c r="AF307" s="284" t="str">
        <f>IF(VLOOKUP(T_Convention[[#This Row],[NumL]],T_TraitDi[#Data],COLUMN(T_TraitDi[Colonne8]),FALSE)=0,"",TEXT(IFERROR(VLOOKUP(T_Convention[[#This Row],[NumL]],T_TraitDi[#Data],COLUMN(T_TraitDi[Colonne8]),FALSE),""),"[hh]:mm"))</f>
        <v>08:00</v>
      </c>
      <c r="AG307" s="284" t="str">
        <f>IFERROR(VLOOKUP(T_Convention[[#This Row],[NumL]],T_TraitDi[#Data],COLUMN(T_TraitDi[Mardi]),FALSE),"")</f>
        <v>S</v>
      </c>
      <c r="AH307" s="284" t="str">
        <f>IF(VLOOKUP(T_Convention[[#This Row],[NumL]],T_TraitDi[#Data],COLUMN(T_TraitDi[Colonne1]),FALSE)=0,"",TEXT(IFERROR(VLOOKUP(T_Convention[[#This Row],[NumL]],T_TraitDi[#Data],COLUMN(T_TraitDi[Colonne1]),FALSE),""),"[hh]:mm"))</f>
        <v>08:00</v>
      </c>
      <c r="AI307" s="284" t="str">
        <f>IF(VLOOKUP(T_Convention[[#This Row],[NumL]],T_TraitDi[#Data],COLUMN(T_TraitDi[Colonne9]),FALSE)=0,"",TEXT(IFERROR(VLOOKUP(T_Convention[[#This Row],[NumL]],T_TraitDi[#Data],COLUMN(T_TraitDi[Colonne9]),FALSE),""),"[hh]:mm"))</f>
        <v>13:00</v>
      </c>
      <c r="AJ307" s="284" t="str">
        <f>IFERROR(VLOOKUP(T_Convention[[#This Row],[NumL]],T_TraitDi[#Data],COLUMN(T_TraitDi[Colonne10]),FALSE),"")</f>
        <v>S</v>
      </c>
      <c r="AK307" s="284" t="str">
        <f>IF(VLOOKUP(T_Convention[[#This Row],[NumL]],T_TraitDi[#Data],COLUMN(T_TraitDi[Colonne11]),FALSE)=0,"",TEXT(IFERROR(VLOOKUP(T_Convention[[#This Row],[NumL]],T_TraitDi[#Data],COLUMN(T_TraitDi[Colonne11]),FALSE),""),"[hh]:mm"))</f>
        <v>14:00</v>
      </c>
      <c r="AL307" s="284" t="str">
        <f>IF(VLOOKUP(T_Convention[[#This Row],[NumL]],T_TraitDi[#Data],COLUMN(T_TraitDi[Colonne12]),FALSE)=0,"",TEXT(IFERROR(VLOOKUP(T_Convention[[#This Row],[NumL]],T_TraitDi[#Data],COLUMN(T_TraitDi[Colonne12]),FALSE),""),"[hh]:mm"))</f>
        <v>19:00</v>
      </c>
      <c r="AM307" s="284" t="str">
        <f>IF(VLOOKUP(T_Convention[[#This Row],[NumL]],T_TraitDi[#Data],COLUMN(T_TraitDi[Colonne14]),FALSE)=0,"",TEXT(IFERROR(VLOOKUP(T_Convention[[#This Row],[NumL]],T_TraitDi[#Data],COLUMN(T_TraitDi[Colonne14]),FALSE),""),"[hh]:mm"))</f>
        <v>10:00</v>
      </c>
      <c r="AN307" s="284" t="str">
        <f>IFERROR(VLOOKUP(T_Convention[[#This Row],[NumL]],T_TraitDi[#Data],COLUMN(T_TraitDi[Mercredi]),FALSE),"")</f>
        <v>S</v>
      </c>
      <c r="AO307" s="284" t="str">
        <f>IF(VLOOKUP(T_Convention[[#This Row],[NumL]],T_TraitDi[#Data],COLUMN(T_TraitDi[Colonne15]),FALSE)=0,"",TEXT(IFERROR(VLOOKUP(T_Convention[[#This Row],[NumL]],T_TraitDi[#Data],COLUMN(T_TraitDi[Colonne15]),FALSE),""),"[hh]:mm"))</f>
        <v>08:15</v>
      </c>
      <c r="AP307" s="284" t="str">
        <f>IF(VLOOKUP(T_Convention[[#This Row],[NumL]],T_TraitDi[#Data],COLUMN(T_TraitDi[Colonne16]),FALSE)=0,"",TEXT(IFERROR(VLOOKUP(T_Convention[[#This Row],[NumL]],T_TraitDi[#Data],COLUMN(T_TraitDi[Colonne16]),FALSE),""),"[hh]:mm"))</f>
        <v>13:00</v>
      </c>
      <c r="AQ307" s="284" t="str">
        <f>IFERROR(VLOOKUP(T_Convention[[#This Row],[NumL]],T_TraitDi[#Data],COLUMN(T_TraitDi[Colonne17]),FALSE),"")</f>
        <v>S</v>
      </c>
      <c r="AR307" s="284" t="str">
        <f>IF(VLOOKUP(T_Convention[[#This Row],[NumL]],T_TraitDi[#Data],COLUMN(T_TraitDi[Colonne18]),FALSE)=0,"",TEXT(IFERROR(VLOOKUP(T_Convention[[#This Row],[NumL]],T_TraitDi[#Data],COLUMN(T_TraitDi[Colonne18]),FALSE),""),"[hh]:mm"))</f>
        <v>14:00</v>
      </c>
      <c r="AS307" s="284" t="str">
        <f>IF(VLOOKUP(T_Convention[[#This Row],[NumL]],T_TraitDi[#Data],COLUMN(T_TraitDi[Colonne19]),FALSE)=0,"",TEXT(IFERROR(VLOOKUP(T_Convention[[#This Row],[NumL]],T_TraitDi[#Data],COLUMN(T_TraitDi[Colonne19]),FALSE),""),"[hh]:mm"))</f>
        <v>16:20</v>
      </c>
      <c r="AT307" s="284" t="str">
        <f>IF(VLOOKUP(T_Convention[[#This Row],[NumL]],T_TraitDi[#Data],COLUMN(T_TraitDi[Colonne20]),FALSE)=0,"",TEXT(IFERROR(VLOOKUP(T_Convention[[#This Row],[NumL]],T_TraitDi[#Data],COLUMN(T_TraitDi[Colonne20]),FALSE),""),"[hh]:mm"))</f>
        <v>07:05</v>
      </c>
      <c r="AU307" s="284" t="str">
        <f>IFERROR(VLOOKUP(T_Convention[[#This Row],[NumL]],T_TraitDi[#Data],COLUMN(T_TraitDi[Jeudi]),FALSE),"")</f>
        <v>S</v>
      </c>
      <c r="AV307" s="284" t="str">
        <f>IF(VLOOKUP(T_Convention[[#This Row],[NumL]],T_TraitDi[#Data],COLUMN(T_TraitDi[Colonne21]),FALSE)=0,"",TEXT(IFERROR(VLOOKUP(T_Convention[[#This Row],[NumL]],T_TraitDi[#Data],COLUMN(T_TraitDi[Colonne21]),FALSE),""),"[hh]:mm"))</f>
        <v>08:15</v>
      </c>
      <c r="AW307" s="284" t="str">
        <f>IF(VLOOKUP(T_Convention[[#This Row],[NumL]],T_TraitDi[#Data],COLUMN(T_TraitDi[Colonne22]),FALSE)=0,"",TEXT(IFERROR(VLOOKUP(T_Convention[[#This Row],[NumL]],T_TraitDi[#Data],COLUMN(T_TraitDi[Colonne22]),FALSE),""),"[hh]:mm"))</f>
        <v>12:30</v>
      </c>
      <c r="AX307" s="284" t="str">
        <f>IFERROR(VLOOKUP(T_Convention[[#This Row],[NumL]],T_TraitDi[#Data],COLUMN(T_TraitDi[Colonne23]),FALSE),"")</f>
        <v>A</v>
      </c>
      <c r="AY307" s="284" t="str">
        <f>IF(VLOOKUP(T_Convention[[#This Row],[NumL]],T_TraitDi[#Data],COLUMN(T_TraitDi[Colonne24]),FALSE)=0,"",TEXT(IFERROR(VLOOKUP(T_Convention[[#This Row],[NumL]],T_TraitDi[#Data],COLUMN(T_TraitDi[Colonne24]),FALSE),""),"[hh]:mm"))</f>
        <v/>
      </c>
      <c r="AZ307" s="284" t="str">
        <f>IF(VLOOKUP(T_Convention[[#This Row],[NumL]],T_TraitDi[#Data],COLUMN(T_TraitDi[Colonne25]),FALSE)=0,"",TEXT(IFERROR(VLOOKUP(T_Convention[[#This Row],[NumL]],T_TraitDi[#Data],COLUMN(T_TraitDi[Colonne25]),FALSE),""),"[hh]:mm"))</f>
        <v/>
      </c>
      <c r="BA307" s="284" t="str">
        <f>IF(VLOOKUP(T_Convention[[#This Row],[NumL]],T_TraitDi[#Data],COLUMN(T_TraitDi[Colonne26]),FALSE)=0,"",TEXT(IFERROR(VLOOKUP(T_Convention[[#This Row],[NumL]],T_TraitDi[#Data],COLUMN(T_TraitDi[Colonne26]),FALSE),""),"[hh]:mm"))</f>
        <v>04:15</v>
      </c>
      <c r="BB307" s="284" t="str">
        <f>IFERROR(VLOOKUP(T_Convention[[#This Row],[NumL]],T_TraitDi[#Data],COLUMN(T_TraitDi[Vendredi]),FALSE),"")</f>
        <v>S</v>
      </c>
      <c r="BC307" s="284" t="str">
        <f>IF(VLOOKUP(T_Convention[[#This Row],[NumL]],T_TraitDi[#Data],COLUMN(T_TraitDi[Colonne27]),FALSE)=0,"",TEXT(IFERROR(VLOOKUP(T_Convention[[#This Row],[NumL]],T_TraitDi[#Data],COLUMN(T_TraitDi[Colonne27]),FALSE),""),"[hh]:mm"))</f>
        <v>08:15</v>
      </c>
      <c r="BD307" s="284" t="str">
        <f>IF(VLOOKUP(T_Convention[[#This Row],[NumL]],T_TraitDi[#Data],COLUMN(T_TraitDi[Colonne28]),FALSE)=0,"",TEXT(IFERROR(VLOOKUP(T_Convention[[#This Row],[NumL]],T_TraitDi[#Data],COLUMN(T_TraitDi[Colonne28]),FALSE),""),"[hh]:mm"))</f>
        <v>13:00</v>
      </c>
      <c r="BE307" s="284" t="str">
        <f>IFERROR(VLOOKUP(T_Convention[[#This Row],[NumL]],T_TraitDi[#Data],COLUMN(T_TraitDi[Colonne29]),FALSE),"")</f>
        <v>S</v>
      </c>
      <c r="BF307" s="284" t="str">
        <f>IF(VLOOKUP(T_Convention[[#This Row],[NumL]],T_TraitDi[#Data],COLUMN(T_TraitDi[Colonne30]),FALSE)=0,"",TEXT(IFERROR(VLOOKUP(T_Convention[[#This Row],[NumL]],T_TraitDi[#Data],COLUMN(T_TraitDi[Colonne30]),FALSE),""),"[hh]:mm"))</f>
        <v>14:00</v>
      </c>
      <c r="BG307" s="284" t="str">
        <f>IF(VLOOKUP(T_Convention[[#This Row],[NumL]],T_TraitDi[#Data],COLUMN(T_TraitDi[Colonne31]),FALSE)=0,"",TEXT(IFERROR(VLOOKUP(T_Convention[[#This Row],[NumL]],T_TraitDi[#Data],COLUMN(T_TraitDi[Colonne31]),FALSE),""),"[hh]:mm"))</f>
        <v>17:00</v>
      </c>
      <c r="BH307" s="284" t="str">
        <f>IF(VLOOKUP(T_Convention[[#This Row],[NumL]],T_TraitDi[#Data],COLUMN(T_TraitDi[Colonne32]),FALSE)=0,"",TEXT(IFERROR(VLOOKUP(T_Convention[[#This Row],[NumL]],T_TraitDi[#Data],COLUMN(T_TraitDi[Colonne32]),FALSE),""),"[hh]:mm"))</f>
        <v>07:45</v>
      </c>
      <c r="BI307" s="284">
        <f>IFERROR(VLOOKUP(T_Convention[[#This Row],[NumL]],T_TraitDi[#Data],COLUMN(T_TraitDi[NbJTW]),FALSE),"")</f>
        <v>1</v>
      </c>
      <c r="BJ307" s="284" t="str">
        <f>IF(VLOOKUP(T_Convention[[#This Row],[NumL]],T_TraitDi[#Data],COLUMN(T_TraitDi[NbhTW]),FALSE)=0,"",TEXT(IFERROR(VLOOKUP(T_Convention[[#This Row],[NumL]],T_TraitDi[#Data],COLUMN(T_TraitDi[NbhTW]),FALSE),""),"[hh]:mm"))</f>
        <v>08:00</v>
      </c>
      <c r="BK307" s="286" t="str">
        <f>IF(VLOOKUP(T_Convention[[#This Row],[NumL]],T_TraitDi[#Data],COLUMN(T_TraitDi[Nbhheb]),FALSE)=0,"",TEXT(IFERROR(VLOOKUP(T_Convention[[#This Row],[NumL]],T_TraitDi[#Data],COLUMN(T_TraitDi[Nbhheb]),FALSE),""),"[hh]:mm"))</f>
        <v>37:05</v>
      </c>
      <c r="BL307" s="287" t="str">
        <f>IFERROR(VLOOKUP(VLOOKUP(T_Convention[[#This Row],[NumL]],T_TraitDi[#Data],COLUMN(T_TraitDi[Type1]),FALSE),TypeTW,2,FALSE),"")</f>
        <v>son domicile (lieu de résidence habituelle du télétravailleur)</v>
      </c>
      <c r="BM307" s="288" t="str">
        <f>IFERROR(VLOOKUP(T_Convention[[#This Row],[NumL]],T_TraitDi[#Data],COLUMN(T_TraitDi[Rue1]),FALSE),"")</f>
        <v>27 allée Simon Saint Jean</v>
      </c>
      <c r="BN307" s="289" t="str">
        <f>IFERROR(VLOOKUP(T_Convention[[#This Row],[NumL]],T_TraitDi[#Data],COLUMN(T_TraitDi[CP1]),FALSE),"")</f>
        <v>69130</v>
      </c>
      <c r="BO307" s="282" t="str">
        <f>IFERROR(VLOOKUP(T_Convention[[#This Row],[NumL]],T_TraitDi[#Data],COLUMN(T_TraitDi[VILLE1]),FALSE),"")</f>
        <v>ECULLY</v>
      </c>
      <c r="BP307" s="290" t="str">
        <f>IFERROR(VLOOKUP(VLOOKUP(T_Convention[[#This Row],[NumL]],T_TraitDi[#Data],COLUMN(T_TraitDi[Type2]),FALSE),TypeTW,2,FALSE),"")</f>
        <v/>
      </c>
      <c r="BQ307" s="182" t="str">
        <f>IFERROR(VLOOKUP(T_Convention[[#This Row],[NumL]],T_TraitDi[#Data],COLUMN(T_TraitDi[Rue2]),FALSE),"")</f>
        <v>Sans objet</v>
      </c>
      <c r="BR307" s="173" t="str">
        <f>IFERROR(VLOOKUP(T_Convention[[#This Row],[NumL]],T_TraitDi[#Data],COLUMN(T_TraitDi[CP2]),FALSE),"")</f>
        <v xml:space="preserve"> </v>
      </c>
      <c r="BS307" s="173" t="str">
        <f>IFERROR(VLOOKUP(T_Convention[[#This Row],[NumL]],T_TraitDi[#Data],COLUMN(T_TraitDi[VILLE2]),FALSE),"")</f>
        <v xml:space="preserve">  </v>
      </c>
      <c r="BT307" s="182" t="str">
        <f>IF(VLOOKUP(T_Convention[[#This Row],[NumL]],T_Equipement[#Data],COLUMN(T_Equipement[PC]),FALSE)="","Aucun équipement spécifique directement lié au télétravail",VLOOKUP(T_Convention[[#This Row],[NumL]],T_Equipement[#Data],COLUMN(T_Equipement[PC]),FALSE))</f>
        <v>20-347</v>
      </c>
      <c r="BU307" s="166" t="str">
        <f>IFERROR(IF(VLOOKUP(T_Convention[[#This Row],[NumL]],T_TraitDi[#Data],COLUMN(T_TraitDi[Plan]),FALSE)="OK","Un planning spécifique de télétravail est annexé à la présente convention.",""),"")</f>
        <v/>
      </c>
      <c r="BV307" s="185" t="s">
        <v>3443</v>
      </c>
      <c r="BW307" s="164" t="str">
        <f>IF(VLOOKUP(T_Convention[[#This Row],[NumL]],T_suiviDi[#Data],COLUMN(T_suiviDi[Entité]),FALSE)="","",VLOOKUP(T_Convention[[#This Row],[NumL]],T_suiviDi[#Data],COLUMN(T_suiviDi[Entité]),FALSE))</f>
        <v>BU</v>
      </c>
      <c r="BX307" s="164" t="str">
        <f>IF(VLOOKUP(T_Convention[[#This Row],[NumL]],T_Commission[#Data],COLUMN(T_Commission[envoi confirm TW]),FALSE)="","",VLOOKUP(T_Convention[[#This Row],[NumL]],T_Commission[#Data],COLUMN(T_Commission[envoi confirm TW]),FALSE))</f>
        <v>Oui</v>
      </c>
      <c r="BY30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7" s="264">
        <f>VLOOKUP(T_Convention[[#This Row],[NumL]],T_Commission[#Data],COLUMN(T_Commission[Commentaire]),FALSE)</f>
        <v>0</v>
      </c>
      <c r="CA307" s="254" t="str">
        <f>IF(VLOOKUP(T_Convention[[#This Row],[NumL]],T_Commission[#Data],COLUMN(T_Commission[Encadrant Email]),FALSE)="","",VLOOKUP(T_Convention[[#This Row],[NumL]],T_Commission[#Data],COLUMN(T_Commission[Encadrant Email]),FALSE))</f>
        <v/>
      </c>
      <c r="CB307" s="352">
        <f>VLOOKUP(T_Convention[[#This Row],[NumL]],T_TraitDi[#Data],COLUMN(T_TraitDi[NbJTot]),FALSE)</f>
        <v>4.5</v>
      </c>
      <c r="CC307" s="352" t="str">
        <f>VLOOKUP(T_Convention[[#This Row],[NumL]],T_TraitDi[#Data],COLUMN(T_TraitDi[Reg Ponct]),FALSE)</f>
        <v>R</v>
      </c>
      <c r="CD307" s="348" t="str">
        <f>IF(T_Convention[[#This Row],[Final]]&lt;&gt;"",VLOOKUP(T_Convention[[#This Row],[NumL]],T_suiviDi[#Data],COLUMN((T_suiviDi[Statut])),FALSE),"")</f>
        <v>ENCOURS</v>
      </c>
    </row>
    <row r="308" spans="1:82" s="50" customFormat="1" ht="18.75" customHeight="1" x14ac:dyDescent="0.25">
      <c r="A308" s="160">
        <v>137</v>
      </c>
      <c r="B308" s="161">
        <f>VLOOKUP(T_Convention[[#This Row],[NumL]],T_Commission[#Data],COLUMN(T_Commission[FINAL]),FALSE)</f>
        <v>1</v>
      </c>
      <c r="C308" s="162"/>
      <c r="D308" s="95" t="str">
        <f>IF(VLOOKUP(T_Convention[[#This Row],[NumL]],T_TraitDi[#Data],COLUMN(T_TraitDi[WebC]),FALSE)="","",VLOOKUP(T_Convention[[#This Row],[NumL]],T_TraitDi[#Data],COLUMN(T_TraitDi[WebC]),FALSE))</f>
        <v>WG</v>
      </c>
      <c r="E308" s="163" t="str">
        <f t="shared" si="20"/>
        <v>12 janvier 2021</v>
      </c>
      <c r="F308" s="282" t="str">
        <f>IF(T_Convention[[#This Row],[Final]]&lt;&gt;"",VLOOKUP(T_Convention[[#This Row],[NumL]],T_suiviDi[#Data],COLUMN((T_suiviDi[Civ.])),FALSE),"")</f>
        <v>M.</v>
      </c>
      <c r="G308" s="283" t="str">
        <f>IF(T_Convention[[#This Row],[Final]]&lt;&gt;"",VLOOKUP(T_Convention[[#This Row],[NumL]],T_suiviDi[#Data],COLUMN((T_suiviDi[Nom])),FALSE),"")</f>
        <v>A</v>
      </c>
      <c r="H308" s="282" t="str">
        <f>IF(T_Convention[[#This Row],[Final]]&lt;&gt;"",VLOOKUP(T_Convention[[#This Row],[NumL]],T_suiviDi[#Data],COLUMN((T_suiviDi[Prénom])),FALSE),"")</f>
        <v>Babak</v>
      </c>
      <c r="I308" s="282" t="e">
        <f>VLOOKUP(T_Convention[[#This Row],[NumL]],T_suiviDi[#Data],COLUMN((T_suiviDi[[#This Row],[Email]])),FALSE)</f>
        <v>#VALUE!</v>
      </c>
      <c r="J308" s="282" t="e">
        <f>IF(VLOOKUP(T_Convention[[#This Row],[NumL]],T_suiviDi[#Data],COLUMN(T_suiviDi[[#This Row],[Fonction]]),FALSE)="","",VLOOKUP(T_Convention[[#This Row],[NumL]],T_suiviDi[#Data],COLUMN(T_suiviDi[[#This Row],[Fonction]]),FALSE))</f>
        <v>#VALUE!</v>
      </c>
      <c r="K308" s="282" t="e">
        <f>IF(VLOOKUP(T_Convention[[#This Row],[NumL]],T_suiviDi[#Data],COLUMN(T_suiviDi[[#This Row],[Grade]]),FALSE)="","",VLOOKUP(T_Convention[[#This Row],[NumL]],T_suiviDi[#Data],COLUMN(T_suiviDi[[#This Row],[Grade]]),FALSE))</f>
        <v>#VALUE!</v>
      </c>
      <c r="L308" s="282" t="e">
        <f>IF(VLOOKUP(T_Convention[[#This Row],[NumL]],T_suiviDi[#Data],COLUMN(T_suiviDi[[#This Row],[Service ]]),FALSE)="","",VLOOKUP(T_Convention[[#This Row],[NumL]],T_suiviDi[#Data],COLUMN(T_suiviDi[[#This Row],[Service ]]),FALSE))</f>
        <v>#VALUE!</v>
      </c>
      <c r="M308" s="164" t="str">
        <f t="shared" si="21"/>
        <v>01 septembre 2021</v>
      </c>
      <c r="N308" s="164" t="str">
        <f t="shared" si="22"/>
        <v>30 novembre 2021</v>
      </c>
      <c r="O308" s="284" t="str">
        <f t="shared" si="23"/>
        <v>30 novembre 2021</v>
      </c>
      <c r="P308" s="282" t="str">
        <f>IF(VLOOKUP(T_Convention[[#This Row],[NumL]],T_TraitDi[#Data],COLUMN(T_TraitDi[M1]),FALSE)="","",VLOOKUP(T_Convention[[#This Row],[NumL]],T_TraitDi[#Data],COLUMN(T_TraitDi[M1]),FALSE))</f>
        <v>Traitement courriel et téléphonique</v>
      </c>
      <c r="Q308" s="282" t="str">
        <f>IF(VLOOKUP(T_Convention[[#This Row],[NumL]],T_TraitDi[#Data],COLUMN(T_TraitDi[M2]),FALSE)="","",VLOOKUP(T_Convention[[#This Row],[NumL]],T_TraitDi[#Data],COLUMN(T_TraitDi[M2]),FALSE))</f>
        <v>Gestion du calendrier et événements du pôle</v>
      </c>
      <c r="R308" s="282" t="str">
        <f>IF(VLOOKUP(T_Convention[[#This Row],[NumL]],T_TraitDi[#Data],COLUMN(T_TraitDi[M3]),FALSE)="","",VLOOKUP(T_Convention[[#This Row],[NumL]],T_TraitDi[#Data],COLUMN(T_TraitDi[M3]),FALSE))</f>
        <v>Coordination campagnes universitaires</v>
      </c>
      <c r="S308" s="282" t="str">
        <f>IF(VLOOKUP(T_Convention[[#This Row],[NumL]],T_TraitDi[#Data],COLUMN(T_TraitDi[M4]),FALSE)="","",VLOOKUP(T_Convention[[#This Row],[NumL]],T_TraitDi[#Data],COLUMN(T_TraitDi[M4]),FALSE))</f>
        <v>Gestion/formation des collègues du pôle</v>
      </c>
      <c r="T308" s="282" t="str">
        <f>IF(VLOOKUP(T_Convention[[#This Row],[NumL]],T_TraitDi[#Data],COLUMN(T_TraitDi[M5]),FALSE)="","",VLOOKUP(T_Convention[[#This Row],[NumL]],T_TraitDi[#Data],COLUMN(T_TraitDi[M5]),FALSE))</f>
        <v>Accueil public des usagers</v>
      </c>
      <c r="U308" s="282" t="str">
        <f>IF(VLOOKUP(T_Convention[[#This Row],[NumL]],T_TraitDi[#Data],COLUMN(T_TraitDi[M6]),FALSE)="","",VLOOKUP(T_Convention[[#This Row],[NumL]],T_TraitDi[#Data],COLUMN(T_TraitDi[M6]),FALSE))</f>
        <v/>
      </c>
      <c r="V308" s="176" t="str">
        <f t="shared" si="24"/>
        <v>Traitement courriel et téléphoniqueGestion du calendrier et événements du pôleCoordination campagnes universitairesGestion/formation des collègues du pôleAccueil public des usagers</v>
      </c>
      <c r="W308" s="284" t="str">
        <f>IFERROR(TEXT(VLOOKUP(T_Convention[[#This Row],[NumL]],T_TraitDi[#Data],COLUMN(T_TraitDi[Q2]),FALSE),"###%"),"")</f>
        <v>100%</v>
      </c>
      <c r="X308" s="97" t="str">
        <f>VLOOKUP(T_Convention[[#This Row],[NumL]],T_TraitDi[#Data],COLUMN(T_TraitDi[Reg Ponct]),FALSE)</f>
        <v>R</v>
      </c>
      <c r="Y308" s="97">
        <f>VLOOKUP(T_Convention[NumL],T_TraitDi[#Data],COLUMN(T_TraitDi[Jours flottants]),FALSE)</f>
        <v>10</v>
      </c>
      <c r="Z308" s="284" t="str">
        <f>IFERROR(VLOOKUP(T_Convention[[#This Row],[NumL]],T_TraitDi[#Data],COLUMN(T_TraitDi[Lundi]),FALSE),"")</f>
        <v>S</v>
      </c>
      <c r="AA308" s="284" t="str">
        <f>IF(VLOOKUP(T_Convention[[#This Row],[NumL]],T_TraitDi[#Data],COLUMN(T_TraitDi[Colonne3]),FALSE)=0,"",TEXT(IFERROR(VLOOKUP(T_Convention[[#This Row],[NumL]],T_TraitDi[#Data],COLUMN(T_TraitDi[Colonne3]),FALSE),""),"[hh]:mm"))</f>
        <v>09:00</v>
      </c>
      <c r="AB308" s="284" t="str">
        <f>IF(VLOOKUP(T_Convention[[#This Row],[NumL]],T_TraitDi[#Data],COLUMN(T_TraitDi[Colonne4]),FALSE)=0,"",TEXT(IFERROR(VLOOKUP(T_Convention[[#This Row],[NumL]],T_TraitDi[#Data],COLUMN(T_TraitDi[Colonne4]),FALSE),""),"[hh]:mm"))</f>
        <v>12:30</v>
      </c>
      <c r="AC308" s="284" t="str">
        <f>IF(VLOOKUP(T_Convention[[#This Row],[NumL]],T_TraitDi[#Data],COLUMN(T_TraitDi[Colonne5]),FALSE)=0,"",TEXT(IFERROR(VLOOKUP(T_Convention[[#This Row],[NumL]],T_TraitDi[#Data],COLUMN(T_TraitDi[Colonne5]),FALSE),""),"[hh]:mm"))</f>
        <v>S</v>
      </c>
      <c r="AD308" s="284" t="str">
        <f>IF(VLOOKUP(T_Convention[[#This Row],[NumL]],T_TraitDi[#Data],COLUMN(T_TraitDi[Colonne6]),FALSE)=0,"",TEXT(IFERROR(VLOOKUP(T_Convention[[#This Row],[NumL]],T_TraitDi[#Data],COLUMN(T_TraitDi[Colonne6]),FALSE),""),"[hh]:mm"))</f>
        <v>13:30</v>
      </c>
      <c r="AE308" s="284" t="str">
        <f>IF(VLOOKUP(T_Convention[[#This Row],[NumL]],T_TraitDi[#Data],COLUMN(T_TraitDi[Colonne7]),FALSE)=0,"",TEXT(IFERROR(VLOOKUP(T_Convention[[#This Row],[NumL]],T_TraitDi[#Data],COLUMN(T_TraitDi[Colonne7]),FALSE),""),"[hh]:mm"))</f>
        <v>18:30</v>
      </c>
      <c r="AF308" s="284" t="str">
        <f>IF(VLOOKUP(T_Convention[[#This Row],[NumL]],T_TraitDi[#Data],COLUMN(T_TraitDi[Colonne8]),FALSE)=0,"",TEXT(IFERROR(VLOOKUP(T_Convention[[#This Row],[NumL]],T_TraitDi[#Data],COLUMN(T_TraitDi[Colonne8]),FALSE),""),"[hh]:mm"))</f>
        <v>08:30</v>
      </c>
      <c r="AG308" s="284" t="str">
        <f>IFERROR(VLOOKUP(T_Convention[[#This Row],[NumL]],T_TraitDi[#Data],COLUMN(T_TraitDi[Mardi]),FALSE),"")</f>
        <v>T</v>
      </c>
      <c r="AH308" s="284" t="str">
        <f>IF(VLOOKUP(T_Convention[[#This Row],[NumL]],T_TraitDi[#Data],COLUMN(T_TraitDi[Colonne1]),FALSE)=0,"",TEXT(IFERROR(VLOOKUP(T_Convention[[#This Row],[NumL]],T_TraitDi[#Data],COLUMN(T_TraitDi[Colonne1]),FALSE),""),"[hh]:mm"))</f>
        <v>09:00</v>
      </c>
      <c r="AI308" s="284" t="str">
        <f>IF(VLOOKUP(T_Convention[[#This Row],[NumL]],T_TraitDi[#Data],COLUMN(T_TraitDi[Colonne9]),FALSE)=0,"",TEXT(IFERROR(VLOOKUP(T_Convention[[#This Row],[NumL]],T_TraitDi[#Data],COLUMN(T_TraitDi[Colonne9]),FALSE),""),"[hh]:mm"))</f>
        <v>12:30</v>
      </c>
      <c r="AJ308" s="284" t="str">
        <f>IFERROR(VLOOKUP(T_Convention[[#This Row],[NumL]],T_TraitDi[#Data],COLUMN(T_TraitDi[Colonne10]),FALSE),"")</f>
        <v>T</v>
      </c>
      <c r="AK308" s="284" t="str">
        <f>IF(VLOOKUP(T_Convention[[#This Row],[NumL]],T_TraitDi[#Data],COLUMN(T_TraitDi[Colonne11]),FALSE)=0,"",TEXT(IFERROR(VLOOKUP(T_Convention[[#This Row],[NumL]],T_TraitDi[#Data],COLUMN(T_TraitDi[Colonne11]),FALSE),""),"[hh]:mm"))</f>
        <v>13:30</v>
      </c>
      <c r="AL308" s="284" t="str">
        <f>IF(VLOOKUP(T_Convention[[#This Row],[NumL]],T_TraitDi[#Data],COLUMN(T_TraitDi[Colonne12]),FALSE)=0,"",TEXT(IFERROR(VLOOKUP(T_Convention[[#This Row],[NumL]],T_TraitDi[#Data],COLUMN(T_TraitDi[Colonne12]),FALSE),""),"[hh]:mm"))</f>
        <v>18:30</v>
      </c>
      <c r="AM308" s="284" t="str">
        <f>IF(VLOOKUP(T_Convention[[#This Row],[NumL]],T_TraitDi[#Data],COLUMN(T_TraitDi[Colonne14]),FALSE)=0,"",TEXT(IFERROR(VLOOKUP(T_Convention[[#This Row],[NumL]],T_TraitDi[#Data],COLUMN(T_TraitDi[Colonne14]),FALSE),""),"[hh]:mm"))</f>
        <v>08:30</v>
      </c>
      <c r="AN308" s="284" t="str">
        <f>IFERROR(VLOOKUP(T_Convention[[#This Row],[NumL]],T_TraitDi[#Data],COLUMN(T_TraitDi[Mercredi]),FALSE),"")</f>
        <v>S</v>
      </c>
      <c r="AO308" s="284" t="str">
        <f>IF(VLOOKUP(T_Convention[[#This Row],[NumL]],T_TraitDi[#Data],COLUMN(T_TraitDi[Colonne15]),FALSE)=0,"",TEXT(IFERROR(VLOOKUP(T_Convention[[#This Row],[NumL]],T_TraitDi[#Data],COLUMN(T_TraitDi[Colonne15]),FALSE),""),"[hh]:mm"))</f>
        <v>09:00</v>
      </c>
      <c r="AP308" s="284" t="str">
        <f>IF(VLOOKUP(T_Convention[[#This Row],[NumL]],T_TraitDi[#Data],COLUMN(T_TraitDi[Colonne16]),FALSE)=0,"",TEXT(IFERROR(VLOOKUP(T_Convention[[#This Row],[NumL]],T_TraitDi[#Data],COLUMN(T_TraitDi[Colonne16]),FALSE),""),"[hh]:mm"))</f>
        <v>12:30</v>
      </c>
      <c r="AQ308" s="284" t="str">
        <f>IFERROR(VLOOKUP(T_Convention[[#This Row],[NumL]],T_TraitDi[#Data],COLUMN(T_TraitDi[Colonne17]),FALSE),"")</f>
        <v>S</v>
      </c>
      <c r="AR308" s="284" t="str">
        <f>IF(VLOOKUP(T_Convention[[#This Row],[NumL]],T_TraitDi[#Data],COLUMN(T_TraitDi[Colonne18]),FALSE)=0,"",TEXT(IFERROR(VLOOKUP(T_Convention[[#This Row],[NumL]],T_TraitDi[#Data],COLUMN(T_TraitDi[Colonne18]),FALSE),""),"[hh]:mm"))</f>
        <v>13:30</v>
      </c>
      <c r="AS308" s="284" t="str">
        <f>IF(VLOOKUP(T_Convention[[#This Row],[NumL]],T_TraitDi[#Data],COLUMN(T_TraitDi[Colonne19]),FALSE)=0,"",TEXT(IFERROR(VLOOKUP(T_Convention[[#This Row],[NumL]],T_TraitDi[#Data],COLUMN(T_TraitDi[Colonne19]),FALSE),""),"[hh]:mm"))</f>
        <v>18:30</v>
      </c>
      <c r="AT308" s="284" t="str">
        <f>IF(VLOOKUP(T_Convention[[#This Row],[NumL]],T_TraitDi[#Data],COLUMN(T_TraitDi[Colonne20]),FALSE)=0,"",TEXT(IFERROR(VLOOKUP(T_Convention[[#This Row],[NumL]],T_TraitDi[#Data],COLUMN(T_TraitDi[Colonne20]),FALSE),""),"[hh]:mm"))</f>
        <v>08:30</v>
      </c>
      <c r="AU308" s="284" t="str">
        <f>IFERROR(VLOOKUP(T_Convention[[#This Row],[NumL]],T_TraitDi[#Data],COLUMN(T_TraitDi[Jeudi]),FALSE),"")</f>
        <v>S</v>
      </c>
      <c r="AV308" s="284" t="str">
        <f>IF(VLOOKUP(T_Convention[[#This Row],[NumL]],T_TraitDi[#Data],COLUMN(T_TraitDi[Colonne21]),FALSE)=0,"",TEXT(IFERROR(VLOOKUP(T_Convention[[#This Row],[NumL]],T_TraitDi[#Data],COLUMN(T_TraitDi[Colonne21]),FALSE),""),"[hh]:mm"))</f>
        <v>09:00</v>
      </c>
      <c r="AW308" s="284" t="str">
        <f>IF(VLOOKUP(T_Convention[[#This Row],[NumL]],T_TraitDi[#Data],COLUMN(T_TraitDi[Colonne22]),FALSE)=0,"",TEXT(IFERROR(VLOOKUP(T_Convention[[#This Row],[NumL]],T_TraitDi[#Data],COLUMN(T_TraitDi[Colonne22]),FALSE),""),"[hh]:mm"))</f>
        <v>12:30</v>
      </c>
      <c r="AX308" s="284" t="str">
        <f>IFERROR(VLOOKUP(T_Convention[[#This Row],[NumL]],T_TraitDi[#Data],COLUMN(T_TraitDi[Colonne23]),FALSE),"")</f>
        <v>S</v>
      </c>
      <c r="AY308" s="284" t="str">
        <f>IF(VLOOKUP(T_Convention[[#This Row],[NumL]],T_TraitDi[#Data],COLUMN(T_TraitDi[Colonne24]),FALSE)=0,"",TEXT(IFERROR(VLOOKUP(T_Convention[[#This Row],[NumL]],T_TraitDi[#Data],COLUMN(T_TraitDi[Colonne24]),FALSE),""),"[hh]:mm"))</f>
        <v>13:30</v>
      </c>
      <c r="AZ308" s="284" t="str">
        <f>IF(VLOOKUP(T_Convention[[#This Row],[NumL]],T_TraitDi[#Data],COLUMN(T_TraitDi[Colonne25]),FALSE)=0,"",TEXT(IFERROR(VLOOKUP(T_Convention[[#This Row],[NumL]],T_TraitDi[#Data],COLUMN(T_TraitDi[Colonne25]),FALSE),""),"[hh]:mm"))</f>
        <v>18:30</v>
      </c>
      <c r="BA308" s="284" t="str">
        <f>IF(VLOOKUP(T_Convention[[#This Row],[NumL]],T_TraitDi[#Data],COLUMN(T_TraitDi[Colonne26]),FALSE)=0,"",TEXT(IFERROR(VLOOKUP(T_Convention[[#This Row],[NumL]],T_TraitDi[#Data],COLUMN(T_TraitDi[Colonne26]),FALSE),""),"[hh]:mm"))</f>
        <v>08:30</v>
      </c>
      <c r="BB308" s="284" t="str">
        <f>IFERROR(VLOOKUP(T_Convention[[#This Row],[NumL]],T_TraitDi[#Data],COLUMN(T_TraitDi[Vendredi]),FALSE),"")</f>
        <v>T</v>
      </c>
      <c r="BC308" s="284" t="str">
        <f>IF(VLOOKUP(T_Convention[[#This Row],[NumL]],T_TraitDi[#Data],COLUMN(T_TraitDi[Colonne27]),FALSE)=0,"",TEXT(IFERROR(VLOOKUP(T_Convention[[#This Row],[NumL]],T_TraitDi[#Data],COLUMN(T_TraitDi[Colonne27]),FALSE),""),"[hh]:mm"))</f>
        <v>09:00</v>
      </c>
      <c r="BD308" s="284" t="str">
        <f>IF(VLOOKUP(T_Convention[[#This Row],[NumL]],T_TraitDi[#Data],COLUMN(T_TraitDi[Colonne28]),FALSE)=0,"",TEXT(IFERROR(VLOOKUP(T_Convention[[#This Row],[NumL]],T_TraitDi[#Data],COLUMN(T_TraitDi[Colonne28]),FALSE),""),"[hh]:mm"))</f>
        <v>12:05</v>
      </c>
      <c r="BE308" s="284" t="str">
        <f>IFERROR(VLOOKUP(T_Convention[[#This Row],[NumL]],T_TraitDi[#Data],COLUMN(T_TraitDi[Colonne29]),FALSE),"")</f>
        <v>A</v>
      </c>
      <c r="BF308" s="284" t="str">
        <f>IF(VLOOKUP(T_Convention[[#This Row],[NumL]],T_TraitDi[#Data],COLUMN(T_TraitDi[Colonne30]),FALSE)=0,"",TEXT(IFERROR(VLOOKUP(T_Convention[[#This Row],[NumL]],T_TraitDi[#Data],COLUMN(T_TraitDi[Colonne30]),FALSE),""),"[hh]:mm"))</f>
        <v/>
      </c>
      <c r="BG308" s="284" t="str">
        <f>IF(VLOOKUP(T_Convention[[#This Row],[NumL]],T_TraitDi[#Data],COLUMN(T_TraitDi[Colonne31]),FALSE)=0,"",TEXT(IFERROR(VLOOKUP(T_Convention[[#This Row],[NumL]],T_TraitDi[#Data],COLUMN(T_TraitDi[Colonne31]),FALSE),""),"[hh]:mm"))</f>
        <v/>
      </c>
      <c r="BH308" s="284" t="str">
        <f>IF(VLOOKUP(T_Convention[[#This Row],[NumL]],T_TraitDi[#Data],COLUMN(T_TraitDi[Colonne32]),FALSE)=0,"",TEXT(IFERROR(VLOOKUP(T_Convention[[#This Row],[NumL]],T_TraitDi[#Data],COLUMN(T_TraitDi[Colonne32]),FALSE),""),"[hh]:mm"))</f>
        <v>03:05</v>
      </c>
      <c r="BI308" s="284">
        <f>IFERROR(VLOOKUP(T_Convention[[#This Row],[NumL]],T_TraitDi[#Data],COLUMN(T_TraitDi[NbJTW]),FALSE),"")</f>
        <v>1.5</v>
      </c>
      <c r="BJ308" s="284" t="str">
        <f>IF(VLOOKUP(T_Convention[[#This Row],[NumL]],T_TraitDi[#Data],COLUMN(T_TraitDi[NbhTW]),FALSE)=0,"",TEXT(IFERROR(VLOOKUP(T_Convention[[#This Row],[NumL]],T_TraitDi[#Data],COLUMN(T_TraitDi[NbhTW]),FALSE),""),"[hh]:mm"))</f>
        <v>11:35</v>
      </c>
      <c r="BK308" s="286" t="str">
        <f>IF(VLOOKUP(T_Convention[[#This Row],[NumL]],T_TraitDi[#Data],COLUMN(T_TraitDi[Nbhheb]),FALSE)=0,"",TEXT(IFERROR(VLOOKUP(T_Convention[[#This Row],[NumL]],T_TraitDi[#Data],COLUMN(T_TraitDi[Nbhheb]),FALSE),""),"[hh]:mm"))</f>
        <v>37:05</v>
      </c>
      <c r="BL308" s="287" t="str">
        <f>IFERROR(VLOOKUP(VLOOKUP(T_Convention[[#This Row],[NumL]],T_TraitDi[#Data],COLUMN(T_TraitDi[Type1]),FALSE),TypeTW,2,FALSE),"")</f>
        <v>son domicile (lieu de résidence habituelle du télétravailleur)</v>
      </c>
      <c r="BM308" s="288" t="str">
        <f>IFERROR(VLOOKUP(T_Convention[[#This Row],[NumL]],T_TraitDi[#Data],COLUMN(T_TraitDi[Rue1]),FALSE),"")</f>
        <v>20 avenue de la table de pierre</v>
      </c>
      <c r="BN308" s="289" t="str">
        <f>IFERROR(VLOOKUP(T_Convention[[#This Row],[NumL]],T_TraitDi[#Data],COLUMN(T_TraitDi[CP1]),FALSE),"")</f>
        <v>69340</v>
      </c>
      <c r="BO308" s="282" t="str">
        <f>IFERROR(VLOOKUP(T_Convention[[#This Row],[NumL]],T_TraitDi[#Data],COLUMN(T_TraitDi[VILLE1]),FALSE),"")</f>
        <v>FRANCHEVILLE</v>
      </c>
      <c r="BP308" s="290" t="str">
        <f>IFERROR(VLOOKUP(VLOOKUP(T_Convention[[#This Row],[NumL]],T_TraitDi[#Data],COLUMN(T_TraitDi[Type2]),FALSE),TypeTW,2,FALSE),"")</f>
        <v/>
      </c>
      <c r="BQ308" s="182" t="str">
        <f>IFERROR(VLOOKUP(T_Convention[[#This Row],[NumL]],T_TraitDi[#Data],COLUMN(T_TraitDi[Rue2]),FALSE),"")</f>
        <v>Sans objet</v>
      </c>
      <c r="BR308" s="173" t="str">
        <f>IFERROR(VLOOKUP(T_Convention[[#This Row],[NumL]],T_TraitDi[#Data],COLUMN(T_TraitDi[CP2]),FALSE),"")</f>
        <v xml:space="preserve"> </v>
      </c>
      <c r="BS308" s="173" t="str">
        <f>IFERROR(VLOOKUP(T_Convention[[#This Row],[NumL]],T_TraitDi[#Data],COLUMN(T_TraitDi[VILLE2]),FALSE),"")</f>
        <v xml:space="preserve">  </v>
      </c>
      <c r="BT308" s="182" t="str">
        <f>IF(VLOOKUP(T_Convention[[#This Row],[NumL]],T_Equipement[#Data],COLUMN(T_Equipement[PC]),FALSE)="","Aucun équipement spécifique directement lié au télétravail",VLOOKUP(T_Convention[[#This Row],[NumL]],T_Equipement[#Data],COLUMN(T_Equipement[PC]),FALSE))</f>
        <v>20-425</v>
      </c>
      <c r="BU308" s="166" t="str">
        <f>IFERROR(IF(VLOOKUP(T_Convention[[#This Row],[NumL]],T_TraitDi[#Data],COLUMN(T_TraitDi[Plan]),FALSE)="OK","Un planning spécifique de télétravail est annexé à la présente convention.",""),"")</f>
        <v/>
      </c>
      <c r="BV308" s="185" t="s">
        <v>3480</v>
      </c>
      <c r="BW308" s="164" t="str">
        <f>IF(VLOOKUP(T_Convention[[#This Row],[NumL]],T_suiviDi[#Data],COLUMN(T_suiviDi[Entité]),FALSE)="","",VLOOKUP(T_Convention[[#This Row],[NumL]],T_suiviDi[#Data],COLUMN(T_suiviDi[Entité]),FALSE))</f>
        <v>Lettres</v>
      </c>
      <c r="BX308" s="164" t="str">
        <f>IF(VLOOKUP(T_Convention[[#This Row],[NumL]],T_Commission[#Data],COLUMN(T_Commission[envoi confirm TW]),FALSE)="","",VLOOKUP(T_Convention[[#This Row],[NumL]],T_Commission[#Data],COLUMN(T_Commission[envoi confirm TW]),FALSE))</f>
        <v>Oui</v>
      </c>
      <c r="BY30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8" s="264">
        <f>VLOOKUP(T_Convention[[#This Row],[NumL]],T_Commission[#Data],COLUMN(T_Commission[Commentaire]),FALSE)</f>
        <v>0</v>
      </c>
      <c r="CA308" s="254" t="str">
        <f>IF(VLOOKUP(T_Convention[[#This Row],[NumL]],T_Commission[#Data],COLUMN(T_Commission[Encadrant Email]),FALSE)="","",VLOOKUP(T_Convention[[#This Row],[NumL]],T_Commission[#Data],COLUMN(T_Commission[Encadrant Email]),FALSE))</f>
        <v/>
      </c>
      <c r="CB308" s="352">
        <f>VLOOKUP(T_Convention[[#This Row],[NumL]],T_TraitDi[#Data],COLUMN(T_TraitDi[NbJTot]),FALSE)</f>
        <v>4.5</v>
      </c>
      <c r="CC308" s="352" t="str">
        <f>VLOOKUP(T_Convention[[#This Row],[NumL]],T_TraitDi[#Data],COLUMN(T_TraitDi[Reg Ponct]),FALSE)</f>
        <v>R</v>
      </c>
      <c r="CD308" s="348" t="str">
        <f>IF(T_Convention[[#This Row],[Final]]&lt;&gt;"",VLOOKUP(T_Convention[[#This Row],[NumL]],T_suiviDi[#Data],COLUMN((T_suiviDi[Statut])),FALSE),"")</f>
        <v>RENVL</v>
      </c>
    </row>
    <row r="309" spans="1:82" s="50" customFormat="1" ht="18.75" customHeight="1" x14ac:dyDescent="0.25">
      <c r="A309" s="160">
        <v>288</v>
      </c>
      <c r="B309" s="161">
        <f>VLOOKUP(T_Convention[[#This Row],[NumL]],T_Commission[#Data],COLUMN(T_Commission[FINAL]),FALSE)</f>
        <v>1</v>
      </c>
      <c r="C309" s="162"/>
      <c r="D309" s="95" t="str">
        <f>IF(VLOOKUP(T_Convention[[#This Row],[NumL]],T_TraitDi[#Data],COLUMN(T_TraitDi[WebC]),FALSE)="","",VLOOKUP(T_Convention[[#This Row],[NumL]],T_TraitDi[#Data],COLUMN(T_TraitDi[WebC]),FALSE))</f>
        <v>WG</v>
      </c>
      <c r="E309" s="163" t="str">
        <f t="shared" si="20"/>
        <v>12 janvier 2021</v>
      </c>
      <c r="F309" s="282" t="str">
        <f>IF(T_Convention[[#This Row],[Final]]&lt;&gt;"",VLOOKUP(T_Convention[[#This Row],[NumL]],T_suiviDi[#Data],COLUMN((T_suiviDi[Civ.])),FALSE),"")</f>
        <v>Mme</v>
      </c>
      <c r="G309" s="283" t="str">
        <f>IF(T_Convention[[#This Row],[Final]]&lt;&gt;"",VLOOKUP(T_Convention[[#This Row],[NumL]],T_suiviDi[#Data],COLUMN((T_suiviDi[Nom])),FALSE),"")</f>
        <v>A</v>
      </c>
      <c r="H309" s="282" t="str">
        <f>IF(T_Convention[[#This Row],[Final]]&lt;&gt;"",VLOOKUP(T_Convention[[#This Row],[NumL]],T_suiviDi[#Data],COLUMN((T_suiviDi[Prénom])),FALSE),"")</f>
        <v>Ilidia</v>
      </c>
      <c r="I309" s="282" t="e">
        <f>VLOOKUP(T_Convention[[#This Row],[NumL]],T_suiviDi[#Data],COLUMN((T_suiviDi[[#This Row],[Email]])),FALSE)</f>
        <v>#VALUE!</v>
      </c>
      <c r="J309" s="282" t="e">
        <f>IF(VLOOKUP(T_Convention[[#This Row],[NumL]],T_suiviDi[#Data],COLUMN(T_suiviDi[[#This Row],[Fonction]]),FALSE)="","",VLOOKUP(T_Convention[[#This Row],[NumL]],T_suiviDi[#Data],COLUMN(T_suiviDi[[#This Row],[Fonction]]),FALSE))</f>
        <v>#VALUE!</v>
      </c>
      <c r="K309" s="282" t="e">
        <f>IF(VLOOKUP(T_Convention[[#This Row],[NumL]],T_suiviDi[#Data],COLUMN(T_suiviDi[[#This Row],[Grade]]),FALSE)="","",VLOOKUP(T_Convention[[#This Row],[NumL]],T_suiviDi[#Data],COLUMN(T_suiviDi[[#This Row],[Grade]]),FALSE))</f>
        <v>#VALUE!</v>
      </c>
      <c r="L309" s="282" t="e">
        <f>IF(VLOOKUP(T_Convention[[#This Row],[NumL]],T_suiviDi[#Data],COLUMN(T_suiviDi[[#This Row],[Service ]]),FALSE)="","",VLOOKUP(T_Convention[[#This Row],[NumL]],T_suiviDi[#Data],COLUMN(T_suiviDi[[#This Row],[Service ]]),FALSE))</f>
        <v>#VALUE!</v>
      </c>
      <c r="M309" s="164" t="str">
        <f t="shared" si="21"/>
        <v>01 septembre 2021</v>
      </c>
      <c r="N309" s="164" t="str">
        <f t="shared" si="22"/>
        <v>30 novembre 2021</v>
      </c>
      <c r="O309" s="284" t="str">
        <f t="shared" si="23"/>
        <v>30 novembre 2021</v>
      </c>
      <c r="P309" s="282" t="str">
        <f>IF(VLOOKUP(T_Convention[[#This Row],[NumL]],T_TraitDi[#Data],COLUMN(T_TraitDi[M1]),FALSE)="","",VLOOKUP(T_Convention[[#This Row],[NumL]],T_TraitDi[#Data],COLUMN(T_TraitDi[M1]),FALSE))</f>
        <v>Validation des missions des étudiants bénévoles</v>
      </c>
      <c r="Q309" s="282" t="str">
        <f>IF(VLOOKUP(T_Convention[[#This Row],[NumL]],T_TraitDi[#Data],COLUMN(T_TraitDi[M2]),FALSE)="","",VLOOKUP(T_Convention[[#This Row],[NumL]],T_TraitDi[#Data],COLUMN(T_TraitDi[M2]),FALSE))</f>
        <v/>
      </c>
      <c r="R309" s="282" t="str">
        <f>IF(VLOOKUP(T_Convention[[#This Row],[NumL]],T_TraitDi[#Data],COLUMN(T_TraitDi[M3]),FALSE)="","",VLOOKUP(T_Convention[[#This Row],[NumL]],T_TraitDi[#Data],COLUMN(T_TraitDi[M3]),FALSE))</f>
        <v/>
      </c>
      <c r="S309" s="282" t="str">
        <f>IF(VLOOKUP(T_Convention[[#This Row],[NumL]],T_TraitDi[#Data],COLUMN(T_TraitDi[M4]),FALSE)="","",VLOOKUP(T_Convention[[#This Row],[NumL]],T_TraitDi[#Data],COLUMN(T_TraitDi[M4]),FALSE))</f>
        <v/>
      </c>
      <c r="T309" s="282" t="str">
        <f>IF(VLOOKUP(T_Convention[[#This Row],[NumL]],T_TraitDi[#Data],COLUMN(T_TraitDi[M5]),FALSE)="","",VLOOKUP(T_Convention[[#This Row],[NumL]],T_TraitDi[#Data],COLUMN(T_TraitDi[M5]),FALSE))</f>
        <v/>
      </c>
      <c r="U309" s="282" t="str">
        <f>IF(VLOOKUP(T_Convention[[#This Row],[NumL]],T_TraitDi[#Data],COLUMN(T_TraitDi[M6]),FALSE)="","",VLOOKUP(T_Convention[[#This Row],[NumL]],T_TraitDi[#Data],COLUMN(T_TraitDi[M6]),FALSE))</f>
        <v/>
      </c>
      <c r="V309" s="176" t="str">
        <f t="shared" si="24"/>
        <v>Validation des missions des étudiants bénévoles</v>
      </c>
      <c r="W309" s="284" t="str">
        <f>IFERROR(TEXT(VLOOKUP(T_Convention[[#This Row],[NumL]],T_TraitDi[#Data],COLUMN(T_TraitDi[Q2]),FALSE),"###%"),"")</f>
        <v>80%</v>
      </c>
      <c r="X309" s="97" t="str">
        <f>VLOOKUP(T_Convention[[#This Row],[NumL]],T_TraitDi[#Data],COLUMN(T_TraitDi[Reg Ponct]),FALSE)</f>
        <v>R</v>
      </c>
      <c r="Y309" s="97">
        <f>VLOOKUP(T_Convention[NumL],T_TraitDi[#Data],COLUMN(T_TraitDi[Jours flottants]),FALSE)</f>
        <v>0</v>
      </c>
      <c r="Z309" s="284" t="str">
        <f>IFERROR(VLOOKUP(T_Convention[[#This Row],[NumL]],T_TraitDi[#Data],COLUMN(T_TraitDi[Lundi]),FALSE),"")</f>
        <v>S</v>
      </c>
      <c r="AA309" s="284" t="str">
        <f>IF(VLOOKUP(T_Convention[[#This Row],[NumL]],T_TraitDi[#Data],COLUMN(T_TraitDi[Colonne3]),FALSE)=0,"",TEXT(IFERROR(VLOOKUP(T_Convention[[#This Row],[NumL]],T_TraitDi[#Data],COLUMN(T_TraitDi[Colonne3]),FALSE),""),"[hh]:mm"))</f>
        <v>08:15</v>
      </c>
      <c r="AB309" s="284" t="str">
        <f>IF(VLOOKUP(T_Convention[[#This Row],[NumL]],T_TraitDi[#Data],COLUMN(T_TraitDi[Colonne4]),FALSE)=0,"",TEXT(IFERROR(VLOOKUP(T_Convention[[#This Row],[NumL]],T_TraitDi[#Data],COLUMN(T_TraitDi[Colonne4]),FALSE),""),"[hh]:mm"))</f>
        <v>12:30</v>
      </c>
      <c r="AC309" s="284" t="str">
        <f>IF(VLOOKUP(T_Convention[[#This Row],[NumL]],T_TraitDi[#Data],COLUMN(T_TraitDi[Colonne5]),FALSE)=0,"",TEXT(IFERROR(VLOOKUP(T_Convention[[#This Row],[NumL]],T_TraitDi[#Data],COLUMN(T_TraitDi[Colonne5]),FALSE),""),"[hh]:mm"))</f>
        <v>S</v>
      </c>
      <c r="AD309" s="284" t="str">
        <f>IF(VLOOKUP(T_Convention[[#This Row],[NumL]],T_TraitDi[#Data],COLUMN(T_TraitDi[Colonne6]),FALSE)=0,"",TEXT(IFERROR(VLOOKUP(T_Convention[[#This Row],[NumL]],T_TraitDi[#Data],COLUMN(T_TraitDi[Colonne6]),FALSE),""),"[hh]:mm"))</f>
        <v>13:30</v>
      </c>
      <c r="AE309" s="284" t="str">
        <f>IF(VLOOKUP(T_Convention[[#This Row],[NumL]],T_TraitDi[#Data],COLUMN(T_TraitDi[Colonne7]),FALSE)=0,"",TEXT(IFERROR(VLOOKUP(T_Convention[[#This Row],[NumL]],T_TraitDi[#Data],COLUMN(T_TraitDi[Colonne7]),FALSE),""),"[hh]:mm"))</f>
        <v>16:20</v>
      </c>
      <c r="AF309" s="284" t="str">
        <f>IF(VLOOKUP(T_Convention[[#This Row],[NumL]],T_TraitDi[#Data],COLUMN(T_TraitDi[Colonne8]),FALSE)=0,"",TEXT(IFERROR(VLOOKUP(T_Convention[[#This Row],[NumL]],T_TraitDi[#Data],COLUMN(T_TraitDi[Colonne8]),FALSE),""),"[hh]:mm"))</f>
        <v>07:05</v>
      </c>
      <c r="AG309" s="284" t="str">
        <f>IFERROR(VLOOKUP(T_Convention[[#This Row],[NumL]],T_TraitDi[#Data],COLUMN(T_TraitDi[Mardi]),FALSE),"")</f>
        <v>T</v>
      </c>
      <c r="AH309" s="284" t="str">
        <f>IF(VLOOKUP(T_Convention[[#This Row],[NumL]],T_TraitDi[#Data],COLUMN(T_TraitDi[Colonne1]),FALSE)=0,"",TEXT(IFERROR(VLOOKUP(T_Convention[[#This Row],[NumL]],T_TraitDi[#Data],COLUMN(T_TraitDi[Colonne1]),FALSE),""),"[hh]:mm"))</f>
        <v>08:15</v>
      </c>
      <c r="AI309" s="284" t="str">
        <f>IF(VLOOKUP(T_Convention[[#This Row],[NumL]],T_TraitDi[#Data],COLUMN(T_TraitDi[Colonne9]),FALSE)=0,"",TEXT(IFERROR(VLOOKUP(T_Convention[[#This Row],[NumL]],T_TraitDi[#Data],COLUMN(T_TraitDi[Colonne9]),FALSE),""),"[hh]:mm"))</f>
        <v>12:30</v>
      </c>
      <c r="AJ309" s="284" t="str">
        <f>IFERROR(VLOOKUP(T_Convention[[#This Row],[NumL]],T_TraitDi[#Data],COLUMN(T_TraitDi[Colonne10]),FALSE),"")</f>
        <v>T</v>
      </c>
      <c r="AK309" s="284" t="str">
        <f>IF(VLOOKUP(T_Convention[[#This Row],[NumL]],T_TraitDi[#Data],COLUMN(T_TraitDi[Colonne11]),FALSE)=0,"",TEXT(IFERROR(VLOOKUP(T_Convention[[#This Row],[NumL]],T_TraitDi[#Data],COLUMN(T_TraitDi[Colonne11]),FALSE),""),"[hh]:mm"))</f>
        <v>13:30</v>
      </c>
      <c r="AL309" s="284" t="str">
        <f>IF(VLOOKUP(T_Convention[[#This Row],[NumL]],T_TraitDi[#Data],COLUMN(T_TraitDi[Colonne12]),FALSE)=0,"",TEXT(IFERROR(VLOOKUP(T_Convention[[#This Row],[NumL]],T_TraitDi[#Data],COLUMN(T_TraitDi[Colonne12]),FALSE),""),"[hh]:mm"))</f>
        <v>17:00</v>
      </c>
      <c r="AM309" s="284" t="str">
        <f>IF(VLOOKUP(T_Convention[[#This Row],[NumL]],T_TraitDi[#Data],COLUMN(T_TraitDi[Colonne14]),FALSE)=0,"",TEXT(IFERROR(VLOOKUP(T_Convention[[#This Row],[NumL]],T_TraitDi[#Data],COLUMN(T_TraitDi[Colonne14]),FALSE),""),"[hh]:mm"))</f>
        <v>07:45</v>
      </c>
      <c r="AN309" s="284" t="str">
        <f>IFERROR(VLOOKUP(T_Convention[[#This Row],[NumL]],T_TraitDi[#Data],COLUMN(T_TraitDi[Mercredi]),FALSE),"")</f>
        <v>A</v>
      </c>
      <c r="AO309" s="284" t="str">
        <f>IF(VLOOKUP(T_Convention[[#This Row],[NumL]],T_TraitDi[#Data],COLUMN(T_TraitDi[Colonne15]),FALSE)=0,"",TEXT(IFERROR(VLOOKUP(T_Convention[[#This Row],[NumL]],T_TraitDi[#Data],COLUMN(T_TraitDi[Colonne15]),FALSE),""),"[hh]:mm"))</f>
        <v/>
      </c>
      <c r="AP309" s="284" t="str">
        <f>IF(VLOOKUP(T_Convention[[#This Row],[NumL]],T_TraitDi[#Data],COLUMN(T_TraitDi[Colonne16]),FALSE)=0,"",TEXT(IFERROR(VLOOKUP(T_Convention[[#This Row],[NumL]],T_TraitDi[#Data],COLUMN(T_TraitDi[Colonne16]),FALSE),""),"[hh]:mm"))</f>
        <v/>
      </c>
      <c r="AQ309" s="284" t="str">
        <f>IFERROR(VLOOKUP(T_Convention[[#This Row],[NumL]],T_TraitDi[#Data],COLUMN(T_TraitDi[Colonne17]),FALSE),"")</f>
        <v>A</v>
      </c>
      <c r="AR309" s="284" t="str">
        <f>IF(VLOOKUP(T_Convention[[#This Row],[NumL]],T_TraitDi[#Data],COLUMN(T_TraitDi[Colonne18]),FALSE)=0,"",TEXT(IFERROR(VLOOKUP(T_Convention[[#This Row],[NumL]],T_TraitDi[#Data],COLUMN(T_TraitDi[Colonne18]),FALSE),""),"[hh]:mm"))</f>
        <v/>
      </c>
      <c r="AS309" s="284" t="str">
        <f>IF(VLOOKUP(T_Convention[[#This Row],[NumL]],T_TraitDi[#Data],COLUMN(T_TraitDi[Colonne19]),FALSE)=0,"",TEXT(IFERROR(VLOOKUP(T_Convention[[#This Row],[NumL]],T_TraitDi[#Data],COLUMN(T_TraitDi[Colonne19]),FALSE),""),"[hh]:mm"))</f>
        <v/>
      </c>
      <c r="AT309" s="284" t="str">
        <f>IF(VLOOKUP(T_Convention[[#This Row],[NumL]],T_TraitDi[#Data],COLUMN(T_TraitDi[Colonne20]),FALSE)=0,"",TEXT(IFERROR(VLOOKUP(T_Convention[[#This Row],[NumL]],T_TraitDi[#Data],COLUMN(T_TraitDi[Colonne20]),FALSE),""),"[hh]:mm"))</f>
        <v/>
      </c>
      <c r="AU309" s="284" t="str">
        <f>IFERROR(VLOOKUP(T_Convention[[#This Row],[NumL]],T_TraitDi[#Data],COLUMN(T_TraitDi[Jeudi]),FALSE),"")</f>
        <v>S</v>
      </c>
      <c r="AV309" s="284" t="str">
        <f>IF(VLOOKUP(T_Convention[[#This Row],[NumL]],T_TraitDi[#Data],COLUMN(T_TraitDi[Colonne21]),FALSE)=0,"",TEXT(IFERROR(VLOOKUP(T_Convention[[#This Row],[NumL]],T_TraitDi[#Data],COLUMN(T_TraitDi[Colonne21]),FALSE),""),"[hh]:mm"))</f>
        <v>08:15</v>
      </c>
      <c r="AW309" s="284" t="str">
        <f>IF(VLOOKUP(T_Convention[[#This Row],[NumL]],T_TraitDi[#Data],COLUMN(T_TraitDi[Colonne22]),FALSE)=0,"",TEXT(IFERROR(VLOOKUP(T_Convention[[#This Row],[NumL]],T_TraitDi[#Data],COLUMN(T_TraitDi[Colonne22]),FALSE),""),"[hh]:mm"))</f>
        <v>12:30</v>
      </c>
      <c r="AX309" s="284" t="str">
        <f>IFERROR(VLOOKUP(T_Convention[[#This Row],[NumL]],T_TraitDi[#Data],COLUMN(T_TraitDi[Colonne23]),FALSE),"")</f>
        <v>S</v>
      </c>
      <c r="AY309" s="284" t="str">
        <f>IF(VLOOKUP(T_Convention[[#This Row],[NumL]],T_TraitDi[#Data],COLUMN(T_TraitDi[Colonne24]),FALSE)=0,"",TEXT(IFERROR(VLOOKUP(T_Convention[[#This Row],[NumL]],T_TraitDi[#Data],COLUMN(T_TraitDi[Colonne24]),FALSE),""),"[hh]:mm"))</f>
        <v>13:30</v>
      </c>
      <c r="AZ309" s="284" t="str">
        <f>IF(VLOOKUP(T_Convention[[#This Row],[NumL]],T_TraitDi[#Data],COLUMN(T_TraitDi[Colonne25]),FALSE)=0,"",TEXT(IFERROR(VLOOKUP(T_Convention[[#This Row],[NumL]],T_TraitDi[#Data],COLUMN(T_TraitDi[Colonne25]),FALSE),""),"[hh]:mm"))</f>
        <v>17:00</v>
      </c>
      <c r="BA309" s="284" t="str">
        <f>IF(VLOOKUP(T_Convention[[#This Row],[NumL]],T_TraitDi[#Data],COLUMN(T_TraitDi[Colonne26]),FALSE)=0,"",TEXT(IFERROR(VLOOKUP(T_Convention[[#This Row],[NumL]],T_TraitDi[#Data],COLUMN(T_TraitDi[Colonne26]),FALSE),""),"[hh]:mm"))</f>
        <v>07:45</v>
      </c>
      <c r="BB309" s="284" t="str">
        <f>IFERROR(VLOOKUP(T_Convention[[#This Row],[NumL]],T_TraitDi[#Data],COLUMN(T_TraitDi[Vendredi]),FALSE),"")</f>
        <v>T</v>
      </c>
      <c r="BC309" s="284" t="str">
        <f>IF(VLOOKUP(T_Convention[[#This Row],[NumL]],T_TraitDi[#Data],COLUMN(T_TraitDi[Colonne27]),FALSE)=0,"",TEXT(IFERROR(VLOOKUP(T_Convention[[#This Row],[NumL]],T_TraitDi[#Data],COLUMN(T_TraitDi[Colonne27]),FALSE),""),"[hh]:mm"))</f>
        <v>08:15</v>
      </c>
      <c r="BD309" s="284" t="str">
        <f>IF(VLOOKUP(T_Convention[[#This Row],[NumL]],T_TraitDi[#Data],COLUMN(T_TraitDi[Colonne28]),FALSE)=0,"",TEXT(IFERROR(VLOOKUP(T_Convention[[#This Row],[NumL]],T_TraitDi[#Data],COLUMN(T_TraitDi[Colonne28]),FALSE),""),"[hh]:mm"))</f>
        <v>12:30</v>
      </c>
      <c r="BE309" s="284" t="str">
        <f>IFERROR(VLOOKUP(T_Convention[[#This Row],[NumL]],T_TraitDi[#Data],COLUMN(T_TraitDi[Colonne29]),FALSE),"")</f>
        <v>T</v>
      </c>
      <c r="BF309" s="284" t="str">
        <f>IF(VLOOKUP(T_Convention[[#This Row],[NumL]],T_TraitDi[#Data],COLUMN(T_TraitDi[Colonne30]),FALSE)=0,"",TEXT(IFERROR(VLOOKUP(T_Convention[[#This Row],[NumL]],T_TraitDi[#Data],COLUMN(T_TraitDi[Colonne30]),FALSE),""),"[hh]:mm"))</f>
        <v>13:30</v>
      </c>
      <c r="BG309" s="284" t="str">
        <f>IF(VLOOKUP(T_Convention[[#This Row],[NumL]],T_TraitDi[#Data],COLUMN(T_TraitDi[Colonne31]),FALSE)=0,"",TEXT(IFERROR(VLOOKUP(T_Convention[[#This Row],[NumL]],T_TraitDi[#Data],COLUMN(T_TraitDi[Colonne31]),FALSE),""),"[hh]:mm"))</f>
        <v>16:20</v>
      </c>
      <c r="BH309" s="284" t="str">
        <f>IF(VLOOKUP(T_Convention[[#This Row],[NumL]],T_TraitDi[#Data],COLUMN(T_TraitDi[Colonne32]),FALSE)=0,"",TEXT(IFERROR(VLOOKUP(T_Convention[[#This Row],[NumL]],T_TraitDi[#Data],COLUMN(T_TraitDi[Colonne32]),FALSE),""),"[hh]:mm"))</f>
        <v>07:05</v>
      </c>
      <c r="BI309" s="284">
        <f>IFERROR(VLOOKUP(T_Convention[[#This Row],[NumL]],T_TraitDi[#Data],COLUMN(T_TraitDi[NbJTW]),FALSE),"")</f>
        <v>2</v>
      </c>
      <c r="BJ309" s="284" t="str">
        <f>IF(VLOOKUP(T_Convention[[#This Row],[NumL]],T_TraitDi[#Data],COLUMN(T_TraitDi[NbhTW]),FALSE)=0,"",TEXT(IFERROR(VLOOKUP(T_Convention[[#This Row],[NumL]],T_TraitDi[#Data],COLUMN(T_TraitDi[NbhTW]),FALSE),""),"[hh]:mm"))</f>
        <v>14:50</v>
      </c>
      <c r="BK309" s="286" t="str">
        <f>IF(VLOOKUP(T_Convention[[#This Row],[NumL]],T_TraitDi[#Data],COLUMN(T_TraitDi[Nbhheb]),FALSE)=0,"",TEXT(IFERROR(VLOOKUP(T_Convention[[#This Row],[NumL]],T_TraitDi[#Data],COLUMN(T_TraitDi[Nbhheb]),FALSE),""),"[hh]:mm"))</f>
        <v>29:40</v>
      </c>
      <c r="BL309" s="287" t="str">
        <f>IFERROR(VLOOKUP(VLOOKUP(T_Convention[[#This Row],[NumL]],T_TraitDi[#Data],COLUMN(T_TraitDi[Type1]),FALSE),TypeTW,2,FALSE),"")</f>
        <v>son domicile (lieu de résidence habituelle du télétravailleur)</v>
      </c>
      <c r="BM309" s="288" t="str">
        <f>IFERROR(VLOOKUP(T_Convention[[#This Row],[NumL]],T_TraitDi[#Data],COLUMN(T_TraitDi[Rue1]),FALSE),"")</f>
        <v>2 place Gensoul</v>
      </c>
      <c r="BN309" s="289" t="str">
        <f>IFERROR(VLOOKUP(T_Convention[[#This Row],[NumL]],T_TraitDi[#Data],COLUMN(T_TraitDi[CP1]),FALSE),"")</f>
        <v>69002</v>
      </c>
      <c r="BO309" s="282" t="str">
        <f>IFERROR(VLOOKUP(T_Convention[[#This Row],[NumL]],T_TraitDi[#Data],COLUMN(T_TraitDi[VILLE1]),FALSE),"")</f>
        <v>LYON</v>
      </c>
      <c r="BP309" s="290" t="str">
        <f>IFERROR(VLOOKUP(VLOOKUP(T_Convention[[#This Row],[NumL]],T_TraitDi[#Data],COLUMN(T_TraitDi[Type2]),FALSE),TypeTW,2,FALSE),"")</f>
        <v/>
      </c>
      <c r="BQ309" s="182" t="str">
        <f>IFERROR(VLOOKUP(T_Convention[[#This Row],[NumL]],T_TraitDi[#Data],COLUMN(T_TraitDi[Rue2]),FALSE),"")</f>
        <v>Sans objet</v>
      </c>
      <c r="BR309" s="173">
        <f>IFERROR(VLOOKUP(T_Convention[[#This Row],[NumL]],T_TraitDi[#Data],COLUMN(T_TraitDi[CP2]),FALSE),"")</f>
        <v>0</v>
      </c>
      <c r="BS309" s="173">
        <f>IFERROR(VLOOKUP(T_Convention[[#This Row],[NumL]],T_TraitDi[#Data],COLUMN(T_TraitDi[VILLE2]),FALSE),"")</f>
        <v>0</v>
      </c>
      <c r="BT309" s="182" t="str">
        <f>IF(VLOOKUP(T_Convention[[#This Row],[NumL]],T_Equipement[#Data],COLUMN(T_Equipement[PC]),FALSE)="","Aucun équipement spécifique directement lié au télétravail",VLOOKUP(T_Convention[[#This Row],[NumL]],T_Equipement[#Data],COLUMN(T_Equipement[PC]),FALSE))</f>
        <v xml:space="preserve">20-3089 </v>
      </c>
      <c r="BU309" s="166" t="str">
        <f>IFERROR(IF(VLOOKUP(T_Convention[[#This Row],[NumL]],T_TraitDi[#Data],COLUMN(T_TraitDi[Plan]),FALSE)="OK","Un planning spécifique de télétravail est annexé à la présente convention.",""),"")</f>
        <v/>
      </c>
      <c r="BV309" s="185"/>
      <c r="BW309" s="164" t="str">
        <f>IF(VLOOKUP(T_Convention[[#This Row],[NumL]],T_suiviDi[#Data],COLUMN(T_suiviDi[Entité]),FALSE)="","",VLOOKUP(T_Convention[[#This Row],[NumL]],T_suiviDi[#Data],COLUMN(T_suiviDi[Entité]),FALSE))</f>
        <v>IAE</v>
      </c>
      <c r="BX309" s="164" t="str">
        <f>IF(VLOOKUP(T_Convention[[#This Row],[NumL]],T_Commission[#Data],COLUMN(T_Commission[envoi confirm TW]),FALSE)="","",VLOOKUP(T_Convention[[#This Row],[NumL]],T_Commission[#Data],COLUMN(T_Commission[envoi confirm TW]),FALSE))</f>
        <v>Oui</v>
      </c>
      <c r="BY309"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09" s="264" t="str">
        <f>VLOOKUP(T_Convention[[#This Row],[NumL]],T_Commission[#Data],COLUMN(T_Commission[Commentaire]),FALSE)</f>
        <v>Le télétravail est accordé pour 6 mois renouvelables sous réserve de l'avis du médecin de prévention.</v>
      </c>
      <c r="CA309" s="254" t="str">
        <f>IF(VLOOKUP(T_Convention[[#This Row],[NumL]],T_Commission[#Data],COLUMN(T_Commission[Encadrant Email]),FALSE)="","",VLOOKUP(T_Convention[[#This Row],[NumL]],T_Commission[#Data],COLUMN(T_Commission[Encadrant Email]),FALSE))</f>
        <v/>
      </c>
      <c r="CB309" s="352">
        <f>VLOOKUP(T_Convention[[#This Row],[NumL]],T_TraitDi[#Data],COLUMN(T_TraitDi[NbJTot]),FALSE)</f>
        <v>4</v>
      </c>
      <c r="CC309" s="352" t="str">
        <f>VLOOKUP(T_Convention[[#This Row],[NumL]],T_TraitDi[#Data],COLUMN(T_TraitDi[Reg Ponct]),FALSE)</f>
        <v>R</v>
      </c>
      <c r="CD309" s="348" t="str">
        <f>IF(T_Convention[[#This Row],[Final]]&lt;&gt;"",VLOOKUP(T_Convention[[#This Row],[NumL]],T_suiviDi[#Data],COLUMN((T_suiviDi[Statut])),FALSE),"")</f>
        <v>ENCOURS</v>
      </c>
    </row>
    <row r="310" spans="1:82" s="50" customFormat="1" ht="18.75" customHeight="1" x14ac:dyDescent="0.25">
      <c r="A310" s="160">
        <v>259</v>
      </c>
      <c r="B310" s="161">
        <f>VLOOKUP(T_Convention[[#This Row],[NumL]],T_Commission[#Data],COLUMN(T_Commission[FINAL]),FALSE)</f>
        <v>1</v>
      </c>
      <c r="C310" s="162"/>
      <c r="D310" s="95" t="str">
        <f>IF(VLOOKUP(T_Convention[[#This Row],[NumL]],T_TraitDi[#Data],COLUMN(T_TraitDi[WebC]),FALSE)="","",VLOOKUP(T_Convention[[#This Row],[NumL]],T_TraitDi[#Data],COLUMN(T_TraitDi[WebC]),FALSE))</f>
        <v>DI</v>
      </c>
      <c r="E310" s="163" t="str">
        <f t="shared" si="20"/>
        <v>12 janvier 2021</v>
      </c>
      <c r="F310" s="282" t="str">
        <f>IF(T_Convention[[#This Row],[Final]]&lt;&gt;"",VLOOKUP(T_Convention[[#This Row],[NumL]],T_suiviDi[#Data],COLUMN((T_suiviDi[Civ.])),FALSE),"")</f>
        <v>Mme</v>
      </c>
      <c r="G310" s="283" t="str">
        <f>IF(T_Convention[[#This Row],[Final]]&lt;&gt;"",VLOOKUP(T_Convention[[#This Row],[NumL]],T_suiviDi[#Data],COLUMN((T_suiviDi[Nom])),FALSE),"")</f>
        <v>A</v>
      </c>
      <c r="H310" s="282" t="str">
        <f>IF(T_Convention[[#This Row],[Final]]&lt;&gt;"",VLOOKUP(T_Convention[[#This Row],[NumL]],T_suiviDi[#Data],COLUMN((T_suiviDi[Prénom])),FALSE),"")</f>
        <v>Aude</v>
      </c>
      <c r="I310" s="282" t="e">
        <f>VLOOKUP(T_Convention[[#This Row],[NumL]],T_suiviDi[#Data],COLUMN((T_suiviDi[[#This Row],[Email]])),FALSE)</f>
        <v>#VALUE!</v>
      </c>
      <c r="J310" s="282" t="e">
        <f>IF(VLOOKUP(T_Convention[[#This Row],[NumL]],T_suiviDi[#Data],COLUMN(T_suiviDi[[#This Row],[Fonction]]),FALSE)="","",VLOOKUP(T_Convention[[#This Row],[NumL]],T_suiviDi[#Data],COLUMN(T_suiviDi[[#This Row],[Fonction]]),FALSE))</f>
        <v>#VALUE!</v>
      </c>
      <c r="K310" s="282" t="e">
        <f>IF(VLOOKUP(T_Convention[[#This Row],[NumL]],T_suiviDi[#Data],COLUMN(T_suiviDi[[#This Row],[Grade]]),FALSE)="","",VLOOKUP(T_Convention[[#This Row],[NumL]],T_suiviDi[#Data],COLUMN(T_suiviDi[[#This Row],[Grade]]),FALSE))</f>
        <v>#VALUE!</v>
      </c>
      <c r="L310" s="282" t="e">
        <f>IF(VLOOKUP(T_Convention[[#This Row],[NumL]],T_suiviDi[#Data],COLUMN(T_suiviDi[[#This Row],[Service ]]),FALSE)="","",VLOOKUP(T_Convention[[#This Row],[NumL]],T_suiviDi[#Data],COLUMN(T_suiviDi[[#This Row],[Service ]]),FALSE))</f>
        <v>#VALUE!</v>
      </c>
      <c r="M310" s="164" t="str">
        <f t="shared" si="21"/>
        <v>01 septembre 2021</v>
      </c>
      <c r="N310" s="164" t="str">
        <f t="shared" si="22"/>
        <v>30 novembre 2021</v>
      </c>
      <c r="O310" s="284" t="str">
        <f t="shared" si="23"/>
        <v>30 novembre 2021</v>
      </c>
      <c r="P310" s="282" t="str">
        <f>IF(VLOOKUP(T_Convention[[#This Row],[NumL]],T_TraitDi[#Data],COLUMN(T_TraitDi[M1]),FALSE)="","",VLOOKUP(T_Convention[[#This Row],[NumL]],T_TraitDi[#Data],COLUMN(T_TraitDi[M1]),FALSE))</f>
        <v>Coordination des visites L1 primo-arrivants</v>
      </c>
      <c r="Q310" s="282" t="str">
        <f>IF(VLOOKUP(T_Convention[[#This Row],[NumL]],T_TraitDi[#Data],COLUMN(T_TraitDi[M2]),FALSE)="","",VLOOKUP(T_Convention[[#This Row],[NumL]],T_TraitDi[#Data],COLUMN(T_TraitDi[M2]),FALSE))</f>
        <v>Coordination des formations tous niveaux en Lettres, Langues et Sciences Humaines</v>
      </c>
      <c r="R310" s="282" t="str">
        <f>IF(VLOOKUP(T_Convention[[#This Row],[NumL]],T_TraitDi[#Data],COLUMN(T_TraitDi[M3]),FALSE)="","",VLOOKUP(T_Convention[[#This Row],[NumL]],T_TraitDi[#Data],COLUMN(T_TraitDi[M3]),FALSE))</f>
        <v/>
      </c>
      <c r="S310" s="282" t="str">
        <f>IF(VLOOKUP(T_Convention[[#This Row],[NumL]],T_TraitDi[#Data],COLUMN(T_TraitDi[M4]),FALSE)="","",VLOOKUP(T_Convention[[#This Row],[NumL]],T_TraitDi[#Data],COLUMN(T_TraitDi[M4]),FALSE))</f>
        <v/>
      </c>
      <c r="T310" s="282" t="str">
        <f>IF(VLOOKUP(T_Convention[[#This Row],[NumL]],T_TraitDi[#Data],COLUMN(T_TraitDi[M5]),FALSE)="","",VLOOKUP(T_Convention[[#This Row],[NumL]],T_TraitDi[#Data],COLUMN(T_TraitDi[M5]),FALSE))</f>
        <v/>
      </c>
      <c r="U310" s="282" t="str">
        <f>IF(VLOOKUP(T_Convention[[#This Row],[NumL]],T_TraitDi[#Data],COLUMN(T_TraitDi[M6]),FALSE)="","",VLOOKUP(T_Convention[[#This Row],[NumL]],T_TraitDi[#Data],COLUMN(T_TraitDi[M6]),FALSE))</f>
        <v/>
      </c>
      <c r="V310" s="176" t="str">
        <f t="shared" si="24"/>
        <v>Coordination des visites L1 primo-arrivantsCoordination des formations tous niveaux en Lettres, Langues et Sciences Humaines</v>
      </c>
      <c r="W310" s="284" t="str">
        <f>IFERROR(TEXT(VLOOKUP(T_Convention[[#This Row],[NumL]],T_TraitDi[#Data],COLUMN(T_TraitDi[Q2]),FALSE),"###%"),"")</f>
        <v>100%</v>
      </c>
      <c r="X310" s="97" t="str">
        <f>VLOOKUP(T_Convention[[#This Row],[NumL]],T_TraitDi[#Data],COLUMN(T_TraitDi[Reg Ponct]),FALSE)</f>
        <v>R</v>
      </c>
      <c r="Y310" s="97">
        <f>VLOOKUP(T_Convention[NumL],T_TraitDi[#Data],COLUMN(T_TraitDi[Jours flottants]),FALSE)</f>
        <v>10</v>
      </c>
      <c r="Z310" s="284" t="str">
        <f>IFERROR(VLOOKUP(T_Convention[[#This Row],[NumL]],T_TraitDi[#Data],COLUMN(T_TraitDi[Lundi]),FALSE),"")</f>
        <v>S</v>
      </c>
      <c r="AA310" s="284" t="str">
        <f>IF(VLOOKUP(T_Convention[[#This Row],[NumL]],T_TraitDi[#Data],COLUMN(T_TraitDi[Colonne3]),FALSE)=0,"",TEXT(IFERROR(VLOOKUP(T_Convention[[#This Row],[NumL]],T_TraitDi[#Data],COLUMN(T_TraitDi[Colonne3]),FALSE),""),"[hh]:mm"))</f>
        <v>08:15</v>
      </c>
      <c r="AB310" s="284" t="str">
        <f>IF(VLOOKUP(T_Convention[[#This Row],[NumL]],T_TraitDi[#Data],COLUMN(T_TraitDi[Colonne4]),FALSE)=0,"",TEXT(IFERROR(VLOOKUP(T_Convention[[#This Row],[NumL]],T_TraitDi[#Data],COLUMN(T_TraitDi[Colonne4]),FALSE),""),"[hh]:mm"))</f>
        <v>12:00</v>
      </c>
      <c r="AC310" s="284" t="str">
        <f>IF(VLOOKUP(T_Convention[[#This Row],[NumL]],T_TraitDi[#Data],COLUMN(T_TraitDi[Colonne5]),FALSE)=0,"",TEXT(IFERROR(VLOOKUP(T_Convention[[#This Row],[NumL]],T_TraitDi[#Data],COLUMN(T_TraitDi[Colonne5]),FALSE),""),"[hh]:mm"))</f>
        <v>S</v>
      </c>
      <c r="AD310" s="284" t="str">
        <f>IF(VLOOKUP(T_Convention[[#This Row],[NumL]],T_TraitDi[#Data],COLUMN(T_TraitDi[Colonne6]),FALSE)=0,"",TEXT(IFERROR(VLOOKUP(T_Convention[[#This Row],[NumL]],T_TraitDi[#Data],COLUMN(T_TraitDi[Colonne6]),FALSE),""),"[hh]:mm"))</f>
        <v>13:00</v>
      </c>
      <c r="AE310" s="284" t="str">
        <f>IF(VLOOKUP(T_Convention[[#This Row],[NumL]],T_TraitDi[#Data],COLUMN(T_TraitDi[Colonne7]),FALSE)=0,"",TEXT(IFERROR(VLOOKUP(T_Convention[[#This Row],[NumL]],T_TraitDi[#Data],COLUMN(T_TraitDi[Colonne7]),FALSE),""),"[hh]:mm"))</f>
        <v>16:45</v>
      </c>
      <c r="AF310" s="284" t="str">
        <f>IF(VLOOKUP(T_Convention[[#This Row],[NumL]],T_TraitDi[#Data],COLUMN(T_TraitDi[Colonne8]),FALSE)=0,"",TEXT(IFERROR(VLOOKUP(T_Convention[[#This Row],[NumL]],T_TraitDi[#Data],COLUMN(T_TraitDi[Colonne8]),FALSE),""),"[hh]:mm"))</f>
        <v>07:30</v>
      </c>
      <c r="AG310" s="284" t="str">
        <f>IFERROR(VLOOKUP(T_Convention[[#This Row],[NumL]],T_TraitDi[#Data],COLUMN(T_TraitDi[Mardi]),FALSE),"")</f>
        <v>S</v>
      </c>
      <c r="AH310" s="284" t="str">
        <f>IF(VLOOKUP(T_Convention[[#This Row],[NumL]],T_TraitDi[#Data],COLUMN(T_TraitDi[Colonne1]),FALSE)=0,"",TEXT(IFERROR(VLOOKUP(T_Convention[[#This Row],[NumL]],T_TraitDi[#Data],COLUMN(T_TraitDi[Colonne1]),FALSE),""),"[hh]:mm"))</f>
        <v>08:00</v>
      </c>
      <c r="AI310" s="284" t="str">
        <f>IF(VLOOKUP(T_Convention[[#This Row],[NumL]],T_TraitDi[#Data],COLUMN(T_TraitDi[Colonne9]),FALSE)=0,"",TEXT(IFERROR(VLOOKUP(T_Convention[[#This Row],[NumL]],T_TraitDi[#Data],COLUMN(T_TraitDi[Colonne9]),FALSE),""),"[hh]:mm"))</f>
        <v>13:00</v>
      </c>
      <c r="AJ310" s="284" t="str">
        <f>IFERROR(VLOOKUP(T_Convention[[#This Row],[NumL]],T_TraitDi[#Data],COLUMN(T_TraitDi[Colonne10]),FALSE),"")</f>
        <v>S</v>
      </c>
      <c r="AK310" s="284" t="str">
        <f>IF(VLOOKUP(T_Convention[[#This Row],[NumL]],T_TraitDi[#Data],COLUMN(T_TraitDi[Colonne11]),FALSE)=0,"",TEXT(IFERROR(VLOOKUP(T_Convention[[#This Row],[NumL]],T_TraitDi[#Data],COLUMN(T_TraitDi[Colonne11]),FALSE),""),"[hh]:mm"))</f>
        <v>14:00</v>
      </c>
      <c r="AL310" s="284" t="str">
        <f>IF(VLOOKUP(T_Convention[[#This Row],[NumL]],T_TraitDi[#Data],COLUMN(T_TraitDi[Colonne12]),FALSE)=0,"",TEXT(IFERROR(VLOOKUP(T_Convention[[#This Row],[NumL]],T_TraitDi[#Data],COLUMN(T_TraitDi[Colonne12]),FALSE),""),"[hh]:mm"))</f>
        <v>16:20</v>
      </c>
      <c r="AM310" s="284" t="str">
        <f>IF(VLOOKUP(T_Convention[[#This Row],[NumL]],T_TraitDi[#Data],COLUMN(T_TraitDi[Colonne14]),FALSE)=0,"",TEXT(IFERROR(VLOOKUP(T_Convention[[#This Row],[NumL]],T_TraitDi[#Data],COLUMN(T_TraitDi[Colonne14]),FALSE),""),"[hh]:mm"))</f>
        <v>07:20</v>
      </c>
      <c r="AN310" s="284" t="str">
        <f>IFERROR(VLOOKUP(T_Convention[[#This Row],[NumL]],T_TraitDi[#Data],COLUMN(T_TraitDi[Mercredi]),FALSE),"")</f>
        <v>S</v>
      </c>
      <c r="AO310" s="284" t="str">
        <f>IF(VLOOKUP(T_Convention[[#This Row],[NumL]],T_TraitDi[#Data],COLUMN(T_TraitDi[Colonne15]),FALSE)=0,"",TEXT(IFERROR(VLOOKUP(T_Convention[[#This Row],[NumL]],T_TraitDi[#Data],COLUMN(T_TraitDi[Colonne15]),FALSE),""),"[hh]:mm"))</f>
        <v>08:30</v>
      </c>
      <c r="AP310" s="284" t="str">
        <f>IF(VLOOKUP(T_Convention[[#This Row],[NumL]],T_TraitDi[#Data],COLUMN(T_TraitDi[Colonne16]),FALSE)=0,"",TEXT(IFERROR(VLOOKUP(T_Convention[[#This Row],[NumL]],T_TraitDi[#Data],COLUMN(T_TraitDi[Colonne16]),FALSE),""),"[hh]:mm"))</f>
        <v>12:00</v>
      </c>
      <c r="AQ310" s="284" t="str">
        <f>IFERROR(VLOOKUP(T_Convention[[#This Row],[NumL]],T_TraitDi[#Data],COLUMN(T_TraitDi[Colonne17]),FALSE),"")</f>
        <v>S</v>
      </c>
      <c r="AR310" s="284" t="str">
        <f>IF(VLOOKUP(T_Convention[[#This Row],[NumL]],T_TraitDi[#Data],COLUMN(T_TraitDi[Colonne18]),FALSE)=0,"",TEXT(IFERROR(VLOOKUP(T_Convention[[#This Row],[NumL]],T_TraitDi[#Data],COLUMN(T_TraitDi[Colonne18]),FALSE),""),"[hh]:mm"))</f>
        <v>13:00</v>
      </c>
      <c r="AS310" s="284" t="str">
        <f>IF(VLOOKUP(T_Convention[[#This Row],[NumL]],T_TraitDi[#Data],COLUMN(T_TraitDi[Colonne19]),FALSE)=0,"",TEXT(IFERROR(VLOOKUP(T_Convention[[#This Row],[NumL]],T_TraitDi[#Data],COLUMN(T_TraitDi[Colonne19]),FALSE),""),"[hh]:mm"))</f>
        <v>19:00</v>
      </c>
      <c r="AT310" s="284" t="str">
        <f>IF(VLOOKUP(T_Convention[[#This Row],[NumL]],T_TraitDi[#Data],COLUMN(T_TraitDi[Colonne20]),FALSE)=0,"",TEXT(IFERROR(VLOOKUP(T_Convention[[#This Row],[NumL]],T_TraitDi[#Data],COLUMN(T_TraitDi[Colonne20]),FALSE),""),"[hh]:mm"))</f>
        <v>09:30</v>
      </c>
      <c r="AU310" s="284" t="str">
        <f>IFERROR(VLOOKUP(T_Convention[[#This Row],[NumL]],T_TraitDi[#Data],COLUMN(T_TraitDi[Jeudi]),FALSE),"")</f>
        <v>S</v>
      </c>
      <c r="AV310" s="284" t="str">
        <f>IF(VLOOKUP(T_Convention[[#This Row],[NumL]],T_TraitDi[#Data],COLUMN(T_TraitDi[Colonne21]),FALSE)=0,"",TEXT(IFERROR(VLOOKUP(T_Convention[[#This Row],[NumL]],T_TraitDi[#Data],COLUMN(T_TraitDi[Colonne21]),FALSE),""),"[hh]:mm"))</f>
        <v>08:00</v>
      </c>
      <c r="AW310" s="284" t="str">
        <f>IF(VLOOKUP(T_Convention[[#This Row],[NumL]],T_TraitDi[#Data],COLUMN(T_TraitDi[Colonne22]),FALSE)=0,"",TEXT(IFERROR(VLOOKUP(T_Convention[[#This Row],[NumL]],T_TraitDi[#Data],COLUMN(T_TraitDi[Colonne22]),FALSE),""),"[hh]:mm"))</f>
        <v>12:45</v>
      </c>
      <c r="AX310" s="284" t="str">
        <f>IFERROR(VLOOKUP(T_Convention[[#This Row],[NumL]],T_TraitDi[#Data],COLUMN(T_TraitDi[Colonne23]),FALSE),"")</f>
        <v>A</v>
      </c>
      <c r="AY310" s="284" t="str">
        <f>IF(VLOOKUP(T_Convention[[#This Row],[NumL]],T_TraitDi[#Data],COLUMN(T_TraitDi[Colonne24]),FALSE)=0,"",TEXT(IFERROR(VLOOKUP(T_Convention[[#This Row],[NumL]],T_TraitDi[#Data],COLUMN(T_TraitDi[Colonne24]),FALSE),""),"[hh]:mm"))</f>
        <v/>
      </c>
      <c r="AZ310" s="284" t="str">
        <f>IF(VLOOKUP(T_Convention[[#This Row],[NumL]],T_TraitDi[#Data],COLUMN(T_TraitDi[Colonne25]),FALSE)=0,"",TEXT(IFERROR(VLOOKUP(T_Convention[[#This Row],[NumL]],T_TraitDi[#Data],COLUMN(T_TraitDi[Colonne25]),FALSE),""),"[hh]:mm"))</f>
        <v/>
      </c>
      <c r="BA310" s="284" t="str">
        <f>IF(VLOOKUP(T_Convention[[#This Row],[NumL]],T_TraitDi[#Data],COLUMN(T_TraitDi[Colonne26]),FALSE)=0,"",TEXT(IFERROR(VLOOKUP(T_Convention[[#This Row],[NumL]],T_TraitDi[#Data],COLUMN(T_TraitDi[Colonne26]),FALSE),""),"[hh]:mm"))</f>
        <v>04:45</v>
      </c>
      <c r="BB310" s="284" t="str">
        <f>IFERROR(VLOOKUP(T_Convention[[#This Row],[NumL]],T_TraitDi[#Data],COLUMN(T_TraitDi[Vendredi]),FALSE),"")</f>
        <v>T</v>
      </c>
      <c r="BC310" s="284" t="str">
        <f>IF(VLOOKUP(T_Convention[[#This Row],[NumL]],T_TraitDi[#Data],COLUMN(T_TraitDi[Colonne27]),FALSE)=0,"",TEXT(IFERROR(VLOOKUP(T_Convention[[#This Row],[NumL]],T_TraitDi[#Data],COLUMN(T_TraitDi[Colonne27]),FALSE),""),"[hh]:mm"))</f>
        <v>08:00</v>
      </c>
      <c r="BD310" s="284" t="str">
        <f>IF(VLOOKUP(T_Convention[[#This Row],[NumL]],T_TraitDi[#Data],COLUMN(T_TraitDi[Colonne28]),FALSE)=0,"",TEXT(IFERROR(VLOOKUP(T_Convention[[#This Row],[NumL]],T_TraitDi[#Data],COLUMN(T_TraitDi[Colonne28]),FALSE),""),"[hh]:mm"))</f>
        <v>12:00</v>
      </c>
      <c r="BE310" s="284" t="str">
        <f>IFERROR(VLOOKUP(T_Convention[[#This Row],[NumL]],T_TraitDi[#Data],COLUMN(T_TraitDi[Colonne29]),FALSE),"")</f>
        <v>T</v>
      </c>
      <c r="BF310" s="284" t="str">
        <f>IF(VLOOKUP(T_Convention[[#This Row],[NumL]],T_TraitDi[#Data],COLUMN(T_TraitDi[Colonne30]),FALSE)=0,"",TEXT(IFERROR(VLOOKUP(T_Convention[[#This Row],[NumL]],T_TraitDi[#Data],COLUMN(T_TraitDi[Colonne30]),FALSE),""),"[hh]:mm"))</f>
        <v>13:00</v>
      </c>
      <c r="BG310" s="284" t="str">
        <f>IF(VLOOKUP(T_Convention[[#This Row],[NumL]],T_TraitDi[#Data],COLUMN(T_TraitDi[Colonne31]),FALSE)=0,"",TEXT(IFERROR(VLOOKUP(T_Convention[[#This Row],[NumL]],T_TraitDi[#Data],COLUMN(T_TraitDi[Colonne31]),FALSE),""),"[hh]:mm"))</f>
        <v>17:00</v>
      </c>
      <c r="BH310" s="284" t="str">
        <f>IF(VLOOKUP(T_Convention[[#This Row],[NumL]],T_TraitDi[#Data],COLUMN(T_TraitDi[Colonne32]),FALSE)=0,"",TEXT(IFERROR(VLOOKUP(T_Convention[[#This Row],[NumL]],T_TraitDi[#Data],COLUMN(T_TraitDi[Colonne32]),FALSE),""),"[hh]:mm"))</f>
        <v>08:00</v>
      </c>
      <c r="BI310" s="284">
        <f>IFERROR(VLOOKUP(T_Convention[[#This Row],[NumL]],T_TraitDi[#Data],COLUMN(T_TraitDi[NbJTW]),FALSE),"")</f>
        <v>1</v>
      </c>
      <c r="BJ310" s="284" t="str">
        <f>IF(VLOOKUP(T_Convention[[#This Row],[NumL]],T_TraitDi[#Data],COLUMN(T_TraitDi[NbhTW]),FALSE)=0,"",TEXT(IFERROR(VLOOKUP(T_Convention[[#This Row],[NumL]],T_TraitDi[#Data],COLUMN(T_TraitDi[NbhTW]),FALSE),""),"[hh]:mm"))</f>
        <v>08:00</v>
      </c>
      <c r="BK310" s="286" t="str">
        <f>IF(VLOOKUP(T_Convention[[#This Row],[NumL]],T_TraitDi[#Data],COLUMN(T_TraitDi[Nbhheb]),FALSE)=0,"",TEXT(IFERROR(VLOOKUP(T_Convention[[#This Row],[NumL]],T_TraitDi[#Data],COLUMN(T_TraitDi[Nbhheb]),FALSE),""),"[hh]:mm"))</f>
        <v>37:05</v>
      </c>
      <c r="BL310" s="287" t="str">
        <f>IFERROR(VLOOKUP(VLOOKUP(T_Convention[[#This Row],[NumL]],T_TraitDi[#Data],COLUMN(T_TraitDi[Type1]),FALSE),TypeTW,2,FALSE),"")</f>
        <v>son domicile (lieu de résidence habituelle du télétravailleur)</v>
      </c>
      <c r="BM310" s="288" t="str">
        <f>IFERROR(VLOOKUP(T_Convention[[#This Row],[NumL]],T_TraitDi[#Data],COLUMN(T_TraitDi[Rue1]),FALSE),"")</f>
        <v>5 chemin des Ecoteys</v>
      </c>
      <c r="BN310" s="289" t="str">
        <f>IFERROR(VLOOKUP(T_Convention[[#This Row],[NumL]],T_TraitDi[#Data],COLUMN(T_TraitDi[CP1]),FALSE),"")</f>
        <v>38080</v>
      </c>
      <c r="BO310" s="282" t="str">
        <f>IFERROR(VLOOKUP(T_Convention[[#This Row],[NumL]],T_TraitDi[#Data],COLUMN(T_TraitDi[VILLE1]),FALSE),"")</f>
        <v>FOUR</v>
      </c>
      <c r="BP310" s="290" t="str">
        <f>IFERROR(VLOOKUP(VLOOKUP(T_Convention[[#This Row],[NumL]],T_TraitDi[#Data],COLUMN(T_TraitDi[Type2]),FALSE),TypeTW,2,FALSE),"")</f>
        <v/>
      </c>
      <c r="BQ310" s="182" t="str">
        <f>IFERROR(VLOOKUP(T_Convention[[#This Row],[NumL]],T_TraitDi[#Data],COLUMN(T_TraitDi[Rue2]),FALSE),"")</f>
        <v>Sans objet</v>
      </c>
      <c r="BR310" s="173" t="str">
        <f>IFERROR(VLOOKUP(T_Convention[[#This Row],[NumL]],T_TraitDi[#Data],COLUMN(T_TraitDi[CP2]),FALSE),"")</f>
        <v xml:space="preserve"> </v>
      </c>
      <c r="BS310" s="173" t="str">
        <f>IFERROR(VLOOKUP(T_Convention[[#This Row],[NumL]],T_TraitDi[#Data],COLUMN(T_TraitDi[VILLE2]),FALSE),"")</f>
        <v xml:space="preserve">  </v>
      </c>
      <c r="BT310" s="182" t="str">
        <f>IF(VLOOKUP(T_Convention[[#This Row],[NumL]],T_Equipement[#Data],COLUMN(T_Equipement[PC]),FALSE)="","Aucun équipement spécifique directement lié au télétravail",VLOOKUP(T_Convention[[#This Row],[NumL]],T_Equipement[#Data],COLUMN(T_Equipement[PC]),FALSE))</f>
        <v>20-426</v>
      </c>
      <c r="BU310" s="166" t="str">
        <f>IFERROR(IF(VLOOKUP(T_Convention[[#This Row],[NumL]],T_TraitDi[#Data],COLUMN(T_TraitDi[Plan]),FALSE)="OK","Un planning spécifique de télétravail est annexé à la présente convention.",""),"")</f>
        <v/>
      </c>
      <c r="BV310" s="185" t="s">
        <v>3309</v>
      </c>
      <c r="BW310" s="164" t="str">
        <f>IF(VLOOKUP(T_Convention[[#This Row],[NumL]],T_suiviDi[#Data],COLUMN(T_suiviDi[Entité]),FALSE)="","",VLOOKUP(T_Convention[[#This Row],[NumL]],T_suiviDi[#Data],COLUMN(T_suiviDi[Entité]),FALSE))</f>
        <v>BU</v>
      </c>
      <c r="BX310" s="164" t="str">
        <f>IF(VLOOKUP(T_Convention[[#This Row],[NumL]],T_Commission[#Data],COLUMN(T_Commission[envoi confirm TW]),FALSE)="","",VLOOKUP(T_Convention[[#This Row],[NumL]],T_Commission[#Data],COLUMN(T_Commission[envoi confirm TW]),FALSE))</f>
        <v>Oui</v>
      </c>
      <c r="BY31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0" s="264">
        <f>VLOOKUP(T_Convention[[#This Row],[NumL]],T_Commission[#Data],COLUMN(T_Commission[Commentaire]),FALSE)</f>
        <v>0</v>
      </c>
      <c r="CA310" s="254" t="str">
        <f>IF(VLOOKUP(T_Convention[[#This Row],[NumL]],T_Commission[#Data],COLUMN(T_Commission[Encadrant Email]),FALSE)="","",VLOOKUP(T_Convention[[#This Row],[NumL]],T_Commission[#Data],COLUMN(T_Commission[Encadrant Email]),FALSE))</f>
        <v/>
      </c>
      <c r="CB310" s="352">
        <f>VLOOKUP(T_Convention[[#This Row],[NumL]],T_TraitDi[#Data],COLUMN(T_TraitDi[NbJTot]),FALSE)</f>
        <v>4.5</v>
      </c>
      <c r="CC310" s="352" t="str">
        <f>VLOOKUP(T_Convention[[#This Row],[NumL]],T_TraitDi[#Data],COLUMN(T_TraitDi[Reg Ponct]),FALSE)</f>
        <v>R</v>
      </c>
      <c r="CD310" s="348" t="str">
        <f>IF(T_Convention[[#This Row],[Final]]&lt;&gt;"",VLOOKUP(T_Convention[[#This Row],[NumL]],T_suiviDi[#Data],COLUMN((T_suiviDi[Statut])),FALSE),"")</f>
        <v>ENCOURS</v>
      </c>
    </row>
    <row r="311" spans="1:82" s="50" customFormat="1" ht="18.75" customHeight="1" x14ac:dyDescent="0.25">
      <c r="A311" s="160">
        <v>78</v>
      </c>
      <c r="B311" s="161">
        <f>VLOOKUP(T_Convention[[#This Row],[NumL]],T_Commission[#Data],COLUMN(T_Commission[FINAL]),FALSE)</f>
        <v>1</v>
      </c>
      <c r="C311" s="162"/>
      <c r="D311" s="95" t="str">
        <f>IF(VLOOKUP(T_Convention[[#This Row],[NumL]],T_TraitDi[#Data],COLUMN(T_TraitDi[WebC]),FALSE)="","",VLOOKUP(T_Convention[[#This Row],[NumL]],T_TraitDi[#Data],COLUMN(T_TraitDi[WebC]),FALSE))</f>
        <v>WG</v>
      </c>
      <c r="E311" s="163" t="str">
        <f t="shared" si="20"/>
        <v>12 janvier 2021</v>
      </c>
      <c r="F311" s="282" t="str">
        <f>IF(T_Convention[[#This Row],[Final]]&lt;&gt;"",VLOOKUP(T_Convention[[#This Row],[NumL]],T_suiviDi[#Data],COLUMN((T_suiviDi[Civ.])),FALSE),"")</f>
        <v>Mme</v>
      </c>
      <c r="G311" s="283" t="str">
        <f>IF(T_Convention[[#This Row],[Final]]&lt;&gt;"",VLOOKUP(T_Convention[[#This Row],[NumL]],T_suiviDi[#Data],COLUMN((T_suiviDi[Nom])),FALSE),"")</f>
        <v>A</v>
      </c>
      <c r="H311" s="282" t="str">
        <f>IF(T_Convention[[#This Row],[Final]]&lt;&gt;"",VLOOKUP(T_Convention[[#This Row],[NumL]],T_suiviDi[#Data],COLUMN((T_suiviDi[Prénom])),FALSE),"")</f>
        <v>Marianne</v>
      </c>
      <c r="I311" s="282" t="e">
        <f>VLOOKUP(T_Convention[[#This Row],[NumL]],T_suiviDi[#Data],COLUMN((T_suiviDi[[#This Row],[Email]])),FALSE)</f>
        <v>#VALUE!</v>
      </c>
      <c r="J311" s="282" t="e">
        <f>IF(VLOOKUP(T_Convention[[#This Row],[NumL]],T_suiviDi[#Data],COLUMN(T_suiviDi[[#This Row],[Fonction]]),FALSE)="","",VLOOKUP(T_Convention[[#This Row],[NumL]],T_suiviDi[#Data],COLUMN(T_suiviDi[[#This Row],[Fonction]]),FALSE))</f>
        <v>#VALUE!</v>
      </c>
      <c r="K311" s="282" t="e">
        <f>IF(VLOOKUP(T_Convention[[#This Row],[NumL]],T_suiviDi[#Data],COLUMN(T_suiviDi[[#This Row],[Grade]]),FALSE)="","",VLOOKUP(T_Convention[[#This Row],[NumL]],T_suiviDi[#Data],COLUMN(T_suiviDi[[#This Row],[Grade]]),FALSE))</f>
        <v>#VALUE!</v>
      </c>
      <c r="L311" s="282" t="e">
        <f>IF(VLOOKUP(T_Convention[[#This Row],[NumL]],T_suiviDi[#Data],COLUMN(T_suiviDi[[#This Row],[Service ]]),FALSE)="","",VLOOKUP(T_Convention[[#This Row],[NumL]],T_suiviDi[#Data],COLUMN(T_suiviDi[[#This Row],[Service ]]),FALSE))</f>
        <v>#VALUE!</v>
      </c>
      <c r="M311" s="164" t="str">
        <f t="shared" si="21"/>
        <v>01 septembre 2021</v>
      </c>
      <c r="N311" s="164" t="str">
        <f t="shared" si="22"/>
        <v>30 novembre 2021</v>
      </c>
      <c r="O311" s="284" t="str">
        <f t="shared" si="23"/>
        <v>30 novembre 2021</v>
      </c>
      <c r="P311" s="282" t="str">
        <f>IF(VLOOKUP(T_Convention[[#This Row],[NumL]],T_TraitDi[#Data],COLUMN(T_TraitDi[M1]),FALSE)="","",VLOOKUP(T_Convention[[#This Row],[NumL]],T_TraitDi[#Data],COLUMN(T_TraitDi[M1]),FALSE))</f>
        <v>Gestionnaire de scolarité</v>
      </c>
      <c r="Q311" s="282" t="str">
        <f>IF(VLOOKUP(T_Convention[[#This Row],[NumL]],T_TraitDi[#Data],COLUMN(T_TraitDi[M2]),FALSE)="","",VLOOKUP(T_Convention[[#This Row],[NumL]],T_TraitDi[#Data],COLUMN(T_TraitDi[M2]),FALSE))</f>
        <v/>
      </c>
      <c r="R311" s="282" t="str">
        <f>IF(VLOOKUP(T_Convention[[#This Row],[NumL]],T_TraitDi[#Data],COLUMN(T_TraitDi[M3]),FALSE)="","",VLOOKUP(T_Convention[[#This Row],[NumL]],T_TraitDi[#Data],COLUMN(T_TraitDi[M3]),FALSE))</f>
        <v/>
      </c>
      <c r="S311" s="282" t="str">
        <f>IF(VLOOKUP(T_Convention[[#This Row],[NumL]],T_TraitDi[#Data],COLUMN(T_TraitDi[M4]),FALSE)="","",VLOOKUP(T_Convention[[#This Row],[NumL]],T_TraitDi[#Data],COLUMN(T_TraitDi[M4]),FALSE))</f>
        <v/>
      </c>
      <c r="T311" s="282" t="str">
        <f>IF(VLOOKUP(T_Convention[[#This Row],[NumL]],T_TraitDi[#Data],COLUMN(T_TraitDi[M5]),FALSE)="","",VLOOKUP(T_Convention[[#This Row],[NumL]],T_TraitDi[#Data],COLUMN(T_TraitDi[M5]),FALSE))</f>
        <v/>
      </c>
      <c r="U311" s="282" t="str">
        <f>IF(VLOOKUP(T_Convention[[#This Row],[NumL]],T_TraitDi[#Data],COLUMN(T_TraitDi[M6]),FALSE)="","",VLOOKUP(T_Convention[[#This Row],[NumL]],T_TraitDi[#Data],COLUMN(T_TraitDi[M6]),FALSE))</f>
        <v/>
      </c>
      <c r="V311" s="176" t="str">
        <f t="shared" si="24"/>
        <v>Gestionnaire de scolarité</v>
      </c>
      <c r="W311" s="284" t="str">
        <f>IFERROR(TEXT(VLOOKUP(T_Convention[[#This Row],[NumL]],T_TraitDi[#Data],COLUMN(T_TraitDi[Q2]),FALSE),"###%"),"")</f>
        <v>100%</v>
      </c>
      <c r="X311" s="97" t="str">
        <f>VLOOKUP(T_Convention[[#This Row],[NumL]],T_TraitDi[#Data],COLUMN(T_TraitDi[Reg Ponct]),FALSE)</f>
        <v>R</v>
      </c>
      <c r="Y311" s="97">
        <f>VLOOKUP(T_Convention[NumL],T_TraitDi[#Data],COLUMN(T_TraitDi[Jours flottants]),FALSE)</f>
        <v>10</v>
      </c>
      <c r="Z311" s="284" t="str">
        <f>IFERROR(VLOOKUP(T_Convention[[#This Row],[NumL]],T_TraitDi[#Data],COLUMN(T_TraitDi[Lundi]),FALSE),"")</f>
        <v>S</v>
      </c>
      <c r="AA311" s="284" t="str">
        <f>IF(VLOOKUP(T_Convention[[#This Row],[NumL]],T_TraitDi[#Data],COLUMN(T_TraitDi[Colonne3]),FALSE)=0,"",TEXT(IFERROR(VLOOKUP(T_Convention[[#This Row],[NumL]],T_TraitDi[#Data],COLUMN(T_TraitDi[Colonne3]),FALSE),""),"[hh]:mm"))</f>
        <v>09:15</v>
      </c>
      <c r="AB311" s="284" t="str">
        <f>IF(VLOOKUP(T_Convention[[#This Row],[NumL]],T_TraitDi[#Data],COLUMN(T_TraitDi[Colonne4]),FALSE)=0,"",TEXT(IFERROR(VLOOKUP(T_Convention[[#This Row],[NumL]],T_TraitDi[#Data],COLUMN(T_TraitDi[Colonne4]),FALSE),""),"[hh]:mm"))</f>
        <v>13:00</v>
      </c>
      <c r="AC311" s="284" t="str">
        <f>IF(VLOOKUP(T_Convention[[#This Row],[NumL]],T_TraitDi[#Data],COLUMN(T_TraitDi[Colonne5]),FALSE)=0,"",TEXT(IFERROR(VLOOKUP(T_Convention[[#This Row],[NumL]],T_TraitDi[#Data],COLUMN(T_TraitDi[Colonne5]),FALSE),""),"[hh]:mm"))</f>
        <v>S</v>
      </c>
      <c r="AD311" s="284" t="str">
        <f>IF(VLOOKUP(T_Convention[[#This Row],[NumL]],T_TraitDi[#Data],COLUMN(T_TraitDi[Colonne6]),FALSE)=0,"",TEXT(IFERROR(VLOOKUP(T_Convention[[#This Row],[NumL]],T_TraitDi[#Data],COLUMN(T_TraitDi[Colonne6]),FALSE),""),"[hh]:mm"))</f>
        <v>14:00</v>
      </c>
      <c r="AE311" s="284" t="str">
        <f>IF(VLOOKUP(T_Convention[[#This Row],[NumL]],T_TraitDi[#Data],COLUMN(T_TraitDi[Colonne7]),FALSE)=0,"",TEXT(IFERROR(VLOOKUP(T_Convention[[#This Row],[NumL]],T_TraitDi[#Data],COLUMN(T_TraitDi[Colonne7]),FALSE),""),"[hh]:mm"))</f>
        <v>17:30</v>
      </c>
      <c r="AF311" s="284" t="str">
        <f>IF(VLOOKUP(T_Convention[[#This Row],[NumL]],T_TraitDi[#Data],COLUMN(T_TraitDi[Colonne8]),FALSE)=0,"",TEXT(IFERROR(VLOOKUP(T_Convention[[#This Row],[NumL]],T_TraitDi[#Data],COLUMN(T_TraitDi[Colonne8]),FALSE),""),"[hh]:mm"))</f>
        <v>07:15</v>
      </c>
      <c r="AG311" s="284" t="str">
        <f>IFERROR(VLOOKUP(T_Convention[[#This Row],[NumL]],T_TraitDi[#Data],COLUMN(T_TraitDi[Mardi]),FALSE),"")</f>
        <v>S</v>
      </c>
      <c r="AH311" s="284" t="str">
        <f>IF(VLOOKUP(T_Convention[[#This Row],[NumL]],T_TraitDi[#Data],COLUMN(T_TraitDi[Colonne1]),FALSE)=0,"",TEXT(IFERROR(VLOOKUP(T_Convention[[#This Row],[NumL]],T_TraitDi[#Data],COLUMN(T_TraitDi[Colonne1]),FALSE),""),"[hh]:mm"))</f>
        <v>09:00</v>
      </c>
      <c r="AI311" s="284" t="str">
        <f>IF(VLOOKUP(T_Convention[[#This Row],[NumL]],T_TraitDi[#Data],COLUMN(T_TraitDi[Colonne9]),FALSE)=0,"",TEXT(IFERROR(VLOOKUP(T_Convention[[#This Row],[NumL]],T_TraitDi[#Data],COLUMN(T_TraitDi[Colonne9]),FALSE),""),"[hh]:mm"))</f>
        <v>13:00</v>
      </c>
      <c r="AJ311" s="284" t="str">
        <f>IFERROR(VLOOKUP(T_Convention[[#This Row],[NumL]],T_TraitDi[#Data],COLUMN(T_TraitDi[Colonne10]),FALSE),"")</f>
        <v>S</v>
      </c>
      <c r="AK311" s="284" t="str">
        <f>IF(VLOOKUP(T_Convention[[#This Row],[NumL]],T_TraitDi[#Data],COLUMN(T_TraitDi[Colonne11]),FALSE)=0,"",TEXT(IFERROR(VLOOKUP(T_Convention[[#This Row],[NumL]],T_TraitDi[#Data],COLUMN(T_TraitDi[Colonne11]),FALSE),""),"[hh]:mm"))</f>
        <v>14:00</v>
      </c>
      <c r="AL311" s="284" t="str">
        <f>IF(VLOOKUP(T_Convention[[#This Row],[NumL]],T_TraitDi[#Data],COLUMN(T_TraitDi[Colonne12]),FALSE)=0,"",TEXT(IFERROR(VLOOKUP(T_Convention[[#This Row],[NumL]],T_TraitDi[#Data],COLUMN(T_TraitDi[Colonne12]),FALSE),""),"[hh]:mm"))</f>
        <v>17:30</v>
      </c>
      <c r="AM311" s="284" t="str">
        <f>IF(VLOOKUP(T_Convention[[#This Row],[NumL]],T_TraitDi[#Data],COLUMN(T_TraitDi[Colonne14]),FALSE)=0,"",TEXT(IFERROR(VLOOKUP(T_Convention[[#This Row],[NumL]],T_TraitDi[#Data],COLUMN(T_TraitDi[Colonne14]),FALSE),""),"[hh]:mm"))</f>
        <v>07:30</v>
      </c>
      <c r="AN311" s="284" t="str">
        <f>IFERROR(VLOOKUP(T_Convention[[#This Row],[NumL]],T_TraitDi[#Data],COLUMN(T_TraitDi[Mercredi]),FALSE),"")</f>
        <v>T</v>
      </c>
      <c r="AO311" s="284" t="str">
        <f>IF(VLOOKUP(T_Convention[[#This Row],[NumL]],T_TraitDi[#Data],COLUMN(T_TraitDi[Colonne15]),FALSE)=0,"",TEXT(IFERROR(VLOOKUP(T_Convention[[#This Row],[NumL]],T_TraitDi[#Data],COLUMN(T_TraitDi[Colonne15]),FALSE),""),"[hh]:mm"))</f>
        <v>09:00</v>
      </c>
      <c r="AP311" s="284" t="str">
        <f>IF(VLOOKUP(T_Convention[[#This Row],[NumL]],T_TraitDi[#Data],COLUMN(T_TraitDi[Colonne16]),FALSE)=0,"",TEXT(IFERROR(VLOOKUP(T_Convention[[#This Row],[NumL]],T_TraitDi[#Data],COLUMN(T_TraitDi[Colonne16]),FALSE),""),"[hh]:mm"))</f>
        <v>13:00</v>
      </c>
      <c r="AQ311" s="284" t="str">
        <f>IFERROR(VLOOKUP(T_Convention[[#This Row],[NumL]],T_TraitDi[#Data],COLUMN(T_TraitDi[Colonne17]),FALSE),"")</f>
        <v>T</v>
      </c>
      <c r="AR311" s="284" t="str">
        <f>IF(VLOOKUP(T_Convention[[#This Row],[NumL]],T_TraitDi[#Data],COLUMN(T_TraitDi[Colonne18]),FALSE)=0,"",TEXT(IFERROR(VLOOKUP(T_Convention[[#This Row],[NumL]],T_TraitDi[#Data],COLUMN(T_TraitDi[Colonne18]),FALSE),""),"[hh]:mm"))</f>
        <v>14:00</v>
      </c>
      <c r="AS311" s="284" t="str">
        <f>IF(VLOOKUP(T_Convention[[#This Row],[NumL]],T_TraitDi[#Data],COLUMN(T_TraitDi[Colonne19]),FALSE)=0,"",TEXT(IFERROR(VLOOKUP(T_Convention[[#This Row],[NumL]],T_TraitDi[#Data],COLUMN(T_TraitDi[Colonne19]),FALSE),""),"[hh]:mm"))</f>
        <v>17:35</v>
      </c>
      <c r="AT311" s="284" t="str">
        <f>IF(VLOOKUP(T_Convention[[#This Row],[NumL]],T_TraitDi[#Data],COLUMN(T_TraitDi[Colonne20]),FALSE)=0,"",TEXT(IFERROR(VLOOKUP(T_Convention[[#This Row],[NumL]],T_TraitDi[#Data],COLUMN(T_TraitDi[Colonne20]),FALSE),""),"[hh]:mm"))</f>
        <v>07:35</v>
      </c>
      <c r="AU311" s="284" t="str">
        <f>IFERROR(VLOOKUP(T_Convention[[#This Row],[NumL]],T_TraitDi[#Data],COLUMN(T_TraitDi[Jeudi]),FALSE),"")</f>
        <v>S</v>
      </c>
      <c r="AV311" s="284" t="str">
        <f>IF(VLOOKUP(T_Convention[[#This Row],[NumL]],T_TraitDi[#Data],COLUMN(T_TraitDi[Colonne21]),FALSE)=0,"",TEXT(IFERROR(VLOOKUP(T_Convention[[#This Row],[NumL]],T_TraitDi[#Data],COLUMN(T_TraitDi[Colonne21]),FALSE),""),"[hh]:mm"))</f>
        <v>09:00</v>
      </c>
      <c r="AW311" s="284" t="str">
        <f>IF(VLOOKUP(T_Convention[[#This Row],[NumL]],T_TraitDi[#Data],COLUMN(T_TraitDi[Colonne22]),FALSE)=0,"",TEXT(IFERROR(VLOOKUP(T_Convention[[#This Row],[NumL]],T_TraitDi[#Data],COLUMN(T_TraitDi[Colonne22]),FALSE),""),"[hh]:mm"))</f>
        <v>13:00</v>
      </c>
      <c r="AX311" s="284" t="str">
        <f>IFERROR(VLOOKUP(T_Convention[[#This Row],[NumL]],T_TraitDi[#Data],COLUMN(T_TraitDi[Colonne23]),FALSE),"")</f>
        <v>S</v>
      </c>
      <c r="AY311" s="284" t="str">
        <f>IF(VLOOKUP(T_Convention[[#This Row],[NumL]],T_TraitDi[#Data],COLUMN(T_TraitDi[Colonne24]),FALSE)=0,"",TEXT(IFERROR(VLOOKUP(T_Convention[[#This Row],[NumL]],T_TraitDi[#Data],COLUMN(T_TraitDi[Colonne24]),FALSE),""),"[hh]:mm"))</f>
        <v>14:00</v>
      </c>
      <c r="AZ311" s="284" t="str">
        <f>IF(VLOOKUP(T_Convention[[#This Row],[NumL]],T_TraitDi[#Data],COLUMN(T_TraitDi[Colonne25]),FALSE)=0,"",TEXT(IFERROR(VLOOKUP(T_Convention[[#This Row],[NumL]],T_TraitDi[#Data],COLUMN(T_TraitDi[Colonne25]),FALSE),""),"[hh]:mm"))</f>
        <v>17:30</v>
      </c>
      <c r="BA311" s="284" t="str">
        <f>IF(VLOOKUP(T_Convention[[#This Row],[NumL]],T_TraitDi[#Data],COLUMN(T_TraitDi[Colonne26]),FALSE)=0,"",TEXT(IFERROR(VLOOKUP(T_Convention[[#This Row],[NumL]],T_TraitDi[#Data],COLUMN(T_TraitDi[Colonne26]),FALSE),""),"[hh]:mm"))</f>
        <v>07:30</v>
      </c>
      <c r="BB311" s="284" t="str">
        <f>IFERROR(VLOOKUP(T_Convention[[#This Row],[NumL]],T_TraitDi[#Data],COLUMN(T_TraitDi[Vendredi]),FALSE),"")</f>
        <v>S</v>
      </c>
      <c r="BC311" s="284" t="str">
        <f>IF(VLOOKUP(T_Convention[[#This Row],[NumL]],T_TraitDi[#Data],COLUMN(T_TraitDi[Colonne27]),FALSE)=0,"",TEXT(IFERROR(VLOOKUP(T_Convention[[#This Row],[NumL]],T_TraitDi[#Data],COLUMN(T_TraitDi[Colonne27]),FALSE),""),"[hh]:mm"))</f>
        <v>09:00</v>
      </c>
      <c r="BD311" s="284" t="str">
        <f>IF(VLOOKUP(T_Convention[[#This Row],[NumL]],T_TraitDi[#Data],COLUMN(T_TraitDi[Colonne28]),FALSE)=0,"",TEXT(IFERROR(VLOOKUP(T_Convention[[#This Row],[NumL]],T_TraitDi[#Data],COLUMN(T_TraitDi[Colonne28]),FALSE),""),"[hh]:mm"))</f>
        <v>13:00</v>
      </c>
      <c r="BE311" s="284" t="str">
        <f>IFERROR(VLOOKUP(T_Convention[[#This Row],[NumL]],T_TraitDi[#Data],COLUMN(T_TraitDi[Colonne29]),FALSE),"")</f>
        <v>S</v>
      </c>
      <c r="BF311" s="284" t="str">
        <f>IF(VLOOKUP(T_Convention[[#This Row],[NumL]],T_TraitDi[#Data],COLUMN(T_TraitDi[Colonne30]),FALSE)=0,"",TEXT(IFERROR(VLOOKUP(T_Convention[[#This Row],[NumL]],T_TraitDi[#Data],COLUMN(T_TraitDi[Colonne30]),FALSE),""),"[hh]:mm"))</f>
        <v>14:00</v>
      </c>
      <c r="BG311" s="284" t="str">
        <f>IF(VLOOKUP(T_Convention[[#This Row],[NumL]],T_TraitDi[#Data],COLUMN(T_TraitDi[Colonne31]),FALSE)=0,"",TEXT(IFERROR(VLOOKUP(T_Convention[[#This Row],[NumL]],T_TraitDi[#Data],COLUMN(T_TraitDi[Colonne31]),FALSE),""),"[hh]:mm"))</f>
        <v>17:15</v>
      </c>
      <c r="BH311" s="284" t="str">
        <f>IF(VLOOKUP(T_Convention[[#This Row],[NumL]],T_TraitDi[#Data],COLUMN(T_TraitDi[Colonne32]),FALSE)=0,"",TEXT(IFERROR(VLOOKUP(T_Convention[[#This Row],[NumL]],T_TraitDi[#Data],COLUMN(T_TraitDi[Colonne32]),FALSE),""),"[hh]:mm"))</f>
        <v>07:15</v>
      </c>
      <c r="BI311" s="284">
        <f>IFERROR(VLOOKUP(T_Convention[[#This Row],[NumL]],T_TraitDi[#Data],COLUMN(T_TraitDi[NbJTW]),FALSE),"")</f>
        <v>1</v>
      </c>
      <c r="BJ311" s="284" t="str">
        <f>IF(VLOOKUP(T_Convention[[#This Row],[NumL]],T_TraitDi[#Data],COLUMN(T_TraitDi[NbhTW]),FALSE)=0,"",TEXT(IFERROR(VLOOKUP(T_Convention[[#This Row],[NumL]],T_TraitDi[#Data],COLUMN(T_TraitDi[NbhTW]),FALSE),""),"[hh]:mm"))</f>
        <v>07:35</v>
      </c>
      <c r="BK311" s="286" t="str">
        <f>IF(VLOOKUP(T_Convention[[#This Row],[NumL]],T_TraitDi[#Data],COLUMN(T_TraitDi[Nbhheb]),FALSE)=0,"",TEXT(IFERROR(VLOOKUP(T_Convention[[#This Row],[NumL]],T_TraitDi[#Data],COLUMN(T_TraitDi[Nbhheb]),FALSE),""),"[hh]:mm"))</f>
        <v>37:05</v>
      </c>
      <c r="BL311" s="287" t="str">
        <f>IFERROR(VLOOKUP(VLOOKUP(T_Convention[[#This Row],[NumL]],T_TraitDi[#Data],COLUMN(T_TraitDi[Type1]),FALSE),TypeTW,2,FALSE),"")</f>
        <v>son domicile (lieu de résidence habituelle du télétravailleur)</v>
      </c>
      <c r="BM311" s="288" t="str">
        <f>IFERROR(VLOOKUP(T_Convention[[#This Row],[NumL]],T_TraitDi[#Data],COLUMN(T_TraitDi[Rue1]),FALSE),"")</f>
        <v>24 rue Simon Jallade</v>
      </c>
      <c r="BN311" s="289" t="str">
        <f>IFERROR(VLOOKUP(T_Convention[[#This Row],[NumL]],T_TraitDi[#Data],COLUMN(T_TraitDi[CP1]),FALSE),"")</f>
        <v>69110</v>
      </c>
      <c r="BO311" s="282" t="str">
        <f>IFERROR(VLOOKUP(T_Convention[[#This Row],[NumL]],T_TraitDi[#Data],COLUMN(T_TraitDi[VILLE1]),FALSE),"")</f>
        <v>SAINTE FOY LES LYON</v>
      </c>
      <c r="BP311" s="290" t="str">
        <f>IFERROR(VLOOKUP(VLOOKUP(T_Convention[[#This Row],[NumL]],T_TraitDi[#Data],COLUMN(T_TraitDi[Type2]),FALSE),TypeTW,2,FALSE),"")</f>
        <v/>
      </c>
      <c r="BQ311" s="182" t="str">
        <f>IFERROR(VLOOKUP(T_Convention[[#This Row],[NumL]],T_TraitDi[#Data],COLUMN(T_TraitDi[Rue2]),FALSE),"")</f>
        <v>Sans objet</v>
      </c>
      <c r="BR311" s="173" t="str">
        <f>IFERROR(VLOOKUP(T_Convention[[#This Row],[NumL]],T_TraitDi[#Data],COLUMN(T_TraitDi[CP2]),FALSE),"")</f>
        <v xml:space="preserve"> </v>
      </c>
      <c r="BS311" s="173" t="str">
        <f>IFERROR(VLOOKUP(T_Convention[[#This Row],[NumL]],T_TraitDi[#Data],COLUMN(T_TraitDi[VILLE2]),FALSE),"")</f>
        <v xml:space="preserve">  </v>
      </c>
      <c r="BT311" s="182" t="str">
        <f>IF(VLOOKUP(T_Convention[[#This Row],[NumL]],T_Equipement[#Data],COLUMN(T_Equipement[PC]),FALSE)="","Aucun équipement spécifique directement lié au télétravail",VLOOKUP(T_Convention[[#This Row],[NumL]],T_Equipement[#Data],COLUMN(T_Equipement[PC]),FALSE))</f>
        <v xml:space="preserve">20-444	</v>
      </c>
      <c r="BU311" s="166" t="str">
        <f>IFERROR(IF(VLOOKUP(T_Convention[[#This Row],[NumL]],T_TraitDi[#Data],COLUMN(T_TraitDi[Plan]),FALSE)="OK","Un planning spécifique de télétravail est annexé à la présente convention.",""),"")</f>
        <v/>
      </c>
      <c r="BV311" s="185"/>
      <c r="BW311" s="164" t="str">
        <f>IF(VLOOKUP(T_Convention[[#This Row],[NumL]],T_suiviDi[#Data],COLUMN(T_suiviDi[Entité]),FALSE)="","",VLOOKUP(T_Convention[[#This Row],[NumL]],T_suiviDi[#Data],COLUMN(T_suiviDi[Entité]),FALSE))</f>
        <v>Droit</v>
      </c>
      <c r="BX311" s="164" t="str">
        <f>IF(VLOOKUP(T_Convention[[#This Row],[NumL]],T_Commission[#Data],COLUMN(T_Commission[envoi confirm TW]),FALSE)="","",VLOOKUP(T_Convention[[#This Row],[NumL]],T_Commission[#Data],COLUMN(T_Commission[envoi confirm TW]),FALSE))</f>
        <v>Oui</v>
      </c>
      <c r="BY311"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1" s="264">
        <f>VLOOKUP(T_Convention[[#This Row],[NumL]],T_Commission[#Data],COLUMN(T_Commission[Commentaire]),FALSE)</f>
        <v>0</v>
      </c>
      <c r="CA311" s="254" t="str">
        <f>IF(VLOOKUP(T_Convention[[#This Row],[NumL]],T_Commission[#Data],COLUMN(T_Commission[Encadrant Email]),FALSE)="","",VLOOKUP(T_Convention[[#This Row],[NumL]],T_Commission[#Data],COLUMN(T_Commission[Encadrant Email]),FALSE))</f>
        <v/>
      </c>
      <c r="CB311" s="352">
        <f>VLOOKUP(T_Convention[[#This Row],[NumL]],T_TraitDi[#Data],COLUMN(T_TraitDi[NbJTot]),FALSE)</f>
        <v>5</v>
      </c>
      <c r="CC311" s="352" t="str">
        <f>VLOOKUP(T_Convention[[#This Row],[NumL]],T_TraitDi[#Data],COLUMN(T_TraitDi[Reg Ponct]),FALSE)</f>
        <v>R</v>
      </c>
      <c r="CD311" s="348" t="str">
        <f>IF(T_Convention[[#This Row],[Final]]&lt;&gt;"",VLOOKUP(T_Convention[[#This Row],[NumL]],T_suiviDi[#Data],COLUMN((T_suiviDi[Statut])),FALSE),"")</f>
        <v>ENCOURS</v>
      </c>
    </row>
    <row r="312" spans="1:82" s="50" customFormat="1" ht="18.75" customHeight="1" x14ac:dyDescent="0.25">
      <c r="A312" s="160">
        <v>296</v>
      </c>
      <c r="B312" s="281" t="str">
        <f>VLOOKUP(T_Convention[[#This Row],[NumL]],T_Commission[#Data],COLUMN(T_Commission[FINAL]),FALSE)</f>
        <v/>
      </c>
      <c r="C312" s="162"/>
      <c r="D312" s="95" t="str">
        <f>IF(VLOOKUP(T_Convention[[#This Row],[NumL]],T_TraitDi[#Data],COLUMN(T_TraitDi[WebC]),FALSE)="","",VLOOKUP(T_Convention[[#This Row],[NumL]],T_TraitDi[#Data],COLUMN(T_TraitDi[WebC]),FALSE))</f>
        <v>WG</v>
      </c>
      <c r="E312" s="163" t="str">
        <f t="shared" si="20"/>
        <v>12 janvier 2021</v>
      </c>
      <c r="F312" s="282" t="str">
        <f>IF(T_Convention[[#This Row],[Final]]&lt;&gt;"",VLOOKUP(T_Convention[[#This Row],[NumL]],T_suiviDi[#Data],COLUMN((T_suiviDi[Civ.])),FALSE),"")</f>
        <v/>
      </c>
      <c r="G312" s="283" t="str">
        <f>IF(T_Convention[[#This Row],[Final]]&lt;&gt;"",VLOOKUP(T_Convention[[#This Row],[NumL]],T_suiviDi[#Data],COLUMN((T_suiviDi[Nom])),FALSE),"")</f>
        <v/>
      </c>
      <c r="H312" s="282" t="str">
        <f>IF(T_Convention[[#This Row],[Final]]&lt;&gt;"",VLOOKUP(T_Convention[[#This Row],[NumL]],T_suiviDi[#Data],COLUMN((T_suiviDi[Prénom])),FALSE),"")</f>
        <v/>
      </c>
      <c r="I312" s="282" t="e">
        <f>VLOOKUP(T_Convention[[#This Row],[NumL]],T_suiviDi[#Data],COLUMN((T_suiviDi[[#This Row],[Email]])),FALSE)</f>
        <v>#VALUE!</v>
      </c>
      <c r="J312" s="282" t="e">
        <f>IF(VLOOKUP(T_Convention[[#This Row],[NumL]],T_suiviDi[#Data],COLUMN(T_suiviDi[[#This Row],[Fonction]]),FALSE)="","",VLOOKUP(T_Convention[[#This Row],[NumL]],T_suiviDi[#Data],COLUMN(T_suiviDi[[#This Row],[Fonction]]),FALSE))</f>
        <v>#VALUE!</v>
      </c>
      <c r="K312" s="282" t="e">
        <f>IF(VLOOKUP(T_Convention[[#This Row],[NumL]],T_suiviDi[#Data],COLUMN(T_suiviDi[[#This Row],[Grade]]),FALSE)="","",VLOOKUP(T_Convention[[#This Row],[NumL]],T_suiviDi[#Data],COLUMN(T_suiviDi[[#This Row],[Grade]]),FALSE))</f>
        <v>#VALUE!</v>
      </c>
      <c r="L312" s="282" t="e">
        <f>IF(VLOOKUP(T_Convention[[#This Row],[NumL]],T_suiviDi[#Data],COLUMN(T_suiviDi[[#This Row],[Service ]]),FALSE)="","",VLOOKUP(T_Convention[[#This Row],[NumL]],T_suiviDi[#Data],COLUMN(T_suiviDi[[#This Row],[Service ]]),FALSE))</f>
        <v>#VALUE!</v>
      </c>
      <c r="M312" s="314" t="str">
        <f t="shared" si="21"/>
        <v>01 septembre 2021</v>
      </c>
      <c r="N312" s="314" t="str">
        <f t="shared" si="22"/>
        <v>30 novembre 2021</v>
      </c>
      <c r="O312" s="284" t="str">
        <f t="shared" si="23"/>
        <v>30 novembre 2021</v>
      </c>
      <c r="P312" s="282" t="str">
        <f>IF(VLOOKUP(T_Convention[[#This Row],[NumL]],T_TraitDi[#Data],COLUMN(T_TraitDi[M1]),FALSE)="","",VLOOKUP(T_Convention[[#This Row],[NumL]],T_TraitDi[#Data],COLUMN(T_TraitDi[M1]),FALSE))</f>
        <v>Gestion financière</v>
      </c>
      <c r="Q312" s="282" t="str">
        <f>IF(VLOOKUP(T_Convention[[#This Row],[NumL]],T_TraitDi[#Data],COLUMN(T_TraitDi[M2]),FALSE)="","",VLOOKUP(T_Convention[[#This Row],[NumL]],T_TraitDi[#Data],COLUMN(T_TraitDi[M2]),FALSE))</f>
        <v xml:space="preserve">Suivis marchés </v>
      </c>
      <c r="R312" s="282" t="str">
        <f>IF(VLOOKUP(T_Convention[[#This Row],[NumL]],T_TraitDi[#Data],COLUMN(T_TraitDi[M3]),FALSE)="","",VLOOKUP(T_Convention[[#This Row],[NumL]],T_TraitDi[#Data],COLUMN(T_TraitDi[M3]),FALSE))</f>
        <v>Suivi des conventions</v>
      </c>
      <c r="S312" s="282" t="str">
        <f>IF(VLOOKUP(T_Convention[[#This Row],[NumL]],T_TraitDi[#Data],COLUMN(T_TraitDi[M4]),FALSE)="","",VLOOKUP(T_Convention[[#This Row],[NumL]],T_TraitDi[#Data],COLUMN(T_TraitDi[M4]),FALSE))</f>
        <v/>
      </c>
      <c r="T312" s="282" t="str">
        <f>IF(VLOOKUP(T_Convention[[#This Row],[NumL]],T_TraitDi[#Data],COLUMN(T_TraitDi[M5]),FALSE)="","",VLOOKUP(T_Convention[[#This Row],[NumL]],T_TraitDi[#Data],COLUMN(T_TraitDi[M5]),FALSE))</f>
        <v/>
      </c>
      <c r="U312" s="282" t="str">
        <f>IF(VLOOKUP(T_Convention[[#This Row],[NumL]],T_TraitDi[#Data],COLUMN(T_TraitDi[M6]),FALSE)="","",VLOOKUP(T_Convention[[#This Row],[NumL]],T_TraitDi[#Data],COLUMN(T_TraitDi[M6]),FALSE))</f>
        <v/>
      </c>
      <c r="V312" s="314" t="str">
        <f t="shared" si="24"/>
        <v>Gestion financièreSuivis marchés Suivi des conventions</v>
      </c>
      <c r="W312" s="284" t="str">
        <f>IFERROR(TEXT(VLOOKUP(T_Convention[[#This Row],[NumL]],T_TraitDi[#Data],COLUMN(T_TraitDi[Q2]),FALSE),"###%"),"")</f>
        <v>100%</v>
      </c>
      <c r="X312" s="285" t="str">
        <f>VLOOKUP(T_Convention[[#This Row],[NumL]],T_TraitDi[#Data],COLUMN(T_TraitDi[Reg Ponct]),FALSE)</f>
        <v>R</v>
      </c>
      <c r="Y312" s="285">
        <f>VLOOKUP(T_Convention[NumL],T_TraitDi[#Data],COLUMN(T_TraitDi[Jours flottants]),FALSE)</f>
        <v>10</v>
      </c>
      <c r="Z312" s="284" t="str">
        <f>IFERROR(VLOOKUP(T_Convention[[#This Row],[NumL]],T_TraitDi[#Data],COLUMN(T_TraitDi[Lundi]),FALSE),"")</f>
        <v>S</v>
      </c>
      <c r="AA312" s="284" t="str">
        <f>IF(VLOOKUP(T_Convention[[#This Row],[NumL]],T_TraitDi[#Data],COLUMN(T_TraitDi[Colonne3]),FALSE)=0,"",TEXT(IFERROR(VLOOKUP(T_Convention[[#This Row],[NumL]],T_TraitDi[#Data],COLUMN(T_TraitDi[Colonne3]),FALSE),""),"[hh]:mm"))</f>
        <v>07:35</v>
      </c>
      <c r="AB312" s="284" t="str">
        <f>IF(VLOOKUP(T_Convention[[#This Row],[NumL]],T_TraitDi[#Data],COLUMN(T_TraitDi[Colonne4]),FALSE)=0,"",TEXT(IFERROR(VLOOKUP(T_Convention[[#This Row],[NumL]],T_TraitDi[#Data],COLUMN(T_TraitDi[Colonne4]),FALSE),""),"[hh]:mm"))</f>
        <v>12:05</v>
      </c>
      <c r="AC312" s="284" t="str">
        <f>IF(VLOOKUP(T_Convention[[#This Row],[NumL]],T_TraitDi[#Data],COLUMN(T_TraitDi[Colonne5]),FALSE)=0,"",TEXT(IFERROR(VLOOKUP(T_Convention[[#This Row],[NumL]],T_TraitDi[#Data],COLUMN(T_TraitDi[Colonne5]),FALSE),""),"[hh]:mm"))</f>
        <v>S</v>
      </c>
      <c r="AD312" s="284" t="str">
        <f>IF(VLOOKUP(T_Convention[[#This Row],[NumL]],T_TraitDi[#Data],COLUMN(T_TraitDi[Colonne6]),FALSE)=0,"",TEXT(IFERROR(VLOOKUP(T_Convention[[#This Row],[NumL]],T_TraitDi[#Data],COLUMN(T_TraitDi[Colonne6]),FALSE),""),"[hh]:mm"))</f>
        <v>13:05</v>
      </c>
      <c r="AE312" s="284" t="str">
        <f>IF(VLOOKUP(T_Convention[[#This Row],[NumL]],T_TraitDi[#Data],COLUMN(T_TraitDi[Colonne7]),FALSE)=0,"",TEXT(IFERROR(VLOOKUP(T_Convention[[#This Row],[NumL]],T_TraitDi[#Data],COLUMN(T_TraitDi[Colonne7]),FALSE),""),"[hh]:mm"))</f>
        <v>16:50</v>
      </c>
      <c r="AF312" s="284" t="str">
        <f>IF(VLOOKUP(T_Convention[[#This Row],[NumL]],T_TraitDi[#Data],COLUMN(T_TraitDi[Colonne8]),FALSE)=0,"",TEXT(IFERROR(VLOOKUP(T_Convention[[#This Row],[NumL]],T_TraitDi[#Data],COLUMN(T_TraitDi[Colonne8]),FALSE),""),"[hh]:mm"))</f>
        <v>08:15</v>
      </c>
      <c r="AG312" s="284" t="str">
        <f>IFERROR(VLOOKUP(T_Convention[[#This Row],[NumL]],T_TraitDi[#Data],COLUMN(T_TraitDi[Mardi]),FALSE),"")</f>
        <v>S</v>
      </c>
      <c r="AH312" s="284" t="str">
        <f>IF(VLOOKUP(T_Convention[[#This Row],[NumL]],T_TraitDi[#Data],COLUMN(T_TraitDi[Colonne1]),FALSE)=0,"",TEXT(IFERROR(VLOOKUP(T_Convention[[#This Row],[NumL]],T_TraitDi[#Data],COLUMN(T_TraitDi[Colonne1]),FALSE),""),"[hh]:mm"))</f>
        <v>07:35</v>
      </c>
      <c r="AI312" s="284" t="str">
        <f>IF(VLOOKUP(T_Convention[[#This Row],[NumL]],T_TraitDi[#Data],COLUMN(T_TraitDi[Colonne9]),FALSE)=0,"",TEXT(IFERROR(VLOOKUP(T_Convention[[#This Row],[NumL]],T_TraitDi[#Data],COLUMN(T_TraitDi[Colonne9]),FALSE),""),"[hh]:mm"))</f>
        <v>12:05</v>
      </c>
      <c r="AJ312" s="284" t="str">
        <f>IFERROR(VLOOKUP(T_Convention[[#This Row],[NumL]],T_TraitDi[#Data],COLUMN(T_TraitDi[Colonne10]),FALSE),"")</f>
        <v>S</v>
      </c>
      <c r="AK312" s="284" t="str">
        <f>IF(VLOOKUP(T_Convention[[#This Row],[NumL]],T_TraitDi[#Data],COLUMN(T_TraitDi[Colonne11]),FALSE)=0,"",TEXT(IFERROR(VLOOKUP(T_Convention[[#This Row],[NumL]],T_TraitDi[#Data],COLUMN(T_TraitDi[Colonne11]),FALSE),""),"[hh]:mm"))</f>
        <v>13:05</v>
      </c>
      <c r="AL312" s="284" t="str">
        <f>IF(VLOOKUP(T_Convention[[#This Row],[NumL]],T_TraitDi[#Data],COLUMN(T_TraitDi[Colonne12]),FALSE)=0,"",TEXT(IFERROR(VLOOKUP(T_Convention[[#This Row],[NumL]],T_TraitDi[#Data],COLUMN(T_TraitDi[Colonne12]),FALSE),""),"[hh]:mm"))</f>
        <v>16:50</v>
      </c>
      <c r="AM312" s="284" t="str">
        <f>IF(VLOOKUP(T_Convention[[#This Row],[NumL]],T_TraitDi[#Data],COLUMN(T_TraitDi[Colonne14]),FALSE)=0,"",TEXT(IFERROR(VLOOKUP(T_Convention[[#This Row],[NumL]],T_TraitDi[#Data],COLUMN(T_TraitDi[Colonne14]),FALSE),""),"[hh]:mm"))</f>
        <v>08:15</v>
      </c>
      <c r="AN312" s="284" t="str">
        <f>IFERROR(VLOOKUP(T_Convention[[#This Row],[NumL]],T_TraitDi[#Data],COLUMN(T_TraitDi[Mercredi]),FALSE),"")</f>
        <v>S</v>
      </c>
      <c r="AO312" s="284" t="str">
        <f>IF(VLOOKUP(T_Convention[[#This Row],[NumL]],T_TraitDi[#Data],COLUMN(T_TraitDi[Colonne15]),FALSE)=0,"",TEXT(IFERROR(VLOOKUP(T_Convention[[#This Row],[NumL]],T_TraitDi[#Data],COLUMN(T_TraitDi[Colonne15]),FALSE),""),"[hh]:mm"))</f>
        <v>07:35</v>
      </c>
      <c r="AP312" s="284" t="str">
        <f>IF(VLOOKUP(T_Convention[[#This Row],[NumL]],T_TraitDi[#Data],COLUMN(T_TraitDi[Colonne16]),FALSE)=0,"",TEXT(IFERROR(VLOOKUP(T_Convention[[#This Row],[NumL]],T_TraitDi[#Data],COLUMN(T_TraitDi[Colonne16]),FALSE),""),"[hh]:mm"))</f>
        <v>12:05</v>
      </c>
      <c r="AQ312" s="284" t="str">
        <f>IFERROR(VLOOKUP(T_Convention[[#This Row],[NumL]],T_TraitDi[#Data],COLUMN(T_TraitDi[Colonne17]),FALSE),"")</f>
        <v>S</v>
      </c>
      <c r="AR312" s="284" t="str">
        <f>IF(VLOOKUP(T_Convention[[#This Row],[NumL]],T_TraitDi[#Data],COLUMN(T_TraitDi[Colonne18]),FALSE)=0,"",TEXT(IFERROR(VLOOKUP(T_Convention[[#This Row],[NumL]],T_TraitDi[#Data],COLUMN(T_TraitDi[Colonne18]),FALSE),""),"[hh]:mm"))</f>
        <v>13:05</v>
      </c>
      <c r="AS312" s="284" t="str">
        <f>IF(VLOOKUP(T_Convention[[#This Row],[NumL]],T_TraitDi[#Data],COLUMN(T_TraitDi[Colonne19]),FALSE)=0,"",TEXT(IFERROR(VLOOKUP(T_Convention[[#This Row],[NumL]],T_TraitDi[#Data],COLUMN(T_TraitDi[Colonne19]),FALSE),""),"[hh]:mm"))</f>
        <v>16:50</v>
      </c>
      <c r="AT312" s="284" t="str">
        <f>IF(VLOOKUP(T_Convention[[#This Row],[NumL]],T_TraitDi[#Data],COLUMN(T_TraitDi[Colonne20]),FALSE)=0,"",TEXT(IFERROR(VLOOKUP(T_Convention[[#This Row],[NumL]],T_TraitDi[#Data],COLUMN(T_TraitDi[Colonne20]),FALSE),""),"[hh]:mm"))</f>
        <v>08:15</v>
      </c>
      <c r="AU312" s="284" t="str">
        <f>IFERROR(VLOOKUP(T_Convention[[#This Row],[NumL]],T_TraitDi[#Data],COLUMN(T_TraitDi[Jeudi]),FALSE),"")</f>
        <v>S</v>
      </c>
      <c r="AV312" s="284" t="str">
        <f>IF(VLOOKUP(T_Convention[[#This Row],[NumL]],T_TraitDi[#Data],COLUMN(T_TraitDi[Colonne21]),FALSE)=0,"",TEXT(IFERROR(VLOOKUP(T_Convention[[#This Row],[NumL]],T_TraitDi[#Data],COLUMN(T_TraitDi[Colonne21]),FALSE),""),"[hh]:mm"))</f>
        <v>07:35</v>
      </c>
      <c r="AW312" s="284" t="str">
        <f>IF(VLOOKUP(T_Convention[[#This Row],[NumL]],T_TraitDi[#Data],COLUMN(T_TraitDi[Colonne22]),FALSE)=0,"",TEXT(IFERROR(VLOOKUP(T_Convention[[#This Row],[NumL]],T_TraitDi[#Data],COLUMN(T_TraitDi[Colonne22]),FALSE),""),"[hh]:mm"))</f>
        <v>12:05</v>
      </c>
      <c r="AX312" s="284" t="str">
        <f>IFERROR(VLOOKUP(T_Convention[[#This Row],[NumL]],T_TraitDi[#Data],COLUMN(T_TraitDi[Colonne23]),FALSE),"")</f>
        <v>S</v>
      </c>
      <c r="AY312" s="284" t="str">
        <f>IF(VLOOKUP(T_Convention[[#This Row],[NumL]],T_TraitDi[#Data],COLUMN(T_TraitDi[Colonne24]),FALSE)=0,"",TEXT(IFERROR(VLOOKUP(T_Convention[[#This Row],[NumL]],T_TraitDi[#Data],COLUMN(T_TraitDi[Colonne24]),FALSE),""),"[hh]:mm"))</f>
        <v>13:05</v>
      </c>
      <c r="AZ312" s="284" t="str">
        <f>IF(VLOOKUP(T_Convention[[#This Row],[NumL]],T_TraitDi[#Data],COLUMN(T_TraitDi[Colonne25]),FALSE)=0,"",TEXT(IFERROR(VLOOKUP(T_Convention[[#This Row],[NumL]],T_TraitDi[#Data],COLUMN(T_TraitDi[Colonne25]),FALSE),""),"[hh]:mm"))</f>
        <v>16:50</v>
      </c>
      <c r="BA312" s="284" t="str">
        <f>IF(VLOOKUP(T_Convention[[#This Row],[NumL]],T_TraitDi[#Data],COLUMN(T_TraitDi[Colonne26]),FALSE)=0,"",TEXT(IFERROR(VLOOKUP(T_Convention[[#This Row],[NumL]],T_TraitDi[#Data],COLUMN(T_TraitDi[Colonne26]),FALSE),""),"[hh]:mm"))</f>
        <v>08:15</v>
      </c>
      <c r="BB312" s="284" t="str">
        <f>IFERROR(VLOOKUP(T_Convention[[#This Row],[NumL]],T_TraitDi[#Data],COLUMN(T_TraitDi[Vendredi]),FALSE),"")</f>
        <v>T</v>
      </c>
      <c r="BC312" s="284" t="str">
        <f>IF(VLOOKUP(T_Convention[[#This Row],[NumL]],T_TraitDi[#Data],COLUMN(T_TraitDi[Colonne27]),FALSE)=0,"",TEXT(IFERROR(VLOOKUP(T_Convention[[#This Row],[NumL]],T_TraitDi[#Data],COLUMN(T_TraitDi[Colonne27]),FALSE),""),"[hh]:mm"))</f>
        <v>07:35</v>
      </c>
      <c r="BD312" s="284" t="str">
        <f>IF(VLOOKUP(T_Convention[[#This Row],[NumL]],T_TraitDi[#Data],COLUMN(T_TraitDi[Colonne28]),FALSE)=0,"",TEXT(IFERROR(VLOOKUP(T_Convention[[#This Row],[NumL]],T_TraitDi[#Data],COLUMN(T_TraitDi[Colonne28]),FALSE),""),"[hh]:mm"))</f>
        <v>11:40</v>
      </c>
      <c r="BE312" s="284" t="str">
        <f>IFERROR(VLOOKUP(T_Convention[[#This Row],[NumL]],T_TraitDi[#Data],COLUMN(T_TraitDi[Colonne29]),FALSE),"")</f>
        <v>A</v>
      </c>
      <c r="BF312" s="284" t="str">
        <f>IF(VLOOKUP(T_Convention[[#This Row],[NumL]],T_TraitDi[#Data],COLUMN(T_TraitDi[Colonne30]),FALSE)=0,"",TEXT(IFERROR(VLOOKUP(T_Convention[[#This Row],[NumL]],T_TraitDi[#Data],COLUMN(T_TraitDi[Colonne30]),FALSE),""),"[hh]:mm"))</f>
        <v/>
      </c>
      <c r="BG312" s="284" t="str">
        <f>IF(VLOOKUP(T_Convention[[#This Row],[NumL]],T_TraitDi[#Data],COLUMN(T_TraitDi[Colonne31]),FALSE)=0,"",TEXT(IFERROR(VLOOKUP(T_Convention[[#This Row],[NumL]],T_TraitDi[#Data],COLUMN(T_TraitDi[Colonne31]),FALSE),""),"[hh]:mm"))</f>
        <v/>
      </c>
      <c r="BH312" s="284" t="str">
        <f>IF(VLOOKUP(T_Convention[[#This Row],[NumL]],T_TraitDi[#Data],COLUMN(T_TraitDi[Colonne32]),FALSE)=0,"",TEXT(IFERROR(VLOOKUP(T_Convention[[#This Row],[NumL]],T_TraitDi[#Data],COLUMN(T_TraitDi[Colonne32]),FALSE),""),"[hh]:mm"))</f>
        <v>04:05</v>
      </c>
      <c r="BI312" s="284">
        <f>IFERROR(VLOOKUP(T_Convention[[#This Row],[NumL]],T_TraitDi[#Data],COLUMN(T_TraitDi[NbJTW]),FALSE),"")</f>
        <v>0.5</v>
      </c>
      <c r="BJ312" s="284" t="str">
        <f>IF(VLOOKUP(T_Convention[[#This Row],[NumL]],T_TraitDi[#Data],COLUMN(T_TraitDi[NbhTW]),FALSE)=0,"",TEXT(IFERROR(VLOOKUP(T_Convention[[#This Row],[NumL]],T_TraitDi[#Data],COLUMN(T_TraitDi[NbhTW]),FALSE),""),"[hh]:mm"))</f>
        <v>04:05</v>
      </c>
      <c r="BK312" s="286" t="str">
        <f>IF(VLOOKUP(T_Convention[[#This Row],[NumL]],T_TraitDi[#Data],COLUMN(T_TraitDi[Nbhheb]),FALSE)=0,"",TEXT(IFERROR(VLOOKUP(T_Convention[[#This Row],[NumL]],T_TraitDi[#Data],COLUMN(T_TraitDi[Nbhheb]),FALSE),""),"[hh]:mm"))</f>
        <v>37:05</v>
      </c>
      <c r="BL312" s="287" t="str">
        <f>IFERROR(VLOOKUP(VLOOKUP(T_Convention[[#This Row],[NumL]],T_TraitDi[#Data],COLUMN(T_TraitDi[Type1]),FALSE),TypeTW,2,FALSE),"")</f>
        <v>son domicile (lieu de résidence habituelle du télétravailleur)</v>
      </c>
      <c r="BM312" s="288" t="str">
        <f>IFERROR(VLOOKUP(T_Convention[[#This Row],[NumL]],T_TraitDi[#Data],COLUMN(T_TraitDi[Rue1]),FALSE),"")</f>
        <v>107, Cours Gambetta</v>
      </c>
      <c r="BN312" s="289" t="str">
        <f>IFERROR(VLOOKUP(T_Convention[[#This Row],[NumL]],T_TraitDi[#Data],COLUMN(T_TraitDi[CP1]),FALSE),"")</f>
        <v>69003</v>
      </c>
      <c r="BO312" s="282" t="str">
        <f>IFERROR(VLOOKUP(T_Convention[[#This Row],[NumL]],T_TraitDi[#Data],COLUMN(T_TraitDi[VILLE1]),FALSE),"")</f>
        <v>LYON</v>
      </c>
      <c r="BP312" s="290" t="str">
        <f>IFERROR(VLOOKUP(VLOOKUP(T_Convention[[#This Row],[NumL]],T_TraitDi[#Data],COLUMN(T_TraitDi[Type2]),FALSE),TypeTW,2,FALSE),"")</f>
        <v/>
      </c>
      <c r="BQ312" s="182" t="str">
        <f>IFERROR(VLOOKUP(T_Convention[[#This Row],[NumL]],T_TraitDi[#Data],COLUMN(T_TraitDi[Rue2]),FALSE),"")</f>
        <v>Sans objet</v>
      </c>
      <c r="BR312" s="173">
        <f>IFERROR(VLOOKUP(T_Convention[[#This Row],[NumL]],T_TraitDi[#Data],COLUMN(T_TraitDi[CP2]),FALSE),"")</f>
        <v>0</v>
      </c>
      <c r="BS312" s="173">
        <f>IFERROR(VLOOKUP(T_Convention[[#This Row],[NumL]],T_TraitDi[#Data],COLUMN(T_TraitDi[VILLE2]),FALSE),"")</f>
        <v>0</v>
      </c>
      <c r="BT312" s="182"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12" s="166" t="str">
        <f>IFERROR(IF(VLOOKUP(T_Convention[[#This Row],[NumL]],T_TraitDi[#Data],COLUMN(T_TraitDi[Plan]),FALSE)="OK","Un planning spécifique de télétravail est annexé à la présente convention.",""),"")</f>
        <v/>
      </c>
      <c r="BV312" s="291"/>
      <c r="BW312" s="292" t="str">
        <f>IF(VLOOKUP(T_Convention[[#This Row],[NumL]],T_suiviDi[#Data],COLUMN(T_suiviDi[Entité]),FALSE)="","",VLOOKUP(T_Convention[[#This Row],[NumL]],T_suiviDi[#Data],COLUMN(T_suiviDi[Entité]),FALSE))</f>
        <v>DIL</v>
      </c>
      <c r="BX312" s="164" t="str">
        <f>IF(VLOOKUP(T_Convention[[#This Row],[NumL]],T_Commission[#Data],COLUMN(T_Commission[envoi confirm TW]),FALSE)="","",VLOOKUP(T_Convention[[#This Row],[NumL]],T_Commission[#Data],COLUMN(T_Commission[envoi confirm TW]),FALSE))</f>
        <v>Oui</v>
      </c>
      <c r="BY312"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2" s="328">
        <f>VLOOKUP(T_Convention[[#This Row],[NumL]],T_Commission[#Data],COLUMN(T_Commission[Commentaire]),FALSE)</f>
        <v>0</v>
      </c>
      <c r="CA312" s="254" t="str">
        <f>IF(VLOOKUP(T_Convention[[#This Row],[NumL]],T_Commission[#Data],COLUMN(T_Commission[Encadrant Email]),FALSE)="","",VLOOKUP(T_Convention[[#This Row],[NumL]],T_Commission[#Data],COLUMN(T_Commission[Encadrant Email]),FALSE))</f>
        <v/>
      </c>
      <c r="CB312" s="352">
        <f>VLOOKUP(T_Convention[[#This Row],[NumL]],T_TraitDi[#Data],COLUMN(T_TraitDi[NbJTot]),FALSE)</f>
        <v>4.5</v>
      </c>
      <c r="CC312" s="352" t="str">
        <f>VLOOKUP(T_Convention[[#This Row],[NumL]],T_TraitDi[#Data],COLUMN(T_TraitDi[Reg Ponct]),FALSE)</f>
        <v>R</v>
      </c>
      <c r="CD312" s="348" t="str">
        <f>IF(T_Convention[[#This Row],[Final]]&lt;&gt;"",VLOOKUP(T_Convention[[#This Row],[NumL]],T_suiviDi[#Data],COLUMN((T_suiviDi[Statut])),FALSE),"")</f>
        <v/>
      </c>
    </row>
    <row r="313" spans="1:82" s="50" customFormat="1" ht="18.75" customHeight="1" x14ac:dyDescent="0.25">
      <c r="A313" s="160">
        <v>80</v>
      </c>
      <c r="B313" s="161">
        <f>VLOOKUP(T_Convention[[#This Row],[NumL]],T_Commission[#Data],COLUMN(T_Commission[FINAL]),FALSE)</f>
        <v>1</v>
      </c>
      <c r="C313" s="162"/>
      <c r="D313" s="95" t="str">
        <f>IF(VLOOKUP(T_Convention[[#This Row],[NumL]],T_TraitDi[#Data],COLUMN(T_TraitDi[WebC]),FALSE)="","",VLOOKUP(T_Convention[[#This Row],[NumL]],T_TraitDi[#Data],COLUMN(T_TraitDi[WebC]),FALSE))</f>
        <v>WG</v>
      </c>
      <c r="E313" s="163" t="str">
        <f t="shared" si="20"/>
        <v>12 janvier 2021</v>
      </c>
      <c r="F313" s="282" t="str">
        <f>IF(T_Convention[[#This Row],[Final]]&lt;&gt;"",VLOOKUP(T_Convention[[#This Row],[NumL]],T_suiviDi[#Data],COLUMN((T_suiviDi[Civ.])),FALSE),"")</f>
        <v>Mme</v>
      </c>
      <c r="G313" s="283" t="str">
        <f>IF(T_Convention[[#This Row],[Final]]&lt;&gt;"",VLOOKUP(T_Convention[[#This Row],[NumL]],T_suiviDi[#Data],COLUMN((T_suiviDi[Nom])),FALSE),"")</f>
        <v>A</v>
      </c>
      <c r="H313" s="282" t="str">
        <f>IF(T_Convention[[#This Row],[Final]]&lt;&gt;"",VLOOKUP(T_Convention[[#This Row],[NumL]],T_suiviDi[#Data],COLUMN((T_suiviDi[Prénom])),FALSE),"")</f>
        <v>Anne-Laure</v>
      </c>
      <c r="I313" s="282" t="e">
        <f>VLOOKUP(T_Convention[[#This Row],[NumL]],T_suiviDi[#Data],COLUMN((T_suiviDi[[#This Row],[Email]])),FALSE)</f>
        <v>#VALUE!</v>
      </c>
      <c r="J313" s="282" t="e">
        <f>IF(VLOOKUP(T_Convention[[#This Row],[NumL]],T_suiviDi[#Data],COLUMN(T_suiviDi[[#This Row],[Fonction]]),FALSE)="","",VLOOKUP(T_Convention[[#This Row],[NumL]],T_suiviDi[#Data],COLUMN(T_suiviDi[[#This Row],[Fonction]]),FALSE))</f>
        <v>#VALUE!</v>
      </c>
      <c r="K313" s="282" t="e">
        <f>IF(VLOOKUP(T_Convention[[#This Row],[NumL]],T_suiviDi[#Data],COLUMN(T_suiviDi[[#This Row],[Grade]]),FALSE)="","",VLOOKUP(T_Convention[[#This Row],[NumL]],T_suiviDi[#Data],COLUMN(T_suiviDi[[#This Row],[Grade]]),FALSE))</f>
        <v>#VALUE!</v>
      </c>
      <c r="L313" s="282" t="e">
        <f>IF(VLOOKUP(T_Convention[[#This Row],[NumL]],T_suiviDi[#Data],COLUMN(T_suiviDi[[#This Row],[Service ]]),FALSE)="","",VLOOKUP(T_Convention[[#This Row],[NumL]],T_suiviDi[#Data],COLUMN(T_suiviDi[[#This Row],[Service ]]),FALSE))</f>
        <v>#VALUE!</v>
      </c>
      <c r="M313" s="164" t="str">
        <f t="shared" si="21"/>
        <v>01 septembre 2021</v>
      </c>
      <c r="N313" s="164" t="str">
        <f t="shared" si="22"/>
        <v>30 novembre 2021</v>
      </c>
      <c r="O313" s="284" t="str">
        <f t="shared" si="23"/>
        <v>30 novembre 2021</v>
      </c>
      <c r="P313" s="282" t="str">
        <f>IF(VLOOKUP(T_Convention[[#This Row],[NumL]],T_TraitDi[#Data],COLUMN(T_TraitDi[M1]),FALSE)="","",VLOOKUP(T_Convention[[#This Row],[NumL]],T_TraitDi[#Data],COLUMN(T_TraitDi[M1]),FALSE))</f>
        <v>Gestion de la base de données</v>
      </c>
      <c r="Q313" s="282" t="str">
        <f>IF(VLOOKUP(T_Convention[[#This Row],[NumL]],T_TraitDi[#Data],COLUMN(T_TraitDi[M2]),FALSE)="","",VLOOKUP(T_Convention[[#This Row],[NumL]],T_TraitDi[#Data],COLUMN(T_TraitDi[M2]),FALSE))</f>
        <v>Rédaction d'articles et supports d'information</v>
      </c>
      <c r="R313" s="282" t="str">
        <f>IF(VLOOKUP(T_Convention[[#This Row],[NumL]],T_TraitDi[#Data],COLUMN(T_TraitDi[M3]),FALSE)="","",VLOOKUP(T_Convention[[#This Row],[NumL]],T_TraitDi[#Data],COLUMN(T_TraitDi[M3]),FALSE))</f>
        <v>Préparation de commandes et abonnements</v>
      </c>
      <c r="S313" s="282" t="str">
        <f>IF(VLOOKUP(T_Convention[[#This Row],[NumL]],T_TraitDi[#Data],COLUMN(T_TraitDi[M4]),FALSE)="","",VLOOKUP(T_Convention[[#This Row],[NumL]],T_TraitDi[#Data],COLUMN(T_TraitDi[M4]),FALSE))</f>
        <v/>
      </c>
      <c r="T313" s="282" t="str">
        <f>IF(VLOOKUP(T_Convention[[#This Row],[NumL]],T_TraitDi[#Data],COLUMN(T_TraitDi[M5]),FALSE)="","",VLOOKUP(T_Convention[[#This Row],[NumL]],T_TraitDi[#Data],COLUMN(T_TraitDi[M5]),FALSE))</f>
        <v/>
      </c>
      <c r="U313" s="282" t="str">
        <f>IF(VLOOKUP(T_Convention[[#This Row],[NumL]],T_TraitDi[#Data],COLUMN(T_TraitDi[M6]),FALSE)="","",VLOOKUP(T_Convention[[#This Row],[NumL]],T_TraitDi[#Data],COLUMN(T_TraitDi[M6]),FALSE))</f>
        <v/>
      </c>
      <c r="V313" s="176" t="str">
        <f t="shared" si="24"/>
        <v>Gestion de la base de donnéesRédaction d'articles et supports d'informationPréparation de commandes et abonnements</v>
      </c>
      <c r="W313" s="284" t="str">
        <f>IFERROR(TEXT(VLOOKUP(T_Convention[[#This Row],[NumL]],T_TraitDi[#Data],COLUMN(T_TraitDi[Q2]),FALSE),"###%"),"")</f>
        <v>100%</v>
      </c>
      <c r="X313" s="97" t="str">
        <f>VLOOKUP(T_Convention[[#This Row],[NumL]],T_TraitDi[#Data],COLUMN(T_TraitDi[Reg Ponct]),FALSE)</f>
        <v>R</v>
      </c>
      <c r="Y313" s="97">
        <f>VLOOKUP(T_Convention[NumL],T_TraitDi[#Data],COLUMN(T_TraitDi[Jours flottants]),FALSE)</f>
        <v>10</v>
      </c>
      <c r="Z313" s="284" t="str">
        <f>IFERROR(VLOOKUP(T_Convention[[#This Row],[NumL]],T_TraitDi[#Data],COLUMN(T_TraitDi[Lundi]),FALSE),"")</f>
        <v>T</v>
      </c>
      <c r="AA313" s="284" t="str">
        <f>IF(VLOOKUP(T_Convention[[#This Row],[NumL]],T_TraitDi[#Data],COLUMN(T_TraitDi[Colonne3]),FALSE)=0,"",TEXT(IFERROR(VLOOKUP(T_Convention[[#This Row],[NumL]],T_TraitDi[#Data],COLUMN(T_TraitDi[Colonne3]),FALSE),""),"[hh]:mm"))</f>
        <v>07:30</v>
      </c>
      <c r="AB313" s="284" t="str">
        <f>IF(VLOOKUP(T_Convention[[#This Row],[NumL]],T_TraitDi[#Data],COLUMN(T_TraitDi[Colonne4]),FALSE)=0,"",TEXT(IFERROR(VLOOKUP(T_Convention[[#This Row],[NumL]],T_TraitDi[#Data],COLUMN(T_TraitDi[Colonne4]),FALSE),""),"[hh]:mm"))</f>
        <v>12:00</v>
      </c>
      <c r="AC313" s="284" t="str">
        <f>IF(VLOOKUP(T_Convention[[#This Row],[NumL]],T_TraitDi[#Data],COLUMN(T_TraitDi[Colonne5]),FALSE)=0,"",TEXT(IFERROR(VLOOKUP(T_Convention[[#This Row],[NumL]],T_TraitDi[#Data],COLUMN(T_TraitDi[Colonne5]),FALSE),""),"[hh]:mm"))</f>
        <v>T</v>
      </c>
      <c r="AD313" s="284" t="str">
        <f>IF(VLOOKUP(T_Convention[[#This Row],[NumL]],T_TraitDi[#Data],COLUMN(T_TraitDi[Colonne6]),FALSE)=0,"",TEXT(IFERROR(VLOOKUP(T_Convention[[#This Row],[NumL]],T_TraitDi[#Data],COLUMN(T_TraitDi[Colonne6]),FALSE),""),"[hh]:mm"))</f>
        <v>13:00</v>
      </c>
      <c r="AE313" s="284" t="str">
        <f>IF(VLOOKUP(T_Convention[[#This Row],[NumL]],T_TraitDi[#Data],COLUMN(T_TraitDi[Colonne7]),FALSE)=0,"",TEXT(IFERROR(VLOOKUP(T_Convention[[#This Row],[NumL]],T_TraitDi[#Data],COLUMN(T_TraitDi[Colonne7]),FALSE),""),"[hh]:mm"))</f>
        <v>17:00</v>
      </c>
      <c r="AF313" s="284" t="str">
        <f>IF(VLOOKUP(T_Convention[[#This Row],[NumL]],T_TraitDi[#Data],COLUMN(T_TraitDi[Colonne8]),FALSE)=0,"",TEXT(IFERROR(VLOOKUP(T_Convention[[#This Row],[NumL]],T_TraitDi[#Data],COLUMN(T_TraitDi[Colonne8]),FALSE),""),"[hh]:mm"))</f>
        <v>08:30</v>
      </c>
      <c r="AG313" s="284" t="str">
        <f>IFERROR(VLOOKUP(T_Convention[[#This Row],[NumL]],T_TraitDi[#Data],COLUMN(T_TraitDi[Mardi]),FALSE),"")</f>
        <v>S</v>
      </c>
      <c r="AH313" s="284" t="str">
        <f>IF(VLOOKUP(T_Convention[[#This Row],[NumL]],T_TraitDi[#Data],COLUMN(T_TraitDi[Colonne1]),FALSE)=0,"",TEXT(IFERROR(VLOOKUP(T_Convention[[#This Row],[NumL]],T_TraitDi[#Data],COLUMN(T_TraitDi[Colonne1]),FALSE),""),"[hh]:mm"))</f>
        <v>08:00</v>
      </c>
      <c r="AI313" s="284" t="str">
        <f>IF(VLOOKUP(T_Convention[[#This Row],[NumL]],T_TraitDi[#Data],COLUMN(T_TraitDi[Colonne9]),FALSE)=0,"",TEXT(IFERROR(VLOOKUP(T_Convention[[#This Row],[NumL]],T_TraitDi[#Data],COLUMN(T_TraitDi[Colonne9]),FALSE),""),"[hh]:mm"))</f>
        <v>12:00</v>
      </c>
      <c r="AJ313" s="284" t="str">
        <f>IFERROR(VLOOKUP(T_Convention[[#This Row],[NumL]],T_TraitDi[#Data],COLUMN(T_TraitDi[Colonne10]),FALSE),"")</f>
        <v>S</v>
      </c>
      <c r="AK313" s="284" t="str">
        <f>IF(VLOOKUP(T_Convention[[#This Row],[NumL]],T_TraitDi[#Data],COLUMN(T_TraitDi[Colonne11]),FALSE)=0,"",TEXT(IFERROR(VLOOKUP(T_Convention[[#This Row],[NumL]],T_TraitDi[#Data],COLUMN(T_TraitDi[Colonne11]),FALSE),""),"[hh]:mm"))</f>
        <v>13:00</v>
      </c>
      <c r="AL313" s="284" t="str">
        <f>IF(VLOOKUP(T_Convention[[#This Row],[NumL]],T_TraitDi[#Data],COLUMN(T_TraitDi[Colonne12]),FALSE)=0,"",TEXT(IFERROR(VLOOKUP(T_Convention[[#This Row],[NumL]],T_TraitDi[#Data],COLUMN(T_TraitDi[Colonne12]),FALSE),""),"[hh]:mm"))</f>
        <v>17:00</v>
      </c>
      <c r="AM313" s="284" t="str">
        <f>IF(VLOOKUP(T_Convention[[#This Row],[NumL]],T_TraitDi[#Data],COLUMN(T_TraitDi[Colonne14]),FALSE)=0,"",TEXT(IFERROR(VLOOKUP(T_Convention[[#This Row],[NumL]],T_TraitDi[#Data],COLUMN(T_TraitDi[Colonne14]),FALSE),""),"[hh]:mm"))</f>
        <v>08:00</v>
      </c>
      <c r="AN313" s="284" t="str">
        <f>IFERROR(VLOOKUP(T_Convention[[#This Row],[NumL]],T_TraitDi[#Data],COLUMN(T_TraitDi[Mercredi]),FALSE),"")</f>
        <v>S</v>
      </c>
      <c r="AO313" s="284" t="str">
        <f>IF(VLOOKUP(T_Convention[[#This Row],[NumL]],T_TraitDi[#Data],COLUMN(T_TraitDi[Colonne15]),FALSE)=0,"",TEXT(IFERROR(VLOOKUP(T_Convention[[#This Row],[NumL]],T_TraitDi[#Data],COLUMN(T_TraitDi[Colonne15]),FALSE),""),"[hh]:mm"))</f>
        <v>08:00</v>
      </c>
      <c r="AP313" s="284" t="str">
        <f>IF(VLOOKUP(T_Convention[[#This Row],[NumL]],T_TraitDi[#Data],COLUMN(T_TraitDi[Colonne16]),FALSE)=0,"",TEXT(IFERROR(VLOOKUP(T_Convention[[#This Row],[NumL]],T_TraitDi[#Data],COLUMN(T_TraitDi[Colonne16]),FALSE),""),"[hh]:mm"))</f>
        <v>12:00</v>
      </c>
      <c r="AQ313" s="284" t="str">
        <f>IFERROR(VLOOKUP(T_Convention[[#This Row],[NumL]],T_TraitDi[#Data],COLUMN(T_TraitDi[Colonne17]),FALSE),"")</f>
        <v>S</v>
      </c>
      <c r="AR313" s="284" t="str">
        <f>IF(VLOOKUP(T_Convention[[#This Row],[NumL]],T_TraitDi[#Data],COLUMN(T_TraitDi[Colonne18]),FALSE)=0,"",TEXT(IFERROR(VLOOKUP(T_Convention[[#This Row],[NumL]],T_TraitDi[#Data],COLUMN(T_TraitDi[Colonne18]),FALSE),""),"[hh]:mm"))</f>
        <v>13:00</v>
      </c>
      <c r="AS313" s="284" t="str">
        <f>IF(VLOOKUP(T_Convention[[#This Row],[NumL]],T_TraitDi[#Data],COLUMN(T_TraitDi[Colonne19]),FALSE)=0,"",TEXT(IFERROR(VLOOKUP(T_Convention[[#This Row],[NumL]],T_TraitDi[#Data],COLUMN(T_TraitDi[Colonne19]),FALSE),""),"[hh]:mm"))</f>
        <v>17:00</v>
      </c>
      <c r="AT313" s="284" t="str">
        <f>IF(VLOOKUP(T_Convention[[#This Row],[NumL]],T_TraitDi[#Data],COLUMN(T_TraitDi[Colonne20]),FALSE)=0,"",TEXT(IFERROR(VLOOKUP(T_Convention[[#This Row],[NumL]],T_TraitDi[#Data],COLUMN(T_TraitDi[Colonne20]),FALSE),""),"[hh]:mm"))</f>
        <v>08:00</v>
      </c>
      <c r="AU313" s="284" t="str">
        <f>IFERROR(VLOOKUP(T_Convention[[#This Row],[NumL]],T_TraitDi[#Data],COLUMN(T_TraitDi[Jeudi]),FALSE),"")</f>
        <v>S</v>
      </c>
      <c r="AV313" s="284" t="str">
        <f>IF(VLOOKUP(T_Convention[[#This Row],[NumL]],T_TraitDi[#Data],COLUMN(T_TraitDi[Colonne21]),FALSE)=0,"",TEXT(IFERROR(VLOOKUP(T_Convention[[#This Row],[NumL]],T_TraitDi[#Data],COLUMN(T_TraitDi[Colonne21]),FALSE),""),"[hh]:mm"))</f>
        <v>08:00</v>
      </c>
      <c r="AW313" s="284" t="str">
        <f>IF(VLOOKUP(T_Convention[[#This Row],[NumL]],T_TraitDi[#Data],COLUMN(T_TraitDi[Colonne22]),FALSE)=0,"",TEXT(IFERROR(VLOOKUP(T_Convention[[#This Row],[NumL]],T_TraitDi[#Data],COLUMN(T_TraitDi[Colonne22]),FALSE),""),"[hh]:mm"))</f>
        <v>12:35</v>
      </c>
      <c r="AX313" s="284" t="str">
        <f>IFERROR(VLOOKUP(T_Convention[[#This Row],[NumL]],T_TraitDi[#Data],COLUMN(T_TraitDi[Colonne23]),FALSE),"")</f>
        <v>A</v>
      </c>
      <c r="AY313" s="284" t="str">
        <f>IF(VLOOKUP(T_Convention[[#This Row],[NumL]],T_TraitDi[#Data],COLUMN(T_TraitDi[Colonne24]),FALSE)=0,"",TEXT(IFERROR(VLOOKUP(T_Convention[[#This Row],[NumL]],T_TraitDi[#Data],COLUMN(T_TraitDi[Colonne24]),FALSE),""),"[hh]:mm"))</f>
        <v/>
      </c>
      <c r="AZ313" s="284" t="str">
        <f>IF(VLOOKUP(T_Convention[[#This Row],[NumL]],T_TraitDi[#Data],COLUMN(T_TraitDi[Colonne25]),FALSE)=0,"",TEXT(IFERROR(VLOOKUP(T_Convention[[#This Row],[NumL]],T_TraitDi[#Data],COLUMN(T_TraitDi[Colonne25]),FALSE),""),"[hh]:mm"))</f>
        <v/>
      </c>
      <c r="BA313" s="284" t="str">
        <f>IF(VLOOKUP(T_Convention[[#This Row],[NumL]],T_TraitDi[#Data],COLUMN(T_TraitDi[Colonne26]),FALSE)=0,"",TEXT(IFERROR(VLOOKUP(T_Convention[[#This Row],[NumL]],T_TraitDi[#Data],COLUMN(T_TraitDi[Colonne26]),FALSE),""),"[hh]:mm"))</f>
        <v>04:35</v>
      </c>
      <c r="BB313" s="284" t="str">
        <f>IFERROR(VLOOKUP(T_Convention[[#This Row],[NumL]],T_TraitDi[#Data],COLUMN(T_TraitDi[Vendredi]),FALSE),"")</f>
        <v>T</v>
      </c>
      <c r="BC313" s="284" t="str">
        <f>IF(VLOOKUP(T_Convention[[#This Row],[NumL]],T_TraitDi[#Data],COLUMN(T_TraitDi[Colonne27]),FALSE)=0,"",TEXT(IFERROR(VLOOKUP(T_Convention[[#This Row],[NumL]],T_TraitDi[#Data],COLUMN(T_TraitDi[Colonne27]),FALSE),""),"[hh]:mm"))</f>
        <v>07:30</v>
      </c>
      <c r="BD313" s="284" t="str">
        <f>IF(VLOOKUP(T_Convention[[#This Row],[NumL]],T_TraitDi[#Data],COLUMN(T_TraitDi[Colonne28]),FALSE)=0,"",TEXT(IFERROR(VLOOKUP(T_Convention[[#This Row],[NumL]],T_TraitDi[#Data],COLUMN(T_TraitDi[Colonne28]),FALSE),""),"[hh]:mm"))</f>
        <v>12:00</v>
      </c>
      <c r="BE313" s="284" t="str">
        <f>IFERROR(VLOOKUP(T_Convention[[#This Row],[NumL]],T_TraitDi[#Data],COLUMN(T_TraitDi[Colonne29]),FALSE),"")</f>
        <v>T</v>
      </c>
      <c r="BF313" s="284" t="str">
        <f>IF(VLOOKUP(T_Convention[[#This Row],[NumL]],T_TraitDi[#Data],COLUMN(T_TraitDi[Colonne30]),FALSE)=0,"",TEXT(IFERROR(VLOOKUP(T_Convention[[#This Row],[NumL]],T_TraitDi[#Data],COLUMN(T_TraitDi[Colonne30]),FALSE),""),"[hh]:mm"))</f>
        <v>13:00</v>
      </c>
      <c r="BG313" s="284" t="str">
        <f>IF(VLOOKUP(T_Convention[[#This Row],[NumL]],T_TraitDi[#Data],COLUMN(T_TraitDi[Colonne31]),FALSE)=0,"",TEXT(IFERROR(VLOOKUP(T_Convention[[#This Row],[NumL]],T_TraitDi[#Data],COLUMN(T_TraitDi[Colonne31]),FALSE),""),"[hh]:mm"))</f>
        <v>16:30</v>
      </c>
      <c r="BH313" s="284" t="str">
        <f>IF(VLOOKUP(T_Convention[[#This Row],[NumL]],T_TraitDi[#Data],COLUMN(T_TraitDi[Colonne32]),FALSE)=0,"",TEXT(IFERROR(VLOOKUP(T_Convention[[#This Row],[NumL]],T_TraitDi[#Data],COLUMN(T_TraitDi[Colonne32]),FALSE),""),"[hh]:mm"))</f>
        <v>08:00</v>
      </c>
      <c r="BI313" s="284">
        <f>IFERROR(VLOOKUP(T_Convention[[#This Row],[NumL]],T_TraitDi[#Data],COLUMN(T_TraitDi[NbJTW]),FALSE),"")</f>
        <v>2</v>
      </c>
      <c r="BJ313" s="284" t="str">
        <f>IF(VLOOKUP(T_Convention[[#This Row],[NumL]],T_TraitDi[#Data],COLUMN(T_TraitDi[NbhTW]),FALSE)=0,"",TEXT(IFERROR(VLOOKUP(T_Convention[[#This Row],[NumL]],T_TraitDi[#Data],COLUMN(T_TraitDi[NbhTW]),FALSE),""),"[hh]:mm"))</f>
        <v>16:30</v>
      </c>
      <c r="BK313" s="286" t="str">
        <f>IF(VLOOKUP(T_Convention[[#This Row],[NumL]],T_TraitDi[#Data],COLUMN(T_TraitDi[Nbhheb]),FALSE)=0,"",TEXT(IFERROR(VLOOKUP(T_Convention[[#This Row],[NumL]],T_TraitDi[#Data],COLUMN(T_TraitDi[Nbhheb]),FALSE),""),"[hh]:mm"))</f>
        <v>37:05</v>
      </c>
      <c r="BL313" s="287" t="str">
        <f>IFERROR(VLOOKUP(VLOOKUP(T_Convention[[#This Row],[NumL]],T_TraitDi[#Data],COLUMN(T_TraitDi[Type1]),FALSE),TypeTW,2,FALSE),"")</f>
        <v>son domicile (lieu de résidence habituelle du télétravailleur)</v>
      </c>
      <c r="BM313" s="288" t="str">
        <f>IFERROR(VLOOKUP(T_Convention[[#This Row],[NumL]],T_TraitDi[#Data],COLUMN(T_TraitDi[Rue1]),FALSE),"")</f>
        <v>19 rue Barodet</v>
      </c>
      <c r="BN313" s="289" t="str">
        <f>IFERROR(VLOOKUP(T_Convention[[#This Row],[NumL]],T_TraitDi[#Data],COLUMN(T_TraitDi[CP1]),FALSE),"")</f>
        <v>69004</v>
      </c>
      <c r="BO313" s="282" t="str">
        <f>IFERROR(VLOOKUP(T_Convention[[#This Row],[NumL]],T_TraitDi[#Data],COLUMN(T_TraitDi[VILLE1]),FALSE),"")</f>
        <v>LYON</v>
      </c>
      <c r="BP313" s="290" t="str">
        <f>IFERROR(VLOOKUP(VLOOKUP(T_Convention[[#This Row],[NumL]],T_TraitDi[#Data],COLUMN(T_TraitDi[Type2]),FALSE),TypeTW,2,FALSE),"")</f>
        <v/>
      </c>
      <c r="BQ313" s="182" t="str">
        <f>IFERROR(VLOOKUP(T_Convention[[#This Row],[NumL]],T_TraitDi[#Data],COLUMN(T_TraitDi[Rue2]),FALSE),"")</f>
        <v>Sans objet</v>
      </c>
      <c r="BR313" s="173" t="str">
        <f>IFERROR(VLOOKUP(T_Convention[[#This Row],[NumL]],T_TraitDi[#Data],COLUMN(T_TraitDi[CP2]),FALSE),"")</f>
        <v xml:space="preserve"> </v>
      </c>
      <c r="BS313" s="173" t="str">
        <f>IFERROR(VLOOKUP(T_Convention[[#This Row],[NumL]],T_TraitDi[#Data],COLUMN(T_TraitDi[VILLE2]),FALSE),"")</f>
        <v xml:space="preserve">  </v>
      </c>
      <c r="BT313" s="182" t="str">
        <f>IF(VLOOKUP(T_Convention[[#This Row],[NumL]],T_Equipement[#Data],COLUMN(T_Equipement[PC]),FALSE)="","Aucun équipement spécifique directement lié au télétravail",VLOOKUP(T_Convention[[#This Row],[NumL]],T_Equipement[#Data],COLUMN(T_Equipement[PC]),FALSE))</f>
        <v xml:space="preserve">17-029	</v>
      </c>
      <c r="BU313" s="166" t="str">
        <f>IFERROR(IF(VLOOKUP(T_Convention[[#This Row],[NumL]],T_TraitDi[#Data],COLUMN(T_TraitDi[Plan]),FALSE)="OK","Un planning spécifique de télétravail est annexé à la présente convention.",""),"")</f>
        <v/>
      </c>
      <c r="BV313" s="185" t="s">
        <v>3373</v>
      </c>
      <c r="BW313" s="164" t="str">
        <f>IF(VLOOKUP(T_Convention[[#This Row],[NumL]],T_suiviDi[#Data],COLUMN(T_suiviDi[Entité]),FALSE)="","",VLOOKUP(T_Convention[[#This Row],[NumL]],T_suiviDi[#Data],COLUMN(T_suiviDi[Entité]),FALSE))</f>
        <v>SCUIO-IP</v>
      </c>
      <c r="BX313" s="164" t="str">
        <f>IF(VLOOKUP(T_Convention[[#This Row],[NumL]],T_Commission[#Data],COLUMN(T_Commission[envoi confirm TW]),FALSE)="","",VLOOKUP(T_Convention[[#This Row],[NumL]],T_Commission[#Data],COLUMN(T_Commission[envoi confirm TW]),FALSE))</f>
        <v>Oui</v>
      </c>
      <c r="BY313"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3" s="264">
        <f>VLOOKUP(T_Convention[[#This Row],[NumL]],T_Commission[#Data],COLUMN(T_Commission[Commentaire]),FALSE)</f>
        <v>0</v>
      </c>
      <c r="CA313" s="254" t="str">
        <f>IF(VLOOKUP(T_Convention[[#This Row],[NumL]],T_Commission[#Data],COLUMN(T_Commission[Encadrant Email]),FALSE)="","",VLOOKUP(T_Convention[[#This Row],[NumL]],T_Commission[#Data],COLUMN(T_Commission[Encadrant Email]),FALSE))</f>
        <v/>
      </c>
      <c r="CB313" s="352">
        <f>VLOOKUP(T_Convention[[#This Row],[NumL]],T_TraitDi[#Data],COLUMN(T_TraitDi[NbJTot]),FALSE)</f>
        <v>4.5</v>
      </c>
      <c r="CC313" s="352" t="str">
        <f>VLOOKUP(T_Convention[[#This Row],[NumL]],T_TraitDi[#Data],COLUMN(T_TraitDi[Reg Ponct]),FALSE)</f>
        <v>R</v>
      </c>
      <c r="CD313" s="348" t="str">
        <f>IF(T_Convention[[#This Row],[Final]]&lt;&gt;"",VLOOKUP(T_Convention[[#This Row],[NumL]],T_suiviDi[#Data],COLUMN((T_suiviDi[Statut])),FALSE),"")</f>
        <v>RENVL</v>
      </c>
    </row>
    <row r="314" spans="1:82" s="50" customFormat="1" ht="18.75" customHeight="1" x14ac:dyDescent="0.25">
      <c r="A314" s="90">
        <v>280</v>
      </c>
      <c r="B314" s="161">
        <f>VLOOKUP(T_Convention[[#This Row],[NumL]],T_Commission[#Data],COLUMN(T_Commission[FINAL]),FALSE)</f>
        <v>1</v>
      </c>
      <c r="C314" s="162"/>
      <c r="D314" s="95" t="str">
        <f>IF(VLOOKUP(T_Convention[[#This Row],[NumL]],T_TraitDi[#Data],COLUMN(T_TraitDi[WebC]),FALSE)="","",VLOOKUP(T_Convention[[#This Row],[NumL]],T_TraitDi[#Data],COLUMN(T_TraitDi[WebC]),FALSE))</f>
        <v>WG</v>
      </c>
      <c r="E314" s="95" t="str">
        <f t="shared" si="20"/>
        <v>12 janvier 2021</v>
      </c>
      <c r="F314" s="282" t="str">
        <f>IF(T_Convention[[#This Row],[Final]]&lt;&gt;"",VLOOKUP(T_Convention[[#This Row],[NumL]],T_suiviDi[#Data],COLUMN((T_suiviDi[Civ.])),FALSE),"")</f>
        <v>Mme</v>
      </c>
      <c r="G314" s="283" t="str">
        <f>IF(T_Convention[[#This Row],[Final]]&lt;&gt;"",VLOOKUP(T_Convention[[#This Row],[NumL]],T_suiviDi[#Data],COLUMN((T_suiviDi[Nom])),FALSE),"")</f>
        <v>A</v>
      </c>
      <c r="H314" s="282" t="str">
        <f>IF(T_Convention[[#This Row],[Final]]&lt;&gt;"",VLOOKUP(T_Convention[[#This Row],[NumL]],T_suiviDi[#Data],COLUMN((T_suiviDi[Prénom])),FALSE),"")</f>
        <v>Morgane</v>
      </c>
      <c r="I314" s="282" t="e">
        <f>VLOOKUP(T_Convention[[#This Row],[NumL]],T_suiviDi[#Data],COLUMN((T_suiviDi[[#This Row],[Email]])),FALSE)</f>
        <v>#VALUE!</v>
      </c>
      <c r="J314" s="282" t="e">
        <f>IF(VLOOKUP(T_Convention[[#This Row],[NumL]],T_suiviDi[#Data],COLUMN(T_suiviDi[[#This Row],[Fonction]]),FALSE)="","",VLOOKUP(T_Convention[[#This Row],[NumL]],T_suiviDi[#Data],COLUMN(T_suiviDi[[#This Row],[Fonction]]),FALSE))</f>
        <v>#VALUE!</v>
      </c>
      <c r="K314" s="282" t="e">
        <f>IF(VLOOKUP(T_Convention[[#This Row],[NumL]],T_suiviDi[#Data],COLUMN(T_suiviDi[[#This Row],[Grade]]),FALSE)="","",VLOOKUP(T_Convention[[#This Row],[NumL]],T_suiviDi[#Data],COLUMN(T_suiviDi[[#This Row],[Grade]]),FALSE))</f>
        <v>#VALUE!</v>
      </c>
      <c r="L314" s="282" t="e">
        <f>IF(VLOOKUP(T_Convention[[#This Row],[NumL]],T_suiviDi[#Data],COLUMN(T_suiviDi[[#This Row],[Service ]]),FALSE)="","",VLOOKUP(T_Convention[[#This Row],[NumL]],T_suiviDi[#Data],COLUMN(T_suiviDi[[#This Row],[Service ]]),FALSE))</f>
        <v>#VALUE!</v>
      </c>
      <c r="M314" s="96" t="str">
        <f t="shared" si="21"/>
        <v>01 septembre 2021</v>
      </c>
      <c r="N314" s="96" t="str">
        <f t="shared" si="22"/>
        <v>30 novembre 2021</v>
      </c>
      <c r="O314" s="284" t="str">
        <f t="shared" si="23"/>
        <v>30 novembre 2021</v>
      </c>
      <c r="P314" s="282" t="str">
        <f>IF(VLOOKUP(T_Convention[[#This Row],[NumL]],T_TraitDi[#Data],COLUMN(T_TraitDi[M1]),FALSE)="","",VLOOKUP(T_Convention[[#This Row],[NumL]],T_TraitDi[#Data],COLUMN(T_TraitDi[M1]),FALSE))</f>
        <v>Gestion des salles</v>
      </c>
      <c r="Q314" s="282" t="str">
        <f>IF(VLOOKUP(T_Convention[[#This Row],[NumL]],T_TraitDi[#Data],COLUMN(T_TraitDi[M2]),FALSE)="","",VLOOKUP(T_Convention[[#This Row],[NumL]],T_TraitDi[#Data],COLUMN(T_TraitDi[M2]),FALSE))</f>
        <v/>
      </c>
      <c r="R314" s="282" t="str">
        <f>IF(VLOOKUP(T_Convention[[#This Row],[NumL]],T_TraitDi[#Data],COLUMN(T_TraitDi[M3]),FALSE)="","",VLOOKUP(T_Convention[[#This Row],[NumL]],T_TraitDi[#Data],COLUMN(T_TraitDi[M3]),FALSE))</f>
        <v/>
      </c>
      <c r="S314" s="282" t="str">
        <f>IF(VLOOKUP(T_Convention[[#This Row],[NumL]],T_TraitDi[#Data],COLUMN(T_TraitDi[M4]),FALSE)="","",VLOOKUP(T_Convention[[#This Row],[NumL]],T_TraitDi[#Data],COLUMN(T_TraitDi[M4]),FALSE))</f>
        <v/>
      </c>
      <c r="T314" s="282" t="str">
        <f>IF(VLOOKUP(T_Convention[[#This Row],[NumL]],T_TraitDi[#Data],COLUMN(T_TraitDi[M5]),FALSE)="","",VLOOKUP(T_Convention[[#This Row],[NumL]],T_TraitDi[#Data],COLUMN(T_TraitDi[M5]),FALSE))</f>
        <v/>
      </c>
      <c r="U314" s="282" t="str">
        <f>IF(VLOOKUP(T_Convention[[#This Row],[NumL]],T_TraitDi[#Data],COLUMN(T_TraitDi[M6]),FALSE)="","",VLOOKUP(T_Convention[[#This Row],[NumL]],T_TraitDi[#Data],COLUMN(T_TraitDi[M6]),FALSE))</f>
        <v/>
      </c>
      <c r="V314" s="176" t="str">
        <f t="shared" si="24"/>
        <v>Gestion des salles</v>
      </c>
      <c r="W314" s="284" t="str">
        <f>IFERROR(TEXT(VLOOKUP(T_Convention[[#This Row],[NumL]],T_TraitDi[#Data],COLUMN(T_TraitDi[Q2]),FALSE),"###%"),"")</f>
        <v>100%</v>
      </c>
      <c r="X314" s="97" t="str">
        <f>VLOOKUP(T_Convention[[#This Row],[NumL]],T_TraitDi[#Data],COLUMN(T_TraitDi[Reg Ponct]),FALSE)</f>
        <v>R</v>
      </c>
      <c r="Y314" s="97">
        <f>VLOOKUP(T_Convention[NumL],T_TraitDi[#Data],COLUMN(T_TraitDi[Jours flottants]),FALSE)</f>
        <v>10</v>
      </c>
      <c r="Z314" s="284" t="str">
        <f>IFERROR(VLOOKUP(T_Convention[[#This Row],[NumL]],T_TraitDi[#Data],COLUMN(T_TraitDi[Lundi]),FALSE),"")</f>
        <v>S</v>
      </c>
      <c r="AA314" s="284" t="str">
        <f>IF(VLOOKUP(T_Convention[[#This Row],[NumL]],T_TraitDi[#Data],COLUMN(T_TraitDi[Colonne3]),FALSE)=0,"",TEXT(IFERROR(VLOOKUP(T_Convention[[#This Row],[NumL]],T_TraitDi[#Data],COLUMN(T_TraitDi[Colonne3]),FALSE),""),"[hh]:mm"))</f>
        <v>08:00</v>
      </c>
      <c r="AB314" s="284" t="str">
        <f>IF(VLOOKUP(T_Convention[[#This Row],[NumL]],T_TraitDi[#Data],COLUMN(T_TraitDi[Colonne4]),FALSE)=0,"",TEXT(IFERROR(VLOOKUP(T_Convention[[#This Row],[NumL]],T_TraitDi[#Data],COLUMN(T_TraitDi[Colonne4]),FALSE),""),"[hh]:mm"))</f>
        <v>12:00</v>
      </c>
      <c r="AC314" s="284" t="str">
        <f>IF(VLOOKUP(T_Convention[[#This Row],[NumL]],T_TraitDi[#Data],COLUMN(T_TraitDi[Colonne5]),FALSE)=0,"",TEXT(IFERROR(VLOOKUP(T_Convention[[#This Row],[NumL]],T_TraitDi[#Data],COLUMN(T_TraitDi[Colonne5]),FALSE),""),"[hh]:mm"))</f>
        <v>S</v>
      </c>
      <c r="AD314" s="284" t="str">
        <f>IF(VLOOKUP(T_Convention[[#This Row],[NumL]],T_TraitDi[#Data],COLUMN(T_TraitDi[Colonne6]),FALSE)=0,"",TEXT(IFERROR(VLOOKUP(T_Convention[[#This Row],[NumL]],T_TraitDi[#Data],COLUMN(T_TraitDi[Colonne6]),FALSE),""),"[hh]:mm"))</f>
        <v>13:00</v>
      </c>
      <c r="AE314" s="284" t="str">
        <f>IF(VLOOKUP(T_Convention[[#This Row],[NumL]],T_TraitDi[#Data],COLUMN(T_TraitDi[Colonne7]),FALSE)=0,"",TEXT(IFERROR(VLOOKUP(T_Convention[[#This Row],[NumL]],T_TraitDi[#Data],COLUMN(T_TraitDi[Colonne7]),FALSE),""),"[hh]:mm"))</f>
        <v>16:05</v>
      </c>
      <c r="AF314" s="284" t="str">
        <f>IF(VLOOKUP(T_Convention[[#This Row],[NumL]],T_TraitDi[#Data],COLUMN(T_TraitDi[Colonne8]),FALSE)=0,"",TEXT(IFERROR(VLOOKUP(T_Convention[[#This Row],[NumL]],T_TraitDi[#Data],COLUMN(T_TraitDi[Colonne8]),FALSE),""),"[hh]:mm"))</f>
        <v>07:05</v>
      </c>
      <c r="AG314" s="284" t="str">
        <f>IFERROR(VLOOKUP(T_Convention[[#This Row],[NumL]],T_TraitDi[#Data],COLUMN(T_TraitDi[Mardi]),FALSE),"")</f>
        <v>T</v>
      </c>
      <c r="AH314" s="284" t="str">
        <f>IF(VLOOKUP(T_Convention[[#This Row],[NumL]],T_TraitDi[#Data],COLUMN(T_TraitDi[Colonne1]),FALSE)=0,"",TEXT(IFERROR(VLOOKUP(T_Convention[[#This Row],[NumL]],T_TraitDi[#Data],COLUMN(T_TraitDi[Colonne1]),FALSE),""),"[hh]:mm"))</f>
        <v>08:00</v>
      </c>
      <c r="AI314" s="284" t="str">
        <f>IF(VLOOKUP(T_Convention[[#This Row],[NumL]],T_TraitDi[#Data],COLUMN(T_TraitDi[Colonne9]),FALSE)=0,"",TEXT(IFERROR(VLOOKUP(T_Convention[[#This Row],[NumL]],T_TraitDi[#Data],COLUMN(T_TraitDi[Colonne9]),FALSE),""),"[hh]:mm"))</f>
        <v>12:00</v>
      </c>
      <c r="AJ314" s="284" t="str">
        <f>IFERROR(VLOOKUP(T_Convention[[#This Row],[NumL]],T_TraitDi[#Data],COLUMN(T_TraitDi[Colonne10]),FALSE),"")</f>
        <v>T</v>
      </c>
      <c r="AK314" s="284" t="str">
        <f>IF(VLOOKUP(T_Convention[[#This Row],[NumL]],T_TraitDi[#Data],COLUMN(T_TraitDi[Colonne11]),FALSE)=0,"",TEXT(IFERROR(VLOOKUP(T_Convention[[#This Row],[NumL]],T_TraitDi[#Data],COLUMN(T_TraitDi[Colonne11]),FALSE),""),"[hh]:mm"))</f>
        <v>13:00</v>
      </c>
      <c r="AL314" s="284" t="str">
        <f>IF(VLOOKUP(T_Convention[[#This Row],[NumL]],T_TraitDi[#Data],COLUMN(T_TraitDi[Colonne12]),FALSE)=0,"",TEXT(IFERROR(VLOOKUP(T_Convention[[#This Row],[NumL]],T_TraitDi[#Data],COLUMN(T_TraitDi[Colonne12]),FALSE),""),"[hh]:mm"))</f>
        <v>17:30</v>
      </c>
      <c r="AM314" s="284" t="str">
        <f>IF(VLOOKUP(T_Convention[[#This Row],[NumL]],T_TraitDi[#Data],COLUMN(T_TraitDi[Colonne14]),FALSE)=0,"",TEXT(IFERROR(VLOOKUP(T_Convention[[#This Row],[NumL]],T_TraitDi[#Data],COLUMN(T_TraitDi[Colonne14]),FALSE),""),"[hh]:mm"))</f>
        <v>08:30</v>
      </c>
      <c r="AN314" s="284" t="str">
        <f>IFERROR(VLOOKUP(T_Convention[[#This Row],[NumL]],T_TraitDi[#Data],COLUMN(T_TraitDi[Mercredi]),FALSE),"")</f>
        <v>S</v>
      </c>
      <c r="AO314" s="284" t="str">
        <f>IF(VLOOKUP(T_Convention[[#This Row],[NumL]],T_TraitDi[#Data],COLUMN(T_TraitDi[Colonne15]),FALSE)=0,"",TEXT(IFERROR(VLOOKUP(T_Convention[[#This Row],[NumL]],T_TraitDi[#Data],COLUMN(T_TraitDi[Colonne15]),FALSE),""),"[hh]:mm"))</f>
        <v>08:30</v>
      </c>
      <c r="AP314" s="284" t="str">
        <f>IF(VLOOKUP(T_Convention[[#This Row],[NumL]],T_TraitDi[#Data],COLUMN(T_TraitDi[Colonne16]),FALSE)=0,"",TEXT(IFERROR(VLOOKUP(T_Convention[[#This Row],[NumL]],T_TraitDi[#Data],COLUMN(T_TraitDi[Colonne16]),FALSE),""),"[hh]:mm"))</f>
        <v>12:00</v>
      </c>
      <c r="AQ314" s="284" t="str">
        <f>IFERROR(VLOOKUP(T_Convention[[#This Row],[NumL]],T_TraitDi[#Data],COLUMN(T_TraitDi[Colonne17]),FALSE),"")</f>
        <v>S</v>
      </c>
      <c r="AR314" s="284" t="str">
        <f>IF(VLOOKUP(T_Convention[[#This Row],[NumL]],T_TraitDi[#Data],COLUMN(T_TraitDi[Colonne18]),FALSE)=0,"",TEXT(IFERROR(VLOOKUP(T_Convention[[#This Row],[NumL]],T_TraitDi[#Data],COLUMN(T_TraitDi[Colonne18]),FALSE),""),"[hh]:mm"))</f>
        <v>13:00</v>
      </c>
      <c r="AS314" s="284" t="str">
        <f>IF(VLOOKUP(T_Convention[[#This Row],[NumL]],T_TraitDi[#Data],COLUMN(T_TraitDi[Colonne19]),FALSE)=0,"",TEXT(IFERROR(VLOOKUP(T_Convention[[#This Row],[NumL]],T_TraitDi[#Data],COLUMN(T_TraitDi[Colonne19]),FALSE),""),"[hh]:mm"))</f>
        <v>16:00</v>
      </c>
      <c r="AT314" s="284" t="str">
        <f>IF(VLOOKUP(T_Convention[[#This Row],[NumL]],T_TraitDi[#Data],COLUMN(T_TraitDi[Colonne20]),FALSE)=0,"",TEXT(IFERROR(VLOOKUP(T_Convention[[#This Row],[NumL]],T_TraitDi[#Data],COLUMN(T_TraitDi[Colonne20]),FALSE),""),"[hh]:mm"))</f>
        <v>06:30</v>
      </c>
      <c r="AU314" s="284" t="str">
        <f>IFERROR(VLOOKUP(T_Convention[[#This Row],[NumL]],T_TraitDi[#Data],COLUMN(T_TraitDi[Jeudi]),FALSE),"")</f>
        <v>S</v>
      </c>
      <c r="AV314" s="284" t="str">
        <f>IF(VLOOKUP(T_Convention[[#This Row],[NumL]],T_TraitDi[#Data],COLUMN(T_TraitDi[Colonne21]),FALSE)=0,"",TEXT(IFERROR(VLOOKUP(T_Convention[[#This Row],[NumL]],T_TraitDi[#Data],COLUMN(T_TraitDi[Colonne21]),FALSE),""),"[hh]:mm"))</f>
        <v>08:00</v>
      </c>
      <c r="AW314" s="284" t="str">
        <f>IF(VLOOKUP(T_Convention[[#This Row],[NumL]],T_TraitDi[#Data],COLUMN(T_TraitDi[Colonne22]),FALSE)=0,"",TEXT(IFERROR(VLOOKUP(T_Convention[[#This Row],[NumL]],T_TraitDi[#Data],COLUMN(T_TraitDi[Colonne22]),FALSE),""),"[hh]:mm"))</f>
        <v>12:00</v>
      </c>
      <c r="AX314" s="284" t="str">
        <f>IFERROR(VLOOKUP(T_Convention[[#This Row],[NumL]],T_TraitDi[#Data],COLUMN(T_TraitDi[Colonne23]),FALSE),"")</f>
        <v>S</v>
      </c>
      <c r="AY314" s="284" t="str">
        <f>IF(VLOOKUP(T_Convention[[#This Row],[NumL]],T_TraitDi[#Data],COLUMN(T_TraitDi[Colonne24]),FALSE)=0,"",TEXT(IFERROR(VLOOKUP(T_Convention[[#This Row],[NumL]],T_TraitDi[#Data],COLUMN(T_TraitDi[Colonne24]),FALSE),""),"[hh]:mm"))</f>
        <v>13:00</v>
      </c>
      <c r="AZ314" s="284" t="str">
        <f>IF(VLOOKUP(T_Convention[[#This Row],[NumL]],T_TraitDi[#Data],COLUMN(T_TraitDi[Colonne25]),FALSE)=0,"",TEXT(IFERROR(VLOOKUP(T_Convention[[#This Row],[NumL]],T_TraitDi[#Data],COLUMN(T_TraitDi[Colonne25]),FALSE),""),"[hh]:mm"))</f>
        <v>17:00</v>
      </c>
      <c r="BA314" s="284" t="str">
        <f>IF(VLOOKUP(T_Convention[[#This Row],[NumL]],T_TraitDi[#Data],COLUMN(T_TraitDi[Colonne26]),FALSE)=0,"",TEXT(IFERROR(VLOOKUP(T_Convention[[#This Row],[NumL]],T_TraitDi[#Data],COLUMN(T_TraitDi[Colonne26]),FALSE),""),"[hh]:mm"))</f>
        <v>08:00</v>
      </c>
      <c r="BB314" s="284" t="str">
        <f>IFERROR(VLOOKUP(T_Convention[[#This Row],[NumL]],T_TraitDi[#Data],COLUMN(T_TraitDi[Vendredi]),FALSE),"")</f>
        <v>S</v>
      </c>
      <c r="BC314" s="284" t="str">
        <f>IF(VLOOKUP(T_Convention[[#This Row],[NumL]],T_TraitDi[#Data],COLUMN(T_TraitDi[Colonne27]),FALSE)=0,"",TEXT(IFERROR(VLOOKUP(T_Convention[[#This Row],[NumL]],T_TraitDi[#Data],COLUMN(T_TraitDi[Colonne27]),FALSE),""),"[hh]:mm"))</f>
        <v>08:00</v>
      </c>
      <c r="BD314" s="284" t="str">
        <f>IF(VLOOKUP(T_Convention[[#This Row],[NumL]],T_TraitDi[#Data],COLUMN(T_TraitDi[Colonne28]),FALSE)=0,"",TEXT(IFERROR(VLOOKUP(T_Convention[[#This Row],[NumL]],T_TraitDi[#Data],COLUMN(T_TraitDi[Colonne28]),FALSE),""),"[hh]:mm"))</f>
        <v>12:00</v>
      </c>
      <c r="BE314" s="284" t="str">
        <f>IFERROR(VLOOKUP(T_Convention[[#This Row],[NumL]],T_TraitDi[#Data],COLUMN(T_TraitDi[Colonne29]),FALSE),"")</f>
        <v>S</v>
      </c>
      <c r="BF314" s="284" t="str">
        <f>IF(VLOOKUP(T_Convention[[#This Row],[NumL]],T_TraitDi[#Data],COLUMN(T_TraitDi[Colonne30]),FALSE)=0,"",TEXT(IFERROR(VLOOKUP(T_Convention[[#This Row],[NumL]],T_TraitDi[#Data],COLUMN(T_TraitDi[Colonne30]),FALSE),""),"[hh]:mm"))</f>
        <v>13:00</v>
      </c>
      <c r="BG314" s="284" t="str">
        <f>IF(VLOOKUP(T_Convention[[#This Row],[NumL]],T_TraitDi[#Data],COLUMN(T_TraitDi[Colonne31]),FALSE)=0,"",TEXT(IFERROR(VLOOKUP(T_Convention[[#This Row],[NumL]],T_TraitDi[#Data],COLUMN(T_TraitDi[Colonne31]),FALSE),""),"[hh]:mm"))</f>
        <v>16:00</v>
      </c>
      <c r="BH314" s="284" t="str">
        <f>IF(VLOOKUP(T_Convention[[#This Row],[NumL]],T_TraitDi[#Data],COLUMN(T_TraitDi[Colonne32]),FALSE)=0,"",TEXT(IFERROR(VLOOKUP(T_Convention[[#This Row],[NumL]],T_TraitDi[#Data],COLUMN(T_TraitDi[Colonne32]),FALSE),""),"[hh]:mm"))</f>
        <v>07:00</v>
      </c>
      <c r="BI314" s="284">
        <f>IFERROR(VLOOKUP(T_Convention[[#This Row],[NumL]],T_TraitDi[#Data],COLUMN(T_TraitDi[NbJTW]),FALSE),"")</f>
        <v>1</v>
      </c>
      <c r="BJ314" s="284" t="str">
        <f>IF(VLOOKUP(T_Convention[[#This Row],[NumL]],T_TraitDi[#Data],COLUMN(T_TraitDi[NbhTW]),FALSE)=0,"",TEXT(IFERROR(VLOOKUP(T_Convention[[#This Row],[NumL]],T_TraitDi[#Data],COLUMN(T_TraitDi[NbhTW]),FALSE),""),"[hh]:mm"))</f>
        <v>08:30</v>
      </c>
      <c r="BK314" s="286" t="str">
        <f>IF(VLOOKUP(T_Convention[[#This Row],[NumL]],T_TraitDi[#Data],COLUMN(T_TraitDi[Nbhheb]),FALSE)=0,"",TEXT(IFERROR(VLOOKUP(T_Convention[[#This Row],[NumL]],T_TraitDi[#Data],COLUMN(T_TraitDi[Nbhheb]),FALSE),""),"[hh]:mm"))</f>
        <v>37:05</v>
      </c>
      <c r="BL314" s="287" t="str">
        <f>IFERROR(VLOOKUP(VLOOKUP(T_Convention[[#This Row],[NumL]],T_TraitDi[#Data],COLUMN(T_TraitDi[Type1]),FALSE),TypeTW,2,FALSE),"")</f>
        <v>son domicile (lieu de résidence habituelle du télétravailleur)</v>
      </c>
      <c r="BM314" s="288" t="str">
        <f>IFERROR(VLOOKUP(T_Convention[[#This Row],[NumL]],T_TraitDi[#Data],COLUMN(T_TraitDi[Rue1]),FALSE),"")</f>
        <v xml:space="preserve">146 place de la grande hermière </v>
      </c>
      <c r="BN314" s="289" t="str">
        <f>IFERROR(VLOOKUP(T_Convention[[#This Row],[NumL]],T_TraitDi[#Data],COLUMN(T_TraitDi[CP1]),FALSE),"")</f>
        <v>01360</v>
      </c>
      <c r="BO314" s="282" t="str">
        <f>IFERROR(VLOOKUP(T_Convention[[#This Row],[NumL]],T_TraitDi[#Data],COLUMN(T_TraitDi[VILLE1]),FALSE),"")</f>
        <v>BELIGNEUX</v>
      </c>
      <c r="BP314" s="290" t="str">
        <f>IFERROR(VLOOKUP(VLOOKUP(T_Convention[[#This Row],[NumL]],T_TraitDi[#Data],COLUMN(T_TraitDi[Type2]),FALSE),TypeTW,2,FALSE),"")</f>
        <v/>
      </c>
      <c r="BQ314" s="182" t="str">
        <f>IFERROR(VLOOKUP(T_Convention[[#This Row],[NumL]],T_TraitDi[#Data],COLUMN(T_TraitDi[Rue2]),FALSE),"")</f>
        <v>Sans objet</v>
      </c>
      <c r="BR314" s="173" t="str">
        <f>IFERROR(VLOOKUP(T_Convention[[#This Row],[NumL]],T_TraitDi[#Data],COLUMN(T_TraitDi[CP2]),FALSE),"")</f>
        <v xml:space="preserve"> </v>
      </c>
      <c r="BS314" s="173" t="str">
        <f>IFERROR(VLOOKUP(T_Convention[[#This Row],[NumL]],T_TraitDi[#Data],COLUMN(T_TraitDi[VILLE2]),FALSE),"")</f>
        <v xml:space="preserve">  </v>
      </c>
      <c r="BT314" s="182" t="str">
        <f>IF(VLOOKUP(T_Convention[[#This Row],[NumL]],T_Equipement[#Data],COLUMN(T_Equipement[PC]),FALSE)="","Aucun équipement spécifique directement lié au télétravail",VLOOKUP(T_Convention[[#This Row],[NumL]],T_Equipement[#Data],COLUMN(T_Equipement[PC]),FALSE))</f>
        <v>20-086</v>
      </c>
      <c r="BU314" s="166" t="str">
        <f>IFERROR(IF(VLOOKUP(T_Convention[[#This Row],[NumL]],T_TraitDi[#Data],COLUMN(T_TraitDi[Plan]),FALSE)="OK","Un planning spécifique de télétravail est annexé à la présente convention.",""),"")</f>
        <v/>
      </c>
      <c r="BV314" s="185"/>
      <c r="BW314" s="164" t="str">
        <f>IF(VLOOKUP(T_Convention[[#This Row],[NumL]],T_suiviDi[#Data],COLUMN(T_suiviDi[Entité]),FALSE)="","",VLOOKUP(T_Convention[[#This Row],[NumL]],T_suiviDi[#Data],COLUMN(T_suiviDi[Entité]),FALSE))</f>
        <v>DEVU</v>
      </c>
      <c r="BX314" s="164" t="str">
        <f>IF(VLOOKUP(T_Convention[[#This Row],[NumL]],T_Commission[#Data],COLUMN(T_Commission[envoi confirm TW]),FALSE)="","",VLOOKUP(T_Convention[[#This Row],[NumL]],T_Commission[#Data],COLUMN(T_Commission[envoi confirm TW]),FALSE))</f>
        <v>Oui</v>
      </c>
      <c r="BY314"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4" s="264">
        <f>VLOOKUP(T_Convention[[#This Row],[NumL]],T_Commission[#Data],COLUMN(T_Commission[Commentaire]),FALSE)</f>
        <v>0</v>
      </c>
      <c r="CA314" s="254" t="str">
        <f>IF(VLOOKUP(T_Convention[[#This Row],[NumL]],T_Commission[#Data],COLUMN(T_Commission[Encadrant Email]),FALSE)="","",VLOOKUP(T_Convention[[#This Row],[NumL]],T_Commission[#Data],COLUMN(T_Commission[Encadrant Email]),FALSE))</f>
        <v/>
      </c>
      <c r="CB314" s="352">
        <f>VLOOKUP(T_Convention[[#This Row],[NumL]],T_TraitDi[#Data],COLUMN(T_TraitDi[NbJTot]),FALSE)</f>
        <v>5</v>
      </c>
      <c r="CC314" s="352" t="str">
        <f>VLOOKUP(T_Convention[[#This Row],[NumL]],T_TraitDi[#Data],COLUMN(T_TraitDi[Reg Ponct]),FALSE)</f>
        <v>R</v>
      </c>
      <c r="CD314" s="348" t="str">
        <f>IF(T_Convention[[#This Row],[Final]]&lt;&gt;"",VLOOKUP(T_Convention[[#This Row],[NumL]],T_suiviDi[#Data],COLUMN((T_suiviDi[Statut])),FALSE),"")</f>
        <v>RENVL</v>
      </c>
    </row>
    <row r="315" spans="1:82" s="50" customFormat="1" ht="18.75" customHeight="1" x14ac:dyDescent="0.25">
      <c r="A315" s="90">
        <v>152</v>
      </c>
      <c r="B315" s="161">
        <f>VLOOKUP(T_Convention[[#This Row],[NumL]],T_Commission[#Data],COLUMN(T_Commission[FINAL]),FALSE)</f>
        <v>1</v>
      </c>
      <c r="C315" s="162"/>
      <c r="D315" s="95" t="str">
        <f>IF(VLOOKUP(T_Convention[[#This Row],[NumL]],T_TraitDi[#Data],COLUMN(T_TraitDi[WebC]),FALSE)="","",VLOOKUP(T_Convention[[#This Row],[NumL]],T_TraitDi[#Data],COLUMN(T_TraitDi[WebC]),FALSE))</f>
        <v>WG</v>
      </c>
      <c r="E315" s="95" t="str">
        <f t="shared" si="20"/>
        <v>12 janvier 2021</v>
      </c>
      <c r="F315" s="282" t="str">
        <f>IF(T_Convention[[#This Row],[Final]]&lt;&gt;"",VLOOKUP(T_Convention[[#This Row],[NumL]],T_suiviDi[#Data],COLUMN((T_suiviDi[Civ.])),FALSE),"")</f>
        <v>Mme</v>
      </c>
      <c r="G315" s="283" t="str">
        <f>IF(T_Convention[[#This Row],[Final]]&lt;&gt;"",VLOOKUP(T_Convention[[#This Row],[NumL]],T_suiviDi[#Data],COLUMN((T_suiviDi[Nom])),FALSE),"")</f>
        <v>A</v>
      </c>
      <c r="H315" s="282" t="str">
        <f>IF(T_Convention[[#This Row],[Final]]&lt;&gt;"",VLOOKUP(T_Convention[[#This Row],[NumL]],T_suiviDi[#Data],COLUMN((T_suiviDi[Prénom])),FALSE),"")</f>
        <v>Elodie</v>
      </c>
      <c r="I315" s="282" t="e">
        <f>VLOOKUP(T_Convention[[#This Row],[NumL]],T_suiviDi[#Data],COLUMN((T_suiviDi[[#This Row],[Email]])),FALSE)</f>
        <v>#VALUE!</v>
      </c>
      <c r="J315" s="282" t="e">
        <f>IF(VLOOKUP(T_Convention[[#This Row],[NumL]],T_suiviDi[#Data],COLUMN(T_suiviDi[[#This Row],[Fonction]]),FALSE)="","",VLOOKUP(T_Convention[[#This Row],[NumL]],T_suiviDi[#Data],COLUMN(T_suiviDi[[#This Row],[Fonction]]),FALSE))</f>
        <v>#VALUE!</v>
      </c>
      <c r="K315" s="282" t="e">
        <f>IF(VLOOKUP(T_Convention[[#This Row],[NumL]],T_suiviDi[#Data],COLUMN(T_suiviDi[[#This Row],[Grade]]),FALSE)="","",VLOOKUP(T_Convention[[#This Row],[NumL]],T_suiviDi[#Data],COLUMN(T_suiviDi[[#This Row],[Grade]]),FALSE))</f>
        <v>#VALUE!</v>
      </c>
      <c r="L315" s="282" t="e">
        <f>IF(VLOOKUP(T_Convention[[#This Row],[NumL]],T_suiviDi[#Data],COLUMN(T_suiviDi[[#This Row],[Service ]]),FALSE)="","",VLOOKUP(T_Convention[[#This Row],[NumL]],T_suiviDi[#Data],COLUMN(T_suiviDi[[#This Row],[Service ]]),FALSE))</f>
        <v>#VALUE!</v>
      </c>
      <c r="M315" s="96" t="str">
        <f t="shared" si="21"/>
        <v>01 septembre 2021</v>
      </c>
      <c r="N315" s="96" t="str">
        <f t="shared" si="22"/>
        <v>30 novembre 2021</v>
      </c>
      <c r="O315" s="284" t="str">
        <f t="shared" si="23"/>
        <v>30 novembre 2021</v>
      </c>
      <c r="P315" s="282" t="str">
        <f>IF(VLOOKUP(T_Convention[[#This Row],[NumL]],T_TraitDi[#Data],COLUMN(T_TraitDi[M1]),FALSE)="","",VLOOKUP(T_Convention[[#This Row],[NumL]],T_TraitDi[#Data],COLUMN(T_TraitDi[M1]),FALSE))</f>
        <v>Développement de projets vie étudiante</v>
      </c>
      <c r="Q315" s="282" t="str">
        <f>IF(VLOOKUP(T_Convention[[#This Row],[NumL]],T_TraitDi[#Data],COLUMN(T_TraitDi[M2]),FALSE)="","",VLOOKUP(T_Convention[[#This Row],[NumL]],T_TraitDi[#Data],COLUMN(T_TraitDi[M2]),FALSE))</f>
        <v>Travail sur l’évolution des procédures</v>
      </c>
      <c r="R315" s="282" t="str">
        <f>IF(VLOOKUP(T_Convention[[#This Row],[NumL]],T_TraitDi[#Data],COLUMN(T_TraitDi[M3]),FALSE)="","",VLOOKUP(T_Convention[[#This Row],[NumL]],T_TraitDi[#Data],COLUMN(T_TraitDi[M3]),FALSE))</f>
        <v/>
      </c>
      <c r="S315" s="282" t="str">
        <f>IF(VLOOKUP(T_Convention[[#This Row],[NumL]],T_TraitDi[#Data],COLUMN(T_TraitDi[M4]),FALSE)="","",VLOOKUP(T_Convention[[#This Row],[NumL]],T_TraitDi[#Data],COLUMN(T_TraitDi[M4]),FALSE))</f>
        <v/>
      </c>
      <c r="T315" s="282" t="str">
        <f>IF(VLOOKUP(T_Convention[[#This Row],[NumL]],T_TraitDi[#Data],COLUMN(T_TraitDi[M5]),FALSE)="","",VLOOKUP(T_Convention[[#This Row],[NumL]],T_TraitDi[#Data],COLUMN(T_TraitDi[M5]),FALSE))</f>
        <v/>
      </c>
      <c r="U315" s="282" t="str">
        <f>IF(VLOOKUP(T_Convention[[#This Row],[NumL]],T_TraitDi[#Data],COLUMN(T_TraitDi[M6]),FALSE)="","",VLOOKUP(T_Convention[[#This Row],[NumL]],T_TraitDi[#Data],COLUMN(T_TraitDi[M6]),FALSE))</f>
        <v/>
      </c>
      <c r="V315" s="176" t="str">
        <f t="shared" si="24"/>
        <v>Développement de projets vie étudianteTravail sur l’évolution des procédures</v>
      </c>
      <c r="W315" s="284" t="str">
        <f>IFERROR(TEXT(VLOOKUP(T_Convention[[#This Row],[NumL]],T_TraitDi[#Data],COLUMN(T_TraitDi[Q2]),FALSE),"###%"),"")</f>
        <v>100%</v>
      </c>
      <c r="X315" s="97" t="str">
        <f>VLOOKUP(T_Convention[[#This Row],[NumL]],T_TraitDi[#Data],COLUMN(T_TraitDi[Reg Ponct]),FALSE)</f>
        <v>R</v>
      </c>
      <c r="Y315" s="97">
        <f>VLOOKUP(T_Convention[NumL],T_TraitDi[#Data],COLUMN(T_TraitDi[Jours flottants]),FALSE)</f>
        <v>10</v>
      </c>
      <c r="Z315" s="284" t="str">
        <f>IFERROR(VLOOKUP(T_Convention[[#This Row],[NumL]],T_TraitDi[#Data],COLUMN(T_TraitDi[Lundi]),FALSE),"")</f>
        <v>S</v>
      </c>
      <c r="AA315" s="284" t="str">
        <f>IF(VLOOKUP(T_Convention[[#This Row],[NumL]],T_TraitDi[#Data],COLUMN(T_TraitDi[Colonne3]),FALSE)=0,"",TEXT(IFERROR(VLOOKUP(T_Convention[[#This Row],[NumL]],T_TraitDi[#Data],COLUMN(T_TraitDi[Colonne3]),FALSE),""),"[hh]:mm"))</f>
        <v>08:50</v>
      </c>
      <c r="AB315" s="284" t="str">
        <f>IF(VLOOKUP(T_Convention[[#This Row],[NumL]],T_TraitDi[#Data],COLUMN(T_TraitDi[Colonne4]),FALSE)=0,"",TEXT(IFERROR(VLOOKUP(T_Convention[[#This Row],[NumL]],T_TraitDi[#Data],COLUMN(T_TraitDi[Colonne4]),FALSE),""),"[hh]:mm"))</f>
        <v>12:00</v>
      </c>
      <c r="AC315" s="284" t="str">
        <f>IF(VLOOKUP(T_Convention[[#This Row],[NumL]],T_TraitDi[#Data],COLUMN(T_TraitDi[Colonne5]),FALSE)=0,"",TEXT(IFERROR(VLOOKUP(T_Convention[[#This Row],[NumL]],T_TraitDi[#Data],COLUMN(T_TraitDi[Colonne5]),FALSE),""),"[hh]:mm"))</f>
        <v>S</v>
      </c>
      <c r="AD315" s="284" t="str">
        <f>IF(VLOOKUP(T_Convention[[#This Row],[NumL]],T_TraitDi[#Data],COLUMN(T_TraitDi[Colonne6]),FALSE)=0,"",TEXT(IFERROR(VLOOKUP(T_Convention[[#This Row],[NumL]],T_TraitDi[#Data],COLUMN(T_TraitDi[Colonne6]),FALSE),""),"[hh]:mm"))</f>
        <v>13:00</v>
      </c>
      <c r="AE315" s="284" t="str">
        <f>IF(VLOOKUP(T_Convention[[#This Row],[NumL]],T_TraitDi[#Data],COLUMN(T_TraitDi[Colonne7]),FALSE)=0,"",TEXT(IFERROR(VLOOKUP(T_Convention[[#This Row],[NumL]],T_TraitDi[#Data],COLUMN(T_TraitDi[Colonne7]),FALSE),""),"[hh]:mm"))</f>
        <v>17:45</v>
      </c>
      <c r="AF315" s="284" t="str">
        <f>IF(VLOOKUP(T_Convention[[#This Row],[NumL]],T_TraitDi[#Data],COLUMN(T_TraitDi[Colonne8]),FALSE)=0,"",TEXT(IFERROR(VLOOKUP(T_Convention[[#This Row],[NumL]],T_TraitDi[#Data],COLUMN(T_TraitDi[Colonne8]),FALSE),""),"[hh]:mm"))</f>
        <v>07:55</v>
      </c>
      <c r="AG315" s="284" t="str">
        <f>IFERROR(VLOOKUP(T_Convention[[#This Row],[NumL]],T_TraitDi[#Data],COLUMN(T_TraitDi[Mardi]),FALSE),"")</f>
        <v>S</v>
      </c>
      <c r="AH315" s="284" t="str">
        <f>IF(VLOOKUP(T_Convention[[#This Row],[NumL]],T_TraitDi[#Data],COLUMN(T_TraitDi[Colonne1]),FALSE)=0,"",TEXT(IFERROR(VLOOKUP(T_Convention[[#This Row],[NumL]],T_TraitDi[#Data],COLUMN(T_TraitDi[Colonne1]),FALSE),""),"[hh]:mm"))</f>
        <v>08:50</v>
      </c>
      <c r="AI315" s="284" t="str">
        <f>IF(VLOOKUP(T_Convention[[#This Row],[NumL]],T_TraitDi[#Data],COLUMN(T_TraitDi[Colonne9]),FALSE)=0,"",TEXT(IFERROR(VLOOKUP(T_Convention[[#This Row],[NumL]],T_TraitDi[#Data],COLUMN(T_TraitDi[Colonne9]),FALSE),""),"[hh]:mm"))</f>
        <v>12:00</v>
      </c>
      <c r="AJ315" s="284" t="str">
        <f>IFERROR(VLOOKUP(T_Convention[[#This Row],[NumL]],T_TraitDi[#Data],COLUMN(T_TraitDi[Colonne10]),FALSE),"")</f>
        <v>S</v>
      </c>
      <c r="AK315" s="284" t="str">
        <f>IF(VLOOKUP(T_Convention[[#This Row],[NumL]],T_TraitDi[#Data],COLUMN(T_TraitDi[Colonne11]),FALSE)=0,"",TEXT(IFERROR(VLOOKUP(T_Convention[[#This Row],[NumL]],T_TraitDi[#Data],COLUMN(T_TraitDi[Colonne11]),FALSE),""),"[hh]:mm"))</f>
        <v>13:00</v>
      </c>
      <c r="AL315" s="284" t="str">
        <f>IF(VLOOKUP(T_Convention[[#This Row],[NumL]],T_TraitDi[#Data],COLUMN(T_TraitDi[Colonne12]),FALSE)=0,"",TEXT(IFERROR(VLOOKUP(T_Convention[[#This Row],[NumL]],T_TraitDi[#Data],COLUMN(T_TraitDi[Colonne12]),FALSE),""),"[hh]:mm"))</f>
        <v>17:00</v>
      </c>
      <c r="AM315" s="284" t="str">
        <f>IF(VLOOKUP(T_Convention[[#This Row],[NumL]],T_TraitDi[#Data],COLUMN(T_TraitDi[Colonne14]),FALSE)=0,"",TEXT(IFERROR(VLOOKUP(T_Convention[[#This Row],[NumL]],T_TraitDi[#Data],COLUMN(T_TraitDi[Colonne14]),FALSE),""),"[hh]:mm"))</f>
        <v>07:10</v>
      </c>
      <c r="AN315" s="284" t="str">
        <f>IFERROR(VLOOKUP(T_Convention[[#This Row],[NumL]],T_TraitDi[#Data],COLUMN(T_TraitDi[Mercredi]),FALSE),"")</f>
        <v>T</v>
      </c>
      <c r="AO315" s="284" t="str">
        <f>IF(VLOOKUP(T_Convention[[#This Row],[NumL]],T_TraitDi[#Data],COLUMN(T_TraitDi[Colonne15]),FALSE)=0,"",TEXT(IFERROR(VLOOKUP(T_Convention[[#This Row],[NumL]],T_TraitDi[#Data],COLUMN(T_TraitDi[Colonne15]),FALSE),""),"[hh]:mm"))</f>
        <v>08:50</v>
      </c>
      <c r="AP315" s="284" t="str">
        <f>IF(VLOOKUP(T_Convention[[#This Row],[NumL]],T_TraitDi[#Data],COLUMN(T_TraitDi[Colonne16]),FALSE)=0,"",TEXT(IFERROR(VLOOKUP(T_Convention[[#This Row],[NumL]],T_TraitDi[#Data],COLUMN(T_TraitDi[Colonne16]),FALSE),""),"[hh]:mm"))</f>
        <v>12:30</v>
      </c>
      <c r="AQ315" s="284" t="str">
        <f>IFERROR(VLOOKUP(T_Convention[[#This Row],[NumL]],T_TraitDi[#Data],COLUMN(T_TraitDi[Colonne17]),FALSE),"")</f>
        <v>T</v>
      </c>
      <c r="AR315" s="284" t="str">
        <f>IF(VLOOKUP(T_Convention[[#This Row],[NumL]],T_TraitDi[#Data],COLUMN(T_TraitDi[Colonne18]),FALSE)=0,"",TEXT(IFERROR(VLOOKUP(T_Convention[[#This Row],[NumL]],T_TraitDi[#Data],COLUMN(T_TraitDi[Colonne18]),FALSE),""),"[hh]:mm"))</f>
        <v>13:30</v>
      </c>
      <c r="AS315" s="284" t="str">
        <f>IF(VLOOKUP(T_Convention[[#This Row],[NumL]],T_TraitDi[#Data],COLUMN(T_TraitDi[Colonne19]),FALSE)=0,"",TEXT(IFERROR(VLOOKUP(T_Convention[[#This Row],[NumL]],T_TraitDi[#Data],COLUMN(T_TraitDi[Colonne19]),FALSE),""),"[hh]:mm"))</f>
        <v>17:00</v>
      </c>
      <c r="AT315" s="284" t="str">
        <f>IF(VLOOKUP(T_Convention[[#This Row],[NumL]],T_TraitDi[#Data],COLUMN(T_TraitDi[Colonne20]),FALSE)=0,"",TEXT(IFERROR(VLOOKUP(T_Convention[[#This Row],[NumL]],T_TraitDi[#Data],COLUMN(T_TraitDi[Colonne20]),FALSE),""),"[hh]:mm"))</f>
        <v>07:10</v>
      </c>
      <c r="AU315" s="284" t="str">
        <f>IFERROR(VLOOKUP(T_Convention[[#This Row],[NumL]],T_TraitDi[#Data],COLUMN(T_TraitDi[Jeudi]),FALSE),"")</f>
        <v>S</v>
      </c>
      <c r="AV315" s="284" t="str">
        <f>IF(VLOOKUP(T_Convention[[#This Row],[NumL]],T_TraitDi[#Data],COLUMN(T_TraitDi[Colonne21]),FALSE)=0,"",TEXT(IFERROR(VLOOKUP(T_Convention[[#This Row],[NumL]],T_TraitDi[#Data],COLUMN(T_TraitDi[Colonne21]),FALSE),""),"[hh]:mm"))</f>
        <v>08:50</v>
      </c>
      <c r="AW315" s="284" t="str">
        <f>IF(VLOOKUP(T_Convention[[#This Row],[NumL]],T_TraitDi[#Data],COLUMN(T_TraitDi[Colonne22]),FALSE)=0,"",TEXT(IFERROR(VLOOKUP(T_Convention[[#This Row],[NumL]],T_TraitDi[#Data],COLUMN(T_TraitDi[Colonne22]),FALSE),""),"[hh]:mm"))</f>
        <v>12:00</v>
      </c>
      <c r="AX315" s="284" t="str">
        <f>IFERROR(VLOOKUP(T_Convention[[#This Row],[NumL]],T_TraitDi[#Data],COLUMN(T_TraitDi[Colonne23]),FALSE),"")</f>
        <v>S</v>
      </c>
      <c r="AY315" s="284" t="str">
        <f>IF(VLOOKUP(T_Convention[[#This Row],[NumL]],T_TraitDi[#Data],COLUMN(T_TraitDi[Colonne24]),FALSE)=0,"",TEXT(IFERROR(VLOOKUP(T_Convention[[#This Row],[NumL]],T_TraitDi[#Data],COLUMN(T_TraitDi[Colonne24]),FALSE),""),"[hh]:mm"))</f>
        <v>13:00</v>
      </c>
      <c r="AZ315" s="284" t="str">
        <f>IF(VLOOKUP(T_Convention[[#This Row],[NumL]],T_TraitDi[#Data],COLUMN(T_TraitDi[Colonne25]),FALSE)=0,"",TEXT(IFERROR(VLOOKUP(T_Convention[[#This Row],[NumL]],T_TraitDi[#Data],COLUMN(T_TraitDi[Colonne25]),FALSE),""),"[hh]:mm"))</f>
        <v>17:45</v>
      </c>
      <c r="BA315" s="284" t="str">
        <f>IF(VLOOKUP(T_Convention[[#This Row],[NumL]],T_TraitDi[#Data],COLUMN(T_TraitDi[Colonne26]),FALSE)=0,"",TEXT(IFERROR(VLOOKUP(T_Convention[[#This Row],[NumL]],T_TraitDi[#Data],COLUMN(T_TraitDi[Colonne26]),FALSE),""),"[hh]:mm"))</f>
        <v>07:55</v>
      </c>
      <c r="BB315" s="284" t="str">
        <f>IFERROR(VLOOKUP(T_Convention[[#This Row],[NumL]],T_TraitDi[#Data],COLUMN(T_TraitDi[Vendredi]),FALSE),"")</f>
        <v>S</v>
      </c>
      <c r="BC315" s="284" t="str">
        <f>IF(VLOOKUP(T_Convention[[#This Row],[NumL]],T_TraitDi[#Data],COLUMN(T_TraitDi[Colonne27]),FALSE)=0,"",TEXT(IFERROR(VLOOKUP(T_Convention[[#This Row],[NumL]],T_TraitDi[#Data],COLUMN(T_TraitDi[Colonne27]),FALSE),""),"[hh]:mm"))</f>
        <v>08:50</v>
      </c>
      <c r="BD315" s="284" t="str">
        <f>IF(VLOOKUP(T_Convention[[#This Row],[NumL]],T_TraitDi[#Data],COLUMN(T_TraitDi[Colonne28]),FALSE)=0,"",TEXT(IFERROR(VLOOKUP(T_Convention[[#This Row],[NumL]],T_TraitDi[#Data],COLUMN(T_TraitDi[Colonne28]),FALSE),""),"[hh]:mm"))</f>
        <v>12:00</v>
      </c>
      <c r="BE315" s="284" t="str">
        <f>IFERROR(VLOOKUP(T_Convention[[#This Row],[NumL]],T_TraitDi[#Data],COLUMN(T_TraitDi[Colonne29]),FALSE),"")</f>
        <v>S</v>
      </c>
      <c r="BF315" s="284" t="str">
        <f>IF(VLOOKUP(T_Convention[[#This Row],[NumL]],T_TraitDi[#Data],COLUMN(T_TraitDi[Colonne30]),FALSE)=0,"",TEXT(IFERROR(VLOOKUP(T_Convention[[#This Row],[NumL]],T_TraitDi[#Data],COLUMN(T_TraitDi[Colonne30]),FALSE),""),"[hh]:mm"))</f>
        <v>13:00</v>
      </c>
      <c r="BG315" s="284" t="str">
        <f>IF(VLOOKUP(T_Convention[[#This Row],[NumL]],T_TraitDi[#Data],COLUMN(T_TraitDi[Colonne31]),FALSE)=0,"",TEXT(IFERROR(VLOOKUP(T_Convention[[#This Row],[NumL]],T_TraitDi[#Data],COLUMN(T_TraitDi[Colonne31]),FALSE),""),"[hh]:mm"))</f>
        <v>16:45</v>
      </c>
      <c r="BH315" s="284" t="str">
        <f>IF(VLOOKUP(T_Convention[[#This Row],[NumL]],T_TraitDi[#Data],COLUMN(T_TraitDi[Colonne32]),FALSE)=0,"",TEXT(IFERROR(VLOOKUP(T_Convention[[#This Row],[NumL]],T_TraitDi[#Data],COLUMN(T_TraitDi[Colonne32]),FALSE),""),"[hh]:mm"))</f>
        <v>06:55</v>
      </c>
      <c r="BI315" s="284">
        <f>IFERROR(VLOOKUP(T_Convention[[#This Row],[NumL]],T_TraitDi[#Data],COLUMN(T_TraitDi[NbJTW]),FALSE),"")</f>
        <v>1</v>
      </c>
      <c r="BJ315" s="284" t="str">
        <f>IF(VLOOKUP(T_Convention[[#This Row],[NumL]],T_TraitDi[#Data],COLUMN(T_TraitDi[NbhTW]),FALSE)=0,"",TEXT(IFERROR(VLOOKUP(T_Convention[[#This Row],[NumL]],T_TraitDi[#Data],COLUMN(T_TraitDi[NbhTW]),FALSE),""),"[hh]:mm"))</f>
        <v>07:10</v>
      </c>
      <c r="BK315" s="286" t="str">
        <f>IF(VLOOKUP(T_Convention[[#This Row],[NumL]],T_TraitDi[#Data],COLUMN(T_TraitDi[Nbhheb]),FALSE)=0,"",TEXT(IFERROR(VLOOKUP(T_Convention[[#This Row],[NumL]],T_TraitDi[#Data],COLUMN(T_TraitDi[Nbhheb]),FALSE),""),"[hh]:mm"))</f>
        <v>37:05</v>
      </c>
      <c r="BL315" s="287" t="str">
        <f>IFERROR(VLOOKUP(VLOOKUP(T_Convention[[#This Row],[NumL]],T_TraitDi[#Data],COLUMN(T_TraitDi[Type1]),FALSE),TypeTW,2,FALSE),"")</f>
        <v>son domicile (lieu de résidence habituelle du télétravailleur)</v>
      </c>
      <c r="BM315" s="288" t="str">
        <f>IFERROR(VLOOKUP(T_Convention[[#This Row],[NumL]],T_TraitDi[#Data],COLUMN(T_TraitDi[Rue1]),FALSE),"")</f>
        <v>32 rue du 8 mai 1945</v>
      </c>
      <c r="BN315" s="289" t="str">
        <f>IFERROR(VLOOKUP(T_Convention[[#This Row],[NumL]],T_TraitDi[#Data],COLUMN(T_TraitDi[CP1]),FALSE),"")</f>
        <v>69100</v>
      </c>
      <c r="BO315" s="282" t="str">
        <f>IFERROR(VLOOKUP(T_Convention[[#This Row],[NumL]],T_TraitDi[#Data],COLUMN(T_TraitDi[VILLE1]),FALSE),"")</f>
        <v>VILLEURBANNE</v>
      </c>
      <c r="BP315" s="290" t="str">
        <f>IFERROR(VLOOKUP(VLOOKUP(T_Convention[[#This Row],[NumL]],T_TraitDi[#Data],COLUMN(T_TraitDi[Type2]),FALSE),TypeTW,2,FALSE),"")</f>
        <v/>
      </c>
      <c r="BQ315" s="182" t="str">
        <f>IFERROR(VLOOKUP(T_Convention[[#This Row],[NumL]],T_TraitDi[#Data],COLUMN(T_TraitDi[Rue2]),FALSE),"")</f>
        <v>Sans objet</v>
      </c>
      <c r="BR315" s="173" t="str">
        <f>IFERROR(VLOOKUP(T_Convention[[#This Row],[NumL]],T_TraitDi[#Data],COLUMN(T_TraitDi[CP2]),FALSE),"")</f>
        <v xml:space="preserve"> </v>
      </c>
      <c r="BS315" s="173" t="str">
        <f>IFERROR(VLOOKUP(T_Convention[[#This Row],[NumL]],T_TraitDi[#Data],COLUMN(T_TraitDi[VILLE2]),FALSE),"")</f>
        <v xml:space="preserve">  </v>
      </c>
      <c r="BT315" s="182" t="str">
        <f>IF(VLOOKUP(T_Convention[[#This Row],[NumL]],T_Equipement[#Data],COLUMN(T_Equipement[PC]),FALSE)="","Aucun équipement spécifique directement lié au télétravail",VLOOKUP(T_Convention[[#This Row],[NumL]],T_Equipement[#Data],COLUMN(T_Equipement[PC]),FALSE))</f>
        <v xml:space="preserve">17-031	</v>
      </c>
      <c r="BU315" s="166" t="str">
        <f>IFERROR(IF(VLOOKUP(T_Convention[[#This Row],[NumL]],T_TraitDi[#Data],COLUMN(T_TraitDi[Plan]),FALSE)="OK","Un planning spécifique de télétravail est annexé à la présente convention.",""),"")</f>
        <v/>
      </c>
      <c r="BV315" s="185" t="s">
        <v>3299</v>
      </c>
      <c r="BW315" s="164" t="str">
        <f>IF(VLOOKUP(T_Convention[[#This Row],[NumL]],T_suiviDi[#Data],COLUMN(T_suiviDi[Entité]),FALSE)="","",VLOOKUP(T_Convention[[#This Row],[NumL]],T_suiviDi[#Data],COLUMN(T_suiviDi[Entité]),FALSE))</f>
        <v>DEVU</v>
      </c>
      <c r="BX315" s="164" t="str">
        <f>IF(VLOOKUP(T_Convention[[#This Row],[NumL]],T_Commission[#Data],COLUMN(T_Commission[envoi confirm TW]),FALSE)="","",VLOOKUP(T_Convention[[#This Row],[NumL]],T_Commission[#Data],COLUMN(T_Commission[envoi confirm TW]),FALSE))</f>
        <v>Oui</v>
      </c>
      <c r="BY315"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5" s="264">
        <f>VLOOKUP(T_Convention[[#This Row],[NumL]],T_Commission[#Data],COLUMN(T_Commission[Commentaire]),FALSE)</f>
        <v>0</v>
      </c>
      <c r="CA315" s="254" t="str">
        <f>IF(VLOOKUP(T_Convention[[#This Row],[NumL]],T_Commission[#Data],COLUMN(T_Commission[Encadrant Email]),FALSE)="","",VLOOKUP(T_Convention[[#This Row],[NumL]],T_Commission[#Data],COLUMN(T_Commission[Encadrant Email]),FALSE))</f>
        <v/>
      </c>
      <c r="CB315" s="352">
        <f>VLOOKUP(T_Convention[[#This Row],[NumL]],T_TraitDi[#Data],COLUMN(T_TraitDi[NbJTot]),FALSE)</f>
        <v>5</v>
      </c>
      <c r="CC315" s="352" t="str">
        <f>VLOOKUP(T_Convention[[#This Row],[NumL]],T_TraitDi[#Data],COLUMN(T_TraitDi[Reg Ponct]),FALSE)</f>
        <v>R</v>
      </c>
      <c r="CD315" s="348" t="str">
        <f>IF(T_Convention[[#This Row],[Final]]&lt;&gt;"",VLOOKUP(T_Convention[[#This Row],[NumL]],T_suiviDi[#Data],COLUMN((T_suiviDi[Statut])),FALSE),"")</f>
        <v>RENVL</v>
      </c>
    </row>
    <row r="316" spans="1:82" s="50" customFormat="1" ht="18.75" customHeight="1" x14ac:dyDescent="0.25">
      <c r="A316" s="90">
        <v>178</v>
      </c>
      <c r="B316" s="161">
        <f>VLOOKUP(T_Convention[[#This Row],[NumL]],T_Commission[#Data],COLUMN(T_Commission[FINAL]),FALSE)</f>
        <v>1</v>
      </c>
      <c r="C316" s="162"/>
      <c r="D316" s="95" t="str">
        <f>IF(VLOOKUP(T_Convention[[#This Row],[NumL]],T_TraitDi[#Data],COLUMN(T_TraitDi[WebC]),FALSE)="","",VLOOKUP(T_Convention[[#This Row],[NumL]],T_TraitDi[#Data],COLUMN(T_TraitDi[WebC]),FALSE))</f>
        <v>WG</v>
      </c>
      <c r="E316" s="95" t="str">
        <f t="shared" si="20"/>
        <v>12 janvier 2021</v>
      </c>
      <c r="F316" s="282" t="str">
        <f>IF(T_Convention[[#This Row],[Final]]&lt;&gt;"",VLOOKUP(T_Convention[[#This Row],[NumL]],T_suiviDi[#Data],COLUMN((T_suiviDi[Civ.])),FALSE),"")</f>
        <v>Mme</v>
      </c>
      <c r="G316" s="283" t="str">
        <f>IF(T_Convention[[#This Row],[Final]]&lt;&gt;"",VLOOKUP(T_Convention[[#This Row],[NumL]],T_suiviDi[#Data],COLUMN((T_suiviDi[Nom])),FALSE),"")</f>
        <v>A</v>
      </c>
      <c r="H316" s="282" t="str">
        <f>IF(T_Convention[[#This Row],[Final]]&lt;&gt;"",VLOOKUP(T_Convention[[#This Row],[NumL]],T_suiviDi[#Data],COLUMN((T_suiviDi[Prénom])),FALSE),"")</f>
        <v>Cécile</v>
      </c>
      <c r="I316" s="282" t="e">
        <f>VLOOKUP(T_Convention[[#This Row],[NumL]],T_suiviDi[#Data],COLUMN((T_suiviDi[[#This Row],[Email]])),FALSE)</f>
        <v>#VALUE!</v>
      </c>
      <c r="J316" s="282" t="e">
        <f>IF(VLOOKUP(T_Convention[[#This Row],[NumL]],T_suiviDi[#Data],COLUMN(T_suiviDi[[#This Row],[Fonction]]),FALSE)="","",VLOOKUP(T_Convention[[#This Row],[NumL]],T_suiviDi[#Data],COLUMN(T_suiviDi[[#This Row],[Fonction]]),FALSE))</f>
        <v>#VALUE!</v>
      </c>
      <c r="K316" s="282" t="e">
        <f>IF(VLOOKUP(T_Convention[[#This Row],[NumL]],T_suiviDi[#Data],COLUMN(T_suiviDi[[#This Row],[Grade]]),FALSE)="","",VLOOKUP(T_Convention[[#This Row],[NumL]],T_suiviDi[#Data],COLUMN(T_suiviDi[[#This Row],[Grade]]),FALSE))</f>
        <v>#VALUE!</v>
      </c>
      <c r="L316" s="282" t="e">
        <f>IF(VLOOKUP(T_Convention[[#This Row],[NumL]],T_suiviDi[#Data],COLUMN(T_suiviDi[[#This Row],[Service ]]),FALSE)="","",VLOOKUP(T_Convention[[#This Row],[NumL]],T_suiviDi[#Data],COLUMN(T_suiviDi[[#This Row],[Service ]]),FALSE))</f>
        <v>#VALUE!</v>
      </c>
      <c r="M316" s="96" t="str">
        <f t="shared" si="21"/>
        <v>01 septembre 2021</v>
      </c>
      <c r="N316" s="96" t="str">
        <f t="shared" si="22"/>
        <v>30 novembre 2021</v>
      </c>
      <c r="O316" s="284" t="str">
        <f t="shared" si="23"/>
        <v>30 novembre 2021</v>
      </c>
      <c r="P316" s="282" t="str">
        <f>IF(VLOOKUP(T_Convention[[#This Row],[NumL]],T_TraitDi[#Data],COLUMN(T_TraitDi[M1]),FALSE)="","",VLOOKUP(T_Convention[[#This Row],[NumL]],T_TraitDi[#Data],COLUMN(T_TraitDi[M1]),FALSE))</f>
        <v>Gestion et coordination des emplois du temps</v>
      </c>
      <c r="Q316" s="282" t="str">
        <f>IF(VLOOKUP(T_Convention[[#This Row],[NumL]],T_TraitDi[#Data],COLUMN(T_TraitDi[M2]),FALSE)="","",VLOOKUP(T_Convention[[#This Row],[NumL]],T_TraitDi[#Data],COLUMN(T_TraitDi[M2]),FALSE))</f>
        <v>Gestion des modifications d'inscriptions</v>
      </c>
      <c r="R316" s="282" t="str">
        <f>IF(VLOOKUP(T_Convention[[#This Row],[NumL]],T_TraitDi[#Data],COLUMN(T_TraitDi[M3]),FALSE)="","",VLOOKUP(T_Convention[[#This Row],[NumL]],T_TraitDi[#Data],COLUMN(T_TraitDi[M3]),FALSE))</f>
        <v>Gestion nouveaux vacataires</v>
      </c>
      <c r="S316" s="282" t="str">
        <f>IF(VLOOKUP(T_Convention[[#This Row],[NumL]],T_TraitDi[#Data],COLUMN(T_TraitDi[M4]),FALSE)="","",VLOOKUP(T_Convention[[#This Row],[NumL]],T_TraitDi[#Data],COLUMN(T_TraitDi[M4]),FALSE))</f>
        <v/>
      </c>
      <c r="T316" s="282" t="str">
        <f>IF(VLOOKUP(T_Convention[[#This Row],[NumL]],T_TraitDi[#Data],COLUMN(T_TraitDi[M5]),FALSE)="","",VLOOKUP(T_Convention[[#This Row],[NumL]],T_TraitDi[#Data],COLUMN(T_TraitDi[M5]),FALSE))</f>
        <v/>
      </c>
      <c r="U316" s="282" t="str">
        <f>IF(VLOOKUP(T_Convention[[#This Row],[NumL]],T_TraitDi[#Data],COLUMN(T_TraitDi[M6]),FALSE)="","",VLOOKUP(T_Convention[[#This Row],[NumL]],T_TraitDi[#Data],COLUMN(T_TraitDi[M6]),FALSE))</f>
        <v/>
      </c>
      <c r="V316" s="176" t="str">
        <f t="shared" si="24"/>
        <v>Gestion et coordination des emplois du tempsGestion des modifications d'inscriptionsGestion nouveaux vacataires</v>
      </c>
      <c r="W316" s="284" t="str">
        <f>IFERROR(TEXT(VLOOKUP(T_Convention[[#This Row],[NumL]],T_TraitDi[#Data],COLUMN(T_TraitDi[Q2]),FALSE),"###%"),"")</f>
        <v>100%</v>
      </c>
      <c r="X316" s="97" t="str">
        <f>VLOOKUP(T_Convention[[#This Row],[NumL]],T_TraitDi[#Data],COLUMN(T_TraitDi[Reg Ponct]),FALSE)</f>
        <v>R</v>
      </c>
      <c r="Y316" s="97">
        <f>VLOOKUP(T_Convention[NumL],T_TraitDi[#Data],COLUMN(T_TraitDi[Jours flottants]),FALSE)</f>
        <v>10</v>
      </c>
      <c r="Z316" s="284" t="str">
        <f>IFERROR(VLOOKUP(T_Convention[[#This Row],[NumL]],T_TraitDi[#Data],COLUMN(T_TraitDi[Lundi]),FALSE),"")</f>
        <v>S</v>
      </c>
      <c r="AA316" s="284" t="str">
        <f>IF(VLOOKUP(T_Convention[[#This Row],[NumL]],T_TraitDi[#Data],COLUMN(T_TraitDi[Colonne3]),FALSE)=0,"",TEXT(IFERROR(VLOOKUP(T_Convention[[#This Row],[NumL]],T_TraitDi[#Data],COLUMN(T_TraitDi[Colonne3]),FALSE),""),"[hh]:mm"))</f>
        <v>08:30</v>
      </c>
      <c r="AB316" s="284" t="str">
        <f>IF(VLOOKUP(T_Convention[[#This Row],[NumL]],T_TraitDi[#Data],COLUMN(T_TraitDi[Colonne4]),FALSE)=0,"",TEXT(IFERROR(VLOOKUP(T_Convention[[#This Row],[NumL]],T_TraitDi[#Data],COLUMN(T_TraitDi[Colonne4]),FALSE),""),"[hh]:mm"))</f>
        <v>12:30</v>
      </c>
      <c r="AC316" s="284" t="str">
        <f>IF(VLOOKUP(T_Convention[[#This Row],[NumL]],T_TraitDi[#Data],COLUMN(T_TraitDi[Colonne5]),FALSE)=0,"",TEXT(IFERROR(VLOOKUP(T_Convention[[#This Row],[NumL]],T_TraitDi[#Data],COLUMN(T_TraitDi[Colonne5]),FALSE),""),"[hh]:mm"))</f>
        <v>S</v>
      </c>
      <c r="AD316" s="284" t="str">
        <f>IF(VLOOKUP(T_Convention[[#This Row],[NumL]],T_TraitDi[#Data],COLUMN(T_TraitDi[Colonne6]),FALSE)=0,"",TEXT(IFERROR(VLOOKUP(T_Convention[[#This Row],[NumL]],T_TraitDi[#Data],COLUMN(T_TraitDi[Colonne6]),FALSE),""),"[hh]:mm"))</f>
        <v>13:30</v>
      </c>
      <c r="AE316" s="284" t="str">
        <f>IF(VLOOKUP(T_Convention[[#This Row],[NumL]],T_TraitDi[#Data],COLUMN(T_TraitDi[Colonne7]),FALSE)=0,"",TEXT(IFERROR(VLOOKUP(T_Convention[[#This Row],[NumL]],T_TraitDi[#Data],COLUMN(T_TraitDi[Colonne7]),FALSE),""),"[hh]:mm"))</f>
        <v>17:30</v>
      </c>
      <c r="AF316" s="284" t="str">
        <f>IF(VLOOKUP(T_Convention[[#This Row],[NumL]],T_TraitDi[#Data],COLUMN(T_TraitDi[Colonne8]),FALSE)=0,"",TEXT(IFERROR(VLOOKUP(T_Convention[[#This Row],[NumL]],T_TraitDi[#Data],COLUMN(T_TraitDi[Colonne8]),FALSE),""),"[hh]:mm"))</f>
        <v>08:00</v>
      </c>
      <c r="AG316" s="284" t="str">
        <f>IFERROR(VLOOKUP(T_Convention[[#This Row],[NumL]],T_TraitDi[#Data],COLUMN(T_TraitDi[Mardi]),FALSE),"")</f>
        <v>S</v>
      </c>
      <c r="AH316" s="284" t="str">
        <f>IF(VLOOKUP(T_Convention[[#This Row],[NumL]],T_TraitDi[#Data],COLUMN(T_TraitDi[Colonne1]),FALSE)=0,"",TEXT(IFERROR(VLOOKUP(T_Convention[[#This Row],[NumL]],T_TraitDi[#Data],COLUMN(T_TraitDi[Colonne1]),FALSE),""),"[hh]:mm"))</f>
        <v>08:30</v>
      </c>
      <c r="AI316" s="284" t="str">
        <f>IF(VLOOKUP(T_Convention[[#This Row],[NumL]],T_TraitDi[#Data],COLUMN(T_TraitDi[Colonne9]),FALSE)=0,"",TEXT(IFERROR(VLOOKUP(T_Convention[[#This Row],[NumL]],T_TraitDi[#Data],COLUMN(T_TraitDi[Colonne9]),FALSE),""),"[hh]:mm"))</f>
        <v>12:30</v>
      </c>
      <c r="AJ316" s="284" t="str">
        <f>IFERROR(VLOOKUP(T_Convention[[#This Row],[NumL]],T_TraitDi[#Data],COLUMN(T_TraitDi[Colonne10]),FALSE),"")</f>
        <v>S</v>
      </c>
      <c r="AK316" s="284" t="str">
        <f>IF(VLOOKUP(T_Convention[[#This Row],[NumL]],T_TraitDi[#Data],COLUMN(T_TraitDi[Colonne11]),FALSE)=0,"",TEXT(IFERROR(VLOOKUP(T_Convention[[#This Row],[NumL]],T_TraitDi[#Data],COLUMN(T_TraitDi[Colonne11]),FALSE),""),"[hh]:mm"))</f>
        <v>13:30</v>
      </c>
      <c r="AL316" s="284" t="str">
        <f>IF(VLOOKUP(T_Convention[[#This Row],[NumL]],T_TraitDi[#Data],COLUMN(T_TraitDi[Colonne12]),FALSE)=0,"",TEXT(IFERROR(VLOOKUP(T_Convention[[#This Row],[NumL]],T_TraitDi[#Data],COLUMN(T_TraitDi[Colonne12]),FALSE),""),"[hh]:mm"))</f>
        <v>17:30</v>
      </c>
      <c r="AM316" s="284" t="str">
        <f>IF(VLOOKUP(T_Convention[[#This Row],[NumL]],T_TraitDi[#Data],COLUMN(T_TraitDi[Colonne14]),FALSE)=0,"",TEXT(IFERROR(VLOOKUP(T_Convention[[#This Row],[NumL]],T_TraitDi[#Data],COLUMN(T_TraitDi[Colonne14]),FALSE),""),"[hh]:mm"))</f>
        <v>08:00</v>
      </c>
      <c r="AN316" s="284" t="str">
        <f>IFERROR(VLOOKUP(T_Convention[[#This Row],[NumL]],T_TraitDi[#Data],COLUMN(T_TraitDi[Mercredi]),FALSE),"")</f>
        <v>S</v>
      </c>
      <c r="AO316" s="284" t="str">
        <f>IF(VLOOKUP(T_Convention[[#This Row],[NumL]],T_TraitDi[#Data],COLUMN(T_TraitDi[Colonne15]),FALSE)=0,"",TEXT(IFERROR(VLOOKUP(T_Convention[[#This Row],[NumL]],T_TraitDi[#Data],COLUMN(T_TraitDi[Colonne15]),FALSE),""),"[hh]:mm"))</f>
        <v>08:30</v>
      </c>
      <c r="AP316" s="284" t="str">
        <f>IF(VLOOKUP(T_Convention[[#This Row],[NumL]],T_TraitDi[#Data],COLUMN(T_TraitDi[Colonne16]),FALSE)=0,"",TEXT(IFERROR(VLOOKUP(T_Convention[[#This Row],[NumL]],T_TraitDi[#Data],COLUMN(T_TraitDi[Colonne16]),FALSE),""),"[hh]:mm"))</f>
        <v>13:35</v>
      </c>
      <c r="AQ316" s="284" t="str">
        <f>IFERROR(VLOOKUP(T_Convention[[#This Row],[NumL]],T_TraitDi[#Data],COLUMN(T_TraitDi[Colonne17]),FALSE),"")</f>
        <v>A</v>
      </c>
      <c r="AR316" s="284" t="str">
        <f>IF(VLOOKUP(T_Convention[[#This Row],[NumL]],T_TraitDi[#Data],COLUMN(T_TraitDi[Colonne18]),FALSE)=0,"",TEXT(IFERROR(VLOOKUP(T_Convention[[#This Row],[NumL]],T_TraitDi[#Data],COLUMN(T_TraitDi[Colonne18]),FALSE),""),"[hh]:mm"))</f>
        <v/>
      </c>
      <c r="AS316" s="284" t="str">
        <f>IF(VLOOKUP(T_Convention[[#This Row],[NumL]],T_TraitDi[#Data],COLUMN(T_TraitDi[Colonne19]),FALSE)=0,"",TEXT(IFERROR(VLOOKUP(T_Convention[[#This Row],[NumL]],T_TraitDi[#Data],COLUMN(T_TraitDi[Colonne19]),FALSE),""),"[hh]:mm"))</f>
        <v/>
      </c>
      <c r="AT316" s="284" t="str">
        <f>IF(VLOOKUP(T_Convention[[#This Row],[NumL]],T_TraitDi[#Data],COLUMN(T_TraitDi[Colonne20]),FALSE)=0,"",TEXT(IFERROR(VLOOKUP(T_Convention[[#This Row],[NumL]],T_TraitDi[#Data],COLUMN(T_TraitDi[Colonne20]),FALSE),""),"[hh]:mm"))</f>
        <v>05:05</v>
      </c>
      <c r="AU316" s="284" t="str">
        <f>IFERROR(VLOOKUP(T_Convention[[#This Row],[NumL]],T_TraitDi[#Data],COLUMN(T_TraitDi[Jeudi]),FALSE),"")</f>
        <v>T</v>
      </c>
      <c r="AV316" s="284" t="str">
        <f>IF(VLOOKUP(T_Convention[[#This Row],[NumL]],T_TraitDi[#Data],COLUMN(T_TraitDi[Colonne21]),FALSE)=0,"",TEXT(IFERROR(VLOOKUP(T_Convention[[#This Row],[NumL]],T_TraitDi[#Data],COLUMN(T_TraitDi[Colonne21]),FALSE),""),"[hh]:mm"))</f>
        <v>08:30</v>
      </c>
      <c r="AW316" s="284" t="str">
        <f>IF(VLOOKUP(T_Convention[[#This Row],[NumL]],T_TraitDi[#Data],COLUMN(T_TraitDi[Colonne22]),FALSE)=0,"",TEXT(IFERROR(VLOOKUP(T_Convention[[#This Row],[NumL]],T_TraitDi[#Data],COLUMN(T_TraitDi[Colonne22]),FALSE),""),"[hh]:mm"))</f>
        <v>12:30</v>
      </c>
      <c r="AX316" s="284" t="str">
        <f>IFERROR(VLOOKUP(T_Convention[[#This Row],[NumL]],T_TraitDi[#Data],COLUMN(T_TraitDi[Colonne23]),FALSE),"")</f>
        <v>T</v>
      </c>
      <c r="AY316" s="284" t="str">
        <f>IF(VLOOKUP(T_Convention[[#This Row],[NumL]],T_TraitDi[#Data],COLUMN(T_TraitDi[Colonne24]),FALSE)=0,"",TEXT(IFERROR(VLOOKUP(T_Convention[[#This Row],[NumL]],T_TraitDi[#Data],COLUMN(T_TraitDi[Colonne24]),FALSE),""),"[hh]:mm"))</f>
        <v>13:30</v>
      </c>
      <c r="AZ316" s="284" t="str">
        <f>IF(VLOOKUP(T_Convention[[#This Row],[NumL]],T_TraitDi[#Data],COLUMN(T_TraitDi[Colonne25]),FALSE)=0,"",TEXT(IFERROR(VLOOKUP(T_Convention[[#This Row],[NumL]],T_TraitDi[#Data],COLUMN(T_TraitDi[Colonne25]),FALSE),""),"[hh]:mm"))</f>
        <v>17:30</v>
      </c>
      <c r="BA316" s="284" t="str">
        <f>IF(VLOOKUP(T_Convention[[#This Row],[NumL]],T_TraitDi[#Data],COLUMN(T_TraitDi[Colonne26]),FALSE)=0,"",TEXT(IFERROR(VLOOKUP(T_Convention[[#This Row],[NumL]],T_TraitDi[#Data],COLUMN(T_TraitDi[Colonne26]),FALSE),""),"[hh]:mm"))</f>
        <v>08:00</v>
      </c>
      <c r="BB316" s="284" t="str">
        <f>IFERROR(VLOOKUP(T_Convention[[#This Row],[NumL]],T_TraitDi[#Data],COLUMN(T_TraitDi[Vendredi]),FALSE),"")</f>
        <v>S</v>
      </c>
      <c r="BC316" s="284" t="str">
        <f>IF(VLOOKUP(T_Convention[[#This Row],[NumL]],T_TraitDi[#Data],COLUMN(T_TraitDi[Colonne27]),FALSE)=0,"",TEXT(IFERROR(VLOOKUP(T_Convention[[#This Row],[NumL]],T_TraitDi[#Data],COLUMN(T_TraitDi[Colonne27]),FALSE),""),"[hh]:mm"))</f>
        <v>08:30</v>
      </c>
      <c r="BD316" s="284" t="str">
        <f>IF(VLOOKUP(T_Convention[[#This Row],[NumL]],T_TraitDi[#Data],COLUMN(T_TraitDi[Colonne28]),FALSE)=0,"",TEXT(IFERROR(VLOOKUP(T_Convention[[#This Row],[NumL]],T_TraitDi[#Data],COLUMN(T_TraitDi[Colonne28]),FALSE),""),"[hh]:mm"))</f>
        <v>12:30</v>
      </c>
      <c r="BE316" s="284" t="str">
        <f>IFERROR(VLOOKUP(T_Convention[[#This Row],[NumL]],T_TraitDi[#Data],COLUMN(T_TraitDi[Colonne29]),FALSE),"")</f>
        <v>S</v>
      </c>
      <c r="BF316" s="284" t="str">
        <f>IF(VLOOKUP(T_Convention[[#This Row],[NumL]],T_TraitDi[#Data],COLUMN(T_TraitDi[Colonne30]),FALSE)=0,"",TEXT(IFERROR(VLOOKUP(T_Convention[[#This Row],[NumL]],T_TraitDi[#Data],COLUMN(T_TraitDi[Colonne30]),FALSE),""),"[hh]:mm"))</f>
        <v>13:30</v>
      </c>
      <c r="BG316" s="284" t="str">
        <f>IF(VLOOKUP(T_Convention[[#This Row],[NumL]],T_TraitDi[#Data],COLUMN(T_TraitDi[Colonne31]),FALSE)=0,"",TEXT(IFERROR(VLOOKUP(T_Convention[[#This Row],[NumL]],T_TraitDi[#Data],COLUMN(T_TraitDi[Colonne31]),FALSE),""),"[hh]:mm"))</f>
        <v>17:30</v>
      </c>
      <c r="BH316" s="284" t="str">
        <f>IF(VLOOKUP(T_Convention[[#This Row],[NumL]],T_TraitDi[#Data],COLUMN(T_TraitDi[Colonne32]),FALSE)=0,"",TEXT(IFERROR(VLOOKUP(T_Convention[[#This Row],[NumL]],T_TraitDi[#Data],COLUMN(T_TraitDi[Colonne32]),FALSE),""),"[hh]:mm"))</f>
        <v>08:00</v>
      </c>
      <c r="BI316" s="284">
        <f>IFERROR(VLOOKUP(T_Convention[[#This Row],[NumL]],T_TraitDi[#Data],COLUMN(T_TraitDi[NbJTW]),FALSE),"")</f>
        <v>1</v>
      </c>
      <c r="BJ316" s="284" t="str">
        <f>IF(VLOOKUP(T_Convention[[#This Row],[NumL]],T_TraitDi[#Data],COLUMN(T_TraitDi[NbhTW]),FALSE)=0,"",TEXT(IFERROR(VLOOKUP(T_Convention[[#This Row],[NumL]],T_TraitDi[#Data],COLUMN(T_TraitDi[NbhTW]),FALSE),""),"[hh]:mm"))</f>
        <v>08:00</v>
      </c>
      <c r="BK316" s="286" t="str">
        <f>IF(VLOOKUP(T_Convention[[#This Row],[NumL]],T_TraitDi[#Data],COLUMN(T_TraitDi[Nbhheb]),FALSE)=0,"",TEXT(IFERROR(VLOOKUP(T_Convention[[#This Row],[NumL]],T_TraitDi[#Data],COLUMN(T_TraitDi[Nbhheb]),FALSE),""),"[hh]:mm"))</f>
        <v>37:05</v>
      </c>
      <c r="BL316" s="287" t="str">
        <f>IFERROR(VLOOKUP(VLOOKUP(T_Convention[[#This Row],[NumL]],T_TraitDi[#Data],COLUMN(T_TraitDi[Type1]),FALSE),TypeTW,2,FALSE),"")</f>
        <v>son domicile (lieu de résidence habituelle du télétravailleur)</v>
      </c>
      <c r="BM316" s="288" t="str">
        <f>IFERROR(VLOOKUP(T_Convention[[#This Row],[NumL]],T_TraitDi[#Data],COLUMN(T_TraitDi[Rue1]),FALSE),"")</f>
        <v xml:space="preserve">4 avenue général de Gaulle </v>
      </c>
      <c r="BN316" s="289" t="str">
        <f>IFERROR(VLOOKUP(T_Convention[[#This Row],[NumL]],T_TraitDi[#Data],COLUMN(T_TraitDi[CP1]),FALSE),"")</f>
        <v>69300</v>
      </c>
      <c r="BO316" s="282" t="str">
        <f>IFERROR(VLOOKUP(T_Convention[[#This Row],[NumL]],T_TraitDi[#Data],COLUMN(T_TraitDi[VILLE1]),FALSE),"")</f>
        <v>CALUIRE-ET-CUIRE</v>
      </c>
      <c r="BP316" s="290" t="str">
        <f>IFERROR(VLOOKUP(VLOOKUP(T_Convention[[#This Row],[NumL]],T_TraitDi[#Data],COLUMN(T_TraitDi[Type2]),FALSE),TypeTW,2,FALSE),"")</f>
        <v/>
      </c>
      <c r="BQ316" s="182" t="str">
        <f>IFERROR(VLOOKUP(T_Convention[[#This Row],[NumL]],T_TraitDi[#Data],COLUMN(T_TraitDi[Rue2]),FALSE),"")</f>
        <v>Sans objet</v>
      </c>
      <c r="BR316" s="173" t="str">
        <f>IFERROR(VLOOKUP(T_Convention[[#This Row],[NumL]],T_TraitDi[#Data],COLUMN(T_TraitDi[CP2]),FALSE),"")</f>
        <v xml:space="preserve"> </v>
      </c>
      <c r="BS316" s="173" t="str">
        <f>IFERROR(VLOOKUP(T_Convention[[#This Row],[NumL]],T_TraitDi[#Data],COLUMN(T_TraitDi[VILLE2]),FALSE),"")</f>
        <v xml:space="preserve">  </v>
      </c>
      <c r="BT316" s="182" t="str">
        <f>IF(VLOOKUP(T_Convention[[#This Row],[NumL]],T_Equipement[#Data],COLUMN(T_Equipement[PC]),FALSE)="","Aucun équipement spécifique directement lié au télétravail",VLOOKUP(T_Convention[[#This Row],[NumL]],T_Equipement[#Data],COLUMN(T_Equipement[PC]),FALSE))</f>
        <v xml:space="preserve">20-648	</v>
      </c>
      <c r="BU316" s="166" t="str">
        <f>IFERROR(IF(VLOOKUP(T_Convention[[#This Row],[NumL]],T_TraitDi[#Data],COLUMN(T_TraitDi[Plan]),FALSE)="OK","Un planning spécifique de télétravail est annexé à la présente convention.",""),"")</f>
        <v/>
      </c>
      <c r="BV316" s="185" t="s">
        <v>3424</v>
      </c>
      <c r="BW316" s="164" t="str">
        <f>IF(VLOOKUP(T_Convention[[#This Row],[NumL]],T_suiviDi[#Data],COLUMN(T_suiviDi[Entité]),FALSE)="","",VLOOKUP(T_Convention[[#This Row],[NumL]],T_suiviDi[#Data],COLUMN(T_suiviDi[Entité]),FALSE))</f>
        <v>IAE</v>
      </c>
      <c r="BX316" s="164" t="str">
        <f>IF(VLOOKUP(T_Convention[[#This Row],[NumL]],T_Commission[#Data],COLUMN(T_Commission[envoi confirm TW]),FALSE)="","",VLOOKUP(T_Convention[[#This Row],[NumL]],T_Commission[#Data],COLUMN(T_Commission[envoi confirm TW]),FALSE))</f>
        <v>Oui</v>
      </c>
      <c r="BY316"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6" s="264">
        <f>VLOOKUP(T_Convention[[#This Row],[NumL]],T_Commission[#Data],COLUMN(T_Commission[Commentaire]),FALSE)</f>
        <v>0</v>
      </c>
      <c r="CA316" s="254" t="str">
        <f>IF(VLOOKUP(T_Convention[[#This Row],[NumL]],T_Commission[#Data],COLUMN(T_Commission[Encadrant Email]),FALSE)="","",VLOOKUP(T_Convention[[#This Row],[NumL]],T_Commission[#Data],COLUMN(T_Commission[Encadrant Email]),FALSE))</f>
        <v/>
      </c>
      <c r="CB316" s="352">
        <f>VLOOKUP(T_Convention[[#This Row],[NumL]],T_TraitDi[#Data],COLUMN(T_TraitDi[NbJTot]),FALSE)</f>
        <v>4.5</v>
      </c>
      <c r="CC316" s="352" t="str">
        <f>VLOOKUP(T_Convention[[#This Row],[NumL]],T_TraitDi[#Data],COLUMN(T_TraitDi[Reg Ponct]),FALSE)</f>
        <v>R</v>
      </c>
      <c r="CD316" s="348" t="str">
        <f>IF(T_Convention[[#This Row],[Final]]&lt;&gt;"",VLOOKUP(T_Convention[[#This Row],[NumL]],T_suiviDi[#Data],COLUMN((T_suiviDi[Statut])),FALSE),"")</f>
        <v>RENVL</v>
      </c>
    </row>
    <row r="317" spans="1:82" s="50" customFormat="1" ht="18.75" customHeight="1" x14ac:dyDescent="0.25">
      <c r="A317" s="90">
        <v>134</v>
      </c>
      <c r="B317" s="161">
        <f>VLOOKUP(T_Convention[[#This Row],[NumL]],T_Commission[#Data],COLUMN(T_Commission[FINAL]),FALSE)</f>
        <v>1</v>
      </c>
      <c r="C317" s="162"/>
      <c r="D317" s="95" t="str">
        <f>IF(VLOOKUP(T_Convention[[#This Row],[NumL]],T_TraitDi[#Data],COLUMN(T_TraitDi[WebC]),FALSE)="","",VLOOKUP(T_Convention[[#This Row],[NumL]],T_TraitDi[#Data],COLUMN(T_TraitDi[WebC]),FALSE))</f>
        <v>WG</v>
      </c>
      <c r="E317" s="95" t="str">
        <f t="shared" si="20"/>
        <v>12 janvier 2021</v>
      </c>
      <c r="F317" s="282" t="str">
        <f>IF(T_Convention[[#This Row],[Final]]&lt;&gt;"",VLOOKUP(T_Convention[[#This Row],[NumL]],T_suiviDi[#Data],COLUMN((T_suiviDi[Civ.])),FALSE),"")</f>
        <v>Mme</v>
      </c>
      <c r="G317" s="283" t="str">
        <f>IF(T_Convention[[#This Row],[Final]]&lt;&gt;"",VLOOKUP(T_Convention[[#This Row],[NumL]],T_suiviDi[#Data],COLUMN((T_suiviDi[Nom])),FALSE),"")</f>
        <v>A</v>
      </c>
      <c r="H317" s="282" t="str">
        <f>IF(T_Convention[[#This Row],[Final]]&lt;&gt;"",VLOOKUP(T_Convention[[#This Row],[NumL]],T_suiviDi[#Data],COLUMN((T_suiviDi[Prénom])),FALSE),"")</f>
        <v>Laetitia</v>
      </c>
      <c r="I317" s="282" t="e">
        <f>VLOOKUP(T_Convention[[#This Row],[NumL]],T_suiviDi[#Data],COLUMN((T_suiviDi[[#This Row],[Email]])),FALSE)</f>
        <v>#VALUE!</v>
      </c>
      <c r="J317" s="282" t="e">
        <f>IF(VLOOKUP(T_Convention[[#This Row],[NumL]],T_suiviDi[#Data],COLUMN(T_suiviDi[[#This Row],[Fonction]]),FALSE)="","",VLOOKUP(T_Convention[[#This Row],[NumL]],T_suiviDi[#Data],COLUMN(T_suiviDi[[#This Row],[Fonction]]),FALSE))</f>
        <v>#VALUE!</v>
      </c>
      <c r="K317" s="282" t="e">
        <f>IF(VLOOKUP(T_Convention[[#This Row],[NumL]],T_suiviDi[#Data],COLUMN(T_suiviDi[[#This Row],[Grade]]),FALSE)="","",VLOOKUP(T_Convention[[#This Row],[NumL]],T_suiviDi[#Data],COLUMN(T_suiviDi[[#This Row],[Grade]]),FALSE))</f>
        <v>#VALUE!</v>
      </c>
      <c r="L317" s="282" t="e">
        <f>IF(VLOOKUP(T_Convention[[#This Row],[NumL]],T_suiviDi[#Data],COLUMN(T_suiviDi[[#This Row],[Service ]]),FALSE)="","",VLOOKUP(T_Convention[[#This Row],[NumL]],T_suiviDi[#Data],COLUMN(T_suiviDi[[#This Row],[Service ]]),FALSE))</f>
        <v>#VALUE!</v>
      </c>
      <c r="M317" s="96" t="str">
        <f t="shared" si="21"/>
        <v>01 septembre 2021</v>
      </c>
      <c r="N317" s="96" t="str">
        <f t="shared" si="22"/>
        <v>30 novembre 2021</v>
      </c>
      <c r="O317" s="284" t="str">
        <f t="shared" si="23"/>
        <v>30 novembre 2021</v>
      </c>
      <c r="P317" s="282" t="str">
        <f>IF(VLOOKUP(T_Convention[[#This Row],[NumL]],T_TraitDi[#Data],COLUMN(T_TraitDi[M1]),FALSE)="","",VLOOKUP(T_Convention[[#This Row],[NumL]],T_TraitDi[#Data],COLUMN(T_TraitDi[M1]),FALSE))</f>
        <v>Bilan sur  zone</v>
      </c>
      <c r="Q317" s="282" t="str">
        <f>IF(VLOOKUP(T_Convention[[#This Row],[NumL]],T_TraitDi[#Data],COLUMN(T_TraitDi[M2]),FALSE)="","",VLOOKUP(T_Convention[[#This Row],[NumL]],T_TraitDi[#Data],COLUMN(T_TraitDi[M2]),FALSE))</f>
        <v>Analyse et approfondissement de  connaissance des partenariats</v>
      </c>
      <c r="R317" s="282" t="str">
        <f>IF(VLOOKUP(T_Convention[[#This Row],[NumL]],T_TraitDi[#Data],COLUMN(T_TraitDi[M3]),FALSE)="","",VLOOKUP(T_Convention[[#This Row],[NumL]],T_TraitDi[#Data],COLUMN(T_TraitDi[M3]),FALSE))</f>
        <v/>
      </c>
      <c r="S317" s="282" t="str">
        <f>IF(VLOOKUP(T_Convention[[#This Row],[NumL]],T_TraitDi[#Data],COLUMN(T_TraitDi[M4]),FALSE)="","",VLOOKUP(T_Convention[[#This Row],[NumL]],T_TraitDi[#Data],COLUMN(T_TraitDi[M4]),FALSE))</f>
        <v/>
      </c>
      <c r="T317" s="282" t="str">
        <f>IF(VLOOKUP(T_Convention[[#This Row],[NumL]],T_TraitDi[#Data],COLUMN(T_TraitDi[M5]),FALSE)="","",VLOOKUP(T_Convention[[#This Row],[NumL]],T_TraitDi[#Data],COLUMN(T_TraitDi[M5]),FALSE))</f>
        <v/>
      </c>
      <c r="U317" s="282" t="str">
        <f>IF(VLOOKUP(T_Convention[[#This Row],[NumL]],T_TraitDi[#Data],COLUMN(T_TraitDi[M6]),FALSE)="","",VLOOKUP(T_Convention[[#This Row],[NumL]],T_TraitDi[#Data],COLUMN(T_TraitDi[M6]),FALSE))</f>
        <v/>
      </c>
      <c r="V317" s="176" t="str">
        <f t="shared" si="24"/>
        <v>Bilan sur  zoneAnalyse et approfondissement de  connaissance des partenariats</v>
      </c>
      <c r="W317" s="284" t="str">
        <f>IFERROR(TEXT(VLOOKUP(T_Convention[[#This Row],[NumL]],T_TraitDi[#Data],COLUMN(T_TraitDi[Q2]),FALSE),"###%"),"")</f>
        <v>80%</v>
      </c>
      <c r="X317" s="97" t="str">
        <f>VLOOKUP(T_Convention[[#This Row],[NumL]],T_TraitDi[#Data],COLUMN(T_TraitDi[Reg Ponct]),FALSE)</f>
        <v>R</v>
      </c>
      <c r="Y317" s="97">
        <f>VLOOKUP(T_Convention[NumL],T_TraitDi[#Data],COLUMN(T_TraitDi[Jours flottants]),FALSE)</f>
        <v>8</v>
      </c>
      <c r="Z317" s="284" t="str">
        <f>IFERROR(VLOOKUP(T_Convention[[#This Row],[NumL]],T_TraitDi[#Data],COLUMN(T_TraitDi[Lundi]),FALSE),"")</f>
        <v>S</v>
      </c>
      <c r="AA317" s="284" t="str">
        <f>IF(VLOOKUP(T_Convention[[#This Row],[NumL]],T_TraitDi[#Data],COLUMN(T_TraitDi[Colonne3]),FALSE)=0,"",TEXT(IFERROR(VLOOKUP(T_Convention[[#This Row],[NumL]],T_TraitDi[#Data],COLUMN(T_TraitDi[Colonne3]),FALSE),""),"[hh]:mm"))</f>
        <v>08:00</v>
      </c>
      <c r="AB317" s="284" t="str">
        <f>IF(VLOOKUP(T_Convention[[#This Row],[NumL]],T_TraitDi[#Data],COLUMN(T_TraitDi[Colonne4]),FALSE)=0,"",TEXT(IFERROR(VLOOKUP(T_Convention[[#This Row],[NumL]],T_TraitDi[#Data],COLUMN(T_TraitDi[Colonne4]),FALSE),""),"[hh]:mm"))</f>
        <v>12:30</v>
      </c>
      <c r="AC317" s="284" t="str">
        <f>IF(VLOOKUP(T_Convention[[#This Row],[NumL]],T_TraitDi[#Data],COLUMN(T_TraitDi[Colonne5]),FALSE)=0,"",TEXT(IFERROR(VLOOKUP(T_Convention[[#This Row],[NumL]],T_TraitDi[#Data],COLUMN(T_TraitDi[Colonne5]),FALSE),""),"[hh]:mm"))</f>
        <v>S</v>
      </c>
      <c r="AD317" s="284" t="str">
        <f>IF(VLOOKUP(T_Convention[[#This Row],[NumL]],T_TraitDi[#Data],COLUMN(T_TraitDi[Colonne6]),FALSE)=0,"",TEXT(IFERROR(VLOOKUP(T_Convention[[#This Row],[NumL]],T_TraitDi[#Data],COLUMN(T_TraitDi[Colonne6]),FALSE),""),"[hh]:mm"))</f>
        <v>13:30</v>
      </c>
      <c r="AE317" s="284" t="str">
        <f>IF(VLOOKUP(T_Convention[[#This Row],[NumL]],T_TraitDi[#Data],COLUMN(T_TraitDi[Colonne7]),FALSE)=0,"",TEXT(IFERROR(VLOOKUP(T_Convention[[#This Row],[NumL]],T_TraitDi[#Data],COLUMN(T_TraitDi[Colonne7]),FALSE),""),"[hh]:mm"))</f>
        <v>16:35</v>
      </c>
      <c r="AF317" s="284" t="str">
        <f>IF(VLOOKUP(T_Convention[[#This Row],[NumL]],T_TraitDi[#Data],COLUMN(T_TraitDi[Colonne8]),FALSE)=0,"",TEXT(IFERROR(VLOOKUP(T_Convention[[#This Row],[NumL]],T_TraitDi[#Data],COLUMN(T_TraitDi[Colonne8]),FALSE),""),"[hh]:mm"))</f>
        <v>07:35</v>
      </c>
      <c r="AG317" s="284" t="str">
        <f>IFERROR(VLOOKUP(T_Convention[[#This Row],[NumL]],T_TraitDi[#Data],COLUMN(T_TraitDi[Mardi]),FALSE),"")</f>
        <v>S</v>
      </c>
      <c r="AH317" s="284" t="str">
        <f>IF(VLOOKUP(T_Convention[[#This Row],[NumL]],T_TraitDi[#Data],COLUMN(T_TraitDi[Colonne1]),FALSE)=0,"",TEXT(IFERROR(VLOOKUP(T_Convention[[#This Row],[NumL]],T_TraitDi[#Data],COLUMN(T_TraitDi[Colonne1]),FALSE),""),"[hh]:mm"))</f>
        <v>08:00</v>
      </c>
      <c r="AI317" s="284" t="str">
        <f>IF(VLOOKUP(T_Convention[[#This Row],[NumL]],T_TraitDi[#Data],COLUMN(T_TraitDi[Colonne9]),FALSE)=0,"",TEXT(IFERROR(VLOOKUP(T_Convention[[#This Row],[NumL]],T_TraitDi[#Data],COLUMN(T_TraitDi[Colonne9]),FALSE),""),"[hh]:mm"))</f>
        <v>12:00</v>
      </c>
      <c r="AJ317" s="284" t="str">
        <f>IFERROR(VLOOKUP(T_Convention[[#This Row],[NumL]],T_TraitDi[#Data],COLUMN(T_TraitDi[Colonne10]),FALSE),"")</f>
        <v>S</v>
      </c>
      <c r="AK317" s="284" t="str">
        <f>IF(VLOOKUP(T_Convention[[#This Row],[NumL]],T_TraitDi[#Data],COLUMN(T_TraitDi[Colonne11]),FALSE)=0,"",TEXT(IFERROR(VLOOKUP(T_Convention[[#This Row],[NumL]],T_TraitDi[#Data],COLUMN(T_TraitDi[Colonne11]),FALSE),""),"[hh]:mm"))</f>
        <v>13:20</v>
      </c>
      <c r="AL317" s="284" t="str">
        <f>IF(VLOOKUP(T_Convention[[#This Row],[NumL]],T_TraitDi[#Data],COLUMN(T_TraitDi[Colonne12]),FALSE)=0,"",TEXT(IFERROR(VLOOKUP(T_Convention[[#This Row],[NumL]],T_TraitDi[#Data],COLUMN(T_TraitDi[Colonne12]),FALSE),""),"[hh]:mm"))</f>
        <v>16:35</v>
      </c>
      <c r="AM317" s="284" t="str">
        <f>IF(VLOOKUP(T_Convention[[#This Row],[NumL]],T_TraitDi[#Data],COLUMN(T_TraitDi[Colonne14]),FALSE)=0,"",TEXT(IFERROR(VLOOKUP(T_Convention[[#This Row],[NumL]],T_TraitDi[#Data],COLUMN(T_TraitDi[Colonne14]),FALSE),""),"[hh]:mm"))</f>
        <v>07:15</v>
      </c>
      <c r="AN317" s="284" t="str">
        <f>IFERROR(VLOOKUP(T_Convention[[#This Row],[NumL]],T_TraitDi[#Data],COLUMN(T_TraitDi[Mercredi]),FALSE),"")</f>
        <v>A</v>
      </c>
      <c r="AO317" s="284" t="str">
        <f>IF(VLOOKUP(T_Convention[[#This Row],[NumL]],T_TraitDi[#Data],COLUMN(T_TraitDi[Colonne15]),FALSE)=0,"",TEXT(IFERROR(VLOOKUP(T_Convention[[#This Row],[NumL]],T_TraitDi[#Data],COLUMN(T_TraitDi[Colonne15]),FALSE),""),"[hh]:mm"))</f>
        <v/>
      </c>
      <c r="AP317" s="284" t="str">
        <f>IF(VLOOKUP(T_Convention[[#This Row],[NumL]],T_TraitDi[#Data],COLUMN(T_TraitDi[Colonne16]),FALSE)=0,"",TEXT(IFERROR(VLOOKUP(T_Convention[[#This Row],[NumL]],T_TraitDi[#Data],COLUMN(T_TraitDi[Colonne16]),FALSE),""),"[hh]:mm"))</f>
        <v/>
      </c>
      <c r="AQ317" s="284" t="str">
        <f>IFERROR(VLOOKUP(T_Convention[[#This Row],[NumL]],T_TraitDi[#Data],COLUMN(T_TraitDi[Colonne17]),FALSE),"")</f>
        <v>A</v>
      </c>
      <c r="AR317" s="284" t="str">
        <f>IF(VLOOKUP(T_Convention[[#This Row],[NumL]],T_TraitDi[#Data],COLUMN(T_TraitDi[Colonne18]),FALSE)=0,"",TEXT(IFERROR(VLOOKUP(T_Convention[[#This Row],[NumL]],T_TraitDi[#Data],COLUMN(T_TraitDi[Colonne18]),FALSE),""),"[hh]:mm"))</f>
        <v/>
      </c>
      <c r="AS317" s="284" t="str">
        <f>IF(VLOOKUP(T_Convention[[#This Row],[NumL]],T_TraitDi[#Data],COLUMN(T_TraitDi[Colonne19]),FALSE)=0,"",TEXT(IFERROR(VLOOKUP(T_Convention[[#This Row],[NumL]],T_TraitDi[#Data],COLUMN(T_TraitDi[Colonne19]),FALSE),""),"[hh]:mm"))</f>
        <v/>
      </c>
      <c r="AT317" s="284" t="str">
        <f>IF(VLOOKUP(T_Convention[[#This Row],[NumL]],T_TraitDi[#Data],COLUMN(T_TraitDi[Colonne20]),FALSE)=0,"",TEXT(IFERROR(VLOOKUP(T_Convention[[#This Row],[NumL]],T_TraitDi[#Data],COLUMN(T_TraitDi[Colonne20]),FALSE),""),"[hh]:mm"))</f>
        <v/>
      </c>
      <c r="AU317" s="284" t="str">
        <f>IFERROR(VLOOKUP(T_Convention[[#This Row],[NumL]],T_TraitDi[#Data],COLUMN(T_TraitDi[Jeudi]),FALSE),"")</f>
        <v>S</v>
      </c>
      <c r="AV317" s="284" t="str">
        <f>IF(VLOOKUP(T_Convention[[#This Row],[NumL]],T_TraitDi[#Data],COLUMN(T_TraitDi[Colonne21]),FALSE)=0,"",TEXT(IFERROR(VLOOKUP(T_Convention[[#This Row],[NumL]],T_TraitDi[#Data],COLUMN(T_TraitDi[Colonne21]),FALSE),""),"[hh]:mm"))</f>
        <v>08:00</v>
      </c>
      <c r="AW317" s="284" t="str">
        <f>IF(VLOOKUP(T_Convention[[#This Row],[NumL]],T_TraitDi[#Data],COLUMN(T_TraitDi[Colonne22]),FALSE)=0,"",TEXT(IFERROR(VLOOKUP(T_Convention[[#This Row],[NumL]],T_TraitDi[#Data],COLUMN(T_TraitDi[Colonne22]),FALSE),""),"[hh]:mm"))</f>
        <v>12:00</v>
      </c>
      <c r="AX317" s="284" t="str">
        <f>IFERROR(VLOOKUP(T_Convention[[#This Row],[NumL]],T_TraitDi[#Data],COLUMN(T_TraitDi[Colonne23]),FALSE),"")</f>
        <v>S</v>
      </c>
      <c r="AY317" s="284" t="str">
        <f>IF(VLOOKUP(T_Convention[[#This Row],[NumL]],T_TraitDi[#Data],COLUMN(T_TraitDi[Colonne24]),FALSE)=0,"",TEXT(IFERROR(VLOOKUP(T_Convention[[#This Row],[NumL]],T_TraitDi[#Data],COLUMN(T_TraitDi[Colonne24]),FALSE),""),"[hh]:mm"))</f>
        <v>13:20</v>
      </c>
      <c r="AZ317" s="284" t="str">
        <f>IF(VLOOKUP(T_Convention[[#This Row],[NumL]],T_TraitDi[#Data],COLUMN(T_TraitDi[Colonne25]),FALSE)=0,"",TEXT(IFERROR(VLOOKUP(T_Convention[[#This Row],[NumL]],T_TraitDi[#Data],COLUMN(T_TraitDi[Colonne25]),FALSE),""),"[hh]:mm"))</f>
        <v>16:35</v>
      </c>
      <c r="BA317" s="284" t="str">
        <f>IF(VLOOKUP(T_Convention[[#This Row],[NumL]],T_TraitDi[#Data],COLUMN(T_TraitDi[Colonne26]),FALSE)=0,"",TEXT(IFERROR(VLOOKUP(T_Convention[[#This Row],[NumL]],T_TraitDi[#Data],COLUMN(T_TraitDi[Colonne26]),FALSE),""),"[hh]:mm"))</f>
        <v>07:15</v>
      </c>
      <c r="BB317" s="284" t="str">
        <f>IFERROR(VLOOKUP(T_Convention[[#This Row],[NumL]],T_TraitDi[#Data],COLUMN(T_TraitDi[Vendredi]),FALSE),"")</f>
        <v>S</v>
      </c>
      <c r="BC317" s="284" t="str">
        <f>IF(VLOOKUP(T_Convention[[#This Row],[NumL]],T_TraitDi[#Data],COLUMN(T_TraitDi[Colonne27]),FALSE)=0,"",TEXT(IFERROR(VLOOKUP(T_Convention[[#This Row],[NumL]],T_TraitDi[#Data],COLUMN(T_TraitDi[Colonne27]),FALSE),""),"[hh]:mm"))</f>
        <v>08:00</v>
      </c>
      <c r="BD317" s="284" t="str">
        <f>IF(VLOOKUP(T_Convention[[#This Row],[NumL]],T_TraitDi[#Data],COLUMN(T_TraitDi[Colonne28]),FALSE)=0,"",TEXT(IFERROR(VLOOKUP(T_Convention[[#This Row],[NumL]],T_TraitDi[#Data],COLUMN(T_TraitDi[Colonne28]),FALSE),""),"[hh]:mm"))</f>
        <v>12:30</v>
      </c>
      <c r="BE317" s="284" t="str">
        <f>IFERROR(VLOOKUP(T_Convention[[#This Row],[NumL]],T_TraitDi[#Data],COLUMN(T_TraitDi[Colonne29]),FALSE),"")</f>
        <v>T</v>
      </c>
      <c r="BF317" s="284" t="str">
        <f>IF(VLOOKUP(T_Convention[[#This Row],[NumL]],T_TraitDi[#Data],COLUMN(T_TraitDi[Colonne30]),FALSE)=0,"",TEXT(IFERROR(VLOOKUP(T_Convention[[#This Row],[NumL]],T_TraitDi[#Data],COLUMN(T_TraitDi[Colonne30]),FALSE),""),"[hh]:mm"))</f>
        <v>13:30</v>
      </c>
      <c r="BG317" s="284" t="str">
        <f>IF(VLOOKUP(T_Convention[[#This Row],[NumL]],T_TraitDi[#Data],COLUMN(T_TraitDi[Colonne31]),FALSE)=0,"",TEXT(IFERROR(VLOOKUP(T_Convention[[#This Row],[NumL]],T_TraitDi[#Data],COLUMN(T_TraitDi[Colonne31]),FALSE),""),"[hh]:mm"))</f>
        <v>16:35</v>
      </c>
      <c r="BH317" s="284" t="str">
        <f>IF(VLOOKUP(T_Convention[[#This Row],[NumL]],T_TraitDi[#Data],COLUMN(T_TraitDi[Colonne32]),FALSE)=0,"",TEXT(IFERROR(VLOOKUP(T_Convention[[#This Row],[NumL]],T_TraitDi[#Data],COLUMN(T_TraitDi[Colonne32]),FALSE),""),"[hh]:mm"))</f>
        <v>07:35</v>
      </c>
      <c r="BI317" s="284">
        <f>IFERROR(VLOOKUP(T_Convention[[#This Row],[NumL]],T_TraitDi[#Data],COLUMN(T_TraitDi[NbJTW]),FALSE),"")</f>
        <v>0.5</v>
      </c>
      <c r="BJ317" s="284" t="str">
        <f>IF(VLOOKUP(T_Convention[[#This Row],[NumL]],T_TraitDi[#Data],COLUMN(T_TraitDi[NbhTW]),FALSE)=0,"",TEXT(IFERROR(VLOOKUP(T_Convention[[#This Row],[NumL]],T_TraitDi[#Data],COLUMN(T_TraitDi[NbhTW]),FALSE),""),"[hh]:mm"))</f>
        <v>03:05</v>
      </c>
      <c r="BK317" s="286" t="str">
        <f>IF(VLOOKUP(T_Convention[[#This Row],[NumL]],T_TraitDi[#Data],COLUMN(T_TraitDi[Nbhheb]),FALSE)=0,"",TEXT(IFERROR(VLOOKUP(T_Convention[[#This Row],[NumL]],T_TraitDi[#Data],COLUMN(T_TraitDi[Nbhheb]),FALSE),""),"[hh]:mm"))</f>
        <v>29:40</v>
      </c>
      <c r="BL317" s="287" t="str">
        <f>IFERROR(VLOOKUP(VLOOKUP(T_Convention[[#This Row],[NumL]],T_TraitDi[#Data],COLUMN(T_TraitDi[Type1]),FALSE),TypeTW,2,FALSE),"")</f>
        <v>son domicile (lieu de résidence habituelle du télétravailleur)</v>
      </c>
      <c r="BM317" s="288" t="str">
        <f>IFERROR(VLOOKUP(T_Convention[[#This Row],[NumL]],T_TraitDi[#Data],COLUMN(T_TraitDi[Rue1]),FALSE),"")</f>
        <v>26 Allée Maryse Bastié</v>
      </c>
      <c r="BN317" s="289" t="str">
        <f>IFERROR(VLOOKUP(T_Convention[[#This Row],[NumL]],T_TraitDi[#Data],COLUMN(T_TraitDi[CP1]),FALSE),"")</f>
        <v>69960</v>
      </c>
      <c r="BO317" s="282" t="str">
        <f>IFERROR(VLOOKUP(T_Convention[[#This Row],[NumL]],T_TraitDi[#Data],COLUMN(T_TraitDi[VILLE1]),FALSE),"")</f>
        <v>CORBAS</v>
      </c>
      <c r="BP317" s="290" t="str">
        <f>IFERROR(VLOOKUP(VLOOKUP(T_Convention[[#This Row],[NumL]],T_TraitDi[#Data],COLUMN(T_TraitDi[Type2]),FALSE),TypeTW,2,FALSE),"")</f>
        <v/>
      </c>
      <c r="BQ317" s="182" t="str">
        <f>IFERROR(VLOOKUP(T_Convention[[#This Row],[NumL]],T_TraitDi[#Data],COLUMN(T_TraitDi[Rue2]),FALSE),"")</f>
        <v>Sans objet</v>
      </c>
      <c r="BR317" s="173" t="str">
        <f>IFERROR(VLOOKUP(T_Convention[[#This Row],[NumL]],T_TraitDi[#Data],COLUMN(T_TraitDi[CP2]),FALSE),"")</f>
        <v xml:space="preserve"> </v>
      </c>
      <c r="BS317" s="173" t="str">
        <f>IFERROR(VLOOKUP(T_Convention[[#This Row],[NumL]],T_TraitDi[#Data],COLUMN(T_TraitDi[VILLE2]),FALSE),"")</f>
        <v xml:space="preserve">  </v>
      </c>
      <c r="BT317" s="182" t="str">
        <f>IF(VLOOKUP(T_Convention[[#This Row],[NumL]],T_Equipement[#Data],COLUMN(T_Equipement[PC]),FALSE)="","Aucun équipement spécifique directement lié au télétravail",VLOOKUP(T_Convention[[#This Row],[NumL]],T_Equipement[#Data],COLUMN(T_Equipement[PC]),FALSE))</f>
        <v xml:space="preserve">20-283	</v>
      </c>
      <c r="BU317" s="166" t="str">
        <f>IFERROR(IF(VLOOKUP(T_Convention[[#This Row],[NumL]],T_TraitDi[#Data],COLUMN(T_TraitDi[Plan]),FALSE)="OK","Un planning spécifique de télétravail est annexé à la présente convention.",""),"")</f>
        <v/>
      </c>
      <c r="BV317" s="185" t="s">
        <v>3461</v>
      </c>
      <c r="BW317" s="164" t="str">
        <f>IF(VLOOKUP(T_Convention[[#This Row],[NumL]],T_suiviDi[#Data],COLUMN(T_suiviDi[Entité]),FALSE)="","",VLOOKUP(T_Convention[[#This Row],[NumL]],T_suiviDi[#Data],COLUMN(T_suiviDi[Entité]),FALSE))</f>
        <v>SGRI</v>
      </c>
      <c r="BX317" s="164" t="str">
        <f>IF(VLOOKUP(T_Convention[[#This Row],[NumL]],T_Commission[#Data],COLUMN(T_Commission[envoi confirm TW]),FALSE)="","",VLOOKUP(T_Convention[[#This Row],[NumL]],T_Commission[#Data],COLUMN(T_Commission[envoi confirm TW]),FALSE))</f>
        <v>Oui</v>
      </c>
      <c r="BY317"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7" s="264">
        <f>VLOOKUP(T_Convention[[#This Row],[NumL]],T_Commission[#Data],COLUMN(T_Commission[Commentaire]),FALSE)</f>
        <v>0</v>
      </c>
      <c r="CA317" s="254" t="str">
        <f>IF(VLOOKUP(T_Convention[[#This Row],[NumL]],T_Commission[#Data],COLUMN(T_Commission[Encadrant Email]),FALSE)="","",VLOOKUP(T_Convention[[#This Row],[NumL]],T_Commission[#Data],COLUMN(T_Commission[Encadrant Email]),FALSE))</f>
        <v/>
      </c>
      <c r="CB317" s="352">
        <f>VLOOKUP(T_Convention[[#This Row],[NumL]],T_TraitDi[#Data],COLUMN(T_TraitDi[NbJTot]),FALSE)</f>
        <v>4</v>
      </c>
      <c r="CC317" s="352" t="str">
        <f>VLOOKUP(T_Convention[[#This Row],[NumL]],T_TraitDi[#Data],COLUMN(T_TraitDi[Reg Ponct]),FALSE)</f>
        <v>R</v>
      </c>
      <c r="CD317" s="348" t="str">
        <f>IF(T_Convention[[#This Row],[Final]]&lt;&gt;"",VLOOKUP(T_Convention[[#This Row],[NumL]],T_suiviDi[#Data],COLUMN((T_suiviDi[Statut])),FALSE),"")</f>
        <v>RENVL</v>
      </c>
    </row>
    <row r="318" spans="1:82" s="50" customFormat="1" ht="18.75" customHeight="1" x14ac:dyDescent="0.25">
      <c r="A318" s="90">
        <v>212</v>
      </c>
      <c r="B318" s="161">
        <f>VLOOKUP(T_Convention[[#This Row],[NumL]],T_Commission[#Data],COLUMN(T_Commission[FINAL]),FALSE)</f>
        <v>1</v>
      </c>
      <c r="C318" s="162"/>
      <c r="D318" s="95" t="str">
        <f>IF(VLOOKUP(T_Convention[[#This Row],[NumL]],T_TraitDi[#Data],COLUMN(T_TraitDi[WebC]),FALSE)="","",VLOOKUP(T_Convention[[#This Row],[NumL]],T_TraitDi[#Data],COLUMN(T_TraitDi[WebC]),FALSE))</f>
        <v>WG</v>
      </c>
      <c r="E318" s="95" t="str">
        <f t="shared" si="20"/>
        <v>12 janvier 2021</v>
      </c>
      <c r="F318" s="282" t="str">
        <f>IF(T_Convention[[#This Row],[Final]]&lt;&gt;"",VLOOKUP(T_Convention[[#This Row],[NumL]],T_suiviDi[#Data],COLUMN((T_suiviDi[Civ.])),FALSE),"")</f>
        <v>Mme</v>
      </c>
      <c r="G318" s="283" t="str">
        <f>IF(T_Convention[[#This Row],[Final]]&lt;&gt;"",VLOOKUP(T_Convention[[#This Row],[NumL]],T_suiviDi[#Data],COLUMN((T_suiviDi[Nom])),FALSE),"")</f>
        <v>A</v>
      </c>
      <c r="H318" s="282" t="str">
        <f>IF(T_Convention[[#This Row],[Final]]&lt;&gt;"",VLOOKUP(T_Convention[[#This Row],[NumL]],T_suiviDi[#Data],COLUMN((T_suiviDi[Prénom])),FALSE),"")</f>
        <v>Audrey</v>
      </c>
      <c r="I318" s="282" t="e">
        <f>VLOOKUP(T_Convention[[#This Row],[NumL]],T_suiviDi[#Data],COLUMN((T_suiviDi[[#This Row],[Email]])),FALSE)</f>
        <v>#VALUE!</v>
      </c>
      <c r="J318" s="282" t="e">
        <f>IF(VLOOKUP(T_Convention[[#This Row],[NumL]],T_suiviDi[#Data],COLUMN(T_suiviDi[[#This Row],[Fonction]]),FALSE)="","",VLOOKUP(T_Convention[[#This Row],[NumL]],T_suiviDi[#Data],COLUMN(T_suiviDi[[#This Row],[Fonction]]),FALSE))</f>
        <v>#VALUE!</v>
      </c>
      <c r="K318" s="282" t="e">
        <f>IF(VLOOKUP(T_Convention[[#This Row],[NumL]],T_suiviDi[#Data],COLUMN(T_suiviDi[[#This Row],[Grade]]),FALSE)="","",VLOOKUP(T_Convention[[#This Row],[NumL]],T_suiviDi[#Data],COLUMN(T_suiviDi[[#This Row],[Grade]]),FALSE))</f>
        <v>#VALUE!</v>
      </c>
      <c r="L318" s="282" t="e">
        <f>IF(VLOOKUP(T_Convention[[#This Row],[NumL]],T_suiviDi[#Data],COLUMN(T_suiviDi[[#This Row],[Service ]]),FALSE)="","",VLOOKUP(T_Convention[[#This Row],[NumL]],T_suiviDi[#Data],COLUMN(T_suiviDi[[#This Row],[Service ]]),FALSE))</f>
        <v>#VALUE!</v>
      </c>
      <c r="M318" s="96" t="str">
        <f t="shared" si="21"/>
        <v>01 septembre 2021</v>
      </c>
      <c r="N318" s="96" t="str">
        <f t="shared" si="22"/>
        <v>30 novembre 2021</v>
      </c>
      <c r="O318" s="284" t="str">
        <f t="shared" si="23"/>
        <v>30 novembre 2021</v>
      </c>
      <c r="P318" s="282" t="str">
        <f>IF(VLOOKUP(T_Convention[[#This Row],[NumL]],T_TraitDi[#Data],COLUMN(T_TraitDi[M1]),FALSE)="","",VLOOKUP(T_Convention[[#This Row],[NumL]],T_TraitDi[#Data],COLUMN(T_TraitDi[M1]),FALSE))</f>
        <v>Paiement des pièces comptables</v>
      </c>
      <c r="Q318" s="282" t="str">
        <f>IF(VLOOKUP(T_Convention[[#This Row],[NumL]],T_TraitDi[#Data],COLUMN(T_TraitDi[M2]),FALSE)="","",VLOOKUP(T_Convention[[#This Row],[NumL]],T_TraitDi[#Data],COLUMN(T_TraitDi[M2]),FALSE))</f>
        <v>Participation à l'apurement des comptes d'attente</v>
      </c>
      <c r="R318" s="282" t="str">
        <f>IF(VLOOKUP(T_Convention[[#This Row],[NumL]],T_TraitDi[#Data],COLUMN(T_TraitDi[M3]),FALSE)="","",VLOOKUP(T_Convention[[#This Row],[NumL]],T_TraitDi[#Data],COLUMN(T_TraitDi[M3]),FALSE))</f>
        <v/>
      </c>
      <c r="S318" s="282" t="str">
        <f>IF(VLOOKUP(T_Convention[[#This Row],[NumL]],T_TraitDi[#Data],COLUMN(T_TraitDi[M4]),FALSE)="","",VLOOKUP(T_Convention[[#This Row],[NumL]],T_TraitDi[#Data],COLUMN(T_TraitDi[M4]),FALSE))</f>
        <v/>
      </c>
      <c r="T318" s="282" t="str">
        <f>IF(VLOOKUP(T_Convention[[#This Row],[NumL]],T_TraitDi[#Data],COLUMN(T_TraitDi[M5]),FALSE)="","",VLOOKUP(T_Convention[[#This Row],[NumL]],T_TraitDi[#Data],COLUMN(T_TraitDi[M5]),FALSE))</f>
        <v/>
      </c>
      <c r="U318" s="282" t="str">
        <f>IF(VLOOKUP(T_Convention[[#This Row],[NumL]],T_TraitDi[#Data],COLUMN(T_TraitDi[M6]),FALSE)="","",VLOOKUP(T_Convention[[#This Row],[NumL]],T_TraitDi[#Data],COLUMN(T_TraitDi[M6]),FALSE))</f>
        <v/>
      </c>
      <c r="V318" s="176" t="str">
        <f t="shared" si="24"/>
        <v>Paiement des pièces comptablesParticipation à l'apurement des comptes d'attente</v>
      </c>
      <c r="W318" s="284" t="str">
        <f>IFERROR(TEXT(VLOOKUP(T_Convention[[#This Row],[NumL]],T_TraitDi[#Data],COLUMN(T_TraitDi[Q2]),FALSE),"###%"),"")</f>
        <v>100%</v>
      </c>
      <c r="X318" s="97" t="str">
        <f>VLOOKUP(T_Convention[[#This Row],[NumL]],T_TraitDi[#Data],COLUMN(T_TraitDi[Reg Ponct]),FALSE)</f>
        <v>R</v>
      </c>
      <c r="Y318" s="97">
        <f>VLOOKUP(T_Convention[NumL],T_TraitDi[#Data],COLUMN(T_TraitDi[Jours flottants]),FALSE)</f>
        <v>10</v>
      </c>
      <c r="Z318" s="284" t="str">
        <f>IFERROR(VLOOKUP(T_Convention[[#This Row],[NumL]],T_TraitDi[#Data],COLUMN(T_TraitDi[Lundi]),FALSE),"")</f>
        <v>S</v>
      </c>
      <c r="AA318" s="284" t="str">
        <f>IF(VLOOKUP(T_Convention[[#This Row],[NumL]],T_TraitDi[#Data],COLUMN(T_TraitDi[Colonne3]),FALSE)=0,"",TEXT(IFERROR(VLOOKUP(T_Convention[[#This Row],[NumL]],T_TraitDi[#Data],COLUMN(T_TraitDi[Colonne3]),FALSE),""),"[hh]:mm"))</f>
        <v>07:45</v>
      </c>
      <c r="AB318" s="284" t="str">
        <f>IF(VLOOKUP(T_Convention[[#This Row],[NumL]],T_TraitDi[#Data],COLUMN(T_TraitDi[Colonne4]),FALSE)=0,"",TEXT(IFERROR(VLOOKUP(T_Convention[[#This Row],[NumL]],T_TraitDi[#Data],COLUMN(T_TraitDi[Colonne4]),FALSE),""),"[hh]:mm"))</f>
        <v>12:15</v>
      </c>
      <c r="AC318" s="284" t="str">
        <f>IF(VLOOKUP(T_Convention[[#This Row],[NumL]],T_TraitDi[#Data],COLUMN(T_TraitDi[Colonne5]),FALSE)=0,"",TEXT(IFERROR(VLOOKUP(T_Convention[[#This Row],[NumL]],T_TraitDi[#Data],COLUMN(T_TraitDi[Colonne5]),FALSE),""),"[hh]:mm"))</f>
        <v>S</v>
      </c>
      <c r="AD318" s="284" t="str">
        <f>IF(VLOOKUP(T_Convention[[#This Row],[NumL]],T_TraitDi[#Data],COLUMN(T_TraitDi[Colonne6]),FALSE)=0,"",TEXT(IFERROR(VLOOKUP(T_Convention[[#This Row],[NumL]],T_TraitDi[#Data],COLUMN(T_TraitDi[Colonne6]),FALSE),""),"[hh]:mm"))</f>
        <v>13:15</v>
      </c>
      <c r="AE318" s="284" t="str">
        <f>IF(VLOOKUP(T_Convention[[#This Row],[NumL]],T_TraitDi[#Data],COLUMN(T_TraitDi[Colonne7]),FALSE)=0,"",TEXT(IFERROR(VLOOKUP(T_Convention[[#This Row],[NumL]],T_TraitDi[#Data],COLUMN(T_TraitDi[Colonne7]),FALSE),""),"[hh]:mm"))</f>
        <v>16:15</v>
      </c>
      <c r="AF318" s="284" t="str">
        <f>IF(VLOOKUP(T_Convention[[#This Row],[NumL]],T_TraitDi[#Data],COLUMN(T_TraitDi[Colonne8]),FALSE)=0,"",TEXT(IFERROR(VLOOKUP(T_Convention[[#This Row],[NumL]],T_TraitDi[#Data],COLUMN(T_TraitDi[Colonne8]),FALSE),""),"[hh]:mm"))</f>
        <v>07:30</v>
      </c>
      <c r="AG318" s="284" t="str">
        <f>IFERROR(VLOOKUP(T_Convention[[#This Row],[NumL]],T_TraitDi[#Data],COLUMN(T_TraitDi[Mardi]),FALSE),"")</f>
        <v>S</v>
      </c>
      <c r="AH318" s="284" t="str">
        <f>IF(VLOOKUP(T_Convention[[#This Row],[NumL]],T_TraitDi[#Data],COLUMN(T_TraitDi[Colonne1]),FALSE)=0,"",TEXT(IFERROR(VLOOKUP(T_Convention[[#This Row],[NumL]],T_TraitDi[#Data],COLUMN(T_TraitDi[Colonne1]),FALSE),""),"[hh]:mm"))</f>
        <v>07:45</v>
      </c>
      <c r="AI318" s="284" t="str">
        <f>IF(VLOOKUP(T_Convention[[#This Row],[NumL]],T_TraitDi[#Data],COLUMN(T_TraitDi[Colonne9]),FALSE)=0,"",TEXT(IFERROR(VLOOKUP(T_Convention[[#This Row],[NumL]],T_TraitDi[#Data],COLUMN(T_TraitDi[Colonne9]),FALSE),""),"[hh]:mm"))</f>
        <v>12:15</v>
      </c>
      <c r="AJ318" s="284" t="str">
        <f>IFERROR(VLOOKUP(T_Convention[[#This Row],[NumL]],T_TraitDi[#Data],COLUMN(T_TraitDi[Colonne10]),FALSE),"")</f>
        <v>S</v>
      </c>
      <c r="AK318" s="284" t="str">
        <f>IF(VLOOKUP(T_Convention[[#This Row],[NumL]],T_TraitDi[#Data],COLUMN(T_TraitDi[Colonne11]),FALSE)=0,"",TEXT(IFERROR(VLOOKUP(T_Convention[[#This Row],[NumL]],T_TraitDi[#Data],COLUMN(T_TraitDi[Colonne11]),FALSE),""),"[hh]:mm"))</f>
        <v>13:15</v>
      </c>
      <c r="AL318" s="284" t="str">
        <f>IF(VLOOKUP(T_Convention[[#This Row],[NumL]],T_TraitDi[#Data],COLUMN(T_TraitDi[Colonne12]),FALSE)=0,"",TEXT(IFERROR(VLOOKUP(T_Convention[[#This Row],[NumL]],T_TraitDi[#Data],COLUMN(T_TraitDi[Colonne12]),FALSE),""),"[hh]:mm"))</f>
        <v>16:15</v>
      </c>
      <c r="AM318" s="284" t="str">
        <f>IF(VLOOKUP(T_Convention[[#This Row],[NumL]],T_TraitDi[#Data],COLUMN(T_TraitDi[Colonne14]),FALSE)=0,"",TEXT(IFERROR(VLOOKUP(T_Convention[[#This Row],[NumL]],T_TraitDi[#Data],COLUMN(T_TraitDi[Colonne14]),FALSE),""),"[hh]:mm"))</f>
        <v>07:30</v>
      </c>
      <c r="AN318" s="284" t="str">
        <f>IFERROR(VLOOKUP(T_Convention[[#This Row],[NumL]],T_TraitDi[#Data],COLUMN(T_TraitDi[Mercredi]),FALSE),"")</f>
        <v>S</v>
      </c>
      <c r="AO318" s="284" t="str">
        <f>IF(VLOOKUP(T_Convention[[#This Row],[NumL]],T_TraitDi[#Data],COLUMN(T_TraitDi[Colonne15]),FALSE)=0,"",TEXT(IFERROR(VLOOKUP(T_Convention[[#This Row],[NumL]],T_TraitDi[#Data],COLUMN(T_TraitDi[Colonne15]),FALSE),""),"[hh]:mm"))</f>
        <v>07:45</v>
      </c>
      <c r="AP318" s="284" t="str">
        <f>IF(VLOOKUP(T_Convention[[#This Row],[NumL]],T_TraitDi[#Data],COLUMN(T_TraitDi[Colonne16]),FALSE)=0,"",TEXT(IFERROR(VLOOKUP(T_Convention[[#This Row],[NumL]],T_TraitDi[#Data],COLUMN(T_TraitDi[Colonne16]),FALSE),""),"[hh]:mm"))</f>
        <v>12:15</v>
      </c>
      <c r="AQ318" s="284" t="str">
        <f>IFERROR(VLOOKUP(T_Convention[[#This Row],[NumL]],T_TraitDi[#Data],COLUMN(T_TraitDi[Colonne17]),FALSE),"")</f>
        <v>S</v>
      </c>
      <c r="AR318" s="284" t="str">
        <f>IF(VLOOKUP(T_Convention[[#This Row],[NumL]],T_TraitDi[#Data],COLUMN(T_TraitDi[Colonne18]),FALSE)=0,"",TEXT(IFERROR(VLOOKUP(T_Convention[[#This Row],[NumL]],T_TraitDi[#Data],COLUMN(T_TraitDi[Colonne18]),FALSE),""),"[hh]:mm"))</f>
        <v>13:15</v>
      </c>
      <c r="AS318" s="284" t="str">
        <f>IF(VLOOKUP(T_Convention[[#This Row],[NumL]],T_TraitDi[#Data],COLUMN(T_TraitDi[Colonne19]),FALSE)=0,"",TEXT(IFERROR(VLOOKUP(T_Convention[[#This Row],[NumL]],T_TraitDi[#Data],COLUMN(T_TraitDi[Colonne19]),FALSE),""),"[hh]:mm"))</f>
        <v>16:20</v>
      </c>
      <c r="AT318" s="284" t="str">
        <f>IF(VLOOKUP(T_Convention[[#This Row],[NumL]],T_TraitDi[#Data],COLUMN(T_TraitDi[Colonne20]),FALSE)=0,"",TEXT(IFERROR(VLOOKUP(T_Convention[[#This Row],[NumL]],T_TraitDi[#Data],COLUMN(T_TraitDi[Colonne20]),FALSE),""),"[hh]:mm"))</f>
        <v>07:35</v>
      </c>
      <c r="AU318" s="284" t="str">
        <f>IFERROR(VLOOKUP(T_Convention[[#This Row],[NumL]],T_TraitDi[#Data],COLUMN(T_TraitDi[Jeudi]),FALSE),"")</f>
        <v>S</v>
      </c>
      <c r="AV318" s="284" t="str">
        <f>IF(VLOOKUP(T_Convention[[#This Row],[NumL]],T_TraitDi[#Data],COLUMN(T_TraitDi[Colonne21]),FALSE)=0,"",TEXT(IFERROR(VLOOKUP(T_Convention[[#This Row],[NumL]],T_TraitDi[#Data],COLUMN(T_TraitDi[Colonne21]),FALSE),""),"[hh]:mm"))</f>
        <v>07:45</v>
      </c>
      <c r="AW318" s="284" t="str">
        <f>IF(VLOOKUP(T_Convention[[#This Row],[NumL]],T_TraitDi[#Data],COLUMN(T_TraitDi[Colonne22]),FALSE)=0,"",TEXT(IFERROR(VLOOKUP(T_Convention[[#This Row],[NumL]],T_TraitDi[#Data],COLUMN(T_TraitDi[Colonne22]),FALSE),""),"[hh]:mm"))</f>
        <v>12:15</v>
      </c>
      <c r="AX318" s="284" t="str">
        <f>IFERROR(VLOOKUP(T_Convention[[#This Row],[NumL]],T_TraitDi[#Data],COLUMN(T_TraitDi[Colonne23]),FALSE),"")</f>
        <v>S</v>
      </c>
      <c r="AY318" s="284" t="str">
        <f>IF(VLOOKUP(T_Convention[[#This Row],[NumL]],T_TraitDi[#Data],COLUMN(T_TraitDi[Colonne24]),FALSE)=0,"",TEXT(IFERROR(VLOOKUP(T_Convention[[#This Row],[NumL]],T_TraitDi[#Data],COLUMN(T_TraitDi[Colonne24]),FALSE),""),"[hh]:mm"))</f>
        <v>13:15</v>
      </c>
      <c r="AZ318" s="284" t="str">
        <f>IF(VLOOKUP(T_Convention[[#This Row],[NumL]],T_TraitDi[#Data],COLUMN(T_TraitDi[Colonne25]),FALSE)=0,"",TEXT(IFERROR(VLOOKUP(T_Convention[[#This Row],[NumL]],T_TraitDi[#Data],COLUMN(T_TraitDi[Colonne25]),FALSE),""),"[hh]:mm"))</f>
        <v>16:15</v>
      </c>
      <c r="BA318" s="284" t="str">
        <f>IF(VLOOKUP(T_Convention[[#This Row],[NumL]],T_TraitDi[#Data],COLUMN(T_TraitDi[Colonne26]),FALSE)=0,"",TEXT(IFERROR(VLOOKUP(T_Convention[[#This Row],[NumL]],T_TraitDi[#Data],COLUMN(T_TraitDi[Colonne26]),FALSE),""),"[hh]:mm"))</f>
        <v>07:30</v>
      </c>
      <c r="BB318" s="284" t="str">
        <f>IFERROR(VLOOKUP(T_Convention[[#This Row],[NumL]],T_TraitDi[#Data],COLUMN(T_TraitDi[Vendredi]),FALSE),"")</f>
        <v>T</v>
      </c>
      <c r="BC318" s="284" t="str">
        <f>IF(VLOOKUP(T_Convention[[#This Row],[NumL]],T_TraitDi[#Data],COLUMN(T_TraitDi[Colonne27]),FALSE)=0,"",TEXT(IFERROR(VLOOKUP(T_Convention[[#This Row],[NumL]],T_TraitDi[#Data],COLUMN(T_TraitDi[Colonne27]),FALSE),""),"[hh]:mm"))</f>
        <v>07:45</v>
      </c>
      <c r="BD318" s="284" t="str">
        <f>IF(VLOOKUP(T_Convention[[#This Row],[NumL]],T_TraitDi[#Data],COLUMN(T_TraitDi[Colonne28]),FALSE)=0,"",TEXT(IFERROR(VLOOKUP(T_Convention[[#This Row],[NumL]],T_TraitDi[#Data],COLUMN(T_TraitDi[Colonne28]),FALSE),""),"[hh]:mm"))</f>
        <v>12:15</v>
      </c>
      <c r="BE318" s="284" t="str">
        <f>IFERROR(VLOOKUP(T_Convention[[#This Row],[NumL]],T_TraitDi[#Data],COLUMN(T_TraitDi[Colonne29]),FALSE),"")</f>
        <v>T</v>
      </c>
      <c r="BF318" s="284" t="str">
        <f>IF(VLOOKUP(T_Convention[[#This Row],[NumL]],T_TraitDi[#Data],COLUMN(T_TraitDi[Colonne30]),FALSE)=0,"",TEXT(IFERROR(VLOOKUP(T_Convention[[#This Row],[NumL]],T_TraitDi[#Data],COLUMN(T_TraitDi[Colonne30]),FALSE),""),"[hh]:mm"))</f>
        <v>13:15</v>
      </c>
      <c r="BG318" s="284" t="str">
        <f>IF(VLOOKUP(T_Convention[[#This Row],[NumL]],T_TraitDi[#Data],COLUMN(T_TraitDi[Colonne31]),FALSE)=0,"",TEXT(IFERROR(VLOOKUP(T_Convention[[#This Row],[NumL]],T_TraitDi[#Data],COLUMN(T_TraitDi[Colonne31]),FALSE),""),"[hh]:mm"))</f>
        <v>15:45</v>
      </c>
      <c r="BH318" s="284" t="str">
        <f>IF(VLOOKUP(T_Convention[[#This Row],[NumL]],T_TraitDi[#Data],COLUMN(T_TraitDi[Colonne32]),FALSE)=0,"",TEXT(IFERROR(VLOOKUP(T_Convention[[#This Row],[NumL]],T_TraitDi[#Data],COLUMN(T_TraitDi[Colonne32]),FALSE),""),"[hh]:mm"))</f>
        <v>07:00</v>
      </c>
      <c r="BI318" s="284">
        <f>IFERROR(VLOOKUP(T_Convention[[#This Row],[NumL]],T_TraitDi[#Data],COLUMN(T_TraitDi[NbJTW]),FALSE),"")</f>
        <v>1</v>
      </c>
      <c r="BJ318" s="284" t="str">
        <f>IF(VLOOKUP(T_Convention[[#This Row],[NumL]],T_TraitDi[#Data],COLUMN(T_TraitDi[NbhTW]),FALSE)=0,"",TEXT(IFERROR(VLOOKUP(T_Convention[[#This Row],[NumL]],T_TraitDi[#Data],COLUMN(T_TraitDi[NbhTW]),FALSE),""),"[hh]:mm"))</f>
        <v>07:00</v>
      </c>
      <c r="BK318" s="286" t="str">
        <f>IF(VLOOKUP(T_Convention[[#This Row],[NumL]],T_TraitDi[#Data],COLUMN(T_TraitDi[Nbhheb]),FALSE)=0,"",TEXT(IFERROR(VLOOKUP(T_Convention[[#This Row],[NumL]],T_TraitDi[#Data],COLUMN(T_TraitDi[Nbhheb]),FALSE),""),"[hh]:mm"))</f>
        <v>37:05</v>
      </c>
      <c r="BL318" s="287" t="str">
        <f>IFERROR(VLOOKUP(VLOOKUP(T_Convention[[#This Row],[NumL]],T_TraitDi[#Data],COLUMN(T_TraitDi[Type1]),FALSE),TypeTW,2,FALSE),"")</f>
        <v>son domicile (lieu de résidence habituelle du télétravailleur)</v>
      </c>
      <c r="BM318" s="288" t="str">
        <f>IFERROR(VLOOKUP(T_Convention[[#This Row],[NumL]],T_TraitDi[#Data],COLUMN(T_TraitDi[Rue1]),FALSE),"")</f>
        <v>14 allée de l'hacienda</v>
      </c>
      <c r="BN318" s="289" t="str">
        <f>IFERROR(VLOOKUP(T_Convention[[#This Row],[NumL]],T_TraitDi[#Data],COLUMN(T_TraitDi[CP1]),FALSE),"")</f>
        <v>69170</v>
      </c>
      <c r="BO318" s="282" t="str">
        <f>IFERROR(VLOOKUP(T_Convention[[#This Row],[NumL]],T_TraitDi[#Data],COLUMN(T_TraitDi[VILLE1]),FALSE),"")</f>
        <v>TARARE</v>
      </c>
      <c r="BP318" s="290" t="str">
        <f>IFERROR(VLOOKUP(VLOOKUP(T_Convention[[#This Row],[NumL]],T_TraitDi[#Data],COLUMN(T_TraitDi[Type2]),FALSE),TypeTW,2,FALSE),"")</f>
        <v/>
      </c>
      <c r="BQ318" s="182" t="str">
        <f>IFERROR(VLOOKUP(T_Convention[[#This Row],[NumL]],T_TraitDi[#Data],COLUMN(T_TraitDi[Rue2]),FALSE),"")</f>
        <v>Sans objet</v>
      </c>
      <c r="BR318" s="173" t="str">
        <f>IFERROR(VLOOKUP(T_Convention[[#This Row],[NumL]],T_TraitDi[#Data],COLUMN(T_TraitDi[CP2]),FALSE),"")</f>
        <v xml:space="preserve"> </v>
      </c>
      <c r="BS318" s="173" t="str">
        <f>IFERROR(VLOOKUP(T_Convention[[#This Row],[NumL]],T_TraitDi[#Data],COLUMN(T_TraitDi[VILLE2]),FALSE),"")</f>
        <v xml:space="preserve">  </v>
      </c>
      <c r="BT318" s="182" t="str">
        <f>IF(VLOOKUP(T_Convention[[#This Row],[NumL]],T_Equipement[#Data],COLUMN(T_Equipement[PC]),FALSE)="","Aucun équipement spécifique directement lié au télétravail",VLOOKUP(T_Convention[[#This Row],[NumL]],T_Equipement[#Data],COLUMN(T_Equipement[PC]),FALSE))</f>
        <v>20-066</v>
      </c>
      <c r="BU318" s="166" t="str">
        <f>IFERROR(IF(VLOOKUP(T_Convention[[#This Row],[NumL]],T_TraitDi[#Data],COLUMN(T_TraitDi[Plan]),FALSE)="OK","Un planning spécifique de télétravail est annexé à la présente convention.",""),"")</f>
        <v/>
      </c>
      <c r="BV318" s="185" t="s">
        <v>3502</v>
      </c>
      <c r="BW318" s="164" t="str">
        <f>IF(VLOOKUP(T_Convention[[#This Row],[NumL]],T_suiviDi[#Data],COLUMN(T_suiviDi[Entité]),FALSE)="","",VLOOKUP(T_Convention[[#This Row],[NumL]],T_suiviDi[#Data],COLUMN(T_suiviDi[Entité]),FALSE))</f>
        <v>AC</v>
      </c>
      <c r="BX318" s="164" t="str">
        <f>IF(VLOOKUP(T_Convention[[#This Row],[NumL]],T_Commission[#Data],COLUMN(T_Commission[envoi confirm TW]),FALSE)="","",VLOOKUP(T_Convention[[#This Row],[NumL]],T_Commission[#Data],COLUMN(T_Commission[envoi confirm TW]),FALSE))</f>
        <v>Oui</v>
      </c>
      <c r="BY318"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8" s="264">
        <f>VLOOKUP(T_Convention[[#This Row],[NumL]],T_Commission[#Data],COLUMN(T_Commission[Commentaire]),FALSE)</f>
        <v>0</v>
      </c>
      <c r="CA318" s="254" t="str">
        <f>IF(VLOOKUP(T_Convention[[#This Row],[NumL]],T_Commission[#Data],COLUMN(T_Commission[Encadrant Email]),FALSE)="","",VLOOKUP(T_Convention[[#This Row],[NumL]],T_Commission[#Data],COLUMN(T_Commission[Encadrant Email]),FALSE))</f>
        <v/>
      </c>
      <c r="CB318" s="352">
        <f>VLOOKUP(T_Convention[[#This Row],[NumL]],T_TraitDi[#Data],COLUMN(T_TraitDi[NbJTot]),FALSE)</f>
        <v>5</v>
      </c>
      <c r="CC318" s="352" t="str">
        <f>VLOOKUP(T_Convention[[#This Row],[NumL]],T_TraitDi[#Data],COLUMN(T_TraitDi[Reg Ponct]),FALSE)</f>
        <v>R</v>
      </c>
      <c r="CD318" s="348" t="str">
        <f>IF(T_Convention[[#This Row],[Final]]&lt;&gt;"",VLOOKUP(T_Convention[[#This Row],[NumL]],T_suiviDi[#Data],COLUMN((T_suiviDi[Statut])),FALSE),"")</f>
        <v>RENVL</v>
      </c>
    </row>
    <row r="319" spans="1:82" s="50" customFormat="1" ht="18.75" customHeight="1" x14ac:dyDescent="0.25">
      <c r="A319" s="90">
        <v>314</v>
      </c>
      <c r="B319" s="281" t="str">
        <f>VLOOKUP(T_Convention[[#This Row],[NumL]],T_Commission[#Data],COLUMN(T_Commission[FINAL]),FALSE)</f>
        <v/>
      </c>
      <c r="C319" s="162"/>
      <c r="D319" s="95" t="str">
        <f>IF(VLOOKUP(T_Convention[[#This Row],[NumL]],T_TraitDi[#Data],COLUMN(T_TraitDi[WebC]),FALSE)="","",VLOOKUP(T_Convention[[#This Row],[NumL]],T_TraitDi[#Data],COLUMN(T_TraitDi[WebC]),FALSE))</f>
        <v>WG</v>
      </c>
      <c r="E319" s="95" t="str">
        <f t="shared" si="20"/>
        <v>12 janvier 2021</v>
      </c>
      <c r="F319" s="282" t="str">
        <f>IF(T_Convention[[#This Row],[Final]]&lt;&gt;"",VLOOKUP(T_Convention[[#This Row],[NumL]],T_suiviDi[#Data],COLUMN((T_suiviDi[Civ.])),FALSE),"")</f>
        <v/>
      </c>
      <c r="G319" s="283" t="str">
        <f>IF(T_Convention[[#This Row],[Final]]&lt;&gt;"",VLOOKUP(T_Convention[[#This Row],[NumL]],T_suiviDi[#Data],COLUMN((T_suiviDi[Nom])),FALSE),"")</f>
        <v/>
      </c>
      <c r="H319" s="282" t="str">
        <f>IF(T_Convention[[#This Row],[Final]]&lt;&gt;"",VLOOKUP(T_Convention[[#This Row],[NumL]],T_suiviDi[#Data],COLUMN((T_suiviDi[Prénom])),FALSE),"")</f>
        <v/>
      </c>
      <c r="I319" s="282" t="e">
        <f>VLOOKUP(T_Convention[[#This Row],[NumL]],T_suiviDi[#Data],COLUMN((T_suiviDi[[#This Row],[Email]])),FALSE)</f>
        <v>#VALUE!</v>
      </c>
      <c r="J319" s="282" t="e">
        <f>IF(VLOOKUP(T_Convention[[#This Row],[NumL]],T_suiviDi[#Data],COLUMN(T_suiviDi[[#This Row],[Fonction]]),FALSE)="","",VLOOKUP(T_Convention[[#This Row],[NumL]],T_suiviDi[#Data],COLUMN(T_suiviDi[[#This Row],[Fonction]]),FALSE))</f>
        <v>#VALUE!</v>
      </c>
      <c r="K319" s="282" t="e">
        <f>IF(VLOOKUP(T_Convention[[#This Row],[NumL]],T_suiviDi[#Data],COLUMN(T_suiviDi[[#This Row],[Grade]]),FALSE)="","",VLOOKUP(T_Convention[[#This Row],[NumL]],T_suiviDi[#Data],COLUMN(T_suiviDi[[#This Row],[Grade]]),FALSE))</f>
        <v>#VALUE!</v>
      </c>
      <c r="L319" s="282" t="e">
        <f>IF(VLOOKUP(T_Convention[[#This Row],[NumL]],T_suiviDi[#Data],COLUMN(T_suiviDi[[#This Row],[Service ]]),FALSE)="","",VLOOKUP(T_Convention[[#This Row],[NumL]],T_suiviDi[#Data],COLUMN(T_suiviDi[[#This Row],[Service ]]),FALSE))</f>
        <v>#VALUE!</v>
      </c>
      <c r="M319" s="282" t="str">
        <f t="shared" si="21"/>
        <v>01 septembre 2021</v>
      </c>
      <c r="N319" s="282" t="str">
        <f t="shared" si="22"/>
        <v>30 novembre 2021</v>
      </c>
      <c r="O319" s="284" t="str">
        <f t="shared" si="23"/>
        <v>30 novembre 2021</v>
      </c>
      <c r="P319" s="282" t="str">
        <f>IF(VLOOKUP(T_Convention[[#This Row],[NumL]],T_TraitDi[#Data],COLUMN(T_TraitDi[M1]),FALSE)="","",VLOOKUP(T_Convention[[#This Row],[NumL]],T_TraitDi[#Data],COLUMN(T_TraitDi[M1]),FALSE))</f>
        <v xml:space="preserve">Suivi des mails </v>
      </c>
      <c r="Q319" s="282" t="str">
        <f>IF(VLOOKUP(T_Convention[[#This Row],[NumL]],T_TraitDi[#Data],COLUMN(T_TraitDi[M2]),FALSE)="","",VLOOKUP(T_Convention[[#This Row],[NumL]],T_TraitDi[#Data],COLUMN(T_TraitDi[M2]),FALSE))</f>
        <v>Gestion des examens</v>
      </c>
      <c r="R319" s="282" t="str">
        <f>IF(VLOOKUP(T_Convention[[#This Row],[NumL]],T_TraitDi[#Data],COLUMN(T_TraitDi[M3]),FALSE)="","",VLOOKUP(T_Convention[[#This Row],[NumL]],T_TraitDi[#Data],COLUMN(T_TraitDi[M3]),FALSE))</f>
        <v/>
      </c>
      <c r="S319" s="282" t="str">
        <f>IF(VLOOKUP(T_Convention[[#This Row],[NumL]],T_TraitDi[#Data],COLUMN(T_TraitDi[M4]),FALSE)="","",VLOOKUP(T_Convention[[#This Row],[NumL]],T_TraitDi[#Data],COLUMN(T_TraitDi[M4]),FALSE))</f>
        <v/>
      </c>
      <c r="T319" s="282" t="str">
        <f>IF(VLOOKUP(T_Convention[[#This Row],[NumL]],T_TraitDi[#Data],COLUMN(T_TraitDi[M5]),FALSE)="","",VLOOKUP(T_Convention[[#This Row],[NumL]],T_TraitDi[#Data],COLUMN(T_TraitDi[M5]),FALSE))</f>
        <v/>
      </c>
      <c r="U319" s="282" t="str">
        <f>IF(VLOOKUP(T_Convention[[#This Row],[NumL]],T_TraitDi[#Data],COLUMN(T_TraitDi[M6]),FALSE)="","",VLOOKUP(T_Convention[[#This Row],[NumL]],T_TraitDi[#Data],COLUMN(T_TraitDi[M6]),FALSE))</f>
        <v/>
      </c>
      <c r="V319" s="314" t="str">
        <f t="shared" si="24"/>
        <v>Suivi des mails Gestion des examens</v>
      </c>
      <c r="W319" s="284" t="str">
        <f>IFERROR(TEXT(VLOOKUP(T_Convention[[#This Row],[NumL]],T_TraitDi[#Data],COLUMN(T_TraitDi[Q2]),FALSE),"###%"),"")</f>
        <v>100%</v>
      </c>
      <c r="X319" s="285" t="str">
        <f>VLOOKUP(T_Convention[[#This Row],[NumL]],T_TraitDi[#Data],COLUMN(T_TraitDi[Reg Ponct]),FALSE)</f>
        <v>R</v>
      </c>
      <c r="Y319" s="285">
        <f>VLOOKUP(T_Convention[NumL],T_TraitDi[#Data],COLUMN(T_TraitDi[Jours flottants]),FALSE)</f>
        <v>10</v>
      </c>
      <c r="Z319" s="284" t="str">
        <f>IFERROR(VLOOKUP(T_Convention[[#This Row],[NumL]],T_TraitDi[#Data],COLUMN(T_TraitDi[Lundi]),FALSE),"")</f>
        <v>S</v>
      </c>
      <c r="AA319" s="284" t="str">
        <f>IF(VLOOKUP(T_Convention[[#This Row],[NumL]],T_TraitDi[#Data],COLUMN(T_TraitDi[Colonne3]),FALSE)=0,"",TEXT(IFERROR(VLOOKUP(T_Convention[[#This Row],[NumL]],T_TraitDi[#Data],COLUMN(T_TraitDi[Colonne3]),FALSE),""),"[hh]:mm"))</f>
        <v>08:00</v>
      </c>
      <c r="AB319" s="284" t="str">
        <f>IF(VLOOKUP(T_Convention[[#This Row],[NumL]],T_TraitDi[#Data],COLUMN(T_TraitDi[Colonne4]),FALSE)=0,"",TEXT(IFERROR(VLOOKUP(T_Convention[[#This Row],[NumL]],T_TraitDi[#Data],COLUMN(T_TraitDi[Colonne4]),FALSE),""),"[hh]:mm"))</f>
        <v>12:30</v>
      </c>
      <c r="AC319" s="284" t="str">
        <f>IF(VLOOKUP(T_Convention[[#This Row],[NumL]],T_TraitDi[#Data],COLUMN(T_TraitDi[Colonne5]),FALSE)=0,"",TEXT(IFERROR(VLOOKUP(T_Convention[[#This Row],[NumL]],T_TraitDi[#Data],COLUMN(T_TraitDi[Colonne5]),FALSE),""),"[hh]:mm"))</f>
        <v>S</v>
      </c>
      <c r="AD319" s="284" t="str">
        <f>IF(VLOOKUP(T_Convention[[#This Row],[NumL]],T_TraitDi[#Data],COLUMN(T_TraitDi[Colonne6]),FALSE)=0,"",TEXT(IFERROR(VLOOKUP(T_Convention[[#This Row],[NumL]],T_TraitDi[#Data],COLUMN(T_TraitDi[Colonne6]),FALSE),""),"[hh]:mm"))</f>
        <v>13:30</v>
      </c>
      <c r="AE319" s="284" t="str">
        <f>IF(VLOOKUP(T_Convention[[#This Row],[NumL]],T_TraitDi[#Data],COLUMN(T_TraitDi[Colonne7]),FALSE)=0,"",TEXT(IFERROR(VLOOKUP(T_Convention[[#This Row],[NumL]],T_TraitDi[#Data],COLUMN(T_TraitDi[Colonne7]),FALSE),""),"[hh]:mm"))</f>
        <v>17:30</v>
      </c>
      <c r="AF319" s="284" t="str">
        <f>IF(VLOOKUP(T_Convention[[#This Row],[NumL]],T_TraitDi[#Data],COLUMN(T_TraitDi[Colonne8]),FALSE)=0,"",TEXT(IFERROR(VLOOKUP(T_Convention[[#This Row],[NumL]],T_TraitDi[#Data],COLUMN(T_TraitDi[Colonne8]),FALSE),""),"[hh]:mm"))</f>
        <v>08:30</v>
      </c>
      <c r="AG319" s="284" t="str">
        <f>IFERROR(VLOOKUP(T_Convention[[#This Row],[NumL]],T_TraitDi[#Data],COLUMN(T_TraitDi[Mardi]),FALSE),"")</f>
        <v>T</v>
      </c>
      <c r="AH319" s="284" t="str">
        <f>IF(VLOOKUP(T_Convention[[#This Row],[NumL]],T_TraitDi[#Data],COLUMN(T_TraitDi[Colonne1]),FALSE)=0,"",TEXT(IFERROR(VLOOKUP(T_Convention[[#This Row],[NumL]],T_TraitDi[#Data],COLUMN(T_TraitDi[Colonne1]),FALSE),""),"[hh]:mm"))</f>
        <v>08:00</v>
      </c>
      <c r="AI319" s="284" t="str">
        <f>IF(VLOOKUP(T_Convention[[#This Row],[NumL]],T_TraitDi[#Data],COLUMN(T_TraitDi[Colonne9]),FALSE)=0,"",TEXT(IFERROR(VLOOKUP(T_Convention[[#This Row],[NumL]],T_TraitDi[#Data],COLUMN(T_TraitDi[Colonne9]),FALSE),""),"[hh]:mm"))</f>
        <v>12:30</v>
      </c>
      <c r="AJ319" s="284" t="str">
        <f>IFERROR(VLOOKUP(T_Convention[[#This Row],[NumL]],T_TraitDi[#Data],COLUMN(T_TraitDi[Colonne10]),FALSE),"")</f>
        <v>T</v>
      </c>
      <c r="AK319" s="284" t="str">
        <f>IF(VLOOKUP(T_Convention[[#This Row],[NumL]],T_TraitDi[#Data],COLUMN(T_TraitDi[Colonne11]),FALSE)=0,"",TEXT(IFERROR(VLOOKUP(T_Convention[[#This Row],[NumL]],T_TraitDi[#Data],COLUMN(T_TraitDi[Colonne11]),FALSE),""),"[hh]:mm"))</f>
        <v>13:30</v>
      </c>
      <c r="AL319" s="284" t="str">
        <f>IF(VLOOKUP(T_Convention[[#This Row],[NumL]],T_TraitDi[#Data],COLUMN(T_TraitDi[Colonne12]),FALSE)=0,"",TEXT(IFERROR(VLOOKUP(T_Convention[[#This Row],[NumL]],T_TraitDi[#Data],COLUMN(T_TraitDi[Colonne12]),FALSE),""),"[hh]:mm"))</f>
        <v>17:00</v>
      </c>
      <c r="AM319" s="284" t="str">
        <f>IF(VLOOKUP(T_Convention[[#This Row],[NumL]],T_TraitDi[#Data],COLUMN(T_TraitDi[Colonne14]),FALSE)=0,"",TEXT(IFERROR(VLOOKUP(T_Convention[[#This Row],[NumL]],T_TraitDi[#Data],COLUMN(T_TraitDi[Colonne14]),FALSE),""),"[hh]:mm"))</f>
        <v>08:00</v>
      </c>
      <c r="AN319" s="284" t="str">
        <f>IFERROR(VLOOKUP(T_Convention[[#This Row],[NumL]],T_TraitDi[#Data],COLUMN(T_TraitDi[Mercredi]),FALSE),"")</f>
        <v>S</v>
      </c>
      <c r="AO319" s="284" t="str">
        <f>IF(VLOOKUP(T_Convention[[#This Row],[NumL]],T_TraitDi[#Data],COLUMN(T_TraitDi[Colonne15]),FALSE)=0,"",TEXT(IFERROR(VLOOKUP(T_Convention[[#This Row],[NumL]],T_TraitDi[#Data],COLUMN(T_TraitDi[Colonne15]),FALSE),""),"[hh]:mm"))</f>
        <v>08:00</v>
      </c>
      <c r="AP319" s="284" t="str">
        <f>IF(VLOOKUP(T_Convention[[#This Row],[NumL]],T_TraitDi[#Data],COLUMN(T_TraitDi[Colonne16]),FALSE)=0,"",TEXT(IFERROR(VLOOKUP(T_Convention[[#This Row],[NumL]],T_TraitDi[#Data],COLUMN(T_TraitDi[Colonne16]),FALSE),""),"[hh]:mm"))</f>
        <v>12:30</v>
      </c>
      <c r="AQ319" s="284" t="str">
        <f>IFERROR(VLOOKUP(T_Convention[[#This Row],[NumL]],T_TraitDi[#Data],COLUMN(T_TraitDi[Colonne17]),FALSE),"")</f>
        <v>S</v>
      </c>
      <c r="AR319" s="284" t="str">
        <f>IF(VLOOKUP(T_Convention[[#This Row],[NumL]],T_TraitDi[#Data],COLUMN(T_TraitDi[Colonne18]),FALSE)=0,"",TEXT(IFERROR(VLOOKUP(T_Convention[[#This Row],[NumL]],T_TraitDi[#Data],COLUMN(T_TraitDi[Colonne18]),FALSE),""),"[hh]:mm"))</f>
        <v>13:30</v>
      </c>
      <c r="AS319" s="284" t="str">
        <f>IF(VLOOKUP(T_Convention[[#This Row],[NumL]],T_TraitDi[#Data],COLUMN(T_TraitDi[Colonne19]),FALSE)=0,"",TEXT(IFERROR(VLOOKUP(T_Convention[[#This Row],[NumL]],T_TraitDi[#Data],COLUMN(T_TraitDi[Colonne19]),FALSE),""),"[hh]:mm"))</f>
        <v>17:00</v>
      </c>
      <c r="AT319" s="284" t="str">
        <f>IF(VLOOKUP(T_Convention[[#This Row],[NumL]],T_TraitDi[#Data],COLUMN(T_TraitDi[Colonne20]),FALSE)=0,"",TEXT(IFERROR(VLOOKUP(T_Convention[[#This Row],[NumL]],T_TraitDi[#Data],COLUMN(T_TraitDi[Colonne20]),FALSE),""),"[hh]:mm"))</f>
        <v>08:00</v>
      </c>
      <c r="AU319" s="284" t="str">
        <f>IFERROR(VLOOKUP(T_Convention[[#This Row],[NumL]],T_TraitDi[#Data],COLUMN(T_TraitDi[Jeudi]),FALSE),"")</f>
        <v>S</v>
      </c>
      <c r="AV319" s="284" t="str">
        <f>IF(VLOOKUP(T_Convention[[#This Row],[NumL]],T_TraitDi[#Data],COLUMN(T_TraitDi[Colonne21]),FALSE)=0,"",TEXT(IFERROR(VLOOKUP(T_Convention[[#This Row],[NumL]],T_TraitDi[#Data],COLUMN(T_TraitDi[Colonne21]),FALSE),""),"[hh]:mm"))</f>
        <v>08:00</v>
      </c>
      <c r="AW319" s="284" t="str">
        <f>IF(VLOOKUP(T_Convention[[#This Row],[NumL]],T_TraitDi[#Data],COLUMN(T_TraitDi[Colonne22]),FALSE)=0,"",TEXT(IFERROR(VLOOKUP(T_Convention[[#This Row],[NumL]],T_TraitDi[#Data],COLUMN(T_TraitDi[Colonne22]),FALSE),""),"[hh]:mm"))</f>
        <v>12:30</v>
      </c>
      <c r="AX319" s="284" t="str">
        <f>IFERROR(VLOOKUP(T_Convention[[#This Row],[NumL]],T_TraitDi[#Data],COLUMN(T_TraitDi[Colonne23]),FALSE),"")</f>
        <v>S</v>
      </c>
      <c r="AY319" s="284" t="str">
        <f>IF(VLOOKUP(T_Convention[[#This Row],[NumL]],T_TraitDi[#Data],COLUMN(T_TraitDi[Colonne24]),FALSE)=0,"",TEXT(IFERROR(VLOOKUP(T_Convention[[#This Row],[NumL]],T_TraitDi[#Data],COLUMN(T_TraitDi[Colonne24]),FALSE),""),"[hh]:mm"))</f>
        <v>13:30</v>
      </c>
      <c r="AZ319" s="284" t="str">
        <f>IF(VLOOKUP(T_Convention[[#This Row],[NumL]],T_TraitDi[#Data],COLUMN(T_TraitDi[Colonne25]),FALSE)=0,"",TEXT(IFERROR(VLOOKUP(T_Convention[[#This Row],[NumL]],T_TraitDi[#Data],COLUMN(T_TraitDi[Colonne25]),FALSE),""),"[hh]:mm"))</f>
        <v>17:30</v>
      </c>
      <c r="BA319" s="284" t="str">
        <f>IF(VLOOKUP(T_Convention[[#This Row],[NumL]],T_TraitDi[#Data],COLUMN(T_TraitDi[Colonne26]),FALSE)=0,"",TEXT(IFERROR(VLOOKUP(T_Convention[[#This Row],[NumL]],T_TraitDi[#Data],COLUMN(T_TraitDi[Colonne26]),FALSE),""),"[hh]:mm"))</f>
        <v>08:30</v>
      </c>
      <c r="BB319" s="284" t="str">
        <f>IFERROR(VLOOKUP(T_Convention[[#This Row],[NumL]],T_TraitDi[#Data],COLUMN(T_TraitDi[Vendredi]),FALSE),"")</f>
        <v>S</v>
      </c>
      <c r="BC319" s="284" t="str">
        <f>IF(VLOOKUP(T_Convention[[#This Row],[NumL]],T_TraitDi[#Data],COLUMN(T_TraitDi[Colonne27]),FALSE)=0,"",TEXT(IFERROR(VLOOKUP(T_Convention[[#This Row],[NumL]],T_TraitDi[#Data],COLUMN(T_TraitDi[Colonne27]),FALSE),""),"[hh]:mm"))</f>
        <v>08:00</v>
      </c>
      <c r="BD319" s="284" t="str">
        <f>IF(VLOOKUP(T_Convention[[#This Row],[NumL]],T_TraitDi[#Data],COLUMN(T_TraitDi[Colonne28]),FALSE)=0,"",TEXT(IFERROR(VLOOKUP(T_Convention[[#This Row],[NumL]],T_TraitDi[#Data],COLUMN(T_TraitDi[Colonne28]),FALSE),""),"[hh]:mm"))</f>
        <v>12:05</v>
      </c>
      <c r="BE319" s="284" t="str">
        <f>IFERROR(VLOOKUP(T_Convention[[#This Row],[NumL]],T_TraitDi[#Data],COLUMN(T_TraitDi[Colonne29]),FALSE),"")</f>
        <v>A</v>
      </c>
      <c r="BF319" s="284" t="str">
        <f>IF(VLOOKUP(T_Convention[[#This Row],[NumL]],T_TraitDi[#Data],COLUMN(T_TraitDi[Colonne30]),FALSE)=0,"",TEXT(IFERROR(VLOOKUP(T_Convention[[#This Row],[NumL]],T_TraitDi[#Data],COLUMN(T_TraitDi[Colonne30]),FALSE),""),"[hh]:mm"))</f>
        <v/>
      </c>
      <c r="BG319" s="284" t="str">
        <f>IF(VLOOKUP(T_Convention[[#This Row],[NumL]],T_TraitDi[#Data],COLUMN(T_TraitDi[Colonne31]),FALSE)=0,"",TEXT(IFERROR(VLOOKUP(T_Convention[[#This Row],[NumL]],T_TraitDi[#Data],COLUMN(T_TraitDi[Colonne31]),FALSE),""),"[hh]:mm"))</f>
        <v/>
      </c>
      <c r="BH319" s="284" t="str">
        <f>IF(VLOOKUP(T_Convention[[#This Row],[NumL]],T_TraitDi[#Data],COLUMN(T_TraitDi[Colonne32]),FALSE)=0,"",TEXT(IFERROR(VLOOKUP(T_Convention[[#This Row],[NumL]],T_TraitDi[#Data],COLUMN(T_TraitDi[Colonne32]),FALSE),""),"[hh]:mm"))</f>
        <v>04:05</v>
      </c>
      <c r="BI319" s="284">
        <f>IFERROR(VLOOKUP(T_Convention[[#This Row],[NumL]],T_TraitDi[#Data],COLUMN(T_TraitDi[NbJTW]),FALSE),"")</f>
        <v>1</v>
      </c>
      <c r="BJ319" s="284" t="str">
        <f>IF(VLOOKUP(T_Convention[[#This Row],[NumL]],T_TraitDi[#Data],COLUMN(T_TraitDi[NbhTW]),FALSE)=0,"",TEXT(IFERROR(VLOOKUP(T_Convention[[#This Row],[NumL]],T_TraitDi[#Data],COLUMN(T_TraitDi[NbhTW]),FALSE),""),"[hh]:mm"))</f>
        <v>08:00</v>
      </c>
      <c r="BK319" s="315" t="str">
        <f>IF(VLOOKUP(T_Convention[[#This Row],[NumL]],T_TraitDi[#Data],COLUMN(T_TraitDi[Nbhheb]),FALSE)=0,"",TEXT(IFERROR(VLOOKUP(T_Convention[[#This Row],[NumL]],T_TraitDi[#Data],COLUMN(T_TraitDi[Nbhheb]),FALSE),""),"[hh]:mm"))</f>
        <v>37:05</v>
      </c>
      <c r="BL319" s="287" t="str">
        <f>IFERROR(VLOOKUP(VLOOKUP(T_Convention[[#This Row],[NumL]],T_TraitDi[#Data],COLUMN(T_TraitDi[Type1]),FALSE),TypeTW,2,FALSE),"")</f>
        <v>son domicile (lieu de résidence habituelle du télétravailleur)</v>
      </c>
      <c r="BM319" s="288" t="str">
        <f>IFERROR(VLOOKUP(T_Convention[[#This Row],[NumL]],T_TraitDi[#Data],COLUMN(T_TraitDi[Rue1]),FALSE),"")</f>
        <v>116 rue André Bollier</v>
      </c>
      <c r="BN319" s="289" t="str">
        <f>IFERROR(VLOOKUP(T_Convention[[#This Row],[NumL]],T_TraitDi[#Data],COLUMN(T_TraitDi[CP1]),FALSE),"")</f>
        <v>69007</v>
      </c>
      <c r="BO319" s="282" t="str">
        <f>IFERROR(VLOOKUP(T_Convention[[#This Row],[NumL]],T_TraitDi[#Data],COLUMN(T_TraitDi[VILLE1]),FALSE),"")</f>
        <v>LYON</v>
      </c>
      <c r="BP319" s="290" t="str">
        <f>IFERROR(VLOOKUP(VLOOKUP(T_Convention[[#This Row],[NumL]],T_TraitDi[#Data],COLUMN(T_TraitDi[Type2]),FALSE),TypeTW,2,FALSE),"")</f>
        <v/>
      </c>
      <c r="BQ319" s="310" t="str">
        <f>IFERROR(VLOOKUP(T_Convention[[#This Row],[NumL]],T_TraitDi[#Data],COLUMN(T_TraitDi[Rue2]),FALSE),"")</f>
        <v>Sans objet</v>
      </c>
      <c r="BR319" s="290">
        <f>IFERROR(VLOOKUP(T_Convention[[#This Row],[NumL]],T_TraitDi[#Data],COLUMN(T_TraitDi[CP2]),FALSE),"")</f>
        <v>0</v>
      </c>
      <c r="BS319" s="290">
        <f>IFERROR(VLOOKUP(T_Convention[[#This Row],[NumL]],T_TraitDi[#Data],COLUMN(T_TraitDi[VILLE2]),FALSE),"")</f>
        <v>0</v>
      </c>
      <c r="BT319" s="314" t="str">
        <f>IF(VLOOKUP(T_Convention[[#This Row],[NumL]],T_Equipement[#Data],COLUMN(T_Equipement[PC]),FALSE)="","Aucun équipement spécifique directement lié au télétravail",VLOOKUP(T_Convention[[#This Row],[NumL]],T_Equipement[#Data],COLUMN(T_Equipement[PC]),FALSE))</f>
        <v>Aucun équipement spécifique directement lié au télétravail</v>
      </c>
      <c r="BU319" s="314" t="str">
        <f>IFERROR(IF(VLOOKUP(T_Convention[[#This Row],[NumL]],T_TraitDi[#Data],COLUMN(T_TraitDi[Plan]),FALSE)="OK","Un planning spécifique de télétravail est annexé à la présente convention.",""),"")</f>
        <v/>
      </c>
      <c r="BV319" s="291"/>
      <c r="BW319" s="292" t="str">
        <f>IF(VLOOKUP(T_Convention[[#This Row],[NumL]],T_suiviDi[#Data],COLUMN(T_suiviDi[Entité]),FALSE)="","",VLOOKUP(T_Convention[[#This Row],[NumL]],T_suiviDi[#Data],COLUMN(T_suiviDi[Entité]),FALSE))</f>
        <v>IAE</v>
      </c>
      <c r="BX319" s="311" t="str">
        <f>IF(VLOOKUP(T_Convention[[#This Row],[NumL]],T_Commission[#Data],COLUMN(T_Commission[envoi confirm TW]),FALSE)="","",VLOOKUP(T_Convention[[#This Row],[NumL]],T_Commission[#Data],COLUMN(T_Commission[envoi confirm TW]),FALSE))</f>
        <v>Oui</v>
      </c>
      <c r="BY319" s="293"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19" s="265">
        <f>VLOOKUP(T_Convention[[#This Row],[NumL]],T_Commission[#Data],COLUMN(T_Commission[Commentaire]),FALSE)</f>
        <v>0</v>
      </c>
      <c r="CA319" s="255" t="str">
        <f>IF(VLOOKUP(T_Convention[[#This Row],[NumL]],T_Commission[#Data],COLUMN(T_Commission[Encadrant Email]),FALSE)="","",VLOOKUP(T_Convention[[#This Row],[NumL]],T_Commission[#Data],COLUMN(T_Commission[Encadrant Email]),FALSE))</f>
        <v/>
      </c>
      <c r="CB319" s="352">
        <f>VLOOKUP(T_Convention[[#This Row],[NumL]],T_TraitDi[#Data],COLUMN(T_TraitDi[NbJTot]),FALSE)</f>
        <v>4.5</v>
      </c>
      <c r="CC319" s="352" t="str">
        <f>VLOOKUP(T_Convention[[#This Row],[NumL]],T_TraitDi[#Data],COLUMN(T_TraitDi[Reg Ponct]),FALSE)</f>
        <v>R</v>
      </c>
      <c r="CD319" s="348" t="str">
        <f>IF(T_Convention[[#This Row],[Final]]&lt;&gt;"",VLOOKUP(T_Convention[[#This Row],[NumL]],T_suiviDi[#Data],COLUMN((T_suiviDi[Statut])),FALSE),"")</f>
        <v/>
      </c>
    </row>
    <row r="320" spans="1:82" s="50" customFormat="1" ht="18.75" customHeight="1" x14ac:dyDescent="0.25">
      <c r="A320" s="136">
        <v>76</v>
      </c>
      <c r="B320" s="161">
        <f>VLOOKUP(T_Convention[[#This Row],[NumL]],T_Commission[#Data],COLUMN(T_Commission[FINAL]),FALSE)</f>
        <v>1</v>
      </c>
      <c r="C320" s="162"/>
      <c r="D320" s="95" t="str">
        <f>IF(VLOOKUP(T_Convention[[#This Row],[NumL]],T_TraitDi[#Data],COLUMN(T_TraitDi[WebC]),FALSE)="","",VLOOKUP(T_Convention[[#This Row],[NumL]],T_TraitDi[#Data],COLUMN(T_TraitDi[WebC]),FALSE))</f>
        <v>WG</v>
      </c>
      <c r="E320" s="300" t="str">
        <f t="shared" si="20"/>
        <v>12 janvier 2021</v>
      </c>
      <c r="F320" s="304" t="str">
        <f>IF(T_Convention[[#This Row],[Final]]&lt;&gt;"",VLOOKUP(T_Convention[[#This Row],[NumL]],T_suiviDi[#Data],COLUMN((T_suiviDi[Civ.])),FALSE),"")</f>
        <v>M.</v>
      </c>
      <c r="G320" s="283" t="str">
        <f>IF(T_Convention[[#This Row],[Final]]&lt;&gt;"",VLOOKUP(T_Convention[[#This Row],[NumL]],T_suiviDi[#Data],COLUMN((T_suiviDi[Nom])),FALSE),"")</f>
        <v>A</v>
      </c>
      <c r="H320" s="304" t="str">
        <f>IF(T_Convention[[#This Row],[Final]]&lt;&gt;"",VLOOKUP(T_Convention[[#This Row],[NumL]],T_suiviDi[#Data],COLUMN((T_suiviDi[Prénom])),FALSE),"")</f>
        <v>Yann</v>
      </c>
      <c r="I320" s="304" t="e">
        <f>VLOOKUP(T_Convention[[#This Row],[NumL]],T_suiviDi[#Data],COLUMN((T_suiviDi[[#This Row],[Email]])),FALSE)</f>
        <v>#VALUE!</v>
      </c>
      <c r="J320" s="304" t="e">
        <f>IF(VLOOKUP(T_Convention[[#This Row],[NumL]],T_suiviDi[#Data],COLUMN(T_suiviDi[[#This Row],[Fonction]]),FALSE)="","",VLOOKUP(T_Convention[[#This Row],[NumL]],T_suiviDi[#Data],COLUMN(T_suiviDi[[#This Row],[Fonction]]),FALSE))</f>
        <v>#VALUE!</v>
      </c>
      <c r="K320" s="304" t="e">
        <f>IF(VLOOKUP(T_Convention[[#This Row],[NumL]],T_suiviDi[#Data],COLUMN(T_suiviDi[[#This Row],[Grade]]),FALSE)="","",VLOOKUP(T_Convention[[#This Row],[NumL]],T_suiviDi[#Data],COLUMN(T_suiviDi[[#This Row],[Grade]]),FALSE))</f>
        <v>#VALUE!</v>
      </c>
      <c r="L320" s="304" t="e">
        <f>IF(VLOOKUP(T_Convention[[#This Row],[NumL]],T_suiviDi[#Data],COLUMN(T_suiviDi[[#This Row],[Service ]]),FALSE)="","",VLOOKUP(T_Convention[[#This Row],[NumL]],T_suiviDi[#Data],COLUMN(T_suiviDi[[#This Row],[Service ]]),FALSE))</f>
        <v>#VALUE!</v>
      </c>
      <c r="M320" s="335" t="str">
        <f t="shared" si="21"/>
        <v>01 septembre 2021</v>
      </c>
      <c r="N320" s="335" t="str">
        <f t="shared" si="22"/>
        <v>30 novembre 2021</v>
      </c>
      <c r="O320" s="305" t="str">
        <f t="shared" si="23"/>
        <v>30 novembre 2021</v>
      </c>
      <c r="P320" s="304" t="str">
        <f>IF(VLOOKUP(T_Convention[[#This Row],[NumL]],T_TraitDi[#Data],COLUMN(T_TraitDi[M1]),FALSE)="","",VLOOKUP(T_Convention[[#This Row],[NumL]],T_TraitDi[#Data],COLUMN(T_TraitDi[M1]),FALSE))</f>
        <v/>
      </c>
      <c r="Q320" s="304" t="str">
        <f>IF(VLOOKUP(T_Convention[[#This Row],[NumL]],T_TraitDi[#Data],COLUMN(T_TraitDi[M2]),FALSE)="","",VLOOKUP(T_Convention[[#This Row],[NumL]],T_TraitDi[#Data],COLUMN(T_TraitDi[M2]),FALSE))</f>
        <v/>
      </c>
      <c r="R320" s="304" t="str">
        <f>IF(VLOOKUP(T_Convention[[#This Row],[NumL]],T_TraitDi[#Data],COLUMN(T_TraitDi[M3]),FALSE)="","",VLOOKUP(T_Convention[[#This Row],[NumL]],T_TraitDi[#Data],COLUMN(T_TraitDi[M3]),FALSE))</f>
        <v/>
      </c>
      <c r="S320" s="304" t="str">
        <f>IF(VLOOKUP(T_Convention[[#This Row],[NumL]],T_TraitDi[#Data],COLUMN(T_TraitDi[M4]),FALSE)="","",VLOOKUP(T_Convention[[#This Row],[NumL]],T_TraitDi[#Data],COLUMN(T_TraitDi[M4]),FALSE))</f>
        <v/>
      </c>
      <c r="T320" s="304" t="str">
        <f>IF(VLOOKUP(T_Convention[[#This Row],[NumL]],T_TraitDi[#Data],COLUMN(T_TraitDi[M5]),FALSE)="","",VLOOKUP(T_Convention[[#This Row],[NumL]],T_TraitDi[#Data],COLUMN(T_TraitDi[M5]),FALSE))</f>
        <v/>
      </c>
      <c r="U320" s="304" t="str">
        <f>IF(VLOOKUP(T_Convention[[#This Row],[NumL]],T_TraitDi[#Data],COLUMN(T_TraitDi[M6]),FALSE)="","",VLOOKUP(T_Convention[[#This Row],[NumL]],T_TraitDi[#Data],COLUMN(T_TraitDi[M6]),FALSE))</f>
        <v/>
      </c>
      <c r="V320" s="346" t="str">
        <f t="shared" si="24"/>
        <v/>
      </c>
      <c r="W320" s="305" t="str">
        <f>IFERROR(TEXT(VLOOKUP(T_Convention[[#This Row],[NumL]],T_TraitDi[#Data],COLUMN(T_TraitDi[Q2]),FALSE),"###%"),"")</f>
        <v>100%</v>
      </c>
      <c r="X320" s="337" t="str">
        <f>VLOOKUP(T_Convention[[#This Row],[NumL]],T_TraitDi[#Data],COLUMN(T_TraitDi[Reg Ponct]),FALSE)</f>
        <v>P</v>
      </c>
      <c r="Y320" s="337">
        <f>VLOOKUP(T_Convention[NumL],T_TraitDi[#Data],COLUMN(T_TraitDi[Jours flottants]),FALSE)</f>
        <v>20</v>
      </c>
      <c r="Z320" s="305">
        <f>IFERROR(VLOOKUP(T_Convention[[#This Row],[NumL]],T_TraitDi[#Data],COLUMN(T_TraitDi[Lundi]),FALSE),"")</f>
        <v>0</v>
      </c>
      <c r="AA320" s="305" t="str">
        <f>IF(VLOOKUP(T_Convention[[#This Row],[NumL]],T_TraitDi[#Data],COLUMN(T_TraitDi[Colonne3]),FALSE)=0,"",TEXT(IFERROR(VLOOKUP(T_Convention[[#This Row],[NumL]],T_TraitDi[#Data],COLUMN(T_TraitDi[Colonne3]),FALSE),""),"[hh]:mm"))</f>
        <v/>
      </c>
      <c r="AB320" s="305" t="str">
        <f>IF(VLOOKUP(T_Convention[[#This Row],[NumL]],T_TraitDi[#Data],COLUMN(T_TraitDi[Colonne4]),FALSE)=0,"",TEXT(IFERROR(VLOOKUP(T_Convention[[#This Row],[NumL]],T_TraitDi[#Data],COLUMN(T_TraitDi[Colonne4]),FALSE),""),"[hh]:mm"))</f>
        <v/>
      </c>
      <c r="AC320" s="305" t="str">
        <f>IF(VLOOKUP(T_Convention[[#This Row],[NumL]],T_TraitDi[#Data],COLUMN(T_TraitDi[Colonne5]),FALSE)=0,"",TEXT(IFERROR(VLOOKUP(T_Convention[[#This Row],[NumL]],T_TraitDi[#Data],COLUMN(T_TraitDi[Colonne5]),FALSE),""),"[hh]:mm"))</f>
        <v/>
      </c>
      <c r="AD320" s="305" t="str">
        <f>IF(VLOOKUP(T_Convention[[#This Row],[NumL]],T_TraitDi[#Data],COLUMN(T_TraitDi[Colonne6]),FALSE)=0,"",TEXT(IFERROR(VLOOKUP(T_Convention[[#This Row],[NumL]],T_TraitDi[#Data],COLUMN(T_TraitDi[Colonne6]),FALSE),""),"[hh]:mm"))</f>
        <v/>
      </c>
      <c r="AE320" s="305" t="str">
        <f>IF(VLOOKUP(T_Convention[[#This Row],[NumL]],T_TraitDi[#Data],COLUMN(T_TraitDi[Colonne7]),FALSE)=0,"",TEXT(IFERROR(VLOOKUP(T_Convention[[#This Row],[NumL]],T_TraitDi[#Data],COLUMN(T_TraitDi[Colonne7]),FALSE),""),"[hh]:mm"))</f>
        <v/>
      </c>
      <c r="AF320" s="305" t="str">
        <f>IF(VLOOKUP(T_Convention[[#This Row],[NumL]],T_TraitDi[#Data],COLUMN(T_TraitDi[Colonne8]),FALSE)=0,"",TEXT(IFERROR(VLOOKUP(T_Convention[[#This Row],[NumL]],T_TraitDi[#Data],COLUMN(T_TraitDi[Colonne8]),FALSE),""),"[hh]:mm"))</f>
        <v/>
      </c>
      <c r="AG320" s="305">
        <f>IFERROR(VLOOKUP(T_Convention[[#This Row],[NumL]],T_TraitDi[#Data],COLUMN(T_TraitDi[Mardi]),FALSE),"")</f>
        <v>0</v>
      </c>
      <c r="AH320" s="305" t="str">
        <f>IF(VLOOKUP(T_Convention[[#This Row],[NumL]],T_TraitDi[#Data],COLUMN(T_TraitDi[Colonne1]),FALSE)=0,"",TEXT(IFERROR(VLOOKUP(T_Convention[[#This Row],[NumL]],T_TraitDi[#Data],COLUMN(T_TraitDi[Colonne1]),FALSE),""),"[hh]:mm"))</f>
        <v/>
      </c>
      <c r="AI320" s="305" t="str">
        <f>IF(VLOOKUP(T_Convention[[#This Row],[NumL]],T_TraitDi[#Data],COLUMN(T_TraitDi[Colonne9]),FALSE)=0,"",TEXT(IFERROR(VLOOKUP(T_Convention[[#This Row],[NumL]],T_TraitDi[#Data],COLUMN(T_TraitDi[Colonne9]),FALSE),""),"[hh]:mm"))</f>
        <v/>
      </c>
      <c r="AJ320" s="305">
        <f>IFERROR(VLOOKUP(T_Convention[[#This Row],[NumL]],T_TraitDi[#Data],COLUMN(T_TraitDi[Colonne10]),FALSE),"")</f>
        <v>0</v>
      </c>
      <c r="AK320" s="305" t="str">
        <f>IF(VLOOKUP(T_Convention[[#This Row],[NumL]],T_TraitDi[#Data],COLUMN(T_TraitDi[Colonne11]),FALSE)=0,"",TEXT(IFERROR(VLOOKUP(T_Convention[[#This Row],[NumL]],T_TraitDi[#Data],COLUMN(T_TraitDi[Colonne11]),FALSE),""),"[hh]:mm"))</f>
        <v/>
      </c>
      <c r="AL320" s="305" t="str">
        <f>IF(VLOOKUP(T_Convention[[#This Row],[NumL]],T_TraitDi[#Data],COLUMN(T_TraitDi[Colonne12]),FALSE)=0,"",TEXT(IFERROR(VLOOKUP(T_Convention[[#This Row],[NumL]],T_TraitDi[#Data],COLUMN(T_TraitDi[Colonne12]),FALSE),""),"[hh]:mm"))</f>
        <v/>
      </c>
      <c r="AM320" s="305" t="str">
        <f>IF(VLOOKUP(T_Convention[[#This Row],[NumL]],T_TraitDi[#Data],COLUMN(T_TraitDi[Colonne14]),FALSE)=0,"",TEXT(IFERROR(VLOOKUP(T_Convention[[#This Row],[NumL]],T_TraitDi[#Data],COLUMN(T_TraitDi[Colonne14]),FALSE),""),"[hh]:mm"))</f>
        <v/>
      </c>
      <c r="AN320" s="305">
        <f>IFERROR(VLOOKUP(T_Convention[[#This Row],[NumL]],T_TraitDi[#Data],COLUMN(T_TraitDi[Mercredi]),FALSE),"")</f>
        <v>0</v>
      </c>
      <c r="AO320" s="305" t="str">
        <f>IF(VLOOKUP(T_Convention[[#This Row],[NumL]],T_TraitDi[#Data],COLUMN(T_TraitDi[Colonne15]),FALSE)=0,"",TEXT(IFERROR(VLOOKUP(T_Convention[[#This Row],[NumL]],T_TraitDi[#Data],COLUMN(T_TraitDi[Colonne15]),FALSE),""),"[hh]:mm"))</f>
        <v/>
      </c>
      <c r="AP320" s="305" t="str">
        <f>IF(VLOOKUP(T_Convention[[#This Row],[NumL]],T_TraitDi[#Data],COLUMN(T_TraitDi[Colonne16]),FALSE)=0,"",TEXT(IFERROR(VLOOKUP(T_Convention[[#This Row],[NumL]],T_TraitDi[#Data],COLUMN(T_TraitDi[Colonne16]),FALSE),""),"[hh]:mm"))</f>
        <v/>
      </c>
      <c r="AQ320" s="305">
        <f>IFERROR(VLOOKUP(T_Convention[[#This Row],[NumL]],T_TraitDi[#Data],COLUMN(T_TraitDi[Colonne17]),FALSE),"")</f>
        <v>0</v>
      </c>
      <c r="AR320" s="305" t="str">
        <f>IF(VLOOKUP(T_Convention[[#This Row],[NumL]],T_TraitDi[#Data],COLUMN(T_TraitDi[Colonne18]),FALSE)=0,"",TEXT(IFERROR(VLOOKUP(T_Convention[[#This Row],[NumL]],T_TraitDi[#Data],COLUMN(T_TraitDi[Colonne18]),FALSE),""),"[hh]:mm"))</f>
        <v/>
      </c>
      <c r="AS320" s="305" t="str">
        <f>IF(VLOOKUP(T_Convention[[#This Row],[NumL]],T_TraitDi[#Data],COLUMN(T_TraitDi[Colonne19]),FALSE)=0,"",TEXT(IFERROR(VLOOKUP(T_Convention[[#This Row],[NumL]],T_TraitDi[#Data],COLUMN(T_TraitDi[Colonne19]),FALSE),""),"[hh]:mm"))</f>
        <v/>
      </c>
      <c r="AT320" s="305" t="str">
        <f>IF(VLOOKUP(T_Convention[[#This Row],[NumL]],T_TraitDi[#Data],COLUMN(T_TraitDi[Colonne20]),FALSE)=0,"",TEXT(IFERROR(VLOOKUP(T_Convention[[#This Row],[NumL]],T_TraitDi[#Data],COLUMN(T_TraitDi[Colonne20]),FALSE),""),"[hh]:mm"))</f>
        <v/>
      </c>
      <c r="AU320" s="305">
        <f>IFERROR(VLOOKUP(T_Convention[[#This Row],[NumL]],T_TraitDi[#Data],COLUMN(T_TraitDi[Jeudi]),FALSE),"")</f>
        <v>0</v>
      </c>
      <c r="AV320" s="305" t="str">
        <f>IF(VLOOKUP(T_Convention[[#This Row],[NumL]],T_TraitDi[#Data],COLUMN(T_TraitDi[Colonne21]),FALSE)=0,"",TEXT(IFERROR(VLOOKUP(T_Convention[[#This Row],[NumL]],T_TraitDi[#Data],COLUMN(T_TraitDi[Colonne21]),FALSE),""),"[hh]:mm"))</f>
        <v/>
      </c>
      <c r="AW320" s="305" t="str">
        <f>IF(VLOOKUP(T_Convention[[#This Row],[NumL]],T_TraitDi[#Data],COLUMN(T_TraitDi[Colonne22]),FALSE)=0,"",TEXT(IFERROR(VLOOKUP(T_Convention[[#This Row],[NumL]],T_TraitDi[#Data],COLUMN(T_TraitDi[Colonne22]),FALSE),""),"[hh]:mm"))</f>
        <v/>
      </c>
      <c r="AX320" s="305">
        <f>IFERROR(VLOOKUP(T_Convention[[#This Row],[NumL]],T_TraitDi[#Data],COLUMN(T_TraitDi[Colonne23]),FALSE),"")</f>
        <v>0</v>
      </c>
      <c r="AY320" s="305" t="str">
        <f>IF(VLOOKUP(T_Convention[[#This Row],[NumL]],T_TraitDi[#Data],COLUMN(T_TraitDi[Colonne24]),FALSE)=0,"",TEXT(IFERROR(VLOOKUP(T_Convention[[#This Row],[NumL]],T_TraitDi[#Data],COLUMN(T_TraitDi[Colonne24]),FALSE),""),"[hh]:mm"))</f>
        <v/>
      </c>
      <c r="AZ320" s="305" t="str">
        <f>IF(VLOOKUP(T_Convention[[#This Row],[NumL]],T_TraitDi[#Data],COLUMN(T_TraitDi[Colonne25]),FALSE)=0,"",TEXT(IFERROR(VLOOKUP(T_Convention[[#This Row],[NumL]],T_TraitDi[#Data],COLUMN(T_TraitDi[Colonne25]),FALSE),""),"[hh]:mm"))</f>
        <v/>
      </c>
      <c r="BA320" s="305" t="str">
        <f>IF(VLOOKUP(T_Convention[[#This Row],[NumL]],T_TraitDi[#Data],COLUMN(T_TraitDi[Colonne26]),FALSE)=0,"",TEXT(IFERROR(VLOOKUP(T_Convention[[#This Row],[NumL]],T_TraitDi[#Data],COLUMN(T_TraitDi[Colonne26]),FALSE),""),"[hh]:mm"))</f>
        <v/>
      </c>
      <c r="BB320" s="305">
        <f>IFERROR(VLOOKUP(T_Convention[[#This Row],[NumL]],T_TraitDi[#Data],COLUMN(T_TraitDi[Vendredi]),FALSE),"")</f>
        <v>0</v>
      </c>
      <c r="BC320" s="305" t="str">
        <f>IF(VLOOKUP(T_Convention[[#This Row],[NumL]],T_TraitDi[#Data],COLUMN(T_TraitDi[Colonne27]),FALSE)=0,"",TEXT(IFERROR(VLOOKUP(T_Convention[[#This Row],[NumL]],T_TraitDi[#Data],COLUMN(T_TraitDi[Colonne27]),FALSE),""),"[hh]:mm"))</f>
        <v/>
      </c>
      <c r="BD320" s="305" t="str">
        <f>IF(VLOOKUP(T_Convention[[#This Row],[NumL]],T_TraitDi[#Data],COLUMN(T_TraitDi[Colonne28]),FALSE)=0,"",TEXT(IFERROR(VLOOKUP(T_Convention[[#This Row],[NumL]],T_TraitDi[#Data],COLUMN(T_TraitDi[Colonne28]),FALSE),""),"[hh]:mm"))</f>
        <v/>
      </c>
      <c r="BE320" s="305">
        <f>IFERROR(VLOOKUP(T_Convention[[#This Row],[NumL]],T_TraitDi[#Data],COLUMN(T_TraitDi[Colonne29]),FALSE),"")</f>
        <v>0</v>
      </c>
      <c r="BF320" s="305" t="str">
        <f>IF(VLOOKUP(T_Convention[[#This Row],[NumL]],T_TraitDi[#Data],COLUMN(T_TraitDi[Colonne30]),FALSE)=0,"",TEXT(IFERROR(VLOOKUP(T_Convention[[#This Row],[NumL]],T_TraitDi[#Data],COLUMN(T_TraitDi[Colonne30]),FALSE),""),"[hh]:mm"))</f>
        <v/>
      </c>
      <c r="BG320" s="305" t="str">
        <f>IF(VLOOKUP(T_Convention[[#This Row],[NumL]],T_TraitDi[#Data],COLUMN(T_TraitDi[Colonne31]),FALSE)=0,"",TEXT(IFERROR(VLOOKUP(T_Convention[[#This Row],[NumL]],T_TraitDi[#Data],COLUMN(T_TraitDi[Colonne31]),FALSE),""),"[hh]:mm"))</f>
        <v/>
      </c>
      <c r="BH320" s="305" t="str">
        <f>IF(VLOOKUP(T_Convention[[#This Row],[NumL]],T_TraitDi[#Data],COLUMN(T_TraitDi[Colonne32]),FALSE)=0,"",TEXT(IFERROR(VLOOKUP(T_Convention[[#This Row],[NumL]],T_TraitDi[#Data],COLUMN(T_TraitDi[Colonne32]),FALSE),""),"[hh]:mm"))</f>
        <v/>
      </c>
      <c r="BI320" s="305" t="str">
        <f>IFERROR(VLOOKUP(T_Convention[[#This Row],[NumL]],T_TraitDi[#Data],COLUMN(T_TraitDi[NbJTW]),FALSE),"")</f>
        <v/>
      </c>
      <c r="BJ320" s="305" t="str">
        <f>IF(VLOOKUP(T_Convention[[#This Row],[NumL]],T_TraitDi[#Data],COLUMN(T_TraitDi[NbhTW]),FALSE)=0,"",TEXT(IFERROR(VLOOKUP(T_Convention[[#This Row],[NumL]],T_TraitDi[#Data],COLUMN(T_TraitDi[NbhTW]),FALSE),""),"[hh]:mm"))</f>
        <v/>
      </c>
      <c r="BK320" s="347" t="str">
        <f>IF(VLOOKUP(T_Convention[[#This Row],[NumL]],T_TraitDi[#Data],COLUMN(T_TraitDi[Nbhheb]),FALSE)=0,"",TEXT(IFERROR(VLOOKUP(T_Convention[[#This Row],[NumL]],T_TraitDi[#Data],COLUMN(T_TraitDi[Nbhheb]),FALSE),""),"[hh]:mm"))</f>
        <v/>
      </c>
      <c r="BL320" s="306" t="str">
        <f>IFERROR(VLOOKUP(VLOOKUP(T_Convention[[#This Row],[NumL]],T_TraitDi[#Data],COLUMN(T_TraitDi[Type1]),FALSE),TypeTW,2,FALSE),"")</f>
        <v>son domicile (lieu de résidence habituelle du télétravailleur)</v>
      </c>
      <c r="BM320" s="307" t="str">
        <f>IFERROR(VLOOKUP(T_Convention[[#This Row],[NumL]],T_TraitDi[#Data],COLUMN(T_TraitDi[Rue1]),FALSE),"")</f>
        <v>9 rue de la vieille</v>
      </c>
      <c r="BN320" s="308" t="str">
        <f>IFERROR(VLOOKUP(T_Convention[[#This Row],[NumL]],T_TraitDi[#Data],COLUMN(T_TraitDi[CP1]),FALSE),"")</f>
        <v>69001</v>
      </c>
      <c r="BO320" s="304" t="str">
        <f>IFERROR(VLOOKUP(T_Convention[[#This Row],[NumL]],T_TraitDi[#Data],COLUMN(T_TraitDi[VILLE1]),FALSE),"")</f>
        <v>LYON</v>
      </c>
      <c r="BP320" s="290" t="str">
        <f>IFERROR(VLOOKUP(VLOOKUP(T_Convention[[#This Row],[NumL]],T_TraitDi[#Data],COLUMN(T_TraitDi[Type2]),FALSE),TypeTW,2,FALSE),"")</f>
        <v/>
      </c>
      <c r="BQ320" s="182" t="str">
        <f>IFERROR(VLOOKUP(T_Convention[[#This Row],[NumL]],T_TraitDi[#Data],COLUMN(T_TraitDi[Rue2]),FALSE),"")</f>
        <v>Sans objet</v>
      </c>
      <c r="BR320" s="173" t="str">
        <f>IFERROR(VLOOKUP(T_Convention[[#This Row],[NumL]],T_TraitDi[#Data],COLUMN(T_TraitDi[CP2]),FALSE),"")</f>
        <v xml:space="preserve"> </v>
      </c>
      <c r="BS320" s="173" t="str">
        <f>IFERROR(VLOOKUP(T_Convention[[#This Row],[NumL]],T_TraitDi[#Data],COLUMN(T_TraitDi[VILLE2]),FALSE),"")</f>
        <v xml:space="preserve">  </v>
      </c>
      <c r="BT320" s="182" t="str">
        <f>IF(VLOOKUP(T_Convention[[#This Row],[NumL]],T_Equipement[#Data],COLUMN(T_Equipement[PC]),FALSE)="","Aucun équipement spécifique directement lié au télétravail",VLOOKUP(T_Convention[[#This Row],[NumL]],T_Equipement[#Data],COLUMN(T_Equipement[PC]),FALSE))</f>
        <v>18-043	 MAC</v>
      </c>
      <c r="BU320" s="166" t="str">
        <f>IFERROR(IF(VLOOKUP(T_Convention[[#This Row],[NumL]],T_TraitDi[#Data],COLUMN(T_TraitDi[Plan]),FALSE)="OK","Un planning spécifique de télétravail est annexé à la présente convention.",""),"")</f>
        <v/>
      </c>
      <c r="BV320" s="185"/>
      <c r="BW320" s="164" t="str">
        <f>IF(VLOOKUP(T_Convention[[#This Row],[NumL]],T_suiviDi[#Data],COLUMN(T_suiviDi[Entité]),FALSE)="","",VLOOKUP(T_Convention[[#This Row],[NumL]],T_suiviDi[#Data],COLUMN(T_suiviDi[Entité]),FALSE))</f>
        <v>DNUM</v>
      </c>
      <c r="BX320" s="164" t="str">
        <f>IF(VLOOKUP(T_Convention[[#This Row],[NumL]],T_Commission[#Data],COLUMN(T_Commission[envoi confirm TW]),FALSE)="","",VLOOKUP(T_Convention[[#This Row],[NumL]],T_Commission[#Data],COLUMN(T_Commission[envoi confirm TW]),FALSE))</f>
        <v>Oui</v>
      </c>
      <c r="BY320" s="264" t="str">
        <f>IFERROR(VLOOKUP(VLOOKUP(T_Convention[[#This Row],[NumL]],T_suiviDi[#Data],COLUMN(T_suiviDi[[#This Row],[Entité]]),FALSE),Entite_convention,2,FALSE)&amp;IF(VLOOKUP(T_Convention[[#This Row],[NumL]],T_suiviDi[#Data],COLUMN(T_suiviDi[[Service ]]),FALSE)&lt;&gt;""," "&amp;VLOOKUP(T_Convention[[#This Row],[NumL]],T_suiviDi[#Data],COLUMN(T_suiviDi[[Service ]]),FALSE),""),"")</f>
        <v/>
      </c>
      <c r="BZ320" s="264">
        <f>VLOOKUP(T_Convention[[#This Row],[NumL]],T_Commission[#Data],COLUMN(T_Commission[Commentaire]),FALSE)</f>
        <v>0</v>
      </c>
      <c r="CA320" s="254" t="str">
        <f>IF(VLOOKUP(T_Convention[[#This Row],[NumL]],T_Commission[#Data],COLUMN(T_Commission[Encadrant Email]),FALSE)="","",VLOOKUP(T_Convention[[#This Row],[NumL]],T_Commission[#Data],COLUMN(T_Commission[Encadrant Email]),FALSE))</f>
        <v/>
      </c>
      <c r="CB320" s="352" t="str">
        <f>VLOOKUP(T_Convention[[#This Row],[NumL]],T_TraitDi[#Data],COLUMN(T_TraitDi[NbJTot]),FALSE)</f>
        <v/>
      </c>
      <c r="CC320" s="352" t="str">
        <f>VLOOKUP(T_Convention[[#This Row],[NumL]],T_TraitDi[#Data],COLUMN(T_TraitDi[Reg Ponct]),FALSE)</f>
        <v>P</v>
      </c>
      <c r="CD320" s="348" t="str">
        <f>IF(T_Convention[[#This Row],[Final]]&lt;&gt;"",VLOOKUP(T_Convention[[#This Row],[NumL]],T_suiviDi[#Data],COLUMN((T_suiviDi[Statut])),FALSE),"")</f>
        <v/>
      </c>
    </row>
    <row r="321" spans="1:82" s="50" customFormat="1" ht="18.75" customHeight="1" x14ac:dyDescent="0.25">
      <c r="A321" s="1"/>
      <c r="B321" s="1"/>
      <c r="C321" s="1"/>
      <c r="D321" s="1"/>
      <c r="E321" s="1"/>
      <c r="F321" s="1" t="s">
        <v>2988</v>
      </c>
      <c r="G321" s="1"/>
      <c r="H321" s="1">
        <v>0</v>
      </c>
      <c r="I321" s="1"/>
      <c r="J321" s="1"/>
      <c r="K321" s="1"/>
      <c r="L321" s="1"/>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L321" s="219"/>
      <c r="BM321" s="1"/>
      <c r="BN321" s="1"/>
      <c r="BO321" s="1"/>
      <c r="BP321" s="219"/>
      <c r="BQ321" s="1"/>
      <c r="BR321" s="1"/>
      <c r="BS321" s="1"/>
      <c r="BT321" s="1"/>
      <c r="BV321" s="1"/>
      <c r="BW321" s="1"/>
      <c r="BX321" s="221"/>
      <c r="BZ321" s="1"/>
      <c r="CA321" s="1"/>
      <c r="CB321" s="1"/>
      <c r="CC321" s="2"/>
      <c r="CD321" s="1"/>
    </row>
    <row r="322" spans="1:82" s="50" customFormat="1" ht="18.75" customHeight="1" x14ac:dyDescent="0.25">
      <c r="A322" s="1"/>
      <c r="B322" s="12"/>
      <c r="C322" s="2"/>
      <c r="D322" s="2"/>
      <c r="E322" s="1"/>
      <c r="F322" s="1"/>
      <c r="G322" s="1"/>
      <c r="H322" s="1"/>
      <c r="I322" s="1"/>
      <c r="J322" s="1"/>
      <c r="K322" s="1"/>
      <c r="L322" s="1"/>
      <c r="M322" s="1"/>
      <c r="N322" s="2"/>
      <c r="O322" s="1"/>
      <c r="P322" s="1"/>
      <c r="Q322" s="1"/>
      <c r="R322" s="1"/>
      <c r="S322" s="1"/>
      <c r="T322" s="1"/>
      <c r="U322" s="1"/>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1"/>
      <c r="BJ322" s="1"/>
      <c r="BK322" s="280"/>
      <c r="BL322" s="222"/>
      <c r="BM322" s="1"/>
      <c r="BN322" s="1"/>
      <c r="BO322" s="1"/>
      <c r="BP322" s="221"/>
      <c r="BV322" s="1"/>
      <c r="BW322" s="1"/>
      <c r="BX322" s="221"/>
      <c r="BZ322" s="1"/>
      <c r="CA322" s="1"/>
      <c r="CB322" s="1"/>
      <c r="CC322" s="2"/>
      <c r="CD322" s="1"/>
    </row>
    <row r="323" spans="1:82" s="50" customFormat="1" ht="18.75" customHeight="1" x14ac:dyDescent="0.25">
      <c r="A323" s="1"/>
      <c r="B323" s="12"/>
      <c r="C323" s="2"/>
      <c r="D323" s="2"/>
      <c r="E323" s="1"/>
      <c r="F323" s="1"/>
      <c r="G323" s="1"/>
      <c r="H323" s="1"/>
      <c r="I323" s="1"/>
      <c r="J323" s="1"/>
      <c r="K323" s="1"/>
      <c r="L323" s="1"/>
      <c r="M323" s="1"/>
      <c r="N323" s="2"/>
      <c r="O323" s="1"/>
      <c r="P323" s="1"/>
      <c r="Q323" s="1"/>
      <c r="R323" s="1"/>
      <c r="S323" s="1"/>
      <c r="T323" s="1"/>
      <c r="U323" s="1"/>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1"/>
      <c r="BJ323" s="1"/>
      <c r="BK323" s="280"/>
      <c r="BL323" s="222"/>
      <c r="BM323" s="1"/>
      <c r="BN323" s="1"/>
      <c r="BO323" s="1"/>
      <c r="BP323" s="221"/>
      <c r="BV323" s="1"/>
      <c r="BW323" s="1"/>
      <c r="BX323" s="221"/>
      <c r="BZ323" s="1"/>
      <c r="CA323" s="1"/>
      <c r="CB323" s="1"/>
      <c r="CC323" s="2"/>
      <c r="CD323" s="1"/>
    </row>
    <row r="324" spans="1:82" s="50" customFormat="1" ht="18.75" customHeight="1" x14ac:dyDescent="0.25">
      <c r="A324" s="1"/>
      <c r="B324" s="12"/>
      <c r="C324" s="2"/>
      <c r="D324" s="2"/>
      <c r="E324" s="1"/>
      <c r="F324" s="1"/>
      <c r="G324" s="1"/>
      <c r="H324" s="1"/>
      <c r="I324" s="1"/>
      <c r="J324" s="1"/>
      <c r="K324" s="1"/>
      <c r="L324" s="1"/>
      <c r="M324" s="1"/>
      <c r="N324" s="2"/>
      <c r="O324" s="1"/>
      <c r="P324" s="1"/>
      <c r="Q324" s="1"/>
      <c r="R324" s="1"/>
      <c r="S324" s="1"/>
      <c r="T324" s="1"/>
      <c r="U324" s="1"/>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1"/>
      <c r="BJ324" s="1"/>
      <c r="BK324" s="280"/>
      <c r="BL324" s="222"/>
      <c r="BM324" s="1"/>
      <c r="BN324" s="1"/>
      <c r="BO324" s="1"/>
      <c r="BP324" s="221"/>
      <c r="BV324" s="1"/>
      <c r="BW324" s="1"/>
      <c r="BX324" s="221"/>
      <c r="BZ324" s="1"/>
      <c r="CA324" s="1"/>
      <c r="CB324" s="1"/>
      <c r="CC324" s="2"/>
      <c r="CD324" s="1"/>
    </row>
    <row r="325" spans="1:82" s="50" customFormat="1" ht="18.75" customHeight="1" x14ac:dyDescent="0.25">
      <c r="A325" s="1"/>
      <c r="B325" s="12"/>
      <c r="C325" s="2"/>
      <c r="D325" s="2"/>
      <c r="E325" s="1"/>
      <c r="F325" s="1"/>
      <c r="G325" s="1"/>
      <c r="H325" s="1"/>
      <c r="I325" s="1"/>
      <c r="J325" s="1"/>
      <c r="K325" s="1"/>
      <c r="L325" s="1"/>
      <c r="M325" s="1"/>
      <c r="N325" s="2"/>
      <c r="O325" s="1"/>
      <c r="P325" s="1"/>
      <c r="Q325" s="1"/>
      <c r="R325" s="1"/>
      <c r="S325" s="1"/>
      <c r="T325" s="1"/>
      <c r="U325" s="1"/>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1"/>
      <c r="BJ325" s="1"/>
      <c r="BK325" s="280"/>
      <c r="BL325" s="222"/>
      <c r="BM325" s="1"/>
      <c r="BN325" s="1"/>
      <c r="BO325" s="1"/>
      <c r="BP325" s="221"/>
      <c r="BV325" s="1"/>
      <c r="BW325" s="1"/>
      <c r="BX325" s="221"/>
      <c r="BZ325" s="1"/>
      <c r="CA325" s="1"/>
      <c r="CB325" s="1"/>
      <c r="CC325" s="2"/>
      <c r="CD325" s="1"/>
    </row>
    <row r="326" spans="1:82" s="50" customFormat="1" ht="18.75" customHeight="1" x14ac:dyDescent="0.25">
      <c r="A326" s="1"/>
      <c r="B326" s="12"/>
      <c r="C326" s="2"/>
      <c r="D326" s="2"/>
      <c r="E326" s="1"/>
      <c r="F326" s="1"/>
      <c r="G326" s="1"/>
      <c r="H326" s="1"/>
      <c r="I326" s="1"/>
      <c r="J326" s="1"/>
      <c r="K326" s="1"/>
      <c r="L326" s="1"/>
      <c r="M326" s="1"/>
      <c r="N326" s="2"/>
      <c r="O326" s="1"/>
      <c r="P326" s="1"/>
      <c r="Q326" s="1"/>
      <c r="R326" s="1"/>
      <c r="S326" s="1"/>
      <c r="T326" s="1"/>
      <c r="U326" s="1"/>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1"/>
      <c r="BJ326" s="1"/>
      <c r="BK326" s="280"/>
      <c r="BL326" s="222"/>
      <c r="BM326" s="1"/>
      <c r="BN326" s="1"/>
      <c r="BO326" s="1"/>
      <c r="BP326" s="221"/>
      <c r="BV326" s="1"/>
      <c r="BW326" s="1"/>
      <c r="BX326" s="221"/>
      <c r="BZ326" s="1"/>
      <c r="CA326" s="1"/>
      <c r="CB326" s="1"/>
      <c r="CC326" s="2"/>
      <c r="CD326" s="1"/>
    </row>
    <row r="327" spans="1:82" s="50" customFormat="1" ht="18.75" customHeight="1" x14ac:dyDescent="0.25">
      <c r="A327" s="1"/>
      <c r="B327" s="12"/>
      <c r="C327" s="2"/>
      <c r="D327" s="2"/>
      <c r="E327" s="1"/>
      <c r="F327" s="1"/>
      <c r="G327" s="1"/>
      <c r="H327" s="1"/>
      <c r="I327" s="1"/>
      <c r="J327" s="1"/>
      <c r="K327" s="1"/>
      <c r="L327" s="1"/>
      <c r="M327" s="1"/>
      <c r="N327" s="2"/>
      <c r="O327" s="1"/>
      <c r="P327" s="1"/>
      <c r="Q327" s="1"/>
      <c r="R327" s="1"/>
      <c r="S327" s="1"/>
      <c r="T327" s="1"/>
      <c r="U327" s="1"/>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1"/>
      <c r="BJ327" s="1"/>
      <c r="BK327" s="280"/>
      <c r="BL327" s="222"/>
      <c r="BM327" s="1"/>
      <c r="BN327" s="1"/>
      <c r="BO327" s="1"/>
      <c r="BP327" s="221"/>
      <c r="BV327" s="1"/>
      <c r="BW327" s="1"/>
      <c r="BX327" s="221"/>
      <c r="BZ327" s="1"/>
      <c r="CA327" s="1"/>
      <c r="CB327" s="1"/>
      <c r="CC327" s="2"/>
      <c r="CD327" s="1"/>
    </row>
    <row r="328" spans="1:82" s="50" customFormat="1" ht="18.75" customHeight="1" x14ac:dyDescent="0.25">
      <c r="A328" s="1"/>
      <c r="B328" s="12"/>
      <c r="C328" s="2"/>
      <c r="D328" s="2"/>
      <c r="E328" s="1"/>
      <c r="F328" s="1"/>
      <c r="G328" s="1"/>
      <c r="H328" s="1"/>
      <c r="I328" s="1"/>
      <c r="J328" s="1"/>
      <c r="K328" s="1"/>
      <c r="L328" s="1"/>
      <c r="M328" s="1"/>
      <c r="N328" s="2"/>
      <c r="O328" s="1"/>
      <c r="P328" s="1"/>
      <c r="Q328" s="1"/>
      <c r="R328" s="1"/>
      <c r="S328" s="1"/>
      <c r="T328" s="1"/>
      <c r="U328" s="1"/>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1"/>
      <c r="BJ328" s="1"/>
      <c r="BK328" s="280"/>
      <c r="BL328" s="222"/>
      <c r="BM328" s="1"/>
      <c r="BN328" s="1"/>
      <c r="BO328" s="1"/>
      <c r="BP328" s="221"/>
      <c r="BV328" s="1"/>
      <c r="BW328" s="1"/>
      <c r="BX328" s="221"/>
      <c r="BZ328" s="1"/>
      <c r="CA328" s="1"/>
      <c r="CB328" s="1"/>
      <c r="CC328" s="2"/>
      <c r="CD328" s="1"/>
    </row>
    <row r="329" spans="1:82" s="50" customFormat="1" ht="18.75" customHeight="1" x14ac:dyDescent="0.25">
      <c r="A329" s="1"/>
      <c r="B329" s="12"/>
      <c r="C329" s="2"/>
      <c r="D329" s="2"/>
      <c r="E329" s="1"/>
      <c r="F329" s="1"/>
      <c r="G329" s="1"/>
      <c r="H329" s="1"/>
      <c r="I329" s="1"/>
      <c r="J329" s="1"/>
      <c r="K329" s="1"/>
      <c r="L329" s="1"/>
      <c r="M329" s="1"/>
      <c r="N329" s="2"/>
      <c r="O329" s="1"/>
      <c r="P329" s="1"/>
      <c r="Q329" s="1"/>
      <c r="R329" s="1"/>
      <c r="S329" s="1"/>
      <c r="T329" s="1"/>
      <c r="U329" s="1"/>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1"/>
      <c r="BJ329" s="1"/>
      <c r="BK329" s="280"/>
      <c r="BL329" s="222"/>
      <c r="BM329" s="1"/>
      <c r="BN329" s="1"/>
      <c r="BO329" s="1"/>
      <c r="BP329" s="221"/>
      <c r="BV329" s="1"/>
      <c r="BW329" s="1"/>
      <c r="BX329" s="221"/>
      <c r="BZ329" s="1"/>
      <c r="CA329" s="1"/>
      <c r="CB329" s="1"/>
      <c r="CC329" s="2"/>
      <c r="CD329" s="1"/>
    </row>
    <row r="330" spans="1:82" s="50" customFormat="1" ht="18.75" customHeight="1" x14ac:dyDescent="0.25">
      <c r="A330" s="1"/>
      <c r="B330" s="12"/>
      <c r="C330" s="2"/>
      <c r="D330" s="2"/>
      <c r="E330" s="1"/>
      <c r="F330" s="1"/>
      <c r="G330" s="1"/>
      <c r="H330" s="1"/>
      <c r="I330" s="1"/>
      <c r="J330" s="1"/>
      <c r="K330" s="1"/>
      <c r="L330" s="1"/>
      <c r="M330" s="1"/>
      <c r="N330" s="2"/>
      <c r="O330" s="1"/>
      <c r="P330" s="1"/>
      <c r="Q330" s="1"/>
      <c r="R330" s="1"/>
      <c r="S330" s="1"/>
      <c r="T330" s="1"/>
      <c r="U330" s="1"/>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1"/>
      <c r="BJ330" s="1"/>
      <c r="BK330" s="280"/>
      <c r="BL330" s="222"/>
      <c r="BM330" s="1"/>
      <c r="BN330" s="1"/>
      <c r="BO330" s="1"/>
      <c r="BP330" s="221"/>
      <c r="BV330" s="1"/>
      <c r="BW330" s="1"/>
      <c r="BX330" s="221"/>
      <c r="BZ330" s="1"/>
      <c r="CA330" s="1"/>
      <c r="CB330" s="1"/>
      <c r="CC330" s="2"/>
      <c r="CD330" s="1"/>
    </row>
    <row r="331" spans="1:82" s="50" customFormat="1" ht="18.75" customHeight="1" x14ac:dyDescent="0.25">
      <c r="A331" s="1"/>
      <c r="B331" s="12"/>
      <c r="C331" s="2"/>
      <c r="D331" s="2"/>
      <c r="E331" s="1"/>
      <c r="F331" s="1"/>
      <c r="G331" s="1"/>
      <c r="H331" s="1"/>
      <c r="I331" s="1"/>
      <c r="J331" s="1"/>
      <c r="K331" s="1"/>
      <c r="L331" s="1"/>
      <c r="M331" s="1"/>
      <c r="N331" s="2"/>
      <c r="O331" s="1"/>
      <c r="P331" s="1"/>
      <c r="Q331" s="1"/>
      <c r="R331" s="1"/>
      <c r="S331" s="1"/>
      <c r="T331" s="1"/>
      <c r="U331" s="1"/>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1"/>
      <c r="BJ331" s="1"/>
      <c r="BK331" s="280"/>
      <c r="BL331" s="222"/>
      <c r="BM331" s="1"/>
      <c r="BN331" s="1"/>
      <c r="BO331" s="1"/>
      <c r="BP331" s="221"/>
      <c r="BV331" s="1"/>
      <c r="BW331" s="1"/>
      <c r="BX331" s="221"/>
      <c r="BZ331" s="1"/>
      <c r="CA331" s="1"/>
      <c r="CB331" s="1"/>
      <c r="CC331" s="2"/>
      <c r="CD331" s="1"/>
    </row>
    <row r="332" spans="1:82" s="50" customFormat="1" ht="18.75" customHeight="1" x14ac:dyDescent="0.25">
      <c r="A332" s="1"/>
      <c r="B332" s="12"/>
      <c r="C332" s="2"/>
      <c r="D332" s="2"/>
      <c r="E332" s="1"/>
      <c r="F332" s="1"/>
      <c r="G332" s="1"/>
      <c r="H332" s="1"/>
      <c r="I332" s="1"/>
      <c r="J332" s="1"/>
      <c r="K332" s="1"/>
      <c r="L332" s="1"/>
      <c r="M332" s="1"/>
      <c r="N332" s="2"/>
      <c r="O332" s="1"/>
      <c r="P332" s="1"/>
      <c r="Q332" s="1"/>
      <c r="R332" s="1"/>
      <c r="S332" s="1"/>
      <c r="T332" s="1"/>
      <c r="U332" s="1"/>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1"/>
      <c r="BJ332" s="1"/>
      <c r="BK332" s="280"/>
      <c r="BL332" s="222"/>
      <c r="BM332" s="1"/>
      <c r="BN332" s="1"/>
      <c r="BO332" s="1"/>
      <c r="BP332" s="221"/>
      <c r="BV332" s="1"/>
      <c r="BW332" s="1"/>
      <c r="BX332" s="221"/>
      <c r="BZ332" s="1"/>
      <c r="CA332" s="1"/>
      <c r="CB332" s="1"/>
      <c r="CC332" s="2"/>
      <c r="CD332" s="1"/>
    </row>
    <row r="333" spans="1:82" s="50" customFormat="1" ht="18.75" customHeight="1" x14ac:dyDescent="0.25">
      <c r="A333" s="1"/>
      <c r="B333" s="12"/>
      <c r="C333" s="2"/>
      <c r="D333" s="2"/>
      <c r="E333" s="1"/>
      <c r="F333" s="1"/>
      <c r="G333" s="1"/>
      <c r="H333" s="1"/>
      <c r="I333" s="1"/>
      <c r="J333" s="1"/>
      <c r="K333" s="1"/>
      <c r="L333" s="1"/>
      <c r="M333" s="1"/>
      <c r="N333" s="2"/>
      <c r="O333" s="1"/>
      <c r="P333" s="1"/>
      <c r="Q333" s="1"/>
      <c r="R333" s="1"/>
      <c r="S333" s="1"/>
      <c r="T333" s="1"/>
      <c r="U333" s="1"/>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1"/>
      <c r="BJ333" s="1"/>
      <c r="BK333" s="280"/>
      <c r="BL333" s="222"/>
      <c r="BM333" s="1"/>
      <c r="BN333" s="1"/>
      <c r="BO333" s="1"/>
      <c r="BP333" s="221"/>
      <c r="BV333" s="1"/>
      <c r="BW333" s="1"/>
      <c r="BX333" s="221"/>
      <c r="BZ333" s="1"/>
      <c r="CA333" s="1"/>
      <c r="CB333" s="1"/>
      <c r="CC333" s="2"/>
      <c r="CD333" s="1"/>
    </row>
    <row r="334" spans="1:82" s="50" customFormat="1" ht="18.75" customHeight="1" x14ac:dyDescent="0.25">
      <c r="A334" s="1"/>
      <c r="B334" s="12"/>
      <c r="C334" s="2"/>
      <c r="D334" s="2"/>
      <c r="E334" s="1"/>
      <c r="F334" s="1"/>
      <c r="G334" s="1"/>
      <c r="H334" s="1"/>
      <c r="I334" s="1"/>
      <c r="J334" s="1"/>
      <c r="K334" s="1"/>
      <c r="L334" s="1"/>
      <c r="M334" s="1"/>
      <c r="N334" s="2"/>
      <c r="O334" s="1"/>
      <c r="P334" s="1"/>
      <c r="Q334" s="1"/>
      <c r="R334" s="1"/>
      <c r="S334" s="1"/>
      <c r="T334" s="1"/>
      <c r="U334" s="1"/>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1"/>
      <c r="BJ334" s="1"/>
      <c r="BK334" s="280"/>
      <c r="BL334" s="222"/>
      <c r="BM334" s="1"/>
      <c r="BN334" s="1"/>
      <c r="BO334" s="1"/>
      <c r="BP334" s="221"/>
      <c r="BV334" s="1"/>
      <c r="BW334" s="1"/>
      <c r="BX334" s="221"/>
      <c r="BZ334" s="1"/>
      <c r="CA334" s="1"/>
      <c r="CB334" s="1"/>
      <c r="CC334" s="2"/>
      <c r="CD334" s="1"/>
    </row>
    <row r="335" spans="1:82" s="50" customFormat="1" ht="18.75" customHeight="1" x14ac:dyDescent="0.25">
      <c r="A335" s="1"/>
      <c r="B335" s="12"/>
      <c r="C335" s="2"/>
      <c r="D335" s="2"/>
      <c r="E335" s="1"/>
      <c r="F335" s="1"/>
      <c r="G335" s="1"/>
      <c r="H335" s="1"/>
      <c r="I335" s="1"/>
      <c r="J335" s="1"/>
      <c r="K335" s="1"/>
      <c r="L335" s="1"/>
      <c r="M335" s="1"/>
      <c r="N335" s="2"/>
      <c r="O335" s="1"/>
      <c r="P335" s="1"/>
      <c r="Q335" s="1"/>
      <c r="R335" s="1"/>
      <c r="S335" s="1"/>
      <c r="T335" s="1"/>
      <c r="U335" s="1"/>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1"/>
      <c r="BJ335" s="1"/>
      <c r="BK335" s="280"/>
      <c r="BL335" s="222"/>
      <c r="BM335" s="1"/>
      <c r="BN335" s="1"/>
      <c r="BO335" s="1"/>
      <c r="BP335" s="221"/>
      <c r="BV335" s="1"/>
      <c r="BW335" s="1"/>
      <c r="BX335" s="221"/>
      <c r="BZ335" s="1"/>
      <c r="CA335" s="1"/>
      <c r="CB335" s="1"/>
      <c r="CC335" s="2"/>
      <c r="CD335" s="1"/>
    </row>
    <row r="336" spans="1:82" s="50" customFormat="1" ht="18.75" customHeight="1" x14ac:dyDescent="0.25">
      <c r="A336" s="1"/>
      <c r="B336" s="12"/>
      <c r="C336" s="2"/>
      <c r="D336" s="2"/>
      <c r="E336" s="1"/>
      <c r="F336" s="1"/>
      <c r="G336" s="1"/>
      <c r="H336" s="1"/>
      <c r="I336" s="1"/>
      <c r="J336" s="1"/>
      <c r="K336" s="1"/>
      <c r="L336" s="1"/>
      <c r="M336" s="1"/>
      <c r="N336" s="2"/>
      <c r="O336" s="1"/>
      <c r="P336" s="1"/>
      <c r="Q336" s="1"/>
      <c r="R336" s="1"/>
      <c r="S336" s="1"/>
      <c r="T336" s="1"/>
      <c r="U336" s="1"/>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1"/>
      <c r="BJ336" s="1"/>
      <c r="BK336" s="280"/>
      <c r="BL336" s="222"/>
      <c r="BM336" s="1"/>
      <c r="BN336" s="1"/>
      <c r="BO336" s="1"/>
      <c r="BP336" s="221"/>
      <c r="BV336" s="1"/>
      <c r="BW336" s="1"/>
      <c r="BX336" s="221"/>
      <c r="BZ336" s="1"/>
      <c r="CA336" s="1"/>
      <c r="CB336" s="1"/>
      <c r="CC336" s="2"/>
      <c r="CD336" s="1"/>
    </row>
    <row r="337" spans="1:82" s="50" customFormat="1" ht="18.75" customHeight="1" x14ac:dyDescent="0.25">
      <c r="A337" s="1"/>
      <c r="B337" s="12"/>
      <c r="C337" s="2"/>
      <c r="D337" s="2"/>
      <c r="E337" s="1"/>
      <c r="F337" s="1"/>
      <c r="G337" s="1"/>
      <c r="H337" s="1"/>
      <c r="I337" s="1"/>
      <c r="J337" s="1"/>
      <c r="K337" s="1"/>
      <c r="L337" s="1"/>
      <c r="M337" s="1"/>
      <c r="N337" s="2"/>
      <c r="O337" s="1"/>
      <c r="P337" s="1"/>
      <c r="Q337" s="1"/>
      <c r="R337" s="1"/>
      <c r="S337" s="1"/>
      <c r="T337" s="1"/>
      <c r="U337" s="1"/>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1"/>
      <c r="BJ337" s="1"/>
      <c r="BK337" s="280"/>
      <c r="BL337" s="222"/>
      <c r="BM337" s="1"/>
      <c r="BN337" s="1"/>
      <c r="BO337" s="1"/>
      <c r="BP337" s="221"/>
      <c r="BV337" s="1"/>
      <c r="BW337" s="1"/>
      <c r="BX337" s="221"/>
      <c r="BZ337" s="1"/>
      <c r="CA337" s="1"/>
      <c r="CB337" s="1"/>
      <c r="CC337" s="2"/>
      <c r="CD337" s="1"/>
    </row>
    <row r="338" spans="1:82" s="50" customFormat="1" ht="18.75" customHeight="1" x14ac:dyDescent="0.25">
      <c r="A338" s="1"/>
      <c r="B338" s="12"/>
      <c r="C338" s="2"/>
      <c r="D338" s="2"/>
      <c r="E338" s="1"/>
      <c r="F338" s="1"/>
      <c r="G338" s="1"/>
      <c r="H338" s="1"/>
      <c r="I338" s="1"/>
      <c r="J338" s="1"/>
      <c r="K338" s="1"/>
      <c r="L338" s="1"/>
      <c r="M338" s="1"/>
      <c r="N338" s="2"/>
      <c r="O338" s="1"/>
      <c r="P338" s="1"/>
      <c r="Q338" s="1"/>
      <c r="R338" s="1"/>
      <c r="S338" s="1"/>
      <c r="T338" s="1"/>
      <c r="U338" s="1"/>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1"/>
      <c r="BJ338" s="1"/>
      <c r="BK338" s="280"/>
      <c r="BL338" s="222"/>
      <c r="BM338" s="1"/>
      <c r="BN338" s="1"/>
      <c r="BO338" s="1"/>
      <c r="BP338" s="221"/>
      <c r="BV338" s="1"/>
      <c r="BW338" s="1"/>
      <c r="BX338" s="221"/>
      <c r="BZ338" s="1"/>
      <c r="CA338" s="1"/>
      <c r="CB338" s="1"/>
      <c r="CC338" s="2"/>
      <c r="CD338" s="1"/>
    </row>
    <row r="339" spans="1:82" s="50" customFormat="1" ht="18.75" customHeight="1" x14ac:dyDescent="0.25">
      <c r="A339" s="1"/>
      <c r="B339" s="12"/>
      <c r="C339" s="2"/>
      <c r="D339" s="2"/>
      <c r="E339" s="1"/>
      <c r="F339" s="1"/>
      <c r="G339" s="1"/>
      <c r="H339" s="1"/>
      <c r="I339" s="1"/>
      <c r="J339" s="1"/>
      <c r="K339" s="1"/>
      <c r="L339" s="1"/>
      <c r="M339" s="1"/>
      <c r="N339" s="2"/>
      <c r="O339" s="1"/>
      <c r="P339" s="1"/>
      <c r="Q339" s="1"/>
      <c r="R339" s="1"/>
      <c r="S339" s="1"/>
      <c r="T339" s="1"/>
      <c r="U339" s="1"/>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1"/>
      <c r="BJ339" s="1"/>
      <c r="BK339" s="280"/>
      <c r="BL339" s="222"/>
      <c r="BM339" s="1"/>
      <c r="BN339" s="1"/>
      <c r="BO339" s="1"/>
      <c r="BP339" s="221"/>
      <c r="BV339" s="1"/>
      <c r="BW339" s="1"/>
      <c r="BX339" s="221"/>
      <c r="BZ339" s="1"/>
      <c r="CA339" s="1"/>
      <c r="CB339" s="1"/>
      <c r="CC339" s="2"/>
      <c r="CD339" s="1"/>
    </row>
    <row r="340" spans="1:82" s="50" customFormat="1" ht="18.75" customHeight="1" x14ac:dyDescent="0.25">
      <c r="A340" s="1"/>
      <c r="B340" s="12"/>
      <c r="C340" s="2"/>
      <c r="D340" s="2"/>
      <c r="E340" s="1"/>
      <c r="F340" s="1"/>
      <c r="G340" s="1"/>
      <c r="H340" s="1"/>
      <c r="I340" s="1"/>
      <c r="J340" s="1"/>
      <c r="K340" s="1"/>
      <c r="L340" s="1"/>
      <c r="M340" s="1"/>
      <c r="N340" s="2"/>
      <c r="O340" s="1"/>
      <c r="P340" s="1"/>
      <c r="Q340" s="1"/>
      <c r="R340" s="1"/>
      <c r="S340" s="1"/>
      <c r="T340" s="1"/>
      <c r="U340" s="1"/>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1"/>
      <c r="BJ340" s="1"/>
      <c r="BK340" s="280"/>
      <c r="BL340" s="222"/>
      <c r="BM340" s="1"/>
      <c r="BN340" s="1"/>
      <c r="BO340" s="1"/>
      <c r="BP340" s="221"/>
      <c r="BV340" s="1"/>
      <c r="BW340" s="1"/>
      <c r="BX340" s="221"/>
      <c r="BZ340" s="1"/>
      <c r="CA340" s="1"/>
      <c r="CB340" s="1"/>
      <c r="CC340" s="2"/>
      <c r="CD340" s="1"/>
    </row>
    <row r="341" spans="1:82" s="50" customFormat="1" ht="18.75" customHeight="1" x14ac:dyDescent="0.25">
      <c r="A341" s="1"/>
      <c r="B341" s="12"/>
      <c r="C341" s="2"/>
      <c r="D341" s="2"/>
      <c r="E341" s="1"/>
      <c r="F341" s="1"/>
      <c r="G341" s="1"/>
      <c r="H341" s="1"/>
      <c r="I341" s="1"/>
      <c r="J341" s="1"/>
      <c r="K341" s="1"/>
      <c r="L341" s="1"/>
      <c r="M341" s="1"/>
      <c r="N341" s="2"/>
      <c r="O341" s="1"/>
      <c r="P341" s="1"/>
      <c r="Q341" s="1"/>
      <c r="R341" s="1"/>
      <c r="S341" s="1"/>
      <c r="T341" s="1"/>
      <c r="U341" s="1"/>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1"/>
      <c r="BJ341" s="1"/>
      <c r="BK341" s="280"/>
      <c r="BL341" s="222"/>
      <c r="BM341" s="1"/>
      <c r="BN341" s="1"/>
      <c r="BO341" s="1"/>
      <c r="BP341" s="221"/>
      <c r="BV341" s="1"/>
      <c r="BW341" s="1"/>
      <c r="BX341" s="221"/>
      <c r="BZ341" s="1"/>
      <c r="CA341" s="1"/>
      <c r="CB341" s="1"/>
      <c r="CC341" s="2"/>
      <c r="CD341" s="1"/>
    </row>
    <row r="342" spans="1:82" s="50" customFormat="1" ht="18.75" customHeight="1" x14ac:dyDescent="0.25">
      <c r="A342" s="1"/>
      <c r="B342" s="12"/>
      <c r="C342" s="2"/>
      <c r="D342" s="2"/>
      <c r="E342" s="1"/>
      <c r="F342" s="1"/>
      <c r="G342" s="1"/>
      <c r="H342" s="1"/>
      <c r="I342" s="1"/>
      <c r="J342" s="1"/>
      <c r="K342" s="1"/>
      <c r="L342" s="1"/>
      <c r="M342" s="1"/>
      <c r="N342" s="2"/>
      <c r="O342" s="1"/>
      <c r="P342" s="1"/>
      <c r="Q342" s="1"/>
      <c r="R342" s="1"/>
      <c r="S342" s="1"/>
      <c r="T342" s="1"/>
      <c r="U342" s="1"/>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1"/>
      <c r="BJ342" s="1"/>
      <c r="BK342" s="280"/>
      <c r="BL342" s="222"/>
      <c r="BM342" s="1"/>
      <c r="BN342" s="1"/>
      <c r="BO342" s="1"/>
      <c r="BP342" s="221"/>
      <c r="BV342" s="1"/>
      <c r="BW342" s="1"/>
      <c r="BX342" s="221"/>
      <c r="BZ342" s="1"/>
      <c r="CA342" s="1"/>
      <c r="CB342" s="1"/>
      <c r="CC342" s="2"/>
      <c r="CD342" s="1"/>
    </row>
    <row r="343" spans="1:82" s="50" customFormat="1" ht="18.75" customHeight="1" x14ac:dyDescent="0.25">
      <c r="A343" s="1"/>
      <c r="B343" s="12"/>
      <c r="C343" s="2"/>
      <c r="D343" s="2"/>
      <c r="E343" s="1"/>
      <c r="F343" s="1"/>
      <c r="G343" s="1"/>
      <c r="H343" s="1"/>
      <c r="I343" s="1"/>
      <c r="J343" s="1"/>
      <c r="K343" s="1"/>
      <c r="L343" s="1"/>
      <c r="M343" s="1"/>
      <c r="N343" s="2"/>
      <c r="O343" s="1"/>
      <c r="P343" s="1"/>
      <c r="Q343" s="1"/>
      <c r="R343" s="1"/>
      <c r="S343" s="1"/>
      <c r="T343" s="1"/>
      <c r="U343" s="1"/>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1"/>
      <c r="BJ343" s="1"/>
      <c r="BK343" s="280"/>
      <c r="BL343" s="222"/>
      <c r="BM343" s="1"/>
      <c r="BN343" s="1"/>
      <c r="BO343" s="1"/>
      <c r="BP343" s="221"/>
      <c r="BV343" s="1"/>
      <c r="BW343" s="1"/>
      <c r="BX343" s="221"/>
      <c r="BZ343" s="1"/>
      <c r="CA343" s="1"/>
      <c r="CB343" s="1"/>
      <c r="CC343" s="2"/>
      <c r="CD343" s="1"/>
    </row>
    <row r="344" spans="1:82" s="50" customFormat="1" ht="18.75" customHeight="1" x14ac:dyDescent="0.25">
      <c r="A344" s="1"/>
      <c r="B344" s="12"/>
      <c r="C344" s="2"/>
      <c r="D344" s="2"/>
      <c r="E344" s="1"/>
      <c r="F344" s="1"/>
      <c r="G344" s="1"/>
      <c r="H344" s="1"/>
      <c r="I344" s="1"/>
      <c r="J344" s="1"/>
      <c r="K344" s="1"/>
      <c r="L344" s="1"/>
      <c r="M344" s="1"/>
      <c r="N344" s="2"/>
      <c r="O344" s="1"/>
      <c r="P344" s="1"/>
      <c r="Q344" s="1"/>
      <c r="R344" s="1"/>
      <c r="S344" s="1"/>
      <c r="T344" s="1"/>
      <c r="U344" s="1"/>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1"/>
      <c r="BJ344" s="1"/>
      <c r="BK344" s="280"/>
      <c r="BL344" s="222"/>
      <c r="BM344" s="1"/>
      <c r="BN344" s="1"/>
      <c r="BO344" s="1"/>
      <c r="BP344" s="221"/>
      <c r="BV344" s="1"/>
      <c r="BW344" s="1"/>
      <c r="BX344" s="221"/>
      <c r="BZ344" s="1"/>
      <c r="CA344" s="1"/>
      <c r="CB344" s="1"/>
      <c r="CC344" s="2"/>
      <c r="CD344" s="1"/>
    </row>
    <row r="345" spans="1:82" s="50" customFormat="1" ht="18.75" customHeight="1" x14ac:dyDescent="0.25">
      <c r="A345" s="1"/>
      <c r="B345" s="12"/>
      <c r="C345" s="2"/>
      <c r="D345" s="2"/>
      <c r="E345" s="1"/>
      <c r="F345" s="1"/>
      <c r="G345" s="1"/>
      <c r="H345" s="1"/>
      <c r="I345" s="1"/>
      <c r="J345" s="1"/>
      <c r="K345" s="1"/>
      <c r="L345" s="1"/>
      <c r="M345" s="1"/>
      <c r="N345" s="2"/>
      <c r="O345" s="1"/>
      <c r="P345" s="1"/>
      <c r="Q345" s="1"/>
      <c r="R345" s="1"/>
      <c r="S345" s="1"/>
      <c r="T345" s="1"/>
      <c r="U345" s="1"/>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1"/>
      <c r="BJ345" s="1"/>
      <c r="BK345" s="280"/>
      <c r="BL345" s="222"/>
      <c r="BM345" s="1"/>
      <c r="BN345" s="1"/>
      <c r="BO345" s="1"/>
      <c r="BP345" s="221"/>
      <c r="BV345" s="1"/>
      <c r="BW345" s="1"/>
      <c r="BX345" s="221"/>
      <c r="BZ345" s="1"/>
      <c r="CA345" s="1"/>
      <c r="CB345" s="1"/>
      <c r="CC345" s="2"/>
      <c r="CD345" s="1"/>
    </row>
    <row r="346" spans="1:82" s="50" customFormat="1" ht="18.75" customHeight="1" x14ac:dyDescent="0.25">
      <c r="A346" s="1"/>
      <c r="B346" s="12"/>
      <c r="C346" s="2"/>
      <c r="D346" s="2"/>
      <c r="E346" s="1"/>
      <c r="F346" s="1"/>
      <c r="G346" s="1"/>
      <c r="H346" s="1"/>
      <c r="I346" s="1"/>
      <c r="J346" s="1"/>
      <c r="K346" s="1"/>
      <c r="L346" s="1"/>
      <c r="M346" s="1"/>
      <c r="N346" s="2"/>
      <c r="O346" s="1"/>
      <c r="P346" s="1"/>
      <c r="Q346" s="1"/>
      <c r="R346" s="1"/>
      <c r="S346" s="1"/>
      <c r="T346" s="1"/>
      <c r="U346" s="1"/>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1"/>
      <c r="BJ346" s="1"/>
      <c r="BK346" s="280"/>
      <c r="BL346" s="222"/>
      <c r="BM346" s="1"/>
      <c r="BN346" s="1"/>
      <c r="BO346" s="1"/>
      <c r="BP346" s="221"/>
      <c r="BV346" s="1"/>
      <c r="BW346" s="1"/>
      <c r="BX346" s="221"/>
      <c r="BZ346" s="1"/>
      <c r="CA346" s="1"/>
      <c r="CB346" s="1"/>
      <c r="CC346" s="2"/>
      <c r="CD346" s="1"/>
    </row>
    <row r="347" spans="1:82" s="50" customFormat="1" ht="18.75" customHeight="1" x14ac:dyDescent="0.25">
      <c r="A347" s="1"/>
      <c r="B347" s="12"/>
      <c r="C347" s="2"/>
      <c r="D347" s="2"/>
      <c r="E347" s="1"/>
      <c r="F347" s="1"/>
      <c r="G347" s="1"/>
      <c r="H347" s="1"/>
      <c r="I347" s="1"/>
      <c r="J347" s="1"/>
      <c r="K347" s="1"/>
      <c r="L347" s="1"/>
      <c r="M347" s="1"/>
      <c r="N347" s="2"/>
      <c r="O347" s="1"/>
      <c r="P347" s="1"/>
      <c r="Q347" s="1"/>
      <c r="R347" s="1"/>
      <c r="S347" s="1"/>
      <c r="T347" s="1"/>
      <c r="U347" s="1"/>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1"/>
      <c r="BJ347" s="1"/>
      <c r="BK347" s="280"/>
      <c r="BL347" s="222"/>
      <c r="BM347" s="1"/>
      <c r="BN347" s="1"/>
      <c r="BO347" s="1"/>
      <c r="BP347" s="221"/>
      <c r="BV347" s="1"/>
      <c r="BW347" s="1"/>
      <c r="BX347" s="221"/>
      <c r="BZ347" s="1"/>
      <c r="CA347" s="1"/>
      <c r="CB347" s="1"/>
      <c r="CC347" s="2"/>
      <c r="CD347" s="1"/>
    </row>
    <row r="348" spans="1:82" s="50" customFormat="1" ht="18.75" customHeight="1" x14ac:dyDescent="0.25">
      <c r="A348" s="1"/>
      <c r="B348" s="12"/>
      <c r="C348" s="2"/>
      <c r="D348" s="2"/>
      <c r="E348" s="1"/>
      <c r="F348" s="1"/>
      <c r="G348" s="1"/>
      <c r="H348" s="1"/>
      <c r="I348" s="1"/>
      <c r="J348" s="1"/>
      <c r="K348" s="1"/>
      <c r="L348" s="1"/>
      <c r="M348" s="1"/>
      <c r="N348" s="2"/>
      <c r="O348" s="1"/>
      <c r="P348" s="1"/>
      <c r="Q348" s="1"/>
      <c r="R348" s="1"/>
      <c r="S348" s="1"/>
      <c r="T348" s="1"/>
      <c r="U348" s="1"/>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1"/>
      <c r="BJ348" s="1"/>
      <c r="BK348" s="280"/>
      <c r="BL348" s="222"/>
      <c r="BM348" s="1"/>
      <c r="BN348" s="1"/>
      <c r="BO348" s="1"/>
      <c r="BP348" s="221"/>
      <c r="BV348" s="1"/>
      <c r="BW348" s="1"/>
      <c r="BX348" s="221"/>
      <c r="BZ348" s="1"/>
      <c r="CA348" s="1"/>
      <c r="CB348" s="1"/>
      <c r="CC348" s="2"/>
      <c r="CD348" s="1"/>
    </row>
    <row r="349" spans="1:82" s="50" customFormat="1" ht="18.75" customHeight="1" x14ac:dyDescent="0.25">
      <c r="A349" s="1"/>
      <c r="B349" s="12"/>
      <c r="C349" s="2"/>
      <c r="D349" s="2"/>
      <c r="E349" s="1"/>
      <c r="F349" s="1"/>
      <c r="G349" s="1"/>
      <c r="H349" s="1"/>
      <c r="I349" s="1"/>
      <c r="J349" s="1"/>
      <c r="K349" s="1"/>
      <c r="L349" s="1"/>
      <c r="M349" s="1"/>
      <c r="N349" s="2"/>
      <c r="O349" s="1"/>
      <c r="P349" s="1"/>
      <c r="Q349" s="1"/>
      <c r="R349" s="1"/>
      <c r="S349" s="1"/>
      <c r="T349" s="1"/>
      <c r="U349" s="1"/>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1"/>
      <c r="BJ349" s="1"/>
      <c r="BK349" s="280"/>
      <c r="BL349" s="222"/>
      <c r="BM349" s="1"/>
      <c r="BN349" s="1"/>
      <c r="BO349" s="1"/>
      <c r="BP349" s="221"/>
      <c r="BV349" s="1"/>
      <c r="BW349" s="1"/>
      <c r="BX349" s="221"/>
      <c r="BZ349" s="1"/>
      <c r="CA349" s="1"/>
      <c r="CB349" s="1"/>
      <c r="CC349" s="2"/>
      <c r="CD349" s="1"/>
    </row>
    <row r="350" spans="1:82" s="50" customFormat="1" ht="18.75" customHeight="1" x14ac:dyDescent="0.25">
      <c r="A350" s="1"/>
      <c r="B350" s="12"/>
      <c r="C350" s="2"/>
      <c r="D350" s="2"/>
      <c r="E350" s="1"/>
      <c r="F350" s="1"/>
      <c r="G350" s="1"/>
      <c r="H350" s="1"/>
      <c r="I350" s="1"/>
      <c r="J350" s="1"/>
      <c r="K350" s="1"/>
      <c r="L350" s="1"/>
      <c r="M350" s="1"/>
      <c r="N350" s="2"/>
      <c r="O350" s="1"/>
      <c r="P350" s="1"/>
      <c r="Q350" s="1"/>
      <c r="R350" s="1"/>
      <c r="S350" s="1"/>
      <c r="T350" s="1"/>
      <c r="U350" s="1"/>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1"/>
      <c r="BJ350" s="1"/>
      <c r="BK350" s="280"/>
      <c r="BL350" s="222"/>
      <c r="BM350" s="1"/>
      <c r="BN350" s="1"/>
      <c r="BO350" s="1"/>
      <c r="BP350" s="221"/>
      <c r="BV350" s="1"/>
      <c r="BW350" s="1"/>
      <c r="BX350" s="221"/>
      <c r="BZ350" s="1"/>
      <c r="CA350" s="1"/>
      <c r="CB350" s="1"/>
      <c r="CC350" s="2"/>
      <c r="CD350" s="1"/>
    </row>
    <row r="351" spans="1:82" s="50" customFormat="1" ht="18.75" customHeight="1" x14ac:dyDescent="0.25">
      <c r="A351" s="1"/>
      <c r="B351" s="12"/>
      <c r="C351" s="2"/>
      <c r="D351" s="2"/>
      <c r="E351" s="1"/>
      <c r="F351" s="1"/>
      <c r="G351" s="1"/>
      <c r="H351" s="1"/>
      <c r="I351" s="1"/>
      <c r="J351" s="1"/>
      <c r="K351" s="1"/>
      <c r="L351" s="1"/>
      <c r="M351" s="1"/>
      <c r="N351" s="2"/>
      <c r="O351" s="1"/>
      <c r="P351" s="1"/>
      <c r="Q351" s="1"/>
      <c r="R351" s="1"/>
      <c r="S351" s="1"/>
      <c r="T351" s="1"/>
      <c r="U351" s="1"/>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1"/>
      <c r="BJ351" s="1"/>
      <c r="BK351" s="280"/>
      <c r="BL351" s="222"/>
      <c r="BM351" s="1"/>
      <c r="BN351" s="1"/>
      <c r="BO351" s="1"/>
      <c r="BP351" s="221"/>
      <c r="BV351" s="1"/>
      <c r="BW351" s="1"/>
      <c r="BX351" s="221"/>
      <c r="BZ351" s="1"/>
      <c r="CA351" s="1"/>
      <c r="CB351" s="1"/>
      <c r="CC351" s="2"/>
      <c r="CD351" s="1"/>
    </row>
    <row r="352" spans="1:82" s="50" customFormat="1" ht="18.75" customHeight="1" x14ac:dyDescent="0.25">
      <c r="A352" s="1"/>
      <c r="B352" s="12"/>
      <c r="C352" s="2"/>
      <c r="D352" s="2"/>
      <c r="E352" s="1"/>
      <c r="F352" s="1"/>
      <c r="G352" s="1"/>
      <c r="H352" s="1"/>
      <c r="I352" s="1"/>
      <c r="J352" s="1"/>
      <c r="K352" s="1"/>
      <c r="L352" s="1"/>
      <c r="M352" s="1"/>
      <c r="N352" s="2"/>
      <c r="O352" s="1"/>
      <c r="P352" s="1"/>
      <c r="Q352" s="1"/>
      <c r="R352" s="1"/>
      <c r="S352" s="1"/>
      <c r="T352" s="1"/>
      <c r="U352" s="1"/>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1"/>
      <c r="BJ352" s="1"/>
      <c r="BK352" s="280"/>
      <c r="BL352" s="222"/>
      <c r="BM352" s="1"/>
      <c r="BN352" s="1"/>
      <c r="BO352" s="1"/>
      <c r="BP352" s="221"/>
      <c r="BV352" s="1"/>
      <c r="BW352" s="1"/>
      <c r="BX352" s="221"/>
      <c r="BZ352" s="1"/>
      <c r="CA352" s="1"/>
      <c r="CB352" s="1"/>
      <c r="CC352" s="2"/>
      <c r="CD352" s="1"/>
    </row>
    <row r="353" spans="63:77" ht="18.75" customHeight="1" x14ac:dyDescent="0.25">
      <c r="BK353" s="280"/>
      <c r="BL353" s="222"/>
      <c r="BP353" s="221"/>
      <c r="BQ353" s="50"/>
      <c r="BR353" s="50"/>
      <c r="BS353" s="50"/>
      <c r="BT353" s="50"/>
      <c r="BX353" s="221"/>
      <c r="BY353" s="50"/>
    </row>
    <row r="354" spans="63:77" ht="18.75" customHeight="1" x14ac:dyDescent="0.25">
      <c r="BK354" s="280"/>
      <c r="BL354" s="222"/>
      <c r="BP354" s="221"/>
      <c r="BQ354" s="50"/>
      <c r="BR354" s="50"/>
      <c r="BS354" s="50"/>
      <c r="BT354" s="50"/>
      <c r="BX354" s="221"/>
      <c r="BY354" s="50"/>
    </row>
    <row r="355" spans="63:77" ht="18.75" customHeight="1" x14ac:dyDescent="0.25">
      <c r="BK355" s="280"/>
      <c r="BL355" s="222"/>
      <c r="BP355" s="221"/>
      <c r="BQ355" s="50"/>
      <c r="BR355" s="50"/>
      <c r="BS355" s="50"/>
      <c r="BT355" s="50"/>
      <c r="BX355" s="221"/>
      <c r="BY355" s="50"/>
    </row>
    <row r="356" spans="63:77" ht="18.75" customHeight="1" x14ac:dyDescent="0.25">
      <c r="BK356" s="280"/>
      <c r="BL356" s="222"/>
      <c r="BP356" s="221"/>
      <c r="BQ356" s="50"/>
      <c r="BR356" s="50"/>
      <c r="BS356" s="50"/>
      <c r="BT356" s="50"/>
      <c r="BX356" s="221"/>
      <c r="BY356" s="50"/>
    </row>
    <row r="357" spans="63:77" ht="18.75" customHeight="1" x14ac:dyDescent="0.25">
      <c r="BK357" s="280"/>
      <c r="BL357" s="222"/>
      <c r="BP357" s="221"/>
      <c r="BQ357" s="50"/>
      <c r="BR357" s="50"/>
      <c r="BS357" s="50"/>
      <c r="BT357" s="50"/>
      <c r="BX357" s="221"/>
      <c r="BY357" s="50"/>
    </row>
    <row r="358" spans="63:77" ht="18.75" customHeight="1" x14ac:dyDescent="0.25">
      <c r="BK358" s="280"/>
      <c r="BL358" s="222"/>
      <c r="BP358" s="221"/>
      <c r="BQ358" s="50"/>
      <c r="BR358" s="50"/>
      <c r="BS358" s="50"/>
      <c r="BT358" s="50"/>
      <c r="BX358" s="221"/>
      <c r="BY358" s="50"/>
    </row>
    <row r="359" spans="63:77" ht="18.75" customHeight="1" x14ac:dyDescent="0.25">
      <c r="BK359" s="280"/>
      <c r="BL359" s="222"/>
      <c r="BP359" s="221"/>
      <c r="BQ359" s="50"/>
      <c r="BR359" s="50"/>
      <c r="BS359" s="50"/>
      <c r="BT359" s="50"/>
      <c r="BX359" s="221"/>
      <c r="BY359" s="50"/>
    </row>
    <row r="360" spans="63:77" ht="18.75" customHeight="1" x14ac:dyDescent="0.25">
      <c r="BK360" s="280"/>
      <c r="BL360" s="222"/>
      <c r="BP360" s="221"/>
      <c r="BQ360" s="50"/>
      <c r="BR360" s="50"/>
      <c r="BS360" s="50"/>
      <c r="BT360" s="50"/>
      <c r="BX360" s="221"/>
      <c r="BY360" s="50"/>
    </row>
    <row r="361" spans="63:77" ht="18.75" customHeight="1" x14ac:dyDescent="0.25">
      <c r="BK361" s="280"/>
      <c r="BL361" s="222"/>
      <c r="BP361" s="221"/>
      <c r="BQ361" s="50"/>
      <c r="BR361" s="50"/>
      <c r="BS361" s="50"/>
      <c r="BT361" s="50"/>
      <c r="BX361" s="221"/>
      <c r="BY361" s="50"/>
    </row>
    <row r="362" spans="63:77" ht="18.75" customHeight="1" x14ac:dyDescent="0.25">
      <c r="BK362" s="280"/>
      <c r="BL362" s="222"/>
      <c r="BP362" s="221"/>
      <c r="BQ362" s="50"/>
      <c r="BR362" s="50"/>
      <c r="BS362" s="50"/>
      <c r="BT362" s="50"/>
      <c r="BX362" s="221"/>
      <c r="BY362" s="50"/>
    </row>
    <row r="363" spans="63:77" ht="18.75" customHeight="1" x14ac:dyDescent="0.25">
      <c r="BK363" s="280"/>
      <c r="BL363" s="222"/>
      <c r="BP363" s="221"/>
      <c r="BQ363" s="50"/>
      <c r="BR363" s="50"/>
      <c r="BS363" s="50"/>
      <c r="BT363" s="50"/>
      <c r="BX363" s="221"/>
      <c r="BY363" s="50"/>
    </row>
    <row r="364" spans="63:77" ht="18.75" customHeight="1" x14ac:dyDescent="0.25">
      <c r="BK364" s="280"/>
      <c r="BL364" s="222"/>
      <c r="BP364" s="221"/>
      <c r="BQ364" s="50"/>
      <c r="BR364" s="50"/>
      <c r="BS364" s="50"/>
      <c r="BT364" s="50"/>
      <c r="BX364" s="221"/>
      <c r="BY364" s="50"/>
    </row>
    <row r="365" spans="63:77" ht="18.75" customHeight="1" x14ac:dyDescent="0.25">
      <c r="BK365" s="280"/>
      <c r="BL365" s="222"/>
      <c r="BP365" s="221"/>
      <c r="BQ365" s="50"/>
      <c r="BR365" s="50"/>
      <c r="BS365" s="50"/>
      <c r="BT365" s="50"/>
      <c r="BX365" s="221"/>
      <c r="BY365" s="50"/>
    </row>
    <row r="366" spans="63:77" ht="18.75" customHeight="1" x14ac:dyDescent="0.25">
      <c r="BK366" s="280"/>
      <c r="BL366" s="222"/>
      <c r="BP366" s="221"/>
      <c r="BQ366" s="50"/>
      <c r="BR366" s="50"/>
      <c r="BS366" s="50"/>
      <c r="BT366" s="50"/>
      <c r="BX366" s="221"/>
      <c r="BY366" s="50"/>
    </row>
    <row r="367" spans="63:77" ht="18.75" customHeight="1" x14ac:dyDescent="0.25">
      <c r="BK367" s="280"/>
      <c r="BL367" s="222"/>
      <c r="BP367" s="221"/>
      <c r="BQ367" s="50"/>
      <c r="BR367" s="50"/>
      <c r="BS367" s="50"/>
      <c r="BT367" s="50"/>
      <c r="BX367" s="221"/>
      <c r="BY367" s="50"/>
    </row>
    <row r="368" spans="63:77" ht="18.75" customHeight="1" x14ac:dyDescent="0.25">
      <c r="BK368" s="280"/>
      <c r="BL368" s="222"/>
      <c r="BP368" s="221"/>
      <c r="BQ368" s="50"/>
      <c r="BR368" s="50"/>
      <c r="BS368" s="50"/>
      <c r="BT368" s="50"/>
      <c r="BX368" s="221"/>
      <c r="BY368" s="50"/>
    </row>
    <row r="369" spans="63:77" ht="18.75" customHeight="1" x14ac:dyDescent="0.25">
      <c r="BK369" s="280"/>
      <c r="BL369" s="222"/>
      <c r="BP369" s="221"/>
      <c r="BQ369" s="50"/>
      <c r="BR369" s="50"/>
      <c r="BS369" s="50"/>
      <c r="BT369" s="50"/>
      <c r="BX369" s="221"/>
      <c r="BY369" s="50"/>
    </row>
    <row r="370" spans="63:77" ht="18.75" customHeight="1" x14ac:dyDescent="0.25">
      <c r="BK370" s="280"/>
      <c r="BL370" s="222"/>
      <c r="BP370" s="221"/>
      <c r="BQ370" s="50"/>
      <c r="BR370" s="50"/>
      <c r="BS370" s="50"/>
      <c r="BT370" s="50"/>
      <c r="BX370" s="221"/>
      <c r="BY370" s="50"/>
    </row>
    <row r="371" spans="63:77" ht="18.75" customHeight="1" x14ac:dyDescent="0.25">
      <c r="BK371" s="280"/>
      <c r="BL371" s="222"/>
      <c r="BP371" s="221"/>
      <c r="BQ371" s="50"/>
      <c r="BR371" s="50"/>
      <c r="BS371" s="50"/>
      <c r="BT371" s="50"/>
      <c r="BX371" s="221"/>
      <c r="BY371" s="50"/>
    </row>
    <row r="372" spans="63:77" ht="18.75" customHeight="1" x14ac:dyDescent="0.25">
      <c r="BK372" s="280"/>
      <c r="BL372" s="222"/>
      <c r="BP372" s="221"/>
      <c r="BQ372" s="50"/>
      <c r="BR372" s="50"/>
      <c r="BS372" s="50"/>
      <c r="BT372" s="50"/>
      <c r="BX372" s="221"/>
      <c r="BY372" s="50"/>
    </row>
    <row r="373" spans="63:77" ht="18.75" customHeight="1" x14ac:dyDescent="0.25">
      <c r="BK373" s="280"/>
      <c r="BL373" s="222"/>
      <c r="BP373" s="221"/>
      <c r="BQ373" s="50"/>
      <c r="BR373" s="50"/>
      <c r="BS373" s="50"/>
      <c r="BT373" s="50"/>
      <c r="BX373" s="221"/>
      <c r="BY373" s="50"/>
    </row>
    <row r="374" spans="63:77" ht="18.75" customHeight="1" x14ac:dyDescent="0.25">
      <c r="BK374" s="280"/>
      <c r="BL374" s="222"/>
      <c r="BP374" s="221"/>
      <c r="BQ374" s="50"/>
      <c r="BR374" s="50"/>
      <c r="BS374" s="50"/>
      <c r="BT374" s="50"/>
      <c r="BX374" s="221"/>
      <c r="BY374" s="50"/>
    </row>
    <row r="375" spans="63:77" ht="18.75" customHeight="1" x14ac:dyDescent="0.25">
      <c r="BK375" s="280"/>
      <c r="BL375" s="222"/>
      <c r="BP375" s="221"/>
      <c r="BQ375" s="50"/>
      <c r="BR375" s="50"/>
      <c r="BS375" s="50"/>
      <c r="BT375" s="50"/>
      <c r="BX375" s="221"/>
      <c r="BY375" s="50"/>
    </row>
    <row r="376" spans="63:77" ht="18.75" customHeight="1" x14ac:dyDescent="0.25">
      <c r="BK376" s="280"/>
      <c r="BL376" s="222"/>
    </row>
    <row r="377" spans="63:77" ht="18.75" customHeight="1" x14ac:dyDescent="0.25">
      <c r="BK377" s="280"/>
      <c r="BL377" s="222"/>
    </row>
    <row r="378" spans="63:77" ht="18.75" customHeight="1" x14ac:dyDescent="0.25">
      <c r="BK378" s="280"/>
      <c r="BL378" s="222"/>
    </row>
    <row r="379" spans="63:77" ht="18.75" customHeight="1" x14ac:dyDescent="0.25">
      <c r="BK379" s="280"/>
      <c r="BL379" s="222"/>
    </row>
    <row r="380" spans="63:77" ht="18.75" customHeight="1" x14ac:dyDescent="0.25">
      <c r="BK380" s="280"/>
      <c r="BL380" s="222"/>
    </row>
    <row r="381" spans="63:77" ht="18.75" customHeight="1" x14ac:dyDescent="0.25">
      <c r="BK381" s="280"/>
      <c r="BL381" s="222"/>
    </row>
    <row r="382" spans="63:77" ht="18.75" customHeight="1" x14ac:dyDescent="0.25">
      <c r="BK382" s="280"/>
      <c r="BL382" s="222"/>
    </row>
    <row r="383" spans="63:77" ht="18.75" customHeight="1" x14ac:dyDescent="0.25">
      <c r="BK383" s="280"/>
      <c r="BL383" s="222"/>
    </row>
    <row r="384" spans="63:77" ht="18.75" customHeight="1" x14ac:dyDescent="0.25">
      <c r="BK384" s="280"/>
      <c r="BL384" s="222"/>
    </row>
    <row r="385" spans="63:64" ht="18.75" customHeight="1" x14ac:dyDescent="0.25">
      <c r="BK385" s="280"/>
      <c r="BL385" s="222"/>
    </row>
    <row r="386" spans="63:64" ht="18.75" customHeight="1" x14ac:dyDescent="0.25">
      <c r="BK386" s="280"/>
      <c r="BL386" s="222"/>
    </row>
    <row r="387" spans="63:64" ht="18.75" customHeight="1" x14ac:dyDescent="0.25">
      <c r="BK387" s="280"/>
      <c r="BL387" s="222"/>
    </row>
    <row r="388" spans="63:64" ht="18.75" customHeight="1" x14ac:dyDescent="0.25">
      <c r="BK388" s="280"/>
      <c r="BL388" s="222"/>
    </row>
    <row r="389" spans="63:64" ht="18.75" customHeight="1" x14ac:dyDescent="0.25">
      <c r="BK389" s="280"/>
      <c r="BL389" s="222"/>
    </row>
    <row r="390" spans="63:64" ht="18.75" customHeight="1" x14ac:dyDescent="0.25">
      <c r="BK390" s="280"/>
      <c r="BL390" s="222"/>
    </row>
    <row r="391" spans="63:64" ht="18.75" customHeight="1" x14ac:dyDescent="0.25">
      <c r="BK391" s="280"/>
      <c r="BL391" s="222"/>
    </row>
    <row r="392" spans="63:64" ht="18.75" customHeight="1" x14ac:dyDescent="0.25">
      <c r="BK392" s="280"/>
      <c r="BL392" s="222"/>
    </row>
    <row r="393" spans="63:64" ht="18.75" customHeight="1" x14ac:dyDescent="0.25">
      <c r="BK393" s="280"/>
      <c r="BL393" s="222"/>
    </row>
    <row r="394" spans="63:64" ht="18.75" customHeight="1" x14ac:dyDescent="0.25">
      <c r="BK394" s="280"/>
      <c r="BL394" s="222"/>
    </row>
    <row r="395" spans="63:64" ht="18.75" customHeight="1" x14ac:dyDescent="0.25">
      <c r="BK395" s="280"/>
      <c r="BL395" s="222"/>
    </row>
    <row r="396" spans="63:64" ht="18.75" customHeight="1" x14ac:dyDescent="0.25">
      <c r="BK396" s="280"/>
      <c r="BL396" s="222"/>
    </row>
    <row r="397" spans="63:64" ht="18.75" customHeight="1" x14ac:dyDescent="0.25">
      <c r="BK397" s="280"/>
      <c r="BL397" s="222"/>
    </row>
    <row r="398" spans="63:64" ht="18.75" customHeight="1" x14ac:dyDescent="0.25">
      <c r="BK398" s="280"/>
      <c r="BL398" s="222"/>
    </row>
    <row r="399" spans="63:64" ht="18.75" customHeight="1" x14ac:dyDescent="0.25">
      <c r="BK399" s="280"/>
      <c r="BL399" s="222"/>
    </row>
    <row r="400" spans="63:64" ht="18.75" customHeight="1" x14ac:dyDescent="0.25">
      <c r="BK400" s="280"/>
      <c r="BL400" s="222"/>
    </row>
    <row r="401" spans="63:64" ht="18.75" customHeight="1" x14ac:dyDescent="0.25">
      <c r="BK401" s="280"/>
      <c r="BL401" s="222"/>
    </row>
    <row r="402" spans="63:64" ht="18.75" customHeight="1" x14ac:dyDescent="0.25">
      <c r="BK402" s="280"/>
      <c r="BL402" s="222"/>
    </row>
    <row r="403" spans="63:64" ht="18.75" customHeight="1" x14ac:dyDescent="0.25">
      <c r="BK403" s="280"/>
      <c r="BL403" s="222"/>
    </row>
    <row r="404" spans="63:64" ht="18.75" customHeight="1" x14ac:dyDescent="0.25">
      <c r="BK404" s="280"/>
      <c r="BL404" s="222"/>
    </row>
    <row r="405" spans="63:64" ht="18.75" customHeight="1" x14ac:dyDescent="0.25">
      <c r="BK405" s="280"/>
      <c r="BL405" s="222"/>
    </row>
    <row r="406" spans="63:64" ht="18.75" customHeight="1" x14ac:dyDescent="0.25">
      <c r="BK406" s="280"/>
      <c r="BL406" s="222"/>
    </row>
    <row r="407" spans="63:64" ht="18.75" customHeight="1" x14ac:dyDescent="0.25">
      <c r="BK407" s="280"/>
      <c r="BL407" s="222"/>
    </row>
    <row r="408" spans="63:64" ht="18.75" customHeight="1" x14ac:dyDescent="0.25">
      <c r="BK408" s="280"/>
      <c r="BL408" s="222"/>
    </row>
    <row r="409" spans="63:64" ht="18.75" customHeight="1" x14ac:dyDescent="0.25">
      <c r="BK409" s="280"/>
      <c r="BL409" s="222"/>
    </row>
    <row r="410" spans="63:64" ht="18.75" customHeight="1" x14ac:dyDescent="0.25">
      <c r="BK410" s="280"/>
      <c r="BL410" s="222"/>
    </row>
    <row r="411" spans="63:64" ht="18.75" customHeight="1" x14ac:dyDescent="0.25">
      <c r="BK411" s="280"/>
      <c r="BL411" s="222"/>
    </row>
    <row r="412" spans="63:64" ht="18.75" customHeight="1" x14ac:dyDescent="0.25">
      <c r="BK412" s="280"/>
      <c r="BL412" s="222"/>
    </row>
    <row r="413" spans="63:64" ht="18.75" customHeight="1" x14ac:dyDescent="0.25">
      <c r="BK413" s="280"/>
      <c r="BL413" s="222"/>
    </row>
    <row r="414" spans="63:64" ht="18.75" customHeight="1" x14ac:dyDescent="0.25">
      <c r="BK414" s="280"/>
      <c r="BL414" s="222"/>
    </row>
    <row r="415" spans="63:64" ht="18.75" customHeight="1" x14ac:dyDescent="0.25">
      <c r="BK415" s="280"/>
      <c r="BL415" s="222"/>
    </row>
    <row r="416" spans="63:64" ht="18.75" customHeight="1" x14ac:dyDescent="0.25">
      <c r="BK416" s="280"/>
      <c r="BL416" s="222"/>
    </row>
    <row r="417" spans="63:64" ht="18.75" customHeight="1" x14ac:dyDescent="0.25">
      <c r="BK417" s="280"/>
      <c r="BL417" s="222"/>
    </row>
    <row r="418" spans="63:64" ht="18.75" customHeight="1" x14ac:dyDescent="0.25">
      <c r="BK418" s="280"/>
      <c r="BL418" s="222"/>
    </row>
    <row r="419" spans="63:64" ht="18.75" customHeight="1" x14ac:dyDescent="0.25">
      <c r="BK419" s="280"/>
      <c r="BL419" s="222"/>
    </row>
    <row r="420" spans="63:64" ht="18.75" customHeight="1" x14ac:dyDescent="0.25">
      <c r="BK420" s="280"/>
      <c r="BL420" s="222"/>
    </row>
    <row r="421" spans="63:64" ht="18.75" customHeight="1" x14ac:dyDescent="0.25">
      <c r="BK421" s="280"/>
      <c r="BL421" s="222"/>
    </row>
    <row r="422" spans="63:64" ht="18.75" customHeight="1" x14ac:dyDescent="0.25">
      <c r="BK422" s="280"/>
      <c r="BL422" s="222"/>
    </row>
    <row r="423" spans="63:64" ht="18.75" customHeight="1" x14ac:dyDescent="0.25">
      <c r="BK423" s="280"/>
      <c r="BL423" s="222"/>
    </row>
    <row r="424" spans="63:64" ht="18.75" customHeight="1" x14ac:dyDescent="0.25">
      <c r="BK424" s="280"/>
      <c r="BL424" s="222"/>
    </row>
    <row r="425" spans="63:64" ht="18.75" customHeight="1" x14ac:dyDescent="0.25">
      <c r="BK425" s="280"/>
      <c r="BL425" s="222"/>
    </row>
    <row r="426" spans="63:64" ht="18.75" customHeight="1" x14ac:dyDescent="0.25">
      <c r="BK426" s="280"/>
      <c r="BL426" s="222"/>
    </row>
    <row r="427" spans="63:64" ht="18.75" customHeight="1" x14ac:dyDescent="0.25">
      <c r="BK427" s="280"/>
      <c r="BL427" s="222"/>
    </row>
    <row r="428" spans="63:64" ht="18.75" customHeight="1" x14ac:dyDescent="0.25">
      <c r="BK428" s="280"/>
      <c r="BL428" s="222"/>
    </row>
    <row r="429" spans="63:64" ht="18.75" customHeight="1" x14ac:dyDescent="0.25">
      <c r="BK429" s="280"/>
      <c r="BL429" s="222"/>
    </row>
    <row r="430" spans="63:64" ht="18.75" customHeight="1" x14ac:dyDescent="0.25">
      <c r="BK430" s="280"/>
      <c r="BL430" s="222"/>
    </row>
    <row r="431" spans="63:64" ht="18.75" customHeight="1" x14ac:dyDescent="0.25">
      <c r="BK431" s="280"/>
      <c r="BL431" s="222"/>
    </row>
    <row r="432" spans="63:64" ht="18.75" customHeight="1" x14ac:dyDescent="0.25">
      <c r="BK432" s="280"/>
      <c r="BL432" s="222"/>
    </row>
    <row r="433" spans="63:64" ht="18.75" customHeight="1" x14ac:dyDescent="0.25">
      <c r="BK433" s="280"/>
      <c r="BL433" s="222"/>
    </row>
    <row r="434" spans="63:64" ht="18.75" customHeight="1" x14ac:dyDescent="0.25">
      <c r="BK434" s="280"/>
      <c r="BL434" s="222"/>
    </row>
    <row r="435" spans="63:64" ht="18.75" customHeight="1" x14ac:dyDescent="0.25">
      <c r="BK435" s="280"/>
      <c r="BL435" s="222"/>
    </row>
    <row r="436" spans="63:64" ht="18.75" customHeight="1" x14ac:dyDescent="0.25">
      <c r="BK436" s="280"/>
      <c r="BL436" s="222"/>
    </row>
    <row r="437" spans="63:64" ht="18.75" customHeight="1" x14ac:dyDescent="0.25">
      <c r="BK437" s="280"/>
      <c r="BL437" s="222"/>
    </row>
    <row r="438" spans="63:64" ht="18.75" customHeight="1" x14ac:dyDescent="0.25">
      <c r="BK438" s="280"/>
      <c r="BL438" s="222"/>
    </row>
    <row r="439" spans="63:64" ht="18.75" customHeight="1" x14ac:dyDescent="0.25">
      <c r="BK439" s="280"/>
      <c r="BL439" s="222"/>
    </row>
    <row r="440" spans="63:64" ht="18.75" customHeight="1" x14ac:dyDescent="0.25">
      <c r="BK440" s="280"/>
      <c r="BL440" s="222"/>
    </row>
    <row r="441" spans="63:64" ht="18.75" customHeight="1" x14ac:dyDescent="0.25">
      <c r="BK441" s="280"/>
      <c r="BL441" s="222"/>
    </row>
    <row r="442" spans="63:64" ht="18.75" customHeight="1" x14ac:dyDescent="0.25">
      <c r="BK442" s="280"/>
      <c r="BL442" s="222"/>
    </row>
    <row r="443" spans="63:64" ht="18.75" customHeight="1" x14ac:dyDescent="0.25">
      <c r="BK443" s="280"/>
      <c r="BL443" s="222"/>
    </row>
    <row r="444" spans="63:64" ht="18.75" customHeight="1" x14ac:dyDescent="0.25">
      <c r="BK444" s="280"/>
      <c r="BL444" s="222"/>
    </row>
    <row r="445" spans="63:64" ht="18.75" customHeight="1" x14ac:dyDescent="0.25">
      <c r="BK445" s="280"/>
      <c r="BL445" s="222"/>
    </row>
    <row r="446" spans="63:64" ht="18.75" customHeight="1" x14ac:dyDescent="0.25">
      <c r="BK446" s="280"/>
      <c r="BL446" s="222"/>
    </row>
    <row r="447" spans="63:64" ht="18.75" customHeight="1" x14ac:dyDescent="0.25">
      <c r="BK447" s="280"/>
      <c r="BL447" s="222"/>
    </row>
    <row r="448" spans="63:64" ht="18.75" customHeight="1" x14ac:dyDescent="0.25">
      <c r="BK448" s="280"/>
      <c r="BL448" s="222"/>
    </row>
    <row r="449" spans="63:64" ht="18.75" customHeight="1" x14ac:dyDescent="0.25">
      <c r="BK449" s="280"/>
      <c r="BL449" s="222"/>
    </row>
    <row r="450" spans="63:64" ht="18.75" customHeight="1" x14ac:dyDescent="0.25">
      <c r="BK450" s="280"/>
      <c r="BL450" s="222"/>
    </row>
    <row r="451" spans="63:64" ht="18.75" customHeight="1" x14ac:dyDescent="0.25">
      <c r="BK451" s="280"/>
      <c r="BL451" s="222"/>
    </row>
    <row r="452" spans="63:64" ht="18.75" customHeight="1" x14ac:dyDescent="0.25">
      <c r="BK452" s="280"/>
      <c r="BL452" s="222"/>
    </row>
    <row r="453" spans="63:64" ht="18.75" customHeight="1" x14ac:dyDescent="0.25">
      <c r="BK453" s="280"/>
      <c r="BL453" s="222"/>
    </row>
    <row r="454" spans="63:64" ht="18.75" customHeight="1" x14ac:dyDescent="0.25">
      <c r="BK454" s="280"/>
      <c r="BL454" s="222"/>
    </row>
    <row r="455" spans="63:64" ht="18.75" customHeight="1" x14ac:dyDescent="0.25">
      <c r="BK455" s="280"/>
      <c r="BL455" s="222"/>
    </row>
    <row r="456" spans="63:64" ht="18.75" customHeight="1" x14ac:dyDescent="0.25">
      <c r="BK456" s="280"/>
      <c r="BL456" s="222"/>
    </row>
    <row r="457" spans="63:64" ht="18.75" customHeight="1" x14ac:dyDescent="0.25">
      <c r="BK457" s="280"/>
      <c r="BL457" s="222"/>
    </row>
    <row r="458" spans="63:64" ht="18.75" customHeight="1" x14ac:dyDescent="0.25">
      <c r="BK458" s="280"/>
      <c r="BL458" s="222"/>
    </row>
    <row r="459" spans="63:64" ht="18.75" customHeight="1" x14ac:dyDescent="0.25">
      <c r="BK459" s="280"/>
      <c r="BL459" s="222"/>
    </row>
    <row r="460" spans="63:64" ht="18.75" customHeight="1" x14ac:dyDescent="0.25">
      <c r="BK460" s="280"/>
      <c r="BL460" s="222"/>
    </row>
    <row r="461" spans="63:64" ht="18.75" customHeight="1" x14ac:dyDescent="0.25">
      <c r="BK461" s="280"/>
      <c r="BL461" s="222"/>
    </row>
    <row r="462" spans="63:64" ht="18.75" customHeight="1" x14ac:dyDescent="0.25">
      <c r="BK462" s="280"/>
      <c r="BL462" s="222"/>
    </row>
    <row r="463" spans="63:64" ht="18.75" customHeight="1" x14ac:dyDescent="0.25">
      <c r="BK463" s="280"/>
      <c r="BL463" s="222"/>
    </row>
    <row r="464" spans="63:64" ht="18.75" customHeight="1" x14ac:dyDescent="0.25">
      <c r="BK464" s="280"/>
      <c r="BL464" s="222"/>
    </row>
    <row r="465" spans="63:64" ht="18.75" customHeight="1" x14ac:dyDescent="0.25">
      <c r="BK465" s="280"/>
      <c r="BL465" s="222"/>
    </row>
    <row r="466" spans="63:64" ht="18.75" customHeight="1" x14ac:dyDescent="0.25">
      <c r="BK466" s="280"/>
      <c r="BL466" s="222"/>
    </row>
    <row r="467" spans="63:64" ht="18.75" customHeight="1" x14ac:dyDescent="0.25">
      <c r="BK467" s="280"/>
      <c r="BL467" s="222"/>
    </row>
    <row r="468" spans="63:64" ht="18.75" customHeight="1" x14ac:dyDescent="0.25">
      <c r="BK468" s="280"/>
      <c r="BL468" s="222"/>
    </row>
    <row r="469" spans="63:64" ht="18.75" customHeight="1" x14ac:dyDescent="0.25">
      <c r="BK469" s="280"/>
      <c r="BL469" s="222"/>
    </row>
    <row r="470" spans="63:64" ht="18.75" customHeight="1" x14ac:dyDescent="0.25">
      <c r="BK470" s="280"/>
      <c r="BL470" s="222"/>
    </row>
    <row r="471" spans="63:64" ht="18.75" customHeight="1" x14ac:dyDescent="0.25">
      <c r="BK471" s="280"/>
      <c r="BL471" s="222"/>
    </row>
    <row r="472" spans="63:64" ht="18.75" customHeight="1" x14ac:dyDescent="0.25">
      <c r="BK472" s="280"/>
      <c r="BL472" s="222"/>
    </row>
    <row r="473" spans="63:64" ht="18.75" customHeight="1" x14ac:dyDescent="0.25">
      <c r="BK473" s="280"/>
      <c r="BL473" s="222"/>
    </row>
    <row r="474" spans="63:64" ht="18.75" customHeight="1" x14ac:dyDescent="0.25">
      <c r="BK474" s="280"/>
      <c r="BL474" s="222"/>
    </row>
    <row r="475" spans="63:64" ht="18.75" customHeight="1" x14ac:dyDescent="0.25">
      <c r="BK475" s="280"/>
      <c r="BL475" s="222"/>
    </row>
    <row r="476" spans="63:64" ht="18.75" customHeight="1" x14ac:dyDescent="0.25">
      <c r="BK476" s="280"/>
      <c r="BL476" s="222"/>
    </row>
    <row r="477" spans="63:64" ht="18.75" customHeight="1" x14ac:dyDescent="0.25">
      <c r="BK477" s="280"/>
      <c r="BL477" s="222"/>
    </row>
    <row r="478" spans="63:64" ht="18.75" customHeight="1" x14ac:dyDescent="0.25">
      <c r="BK478" s="280"/>
      <c r="BL478" s="222"/>
    </row>
    <row r="479" spans="63:64" ht="18.75" customHeight="1" x14ac:dyDescent="0.25">
      <c r="BK479" s="280"/>
      <c r="BL479" s="222"/>
    </row>
    <row r="480" spans="63:64" ht="18.75" customHeight="1" x14ac:dyDescent="0.25">
      <c r="BK480" s="280"/>
      <c r="BL480" s="222"/>
    </row>
    <row r="481" spans="63:64" ht="18.75" customHeight="1" x14ac:dyDescent="0.25">
      <c r="BK481" s="280"/>
      <c r="BL481" s="222"/>
    </row>
    <row r="482" spans="63:64" ht="18.75" customHeight="1" x14ac:dyDescent="0.25">
      <c r="BK482" s="280"/>
      <c r="BL482" s="222"/>
    </row>
    <row r="483" spans="63:64" ht="18.75" customHeight="1" x14ac:dyDescent="0.25">
      <c r="BK483" s="280"/>
      <c r="BL483" s="222"/>
    </row>
    <row r="484" spans="63:64" ht="18.75" customHeight="1" x14ac:dyDescent="0.25">
      <c r="BK484" s="280"/>
      <c r="BL484" s="222"/>
    </row>
    <row r="485" spans="63:64" ht="18.75" customHeight="1" x14ac:dyDescent="0.25">
      <c r="BK485" s="280"/>
      <c r="BL485" s="222"/>
    </row>
    <row r="486" spans="63:64" ht="18.75" customHeight="1" x14ac:dyDescent="0.25">
      <c r="BK486" s="280"/>
      <c r="BL486" s="222"/>
    </row>
    <row r="487" spans="63:64" ht="18.75" customHeight="1" x14ac:dyDescent="0.25">
      <c r="BK487" s="280"/>
      <c r="BL487" s="222"/>
    </row>
    <row r="488" spans="63:64" ht="18.75" customHeight="1" x14ac:dyDescent="0.25">
      <c r="BK488" s="280"/>
      <c r="BL488" s="222"/>
    </row>
    <row r="489" spans="63:64" ht="18.75" customHeight="1" x14ac:dyDescent="0.25">
      <c r="BK489" s="280"/>
      <c r="BL489" s="222"/>
    </row>
    <row r="490" spans="63:64" ht="18.75" customHeight="1" x14ac:dyDescent="0.25">
      <c r="BK490" s="280"/>
      <c r="BL490" s="222"/>
    </row>
    <row r="491" spans="63:64" ht="18.75" customHeight="1" x14ac:dyDescent="0.25">
      <c r="BK491" s="280"/>
      <c r="BL491" s="222"/>
    </row>
    <row r="492" spans="63:64" ht="18.75" customHeight="1" x14ac:dyDescent="0.25">
      <c r="BK492" s="280"/>
      <c r="BL492" s="222"/>
    </row>
    <row r="493" spans="63:64" ht="18.75" customHeight="1" x14ac:dyDescent="0.25">
      <c r="BK493" s="280"/>
      <c r="BL493" s="222"/>
    </row>
    <row r="494" spans="63:64" ht="18.75" customHeight="1" x14ac:dyDescent="0.25">
      <c r="BK494" s="280"/>
      <c r="BL494" s="222"/>
    </row>
    <row r="495" spans="63:64" ht="18.75" customHeight="1" x14ac:dyDescent="0.25">
      <c r="BK495" s="280"/>
      <c r="BL495" s="222"/>
    </row>
    <row r="496" spans="63:64" ht="18.75" customHeight="1" x14ac:dyDescent="0.25">
      <c r="BK496" s="280"/>
      <c r="BL496" s="222"/>
    </row>
    <row r="497" spans="63:64" ht="18.75" customHeight="1" x14ac:dyDescent="0.25">
      <c r="BK497" s="280"/>
      <c r="BL497" s="222"/>
    </row>
    <row r="498" spans="63:64" ht="18.75" customHeight="1" x14ac:dyDescent="0.25">
      <c r="BK498" s="280"/>
      <c r="BL498" s="222"/>
    </row>
    <row r="499" spans="63:64" ht="18.75" customHeight="1" x14ac:dyDescent="0.25">
      <c r="BK499" s="280"/>
      <c r="BL499" s="222"/>
    </row>
    <row r="500" spans="63:64" ht="18.75" customHeight="1" x14ac:dyDescent="0.25">
      <c r="BK500" s="280"/>
      <c r="BL500" s="222"/>
    </row>
  </sheetData>
  <sheetProtection sheet="1" scenarios="1" sort="0" autoFilter="0"/>
  <conditionalFormatting sqref="BM2:BU2 BM28:BS28 BV28 P2 BP29:BP320 BM4:BO320 BQ4:BS320 BM3:BV27 BI2:BK320 P3:U320">
    <cfRule type="containsBlanks" dxfId="414" priority="26">
      <formula>LEN(TRIM(P2))=0</formula>
    </cfRule>
  </conditionalFormatting>
  <conditionalFormatting sqref="BV2">
    <cfRule type="containsBlanks" dxfId="413" priority="23">
      <formula>LEN(TRIM(BV2))=0</formula>
    </cfRule>
  </conditionalFormatting>
  <conditionalFormatting sqref="BI3:BI320">
    <cfRule type="cellIs" dxfId="412" priority="9" operator="equal">
      <formula>""</formula>
    </cfRule>
  </conditionalFormatting>
  <conditionalFormatting sqref="J3:L320 BW3:BX320">
    <cfRule type="cellIs" dxfId="411" priority="8" operator="equal">
      <formula>""</formula>
    </cfRule>
  </conditionalFormatting>
  <conditionalFormatting sqref="BM3:BO320 BQ3:BS320">
    <cfRule type="cellIs" dxfId="410" priority="7" operator="equal">
      <formula>0</formula>
    </cfRule>
  </conditionalFormatting>
  <conditionalFormatting sqref="C197">
    <cfRule type="iconSet" priority="1">
      <iconSet iconSet="4TrafficLights" showValue="0" reverse="1">
        <cfvo type="percent" val="0"/>
        <cfvo type="num" val="2"/>
        <cfvo type="num" val="3"/>
        <cfvo type="num" val="4"/>
      </iconSet>
    </cfRule>
  </conditionalFormatting>
  <conditionalFormatting sqref="B320 B2:C27 B322:B1048576 B28">
    <cfRule type="iconSet" priority="780">
      <iconSet iconSet="4TrafficLights" showValue="0" reverse="1">
        <cfvo type="percent" val="0"/>
        <cfvo type="num" val="2"/>
        <cfvo type="num" val="3"/>
        <cfvo type="num" val="4"/>
      </iconSet>
    </cfRule>
  </conditionalFormatting>
  <conditionalFormatting sqref="C198:C320 C28:C196">
    <cfRule type="iconSet" priority="11021">
      <iconSet iconSet="4TrafficLights" showValue="0" reverse="1">
        <cfvo type="percent" val="0"/>
        <cfvo type="num" val="2"/>
        <cfvo type="num" val="3"/>
        <cfvo type="num" val="4"/>
      </iconSet>
    </cfRule>
  </conditionalFormatting>
  <conditionalFormatting sqref="B3:B320">
    <cfRule type="iconSet" priority="12607">
      <iconSet iconSet="4TrafficLights" showValue="0" reverse="1">
        <cfvo type="percent" val="0"/>
        <cfvo type="num" val="2"/>
        <cfvo type="num" val="3"/>
        <cfvo type="num" val="4"/>
      </iconSet>
    </cfRule>
  </conditionalFormatting>
  <dataValidations xWindow="222" yWindow="339" count="4">
    <dataValidation allowBlank="1" showInputMessage="1" showErrorMessage="1" promptTitle="Contrôle" prompt="Les informations ci-dessous sont intégrées au publipostage de la convention. _x000a_En cas de problème, la cellule est affichée en rose. Vous devez alors consulter la feuille 1, 2, 3 ou 4 pour ajouter l'information manquante. _x000a_" sqref="BP320 G29:G320 H29:L319 F29:F319 BG30:BG319 BH29:BP319 Z29:BF319 W29:W319 O29:U319 F2:BP28 BW2:BW28 BX2:BX27 BQ2:BU27" xr:uid="{00000000-0002-0000-0500-000003000000}"/>
    <dataValidation allowBlank="1" showErrorMessage="1" promptTitle="Contrôle" prompt="_x000a_" sqref="BG29" xr:uid="{8A4E62E8-FE68-439E-A49D-7C2ACDC51404}"/>
    <dataValidation type="list" allowBlank="1" showInputMessage="1" showErrorMessage="1" prompt="Etat de gestion des convention : à Editer (filtre pour le publipostage), éditée, Signée)_x000a__x000a_SEULES LES CONVENTIONS EN VERT PEUVENT ÊTRE EDITEES !_x000a_ " sqref="C29:C320" xr:uid="{EE763B5D-F692-4DC6-AEDC-26B5BB39E252}">
      <formula1>EtatMailing3</formula1>
    </dataValidation>
    <dataValidation allowBlank="1" showInputMessage="1" showErrorMessage="1" promptTitle="Contrôle" prompt="1- L'édition des conventions doivent être fait au plus tard 15 jours avant la date de démarrage effectif du télétravail_x000a__x000a_2- La campagne peut se cloturer lorsque toutes les conventions ont été reçues signées. _x000a_" sqref="C2:D28" xr:uid="{00000000-0002-0000-0500-000002000000}"/>
  </dataValidations>
  <hyperlinks>
    <hyperlink ref="BV51" r:id="rId1" xr:uid="{6B09FBEC-2B45-4F03-B793-EFE877AC7FBB}"/>
    <hyperlink ref="BV230" r:id="rId2" xr:uid="{F7972B0F-B83B-4E39-8F85-3EB5FA57D07A}"/>
    <hyperlink ref="BV68" r:id="rId3" xr:uid="{8DA58B7D-1C8D-4F54-98FE-04F7A5E62625}"/>
    <hyperlink ref="BV23" r:id="rId4" xr:uid="{6F0897D9-0301-499B-AA2D-2358468EBD85}"/>
    <hyperlink ref="BV239" r:id="rId5" xr:uid="{721056D8-F608-4A6E-A4BA-A9EC3FAAF560}"/>
    <hyperlink ref="BV271" r:id="rId6" xr:uid="{841F1EE6-0D7D-4667-BB55-4A69F3EE98E7}"/>
    <hyperlink ref="BV78" r:id="rId7" xr:uid="{7552E438-4DAA-4D74-8C06-7CC5F4E7B465}"/>
    <hyperlink ref="BV315" r:id="rId8" xr:uid="{8E82426C-F1A9-466B-BDB9-CC4859265E20}"/>
    <hyperlink ref="BV240" r:id="rId9" xr:uid="{01DD6B2E-CE68-46C3-B622-DF3029178ED6}"/>
    <hyperlink ref="BV74" r:id="rId10" xr:uid="{62821C12-5C93-4585-82E6-ABBE481DD57C}"/>
    <hyperlink ref="BV70" r:id="rId11" xr:uid="{17F26E94-BE62-4D91-A9AB-5E118DC7A524}"/>
    <hyperlink ref="BV260" r:id="rId12" xr:uid="{FBCC83BE-6C01-4B02-B678-0D7E5F40E11F}"/>
    <hyperlink ref="BV167" r:id="rId13" xr:uid="{2EA52DBD-C65C-4153-8388-FCD0238B2037}"/>
    <hyperlink ref="BV27" r:id="rId14" xr:uid="{6754933E-9229-4A0D-A9F7-08C56B12C1F5}"/>
    <hyperlink ref="BV108" r:id="rId15" xr:uid="{F22EC274-42E8-465A-A068-3180E7B71CC0}"/>
    <hyperlink ref="BV161" r:id="rId16" xr:uid="{82588699-7A6D-411A-8F14-3C476EDBC632}"/>
    <hyperlink ref="BV283" r:id="rId17" xr:uid="{24E7AEBD-1CB6-46D6-8091-E04391C85A3F}"/>
    <hyperlink ref="BV9" r:id="rId18" xr:uid="{CEB639E6-7885-4449-85A4-63C81B9895AA}"/>
    <hyperlink ref="BV310" r:id="rId19" xr:uid="{FC515887-3F43-40B5-A35F-797363CC42A1}"/>
    <hyperlink ref="BV123" r:id="rId20" xr:uid="{558A5507-6F19-430E-A109-F8346D58852C}"/>
    <hyperlink ref="BV208" r:id="rId21" xr:uid="{D59E64A2-E549-4812-9BA5-A01C981A4BBC}"/>
    <hyperlink ref="BV129" r:id="rId22" xr:uid="{01AC6212-77BF-4AD3-BB45-AE5443BCF4C0}"/>
    <hyperlink ref="BV102" r:id="rId23" xr:uid="{FC07D901-3BF1-42B4-857B-3F44C4B9FC82}"/>
    <hyperlink ref="BV274" r:id="rId24" xr:uid="{57538615-0B17-482A-89D9-19BEC062FFEB}"/>
    <hyperlink ref="BV115" r:id="rId25" xr:uid="{FCA82C69-76C8-4148-9882-46F7D51FDF0D}"/>
    <hyperlink ref="BV210" r:id="rId26" xr:uid="{FBEFFDEB-4317-4AA5-B8AA-3657688127EF}"/>
    <hyperlink ref="BV304" r:id="rId27" xr:uid="{12F06375-082A-4819-A6B1-22C092E7E2E3}"/>
    <hyperlink ref="BV58" r:id="rId28" xr:uid="{21B43848-F213-4F87-89B0-741E6EE8FBAC}"/>
    <hyperlink ref="BV103" r:id="rId29" xr:uid="{C2DA32B5-B6B1-45B9-B1DD-112EAD3B08D3}"/>
    <hyperlink ref="BV152" r:id="rId30" xr:uid="{3FAD382D-8400-4F04-82E9-15E737E9DF0A}"/>
    <hyperlink ref="BV297" r:id="rId31" xr:uid="{321B601D-F56E-43CF-87C7-0478BA79537C}"/>
    <hyperlink ref="BV93" r:id="rId32" xr:uid="{992DEC60-99F8-4D67-B8BC-CB110FF331C3}"/>
    <hyperlink ref="BV217" r:id="rId33" xr:uid="{9AFF2991-3D0B-4DAB-A50D-41144DED5122}"/>
    <hyperlink ref="BV16" r:id="rId34" xr:uid="{28AD57A3-26A5-436C-AB67-94BC1F169076}"/>
    <hyperlink ref="BV149" r:id="rId35" xr:uid="{B1040925-471A-464D-AEE3-7C748B51597C}"/>
    <hyperlink ref="BV224" r:id="rId36" xr:uid="{9D5969EE-C71E-4F66-B80A-A7BBBB1F3C55}"/>
    <hyperlink ref="BV258" r:id="rId37" xr:uid="{05ACF944-0634-4E36-8CC5-1402701A43A0}"/>
    <hyperlink ref="BV265" r:id="rId38" xr:uid="{C61C0B5A-F8F8-4E79-A794-DC7A81E44A74}"/>
    <hyperlink ref="BV269" r:id="rId39" xr:uid="{EF0FE79E-6153-4611-9F9A-D5ABAF12CAE5}"/>
    <hyperlink ref="BV170" r:id="rId40" xr:uid="{C7DAE843-6E68-4358-ABEB-7A115546DEAB}"/>
    <hyperlink ref="BV62" r:id="rId41" xr:uid="{8CE4A274-6FA5-4B5E-9AA8-594F1BED64EF}"/>
    <hyperlink ref="BV248" r:id="rId42" xr:uid="{CE1AC4EA-BA28-4435-B7DE-6E5313504638}"/>
    <hyperlink ref="BV186" r:id="rId43" xr:uid="{55234548-5A2C-40FC-B53E-797F35D5E4DE}"/>
    <hyperlink ref="BV114" r:id="rId44" xr:uid="{210C03C8-6D6A-4649-942D-1C1A2E075BED}"/>
    <hyperlink ref="BV46" r:id="rId45" xr:uid="{0E2D9C04-4C5F-4FD9-9E6E-C5747B2915C8}"/>
    <hyperlink ref="BV189" r:id="rId46" xr:uid="{5A9B23B8-59D2-4E46-BBBB-9A7683DEE679}"/>
    <hyperlink ref="BV156" r:id="rId47" xr:uid="{46FAD556-1225-4911-A190-29D448B8B2DE}"/>
    <hyperlink ref="BV99" r:id="rId48" xr:uid="{B901FEB6-51B1-493A-A558-6463CB5D5CD0}"/>
    <hyperlink ref="BV146" r:id="rId49" xr:uid="{84C0E824-5098-458E-A530-927738BA05AD}"/>
    <hyperlink ref="BV91" r:id="rId50" xr:uid="{0841E47F-4E8B-4378-A972-49EAA503B3DA}"/>
    <hyperlink ref="BV267" r:id="rId51" xr:uid="{C348FCB5-4E11-4D6C-AAC4-5B6C22522406}"/>
    <hyperlink ref="BV77" r:id="rId52" xr:uid="{EB796F28-7B5D-409D-A802-20A33419E68A}"/>
    <hyperlink ref="BV223" r:id="rId53" xr:uid="{5C0F9BA0-E765-4340-90A6-7001AFCD7FE8}"/>
    <hyperlink ref="BV33" r:id="rId54" xr:uid="{AF47146C-6519-4740-A1F6-C1ECA6BA83ED}"/>
    <hyperlink ref="BV218" r:id="rId55" xr:uid="{2B2B766F-2AF2-4ED7-B5D2-036D4F708F2B}"/>
    <hyperlink ref="BV221" r:id="rId56" xr:uid="{8F9D5626-B744-4DEA-B9A5-CC3D1767F0BF}"/>
    <hyperlink ref="BV110" r:id="rId57" xr:uid="{FA6CB502-1216-48D8-9820-D89E1D8043DB}"/>
    <hyperlink ref="BV60" r:id="rId58" xr:uid="{7785D105-EF5B-406E-AD2A-E25CAE499143}"/>
    <hyperlink ref="BV144" r:id="rId59" xr:uid="{A46C77EC-4691-421D-8FAC-4600DA3AF872}"/>
    <hyperlink ref="BV212" r:id="rId60" xr:uid="{21E5F7F2-36C9-4FDC-97E0-E0075D3732C5}"/>
    <hyperlink ref="BV252" r:id="rId61" xr:uid="{AB7FBA4A-5E5B-41F6-8310-31B94D4E0350}"/>
    <hyperlink ref="BV211" r:id="rId62" xr:uid="{17D51A1F-FD4E-4320-8586-6DF9DE3CFC52}"/>
    <hyperlink ref="BV101" r:id="rId63" xr:uid="{AAB8B8F0-8247-4972-8B01-8914B6E2DBBB}"/>
    <hyperlink ref="BV291" r:id="rId64" xr:uid="{8D3E7D7A-46AE-4F35-B911-8A41035CE184}"/>
    <hyperlink ref="BV43" r:id="rId65" xr:uid="{14706E86-3B3F-4B27-8FB0-4AF15793405A}"/>
    <hyperlink ref="BV38" r:id="rId66" xr:uid="{7C7125C9-4638-436D-B2F7-50A5BFB54587}"/>
    <hyperlink ref="BV163" r:id="rId67" xr:uid="{4849C7FA-86BC-44B7-896D-EACD27AF57E9}"/>
    <hyperlink ref="BV137" r:id="rId68" xr:uid="{E657C8D9-3129-4B9F-A2B4-E5250F7D9271}"/>
    <hyperlink ref="BV19" r:id="rId69" xr:uid="{9A5A1A45-56FB-496E-B80F-FE34BD472761}"/>
    <hyperlink ref="BV231" r:id="rId70" xr:uid="{DCEB8E70-A361-40F4-B8E7-8D9355D17E62}"/>
    <hyperlink ref="BV256" r:id="rId71" xr:uid="{B29EEF95-137F-43F1-ADD7-C3ABD9695C7D}"/>
    <hyperlink ref="BV173" r:id="rId72" xr:uid="{854D3B85-F4F7-4378-B9E0-7305196B0493}"/>
    <hyperlink ref="BV6" r:id="rId73" xr:uid="{03230B1F-5710-4E52-ACA7-0AD443310B43}"/>
    <hyperlink ref="BV14" r:id="rId74" xr:uid="{73CE6C52-EC86-415A-87E9-3078ACEBFBBD}"/>
    <hyperlink ref="BV313" r:id="rId75" xr:uid="{D4FC8E14-C925-490D-9239-EFF81915241D}"/>
    <hyperlink ref="BV178" r:id="rId76" xr:uid="{3247980F-0322-40F4-BCDD-07E91B15BA95}"/>
    <hyperlink ref="BV159" r:id="rId77" xr:uid="{E04608FE-0736-411E-99B5-681AAA377C57}"/>
    <hyperlink ref="BV15" r:id="rId78" xr:uid="{08B17B82-F944-4A98-AA0C-59108A67B8FE}"/>
    <hyperlink ref="BV261" r:id="rId79" xr:uid="{676C126C-97B7-4E85-823D-0C8915AFDFA0}"/>
    <hyperlink ref="BV184" r:id="rId80" xr:uid="{756294CB-7199-465C-98B5-3E088FC96C38}"/>
    <hyperlink ref="BV238" r:id="rId81" xr:uid="{458ABAA7-F54E-4BFA-9CB4-8B785296DD8F}"/>
    <hyperlink ref="BV294" r:id="rId82" xr:uid="{39D46959-D1C1-45A4-BE9E-FC0EE9E26DDD}"/>
    <hyperlink ref="BV275" r:id="rId83" xr:uid="{FA99425B-A7F2-422D-AACC-66D2A1A610C9}"/>
    <hyperlink ref="BV202" r:id="rId84" xr:uid="{08B14977-E8F5-4015-89A2-1E4D0F50DD75}"/>
    <hyperlink ref="BV116" r:id="rId85" xr:uid="{A27A6C4E-21AB-4713-B075-8AC40FF21C4C}"/>
    <hyperlink ref="BV79" r:id="rId86" xr:uid="{BFC0972E-091D-4545-ADF3-2D9187BA3D47}"/>
    <hyperlink ref="BV207" r:id="rId87" xr:uid="{78FC8ED0-33AF-474D-9933-88640F1A7861}"/>
    <hyperlink ref="BV266" r:id="rId88" xr:uid="{CD6F4701-AC19-4E7E-8CA8-6A931B0014F4}"/>
    <hyperlink ref="BV29" r:id="rId89" xr:uid="{C49AC61C-EB6B-4AEA-B4A7-B5567485D236}"/>
    <hyperlink ref="BV141" r:id="rId90" xr:uid="{B635E684-8171-497B-9811-BC55772575FE}"/>
    <hyperlink ref="BV234" r:id="rId91" xr:uid="{7DF05FEE-A7D0-4580-9221-92F293C5FAC7}"/>
    <hyperlink ref="BV284" r:id="rId92" xr:uid="{0DE09EE7-1B3C-4D91-9AC5-C4B7A0E61123}"/>
    <hyperlink ref="BV193" r:id="rId93" xr:uid="{0EBAAB23-B94B-43A5-8EDC-9AA2F9DCBC8A}"/>
    <hyperlink ref="BV50" r:id="rId94" xr:uid="{3D9217B2-87A9-483C-8CA6-9BA48F39B2CA}"/>
    <hyperlink ref="BV143" r:id="rId95" xr:uid="{2E3D1D9B-7D2E-4BAE-BD2B-3FCB04416A1A}"/>
    <hyperlink ref="BV165" r:id="rId96" xr:uid="{E4773F7D-9350-4128-8A55-272EAC2AAF33}"/>
    <hyperlink ref="BV276" r:id="rId97" xr:uid="{759B18B7-4900-49F8-9094-F3A454A69A33}"/>
    <hyperlink ref="BV75" r:id="rId98" xr:uid="{24B923A5-69E8-41D4-8C2E-AF82ADAB226D}"/>
    <hyperlink ref="BV249" r:id="rId99" xr:uid="{F2C470FF-D874-41BF-B042-926858004F63}"/>
    <hyperlink ref="BV44" r:id="rId100" xr:uid="{9255DC87-16C6-4B62-A9BF-46A8C57FCD88}"/>
    <hyperlink ref="BV96" r:id="rId101" xr:uid="{0A50B742-AAF7-4966-8ADB-5CCE94F0BD89}"/>
    <hyperlink ref="BV7" r:id="rId102" xr:uid="{01B35F04-8A7D-43BE-AAAE-55CD25FCE722}"/>
    <hyperlink ref="BV119" r:id="rId103" xr:uid="{BA0B97C4-1A8D-4D47-B863-6A4065E79E40}"/>
    <hyperlink ref="BV71" r:id="rId104" xr:uid="{CAAB236F-414F-42F9-9692-00A56DDA8D60}"/>
    <hyperlink ref="BV72" r:id="rId105" xr:uid="{FF7EA422-5D15-4162-9D2E-9A1B14FB042C}"/>
    <hyperlink ref="BV299" r:id="rId106" xr:uid="{DD8EAA7E-F027-46F3-97A5-161E1AAC8EF3}"/>
    <hyperlink ref="BV279" r:id="rId107" xr:uid="{F86D7EFE-DD5C-4C63-BFB7-02F35622B2BC}"/>
    <hyperlink ref="BV100" r:id="rId108" xr:uid="{DB3F1FED-4C49-42F5-A000-AA450CE6957E}"/>
    <hyperlink ref="BV128" r:id="rId109" xr:uid="{54365479-E9A5-487F-99BD-EEA5FE890105}"/>
    <hyperlink ref="BV89" r:id="rId110" xr:uid="{4E58D889-B349-438A-9311-4032BB09E6D1}"/>
    <hyperlink ref="BV73" r:id="rId111" xr:uid="{C437A0B8-A96B-4651-A12E-548C58361A21}"/>
    <hyperlink ref="BV237" r:id="rId112" xr:uid="{5574F046-D300-4F20-9855-9E796D430AA5}"/>
    <hyperlink ref="BV245" r:id="rId113" xr:uid="{B1F474BB-A370-41D2-9291-7522AB7D66B8}"/>
    <hyperlink ref="BV204" r:id="rId114" xr:uid="{4C22E90E-9AEF-41FA-B8AC-B5EA1718D77F}"/>
    <hyperlink ref="BV288" r:id="rId115" xr:uid="{073D0A7C-8C90-44B6-A55D-93DF33D18996}"/>
    <hyperlink ref="BV247" r:id="rId116" xr:uid="{15020907-8DBC-4121-9E86-75F11986BBB1}"/>
    <hyperlink ref="BV316" r:id="rId117" xr:uid="{1A9A65D6-302E-4FFE-A761-AB14AAADC4AE}"/>
    <hyperlink ref="BV191" r:id="rId118" xr:uid="{780A90C4-FBA5-482B-9E46-575BEA5BF115}"/>
    <hyperlink ref="BV21" r:id="rId119" xr:uid="{F283F742-0354-465E-A1BF-025EF97D2ECC}"/>
    <hyperlink ref="BV105" r:id="rId120" xr:uid="{C1C9BA00-40CD-4F8B-8EA9-2900A04B734B}"/>
    <hyperlink ref="BV194" r:id="rId121" xr:uid="{CF846ADE-A4B9-4011-AB70-A82A83673731}"/>
    <hyperlink ref="BV302" r:id="rId122" xr:uid="{CCBD055E-9451-4F8F-96E8-ADF5609D36F6}"/>
    <hyperlink ref="BV195" r:id="rId123" xr:uid="{59B7DEF5-8E5C-442C-8AC3-0A19E63A6AA8}"/>
    <hyperlink ref="BV177" r:id="rId124" xr:uid="{439ACF8F-A44A-4637-83D8-7D5E5740C7C5}"/>
    <hyperlink ref="BV145" r:id="rId125" xr:uid="{FBA0609B-3E02-4D8E-8AC7-E5F12F38E0D2}"/>
    <hyperlink ref="BV8" r:id="rId126" xr:uid="{48A58F79-1768-4220-8779-464FFCF386AC}"/>
    <hyperlink ref="BV229" r:id="rId127" xr:uid="{E315C660-814F-46E6-AAFA-FBBF5083BCE8}"/>
    <hyperlink ref="BV166" r:id="rId128" xr:uid="{520382C8-1358-490C-A38B-D91E67D0A824}"/>
    <hyperlink ref="BV188" r:id="rId129" xr:uid="{9CEC9790-6B6C-4B71-80DC-9FA3B70BA095}"/>
    <hyperlink ref="BV30" r:id="rId130" xr:uid="{0151883D-DCAC-410C-8625-A98D06B89907}"/>
    <hyperlink ref="BV181" r:id="rId131" xr:uid="{E9B3FCE3-6EB9-4CF1-B807-B3283D2FADB6}"/>
    <hyperlink ref="BV25" r:id="rId132" xr:uid="{1D36C70A-8CAE-40DF-B4E9-2232FDABE998}"/>
    <hyperlink ref="BV307" r:id="rId133" xr:uid="{03401289-44DF-4E9A-B83F-FD02014637B0}"/>
    <hyperlink ref="BV154" r:id="rId134" xr:uid="{AC5B36F6-B292-4646-B294-9B9655AD96AE}"/>
    <hyperlink ref="BV32" r:id="rId135" xr:uid="{DBA43FBF-D0D3-4217-9CC8-2D3C3DAFA811}"/>
    <hyperlink ref="BV305" r:id="rId136" xr:uid="{6255DDDF-5D87-45B2-BC00-EE0A3FAAA1A8}"/>
    <hyperlink ref="BV148" r:id="rId137" xr:uid="{35E2E1D6-8F09-4E2D-BA98-22552D2EABA0}"/>
    <hyperlink ref="BV278" r:id="rId138" xr:uid="{5F9AA1CA-9EEF-4C5C-9C52-FB0FDD4FDF2F}"/>
    <hyperlink ref="BV39" r:id="rId139" xr:uid="{BBD113B4-6C06-4678-A289-4AD92B4AC4F4}"/>
    <hyperlink ref="BV82" r:id="rId140" xr:uid="{6FE5B6D5-8FC7-4997-8F07-A7D410584D9F}"/>
    <hyperlink ref="BV151" r:id="rId141" xr:uid="{2C602569-148B-4EA9-8323-9CDB64906D05}"/>
    <hyperlink ref="BV255" r:id="rId142" xr:uid="{84FADBBD-29B7-4FE3-A0E3-7BA4A71A9383}"/>
    <hyperlink ref="BV172" r:id="rId143" xr:uid="{DB250DAA-6E3F-431A-97D5-3E7B3EFCBAA2}"/>
    <hyperlink ref="BV150" r:id="rId144" xr:uid="{4A9593A7-3B48-40A5-A1B4-06E806852963}"/>
    <hyperlink ref="BV293" r:id="rId145" xr:uid="{FFE6327F-AB54-4B8C-B36A-F16E100BF898}"/>
    <hyperlink ref="BV52" r:id="rId146" xr:uid="{91F4A2BE-CDDF-4C6E-BBD8-250A6B9E5695}"/>
    <hyperlink ref="BV317" r:id="rId147" xr:uid="{A78E5B3E-7DF0-45FC-8B8C-919723ACC76D}"/>
    <hyperlink ref="BV250" r:id="rId148" xr:uid="{45E526C7-35D1-469C-9051-F14F6EB01DA2}"/>
    <hyperlink ref="BV241" r:id="rId149" xr:uid="{0C639306-8FDA-4024-A11B-F0DD69212076}"/>
    <hyperlink ref="BV169" r:id="rId150" xr:uid="{2843E570-A2A9-460C-900D-76C74D62CC05}"/>
    <hyperlink ref="BV162" r:id="rId151" xr:uid="{F47C5A4B-C460-41F3-9FF3-A64EDCC5909E}"/>
    <hyperlink ref="BV198" r:id="rId152" xr:uid="{EA5CC45C-2795-4EB3-9A27-BE244AD229D2}"/>
    <hyperlink ref="BV97" r:id="rId153" xr:uid="{FC41E5F1-25B5-4DA5-8DEA-327281F7232C}"/>
    <hyperlink ref="BV164" r:id="rId154" xr:uid="{583EE652-2F56-473E-B382-43E302C1A34C}"/>
    <hyperlink ref="BV127" r:id="rId155" xr:uid="{CF61F705-4B9B-4EEE-A5A4-328EB2292917}"/>
    <hyperlink ref="BV126" r:id="rId156" xr:uid="{110DF9C6-6BCB-4E76-8375-80D8E4E129EB}"/>
    <hyperlink ref="BV243" r:id="rId157" xr:uid="{34FF1B8B-D9F7-4142-A83E-8234C2BAA302}"/>
    <hyperlink ref="BV92" r:id="rId158" xr:uid="{AED226E1-8D25-4E4A-8B66-050FEC100A3D}"/>
    <hyperlink ref="BV242" r:id="rId159" xr:uid="{F5896277-D0DD-4489-853C-D7EDFB804287}"/>
    <hyperlink ref="BV251" r:id="rId160" xr:uid="{B9EF4220-C664-492E-9822-EE01290BEA4C}"/>
    <hyperlink ref="BV303" r:id="rId161" xr:uid="{1D37B81F-56F1-4BAC-A3D6-E076D417D7AA}"/>
    <hyperlink ref="BV61" r:id="rId162" xr:uid="{AB2879AF-DB23-4EA2-83D3-72E08225EDE7}"/>
    <hyperlink ref="BV308" r:id="rId163" xr:uid="{A85B03F7-0501-432F-A5DF-75B1305416E8}"/>
    <hyperlink ref="BV45" r:id="rId164" xr:uid="{A5FCD488-E88A-4C80-A2FE-94B1E255B6E2}"/>
    <hyperlink ref="BV49" r:id="rId165" xr:uid="{ABA9C069-9935-4EF0-9DEC-613E55F30F4C}"/>
    <hyperlink ref="BV81" r:id="rId166" xr:uid="{38531164-2869-4BEE-8AB6-371E383DB51E}"/>
    <hyperlink ref="BV84" r:id="rId167" xr:uid="{FF3B6B4D-FB26-4A2A-AA0E-BB4AEA2125C7}"/>
    <hyperlink ref="BV85" r:id="rId168" xr:uid="{945EE937-C5ED-41B0-AE48-A9A360C38AE9}"/>
    <hyperlink ref="BV104" r:id="rId169" xr:uid="{8B6231E1-362C-4530-A62F-77FB3817CA7D}"/>
    <hyperlink ref="BV131" r:id="rId170" xr:uid="{7D05DAED-1B09-40AA-9979-65E42F5C744D}"/>
    <hyperlink ref="BV133" r:id="rId171" xr:uid="{5CA67A10-E0E2-4D62-AC7C-A419BB0DBBD9}"/>
    <hyperlink ref="BV147" r:id="rId172" xr:uid="{A9B295F1-4101-4F44-8001-826B738A7DEC}"/>
    <hyperlink ref="BV157" r:id="rId173" xr:uid="{6864DEE9-42A1-4788-A3C3-A0323285205A}"/>
    <hyperlink ref="BV171" r:id="rId174" xr:uid="{95FC1C47-8707-4929-9B20-5008054F0AE3}"/>
    <hyperlink ref="BV175" r:id="rId175" xr:uid="{99FA0BFA-B3B7-400D-852B-24DE9582ACBB}"/>
    <hyperlink ref="BV179" r:id="rId176" xr:uid="{FC62C148-3A35-4EA7-9E97-A44A33A8764C}"/>
    <hyperlink ref="BV180" r:id="rId177" xr:uid="{9F91A43C-1BC2-488B-8B7B-E8D876DC17A7}"/>
    <hyperlink ref="BV190" r:id="rId178" xr:uid="{F3561145-ADCF-46B3-9397-3AB74F7283E7}"/>
    <hyperlink ref="BV196" r:id="rId179" xr:uid="{97BCB455-EC68-4BCE-8530-0B8175ED8477}"/>
    <hyperlink ref="BV203" r:id="rId180" xr:uid="{4A5D0C8C-5EA0-4D77-B83F-5BE0DC24EDA1}"/>
    <hyperlink ref="BV216" r:id="rId181" xr:uid="{2264277F-C491-4B55-AD26-22508D4D3825}"/>
    <hyperlink ref="BV220" r:id="rId182" xr:uid="{94BB49D5-C558-4FB2-9292-A05DA85347B9}"/>
    <hyperlink ref="BV235" r:id="rId183" xr:uid="{32D4AF9C-DBE8-4A22-A69A-E68ECD9F67E5}"/>
    <hyperlink ref="BV270" r:id="rId184" xr:uid="{D91C091F-6E51-44A7-8F6E-AE5725E7DA05}"/>
    <hyperlink ref="BV318" r:id="rId185" xr:uid="{EA0CC6A0-F083-43EE-B322-BC426E923B99}"/>
    <hyperlink ref="BV42" r:id="rId186" xr:uid="{A62596C0-BD19-41C7-B80E-7623236FF5B0}"/>
    <hyperlink ref="BV111" r:id="rId187" xr:uid="{420B98AC-1A7C-4158-8A34-438D4E1B7A3B}"/>
    <hyperlink ref="BV112" r:id="rId188" xr:uid="{359F3716-0C69-4CDB-84EE-5F7400C7F5DB}"/>
    <hyperlink ref="BV209" r:id="rId189" xr:uid="{7703BCB8-6EA1-4E53-B33A-6FBF7DF38685}"/>
    <hyperlink ref="BV226" r:id="rId190" xr:uid="{E9346DC6-2204-4068-9C42-882A8E110517}"/>
    <hyperlink ref="BV236" r:id="rId191" xr:uid="{BE4194E4-78FB-4A52-964C-E52374137399}"/>
    <hyperlink ref="BV35" r:id="rId192" xr:uid="{9B65E0EB-1BF6-4CDF-BCBB-D9902C9872D9}"/>
    <hyperlink ref="BV41" r:id="rId193" xr:uid="{F4E52207-8226-442B-84E2-A43BEC5F9D62}"/>
    <hyperlink ref="BV65" r:id="rId194" xr:uid="{AF1961A4-B1B3-414D-AB88-1952CB46F7FE}"/>
    <hyperlink ref="BV88" r:id="rId195" xr:uid="{FD1885B1-74F6-4D09-B6F3-49A997D92326}"/>
    <hyperlink ref="BV95" r:id="rId196" xr:uid="{B4FF8B75-C219-4051-A0F2-5CFADAA3726A}"/>
    <hyperlink ref="BV107" r:id="rId197" xr:uid="{53DCE575-4ABD-439B-A8D5-66D1A9E8C804}"/>
    <hyperlink ref="BV130" r:id="rId198" xr:uid="{5D9C87C7-6FBC-4779-948F-DF3A23881C9F}"/>
    <hyperlink ref="BV138" r:id="rId199" xr:uid="{29F24563-2EB7-44CF-ADFD-3D1226D3174B}"/>
    <hyperlink ref="BV158" r:id="rId200" xr:uid="{9E99B107-7331-4E41-A784-37D1CF9F9BCD}"/>
    <hyperlink ref="BV233" r:id="rId201" xr:uid="{D9BF7739-A116-4049-85FA-3EA7D78BB3B3}"/>
    <hyperlink ref="BV262" r:id="rId202" xr:uid="{3502B84F-B113-46E4-9B4A-70E048EAA993}"/>
    <hyperlink ref="BV290" r:id="rId203" xr:uid="{28028C63-9634-4714-80A1-771AAB12F60A}"/>
    <hyperlink ref="BV67" r:id="rId204" xr:uid="{F207CD1E-F2AD-4B8E-A509-5EC0F41C2138}"/>
    <hyperlink ref="BV182" r:id="rId205" xr:uid="{7EC4E105-D528-430C-B220-C915E8AC2033}"/>
    <hyperlink ref="BV272" r:id="rId206" xr:uid="{1249A297-35D5-4746-96B5-20D9656AB49E}"/>
    <hyperlink ref="BV192" r:id="rId207" xr:uid="{B5338327-30D4-4020-80A6-7DBC1D34FDF7}"/>
    <hyperlink ref="BV285" r:id="rId208" xr:uid="{EA519435-8FB0-4298-9281-8C758EE99747}"/>
    <hyperlink ref="BV286" r:id="rId209" xr:uid="{4EA9C5FA-E0B7-428A-8F8B-8E1C9DF73A18}"/>
    <hyperlink ref="BV10" r:id="rId210" xr:uid="{081C90A4-79D4-48EC-9132-3758BE428167}"/>
    <hyperlink ref="BV201" r:id="rId211" xr:uid="{7F9598BC-9ABD-43D5-AB5C-8087CD8EC7E4}"/>
    <hyperlink ref="BV153" r:id="rId212" xr:uid="{8AF44B99-2F04-4264-B955-ED65D37D5C06}"/>
    <hyperlink ref="BV125" r:id="rId213" xr:uid="{D2A11444-52B5-4E90-887D-9B69469212F2}"/>
    <hyperlink ref="BV132" r:id="rId214" xr:uid="{CE7F850A-04E9-4576-8020-407026ECB958}"/>
    <hyperlink ref="BV183" r:id="rId215" xr:uid="{A77A3817-52BF-4056-8680-95E84F9A7B43}"/>
    <hyperlink ref="BV287" r:id="rId216" xr:uid="{41F10012-8349-40E5-9716-54357B64BAC4}"/>
    <hyperlink ref="BV48" r:id="rId217" xr:uid="{6A4E2ABB-1799-4F24-A56E-466B0EBECD83}"/>
    <hyperlink ref="BV197" r:id="rId218" xr:uid="{86D52DE9-8BBB-420A-9023-ED4E020572E1}"/>
  </hyperlinks>
  <pageMargins left="0.2" right="0.2" top="0.75" bottom="0.75" header="0.3" footer="0.3"/>
  <pageSetup paperSize="9" orientation="landscape" horizontalDpi="4294967293" verticalDpi="1200" r:id="rId219"/>
  <drawing r:id="rId220"/>
  <legacyDrawing r:id="rId221"/>
  <tableParts count="1">
    <tablePart r:id="rId22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E745-3BEC-4655-AFDC-A12520221015}">
  <sheetPr codeName="Feuil14">
    <tabColor rgb="FFFF33CC"/>
  </sheetPr>
  <dimension ref="A1:CK540"/>
  <sheetViews>
    <sheetView showZeros="0" topLeftCell="A2" zoomScale="115" zoomScaleNormal="115" workbookViewId="0">
      <pane xSplit="8" ySplit="3" topLeftCell="CE323" activePane="bottomRight" state="frozen"/>
      <selection activeCell="A2" sqref="A2"/>
      <selection pane="topRight" activeCell="I2" sqref="I2"/>
      <selection pane="bottomLeft" activeCell="A5" sqref="A5"/>
      <selection pane="bottomRight" activeCell="CH328" sqref="CH328"/>
    </sheetView>
  </sheetViews>
  <sheetFormatPr baseColWidth="10" defaultColWidth="11.42578125" defaultRowHeight="29.25" customHeight="1" x14ac:dyDescent="0.25"/>
  <cols>
    <col min="1" max="1" width="8.5703125" style="1" customWidth="1"/>
    <col min="2" max="2" width="7.5703125" style="1" customWidth="1"/>
    <col min="3" max="3" width="8" style="12" customWidth="1"/>
    <col min="4" max="4" width="7.5703125" style="2" customWidth="1"/>
    <col min="5" max="5" width="13.140625" style="2" customWidth="1"/>
    <col min="6" max="6" width="6.140625" style="1" customWidth="1"/>
    <col min="7" max="7" width="21" style="1" customWidth="1"/>
    <col min="8" max="8" width="16.5703125" style="1" customWidth="1"/>
    <col min="9" max="9" width="11.28515625" style="1" customWidth="1"/>
    <col min="10" max="10" width="6.42578125" style="1" customWidth="1"/>
    <col min="11" max="11" width="8.140625" style="2" customWidth="1"/>
    <col min="12" max="12" width="8.42578125" style="1" customWidth="1"/>
    <col min="13" max="13" width="9" style="1" customWidth="1"/>
    <col min="14" max="14" width="7.85546875" style="1" customWidth="1"/>
    <col min="15" max="15" width="5.85546875" style="2" customWidth="1"/>
    <col min="16" max="16" width="15.28515625" style="1" customWidth="1"/>
    <col min="17" max="19" width="11.42578125" style="1"/>
    <col min="20" max="21" width="11.42578125" style="50"/>
    <col min="22" max="22" width="11.42578125" style="1"/>
    <col min="23" max="23" width="7.5703125" style="2" customWidth="1"/>
    <col min="24" max="24" width="8.140625" style="2" customWidth="1"/>
    <col min="25" max="25" width="7.42578125" style="2" customWidth="1"/>
    <col min="26" max="26" width="9.7109375" style="2" customWidth="1"/>
    <col min="27" max="28" width="11.85546875" style="2" customWidth="1"/>
    <col min="29" max="29" width="10.28515625" style="2" customWidth="1"/>
    <col min="30" max="30" width="11.85546875" style="2" customWidth="1"/>
    <col min="31" max="31" width="8.7109375" style="2" customWidth="1"/>
    <col min="32" max="33" width="11.85546875" style="2" customWidth="1"/>
    <col min="34" max="37" width="12.85546875" style="2" customWidth="1"/>
    <col min="38" max="38" width="11.5703125" style="2" customWidth="1"/>
    <col min="39" max="44" width="12.85546875" style="2" customWidth="1"/>
    <col min="45" max="45" width="8.140625" style="2" customWidth="1"/>
    <col min="46" max="51" width="12.85546875" style="2" customWidth="1"/>
    <col min="52" max="52" width="11.7109375" style="2" customWidth="1"/>
    <col min="53" max="58" width="12.85546875" style="2" customWidth="1"/>
    <col min="59" max="60" width="9.42578125" style="2" customWidth="1"/>
    <col min="61" max="61" width="8.5703125" style="2" customWidth="1"/>
    <col min="62" max="62" width="11.85546875" style="1" customWidth="1"/>
    <col min="63" max="63" width="11.42578125" style="1" customWidth="1"/>
    <col min="64" max="64" width="13.140625" style="1" customWidth="1"/>
    <col min="65" max="65" width="24.85546875" style="219" bestFit="1" customWidth="1"/>
    <col min="66" max="66" width="13.7109375" style="1" customWidth="1"/>
    <col min="67" max="67" width="19.85546875" style="1" customWidth="1"/>
    <col min="68" max="68" width="9" style="1" customWidth="1"/>
    <col min="69" max="69" width="10" style="219" customWidth="1"/>
    <col min="70" max="70" width="7.28515625" style="1" customWidth="1"/>
    <col min="71" max="71" width="18.28515625" style="1" customWidth="1"/>
    <col min="72" max="72" width="18.5703125" style="1" customWidth="1"/>
    <col min="73" max="73" width="22.85546875" style="1" customWidth="1"/>
    <col min="74" max="74" width="13.28515625" style="1" customWidth="1"/>
    <col min="75" max="75" width="17.5703125" style="1" customWidth="1"/>
    <col min="76" max="76" width="6.5703125" style="1" customWidth="1"/>
    <col min="77" max="77" width="14.7109375" style="1" customWidth="1"/>
    <col min="78" max="78" width="6.28515625" style="1" customWidth="1"/>
    <col min="79" max="79" width="18" style="1" customWidth="1"/>
    <col min="80" max="80" width="17.5703125" style="1" customWidth="1"/>
    <col min="81" max="81" width="13.28515625" style="219" customWidth="1"/>
    <col min="82" max="82" width="20.140625" style="1" customWidth="1"/>
    <col min="83" max="83" width="11.42578125" style="1"/>
    <col min="84" max="84" width="8.85546875" style="1" customWidth="1"/>
    <col min="85" max="85" width="13.140625" style="1" customWidth="1"/>
    <col min="86" max="86" width="13" style="50" customWidth="1"/>
    <col min="87" max="87" width="18.42578125" style="1" customWidth="1"/>
    <col min="88" max="88" width="20.85546875" style="1" customWidth="1"/>
    <col min="89" max="16384" width="11.42578125" style="1"/>
  </cols>
  <sheetData>
    <row r="1" spans="1:89" ht="21" hidden="1" customHeight="1" x14ac:dyDescent="0.25">
      <c r="A1" s="1">
        <v>1</v>
      </c>
      <c r="B1" s="1">
        <v>2</v>
      </c>
      <c r="C1" s="1">
        <v>3</v>
      </c>
      <c r="D1" s="1"/>
      <c r="E1" s="1">
        <v>4</v>
      </c>
      <c r="F1" s="1">
        <v>5</v>
      </c>
      <c r="G1" s="1">
        <v>6</v>
      </c>
      <c r="H1" s="1">
        <v>7</v>
      </c>
      <c r="I1" s="1">
        <v>8</v>
      </c>
      <c r="J1" s="1">
        <v>9</v>
      </c>
      <c r="K1" s="2">
        <v>10</v>
      </c>
      <c r="L1" s="1">
        <v>11</v>
      </c>
      <c r="M1" s="1">
        <v>12</v>
      </c>
      <c r="N1" s="1">
        <v>13</v>
      </c>
      <c r="O1" s="2">
        <v>14</v>
      </c>
      <c r="P1" s="1">
        <v>15</v>
      </c>
      <c r="Q1" s="1">
        <v>16</v>
      </c>
      <c r="R1" s="1">
        <v>17</v>
      </c>
      <c r="S1" s="1">
        <v>18</v>
      </c>
      <c r="T1" s="50">
        <v>19</v>
      </c>
      <c r="U1" s="50">
        <v>20</v>
      </c>
      <c r="V1" s="1">
        <v>21</v>
      </c>
      <c r="W1" s="1">
        <v>22</v>
      </c>
      <c r="X1" s="1">
        <v>23</v>
      </c>
      <c r="Y1" s="1">
        <v>24</v>
      </c>
      <c r="Z1" s="1">
        <v>25</v>
      </c>
      <c r="AA1" s="1">
        <v>26</v>
      </c>
      <c r="AB1" s="1">
        <v>27</v>
      </c>
      <c r="AC1" s="1">
        <v>28</v>
      </c>
      <c r="AD1" s="1">
        <v>29</v>
      </c>
      <c r="AE1" s="1">
        <v>30</v>
      </c>
      <c r="AF1" s="1">
        <v>31</v>
      </c>
      <c r="AG1" s="1">
        <v>32</v>
      </c>
      <c r="AH1" s="1">
        <v>33</v>
      </c>
      <c r="AI1" s="1">
        <v>34</v>
      </c>
      <c r="AJ1" s="1">
        <v>35</v>
      </c>
      <c r="AK1" s="1">
        <v>36</v>
      </c>
      <c r="AL1" s="1">
        <v>37</v>
      </c>
      <c r="AM1" s="1">
        <v>38</v>
      </c>
      <c r="AN1" s="1">
        <v>39</v>
      </c>
      <c r="AO1" s="1">
        <v>40</v>
      </c>
      <c r="AP1" s="1">
        <v>41</v>
      </c>
      <c r="AQ1" s="1">
        <v>42</v>
      </c>
      <c r="AR1" s="1">
        <v>43</v>
      </c>
      <c r="AS1" s="1">
        <v>44</v>
      </c>
      <c r="AT1" s="1">
        <v>45</v>
      </c>
      <c r="AU1" s="1">
        <v>46</v>
      </c>
      <c r="AV1" s="1">
        <v>47</v>
      </c>
      <c r="AW1" s="1">
        <v>48</v>
      </c>
      <c r="AX1" s="1">
        <v>49</v>
      </c>
      <c r="AY1" s="1">
        <v>50</v>
      </c>
      <c r="AZ1" s="1">
        <v>51</v>
      </c>
      <c r="BA1" s="1">
        <v>52</v>
      </c>
      <c r="BB1" s="1">
        <v>53</v>
      </c>
      <c r="BC1" s="1">
        <v>54</v>
      </c>
      <c r="BD1" s="1">
        <v>55</v>
      </c>
      <c r="BE1" s="1">
        <v>56</v>
      </c>
      <c r="BF1" s="1">
        <v>57</v>
      </c>
      <c r="BG1" s="1">
        <v>58</v>
      </c>
      <c r="BH1" s="1">
        <v>59</v>
      </c>
      <c r="BI1" s="1">
        <v>60</v>
      </c>
      <c r="BJ1" s="1">
        <v>61</v>
      </c>
      <c r="BK1" s="1">
        <v>62</v>
      </c>
      <c r="BL1" s="1">
        <v>63</v>
      </c>
      <c r="BM1" s="219">
        <v>64</v>
      </c>
      <c r="BN1" s="1">
        <v>65</v>
      </c>
      <c r="BO1" s="1">
        <v>66</v>
      </c>
      <c r="CC1" s="1"/>
      <c r="CH1" s="1"/>
    </row>
    <row r="2" spans="1:89" ht="29.25" customHeight="1" x14ac:dyDescent="0.25">
      <c r="A2" s="145" t="s">
        <v>236</v>
      </c>
      <c r="B2" s="145" t="s">
        <v>136</v>
      </c>
      <c r="C2" s="127" t="s">
        <v>172</v>
      </c>
      <c r="D2" s="145" t="s">
        <v>190</v>
      </c>
      <c r="E2" s="145" t="s">
        <v>135</v>
      </c>
      <c r="F2" s="127" t="s">
        <v>123</v>
      </c>
      <c r="G2" s="127" t="s">
        <v>0</v>
      </c>
      <c r="H2" s="127" t="s">
        <v>124</v>
      </c>
      <c r="I2" s="267" t="s">
        <v>3008</v>
      </c>
      <c r="J2" s="267" t="s">
        <v>2991</v>
      </c>
      <c r="K2" s="267" t="s">
        <v>3009</v>
      </c>
      <c r="L2" s="267" t="s">
        <v>2993</v>
      </c>
      <c r="M2" s="267" t="s">
        <v>3010</v>
      </c>
      <c r="N2" s="267" t="s">
        <v>66</v>
      </c>
      <c r="O2" s="267" t="s">
        <v>67</v>
      </c>
      <c r="P2" s="127" t="s">
        <v>2</v>
      </c>
      <c r="Q2" s="127" t="s">
        <v>78</v>
      </c>
      <c r="R2" s="127" t="s">
        <v>107</v>
      </c>
      <c r="S2" s="127" t="s">
        <v>125</v>
      </c>
      <c r="T2" s="127" t="s">
        <v>126</v>
      </c>
      <c r="U2" s="127" t="s">
        <v>130</v>
      </c>
      <c r="V2" s="127" t="s">
        <v>129</v>
      </c>
      <c r="W2" s="128" t="s">
        <v>79</v>
      </c>
      <c r="X2" s="128" t="s">
        <v>80</v>
      </c>
      <c r="Y2" s="128" t="s">
        <v>81</v>
      </c>
      <c r="Z2" s="128" t="s">
        <v>82</v>
      </c>
      <c r="AA2" s="128" t="s">
        <v>83</v>
      </c>
      <c r="AB2" s="128" t="s">
        <v>84</v>
      </c>
      <c r="AC2" s="128" t="s">
        <v>156</v>
      </c>
      <c r="AD2" s="128" t="s">
        <v>137</v>
      </c>
      <c r="AE2" s="128" t="s">
        <v>296</v>
      </c>
      <c r="AF2" s="128" t="s">
        <v>297</v>
      </c>
      <c r="AG2" s="131" t="s">
        <v>101</v>
      </c>
      <c r="AH2" s="147" t="s">
        <v>237</v>
      </c>
      <c r="AI2" s="147" t="s">
        <v>238</v>
      </c>
      <c r="AJ2" s="147" t="s">
        <v>239</v>
      </c>
      <c r="AK2" s="147" t="s">
        <v>240</v>
      </c>
      <c r="AL2" s="147" t="s">
        <v>241</v>
      </c>
      <c r="AM2" s="147" t="s">
        <v>242</v>
      </c>
      <c r="AN2" s="131" t="s">
        <v>102</v>
      </c>
      <c r="AO2" s="147" t="s">
        <v>232</v>
      </c>
      <c r="AP2" s="147" t="s">
        <v>243</v>
      </c>
      <c r="AQ2" s="147" t="s">
        <v>234</v>
      </c>
      <c r="AR2" s="147" t="s">
        <v>244</v>
      </c>
      <c r="AS2" s="147" t="s">
        <v>245</v>
      </c>
      <c r="AT2" s="147" t="s">
        <v>246</v>
      </c>
      <c r="AU2" s="131" t="s">
        <v>103</v>
      </c>
      <c r="AV2" s="147" t="s">
        <v>247</v>
      </c>
      <c r="AW2" s="147" t="s">
        <v>248</v>
      </c>
      <c r="AX2" s="147" t="s">
        <v>249</v>
      </c>
      <c r="AY2" s="147" t="s">
        <v>250</v>
      </c>
      <c r="AZ2" s="147" t="s">
        <v>251</v>
      </c>
      <c r="BA2" s="147" t="s">
        <v>252</v>
      </c>
      <c r="BB2" s="131" t="s">
        <v>104</v>
      </c>
      <c r="BC2" s="147" t="s">
        <v>253</v>
      </c>
      <c r="BD2" s="147" t="s">
        <v>254</v>
      </c>
      <c r="BE2" s="147" t="s">
        <v>255</v>
      </c>
      <c r="BF2" s="147" t="s">
        <v>256</v>
      </c>
      <c r="BG2" s="147" t="s">
        <v>257</v>
      </c>
      <c r="BH2" s="147" t="s">
        <v>258</v>
      </c>
      <c r="BI2" s="131" t="s">
        <v>105</v>
      </c>
      <c r="BJ2" s="147" t="s">
        <v>259</v>
      </c>
      <c r="BK2" s="147" t="s">
        <v>260</v>
      </c>
      <c r="BL2" s="147" t="s">
        <v>261</v>
      </c>
      <c r="BM2" s="147" t="s">
        <v>262</v>
      </c>
      <c r="BN2" s="147" t="s">
        <v>263</v>
      </c>
      <c r="BO2" s="148" t="s">
        <v>264</v>
      </c>
      <c r="BP2" s="269" t="s">
        <v>3469</v>
      </c>
      <c r="BQ2" s="127" t="s">
        <v>46</v>
      </c>
      <c r="BR2" s="127" t="s">
        <v>127</v>
      </c>
      <c r="BS2" s="127" t="s">
        <v>128</v>
      </c>
      <c r="BT2" s="127" t="s">
        <v>291</v>
      </c>
      <c r="BU2" s="138" t="s">
        <v>292</v>
      </c>
      <c r="BV2" s="127" t="s">
        <v>293</v>
      </c>
      <c r="BW2" s="127" t="s">
        <v>298</v>
      </c>
      <c r="BX2" s="127" t="s">
        <v>287</v>
      </c>
      <c r="BY2" s="138" t="s">
        <v>288</v>
      </c>
      <c r="BZ2" s="127" t="s">
        <v>289</v>
      </c>
      <c r="CA2" s="127" t="s">
        <v>299</v>
      </c>
      <c r="CB2" s="127" t="s">
        <v>157</v>
      </c>
      <c r="CC2" s="127" t="s">
        <v>158</v>
      </c>
      <c r="CD2" s="127" t="s">
        <v>213</v>
      </c>
      <c r="CE2" s="127" t="s">
        <v>6</v>
      </c>
      <c r="CF2" s="127" t="s">
        <v>3276</v>
      </c>
      <c r="CG2" s="138" t="s">
        <v>3281</v>
      </c>
      <c r="CH2" s="266" t="s">
        <v>2989</v>
      </c>
      <c r="CI2" s="127" t="s">
        <v>15</v>
      </c>
      <c r="CJ2" s="127" t="s">
        <v>3601</v>
      </c>
      <c r="CK2" s="127" t="s">
        <v>3621</v>
      </c>
    </row>
    <row r="3" spans="1:89" s="106" customFormat="1" ht="9" customHeight="1" x14ac:dyDescent="0.25">
      <c r="A3" s="168">
        <v>0</v>
      </c>
      <c r="B3" s="169"/>
      <c r="C3" s="169"/>
      <c r="D3" s="170"/>
      <c r="E3" s="170"/>
      <c r="F3" s="171"/>
      <c r="G3" s="171" t="s">
        <v>3468</v>
      </c>
      <c r="H3" s="171"/>
      <c r="I3" s="171" t="str">
        <f>IFERROR(VLOOKUP(T_BilanSocial[[#This Row],[Zone_Bilan]],T_P_BilanSocial[#Data],COLUMN(T_P_BilanSocial[[#This Row],[Numero_SIHAM]]),FALSE),"")</f>
        <v/>
      </c>
      <c r="J3" s="171" t="str">
        <f>IFERROR(VLOOKUP(T_BilanSocial[[#This Row],[Zone_Bilan]],T_P_BilanSocial[#Data],COLUMN(T_P_BilanSocial[[#This Row],[Sexe]]),FALSE),"")</f>
        <v/>
      </c>
      <c r="K3" s="170" t="str">
        <f>IFERROR(VLOOKUP(T_BilanSocial[[#This Row],[Zone_Bilan]],T_P_BilanSocial[#Data],COLUMN(T_P_BilanSocial[[#This Row],[Categorie]]),FALSE),"")</f>
        <v/>
      </c>
      <c r="L3" s="171" t="str">
        <f>IFERROR(VLOOKUP(T_BilanSocial[[#This Row],[Zone_Bilan]],T_P_BilanSocial[#Data],COLUMN(T_P_BilanSocial[[#This Row],[Statut]]),FALSE),"")</f>
        <v/>
      </c>
      <c r="M3" s="171" t="str">
        <f>IFERROR(VLOOKUP(T_BilanSocial[[#This Row],[Zone_Bilan]],T_P_BilanSocial[#Data],COLUMN(T_P_BilanSocial[[#This Row],[Filiere]]),FALSE),"")</f>
        <v/>
      </c>
      <c r="N3" s="171">
        <f>VLOOKUP(T_BilanSocial[[#This Row],[NumL]],T_TraitDi[#Data],COLUMN(T_TraitDi[EXP]),FALSE)</f>
        <v>0</v>
      </c>
      <c r="O3" s="171">
        <f>VLOOKUP(T_BilanSocial[[#This Row],[NumL]],T_TraitDi[#Data],COLUMN(T_TraitDi[FORM]),FALSE)</f>
        <v>0</v>
      </c>
      <c r="P3" s="171"/>
      <c r="Q3" s="171"/>
      <c r="R3" s="171"/>
      <c r="S3" s="171"/>
      <c r="T3" s="177"/>
      <c r="U3" s="177"/>
      <c r="V3" s="170"/>
      <c r="W3" s="171">
        <v>96</v>
      </c>
      <c r="X3" s="171">
        <v>97</v>
      </c>
      <c r="Y3" s="171">
        <v>98</v>
      </c>
      <c r="Z3" s="171">
        <v>99</v>
      </c>
      <c r="AA3" s="171">
        <v>100</v>
      </c>
      <c r="AB3" s="171">
        <v>101</v>
      </c>
      <c r="AC3" s="171"/>
      <c r="AD3" s="170">
        <v>19</v>
      </c>
      <c r="AE3" s="170"/>
      <c r="AF3" s="170" t="e">
        <f>VLOOKUP(T_BilanSocial[NumL],T_TraitDi[#Data],COLUMN(T_TraitDi[[#This Row],[Jours flottants]]),FALSE)</f>
        <v>#VALUE!</v>
      </c>
      <c r="AG3" s="181">
        <v>29</v>
      </c>
      <c r="AH3" s="181">
        <v>30</v>
      </c>
      <c r="AI3" s="181">
        <v>31</v>
      </c>
      <c r="AJ3" s="181">
        <v>32</v>
      </c>
      <c r="AK3" s="181">
        <v>33</v>
      </c>
      <c r="AL3" s="181">
        <v>34</v>
      </c>
      <c r="AM3" s="181">
        <v>35</v>
      </c>
      <c r="AN3" s="181">
        <v>36</v>
      </c>
      <c r="AO3" s="181">
        <v>37</v>
      </c>
      <c r="AP3" s="181">
        <v>38</v>
      </c>
      <c r="AQ3" s="181">
        <v>39</v>
      </c>
      <c r="AR3" s="181">
        <v>40</v>
      </c>
      <c r="AS3" s="181">
        <v>41</v>
      </c>
      <c r="AT3" s="181">
        <v>42</v>
      </c>
      <c r="AU3" s="181">
        <v>43</v>
      </c>
      <c r="AV3" s="181">
        <v>44</v>
      </c>
      <c r="AW3" s="181">
        <v>45</v>
      </c>
      <c r="AX3" s="181">
        <v>46</v>
      </c>
      <c r="AY3" s="181">
        <v>47</v>
      </c>
      <c r="AZ3" s="181">
        <v>48</v>
      </c>
      <c r="BA3" s="181">
        <v>49</v>
      </c>
      <c r="BB3" s="181">
        <v>50</v>
      </c>
      <c r="BC3" s="181">
        <v>51</v>
      </c>
      <c r="BD3" s="181">
        <v>52</v>
      </c>
      <c r="BE3" s="181">
        <v>53</v>
      </c>
      <c r="BF3" s="181">
        <v>54</v>
      </c>
      <c r="BG3" s="181">
        <v>55</v>
      </c>
      <c r="BH3" s="181">
        <v>56</v>
      </c>
      <c r="BI3" s="181">
        <v>57</v>
      </c>
      <c r="BJ3" s="181">
        <v>58</v>
      </c>
      <c r="BK3" s="181">
        <v>59</v>
      </c>
      <c r="BL3" s="181">
        <v>60</v>
      </c>
      <c r="BM3" s="181">
        <v>61</v>
      </c>
      <c r="BN3" s="181">
        <v>62</v>
      </c>
      <c r="BO3" s="181">
        <v>63</v>
      </c>
      <c r="BP3" s="181" t="str">
        <f>VLOOKUP(T_BilanSocial[[#This Row],[NumL]],T_TraitDi[#Data],COLUMN(T_TraitDi[NbJTot]),FALSE)</f>
        <v/>
      </c>
      <c r="BQ3" s="170">
        <v>25</v>
      </c>
      <c r="BR3" s="170">
        <v>28</v>
      </c>
      <c r="BS3" s="170">
        <v>26</v>
      </c>
      <c r="BT3" s="171">
        <v>82</v>
      </c>
      <c r="BU3" s="220">
        <v>83</v>
      </c>
      <c r="BV3" s="171">
        <v>84</v>
      </c>
      <c r="BW3" s="171">
        <v>85</v>
      </c>
      <c r="BX3" s="171">
        <v>89</v>
      </c>
      <c r="BY3" s="220">
        <v>90</v>
      </c>
      <c r="BZ3" s="171">
        <v>91</v>
      </c>
      <c r="CA3" s="171">
        <v>92</v>
      </c>
      <c r="CB3" s="171"/>
      <c r="CC3" s="171"/>
      <c r="CD3" s="183"/>
      <c r="CE3" s="165" t="e">
        <f>IF(VLOOKUP(T_BilanSocial[[#This Row],[NumL]],T_suiviDi[#Data],COLUMN(T_suiviDi[[#This Row],[Entité]]),FALSE)="","",VLOOKUP(T_BilanSocial[[#This Row],[NumL]],T_suiviDi[#Data],COLUMN(T_suiviDi[[#This Row],[Entité]]),FALSE))</f>
        <v>#N/A</v>
      </c>
      <c r="CF3" s="165"/>
      <c r="CG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 s="262" t="str">
        <f>T_BilanSocial[[#This Row],[Nom]]&amp;T_BilanSocial[[#This Row],[Prenom]]</f>
        <v>aaaaa</v>
      </c>
      <c r="CI3" s="262">
        <f>VLOOKUP(T_BilanSocial[[#This Row],[NumL]],T_Commission[#Data],COLUMN(T_Commission[Commentaire]),FALSE)</f>
        <v>0</v>
      </c>
      <c r="CJ3" s="262" t="str">
        <f>IF(VLOOKUP(T_BilanSocial[[#This Row],[NumL]],T_Commission[#Data],COLUMN(T_Commission[Encadrant Email]),FALSE)="","",VLOOKUP(T_BilanSocial[[#This Row],[NumL]],T_Commission[#Data],COLUMN(T_Commission[Encadrant Email]),FALSE))</f>
        <v/>
      </c>
      <c r="CK3" s="340" t="str">
        <f>IF(T_BilanSocial[[#This Row],[Final]]&lt;&gt;"",VLOOKUP(T_BilanSocial[[#This Row],[NumL]],T_suiviDi[#Data],COLUMN((T_suiviDi[Statut])),FALSE),"")</f>
        <v/>
      </c>
    </row>
    <row r="4" spans="1:89" s="106" customFormat="1" ht="15" customHeight="1" x14ac:dyDescent="0.25">
      <c r="A4" s="160">
        <v>1</v>
      </c>
      <c r="B4" s="161" t="str">
        <f t="shared" ref="B4:B67" si="0">VLOOKUP(A4,ComDI,15,FALSE)</f>
        <v/>
      </c>
      <c r="C4" s="162" t="s">
        <v>173</v>
      </c>
      <c r="D4" s="95" t="e">
        <f>IF(VLOOKUP(T_BilanSocial[[#This Row],[NumL]],T_TraitDi[#Data],COLUMN(T_TraitDi[[#This Row],[WebC]]),FALSE)="","",VLOOKUP(T_BilanSocial[[#This Row],[NumL]],T_TraitDi[#Data],COLUMN(T_TraitDi[[#This Row],[WebC]]),FALSE))</f>
        <v>#N/A</v>
      </c>
      <c r="E4" s="163" t="str">
        <f t="shared" ref="E4:E67" si="1">TEXT(DateEdition,"jj mmmm aaaa")</f>
        <v>12 janvier 2021</v>
      </c>
      <c r="F4" s="96" t="str">
        <f>IF(T_BilanSocial[[#This Row],[Final]]&lt;&gt;"",VLOOKUP(T_BilanSocial[[#This Row],[NumL]],T_suiviDi[#Data],COLUMN((T_suiviDi[Civ.])),FALSE),"")</f>
        <v/>
      </c>
      <c r="G4" s="96" t="str">
        <f>IF(T_BilanSocial[[#This Row],[Final]]&lt;&gt;"",VLOOKUP(T_BilanSocial[[#This Row],[NumL]],T_suiviDi[#Data],COLUMN((T_suiviDi[Nom])),FALSE),"")</f>
        <v/>
      </c>
      <c r="H4" s="96" t="str">
        <f>IF(T_BilanSocial[[#This Row],[Final]]&lt;&gt;"",VLOOKUP(T_BilanSocial[[#This Row],[NumL]],T_suiviDi[#Data],COLUMN((T_suiviDi[Prénom])),FALSE),"")</f>
        <v/>
      </c>
      <c r="I4" s="96" t="str">
        <f>IFERROR(VLOOKUP(T_BilanSocial[[#This Row],[Zone_Bilan]],T_P_BilanSocial[#Data],COLUMN(T_P_BilanSocial[[#This Row],[Numero_SIHAM]]),FALSE),"")</f>
        <v/>
      </c>
      <c r="J4" s="96" t="str">
        <f>IFERROR(VLOOKUP(T_BilanSocial[[#This Row],[Zone_Bilan]],T_P_BilanSocial[#Data],COLUMN(T_P_BilanSocial[[#This Row],[Sexe]]),FALSE),"")</f>
        <v/>
      </c>
      <c r="K4" s="97" t="str">
        <f>IFERROR(VLOOKUP(T_BilanSocial[[#This Row],[Zone_Bilan]],T_P_BilanSocial[#Data],COLUMN(T_P_BilanSocial[[#This Row],[Categorie]]),FALSE),"")</f>
        <v/>
      </c>
      <c r="L4" s="96" t="str">
        <f>IFERROR(VLOOKUP(T_BilanSocial[[#This Row],[Zone_Bilan]],T_P_BilanSocial[#Data],COLUMN(T_P_BilanSocial[[#This Row],[Statut]]),FALSE),"")</f>
        <v/>
      </c>
      <c r="M4" s="96" t="str">
        <f>IFERROR(VLOOKUP(T_BilanSocial[[#This Row],[Zone_Bilan]],T_P_BilanSocial[#Data],COLUMN(T_P_BilanSocial[[#This Row],[Filiere]]),FALSE),"")</f>
        <v/>
      </c>
      <c r="N4" s="96" t="e">
        <f>VLOOKUP(T_BilanSocial[[#This Row],[NumL]],T_TraitDi[#Data],COLUMN(T_TraitDi[EXP]),FALSE)</f>
        <v>#N/A</v>
      </c>
      <c r="O4" s="96" t="e">
        <f>VLOOKUP(T_BilanSocial[[#This Row],[NumL]],T_TraitDi[#Data],COLUMN(T_TraitDi[FORM]),FALSE)</f>
        <v>#N/A</v>
      </c>
      <c r="P4" s="96" t="str">
        <f>IF(T_BilanSocial[[#This Row],[Final]]&lt;&gt;"",VLOOKUP(T_BilanSocial[[#This Row],[NumL]],T_suiviDi[#Data],COLUMN((T_suiviDi[Email])),FALSE),"")</f>
        <v/>
      </c>
      <c r="Q4" s="164" t="e">
        <f>IF(VLOOKUP(T_BilanSocial[[#This Row],[NumL]],T_suiviDi[#Data],COLUMN(T_suiviDi[[#This Row],[Fonction]]),FALSE)="","",VLOOKUP(T_BilanSocial[[#This Row],[NumL]],T_suiviDi[#Data],COLUMN(T_suiviDi[[#This Row],[Fonction]]),FALSE))</f>
        <v>#N/A</v>
      </c>
      <c r="R4" s="164" t="e">
        <f>IF(VLOOKUP(T_BilanSocial[[#This Row],[NumL]],T_suiviDi[#Data],COLUMN(T_suiviDi[[#This Row],[Grade]]),FALSE)="","",VLOOKUP(T_BilanSocial[[#This Row],[NumL]],T_suiviDi[#Data],COLUMN(T_suiviDi[[#This Row],[Grade]]),FALSE))</f>
        <v>#N/A</v>
      </c>
      <c r="S4" s="164" t="e">
        <f>IF(VLOOKUP(T_BilanSocial[[#This Row],[NumL]],T_suiviDi[#Data],COLUMN(T_suiviDi[[#This Row],[Service ]]),FALSE)="","",VLOOKUP(T_BilanSocial[[#This Row],[NumL]],T_suiviDi[#Data],COLUMN(T_suiviDi[[#This Row],[Service ]]),FALSE))</f>
        <v>#N/A</v>
      </c>
      <c r="T4" s="164" t="str">
        <f t="shared" ref="T4:T67" si="2">TEXT(Dateeffet,"jj mmmm aaaa")</f>
        <v>01 septembre 2021</v>
      </c>
      <c r="U4" s="164" t="str">
        <f t="shared" ref="U4:U67" si="3">TEXT(DateFinadapt,"jj mmmm aaaa")</f>
        <v>30 novembre 2021</v>
      </c>
      <c r="V4" s="164" t="str">
        <f>TEXT(Datebilan,"jj mmmm aaaa")</f>
        <v>30 novembre 2021</v>
      </c>
      <c r="W4" s="176" t="e">
        <f>IF(VLOOKUP(T_BilanSocial[[#This Row],[NumL]],T_TraitDi[#Data],COLUMN(T_TraitDi[[#This Row],[M1]]),FALSE)="","",VLOOKUP(T_BilanSocial[[#This Row],[NumL]],T_TraitDi[#Data],COLUMN(T_TraitDi[[#This Row],[M1]]),FALSE))</f>
        <v>#N/A</v>
      </c>
      <c r="X4" s="176" t="e">
        <f>IF(VLOOKUP(T_BilanSocial[[#This Row],[NumL]],T_TraitDi[#Data],COLUMN(T_TraitDi[[#This Row],[M2]]),FALSE)="","",VLOOKUP(T_BilanSocial[[#This Row],[NumL]],T_TraitDi[#Data],COLUMN(T_TraitDi[[#This Row],[M2]]),FALSE))</f>
        <v>#N/A</v>
      </c>
      <c r="Y4" s="176" t="e">
        <f>IF(VLOOKUP(T_BilanSocial[[#This Row],[NumL]],T_TraitDi[#Data],COLUMN(T_TraitDi[[#This Row],[M3]]),FALSE)="","",VLOOKUP(T_BilanSocial[[#This Row],[NumL]],T_TraitDi[#Data],COLUMN(T_TraitDi[[#This Row],[M3]]),FALSE))</f>
        <v>#N/A</v>
      </c>
      <c r="Z4" s="176" t="e">
        <f>IF(VLOOKUP(T_BilanSocial[[#This Row],[NumL]],T_TraitDi[#Data],COLUMN(T_TraitDi[[#This Row],[M4]]),FALSE)="","",VLOOKUP(T_BilanSocial[[#This Row],[NumL]],T_TraitDi[#Data],COLUMN(T_TraitDi[[#This Row],[M4]]),FALSE))</f>
        <v>#N/A</v>
      </c>
      <c r="AA4" s="176" t="e">
        <f>IF(VLOOKUP(T_BilanSocial[[#This Row],[NumL]],T_TraitDi[#Data],COLUMN(T_TraitDi[[#This Row],[M5]]),FALSE)="","",VLOOKUP(T_BilanSocial[[#This Row],[NumL]],T_TraitDi[#Data],COLUMN(T_TraitDi[[#This Row],[M5]]),FALSE))</f>
        <v>#N/A</v>
      </c>
      <c r="AB4" s="176" t="e">
        <f>IF(VLOOKUP(T_BilanSocial[[#This Row],[NumL]],T_TraitDi[#Data],COLUMN(T_TraitDi[[#This Row],[M6]]),FALSE)="","",VLOOKUP(T_BilanSocial[[#This Row],[NumL]],T_TraitDi[#Data],COLUMN(T_TraitDi[[#This Row],[M6]]),FALSE))</f>
        <v>#N/A</v>
      </c>
      <c r="AC4" s="165" t="e">
        <f t="shared" ref="AC4:AC67" si="4">W4&amp;X4&amp;Y4&amp;Z4&amp;AA4&amp;AB4</f>
        <v>#N/A</v>
      </c>
      <c r="AD4" s="188" t="str">
        <f>IFERROR(TEXT(VLOOKUP(T_BilanSocial[[#This Row],[NumL]],T_TraitDi[#Data],COLUMN(T_TraitDi[[#This Row],[Q2]]),FALSE),"###%"),"")</f>
        <v/>
      </c>
      <c r="AE4" s="97" t="e">
        <f>VLOOKUP(T_BilanSocial[[#This Row],[NumL]],T_TraitDi[#Data],COLUMN(T_TraitDi[[#This Row],[Reg Ponct]]),FALSE)</f>
        <v>#N/A</v>
      </c>
      <c r="AF4" s="97" t="e">
        <f>VLOOKUP(T_BilanSocial[NumL],T_TraitDi[#Data],COLUMN(T_TraitDi[[#This Row],[Jours flottants]]),FALSE)</f>
        <v>#N/A</v>
      </c>
      <c r="AG4" s="97" t="str">
        <f>IFERROR(VLOOKUP(T_BilanSocial[[#This Row],[NumL]],T_TraitDi[#Data],COLUMN(T_TraitDi[[#This Row],[Lundi]]),FALSE),"")</f>
        <v/>
      </c>
      <c r="AH4" s="172" t="e">
        <f>IF(VLOOKUP(T_BilanSocial[[#This Row],[NumL]],T_TraitDi[#Data],COLUMN(T_TraitDi[[#This Row],[Colonne3]]),FALSE)=0,"",TEXT(IFERROR(VLOOKUP(T_BilanSocial[[#This Row],[NumL]],T_TraitDi[#Data],COLUMN(T_TraitDi[[#This Row],[Colonne3]]),FALSE),""),"[hh]:mm"))</f>
        <v>#N/A</v>
      </c>
      <c r="AI4" s="172" t="e">
        <f>IF(VLOOKUP(T_BilanSocial[[#This Row],[NumL]],T_TraitDi[#Data],COLUMN(T_TraitDi[[#This Row],[Colonne4]]),FALSE)=0,"",TEXT(IFERROR(VLOOKUP(T_BilanSocial[[#This Row],[NumL]],T_TraitDi[#Data],COLUMN(T_TraitDi[[#This Row],[Colonne4]]),FALSE),""),"[hh]:mm"))</f>
        <v>#N/A</v>
      </c>
      <c r="AJ4" s="172" t="e">
        <f>IF(VLOOKUP(T_BilanSocial[[#This Row],[NumL]],T_TraitDi[#Data],COLUMN(T_TraitDi[[#This Row],[Colonne5]]),FALSE)=0,"",TEXT(IFERROR(VLOOKUP(T_BilanSocial[[#This Row],[NumL]],T_TraitDi[#Data],COLUMN(T_TraitDi[[#This Row],[Colonne5]]),FALSE),""),"[hh]:mm"))</f>
        <v>#N/A</v>
      </c>
      <c r="AK4" s="172" t="e">
        <f>IF(VLOOKUP(T_BilanSocial[[#This Row],[NumL]],T_TraitDi[#Data],COLUMN(T_TraitDi[[#This Row],[Colonne6]]),FALSE)=0,"",TEXT(IFERROR(VLOOKUP(T_BilanSocial[[#This Row],[NumL]],T_TraitDi[#Data],COLUMN(T_TraitDi[[#This Row],[Colonne6]]),FALSE),""),"[hh]:mm"))</f>
        <v>#N/A</v>
      </c>
      <c r="AL4" s="172" t="e">
        <f>IF(VLOOKUP(T_BilanSocial[[#This Row],[NumL]],T_TraitDi[#Data],COLUMN(T_TraitDi[[#This Row],[Colonne7]]),FALSE)=0,"",TEXT(IFERROR(VLOOKUP(T_BilanSocial[[#This Row],[NumL]],T_TraitDi[#Data],COLUMN(T_TraitDi[[#This Row],[Colonne7]]),FALSE),""),"[hh]:mm"))</f>
        <v>#N/A</v>
      </c>
      <c r="AM4" s="172" t="e">
        <f>IF(VLOOKUP(T_BilanSocial[[#This Row],[NumL]],T_TraitDi[#Data],COLUMN(T_TraitDi[[#This Row],[Colonne8]]),FALSE)=0,"",TEXT(IFERROR(VLOOKUP(T_BilanSocial[[#This Row],[NumL]],T_TraitDi[#Data],COLUMN(T_TraitDi[[#This Row],[Colonne8]]),FALSE),""),"[hh]:mm"))</f>
        <v>#N/A</v>
      </c>
      <c r="AN4" s="172" t="str">
        <f>IFERROR(VLOOKUP(T_BilanSocial[[#This Row],[NumL]],T_TraitDi[#Data],COLUMN(T_TraitDi[[#This Row],[Mardi]]),FALSE),"")</f>
        <v/>
      </c>
      <c r="AO4" s="172" t="e">
        <f>IF(VLOOKUP(T_BilanSocial[[#This Row],[NumL]],T_TraitDi[#Data],COLUMN(T_TraitDi[[#This Row],[Colonne1]]),FALSE)=0,"",TEXT(IFERROR(VLOOKUP(T_BilanSocial[[#This Row],[NumL]],T_TraitDi[#Data],COLUMN(T_TraitDi[[#This Row],[Colonne1]]),FALSE),""),"[hh]:mm"))</f>
        <v>#N/A</v>
      </c>
      <c r="AP4" s="172" t="e">
        <f>IF(VLOOKUP(T_BilanSocial[[#This Row],[NumL]],T_TraitDi[#Data],COLUMN(T_TraitDi[[#This Row],[Colonne9]]),FALSE)=0,"",TEXT(IFERROR(VLOOKUP(T_BilanSocial[[#This Row],[NumL]],T_TraitDi[#Data],COLUMN(T_TraitDi[[#This Row],[Colonne9]]),FALSE),""),"[hh]:mm"))</f>
        <v>#N/A</v>
      </c>
      <c r="AQ4" s="172" t="str">
        <f>IFERROR(VLOOKUP(T_BilanSocial[[#This Row],[NumL]],T_TraitDi[#Data],COLUMN(T_TraitDi[[#This Row],[Colonne10]]),FALSE),"")</f>
        <v/>
      </c>
      <c r="AR4" s="172" t="e">
        <f>IF(VLOOKUP(T_BilanSocial[[#This Row],[NumL]],T_TraitDi[#Data],COLUMN(T_TraitDi[[#This Row],[Colonne11]]),FALSE)=0,"",TEXT(IFERROR(VLOOKUP(T_BilanSocial[[#This Row],[NumL]],T_TraitDi[#Data],COLUMN(T_TraitDi[[#This Row],[Colonne11]]),FALSE),""),"[hh]:mm"))</f>
        <v>#N/A</v>
      </c>
      <c r="AS4" s="172" t="e">
        <f>IF(VLOOKUP(T_BilanSocial[[#This Row],[NumL]],T_TraitDi[#Data],COLUMN(T_TraitDi[[#This Row],[Colonne12]]),FALSE)=0,"",TEXT(IFERROR(VLOOKUP(T_BilanSocial[[#This Row],[NumL]],T_TraitDi[#Data],COLUMN(T_TraitDi[[#This Row],[Colonne12]]),FALSE),""),"[hh]:mm"))</f>
        <v>#N/A</v>
      </c>
      <c r="AT4" s="172" t="e">
        <f>IF(VLOOKUP(T_BilanSocial[[#This Row],[NumL]],T_TraitDi[#Data],COLUMN(T_TraitDi[[#This Row],[Colonne14]]),FALSE)=0,"",TEXT(IFERROR(VLOOKUP(T_BilanSocial[[#This Row],[NumL]],T_TraitDi[#Data],COLUMN(T_TraitDi[[#This Row],[Colonne14]]),FALSE),""),"[hh]:mm"))</f>
        <v>#N/A</v>
      </c>
      <c r="AU4" s="172" t="str">
        <f>IFERROR(VLOOKUP(T_BilanSocial[[#This Row],[NumL]],T_TraitDi[#Data],COLUMN(T_TraitDi[[#This Row],[Mercredi]]),FALSE),"")</f>
        <v/>
      </c>
      <c r="AV4" s="172" t="e">
        <f>IF(VLOOKUP(T_BilanSocial[[#This Row],[NumL]],T_TraitDi[#Data],COLUMN(T_TraitDi[[#This Row],[Colonne15]]),FALSE)=0,"",TEXT(IFERROR(VLOOKUP(T_BilanSocial[[#This Row],[NumL]],T_TraitDi[#Data],COLUMN(T_TraitDi[[#This Row],[Colonne15]]),FALSE),""),"[hh]:mm"))</f>
        <v>#N/A</v>
      </c>
      <c r="AW4" s="172" t="e">
        <f>IF(VLOOKUP(T_BilanSocial[[#This Row],[NumL]],T_TraitDi[#Data],COLUMN(T_TraitDi[[#This Row],[Colonne16]]),FALSE)=0,"",TEXT(IFERROR(VLOOKUP(T_BilanSocial[[#This Row],[NumL]],T_TraitDi[#Data],COLUMN(T_TraitDi[[#This Row],[Colonne16]]),FALSE),""),"[hh]:mm"))</f>
        <v>#N/A</v>
      </c>
      <c r="AX4" s="172" t="e">
        <f>IF(VLOOKUP(T_BilanSocial[[#This Row],[Final]],T_TraitDi[#Data],COLUMN(T_TraitDi[[#This Row],[Colonne17]]),FALSE)=0,"",TEXT(IFERROR(VLOOKUP(T_BilanSocial[[#This Row],[Final]],T_TraitDi[#Data],COLUMN(T_TraitDi[[#This Row],[Colonne17]]),FALSE),""),"[hh]:mm"))</f>
        <v>#N/A</v>
      </c>
      <c r="AY4" s="172" t="e">
        <f>IF(VLOOKUP(T_BilanSocial[[#This Row],[NumL]],T_TraitDi[#Data],COLUMN(T_TraitDi[[#This Row],[Colonne18]]),FALSE)=0,"",TEXT(IFERROR(VLOOKUP(T_BilanSocial[[#This Row],[NumL]],T_TraitDi[#Data],COLUMN(T_TraitDi[[#This Row],[Colonne18]]),FALSE),""),"[hh]:mm"))</f>
        <v>#N/A</v>
      </c>
      <c r="AZ4" s="172" t="e">
        <f>IF(VLOOKUP(T_BilanSocial[[#This Row],[NumL]],T_TraitDi[#Data],COLUMN(T_TraitDi[[#This Row],[Colonne19]]),FALSE)=0,"",TEXT(IFERROR(VLOOKUP(T_BilanSocial[[#This Row],[NumL]],T_TraitDi[#Data],COLUMN(T_TraitDi[[#This Row],[Colonne19]]),FALSE),""),"[hh]:mm"))</f>
        <v>#N/A</v>
      </c>
      <c r="BA4" s="172" t="e">
        <f>IF(VLOOKUP(T_BilanSocial[[#This Row],[NumL]],T_TraitDi[#Data],COLUMN(T_TraitDi[[#This Row],[Colonne20]]),FALSE)=0,"",TEXT(IFERROR(VLOOKUP(T_BilanSocial[[#This Row],[NumL]],T_TraitDi[#Data],COLUMN(T_TraitDi[[#This Row],[Colonne20]]),FALSE),""),"[hh]:mm"))</f>
        <v>#N/A</v>
      </c>
      <c r="BB4" s="178" t="str">
        <f>IFERROR(VLOOKUP(T_BilanSocial[[#This Row],[NumL]],T_TraitDi[#Data],COLUMN(T_TraitDi[[#This Row],[Jeudi]]),FALSE),"")</f>
        <v/>
      </c>
      <c r="BC4" s="178" t="e">
        <f>IF(VLOOKUP(T_BilanSocial[[#This Row],[NumL]],T_TraitDi[#Data],COLUMN(T_TraitDi[[#This Row],[Colonne21]]),FALSE)=0,"",TEXT(IFERROR(VLOOKUP(T_BilanSocial[[#This Row],[NumL]],T_TraitDi[#Data],COLUMN(T_TraitDi[[#This Row],[Colonne21]]),FALSE),""),"[hh]:mm"))</f>
        <v>#N/A</v>
      </c>
      <c r="BD4" s="178" t="e">
        <f>IF(VLOOKUP(T_BilanSocial[[#This Row],[NumL]],T_TraitDi[#Data],COLUMN(T_TraitDi[[#This Row],[Colonne22]]),FALSE)=0,"",TEXT(IFERROR(VLOOKUP(T_BilanSocial[[#This Row],[NumL]],T_TraitDi[#Data],COLUMN(T_TraitDi[[#This Row],[Colonne22]]),FALSE),""),"[hh]:mm"))</f>
        <v>#N/A</v>
      </c>
      <c r="BE4" s="178" t="str">
        <f>IFERROR(VLOOKUP(T_BilanSocial[[#This Row],[NumL]],T_TraitDi[#Data],COLUMN(T_TraitDi[[#This Row],[Colonne23]]),FALSE),"")</f>
        <v/>
      </c>
      <c r="BF4" s="178" t="e">
        <f>IF(VLOOKUP(T_BilanSocial[[#This Row],[NumL]],T_TraitDi[#Data],COLUMN(T_TraitDi[[#This Row],[Colonne24]]),FALSE)=0,"",TEXT(IFERROR(VLOOKUP(T_BilanSocial[[#This Row],[NumL]],T_TraitDi[#Data],COLUMN(T_TraitDi[[#This Row],[Colonne24]]),FALSE),""),"[hh]:mm"))</f>
        <v>#N/A</v>
      </c>
      <c r="BG4" s="178" t="e">
        <f>IF(VLOOKUP(T_BilanSocial[[#This Row],[NumL]],T_TraitDi[#Data],COLUMN(T_TraitDi[[#This Row],[Colonne25]]),FALSE)=0,"",TEXT(IFERROR(VLOOKUP(T_BilanSocial[[#This Row],[NumL]],T_TraitDi[#Data],COLUMN(T_TraitDi[[#This Row],[Colonne25]]),FALSE),""),"[hh]:mm"))</f>
        <v>#N/A</v>
      </c>
      <c r="BH4" s="178" t="e">
        <f>IF(VLOOKUP(T_BilanSocial[[#This Row],[NumL]],T_TraitDi[#Data],COLUMN(T_TraitDi[[#This Row],[Colonne26]]),FALSE)=0,"",TEXT(IFERROR(VLOOKUP(T_BilanSocial[[#This Row],[NumL]],T_TraitDi[#Data],COLUMN(T_TraitDi[[#This Row],[Colonne26]]),FALSE),""),"[hh]:mm"))</f>
        <v>#N/A</v>
      </c>
      <c r="BI4" s="172" t="str">
        <f>IFERROR(VLOOKUP(T_BilanSocial[[#This Row],[NumL]],T_TraitDi[#Data],COLUMN(T_TraitDi[[#This Row],[Vendredi]]),FALSE),"")</f>
        <v/>
      </c>
      <c r="BJ4" s="172" t="e">
        <f>IF(VLOOKUP(T_BilanSocial[[#This Row],[NumL]],T_TraitDi[#Data],COLUMN(T_TraitDi[[#This Row],[Colonne27]]),FALSE)=0,"",TEXT(IFERROR(VLOOKUP(T_BilanSocial[[#This Row],[NumL]],T_TraitDi[#Data],COLUMN(T_TraitDi[[#This Row],[Colonne27]]),FALSE),""),"[hh]:mm"))</f>
        <v>#N/A</v>
      </c>
      <c r="BK4" s="172" t="e">
        <f>IF(VLOOKUP(T_BilanSocial[[#This Row],[NumL]],T_TraitDi[#Data],COLUMN(T_TraitDi[[#This Row],[Colonne28]]),FALSE)=0,"",TEXT(IFERROR(VLOOKUP(T_BilanSocial[[#This Row],[NumL]],T_TraitDi[#Data],COLUMN(T_TraitDi[[#This Row],[Colonne28]]),FALSE),""),"[hh]:mm"))</f>
        <v>#N/A</v>
      </c>
      <c r="BL4" s="172" t="str">
        <f>IFERROR(VLOOKUP(T_BilanSocial[[#This Row],[NumL]],T_TraitDi[#Data],COLUMN(T_TraitDi[[#This Row],[Colonne29]]),FALSE),"")</f>
        <v/>
      </c>
      <c r="BM4" s="172" t="e">
        <f>IF(VLOOKUP(T_BilanSocial[[#This Row],[NumL]],T_TraitDi[#Data],COLUMN(T_TraitDi[[#This Row],[Colonne30]]),FALSE)=0,"",TEXT(IFERROR(VLOOKUP(T_BilanSocial[[#This Row],[NumL]],T_TraitDi[#Data],COLUMN(T_TraitDi[[#This Row],[Colonne30]]),FALSE),""),"[hh]:mm"))</f>
        <v>#N/A</v>
      </c>
      <c r="BN4" s="172" t="e">
        <f>IF(VLOOKUP(T_BilanSocial[[#This Row],[NumL]],T_TraitDi[#Data],COLUMN(T_TraitDi[[#This Row],[Colonne31]]),FALSE)=0,"",TEXT(IFERROR(VLOOKUP(T_BilanSocial[[#This Row],[NumL]],T_TraitDi[#Data],COLUMN(T_TraitDi[[#This Row],[Colonne31]]),FALSE),""),"[hh]:mm"))</f>
        <v>#N/A</v>
      </c>
      <c r="BO4" s="172" t="e">
        <f>IF(VLOOKUP(T_BilanSocial[[#This Row],[NumL]],T_TraitDi[#Data],COLUMN(T_TraitDi[[#This Row],[Colonne32]]),FALSE)=0,"",TEXT(IFERROR(VLOOKUP(T_BilanSocial[[#This Row],[NumL]],T_TraitDi[#Data],COLUMN(T_TraitDi[[#This Row],[Colonne32]]),FALSE),""),"[hh]:mm"))</f>
        <v>#N/A</v>
      </c>
      <c r="BP4" s="172" t="e">
        <f>VLOOKUP(T_BilanSocial[[#This Row],[NumL]],T_TraitDi[#Data],COLUMN(T_TraitDi[NbJTot]),FALSE)</f>
        <v>#N/A</v>
      </c>
      <c r="BQ4" s="174" t="str">
        <f>IFERROR(VLOOKUP(T_BilanSocial[[#This Row],[NumL]],T_TraitDi[#Data],COLUMN(T_TraitDi[[#This Row],[NbJTW]]),FALSE),"")</f>
        <v/>
      </c>
      <c r="BR4" s="174" t="e">
        <f>IF(VLOOKUP(T_BilanSocial[[#This Row],[NumL]],T_TraitDi[#Data],COLUMN(T_TraitDi[[#This Row],[NbhTW]]),FALSE)=0,"",TEXT(IFERROR(VLOOKUP(T_BilanSocial[[#This Row],[NumL]],T_TraitDi[#Data],COLUMN(T_TraitDi[[#This Row],[NbhTW]]),FALSE),""),"[hh]:mm"))</f>
        <v>#N/A</v>
      </c>
      <c r="BS4" s="174" t="e">
        <f>IF(VLOOKUP(T_BilanSocial[[#This Row],[NumL]],T_TraitDi[#Data],COLUMN(T_TraitDi[[#This Row],[Nbhheb]]),FALSE)=0,"",TEXT(IFERROR(VLOOKUP($A4,T_TraitDi[#Data],COLUMN(T_TraitDi[[#This Row],[Nbhheb]]),FALSE),""),"[hh]:mm"))</f>
        <v>#N/A</v>
      </c>
      <c r="BT4" s="182" t="str">
        <f>IFERROR(VLOOKUP(VLOOKUP($A4,T_TraitDi[#Data],COLUMN(T_TraitDi[[#This Row],[Type1]]),FALSE),TypeTW,2,FALSE),"")</f>
        <v/>
      </c>
      <c r="BU4" s="182" t="str">
        <f>IFERROR(VLOOKUP($A4,T_TraitDi[#Data],COLUMN(T_TraitDi[[#This Row],[Rue1]]),FALSE),"")</f>
        <v/>
      </c>
      <c r="BV4" s="173" t="str">
        <f>IFERROR(VLOOKUP($A4,T_TraitDi[#Data],COLUMN(T_TraitDi[[#This Row],[CP1]]),FALSE),"")</f>
        <v/>
      </c>
      <c r="BW4" s="173" t="str">
        <f>IFERROR(VLOOKUP($A4,T_TraitDi[#Data],COLUMN(T_TraitDi[[#This Row],[VILLE1]]),FALSE),"")</f>
        <v/>
      </c>
      <c r="BX4" s="182" t="str">
        <f>IFERROR(VLOOKUP(VLOOKUP($A4,T_TraitDi[#Data],COLUMN(T_TraitDi[[#This Row],[Type2]]),FALSE),TypeTW,2,FALSE),"")</f>
        <v/>
      </c>
      <c r="BY4" s="182" t="str">
        <f>IFERROR(VLOOKUP($A4,T_TraitDi[#Data],COLUMN(T_TraitDi[[#This Row],[Rue2]]),FALSE),"")</f>
        <v/>
      </c>
      <c r="BZ4" s="173" t="str">
        <f>IFERROR(VLOOKUP($A4,T_TraitDi[#Data],COLUMN(T_TraitDi[[#This Row],[CP2]]),FALSE),"")</f>
        <v/>
      </c>
      <c r="CA4" s="173" t="str">
        <f>IFERROR(VLOOKUP($A4,T_TraitDi[#Data],COLUMN(T_TraitDi[[#This Row],[VILLE2]]),FALSE),"")</f>
        <v/>
      </c>
      <c r="CB4" s="182" t="str">
        <f>IF(VLOOKUP(T_BilanSocial[[#This Row],[NumL]],T_Equipement[#Data],COLUMN(T_Equipement[[#This Row],[PC]]),FALSE)="","Aucun équipement spécifique directement lié au télétravail",VLOOKUP(T_BilanSocial[[#This Row],[NumL]],T_Equipement[#Data],COLUMN(T_Equipement[[#This Row],[PC]]),FALSE))</f>
        <v xml:space="preserve">20-131	</v>
      </c>
      <c r="CC4" s="166" t="str">
        <f>IFERROR(IF(VLOOKUP(T_BilanSocial[[#This Row],[NumL]],T_TraitDi[#Data],COLUMN(T_TraitDi[[#This Row],[Plan]]),FALSE)="OK","Un planning spécifique de télétravail est annexé à la présente convention.",""),"")</f>
        <v/>
      </c>
      <c r="CD4" s="258" t="s">
        <v>3289</v>
      </c>
      <c r="CE4" s="164" t="e">
        <f>IF(VLOOKUP(T_BilanSocial[[#This Row],[NumL]],T_suiviDi[#Data],COLUMN(T_suiviDi[[#This Row],[Entité]]),FALSE)="","",VLOOKUP(T_BilanSocial[[#This Row],[NumL]],T_suiviDi[#Data],COLUMN(T_suiviDi[[#This Row],[Entité]]),FALSE))</f>
        <v>#N/A</v>
      </c>
      <c r="CF4" s="164" t="str">
        <f>IF(VLOOKUP(T_BilanSocial[[#This Row],[NumL]],T_Commission[#Data],COLUMN(T_Commission[[#This Row],[envoi confirm TW]]),FALSE)="","",VLOOKUP(T_BilanSocial[[#This Row],[NumL]],T_Commission[#Data],COLUMN(T_Commission[[#This Row],[envoi confirm TW]]),FALSE))</f>
        <v>Oui</v>
      </c>
      <c r="CG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 s="262" t="str">
        <f>T_BilanSocial[[#This Row],[Nom]]&amp;T_BilanSocial[[#This Row],[Prenom]]</f>
        <v/>
      </c>
      <c r="CI4" s="262">
        <f>VLOOKUP(T_BilanSocial[[#This Row],[NumL]],T_Commission[#Data],COLUMN(T_Commission[Commentaire]),FALSE)</f>
        <v>0</v>
      </c>
      <c r="CJ4" s="262" t="str">
        <f>IF(VLOOKUP(T_BilanSocial[[#This Row],[NumL]],T_Commission[#Data],COLUMN(T_Commission[Encadrant Email]),FALSE)="","",VLOOKUP(T_BilanSocial[[#This Row],[NumL]],T_Commission[#Data],COLUMN(T_Commission[Encadrant Email]),FALSE))</f>
        <v/>
      </c>
      <c r="CK4" s="340" t="str">
        <f>IF(T_BilanSocial[[#This Row],[Final]]&lt;&gt;"",VLOOKUP(T_BilanSocial[[#This Row],[NumL]],T_suiviDi[#Data],COLUMN((T_suiviDi[Statut])),FALSE),"")</f>
        <v/>
      </c>
    </row>
    <row r="5" spans="1:89" s="106" customFormat="1" ht="24.75" customHeight="1" x14ac:dyDescent="0.25">
      <c r="A5" s="160">
        <v>2</v>
      </c>
      <c r="B5" s="161" t="str">
        <f t="shared" si="0"/>
        <v/>
      </c>
      <c r="C5" s="162" t="s">
        <v>3287</v>
      </c>
      <c r="D5" s="95" t="e">
        <f>IF(VLOOKUP(T_BilanSocial[[#This Row],[NumL]],T_TraitDi[#Data],COLUMN(T_TraitDi[[#This Row],[WebC]]),FALSE)="","",VLOOKUP(T_BilanSocial[[#This Row],[NumL]],T_TraitDi[#Data],COLUMN(T_TraitDi[[#This Row],[WebC]]),FALSE))</f>
        <v>#N/A</v>
      </c>
      <c r="E5" s="163" t="str">
        <f t="shared" si="1"/>
        <v>12 janvier 2021</v>
      </c>
      <c r="F5" s="96" t="str">
        <f>IF(T_BilanSocial[[#This Row],[Final]]&lt;&gt;"",VLOOKUP(T_BilanSocial[[#This Row],[NumL]],T_suiviDi[#Data],COLUMN((T_suiviDi[Civ.])),FALSE),"")</f>
        <v/>
      </c>
      <c r="G5" s="96" t="str">
        <f>IF(T_BilanSocial[[#This Row],[Final]]&lt;&gt;"",VLOOKUP(T_BilanSocial[[#This Row],[NumL]],T_suiviDi[#Data],COLUMN((T_suiviDi[Nom])),FALSE),"")</f>
        <v/>
      </c>
      <c r="H5" s="96" t="str">
        <f>IF(T_BilanSocial[[#This Row],[Final]]&lt;&gt;"",VLOOKUP(T_BilanSocial[[#This Row],[NumL]],T_suiviDi[#Data],COLUMN((T_suiviDi[Prénom])),FALSE),"")</f>
        <v/>
      </c>
      <c r="I5" s="96" t="str">
        <f>IFERROR(VLOOKUP(T_BilanSocial[[#This Row],[Zone_Bilan]],T_P_BilanSocial[#Data],COLUMN(T_P_BilanSocial[[#This Row],[Numero_SIHAM]]),FALSE),"")</f>
        <v/>
      </c>
      <c r="J5" s="96" t="str">
        <f>IFERROR(VLOOKUP(T_BilanSocial[[#This Row],[Zone_Bilan]],T_P_BilanSocial[#Data],COLUMN(T_P_BilanSocial[[#This Row],[Sexe]]),FALSE),"")</f>
        <v/>
      </c>
      <c r="K5" s="97" t="str">
        <f>IFERROR(VLOOKUP(T_BilanSocial[[#This Row],[Zone_Bilan]],T_P_BilanSocial[#Data],COLUMN(T_P_BilanSocial[[#This Row],[Categorie]]),FALSE),"")</f>
        <v/>
      </c>
      <c r="L5" s="96" t="str">
        <f>IFERROR(VLOOKUP(T_BilanSocial[[#This Row],[Zone_Bilan]],T_P_BilanSocial[#Data],COLUMN(T_P_BilanSocial[[#This Row],[Statut]]),FALSE),"")</f>
        <v/>
      </c>
      <c r="M5" s="96" t="str">
        <f>IFERROR(VLOOKUP(T_BilanSocial[[#This Row],[Zone_Bilan]],T_P_BilanSocial[#Data],COLUMN(T_P_BilanSocial[[#This Row],[Filiere]]),FALSE),"")</f>
        <v/>
      </c>
      <c r="N5" s="96" t="e">
        <f>VLOOKUP(T_BilanSocial[[#This Row],[NumL]],T_TraitDi[#Data],COLUMN(T_TraitDi[EXP]),FALSE)</f>
        <v>#N/A</v>
      </c>
      <c r="O5" s="96" t="e">
        <f>VLOOKUP(T_BilanSocial[[#This Row],[NumL]],T_TraitDi[#Data],COLUMN(T_TraitDi[FORM]),FALSE)</f>
        <v>#N/A</v>
      </c>
      <c r="P5" s="96" t="str">
        <f>IF(T_BilanSocial[[#This Row],[Final]]&lt;&gt;"",VLOOKUP(T_BilanSocial[[#This Row],[NumL]],T_suiviDi[#Data],COLUMN((T_suiviDi[Email])),FALSE),"")</f>
        <v/>
      </c>
      <c r="Q5" s="164" t="e">
        <f>IF(VLOOKUP(T_BilanSocial[[#This Row],[NumL]],T_suiviDi[#Data],COLUMN(T_suiviDi[[#This Row],[Fonction]]),FALSE)="","",VLOOKUP(T_BilanSocial[[#This Row],[NumL]],T_suiviDi[#Data],COLUMN(T_suiviDi[[#This Row],[Fonction]]),FALSE))</f>
        <v>#N/A</v>
      </c>
      <c r="R5" s="164" t="e">
        <f>IF(VLOOKUP(T_BilanSocial[[#This Row],[NumL]],T_suiviDi[#Data],COLUMN(T_suiviDi[[#This Row],[Grade]]),FALSE)="","",VLOOKUP(T_BilanSocial[[#This Row],[NumL]],T_suiviDi[#Data],COLUMN(T_suiviDi[[#This Row],[Grade]]),FALSE))</f>
        <v>#N/A</v>
      </c>
      <c r="S5" s="164" t="e">
        <f>IF(VLOOKUP(T_BilanSocial[[#This Row],[NumL]],T_suiviDi[#Data],COLUMN(T_suiviDi[[#This Row],[Service ]]),FALSE)="","",VLOOKUP(T_BilanSocial[[#This Row],[NumL]],T_suiviDi[#Data],COLUMN(T_suiviDi[[#This Row],[Service ]]),FALSE))</f>
        <v>#N/A</v>
      </c>
      <c r="T5" s="164" t="str">
        <f t="shared" si="2"/>
        <v>01 septembre 2021</v>
      </c>
      <c r="U5" s="164" t="str">
        <f t="shared" si="3"/>
        <v>30 novembre 2021</v>
      </c>
      <c r="V5" s="164" t="str">
        <f>TEXT(Datebilan,"jj mmmm aaaa")</f>
        <v>30 novembre 2021</v>
      </c>
      <c r="W5" s="176" t="e">
        <f>IF(VLOOKUP(T_BilanSocial[[#This Row],[NumL]],T_TraitDi[#Data],COLUMN(T_TraitDi[[#This Row],[M1]]),FALSE)="","",VLOOKUP(T_BilanSocial[[#This Row],[NumL]],T_TraitDi[#Data],COLUMN(T_TraitDi[[#This Row],[M1]]),FALSE))</f>
        <v>#N/A</v>
      </c>
      <c r="X5" s="176" t="e">
        <f>IF(VLOOKUP(T_BilanSocial[[#This Row],[NumL]],T_TraitDi[#Data],COLUMN(T_TraitDi[[#This Row],[M2]]),FALSE)="","",VLOOKUP(T_BilanSocial[[#This Row],[NumL]],T_TraitDi[#Data],COLUMN(T_TraitDi[[#This Row],[M2]]),FALSE))</f>
        <v>#N/A</v>
      </c>
      <c r="Y5" s="176" t="e">
        <f>IF(VLOOKUP(T_BilanSocial[[#This Row],[NumL]],T_TraitDi[#Data],COLUMN(T_TraitDi[[#This Row],[M3]]),FALSE)="","",VLOOKUP(T_BilanSocial[[#This Row],[NumL]],T_TraitDi[#Data],COLUMN(T_TraitDi[[#This Row],[M3]]),FALSE))</f>
        <v>#N/A</v>
      </c>
      <c r="Z5" s="176" t="str">
        <f t="shared" ref="Z5:Z68" si="5">IFERROR(IF(VLOOKUP($A5,TraitementDI,Z$3,FALSE)="",""," -"&amp;VLOOKUP($A5,TraitementDI,Z$3,FALSE)),"")</f>
        <v/>
      </c>
      <c r="AA5" s="176" t="e">
        <f>IF(VLOOKUP(T_BilanSocial[[#This Row],[NumL]],T_TraitDi[#Data],COLUMN(T_TraitDi[[#This Row],[M5]]),FALSE)="","",VLOOKUP(T_BilanSocial[[#This Row],[NumL]],T_TraitDi[#Data],COLUMN(T_TraitDi[[#This Row],[M5]]),FALSE))</f>
        <v>#N/A</v>
      </c>
      <c r="AB5" s="176" t="e">
        <f>IF(VLOOKUP(T_BilanSocial[[#This Row],[NumL]],T_TraitDi[#Data],COLUMN(T_TraitDi[[#This Row],[M6]]),FALSE)="","",VLOOKUP(T_BilanSocial[[#This Row],[NumL]],T_TraitDi[#Data],COLUMN(T_TraitDi[[#This Row],[M6]]),FALSE))</f>
        <v>#N/A</v>
      </c>
      <c r="AC5" s="165" t="e">
        <f t="shared" si="4"/>
        <v>#N/A</v>
      </c>
      <c r="AD5" s="188" t="str">
        <f>IFERROR(TEXT(VLOOKUP(T_BilanSocial[[#This Row],[NumL]],T_TraitDi[#Data],COLUMN(T_TraitDi[[#This Row],[Q2]]),FALSE),"###%"),"")</f>
        <v/>
      </c>
      <c r="AE5" s="97" t="e">
        <f>VLOOKUP(T_BilanSocial[[#This Row],[NumL]],T_TraitDi[#Data],COLUMN(T_TraitDi[[#This Row],[Reg Ponct]]),FALSE)</f>
        <v>#N/A</v>
      </c>
      <c r="AF5" s="97" t="e">
        <f>VLOOKUP(T_BilanSocial[NumL],T_TraitDi[#Data],COLUMN(T_TraitDi[[#This Row],[Jours flottants]]),FALSE)</f>
        <v>#N/A</v>
      </c>
      <c r="AG5" s="97" t="str">
        <f>IFERROR(VLOOKUP(T_BilanSocial[[#This Row],[NumL]],T_TraitDi[#Data],COLUMN(T_TraitDi[[#This Row],[Lundi]]),FALSE),"")</f>
        <v/>
      </c>
      <c r="AH5" s="172" t="e">
        <f>IF(VLOOKUP(T_BilanSocial[[#This Row],[NumL]],T_TraitDi[#Data],COLUMN(T_TraitDi[[#This Row],[Colonne3]]),FALSE)=0,"",TEXT(IFERROR(VLOOKUP(T_BilanSocial[[#This Row],[NumL]],T_TraitDi[#Data],COLUMN(T_TraitDi[[#This Row],[Colonne3]]),FALSE),""),"[hh]:mm"))</f>
        <v>#N/A</v>
      </c>
      <c r="AI5" s="172" t="e">
        <f>IF(VLOOKUP(T_BilanSocial[[#This Row],[NumL]],T_TraitDi[#Data],COLUMN(T_TraitDi[[#This Row],[Colonne4]]),FALSE)=0,"",TEXT(IFERROR(VLOOKUP(T_BilanSocial[[#This Row],[NumL]],T_TraitDi[#Data],COLUMN(T_TraitDi[[#This Row],[Colonne4]]),FALSE),""),"[hh]:mm"))</f>
        <v>#N/A</v>
      </c>
      <c r="AJ5" s="172" t="e">
        <f>IF(VLOOKUP(T_BilanSocial[[#This Row],[NumL]],T_TraitDi[#Data],COLUMN(T_TraitDi[[#This Row],[Colonne5]]),FALSE)=0,"",TEXT(IFERROR(VLOOKUP(T_BilanSocial[[#This Row],[NumL]],T_TraitDi[#Data],COLUMN(T_TraitDi[[#This Row],[Colonne5]]),FALSE),""),"[hh]:mm"))</f>
        <v>#N/A</v>
      </c>
      <c r="AK5" s="172" t="e">
        <f>IF(VLOOKUP(T_BilanSocial[[#This Row],[NumL]],T_TraitDi[#Data],COLUMN(T_TraitDi[[#This Row],[Colonne6]]),FALSE)=0,"",TEXT(IFERROR(VLOOKUP(T_BilanSocial[[#This Row],[NumL]],T_TraitDi[#Data],COLUMN(T_TraitDi[[#This Row],[Colonne6]]),FALSE),""),"[hh]:mm"))</f>
        <v>#N/A</v>
      </c>
      <c r="AL5" s="172" t="e">
        <f>IF(VLOOKUP(T_BilanSocial[[#This Row],[NumL]],T_TraitDi[#Data],COLUMN(T_TraitDi[[#This Row],[Colonne7]]),FALSE)=0,"",TEXT(IFERROR(VLOOKUP(T_BilanSocial[[#This Row],[NumL]],T_TraitDi[#Data],COLUMN(T_TraitDi[[#This Row],[Colonne7]]),FALSE),""),"[hh]:mm"))</f>
        <v>#N/A</v>
      </c>
      <c r="AM5" s="172" t="e">
        <f>IF(VLOOKUP(T_BilanSocial[[#This Row],[NumL]],T_TraitDi[#Data],COLUMN(T_TraitDi[[#This Row],[Colonne8]]),FALSE)=0,"",TEXT(IFERROR(VLOOKUP(T_BilanSocial[[#This Row],[NumL]],T_TraitDi[#Data],COLUMN(T_TraitDi[[#This Row],[Colonne8]]),FALSE),""),"[hh]:mm"))</f>
        <v>#N/A</v>
      </c>
      <c r="AN5" s="172" t="str">
        <f>IFERROR(VLOOKUP(T_BilanSocial[[#This Row],[NumL]],T_TraitDi[#Data],COLUMN(T_TraitDi[[#This Row],[Mardi]]),FALSE),"")</f>
        <v/>
      </c>
      <c r="AO5" s="172" t="e">
        <f>IF(VLOOKUP(T_BilanSocial[[#This Row],[NumL]],T_TraitDi[#Data],COLUMN(T_TraitDi[[#This Row],[Colonne1]]),FALSE)=0,"",TEXT(IFERROR(VLOOKUP(T_BilanSocial[[#This Row],[NumL]],T_TraitDi[#Data],COLUMN(T_TraitDi[[#This Row],[Colonne1]]),FALSE),""),"[hh]:mm"))</f>
        <v>#N/A</v>
      </c>
      <c r="AP5" s="172" t="e">
        <f>IF(VLOOKUP(T_BilanSocial[[#This Row],[NumL]],T_TraitDi[#Data],COLUMN(T_TraitDi[[#This Row],[Colonne9]]),FALSE)=0,"",TEXT(IFERROR(VLOOKUP(T_BilanSocial[[#This Row],[NumL]],T_TraitDi[#Data],COLUMN(T_TraitDi[[#This Row],[Colonne9]]),FALSE),""),"[hh]:mm"))</f>
        <v>#N/A</v>
      </c>
      <c r="AQ5" s="172" t="str">
        <f>IFERROR(VLOOKUP(T_BilanSocial[[#This Row],[NumL]],T_TraitDi[#Data],COLUMN(T_TraitDi[[#This Row],[Colonne10]]),FALSE),"")</f>
        <v/>
      </c>
      <c r="AR5" s="172" t="e">
        <f>IF(VLOOKUP(T_BilanSocial[[#This Row],[NumL]],T_TraitDi[#Data],COLUMN(T_TraitDi[[#This Row],[Colonne11]]),FALSE)=0,"",TEXT(IFERROR(VLOOKUP(T_BilanSocial[[#This Row],[NumL]],T_TraitDi[#Data],COLUMN(T_TraitDi[[#This Row],[Colonne11]]),FALSE),""),"[hh]:mm"))</f>
        <v>#N/A</v>
      </c>
      <c r="AS5" s="172" t="e">
        <f>IF(VLOOKUP(T_BilanSocial[[#This Row],[NumL]],T_TraitDi[#Data],COLUMN(T_TraitDi[[#This Row],[Colonne12]]),FALSE)=0,"",TEXT(IFERROR(VLOOKUP(T_BilanSocial[[#This Row],[NumL]],T_TraitDi[#Data],COLUMN(T_TraitDi[[#This Row],[Colonne12]]),FALSE),""),"[hh]:mm"))</f>
        <v>#N/A</v>
      </c>
      <c r="AT5" s="172" t="e">
        <f>IF(VLOOKUP(T_BilanSocial[[#This Row],[NumL]],T_TraitDi[#Data],COLUMN(T_TraitDi[[#This Row],[Colonne14]]),FALSE)=0,"",TEXT(IFERROR(VLOOKUP(T_BilanSocial[[#This Row],[NumL]],T_TraitDi[#Data],COLUMN(T_TraitDi[[#This Row],[Colonne14]]),FALSE),""),"[hh]:mm"))</f>
        <v>#N/A</v>
      </c>
      <c r="AU5" s="172" t="str">
        <f>IFERROR(VLOOKUP(T_BilanSocial[[#This Row],[NumL]],T_TraitDi[#Data],COLUMN(T_TraitDi[[#This Row],[Mercredi]]),FALSE),"")</f>
        <v/>
      </c>
      <c r="AV5" s="172" t="e">
        <f>IF(VLOOKUP(T_BilanSocial[[#This Row],[NumL]],T_TraitDi[#Data],COLUMN(T_TraitDi[[#This Row],[Colonne15]]),FALSE)=0,"",TEXT(IFERROR(VLOOKUP(T_BilanSocial[[#This Row],[NumL]],T_TraitDi[#Data],COLUMN(T_TraitDi[[#This Row],[Colonne15]]),FALSE),""),"[hh]:mm"))</f>
        <v>#N/A</v>
      </c>
      <c r="AW5" s="172" t="e">
        <f>IF(VLOOKUP(T_BilanSocial[[#This Row],[NumL]],T_TraitDi[#Data],COLUMN(T_TraitDi[[#This Row],[Colonne16]]),FALSE)=0,"",TEXT(IFERROR(VLOOKUP(T_BilanSocial[[#This Row],[NumL]],T_TraitDi[#Data],COLUMN(T_TraitDi[[#This Row],[Colonne16]]),FALSE),""),"[hh]:mm"))</f>
        <v>#N/A</v>
      </c>
      <c r="AX5" s="172" t="str">
        <f>IFERROR(VLOOKUP(T_BilanSocial[[#This Row],[NumL]],T_TraitDi[#Data],COLUMN(T_TraitDi[[#This Row],[Colonne17]]),FALSE),"")</f>
        <v/>
      </c>
      <c r="AY5" s="172" t="e">
        <f>IF(VLOOKUP(T_BilanSocial[[#This Row],[NumL]],T_TraitDi[#Data],COLUMN(T_TraitDi[[#This Row],[Colonne18]]),FALSE)=0,"",TEXT(IFERROR(VLOOKUP(T_BilanSocial[[#This Row],[NumL]],T_TraitDi[#Data],COLUMN(T_TraitDi[[#This Row],[Colonne18]]),FALSE),""),"[hh]:mm"))</f>
        <v>#N/A</v>
      </c>
      <c r="AZ5" s="172" t="e">
        <f>IF(VLOOKUP(T_BilanSocial[[#This Row],[NumL]],T_TraitDi[#Data],COLUMN(T_TraitDi[[#This Row],[Colonne19]]),FALSE)=0,"",TEXT(IFERROR(VLOOKUP(T_BilanSocial[[#This Row],[NumL]],T_TraitDi[#Data],COLUMN(T_TraitDi[[#This Row],[Colonne19]]),FALSE),""),"[hh]:mm"))</f>
        <v>#N/A</v>
      </c>
      <c r="BA5" s="172" t="e">
        <f>IF(VLOOKUP(T_BilanSocial[[#This Row],[NumL]],T_TraitDi[#Data],COLUMN(T_TraitDi[[#This Row],[Colonne20]]),FALSE)=0,"",TEXT(IFERROR(VLOOKUP(T_BilanSocial[[#This Row],[NumL]],T_TraitDi[#Data],COLUMN(T_TraitDi[[#This Row],[Colonne20]]),FALSE),""),"[hh]:mm"))</f>
        <v>#N/A</v>
      </c>
      <c r="BB5" s="178" t="str">
        <f>IFERROR(VLOOKUP(T_BilanSocial[[#This Row],[NumL]],T_TraitDi[#Data],COLUMN(T_TraitDi[[#This Row],[Jeudi]]),FALSE),"")</f>
        <v/>
      </c>
      <c r="BC5" s="178" t="e">
        <f>IF(VLOOKUP(T_BilanSocial[[#This Row],[NumL]],T_TraitDi[#Data],COLUMN(T_TraitDi[[#This Row],[Colonne21]]),FALSE)=0,"",TEXT(IFERROR(VLOOKUP(T_BilanSocial[[#This Row],[NumL]],T_TraitDi[#Data],COLUMN(T_TraitDi[[#This Row],[Colonne21]]),FALSE),""),"[hh]:mm"))</f>
        <v>#N/A</v>
      </c>
      <c r="BD5" s="178" t="e">
        <f>IF(VLOOKUP(T_BilanSocial[[#This Row],[NumL]],T_TraitDi[#Data],COLUMN(T_TraitDi[[#This Row],[Colonne22]]),FALSE)=0,"",TEXT(IFERROR(VLOOKUP(T_BilanSocial[[#This Row],[NumL]],T_TraitDi[#Data],COLUMN(T_TraitDi[[#This Row],[Colonne22]]),FALSE),""),"[hh]:mm"))</f>
        <v>#N/A</v>
      </c>
      <c r="BE5" s="178" t="str">
        <f>IFERROR(VLOOKUP(T_BilanSocial[[#This Row],[NumL]],T_TraitDi[#Data],COLUMN(T_TraitDi[[#This Row],[Colonne23]]),FALSE),"")</f>
        <v/>
      </c>
      <c r="BF5" s="178" t="e">
        <f>IF(VLOOKUP(T_BilanSocial[[#This Row],[NumL]],T_TraitDi[#Data],COLUMN(T_TraitDi[[#This Row],[Colonne24]]),FALSE)=0,"",TEXT(IFERROR(VLOOKUP(T_BilanSocial[[#This Row],[NumL]],T_TraitDi[#Data],COLUMN(T_TraitDi[[#This Row],[Colonne24]]),FALSE),""),"[hh]:mm"))</f>
        <v>#N/A</v>
      </c>
      <c r="BG5" s="178" t="e">
        <f>IF(VLOOKUP(T_BilanSocial[[#This Row],[NumL]],T_TraitDi[#Data],COLUMN(T_TraitDi[[#This Row],[Colonne25]]),FALSE)=0,"",TEXT(IFERROR(VLOOKUP(T_BilanSocial[[#This Row],[NumL]],T_TraitDi[#Data],COLUMN(T_TraitDi[[#This Row],[Colonne25]]),FALSE),""),"[hh]:mm"))</f>
        <v>#N/A</v>
      </c>
      <c r="BH5" s="178" t="e">
        <f>IF(VLOOKUP(T_BilanSocial[[#This Row],[NumL]],T_TraitDi[#Data],COLUMN(T_TraitDi[[#This Row],[Colonne26]]),FALSE)=0,"",TEXT(IFERROR(VLOOKUP(T_BilanSocial[[#This Row],[NumL]],T_TraitDi[#Data],COLUMN(T_TraitDi[[#This Row],[Colonne26]]),FALSE),""),"[hh]:mm"))</f>
        <v>#N/A</v>
      </c>
      <c r="BI5" s="172" t="str">
        <f>IFERROR(VLOOKUP(T_BilanSocial[[#This Row],[NumL]],T_TraitDi[#Data],COLUMN(T_TraitDi[[#This Row],[Vendredi]]),FALSE),"")</f>
        <v/>
      </c>
      <c r="BJ5" s="172" t="e">
        <f>IF(VLOOKUP(T_BilanSocial[[#This Row],[NumL]],T_TraitDi[#Data],COLUMN(T_TraitDi[[#This Row],[Colonne27]]),FALSE)=0,"",TEXT(IFERROR(VLOOKUP(T_BilanSocial[[#This Row],[NumL]],T_TraitDi[#Data],COLUMN(T_TraitDi[[#This Row],[Colonne27]]),FALSE),""),"[hh]:mm"))</f>
        <v>#N/A</v>
      </c>
      <c r="BK5" s="172" t="e">
        <f>IF(VLOOKUP(T_BilanSocial[[#This Row],[NumL]],T_TraitDi[#Data],COLUMN(T_TraitDi[[#This Row],[Colonne28]]),FALSE)=0,"",TEXT(IFERROR(VLOOKUP(T_BilanSocial[[#This Row],[NumL]],T_TraitDi[#Data],COLUMN(T_TraitDi[[#This Row],[Colonne28]]),FALSE),""),"[hh]:mm"))</f>
        <v>#N/A</v>
      </c>
      <c r="BL5" s="172" t="str">
        <f>IFERROR(VLOOKUP(T_BilanSocial[[#This Row],[NumL]],T_TraitDi[#Data],COLUMN(T_TraitDi[[#This Row],[Colonne29]]),FALSE),"")</f>
        <v/>
      </c>
      <c r="BM5" s="172" t="e">
        <f>IF(VLOOKUP(T_BilanSocial[[#This Row],[NumL]],T_TraitDi[#Data],COLUMN(T_TraitDi[[#This Row],[Colonne30]]),FALSE)=0,"",TEXT(IFERROR(VLOOKUP(T_BilanSocial[[#This Row],[NumL]],T_TraitDi[#Data],COLUMN(T_TraitDi[[#This Row],[Colonne30]]),FALSE),""),"[hh]:mm"))</f>
        <v>#N/A</v>
      </c>
      <c r="BN5" s="172" t="e">
        <f>IF(VLOOKUP(T_BilanSocial[[#This Row],[NumL]],T_TraitDi[#Data],COLUMN(T_TraitDi[[#This Row],[Colonne31]]),FALSE)=0,"",TEXT(IFERROR(VLOOKUP(T_BilanSocial[[#This Row],[NumL]],T_TraitDi[#Data],COLUMN(T_TraitDi[[#This Row],[Colonne31]]),FALSE),""),"[hh]:mm"))</f>
        <v>#N/A</v>
      </c>
      <c r="BO5" s="172" t="e">
        <f>IF(VLOOKUP(T_BilanSocial[[#This Row],[NumL]],T_TraitDi[#Data],COLUMN(T_TraitDi[[#This Row],[Colonne32]]),FALSE)=0,"",TEXT(IFERROR(VLOOKUP(T_BilanSocial[[#This Row],[NumL]],T_TraitDi[#Data],COLUMN(T_TraitDi[[#This Row],[Colonne32]]),FALSE),""),"[hh]:mm"))</f>
        <v>#N/A</v>
      </c>
      <c r="BP5" s="172" t="e">
        <f>VLOOKUP(T_BilanSocial[[#This Row],[NumL]],T_TraitDi[#Data],COLUMN(T_TraitDi[NbJTot]),FALSE)</f>
        <v>#N/A</v>
      </c>
      <c r="BQ5" s="174" t="str">
        <f>IFERROR(VLOOKUP(T_BilanSocial[[#This Row],[NumL]],T_TraitDi[#Data],COLUMN(T_TraitDi[[#This Row],[NbJTW]]),FALSE),"")</f>
        <v/>
      </c>
      <c r="BR5" s="174" t="e">
        <f>IF(VLOOKUP(T_BilanSocial[[#This Row],[NumL]],T_TraitDi[#Data],COLUMN(T_TraitDi[[#This Row],[NbhTW]]),FALSE)=0,"",TEXT(IFERROR(VLOOKUP(T_BilanSocial[[#This Row],[NumL]],T_TraitDi[#Data],COLUMN(T_TraitDi[[#This Row],[NbhTW]]),FALSE),""),"[hh]:mm"))</f>
        <v>#N/A</v>
      </c>
      <c r="BS5" s="174" t="e">
        <f>IF(VLOOKUP(T_BilanSocial[[#This Row],[NumL]],T_TraitDi[#Data],COLUMN(T_TraitDi[[#This Row],[Nbhheb]]),FALSE)=0,"",TEXT(IFERROR(VLOOKUP($A5,T_TraitDi[#Data],COLUMN(T_TraitDi[[#This Row],[Nbhheb]]),FALSE),""),"[hh]:mm"))</f>
        <v>#N/A</v>
      </c>
      <c r="BT5" s="182" t="str">
        <f>IFERROR(VLOOKUP(VLOOKUP($A5,T_TraitDi[#Data],COLUMN(T_TraitDi[[#This Row],[Type1]]),FALSE),TypeTW,2,FALSE),"")</f>
        <v/>
      </c>
      <c r="BU5" s="182" t="str">
        <f>IFERROR(VLOOKUP($A5,T_TraitDi[#Data],COLUMN(T_TraitDi[[#This Row],[Rue1]]),FALSE),"")</f>
        <v/>
      </c>
      <c r="BV5" s="173" t="str">
        <f>IFERROR(VLOOKUP($A5,T_TraitDi[#Data],COLUMN(T_TraitDi[[#This Row],[CP1]]),FALSE),"")</f>
        <v/>
      </c>
      <c r="BW5" s="173" t="str">
        <f>IFERROR(VLOOKUP($A5,T_TraitDi[#Data],COLUMN(T_TraitDi[[#This Row],[VILLE1]]),FALSE),"")</f>
        <v/>
      </c>
      <c r="BX5" s="182" t="str">
        <f>IFERROR(VLOOKUP(VLOOKUP($A5,T_TraitDi[#Data],COLUMN(T_TraitDi[[#This Row],[Type2]]),FALSE),TypeTW,2,FALSE),"")</f>
        <v/>
      </c>
      <c r="BY5" s="182" t="str">
        <f>IFERROR(VLOOKUP($A5,T_TraitDi[#Data],COLUMN(T_TraitDi[[#This Row],[Rue2]]),FALSE),"")</f>
        <v/>
      </c>
      <c r="BZ5" s="173" t="str">
        <f>IFERROR(VLOOKUP($A5,T_TraitDi[#Data],COLUMN(T_TraitDi[[#This Row],[CP2]]),FALSE),"")</f>
        <v/>
      </c>
      <c r="CA5" s="173" t="str">
        <f>IFERROR(VLOOKUP($A5,T_TraitDi[#Data],COLUMN(T_TraitDi[[#This Row],[VILLE2]]),FALSE),"")</f>
        <v/>
      </c>
      <c r="CB5" s="182" t="str">
        <f>IF(VLOOKUP(T_BilanSocial[[#This Row],[NumL]],T_Equipement[#Data],COLUMN(T_Equipement[[#This Row],[PC]]),FALSE)="","Aucun équipement spécifique directement lié au télétravail",VLOOKUP(T_BilanSocial[[#This Row],[NumL]],T_Equipement[#Data],COLUMN(T_Equipement[[#This Row],[PC]]),FALSE))</f>
        <v xml:space="preserve">16-429	</v>
      </c>
      <c r="CC5" s="166" t="str">
        <f>IFERROR(IF(VLOOKUP(T_BilanSocial[[#This Row],[NumL]],T_TraitDi[#Data],COLUMN(T_TraitDi[[#This Row],[Plan]]),FALSE)="OK","Un planning spécifique de télétravail est annexé à la présente convention.",""),"")</f>
        <v/>
      </c>
      <c r="CD5" s="185"/>
      <c r="CE5" s="164" t="e">
        <f>IF(VLOOKUP(T_BilanSocial[[#This Row],[NumL]],T_suiviDi[#Data],COLUMN(T_suiviDi[[#This Row],[Entité]]),FALSE)="","",VLOOKUP(T_BilanSocial[[#This Row],[NumL]],T_suiviDi[#Data],COLUMN(T_suiviDi[[#This Row],[Entité]]),FALSE))</f>
        <v>#N/A</v>
      </c>
      <c r="CF5" s="164" t="str">
        <f>IF(VLOOKUP(T_BilanSocial[[#This Row],[NumL]],T_Commission[#Data],COLUMN(T_Commission[[#This Row],[envoi confirm TW]]),FALSE)="","",VLOOKUP(T_BilanSocial[[#This Row],[NumL]],T_Commission[#Data],COLUMN(T_Commission[[#This Row],[envoi confirm TW]]),FALSE))</f>
        <v>Oui</v>
      </c>
      <c r="CG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 s="262" t="str">
        <f>T_BilanSocial[[#This Row],[Nom]]&amp;T_BilanSocial[[#This Row],[Prenom]]</f>
        <v/>
      </c>
      <c r="CI5" s="326">
        <f>VLOOKUP(T_BilanSocial[[#This Row],[NumL]],T_Commission[#Data],COLUMN(T_Commission[Commentaire]),FALSE)</f>
        <v>0</v>
      </c>
      <c r="CJ5" s="262" t="str">
        <f>IF(VLOOKUP(T_BilanSocial[[#This Row],[NumL]],T_Commission[#Data],COLUMN(T_Commission[Encadrant Email]),FALSE)="","",VLOOKUP(T_BilanSocial[[#This Row],[NumL]],T_Commission[#Data],COLUMN(T_Commission[Encadrant Email]),FALSE))</f>
        <v/>
      </c>
      <c r="CK5" s="340" t="str">
        <f>IF(T_BilanSocial[[#This Row],[Final]]&lt;&gt;"",VLOOKUP(T_BilanSocial[[#This Row],[NumL]],T_suiviDi[#Data],COLUMN((T_suiviDi[Statut])),FALSE),"")</f>
        <v/>
      </c>
    </row>
    <row r="6" spans="1:89" s="106" customFormat="1" ht="24.75" customHeight="1" x14ac:dyDescent="0.25">
      <c r="A6" s="160">
        <v>3</v>
      </c>
      <c r="B6" s="161" t="str">
        <f t="shared" si="0"/>
        <v/>
      </c>
      <c r="C6" s="162" t="s">
        <v>139</v>
      </c>
      <c r="D6" s="95" t="e">
        <f>IF(VLOOKUP(T_BilanSocial[[#This Row],[NumL]],T_TraitDi[#Data],COLUMN(T_TraitDi[[#This Row],[WebC]]),FALSE)="","",VLOOKUP(T_BilanSocial[[#This Row],[NumL]],T_TraitDi[#Data],COLUMN(T_TraitDi[[#This Row],[WebC]]),FALSE))</f>
        <v>#N/A</v>
      </c>
      <c r="E6" s="163" t="str">
        <f t="shared" si="1"/>
        <v>12 janvier 2021</v>
      </c>
      <c r="F6" s="96" t="str">
        <f>IF(T_BilanSocial[[#This Row],[Final]]&lt;&gt;"",VLOOKUP(T_BilanSocial[[#This Row],[NumL]],T_suiviDi[#Data],COLUMN((T_suiviDi[Civ.])),FALSE),"")</f>
        <v/>
      </c>
      <c r="G6" s="96" t="str">
        <f>IF(T_BilanSocial[[#This Row],[Final]]&lt;&gt;"",VLOOKUP(T_BilanSocial[[#This Row],[NumL]],T_suiviDi[#Data],COLUMN((T_suiviDi[Nom])),FALSE),"")</f>
        <v/>
      </c>
      <c r="H6" s="96" t="str">
        <f>IF(T_BilanSocial[[#This Row],[Final]]&lt;&gt;"",VLOOKUP(T_BilanSocial[[#This Row],[NumL]],T_suiviDi[#Data],COLUMN((T_suiviDi[Prénom])),FALSE),"")</f>
        <v/>
      </c>
      <c r="I6" s="96" t="str">
        <f>IFERROR(VLOOKUP(T_BilanSocial[[#This Row],[Zone_Bilan]],T_P_BilanSocial[#Data],COLUMN(T_P_BilanSocial[[#This Row],[Numero_SIHAM]]),FALSE),"")</f>
        <v/>
      </c>
      <c r="J6" s="96" t="str">
        <f>IFERROR(VLOOKUP(T_BilanSocial[[#This Row],[Zone_Bilan]],T_P_BilanSocial[#Data],COLUMN(T_P_BilanSocial[[#This Row],[Sexe]]),FALSE),"")</f>
        <v/>
      </c>
      <c r="K6" s="97" t="str">
        <f>IFERROR(VLOOKUP(T_BilanSocial[[#This Row],[Zone_Bilan]],T_P_BilanSocial[#Data],COLUMN(T_P_BilanSocial[[#This Row],[Categorie]]),FALSE),"")</f>
        <v/>
      </c>
      <c r="L6" s="96" t="str">
        <f>IFERROR(VLOOKUP(T_BilanSocial[[#This Row],[Zone_Bilan]],T_P_BilanSocial[#Data],COLUMN(T_P_BilanSocial[[#This Row],[Statut]]),FALSE),"")</f>
        <v/>
      </c>
      <c r="M6" s="96" t="str">
        <f>IFERROR(VLOOKUP(T_BilanSocial[[#This Row],[Zone_Bilan]],T_P_BilanSocial[#Data],COLUMN(T_P_BilanSocial[[#This Row],[Filiere]]),FALSE),"")</f>
        <v/>
      </c>
      <c r="N6" s="96" t="e">
        <f>VLOOKUP(T_BilanSocial[[#This Row],[NumL]],T_TraitDi[#Data],COLUMN(T_TraitDi[EXP]),FALSE)</f>
        <v>#N/A</v>
      </c>
      <c r="O6" s="96" t="e">
        <f>VLOOKUP(T_BilanSocial[[#This Row],[NumL]],T_TraitDi[#Data],COLUMN(T_TraitDi[FORM]),FALSE)</f>
        <v>#N/A</v>
      </c>
      <c r="P6" s="96" t="str">
        <f>IF(T_BilanSocial[[#This Row],[Final]]&lt;&gt;"",VLOOKUP(T_BilanSocial[[#This Row],[NumL]],T_suiviDi[#Data],COLUMN((T_suiviDi[Email])),FALSE),"")</f>
        <v/>
      </c>
      <c r="Q6" s="164" t="e">
        <f>IF(VLOOKUP(T_BilanSocial[[#This Row],[NumL]],T_suiviDi[#Data],COLUMN(T_suiviDi[[#This Row],[Fonction]]),FALSE)="","",VLOOKUP(T_BilanSocial[[#This Row],[NumL]],T_suiviDi[#Data],COLUMN(T_suiviDi[[#This Row],[Fonction]]),FALSE))</f>
        <v>#N/A</v>
      </c>
      <c r="R6" s="164" t="e">
        <f>IF(VLOOKUP(T_BilanSocial[[#This Row],[NumL]],T_suiviDi[#Data],COLUMN(T_suiviDi[[#This Row],[Grade]]),FALSE)="","",VLOOKUP(T_BilanSocial[[#This Row],[NumL]],T_suiviDi[#Data],COLUMN(T_suiviDi[[#This Row],[Grade]]),FALSE))</f>
        <v>#N/A</v>
      </c>
      <c r="S6" s="164" t="e">
        <f>IF(VLOOKUP(T_BilanSocial[[#This Row],[NumL]],T_suiviDi[#Data],COLUMN(T_suiviDi[[#This Row],[Service ]]),FALSE)="","",VLOOKUP(T_BilanSocial[[#This Row],[NumL]],T_suiviDi[#Data],COLUMN(T_suiviDi[[#This Row],[Service ]]),FALSE))</f>
        <v>#N/A</v>
      </c>
      <c r="T6" s="164" t="str">
        <f t="shared" si="2"/>
        <v>01 septembre 2021</v>
      </c>
      <c r="U6" s="164" t="str">
        <f t="shared" si="3"/>
        <v>30 novembre 2021</v>
      </c>
      <c r="V6" s="256">
        <f>Datebilan</f>
        <v>44530</v>
      </c>
      <c r="W6" s="176" t="e">
        <f>IF(VLOOKUP(T_BilanSocial[[#This Row],[NumL]],T_TraitDi[#Data],COLUMN(T_TraitDi[[#This Row],[M1]]),FALSE)="","",VLOOKUP(T_BilanSocial[[#This Row],[NumL]],T_TraitDi[#Data],COLUMN(T_TraitDi[[#This Row],[M1]]),FALSE))</f>
        <v>#N/A</v>
      </c>
      <c r="X6" s="176" t="e">
        <f>IF(VLOOKUP(T_BilanSocial[[#This Row],[NumL]],T_TraitDi[#Data],COLUMN(T_TraitDi[[#This Row],[M2]]),FALSE)="","",VLOOKUP(T_BilanSocial[[#This Row],[NumL]],T_TraitDi[#Data],COLUMN(T_TraitDi[[#This Row],[M2]]),FALSE))</f>
        <v>#N/A</v>
      </c>
      <c r="Y6" s="176" t="e">
        <f>IF(VLOOKUP(T_BilanSocial[[#This Row],[NumL]],T_TraitDi[#Data],COLUMN(T_TraitDi[[#This Row],[M3]]),FALSE)="","",VLOOKUP(T_BilanSocial[[#This Row],[NumL]],T_TraitDi[#Data],COLUMN(T_TraitDi[[#This Row],[M3]]),FALSE))</f>
        <v>#N/A</v>
      </c>
      <c r="Z6" s="176" t="str">
        <f t="shared" si="5"/>
        <v/>
      </c>
      <c r="AA6" s="176" t="e">
        <f>IF(VLOOKUP(T_BilanSocial[[#This Row],[NumL]],T_TraitDi[#Data],COLUMN(T_TraitDi[[#This Row],[M5]]),FALSE)="","",VLOOKUP(T_BilanSocial[[#This Row],[NumL]],T_TraitDi[#Data],COLUMN(T_TraitDi[[#This Row],[M5]]),FALSE))</f>
        <v>#N/A</v>
      </c>
      <c r="AB6" s="176" t="e">
        <f>IF(VLOOKUP(T_BilanSocial[[#This Row],[NumL]],T_TraitDi[#Data],COLUMN(T_TraitDi[[#This Row],[M6]]),FALSE)="","",VLOOKUP(T_BilanSocial[[#This Row],[NumL]],T_TraitDi[#Data],COLUMN(T_TraitDi[[#This Row],[M6]]),FALSE))</f>
        <v>#N/A</v>
      </c>
      <c r="AC6" s="165" t="e">
        <f t="shared" si="4"/>
        <v>#N/A</v>
      </c>
      <c r="AD6" s="188" t="str">
        <f>IFERROR(TEXT(VLOOKUP(T_BilanSocial[[#This Row],[NumL]],T_TraitDi[#Data],COLUMN(T_TraitDi[[#This Row],[Q2]]),FALSE),"###%"),"")</f>
        <v/>
      </c>
      <c r="AE6" s="97" t="e">
        <f>VLOOKUP(T_BilanSocial[[#This Row],[NumL]],T_TraitDi[#Data],COLUMN(T_TraitDi[[#This Row],[Reg Ponct]]),FALSE)</f>
        <v>#N/A</v>
      </c>
      <c r="AF6" s="97" t="e">
        <f>VLOOKUP(T_BilanSocial[NumL],T_TraitDi[#Data],COLUMN(T_TraitDi[[#This Row],[Jours flottants]]),FALSE)</f>
        <v>#N/A</v>
      </c>
      <c r="AG6" s="97" t="str">
        <f>IFERROR(VLOOKUP(T_BilanSocial[[#This Row],[NumL]],T_TraitDi[#Data],COLUMN(T_TraitDi[[#This Row],[Lundi]]),FALSE),"")</f>
        <v/>
      </c>
      <c r="AH6" s="172" t="e">
        <f>IF(VLOOKUP(T_BilanSocial[[#This Row],[NumL]],T_TraitDi[#Data],COLUMN(T_TraitDi[[#This Row],[Colonne3]]),FALSE)=0,"",TEXT(IFERROR(VLOOKUP(T_BilanSocial[[#This Row],[NumL]],T_TraitDi[#Data],COLUMN(T_TraitDi[[#This Row],[Colonne3]]),FALSE),""),"[hh]:mm"))</f>
        <v>#N/A</v>
      </c>
      <c r="AI6" s="172" t="e">
        <f>IF(VLOOKUP(T_BilanSocial[[#This Row],[NumL]],T_TraitDi[#Data],COLUMN(T_TraitDi[[#This Row],[Colonne4]]),FALSE)=0,"",TEXT(IFERROR(VLOOKUP(T_BilanSocial[[#This Row],[NumL]],T_TraitDi[#Data],COLUMN(T_TraitDi[[#This Row],[Colonne4]]),FALSE),""),"[hh]:mm"))</f>
        <v>#N/A</v>
      </c>
      <c r="AJ6" s="172" t="e">
        <f>IF(VLOOKUP(T_BilanSocial[[#This Row],[NumL]],T_TraitDi[#Data],COLUMN(T_TraitDi[[#This Row],[Colonne5]]),FALSE)=0,"",TEXT(IFERROR(VLOOKUP(T_BilanSocial[[#This Row],[NumL]],T_TraitDi[#Data],COLUMN(T_TraitDi[[#This Row],[Colonne5]]),FALSE),""),"[hh]:mm"))</f>
        <v>#N/A</v>
      </c>
      <c r="AK6" s="172" t="e">
        <f>IF(VLOOKUP(T_BilanSocial[[#This Row],[NumL]],T_TraitDi[#Data],COLUMN(T_TraitDi[[#This Row],[Colonne6]]),FALSE)=0,"",TEXT(IFERROR(VLOOKUP(T_BilanSocial[[#This Row],[NumL]],T_TraitDi[#Data],COLUMN(T_TraitDi[[#This Row],[Colonne6]]),FALSE),""),"[hh]:mm"))</f>
        <v>#N/A</v>
      </c>
      <c r="AL6" s="172" t="e">
        <f>IF(VLOOKUP(T_BilanSocial[[#This Row],[NumL]],T_TraitDi[#Data],COLUMN(T_TraitDi[[#This Row],[Colonne7]]),FALSE)=0,"",TEXT(IFERROR(VLOOKUP(T_BilanSocial[[#This Row],[NumL]],T_TraitDi[#Data],COLUMN(T_TraitDi[[#This Row],[Colonne7]]),FALSE),""),"[hh]:mm"))</f>
        <v>#N/A</v>
      </c>
      <c r="AM6" s="172" t="e">
        <f>IF(VLOOKUP(T_BilanSocial[[#This Row],[NumL]],T_TraitDi[#Data],COLUMN(T_TraitDi[[#This Row],[Colonne8]]),FALSE)=0,"",TEXT(IFERROR(VLOOKUP(T_BilanSocial[[#This Row],[NumL]],T_TraitDi[#Data],COLUMN(T_TraitDi[[#This Row],[Colonne8]]),FALSE),""),"[hh]:mm"))</f>
        <v>#N/A</v>
      </c>
      <c r="AN6" s="172" t="str">
        <f>IFERROR(VLOOKUP(T_BilanSocial[[#This Row],[NumL]],T_TraitDi[#Data],COLUMN(T_TraitDi[[#This Row],[Mardi]]),FALSE),"")</f>
        <v/>
      </c>
      <c r="AO6" s="172" t="e">
        <f>IF(VLOOKUP(T_BilanSocial[[#This Row],[NumL]],T_TraitDi[#Data],COLUMN(T_TraitDi[[#This Row],[Colonne1]]),FALSE)=0,"",TEXT(IFERROR(VLOOKUP(T_BilanSocial[[#This Row],[NumL]],T_TraitDi[#Data],COLUMN(T_TraitDi[[#This Row],[Colonne1]]),FALSE),""),"[hh]:mm"))</f>
        <v>#N/A</v>
      </c>
      <c r="AP6" s="172" t="e">
        <f>IF(VLOOKUP(T_BilanSocial[[#This Row],[NumL]],T_TraitDi[#Data],COLUMN(T_TraitDi[[#This Row],[Colonne9]]),FALSE)=0,"",TEXT(IFERROR(VLOOKUP(T_BilanSocial[[#This Row],[NumL]],T_TraitDi[#Data],COLUMN(T_TraitDi[[#This Row],[Colonne9]]),FALSE),""),"[hh]:mm"))</f>
        <v>#N/A</v>
      </c>
      <c r="AQ6" s="172" t="str">
        <f>IFERROR(VLOOKUP(T_BilanSocial[[#This Row],[NumL]],T_TraitDi[#Data],COLUMN(T_TraitDi[[#This Row],[Colonne10]]),FALSE),"")</f>
        <v/>
      </c>
      <c r="AR6" s="172" t="e">
        <f>IF(VLOOKUP(T_BilanSocial[[#This Row],[NumL]],T_TraitDi[#Data],COLUMN(T_TraitDi[[#This Row],[Colonne11]]),FALSE)=0,"",TEXT(IFERROR(VLOOKUP(T_BilanSocial[[#This Row],[NumL]],T_TraitDi[#Data],COLUMN(T_TraitDi[[#This Row],[Colonne11]]),FALSE),""),"[hh]:mm"))</f>
        <v>#N/A</v>
      </c>
      <c r="AS6" s="172" t="e">
        <f>IF(VLOOKUP(T_BilanSocial[[#This Row],[NumL]],T_TraitDi[#Data],COLUMN(T_TraitDi[[#This Row],[Colonne12]]),FALSE)=0,"",TEXT(IFERROR(VLOOKUP(T_BilanSocial[[#This Row],[NumL]],T_TraitDi[#Data],COLUMN(T_TraitDi[[#This Row],[Colonne12]]),FALSE),""),"[hh]:mm"))</f>
        <v>#N/A</v>
      </c>
      <c r="AT6" s="172" t="e">
        <f>IF(VLOOKUP(T_BilanSocial[[#This Row],[NumL]],T_TraitDi[#Data],COLUMN(T_TraitDi[[#This Row],[Colonne14]]),FALSE)=0,"",TEXT(IFERROR(VLOOKUP(T_BilanSocial[[#This Row],[NumL]],T_TraitDi[#Data],COLUMN(T_TraitDi[[#This Row],[Colonne14]]),FALSE),""),"[hh]:mm"))</f>
        <v>#N/A</v>
      </c>
      <c r="AU6" s="172" t="str">
        <f>IFERROR(VLOOKUP(T_BilanSocial[[#This Row],[NumL]],T_TraitDi[#Data],COLUMN(T_TraitDi[[#This Row],[Mercredi]]),FALSE),"")</f>
        <v/>
      </c>
      <c r="AV6" s="172" t="e">
        <f>IF(VLOOKUP(T_BilanSocial[[#This Row],[NumL]],T_TraitDi[#Data],COLUMN(T_TraitDi[[#This Row],[Colonne15]]),FALSE)=0,"",TEXT(IFERROR(VLOOKUP(T_BilanSocial[[#This Row],[NumL]],T_TraitDi[#Data],COLUMN(T_TraitDi[[#This Row],[Colonne15]]),FALSE),""),"[hh]:mm"))</f>
        <v>#N/A</v>
      </c>
      <c r="AW6" s="172" t="e">
        <f>IF(VLOOKUP(T_BilanSocial[[#This Row],[NumL]],T_TraitDi[#Data],COLUMN(T_TraitDi[[#This Row],[Colonne16]]),FALSE)=0,"",TEXT(IFERROR(VLOOKUP(T_BilanSocial[[#This Row],[NumL]],T_TraitDi[#Data],COLUMN(T_TraitDi[[#This Row],[Colonne16]]),FALSE),""),"[hh]:mm"))</f>
        <v>#N/A</v>
      </c>
      <c r="AX6" s="172" t="str">
        <f>IFERROR(VLOOKUP(T_BilanSocial[[#This Row],[NumL]],T_TraitDi[#Data],COLUMN(T_TraitDi[[#This Row],[Colonne17]]),FALSE),"")</f>
        <v/>
      </c>
      <c r="AY6" s="172" t="e">
        <f>IF(VLOOKUP(T_BilanSocial[[#This Row],[NumL]],T_TraitDi[#Data],COLUMN(T_TraitDi[[#This Row],[Colonne18]]),FALSE)=0,"",TEXT(IFERROR(VLOOKUP(T_BilanSocial[[#This Row],[NumL]],T_TraitDi[#Data],COLUMN(T_TraitDi[[#This Row],[Colonne18]]),FALSE),""),"[hh]:mm"))</f>
        <v>#N/A</v>
      </c>
      <c r="AZ6" s="172" t="e">
        <f>IF(VLOOKUP(T_BilanSocial[[#This Row],[NumL]],T_TraitDi[#Data],COLUMN(T_TraitDi[[#This Row],[Colonne19]]),FALSE)=0,"",TEXT(IFERROR(VLOOKUP(T_BilanSocial[[#This Row],[NumL]],T_TraitDi[#Data],COLUMN(T_TraitDi[[#This Row],[Colonne19]]),FALSE),""),"[hh]:mm"))</f>
        <v>#N/A</v>
      </c>
      <c r="BA6" s="172" t="e">
        <f>IF(VLOOKUP(T_BilanSocial[[#This Row],[NumL]],T_TraitDi[#Data],COLUMN(T_TraitDi[[#This Row],[Colonne20]]),FALSE)=0,"",TEXT(IFERROR(VLOOKUP(T_BilanSocial[[#This Row],[NumL]],T_TraitDi[#Data],COLUMN(T_TraitDi[[#This Row],[Colonne20]]),FALSE),""),"[hh]:mm"))</f>
        <v>#N/A</v>
      </c>
      <c r="BB6" s="178" t="str">
        <f>IFERROR(VLOOKUP(T_BilanSocial[[#This Row],[NumL]],T_TraitDi[#Data],COLUMN(T_TraitDi[[#This Row],[Jeudi]]),FALSE),"")</f>
        <v/>
      </c>
      <c r="BC6" s="178" t="e">
        <f>IF(VLOOKUP(T_BilanSocial[[#This Row],[NumL]],T_TraitDi[#Data],COLUMN(T_TraitDi[[#This Row],[Colonne21]]),FALSE)=0,"",TEXT(IFERROR(VLOOKUP(T_BilanSocial[[#This Row],[NumL]],T_TraitDi[#Data],COLUMN(T_TraitDi[[#This Row],[Colonne21]]),FALSE),""),"[hh]:mm"))</f>
        <v>#N/A</v>
      </c>
      <c r="BD6" s="178" t="e">
        <f>IF(VLOOKUP(T_BilanSocial[[#This Row],[NumL]],T_TraitDi[#Data],COLUMN(T_TraitDi[[#This Row],[Colonne22]]),FALSE)=0,"",TEXT(IFERROR(VLOOKUP(T_BilanSocial[[#This Row],[NumL]],T_TraitDi[#Data],COLUMN(T_TraitDi[[#This Row],[Colonne22]]),FALSE),""),"[hh]:mm"))</f>
        <v>#N/A</v>
      </c>
      <c r="BE6" s="178" t="str">
        <f>IFERROR(VLOOKUP(T_BilanSocial[[#This Row],[NumL]],T_TraitDi[#Data],COLUMN(T_TraitDi[[#This Row],[Colonne23]]),FALSE),"")</f>
        <v/>
      </c>
      <c r="BF6" s="178" t="e">
        <f>IF(VLOOKUP(T_BilanSocial[[#This Row],[NumL]],T_TraitDi[#Data],COLUMN(T_TraitDi[[#This Row],[Colonne24]]),FALSE)=0,"",TEXT(IFERROR(VLOOKUP(T_BilanSocial[[#This Row],[NumL]],T_TraitDi[#Data],COLUMN(T_TraitDi[[#This Row],[Colonne24]]),FALSE),""),"[hh]:mm"))</f>
        <v>#N/A</v>
      </c>
      <c r="BG6" s="178" t="e">
        <f>IF(VLOOKUP(T_BilanSocial[[#This Row],[NumL]],T_TraitDi[#Data],COLUMN(T_TraitDi[[#This Row],[Colonne25]]),FALSE)=0,"",TEXT(IFERROR(VLOOKUP(T_BilanSocial[[#This Row],[NumL]],T_TraitDi[#Data],COLUMN(T_TraitDi[[#This Row],[Colonne25]]),FALSE),""),"[hh]:mm"))</f>
        <v>#N/A</v>
      </c>
      <c r="BH6" s="178" t="e">
        <f>IF(VLOOKUP(T_BilanSocial[[#This Row],[NumL]],T_TraitDi[#Data],COLUMN(T_TraitDi[[#This Row],[Colonne26]]),FALSE)=0,"",TEXT(IFERROR(VLOOKUP(T_BilanSocial[[#This Row],[NumL]],T_TraitDi[#Data],COLUMN(T_TraitDi[[#This Row],[Colonne26]]),FALSE),""),"[hh]:mm"))</f>
        <v>#N/A</v>
      </c>
      <c r="BI6" s="172" t="str">
        <f>IFERROR(VLOOKUP(T_BilanSocial[[#This Row],[NumL]],T_TraitDi[#Data],COLUMN(T_TraitDi[[#This Row],[Vendredi]]),FALSE),"")</f>
        <v/>
      </c>
      <c r="BJ6" s="172" t="e">
        <f>IF(VLOOKUP(T_BilanSocial[[#This Row],[NumL]],T_TraitDi[#Data],COLUMN(T_TraitDi[[#This Row],[Colonne27]]),FALSE)=0,"",TEXT(IFERROR(VLOOKUP(T_BilanSocial[[#This Row],[NumL]],T_TraitDi[#Data],COLUMN(T_TraitDi[[#This Row],[Colonne27]]),FALSE),""),"[hh]:mm"))</f>
        <v>#N/A</v>
      </c>
      <c r="BK6" s="172" t="e">
        <f>IF(VLOOKUP(T_BilanSocial[[#This Row],[NumL]],T_TraitDi[#Data],COLUMN(T_TraitDi[[#This Row],[Colonne28]]),FALSE)=0,"",TEXT(IFERROR(VLOOKUP(T_BilanSocial[[#This Row],[NumL]],T_TraitDi[#Data],COLUMN(T_TraitDi[[#This Row],[Colonne28]]),FALSE),""),"[hh]:mm"))</f>
        <v>#N/A</v>
      </c>
      <c r="BL6" s="172" t="str">
        <f>IFERROR(VLOOKUP(T_BilanSocial[[#This Row],[NumL]],T_TraitDi[#Data],COLUMN(T_TraitDi[[#This Row],[Colonne29]]),FALSE),"")</f>
        <v/>
      </c>
      <c r="BM6" s="172" t="e">
        <f>IF(VLOOKUP(T_BilanSocial[[#This Row],[NumL]],T_TraitDi[#Data],COLUMN(T_TraitDi[[#This Row],[Colonne30]]),FALSE)=0,"",TEXT(IFERROR(VLOOKUP(T_BilanSocial[[#This Row],[NumL]],T_TraitDi[#Data],COLUMN(T_TraitDi[[#This Row],[Colonne30]]),FALSE),""),"[hh]:mm"))</f>
        <v>#N/A</v>
      </c>
      <c r="BN6" s="172" t="e">
        <f>IF(VLOOKUP(T_BilanSocial[[#This Row],[NumL]],T_TraitDi[#Data],COLUMN(T_TraitDi[[#This Row],[Colonne31]]),FALSE)=0,"",TEXT(IFERROR(VLOOKUP(T_BilanSocial[[#This Row],[NumL]],T_TraitDi[#Data],COLUMN(T_TraitDi[[#This Row],[Colonne31]]),FALSE),""),"[hh]:mm"))</f>
        <v>#N/A</v>
      </c>
      <c r="BO6" s="172" t="e">
        <f>IF(VLOOKUP(T_BilanSocial[[#This Row],[NumL]],T_TraitDi[#Data],COLUMN(T_TraitDi[[#This Row],[Colonne32]]),FALSE)=0,"",TEXT(IFERROR(VLOOKUP(T_BilanSocial[[#This Row],[NumL]],T_TraitDi[#Data],COLUMN(T_TraitDi[[#This Row],[Colonne32]]),FALSE),""),"[hh]:mm"))</f>
        <v>#N/A</v>
      </c>
      <c r="BP6" s="172" t="e">
        <f>VLOOKUP(T_BilanSocial[[#This Row],[NumL]],T_TraitDi[#Data],COLUMN(T_TraitDi[NbJTot]),FALSE)</f>
        <v>#N/A</v>
      </c>
      <c r="BQ6" s="174" t="str">
        <f>IFERROR(VLOOKUP(T_BilanSocial[[#This Row],[NumL]],T_TraitDi[#Data],COLUMN(T_TraitDi[[#This Row],[NbJTW]]),FALSE),"")</f>
        <v/>
      </c>
      <c r="BR6" s="174" t="e">
        <f>IF(VLOOKUP(T_BilanSocial[[#This Row],[NumL]],T_TraitDi[#Data],COLUMN(T_TraitDi[[#This Row],[NbhTW]]),FALSE)=0,"",TEXT(IFERROR(VLOOKUP(T_BilanSocial[[#This Row],[NumL]],T_TraitDi[#Data],COLUMN(T_TraitDi[[#This Row],[NbhTW]]),FALSE),""),"[hh]:mm"))</f>
        <v>#N/A</v>
      </c>
      <c r="BS6" s="174" t="e">
        <f>IF(VLOOKUP(T_BilanSocial[[#This Row],[NumL]],T_TraitDi[#Data],COLUMN(T_TraitDi[[#This Row],[Nbhheb]]),FALSE)=0,"",TEXT(IFERROR(VLOOKUP($A6,T_TraitDi[#Data],COLUMN(T_TraitDi[[#This Row],[Nbhheb]]),FALSE),""),"[hh]:mm"))</f>
        <v>#N/A</v>
      </c>
      <c r="BT6" s="182" t="str">
        <f>IFERROR(VLOOKUP(VLOOKUP($A6,T_TraitDi[#Data],COLUMN(T_TraitDi[[#This Row],[Type1]]),FALSE),TypeTW,2,FALSE),"")</f>
        <v/>
      </c>
      <c r="BU6" s="182" t="str">
        <f>IFERROR(VLOOKUP($A6,T_TraitDi[#Data],COLUMN(T_TraitDi[[#This Row],[Rue1]]),FALSE),"")</f>
        <v/>
      </c>
      <c r="BV6" s="173" t="str">
        <f>IFERROR(VLOOKUP($A6,T_TraitDi[#Data],COLUMN(T_TraitDi[[#This Row],[CP1]]),FALSE),"")</f>
        <v/>
      </c>
      <c r="BW6" s="173" t="str">
        <f>IFERROR(VLOOKUP($A6,T_TraitDi[#Data],COLUMN(T_TraitDi[[#This Row],[VILLE1]]),FALSE),"")</f>
        <v/>
      </c>
      <c r="BX6" s="182" t="str">
        <f>IFERROR(VLOOKUP(VLOOKUP($A6,T_TraitDi[#Data],COLUMN(T_TraitDi[[#This Row],[Type2]]),FALSE),TypeTW,2,FALSE),"")</f>
        <v/>
      </c>
      <c r="BY6" s="182" t="str">
        <f>IFERROR(VLOOKUP($A6,T_TraitDi[#Data],COLUMN(T_TraitDi[[#This Row],[Rue2]]),FALSE),"")</f>
        <v/>
      </c>
      <c r="BZ6" s="173" t="str">
        <f>IFERROR(VLOOKUP($A6,T_TraitDi[#Data],COLUMN(T_TraitDi[[#This Row],[CP2]]),FALSE),"")</f>
        <v/>
      </c>
      <c r="CA6" s="173" t="str">
        <f>IFERROR(VLOOKUP($A6,T_TraitDi[#Data],COLUMN(T_TraitDi[[#This Row],[VILLE2]]),FALSE),"")</f>
        <v/>
      </c>
      <c r="CB6" s="182" t="str">
        <f>IF(VLOOKUP(T_BilanSocial[[#This Row],[NumL]],T_Equipement[#Data],COLUMN(T_Equipement[[#This Row],[PC]]),FALSE)="","Aucun équipement spécifique directement lié au télétravail",VLOOKUP(T_BilanSocial[[#This Row],[NumL]],T_Equipement[#Data],COLUMN(T_Equipement[[#This Row],[PC]]),FALSE))</f>
        <v xml:space="preserve">20-520	</v>
      </c>
      <c r="CC6" s="166" t="str">
        <f>IFERROR(IF(VLOOKUP(T_BilanSocial[[#This Row],[NumL]],T_TraitDi[#Data],COLUMN(T_TraitDi[[#This Row],[Plan]]),FALSE)="OK","Un planning spécifique de télétravail est annexé à la présente convention.",""),"")</f>
        <v/>
      </c>
      <c r="CD6" s="185"/>
      <c r="CE6" s="164" t="e">
        <f>IF(VLOOKUP(T_BilanSocial[[#This Row],[NumL]],T_suiviDi[#Data],COLUMN(T_suiviDi[[#This Row],[Entité]]),FALSE)="","",VLOOKUP(T_BilanSocial[[#This Row],[NumL]],T_suiviDi[#Data],COLUMN(T_suiviDi[[#This Row],[Entité]]),FALSE))</f>
        <v>#N/A</v>
      </c>
      <c r="CF6" s="164" t="str">
        <f>IF(VLOOKUP(T_BilanSocial[[#This Row],[NumL]],T_Commission[#Data],COLUMN(T_Commission[[#This Row],[envoi confirm TW]]),FALSE)="","",VLOOKUP(T_BilanSocial[[#This Row],[NumL]],T_Commission[#Data],COLUMN(T_Commission[[#This Row],[envoi confirm TW]]),FALSE))</f>
        <v>Oui</v>
      </c>
      <c r="CG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 s="262" t="str">
        <f>T_BilanSocial[[#This Row],[Nom]]&amp;T_BilanSocial[[#This Row],[Prenom]]</f>
        <v/>
      </c>
      <c r="CI6" s="262">
        <f>VLOOKUP(T_BilanSocial[[#This Row],[NumL]],T_Commission[#Data],COLUMN(T_Commission[Commentaire]),FALSE)</f>
        <v>0</v>
      </c>
      <c r="CJ6" s="262" t="str">
        <f>IF(VLOOKUP(T_BilanSocial[[#This Row],[NumL]],T_Commission[#Data],COLUMN(T_Commission[Encadrant Email]),FALSE)="","",VLOOKUP(T_BilanSocial[[#This Row],[NumL]],T_Commission[#Data],COLUMN(T_Commission[Encadrant Email]),FALSE))</f>
        <v/>
      </c>
      <c r="CK6" s="340" t="str">
        <f>IF(T_BilanSocial[[#This Row],[Final]]&lt;&gt;"",VLOOKUP(T_BilanSocial[[#This Row],[NumL]],T_suiviDi[#Data],COLUMN((T_suiviDi[Statut])),FALSE),"")</f>
        <v/>
      </c>
    </row>
    <row r="7" spans="1:89" s="106" customFormat="1" ht="21" customHeight="1" x14ac:dyDescent="0.25">
      <c r="A7" s="160">
        <v>4</v>
      </c>
      <c r="B7" s="161" t="str">
        <f t="shared" si="0"/>
        <v/>
      </c>
      <c r="C7" s="162" t="s">
        <v>173</v>
      </c>
      <c r="D7" s="95" t="e">
        <f>IF(VLOOKUP(T_BilanSocial[[#This Row],[NumL]],T_TraitDi[#Data],COLUMN(T_TraitDi[[#This Row],[WebC]]),FALSE)="","",VLOOKUP(T_BilanSocial[[#This Row],[NumL]],T_TraitDi[#Data],COLUMN(T_TraitDi[[#This Row],[WebC]]),FALSE))</f>
        <v>#N/A</v>
      </c>
      <c r="E7" s="163" t="str">
        <f t="shared" si="1"/>
        <v>12 janvier 2021</v>
      </c>
      <c r="F7" s="96" t="str">
        <f>IF(T_BilanSocial[[#This Row],[Final]]&lt;&gt;"",VLOOKUP(T_BilanSocial[[#This Row],[NumL]],T_suiviDi[#Data],COLUMN((T_suiviDi[Civ.])),FALSE),"")</f>
        <v/>
      </c>
      <c r="G7" s="96" t="str">
        <f>IF(T_BilanSocial[[#This Row],[Final]]&lt;&gt;"",VLOOKUP(T_BilanSocial[[#This Row],[NumL]],T_suiviDi[#Data],COLUMN((T_suiviDi[Nom])),FALSE),"")</f>
        <v/>
      </c>
      <c r="H7" s="96" t="str">
        <f>IF(T_BilanSocial[[#This Row],[Final]]&lt;&gt;"",VLOOKUP(T_BilanSocial[[#This Row],[NumL]],T_suiviDi[#Data],COLUMN((T_suiviDi[Prénom])),FALSE),"")</f>
        <v/>
      </c>
      <c r="I7" s="96" t="str">
        <f>IFERROR(VLOOKUP(T_BilanSocial[[#This Row],[Zone_Bilan]],T_P_BilanSocial[#Data],COLUMN(T_P_BilanSocial[[#This Row],[Numero_SIHAM]]),FALSE),"")</f>
        <v/>
      </c>
      <c r="J7" s="96" t="str">
        <f>IFERROR(VLOOKUP(T_BilanSocial[[#This Row],[Zone_Bilan]],T_P_BilanSocial[#Data],COLUMN(T_P_BilanSocial[[#This Row],[Sexe]]),FALSE),"")</f>
        <v/>
      </c>
      <c r="K7" s="97" t="str">
        <f>IFERROR(VLOOKUP(T_BilanSocial[[#This Row],[Zone_Bilan]],T_P_BilanSocial[#Data],COLUMN(T_P_BilanSocial[[#This Row],[Categorie]]),FALSE),"")</f>
        <v/>
      </c>
      <c r="L7" s="96" t="str">
        <f>IFERROR(VLOOKUP(T_BilanSocial[[#This Row],[Zone_Bilan]],T_P_BilanSocial[#Data],COLUMN(T_P_BilanSocial[[#This Row],[Statut]]),FALSE),"")</f>
        <v/>
      </c>
      <c r="M7" s="96" t="str">
        <f>IFERROR(VLOOKUP(T_BilanSocial[[#This Row],[Zone_Bilan]],T_P_BilanSocial[#Data],COLUMN(T_P_BilanSocial[[#This Row],[Filiere]]),FALSE),"")</f>
        <v/>
      </c>
      <c r="N7" s="96" t="e">
        <f>VLOOKUP(T_BilanSocial[[#This Row],[NumL]],T_TraitDi[#Data],COLUMN(T_TraitDi[EXP]),FALSE)</f>
        <v>#N/A</v>
      </c>
      <c r="O7" s="96" t="e">
        <f>VLOOKUP(T_BilanSocial[[#This Row],[NumL]],T_TraitDi[#Data],COLUMN(T_TraitDi[FORM]),FALSE)</f>
        <v>#N/A</v>
      </c>
      <c r="P7" s="96" t="str">
        <f>IF(T_BilanSocial[[#This Row],[Final]]&lt;&gt;"",VLOOKUP(T_BilanSocial[[#This Row],[NumL]],T_suiviDi[#Data],COLUMN((T_suiviDi[Email])),FALSE),"")</f>
        <v/>
      </c>
      <c r="Q7" s="164" t="e">
        <f>IF(VLOOKUP(T_BilanSocial[[#This Row],[NumL]],T_suiviDi[#Data],COLUMN(T_suiviDi[[#This Row],[Fonction]]),FALSE)="","",VLOOKUP(T_BilanSocial[[#This Row],[NumL]],T_suiviDi[#Data],COLUMN(T_suiviDi[[#This Row],[Fonction]]),FALSE))</f>
        <v>#N/A</v>
      </c>
      <c r="R7" s="164" t="e">
        <f>IF(VLOOKUP(T_BilanSocial[[#This Row],[NumL]],T_suiviDi[#Data],COLUMN(T_suiviDi[[#This Row],[Grade]]),FALSE)="","",VLOOKUP(T_BilanSocial[[#This Row],[NumL]],T_suiviDi[#Data],COLUMN(T_suiviDi[[#This Row],[Grade]]),FALSE))</f>
        <v>#N/A</v>
      </c>
      <c r="S7" s="164" t="e">
        <f>IF(VLOOKUP(T_BilanSocial[[#This Row],[NumL]],T_suiviDi[#Data],COLUMN(T_suiviDi[[#This Row],[Service ]]),FALSE)="","",VLOOKUP(T_BilanSocial[[#This Row],[NumL]],T_suiviDi[#Data],COLUMN(T_suiviDi[[#This Row],[Service ]]),FALSE))</f>
        <v>#N/A</v>
      </c>
      <c r="T7" s="164" t="str">
        <f t="shared" si="2"/>
        <v>01 septembre 2021</v>
      </c>
      <c r="U7" s="164" t="str">
        <f t="shared" si="3"/>
        <v>30 novembre 2021</v>
      </c>
      <c r="V7" s="164" t="str">
        <f t="shared" ref="V7:V45" si="6">TEXT(Datebilan,"jj mmmm aaaa")</f>
        <v>30 novembre 2021</v>
      </c>
      <c r="W7" s="176" t="e">
        <f>IF(VLOOKUP(T_BilanSocial[[#This Row],[NumL]],T_TraitDi[#Data],COLUMN(T_TraitDi[[#This Row],[M1]]),FALSE)="","",VLOOKUP(T_BilanSocial[[#This Row],[NumL]],T_TraitDi[#Data],COLUMN(T_TraitDi[[#This Row],[M1]]),FALSE))</f>
        <v>#N/A</v>
      </c>
      <c r="X7" s="176" t="e">
        <f>IF(VLOOKUP(T_BilanSocial[[#This Row],[NumL]],T_TraitDi[#Data],COLUMN(T_TraitDi[[#This Row],[M2]]),FALSE)="","",VLOOKUP(T_BilanSocial[[#This Row],[NumL]],T_TraitDi[#Data],COLUMN(T_TraitDi[[#This Row],[M2]]),FALSE))</f>
        <v>#N/A</v>
      </c>
      <c r="Y7" s="176" t="e">
        <f>IF(VLOOKUP(T_BilanSocial[[#This Row],[NumL]],T_TraitDi[#Data],COLUMN(T_TraitDi[[#This Row],[M3]]),FALSE)="","",VLOOKUP(T_BilanSocial[[#This Row],[NumL]],T_TraitDi[#Data],COLUMN(T_TraitDi[[#This Row],[M3]]),FALSE))</f>
        <v>#N/A</v>
      </c>
      <c r="Z7" s="176" t="str">
        <f t="shared" si="5"/>
        <v/>
      </c>
      <c r="AA7" s="176" t="e">
        <f>IF(VLOOKUP(T_BilanSocial[[#This Row],[NumL]],T_TraitDi[#Data],COLUMN(T_TraitDi[[#This Row],[M5]]),FALSE)="","",VLOOKUP(T_BilanSocial[[#This Row],[NumL]],T_TraitDi[#Data],COLUMN(T_TraitDi[[#This Row],[M5]]),FALSE))</f>
        <v>#N/A</v>
      </c>
      <c r="AB7" s="176" t="e">
        <f>IF(VLOOKUP(T_BilanSocial[[#This Row],[NumL]],T_TraitDi[#Data],COLUMN(T_TraitDi[[#This Row],[M6]]),FALSE)="","",VLOOKUP(T_BilanSocial[[#This Row],[NumL]],T_TraitDi[#Data],COLUMN(T_TraitDi[[#This Row],[M6]]),FALSE))</f>
        <v>#N/A</v>
      </c>
      <c r="AC7" s="165" t="e">
        <f t="shared" si="4"/>
        <v>#N/A</v>
      </c>
      <c r="AD7" s="188" t="str">
        <f>IFERROR(TEXT(VLOOKUP(T_BilanSocial[[#This Row],[NumL]],T_TraitDi[#Data],COLUMN(T_TraitDi[[#This Row],[Q2]]),FALSE),"###%"),"")</f>
        <v/>
      </c>
      <c r="AE7" s="97" t="e">
        <f>VLOOKUP(T_BilanSocial[[#This Row],[NumL]],T_TraitDi[#Data],COLUMN(T_TraitDi[[#This Row],[Reg Ponct]]),FALSE)</f>
        <v>#N/A</v>
      </c>
      <c r="AF7" s="97" t="e">
        <f>VLOOKUP(T_BilanSocial[NumL],T_TraitDi[#Data],COLUMN(T_TraitDi[[#This Row],[Jours flottants]]),FALSE)</f>
        <v>#N/A</v>
      </c>
      <c r="AG7" s="97" t="str">
        <f>IFERROR(VLOOKUP(T_BilanSocial[[#This Row],[NumL]],T_TraitDi[#Data],COLUMN(T_TraitDi[[#This Row],[Lundi]]),FALSE),"")</f>
        <v/>
      </c>
      <c r="AH7" s="172" t="e">
        <f>IF(VLOOKUP(T_BilanSocial[[#This Row],[NumL]],T_TraitDi[#Data],COLUMN(T_TraitDi[[#This Row],[Colonne3]]),FALSE)=0,"",TEXT(IFERROR(VLOOKUP(T_BilanSocial[[#This Row],[NumL]],T_TraitDi[#Data],COLUMN(T_TraitDi[[#This Row],[Colonne3]]),FALSE),""),"[hh]:mm"))</f>
        <v>#N/A</v>
      </c>
      <c r="AI7" s="172" t="e">
        <f>IF(VLOOKUP(T_BilanSocial[[#This Row],[NumL]],T_TraitDi[#Data],COLUMN(T_TraitDi[[#This Row],[Colonne4]]),FALSE)=0,"",TEXT(IFERROR(VLOOKUP(T_BilanSocial[[#This Row],[NumL]],T_TraitDi[#Data],COLUMN(T_TraitDi[[#This Row],[Colonne4]]),FALSE),""),"[hh]:mm"))</f>
        <v>#N/A</v>
      </c>
      <c r="AJ7" s="172" t="e">
        <f>IF(VLOOKUP(T_BilanSocial[[#This Row],[NumL]],T_TraitDi[#Data],COLUMN(T_TraitDi[[#This Row],[Colonne5]]),FALSE)=0,"",TEXT(IFERROR(VLOOKUP(T_BilanSocial[[#This Row],[NumL]],T_TraitDi[#Data],COLUMN(T_TraitDi[[#This Row],[Colonne5]]),FALSE),""),"[hh]:mm"))</f>
        <v>#N/A</v>
      </c>
      <c r="AK7" s="172" t="e">
        <f>IF(VLOOKUP(T_BilanSocial[[#This Row],[NumL]],T_TraitDi[#Data],COLUMN(T_TraitDi[[#This Row],[Colonne6]]),FALSE)=0,"",TEXT(IFERROR(VLOOKUP(T_BilanSocial[[#This Row],[NumL]],T_TraitDi[#Data],COLUMN(T_TraitDi[[#This Row],[Colonne6]]),FALSE),""),"[hh]:mm"))</f>
        <v>#N/A</v>
      </c>
      <c r="AL7" s="172" t="e">
        <f>IF(VLOOKUP(T_BilanSocial[[#This Row],[NumL]],T_TraitDi[#Data],COLUMN(T_TraitDi[[#This Row],[Colonne7]]),FALSE)=0,"",TEXT(IFERROR(VLOOKUP(T_BilanSocial[[#This Row],[NumL]],T_TraitDi[#Data],COLUMN(T_TraitDi[[#This Row],[Colonne7]]),FALSE),""),"[hh]:mm"))</f>
        <v>#N/A</v>
      </c>
      <c r="AM7" s="172" t="e">
        <f>IF(VLOOKUP(T_BilanSocial[[#This Row],[NumL]],T_TraitDi[#Data],COLUMN(T_TraitDi[[#This Row],[Colonne8]]),FALSE)=0,"",TEXT(IFERROR(VLOOKUP(T_BilanSocial[[#This Row],[NumL]],T_TraitDi[#Data],COLUMN(T_TraitDi[[#This Row],[Colonne8]]),FALSE),""),"[hh]:mm"))</f>
        <v>#N/A</v>
      </c>
      <c r="AN7" s="172" t="str">
        <f>IFERROR(VLOOKUP(T_BilanSocial[[#This Row],[NumL]],T_TraitDi[#Data],COLUMN(T_TraitDi[[#This Row],[Mardi]]),FALSE),"")</f>
        <v/>
      </c>
      <c r="AO7" s="172" t="e">
        <f>IF(VLOOKUP(T_BilanSocial[[#This Row],[NumL]],T_TraitDi[#Data],COLUMN(T_TraitDi[[#This Row],[Colonne1]]),FALSE)=0,"",TEXT(IFERROR(VLOOKUP(T_BilanSocial[[#This Row],[NumL]],T_TraitDi[#Data],COLUMN(T_TraitDi[[#This Row],[Colonne1]]),FALSE),""),"[hh]:mm"))</f>
        <v>#N/A</v>
      </c>
      <c r="AP7" s="172" t="e">
        <f>IF(VLOOKUP(T_BilanSocial[[#This Row],[NumL]],T_TraitDi[#Data],COLUMN(T_TraitDi[[#This Row],[Colonne9]]),FALSE)=0,"",TEXT(IFERROR(VLOOKUP(T_BilanSocial[[#This Row],[NumL]],T_TraitDi[#Data],COLUMN(T_TraitDi[[#This Row],[Colonne9]]),FALSE),""),"[hh]:mm"))</f>
        <v>#N/A</v>
      </c>
      <c r="AQ7" s="172" t="str">
        <f>IFERROR(VLOOKUP(T_BilanSocial[[#This Row],[NumL]],T_TraitDi[#Data],COLUMN(T_TraitDi[[#This Row],[Colonne10]]),FALSE),"")</f>
        <v/>
      </c>
      <c r="AR7" s="172" t="e">
        <f>IF(VLOOKUP(T_BilanSocial[[#This Row],[NumL]],T_TraitDi[#Data],COLUMN(T_TraitDi[[#This Row],[Colonne11]]),FALSE)=0,"",TEXT(IFERROR(VLOOKUP(T_BilanSocial[[#This Row],[NumL]],T_TraitDi[#Data],COLUMN(T_TraitDi[[#This Row],[Colonne11]]),FALSE),""),"[hh]:mm"))</f>
        <v>#N/A</v>
      </c>
      <c r="AS7" s="172" t="e">
        <f>IF(VLOOKUP(T_BilanSocial[[#This Row],[NumL]],T_TraitDi[#Data],COLUMN(T_TraitDi[[#This Row],[Colonne12]]),FALSE)=0,"",TEXT(IFERROR(VLOOKUP(T_BilanSocial[[#This Row],[NumL]],T_TraitDi[#Data],COLUMN(T_TraitDi[[#This Row],[Colonne12]]),FALSE),""),"[hh]:mm"))</f>
        <v>#N/A</v>
      </c>
      <c r="AT7" s="172" t="e">
        <f>IF(VLOOKUP(T_BilanSocial[[#This Row],[NumL]],T_TraitDi[#Data],COLUMN(T_TraitDi[[#This Row],[Colonne14]]),FALSE)=0,"",TEXT(IFERROR(VLOOKUP(T_BilanSocial[[#This Row],[NumL]],T_TraitDi[#Data],COLUMN(T_TraitDi[[#This Row],[Colonne14]]),FALSE),""),"[hh]:mm"))</f>
        <v>#N/A</v>
      </c>
      <c r="AU7" s="172" t="str">
        <f>IFERROR(VLOOKUP(T_BilanSocial[[#This Row],[NumL]],T_TraitDi[#Data],COLUMN(T_TraitDi[[#This Row],[Mercredi]]),FALSE),"")</f>
        <v/>
      </c>
      <c r="AV7" s="172" t="e">
        <f>IF(VLOOKUP(T_BilanSocial[[#This Row],[NumL]],T_TraitDi[#Data],COLUMN(T_TraitDi[[#This Row],[Colonne15]]),FALSE)=0,"",TEXT(IFERROR(VLOOKUP(T_BilanSocial[[#This Row],[NumL]],T_TraitDi[#Data],COLUMN(T_TraitDi[[#This Row],[Colonne15]]),FALSE),""),"[hh]:mm"))</f>
        <v>#N/A</v>
      </c>
      <c r="AW7" s="172" t="e">
        <f>IF(VLOOKUP(T_BilanSocial[[#This Row],[NumL]],T_TraitDi[#Data],COLUMN(T_TraitDi[[#This Row],[Colonne16]]),FALSE)=0,"",TEXT(IFERROR(VLOOKUP(T_BilanSocial[[#This Row],[NumL]],T_TraitDi[#Data],COLUMN(T_TraitDi[[#This Row],[Colonne16]]),FALSE),""),"[hh]:mm"))</f>
        <v>#N/A</v>
      </c>
      <c r="AX7" s="172" t="str">
        <f>IFERROR(VLOOKUP(T_BilanSocial[[#This Row],[NumL]],T_TraitDi[#Data],COLUMN(T_TraitDi[[#This Row],[Colonne17]]),FALSE),"")</f>
        <v/>
      </c>
      <c r="AY7" s="172" t="e">
        <f>IF(VLOOKUP(T_BilanSocial[[#This Row],[NumL]],T_TraitDi[#Data],COLUMN(T_TraitDi[[#This Row],[Colonne18]]),FALSE)=0,"",TEXT(IFERROR(VLOOKUP(T_BilanSocial[[#This Row],[NumL]],T_TraitDi[#Data],COLUMN(T_TraitDi[[#This Row],[Colonne18]]),FALSE),""),"[hh]:mm"))</f>
        <v>#N/A</v>
      </c>
      <c r="AZ7" s="172" t="e">
        <f>IF(VLOOKUP(T_BilanSocial[[#This Row],[NumL]],T_TraitDi[#Data],COLUMN(T_TraitDi[[#This Row],[Colonne19]]),FALSE)=0,"",TEXT(IFERROR(VLOOKUP(T_BilanSocial[[#This Row],[NumL]],T_TraitDi[#Data],COLUMN(T_TraitDi[[#This Row],[Colonne19]]),FALSE),""),"[hh]:mm"))</f>
        <v>#N/A</v>
      </c>
      <c r="BA7" s="172" t="e">
        <f>IF(VLOOKUP(T_BilanSocial[[#This Row],[NumL]],T_TraitDi[#Data],COLUMN(T_TraitDi[[#This Row],[Colonne20]]),FALSE)=0,"",TEXT(IFERROR(VLOOKUP(T_BilanSocial[[#This Row],[NumL]],T_TraitDi[#Data],COLUMN(T_TraitDi[[#This Row],[Colonne20]]),FALSE),""),"[hh]:mm"))</f>
        <v>#N/A</v>
      </c>
      <c r="BB7" s="178" t="str">
        <f>IFERROR(VLOOKUP(T_BilanSocial[[#This Row],[NumL]],T_TraitDi[#Data],COLUMN(T_TraitDi[[#This Row],[Jeudi]]),FALSE),"")</f>
        <v/>
      </c>
      <c r="BC7" s="178" t="e">
        <f>IF(VLOOKUP(T_BilanSocial[[#This Row],[NumL]],T_TraitDi[#Data],COLUMN(T_TraitDi[[#This Row],[Colonne21]]),FALSE)=0,"",TEXT(IFERROR(VLOOKUP(T_BilanSocial[[#This Row],[NumL]],T_TraitDi[#Data],COLUMN(T_TraitDi[[#This Row],[Colonne21]]),FALSE),""),"[hh]:mm"))</f>
        <v>#N/A</v>
      </c>
      <c r="BD7" s="178" t="e">
        <f>IF(VLOOKUP(T_BilanSocial[[#This Row],[NumL]],T_TraitDi[#Data],COLUMN(T_TraitDi[[#This Row],[Colonne22]]),FALSE)=0,"",TEXT(IFERROR(VLOOKUP(T_BilanSocial[[#This Row],[NumL]],T_TraitDi[#Data],COLUMN(T_TraitDi[[#This Row],[Colonne22]]),FALSE),""),"[hh]:mm"))</f>
        <v>#N/A</v>
      </c>
      <c r="BE7" s="178" t="str">
        <f>IFERROR(VLOOKUP(T_BilanSocial[[#This Row],[NumL]],T_TraitDi[#Data],COLUMN(T_TraitDi[[#This Row],[Colonne23]]),FALSE),"")</f>
        <v/>
      </c>
      <c r="BF7" s="178" t="e">
        <f>IF(VLOOKUP(T_BilanSocial[[#This Row],[NumL]],T_TraitDi[#Data],COLUMN(T_TraitDi[[#This Row],[Colonne24]]),FALSE)=0,"",TEXT(IFERROR(VLOOKUP(T_BilanSocial[[#This Row],[NumL]],T_TraitDi[#Data],COLUMN(T_TraitDi[[#This Row],[Colonne24]]),FALSE),""),"[hh]:mm"))</f>
        <v>#N/A</v>
      </c>
      <c r="BG7" s="178" t="e">
        <f>IF(VLOOKUP(T_BilanSocial[[#This Row],[NumL]],T_TraitDi[#Data],COLUMN(T_TraitDi[[#This Row],[Colonne25]]),FALSE)=0,"",TEXT(IFERROR(VLOOKUP(T_BilanSocial[[#This Row],[NumL]],T_TraitDi[#Data],COLUMN(T_TraitDi[[#This Row],[Colonne25]]),FALSE),""),"[hh]:mm"))</f>
        <v>#N/A</v>
      </c>
      <c r="BH7" s="178" t="e">
        <f>IF(VLOOKUP(T_BilanSocial[[#This Row],[NumL]],T_TraitDi[#Data],COLUMN(T_TraitDi[[#This Row],[Colonne26]]),FALSE)=0,"",TEXT(IFERROR(VLOOKUP(T_BilanSocial[[#This Row],[NumL]],T_TraitDi[#Data],COLUMN(T_TraitDi[[#This Row],[Colonne26]]),FALSE),""),"[hh]:mm"))</f>
        <v>#N/A</v>
      </c>
      <c r="BI7" s="172" t="str">
        <f>IFERROR(VLOOKUP(T_BilanSocial[[#This Row],[NumL]],T_TraitDi[#Data],COLUMN(T_TraitDi[[#This Row],[Vendredi]]),FALSE),"")</f>
        <v/>
      </c>
      <c r="BJ7" s="172" t="e">
        <f>IF(VLOOKUP(T_BilanSocial[[#This Row],[NumL]],T_TraitDi[#Data],COLUMN(T_TraitDi[[#This Row],[Colonne27]]),FALSE)=0,"",TEXT(IFERROR(VLOOKUP(T_BilanSocial[[#This Row],[NumL]],T_TraitDi[#Data],COLUMN(T_TraitDi[[#This Row],[Colonne27]]),FALSE),""),"[hh]:mm"))</f>
        <v>#N/A</v>
      </c>
      <c r="BK7" s="172" t="e">
        <f>IF(VLOOKUP(T_BilanSocial[[#This Row],[NumL]],T_TraitDi[#Data],COLUMN(T_TraitDi[[#This Row],[Colonne28]]),FALSE)=0,"",TEXT(IFERROR(VLOOKUP(T_BilanSocial[[#This Row],[NumL]],T_TraitDi[#Data],COLUMN(T_TraitDi[[#This Row],[Colonne28]]),FALSE),""),"[hh]:mm"))</f>
        <v>#N/A</v>
      </c>
      <c r="BL7" s="172" t="str">
        <f>IFERROR(VLOOKUP(T_BilanSocial[[#This Row],[NumL]],T_TraitDi[#Data],COLUMN(T_TraitDi[[#This Row],[Colonne29]]),FALSE),"")</f>
        <v/>
      </c>
      <c r="BM7" s="172" t="e">
        <f>IF(VLOOKUP(T_BilanSocial[[#This Row],[NumL]],T_TraitDi[#Data],COLUMN(T_TraitDi[[#This Row],[Colonne30]]),FALSE)=0,"",TEXT(IFERROR(VLOOKUP(T_BilanSocial[[#This Row],[NumL]],T_TraitDi[#Data],COLUMN(T_TraitDi[[#This Row],[Colonne30]]),FALSE),""),"[hh]:mm"))</f>
        <v>#N/A</v>
      </c>
      <c r="BN7" s="172" t="e">
        <f>IF(VLOOKUP(T_BilanSocial[[#This Row],[NumL]],T_TraitDi[#Data],COLUMN(T_TraitDi[[#This Row],[Colonne31]]),FALSE)=0,"",TEXT(IFERROR(VLOOKUP(T_BilanSocial[[#This Row],[NumL]],T_TraitDi[#Data],COLUMN(T_TraitDi[[#This Row],[Colonne31]]),FALSE),""),"[hh]:mm"))</f>
        <v>#N/A</v>
      </c>
      <c r="BO7" s="172" t="e">
        <f>IF(VLOOKUP(T_BilanSocial[[#This Row],[NumL]],T_TraitDi[#Data],COLUMN(T_TraitDi[[#This Row],[Colonne32]]),FALSE)=0,"",TEXT(IFERROR(VLOOKUP(T_BilanSocial[[#This Row],[NumL]],T_TraitDi[#Data],COLUMN(T_TraitDi[[#This Row],[Colonne32]]),FALSE),""),"[hh]:mm"))</f>
        <v>#N/A</v>
      </c>
      <c r="BP7" s="172" t="e">
        <f>VLOOKUP(T_BilanSocial[[#This Row],[NumL]],T_TraitDi[#Data],COLUMN(T_TraitDi[NbJTot]),FALSE)</f>
        <v>#N/A</v>
      </c>
      <c r="BQ7" s="174" t="str">
        <f>IFERROR(VLOOKUP(T_BilanSocial[[#This Row],[NumL]],T_TraitDi[#Data],COLUMN(T_TraitDi[[#This Row],[NbJTW]]),FALSE),"")</f>
        <v/>
      </c>
      <c r="BR7" s="174" t="e">
        <f>IF(VLOOKUP(T_BilanSocial[[#This Row],[NumL]],T_TraitDi[#Data],COLUMN(T_TraitDi[[#This Row],[NbhTW]]),FALSE)=0,"",TEXT(IFERROR(VLOOKUP(T_BilanSocial[[#This Row],[NumL]],T_TraitDi[#Data],COLUMN(T_TraitDi[[#This Row],[NbhTW]]),FALSE),""),"[hh]:mm"))</f>
        <v>#N/A</v>
      </c>
      <c r="BS7" s="174" t="e">
        <f>IF(VLOOKUP(T_BilanSocial[[#This Row],[NumL]],T_TraitDi[#Data],COLUMN(T_TraitDi[[#This Row],[Nbhheb]]),FALSE)=0,"",TEXT(IFERROR(VLOOKUP($A7,T_TraitDi[#Data],COLUMN(T_TraitDi[[#This Row],[Nbhheb]]),FALSE),""),"[hh]:mm"))</f>
        <v>#N/A</v>
      </c>
      <c r="BT7" s="182" t="str">
        <f>IFERROR(VLOOKUP(VLOOKUP($A7,T_TraitDi[#Data],COLUMN(T_TraitDi[[#This Row],[Type1]]),FALSE),TypeTW,2,FALSE),"")</f>
        <v/>
      </c>
      <c r="BU7" s="182" t="str">
        <f>IFERROR(VLOOKUP($A7,T_TraitDi[#Data],COLUMN(T_TraitDi[[#This Row],[Rue1]]),FALSE),"")</f>
        <v/>
      </c>
      <c r="BV7" s="173" t="str">
        <f>IFERROR(VLOOKUP($A7,T_TraitDi[#Data],COLUMN(T_TraitDi[[#This Row],[CP1]]),FALSE),"")</f>
        <v/>
      </c>
      <c r="BW7" s="173" t="str">
        <f>IFERROR(VLOOKUP($A7,T_TraitDi[#Data],COLUMN(T_TraitDi[[#This Row],[VILLE1]]),FALSE),"")</f>
        <v/>
      </c>
      <c r="BX7" s="182" t="str">
        <f>IFERROR(VLOOKUP(VLOOKUP($A7,T_TraitDi[#Data],COLUMN(T_TraitDi[[#This Row],[Type2]]),FALSE),TypeTW,2,FALSE),"")</f>
        <v/>
      </c>
      <c r="BY7" s="182" t="str">
        <f>IFERROR(VLOOKUP($A7,T_TraitDi[#Data],COLUMN(T_TraitDi[[#This Row],[Rue2]]),FALSE),"")</f>
        <v/>
      </c>
      <c r="BZ7" s="173" t="str">
        <f>IFERROR(VLOOKUP($A7,T_TraitDi[#Data],COLUMN(T_TraitDi[[#This Row],[CP2]]),FALSE),"")</f>
        <v/>
      </c>
      <c r="CA7" s="173" t="str">
        <f>IFERROR(VLOOKUP($A7,T_TraitDi[#Data],COLUMN(T_TraitDi[[#This Row],[VILLE2]]),FALSE),"")</f>
        <v/>
      </c>
      <c r="CB7" s="182" t="str">
        <f>IF(VLOOKUP(T_BilanSocial[[#This Row],[NumL]],T_Equipement[#Data],COLUMN(T_Equipement[[#This Row],[PC]]),FALSE)="","Aucun équipement spécifique directement lié au télétravail",VLOOKUP(T_BilanSocial[[#This Row],[NumL]],T_Equipement[#Data],COLUMN(T_Equipement[[#This Row],[PC]]),FALSE))</f>
        <v xml:space="preserve">20-358	</v>
      </c>
      <c r="CC7" s="166" t="str">
        <f>IFERROR(IF(VLOOKUP(T_BilanSocial[[#This Row],[NumL]],T_TraitDi[#Data],COLUMN(T_TraitDi[[#This Row],[Plan]]),FALSE)="OK","Un planning spécifique de télétravail est annexé à la présente convention.",""),"")</f>
        <v/>
      </c>
      <c r="CD7" s="258" t="s">
        <v>3290</v>
      </c>
      <c r="CE7" s="164" t="e">
        <f>IF(VLOOKUP(T_BilanSocial[[#This Row],[NumL]],T_suiviDi[#Data],COLUMN(T_suiviDi[[#This Row],[Entité]]),FALSE)="","",VLOOKUP(T_BilanSocial[[#This Row],[NumL]],T_suiviDi[#Data],COLUMN(T_suiviDi[[#This Row],[Entité]]),FALSE))</f>
        <v>#N/A</v>
      </c>
      <c r="CF7" s="164" t="str">
        <f>IF(VLOOKUP(T_BilanSocial[[#This Row],[NumL]],T_Commission[#Data],COLUMN(T_Commission[[#This Row],[envoi confirm TW]]),FALSE)="","",VLOOKUP(T_BilanSocial[[#This Row],[NumL]],T_Commission[#Data],COLUMN(T_Commission[[#This Row],[envoi confirm TW]]),FALSE))</f>
        <v>Oui</v>
      </c>
      <c r="CG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 s="262" t="str">
        <f>T_BilanSocial[[#This Row],[Nom]]&amp;T_BilanSocial[[#This Row],[Prenom]]</f>
        <v/>
      </c>
      <c r="CI7" s="262">
        <f>VLOOKUP(T_BilanSocial[[#This Row],[NumL]],T_Commission[#Data],COLUMN(T_Commission[Commentaire]),FALSE)</f>
        <v>0</v>
      </c>
      <c r="CJ7" s="262" t="str">
        <f>IF(VLOOKUP(T_BilanSocial[[#This Row],[NumL]],T_Commission[#Data],COLUMN(T_Commission[Encadrant Email]),FALSE)="","",VLOOKUP(T_BilanSocial[[#This Row],[NumL]],T_Commission[#Data],COLUMN(T_Commission[Encadrant Email]),FALSE))</f>
        <v/>
      </c>
      <c r="CK7" s="340" t="str">
        <f>IF(T_BilanSocial[[#This Row],[Final]]&lt;&gt;"",VLOOKUP(T_BilanSocial[[#This Row],[NumL]],T_suiviDi[#Data],COLUMN((T_suiviDi[Statut])),FALSE),"")</f>
        <v/>
      </c>
    </row>
    <row r="8" spans="1:89" s="106" customFormat="1" ht="24.75" customHeight="1" x14ac:dyDescent="0.25">
      <c r="A8" s="160">
        <v>5</v>
      </c>
      <c r="B8" s="161" t="e">
        <f t="shared" si="0"/>
        <v>#N/A</v>
      </c>
      <c r="C8" s="162" t="s">
        <v>3287</v>
      </c>
      <c r="D8" s="95" t="e">
        <f>IF(VLOOKUP(T_BilanSocial[[#This Row],[NumL]],T_TraitDi[#Data],COLUMN(T_TraitDi[[#This Row],[WebC]]),FALSE)="","",VLOOKUP(T_BilanSocial[[#This Row],[NumL]],T_TraitDi[#Data],COLUMN(T_TraitDi[[#This Row],[WebC]]),FALSE))</f>
        <v>#N/A</v>
      </c>
      <c r="E8" s="163" t="str">
        <f t="shared" si="1"/>
        <v>12 janvier 2021</v>
      </c>
      <c r="F8" s="96" t="e">
        <f>IF(T_BilanSocial[[#This Row],[Final]]&lt;&gt;"",VLOOKUP(T_BilanSocial[[#This Row],[NumL]],T_suiviDi[#Data],COLUMN((T_suiviDi[Civ.])),FALSE),"")</f>
        <v>#N/A</v>
      </c>
      <c r="G8" s="96" t="e">
        <f>IF(T_BilanSocial[[#This Row],[Final]]&lt;&gt;"",VLOOKUP(T_BilanSocial[[#This Row],[NumL]],T_suiviDi[#Data],COLUMN((T_suiviDi[Nom])),FALSE),"")</f>
        <v>#N/A</v>
      </c>
      <c r="H8" s="96" t="e">
        <f>IF(T_BilanSocial[[#This Row],[Final]]&lt;&gt;"",VLOOKUP(T_BilanSocial[[#This Row],[NumL]],T_suiviDi[#Data],COLUMN((T_suiviDi[Prénom])),FALSE),"")</f>
        <v>#N/A</v>
      </c>
      <c r="I8" s="96" t="str">
        <f>IFERROR(VLOOKUP(T_BilanSocial[[#This Row],[Zone_Bilan]],T_P_BilanSocial[#Data],COLUMN(T_P_BilanSocial[[#This Row],[Numero_SIHAM]]),FALSE),"")</f>
        <v/>
      </c>
      <c r="J8" s="96" t="str">
        <f>IFERROR(VLOOKUP(T_BilanSocial[[#This Row],[Zone_Bilan]],T_P_BilanSocial[#Data],COLUMN(T_P_BilanSocial[[#This Row],[Sexe]]),FALSE),"")</f>
        <v/>
      </c>
      <c r="K8" s="97" t="str">
        <f>IFERROR(VLOOKUP(T_BilanSocial[[#This Row],[Zone_Bilan]],T_P_BilanSocial[#Data],COLUMN(T_P_BilanSocial[[#This Row],[Categorie]]),FALSE),"")</f>
        <v/>
      </c>
      <c r="L8" s="96" t="str">
        <f>IFERROR(VLOOKUP(T_BilanSocial[[#This Row],[Zone_Bilan]],T_P_BilanSocial[#Data],COLUMN(T_P_BilanSocial[[#This Row],[Statut]]),FALSE),"")</f>
        <v/>
      </c>
      <c r="M8" s="96" t="str">
        <f>IFERROR(VLOOKUP(T_BilanSocial[[#This Row],[Zone_Bilan]],T_P_BilanSocial[#Data],COLUMN(T_P_BilanSocial[[#This Row],[Filiere]]),FALSE),"")</f>
        <v/>
      </c>
      <c r="N8" s="96" t="e">
        <f>VLOOKUP(T_BilanSocial[[#This Row],[NumL]],T_TraitDi[#Data],COLUMN(T_TraitDi[EXP]),FALSE)</f>
        <v>#N/A</v>
      </c>
      <c r="O8" s="96" t="e">
        <f>VLOOKUP(T_BilanSocial[[#This Row],[NumL]],T_TraitDi[#Data],COLUMN(T_TraitDi[FORM]),FALSE)</f>
        <v>#N/A</v>
      </c>
      <c r="P8" s="96" t="e">
        <f>IF(T_BilanSocial[[#This Row],[Final]]&lt;&gt;"",VLOOKUP(T_BilanSocial[[#This Row],[NumL]],T_suiviDi[#Data],COLUMN((T_suiviDi[Email])),FALSE),"")</f>
        <v>#N/A</v>
      </c>
      <c r="Q8" s="164" t="e">
        <f>IF(VLOOKUP(T_BilanSocial[[#This Row],[NumL]],T_suiviDi[#Data],COLUMN(T_suiviDi[[#This Row],[Fonction]]),FALSE)="","",VLOOKUP(T_BilanSocial[[#This Row],[NumL]],T_suiviDi[#Data],COLUMN(T_suiviDi[[#This Row],[Fonction]]),FALSE))</f>
        <v>#N/A</v>
      </c>
      <c r="R8" s="164" t="e">
        <f>IF(VLOOKUP(T_BilanSocial[[#This Row],[NumL]],T_suiviDi[#Data],COLUMN(T_suiviDi[[#This Row],[Grade]]),FALSE)="","",VLOOKUP(T_BilanSocial[[#This Row],[NumL]],T_suiviDi[#Data],COLUMN(T_suiviDi[[#This Row],[Grade]]),FALSE))</f>
        <v>#N/A</v>
      </c>
      <c r="S8" s="164" t="e">
        <f>IF(VLOOKUP(T_BilanSocial[[#This Row],[NumL]],T_suiviDi[#Data],COLUMN(T_suiviDi[[#This Row],[Service ]]),FALSE)="","",VLOOKUP(T_BilanSocial[[#This Row],[NumL]],T_suiviDi[#Data],COLUMN(T_suiviDi[[#This Row],[Service ]]),FALSE))</f>
        <v>#N/A</v>
      </c>
      <c r="T8" s="164" t="str">
        <f t="shared" si="2"/>
        <v>01 septembre 2021</v>
      </c>
      <c r="U8" s="164" t="str">
        <f t="shared" si="3"/>
        <v>30 novembre 2021</v>
      </c>
      <c r="V8" s="164" t="str">
        <f t="shared" si="6"/>
        <v>30 novembre 2021</v>
      </c>
      <c r="W8" s="176" t="e">
        <f>IF(VLOOKUP(T_BilanSocial[[#This Row],[NumL]],T_TraitDi[#Data],COLUMN(T_TraitDi[[#This Row],[M1]]),FALSE)="","",VLOOKUP(T_BilanSocial[[#This Row],[NumL]],T_TraitDi[#Data],COLUMN(T_TraitDi[[#This Row],[M1]]),FALSE))</f>
        <v>#N/A</v>
      </c>
      <c r="X8" s="176" t="e">
        <f>IF(VLOOKUP(T_BilanSocial[[#This Row],[NumL]],T_TraitDi[#Data],COLUMN(T_TraitDi[[#This Row],[M2]]),FALSE)="","",VLOOKUP(T_BilanSocial[[#This Row],[NumL]],T_TraitDi[#Data],COLUMN(T_TraitDi[[#This Row],[M2]]),FALSE))</f>
        <v>#N/A</v>
      </c>
      <c r="Y8" s="176" t="e">
        <f>IF(VLOOKUP(T_BilanSocial[[#This Row],[NumL]],T_TraitDi[#Data],COLUMN(T_TraitDi[[#This Row],[M3]]),FALSE)="","",VLOOKUP(T_BilanSocial[[#This Row],[NumL]],T_TraitDi[#Data],COLUMN(T_TraitDi[[#This Row],[M3]]),FALSE))</f>
        <v>#N/A</v>
      </c>
      <c r="Z8" s="176" t="str">
        <f t="shared" si="5"/>
        <v/>
      </c>
      <c r="AA8" s="176" t="e">
        <f>IF(VLOOKUP(T_BilanSocial[[#This Row],[NumL]],T_TraitDi[#Data],COLUMN(T_TraitDi[[#This Row],[M5]]),FALSE)="","",VLOOKUP(T_BilanSocial[[#This Row],[NumL]],T_TraitDi[#Data],COLUMN(T_TraitDi[[#This Row],[M5]]),FALSE))</f>
        <v>#N/A</v>
      </c>
      <c r="AB8" s="176" t="e">
        <f>IF(VLOOKUP(T_BilanSocial[[#This Row],[NumL]],T_TraitDi[#Data],COLUMN(T_TraitDi[[#This Row],[M6]]),FALSE)="","",VLOOKUP(T_BilanSocial[[#This Row],[NumL]],T_TraitDi[#Data],COLUMN(T_TraitDi[[#This Row],[M6]]),FALSE))</f>
        <v>#N/A</v>
      </c>
      <c r="AC8" s="165" t="e">
        <f t="shared" si="4"/>
        <v>#N/A</v>
      </c>
      <c r="AD8" s="188" t="str">
        <f>IFERROR(TEXT(VLOOKUP(T_BilanSocial[[#This Row],[NumL]],T_TraitDi[#Data],COLUMN(T_TraitDi[[#This Row],[Q2]]),FALSE),"###%"),"")</f>
        <v/>
      </c>
      <c r="AE8" s="97" t="e">
        <f>VLOOKUP(T_BilanSocial[[#This Row],[NumL]],T_TraitDi[#Data],COLUMN(T_TraitDi[[#This Row],[Reg Ponct]]),FALSE)</f>
        <v>#N/A</v>
      </c>
      <c r="AF8" s="97" t="e">
        <f>VLOOKUP(T_BilanSocial[NumL],T_TraitDi[#Data],COLUMN(T_TraitDi[[#This Row],[Jours flottants]]),FALSE)</f>
        <v>#N/A</v>
      </c>
      <c r="AG8" s="97" t="str">
        <f>IFERROR(VLOOKUP(T_BilanSocial[[#This Row],[NumL]],T_TraitDi[#Data],COLUMN(T_TraitDi[[#This Row],[Lundi]]),FALSE),"")</f>
        <v/>
      </c>
      <c r="AH8" s="172" t="e">
        <f>IF(VLOOKUP(T_BilanSocial[[#This Row],[NumL]],T_TraitDi[#Data],COLUMN(T_TraitDi[[#This Row],[Colonne3]]),FALSE)=0,"",TEXT(IFERROR(VLOOKUP(T_BilanSocial[[#This Row],[NumL]],T_TraitDi[#Data],COLUMN(T_TraitDi[[#This Row],[Colonne3]]),FALSE),""),"[hh]:mm"))</f>
        <v>#N/A</v>
      </c>
      <c r="AI8" s="172" t="e">
        <f>IF(VLOOKUP(T_BilanSocial[[#This Row],[NumL]],T_TraitDi[#Data],COLUMN(T_TraitDi[[#This Row],[Colonne4]]),FALSE)=0,"",TEXT(IFERROR(VLOOKUP(T_BilanSocial[[#This Row],[NumL]],T_TraitDi[#Data],COLUMN(T_TraitDi[[#This Row],[Colonne4]]),FALSE),""),"[hh]:mm"))</f>
        <v>#N/A</v>
      </c>
      <c r="AJ8" s="172" t="e">
        <f>IF(VLOOKUP(T_BilanSocial[[#This Row],[NumL]],T_TraitDi[#Data],COLUMN(T_TraitDi[[#This Row],[Colonne5]]),FALSE)=0,"",TEXT(IFERROR(VLOOKUP(T_BilanSocial[[#This Row],[NumL]],T_TraitDi[#Data],COLUMN(T_TraitDi[[#This Row],[Colonne5]]),FALSE),""),"[hh]:mm"))</f>
        <v>#N/A</v>
      </c>
      <c r="AK8" s="172" t="e">
        <f>IF(VLOOKUP(T_BilanSocial[[#This Row],[NumL]],T_TraitDi[#Data],COLUMN(T_TraitDi[[#This Row],[Colonne6]]),FALSE)=0,"",TEXT(IFERROR(VLOOKUP(T_BilanSocial[[#This Row],[NumL]],T_TraitDi[#Data],COLUMN(T_TraitDi[[#This Row],[Colonne6]]),FALSE),""),"[hh]:mm"))</f>
        <v>#N/A</v>
      </c>
      <c r="AL8" s="172" t="e">
        <f>IF(VLOOKUP(T_BilanSocial[[#This Row],[NumL]],T_TraitDi[#Data],COLUMN(T_TraitDi[[#This Row],[Colonne7]]),FALSE)=0,"",TEXT(IFERROR(VLOOKUP(T_BilanSocial[[#This Row],[NumL]],T_TraitDi[#Data],COLUMN(T_TraitDi[[#This Row],[Colonne7]]),FALSE),""),"[hh]:mm"))</f>
        <v>#N/A</v>
      </c>
      <c r="AM8" s="172" t="e">
        <f>IF(VLOOKUP(T_BilanSocial[[#This Row],[NumL]],T_TraitDi[#Data],COLUMN(T_TraitDi[[#This Row],[Colonne8]]),FALSE)=0,"",TEXT(IFERROR(VLOOKUP(T_BilanSocial[[#This Row],[NumL]],T_TraitDi[#Data],COLUMN(T_TraitDi[[#This Row],[Colonne8]]),FALSE),""),"[hh]:mm"))</f>
        <v>#N/A</v>
      </c>
      <c r="AN8" s="172" t="str">
        <f>IFERROR(VLOOKUP(T_BilanSocial[[#This Row],[NumL]],T_TraitDi[#Data],COLUMN(T_TraitDi[[#This Row],[Mardi]]),FALSE),"")</f>
        <v/>
      </c>
      <c r="AO8" s="172" t="e">
        <f>IF(VLOOKUP(T_BilanSocial[[#This Row],[NumL]],T_TraitDi[#Data],COLUMN(T_TraitDi[[#This Row],[Colonne1]]),FALSE)=0,"",TEXT(IFERROR(VLOOKUP(T_BilanSocial[[#This Row],[NumL]],T_TraitDi[#Data],COLUMN(T_TraitDi[[#This Row],[Colonne1]]),FALSE),""),"[hh]:mm"))</f>
        <v>#N/A</v>
      </c>
      <c r="AP8" s="172" t="e">
        <f>IF(VLOOKUP(T_BilanSocial[[#This Row],[NumL]],T_TraitDi[#Data],COLUMN(T_TraitDi[[#This Row],[Colonne9]]),FALSE)=0,"",TEXT(IFERROR(VLOOKUP(T_BilanSocial[[#This Row],[NumL]],T_TraitDi[#Data],COLUMN(T_TraitDi[[#This Row],[Colonne9]]),FALSE),""),"[hh]:mm"))</f>
        <v>#N/A</v>
      </c>
      <c r="AQ8" s="172" t="str">
        <f>IFERROR(VLOOKUP(T_BilanSocial[[#This Row],[NumL]],T_TraitDi[#Data],COLUMN(T_TraitDi[[#This Row],[Colonne10]]),FALSE),"")</f>
        <v/>
      </c>
      <c r="AR8" s="172" t="e">
        <f>IF(VLOOKUP(T_BilanSocial[[#This Row],[NumL]],T_TraitDi[#Data],COLUMN(T_TraitDi[[#This Row],[Colonne11]]),FALSE)=0,"",TEXT(IFERROR(VLOOKUP(T_BilanSocial[[#This Row],[NumL]],T_TraitDi[#Data],COLUMN(T_TraitDi[[#This Row],[Colonne11]]),FALSE),""),"[hh]:mm"))</f>
        <v>#N/A</v>
      </c>
      <c r="AS8" s="172" t="e">
        <f>IF(VLOOKUP(T_BilanSocial[[#This Row],[NumL]],T_TraitDi[#Data],COLUMN(T_TraitDi[[#This Row],[Colonne12]]),FALSE)=0,"",TEXT(IFERROR(VLOOKUP(T_BilanSocial[[#This Row],[NumL]],T_TraitDi[#Data],COLUMN(T_TraitDi[[#This Row],[Colonne12]]),FALSE),""),"[hh]:mm"))</f>
        <v>#N/A</v>
      </c>
      <c r="AT8" s="172" t="e">
        <f>IF(VLOOKUP(T_BilanSocial[[#This Row],[NumL]],T_TraitDi[#Data],COLUMN(T_TraitDi[[#This Row],[Colonne14]]),FALSE)=0,"",TEXT(IFERROR(VLOOKUP(T_BilanSocial[[#This Row],[NumL]],T_TraitDi[#Data],COLUMN(T_TraitDi[[#This Row],[Colonne14]]),FALSE),""),"[hh]:mm"))</f>
        <v>#N/A</v>
      </c>
      <c r="AU8" s="172" t="str">
        <f>IFERROR(VLOOKUP(T_BilanSocial[[#This Row],[NumL]],T_TraitDi[#Data],COLUMN(T_TraitDi[[#This Row],[Mercredi]]),FALSE),"")</f>
        <v/>
      </c>
      <c r="AV8" s="172" t="e">
        <f>IF(VLOOKUP(T_BilanSocial[[#This Row],[NumL]],T_TraitDi[#Data],COLUMN(T_TraitDi[[#This Row],[Colonne15]]),FALSE)=0,"",TEXT(IFERROR(VLOOKUP(T_BilanSocial[[#This Row],[NumL]],T_TraitDi[#Data],COLUMN(T_TraitDi[[#This Row],[Colonne15]]),FALSE),""),"[hh]:mm"))</f>
        <v>#N/A</v>
      </c>
      <c r="AW8" s="172" t="e">
        <f>IF(VLOOKUP(T_BilanSocial[[#This Row],[NumL]],T_TraitDi[#Data],COLUMN(T_TraitDi[[#This Row],[Colonne16]]),FALSE)=0,"",TEXT(IFERROR(VLOOKUP(T_BilanSocial[[#This Row],[NumL]],T_TraitDi[#Data],COLUMN(T_TraitDi[[#This Row],[Colonne16]]),FALSE),""),"[hh]:mm"))</f>
        <v>#N/A</v>
      </c>
      <c r="AX8" s="172" t="str">
        <f>IFERROR(VLOOKUP(T_BilanSocial[[#This Row],[NumL]],T_TraitDi[#Data],COLUMN(T_TraitDi[[#This Row],[Colonne17]]),FALSE),"")</f>
        <v/>
      </c>
      <c r="AY8" s="172" t="e">
        <f>IF(VLOOKUP(T_BilanSocial[[#This Row],[NumL]],T_TraitDi[#Data],COLUMN(T_TraitDi[[#This Row],[Colonne18]]),FALSE)=0,"",TEXT(IFERROR(VLOOKUP(T_BilanSocial[[#This Row],[NumL]],T_TraitDi[#Data],COLUMN(T_TraitDi[[#This Row],[Colonne18]]),FALSE),""),"[hh]:mm"))</f>
        <v>#N/A</v>
      </c>
      <c r="AZ8" s="172" t="e">
        <f>IF(VLOOKUP(T_BilanSocial[[#This Row],[NumL]],T_TraitDi[#Data],COLUMN(T_TraitDi[[#This Row],[Colonne19]]),FALSE)=0,"",TEXT(IFERROR(VLOOKUP(T_BilanSocial[[#This Row],[NumL]],T_TraitDi[#Data],COLUMN(T_TraitDi[[#This Row],[Colonne19]]),FALSE),""),"[hh]:mm"))</f>
        <v>#N/A</v>
      </c>
      <c r="BA8" s="172" t="e">
        <f>IF(VLOOKUP(T_BilanSocial[[#This Row],[NumL]],T_TraitDi[#Data],COLUMN(T_TraitDi[[#This Row],[Colonne20]]),FALSE)=0,"",TEXT(IFERROR(VLOOKUP(T_BilanSocial[[#This Row],[NumL]],T_TraitDi[#Data],COLUMN(T_TraitDi[[#This Row],[Colonne20]]),FALSE),""),"[hh]:mm"))</f>
        <v>#N/A</v>
      </c>
      <c r="BB8" s="178" t="str">
        <f>IFERROR(VLOOKUP(T_BilanSocial[[#This Row],[NumL]],T_TraitDi[#Data],COLUMN(T_TraitDi[[#This Row],[Jeudi]]),FALSE),"")</f>
        <v/>
      </c>
      <c r="BC8" s="178" t="e">
        <f>IF(VLOOKUP(T_BilanSocial[[#This Row],[NumL]],T_TraitDi[#Data],COLUMN(T_TraitDi[[#This Row],[Colonne21]]),FALSE)=0,"",TEXT(IFERROR(VLOOKUP(T_BilanSocial[[#This Row],[NumL]],T_TraitDi[#Data],COLUMN(T_TraitDi[[#This Row],[Colonne21]]),FALSE),""),"[hh]:mm"))</f>
        <v>#N/A</v>
      </c>
      <c r="BD8" s="178" t="e">
        <f>IF(VLOOKUP(T_BilanSocial[[#This Row],[NumL]],T_TraitDi[#Data],COLUMN(T_TraitDi[[#This Row],[Colonne22]]),FALSE)=0,"",TEXT(IFERROR(VLOOKUP(T_BilanSocial[[#This Row],[NumL]],T_TraitDi[#Data],COLUMN(T_TraitDi[[#This Row],[Colonne22]]),FALSE),""),"[hh]:mm"))</f>
        <v>#N/A</v>
      </c>
      <c r="BE8" s="178" t="str">
        <f>IFERROR(VLOOKUP(T_BilanSocial[[#This Row],[NumL]],T_TraitDi[#Data],COLUMN(T_TraitDi[[#This Row],[Colonne23]]),FALSE),"")</f>
        <v/>
      </c>
      <c r="BF8" s="178" t="e">
        <f>IF(VLOOKUP(T_BilanSocial[[#This Row],[NumL]],T_TraitDi[#Data],COLUMN(T_TraitDi[[#This Row],[Colonne24]]),FALSE)=0,"",TEXT(IFERROR(VLOOKUP(T_BilanSocial[[#This Row],[NumL]],T_TraitDi[#Data],COLUMN(T_TraitDi[[#This Row],[Colonne24]]),FALSE),""),"[hh]:mm"))</f>
        <v>#N/A</v>
      </c>
      <c r="BG8" s="178" t="e">
        <f>IF(VLOOKUP(T_BilanSocial[[#This Row],[NumL]],T_TraitDi[#Data],COLUMN(T_TraitDi[[#This Row],[Colonne25]]),FALSE)=0,"",TEXT(IFERROR(VLOOKUP(T_BilanSocial[[#This Row],[NumL]],T_TraitDi[#Data],COLUMN(T_TraitDi[[#This Row],[Colonne25]]),FALSE),""),"[hh]:mm"))</f>
        <v>#N/A</v>
      </c>
      <c r="BH8" s="178" t="e">
        <f>IF(VLOOKUP(T_BilanSocial[[#This Row],[NumL]],T_TraitDi[#Data],COLUMN(T_TraitDi[[#This Row],[Colonne26]]),FALSE)=0,"",TEXT(IFERROR(VLOOKUP(T_BilanSocial[[#This Row],[NumL]],T_TraitDi[#Data],COLUMN(T_TraitDi[[#This Row],[Colonne26]]),FALSE),""),"[hh]:mm"))</f>
        <v>#N/A</v>
      </c>
      <c r="BI8" s="172" t="str">
        <f>IFERROR(VLOOKUP(T_BilanSocial[[#This Row],[NumL]],T_TraitDi[#Data],COLUMN(T_TraitDi[[#This Row],[Vendredi]]),FALSE),"")</f>
        <v/>
      </c>
      <c r="BJ8" s="172" t="e">
        <f>IF(VLOOKUP(T_BilanSocial[[#This Row],[NumL]],T_TraitDi[#Data],COLUMN(T_TraitDi[[#This Row],[Colonne27]]),FALSE)=0,"",TEXT(IFERROR(VLOOKUP(T_BilanSocial[[#This Row],[NumL]],T_TraitDi[#Data],COLUMN(T_TraitDi[[#This Row],[Colonne27]]),FALSE),""),"[hh]:mm"))</f>
        <v>#N/A</v>
      </c>
      <c r="BK8" s="172" t="e">
        <f>IF(VLOOKUP(T_BilanSocial[[#This Row],[NumL]],T_TraitDi[#Data],COLUMN(T_TraitDi[[#This Row],[Colonne28]]),FALSE)=0,"",TEXT(IFERROR(VLOOKUP(T_BilanSocial[[#This Row],[NumL]],T_TraitDi[#Data],COLUMN(T_TraitDi[[#This Row],[Colonne28]]),FALSE),""),"[hh]:mm"))</f>
        <v>#N/A</v>
      </c>
      <c r="BL8" s="172" t="str">
        <f>IFERROR(VLOOKUP(T_BilanSocial[[#This Row],[NumL]],T_TraitDi[#Data],COLUMN(T_TraitDi[[#This Row],[Colonne29]]),FALSE),"")</f>
        <v/>
      </c>
      <c r="BM8" s="172" t="e">
        <f>IF(VLOOKUP(T_BilanSocial[[#This Row],[NumL]],T_TraitDi[#Data],COLUMN(T_TraitDi[[#This Row],[Colonne30]]),FALSE)=0,"",TEXT(IFERROR(VLOOKUP(T_BilanSocial[[#This Row],[NumL]],T_TraitDi[#Data],COLUMN(T_TraitDi[[#This Row],[Colonne30]]),FALSE),""),"[hh]:mm"))</f>
        <v>#N/A</v>
      </c>
      <c r="BN8" s="172" t="e">
        <f>IF(VLOOKUP(T_BilanSocial[[#This Row],[NumL]],T_TraitDi[#Data],COLUMN(T_TraitDi[[#This Row],[Colonne31]]),FALSE)=0,"",TEXT(IFERROR(VLOOKUP(T_BilanSocial[[#This Row],[NumL]],T_TraitDi[#Data],COLUMN(T_TraitDi[[#This Row],[Colonne31]]),FALSE),""),"[hh]:mm"))</f>
        <v>#N/A</v>
      </c>
      <c r="BO8" s="172" t="e">
        <f>IF(VLOOKUP(T_BilanSocial[[#This Row],[NumL]],T_TraitDi[#Data],COLUMN(T_TraitDi[[#This Row],[Colonne32]]),FALSE)=0,"",TEXT(IFERROR(VLOOKUP(T_BilanSocial[[#This Row],[NumL]],T_TraitDi[#Data],COLUMN(T_TraitDi[[#This Row],[Colonne32]]),FALSE),""),"[hh]:mm"))</f>
        <v>#N/A</v>
      </c>
      <c r="BP8" s="172" t="e">
        <f>VLOOKUP(T_BilanSocial[[#This Row],[NumL]],T_TraitDi[#Data],COLUMN(T_TraitDi[NbJTot]),FALSE)</f>
        <v>#N/A</v>
      </c>
      <c r="BQ8" s="174" t="str">
        <f>IFERROR(VLOOKUP(T_BilanSocial[[#This Row],[NumL]],T_TraitDi[#Data],COLUMN(T_TraitDi[[#This Row],[NbJTW]]),FALSE),"")</f>
        <v/>
      </c>
      <c r="BR8" s="174" t="e">
        <f>IF(VLOOKUP(T_BilanSocial[[#This Row],[NumL]],T_TraitDi[#Data],COLUMN(T_TraitDi[[#This Row],[NbhTW]]),FALSE)=0,"",TEXT(IFERROR(VLOOKUP(T_BilanSocial[[#This Row],[NumL]],T_TraitDi[#Data],COLUMN(T_TraitDi[[#This Row],[NbhTW]]),FALSE),""),"[hh]:mm"))</f>
        <v>#N/A</v>
      </c>
      <c r="BS8" s="174" t="e">
        <f>IF(VLOOKUP(T_BilanSocial[[#This Row],[NumL]],T_TraitDi[#Data],COLUMN(T_TraitDi[[#This Row],[Nbhheb]]),FALSE)=0,"",TEXT(IFERROR(VLOOKUP($A8,T_TraitDi[#Data],COLUMN(T_TraitDi[[#This Row],[Nbhheb]]),FALSE),""),"[hh]:mm"))</f>
        <v>#N/A</v>
      </c>
      <c r="BT8" s="182" t="str">
        <f>IFERROR(VLOOKUP(VLOOKUP($A8,T_TraitDi[#Data],COLUMN(T_TraitDi[[#This Row],[Type1]]),FALSE),TypeTW,2,FALSE),"")</f>
        <v/>
      </c>
      <c r="BU8" s="182" t="str">
        <f>IFERROR(VLOOKUP($A8,T_TraitDi[#Data],COLUMN(T_TraitDi[[#This Row],[Rue1]]),FALSE),"")</f>
        <v/>
      </c>
      <c r="BV8" s="173" t="str">
        <f>IFERROR(VLOOKUP($A8,T_TraitDi[#Data],COLUMN(T_TraitDi[[#This Row],[CP1]]),FALSE),"")</f>
        <v/>
      </c>
      <c r="BW8" s="173" t="str">
        <f>IFERROR(VLOOKUP($A8,T_TraitDi[#Data],COLUMN(T_TraitDi[[#This Row],[VILLE1]]),FALSE),"")</f>
        <v/>
      </c>
      <c r="BX8" s="182" t="str">
        <f>IFERROR(VLOOKUP(VLOOKUP($A8,T_TraitDi[#Data],COLUMN(T_TraitDi[[#This Row],[Type2]]),FALSE),TypeTW,2,FALSE),"")</f>
        <v/>
      </c>
      <c r="BY8" s="182" t="str">
        <f>IFERROR(VLOOKUP($A8,T_TraitDi[#Data],COLUMN(T_TraitDi[[#This Row],[Rue2]]),FALSE),"")</f>
        <v/>
      </c>
      <c r="BZ8" s="173" t="str">
        <f>IFERROR(VLOOKUP($A8,T_TraitDi[#Data],COLUMN(T_TraitDi[[#This Row],[CP2]]),FALSE),"")</f>
        <v/>
      </c>
      <c r="CA8" s="173" t="str">
        <f>IFERROR(VLOOKUP($A8,T_TraitDi[#Data],COLUMN(T_TraitDi[[#This Row],[VILLE2]]),FALSE),"")</f>
        <v/>
      </c>
      <c r="CB8" s="182" t="e">
        <f>IF(VLOOKUP(T_BilanSocial[[#This Row],[NumL]],T_Equipement[#Data],COLUMN(T_Equipement[[#This Row],[PC]]),FALSE)="","Aucun équipement spécifique directement lié au télétravail",VLOOKUP(T_BilanSocial[[#This Row],[NumL]],T_Equipement[#Data],COLUMN(T_Equipement[[#This Row],[PC]]),FALSE))</f>
        <v>#N/A</v>
      </c>
      <c r="CC8" s="166" t="str">
        <f>IFERROR(IF(VLOOKUP(T_BilanSocial[[#This Row],[NumL]],T_TraitDi[#Data],COLUMN(T_TraitDi[[#This Row],[Plan]]),FALSE)="OK","Un planning spécifique de télétravail est annexé à la présente convention.",""),"")</f>
        <v/>
      </c>
      <c r="CD8" s="186"/>
      <c r="CE8" s="164" t="e">
        <f>IF(VLOOKUP(T_BilanSocial[[#This Row],[NumL]],T_suiviDi[#Data],COLUMN(T_suiviDi[[#This Row],[Entité]]),FALSE)="","",VLOOKUP(T_BilanSocial[[#This Row],[NumL]],T_suiviDi[#Data],COLUMN(T_suiviDi[[#This Row],[Entité]]),FALSE))</f>
        <v>#N/A</v>
      </c>
      <c r="CF8" s="164" t="e">
        <f>IF(VLOOKUP(T_BilanSocial[[#This Row],[NumL]],T_Commission[#Data],COLUMN(T_Commission[[#This Row],[envoi confirm TW]]),FALSE)="","",VLOOKUP(T_BilanSocial[[#This Row],[NumL]],T_Commission[#Data],COLUMN(T_Commission[[#This Row],[envoi confirm TW]]),FALSE))</f>
        <v>#N/A</v>
      </c>
      <c r="CG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 s="262" t="e">
        <f>T_BilanSocial[[#This Row],[Nom]]&amp;T_BilanSocial[[#This Row],[Prenom]]</f>
        <v>#N/A</v>
      </c>
      <c r="CI8" s="262" t="e">
        <f>VLOOKUP(T_BilanSocial[[#This Row],[NumL]],T_Commission[#Data],COLUMN(T_Commission[Commentaire]),FALSE)</f>
        <v>#N/A</v>
      </c>
      <c r="CJ8" s="262" t="e">
        <f>IF(VLOOKUP(T_BilanSocial[[#This Row],[NumL]],T_Commission[#Data],COLUMN(T_Commission[Encadrant Email]),FALSE)="","",VLOOKUP(T_BilanSocial[[#This Row],[NumL]],T_Commission[#Data],COLUMN(T_Commission[Encadrant Email]),FALSE))</f>
        <v>#N/A</v>
      </c>
      <c r="CK8" s="340" t="e">
        <f>IF(T_BilanSocial[[#This Row],[Final]]&lt;&gt;"",VLOOKUP(T_BilanSocial[[#This Row],[NumL]],T_suiviDi[#Data],COLUMN((T_suiviDi[Statut])),FALSE),"")</f>
        <v>#N/A</v>
      </c>
    </row>
    <row r="9" spans="1:89" s="106" customFormat="1" ht="16.149999999999999" customHeight="1" x14ac:dyDescent="0.25">
      <c r="A9" s="160">
        <v>6</v>
      </c>
      <c r="B9" s="161" t="str">
        <f t="shared" si="0"/>
        <v/>
      </c>
      <c r="C9" s="162" t="s">
        <v>173</v>
      </c>
      <c r="D9" s="95" t="e">
        <f>IF(VLOOKUP(T_BilanSocial[[#This Row],[NumL]],T_TraitDi[#Data],COLUMN(T_TraitDi[[#This Row],[WebC]]),FALSE)="","",VLOOKUP(T_BilanSocial[[#This Row],[NumL]],T_TraitDi[#Data],COLUMN(T_TraitDi[[#This Row],[WebC]]),FALSE))</f>
        <v>#N/A</v>
      </c>
      <c r="E9" s="163" t="str">
        <f t="shared" si="1"/>
        <v>12 janvier 2021</v>
      </c>
      <c r="F9" s="96" t="str">
        <f>IF(T_BilanSocial[[#This Row],[Final]]&lt;&gt;"",VLOOKUP(T_BilanSocial[[#This Row],[NumL]],T_suiviDi[#Data],COLUMN((T_suiviDi[Civ.])),FALSE),"")</f>
        <v/>
      </c>
      <c r="G9" s="96" t="str">
        <f>IF(T_BilanSocial[[#This Row],[Final]]&lt;&gt;"",VLOOKUP(T_BilanSocial[[#This Row],[NumL]],T_suiviDi[#Data],COLUMN((T_suiviDi[Nom])),FALSE),"")</f>
        <v/>
      </c>
      <c r="H9" s="96" t="str">
        <f>IF(T_BilanSocial[[#This Row],[Final]]&lt;&gt;"",VLOOKUP(T_BilanSocial[[#This Row],[NumL]],T_suiviDi[#Data],COLUMN((T_suiviDi[Prénom])),FALSE),"")</f>
        <v/>
      </c>
      <c r="I9" s="96" t="str">
        <f>IFERROR(VLOOKUP(T_BilanSocial[[#This Row],[Zone_Bilan]],T_P_BilanSocial[#Data],COLUMN(T_P_BilanSocial[[#This Row],[Numero_SIHAM]]),FALSE),"")</f>
        <v/>
      </c>
      <c r="J9" s="96" t="str">
        <f>IFERROR(VLOOKUP(T_BilanSocial[[#This Row],[Zone_Bilan]],T_P_BilanSocial[#Data],COLUMN(T_P_BilanSocial[[#This Row],[Sexe]]),FALSE),"")</f>
        <v/>
      </c>
      <c r="K9" s="97" t="str">
        <f>IFERROR(VLOOKUP(T_BilanSocial[[#This Row],[Zone_Bilan]],T_P_BilanSocial[#Data],COLUMN(T_P_BilanSocial[[#This Row],[Categorie]]),FALSE),"")</f>
        <v/>
      </c>
      <c r="L9" s="96" t="str">
        <f>IFERROR(VLOOKUP(T_BilanSocial[[#This Row],[Zone_Bilan]],T_P_BilanSocial[#Data],COLUMN(T_P_BilanSocial[[#This Row],[Statut]]),FALSE),"")</f>
        <v/>
      </c>
      <c r="M9" s="96" t="str">
        <f>IFERROR(VLOOKUP(T_BilanSocial[[#This Row],[Zone_Bilan]],T_P_BilanSocial[#Data],COLUMN(T_P_BilanSocial[[#This Row],[Filiere]]),FALSE),"")</f>
        <v/>
      </c>
      <c r="N9" s="96" t="e">
        <f>VLOOKUP(T_BilanSocial[[#This Row],[NumL]],T_TraitDi[#Data],COLUMN(T_TraitDi[EXP]),FALSE)</f>
        <v>#N/A</v>
      </c>
      <c r="O9" s="96" t="e">
        <f>VLOOKUP(T_BilanSocial[[#This Row],[NumL]],T_TraitDi[#Data],COLUMN(T_TraitDi[FORM]),FALSE)</f>
        <v>#N/A</v>
      </c>
      <c r="P9" s="96" t="str">
        <f>IF(T_BilanSocial[[#This Row],[Final]]&lt;&gt;"",VLOOKUP(T_BilanSocial[[#This Row],[NumL]],T_suiviDi[#Data],COLUMN((T_suiviDi[Email])),FALSE),"")</f>
        <v/>
      </c>
      <c r="Q9" s="164" t="e">
        <f>IF(VLOOKUP(T_BilanSocial[[#This Row],[NumL]],T_suiviDi[#Data],COLUMN(T_suiviDi[[#This Row],[Fonction]]),FALSE)="","",VLOOKUP(T_BilanSocial[[#This Row],[NumL]],T_suiviDi[#Data],COLUMN(T_suiviDi[[#This Row],[Fonction]]),FALSE))</f>
        <v>#N/A</v>
      </c>
      <c r="R9" s="164" t="e">
        <f>IF(VLOOKUP(T_BilanSocial[[#This Row],[NumL]],T_suiviDi[#Data],COLUMN(T_suiviDi[[#This Row],[Grade]]),FALSE)="","",VLOOKUP(T_BilanSocial[[#This Row],[NumL]],T_suiviDi[#Data],COLUMN(T_suiviDi[[#This Row],[Grade]]),FALSE))</f>
        <v>#N/A</v>
      </c>
      <c r="S9" s="164" t="e">
        <f>IF(VLOOKUP(T_BilanSocial[[#This Row],[NumL]],T_suiviDi[#Data],COLUMN(T_suiviDi[[#This Row],[Service ]]),FALSE)="","",VLOOKUP(T_BilanSocial[[#This Row],[NumL]],T_suiviDi[#Data],COLUMN(T_suiviDi[[#This Row],[Service ]]),FALSE))</f>
        <v>#N/A</v>
      </c>
      <c r="T9" s="164" t="str">
        <f t="shared" si="2"/>
        <v>01 septembre 2021</v>
      </c>
      <c r="U9" s="164" t="str">
        <f t="shared" si="3"/>
        <v>30 novembre 2021</v>
      </c>
      <c r="V9" s="96" t="str">
        <f t="shared" si="6"/>
        <v>30 novembre 2021</v>
      </c>
      <c r="W9" s="176" t="e">
        <f>IF(VLOOKUP(T_BilanSocial[[#This Row],[NumL]],T_TraitDi[#Data],COLUMN(T_TraitDi[[#This Row],[M1]]),FALSE)="","",VLOOKUP(T_BilanSocial[[#This Row],[NumL]],T_TraitDi[#Data],COLUMN(T_TraitDi[[#This Row],[M1]]),FALSE))</f>
        <v>#N/A</v>
      </c>
      <c r="X9" s="176" t="e">
        <f>IF(VLOOKUP(T_BilanSocial[[#This Row],[NumL]],T_TraitDi[#Data],COLUMN(T_TraitDi[[#This Row],[M2]]),FALSE)="","",VLOOKUP(T_BilanSocial[[#This Row],[NumL]],T_TraitDi[#Data],COLUMN(T_TraitDi[[#This Row],[M2]]),FALSE))</f>
        <v>#N/A</v>
      </c>
      <c r="Y9" s="176" t="e">
        <f>IF(VLOOKUP(T_BilanSocial[[#This Row],[NumL]],T_TraitDi[#Data],COLUMN(T_TraitDi[[#This Row],[M3]]),FALSE)="","",VLOOKUP(T_BilanSocial[[#This Row],[NumL]],T_TraitDi[#Data],COLUMN(T_TraitDi[[#This Row],[M3]]),FALSE))</f>
        <v>#N/A</v>
      </c>
      <c r="Z9" s="176" t="str">
        <f t="shared" si="5"/>
        <v/>
      </c>
      <c r="AA9" s="176" t="e">
        <f>IF(VLOOKUP(T_BilanSocial[[#This Row],[NumL]],T_TraitDi[#Data],COLUMN(T_TraitDi[[#This Row],[M5]]),FALSE)="","",VLOOKUP(T_BilanSocial[[#This Row],[NumL]],T_TraitDi[#Data],COLUMN(T_TraitDi[[#This Row],[M5]]),FALSE))</f>
        <v>#N/A</v>
      </c>
      <c r="AB9" s="176" t="e">
        <f>IF(VLOOKUP(T_BilanSocial[[#This Row],[NumL]],T_TraitDi[#Data],COLUMN(T_TraitDi[[#This Row],[M6]]),FALSE)="","",VLOOKUP(T_BilanSocial[[#This Row],[NumL]],T_TraitDi[#Data],COLUMN(T_TraitDi[[#This Row],[M6]]),FALSE))</f>
        <v>#N/A</v>
      </c>
      <c r="AC9" s="165" t="e">
        <f t="shared" si="4"/>
        <v>#N/A</v>
      </c>
      <c r="AD9" s="188" t="str">
        <f>IFERROR(TEXT(VLOOKUP(T_BilanSocial[[#This Row],[NumL]],T_TraitDi[#Data],COLUMN(T_TraitDi[[#This Row],[Q2]]),FALSE),"###%"),"")</f>
        <v/>
      </c>
      <c r="AE9" s="97" t="e">
        <f>VLOOKUP(T_BilanSocial[[#This Row],[NumL]],T_TraitDi[#Data],COLUMN(T_TraitDi[[#This Row],[Reg Ponct]]),FALSE)</f>
        <v>#N/A</v>
      </c>
      <c r="AF9" s="97" t="e">
        <f>VLOOKUP(T_BilanSocial[NumL],T_TraitDi[#Data],COLUMN(T_TraitDi[[#This Row],[Jours flottants]]),FALSE)</f>
        <v>#N/A</v>
      </c>
      <c r="AG9" s="97" t="str">
        <f>IFERROR(VLOOKUP(T_BilanSocial[[#This Row],[NumL]],T_TraitDi[#Data],COLUMN(T_TraitDi[[#This Row],[Lundi]]),FALSE),"")</f>
        <v/>
      </c>
      <c r="AH9" s="172" t="e">
        <f>IF(VLOOKUP(T_BilanSocial[[#This Row],[NumL]],T_TraitDi[#Data],COLUMN(T_TraitDi[[#This Row],[Colonne3]]),FALSE)=0,"",TEXT(IFERROR(VLOOKUP(T_BilanSocial[[#This Row],[NumL]],T_TraitDi[#Data],COLUMN(T_TraitDi[[#This Row],[Colonne3]]),FALSE),""),"[hh]:mm"))</f>
        <v>#N/A</v>
      </c>
      <c r="AI9" s="172" t="e">
        <f>IF(VLOOKUP(T_BilanSocial[[#This Row],[NumL]],T_TraitDi[#Data],COLUMN(T_TraitDi[[#This Row],[Colonne4]]),FALSE)=0,"",TEXT(IFERROR(VLOOKUP(T_BilanSocial[[#This Row],[NumL]],T_TraitDi[#Data],COLUMN(T_TraitDi[[#This Row],[Colonne4]]),FALSE),""),"[hh]:mm"))</f>
        <v>#N/A</v>
      </c>
      <c r="AJ9" s="172" t="e">
        <f>IF(VLOOKUP(T_BilanSocial[[#This Row],[NumL]],T_TraitDi[#Data],COLUMN(T_TraitDi[[#This Row],[Colonne5]]),FALSE)=0,"",TEXT(IFERROR(VLOOKUP(T_BilanSocial[[#This Row],[NumL]],T_TraitDi[#Data],COLUMN(T_TraitDi[[#This Row],[Colonne5]]),FALSE),""),"[hh]:mm"))</f>
        <v>#N/A</v>
      </c>
      <c r="AK9" s="172" t="e">
        <f>IF(VLOOKUP(T_BilanSocial[[#This Row],[NumL]],T_TraitDi[#Data],COLUMN(T_TraitDi[[#This Row],[Colonne6]]),FALSE)=0,"",TEXT(IFERROR(VLOOKUP(T_BilanSocial[[#This Row],[NumL]],T_TraitDi[#Data],COLUMN(T_TraitDi[[#This Row],[Colonne6]]),FALSE),""),"[hh]:mm"))</f>
        <v>#N/A</v>
      </c>
      <c r="AL9" s="172" t="e">
        <f>IF(VLOOKUP(T_BilanSocial[[#This Row],[NumL]],T_TraitDi[#Data],COLUMN(T_TraitDi[[#This Row],[Colonne7]]),FALSE)=0,"",TEXT(IFERROR(VLOOKUP(T_BilanSocial[[#This Row],[NumL]],T_TraitDi[#Data],COLUMN(T_TraitDi[[#This Row],[Colonne7]]),FALSE),""),"[hh]:mm"))</f>
        <v>#N/A</v>
      </c>
      <c r="AM9" s="172" t="e">
        <f>IF(VLOOKUP(T_BilanSocial[[#This Row],[NumL]],T_TraitDi[#Data],COLUMN(T_TraitDi[[#This Row],[Colonne8]]),FALSE)=0,"",TEXT(IFERROR(VLOOKUP(T_BilanSocial[[#This Row],[NumL]],T_TraitDi[#Data],COLUMN(T_TraitDi[[#This Row],[Colonne8]]),FALSE),""),"[hh]:mm"))</f>
        <v>#N/A</v>
      </c>
      <c r="AN9" s="172" t="str">
        <f>IFERROR(VLOOKUP(T_BilanSocial[[#This Row],[NumL]],T_TraitDi[#Data],COLUMN(T_TraitDi[[#This Row],[Mardi]]),FALSE),"")</f>
        <v/>
      </c>
      <c r="AO9" s="172" t="e">
        <f>IF(VLOOKUP(T_BilanSocial[[#This Row],[NumL]],T_TraitDi[#Data],COLUMN(T_TraitDi[[#This Row],[Colonne1]]),FALSE)=0,"",TEXT(IFERROR(VLOOKUP(T_BilanSocial[[#This Row],[NumL]],T_TraitDi[#Data],COLUMN(T_TraitDi[[#This Row],[Colonne1]]),FALSE),""),"[hh]:mm"))</f>
        <v>#N/A</v>
      </c>
      <c r="AP9" s="172" t="e">
        <f>IF(VLOOKUP(T_BilanSocial[[#This Row],[NumL]],T_TraitDi[#Data],COLUMN(T_TraitDi[[#This Row],[Colonne9]]),FALSE)=0,"",TEXT(IFERROR(VLOOKUP(T_BilanSocial[[#This Row],[NumL]],T_TraitDi[#Data],COLUMN(T_TraitDi[[#This Row],[Colonne9]]),FALSE),""),"[hh]:mm"))</f>
        <v>#N/A</v>
      </c>
      <c r="AQ9" s="172" t="str">
        <f>IFERROR(VLOOKUP(T_BilanSocial[[#This Row],[NumL]],T_TraitDi[#Data],COLUMN(T_TraitDi[[#This Row],[Colonne10]]),FALSE),"")</f>
        <v/>
      </c>
      <c r="AR9" s="172" t="e">
        <f>IF(VLOOKUP(T_BilanSocial[[#This Row],[NumL]],T_TraitDi[#Data],COLUMN(T_TraitDi[[#This Row],[Colonne11]]),FALSE)=0,"",TEXT(IFERROR(VLOOKUP(T_BilanSocial[[#This Row],[NumL]],T_TraitDi[#Data],COLUMN(T_TraitDi[[#This Row],[Colonne11]]),FALSE),""),"[hh]:mm"))</f>
        <v>#N/A</v>
      </c>
      <c r="AS9" s="172" t="e">
        <f>IF(VLOOKUP(T_BilanSocial[[#This Row],[NumL]],T_TraitDi[#Data],COLUMN(T_TraitDi[[#This Row],[Colonne12]]),FALSE)=0,"",TEXT(IFERROR(VLOOKUP(T_BilanSocial[[#This Row],[NumL]],T_TraitDi[#Data],COLUMN(T_TraitDi[[#This Row],[Colonne12]]),FALSE),""),"[hh]:mm"))</f>
        <v>#N/A</v>
      </c>
      <c r="AT9" s="172" t="e">
        <f>IF(VLOOKUP(T_BilanSocial[[#This Row],[NumL]],T_TraitDi[#Data],COLUMN(T_TraitDi[[#This Row],[Colonne14]]),FALSE)=0,"",TEXT(IFERROR(VLOOKUP(T_BilanSocial[[#This Row],[NumL]],T_TraitDi[#Data],COLUMN(T_TraitDi[[#This Row],[Colonne14]]),FALSE),""),"[hh]:mm"))</f>
        <v>#N/A</v>
      </c>
      <c r="AU9" s="172" t="str">
        <f>IFERROR(VLOOKUP(T_BilanSocial[[#This Row],[NumL]],T_TraitDi[#Data],COLUMN(T_TraitDi[[#This Row],[Mercredi]]),FALSE),"")</f>
        <v/>
      </c>
      <c r="AV9" s="172" t="e">
        <f>IF(VLOOKUP(T_BilanSocial[[#This Row],[NumL]],T_TraitDi[#Data],COLUMN(T_TraitDi[[#This Row],[Colonne15]]),FALSE)=0,"",TEXT(IFERROR(VLOOKUP(T_BilanSocial[[#This Row],[NumL]],T_TraitDi[#Data],COLUMN(T_TraitDi[[#This Row],[Colonne15]]),FALSE),""),"[hh]:mm"))</f>
        <v>#N/A</v>
      </c>
      <c r="AW9" s="172" t="e">
        <f>IF(VLOOKUP(T_BilanSocial[[#This Row],[NumL]],T_TraitDi[#Data],COLUMN(T_TraitDi[[#This Row],[Colonne16]]),FALSE)=0,"",TEXT(IFERROR(VLOOKUP(T_BilanSocial[[#This Row],[NumL]],T_TraitDi[#Data],COLUMN(T_TraitDi[[#This Row],[Colonne16]]),FALSE),""),"[hh]:mm"))</f>
        <v>#N/A</v>
      </c>
      <c r="AX9" s="172" t="str">
        <f>IFERROR(VLOOKUP(T_BilanSocial[[#This Row],[NumL]],T_TraitDi[#Data],COLUMN(T_TraitDi[[#This Row],[Colonne17]]),FALSE),"")</f>
        <v/>
      </c>
      <c r="AY9" s="172" t="e">
        <f>IF(VLOOKUP(T_BilanSocial[[#This Row],[NumL]],T_TraitDi[#Data],COLUMN(T_TraitDi[[#This Row],[Colonne18]]),FALSE)=0,"",TEXT(IFERROR(VLOOKUP(T_BilanSocial[[#This Row],[NumL]],T_TraitDi[#Data],COLUMN(T_TraitDi[[#This Row],[Colonne18]]),FALSE),""),"[hh]:mm"))</f>
        <v>#N/A</v>
      </c>
      <c r="AZ9" s="172" t="e">
        <f>IF(VLOOKUP(T_BilanSocial[[#This Row],[NumL]],T_TraitDi[#Data],COLUMN(T_TraitDi[[#This Row],[Colonne19]]),FALSE)=0,"",TEXT(IFERROR(VLOOKUP(T_BilanSocial[[#This Row],[NumL]],T_TraitDi[#Data],COLUMN(T_TraitDi[[#This Row],[Colonne19]]),FALSE),""),"[hh]:mm"))</f>
        <v>#N/A</v>
      </c>
      <c r="BA9" s="172" t="e">
        <f>IF(VLOOKUP(T_BilanSocial[[#This Row],[NumL]],T_TraitDi[#Data],COLUMN(T_TraitDi[[#This Row],[Colonne20]]),FALSE)=0,"",TEXT(IFERROR(VLOOKUP(T_BilanSocial[[#This Row],[NumL]],T_TraitDi[#Data],COLUMN(T_TraitDi[[#This Row],[Colonne20]]),FALSE),""),"[hh]:mm"))</f>
        <v>#N/A</v>
      </c>
      <c r="BB9" s="178" t="str">
        <f>IFERROR(VLOOKUP(T_BilanSocial[[#This Row],[NumL]],T_TraitDi[#Data],COLUMN(T_TraitDi[[#This Row],[Jeudi]]),FALSE),"")</f>
        <v/>
      </c>
      <c r="BC9" s="178" t="e">
        <f>IF(VLOOKUP(T_BilanSocial[[#This Row],[NumL]],T_TraitDi[#Data],COLUMN(T_TraitDi[[#This Row],[Colonne21]]),FALSE)=0,"",TEXT(IFERROR(VLOOKUP(T_BilanSocial[[#This Row],[NumL]],T_TraitDi[#Data],COLUMN(T_TraitDi[[#This Row],[Colonne21]]),FALSE),""),"[hh]:mm"))</f>
        <v>#N/A</v>
      </c>
      <c r="BD9" s="178" t="e">
        <f>IF(VLOOKUP(T_BilanSocial[[#This Row],[NumL]],T_TraitDi[#Data],COLUMN(T_TraitDi[[#This Row],[Colonne22]]),FALSE)=0,"",TEXT(IFERROR(VLOOKUP(T_BilanSocial[[#This Row],[NumL]],T_TraitDi[#Data],COLUMN(T_TraitDi[[#This Row],[Colonne22]]),FALSE),""),"[hh]:mm"))</f>
        <v>#N/A</v>
      </c>
      <c r="BE9" s="178" t="str">
        <f>IFERROR(VLOOKUP(T_BilanSocial[[#This Row],[NumL]],T_TraitDi[#Data],COLUMN(T_TraitDi[[#This Row],[Colonne23]]),FALSE),"")</f>
        <v/>
      </c>
      <c r="BF9" s="178" t="e">
        <f>IF(VLOOKUP(T_BilanSocial[[#This Row],[NumL]],T_TraitDi[#Data],COLUMN(T_TraitDi[[#This Row],[Colonne24]]),FALSE)=0,"",TEXT(IFERROR(VLOOKUP(T_BilanSocial[[#This Row],[NumL]],T_TraitDi[#Data],COLUMN(T_TraitDi[[#This Row],[Colonne24]]),FALSE),""),"[hh]:mm"))</f>
        <v>#N/A</v>
      </c>
      <c r="BG9" s="178" t="e">
        <f>IF(VLOOKUP(T_BilanSocial[[#This Row],[NumL]],T_TraitDi[#Data],COLUMN(T_TraitDi[[#This Row],[Colonne25]]),FALSE)=0,"",TEXT(IFERROR(VLOOKUP(T_BilanSocial[[#This Row],[NumL]],T_TraitDi[#Data],COLUMN(T_TraitDi[[#This Row],[Colonne25]]),FALSE),""),"[hh]:mm"))</f>
        <v>#N/A</v>
      </c>
      <c r="BH9" s="178" t="e">
        <f>IF(VLOOKUP(T_BilanSocial[[#This Row],[NumL]],T_TraitDi[#Data],COLUMN(T_TraitDi[[#This Row],[Colonne26]]),FALSE)=0,"",TEXT(IFERROR(VLOOKUP(T_BilanSocial[[#This Row],[NumL]],T_TraitDi[#Data],COLUMN(T_TraitDi[[#This Row],[Colonne26]]),FALSE),""),"[hh]:mm"))</f>
        <v>#N/A</v>
      </c>
      <c r="BI9" s="172" t="str">
        <f>IFERROR(VLOOKUP(T_BilanSocial[[#This Row],[NumL]],T_TraitDi[#Data],COLUMN(T_TraitDi[[#This Row],[Vendredi]]),FALSE),"")</f>
        <v/>
      </c>
      <c r="BJ9" s="172" t="e">
        <f>IF(VLOOKUP(T_BilanSocial[[#This Row],[NumL]],T_TraitDi[#Data],COLUMN(T_TraitDi[[#This Row],[Colonne27]]),FALSE)=0,"",TEXT(IFERROR(VLOOKUP(T_BilanSocial[[#This Row],[NumL]],T_TraitDi[#Data],COLUMN(T_TraitDi[[#This Row],[Colonne27]]),FALSE),""),"[hh]:mm"))</f>
        <v>#N/A</v>
      </c>
      <c r="BK9" s="172" t="e">
        <f>IF(VLOOKUP(T_BilanSocial[[#This Row],[NumL]],T_TraitDi[#Data],COLUMN(T_TraitDi[[#This Row],[Colonne28]]),FALSE)=0,"",TEXT(IFERROR(VLOOKUP(T_BilanSocial[[#This Row],[NumL]],T_TraitDi[#Data],COLUMN(T_TraitDi[[#This Row],[Colonne28]]),FALSE),""),"[hh]:mm"))</f>
        <v>#N/A</v>
      </c>
      <c r="BL9" s="172" t="str">
        <f>IFERROR(VLOOKUP(T_BilanSocial[[#This Row],[NumL]],T_TraitDi[#Data],COLUMN(T_TraitDi[[#This Row],[Colonne29]]),FALSE),"")</f>
        <v/>
      </c>
      <c r="BM9" s="172" t="e">
        <f>IF(VLOOKUP(T_BilanSocial[[#This Row],[NumL]],T_TraitDi[#Data],COLUMN(T_TraitDi[[#This Row],[Colonne30]]),FALSE)=0,"",TEXT(IFERROR(VLOOKUP(T_BilanSocial[[#This Row],[NumL]],T_TraitDi[#Data],COLUMN(T_TraitDi[[#This Row],[Colonne30]]),FALSE),""),"[hh]:mm"))</f>
        <v>#N/A</v>
      </c>
      <c r="BN9" s="172" t="e">
        <f>IF(VLOOKUP(T_BilanSocial[[#This Row],[NumL]],T_TraitDi[#Data],COLUMN(T_TraitDi[[#This Row],[Colonne31]]),FALSE)=0,"",TEXT(IFERROR(VLOOKUP(T_BilanSocial[[#This Row],[NumL]],T_TraitDi[#Data],COLUMN(T_TraitDi[[#This Row],[Colonne31]]),FALSE),""),"[hh]:mm"))</f>
        <v>#N/A</v>
      </c>
      <c r="BO9" s="172" t="e">
        <f>IF(VLOOKUP(T_BilanSocial[[#This Row],[NumL]],T_TraitDi[#Data],COLUMN(T_TraitDi[[#This Row],[Colonne32]]),FALSE)=0,"",TEXT(IFERROR(VLOOKUP(T_BilanSocial[[#This Row],[NumL]],T_TraitDi[#Data],COLUMN(T_TraitDi[[#This Row],[Colonne32]]),FALSE),""),"[hh]:mm"))</f>
        <v>#N/A</v>
      </c>
      <c r="BP9" s="172" t="e">
        <f>VLOOKUP(T_BilanSocial[[#This Row],[NumL]],T_TraitDi[#Data],COLUMN(T_TraitDi[NbJTot]),FALSE)</f>
        <v>#N/A</v>
      </c>
      <c r="BQ9" s="174" t="str">
        <f>IFERROR(VLOOKUP(T_BilanSocial[[#This Row],[NumL]],T_TraitDi[#Data],COLUMN(T_TraitDi[[#This Row],[NbJTW]]),FALSE),"")</f>
        <v/>
      </c>
      <c r="BR9" s="174" t="e">
        <f>IF(VLOOKUP(T_BilanSocial[[#This Row],[NumL]],T_TraitDi[#Data],COLUMN(T_TraitDi[[#This Row],[NbhTW]]),FALSE)=0,"",TEXT(IFERROR(VLOOKUP(T_BilanSocial[[#This Row],[NumL]],T_TraitDi[#Data],COLUMN(T_TraitDi[[#This Row],[NbhTW]]),FALSE),""),"[hh]:mm"))</f>
        <v>#N/A</v>
      </c>
      <c r="BS9" s="174" t="e">
        <f>IF(VLOOKUP(T_BilanSocial[[#This Row],[NumL]],T_TraitDi[#Data],COLUMN(T_TraitDi[[#This Row],[Nbhheb]]),FALSE)=0,"",TEXT(IFERROR(VLOOKUP($A9,T_TraitDi[#Data],COLUMN(T_TraitDi[[#This Row],[Nbhheb]]),FALSE),""),"[hh]:mm"))</f>
        <v>#N/A</v>
      </c>
      <c r="BT9" s="182" t="str">
        <f>IFERROR(VLOOKUP(VLOOKUP($A9,T_TraitDi[#Data],COLUMN(T_TraitDi[[#This Row],[Type1]]),FALSE),TypeTW,2,FALSE),"")</f>
        <v/>
      </c>
      <c r="BU9" s="182" t="str">
        <f>IFERROR(VLOOKUP($A9,T_TraitDi[#Data],COLUMN(T_TraitDi[[#This Row],[Rue1]]),FALSE),"")</f>
        <v/>
      </c>
      <c r="BV9" s="173" t="str">
        <f>IFERROR(VLOOKUP($A9,T_TraitDi[#Data],COLUMN(T_TraitDi[[#This Row],[CP1]]),FALSE),"")</f>
        <v/>
      </c>
      <c r="BW9" s="173" t="str">
        <f>IFERROR(VLOOKUP($A9,T_TraitDi[#Data],COLUMN(T_TraitDi[[#This Row],[VILLE1]]),FALSE),"")</f>
        <v/>
      </c>
      <c r="BX9" s="182" t="str">
        <f>IFERROR(VLOOKUP(VLOOKUP($A9,T_TraitDi[#Data],COLUMN(T_TraitDi[[#This Row],[Type2]]),FALSE),TypeTW,2,FALSE),"")</f>
        <v/>
      </c>
      <c r="BY9" s="182" t="str">
        <f>IFERROR(VLOOKUP($A9,T_TraitDi[#Data],COLUMN(T_TraitDi[[#This Row],[Rue2]]),FALSE),"")</f>
        <v/>
      </c>
      <c r="BZ9" s="173" t="str">
        <f>IFERROR(VLOOKUP($A9,T_TraitDi[#Data],COLUMN(T_TraitDi[[#This Row],[CP2]]),FALSE),"")</f>
        <v/>
      </c>
      <c r="CA9" s="173" t="str">
        <f>IFERROR(VLOOKUP($A9,T_TraitDi[#Data],COLUMN(T_TraitDi[[#This Row],[VILLE2]]),FALSE),"")</f>
        <v/>
      </c>
      <c r="CB9" s="182" t="str">
        <f>IF(VLOOKUP(T_BilanSocial[[#This Row],[NumL]],T_Equipement[#Data],COLUMN(T_Equipement[[#This Row],[PC]]),FALSE)="","Aucun équipement spécifique directement lié au télétravail",VLOOKUP(T_BilanSocial[[#This Row],[NumL]],T_Equipement[#Data],COLUMN(T_Equipement[[#This Row],[PC]]),FALSE))</f>
        <v xml:space="preserve">20-290	</v>
      </c>
      <c r="CC9" s="166" t="str">
        <f>IFERROR(IF(VLOOKUP(T_BilanSocial[[#This Row],[NumL]],T_TraitDi[#Data],COLUMN(T_TraitDi[[#This Row],[Plan]]),FALSE)="OK","Un planning spécifique de télétravail est annexé à la présente convention.",""),"")</f>
        <v/>
      </c>
      <c r="CD9" s="258" t="s">
        <v>3363</v>
      </c>
      <c r="CE9" s="164" t="e">
        <f>IF(VLOOKUP(T_BilanSocial[[#This Row],[NumL]],T_suiviDi[#Data],COLUMN(T_suiviDi[[#This Row],[Entité]]),FALSE)="","",VLOOKUP(T_BilanSocial[[#This Row],[NumL]],T_suiviDi[#Data],COLUMN(T_suiviDi[[#This Row],[Entité]]),FALSE))</f>
        <v>#N/A</v>
      </c>
      <c r="CF9" s="164" t="str">
        <f>IF(VLOOKUP(T_BilanSocial[[#This Row],[NumL]],T_Commission[#Data],COLUMN(T_Commission[[#This Row],[envoi confirm TW]]),FALSE)="","",VLOOKUP(T_BilanSocial[[#This Row],[NumL]],T_Commission[#Data],COLUMN(T_Commission[[#This Row],[envoi confirm TW]]),FALSE))</f>
        <v>Oui</v>
      </c>
      <c r="CG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 s="262" t="str">
        <f>T_BilanSocial[[#This Row],[Nom]]&amp;T_BilanSocial[[#This Row],[Prenom]]</f>
        <v/>
      </c>
      <c r="CI9" s="262">
        <f>VLOOKUP(T_BilanSocial[[#This Row],[NumL]],T_Commission[#Data],COLUMN(T_Commission[Commentaire]),FALSE)</f>
        <v>0</v>
      </c>
      <c r="CJ9" s="262" t="str">
        <f>IF(VLOOKUP(T_BilanSocial[[#This Row],[NumL]],T_Commission[#Data],COLUMN(T_Commission[Encadrant Email]),FALSE)="","",VLOOKUP(T_BilanSocial[[#This Row],[NumL]],T_Commission[#Data],COLUMN(T_Commission[Encadrant Email]),FALSE))</f>
        <v/>
      </c>
      <c r="CK9" s="340" t="str">
        <f>IF(T_BilanSocial[[#This Row],[Final]]&lt;&gt;"",VLOOKUP(T_BilanSocial[[#This Row],[NumL]],T_suiviDi[#Data],COLUMN((T_suiviDi[Statut])),FALSE),"")</f>
        <v/>
      </c>
    </row>
    <row r="10" spans="1:89" s="106" customFormat="1" ht="18.600000000000001" customHeight="1" x14ac:dyDescent="0.25">
      <c r="A10" s="160">
        <v>7</v>
      </c>
      <c r="B10" s="161" t="str">
        <f t="shared" si="0"/>
        <v/>
      </c>
      <c r="C10" s="162" t="s">
        <v>173</v>
      </c>
      <c r="D10" s="95" t="e">
        <f>IF(VLOOKUP(T_BilanSocial[[#This Row],[NumL]],T_TraitDi[#Data],COLUMN(T_TraitDi[[#This Row],[WebC]]),FALSE)="","",VLOOKUP(T_BilanSocial[[#This Row],[NumL]],T_TraitDi[#Data],COLUMN(T_TraitDi[[#This Row],[WebC]]),FALSE))</f>
        <v>#N/A</v>
      </c>
      <c r="E10" s="163" t="str">
        <f t="shared" si="1"/>
        <v>12 janvier 2021</v>
      </c>
      <c r="F10" s="96" t="str">
        <f>IF(T_BilanSocial[[#This Row],[Final]]&lt;&gt;"",VLOOKUP(T_BilanSocial[[#This Row],[NumL]],T_suiviDi[#Data],COLUMN((T_suiviDi[Civ.])),FALSE),"")</f>
        <v/>
      </c>
      <c r="G10" s="96" t="str">
        <f>IF(T_BilanSocial[[#This Row],[Final]]&lt;&gt;"",VLOOKUP(T_BilanSocial[[#This Row],[NumL]],T_suiviDi[#Data],COLUMN((T_suiviDi[Nom])),FALSE),"")</f>
        <v/>
      </c>
      <c r="H10" s="96" t="str">
        <f>IF(T_BilanSocial[[#This Row],[Final]]&lt;&gt;"",VLOOKUP(T_BilanSocial[[#This Row],[NumL]],T_suiviDi[#Data],COLUMN((T_suiviDi[Prénom])),FALSE),"")</f>
        <v/>
      </c>
      <c r="I10" s="150" t="str">
        <f>IFERROR(VLOOKUP(T_BilanSocial[[#This Row],[Zone_Bilan]],T_P_BilanSocial[#Data],COLUMN(T_P_BilanSocial[[#This Row],[Numero_SIHAM]]),FALSE),"")</f>
        <v/>
      </c>
      <c r="J10" s="150" t="str">
        <f>IFERROR(VLOOKUP(T_BilanSocial[[#This Row],[Zone_Bilan]],T_P_BilanSocial[#Data],COLUMN(T_P_BilanSocial[[#This Row],[Sexe]]),FALSE),"")</f>
        <v/>
      </c>
      <c r="K10" s="95" t="str">
        <f>IFERROR(VLOOKUP(T_BilanSocial[[#This Row],[Zone_Bilan]],T_P_BilanSocial[#Data],COLUMN(T_P_BilanSocial[[#This Row],[Categorie]]),FALSE),"")</f>
        <v/>
      </c>
      <c r="L10" s="150" t="str">
        <f>IFERROR(VLOOKUP(T_BilanSocial[[#This Row],[Zone_Bilan]],T_P_BilanSocial[#Data],COLUMN(T_P_BilanSocial[[#This Row],[Statut]]),FALSE),"")</f>
        <v/>
      </c>
      <c r="M10" s="150" t="str">
        <f>IFERROR(VLOOKUP(T_BilanSocial[[#This Row],[Zone_Bilan]],T_P_BilanSocial[#Data],COLUMN(T_P_BilanSocial[[#This Row],[Filiere]]),FALSE),"")</f>
        <v/>
      </c>
      <c r="N10" s="150" t="e">
        <f>VLOOKUP(T_BilanSocial[[#This Row],[NumL]],T_TraitDi[#Data],COLUMN(T_TraitDi[EXP]),FALSE)</f>
        <v>#N/A</v>
      </c>
      <c r="O10" s="150" t="e">
        <f>VLOOKUP(T_BilanSocial[[#This Row],[NumL]],T_TraitDi[#Data],COLUMN(T_TraitDi[FORM]),FALSE)</f>
        <v>#N/A</v>
      </c>
      <c r="P10" s="96" t="str">
        <f>IF(T_BilanSocial[[#This Row],[Final]]&lt;&gt;"",VLOOKUP(T_BilanSocial[[#This Row],[NumL]],T_suiviDi[#Data],COLUMN((T_suiviDi[Email])),FALSE),"")</f>
        <v/>
      </c>
      <c r="Q10" s="164" t="e">
        <f>IF(VLOOKUP(T_BilanSocial[[#This Row],[NumL]],T_suiviDi[#Data],COLUMN(T_suiviDi[[#This Row],[Fonction]]),FALSE)="","",VLOOKUP(T_BilanSocial[[#This Row],[NumL]],T_suiviDi[#Data],COLUMN(T_suiviDi[[#This Row],[Fonction]]),FALSE))</f>
        <v>#N/A</v>
      </c>
      <c r="R10" s="164" t="e">
        <f>IF(VLOOKUP(T_BilanSocial[[#This Row],[NumL]],T_suiviDi[#Data],COLUMN(T_suiviDi[[#This Row],[Grade]]),FALSE)="","",VLOOKUP(T_BilanSocial[[#This Row],[NumL]],T_suiviDi[#Data],COLUMN(T_suiviDi[[#This Row],[Grade]]),FALSE))</f>
        <v>#N/A</v>
      </c>
      <c r="S10" s="164" t="e">
        <f>IF(VLOOKUP(T_BilanSocial[[#This Row],[NumL]],T_suiviDi[#Data],COLUMN(T_suiviDi[[#This Row],[Service ]]),FALSE)="","",VLOOKUP(T_BilanSocial[[#This Row],[NumL]],T_suiviDi[#Data],COLUMN(T_suiviDi[[#This Row],[Service ]]),FALSE))</f>
        <v>#N/A</v>
      </c>
      <c r="T10" s="165" t="str">
        <f t="shared" si="2"/>
        <v>01 septembre 2021</v>
      </c>
      <c r="U10" s="165" t="str">
        <f t="shared" si="3"/>
        <v>30 novembre 2021</v>
      </c>
      <c r="V10" s="164" t="str">
        <f t="shared" si="6"/>
        <v>30 novembre 2021</v>
      </c>
      <c r="W10" s="176" t="e">
        <f>IF(VLOOKUP(T_BilanSocial[[#This Row],[NumL]],T_TraitDi[#Data],COLUMN(T_TraitDi[[#This Row],[M1]]),FALSE)="","",VLOOKUP(T_BilanSocial[[#This Row],[NumL]],T_TraitDi[#Data],COLUMN(T_TraitDi[[#This Row],[M1]]),FALSE))</f>
        <v>#N/A</v>
      </c>
      <c r="X10" s="176" t="e">
        <f>IF(VLOOKUP(T_BilanSocial[[#This Row],[NumL]],T_TraitDi[#Data],COLUMN(T_TraitDi[[#This Row],[M2]]),FALSE)="","",VLOOKUP(T_BilanSocial[[#This Row],[NumL]],T_TraitDi[#Data],COLUMN(T_TraitDi[[#This Row],[M2]]),FALSE))</f>
        <v>#N/A</v>
      </c>
      <c r="Y10" s="176" t="e">
        <f>IF(VLOOKUP(T_BilanSocial[[#This Row],[NumL]],T_TraitDi[#Data],COLUMN(T_TraitDi[[#This Row],[M3]]),FALSE)="","",VLOOKUP(T_BilanSocial[[#This Row],[NumL]],T_TraitDi[#Data],COLUMN(T_TraitDi[[#This Row],[M3]]),FALSE))</f>
        <v>#N/A</v>
      </c>
      <c r="Z10" s="176" t="str">
        <f t="shared" si="5"/>
        <v/>
      </c>
      <c r="AA10" s="176" t="e">
        <f>IF(VLOOKUP(T_BilanSocial[[#This Row],[NumL]],T_TraitDi[#Data],COLUMN(T_TraitDi[[#This Row],[M5]]),FALSE)="","",VLOOKUP(T_BilanSocial[[#This Row],[NumL]],T_TraitDi[#Data],COLUMN(T_TraitDi[[#This Row],[M5]]),FALSE))</f>
        <v>#N/A</v>
      </c>
      <c r="AB10" s="176" t="e">
        <f>IF(VLOOKUP(T_BilanSocial[[#This Row],[NumL]],T_TraitDi[#Data],COLUMN(T_TraitDi[[#This Row],[M6]]),FALSE)="","",VLOOKUP(T_BilanSocial[[#This Row],[NumL]],T_TraitDi[#Data],COLUMN(T_TraitDi[[#This Row],[M6]]),FALSE))</f>
        <v>#N/A</v>
      </c>
      <c r="AC10" s="165" t="e">
        <f t="shared" si="4"/>
        <v>#N/A</v>
      </c>
      <c r="AD10" s="188" t="str">
        <f>IFERROR(TEXT(VLOOKUP(T_BilanSocial[[#This Row],[NumL]],T_TraitDi[#Data],COLUMN(T_TraitDi[[#This Row],[Q2]]),FALSE),"###%"),"")</f>
        <v/>
      </c>
      <c r="AE10" s="95" t="e">
        <f>VLOOKUP(T_BilanSocial[[#This Row],[NumL]],T_TraitDi[#Data],COLUMN(T_TraitDi[[#This Row],[Reg Ponct]]),FALSE)</f>
        <v>#N/A</v>
      </c>
      <c r="AF10" s="95" t="e">
        <f>VLOOKUP(T_BilanSocial[NumL],T_TraitDi[#Data],COLUMN(T_TraitDi[[#This Row],[Jours flottants]]),FALSE)</f>
        <v>#N/A</v>
      </c>
      <c r="AG10" s="97" t="str">
        <f>IFERROR(VLOOKUP(T_BilanSocial[[#This Row],[NumL]],T_TraitDi[#Data],COLUMN(T_TraitDi[[#This Row],[Lundi]]),FALSE),"")</f>
        <v/>
      </c>
      <c r="AH10" s="172" t="e">
        <f>IF(VLOOKUP(T_BilanSocial[[#This Row],[NumL]],T_TraitDi[#Data],COLUMN(T_TraitDi[[#This Row],[Colonne3]]),FALSE)=0,"",TEXT(IFERROR(VLOOKUP(T_BilanSocial[[#This Row],[NumL]],T_TraitDi[#Data],COLUMN(T_TraitDi[[#This Row],[Colonne3]]),FALSE),""),"[hh]:mm"))</f>
        <v>#N/A</v>
      </c>
      <c r="AI10" s="172" t="e">
        <f>IF(VLOOKUP(T_BilanSocial[[#This Row],[NumL]],T_TraitDi[#Data],COLUMN(T_TraitDi[[#This Row],[Colonne4]]),FALSE)=0,"",TEXT(IFERROR(VLOOKUP(T_BilanSocial[[#This Row],[NumL]],T_TraitDi[#Data],COLUMN(T_TraitDi[[#This Row],[Colonne4]]),FALSE),""),"[hh]:mm"))</f>
        <v>#N/A</v>
      </c>
      <c r="AJ10" s="172" t="e">
        <f>IF(VLOOKUP(T_BilanSocial[[#This Row],[NumL]],T_TraitDi[#Data],COLUMN(T_TraitDi[[#This Row],[Colonne5]]),FALSE)=0,"",TEXT(IFERROR(VLOOKUP(T_BilanSocial[[#This Row],[NumL]],T_TraitDi[#Data],COLUMN(T_TraitDi[[#This Row],[Colonne5]]),FALSE),""),"[hh]:mm"))</f>
        <v>#N/A</v>
      </c>
      <c r="AK10" s="172" t="e">
        <f>IF(VLOOKUP(T_BilanSocial[[#This Row],[NumL]],T_TraitDi[#Data],COLUMN(T_TraitDi[[#This Row],[Colonne6]]),FALSE)=0,"",TEXT(IFERROR(VLOOKUP(T_BilanSocial[[#This Row],[NumL]],T_TraitDi[#Data],COLUMN(T_TraitDi[[#This Row],[Colonne6]]),FALSE),""),"[hh]:mm"))</f>
        <v>#N/A</v>
      </c>
      <c r="AL10" s="172" t="e">
        <f>IF(VLOOKUP(T_BilanSocial[[#This Row],[NumL]],T_TraitDi[#Data],COLUMN(T_TraitDi[[#This Row],[Colonne7]]),FALSE)=0,"",TEXT(IFERROR(VLOOKUP(T_BilanSocial[[#This Row],[NumL]],T_TraitDi[#Data],COLUMN(T_TraitDi[[#This Row],[Colonne7]]),FALSE),""),"[hh]:mm"))</f>
        <v>#N/A</v>
      </c>
      <c r="AM10" s="172" t="e">
        <f>IF(VLOOKUP(T_BilanSocial[[#This Row],[NumL]],T_TraitDi[#Data],COLUMN(T_TraitDi[[#This Row],[Colonne8]]),FALSE)=0,"",TEXT(IFERROR(VLOOKUP(T_BilanSocial[[#This Row],[NumL]],T_TraitDi[#Data],COLUMN(T_TraitDi[[#This Row],[Colonne8]]),FALSE),""),"[hh]:mm"))</f>
        <v>#N/A</v>
      </c>
      <c r="AN10" s="172" t="str">
        <f>IFERROR(VLOOKUP(T_BilanSocial[[#This Row],[NumL]],T_TraitDi[#Data],COLUMN(T_TraitDi[[#This Row],[Mardi]]),FALSE),"")</f>
        <v/>
      </c>
      <c r="AO10" s="172" t="e">
        <f>IF(VLOOKUP(T_BilanSocial[[#This Row],[NumL]],T_TraitDi[#Data],COLUMN(T_TraitDi[[#This Row],[Colonne1]]),FALSE)=0,"",TEXT(IFERROR(VLOOKUP(T_BilanSocial[[#This Row],[NumL]],T_TraitDi[#Data],COLUMN(T_TraitDi[[#This Row],[Colonne1]]),FALSE),""),"[hh]:mm"))</f>
        <v>#N/A</v>
      </c>
      <c r="AP10" s="172" t="e">
        <f>IF(VLOOKUP(T_BilanSocial[[#This Row],[NumL]],T_TraitDi[#Data],COLUMN(T_TraitDi[[#This Row],[Colonne9]]),FALSE)=0,"",TEXT(IFERROR(VLOOKUP(T_BilanSocial[[#This Row],[NumL]],T_TraitDi[#Data],COLUMN(T_TraitDi[[#This Row],[Colonne9]]),FALSE),""),"[hh]:mm"))</f>
        <v>#N/A</v>
      </c>
      <c r="AQ10" s="172" t="str">
        <f>IFERROR(VLOOKUP(T_BilanSocial[[#This Row],[NumL]],T_TraitDi[#Data],COLUMN(T_TraitDi[[#This Row],[Colonne10]]),FALSE),"")</f>
        <v/>
      </c>
      <c r="AR10" s="172" t="e">
        <f>IF(VLOOKUP(T_BilanSocial[[#This Row],[NumL]],T_TraitDi[#Data],COLUMN(T_TraitDi[[#This Row],[Colonne11]]),FALSE)=0,"",TEXT(IFERROR(VLOOKUP(T_BilanSocial[[#This Row],[NumL]],T_TraitDi[#Data],COLUMN(T_TraitDi[[#This Row],[Colonne11]]),FALSE),""),"[hh]:mm"))</f>
        <v>#N/A</v>
      </c>
      <c r="AS10" s="172" t="e">
        <f>IF(VLOOKUP(T_BilanSocial[[#This Row],[NumL]],T_TraitDi[#Data],COLUMN(T_TraitDi[[#This Row],[Colonne12]]),FALSE)=0,"",TEXT(IFERROR(VLOOKUP(T_BilanSocial[[#This Row],[NumL]],T_TraitDi[#Data],COLUMN(T_TraitDi[[#This Row],[Colonne12]]),FALSE),""),"[hh]:mm"))</f>
        <v>#N/A</v>
      </c>
      <c r="AT10" s="172" t="e">
        <f>IF(VLOOKUP(T_BilanSocial[[#This Row],[NumL]],T_TraitDi[#Data],COLUMN(T_TraitDi[[#This Row],[Colonne14]]),FALSE)=0,"",TEXT(IFERROR(VLOOKUP(T_BilanSocial[[#This Row],[NumL]],T_TraitDi[#Data],COLUMN(T_TraitDi[[#This Row],[Colonne14]]),FALSE),""),"[hh]:mm"))</f>
        <v>#N/A</v>
      </c>
      <c r="AU10" s="172" t="str">
        <f>IFERROR(VLOOKUP(T_BilanSocial[[#This Row],[NumL]],T_TraitDi[#Data],COLUMN(T_TraitDi[[#This Row],[Mercredi]]),FALSE),"")</f>
        <v/>
      </c>
      <c r="AV10" s="172" t="e">
        <f>IF(VLOOKUP(T_BilanSocial[[#This Row],[NumL]],T_TraitDi[#Data],COLUMN(T_TraitDi[[#This Row],[Colonne15]]),FALSE)=0,"",TEXT(IFERROR(VLOOKUP(T_BilanSocial[[#This Row],[NumL]],T_TraitDi[#Data],COLUMN(T_TraitDi[[#This Row],[Colonne15]]),FALSE),""),"[hh]:mm"))</f>
        <v>#N/A</v>
      </c>
      <c r="AW10" s="172" t="e">
        <f>IF(VLOOKUP(T_BilanSocial[[#This Row],[NumL]],T_TraitDi[#Data],COLUMN(T_TraitDi[[#This Row],[Colonne16]]),FALSE)=0,"",TEXT(IFERROR(VLOOKUP(T_BilanSocial[[#This Row],[NumL]],T_TraitDi[#Data],COLUMN(T_TraitDi[[#This Row],[Colonne16]]),FALSE),""),"[hh]:mm"))</f>
        <v>#N/A</v>
      </c>
      <c r="AX10" s="172" t="str">
        <f>IFERROR(VLOOKUP(T_BilanSocial[[#This Row],[NumL]],T_TraitDi[#Data],COLUMN(T_TraitDi[[#This Row],[Colonne17]]),FALSE),"")</f>
        <v/>
      </c>
      <c r="AY10" s="172" t="e">
        <f>IF(VLOOKUP(T_BilanSocial[[#This Row],[NumL]],T_TraitDi[#Data],COLUMN(T_TraitDi[[#This Row],[Colonne18]]),FALSE)=0,"",TEXT(IFERROR(VLOOKUP(T_BilanSocial[[#This Row],[NumL]],T_TraitDi[#Data],COLUMN(T_TraitDi[[#This Row],[Colonne18]]),FALSE),""),"[hh]:mm"))</f>
        <v>#N/A</v>
      </c>
      <c r="AZ10" s="172" t="e">
        <f>IF(VLOOKUP(T_BilanSocial[[#This Row],[NumL]],T_TraitDi[#Data],COLUMN(T_TraitDi[[#This Row],[Colonne19]]),FALSE)=0,"",TEXT(IFERROR(VLOOKUP(T_BilanSocial[[#This Row],[NumL]],T_TraitDi[#Data],COLUMN(T_TraitDi[[#This Row],[Colonne19]]),FALSE),""),"[hh]:mm"))</f>
        <v>#N/A</v>
      </c>
      <c r="BA10" s="172" t="e">
        <f>IF(VLOOKUP(T_BilanSocial[[#This Row],[NumL]],T_TraitDi[#Data],COLUMN(T_TraitDi[[#This Row],[Colonne20]]),FALSE)=0,"",TEXT(IFERROR(VLOOKUP(T_BilanSocial[[#This Row],[NumL]],T_TraitDi[#Data],COLUMN(T_TraitDi[[#This Row],[Colonne20]]),FALSE),""),"[hh]:mm"))</f>
        <v>#N/A</v>
      </c>
      <c r="BB10" s="178" t="str">
        <f>IFERROR(VLOOKUP(T_BilanSocial[[#This Row],[NumL]],T_TraitDi[#Data],COLUMN(T_TraitDi[[#This Row],[Jeudi]]),FALSE),"")</f>
        <v/>
      </c>
      <c r="BC10" s="178" t="e">
        <f>IF(VLOOKUP(T_BilanSocial[[#This Row],[NumL]],T_TraitDi[#Data],COLUMN(T_TraitDi[[#This Row],[Colonne21]]),FALSE)=0,"",TEXT(IFERROR(VLOOKUP(T_BilanSocial[[#This Row],[NumL]],T_TraitDi[#Data],COLUMN(T_TraitDi[[#This Row],[Colonne21]]),FALSE),""),"[hh]:mm"))</f>
        <v>#N/A</v>
      </c>
      <c r="BD10" s="178" t="e">
        <f>IF(VLOOKUP(T_BilanSocial[[#This Row],[NumL]],T_TraitDi[#Data],COLUMN(T_TraitDi[[#This Row],[Colonne22]]),FALSE)=0,"",TEXT(IFERROR(VLOOKUP(T_BilanSocial[[#This Row],[NumL]],T_TraitDi[#Data],COLUMN(T_TraitDi[[#This Row],[Colonne22]]),FALSE),""),"[hh]:mm"))</f>
        <v>#N/A</v>
      </c>
      <c r="BE10" s="178" t="str">
        <f>IFERROR(VLOOKUP(T_BilanSocial[[#This Row],[NumL]],T_TraitDi[#Data],COLUMN(T_TraitDi[[#This Row],[Colonne23]]),FALSE),"")</f>
        <v/>
      </c>
      <c r="BF10" s="178" t="e">
        <f>IF(VLOOKUP(T_BilanSocial[[#This Row],[NumL]],T_TraitDi[#Data],COLUMN(T_TraitDi[[#This Row],[Colonne24]]),FALSE)=0,"",TEXT(IFERROR(VLOOKUP(T_BilanSocial[[#This Row],[NumL]],T_TraitDi[#Data],COLUMN(T_TraitDi[[#This Row],[Colonne24]]),FALSE),""),"[hh]:mm"))</f>
        <v>#N/A</v>
      </c>
      <c r="BG10" s="178" t="e">
        <f>IF(VLOOKUP(T_BilanSocial[[#This Row],[NumL]],T_TraitDi[#Data],COLUMN(T_TraitDi[[#This Row],[Colonne25]]),FALSE)=0,"",TEXT(IFERROR(VLOOKUP(T_BilanSocial[[#This Row],[NumL]],T_TraitDi[#Data],COLUMN(T_TraitDi[[#This Row],[Colonne25]]),FALSE),""),"[hh]:mm"))</f>
        <v>#N/A</v>
      </c>
      <c r="BH10" s="178" t="e">
        <f>IF(VLOOKUP(T_BilanSocial[[#This Row],[NumL]],T_TraitDi[#Data],COLUMN(T_TraitDi[[#This Row],[Colonne26]]),FALSE)=0,"",TEXT(IFERROR(VLOOKUP(T_BilanSocial[[#This Row],[NumL]],T_TraitDi[#Data],COLUMN(T_TraitDi[[#This Row],[Colonne26]]),FALSE),""),"[hh]:mm"))</f>
        <v>#N/A</v>
      </c>
      <c r="BI10" s="172" t="str">
        <f>IFERROR(VLOOKUP(T_BilanSocial[[#This Row],[NumL]],T_TraitDi[#Data],COLUMN(T_TraitDi[[#This Row],[Vendredi]]),FALSE),"")</f>
        <v/>
      </c>
      <c r="BJ10" s="172" t="e">
        <f>IF(VLOOKUP(T_BilanSocial[[#This Row],[NumL]],T_TraitDi[#Data],COLUMN(T_TraitDi[[#This Row],[Colonne27]]),FALSE)=0,"",TEXT(IFERROR(VLOOKUP(T_BilanSocial[[#This Row],[NumL]],T_TraitDi[#Data],COLUMN(T_TraitDi[[#This Row],[Colonne27]]),FALSE),""),"[hh]:mm"))</f>
        <v>#N/A</v>
      </c>
      <c r="BK10" s="172" t="e">
        <f>IF(VLOOKUP(T_BilanSocial[[#This Row],[NumL]],T_TraitDi[#Data],COLUMN(T_TraitDi[[#This Row],[Colonne28]]),FALSE)=0,"",TEXT(IFERROR(VLOOKUP(T_BilanSocial[[#This Row],[NumL]],T_TraitDi[#Data],COLUMN(T_TraitDi[[#This Row],[Colonne28]]),FALSE),""),"[hh]:mm"))</f>
        <v>#N/A</v>
      </c>
      <c r="BL10" s="172" t="str">
        <f>IFERROR(VLOOKUP(T_BilanSocial[[#This Row],[NumL]],T_TraitDi[#Data],COLUMN(T_TraitDi[[#This Row],[Colonne29]]),FALSE),"")</f>
        <v/>
      </c>
      <c r="BM10" s="172" t="e">
        <f>IF(VLOOKUP(T_BilanSocial[[#This Row],[NumL]],T_TraitDi[#Data],COLUMN(T_TraitDi[[#This Row],[Colonne30]]),FALSE)=0,"",TEXT(IFERROR(VLOOKUP(T_BilanSocial[[#This Row],[NumL]],T_TraitDi[#Data],COLUMN(T_TraitDi[[#This Row],[Colonne30]]),FALSE),""),"[hh]:mm"))</f>
        <v>#N/A</v>
      </c>
      <c r="BN10" s="172" t="e">
        <f>IF(VLOOKUP(T_BilanSocial[[#This Row],[NumL]],T_TraitDi[#Data],COLUMN(T_TraitDi[[#This Row],[Colonne31]]),FALSE)=0,"",TEXT(IFERROR(VLOOKUP(T_BilanSocial[[#This Row],[NumL]],T_TraitDi[#Data],COLUMN(T_TraitDi[[#This Row],[Colonne31]]),FALSE),""),"[hh]:mm"))</f>
        <v>#N/A</v>
      </c>
      <c r="BO10" s="172" t="e">
        <f>IF(VLOOKUP(T_BilanSocial[[#This Row],[NumL]],T_TraitDi[#Data],COLUMN(T_TraitDi[[#This Row],[Colonne32]]),FALSE)=0,"",TEXT(IFERROR(VLOOKUP(T_BilanSocial[[#This Row],[NumL]],T_TraitDi[#Data],COLUMN(T_TraitDi[[#This Row],[Colonne32]]),FALSE),""),"[hh]:mm"))</f>
        <v>#N/A</v>
      </c>
      <c r="BP10" s="172" t="e">
        <f>VLOOKUP(T_BilanSocial[[#This Row],[NumL]],T_TraitDi[#Data],COLUMN(T_TraitDi[NbJTot]),FALSE)</f>
        <v>#N/A</v>
      </c>
      <c r="BQ10" s="174" t="str">
        <f>IFERROR(VLOOKUP(T_BilanSocial[[#This Row],[NumL]],T_TraitDi[#Data],COLUMN(T_TraitDi[[#This Row],[NbJTW]]),FALSE),"")</f>
        <v/>
      </c>
      <c r="BR10" s="174" t="e">
        <f>IF(VLOOKUP(T_BilanSocial[[#This Row],[NumL]],T_TraitDi[#Data],COLUMN(T_TraitDi[[#This Row],[NbhTW]]),FALSE)=0,"",TEXT(IFERROR(VLOOKUP(T_BilanSocial[[#This Row],[NumL]],T_TraitDi[#Data],COLUMN(T_TraitDi[[#This Row],[NbhTW]]),FALSE),""),"[hh]:mm"))</f>
        <v>#N/A</v>
      </c>
      <c r="BS10" s="174" t="e">
        <f>IF(VLOOKUP(T_BilanSocial[[#This Row],[NumL]],T_TraitDi[#Data],COLUMN(T_TraitDi[[#This Row],[Nbhheb]]),FALSE)=0,"",TEXT(IFERROR(VLOOKUP($A10,T_TraitDi[#Data],COLUMN(T_TraitDi[[#This Row],[Nbhheb]]),FALSE),""),"[hh]:mm"))</f>
        <v>#N/A</v>
      </c>
      <c r="BT10" s="182" t="str">
        <f>IFERROR(VLOOKUP(VLOOKUP($A10,T_TraitDi[#Data],COLUMN(T_TraitDi[[#This Row],[Type1]]),FALSE),TypeTW,2,FALSE),"")</f>
        <v/>
      </c>
      <c r="BU10" s="182" t="str">
        <f>IFERROR(VLOOKUP($A10,T_TraitDi[#Data],COLUMN(T_TraitDi[[#This Row],[Rue1]]),FALSE),"")</f>
        <v/>
      </c>
      <c r="BV10" s="173" t="str">
        <f>IFERROR(VLOOKUP($A10,T_TraitDi[#Data],COLUMN(T_TraitDi[[#This Row],[CP1]]),FALSE),"")</f>
        <v/>
      </c>
      <c r="BW10" s="173" t="str">
        <f>IFERROR(VLOOKUP($A10,T_TraitDi[#Data],COLUMN(T_TraitDi[[#This Row],[VILLE1]]),FALSE),"")</f>
        <v/>
      </c>
      <c r="BX10" s="182" t="str">
        <f>IFERROR(VLOOKUP(VLOOKUP($A10,T_TraitDi[#Data],COLUMN(T_TraitDi[[#This Row],[Type2]]),FALSE),TypeTW,2,FALSE),"")</f>
        <v/>
      </c>
      <c r="BY10" s="182" t="str">
        <f>IFERROR(VLOOKUP($A10,T_TraitDi[#Data],COLUMN(T_TraitDi[[#This Row],[Rue2]]),FALSE),"")</f>
        <v/>
      </c>
      <c r="BZ10" s="173" t="str">
        <f>IFERROR(VLOOKUP($A10,T_TraitDi[#Data],COLUMN(T_TraitDi[[#This Row],[CP2]]),FALSE),"")</f>
        <v/>
      </c>
      <c r="CA10" s="173" t="str">
        <f>IFERROR(VLOOKUP($A10,T_TraitDi[#Data],COLUMN(T_TraitDi[[#This Row],[VILLE2]]),FALSE),"")</f>
        <v/>
      </c>
      <c r="CB10" s="182" t="str">
        <f>IF(VLOOKUP(T_BilanSocial[[#This Row],[NumL]],T_Equipement[#Data],COLUMN(T_Equipement[[#This Row],[PC]]),FALSE)="","Aucun équipement spécifique directement lié au télétravail",VLOOKUP(T_BilanSocial[[#This Row],[NumL]],T_Equipement[#Data],COLUMN(T_Equipement[[#This Row],[PC]]),FALSE))</f>
        <v xml:space="preserve">18-016	</v>
      </c>
      <c r="CC10" s="166" t="str">
        <f>IFERROR(IF(VLOOKUP(T_BilanSocial[[#This Row],[NumL]],T_TraitDi[#Data],COLUMN(T_TraitDi[[#This Row],[Plan]]),FALSE)="OK","Un planning spécifique de télétravail est annexé à la présente convention.",""),"")</f>
        <v/>
      </c>
      <c r="CD10" s="259" t="s">
        <v>3324</v>
      </c>
      <c r="CE10" s="164" t="e">
        <f>IF(VLOOKUP(T_BilanSocial[[#This Row],[NumL]],T_suiviDi[#Data],COLUMN(T_suiviDi[[#This Row],[Entité]]),FALSE)="","",VLOOKUP(T_BilanSocial[[#This Row],[NumL]],T_suiviDi[#Data],COLUMN(T_suiviDi[[#This Row],[Entité]]),FALSE))</f>
        <v>#N/A</v>
      </c>
      <c r="CF10" s="164" t="str">
        <f>IF(VLOOKUP(T_BilanSocial[[#This Row],[NumL]],T_Commission[#Data],COLUMN(T_Commission[[#This Row],[envoi confirm TW]]),FALSE)="","",VLOOKUP(T_BilanSocial[[#This Row],[NumL]],T_Commission[#Data],COLUMN(T_Commission[[#This Row],[envoi confirm TW]]),FALSE))</f>
        <v>Oui</v>
      </c>
      <c r="CG1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 s="262" t="str">
        <f>T_BilanSocial[[#This Row],[Nom]]&amp;T_BilanSocial[[#This Row],[Prenom]]</f>
        <v/>
      </c>
      <c r="CI10" s="262">
        <f>VLOOKUP(T_BilanSocial[[#This Row],[NumL]],T_Commission[#Data],COLUMN(T_Commission[Commentaire]),FALSE)</f>
        <v>0</v>
      </c>
      <c r="CJ10" s="262" t="str">
        <f>IF(VLOOKUP(T_BilanSocial[[#This Row],[NumL]],T_Commission[#Data],COLUMN(T_Commission[Encadrant Email]),FALSE)="","",VLOOKUP(T_BilanSocial[[#This Row],[NumL]],T_Commission[#Data],COLUMN(T_Commission[Encadrant Email]),FALSE))</f>
        <v/>
      </c>
      <c r="CK10" s="340" t="str">
        <f>IF(T_BilanSocial[[#This Row],[Final]]&lt;&gt;"",VLOOKUP(T_BilanSocial[[#This Row],[NumL]],T_suiviDi[#Data],COLUMN((T_suiviDi[Statut])),FALSE),"")</f>
        <v/>
      </c>
    </row>
    <row r="11" spans="1:89" s="106" customFormat="1" ht="24.75" customHeight="1" x14ac:dyDescent="0.25">
      <c r="A11" s="160">
        <v>8</v>
      </c>
      <c r="B11" s="161" t="str">
        <f t="shared" si="0"/>
        <v/>
      </c>
      <c r="C11" s="162" t="s">
        <v>173</v>
      </c>
      <c r="D11" s="95" t="e">
        <f>IF(VLOOKUP(T_BilanSocial[[#This Row],[NumL]],T_TraitDi[#Data],COLUMN(T_TraitDi[[#This Row],[WebC]]),FALSE)="","",VLOOKUP(T_BilanSocial[[#This Row],[NumL]],T_TraitDi[#Data],COLUMN(T_TraitDi[[#This Row],[WebC]]),FALSE))</f>
        <v>#N/A</v>
      </c>
      <c r="E11" s="163" t="str">
        <f t="shared" si="1"/>
        <v>12 janvier 2021</v>
      </c>
      <c r="F11" s="96" t="str">
        <f>IF(T_BilanSocial[[#This Row],[Final]]&lt;&gt;"",VLOOKUP(T_BilanSocial[[#This Row],[NumL]],T_suiviDi[#Data],COLUMN((T_suiviDi[Civ.])),FALSE),"")</f>
        <v/>
      </c>
      <c r="G11" s="96" t="str">
        <f>IF(T_BilanSocial[[#This Row],[Final]]&lt;&gt;"",VLOOKUP(T_BilanSocial[[#This Row],[NumL]],T_suiviDi[#Data],COLUMN((T_suiviDi[Nom])),FALSE),"")</f>
        <v/>
      </c>
      <c r="H11" s="96" t="str">
        <f>IF(T_BilanSocial[[#This Row],[Final]]&lt;&gt;"",VLOOKUP(T_BilanSocial[[#This Row],[NumL]],T_suiviDi[#Data],COLUMN((T_suiviDi[Prénom])),FALSE),"")</f>
        <v/>
      </c>
      <c r="I11" s="150" t="str">
        <f>IFERROR(VLOOKUP(T_BilanSocial[[#This Row],[Zone_Bilan]],T_P_BilanSocial[#Data],COLUMN(T_P_BilanSocial[[#This Row],[Numero_SIHAM]]),FALSE),"")</f>
        <v/>
      </c>
      <c r="J11" s="150" t="str">
        <f>IFERROR(VLOOKUP(T_BilanSocial[[#This Row],[Zone_Bilan]],T_P_BilanSocial[#Data],COLUMN(T_P_BilanSocial[[#This Row],[Sexe]]),FALSE),"")</f>
        <v/>
      </c>
      <c r="K11" s="95" t="str">
        <f>IFERROR(VLOOKUP(T_BilanSocial[[#This Row],[Zone_Bilan]],T_P_BilanSocial[#Data],COLUMN(T_P_BilanSocial[[#This Row],[Categorie]]),FALSE),"")</f>
        <v/>
      </c>
      <c r="L11" s="150" t="str">
        <f>IFERROR(VLOOKUP(T_BilanSocial[[#This Row],[Zone_Bilan]],T_P_BilanSocial[#Data],COLUMN(T_P_BilanSocial[[#This Row],[Statut]]),FALSE),"")</f>
        <v/>
      </c>
      <c r="M11" s="150" t="str">
        <f>IFERROR(VLOOKUP(T_BilanSocial[[#This Row],[Zone_Bilan]],T_P_BilanSocial[#Data],COLUMN(T_P_BilanSocial[[#This Row],[Filiere]]),FALSE),"")</f>
        <v/>
      </c>
      <c r="N11" s="150" t="e">
        <f>VLOOKUP(T_BilanSocial[[#This Row],[NumL]],T_TraitDi[#Data],COLUMN(T_TraitDi[EXP]),FALSE)</f>
        <v>#N/A</v>
      </c>
      <c r="O11" s="150" t="e">
        <f>VLOOKUP(T_BilanSocial[[#This Row],[NumL]],T_TraitDi[#Data],COLUMN(T_TraitDi[FORM]),FALSE)</f>
        <v>#N/A</v>
      </c>
      <c r="P11" s="96" t="str">
        <f>IF(T_BilanSocial[[#This Row],[Final]]&lt;&gt;"",VLOOKUP(T_BilanSocial[[#This Row],[NumL]],T_suiviDi[#Data],COLUMN((T_suiviDi[Email])),FALSE),"")</f>
        <v/>
      </c>
      <c r="Q11" s="164" t="e">
        <f>IF(VLOOKUP(T_BilanSocial[[#This Row],[NumL]],T_suiviDi[#Data],COLUMN(T_suiviDi[[#This Row],[Fonction]]),FALSE)="","",VLOOKUP(T_BilanSocial[[#This Row],[NumL]],T_suiviDi[#Data],COLUMN(T_suiviDi[[#This Row],[Fonction]]),FALSE))</f>
        <v>#N/A</v>
      </c>
      <c r="R11" s="164" t="e">
        <f>IF(VLOOKUP(T_BilanSocial[[#This Row],[NumL]],T_suiviDi[#Data],COLUMN(T_suiviDi[[#This Row],[Grade]]),FALSE)="","",VLOOKUP(T_BilanSocial[[#This Row],[NumL]],T_suiviDi[#Data],COLUMN(T_suiviDi[[#This Row],[Grade]]),FALSE))</f>
        <v>#N/A</v>
      </c>
      <c r="S11" s="164" t="e">
        <f>IF(VLOOKUP(T_BilanSocial[[#This Row],[NumL]],T_suiviDi[#Data],COLUMN(T_suiviDi[[#This Row],[Service ]]),FALSE)="","",VLOOKUP(T_BilanSocial[[#This Row],[NumL]],T_suiviDi[#Data],COLUMN(T_suiviDi[[#This Row],[Service ]]),FALSE))</f>
        <v>#N/A</v>
      </c>
      <c r="T11" s="165" t="str">
        <f t="shared" si="2"/>
        <v>01 septembre 2021</v>
      </c>
      <c r="U11" s="165" t="str">
        <f t="shared" si="3"/>
        <v>30 novembre 2021</v>
      </c>
      <c r="V11" s="164" t="str">
        <f t="shared" si="6"/>
        <v>30 novembre 2021</v>
      </c>
      <c r="W11" s="176" t="e">
        <f>IF(VLOOKUP(T_BilanSocial[[#This Row],[NumL]],T_TraitDi[#Data],COLUMN(T_TraitDi[[#This Row],[M1]]),FALSE)="","",VLOOKUP(T_BilanSocial[[#This Row],[NumL]],T_TraitDi[#Data],COLUMN(T_TraitDi[[#This Row],[M1]]),FALSE))</f>
        <v>#N/A</v>
      </c>
      <c r="X11" s="176" t="e">
        <f>IF(VLOOKUP(T_BilanSocial[[#This Row],[NumL]],T_TraitDi[#Data],COLUMN(T_TraitDi[[#This Row],[M2]]),FALSE)="","",VLOOKUP(T_BilanSocial[[#This Row],[NumL]],T_TraitDi[#Data],COLUMN(T_TraitDi[[#This Row],[M2]]),FALSE))</f>
        <v>#N/A</v>
      </c>
      <c r="Y11" s="176" t="e">
        <f>IF(VLOOKUP(T_BilanSocial[[#This Row],[NumL]],T_TraitDi[#Data],COLUMN(T_TraitDi[[#This Row],[M3]]),FALSE)="","",VLOOKUP(T_BilanSocial[[#This Row],[NumL]],T_TraitDi[#Data],COLUMN(T_TraitDi[[#This Row],[M3]]),FALSE))</f>
        <v>#N/A</v>
      </c>
      <c r="Z11" s="176" t="str">
        <f t="shared" si="5"/>
        <v/>
      </c>
      <c r="AA11" s="176" t="e">
        <f>IF(VLOOKUP(T_BilanSocial[[#This Row],[NumL]],T_TraitDi[#Data],COLUMN(T_TraitDi[[#This Row],[M5]]),FALSE)="","",VLOOKUP(T_BilanSocial[[#This Row],[NumL]],T_TraitDi[#Data],COLUMN(T_TraitDi[[#This Row],[M5]]),FALSE))</f>
        <v>#N/A</v>
      </c>
      <c r="AB11" s="176" t="e">
        <f>IF(VLOOKUP(T_BilanSocial[[#This Row],[NumL]],T_TraitDi[#Data],COLUMN(T_TraitDi[[#This Row],[M6]]),FALSE)="","",VLOOKUP(T_BilanSocial[[#This Row],[NumL]],T_TraitDi[#Data],COLUMN(T_TraitDi[[#This Row],[M6]]),FALSE))</f>
        <v>#N/A</v>
      </c>
      <c r="AC11" s="165" t="e">
        <f t="shared" si="4"/>
        <v>#N/A</v>
      </c>
      <c r="AD11" s="188" t="str">
        <f>IFERROR(TEXT(VLOOKUP(T_BilanSocial[[#This Row],[NumL]],T_TraitDi[#Data],COLUMN(T_TraitDi[[#This Row],[Q2]]),FALSE),"###%"),"")</f>
        <v/>
      </c>
      <c r="AE11" s="95" t="e">
        <f>VLOOKUP(T_BilanSocial[[#This Row],[NumL]],T_TraitDi[#Data],COLUMN(T_TraitDi[[#This Row],[Reg Ponct]]),FALSE)</f>
        <v>#N/A</v>
      </c>
      <c r="AF11" s="95" t="e">
        <f>VLOOKUP(T_BilanSocial[NumL],T_TraitDi[#Data],COLUMN(T_TraitDi[[#This Row],[Jours flottants]]),FALSE)</f>
        <v>#N/A</v>
      </c>
      <c r="AG11" s="97" t="str">
        <f>IFERROR(VLOOKUP(T_BilanSocial[[#This Row],[NumL]],T_TraitDi[#Data],COLUMN(T_TraitDi[[#This Row],[Lundi]]),FALSE),"")</f>
        <v/>
      </c>
      <c r="AH11" s="172" t="e">
        <f>IF(VLOOKUP(T_BilanSocial[[#This Row],[NumL]],T_TraitDi[#Data],COLUMN(T_TraitDi[[#This Row],[Colonne3]]),FALSE)=0,"",TEXT(IFERROR(VLOOKUP(T_BilanSocial[[#This Row],[NumL]],T_TraitDi[#Data],COLUMN(T_TraitDi[[#This Row],[Colonne3]]),FALSE),""),"[hh]:mm"))</f>
        <v>#N/A</v>
      </c>
      <c r="AI11" s="172" t="e">
        <f>IF(VLOOKUP(T_BilanSocial[[#This Row],[NumL]],T_TraitDi[#Data],COLUMN(T_TraitDi[[#This Row],[Colonne4]]),FALSE)=0,"",TEXT(IFERROR(VLOOKUP(T_BilanSocial[[#This Row],[NumL]],T_TraitDi[#Data],COLUMN(T_TraitDi[[#This Row],[Colonne4]]),FALSE),""),"[hh]:mm"))</f>
        <v>#N/A</v>
      </c>
      <c r="AJ11" s="172" t="e">
        <f>IF(VLOOKUP(T_BilanSocial[[#This Row],[NumL]],T_TraitDi[#Data],COLUMN(T_TraitDi[[#This Row],[Colonne5]]),FALSE)=0,"",TEXT(IFERROR(VLOOKUP(T_BilanSocial[[#This Row],[NumL]],T_TraitDi[#Data],COLUMN(T_TraitDi[[#This Row],[Colonne5]]),FALSE),""),"[hh]:mm"))</f>
        <v>#N/A</v>
      </c>
      <c r="AK11" s="172" t="e">
        <f>IF(VLOOKUP(T_BilanSocial[[#This Row],[NumL]],T_TraitDi[#Data],COLUMN(T_TraitDi[[#This Row],[Colonne6]]),FALSE)=0,"",TEXT(IFERROR(VLOOKUP(T_BilanSocial[[#This Row],[NumL]],T_TraitDi[#Data],COLUMN(T_TraitDi[[#This Row],[Colonne6]]),FALSE),""),"[hh]:mm"))</f>
        <v>#N/A</v>
      </c>
      <c r="AL11" s="172" t="e">
        <f>IF(VLOOKUP(T_BilanSocial[[#This Row],[NumL]],T_TraitDi[#Data],COLUMN(T_TraitDi[[#This Row],[Colonne7]]),FALSE)=0,"",TEXT(IFERROR(VLOOKUP(T_BilanSocial[[#This Row],[NumL]],T_TraitDi[#Data],COLUMN(T_TraitDi[[#This Row],[Colonne7]]),FALSE),""),"[hh]:mm"))</f>
        <v>#N/A</v>
      </c>
      <c r="AM11" s="172" t="e">
        <f>IF(VLOOKUP(T_BilanSocial[[#This Row],[NumL]],T_TraitDi[#Data],COLUMN(T_TraitDi[[#This Row],[Colonne8]]),FALSE)=0,"",TEXT(IFERROR(VLOOKUP(T_BilanSocial[[#This Row],[NumL]],T_TraitDi[#Data],COLUMN(T_TraitDi[[#This Row],[Colonne8]]),FALSE),""),"[hh]:mm"))</f>
        <v>#N/A</v>
      </c>
      <c r="AN11" s="172" t="str">
        <f>IFERROR(VLOOKUP(T_BilanSocial[[#This Row],[NumL]],T_TraitDi[#Data],COLUMN(T_TraitDi[[#This Row],[Mardi]]),FALSE),"")</f>
        <v/>
      </c>
      <c r="AO11" s="172" t="e">
        <f>IF(VLOOKUP(T_BilanSocial[[#This Row],[NumL]],T_TraitDi[#Data],COLUMN(T_TraitDi[[#This Row],[Colonne1]]),FALSE)=0,"",TEXT(IFERROR(VLOOKUP(T_BilanSocial[[#This Row],[NumL]],T_TraitDi[#Data],COLUMN(T_TraitDi[[#This Row],[Colonne1]]),FALSE),""),"[hh]:mm"))</f>
        <v>#N/A</v>
      </c>
      <c r="AP11" s="172" t="e">
        <f>IF(VLOOKUP(T_BilanSocial[[#This Row],[NumL]],T_TraitDi[#Data],COLUMN(T_TraitDi[[#This Row],[Colonne9]]),FALSE)=0,"",TEXT(IFERROR(VLOOKUP(T_BilanSocial[[#This Row],[NumL]],T_TraitDi[#Data],COLUMN(T_TraitDi[[#This Row],[Colonne9]]),FALSE),""),"[hh]:mm"))</f>
        <v>#N/A</v>
      </c>
      <c r="AQ11" s="172" t="str">
        <f>IFERROR(VLOOKUP(T_BilanSocial[[#This Row],[NumL]],T_TraitDi[#Data],COLUMN(T_TraitDi[[#This Row],[Colonne10]]),FALSE),"")</f>
        <v/>
      </c>
      <c r="AR11" s="172" t="e">
        <f>IF(VLOOKUP(T_BilanSocial[[#This Row],[NumL]],T_TraitDi[#Data],COLUMN(T_TraitDi[[#This Row],[Colonne11]]),FALSE)=0,"",TEXT(IFERROR(VLOOKUP(T_BilanSocial[[#This Row],[NumL]],T_TraitDi[#Data],COLUMN(T_TraitDi[[#This Row],[Colonne11]]),FALSE),""),"[hh]:mm"))</f>
        <v>#N/A</v>
      </c>
      <c r="AS11" s="172" t="e">
        <f>IF(VLOOKUP(T_BilanSocial[[#This Row],[NumL]],T_TraitDi[#Data],COLUMN(T_TraitDi[[#This Row],[Colonne12]]),FALSE)=0,"",TEXT(IFERROR(VLOOKUP(T_BilanSocial[[#This Row],[NumL]],T_TraitDi[#Data],COLUMN(T_TraitDi[[#This Row],[Colonne12]]),FALSE),""),"[hh]:mm"))</f>
        <v>#N/A</v>
      </c>
      <c r="AT11" s="172" t="e">
        <f>IF(VLOOKUP(T_BilanSocial[[#This Row],[NumL]],T_TraitDi[#Data],COLUMN(T_TraitDi[[#This Row],[Colonne14]]),FALSE)=0,"",TEXT(IFERROR(VLOOKUP(T_BilanSocial[[#This Row],[NumL]],T_TraitDi[#Data],COLUMN(T_TraitDi[[#This Row],[Colonne14]]),FALSE),""),"[hh]:mm"))</f>
        <v>#N/A</v>
      </c>
      <c r="AU11" s="172" t="str">
        <f>IFERROR(VLOOKUP(T_BilanSocial[[#This Row],[NumL]],T_TraitDi[#Data],COLUMN(T_TraitDi[[#This Row],[Mercredi]]),FALSE),"")</f>
        <v/>
      </c>
      <c r="AV11" s="172" t="e">
        <f>IF(VLOOKUP(T_BilanSocial[[#This Row],[NumL]],T_TraitDi[#Data],COLUMN(T_TraitDi[[#This Row],[Colonne15]]),FALSE)=0,"",TEXT(IFERROR(VLOOKUP(T_BilanSocial[[#This Row],[NumL]],T_TraitDi[#Data],COLUMN(T_TraitDi[[#This Row],[Colonne15]]),FALSE),""),"[hh]:mm"))</f>
        <v>#N/A</v>
      </c>
      <c r="AW11" s="172" t="e">
        <f>IF(VLOOKUP(T_BilanSocial[[#This Row],[NumL]],T_TraitDi[#Data],COLUMN(T_TraitDi[[#This Row],[Colonne16]]),FALSE)=0,"",TEXT(IFERROR(VLOOKUP(T_BilanSocial[[#This Row],[NumL]],T_TraitDi[#Data],COLUMN(T_TraitDi[[#This Row],[Colonne16]]),FALSE),""),"[hh]:mm"))</f>
        <v>#N/A</v>
      </c>
      <c r="AX11" s="172" t="str">
        <f>IFERROR(VLOOKUP(T_BilanSocial[[#This Row],[NumL]],T_TraitDi[#Data],COLUMN(T_TraitDi[[#This Row],[Colonne17]]),FALSE),"")</f>
        <v/>
      </c>
      <c r="AY11" s="172" t="e">
        <f>IF(VLOOKUP(T_BilanSocial[[#This Row],[NumL]],T_TraitDi[#Data],COLUMN(T_TraitDi[[#This Row],[Colonne18]]),FALSE)=0,"",TEXT(IFERROR(VLOOKUP(T_BilanSocial[[#This Row],[NumL]],T_TraitDi[#Data],COLUMN(T_TraitDi[[#This Row],[Colonne18]]),FALSE),""),"[hh]:mm"))</f>
        <v>#N/A</v>
      </c>
      <c r="AZ11" s="172" t="e">
        <f>IF(VLOOKUP(T_BilanSocial[[#This Row],[NumL]],T_TraitDi[#Data],COLUMN(T_TraitDi[[#This Row],[Colonne19]]),FALSE)=0,"",TEXT(IFERROR(VLOOKUP(T_BilanSocial[[#This Row],[NumL]],T_TraitDi[#Data],COLUMN(T_TraitDi[[#This Row],[Colonne19]]),FALSE),""),"[hh]:mm"))</f>
        <v>#N/A</v>
      </c>
      <c r="BA11" s="172" t="e">
        <f>IF(VLOOKUP(T_BilanSocial[[#This Row],[NumL]],T_TraitDi[#Data],COLUMN(T_TraitDi[[#This Row],[Colonne20]]),FALSE)=0,"",TEXT(IFERROR(VLOOKUP(T_BilanSocial[[#This Row],[NumL]],T_TraitDi[#Data],COLUMN(T_TraitDi[[#This Row],[Colonne20]]),FALSE),""),"[hh]:mm"))</f>
        <v>#N/A</v>
      </c>
      <c r="BB11" s="178" t="str">
        <f>IFERROR(VLOOKUP(T_BilanSocial[[#This Row],[NumL]],T_TraitDi[#Data],COLUMN(T_TraitDi[[#This Row],[Jeudi]]),FALSE),"")</f>
        <v/>
      </c>
      <c r="BC11" s="178" t="e">
        <f>IF(VLOOKUP(T_BilanSocial[[#This Row],[NumL]],T_TraitDi[#Data],COLUMN(T_TraitDi[[#This Row],[Colonne21]]),FALSE)=0,"",TEXT(IFERROR(VLOOKUP(T_BilanSocial[[#This Row],[NumL]],T_TraitDi[#Data],COLUMN(T_TraitDi[[#This Row],[Colonne21]]),FALSE),""),"[hh]:mm"))</f>
        <v>#N/A</v>
      </c>
      <c r="BD11" s="178" t="e">
        <f>IF(VLOOKUP(T_BilanSocial[[#This Row],[NumL]],T_TraitDi[#Data],COLUMN(T_TraitDi[[#This Row],[Colonne22]]),FALSE)=0,"",TEXT(IFERROR(VLOOKUP(T_BilanSocial[[#This Row],[NumL]],T_TraitDi[#Data],COLUMN(T_TraitDi[[#This Row],[Colonne22]]),FALSE),""),"[hh]:mm"))</f>
        <v>#N/A</v>
      </c>
      <c r="BE11" s="178" t="str">
        <f>IFERROR(VLOOKUP(T_BilanSocial[[#This Row],[NumL]],T_TraitDi[#Data],COLUMN(T_TraitDi[[#This Row],[Colonne23]]),FALSE),"")</f>
        <v/>
      </c>
      <c r="BF11" s="178" t="e">
        <f>IF(VLOOKUP(T_BilanSocial[[#This Row],[NumL]],T_TraitDi[#Data],COLUMN(T_TraitDi[[#This Row],[Colonne24]]),FALSE)=0,"",TEXT(IFERROR(VLOOKUP(T_BilanSocial[[#This Row],[NumL]],T_TraitDi[#Data],COLUMN(T_TraitDi[[#This Row],[Colonne24]]),FALSE),""),"[hh]:mm"))</f>
        <v>#N/A</v>
      </c>
      <c r="BG11" s="178" t="e">
        <f>IF(VLOOKUP(T_BilanSocial[[#This Row],[NumL]],T_TraitDi[#Data],COLUMN(T_TraitDi[[#This Row],[Colonne25]]),FALSE)=0,"",TEXT(IFERROR(VLOOKUP(T_BilanSocial[[#This Row],[NumL]],T_TraitDi[#Data],COLUMN(T_TraitDi[[#This Row],[Colonne25]]),FALSE),""),"[hh]:mm"))</f>
        <v>#N/A</v>
      </c>
      <c r="BH11" s="178" t="e">
        <f>IF(VLOOKUP(T_BilanSocial[[#This Row],[NumL]],T_TraitDi[#Data],COLUMN(T_TraitDi[[#This Row],[Colonne26]]),FALSE)=0,"",TEXT(IFERROR(VLOOKUP(T_BilanSocial[[#This Row],[NumL]],T_TraitDi[#Data],COLUMN(T_TraitDi[[#This Row],[Colonne26]]),FALSE),""),"[hh]:mm"))</f>
        <v>#N/A</v>
      </c>
      <c r="BI11" s="172" t="str">
        <f>IFERROR(VLOOKUP(T_BilanSocial[[#This Row],[NumL]],T_TraitDi[#Data],COLUMN(T_TraitDi[[#This Row],[Vendredi]]),FALSE),"")</f>
        <v/>
      </c>
      <c r="BJ11" s="172" t="e">
        <f>IF(VLOOKUP(T_BilanSocial[[#This Row],[NumL]],T_TraitDi[#Data],COLUMN(T_TraitDi[[#This Row],[Colonne27]]),FALSE)=0,"",TEXT(IFERROR(VLOOKUP(T_BilanSocial[[#This Row],[NumL]],T_TraitDi[#Data],COLUMN(T_TraitDi[[#This Row],[Colonne27]]),FALSE),""),"[hh]:mm"))</f>
        <v>#N/A</v>
      </c>
      <c r="BK11" s="172" t="e">
        <f>IF(VLOOKUP(T_BilanSocial[[#This Row],[NumL]],T_TraitDi[#Data],COLUMN(T_TraitDi[[#This Row],[Colonne28]]),FALSE)=0,"",TEXT(IFERROR(VLOOKUP(T_BilanSocial[[#This Row],[NumL]],T_TraitDi[#Data],COLUMN(T_TraitDi[[#This Row],[Colonne28]]),FALSE),""),"[hh]:mm"))</f>
        <v>#N/A</v>
      </c>
      <c r="BL11" s="172" t="str">
        <f>IFERROR(VLOOKUP(T_BilanSocial[[#This Row],[NumL]],T_TraitDi[#Data],COLUMN(T_TraitDi[[#This Row],[Colonne29]]),FALSE),"")</f>
        <v/>
      </c>
      <c r="BM11" s="172" t="e">
        <f>IF(VLOOKUP(T_BilanSocial[[#This Row],[NumL]],T_TraitDi[#Data],COLUMN(T_TraitDi[[#This Row],[Colonne30]]),FALSE)=0,"",TEXT(IFERROR(VLOOKUP(T_BilanSocial[[#This Row],[NumL]],T_TraitDi[#Data],COLUMN(T_TraitDi[[#This Row],[Colonne30]]),FALSE),""),"[hh]:mm"))</f>
        <v>#N/A</v>
      </c>
      <c r="BN11" s="172" t="e">
        <f>IF(VLOOKUP(T_BilanSocial[[#This Row],[NumL]],T_TraitDi[#Data],COLUMN(T_TraitDi[[#This Row],[Colonne31]]),FALSE)=0,"",TEXT(IFERROR(VLOOKUP(T_BilanSocial[[#This Row],[NumL]],T_TraitDi[#Data],COLUMN(T_TraitDi[[#This Row],[Colonne31]]),FALSE),""),"[hh]:mm"))</f>
        <v>#N/A</v>
      </c>
      <c r="BO11" s="172" t="e">
        <f>IF(VLOOKUP(T_BilanSocial[[#This Row],[NumL]],T_TraitDi[#Data],COLUMN(T_TraitDi[[#This Row],[Colonne32]]),FALSE)=0,"",TEXT(IFERROR(VLOOKUP(T_BilanSocial[[#This Row],[NumL]],T_TraitDi[#Data],COLUMN(T_TraitDi[[#This Row],[Colonne32]]),FALSE),""),"[hh]:mm"))</f>
        <v>#N/A</v>
      </c>
      <c r="BP11" s="172" t="e">
        <f>VLOOKUP(T_BilanSocial[[#This Row],[NumL]],T_TraitDi[#Data],COLUMN(T_TraitDi[NbJTot]),FALSE)</f>
        <v>#N/A</v>
      </c>
      <c r="BQ11" s="174" t="str">
        <f>IFERROR(VLOOKUP(T_BilanSocial[[#This Row],[NumL]],T_TraitDi[#Data],COLUMN(T_TraitDi[[#This Row],[NbJTW]]),FALSE),"")</f>
        <v/>
      </c>
      <c r="BR11" s="174" t="e">
        <f>IF(VLOOKUP(T_BilanSocial[[#This Row],[NumL]],T_TraitDi[#Data],COLUMN(T_TraitDi[[#This Row],[NbhTW]]),FALSE)=0,"",TEXT(IFERROR(VLOOKUP(T_BilanSocial[[#This Row],[NumL]],T_TraitDi[#Data],COLUMN(T_TraitDi[[#This Row],[NbhTW]]),FALSE),""),"[hh]:mm"))</f>
        <v>#N/A</v>
      </c>
      <c r="BS11" s="174" t="e">
        <f>IF(VLOOKUP(T_BilanSocial[[#This Row],[NumL]],T_TraitDi[#Data],COLUMN(T_TraitDi[[#This Row],[Nbhheb]]),FALSE)=0,"",TEXT(IFERROR(VLOOKUP($A11,T_TraitDi[#Data],COLUMN(T_TraitDi[[#This Row],[Nbhheb]]),FALSE),""),"[hh]:mm"))</f>
        <v>#N/A</v>
      </c>
      <c r="BT11" s="182" t="str">
        <f>IFERROR(VLOOKUP(VLOOKUP($A11,T_TraitDi[#Data],COLUMN(T_TraitDi[[#This Row],[Type1]]),FALSE),TypeTW,2,FALSE),"")</f>
        <v/>
      </c>
      <c r="BU11" s="182" t="str">
        <f>IFERROR(VLOOKUP($A11,T_TraitDi[#Data],COLUMN(T_TraitDi[[#This Row],[Rue1]]),FALSE),"")</f>
        <v/>
      </c>
      <c r="BV11" s="173" t="str">
        <f>IFERROR(VLOOKUP($A11,T_TraitDi[#Data],COLUMN(T_TraitDi[[#This Row],[CP1]]),FALSE),"")</f>
        <v/>
      </c>
      <c r="BW11" s="173" t="str">
        <f>IFERROR(VLOOKUP($A11,T_TraitDi[#Data],COLUMN(T_TraitDi[[#This Row],[VILLE1]]),FALSE),"")</f>
        <v/>
      </c>
      <c r="BX11" s="182" t="str">
        <f>IFERROR(VLOOKUP(VLOOKUP($A11,T_TraitDi[#Data],COLUMN(T_TraitDi[[#This Row],[Type2]]),FALSE),TypeTW,2,FALSE),"")</f>
        <v/>
      </c>
      <c r="BY11" s="182" t="str">
        <f>IFERROR(VLOOKUP($A11,T_TraitDi[#Data],COLUMN(T_TraitDi[[#This Row],[Rue2]]),FALSE),"")</f>
        <v/>
      </c>
      <c r="BZ11" s="173" t="str">
        <f>IFERROR(VLOOKUP($A11,T_TraitDi[#Data],COLUMN(T_TraitDi[[#This Row],[CP2]]),FALSE),"")</f>
        <v/>
      </c>
      <c r="CA11" s="173" t="str">
        <f>IFERROR(VLOOKUP($A11,T_TraitDi[#Data],COLUMN(T_TraitDi[[#This Row],[VILLE2]]),FALSE),"")</f>
        <v/>
      </c>
      <c r="CB11" s="182" t="str">
        <f>IF(VLOOKUP(T_BilanSocial[[#This Row],[NumL]],T_Equipement[#Data],COLUMN(T_Equipement[[#This Row],[PC]]),FALSE)="","Aucun équipement spécifique directement lié au télétravail",VLOOKUP(T_BilanSocial[[#This Row],[NumL]],T_Equipement[#Data],COLUMN(T_Equipement[[#This Row],[PC]]),FALSE))</f>
        <v xml:space="preserve">19-604	</v>
      </c>
      <c r="CC11" s="166" t="str">
        <f>IFERROR(IF(VLOOKUP(T_BilanSocial[[#This Row],[NumL]],T_TraitDi[#Data],COLUMN(T_TraitDi[[#This Row],[Plan]]),FALSE)="OK","Un planning spécifique de télétravail est annexé à la présente convention.",""),"")</f>
        <v/>
      </c>
      <c r="CD11" s="187"/>
      <c r="CE11" s="164" t="e">
        <f>IF(VLOOKUP(T_BilanSocial[[#This Row],[NumL]],T_suiviDi[#Data],COLUMN(T_suiviDi[[#This Row],[Entité]]),FALSE)="","",VLOOKUP(T_BilanSocial[[#This Row],[NumL]],T_suiviDi[#Data],COLUMN(T_suiviDi[[#This Row],[Entité]]),FALSE))</f>
        <v>#N/A</v>
      </c>
      <c r="CF11" s="164" t="str">
        <f>IF(VLOOKUP(T_BilanSocial[[#This Row],[NumL]],T_Commission[#Data],COLUMN(T_Commission[[#This Row],[envoi confirm TW]]),FALSE)="","",VLOOKUP(T_BilanSocial[[#This Row],[NumL]],T_Commission[#Data],COLUMN(T_Commission[[#This Row],[envoi confirm TW]]),FALSE))</f>
        <v>Oui</v>
      </c>
      <c r="CG1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 s="262" t="str">
        <f>T_BilanSocial[[#This Row],[Nom]]&amp;T_BilanSocial[[#This Row],[Prenom]]</f>
        <v/>
      </c>
      <c r="CI11" s="262">
        <f>VLOOKUP(T_BilanSocial[[#This Row],[NumL]],T_Commission[#Data],COLUMN(T_Commission[Commentaire]),FALSE)</f>
        <v>0</v>
      </c>
      <c r="CJ11" s="262" t="str">
        <f>IF(VLOOKUP(T_BilanSocial[[#This Row],[NumL]],T_Commission[#Data],COLUMN(T_Commission[Encadrant Email]),FALSE)="","",VLOOKUP(T_BilanSocial[[#This Row],[NumL]],T_Commission[#Data],COLUMN(T_Commission[Encadrant Email]),FALSE))</f>
        <v/>
      </c>
      <c r="CK11" s="340" t="str">
        <f>IF(T_BilanSocial[[#This Row],[Final]]&lt;&gt;"",VLOOKUP(T_BilanSocial[[#This Row],[NumL]],T_suiviDi[#Data],COLUMN((T_suiviDi[Statut])),FALSE),"")</f>
        <v/>
      </c>
    </row>
    <row r="12" spans="1:89" s="106" customFormat="1" ht="24.75" customHeight="1" x14ac:dyDescent="0.25">
      <c r="A12" s="160">
        <v>9</v>
      </c>
      <c r="B12" s="161" t="str">
        <f t="shared" si="0"/>
        <v/>
      </c>
      <c r="C12" s="162" t="s">
        <v>173</v>
      </c>
      <c r="D12" s="95" t="e">
        <f>IF(VLOOKUP(T_BilanSocial[[#This Row],[NumL]],T_TraitDi[#Data],COLUMN(T_TraitDi[[#This Row],[WebC]]),FALSE)="","",VLOOKUP(T_BilanSocial[[#This Row],[NumL]],T_TraitDi[#Data],COLUMN(T_TraitDi[[#This Row],[WebC]]),FALSE))</f>
        <v>#N/A</v>
      </c>
      <c r="E12" s="174" t="str">
        <f t="shared" si="1"/>
        <v>12 janvier 2021</v>
      </c>
      <c r="F12" s="96" t="str">
        <f>IF(T_BilanSocial[[#This Row],[Final]]&lt;&gt;"",VLOOKUP(T_BilanSocial[[#This Row],[NumL]],T_suiviDi[#Data],COLUMN((T_suiviDi[Civ.])),FALSE),"")</f>
        <v/>
      </c>
      <c r="G12" s="96" t="str">
        <f>IF(T_BilanSocial[[#This Row],[Final]]&lt;&gt;"",VLOOKUP(T_BilanSocial[[#This Row],[NumL]],T_suiviDi[#Data],COLUMN((T_suiviDi[Nom])),FALSE),"")</f>
        <v/>
      </c>
      <c r="H12" s="96" t="str">
        <f>IF(T_BilanSocial[[#This Row],[Final]]&lt;&gt;"",VLOOKUP(T_BilanSocial[[#This Row],[NumL]],T_suiviDi[#Data],COLUMN((T_suiviDi[Prénom])),FALSE),"")</f>
        <v/>
      </c>
      <c r="I12" s="175" t="str">
        <f>IFERROR(VLOOKUP(T_BilanSocial[[#This Row],[Zone_Bilan]],T_P_BilanSocial[#Data],COLUMN(T_P_BilanSocial[[#This Row],[Numero_SIHAM]]),FALSE),"")</f>
        <v/>
      </c>
      <c r="J12" s="175" t="str">
        <f>IFERROR(VLOOKUP(T_BilanSocial[[#This Row],[Zone_Bilan]],T_P_BilanSocial[#Data],COLUMN(T_P_BilanSocial[[#This Row],[Sexe]]),FALSE),"")</f>
        <v/>
      </c>
      <c r="K12" s="387" t="str">
        <f>IFERROR(VLOOKUP(T_BilanSocial[[#This Row],[Zone_Bilan]],T_P_BilanSocial[#Data],COLUMN(T_P_BilanSocial[[#This Row],[Categorie]]),FALSE),"")</f>
        <v/>
      </c>
      <c r="L12" s="175" t="str">
        <f>IFERROR(VLOOKUP(T_BilanSocial[[#This Row],[Zone_Bilan]],T_P_BilanSocial[#Data],COLUMN(T_P_BilanSocial[[#This Row],[Statut]]),FALSE),"")</f>
        <v/>
      </c>
      <c r="M12" s="175" t="str">
        <f>IFERROR(VLOOKUP(T_BilanSocial[[#This Row],[Zone_Bilan]],T_P_BilanSocial[#Data],COLUMN(T_P_BilanSocial[[#This Row],[Filiere]]),FALSE),"")</f>
        <v/>
      </c>
      <c r="N12" s="175" t="e">
        <f>VLOOKUP(T_BilanSocial[[#This Row],[NumL]],T_TraitDi[#Data],COLUMN(T_TraitDi[EXP]),FALSE)</f>
        <v>#N/A</v>
      </c>
      <c r="O12" s="175" t="e">
        <f>VLOOKUP(T_BilanSocial[[#This Row],[NumL]],T_TraitDi[#Data],COLUMN(T_TraitDi[FORM]),FALSE)</f>
        <v>#N/A</v>
      </c>
      <c r="P12" s="96" t="str">
        <f>IF(T_BilanSocial[[#This Row],[Final]]&lt;&gt;"",VLOOKUP(T_BilanSocial[[#This Row],[NumL]],T_suiviDi[#Data],COLUMN((T_suiviDi[Email])),FALSE),"")</f>
        <v/>
      </c>
      <c r="Q12" s="164" t="e">
        <f>IF(VLOOKUP(T_BilanSocial[[#This Row],[NumL]],T_suiviDi[#Data],COLUMN(T_suiviDi[[#This Row],[Fonction]]),FALSE)="","",VLOOKUP(T_BilanSocial[[#This Row],[NumL]],T_suiviDi[#Data],COLUMN(T_suiviDi[[#This Row],[Fonction]]),FALSE))</f>
        <v>#N/A</v>
      </c>
      <c r="R12" s="164" t="e">
        <f>IF(VLOOKUP(T_BilanSocial[[#This Row],[NumL]],T_suiviDi[#Data],COLUMN(T_suiviDi[[#This Row],[Grade]]),FALSE)="","",VLOOKUP(T_BilanSocial[[#This Row],[NumL]],T_suiviDi[#Data],COLUMN(T_suiviDi[[#This Row],[Grade]]),FALSE))</f>
        <v>#N/A</v>
      </c>
      <c r="S12" s="164" t="e">
        <f>IF(VLOOKUP(T_BilanSocial[[#This Row],[NumL]],T_suiviDi[#Data],COLUMN(T_suiviDi[[#This Row],[Service ]]),FALSE)="","",VLOOKUP(T_BilanSocial[[#This Row],[NumL]],T_suiviDi[#Data],COLUMN(T_suiviDi[[#This Row],[Service ]]),FALSE))</f>
        <v>#N/A</v>
      </c>
      <c r="T12" s="176" t="str">
        <f t="shared" si="2"/>
        <v>01 septembre 2021</v>
      </c>
      <c r="U12" s="176" t="str">
        <f t="shared" si="3"/>
        <v>30 novembre 2021</v>
      </c>
      <c r="V12" s="164" t="str">
        <f t="shared" si="6"/>
        <v>30 novembre 2021</v>
      </c>
      <c r="W12" s="176" t="e">
        <f>IF(VLOOKUP(T_BilanSocial[[#This Row],[NumL]],T_TraitDi[#Data],COLUMN(T_TraitDi[[#This Row],[M1]]),FALSE)="","",VLOOKUP(T_BilanSocial[[#This Row],[NumL]],T_TraitDi[#Data],COLUMN(T_TraitDi[[#This Row],[M1]]),FALSE))</f>
        <v>#N/A</v>
      </c>
      <c r="X12" s="176" t="e">
        <f>IF(VLOOKUP(T_BilanSocial[[#This Row],[NumL]],T_TraitDi[#Data],COLUMN(T_TraitDi[[#This Row],[M2]]),FALSE)="","",VLOOKUP(T_BilanSocial[[#This Row],[NumL]],T_TraitDi[#Data],COLUMN(T_TraitDi[[#This Row],[M2]]),FALSE))</f>
        <v>#N/A</v>
      </c>
      <c r="Y12" s="176" t="e">
        <f>IF(VLOOKUP(T_BilanSocial[[#This Row],[NumL]],T_TraitDi[#Data],COLUMN(T_TraitDi[[#This Row],[M3]]),FALSE)="","",VLOOKUP(T_BilanSocial[[#This Row],[NumL]],T_TraitDi[#Data],COLUMN(T_TraitDi[[#This Row],[M3]]),FALSE))</f>
        <v>#N/A</v>
      </c>
      <c r="Z12" s="176" t="str">
        <f t="shared" si="5"/>
        <v/>
      </c>
      <c r="AA12" s="176" t="e">
        <f>IF(VLOOKUP(T_BilanSocial[[#This Row],[NumL]],T_TraitDi[#Data],COLUMN(T_TraitDi[[#This Row],[M5]]),FALSE)="","",VLOOKUP(T_BilanSocial[[#This Row],[NumL]],T_TraitDi[#Data],COLUMN(T_TraitDi[[#This Row],[M5]]),FALSE))</f>
        <v>#N/A</v>
      </c>
      <c r="AB12" s="176" t="e">
        <f>IF(VLOOKUP(T_BilanSocial[[#This Row],[NumL]],T_TraitDi[#Data],COLUMN(T_TraitDi[[#This Row],[M6]]),FALSE)="","",VLOOKUP(T_BilanSocial[[#This Row],[NumL]],T_TraitDi[#Data],COLUMN(T_TraitDi[[#This Row],[M6]]),FALSE))</f>
        <v>#N/A</v>
      </c>
      <c r="AC12" s="176" t="e">
        <f t="shared" si="4"/>
        <v>#N/A</v>
      </c>
      <c r="AD12" s="188" t="str">
        <f>IFERROR(TEXT(VLOOKUP(T_BilanSocial[[#This Row],[NumL]],T_TraitDi[#Data],COLUMN(T_TraitDi[[#This Row],[Q2]]),FALSE),"###%"),"")</f>
        <v/>
      </c>
      <c r="AE12" s="97" t="e">
        <f>VLOOKUP(T_BilanSocial[[#This Row],[NumL]],T_TraitDi[#Data],COLUMN(T_TraitDi[[#This Row],[Reg Ponct]]),FALSE)</f>
        <v>#N/A</v>
      </c>
      <c r="AF12" s="97" t="e">
        <f>VLOOKUP(T_BilanSocial[NumL],T_TraitDi[#Data],COLUMN(T_TraitDi[[#This Row],[Jours flottants]]),FALSE)</f>
        <v>#N/A</v>
      </c>
      <c r="AG12" s="97" t="str">
        <f>IFERROR(VLOOKUP(T_BilanSocial[[#This Row],[NumL]],T_TraitDi[#Data],COLUMN(T_TraitDi[[#This Row],[Lundi]]),FALSE),"")</f>
        <v/>
      </c>
      <c r="AH12" s="172" t="e">
        <f>IF(VLOOKUP(T_BilanSocial[[#This Row],[NumL]],T_TraitDi[#Data],COLUMN(T_TraitDi[[#This Row],[Colonne3]]),FALSE)=0,"",TEXT(IFERROR(VLOOKUP(T_BilanSocial[[#This Row],[NumL]],T_TraitDi[#Data],COLUMN(T_TraitDi[[#This Row],[Colonne3]]),FALSE),""),"[hh]:mm"))</f>
        <v>#N/A</v>
      </c>
      <c r="AI12" s="172" t="e">
        <f>IF(VLOOKUP(T_BilanSocial[[#This Row],[NumL]],T_TraitDi[#Data],COLUMN(T_TraitDi[[#This Row],[Colonne4]]),FALSE)=0,"",TEXT(IFERROR(VLOOKUP(T_BilanSocial[[#This Row],[NumL]],T_TraitDi[#Data],COLUMN(T_TraitDi[[#This Row],[Colonne4]]),FALSE),""),"[hh]:mm"))</f>
        <v>#N/A</v>
      </c>
      <c r="AJ12" s="172" t="e">
        <f>IF(VLOOKUP(T_BilanSocial[[#This Row],[NumL]],T_TraitDi[#Data],COLUMN(T_TraitDi[[#This Row],[Colonne5]]),FALSE)=0,"",TEXT(IFERROR(VLOOKUP(T_BilanSocial[[#This Row],[NumL]],T_TraitDi[#Data],COLUMN(T_TraitDi[[#This Row],[Colonne5]]),FALSE),""),"[hh]:mm"))</f>
        <v>#N/A</v>
      </c>
      <c r="AK12" s="172" t="e">
        <f>IF(VLOOKUP(T_BilanSocial[[#This Row],[NumL]],T_TraitDi[#Data],COLUMN(T_TraitDi[[#This Row],[Colonne6]]),FALSE)=0,"",TEXT(IFERROR(VLOOKUP(T_BilanSocial[[#This Row],[NumL]],T_TraitDi[#Data],COLUMN(T_TraitDi[[#This Row],[Colonne6]]),FALSE),""),"[hh]:mm"))</f>
        <v>#N/A</v>
      </c>
      <c r="AL12" s="172" t="e">
        <f>IF(VLOOKUP(T_BilanSocial[[#This Row],[NumL]],T_TraitDi[#Data],COLUMN(T_TraitDi[[#This Row],[Colonne7]]),FALSE)=0,"",TEXT(IFERROR(VLOOKUP(T_BilanSocial[[#This Row],[NumL]],T_TraitDi[#Data],COLUMN(T_TraitDi[[#This Row],[Colonne7]]),FALSE),""),"[hh]:mm"))</f>
        <v>#N/A</v>
      </c>
      <c r="AM12" s="172" t="e">
        <f>IF(VLOOKUP(T_BilanSocial[[#This Row],[NumL]],T_TraitDi[#Data],COLUMN(T_TraitDi[[#This Row],[Colonne8]]),FALSE)=0,"",TEXT(IFERROR(VLOOKUP(T_BilanSocial[[#This Row],[NumL]],T_TraitDi[#Data],COLUMN(T_TraitDi[[#This Row],[Colonne8]]),FALSE),""),"[hh]:mm"))</f>
        <v>#N/A</v>
      </c>
      <c r="AN12" s="172" t="str">
        <f>IFERROR(VLOOKUP(T_BilanSocial[[#This Row],[NumL]],T_TraitDi[#Data],COLUMN(T_TraitDi[[#This Row],[Mardi]]),FALSE),"")</f>
        <v/>
      </c>
      <c r="AO12" s="172" t="e">
        <f>IF(VLOOKUP(T_BilanSocial[[#This Row],[NumL]],T_TraitDi[#Data],COLUMN(T_TraitDi[[#This Row],[Colonne1]]),FALSE)=0,"",TEXT(IFERROR(VLOOKUP(T_BilanSocial[[#This Row],[NumL]],T_TraitDi[#Data],COLUMN(T_TraitDi[[#This Row],[Colonne1]]),FALSE),""),"[hh]:mm"))</f>
        <v>#N/A</v>
      </c>
      <c r="AP12" s="172" t="e">
        <f>IF(VLOOKUP(T_BilanSocial[[#This Row],[NumL]],T_TraitDi[#Data],COLUMN(T_TraitDi[[#This Row],[Colonne9]]),FALSE)=0,"",TEXT(IFERROR(VLOOKUP(T_BilanSocial[[#This Row],[NumL]],T_TraitDi[#Data],COLUMN(T_TraitDi[[#This Row],[Colonne9]]),FALSE),""),"[hh]:mm"))</f>
        <v>#N/A</v>
      </c>
      <c r="AQ12" s="172" t="str">
        <f>IFERROR(VLOOKUP(T_BilanSocial[[#This Row],[NumL]],T_TraitDi[#Data],COLUMN(T_TraitDi[[#This Row],[Colonne10]]),FALSE),"")</f>
        <v/>
      </c>
      <c r="AR12" s="172" t="e">
        <f>IF(VLOOKUP(T_BilanSocial[[#This Row],[NumL]],T_TraitDi[#Data],COLUMN(T_TraitDi[[#This Row],[Colonne11]]),FALSE)=0,"",TEXT(IFERROR(VLOOKUP(T_BilanSocial[[#This Row],[NumL]],T_TraitDi[#Data],COLUMN(T_TraitDi[[#This Row],[Colonne11]]),FALSE),""),"[hh]:mm"))</f>
        <v>#N/A</v>
      </c>
      <c r="AS12" s="172" t="e">
        <f>IF(VLOOKUP(T_BilanSocial[[#This Row],[NumL]],T_TraitDi[#Data],COLUMN(T_TraitDi[[#This Row],[Colonne12]]),FALSE)=0,"",TEXT(IFERROR(VLOOKUP(T_BilanSocial[[#This Row],[NumL]],T_TraitDi[#Data],COLUMN(T_TraitDi[[#This Row],[Colonne12]]),FALSE),""),"[hh]:mm"))</f>
        <v>#N/A</v>
      </c>
      <c r="AT12" s="172" t="e">
        <f>IF(VLOOKUP(T_BilanSocial[[#This Row],[NumL]],T_TraitDi[#Data],COLUMN(T_TraitDi[[#This Row],[Colonne14]]),FALSE)=0,"",TEXT(IFERROR(VLOOKUP(T_BilanSocial[[#This Row],[NumL]],T_TraitDi[#Data],COLUMN(T_TraitDi[[#This Row],[Colonne14]]),FALSE),""),"[hh]:mm"))</f>
        <v>#N/A</v>
      </c>
      <c r="AU12" s="172" t="str">
        <f>IFERROR(VLOOKUP(T_BilanSocial[[#This Row],[NumL]],T_TraitDi[#Data],COLUMN(T_TraitDi[[#This Row],[Mercredi]]),FALSE),"")</f>
        <v/>
      </c>
      <c r="AV12" s="172" t="e">
        <f>IF(VLOOKUP(T_BilanSocial[[#This Row],[NumL]],T_TraitDi[#Data],COLUMN(T_TraitDi[[#This Row],[Colonne15]]),FALSE)=0,"",TEXT(IFERROR(VLOOKUP(T_BilanSocial[[#This Row],[NumL]],T_TraitDi[#Data],COLUMN(T_TraitDi[[#This Row],[Colonne15]]),FALSE),""),"[hh]:mm"))</f>
        <v>#N/A</v>
      </c>
      <c r="AW12" s="172" t="e">
        <f>IF(VLOOKUP(T_BilanSocial[[#This Row],[NumL]],T_TraitDi[#Data],COLUMN(T_TraitDi[[#This Row],[Colonne16]]),FALSE)=0,"",TEXT(IFERROR(VLOOKUP(T_BilanSocial[[#This Row],[NumL]],T_TraitDi[#Data],COLUMN(T_TraitDi[[#This Row],[Colonne16]]),FALSE),""),"[hh]:mm"))</f>
        <v>#N/A</v>
      </c>
      <c r="AX12" s="172" t="str">
        <f>IFERROR(VLOOKUP(T_BilanSocial[[#This Row],[NumL]],T_TraitDi[#Data],COLUMN(T_TraitDi[[#This Row],[Colonne17]]),FALSE),"")</f>
        <v/>
      </c>
      <c r="AY12" s="172" t="e">
        <f>IF(VLOOKUP(T_BilanSocial[[#This Row],[NumL]],T_TraitDi[#Data],COLUMN(T_TraitDi[[#This Row],[Colonne18]]),FALSE)=0,"",TEXT(IFERROR(VLOOKUP(T_BilanSocial[[#This Row],[NumL]],T_TraitDi[#Data],COLUMN(T_TraitDi[[#This Row],[Colonne18]]),FALSE),""),"[hh]:mm"))</f>
        <v>#N/A</v>
      </c>
      <c r="AZ12" s="172" t="e">
        <f>IF(VLOOKUP(T_BilanSocial[[#This Row],[NumL]],T_TraitDi[#Data],COLUMN(T_TraitDi[[#This Row],[Colonne19]]),FALSE)=0,"",TEXT(IFERROR(VLOOKUP(T_BilanSocial[[#This Row],[NumL]],T_TraitDi[#Data],COLUMN(T_TraitDi[[#This Row],[Colonne19]]),FALSE),""),"[hh]:mm"))</f>
        <v>#N/A</v>
      </c>
      <c r="BA12" s="172" t="e">
        <f>IF(VLOOKUP(T_BilanSocial[[#This Row],[NumL]],T_TraitDi[#Data],COLUMN(T_TraitDi[[#This Row],[Colonne20]]),FALSE)=0,"",TEXT(IFERROR(VLOOKUP(T_BilanSocial[[#This Row],[NumL]],T_TraitDi[#Data],COLUMN(T_TraitDi[[#This Row],[Colonne20]]),FALSE),""),"[hh]:mm"))</f>
        <v>#N/A</v>
      </c>
      <c r="BB12" s="178" t="str">
        <f>IFERROR(VLOOKUP(T_BilanSocial[[#This Row],[NumL]],T_TraitDi[#Data],COLUMN(T_TraitDi[[#This Row],[Jeudi]]),FALSE),"")</f>
        <v/>
      </c>
      <c r="BC12" s="178" t="e">
        <f>IF(VLOOKUP(T_BilanSocial[[#This Row],[NumL]],T_TraitDi[#Data],COLUMN(T_TraitDi[[#This Row],[Colonne21]]),FALSE)=0,"",TEXT(IFERROR(VLOOKUP(T_BilanSocial[[#This Row],[NumL]],T_TraitDi[#Data],COLUMN(T_TraitDi[[#This Row],[Colonne21]]),FALSE),""),"[hh]:mm"))</f>
        <v>#N/A</v>
      </c>
      <c r="BD12" s="178" t="e">
        <f>IF(VLOOKUP(T_BilanSocial[[#This Row],[NumL]],T_TraitDi[#Data],COLUMN(T_TraitDi[[#This Row],[Colonne22]]),FALSE)=0,"",TEXT(IFERROR(VLOOKUP(T_BilanSocial[[#This Row],[NumL]],T_TraitDi[#Data],COLUMN(T_TraitDi[[#This Row],[Colonne22]]),FALSE),""),"[hh]:mm"))</f>
        <v>#N/A</v>
      </c>
      <c r="BE12" s="178" t="str">
        <f>IFERROR(VLOOKUP(T_BilanSocial[[#This Row],[NumL]],T_TraitDi[#Data],COLUMN(T_TraitDi[[#This Row],[Colonne23]]),FALSE),"")</f>
        <v/>
      </c>
      <c r="BF12" s="178" t="e">
        <f>IF(VLOOKUP(T_BilanSocial[[#This Row],[NumL]],T_TraitDi[#Data],COLUMN(T_TraitDi[[#This Row],[Colonne24]]),FALSE)=0,"",TEXT(IFERROR(VLOOKUP(T_BilanSocial[[#This Row],[NumL]],T_TraitDi[#Data],COLUMN(T_TraitDi[[#This Row],[Colonne24]]),FALSE),""),"[hh]:mm"))</f>
        <v>#N/A</v>
      </c>
      <c r="BG12" s="178" t="e">
        <f>IF(VLOOKUP(T_BilanSocial[[#This Row],[NumL]],T_TraitDi[#Data],COLUMN(T_TraitDi[[#This Row],[Colonne25]]),FALSE)=0,"",TEXT(IFERROR(VLOOKUP(T_BilanSocial[[#This Row],[NumL]],T_TraitDi[#Data],COLUMN(T_TraitDi[[#This Row],[Colonne25]]),FALSE),""),"[hh]:mm"))</f>
        <v>#N/A</v>
      </c>
      <c r="BH12" s="178" t="e">
        <f>IF(VLOOKUP(T_BilanSocial[[#This Row],[NumL]],T_TraitDi[#Data],COLUMN(T_TraitDi[[#This Row],[Colonne26]]),FALSE)=0,"",TEXT(IFERROR(VLOOKUP(T_BilanSocial[[#This Row],[NumL]],T_TraitDi[#Data],COLUMN(T_TraitDi[[#This Row],[Colonne26]]),FALSE),""),"[hh]:mm"))</f>
        <v>#N/A</v>
      </c>
      <c r="BI12" s="172" t="str">
        <f>IFERROR(VLOOKUP(T_BilanSocial[[#This Row],[NumL]],T_TraitDi[#Data],COLUMN(T_TraitDi[[#This Row],[Vendredi]]),FALSE),"")</f>
        <v/>
      </c>
      <c r="BJ12" s="172" t="e">
        <f>IF(VLOOKUP(T_BilanSocial[[#This Row],[NumL]],T_TraitDi[#Data],COLUMN(T_TraitDi[[#This Row],[Colonne27]]),FALSE)=0,"",TEXT(IFERROR(VLOOKUP(T_BilanSocial[[#This Row],[NumL]],T_TraitDi[#Data],COLUMN(T_TraitDi[[#This Row],[Colonne27]]),FALSE),""),"[hh]:mm"))</f>
        <v>#N/A</v>
      </c>
      <c r="BK12" s="172" t="e">
        <f>IF(VLOOKUP(T_BilanSocial[[#This Row],[NumL]],T_TraitDi[#Data],COLUMN(T_TraitDi[[#This Row],[Colonne28]]),FALSE)=0,"",TEXT(IFERROR(VLOOKUP(T_BilanSocial[[#This Row],[NumL]],T_TraitDi[#Data],COLUMN(T_TraitDi[[#This Row],[Colonne28]]),FALSE),""),"[hh]:mm"))</f>
        <v>#N/A</v>
      </c>
      <c r="BL12" s="172" t="str">
        <f>IFERROR(VLOOKUP(T_BilanSocial[[#This Row],[NumL]],T_TraitDi[#Data],COLUMN(T_TraitDi[[#This Row],[Colonne29]]),FALSE),"")</f>
        <v/>
      </c>
      <c r="BM12" s="172" t="e">
        <f>IF(VLOOKUP(T_BilanSocial[[#This Row],[NumL]],T_TraitDi[#Data],COLUMN(T_TraitDi[[#This Row],[Colonne30]]),FALSE)=0,"",TEXT(IFERROR(VLOOKUP(T_BilanSocial[[#This Row],[NumL]],T_TraitDi[#Data],COLUMN(T_TraitDi[[#This Row],[Colonne30]]),FALSE),""),"[hh]:mm"))</f>
        <v>#N/A</v>
      </c>
      <c r="BN12" s="172" t="e">
        <f>IF(VLOOKUP(T_BilanSocial[[#This Row],[NumL]],T_TraitDi[#Data],COLUMN(T_TraitDi[[#This Row],[Colonne31]]),FALSE)=0,"",TEXT(IFERROR(VLOOKUP(T_BilanSocial[[#This Row],[NumL]],T_TraitDi[#Data],COLUMN(T_TraitDi[[#This Row],[Colonne31]]),FALSE),""),"[hh]:mm"))</f>
        <v>#N/A</v>
      </c>
      <c r="BO12" s="172" t="e">
        <f>IF(VLOOKUP(T_BilanSocial[[#This Row],[NumL]],T_TraitDi[#Data],COLUMN(T_TraitDi[[#This Row],[Colonne32]]),FALSE)=0,"",TEXT(IFERROR(VLOOKUP(T_BilanSocial[[#This Row],[NumL]],T_TraitDi[#Data],COLUMN(T_TraitDi[[#This Row],[Colonne32]]),FALSE),""),"[hh]:mm"))</f>
        <v>#N/A</v>
      </c>
      <c r="BP12" s="172" t="e">
        <f>VLOOKUP(T_BilanSocial[[#This Row],[NumL]],T_TraitDi[#Data],COLUMN(T_TraitDi[NbJTot]),FALSE)</f>
        <v>#N/A</v>
      </c>
      <c r="BQ12" s="174" t="str">
        <f>IFERROR(VLOOKUP(T_BilanSocial[[#This Row],[NumL]],T_TraitDi[#Data],COLUMN(T_TraitDi[[#This Row],[NbJTW]]),FALSE),"")</f>
        <v/>
      </c>
      <c r="BR12" s="174" t="e">
        <f>IF(VLOOKUP(T_BilanSocial[[#This Row],[NumL]],T_TraitDi[#Data],COLUMN(T_TraitDi[[#This Row],[NbhTW]]),FALSE)=0,"",TEXT(IFERROR(VLOOKUP(T_BilanSocial[[#This Row],[NumL]],T_TraitDi[#Data],COLUMN(T_TraitDi[[#This Row],[NbhTW]]),FALSE),""),"[hh]:mm"))</f>
        <v>#N/A</v>
      </c>
      <c r="BS12" s="174" t="e">
        <f>IF(VLOOKUP(T_BilanSocial[[#This Row],[NumL]],T_TraitDi[#Data],COLUMN(T_TraitDi[[#This Row],[Nbhheb]]),FALSE)=0,"",TEXT(IFERROR(VLOOKUP($A12,T_TraitDi[#Data],COLUMN(T_TraitDi[[#This Row],[Nbhheb]]),FALSE),""),"[hh]:mm"))</f>
        <v>#N/A</v>
      </c>
      <c r="BT12" s="182" t="str">
        <f>IFERROR(VLOOKUP(VLOOKUP($A12,T_TraitDi[#Data],COLUMN(T_TraitDi[[#This Row],[Type1]]),FALSE),TypeTW,2,FALSE),"")</f>
        <v/>
      </c>
      <c r="BU12" s="182" t="str">
        <f>IFERROR(VLOOKUP($A12,T_TraitDi[#Data],COLUMN(T_TraitDi[[#This Row],[Rue1]]),FALSE),"")</f>
        <v/>
      </c>
      <c r="BV12" s="173" t="str">
        <f>IFERROR(VLOOKUP($A12,T_TraitDi[#Data],COLUMN(T_TraitDi[[#This Row],[CP1]]),FALSE),"")</f>
        <v/>
      </c>
      <c r="BW12" s="173" t="str">
        <f>IFERROR(VLOOKUP($A12,T_TraitDi[#Data],COLUMN(T_TraitDi[[#This Row],[VILLE1]]),FALSE),"")</f>
        <v/>
      </c>
      <c r="BX12" s="182" t="str">
        <f>IFERROR(VLOOKUP(VLOOKUP($A12,T_TraitDi[#Data],COLUMN(T_TraitDi[[#This Row],[Type2]]),FALSE),TypeTW,2,FALSE),"")</f>
        <v/>
      </c>
      <c r="BY12" s="182" t="str">
        <f>IFERROR(VLOOKUP($A12,T_TraitDi[#Data],COLUMN(T_TraitDi[[#This Row],[Rue2]]),FALSE),"")</f>
        <v/>
      </c>
      <c r="BZ12" s="173" t="str">
        <f>IFERROR(VLOOKUP($A12,T_TraitDi[#Data],COLUMN(T_TraitDi[[#This Row],[CP2]]),FALSE),"")</f>
        <v/>
      </c>
      <c r="CA12" s="173" t="str">
        <f>IFERROR(VLOOKUP($A12,T_TraitDi[#Data],COLUMN(T_TraitDi[[#This Row],[VILLE2]]),FALSE),"")</f>
        <v/>
      </c>
      <c r="CB12" s="182" t="str">
        <f>IF(VLOOKUP(T_BilanSocial[[#This Row],[NumL]],T_Equipement[#Data],COLUMN(T_Equipement[[#This Row],[PC]]),FALSE)="","Aucun équipement spécifique directement lié au télétravail",VLOOKUP(T_BilanSocial[[#This Row],[NumL]],T_Equipement[#Data],COLUMN(T_Equipement[[#This Row],[PC]]),FALSE))</f>
        <v xml:space="preserve">16-147	</v>
      </c>
      <c r="CC12" s="166" t="str">
        <f>IFERROR(IF(VLOOKUP(T_BilanSocial[[#This Row],[NumL]],T_TraitDi[#Data],COLUMN(T_TraitDi[[#This Row],[Plan]]),FALSE)="OK","Un planning spécifique de télétravail est annexé à la présente convention.",""),"")</f>
        <v/>
      </c>
      <c r="CD12" s="259" t="s">
        <v>3364</v>
      </c>
      <c r="CE12" s="164" t="e">
        <f>IF(VLOOKUP(T_BilanSocial[[#This Row],[NumL]],T_suiviDi[#Data],COLUMN(T_suiviDi[[#This Row],[Entité]]),FALSE)="","",VLOOKUP(T_BilanSocial[[#This Row],[NumL]],T_suiviDi[#Data],COLUMN(T_suiviDi[[#This Row],[Entité]]),FALSE))</f>
        <v>#N/A</v>
      </c>
      <c r="CF12" s="164" t="str">
        <f>IF(VLOOKUP(T_BilanSocial[[#This Row],[NumL]],T_Commission[#Data],COLUMN(T_Commission[[#This Row],[envoi confirm TW]]),FALSE)="","",VLOOKUP(T_BilanSocial[[#This Row],[NumL]],T_Commission[#Data],COLUMN(T_Commission[[#This Row],[envoi confirm TW]]),FALSE))</f>
        <v>Oui</v>
      </c>
      <c r="CG1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 s="262" t="str">
        <f>T_BilanSocial[[#This Row],[Nom]]&amp;T_BilanSocial[[#This Row],[Prenom]]</f>
        <v/>
      </c>
      <c r="CI12" s="262">
        <f>VLOOKUP(T_BilanSocial[[#This Row],[NumL]],T_Commission[#Data],COLUMN(T_Commission[Commentaire]),FALSE)</f>
        <v>0</v>
      </c>
      <c r="CJ12" s="262" t="str">
        <f>IF(VLOOKUP(T_BilanSocial[[#This Row],[NumL]],T_Commission[#Data],COLUMN(T_Commission[Encadrant Email]),FALSE)="","",VLOOKUP(T_BilanSocial[[#This Row],[NumL]],T_Commission[#Data],COLUMN(T_Commission[Encadrant Email]),FALSE))</f>
        <v/>
      </c>
      <c r="CK12" s="340" t="str">
        <f>IF(T_BilanSocial[[#This Row],[Final]]&lt;&gt;"",VLOOKUP(T_BilanSocial[[#This Row],[NumL]],T_suiviDi[#Data],COLUMN((T_suiviDi[Statut])),FALSE),"")</f>
        <v/>
      </c>
    </row>
    <row r="13" spans="1:89" s="106" customFormat="1" ht="24.75" customHeight="1" x14ac:dyDescent="0.25">
      <c r="A13" s="160">
        <v>10</v>
      </c>
      <c r="B13" s="161" t="str">
        <f t="shared" si="0"/>
        <v/>
      </c>
      <c r="C13" s="162" t="s">
        <v>173</v>
      </c>
      <c r="D13" s="95" t="e">
        <f>IF(VLOOKUP(T_BilanSocial[[#This Row],[NumL]],T_TraitDi[#Data],COLUMN(T_TraitDi[[#This Row],[WebC]]),FALSE)="","",VLOOKUP(T_BilanSocial[[#This Row],[NumL]],T_TraitDi[#Data],COLUMN(T_TraitDi[[#This Row],[WebC]]),FALSE))</f>
        <v>#N/A</v>
      </c>
      <c r="E13" s="174" t="str">
        <f t="shared" si="1"/>
        <v>12 janvier 2021</v>
      </c>
      <c r="F13" s="96" t="str">
        <f>IF(T_BilanSocial[[#This Row],[Final]]&lt;&gt;"",VLOOKUP(T_BilanSocial[[#This Row],[NumL]],T_suiviDi[#Data],COLUMN((T_suiviDi[Civ.])),FALSE),"")</f>
        <v/>
      </c>
      <c r="G13" s="96" t="str">
        <f>IF(T_BilanSocial[[#This Row],[Final]]&lt;&gt;"",VLOOKUP(T_BilanSocial[[#This Row],[NumL]],T_suiviDi[#Data],COLUMN((T_suiviDi[Nom])),FALSE),"")</f>
        <v/>
      </c>
      <c r="H13" s="96" t="str">
        <f>IF(T_BilanSocial[[#This Row],[Final]]&lt;&gt;"",VLOOKUP(T_BilanSocial[[#This Row],[NumL]],T_suiviDi[#Data],COLUMN((T_suiviDi[Prénom])),FALSE),"")</f>
        <v/>
      </c>
      <c r="I13" s="96" t="str">
        <f>IFERROR(VLOOKUP(T_BilanSocial[[#This Row],[Zone_Bilan]],T_P_BilanSocial[#Data],COLUMN(T_P_BilanSocial[[#This Row],[Numero_SIHAM]]),FALSE),"")</f>
        <v/>
      </c>
      <c r="J13" s="96" t="str">
        <f>IFERROR(VLOOKUP(T_BilanSocial[[#This Row],[Zone_Bilan]],T_P_BilanSocial[#Data],COLUMN(T_P_BilanSocial[[#This Row],[Sexe]]),FALSE),"")</f>
        <v/>
      </c>
      <c r="K13" s="97" t="str">
        <f>IFERROR(VLOOKUP(T_BilanSocial[[#This Row],[Zone_Bilan]],T_P_BilanSocial[#Data],COLUMN(T_P_BilanSocial[[#This Row],[Categorie]]),FALSE),"")</f>
        <v/>
      </c>
      <c r="L13" s="96" t="str">
        <f>IFERROR(VLOOKUP(T_BilanSocial[[#This Row],[Zone_Bilan]],T_P_BilanSocial[#Data],COLUMN(T_P_BilanSocial[[#This Row],[Statut]]),FALSE),"")</f>
        <v/>
      </c>
      <c r="M13" s="96" t="str">
        <f>IFERROR(VLOOKUP(T_BilanSocial[[#This Row],[Zone_Bilan]],T_P_BilanSocial[#Data],COLUMN(T_P_BilanSocial[[#This Row],[Filiere]]),FALSE),"")</f>
        <v/>
      </c>
      <c r="N13" s="96" t="e">
        <f>VLOOKUP(T_BilanSocial[[#This Row],[NumL]],T_TraitDi[#Data],COLUMN(T_TraitDi[EXP]),FALSE)</f>
        <v>#N/A</v>
      </c>
      <c r="O13" s="96" t="e">
        <f>VLOOKUP(T_BilanSocial[[#This Row],[NumL]],T_TraitDi[#Data],COLUMN(T_TraitDi[FORM]),FALSE)</f>
        <v>#N/A</v>
      </c>
      <c r="P13" s="96" t="str">
        <f>IF(T_BilanSocial[[#This Row],[Final]]&lt;&gt;"",VLOOKUP(T_BilanSocial[[#This Row],[NumL]],T_suiviDi[#Data],COLUMN((T_suiviDi[Email])),FALSE),"")</f>
        <v/>
      </c>
      <c r="Q13" s="164" t="e">
        <f>IF(VLOOKUP(T_BilanSocial[[#This Row],[NumL]],T_suiviDi[#Data],COLUMN(T_suiviDi[[#This Row],[Fonction]]),FALSE)="","",VLOOKUP(T_BilanSocial[[#This Row],[NumL]],T_suiviDi[#Data],COLUMN(T_suiviDi[[#This Row],[Fonction]]),FALSE))</f>
        <v>#N/A</v>
      </c>
      <c r="R13" s="164" t="e">
        <f>IF(VLOOKUP(T_BilanSocial[[#This Row],[NumL]],T_suiviDi[#Data],COLUMN(T_suiviDi[[#This Row],[Grade]]),FALSE)="","",VLOOKUP(T_BilanSocial[[#This Row],[NumL]],T_suiviDi[#Data],COLUMN(T_suiviDi[[#This Row],[Grade]]),FALSE))</f>
        <v>#N/A</v>
      </c>
      <c r="S13" s="164" t="e">
        <f>IF(VLOOKUP(T_BilanSocial[[#This Row],[NumL]],T_suiviDi[#Data],COLUMN(T_suiviDi[[#This Row],[Service ]]),FALSE)="","",VLOOKUP(T_BilanSocial[[#This Row],[NumL]],T_suiviDi[#Data],COLUMN(T_suiviDi[[#This Row],[Service ]]),FALSE))</f>
        <v>#N/A</v>
      </c>
      <c r="T13" s="176" t="str">
        <f t="shared" si="2"/>
        <v>01 septembre 2021</v>
      </c>
      <c r="U13" s="176" t="str">
        <f t="shared" si="3"/>
        <v>30 novembre 2021</v>
      </c>
      <c r="V13" s="164" t="str">
        <f t="shared" si="6"/>
        <v>30 novembre 2021</v>
      </c>
      <c r="W13" s="176" t="e">
        <f>IF(VLOOKUP(T_BilanSocial[[#This Row],[NumL]],T_TraitDi[#Data],COLUMN(T_TraitDi[[#This Row],[M1]]),FALSE)="","",VLOOKUP(T_BilanSocial[[#This Row],[NumL]],T_TraitDi[#Data],COLUMN(T_TraitDi[[#This Row],[M1]]),FALSE))</f>
        <v>#N/A</v>
      </c>
      <c r="X13" s="176" t="e">
        <f>IF(VLOOKUP(T_BilanSocial[[#This Row],[NumL]],T_TraitDi[#Data],COLUMN(T_TraitDi[[#This Row],[M2]]),FALSE)="","",VLOOKUP(T_BilanSocial[[#This Row],[NumL]],T_TraitDi[#Data],COLUMN(T_TraitDi[[#This Row],[M2]]),FALSE))</f>
        <v>#N/A</v>
      </c>
      <c r="Y13" s="176" t="e">
        <f>IF(VLOOKUP(T_BilanSocial[[#This Row],[NumL]],T_TraitDi[#Data],COLUMN(T_TraitDi[[#This Row],[M3]]),FALSE)="","",VLOOKUP(T_BilanSocial[[#This Row],[NumL]],T_TraitDi[#Data],COLUMN(T_TraitDi[[#This Row],[M3]]),FALSE))</f>
        <v>#N/A</v>
      </c>
      <c r="Z13" s="176" t="str">
        <f t="shared" si="5"/>
        <v/>
      </c>
      <c r="AA13" s="176" t="e">
        <f>IF(VLOOKUP(T_BilanSocial[[#This Row],[NumL]],T_TraitDi[#Data],COLUMN(T_TraitDi[[#This Row],[M5]]),FALSE)="","",VLOOKUP(T_BilanSocial[[#This Row],[NumL]],T_TraitDi[#Data],COLUMN(T_TraitDi[[#This Row],[M5]]),FALSE))</f>
        <v>#N/A</v>
      </c>
      <c r="AB13" s="176" t="e">
        <f>IF(VLOOKUP(T_BilanSocial[[#This Row],[NumL]],T_TraitDi[#Data],COLUMN(T_TraitDi[[#This Row],[M6]]),FALSE)="","",VLOOKUP(T_BilanSocial[[#This Row],[NumL]],T_TraitDi[#Data],COLUMN(T_TraitDi[[#This Row],[M6]]),FALSE))</f>
        <v>#N/A</v>
      </c>
      <c r="AC13" s="176" t="e">
        <f t="shared" si="4"/>
        <v>#N/A</v>
      </c>
      <c r="AD13" s="188" t="str">
        <f>IFERROR(TEXT(VLOOKUP(T_BilanSocial[[#This Row],[NumL]],T_TraitDi[#Data],COLUMN(T_TraitDi[[#This Row],[Q2]]),FALSE),"###%"),"")</f>
        <v/>
      </c>
      <c r="AE13" s="97" t="e">
        <f>VLOOKUP(T_BilanSocial[[#This Row],[NumL]],T_TraitDi[#Data],COLUMN(T_TraitDi[[#This Row],[Reg Ponct]]),FALSE)</f>
        <v>#N/A</v>
      </c>
      <c r="AF13" s="97" t="e">
        <f>VLOOKUP(T_BilanSocial[NumL],T_TraitDi[#Data],COLUMN(T_TraitDi[[#This Row],[Jours flottants]]),FALSE)</f>
        <v>#N/A</v>
      </c>
      <c r="AG13" s="97" t="str">
        <f>IFERROR(VLOOKUP(T_BilanSocial[[#This Row],[NumL]],T_TraitDi[#Data],COLUMN(T_TraitDi[[#This Row],[Lundi]]),FALSE),"")</f>
        <v/>
      </c>
      <c r="AH13" s="172" t="e">
        <f>IF(VLOOKUP(T_BilanSocial[[#This Row],[NumL]],T_TraitDi[#Data],COLUMN(T_TraitDi[[#This Row],[Colonne3]]),FALSE)=0,"",TEXT(IFERROR(VLOOKUP(T_BilanSocial[[#This Row],[NumL]],T_TraitDi[#Data],COLUMN(T_TraitDi[[#This Row],[Colonne3]]),FALSE),""),"[hh]:mm"))</f>
        <v>#N/A</v>
      </c>
      <c r="AI13" s="172" t="e">
        <f>IF(VLOOKUP(T_BilanSocial[[#This Row],[NumL]],T_TraitDi[#Data],COLUMN(T_TraitDi[[#This Row],[Colonne4]]),FALSE)=0,"",TEXT(IFERROR(VLOOKUP(T_BilanSocial[[#This Row],[NumL]],T_TraitDi[#Data],COLUMN(T_TraitDi[[#This Row],[Colonne4]]),FALSE),""),"[hh]:mm"))</f>
        <v>#N/A</v>
      </c>
      <c r="AJ13" s="172" t="e">
        <f>IF(VLOOKUP(T_BilanSocial[[#This Row],[NumL]],T_TraitDi[#Data],COLUMN(T_TraitDi[[#This Row],[Colonne5]]),FALSE)=0,"",TEXT(IFERROR(VLOOKUP(T_BilanSocial[[#This Row],[NumL]],T_TraitDi[#Data],COLUMN(T_TraitDi[[#This Row],[Colonne5]]),FALSE),""),"[hh]:mm"))</f>
        <v>#N/A</v>
      </c>
      <c r="AK13" s="172" t="e">
        <f>IF(VLOOKUP(T_BilanSocial[[#This Row],[NumL]],T_TraitDi[#Data],COLUMN(T_TraitDi[[#This Row],[Colonne6]]),FALSE)=0,"",TEXT(IFERROR(VLOOKUP(T_BilanSocial[[#This Row],[NumL]],T_TraitDi[#Data],COLUMN(T_TraitDi[[#This Row],[Colonne6]]),FALSE),""),"[hh]:mm"))</f>
        <v>#N/A</v>
      </c>
      <c r="AL13" s="172" t="e">
        <f>IF(VLOOKUP(T_BilanSocial[[#This Row],[NumL]],T_TraitDi[#Data],COLUMN(T_TraitDi[[#This Row],[Colonne7]]),FALSE)=0,"",TEXT(IFERROR(VLOOKUP(T_BilanSocial[[#This Row],[NumL]],T_TraitDi[#Data],COLUMN(T_TraitDi[[#This Row],[Colonne7]]),FALSE),""),"[hh]:mm"))</f>
        <v>#N/A</v>
      </c>
      <c r="AM13" s="172" t="e">
        <f>IF(VLOOKUP(T_BilanSocial[[#This Row],[NumL]],T_TraitDi[#Data],COLUMN(T_TraitDi[[#This Row],[Colonne8]]),FALSE)=0,"",TEXT(IFERROR(VLOOKUP(T_BilanSocial[[#This Row],[NumL]],T_TraitDi[#Data],COLUMN(T_TraitDi[[#This Row],[Colonne8]]),FALSE),""),"[hh]:mm"))</f>
        <v>#N/A</v>
      </c>
      <c r="AN13" s="172" t="str">
        <f>IFERROR(VLOOKUP(T_BilanSocial[[#This Row],[NumL]],T_TraitDi[#Data],COLUMN(T_TraitDi[[#This Row],[Mardi]]),FALSE),"")</f>
        <v/>
      </c>
      <c r="AO13" s="172" t="e">
        <f>IF(VLOOKUP(T_BilanSocial[[#This Row],[NumL]],T_TraitDi[#Data],COLUMN(T_TraitDi[[#This Row],[Colonne1]]),FALSE)=0,"",TEXT(IFERROR(VLOOKUP(T_BilanSocial[[#This Row],[NumL]],T_TraitDi[#Data],COLUMN(T_TraitDi[[#This Row],[Colonne1]]),FALSE),""),"[hh]:mm"))</f>
        <v>#N/A</v>
      </c>
      <c r="AP13" s="172" t="e">
        <f>IF(VLOOKUP(T_BilanSocial[[#This Row],[NumL]],T_TraitDi[#Data],COLUMN(T_TraitDi[[#This Row],[Colonne9]]),FALSE)=0,"",TEXT(IFERROR(VLOOKUP(T_BilanSocial[[#This Row],[NumL]],T_TraitDi[#Data],COLUMN(T_TraitDi[[#This Row],[Colonne9]]),FALSE),""),"[hh]:mm"))</f>
        <v>#N/A</v>
      </c>
      <c r="AQ13" s="172" t="str">
        <f>IFERROR(VLOOKUP(T_BilanSocial[[#This Row],[NumL]],T_TraitDi[#Data],COLUMN(T_TraitDi[[#This Row],[Colonne10]]),FALSE),"")</f>
        <v/>
      </c>
      <c r="AR13" s="172" t="e">
        <f>IF(VLOOKUP(T_BilanSocial[[#This Row],[NumL]],T_TraitDi[#Data],COLUMN(T_TraitDi[[#This Row],[Colonne11]]),FALSE)=0,"",TEXT(IFERROR(VLOOKUP(T_BilanSocial[[#This Row],[NumL]],T_TraitDi[#Data],COLUMN(T_TraitDi[[#This Row],[Colonne11]]),FALSE),""),"[hh]:mm"))</f>
        <v>#N/A</v>
      </c>
      <c r="AS13" s="172" t="e">
        <f>IF(VLOOKUP(T_BilanSocial[[#This Row],[NumL]],T_TraitDi[#Data],COLUMN(T_TraitDi[[#This Row],[Colonne12]]),FALSE)=0,"",TEXT(IFERROR(VLOOKUP(T_BilanSocial[[#This Row],[NumL]],T_TraitDi[#Data],COLUMN(T_TraitDi[[#This Row],[Colonne12]]),FALSE),""),"[hh]:mm"))</f>
        <v>#N/A</v>
      </c>
      <c r="AT13" s="172" t="e">
        <f>IF(VLOOKUP(T_BilanSocial[[#This Row],[NumL]],T_TraitDi[#Data],COLUMN(T_TraitDi[[#This Row],[Colonne14]]),FALSE)=0,"",TEXT(IFERROR(VLOOKUP(T_BilanSocial[[#This Row],[NumL]],T_TraitDi[#Data],COLUMN(T_TraitDi[[#This Row],[Colonne14]]),FALSE),""),"[hh]:mm"))</f>
        <v>#N/A</v>
      </c>
      <c r="AU13" s="172" t="str">
        <f>IFERROR(VLOOKUP(T_BilanSocial[[#This Row],[NumL]],T_TraitDi[#Data],COLUMN(T_TraitDi[[#This Row],[Mercredi]]),FALSE),"")</f>
        <v/>
      </c>
      <c r="AV13" s="172" t="e">
        <f>IF(VLOOKUP(T_BilanSocial[[#This Row],[NumL]],T_TraitDi[#Data],COLUMN(T_TraitDi[[#This Row],[Colonne15]]),FALSE)=0,"",TEXT(IFERROR(VLOOKUP(T_BilanSocial[[#This Row],[NumL]],T_TraitDi[#Data],COLUMN(T_TraitDi[[#This Row],[Colonne15]]),FALSE),""),"[hh]:mm"))</f>
        <v>#N/A</v>
      </c>
      <c r="AW13" s="172" t="e">
        <f>IF(VLOOKUP(T_BilanSocial[[#This Row],[NumL]],T_TraitDi[#Data],COLUMN(T_TraitDi[[#This Row],[Colonne16]]),FALSE)=0,"",TEXT(IFERROR(VLOOKUP(T_BilanSocial[[#This Row],[NumL]],T_TraitDi[#Data],COLUMN(T_TraitDi[[#This Row],[Colonne16]]),FALSE),""),"[hh]:mm"))</f>
        <v>#N/A</v>
      </c>
      <c r="AX13" s="172" t="str">
        <f>IFERROR(VLOOKUP(T_BilanSocial[[#This Row],[NumL]],T_TraitDi[#Data],COLUMN(T_TraitDi[[#This Row],[Colonne17]]),FALSE),"")</f>
        <v/>
      </c>
      <c r="AY13" s="172" t="e">
        <f>IF(VLOOKUP(T_BilanSocial[[#This Row],[NumL]],T_TraitDi[#Data],COLUMN(T_TraitDi[[#This Row],[Colonne18]]),FALSE)=0,"",TEXT(IFERROR(VLOOKUP(T_BilanSocial[[#This Row],[NumL]],T_TraitDi[#Data],COLUMN(T_TraitDi[[#This Row],[Colonne18]]),FALSE),""),"[hh]:mm"))</f>
        <v>#N/A</v>
      </c>
      <c r="AZ13" s="172" t="e">
        <f>IF(VLOOKUP(T_BilanSocial[[#This Row],[NumL]],T_TraitDi[#Data],COLUMN(T_TraitDi[[#This Row],[Colonne19]]),FALSE)=0,"",TEXT(IFERROR(VLOOKUP(T_BilanSocial[[#This Row],[NumL]],T_TraitDi[#Data],COLUMN(T_TraitDi[[#This Row],[Colonne19]]),FALSE),""),"[hh]:mm"))</f>
        <v>#N/A</v>
      </c>
      <c r="BA13" s="172" t="e">
        <f>IF(VLOOKUP(T_BilanSocial[[#This Row],[NumL]],T_TraitDi[#Data],COLUMN(T_TraitDi[[#This Row],[Colonne20]]),FALSE)=0,"",TEXT(IFERROR(VLOOKUP(T_BilanSocial[[#This Row],[NumL]],T_TraitDi[#Data],COLUMN(T_TraitDi[[#This Row],[Colonne20]]),FALSE),""),"[hh]:mm"))</f>
        <v>#N/A</v>
      </c>
      <c r="BB13" s="178" t="str">
        <f>IFERROR(VLOOKUP(T_BilanSocial[[#This Row],[NumL]],T_TraitDi[#Data],COLUMN(T_TraitDi[[#This Row],[Jeudi]]),FALSE),"")</f>
        <v/>
      </c>
      <c r="BC13" s="178" t="e">
        <f>IF(VLOOKUP(T_BilanSocial[[#This Row],[NumL]],T_TraitDi[#Data],COLUMN(T_TraitDi[[#This Row],[Colonne21]]),FALSE)=0,"",TEXT(IFERROR(VLOOKUP(T_BilanSocial[[#This Row],[NumL]],T_TraitDi[#Data],COLUMN(T_TraitDi[[#This Row],[Colonne21]]),FALSE),""),"[hh]:mm"))</f>
        <v>#N/A</v>
      </c>
      <c r="BD13" s="178" t="e">
        <f>IF(VLOOKUP(T_BilanSocial[[#This Row],[NumL]],T_TraitDi[#Data],COLUMN(T_TraitDi[[#This Row],[Colonne22]]),FALSE)=0,"",TEXT(IFERROR(VLOOKUP(T_BilanSocial[[#This Row],[NumL]],T_TraitDi[#Data],COLUMN(T_TraitDi[[#This Row],[Colonne22]]),FALSE),""),"[hh]:mm"))</f>
        <v>#N/A</v>
      </c>
      <c r="BE13" s="178" t="str">
        <f>IFERROR(VLOOKUP(T_BilanSocial[[#This Row],[NumL]],T_TraitDi[#Data],COLUMN(T_TraitDi[[#This Row],[Colonne23]]),FALSE),"")</f>
        <v/>
      </c>
      <c r="BF13" s="178" t="e">
        <f>IF(VLOOKUP(T_BilanSocial[[#This Row],[NumL]],T_TraitDi[#Data],COLUMN(T_TraitDi[[#This Row],[Colonne24]]),FALSE)=0,"",TEXT(IFERROR(VLOOKUP(T_BilanSocial[[#This Row],[NumL]],T_TraitDi[#Data],COLUMN(T_TraitDi[[#This Row],[Colonne24]]),FALSE),""),"[hh]:mm"))</f>
        <v>#N/A</v>
      </c>
      <c r="BG13" s="178" t="e">
        <f>IF(VLOOKUP(T_BilanSocial[[#This Row],[NumL]],T_TraitDi[#Data],COLUMN(T_TraitDi[[#This Row],[Colonne25]]),FALSE)=0,"",TEXT(IFERROR(VLOOKUP(T_BilanSocial[[#This Row],[NumL]],T_TraitDi[#Data],COLUMN(T_TraitDi[[#This Row],[Colonne25]]),FALSE),""),"[hh]:mm"))</f>
        <v>#N/A</v>
      </c>
      <c r="BH13" s="178" t="e">
        <f>IF(VLOOKUP(T_BilanSocial[[#This Row],[NumL]],T_TraitDi[#Data],COLUMN(T_TraitDi[[#This Row],[Colonne26]]),FALSE)=0,"",TEXT(IFERROR(VLOOKUP(T_BilanSocial[[#This Row],[NumL]],T_TraitDi[#Data],COLUMN(T_TraitDi[[#This Row],[Colonne26]]),FALSE),""),"[hh]:mm"))</f>
        <v>#N/A</v>
      </c>
      <c r="BI13" s="172" t="str">
        <f>IFERROR(VLOOKUP(T_BilanSocial[[#This Row],[NumL]],T_TraitDi[#Data],COLUMN(T_TraitDi[[#This Row],[Vendredi]]),FALSE),"")</f>
        <v/>
      </c>
      <c r="BJ13" s="172" t="e">
        <f>IF(VLOOKUP(T_BilanSocial[[#This Row],[NumL]],T_TraitDi[#Data],COLUMN(T_TraitDi[[#This Row],[Colonne27]]),FALSE)=0,"",TEXT(IFERROR(VLOOKUP(T_BilanSocial[[#This Row],[NumL]],T_TraitDi[#Data],COLUMN(T_TraitDi[[#This Row],[Colonne27]]),FALSE),""),"[hh]:mm"))</f>
        <v>#N/A</v>
      </c>
      <c r="BK13" s="172" t="e">
        <f>IF(VLOOKUP(T_BilanSocial[[#This Row],[NumL]],T_TraitDi[#Data],COLUMN(T_TraitDi[[#This Row],[Colonne28]]),FALSE)=0,"",TEXT(IFERROR(VLOOKUP(T_BilanSocial[[#This Row],[NumL]],T_TraitDi[#Data],COLUMN(T_TraitDi[[#This Row],[Colonne28]]),FALSE),""),"[hh]:mm"))</f>
        <v>#N/A</v>
      </c>
      <c r="BL13" s="172" t="str">
        <f>IFERROR(VLOOKUP(T_BilanSocial[[#This Row],[NumL]],T_TraitDi[#Data],COLUMN(T_TraitDi[[#This Row],[Colonne29]]),FALSE),"")</f>
        <v/>
      </c>
      <c r="BM13" s="172" t="e">
        <f>IF(VLOOKUP(T_BilanSocial[[#This Row],[NumL]],T_TraitDi[#Data],COLUMN(T_TraitDi[[#This Row],[Colonne30]]),FALSE)=0,"",TEXT(IFERROR(VLOOKUP(T_BilanSocial[[#This Row],[NumL]],T_TraitDi[#Data],COLUMN(T_TraitDi[[#This Row],[Colonne30]]),FALSE),""),"[hh]:mm"))</f>
        <v>#N/A</v>
      </c>
      <c r="BN13" s="172" t="e">
        <f>IF(VLOOKUP(T_BilanSocial[[#This Row],[NumL]],T_TraitDi[#Data],COLUMN(T_TraitDi[[#This Row],[Colonne31]]),FALSE)=0,"",TEXT(IFERROR(VLOOKUP(T_BilanSocial[[#This Row],[NumL]],T_TraitDi[#Data],COLUMN(T_TraitDi[[#This Row],[Colonne31]]),FALSE),""),"[hh]:mm"))</f>
        <v>#N/A</v>
      </c>
      <c r="BO13" s="172" t="e">
        <f>IF(VLOOKUP(T_BilanSocial[[#This Row],[NumL]],T_TraitDi[#Data],COLUMN(T_TraitDi[[#This Row],[Colonne32]]),FALSE)=0,"",TEXT(IFERROR(VLOOKUP(T_BilanSocial[[#This Row],[NumL]],T_TraitDi[#Data],COLUMN(T_TraitDi[[#This Row],[Colonne32]]),FALSE),""),"[hh]:mm"))</f>
        <v>#N/A</v>
      </c>
      <c r="BP13" s="172" t="e">
        <f>VLOOKUP(T_BilanSocial[[#This Row],[NumL]],T_TraitDi[#Data],COLUMN(T_TraitDi[NbJTot]),FALSE)</f>
        <v>#N/A</v>
      </c>
      <c r="BQ13" s="174" t="str">
        <f>IFERROR(VLOOKUP(T_BilanSocial[[#This Row],[NumL]],T_TraitDi[#Data],COLUMN(T_TraitDi[[#This Row],[NbJTW]]),FALSE),"")</f>
        <v/>
      </c>
      <c r="BR13" s="174" t="e">
        <f>IF(VLOOKUP(T_BilanSocial[[#This Row],[NumL]],T_TraitDi[#Data],COLUMN(T_TraitDi[[#This Row],[NbhTW]]),FALSE)=0,"",TEXT(IFERROR(VLOOKUP(T_BilanSocial[[#This Row],[NumL]],T_TraitDi[#Data],COLUMN(T_TraitDi[[#This Row],[NbhTW]]),FALSE),""),"[hh]:mm"))</f>
        <v>#N/A</v>
      </c>
      <c r="BS13" s="174" t="e">
        <f>IF(VLOOKUP(T_BilanSocial[[#This Row],[NumL]],T_TraitDi[#Data],COLUMN(T_TraitDi[[#This Row],[Nbhheb]]),FALSE)=0,"",TEXT(IFERROR(VLOOKUP($A13,T_TraitDi[#Data],COLUMN(T_TraitDi[[#This Row],[Nbhheb]]),FALSE),""),"[hh]:mm"))</f>
        <v>#N/A</v>
      </c>
      <c r="BT13" s="182" t="str">
        <f>IFERROR(VLOOKUP(VLOOKUP($A13,T_TraitDi[#Data],COLUMN(T_TraitDi[[#This Row],[Type1]]),FALSE),TypeTW,2,FALSE),"")</f>
        <v/>
      </c>
      <c r="BU13" s="182" t="str">
        <f>IFERROR(VLOOKUP($A13,T_TraitDi[#Data],COLUMN(T_TraitDi[[#This Row],[Rue1]]),FALSE),"")</f>
        <v/>
      </c>
      <c r="BV13" s="173" t="str">
        <f>IFERROR(VLOOKUP($A13,T_TraitDi[#Data],COLUMN(T_TraitDi[[#This Row],[CP1]]),FALSE),"")</f>
        <v/>
      </c>
      <c r="BW13" s="173" t="str">
        <f>IFERROR(VLOOKUP($A13,T_TraitDi[#Data],COLUMN(T_TraitDi[[#This Row],[VILLE1]]),FALSE),"")</f>
        <v/>
      </c>
      <c r="BX13" s="182" t="str">
        <f>IFERROR(VLOOKUP(VLOOKUP($A13,T_TraitDi[#Data],COLUMN(T_TraitDi[[#This Row],[Type2]]),FALSE),TypeTW,2,FALSE),"")</f>
        <v/>
      </c>
      <c r="BY13" s="182" t="str">
        <f>IFERROR(VLOOKUP($A13,T_TraitDi[#Data],COLUMN(T_TraitDi[[#This Row],[Rue2]]),FALSE),"")</f>
        <v/>
      </c>
      <c r="BZ13" s="173" t="str">
        <f>IFERROR(VLOOKUP($A13,T_TraitDi[#Data],COLUMN(T_TraitDi[[#This Row],[CP2]]),FALSE),"")</f>
        <v/>
      </c>
      <c r="CA13" s="173" t="str">
        <f>IFERROR(VLOOKUP($A13,T_TraitDi[#Data],COLUMN(T_TraitDi[[#This Row],[VILLE2]]),FALSE),"")</f>
        <v/>
      </c>
      <c r="CB13" s="182" t="str">
        <f>IF(VLOOKUP(T_BilanSocial[[#This Row],[NumL]],T_Equipement[#Data],COLUMN(T_Equipement[[#This Row],[PC]]),FALSE)="","Aucun équipement spécifique directement lié au télétravail",VLOOKUP(T_BilanSocial[[#This Row],[NumL]],T_Equipement[#Data],COLUMN(T_Equipement[[#This Row],[PC]]),FALSE))</f>
        <v xml:space="preserve">18-028	</v>
      </c>
      <c r="CC13" s="166" t="str">
        <f>IFERROR(IF(VLOOKUP(T_BilanSocial[[#This Row],[NumL]],T_TraitDi[#Data],COLUMN(T_TraitDi[[#This Row],[Plan]]),FALSE)="OK","Un planning spécifique de télétravail est annexé à la présente convention.",""),"")</f>
        <v/>
      </c>
      <c r="CD13" s="259" t="s">
        <v>3445</v>
      </c>
      <c r="CE13" s="164" t="e">
        <f>IF(VLOOKUP(T_BilanSocial[[#This Row],[NumL]],T_suiviDi[#Data],COLUMN(T_suiviDi[[#This Row],[Entité]]),FALSE)="","",VLOOKUP(T_BilanSocial[[#This Row],[NumL]],T_suiviDi[#Data],COLUMN(T_suiviDi[[#This Row],[Entité]]),FALSE))</f>
        <v>#N/A</v>
      </c>
      <c r="CF13" s="164" t="str">
        <f>IF(VLOOKUP(T_BilanSocial[[#This Row],[NumL]],T_Commission[#Data],COLUMN(T_Commission[[#This Row],[envoi confirm TW]]),FALSE)="","",VLOOKUP(T_BilanSocial[[#This Row],[NumL]],T_Commission[#Data],COLUMN(T_Commission[[#This Row],[envoi confirm TW]]),FALSE))</f>
        <v>Oui</v>
      </c>
      <c r="CG1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 s="262" t="str">
        <f>T_BilanSocial[[#This Row],[Nom]]&amp;T_BilanSocial[[#This Row],[Prenom]]</f>
        <v/>
      </c>
      <c r="CI13" s="262">
        <f>VLOOKUP(T_BilanSocial[[#This Row],[NumL]],T_Commission[#Data],COLUMN(T_Commission[Commentaire]),FALSE)</f>
        <v>0</v>
      </c>
      <c r="CJ13" s="262" t="str">
        <f>IF(VLOOKUP(T_BilanSocial[[#This Row],[NumL]],T_Commission[#Data],COLUMN(T_Commission[Encadrant Email]),FALSE)="","",VLOOKUP(T_BilanSocial[[#This Row],[NumL]],T_Commission[#Data],COLUMN(T_Commission[Encadrant Email]),FALSE))</f>
        <v/>
      </c>
      <c r="CK13" s="340" t="str">
        <f>IF(T_BilanSocial[[#This Row],[Final]]&lt;&gt;"",VLOOKUP(T_BilanSocial[[#This Row],[NumL]],T_suiviDi[#Data],COLUMN((T_suiviDi[Statut])),FALSE),"")</f>
        <v/>
      </c>
    </row>
    <row r="14" spans="1:89" s="106" customFormat="1" ht="24.75" customHeight="1" x14ac:dyDescent="0.25">
      <c r="A14" s="160">
        <v>11</v>
      </c>
      <c r="B14" s="161" t="str">
        <f t="shared" si="0"/>
        <v/>
      </c>
      <c r="C14" s="162" t="s">
        <v>173</v>
      </c>
      <c r="D14" s="95" t="e">
        <f>IF(VLOOKUP(T_BilanSocial[[#This Row],[NumL]],T_TraitDi[#Data],COLUMN(T_TraitDi[[#This Row],[WebC]]),FALSE)="","",VLOOKUP(T_BilanSocial[[#This Row],[NumL]],T_TraitDi[#Data],COLUMN(T_TraitDi[[#This Row],[WebC]]),FALSE))</f>
        <v>#N/A</v>
      </c>
      <c r="E14" s="174" t="str">
        <f t="shared" si="1"/>
        <v>12 janvier 2021</v>
      </c>
      <c r="F14" s="96" t="str">
        <f>IF(T_BilanSocial[[#This Row],[Final]]&lt;&gt;"",VLOOKUP(T_BilanSocial[[#This Row],[NumL]],T_suiviDi[#Data],COLUMN((T_suiviDi[Civ.])),FALSE),"")</f>
        <v/>
      </c>
      <c r="G14" s="96" t="str">
        <f>IF(T_BilanSocial[[#This Row],[Final]]&lt;&gt;"",VLOOKUP(T_BilanSocial[[#This Row],[NumL]],T_suiviDi[#Data],COLUMN((T_suiviDi[Nom])),FALSE),"")</f>
        <v/>
      </c>
      <c r="H14" s="96" t="str">
        <f>IF(T_BilanSocial[[#This Row],[Final]]&lt;&gt;"",VLOOKUP(T_BilanSocial[[#This Row],[NumL]],T_suiviDi[#Data],COLUMN((T_suiviDi[Prénom])),FALSE),"")</f>
        <v/>
      </c>
      <c r="I14" s="96" t="str">
        <f>IFERROR(VLOOKUP(T_BilanSocial[[#This Row],[Zone_Bilan]],T_P_BilanSocial[#Data],COLUMN(T_P_BilanSocial[[#This Row],[Numero_SIHAM]]),FALSE),"")</f>
        <v/>
      </c>
      <c r="J14" s="96" t="str">
        <f>IFERROR(VLOOKUP(T_BilanSocial[[#This Row],[Zone_Bilan]],T_P_BilanSocial[#Data],COLUMN(T_P_BilanSocial[[#This Row],[Sexe]]),FALSE),"")</f>
        <v/>
      </c>
      <c r="K14" s="97" t="str">
        <f>IFERROR(VLOOKUP(T_BilanSocial[[#This Row],[Zone_Bilan]],T_P_BilanSocial[#Data],COLUMN(T_P_BilanSocial[[#This Row],[Categorie]]),FALSE),"")</f>
        <v/>
      </c>
      <c r="L14" s="96" t="str">
        <f>IFERROR(VLOOKUP(T_BilanSocial[[#This Row],[Zone_Bilan]],T_P_BilanSocial[#Data],COLUMN(T_P_BilanSocial[[#This Row],[Statut]]),FALSE),"")</f>
        <v/>
      </c>
      <c r="M14" s="96" t="str">
        <f>IFERROR(VLOOKUP(T_BilanSocial[[#This Row],[Zone_Bilan]],T_P_BilanSocial[#Data],COLUMN(T_P_BilanSocial[[#This Row],[Filiere]]),FALSE),"")</f>
        <v/>
      </c>
      <c r="N14" s="96" t="e">
        <f>VLOOKUP(T_BilanSocial[[#This Row],[NumL]],T_TraitDi[#Data],COLUMN(T_TraitDi[EXP]),FALSE)</f>
        <v>#N/A</v>
      </c>
      <c r="O14" s="96" t="e">
        <f>VLOOKUP(T_BilanSocial[[#This Row],[NumL]],T_TraitDi[#Data],COLUMN(T_TraitDi[FORM]),FALSE)</f>
        <v>#N/A</v>
      </c>
      <c r="P14" s="96" t="str">
        <f>IF(T_BilanSocial[[#This Row],[Final]]&lt;&gt;"",VLOOKUP(T_BilanSocial[[#This Row],[NumL]],T_suiviDi[#Data],COLUMN((T_suiviDi[Email])),FALSE),"")</f>
        <v/>
      </c>
      <c r="Q14" s="164" t="e">
        <f>IF(VLOOKUP(T_BilanSocial[[#This Row],[NumL]],T_suiviDi[#Data],COLUMN(T_suiviDi[[#This Row],[Fonction]]),FALSE)="","",VLOOKUP(T_BilanSocial[[#This Row],[NumL]],T_suiviDi[#Data],COLUMN(T_suiviDi[[#This Row],[Fonction]]),FALSE))</f>
        <v>#N/A</v>
      </c>
      <c r="R14" s="164" t="e">
        <f>IF(VLOOKUP(T_BilanSocial[[#This Row],[NumL]],T_suiviDi[#Data],COLUMN(T_suiviDi[[#This Row],[Grade]]),FALSE)="","",VLOOKUP(T_BilanSocial[[#This Row],[NumL]],T_suiviDi[#Data],COLUMN(T_suiviDi[[#This Row],[Grade]]),FALSE))</f>
        <v>#N/A</v>
      </c>
      <c r="S14" s="164" t="e">
        <f>IF(VLOOKUP(T_BilanSocial[[#This Row],[NumL]],T_suiviDi[#Data],COLUMN(T_suiviDi[[#This Row],[Service ]]),FALSE)="","",VLOOKUP(T_BilanSocial[[#This Row],[NumL]],T_suiviDi[#Data],COLUMN(T_suiviDi[[#This Row],[Service ]]),FALSE))</f>
        <v>#N/A</v>
      </c>
      <c r="T14" s="176" t="str">
        <f t="shared" si="2"/>
        <v>01 septembre 2021</v>
      </c>
      <c r="U14" s="176" t="str">
        <f t="shared" si="3"/>
        <v>30 novembre 2021</v>
      </c>
      <c r="V14" s="164" t="str">
        <f t="shared" si="6"/>
        <v>30 novembre 2021</v>
      </c>
      <c r="W14" s="176" t="e">
        <f>IF(VLOOKUP(T_BilanSocial[[#This Row],[NumL]],T_TraitDi[#Data],COLUMN(T_TraitDi[[#This Row],[M1]]),FALSE)="","",VLOOKUP(T_BilanSocial[[#This Row],[NumL]],T_TraitDi[#Data],COLUMN(T_TraitDi[[#This Row],[M1]]),FALSE))</f>
        <v>#N/A</v>
      </c>
      <c r="X14" s="176" t="e">
        <f>IF(VLOOKUP(T_BilanSocial[[#This Row],[NumL]],T_TraitDi[#Data],COLUMN(T_TraitDi[[#This Row],[M2]]),FALSE)="","",VLOOKUP(T_BilanSocial[[#This Row],[NumL]],T_TraitDi[#Data],COLUMN(T_TraitDi[[#This Row],[M2]]),FALSE))</f>
        <v>#N/A</v>
      </c>
      <c r="Y14" s="176" t="e">
        <f>IF(VLOOKUP(T_BilanSocial[[#This Row],[NumL]],T_TraitDi[#Data],COLUMN(T_TraitDi[[#This Row],[M3]]),FALSE)="","",VLOOKUP(T_BilanSocial[[#This Row],[NumL]],T_TraitDi[#Data],COLUMN(T_TraitDi[[#This Row],[M3]]),FALSE))</f>
        <v>#N/A</v>
      </c>
      <c r="Z14" s="176" t="str">
        <f t="shared" si="5"/>
        <v/>
      </c>
      <c r="AA14" s="176" t="e">
        <f>IF(VLOOKUP(T_BilanSocial[[#This Row],[NumL]],T_TraitDi[#Data],COLUMN(T_TraitDi[[#This Row],[M5]]),FALSE)="","",VLOOKUP(T_BilanSocial[[#This Row],[NumL]],T_TraitDi[#Data],COLUMN(T_TraitDi[[#This Row],[M5]]),FALSE))</f>
        <v>#N/A</v>
      </c>
      <c r="AB14" s="176" t="e">
        <f>IF(VLOOKUP(T_BilanSocial[[#This Row],[NumL]],T_TraitDi[#Data],COLUMN(T_TraitDi[[#This Row],[M6]]),FALSE)="","",VLOOKUP(T_BilanSocial[[#This Row],[NumL]],T_TraitDi[#Data],COLUMN(T_TraitDi[[#This Row],[M6]]),FALSE))</f>
        <v>#N/A</v>
      </c>
      <c r="AC14" s="177" t="e">
        <f t="shared" si="4"/>
        <v>#N/A</v>
      </c>
      <c r="AD14" s="188" t="str">
        <f>IFERROR(TEXT(VLOOKUP(T_BilanSocial[[#This Row],[NumL]],T_TraitDi[#Data],COLUMN(T_TraitDi[[#This Row],[Q2]]),FALSE),"###%"),"")</f>
        <v/>
      </c>
      <c r="AE14" s="97" t="e">
        <f>VLOOKUP(T_BilanSocial[[#This Row],[NumL]],T_TraitDi[#Data],COLUMN(T_TraitDi[[#This Row],[Reg Ponct]]),FALSE)</f>
        <v>#N/A</v>
      </c>
      <c r="AF14" s="97" t="e">
        <f>VLOOKUP(T_BilanSocial[NumL],T_TraitDi[#Data],COLUMN(T_TraitDi[[#This Row],[Jours flottants]]),FALSE)</f>
        <v>#N/A</v>
      </c>
      <c r="AG14" s="97" t="str">
        <f>IFERROR(VLOOKUP(T_BilanSocial[[#This Row],[NumL]],T_TraitDi[#Data],COLUMN(T_TraitDi[[#This Row],[Lundi]]),FALSE),"")</f>
        <v/>
      </c>
      <c r="AH14" s="172" t="e">
        <f>IF(VLOOKUP(T_BilanSocial[[#This Row],[NumL]],T_TraitDi[#Data],COLUMN(T_TraitDi[[#This Row],[Colonne3]]),FALSE)=0,"",TEXT(IFERROR(VLOOKUP(T_BilanSocial[[#This Row],[NumL]],T_TraitDi[#Data],COLUMN(T_TraitDi[[#This Row],[Colonne3]]),FALSE),""),"[hh]:mm"))</f>
        <v>#N/A</v>
      </c>
      <c r="AI14" s="172" t="e">
        <f>IF(VLOOKUP(T_BilanSocial[[#This Row],[NumL]],T_TraitDi[#Data],COLUMN(T_TraitDi[[#This Row],[Colonne4]]),FALSE)=0,"",TEXT(IFERROR(VLOOKUP(T_BilanSocial[[#This Row],[NumL]],T_TraitDi[#Data],COLUMN(T_TraitDi[[#This Row],[Colonne4]]),FALSE),""),"[hh]:mm"))</f>
        <v>#N/A</v>
      </c>
      <c r="AJ14" s="172" t="e">
        <f>IF(VLOOKUP(T_BilanSocial[[#This Row],[NumL]],T_TraitDi[#Data],COLUMN(T_TraitDi[[#This Row],[Colonne5]]),FALSE)=0,"",TEXT(IFERROR(VLOOKUP(T_BilanSocial[[#This Row],[NumL]],T_TraitDi[#Data],COLUMN(T_TraitDi[[#This Row],[Colonne5]]),FALSE),""),"[hh]:mm"))</f>
        <v>#N/A</v>
      </c>
      <c r="AK14" s="172" t="e">
        <f>IF(VLOOKUP(T_BilanSocial[[#This Row],[NumL]],T_TraitDi[#Data],COLUMN(T_TraitDi[[#This Row],[Colonne6]]),FALSE)=0,"",TEXT(IFERROR(VLOOKUP(T_BilanSocial[[#This Row],[NumL]],T_TraitDi[#Data],COLUMN(T_TraitDi[[#This Row],[Colonne6]]),FALSE),""),"[hh]:mm"))</f>
        <v>#N/A</v>
      </c>
      <c r="AL14" s="172" t="e">
        <f>IF(VLOOKUP(T_BilanSocial[[#This Row],[NumL]],T_TraitDi[#Data],COLUMN(T_TraitDi[[#This Row],[Colonne7]]),FALSE)=0,"",TEXT(IFERROR(VLOOKUP(T_BilanSocial[[#This Row],[NumL]],T_TraitDi[#Data],COLUMN(T_TraitDi[[#This Row],[Colonne7]]),FALSE),""),"[hh]:mm"))</f>
        <v>#N/A</v>
      </c>
      <c r="AM14" s="172" t="e">
        <f>IF(VLOOKUP(T_BilanSocial[[#This Row],[NumL]],T_TraitDi[#Data],COLUMN(T_TraitDi[[#This Row],[Colonne8]]),FALSE)=0,"",TEXT(IFERROR(VLOOKUP(T_BilanSocial[[#This Row],[NumL]],T_TraitDi[#Data],COLUMN(T_TraitDi[[#This Row],[Colonne8]]),FALSE),""),"[hh]:mm"))</f>
        <v>#N/A</v>
      </c>
      <c r="AN14" s="172" t="str">
        <f>IFERROR(VLOOKUP(T_BilanSocial[[#This Row],[NumL]],T_TraitDi[#Data],COLUMN(T_TraitDi[[#This Row],[Mardi]]),FALSE),"")</f>
        <v/>
      </c>
      <c r="AO14" s="172" t="e">
        <f>IF(VLOOKUP(T_BilanSocial[[#This Row],[NumL]],T_TraitDi[#Data],COLUMN(T_TraitDi[[#This Row],[Colonne1]]),FALSE)=0,"",TEXT(IFERROR(VLOOKUP(T_BilanSocial[[#This Row],[NumL]],T_TraitDi[#Data],COLUMN(T_TraitDi[[#This Row],[Colonne1]]),FALSE),""),"[hh]:mm"))</f>
        <v>#N/A</v>
      </c>
      <c r="AP14" s="172" t="e">
        <f>IF(VLOOKUP(T_BilanSocial[[#This Row],[NumL]],T_TraitDi[#Data],COLUMN(T_TraitDi[[#This Row],[Colonne9]]),FALSE)=0,"",TEXT(IFERROR(VLOOKUP(T_BilanSocial[[#This Row],[NumL]],T_TraitDi[#Data],COLUMN(T_TraitDi[[#This Row],[Colonne9]]),FALSE),""),"[hh]:mm"))</f>
        <v>#N/A</v>
      </c>
      <c r="AQ14" s="172" t="str">
        <f>IFERROR(VLOOKUP(T_BilanSocial[[#This Row],[NumL]],T_TraitDi[#Data],COLUMN(T_TraitDi[[#This Row],[Colonne10]]),FALSE),"")</f>
        <v/>
      </c>
      <c r="AR14" s="172" t="e">
        <f>IF(VLOOKUP(T_BilanSocial[[#This Row],[NumL]],T_TraitDi[#Data],COLUMN(T_TraitDi[[#This Row],[Colonne11]]),FALSE)=0,"",TEXT(IFERROR(VLOOKUP(T_BilanSocial[[#This Row],[NumL]],T_TraitDi[#Data],COLUMN(T_TraitDi[[#This Row],[Colonne11]]),FALSE),""),"[hh]:mm"))</f>
        <v>#N/A</v>
      </c>
      <c r="AS14" s="172" t="e">
        <f>IF(VLOOKUP(T_BilanSocial[[#This Row],[NumL]],T_TraitDi[#Data],COLUMN(T_TraitDi[[#This Row],[Colonne12]]),FALSE)=0,"",TEXT(IFERROR(VLOOKUP(T_BilanSocial[[#This Row],[NumL]],T_TraitDi[#Data],COLUMN(T_TraitDi[[#This Row],[Colonne12]]),FALSE),""),"[hh]:mm"))</f>
        <v>#N/A</v>
      </c>
      <c r="AT14" s="172" t="e">
        <f>IF(VLOOKUP(T_BilanSocial[[#This Row],[NumL]],T_TraitDi[#Data],COLUMN(T_TraitDi[[#This Row],[Colonne14]]),FALSE)=0,"",TEXT(IFERROR(VLOOKUP(T_BilanSocial[[#This Row],[NumL]],T_TraitDi[#Data],COLUMN(T_TraitDi[[#This Row],[Colonne14]]),FALSE),""),"[hh]:mm"))</f>
        <v>#N/A</v>
      </c>
      <c r="AU14" s="172" t="str">
        <f>IFERROR(VLOOKUP(T_BilanSocial[[#This Row],[NumL]],T_TraitDi[#Data],COLUMN(T_TraitDi[[#This Row],[Mercredi]]),FALSE),"")</f>
        <v/>
      </c>
      <c r="AV14" s="172" t="e">
        <f>IF(VLOOKUP(T_BilanSocial[[#This Row],[NumL]],T_TraitDi[#Data],COLUMN(T_TraitDi[[#This Row],[Colonne15]]),FALSE)=0,"",TEXT(IFERROR(VLOOKUP(T_BilanSocial[[#This Row],[NumL]],T_TraitDi[#Data],COLUMN(T_TraitDi[[#This Row],[Colonne15]]),FALSE),""),"[hh]:mm"))</f>
        <v>#N/A</v>
      </c>
      <c r="AW14" s="172" t="e">
        <f>IF(VLOOKUP(T_BilanSocial[[#This Row],[NumL]],T_TraitDi[#Data],COLUMN(T_TraitDi[[#This Row],[Colonne16]]),FALSE)=0,"",TEXT(IFERROR(VLOOKUP(T_BilanSocial[[#This Row],[NumL]],T_TraitDi[#Data],COLUMN(T_TraitDi[[#This Row],[Colonne16]]),FALSE),""),"[hh]:mm"))</f>
        <v>#N/A</v>
      </c>
      <c r="AX14" s="172" t="str">
        <f>IFERROR(VLOOKUP(T_BilanSocial[[#This Row],[NumL]],T_TraitDi[#Data],COLUMN(T_TraitDi[[#This Row],[Colonne17]]),FALSE),"")</f>
        <v/>
      </c>
      <c r="AY14" s="172" t="e">
        <f>IF(VLOOKUP(T_BilanSocial[[#This Row],[NumL]],T_TraitDi[#Data],COLUMN(T_TraitDi[[#This Row],[Colonne18]]),FALSE)=0,"",TEXT(IFERROR(VLOOKUP(T_BilanSocial[[#This Row],[NumL]],T_TraitDi[#Data],COLUMN(T_TraitDi[[#This Row],[Colonne18]]),FALSE),""),"[hh]:mm"))</f>
        <v>#N/A</v>
      </c>
      <c r="AZ14" s="172" t="e">
        <f>IF(VLOOKUP(T_BilanSocial[[#This Row],[NumL]],T_TraitDi[#Data],COLUMN(T_TraitDi[[#This Row],[Colonne19]]),FALSE)=0,"",TEXT(IFERROR(VLOOKUP(T_BilanSocial[[#This Row],[NumL]],T_TraitDi[#Data],COLUMN(T_TraitDi[[#This Row],[Colonne19]]),FALSE),""),"[hh]:mm"))</f>
        <v>#N/A</v>
      </c>
      <c r="BA14" s="172" t="e">
        <f>IF(VLOOKUP(T_BilanSocial[[#This Row],[NumL]],T_TraitDi[#Data],COLUMN(T_TraitDi[[#This Row],[Colonne20]]),FALSE)=0,"",TEXT(IFERROR(VLOOKUP(T_BilanSocial[[#This Row],[NumL]],T_TraitDi[#Data],COLUMN(T_TraitDi[[#This Row],[Colonne20]]),FALSE),""),"[hh]:mm"))</f>
        <v>#N/A</v>
      </c>
      <c r="BB14" s="178" t="str">
        <f>IFERROR(VLOOKUP(T_BilanSocial[[#This Row],[NumL]],T_TraitDi[#Data],COLUMN(T_TraitDi[[#This Row],[Jeudi]]),FALSE),"")</f>
        <v/>
      </c>
      <c r="BC14" s="178" t="e">
        <f>IF(VLOOKUP(T_BilanSocial[[#This Row],[NumL]],T_TraitDi[#Data],COLUMN(T_TraitDi[[#This Row],[Colonne21]]),FALSE)=0,"",TEXT(IFERROR(VLOOKUP(T_BilanSocial[[#This Row],[NumL]],T_TraitDi[#Data],COLUMN(T_TraitDi[[#This Row],[Colonne21]]),FALSE),""),"[hh]:mm"))</f>
        <v>#N/A</v>
      </c>
      <c r="BD14" s="178" t="e">
        <f>IF(VLOOKUP(T_BilanSocial[[#This Row],[NumL]],T_TraitDi[#Data],COLUMN(T_TraitDi[[#This Row],[Colonne22]]),FALSE)=0,"",TEXT(IFERROR(VLOOKUP(T_BilanSocial[[#This Row],[NumL]],T_TraitDi[#Data],COLUMN(T_TraitDi[[#This Row],[Colonne22]]),FALSE),""),"[hh]:mm"))</f>
        <v>#N/A</v>
      </c>
      <c r="BE14" s="178" t="str">
        <f>IFERROR(VLOOKUP(T_BilanSocial[[#This Row],[NumL]],T_TraitDi[#Data],COLUMN(T_TraitDi[[#This Row],[Colonne23]]),FALSE),"")</f>
        <v/>
      </c>
      <c r="BF14" s="178" t="e">
        <f>IF(VLOOKUP(T_BilanSocial[[#This Row],[NumL]],T_TraitDi[#Data],COLUMN(T_TraitDi[[#This Row],[Colonne24]]),FALSE)=0,"",TEXT(IFERROR(VLOOKUP(T_BilanSocial[[#This Row],[NumL]],T_TraitDi[#Data],COLUMN(T_TraitDi[[#This Row],[Colonne24]]),FALSE),""),"[hh]:mm"))</f>
        <v>#N/A</v>
      </c>
      <c r="BG14" s="178" t="e">
        <f>IF(VLOOKUP(T_BilanSocial[[#This Row],[NumL]],T_TraitDi[#Data],COLUMN(T_TraitDi[[#This Row],[Colonne25]]),FALSE)=0,"",TEXT(IFERROR(VLOOKUP(T_BilanSocial[[#This Row],[NumL]],T_TraitDi[#Data],COLUMN(T_TraitDi[[#This Row],[Colonne25]]),FALSE),""),"[hh]:mm"))</f>
        <v>#N/A</v>
      </c>
      <c r="BH14" s="178" t="e">
        <f>IF(VLOOKUP(T_BilanSocial[[#This Row],[NumL]],T_TraitDi[#Data],COLUMN(T_TraitDi[[#This Row],[Colonne26]]),FALSE)=0,"",TEXT(IFERROR(VLOOKUP(T_BilanSocial[[#This Row],[NumL]],T_TraitDi[#Data],COLUMN(T_TraitDi[[#This Row],[Colonne26]]),FALSE),""),"[hh]:mm"))</f>
        <v>#N/A</v>
      </c>
      <c r="BI14" s="172" t="str">
        <f>IFERROR(VLOOKUP(T_BilanSocial[[#This Row],[NumL]],T_TraitDi[#Data],COLUMN(T_TraitDi[[#This Row],[Vendredi]]),FALSE),"")</f>
        <v/>
      </c>
      <c r="BJ14" s="172" t="e">
        <f>IF(VLOOKUP(T_BilanSocial[[#This Row],[NumL]],T_TraitDi[#Data],COLUMN(T_TraitDi[[#This Row],[Colonne27]]),FALSE)=0,"",TEXT(IFERROR(VLOOKUP(T_BilanSocial[[#This Row],[NumL]],T_TraitDi[#Data],COLUMN(T_TraitDi[[#This Row],[Colonne27]]),FALSE),""),"[hh]:mm"))</f>
        <v>#N/A</v>
      </c>
      <c r="BK14" s="172" t="e">
        <f>IF(VLOOKUP(T_BilanSocial[[#This Row],[NumL]],T_TraitDi[#Data],COLUMN(T_TraitDi[[#This Row],[Colonne28]]),FALSE)=0,"",TEXT(IFERROR(VLOOKUP(T_BilanSocial[[#This Row],[NumL]],T_TraitDi[#Data],COLUMN(T_TraitDi[[#This Row],[Colonne28]]),FALSE),""),"[hh]:mm"))</f>
        <v>#N/A</v>
      </c>
      <c r="BL14" s="172" t="str">
        <f>IFERROR(VLOOKUP(T_BilanSocial[[#This Row],[NumL]],T_TraitDi[#Data],COLUMN(T_TraitDi[[#This Row],[Colonne29]]),FALSE),"")</f>
        <v/>
      </c>
      <c r="BM14" s="172" t="e">
        <f>IF(VLOOKUP(T_BilanSocial[[#This Row],[NumL]],T_TraitDi[#Data],COLUMN(T_TraitDi[[#This Row],[Colonne30]]),FALSE)=0,"",TEXT(IFERROR(VLOOKUP(T_BilanSocial[[#This Row],[NumL]],T_TraitDi[#Data],COLUMN(T_TraitDi[[#This Row],[Colonne30]]),FALSE),""),"[hh]:mm"))</f>
        <v>#N/A</v>
      </c>
      <c r="BN14" s="172" t="e">
        <f>IF(VLOOKUP(T_BilanSocial[[#This Row],[NumL]],T_TraitDi[#Data],COLUMN(T_TraitDi[[#This Row],[Colonne31]]),FALSE)=0,"",TEXT(IFERROR(VLOOKUP(T_BilanSocial[[#This Row],[NumL]],T_TraitDi[#Data],COLUMN(T_TraitDi[[#This Row],[Colonne31]]),FALSE),""),"[hh]:mm"))</f>
        <v>#N/A</v>
      </c>
      <c r="BO14" s="172" t="e">
        <f>IF(VLOOKUP(T_BilanSocial[[#This Row],[NumL]],T_TraitDi[#Data],COLUMN(T_TraitDi[[#This Row],[Colonne32]]),FALSE)=0,"",TEXT(IFERROR(VLOOKUP(T_BilanSocial[[#This Row],[NumL]],T_TraitDi[#Data],COLUMN(T_TraitDi[[#This Row],[Colonne32]]),FALSE),""),"[hh]:mm"))</f>
        <v>#N/A</v>
      </c>
      <c r="BP14" s="172" t="e">
        <f>VLOOKUP(T_BilanSocial[[#This Row],[NumL]],T_TraitDi[#Data],COLUMN(T_TraitDi[NbJTot]),FALSE)</f>
        <v>#N/A</v>
      </c>
      <c r="BQ14" s="174" t="str">
        <f>IFERROR(VLOOKUP(T_BilanSocial[[#This Row],[NumL]],T_TraitDi[#Data],COLUMN(T_TraitDi[[#This Row],[NbJTW]]),FALSE),"")</f>
        <v/>
      </c>
      <c r="BR14" s="174" t="e">
        <f>IF(VLOOKUP(T_BilanSocial[[#This Row],[NumL]],T_TraitDi[#Data],COLUMN(T_TraitDi[[#This Row],[NbhTW]]),FALSE)=0,"",TEXT(IFERROR(VLOOKUP(T_BilanSocial[[#This Row],[NumL]],T_TraitDi[#Data],COLUMN(T_TraitDi[[#This Row],[NbhTW]]),FALSE),""),"[hh]:mm"))</f>
        <v>#N/A</v>
      </c>
      <c r="BS14" s="174" t="e">
        <f>IF(VLOOKUP(T_BilanSocial[[#This Row],[NumL]],T_TraitDi[#Data],COLUMN(T_TraitDi[[#This Row],[Nbhheb]]),FALSE)=0,"",TEXT(IFERROR(VLOOKUP($A14,T_TraitDi[#Data],COLUMN(T_TraitDi[[#This Row],[Nbhheb]]),FALSE),""),"[hh]:mm"))</f>
        <v>#N/A</v>
      </c>
      <c r="BT14" s="182" t="str">
        <f>IFERROR(VLOOKUP(VLOOKUP($A14,T_TraitDi[#Data],COLUMN(T_TraitDi[[#This Row],[Type1]]),FALSE),TypeTW,2,FALSE),"")</f>
        <v/>
      </c>
      <c r="BU14" s="182" t="str">
        <f>IFERROR(VLOOKUP($A14,T_TraitDi[#Data],COLUMN(T_TraitDi[[#This Row],[Rue1]]),FALSE),"")</f>
        <v/>
      </c>
      <c r="BV14" s="173" t="str">
        <f>IFERROR(VLOOKUP($A14,T_TraitDi[#Data],COLUMN(T_TraitDi[[#This Row],[CP1]]),FALSE),"")</f>
        <v/>
      </c>
      <c r="BW14" s="173" t="str">
        <f>IFERROR(VLOOKUP($A14,T_TraitDi[#Data],COLUMN(T_TraitDi[[#This Row],[VILLE1]]),FALSE),"")</f>
        <v/>
      </c>
      <c r="BX14" s="182" t="str">
        <f>IFERROR(VLOOKUP(VLOOKUP($A14,T_TraitDi[#Data],COLUMN(T_TraitDi[[#This Row],[Type2]]),FALSE),TypeTW,2,FALSE),"")</f>
        <v/>
      </c>
      <c r="BY14" s="182" t="str">
        <f>IFERROR(VLOOKUP($A14,T_TraitDi[#Data],COLUMN(T_TraitDi[[#This Row],[Rue2]]),FALSE),"")</f>
        <v/>
      </c>
      <c r="BZ14" s="173" t="str">
        <f>IFERROR(VLOOKUP($A14,T_TraitDi[#Data],COLUMN(T_TraitDi[[#This Row],[CP2]]),FALSE),"")</f>
        <v/>
      </c>
      <c r="CA14" s="173" t="str">
        <f>IFERROR(VLOOKUP($A14,T_TraitDi[#Data],COLUMN(T_TraitDi[[#This Row],[VILLE2]]),FALSE),"")</f>
        <v/>
      </c>
      <c r="CB14" s="182" t="str">
        <f>IF(VLOOKUP(T_BilanSocial[[#This Row],[NumL]],T_Equipement[#Data],COLUMN(T_Equipement[[#This Row],[PC]]),FALSE)="","Aucun équipement spécifique directement lié au télétravail",VLOOKUP(T_BilanSocial[[#This Row],[NumL]],T_Equipement[#Data],COLUMN(T_Equipement[[#This Row],[PC]]),FALSE))</f>
        <v xml:space="preserve">19-007	</v>
      </c>
      <c r="CC14" s="166" t="str">
        <f>IFERROR(IF(VLOOKUP(T_BilanSocial[[#This Row],[NumL]],T_TraitDi[#Data],COLUMN(T_TraitDi[[#This Row],[Plan]]),FALSE)="OK","Un planning spécifique de télétravail est annexé à la présente convention.",""),"")</f>
        <v/>
      </c>
      <c r="CD14" s="259" t="s">
        <v>3325</v>
      </c>
      <c r="CE14" s="164" t="e">
        <f>IF(VLOOKUP(T_BilanSocial[[#This Row],[NumL]],T_suiviDi[#Data],COLUMN(T_suiviDi[[#This Row],[Entité]]),FALSE)="","",VLOOKUP(T_BilanSocial[[#This Row],[NumL]],T_suiviDi[#Data],COLUMN(T_suiviDi[[#This Row],[Entité]]),FALSE))</f>
        <v>#N/A</v>
      </c>
      <c r="CF14" s="164" t="str">
        <f>IF(VLOOKUP(T_BilanSocial[[#This Row],[NumL]],T_Commission[#Data],COLUMN(T_Commission[[#This Row],[envoi confirm TW]]),FALSE)="","",VLOOKUP(T_BilanSocial[[#This Row],[NumL]],T_Commission[#Data],COLUMN(T_Commission[[#This Row],[envoi confirm TW]]),FALSE))</f>
        <v>Oui</v>
      </c>
      <c r="CG1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 s="262" t="str">
        <f>T_BilanSocial[[#This Row],[Nom]]&amp;T_BilanSocial[[#This Row],[Prenom]]</f>
        <v/>
      </c>
      <c r="CI14" s="262">
        <f>VLOOKUP(T_BilanSocial[[#This Row],[NumL]],T_Commission[#Data],COLUMN(T_Commission[Commentaire]),FALSE)</f>
        <v>0</v>
      </c>
      <c r="CJ14" s="262" t="str">
        <f>IF(VLOOKUP(T_BilanSocial[[#This Row],[NumL]],T_Commission[#Data],COLUMN(T_Commission[Encadrant Email]),FALSE)="","",VLOOKUP(T_BilanSocial[[#This Row],[NumL]],T_Commission[#Data],COLUMN(T_Commission[Encadrant Email]),FALSE))</f>
        <v/>
      </c>
      <c r="CK14" s="340" t="str">
        <f>IF(T_BilanSocial[[#This Row],[Final]]&lt;&gt;"",VLOOKUP(T_BilanSocial[[#This Row],[NumL]],T_suiviDi[#Data],COLUMN((T_suiviDi[Statut])),FALSE),"")</f>
        <v/>
      </c>
    </row>
    <row r="15" spans="1:89" s="106" customFormat="1" ht="24.75" customHeight="1" x14ac:dyDescent="0.25">
      <c r="A15" s="160">
        <v>12</v>
      </c>
      <c r="B15" s="161">
        <f t="shared" si="0"/>
        <v>1</v>
      </c>
      <c r="C15" s="162" t="s">
        <v>173</v>
      </c>
      <c r="D15" s="95" t="str">
        <f>IF(VLOOKUP(T_BilanSocial[[#This Row],[NumL]],T_TraitDi[#Data],COLUMN(T_TraitDi[[#This Row],[WebC]]),FALSE)="","",VLOOKUP(T_BilanSocial[[#This Row],[NumL]],T_TraitDi[#Data],COLUMN(T_TraitDi[[#This Row],[WebC]]),FALSE))</f>
        <v>WG</v>
      </c>
      <c r="E15" s="174" t="str">
        <f t="shared" si="1"/>
        <v>12 janvier 2021</v>
      </c>
      <c r="F15" s="96" t="str">
        <f>IF(T_BilanSocial[[#This Row],[Final]]&lt;&gt;"",VLOOKUP(T_BilanSocial[[#This Row],[NumL]],T_suiviDi[#Data],COLUMN((T_suiviDi[Civ.])),FALSE),"")</f>
        <v>M.</v>
      </c>
      <c r="G15" s="96" t="str">
        <f>IF(T_BilanSocial[[#This Row],[Final]]&lt;&gt;"",VLOOKUP(T_BilanSocial[[#This Row],[NumL]],T_suiviDi[#Data],COLUMN((T_suiviDi[Nom])),FALSE),"")</f>
        <v>A</v>
      </c>
      <c r="H15" s="96" t="str">
        <f>IF(T_BilanSocial[[#This Row],[Final]]&lt;&gt;"",VLOOKUP(T_BilanSocial[[#This Row],[NumL]],T_suiviDi[#Data],COLUMN((T_suiviDi[Prénom])),FALSE),"")</f>
        <v>Manuel</v>
      </c>
      <c r="I15" s="96" t="str">
        <f>IFERROR(VLOOKUP(T_BilanSocial[[#This Row],[Zone_Bilan]],T_P_BilanSocial[#Data],COLUMN(T_P_BilanSocial[[#This Row],[Numero_SIHAM]]),FALSE),"")</f>
        <v/>
      </c>
      <c r="J15" s="96" t="str">
        <f>IFERROR(VLOOKUP(T_BilanSocial[[#This Row],[Zone_Bilan]],T_P_BilanSocial[#Data],COLUMN(T_P_BilanSocial[[#This Row],[Sexe]]),FALSE),"")</f>
        <v/>
      </c>
      <c r="K15" s="97" t="str">
        <f>IFERROR(VLOOKUP(T_BilanSocial[[#This Row],[Zone_Bilan]],T_P_BilanSocial[#Data],COLUMN(T_P_BilanSocial[[#This Row],[Categorie]]),FALSE),"")</f>
        <v/>
      </c>
      <c r="L15" s="96" t="str">
        <f>IFERROR(VLOOKUP(T_BilanSocial[[#This Row],[Zone_Bilan]],T_P_BilanSocial[#Data],COLUMN(T_P_BilanSocial[[#This Row],[Statut]]),FALSE),"")</f>
        <v/>
      </c>
      <c r="M15" s="96" t="str">
        <f>IFERROR(VLOOKUP(T_BilanSocial[[#This Row],[Zone_Bilan]],T_P_BilanSocial[#Data],COLUMN(T_P_BilanSocial[[#This Row],[Filiere]]),FALSE),"")</f>
        <v/>
      </c>
      <c r="N15" s="96" t="str">
        <f>VLOOKUP(T_BilanSocial[[#This Row],[NumL]],T_TraitDi[#Data],COLUMN(T_TraitDi[EXP]),FALSE)</f>
        <v>N</v>
      </c>
      <c r="O15" s="96" t="str">
        <f>VLOOKUP(T_BilanSocial[[#This Row],[NumL]],T_TraitDi[#Data],COLUMN(T_TraitDi[FORM]),FALSE)</f>
        <v>N</v>
      </c>
      <c r="P15" s="96">
        <f>IF(T_BilanSocial[[#This Row],[Final]]&lt;&gt;"",VLOOKUP(T_BilanSocial[[#This Row],[NumL]],T_suiviDi[#Data],COLUMN((T_suiviDi[Email])),FALSE),"")</f>
        <v>0</v>
      </c>
      <c r="Q15" s="164" t="str">
        <f>IF(VLOOKUP(T_BilanSocial[[#This Row],[NumL]],T_suiviDi[#Data],COLUMN(T_suiviDi[[#This Row],[Fonction]]),FALSE)="","",VLOOKUP(T_BilanSocial[[#This Row],[NumL]],T_suiviDi[#Data],COLUMN(T_suiviDi[[#This Row],[Fonction]]),FALSE))</f>
        <v>Technicien audiovisuel</v>
      </c>
      <c r="R15" s="164" t="str">
        <f>IF(VLOOKUP(T_BilanSocial[[#This Row],[NumL]],T_suiviDi[#Data],COLUMN(T_suiviDi[[#This Row],[Grade]]),FALSE)="","",VLOOKUP(T_BilanSocial[[#This Row],[NumL]],T_suiviDi[#Data],COLUMN(T_suiviDi[[#This Row],[Grade]]),FALSE))</f>
        <v>Technicien Rf</v>
      </c>
      <c r="S15" s="164" t="str">
        <f>IF(VLOOKUP(T_BilanSocial[[#This Row],[NumL]],T_suiviDi[#Data],COLUMN(T_suiviDi[[#This Row],[Service ]]),FALSE)="","",VLOOKUP(T_BilanSocial[[#This Row],[NumL]],T_suiviDi[#Data],COLUMN(T_suiviDi[[#This Row],[Service ]]),FALSE))</f>
        <v>PAPN</v>
      </c>
      <c r="T15" s="176" t="str">
        <f t="shared" si="2"/>
        <v>01 septembre 2021</v>
      </c>
      <c r="U15" s="176" t="str">
        <f t="shared" si="3"/>
        <v>30 novembre 2021</v>
      </c>
      <c r="V15" s="164" t="str">
        <f t="shared" si="6"/>
        <v>30 novembre 2021</v>
      </c>
      <c r="W15" s="176" t="str">
        <f>IF(VLOOKUP(T_BilanSocial[[#This Row],[NumL]],T_TraitDi[#Data],COLUMN(T_TraitDi[[#This Row],[M1]]),FALSE)="","",VLOOKUP(T_BilanSocial[[#This Row],[NumL]],T_TraitDi[#Data],COLUMN(T_TraitDi[[#This Row],[M1]]),FALSE))</f>
        <v>Gestion de la WebTV de Lyon 3</v>
      </c>
      <c r="X15" s="176" t="str">
        <f>IF(VLOOKUP(T_BilanSocial[[#This Row],[NumL]],T_TraitDi[#Data],COLUMN(T_TraitDi[[#This Row],[M2]]),FALSE)="","",VLOOKUP(T_BilanSocial[[#This Row],[NumL]],T_TraitDi[#Data],COLUMN(T_TraitDi[[#This Row],[M2]]),FALSE))</f>
        <v xml:space="preserve">Montage audiovisuel </v>
      </c>
      <c r="Y15" s="176" t="str">
        <f>IF(VLOOKUP(T_BilanSocial[[#This Row],[NumL]],T_TraitDi[#Data],COLUMN(T_TraitDi[[#This Row],[M3]]),FALSE)="","",VLOOKUP(T_BilanSocial[[#This Row],[NumL]],T_TraitDi[#Data],COLUMN(T_TraitDi[[#This Row],[M3]]),FALSE))</f>
        <v>Gestion de la plateforme Moodle</v>
      </c>
      <c r="Z15" s="176" t="str">
        <f t="shared" si="5"/>
        <v xml:space="preserve"> -Gestion de la plateforme Moodle</v>
      </c>
      <c r="AA15" s="176" t="str">
        <f>IF(VLOOKUP(T_BilanSocial[[#This Row],[NumL]],T_TraitDi[#Data],COLUMN(T_TraitDi[[#This Row],[M5]]),FALSE)="","",VLOOKUP(T_BilanSocial[[#This Row],[NumL]],T_TraitDi[#Data],COLUMN(T_TraitDi[[#This Row],[M5]]),FALSE))</f>
        <v/>
      </c>
      <c r="AB15" s="176" t="str">
        <f>IF(VLOOKUP(T_BilanSocial[[#This Row],[NumL]],T_TraitDi[#Data],COLUMN(T_TraitDi[[#This Row],[M6]]),FALSE)="","",VLOOKUP(T_BilanSocial[[#This Row],[NumL]],T_TraitDi[#Data],COLUMN(T_TraitDi[[#This Row],[M6]]),FALSE))</f>
        <v/>
      </c>
      <c r="AC15" s="176" t="str">
        <f t="shared" si="4"/>
        <v>Gestion de la WebTV de Lyon 3Montage audiovisuel Gestion de la plateforme Moodle -Gestion de la plateforme Moodle</v>
      </c>
      <c r="AD15" s="188" t="str">
        <f>IFERROR(TEXT(VLOOKUP(T_BilanSocial[[#This Row],[NumL]],T_TraitDi[#Data],COLUMN(T_TraitDi[[#This Row],[Q2]]),FALSE),"###%"),"")</f>
        <v>100%</v>
      </c>
      <c r="AE15" s="97" t="str">
        <f>VLOOKUP(T_BilanSocial[[#This Row],[NumL]],T_TraitDi[#Data],COLUMN(T_TraitDi[[#This Row],[Reg Ponct]]),FALSE)</f>
        <v>R</v>
      </c>
      <c r="AF15" s="97">
        <f>VLOOKUP(T_BilanSocial[NumL],T_TraitDi[#Data],COLUMN(T_TraitDi[[#This Row],[Jours flottants]]),FALSE)</f>
        <v>10</v>
      </c>
      <c r="AG15" s="97" t="str">
        <f>IFERROR(VLOOKUP(T_BilanSocial[[#This Row],[NumL]],T_TraitDi[#Data],COLUMN(T_TraitDi[[#This Row],[Lundi]]),FALSE),"")</f>
        <v>S</v>
      </c>
      <c r="AH15" s="172" t="str">
        <f>IF(VLOOKUP(T_BilanSocial[[#This Row],[NumL]],T_TraitDi[#Data],COLUMN(T_TraitDi[[#This Row],[Colonne3]]),FALSE)=0,"",TEXT(IFERROR(VLOOKUP(T_BilanSocial[[#This Row],[NumL]],T_TraitDi[#Data],COLUMN(T_TraitDi[[#This Row],[Colonne3]]),FALSE),""),"[hh]:mm"))</f>
        <v>07:45</v>
      </c>
      <c r="AI15" s="172" t="str">
        <f>IF(VLOOKUP(T_BilanSocial[[#This Row],[NumL]],T_TraitDi[#Data],COLUMN(T_TraitDi[[#This Row],[Colonne4]]),FALSE)=0,"",TEXT(IFERROR(VLOOKUP(T_BilanSocial[[#This Row],[NumL]],T_TraitDi[#Data],COLUMN(T_TraitDi[[#This Row],[Colonne4]]),FALSE),""),"[hh]:mm"))</f>
        <v>12:00</v>
      </c>
      <c r="AJ15" s="172" t="str">
        <f>IF(VLOOKUP(T_BilanSocial[[#This Row],[NumL]],T_TraitDi[#Data],COLUMN(T_TraitDi[[#This Row],[Colonne5]]),FALSE)=0,"",TEXT(IFERROR(VLOOKUP(T_BilanSocial[[#This Row],[NumL]],T_TraitDi[#Data],COLUMN(T_TraitDi[[#This Row],[Colonne5]]),FALSE),""),"[hh]:mm"))</f>
        <v>S</v>
      </c>
      <c r="AK15" s="172" t="str">
        <f>IF(VLOOKUP(T_BilanSocial[[#This Row],[NumL]],T_TraitDi[#Data],COLUMN(T_TraitDi[[#This Row],[Colonne6]]),FALSE)=0,"",TEXT(IFERROR(VLOOKUP(T_BilanSocial[[#This Row],[NumL]],T_TraitDi[#Data],COLUMN(T_TraitDi[[#This Row],[Colonne6]]),FALSE),""),"[hh]:mm"))</f>
        <v>13:00</v>
      </c>
      <c r="AL15" s="172" t="str">
        <f>IF(VLOOKUP(T_BilanSocial[[#This Row],[NumL]],T_TraitDi[#Data],COLUMN(T_TraitDi[[#This Row],[Colonne7]]),FALSE)=0,"",TEXT(IFERROR(VLOOKUP(T_BilanSocial[[#This Row],[NumL]],T_TraitDi[#Data],COLUMN(T_TraitDi[[#This Row],[Colonne7]]),FALSE),""),"[hh]:mm"))</f>
        <v>16:15</v>
      </c>
      <c r="AM15" s="172" t="str">
        <f>IF(VLOOKUP(T_BilanSocial[[#This Row],[NumL]],T_TraitDi[#Data],COLUMN(T_TraitDi[[#This Row],[Colonne8]]),FALSE)=0,"",TEXT(IFERROR(VLOOKUP(T_BilanSocial[[#This Row],[NumL]],T_TraitDi[#Data],COLUMN(T_TraitDi[[#This Row],[Colonne8]]),FALSE),""),"[hh]:mm"))</f>
        <v>07:30</v>
      </c>
      <c r="AN15" s="172" t="str">
        <f>IFERROR(VLOOKUP(T_BilanSocial[[#This Row],[NumL]],T_TraitDi[#Data],COLUMN(T_TraitDi[[#This Row],[Mardi]]),FALSE),"")</f>
        <v>T</v>
      </c>
      <c r="AO15" s="172" t="str">
        <f>IF(VLOOKUP(T_BilanSocial[[#This Row],[NumL]],T_TraitDi[#Data],COLUMN(T_TraitDi[[#This Row],[Colonne1]]),FALSE)=0,"",TEXT(IFERROR(VLOOKUP(T_BilanSocial[[#This Row],[NumL]],T_TraitDi[#Data],COLUMN(T_TraitDi[[#This Row],[Colonne1]]),FALSE),""),"[hh]:mm"))</f>
        <v>07:30</v>
      </c>
      <c r="AP15" s="172" t="str">
        <f>IF(VLOOKUP(T_BilanSocial[[#This Row],[NumL]],T_TraitDi[#Data],COLUMN(T_TraitDi[[#This Row],[Colonne9]]),FALSE)=0,"",TEXT(IFERROR(VLOOKUP(T_BilanSocial[[#This Row],[NumL]],T_TraitDi[#Data],COLUMN(T_TraitDi[[#This Row],[Colonne9]]),FALSE),""),"[hh]:mm"))</f>
        <v>12:00</v>
      </c>
      <c r="AQ15" s="172" t="str">
        <f>IFERROR(VLOOKUP(T_BilanSocial[[#This Row],[NumL]],T_TraitDi[#Data],COLUMN(T_TraitDi[[#This Row],[Colonne10]]),FALSE),"")</f>
        <v>T</v>
      </c>
      <c r="AR15" s="172" t="str">
        <f>IF(VLOOKUP(T_BilanSocial[[#This Row],[NumL]],T_TraitDi[#Data],COLUMN(T_TraitDi[[#This Row],[Colonne11]]),FALSE)=0,"",TEXT(IFERROR(VLOOKUP(T_BilanSocial[[#This Row],[NumL]],T_TraitDi[#Data],COLUMN(T_TraitDi[[#This Row],[Colonne11]]),FALSE),""),"[hh]:mm"))</f>
        <v>13:00</v>
      </c>
      <c r="AS15" s="172" t="str">
        <f>IF(VLOOKUP(T_BilanSocial[[#This Row],[NumL]],T_TraitDi[#Data],COLUMN(T_TraitDi[[#This Row],[Colonne12]]),FALSE)=0,"",TEXT(IFERROR(VLOOKUP(T_BilanSocial[[#This Row],[NumL]],T_TraitDi[#Data],COLUMN(T_TraitDi[[#This Row],[Colonne12]]),FALSE),""),"[hh]:mm"))</f>
        <v>16:00</v>
      </c>
      <c r="AT15" s="172" t="str">
        <f>IF(VLOOKUP(T_BilanSocial[[#This Row],[NumL]],T_TraitDi[#Data],COLUMN(T_TraitDi[[#This Row],[Colonne14]]),FALSE)=0,"",TEXT(IFERROR(VLOOKUP(T_BilanSocial[[#This Row],[NumL]],T_TraitDi[#Data],COLUMN(T_TraitDi[[#This Row],[Colonne14]]),FALSE),""),"[hh]:mm"))</f>
        <v>07:30</v>
      </c>
      <c r="AU15" s="172" t="str">
        <f>IFERROR(VLOOKUP(T_BilanSocial[[#This Row],[NumL]],T_TraitDi[#Data],COLUMN(T_TraitDi[[#This Row],[Mercredi]]),FALSE),"")</f>
        <v>S</v>
      </c>
      <c r="AV15" s="172" t="str">
        <f>IF(VLOOKUP(T_BilanSocial[[#This Row],[NumL]],T_TraitDi[#Data],COLUMN(T_TraitDi[[#This Row],[Colonne15]]),FALSE)=0,"",TEXT(IFERROR(VLOOKUP(T_BilanSocial[[#This Row],[NumL]],T_TraitDi[#Data],COLUMN(T_TraitDi[[#This Row],[Colonne15]]),FALSE),""),"[hh]:mm"))</f>
        <v>07:30</v>
      </c>
      <c r="AW15" s="172" t="str">
        <f>IF(VLOOKUP(T_BilanSocial[[#This Row],[NumL]],T_TraitDi[#Data],COLUMN(T_TraitDi[[#This Row],[Colonne16]]),FALSE)=0,"",TEXT(IFERROR(VLOOKUP(T_BilanSocial[[#This Row],[NumL]],T_TraitDi[#Data],COLUMN(T_TraitDi[[#This Row],[Colonne16]]),FALSE),""),"[hh]:mm"))</f>
        <v>12:00</v>
      </c>
      <c r="AX15" s="172" t="str">
        <f>IFERROR(VLOOKUP(T_BilanSocial[[#This Row],[NumL]],T_TraitDi[#Data],COLUMN(T_TraitDi[[#This Row],[Colonne17]]),FALSE),"")</f>
        <v>S</v>
      </c>
      <c r="AY15" s="172" t="str">
        <f>IF(VLOOKUP(T_BilanSocial[[#This Row],[NumL]],T_TraitDi[#Data],COLUMN(T_TraitDi[[#This Row],[Colonne18]]),FALSE)=0,"",TEXT(IFERROR(VLOOKUP(T_BilanSocial[[#This Row],[NumL]],T_TraitDi[#Data],COLUMN(T_TraitDi[[#This Row],[Colonne18]]),FALSE),""),"[hh]:mm"))</f>
        <v>13:00</v>
      </c>
      <c r="AZ15" s="172" t="str">
        <f>IF(VLOOKUP(T_BilanSocial[[#This Row],[NumL]],T_TraitDi[#Data],COLUMN(T_TraitDi[[#This Row],[Colonne19]]),FALSE)=0,"",TEXT(IFERROR(VLOOKUP(T_BilanSocial[[#This Row],[NumL]],T_TraitDi[#Data],COLUMN(T_TraitDi[[#This Row],[Colonne19]]),FALSE),""),"[hh]:mm"))</f>
        <v>16:00</v>
      </c>
      <c r="BA15" s="172" t="str">
        <f>IF(VLOOKUP(T_BilanSocial[[#This Row],[NumL]],T_TraitDi[#Data],COLUMN(T_TraitDi[[#This Row],[Colonne20]]),FALSE)=0,"",TEXT(IFERROR(VLOOKUP(T_BilanSocial[[#This Row],[NumL]],T_TraitDi[#Data],COLUMN(T_TraitDi[[#This Row],[Colonne20]]),FALSE),""),"[hh]:mm"))</f>
        <v>07:30</v>
      </c>
      <c r="BB15" s="178" t="str">
        <f>IFERROR(VLOOKUP(T_BilanSocial[[#This Row],[NumL]],T_TraitDi[#Data],COLUMN(T_TraitDi[[#This Row],[Jeudi]]),FALSE),"")</f>
        <v>S</v>
      </c>
      <c r="BC15" s="178" t="str">
        <f>IF(VLOOKUP(T_BilanSocial[[#This Row],[NumL]],T_TraitDi[#Data],COLUMN(T_TraitDi[[#This Row],[Colonne21]]),FALSE)=0,"",TEXT(IFERROR(VLOOKUP(T_BilanSocial[[#This Row],[NumL]],T_TraitDi[#Data],COLUMN(T_TraitDi[[#This Row],[Colonne21]]),FALSE),""),"[hh]:mm"))</f>
        <v>07:30</v>
      </c>
      <c r="BD15" s="178" t="str">
        <f>IF(VLOOKUP(T_BilanSocial[[#This Row],[NumL]],T_TraitDi[#Data],COLUMN(T_TraitDi[[#This Row],[Colonne22]]),FALSE)=0,"",TEXT(IFERROR(VLOOKUP(T_BilanSocial[[#This Row],[NumL]],T_TraitDi[#Data],COLUMN(T_TraitDi[[#This Row],[Colonne22]]),FALSE),""),"[hh]:mm"))</f>
        <v>12:00</v>
      </c>
      <c r="BE15" s="178" t="str">
        <f>IFERROR(VLOOKUP(T_BilanSocial[[#This Row],[NumL]],T_TraitDi[#Data],COLUMN(T_TraitDi[[#This Row],[Colonne23]]),FALSE),"")</f>
        <v>S</v>
      </c>
      <c r="BF15" s="178" t="str">
        <f>IF(VLOOKUP(T_BilanSocial[[#This Row],[NumL]],T_TraitDi[#Data],COLUMN(T_TraitDi[[#This Row],[Colonne24]]),FALSE)=0,"",TEXT(IFERROR(VLOOKUP(T_BilanSocial[[#This Row],[NumL]],T_TraitDi[#Data],COLUMN(T_TraitDi[[#This Row],[Colonne24]]),FALSE),""),"[hh]:mm"))</f>
        <v>13:00</v>
      </c>
      <c r="BG15" s="178" t="str">
        <f>IF(VLOOKUP(T_BilanSocial[[#This Row],[NumL]],T_TraitDi[#Data],COLUMN(T_TraitDi[[#This Row],[Colonne25]]),FALSE)=0,"",TEXT(IFERROR(VLOOKUP(T_BilanSocial[[#This Row],[NumL]],T_TraitDi[#Data],COLUMN(T_TraitDi[[#This Row],[Colonne25]]),FALSE),""),"[hh]:mm"))</f>
        <v>16:00</v>
      </c>
      <c r="BH15" s="178" t="str">
        <f>IF(VLOOKUP(T_BilanSocial[[#This Row],[NumL]],T_TraitDi[#Data],COLUMN(T_TraitDi[[#This Row],[Colonne26]]),FALSE)=0,"",TEXT(IFERROR(VLOOKUP(T_BilanSocial[[#This Row],[NumL]],T_TraitDi[#Data],COLUMN(T_TraitDi[[#This Row],[Colonne26]]),FALSE),""),"[hh]:mm"))</f>
        <v>07:30</v>
      </c>
      <c r="BI15" s="172" t="str">
        <f>IFERROR(VLOOKUP(T_BilanSocial[[#This Row],[NumL]],T_TraitDi[#Data],COLUMN(T_TraitDi[[#This Row],[Vendredi]]),FALSE),"")</f>
        <v>S</v>
      </c>
      <c r="BJ15" s="172" t="str">
        <f>IF(VLOOKUP(T_BilanSocial[[#This Row],[NumL]],T_TraitDi[#Data],COLUMN(T_TraitDi[[#This Row],[Colonne27]]),FALSE)=0,"",TEXT(IFERROR(VLOOKUP(T_BilanSocial[[#This Row],[NumL]],T_TraitDi[#Data],COLUMN(T_TraitDi[[#This Row],[Colonne27]]),FALSE),""),"[hh]:mm"))</f>
        <v>07:55</v>
      </c>
      <c r="BK15" s="172" t="str">
        <f>IF(VLOOKUP(T_BilanSocial[[#This Row],[NumL]],T_TraitDi[#Data],COLUMN(T_TraitDi[[#This Row],[Colonne28]]),FALSE)=0,"",TEXT(IFERROR(VLOOKUP(T_BilanSocial[[#This Row],[NumL]],T_TraitDi[#Data],COLUMN(T_TraitDi[[#This Row],[Colonne28]]),FALSE),""),"[hh]:mm"))</f>
        <v>12:00</v>
      </c>
      <c r="BL15" s="172" t="str">
        <f>IFERROR(VLOOKUP(T_BilanSocial[[#This Row],[NumL]],T_TraitDi[#Data],COLUMN(T_TraitDi[[#This Row],[Colonne29]]),FALSE),"")</f>
        <v>S</v>
      </c>
      <c r="BM15" s="172" t="str">
        <f>IF(VLOOKUP(T_BilanSocial[[#This Row],[NumL]],T_TraitDi[#Data],COLUMN(T_TraitDi[[#This Row],[Colonne30]]),FALSE)=0,"",TEXT(IFERROR(VLOOKUP(T_BilanSocial[[#This Row],[NumL]],T_TraitDi[#Data],COLUMN(T_TraitDi[[#This Row],[Colonne30]]),FALSE),""),"[hh]:mm"))</f>
        <v>13:00</v>
      </c>
      <c r="BN15" s="172" t="str">
        <f>IF(VLOOKUP(T_BilanSocial[[#This Row],[NumL]],T_TraitDi[#Data],COLUMN(T_TraitDi[[#This Row],[Colonne31]]),FALSE)=0,"",TEXT(IFERROR(VLOOKUP(T_BilanSocial[[#This Row],[NumL]],T_TraitDi[#Data],COLUMN(T_TraitDi[[#This Row],[Colonne31]]),FALSE),""),"[hh]:mm"))</f>
        <v>16:00</v>
      </c>
      <c r="BO15" s="172" t="str">
        <f>IF(VLOOKUP(T_BilanSocial[[#This Row],[NumL]],T_TraitDi[#Data],COLUMN(T_TraitDi[[#This Row],[Colonne32]]),FALSE)=0,"",TEXT(IFERROR(VLOOKUP(T_BilanSocial[[#This Row],[NumL]],T_TraitDi[#Data],COLUMN(T_TraitDi[[#This Row],[Colonne32]]),FALSE),""),"[hh]:mm"))</f>
        <v>07:05</v>
      </c>
      <c r="BP15" s="172">
        <f>VLOOKUP(T_BilanSocial[[#This Row],[NumL]],T_TraitDi[#Data],COLUMN(T_TraitDi[NbJTot]),FALSE)</f>
        <v>5</v>
      </c>
      <c r="BQ15" s="174">
        <f>IFERROR(VLOOKUP(T_BilanSocial[[#This Row],[NumL]],T_TraitDi[#Data],COLUMN(T_TraitDi[[#This Row],[NbJTW]]),FALSE),"")</f>
        <v>1</v>
      </c>
      <c r="BR15" s="174" t="str">
        <f>IF(VLOOKUP(T_BilanSocial[[#This Row],[NumL]],T_TraitDi[#Data],COLUMN(T_TraitDi[[#This Row],[NbhTW]]),FALSE)=0,"",TEXT(IFERROR(VLOOKUP(T_BilanSocial[[#This Row],[NumL]],T_TraitDi[#Data],COLUMN(T_TraitDi[[#This Row],[NbhTW]]),FALSE),""),"[hh]:mm"))</f>
        <v>07:30</v>
      </c>
      <c r="BS15" s="174" t="str">
        <f>IF(VLOOKUP(T_BilanSocial[[#This Row],[NumL]],T_TraitDi[#Data],COLUMN(T_TraitDi[[#This Row],[Nbhheb]]),FALSE)=0,"",TEXT(IFERROR(VLOOKUP($A15,T_TraitDi[#Data],COLUMN(T_TraitDi[[#This Row],[Nbhheb]]),FALSE),""),"[hh]:mm"))</f>
        <v>37:05</v>
      </c>
      <c r="BT15" s="182" t="str">
        <f>IFERROR(VLOOKUP(VLOOKUP($A15,T_TraitDi[#Data],COLUMN(T_TraitDi[[#This Row],[Type1]]),FALSE),TypeTW,2,FALSE),"")</f>
        <v>son domicile (lieu de résidence habituelle du télétravailleur)</v>
      </c>
      <c r="BU15" s="182" t="str">
        <f>IFERROR(VLOOKUP($A15,T_TraitDi[#Data],COLUMN(T_TraitDi[[#This Row],[Rue1]]),FALSE),"")</f>
        <v>3 rue des Cerisiers</v>
      </c>
      <c r="BV15" s="173" t="str">
        <f>IFERROR(VLOOKUP($A15,T_TraitDi[#Data],COLUMN(T_TraitDi[[#This Row],[CP1]]),FALSE),"")</f>
        <v>69690</v>
      </c>
      <c r="BW15" s="173" t="str">
        <f>IFERROR(VLOOKUP($A15,T_TraitDi[#Data],COLUMN(T_TraitDi[[#This Row],[VILLE1]]),FALSE),"")</f>
        <v>BRUSSIEU</v>
      </c>
      <c r="BX15" s="182" t="str">
        <f>IFERROR(VLOOKUP(VLOOKUP($A15,T_TraitDi[#Data],COLUMN(T_TraitDi[[#This Row],[Type2]]),FALSE),TypeTW,2,FALSE),"")</f>
        <v/>
      </c>
      <c r="BY15" s="182" t="str">
        <f>IFERROR(VLOOKUP($A15,T_TraitDi[#Data],COLUMN(T_TraitDi[[#This Row],[Rue2]]),FALSE),"")</f>
        <v>Sans objet</v>
      </c>
      <c r="BZ15" s="173" t="str">
        <f>IFERROR(VLOOKUP($A15,T_TraitDi[#Data],COLUMN(T_TraitDi[[#This Row],[CP2]]),FALSE),"")</f>
        <v xml:space="preserve"> </v>
      </c>
      <c r="CA15" s="173" t="str">
        <f>IFERROR(VLOOKUP($A15,T_TraitDi[#Data],COLUMN(T_TraitDi[[#This Row],[VILLE2]]),FALSE),"")</f>
        <v xml:space="preserve">  </v>
      </c>
      <c r="CB15" s="182" t="str">
        <f>IF(VLOOKUP(T_BilanSocial[[#This Row],[NumL]],T_Equipement[#Data],COLUMN(T_Equipement[[#This Row],[PC]]),FALSE)="","Aucun équipement spécifique directement lié au télétravail",VLOOKUP(T_BilanSocial[[#This Row],[NumL]],T_Equipement[#Data],COLUMN(T_Equipement[[#This Row],[PC]]),FALSE))</f>
        <v>19-600</v>
      </c>
      <c r="CC15" s="166" t="str">
        <f>IFERROR(IF(VLOOKUP(T_BilanSocial[[#This Row],[NumL]],T_TraitDi[#Data],COLUMN(T_TraitDi[[#This Row],[Plan]]),FALSE)="OK","Un planning spécifique de télétravail est annexé à la présente convention.",""),"")</f>
        <v/>
      </c>
      <c r="CD15" s="259" t="s">
        <v>3409</v>
      </c>
      <c r="CE15" s="164" t="str">
        <f>IF(VLOOKUP(T_BilanSocial[[#This Row],[NumL]],T_suiviDi[#Data],COLUMN(T_suiviDi[[#This Row],[Entité]]),FALSE)="","",VLOOKUP(T_BilanSocial[[#This Row],[NumL]],T_suiviDi[#Data],COLUMN(T_suiviDi[[#This Row],[Entité]]),FALSE))</f>
        <v>IAE</v>
      </c>
      <c r="CF15" s="164" t="str">
        <f>IF(VLOOKUP(T_BilanSocial[[#This Row],[NumL]],T_Commission[#Data],COLUMN(T_Commission[[#This Row],[envoi confirm TW]]),FALSE)="","",VLOOKUP(T_BilanSocial[[#This Row],[NumL]],T_Commission[#Data],COLUMN(T_Commission[[#This Row],[envoi confirm TW]]),FALSE))</f>
        <v>Oui</v>
      </c>
      <c r="CG1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IAE PAPN</v>
      </c>
      <c r="CH15" s="262" t="str">
        <f>T_BilanSocial[[#This Row],[Nom]]&amp;T_BilanSocial[[#This Row],[Prenom]]</f>
        <v>AManuel</v>
      </c>
      <c r="CI15" s="262">
        <f>VLOOKUP(T_BilanSocial[[#This Row],[NumL]],T_Commission[#Data],COLUMN(T_Commission[Commentaire]),FALSE)</f>
        <v>0</v>
      </c>
      <c r="CJ15" s="262" t="str">
        <f>IF(VLOOKUP(T_BilanSocial[[#This Row],[NumL]],T_Commission[#Data],COLUMN(T_Commission[Encadrant Email]),FALSE)="","",VLOOKUP(T_BilanSocial[[#This Row],[NumL]],T_Commission[#Data],COLUMN(T_Commission[Encadrant Email]),FALSE))</f>
        <v/>
      </c>
      <c r="CK15" s="340" t="str">
        <f>IF(T_BilanSocial[[#This Row],[Final]]&lt;&gt;"",VLOOKUP(T_BilanSocial[[#This Row],[NumL]],T_suiviDi[#Data],COLUMN((T_suiviDi[Statut])),FALSE),"")</f>
        <v>RENVL</v>
      </c>
    </row>
    <row r="16" spans="1:89" s="106" customFormat="1" ht="24.75" customHeight="1" x14ac:dyDescent="0.25">
      <c r="A16" s="160">
        <v>13</v>
      </c>
      <c r="B16" s="161" t="str">
        <f t="shared" si="0"/>
        <v/>
      </c>
      <c r="C16" s="162" t="s">
        <v>3287</v>
      </c>
      <c r="D16" s="95" t="e">
        <f>IF(VLOOKUP(T_BilanSocial[[#This Row],[NumL]],T_TraitDi[#Data],COLUMN(T_TraitDi[[#This Row],[WebC]]),FALSE)="","",VLOOKUP(T_BilanSocial[[#This Row],[NumL]],T_TraitDi[#Data],COLUMN(T_TraitDi[[#This Row],[WebC]]),FALSE))</f>
        <v>#N/A</v>
      </c>
      <c r="E16" s="174" t="str">
        <f t="shared" si="1"/>
        <v>12 janvier 2021</v>
      </c>
      <c r="F16" s="96" t="str">
        <f>IF(T_BilanSocial[[#This Row],[Final]]&lt;&gt;"",VLOOKUP(T_BilanSocial[[#This Row],[NumL]],T_suiviDi[#Data],COLUMN((T_suiviDi[Civ.])),FALSE),"")</f>
        <v/>
      </c>
      <c r="G16" s="96" t="str">
        <f>IF(T_BilanSocial[[#This Row],[Final]]&lt;&gt;"",VLOOKUP(T_BilanSocial[[#This Row],[NumL]],T_suiviDi[#Data],COLUMN((T_suiviDi[Nom])),FALSE),"")</f>
        <v/>
      </c>
      <c r="H16" s="96" t="str">
        <f>IF(T_BilanSocial[[#This Row],[Final]]&lt;&gt;"",VLOOKUP(T_BilanSocial[[#This Row],[NumL]],T_suiviDi[#Data],COLUMN((T_suiviDi[Prénom])),FALSE),"")</f>
        <v/>
      </c>
      <c r="I16" s="96" t="str">
        <f>IFERROR(VLOOKUP(T_BilanSocial[[#This Row],[Zone_Bilan]],T_P_BilanSocial[#Data],COLUMN(T_P_BilanSocial[[#This Row],[Numero_SIHAM]]),FALSE),"")</f>
        <v/>
      </c>
      <c r="J16" s="96" t="str">
        <f>IFERROR(VLOOKUP(T_BilanSocial[[#This Row],[Zone_Bilan]],T_P_BilanSocial[#Data],COLUMN(T_P_BilanSocial[[#This Row],[Sexe]]),FALSE),"")</f>
        <v/>
      </c>
      <c r="K16" s="97" t="str">
        <f>IFERROR(VLOOKUP(T_BilanSocial[[#This Row],[Zone_Bilan]],T_P_BilanSocial[#Data],COLUMN(T_P_BilanSocial[[#This Row],[Categorie]]),FALSE),"")</f>
        <v/>
      </c>
      <c r="L16" s="96" t="str">
        <f>IFERROR(VLOOKUP(T_BilanSocial[[#This Row],[Zone_Bilan]],T_P_BilanSocial[#Data],COLUMN(T_P_BilanSocial[[#This Row],[Statut]]),FALSE),"")</f>
        <v/>
      </c>
      <c r="M16" s="96" t="str">
        <f>IFERROR(VLOOKUP(T_BilanSocial[[#This Row],[Zone_Bilan]],T_P_BilanSocial[#Data],COLUMN(T_P_BilanSocial[[#This Row],[Filiere]]),FALSE),"")</f>
        <v/>
      </c>
      <c r="N16" s="96" t="e">
        <f>VLOOKUP(T_BilanSocial[[#This Row],[NumL]],T_TraitDi[#Data],COLUMN(T_TraitDi[EXP]),FALSE)</f>
        <v>#N/A</v>
      </c>
      <c r="O16" s="96" t="e">
        <f>VLOOKUP(T_BilanSocial[[#This Row],[NumL]],T_TraitDi[#Data],COLUMN(T_TraitDi[FORM]),FALSE)</f>
        <v>#N/A</v>
      </c>
      <c r="P16" s="96" t="str">
        <f>IF(T_BilanSocial[[#This Row],[Final]]&lt;&gt;"",VLOOKUP(T_BilanSocial[[#This Row],[NumL]],T_suiviDi[#Data],COLUMN((T_suiviDi[Email])),FALSE),"")</f>
        <v/>
      </c>
      <c r="Q16" s="164" t="e">
        <f t="shared" ref="Q16:Q79" si="7">IF(VLOOKUP($A16,ListeDI,8,FALSE)="","",VLOOKUP($A16,ListeDI,8,FALSE))</f>
        <v>#N/A</v>
      </c>
      <c r="R16" s="164" t="e">
        <f t="shared" ref="R16:R79" si="8">IF(VLOOKUP($A16,ListeDI,9,FALSE)="","",VLOOKUP($A16,ListeDI,9,FALSE))</f>
        <v>#N/A</v>
      </c>
      <c r="S16" s="164" t="e">
        <f>IF(VLOOKUP(T_BilanSocial[[#This Row],[NumL]],T_suiviDi[#Data],COLUMN(T_suiviDi[[#This Row],[Service ]]),FALSE)="","",VLOOKUP(T_BilanSocial[[#This Row],[NumL]],T_suiviDi[#Data],COLUMN(T_suiviDi[[#This Row],[Service ]]),FALSE))</f>
        <v>#N/A</v>
      </c>
      <c r="T16" s="176" t="str">
        <f t="shared" si="2"/>
        <v>01 septembre 2021</v>
      </c>
      <c r="U16" s="176" t="str">
        <f t="shared" si="3"/>
        <v>30 novembre 2021</v>
      </c>
      <c r="V16" s="164" t="str">
        <f t="shared" si="6"/>
        <v>30 novembre 2021</v>
      </c>
      <c r="W16" s="176" t="e">
        <f>IF(VLOOKUP(T_BilanSocial[[#This Row],[NumL]],T_TraitDi[#Data],COLUMN(T_TraitDi[[#This Row],[M1]]),FALSE)="","",VLOOKUP(T_BilanSocial[[#This Row],[NumL]],T_TraitDi[#Data],COLUMN(T_TraitDi[[#This Row],[M1]]),FALSE))</f>
        <v>#N/A</v>
      </c>
      <c r="X16" s="176" t="e">
        <f>IF(VLOOKUP(T_BilanSocial[[#This Row],[NumL]],T_TraitDi[#Data],COLUMN(T_TraitDi[[#This Row],[M2]]),FALSE)="","",VLOOKUP(T_BilanSocial[[#This Row],[NumL]],T_TraitDi[#Data],COLUMN(T_TraitDi[[#This Row],[M2]]),FALSE))</f>
        <v>#N/A</v>
      </c>
      <c r="Y16" s="176" t="e">
        <f>IF(VLOOKUP(T_BilanSocial[[#This Row],[NumL]],T_TraitDi[#Data],COLUMN(T_TraitDi[[#This Row],[M3]]),FALSE)="","",VLOOKUP(T_BilanSocial[[#This Row],[NumL]],T_TraitDi[#Data],COLUMN(T_TraitDi[[#This Row],[M3]]),FALSE))</f>
        <v>#N/A</v>
      </c>
      <c r="Z16" s="176" t="str">
        <f t="shared" si="5"/>
        <v/>
      </c>
      <c r="AA16" s="176" t="e">
        <f>IF(VLOOKUP(T_BilanSocial[[#This Row],[NumL]],T_TraitDi[#Data],COLUMN(T_TraitDi[[#This Row],[M5]]),FALSE)="","",VLOOKUP(T_BilanSocial[[#This Row],[NumL]],T_TraitDi[#Data],COLUMN(T_TraitDi[[#This Row],[M5]]),FALSE))</f>
        <v>#N/A</v>
      </c>
      <c r="AB16" s="176" t="e">
        <f>IF(VLOOKUP(T_BilanSocial[[#This Row],[NumL]],T_TraitDi[#Data],COLUMN(T_TraitDi[[#This Row],[M6]]),FALSE)="","",VLOOKUP(T_BilanSocial[[#This Row],[NumL]],T_TraitDi[#Data],COLUMN(T_TraitDi[[#This Row],[M6]]),FALSE))</f>
        <v>#N/A</v>
      </c>
      <c r="AC16" s="176" t="e">
        <f t="shared" si="4"/>
        <v>#N/A</v>
      </c>
      <c r="AD16" s="188" t="str">
        <f>IFERROR(TEXT(VLOOKUP(T_BilanSocial[[#This Row],[NumL]],T_TraitDi[#Data],COLUMN(T_TraitDi[[#This Row],[Q2]]),FALSE),"###%"),"")</f>
        <v/>
      </c>
      <c r="AE16" s="97" t="e">
        <f>VLOOKUP(T_BilanSocial[[#This Row],[NumL]],T_TraitDi[#Data],COLUMN(T_TraitDi[[#This Row],[Reg Ponct]]),FALSE)</f>
        <v>#N/A</v>
      </c>
      <c r="AF16" s="97" t="e">
        <f>VLOOKUP(T_BilanSocial[NumL],T_TraitDi[#Data],COLUMN(T_TraitDi[[#This Row],[Jours flottants]]),FALSE)</f>
        <v>#N/A</v>
      </c>
      <c r="AG16" s="97" t="str">
        <f>IFERROR(VLOOKUP(T_BilanSocial[[#This Row],[NumL]],T_TraitDi[#Data],COLUMN(T_TraitDi[[#This Row],[Lundi]]),FALSE),"")</f>
        <v/>
      </c>
      <c r="AH16" s="172" t="e">
        <f>IF(VLOOKUP(T_BilanSocial[[#This Row],[NumL]],T_TraitDi[#Data],COLUMN(T_TraitDi[[#This Row],[Colonne3]]),FALSE)=0,"",TEXT(IFERROR(VLOOKUP(T_BilanSocial[[#This Row],[NumL]],T_TraitDi[#Data],COLUMN(T_TraitDi[[#This Row],[Colonne3]]),FALSE),""),"[hh]:mm"))</f>
        <v>#N/A</v>
      </c>
      <c r="AI16" s="172" t="e">
        <f>IF(VLOOKUP(T_BilanSocial[[#This Row],[NumL]],T_TraitDi[#Data],COLUMN(T_TraitDi[[#This Row],[Colonne4]]),FALSE)=0,"",TEXT(IFERROR(VLOOKUP(T_BilanSocial[[#This Row],[NumL]],T_TraitDi[#Data],COLUMN(T_TraitDi[[#This Row],[Colonne4]]),FALSE),""),"[hh]:mm"))</f>
        <v>#N/A</v>
      </c>
      <c r="AJ16" s="172" t="e">
        <f>IF(VLOOKUP(T_BilanSocial[[#This Row],[NumL]],T_TraitDi[#Data],COLUMN(T_TraitDi[[#This Row],[Colonne5]]),FALSE)=0,"",TEXT(IFERROR(VLOOKUP(T_BilanSocial[[#This Row],[NumL]],T_TraitDi[#Data],COLUMN(T_TraitDi[[#This Row],[Colonne5]]),FALSE),""),"[hh]:mm"))</f>
        <v>#N/A</v>
      </c>
      <c r="AK16" s="172" t="e">
        <f>IF(VLOOKUP(T_BilanSocial[[#This Row],[NumL]],T_TraitDi[#Data],COLUMN(T_TraitDi[[#This Row],[Colonne6]]),FALSE)=0,"",TEXT(IFERROR(VLOOKUP(T_BilanSocial[[#This Row],[NumL]],T_TraitDi[#Data],COLUMN(T_TraitDi[[#This Row],[Colonne6]]),FALSE),""),"[hh]:mm"))</f>
        <v>#N/A</v>
      </c>
      <c r="AL16" s="172" t="e">
        <f>IF(VLOOKUP(T_BilanSocial[[#This Row],[NumL]],T_TraitDi[#Data],COLUMN(T_TraitDi[[#This Row],[Colonne7]]),FALSE)=0,"",TEXT(IFERROR(VLOOKUP(T_BilanSocial[[#This Row],[NumL]],T_TraitDi[#Data],COLUMN(T_TraitDi[[#This Row],[Colonne7]]),FALSE),""),"[hh]:mm"))</f>
        <v>#N/A</v>
      </c>
      <c r="AM16" s="172" t="e">
        <f>IF(VLOOKUP(T_BilanSocial[[#This Row],[NumL]],T_TraitDi[#Data],COLUMN(T_TraitDi[[#This Row],[Colonne8]]),FALSE)=0,"",TEXT(IFERROR(VLOOKUP(T_BilanSocial[[#This Row],[NumL]],T_TraitDi[#Data],COLUMN(T_TraitDi[[#This Row],[Colonne8]]),FALSE),""),"[hh]:mm"))</f>
        <v>#N/A</v>
      </c>
      <c r="AN16" s="172" t="str">
        <f>IFERROR(VLOOKUP(T_BilanSocial[[#This Row],[NumL]],T_TraitDi[#Data],COLUMN(T_TraitDi[[#This Row],[Mardi]]),FALSE),"")</f>
        <v/>
      </c>
      <c r="AO16" s="172" t="e">
        <f>IF(VLOOKUP(T_BilanSocial[[#This Row],[NumL]],T_TraitDi[#Data],COLUMN(T_TraitDi[[#This Row],[Colonne1]]),FALSE)=0,"",TEXT(IFERROR(VLOOKUP(T_BilanSocial[[#This Row],[NumL]],T_TraitDi[#Data],COLUMN(T_TraitDi[[#This Row],[Colonne1]]),FALSE),""),"[hh]:mm"))</f>
        <v>#N/A</v>
      </c>
      <c r="AP16" s="172" t="e">
        <f>IF(VLOOKUP(T_BilanSocial[[#This Row],[NumL]],T_TraitDi[#Data],COLUMN(T_TraitDi[[#This Row],[Colonne9]]),FALSE)=0,"",TEXT(IFERROR(VLOOKUP(T_BilanSocial[[#This Row],[NumL]],T_TraitDi[#Data],COLUMN(T_TraitDi[[#This Row],[Colonne9]]),FALSE),""),"[hh]:mm"))</f>
        <v>#N/A</v>
      </c>
      <c r="AQ16" s="172" t="str">
        <f>IFERROR(VLOOKUP(T_BilanSocial[[#This Row],[NumL]],T_TraitDi[#Data],COLUMN(T_TraitDi[[#This Row],[Colonne10]]),FALSE),"")</f>
        <v/>
      </c>
      <c r="AR16" s="172" t="e">
        <f>IF(VLOOKUP(T_BilanSocial[[#This Row],[NumL]],T_TraitDi[#Data],COLUMN(T_TraitDi[[#This Row],[Colonne11]]),FALSE)=0,"",TEXT(IFERROR(VLOOKUP(T_BilanSocial[[#This Row],[NumL]],T_TraitDi[#Data],COLUMN(T_TraitDi[[#This Row],[Colonne11]]),FALSE),""),"[hh]:mm"))</f>
        <v>#N/A</v>
      </c>
      <c r="AS16" s="172" t="e">
        <f>IF(VLOOKUP(T_BilanSocial[[#This Row],[NumL]],T_TraitDi[#Data],COLUMN(T_TraitDi[[#This Row],[Colonne12]]),FALSE)=0,"",TEXT(IFERROR(VLOOKUP(T_BilanSocial[[#This Row],[NumL]],T_TraitDi[#Data],COLUMN(T_TraitDi[[#This Row],[Colonne12]]),FALSE),""),"[hh]:mm"))</f>
        <v>#N/A</v>
      </c>
      <c r="AT16" s="172" t="e">
        <f>IF(VLOOKUP(T_BilanSocial[[#This Row],[NumL]],T_TraitDi[#Data],COLUMN(T_TraitDi[[#This Row],[Colonne14]]),FALSE)=0,"",TEXT(IFERROR(VLOOKUP(T_BilanSocial[[#This Row],[NumL]],T_TraitDi[#Data],COLUMN(T_TraitDi[[#This Row],[Colonne14]]),FALSE),""),"[hh]:mm"))</f>
        <v>#N/A</v>
      </c>
      <c r="AU16" s="172" t="str">
        <f>IFERROR(VLOOKUP(T_BilanSocial[[#This Row],[NumL]],T_TraitDi[#Data],COLUMN(T_TraitDi[[#This Row],[Mercredi]]),FALSE),"")</f>
        <v/>
      </c>
      <c r="AV16" s="172" t="e">
        <f>IF(VLOOKUP(T_BilanSocial[[#This Row],[NumL]],T_TraitDi[#Data],COLUMN(T_TraitDi[[#This Row],[Colonne15]]),FALSE)=0,"",TEXT(IFERROR(VLOOKUP(T_BilanSocial[[#This Row],[NumL]],T_TraitDi[#Data],COLUMN(T_TraitDi[[#This Row],[Colonne15]]),FALSE),""),"[hh]:mm"))</f>
        <v>#N/A</v>
      </c>
      <c r="AW16" s="172" t="e">
        <f>IF(VLOOKUP(T_BilanSocial[[#This Row],[NumL]],T_TraitDi[#Data],COLUMN(T_TraitDi[[#This Row],[Colonne16]]),FALSE)=0,"",TEXT(IFERROR(VLOOKUP(T_BilanSocial[[#This Row],[NumL]],T_TraitDi[#Data],COLUMN(T_TraitDi[[#This Row],[Colonne16]]),FALSE),""),"[hh]:mm"))</f>
        <v>#N/A</v>
      </c>
      <c r="AX16" s="172" t="str">
        <f>IFERROR(VLOOKUP(T_BilanSocial[[#This Row],[NumL]],T_TraitDi[#Data],COLUMN(T_TraitDi[[#This Row],[Colonne17]]),FALSE),"")</f>
        <v/>
      </c>
      <c r="AY16" s="172" t="e">
        <f>IF(VLOOKUP(T_BilanSocial[[#This Row],[NumL]],T_TraitDi[#Data],COLUMN(T_TraitDi[[#This Row],[Colonne18]]),FALSE)=0,"",TEXT(IFERROR(VLOOKUP(T_BilanSocial[[#This Row],[NumL]],T_TraitDi[#Data],COLUMN(T_TraitDi[[#This Row],[Colonne18]]),FALSE),""),"[hh]:mm"))</f>
        <v>#N/A</v>
      </c>
      <c r="AZ16" s="172" t="e">
        <f>IF(VLOOKUP(T_BilanSocial[[#This Row],[NumL]],T_TraitDi[#Data],COLUMN(T_TraitDi[[#This Row],[Colonne19]]),FALSE)=0,"",TEXT(IFERROR(VLOOKUP(T_BilanSocial[[#This Row],[NumL]],T_TraitDi[#Data],COLUMN(T_TraitDi[[#This Row],[Colonne19]]),FALSE),""),"[hh]:mm"))</f>
        <v>#N/A</v>
      </c>
      <c r="BA16" s="172" t="e">
        <f>IF(VLOOKUP(T_BilanSocial[[#This Row],[NumL]],T_TraitDi[#Data],COLUMN(T_TraitDi[[#This Row],[Colonne20]]),FALSE)=0,"",TEXT(IFERROR(VLOOKUP(T_BilanSocial[[#This Row],[NumL]],T_TraitDi[#Data],COLUMN(T_TraitDi[[#This Row],[Colonne20]]),FALSE),""),"[hh]:mm"))</f>
        <v>#N/A</v>
      </c>
      <c r="BB16" s="178" t="str">
        <f>IFERROR(VLOOKUP(T_BilanSocial[[#This Row],[NumL]],T_TraitDi[#Data],COLUMN(T_TraitDi[[#This Row],[Jeudi]]),FALSE),"")</f>
        <v/>
      </c>
      <c r="BC16" s="178" t="e">
        <f>IF(VLOOKUP(T_BilanSocial[[#This Row],[NumL]],T_TraitDi[#Data],COLUMN(T_TraitDi[[#This Row],[Colonne21]]),FALSE)=0,"",TEXT(IFERROR(VLOOKUP(T_BilanSocial[[#This Row],[NumL]],T_TraitDi[#Data],COLUMN(T_TraitDi[[#This Row],[Colonne21]]),FALSE),""),"[hh]:mm"))</f>
        <v>#N/A</v>
      </c>
      <c r="BD16" s="178" t="e">
        <f>IF(VLOOKUP(T_BilanSocial[[#This Row],[NumL]],T_TraitDi[#Data],COLUMN(T_TraitDi[[#This Row],[Colonne22]]),FALSE)=0,"",TEXT(IFERROR(VLOOKUP(T_BilanSocial[[#This Row],[NumL]],T_TraitDi[#Data],COLUMN(T_TraitDi[[#This Row],[Colonne22]]),FALSE),""),"[hh]:mm"))</f>
        <v>#N/A</v>
      </c>
      <c r="BE16" s="178" t="str">
        <f>IFERROR(VLOOKUP(T_BilanSocial[[#This Row],[NumL]],T_TraitDi[#Data],COLUMN(T_TraitDi[[#This Row],[Colonne23]]),FALSE),"")</f>
        <v/>
      </c>
      <c r="BF16" s="178" t="e">
        <f>IF(VLOOKUP(T_BilanSocial[[#This Row],[NumL]],T_TraitDi[#Data],COLUMN(T_TraitDi[[#This Row],[Colonne24]]),FALSE)=0,"",TEXT(IFERROR(VLOOKUP(T_BilanSocial[[#This Row],[NumL]],T_TraitDi[#Data],COLUMN(T_TraitDi[[#This Row],[Colonne24]]),FALSE),""),"[hh]:mm"))</f>
        <v>#N/A</v>
      </c>
      <c r="BG16" s="178" t="e">
        <f>IF(VLOOKUP(T_BilanSocial[[#This Row],[NumL]],T_TraitDi[#Data],COLUMN(T_TraitDi[[#This Row],[Colonne25]]),FALSE)=0,"",TEXT(IFERROR(VLOOKUP(T_BilanSocial[[#This Row],[NumL]],T_TraitDi[#Data],COLUMN(T_TraitDi[[#This Row],[Colonne25]]),FALSE),""),"[hh]:mm"))</f>
        <v>#N/A</v>
      </c>
      <c r="BH16" s="178" t="e">
        <f>IF(VLOOKUP(T_BilanSocial[[#This Row],[NumL]],T_TraitDi[#Data],COLUMN(T_TraitDi[[#This Row],[Colonne26]]),FALSE)=0,"",TEXT(IFERROR(VLOOKUP(T_BilanSocial[[#This Row],[NumL]],T_TraitDi[#Data],COLUMN(T_TraitDi[[#This Row],[Colonne26]]),FALSE),""),"[hh]:mm"))</f>
        <v>#N/A</v>
      </c>
      <c r="BI16" s="172" t="str">
        <f>IFERROR(VLOOKUP(T_BilanSocial[[#This Row],[NumL]],T_TraitDi[#Data],COLUMN(T_TraitDi[[#This Row],[Vendredi]]),FALSE),"")</f>
        <v/>
      </c>
      <c r="BJ16" s="172" t="e">
        <f>IF(VLOOKUP(T_BilanSocial[[#This Row],[NumL]],T_TraitDi[#Data],COLUMN(T_TraitDi[[#This Row],[Colonne27]]),FALSE)=0,"",TEXT(IFERROR(VLOOKUP(T_BilanSocial[[#This Row],[NumL]],T_TraitDi[#Data],COLUMN(T_TraitDi[[#This Row],[Colonne27]]),FALSE),""),"[hh]:mm"))</f>
        <v>#N/A</v>
      </c>
      <c r="BK16" s="172" t="e">
        <f>IF(VLOOKUP(T_BilanSocial[[#This Row],[NumL]],T_TraitDi[#Data],COLUMN(T_TraitDi[[#This Row],[Colonne28]]),FALSE)=0,"",TEXT(IFERROR(VLOOKUP(T_BilanSocial[[#This Row],[NumL]],T_TraitDi[#Data],COLUMN(T_TraitDi[[#This Row],[Colonne28]]),FALSE),""),"[hh]:mm"))</f>
        <v>#N/A</v>
      </c>
      <c r="BL16" s="172" t="str">
        <f>IFERROR(VLOOKUP(T_BilanSocial[[#This Row],[NumL]],T_TraitDi[#Data],COLUMN(T_TraitDi[[#This Row],[Colonne29]]),FALSE),"")</f>
        <v/>
      </c>
      <c r="BM16" s="172" t="e">
        <f>IF(VLOOKUP(T_BilanSocial[[#This Row],[NumL]],T_TraitDi[#Data],COLUMN(T_TraitDi[[#This Row],[Colonne30]]),FALSE)=0,"",TEXT(IFERROR(VLOOKUP(T_BilanSocial[[#This Row],[NumL]],T_TraitDi[#Data],COLUMN(T_TraitDi[[#This Row],[Colonne30]]),FALSE),""),"[hh]:mm"))</f>
        <v>#N/A</v>
      </c>
      <c r="BN16" s="172" t="e">
        <f>IF(VLOOKUP(T_BilanSocial[[#This Row],[NumL]],T_TraitDi[#Data],COLUMN(T_TraitDi[[#This Row],[Colonne31]]),FALSE)=0,"",TEXT(IFERROR(VLOOKUP(T_BilanSocial[[#This Row],[NumL]],T_TraitDi[#Data],COLUMN(T_TraitDi[[#This Row],[Colonne31]]),FALSE),""),"[hh]:mm"))</f>
        <v>#N/A</v>
      </c>
      <c r="BO16" s="172" t="e">
        <f>IF(VLOOKUP(T_BilanSocial[[#This Row],[NumL]],T_TraitDi[#Data],COLUMN(T_TraitDi[[#This Row],[Colonne32]]),FALSE)=0,"",TEXT(IFERROR(VLOOKUP(T_BilanSocial[[#This Row],[NumL]],T_TraitDi[#Data],COLUMN(T_TraitDi[[#This Row],[Colonne32]]),FALSE),""),"[hh]:mm"))</f>
        <v>#N/A</v>
      </c>
      <c r="BP16" s="172" t="e">
        <f>VLOOKUP(T_BilanSocial[[#This Row],[NumL]],T_TraitDi[#Data],COLUMN(T_TraitDi[NbJTot]),FALSE)</f>
        <v>#N/A</v>
      </c>
      <c r="BQ16" s="174" t="str">
        <f>IFERROR(VLOOKUP(T_BilanSocial[[#This Row],[NumL]],T_TraitDi[#Data],COLUMN(T_TraitDi[[#This Row],[NbJTW]]),FALSE),"")</f>
        <v/>
      </c>
      <c r="BR16" s="174" t="e">
        <f>IF(VLOOKUP(T_BilanSocial[[#This Row],[NumL]],T_TraitDi[#Data],COLUMN(T_TraitDi[[#This Row],[NbhTW]]),FALSE)=0,"",TEXT(IFERROR(VLOOKUP(T_BilanSocial[[#This Row],[NumL]],T_TraitDi[#Data],COLUMN(T_TraitDi[[#This Row],[NbhTW]]),FALSE),""),"[hh]:mm"))</f>
        <v>#N/A</v>
      </c>
      <c r="BS16" s="174" t="e">
        <f>IF(VLOOKUP(T_BilanSocial[[#This Row],[NumL]],T_TraitDi[#Data],COLUMN(T_TraitDi[[#This Row],[Nbhheb]]),FALSE)=0,"",TEXT(IFERROR(VLOOKUP($A16,T_TraitDi[#Data],COLUMN(T_TraitDi[[#This Row],[Nbhheb]]),FALSE),""),"[hh]:mm"))</f>
        <v>#N/A</v>
      </c>
      <c r="BT16" s="182" t="str">
        <f>IFERROR(VLOOKUP(VLOOKUP($A16,T_TraitDi[#Data],COLUMN(T_TraitDi[[#This Row],[Type1]]),FALSE),TypeTW,2,FALSE),"")</f>
        <v/>
      </c>
      <c r="BU16" s="182" t="str">
        <f>IFERROR(VLOOKUP($A16,T_TraitDi[#Data],COLUMN(T_TraitDi[[#This Row],[Rue1]]),FALSE),"")</f>
        <v/>
      </c>
      <c r="BV16" s="173" t="str">
        <f>IFERROR(VLOOKUP($A16,T_TraitDi[#Data],COLUMN(T_TraitDi[[#This Row],[CP1]]),FALSE),"")</f>
        <v/>
      </c>
      <c r="BW16" s="173" t="str">
        <f>IFERROR(VLOOKUP($A16,T_TraitDi[#Data],COLUMN(T_TraitDi[[#This Row],[VILLE1]]),FALSE),"")</f>
        <v/>
      </c>
      <c r="BX16" s="182" t="str">
        <f>IFERROR(VLOOKUP(VLOOKUP($A16,T_TraitDi[#Data],COLUMN(T_TraitDi[[#This Row],[Type2]]),FALSE),TypeTW,2,FALSE),"")</f>
        <v/>
      </c>
      <c r="BY16" s="182" t="str">
        <f>IFERROR(VLOOKUP($A16,T_TraitDi[#Data],COLUMN(T_TraitDi[[#This Row],[Rue2]]),FALSE),"")</f>
        <v/>
      </c>
      <c r="BZ16" s="173" t="str">
        <f>IFERROR(VLOOKUP($A16,T_TraitDi[#Data],COLUMN(T_TraitDi[[#This Row],[CP2]]),FALSE),"")</f>
        <v/>
      </c>
      <c r="CA16" s="173" t="str">
        <f>IFERROR(VLOOKUP($A16,T_TraitDi[#Data],COLUMN(T_TraitDi[[#This Row],[VILLE2]]),FALSE),"")</f>
        <v/>
      </c>
      <c r="CB16" s="182" t="str">
        <f>IF(VLOOKUP(T_BilanSocial[[#This Row],[NumL]],T_Equipement[#Data],COLUMN(T_Equipement[[#This Row],[PC]]),FALSE)="","Aucun équipement spécifique directement lié au télétravail",VLOOKUP(T_BilanSocial[[#This Row],[NumL]],T_Equipement[#Data],COLUMN(T_Equipement[[#This Row],[PC]]),FALSE))</f>
        <v>GERLAND</v>
      </c>
      <c r="CC16" s="166" t="str">
        <f>IFERROR(IF(VLOOKUP(T_BilanSocial[[#This Row],[NumL]],T_TraitDi[#Data],COLUMN(T_TraitDi[[#This Row],[Plan]]),FALSE)="OK","Un planning spécifique de télétravail est annexé à la présente convention.",""),"")</f>
        <v/>
      </c>
      <c r="CD16" s="184"/>
      <c r="CE16" s="164" t="e">
        <f>IF(VLOOKUP(T_BilanSocial[[#This Row],[NumL]],T_suiviDi[#Data],COLUMN(T_suiviDi[[#This Row],[Entité]]),FALSE)="","",VLOOKUP(T_BilanSocial[[#This Row],[NumL]],T_suiviDi[#Data],COLUMN(T_suiviDi[[#This Row],[Entité]]),FALSE))</f>
        <v>#N/A</v>
      </c>
      <c r="CF16" s="164" t="str">
        <f>IF(VLOOKUP(T_BilanSocial[[#This Row],[NumL]],T_Commission[#Data],COLUMN(T_Commission[[#This Row],[envoi confirm TW]]),FALSE)="","",VLOOKUP(T_BilanSocial[[#This Row],[NumL]],T_Commission[#Data],COLUMN(T_Commission[[#This Row],[envoi confirm TW]]),FALSE))</f>
        <v>Oui</v>
      </c>
      <c r="CG1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 s="262" t="str">
        <f>T_BilanSocial[[#This Row],[Nom]]&amp;T_BilanSocial[[#This Row],[Prenom]]</f>
        <v/>
      </c>
      <c r="CI16" s="262">
        <f>VLOOKUP(T_BilanSocial[[#This Row],[NumL]],T_Commission[#Data],COLUMN(T_Commission[Commentaire]),FALSE)</f>
        <v>0</v>
      </c>
      <c r="CJ16" s="262" t="str">
        <f>IF(VLOOKUP(T_BilanSocial[[#This Row],[NumL]],T_Commission[#Data],COLUMN(T_Commission[Encadrant Email]),FALSE)="","",VLOOKUP(T_BilanSocial[[#This Row],[NumL]],T_Commission[#Data],COLUMN(T_Commission[Encadrant Email]),FALSE))</f>
        <v/>
      </c>
      <c r="CK16" s="340" t="str">
        <f>IF(T_BilanSocial[[#This Row],[Final]]&lt;&gt;"",VLOOKUP(T_BilanSocial[[#This Row],[NumL]],T_suiviDi[#Data],COLUMN((T_suiviDi[Statut])),FALSE),"")</f>
        <v/>
      </c>
    </row>
    <row r="17" spans="1:89" s="106" customFormat="1" ht="24.75" customHeight="1" x14ac:dyDescent="0.25">
      <c r="A17" s="160">
        <v>14</v>
      </c>
      <c r="B17" s="161" t="str">
        <f t="shared" si="0"/>
        <v/>
      </c>
      <c r="C17" s="162" t="s">
        <v>173</v>
      </c>
      <c r="D17" s="95" t="e">
        <f>IF(VLOOKUP(T_BilanSocial[[#This Row],[NumL]],T_TraitDi[#Data],COLUMN(T_TraitDi[[#This Row],[WebC]]),FALSE)="","",VLOOKUP(T_BilanSocial[[#This Row],[NumL]],T_TraitDi[#Data],COLUMN(T_TraitDi[[#This Row],[WebC]]),FALSE))</f>
        <v>#N/A</v>
      </c>
      <c r="E17" s="163" t="str">
        <f t="shared" si="1"/>
        <v>12 janvier 2021</v>
      </c>
      <c r="F17" s="96" t="str">
        <f>IF(T_BilanSocial[[#This Row],[Final]]&lt;&gt;"",VLOOKUP(T_BilanSocial[[#This Row],[NumL]],T_suiviDi[#Data],COLUMN((T_suiviDi[Civ.])),FALSE),"")</f>
        <v/>
      </c>
      <c r="G17" s="96" t="str">
        <f>IF(T_BilanSocial[[#This Row],[Final]]&lt;&gt;"",VLOOKUP(T_BilanSocial[[#This Row],[NumL]],T_suiviDi[#Data],COLUMN((T_suiviDi[Nom])),FALSE),"")</f>
        <v/>
      </c>
      <c r="H17" s="96" t="str">
        <f>IF(T_BilanSocial[[#This Row],[Final]]&lt;&gt;"",VLOOKUP(T_BilanSocial[[#This Row],[NumL]],T_suiviDi[#Data],COLUMN((T_suiviDi[Prénom])),FALSE),"")</f>
        <v/>
      </c>
      <c r="I17" s="96" t="str">
        <f>IFERROR(VLOOKUP(T_BilanSocial[[#This Row],[Zone_Bilan]],T_P_BilanSocial[#Data],COLUMN(T_P_BilanSocial[[#This Row],[Numero_SIHAM]]),FALSE),"")</f>
        <v/>
      </c>
      <c r="J17" s="96" t="str">
        <f>IFERROR(VLOOKUP(T_BilanSocial[[#This Row],[Zone_Bilan]],T_P_BilanSocial[#Data],COLUMN(T_P_BilanSocial[[#This Row],[Sexe]]),FALSE),"")</f>
        <v/>
      </c>
      <c r="K17" s="97" t="str">
        <f>IFERROR(VLOOKUP(T_BilanSocial[[#This Row],[Zone_Bilan]],T_P_BilanSocial[#Data],COLUMN(T_P_BilanSocial[[#This Row],[Categorie]]),FALSE),"")</f>
        <v/>
      </c>
      <c r="L17" s="96" t="str">
        <f>IFERROR(VLOOKUP(T_BilanSocial[[#This Row],[Zone_Bilan]],T_P_BilanSocial[#Data],COLUMN(T_P_BilanSocial[[#This Row],[Statut]]),FALSE),"")</f>
        <v/>
      </c>
      <c r="M17" s="96" t="str">
        <f>IFERROR(VLOOKUP(T_BilanSocial[[#This Row],[Zone_Bilan]],T_P_BilanSocial[#Data],COLUMN(T_P_BilanSocial[[#This Row],[Filiere]]),FALSE),"")</f>
        <v/>
      </c>
      <c r="N17" s="96" t="e">
        <f>VLOOKUP(T_BilanSocial[[#This Row],[NumL]],T_TraitDi[#Data],COLUMN(T_TraitDi[EXP]),FALSE)</f>
        <v>#N/A</v>
      </c>
      <c r="O17" s="96" t="e">
        <f>VLOOKUP(T_BilanSocial[[#This Row],[NumL]],T_TraitDi[#Data],COLUMN(T_TraitDi[FORM]),FALSE)</f>
        <v>#N/A</v>
      </c>
      <c r="P17" s="96" t="str">
        <f>IF(T_BilanSocial[[#This Row],[Final]]&lt;&gt;"",VLOOKUP(T_BilanSocial[[#This Row],[NumL]],T_suiviDi[#Data],COLUMN((T_suiviDi[Email])),FALSE),"")</f>
        <v/>
      </c>
      <c r="Q17" s="164" t="e">
        <f t="shared" si="7"/>
        <v>#N/A</v>
      </c>
      <c r="R17" s="164" t="e">
        <f t="shared" si="8"/>
        <v>#N/A</v>
      </c>
      <c r="S17" s="164" t="e">
        <f>IF(VLOOKUP(T_BilanSocial[[#This Row],[NumL]],T_suiviDi[#Data],COLUMN(T_suiviDi[[#This Row],[Service ]]),FALSE)="","",VLOOKUP(T_BilanSocial[[#This Row],[NumL]],T_suiviDi[#Data],COLUMN(T_suiviDi[[#This Row],[Service ]]),FALSE))</f>
        <v>#N/A</v>
      </c>
      <c r="T17" s="164" t="str">
        <f t="shared" si="2"/>
        <v>01 septembre 2021</v>
      </c>
      <c r="U17" s="164" t="str">
        <f t="shared" si="3"/>
        <v>30 novembre 2021</v>
      </c>
      <c r="V17" s="164" t="str">
        <f t="shared" si="6"/>
        <v>30 novembre 2021</v>
      </c>
      <c r="W17" s="176" t="e">
        <f>IF(VLOOKUP(T_BilanSocial[[#This Row],[NumL]],T_TraitDi[#Data],COLUMN(T_TraitDi[[#This Row],[M1]]),FALSE)="","",VLOOKUP(T_BilanSocial[[#This Row],[NumL]],T_TraitDi[#Data],COLUMN(T_TraitDi[[#This Row],[M1]]),FALSE))</f>
        <v>#N/A</v>
      </c>
      <c r="X17" s="176" t="e">
        <f>IF(VLOOKUP(T_BilanSocial[[#This Row],[NumL]],T_TraitDi[#Data],COLUMN(T_TraitDi[[#This Row],[M2]]),FALSE)="","",VLOOKUP(T_BilanSocial[[#This Row],[NumL]],T_TraitDi[#Data],COLUMN(T_TraitDi[[#This Row],[M2]]),FALSE))</f>
        <v>#N/A</v>
      </c>
      <c r="Y17" s="176" t="e">
        <f>IF(VLOOKUP(T_BilanSocial[[#This Row],[NumL]],T_TraitDi[#Data],COLUMN(T_TraitDi[[#This Row],[M3]]),FALSE)="","",VLOOKUP(T_BilanSocial[[#This Row],[NumL]],T_TraitDi[#Data],COLUMN(T_TraitDi[[#This Row],[M3]]),FALSE))</f>
        <v>#N/A</v>
      </c>
      <c r="Z17" s="176" t="str">
        <f t="shared" si="5"/>
        <v/>
      </c>
      <c r="AA17" s="176" t="e">
        <f>IF(VLOOKUP(T_BilanSocial[[#This Row],[NumL]],T_TraitDi[#Data],COLUMN(T_TraitDi[[#This Row],[M5]]),FALSE)="","",VLOOKUP(T_BilanSocial[[#This Row],[NumL]],T_TraitDi[#Data],COLUMN(T_TraitDi[[#This Row],[M5]]),FALSE))</f>
        <v>#N/A</v>
      </c>
      <c r="AB17" s="176" t="e">
        <f>IF(VLOOKUP(T_BilanSocial[[#This Row],[NumL]],T_TraitDi[#Data],COLUMN(T_TraitDi[[#This Row],[M6]]),FALSE)="","",VLOOKUP(T_BilanSocial[[#This Row],[NumL]],T_TraitDi[#Data],COLUMN(T_TraitDi[[#This Row],[M6]]),FALSE))</f>
        <v>#N/A</v>
      </c>
      <c r="AC17" s="165" t="e">
        <f t="shared" si="4"/>
        <v>#N/A</v>
      </c>
      <c r="AD17" s="188" t="str">
        <f>IFERROR(TEXT(VLOOKUP(T_BilanSocial[[#This Row],[NumL]],T_TraitDi[#Data],COLUMN(T_TraitDi[[#This Row],[Q2]]),FALSE),"###%"),"")</f>
        <v/>
      </c>
      <c r="AE17" s="97" t="e">
        <f>VLOOKUP(T_BilanSocial[[#This Row],[NumL]],T_TraitDi[#Data],COLUMN(T_TraitDi[[#This Row],[Reg Ponct]]),FALSE)</f>
        <v>#N/A</v>
      </c>
      <c r="AF17" s="97" t="e">
        <f>VLOOKUP(T_BilanSocial[NumL],T_TraitDi[#Data],COLUMN(T_TraitDi[[#This Row],[Jours flottants]]),FALSE)</f>
        <v>#N/A</v>
      </c>
      <c r="AG17" s="97" t="str">
        <f>IFERROR(VLOOKUP(T_BilanSocial[[#This Row],[NumL]],T_TraitDi[#Data],COLUMN(T_TraitDi[[#This Row],[Lundi]]),FALSE),"")</f>
        <v/>
      </c>
      <c r="AH17" s="172" t="e">
        <f>IF(VLOOKUP(T_BilanSocial[[#This Row],[NumL]],T_TraitDi[#Data],COLUMN(T_TraitDi[[#This Row],[Colonne3]]),FALSE)=0,"",TEXT(IFERROR(VLOOKUP(T_BilanSocial[[#This Row],[NumL]],T_TraitDi[#Data],COLUMN(T_TraitDi[[#This Row],[Colonne3]]),FALSE),""),"[hh]:mm"))</f>
        <v>#N/A</v>
      </c>
      <c r="AI17" s="172" t="e">
        <f>IF(VLOOKUP(T_BilanSocial[[#This Row],[NumL]],T_TraitDi[#Data],COLUMN(T_TraitDi[[#This Row],[Colonne4]]),FALSE)=0,"",TEXT(IFERROR(VLOOKUP(T_BilanSocial[[#This Row],[NumL]],T_TraitDi[#Data],COLUMN(T_TraitDi[[#This Row],[Colonne4]]),FALSE),""),"[hh]:mm"))</f>
        <v>#N/A</v>
      </c>
      <c r="AJ17" s="172" t="e">
        <f>IF(VLOOKUP(T_BilanSocial[[#This Row],[NumL]],T_TraitDi[#Data],COLUMN(T_TraitDi[[#This Row],[Colonne5]]),FALSE)=0,"",TEXT(IFERROR(VLOOKUP(T_BilanSocial[[#This Row],[NumL]],T_TraitDi[#Data],COLUMN(T_TraitDi[[#This Row],[Colonne5]]),FALSE),""),"[hh]:mm"))</f>
        <v>#N/A</v>
      </c>
      <c r="AK17" s="172" t="e">
        <f>IF(VLOOKUP(T_BilanSocial[[#This Row],[NumL]],T_TraitDi[#Data],COLUMN(T_TraitDi[[#This Row],[Colonne6]]),FALSE)=0,"",TEXT(IFERROR(VLOOKUP(T_BilanSocial[[#This Row],[NumL]],T_TraitDi[#Data],COLUMN(T_TraitDi[[#This Row],[Colonne6]]),FALSE),""),"[hh]:mm"))</f>
        <v>#N/A</v>
      </c>
      <c r="AL17" s="172" t="e">
        <f>IF(VLOOKUP(T_BilanSocial[[#This Row],[NumL]],T_TraitDi[#Data],COLUMN(T_TraitDi[[#This Row],[Colonne7]]),FALSE)=0,"",TEXT(IFERROR(VLOOKUP(T_BilanSocial[[#This Row],[NumL]],T_TraitDi[#Data],COLUMN(T_TraitDi[[#This Row],[Colonne7]]),FALSE),""),"[hh]:mm"))</f>
        <v>#N/A</v>
      </c>
      <c r="AM17" s="172" t="e">
        <f>IF(VLOOKUP(T_BilanSocial[[#This Row],[NumL]],T_TraitDi[#Data],COLUMN(T_TraitDi[[#This Row],[Colonne8]]),FALSE)=0,"",TEXT(IFERROR(VLOOKUP(T_BilanSocial[[#This Row],[NumL]],T_TraitDi[#Data],COLUMN(T_TraitDi[[#This Row],[Colonne8]]),FALSE),""),"[hh]:mm"))</f>
        <v>#N/A</v>
      </c>
      <c r="AN17" s="172" t="str">
        <f>IFERROR(VLOOKUP(T_BilanSocial[[#This Row],[NumL]],T_TraitDi[#Data],COLUMN(T_TraitDi[[#This Row],[Mardi]]),FALSE),"")</f>
        <v/>
      </c>
      <c r="AO17" s="172" t="e">
        <f>IF(VLOOKUP(T_BilanSocial[[#This Row],[NumL]],T_TraitDi[#Data],COLUMN(T_TraitDi[[#This Row],[Colonne1]]),FALSE)=0,"",TEXT(IFERROR(VLOOKUP(T_BilanSocial[[#This Row],[NumL]],T_TraitDi[#Data],COLUMN(T_TraitDi[[#This Row],[Colonne1]]),FALSE),""),"[hh]:mm"))</f>
        <v>#N/A</v>
      </c>
      <c r="AP17" s="172" t="e">
        <f>IF(VLOOKUP(T_BilanSocial[[#This Row],[NumL]],T_TraitDi[#Data],COLUMN(T_TraitDi[[#This Row],[Colonne9]]),FALSE)=0,"",TEXT(IFERROR(VLOOKUP(T_BilanSocial[[#This Row],[NumL]],T_TraitDi[#Data],COLUMN(T_TraitDi[[#This Row],[Colonne9]]),FALSE),""),"[hh]:mm"))</f>
        <v>#N/A</v>
      </c>
      <c r="AQ17" s="172" t="str">
        <f>IFERROR(VLOOKUP(T_BilanSocial[[#This Row],[NumL]],T_TraitDi[#Data],COLUMN(T_TraitDi[[#This Row],[Colonne10]]),FALSE),"")</f>
        <v/>
      </c>
      <c r="AR17" s="172" t="e">
        <f>IF(VLOOKUP(T_BilanSocial[[#This Row],[NumL]],T_TraitDi[#Data],COLUMN(T_TraitDi[[#This Row],[Colonne11]]),FALSE)=0,"",TEXT(IFERROR(VLOOKUP(T_BilanSocial[[#This Row],[NumL]],T_TraitDi[#Data],COLUMN(T_TraitDi[[#This Row],[Colonne11]]),FALSE),""),"[hh]:mm"))</f>
        <v>#N/A</v>
      </c>
      <c r="AS17" s="172" t="e">
        <f>IF(VLOOKUP(T_BilanSocial[[#This Row],[NumL]],T_TraitDi[#Data],COLUMN(T_TraitDi[[#This Row],[Colonne12]]),FALSE)=0,"",TEXT(IFERROR(VLOOKUP(T_BilanSocial[[#This Row],[NumL]],T_TraitDi[#Data],COLUMN(T_TraitDi[[#This Row],[Colonne12]]),FALSE),""),"[hh]:mm"))</f>
        <v>#N/A</v>
      </c>
      <c r="AT17" s="172" t="e">
        <f>IF(VLOOKUP(T_BilanSocial[[#This Row],[NumL]],T_TraitDi[#Data],COLUMN(T_TraitDi[[#This Row],[Colonne14]]),FALSE)=0,"",TEXT(IFERROR(VLOOKUP(T_BilanSocial[[#This Row],[NumL]],T_TraitDi[#Data],COLUMN(T_TraitDi[[#This Row],[Colonne14]]),FALSE),""),"[hh]:mm"))</f>
        <v>#N/A</v>
      </c>
      <c r="AU17" s="172" t="str">
        <f>IFERROR(VLOOKUP(T_BilanSocial[[#This Row],[NumL]],T_TraitDi[#Data],COLUMN(T_TraitDi[[#This Row],[Mercredi]]),FALSE),"")</f>
        <v/>
      </c>
      <c r="AV17" s="172" t="e">
        <f>IF(VLOOKUP(T_BilanSocial[[#This Row],[NumL]],T_TraitDi[#Data],COLUMN(T_TraitDi[[#This Row],[Colonne15]]),FALSE)=0,"",TEXT(IFERROR(VLOOKUP(T_BilanSocial[[#This Row],[NumL]],T_TraitDi[#Data],COLUMN(T_TraitDi[[#This Row],[Colonne15]]),FALSE),""),"[hh]:mm"))</f>
        <v>#N/A</v>
      </c>
      <c r="AW17" s="172" t="e">
        <f>IF(VLOOKUP(T_BilanSocial[[#This Row],[NumL]],T_TraitDi[#Data],COLUMN(T_TraitDi[[#This Row],[Colonne16]]),FALSE)=0,"",TEXT(IFERROR(VLOOKUP(T_BilanSocial[[#This Row],[NumL]],T_TraitDi[#Data],COLUMN(T_TraitDi[[#This Row],[Colonne16]]),FALSE),""),"[hh]:mm"))</f>
        <v>#N/A</v>
      </c>
      <c r="AX17" s="172" t="str">
        <f>IFERROR(VLOOKUP(T_BilanSocial[[#This Row],[NumL]],T_TraitDi[#Data],COLUMN(T_TraitDi[[#This Row],[Colonne17]]),FALSE),"")</f>
        <v/>
      </c>
      <c r="AY17" s="172" t="e">
        <f>IF(VLOOKUP(T_BilanSocial[[#This Row],[NumL]],T_TraitDi[#Data],COLUMN(T_TraitDi[[#This Row],[Colonne18]]),FALSE)=0,"",TEXT(IFERROR(VLOOKUP(T_BilanSocial[[#This Row],[NumL]],T_TraitDi[#Data],COLUMN(T_TraitDi[[#This Row],[Colonne18]]),FALSE),""),"[hh]:mm"))</f>
        <v>#N/A</v>
      </c>
      <c r="AZ17" s="172" t="e">
        <f>IF(VLOOKUP(T_BilanSocial[[#This Row],[NumL]],T_TraitDi[#Data],COLUMN(T_TraitDi[[#This Row],[Colonne19]]),FALSE)=0,"",TEXT(IFERROR(VLOOKUP(T_BilanSocial[[#This Row],[NumL]],T_TraitDi[#Data],COLUMN(T_TraitDi[[#This Row],[Colonne19]]),FALSE),""),"[hh]:mm"))</f>
        <v>#N/A</v>
      </c>
      <c r="BA17" s="172" t="e">
        <f>IF(VLOOKUP(T_BilanSocial[[#This Row],[NumL]],T_TraitDi[#Data],COLUMN(T_TraitDi[[#This Row],[Colonne20]]),FALSE)=0,"",TEXT(IFERROR(VLOOKUP(T_BilanSocial[[#This Row],[NumL]],T_TraitDi[#Data],COLUMN(T_TraitDi[[#This Row],[Colonne20]]),FALSE),""),"[hh]:mm"))</f>
        <v>#N/A</v>
      </c>
      <c r="BB17" s="178" t="str">
        <f>IFERROR(VLOOKUP(T_BilanSocial[[#This Row],[NumL]],T_TraitDi[#Data],COLUMN(T_TraitDi[[#This Row],[Jeudi]]),FALSE),"")</f>
        <v/>
      </c>
      <c r="BC17" s="178" t="e">
        <f>IF(VLOOKUP(T_BilanSocial[[#This Row],[NumL]],T_TraitDi[#Data],COLUMN(T_TraitDi[[#This Row],[Colonne21]]),FALSE)=0,"",TEXT(IFERROR(VLOOKUP(T_BilanSocial[[#This Row],[NumL]],T_TraitDi[#Data],COLUMN(T_TraitDi[[#This Row],[Colonne21]]),FALSE),""),"[hh]:mm"))</f>
        <v>#N/A</v>
      </c>
      <c r="BD17" s="178" t="e">
        <f>IF(VLOOKUP(T_BilanSocial[[#This Row],[NumL]],T_TraitDi[#Data],COLUMN(T_TraitDi[[#This Row],[Colonne22]]),FALSE)=0,"",TEXT(IFERROR(VLOOKUP(T_BilanSocial[[#This Row],[NumL]],T_TraitDi[#Data],COLUMN(T_TraitDi[[#This Row],[Colonne22]]),FALSE),""),"[hh]:mm"))</f>
        <v>#N/A</v>
      </c>
      <c r="BE17" s="178" t="str">
        <f>IFERROR(VLOOKUP(T_BilanSocial[[#This Row],[NumL]],T_TraitDi[#Data],COLUMN(T_TraitDi[[#This Row],[Colonne23]]),FALSE),"")</f>
        <v/>
      </c>
      <c r="BF17" s="178" t="e">
        <f>IF(VLOOKUP(T_BilanSocial[[#This Row],[NumL]],T_TraitDi[#Data],COLUMN(T_TraitDi[[#This Row],[Colonne24]]),FALSE)=0,"",TEXT(IFERROR(VLOOKUP(T_BilanSocial[[#This Row],[NumL]],T_TraitDi[#Data],COLUMN(T_TraitDi[[#This Row],[Colonne24]]),FALSE),""),"[hh]:mm"))</f>
        <v>#N/A</v>
      </c>
      <c r="BG17" s="178" t="e">
        <f>IF(VLOOKUP(T_BilanSocial[[#This Row],[NumL]],T_TraitDi[#Data],COLUMN(T_TraitDi[[#This Row],[Colonne25]]),FALSE)=0,"",TEXT(IFERROR(VLOOKUP(T_BilanSocial[[#This Row],[NumL]],T_TraitDi[#Data],COLUMN(T_TraitDi[[#This Row],[Colonne25]]),FALSE),""),"[hh]:mm"))</f>
        <v>#N/A</v>
      </c>
      <c r="BH17" s="178" t="e">
        <f>IF(VLOOKUP(T_BilanSocial[[#This Row],[NumL]],T_TraitDi[#Data],COLUMN(T_TraitDi[[#This Row],[Colonne26]]),FALSE)=0,"",TEXT(IFERROR(VLOOKUP(T_BilanSocial[[#This Row],[NumL]],T_TraitDi[#Data],COLUMN(T_TraitDi[[#This Row],[Colonne26]]),FALSE),""),"[hh]:mm"))</f>
        <v>#N/A</v>
      </c>
      <c r="BI17" s="172" t="str">
        <f>IFERROR(VLOOKUP(T_BilanSocial[[#This Row],[NumL]],T_TraitDi[#Data],COLUMN(T_TraitDi[[#This Row],[Vendredi]]),FALSE),"")</f>
        <v/>
      </c>
      <c r="BJ17" s="172" t="e">
        <f>IF(VLOOKUP(T_BilanSocial[[#This Row],[NumL]],T_TraitDi[#Data],COLUMN(T_TraitDi[[#This Row],[Colonne27]]),FALSE)=0,"",TEXT(IFERROR(VLOOKUP(T_BilanSocial[[#This Row],[NumL]],T_TraitDi[#Data],COLUMN(T_TraitDi[[#This Row],[Colonne27]]),FALSE),""),"[hh]:mm"))</f>
        <v>#N/A</v>
      </c>
      <c r="BK17" s="172" t="e">
        <f>IF(VLOOKUP(T_BilanSocial[[#This Row],[NumL]],T_TraitDi[#Data],COLUMN(T_TraitDi[[#This Row],[Colonne28]]),FALSE)=0,"",TEXT(IFERROR(VLOOKUP(T_BilanSocial[[#This Row],[NumL]],T_TraitDi[#Data],COLUMN(T_TraitDi[[#This Row],[Colonne28]]),FALSE),""),"[hh]:mm"))</f>
        <v>#N/A</v>
      </c>
      <c r="BL17" s="172" t="str">
        <f>IFERROR(VLOOKUP(T_BilanSocial[[#This Row],[NumL]],T_TraitDi[#Data],COLUMN(T_TraitDi[[#This Row],[Colonne29]]),FALSE),"")</f>
        <v/>
      </c>
      <c r="BM17" s="172" t="e">
        <f>IF(VLOOKUP(T_BilanSocial[[#This Row],[NumL]],T_TraitDi[#Data],COLUMN(T_TraitDi[[#This Row],[Colonne30]]),FALSE)=0,"",TEXT(IFERROR(VLOOKUP(T_BilanSocial[[#This Row],[NumL]],T_TraitDi[#Data],COLUMN(T_TraitDi[[#This Row],[Colonne30]]),FALSE),""),"[hh]:mm"))</f>
        <v>#N/A</v>
      </c>
      <c r="BN17" s="172" t="e">
        <f>IF(VLOOKUP(T_BilanSocial[[#This Row],[NumL]],T_TraitDi[#Data],COLUMN(T_TraitDi[[#This Row],[Colonne31]]),FALSE)=0,"",TEXT(IFERROR(VLOOKUP(T_BilanSocial[[#This Row],[NumL]],T_TraitDi[#Data],COLUMN(T_TraitDi[[#This Row],[Colonne31]]),FALSE),""),"[hh]:mm"))</f>
        <v>#N/A</v>
      </c>
      <c r="BO17" s="172" t="e">
        <f>IF(VLOOKUP(T_BilanSocial[[#This Row],[NumL]],T_TraitDi[#Data],COLUMN(T_TraitDi[[#This Row],[Colonne32]]),FALSE)=0,"",TEXT(IFERROR(VLOOKUP(T_BilanSocial[[#This Row],[NumL]],T_TraitDi[#Data],COLUMN(T_TraitDi[[#This Row],[Colonne32]]),FALSE),""),"[hh]:mm"))</f>
        <v>#N/A</v>
      </c>
      <c r="BP17" s="172" t="e">
        <f>VLOOKUP(T_BilanSocial[[#This Row],[NumL]],T_TraitDi[#Data],COLUMN(T_TraitDi[NbJTot]),FALSE)</f>
        <v>#N/A</v>
      </c>
      <c r="BQ17" s="174" t="str">
        <f>IFERROR(VLOOKUP(T_BilanSocial[[#This Row],[NumL]],T_TraitDi[#Data],COLUMN(T_TraitDi[[#This Row],[NbJTW]]),FALSE),"")</f>
        <v/>
      </c>
      <c r="BR17" s="174" t="e">
        <f>IF(VLOOKUP(T_BilanSocial[[#This Row],[NumL]],T_TraitDi[#Data],COLUMN(T_TraitDi[[#This Row],[NbhTW]]),FALSE)=0,"",TEXT(IFERROR(VLOOKUP(T_BilanSocial[[#This Row],[NumL]],T_TraitDi[#Data],COLUMN(T_TraitDi[[#This Row],[NbhTW]]),FALSE),""),"[hh]:mm"))</f>
        <v>#N/A</v>
      </c>
      <c r="BS17" s="174" t="e">
        <f>IF(VLOOKUP(T_BilanSocial[[#This Row],[NumL]],T_TraitDi[#Data],COLUMN(T_TraitDi[[#This Row],[Nbhheb]]),FALSE)=0,"",TEXT(IFERROR(VLOOKUP($A17,T_TraitDi[#Data],COLUMN(T_TraitDi[[#This Row],[Nbhheb]]),FALSE),""),"[hh]:mm"))</f>
        <v>#N/A</v>
      </c>
      <c r="BT17" s="182" t="str">
        <f>IFERROR(VLOOKUP(VLOOKUP($A17,T_TraitDi[#Data],COLUMN(T_TraitDi[[#This Row],[Type1]]),FALSE),TypeTW,2,FALSE),"")</f>
        <v/>
      </c>
      <c r="BU17" s="182" t="str">
        <f>IFERROR(VLOOKUP($A17,T_TraitDi[#Data],COLUMN(T_TraitDi[[#This Row],[Rue1]]),FALSE),"")</f>
        <v/>
      </c>
      <c r="BV17" s="173" t="str">
        <f>IFERROR(VLOOKUP($A17,T_TraitDi[#Data],COLUMN(T_TraitDi[[#This Row],[CP1]]),FALSE),"")</f>
        <v/>
      </c>
      <c r="BW17" s="173" t="str">
        <f>IFERROR(VLOOKUP($A17,T_TraitDi[#Data],COLUMN(T_TraitDi[[#This Row],[VILLE1]]),FALSE),"")</f>
        <v/>
      </c>
      <c r="BX17" s="182" t="str">
        <f>IFERROR(VLOOKUP(VLOOKUP($A17,T_TraitDi[#Data],COLUMN(T_TraitDi[[#This Row],[Type2]]),FALSE),TypeTW,2,FALSE),"")</f>
        <v/>
      </c>
      <c r="BY17" s="182" t="str">
        <f>IFERROR(VLOOKUP($A17,T_TraitDi[#Data],COLUMN(T_TraitDi[[#This Row],[Rue2]]),FALSE),"")</f>
        <v/>
      </c>
      <c r="BZ17" s="173" t="str">
        <f>IFERROR(VLOOKUP($A17,T_TraitDi[#Data],COLUMN(T_TraitDi[[#This Row],[CP2]]),FALSE),"")</f>
        <v/>
      </c>
      <c r="CA17" s="173" t="str">
        <f>IFERROR(VLOOKUP($A17,T_TraitDi[#Data],COLUMN(T_TraitDi[[#This Row],[VILLE2]]),FALSE),"")</f>
        <v/>
      </c>
      <c r="CB17" s="182" t="str">
        <f>IF(VLOOKUP(T_BilanSocial[[#This Row],[NumL]],T_Equipement[#Data],COLUMN(T_Equipement[[#This Row],[PC]]),FALSE)="","Aucun équipement spécifique directement lié au télétravail",VLOOKUP(T_BilanSocial[[#This Row],[NumL]],T_Equipement[#Data],COLUMN(T_Equipement[[#This Row],[PC]]),FALSE))</f>
        <v xml:space="preserve">18-038	</v>
      </c>
      <c r="CC17" s="166" t="str">
        <f>IFERROR(IF(VLOOKUP(T_BilanSocial[[#This Row],[NumL]],T_TraitDi[#Data],COLUMN(T_TraitDi[[#This Row],[Plan]]),FALSE)="OK","Un planning spécifique de télétravail est annexé à la présente convention.",""),"")</f>
        <v/>
      </c>
      <c r="CD17" s="185"/>
      <c r="CE17" s="164" t="e">
        <f>IF(VLOOKUP(T_BilanSocial[[#This Row],[NumL]],T_suiviDi[#Data],COLUMN(T_suiviDi[[#This Row],[Entité]]),FALSE)="","",VLOOKUP(T_BilanSocial[[#This Row],[NumL]],T_suiviDi[#Data],COLUMN(T_suiviDi[[#This Row],[Entité]]),FALSE))</f>
        <v>#N/A</v>
      </c>
      <c r="CF17" s="164" t="str">
        <f>IF(VLOOKUP(T_BilanSocial[[#This Row],[NumL]],T_Commission[#Data],COLUMN(T_Commission[[#This Row],[envoi confirm TW]]),FALSE)="","",VLOOKUP(T_BilanSocial[[#This Row],[NumL]],T_Commission[#Data],COLUMN(T_Commission[[#This Row],[envoi confirm TW]]),FALSE))</f>
        <v>Oui</v>
      </c>
      <c r="CG1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 s="262" t="str">
        <f>T_BilanSocial[[#This Row],[Nom]]&amp;T_BilanSocial[[#This Row],[Prenom]]</f>
        <v/>
      </c>
      <c r="CI17" s="262">
        <f>VLOOKUP(T_BilanSocial[[#This Row],[NumL]],T_Commission[#Data],COLUMN(T_Commission[Commentaire]),FALSE)</f>
        <v>0</v>
      </c>
      <c r="CJ17" s="262" t="str">
        <f>IF(VLOOKUP(T_BilanSocial[[#This Row],[NumL]],T_Commission[#Data],COLUMN(T_Commission[Encadrant Email]),FALSE)="","",VLOOKUP(T_BilanSocial[[#This Row],[NumL]],T_Commission[#Data],COLUMN(T_Commission[Encadrant Email]),FALSE))</f>
        <v/>
      </c>
      <c r="CK17" s="340" t="str">
        <f>IF(T_BilanSocial[[#This Row],[Final]]&lt;&gt;"",VLOOKUP(T_BilanSocial[[#This Row],[NumL]],T_suiviDi[#Data],COLUMN((T_suiviDi[Statut])),FALSE),"")</f>
        <v/>
      </c>
    </row>
    <row r="18" spans="1:89" s="106" customFormat="1" ht="24.75" customHeight="1" x14ac:dyDescent="0.25">
      <c r="A18" s="160">
        <v>15</v>
      </c>
      <c r="B18" s="161" t="e">
        <f t="shared" si="0"/>
        <v>#N/A</v>
      </c>
      <c r="C18" s="162" t="s">
        <v>173</v>
      </c>
      <c r="D18" s="95" t="e">
        <f>IF(VLOOKUP(T_BilanSocial[[#This Row],[NumL]],T_TraitDi[#Data],COLUMN(T_TraitDi[[#This Row],[WebC]]),FALSE)="","",VLOOKUP(T_BilanSocial[[#This Row],[NumL]],T_TraitDi[#Data],COLUMN(T_TraitDi[[#This Row],[WebC]]),FALSE))</f>
        <v>#N/A</v>
      </c>
      <c r="E18" s="163" t="str">
        <f t="shared" si="1"/>
        <v>12 janvier 2021</v>
      </c>
      <c r="F18" s="96" t="e">
        <f>IF(T_BilanSocial[[#This Row],[Final]]&lt;&gt;"",VLOOKUP(T_BilanSocial[[#This Row],[NumL]],T_suiviDi[#Data],COLUMN((T_suiviDi[Civ.])),FALSE),"")</f>
        <v>#N/A</v>
      </c>
      <c r="G18" s="96" t="e">
        <f>IF(T_BilanSocial[[#This Row],[Final]]&lt;&gt;"",VLOOKUP(T_BilanSocial[[#This Row],[NumL]],T_suiviDi[#Data],COLUMN((T_suiviDi[Nom])),FALSE),"")</f>
        <v>#N/A</v>
      </c>
      <c r="H18" s="96" t="e">
        <f>IF(T_BilanSocial[[#This Row],[Final]]&lt;&gt;"",VLOOKUP(T_BilanSocial[[#This Row],[NumL]],T_suiviDi[#Data],COLUMN((T_suiviDi[Prénom])),FALSE),"")</f>
        <v>#N/A</v>
      </c>
      <c r="I18" s="96" t="str">
        <f>IFERROR(VLOOKUP(T_BilanSocial[[#This Row],[Zone_Bilan]],T_P_BilanSocial[#Data],COLUMN(T_P_BilanSocial[[#This Row],[Numero_SIHAM]]),FALSE),"")</f>
        <v/>
      </c>
      <c r="J18" s="96" t="str">
        <f>IFERROR(VLOOKUP(T_BilanSocial[[#This Row],[Zone_Bilan]],T_P_BilanSocial[#Data],COLUMN(T_P_BilanSocial[[#This Row],[Sexe]]),FALSE),"")</f>
        <v/>
      </c>
      <c r="K18" s="97" t="str">
        <f>IFERROR(VLOOKUP(T_BilanSocial[[#This Row],[Zone_Bilan]],T_P_BilanSocial[#Data],COLUMN(T_P_BilanSocial[[#This Row],[Categorie]]),FALSE),"")</f>
        <v/>
      </c>
      <c r="L18" s="96" t="str">
        <f>IFERROR(VLOOKUP(T_BilanSocial[[#This Row],[Zone_Bilan]],T_P_BilanSocial[#Data],COLUMN(T_P_BilanSocial[[#This Row],[Statut]]),FALSE),"")</f>
        <v/>
      </c>
      <c r="M18" s="96" t="str">
        <f>IFERROR(VLOOKUP(T_BilanSocial[[#This Row],[Zone_Bilan]],T_P_BilanSocial[#Data],COLUMN(T_P_BilanSocial[[#This Row],[Filiere]]),FALSE),"")</f>
        <v/>
      </c>
      <c r="N18" s="96" t="e">
        <f>VLOOKUP(T_BilanSocial[[#This Row],[NumL]],T_TraitDi[#Data],COLUMN(T_TraitDi[EXP]),FALSE)</f>
        <v>#N/A</v>
      </c>
      <c r="O18" s="96" t="e">
        <f>VLOOKUP(T_BilanSocial[[#This Row],[NumL]],T_TraitDi[#Data],COLUMN(T_TraitDi[FORM]),FALSE)</f>
        <v>#N/A</v>
      </c>
      <c r="P18" s="96" t="e">
        <f>IF(T_BilanSocial[[#This Row],[Final]]&lt;&gt;"",VLOOKUP(T_BilanSocial[[#This Row],[NumL]],T_suiviDi[#Data],COLUMN((T_suiviDi[Email])),FALSE),"")</f>
        <v>#N/A</v>
      </c>
      <c r="Q18" s="164" t="e">
        <f t="shared" si="7"/>
        <v>#N/A</v>
      </c>
      <c r="R18" s="164" t="e">
        <f t="shared" si="8"/>
        <v>#N/A</v>
      </c>
      <c r="S18" s="164" t="e">
        <f>IF(VLOOKUP(T_BilanSocial[[#This Row],[NumL]],T_suiviDi[#Data],COLUMN(T_suiviDi[[#This Row],[Service ]]),FALSE)="","",VLOOKUP(T_BilanSocial[[#This Row],[NumL]],T_suiviDi[#Data],COLUMN(T_suiviDi[[#This Row],[Service ]]),FALSE))</f>
        <v>#N/A</v>
      </c>
      <c r="T18" s="164" t="str">
        <f t="shared" si="2"/>
        <v>01 septembre 2021</v>
      </c>
      <c r="U18" s="164" t="str">
        <f t="shared" si="3"/>
        <v>30 novembre 2021</v>
      </c>
      <c r="V18" s="164" t="str">
        <f t="shared" si="6"/>
        <v>30 novembre 2021</v>
      </c>
      <c r="W18" s="176" t="e">
        <f>IF(VLOOKUP(T_BilanSocial[[#This Row],[NumL]],T_TraitDi[#Data],COLUMN(T_TraitDi[[#This Row],[M1]]),FALSE)="","",VLOOKUP(T_BilanSocial[[#This Row],[NumL]],T_TraitDi[#Data],COLUMN(T_TraitDi[[#This Row],[M1]]),FALSE))</f>
        <v>#N/A</v>
      </c>
      <c r="X18" s="176" t="e">
        <f>IF(VLOOKUP(T_BilanSocial[[#This Row],[NumL]],T_TraitDi[#Data],COLUMN(T_TraitDi[[#This Row],[M2]]),FALSE)="","",VLOOKUP(T_BilanSocial[[#This Row],[NumL]],T_TraitDi[#Data],COLUMN(T_TraitDi[[#This Row],[M2]]),FALSE))</f>
        <v>#N/A</v>
      </c>
      <c r="Y18" s="176" t="e">
        <f>IF(VLOOKUP(T_BilanSocial[[#This Row],[NumL]],T_TraitDi[#Data],COLUMN(T_TraitDi[[#This Row],[M3]]),FALSE)="","",VLOOKUP(T_BilanSocial[[#This Row],[NumL]],T_TraitDi[#Data],COLUMN(T_TraitDi[[#This Row],[M3]]),FALSE))</f>
        <v>#N/A</v>
      </c>
      <c r="Z18" s="176" t="str">
        <f t="shared" si="5"/>
        <v/>
      </c>
      <c r="AA18" s="176" t="e">
        <f>IF(VLOOKUP(T_BilanSocial[[#This Row],[NumL]],T_TraitDi[#Data],COLUMN(T_TraitDi[[#This Row],[M5]]),FALSE)="","",VLOOKUP(T_BilanSocial[[#This Row],[NumL]],T_TraitDi[#Data],COLUMN(T_TraitDi[[#This Row],[M5]]),FALSE))</f>
        <v>#N/A</v>
      </c>
      <c r="AB18" s="176" t="e">
        <f>IF(VLOOKUP(T_BilanSocial[[#This Row],[NumL]],T_TraitDi[#Data],COLUMN(T_TraitDi[[#This Row],[M6]]),FALSE)="","",VLOOKUP(T_BilanSocial[[#This Row],[NumL]],T_TraitDi[#Data],COLUMN(T_TraitDi[[#This Row],[M6]]),FALSE))</f>
        <v>#N/A</v>
      </c>
      <c r="AC18" s="165" t="e">
        <f t="shared" si="4"/>
        <v>#N/A</v>
      </c>
      <c r="AD18" s="188" t="str">
        <f>IFERROR(TEXT(VLOOKUP(T_BilanSocial[[#This Row],[NumL]],T_TraitDi[#Data],COLUMN(T_TraitDi[[#This Row],[Q2]]),FALSE),"###%"),"")</f>
        <v/>
      </c>
      <c r="AE18" s="97" t="e">
        <f>VLOOKUP(T_BilanSocial[[#This Row],[NumL]],T_TraitDi[#Data],COLUMN(T_TraitDi[[#This Row],[Reg Ponct]]),FALSE)</f>
        <v>#N/A</v>
      </c>
      <c r="AF18" s="97" t="e">
        <f>VLOOKUP(T_BilanSocial[NumL],T_TraitDi[#Data],COLUMN(T_TraitDi[[#This Row],[Jours flottants]]),FALSE)</f>
        <v>#N/A</v>
      </c>
      <c r="AG18" s="97" t="str">
        <f>IFERROR(VLOOKUP(T_BilanSocial[[#This Row],[NumL]],T_TraitDi[#Data],COLUMN(T_TraitDi[[#This Row],[Lundi]]),FALSE),"")</f>
        <v/>
      </c>
      <c r="AH18" s="172" t="e">
        <f>IF(VLOOKUP(T_BilanSocial[[#This Row],[NumL]],T_TraitDi[#Data],COLUMN(T_TraitDi[[#This Row],[Colonne3]]),FALSE)=0,"",TEXT(IFERROR(VLOOKUP(T_BilanSocial[[#This Row],[NumL]],T_TraitDi[#Data],COLUMN(T_TraitDi[[#This Row],[Colonne3]]),FALSE),""),"[hh]:mm"))</f>
        <v>#N/A</v>
      </c>
      <c r="AI18" s="172" t="e">
        <f>IF(VLOOKUP(T_BilanSocial[[#This Row],[NumL]],T_TraitDi[#Data],COLUMN(T_TraitDi[[#This Row],[Colonne4]]),FALSE)=0,"",TEXT(IFERROR(VLOOKUP(T_BilanSocial[[#This Row],[NumL]],T_TraitDi[#Data],COLUMN(T_TraitDi[[#This Row],[Colonne4]]),FALSE),""),"[hh]:mm"))</f>
        <v>#N/A</v>
      </c>
      <c r="AJ18" s="172" t="e">
        <f>IF(VLOOKUP(T_BilanSocial[[#This Row],[NumL]],T_TraitDi[#Data],COLUMN(T_TraitDi[[#This Row],[Colonne5]]),FALSE)=0,"",TEXT(IFERROR(VLOOKUP(T_BilanSocial[[#This Row],[NumL]],T_TraitDi[#Data],COLUMN(T_TraitDi[[#This Row],[Colonne5]]),FALSE),""),"[hh]:mm"))</f>
        <v>#N/A</v>
      </c>
      <c r="AK18" s="172" t="e">
        <f>IF(VLOOKUP(T_BilanSocial[[#This Row],[NumL]],T_TraitDi[#Data],COLUMN(T_TraitDi[[#This Row],[Colonne6]]),FALSE)=0,"",TEXT(IFERROR(VLOOKUP(T_BilanSocial[[#This Row],[NumL]],T_TraitDi[#Data],COLUMN(T_TraitDi[[#This Row],[Colonne6]]),FALSE),""),"[hh]:mm"))</f>
        <v>#N/A</v>
      </c>
      <c r="AL18" s="172" t="e">
        <f>IF(VLOOKUP(T_BilanSocial[[#This Row],[NumL]],T_TraitDi[#Data],COLUMN(T_TraitDi[[#This Row],[Colonne7]]),FALSE)=0,"",TEXT(IFERROR(VLOOKUP(T_BilanSocial[[#This Row],[NumL]],T_TraitDi[#Data],COLUMN(T_TraitDi[[#This Row],[Colonne7]]),FALSE),""),"[hh]:mm"))</f>
        <v>#N/A</v>
      </c>
      <c r="AM18" s="172" t="e">
        <f>IF(VLOOKUP(T_BilanSocial[[#This Row],[NumL]],T_TraitDi[#Data],COLUMN(T_TraitDi[[#This Row],[Colonne8]]),FALSE)=0,"",TEXT(IFERROR(VLOOKUP(T_BilanSocial[[#This Row],[NumL]],T_TraitDi[#Data],COLUMN(T_TraitDi[[#This Row],[Colonne8]]),FALSE),""),"[hh]:mm"))</f>
        <v>#N/A</v>
      </c>
      <c r="AN18" s="172" t="str">
        <f>IFERROR(VLOOKUP(T_BilanSocial[[#This Row],[NumL]],T_TraitDi[#Data],COLUMN(T_TraitDi[[#This Row],[Mardi]]),FALSE),"")</f>
        <v/>
      </c>
      <c r="AO18" s="172" t="e">
        <f>IF(VLOOKUP(T_BilanSocial[[#This Row],[NumL]],T_TraitDi[#Data],COLUMN(T_TraitDi[[#This Row],[Colonne1]]),FALSE)=0,"",TEXT(IFERROR(VLOOKUP(T_BilanSocial[[#This Row],[NumL]],T_TraitDi[#Data],COLUMN(T_TraitDi[[#This Row],[Colonne1]]),FALSE),""),"[hh]:mm"))</f>
        <v>#N/A</v>
      </c>
      <c r="AP18" s="172" t="e">
        <f>IF(VLOOKUP(T_BilanSocial[[#This Row],[NumL]],T_TraitDi[#Data],COLUMN(T_TraitDi[[#This Row],[Colonne9]]),FALSE)=0,"",TEXT(IFERROR(VLOOKUP(T_BilanSocial[[#This Row],[NumL]],T_TraitDi[#Data],COLUMN(T_TraitDi[[#This Row],[Colonne9]]),FALSE),""),"[hh]:mm"))</f>
        <v>#N/A</v>
      </c>
      <c r="AQ18" s="172" t="str">
        <f>IFERROR(VLOOKUP(T_BilanSocial[[#This Row],[NumL]],T_TraitDi[#Data],COLUMN(T_TraitDi[[#This Row],[Colonne10]]),FALSE),"")</f>
        <v/>
      </c>
      <c r="AR18" s="172" t="e">
        <f>IF(VLOOKUP(T_BilanSocial[[#This Row],[NumL]],T_TraitDi[#Data],COLUMN(T_TraitDi[[#This Row],[Colonne11]]),FALSE)=0,"",TEXT(IFERROR(VLOOKUP(T_BilanSocial[[#This Row],[NumL]],T_TraitDi[#Data],COLUMN(T_TraitDi[[#This Row],[Colonne11]]),FALSE),""),"[hh]:mm"))</f>
        <v>#N/A</v>
      </c>
      <c r="AS18" s="172" t="e">
        <f>IF(VLOOKUP(T_BilanSocial[[#This Row],[NumL]],T_TraitDi[#Data],COLUMN(T_TraitDi[[#This Row],[Colonne12]]),FALSE)=0,"",TEXT(IFERROR(VLOOKUP(T_BilanSocial[[#This Row],[NumL]],T_TraitDi[#Data],COLUMN(T_TraitDi[[#This Row],[Colonne12]]),FALSE),""),"[hh]:mm"))</f>
        <v>#N/A</v>
      </c>
      <c r="AT18" s="172" t="e">
        <f>IF(VLOOKUP(T_BilanSocial[[#This Row],[NumL]],T_TraitDi[#Data],COLUMN(T_TraitDi[[#This Row],[Colonne14]]),FALSE)=0,"",TEXT(IFERROR(VLOOKUP(T_BilanSocial[[#This Row],[NumL]],T_TraitDi[#Data],COLUMN(T_TraitDi[[#This Row],[Colonne14]]),FALSE),""),"[hh]:mm"))</f>
        <v>#N/A</v>
      </c>
      <c r="AU18" s="172" t="str">
        <f>IFERROR(VLOOKUP(T_BilanSocial[[#This Row],[NumL]],T_TraitDi[#Data],COLUMN(T_TraitDi[[#This Row],[Mercredi]]),FALSE),"")</f>
        <v/>
      </c>
      <c r="AV18" s="172" t="e">
        <f>IF(VLOOKUP(T_BilanSocial[[#This Row],[NumL]],T_TraitDi[#Data],COLUMN(T_TraitDi[[#This Row],[Colonne15]]),FALSE)=0,"",TEXT(IFERROR(VLOOKUP(T_BilanSocial[[#This Row],[NumL]],T_TraitDi[#Data],COLUMN(T_TraitDi[[#This Row],[Colonne15]]),FALSE),""),"[hh]:mm"))</f>
        <v>#N/A</v>
      </c>
      <c r="AW18" s="172" t="e">
        <f>IF(VLOOKUP(T_BilanSocial[[#This Row],[NumL]],T_TraitDi[#Data],COLUMN(T_TraitDi[[#This Row],[Colonne16]]),FALSE)=0,"",TEXT(IFERROR(VLOOKUP(T_BilanSocial[[#This Row],[NumL]],T_TraitDi[#Data],COLUMN(T_TraitDi[[#This Row],[Colonne16]]),FALSE),""),"[hh]:mm"))</f>
        <v>#N/A</v>
      </c>
      <c r="AX18" s="172" t="str">
        <f>IFERROR(VLOOKUP(T_BilanSocial[[#This Row],[NumL]],T_TraitDi[#Data],COLUMN(T_TraitDi[[#This Row],[Colonne17]]),FALSE),"")</f>
        <v/>
      </c>
      <c r="AY18" s="172" t="e">
        <f>IF(VLOOKUP(T_BilanSocial[[#This Row],[NumL]],T_TraitDi[#Data],COLUMN(T_TraitDi[[#This Row],[Colonne18]]),FALSE)=0,"",TEXT(IFERROR(VLOOKUP(T_BilanSocial[[#This Row],[NumL]],T_TraitDi[#Data],COLUMN(T_TraitDi[[#This Row],[Colonne18]]),FALSE),""),"[hh]:mm"))</f>
        <v>#N/A</v>
      </c>
      <c r="AZ18" s="172" t="e">
        <f>IF(VLOOKUP(T_BilanSocial[[#This Row],[NumL]],T_TraitDi[#Data],COLUMN(T_TraitDi[[#This Row],[Colonne19]]),FALSE)=0,"",TEXT(IFERROR(VLOOKUP(T_BilanSocial[[#This Row],[NumL]],T_TraitDi[#Data],COLUMN(T_TraitDi[[#This Row],[Colonne19]]),FALSE),""),"[hh]:mm"))</f>
        <v>#N/A</v>
      </c>
      <c r="BA18" s="172" t="e">
        <f>IF(VLOOKUP(T_BilanSocial[[#This Row],[NumL]],T_TraitDi[#Data],COLUMN(T_TraitDi[[#This Row],[Colonne20]]),FALSE)=0,"",TEXT(IFERROR(VLOOKUP(T_BilanSocial[[#This Row],[NumL]],T_TraitDi[#Data],COLUMN(T_TraitDi[[#This Row],[Colonne20]]),FALSE),""),"[hh]:mm"))</f>
        <v>#N/A</v>
      </c>
      <c r="BB18" s="178" t="str">
        <f>IFERROR(VLOOKUP(T_BilanSocial[[#This Row],[NumL]],T_TraitDi[#Data],COLUMN(T_TraitDi[[#This Row],[Jeudi]]),FALSE),"")</f>
        <v/>
      </c>
      <c r="BC18" s="178" t="e">
        <f>IF(VLOOKUP(T_BilanSocial[[#This Row],[NumL]],T_TraitDi[#Data],COLUMN(T_TraitDi[[#This Row],[Colonne21]]),FALSE)=0,"",TEXT(IFERROR(VLOOKUP(T_BilanSocial[[#This Row],[NumL]],T_TraitDi[#Data],COLUMN(T_TraitDi[[#This Row],[Colonne21]]),FALSE),""),"[hh]:mm"))</f>
        <v>#N/A</v>
      </c>
      <c r="BD18" s="178" t="e">
        <f>IF(VLOOKUP(T_BilanSocial[[#This Row],[NumL]],T_TraitDi[#Data],COLUMN(T_TraitDi[[#This Row],[Colonne22]]),FALSE)=0,"",TEXT(IFERROR(VLOOKUP(T_BilanSocial[[#This Row],[NumL]],T_TraitDi[#Data],COLUMN(T_TraitDi[[#This Row],[Colonne22]]),FALSE),""),"[hh]:mm"))</f>
        <v>#N/A</v>
      </c>
      <c r="BE18" s="178" t="str">
        <f>IFERROR(VLOOKUP(T_BilanSocial[[#This Row],[NumL]],T_TraitDi[#Data],COLUMN(T_TraitDi[[#This Row],[Colonne23]]),FALSE),"")</f>
        <v/>
      </c>
      <c r="BF18" s="178" t="e">
        <f>IF(VLOOKUP(T_BilanSocial[[#This Row],[NumL]],T_TraitDi[#Data],COLUMN(T_TraitDi[[#This Row],[Colonne24]]),FALSE)=0,"",TEXT(IFERROR(VLOOKUP(T_BilanSocial[[#This Row],[NumL]],T_TraitDi[#Data],COLUMN(T_TraitDi[[#This Row],[Colonne24]]),FALSE),""),"[hh]:mm"))</f>
        <v>#N/A</v>
      </c>
      <c r="BG18" s="178" t="e">
        <f>IF(VLOOKUP(T_BilanSocial[[#This Row],[NumL]],T_TraitDi[#Data],COLUMN(T_TraitDi[[#This Row],[Colonne25]]),FALSE)=0,"",TEXT(IFERROR(VLOOKUP(T_BilanSocial[[#This Row],[NumL]],T_TraitDi[#Data],COLUMN(T_TraitDi[[#This Row],[Colonne25]]),FALSE),""),"[hh]:mm"))</f>
        <v>#N/A</v>
      </c>
      <c r="BH18" s="178" t="e">
        <f>IF(VLOOKUP(T_BilanSocial[[#This Row],[NumL]],T_TraitDi[#Data],COLUMN(T_TraitDi[[#This Row],[Colonne26]]),FALSE)=0,"",TEXT(IFERROR(VLOOKUP(T_BilanSocial[[#This Row],[NumL]],T_TraitDi[#Data],COLUMN(T_TraitDi[[#This Row],[Colonne26]]),FALSE),""),"[hh]:mm"))</f>
        <v>#N/A</v>
      </c>
      <c r="BI18" s="172" t="str">
        <f>IFERROR(VLOOKUP(T_BilanSocial[[#This Row],[NumL]],T_TraitDi[#Data],COLUMN(T_TraitDi[[#This Row],[Vendredi]]),FALSE),"")</f>
        <v/>
      </c>
      <c r="BJ18" s="172" t="e">
        <f>IF(VLOOKUP(T_BilanSocial[[#This Row],[NumL]],T_TraitDi[#Data],COLUMN(T_TraitDi[[#This Row],[Colonne27]]),FALSE)=0,"",TEXT(IFERROR(VLOOKUP(T_BilanSocial[[#This Row],[NumL]],T_TraitDi[#Data],COLUMN(T_TraitDi[[#This Row],[Colonne27]]),FALSE),""),"[hh]:mm"))</f>
        <v>#N/A</v>
      </c>
      <c r="BK18" s="172" t="e">
        <f>IF(VLOOKUP(T_BilanSocial[[#This Row],[NumL]],T_TraitDi[#Data],COLUMN(T_TraitDi[[#This Row],[Colonne28]]),FALSE)=0,"",TEXT(IFERROR(VLOOKUP(T_BilanSocial[[#This Row],[NumL]],T_TraitDi[#Data],COLUMN(T_TraitDi[[#This Row],[Colonne28]]),FALSE),""),"[hh]:mm"))</f>
        <v>#N/A</v>
      </c>
      <c r="BL18" s="172" t="str">
        <f>IFERROR(VLOOKUP(T_BilanSocial[[#This Row],[NumL]],T_TraitDi[#Data],COLUMN(T_TraitDi[[#This Row],[Colonne29]]),FALSE),"")</f>
        <v/>
      </c>
      <c r="BM18" s="172" t="e">
        <f>IF(VLOOKUP(T_BilanSocial[[#This Row],[NumL]],T_TraitDi[#Data],COLUMN(T_TraitDi[[#This Row],[Colonne30]]),FALSE)=0,"",TEXT(IFERROR(VLOOKUP(T_BilanSocial[[#This Row],[NumL]],T_TraitDi[#Data],COLUMN(T_TraitDi[[#This Row],[Colonne30]]),FALSE),""),"[hh]:mm"))</f>
        <v>#N/A</v>
      </c>
      <c r="BN18" s="172" t="e">
        <f>IF(VLOOKUP(T_BilanSocial[[#This Row],[NumL]],T_TraitDi[#Data],COLUMN(T_TraitDi[[#This Row],[Colonne31]]),FALSE)=0,"",TEXT(IFERROR(VLOOKUP(T_BilanSocial[[#This Row],[NumL]],T_TraitDi[#Data],COLUMN(T_TraitDi[[#This Row],[Colonne31]]),FALSE),""),"[hh]:mm"))</f>
        <v>#N/A</v>
      </c>
      <c r="BO18" s="172" t="e">
        <f>IF(VLOOKUP(T_BilanSocial[[#This Row],[NumL]],T_TraitDi[#Data],COLUMN(T_TraitDi[[#This Row],[Colonne32]]),FALSE)=0,"",TEXT(IFERROR(VLOOKUP(T_BilanSocial[[#This Row],[NumL]],T_TraitDi[#Data],COLUMN(T_TraitDi[[#This Row],[Colonne32]]),FALSE),""),"[hh]:mm"))</f>
        <v>#N/A</v>
      </c>
      <c r="BP18" s="172" t="e">
        <f>VLOOKUP(T_BilanSocial[[#This Row],[NumL]],T_TraitDi[#Data],COLUMN(T_TraitDi[NbJTot]),FALSE)</f>
        <v>#N/A</v>
      </c>
      <c r="BQ18" s="174" t="str">
        <f>IFERROR(VLOOKUP(T_BilanSocial[[#This Row],[NumL]],T_TraitDi[#Data],COLUMN(T_TraitDi[[#This Row],[NbJTW]]),FALSE),"")</f>
        <v/>
      </c>
      <c r="BR18" s="174" t="e">
        <f>IF(VLOOKUP(T_BilanSocial[[#This Row],[NumL]],T_TraitDi[#Data],COLUMN(T_TraitDi[[#This Row],[NbhTW]]),FALSE)=0,"",TEXT(IFERROR(VLOOKUP(T_BilanSocial[[#This Row],[NumL]],T_TraitDi[#Data],COLUMN(T_TraitDi[[#This Row],[NbhTW]]),FALSE),""),"[hh]:mm"))</f>
        <v>#N/A</v>
      </c>
      <c r="BS18" s="174" t="e">
        <f>IF(VLOOKUP(T_BilanSocial[[#This Row],[NumL]],T_TraitDi[#Data],COLUMN(T_TraitDi[[#This Row],[Nbhheb]]),FALSE)=0,"",TEXT(IFERROR(VLOOKUP($A18,T_TraitDi[#Data],COLUMN(T_TraitDi[[#This Row],[Nbhheb]]),FALSE),""),"[hh]:mm"))</f>
        <v>#N/A</v>
      </c>
      <c r="BT18" s="182" t="str">
        <f>IFERROR(VLOOKUP(VLOOKUP($A18,T_TraitDi[#Data],COLUMN(T_TraitDi[[#This Row],[Type1]]),FALSE),TypeTW,2,FALSE),"")</f>
        <v/>
      </c>
      <c r="BU18" s="182" t="str">
        <f>IFERROR(VLOOKUP($A18,T_TraitDi[#Data],COLUMN(T_TraitDi[[#This Row],[Rue1]]),FALSE),"")</f>
        <v/>
      </c>
      <c r="BV18" s="173" t="str">
        <f>IFERROR(VLOOKUP($A18,T_TraitDi[#Data],COLUMN(T_TraitDi[[#This Row],[CP1]]),FALSE),"")</f>
        <v/>
      </c>
      <c r="BW18" s="173" t="str">
        <f>IFERROR(VLOOKUP($A18,T_TraitDi[#Data],COLUMN(T_TraitDi[[#This Row],[VILLE1]]),FALSE),"")</f>
        <v/>
      </c>
      <c r="BX18" s="182" t="str">
        <f>IFERROR(VLOOKUP(VLOOKUP($A18,T_TraitDi[#Data],COLUMN(T_TraitDi[[#This Row],[Type2]]),FALSE),TypeTW,2,FALSE),"")</f>
        <v/>
      </c>
      <c r="BY18" s="182" t="str">
        <f>IFERROR(VLOOKUP($A18,T_TraitDi[#Data],COLUMN(T_TraitDi[[#This Row],[Rue2]]),FALSE),"")</f>
        <v/>
      </c>
      <c r="BZ18" s="173" t="str">
        <f>IFERROR(VLOOKUP($A18,T_TraitDi[#Data],COLUMN(T_TraitDi[[#This Row],[CP2]]),FALSE),"")</f>
        <v/>
      </c>
      <c r="CA18" s="173" t="str">
        <f>IFERROR(VLOOKUP($A18,T_TraitDi[#Data],COLUMN(T_TraitDi[[#This Row],[VILLE2]]),FALSE),"")</f>
        <v/>
      </c>
      <c r="CB18" s="182" t="e">
        <f>IF(VLOOKUP(T_BilanSocial[[#This Row],[NumL]],T_Equipement[#Data],COLUMN(T_Equipement[[#This Row],[PC]]),FALSE)="","Aucun équipement spécifique directement lié au télétravail",VLOOKUP(T_BilanSocial[[#This Row],[NumL]],T_Equipement[#Data],COLUMN(T_Equipement[[#This Row],[PC]]),FALSE))</f>
        <v>#N/A</v>
      </c>
      <c r="CC18" s="166" t="str">
        <f>IFERROR(IF(VLOOKUP(T_BilanSocial[[#This Row],[NumL]],T_TraitDi[#Data],COLUMN(T_TraitDi[[#This Row],[Plan]]),FALSE)="OK","Un planning spécifique de télétravail est annexé à la présente convention.",""),"")</f>
        <v/>
      </c>
      <c r="CD18" s="258" t="s">
        <v>3410</v>
      </c>
      <c r="CE18" s="164" t="e">
        <f>IF(VLOOKUP(T_BilanSocial[[#This Row],[NumL]],T_suiviDi[#Data],COLUMN(T_suiviDi[[#This Row],[Entité]]),FALSE)="","",VLOOKUP(T_BilanSocial[[#This Row],[NumL]],T_suiviDi[#Data],COLUMN(T_suiviDi[[#This Row],[Entité]]),FALSE))</f>
        <v>#N/A</v>
      </c>
      <c r="CF18" s="164" t="e">
        <f>IF(VLOOKUP(T_BilanSocial[[#This Row],[NumL]],T_Commission[#Data],COLUMN(T_Commission[[#This Row],[envoi confirm TW]]),FALSE)="","",VLOOKUP(T_BilanSocial[[#This Row],[NumL]],T_Commission[#Data],COLUMN(T_Commission[[#This Row],[envoi confirm TW]]),FALSE))</f>
        <v>#N/A</v>
      </c>
      <c r="CG1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 s="262" t="e">
        <f>T_BilanSocial[[#This Row],[Nom]]&amp;T_BilanSocial[[#This Row],[Prenom]]</f>
        <v>#N/A</v>
      </c>
      <c r="CI18" s="262" t="e">
        <f>VLOOKUP(T_BilanSocial[[#This Row],[NumL]],T_Commission[#Data],COLUMN(T_Commission[Commentaire]),FALSE)</f>
        <v>#N/A</v>
      </c>
      <c r="CJ18" s="262" t="e">
        <f>IF(VLOOKUP(T_BilanSocial[[#This Row],[NumL]],T_Commission[#Data],COLUMN(T_Commission[Encadrant Email]),FALSE)="","",VLOOKUP(T_BilanSocial[[#This Row],[NumL]],T_Commission[#Data],COLUMN(T_Commission[Encadrant Email]),FALSE))</f>
        <v>#N/A</v>
      </c>
      <c r="CK18" s="340" t="e">
        <f>IF(T_BilanSocial[[#This Row],[Final]]&lt;&gt;"",VLOOKUP(T_BilanSocial[[#This Row],[NumL]],T_suiviDi[#Data],COLUMN((T_suiviDi[Statut])),FALSE),"")</f>
        <v>#N/A</v>
      </c>
    </row>
    <row r="19" spans="1:89" s="106" customFormat="1" ht="24.75" customHeight="1" x14ac:dyDescent="0.25">
      <c r="A19" s="160">
        <v>16</v>
      </c>
      <c r="B19" s="161" t="str">
        <f t="shared" si="0"/>
        <v/>
      </c>
      <c r="C19" s="162" t="s">
        <v>3287</v>
      </c>
      <c r="D19" s="95" t="e">
        <f>IF(VLOOKUP(T_BilanSocial[[#This Row],[NumL]],T_TraitDi[#Data],COLUMN(T_TraitDi[[#This Row],[WebC]]),FALSE)="","",VLOOKUP(T_BilanSocial[[#This Row],[NumL]],T_TraitDi[#Data],COLUMN(T_TraitDi[[#This Row],[WebC]]),FALSE))</f>
        <v>#N/A</v>
      </c>
      <c r="E19" s="163" t="str">
        <f t="shared" si="1"/>
        <v>12 janvier 2021</v>
      </c>
      <c r="F19" s="96" t="str">
        <f>IF(T_BilanSocial[[#This Row],[Final]]&lt;&gt;"",VLOOKUP(T_BilanSocial[[#This Row],[NumL]],T_suiviDi[#Data],COLUMN((T_suiviDi[Civ.])),FALSE),"")</f>
        <v/>
      </c>
      <c r="G19" s="96" t="str">
        <f>IF(T_BilanSocial[[#This Row],[Final]]&lt;&gt;"",VLOOKUP(T_BilanSocial[[#This Row],[NumL]],T_suiviDi[#Data],COLUMN((T_suiviDi[Nom])),FALSE),"")</f>
        <v/>
      </c>
      <c r="H19" s="96" t="str">
        <f>IF(T_BilanSocial[[#This Row],[Final]]&lt;&gt;"",VLOOKUP(T_BilanSocial[[#This Row],[NumL]],T_suiviDi[#Data],COLUMN((T_suiviDi[Prénom])),FALSE),"")</f>
        <v/>
      </c>
      <c r="I19" s="96" t="str">
        <f>IFERROR(VLOOKUP(T_BilanSocial[[#This Row],[Zone_Bilan]],T_P_BilanSocial[#Data],COLUMN(T_P_BilanSocial[[#This Row],[Numero_SIHAM]]),FALSE),"")</f>
        <v/>
      </c>
      <c r="J19" s="96" t="str">
        <f>IFERROR(VLOOKUP(T_BilanSocial[[#This Row],[Zone_Bilan]],T_P_BilanSocial[#Data],COLUMN(T_P_BilanSocial[[#This Row],[Sexe]]),FALSE),"")</f>
        <v/>
      </c>
      <c r="K19" s="97" t="str">
        <f>IFERROR(VLOOKUP(T_BilanSocial[[#This Row],[Zone_Bilan]],T_P_BilanSocial[#Data],COLUMN(T_P_BilanSocial[[#This Row],[Categorie]]),FALSE),"")</f>
        <v/>
      </c>
      <c r="L19" s="96" t="str">
        <f>IFERROR(VLOOKUP(T_BilanSocial[[#This Row],[Zone_Bilan]],T_P_BilanSocial[#Data],COLUMN(T_P_BilanSocial[[#This Row],[Statut]]),FALSE),"")</f>
        <v/>
      </c>
      <c r="M19" s="96" t="str">
        <f>IFERROR(VLOOKUP(T_BilanSocial[[#This Row],[Zone_Bilan]],T_P_BilanSocial[#Data],COLUMN(T_P_BilanSocial[[#This Row],[Filiere]]),FALSE),"")</f>
        <v/>
      </c>
      <c r="N19" s="96" t="e">
        <f>VLOOKUP(T_BilanSocial[[#This Row],[NumL]],T_TraitDi[#Data],COLUMN(T_TraitDi[EXP]),FALSE)</f>
        <v>#N/A</v>
      </c>
      <c r="O19" s="96" t="e">
        <f>VLOOKUP(T_BilanSocial[[#This Row],[NumL]],T_TraitDi[#Data],COLUMN(T_TraitDi[FORM]),FALSE)</f>
        <v>#N/A</v>
      </c>
      <c r="P19" s="96" t="str">
        <f>IF(T_BilanSocial[[#This Row],[Final]]&lt;&gt;"",VLOOKUP(T_BilanSocial[[#This Row],[NumL]],T_suiviDi[#Data],COLUMN((T_suiviDi[Email])),FALSE),"")</f>
        <v/>
      </c>
      <c r="Q19" s="164" t="e">
        <f t="shared" si="7"/>
        <v>#N/A</v>
      </c>
      <c r="R19" s="164" t="e">
        <f t="shared" si="8"/>
        <v>#N/A</v>
      </c>
      <c r="S19" s="164" t="e">
        <f>IF(VLOOKUP(T_BilanSocial[[#This Row],[NumL]],T_suiviDi[#Data],COLUMN(T_suiviDi[[#This Row],[Service ]]),FALSE)="","",VLOOKUP(T_BilanSocial[[#This Row],[NumL]],T_suiviDi[#Data],COLUMN(T_suiviDi[[#This Row],[Service ]]),FALSE))</f>
        <v>#N/A</v>
      </c>
      <c r="T19" s="164" t="str">
        <f t="shared" si="2"/>
        <v>01 septembre 2021</v>
      </c>
      <c r="U19" s="164" t="str">
        <f t="shared" si="3"/>
        <v>30 novembre 2021</v>
      </c>
      <c r="V19" s="164" t="str">
        <f t="shared" si="6"/>
        <v>30 novembre 2021</v>
      </c>
      <c r="W19" s="176" t="e">
        <f>IF(VLOOKUP(T_BilanSocial[[#This Row],[NumL]],T_TraitDi[#Data],COLUMN(T_TraitDi[[#This Row],[M1]]),FALSE)="","",VLOOKUP(T_BilanSocial[[#This Row],[NumL]],T_TraitDi[#Data],COLUMN(T_TraitDi[[#This Row],[M1]]),FALSE))</f>
        <v>#N/A</v>
      </c>
      <c r="X19" s="176" t="e">
        <f>IF(VLOOKUP(T_BilanSocial[[#This Row],[NumL]],T_TraitDi[#Data],COLUMN(T_TraitDi[[#This Row],[M2]]),FALSE)="","",VLOOKUP(T_BilanSocial[[#This Row],[NumL]],T_TraitDi[#Data],COLUMN(T_TraitDi[[#This Row],[M2]]),FALSE))</f>
        <v>#N/A</v>
      </c>
      <c r="Y19" s="176" t="e">
        <f>IF(VLOOKUP(T_BilanSocial[[#This Row],[NumL]],T_TraitDi[#Data],COLUMN(T_TraitDi[[#This Row],[M3]]),FALSE)="","",VLOOKUP(T_BilanSocial[[#This Row],[NumL]],T_TraitDi[#Data],COLUMN(T_TraitDi[[#This Row],[M3]]),FALSE))</f>
        <v>#N/A</v>
      </c>
      <c r="Z19" s="176" t="str">
        <f t="shared" si="5"/>
        <v/>
      </c>
      <c r="AA19" s="176" t="e">
        <f>IF(VLOOKUP(T_BilanSocial[[#This Row],[NumL]],T_TraitDi[#Data],COLUMN(T_TraitDi[[#This Row],[M5]]),FALSE)="","",VLOOKUP(T_BilanSocial[[#This Row],[NumL]],T_TraitDi[#Data],COLUMN(T_TraitDi[[#This Row],[M5]]),FALSE))</f>
        <v>#N/A</v>
      </c>
      <c r="AB19" s="176" t="e">
        <f>IF(VLOOKUP(T_BilanSocial[[#This Row],[NumL]],T_TraitDi[#Data],COLUMN(T_TraitDi[[#This Row],[M6]]),FALSE)="","",VLOOKUP(T_BilanSocial[[#This Row],[NumL]],T_TraitDi[#Data],COLUMN(T_TraitDi[[#This Row],[M6]]),FALSE))</f>
        <v>#N/A</v>
      </c>
      <c r="AC19" s="165" t="e">
        <f t="shared" si="4"/>
        <v>#N/A</v>
      </c>
      <c r="AD19" s="188" t="str">
        <f>IFERROR(TEXT(VLOOKUP(T_BilanSocial[[#This Row],[NumL]],T_TraitDi[#Data],COLUMN(T_TraitDi[[#This Row],[Q2]]),FALSE),"###%"),"")</f>
        <v/>
      </c>
      <c r="AE19" s="97" t="e">
        <f>VLOOKUP(T_BilanSocial[[#This Row],[NumL]],T_TraitDi[#Data],COLUMN(T_TraitDi[[#This Row],[Reg Ponct]]),FALSE)</f>
        <v>#N/A</v>
      </c>
      <c r="AF19" s="97" t="e">
        <f>VLOOKUP(T_BilanSocial[NumL],T_TraitDi[#Data],COLUMN(T_TraitDi[[#This Row],[Jours flottants]]),FALSE)</f>
        <v>#N/A</v>
      </c>
      <c r="AG19" s="97" t="str">
        <f>IFERROR(VLOOKUP(T_BilanSocial[[#This Row],[NumL]],T_TraitDi[#Data],COLUMN(T_TraitDi[[#This Row],[Lundi]]),FALSE),"")</f>
        <v/>
      </c>
      <c r="AH19" s="172" t="e">
        <f>IF(VLOOKUP(T_BilanSocial[[#This Row],[NumL]],T_TraitDi[#Data],COLUMN(T_TraitDi[[#This Row],[Colonne3]]),FALSE)=0,"",TEXT(IFERROR(VLOOKUP(T_BilanSocial[[#This Row],[NumL]],T_TraitDi[#Data],COLUMN(T_TraitDi[[#This Row],[Colonne3]]),FALSE),""),"[hh]:mm"))</f>
        <v>#N/A</v>
      </c>
      <c r="AI19" s="172" t="e">
        <f>IF(VLOOKUP(T_BilanSocial[[#This Row],[NumL]],T_TraitDi[#Data],COLUMN(T_TraitDi[[#This Row],[Colonne4]]),FALSE)=0,"",TEXT(IFERROR(VLOOKUP(T_BilanSocial[[#This Row],[NumL]],T_TraitDi[#Data],COLUMN(T_TraitDi[[#This Row],[Colonne4]]),FALSE),""),"[hh]:mm"))</f>
        <v>#N/A</v>
      </c>
      <c r="AJ19" s="172" t="e">
        <f>IF(VLOOKUP(T_BilanSocial[[#This Row],[NumL]],T_TraitDi[#Data],COLUMN(T_TraitDi[[#This Row],[Colonne5]]),FALSE)=0,"",TEXT(IFERROR(VLOOKUP(T_BilanSocial[[#This Row],[NumL]],T_TraitDi[#Data],COLUMN(T_TraitDi[[#This Row],[Colonne5]]),FALSE),""),"[hh]:mm"))</f>
        <v>#N/A</v>
      </c>
      <c r="AK19" s="172" t="e">
        <f>IF(VLOOKUP(T_BilanSocial[[#This Row],[NumL]],T_TraitDi[#Data],COLUMN(T_TraitDi[[#This Row],[Colonne6]]),FALSE)=0,"",TEXT(IFERROR(VLOOKUP(T_BilanSocial[[#This Row],[NumL]],T_TraitDi[#Data],COLUMN(T_TraitDi[[#This Row],[Colonne6]]),FALSE),""),"[hh]:mm"))</f>
        <v>#N/A</v>
      </c>
      <c r="AL19" s="172" t="e">
        <f>IF(VLOOKUP(T_BilanSocial[[#This Row],[NumL]],T_TraitDi[#Data],COLUMN(T_TraitDi[[#This Row],[Colonne7]]),FALSE)=0,"",TEXT(IFERROR(VLOOKUP(T_BilanSocial[[#This Row],[NumL]],T_TraitDi[#Data],COLUMN(T_TraitDi[[#This Row],[Colonne7]]),FALSE),""),"[hh]:mm"))</f>
        <v>#N/A</v>
      </c>
      <c r="AM19" s="172" t="e">
        <f>IF(VLOOKUP(T_BilanSocial[[#This Row],[NumL]],T_TraitDi[#Data],COLUMN(T_TraitDi[[#This Row],[Colonne8]]),FALSE)=0,"",TEXT(IFERROR(VLOOKUP(T_BilanSocial[[#This Row],[NumL]],T_TraitDi[#Data],COLUMN(T_TraitDi[[#This Row],[Colonne8]]),FALSE),""),"[hh]:mm"))</f>
        <v>#N/A</v>
      </c>
      <c r="AN19" s="172" t="str">
        <f>IFERROR(VLOOKUP(T_BilanSocial[[#This Row],[NumL]],T_TraitDi[#Data],COLUMN(T_TraitDi[[#This Row],[Mardi]]),FALSE),"")</f>
        <v/>
      </c>
      <c r="AO19" s="172" t="e">
        <f>IF(VLOOKUP(T_BilanSocial[[#This Row],[NumL]],T_TraitDi[#Data],COLUMN(T_TraitDi[[#This Row],[Colonne1]]),FALSE)=0,"",TEXT(IFERROR(VLOOKUP(T_BilanSocial[[#This Row],[NumL]],T_TraitDi[#Data],COLUMN(T_TraitDi[[#This Row],[Colonne1]]),FALSE),""),"[hh]:mm"))</f>
        <v>#N/A</v>
      </c>
      <c r="AP19" s="172" t="e">
        <f>IF(VLOOKUP(T_BilanSocial[[#This Row],[NumL]],T_TraitDi[#Data],COLUMN(T_TraitDi[[#This Row],[Colonne9]]),FALSE)=0,"",TEXT(IFERROR(VLOOKUP(T_BilanSocial[[#This Row],[NumL]],T_TraitDi[#Data],COLUMN(T_TraitDi[[#This Row],[Colonne9]]),FALSE),""),"[hh]:mm"))</f>
        <v>#N/A</v>
      </c>
      <c r="AQ19" s="172" t="str">
        <f>IFERROR(VLOOKUP(T_BilanSocial[[#This Row],[NumL]],T_TraitDi[#Data],COLUMN(T_TraitDi[[#This Row],[Colonne10]]),FALSE),"")</f>
        <v/>
      </c>
      <c r="AR19" s="172" t="e">
        <f>IF(VLOOKUP(T_BilanSocial[[#This Row],[NumL]],T_TraitDi[#Data],COLUMN(T_TraitDi[[#This Row],[Colonne11]]),FALSE)=0,"",TEXT(IFERROR(VLOOKUP(T_BilanSocial[[#This Row],[NumL]],T_TraitDi[#Data],COLUMN(T_TraitDi[[#This Row],[Colonne11]]),FALSE),""),"[hh]:mm"))</f>
        <v>#N/A</v>
      </c>
      <c r="AS19" s="172" t="e">
        <f>IF(VLOOKUP(T_BilanSocial[[#This Row],[NumL]],T_TraitDi[#Data],COLUMN(T_TraitDi[[#This Row],[Colonne12]]),FALSE)=0,"",TEXT(IFERROR(VLOOKUP(T_BilanSocial[[#This Row],[NumL]],T_TraitDi[#Data],COLUMN(T_TraitDi[[#This Row],[Colonne12]]),FALSE),""),"[hh]:mm"))</f>
        <v>#N/A</v>
      </c>
      <c r="AT19" s="172" t="e">
        <f>IF(VLOOKUP(T_BilanSocial[[#This Row],[NumL]],T_TraitDi[#Data],COLUMN(T_TraitDi[[#This Row],[Colonne14]]),FALSE)=0,"",TEXT(IFERROR(VLOOKUP(T_BilanSocial[[#This Row],[NumL]],T_TraitDi[#Data],COLUMN(T_TraitDi[[#This Row],[Colonne14]]),FALSE),""),"[hh]:mm"))</f>
        <v>#N/A</v>
      </c>
      <c r="AU19" s="172" t="str">
        <f>IFERROR(VLOOKUP(T_BilanSocial[[#This Row],[NumL]],T_TraitDi[#Data],COLUMN(T_TraitDi[[#This Row],[Mercredi]]),FALSE),"")</f>
        <v/>
      </c>
      <c r="AV19" s="172" t="e">
        <f>IF(VLOOKUP(T_BilanSocial[[#This Row],[NumL]],T_TraitDi[#Data],COLUMN(T_TraitDi[[#This Row],[Colonne15]]),FALSE)=0,"",TEXT(IFERROR(VLOOKUP(T_BilanSocial[[#This Row],[NumL]],T_TraitDi[#Data],COLUMN(T_TraitDi[[#This Row],[Colonne15]]),FALSE),""),"[hh]:mm"))</f>
        <v>#N/A</v>
      </c>
      <c r="AW19" s="172" t="e">
        <f>IF(VLOOKUP(T_BilanSocial[[#This Row],[NumL]],T_TraitDi[#Data],COLUMN(T_TraitDi[[#This Row],[Colonne16]]),FALSE)=0,"",TEXT(IFERROR(VLOOKUP(T_BilanSocial[[#This Row],[NumL]],T_TraitDi[#Data],COLUMN(T_TraitDi[[#This Row],[Colonne16]]),FALSE),""),"[hh]:mm"))</f>
        <v>#N/A</v>
      </c>
      <c r="AX19" s="172" t="str">
        <f>IFERROR(VLOOKUP(T_BilanSocial[[#This Row],[NumL]],T_TraitDi[#Data],COLUMN(T_TraitDi[[#This Row],[Colonne17]]),FALSE),"")</f>
        <v/>
      </c>
      <c r="AY19" s="172" t="e">
        <f>IF(VLOOKUP(T_BilanSocial[[#This Row],[NumL]],T_TraitDi[#Data],COLUMN(T_TraitDi[[#This Row],[Colonne18]]),FALSE)=0,"",TEXT(IFERROR(VLOOKUP(T_BilanSocial[[#This Row],[NumL]],T_TraitDi[#Data],COLUMN(T_TraitDi[[#This Row],[Colonne18]]),FALSE),""),"[hh]:mm"))</f>
        <v>#N/A</v>
      </c>
      <c r="AZ19" s="172" t="e">
        <f>IF(VLOOKUP(T_BilanSocial[[#This Row],[NumL]],T_TraitDi[#Data],COLUMN(T_TraitDi[[#This Row],[Colonne19]]),FALSE)=0,"",TEXT(IFERROR(VLOOKUP(T_BilanSocial[[#This Row],[NumL]],T_TraitDi[#Data],COLUMN(T_TraitDi[[#This Row],[Colonne19]]),FALSE),""),"[hh]:mm"))</f>
        <v>#N/A</v>
      </c>
      <c r="BA19" s="172" t="e">
        <f>IF(VLOOKUP(T_BilanSocial[[#This Row],[NumL]],T_TraitDi[#Data],COLUMN(T_TraitDi[[#This Row],[Colonne20]]),FALSE)=0,"",TEXT(IFERROR(VLOOKUP(T_BilanSocial[[#This Row],[NumL]],T_TraitDi[#Data],COLUMN(T_TraitDi[[#This Row],[Colonne20]]),FALSE),""),"[hh]:mm"))</f>
        <v>#N/A</v>
      </c>
      <c r="BB19" s="178" t="str">
        <f>IFERROR(VLOOKUP(T_BilanSocial[[#This Row],[NumL]],T_TraitDi[#Data],COLUMN(T_TraitDi[[#This Row],[Jeudi]]),FALSE),"")</f>
        <v/>
      </c>
      <c r="BC19" s="178" t="e">
        <f>IF(VLOOKUP(T_BilanSocial[[#This Row],[NumL]],T_TraitDi[#Data],COLUMN(T_TraitDi[[#This Row],[Colonne21]]),FALSE)=0,"",TEXT(IFERROR(VLOOKUP(T_BilanSocial[[#This Row],[NumL]],T_TraitDi[#Data],COLUMN(T_TraitDi[[#This Row],[Colonne21]]),FALSE),""),"[hh]:mm"))</f>
        <v>#N/A</v>
      </c>
      <c r="BD19" s="178" t="e">
        <f>IF(VLOOKUP(T_BilanSocial[[#This Row],[NumL]],T_TraitDi[#Data],COLUMN(T_TraitDi[[#This Row],[Colonne22]]),FALSE)=0,"",TEXT(IFERROR(VLOOKUP(T_BilanSocial[[#This Row],[NumL]],T_TraitDi[#Data],COLUMN(T_TraitDi[[#This Row],[Colonne22]]),FALSE),""),"[hh]:mm"))</f>
        <v>#N/A</v>
      </c>
      <c r="BE19" s="178" t="str">
        <f>IFERROR(VLOOKUP(T_BilanSocial[[#This Row],[NumL]],T_TraitDi[#Data],COLUMN(T_TraitDi[[#This Row],[Colonne23]]),FALSE),"")</f>
        <v/>
      </c>
      <c r="BF19" s="178" t="e">
        <f>IF(VLOOKUP(T_BilanSocial[[#This Row],[NumL]],T_TraitDi[#Data],COLUMN(T_TraitDi[[#This Row],[Colonne24]]),FALSE)=0,"",TEXT(IFERROR(VLOOKUP(T_BilanSocial[[#This Row],[NumL]],T_TraitDi[#Data],COLUMN(T_TraitDi[[#This Row],[Colonne24]]),FALSE),""),"[hh]:mm"))</f>
        <v>#N/A</v>
      </c>
      <c r="BG19" s="178" t="e">
        <f>IF(VLOOKUP(T_BilanSocial[[#This Row],[NumL]],T_TraitDi[#Data],COLUMN(T_TraitDi[[#This Row],[Colonne25]]),FALSE)=0,"",TEXT(IFERROR(VLOOKUP(T_BilanSocial[[#This Row],[NumL]],T_TraitDi[#Data],COLUMN(T_TraitDi[[#This Row],[Colonne25]]),FALSE),""),"[hh]:mm"))</f>
        <v>#N/A</v>
      </c>
      <c r="BH19" s="178" t="e">
        <f>IF(VLOOKUP(T_BilanSocial[[#This Row],[NumL]],T_TraitDi[#Data],COLUMN(T_TraitDi[[#This Row],[Colonne26]]),FALSE)=0,"",TEXT(IFERROR(VLOOKUP(T_BilanSocial[[#This Row],[NumL]],T_TraitDi[#Data],COLUMN(T_TraitDi[[#This Row],[Colonne26]]),FALSE),""),"[hh]:mm"))</f>
        <v>#N/A</v>
      </c>
      <c r="BI19" s="172" t="str">
        <f>IFERROR(VLOOKUP(T_BilanSocial[[#This Row],[NumL]],T_TraitDi[#Data],COLUMN(T_TraitDi[[#This Row],[Vendredi]]),FALSE),"")</f>
        <v/>
      </c>
      <c r="BJ19" s="172" t="e">
        <f>IF(VLOOKUP(T_BilanSocial[[#This Row],[NumL]],T_TraitDi[#Data],COLUMN(T_TraitDi[[#This Row],[Colonne27]]),FALSE)=0,"",TEXT(IFERROR(VLOOKUP(T_BilanSocial[[#This Row],[NumL]],T_TraitDi[#Data],COLUMN(T_TraitDi[[#This Row],[Colonne27]]),FALSE),""),"[hh]:mm"))</f>
        <v>#N/A</v>
      </c>
      <c r="BK19" s="172" t="e">
        <f>IF(VLOOKUP(T_BilanSocial[[#This Row],[NumL]],T_TraitDi[#Data],COLUMN(T_TraitDi[[#This Row],[Colonne28]]),FALSE)=0,"",TEXT(IFERROR(VLOOKUP(T_BilanSocial[[#This Row],[NumL]],T_TraitDi[#Data],COLUMN(T_TraitDi[[#This Row],[Colonne28]]),FALSE),""),"[hh]:mm"))</f>
        <v>#N/A</v>
      </c>
      <c r="BL19" s="172" t="str">
        <f>IFERROR(VLOOKUP(T_BilanSocial[[#This Row],[NumL]],T_TraitDi[#Data],COLUMN(T_TraitDi[[#This Row],[Colonne29]]),FALSE),"")</f>
        <v/>
      </c>
      <c r="BM19" s="172" t="e">
        <f>IF(VLOOKUP(T_BilanSocial[[#This Row],[NumL]],T_TraitDi[#Data],COLUMN(T_TraitDi[[#This Row],[Colonne30]]),FALSE)=0,"",TEXT(IFERROR(VLOOKUP(T_BilanSocial[[#This Row],[NumL]],T_TraitDi[#Data],COLUMN(T_TraitDi[[#This Row],[Colonne30]]),FALSE),""),"[hh]:mm"))</f>
        <v>#N/A</v>
      </c>
      <c r="BN19" s="172" t="e">
        <f>IF(VLOOKUP(T_BilanSocial[[#This Row],[NumL]],T_TraitDi[#Data],COLUMN(T_TraitDi[[#This Row],[Colonne31]]),FALSE)=0,"",TEXT(IFERROR(VLOOKUP(T_BilanSocial[[#This Row],[NumL]],T_TraitDi[#Data],COLUMN(T_TraitDi[[#This Row],[Colonne31]]),FALSE),""),"[hh]:mm"))</f>
        <v>#N/A</v>
      </c>
      <c r="BO19" s="172" t="e">
        <f>IF(VLOOKUP(T_BilanSocial[[#This Row],[NumL]],T_TraitDi[#Data],COLUMN(T_TraitDi[[#This Row],[Colonne32]]),FALSE)=0,"",TEXT(IFERROR(VLOOKUP(T_BilanSocial[[#This Row],[NumL]],T_TraitDi[#Data],COLUMN(T_TraitDi[[#This Row],[Colonne32]]),FALSE),""),"[hh]:mm"))</f>
        <v>#N/A</v>
      </c>
      <c r="BP19" s="172" t="e">
        <f>VLOOKUP(T_BilanSocial[[#This Row],[NumL]],T_TraitDi[#Data],COLUMN(T_TraitDi[NbJTot]),FALSE)</f>
        <v>#N/A</v>
      </c>
      <c r="BQ19" s="174" t="str">
        <f>IFERROR(VLOOKUP(T_BilanSocial[[#This Row],[NumL]],T_TraitDi[#Data],COLUMN(T_TraitDi[[#This Row],[NbJTW]]),FALSE),"")</f>
        <v/>
      </c>
      <c r="BR19" s="174" t="e">
        <f>IF(VLOOKUP(T_BilanSocial[[#This Row],[NumL]],T_TraitDi[#Data],COLUMN(T_TraitDi[[#This Row],[NbhTW]]),FALSE)=0,"",TEXT(IFERROR(VLOOKUP(T_BilanSocial[[#This Row],[NumL]],T_TraitDi[#Data],COLUMN(T_TraitDi[[#This Row],[NbhTW]]),FALSE),""),"[hh]:mm"))</f>
        <v>#N/A</v>
      </c>
      <c r="BS19" s="174" t="e">
        <f>IF(VLOOKUP(T_BilanSocial[[#This Row],[NumL]],T_TraitDi[#Data],COLUMN(T_TraitDi[[#This Row],[Nbhheb]]),FALSE)=0,"",TEXT(IFERROR(VLOOKUP($A19,T_TraitDi[#Data],COLUMN(T_TraitDi[[#This Row],[Nbhheb]]),FALSE),""),"[hh]:mm"))</f>
        <v>#N/A</v>
      </c>
      <c r="BT19" s="182" t="str">
        <f>IFERROR(VLOOKUP(VLOOKUP($A19,T_TraitDi[#Data],COLUMN(T_TraitDi[[#This Row],[Type1]]),FALSE),TypeTW,2,FALSE),"")</f>
        <v/>
      </c>
      <c r="BU19" s="182" t="str">
        <f>IFERROR(VLOOKUP($A19,T_TraitDi[#Data],COLUMN(T_TraitDi[[#This Row],[Rue1]]),FALSE),"")</f>
        <v/>
      </c>
      <c r="BV19" s="173" t="str">
        <f>IFERROR(VLOOKUP($A19,T_TraitDi[#Data],COLUMN(T_TraitDi[[#This Row],[CP1]]),FALSE),"")</f>
        <v/>
      </c>
      <c r="BW19" s="173" t="str">
        <f>IFERROR(VLOOKUP($A19,T_TraitDi[#Data],COLUMN(T_TraitDi[[#This Row],[VILLE1]]),FALSE),"")</f>
        <v/>
      </c>
      <c r="BX19" s="182" t="str">
        <f>IFERROR(VLOOKUP(VLOOKUP($A19,T_TraitDi[#Data],COLUMN(T_TraitDi[[#This Row],[Type2]]),FALSE),TypeTW,2,FALSE),"")</f>
        <v/>
      </c>
      <c r="BY19" s="182" t="str">
        <f>IFERROR(VLOOKUP($A19,T_TraitDi[#Data],COLUMN(T_TraitDi[[#This Row],[Rue2]]),FALSE),"")</f>
        <v/>
      </c>
      <c r="BZ19" s="173" t="str">
        <f>IFERROR(VLOOKUP($A19,T_TraitDi[#Data],COLUMN(T_TraitDi[[#This Row],[CP2]]),FALSE),"")</f>
        <v/>
      </c>
      <c r="CA19" s="173" t="str">
        <f>IFERROR(VLOOKUP($A19,T_TraitDi[#Data],COLUMN(T_TraitDi[[#This Row],[VILLE2]]),FALSE),"")</f>
        <v/>
      </c>
      <c r="CB19" s="182" t="str">
        <f>IF(VLOOKUP(T_BilanSocial[[#This Row],[NumL]],T_Equipement[#Data],COLUMN(T_Equipement[[#This Row],[PC]]),FALSE)="","Aucun équipement spécifique directement lié au télétravail",VLOOKUP(T_BilanSocial[[#This Row],[NumL]],T_Equipement[#Data],COLUMN(T_Equipement[[#This Row],[PC]]),FALSE))</f>
        <v xml:space="preserve">16-087	</v>
      </c>
      <c r="CC19" s="166" t="str">
        <f>IFERROR(IF(VLOOKUP(T_BilanSocial[[#This Row],[NumL]],T_TraitDi[#Data],COLUMN(T_TraitDi[[#This Row],[Plan]]),FALSE)="OK","Un planning spécifique de télétravail est annexé à la présente convention.",""),"")</f>
        <v/>
      </c>
      <c r="CD19" s="185"/>
      <c r="CE19" s="164" t="e">
        <f>IF(VLOOKUP(T_BilanSocial[[#This Row],[NumL]],T_suiviDi[#Data],COLUMN(T_suiviDi[[#This Row],[Entité]]),FALSE)="","",VLOOKUP(T_BilanSocial[[#This Row],[NumL]],T_suiviDi[#Data],COLUMN(T_suiviDi[[#This Row],[Entité]]),FALSE))</f>
        <v>#N/A</v>
      </c>
      <c r="CF19" s="164" t="str">
        <f>IF(VLOOKUP(T_BilanSocial[[#This Row],[NumL]],T_Commission[#Data],COLUMN(T_Commission[[#This Row],[envoi confirm TW]]),FALSE)="","",VLOOKUP(T_BilanSocial[[#This Row],[NumL]],T_Commission[#Data],COLUMN(T_Commission[[#This Row],[envoi confirm TW]]),FALSE))</f>
        <v>Oui</v>
      </c>
      <c r="CG1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 s="262" t="str">
        <f>T_BilanSocial[[#This Row],[Nom]]&amp;T_BilanSocial[[#This Row],[Prenom]]</f>
        <v/>
      </c>
      <c r="CI19" s="262">
        <f>VLOOKUP(T_BilanSocial[[#This Row],[NumL]],T_Commission[#Data],COLUMN(T_Commission[Commentaire]),FALSE)</f>
        <v>0</v>
      </c>
      <c r="CJ19" s="262" t="str">
        <f>IF(VLOOKUP(T_BilanSocial[[#This Row],[NumL]],T_Commission[#Data],COLUMN(T_Commission[Encadrant Email]),FALSE)="","",VLOOKUP(T_BilanSocial[[#This Row],[NumL]],T_Commission[#Data],COLUMN(T_Commission[Encadrant Email]),FALSE))</f>
        <v/>
      </c>
      <c r="CK19" s="340" t="str">
        <f>IF(T_BilanSocial[[#This Row],[Final]]&lt;&gt;"",VLOOKUP(T_BilanSocial[[#This Row],[NumL]],T_suiviDi[#Data],COLUMN((T_suiviDi[Statut])),FALSE),"")</f>
        <v/>
      </c>
    </row>
    <row r="20" spans="1:89" s="106" customFormat="1" ht="24.75" customHeight="1" x14ac:dyDescent="0.25">
      <c r="A20" s="160">
        <v>17</v>
      </c>
      <c r="B20" s="161" t="str">
        <f t="shared" si="0"/>
        <v/>
      </c>
      <c r="C20" s="162" t="s">
        <v>173</v>
      </c>
      <c r="D20" s="95" t="e">
        <f>IF(VLOOKUP(T_BilanSocial[[#This Row],[NumL]],T_TraitDi[#Data],COLUMN(T_TraitDi[[#This Row],[WebC]]),FALSE)="","",VLOOKUP(T_BilanSocial[[#This Row],[NumL]],T_TraitDi[#Data],COLUMN(T_TraitDi[[#This Row],[WebC]]),FALSE))</f>
        <v>#N/A</v>
      </c>
      <c r="E20" s="163" t="str">
        <f t="shared" si="1"/>
        <v>12 janvier 2021</v>
      </c>
      <c r="F20" s="96" t="str">
        <f>IF(T_BilanSocial[[#This Row],[Final]]&lt;&gt;"",VLOOKUP(T_BilanSocial[[#This Row],[NumL]],T_suiviDi[#Data],COLUMN((T_suiviDi[Civ.])),FALSE),"")</f>
        <v/>
      </c>
      <c r="G20" s="96" t="str">
        <f>IF(T_BilanSocial[[#This Row],[Final]]&lt;&gt;"",VLOOKUP(T_BilanSocial[[#This Row],[NumL]],T_suiviDi[#Data],COLUMN((T_suiviDi[Nom])),FALSE),"")</f>
        <v/>
      </c>
      <c r="H20" s="96" t="str">
        <f>IF(T_BilanSocial[[#This Row],[Final]]&lt;&gt;"",VLOOKUP(T_BilanSocial[[#This Row],[NumL]],T_suiviDi[#Data],COLUMN((T_suiviDi[Prénom])),FALSE),"")</f>
        <v/>
      </c>
      <c r="I20" s="96" t="str">
        <f>IFERROR(VLOOKUP(T_BilanSocial[[#This Row],[Zone_Bilan]],T_P_BilanSocial[#Data],COLUMN(T_P_BilanSocial[[#This Row],[Numero_SIHAM]]),FALSE),"")</f>
        <v/>
      </c>
      <c r="J20" s="96" t="str">
        <f>IFERROR(VLOOKUP(T_BilanSocial[[#This Row],[Zone_Bilan]],T_P_BilanSocial[#Data],COLUMN(T_P_BilanSocial[[#This Row],[Sexe]]),FALSE),"")</f>
        <v/>
      </c>
      <c r="K20" s="97" t="str">
        <f>IFERROR(VLOOKUP(T_BilanSocial[[#This Row],[Zone_Bilan]],T_P_BilanSocial[#Data],COLUMN(T_P_BilanSocial[[#This Row],[Categorie]]),FALSE),"")</f>
        <v/>
      </c>
      <c r="L20" s="96" t="str">
        <f>IFERROR(VLOOKUP(T_BilanSocial[[#This Row],[Zone_Bilan]],T_P_BilanSocial[#Data],COLUMN(T_P_BilanSocial[[#This Row],[Statut]]),FALSE),"")</f>
        <v/>
      </c>
      <c r="M20" s="96" t="str">
        <f>IFERROR(VLOOKUP(T_BilanSocial[[#This Row],[Zone_Bilan]],T_P_BilanSocial[#Data],COLUMN(T_P_BilanSocial[[#This Row],[Filiere]]),FALSE),"")</f>
        <v/>
      </c>
      <c r="N20" s="96" t="e">
        <f>VLOOKUP(T_BilanSocial[[#This Row],[NumL]],T_TraitDi[#Data],COLUMN(T_TraitDi[EXP]),FALSE)</f>
        <v>#N/A</v>
      </c>
      <c r="O20" s="96" t="e">
        <f>VLOOKUP(T_BilanSocial[[#This Row],[NumL]],T_TraitDi[#Data],COLUMN(T_TraitDi[FORM]),FALSE)</f>
        <v>#N/A</v>
      </c>
      <c r="P20" s="96" t="str">
        <f>IF(T_BilanSocial[[#This Row],[Final]]&lt;&gt;"",VLOOKUP(T_BilanSocial[[#This Row],[NumL]],T_suiviDi[#Data],COLUMN((T_suiviDi[Email])),FALSE),"")</f>
        <v/>
      </c>
      <c r="Q20" s="164" t="e">
        <f t="shared" si="7"/>
        <v>#N/A</v>
      </c>
      <c r="R20" s="164" t="e">
        <f t="shared" si="8"/>
        <v>#N/A</v>
      </c>
      <c r="S20" s="164" t="e">
        <f>IF(VLOOKUP(T_BilanSocial[[#This Row],[NumL]],T_suiviDi[#Data],COLUMN(T_suiviDi[[#This Row],[Service ]]),FALSE)="","",VLOOKUP(T_BilanSocial[[#This Row],[NumL]],T_suiviDi[#Data],COLUMN(T_suiviDi[[#This Row],[Service ]]),FALSE))</f>
        <v>#N/A</v>
      </c>
      <c r="T20" s="164" t="str">
        <f t="shared" si="2"/>
        <v>01 septembre 2021</v>
      </c>
      <c r="U20" s="164" t="str">
        <f t="shared" si="3"/>
        <v>30 novembre 2021</v>
      </c>
      <c r="V20" s="164" t="str">
        <f t="shared" si="6"/>
        <v>30 novembre 2021</v>
      </c>
      <c r="W20" s="176" t="e">
        <f>IF(VLOOKUP(T_BilanSocial[[#This Row],[NumL]],T_TraitDi[#Data],COLUMN(T_TraitDi[[#This Row],[M1]]),FALSE)="","",VLOOKUP(T_BilanSocial[[#This Row],[NumL]],T_TraitDi[#Data],COLUMN(T_TraitDi[[#This Row],[M1]]),FALSE))</f>
        <v>#N/A</v>
      </c>
      <c r="X20" s="176" t="e">
        <f>IF(VLOOKUP(T_BilanSocial[[#This Row],[NumL]],T_TraitDi[#Data],COLUMN(T_TraitDi[[#This Row],[M2]]),FALSE)="","",VLOOKUP(T_BilanSocial[[#This Row],[NumL]],T_TraitDi[#Data],COLUMN(T_TraitDi[[#This Row],[M2]]),FALSE))</f>
        <v>#N/A</v>
      </c>
      <c r="Y20" s="176" t="e">
        <f>IF(VLOOKUP(T_BilanSocial[[#This Row],[NumL]],T_TraitDi[#Data],COLUMN(T_TraitDi[[#This Row],[M3]]),FALSE)="","",VLOOKUP(T_BilanSocial[[#This Row],[NumL]],T_TraitDi[#Data],COLUMN(T_TraitDi[[#This Row],[M3]]),FALSE))</f>
        <v>#N/A</v>
      </c>
      <c r="Z20" s="176" t="str">
        <f t="shared" si="5"/>
        <v/>
      </c>
      <c r="AA20" s="176" t="e">
        <f>IF(VLOOKUP(T_BilanSocial[[#This Row],[NumL]],T_TraitDi[#Data],COLUMN(T_TraitDi[[#This Row],[M5]]),FALSE)="","",VLOOKUP(T_BilanSocial[[#This Row],[NumL]],T_TraitDi[#Data],COLUMN(T_TraitDi[[#This Row],[M5]]),FALSE))</f>
        <v>#N/A</v>
      </c>
      <c r="AB20" s="176" t="e">
        <f>IF(VLOOKUP(T_BilanSocial[[#This Row],[NumL]],T_TraitDi[#Data],COLUMN(T_TraitDi[[#This Row],[M6]]),FALSE)="","",VLOOKUP(T_BilanSocial[[#This Row],[NumL]],T_TraitDi[#Data],COLUMN(T_TraitDi[[#This Row],[M6]]),FALSE))</f>
        <v>#N/A</v>
      </c>
      <c r="AC20" s="165" t="e">
        <f t="shared" si="4"/>
        <v>#N/A</v>
      </c>
      <c r="AD20" s="188" t="str">
        <f>IFERROR(TEXT(VLOOKUP(T_BilanSocial[[#This Row],[NumL]],T_TraitDi[#Data],COLUMN(T_TraitDi[[#This Row],[Q2]]),FALSE),"###%"),"")</f>
        <v/>
      </c>
      <c r="AE20" s="97" t="e">
        <f>VLOOKUP(T_BilanSocial[[#This Row],[NumL]],T_TraitDi[#Data],COLUMN(T_TraitDi[[#This Row],[Reg Ponct]]),FALSE)</f>
        <v>#N/A</v>
      </c>
      <c r="AF20" s="97" t="e">
        <f>VLOOKUP(T_BilanSocial[NumL],T_TraitDi[#Data],COLUMN(T_TraitDi[[#This Row],[Jours flottants]]),FALSE)</f>
        <v>#N/A</v>
      </c>
      <c r="AG20" s="97" t="str">
        <f>IFERROR(VLOOKUP(T_BilanSocial[[#This Row],[NumL]],T_TraitDi[#Data],COLUMN(T_TraitDi[[#This Row],[Lundi]]),FALSE),"")</f>
        <v/>
      </c>
      <c r="AH20" s="172" t="e">
        <f>IF(VLOOKUP(T_BilanSocial[[#This Row],[NumL]],T_TraitDi[#Data],COLUMN(T_TraitDi[[#This Row],[Colonne3]]),FALSE)=0,"",TEXT(IFERROR(VLOOKUP(T_BilanSocial[[#This Row],[NumL]],T_TraitDi[#Data],COLUMN(T_TraitDi[[#This Row],[Colonne3]]),FALSE),""),"[hh]:mm"))</f>
        <v>#N/A</v>
      </c>
      <c r="AI20" s="172" t="e">
        <f>IF(VLOOKUP(T_BilanSocial[[#This Row],[NumL]],T_TraitDi[#Data],COLUMN(T_TraitDi[[#This Row],[Colonne4]]),FALSE)=0,"",TEXT(IFERROR(VLOOKUP(T_BilanSocial[[#This Row],[NumL]],T_TraitDi[#Data],COLUMN(T_TraitDi[[#This Row],[Colonne4]]),FALSE),""),"[hh]:mm"))</f>
        <v>#N/A</v>
      </c>
      <c r="AJ20" s="172" t="e">
        <f>IF(VLOOKUP(T_BilanSocial[[#This Row],[NumL]],T_TraitDi[#Data],COLUMN(T_TraitDi[[#This Row],[Colonne5]]),FALSE)=0,"",TEXT(IFERROR(VLOOKUP(T_BilanSocial[[#This Row],[NumL]],T_TraitDi[#Data],COLUMN(T_TraitDi[[#This Row],[Colonne5]]),FALSE),""),"[hh]:mm"))</f>
        <v>#N/A</v>
      </c>
      <c r="AK20" s="172" t="e">
        <f>IF(VLOOKUP(T_BilanSocial[[#This Row],[NumL]],T_TraitDi[#Data],COLUMN(T_TraitDi[[#This Row],[Colonne6]]),FALSE)=0,"",TEXT(IFERROR(VLOOKUP(T_BilanSocial[[#This Row],[NumL]],T_TraitDi[#Data],COLUMN(T_TraitDi[[#This Row],[Colonne6]]),FALSE),""),"[hh]:mm"))</f>
        <v>#N/A</v>
      </c>
      <c r="AL20" s="172" t="e">
        <f>IF(VLOOKUP(T_BilanSocial[[#This Row],[NumL]],T_TraitDi[#Data],COLUMN(T_TraitDi[[#This Row],[Colonne7]]),FALSE)=0,"",TEXT(IFERROR(VLOOKUP(T_BilanSocial[[#This Row],[NumL]],T_TraitDi[#Data],COLUMN(T_TraitDi[[#This Row],[Colonne7]]),FALSE),""),"[hh]:mm"))</f>
        <v>#N/A</v>
      </c>
      <c r="AM20" s="172" t="e">
        <f>IF(VLOOKUP(T_BilanSocial[[#This Row],[NumL]],T_TraitDi[#Data],COLUMN(T_TraitDi[[#This Row],[Colonne8]]),FALSE)=0,"",TEXT(IFERROR(VLOOKUP(T_BilanSocial[[#This Row],[NumL]],T_TraitDi[#Data],COLUMN(T_TraitDi[[#This Row],[Colonne8]]),FALSE),""),"[hh]:mm"))</f>
        <v>#N/A</v>
      </c>
      <c r="AN20" s="172" t="str">
        <f>IFERROR(VLOOKUP(T_BilanSocial[[#This Row],[NumL]],T_TraitDi[#Data],COLUMN(T_TraitDi[[#This Row],[Mardi]]),FALSE),"")</f>
        <v/>
      </c>
      <c r="AO20" s="172" t="e">
        <f>IF(VLOOKUP(T_BilanSocial[[#This Row],[NumL]],T_TraitDi[#Data],COLUMN(T_TraitDi[[#This Row],[Colonne1]]),FALSE)=0,"",TEXT(IFERROR(VLOOKUP(T_BilanSocial[[#This Row],[NumL]],T_TraitDi[#Data],COLUMN(T_TraitDi[[#This Row],[Colonne1]]),FALSE),""),"[hh]:mm"))</f>
        <v>#N/A</v>
      </c>
      <c r="AP20" s="172" t="e">
        <f>IF(VLOOKUP(T_BilanSocial[[#This Row],[NumL]],T_TraitDi[#Data],COLUMN(T_TraitDi[[#This Row],[Colonne9]]),FALSE)=0,"",TEXT(IFERROR(VLOOKUP(T_BilanSocial[[#This Row],[NumL]],T_TraitDi[#Data],COLUMN(T_TraitDi[[#This Row],[Colonne9]]),FALSE),""),"[hh]:mm"))</f>
        <v>#N/A</v>
      </c>
      <c r="AQ20" s="172" t="str">
        <f>IFERROR(VLOOKUP(T_BilanSocial[[#This Row],[NumL]],T_TraitDi[#Data],COLUMN(T_TraitDi[[#This Row],[Colonne10]]),FALSE),"")</f>
        <v/>
      </c>
      <c r="AR20" s="172" t="e">
        <f>IF(VLOOKUP(T_BilanSocial[[#This Row],[NumL]],T_TraitDi[#Data],COLUMN(T_TraitDi[[#This Row],[Colonne11]]),FALSE)=0,"",TEXT(IFERROR(VLOOKUP(T_BilanSocial[[#This Row],[NumL]],T_TraitDi[#Data],COLUMN(T_TraitDi[[#This Row],[Colonne11]]),FALSE),""),"[hh]:mm"))</f>
        <v>#N/A</v>
      </c>
      <c r="AS20" s="172" t="e">
        <f>IF(VLOOKUP(T_BilanSocial[[#This Row],[NumL]],T_TraitDi[#Data],COLUMN(T_TraitDi[[#This Row],[Colonne12]]),FALSE)=0,"",TEXT(IFERROR(VLOOKUP(T_BilanSocial[[#This Row],[NumL]],T_TraitDi[#Data],COLUMN(T_TraitDi[[#This Row],[Colonne12]]),FALSE),""),"[hh]:mm"))</f>
        <v>#N/A</v>
      </c>
      <c r="AT20" s="172" t="e">
        <f>IF(VLOOKUP(T_BilanSocial[[#This Row],[NumL]],T_TraitDi[#Data],COLUMN(T_TraitDi[[#This Row],[Colonne14]]),FALSE)=0,"",TEXT(IFERROR(VLOOKUP(T_BilanSocial[[#This Row],[NumL]],T_TraitDi[#Data],COLUMN(T_TraitDi[[#This Row],[Colonne14]]),FALSE),""),"[hh]:mm"))</f>
        <v>#N/A</v>
      </c>
      <c r="AU20" s="172" t="str">
        <f>IFERROR(VLOOKUP(T_BilanSocial[[#This Row],[NumL]],T_TraitDi[#Data],COLUMN(T_TraitDi[[#This Row],[Mercredi]]),FALSE),"")</f>
        <v/>
      </c>
      <c r="AV20" s="172" t="e">
        <f>IF(VLOOKUP(T_BilanSocial[[#This Row],[NumL]],T_TraitDi[#Data],COLUMN(T_TraitDi[[#This Row],[Colonne15]]),FALSE)=0,"",TEXT(IFERROR(VLOOKUP(T_BilanSocial[[#This Row],[NumL]],T_TraitDi[#Data],COLUMN(T_TraitDi[[#This Row],[Colonne15]]),FALSE),""),"[hh]:mm"))</f>
        <v>#N/A</v>
      </c>
      <c r="AW20" s="172" t="e">
        <f>IF(VLOOKUP(T_BilanSocial[[#This Row],[NumL]],T_TraitDi[#Data],COLUMN(T_TraitDi[[#This Row],[Colonne16]]),FALSE)=0,"",TEXT(IFERROR(VLOOKUP(T_BilanSocial[[#This Row],[NumL]],T_TraitDi[#Data],COLUMN(T_TraitDi[[#This Row],[Colonne16]]),FALSE),""),"[hh]:mm"))</f>
        <v>#N/A</v>
      </c>
      <c r="AX20" s="172" t="str">
        <f>IFERROR(VLOOKUP(T_BilanSocial[[#This Row],[NumL]],T_TraitDi[#Data],COLUMN(T_TraitDi[[#This Row],[Colonne17]]),FALSE),"")</f>
        <v/>
      </c>
      <c r="AY20" s="172" t="e">
        <f>IF(VLOOKUP(T_BilanSocial[[#This Row],[NumL]],T_TraitDi[#Data],COLUMN(T_TraitDi[[#This Row],[Colonne18]]),FALSE)=0,"",TEXT(IFERROR(VLOOKUP(T_BilanSocial[[#This Row],[NumL]],T_TraitDi[#Data],COLUMN(T_TraitDi[[#This Row],[Colonne18]]),FALSE),""),"[hh]:mm"))</f>
        <v>#N/A</v>
      </c>
      <c r="AZ20" s="172" t="e">
        <f>IF(VLOOKUP(T_BilanSocial[[#This Row],[NumL]],T_TraitDi[#Data],COLUMN(T_TraitDi[[#This Row],[Colonne19]]),FALSE)=0,"",TEXT(IFERROR(VLOOKUP(T_BilanSocial[[#This Row],[NumL]],T_TraitDi[#Data],COLUMN(T_TraitDi[[#This Row],[Colonne19]]),FALSE),""),"[hh]:mm"))</f>
        <v>#N/A</v>
      </c>
      <c r="BA20" s="172" t="e">
        <f>IF(VLOOKUP(T_BilanSocial[[#This Row],[NumL]],T_TraitDi[#Data],COLUMN(T_TraitDi[[#This Row],[Colonne20]]),FALSE)=0,"",TEXT(IFERROR(VLOOKUP(T_BilanSocial[[#This Row],[NumL]],T_TraitDi[#Data],COLUMN(T_TraitDi[[#This Row],[Colonne20]]),FALSE),""),"[hh]:mm"))</f>
        <v>#N/A</v>
      </c>
      <c r="BB20" s="178" t="str">
        <f>IFERROR(VLOOKUP(T_BilanSocial[[#This Row],[NumL]],T_TraitDi[#Data],COLUMN(T_TraitDi[[#This Row],[Jeudi]]),FALSE),"")</f>
        <v/>
      </c>
      <c r="BC20" s="178" t="e">
        <f>IF(VLOOKUP(T_BilanSocial[[#This Row],[NumL]],T_TraitDi[#Data],COLUMN(T_TraitDi[[#This Row],[Colonne21]]),FALSE)=0,"",TEXT(IFERROR(VLOOKUP(T_BilanSocial[[#This Row],[NumL]],T_TraitDi[#Data],COLUMN(T_TraitDi[[#This Row],[Colonne21]]),FALSE),""),"[hh]:mm"))</f>
        <v>#N/A</v>
      </c>
      <c r="BD20" s="178" t="e">
        <f>IF(VLOOKUP(T_BilanSocial[[#This Row],[NumL]],T_TraitDi[#Data],COLUMN(T_TraitDi[[#This Row],[Colonne22]]),FALSE)=0,"",TEXT(IFERROR(VLOOKUP(T_BilanSocial[[#This Row],[NumL]],T_TraitDi[#Data],COLUMN(T_TraitDi[[#This Row],[Colonne22]]),FALSE),""),"[hh]:mm"))</f>
        <v>#N/A</v>
      </c>
      <c r="BE20" s="178" t="str">
        <f>IFERROR(VLOOKUP(T_BilanSocial[[#This Row],[NumL]],T_TraitDi[#Data],COLUMN(T_TraitDi[[#This Row],[Colonne23]]),FALSE),"")</f>
        <v/>
      </c>
      <c r="BF20" s="178" t="e">
        <f>IF(VLOOKUP(T_BilanSocial[[#This Row],[NumL]],T_TraitDi[#Data],COLUMN(T_TraitDi[[#This Row],[Colonne24]]),FALSE)=0,"",TEXT(IFERROR(VLOOKUP(T_BilanSocial[[#This Row],[NumL]],T_TraitDi[#Data],COLUMN(T_TraitDi[[#This Row],[Colonne24]]),FALSE),""),"[hh]:mm"))</f>
        <v>#N/A</v>
      </c>
      <c r="BG20" s="178" t="e">
        <f>IF(VLOOKUP(T_BilanSocial[[#This Row],[NumL]],T_TraitDi[#Data],COLUMN(T_TraitDi[[#This Row],[Colonne25]]),FALSE)=0,"",TEXT(IFERROR(VLOOKUP(T_BilanSocial[[#This Row],[NumL]],T_TraitDi[#Data],COLUMN(T_TraitDi[[#This Row],[Colonne25]]),FALSE),""),"[hh]:mm"))</f>
        <v>#N/A</v>
      </c>
      <c r="BH20" s="178" t="e">
        <f>IF(VLOOKUP(T_BilanSocial[[#This Row],[NumL]],T_TraitDi[#Data],COLUMN(T_TraitDi[[#This Row],[Colonne26]]),FALSE)=0,"",TEXT(IFERROR(VLOOKUP(T_BilanSocial[[#This Row],[NumL]],T_TraitDi[#Data],COLUMN(T_TraitDi[[#This Row],[Colonne26]]),FALSE),""),"[hh]:mm"))</f>
        <v>#N/A</v>
      </c>
      <c r="BI20" s="172" t="str">
        <f>IFERROR(VLOOKUP(T_BilanSocial[[#This Row],[NumL]],T_TraitDi[#Data],COLUMN(T_TraitDi[[#This Row],[Vendredi]]),FALSE),"")</f>
        <v/>
      </c>
      <c r="BJ20" s="172" t="e">
        <f>IF(VLOOKUP(T_BilanSocial[[#This Row],[NumL]],T_TraitDi[#Data],COLUMN(T_TraitDi[[#This Row],[Colonne27]]),FALSE)=0,"",TEXT(IFERROR(VLOOKUP(T_BilanSocial[[#This Row],[NumL]],T_TraitDi[#Data],COLUMN(T_TraitDi[[#This Row],[Colonne27]]),FALSE),""),"[hh]:mm"))</f>
        <v>#N/A</v>
      </c>
      <c r="BK20" s="172" t="e">
        <f>IF(VLOOKUP(T_BilanSocial[[#This Row],[NumL]],T_TraitDi[#Data],COLUMN(T_TraitDi[[#This Row],[Colonne28]]),FALSE)=0,"",TEXT(IFERROR(VLOOKUP(T_BilanSocial[[#This Row],[NumL]],T_TraitDi[#Data],COLUMN(T_TraitDi[[#This Row],[Colonne28]]),FALSE),""),"[hh]:mm"))</f>
        <v>#N/A</v>
      </c>
      <c r="BL20" s="172" t="str">
        <f>IFERROR(VLOOKUP(T_BilanSocial[[#This Row],[NumL]],T_TraitDi[#Data],COLUMN(T_TraitDi[[#This Row],[Colonne29]]),FALSE),"")</f>
        <v/>
      </c>
      <c r="BM20" s="172" t="e">
        <f>IF(VLOOKUP(T_BilanSocial[[#This Row],[NumL]],T_TraitDi[#Data],COLUMN(T_TraitDi[[#This Row],[Colonne30]]),FALSE)=0,"",TEXT(IFERROR(VLOOKUP(T_BilanSocial[[#This Row],[NumL]],T_TraitDi[#Data],COLUMN(T_TraitDi[[#This Row],[Colonne30]]),FALSE),""),"[hh]:mm"))</f>
        <v>#N/A</v>
      </c>
      <c r="BN20" s="172" t="e">
        <f>IF(VLOOKUP(T_BilanSocial[[#This Row],[NumL]],T_TraitDi[#Data],COLUMN(T_TraitDi[[#This Row],[Colonne31]]),FALSE)=0,"",TEXT(IFERROR(VLOOKUP(T_BilanSocial[[#This Row],[NumL]],T_TraitDi[#Data],COLUMN(T_TraitDi[[#This Row],[Colonne31]]),FALSE),""),"[hh]:mm"))</f>
        <v>#N/A</v>
      </c>
      <c r="BO20" s="172" t="e">
        <f>IF(VLOOKUP(T_BilanSocial[[#This Row],[NumL]],T_TraitDi[#Data],COLUMN(T_TraitDi[[#This Row],[Colonne32]]),FALSE)=0,"",TEXT(IFERROR(VLOOKUP(T_BilanSocial[[#This Row],[NumL]],T_TraitDi[#Data],COLUMN(T_TraitDi[[#This Row],[Colonne32]]),FALSE),""),"[hh]:mm"))</f>
        <v>#N/A</v>
      </c>
      <c r="BP20" s="172" t="e">
        <f>VLOOKUP(T_BilanSocial[[#This Row],[NumL]],T_TraitDi[#Data],COLUMN(T_TraitDi[NbJTot]),FALSE)</f>
        <v>#N/A</v>
      </c>
      <c r="BQ20" s="174" t="str">
        <f>IFERROR(VLOOKUP(T_BilanSocial[[#This Row],[NumL]],T_TraitDi[#Data],COLUMN(T_TraitDi[[#This Row],[NbJTW]]),FALSE),"")</f>
        <v/>
      </c>
      <c r="BR20" s="174" t="e">
        <f>IF(VLOOKUP(T_BilanSocial[[#This Row],[NumL]],T_TraitDi[#Data],COLUMN(T_TraitDi[[#This Row],[NbhTW]]),FALSE)=0,"",TEXT(IFERROR(VLOOKUP(T_BilanSocial[[#This Row],[NumL]],T_TraitDi[#Data],COLUMN(T_TraitDi[[#This Row],[NbhTW]]),FALSE),""),"[hh]:mm"))</f>
        <v>#N/A</v>
      </c>
      <c r="BS20" s="174" t="e">
        <f>IF(VLOOKUP(T_BilanSocial[[#This Row],[NumL]],T_TraitDi[#Data],COLUMN(T_TraitDi[[#This Row],[Nbhheb]]),FALSE)=0,"",TEXT(IFERROR(VLOOKUP($A20,T_TraitDi[#Data],COLUMN(T_TraitDi[[#This Row],[Nbhheb]]),FALSE),""),"[hh]:mm"))</f>
        <v>#N/A</v>
      </c>
      <c r="BT20" s="182" t="str">
        <f>IFERROR(VLOOKUP(VLOOKUP($A20,T_TraitDi[#Data],COLUMN(T_TraitDi[[#This Row],[Type1]]),FALSE),TypeTW,2,FALSE),"")</f>
        <v/>
      </c>
      <c r="BU20" s="182" t="str">
        <f>IFERROR(VLOOKUP($A20,T_TraitDi[#Data],COLUMN(T_TraitDi[[#This Row],[Rue1]]),FALSE),"")</f>
        <v/>
      </c>
      <c r="BV20" s="173" t="str">
        <f>IFERROR(VLOOKUP($A20,T_TraitDi[#Data],COLUMN(T_TraitDi[[#This Row],[CP1]]),FALSE),"")</f>
        <v/>
      </c>
      <c r="BW20" s="173" t="str">
        <f>IFERROR(VLOOKUP($A20,T_TraitDi[#Data],COLUMN(T_TraitDi[[#This Row],[VILLE1]]),FALSE),"")</f>
        <v/>
      </c>
      <c r="BX20" s="182" t="str">
        <f>IFERROR(VLOOKUP(VLOOKUP($A20,T_TraitDi[#Data],COLUMN(T_TraitDi[[#This Row],[Type2]]),FALSE),TypeTW,2,FALSE),"")</f>
        <v/>
      </c>
      <c r="BY20" s="182" t="str">
        <f>IFERROR(VLOOKUP($A20,T_TraitDi[#Data],COLUMN(T_TraitDi[[#This Row],[Rue2]]),FALSE),"")</f>
        <v/>
      </c>
      <c r="BZ20" s="173" t="str">
        <f>IFERROR(VLOOKUP($A20,T_TraitDi[#Data],COLUMN(T_TraitDi[[#This Row],[CP2]]),FALSE),"")</f>
        <v/>
      </c>
      <c r="CA20" s="173" t="str">
        <f>IFERROR(VLOOKUP($A20,T_TraitDi[#Data],COLUMN(T_TraitDi[[#This Row],[VILLE2]]),FALSE),"")</f>
        <v/>
      </c>
      <c r="CB20" s="182" t="str">
        <f>IF(VLOOKUP(T_BilanSocial[[#This Row],[NumL]],T_Equipement[#Data],COLUMN(T_Equipement[[#This Row],[PC]]),FALSE)="","Aucun équipement spécifique directement lié au télétravail",VLOOKUP(T_BilanSocial[[#This Row],[NumL]],T_Equipement[#Data],COLUMN(T_Equipement[[#This Row],[PC]]),FALSE))</f>
        <v xml:space="preserve">18-060	</v>
      </c>
      <c r="CC20" s="166" t="str">
        <f>IFERROR(IF(VLOOKUP(T_BilanSocial[[#This Row],[NumL]],T_TraitDi[#Data],COLUMN(T_TraitDi[[#This Row],[Plan]]),FALSE)="OK","Un planning spécifique de télétravail est annexé à la présente convention.",""),"")</f>
        <v/>
      </c>
      <c r="CD20" s="258" t="s">
        <v>3365</v>
      </c>
      <c r="CE20" s="164" t="e">
        <f>IF(VLOOKUP(T_BilanSocial[[#This Row],[NumL]],T_suiviDi[#Data],COLUMN(T_suiviDi[[#This Row],[Entité]]),FALSE)="","",VLOOKUP(T_BilanSocial[[#This Row],[NumL]],T_suiviDi[#Data],COLUMN(T_suiviDi[[#This Row],[Entité]]),FALSE))</f>
        <v>#N/A</v>
      </c>
      <c r="CF20" s="164" t="str">
        <f>IF(VLOOKUP(T_BilanSocial[[#This Row],[NumL]],T_Commission[#Data],COLUMN(T_Commission[[#This Row],[envoi confirm TW]]),FALSE)="","",VLOOKUP(T_BilanSocial[[#This Row],[NumL]],T_Commission[#Data],COLUMN(T_Commission[[#This Row],[envoi confirm TW]]),FALSE))</f>
        <v>Oui</v>
      </c>
      <c r="CG2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 s="262" t="str">
        <f>T_BilanSocial[[#This Row],[Nom]]&amp;T_BilanSocial[[#This Row],[Prenom]]</f>
        <v/>
      </c>
      <c r="CI20" s="262">
        <f>VLOOKUP(T_BilanSocial[[#This Row],[NumL]],T_Commission[#Data],COLUMN(T_Commission[Commentaire]),FALSE)</f>
        <v>0</v>
      </c>
      <c r="CJ20" s="262" t="str">
        <f>IF(VLOOKUP(T_BilanSocial[[#This Row],[NumL]],T_Commission[#Data],COLUMN(T_Commission[Encadrant Email]),FALSE)="","",VLOOKUP(T_BilanSocial[[#This Row],[NumL]],T_Commission[#Data],COLUMN(T_Commission[Encadrant Email]),FALSE))</f>
        <v/>
      </c>
      <c r="CK20" s="340" t="str">
        <f>IF(T_BilanSocial[[#This Row],[Final]]&lt;&gt;"",VLOOKUP(T_BilanSocial[[#This Row],[NumL]],T_suiviDi[#Data],COLUMN((T_suiviDi[Statut])),FALSE),"")</f>
        <v/>
      </c>
    </row>
    <row r="21" spans="1:89" s="106" customFormat="1" ht="24.75" customHeight="1" x14ac:dyDescent="0.25">
      <c r="A21" s="160">
        <v>18</v>
      </c>
      <c r="B21" s="161" t="str">
        <f t="shared" si="0"/>
        <v/>
      </c>
      <c r="C21" s="162" t="s">
        <v>173</v>
      </c>
      <c r="D21" s="95" t="e">
        <f>IF(VLOOKUP(T_BilanSocial[[#This Row],[NumL]],T_TraitDi[#Data],COLUMN(T_TraitDi[[#This Row],[WebC]]),FALSE)="","",VLOOKUP(T_BilanSocial[[#This Row],[NumL]],T_TraitDi[#Data],COLUMN(T_TraitDi[[#This Row],[WebC]]),FALSE))</f>
        <v>#N/A</v>
      </c>
      <c r="E21" s="163" t="str">
        <f t="shared" si="1"/>
        <v>12 janvier 2021</v>
      </c>
      <c r="F21" s="96" t="str">
        <f>IF(T_BilanSocial[[#This Row],[Final]]&lt;&gt;"",VLOOKUP(T_BilanSocial[[#This Row],[NumL]],T_suiviDi[#Data],COLUMN((T_suiviDi[Civ.])),FALSE),"")</f>
        <v/>
      </c>
      <c r="G21" s="96" t="str">
        <f>IF(T_BilanSocial[[#This Row],[Final]]&lt;&gt;"",VLOOKUP(T_BilanSocial[[#This Row],[NumL]],T_suiviDi[#Data],COLUMN((T_suiviDi[Nom])),FALSE),"")</f>
        <v/>
      </c>
      <c r="H21" s="96" t="str">
        <f>IF(T_BilanSocial[[#This Row],[Final]]&lt;&gt;"",VLOOKUP(T_BilanSocial[[#This Row],[NumL]],T_suiviDi[#Data],COLUMN((T_suiviDi[Prénom])),FALSE),"")</f>
        <v/>
      </c>
      <c r="I21" s="96" t="str">
        <f>IFERROR(VLOOKUP(T_BilanSocial[[#This Row],[Zone_Bilan]],T_P_BilanSocial[#Data],COLUMN(T_P_BilanSocial[[#This Row],[Numero_SIHAM]]),FALSE),"")</f>
        <v/>
      </c>
      <c r="J21" s="96" t="str">
        <f>IFERROR(VLOOKUP(T_BilanSocial[[#This Row],[Zone_Bilan]],T_P_BilanSocial[#Data],COLUMN(T_P_BilanSocial[[#This Row],[Sexe]]),FALSE),"")</f>
        <v/>
      </c>
      <c r="K21" s="97" t="str">
        <f>IFERROR(VLOOKUP(T_BilanSocial[[#This Row],[Zone_Bilan]],T_P_BilanSocial[#Data],COLUMN(T_P_BilanSocial[[#This Row],[Categorie]]),FALSE),"")</f>
        <v/>
      </c>
      <c r="L21" s="96" t="str">
        <f>IFERROR(VLOOKUP(T_BilanSocial[[#This Row],[Zone_Bilan]],T_P_BilanSocial[#Data],COLUMN(T_P_BilanSocial[[#This Row],[Statut]]),FALSE),"")</f>
        <v/>
      </c>
      <c r="M21" s="96" t="str">
        <f>IFERROR(VLOOKUP(T_BilanSocial[[#This Row],[Zone_Bilan]],T_P_BilanSocial[#Data],COLUMN(T_P_BilanSocial[[#This Row],[Filiere]]),FALSE),"")</f>
        <v/>
      </c>
      <c r="N21" s="96" t="e">
        <f>VLOOKUP(T_BilanSocial[[#This Row],[NumL]],T_TraitDi[#Data],COLUMN(T_TraitDi[EXP]),FALSE)</f>
        <v>#N/A</v>
      </c>
      <c r="O21" s="96" t="e">
        <f>VLOOKUP(T_BilanSocial[[#This Row],[NumL]],T_TraitDi[#Data],COLUMN(T_TraitDi[FORM]),FALSE)</f>
        <v>#N/A</v>
      </c>
      <c r="P21" s="96" t="str">
        <f>IF(T_BilanSocial[[#This Row],[Final]]&lt;&gt;"",VLOOKUP(T_BilanSocial[[#This Row],[NumL]],T_suiviDi[#Data],COLUMN((T_suiviDi[Email])),FALSE),"")</f>
        <v/>
      </c>
      <c r="Q21" s="164" t="e">
        <f t="shared" si="7"/>
        <v>#N/A</v>
      </c>
      <c r="R21" s="164" t="e">
        <f t="shared" si="8"/>
        <v>#N/A</v>
      </c>
      <c r="S21" s="164" t="e">
        <f>IF(VLOOKUP(T_BilanSocial[[#This Row],[NumL]],T_suiviDi[#Data],COLUMN(T_suiviDi[[#This Row],[Service ]]),FALSE)="","",VLOOKUP(T_BilanSocial[[#This Row],[NumL]],T_suiviDi[#Data],COLUMN(T_suiviDi[[#This Row],[Service ]]),FALSE))</f>
        <v>#N/A</v>
      </c>
      <c r="T21" s="164" t="str">
        <f t="shared" si="2"/>
        <v>01 septembre 2021</v>
      </c>
      <c r="U21" s="164" t="str">
        <f t="shared" si="3"/>
        <v>30 novembre 2021</v>
      </c>
      <c r="V21" s="164" t="str">
        <f t="shared" si="6"/>
        <v>30 novembre 2021</v>
      </c>
      <c r="W21" s="176" t="e">
        <f>IF(VLOOKUP(T_BilanSocial[[#This Row],[NumL]],T_TraitDi[#Data],COLUMN(T_TraitDi[[#This Row],[M1]]),FALSE)="","",VLOOKUP(T_BilanSocial[[#This Row],[NumL]],T_TraitDi[#Data],COLUMN(T_TraitDi[[#This Row],[M1]]),FALSE))</f>
        <v>#N/A</v>
      </c>
      <c r="X21" s="176" t="e">
        <f>IF(VLOOKUP(T_BilanSocial[[#This Row],[NumL]],T_TraitDi[#Data],COLUMN(T_TraitDi[[#This Row],[M2]]),FALSE)="","",VLOOKUP(T_BilanSocial[[#This Row],[NumL]],T_TraitDi[#Data],COLUMN(T_TraitDi[[#This Row],[M2]]),FALSE))</f>
        <v>#N/A</v>
      </c>
      <c r="Y21" s="176" t="e">
        <f>IF(VLOOKUP(T_BilanSocial[[#This Row],[NumL]],T_TraitDi[#Data],COLUMN(T_TraitDi[[#This Row],[M3]]),FALSE)="","",VLOOKUP(T_BilanSocial[[#This Row],[NumL]],T_TraitDi[#Data],COLUMN(T_TraitDi[[#This Row],[M3]]),FALSE))</f>
        <v>#N/A</v>
      </c>
      <c r="Z21" s="176" t="str">
        <f t="shared" si="5"/>
        <v/>
      </c>
      <c r="AA21" s="176" t="e">
        <f>IF(VLOOKUP(T_BilanSocial[[#This Row],[NumL]],T_TraitDi[#Data],COLUMN(T_TraitDi[[#This Row],[M5]]),FALSE)="","",VLOOKUP(T_BilanSocial[[#This Row],[NumL]],T_TraitDi[#Data],COLUMN(T_TraitDi[[#This Row],[M5]]),FALSE))</f>
        <v>#N/A</v>
      </c>
      <c r="AB21" s="176" t="e">
        <f>IF(VLOOKUP(T_BilanSocial[[#This Row],[NumL]],T_TraitDi[#Data],COLUMN(T_TraitDi[[#This Row],[M6]]),FALSE)="","",VLOOKUP(T_BilanSocial[[#This Row],[NumL]],T_TraitDi[#Data],COLUMN(T_TraitDi[[#This Row],[M6]]),FALSE))</f>
        <v>#N/A</v>
      </c>
      <c r="AC21" s="165" t="e">
        <f t="shared" si="4"/>
        <v>#N/A</v>
      </c>
      <c r="AD21" s="188" t="str">
        <f>IFERROR(TEXT(VLOOKUP(T_BilanSocial[[#This Row],[NumL]],T_TraitDi[#Data],COLUMN(T_TraitDi[[#This Row],[Q2]]),FALSE),"###%"),"")</f>
        <v/>
      </c>
      <c r="AE21" s="97" t="e">
        <f>VLOOKUP(T_BilanSocial[[#This Row],[NumL]],T_TraitDi[#Data],COLUMN(T_TraitDi[[#This Row],[Reg Ponct]]),FALSE)</f>
        <v>#N/A</v>
      </c>
      <c r="AF21" s="97" t="e">
        <f>VLOOKUP(T_BilanSocial[NumL],T_TraitDi[#Data],COLUMN(T_TraitDi[[#This Row],[Jours flottants]]),FALSE)</f>
        <v>#N/A</v>
      </c>
      <c r="AG21" s="97" t="str">
        <f>IFERROR(VLOOKUP(T_BilanSocial[[#This Row],[NumL]],T_TraitDi[#Data],COLUMN(T_TraitDi[[#This Row],[Lundi]]),FALSE),"")</f>
        <v/>
      </c>
      <c r="AH21" s="172" t="e">
        <f>IF(VLOOKUP(T_BilanSocial[[#This Row],[NumL]],T_TraitDi[#Data],COLUMN(T_TraitDi[[#This Row],[Colonne3]]),FALSE)=0,"",TEXT(IFERROR(VLOOKUP(T_BilanSocial[[#This Row],[NumL]],T_TraitDi[#Data],COLUMN(T_TraitDi[[#This Row],[Colonne3]]),FALSE),""),"[hh]:mm"))</f>
        <v>#N/A</v>
      </c>
      <c r="AI21" s="172" t="e">
        <f>IF(VLOOKUP(T_BilanSocial[[#This Row],[NumL]],T_TraitDi[#Data],COLUMN(T_TraitDi[[#This Row],[Colonne4]]),FALSE)=0,"",TEXT(IFERROR(VLOOKUP(T_BilanSocial[[#This Row],[NumL]],T_TraitDi[#Data],COLUMN(T_TraitDi[[#This Row],[Colonne4]]),FALSE),""),"[hh]:mm"))</f>
        <v>#N/A</v>
      </c>
      <c r="AJ21" s="172" t="e">
        <f>IF(VLOOKUP(T_BilanSocial[[#This Row],[NumL]],T_TraitDi[#Data],COLUMN(T_TraitDi[[#This Row],[Colonne5]]),FALSE)=0,"",TEXT(IFERROR(VLOOKUP(T_BilanSocial[[#This Row],[NumL]],T_TraitDi[#Data],COLUMN(T_TraitDi[[#This Row],[Colonne5]]),FALSE),""),"[hh]:mm"))</f>
        <v>#N/A</v>
      </c>
      <c r="AK21" s="172" t="e">
        <f>IF(VLOOKUP(T_BilanSocial[[#This Row],[NumL]],T_TraitDi[#Data],COLUMN(T_TraitDi[[#This Row],[Colonne6]]),FALSE)=0,"",TEXT(IFERROR(VLOOKUP(T_BilanSocial[[#This Row],[NumL]],T_TraitDi[#Data],COLUMN(T_TraitDi[[#This Row],[Colonne6]]),FALSE),""),"[hh]:mm"))</f>
        <v>#N/A</v>
      </c>
      <c r="AL21" s="172" t="e">
        <f>IF(VLOOKUP(T_BilanSocial[[#This Row],[NumL]],T_TraitDi[#Data],COLUMN(T_TraitDi[[#This Row],[Colonne7]]),FALSE)=0,"",TEXT(IFERROR(VLOOKUP(T_BilanSocial[[#This Row],[NumL]],T_TraitDi[#Data],COLUMN(T_TraitDi[[#This Row],[Colonne7]]),FALSE),""),"[hh]:mm"))</f>
        <v>#N/A</v>
      </c>
      <c r="AM21" s="172" t="e">
        <f>IF(VLOOKUP(T_BilanSocial[[#This Row],[NumL]],T_TraitDi[#Data],COLUMN(T_TraitDi[[#This Row],[Colonne8]]),FALSE)=0,"",TEXT(IFERROR(VLOOKUP(T_BilanSocial[[#This Row],[NumL]],T_TraitDi[#Data],COLUMN(T_TraitDi[[#This Row],[Colonne8]]),FALSE),""),"[hh]:mm"))</f>
        <v>#N/A</v>
      </c>
      <c r="AN21" s="172" t="str">
        <f>IFERROR(VLOOKUP(T_BilanSocial[[#This Row],[NumL]],T_TraitDi[#Data],COLUMN(T_TraitDi[[#This Row],[Mardi]]),FALSE),"")</f>
        <v/>
      </c>
      <c r="AO21" s="172" t="e">
        <f>IF(VLOOKUP(T_BilanSocial[[#This Row],[NumL]],T_TraitDi[#Data],COLUMN(T_TraitDi[[#This Row],[Colonne1]]),FALSE)=0,"",TEXT(IFERROR(VLOOKUP(T_BilanSocial[[#This Row],[NumL]],T_TraitDi[#Data],COLUMN(T_TraitDi[[#This Row],[Colonne1]]),FALSE),""),"[hh]:mm"))</f>
        <v>#N/A</v>
      </c>
      <c r="AP21" s="172" t="e">
        <f>IF(VLOOKUP(T_BilanSocial[[#This Row],[NumL]],T_TraitDi[#Data],COLUMN(T_TraitDi[[#This Row],[Colonne9]]),FALSE)=0,"",TEXT(IFERROR(VLOOKUP(T_BilanSocial[[#This Row],[NumL]],T_TraitDi[#Data],COLUMN(T_TraitDi[[#This Row],[Colonne9]]),FALSE),""),"[hh]:mm"))</f>
        <v>#N/A</v>
      </c>
      <c r="AQ21" s="172" t="str">
        <f>IFERROR(VLOOKUP(T_BilanSocial[[#This Row],[NumL]],T_TraitDi[#Data],COLUMN(T_TraitDi[[#This Row],[Colonne10]]),FALSE),"")</f>
        <v/>
      </c>
      <c r="AR21" s="172" t="e">
        <f>IF(VLOOKUP(T_BilanSocial[[#This Row],[NumL]],T_TraitDi[#Data],COLUMN(T_TraitDi[[#This Row],[Colonne11]]),FALSE)=0,"",TEXT(IFERROR(VLOOKUP(T_BilanSocial[[#This Row],[NumL]],T_TraitDi[#Data],COLUMN(T_TraitDi[[#This Row],[Colonne11]]),FALSE),""),"[hh]:mm"))</f>
        <v>#N/A</v>
      </c>
      <c r="AS21" s="172" t="e">
        <f>IF(VLOOKUP(T_BilanSocial[[#This Row],[NumL]],T_TraitDi[#Data],COLUMN(T_TraitDi[[#This Row],[Colonne12]]),FALSE)=0,"",TEXT(IFERROR(VLOOKUP(T_BilanSocial[[#This Row],[NumL]],T_TraitDi[#Data],COLUMN(T_TraitDi[[#This Row],[Colonne12]]),FALSE),""),"[hh]:mm"))</f>
        <v>#N/A</v>
      </c>
      <c r="AT21" s="172" t="e">
        <f>IF(VLOOKUP(T_BilanSocial[[#This Row],[NumL]],T_TraitDi[#Data],COLUMN(T_TraitDi[[#This Row],[Colonne14]]),FALSE)=0,"",TEXT(IFERROR(VLOOKUP(T_BilanSocial[[#This Row],[NumL]],T_TraitDi[#Data],COLUMN(T_TraitDi[[#This Row],[Colonne14]]),FALSE),""),"[hh]:mm"))</f>
        <v>#N/A</v>
      </c>
      <c r="AU21" s="172" t="str">
        <f>IFERROR(VLOOKUP(T_BilanSocial[[#This Row],[NumL]],T_TraitDi[#Data],COLUMN(T_TraitDi[[#This Row],[Mercredi]]),FALSE),"")</f>
        <v/>
      </c>
      <c r="AV21" s="172" t="e">
        <f>IF(VLOOKUP(T_BilanSocial[[#This Row],[NumL]],T_TraitDi[#Data],COLUMN(T_TraitDi[[#This Row],[Colonne15]]),FALSE)=0,"",TEXT(IFERROR(VLOOKUP(T_BilanSocial[[#This Row],[NumL]],T_TraitDi[#Data],COLUMN(T_TraitDi[[#This Row],[Colonne15]]),FALSE),""),"[hh]:mm"))</f>
        <v>#N/A</v>
      </c>
      <c r="AW21" s="172" t="e">
        <f>IF(VLOOKUP(T_BilanSocial[[#This Row],[NumL]],T_TraitDi[#Data],COLUMN(T_TraitDi[[#This Row],[Colonne16]]),FALSE)=0,"",TEXT(IFERROR(VLOOKUP(T_BilanSocial[[#This Row],[NumL]],T_TraitDi[#Data],COLUMN(T_TraitDi[[#This Row],[Colonne16]]),FALSE),""),"[hh]:mm"))</f>
        <v>#N/A</v>
      </c>
      <c r="AX21" s="172" t="str">
        <f>IFERROR(VLOOKUP(T_BilanSocial[[#This Row],[NumL]],T_TraitDi[#Data],COLUMN(T_TraitDi[[#This Row],[Colonne17]]),FALSE),"")</f>
        <v/>
      </c>
      <c r="AY21" s="172" t="e">
        <f>IF(VLOOKUP(T_BilanSocial[[#This Row],[NumL]],T_TraitDi[#Data],COLUMN(T_TraitDi[[#This Row],[Colonne18]]),FALSE)=0,"",TEXT(IFERROR(VLOOKUP(T_BilanSocial[[#This Row],[NumL]],T_TraitDi[#Data],COLUMN(T_TraitDi[[#This Row],[Colonne18]]),FALSE),""),"[hh]:mm"))</f>
        <v>#N/A</v>
      </c>
      <c r="AZ21" s="172" t="e">
        <f>IF(VLOOKUP(T_BilanSocial[[#This Row],[NumL]],T_TraitDi[#Data],COLUMN(T_TraitDi[[#This Row],[Colonne19]]),FALSE)=0,"",TEXT(IFERROR(VLOOKUP(T_BilanSocial[[#This Row],[NumL]],T_TraitDi[#Data],COLUMN(T_TraitDi[[#This Row],[Colonne19]]),FALSE),""),"[hh]:mm"))</f>
        <v>#N/A</v>
      </c>
      <c r="BA21" s="172" t="e">
        <f>IF(VLOOKUP(T_BilanSocial[[#This Row],[NumL]],T_TraitDi[#Data],COLUMN(T_TraitDi[[#This Row],[Colonne20]]),FALSE)=0,"",TEXT(IFERROR(VLOOKUP(T_BilanSocial[[#This Row],[NumL]],T_TraitDi[#Data],COLUMN(T_TraitDi[[#This Row],[Colonne20]]),FALSE),""),"[hh]:mm"))</f>
        <v>#N/A</v>
      </c>
      <c r="BB21" s="178" t="str">
        <f>IFERROR(VLOOKUP(T_BilanSocial[[#This Row],[NumL]],T_TraitDi[#Data],COLUMN(T_TraitDi[[#This Row],[Jeudi]]),FALSE),"")</f>
        <v/>
      </c>
      <c r="BC21" s="178" t="e">
        <f>IF(VLOOKUP(T_BilanSocial[[#This Row],[NumL]],T_TraitDi[#Data],COLUMN(T_TraitDi[[#This Row],[Colonne21]]),FALSE)=0,"",TEXT(IFERROR(VLOOKUP(T_BilanSocial[[#This Row],[NumL]],T_TraitDi[#Data],COLUMN(T_TraitDi[[#This Row],[Colonne21]]),FALSE),""),"[hh]:mm"))</f>
        <v>#N/A</v>
      </c>
      <c r="BD21" s="178" t="e">
        <f>IF(VLOOKUP(T_BilanSocial[[#This Row],[NumL]],T_TraitDi[#Data],COLUMN(T_TraitDi[[#This Row],[Colonne22]]),FALSE)=0,"",TEXT(IFERROR(VLOOKUP(T_BilanSocial[[#This Row],[NumL]],T_TraitDi[#Data],COLUMN(T_TraitDi[[#This Row],[Colonne22]]),FALSE),""),"[hh]:mm"))</f>
        <v>#N/A</v>
      </c>
      <c r="BE21" s="178" t="str">
        <f>IFERROR(VLOOKUP(T_BilanSocial[[#This Row],[NumL]],T_TraitDi[#Data],COLUMN(T_TraitDi[[#This Row],[Colonne23]]),FALSE),"")</f>
        <v/>
      </c>
      <c r="BF21" s="178" t="e">
        <f>IF(VLOOKUP(T_BilanSocial[[#This Row],[NumL]],T_TraitDi[#Data],COLUMN(T_TraitDi[[#This Row],[Colonne24]]),FALSE)=0,"",TEXT(IFERROR(VLOOKUP(T_BilanSocial[[#This Row],[NumL]],T_TraitDi[#Data],COLUMN(T_TraitDi[[#This Row],[Colonne24]]),FALSE),""),"[hh]:mm"))</f>
        <v>#N/A</v>
      </c>
      <c r="BG21" s="178" t="e">
        <f>IF(VLOOKUP(T_BilanSocial[[#This Row],[NumL]],T_TraitDi[#Data],COLUMN(T_TraitDi[[#This Row],[Colonne25]]),FALSE)=0,"",TEXT(IFERROR(VLOOKUP(T_BilanSocial[[#This Row],[NumL]],T_TraitDi[#Data],COLUMN(T_TraitDi[[#This Row],[Colonne25]]),FALSE),""),"[hh]:mm"))</f>
        <v>#N/A</v>
      </c>
      <c r="BH21" s="178" t="e">
        <f>IF(VLOOKUP(T_BilanSocial[[#This Row],[NumL]],T_TraitDi[#Data],COLUMN(T_TraitDi[[#This Row],[Colonne26]]),FALSE)=0,"",TEXT(IFERROR(VLOOKUP(T_BilanSocial[[#This Row],[NumL]],T_TraitDi[#Data],COLUMN(T_TraitDi[[#This Row],[Colonne26]]),FALSE),""),"[hh]:mm"))</f>
        <v>#N/A</v>
      </c>
      <c r="BI21" s="172" t="str">
        <f>IFERROR(VLOOKUP(T_BilanSocial[[#This Row],[NumL]],T_TraitDi[#Data],COLUMN(T_TraitDi[[#This Row],[Vendredi]]),FALSE),"")</f>
        <v/>
      </c>
      <c r="BJ21" s="172" t="e">
        <f>IF(VLOOKUP(T_BilanSocial[[#This Row],[NumL]],T_TraitDi[#Data],COLUMN(T_TraitDi[[#This Row],[Colonne27]]),FALSE)=0,"",TEXT(IFERROR(VLOOKUP(T_BilanSocial[[#This Row],[NumL]],T_TraitDi[#Data],COLUMN(T_TraitDi[[#This Row],[Colonne27]]),FALSE),""),"[hh]:mm"))</f>
        <v>#N/A</v>
      </c>
      <c r="BK21" s="172" t="e">
        <f>IF(VLOOKUP(T_BilanSocial[[#This Row],[NumL]],T_TraitDi[#Data],COLUMN(T_TraitDi[[#This Row],[Colonne28]]),FALSE)=0,"",TEXT(IFERROR(VLOOKUP(T_BilanSocial[[#This Row],[NumL]],T_TraitDi[#Data],COLUMN(T_TraitDi[[#This Row],[Colonne28]]),FALSE),""),"[hh]:mm"))</f>
        <v>#N/A</v>
      </c>
      <c r="BL21" s="172" t="str">
        <f>IFERROR(VLOOKUP(T_BilanSocial[[#This Row],[NumL]],T_TraitDi[#Data],COLUMN(T_TraitDi[[#This Row],[Colonne29]]),FALSE),"")</f>
        <v/>
      </c>
      <c r="BM21" s="172" t="e">
        <f>IF(VLOOKUP(T_BilanSocial[[#This Row],[NumL]],T_TraitDi[#Data],COLUMN(T_TraitDi[[#This Row],[Colonne30]]),FALSE)=0,"",TEXT(IFERROR(VLOOKUP(T_BilanSocial[[#This Row],[NumL]],T_TraitDi[#Data],COLUMN(T_TraitDi[[#This Row],[Colonne30]]),FALSE),""),"[hh]:mm"))</f>
        <v>#N/A</v>
      </c>
      <c r="BN21" s="172" t="e">
        <f>IF(VLOOKUP(T_BilanSocial[[#This Row],[NumL]],T_TraitDi[#Data],COLUMN(T_TraitDi[[#This Row],[Colonne31]]),FALSE)=0,"",TEXT(IFERROR(VLOOKUP(T_BilanSocial[[#This Row],[NumL]],T_TraitDi[#Data],COLUMN(T_TraitDi[[#This Row],[Colonne31]]),FALSE),""),"[hh]:mm"))</f>
        <v>#N/A</v>
      </c>
      <c r="BO21" s="172" t="e">
        <f>IF(VLOOKUP(T_BilanSocial[[#This Row],[NumL]],T_TraitDi[#Data],COLUMN(T_TraitDi[[#This Row],[Colonne32]]),FALSE)=0,"",TEXT(IFERROR(VLOOKUP(T_BilanSocial[[#This Row],[NumL]],T_TraitDi[#Data],COLUMN(T_TraitDi[[#This Row],[Colonne32]]),FALSE),""),"[hh]:mm"))</f>
        <v>#N/A</v>
      </c>
      <c r="BP21" s="172" t="e">
        <f>VLOOKUP(T_BilanSocial[[#This Row],[NumL]],T_TraitDi[#Data],COLUMN(T_TraitDi[NbJTot]),FALSE)</f>
        <v>#N/A</v>
      </c>
      <c r="BQ21" s="174" t="str">
        <f>IFERROR(VLOOKUP(T_BilanSocial[[#This Row],[NumL]],T_TraitDi[#Data],COLUMN(T_TraitDi[[#This Row],[NbJTW]]),FALSE),"")</f>
        <v/>
      </c>
      <c r="BR21" s="174" t="e">
        <f>IF(VLOOKUP(T_BilanSocial[[#This Row],[NumL]],T_TraitDi[#Data],COLUMN(T_TraitDi[[#This Row],[NbhTW]]),FALSE)=0,"",TEXT(IFERROR(VLOOKUP(T_BilanSocial[[#This Row],[NumL]],T_TraitDi[#Data],COLUMN(T_TraitDi[[#This Row],[NbhTW]]),FALSE),""),"[hh]:mm"))</f>
        <v>#N/A</v>
      </c>
      <c r="BS21" s="174" t="e">
        <f>IF(VLOOKUP(T_BilanSocial[[#This Row],[NumL]],T_TraitDi[#Data],COLUMN(T_TraitDi[[#This Row],[Nbhheb]]),FALSE)=0,"",TEXT(IFERROR(VLOOKUP($A21,T_TraitDi[#Data],COLUMN(T_TraitDi[[#This Row],[Nbhheb]]),FALSE),""),"[hh]:mm"))</f>
        <v>#N/A</v>
      </c>
      <c r="BT21" s="182" t="str">
        <f>IFERROR(VLOOKUP(VLOOKUP($A21,T_TraitDi[#Data],COLUMN(T_TraitDi[[#This Row],[Type1]]),FALSE),TypeTW,2,FALSE),"")</f>
        <v/>
      </c>
      <c r="BU21" s="182" t="str">
        <f>IFERROR(VLOOKUP($A21,T_TraitDi[#Data],COLUMN(T_TraitDi[[#This Row],[Rue1]]),FALSE),"")</f>
        <v/>
      </c>
      <c r="BV21" s="173" t="str">
        <f>IFERROR(VLOOKUP($A21,T_TraitDi[#Data],COLUMN(T_TraitDi[[#This Row],[CP1]]),FALSE),"")</f>
        <v/>
      </c>
      <c r="BW21" s="173" t="str">
        <f>IFERROR(VLOOKUP($A21,T_TraitDi[#Data],COLUMN(T_TraitDi[[#This Row],[VILLE1]]),FALSE),"")</f>
        <v/>
      </c>
      <c r="BX21" s="182" t="str">
        <f>IFERROR(VLOOKUP(VLOOKUP($A21,T_TraitDi[#Data],COLUMN(T_TraitDi[[#This Row],[Type2]]),FALSE),TypeTW,2,FALSE),"")</f>
        <v/>
      </c>
      <c r="BY21" s="182" t="str">
        <f>IFERROR(VLOOKUP($A21,T_TraitDi[#Data],COLUMN(T_TraitDi[[#This Row],[Rue2]]),FALSE),"")</f>
        <v/>
      </c>
      <c r="BZ21" s="173" t="str">
        <f>IFERROR(VLOOKUP($A21,T_TraitDi[#Data],COLUMN(T_TraitDi[[#This Row],[CP2]]),FALSE),"")</f>
        <v/>
      </c>
      <c r="CA21" s="173" t="str">
        <f>IFERROR(VLOOKUP($A21,T_TraitDi[#Data],COLUMN(T_TraitDi[[#This Row],[VILLE2]]),FALSE),"")</f>
        <v/>
      </c>
      <c r="CB21" s="182" t="str">
        <f>IF(VLOOKUP(T_BilanSocial[[#This Row],[NumL]],T_Equipement[#Data],COLUMN(T_Equipement[[#This Row],[PC]]),FALSE)="","Aucun équipement spécifique directement lié au télétravail",VLOOKUP(T_BilanSocial[[#This Row],[NumL]],T_Equipement[#Data],COLUMN(T_Equipement[[#This Row],[PC]]),FALSE))</f>
        <v xml:space="preserve">17-044	</v>
      </c>
      <c r="CC21" s="166" t="str">
        <f>IFERROR(IF(VLOOKUP(T_BilanSocial[[#This Row],[NumL]],T_TraitDi[#Data],COLUMN(T_TraitDi[[#This Row],[Plan]]),FALSE)="OK","Un planning spécifique de télétravail est annexé à la présente convention.",""),"")</f>
        <v/>
      </c>
      <c r="CD21" s="258" t="s">
        <v>3326</v>
      </c>
      <c r="CE21" s="164" t="e">
        <f>IF(VLOOKUP(T_BilanSocial[[#This Row],[NumL]],T_suiviDi[#Data],COLUMN(T_suiviDi[[#This Row],[Entité]]),FALSE)="","",VLOOKUP(T_BilanSocial[[#This Row],[NumL]],T_suiviDi[#Data],COLUMN(T_suiviDi[[#This Row],[Entité]]),FALSE))</f>
        <v>#N/A</v>
      </c>
      <c r="CF21" s="164" t="str">
        <f>IF(VLOOKUP(T_BilanSocial[[#This Row],[NumL]],T_Commission[#Data],COLUMN(T_Commission[[#This Row],[envoi confirm TW]]),FALSE)="","",VLOOKUP(T_BilanSocial[[#This Row],[NumL]],T_Commission[#Data],COLUMN(T_Commission[[#This Row],[envoi confirm TW]]),FALSE))</f>
        <v>Oui</v>
      </c>
      <c r="CG2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 s="262" t="str">
        <f>T_BilanSocial[[#This Row],[Nom]]&amp;T_BilanSocial[[#This Row],[Prenom]]</f>
        <v/>
      </c>
      <c r="CI21" s="262">
        <f>VLOOKUP(T_BilanSocial[[#This Row],[NumL]],T_Commission[#Data],COLUMN(T_Commission[Commentaire]),FALSE)</f>
        <v>0</v>
      </c>
      <c r="CJ21" s="262" t="str">
        <f>IF(VLOOKUP(T_BilanSocial[[#This Row],[NumL]],T_Commission[#Data],COLUMN(T_Commission[Encadrant Email]),FALSE)="","",VLOOKUP(T_BilanSocial[[#This Row],[NumL]],T_Commission[#Data],COLUMN(T_Commission[Encadrant Email]),FALSE))</f>
        <v/>
      </c>
      <c r="CK21" s="340" t="str">
        <f>IF(T_BilanSocial[[#This Row],[Final]]&lt;&gt;"",VLOOKUP(T_BilanSocial[[#This Row],[NumL]],T_suiviDi[#Data],COLUMN((T_suiviDi[Statut])),FALSE),"")</f>
        <v/>
      </c>
    </row>
    <row r="22" spans="1:89" s="106" customFormat="1" ht="24.75" customHeight="1" x14ac:dyDescent="0.25">
      <c r="A22" s="160">
        <v>19</v>
      </c>
      <c r="B22" s="161" t="str">
        <f t="shared" si="0"/>
        <v/>
      </c>
      <c r="C22" s="162" t="s">
        <v>3287</v>
      </c>
      <c r="D22" s="95" t="e">
        <f>IF(VLOOKUP(T_BilanSocial[[#This Row],[NumL]],T_TraitDi[#Data],COLUMN(T_TraitDi[[#This Row],[WebC]]),FALSE)="","",VLOOKUP(T_BilanSocial[[#This Row],[NumL]],T_TraitDi[#Data],COLUMN(T_TraitDi[[#This Row],[WebC]]),FALSE))</f>
        <v>#N/A</v>
      </c>
      <c r="E22" s="163" t="str">
        <f t="shared" si="1"/>
        <v>12 janvier 2021</v>
      </c>
      <c r="F22" s="96" t="str">
        <f>IF(T_BilanSocial[[#This Row],[Final]]&lt;&gt;"",VLOOKUP(T_BilanSocial[[#This Row],[NumL]],T_suiviDi[#Data],COLUMN((T_suiviDi[Civ.])),FALSE),"")</f>
        <v/>
      </c>
      <c r="G22" s="96" t="str">
        <f>IF(T_BilanSocial[[#This Row],[Final]]&lt;&gt;"",VLOOKUP(T_BilanSocial[[#This Row],[NumL]],T_suiviDi[#Data],COLUMN((T_suiviDi[Nom])),FALSE),"")</f>
        <v/>
      </c>
      <c r="H22" s="96" t="str">
        <f>IF(T_BilanSocial[[#This Row],[Final]]&lt;&gt;"",VLOOKUP(T_BilanSocial[[#This Row],[NumL]],T_suiviDi[#Data],COLUMN((T_suiviDi[Prénom])),FALSE),"")</f>
        <v/>
      </c>
      <c r="I22" s="96" t="str">
        <f>IFERROR(VLOOKUP(T_BilanSocial[[#This Row],[Zone_Bilan]],T_P_BilanSocial[#Data],COLUMN(T_P_BilanSocial[[#This Row],[Numero_SIHAM]]),FALSE),"")</f>
        <v/>
      </c>
      <c r="J22" s="96" t="str">
        <f>IFERROR(VLOOKUP(T_BilanSocial[[#This Row],[Zone_Bilan]],T_P_BilanSocial[#Data],COLUMN(T_P_BilanSocial[[#This Row],[Sexe]]),FALSE),"")</f>
        <v/>
      </c>
      <c r="K22" s="97" t="str">
        <f>IFERROR(VLOOKUP(T_BilanSocial[[#This Row],[Zone_Bilan]],T_P_BilanSocial[#Data],COLUMN(T_P_BilanSocial[[#This Row],[Categorie]]),FALSE),"")</f>
        <v/>
      </c>
      <c r="L22" s="96" t="str">
        <f>IFERROR(VLOOKUP(T_BilanSocial[[#This Row],[Zone_Bilan]],T_P_BilanSocial[#Data],COLUMN(T_P_BilanSocial[[#This Row],[Statut]]),FALSE),"")</f>
        <v/>
      </c>
      <c r="M22" s="96" t="str">
        <f>IFERROR(VLOOKUP(T_BilanSocial[[#This Row],[Zone_Bilan]],T_P_BilanSocial[#Data],COLUMN(T_P_BilanSocial[[#This Row],[Filiere]]),FALSE),"")</f>
        <v/>
      </c>
      <c r="N22" s="96" t="e">
        <f>VLOOKUP(T_BilanSocial[[#This Row],[NumL]],T_TraitDi[#Data],COLUMN(T_TraitDi[EXP]),FALSE)</f>
        <v>#N/A</v>
      </c>
      <c r="O22" s="96" t="e">
        <f>VLOOKUP(T_BilanSocial[[#This Row],[NumL]],T_TraitDi[#Data],COLUMN(T_TraitDi[FORM]),FALSE)</f>
        <v>#N/A</v>
      </c>
      <c r="P22" s="96" t="str">
        <f>IF(T_BilanSocial[[#This Row],[Final]]&lt;&gt;"",VLOOKUP(T_BilanSocial[[#This Row],[NumL]],T_suiviDi[#Data],COLUMN((T_suiviDi[Email])),FALSE),"")</f>
        <v/>
      </c>
      <c r="Q22" s="164" t="e">
        <f t="shared" si="7"/>
        <v>#N/A</v>
      </c>
      <c r="R22" s="164" t="e">
        <f t="shared" si="8"/>
        <v>#N/A</v>
      </c>
      <c r="S22" s="164" t="e">
        <f>IF(VLOOKUP(T_BilanSocial[[#This Row],[NumL]],T_suiviDi[#Data],COLUMN(T_suiviDi[[#This Row],[Service ]]),FALSE)="","",VLOOKUP(T_BilanSocial[[#This Row],[NumL]],T_suiviDi[#Data],COLUMN(T_suiviDi[[#This Row],[Service ]]),FALSE))</f>
        <v>#N/A</v>
      </c>
      <c r="T22" s="164" t="str">
        <f t="shared" si="2"/>
        <v>01 septembre 2021</v>
      </c>
      <c r="U22" s="164" t="str">
        <f t="shared" si="3"/>
        <v>30 novembre 2021</v>
      </c>
      <c r="V22" s="164" t="str">
        <f t="shared" si="6"/>
        <v>30 novembre 2021</v>
      </c>
      <c r="W22" s="176" t="e">
        <f>IF(VLOOKUP(T_BilanSocial[[#This Row],[NumL]],T_TraitDi[#Data],COLUMN(T_TraitDi[[#This Row],[M1]]),FALSE)="","",VLOOKUP(T_BilanSocial[[#This Row],[NumL]],T_TraitDi[#Data],COLUMN(T_TraitDi[[#This Row],[M1]]),FALSE))</f>
        <v>#N/A</v>
      </c>
      <c r="X22" s="176" t="e">
        <f>IF(VLOOKUP(T_BilanSocial[[#This Row],[NumL]],T_TraitDi[#Data],COLUMN(T_TraitDi[[#This Row],[M2]]),FALSE)="","",VLOOKUP(T_BilanSocial[[#This Row],[NumL]],T_TraitDi[#Data],COLUMN(T_TraitDi[[#This Row],[M2]]),FALSE))</f>
        <v>#N/A</v>
      </c>
      <c r="Y22" s="176" t="e">
        <f>IF(VLOOKUP(T_BilanSocial[[#This Row],[NumL]],T_TraitDi[#Data],COLUMN(T_TraitDi[[#This Row],[M3]]),FALSE)="","",VLOOKUP(T_BilanSocial[[#This Row],[NumL]],T_TraitDi[#Data],COLUMN(T_TraitDi[[#This Row],[M3]]),FALSE))</f>
        <v>#N/A</v>
      </c>
      <c r="Z22" s="176" t="str">
        <f t="shared" si="5"/>
        <v/>
      </c>
      <c r="AA22" s="176" t="e">
        <f>IF(VLOOKUP(T_BilanSocial[[#This Row],[NumL]],T_TraitDi[#Data],COLUMN(T_TraitDi[[#This Row],[M5]]),FALSE)="","",VLOOKUP(T_BilanSocial[[#This Row],[NumL]],T_TraitDi[#Data],COLUMN(T_TraitDi[[#This Row],[M5]]),FALSE))</f>
        <v>#N/A</v>
      </c>
      <c r="AB22" s="176" t="e">
        <f>IF(VLOOKUP(T_BilanSocial[[#This Row],[NumL]],T_TraitDi[#Data],COLUMN(T_TraitDi[[#This Row],[M6]]),FALSE)="","",VLOOKUP(T_BilanSocial[[#This Row],[NumL]],T_TraitDi[#Data],COLUMN(T_TraitDi[[#This Row],[M6]]),FALSE))</f>
        <v>#N/A</v>
      </c>
      <c r="AC22" s="165" t="e">
        <f t="shared" si="4"/>
        <v>#N/A</v>
      </c>
      <c r="AD22" s="188" t="str">
        <f>IFERROR(TEXT(VLOOKUP(T_BilanSocial[[#This Row],[NumL]],T_TraitDi[#Data],COLUMN(T_TraitDi[[#This Row],[Q2]]),FALSE),"###%"),"")</f>
        <v/>
      </c>
      <c r="AE22" s="97" t="e">
        <f>VLOOKUP(T_BilanSocial[[#This Row],[NumL]],T_TraitDi[#Data],COLUMN(T_TraitDi[[#This Row],[Reg Ponct]]),FALSE)</f>
        <v>#N/A</v>
      </c>
      <c r="AF22" s="97" t="e">
        <f>VLOOKUP(T_BilanSocial[NumL],T_TraitDi[#Data],COLUMN(T_TraitDi[[#This Row],[Jours flottants]]),FALSE)</f>
        <v>#N/A</v>
      </c>
      <c r="AG22" s="97" t="str">
        <f>IFERROR(VLOOKUP(T_BilanSocial[[#This Row],[NumL]],T_TraitDi[#Data],COLUMN(T_TraitDi[[#This Row],[Lundi]]),FALSE),"")</f>
        <v/>
      </c>
      <c r="AH22" s="172" t="e">
        <f>IF(VLOOKUP(T_BilanSocial[[#This Row],[NumL]],T_TraitDi[#Data],COLUMN(T_TraitDi[[#This Row],[Colonne3]]),FALSE)=0,"",TEXT(IFERROR(VLOOKUP(T_BilanSocial[[#This Row],[NumL]],T_TraitDi[#Data],COLUMN(T_TraitDi[[#This Row],[Colonne3]]),FALSE),""),"[hh]:mm"))</f>
        <v>#N/A</v>
      </c>
      <c r="AI22" s="172" t="e">
        <f>IF(VLOOKUP(T_BilanSocial[[#This Row],[NumL]],T_TraitDi[#Data],COLUMN(T_TraitDi[[#This Row],[Colonne4]]),FALSE)=0,"",TEXT(IFERROR(VLOOKUP(T_BilanSocial[[#This Row],[NumL]],T_TraitDi[#Data],COLUMN(T_TraitDi[[#This Row],[Colonne4]]),FALSE),""),"[hh]:mm"))</f>
        <v>#N/A</v>
      </c>
      <c r="AJ22" s="172" t="e">
        <f>IF(VLOOKUP(T_BilanSocial[[#This Row],[NumL]],T_TraitDi[#Data],COLUMN(T_TraitDi[[#This Row],[Colonne5]]),FALSE)=0,"",TEXT(IFERROR(VLOOKUP(T_BilanSocial[[#This Row],[NumL]],T_TraitDi[#Data],COLUMN(T_TraitDi[[#This Row],[Colonne5]]),FALSE),""),"[hh]:mm"))</f>
        <v>#N/A</v>
      </c>
      <c r="AK22" s="172" t="e">
        <f>IF(VLOOKUP(T_BilanSocial[[#This Row],[NumL]],T_TraitDi[#Data],COLUMN(T_TraitDi[[#This Row],[Colonne6]]),FALSE)=0,"",TEXT(IFERROR(VLOOKUP(T_BilanSocial[[#This Row],[NumL]],T_TraitDi[#Data],COLUMN(T_TraitDi[[#This Row],[Colonne6]]),FALSE),""),"[hh]:mm"))</f>
        <v>#N/A</v>
      </c>
      <c r="AL22" s="172" t="e">
        <f>IF(VLOOKUP(T_BilanSocial[[#This Row],[NumL]],T_TraitDi[#Data],COLUMN(T_TraitDi[[#This Row],[Colonne7]]),FALSE)=0,"",TEXT(IFERROR(VLOOKUP(T_BilanSocial[[#This Row],[NumL]],T_TraitDi[#Data],COLUMN(T_TraitDi[[#This Row],[Colonne7]]),FALSE),""),"[hh]:mm"))</f>
        <v>#N/A</v>
      </c>
      <c r="AM22" s="172" t="e">
        <f>IF(VLOOKUP(T_BilanSocial[[#This Row],[NumL]],T_TraitDi[#Data],COLUMN(T_TraitDi[[#This Row],[Colonne8]]),FALSE)=0,"",TEXT(IFERROR(VLOOKUP(T_BilanSocial[[#This Row],[NumL]],T_TraitDi[#Data],COLUMN(T_TraitDi[[#This Row],[Colonne8]]),FALSE),""),"[hh]:mm"))</f>
        <v>#N/A</v>
      </c>
      <c r="AN22" s="172" t="str">
        <f>IFERROR(VLOOKUP(T_BilanSocial[[#This Row],[NumL]],T_TraitDi[#Data],COLUMN(T_TraitDi[[#This Row],[Mardi]]),FALSE),"")</f>
        <v/>
      </c>
      <c r="AO22" s="172" t="e">
        <f>IF(VLOOKUP(T_BilanSocial[[#This Row],[NumL]],T_TraitDi[#Data],COLUMN(T_TraitDi[[#This Row],[Colonne1]]),FALSE)=0,"",TEXT(IFERROR(VLOOKUP(T_BilanSocial[[#This Row],[NumL]],T_TraitDi[#Data],COLUMN(T_TraitDi[[#This Row],[Colonne1]]),FALSE),""),"[hh]:mm"))</f>
        <v>#N/A</v>
      </c>
      <c r="AP22" s="172" t="e">
        <f>IF(VLOOKUP(T_BilanSocial[[#This Row],[NumL]],T_TraitDi[#Data],COLUMN(T_TraitDi[[#This Row],[Colonne9]]),FALSE)=0,"",TEXT(IFERROR(VLOOKUP(T_BilanSocial[[#This Row],[NumL]],T_TraitDi[#Data],COLUMN(T_TraitDi[[#This Row],[Colonne9]]),FALSE),""),"[hh]:mm"))</f>
        <v>#N/A</v>
      </c>
      <c r="AQ22" s="172" t="str">
        <f>IFERROR(VLOOKUP(T_BilanSocial[[#This Row],[NumL]],T_TraitDi[#Data],COLUMN(T_TraitDi[[#This Row],[Colonne10]]),FALSE),"")</f>
        <v/>
      </c>
      <c r="AR22" s="172" t="e">
        <f>IF(VLOOKUP(T_BilanSocial[[#This Row],[NumL]],T_TraitDi[#Data],COLUMN(T_TraitDi[[#This Row],[Colonne11]]),FALSE)=0,"",TEXT(IFERROR(VLOOKUP(T_BilanSocial[[#This Row],[NumL]],T_TraitDi[#Data],COLUMN(T_TraitDi[[#This Row],[Colonne11]]),FALSE),""),"[hh]:mm"))</f>
        <v>#N/A</v>
      </c>
      <c r="AS22" s="172" t="e">
        <f>IF(VLOOKUP(T_BilanSocial[[#This Row],[NumL]],T_TraitDi[#Data],COLUMN(T_TraitDi[[#This Row],[Colonne12]]),FALSE)=0,"",TEXT(IFERROR(VLOOKUP(T_BilanSocial[[#This Row],[NumL]],T_TraitDi[#Data],COLUMN(T_TraitDi[[#This Row],[Colonne12]]),FALSE),""),"[hh]:mm"))</f>
        <v>#N/A</v>
      </c>
      <c r="AT22" s="172" t="e">
        <f>IF(VLOOKUP(T_BilanSocial[[#This Row],[NumL]],T_TraitDi[#Data],COLUMN(T_TraitDi[[#This Row],[Colonne14]]),FALSE)=0,"",TEXT(IFERROR(VLOOKUP(T_BilanSocial[[#This Row],[NumL]],T_TraitDi[#Data],COLUMN(T_TraitDi[[#This Row],[Colonne14]]),FALSE),""),"[hh]:mm"))</f>
        <v>#N/A</v>
      </c>
      <c r="AU22" s="172" t="str">
        <f>IFERROR(VLOOKUP(T_BilanSocial[[#This Row],[NumL]],T_TraitDi[#Data],COLUMN(T_TraitDi[[#This Row],[Mercredi]]),FALSE),"")</f>
        <v/>
      </c>
      <c r="AV22" s="172" t="e">
        <f>IF(VLOOKUP(T_BilanSocial[[#This Row],[NumL]],T_TraitDi[#Data],COLUMN(T_TraitDi[[#This Row],[Colonne15]]),FALSE)=0,"",TEXT(IFERROR(VLOOKUP(T_BilanSocial[[#This Row],[NumL]],T_TraitDi[#Data],COLUMN(T_TraitDi[[#This Row],[Colonne15]]),FALSE),""),"[hh]:mm"))</f>
        <v>#N/A</v>
      </c>
      <c r="AW22" s="172" t="e">
        <f>IF(VLOOKUP(T_BilanSocial[[#This Row],[NumL]],T_TraitDi[#Data],COLUMN(T_TraitDi[[#This Row],[Colonne16]]),FALSE)=0,"",TEXT(IFERROR(VLOOKUP(T_BilanSocial[[#This Row],[NumL]],T_TraitDi[#Data],COLUMN(T_TraitDi[[#This Row],[Colonne16]]),FALSE),""),"[hh]:mm"))</f>
        <v>#N/A</v>
      </c>
      <c r="AX22" s="172" t="str">
        <f>IFERROR(VLOOKUP(T_BilanSocial[[#This Row],[NumL]],T_TraitDi[#Data],COLUMN(T_TraitDi[[#This Row],[Colonne17]]),FALSE),"")</f>
        <v/>
      </c>
      <c r="AY22" s="172" t="e">
        <f>IF(VLOOKUP(T_BilanSocial[[#This Row],[NumL]],T_TraitDi[#Data],COLUMN(T_TraitDi[[#This Row],[Colonne18]]),FALSE)=0,"",TEXT(IFERROR(VLOOKUP(T_BilanSocial[[#This Row],[NumL]],T_TraitDi[#Data],COLUMN(T_TraitDi[[#This Row],[Colonne18]]),FALSE),""),"[hh]:mm"))</f>
        <v>#N/A</v>
      </c>
      <c r="AZ22" s="172" t="e">
        <f>IF(VLOOKUP(T_BilanSocial[[#This Row],[NumL]],T_TraitDi[#Data],COLUMN(T_TraitDi[[#This Row],[Colonne19]]),FALSE)=0,"",TEXT(IFERROR(VLOOKUP(T_BilanSocial[[#This Row],[NumL]],T_TraitDi[#Data],COLUMN(T_TraitDi[[#This Row],[Colonne19]]),FALSE),""),"[hh]:mm"))</f>
        <v>#N/A</v>
      </c>
      <c r="BA22" s="172" t="e">
        <f>IF(VLOOKUP(T_BilanSocial[[#This Row],[NumL]],T_TraitDi[#Data],COLUMN(T_TraitDi[[#This Row],[Colonne20]]),FALSE)=0,"",TEXT(IFERROR(VLOOKUP(T_BilanSocial[[#This Row],[NumL]],T_TraitDi[#Data],COLUMN(T_TraitDi[[#This Row],[Colonne20]]),FALSE),""),"[hh]:mm"))</f>
        <v>#N/A</v>
      </c>
      <c r="BB22" s="178" t="str">
        <f>IFERROR(VLOOKUP(T_BilanSocial[[#This Row],[NumL]],T_TraitDi[#Data],COLUMN(T_TraitDi[[#This Row],[Jeudi]]),FALSE),"")</f>
        <v/>
      </c>
      <c r="BC22" s="178" t="e">
        <f>IF(VLOOKUP(T_BilanSocial[[#This Row],[NumL]],T_TraitDi[#Data],COLUMN(T_TraitDi[[#This Row],[Colonne21]]),FALSE)=0,"",TEXT(IFERROR(VLOOKUP(T_BilanSocial[[#This Row],[NumL]],T_TraitDi[#Data],COLUMN(T_TraitDi[[#This Row],[Colonne21]]),FALSE),""),"[hh]:mm"))</f>
        <v>#N/A</v>
      </c>
      <c r="BD22" s="178" t="e">
        <f>IF(VLOOKUP(T_BilanSocial[[#This Row],[NumL]],T_TraitDi[#Data],COLUMN(T_TraitDi[[#This Row],[Colonne22]]),FALSE)=0,"",TEXT(IFERROR(VLOOKUP(T_BilanSocial[[#This Row],[NumL]],T_TraitDi[#Data],COLUMN(T_TraitDi[[#This Row],[Colonne22]]),FALSE),""),"[hh]:mm"))</f>
        <v>#N/A</v>
      </c>
      <c r="BE22" s="178" t="str">
        <f>IFERROR(VLOOKUP(T_BilanSocial[[#This Row],[NumL]],T_TraitDi[#Data],COLUMN(T_TraitDi[[#This Row],[Colonne23]]),FALSE),"")</f>
        <v/>
      </c>
      <c r="BF22" s="178" t="e">
        <f>IF(VLOOKUP(T_BilanSocial[[#This Row],[NumL]],T_TraitDi[#Data],COLUMN(T_TraitDi[[#This Row],[Colonne24]]),FALSE)=0,"",TEXT(IFERROR(VLOOKUP(T_BilanSocial[[#This Row],[NumL]],T_TraitDi[#Data],COLUMN(T_TraitDi[[#This Row],[Colonne24]]),FALSE),""),"[hh]:mm"))</f>
        <v>#N/A</v>
      </c>
      <c r="BG22" s="178" t="e">
        <f>IF(VLOOKUP(T_BilanSocial[[#This Row],[NumL]],T_TraitDi[#Data],COLUMN(T_TraitDi[[#This Row],[Colonne25]]),FALSE)=0,"",TEXT(IFERROR(VLOOKUP(T_BilanSocial[[#This Row],[NumL]],T_TraitDi[#Data],COLUMN(T_TraitDi[[#This Row],[Colonne25]]),FALSE),""),"[hh]:mm"))</f>
        <v>#N/A</v>
      </c>
      <c r="BH22" s="178" t="e">
        <f>IF(VLOOKUP(T_BilanSocial[[#This Row],[NumL]],T_TraitDi[#Data],COLUMN(T_TraitDi[[#This Row],[Colonne26]]),FALSE)=0,"",TEXT(IFERROR(VLOOKUP(T_BilanSocial[[#This Row],[NumL]],T_TraitDi[#Data],COLUMN(T_TraitDi[[#This Row],[Colonne26]]),FALSE),""),"[hh]:mm"))</f>
        <v>#N/A</v>
      </c>
      <c r="BI22" s="172" t="str">
        <f>IFERROR(VLOOKUP(T_BilanSocial[[#This Row],[NumL]],T_TraitDi[#Data],COLUMN(T_TraitDi[[#This Row],[Vendredi]]),FALSE),"")</f>
        <v/>
      </c>
      <c r="BJ22" s="172" t="e">
        <f>IF(VLOOKUP(T_BilanSocial[[#This Row],[NumL]],T_TraitDi[#Data],COLUMN(T_TraitDi[[#This Row],[Colonne27]]),FALSE)=0,"",TEXT(IFERROR(VLOOKUP(T_BilanSocial[[#This Row],[NumL]],T_TraitDi[#Data],COLUMN(T_TraitDi[[#This Row],[Colonne27]]),FALSE),""),"[hh]:mm"))</f>
        <v>#N/A</v>
      </c>
      <c r="BK22" s="172" t="e">
        <f>IF(VLOOKUP(T_BilanSocial[[#This Row],[NumL]],T_TraitDi[#Data],COLUMN(T_TraitDi[[#This Row],[Colonne28]]),FALSE)=0,"",TEXT(IFERROR(VLOOKUP(T_BilanSocial[[#This Row],[NumL]],T_TraitDi[#Data],COLUMN(T_TraitDi[[#This Row],[Colonne28]]),FALSE),""),"[hh]:mm"))</f>
        <v>#N/A</v>
      </c>
      <c r="BL22" s="172" t="str">
        <f>IFERROR(VLOOKUP(T_BilanSocial[[#This Row],[NumL]],T_TraitDi[#Data],COLUMN(T_TraitDi[[#This Row],[Colonne29]]),FALSE),"")</f>
        <v/>
      </c>
      <c r="BM22" s="172" t="e">
        <f>IF(VLOOKUP(T_BilanSocial[[#This Row],[NumL]],T_TraitDi[#Data],COLUMN(T_TraitDi[[#This Row],[Colonne30]]),FALSE)=0,"",TEXT(IFERROR(VLOOKUP(T_BilanSocial[[#This Row],[NumL]],T_TraitDi[#Data],COLUMN(T_TraitDi[[#This Row],[Colonne30]]),FALSE),""),"[hh]:mm"))</f>
        <v>#N/A</v>
      </c>
      <c r="BN22" s="172" t="e">
        <f>IF(VLOOKUP(T_BilanSocial[[#This Row],[NumL]],T_TraitDi[#Data],COLUMN(T_TraitDi[[#This Row],[Colonne31]]),FALSE)=0,"",TEXT(IFERROR(VLOOKUP(T_BilanSocial[[#This Row],[NumL]],T_TraitDi[#Data],COLUMN(T_TraitDi[[#This Row],[Colonne31]]),FALSE),""),"[hh]:mm"))</f>
        <v>#N/A</v>
      </c>
      <c r="BO22" s="172" t="e">
        <f>IF(VLOOKUP(T_BilanSocial[[#This Row],[NumL]],T_TraitDi[#Data],COLUMN(T_TraitDi[[#This Row],[Colonne32]]),FALSE)=0,"",TEXT(IFERROR(VLOOKUP(T_BilanSocial[[#This Row],[NumL]],T_TraitDi[#Data],COLUMN(T_TraitDi[[#This Row],[Colonne32]]),FALSE),""),"[hh]:mm"))</f>
        <v>#N/A</v>
      </c>
      <c r="BP22" s="172" t="e">
        <f>VLOOKUP(T_BilanSocial[[#This Row],[NumL]],T_TraitDi[#Data],COLUMN(T_TraitDi[NbJTot]),FALSE)</f>
        <v>#N/A</v>
      </c>
      <c r="BQ22" s="174" t="str">
        <f>IFERROR(VLOOKUP(T_BilanSocial[[#This Row],[NumL]],T_TraitDi[#Data],COLUMN(T_TraitDi[[#This Row],[NbJTW]]),FALSE),"")</f>
        <v/>
      </c>
      <c r="BR22" s="174" t="e">
        <f>IF(VLOOKUP(T_BilanSocial[[#This Row],[NumL]],T_TraitDi[#Data],COLUMN(T_TraitDi[[#This Row],[NbhTW]]),FALSE)=0,"",TEXT(IFERROR(VLOOKUP(T_BilanSocial[[#This Row],[NumL]],T_TraitDi[#Data],COLUMN(T_TraitDi[[#This Row],[NbhTW]]),FALSE),""),"[hh]:mm"))</f>
        <v>#N/A</v>
      </c>
      <c r="BS22" s="174" t="e">
        <f>IF(VLOOKUP(T_BilanSocial[[#This Row],[NumL]],T_TraitDi[#Data],COLUMN(T_TraitDi[[#This Row],[Nbhheb]]),FALSE)=0,"",TEXT(IFERROR(VLOOKUP($A22,T_TraitDi[#Data],COLUMN(T_TraitDi[[#This Row],[Nbhheb]]),FALSE),""),"[hh]:mm"))</f>
        <v>#N/A</v>
      </c>
      <c r="BT22" s="182" t="str">
        <f>IFERROR(VLOOKUP(VLOOKUP($A22,T_TraitDi[#Data],COLUMN(T_TraitDi[[#This Row],[Type1]]),FALSE),TypeTW,2,FALSE),"")</f>
        <v/>
      </c>
      <c r="BU22" s="182" t="str">
        <f>IFERROR(VLOOKUP($A22,T_TraitDi[#Data],COLUMN(T_TraitDi[[#This Row],[Rue1]]),FALSE),"")</f>
        <v/>
      </c>
      <c r="BV22" s="173" t="str">
        <f>IFERROR(VLOOKUP($A22,T_TraitDi[#Data],COLUMN(T_TraitDi[[#This Row],[CP1]]),FALSE),"")</f>
        <v/>
      </c>
      <c r="BW22" s="173" t="str">
        <f>IFERROR(VLOOKUP($A22,T_TraitDi[#Data],COLUMN(T_TraitDi[[#This Row],[VILLE1]]),FALSE),"")</f>
        <v/>
      </c>
      <c r="BX22" s="182" t="str">
        <f>IFERROR(VLOOKUP(VLOOKUP($A22,T_TraitDi[#Data],COLUMN(T_TraitDi[[#This Row],[Type2]]),FALSE),TypeTW,2,FALSE),"")</f>
        <v/>
      </c>
      <c r="BY22" s="182" t="str">
        <f>IFERROR(VLOOKUP($A22,T_TraitDi[#Data],COLUMN(T_TraitDi[[#This Row],[Rue2]]),FALSE),"")</f>
        <v/>
      </c>
      <c r="BZ22" s="173" t="str">
        <f>IFERROR(VLOOKUP($A22,T_TraitDi[#Data],COLUMN(T_TraitDi[[#This Row],[CP2]]),FALSE),"")</f>
        <v/>
      </c>
      <c r="CA22" s="173" t="str">
        <f>IFERROR(VLOOKUP($A22,T_TraitDi[#Data],COLUMN(T_TraitDi[[#This Row],[VILLE2]]),FALSE),"")</f>
        <v/>
      </c>
      <c r="CB22" s="182" t="str">
        <f>IF(VLOOKUP(T_BilanSocial[[#This Row],[NumL]],T_Equipement[#Data],COLUMN(T_Equipement[[#This Row],[PC]]),FALSE)="","Aucun équipement spécifique directement lié au télétravail",VLOOKUP(T_BilanSocial[[#This Row],[NumL]],T_Equipement[#Data],COLUMN(T_Equipement[[#This Row],[PC]]),FALSE))</f>
        <v xml:space="preserve">16-434	</v>
      </c>
      <c r="CC22" s="166" t="str">
        <f>IFERROR(IF(VLOOKUP(T_BilanSocial[[#This Row],[NumL]],T_TraitDi[#Data],COLUMN(T_TraitDi[[#This Row],[Plan]]),FALSE)="OK","Un planning spécifique de télétravail est annexé à la présente convention.",""),"")</f>
        <v/>
      </c>
      <c r="CD22" s="185"/>
      <c r="CE22" s="164" t="e">
        <f>IF(VLOOKUP(T_BilanSocial[[#This Row],[NumL]],T_suiviDi[#Data],COLUMN(T_suiviDi[[#This Row],[Entité]]),FALSE)="","",VLOOKUP(T_BilanSocial[[#This Row],[NumL]],T_suiviDi[#Data],COLUMN(T_suiviDi[[#This Row],[Entité]]),FALSE))</f>
        <v>#N/A</v>
      </c>
      <c r="CF22" s="164" t="str">
        <f>IF(VLOOKUP(T_BilanSocial[[#This Row],[NumL]],T_Commission[#Data],COLUMN(T_Commission[[#This Row],[envoi confirm TW]]),FALSE)="","",VLOOKUP(T_BilanSocial[[#This Row],[NumL]],T_Commission[#Data],COLUMN(T_Commission[[#This Row],[envoi confirm TW]]),FALSE))</f>
        <v>Oui</v>
      </c>
      <c r="CG2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 s="262" t="str">
        <f>T_BilanSocial[[#This Row],[Nom]]&amp;T_BilanSocial[[#This Row],[Prenom]]</f>
        <v/>
      </c>
      <c r="CI22" s="262">
        <f>VLOOKUP(T_BilanSocial[[#This Row],[NumL]],T_Commission[#Data],COLUMN(T_Commission[Commentaire]),FALSE)</f>
        <v>0</v>
      </c>
      <c r="CJ22" s="262" t="str">
        <f>IF(VLOOKUP(T_BilanSocial[[#This Row],[NumL]],T_Commission[#Data],COLUMN(T_Commission[Encadrant Email]),FALSE)="","",VLOOKUP(T_BilanSocial[[#This Row],[NumL]],T_Commission[#Data],COLUMN(T_Commission[Encadrant Email]),FALSE))</f>
        <v/>
      </c>
      <c r="CK22" s="340" t="str">
        <f>IF(T_BilanSocial[[#This Row],[Final]]&lt;&gt;"",VLOOKUP(T_BilanSocial[[#This Row],[NumL]],T_suiviDi[#Data],COLUMN((T_suiviDi[Statut])),FALSE),"")</f>
        <v/>
      </c>
    </row>
    <row r="23" spans="1:89" s="106" customFormat="1" ht="24.75" customHeight="1" x14ac:dyDescent="0.25">
      <c r="A23" s="160">
        <v>20</v>
      </c>
      <c r="B23" s="161" t="str">
        <f t="shared" si="0"/>
        <v/>
      </c>
      <c r="C23" s="162" t="s">
        <v>173</v>
      </c>
      <c r="D23" s="95" t="e">
        <f>IF(VLOOKUP(T_BilanSocial[[#This Row],[NumL]],T_TraitDi[#Data],COLUMN(T_TraitDi[[#This Row],[WebC]]),FALSE)="","",VLOOKUP(T_BilanSocial[[#This Row],[NumL]],T_TraitDi[#Data],COLUMN(T_TraitDi[[#This Row],[WebC]]),FALSE))</f>
        <v>#N/A</v>
      </c>
      <c r="E23" s="163" t="str">
        <f t="shared" si="1"/>
        <v>12 janvier 2021</v>
      </c>
      <c r="F23" s="96" t="str">
        <f>IF(T_BilanSocial[[#This Row],[Final]]&lt;&gt;"",VLOOKUP(T_BilanSocial[[#This Row],[NumL]],T_suiviDi[#Data],COLUMN((T_suiviDi[Civ.])),FALSE),"")</f>
        <v/>
      </c>
      <c r="G23" s="96" t="str">
        <f>IF(T_BilanSocial[[#This Row],[Final]]&lt;&gt;"",VLOOKUP(T_BilanSocial[[#This Row],[NumL]],T_suiviDi[#Data],COLUMN((T_suiviDi[Nom])),FALSE),"")</f>
        <v/>
      </c>
      <c r="H23" s="96" t="str">
        <f>IF(T_BilanSocial[[#This Row],[Final]]&lt;&gt;"",VLOOKUP(T_BilanSocial[[#This Row],[NumL]],T_suiviDi[#Data],COLUMN((T_suiviDi[Prénom])),FALSE),"")</f>
        <v/>
      </c>
      <c r="I23" s="96" t="str">
        <f>IFERROR(VLOOKUP(T_BilanSocial[[#This Row],[Zone_Bilan]],T_P_BilanSocial[#Data],COLUMN(T_P_BilanSocial[[#This Row],[Numero_SIHAM]]),FALSE),"")</f>
        <v/>
      </c>
      <c r="J23" s="96" t="str">
        <f>IFERROR(VLOOKUP(T_BilanSocial[[#This Row],[Zone_Bilan]],T_P_BilanSocial[#Data],COLUMN(T_P_BilanSocial[[#This Row],[Sexe]]),FALSE),"")</f>
        <v/>
      </c>
      <c r="K23" s="97" t="str">
        <f>IFERROR(VLOOKUP(T_BilanSocial[[#This Row],[Zone_Bilan]],T_P_BilanSocial[#Data],COLUMN(T_P_BilanSocial[[#This Row],[Categorie]]),FALSE),"")</f>
        <v/>
      </c>
      <c r="L23" s="96" t="str">
        <f>IFERROR(VLOOKUP(T_BilanSocial[[#This Row],[Zone_Bilan]],T_P_BilanSocial[#Data],COLUMN(T_P_BilanSocial[[#This Row],[Statut]]),FALSE),"")</f>
        <v/>
      </c>
      <c r="M23" s="96" t="str">
        <f>IFERROR(VLOOKUP(T_BilanSocial[[#This Row],[Zone_Bilan]],T_P_BilanSocial[#Data],COLUMN(T_P_BilanSocial[[#This Row],[Filiere]]),FALSE),"")</f>
        <v/>
      </c>
      <c r="N23" s="96" t="e">
        <f>VLOOKUP(T_BilanSocial[[#This Row],[NumL]],T_TraitDi[#Data],COLUMN(T_TraitDi[EXP]),FALSE)</f>
        <v>#N/A</v>
      </c>
      <c r="O23" s="96" t="e">
        <f>VLOOKUP(T_BilanSocial[[#This Row],[NumL]],T_TraitDi[#Data],COLUMN(T_TraitDi[FORM]),FALSE)</f>
        <v>#N/A</v>
      </c>
      <c r="P23" s="96" t="str">
        <f>IF(T_BilanSocial[[#This Row],[Final]]&lt;&gt;"",VLOOKUP(T_BilanSocial[[#This Row],[NumL]],T_suiviDi[#Data],COLUMN((T_suiviDi[Email])),FALSE),"")</f>
        <v/>
      </c>
      <c r="Q23" s="164" t="e">
        <f t="shared" si="7"/>
        <v>#N/A</v>
      </c>
      <c r="R23" s="164" t="e">
        <f t="shared" si="8"/>
        <v>#N/A</v>
      </c>
      <c r="S23" s="164" t="e">
        <f>IF(VLOOKUP(T_BilanSocial[[#This Row],[NumL]],T_suiviDi[#Data],COLUMN(T_suiviDi[[#This Row],[Service ]]),FALSE)="","",VLOOKUP(T_BilanSocial[[#This Row],[NumL]],T_suiviDi[#Data],COLUMN(T_suiviDi[[#This Row],[Service ]]),FALSE))</f>
        <v>#N/A</v>
      </c>
      <c r="T23" s="164" t="str">
        <f t="shared" si="2"/>
        <v>01 septembre 2021</v>
      </c>
      <c r="U23" s="164" t="str">
        <f t="shared" si="3"/>
        <v>30 novembre 2021</v>
      </c>
      <c r="V23" s="164" t="str">
        <f t="shared" si="6"/>
        <v>30 novembre 2021</v>
      </c>
      <c r="W23" s="176" t="e">
        <f>IF(VLOOKUP(T_BilanSocial[[#This Row],[NumL]],T_TraitDi[#Data],COLUMN(T_TraitDi[[#This Row],[M1]]),FALSE)="","",VLOOKUP(T_BilanSocial[[#This Row],[NumL]],T_TraitDi[#Data],COLUMN(T_TraitDi[[#This Row],[M1]]),FALSE))</f>
        <v>#N/A</v>
      </c>
      <c r="X23" s="176" t="e">
        <f>IF(VLOOKUP(T_BilanSocial[[#This Row],[NumL]],T_TraitDi[#Data],COLUMN(T_TraitDi[[#This Row],[M2]]),FALSE)="","",VLOOKUP(T_BilanSocial[[#This Row],[NumL]],T_TraitDi[#Data],COLUMN(T_TraitDi[[#This Row],[M2]]),FALSE))</f>
        <v>#N/A</v>
      </c>
      <c r="Y23" s="176" t="e">
        <f>IF(VLOOKUP(T_BilanSocial[[#This Row],[NumL]],T_TraitDi[#Data],COLUMN(T_TraitDi[[#This Row],[M3]]),FALSE)="","",VLOOKUP(T_BilanSocial[[#This Row],[NumL]],T_TraitDi[#Data],COLUMN(T_TraitDi[[#This Row],[M3]]),FALSE))</f>
        <v>#N/A</v>
      </c>
      <c r="Z23" s="176" t="str">
        <f t="shared" si="5"/>
        <v/>
      </c>
      <c r="AA23" s="176" t="e">
        <f>IF(VLOOKUP(T_BilanSocial[[#This Row],[NumL]],T_TraitDi[#Data],COLUMN(T_TraitDi[[#This Row],[M5]]),FALSE)="","",VLOOKUP(T_BilanSocial[[#This Row],[NumL]],T_TraitDi[#Data],COLUMN(T_TraitDi[[#This Row],[M5]]),FALSE))</f>
        <v>#N/A</v>
      </c>
      <c r="AB23" s="176" t="e">
        <f>IF(VLOOKUP(T_BilanSocial[[#This Row],[NumL]],T_TraitDi[#Data],COLUMN(T_TraitDi[[#This Row],[M6]]),FALSE)="","",VLOOKUP(T_BilanSocial[[#This Row],[NumL]],T_TraitDi[#Data],COLUMN(T_TraitDi[[#This Row],[M6]]),FALSE))</f>
        <v>#N/A</v>
      </c>
      <c r="AC23" s="165" t="e">
        <f t="shared" si="4"/>
        <v>#N/A</v>
      </c>
      <c r="AD23" s="188" t="str">
        <f>IFERROR(TEXT(VLOOKUP(T_BilanSocial[[#This Row],[NumL]],T_TraitDi[#Data],COLUMN(T_TraitDi[[#This Row],[Q2]]),FALSE),"###%"),"")</f>
        <v/>
      </c>
      <c r="AE23" s="97" t="e">
        <f>VLOOKUP(T_BilanSocial[[#This Row],[NumL]],T_TraitDi[#Data],COLUMN(T_TraitDi[[#This Row],[Reg Ponct]]),FALSE)</f>
        <v>#N/A</v>
      </c>
      <c r="AF23" s="97" t="e">
        <f>VLOOKUP(T_BilanSocial[NumL],T_TraitDi[#Data],COLUMN(T_TraitDi[[#This Row],[Jours flottants]]),FALSE)</f>
        <v>#N/A</v>
      </c>
      <c r="AG23" s="97" t="str">
        <f>IFERROR(VLOOKUP(T_BilanSocial[[#This Row],[NumL]],T_TraitDi[#Data],COLUMN(T_TraitDi[[#This Row],[Lundi]]),FALSE),"")</f>
        <v/>
      </c>
      <c r="AH23" s="172" t="e">
        <f>IF(VLOOKUP(T_BilanSocial[[#This Row],[NumL]],T_TraitDi[#Data],COLUMN(T_TraitDi[[#This Row],[Colonne3]]),FALSE)=0,"",TEXT(IFERROR(VLOOKUP(T_BilanSocial[[#This Row],[NumL]],T_TraitDi[#Data],COLUMN(T_TraitDi[[#This Row],[Colonne3]]),FALSE),""),"[hh]:mm"))</f>
        <v>#N/A</v>
      </c>
      <c r="AI23" s="172" t="e">
        <f>IF(VLOOKUP(T_BilanSocial[[#This Row],[NumL]],T_TraitDi[#Data],COLUMN(T_TraitDi[[#This Row],[Colonne4]]),FALSE)=0,"",TEXT(IFERROR(VLOOKUP(T_BilanSocial[[#This Row],[NumL]],T_TraitDi[#Data],COLUMN(T_TraitDi[[#This Row],[Colonne4]]),FALSE),""),"[hh]:mm"))</f>
        <v>#N/A</v>
      </c>
      <c r="AJ23" s="172" t="e">
        <f>IF(VLOOKUP(T_BilanSocial[[#This Row],[NumL]],T_TraitDi[#Data],COLUMN(T_TraitDi[[#This Row],[Colonne5]]),FALSE)=0,"",TEXT(IFERROR(VLOOKUP(T_BilanSocial[[#This Row],[NumL]],T_TraitDi[#Data],COLUMN(T_TraitDi[[#This Row],[Colonne5]]),FALSE),""),"[hh]:mm"))</f>
        <v>#N/A</v>
      </c>
      <c r="AK23" s="172" t="e">
        <f>IF(VLOOKUP(T_BilanSocial[[#This Row],[NumL]],T_TraitDi[#Data],COLUMN(T_TraitDi[[#This Row],[Colonne6]]),FALSE)=0,"",TEXT(IFERROR(VLOOKUP(T_BilanSocial[[#This Row],[NumL]],T_TraitDi[#Data],COLUMN(T_TraitDi[[#This Row],[Colonne6]]),FALSE),""),"[hh]:mm"))</f>
        <v>#N/A</v>
      </c>
      <c r="AL23" s="172" t="e">
        <f>IF(VLOOKUP(T_BilanSocial[[#This Row],[NumL]],T_TraitDi[#Data],COLUMN(T_TraitDi[[#This Row],[Colonne7]]),FALSE)=0,"",TEXT(IFERROR(VLOOKUP(T_BilanSocial[[#This Row],[NumL]],T_TraitDi[#Data],COLUMN(T_TraitDi[[#This Row],[Colonne7]]),FALSE),""),"[hh]:mm"))</f>
        <v>#N/A</v>
      </c>
      <c r="AM23" s="172" t="e">
        <f>IF(VLOOKUP(T_BilanSocial[[#This Row],[NumL]],T_TraitDi[#Data],COLUMN(T_TraitDi[[#This Row],[Colonne8]]),FALSE)=0,"",TEXT(IFERROR(VLOOKUP(T_BilanSocial[[#This Row],[NumL]],T_TraitDi[#Data],COLUMN(T_TraitDi[[#This Row],[Colonne8]]),FALSE),""),"[hh]:mm"))</f>
        <v>#N/A</v>
      </c>
      <c r="AN23" s="172" t="str">
        <f>IFERROR(VLOOKUP(T_BilanSocial[[#This Row],[NumL]],T_TraitDi[#Data],COLUMN(T_TraitDi[[#This Row],[Mardi]]),FALSE),"")</f>
        <v/>
      </c>
      <c r="AO23" s="172" t="e">
        <f>IF(VLOOKUP(T_BilanSocial[[#This Row],[NumL]],T_TraitDi[#Data],COLUMN(T_TraitDi[[#This Row],[Colonne1]]),FALSE)=0,"",TEXT(IFERROR(VLOOKUP(T_BilanSocial[[#This Row],[NumL]],T_TraitDi[#Data],COLUMN(T_TraitDi[[#This Row],[Colonne1]]),FALSE),""),"[hh]:mm"))</f>
        <v>#N/A</v>
      </c>
      <c r="AP23" s="172" t="e">
        <f>IF(VLOOKUP(T_BilanSocial[[#This Row],[NumL]],T_TraitDi[#Data],COLUMN(T_TraitDi[[#This Row],[Colonne9]]),FALSE)=0,"",TEXT(IFERROR(VLOOKUP(T_BilanSocial[[#This Row],[NumL]],T_TraitDi[#Data],COLUMN(T_TraitDi[[#This Row],[Colonne9]]),FALSE),""),"[hh]:mm"))</f>
        <v>#N/A</v>
      </c>
      <c r="AQ23" s="172" t="str">
        <f>IFERROR(VLOOKUP(T_BilanSocial[[#This Row],[NumL]],T_TraitDi[#Data],COLUMN(T_TraitDi[[#This Row],[Colonne10]]),FALSE),"")</f>
        <v/>
      </c>
      <c r="AR23" s="172" t="e">
        <f>IF(VLOOKUP(T_BilanSocial[[#This Row],[NumL]],T_TraitDi[#Data],COLUMN(T_TraitDi[[#This Row],[Colonne11]]),FALSE)=0,"",TEXT(IFERROR(VLOOKUP(T_BilanSocial[[#This Row],[NumL]],T_TraitDi[#Data],COLUMN(T_TraitDi[[#This Row],[Colonne11]]),FALSE),""),"[hh]:mm"))</f>
        <v>#N/A</v>
      </c>
      <c r="AS23" s="172" t="e">
        <f>IF(VLOOKUP(T_BilanSocial[[#This Row],[NumL]],T_TraitDi[#Data],COLUMN(T_TraitDi[[#This Row],[Colonne12]]),FALSE)=0,"",TEXT(IFERROR(VLOOKUP(T_BilanSocial[[#This Row],[NumL]],T_TraitDi[#Data],COLUMN(T_TraitDi[[#This Row],[Colonne12]]),FALSE),""),"[hh]:mm"))</f>
        <v>#N/A</v>
      </c>
      <c r="AT23" s="172" t="e">
        <f>IF(VLOOKUP(T_BilanSocial[[#This Row],[NumL]],T_TraitDi[#Data],COLUMN(T_TraitDi[[#This Row],[Colonne14]]),FALSE)=0,"",TEXT(IFERROR(VLOOKUP(T_BilanSocial[[#This Row],[NumL]],T_TraitDi[#Data],COLUMN(T_TraitDi[[#This Row],[Colonne14]]),FALSE),""),"[hh]:mm"))</f>
        <v>#N/A</v>
      </c>
      <c r="AU23" s="172" t="str">
        <f>IFERROR(VLOOKUP(T_BilanSocial[[#This Row],[NumL]],T_TraitDi[#Data],COLUMN(T_TraitDi[[#This Row],[Mercredi]]),FALSE),"")</f>
        <v/>
      </c>
      <c r="AV23" s="172" t="e">
        <f>IF(VLOOKUP(T_BilanSocial[[#This Row],[NumL]],T_TraitDi[#Data],COLUMN(T_TraitDi[[#This Row],[Colonne15]]),FALSE)=0,"",TEXT(IFERROR(VLOOKUP(T_BilanSocial[[#This Row],[NumL]],T_TraitDi[#Data],COLUMN(T_TraitDi[[#This Row],[Colonne15]]),FALSE),""),"[hh]:mm"))</f>
        <v>#N/A</v>
      </c>
      <c r="AW23" s="172" t="e">
        <f>IF(VLOOKUP(T_BilanSocial[[#This Row],[NumL]],T_TraitDi[#Data],COLUMN(T_TraitDi[[#This Row],[Colonne16]]),FALSE)=0,"",TEXT(IFERROR(VLOOKUP(T_BilanSocial[[#This Row],[NumL]],T_TraitDi[#Data],COLUMN(T_TraitDi[[#This Row],[Colonne16]]),FALSE),""),"[hh]:mm"))</f>
        <v>#N/A</v>
      </c>
      <c r="AX23" s="172" t="str">
        <f>IFERROR(VLOOKUP(T_BilanSocial[[#This Row],[NumL]],T_TraitDi[#Data],COLUMN(T_TraitDi[[#This Row],[Colonne17]]),FALSE),"")</f>
        <v/>
      </c>
      <c r="AY23" s="172" t="e">
        <f>IF(VLOOKUP(T_BilanSocial[[#This Row],[NumL]],T_TraitDi[#Data],COLUMN(T_TraitDi[[#This Row],[Colonne18]]),FALSE)=0,"",TEXT(IFERROR(VLOOKUP(T_BilanSocial[[#This Row],[NumL]],T_TraitDi[#Data],COLUMN(T_TraitDi[[#This Row],[Colonne18]]),FALSE),""),"[hh]:mm"))</f>
        <v>#N/A</v>
      </c>
      <c r="AZ23" s="172" t="e">
        <f>IF(VLOOKUP(T_BilanSocial[[#This Row],[NumL]],T_TraitDi[#Data],COLUMN(T_TraitDi[[#This Row],[Colonne19]]),FALSE)=0,"",TEXT(IFERROR(VLOOKUP(T_BilanSocial[[#This Row],[NumL]],T_TraitDi[#Data],COLUMN(T_TraitDi[[#This Row],[Colonne19]]),FALSE),""),"[hh]:mm"))</f>
        <v>#N/A</v>
      </c>
      <c r="BA23" s="172" t="e">
        <f>IF(VLOOKUP(T_BilanSocial[[#This Row],[NumL]],T_TraitDi[#Data],COLUMN(T_TraitDi[[#This Row],[Colonne20]]),FALSE)=0,"",TEXT(IFERROR(VLOOKUP(T_BilanSocial[[#This Row],[NumL]],T_TraitDi[#Data],COLUMN(T_TraitDi[[#This Row],[Colonne20]]),FALSE),""),"[hh]:mm"))</f>
        <v>#N/A</v>
      </c>
      <c r="BB23" s="178" t="str">
        <f>IFERROR(VLOOKUP(T_BilanSocial[[#This Row],[NumL]],T_TraitDi[#Data],COLUMN(T_TraitDi[[#This Row],[Jeudi]]),FALSE),"")</f>
        <v/>
      </c>
      <c r="BC23" s="178" t="e">
        <f>IF(VLOOKUP(T_BilanSocial[[#This Row],[NumL]],T_TraitDi[#Data],COLUMN(T_TraitDi[[#This Row],[Colonne21]]),FALSE)=0,"",TEXT(IFERROR(VLOOKUP(T_BilanSocial[[#This Row],[NumL]],T_TraitDi[#Data],COLUMN(T_TraitDi[[#This Row],[Colonne21]]),FALSE),""),"[hh]:mm"))</f>
        <v>#N/A</v>
      </c>
      <c r="BD23" s="178" t="e">
        <f>IF(VLOOKUP(T_BilanSocial[[#This Row],[NumL]],T_TraitDi[#Data],COLUMN(T_TraitDi[[#This Row],[Colonne22]]),FALSE)=0,"",TEXT(IFERROR(VLOOKUP(T_BilanSocial[[#This Row],[NumL]],T_TraitDi[#Data],COLUMN(T_TraitDi[[#This Row],[Colonne22]]),FALSE),""),"[hh]:mm"))</f>
        <v>#N/A</v>
      </c>
      <c r="BE23" s="178" t="str">
        <f>IFERROR(VLOOKUP(T_BilanSocial[[#This Row],[NumL]],T_TraitDi[#Data],COLUMN(T_TraitDi[[#This Row],[Colonne23]]),FALSE),"")</f>
        <v/>
      </c>
      <c r="BF23" s="178" t="e">
        <f>IF(VLOOKUP(T_BilanSocial[[#This Row],[NumL]],T_TraitDi[#Data],COLUMN(T_TraitDi[[#This Row],[Colonne24]]),FALSE)=0,"",TEXT(IFERROR(VLOOKUP(T_BilanSocial[[#This Row],[NumL]],T_TraitDi[#Data],COLUMN(T_TraitDi[[#This Row],[Colonne24]]),FALSE),""),"[hh]:mm"))</f>
        <v>#N/A</v>
      </c>
      <c r="BG23" s="178" t="e">
        <f>IF(VLOOKUP(T_BilanSocial[[#This Row],[NumL]],T_TraitDi[#Data],COLUMN(T_TraitDi[[#This Row],[Colonne25]]),FALSE)=0,"",TEXT(IFERROR(VLOOKUP(T_BilanSocial[[#This Row],[NumL]],T_TraitDi[#Data],COLUMN(T_TraitDi[[#This Row],[Colonne25]]),FALSE),""),"[hh]:mm"))</f>
        <v>#N/A</v>
      </c>
      <c r="BH23" s="178" t="e">
        <f>IF(VLOOKUP(T_BilanSocial[[#This Row],[NumL]],T_TraitDi[#Data],COLUMN(T_TraitDi[[#This Row],[Colonne26]]),FALSE)=0,"",TEXT(IFERROR(VLOOKUP(T_BilanSocial[[#This Row],[NumL]],T_TraitDi[#Data],COLUMN(T_TraitDi[[#This Row],[Colonne26]]),FALSE),""),"[hh]:mm"))</f>
        <v>#N/A</v>
      </c>
      <c r="BI23" s="172" t="str">
        <f>IFERROR(VLOOKUP(T_BilanSocial[[#This Row],[NumL]],T_TraitDi[#Data],COLUMN(T_TraitDi[[#This Row],[Vendredi]]),FALSE),"")</f>
        <v/>
      </c>
      <c r="BJ23" s="172" t="e">
        <f>IF(VLOOKUP(T_BilanSocial[[#This Row],[NumL]],T_TraitDi[#Data],COLUMN(T_TraitDi[[#This Row],[Colonne27]]),FALSE)=0,"",TEXT(IFERROR(VLOOKUP(T_BilanSocial[[#This Row],[NumL]],T_TraitDi[#Data],COLUMN(T_TraitDi[[#This Row],[Colonne27]]),FALSE),""),"[hh]:mm"))</f>
        <v>#N/A</v>
      </c>
      <c r="BK23" s="172" t="e">
        <f>IF(VLOOKUP(T_BilanSocial[[#This Row],[NumL]],T_TraitDi[#Data],COLUMN(T_TraitDi[[#This Row],[Colonne28]]),FALSE)=0,"",TEXT(IFERROR(VLOOKUP(T_BilanSocial[[#This Row],[NumL]],T_TraitDi[#Data],COLUMN(T_TraitDi[[#This Row],[Colonne28]]),FALSE),""),"[hh]:mm"))</f>
        <v>#N/A</v>
      </c>
      <c r="BL23" s="172" t="str">
        <f>IFERROR(VLOOKUP(T_BilanSocial[[#This Row],[NumL]],T_TraitDi[#Data],COLUMN(T_TraitDi[[#This Row],[Colonne29]]),FALSE),"")</f>
        <v/>
      </c>
      <c r="BM23" s="172" t="e">
        <f>IF(VLOOKUP(T_BilanSocial[[#This Row],[NumL]],T_TraitDi[#Data],COLUMN(T_TraitDi[[#This Row],[Colonne30]]),FALSE)=0,"",TEXT(IFERROR(VLOOKUP(T_BilanSocial[[#This Row],[NumL]],T_TraitDi[#Data],COLUMN(T_TraitDi[[#This Row],[Colonne30]]),FALSE),""),"[hh]:mm"))</f>
        <v>#N/A</v>
      </c>
      <c r="BN23" s="172" t="e">
        <f>IF(VLOOKUP(T_BilanSocial[[#This Row],[NumL]],T_TraitDi[#Data],COLUMN(T_TraitDi[[#This Row],[Colonne31]]),FALSE)=0,"",TEXT(IFERROR(VLOOKUP(T_BilanSocial[[#This Row],[NumL]],T_TraitDi[#Data],COLUMN(T_TraitDi[[#This Row],[Colonne31]]),FALSE),""),"[hh]:mm"))</f>
        <v>#N/A</v>
      </c>
      <c r="BO23" s="172" t="e">
        <f>IF(VLOOKUP(T_BilanSocial[[#This Row],[NumL]],T_TraitDi[#Data],COLUMN(T_TraitDi[[#This Row],[Colonne32]]),FALSE)=0,"",TEXT(IFERROR(VLOOKUP(T_BilanSocial[[#This Row],[NumL]],T_TraitDi[#Data],COLUMN(T_TraitDi[[#This Row],[Colonne32]]),FALSE),""),"[hh]:mm"))</f>
        <v>#N/A</v>
      </c>
      <c r="BP23" s="172" t="e">
        <f>VLOOKUP(T_BilanSocial[[#This Row],[NumL]],T_TraitDi[#Data],COLUMN(T_TraitDi[NbJTot]),FALSE)</f>
        <v>#N/A</v>
      </c>
      <c r="BQ23" s="174" t="str">
        <f>IFERROR(VLOOKUP(T_BilanSocial[[#This Row],[NumL]],T_TraitDi[#Data],COLUMN(T_TraitDi[[#This Row],[NbJTW]]),FALSE),"")</f>
        <v/>
      </c>
      <c r="BR23" s="174" t="e">
        <f>IF(VLOOKUP(T_BilanSocial[[#This Row],[NumL]],T_TraitDi[#Data],COLUMN(T_TraitDi[[#This Row],[NbhTW]]),FALSE)=0,"",TEXT(IFERROR(VLOOKUP(T_BilanSocial[[#This Row],[NumL]],T_TraitDi[#Data],COLUMN(T_TraitDi[[#This Row],[NbhTW]]),FALSE),""),"[hh]:mm"))</f>
        <v>#N/A</v>
      </c>
      <c r="BS23" s="174" t="e">
        <f>IF(VLOOKUP(T_BilanSocial[[#This Row],[NumL]],T_TraitDi[#Data],COLUMN(T_TraitDi[[#This Row],[Nbhheb]]),FALSE)=0,"",TEXT(IFERROR(VLOOKUP($A23,T_TraitDi[#Data],COLUMN(T_TraitDi[[#This Row],[Nbhheb]]),FALSE),""),"[hh]:mm"))</f>
        <v>#N/A</v>
      </c>
      <c r="BT23" s="182" t="str">
        <f>IFERROR(VLOOKUP(VLOOKUP($A23,T_TraitDi[#Data],COLUMN(T_TraitDi[[#This Row],[Type1]]),FALSE),TypeTW,2,FALSE),"")</f>
        <v/>
      </c>
      <c r="BU23" s="182" t="str">
        <f>IFERROR(VLOOKUP($A23,T_TraitDi[#Data],COLUMN(T_TraitDi[[#This Row],[Rue1]]),FALSE),"")</f>
        <v/>
      </c>
      <c r="BV23" s="173" t="str">
        <f>IFERROR(VLOOKUP($A23,T_TraitDi[#Data],COLUMN(T_TraitDi[[#This Row],[CP1]]),FALSE),"")</f>
        <v/>
      </c>
      <c r="BW23" s="173" t="str">
        <f>IFERROR(VLOOKUP($A23,T_TraitDi[#Data],COLUMN(T_TraitDi[[#This Row],[VILLE1]]),FALSE),"")</f>
        <v/>
      </c>
      <c r="BX23" s="182" t="str">
        <f>IFERROR(VLOOKUP(VLOOKUP($A23,T_TraitDi[#Data],COLUMN(T_TraitDi[[#This Row],[Type2]]),FALSE),TypeTW,2,FALSE),"")</f>
        <v/>
      </c>
      <c r="BY23" s="182" t="str">
        <f>IFERROR(VLOOKUP($A23,T_TraitDi[#Data],COLUMN(T_TraitDi[[#This Row],[Rue2]]),FALSE),"")</f>
        <v/>
      </c>
      <c r="BZ23" s="173" t="str">
        <f>IFERROR(VLOOKUP($A23,T_TraitDi[#Data],COLUMN(T_TraitDi[[#This Row],[CP2]]),FALSE),"")</f>
        <v/>
      </c>
      <c r="CA23" s="173" t="str">
        <f>IFERROR(VLOOKUP($A23,T_TraitDi[#Data],COLUMN(T_TraitDi[[#This Row],[VILLE2]]),FALSE),"")</f>
        <v/>
      </c>
      <c r="CB23" s="182" t="str">
        <f>IF(VLOOKUP(T_BilanSocial[[#This Row],[NumL]],T_Equipement[#Data],COLUMN(T_Equipement[[#This Row],[PC]]),FALSE)="","Aucun équipement spécifique directement lié au télétravail",VLOOKUP(T_BilanSocial[[#This Row],[NumL]],T_Equipement[#Data],COLUMN(T_Equipement[[#This Row],[PC]]),FALSE))</f>
        <v xml:space="preserve">16-076M	</v>
      </c>
      <c r="CC23" s="166" t="str">
        <f>IFERROR(IF(VLOOKUP(T_BilanSocial[[#This Row],[NumL]],T_TraitDi[#Data],COLUMN(T_TraitDi[[#This Row],[Plan]]),FALSE)="OK","Un planning spécifique de télétravail est annexé à la présente convention.",""),"")</f>
        <v/>
      </c>
      <c r="CD23" s="258" t="s">
        <v>3327</v>
      </c>
      <c r="CE23" s="164" t="e">
        <f>IF(VLOOKUP(T_BilanSocial[[#This Row],[NumL]],T_suiviDi[#Data],COLUMN(T_suiviDi[[#This Row],[Entité]]),FALSE)="","",VLOOKUP(T_BilanSocial[[#This Row],[NumL]],T_suiviDi[#Data],COLUMN(T_suiviDi[[#This Row],[Entité]]),FALSE))</f>
        <v>#N/A</v>
      </c>
      <c r="CF23" s="164" t="str">
        <f>IF(VLOOKUP(T_BilanSocial[[#This Row],[NumL]],T_Commission[#Data],COLUMN(T_Commission[[#This Row],[envoi confirm TW]]),FALSE)="","",VLOOKUP(T_BilanSocial[[#This Row],[NumL]],T_Commission[#Data],COLUMN(T_Commission[[#This Row],[envoi confirm TW]]),FALSE))</f>
        <v>Oui</v>
      </c>
      <c r="CG2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 s="262" t="str">
        <f>T_BilanSocial[[#This Row],[Nom]]&amp;T_BilanSocial[[#This Row],[Prenom]]</f>
        <v/>
      </c>
      <c r="CI23" s="262">
        <f>VLOOKUP(T_BilanSocial[[#This Row],[NumL]],T_Commission[#Data],COLUMN(T_Commission[Commentaire]),FALSE)</f>
        <v>0</v>
      </c>
      <c r="CJ23" s="262" t="str">
        <f>IF(VLOOKUP(T_BilanSocial[[#This Row],[NumL]],T_Commission[#Data],COLUMN(T_Commission[Encadrant Email]),FALSE)="","",VLOOKUP(T_BilanSocial[[#This Row],[NumL]],T_Commission[#Data],COLUMN(T_Commission[Encadrant Email]),FALSE))</f>
        <v/>
      </c>
      <c r="CK23" s="340" t="str">
        <f>IF(T_BilanSocial[[#This Row],[Final]]&lt;&gt;"",VLOOKUP(T_BilanSocial[[#This Row],[NumL]],T_suiviDi[#Data],COLUMN((T_suiviDi[Statut])),FALSE),"")</f>
        <v/>
      </c>
    </row>
    <row r="24" spans="1:89" s="106" customFormat="1" ht="24.75" customHeight="1" x14ac:dyDescent="0.25">
      <c r="A24" s="160"/>
      <c r="B24" s="161" t="str">
        <f t="shared" si="0"/>
        <v/>
      </c>
      <c r="C24" s="162" t="s">
        <v>173</v>
      </c>
      <c r="D24" s="95" t="str">
        <f>IF(VLOOKUP(T_BilanSocial[[#This Row],[NumL]],T_TraitDi[#Data],COLUMN(T_TraitDi[[#This Row],[WebC]]),FALSE)="","",VLOOKUP(T_BilanSocial[[#This Row],[NumL]],T_TraitDi[#Data],COLUMN(T_TraitDi[[#This Row],[WebC]]),FALSE))</f>
        <v/>
      </c>
      <c r="E24" s="163" t="str">
        <f t="shared" si="1"/>
        <v>12 janvier 2021</v>
      </c>
      <c r="F24" s="96" t="str">
        <f>IF(T_BilanSocial[[#This Row],[Final]]&lt;&gt;"",VLOOKUP(T_BilanSocial[[#This Row],[NumL]],T_suiviDi[#Data],COLUMN((T_suiviDi[Civ.])),FALSE),"")</f>
        <v/>
      </c>
      <c r="G24" s="96" t="str">
        <f>IF(T_BilanSocial[[#This Row],[Final]]&lt;&gt;"",VLOOKUP(T_BilanSocial[[#This Row],[NumL]],T_suiviDi[#Data],COLUMN((T_suiviDi[Nom])),FALSE),"")</f>
        <v/>
      </c>
      <c r="H24" s="96" t="str">
        <f>IF(T_BilanSocial[[#This Row],[Final]]&lt;&gt;"",VLOOKUP(T_BilanSocial[[#This Row],[NumL]],T_suiviDi[#Data],COLUMN((T_suiviDi[Prénom])),FALSE),"")</f>
        <v/>
      </c>
      <c r="I24" s="96" t="str">
        <f>IFERROR(VLOOKUP(T_BilanSocial[[#This Row],[Zone_Bilan]],T_P_BilanSocial[#Data],COLUMN(T_P_BilanSocial[[#This Row],[Numero_SIHAM]]),FALSE),"")</f>
        <v/>
      </c>
      <c r="J24" s="96" t="str">
        <f>IFERROR(VLOOKUP(T_BilanSocial[[#This Row],[Zone_Bilan]],T_P_BilanSocial[#Data],COLUMN(T_P_BilanSocial[[#This Row],[Sexe]]),FALSE),"")</f>
        <v/>
      </c>
      <c r="K24" s="97" t="str">
        <f>IFERROR(VLOOKUP(T_BilanSocial[[#This Row],[Zone_Bilan]],T_P_BilanSocial[#Data],COLUMN(T_P_BilanSocial[[#This Row],[Categorie]]),FALSE),"")</f>
        <v/>
      </c>
      <c r="L24" s="96" t="str">
        <f>IFERROR(VLOOKUP(T_BilanSocial[[#This Row],[Zone_Bilan]],T_P_BilanSocial[#Data],COLUMN(T_P_BilanSocial[[#This Row],[Statut]]),FALSE),"")</f>
        <v/>
      </c>
      <c r="M24" s="96" t="str">
        <f>IFERROR(VLOOKUP(T_BilanSocial[[#This Row],[Zone_Bilan]],T_P_BilanSocial[#Data],COLUMN(T_P_BilanSocial[[#This Row],[Filiere]]),FALSE),"")</f>
        <v/>
      </c>
      <c r="N24" s="96">
        <f>VLOOKUP(T_BilanSocial[[#This Row],[NumL]],T_TraitDi[#Data],COLUMN(T_TraitDi[EXP]),FALSE)</f>
        <v>0</v>
      </c>
      <c r="O24" s="96">
        <f>VLOOKUP(T_BilanSocial[[#This Row],[NumL]],T_TraitDi[#Data],COLUMN(T_TraitDi[FORM]),FALSE)</f>
        <v>0</v>
      </c>
      <c r="P24" s="96" t="str">
        <f>IF(T_BilanSocial[[#This Row],[Final]]&lt;&gt;"",VLOOKUP(T_BilanSocial[[#This Row],[NumL]],T_suiviDi[#Data],COLUMN((T_suiviDi[Email])),FALSE),"")</f>
        <v/>
      </c>
      <c r="Q24" s="164" t="e">
        <f t="shared" si="7"/>
        <v>#N/A</v>
      </c>
      <c r="R24" s="164" t="e">
        <f t="shared" si="8"/>
        <v>#N/A</v>
      </c>
      <c r="S24" s="164" t="e">
        <f>IF(VLOOKUP(T_BilanSocial[[#This Row],[NumL]],T_suiviDi[#Data],COLUMN(T_suiviDi[[#This Row],[Service ]]),FALSE)="","",VLOOKUP(T_BilanSocial[[#This Row],[NumL]],T_suiviDi[#Data],COLUMN(T_suiviDi[[#This Row],[Service ]]),FALSE))</f>
        <v>#N/A</v>
      </c>
      <c r="T24" s="164" t="str">
        <f t="shared" si="2"/>
        <v>01 septembre 2021</v>
      </c>
      <c r="U24" s="164" t="str">
        <f t="shared" si="3"/>
        <v>30 novembre 2021</v>
      </c>
      <c r="V24" s="164" t="str">
        <f t="shared" si="6"/>
        <v>30 novembre 2021</v>
      </c>
      <c r="W24" s="176" t="str">
        <f>IF(VLOOKUP(T_BilanSocial[[#This Row],[NumL]],T_TraitDi[#Data],COLUMN(T_TraitDi[[#This Row],[M1]]),FALSE)="","",VLOOKUP(T_BilanSocial[[#This Row],[NumL]],T_TraitDi[#Data],COLUMN(T_TraitDi[[#This Row],[M1]]),FALSE))</f>
        <v/>
      </c>
      <c r="X24" s="176" t="str">
        <f>IF(VLOOKUP(T_BilanSocial[[#This Row],[NumL]],T_TraitDi[#Data],COLUMN(T_TraitDi[[#This Row],[M2]]),FALSE)="","",VLOOKUP(T_BilanSocial[[#This Row],[NumL]],T_TraitDi[#Data],COLUMN(T_TraitDi[[#This Row],[M2]]),FALSE))</f>
        <v/>
      </c>
      <c r="Y24" s="176" t="str">
        <f>IF(VLOOKUP(T_BilanSocial[[#This Row],[NumL]],T_TraitDi[#Data],COLUMN(T_TraitDi[[#This Row],[M3]]),FALSE)="","",VLOOKUP(T_BilanSocial[[#This Row],[NumL]],T_TraitDi[#Data],COLUMN(T_TraitDi[[#This Row],[M3]]),FALSE))</f>
        <v/>
      </c>
      <c r="Z24" s="176" t="str">
        <f t="shared" si="5"/>
        <v/>
      </c>
      <c r="AA24" s="176" t="str">
        <f>IF(VLOOKUP(T_BilanSocial[[#This Row],[NumL]],T_TraitDi[#Data],COLUMN(T_TraitDi[[#This Row],[M5]]),FALSE)="","",VLOOKUP(T_BilanSocial[[#This Row],[NumL]],T_TraitDi[#Data],COLUMN(T_TraitDi[[#This Row],[M5]]),FALSE))</f>
        <v/>
      </c>
      <c r="AB24" s="176" t="str">
        <f>IF(VLOOKUP(T_BilanSocial[[#This Row],[NumL]],T_TraitDi[#Data],COLUMN(T_TraitDi[[#This Row],[M6]]),FALSE)="","",VLOOKUP(T_BilanSocial[[#This Row],[NumL]],T_TraitDi[#Data],COLUMN(T_TraitDi[[#This Row],[M6]]),FALSE))</f>
        <v/>
      </c>
      <c r="AC24" s="165" t="str">
        <f t="shared" si="4"/>
        <v/>
      </c>
      <c r="AD24" s="188" t="str">
        <f>IFERROR(TEXT(VLOOKUP(T_BilanSocial[[#This Row],[NumL]],T_TraitDi[#Data],COLUMN(T_TraitDi[[#This Row],[Q2]]),FALSE),"###%"),"")</f>
        <v>%</v>
      </c>
      <c r="AE24" s="97">
        <f>VLOOKUP(T_BilanSocial[[#This Row],[NumL]],T_TraitDi[#Data],COLUMN(T_TraitDi[[#This Row],[Reg Ponct]]),FALSE)</f>
        <v>0</v>
      </c>
      <c r="AF24" s="97" t="str">
        <f>VLOOKUP(T_BilanSocial[NumL],T_TraitDi[#Data],COLUMN(T_TraitDi[[#This Row],[Jours flottants]]),FALSE)</f>
        <v/>
      </c>
      <c r="AG24" s="97">
        <f>IFERROR(VLOOKUP(T_BilanSocial[[#This Row],[NumL]],T_TraitDi[#Data],COLUMN(T_TraitDi[[#This Row],[Lundi]]),FALSE),"")</f>
        <v>0</v>
      </c>
      <c r="AH24" s="172" t="str">
        <f>IF(VLOOKUP(T_BilanSocial[[#This Row],[NumL]],T_TraitDi[#Data],COLUMN(T_TraitDi[[#This Row],[Colonne3]]),FALSE)=0,"",TEXT(IFERROR(VLOOKUP(T_BilanSocial[[#This Row],[NumL]],T_TraitDi[#Data],COLUMN(T_TraitDi[[#This Row],[Colonne3]]),FALSE),""),"[hh]:mm"))</f>
        <v/>
      </c>
      <c r="AI24" s="172" t="str">
        <f>IF(VLOOKUP(T_BilanSocial[[#This Row],[NumL]],T_TraitDi[#Data],COLUMN(T_TraitDi[[#This Row],[Colonne4]]),FALSE)=0,"",TEXT(IFERROR(VLOOKUP(T_BilanSocial[[#This Row],[NumL]],T_TraitDi[#Data],COLUMN(T_TraitDi[[#This Row],[Colonne4]]),FALSE),""),"[hh]:mm"))</f>
        <v/>
      </c>
      <c r="AJ24" s="172" t="str">
        <f>IF(VLOOKUP(T_BilanSocial[[#This Row],[NumL]],T_TraitDi[#Data],COLUMN(T_TraitDi[[#This Row],[Colonne5]]),FALSE)=0,"",TEXT(IFERROR(VLOOKUP(T_BilanSocial[[#This Row],[NumL]],T_TraitDi[#Data],COLUMN(T_TraitDi[[#This Row],[Colonne5]]),FALSE),""),"[hh]:mm"))</f>
        <v/>
      </c>
      <c r="AK24" s="172" t="str">
        <f>IF(VLOOKUP(T_BilanSocial[[#This Row],[NumL]],T_TraitDi[#Data],COLUMN(T_TraitDi[[#This Row],[Colonne6]]),FALSE)=0,"",TEXT(IFERROR(VLOOKUP(T_BilanSocial[[#This Row],[NumL]],T_TraitDi[#Data],COLUMN(T_TraitDi[[#This Row],[Colonne6]]),FALSE),""),"[hh]:mm"))</f>
        <v/>
      </c>
      <c r="AL24" s="172" t="str">
        <f>IF(VLOOKUP(T_BilanSocial[[#This Row],[NumL]],T_TraitDi[#Data],COLUMN(T_TraitDi[[#This Row],[Colonne7]]),FALSE)=0,"",TEXT(IFERROR(VLOOKUP(T_BilanSocial[[#This Row],[NumL]],T_TraitDi[#Data],COLUMN(T_TraitDi[[#This Row],[Colonne7]]),FALSE),""),"[hh]:mm"))</f>
        <v/>
      </c>
      <c r="AM24" s="172" t="str">
        <f>IF(VLOOKUP(T_BilanSocial[[#This Row],[NumL]],T_TraitDi[#Data],COLUMN(T_TraitDi[[#This Row],[Colonne8]]),FALSE)=0,"",TEXT(IFERROR(VLOOKUP(T_BilanSocial[[#This Row],[NumL]],T_TraitDi[#Data],COLUMN(T_TraitDi[[#This Row],[Colonne8]]),FALSE),""),"[hh]:mm"))</f>
        <v/>
      </c>
      <c r="AN24" s="172">
        <f>IFERROR(VLOOKUP(T_BilanSocial[[#This Row],[NumL]],T_TraitDi[#Data],COLUMN(T_TraitDi[[#This Row],[Mardi]]),FALSE),"")</f>
        <v>0</v>
      </c>
      <c r="AO24" s="172" t="str">
        <f>IF(VLOOKUP(T_BilanSocial[[#This Row],[NumL]],T_TraitDi[#Data],COLUMN(T_TraitDi[[#This Row],[Colonne1]]),FALSE)=0,"",TEXT(IFERROR(VLOOKUP(T_BilanSocial[[#This Row],[NumL]],T_TraitDi[#Data],COLUMN(T_TraitDi[[#This Row],[Colonne1]]),FALSE),""),"[hh]:mm"))</f>
        <v/>
      </c>
      <c r="AP24" s="172" t="str">
        <f>IF(VLOOKUP(T_BilanSocial[[#This Row],[NumL]],T_TraitDi[#Data],COLUMN(T_TraitDi[[#This Row],[Colonne9]]),FALSE)=0,"",TEXT(IFERROR(VLOOKUP(T_BilanSocial[[#This Row],[NumL]],T_TraitDi[#Data],COLUMN(T_TraitDi[[#This Row],[Colonne9]]),FALSE),""),"[hh]:mm"))</f>
        <v/>
      </c>
      <c r="AQ24" s="172">
        <f>IFERROR(VLOOKUP(T_BilanSocial[[#This Row],[NumL]],T_TraitDi[#Data],COLUMN(T_TraitDi[[#This Row],[Colonne10]]),FALSE),"")</f>
        <v>0</v>
      </c>
      <c r="AR24" s="172" t="str">
        <f>IF(VLOOKUP(T_BilanSocial[[#This Row],[NumL]],T_TraitDi[#Data],COLUMN(T_TraitDi[[#This Row],[Colonne11]]),FALSE)=0,"",TEXT(IFERROR(VLOOKUP(T_BilanSocial[[#This Row],[NumL]],T_TraitDi[#Data],COLUMN(T_TraitDi[[#This Row],[Colonne11]]),FALSE),""),"[hh]:mm"))</f>
        <v/>
      </c>
      <c r="AS24" s="172" t="str">
        <f>IF(VLOOKUP(T_BilanSocial[[#This Row],[NumL]],T_TraitDi[#Data],COLUMN(T_TraitDi[[#This Row],[Colonne12]]),FALSE)=0,"",TEXT(IFERROR(VLOOKUP(T_BilanSocial[[#This Row],[NumL]],T_TraitDi[#Data],COLUMN(T_TraitDi[[#This Row],[Colonne12]]),FALSE),""),"[hh]:mm"))</f>
        <v/>
      </c>
      <c r="AT24" s="172" t="str">
        <f>IF(VLOOKUP(T_BilanSocial[[#This Row],[NumL]],T_TraitDi[#Data],COLUMN(T_TraitDi[[#This Row],[Colonne14]]),FALSE)=0,"",TEXT(IFERROR(VLOOKUP(T_BilanSocial[[#This Row],[NumL]],T_TraitDi[#Data],COLUMN(T_TraitDi[[#This Row],[Colonne14]]),FALSE),""),"[hh]:mm"))</f>
        <v/>
      </c>
      <c r="AU24" s="172">
        <f>IFERROR(VLOOKUP(T_BilanSocial[[#This Row],[NumL]],T_TraitDi[#Data],COLUMN(T_TraitDi[[#This Row],[Mercredi]]),FALSE),"")</f>
        <v>0</v>
      </c>
      <c r="AV24" s="172" t="str">
        <f>IF(VLOOKUP(T_BilanSocial[[#This Row],[NumL]],T_TraitDi[#Data],COLUMN(T_TraitDi[[#This Row],[Colonne15]]),FALSE)=0,"",TEXT(IFERROR(VLOOKUP(T_BilanSocial[[#This Row],[NumL]],T_TraitDi[#Data],COLUMN(T_TraitDi[[#This Row],[Colonne15]]),FALSE),""),"[hh]:mm"))</f>
        <v/>
      </c>
      <c r="AW24" s="172" t="str">
        <f>IF(VLOOKUP(T_BilanSocial[[#This Row],[NumL]],T_TraitDi[#Data],COLUMN(T_TraitDi[[#This Row],[Colonne16]]),FALSE)=0,"",TEXT(IFERROR(VLOOKUP(T_BilanSocial[[#This Row],[NumL]],T_TraitDi[#Data],COLUMN(T_TraitDi[[#This Row],[Colonne16]]),FALSE),""),"[hh]:mm"))</f>
        <v/>
      </c>
      <c r="AX24" s="172">
        <f>IFERROR(VLOOKUP(T_BilanSocial[[#This Row],[NumL]],T_TraitDi[#Data],COLUMN(T_TraitDi[[#This Row],[Colonne17]]),FALSE),"")</f>
        <v>0</v>
      </c>
      <c r="AY24" s="172" t="str">
        <f>IF(VLOOKUP(T_BilanSocial[[#This Row],[NumL]],T_TraitDi[#Data],COLUMN(T_TraitDi[[#This Row],[Colonne18]]),FALSE)=0,"",TEXT(IFERROR(VLOOKUP(T_BilanSocial[[#This Row],[NumL]],T_TraitDi[#Data],COLUMN(T_TraitDi[[#This Row],[Colonne18]]),FALSE),""),"[hh]:mm"))</f>
        <v/>
      </c>
      <c r="AZ24" s="172" t="str">
        <f>IF(VLOOKUP(T_BilanSocial[[#This Row],[NumL]],T_TraitDi[#Data],COLUMN(T_TraitDi[[#This Row],[Colonne19]]),FALSE)=0,"",TEXT(IFERROR(VLOOKUP(T_BilanSocial[[#This Row],[NumL]],T_TraitDi[#Data],COLUMN(T_TraitDi[[#This Row],[Colonne19]]),FALSE),""),"[hh]:mm"))</f>
        <v/>
      </c>
      <c r="BA24" s="172" t="str">
        <f>IF(VLOOKUP(T_BilanSocial[[#This Row],[NumL]],T_TraitDi[#Data],COLUMN(T_TraitDi[[#This Row],[Colonne20]]),FALSE)=0,"",TEXT(IFERROR(VLOOKUP(T_BilanSocial[[#This Row],[NumL]],T_TraitDi[#Data],COLUMN(T_TraitDi[[#This Row],[Colonne20]]),FALSE),""),"[hh]:mm"))</f>
        <v/>
      </c>
      <c r="BB24" s="178">
        <f>IFERROR(VLOOKUP(T_BilanSocial[[#This Row],[NumL]],T_TraitDi[#Data],COLUMN(T_TraitDi[[#This Row],[Jeudi]]),FALSE),"")</f>
        <v>0</v>
      </c>
      <c r="BC24" s="178" t="str">
        <f>IF(VLOOKUP(T_BilanSocial[[#This Row],[NumL]],T_TraitDi[#Data],COLUMN(T_TraitDi[[#This Row],[Colonne21]]),FALSE)=0,"",TEXT(IFERROR(VLOOKUP(T_BilanSocial[[#This Row],[NumL]],T_TraitDi[#Data],COLUMN(T_TraitDi[[#This Row],[Colonne21]]),FALSE),""),"[hh]:mm"))</f>
        <v/>
      </c>
      <c r="BD24" s="178" t="str">
        <f>IF(VLOOKUP(T_BilanSocial[[#This Row],[NumL]],T_TraitDi[#Data],COLUMN(T_TraitDi[[#This Row],[Colonne22]]),FALSE)=0,"",TEXT(IFERROR(VLOOKUP(T_BilanSocial[[#This Row],[NumL]],T_TraitDi[#Data],COLUMN(T_TraitDi[[#This Row],[Colonne22]]),FALSE),""),"[hh]:mm"))</f>
        <v/>
      </c>
      <c r="BE24" s="178">
        <f>IFERROR(VLOOKUP(T_BilanSocial[[#This Row],[NumL]],T_TraitDi[#Data],COLUMN(T_TraitDi[[#This Row],[Colonne23]]),FALSE),"")</f>
        <v>0</v>
      </c>
      <c r="BF24" s="178" t="str">
        <f>IF(VLOOKUP(T_BilanSocial[[#This Row],[NumL]],T_TraitDi[#Data],COLUMN(T_TraitDi[[#This Row],[Colonne24]]),FALSE)=0,"",TEXT(IFERROR(VLOOKUP(T_BilanSocial[[#This Row],[NumL]],T_TraitDi[#Data],COLUMN(T_TraitDi[[#This Row],[Colonne24]]),FALSE),""),"[hh]:mm"))</f>
        <v/>
      </c>
      <c r="BG24" s="178" t="str">
        <f>IF(VLOOKUP(T_BilanSocial[[#This Row],[NumL]],T_TraitDi[#Data],COLUMN(T_TraitDi[[#This Row],[Colonne25]]),FALSE)=0,"",TEXT(IFERROR(VLOOKUP(T_BilanSocial[[#This Row],[NumL]],T_TraitDi[#Data],COLUMN(T_TraitDi[[#This Row],[Colonne25]]),FALSE),""),"[hh]:mm"))</f>
        <v/>
      </c>
      <c r="BH24" s="178" t="str">
        <f>IF(VLOOKUP(T_BilanSocial[[#This Row],[NumL]],T_TraitDi[#Data],COLUMN(T_TraitDi[[#This Row],[Colonne26]]),FALSE)=0,"",TEXT(IFERROR(VLOOKUP(T_BilanSocial[[#This Row],[NumL]],T_TraitDi[#Data],COLUMN(T_TraitDi[[#This Row],[Colonne26]]),FALSE),""),"[hh]:mm"))</f>
        <v/>
      </c>
      <c r="BI24" s="172">
        <f>IFERROR(VLOOKUP(T_BilanSocial[[#This Row],[NumL]],T_TraitDi[#Data],COLUMN(T_TraitDi[[#This Row],[Vendredi]]),FALSE),"")</f>
        <v>0</v>
      </c>
      <c r="BJ24" s="172" t="str">
        <f>IF(VLOOKUP(T_BilanSocial[[#This Row],[NumL]],T_TraitDi[#Data],COLUMN(T_TraitDi[[#This Row],[Colonne27]]),FALSE)=0,"",TEXT(IFERROR(VLOOKUP(T_BilanSocial[[#This Row],[NumL]],T_TraitDi[#Data],COLUMN(T_TraitDi[[#This Row],[Colonne27]]),FALSE),""),"[hh]:mm"))</f>
        <v/>
      </c>
      <c r="BK24" s="172" t="str">
        <f>IF(VLOOKUP(T_BilanSocial[[#This Row],[NumL]],T_TraitDi[#Data],COLUMN(T_TraitDi[[#This Row],[Colonne28]]),FALSE)=0,"",TEXT(IFERROR(VLOOKUP(T_BilanSocial[[#This Row],[NumL]],T_TraitDi[#Data],COLUMN(T_TraitDi[[#This Row],[Colonne28]]),FALSE),""),"[hh]:mm"))</f>
        <v/>
      </c>
      <c r="BL24" s="172">
        <f>IFERROR(VLOOKUP(T_BilanSocial[[#This Row],[NumL]],T_TraitDi[#Data],COLUMN(T_TraitDi[[#This Row],[Colonne29]]),FALSE),"")</f>
        <v>0</v>
      </c>
      <c r="BM24" s="172" t="str">
        <f>IF(VLOOKUP(T_BilanSocial[[#This Row],[NumL]],T_TraitDi[#Data],COLUMN(T_TraitDi[[#This Row],[Colonne30]]),FALSE)=0,"",TEXT(IFERROR(VLOOKUP(T_BilanSocial[[#This Row],[NumL]],T_TraitDi[#Data],COLUMN(T_TraitDi[[#This Row],[Colonne30]]),FALSE),""),"[hh]:mm"))</f>
        <v/>
      </c>
      <c r="BN24" s="172" t="str">
        <f>IF(VLOOKUP(T_BilanSocial[[#This Row],[NumL]],T_TraitDi[#Data],COLUMN(T_TraitDi[[#This Row],[Colonne31]]),FALSE)=0,"",TEXT(IFERROR(VLOOKUP(T_BilanSocial[[#This Row],[NumL]],T_TraitDi[#Data],COLUMN(T_TraitDi[[#This Row],[Colonne31]]),FALSE),""),"[hh]:mm"))</f>
        <v/>
      </c>
      <c r="BO24" s="172" t="str">
        <f>IF(VLOOKUP(T_BilanSocial[[#This Row],[NumL]],T_TraitDi[#Data],COLUMN(T_TraitDi[[#This Row],[Colonne32]]),FALSE)=0,"",TEXT(IFERROR(VLOOKUP(T_BilanSocial[[#This Row],[NumL]],T_TraitDi[#Data],COLUMN(T_TraitDi[[#This Row],[Colonne32]]),FALSE),""),"[hh]:mm"))</f>
        <v/>
      </c>
      <c r="BP24" s="172" t="str">
        <f>VLOOKUP(T_BilanSocial[[#This Row],[NumL]],T_TraitDi[#Data],COLUMN(T_TraitDi[NbJTot]),FALSE)</f>
        <v/>
      </c>
      <c r="BQ24" s="174" t="str">
        <f>IFERROR(VLOOKUP(T_BilanSocial[[#This Row],[NumL]],T_TraitDi[#Data],COLUMN(T_TraitDi[[#This Row],[NbJTW]]),FALSE),"")</f>
        <v/>
      </c>
      <c r="BR24" s="174" t="str">
        <f>IF(VLOOKUP(T_BilanSocial[[#This Row],[NumL]],T_TraitDi[#Data],COLUMN(T_TraitDi[[#This Row],[NbhTW]]),FALSE)=0,"",TEXT(IFERROR(VLOOKUP(T_BilanSocial[[#This Row],[NumL]],T_TraitDi[#Data],COLUMN(T_TraitDi[[#This Row],[NbhTW]]),FALSE),""),"[hh]:mm"))</f>
        <v/>
      </c>
      <c r="BS24" s="174" t="str">
        <f>IF(VLOOKUP(T_BilanSocial[[#This Row],[NumL]],T_TraitDi[#Data],COLUMN(T_TraitDi[[#This Row],[Nbhheb]]),FALSE)=0,"",TEXT(IFERROR(VLOOKUP($A24,T_TraitDi[#Data],COLUMN(T_TraitDi[[#This Row],[Nbhheb]]),FALSE),""),"[hh]:mm"))</f>
        <v/>
      </c>
      <c r="BT24" s="182" t="str">
        <f>IFERROR(VLOOKUP(VLOOKUP($A24,T_TraitDi[#Data],COLUMN(T_TraitDi[[#This Row],[Type1]]),FALSE),TypeTW,2,FALSE),"")</f>
        <v/>
      </c>
      <c r="BU24" s="182">
        <f>IFERROR(VLOOKUP($A24,T_TraitDi[#Data],COLUMN(T_TraitDi[[#This Row],[Rue1]]),FALSE),"")</f>
        <v>0</v>
      </c>
      <c r="BV24" s="173">
        <f>IFERROR(VLOOKUP($A24,T_TraitDi[#Data],COLUMN(T_TraitDi[[#This Row],[CP1]]),FALSE),"")</f>
        <v>0</v>
      </c>
      <c r="BW24" s="173">
        <f>IFERROR(VLOOKUP($A24,T_TraitDi[#Data],COLUMN(T_TraitDi[[#This Row],[VILLE1]]),FALSE),"")</f>
        <v>0</v>
      </c>
      <c r="BX24" s="182" t="str">
        <f>IFERROR(VLOOKUP(VLOOKUP($A24,T_TraitDi[#Data],COLUMN(T_TraitDi[[#This Row],[Type2]]),FALSE),TypeTW,2,FALSE),"")</f>
        <v/>
      </c>
      <c r="BY24" s="182">
        <f>IFERROR(VLOOKUP($A24,T_TraitDi[#Data],COLUMN(T_TraitDi[[#This Row],[Rue2]]),FALSE),"")</f>
        <v>0</v>
      </c>
      <c r="BZ24" s="173">
        <f>IFERROR(VLOOKUP($A24,T_TraitDi[#Data],COLUMN(T_TraitDi[[#This Row],[CP2]]),FALSE),"")</f>
        <v>0</v>
      </c>
      <c r="CA24" s="173" t="str">
        <f>IFERROR(VLOOKUP($A24,T_TraitDi[#Data],COLUMN(T_TraitDi[[#This Row],[VILLE2]]),FALSE),"")</f>
        <v xml:space="preserve">  </v>
      </c>
      <c r="CB24"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4" s="166" t="str">
        <f>IFERROR(IF(VLOOKUP(T_BilanSocial[[#This Row],[NumL]],T_TraitDi[#Data],COLUMN(T_TraitDi[[#This Row],[Plan]]),FALSE)="OK","Un planning spécifique de télétravail est annexé à la présente convention.",""),"")</f>
        <v/>
      </c>
      <c r="CD24" s="258" t="s">
        <v>3446</v>
      </c>
      <c r="CE24" s="164" t="e">
        <f>IF(VLOOKUP(T_BilanSocial[[#This Row],[NumL]],T_suiviDi[#Data],COLUMN(T_suiviDi[[#This Row],[Entité]]),FALSE)="","",VLOOKUP(T_BilanSocial[[#This Row],[NumL]],T_suiviDi[#Data],COLUMN(T_suiviDi[[#This Row],[Entité]]),FALSE))</f>
        <v>#N/A</v>
      </c>
      <c r="CF24" s="164" t="str">
        <f>IF(VLOOKUP(T_BilanSocial[[#This Row],[NumL]],T_Commission[#Data],COLUMN(T_Commission[[#This Row],[envoi confirm TW]]),FALSE)="","",VLOOKUP(T_BilanSocial[[#This Row],[NumL]],T_Commission[#Data],COLUMN(T_Commission[[#This Row],[envoi confirm TW]]),FALSE))</f>
        <v/>
      </c>
      <c r="CG2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 s="262" t="str">
        <f>T_BilanSocial[[#This Row],[Nom]]&amp;T_BilanSocial[[#This Row],[Prenom]]</f>
        <v/>
      </c>
      <c r="CI24" s="262">
        <f>VLOOKUP(T_BilanSocial[[#This Row],[NumL]],T_Commission[#Data],COLUMN(T_Commission[Commentaire]),FALSE)</f>
        <v>0</v>
      </c>
      <c r="CJ24" s="262" t="str">
        <f>IF(VLOOKUP(T_BilanSocial[[#This Row],[NumL]],T_Commission[#Data],COLUMN(T_Commission[Encadrant Email]),FALSE)="","",VLOOKUP(T_BilanSocial[[#This Row],[NumL]],T_Commission[#Data],COLUMN(T_Commission[Encadrant Email]),FALSE))</f>
        <v/>
      </c>
      <c r="CK24" s="340" t="str">
        <f>IF(T_BilanSocial[[#This Row],[Final]]&lt;&gt;"",VLOOKUP(T_BilanSocial[[#This Row],[NumL]],T_suiviDi[#Data],COLUMN((T_suiviDi[Statut])),FALSE),"")</f>
        <v/>
      </c>
    </row>
    <row r="25" spans="1:89" s="106" customFormat="1" ht="24.75" customHeight="1" x14ac:dyDescent="0.25">
      <c r="A25" s="160">
        <v>22</v>
      </c>
      <c r="B25" s="161" t="str">
        <f t="shared" si="0"/>
        <v/>
      </c>
      <c r="C25" s="162" t="s">
        <v>3287</v>
      </c>
      <c r="D25" s="95" t="e">
        <f>IF(VLOOKUP(T_BilanSocial[[#This Row],[NumL]],T_TraitDi[#Data],COLUMN(T_TraitDi[[#This Row],[WebC]]),FALSE)="","",VLOOKUP(T_BilanSocial[[#This Row],[NumL]],T_TraitDi[#Data],COLUMN(T_TraitDi[[#This Row],[WebC]]),FALSE))</f>
        <v>#N/A</v>
      </c>
      <c r="E25" s="163" t="str">
        <f t="shared" si="1"/>
        <v>12 janvier 2021</v>
      </c>
      <c r="F25" s="96" t="str">
        <f>IF(T_BilanSocial[[#This Row],[Final]]&lt;&gt;"",VLOOKUP(T_BilanSocial[[#This Row],[NumL]],T_suiviDi[#Data],COLUMN((T_suiviDi[Civ.])),FALSE),"")</f>
        <v/>
      </c>
      <c r="G25" s="96" t="str">
        <f>IF(T_BilanSocial[[#This Row],[Final]]&lt;&gt;"",VLOOKUP(T_BilanSocial[[#This Row],[NumL]],T_suiviDi[#Data],COLUMN((T_suiviDi[Nom])),FALSE),"")</f>
        <v/>
      </c>
      <c r="H25" s="96" t="str">
        <f>IF(T_BilanSocial[[#This Row],[Final]]&lt;&gt;"",VLOOKUP(T_BilanSocial[[#This Row],[NumL]],T_suiviDi[#Data],COLUMN((T_suiviDi[Prénom])),FALSE),"")</f>
        <v/>
      </c>
      <c r="I25" s="96" t="str">
        <f>IFERROR(VLOOKUP(T_BilanSocial[[#This Row],[Zone_Bilan]],T_P_BilanSocial[#Data],COLUMN(T_P_BilanSocial[[#This Row],[Numero_SIHAM]]),FALSE),"")</f>
        <v/>
      </c>
      <c r="J25" s="96" t="str">
        <f>IFERROR(VLOOKUP(T_BilanSocial[[#This Row],[Zone_Bilan]],T_P_BilanSocial[#Data],COLUMN(T_P_BilanSocial[[#This Row],[Sexe]]),FALSE),"")</f>
        <v/>
      </c>
      <c r="K25" s="97" t="str">
        <f>IFERROR(VLOOKUP(T_BilanSocial[[#This Row],[Zone_Bilan]],T_P_BilanSocial[#Data],COLUMN(T_P_BilanSocial[[#This Row],[Categorie]]),FALSE),"")</f>
        <v/>
      </c>
      <c r="L25" s="96" t="str">
        <f>IFERROR(VLOOKUP(T_BilanSocial[[#This Row],[Zone_Bilan]],T_P_BilanSocial[#Data],COLUMN(T_P_BilanSocial[[#This Row],[Statut]]),FALSE),"")</f>
        <v/>
      </c>
      <c r="M25" s="96" t="str">
        <f>IFERROR(VLOOKUP(T_BilanSocial[[#This Row],[Zone_Bilan]],T_P_BilanSocial[#Data],COLUMN(T_P_BilanSocial[[#This Row],[Filiere]]),FALSE),"")</f>
        <v/>
      </c>
      <c r="N25" s="96" t="e">
        <f>VLOOKUP(T_BilanSocial[[#This Row],[NumL]],T_TraitDi[#Data],COLUMN(T_TraitDi[EXP]),FALSE)</f>
        <v>#N/A</v>
      </c>
      <c r="O25" s="96" t="e">
        <f>VLOOKUP(T_BilanSocial[[#This Row],[NumL]],T_TraitDi[#Data],COLUMN(T_TraitDi[FORM]),FALSE)</f>
        <v>#N/A</v>
      </c>
      <c r="P25" s="96" t="str">
        <f>IF(T_BilanSocial[[#This Row],[Final]]&lt;&gt;"",VLOOKUP(T_BilanSocial[[#This Row],[NumL]],T_suiviDi[#Data],COLUMN((T_suiviDi[Email])),FALSE),"")</f>
        <v/>
      </c>
      <c r="Q25" s="164" t="e">
        <f t="shared" si="7"/>
        <v>#N/A</v>
      </c>
      <c r="R25" s="164" t="e">
        <f t="shared" si="8"/>
        <v>#N/A</v>
      </c>
      <c r="S25" s="164" t="e">
        <f>IF(VLOOKUP(T_BilanSocial[[#This Row],[NumL]],T_suiviDi[#Data],COLUMN(T_suiviDi[[#This Row],[Service ]]),FALSE)="","",VLOOKUP(T_BilanSocial[[#This Row],[NumL]],T_suiviDi[#Data],COLUMN(T_suiviDi[[#This Row],[Service ]]),FALSE))</f>
        <v>#N/A</v>
      </c>
      <c r="T25" s="164" t="str">
        <f t="shared" si="2"/>
        <v>01 septembre 2021</v>
      </c>
      <c r="U25" s="164" t="str">
        <f t="shared" si="3"/>
        <v>30 novembre 2021</v>
      </c>
      <c r="V25" s="164" t="str">
        <f t="shared" si="6"/>
        <v>30 novembre 2021</v>
      </c>
      <c r="W25" s="176" t="e">
        <f>IF(VLOOKUP(T_BilanSocial[[#This Row],[NumL]],T_TraitDi[#Data],COLUMN(T_TraitDi[[#This Row],[M1]]),FALSE)="","",VLOOKUP(T_BilanSocial[[#This Row],[NumL]],T_TraitDi[#Data],COLUMN(T_TraitDi[[#This Row],[M1]]),FALSE))</f>
        <v>#N/A</v>
      </c>
      <c r="X25" s="176" t="e">
        <f>IF(VLOOKUP(T_BilanSocial[[#This Row],[NumL]],T_TraitDi[#Data],COLUMN(T_TraitDi[[#This Row],[M2]]),FALSE)="","",VLOOKUP(T_BilanSocial[[#This Row],[NumL]],T_TraitDi[#Data],COLUMN(T_TraitDi[[#This Row],[M2]]),FALSE))</f>
        <v>#N/A</v>
      </c>
      <c r="Y25" s="176" t="e">
        <f>IF(VLOOKUP(T_BilanSocial[[#This Row],[NumL]],T_TraitDi[#Data],COLUMN(T_TraitDi[[#This Row],[M3]]),FALSE)="","",VLOOKUP(T_BilanSocial[[#This Row],[NumL]],T_TraitDi[#Data],COLUMN(T_TraitDi[[#This Row],[M3]]),FALSE))</f>
        <v>#N/A</v>
      </c>
      <c r="Z25" s="176" t="str">
        <f t="shared" si="5"/>
        <v/>
      </c>
      <c r="AA25" s="176" t="e">
        <f>IF(VLOOKUP(T_BilanSocial[[#This Row],[NumL]],T_TraitDi[#Data],COLUMN(T_TraitDi[[#This Row],[M5]]),FALSE)="","",VLOOKUP(T_BilanSocial[[#This Row],[NumL]],T_TraitDi[#Data],COLUMN(T_TraitDi[[#This Row],[M5]]),FALSE))</f>
        <v>#N/A</v>
      </c>
      <c r="AB25" s="176" t="e">
        <f>IF(VLOOKUP(T_BilanSocial[[#This Row],[NumL]],T_TraitDi[#Data],COLUMN(T_TraitDi[[#This Row],[M6]]),FALSE)="","",VLOOKUP(T_BilanSocial[[#This Row],[NumL]],T_TraitDi[#Data],COLUMN(T_TraitDi[[#This Row],[M6]]),FALSE))</f>
        <v>#N/A</v>
      </c>
      <c r="AC25" s="165" t="e">
        <f t="shared" si="4"/>
        <v>#N/A</v>
      </c>
      <c r="AD25" s="188" t="str">
        <f>IFERROR(TEXT(VLOOKUP(T_BilanSocial[[#This Row],[NumL]],T_TraitDi[#Data],COLUMN(T_TraitDi[[#This Row],[Q2]]),FALSE),"###%"),"")</f>
        <v/>
      </c>
      <c r="AE25" s="97" t="e">
        <f>VLOOKUP(T_BilanSocial[[#This Row],[NumL]],T_TraitDi[#Data],COLUMN(T_TraitDi[[#This Row],[Reg Ponct]]),FALSE)</f>
        <v>#N/A</v>
      </c>
      <c r="AF25" s="97" t="e">
        <f>VLOOKUP(T_BilanSocial[NumL],T_TraitDi[#Data],COLUMN(T_TraitDi[[#This Row],[Jours flottants]]),FALSE)</f>
        <v>#N/A</v>
      </c>
      <c r="AG25" s="97" t="str">
        <f>IFERROR(VLOOKUP(T_BilanSocial[[#This Row],[NumL]],T_TraitDi[#Data],COLUMN(T_TraitDi[[#This Row],[Lundi]]),FALSE),"")</f>
        <v/>
      </c>
      <c r="AH25" s="172" t="e">
        <f>IF(VLOOKUP(T_BilanSocial[[#This Row],[NumL]],T_TraitDi[#Data],COLUMN(T_TraitDi[[#This Row],[Colonne3]]),FALSE)=0,"",TEXT(IFERROR(VLOOKUP(T_BilanSocial[[#This Row],[NumL]],T_TraitDi[#Data],COLUMN(T_TraitDi[[#This Row],[Colonne3]]),FALSE),""),"[hh]:mm"))</f>
        <v>#N/A</v>
      </c>
      <c r="AI25" s="172" t="e">
        <f>IF(VLOOKUP(T_BilanSocial[[#This Row],[NumL]],T_TraitDi[#Data],COLUMN(T_TraitDi[[#This Row],[Colonne4]]),FALSE)=0,"",TEXT(IFERROR(VLOOKUP(T_BilanSocial[[#This Row],[NumL]],T_TraitDi[#Data],COLUMN(T_TraitDi[[#This Row],[Colonne4]]),FALSE),""),"[hh]:mm"))</f>
        <v>#N/A</v>
      </c>
      <c r="AJ25" s="172" t="e">
        <f>IF(VLOOKUP(T_BilanSocial[[#This Row],[NumL]],T_TraitDi[#Data],COLUMN(T_TraitDi[[#This Row],[Colonne5]]),FALSE)=0,"",TEXT(IFERROR(VLOOKUP(T_BilanSocial[[#This Row],[NumL]],T_TraitDi[#Data],COLUMN(T_TraitDi[[#This Row],[Colonne5]]),FALSE),""),"[hh]:mm"))</f>
        <v>#N/A</v>
      </c>
      <c r="AK25" s="172" t="e">
        <f>IF(VLOOKUP(T_BilanSocial[[#This Row],[NumL]],T_TraitDi[#Data],COLUMN(T_TraitDi[[#This Row],[Colonne6]]),FALSE)=0,"",TEXT(IFERROR(VLOOKUP(T_BilanSocial[[#This Row],[NumL]],T_TraitDi[#Data],COLUMN(T_TraitDi[[#This Row],[Colonne6]]),FALSE),""),"[hh]:mm"))</f>
        <v>#N/A</v>
      </c>
      <c r="AL25" s="172" t="e">
        <f>IF(VLOOKUP(T_BilanSocial[[#This Row],[NumL]],T_TraitDi[#Data],COLUMN(T_TraitDi[[#This Row],[Colonne7]]),FALSE)=0,"",TEXT(IFERROR(VLOOKUP(T_BilanSocial[[#This Row],[NumL]],T_TraitDi[#Data],COLUMN(T_TraitDi[[#This Row],[Colonne7]]),FALSE),""),"[hh]:mm"))</f>
        <v>#N/A</v>
      </c>
      <c r="AM25" s="172" t="e">
        <f>IF(VLOOKUP(T_BilanSocial[[#This Row],[NumL]],T_TraitDi[#Data],COLUMN(T_TraitDi[[#This Row],[Colonne8]]),FALSE)=0,"",TEXT(IFERROR(VLOOKUP(T_BilanSocial[[#This Row],[NumL]],T_TraitDi[#Data],COLUMN(T_TraitDi[[#This Row],[Colonne8]]),FALSE),""),"[hh]:mm"))</f>
        <v>#N/A</v>
      </c>
      <c r="AN25" s="172" t="str">
        <f>IFERROR(VLOOKUP(T_BilanSocial[[#This Row],[NumL]],T_TraitDi[#Data],COLUMN(T_TraitDi[[#This Row],[Mardi]]),FALSE),"")</f>
        <v/>
      </c>
      <c r="AO25" s="172" t="e">
        <f>IF(VLOOKUP(T_BilanSocial[[#This Row],[NumL]],T_TraitDi[#Data],COLUMN(T_TraitDi[[#This Row],[Colonne1]]),FALSE)=0,"",TEXT(IFERROR(VLOOKUP(T_BilanSocial[[#This Row],[NumL]],T_TraitDi[#Data],COLUMN(T_TraitDi[[#This Row],[Colonne1]]),FALSE),""),"[hh]:mm"))</f>
        <v>#N/A</v>
      </c>
      <c r="AP25" s="172" t="e">
        <f>IF(VLOOKUP(T_BilanSocial[[#This Row],[NumL]],T_TraitDi[#Data],COLUMN(T_TraitDi[[#This Row],[Colonne9]]),FALSE)=0,"",TEXT(IFERROR(VLOOKUP(T_BilanSocial[[#This Row],[NumL]],T_TraitDi[#Data],COLUMN(T_TraitDi[[#This Row],[Colonne9]]),FALSE),""),"[hh]:mm"))</f>
        <v>#N/A</v>
      </c>
      <c r="AQ25" s="172" t="str">
        <f>IFERROR(VLOOKUP(T_BilanSocial[[#This Row],[NumL]],T_TraitDi[#Data],COLUMN(T_TraitDi[[#This Row],[Colonne10]]),FALSE),"")</f>
        <v/>
      </c>
      <c r="AR25" s="172" t="e">
        <f>IF(VLOOKUP(T_BilanSocial[[#This Row],[NumL]],T_TraitDi[#Data],COLUMN(T_TraitDi[[#This Row],[Colonne11]]),FALSE)=0,"",TEXT(IFERROR(VLOOKUP(T_BilanSocial[[#This Row],[NumL]],T_TraitDi[#Data],COLUMN(T_TraitDi[[#This Row],[Colonne11]]),FALSE),""),"[hh]:mm"))</f>
        <v>#N/A</v>
      </c>
      <c r="AS25" s="172" t="e">
        <f>IF(VLOOKUP(T_BilanSocial[[#This Row],[NumL]],T_TraitDi[#Data],COLUMN(T_TraitDi[[#This Row],[Colonne12]]),FALSE)=0,"",TEXT(IFERROR(VLOOKUP(T_BilanSocial[[#This Row],[NumL]],T_TraitDi[#Data],COLUMN(T_TraitDi[[#This Row],[Colonne12]]),FALSE),""),"[hh]:mm"))</f>
        <v>#N/A</v>
      </c>
      <c r="AT25" s="172" t="e">
        <f>IF(VLOOKUP(T_BilanSocial[[#This Row],[NumL]],T_TraitDi[#Data],COLUMN(T_TraitDi[[#This Row],[Colonne14]]),FALSE)=0,"",TEXT(IFERROR(VLOOKUP(T_BilanSocial[[#This Row],[NumL]],T_TraitDi[#Data],COLUMN(T_TraitDi[[#This Row],[Colonne14]]),FALSE),""),"[hh]:mm"))</f>
        <v>#N/A</v>
      </c>
      <c r="AU25" s="172" t="str">
        <f>IFERROR(VLOOKUP(T_BilanSocial[[#This Row],[NumL]],T_TraitDi[#Data],COLUMN(T_TraitDi[[#This Row],[Mercredi]]),FALSE),"")</f>
        <v/>
      </c>
      <c r="AV25" s="172" t="e">
        <f>IF(VLOOKUP(T_BilanSocial[[#This Row],[NumL]],T_TraitDi[#Data],COLUMN(T_TraitDi[[#This Row],[Colonne15]]),FALSE)=0,"",TEXT(IFERROR(VLOOKUP(T_BilanSocial[[#This Row],[NumL]],T_TraitDi[#Data],COLUMN(T_TraitDi[[#This Row],[Colonne15]]),FALSE),""),"[hh]:mm"))</f>
        <v>#N/A</v>
      </c>
      <c r="AW25" s="172" t="e">
        <f>IF(VLOOKUP(T_BilanSocial[[#This Row],[NumL]],T_TraitDi[#Data],COLUMN(T_TraitDi[[#This Row],[Colonne16]]),FALSE)=0,"",TEXT(IFERROR(VLOOKUP(T_BilanSocial[[#This Row],[NumL]],T_TraitDi[#Data],COLUMN(T_TraitDi[[#This Row],[Colonne16]]),FALSE),""),"[hh]:mm"))</f>
        <v>#N/A</v>
      </c>
      <c r="AX25" s="172" t="str">
        <f>IFERROR(VLOOKUP(T_BilanSocial[[#This Row],[NumL]],T_TraitDi[#Data],COLUMN(T_TraitDi[[#This Row],[Colonne17]]),FALSE),"")</f>
        <v/>
      </c>
      <c r="AY25" s="172" t="e">
        <f>IF(VLOOKUP(T_BilanSocial[[#This Row],[NumL]],T_TraitDi[#Data],COLUMN(T_TraitDi[[#This Row],[Colonne18]]),FALSE)=0,"",TEXT(IFERROR(VLOOKUP(T_BilanSocial[[#This Row],[NumL]],T_TraitDi[#Data],COLUMN(T_TraitDi[[#This Row],[Colonne18]]),FALSE),""),"[hh]:mm"))</f>
        <v>#N/A</v>
      </c>
      <c r="AZ25" s="172" t="e">
        <f>IF(VLOOKUP(T_BilanSocial[[#This Row],[NumL]],T_TraitDi[#Data],COLUMN(T_TraitDi[[#This Row],[Colonne19]]),FALSE)=0,"",TEXT(IFERROR(VLOOKUP(T_BilanSocial[[#This Row],[NumL]],T_TraitDi[#Data],COLUMN(T_TraitDi[[#This Row],[Colonne19]]),FALSE),""),"[hh]:mm"))</f>
        <v>#N/A</v>
      </c>
      <c r="BA25" s="172" t="e">
        <f>IF(VLOOKUP(T_BilanSocial[[#This Row],[NumL]],T_TraitDi[#Data],COLUMN(T_TraitDi[[#This Row],[Colonne20]]),FALSE)=0,"",TEXT(IFERROR(VLOOKUP(T_BilanSocial[[#This Row],[NumL]],T_TraitDi[#Data],COLUMN(T_TraitDi[[#This Row],[Colonne20]]),FALSE),""),"[hh]:mm"))</f>
        <v>#N/A</v>
      </c>
      <c r="BB25" s="178" t="str">
        <f>IFERROR(VLOOKUP(T_BilanSocial[[#This Row],[NumL]],T_TraitDi[#Data],COLUMN(T_TraitDi[[#This Row],[Jeudi]]),FALSE),"")</f>
        <v/>
      </c>
      <c r="BC25" s="178" t="e">
        <f>IF(VLOOKUP(T_BilanSocial[[#This Row],[NumL]],T_TraitDi[#Data],COLUMN(T_TraitDi[[#This Row],[Colonne21]]),FALSE)=0,"",TEXT(IFERROR(VLOOKUP(T_BilanSocial[[#This Row],[NumL]],T_TraitDi[#Data],COLUMN(T_TraitDi[[#This Row],[Colonne21]]),FALSE),""),"[hh]:mm"))</f>
        <v>#N/A</v>
      </c>
      <c r="BD25" s="178" t="e">
        <f>IF(VLOOKUP(T_BilanSocial[[#This Row],[NumL]],T_TraitDi[#Data],COLUMN(T_TraitDi[[#This Row],[Colonne22]]),FALSE)=0,"",TEXT(IFERROR(VLOOKUP(T_BilanSocial[[#This Row],[NumL]],T_TraitDi[#Data],COLUMN(T_TraitDi[[#This Row],[Colonne22]]),FALSE),""),"[hh]:mm"))</f>
        <v>#N/A</v>
      </c>
      <c r="BE25" s="178" t="str">
        <f>IFERROR(VLOOKUP(T_BilanSocial[[#This Row],[NumL]],T_TraitDi[#Data],COLUMN(T_TraitDi[[#This Row],[Colonne23]]),FALSE),"")</f>
        <v/>
      </c>
      <c r="BF25" s="178" t="e">
        <f>IF(VLOOKUP(T_BilanSocial[[#This Row],[NumL]],T_TraitDi[#Data],COLUMN(T_TraitDi[[#This Row],[Colonne24]]),FALSE)=0,"",TEXT(IFERROR(VLOOKUP(T_BilanSocial[[#This Row],[NumL]],T_TraitDi[#Data],COLUMN(T_TraitDi[[#This Row],[Colonne24]]),FALSE),""),"[hh]:mm"))</f>
        <v>#N/A</v>
      </c>
      <c r="BG25" s="178" t="e">
        <f>IF(VLOOKUP(T_BilanSocial[[#This Row],[NumL]],T_TraitDi[#Data],COLUMN(T_TraitDi[[#This Row],[Colonne25]]),FALSE)=0,"",TEXT(IFERROR(VLOOKUP(T_BilanSocial[[#This Row],[NumL]],T_TraitDi[#Data],COLUMN(T_TraitDi[[#This Row],[Colonne25]]),FALSE),""),"[hh]:mm"))</f>
        <v>#N/A</v>
      </c>
      <c r="BH25" s="178" t="e">
        <f>IF(VLOOKUP(T_BilanSocial[[#This Row],[NumL]],T_TraitDi[#Data],COLUMN(T_TraitDi[[#This Row],[Colonne26]]),FALSE)=0,"",TEXT(IFERROR(VLOOKUP(T_BilanSocial[[#This Row],[NumL]],T_TraitDi[#Data],COLUMN(T_TraitDi[[#This Row],[Colonne26]]),FALSE),""),"[hh]:mm"))</f>
        <v>#N/A</v>
      </c>
      <c r="BI25" s="172" t="str">
        <f>IFERROR(VLOOKUP(T_BilanSocial[[#This Row],[NumL]],T_TraitDi[#Data],COLUMN(T_TraitDi[[#This Row],[Vendredi]]),FALSE),"")</f>
        <v/>
      </c>
      <c r="BJ25" s="172" t="e">
        <f>IF(VLOOKUP(T_BilanSocial[[#This Row],[NumL]],T_TraitDi[#Data],COLUMN(T_TraitDi[[#This Row],[Colonne27]]),FALSE)=0,"",TEXT(IFERROR(VLOOKUP(T_BilanSocial[[#This Row],[NumL]],T_TraitDi[#Data],COLUMN(T_TraitDi[[#This Row],[Colonne27]]),FALSE),""),"[hh]:mm"))</f>
        <v>#N/A</v>
      </c>
      <c r="BK25" s="172" t="e">
        <f>IF(VLOOKUP(T_BilanSocial[[#This Row],[NumL]],T_TraitDi[#Data],COLUMN(T_TraitDi[[#This Row],[Colonne28]]),FALSE)=0,"",TEXT(IFERROR(VLOOKUP(T_BilanSocial[[#This Row],[NumL]],T_TraitDi[#Data],COLUMN(T_TraitDi[[#This Row],[Colonne28]]),FALSE),""),"[hh]:mm"))</f>
        <v>#N/A</v>
      </c>
      <c r="BL25" s="172" t="str">
        <f>IFERROR(VLOOKUP(T_BilanSocial[[#This Row],[NumL]],T_TraitDi[#Data],COLUMN(T_TraitDi[[#This Row],[Colonne29]]),FALSE),"")</f>
        <v/>
      </c>
      <c r="BM25" s="172" t="e">
        <f>IF(VLOOKUP(T_BilanSocial[[#This Row],[NumL]],T_TraitDi[#Data],COLUMN(T_TraitDi[[#This Row],[Colonne30]]),FALSE)=0,"",TEXT(IFERROR(VLOOKUP(T_BilanSocial[[#This Row],[NumL]],T_TraitDi[#Data],COLUMN(T_TraitDi[[#This Row],[Colonne30]]),FALSE),""),"[hh]:mm"))</f>
        <v>#N/A</v>
      </c>
      <c r="BN25" s="172" t="e">
        <f>IF(VLOOKUP(T_BilanSocial[[#This Row],[NumL]],T_TraitDi[#Data],COLUMN(T_TraitDi[[#This Row],[Colonne31]]),FALSE)=0,"",TEXT(IFERROR(VLOOKUP(T_BilanSocial[[#This Row],[NumL]],T_TraitDi[#Data],COLUMN(T_TraitDi[[#This Row],[Colonne31]]),FALSE),""),"[hh]:mm"))</f>
        <v>#N/A</v>
      </c>
      <c r="BO25" s="172" t="e">
        <f>IF(VLOOKUP(T_BilanSocial[[#This Row],[NumL]],T_TraitDi[#Data],COLUMN(T_TraitDi[[#This Row],[Colonne32]]),FALSE)=0,"",TEXT(IFERROR(VLOOKUP(T_BilanSocial[[#This Row],[NumL]],T_TraitDi[#Data],COLUMN(T_TraitDi[[#This Row],[Colonne32]]),FALSE),""),"[hh]:mm"))</f>
        <v>#N/A</v>
      </c>
      <c r="BP25" s="172" t="e">
        <f>VLOOKUP(T_BilanSocial[[#This Row],[NumL]],T_TraitDi[#Data],COLUMN(T_TraitDi[NbJTot]),FALSE)</f>
        <v>#N/A</v>
      </c>
      <c r="BQ25" s="174" t="str">
        <f>IFERROR(VLOOKUP(T_BilanSocial[[#This Row],[NumL]],T_TraitDi[#Data],COLUMN(T_TraitDi[[#This Row],[NbJTW]]),FALSE),"")</f>
        <v/>
      </c>
      <c r="BR25" s="174" t="e">
        <f>IF(VLOOKUP(T_BilanSocial[[#This Row],[NumL]],T_TraitDi[#Data],COLUMN(T_TraitDi[[#This Row],[NbhTW]]),FALSE)=0,"",TEXT(IFERROR(VLOOKUP(T_BilanSocial[[#This Row],[NumL]],T_TraitDi[#Data],COLUMN(T_TraitDi[[#This Row],[NbhTW]]),FALSE),""),"[hh]:mm"))</f>
        <v>#N/A</v>
      </c>
      <c r="BS25" s="174" t="e">
        <f>IF(VLOOKUP(T_BilanSocial[[#This Row],[NumL]],T_TraitDi[#Data],COLUMN(T_TraitDi[[#This Row],[Nbhheb]]),FALSE)=0,"",TEXT(IFERROR(VLOOKUP($A25,T_TraitDi[#Data],COLUMN(T_TraitDi[[#This Row],[Nbhheb]]),FALSE),""),"[hh]:mm"))</f>
        <v>#N/A</v>
      </c>
      <c r="BT25" s="182" t="str">
        <f>IFERROR(VLOOKUP(VLOOKUP($A25,T_TraitDi[#Data],COLUMN(T_TraitDi[[#This Row],[Type1]]),FALSE),TypeTW,2,FALSE),"")</f>
        <v/>
      </c>
      <c r="BU25" s="182" t="str">
        <f>IFERROR(VLOOKUP($A25,T_TraitDi[#Data],COLUMN(T_TraitDi[[#This Row],[Rue1]]),FALSE),"")</f>
        <v/>
      </c>
      <c r="BV25" s="173" t="str">
        <f>IFERROR(VLOOKUP($A25,T_TraitDi[#Data],COLUMN(T_TraitDi[[#This Row],[CP1]]),FALSE),"")</f>
        <v/>
      </c>
      <c r="BW25" s="173" t="str">
        <f>IFERROR(VLOOKUP($A25,T_TraitDi[#Data],COLUMN(T_TraitDi[[#This Row],[VILLE1]]),FALSE),"")</f>
        <v/>
      </c>
      <c r="BX25" s="182" t="str">
        <f>IFERROR(VLOOKUP(VLOOKUP($A25,T_TraitDi[#Data],COLUMN(T_TraitDi[[#This Row],[Type2]]),FALSE),TypeTW,2,FALSE),"")</f>
        <v/>
      </c>
      <c r="BY25" s="182" t="str">
        <f>IFERROR(VLOOKUP($A25,T_TraitDi[#Data],COLUMN(T_TraitDi[[#This Row],[Rue2]]),FALSE),"")</f>
        <v/>
      </c>
      <c r="BZ25" s="173" t="str">
        <f>IFERROR(VLOOKUP($A25,T_TraitDi[#Data],COLUMN(T_TraitDi[[#This Row],[CP2]]),FALSE),"")</f>
        <v/>
      </c>
      <c r="CA25" s="173" t="str">
        <f>IFERROR(VLOOKUP($A25,T_TraitDi[#Data],COLUMN(T_TraitDi[[#This Row],[VILLE2]]),FALSE),"")</f>
        <v/>
      </c>
      <c r="CB25" s="182" t="str">
        <f>IF(VLOOKUP(T_BilanSocial[[#This Row],[NumL]],T_Equipement[#Data],COLUMN(T_Equipement[[#This Row],[PC]]),FALSE)="","Aucun équipement spécifique directement lié au télétravail",VLOOKUP(T_BilanSocial[[#This Row],[NumL]],T_Equipement[#Data],COLUMN(T_Equipement[[#This Row],[PC]]),FALSE))</f>
        <v>15-062 mac</v>
      </c>
      <c r="CC25" s="166" t="str">
        <f>IFERROR(IF(VLOOKUP(T_BilanSocial[[#This Row],[NumL]],T_TraitDi[#Data],COLUMN(T_TraitDi[[#This Row],[Plan]]),FALSE)="OK","Un planning spécifique de télétravail est annexé à la présente convention.",""),"")</f>
        <v/>
      </c>
      <c r="CD25" s="185"/>
      <c r="CE25" s="164" t="e">
        <f>IF(VLOOKUP(T_BilanSocial[[#This Row],[NumL]],T_suiviDi[#Data],COLUMN(T_suiviDi[[#This Row],[Entité]]),FALSE)="","",VLOOKUP(T_BilanSocial[[#This Row],[NumL]],T_suiviDi[#Data],COLUMN(T_suiviDi[[#This Row],[Entité]]),FALSE))</f>
        <v>#N/A</v>
      </c>
      <c r="CF25" s="164" t="str">
        <f>IF(VLOOKUP(T_BilanSocial[[#This Row],[NumL]],T_Commission[#Data],COLUMN(T_Commission[[#This Row],[envoi confirm TW]]),FALSE)="","",VLOOKUP(T_BilanSocial[[#This Row],[NumL]],T_Commission[#Data],COLUMN(T_Commission[[#This Row],[envoi confirm TW]]),FALSE))</f>
        <v>Oui</v>
      </c>
      <c r="CG2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 s="262" t="str">
        <f>T_BilanSocial[[#This Row],[Nom]]&amp;T_BilanSocial[[#This Row],[Prenom]]</f>
        <v/>
      </c>
      <c r="CI25" s="262">
        <f>VLOOKUP(T_BilanSocial[[#This Row],[NumL]],T_Commission[#Data],COLUMN(T_Commission[Commentaire]),FALSE)</f>
        <v>0</v>
      </c>
      <c r="CJ25" s="262" t="str">
        <f>IF(VLOOKUP(T_BilanSocial[[#This Row],[NumL]],T_Commission[#Data],COLUMN(T_Commission[Encadrant Email]),FALSE)="","",VLOOKUP(T_BilanSocial[[#This Row],[NumL]],T_Commission[#Data],COLUMN(T_Commission[Encadrant Email]),FALSE))</f>
        <v/>
      </c>
      <c r="CK25" s="340" t="str">
        <f>IF(T_BilanSocial[[#This Row],[Final]]&lt;&gt;"",VLOOKUP(T_BilanSocial[[#This Row],[NumL]],T_suiviDi[#Data],COLUMN((T_suiviDi[Statut])),FALSE),"")</f>
        <v/>
      </c>
    </row>
    <row r="26" spans="1:89" s="106" customFormat="1" ht="24.75" customHeight="1" x14ac:dyDescent="0.25">
      <c r="A26" s="160">
        <v>23</v>
      </c>
      <c r="B26" s="161" t="str">
        <f t="shared" si="0"/>
        <v/>
      </c>
      <c r="C26" s="162" t="s">
        <v>173</v>
      </c>
      <c r="D26" s="95" t="e">
        <f>IF(VLOOKUP(T_BilanSocial[[#This Row],[NumL]],T_TraitDi[#Data],COLUMN(T_TraitDi[[#This Row],[WebC]]),FALSE)="","",VLOOKUP(T_BilanSocial[[#This Row],[NumL]],T_TraitDi[#Data],COLUMN(T_TraitDi[[#This Row],[WebC]]),FALSE))</f>
        <v>#N/A</v>
      </c>
      <c r="E26" s="163" t="str">
        <f t="shared" si="1"/>
        <v>12 janvier 2021</v>
      </c>
      <c r="F26" s="96" t="str">
        <f>IF(T_BilanSocial[[#This Row],[Final]]&lt;&gt;"",VLOOKUP(T_BilanSocial[[#This Row],[NumL]],T_suiviDi[#Data],COLUMN((T_suiviDi[Civ.])),FALSE),"")</f>
        <v/>
      </c>
      <c r="G26" s="96" t="str">
        <f>IF(T_BilanSocial[[#This Row],[Final]]&lt;&gt;"",VLOOKUP(T_BilanSocial[[#This Row],[NumL]],T_suiviDi[#Data],COLUMN((T_suiviDi[Nom])),FALSE),"")</f>
        <v/>
      </c>
      <c r="H26" s="96" t="str">
        <f>IF(T_BilanSocial[[#This Row],[Final]]&lt;&gt;"",VLOOKUP(T_BilanSocial[[#This Row],[NumL]],T_suiviDi[#Data],COLUMN((T_suiviDi[Prénom])),FALSE),"")</f>
        <v/>
      </c>
      <c r="I26" s="96" t="str">
        <f>IFERROR(VLOOKUP(T_BilanSocial[[#This Row],[Zone_Bilan]],T_P_BilanSocial[#Data],COLUMN(T_P_BilanSocial[[#This Row],[Numero_SIHAM]]),FALSE),"")</f>
        <v/>
      </c>
      <c r="J26" s="96" t="str">
        <f>IFERROR(VLOOKUP(T_BilanSocial[[#This Row],[Zone_Bilan]],T_P_BilanSocial[#Data],COLUMN(T_P_BilanSocial[[#This Row],[Sexe]]),FALSE),"")</f>
        <v/>
      </c>
      <c r="K26" s="97" t="str">
        <f>IFERROR(VLOOKUP(T_BilanSocial[[#This Row],[Zone_Bilan]],T_P_BilanSocial[#Data],COLUMN(T_P_BilanSocial[[#This Row],[Categorie]]),FALSE),"")</f>
        <v/>
      </c>
      <c r="L26" s="96" t="str">
        <f>IFERROR(VLOOKUP(T_BilanSocial[[#This Row],[Zone_Bilan]],T_P_BilanSocial[#Data],COLUMN(T_P_BilanSocial[[#This Row],[Statut]]),FALSE),"")</f>
        <v/>
      </c>
      <c r="M26" s="96" t="str">
        <f>IFERROR(VLOOKUP(T_BilanSocial[[#This Row],[Zone_Bilan]],T_P_BilanSocial[#Data],COLUMN(T_P_BilanSocial[[#This Row],[Filiere]]),FALSE),"")</f>
        <v/>
      </c>
      <c r="N26" s="96" t="e">
        <f>VLOOKUP(T_BilanSocial[[#This Row],[NumL]],T_TraitDi[#Data],COLUMN(T_TraitDi[EXP]),FALSE)</f>
        <v>#N/A</v>
      </c>
      <c r="O26" s="96" t="e">
        <f>VLOOKUP(T_BilanSocial[[#This Row],[NumL]],T_TraitDi[#Data],COLUMN(T_TraitDi[FORM]),FALSE)</f>
        <v>#N/A</v>
      </c>
      <c r="P26" s="96" t="str">
        <f>IF(T_BilanSocial[[#This Row],[Final]]&lt;&gt;"",VLOOKUP(T_BilanSocial[[#This Row],[NumL]],T_suiviDi[#Data],COLUMN((T_suiviDi[Email])),FALSE),"")</f>
        <v/>
      </c>
      <c r="Q26" s="164" t="e">
        <f t="shared" si="7"/>
        <v>#N/A</v>
      </c>
      <c r="R26" s="164" t="e">
        <f t="shared" si="8"/>
        <v>#N/A</v>
      </c>
      <c r="S26" s="164" t="e">
        <f>IF(VLOOKUP(T_BilanSocial[[#This Row],[NumL]],T_suiviDi[#Data],COLUMN(T_suiviDi[[#This Row],[Service ]]),FALSE)="","",VLOOKUP(T_BilanSocial[[#This Row],[NumL]],T_suiviDi[#Data],COLUMN(T_suiviDi[[#This Row],[Service ]]),FALSE))</f>
        <v>#N/A</v>
      </c>
      <c r="T26" s="164" t="str">
        <f t="shared" si="2"/>
        <v>01 septembre 2021</v>
      </c>
      <c r="U26" s="164" t="str">
        <f t="shared" si="3"/>
        <v>30 novembre 2021</v>
      </c>
      <c r="V26" s="164" t="str">
        <f t="shared" si="6"/>
        <v>30 novembre 2021</v>
      </c>
      <c r="W26" s="176" t="e">
        <f>IF(VLOOKUP(T_BilanSocial[[#This Row],[NumL]],T_TraitDi[#Data],COLUMN(T_TraitDi[[#This Row],[M1]]),FALSE)="","",VLOOKUP(T_BilanSocial[[#This Row],[NumL]],T_TraitDi[#Data],COLUMN(T_TraitDi[[#This Row],[M1]]),FALSE))</f>
        <v>#N/A</v>
      </c>
      <c r="X26" s="176" t="e">
        <f>IF(VLOOKUP(T_BilanSocial[[#This Row],[NumL]],T_TraitDi[#Data],COLUMN(T_TraitDi[[#This Row],[M2]]),FALSE)="","",VLOOKUP(T_BilanSocial[[#This Row],[NumL]],T_TraitDi[#Data],COLUMN(T_TraitDi[[#This Row],[M2]]),FALSE))</f>
        <v>#N/A</v>
      </c>
      <c r="Y26" s="176" t="e">
        <f>IF(VLOOKUP(T_BilanSocial[[#This Row],[NumL]],T_TraitDi[#Data],COLUMN(T_TraitDi[[#This Row],[M3]]),FALSE)="","",VLOOKUP(T_BilanSocial[[#This Row],[NumL]],T_TraitDi[#Data],COLUMN(T_TraitDi[[#This Row],[M3]]),FALSE))</f>
        <v>#N/A</v>
      </c>
      <c r="Z26" s="176" t="str">
        <f t="shared" si="5"/>
        <v/>
      </c>
      <c r="AA26" s="176" t="e">
        <f>IF(VLOOKUP(T_BilanSocial[[#This Row],[NumL]],T_TraitDi[#Data],COLUMN(T_TraitDi[[#This Row],[M5]]),FALSE)="","",VLOOKUP(T_BilanSocial[[#This Row],[NumL]],T_TraitDi[#Data],COLUMN(T_TraitDi[[#This Row],[M5]]),FALSE))</f>
        <v>#N/A</v>
      </c>
      <c r="AB26" s="176" t="e">
        <f>IF(VLOOKUP(T_BilanSocial[[#This Row],[NumL]],T_TraitDi[#Data],COLUMN(T_TraitDi[[#This Row],[M6]]),FALSE)="","",VLOOKUP(T_BilanSocial[[#This Row],[NumL]],T_TraitDi[#Data],COLUMN(T_TraitDi[[#This Row],[M6]]),FALSE))</f>
        <v>#N/A</v>
      </c>
      <c r="AC26" s="165" t="e">
        <f t="shared" si="4"/>
        <v>#N/A</v>
      </c>
      <c r="AD26" s="188" t="str">
        <f>IFERROR(TEXT(VLOOKUP(T_BilanSocial[[#This Row],[NumL]],T_TraitDi[#Data],COLUMN(T_TraitDi[[#This Row],[Q2]]),FALSE),"###%"),"")</f>
        <v/>
      </c>
      <c r="AE26" s="97" t="e">
        <f>VLOOKUP(T_BilanSocial[[#This Row],[NumL]],T_TraitDi[#Data],COLUMN(T_TraitDi[[#This Row],[Reg Ponct]]),FALSE)</f>
        <v>#N/A</v>
      </c>
      <c r="AF26" s="97" t="e">
        <f>VLOOKUP(T_BilanSocial[NumL],T_TraitDi[#Data],COLUMN(T_TraitDi[[#This Row],[Jours flottants]]),FALSE)</f>
        <v>#N/A</v>
      </c>
      <c r="AG26" s="97" t="str">
        <f>IFERROR(VLOOKUP(T_BilanSocial[[#This Row],[NumL]],T_TraitDi[#Data],COLUMN(T_TraitDi[[#This Row],[Lundi]]),FALSE),"")</f>
        <v/>
      </c>
      <c r="AH26" s="172" t="e">
        <f>IF(VLOOKUP(T_BilanSocial[[#This Row],[NumL]],T_TraitDi[#Data],COLUMN(T_TraitDi[[#This Row],[Colonne3]]),FALSE)=0,"",TEXT(IFERROR(VLOOKUP(T_BilanSocial[[#This Row],[NumL]],T_TraitDi[#Data],COLUMN(T_TraitDi[[#This Row],[Colonne3]]),FALSE),""),"[hh]:mm"))</f>
        <v>#N/A</v>
      </c>
      <c r="AI26" s="172" t="e">
        <f>IF(VLOOKUP(T_BilanSocial[[#This Row],[NumL]],T_TraitDi[#Data],COLUMN(T_TraitDi[[#This Row],[Colonne4]]),FALSE)=0,"",TEXT(IFERROR(VLOOKUP(T_BilanSocial[[#This Row],[NumL]],T_TraitDi[#Data],COLUMN(T_TraitDi[[#This Row],[Colonne4]]),FALSE),""),"[hh]:mm"))</f>
        <v>#N/A</v>
      </c>
      <c r="AJ26" s="172" t="e">
        <f>IF(VLOOKUP(T_BilanSocial[[#This Row],[NumL]],T_TraitDi[#Data],COLUMN(T_TraitDi[[#This Row],[Colonne5]]),FALSE)=0,"",TEXT(IFERROR(VLOOKUP(T_BilanSocial[[#This Row],[NumL]],T_TraitDi[#Data],COLUMN(T_TraitDi[[#This Row],[Colonne5]]),FALSE),""),"[hh]:mm"))</f>
        <v>#N/A</v>
      </c>
      <c r="AK26" s="172" t="e">
        <f>IF(VLOOKUP(T_BilanSocial[[#This Row],[NumL]],T_TraitDi[#Data],COLUMN(T_TraitDi[[#This Row],[Colonne6]]),FALSE)=0,"",TEXT(IFERROR(VLOOKUP(T_BilanSocial[[#This Row],[NumL]],T_TraitDi[#Data],COLUMN(T_TraitDi[[#This Row],[Colonne6]]),FALSE),""),"[hh]:mm"))</f>
        <v>#N/A</v>
      </c>
      <c r="AL26" s="172" t="e">
        <f>IF(VLOOKUP(T_BilanSocial[[#This Row],[NumL]],T_TraitDi[#Data],COLUMN(T_TraitDi[[#This Row],[Colonne7]]),FALSE)=0,"",TEXT(IFERROR(VLOOKUP(T_BilanSocial[[#This Row],[NumL]],T_TraitDi[#Data],COLUMN(T_TraitDi[[#This Row],[Colonne7]]),FALSE),""),"[hh]:mm"))</f>
        <v>#N/A</v>
      </c>
      <c r="AM26" s="172" t="e">
        <f>IF(VLOOKUP(T_BilanSocial[[#This Row],[NumL]],T_TraitDi[#Data],COLUMN(T_TraitDi[[#This Row],[Colonne8]]),FALSE)=0,"",TEXT(IFERROR(VLOOKUP(T_BilanSocial[[#This Row],[NumL]],T_TraitDi[#Data],COLUMN(T_TraitDi[[#This Row],[Colonne8]]),FALSE),""),"[hh]:mm"))</f>
        <v>#N/A</v>
      </c>
      <c r="AN26" s="172" t="str">
        <f>IFERROR(VLOOKUP(T_BilanSocial[[#This Row],[NumL]],T_TraitDi[#Data],COLUMN(T_TraitDi[[#This Row],[Mardi]]),FALSE),"")</f>
        <v/>
      </c>
      <c r="AO26" s="172" t="e">
        <f>IF(VLOOKUP(T_BilanSocial[[#This Row],[NumL]],T_TraitDi[#Data],COLUMN(T_TraitDi[[#This Row],[Colonne1]]),FALSE)=0,"",TEXT(IFERROR(VLOOKUP(T_BilanSocial[[#This Row],[NumL]],T_TraitDi[#Data],COLUMN(T_TraitDi[[#This Row],[Colonne1]]),FALSE),""),"[hh]:mm"))</f>
        <v>#N/A</v>
      </c>
      <c r="AP26" s="172" t="e">
        <f>IF(VLOOKUP(T_BilanSocial[[#This Row],[NumL]],T_TraitDi[#Data],COLUMN(T_TraitDi[[#This Row],[Colonne9]]),FALSE)=0,"",TEXT(IFERROR(VLOOKUP(T_BilanSocial[[#This Row],[NumL]],T_TraitDi[#Data],COLUMN(T_TraitDi[[#This Row],[Colonne9]]),FALSE),""),"[hh]:mm"))</f>
        <v>#N/A</v>
      </c>
      <c r="AQ26" s="172" t="str">
        <f>IFERROR(VLOOKUP(T_BilanSocial[[#This Row],[NumL]],T_TraitDi[#Data],COLUMN(T_TraitDi[[#This Row],[Colonne10]]),FALSE),"")</f>
        <v/>
      </c>
      <c r="AR26" s="172" t="e">
        <f>IF(VLOOKUP(T_BilanSocial[[#This Row],[NumL]],T_TraitDi[#Data],COLUMN(T_TraitDi[[#This Row],[Colonne11]]),FALSE)=0,"",TEXT(IFERROR(VLOOKUP(T_BilanSocial[[#This Row],[NumL]],T_TraitDi[#Data],COLUMN(T_TraitDi[[#This Row],[Colonne11]]),FALSE),""),"[hh]:mm"))</f>
        <v>#N/A</v>
      </c>
      <c r="AS26" s="172" t="e">
        <f>IF(VLOOKUP(T_BilanSocial[[#This Row],[NumL]],T_TraitDi[#Data],COLUMN(T_TraitDi[[#This Row],[Colonne12]]),FALSE)=0,"",TEXT(IFERROR(VLOOKUP(T_BilanSocial[[#This Row],[NumL]],T_TraitDi[#Data],COLUMN(T_TraitDi[[#This Row],[Colonne12]]),FALSE),""),"[hh]:mm"))</f>
        <v>#N/A</v>
      </c>
      <c r="AT26" s="172" t="e">
        <f>IF(VLOOKUP(T_BilanSocial[[#This Row],[NumL]],T_TraitDi[#Data],COLUMN(T_TraitDi[[#This Row],[Colonne14]]),FALSE)=0,"",TEXT(IFERROR(VLOOKUP(T_BilanSocial[[#This Row],[NumL]],T_TraitDi[#Data],COLUMN(T_TraitDi[[#This Row],[Colonne14]]),FALSE),""),"[hh]:mm"))</f>
        <v>#N/A</v>
      </c>
      <c r="AU26" s="172" t="str">
        <f>IFERROR(VLOOKUP(T_BilanSocial[[#This Row],[NumL]],T_TraitDi[#Data],COLUMN(T_TraitDi[[#This Row],[Mercredi]]),FALSE),"")</f>
        <v/>
      </c>
      <c r="AV26" s="172" t="e">
        <f>IF(VLOOKUP(T_BilanSocial[[#This Row],[NumL]],T_TraitDi[#Data],COLUMN(T_TraitDi[[#This Row],[Colonne15]]),FALSE)=0,"",TEXT(IFERROR(VLOOKUP(T_BilanSocial[[#This Row],[NumL]],T_TraitDi[#Data],COLUMN(T_TraitDi[[#This Row],[Colonne15]]),FALSE),""),"[hh]:mm"))</f>
        <v>#N/A</v>
      </c>
      <c r="AW26" s="172" t="e">
        <f>IF(VLOOKUP(T_BilanSocial[[#This Row],[NumL]],T_TraitDi[#Data],COLUMN(T_TraitDi[[#This Row],[Colonne16]]),FALSE)=0,"",TEXT(IFERROR(VLOOKUP(T_BilanSocial[[#This Row],[NumL]],T_TraitDi[#Data],COLUMN(T_TraitDi[[#This Row],[Colonne16]]),FALSE),""),"[hh]:mm"))</f>
        <v>#N/A</v>
      </c>
      <c r="AX26" s="172" t="str">
        <f>IFERROR(VLOOKUP(T_BilanSocial[[#This Row],[NumL]],T_TraitDi[#Data],COLUMN(T_TraitDi[[#This Row],[Colonne17]]),FALSE),"")</f>
        <v/>
      </c>
      <c r="AY26" s="172" t="e">
        <f>IF(VLOOKUP(T_BilanSocial[[#This Row],[NumL]],T_TraitDi[#Data],COLUMN(T_TraitDi[[#This Row],[Colonne18]]),FALSE)=0,"",TEXT(IFERROR(VLOOKUP(T_BilanSocial[[#This Row],[NumL]],T_TraitDi[#Data],COLUMN(T_TraitDi[[#This Row],[Colonne18]]),FALSE),""),"[hh]:mm"))</f>
        <v>#N/A</v>
      </c>
      <c r="AZ26" s="172" t="e">
        <f>IF(VLOOKUP(T_BilanSocial[[#This Row],[NumL]],T_TraitDi[#Data],COLUMN(T_TraitDi[[#This Row],[Colonne19]]),FALSE)=0,"",TEXT(IFERROR(VLOOKUP(T_BilanSocial[[#This Row],[NumL]],T_TraitDi[#Data],COLUMN(T_TraitDi[[#This Row],[Colonne19]]),FALSE),""),"[hh]:mm"))</f>
        <v>#N/A</v>
      </c>
      <c r="BA26" s="172" t="e">
        <f>IF(VLOOKUP(T_BilanSocial[[#This Row],[NumL]],T_TraitDi[#Data],COLUMN(T_TraitDi[[#This Row],[Colonne20]]),FALSE)=0,"",TEXT(IFERROR(VLOOKUP(T_BilanSocial[[#This Row],[NumL]],T_TraitDi[#Data],COLUMN(T_TraitDi[[#This Row],[Colonne20]]),FALSE),""),"[hh]:mm"))</f>
        <v>#N/A</v>
      </c>
      <c r="BB26" s="178" t="str">
        <f>IFERROR(VLOOKUP(T_BilanSocial[[#This Row],[NumL]],T_TraitDi[#Data],COLUMN(T_TraitDi[[#This Row],[Jeudi]]),FALSE),"")</f>
        <v/>
      </c>
      <c r="BC26" s="178" t="e">
        <f>IF(VLOOKUP(T_BilanSocial[[#This Row],[NumL]],T_TraitDi[#Data],COLUMN(T_TraitDi[[#This Row],[Colonne21]]),FALSE)=0,"",TEXT(IFERROR(VLOOKUP(T_BilanSocial[[#This Row],[NumL]],T_TraitDi[#Data],COLUMN(T_TraitDi[[#This Row],[Colonne21]]),FALSE),""),"[hh]:mm"))</f>
        <v>#N/A</v>
      </c>
      <c r="BD26" s="178" t="e">
        <f>IF(VLOOKUP(T_BilanSocial[[#This Row],[NumL]],T_TraitDi[#Data],COLUMN(T_TraitDi[[#This Row],[Colonne22]]),FALSE)=0,"",TEXT(IFERROR(VLOOKUP(T_BilanSocial[[#This Row],[NumL]],T_TraitDi[#Data],COLUMN(T_TraitDi[[#This Row],[Colonne22]]),FALSE),""),"[hh]:mm"))</f>
        <v>#N/A</v>
      </c>
      <c r="BE26" s="178" t="str">
        <f>IFERROR(VLOOKUP(T_BilanSocial[[#This Row],[NumL]],T_TraitDi[#Data],COLUMN(T_TraitDi[[#This Row],[Colonne23]]),FALSE),"")</f>
        <v/>
      </c>
      <c r="BF26" s="178" t="e">
        <f>IF(VLOOKUP(T_BilanSocial[[#This Row],[NumL]],T_TraitDi[#Data],COLUMN(T_TraitDi[[#This Row],[Colonne24]]),FALSE)=0,"",TEXT(IFERROR(VLOOKUP(T_BilanSocial[[#This Row],[NumL]],T_TraitDi[#Data],COLUMN(T_TraitDi[[#This Row],[Colonne24]]),FALSE),""),"[hh]:mm"))</f>
        <v>#N/A</v>
      </c>
      <c r="BG26" s="178" t="e">
        <f>IF(VLOOKUP(T_BilanSocial[[#This Row],[NumL]],T_TraitDi[#Data],COLUMN(T_TraitDi[[#This Row],[Colonne25]]),FALSE)=0,"",TEXT(IFERROR(VLOOKUP(T_BilanSocial[[#This Row],[NumL]],T_TraitDi[#Data],COLUMN(T_TraitDi[[#This Row],[Colonne25]]),FALSE),""),"[hh]:mm"))</f>
        <v>#N/A</v>
      </c>
      <c r="BH26" s="178" t="e">
        <f>IF(VLOOKUP(T_BilanSocial[[#This Row],[NumL]],T_TraitDi[#Data],COLUMN(T_TraitDi[[#This Row],[Colonne26]]),FALSE)=0,"",TEXT(IFERROR(VLOOKUP(T_BilanSocial[[#This Row],[NumL]],T_TraitDi[#Data],COLUMN(T_TraitDi[[#This Row],[Colonne26]]),FALSE),""),"[hh]:mm"))</f>
        <v>#N/A</v>
      </c>
      <c r="BI26" s="172" t="str">
        <f>IFERROR(VLOOKUP(T_BilanSocial[[#This Row],[NumL]],T_TraitDi[#Data],COLUMN(T_TraitDi[[#This Row],[Vendredi]]),FALSE),"")</f>
        <v/>
      </c>
      <c r="BJ26" s="172" t="e">
        <f>IF(VLOOKUP(T_BilanSocial[[#This Row],[NumL]],T_TraitDi[#Data],COLUMN(T_TraitDi[[#This Row],[Colonne27]]),FALSE)=0,"",TEXT(IFERROR(VLOOKUP(T_BilanSocial[[#This Row],[NumL]],T_TraitDi[#Data],COLUMN(T_TraitDi[[#This Row],[Colonne27]]),FALSE),""),"[hh]:mm"))</f>
        <v>#N/A</v>
      </c>
      <c r="BK26" s="172" t="e">
        <f>IF(VLOOKUP(T_BilanSocial[[#This Row],[NumL]],T_TraitDi[#Data],COLUMN(T_TraitDi[[#This Row],[Colonne28]]),FALSE)=0,"",TEXT(IFERROR(VLOOKUP(T_BilanSocial[[#This Row],[NumL]],T_TraitDi[#Data],COLUMN(T_TraitDi[[#This Row],[Colonne28]]),FALSE),""),"[hh]:mm"))</f>
        <v>#N/A</v>
      </c>
      <c r="BL26" s="172" t="str">
        <f>IFERROR(VLOOKUP(T_BilanSocial[[#This Row],[NumL]],T_TraitDi[#Data],COLUMN(T_TraitDi[[#This Row],[Colonne29]]),FALSE),"")</f>
        <v/>
      </c>
      <c r="BM26" s="172" t="e">
        <f>IF(VLOOKUP(T_BilanSocial[[#This Row],[NumL]],T_TraitDi[#Data],COLUMN(T_TraitDi[[#This Row],[Colonne30]]),FALSE)=0,"",TEXT(IFERROR(VLOOKUP(T_BilanSocial[[#This Row],[NumL]],T_TraitDi[#Data],COLUMN(T_TraitDi[[#This Row],[Colonne30]]),FALSE),""),"[hh]:mm"))</f>
        <v>#N/A</v>
      </c>
      <c r="BN26" s="172" t="e">
        <f>IF(VLOOKUP(T_BilanSocial[[#This Row],[NumL]],T_TraitDi[#Data],COLUMN(T_TraitDi[[#This Row],[Colonne31]]),FALSE)=0,"",TEXT(IFERROR(VLOOKUP(T_BilanSocial[[#This Row],[NumL]],T_TraitDi[#Data],COLUMN(T_TraitDi[[#This Row],[Colonne31]]),FALSE),""),"[hh]:mm"))</f>
        <v>#N/A</v>
      </c>
      <c r="BO26" s="172" t="e">
        <f>IF(VLOOKUP(T_BilanSocial[[#This Row],[NumL]],T_TraitDi[#Data],COLUMN(T_TraitDi[[#This Row],[Colonne32]]),FALSE)=0,"",TEXT(IFERROR(VLOOKUP(T_BilanSocial[[#This Row],[NumL]],T_TraitDi[#Data],COLUMN(T_TraitDi[[#This Row],[Colonne32]]),FALSE),""),"[hh]:mm"))</f>
        <v>#N/A</v>
      </c>
      <c r="BP26" s="172" t="e">
        <f>VLOOKUP(T_BilanSocial[[#This Row],[NumL]],T_TraitDi[#Data],COLUMN(T_TraitDi[NbJTot]),FALSE)</f>
        <v>#N/A</v>
      </c>
      <c r="BQ26" s="174" t="str">
        <f>IFERROR(VLOOKUP(T_BilanSocial[[#This Row],[NumL]],T_TraitDi[#Data],COLUMN(T_TraitDi[[#This Row],[NbJTW]]),FALSE),"")</f>
        <v/>
      </c>
      <c r="BR26" s="174" t="e">
        <f>IF(VLOOKUP(T_BilanSocial[[#This Row],[NumL]],T_TraitDi[#Data],COLUMN(T_TraitDi[[#This Row],[NbhTW]]),FALSE)=0,"",TEXT(IFERROR(VLOOKUP(T_BilanSocial[[#This Row],[NumL]],T_TraitDi[#Data],COLUMN(T_TraitDi[[#This Row],[NbhTW]]),FALSE),""),"[hh]:mm"))</f>
        <v>#N/A</v>
      </c>
      <c r="BS26" s="174" t="e">
        <f>IF(VLOOKUP(T_BilanSocial[[#This Row],[NumL]],T_TraitDi[#Data],COLUMN(T_TraitDi[[#This Row],[Nbhheb]]),FALSE)=0,"",TEXT(IFERROR(VLOOKUP($A26,T_TraitDi[#Data],COLUMN(T_TraitDi[[#This Row],[Nbhheb]]),FALSE),""),"[hh]:mm"))</f>
        <v>#N/A</v>
      </c>
      <c r="BT26" s="182" t="str">
        <f>IFERROR(VLOOKUP(VLOOKUP($A26,T_TraitDi[#Data],COLUMN(T_TraitDi[[#This Row],[Type1]]),FALSE),TypeTW,2,FALSE),"")</f>
        <v/>
      </c>
      <c r="BU26" s="182" t="str">
        <f>IFERROR(VLOOKUP($A26,T_TraitDi[#Data],COLUMN(T_TraitDi[[#This Row],[Rue1]]),FALSE),"")</f>
        <v/>
      </c>
      <c r="BV26" s="173" t="str">
        <f>IFERROR(VLOOKUP($A26,T_TraitDi[#Data],COLUMN(T_TraitDi[[#This Row],[CP1]]),FALSE),"")</f>
        <v/>
      </c>
      <c r="BW26" s="173" t="str">
        <f>IFERROR(VLOOKUP($A26,T_TraitDi[#Data],COLUMN(T_TraitDi[[#This Row],[VILLE1]]),FALSE),"")</f>
        <v/>
      </c>
      <c r="BX26" s="182" t="str">
        <f>IFERROR(VLOOKUP(VLOOKUP($A26,T_TraitDi[#Data],COLUMN(T_TraitDi[[#This Row],[Type2]]),FALSE),TypeTW,2,FALSE),"")</f>
        <v/>
      </c>
      <c r="BY26" s="182" t="str">
        <f>IFERROR(VLOOKUP($A26,T_TraitDi[#Data],COLUMN(T_TraitDi[[#This Row],[Rue2]]),FALSE),"")</f>
        <v/>
      </c>
      <c r="BZ26" s="173" t="str">
        <f>IFERROR(VLOOKUP($A26,T_TraitDi[#Data],COLUMN(T_TraitDi[[#This Row],[CP2]]),FALSE),"")</f>
        <v/>
      </c>
      <c r="CA26" s="173" t="str">
        <f>IFERROR(VLOOKUP($A26,T_TraitDi[#Data],COLUMN(T_TraitDi[[#This Row],[VILLE2]]),FALSE),"")</f>
        <v/>
      </c>
      <c r="CB26" s="182" t="str">
        <f>IF(VLOOKUP(T_BilanSocial[[#This Row],[NumL]],T_Equipement[#Data],COLUMN(T_Equipement[[#This Row],[PC]]),FALSE)="","Aucun équipement spécifique directement lié au télétravail",VLOOKUP(T_BilanSocial[[#This Row],[NumL]],T_Equipement[#Data],COLUMN(T_Equipement[[#This Row],[PC]]),FALSE))</f>
        <v xml:space="preserve">15-268	</v>
      </c>
      <c r="CC26" s="166" t="str">
        <f>IFERROR(IF(VLOOKUP(T_BilanSocial[[#This Row],[NumL]],T_TraitDi[#Data],COLUMN(T_TraitDi[[#This Row],[Plan]]),FALSE)="OK","Un planning spécifique de télétravail est annexé à la présente convention.",""),"")</f>
        <v/>
      </c>
      <c r="CD26" s="258" t="s">
        <v>3366</v>
      </c>
      <c r="CE26" s="164" t="e">
        <f>IF(VLOOKUP(T_BilanSocial[[#This Row],[NumL]],T_suiviDi[#Data],COLUMN(T_suiviDi[[#This Row],[Entité]]),FALSE)="","",VLOOKUP(T_BilanSocial[[#This Row],[NumL]],T_suiviDi[#Data],COLUMN(T_suiviDi[[#This Row],[Entité]]),FALSE))</f>
        <v>#N/A</v>
      </c>
      <c r="CF26" s="164" t="str">
        <f>IF(VLOOKUP(T_BilanSocial[[#This Row],[NumL]],T_Commission[#Data],COLUMN(T_Commission[[#This Row],[envoi confirm TW]]),FALSE)="","",VLOOKUP(T_BilanSocial[[#This Row],[NumL]],T_Commission[#Data],COLUMN(T_Commission[[#This Row],[envoi confirm TW]]),FALSE))</f>
        <v>Oui</v>
      </c>
      <c r="CG2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 s="262" t="str">
        <f>T_BilanSocial[[#This Row],[Nom]]&amp;T_BilanSocial[[#This Row],[Prenom]]</f>
        <v/>
      </c>
      <c r="CI26" s="262">
        <f>VLOOKUP(T_BilanSocial[[#This Row],[NumL]],T_Commission[#Data],COLUMN(T_Commission[Commentaire]),FALSE)</f>
        <v>0</v>
      </c>
      <c r="CJ26" s="262" t="str">
        <f>IF(VLOOKUP(T_BilanSocial[[#This Row],[NumL]],T_Commission[#Data],COLUMN(T_Commission[Encadrant Email]),FALSE)="","",VLOOKUP(T_BilanSocial[[#This Row],[NumL]],T_Commission[#Data],COLUMN(T_Commission[Encadrant Email]),FALSE))</f>
        <v/>
      </c>
      <c r="CK26" s="340" t="str">
        <f>IF(T_BilanSocial[[#This Row],[Final]]&lt;&gt;"",VLOOKUP(T_BilanSocial[[#This Row],[NumL]],T_suiviDi[#Data],COLUMN((T_suiviDi[Statut])),FALSE),"")</f>
        <v/>
      </c>
    </row>
    <row r="27" spans="1:89" s="106" customFormat="1" ht="24.75" customHeight="1" x14ac:dyDescent="0.25">
      <c r="A27" s="160">
        <v>24</v>
      </c>
      <c r="B27" s="161" t="str">
        <f t="shared" si="0"/>
        <v/>
      </c>
      <c r="C27" s="162" t="s">
        <v>173</v>
      </c>
      <c r="D27" s="95" t="e">
        <f>IF(VLOOKUP(T_BilanSocial[[#This Row],[NumL]],T_TraitDi[#Data],COLUMN(T_TraitDi[[#This Row],[WebC]]),FALSE)="","",VLOOKUP(T_BilanSocial[[#This Row],[NumL]],T_TraitDi[#Data],COLUMN(T_TraitDi[[#This Row],[WebC]]),FALSE))</f>
        <v>#N/A</v>
      </c>
      <c r="E27" s="163" t="str">
        <f t="shared" si="1"/>
        <v>12 janvier 2021</v>
      </c>
      <c r="F27" s="96" t="str">
        <f>IF(T_BilanSocial[[#This Row],[Final]]&lt;&gt;"",VLOOKUP(T_BilanSocial[[#This Row],[NumL]],T_suiviDi[#Data],COLUMN((T_suiviDi[Civ.])),FALSE),"")</f>
        <v/>
      </c>
      <c r="G27" s="96" t="str">
        <f>IF(T_BilanSocial[[#This Row],[Final]]&lt;&gt;"",VLOOKUP(T_BilanSocial[[#This Row],[NumL]],T_suiviDi[#Data],COLUMN((T_suiviDi[Nom])),FALSE),"")</f>
        <v/>
      </c>
      <c r="H27" s="96" t="str">
        <f>IF(T_BilanSocial[[#This Row],[Final]]&lt;&gt;"",VLOOKUP(T_BilanSocial[[#This Row],[NumL]],T_suiviDi[#Data],COLUMN((T_suiviDi[Prénom])),FALSE),"")</f>
        <v/>
      </c>
      <c r="I27" s="96" t="str">
        <f>IFERROR(VLOOKUP(T_BilanSocial[[#This Row],[Zone_Bilan]],T_P_BilanSocial[#Data],COLUMN(T_P_BilanSocial[[#This Row],[Numero_SIHAM]]),FALSE),"")</f>
        <v/>
      </c>
      <c r="J27" s="96" t="str">
        <f>IFERROR(VLOOKUP(T_BilanSocial[[#This Row],[Zone_Bilan]],T_P_BilanSocial[#Data],COLUMN(T_P_BilanSocial[[#This Row],[Sexe]]),FALSE),"")</f>
        <v/>
      </c>
      <c r="K27" s="97" t="str">
        <f>IFERROR(VLOOKUP(T_BilanSocial[[#This Row],[Zone_Bilan]],T_P_BilanSocial[#Data],COLUMN(T_P_BilanSocial[[#This Row],[Categorie]]),FALSE),"")</f>
        <v/>
      </c>
      <c r="L27" s="96" t="str">
        <f>IFERROR(VLOOKUP(T_BilanSocial[[#This Row],[Zone_Bilan]],T_P_BilanSocial[#Data],COLUMN(T_P_BilanSocial[[#This Row],[Statut]]),FALSE),"")</f>
        <v/>
      </c>
      <c r="M27" s="96" t="str">
        <f>IFERROR(VLOOKUP(T_BilanSocial[[#This Row],[Zone_Bilan]],T_P_BilanSocial[#Data],COLUMN(T_P_BilanSocial[[#This Row],[Filiere]]),FALSE),"")</f>
        <v/>
      </c>
      <c r="N27" s="96" t="e">
        <f>VLOOKUP(T_BilanSocial[[#This Row],[NumL]],T_TraitDi[#Data],COLUMN(T_TraitDi[EXP]),FALSE)</f>
        <v>#N/A</v>
      </c>
      <c r="O27" s="96" t="e">
        <f>VLOOKUP(T_BilanSocial[[#This Row],[NumL]],T_TraitDi[#Data],COLUMN(T_TraitDi[FORM]),FALSE)</f>
        <v>#N/A</v>
      </c>
      <c r="P27" s="96" t="str">
        <f>IF(T_BilanSocial[[#This Row],[Final]]&lt;&gt;"",VLOOKUP(T_BilanSocial[[#This Row],[NumL]],T_suiviDi[#Data],COLUMN((T_suiviDi[Email])),FALSE),"")</f>
        <v/>
      </c>
      <c r="Q27" s="164" t="e">
        <f t="shared" si="7"/>
        <v>#N/A</v>
      </c>
      <c r="R27" s="164" t="e">
        <f t="shared" si="8"/>
        <v>#N/A</v>
      </c>
      <c r="S27" s="164" t="e">
        <f>IF(VLOOKUP(T_BilanSocial[[#This Row],[NumL]],T_suiviDi[#Data],COLUMN(T_suiviDi[[#This Row],[Service ]]),FALSE)="","",VLOOKUP(T_BilanSocial[[#This Row],[NumL]],T_suiviDi[#Data],COLUMN(T_suiviDi[[#This Row],[Service ]]),FALSE))</f>
        <v>#N/A</v>
      </c>
      <c r="T27" s="164" t="str">
        <f t="shared" si="2"/>
        <v>01 septembre 2021</v>
      </c>
      <c r="U27" s="164" t="str">
        <f t="shared" si="3"/>
        <v>30 novembre 2021</v>
      </c>
      <c r="V27" s="164" t="str">
        <f t="shared" si="6"/>
        <v>30 novembre 2021</v>
      </c>
      <c r="W27" s="176" t="e">
        <f>IF(VLOOKUP(T_BilanSocial[[#This Row],[NumL]],T_TraitDi[#Data],COLUMN(T_TraitDi[[#This Row],[M1]]),FALSE)="","",VLOOKUP(T_BilanSocial[[#This Row],[NumL]],T_TraitDi[#Data],COLUMN(T_TraitDi[[#This Row],[M1]]),FALSE))</f>
        <v>#N/A</v>
      </c>
      <c r="X27" s="176" t="e">
        <f>IF(VLOOKUP(T_BilanSocial[[#This Row],[NumL]],T_TraitDi[#Data],COLUMN(T_TraitDi[[#This Row],[M2]]),FALSE)="","",VLOOKUP(T_BilanSocial[[#This Row],[NumL]],T_TraitDi[#Data],COLUMN(T_TraitDi[[#This Row],[M2]]),FALSE))</f>
        <v>#N/A</v>
      </c>
      <c r="Y27" s="176" t="e">
        <f>IF(VLOOKUP(T_BilanSocial[[#This Row],[NumL]],T_TraitDi[#Data],COLUMN(T_TraitDi[[#This Row],[M3]]),FALSE)="","",VLOOKUP(T_BilanSocial[[#This Row],[NumL]],T_TraitDi[#Data],COLUMN(T_TraitDi[[#This Row],[M3]]),FALSE))</f>
        <v>#N/A</v>
      </c>
      <c r="Z27" s="176" t="str">
        <f t="shared" si="5"/>
        <v/>
      </c>
      <c r="AA27" s="176" t="e">
        <f>IF(VLOOKUP(T_BilanSocial[[#This Row],[NumL]],T_TraitDi[#Data],COLUMN(T_TraitDi[[#This Row],[M5]]),FALSE)="","",VLOOKUP(T_BilanSocial[[#This Row],[NumL]],T_TraitDi[#Data],COLUMN(T_TraitDi[[#This Row],[M5]]),FALSE))</f>
        <v>#N/A</v>
      </c>
      <c r="AB27" s="176" t="e">
        <f>IF(VLOOKUP(T_BilanSocial[[#This Row],[NumL]],T_TraitDi[#Data],COLUMN(T_TraitDi[[#This Row],[M6]]),FALSE)="","",VLOOKUP(T_BilanSocial[[#This Row],[NumL]],T_TraitDi[#Data],COLUMN(T_TraitDi[[#This Row],[M6]]),FALSE))</f>
        <v>#N/A</v>
      </c>
      <c r="AC27" s="165" t="e">
        <f t="shared" si="4"/>
        <v>#N/A</v>
      </c>
      <c r="AD27" s="188" t="str">
        <f>IFERROR(TEXT(VLOOKUP(T_BilanSocial[[#This Row],[NumL]],T_TraitDi[#Data],COLUMN(T_TraitDi[[#This Row],[Q2]]),FALSE),"###%"),"")</f>
        <v/>
      </c>
      <c r="AE27" s="97" t="e">
        <f>VLOOKUP(T_BilanSocial[[#This Row],[NumL]],T_TraitDi[#Data],COLUMN(T_TraitDi[[#This Row],[Reg Ponct]]),FALSE)</f>
        <v>#N/A</v>
      </c>
      <c r="AF27" s="97" t="e">
        <f>VLOOKUP(T_BilanSocial[NumL],T_TraitDi[#Data],COLUMN(T_TraitDi[[#This Row],[Jours flottants]]),FALSE)</f>
        <v>#N/A</v>
      </c>
      <c r="AG27" s="97" t="str">
        <f>IFERROR(VLOOKUP(T_BilanSocial[[#This Row],[NumL]],T_TraitDi[#Data],COLUMN(T_TraitDi[[#This Row],[Lundi]]),FALSE),"")</f>
        <v/>
      </c>
      <c r="AH27" s="172" t="e">
        <f>IF(VLOOKUP(T_BilanSocial[[#This Row],[NumL]],T_TraitDi[#Data],COLUMN(T_TraitDi[[#This Row],[Colonne3]]),FALSE)=0,"",TEXT(IFERROR(VLOOKUP(T_BilanSocial[[#This Row],[NumL]],T_TraitDi[#Data],COLUMN(T_TraitDi[[#This Row],[Colonne3]]),FALSE),""),"[hh]:mm"))</f>
        <v>#N/A</v>
      </c>
      <c r="AI27" s="172" t="e">
        <f>IF(VLOOKUP(T_BilanSocial[[#This Row],[NumL]],T_TraitDi[#Data],COLUMN(T_TraitDi[[#This Row],[Colonne4]]),FALSE)=0,"",TEXT(IFERROR(VLOOKUP(T_BilanSocial[[#This Row],[NumL]],T_TraitDi[#Data],COLUMN(T_TraitDi[[#This Row],[Colonne4]]),FALSE),""),"[hh]:mm"))</f>
        <v>#N/A</v>
      </c>
      <c r="AJ27" s="172" t="e">
        <f>IF(VLOOKUP(T_BilanSocial[[#This Row],[NumL]],T_TraitDi[#Data],COLUMN(T_TraitDi[[#This Row],[Colonne5]]),FALSE)=0,"",TEXT(IFERROR(VLOOKUP(T_BilanSocial[[#This Row],[NumL]],T_TraitDi[#Data],COLUMN(T_TraitDi[[#This Row],[Colonne5]]),FALSE),""),"[hh]:mm"))</f>
        <v>#N/A</v>
      </c>
      <c r="AK27" s="172" t="e">
        <f>IF(VLOOKUP(T_BilanSocial[[#This Row],[NumL]],T_TraitDi[#Data],COLUMN(T_TraitDi[[#This Row],[Colonne6]]),FALSE)=0,"",TEXT(IFERROR(VLOOKUP(T_BilanSocial[[#This Row],[NumL]],T_TraitDi[#Data],COLUMN(T_TraitDi[[#This Row],[Colonne6]]),FALSE),""),"[hh]:mm"))</f>
        <v>#N/A</v>
      </c>
      <c r="AL27" s="172" t="e">
        <f>IF(VLOOKUP(T_BilanSocial[[#This Row],[NumL]],T_TraitDi[#Data],COLUMN(T_TraitDi[[#This Row],[Colonne7]]),FALSE)=0,"",TEXT(IFERROR(VLOOKUP(T_BilanSocial[[#This Row],[NumL]],T_TraitDi[#Data],COLUMN(T_TraitDi[[#This Row],[Colonne7]]),FALSE),""),"[hh]:mm"))</f>
        <v>#N/A</v>
      </c>
      <c r="AM27" s="172" t="e">
        <f>IF(VLOOKUP(T_BilanSocial[[#This Row],[NumL]],T_TraitDi[#Data],COLUMN(T_TraitDi[[#This Row],[Colonne8]]),FALSE)=0,"",TEXT(IFERROR(VLOOKUP(T_BilanSocial[[#This Row],[NumL]],T_TraitDi[#Data],COLUMN(T_TraitDi[[#This Row],[Colonne8]]),FALSE),""),"[hh]:mm"))</f>
        <v>#N/A</v>
      </c>
      <c r="AN27" s="172" t="str">
        <f>IFERROR(VLOOKUP(T_BilanSocial[[#This Row],[NumL]],T_TraitDi[#Data],COLUMN(T_TraitDi[[#This Row],[Mardi]]),FALSE),"")</f>
        <v/>
      </c>
      <c r="AO27" s="172" t="e">
        <f>IF(VLOOKUP(T_BilanSocial[[#This Row],[NumL]],T_TraitDi[#Data],COLUMN(T_TraitDi[[#This Row],[Colonne1]]),FALSE)=0,"",TEXT(IFERROR(VLOOKUP(T_BilanSocial[[#This Row],[NumL]],T_TraitDi[#Data],COLUMN(T_TraitDi[[#This Row],[Colonne1]]),FALSE),""),"[hh]:mm"))</f>
        <v>#N/A</v>
      </c>
      <c r="AP27" s="172" t="e">
        <f>IF(VLOOKUP(T_BilanSocial[[#This Row],[NumL]],T_TraitDi[#Data],COLUMN(T_TraitDi[[#This Row],[Colonne9]]),FALSE)=0,"",TEXT(IFERROR(VLOOKUP(T_BilanSocial[[#This Row],[NumL]],T_TraitDi[#Data],COLUMN(T_TraitDi[[#This Row],[Colonne9]]),FALSE),""),"[hh]:mm"))</f>
        <v>#N/A</v>
      </c>
      <c r="AQ27" s="172" t="str">
        <f>IFERROR(VLOOKUP(T_BilanSocial[[#This Row],[NumL]],T_TraitDi[#Data],COLUMN(T_TraitDi[[#This Row],[Colonne10]]),FALSE),"")</f>
        <v/>
      </c>
      <c r="AR27" s="172" t="e">
        <f>IF(VLOOKUP(T_BilanSocial[[#This Row],[NumL]],T_TraitDi[#Data],COLUMN(T_TraitDi[[#This Row],[Colonne11]]),FALSE)=0,"",TEXT(IFERROR(VLOOKUP(T_BilanSocial[[#This Row],[NumL]],T_TraitDi[#Data],COLUMN(T_TraitDi[[#This Row],[Colonne11]]),FALSE),""),"[hh]:mm"))</f>
        <v>#N/A</v>
      </c>
      <c r="AS27" s="172" t="e">
        <f>IF(VLOOKUP(T_BilanSocial[[#This Row],[NumL]],T_TraitDi[#Data],COLUMN(T_TraitDi[[#This Row],[Colonne12]]),FALSE)=0,"",TEXT(IFERROR(VLOOKUP(T_BilanSocial[[#This Row],[NumL]],T_TraitDi[#Data],COLUMN(T_TraitDi[[#This Row],[Colonne12]]),FALSE),""),"[hh]:mm"))</f>
        <v>#N/A</v>
      </c>
      <c r="AT27" s="172" t="e">
        <f>IF(VLOOKUP(T_BilanSocial[[#This Row],[NumL]],T_TraitDi[#Data],COLUMN(T_TraitDi[[#This Row],[Colonne14]]),FALSE)=0,"",TEXT(IFERROR(VLOOKUP(T_BilanSocial[[#This Row],[NumL]],T_TraitDi[#Data],COLUMN(T_TraitDi[[#This Row],[Colonne14]]),FALSE),""),"[hh]:mm"))</f>
        <v>#N/A</v>
      </c>
      <c r="AU27" s="172" t="str">
        <f>IFERROR(VLOOKUP(T_BilanSocial[[#This Row],[NumL]],T_TraitDi[#Data],COLUMN(T_TraitDi[[#This Row],[Mercredi]]),FALSE),"")</f>
        <v/>
      </c>
      <c r="AV27" s="172" t="e">
        <f>IF(VLOOKUP(T_BilanSocial[[#This Row],[NumL]],T_TraitDi[#Data],COLUMN(T_TraitDi[[#This Row],[Colonne15]]),FALSE)=0,"",TEXT(IFERROR(VLOOKUP(T_BilanSocial[[#This Row],[NumL]],T_TraitDi[#Data],COLUMN(T_TraitDi[[#This Row],[Colonne15]]),FALSE),""),"[hh]:mm"))</f>
        <v>#N/A</v>
      </c>
      <c r="AW27" s="172" t="e">
        <f>IF(VLOOKUP(T_BilanSocial[[#This Row],[NumL]],T_TraitDi[#Data],COLUMN(T_TraitDi[[#This Row],[Colonne16]]),FALSE)=0,"",TEXT(IFERROR(VLOOKUP(T_BilanSocial[[#This Row],[NumL]],T_TraitDi[#Data],COLUMN(T_TraitDi[[#This Row],[Colonne16]]),FALSE),""),"[hh]:mm"))</f>
        <v>#N/A</v>
      </c>
      <c r="AX27" s="172" t="str">
        <f>IFERROR(VLOOKUP(T_BilanSocial[[#This Row],[NumL]],T_TraitDi[#Data],COLUMN(T_TraitDi[[#This Row],[Colonne17]]),FALSE),"")</f>
        <v/>
      </c>
      <c r="AY27" s="172" t="e">
        <f>IF(VLOOKUP(T_BilanSocial[[#This Row],[NumL]],T_TraitDi[#Data],COLUMN(T_TraitDi[[#This Row],[Colonne18]]),FALSE)=0,"",TEXT(IFERROR(VLOOKUP(T_BilanSocial[[#This Row],[NumL]],T_TraitDi[#Data],COLUMN(T_TraitDi[[#This Row],[Colonne18]]),FALSE),""),"[hh]:mm"))</f>
        <v>#N/A</v>
      </c>
      <c r="AZ27" s="172" t="e">
        <f>IF(VLOOKUP(T_BilanSocial[[#This Row],[NumL]],T_TraitDi[#Data],COLUMN(T_TraitDi[[#This Row],[Colonne19]]),FALSE)=0,"",TEXT(IFERROR(VLOOKUP(T_BilanSocial[[#This Row],[NumL]],T_TraitDi[#Data],COLUMN(T_TraitDi[[#This Row],[Colonne19]]),FALSE),""),"[hh]:mm"))</f>
        <v>#N/A</v>
      </c>
      <c r="BA27" s="172" t="e">
        <f>IF(VLOOKUP(T_BilanSocial[[#This Row],[NumL]],T_TraitDi[#Data],COLUMN(T_TraitDi[[#This Row],[Colonne20]]),FALSE)=0,"",TEXT(IFERROR(VLOOKUP(T_BilanSocial[[#This Row],[NumL]],T_TraitDi[#Data],COLUMN(T_TraitDi[[#This Row],[Colonne20]]),FALSE),""),"[hh]:mm"))</f>
        <v>#N/A</v>
      </c>
      <c r="BB27" s="178" t="str">
        <f>IFERROR(VLOOKUP(T_BilanSocial[[#This Row],[NumL]],T_TraitDi[#Data],COLUMN(T_TraitDi[[#This Row],[Jeudi]]),FALSE),"")</f>
        <v/>
      </c>
      <c r="BC27" s="178" t="e">
        <f>IF(VLOOKUP(T_BilanSocial[[#This Row],[NumL]],T_TraitDi[#Data],COLUMN(T_TraitDi[[#This Row],[Colonne21]]),FALSE)=0,"",TEXT(IFERROR(VLOOKUP(T_BilanSocial[[#This Row],[NumL]],T_TraitDi[#Data],COLUMN(T_TraitDi[[#This Row],[Colonne21]]),FALSE),""),"[hh]:mm"))</f>
        <v>#N/A</v>
      </c>
      <c r="BD27" s="178" t="e">
        <f>IF(VLOOKUP(T_BilanSocial[[#This Row],[NumL]],T_TraitDi[#Data],COLUMN(T_TraitDi[[#This Row],[Colonne22]]),FALSE)=0,"",TEXT(IFERROR(VLOOKUP(T_BilanSocial[[#This Row],[NumL]],T_TraitDi[#Data],COLUMN(T_TraitDi[[#This Row],[Colonne22]]),FALSE),""),"[hh]:mm"))</f>
        <v>#N/A</v>
      </c>
      <c r="BE27" s="178" t="str">
        <f>IFERROR(VLOOKUP(T_BilanSocial[[#This Row],[NumL]],T_TraitDi[#Data],COLUMN(T_TraitDi[[#This Row],[Colonne23]]),FALSE),"")</f>
        <v/>
      </c>
      <c r="BF27" s="178" t="e">
        <f>IF(VLOOKUP(T_BilanSocial[[#This Row],[NumL]],T_TraitDi[#Data],COLUMN(T_TraitDi[[#This Row],[Colonne24]]),FALSE)=0,"",TEXT(IFERROR(VLOOKUP(T_BilanSocial[[#This Row],[NumL]],T_TraitDi[#Data],COLUMN(T_TraitDi[[#This Row],[Colonne24]]),FALSE),""),"[hh]:mm"))</f>
        <v>#N/A</v>
      </c>
      <c r="BG27" s="178" t="e">
        <f>IF(VLOOKUP(T_BilanSocial[[#This Row],[NumL]],T_TraitDi[#Data],COLUMN(T_TraitDi[[#This Row],[Colonne25]]),FALSE)=0,"",TEXT(IFERROR(VLOOKUP(T_BilanSocial[[#This Row],[NumL]],T_TraitDi[#Data],COLUMN(T_TraitDi[[#This Row],[Colonne25]]),FALSE),""),"[hh]:mm"))</f>
        <v>#N/A</v>
      </c>
      <c r="BH27" s="178" t="e">
        <f>IF(VLOOKUP(T_BilanSocial[[#This Row],[NumL]],T_TraitDi[#Data],COLUMN(T_TraitDi[[#This Row],[Colonne26]]),FALSE)=0,"",TEXT(IFERROR(VLOOKUP(T_BilanSocial[[#This Row],[NumL]],T_TraitDi[#Data],COLUMN(T_TraitDi[[#This Row],[Colonne26]]),FALSE),""),"[hh]:mm"))</f>
        <v>#N/A</v>
      </c>
      <c r="BI27" s="172" t="str">
        <f>IFERROR(VLOOKUP(T_BilanSocial[[#This Row],[NumL]],T_TraitDi[#Data],COLUMN(T_TraitDi[[#This Row],[Vendredi]]),FALSE),"")</f>
        <v/>
      </c>
      <c r="BJ27" s="172" t="e">
        <f>IF(VLOOKUP(T_BilanSocial[[#This Row],[NumL]],T_TraitDi[#Data],COLUMN(T_TraitDi[[#This Row],[Colonne27]]),FALSE)=0,"",TEXT(IFERROR(VLOOKUP(T_BilanSocial[[#This Row],[NumL]],T_TraitDi[#Data],COLUMN(T_TraitDi[[#This Row],[Colonne27]]),FALSE),""),"[hh]:mm"))</f>
        <v>#N/A</v>
      </c>
      <c r="BK27" s="172" t="e">
        <f>IF(VLOOKUP(T_BilanSocial[[#This Row],[NumL]],T_TraitDi[#Data],COLUMN(T_TraitDi[[#This Row],[Colonne28]]),FALSE)=0,"",TEXT(IFERROR(VLOOKUP(T_BilanSocial[[#This Row],[NumL]],T_TraitDi[#Data],COLUMN(T_TraitDi[[#This Row],[Colonne28]]),FALSE),""),"[hh]:mm"))</f>
        <v>#N/A</v>
      </c>
      <c r="BL27" s="172" t="str">
        <f>IFERROR(VLOOKUP(T_BilanSocial[[#This Row],[NumL]],T_TraitDi[#Data],COLUMN(T_TraitDi[[#This Row],[Colonne29]]),FALSE),"")</f>
        <v/>
      </c>
      <c r="BM27" s="172" t="e">
        <f>IF(VLOOKUP(T_BilanSocial[[#This Row],[NumL]],T_TraitDi[#Data],COLUMN(T_TraitDi[[#This Row],[Colonne30]]),FALSE)=0,"",TEXT(IFERROR(VLOOKUP(T_BilanSocial[[#This Row],[NumL]],T_TraitDi[#Data],COLUMN(T_TraitDi[[#This Row],[Colonne30]]),FALSE),""),"[hh]:mm"))</f>
        <v>#N/A</v>
      </c>
      <c r="BN27" s="172" t="e">
        <f>IF(VLOOKUP(T_BilanSocial[[#This Row],[NumL]],T_TraitDi[#Data],COLUMN(T_TraitDi[[#This Row],[Colonne31]]),FALSE)=0,"",TEXT(IFERROR(VLOOKUP(T_BilanSocial[[#This Row],[NumL]],T_TraitDi[#Data],COLUMN(T_TraitDi[[#This Row],[Colonne31]]),FALSE),""),"[hh]:mm"))</f>
        <v>#N/A</v>
      </c>
      <c r="BO27" s="172" t="e">
        <f>IF(VLOOKUP(T_BilanSocial[[#This Row],[NumL]],T_TraitDi[#Data],COLUMN(T_TraitDi[[#This Row],[Colonne32]]),FALSE)=0,"",TEXT(IFERROR(VLOOKUP(T_BilanSocial[[#This Row],[NumL]],T_TraitDi[#Data],COLUMN(T_TraitDi[[#This Row],[Colonne32]]),FALSE),""),"[hh]:mm"))</f>
        <v>#N/A</v>
      </c>
      <c r="BP27" s="172" t="e">
        <f>VLOOKUP(T_BilanSocial[[#This Row],[NumL]],T_TraitDi[#Data],COLUMN(T_TraitDi[NbJTot]),FALSE)</f>
        <v>#N/A</v>
      </c>
      <c r="BQ27" s="174" t="str">
        <f>IFERROR(VLOOKUP(T_BilanSocial[[#This Row],[NumL]],T_TraitDi[#Data],COLUMN(T_TraitDi[[#This Row],[NbJTW]]),FALSE),"")</f>
        <v/>
      </c>
      <c r="BR27" s="174" t="e">
        <f>IF(VLOOKUP(T_BilanSocial[[#This Row],[NumL]],T_TraitDi[#Data],COLUMN(T_TraitDi[[#This Row],[NbhTW]]),FALSE)=0,"",TEXT(IFERROR(VLOOKUP(T_BilanSocial[[#This Row],[NumL]],T_TraitDi[#Data],COLUMN(T_TraitDi[[#This Row],[NbhTW]]),FALSE),""),"[hh]:mm"))</f>
        <v>#N/A</v>
      </c>
      <c r="BS27" s="174" t="e">
        <f>IF(VLOOKUP(T_BilanSocial[[#This Row],[NumL]],T_TraitDi[#Data],COLUMN(T_TraitDi[[#This Row],[Nbhheb]]),FALSE)=0,"",TEXT(IFERROR(VLOOKUP($A27,T_TraitDi[#Data],COLUMN(T_TraitDi[[#This Row],[Nbhheb]]),FALSE),""),"[hh]:mm"))</f>
        <v>#N/A</v>
      </c>
      <c r="BT27" s="182" t="str">
        <f>IFERROR(VLOOKUP(VLOOKUP($A27,T_TraitDi[#Data],COLUMN(T_TraitDi[[#This Row],[Type1]]),FALSE),TypeTW,2,FALSE),"")</f>
        <v/>
      </c>
      <c r="BU27" s="182" t="str">
        <f>IFERROR(VLOOKUP($A27,T_TraitDi[#Data],COLUMN(T_TraitDi[[#This Row],[Rue1]]),FALSE),"")</f>
        <v/>
      </c>
      <c r="BV27" s="173" t="str">
        <f>IFERROR(VLOOKUP($A27,T_TraitDi[#Data],COLUMN(T_TraitDi[[#This Row],[CP1]]),FALSE),"")</f>
        <v/>
      </c>
      <c r="BW27" s="173" t="str">
        <f>IFERROR(VLOOKUP($A27,T_TraitDi[#Data],COLUMN(T_TraitDi[[#This Row],[VILLE1]]),FALSE),"")</f>
        <v/>
      </c>
      <c r="BX27" s="182" t="str">
        <f>IFERROR(VLOOKUP(VLOOKUP($A27,T_TraitDi[#Data],COLUMN(T_TraitDi[[#This Row],[Type2]]),FALSE),TypeTW,2,FALSE),"")</f>
        <v/>
      </c>
      <c r="BY27" s="182" t="str">
        <f>IFERROR(VLOOKUP($A27,T_TraitDi[#Data],COLUMN(T_TraitDi[[#This Row],[Rue2]]),FALSE),"")</f>
        <v/>
      </c>
      <c r="BZ27" s="173" t="str">
        <f>IFERROR(VLOOKUP($A27,T_TraitDi[#Data],COLUMN(T_TraitDi[[#This Row],[CP2]]),FALSE),"")</f>
        <v/>
      </c>
      <c r="CA27" s="173" t="str">
        <f>IFERROR(VLOOKUP($A27,T_TraitDi[#Data],COLUMN(T_TraitDi[[#This Row],[VILLE2]]),FALSE),"")</f>
        <v/>
      </c>
      <c r="CB27" s="182" t="str">
        <f>IF(VLOOKUP(T_BilanSocial[[#This Row],[NumL]],T_Equipement[#Data],COLUMN(T_Equipement[[#This Row],[PC]]),FALSE)="","Aucun équipement spécifique directement lié au télétravail",VLOOKUP(T_BilanSocial[[#This Row],[NumL]],T_Equipement[#Data],COLUMN(T_Equipement[[#This Row],[PC]]),FALSE))</f>
        <v xml:space="preserve">20-122	</v>
      </c>
      <c r="CC27" s="166" t="str">
        <f>IFERROR(IF(VLOOKUP(T_BilanSocial[[#This Row],[NumL]],T_TraitDi[#Data],COLUMN(T_TraitDi[[#This Row],[Plan]]),FALSE)="OK","Un planning spécifique de télétravail est annexé à la présente convention.",""),"")</f>
        <v/>
      </c>
      <c r="CD27" s="258" t="s">
        <v>3291</v>
      </c>
      <c r="CE27" s="164" t="e">
        <f>IF(VLOOKUP(T_BilanSocial[[#This Row],[NumL]],T_suiviDi[#Data],COLUMN(T_suiviDi[[#This Row],[Entité]]),FALSE)="","",VLOOKUP(T_BilanSocial[[#This Row],[NumL]],T_suiviDi[#Data],COLUMN(T_suiviDi[[#This Row],[Entité]]),FALSE))</f>
        <v>#N/A</v>
      </c>
      <c r="CF27" s="164" t="str">
        <f>IF(VLOOKUP(T_BilanSocial[[#This Row],[NumL]],T_Commission[#Data],COLUMN(T_Commission[[#This Row],[envoi confirm TW]]),FALSE)="","",VLOOKUP(T_BilanSocial[[#This Row],[NumL]],T_Commission[#Data],COLUMN(T_Commission[[#This Row],[envoi confirm TW]]),FALSE))</f>
        <v>Oui</v>
      </c>
      <c r="CG2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 s="262" t="str">
        <f>T_BilanSocial[[#This Row],[Nom]]&amp;T_BilanSocial[[#This Row],[Prenom]]</f>
        <v/>
      </c>
      <c r="CI27" s="262">
        <f>VLOOKUP(T_BilanSocial[[#This Row],[NumL]],T_Commission[#Data],COLUMN(T_Commission[Commentaire]),FALSE)</f>
        <v>0</v>
      </c>
      <c r="CJ27" s="262" t="str">
        <f>IF(VLOOKUP(T_BilanSocial[[#This Row],[NumL]],T_Commission[#Data],COLUMN(T_Commission[Encadrant Email]),FALSE)="","",VLOOKUP(T_BilanSocial[[#This Row],[NumL]],T_Commission[#Data],COLUMN(T_Commission[Encadrant Email]),FALSE))</f>
        <v/>
      </c>
      <c r="CK27" s="340" t="str">
        <f>IF(T_BilanSocial[[#This Row],[Final]]&lt;&gt;"",VLOOKUP(T_BilanSocial[[#This Row],[NumL]],T_suiviDi[#Data],COLUMN((T_suiviDi[Statut])),FALSE),"")</f>
        <v/>
      </c>
    </row>
    <row r="28" spans="1:89" s="106" customFormat="1" ht="24.75" customHeight="1" x14ac:dyDescent="0.25">
      <c r="A28" s="160">
        <v>25</v>
      </c>
      <c r="B28" s="161" t="str">
        <f t="shared" si="0"/>
        <v/>
      </c>
      <c r="C28" s="162" t="s">
        <v>173</v>
      </c>
      <c r="D28" s="95" t="e">
        <f>IF(VLOOKUP(T_BilanSocial[[#This Row],[NumL]],T_TraitDi[#Data],COLUMN(T_TraitDi[[#This Row],[WebC]]),FALSE)="","",VLOOKUP(T_BilanSocial[[#This Row],[NumL]],T_TraitDi[#Data],COLUMN(T_TraitDi[[#This Row],[WebC]]),FALSE))</f>
        <v>#N/A</v>
      </c>
      <c r="E28" s="163" t="str">
        <f t="shared" si="1"/>
        <v>12 janvier 2021</v>
      </c>
      <c r="F28" s="96" t="str">
        <f>IF(T_BilanSocial[[#This Row],[Final]]&lt;&gt;"",VLOOKUP(T_BilanSocial[[#This Row],[NumL]],T_suiviDi[#Data],COLUMN((T_suiviDi[Civ.])),FALSE),"")</f>
        <v/>
      </c>
      <c r="G28" s="96" t="str">
        <f>IF(T_BilanSocial[[#This Row],[Final]]&lt;&gt;"",VLOOKUP(T_BilanSocial[[#This Row],[NumL]],T_suiviDi[#Data],COLUMN((T_suiviDi[Nom])),FALSE),"")</f>
        <v/>
      </c>
      <c r="H28" s="96" t="str">
        <f>IF(T_BilanSocial[[#This Row],[Final]]&lt;&gt;"",VLOOKUP(T_BilanSocial[[#This Row],[NumL]],T_suiviDi[#Data],COLUMN((T_suiviDi[Prénom])),FALSE),"")</f>
        <v/>
      </c>
      <c r="I28" s="96" t="str">
        <f>IFERROR(VLOOKUP(T_BilanSocial[[#This Row],[Zone_Bilan]],T_P_BilanSocial[#Data],COLUMN(T_P_BilanSocial[[#This Row],[Numero_SIHAM]]),FALSE),"")</f>
        <v/>
      </c>
      <c r="J28" s="96" t="str">
        <f>IFERROR(VLOOKUP(T_BilanSocial[[#This Row],[Zone_Bilan]],T_P_BilanSocial[#Data],COLUMN(T_P_BilanSocial[[#This Row],[Sexe]]),FALSE),"")</f>
        <v/>
      </c>
      <c r="K28" s="97" t="str">
        <f>IFERROR(VLOOKUP(T_BilanSocial[[#This Row],[Zone_Bilan]],T_P_BilanSocial[#Data],COLUMN(T_P_BilanSocial[[#This Row],[Categorie]]),FALSE),"")</f>
        <v/>
      </c>
      <c r="L28" s="96" t="str">
        <f>IFERROR(VLOOKUP(T_BilanSocial[[#This Row],[Zone_Bilan]],T_P_BilanSocial[#Data],COLUMN(T_P_BilanSocial[[#This Row],[Statut]]),FALSE),"")</f>
        <v/>
      </c>
      <c r="M28" s="96" t="str">
        <f>IFERROR(VLOOKUP(T_BilanSocial[[#This Row],[Zone_Bilan]],T_P_BilanSocial[#Data],COLUMN(T_P_BilanSocial[[#This Row],[Filiere]]),FALSE),"")</f>
        <v/>
      </c>
      <c r="N28" s="96" t="e">
        <f>VLOOKUP(T_BilanSocial[[#This Row],[NumL]],T_TraitDi[#Data],COLUMN(T_TraitDi[EXP]),FALSE)</f>
        <v>#N/A</v>
      </c>
      <c r="O28" s="96" t="e">
        <f>VLOOKUP(T_BilanSocial[[#This Row],[NumL]],T_TraitDi[#Data],COLUMN(T_TraitDi[FORM]),FALSE)</f>
        <v>#N/A</v>
      </c>
      <c r="P28" s="96" t="str">
        <f>IF(T_BilanSocial[[#This Row],[Final]]&lt;&gt;"",VLOOKUP(T_BilanSocial[[#This Row],[NumL]],T_suiviDi[#Data],COLUMN((T_suiviDi[Email])),FALSE),"")</f>
        <v/>
      </c>
      <c r="Q28" s="164" t="e">
        <f t="shared" si="7"/>
        <v>#N/A</v>
      </c>
      <c r="R28" s="164" t="e">
        <f t="shared" si="8"/>
        <v>#N/A</v>
      </c>
      <c r="S28" s="164" t="e">
        <f>IF(VLOOKUP(T_BilanSocial[[#This Row],[NumL]],T_suiviDi[#Data],COLUMN(T_suiviDi[[#This Row],[Service ]]),FALSE)="","",VLOOKUP(T_BilanSocial[[#This Row],[NumL]],T_suiviDi[#Data],COLUMN(T_suiviDi[[#This Row],[Service ]]),FALSE))</f>
        <v>#N/A</v>
      </c>
      <c r="T28" s="164" t="str">
        <f t="shared" si="2"/>
        <v>01 septembre 2021</v>
      </c>
      <c r="U28" s="164" t="str">
        <f t="shared" si="3"/>
        <v>30 novembre 2021</v>
      </c>
      <c r="V28" s="164" t="str">
        <f t="shared" si="6"/>
        <v>30 novembre 2021</v>
      </c>
      <c r="W28" s="176" t="e">
        <f>IF(VLOOKUP(T_BilanSocial[[#This Row],[NumL]],T_TraitDi[#Data],COLUMN(T_TraitDi[[#This Row],[M1]]),FALSE)="","",VLOOKUP(T_BilanSocial[[#This Row],[NumL]],T_TraitDi[#Data],COLUMN(T_TraitDi[[#This Row],[M1]]),FALSE))</f>
        <v>#N/A</v>
      </c>
      <c r="X28" s="176" t="e">
        <f>IF(VLOOKUP(T_BilanSocial[[#This Row],[NumL]],T_TraitDi[#Data],COLUMN(T_TraitDi[[#This Row],[M2]]),FALSE)="","",VLOOKUP(T_BilanSocial[[#This Row],[NumL]],T_TraitDi[#Data],COLUMN(T_TraitDi[[#This Row],[M2]]),FALSE))</f>
        <v>#N/A</v>
      </c>
      <c r="Y28" s="176" t="e">
        <f>IF(VLOOKUP(T_BilanSocial[[#This Row],[NumL]],T_TraitDi[#Data],COLUMN(T_TraitDi[[#This Row],[M3]]),FALSE)="","",VLOOKUP(T_BilanSocial[[#This Row],[NumL]],T_TraitDi[#Data],COLUMN(T_TraitDi[[#This Row],[M3]]),FALSE))</f>
        <v>#N/A</v>
      </c>
      <c r="Z28" s="176" t="str">
        <f t="shared" si="5"/>
        <v/>
      </c>
      <c r="AA28" s="176" t="e">
        <f>IF(VLOOKUP(T_BilanSocial[[#This Row],[NumL]],T_TraitDi[#Data],COLUMN(T_TraitDi[[#This Row],[M5]]),FALSE)="","",VLOOKUP(T_BilanSocial[[#This Row],[NumL]],T_TraitDi[#Data],COLUMN(T_TraitDi[[#This Row],[M5]]),FALSE))</f>
        <v>#N/A</v>
      </c>
      <c r="AB28" s="176" t="e">
        <f>IF(VLOOKUP(T_BilanSocial[[#This Row],[NumL]],T_TraitDi[#Data],COLUMN(T_TraitDi[[#This Row],[M6]]),FALSE)="","",VLOOKUP(T_BilanSocial[[#This Row],[NumL]],T_TraitDi[#Data],COLUMN(T_TraitDi[[#This Row],[M6]]),FALSE))</f>
        <v>#N/A</v>
      </c>
      <c r="AC28" s="165" t="e">
        <f t="shared" si="4"/>
        <v>#N/A</v>
      </c>
      <c r="AD28" s="188" t="str">
        <f>IFERROR(TEXT(VLOOKUP(T_BilanSocial[[#This Row],[NumL]],T_TraitDi[#Data],COLUMN(T_TraitDi[[#This Row],[Q2]]),FALSE),"###%"),"")</f>
        <v/>
      </c>
      <c r="AE28" s="97" t="e">
        <f>VLOOKUP(T_BilanSocial[[#This Row],[NumL]],T_TraitDi[#Data],COLUMN(T_TraitDi[[#This Row],[Reg Ponct]]),FALSE)</f>
        <v>#N/A</v>
      </c>
      <c r="AF28" s="97" t="e">
        <f>VLOOKUP(T_BilanSocial[NumL],T_TraitDi[#Data],COLUMN(T_TraitDi[[#This Row],[Jours flottants]]),FALSE)</f>
        <v>#N/A</v>
      </c>
      <c r="AG28" s="97" t="str">
        <f>IFERROR(VLOOKUP(T_BilanSocial[[#This Row],[NumL]],T_TraitDi[#Data],COLUMN(T_TraitDi[[#This Row],[Lundi]]),FALSE),"")</f>
        <v/>
      </c>
      <c r="AH28" s="172" t="e">
        <f>IF(VLOOKUP(T_BilanSocial[[#This Row],[NumL]],T_TraitDi[#Data],COLUMN(T_TraitDi[[#This Row],[Colonne3]]),FALSE)=0,"",TEXT(IFERROR(VLOOKUP(T_BilanSocial[[#This Row],[NumL]],T_TraitDi[#Data],COLUMN(T_TraitDi[[#This Row],[Colonne3]]),FALSE),""),"[hh]:mm"))</f>
        <v>#N/A</v>
      </c>
      <c r="AI28" s="172" t="e">
        <f>IF(VLOOKUP(T_BilanSocial[[#This Row],[NumL]],T_TraitDi[#Data],COLUMN(T_TraitDi[[#This Row],[Colonne4]]),FALSE)=0,"",TEXT(IFERROR(VLOOKUP(T_BilanSocial[[#This Row],[NumL]],T_TraitDi[#Data],COLUMN(T_TraitDi[[#This Row],[Colonne4]]),FALSE),""),"[hh]:mm"))</f>
        <v>#N/A</v>
      </c>
      <c r="AJ28" s="172" t="e">
        <f>IF(VLOOKUP(T_BilanSocial[[#This Row],[NumL]],T_TraitDi[#Data],COLUMN(T_TraitDi[[#This Row],[Colonne5]]),FALSE)=0,"",TEXT(IFERROR(VLOOKUP(T_BilanSocial[[#This Row],[NumL]],T_TraitDi[#Data],COLUMN(T_TraitDi[[#This Row],[Colonne5]]),FALSE),""),"[hh]:mm"))</f>
        <v>#N/A</v>
      </c>
      <c r="AK28" s="172" t="e">
        <f>IF(VLOOKUP(T_BilanSocial[[#This Row],[NumL]],T_TraitDi[#Data],COLUMN(T_TraitDi[[#This Row],[Colonne6]]),FALSE)=0,"",TEXT(IFERROR(VLOOKUP(T_BilanSocial[[#This Row],[NumL]],T_TraitDi[#Data],COLUMN(T_TraitDi[[#This Row],[Colonne6]]),FALSE),""),"[hh]:mm"))</f>
        <v>#N/A</v>
      </c>
      <c r="AL28" s="172" t="e">
        <f>IF(VLOOKUP(T_BilanSocial[[#This Row],[NumL]],T_TraitDi[#Data],COLUMN(T_TraitDi[[#This Row],[Colonne7]]),FALSE)=0,"",TEXT(IFERROR(VLOOKUP(T_BilanSocial[[#This Row],[NumL]],T_TraitDi[#Data],COLUMN(T_TraitDi[[#This Row],[Colonne7]]),FALSE),""),"[hh]:mm"))</f>
        <v>#N/A</v>
      </c>
      <c r="AM28" s="172" t="e">
        <f>IF(VLOOKUP(T_BilanSocial[[#This Row],[NumL]],T_TraitDi[#Data],COLUMN(T_TraitDi[[#This Row],[Colonne8]]),FALSE)=0,"",TEXT(IFERROR(VLOOKUP(T_BilanSocial[[#This Row],[NumL]],T_TraitDi[#Data],COLUMN(T_TraitDi[[#This Row],[Colonne8]]),FALSE),""),"[hh]:mm"))</f>
        <v>#N/A</v>
      </c>
      <c r="AN28" s="172" t="str">
        <f>IFERROR(VLOOKUP(T_BilanSocial[[#This Row],[NumL]],T_TraitDi[#Data],COLUMN(T_TraitDi[[#This Row],[Mardi]]),FALSE),"")</f>
        <v/>
      </c>
      <c r="AO28" s="172" t="e">
        <f>IF(VLOOKUP(T_BilanSocial[[#This Row],[NumL]],T_TraitDi[#Data],COLUMN(T_TraitDi[[#This Row],[Colonne1]]),FALSE)=0,"",TEXT(IFERROR(VLOOKUP(T_BilanSocial[[#This Row],[NumL]],T_TraitDi[#Data],COLUMN(T_TraitDi[[#This Row],[Colonne1]]),FALSE),""),"[hh]:mm"))</f>
        <v>#N/A</v>
      </c>
      <c r="AP28" s="172" t="e">
        <f>IF(VLOOKUP(T_BilanSocial[[#This Row],[NumL]],T_TraitDi[#Data],COLUMN(T_TraitDi[[#This Row],[Colonne9]]),FALSE)=0,"",TEXT(IFERROR(VLOOKUP(T_BilanSocial[[#This Row],[NumL]],T_TraitDi[#Data],COLUMN(T_TraitDi[[#This Row],[Colonne9]]),FALSE),""),"[hh]:mm"))</f>
        <v>#N/A</v>
      </c>
      <c r="AQ28" s="172" t="str">
        <f>IFERROR(VLOOKUP(T_BilanSocial[[#This Row],[NumL]],T_TraitDi[#Data],COLUMN(T_TraitDi[[#This Row],[Colonne10]]),FALSE),"")</f>
        <v/>
      </c>
      <c r="AR28" s="172" t="e">
        <f>IF(VLOOKUP(T_BilanSocial[[#This Row],[NumL]],T_TraitDi[#Data],COLUMN(T_TraitDi[[#This Row],[Colonne11]]),FALSE)=0,"",TEXT(IFERROR(VLOOKUP(T_BilanSocial[[#This Row],[NumL]],T_TraitDi[#Data],COLUMN(T_TraitDi[[#This Row],[Colonne11]]),FALSE),""),"[hh]:mm"))</f>
        <v>#N/A</v>
      </c>
      <c r="AS28" s="172" t="e">
        <f>IF(VLOOKUP(T_BilanSocial[[#This Row],[NumL]],T_TraitDi[#Data],COLUMN(T_TraitDi[[#This Row],[Colonne12]]),FALSE)=0,"",TEXT(IFERROR(VLOOKUP(T_BilanSocial[[#This Row],[NumL]],T_TraitDi[#Data],COLUMN(T_TraitDi[[#This Row],[Colonne12]]),FALSE),""),"[hh]:mm"))</f>
        <v>#N/A</v>
      </c>
      <c r="AT28" s="172" t="e">
        <f>IF(VLOOKUP(T_BilanSocial[[#This Row],[NumL]],T_TraitDi[#Data],COLUMN(T_TraitDi[[#This Row],[Colonne14]]),FALSE)=0,"",TEXT(IFERROR(VLOOKUP(T_BilanSocial[[#This Row],[NumL]],T_TraitDi[#Data],COLUMN(T_TraitDi[[#This Row],[Colonne14]]),FALSE),""),"[hh]:mm"))</f>
        <v>#N/A</v>
      </c>
      <c r="AU28" s="172" t="str">
        <f>IFERROR(VLOOKUP(T_BilanSocial[[#This Row],[NumL]],T_TraitDi[#Data],COLUMN(T_TraitDi[[#This Row],[Mercredi]]),FALSE),"")</f>
        <v/>
      </c>
      <c r="AV28" s="172" t="e">
        <f>IF(VLOOKUP(T_BilanSocial[[#This Row],[NumL]],T_TraitDi[#Data],COLUMN(T_TraitDi[[#This Row],[Colonne15]]),FALSE)=0,"",TEXT(IFERROR(VLOOKUP(T_BilanSocial[[#This Row],[NumL]],T_TraitDi[#Data],COLUMN(T_TraitDi[[#This Row],[Colonne15]]),FALSE),""),"[hh]:mm"))</f>
        <v>#N/A</v>
      </c>
      <c r="AW28" s="172" t="e">
        <f>IF(VLOOKUP(T_BilanSocial[[#This Row],[NumL]],T_TraitDi[#Data],COLUMN(T_TraitDi[[#This Row],[Colonne16]]),FALSE)=0,"",TEXT(IFERROR(VLOOKUP(T_BilanSocial[[#This Row],[NumL]],T_TraitDi[#Data],COLUMN(T_TraitDi[[#This Row],[Colonne16]]),FALSE),""),"[hh]:mm"))</f>
        <v>#N/A</v>
      </c>
      <c r="AX28" s="172" t="str">
        <f>IFERROR(VLOOKUP(T_BilanSocial[[#This Row],[NumL]],T_TraitDi[#Data],COLUMN(T_TraitDi[[#This Row],[Colonne17]]),FALSE),"")</f>
        <v/>
      </c>
      <c r="AY28" s="172" t="e">
        <f>IF(VLOOKUP(T_BilanSocial[[#This Row],[NumL]],T_TraitDi[#Data],COLUMN(T_TraitDi[[#This Row],[Colonne18]]),FALSE)=0,"",TEXT(IFERROR(VLOOKUP(T_BilanSocial[[#This Row],[NumL]],T_TraitDi[#Data],COLUMN(T_TraitDi[[#This Row],[Colonne18]]),FALSE),""),"[hh]:mm"))</f>
        <v>#N/A</v>
      </c>
      <c r="AZ28" s="172" t="e">
        <f>IF(VLOOKUP(T_BilanSocial[[#This Row],[NumL]],T_TraitDi[#Data],COLUMN(T_TraitDi[[#This Row],[Colonne19]]),FALSE)=0,"",TEXT(IFERROR(VLOOKUP(T_BilanSocial[[#This Row],[NumL]],T_TraitDi[#Data],COLUMN(T_TraitDi[[#This Row],[Colonne19]]),FALSE),""),"[hh]:mm"))</f>
        <v>#N/A</v>
      </c>
      <c r="BA28" s="172" t="e">
        <f>IF(VLOOKUP(T_BilanSocial[[#This Row],[NumL]],T_TraitDi[#Data],COLUMN(T_TraitDi[[#This Row],[Colonne20]]),FALSE)=0,"",TEXT(IFERROR(VLOOKUP(T_BilanSocial[[#This Row],[NumL]],T_TraitDi[#Data],COLUMN(T_TraitDi[[#This Row],[Colonne20]]),FALSE),""),"[hh]:mm"))</f>
        <v>#N/A</v>
      </c>
      <c r="BB28" s="178" t="str">
        <f>IFERROR(VLOOKUP(T_BilanSocial[[#This Row],[NumL]],T_TraitDi[#Data],COLUMN(T_TraitDi[[#This Row],[Jeudi]]),FALSE),"")</f>
        <v/>
      </c>
      <c r="BC28" s="178" t="e">
        <f>IF(VLOOKUP(T_BilanSocial[[#This Row],[NumL]],T_TraitDi[#Data],COLUMN(T_TraitDi[[#This Row],[Colonne21]]),FALSE)=0,"",TEXT(IFERROR(VLOOKUP(T_BilanSocial[[#This Row],[NumL]],T_TraitDi[#Data],COLUMN(T_TraitDi[[#This Row],[Colonne21]]),FALSE),""),"[hh]:mm"))</f>
        <v>#N/A</v>
      </c>
      <c r="BD28" s="178" t="e">
        <f>IF(VLOOKUP(T_BilanSocial[[#This Row],[NumL]],T_TraitDi[#Data],COLUMN(T_TraitDi[[#This Row],[Colonne22]]),FALSE)=0,"",TEXT(IFERROR(VLOOKUP(T_BilanSocial[[#This Row],[NumL]],T_TraitDi[#Data],COLUMN(T_TraitDi[[#This Row],[Colonne22]]),FALSE),""),"[hh]:mm"))</f>
        <v>#N/A</v>
      </c>
      <c r="BE28" s="178" t="str">
        <f>IFERROR(VLOOKUP(T_BilanSocial[[#This Row],[NumL]],T_TraitDi[#Data],COLUMN(T_TraitDi[[#This Row],[Colonne23]]),FALSE),"")</f>
        <v/>
      </c>
      <c r="BF28" s="178" t="e">
        <f>IF(VLOOKUP(T_BilanSocial[[#This Row],[NumL]],T_TraitDi[#Data],COLUMN(T_TraitDi[[#This Row],[Colonne24]]),FALSE)=0,"",TEXT(IFERROR(VLOOKUP(T_BilanSocial[[#This Row],[NumL]],T_TraitDi[#Data],COLUMN(T_TraitDi[[#This Row],[Colonne24]]),FALSE),""),"[hh]:mm"))</f>
        <v>#N/A</v>
      </c>
      <c r="BG28" s="178" t="e">
        <f>IF(VLOOKUP(T_BilanSocial[[#This Row],[NumL]],T_TraitDi[#Data],COLUMN(T_TraitDi[[#This Row],[Colonne25]]),FALSE)=0,"",TEXT(IFERROR(VLOOKUP(T_BilanSocial[[#This Row],[NumL]],T_TraitDi[#Data],COLUMN(T_TraitDi[[#This Row],[Colonne25]]),FALSE),""),"[hh]:mm"))</f>
        <v>#N/A</v>
      </c>
      <c r="BH28" s="178" t="e">
        <f>IF(VLOOKUP(T_BilanSocial[[#This Row],[NumL]],T_TraitDi[#Data],COLUMN(T_TraitDi[[#This Row],[Colonne26]]),FALSE)=0,"",TEXT(IFERROR(VLOOKUP(T_BilanSocial[[#This Row],[NumL]],T_TraitDi[#Data],COLUMN(T_TraitDi[[#This Row],[Colonne26]]),FALSE),""),"[hh]:mm"))</f>
        <v>#N/A</v>
      </c>
      <c r="BI28" s="172" t="str">
        <f>IFERROR(VLOOKUP(T_BilanSocial[[#This Row],[NumL]],T_TraitDi[#Data],COLUMN(T_TraitDi[[#This Row],[Vendredi]]),FALSE),"")</f>
        <v/>
      </c>
      <c r="BJ28" s="172" t="e">
        <f>IF(VLOOKUP(T_BilanSocial[[#This Row],[NumL]],T_TraitDi[#Data],COLUMN(T_TraitDi[[#This Row],[Colonne27]]),FALSE)=0,"",TEXT(IFERROR(VLOOKUP(T_BilanSocial[[#This Row],[NumL]],T_TraitDi[#Data],COLUMN(T_TraitDi[[#This Row],[Colonne27]]),FALSE),""),"[hh]:mm"))</f>
        <v>#N/A</v>
      </c>
      <c r="BK28" s="172" t="e">
        <f>IF(VLOOKUP(T_BilanSocial[[#This Row],[NumL]],T_TraitDi[#Data],COLUMN(T_TraitDi[[#This Row],[Colonne28]]),FALSE)=0,"",TEXT(IFERROR(VLOOKUP(T_BilanSocial[[#This Row],[NumL]],T_TraitDi[#Data],COLUMN(T_TraitDi[[#This Row],[Colonne28]]),FALSE),""),"[hh]:mm"))</f>
        <v>#N/A</v>
      </c>
      <c r="BL28" s="172" t="str">
        <f>IFERROR(VLOOKUP(T_BilanSocial[[#This Row],[NumL]],T_TraitDi[#Data],COLUMN(T_TraitDi[[#This Row],[Colonne29]]),FALSE),"")</f>
        <v/>
      </c>
      <c r="BM28" s="172" t="e">
        <f>IF(VLOOKUP(T_BilanSocial[[#This Row],[NumL]],T_TraitDi[#Data],COLUMN(T_TraitDi[[#This Row],[Colonne30]]),FALSE)=0,"",TEXT(IFERROR(VLOOKUP(T_BilanSocial[[#This Row],[NumL]],T_TraitDi[#Data],COLUMN(T_TraitDi[[#This Row],[Colonne30]]),FALSE),""),"[hh]:mm"))</f>
        <v>#N/A</v>
      </c>
      <c r="BN28" s="172" t="e">
        <f>IF(VLOOKUP(T_BilanSocial[[#This Row],[NumL]],T_TraitDi[#Data],COLUMN(T_TraitDi[[#This Row],[Colonne31]]),FALSE)=0,"",TEXT(IFERROR(VLOOKUP(T_BilanSocial[[#This Row],[NumL]],T_TraitDi[#Data],COLUMN(T_TraitDi[[#This Row],[Colonne31]]),FALSE),""),"[hh]:mm"))</f>
        <v>#N/A</v>
      </c>
      <c r="BO28" s="172" t="e">
        <f>IF(VLOOKUP(T_BilanSocial[[#This Row],[NumL]],T_TraitDi[#Data],COLUMN(T_TraitDi[[#This Row],[Colonne32]]),FALSE)=0,"",TEXT(IFERROR(VLOOKUP(T_BilanSocial[[#This Row],[NumL]],T_TraitDi[#Data],COLUMN(T_TraitDi[[#This Row],[Colonne32]]),FALSE),""),"[hh]:mm"))</f>
        <v>#N/A</v>
      </c>
      <c r="BP28" s="172" t="e">
        <f>VLOOKUP(T_BilanSocial[[#This Row],[NumL]],T_TraitDi[#Data],COLUMN(T_TraitDi[NbJTot]),FALSE)</f>
        <v>#N/A</v>
      </c>
      <c r="BQ28" s="174" t="str">
        <f>IFERROR(VLOOKUP(T_BilanSocial[[#This Row],[NumL]],T_TraitDi[#Data],COLUMN(T_TraitDi[[#This Row],[NbJTW]]),FALSE),"")</f>
        <v/>
      </c>
      <c r="BR28" s="174" t="e">
        <f>IF(VLOOKUP(T_BilanSocial[[#This Row],[NumL]],T_TraitDi[#Data],COLUMN(T_TraitDi[[#This Row],[NbhTW]]),FALSE)=0,"",TEXT(IFERROR(VLOOKUP(T_BilanSocial[[#This Row],[NumL]],T_TraitDi[#Data],COLUMN(T_TraitDi[[#This Row],[NbhTW]]),FALSE),""),"[hh]:mm"))</f>
        <v>#N/A</v>
      </c>
      <c r="BS28" s="174" t="e">
        <f>IF(VLOOKUP(T_BilanSocial[[#This Row],[NumL]],T_TraitDi[#Data],COLUMN(T_TraitDi[[#This Row],[Nbhheb]]),FALSE)=0,"",TEXT(IFERROR(VLOOKUP($A28,T_TraitDi[#Data],COLUMN(T_TraitDi[[#This Row],[Nbhheb]]),FALSE),""),"[hh]:mm"))</f>
        <v>#N/A</v>
      </c>
      <c r="BT28" s="182" t="str">
        <f>IFERROR(VLOOKUP(VLOOKUP($A28,T_TraitDi[#Data],COLUMN(T_TraitDi[[#This Row],[Type1]]),FALSE),TypeTW,2,FALSE),"")</f>
        <v/>
      </c>
      <c r="BU28" s="182" t="str">
        <f>IFERROR(VLOOKUP($A28,T_TraitDi[#Data],COLUMN(T_TraitDi[[#This Row],[Rue1]]),FALSE),"")</f>
        <v/>
      </c>
      <c r="BV28" s="173" t="str">
        <f>IFERROR(VLOOKUP($A28,T_TraitDi[#Data],COLUMN(T_TraitDi[[#This Row],[CP1]]),FALSE),"")</f>
        <v/>
      </c>
      <c r="BW28" s="173" t="str">
        <f>IFERROR(VLOOKUP($A28,T_TraitDi[#Data],COLUMN(T_TraitDi[[#This Row],[VILLE1]]),FALSE),"")</f>
        <v/>
      </c>
      <c r="BX28" s="182" t="str">
        <f>IFERROR(VLOOKUP(VLOOKUP($A28,T_TraitDi[#Data],COLUMN(T_TraitDi[[#This Row],[Type2]]),FALSE),TypeTW,2,FALSE),"")</f>
        <v/>
      </c>
      <c r="BY28" s="182" t="str">
        <f>IFERROR(VLOOKUP($A28,T_TraitDi[#Data],COLUMN(T_TraitDi[[#This Row],[Rue2]]),FALSE),"")</f>
        <v/>
      </c>
      <c r="BZ28" s="173" t="str">
        <f>IFERROR(VLOOKUP($A28,T_TraitDi[#Data],COLUMN(T_TraitDi[[#This Row],[CP2]]),FALSE),"")</f>
        <v/>
      </c>
      <c r="CA28" s="173" t="str">
        <f>IFERROR(VLOOKUP($A28,T_TraitDi[#Data],COLUMN(T_TraitDi[[#This Row],[VILLE2]]),FALSE),"")</f>
        <v/>
      </c>
      <c r="CB28" s="182" t="str">
        <f>IF(VLOOKUP(T_BilanSocial[[#This Row],[NumL]],T_Equipement[#Data],COLUMN(T_Equipement[[#This Row],[PC]]),FALSE)="","Aucun équipement spécifique directement lié au télétravail",VLOOKUP(T_BilanSocial[[#This Row],[NumL]],T_Equipement[#Data],COLUMN(T_Equipement[[#This Row],[PC]]),FALSE))</f>
        <v xml:space="preserve">18-022	</v>
      </c>
      <c r="CC28" s="166" t="str">
        <f>IFERROR(IF(VLOOKUP(T_BilanSocial[[#This Row],[NumL]],T_TraitDi[#Data],COLUMN(T_TraitDi[[#This Row],[Plan]]),FALSE)="OK","Un planning spécifique de télétravail est annexé à la présente convention.",""),"")</f>
        <v/>
      </c>
      <c r="CD28" s="258" t="s">
        <v>3328</v>
      </c>
      <c r="CE28" s="164" t="e">
        <f>IF(VLOOKUP(T_BilanSocial[[#This Row],[NumL]],T_suiviDi[#Data],COLUMN(T_suiviDi[[#This Row],[Entité]]),FALSE)="","",VLOOKUP(T_BilanSocial[[#This Row],[NumL]],T_suiviDi[#Data],COLUMN(T_suiviDi[[#This Row],[Entité]]),FALSE))</f>
        <v>#N/A</v>
      </c>
      <c r="CF28" s="164" t="str">
        <f>IF(VLOOKUP(T_BilanSocial[[#This Row],[NumL]],T_Commission[#Data],COLUMN(T_Commission[[#This Row],[envoi confirm TW]]),FALSE)="","",VLOOKUP(T_BilanSocial[[#This Row],[NumL]],T_Commission[#Data],COLUMN(T_Commission[[#This Row],[envoi confirm TW]]),FALSE))</f>
        <v>Oui</v>
      </c>
      <c r="CG2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 s="262" t="str">
        <f>T_BilanSocial[[#This Row],[Nom]]&amp;T_BilanSocial[[#This Row],[Prenom]]</f>
        <v/>
      </c>
      <c r="CI28" s="262">
        <f>VLOOKUP(T_BilanSocial[[#This Row],[NumL]],T_Commission[#Data],COLUMN(T_Commission[Commentaire]),FALSE)</f>
        <v>0</v>
      </c>
      <c r="CJ28" s="262" t="str">
        <f>IF(VLOOKUP(T_BilanSocial[[#This Row],[NumL]],T_Commission[#Data],COLUMN(T_Commission[Encadrant Email]),FALSE)="","",VLOOKUP(T_BilanSocial[[#This Row],[NumL]],T_Commission[#Data],COLUMN(T_Commission[Encadrant Email]),FALSE))</f>
        <v/>
      </c>
      <c r="CK28" s="340" t="str">
        <f>IF(T_BilanSocial[[#This Row],[Final]]&lt;&gt;"",VLOOKUP(T_BilanSocial[[#This Row],[NumL]],T_suiviDi[#Data],COLUMN((T_suiviDi[Statut])),FALSE),"")</f>
        <v/>
      </c>
    </row>
    <row r="29" spans="1:89" s="106" customFormat="1" ht="24.75" customHeight="1" x14ac:dyDescent="0.25">
      <c r="A29" s="160">
        <v>26</v>
      </c>
      <c r="B29" s="161" t="e">
        <f t="shared" si="0"/>
        <v>#N/A</v>
      </c>
      <c r="C29" s="162" t="s">
        <v>173</v>
      </c>
      <c r="D29" s="95" t="e">
        <f>IF(VLOOKUP(T_BilanSocial[[#This Row],[NumL]],T_TraitDi[#Data],COLUMN(T_TraitDi[[#This Row],[WebC]]),FALSE)="","",VLOOKUP(T_BilanSocial[[#This Row],[NumL]],T_TraitDi[#Data],COLUMN(T_TraitDi[[#This Row],[WebC]]),FALSE))</f>
        <v>#N/A</v>
      </c>
      <c r="E29" s="163" t="str">
        <f t="shared" si="1"/>
        <v>12 janvier 2021</v>
      </c>
      <c r="F29" s="96" t="e">
        <f>IF(T_BilanSocial[[#This Row],[Final]]&lt;&gt;"",VLOOKUP(T_BilanSocial[[#This Row],[NumL]],T_suiviDi[#Data],COLUMN((T_suiviDi[Civ.])),FALSE),"")</f>
        <v>#N/A</v>
      </c>
      <c r="G29" s="96" t="e">
        <f>IF(T_BilanSocial[[#This Row],[Final]]&lt;&gt;"",VLOOKUP(T_BilanSocial[[#This Row],[NumL]],T_suiviDi[#Data],COLUMN((T_suiviDi[Nom])),FALSE),"")</f>
        <v>#N/A</v>
      </c>
      <c r="H29" s="96" t="e">
        <f>IF(T_BilanSocial[[#This Row],[Final]]&lt;&gt;"",VLOOKUP(T_BilanSocial[[#This Row],[NumL]],T_suiviDi[#Data],COLUMN((T_suiviDi[Prénom])),FALSE),"")</f>
        <v>#N/A</v>
      </c>
      <c r="I29" s="96" t="str">
        <f>IFERROR(VLOOKUP(T_BilanSocial[[#This Row],[Zone_Bilan]],T_P_BilanSocial[#Data],COLUMN(T_P_BilanSocial[[#This Row],[Numero_SIHAM]]),FALSE),"")</f>
        <v/>
      </c>
      <c r="J29" s="96" t="str">
        <f>IFERROR(VLOOKUP(T_BilanSocial[[#This Row],[Zone_Bilan]],T_P_BilanSocial[#Data],COLUMN(T_P_BilanSocial[[#This Row],[Sexe]]),FALSE),"")</f>
        <v/>
      </c>
      <c r="K29" s="97" t="str">
        <f>IFERROR(VLOOKUP(T_BilanSocial[[#This Row],[Zone_Bilan]],T_P_BilanSocial[#Data],COLUMN(T_P_BilanSocial[[#This Row],[Categorie]]),FALSE),"")</f>
        <v/>
      </c>
      <c r="L29" s="96" t="str">
        <f>IFERROR(VLOOKUP(T_BilanSocial[[#This Row],[Zone_Bilan]],T_P_BilanSocial[#Data],COLUMN(T_P_BilanSocial[[#This Row],[Statut]]),FALSE),"")</f>
        <v/>
      </c>
      <c r="M29" s="96" t="str">
        <f>IFERROR(VLOOKUP(T_BilanSocial[[#This Row],[Zone_Bilan]],T_P_BilanSocial[#Data],COLUMN(T_P_BilanSocial[[#This Row],[Filiere]]),FALSE),"")</f>
        <v/>
      </c>
      <c r="N29" s="96" t="e">
        <f>VLOOKUP(T_BilanSocial[[#This Row],[NumL]],T_TraitDi[#Data],COLUMN(T_TraitDi[EXP]),FALSE)</f>
        <v>#N/A</v>
      </c>
      <c r="O29" s="96" t="e">
        <f>VLOOKUP(T_BilanSocial[[#This Row],[NumL]],T_TraitDi[#Data],COLUMN(T_TraitDi[FORM]),FALSE)</f>
        <v>#N/A</v>
      </c>
      <c r="P29" s="96" t="e">
        <f>IF(T_BilanSocial[[#This Row],[Final]]&lt;&gt;"",VLOOKUP(T_BilanSocial[[#This Row],[NumL]],T_suiviDi[#Data],COLUMN((T_suiviDi[Email])),FALSE),"")</f>
        <v>#N/A</v>
      </c>
      <c r="Q29" s="164" t="e">
        <f t="shared" si="7"/>
        <v>#N/A</v>
      </c>
      <c r="R29" s="164" t="e">
        <f t="shared" si="8"/>
        <v>#N/A</v>
      </c>
      <c r="S29" s="164" t="e">
        <f>IF(VLOOKUP(T_BilanSocial[[#This Row],[NumL]],T_suiviDi[#Data],COLUMN(T_suiviDi[[#This Row],[Service ]]),FALSE)="","",VLOOKUP(T_BilanSocial[[#This Row],[NumL]],T_suiviDi[#Data],COLUMN(T_suiviDi[[#This Row],[Service ]]),FALSE))</f>
        <v>#N/A</v>
      </c>
      <c r="T29" s="164" t="str">
        <f t="shared" si="2"/>
        <v>01 septembre 2021</v>
      </c>
      <c r="U29" s="164" t="str">
        <f t="shared" si="3"/>
        <v>30 novembre 2021</v>
      </c>
      <c r="V29" s="164" t="str">
        <f t="shared" si="6"/>
        <v>30 novembre 2021</v>
      </c>
      <c r="W29" s="176" t="e">
        <f>IF(VLOOKUP(T_BilanSocial[[#This Row],[NumL]],T_TraitDi[#Data],COLUMN(T_TraitDi[[#This Row],[M1]]),FALSE)="","",VLOOKUP(T_BilanSocial[[#This Row],[NumL]],T_TraitDi[#Data],COLUMN(T_TraitDi[[#This Row],[M1]]),FALSE))</f>
        <v>#N/A</v>
      </c>
      <c r="X29" s="176" t="e">
        <f>IF(VLOOKUP(T_BilanSocial[[#This Row],[NumL]],T_TraitDi[#Data],COLUMN(T_TraitDi[[#This Row],[M2]]),FALSE)="","",VLOOKUP(T_BilanSocial[[#This Row],[NumL]],T_TraitDi[#Data],COLUMN(T_TraitDi[[#This Row],[M2]]),FALSE))</f>
        <v>#N/A</v>
      </c>
      <c r="Y29" s="176" t="e">
        <f>IF(VLOOKUP(T_BilanSocial[[#This Row],[NumL]],T_TraitDi[#Data],COLUMN(T_TraitDi[[#This Row],[M3]]),FALSE)="","",VLOOKUP(T_BilanSocial[[#This Row],[NumL]],T_TraitDi[#Data],COLUMN(T_TraitDi[[#This Row],[M3]]),FALSE))</f>
        <v>#N/A</v>
      </c>
      <c r="Z29" s="176" t="str">
        <f t="shared" si="5"/>
        <v/>
      </c>
      <c r="AA29" s="176" t="e">
        <f>IF(VLOOKUP(T_BilanSocial[[#This Row],[NumL]],T_TraitDi[#Data],COLUMN(T_TraitDi[[#This Row],[M5]]),FALSE)="","",VLOOKUP(T_BilanSocial[[#This Row],[NumL]],T_TraitDi[#Data],COLUMN(T_TraitDi[[#This Row],[M5]]),FALSE))</f>
        <v>#N/A</v>
      </c>
      <c r="AB29" s="176" t="e">
        <f>IF(VLOOKUP(T_BilanSocial[[#This Row],[NumL]],T_TraitDi[#Data],COLUMN(T_TraitDi[[#This Row],[M6]]),FALSE)="","",VLOOKUP(T_BilanSocial[[#This Row],[NumL]],T_TraitDi[#Data],COLUMN(T_TraitDi[[#This Row],[M6]]),FALSE))</f>
        <v>#N/A</v>
      </c>
      <c r="AC29" s="165" t="e">
        <f t="shared" si="4"/>
        <v>#N/A</v>
      </c>
      <c r="AD29" s="188" t="str">
        <f>IFERROR(TEXT(VLOOKUP(T_BilanSocial[[#This Row],[NumL]],T_TraitDi[#Data],COLUMN(T_TraitDi[[#This Row],[Q2]]),FALSE),"###%"),"")</f>
        <v/>
      </c>
      <c r="AE29" s="97" t="e">
        <f>VLOOKUP(T_BilanSocial[[#This Row],[NumL]],T_TraitDi[#Data],COLUMN(T_TraitDi[[#This Row],[Reg Ponct]]),FALSE)</f>
        <v>#N/A</v>
      </c>
      <c r="AF29" s="97" t="e">
        <f>VLOOKUP(T_BilanSocial[NumL],T_TraitDi[#Data],COLUMN(T_TraitDi[[#This Row],[Jours flottants]]),FALSE)</f>
        <v>#N/A</v>
      </c>
      <c r="AG29" s="97" t="str">
        <f>IFERROR(VLOOKUP(T_BilanSocial[[#This Row],[NumL]],T_TraitDi[#Data],COLUMN(T_TraitDi[[#This Row],[Lundi]]),FALSE),"")</f>
        <v/>
      </c>
      <c r="AH29" s="172" t="e">
        <f>IF(VLOOKUP(T_BilanSocial[[#This Row],[NumL]],T_TraitDi[#Data],COLUMN(T_TraitDi[[#This Row],[Colonne3]]),FALSE)=0,"",TEXT(IFERROR(VLOOKUP(T_BilanSocial[[#This Row],[NumL]],T_TraitDi[#Data],COLUMN(T_TraitDi[[#This Row],[Colonne3]]),FALSE),""),"[hh]:mm"))</f>
        <v>#N/A</v>
      </c>
      <c r="AI29" s="172" t="e">
        <f>IF(VLOOKUP(T_BilanSocial[[#This Row],[NumL]],T_TraitDi[#Data],COLUMN(T_TraitDi[[#This Row],[Colonne4]]),FALSE)=0,"",TEXT(IFERROR(VLOOKUP(T_BilanSocial[[#This Row],[NumL]],T_TraitDi[#Data],COLUMN(T_TraitDi[[#This Row],[Colonne4]]),FALSE),""),"[hh]:mm"))</f>
        <v>#N/A</v>
      </c>
      <c r="AJ29" s="172" t="e">
        <f>IF(VLOOKUP(T_BilanSocial[[#This Row],[NumL]],T_TraitDi[#Data],COLUMN(T_TraitDi[[#This Row],[Colonne5]]),FALSE)=0,"",TEXT(IFERROR(VLOOKUP(T_BilanSocial[[#This Row],[NumL]],T_TraitDi[#Data],COLUMN(T_TraitDi[[#This Row],[Colonne5]]),FALSE),""),"[hh]:mm"))</f>
        <v>#N/A</v>
      </c>
      <c r="AK29" s="172" t="e">
        <f>IF(VLOOKUP(T_BilanSocial[[#This Row],[NumL]],T_TraitDi[#Data],COLUMN(T_TraitDi[[#This Row],[Colonne6]]),FALSE)=0,"",TEXT(IFERROR(VLOOKUP(T_BilanSocial[[#This Row],[NumL]],T_TraitDi[#Data],COLUMN(T_TraitDi[[#This Row],[Colonne6]]),FALSE),""),"[hh]:mm"))</f>
        <v>#N/A</v>
      </c>
      <c r="AL29" s="172" t="e">
        <f>IF(VLOOKUP(T_BilanSocial[[#This Row],[NumL]],T_TraitDi[#Data],COLUMN(T_TraitDi[[#This Row],[Colonne7]]),FALSE)=0,"",TEXT(IFERROR(VLOOKUP(T_BilanSocial[[#This Row],[NumL]],T_TraitDi[#Data],COLUMN(T_TraitDi[[#This Row],[Colonne7]]),FALSE),""),"[hh]:mm"))</f>
        <v>#N/A</v>
      </c>
      <c r="AM29" s="172" t="e">
        <f>IF(VLOOKUP(T_BilanSocial[[#This Row],[NumL]],T_TraitDi[#Data],COLUMN(T_TraitDi[[#This Row],[Colonne8]]),FALSE)=0,"",TEXT(IFERROR(VLOOKUP(T_BilanSocial[[#This Row],[NumL]],T_TraitDi[#Data],COLUMN(T_TraitDi[[#This Row],[Colonne8]]),FALSE),""),"[hh]:mm"))</f>
        <v>#N/A</v>
      </c>
      <c r="AN29" s="172" t="str">
        <f>IFERROR(VLOOKUP(T_BilanSocial[[#This Row],[NumL]],T_TraitDi[#Data],COLUMN(T_TraitDi[[#This Row],[Mardi]]),FALSE),"")</f>
        <v/>
      </c>
      <c r="AO29" s="172" t="e">
        <f>IF(VLOOKUP(T_BilanSocial[[#This Row],[NumL]],T_TraitDi[#Data],COLUMN(T_TraitDi[[#This Row],[Colonne1]]),FALSE)=0,"",TEXT(IFERROR(VLOOKUP(T_BilanSocial[[#This Row],[NumL]],T_TraitDi[#Data],COLUMN(T_TraitDi[[#This Row],[Colonne1]]),FALSE),""),"[hh]:mm"))</f>
        <v>#N/A</v>
      </c>
      <c r="AP29" s="172" t="e">
        <f>IF(VLOOKUP(T_BilanSocial[[#This Row],[NumL]],T_TraitDi[#Data],COLUMN(T_TraitDi[[#This Row],[Colonne9]]),FALSE)=0,"",TEXT(IFERROR(VLOOKUP(T_BilanSocial[[#This Row],[NumL]],T_TraitDi[#Data],COLUMN(T_TraitDi[[#This Row],[Colonne9]]),FALSE),""),"[hh]:mm"))</f>
        <v>#N/A</v>
      </c>
      <c r="AQ29" s="172" t="str">
        <f>IFERROR(VLOOKUP(T_BilanSocial[[#This Row],[NumL]],T_TraitDi[#Data],COLUMN(T_TraitDi[[#This Row],[Colonne10]]),FALSE),"")</f>
        <v/>
      </c>
      <c r="AR29" s="172" t="e">
        <f>IF(VLOOKUP(T_BilanSocial[[#This Row],[NumL]],T_TraitDi[#Data],COLUMN(T_TraitDi[[#This Row],[Colonne11]]),FALSE)=0,"",TEXT(IFERROR(VLOOKUP(T_BilanSocial[[#This Row],[NumL]],T_TraitDi[#Data],COLUMN(T_TraitDi[[#This Row],[Colonne11]]),FALSE),""),"[hh]:mm"))</f>
        <v>#N/A</v>
      </c>
      <c r="AS29" s="172" t="e">
        <f>IF(VLOOKUP(T_BilanSocial[[#This Row],[NumL]],T_TraitDi[#Data],COLUMN(T_TraitDi[[#This Row],[Colonne12]]),FALSE)=0,"",TEXT(IFERROR(VLOOKUP(T_BilanSocial[[#This Row],[NumL]],T_TraitDi[#Data],COLUMN(T_TraitDi[[#This Row],[Colonne12]]),FALSE),""),"[hh]:mm"))</f>
        <v>#N/A</v>
      </c>
      <c r="AT29" s="172" t="e">
        <f>IF(VLOOKUP(T_BilanSocial[[#This Row],[NumL]],T_TraitDi[#Data],COLUMN(T_TraitDi[[#This Row],[Colonne14]]),FALSE)=0,"",TEXT(IFERROR(VLOOKUP(T_BilanSocial[[#This Row],[NumL]],T_TraitDi[#Data],COLUMN(T_TraitDi[[#This Row],[Colonne14]]),FALSE),""),"[hh]:mm"))</f>
        <v>#N/A</v>
      </c>
      <c r="AU29" s="172" t="str">
        <f>IFERROR(VLOOKUP(T_BilanSocial[[#This Row],[NumL]],T_TraitDi[#Data],COLUMN(T_TraitDi[[#This Row],[Mercredi]]),FALSE),"")</f>
        <v/>
      </c>
      <c r="AV29" s="172" t="e">
        <f>IF(VLOOKUP(T_BilanSocial[[#This Row],[NumL]],T_TraitDi[#Data],COLUMN(T_TraitDi[[#This Row],[Colonne15]]),FALSE)=0,"",TEXT(IFERROR(VLOOKUP(T_BilanSocial[[#This Row],[NumL]],T_TraitDi[#Data],COLUMN(T_TraitDi[[#This Row],[Colonne15]]),FALSE),""),"[hh]:mm"))</f>
        <v>#N/A</v>
      </c>
      <c r="AW29" s="172" t="e">
        <f>IF(VLOOKUP(T_BilanSocial[[#This Row],[NumL]],T_TraitDi[#Data],COLUMN(T_TraitDi[[#This Row],[Colonne16]]),FALSE)=0,"",TEXT(IFERROR(VLOOKUP(T_BilanSocial[[#This Row],[NumL]],T_TraitDi[#Data],COLUMN(T_TraitDi[[#This Row],[Colonne16]]),FALSE),""),"[hh]:mm"))</f>
        <v>#N/A</v>
      </c>
      <c r="AX29" s="172" t="str">
        <f>IFERROR(VLOOKUP(T_BilanSocial[[#This Row],[NumL]],T_TraitDi[#Data],COLUMN(T_TraitDi[[#This Row],[Colonne17]]),FALSE),"")</f>
        <v/>
      </c>
      <c r="AY29" s="172" t="e">
        <f>IF(VLOOKUP(T_BilanSocial[[#This Row],[NumL]],T_TraitDi[#Data],COLUMN(T_TraitDi[[#This Row],[Colonne18]]),FALSE)=0,"",TEXT(IFERROR(VLOOKUP(T_BilanSocial[[#This Row],[NumL]],T_TraitDi[#Data],COLUMN(T_TraitDi[[#This Row],[Colonne18]]),FALSE),""),"[hh]:mm"))</f>
        <v>#N/A</v>
      </c>
      <c r="AZ29" s="172" t="e">
        <f>IF(VLOOKUP(T_BilanSocial[[#This Row],[NumL]],T_TraitDi[#Data],COLUMN(T_TraitDi[[#This Row],[Colonne19]]),FALSE)=0,"",TEXT(IFERROR(VLOOKUP(T_BilanSocial[[#This Row],[NumL]],T_TraitDi[#Data],COLUMN(T_TraitDi[[#This Row],[Colonne19]]),FALSE),""),"[hh]:mm"))</f>
        <v>#N/A</v>
      </c>
      <c r="BA29" s="172" t="e">
        <f>IF(VLOOKUP(T_BilanSocial[[#This Row],[NumL]],T_TraitDi[#Data],COLUMN(T_TraitDi[[#This Row],[Colonne20]]),FALSE)=0,"",TEXT(IFERROR(VLOOKUP(T_BilanSocial[[#This Row],[NumL]],T_TraitDi[#Data],COLUMN(T_TraitDi[[#This Row],[Colonne20]]),FALSE),""),"[hh]:mm"))</f>
        <v>#N/A</v>
      </c>
      <c r="BB29" s="178" t="str">
        <f>IFERROR(VLOOKUP(T_BilanSocial[[#This Row],[NumL]],T_TraitDi[#Data],COLUMN(T_TraitDi[[#This Row],[Jeudi]]),FALSE),"")</f>
        <v/>
      </c>
      <c r="BC29" s="178" t="e">
        <f>IF(VLOOKUP(T_BilanSocial[[#This Row],[NumL]],T_TraitDi[#Data],COLUMN(T_TraitDi[[#This Row],[Colonne21]]),FALSE)=0,"",TEXT(IFERROR(VLOOKUP(T_BilanSocial[[#This Row],[NumL]],T_TraitDi[#Data],COLUMN(T_TraitDi[[#This Row],[Colonne21]]),FALSE),""),"[hh]:mm"))</f>
        <v>#N/A</v>
      </c>
      <c r="BD29" s="178" t="e">
        <f>IF(VLOOKUP(T_BilanSocial[[#This Row],[NumL]],T_TraitDi[#Data],COLUMN(T_TraitDi[[#This Row],[Colonne22]]),FALSE)=0,"",TEXT(IFERROR(VLOOKUP(T_BilanSocial[[#This Row],[NumL]],T_TraitDi[#Data],COLUMN(T_TraitDi[[#This Row],[Colonne22]]),FALSE),""),"[hh]:mm"))</f>
        <v>#N/A</v>
      </c>
      <c r="BE29" s="178" t="str">
        <f>IFERROR(VLOOKUP(T_BilanSocial[[#This Row],[NumL]],T_TraitDi[#Data],COLUMN(T_TraitDi[[#This Row],[Colonne23]]),FALSE),"")</f>
        <v/>
      </c>
      <c r="BF29" s="178" t="e">
        <f>IF(VLOOKUP(T_BilanSocial[[#This Row],[NumL]],T_TraitDi[#Data],COLUMN(T_TraitDi[[#This Row],[Colonne24]]),FALSE)=0,"",TEXT(IFERROR(VLOOKUP(T_BilanSocial[[#This Row],[NumL]],T_TraitDi[#Data],COLUMN(T_TraitDi[[#This Row],[Colonne24]]),FALSE),""),"[hh]:mm"))</f>
        <v>#N/A</v>
      </c>
      <c r="BG29" s="178" t="e">
        <f>IF(VLOOKUP(T_BilanSocial[[#This Row],[NumL]],T_TraitDi[#Data],COLUMN(T_TraitDi[[#This Row],[Colonne25]]),FALSE)=0,"",TEXT(IFERROR(VLOOKUP(T_BilanSocial[[#This Row],[NumL]],T_TraitDi[#Data],COLUMN(T_TraitDi[[#This Row],[Colonne25]]),FALSE),""),"[hh]:mm"))</f>
        <v>#N/A</v>
      </c>
      <c r="BH29" s="178" t="e">
        <f>IF(VLOOKUP(T_BilanSocial[[#This Row],[NumL]],T_TraitDi[#Data],COLUMN(T_TraitDi[[#This Row],[Colonne26]]),FALSE)=0,"",TEXT(IFERROR(VLOOKUP(T_BilanSocial[[#This Row],[NumL]],T_TraitDi[#Data],COLUMN(T_TraitDi[[#This Row],[Colonne26]]),FALSE),""),"[hh]:mm"))</f>
        <v>#N/A</v>
      </c>
      <c r="BI29" s="172" t="str">
        <f>IFERROR(VLOOKUP(T_BilanSocial[[#This Row],[NumL]],T_TraitDi[#Data],COLUMN(T_TraitDi[[#This Row],[Vendredi]]),FALSE),"")</f>
        <v/>
      </c>
      <c r="BJ29" s="172" t="e">
        <f>IF(VLOOKUP(T_BilanSocial[[#This Row],[NumL]],T_TraitDi[#Data],COLUMN(T_TraitDi[[#This Row],[Colonne27]]),FALSE)=0,"",TEXT(IFERROR(VLOOKUP(T_BilanSocial[[#This Row],[NumL]],T_TraitDi[#Data],COLUMN(T_TraitDi[[#This Row],[Colonne27]]),FALSE),""),"[hh]:mm"))</f>
        <v>#N/A</v>
      </c>
      <c r="BK29" s="172" t="e">
        <f>IF(VLOOKUP(T_BilanSocial[[#This Row],[NumL]],T_TraitDi[#Data],COLUMN(T_TraitDi[[#This Row],[Colonne28]]),FALSE)=0,"",TEXT(IFERROR(VLOOKUP(T_BilanSocial[[#This Row],[NumL]],T_TraitDi[#Data],COLUMN(T_TraitDi[[#This Row],[Colonne28]]),FALSE),""),"[hh]:mm"))</f>
        <v>#N/A</v>
      </c>
      <c r="BL29" s="172" t="str">
        <f>IFERROR(VLOOKUP(T_BilanSocial[[#This Row],[NumL]],T_TraitDi[#Data],COLUMN(T_TraitDi[[#This Row],[Colonne29]]),FALSE),"")</f>
        <v/>
      </c>
      <c r="BM29" s="172" t="e">
        <f>IF(VLOOKUP(T_BilanSocial[[#This Row],[NumL]],T_TraitDi[#Data],COLUMN(T_TraitDi[[#This Row],[Colonne30]]),FALSE)=0,"",TEXT(IFERROR(VLOOKUP(T_BilanSocial[[#This Row],[NumL]],T_TraitDi[#Data],COLUMN(T_TraitDi[[#This Row],[Colonne30]]),FALSE),""),"[hh]:mm"))</f>
        <v>#N/A</v>
      </c>
      <c r="BN29" s="172" t="e">
        <f>IF(VLOOKUP(T_BilanSocial[[#This Row],[NumL]],T_TraitDi[#Data],COLUMN(T_TraitDi[[#This Row],[Colonne31]]),FALSE)=0,"",TEXT(IFERROR(VLOOKUP(T_BilanSocial[[#This Row],[NumL]],T_TraitDi[#Data],COLUMN(T_TraitDi[[#This Row],[Colonne31]]),FALSE),""),"[hh]:mm"))</f>
        <v>#N/A</v>
      </c>
      <c r="BO29" s="172" t="e">
        <f>IF(VLOOKUP(T_BilanSocial[[#This Row],[NumL]],T_TraitDi[#Data],COLUMN(T_TraitDi[[#This Row],[Colonne32]]),FALSE)=0,"",TEXT(IFERROR(VLOOKUP(T_BilanSocial[[#This Row],[NumL]],T_TraitDi[#Data],COLUMN(T_TraitDi[[#This Row],[Colonne32]]),FALSE),""),"[hh]:mm"))</f>
        <v>#N/A</v>
      </c>
      <c r="BP29" s="172" t="e">
        <f>VLOOKUP(T_BilanSocial[[#This Row],[NumL]],T_TraitDi[#Data],COLUMN(T_TraitDi[NbJTot]),FALSE)</f>
        <v>#N/A</v>
      </c>
      <c r="BQ29" s="174" t="str">
        <f>IFERROR(VLOOKUP(T_BilanSocial[[#This Row],[NumL]],T_TraitDi[#Data],COLUMN(T_TraitDi[[#This Row],[NbJTW]]),FALSE),"")</f>
        <v/>
      </c>
      <c r="BR29" s="174" t="e">
        <f>IF(VLOOKUP(T_BilanSocial[[#This Row],[NumL]],T_TraitDi[#Data],COLUMN(T_TraitDi[[#This Row],[NbhTW]]),FALSE)=0,"",TEXT(IFERROR(VLOOKUP(T_BilanSocial[[#This Row],[NumL]],T_TraitDi[#Data],COLUMN(T_TraitDi[[#This Row],[NbhTW]]),FALSE),""),"[hh]:mm"))</f>
        <v>#N/A</v>
      </c>
      <c r="BS29" s="174" t="e">
        <f>IF(VLOOKUP(T_BilanSocial[[#This Row],[NumL]],T_TraitDi[#Data],COLUMN(T_TraitDi[[#This Row],[Nbhheb]]),FALSE)=0,"",TEXT(IFERROR(VLOOKUP($A29,T_TraitDi[#Data],COLUMN(T_TraitDi[[#This Row],[Nbhheb]]),FALSE),""),"[hh]:mm"))</f>
        <v>#N/A</v>
      </c>
      <c r="BT29" s="182" t="str">
        <f>IFERROR(VLOOKUP(VLOOKUP($A29,T_TraitDi[#Data],COLUMN(T_TraitDi[[#This Row],[Type1]]),FALSE),TypeTW,2,FALSE),"")</f>
        <v/>
      </c>
      <c r="BU29" s="182" t="str">
        <f>IFERROR(VLOOKUP($A29,T_TraitDi[#Data],COLUMN(T_TraitDi[[#This Row],[Rue1]]),FALSE),"")</f>
        <v/>
      </c>
      <c r="BV29" s="173" t="str">
        <f>IFERROR(VLOOKUP($A29,T_TraitDi[#Data],COLUMN(T_TraitDi[[#This Row],[CP1]]),FALSE),"")</f>
        <v/>
      </c>
      <c r="BW29" s="173" t="str">
        <f>IFERROR(VLOOKUP($A29,T_TraitDi[#Data],COLUMN(T_TraitDi[[#This Row],[VILLE1]]),FALSE),"")</f>
        <v/>
      </c>
      <c r="BX29" s="182" t="str">
        <f>IFERROR(VLOOKUP(VLOOKUP($A29,T_TraitDi[#Data],COLUMN(T_TraitDi[[#This Row],[Type2]]),FALSE),TypeTW,2,FALSE),"")</f>
        <v/>
      </c>
      <c r="BY29" s="182" t="str">
        <f>IFERROR(VLOOKUP($A29,T_TraitDi[#Data],COLUMN(T_TraitDi[[#This Row],[Rue2]]),FALSE),"")</f>
        <v/>
      </c>
      <c r="BZ29" s="173" t="str">
        <f>IFERROR(VLOOKUP($A29,T_TraitDi[#Data],COLUMN(T_TraitDi[[#This Row],[CP2]]),FALSE),"")</f>
        <v/>
      </c>
      <c r="CA29" s="173" t="str">
        <f>IFERROR(VLOOKUP($A29,T_TraitDi[#Data],COLUMN(T_TraitDi[[#This Row],[VILLE2]]),FALSE),"")</f>
        <v/>
      </c>
      <c r="CB29" s="182" t="e">
        <f>IF(VLOOKUP(T_BilanSocial[[#This Row],[NumL]],T_Equipement[#Data],COLUMN(T_Equipement[[#This Row],[PC]]),FALSE)="","Aucun équipement spécifique directement lié au télétravail",VLOOKUP(T_BilanSocial[[#This Row],[NumL]],T_Equipement[#Data],COLUMN(T_Equipement[[#This Row],[PC]]),FALSE))</f>
        <v>#N/A</v>
      </c>
      <c r="CC29" s="166" t="str">
        <f>IFERROR(IF(VLOOKUP(T_BilanSocial[[#This Row],[NumL]],T_TraitDi[#Data],COLUMN(T_TraitDi[[#This Row],[Plan]]),FALSE)="OK","Un planning spécifique de télétravail est annexé à la présente convention.",""),"")</f>
        <v/>
      </c>
      <c r="CD29" s="258" t="s">
        <v>3434</v>
      </c>
      <c r="CE29" s="164" t="e">
        <f>IF(VLOOKUP(T_BilanSocial[[#This Row],[NumL]],T_suiviDi[#Data],COLUMN(T_suiviDi[[#This Row],[Entité]]),FALSE)="","",VLOOKUP(T_BilanSocial[[#This Row],[NumL]],T_suiviDi[#Data],COLUMN(T_suiviDi[[#This Row],[Entité]]),FALSE))</f>
        <v>#N/A</v>
      </c>
      <c r="CF29" s="164" t="e">
        <f>IF(VLOOKUP(T_BilanSocial[[#This Row],[NumL]],T_Commission[#Data],COLUMN(T_Commission[[#This Row],[envoi confirm TW]]),FALSE)="","",VLOOKUP(T_BilanSocial[[#This Row],[NumL]],T_Commission[#Data],COLUMN(T_Commission[[#This Row],[envoi confirm TW]]),FALSE))</f>
        <v>#N/A</v>
      </c>
      <c r="CG2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 s="262" t="e">
        <f>T_BilanSocial[[#This Row],[Nom]]&amp;T_BilanSocial[[#This Row],[Prenom]]</f>
        <v>#N/A</v>
      </c>
      <c r="CI29" s="262" t="e">
        <f>VLOOKUP(T_BilanSocial[[#This Row],[NumL]],T_Commission[#Data],COLUMN(T_Commission[Commentaire]),FALSE)</f>
        <v>#N/A</v>
      </c>
      <c r="CJ29" s="262" t="e">
        <f>IF(VLOOKUP(T_BilanSocial[[#This Row],[NumL]],T_Commission[#Data],COLUMN(T_Commission[Encadrant Email]),FALSE)="","",VLOOKUP(T_BilanSocial[[#This Row],[NumL]],T_Commission[#Data],COLUMN(T_Commission[Encadrant Email]),FALSE))</f>
        <v>#N/A</v>
      </c>
      <c r="CK29" s="340" t="e">
        <f>IF(T_BilanSocial[[#This Row],[Final]]&lt;&gt;"",VLOOKUP(T_BilanSocial[[#This Row],[NumL]],T_suiviDi[#Data],COLUMN((T_suiviDi[Statut])),FALSE),"")</f>
        <v>#N/A</v>
      </c>
    </row>
    <row r="30" spans="1:89" s="106" customFormat="1" ht="24.75" customHeight="1" x14ac:dyDescent="0.25">
      <c r="A30" s="160">
        <v>27</v>
      </c>
      <c r="B30" s="161" t="e">
        <f t="shared" si="0"/>
        <v>#N/A</v>
      </c>
      <c r="C30" s="162" t="s">
        <v>3287</v>
      </c>
      <c r="D30" s="95" t="e">
        <f>IF(VLOOKUP(T_BilanSocial[[#This Row],[NumL]],T_TraitDi[#Data],COLUMN(T_TraitDi[[#This Row],[WebC]]),FALSE)="","",VLOOKUP(T_BilanSocial[[#This Row],[NumL]],T_TraitDi[#Data],COLUMN(T_TraitDi[[#This Row],[WebC]]),FALSE))</f>
        <v>#N/A</v>
      </c>
      <c r="E30" s="163" t="str">
        <f t="shared" si="1"/>
        <v>12 janvier 2021</v>
      </c>
      <c r="F30" s="96" t="e">
        <f>IF(T_BilanSocial[[#This Row],[Final]]&lt;&gt;"",VLOOKUP(T_BilanSocial[[#This Row],[NumL]],T_suiviDi[#Data],COLUMN((T_suiviDi[Civ.])),FALSE),"")</f>
        <v>#N/A</v>
      </c>
      <c r="G30" s="96" t="e">
        <f>IF(T_BilanSocial[[#This Row],[Final]]&lt;&gt;"",VLOOKUP(T_BilanSocial[[#This Row],[NumL]],T_suiviDi[#Data],COLUMN((T_suiviDi[Nom])),FALSE),"")</f>
        <v>#N/A</v>
      </c>
      <c r="H30" s="96" t="e">
        <f>IF(T_BilanSocial[[#This Row],[Final]]&lt;&gt;"",VLOOKUP(T_BilanSocial[[#This Row],[NumL]],T_suiviDi[#Data],COLUMN((T_suiviDi[Prénom])),FALSE),"")</f>
        <v>#N/A</v>
      </c>
      <c r="I30" s="96" t="str">
        <f>IFERROR(VLOOKUP(T_BilanSocial[[#This Row],[Zone_Bilan]],T_P_BilanSocial[#Data],COLUMN(T_P_BilanSocial[[#This Row],[Numero_SIHAM]]),FALSE),"")</f>
        <v/>
      </c>
      <c r="J30" s="96" t="str">
        <f>IFERROR(VLOOKUP(T_BilanSocial[[#This Row],[Zone_Bilan]],T_P_BilanSocial[#Data],COLUMN(T_P_BilanSocial[[#This Row],[Sexe]]),FALSE),"")</f>
        <v/>
      </c>
      <c r="K30" s="97" t="str">
        <f>IFERROR(VLOOKUP(T_BilanSocial[[#This Row],[Zone_Bilan]],T_P_BilanSocial[#Data],COLUMN(T_P_BilanSocial[[#This Row],[Categorie]]),FALSE),"")</f>
        <v/>
      </c>
      <c r="L30" s="96" t="str">
        <f>IFERROR(VLOOKUP(T_BilanSocial[[#This Row],[Zone_Bilan]],T_P_BilanSocial[#Data],COLUMN(T_P_BilanSocial[[#This Row],[Statut]]),FALSE),"")</f>
        <v/>
      </c>
      <c r="M30" s="96" t="str">
        <f>IFERROR(VLOOKUP(T_BilanSocial[[#This Row],[Zone_Bilan]],T_P_BilanSocial[#Data],COLUMN(T_P_BilanSocial[[#This Row],[Filiere]]),FALSE),"")</f>
        <v/>
      </c>
      <c r="N30" s="96" t="e">
        <f>VLOOKUP(T_BilanSocial[[#This Row],[NumL]],T_TraitDi[#Data],COLUMN(T_TraitDi[EXP]),FALSE)</f>
        <v>#N/A</v>
      </c>
      <c r="O30" s="96" t="e">
        <f>VLOOKUP(T_BilanSocial[[#This Row],[NumL]],T_TraitDi[#Data],COLUMN(T_TraitDi[FORM]),FALSE)</f>
        <v>#N/A</v>
      </c>
      <c r="P30" s="96" t="e">
        <f>IF(T_BilanSocial[[#This Row],[Final]]&lt;&gt;"",VLOOKUP(T_BilanSocial[[#This Row],[NumL]],T_suiviDi[#Data],COLUMN((T_suiviDi[Email])),FALSE),"")</f>
        <v>#N/A</v>
      </c>
      <c r="Q30" s="164" t="str">
        <f t="shared" si="7"/>
        <v/>
      </c>
      <c r="R30" s="164" t="str">
        <f t="shared" si="8"/>
        <v>Gestionnaire de scolarité</v>
      </c>
      <c r="S30" s="164" t="str">
        <f>IF(VLOOKUP(T_BilanSocial[[#This Row],[NumL]],T_suiviDi[#Data],COLUMN(T_suiviDi[[#This Row],[Service ]]),FALSE)="","",VLOOKUP(T_BilanSocial[[#This Row],[NumL]],T_suiviDi[#Data],COLUMN(T_suiviDi[[#This Row],[Service ]]),FALSE))</f>
        <v/>
      </c>
      <c r="T30" s="164" t="str">
        <f t="shared" si="2"/>
        <v>01 septembre 2021</v>
      </c>
      <c r="U30" s="164" t="str">
        <f t="shared" si="3"/>
        <v>30 novembre 2021</v>
      </c>
      <c r="V30" s="164" t="str">
        <f t="shared" si="6"/>
        <v>30 novembre 2021</v>
      </c>
      <c r="W30" s="176" t="e">
        <f>IF(VLOOKUP(T_BilanSocial[[#This Row],[NumL]],T_TraitDi[#Data],COLUMN(T_TraitDi[[#This Row],[M1]]),FALSE)="","",VLOOKUP(T_BilanSocial[[#This Row],[NumL]],T_TraitDi[#Data],COLUMN(T_TraitDi[[#This Row],[M1]]),FALSE))</f>
        <v>#N/A</v>
      </c>
      <c r="X30" s="176" t="e">
        <f>IF(VLOOKUP(T_BilanSocial[[#This Row],[NumL]],T_TraitDi[#Data],COLUMN(T_TraitDi[[#This Row],[M2]]),FALSE)="","",VLOOKUP(T_BilanSocial[[#This Row],[NumL]],T_TraitDi[#Data],COLUMN(T_TraitDi[[#This Row],[M2]]),FALSE))</f>
        <v>#N/A</v>
      </c>
      <c r="Y30" s="176" t="e">
        <f>IF(VLOOKUP(T_BilanSocial[[#This Row],[NumL]],T_TraitDi[#Data],COLUMN(T_TraitDi[[#This Row],[M3]]),FALSE)="","",VLOOKUP(T_BilanSocial[[#This Row],[NumL]],T_TraitDi[#Data],COLUMN(T_TraitDi[[#This Row],[M3]]),FALSE))</f>
        <v>#N/A</v>
      </c>
      <c r="Z30" s="176" t="str">
        <f t="shared" si="5"/>
        <v/>
      </c>
      <c r="AA30" s="176" t="e">
        <f>IF(VLOOKUP(T_BilanSocial[[#This Row],[NumL]],T_TraitDi[#Data],COLUMN(T_TraitDi[[#This Row],[M5]]),FALSE)="","",VLOOKUP(T_BilanSocial[[#This Row],[NumL]],T_TraitDi[#Data],COLUMN(T_TraitDi[[#This Row],[M5]]),FALSE))</f>
        <v>#N/A</v>
      </c>
      <c r="AB30" s="176" t="e">
        <f>IF(VLOOKUP(T_BilanSocial[[#This Row],[NumL]],T_TraitDi[#Data],COLUMN(T_TraitDi[[#This Row],[M6]]),FALSE)="","",VLOOKUP(T_BilanSocial[[#This Row],[NumL]],T_TraitDi[#Data],COLUMN(T_TraitDi[[#This Row],[M6]]),FALSE))</f>
        <v>#N/A</v>
      </c>
      <c r="AC30" s="165" t="e">
        <f t="shared" si="4"/>
        <v>#N/A</v>
      </c>
      <c r="AD30" s="188" t="str">
        <f>IFERROR(TEXT(VLOOKUP(T_BilanSocial[[#This Row],[NumL]],T_TraitDi[#Data],COLUMN(T_TraitDi[[#This Row],[Q2]]),FALSE),"###%"),"")</f>
        <v/>
      </c>
      <c r="AE30" s="97" t="e">
        <f>VLOOKUP(T_BilanSocial[[#This Row],[NumL]],T_TraitDi[#Data],COLUMN(T_TraitDi[[#This Row],[Reg Ponct]]),FALSE)</f>
        <v>#N/A</v>
      </c>
      <c r="AF30" s="97" t="e">
        <f>VLOOKUP(T_BilanSocial[NumL],T_TraitDi[#Data],COLUMN(T_TraitDi[[#This Row],[Jours flottants]]),FALSE)</f>
        <v>#N/A</v>
      </c>
      <c r="AG30" s="97" t="str">
        <f>IFERROR(VLOOKUP(T_BilanSocial[[#This Row],[NumL]],T_TraitDi[#Data],COLUMN(T_TraitDi[[#This Row],[Lundi]]),FALSE),"")</f>
        <v/>
      </c>
      <c r="AH30" s="172" t="e">
        <f>IF(VLOOKUP(T_BilanSocial[[#This Row],[NumL]],T_TraitDi[#Data],COLUMN(T_TraitDi[[#This Row],[Colonne3]]),FALSE)=0,"",TEXT(IFERROR(VLOOKUP(T_BilanSocial[[#This Row],[NumL]],T_TraitDi[#Data],COLUMN(T_TraitDi[[#This Row],[Colonne3]]),FALSE),""),"[hh]:mm"))</f>
        <v>#N/A</v>
      </c>
      <c r="AI30" s="172" t="e">
        <f>IF(VLOOKUP(T_BilanSocial[[#This Row],[NumL]],T_TraitDi[#Data],COLUMN(T_TraitDi[[#This Row],[Colonne4]]),FALSE)=0,"",TEXT(IFERROR(VLOOKUP(T_BilanSocial[[#This Row],[NumL]],T_TraitDi[#Data],COLUMN(T_TraitDi[[#This Row],[Colonne4]]),FALSE),""),"[hh]:mm"))</f>
        <v>#N/A</v>
      </c>
      <c r="AJ30" s="172" t="e">
        <f>IF(VLOOKUP(T_BilanSocial[[#This Row],[NumL]],T_TraitDi[#Data],COLUMN(T_TraitDi[[#This Row],[Colonne5]]),FALSE)=0,"",TEXT(IFERROR(VLOOKUP(T_BilanSocial[[#This Row],[NumL]],T_TraitDi[#Data],COLUMN(T_TraitDi[[#This Row],[Colonne5]]),FALSE),""),"[hh]:mm"))</f>
        <v>#N/A</v>
      </c>
      <c r="AK30" s="172" t="e">
        <f>IF(VLOOKUP(T_BilanSocial[[#This Row],[NumL]],T_TraitDi[#Data],COLUMN(T_TraitDi[[#This Row],[Colonne6]]),FALSE)=0,"",TEXT(IFERROR(VLOOKUP(T_BilanSocial[[#This Row],[NumL]],T_TraitDi[#Data],COLUMN(T_TraitDi[[#This Row],[Colonne6]]),FALSE),""),"[hh]:mm"))</f>
        <v>#N/A</v>
      </c>
      <c r="AL30" s="172" t="e">
        <f>IF(VLOOKUP(T_BilanSocial[[#This Row],[NumL]],T_TraitDi[#Data],COLUMN(T_TraitDi[[#This Row],[Colonne7]]),FALSE)=0,"",TEXT(IFERROR(VLOOKUP(T_BilanSocial[[#This Row],[NumL]],T_TraitDi[#Data],COLUMN(T_TraitDi[[#This Row],[Colonne7]]),FALSE),""),"[hh]:mm"))</f>
        <v>#N/A</v>
      </c>
      <c r="AM30" s="172" t="e">
        <f>IF(VLOOKUP(T_BilanSocial[[#This Row],[NumL]],T_TraitDi[#Data],COLUMN(T_TraitDi[[#This Row],[Colonne8]]),FALSE)=0,"",TEXT(IFERROR(VLOOKUP(T_BilanSocial[[#This Row],[NumL]],T_TraitDi[#Data],COLUMN(T_TraitDi[[#This Row],[Colonne8]]),FALSE),""),"[hh]:mm"))</f>
        <v>#N/A</v>
      </c>
      <c r="AN30" s="172" t="str">
        <f>IFERROR(VLOOKUP(T_BilanSocial[[#This Row],[NumL]],T_TraitDi[#Data],COLUMN(T_TraitDi[[#This Row],[Mardi]]),FALSE),"")</f>
        <v/>
      </c>
      <c r="AO30" s="172" t="e">
        <f>IF(VLOOKUP(T_BilanSocial[[#This Row],[NumL]],T_TraitDi[#Data],COLUMN(T_TraitDi[[#This Row],[Colonne1]]),FALSE)=0,"",TEXT(IFERROR(VLOOKUP(T_BilanSocial[[#This Row],[NumL]],T_TraitDi[#Data],COLUMN(T_TraitDi[[#This Row],[Colonne1]]),FALSE),""),"[hh]:mm"))</f>
        <v>#N/A</v>
      </c>
      <c r="AP30" s="172" t="e">
        <f>IF(VLOOKUP(T_BilanSocial[[#This Row],[NumL]],T_TraitDi[#Data],COLUMN(T_TraitDi[[#This Row],[Colonne9]]),FALSE)=0,"",TEXT(IFERROR(VLOOKUP(T_BilanSocial[[#This Row],[NumL]],T_TraitDi[#Data],COLUMN(T_TraitDi[[#This Row],[Colonne9]]),FALSE),""),"[hh]:mm"))</f>
        <v>#N/A</v>
      </c>
      <c r="AQ30" s="172" t="str">
        <f>IFERROR(VLOOKUP(T_BilanSocial[[#This Row],[NumL]],T_TraitDi[#Data],COLUMN(T_TraitDi[[#This Row],[Colonne10]]),FALSE),"")</f>
        <v/>
      </c>
      <c r="AR30" s="172" t="e">
        <f>IF(VLOOKUP(T_BilanSocial[[#This Row],[NumL]],T_TraitDi[#Data],COLUMN(T_TraitDi[[#This Row],[Colonne11]]),FALSE)=0,"",TEXT(IFERROR(VLOOKUP(T_BilanSocial[[#This Row],[NumL]],T_TraitDi[#Data],COLUMN(T_TraitDi[[#This Row],[Colonne11]]),FALSE),""),"[hh]:mm"))</f>
        <v>#N/A</v>
      </c>
      <c r="AS30" s="172" t="e">
        <f>IF(VLOOKUP(T_BilanSocial[[#This Row],[NumL]],T_TraitDi[#Data],COLUMN(T_TraitDi[[#This Row],[Colonne12]]),FALSE)=0,"",TEXT(IFERROR(VLOOKUP(T_BilanSocial[[#This Row],[NumL]],T_TraitDi[#Data],COLUMN(T_TraitDi[[#This Row],[Colonne12]]),FALSE),""),"[hh]:mm"))</f>
        <v>#N/A</v>
      </c>
      <c r="AT30" s="172" t="e">
        <f>IF(VLOOKUP(T_BilanSocial[[#This Row],[NumL]],T_TraitDi[#Data],COLUMN(T_TraitDi[[#This Row],[Colonne14]]),FALSE)=0,"",TEXT(IFERROR(VLOOKUP(T_BilanSocial[[#This Row],[NumL]],T_TraitDi[#Data],COLUMN(T_TraitDi[[#This Row],[Colonne14]]),FALSE),""),"[hh]:mm"))</f>
        <v>#N/A</v>
      </c>
      <c r="AU30" s="172" t="str">
        <f>IFERROR(VLOOKUP(T_BilanSocial[[#This Row],[NumL]],T_TraitDi[#Data],COLUMN(T_TraitDi[[#This Row],[Mercredi]]),FALSE),"")</f>
        <v/>
      </c>
      <c r="AV30" s="172" t="e">
        <f>IF(VLOOKUP(T_BilanSocial[[#This Row],[NumL]],T_TraitDi[#Data],COLUMN(T_TraitDi[[#This Row],[Colonne15]]),FALSE)=0,"",TEXT(IFERROR(VLOOKUP(T_BilanSocial[[#This Row],[NumL]],T_TraitDi[#Data],COLUMN(T_TraitDi[[#This Row],[Colonne15]]),FALSE),""),"[hh]:mm"))</f>
        <v>#N/A</v>
      </c>
      <c r="AW30" s="172" t="e">
        <f>IF(VLOOKUP(T_BilanSocial[[#This Row],[NumL]],T_TraitDi[#Data],COLUMN(T_TraitDi[[#This Row],[Colonne16]]),FALSE)=0,"",TEXT(IFERROR(VLOOKUP(T_BilanSocial[[#This Row],[NumL]],T_TraitDi[#Data],COLUMN(T_TraitDi[[#This Row],[Colonne16]]),FALSE),""),"[hh]:mm"))</f>
        <v>#N/A</v>
      </c>
      <c r="AX30" s="172" t="str">
        <f>IFERROR(VLOOKUP(T_BilanSocial[[#This Row],[NumL]],T_TraitDi[#Data],COLUMN(T_TraitDi[[#This Row],[Colonne17]]),FALSE),"")</f>
        <v/>
      </c>
      <c r="AY30" s="172" t="e">
        <f>IF(VLOOKUP(T_BilanSocial[[#This Row],[NumL]],T_TraitDi[#Data],COLUMN(T_TraitDi[[#This Row],[Colonne18]]),FALSE)=0,"",TEXT(IFERROR(VLOOKUP(T_BilanSocial[[#This Row],[NumL]],T_TraitDi[#Data],COLUMN(T_TraitDi[[#This Row],[Colonne18]]),FALSE),""),"[hh]:mm"))</f>
        <v>#N/A</v>
      </c>
      <c r="AZ30" s="172" t="e">
        <f>IF(VLOOKUP(T_BilanSocial[[#This Row],[NumL]],T_TraitDi[#Data],COLUMN(T_TraitDi[[#This Row],[Colonne19]]),FALSE)=0,"",TEXT(IFERROR(VLOOKUP(T_BilanSocial[[#This Row],[NumL]],T_TraitDi[#Data],COLUMN(T_TraitDi[[#This Row],[Colonne19]]),FALSE),""),"[hh]:mm"))</f>
        <v>#N/A</v>
      </c>
      <c r="BA30" s="172" t="e">
        <f>IF(VLOOKUP(T_BilanSocial[[#This Row],[NumL]],T_TraitDi[#Data],COLUMN(T_TraitDi[[#This Row],[Colonne20]]),FALSE)=0,"",TEXT(IFERROR(VLOOKUP(T_BilanSocial[[#This Row],[NumL]],T_TraitDi[#Data],COLUMN(T_TraitDi[[#This Row],[Colonne20]]),FALSE),""),"[hh]:mm"))</f>
        <v>#N/A</v>
      </c>
      <c r="BB30" s="178" t="str">
        <f>IFERROR(VLOOKUP(T_BilanSocial[[#This Row],[NumL]],T_TraitDi[#Data],COLUMN(T_TraitDi[[#This Row],[Jeudi]]),FALSE),"")</f>
        <v/>
      </c>
      <c r="BC30" s="178" t="e">
        <f>IF(VLOOKUP(T_BilanSocial[[#This Row],[NumL]],T_TraitDi[#Data],COLUMN(T_TraitDi[[#This Row],[Colonne21]]),FALSE)=0,"",TEXT(IFERROR(VLOOKUP(T_BilanSocial[[#This Row],[NumL]],T_TraitDi[#Data],COLUMN(T_TraitDi[[#This Row],[Colonne21]]),FALSE),""),"[hh]:mm"))</f>
        <v>#N/A</v>
      </c>
      <c r="BD30" s="178" t="e">
        <f>IF(VLOOKUP(T_BilanSocial[[#This Row],[NumL]],T_TraitDi[#Data],COLUMN(T_TraitDi[[#This Row],[Colonne22]]),FALSE)=0,"",TEXT(IFERROR(VLOOKUP(T_BilanSocial[[#This Row],[NumL]],T_TraitDi[#Data],COLUMN(T_TraitDi[[#This Row],[Colonne22]]),FALSE),""),"[hh]:mm"))</f>
        <v>#N/A</v>
      </c>
      <c r="BE30" s="178" t="str">
        <f>IFERROR(VLOOKUP(T_BilanSocial[[#This Row],[NumL]],T_TraitDi[#Data],COLUMN(T_TraitDi[[#This Row],[Colonne23]]),FALSE),"")</f>
        <v/>
      </c>
      <c r="BF30" s="178" t="e">
        <f>IF(VLOOKUP(T_BilanSocial[[#This Row],[NumL]],T_TraitDi[#Data],COLUMN(T_TraitDi[[#This Row],[Colonne24]]),FALSE)=0,"",TEXT(IFERROR(VLOOKUP(T_BilanSocial[[#This Row],[NumL]],T_TraitDi[#Data],COLUMN(T_TraitDi[[#This Row],[Colonne24]]),FALSE),""),"[hh]:mm"))</f>
        <v>#N/A</v>
      </c>
      <c r="BG30" s="178" t="e">
        <f>IF(VLOOKUP(T_BilanSocial[[#This Row],[NumL]],T_TraitDi[#Data],COLUMN(T_TraitDi[[#This Row],[Colonne25]]),FALSE)=0,"",TEXT(IFERROR(VLOOKUP(T_BilanSocial[[#This Row],[NumL]],T_TraitDi[#Data],COLUMN(T_TraitDi[[#This Row],[Colonne25]]),FALSE),""),"[hh]:mm"))</f>
        <v>#N/A</v>
      </c>
      <c r="BH30" s="178" t="e">
        <f>IF(VLOOKUP(T_BilanSocial[[#This Row],[NumL]],T_TraitDi[#Data],COLUMN(T_TraitDi[[#This Row],[Colonne26]]),FALSE)=0,"",TEXT(IFERROR(VLOOKUP(T_BilanSocial[[#This Row],[NumL]],T_TraitDi[#Data],COLUMN(T_TraitDi[[#This Row],[Colonne26]]),FALSE),""),"[hh]:mm"))</f>
        <v>#N/A</v>
      </c>
      <c r="BI30" s="172" t="str">
        <f>IFERROR(VLOOKUP(T_BilanSocial[[#This Row],[NumL]],T_TraitDi[#Data],COLUMN(T_TraitDi[[#This Row],[Vendredi]]),FALSE),"")</f>
        <v/>
      </c>
      <c r="BJ30" s="172" t="e">
        <f>IF(VLOOKUP(T_BilanSocial[[#This Row],[NumL]],T_TraitDi[#Data],COLUMN(T_TraitDi[[#This Row],[Colonne27]]),FALSE)=0,"",TEXT(IFERROR(VLOOKUP(T_BilanSocial[[#This Row],[NumL]],T_TraitDi[#Data],COLUMN(T_TraitDi[[#This Row],[Colonne27]]),FALSE),""),"[hh]:mm"))</f>
        <v>#N/A</v>
      </c>
      <c r="BK30" s="172" t="e">
        <f>IF(VLOOKUP(T_BilanSocial[[#This Row],[NumL]],T_TraitDi[#Data],COLUMN(T_TraitDi[[#This Row],[Colonne28]]),FALSE)=0,"",TEXT(IFERROR(VLOOKUP(T_BilanSocial[[#This Row],[NumL]],T_TraitDi[#Data],COLUMN(T_TraitDi[[#This Row],[Colonne28]]),FALSE),""),"[hh]:mm"))</f>
        <v>#N/A</v>
      </c>
      <c r="BL30" s="172" t="str">
        <f>IFERROR(VLOOKUP(T_BilanSocial[[#This Row],[NumL]],T_TraitDi[#Data],COLUMN(T_TraitDi[[#This Row],[Colonne29]]),FALSE),"")</f>
        <v/>
      </c>
      <c r="BM30" s="172" t="e">
        <f>IF(VLOOKUP(T_BilanSocial[[#This Row],[NumL]],T_TraitDi[#Data],COLUMN(T_TraitDi[[#This Row],[Colonne30]]),FALSE)=0,"",TEXT(IFERROR(VLOOKUP(T_BilanSocial[[#This Row],[NumL]],T_TraitDi[#Data],COLUMN(T_TraitDi[[#This Row],[Colonne30]]),FALSE),""),"[hh]:mm"))</f>
        <v>#N/A</v>
      </c>
      <c r="BN30" s="172" t="e">
        <f>IF(VLOOKUP(T_BilanSocial[[#This Row],[NumL]],T_TraitDi[#Data],COLUMN(T_TraitDi[[#This Row],[Colonne31]]),FALSE)=0,"",TEXT(IFERROR(VLOOKUP(T_BilanSocial[[#This Row],[NumL]],T_TraitDi[#Data],COLUMN(T_TraitDi[[#This Row],[Colonne31]]),FALSE),""),"[hh]:mm"))</f>
        <v>#N/A</v>
      </c>
      <c r="BO30" s="172" t="e">
        <f>IF(VLOOKUP(T_BilanSocial[[#This Row],[NumL]],T_TraitDi[#Data],COLUMN(T_TraitDi[[#This Row],[Colonne32]]),FALSE)=0,"",TEXT(IFERROR(VLOOKUP(T_BilanSocial[[#This Row],[NumL]],T_TraitDi[#Data],COLUMN(T_TraitDi[[#This Row],[Colonne32]]),FALSE),""),"[hh]:mm"))</f>
        <v>#N/A</v>
      </c>
      <c r="BP30" s="172" t="e">
        <f>VLOOKUP(T_BilanSocial[[#This Row],[NumL]],T_TraitDi[#Data],COLUMN(T_TraitDi[NbJTot]),FALSE)</f>
        <v>#N/A</v>
      </c>
      <c r="BQ30" s="174" t="str">
        <f>IFERROR(VLOOKUP(T_BilanSocial[[#This Row],[NumL]],T_TraitDi[#Data],COLUMN(T_TraitDi[[#This Row],[NbJTW]]),FALSE),"")</f>
        <v/>
      </c>
      <c r="BR30" s="174" t="e">
        <f>IF(VLOOKUP(T_BilanSocial[[#This Row],[NumL]],T_TraitDi[#Data],COLUMN(T_TraitDi[[#This Row],[NbhTW]]),FALSE)=0,"",TEXT(IFERROR(VLOOKUP(T_BilanSocial[[#This Row],[NumL]],T_TraitDi[#Data],COLUMN(T_TraitDi[[#This Row],[NbhTW]]),FALSE),""),"[hh]:mm"))</f>
        <v>#N/A</v>
      </c>
      <c r="BS30" s="174" t="e">
        <f>IF(VLOOKUP(T_BilanSocial[[#This Row],[NumL]],T_TraitDi[#Data],COLUMN(T_TraitDi[[#This Row],[Nbhheb]]),FALSE)=0,"",TEXT(IFERROR(VLOOKUP($A30,T_TraitDi[#Data],COLUMN(T_TraitDi[[#This Row],[Nbhheb]]),FALSE),""),"[hh]:mm"))</f>
        <v>#N/A</v>
      </c>
      <c r="BT30" s="182" t="str">
        <f>IFERROR(VLOOKUP(VLOOKUP($A30,T_TraitDi[#Data],COLUMN(T_TraitDi[[#This Row],[Type1]]),FALSE),TypeTW,2,FALSE),"")</f>
        <v/>
      </c>
      <c r="BU30" s="182" t="str">
        <f>IFERROR(VLOOKUP($A30,T_TraitDi[#Data],COLUMN(T_TraitDi[[#This Row],[Rue1]]),FALSE),"")</f>
        <v/>
      </c>
      <c r="BV30" s="173" t="str">
        <f>IFERROR(VLOOKUP($A30,T_TraitDi[#Data],COLUMN(T_TraitDi[[#This Row],[CP1]]),FALSE),"")</f>
        <v/>
      </c>
      <c r="BW30" s="173" t="str">
        <f>IFERROR(VLOOKUP($A30,T_TraitDi[#Data],COLUMN(T_TraitDi[[#This Row],[VILLE1]]),FALSE),"")</f>
        <v/>
      </c>
      <c r="BX30" s="182" t="str">
        <f>IFERROR(VLOOKUP(VLOOKUP($A30,T_TraitDi[#Data],COLUMN(T_TraitDi[[#This Row],[Type2]]),FALSE),TypeTW,2,FALSE),"")</f>
        <v/>
      </c>
      <c r="BY30" s="182" t="str">
        <f>IFERROR(VLOOKUP($A30,T_TraitDi[#Data],COLUMN(T_TraitDi[[#This Row],[Rue2]]),FALSE),"")</f>
        <v/>
      </c>
      <c r="BZ30" s="173" t="str">
        <f>IFERROR(VLOOKUP($A30,T_TraitDi[#Data],COLUMN(T_TraitDi[[#This Row],[CP2]]),FALSE),"")</f>
        <v/>
      </c>
      <c r="CA30" s="173" t="str">
        <f>IFERROR(VLOOKUP($A30,T_TraitDi[#Data],COLUMN(T_TraitDi[[#This Row],[VILLE2]]),FALSE),"")</f>
        <v/>
      </c>
      <c r="CB30" s="182" t="e">
        <f>IF(VLOOKUP(T_BilanSocial[[#This Row],[NumL]],T_Equipement[#Data],COLUMN(T_Equipement[[#This Row],[PC]]),FALSE)="","Aucun équipement spécifique directement lié au télétravail",VLOOKUP(T_BilanSocial[[#This Row],[NumL]],T_Equipement[#Data],COLUMN(T_Equipement[[#This Row],[PC]]),FALSE))</f>
        <v>#N/A</v>
      </c>
      <c r="CC30" s="166" t="str">
        <f>IFERROR(IF(VLOOKUP(T_BilanSocial[[#This Row],[NumL]],T_TraitDi[#Data],COLUMN(T_TraitDi[[#This Row],[Plan]]),FALSE)="OK","Un planning spécifique de télétravail est annexé à la présente convention.",""),"")</f>
        <v/>
      </c>
      <c r="CD30" s="185"/>
      <c r="CE30" s="164" t="str">
        <f>IF(VLOOKUP(T_BilanSocial[[#This Row],[NumL]],T_suiviDi[#Data],COLUMN(T_suiviDi[[#This Row],[Entité]]),FALSE)="","",VLOOKUP(T_BilanSocial[[#This Row],[NumL]],T_suiviDi[#Data],COLUMN(T_suiviDi[[#This Row],[Entité]]),FALSE))</f>
        <v>Philo</v>
      </c>
      <c r="CF30" s="164" t="e">
        <f>IF(VLOOKUP(T_BilanSocial[[#This Row],[NumL]],T_Commission[#Data],COLUMN(T_Commission[[#This Row],[envoi confirm TW]]),FALSE)="","",VLOOKUP(T_BilanSocial[[#This Row],[NumL]],T_Commission[#Data],COLUMN(T_Commission[[#This Row],[envoi confirm TW]]),FALSE))</f>
        <v>#N/A</v>
      </c>
      <c r="CG3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Faculté de philosophie</v>
      </c>
      <c r="CH30" s="262" t="e">
        <f>T_BilanSocial[[#This Row],[Nom]]&amp;T_BilanSocial[[#This Row],[Prenom]]</f>
        <v>#N/A</v>
      </c>
      <c r="CI30" s="262" t="e">
        <f>VLOOKUP(T_BilanSocial[[#This Row],[NumL]],T_Commission[#Data],COLUMN(T_Commission[Commentaire]),FALSE)</f>
        <v>#N/A</v>
      </c>
      <c r="CJ30" s="262" t="e">
        <f>IF(VLOOKUP(T_BilanSocial[[#This Row],[NumL]],T_Commission[#Data],COLUMN(T_Commission[Encadrant Email]),FALSE)="","",VLOOKUP(T_BilanSocial[[#This Row],[NumL]],T_Commission[#Data],COLUMN(T_Commission[Encadrant Email]),FALSE))</f>
        <v>#N/A</v>
      </c>
      <c r="CK30" s="340" t="e">
        <f>IF(T_BilanSocial[[#This Row],[Final]]&lt;&gt;"",VLOOKUP(T_BilanSocial[[#This Row],[NumL]],T_suiviDi[#Data],COLUMN((T_suiviDi[Statut])),FALSE),"")</f>
        <v>#N/A</v>
      </c>
    </row>
    <row r="31" spans="1:89" s="106" customFormat="1" ht="24.75" customHeight="1" x14ac:dyDescent="0.25">
      <c r="A31" s="160">
        <v>28</v>
      </c>
      <c r="B31" s="161" t="str">
        <f t="shared" si="0"/>
        <v/>
      </c>
      <c r="C31" s="162" t="s">
        <v>3287</v>
      </c>
      <c r="D31" s="95" t="e">
        <f>IF(VLOOKUP(T_BilanSocial[[#This Row],[NumL]],T_TraitDi[#Data],COLUMN(T_TraitDi[[#This Row],[WebC]]),FALSE)="","",VLOOKUP(T_BilanSocial[[#This Row],[NumL]],T_TraitDi[#Data],COLUMN(T_TraitDi[[#This Row],[WebC]]),FALSE))</f>
        <v>#N/A</v>
      </c>
      <c r="E31" s="163" t="str">
        <f t="shared" si="1"/>
        <v>12 janvier 2021</v>
      </c>
      <c r="F31" s="96" t="str">
        <f>IF(T_BilanSocial[[#This Row],[Final]]&lt;&gt;"",VLOOKUP(T_BilanSocial[[#This Row],[NumL]],T_suiviDi[#Data],COLUMN((T_suiviDi[Civ.])),FALSE),"")</f>
        <v/>
      </c>
      <c r="G31" s="96" t="str">
        <f>IF(T_BilanSocial[[#This Row],[Final]]&lt;&gt;"",VLOOKUP(T_BilanSocial[[#This Row],[NumL]],T_suiviDi[#Data],COLUMN((T_suiviDi[Nom])),FALSE),"")</f>
        <v/>
      </c>
      <c r="H31" s="96" t="str">
        <f>IF(T_BilanSocial[[#This Row],[Final]]&lt;&gt;"",VLOOKUP(T_BilanSocial[[#This Row],[NumL]],T_suiviDi[#Data],COLUMN((T_suiviDi[Prénom])),FALSE),"")</f>
        <v/>
      </c>
      <c r="I31" s="96" t="str">
        <f>IFERROR(VLOOKUP(T_BilanSocial[[#This Row],[Zone_Bilan]],T_P_BilanSocial[#Data],COLUMN(T_P_BilanSocial[[#This Row],[Numero_SIHAM]]),FALSE),"")</f>
        <v/>
      </c>
      <c r="J31" s="96" t="str">
        <f>IFERROR(VLOOKUP(T_BilanSocial[[#This Row],[Zone_Bilan]],T_P_BilanSocial[#Data],COLUMN(T_P_BilanSocial[[#This Row],[Sexe]]),FALSE),"")</f>
        <v/>
      </c>
      <c r="K31" s="97" t="str">
        <f>IFERROR(VLOOKUP(T_BilanSocial[[#This Row],[Zone_Bilan]],T_P_BilanSocial[#Data],COLUMN(T_P_BilanSocial[[#This Row],[Categorie]]),FALSE),"")</f>
        <v/>
      </c>
      <c r="L31" s="96" t="str">
        <f>IFERROR(VLOOKUP(T_BilanSocial[[#This Row],[Zone_Bilan]],T_P_BilanSocial[#Data],COLUMN(T_P_BilanSocial[[#This Row],[Statut]]),FALSE),"")</f>
        <v/>
      </c>
      <c r="M31" s="96" t="str">
        <f>IFERROR(VLOOKUP(T_BilanSocial[[#This Row],[Zone_Bilan]],T_P_BilanSocial[#Data],COLUMN(T_P_BilanSocial[[#This Row],[Filiere]]),FALSE),"")</f>
        <v/>
      </c>
      <c r="N31" s="96" t="e">
        <f>VLOOKUP(T_BilanSocial[[#This Row],[NumL]],T_TraitDi[#Data],COLUMN(T_TraitDi[EXP]),FALSE)</f>
        <v>#N/A</v>
      </c>
      <c r="O31" s="96" t="e">
        <f>VLOOKUP(T_BilanSocial[[#This Row],[NumL]],T_TraitDi[#Data],COLUMN(T_TraitDi[FORM]),FALSE)</f>
        <v>#N/A</v>
      </c>
      <c r="P31" s="96" t="str">
        <f>IF(T_BilanSocial[[#This Row],[Final]]&lt;&gt;"",VLOOKUP(T_BilanSocial[[#This Row],[NumL]],T_suiviDi[#Data],COLUMN((T_suiviDi[Email])),FALSE),"")</f>
        <v/>
      </c>
      <c r="Q31" s="164" t="e">
        <f t="shared" si="7"/>
        <v>#N/A</v>
      </c>
      <c r="R31" s="164" t="e">
        <f t="shared" si="8"/>
        <v>#N/A</v>
      </c>
      <c r="S31" s="164" t="e">
        <f>IF(VLOOKUP(T_BilanSocial[[#This Row],[NumL]],T_suiviDi[#Data],COLUMN(T_suiviDi[[#This Row],[Service ]]),FALSE)="","",VLOOKUP(T_BilanSocial[[#This Row],[NumL]],T_suiviDi[#Data],COLUMN(T_suiviDi[[#This Row],[Service ]]),FALSE))</f>
        <v>#N/A</v>
      </c>
      <c r="T31" s="164" t="str">
        <f t="shared" si="2"/>
        <v>01 septembre 2021</v>
      </c>
      <c r="U31" s="164" t="str">
        <f t="shared" si="3"/>
        <v>30 novembre 2021</v>
      </c>
      <c r="V31" s="164" t="str">
        <f t="shared" si="6"/>
        <v>30 novembre 2021</v>
      </c>
      <c r="W31" s="176" t="e">
        <f>IF(VLOOKUP(T_BilanSocial[[#This Row],[NumL]],T_TraitDi[#Data],COLUMN(T_TraitDi[[#This Row],[M1]]),FALSE)="","",VLOOKUP(T_BilanSocial[[#This Row],[NumL]],T_TraitDi[#Data],COLUMN(T_TraitDi[[#This Row],[M1]]),FALSE))</f>
        <v>#N/A</v>
      </c>
      <c r="X31" s="176" t="e">
        <f>IF(VLOOKUP(T_BilanSocial[[#This Row],[NumL]],T_TraitDi[#Data],COLUMN(T_TraitDi[[#This Row],[M2]]),FALSE)="","",VLOOKUP(T_BilanSocial[[#This Row],[NumL]],T_TraitDi[#Data],COLUMN(T_TraitDi[[#This Row],[M2]]),FALSE))</f>
        <v>#N/A</v>
      </c>
      <c r="Y31" s="176" t="e">
        <f>IF(VLOOKUP(T_BilanSocial[[#This Row],[NumL]],T_TraitDi[#Data],COLUMN(T_TraitDi[[#This Row],[M3]]),FALSE)="","",VLOOKUP(T_BilanSocial[[#This Row],[NumL]],T_TraitDi[#Data],COLUMN(T_TraitDi[[#This Row],[M3]]),FALSE))</f>
        <v>#N/A</v>
      </c>
      <c r="Z31" s="176" t="str">
        <f t="shared" si="5"/>
        <v/>
      </c>
      <c r="AA31" s="176" t="e">
        <f>IF(VLOOKUP(T_BilanSocial[[#This Row],[NumL]],T_TraitDi[#Data],COLUMN(T_TraitDi[[#This Row],[M5]]),FALSE)="","",VLOOKUP(T_BilanSocial[[#This Row],[NumL]],T_TraitDi[#Data],COLUMN(T_TraitDi[[#This Row],[M5]]),FALSE))</f>
        <v>#N/A</v>
      </c>
      <c r="AB31" s="176" t="e">
        <f>IF(VLOOKUP(T_BilanSocial[[#This Row],[NumL]],T_TraitDi[#Data],COLUMN(T_TraitDi[[#This Row],[M6]]),FALSE)="","",VLOOKUP(T_BilanSocial[[#This Row],[NumL]],T_TraitDi[#Data],COLUMN(T_TraitDi[[#This Row],[M6]]),FALSE))</f>
        <v>#N/A</v>
      </c>
      <c r="AC31" s="165" t="e">
        <f t="shared" si="4"/>
        <v>#N/A</v>
      </c>
      <c r="AD31" s="188" t="str">
        <f>IFERROR(TEXT(VLOOKUP(T_BilanSocial[[#This Row],[NumL]],T_TraitDi[#Data],COLUMN(T_TraitDi[[#This Row],[Q2]]),FALSE),"###%"),"")</f>
        <v/>
      </c>
      <c r="AE31" s="97" t="e">
        <f>VLOOKUP(T_BilanSocial[[#This Row],[NumL]],T_TraitDi[#Data],COLUMN(T_TraitDi[[#This Row],[Reg Ponct]]),FALSE)</f>
        <v>#N/A</v>
      </c>
      <c r="AF31" s="97" t="e">
        <f>VLOOKUP(T_BilanSocial[NumL],T_TraitDi[#Data],COLUMN(T_TraitDi[[#This Row],[Jours flottants]]),FALSE)</f>
        <v>#N/A</v>
      </c>
      <c r="AG31" s="97" t="str">
        <f>IFERROR(VLOOKUP(T_BilanSocial[[#This Row],[NumL]],T_TraitDi[#Data],COLUMN(T_TraitDi[[#This Row],[Lundi]]),FALSE),"")</f>
        <v/>
      </c>
      <c r="AH31" s="172" t="e">
        <f>IF(VLOOKUP(T_BilanSocial[[#This Row],[NumL]],T_TraitDi[#Data],COLUMN(T_TraitDi[[#This Row],[Colonne3]]),FALSE)=0,"",TEXT(IFERROR(VLOOKUP(T_BilanSocial[[#This Row],[NumL]],T_TraitDi[#Data],COLUMN(T_TraitDi[[#This Row],[Colonne3]]),FALSE),""),"[hh]:mm"))</f>
        <v>#N/A</v>
      </c>
      <c r="AI31" s="172" t="e">
        <f>IF(VLOOKUP(T_BilanSocial[[#This Row],[NumL]],T_TraitDi[#Data],COLUMN(T_TraitDi[[#This Row],[Colonne4]]),FALSE)=0,"",TEXT(IFERROR(VLOOKUP(T_BilanSocial[[#This Row],[NumL]],T_TraitDi[#Data],COLUMN(T_TraitDi[[#This Row],[Colonne4]]),FALSE),""),"[hh]:mm"))</f>
        <v>#N/A</v>
      </c>
      <c r="AJ31" s="172" t="e">
        <f>IF(VLOOKUP(T_BilanSocial[[#This Row],[NumL]],T_TraitDi[#Data],COLUMN(T_TraitDi[[#This Row],[Colonne5]]),FALSE)=0,"",TEXT(IFERROR(VLOOKUP(T_BilanSocial[[#This Row],[NumL]],T_TraitDi[#Data],COLUMN(T_TraitDi[[#This Row],[Colonne5]]),FALSE),""),"[hh]:mm"))</f>
        <v>#N/A</v>
      </c>
      <c r="AK31" s="172" t="e">
        <f>IF(VLOOKUP(T_BilanSocial[[#This Row],[NumL]],T_TraitDi[#Data],COLUMN(T_TraitDi[[#This Row],[Colonne6]]),FALSE)=0,"",TEXT(IFERROR(VLOOKUP(T_BilanSocial[[#This Row],[NumL]],T_TraitDi[#Data],COLUMN(T_TraitDi[[#This Row],[Colonne6]]),FALSE),""),"[hh]:mm"))</f>
        <v>#N/A</v>
      </c>
      <c r="AL31" s="172" t="e">
        <f>IF(VLOOKUP(T_BilanSocial[[#This Row],[NumL]],T_TraitDi[#Data],COLUMN(T_TraitDi[[#This Row],[Colonne7]]),FALSE)=0,"",TEXT(IFERROR(VLOOKUP(T_BilanSocial[[#This Row],[NumL]],T_TraitDi[#Data],COLUMN(T_TraitDi[[#This Row],[Colonne7]]),FALSE),""),"[hh]:mm"))</f>
        <v>#N/A</v>
      </c>
      <c r="AM31" s="172" t="e">
        <f>IF(VLOOKUP(T_BilanSocial[[#This Row],[NumL]],T_TraitDi[#Data],COLUMN(T_TraitDi[[#This Row],[Colonne8]]),FALSE)=0,"",TEXT(IFERROR(VLOOKUP(T_BilanSocial[[#This Row],[NumL]],T_TraitDi[#Data],COLUMN(T_TraitDi[[#This Row],[Colonne8]]),FALSE),""),"[hh]:mm"))</f>
        <v>#N/A</v>
      </c>
      <c r="AN31" s="172" t="str">
        <f>IFERROR(VLOOKUP(T_BilanSocial[[#This Row],[NumL]],T_TraitDi[#Data],COLUMN(T_TraitDi[[#This Row],[Mardi]]),FALSE),"")</f>
        <v/>
      </c>
      <c r="AO31" s="172" t="e">
        <f>IF(VLOOKUP(T_BilanSocial[[#This Row],[NumL]],T_TraitDi[#Data],COLUMN(T_TraitDi[[#This Row],[Colonne1]]),FALSE)=0,"",TEXT(IFERROR(VLOOKUP(T_BilanSocial[[#This Row],[NumL]],T_TraitDi[#Data],COLUMN(T_TraitDi[[#This Row],[Colonne1]]),FALSE),""),"[hh]:mm"))</f>
        <v>#N/A</v>
      </c>
      <c r="AP31" s="172" t="e">
        <f>IF(VLOOKUP(T_BilanSocial[[#This Row],[NumL]],T_TraitDi[#Data],COLUMN(T_TraitDi[[#This Row],[Colonne9]]),FALSE)=0,"",TEXT(IFERROR(VLOOKUP(T_BilanSocial[[#This Row],[NumL]],T_TraitDi[#Data],COLUMN(T_TraitDi[[#This Row],[Colonne9]]),FALSE),""),"[hh]:mm"))</f>
        <v>#N/A</v>
      </c>
      <c r="AQ31" s="172" t="str">
        <f>IFERROR(VLOOKUP(T_BilanSocial[[#This Row],[NumL]],T_TraitDi[#Data],COLUMN(T_TraitDi[[#This Row],[Colonne10]]),FALSE),"")</f>
        <v/>
      </c>
      <c r="AR31" s="172" t="e">
        <f>IF(VLOOKUP(T_BilanSocial[[#This Row],[NumL]],T_TraitDi[#Data],COLUMN(T_TraitDi[[#This Row],[Colonne11]]),FALSE)=0,"",TEXT(IFERROR(VLOOKUP(T_BilanSocial[[#This Row],[NumL]],T_TraitDi[#Data],COLUMN(T_TraitDi[[#This Row],[Colonne11]]),FALSE),""),"[hh]:mm"))</f>
        <v>#N/A</v>
      </c>
      <c r="AS31" s="172" t="e">
        <f>IF(VLOOKUP(T_BilanSocial[[#This Row],[NumL]],T_TraitDi[#Data],COLUMN(T_TraitDi[[#This Row],[Colonne12]]),FALSE)=0,"",TEXT(IFERROR(VLOOKUP(T_BilanSocial[[#This Row],[NumL]],T_TraitDi[#Data],COLUMN(T_TraitDi[[#This Row],[Colonne12]]),FALSE),""),"[hh]:mm"))</f>
        <v>#N/A</v>
      </c>
      <c r="AT31" s="172" t="e">
        <f>IF(VLOOKUP(T_BilanSocial[[#This Row],[NumL]],T_TraitDi[#Data],COLUMN(T_TraitDi[[#This Row],[Colonne14]]),FALSE)=0,"",TEXT(IFERROR(VLOOKUP(T_BilanSocial[[#This Row],[NumL]],T_TraitDi[#Data],COLUMN(T_TraitDi[[#This Row],[Colonne14]]),FALSE),""),"[hh]:mm"))</f>
        <v>#N/A</v>
      </c>
      <c r="AU31" s="172" t="str">
        <f>IFERROR(VLOOKUP(T_BilanSocial[[#This Row],[NumL]],T_TraitDi[#Data],COLUMN(T_TraitDi[[#This Row],[Mercredi]]),FALSE),"")</f>
        <v/>
      </c>
      <c r="AV31" s="172" t="e">
        <f>IF(VLOOKUP(T_BilanSocial[[#This Row],[NumL]],T_TraitDi[#Data],COLUMN(T_TraitDi[[#This Row],[Colonne15]]),FALSE)=0,"",TEXT(IFERROR(VLOOKUP(T_BilanSocial[[#This Row],[NumL]],T_TraitDi[#Data],COLUMN(T_TraitDi[[#This Row],[Colonne15]]),FALSE),""),"[hh]:mm"))</f>
        <v>#N/A</v>
      </c>
      <c r="AW31" s="172" t="e">
        <f>IF(VLOOKUP(T_BilanSocial[[#This Row],[NumL]],T_TraitDi[#Data],COLUMN(T_TraitDi[[#This Row],[Colonne16]]),FALSE)=0,"",TEXT(IFERROR(VLOOKUP(T_BilanSocial[[#This Row],[NumL]],T_TraitDi[#Data],COLUMN(T_TraitDi[[#This Row],[Colonne16]]),FALSE),""),"[hh]:mm"))</f>
        <v>#N/A</v>
      </c>
      <c r="AX31" s="172" t="str">
        <f>IFERROR(VLOOKUP(T_BilanSocial[[#This Row],[NumL]],T_TraitDi[#Data],COLUMN(T_TraitDi[[#This Row],[Colonne17]]),FALSE),"")</f>
        <v/>
      </c>
      <c r="AY31" s="172" t="e">
        <f>IF(VLOOKUP(T_BilanSocial[[#This Row],[NumL]],T_TraitDi[#Data],COLUMN(T_TraitDi[[#This Row],[Colonne18]]),FALSE)=0,"",TEXT(IFERROR(VLOOKUP(T_BilanSocial[[#This Row],[NumL]],T_TraitDi[#Data],COLUMN(T_TraitDi[[#This Row],[Colonne18]]),FALSE),""),"[hh]:mm"))</f>
        <v>#N/A</v>
      </c>
      <c r="AZ31" s="172" t="e">
        <f>IF(VLOOKUP(T_BilanSocial[[#This Row],[NumL]],T_TraitDi[#Data],COLUMN(T_TraitDi[[#This Row],[Colonne19]]),FALSE)=0,"",TEXT(IFERROR(VLOOKUP(T_BilanSocial[[#This Row],[NumL]],T_TraitDi[#Data],COLUMN(T_TraitDi[[#This Row],[Colonne19]]),FALSE),""),"[hh]:mm"))</f>
        <v>#N/A</v>
      </c>
      <c r="BA31" s="172" t="e">
        <f>IF(VLOOKUP(T_BilanSocial[[#This Row],[NumL]],T_TraitDi[#Data],COLUMN(T_TraitDi[[#This Row],[Colonne20]]),FALSE)=0,"",TEXT(IFERROR(VLOOKUP(T_BilanSocial[[#This Row],[NumL]],T_TraitDi[#Data],COLUMN(T_TraitDi[[#This Row],[Colonne20]]),FALSE),""),"[hh]:mm"))</f>
        <v>#N/A</v>
      </c>
      <c r="BB31" s="178" t="str">
        <f>IFERROR(VLOOKUP(T_BilanSocial[[#This Row],[NumL]],T_TraitDi[#Data],COLUMN(T_TraitDi[[#This Row],[Jeudi]]),FALSE),"")</f>
        <v/>
      </c>
      <c r="BC31" s="178" t="e">
        <f>IF(VLOOKUP(T_BilanSocial[[#This Row],[NumL]],T_TraitDi[#Data],COLUMN(T_TraitDi[[#This Row],[Colonne21]]),FALSE)=0,"",TEXT(IFERROR(VLOOKUP(T_BilanSocial[[#This Row],[NumL]],T_TraitDi[#Data],COLUMN(T_TraitDi[[#This Row],[Colonne21]]),FALSE),""),"[hh]:mm"))</f>
        <v>#N/A</v>
      </c>
      <c r="BD31" s="178" t="e">
        <f>IF(VLOOKUP(T_BilanSocial[[#This Row],[NumL]],T_TraitDi[#Data],COLUMN(T_TraitDi[[#This Row],[Colonne22]]),FALSE)=0,"",TEXT(IFERROR(VLOOKUP(T_BilanSocial[[#This Row],[NumL]],T_TraitDi[#Data],COLUMN(T_TraitDi[[#This Row],[Colonne22]]),FALSE),""),"[hh]:mm"))</f>
        <v>#N/A</v>
      </c>
      <c r="BE31" s="178" t="str">
        <f>IFERROR(VLOOKUP(T_BilanSocial[[#This Row],[NumL]],T_TraitDi[#Data],COLUMN(T_TraitDi[[#This Row],[Colonne23]]),FALSE),"")</f>
        <v/>
      </c>
      <c r="BF31" s="178" t="e">
        <f>IF(VLOOKUP(T_BilanSocial[[#This Row],[NumL]],T_TraitDi[#Data],COLUMN(T_TraitDi[[#This Row],[Colonne24]]),FALSE)=0,"",TEXT(IFERROR(VLOOKUP(T_BilanSocial[[#This Row],[NumL]],T_TraitDi[#Data],COLUMN(T_TraitDi[[#This Row],[Colonne24]]),FALSE),""),"[hh]:mm"))</f>
        <v>#N/A</v>
      </c>
      <c r="BG31" s="178" t="e">
        <f>IF(VLOOKUP(T_BilanSocial[[#This Row],[NumL]],T_TraitDi[#Data],COLUMN(T_TraitDi[[#This Row],[Colonne25]]),FALSE)=0,"",TEXT(IFERROR(VLOOKUP(T_BilanSocial[[#This Row],[NumL]],T_TraitDi[#Data],COLUMN(T_TraitDi[[#This Row],[Colonne25]]),FALSE),""),"[hh]:mm"))</f>
        <v>#N/A</v>
      </c>
      <c r="BH31" s="178" t="e">
        <f>IF(VLOOKUP(T_BilanSocial[[#This Row],[NumL]],T_TraitDi[#Data],COLUMN(T_TraitDi[[#This Row],[Colonne26]]),FALSE)=0,"",TEXT(IFERROR(VLOOKUP(T_BilanSocial[[#This Row],[NumL]],T_TraitDi[#Data],COLUMN(T_TraitDi[[#This Row],[Colonne26]]),FALSE),""),"[hh]:mm"))</f>
        <v>#N/A</v>
      </c>
      <c r="BI31" s="172" t="str">
        <f>IFERROR(VLOOKUP(T_BilanSocial[[#This Row],[NumL]],T_TraitDi[#Data],COLUMN(T_TraitDi[[#This Row],[Vendredi]]),FALSE),"")</f>
        <v/>
      </c>
      <c r="BJ31" s="172" t="e">
        <f>IF(VLOOKUP(T_BilanSocial[[#This Row],[NumL]],T_TraitDi[#Data],COLUMN(T_TraitDi[[#This Row],[Colonne27]]),FALSE)=0,"",TEXT(IFERROR(VLOOKUP(T_BilanSocial[[#This Row],[NumL]],T_TraitDi[#Data],COLUMN(T_TraitDi[[#This Row],[Colonne27]]),FALSE),""),"[hh]:mm"))</f>
        <v>#N/A</v>
      </c>
      <c r="BK31" s="172" t="e">
        <f>IF(VLOOKUP(T_BilanSocial[[#This Row],[NumL]],T_TraitDi[#Data],COLUMN(T_TraitDi[[#This Row],[Colonne28]]),FALSE)=0,"",TEXT(IFERROR(VLOOKUP(T_BilanSocial[[#This Row],[NumL]],T_TraitDi[#Data],COLUMN(T_TraitDi[[#This Row],[Colonne28]]),FALSE),""),"[hh]:mm"))</f>
        <v>#N/A</v>
      </c>
      <c r="BL31" s="172" t="str">
        <f>IFERROR(VLOOKUP(T_BilanSocial[[#This Row],[NumL]],T_TraitDi[#Data],COLUMN(T_TraitDi[[#This Row],[Colonne29]]),FALSE),"")</f>
        <v/>
      </c>
      <c r="BM31" s="172" t="e">
        <f>IF(VLOOKUP(T_BilanSocial[[#This Row],[NumL]],T_TraitDi[#Data],COLUMN(T_TraitDi[[#This Row],[Colonne30]]),FALSE)=0,"",TEXT(IFERROR(VLOOKUP(T_BilanSocial[[#This Row],[NumL]],T_TraitDi[#Data],COLUMN(T_TraitDi[[#This Row],[Colonne30]]),FALSE),""),"[hh]:mm"))</f>
        <v>#N/A</v>
      </c>
      <c r="BN31" s="172" t="e">
        <f>IF(VLOOKUP(T_BilanSocial[[#This Row],[NumL]],T_TraitDi[#Data],COLUMN(T_TraitDi[[#This Row],[Colonne31]]),FALSE)=0,"",TEXT(IFERROR(VLOOKUP(T_BilanSocial[[#This Row],[NumL]],T_TraitDi[#Data],COLUMN(T_TraitDi[[#This Row],[Colonne31]]),FALSE),""),"[hh]:mm"))</f>
        <v>#N/A</v>
      </c>
      <c r="BO31" s="172" t="e">
        <f>IF(VLOOKUP(T_BilanSocial[[#This Row],[NumL]],T_TraitDi[#Data],COLUMN(T_TraitDi[[#This Row],[Colonne32]]),FALSE)=0,"",TEXT(IFERROR(VLOOKUP(T_BilanSocial[[#This Row],[NumL]],T_TraitDi[#Data],COLUMN(T_TraitDi[[#This Row],[Colonne32]]),FALSE),""),"[hh]:mm"))</f>
        <v>#N/A</v>
      </c>
      <c r="BP31" s="172" t="e">
        <f>VLOOKUP(T_BilanSocial[[#This Row],[NumL]],T_TraitDi[#Data],COLUMN(T_TraitDi[NbJTot]),FALSE)</f>
        <v>#N/A</v>
      </c>
      <c r="BQ31" s="174" t="str">
        <f>IFERROR(VLOOKUP(T_BilanSocial[[#This Row],[NumL]],T_TraitDi[#Data],COLUMN(T_TraitDi[[#This Row],[NbJTW]]),FALSE),"")</f>
        <v/>
      </c>
      <c r="BR31" s="174" t="e">
        <f>IF(VLOOKUP(T_BilanSocial[[#This Row],[NumL]],T_TraitDi[#Data],COLUMN(T_TraitDi[[#This Row],[NbhTW]]),FALSE)=0,"",TEXT(IFERROR(VLOOKUP(T_BilanSocial[[#This Row],[NumL]],T_TraitDi[#Data],COLUMN(T_TraitDi[[#This Row],[NbhTW]]),FALSE),""),"[hh]:mm"))</f>
        <v>#N/A</v>
      </c>
      <c r="BS31" s="174" t="e">
        <f>IF(VLOOKUP(T_BilanSocial[[#This Row],[NumL]],T_TraitDi[#Data],COLUMN(T_TraitDi[[#This Row],[Nbhheb]]),FALSE)=0,"",TEXT(IFERROR(VLOOKUP($A31,T_TraitDi[#Data],COLUMN(T_TraitDi[[#This Row],[Nbhheb]]),FALSE),""),"[hh]:mm"))</f>
        <v>#N/A</v>
      </c>
      <c r="BT31" s="182" t="str">
        <f>IFERROR(VLOOKUP(VLOOKUP($A31,T_TraitDi[#Data],COLUMN(T_TraitDi[[#This Row],[Type1]]),FALSE),TypeTW,2,FALSE),"")</f>
        <v/>
      </c>
      <c r="BU31" s="182" t="str">
        <f>IFERROR(VLOOKUP($A31,T_TraitDi[#Data],COLUMN(T_TraitDi[[#This Row],[Rue1]]),FALSE),"")</f>
        <v/>
      </c>
      <c r="BV31" s="173" t="str">
        <f>IFERROR(VLOOKUP($A31,T_TraitDi[#Data],COLUMN(T_TraitDi[[#This Row],[CP1]]),FALSE),"")</f>
        <v/>
      </c>
      <c r="BW31" s="173" t="str">
        <f>IFERROR(VLOOKUP($A31,T_TraitDi[#Data],COLUMN(T_TraitDi[[#This Row],[VILLE1]]),FALSE),"")</f>
        <v/>
      </c>
      <c r="BX31" s="182" t="str">
        <f>IFERROR(VLOOKUP(VLOOKUP($A31,T_TraitDi[#Data],COLUMN(T_TraitDi[[#This Row],[Type2]]),FALSE),TypeTW,2,FALSE),"")</f>
        <v/>
      </c>
      <c r="BY31" s="182" t="str">
        <f>IFERROR(VLOOKUP($A31,T_TraitDi[#Data],COLUMN(T_TraitDi[[#This Row],[Rue2]]),FALSE),"")</f>
        <v/>
      </c>
      <c r="BZ31" s="173" t="str">
        <f>IFERROR(VLOOKUP($A31,T_TraitDi[#Data],COLUMN(T_TraitDi[[#This Row],[CP2]]),FALSE),"")</f>
        <v/>
      </c>
      <c r="CA31" s="173" t="str">
        <f>IFERROR(VLOOKUP($A31,T_TraitDi[#Data],COLUMN(T_TraitDi[[#This Row],[VILLE2]]),FALSE),"")</f>
        <v/>
      </c>
      <c r="CB31" s="182" t="str">
        <f>IF(VLOOKUP(T_BilanSocial[[#This Row],[NumL]],T_Equipement[#Data],COLUMN(T_Equipement[[#This Row],[PC]]),FALSE)="","Aucun équipement spécifique directement lié au télétravail",VLOOKUP(T_BilanSocial[[#This Row],[NumL]],T_Equipement[#Data],COLUMN(T_Equipement[[#This Row],[PC]]),FALSE))</f>
        <v xml:space="preserve">20-428	</v>
      </c>
      <c r="CC31" s="166" t="str">
        <f>IFERROR(IF(VLOOKUP(T_BilanSocial[[#This Row],[NumL]],T_TraitDi[#Data],COLUMN(T_TraitDi[[#This Row],[Plan]]),FALSE)="OK","Un planning spécifique de télétravail est annexé à la présente convention.",""),"")</f>
        <v/>
      </c>
      <c r="CD31" s="185"/>
      <c r="CE31" s="164" t="e">
        <f>IF(VLOOKUP(T_BilanSocial[[#This Row],[NumL]],T_suiviDi[#Data],COLUMN(T_suiviDi[[#This Row],[Entité]]),FALSE)="","",VLOOKUP(T_BilanSocial[[#This Row],[NumL]],T_suiviDi[#Data],COLUMN(T_suiviDi[[#This Row],[Entité]]),FALSE))</f>
        <v>#N/A</v>
      </c>
      <c r="CF31" s="164" t="str">
        <f>IF(VLOOKUP(T_BilanSocial[[#This Row],[NumL]],T_Commission[#Data],COLUMN(T_Commission[[#This Row],[envoi confirm TW]]),FALSE)="","",VLOOKUP(T_BilanSocial[[#This Row],[NumL]],T_Commission[#Data],COLUMN(T_Commission[[#This Row],[envoi confirm TW]]),FALSE))</f>
        <v>Oui</v>
      </c>
      <c r="CG3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 s="262" t="str">
        <f>T_BilanSocial[[#This Row],[Nom]]&amp;T_BilanSocial[[#This Row],[Prenom]]</f>
        <v/>
      </c>
      <c r="CI31" s="262">
        <f>VLOOKUP(T_BilanSocial[[#This Row],[NumL]],T_Commission[#Data],COLUMN(T_Commission[Commentaire]),FALSE)</f>
        <v>0</v>
      </c>
      <c r="CJ31" s="262" t="str">
        <f>IF(VLOOKUP(T_BilanSocial[[#This Row],[NumL]],T_Commission[#Data],COLUMN(T_Commission[Encadrant Email]),FALSE)="","",VLOOKUP(T_BilanSocial[[#This Row],[NumL]],T_Commission[#Data],COLUMN(T_Commission[Encadrant Email]),FALSE))</f>
        <v/>
      </c>
      <c r="CK31" s="340" t="str">
        <f>IF(T_BilanSocial[[#This Row],[Final]]&lt;&gt;"",VLOOKUP(T_BilanSocial[[#This Row],[NumL]],T_suiviDi[#Data],COLUMN((T_suiviDi[Statut])),FALSE),"")</f>
        <v/>
      </c>
    </row>
    <row r="32" spans="1:89" s="106" customFormat="1" ht="24.75" customHeight="1" x14ac:dyDescent="0.25">
      <c r="A32" s="160">
        <v>29</v>
      </c>
      <c r="B32" s="161" t="str">
        <f t="shared" si="0"/>
        <v/>
      </c>
      <c r="C32" s="162" t="s">
        <v>173</v>
      </c>
      <c r="D32" s="95" t="e">
        <f>IF(VLOOKUP(T_BilanSocial[[#This Row],[NumL]],T_TraitDi[#Data],COLUMN(T_TraitDi[[#This Row],[WebC]]),FALSE)="","",VLOOKUP(T_BilanSocial[[#This Row],[NumL]],T_TraitDi[#Data],COLUMN(T_TraitDi[[#This Row],[WebC]]),FALSE))</f>
        <v>#VALUE!</v>
      </c>
      <c r="E32" s="163" t="str">
        <f t="shared" si="1"/>
        <v>12 janvier 2021</v>
      </c>
      <c r="F32" s="96" t="str">
        <f>IF(T_BilanSocial[[#This Row],[Final]]&lt;&gt;"",VLOOKUP(T_BilanSocial[[#This Row],[NumL]],T_suiviDi[#Data],COLUMN((T_suiviDi[Civ.])),FALSE),"")</f>
        <v/>
      </c>
      <c r="G32" s="96" t="str">
        <f>IF(T_BilanSocial[[#This Row],[Final]]&lt;&gt;"",VLOOKUP(T_BilanSocial[[#This Row],[NumL]],T_suiviDi[#Data],COLUMN((T_suiviDi[Nom])),FALSE),"")</f>
        <v/>
      </c>
      <c r="H32" s="96" t="str">
        <f>IF(T_BilanSocial[[#This Row],[Final]]&lt;&gt;"",VLOOKUP(T_BilanSocial[[#This Row],[NumL]],T_suiviDi[#Data],COLUMN((T_suiviDi[Prénom])),FALSE),"")</f>
        <v/>
      </c>
      <c r="I32" s="96" t="str">
        <f>IFERROR(VLOOKUP(T_BilanSocial[[#This Row],[Zone_Bilan]],T_P_BilanSocial[#Data],COLUMN(T_P_BilanSocial[[#This Row],[Numero_SIHAM]]),FALSE),"")</f>
        <v/>
      </c>
      <c r="J32" s="96" t="str">
        <f>IFERROR(VLOOKUP(T_BilanSocial[[#This Row],[Zone_Bilan]],T_P_BilanSocial[#Data],COLUMN(T_P_BilanSocial[[#This Row],[Sexe]]),FALSE),"")</f>
        <v/>
      </c>
      <c r="K32" s="97" t="str">
        <f>IFERROR(VLOOKUP(T_BilanSocial[[#This Row],[Zone_Bilan]],T_P_BilanSocial[#Data],COLUMN(T_P_BilanSocial[[#This Row],[Categorie]]),FALSE),"")</f>
        <v/>
      </c>
      <c r="L32" s="96" t="str">
        <f>IFERROR(VLOOKUP(T_BilanSocial[[#This Row],[Zone_Bilan]],T_P_BilanSocial[#Data],COLUMN(T_P_BilanSocial[[#This Row],[Statut]]),FALSE),"")</f>
        <v/>
      </c>
      <c r="M32" s="96" t="str">
        <f>IFERROR(VLOOKUP(T_BilanSocial[[#This Row],[Zone_Bilan]],T_P_BilanSocial[#Data],COLUMN(T_P_BilanSocial[[#This Row],[Filiere]]),FALSE),"")</f>
        <v/>
      </c>
      <c r="N32" s="96" t="e">
        <f>VLOOKUP(T_BilanSocial[[#This Row],[NumL]],T_TraitDi[#Data],COLUMN(T_TraitDi[EXP]),FALSE)</f>
        <v>#N/A</v>
      </c>
      <c r="O32" s="96" t="e">
        <f>VLOOKUP(T_BilanSocial[[#This Row],[NumL]],T_TraitDi[#Data],COLUMN(T_TraitDi[FORM]),FALSE)</f>
        <v>#N/A</v>
      </c>
      <c r="P32" s="96" t="str">
        <f>IF(T_BilanSocial[[#This Row],[Final]]&lt;&gt;"",VLOOKUP(T_BilanSocial[[#This Row],[NumL]],T_suiviDi[#Data],COLUMN((T_suiviDi[Email])),FALSE),"")</f>
        <v/>
      </c>
      <c r="Q32" s="164" t="e">
        <f t="shared" si="7"/>
        <v>#N/A</v>
      </c>
      <c r="R32" s="164" t="e">
        <f t="shared" si="8"/>
        <v>#N/A</v>
      </c>
      <c r="S32" s="164" t="e">
        <f>IF(VLOOKUP(T_BilanSocial[[#This Row],[NumL]],T_suiviDi[#Data],COLUMN(T_suiviDi[[#This Row],[Service ]]),FALSE)="","",VLOOKUP(T_BilanSocial[[#This Row],[NumL]],T_suiviDi[#Data],COLUMN(T_suiviDi[[#This Row],[Service ]]),FALSE))</f>
        <v>#N/A</v>
      </c>
      <c r="T32" s="164" t="str">
        <f t="shared" si="2"/>
        <v>01 septembre 2021</v>
      </c>
      <c r="U32" s="164" t="str">
        <f t="shared" si="3"/>
        <v>30 novembre 2021</v>
      </c>
      <c r="V32" s="164" t="str">
        <f t="shared" si="6"/>
        <v>30 novembre 2021</v>
      </c>
      <c r="W32" s="176" t="e">
        <f>IF(VLOOKUP(T_BilanSocial[[#This Row],[NumL]],T_TraitDi[#Data],COLUMN(T_TraitDi[[#This Row],[M1]]),FALSE)="","",VLOOKUP(T_BilanSocial[[#This Row],[NumL]],T_TraitDi[#Data],COLUMN(T_TraitDi[[#This Row],[M1]]),FALSE))</f>
        <v>#VALUE!</v>
      </c>
      <c r="X32" s="176" t="e">
        <f>IF(VLOOKUP(T_BilanSocial[[#This Row],[NumL]],T_TraitDi[#Data],COLUMN(T_TraitDi[[#This Row],[M2]]),FALSE)="","",VLOOKUP(T_BilanSocial[[#This Row],[NumL]],T_TraitDi[#Data],COLUMN(T_TraitDi[[#This Row],[M2]]),FALSE))</f>
        <v>#VALUE!</v>
      </c>
      <c r="Y32" s="176" t="e">
        <f>IF(VLOOKUP(T_BilanSocial[[#This Row],[NumL]],T_TraitDi[#Data],COLUMN(T_TraitDi[[#This Row],[M3]]),FALSE)="","",VLOOKUP(T_BilanSocial[[#This Row],[NumL]],T_TraitDi[#Data],COLUMN(T_TraitDi[[#This Row],[M3]]),FALSE))</f>
        <v>#VALUE!</v>
      </c>
      <c r="Z32" s="176" t="str">
        <f t="shared" si="5"/>
        <v/>
      </c>
      <c r="AA32" s="176" t="e">
        <f>IF(VLOOKUP(T_BilanSocial[[#This Row],[NumL]],T_TraitDi[#Data],COLUMN(T_TraitDi[[#This Row],[M5]]),FALSE)="","",VLOOKUP(T_BilanSocial[[#This Row],[NumL]],T_TraitDi[#Data],COLUMN(T_TraitDi[[#This Row],[M5]]),FALSE))</f>
        <v>#VALUE!</v>
      </c>
      <c r="AB32" s="176" t="e">
        <f>IF(VLOOKUP(T_BilanSocial[[#This Row],[NumL]],T_TraitDi[#Data],COLUMN(T_TraitDi[[#This Row],[M6]]),FALSE)="","",VLOOKUP(T_BilanSocial[[#This Row],[NumL]],T_TraitDi[#Data],COLUMN(T_TraitDi[[#This Row],[M6]]),FALSE))</f>
        <v>#VALUE!</v>
      </c>
      <c r="AC32" s="165" t="e">
        <f t="shared" si="4"/>
        <v>#VALUE!</v>
      </c>
      <c r="AD32" s="188" t="str">
        <f>IFERROR(TEXT(VLOOKUP(T_BilanSocial[[#This Row],[NumL]],T_TraitDi[#Data],COLUMN(T_TraitDi[[#This Row],[Q2]]),FALSE),"###%"),"")</f>
        <v/>
      </c>
      <c r="AE32" s="97" t="e">
        <f>VLOOKUP(T_BilanSocial[[#This Row],[NumL]],T_TraitDi[#Data],COLUMN(T_TraitDi[[#This Row],[Reg Ponct]]),FALSE)</f>
        <v>#VALUE!</v>
      </c>
      <c r="AF32" s="97" t="e">
        <f>VLOOKUP(T_BilanSocial[NumL],T_TraitDi[#Data],COLUMN(T_TraitDi[[#This Row],[Jours flottants]]),FALSE)</f>
        <v>#VALUE!</v>
      </c>
      <c r="AG32" s="97" t="str">
        <f>IFERROR(VLOOKUP(T_BilanSocial[[#This Row],[NumL]],T_TraitDi[#Data],COLUMN(T_TraitDi[[#This Row],[Lundi]]),FALSE),"")</f>
        <v/>
      </c>
      <c r="AH32" s="172" t="e">
        <f>IF(VLOOKUP(T_BilanSocial[[#This Row],[NumL]],T_TraitDi[#Data],COLUMN(T_TraitDi[[#This Row],[Colonne3]]),FALSE)=0,"",TEXT(IFERROR(VLOOKUP(T_BilanSocial[[#This Row],[NumL]],T_TraitDi[#Data],COLUMN(T_TraitDi[[#This Row],[Colonne3]]),FALSE),""),"[hh]:mm"))</f>
        <v>#VALUE!</v>
      </c>
      <c r="AI32" s="172" t="e">
        <f>IF(VLOOKUP(T_BilanSocial[[#This Row],[NumL]],T_TraitDi[#Data],COLUMN(T_TraitDi[[#This Row],[Colonne4]]),FALSE)=0,"",TEXT(IFERROR(VLOOKUP(T_BilanSocial[[#This Row],[NumL]],T_TraitDi[#Data],COLUMN(T_TraitDi[[#This Row],[Colonne4]]),FALSE),""),"[hh]:mm"))</f>
        <v>#VALUE!</v>
      </c>
      <c r="AJ32" s="172" t="e">
        <f>IF(VLOOKUP(T_BilanSocial[[#This Row],[NumL]],T_TraitDi[#Data],COLUMN(T_TraitDi[[#This Row],[Colonne5]]),FALSE)=0,"",TEXT(IFERROR(VLOOKUP(T_BilanSocial[[#This Row],[NumL]],T_TraitDi[#Data],COLUMN(T_TraitDi[[#This Row],[Colonne5]]),FALSE),""),"[hh]:mm"))</f>
        <v>#VALUE!</v>
      </c>
      <c r="AK32" s="172" t="e">
        <f>IF(VLOOKUP(T_BilanSocial[[#This Row],[NumL]],T_TraitDi[#Data],COLUMN(T_TraitDi[[#This Row],[Colonne6]]),FALSE)=0,"",TEXT(IFERROR(VLOOKUP(T_BilanSocial[[#This Row],[NumL]],T_TraitDi[#Data],COLUMN(T_TraitDi[[#This Row],[Colonne6]]),FALSE),""),"[hh]:mm"))</f>
        <v>#VALUE!</v>
      </c>
      <c r="AL32" s="172" t="e">
        <f>IF(VLOOKUP(T_BilanSocial[[#This Row],[NumL]],T_TraitDi[#Data],COLUMN(T_TraitDi[[#This Row],[Colonne7]]),FALSE)=0,"",TEXT(IFERROR(VLOOKUP(T_BilanSocial[[#This Row],[NumL]],T_TraitDi[#Data],COLUMN(T_TraitDi[[#This Row],[Colonne7]]),FALSE),""),"[hh]:mm"))</f>
        <v>#VALUE!</v>
      </c>
      <c r="AM32" s="172" t="e">
        <f>IF(VLOOKUP(T_BilanSocial[[#This Row],[NumL]],T_TraitDi[#Data],COLUMN(T_TraitDi[[#This Row],[Colonne8]]),FALSE)=0,"",TEXT(IFERROR(VLOOKUP(T_BilanSocial[[#This Row],[NumL]],T_TraitDi[#Data],COLUMN(T_TraitDi[[#This Row],[Colonne8]]),FALSE),""),"[hh]:mm"))</f>
        <v>#VALUE!</v>
      </c>
      <c r="AN32" s="172" t="str">
        <f>IFERROR(VLOOKUP(T_BilanSocial[[#This Row],[NumL]],T_TraitDi[#Data],COLUMN(T_TraitDi[[#This Row],[Mardi]]),FALSE),"")</f>
        <v/>
      </c>
      <c r="AO32" s="172" t="e">
        <f>IF(VLOOKUP(T_BilanSocial[[#This Row],[NumL]],T_TraitDi[#Data],COLUMN(T_TraitDi[[#This Row],[Colonne1]]),FALSE)=0,"",TEXT(IFERROR(VLOOKUP(T_BilanSocial[[#This Row],[NumL]],T_TraitDi[#Data],COLUMN(T_TraitDi[[#This Row],[Colonne1]]),FALSE),""),"[hh]:mm"))</f>
        <v>#VALUE!</v>
      </c>
      <c r="AP32" s="172" t="e">
        <f>IF(VLOOKUP(T_BilanSocial[[#This Row],[NumL]],T_TraitDi[#Data],COLUMN(T_TraitDi[[#This Row],[Colonne9]]),FALSE)=0,"",TEXT(IFERROR(VLOOKUP(T_BilanSocial[[#This Row],[NumL]],T_TraitDi[#Data],COLUMN(T_TraitDi[[#This Row],[Colonne9]]),FALSE),""),"[hh]:mm"))</f>
        <v>#VALUE!</v>
      </c>
      <c r="AQ32" s="172" t="str">
        <f>IFERROR(VLOOKUP(T_BilanSocial[[#This Row],[NumL]],T_TraitDi[#Data],COLUMN(T_TraitDi[[#This Row],[Colonne10]]),FALSE),"")</f>
        <v/>
      </c>
      <c r="AR32" s="172" t="e">
        <f>IF(VLOOKUP(T_BilanSocial[[#This Row],[NumL]],T_TraitDi[#Data],COLUMN(T_TraitDi[[#This Row],[Colonne11]]),FALSE)=0,"",TEXT(IFERROR(VLOOKUP(T_BilanSocial[[#This Row],[NumL]],T_TraitDi[#Data],COLUMN(T_TraitDi[[#This Row],[Colonne11]]),FALSE),""),"[hh]:mm"))</f>
        <v>#VALUE!</v>
      </c>
      <c r="AS32" s="172" t="e">
        <f>IF(VLOOKUP(T_BilanSocial[[#This Row],[NumL]],T_TraitDi[#Data],COLUMN(T_TraitDi[[#This Row],[Colonne12]]),FALSE)=0,"",TEXT(IFERROR(VLOOKUP(T_BilanSocial[[#This Row],[NumL]],T_TraitDi[#Data],COLUMN(T_TraitDi[[#This Row],[Colonne12]]),FALSE),""),"[hh]:mm"))</f>
        <v>#VALUE!</v>
      </c>
      <c r="AT32" s="172" t="e">
        <f>IF(VLOOKUP(T_BilanSocial[[#This Row],[NumL]],T_TraitDi[#Data],COLUMN(T_TraitDi[[#This Row],[Colonne14]]),FALSE)=0,"",TEXT(IFERROR(VLOOKUP(T_BilanSocial[[#This Row],[NumL]],T_TraitDi[#Data],COLUMN(T_TraitDi[[#This Row],[Colonne14]]),FALSE),""),"[hh]:mm"))</f>
        <v>#VALUE!</v>
      </c>
      <c r="AU32" s="172" t="str">
        <f>IFERROR(VLOOKUP(T_BilanSocial[[#This Row],[NumL]],T_TraitDi[#Data],COLUMN(T_TraitDi[[#This Row],[Mercredi]]),FALSE),"")</f>
        <v/>
      </c>
      <c r="AV32" s="172" t="e">
        <f>IF(VLOOKUP(T_BilanSocial[[#This Row],[NumL]],T_TraitDi[#Data],COLUMN(T_TraitDi[[#This Row],[Colonne15]]),FALSE)=0,"",TEXT(IFERROR(VLOOKUP(T_BilanSocial[[#This Row],[NumL]],T_TraitDi[#Data],COLUMN(T_TraitDi[[#This Row],[Colonne15]]),FALSE),""),"[hh]:mm"))</f>
        <v>#VALUE!</v>
      </c>
      <c r="AW32" s="172" t="e">
        <f>IF(VLOOKUP(T_BilanSocial[[#This Row],[NumL]],T_TraitDi[#Data],COLUMN(T_TraitDi[[#This Row],[Colonne16]]),FALSE)=0,"",TEXT(IFERROR(VLOOKUP(T_BilanSocial[[#This Row],[NumL]],T_TraitDi[#Data],COLUMN(T_TraitDi[[#This Row],[Colonne16]]),FALSE),""),"[hh]:mm"))</f>
        <v>#VALUE!</v>
      </c>
      <c r="AX32" s="172" t="str">
        <f>IFERROR(VLOOKUP(T_BilanSocial[[#This Row],[NumL]],T_TraitDi[#Data],COLUMN(T_TraitDi[[#This Row],[Colonne17]]),FALSE),"")</f>
        <v/>
      </c>
      <c r="AY32" s="172" t="e">
        <f>IF(VLOOKUP(T_BilanSocial[[#This Row],[NumL]],T_TraitDi[#Data],COLUMN(T_TraitDi[[#This Row],[Colonne18]]),FALSE)=0,"",TEXT(IFERROR(VLOOKUP(T_BilanSocial[[#This Row],[NumL]],T_TraitDi[#Data],COLUMN(T_TraitDi[[#This Row],[Colonne18]]),FALSE),""),"[hh]:mm"))</f>
        <v>#VALUE!</v>
      </c>
      <c r="AZ32" s="172" t="e">
        <f>IF(VLOOKUP(T_BilanSocial[[#This Row],[NumL]],T_TraitDi[#Data],COLUMN(T_TraitDi[[#This Row],[Colonne19]]),FALSE)=0,"",TEXT(IFERROR(VLOOKUP(T_BilanSocial[[#This Row],[NumL]],T_TraitDi[#Data],COLUMN(T_TraitDi[[#This Row],[Colonne19]]),FALSE),""),"[hh]:mm"))</f>
        <v>#VALUE!</v>
      </c>
      <c r="BA32" s="172" t="e">
        <f>IF(VLOOKUP(T_BilanSocial[[#This Row],[NumL]],T_TraitDi[#Data],COLUMN(T_TraitDi[[#This Row],[Colonne20]]),FALSE)=0,"",TEXT(IFERROR(VLOOKUP(T_BilanSocial[[#This Row],[NumL]],T_TraitDi[#Data],COLUMN(T_TraitDi[[#This Row],[Colonne20]]),FALSE),""),"[hh]:mm"))</f>
        <v>#VALUE!</v>
      </c>
      <c r="BB32" s="178" t="str">
        <f>IFERROR(VLOOKUP(T_BilanSocial[[#This Row],[NumL]],T_TraitDi[#Data],COLUMN(T_TraitDi[[#This Row],[Jeudi]]),FALSE),"")</f>
        <v/>
      </c>
      <c r="BC32" s="178" t="e">
        <f>IF(VLOOKUP(T_BilanSocial[[#This Row],[NumL]],T_TraitDi[#Data],COLUMN(T_TraitDi[[#This Row],[Colonne21]]),FALSE)=0,"",TEXT(IFERROR(VLOOKUP(T_BilanSocial[[#This Row],[NumL]],T_TraitDi[#Data],COLUMN(T_TraitDi[[#This Row],[Colonne21]]),FALSE),""),"[hh]:mm"))</f>
        <v>#VALUE!</v>
      </c>
      <c r="BD32" s="178" t="e">
        <f>IF(VLOOKUP(T_BilanSocial[[#This Row],[NumL]],T_TraitDi[#Data],COLUMN(T_TraitDi[[#This Row],[Colonne22]]),FALSE)=0,"",TEXT(IFERROR(VLOOKUP(T_BilanSocial[[#This Row],[NumL]],T_TraitDi[#Data],COLUMN(T_TraitDi[[#This Row],[Colonne22]]),FALSE),""),"[hh]:mm"))</f>
        <v>#VALUE!</v>
      </c>
      <c r="BE32" s="178" t="str">
        <f>IFERROR(VLOOKUP(T_BilanSocial[[#This Row],[NumL]],T_TraitDi[#Data],COLUMN(T_TraitDi[[#This Row],[Colonne23]]),FALSE),"")</f>
        <v/>
      </c>
      <c r="BF32" s="178" t="e">
        <f>IF(VLOOKUP(T_BilanSocial[[#This Row],[NumL]],T_TraitDi[#Data],COLUMN(T_TraitDi[[#This Row],[Colonne24]]),FALSE)=0,"",TEXT(IFERROR(VLOOKUP(T_BilanSocial[[#This Row],[NumL]],T_TraitDi[#Data],COLUMN(T_TraitDi[[#This Row],[Colonne24]]),FALSE),""),"[hh]:mm"))</f>
        <v>#VALUE!</v>
      </c>
      <c r="BG32" s="178" t="e">
        <f>IF(VLOOKUP(T_BilanSocial[[#This Row],[NumL]],T_TraitDi[#Data],COLUMN(T_TraitDi[[#This Row],[Colonne25]]),FALSE)=0,"",TEXT(IFERROR(VLOOKUP(T_BilanSocial[[#This Row],[NumL]],T_TraitDi[#Data],COLUMN(T_TraitDi[[#This Row],[Colonne25]]),FALSE),""),"[hh]:mm"))</f>
        <v>#VALUE!</v>
      </c>
      <c r="BH32" s="178" t="e">
        <f>IF(VLOOKUP(T_BilanSocial[[#This Row],[NumL]],T_TraitDi[#Data],COLUMN(T_TraitDi[[#This Row],[Colonne26]]),FALSE)=0,"",TEXT(IFERROR(VLOOKUP(T_BilanSocial[[#This Row],[NumL]],T_TraitDi[#Data],COLUMN(T_TraitDi[[#This Row],[Colonne26]]),FALSE),""),"[hh]:mm"))</f>
        <v>#VALUE!</v>
      </c>
      <c r="BI32" s="172" t="str">
        <f>IFERROR(VLOOKUP(T_BilanSocial[[#This Row],[NumL]],T_TraitDi[#Data],COLUMN(T_TraitDi[[#This Row],[Vendredi]]),FALSE),"")</f>
        <v/>
      </c>
      <c r="BJ32" s="172" t="e">
        <f>IF(VLOOKUP(T_BilanSocial[[#This Row],[NumL]],T_TraitDi[#Data],COLUMN(T_TraitDi[[#This Row],[Colonne27]]),FALSE)=0,"",TEXT(IFERROR(VLOOKUP(T_BilanSocial[[#This Row],[NumL]],T_TraitDi[#Data],COLUMN(T_TraitDi[[#This Row],[Colonne27]]),FALSE),""),"[hh]:mm"))</f>
        <v>#VALUE!</v>
      </c>
      <c r="BK32" s="172" t="e">
        <f>IF(VLOOKUP(T_BilanSocial[[#This Row],[NumL]],T_TraitDi[#Data],COLUMN(T_TraitDi[[#This Row],[Colonne28]]),FALSE)=0,"",TEXT(IFERROR(VLOOKUP(T_BilanSocial[[#This Row],[NumL]],T_TraitDi[#Data],COLUMN(T_TraitDi[[#This Row],[Colonne28]]),FALSE),""),"[hh]:mm"))</f>
        <v>#VALUE!</v>
      </c>
      <c r="BL32" s="172" t="str">
        <f>IFERROR(VLOOKUP(T_BilanSocial[[#This Row],[NumL]],T_TraitDi[#Data],COLUMN(T_TraitDi[[#This Row],[Colonne29]]),FALSE),"")</f>
        <v/>
      </c>
      <c r="BM32" s="172" t="e">
        <f>IF(VLOOKUP(T_BilanSocial[[#This Row],[NumL]],T_TraitDi[#Data],COLUMN(T_TraitDi[[#This Row],[Colonne30]]),FALSE)=0,"",TEXT(IFERROR(VLOOKUP(T_BilanSocial[[#This Row],[NumL]],T_TraitDi[#Data],COLUMN(T_TraitDi[[#This Row],[Colonne30]]),FALSE),""),"[hh]:mm"))</f>
        <v>#VALUE!</v>
      </c>
      <c r="BN32" s="172" t="e">
        <f>IF(VLOOKUP(T_BilanSocial[[#This Row],[NumL]],T_TraitDi[#Data],COLUMN(T_TraitDi[[#This Row],[Colonne31]]),FALSE)=0,"",TEXT(IFERROR(VLOOKUP(T_BilanSocial[[#This Row],[NumL]],T_TraitDi[#Data],COLUMN(T_TraitDi[[#This Row],[Colonne31]]),FALSE),""),"[hh]:mm"))</f>
        <v>#VALUE!</v>
      </c>
      <c r="BO32" s="172" t="e">
        <f>IF(VLOOKUP(T_BilanSocial[[#This Row],[NumL]],T_TraitDi[#Data],COLUMN(T_TraitDi[[#This Row],[Colonne32]]),FALSE)=0,"",TEXT(IFERROR(VLOOKUP(T_BilanSocial[[#This Row],[NumL]],T_TraitDi[#Data],COLUMN(T_TraitDi[[#This Row],[Colonne32]]),FALSE),""),"[hh]:mm"))</f>
        <v>#VALUE!</v>
      </c>
      <c r="BP32" s="172" t="e">
        <f>VLOOKUP(T_BilanSocial[[#This Row],[NumL]],T_TraitDi[#Data],COLUMN(T_TraitDi[NbJTot]),FALSE)</f>
        <v>#N/A</v>
      </c>
      <c r="BQ32" s="174" t="str">
        <f>IFERROR(VLOOKUP(T_BilanSocial[[#This Row],[NumL]],T_TraitDi[#Data],COLUMN(T_TraitDi[[#This Row],[NbJTW]]),FALSE),"")</f>
        <v/>
      </c>
      <c r="BR32" s="174" t="e">
        <f>IF(VLOOKUP(T_BilanSocial[[#This Row],[NumL]],T_TraitDi[#Data],COLUMN(T_TraitDi[[#This Row],[NbhTW]]),FALSE)=0,"",TEXT(IFERROR(VLOOKUP(T_BilanSocial[[#This Row],[NumL]],T_TraitDi[#Data],COLUMN(T_TraitDi[[#This Row],[NbhTW]]),FALSE),""),"[hh]:mm"))</f>
        <v>#VALUE!</v>
      </c>
      <c r="BS32" s="174" t="e">
        <f>IF(VLOOKUP(T_BilanSocial[[#This Row],[NumL]],T_TraitDi[#Data],COLUMN(T_TraitDi[[#This Row],[Nbhheb]]),FALSE)=0,"",TEXT(IFERROR(VLOOKUP($A32,T_TraitDi[#Data],COLUMN(T_TraitDi[[#This Row],[Nbhheb]]),FALSE),""),"[hh]:mm"))</f>
        <v>#VALUE!</v>
      </c>
      <c r="BT32" s="182" t="str">
        <f>IFERROR(VLOOKUP(VLOOKUP($A32,T_TraitDi[#Data],COLUMN(T_TraitDi[[#This Row],[Type1]]),FALSE),TypeTW,2,FALSE),"")</f>
        <v/>
      </c>
      <c r="BU32" s="182" t="str">
        <f>IFERROR(VLOOKUP($A32,T_TraitDi[#Data],COLUMN(T_TraitDi[[#This Row],[Rue1]]),FALSE),"")</f>
        <v/>
      </c>
      <c r="BV32" s="173" t="str">
        <f>IFERROR(VLOOKUP($A32,T_TraitDi[#Data],COLUMN(T_TraitDi[[#This Row],[CP1]]),FALSE),"")</f>
        <v/>
      </c>
      <c r="BW32" s="173" t="str">
        <f>IFERROR(VLOOKUP($A32,T_TraitDi[#Data],COLUMN(T_TraitDi[[#This Row],[VILLE1]]),FALSE),"")</f>
        <v/>
      </c>
      <c r="BX32" s="182" t="str">
        <f>IFERROR(VLOOKUP(VLOOKUP($A32,T_TraitDi[#Data],COLUMN(T_TraitDi[[#This Row],[Type2]]),FALSE),TypeTW,2,FALSE),"")</f>
        <v/>
      </c>
      <c r="BY32" s="182" t="str">
        <f>IFERROR(VLOOKUP($A32,T_TraitDi[#Data],COLUMN(T_TraitDi[[#This Row],[Rue2]]),FALSE),"")</f>
        <v/>
      </c>
      <c r="BZ32" s="173" t="str">
        <f>IFERROR(VLOOKUP($A32,T_TraitDi[#Data],COLUMN(T_TraitDi[[#This Row],[CP2]]),FALSE),"")</f>
        <v/>
      </c>
      <c r="CA32" s="173" t="str">
        <f>IFERROR(VLOOKUP($A32,T_TraitDi[#Data],COLUMN(T_TraitDi[[#This Row],[VILLE2]]),FALSE),"")</f>
        <v/>
      </c>
      <c r="CB32" s="182" t="str">
        <f>IF(VLOOKUP(T_BilanSocial[[#This Row],[NumL]],T_Equipement[#Data],COLUMN(T_Equipement[[#This Row],[PC]]),FALSE)="","Aucun équipement spécifique directement lié au télétravail",VLOOKUP(T_BilanSocial[[#This Row],[NumL]],T_Equipement[#Data],COLUMN(T_Equipement[[#This Row],[PC]]),FALSE))</f>
        <v>18-027</v>
      </c>
      <c r="CC32" s="166" t="str">
        <f>IFERROR(IF(VLOOKUP(T_BilanSocial[[#This Row],[NumL]],T_TraitDi[#Data],COLUMN(T_TraitDi[[#This Row],[Plan]]),FALSE)="OK","Un planning spécifique de télétravail est annexé à la présente convention.",""),"")</f>
        <v/>
      </c>
      <c r="CD32" s="258" t="s">
        <v>3310</v>
      </c>
      <c r="CE32" s="164" t="e">
        <f>IF(VLOOKUP(T_BilanSocial[[#This Row],[NumL]],T_suiviDi[#Data],COLUMN(T_suiviDi[[#This Row],[Entité]]),FALSE)="","",VLOOKUP(T_BilanSocial[[#This Row],[NumL]],T_suiviDi[#Data],COLUMN(T_suiviDi[[#This Row],[Entité]]),FALSE))</f>
        <v>#N/A</v>
      </c>
      <c r="CF32" s="164" t="str">
        <f>IF(VLOOKUP(T_BilanSocial[[#This Row],[NumL]],T_Commission[#Data],COLUMN(T_Commission[[#This Row],[envoi confirm TW]]),FALSE)="","",VLOOKUP(T_BilanSocial[[#This Row],[NumL]],T_Commission[#Data],COLUMN(T_Commission[[#This Row],[envoi confirm TW]]),FALSE))</f>
        <v>Oui</v>
      </c>
      <c r="CG3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 s="262" t="str">
        <f>T_BilanSocial[[#This Row],[Nom]]&amp;T_BilanSocial[[#This Row],[Prenom]]</f>
        <v/>
      </c>
      <c r="CI32" s="262">
        <f>VLOOKUP(T_BilanSocial[[#This Row],[NumL]],T_Commission[#Data],COLUMN(T_Commission[Commentaire]),FALSE)</f>
        <v>0</v>
      </c>
      <c r="CJ32" s="262" t="str">
        <f>IF(VLOOKUP(T_BilanSocial[[#This Row],[NumL]],T_Commission[#Data],COLUMN(T_Commission[Encadrant Email]),FALSE)="","",VLOOKUP(T_BilanSocial[[#This Row],[NumL]],T_Commission[#Data],COLUMN(T_Commission[Encadrant Email]),FALSE))</f>
        <v/>
      </c>
      <c r="CK32" s="340" t="str">
        <f>IF(T_BilanSocial[[#This Row],[Final]]&lt;&gt;"",VLOOKUP(T_BilanSocial[[#This Row],[NumL]],T_suiviDi[#Data],COLUMN((T_suiviDi[Statut])),FALSE),"")</f>
        <v/>
      </c>
    </row>
    <row r="33" spans="1:89" s="106" customFormat="1" ht="24.75" customHeight="1" x14ac:dyDescent="0.25">
      <c r="A33" s="160">
        <v>30</v>
      </c>
      <c r="B33" s="161" t="str">
        <f t="shared" si="0"/>
        <v/>
      </c>
      <c r="C33" s="162" t="s">
        <v>173</v>
      </c>
      <c r="D33" s="95" t="e">
        <f>IF(VLOOKUP(T_BilanSocial[[#This Row],[NumL]],T_TraitDi[#Data],COLUMN(T_TraitDi[[#This Row],[WebC]]),FALSE)="","",VLOOKUP(T_BilanSocial[[#This Row],[NumL]],T_TraitDi[#Data],COLUMN(T_TraitDi[[#This Row],[WebC]]),FALSE))</f>
        <v>#VALUE!</v>
      </c>
      <c r="E33" s="163" t="str">
        <f t="shared" si="1"/>
        <v>12 janvier 2021</v>
      </c>
      <c r="F33" s="96" t="str">
        <f>IF(T_BilanSocial[[#This Row],[Final]]&lt;&gt;"",VLOOKUP(T_BilanSocial[[#This Row],[NumL]],T_suiviDi[#Data],COLUMN((T_suiviDi[Civ.])),FALSE),"")</f>
        <v/>
      </c>
      <c r="G33" s="96" t="str">
        <f>IF(T_BilanSocial[[#This Row],[Final]]&lt;&gt;"",VLOOKUP(T_BilanSocial[[#This Row],[NumL]],T_suiviDi[#Data],COLUMN((T_suiviDi[Nom])),FALSE),"")</f>
        <v/>
      </c>
      <c r="H33" s="96" t="str">
        <f>IF(T_BilanSocial[[#This Row],[Final]]&lt;&gt;"",VLOOKUP(T_BilanSocial[[#This Row],[NumL]],T_suiviDi[#Data],COLUMN((T_suiviDi[Prénom])),FALSE),"")</f>
        <v/>
      </c>
      <c r="I33" s="96" t="str">
        <f>IFERROR(VLOOKUP(T_BilanSocial[[#This Row],[Zone_Bilan]],T_P_BilanSocial[#Data],COLUMN(T_P_BilanSocial[[#This Row],[Numero_SIHAM]]),FALSE),"")</f>
        <v/>
      </c>
      <c r="J33" s="96" t="str">
        <f>IFERROR(VLOOKUP(T_BilanSocial[[#This Row],[Zone_Bilan]],T_P_BilanSocial[#Data],COLUMN(T_P_BilanSocial[[#This Row],[Sexe]]),FALSE),"")</f>
        <v/>
      </c>
      <c r="K33" s="97" t="str">
        <f>IFERROR(VLOOKUP(T_BilanSocial[[#This Row],[Zone_Bilan]],T_P_BilanSocial[#Data],COLUMN(T_P_BilanSocial[[#This Row],[Categorie]]),FALSE),"")</f>
        <v/>
      </c>
      <c r="L33" s="96" t="str">
        <f>IFERROR(VLOOKUP(T_BilanSocial[[#This Row],[Zone_Bilan]],T_P_BilanSocial[#Data],COLUMN(T_P_BilanSocial[[#This Row],[Statut]]),FALSE),"")</f>
        <v/>
      </c>
      <c r="M33" s="96" t="str">
        <f>IFERROR(VLOOKUP(T_BilanSocial[[#This Row],[Zone_Bilan]],T_P_BilanSocial[#Data],COLUMN(T_P_BilanSocial[[#This Row],[Filiere]]),FALSE),"")</f>
        <v/>
      </c>
      <c r="N33" s="96" t="e">
        <f>VLOOKUP(T_BilanSocial[[#This Row],[NumL]],T_TraitDi[#Data],COLUMN(T_TraitDi[EXP]),FALSE)</f>
        <v>#N/A</v>
      </c>
      <c r="O33" s="96" t="e">
        <f>VLOOKUP(T_BilanSocial[[#This Row],[NumL]],T_TraitDi[#Data],COLUMN(T_TraitDi[FORM]),FALSE)</f>
        <v>#N/A</v>
      </c>
      <c r="P33" s="96" t="str">
        <f>IF(T_BilanSocial[[#This Row],[Final]]&lt;&gt;"",VLOOKUP(T_BilanSocial[[#This Row],[NumL]],T_suiviDi[#Data],COLUMN((T_suiviDi[Email])),FALSE),"")</f>
        <v/>
      </c>
      <c r="Q33" s="164" t="e">
        <f t="shared" si="7"/>
        <v>#N/A</v>
      </c>
      <c r="R33" s="164" t="e">
        <f t="shared" si="8"/>
        <v>#N/A</v>
      </c>
      <c r="S33" s="164" t="e">
        <f>IF(VLOOKUP(T_BilanSocial[[#This Row],[NumL]],T_suiviDi[#Data],COLUMN(T_suiviDi[[#This Row],[Service ]]),FALSE)="","",VLOOKUP(T_BilanSocial[[#This Row],[NumL]],T_suiviDi[#Data],COLUMN(T_suiviDi[[#This Row],[Service ]]),FALSE))</f>
        <v>#VALUE!</v>
      </c>
      <c r="T33" s="164" t="str">
        <f t="shared" si="2"/>
        <v>01 septembre 2021</v>
      </c>
      <c r="U33" s="164" t="str">
        <f t="shared" si="3"/>
        <v>30 novembre 2021</v>
      </c>
      <c r="V33" s="164" t="str">
        <f t="shared" si="6"/>
        <v>30 novembre 2021</v>
      </c>
      <c r="W33" s="176" t="e">
        <f>IF(VLOOKUP(T_BilanSocial[[#This Row],[NumL]],T_TraitDi[#Data],COLUMN(T_TraitDi[[#This Row],[M1]]),FALSE)="","",VLOOKUP(T_BilanSocial[[#This Row],[NumL]],T_TraitDi[#Data],COLUMN(T_TraitDi[[#This Row],[M1]]),FALSE))</f>
        <v>#VALUE!</v>
      </c>
      <c r="X33" s="176" t="e">
        <f>IF(VLOOKUP(T_BilanSocial[[#This Row],[NumL]],T_TraitDi[#Data],COLUMN(T_TraitDi[[#This Row],[M2]]),FALSE)="","",VLOOKUP(T_BilanSocial[[#This Row],[NumL]],T_TraitDi[#Data],COLUMN(T_TraitDi[[#This Row],[M2]]),FALSE))</f>
        <v>#VALUE!</v>
      </c>
      <c r="Y33" s="176" t="e">
        <f>IF(VLOOKUP(T_BilanSocial[[#This Row],[NumL]],T_TraitDi[#Data],COLUMN(T_TraitDi[[#This Row],[M3]]),FALSE)="","",VLOOKUP(T_BilanSocial[[#This Row],[NumL]],T_TraitDi[#Data],COLUMN(T_TraitDi[[#This Row],[M3]]),FALSE))</f>
        <v>#VALUE!</v>
      </c>
      <c r="Z33" s="176" t="str">
        <f t="shared" si="5"/>
        <v/>
      </c>
      <c r="AA33" s="176" t="e">
        <f>IF(VLOOKUP(T_BilanSocial[[#This Row],[NumL]],T_TraitDi[#Data],COLUMN(T_TraitDi[[#This Row],[M5]]),FALSE)="","",VLOOKUP(T_BilanSocial[[#This Row],[NumL]],T_TraitDi[#Data],COLUMN(T_TraitDi[[#This Row],[M5]]),FALSE))</f>
        <v>#VALUE!</v>
      </c>
      <c r="AB33" s="176" t="e">
        <f>IF(VLOOKUP(T_BilanSocial[[#This Row],[NumL]],T_TraitDi[#Data],COLUMN(T_TraitDi[[#This Row],[M6]]),FALSE)="","",VLOOKUP(T_BilanSocial[[#This Row],[NumL]],T_TraitDi[#Data],COLUMN(T_TraitDi[[#This Row],[M6]]),FALSE))</f>
        <v>#VALUE!</v>
      </c>
      <c r="AC33" s="165" t="e">
        <f t="shared" si="4"/>
        <v>#VALUE!</v>
      </c>
      <c r="AD33" s="188" t="str">
        <f>IFERROR(TEXT(VLOOKUP(T_BilanSocial[[#This Row],[NumL]],T_TraitDi[#Data],COLUMN(T_TraitDi[[#This Row],[Q2]]),FALSE),"###%"),"")</f>
        <v/>
      </c>
      <c r="AE33" s="97" t="e">
        <f>VLOOKUP(T_BilanSocial[[#This Row],[NumL]],T_TraitDi[#Data],COLUMN(T_TraitDi[[#This Row],[Reg Ponct]]),FALSE)</f>
        <v>#VALUE!</v>
      </c>
      <c r="AF33" s="97" t="e">
        <f>VLOOKUP(T_BilanSocial[NumL],T_TraitDi[#Data],COLUMN(T_TraitDi[[#This Row],[Jours flottants]]),FALSE)</f>
        <v>#VALUE!</v>
      </c>
      <c r="AG33" s="97" t="str">
        <f>IFERROR(VLOOKUP(T_BilanSocial[[#This Row],[NumL]],T_TraitDi[#Data],COLUMN(T_TraitDi[[#This Row],[Lundi]]),FALSE),"")</f>
        <v/>
      </c>
      <c r="AH33" s="172" t="e">
        <f>IF(VLOOKUP(T_BilanSocial[[#This Row],[NumL]],T_TraitDi[#Data],COLUMN(T_TraitDi[[#This Row],[Colonne3]]),FALSE)=0,"",TEXT(IFERROR(VLOOKUP(T_BilanSocial[[#This Row],[NumL]],T_TraitDi[#Data],COLUMN(T_TraitDi[[#This Row],[Colonne3]]),FALSE),""),"[hh]:mm"))</f>
        <v>#VALUE!</v>
      </c>
      <c r="AI33" s="172" t="e">
        <f>IF(VLOOKUP(T_BilanSocial[[#This Row],[NumL]],T_TraitDi[#Data],COLUMN(T_TraitDi[[#This Row],[Colonne4]]),FALSE)=0,"",TEXT(IFERROR(VLOOKUP(T_BilanSocial[[#This Row],[NumL]],T_TraitDi[#Data],COLUMN(T_TraitDi[[#This Row],[Colonne4]]),FALSE),""),"[hh]:mm"))</f>
        <v>#VALUE!</v>
      </c>
      <c r="AJ33" s="172" t="e">
        <f>IF(VLOOKUP(T_BilanSocial[[#This Row],[NumL]],T_TraitDi[#Data],COLUMN(T_TraitDi[[#This Row],[Colonne5]]),FALSE)=0,"",TEXT(IFERROR(VLOOKUP(T_BilanSocial[[#This Row],[NumL]],T_TraitDi[#Data],COLUMN(T_TraitDi[[#This Row],[Colonne5]]),FALSE),""),"[hh]:mm"))</f>
        <v>#VALUE!</v>
      </c>
      <c r="AK33" s="172" t="e">
        <f>IF(VLOOKUP(T_BilanSocial[[#This Row],[NumL]],T_TraitDi[#Data],COLUMN(T_TraitDi[[#This Row],[Colonne6]]),FALSE)=0,"",TEXT(IFERROR(VLOOKUP(T_BilanSocial[[#This Row],[NumL]],T_TraitDi[#Data],COLUMN(T_TraitDi[[#This Row],[Colonne6]]),FALSE),""),"[hh]:mm"))</f>
        <v>#VALUE!</v>
      </c>
      <c r="AL33" s="172" t="e">
        <f>IF(VLOOKUP(T_BilanSocial[[#This Row],[NumL]],T_TraitDi[#Data],COLUMN(T_TraitDi[[#This Row],[Colonne7]]),FALSE)=0,"",TEXT(IFERROR(VLOOKUP(T_BilanSocial[[#This Row],[NumL]],T_TraitDi[#Data],COLUMN(T_TraitDi[[#This Row],[Colonne7]]),FALSE),""),"[hh]:mm"))</f>
        <v>#VALUE!</v>
      </c>
      <c r="AM33" s="172" t="e">
        <f>IF(VLOOKUP(T_BilanSocial[[#This Row],[NumL]],T_TraitDi[#Data],COLUMN(T_TraitDi[[#This Row],[Colonne8]]),FALSE)=0,"",TEXT(IFERROR(VLOOKUP(T_BilanSocial[[#This Row],[NumL]],T_TraitDi[#Data],COLUMN(T_TraitDi[[#This Row],[Colonne8]]),FALSE),""),"[hh]:mm"))</f>
        <v>#VALUE!</v>
      </c>
      <c r="AN33" s="172" t="str">
        <f>IFERROR(VLOOKUP(T_BilanSocial[[#This Row],[NumL]],T_TraitDi[#Data],COLUMN(T_TraitDi[[#This Row],[Mardi]]),FALSE),"")</f>
        <v/>
      </c>
      <c r="AO33" s="172" t="e">
        <f>IF(VLOOKUP(T_BilanSocial[[#This Row],[NumL]],T_TraitDi[#Data],COLUMN(T_TraitDi[[#This Row],[Colonne1]]),FALSE)=0,"",TEXT(IFERROR(VLOOKUP(T_BilanSocial[[#This Row],[NumL]],T_TraitDi[#Data],COLUMN(T_TraitDi[[#This Row],[Colonne1]]),FALSE),""),"[hh]:mm"))</f>
        <v>#VALUE!</v>
      </c>
      <c r="AP33" s="172" t="e">
        <f>IF(VLOOKUP(T_BilanSocial[[#This Row],[NumL]],T_TraitDi[#Data],COLUMN(T_TraitDi[[#This Row],[Colonne9]]),FALSE)=0,"",TEXT(IFERROR(VLOOKUP(T_BilanSocial[[#This Row],[NumL]],T_TraitDi[#Data],COLUMN(T_TraitDi[[#This Row],[Colonne9]]),FALSE),""),"[hh]:mm"))</f>
        <v>#VALUE!</v>
      </c>
      <c r="AQ33" s="172" t="str">
        <f>IFERROR(VLOOKUP(T_BilanSocial[[#This Row],[NumL]],T_TraitDi[#Data],COLUMN(T_TraitDi[[#This Row],[Colonne10]]),FALSE),"")</f>
        <v/>
      </c>
      <c r="AR33" s="172" t="e">
        <f>IF(VLOOKUP(T_BilanSocial[[#This Row],[NumL]],T_TraitDi[#Data],COLUMN(T_TraitDi[[#This Row],[Colonne11]]),FALSE)=0,"",TEXT(IFERROR(VLOOKUP(T_BilanSocial[[#This Row],[NumL]],T_TraitDi[#Data],COLUMN(T_TraitDi[[#This Row],[Colonne11]]),FALSE),""),"[hh]:mm"))</f>
        <v>#VALUE!</v>
      </c>
      <c r="AS33" s="172" t="e">
        <f>IF(VLOOKUP(T_BilanSocial[[#This Row],[NumL]],T_TraitDi[#Data],COLUMN(T_TraitDi[[#This Row],[Colonne12]]),FALSE)=0,"",TEXT(IFERROR(VLOOKUP(T_BilanSocial[[#This Row],[NumL]],T_TraitDi[#Data],COLUMN(T_TraitDi[[#This Row],[Colonne12]]),FALSE),""),"[hh]:mm"))</f>
        <v>#VALUE!</v>
      </c>
      <c r="AT33" s="172" t="e">
        <f>IF(VLOOKUP(T_BilanSocial[[#This Row],[NumL]],T_TraitDi[#Data],COLUMN(T_TraitDi[[#This Row],[Colonne14]]),FALSE)=0,"",TEXT(IFERROR(VLOOKUP(T_BilanSocial[[#This Row],[NumL]],T_TraitDi[#Data],COLUMN(T_TraitDi[[#This Row],[Colonne14]]),FALSE),""),"[hh]:mm"))</f>
        <v>#VALUE!</v>
      </c>
      <c r="AU33" s="172" t="str">
        <f>IFERROR(VLOOKUP(T_BilanSocial[[#This Row],[NumL]],T_TraitDi[#Data],COLUMN(T_TraitDi[[#This Row],[Mercredi]]),FALSE),"")</f>
        <v/>
      </c>
      <c r="AV33" s="172" t="e">
        <f>IF(VLOOKUP(T_BilanSocial[[#This Row],[NumL]],T_TraitDi[#Data],COLUMN(T_TraitDi[[#This Row],[Colonne15]]),FALSE)=0,"",TEXT(IFERROR(VLOOKUP(T_BilanSocial[[#This Row],[NumL]],T_TraitDi[#Data],COLUMN(T_TraitDi[[#This Row],[Colonne15]]),FALSE),""),"[hh]:mm"))</f>
        <v>#VALUE!</v>
      </c>
      <c r="AW33" s="172" t="e">
        <f>IF(VLOOKUP(T_BilanSocial[[#This Row],[NumL]],T_TraitDi[#Data],COLUMN(T_TraitDi[[#This Row],[Colonne16]]),FALSE)=0,"",TEXT(IFERROR(VLOOKUP(T_BilanSocial[[#This Row],[NumL]],T_TraitDi[#Data],COLUMN(T_TraitDi[[#This Row],[Colonne16]]),FALSE),""),"[hh]:mm"))</f>
        <v>#VALUE!</v>
      </c>
      <c r="AX33" s="172" t="str">
        <f>IFERROR(VLOOKUP(T_BilanSocial[[#This Row],[NumL]],T_TraitDi[#Data],COLUMN(T_TraitDi[[#This Row],[Colonne17]]),FALSE),"")</f>
        <v/>
      </c>
      <c r="AY33" s="172" t="e">
        <f>IF(VLOOKUP(T_BilanSocial[[#This Row],[NumL]],T_TraitDi[#Data],COLUMN(T_TraitDi[[#This Row],[Colonne18]]),FALSE)=0,"",TEXT(IFERROR(VLOOKUP(T_BilanSocial[[#This Row],[NumL]],T_TraitDi[#Data],COLUMN(T_TraitDi[[#This Row],[Colonne18]]),FALSE),""),"[hh]:mm"))</f>
        <v>#VALUE!</v>
      </c>
      <c r="AZ33" s="172" t="e">
        <f>IF(VLOOKUP(T_BilanSocial[[#This Row],[NumL]],T_TraitDi[#Data],COLUMN(T_TraitDi[[#This Row],[Colonne19]]),FALSE)=0,"",TEXT(IFERROR(VLOOKUP(T_BilanSocial[[#This Row],[NumL]],T_TraitDi[#Data],COLUMN(T_TraitDi[[#This Row],[Colonne19]]),FALSE),""),"[hh]:mm"))</f>
        <v>#VALUE!</v>
      </c>
      <c r="BA33" s="172" t="e">
        <f>IF(VLOOKUP(T_BilanSocial[[#This Row],[NumL]],T_TraitDi[#Data],COLUMN(T_TraitDi[[#This Row],[Colonne20]]),FALSE)=0,"",TEXT(IFERROR(VLOOKUP(T_BilanSocial[[#This Row],[NumL]],T_TraitDi[#Data],COLUMN(T_TraitDi[[#This Row],[Colonne20]]),FALSE),""),"[hh]:mm"))</f>
        <v>#VALUE!</v>
      </c>
      <c r="BB33" s="178" t="str">
        <f>IFERROR(VLOOKUP(T_BilanSocial[[#This Row],[NumL]],T_TraitDi[#Data],COLUMN(T_TraitDi[[#This Row],[Jeudi]]),FALSE),"")</f>
        <v/>
      </c>
      <c r="BC33" s="178" t="e">
        <f>IF(VLOOKUP(T_BilanSocial[[#This Row],[NumL]],T_TraitDi[#Data],COLUMN(T_TraitDi[[#This Row],[Colonne21]]),FALSE)=0,"",TEXT(IFERROR(VLOOKUP(T_BilanSocial[[#This Row],[NumL]],T_TraitDi[#Data],COLUMN(T_TraitDi[[#This Row],[Colonne21]]),FALSE),""),"[hh]:mm"))</f>
        <v>#VALUE!</v>
      </c>
      <c r="BD33" s="178" t="e">
        <f>IF(VLOOKUP(T_BilanSocial[[#This Row],[NumL]],T_TraitDi[#Data],COLUMN(T_TraitDi[[#This Row],[Colonne22]]),FALSE)=0,"",TEXT(IFERROR(VLOOKUP(T_BilanSocial[[#This Row],[NumL]],T_TraitDi[#Data],COLUMN(T_TraitDi[[#This Row],[Colonne22]]),FALSE),""),"[hh]:mm"))</f>
        <v>#VALUE!</v>
      </c>
      <c r="BE33" s="178" t="str">
        <f>IFERROR(VLOOKUP(T_BilanSocial[[#This Row],[NumL]],T_TraitDi[#Data],COLUMN(T_TraitDi[[#This Row],[Colonne23]]),FALSE),"")</f>
        <v/>
      </c>
      <c r="BF33" s="178" t="e">
        <f>IF(VLOOKUP(T_BilanSocial[[#This Row],[NumL]],T_TraitDi[#Data],COLUMN(T_TraitDi[[#This Row],[Colonne24]]),FALSE)=0,"",TEXT(IFERROR(VLOOKUP(T_BilanSocial[[#This Row],[NumL]],T_TraitDi[#Data],COLUMN(T_TraitDi[[#This Row],[Colonne24]]),FALSE),""),"[hh]:mm"))</f>
        <v>#VALUE!</v>
      </c>
      <c r="BG33" s="178" t="e">
        <f>IF(VLOOKUP(T_BilanSocial[[#This Row],[NumL]],T_TraitDi[#Data],COLUMN(T_TraitDi[[#This Row],[Colonne25]]),FALSE)=0,"",TEXT(IFERROR(VLOOKUP(T_BilanSocial[[#This Row],[NumL]],T_TraitDi[#Data],COLUMN(T_TraitDi[[#This Row],[Colonne25]]),FALSE),""),"[hh]:mm"))</f>
        <v>#VALUE!</v>
      </c>
      <c r="BH33" s="178" t="e">
        <f>IF(VLOOKUP(T_BilanSocial[[#This Row],[NumL]],T_TraitDi[#Data],COLUMN(T_TraitDi[[#This Row],[Colonne26]]),FALSE)=0,"",TEXT(IFERROR(VLOOKUP(T_BilanSocial[[#This Row],[NumL]],T_TraitDi[#Data],COLUMN(T_TraitDi[[#This Row],[Colonne26]]),FALSE),""),"[hh]:mm"))</f>
        <v>#VALUE!</v>
      </c>
      <c r="BI33" s="172" t="str">
        <f>IFERROR(VLOOKUP(T_BilanSocial[[#This Row],[NumL]],T_TraitDi[#Data],COLUMN(T_TraitDi[[#This Row],[Vendredi]]),FALSE),"")</f>
        <v/>
      </c>
      <c r="BJ33" s="172" t="e">
        <f>IF(VLOOKUP(T_BilanSocial[[#This Row],[NumL]],T_TraitDi[#Data],COLUMN(T_TraitDi[[#This Row],[Colonne27]]),FALSE)=0,"",TEXT(IFERROR(VLOOKUP(T_BilanSocial[[#This Row],[NumL]],T_TraitDi[#Data],COLUMN(T_TraitDi[[#This Row],[Colonne27]]),FALSE),""),"[hh]:mm"))</f>
        <v>#VALUE!</v>
      </c>
      <c r="BK33" s="172" t="e">
        <f>IF(VLOOKUP(T_BilanSocial[[#This Row],[NumL]],T_TraitDi[#Data],COLUMN(T_TraitDi[[#This Row],[Colonne28]]),FALSE)=0,"",TEXT(IFERROR(VLOOKUP(T_BilanSocial[[#This Row],[NumL]],T_TraitDi[#Data],COLUMN(T_TraitDi[[#This Row],[Colonne28]]),FALSE),""),"[hh]:mm"))</f>
        <v>#VALUE!</v>
      </c>
      <c r="BL33" s="172" t="str">
        <f>IFERROR(VLOOKUP(T_BilanSocial[[#This Row],[NumL]],T_TraitDi[#Data],COLUMN(T_TraitDi[[#This Row],[Colonne29]]),FALSE),"")</f>
        <v/>
      </c>
      <c r="BM33" s="172" t="e">
        <f>IF(VLOOKUP(T_BilanSocial[[#This Row],[NumL]],T_TraitDi[#Data],COLUMN(T_TraitDi[[#This Row],[Colonne30]]),FALSE)=0,"",TEXT(IFERROR(VLOOKUP(T_BilanSocial[[#This Row],[NumL]],T_TraitDi[#Data],COLUMN(T_TraitDi[[#This Row],[Colonne30]]),FALSE),""),"[hh]:mm"))</f>
        <v>#VALUE!</v>
      </c>
      <c r="BN33" s="172" t="e">
        <f>IF(VLOOKUP(T_BilanSocial[[#This Row],[NumL]],T_TraitDi[#Data],COLUMN(T_TraitDi[[#This Row],[Colonne31]]),FALSE)=0,"",TEXT(IFERROR(VLOOKUP(T_BilanSocial[[#This Row],[NumL]],T_TraitDi[#Data],COLUMN(T_TraitDi[[#This Row],[Colonne31]]),FALSE),""),"[hh]:mm"))</f>
        <v>#VALUE!</v>
      </c>
      <c r="BO33" s="172" t="e">
        <f>IF(VLOOKUP(T_BilanSocial[[#This Row],[NumL]],T_TraitDi[#Data],COLUMN(T_TraitDi[[#This Row],[Colonne32]]),FALSE)=0,"",TEXT(IFERROR(VLOOKUP(T_BilanSocial[[#This Row],[NumL]],T_TraitDi[#Data],COLUMN(T_TraitDi[[#This Row],[Colonne32]]),FALSE),""),"[hh]:mm"))</f>
        <v>#VALUE!</v>
      </c>
      <c r="BP33" s="172" t="e">
        <f>VLOOKUP(T_BilanSocial[[#This Row],[NumL]],T_TraitDi[#Data],COLUMN(T_TraitDi[NbJTot]),FALSE)</f>
        <v>#N/A</v>
      </c>
      <c r="BQ33" s="174" t="str">
        <f>IFERROR(VLOOKUP(T_BilanSocial[[#This Row],[NumL]],T_TraitDi[#Data],COLUMN(T_TraitDi[[#This Row],[NbJTW]]),FALSE),"")</f>
        <v/>
      </c>
      <c r="BR33" s="174" t="e">
        <f>IF(VLOOKUP(T_BilanSocial[[#This Row],[NumL]],T_TraitDi[#Data],COLUMN(T_TraitDi[[#This Row],[NbhTW]]),FALSE)=0,"",TEXT(IFERROR(VLOOKUP(T_BilanSocial[[#This Row],[NumL]],T_TraitDi[#Data],COLUMN(T_TraitDi[[#This Row],[NbhTW]]),FALSE),""),"[hh]:mm"))</f>
        <v>#VALUE!</v>
      </c>
      <c r="BS33" s="174" t="e">
        <f>IF(VLOOKUP(T_BilanSocial[[#This Row],[NumL]],T_TraitDi[#Data],COLUMN(T_TraitDi[[#This Row],[Nbhheb]]),FALSE)=0,"",TEXT(IFERROR(VLOOKUP($A33,T_TraitDi[#Data],COLUMN(T_TraitDi[[#This Row],[Nbhheb]]),FALSE),""),"[hh]:mm"))</f>
        <v>#VALUE!</v>
      </c>
      <c r="BT33" s="182" t="str">
        <f>IFERROR(VLOOKUP(VLOOKUP($A33,T_TraitDi[#Data],COLUMN(T_TraitDi[[#This Row],[Type1]]),FALSE),TypeTW,2,FALSE),"")</f>
        <v/>
      </c>
      <c r="BU33" s="182" t="str">
        <f>IFERROR(VLOOKUP($A33,T_TraitDi[#Data],COLUMN(T_TraitDi[[#This Row],[Rue1]]),FALSE),"")</f>
        <v/>
      </c>
      <c r="BV33" s="173" t="str">
        <f>IFERROR(VLOOKUP($A33,T_TraitDi[#Data],COLUMN(T_TraitDi[[#This Row],[CP1]]),FALSE),"")</f>
        <v/>
      </c>
      <c r="BW33" s="173" t="str">
        <f>IFERROR(VLOOKUP($A33,T_TraitDi[#Data],COLUMN(T_TraitDi[[#This Row],[VILLE1]]),FALSE),"")</f>
        <v/>
      </c>
      <c r="BX33" s="182" t="str">
        <f>IFERROR(VLOOKUP(VLOOKUP($A33,T_TraitDi[#Data],COLUMN(T_TraitDi[[#This Row],[Type2]]),FALSE),TypeTW,2,FALSE),"")</f>
        <v/>
      </c>
      <c r="BY33" s="182" t="str">
        <f>IFERROR(VLOOKUP($A33,T_TraitDi[#Data],COLUMN(T_TraitDi[[#This Row],[Rue2]]),FALSE),"")</f>
        <v/>
      </c>
      <c r="BZ33" s="173" t="str">
        <f>IFERROR(VLOOKUP($A33,T_TraitDi[#Data],COLUMN(T_TraitDi[[#This Row],[CP2]]),FALSE),"")</f>
        <v/>
      </c>
      <c r="CA33" s="173" t="str">
        <f>IFERROR(VLOOKUP($A33,T_TraitDi[#Data],COLUMN(T_TraitDi[[#This Row],[VILLE2]]),FALSE),"")</f>
        <v/>
      </c>
      <c r="CB33" s="182" t="str">
        <f>IF(VLOOKUP(T_BilanSocial[[#This Row],[NumL]],T_Equipement[#Data],COLUMN(T_Equipement[[#This Row],[PC]]),FALSE)="","Aucun équipement spécifique directement lié au télétravail",VLOOKUP(T_BilanSocial[[#This Row],[NumL]],T_Equipement[#Data],COLUMN(T_Equipement[[#This Row],[PC]]),FALSE))</f>
        <v>17-032</v>
      </c>
      <c r="CC33" s="166" t="str">
        <f>IFERROR(IF(VLOOKUP(T_BilanSocial[[#This Row],[NumL]],T_TraitDi[#Data],COLUMN(T_TraitDi[[#This Row],[Plan]]),FALSE)="OK","Un planning spécifique de télétravail est annexé à la présente convention.",""),"")</f>
        <v/>
      </c>
      <c r="CD33" s="258" t="s">
        <v>3329</v>
      </c>
      <c r="CE33" s="164" t="e">
        <f>IF(VLOOKUP(T_BilanSocial[[#This Row],[NumL]],T_suiviDi[#Data],COLUMN(T_suiviDi[[#This Row],[Entité]]),FALSE)="","",VLOOKUP(T_BilanSocial[[#This Row],[NumL]],T_suiviDi[#Data],COLUMN(T_suiviDi[[#This Row],[Entité]]),FALSE))</f>
        <v>#VALUE!</v>
      </c>
      <c r="CF33" s="164" t="str">
        <f>IF(VLOOKUP(T_BilanSocial[[#This Row],[NumL]],T_Commission[#Data],COLUMN(T_Commission[[#This Row],[envoi confirm TW]]),FALSE)="","",VLOOKUP(T_BilanSocial[[#This Row],[NumL]],T_Commission[#Data],COLUMN(T_Commission[[#This Row],[envoi confirm TW]]),FALSE))</f>
        <v>Oui</v>
      </c>
      <c r="CG3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 s="262" t="str">
        <f>T_BilanSocial[[#This Row],[Nom]]&amp;T_BilanSocial[[#This Row],[Prenom]]</f>
        <v/>
      </c>
      <c r="CI33" s="262">
        <f>VLOOKUP(T_BilanSocial[[#This Row],[NumL]],T_Commission[#Data],COLUMN(T_Commission[Commentaire]),FALSE)</f>
        <v>0</v>
      </c>
      <c r="CJ33" s="262" t="str">
        <f>IF(VLOOKUP(T_BilanSocial[[#This Row],[NumL]],T_Commission[#Data],COLUMN(T_Commission[Encadrant Email]),FALSE)="","",VLOOKUP(T_BilanSocial[[#This Row],[NumL]],T_Commission[#Data],COLUMN(T_Commission[Encadrant Email]),FALSE))</f>
        <v/>
      </c>
      <c r="CK33" s="340" t="str">
        <f>IF(T_BilanSocial[[#This Row],[Final]]&lt;&gt;"",VLOOKUP(T_BilanSocial[[#This Row],[NumL]],T_suiviDi[#Data],COLUMN((T_suiviDi[Statut])),FALSE),"")</f>
        <v/>
      </c>
    </row>
    <row r="34" spans="1:89" s="106" customFormat="1" ht="24.75" customHeight="1" x14ac:dyDescent="0.25">
      <c r="A34" s="160">
        <v>31</v>
      </c>
      <c r="B34" s="161" t="str">
        <f t="shared" si="0"/>
        <v/>
      </c>
      <c r="C34" s="162" t="s">
        <v>3287</v>
      </c>
      <c r="D34" s="95" t="e">
        <f>IF(VLOOKUP(T_BilanSocial[[#This Row],[NumL]],T_TraitDi[#Data],COLUMN(T_TraitDi[[#This Row],[WebC]]),FALSE)="","",VLOOKUP(T_BilanSocial[[#This Row],[NumL]],T_TraitDi[#Data],COLUMN(T_TraitDi[[#This Row],[WebC]]),FALSE))</f>
        <v>#VALUE!</v>
      </c>
      <c r="E34" s="163" t="str">
        <f t="shared" si="1"/>
        <v>12 janvier 2021</v>
      </c>
      <c r="F34" s="96" t="str">
        <f>IF(T_BilanSocial[[#This Row],[Final]]&lt;&gt;"",VLOOKUP(T_BilanSocial[[#This Row],[NumL]],T_suiviDi[#Data],COLUMN((T_suiviDi[Civ.])),FALSE),"")</f>
        <v/>
      </c>
      <c r="G34" s="96" t="str">
        <f>IF(T_BilanSocial[[#This Row],[Final]]&lt;&gt;"",VLOOKUP(T_BilanSocial[[#This Row],[NumL]],T_suiviDi[#Data],COLUMN((T_suiviDi[Nom])),FALSE),"")</f>
        <v/>
      </c>
      <c r="H34" s="96" t="str">
        <f>IF(T_BilanSocial[[#This Row],[Final]]&lt;&gt;"",VLOOKUP(T_BilanSocial[[#This Row],[NumL]],T_suiviDi[#Data],COLUMN((T_suiviDi[Prénom])),FALSE),"")</f>
        <v/>
      </c>
      <c r="I34" s="96" t="str">
        <f>IFERROR(VLOOKUP(T_BilanSocial[[#This Row],[Zone_Bilan]],T_P_BilanSocial[#Data],COLUMN(T_P_BilanSocial[[#This Row],[Numero_SIHAM]]),FALSE),"")</f>
        <v/>
      </c>
      <c r="J34" s="96" t="str">
        <f>IFERROR(VLOOKUP(T_BilanSocial[[#This Row],[Zone_Bilan]],T_P_BilanSocial[#Data],COLUMN(T_P_BilanSocial[[#This Row],[Sexe]]),FALSE),"")</f>
        <v/>
      </c>
      <c r="K34" s="97" t="str">
        <f>IFERROR(VLOOKUP(T_BilanSocial[[#This Row],[Zone_Bilan]],T_P_BilanSocial[#Data],COLUMN(T_P_BilanSocial[[#This Row],[Categorie]]),FALSE),"")</f>
        <v/>
      </c>
      <c r="L34" s="96" t="str">
        <f>IFERROR(VLOOKUP(T_BilanSocial[[#This Row],[Zone_Bilan]],T_P_BilanSocial[#Data],COLUMN(T_P_BilanSocial[[#This Row],[Statut]]),FALSE),"")</f>
        <v/>
      </c>
      <c r="M34" s="96" t="str">
        <f>IFERROR(VLOOKUP(T_BilanSocial[[#This Row],[Zone_Bilan]],T_P_BilanSocial[#Data],COLUMN(T_P_BilanSocial[[#This Row],[Filiere]]),FALSE),"")</f>
        <v/>
      </c>
      <c r="N34" s="96" t="e">
        <f>VLOOKUP(T_BilanSocial[[#This Row],[NumL]],T_TraitDi[#Data],COLUMN(T_TraitDi[EXP]),FALSE)</f>
        <v>#N/A</v>
      </c>
      <c r="O34" s="96" t="e">
        <f>VLOOKUP(T_BilanSocial[[#This Row],[NumL]],T_TraitDi[#Data],COLUMN(T_TraitDi[FORM]),FALSE)</f>
        <v>#N/A</v>
      </c>
      <c r="P34" s="96" t="str">
        <f>IF(T_BilanSocial[[#This Row],[Final]]&lt;&gt;"",VLOOKUP(T_BilanSocial[[#This Row],[NumL]],T_suiviDi[#Data],COLUMN((T_suiviDi[Email])),FALSE),"")</f>
        <v/>
      </c>
      <c r="Q34" s="164" t="e">
        <f t="shared" si="7"/>
        <v>#N/A</v>
      </c>
      <c r="R34" s="164" t="e">
        <f t="shared" si="8"/>
        <v>#N/A</v>
      </c>
      <c r="S34" s="164" t="e">
        <f>IF(VLOOKUP(T_BilanSocial[[#This Row],[NumL]],T_suiviDi[#Data],COLUMN(T_suiviDi[[#This Row],[Service ]]),FALSE)="","",VLOOKUP(T_BilanSocial[[#This Row],[NumL]],T_suiviDi[#Data],COLUMN(T_suiviDi[[#This Row],[Service ]]),FALSE))</f>
        <v>#VALUE!</v>
      </c>
      <c r="T34" s="164" t="str">
        <f t="shared" si="2"/>
        <v>01 septembre 2021</v>
      </c>
      <c r="U34" s="164" t="str">
        <f t="shared" si="3"/>
        <v>30 novembre 2021</v>
      </c>
      <c r="V34" s="164" t="str">
        <f t="shared" si="6"/>
        <v>30 novembre 2021</v>
      </c>
      <c r="W34" s="176" t="e">
        <f>IF(VLOOKUP(T_BilanSocial[[#This Row],[NumL]],T_TraitDi[#Data],COLUMN(T_TraitDi[[#This Row],[M1]]),FALSE)="","",VLOOKUP(T_BilanSocial[[#This Row],[NumL]],T_TraitDi[#Data],COLUMN(T_TraitDi[[#This Row],[M1]]),FALSE))</f>
        <v>#VALUE!</v>
      </c>
      <c r="X34" s="176" t="e">
        <f>IF(VLOOKUP(T_BilanSocial[[#This Row],[NumL]],T_TraitDi[#Data],COLUMN(T_TraitDi[[#This Row],[M2]]),FALSE)="","",VLOOKUP(T_BilanSocial[[#This Row],[NumL]],T_TraitDi[#Data],COLUMN(T_TraitDi[[#This Row],[M2]]),FALSE))</f>
        <v>#VALUE!</v>
      </c>
      <c r="Y34" s="176" t="e">
        <f>IF(VLOOKUP(T_BilanSocial[[#This Row],[NumL]],T_TraitDi[#Data],COLUMN(T_TraitDi[[#This Row],[M3]]),FALSE)="","",VLOOKUP(T_BilanSocial[[#This Row],[NumL]],T_TraitDi[#Data],COLUMN(T_TraitDi[[#This Row],[M3]]),FALSE))</f>
        <v>#VALUE!</v>
      </c>
      <c r="Z34" s="176" t="str">
        <f t="shared" si="5"/>
        <v/>
      </c>
      <c r="AA34" s="176" t="e">
        <f>IF(VLOOKUP(T_BilanSocial[[#This Row],[NumL]],T_TraitDi[#Data],COLUMN(T_TraitDi[[#This Row],[M5]]),FALSE)="","",VLOOKUP(T_BilanSocial[[#This Row],[NumL]],T_TraitDi[#Data],COLUMN(T_TraitDi[[#This Row],[M5]]),FALSE))</f>
        <v>#VALUE!</v>
      </c>
      <c r="AB34" s="176" t="e">
        <f>IF(VLOOKUP(T_BilanSocial[[#This Row],[NumL]],T_TraitDi[#Data],COLUMN(T_TraitDi[[#This Row],[M6]]),FALSE)="","",VLOOKUP(T_BilanSocial[[#This Row],[NumL]],T_TraitDi[#Data],COLUMN(T_TraitDi[[#This Row],[M6]]),FALSE))</f>
        <v>#VALUE!</v>
      </c>
      <c r="AC34" s="165" t="e">
        <f t="shared" si="4"/>
        <v>#VALUE!</v>
      </c>
      <c r="AD34" s="188" t="str">
        <f>IFERROR(TEXT(VLOOKUP(T_BilanSocial[[#This Row],[NumL]],T_TraitDi[#Data],COLUMN(T_TraitDi[[#This Row],[Q2]]),FALSE),"###%"),"")</f>
        <v/>
      </c>
      <c r="AE34" s="97" t="e">
        <f>VLOOKUP(T_BilanSocial[[#This Row],[NumL]],T_TraitDi[#Data],COLUMN(T_TraitDi[[#This Row],[Reg Ponct]]),FALSE)</f>
        <v>#VALUE!</v>
      </c>
      <c r="AF34" s="97" t="e">
        <f>VLOOKUP(T_BilanSocial[NumL],T_TraitDi[#Data],COLUMN(T_TraitDi[[#This Row],[Jours flottants]]),FALSE)</f>
        <v>#VALUE!</v>
      </c>
      <c r="AG34" s="97" t="str">
        <f>IFERROR(VLOOKUP(T_BilanSocial[[#This Row],[NumL]],T_TraitDi[#Data],COLUMN(T_TraitDi[[#This Row],[Lundi]]),FALSE),"")</f>
        <v/>
      </c>
      <c r="AH34" s="172" t="e">
        <f>IF(VLOOKUP(T_BilanSocial[[#This Row],[NumL]],T_TraitDi[#Data],COLUMN(T_TraitDi[[#This Row],[Colonne3]]),FALSE)=0,"",TEXT(IFERROR(VLOOKUP(T_BilanSocial[[#This Row],[NumL]],T_TraitDi[#Data],COLUMN(T_TraitDi[[#This Row],[Colonne3]]),FALSE),""),"[hh]:mm"))</f>
        <v>#VALUE!</v>
      </c>
      <c r="AI34" s="172" t="e">
        <f>IF(VLOOKUP(T_BilanSocial[[#This Row],[NumL]],T_TraitDi[#Data],COLUMN(T_TraitDi[[#This Row],[Colonne4]]),FALSE)=0,"",TEXT(IFERROR(VLOOKUP(T_BilanSocial[[#This Row],[NumL]],T_TraitDi[#Data],COLUMN(T_TraitDi[[#This Row],[Colonne4]]),FALSE),""),"[hh]:mm"))</f>
        <v>#VALUE!</v>
      </c>
      <c r="AJ34" s="172" t="e">
        <f>IF(VLOOKUP(T_BilanSocial[[#This Row],[NumL]],T_TraitDi[#Data],COLUMN(T_TraitDi[[#This Row],[Colonne5]]),FALSE)=0,"",TEXT(IFERROR(VLOOKUP(T_BilanSocial[[#This Row],[NumL]],T_TraitDi[#Data],COLUMN(T_TraitDi[[#This Row],[Colonne5]]),FALSE),""),"[hh]:mm"))</f>
        <v>#VALUE!</v>
      </c>
      <c r="AK34" s="172" t="e">
        <f>IF(VLOOKUP(T_BilanSocial[[#This Row],[NumL]],T_TraitDi[#Data],COLUMN(T_TraitDi[[#This Row],[Colonne6]]),FALSE)=0,"",TEXT(IFERROR(VLOOKUP(T_BilanSocial[[#This Row],[NumL]],T_TraitDi[#Data],COLUMN(T_TraitDi[[#This Row],[Colonne6]]),FALSE),""),"[hh]:mm"))</f>
        <v>#VALUE!</v>
      </c>
      <c r="AL34" s="172" t="e">
        <f>IF(VLOOKUP(T_BilanSocial[[#This Row],[NumL]],T_TraitDi[#Data],COLUMN(T_TraitDi[[#This Row],[Colonne7]]),FALSE)=0,"",TEXT(IFERROR(VLOOKUP(T_BilanSocial[[#This Row],[NumL]],T_TraitDi[#Data],COLUMN(T_TraitDi[[#This Row],[Colonne7]]),FALSE),""),"[hh]:mm"))</f>
        <v>#VALUE!</v>
      </c>
      <c r="AM34" s="172" t="e">
        <f>IF(VLOOKUP(T_BilanSocial[[#This Row],[NumL]],T_TraitDi[#Data],COLUMN(T_TraitDi[[#This Row],[Colonne8]]),FALSE)=0,"",TEXT(IFERROR(VLOOKUP(T_BilanSocial[[#This Row],[NumL]],T_TraitDi[#Data],COLUMN(T_TraitDi[[#This Row],[Colonne8]]),FALSE),""),"[hh]:mm"))</f>
        <v>#VALUE!</v>
      </c>
      <c r="AN34" s="172" t="str">
        <f>IFERROR(VLOOKUP(T_BilanSocial[[#This Row],[NumL]],T_TraitDi[#Data],COLUMN(T_TraitDi[[#This Row],[Mardi]]),FALSE),"")</f>
        <v/>
      </c>
      <c r="AO34" s="172" t="e">
        <f>IF(VLOOKUP(T_BilanSocial[[#This Row],[NumL]],T_TraitDi[#Data],COLUMN(T_TraitDi[[#This Row],[Colonne1]]),FALSE)=0,"",TEXT(IFERROR(VLOOKUP(T_BilanSocial[[#This Row],[NumL]],T_TraitDi[#Data],COLUMN(T_TraitDi[[#This Row],[Colonne1]]),FALSE),""),"[hh]:mm"))</f>
        <v>#VALUE!</v>
      </c>
      <c r="AP34" s="172" t="e">
        <f>IF(VLOOKUP(T_BilanSocial[[#This Row],[NumL]],T_TraitDi[#Data],COLUMN(T_TraitDi[[#This Row],[Colonne9]]),FALSE)=0,"",TEXT(IFERROR(VLOOKUP(T_BilanSocial[[#This Row],[NumL]],T_TraitDi[#Data],COLUMN(T_TraitDi[[#This Row],[Colonne9]]),FALSE),""),"[hh]:mm"))</f>
        <v>#VALUE!</v>
      </c>
      <c r="AQ34" s="172" t="str">
        <f>IFERROR(VLOOKUP(T_BilanSocial[[#This Row],[NumL]],T_TraitDi[#Data],COLUMN(T_TraitDi[[#This Row],[Colonne10]]),FALSE),"")</f>
        <v/>
      </c>
      <c r="AR34" s="172" t="e">
        <f>IF(VLOOKUP(T_BilanSocial[[#This Row],[NumL]],T_TraitDi[#Data],COLUMN(T_TraitDi[[#This Row],[Colonne11]]),FALSE)=0,"",TEXT(IFERROR(VLOOKUP(T_BilanSocial[[#This Row],[NumL]],T_TraitDi[#Data],COLUMN(T_TraitDi[[#This Row],[Colonne11]]),FALSE),""),"[hh]:mm"))</f>
        <v>#VALUE!</v>
      </c>
      <c r="AS34" s="172" t="e">
        <f>IF(VLOOKUP(T_BilanSocial[[#This Row],[NumL]],T_TraitDi[#Data],COLUMN(T_TraitDi[[#This Row],[Colonne12]]),FALSE)=0,"",TEXT(IFERROR(VLOOKUP(T_BilanSocial[[#This Row],[NumL]],T_TraitDi[#Data],COLUMN(T_TraitDi[[#This Row],[Colonne12]]),FALSE),""),"[hh]:mm"))</f>
        <v>#VALUE!</v>
      </c>
      <c r="AT34" s="172" t="e">
        <f>IF(VLOOKUP(T_BilanSocial[[#This Row],[NumL]],T_TraitDi[#Data],COLUMN(T_TraitDi[[#This Row],[Colonne14]]),FALSE)=0,"",TEXT(IFERROR(VLOOKUP(T_BilanSocial[[#This Row],[NumL]],T_TraitDi[#Data],COLUMN(T_TraitDi[[#This Row],[Colonne14]]),FALSE),""),"[hh]:mm"))</f>
        <v>#VALUE!</v>
      </c>
      <c r="AU34" s="172" t="str">
        <f>IFERROR(VLOOKUP(T_BilanSocial[[#This Row],[NumL]],T_TraitDi[#Data],COLUMN(T_TraitDi[[#This Row],[Mercredi]]),FALSE),"")</f>
        <v/>
      </c>
      <c r="AV34" s="172" t="e">
        <f>IF(VLOOKUP(T_BilanSocial[[#This Row],[NumL]],T_TraitDi[#Data],COLUMN(T_TraitDi[[#This Row],[Colonne15]]),FALSE)=0,"",TEXT(IFERROR(VLOOKUP(T_BilanSocial[[#This Row],[NumL]],T_TraitDi[#Data],COLUMN(T_TraitDi[[#This Row],[Colonne15]]),FALSE),""),"[hh]:mm"))</f>
        <v>#VALUE!</v>
      </c>
      <c r="AW34" s="172" t="e">
        <f>IF(VLOOKUP(T_BilanSocial[[#This Row],[NumL]],T_TraitDi[#Data],COLUMN(T_TraitDi[[#This Row],[Colonne16]]),FALSE)=0,"",TEXT(IFERROR(VLOOKUP(T_BilanSocial[[#This Row],[NumL]],T_TraitDi[#Data],COLUMN(T_TraitDi[[#This Row],[Colonne16]]),FALSE),""),"[hh]:mm"))</f>
        <v>#VALUE!</v>
      </c>
      <c r="AX34" s="172" t="str">
        <f>IFERROR(VLOOKUP(T_BilanSocial[[#This Row],[NumL]],T_TraitDi[#Data],COLUMN(T_TraitDi[[#This Row],[Colonne17]]),FALSE),"")</f>
        <v/>
      </c>
      <c r="AY34" s="172" t="e">
        <f>IF(VLOOKUP(T_BilanSocial[[#This Row],[NumL]],T_TraitDi[#Data],COLUMN(T_TraitDi[[#This Row],[Colonne18]]),FALSE)=0,"",TEXT(IFERROR(VLOOKUP(T_BilanSocial[[#This Row],[NumL]],T_TraitDi[#Data],COLUMN(T_TraitDi[[#This Row],[Colonne18]]),FALSE),""),"[hh]:mm"))</f>
        <v>#VALUE!</v>
      </c>
      <c r="AZ34" s="172" t="e">
        <f>IF(VLOOKUP(T_BilanSocial[[#This Row],[NumL]],T_TraitDi[#Data],COLUMN(T_TraitDi[[#This Row],[Colonne19]]),FALSE)=0,"",TEXT(IFERROR(VLOOKUP(T_BilanSocial[[#This Row],[NumL]],T_TraitDi[#Data],COLUMN(T_TraitDi[[#This Row],[Colonne19]]),FALSE),""),"[hh]:mm"))</f>
        <v>#VALUE!</v>
      </c>
      <c r="BA34" s="172" t="e">
        <f>IF(VLOOKUP(T_BilanSocial[[#This Row],[NumL]],T_TraitDi[#Data],COLUMN(T_TraitDi[[#This Row],[Colonne20]]),FALSE)=0,"",TEXT(IFERROR(VLOOKUP(T_BilanSocial[[#This Row],[NumL]],T_TraitDi[#Data],COLUMN(T_TraitDi[[#This Row],[Colonne20]]),FALSE),""),"[hh]:mm"))</f>
        <v>#VALUE!</v>
      </c>
      <c r="BB34" s="178" t="str">
        <f>IFERROR(VLOOKUP(T_BilanSocial[[#This Row],[NumL]],T_TraitDi[#Data],COLUMN(T_TraitDi[[#This Row],[Jeudi]]),FALSE),"")</f>
        <v/>
      </c>
      <c r="BC34" s="178" t="e">
        <f>IF(VLOOKUP(T_BilanSocial[[#This Row],[NumL]],T_TraitDi[#Data],COLUMN(T_TraitDi[[#This Row],[Colonne21]]),FALSE)=0,"",TEXT(IFERROR(VLOOKUP(T_BilanSocial[[#This Row],[NumL]],T_TraitDi[#Data],COLUMN(T_TraitDi[[#This Row],[Colonne21]]),FALSE),""),"[hh]:mm"))</f>
        <v>#VALUE!</v>
      </c>
      <c r="BD34" s="178" t="e">
        <f>IF(VLOOKUP(T_BilanSocial[[#This Row],[NumL]],T_TraitDi[#Data],COLUMN(T_TraitDi[[#This Row],[Colonne22]]),FALSE)=0,"",TEXT(IFERROR(VLOOKUP(T_BilanSocial[[#This Row],[NumL]],T_TraitDi[#Data],COLUMN(T_TraitDi[[#This Row],[Colonne22]]),FALSE),""),"[hh]:mm"))</f>
        <v>#VALUE!</v>
      </c>
      <c r="BE34" s="178" t="str">
        <f>IFERROR(VLOOKUP(T_BilanSocial[[#This Row],[NumL]],T_TraitDi[#Data],COLUMN(T_TraitDi[[#This Row],[Colonne23]]),FALSE),"")</f>
        <v/>
      </c>
      <c r="BF34" s="178" t="e">
        <f>IF(VLOOKUP(T_BilanSocial[[#This Row],[NumL]],T_TraitDi[#Data],COLUMN(T_TraitDi[[#This Row],[Colonne24]]),FALSE)=0,"",TEXT(IFERROR(VLOOKUP(T_BilanSocial[[#This Row],[NumL]],T_TraitDi[#Data],COLUMN(T_TraitDi[[#This Row],[Colonne24]]),FALSE),""),"[hh]:mm"))</f>
        <v>#VALUE!</v>
      </c>
      <c r="BG34" s="178" t="e">
        <f>IF(VLOOKUP(T_BilanSocial[[#This Row],[NumL]],T_TraitDi[#Data],COLUMN(T_TraitDi[[#This Row],[Colonne25]]),FALSE)=0,"",TEXT(IFERROR(VLOOKUP(T_BilanSocial[[#This Row],[NumL]],T_TraitDi[#Data],COLUMN(T_TraitDi[[#This Row],[Colonne25]]),FALSE),""),"[hh]:mm"))</f>
        <v>#VALUE!</v>
      </c>
      <c r="BH34" s="178" t="e">
        <f>IF(VLOOKUP(T_BilanSocial[[#This Row],[NumL]],T_TraitDi[#Data],COLUMN(T_TraitDi[[#This Row],[Colonne26]]),FALSE)=0,"",TEXT(IFERROR(VLOOKUP(T_BilanSocial[[#This Row],[NumL]],T_TraitDi[#Data],COLUMN(T_TraitDi[[#This Row],[Colonne26]]),FALSE),""),"[hh]:mm"))</f>
        <v>#VALUE!</v>
      </c>
      <c r="BI34" s="172" t="str">
        <f>IFERROR(VLOOKUP(T_BilanSocial[[#This Row],[NumL]],T_TraitDi[#Data],COLUMN(T_TraitDi[[#This Row],[Vendredi]]),FALSE),"")</f>
        <v/>
      </c>
      <c r="BJ34" s="172" t="e">
        <f>IF(VLOOKUP(T_BilanSocial[[#This Row],[NumL]],T_TraitDi[#Data],COLUMN(T_TraitDi[[#This Row],[Colonne27]]),FALSE)=0,"",TEXT(IFERROR(VLOOKUP(T_BilanSocial[[#This Row],[NumL]],T_TraitDi[#Data],COLUMN(T_TraitDi[[#This Row],[Colonne27]]),FALSE),""),"[hh]:mm"))</f>
        <v>#VALUE!</v>
      </c>
      <c r="BK34" s="172" t="e">
        <f>IF(VLOOKUP(T_BilanSocial[[#This Row],[NumL]],T_TraitDi[#Data],COLUMN(T_TraitDi[[#This Row],[Colonne28]]),FALSE)=0,"",TEXT(IFERROR(VLOOKUP(T_BilanSocial[[#This Row],[NumL]],T_TraitDi[#Data],COLUMN(T_TraitDi[[#This Row],[Colonne28]]),FALSE),""),"[hh]:mm"))</f>
        <v>#VALUE!</v>
      </c>
      <c r="BL34" s="172" t="str">
        <f>IFERROR(VLOOKUP(T_BilanSocial[[#This Row],[NumL]],T_TraitDi[#Data],COLUMN(T_TraitDi[[#This Row],[Colonne29]]),FALSE),"")</f>
        <v/>
      </c>
      <c r="BM34" s="172" t="e">
        <f>IF(VLOOKUP(T_BilanSocial[[#This Row],[NumL]],T_TraitDi[#Data],COLUMN(T_TraitDi[[#This Row],[Colonne30]]),FALSE)=0,"",TEXT(IFERROR(VLOOKUP(T_BilanSocial[[#This Row],[NumL]],T_TraitDi[#Data],COLUMN(T_TraitDi[[#This Row],[Colonne30]]),FALSE),""),"[hh]:mm"))</f>
        <v>#VALUE!</v>
      </c>
      <c r="BN34" s="172" t="e">
        <f>IF(VLOOKUP(T_BilanSocial[[#This Row],[NumL]],T_TraitDi[#Data],COLUMN(T_TraitDi[[#This Row],[Colonne31]]),FALSE)=0,"",TEXT(IFERROR(VLOOKUP(T_BilanSocial[[#This Row],[NumL]],T_TraitDi[#Data],COLUMN(T_TraitDi[[#This Row],[Colonne31]]),FALSE),""),"[hh]:mm"))</f>
        <v>#VALUE!</v>
      </c>
      <c r="BO34" s="172" t="e">
        <f>IF(VLOOKUP(T_BilanSocial[[#This Row],[NumL]],T_TraitDi[#Data],COLUMN(T_TraitDi[[#This Row],[Colonne32]]),FALSE)=0,"",TEXT(IFERROR(VLOOKUP(T_BilanSocial[[#This Row],[NumL]],T_TraitDi[#Data],COLUMN(T_TraitDi[[#This Row],[Colonne32]]),FALSE),""),"[hh]:mm"))</f>
        <v>#VALUE!</v>
      </c>
      <c r="BP34" s="172" t="e">
        <f>VLOOKUP(T_BilanSocial[[#This Row],[NumL]],T_TraitDi[#Data],COLUMN(T_TraitDi[NbJTot]),FALSE)</f>
        <v>#N/A</v>
      </c>
      <c r="BQ34" s="174" t="str">
        <f>IFERROR(VLOOKUP(T_BilanSocial[[#This Row],[NumL]],T_TraitDi[#Data],COLUMN(T_TraitDi[[#This Row],[NbJTW]]),FALSE),"")</f>
        <v/>
      </c>
      <c r="BR34" s="174" t="e">
        <f>IF(VLOOKUP(T_BilanSocial[[#This Row],[NumL]],T_TraitDi[#Data],COLUMN(T_TraitDi[[#This Row],[NbhTW]]),FALSE)=0,"",TEXT(IFERROR(VLOOKUP(T_BilanSocial[[#This Row],[NumL]],T_TraitDi[#Data],COLUMN(T_TraitDi[[#This Row],[NbhTW]]),FALSE),""),"[hh]:mm"))</f>
        <v>#VALUE!</v>
      </c>
      <c r="BS34" s="174" t="e">
        <f>IF(VLOOKUP(T_BilanSocial[[#This Row],[NumL]],T_TraitDi[#Data],COLUMN(T_TraitDi[[#This Row],[Nbhheb]]),FALSE)=0,"",TEXT(IFERROR(VLOOKUP($A34,T_TraitDi[#Data],COLUMN(T_TraitDi[[#This Row],[Nbhheb]]),FALSE),""),"[hh]:mm"))</f>
        <v>#VALUE!</v>
      </c>
      <c r="BT34" s="182" t="str">
        <f>IFERROR(VLOOKUP(VLOOKUP($A34,T_TraitDi[#Data],COLUMN(T_TraitDi[[#This Row],[Type1]]),FALSE),TypeTW,2,FALSE),"")</f>
        <v/>
      </c>
      <c r="BU34" s="182" t="str">
        <f>IFERROR(VLOOKUP($A34,T_TraitDi[#Data],COLUMN(T_TraitDi[[#This Row],[Rue1]]),FALSE),"")</f>
        <v/>
      </c>
      <c r="BV34" s="173" t="str">
        <f>IFERROR(VLOOKUP($A34,T_TraitDi[#Data],COLUMN(T_TraitDi[[#This Row],[CP1]]),FALSE),"")</f>
        <v/>
      </c>
      <c r="BW34" s="173" t="str">
        <f>IFERROR(VLOOKUP($A34,T_TraitDi[#Data],COLUMN(T_TraitDi[[#This Row],[VILLE1]]),FALSE),"")</f>
        <v/>
      </c>
      <c r="BX34" s="182" t="str">
        <f>IFERROR(VLOOKUP(VLOOKUP($A34,T_TraitDi[#Data],COLUMN(T_TraitDi[[#This Row],[Type2]]),FALSE),TypeTW,2,FALSE),"")</f>
        <v/>
      </c>
      <c r="BY34" s="182" t="str">
        <f>IFERROR(VLOOKUP($A34,T_TraitDi[#Data],COLUMN(T_TraitDi[[#This Row],[Rue2]]),FALSE),"")</f>
        <v/>
      </c>
      <c r="BZ34" s="173" t="str">
        <f>IFERROR(VLOOKUP($A34,T_TraitDi[#Data],COLUMN(T_TraitDi[[#This Row],[CP2]]),FALSE),"")</f>
        <v/>
      </c>
      <c r="CA34" s="173" t="str">
        <f>IFERROR(VLOOKUP($A34,T_TraitDi[#Data],COLUMN(T_TraitDi[[#This Row],[VILLE2]]),FALSE),"")</f>
        <v/>
      </c>
      <c r="CB34" s="182" t="str">
        <f>IF(VLOOKUP(T_BilanSocial[[#This Row],[NumL]],T_Equipement[#Data],COLUMN(T_Equipement[[#This Row],[PC]]),FALSE)="","Aucun équipement spécifique directement lié au télétravail",VLOOKUP(T_BilanSocial[[#This Row],[NumL]],T_Equipement[#Data],COLUMN(T_Equipement[[#This Row],[PC]]),FALSE))</f>
        <v xml:space="preserve">17-264	</v>
      </c>
      <c r="CC34" s="166" t="str">
        <f>IFERROR(IF(VLOOKUP(T_BilanSocial[[#This Row],[NumL]],T_TraitDi[#Data],COLUMN(T_TraitDi[[#This Row],[Plan]]),FALSE)="OK","Un planning spécifique de télétravail est annexé à la présente convention.",""),"")</f>
        <v/>
      </c>
      <c r="CD34" s="185"/>
      <c r="CE34" s="164" t="e">
        <f>IF(VLOOKUP(T_BilanSocial[[#This Row],[NumL]],T_suiviDi[#Data],COLUMN(T_suiviDi[[#This Row],[Entité]]),FALSE)="","",VLOOKUP(T_BilanSocial[[#This Row],[NumL]],T_suiviDi[#Data],COLUMN(T_suiviDi[[#This Row],[Entité]]),FALSE))</f>
        <v>#VALUE!</v>
      </c>
      <c r="CF34" s="164" t="str">
        <f>IF(VLOOKUP(T_BilanSocial[[#This Row],[NumL]],T_Commission[#Data],COLUMN(T_Commission[[#This Row],[envoi confirm TW]]),FALSE)="","",VLOOKUP(T_BilanSocial[[#This Row],[NumL]],T_Commission[#Data],COLUMN(T_Commission[[#This Row],[envoi confirm TW]]),FALSE))</f>
        <v>Oui</v>
      </c>
      <c r="CG3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 s="262" t="str">
        <f>T_BilanSocial[[#This Row],[Nom]]&amp;T_BilanSocial[[#This Row],[Prenom]]</f>
        <v/>
      </c>
      <c r="CI34" s="262">
        <f>VLOOKUP(T_BilanSocial[[#This Row],[NumL]],T_Commission[#Data],COLUMN(T_Commission[Commentaire]),FALSE)</f>
        <v>0</v>
      </c>
      <c r="CJ34" s="262" t="str">
        <f>IF(VLOOKUP(T_BilanSocial[[#This Row],[NumL]],T_Commission[#Data],COLUMN(T_Commission[Encadrant Email]),FALSE)="","",VLOOKUP(T_BilanSocial[[#This Row],[NumL]],T_Commission[#Data],COLUMN(T_Commission[Encadrant Email]),FALSE))</f>
        <v/>
      </c>
      <c r="CK34" s="340" t="str">
        <f>IF(T_BilanSocial[[#This Row],[Final]]&lt;&gt;"",VLOOKUP(T_BilanSocial[[#This Row],[NumL]],T_suiviDi[#Data],COLUMN((T_suiviDi[Statut])),FALSE),"")</f>
        <v/>
      </c>
    </row>
    <row r="35" spans="1:89" s="106" customFormat="1" ht="24.75" customHeight="1" x14ac:dyDescent="0.25">
      <c r="A35" s="160">
        <v>32</v>
      </c>
      <c r="B35" s="161" t="str">
        <f t="shared" si="0"/>
        <v/>
      </c>
      <c r="C35" s="162" t="s">
        <v>173</v>
      </c>
      <c r="D35" s="95" t="e">
        <f>IF(VLOOKUP(T_BilanSocial[[#This Row],[NumL]],T_TraitDi[#Data],COLUMN(T_TraitDi[[#This Row],[WebC]]),FALSE)="","",VLOOKUP(T_BilanSocial[[#This Row],[NumL]],T_TraitDi[#Data],COLUMN(T_TraitDi[[#This Row],[WebC]]),FALSE))</f>
        <v>#VALUE!</v>
      </c>
      <c r="E35" s="163" t="str">
        <f t="shared" si="1"/>
        <v>12 janvier 2021</v>
      </c>
      <c r="F35" s="96" t="str">
        <f>IF(T_BilanSocial[[#This Row],[Final]]&lt;&gt;"",VLOOKUP(T_BilanSocial[[#This Row],[NumL]],T_suiviDi[#Data],COLUMN((T_suiviDi[Civ.])),FALSE),"")</f>
        <v/>
      </c>
      <c r="G35" s="96" t="str">
        <f>IF(T_BilanSocial[[#This Row],[Final]]&lt;&gt;"",VLOOKUP(T_BilanSocial[[#This Row],[NumL]],T_suiviDi[#Data],COLUMN((T_suiviDi[Nom])),FALSE),"")</f>
        <v/>
      </c>
      <c r="H35" s="96" t="str">
        <f>IF(T_BilanSocial[[#This Row],[Final]]&lt;&gt;"",VLOOKUP(T_BilanSocial[[#This Row],[NumL]],T_suiviDi[#Data],COLUMN((T_suiviDi[Prénom])),FALSE),"")</f>
        <v/>
      </c>
      <c r="I35" s="96" t="str">
        <f>IFERROR(VLOOKUP(T_BilanSocial[[#This Row],[Zone_Bilan]],T_P_BilanSocial[#Data],COLUMN(T_P_BilanSocial[[#This Row],[Numero_SIHAM]]),FALSE),"")</f>
        <v/>
      </c>
      <c r="J35" s="96" t="str">
        <f>IFERROR(VLOOKUP(T_BilanSocial[[#This Row],[Zone_Bilan]],T_P_BilanSocial[#Data],COLUMN(T_P_BilanSocial[[#This Row],[Sexe]]),FALSE),"")</f>
        <v/>
      </c>
      <c r="K35" s="97" t="str">
        <f>IFERROR(VLOOKUP(T_BilanSocial[[#This Row],[Zone_Bilan]],T_P_BilanSocial[#Data],COLUMN(T_P_BilanSocial[[#This Row],[Categorie]]),FALSE),"")</f>
        <v/>
      </c>
      <c r="L35" s="96" t="str">
        <f>IFERROR(VLOOKUP(T_BilanSocial[[#This Row],[Zone_Bilan]],T_P_BilanSocial[#Data],COLUMN(T_P_BilanSocial[[#This Row],[Statut]]),FALSE),"")</f>
        <v/>
      </c>
      <c r="M35" s="96" t="str">
        <f>IFERROR(VLOOKUP(T_BilanSocial[[#This Row],[Zone_Bilan]],T_P_BilanSocial[#Data],COLUMN(T_P_BilanSocial[[#This Row],[Filiere]]),FALSE),"")</f>
        <v/>
      </c>
      <c r="N35" s="96" t="e">
        <f>VLOOKUP(T_BilanSocial[[#This Row],[NumL]],T_TraitDi[#Data],COLUMN(T_TraitDi[EXP]),FALSE)</f>
        <v>#N/A</v>
      </c>
      <c r="O35" s="96" t="e">
        <f>VLOOKUP(T_BilanSocial[[#This Row],[NumL]],T_TraitDi[#Data],COLUMN(T_TraitDi[FORM]),FALSE)</f>
        <v>#N/A</v>
      </c>
      <c r="P35" s="96" t="str">
        <f>IF(T_BilanSocial[[#This Row],[Final]]&lt;&gt;"",VLOOKUP(T_BilanSocial[[#This Row],[NumL]],T_suiviDi[#Data],COLUMN((T_suiviDi[Email])),FALSE),"")</f>
        <v/>
      </c>
      <c r="Q35" s="164" t="e">
        <f t="shared" si="7"/>
        <v>#N/A</v>
      </c>
      <c r="R35" s="164" t="e">
        <f t="shared" si="8"/>
        <v>#N/A</v>
      </c>
      <c r="S35" s="164" t="e">
        <f>IF(VLOOKUP(T_BilanSocial[[#This Row],[NumL]],T_suiviDi[#Data],COLUMN(T_suiviDi[[#This Row],[Service ]]),FALSE)="","",VLOOKUP(T_BilanSocial[[#This Row],[NumL]],T_suiviDi[#Data],COLUMN(T_suiviDi[[#This Row],[Service ]]),FALSE))</f>
        <v>#VALUE!</v>
      </c>
      <c r="T35" s="164" t="str">
        <f t="shared" si="2"/>
        <v>01 septembre 2021</v>
      </c>
      <c r="U35" s="164" t="str">
        <f t="shared" si="3"/>
        <v>30 novembre 2021</v>
      </c>
      <c r="V35" s="164" t="str">
        <f t="shared" si="6"/>
        <v>30 novembre 2021</v>
      </c>
      <c r="W35" s="176" t="e">
        <f>IF(VLOOKUP(T_BilanSocial[[#This Row],[NumL]],T_TraitDi[#Data],COLUMN(T_TraitDi[[#This Row],[M1]]),FALSE)="","",VLOOKUP(T_BilanSocial[[#This Row],[NumL]],T_TraitDi[#Data],COLUMN(T_TraitDi[[#This Row],[M1]]),FALSE))</f>
        <v>#VALUE!</v>
      </c>
      <c r="X35" s="176" t="e">
        <f>IF(VLOOKUP(T_BilanSocial[[#This Row],[NumL]],T_TraitDi[#Data],COLUMN(T_TraitDi[[#This Row],[M2]]),FALSE)="","",VLOOKUP(T_BilanSocial[[#This Row],[NumL]],T_TraitDi[#Data],COLUMN(T_TraitDi[[#This Row],[M2]]),FALSE))</f>
        <v>#VALUE!</v>
      </c>
      <c r="Y35" s="176" t="e">
        <f>IF(VLOOKUP(T_BilanSocial[[#This Row],[NumL]],T_TraitDi[#Data],COLUMN(T_TraitDi[[#This Row],[M3]]),FALSE)="","",VLOOKUP(T_BilanSocial[[#This Row],[NumL]],T_TraitDi[#Data],COLUMN(T_TraitDi[[#This Row],[M3]]),FALSE))</f>
        <v>#VALUE!</v>
      </c>
      <c r="Z35" s="176" t="str">
        <f t="shared" si="5"/>
        <v/>
      </c>
      <c r="AA35" s="176" t="e">
        <f>IF(VLOOKUP(T_BilanSocial[[#This Row],[NumL]],T_TraitDi[#Data],COLUMN(T_TraitDi[[#This Row],[M5]]),FALSE)="","",VLOOKUP(T_BilanSocial[[#This Row],[NumL]],T_TraitDi[#Data],COLUMN(T_TraitDi[[#This Row],[M5]]),FALSE))</f>
        <v>#VALUE!</v>
      </c>
      <c r="AB35" s="176" t="e">
        <f>IF(VLOOKUP(T_BilanSocial[[#This Row],[NumL]],T_TraitDi[#Data],COLUMN(T_TraitDi[[#This Row],[M6]]),FALSE)="","",VLOOKUP(T_BilanSocial[[#This Row],[NumL]],T_TraitDi[#Data],COLUMN(T_TraitDi[[#This Row],[M6]]),FALSE))</f>
        <v>#VALUE!</v>
      </c>
      <c r="AC35" s="165" t="e">
        <f t="shared" si="4"/>
        <v>#VALUE!</v>
      </c>
      <c r="AD35" s="188" t="str">
        <f>IFERROR(TEXT(VLOOKUP(T_BilanSocial[[#This Row],[NumL]],T_TraitDi[#Data],COLUMN(T_TraitDi[[#This Row],[Q2]]),FALSE),"###%"),"")</f>
        <v/>
      </c>
      <c r="AE35" s="97" t="e">
        <f>VLOOKUP(T_BilanSocial[[#This Row],[NumL]],T_TraitDi[#Data],COLUMN(T_TraitDi[[#This Row],[Reg Ponct]]),FALSE)</f>
        <v>#VALUE!</v>
      </c>
      <c r="AF35" s="97" t="e">
        <f>VLOOKUP(T_BilanSocial[NumL],T_TraitDi[#Data],COLUMN(T_TraitDi[[#This Row],[Jours flottants]]),FALSE)</f>
        <v>#VALUE!</v>
      </c>
      <c r="AG35" s="97" t="str">
        <f>IFERROR(VLOOKUP(T_BilanSocial[[#This Row],[NumL]],T_TraitDi[#Data],COLUMN(T_TraitDi[[#This Row],[Lundi]]),FALSE),"")</f>
        <v/>
      </c>
      <c r="AH35" s="172" t="e">
        <f>IF(VLOOKUP(T_BilanSocial[[#This Row],[NumL]],T_TraitDi[#Data],COLUMN(T_TraitDi[[#This Row],[Colonne3]]),FALSE)=0,"",TEXT(IFERROR(VLOOKUP(T_BilanSocial[[#This Row],[NumL]],T_TraitDi[#Data],COLUMN(T_TraitDi[[#This Row],[Colonne3]]),FALSE),""),"[hh]:mm"))</f>
        <v>#VALUE!</v>
      </c>
      <c r="AI35" s="172" t="e">
        <f>IF(VLOOKUP(T_BilanSocial[[#This Row],[NumL]],T_TraitDi[#Data],COLUMN(T_TraitDi[[#This Row],[Colonne4]]),FALSE)=0,"",TEXT(IFERROR(VLOOKUP(T_BilanSocial[[#This Row],[NumL]],T_TraitDi[#Data],COLUMN(T_TraitDi[[#This Row],[Colonne4]]),FALSE),""),"[hh]:mm"))</f>
        <v>#VALUE!</v>
      </c>
      <c r="AJ35" s="172" t="e">
        <f>IF(VLOOKUP(T_BilanSocial[[#This Row],[NumL]],T_TraitDi[#Data],COLUMN(T_TraitDi[[#This Row],[Colonne5]]),FALSE)=0,"",TEXT(IFERROR(VLOOKUP(T_BilanSocial[[#This Row],[NumL]],T_TraitDi[#Data],COLUMN(T_TraitDi[[#This Row],[Colonne5]]),FALSE),""),"[hh]:mm"))</f>
        <v>#VALUE!</v>
      </c>
      <c r="AK35" s="172" t="e">
        <f>IF(VLOOKUP(T_BilanSocial[[#This Row],[NumL]],T_TraitDi[#Data],COLUMN(T_TraitDi[[#This Row],[Colonne6]]),FALSE)=0,"",TEXT(IFERROR(VLOOKUP(T_BilanSocial[[#This Row],[NumL]],T_TraitDi[#Data],COLUMN(T_TraitDi[[#This Row],[Colonne6]]),FALSE),""),"[hh]:mm"))</f>
        <v>#VALUE!</v>
      </c>
      <c r="AL35" s="172" t="e">
        <f>IF(VLOOKUP(T_BilanSocial[[#This Row],[NumL]],T_TraitDi[#Data],COLUMN(T_TraitDi[[#This Row],[Colonne7]]),FALSE)=0,"",TEXT(IFERROR(VLOOKUP(T_BilanSocial[[#This Row],[NumL]],T_TraitDi[#Data],COLUMN(T_TraitDi[[#This Row],[Colonne7]]),FALSE),""),"[hh]:mm"))</f>
        <v>#VALUE!</v>
      </c>
      <c r="AM35" s="172" t="e">
        <f>IF(VLOOKUP(T_BilanSocial[[#This Row],[NumL]],T_TraitDi[#Data],COLUMN(T_TraitDi[[#This Row],[Colonne8]]),FALSE)=0,"",TEXT(IFERROR(VLOOKUP(T_BilanSocial[[#This Row],[NumL]],T_TraitDi[#Data],COLUMN(T_TraitDi[[#This Row],[Colonne8]]),FALSE),""),"[hh]:mm"))</f>
        <v>#VALUE!</v>
      </c>
      <c r="AN35" s="172" t="str">
        <f>IFERROR(VLOOKUP(T_BilanSocial[[#This Row],[NumL]],T_TraitDi[#Data],COLUMN(T_TraitDi[[#This Row],[Mardi]]),FALSE),"")</f>
        <v/>
      </c>
      <c r="AO35" s="172" t="e">
        <f>IF(VLOOKUP(T_BilanSocial[[#This Row],[NumL]],T_TraitDi[#Data],COLUMN(T_TraitDi[[#This Row],[Colonne1]]),FALSE)=0,"",TEXT(IFERROR(VLOOKUP(T_BilanSocial[[#This Row],[NumL]],T_TraitDi[#Data],COLUMN(T_TraitDi[[#This Row],[Colonne1]]),FALSE),""),"[hh]:mm"))</f>
        <v>#VALUE!</v>
      </c>
      <c r="AP35" s="172" t="e">
        <f>IF(VLOOKUP(T_BilanSocial[[#This Row],[NumL]],T_TraitDi[#Data],COLUMN(T_TraitDi[[#This Row],[Colonne9]]),FALSE)=0,"",TEXT(IFERROR(VLOOKUP(T_BilanSocial[[#This Row],[NumL]],T_TraitDi[#Data],COLUMN(T_TraitDi[[#This Row],[Colonne9]]),FALSE),""),"[hh]:mm"))</f>
        <v>#VALUE!</v>
      </c>
      <c r="AQ35" s="172" t="str">
        <f>IFERROR(VLOOKUP(T_BilanSocial[[#This Row],[NumL]],T_TraitDi[#Data],COLUMN(T_TraitDi[[#This Row],[Colonne10]]),FALSE),"")</f>
        <v/>
      </c>
      <c r="AR35" s="172" t="e">
        <f>IF(VLOOKUP(T_BilanSocial[[#This Row],[NumL]],T_TraitDi[#Data],COLUMN(T_TraitDi[[#This Row],[Colonne11]]),FALSE)=0,"",TEXT(IFERROR(VLOOKUP(T_BilanSocial[[#This Row],[NumL]],T_TraitDi[#Data],COLUMN(T_TraitDi[[#This Row],[Colonne11]]),FALSE),""),"[hh]:mm"))</f>
        <v>#VALUE!</v>
      </c>
      <c r="AS35" s="172" t="e">
        <f>IF(VLOOKUP(T_BilanSocial[[#This Row],[NumL]],T_TraitDi[#Data],COLUMN(T_TraitDi[[#This Row],[Colonne12]]),FALSE)=0,"",TEXT(IFERROR(VLOOKUP(T_BilanSocial[[#This Row],[NumL]],T_TraitDi[#Data],COLUMN(T_TraitDi[[#This Row],[Colonne12]]),FALSE),""),"[hh]:mm"))</f>
        <v>#VALUE!</v>
      </c>
      <c r="AT35" s="172" t="e">
        <f>IF(VLOOKUP(T_BilanSocial[[#This Row],[NumL]],T_TraitDi[#Data],COLUMN(T_TraitDi[[#This Row],[Colonne14]]),FALSE)=0,"",TEXT(IFERROR(VLOOKUP(T_BilanSocial[[#This Row],[NumL]],T_TraitDi[#Data],COLUMN(T_TraitDi[[#This Row],[Colonne14]]),FALSE),""),"[hh]:mm"))</f>
        <v>#VALUE!</v>
      </c>
      <c r="AU35" s="172" t="str">
        <f>IFERROR(VLOOKUP(T_BilanSocial[[#This Row],[NumL]],T_TraitDi[#Data],COLUMN(T_TraitDi[[#This Row],[Mercredi]]),FALSE),"")</f>
        <v/>
      </c>
      <c r="AV35" s="172" t="e">
        <f>IF(VLOOKUP(T_BilanSocial[[#This Row],[NumL]],T_TraitDi[#Data],COLUMN(T_TraitDi[[#This Row],[Colonne15]]),FALSE)=0,"",TEXT(IFERROR(VLOOKUP(T_BilanSocial[[#This Row],[NumL]],T_TraitDi[#Data],COLUMN(T_TraitDi[[#This Row],[Colonne15]]),FALSE),""),"[hh]:mm"))</f>
        <v>#VALUE!</v>
      </c>
      <c r="AW35" s="172" t="e">
        <f>IF(VLOOKUP(T_BilanSocial[[#This Row],[NumL]],T_TraitDi[#Data],COLUMN(T_TraitDi[[#This Row],[Colonne16]]),FALSE)=0,"",TEXT(IFERROR(VLOOKUP(T_BilanSocial[[#This Row],[NumL]],T_TraitDi[#Data],COLUMN(T_TraitDi[[#This Row],[Colonne16]]),FALSE),""),"[hh]:mm"))</f>
        <v>#VALUE!</v>
      </c>
      <c r="AX35" s="172" t="str">
        <f>IFERROR(VLOOKUP(T_BilanSocial[[#This Row],[NumL]],T_TraitDi[#Data],COLUMN(T_TraitDi[[#This Row],[Colonne17]]),FALSE),"")</f>
        <v/>
      </c>
      <c r="AY35" s="172" t="e">
        <f>IF(VLOOKUP(T_BilanSocial[[#This Row],[NumL]],T_TraitDi[#Data],COLUMN(T_TraitDi[[#This Row],[Colonne18]]),FALSE)=0,"",TEXT(IFERROR(VLOOKUP(T_BilanSocial[[#This Row],[NumL]],T_TraitDi[#Data],COLUMN(T_TraitDi[[#This Row],[Colonne18]]),FALSE),""),"[hh]:mm"))</f>
        <v>#VALUE!</v>
      </c>
      <c r="AZ35" s="172" t="e">
        <f>IF(VLOOKUP(T_BilanSocial[[#This Row],[NumL]],T_TraitDi[#Data],COLUMN(T_TraitDi[[#This Row],[Colonne19]]),FALSE)=0,"",TEXT(IFERROR(VLOOKUP(T_BilanSocial[[#This Row],[NumL]],T_TraitDi[#Data],COLUMN(T_TraitDi[[#This Row],[Colonne19]]),FALSE),""),"[hh]:mm"))</f>
        <v>#VALUE!</v>
      </c>
      <c r="BA35" s="172" t="e">
        <f>IF(VLOOKUP(T_BilanSocial[[#This Row],[NumL]],T_TraitDi[#Data],COLUMN(T_TraitDi[[#This Row],[Colonne20]]),FALSE)=0,"",TEXT(IFERROR(VLOOKUP(T_BilanSocial[[#This Row],[NumL]],T_TraitDi[#Data],COLUMN(T_TraitDi[[#This Row],[Colonne20]]),FALSE),""),"[hh]:mm"))</f>
        <v>#VALUE!</v>
      </c>
      <c r="BB35" s="178" t="str">
        <f>IFERROR(VLOOKUP(T_BilanSocial[[#This Row],[NumL]],T_TraitDi[#Data],COLUMN(T_TraitDi[[#This Row],[Jeudi]]),FALSE),"")</f>
        <v/>
      </c>
      <c r="BC35" s="178" t="e">
        <f>IF(VLOOKUP(T_BilanSocial[[#This Row],[NumL]],T_TraitDi[#Data],COLUMN(T_TraitDi[[#This Row],[Colonne21]]),FALSE)=0,"",TEXT(IFERROR(VLOOKUP(T_BilanSocial[[#This Row],[NumL]],T_TraitDi[#Data],COLUMN(T_TraitDi[[#This Row],[Colonne21]]),FALSE),""),"[hh]:mm"))</f>
        <v>#VALUE!</v>
      </c>
      <c r="BD35" s="178" t="e">
        <f>IF(VLOOKUP(T_BilanSocial[[#This Row],[NumL]],T_TraitDi[#Data],COLUMN(T_TraitDi[[#This Row],[Colonne22]]),FALSE)=0,"",TEXT(IFERROR(VLOOKUP(T_BilanSocial[[#This Row],[NumL]],T_TraitDi[#Data],COLUMN(T_TraitDi[[#This Row],[Colonne22]]),FALSE),""),"[hh]:mm"))</f>
        <v>#VALUE!</v>
      </c>
      <c r="BE35" s="178" t="str">
        <f>IFERROR(VLOOKUP(T_BilanSocial[[#This Row],[NumL]],T_TraitDi[#Data],COLUMN(T_TraitDi[[#This Row],[Colonne23]]),FALSE),"")</f>
        <v/>
      </c>
      <c r="BF35" s="178" t="e">
        <f>IF(VLOOKUP(T_BilanSocial[[#This Row],[NumL]],T_TraitDi[#Data],COLUMN(T_TraitDi[[#This Row],[Colonne24]]),FALSE)=0,"",TEXT(IFERROR(VLOOKUP(T_BilanSocial[[#This Row],[NumL]],T_TraitDi[#Data],COLUMN(T_TraitDi[[#This Row],[Colonne24]]),FALSE),""),"[hh]:mm"))</f>
        <v>#VALUE!</v>
      </c>
      <c r="BG35" s="178" t="e">
        <f>IF(VLOOKUP(T_BilanSocial[[#This Row],[NumL]],T_TraitDi[#Data],COLUMN(T_TraitDi[[#This Row],[Colonne25]]),FALSE)=0,"",TEXT(IFERROR(VLOOKUP(T_BilanSocial[[#This Row],[NumL]],T_TraitDi[#Data],COLUMN(T_TraitDi[[#This Row],[Colonne25]]),FALSE),""),"[hh]:mm"))</f>
        <v>#VALUE!</v>
      </c>
      <c r="BH35" s="178" t="e">
        <f>IF(VLOOKUP(T_BilanSocial[[#This Row],[NumL]],T_TraitDi[#Data],COLUMN(T_TraitDi[[#This Row],[Colonne26]]),FALSE)=0,"",TEXT(IFERROR(VLOOKUP(T_BilanSocial[[#This Row],[NumL]],T_TraitDi[#Data],COLUMN(T_TraitDi[[#This Row],[Colonne26]]),FALSE),""),"[hh]:mm"))</f>
        <v>#VALUE!</v>
      </c>
      <c r="BI35" s="172" t="str">
        <f>IFERROR(VLOOKUP(T_BilanSocial[[#This Row],[NumL]],T_TraitDi[#Data],COLUMN(T_TraitDi[[#This Row],[Vendredi]]),FALSE),"")</f>
        <v/>
      </c>
      <c r="BJ35" s="172" t="e">
        <f>IF(VLOOKUP(T_BilanSocial[[#This Row],[NumL]],T_TraitDi[#Data],COLUMN(T_TraitDi[[#This Row],[Colonne27]]),FALSE)=0,"",TEXT(IFERROR(VLOOKUP(T_BilanSocial[[#This Row],[NumL]],T_TraitDi[#Data],COLUMN(T_TraitDi[[#This Row],[Colonne27]]),FALSE),""),"[hh]:mm"))</f>
        <v>#VALUE!</v>
      </c>
      <c r="BK35" s="172" t="e">
        <f>IF(VLOOKUP(T_BilanSocial[[#This Row],[NumL]],T_TraitDi[#Data],COLUMN(T_TraitDi[[#This Row],[Colonne28]]),FALSE)=0,"",TEXT(IFERROR(VLOOKUP(T_BilanSocial[[#This Row],[NumL]],T_TraitDi[#Data],COLUMN(T_TraitDi[[#This Row],[Colonne28]]),FALSE),""),"[hh]:mm"))</f>
        <v>#VALUE!</v>
      </c>
      <c r="BL35" s="172" t="str">
        <f>IFERROR(VLOOKUP(T_BilanSocial[[#This Row],[NumL]],T_TraitDi[#Data],COLUMN(T_TraitDi[[#This Row],[Colonne29]]),FALSE),"")</f>
        <v/>
      </c>
      <c r="BM35" s="172" t="e">
        <f>IF(VLOOKUP(T_BilanSocial[[#This Row],[NumL]],T_TraitDi[#Data],COLUMN(T_TraitDi[[#This Row],[Colonne30]]),FALSE)=0,"",TEXT(IFERROR(VLOOKUP(T_BilanSocial[[#This Row],[NumL]],T_TraitDi[#Data],COLUMN(T_TraitDi[[#This Row],[Colonne30]]),FALSE),""),"[hh]:mm"))</f>
        <v>#VALUE!</v>
      </c>
      <c r="BN35" s="172" t="e">
        <f>IF(VLOOKUP(T_BilanSocial[[#This Row],[NumL]],T_TraitDi[#Data],COLUMN(T_TraitDi[[#This Row],[Colonne31]]),FALSE)=0,"",TEXT(IFERROR(VLOOKUP(T_BilanSocial[[#This Row],[NumL]],T_TraitDi[#Data],COLUMN(T_TraitDi[[#This Row],[Colonne31]]),FALSE),""),"[hh]:mm"))</f>
        <v>#VALUE!</v>
      </c>
      <c r="BO35" s="172" t="e">
        <f>IF(VLOOKUP(T_BilanSocial[[#This Row],[NumL]],T_TraitDi[#Data],COLUMN(T_TraitDi[[#This Row],[Colonne32]]),FALSE)=0,"",TEXT(IFERROR(VLOOKUP(T_BilanSocial[[#This Row],[NumL]],T_TraitDi[#Data],COLUMN(T_TraitDi[[#This Row],[Colonne32]]),FALSE),""),"[hh]:mm"))</f>
        <v>#VALUE!</v>
      </c>
      <c r="BP35" s="172" t="e">
        <f>VLOOKUP(T_BilanSocial[[#This Row],[NumL]],T_TraitDi[#Data],COLUMN(T_TraitDi[NbJTot]),FALSE)</f>
        <v>#N/A</v>
      </c>
      <c r="BQ35" s="174" t="str">
        <f>IFERROR(VLOOKUP(T_BilanSocial[[#This Row],[NumL]],T_TraitDi[#Data],COLUMN(T_TraitDi[[#This Row],[NbJTW]]),FALSE),"")</f>
        <v/>
      </c>
      <c r="BR35" s="174" t="e">
        <f>IF(VLOOKUP(T_BilanSocial[[#This Row],[NumL]],T_TraitDi[#Data],COLUMN(T_TraitDi[[#This Row],[NbhTW]]),FALSE)=0,"",TEXT(IFERROR(VLOOKUP(T_BilanSocial[[#This Row],[NumL]],T_TraitDi[#Data],COLUMN(T_TraitDi[[#This Row],[NbhTW]]),FALSE),""),"[hh]:mm"))</f>
        <v>#VALUE!</v>
      </c>
      <c r="BS35" s="174" t="e">
        <f>IF(VLOOKUP(T_BilanSocial[[#This Row],[NumL]],T_TraitDi[#Data],COLUMN(T_TraitDi[[#This Row],[Nbhheb]]),FALSE)=0,"",TEXT(IFERROR(VLOOKUP($A35,T_TraitDi[#Data],COLUMN(T_TraitDi[[#This Row],[Nbhheb]]),FALSE),""),"[hh]:mm"))</f>
        <v>#VALUE!</v>
      </c>
      <c r="BT35" s="182" t="str">
        <f>IFERROR(VLOOKUP(VLOOKUP($A35,T_TraitDi[#Data],COLUMN(T_TraitDi[[#This Row],[Type1]]),FALSE),TypeTW,2,FALSE),"")</f>
        <v/>
      </c>
      <c r="BU35" s="182" t="str">
        <f>IFERROR(VLOOKUP($A35,T_TraitDi[#Data],COLUMN(T_TraitDi[[#This Row],[Rue1]]),FALSE),"")</f>
        <v/>
      </c>
      <c r="BV35" s="173" t="str">
        <f>IFERROR(VLOOKUP($A35,T_TraitDi[#Data],COLUMN(T_TraitDi[[#This Row],[CP1]]),FALSE),"")</f>
        <v/>
      </c>
      <c r="BW35" s="173" t="str">
        <f>IFERROR(VLOOKUP($A35,T_TraitDi[#Data],COLUMN(T_TraitDi[[#This Row],[VILLE1]]),FALSE),"")</f>
        <v/>
      </c>
      <c r="BX35" s="182" t="str">
        <f>IFERROR(VLOOKUP(VLOOKUP($A35,T_TraitDi[#Data],COLUMN(T_TraitDi[[#This Row],[Type2]]),FALSE),TypeTW,2,FALSE),"")</f>
        <v/>
      </c>
      <c r="BY35" s="182" t="str">
        <f>IFERROR(VLOOKUP($A35,T_TraitDi[#Data],COLUMN(T_TraitDi[[#This Row],[Rue2]]),FALSE),"")</f>
        <v/>
      </c>
      <c r="BZ35" s="173" t="str">
        <f>IFERROR(VLOOKUP($A35,T_TraitDi[#Data],COLUMN(T_TraitDi[[#This Row],[CP2]]),FALSE),"")</f>
        <v/>
      </c>
      <c r="CA35" s="173" t="str">
        <f>IFERROR(VLOOKUP($A35,T_TraitDi[#Data],COLUMN(T_TraitDi[[#This Row],[VILLE2]]),FALSE),"")</f>
        <v/>
      </c>
      <c r="CB35" s="182" t="str">
        <f>IF(VLOOKUP(T_BilanSocial[[#This Row],[NumL]],T_Equipement[#Data],COLUMN(T_Equipement[[#This Row],[PC]]),FALSE)="","Aucun équipement spécifique directement lié au télétravail",VLOOKUP(T_BilanSocial[[#This Row],[NumL]],T_Equipement[#Data],COLUMN(T_Equipement[[#This Row],[PC]]),FALSE))</f>
        <v xml:space="preserve">17-023	</v>
      </c>
      <c r="CC35" s="166" t="str">
        <f>IFERROR(IF(VLOOKUP(T_BilanSocial[[#This Row],[NumL]],T_TraitDi[#Data],COLUMN(T_TraitDi[[#This Row],[Plan]]),FALSE)="OK","Un planning spécifique de télétravail est annexé à la présente convention.",""),"")</f>
        <v/>
      </c>
      <c r="CD35" s="258" t="s">
        <v>3447</v>
      </c>
      <c r="CE35" s="164" t="e">
        <f>IF(VLOOKUP(T_BilanSocial[[#This Row],[NumL]],T_suiviDi[#Data],COLUMN(T_suiviDi[[#This Row],[Entité]]),FALSE)="","",VLOOKUP(T_BilanSocial[[#This Row],[NumL]],T_suiviDi[#Data],COLUMN(T_suiviDi[[#This Row],[Entité]]),FALSE))</f>
        <v>#VALUE!</v>
      </c>
      <c r="CF35" s="164" t="str">
        <f>IF(VLOOKUP(T_BilanSocial[[#This Row],[NumL]],T_Commission[#Data],COLUMN(T_Commission[[#This Row],[envoi confirm TW]]),FALSE)="","",VLOOKUP(T_BilanSocial[[#This Row],[NumL]],T_Commission[#Data],COLUMN(T_Commission[[#This Row],[envoi confirm TW]]),FALSE))</f>
        <v>Oui</v>
      </c>
      <c r="CG3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 s="262" t="str">
        <f>T_BilanSocial[[#This Row],[Nom]]&amp;T_BilanSocial[[#This Row],[Prenom]]</f>
        <v/>
      </c>
      <c r="CI35" s="262">
        <f>VLOOKUP(T_BilanSocial[[#This Row],[NumL]],T_Commission[#Data],COLUMN(T_Commission[Commentaire]),FALSE)</f>
        <v>0</v>
      </c>
      <c r="CJ35" s="262" t="str">
        <f>IF(VLOOKUP(T_BilanSocial[[#This Row],[NumL]],T_Commission[#Data],COLUMN(T_Commission[Encadrant Email]),FALSE)="","",VLOOKUP(T_BilanSocial[[#This Row],[NumL]],T_Commission[#Data],COLUMN(T_Commission[Encadrant Email]),FALSE))</f>
        <v/>
      </c>
      <c r="CK35" s="340" t="str">
        <f>IF(T_BilanSocial[[#This Row],[Final]]&lt;&gt;"",VLOOKUP(T_BilanSocial[[#This Row],[NumL]],T_suiviDi[#Data],COLUMN((T_suiviDi[Statut])),FALSE),"")</f>
        <v/>
      </c>
    </row>
    <row r="36" spans="1:89" s="106" customFormat="1" ht="24.75" customHeight="1" x14ac:dyDescent="0.25">
      <c r="A36" s="160">
        <v>33</v>
      </c>
      <c r="B36" s="161" t="str">
        <f t="shared" si="0"/>
        <v/>
      </c>
      <c r="C36" s="162" t="s">
        <v>173</v>
      </c>
      <c r="D36" s="95" t="e">
        <f>IF(VLOOKUP(T_BilanSocial[[#This Row],[NumL]],T_TraitDi[#Data],COLUMN(T_TraitDi[[#This Row],[WebC]]),FALSE)="","",VLOOKUP(T_BilanSocial[[#This Row],[NumL]],T_TraitDi[#Data],COLUMN(T_TraitDi[[#This Row],[WebC]]),FALSE))</f>
        <v>#VALUE!</v>
      </c>
      <c r="E36" s="163" t="str">
        <f t="shared" si="1"/>
        <v>12 janvier 2021</v>
      </c>
      <c r="F36" s="96" t="str">
        <f>IF(T_BilanSocial[[#This Row],[Final]]&lt;&gt;"",VLOOKUP(T_BilanSocial[[#This Row],[NumL]],T_suiviDi[#Data],COLUMN((T_suiviDi[Civ.])),FALSE),"")</f>
        <v/>
      </c>
      <c r="G36" s="96" t="str">
        <f>IF(T_BilanSocial[[#This Row],[Final]]&lt;&gt;"",VLOOKUP(T_BilanSocial[[#This Row],[NumL]],T_suiviDi[#Data],COLUMN((T_suiviDi[Nom])),FALSE),"")</f>
        <v/>
      </c>
      <c r="H36" s="96" t="str">
        <f>IF(T_BilanSocial[[#This Row],[Final]]&lt;&gt;"",VLOOKUP(T_BilanSocial[[#This Row],[NumL]],T_suiviDi[#Data],COLUMN((T_suiviDi[Prénom])),FALSE),"")</f>
        <v/>
      </c>
      <c r="I36" s="96" t="str">
        <f>IFERROR(VLOOKUP(T_BilanSocial[[#This Row],[Zone_Bilan]],T_P_BilanSocial[#Data],COLUMN(T_P_BilanSocial[[#This Row],[Numero_SIHAM]]),FALSE),"")</f>
        <v/>
      </c>
      <c r="J36" s="96" t="str">
        <f>IFERROR(VLOOKUP(T_BilanSocial[[#This Row],[Zone_Bilan]],T_P_BilanSocial[#Data],COLUMN(T_P_BilanSocial[[#This Row],[Sexe]]),FALSE),"")</f>
        <v/>
      </c>
      <c r="K36" s="97" t="str">
        <f>IFERROR(VLOOKUP(T_BilanSocial[[#This Row],[Zone_Bilan]],T_P_BilanSocial[#Data],COLUMN(T_P_BilanSocial[[#This Row],[Categorie]]),FALSE),"")</f>
        <v/>
      </c>
      <c r="L36" s="96" t="str">
        <f>IFERROR(VLOOKUP(T_BilanSocial[[#This Row],[Zone_Bilan]],T_P_BilanSocial[#Data],COLUMN(T_P_BilanSocial[[#This Row],[Statut]]),FALSE),"")</f>
        <v/>
      </c>
      <c r="M36" s="96" t="str">
        <f>IFERROR(VLOOKUP(T_BilanSocial[[#This Row],[Zone_Bilan]],T_P_BilanSocial[#Data],COLUMN(T_P_BilanSocial[[#This Row],[Filiere]]),FALSE),"")</f>
        <v/>
      </c>
      <c r="N36" s="96" t="e">
        <f>VLOOKUP(T_BilanSocial[[#This Row],[NumL]],T_TraitDi[#Data],COLUMN(T_TraitDi[EXP]),FALSE)</f>
        <v>#N/A</v>
      </c>
      <c r="O36" s="96" t="e">
        <f>VLOOKUP(T_BilanSocial[[#This Row],[NumL]],T_TraitDi[#Data],COLUMN(T_TraitDi[FORM]),FALSE)</f>
        <v>#N/A</v>
      </c>
      <c r="P36" s="96" t="str">
        <f>IF(T_BilanSocial[[#This Row],[Final]]&lt;&gt;"",VLOOKUP(T_BilanSocial[[#This Row],[NumL]],T_suiviDi[#Data],COLUMN((T_suiviDi[Email])),FALSE),"")</f>
        <v/>
      </c>
      <c r="Q36" s="164" t="e">
        <f t="shared" si="7"/>
        <v>#N/A</v>
      </c>
      <c r="R36" s="164" t="e">
        <f t="shared" si="8"/>
        <v>#N/A</v>
      </c>
      <c r="S36" s="164" t="e">
        <f>IF(VLOOKUP(T_BilanSocial[[#This Row],[NumL]],T_suiviDi[#Data],COLUMN(T_suiviDi[[#This Row],[Service ]]),FALSE)="","",VLOOKUP(T_BilanSocial[[#This Row],[NumL]],T_suiviDi[#Data],COLUMN(T_suiviDi[[#This Row],[Service ]]),FALSE))</f>
        <v>#VALUE!</v>
      </c>
      <c r="T36" s="164" t="str">
        <f t="shared" si="2"/>
        <v>01 septembre 2021</v>
      </c>
      <c r="U36" s="164" t="str">
        <f t="shared" si="3"/>
        <v>30 novembre 2021</v>
      </c>
      <c r="V36" s="164" t="str">
        <f t="shared" si="6"/>
        <v>30 novembre 2021</v>
      </c>
      <c r="W36" s="176" t="e">
        <f>IF(VLOOKUP(T_BilanSocial[[#This Row],[NumL]],T_TraitDi[#Data],COLUMN(T_TraitDi[[#This Row],[M1]]),FALSE)="","",VLOOKUP(T_BilanSocial[[#This Row],[NumL]],T_TraitDi[#Data],COLUMN(T_TraitDi[[#This Row],[M1]]),FALSE))</f>
        <v>#VALUE!</v>
      </c>
      <c r="X36" s="176" t="e">
        <f>IF(VLOOKUP(T_BilanSocial[[#This Row],[NumL]],T_TraitDi[#Data],COLUMN(T_TraitDi[[#This Row],[M2]]),FALSE)="","",VLOOKUP(T_BilanSocial[[#This Row],[NumL]],T_TraitDi[#Data],COLUMN(T_TraitDi[[#This Row],[M2]]),FALSE))</f>
        <v>#VALUE!</v>
      </c>
      <c r="Y36" s="176" t="e">
        <f>IF(VLOOKUP(T_BilanSocial[[#This Row],[NumL]],T_TraitDi[#Data],COLUMN(T_TraitDi[[#This Row],[M3]]),FALSE)="","",VLOOKUP(T_BilanSocial[[#This Row],[NumL]],T_TraitDi[#Data],COLUMN(T_TraitDi[[#This Row],[M3]]),FALSE))</f>
        <v>#VALUE!</v>
      </c>
      <c r="Z36" s="176" t="str">
        <f t="shared" si="5"/>
        <v/>
      </c>
      <c r="AA36" s="176" t="e">
        <f>IF(VLOOKUP(T_BilanSocial[[#This Row],[NumL]],T_TraitDi[#Data],COLUMN(T_TraitDi[[#This Row],[M5]]),FALSE)="","",VLOOKUP(T_BilanSocial[[#This Row],[NumL]],T_TraitDi[#Data],COLUMN(T_TraitDi[[#This Row],[M5]]),FALSE))</f>
        <v>#VALUE!</v>
      </c>
      <c r="AB36" s="176" t="e">
        <f>IF(VLOOKUP(T_BilanSocial[[#This Row],[NumL]],T_TraitDi[#Data],COLUMN(T_TraitDi[[#This Row],[M6]]),FALSE)="","",VLOOKUP(T_BilanSocial[[#This Row],[NumL]],T_TraitDi[#Data],COLUMN(T_TraitDi[[#This Row],[M6]]),FALSE))</f>
        <v>#VALUE!</v>
      </c>
      <c r="AC36" s="165" t="e">
        <f t="shared" si="4"/>
        <v>#VALUE!</v>
      </c>
      <c r="AD36" s="188" t="str">
        <f>IFERROR(TEXT(VLOOKUP(T_BilanSocial[[#This Row],[NumL]],T_TraitDi[#Data],COLUMN(T_TraitDi[[#This Row],[Q2]]),FALSE),"###%"),"")</f>
        <v/>
      </c>
      <c r="AE36" s="97" t="e">
        <f>VLOOKUP(T_BilanSocial[[#This Row],[NumL]],T_TraitDi[#Data],COLUMN(T_TraitDi[[#This Row],[Reg Ponct]]),FALSE)</f>
        <v>#VALUE!</v>
      </c>
      <c r="AF36" s="97" t="e">
        <f>VLOOKUP(T_BilanSocial[NumL],T_TraitDi[#Data],COLUMN(T_TraitDi[[#This Row],[Jours flottants]]),FALSE)</f>
        <v>#VALUE!</v>
      </c>
      <c r="AG36" s="97" t="str">
        <f>IFERROR(VLOOKUP(T_BilanSocial[[#This Row],[NumL]],T_TraitDi[#Data],COLUMN(T_TraitDi[[#This Row],[Lundi]]),FALSE),"")</f>
        <v/>
      </c>
      <c r="AH36" s="172" t="e">
        <f>IF(VLOOKUP(T_BilanSocial[[#This Row],[NumL]],T_TraitDi[#Data],COLUMN(T_TraitDi[[#This Row],[Colonne3]]),FALSE)=0,"",TEXT(IFERROR(VLOOKUP(T_BilanSocial[[#This Row],[NumL]],T_TraitDi[#Data],COLUMN(T_TraitDi[[#This Row],[Colonne3]]),FALSE),""),"[hh]:mm"))</f>
        <v>#VALUE!</v>
      </c>
      <c r="AI36" s="172" t="e">
        <f>IF(VLOOKUP(T_BilanSocial[[#This Row],[NumL]],T_TraitDi[#Data],COLUMN(T_TraitDi[[#This Row],[Colonne4]]),FALSE)=0,"",TEXT(IFERROR(VLOOKUP(T_BilanSocial[[#This Row],[NumL]],T_TraitDi[#Data],COLUMN(T_TraitDi[[#This Row],[Colonne4]]),FALSE),""),"[hh]:mm"))</f>
        <v>#VALUE!</v>
      </c>
      <c r="AJ36" s="172" t="e">
        <f>IF(VLOOKUP(T_BilanSocial[[#This Row],[NumL]],T_TraitDi[#Data],COLUMN(T_TraitDi[[#This Row],[Colonne5]]),FALSE)=0,"",TEXT(IFERROR(VLOOKUP(T_BilanSocial[[#This Row],[NumL]],T_TraitDi[#Data],COLUMN(T_TraitDi[[#This Row],[Colonne5]]),FALSE),""),"[hh]:mm"))</f>
        <v>#VALUE!</v>
      </c>
      <c r="AK36" s="172" t="e">
        <f>IF(VLOOKUP(T_BilanSocial[[#This Row],[NumL]],T_TraitDi[#Data],COLUMN(T_TraitDi[[#This Row],[Colonne6]]),FALSE)=0,"",TEXT(IFERROR(VLOOKUP(T_BilanSocial[[#This Row],[NumL]],T_TraitDi[#Data],COLUMN(T_TraitDi[[#This Row],[Colonne6]]),FALSE),""),"[hh]:mm"))</f>
        <v>#VALUE!</v>
      </c>
      <c r="AL36" s="172" t="e">
        <f>IF(VLOOKUP(T_BilanSocial[[#This Row],[NumL]],T_TraitDi[#Data],COLUMN(T_TraitDi[[#This Row],[Colonne7]]),FALSE)=0,"",TEXT(IFERROR(VLOOKUP(T_BilanSocial[[#This Row],[NumL]],T_TraitDi[#Data],COLUMN(T_TraitDi[[#This Row],[Colonne7]]),FALSE),""),"[hh]:mm"))</f>
        <v>#VALUE!</v>
      </c>
      <c r="AM36" s="172" t="e">
        <f>IF(VLOOKUP(T_BilanSocial[[#This Row],[NumL]],T_TraitDi[#Data],COLUMN(T_TraitDi[[#This Row],[Colonne8]]),FALSE)=0,"",TEXT(IFERROR(VLOOKUP(T_BilanSocial[[#This Row],[NumL]],T_TraitDi[#Data],COLUMN(T_TraitDi[[#This Row],[Colonne8]]),FALSE),""),"[hh]:mm"))</f>
        <v>#VALUE!</v>
      </c>
      <c r="AN36" s="172" t="str">
        <f>IFERROR(VLOOKUP(T_BilanSocial[[#This Row],[NumL]],T_TraitDi[#Data],COLUMN(T_TraitDi[[#This Row],[Mardi]]),FALSE),"")</f>
        <v/>
      </c>
      <c r="AO36" s="172" t="e">
        <f>IF(VLOOKUP(T_BilanSocial[[#This Row],[NumL]],T_TraitDi[#Data],COLUMN(T_TraitDi[[#This Row],[Colonne1]]),FALSE)=0,"",TEXT(IFERROR(VLOOKUP(T_BilanSocial[[#This Row],[NumL]],T_TraitDi[#Data],COLUMN(T_TraitDi[[#This Row],[Colonne1]]),FALSE),""),"[hh]:mm"))</f>
        <v>#VALUE!</v>
      </c>
      <c r="AP36" s="172" t="e">
        <f>IF(VLOOKUP(T_BilanSocial[[#This Row],[NumL]],T_TraitDi[#Data],COLUMN(T_TraitDi[[#This Row],[Colonne9]]),FALSE)=0,"",TEXT(IFERROR(VLOOKUP(T_BilanSocial[[#This Row],[NumL]],T_TraitDi[#Data],COLUMN(T_TraitDi[[#This Row],[Colonne9]]),FALSE),""),"[hh]:mm"))</f>
        <v>#VALUE!</v>
      </c>
      <c r="AQ36" s="172" t="str">
        <f>IFERROR(VLOOKUP(T_BilanSocial[[#This Row],[NumL]],T_TraitDi[#Data],COLUMN(T_TraitDi[[#This Row],[Colonne10]]),FALSE),"")</f>
        <v/>
      </c>
      <c r="AR36" s="172" t="e">
        <f>IF(VLOOKUP(T_BilanSocial[[#This Row],[NumL]],T_TraitDi[#Data],COLUMN(T_TraitDi[[#This Row],[Colonne11]]),FALSE)=0,"",TEXT(IFERROR(VLOOKUP(T_BilanSocial[[#This Row],[NumL]],T_TraitDi[#Data],COLUMN(T_TraitDi[[#This Row],[Colonne11]]),FALSE),""),"[hh]:mm"))</f>
        <v>#VALUE!</v>
      </c>
      <c r="AS36" s="172" t="e">
        <f>IF(VLOOKUP(T_BilanSocial[[#This Row],[NumL]],T_TraitDi[#Data],COLUMN(T_TraitDi[[#This Row],[Colonne12]]),FALSE)=0,"",TEXT(IFERROR(VLOOKUP(T_BilanSocial[[#This Row],[NumL]],T_TraitDi[#Data],COLUMN(T_TraitDi[[#This Row],[Colonne12]]),FALSE),""),"[hh]:mm"))</f>
        <v>#VALUE!</v>
      </c>
      <c r="AT36" s="172" t="e">
        <f>IF(VLOOKUP(T_BilanSocial[[#This Row],[NumL]],T_TraitDi[#Data],COLUMN(T_TraitDi[[#This Row],[Colonne14]]),FALSE)=0,"",TEXT(IFERROR(VLOOKUP(T_BilanSocial[[#This Row],[NumL]],T_TraitDi[#Data],COLUMN(T_TraitDi[[#This Row],[Colonne14]]),FALSE),""),"[hh]:mm"))</f>
        <v>#VALUE!</v>
      </c>
      <c r="AU36" s="172" t="str">
        <f>IFERROR(VLOOKUP(T_BilanSocial[[#This Row],[NumL]],T_TraitDi[#Data],COLUMN(T_TraitDi[[#This Row],[Mercredi]]),FALSE),"")</f>
        <v/>
      </c>
      <c r="AV36" s="172" t="e">
        <f>IF(VLOOKUP(T_BilanSocial[[#This Row],[NumL]],T_TraitDi[#Data],COLUMN(T_TraitDi[[#This Row],[Colonne15]]),FALSE)=0,"",TEXT(IFERROR(VLOOKUP(T_BilanSocial[[#This Row],[NumL]],T_TraitDi[#Data],COLUMN(T_TraitDi[[#This Row],[Colonne15]]),FALSE),""),"[hh]:mm"))</f>
        <v>#VALUE!</v>
      </c>
      <c r="AW36" s="172" t="e">
        <f>IF(VLOOKUP(T_BilanSocial[[#This Row],[NumL]],T_TraitDi[#Data],COLUMN(T_TraitDi[[#This Row],[Colonne16]]),FALSE)=0,"",TEXT(IFERROR(VLOOKUP(T_BilanSocial[[#This Row],[NumL]],T_TraitDi[#Data],COLUMN(T_TraitDi[[#This Row],[Colonne16]]),FALSE),""),"[hh]:mm"))</f>
        <v>#VALUE!</v>
      </c>
      <c r="AX36" s="172" t="str">
        <f>IFERROR(VLOOKUP(T_BilanSocial[[#This Row],[NumL]],T_TraitDi[#Data],COLUMN(T_TraitDi[[#This Row],[Colonne17]]),FALSE),"")</f>
        <v/>
      </c>
      <c r="AY36" s="172" t="e">
        <f>IF(VLOOKUP(T_BilanSocial[[#This Row],[NumL]],T_TraitDi[#Data],COLUMN(T_TraitDi[[#This Row],[Colonne18]]),FALSE)=0,"",TEXT(IFERROR(VLOOKUP(T_BilanSocial[[#This Row],[NumL]],T_TraitDi[#Data],COLUMN(T_TraitDi[[#This Row],[Colonne18]]),FALSE),""),"[hh]:mm"))</f>
        <v>#VALUE!</v>
      </c>
      <c r="AZ36" s="172" t="e">
        <f>IF(VLOOKUP(T_BilanSocial[[#This Row],[NumL]],T_TraitDi[#Data],COLUMN(T_TraitDi[[#This Row],[Colonne19]]),FALSE)=0,"",TEXT(IFERROR(VLOOKUP(T_BilanSocial[[#This Row],[NumL]],T_TraitDi[#Data],COLUMN(T_TraitDi[[#This Row],[Colonne19]]),FALSE),""),"[hh]:mm"))</f>
        <v>#VALUE!</v>
      </c>
      <c r="BA36" s="172" t="e">
        <f>IF(VLOOKUP(T_BilanSocial[[#This Row],[NumL]],T_TraitDi[#Data],COLUMN(T_TraitDi[[#This Row],[Colonne20]]),FALSE)=0,"",TEXT(IFERROR(VLOOKUP(T_BilanSocial[[#This Row],[NumL]],T_TraitDi[#Data],COLUMN(T_TraitDi[[#This Row],[Colonne20]]),FALSE),""),"[hh]:mm"))</f>
        <v>#VALUE!</v>
      </c>
      <c r="BB36" s="178" t="str">
        <f>IFERROR(VLOOKUP(T_BilanSocial[[#This Row],[NumL]],T_TraitDi[#Data],COLUMN(T_TraitDi[[#This Row],[Jeudi]]),FALSE),"")</f>
        <v/>
      </c>
      <c r="BC36" s="178" t="e">
        <f>IF(VLOOKUP(T_BilanSocial[[#This Row],[NumL]],T_TraitDi[#Data],COLUMN(T_TraitDi[[#This Row],[Colonne21]]),FALSE)=0,"",TEXT(IFERROR(VLOOKUP(T_BilanSocial[[#This Row],[NumL]],T_TraitDi[#Data],COLUMN(T_TraitDi[[#This Row],[Colonne21]]),FALSE),""),"[hh]:mm"))</f>
        <v>#VALUE!</v>
      </c>
      <c r="BD36" s="178" t="e">
        <f>IF(VLOOKUP(T_BilanSocial[[#This Row],[NumL]],T_TraitDi[#Data],COLUMN(T_TraitDi[[#This Row],[Colonne22]]),FALSE)=0,"",TEXT(IFERROR(VLOOKUP(T_BilanSocial[[#This Row],[NumL]],T_TraitDi[#Data],COLUMN(T_TraitDi[[#This Row],[Colonne22]]),FALSE),""),"[hh]:mm"))</f>
        <v>#VALUE!</v>
      </c>
      <c r="BE36" s="178" t="str">
        <f>IFERROR(VLOOKUP(T_BilanSocial[[#This Row],[NumL]],T_TraitDi[#Data],COLUMN(T_TraitDi[[#This Row],[Colonne23]]),FALSE),"")</f>
        <v/>
      </c>
      <c r="BF36" s="178" t="e">
        <f>IF(VLOOKUP(T_BilanSocial[[#This Row],[NumL]],T_TraitDi[#Data],COLUMN(T_TraitDi[[#This Row],[Colonne24]]),FALSE)=0,"",TEXT(IFERROR(VLOOKUP(T_BilanSocial[[#This Row],[NumL]],T_TraitDi[#Data],COLUMN(T_TraitDi[[#This Row],[Colonne24]]),FALSE),""),"[hh]:mm"))</f>
        <v>#VALUE!</v>
      </c>
      <c r="BG36" s="178" t="e">
        <f>IF(VLOOKUP(T_BilanSocial[[#This Row],[NumL]],T_TraitDi[#Data],COLUMN(T_TraitDi[[#This Row],[Colonne25]]),FALSE)=0,"",TEXT(IFERROR(VLOOKUP(T_BilanSocial[[#This Row],[NumL]],T_TraitDi[#Data],COLUMN(T_TraitDi[[#This Row],[Colonne25]]),FALSE),""),"[hh]:mm"))</f>
        <v>#VALUE!</v>
      </c>
      <c r="BH36" s="178" t="e">
        <f>IF(VLOOKUP(T_BilanSocial[[#This Row],[NumL]],T_TraitDi[#Data],COLUMN(T_TraitDi[[#This Row],[Colonne26]]),FALSE)=0,"",TEXT(IFERROR(VLOOKUP(T_BilanSocial[[#This Row],[NumL]],T_TraitDi[#Data],COLUMN(T_TraitDi[[#This Row],[Colonne26]]),FALSE),""),"[hh]:mm"))</f>
        <v>#VALUE!</v>
      </c>
      <c r="BI36" s="172" t="str">
        <f>IFERROR(VLOOKUP(T_BilanSocial[[#This Row],[NumL]],T_TraitDi[#Data],COLUMN(T_TraitDi[[#This Row],[Vendredi]]),FALSE),"")</f>
        <v/>
      </c>
      <c r="BJ36" s="172" t="e">
        <f>IF(VLOOKUP(T_BilanSocial[[#This Row],[NumL]],T_TraitDi[#Data],COLUMN(T_TraitDi[[#This Row],[Colonne27]]),FALSE)=0,"",TEXT(IFERROR(VLOOKUP(T_BilanSocial[[#This Row],[NumL]],T_TraitDi[#Data],COLUMN(T_TraitDi[[#This Row],[Colonne27]]),FALSE),""),"[hh]:mm"))</f>
        <v>#VALUE!</v>
      </c>
      <c r="BK36" s="172" t="e">
        <f>IF(VLOOKUP(T_BilanSocial[[#This Row],[NumL]],T_TraitDi[#Data],COLUMN(T_TraitDi[[#This Row],[Colonne28]]),FALSE)=0,"",TEXT(IFERROR(VLOOKUP(T_BilanSocial[[#This Row],[NumL]],T_TraitDi[#Data],COLUMN(T_TraitDi[[#This Row],[Colonne28]]),FALSE),""),"[hh]:mm"))</f>
        <v>#VALUE!</v>
      </c>
      <c r="BL36" s="172" t="str">
        <f>IFERROR(VLOOKUP(T_BilanSocial[[#This Row],[NumL]],T_TraitDi[#Data],COLUMN(T_TraitDi[[#This Row],[Colonne29]]),FALSE),"")</f>
        <v/>
      </c>
      <c r="BM36" s="172" t="e">
        <f>IF(VLOOKUP(T_BilanSocial[[#This Row],[NumL]],T_TraitDi[#Data],COLUMN(T_TraitDi[[#This Row],[Colonne30]]),FALSE)=0,"",TEXT(IFERROR(VLOOKUP(T_BilanSocial[[#This Row],[NumL]],T_TraitDi[#Data],COLUMN(T_TraitDi[[#This Row],[Colonne30]]),FALSE),""),"[hh]:mm"))</f>
        <v>#VALUE!</v>
      </c>
      <c r="BN36" s="172" t="e">
        <f>IF(VLOOKUP(T_BilanSocial[[#This Row],[NumL]],T_TraitDi[#Data],COLUMN(T_TraitDi[[#This Row],[Colonne31]]),FALSE)=0,"",TEXT(IFERROR(VLOOKUP(T_BilanSocial[[#This Row],[NumL]],T_TraitDi[#Data],COLUMN(T_TraitDi[[#This Row],[Colonne31]]),FALSE),""),"[hh]:mm"))</f>
        <v>#VALUE!</v>
      </c>
      <c r="BO36" s="172" t="e">
        <f>IF(VLOOKUP(T_BilanSocial[[#This Row],[NumL]],T_TraitDi[#Data],COLUMN(T_TraitDi[[#This Row],[Colonne32]]),FALSE)=0,"",TEXT(IFERROR(VLOOKUP(T_BilanSocial[[#This Row],[NumL]],T_TraitDi[#Data],COLUMN(T_TraitDi[[#This Row],[Colonne32]]),FALSE),""),"[hh]:mm"))</f>
        <v>#VALUE!</v>
      </c>
      <c r="BP36" s="172" t="e">
        <f>VLOOKUP(T_BilanSocial[[#This Row],[NumL]],T_TraitDi[#Data],COLUMN(T_TraitDi[NbJTot]),FALSE)</f>
        <v>#N/A</v>
      </c>
      <c r="BQ36" s="174" t="str">
        <f>IFERROR(VLOOKUP(T_BilanSocial[[#This Row],[NumL]],T_TraitDi[#Data],COLUMN(T_TraitDi[[#This Row],[NbJTW]]),FALSE),"")</f>
        <v/>
      </c>
      <c r="BR36" s="174" t="e">
        <f>IF(VLOOKUP(T_BilanSocial[[#This Row],[NumL]],T_TraitDi[#Data],COLUMN(T_TraitDi[[#This Row],[NbhTW]]),FALSE)=0,"",TEXT(IFERROR(VLOOKUP(T_BilanSocial[[#This Row],[NumL]],T_TraitDi[#Data],COLUMN(T_TraitDi[[#This Row],[NbhTW]]),FALSE),""),"[hh]:mm"))</f>
        <v>#VALUE!</v>
      </c>
      <c r="BS36" s="174" t="e">
        <f>IF(VLOOKUP(T_BilanSocial[[#This Row],[NumL]],T_TraitDi[#Data],COLUMN(T_TraitDi[[#This Row],[Nbhheb]]),FALSE)=0,"",TEXT(IFERROR(VLOOKUP($A36,T_TraitDi[#Data],COLUMN(T_TraitDi[[#This Row],[Nbhheb]]),FALSE),""),"[hh]:mm"))</f>
        <v>#VALUE!</v>
      </c>
      <c r="BT36" s="182" t="str">
        <f>IFERROR(VLOOKUP(VLOOKUP($A36,T_TraitDi[#Data],COLUMN(T_TraitDi[[#This Row],[Type1]]),FALSE),TypeTW,2,FALSE),"")</f>
        <v/>
      </c>
      <c r="BU36" s="182" t="str">
        <f>IFERROR(VLOOKUP($A36,T_TraitDi[#Data],COLUMN(T_TraitDi[[#This Row],[Rue1]]),FALSE),"")</f>
        <v/>
      </c>
      <c r="BV36" s="173" t="str">
        <f>IFERROR(VLOOKUP($A36,T_TraitDi[#Data],COLUMN(T_TraitDi[[#This Row],[CP1]]),FALSE),"")</f>
        <v/>
      </c>
      <c r="BW36" s="173" t="str">
        <f>IFERROR(VLOOKUP($A36,T_TraitDi[#Data],COLUMN(T_TraitDi[[#This Row],[VILLE1]]),FALSE),"")</f>
        <v/>
      </c>
      <c r="BX36" s="182" t="str">
        <f>IFERROR(VLOOKUP(VLOOKUP($A36,T_TraitDi[#Data],COLUMN(T_TraitDi[[#This Row],[Type2]]),FALSE),TypeTW,2,FALSE),"")</f>
        <v/>
      </c>
      <c r="BY36" s="182" t="str">
        <f>IFERROR(VLOOKUP($A36,T_TraitDi[#Data],COLUMN(T_TraitDi[[#This Row],[Rue2]]),FALSE),"")</f>
        <v/>
      </c>
      <c r="BZ36" s="173" t="str">
        <f>IFERROR(VLOOKUP($A36,T_TraitDi[#Data],COLUMN(T_TraitDi[[#This Row],[CP2]]),FALSE),"")</f>
        <v/>
      </c>
      <c r="CA36" s="173" t="str">
        <f>IFERROR(VLOOKUP($A36,T_TraitDi[#Data],COLUMN(T_TraitDi[[#This Row],[VILLE2]]),FALSE),"")</f>
        <v/>
      </c>
      <c r="CB36" s="182" t="str">
        <f>IF(VLOOKUP(T_BilanSocial[[#This Row],[NumL]],T_Equipement[#Data],COLUMN(T_Equipement[[#This Row],[PC]]),FALSE)="","Aucun équipement spécifique directement lié au télétravail",VLOOKUP(T_BilanSocial[[#This Row],[NumL]],T_Equipement[#Data],COLUMN(T_Equipement[[#This Row],[PC]]),FALSE))</f>
        <v xml:space="preserve">16-436	</v>
      </c>
      <c r="CC36" s="166" t="str">
        <f>IFERROR(IF(VLOOKUP(T_BilanSocial[[#This Row],[NumL]],T_TraitDi[#Data],COLUMN(T_TraitDi[[#This Row],[Plan]]),FALSE)="OK","Un planning spécifique de télétravail est annexé à la présente convention.",""),"")</f>
        <v/>
      </c>
      <c r="CD36" s="258" t="s">
        <v>3311</v>
      </c>
      <c r="CE36" s="164" t="e">
        <f>IF(VLOOKUP(T_BilanSocial[[#This Row],[NumL]],T_suiviDi[#Data],COLUMN(T_suiviDi[[#This Row],[Entité]]),FALSE)="","",VLOOKUP(T_BilanSocial[[#This Row],[NumL]],T_suiviDi[#Data],COLUMN(T_suiviDi[[#This Row],[Entité]]),FALSE))</f>
        <v>#VALUE!</v>
      </c>
      <c r="CF36" s="164" t="str">
        <f>IF(VLOOKUP(T_BilanSocial[[#This Row],[NumL]],T_Commission[#Data],COLUMN(T_Commission[[#This Row],[envoi confirm TW]]),FALSE)="","",VLOOKUP(T_BilanSocial[[#This Row],[NumL]],T_Commission[#Data],COLUMN(T_Commission[[#This Row],[envoi confirm TW]]),FALSE))</f>
        <v>Oui</v>
      </c>
      <c r="CG3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6" s="262" t="str">
        <f>T_BilanSocial[[#This Row],[Nom]]&amp;T_BilanSocial[[#This Row],[Prenom]]</f>
        <v/>
      </c>
      <c r="CI36" s="262">
        <f>VLOOKUP(T_BilanSocial[[#This Row],[NumL]],T_Commission[#Data],COLUMN(T_Commission[Commentaire]),FALSE)</f>
        <v>0</v>
      </c>
      <c r="CJ36" s="262" t="str">
        <f>IF(VLOOKUP(T_BilanSocial[[#This Row],[NumL]],T_Commission[#Data],COLUMN(T_Commission[Encadrant Email]),FALSE)="","",VLOOKUP(T_BilanSocial[[#This Row],[NumL]],T_Commission[#Data],COLUMN(T_Commission[Encadrant Email]),FALSE))</f>
        <v/>
      </c>
      <c r="CK36" s="340" t="str">
        <f>IF(T_BilanSocial[[#This Row],[Final]]&lt;&gt;"",VLOOKUP(T_BilanSocial[[#This Row],[NumL]],T_suiviDi[#Data],COLUMN((T_suiviDi[Statut])),FALSE),"")</f>
        <v/>
      </c>
    </row>
    <row r="37" spans="1:89" s="106" customFormat="1" ht="24.75" customHeight="1" x14ac:dyDescent="0.25">
      <c r="A37" s="160">
        <v>34</v>
      </c>
      <c r="B37" s="161" t="str">
        <f t="shared" si="0"/>
        <v/>
      </c>
      <c r="C37" s="162" t="s">
        <v>173</v>
      </c>
      <c r="D37" s="95" t="e">
        <f>IF(VLOOKUP(T_BilanSocial[[#This Row],[NumL]],T_TraitDi[#Data],COLUMN(T_TraitDi[[#This Row],[WebC]]),FALSE)="","",VLOOKUP(T_BilanSocial[[#This Row],[NumL]],T_TraitDi[#Data],COLUMN(T_TraitDi[[#This Row],[WebC]]),FALSE))</f>
        <v>#VALUE!</v>
      </c>
      <c r="E37" s="163" t="str">
        <f t="shared" si="1"/>
        <v>12 janvier 2021</v>
      </c>
      <c r="F37" s="96" t="str">
        <f>IF(T_BilanSocial[[#This Row],[Final]]&lt;&gt;"",VLOOKUP(T_BilanSocial[[#This Row],[NumL]],T_suiviDi[#Data],COLUMN((T_suiviDi[Civ.])),FALSE),"")</f>
        <v/>
      </c>
      <c r="G37" s="96" t="str">
        <f>IF(T_BilanSocial[[#This Row],[Final]]&lt;&gt;"",VLOOKUP(T_BilanSocial[[#This Row],[NumL]],T_suiviDi[#Data],COLUMN((T_suiviDi[Nom])),FALSE),"")</f>
        <v/>
      </c>
      <c r="H37" s="96" t="str">
        <f>IF(T_BilanSocial[[#This Row],[Final]]&lt;&gt;"",VLOOKUP(T_BilanSocial[[#This Row],[NumL]],T_suiviDi[#Data],COLUMN((T_suiviDi[Prénom])),FALSE),"")</f>
        <v/>
      </c>
      <c r="I37" s="96" t="str">
        <f>IFERROR(VLOOKUP(T_BilanSocial[[#This Row],[Zone_Bilan]],T_P_BilanSocial[#Data],COLUMN(T_P_BilanSocial[[#This Row],[Numero_SIHAM]]),FALSE),"")</f>
        <v/>
      </c>
      <c r="J37" s="96" t="str">
        <f>IFERROR(VLOOKUP(T_BilanSocial[[#This Row],[Zone_Bilan]],T_P_BilanSocial[#Data],COLUMN(T_P_BilanSocial[[#This Row],[Sexe]]),FALSE),"")</f>
        <v/>
      </c>
      <c r="K37" s="97" t="str">
        <f>IFERROR(VLOOKUP(T_BilanSocial[[#This Row],[Zone_Bilan]],T_P_BilanSocial[#Data],COLUMN(T_P_BilanSocial[[#This Row],[Categorie]]),FALSE),"")</f>
        <v/>
      </c>
      <c r="L37" s="96" t="str">
        <f>IFERROR(VLOOKUP(T_BilanSocial[[#This Row],[Zone_Bilan]],T_P_BilanSocial[#Data],COLUMN(T_P_BilanSocial[[#This Row],[Statut]]),FALSE),"")</f>
        <v/>
      </c>
      <c r="M37" s="96" t="str">
        <f>IFERROR(VLOOKUP(T_BilanSocial[[#This Row],[Zone_Bilan]],T_P_BilanSocial[#Data],COLUMN(T_P_BilanSocial[[#This Row],[Filiere]]),FALSE),"")</f>
        <v/>
      </c>
      <c r="N37" s="96" t="e">
        <f>VLOOKUP(T_BilanSocial[[#This Row],[NumL]],T_TraitDi[#Data],COLUMN(T_TraitDi[EXP]),FALSE)</f>
        <v>#N/A</v>
      </c>
      <c r="O37" s="96" t="e">
        <f>VLOOKUP(T_BilanSocial[[#This Row],[NumL]],T_TraitDi[#Data],COLUMN(T_TraitDi[FORM]),FALSE)</f>
        <v>#N/A</v>
      </c>
      <c r="P37" s="96" t="str">
        <f>IF(T_BilanSocial[[#This Row],[Final]]&lt;&gt;"",VLOOKUP(T_BilanSocial[[#This Row],[NumL]],T_suiviDi[#Data],COLUMN((T_suiviDi[Email])),FALSE),"")</f>
        <v/>
      </c>
      <c r="Q37" s="164" t="e">
        <f t="shared" si="7"/>
        <v>#N/A</v>
      </c>
      <c r="R37" s="164" t="e">
        <f t="shared" si="8"/>
        <v>#N/A</v>
      </c>
      <c r="S37" s="164" t="e">
        <f>IF(VLOOKUP(T_BilanSocial[[#This Row],[NumL]],T_suiviDi[#Data],COLUMN(T_suiviDi[[#This Row],[Service ]]),FALSE)="","",VLOOKUP(T_BilanSocial[[#This Row],[NumL]],T_suiviDi[#Data],COLUMN(T_suiviDi[[#This Row],[Service ]]),FALSE))</f>
        <v>#VALUE!</v>
      </c>
      <c r="T37" s="164" t="str">
        <f t="shared" si="2"/>
        <v>01 septembre 2021</v>
      </c>
      <c r="U37" s="164" t="str">
        <f t="shared" si="3"/>
        <v>30 novembre 2021</v>
      </c>
      <c r="V37" s="164" t="str">
        <f t="shared" si="6"/>
        <v>30 novembre 2021</v>
      </c>
      <c r="W37" s="176" t="e">
        <f>IF(VLOOKUP(T_BilanSocial[[#This Row],[NumL]],T_TraitDi[#Data],COLUMN(T_TraitDi[[#This Row],[M1]]),FALSE)="","",VLOOKUP(T_BilanSocial[[#This Row],[NumL]],T_TraitDi[#Data],COLUMN(T_TraitDi[[#This Row],[M1]]),FALSE))</f>
        <v>#VALUE!</v>
      </c>
      <c r="X37" s="176" t="e">
        <f>IF(VLOOKUP(T_BilanSocial[[#This Row],[NumL]],T_TraitDi[#Data],COLUMN(T_TraitDi[[#This Row],[M2]]),FALSE)="","",VLOOKUP(T_BilanSocial[[#This Row],[NumL]],T_TraitDi[#Data],COLUMN(T_TraitDi[[#This Row],[M2]]),FALSE))</f>
        <v>#VALUE!</v>
      </c>
      <c r="Y37" s="176" t="e">
        <f>IF(VLOOKUP(T_BilanSocial[[#This Row],[NumL]],T_TraitDi[#Data],COLUMN(T_TraitDi[[#This Row],[M3]]),FALSE)="","",VLOOKUP(T_BilanSocial[[#This Row],[NumL]],T_TraitDi[#Data],COLUMN(T_TraitDi[[#This Row],[M3]]),FALSE))</f>
        <v>#VALUE!</v>
      </c>
      <c r="Z37" s="176" t="str">
        <f t="shared" si="5"/>
        <v/>
      </c>
      <c r="AA37" s="176" t="e">
        <f>IF(VLOOKUP(T_BilanSocial[[#This Row],[NumL]],T_TraitDi[#Data],COLUMN(T_TraitDi[[#This Row],[M5]]),FALSE)="","",VLOOKUP(T_BilanSocial[[#This Row],[NumL]],T_TraitDi[#Data],COLUMN(T_TraitDi[[#This Row],[M5]]),FALSE))</f>
        <v>#VALUE!</v>
      </c>
      <c r="AB37" s="176" t="e">
        <f>IF(VLOOKUP(T_BilanSocial[[#This Row],[NumL]],T_TraitDi[#Data],COLUMN(T_TraitDi[[#This Row],[M6]]),FALSE)="","",VLOOKUP(T_BilanSocial[[#This Row],[NumL]],T_TraitDi[#Data],COLUMN(T_TraitDi[[#This Row],[M6]]),FALSE))</f>
        <v>#VALUE!</v>
      </c>
      <c r="AC37" s="165" t="e">
        <f t="shared" si="4"/>
        <v>#VALUE!</v>
      </c>
      <c r="AD37" s="188" t="str">
        <f>IFERROR(TEXT(VLOOKUP(T_BilanSocial[[#This Row],[NumL]],T_TraitDi[#Data],COLUMN(T_TraitDi[[#This Row],[Q2]]),FALSE),"###%"),"")</f>
        <v/>
      </c>
      <c r="AE37" s="97" t="e">
        <f>VLOOKUP(T_BilanSocial[[#This Row],[NumL]],T_TraitDi[#Data],COLUMN(T_TraitDi[[#This Row],[Reg Ponct]]),FALSE)</f>
        <v>#VALUE!</v>
      </c>
      <c r="AF37" s="97" t="e">
        <f>VLOOKUP(T_BilanSocial[NumL],T_TraitDi[#Data],COLUMN(T_TraitDi[[#This Row],[Jours flottants]]),FALSE)</f>
        <v>#VALUE!</v>
      </c>
      <c r="AG37" s="97" t="str">
        <f>IFERROR(VLOOKUP(T_BilanSocial[[#This Row],[NumL]],T_TraitDi[#Data],COLUMN(T_TraitDi[[#This Row],[Lundi]]),FALSE),"")</f>
        <v/>
      </c>
      <c r="AH37" s="172" t="e">
        <f>IF(VLOOKUP(T_BilanSocial[[#This Row],[NumL]],T_TraitDi[#Data],COLUMN(T_TraitDi[[#This Row],[Colonne3]]),FALSE)=0,"",TEXT(IFERROR(VLOOKUP(T_BilanSocial[[#This Row],[NumL]],T_TraitDi[#Data],COLUMN(T_TraitDi[[#This Row],[Colonne3]]),FALSE),""),"[hh]:mm"))</f>
        <v>#VALUE!</v>
      </c>
      <c r="AI37" s="172" t="e">
        <f>IF(VLOOKUP(T_BilanSocial[[#This Row],[NumL]],T_TraitDi[#Data],COLUMN(T_TraitDi[[#This Row],[Colonne4]]),FALSE)=0,"",TEXT(IFERROR(VLOOKUP(T_BilanSocial[[#This Row],[NumL]],T_TraitDi[#Data],COLUMN(T_TraitDi[[#This Row],[Colonne4]]),FALSE),""),"[hh]:mm"))</f>
        <v>#VALUE!</v>
      </c>
      <c r="AJ37" s="172" t="e">
        <f>IF(VLOOKUP(T_BilanSocial[[#This Row],[NumL]],T_TraitDi[#Data],COLUMN(T_TraitDi[[#This Row],[Colonne5]]),FALSE)=0,"",TEXT(IFERROR(VLOOKUP(T_BilanSocial[[#This Row],[NumL]],T_TraitDi[#Data],COLUMN(T_TraitDi[[#This Row],[Colonne5]]),FALSE),""),"[hh]:mm"))</f>
        <v>#VALUE!</v>
      </c>
      <c r="AK37" s="172" t="e">
        <f>IF(VLOOKUP(T_BilanSocial[[#This Row],[NumL]],T_TraitDi[#Data],COLUMN(T_TraitDi[[#This Row],[Colonne6]]),FALSE)=0,"",TEXT(IFERROR(VLOOKUP(T_BilanSocial[[#This Row],[NumL]],T_TraitDi[#Data],COLUMN(T_TraitDi[[#This Row],[Colonne6]]),FALSE),""),"[hh]:mm"))</f>
        <v>#VALUE!</v>
      </c>
      <c r="AL37" s="172" t="e">
        <f>IF(VLOOKUP(T_BilanSocial[[#This Row],[NumL]],T_TraitDi[#Data],COLUMN(T_TraitDi[[#This Row],[Colonne7]]),FALSE)=0,"",TEXT(IFERROR(VLOOKUP(T_BilanSocial[[#This Row],[NumL]],T_TraitDi[#Data],COLUMN(T_TraitDi[[#This Row],[Colonne7]]),FALSE),""),"[hh]:mm"))</f>
        <v>#VALUE!</v>
      </c>
      <c r="AM37" s="172" t="e">
        <f>IF(VLOOKUP(T_BilanSocial[[#This Row],[NumL]],T_TraitDi[#Data],COLUMN(T_TraitDi[[#This Row],[Colonne8]]),FALSE)=0,"",TEXT(IFERROR(VLOOKUP(T_BilanSocial[[#This Row],[NumL]],T_TraitDi[#Data],COLUMN(T_TraitDi[[#This Row],[Colonne8]]),FALSE),""),"[hh]:mm"))</f>
        <v>#VALUE!</v>
      </c>
      <c r="AN37" s="172" t="str">
        <f>IFERROR(VLOOKUP(T_BilanSocial[[#This Row],[NumL]],T_TraitDi[#Data],COLUMN(T_TraitDi[[#This Row],[Mardi]]),FALSE),"")</f>
        <v/>
      </c>
      <c r="AO37" s="172" t="e">
        <f>IF(VLOOKUP(T_BilanSocial[[#This Row],[NumL]],T_TraitDi[#Data],COLUMN(T_TraitDi[[#This Row],[Colonne1]]),FALSE)=0,"",TEXT(IFERROR(VLOOKUP(T_BilanSocial[[#This Row],[NumL]],T_TraitDi[#Data],COLUMN(T_TraitDi[[#This Row],[Colonne1]]),FALSE),""),"[hh]:mm"))</f>
        <v>#VALUE!</v>
      </c>
      <c r="AP37" s="172" t="e">
        <f>IF(VLOOKUP(T_BilanSocial[[#This Row],[NumL]],T_TraitDi[#Data],COLUMN(T_TraitDi[[#This Row],[Colonne9]]),FALSE)=0,"",TEXT(IFERROR(VLOOKUP(T_BilanSocial[[#This Row],[NumL]],T_TraitDi[#Data],COLUMN(T_TraitDi[[#This Row],[Colonne9]]),FALSE),""),"[hh]:mm"))</f>
        <v>#VALUE!</v>
      </c>
      <c r="AQ37" s="172" t="str">
        <f>IFERROR(VLOOKUP(T_BilanSocial[[#This Row],[NumL]],T_TraitDi[#Data],COLUMN(T_TraitDi[[#This Row],[Colonne10]]),FALSE),"")</f>
        <v/>
      </c>
      <c r="AR37" s="172" t="e">
        <f>IF(VLOOKUP(T_BilanSocial[[#This Row],[NumL]],T_TraitDi[#Data],COLUMN(T_TraitDi[[#This Row],[Colonne11]]),FALSE)=0,"",TEXT(IFERROR(VLOOKUP(T_BilanSocial[[#This Row],[NumL]],T_TraitDi[#Data],COLUMN(T_TraitDi[[#This Row],[Colonne11]]),FALSE),""),"[hh]:mm"))</f>
        <v>#VALUE!</v>
      </c>
      <c r="AS37" s="172" t="e">
        <f>IF(VLOOKUP(T_BilanSocial[[#This Row],[NumL]],T_TraitDi[#Data],COLUMN(T_TraitDi[[#This Row],[Colonne12]]),FALSE)=0,"",TEXT(IFERROR(VLOOKUP(T_BilanSocial[[#This Row],[NumL]],T_TraitDi[#Data],COLUMN(T_TraitDi[[#This Row],[Colonne12]]),FALSE),""),"[hh]:mm"))</f>
        <v>#VALUE!</v>
      </c>
      <c r="AT37" s="172" t="e">
        <f>IF(VLOOKUP(T_BilanSocial[[#This Row],[NumL]],T_TraitDi[#Data],COLUMN(T_TraitDi[[#This Row],[Colonne14]]),FALSE)=0,"",TEXT(IFERROR(VLOOKUP(T_BilanSocial[[#This Row],[NumL]],T_TraitDi[#Data],COLUMN(T_TraitDi[[#This Row],[Colonne14]]),FALSE),""),"[hh]:mm"))</f>
        <v>#VALUE!</v>
      </c>
      <c r="AU37" s="172" t="str">
        <f>IFERROR(VLOOKUP(T_BilanSocial[[#This Row],[NumL]],T_TraitDi[#Data],COLUMN(T_TraitDi[[#This Row],[Mercredi]]),FALSE),"")</f>
        <v/>
      </c>
      <c r="AV37" s="172" t="e">
        <f>IF(VLOOKUP(T_BilanSocial[[#This Row],[NumL]],T_TraitDi[#Data],COLUMN(T_TraitDi[[#This Row],[Colonne15]]),FALSE)=0,"",TEXT(IFERROR(VLOOKUP(T_BilanSocial[[#This Row],[NumL]],T_TraitDi[#Data],COLUMN(T_TraitDi[[#This Row],[Colonne15]]),FALSE),""),"[hh]:mm"))</f>
        <v>#VALUE!</v>
      </c>
      <c r="AW37" s="172" t="e">
        <f>IF(VLOOKUP(T_BilanSocial[[#This Row],[NumL]],T_TraitDi[#Data],COLUMN(T_TraitDi[[#This Row],[Colonne16]]),FALSE)=0,"",TEXT(IFERROR(VLOOKUP(T_BilanSocial[[#This Row],[NumL]],T_TraitDi[#Data],COLUMN(T_TraitDi[[#This Row],[Colonne16]]),FALSE),""),"[hh]:mm"))</f>
        <v>#VALUE!</v>
      </c>
      <c r="AX37" s="172" t="str">
        <f>IFERROR(VLOOKUP(T_BilanSocial[[#This Row],[NumL]],T_TraitDi[#Data],COLUMN(T_TraitDi[[#This Row],[Colonne17]]),FALSE),"")</f>
        <v/>
      </c>
      <c r="AY37" s="172" t="e">
        <f>IF(VLOOKUP(T_BilanSocial[[#This Row],[NumL]],T_TraitDi[#Data],COLUMN(T_TraitDi[[#This Row],[Colonne18]]),FALSE)=0,"",TEXT(IFERROR(VLOOKUP(T_BilanSocial[[#This Row],[NumL]],T_TraitDi[#Data],COLUMN(T_TraitDi[[#This Row],[Colonne18]]),FALSE),""),"[hh]:mm"))</f>
        <v>#VALUE!</v>
      </c>
      <c r="AZ37" s="172" t="e">
        <f>IF(VLOOKUP(T_BilanSocial[[#This Row],[NumL]],T_TraitDi[#Data],COLUMN(T_TraitDi[[#This Row],[Colonne19]]),FALSE)=0,"",TEXT(IFERROR(VLOOKUP(T_BilanSocial[[#This Row],[NumL]],T_TraitDi[#Data],COLUMN(T_TraitDi[[#This Row],[Colonne19]]),FALSE),""),"[hh]:mm"))</f>
        <v>#VALUE!</v>
      </c>
      <c r="BA37" s="172" t="e">
        <f>IF(VLOOKUP(T_BilanSocial[[#This Row],[NumL]],T_TraitDi[#Data],COLUMN(T_TraitDi[[#This Row],[Colonne20]]),FALSE)=0,"",TEXT(IFERROR(VLOOKUP(T_BilanSocial[[#This Row],[NumL]],T_TraitDi[#Data],COLUMN(T_TraitDi[[#This Row],[Colonne20]]),FALSE),""),"[hh]:mm"))</f>
        <v>#VALUE!</v>
      </c>
      <c r="BB37" s="178" t="str">
        <f>IFERROR(VLOOKUP(T_BilanSocial[[#This Row],[NumL]],T_TraitDi[#Data],COLUMN(T_TraitDi[[#This Row],[Jeudi]]),FALSE),"")</f>
        <v/>
      </c>
      <c r="BC37" s="178" t="e">
        <f>IF(VLOOKUP(T_BilanSocial[[#This Row],[NumL]],T_TraitDi[#Data],COLUMN(T_TraitDi[[#This Row],[Colonne21]]),FALSE)=0,"",TEXT(IFERROR(VLOOKUP(T_BilanSocial[[#This Row],[NumL]],T_TraitDi[#Data],COLUMN(T_TraitDi[[#This Row],[Colonne21]]),FALSE),""),"[hh]:mm"))</f>
        <v>#VALUE!</v>
      </c>
      <c r="BD37" s="178" t="e">
        <f>IF(VLOOKUP(T_BilanSocial[[#This Row],[NumL]],T_TraitDi[#Data],COLUMN(T_TraitDi[[#This Row],[Colonne22]]),FALSE)=0,"",TEXT(IFERROR(VLOOKUP(T_BilanSocial[[#This Row],[NumL]],T_TraitDi[#Data],COLUMN(T_TraitDi[[#This Row],[Colonne22]]),FALSE),""),"[hh]:mm"))</f>
        <v>#VALUE!</v>
      </c>
      <c r="BE37" s="178" t="str">
        <f>IFERROR(VLOOKUP(T_BilanSocial[[#This Row],[NumL]],T_TraitDi[#Data],COLUMN(T_TraitDi[[#This Row],[Colonne23]]),FALSE),"")</f>
        <v/>
      </c>
      <c r="BF37" s="178" t="e">
        <f>IF(VLOOKUP(T_BilanSocial[[#This Row],[NumL]],T_TraitDi[#Data],COLUMN(T_TraitDi[[#This Row],[Colonne24]]),FALSE)=0,"",TEXT(IFERROR(VLOOKUP(T_BilanSocial[[#This Row],[NumL]],T_TraitDi[#Data],COLUMN(T_TraitDi[[#This Row],[Colonne24]]),FALSE),""),"[hh]:mm"))</f>
        <v>#VALUE!</v>
      </c>
      <c r="BG37" s="178" t="e">
        <f>IF(VLOOKUP(T_BilanSocial[[#This Row],[NumL]],T_TraitDi[#Data],COLUMN(T_TraitDi[[#This Row],[Colonne25]]),FALSE)=0,"",TEXT(IFERROR(VLOOKUP(T_BilanSocial[[#This Row],[NumL]],T_TraitDi[#Data],COLUMN(T_TraitDi[[#This Row],[Colonne25]]),FALSE),""),"[hh]:mm"))</f>
        <v>#VALUE!</v>
      </c>
      <c r="BH37" s="178" t="e">
        <f>IF(VLOOKUP(T_BilanSocial[[#This Row],[NumL]],T_TraitDi[#Data],COLUMN(T_TraitDi[[#This Row],[Colonne26]]),FALSE)=0,"",TEXT(IFERROR(VLOOKUP(T_BilanSocial[[#This Row],[NumL]],T_TraitDi[#Data],COLUMN(T_TraitDi[[#This Row],[Colonne26]]),FALSE),""),"[hh]:mm"))</f>
        <v>#VALUE!</v>
      </c>
      <c r="BI37" s="172" t="str">
        <f>IFERROR(VLOOKUP(T_BilanSocial[[#This Row],[NumL]],T_TraitDi[#Data],COLUMN(T_TraitDi[[#This Row],[Vendredi]]),FALSE),"")</f>
        <v/>
      </c>
      <c r="BJ37" s="172" t="e">
        <f>IF(VLOOKUP(T_BilanSocial[[#This Row],[NumL]],T_TraitDi[#Data],COLUMN(T_TraitDi[[#This Row],[Colonne27]]),FALSE)=0,"",TEXT(IFERROR(VLOOKUP(T_BilanSocial[[#This Row],[NumL]],T_TraitDi[#Data],COLUMN(T_TraitDi[[#This Row],[Colonne27]]),FALSE),""),"[hh]:mm"))</f>
        <v>#VALUE!</v>
      </c>
      <c r="BK37" s="172" t="e">
        <f>IF(VLOOKUP(T_BilanSocial[[#This Row],[NumL]],T_TraitDi[#Data],COLUMN(T_TraitDi[[#This Row],[Colonne28]]),FALSE)=0,"",TEXT(IFERROR(VLOOKUP(T_BilanSocial[[#This Row],[NumL]],T_TraitDi[#Data],COLUMN(T_TraitDi[[#This Row],[Colonne28]]),FALSE),""),"[hh]:mm"))</f>
        <v>#VALUE!</v>
      </c>
      <c r="BL37" s="172" t="str">
        <f>IFERROR(VLOOKUP(T_BilanSocial[[#This Row],[NumL]],T_TraitDi[#Data],COLUMN(T_TraitDi[[#This Row],[Colonne29]]),FALSE),"")</f>
        <v/>
      </c>
      <c r="BM37" s="172" t="e">
        <f>IF(VLOOKUP(T_BilanSocial[[#This Row],[NumL]],T_TraitDi[#Data],COLUMN(T_TraitDi[[#This Row],[Colonne30]]),FALSE)=0,"",TEXT(IFERROR(VLOOKUP(T_BilanSocial[[#This Row],[NumL]],T_TraitDi[#Data],COLUMN(T_TraitDi[[#This Row],[Colonne30]]),FALSE),""),"[hh]:mm"))</f>
        <v>#VALUE!</v>
      </c>
      <c r="BN37" s="172" t="e">
        <f>IF(VLOOKUP(T_BilanSocial[[#This Row],[NumL]],T_TraitDi[#Data],COLUMN(T_TraitDi[[#This Row],[Colonne31]]),FALSE)=0,"",TEXT(IFERROR(VLOOKUP(T_BilanSocial[[#This Row],[NumL]],T_TraitDi[#Data],COLUMN(T_TraitDi[[#This Row],[Colonne31]]),FALSE),""),"[hh]:mm"))</f>
        <v>#VALUE!</v>
      </c>
      <c r="BO37" s="172" t="e">
        <f>IF(VLOOKUP(T_BilanSocial[[#This Row],[NumL]],T_TraitDi[#Data],COLUMN(T_TraitDi[[#This Row],[Colonne32]]),FALSE)=0,"",TEXT(IFERROR(VLOOKUP(T_BilanSocial[[#This Row],[NumL]],T_TraitDi[#Data],COLUMN(T_TraitDi[[#This Row],[Colonne32]]),FALSE),""),"[hh]:mm"))</f>
        <v>#VALUE!</v>
      </c>
      <c r="BP37" s="172" t="e">
        <f>VLOOKUP(T_BilanSocial[[#This Row],[NumL]],T_TraitDi[#Data],COLUMN(T_TraitDi[NbJTot]),FALSE)</f>
        <v>#N/A</v>
      </c>
      <c r="BQ37" s="174" t="str">
        <f>IFERROR(VLOOKUP(T_BilanSocial[[#This Row],[NumL]],T_TraitDi[#Data],COLUMN(T_TraitDi[[#This Row],[NbJTW]]),FALSE),"")</f>
        <v/>
      </c>
      <c r="BR37" s="174" t="e">
        <f>IF(VLOOKUP(T_BilanSocial[[#This Row],[NumL]],T_TraitDi[#Data],COLUMN(T_TraitDi[[#This Row],[NbhTW]]),FALSE)=0,"",TEXT(IFERROR(VLOOKUP(T_BilanSocial[[#This Row],[NumL]],T_TraitDi[#Data],COLUMN(T_TraitDi[[#This Row],[NbhTW]]),FALSE),""),"[hh]:mm"))</f>
        <v>#VALUE!</v>
      </c>
      <c r="BS37" s="174" t="e">
        <f>IF(VLOOKUP(T_BilanSocial[[#This Row],[NumL]],T_TraitDi[#Data],COLUMN(T_TraitDi[[#This Row],[Nbhheb]]),FALSE)=0,"",TEXT(IFERROR(VLOOKUP($A37,T_TraitDi[#Data],COLUMN(T_TraitDi[[#This Row],[Nbhheb]]),FALSE),""),"[hh]:mm"))</f>
        <v>#VALUE!</v>
      </c>
      <c r="BT37" s="182" t="str">
        <f>IFERROR(VLOOKUP(VLOOKUP($A37,T_TraitDi[#Data],COLUMN(T_TraitDi[[#This Row],[Type1]]),FALSE),TypeTW,2,FALSE),"")</f>
        <v/>
      </c>
      <c r="BU37" s="182" t="str">
        <f>IFERROR(VLOOKUP($A37,T_TraitDi[#Data],COLUMN(T_TraitDi[[#This Row],[Rue1]]),FALSE),"")</f>
        <v/>
      </c>
      <c r="BV37" s="173" t="str">
        <f>IFERROR(VLOOKUP($A37,T_TraitDi[#Data],COLUMN(T_TraitDi[[#This Row],[CP1]]),FALSE),"")</f>
        <v/>
      </c>
      <c r="BW37" s="173" t="str">
        <f>IFERROR(VLOOKUP($A37,T_TraitDi[#Data],COLUMN(T_TraitDi[[#This Row],[VILLE1]]),FALSE),"")</f>
        <v/>
      </c>
      <c r="BX37" s="182" t="str">
        <f>IFERROR(VLOOKUP(VLOOKUP($A37,T_TraitDi[#Data],COLUMN(T_TraitDi[[#This Row],[Type2]]),FALSE),TypeTW,2,FALSE),"")</f>
        <v/>
      </c>
      <c r="BY37" s="182" t="str">
        <f>IFERROR(VLOOKUP($A37,T_TraitDi[#Data],COLUMN(T_TraitDi[[#This Row],[Rue2]]),FALSE),"")</f>
        <v/>
      </c>
      <c r="BZ37" s="173" t="str">
        <f>IFERROR(VLOOKUP($A37,T_TraitDi[#Data],COLUMN(T_TraitDi[[#This Row],[CP2]]),FALSE),"")</f>
        <v/>
      </c>
      <c r="CA37" s="173" t="str">
        <f>IFERROR(VLOOKUP($A37,T_TraitDi[#Data],COLUMN(T_TraitDi[[#This Row],[VILLE2]]),FALSE),"")</f>
        <v/>
      </c>
      <c r="CB37" s="182" t="str">
        <f>IF(VLOOKUP(T_BilanSocial[[#This Row],[NumL]],T_Equipement[#Data],COLUMN(T_Equipement[[#This Row],[PC]]),FALSE)="","Aucun équipement spécifique directement lié au télétravail",VLOOKUP(T_BilanSocial[[#This Row],[NumL]],T_Equipement[#Data],COLUMN(T_Equipement[[#This Row],[PC]]),FALSE))</f>
        <v xml:space="preserve">18-015	</v>
      </c>
      <c r="CC37" s="166" t="str">
        <f>IFERROR(IF(VLOOKUP(T_BilanSocial[[#This Row],[NumL]],T_TraitDi[#Data],COLUMN(T_TraitDi[[#This Row],[Plan]]),FALSE)="OK","Un planning spécifique de télétravail est annexé à la présente convention.",""),"")</f>
        <v/>
      </c>
      <c r="CD37" s="258" t="s">
        <v>3330</v>
      </c>
      <c r="CE37" s="164" t="e">
        <f>IF(VLOOKUP(T_BilanSocial[[#This Row],[NumL]],T_suiviDi[#Data],COLUMN(T_suiviDi[[#This Row],[Entité]]),FALSE)="","",VLOOKUP(T_BilanSocial[[#This Row],[NumL]],T_suiviDi[#Data],COLUMN(T_suiviDi[[#This Row],[Entité]]),FALSE))</f>
        <v>#VALUE!</v>
      </c>
      <c r="CF37" s="164" t="str">
        <f>IF(VLOOKUP(T_BilanSocial[[#This Row],[NumL]],T_Commission[#Data],COLUMN(T_Commission[[#This Row],[envoi confirm TW]]),FALSE)="","",VLOOKUP(T_BilanSocial[[#This Row],[NumL]],T_Commission[#Data],COLUMN(T_Commission[[#This Row],[envoi confirm TW]]),FALSE))</f>
        <v>Oui</v>
      </c>
      <c r="CG3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7" s="262" t="str">
        <f>T_BilanSocial[[#This Row],[Nom]]&amp;T_BilanSocial[[#This Row],[Prenom]]</f>
        <v/>
      </c>
      <c r="CI37" s="262">
        <f>VLOOKUP(T_BilanSocial[[#This Row],[NumL]],T_Commission[#Data],COLUMN(T_Commission[Commentaire]),FALSE)</f>
        <v>0</v>
      </c>
      <c r="CJ37" s="262" t="str">
        <f>IF(VLOOKUP(T_BilanSocial[[#This Row],[NumL]],T_Commission[#Data],COLUMN(T_Commission[Encadrant Email]),FALSE)="","",VLOOKUP(T_BilanSocial[[#This Row],[NumL]],T_Commission[#Data],COLUMN(T_Commission[Encadrant Email]),FALSE))</f>
        <v/>
      </c>
      <c r="CK37" s="340" t="str">
        <f>IF(T_BilanSocial[[#This Row],[Final]]&lt;&gt;"",VLOOKUP(T_BilanSocial[[#This Row],[NumL]],T_suiviDi[#Data],COLUMN((T_suiviDi[Statut])),FALSE),"")</f>
        <v/>
      </c>
    </row>
    <row r="38" spans="1:89" s="106" customFormat="1" ht="24.75" customHeight="1" x14ac:dyDescent="0.25">
      <c r="A38" s="160">
        <v>35</v>
      </c>
      <c r="B38" s="161" t="str">
        <f t="shared" si="0"/>
        <v/>
      </c>
      <c r="C38" s="162" t="s">
        <v>173</v>
      </c>
      <c r="D38" s="95" t="e">
        <f>IF(VLOOKUP(T_BilanSocial[[#This Row],[NumL]],T_TraitDi[#Data],COLUMN(T_TraitDi[[#This Row],[WebC]]),FALSE)="","",VLOOKUP(T_BilanSocial[[#This Row],[NumL]],T_TraitDi[#Data],COLUMN(T_TraitDi[[#This Row],[WebC]]),FALSE))</f>
        <v>#VALUE!</v>
      </c>
      <c r="E38" s="163" t="str">
        <f t="shared" si="1"/>
        <v>12 janvier 2021</v>
      </c>
      <c r="F38" s="96" t="str">
        <f>IF(T_BilanSocial[[#This Row],[Final]]&lt;&gt;"",VLOOKUP(T_BilanSocial[[#This Row],[NumL]],T_suiviDi[#Data],COLUMN((T_suiviDi[Civ.])),FALSE),"")</f>
        <v/>
      </c>
      <c r="G38" s="96" t="str">
        <f>IF(T_BilanSocial[[#This Row],[Final]]&lt;&gt;"",VLOOKUP(T_BilanSocial[[#This Row],[NumL]],T_suiviDi[#Data],COLUMN((T_suiviDi[Nom])),FALSE),"")</f>
        <v/>
      </c>
      <c r="H38" s="96" t="str">
        <f>IF(T_BilanSocial[[#This Row],[Final]]&lt;&gt;"",VLOOKUP(T_BilanSocial[[#This Row],[NumL]],T_suiviDi[#Data],COLUMN((T_suiviDi[Prénom])),FALSE),"")</f>
        <v/>
      </c>
      <c r="I38" s="96" t="str">
        <f>IFERROR(VLOOKUP(T_BilanSocial[[#This Row],[Zone_Bilan]],T_P_BilanSocial[#Data],COLUMN(T_P_BilanSocial[[#This Row],[Numero_SIHAM]]),FALSE),"")</f>
        <v/>
      </c>
      <c r="J38" s="96" t="str">
        <f>IFERROR(VLOOKUP(T_BilanSocial[[#This Row],[Zone_Bilan]],T_P_BilanSocial[#Data],COLUMN(T_P_BilanSocial[[#This Row],[Sexe]]),FALSE),"")</f>
        <v/>
      </c>
      <c r="K38" s="97" t="str">
        <f>IFERROR(VLOOKUP(T_BilanSocial[[#This Row],[Zone_Bilan]],T_P_BilanSocial[#Data],COLUMN(T_P_BilanSocial[[#This Row],[Categorie]]),FALSE),"")</f>
        <v/>
      </c>
      <c r="L38" s="96" t="str">
        <f>IFERROR(VLOOKUP(T_BilanSocial[[#This Row],[Zone_Bilan]],T_P_BilanSocial[#Data],COLUMN(T_P_BilanSocial[[#This Row],[Statut]]),FALSE),"")</f>
        <v/>
      </c>
      <c r="M38" s="96" t="str">
        <f>IFERROR(VLOOKUP(T_BilanSocial[[#This Row],[Zone_Bilan]],T_P_BilanSocial[#Data],COLUMN(T_P_BilanSocial[[#This Row],[Filiere]]),FALSE),"")</f>
        <v/>
      </c>
      <c r="N38" s="96" t="e">
        <f>VLOOKUP(T_BilanSocial[[#This Row],[NumL]],T_TraitDi[#Data],COLUMN(T_TraitDi[EXP]),FALSE)</f>
        <v>#N/A</v>
      </c>
      <c r="O38" s="96" t="e">
        <f>VLOOKUP(T_BilanSocial[[#This Row],[NumL]],T_TraitDi[#Data],COLUMN(T_TraitDi[FORM]),FALSE)</f>
        <v>#N/A</v>
      </c>
      <c r="P38" s="96" t="str">
        <f>IF(T_BilanSocial[[#This Row],[Final]]&lt;&gt;"",VLOOKUP(T_BilanSocial[[#This Row],[NumL]],T_suiviDi[#Data],COLUMN((T_suiviDi[Email])),FALSE),"")</f>
        <v/>
      </c>
      <c r="Q38" s="164" t="e">
        <f t="shared" si="7"/>
        <v>#N/A</v>
      </c>
      <c r="R38" s="164" t="e">
        <f t="shared" si="8"/>
        <v>#N/A</v>
      </c>
      <c r="S38" s="164" t="e">
        <f>IF(VLOOKUP(T_BilanSocial[[#This Row],[NumL]],T_suiviDi[#Data],COLUMN(T_suiviDi[[#This Row],[Service ]]),FALSE)="","",VLOOKUP(T_BilanSocial[[#This Row],[NumL]],T_suiviDi[#Data],COLUMN(T_suiviDi[[#This Row],[Service ]]),FALSE))</f>
        <v>#VALUE!</v>
      </c>
      <c r="T38" s="164" t="str">
        <f t="shared" si="2"/>
        <v>01 septembre 2021</v>
      </c>
      <c r="U38" s="164" t="str">
        <f t="shared" si="3"/>
        <v>30 novembre 2021</v>
      </c>
      <c r="V38" s="164" t="str">
        <f t="shared" si="6"/>
        <v>30 novembre 2021</v>
      </c>
      <c r="W38" s="176" t="e">
        <f>IF(VLOOKUP(T_BilanSocial[[#This Row],[NumL]],T_TraitDi[#Data],COLUMN(T_TraitDi[[#This Row],[M1]]),FALSE)="","",VLOOKUP(T_BilanSocial[[#This Row],[NumL]],T_TraitDi[#Data],COLUMN(T_TraitDi[[#This Row],[M1]]),FALSE))</f>
        <v>#VALUE!</v>
      </c>
      <c r="X38" s="176" t="e">
        <f>IF(VLOOKUP(T_BilanSocial[[#This Row],[NumL]],T_TraitDi[#Data],COLUMN(T_TraitDi[[#This Row],[M2]]),FALSE)="","",VLOOKUP(T_BilanSocial[[#This Row],[NumL]],T_TraitDi[#Data],COLUMN(T_TraitDi[[#This Row],[M2]]),FALSE))</f>
        <v>#VALUE!</v>
      </c>
      <c r="Y38" s="176" t="e">
        <f>IF(VLOOKUP(T_BilanSocial[[#This Row],[NumL]],T_TraitDi[#Data],COLUMN(T_TraitDi[[#This Row],[M3]]),FALSE)="","",VLOOKUP(T_BilanSocial[[#This Row],[NumL]],T_TraitDi[#Data],COLUMN(T_TraitDi[[#This Row],[M3]]),FALSE))</f>
        <v>#VALUE!</v>
      </c>
      <c r="Z38" s="176" t="str">
        <f t="shared" si="5"/>
        <v/>
      </c>
      <c r="AA38" s="176" t="e">
        <f>IF(VLOOKUP(T_BilanSocial[[#This Row],[NumL]],T_TraitDi[#Data],COLUMN(T_TraitDi[[#This Row],[M5]]),FALSE)="","",VLOOKUP(T_BilanSocial[[#This Row],[NumL]],T_TraitDi[#Data],COLUMN(T_TraitDi[[#This Row],[M5]]),FALSE))</f>
        <v>#VALUE!</v>
      </c>
      <c r="AB38" s="176" t="e">
        <f>IF(VLOOKUP(T_BilanSocial[[#This Row],[NumL]],T_TraitDi[#Data],COLUMN(T_TraitDi[[#This Row],[M6]]),FALSE)="","",VLOOKUP(T_BilanSocial[[#This Row],[NumL]],T_TraitDi[#Data],COLUMN(T_TraitDi[[#This Row],[M6]]),FALSE))</f>
        <v>#VALUE!</v>
      </c>
      <c r="AC38" s="165" t="e">
        <f t="shared" si="4"/>
        <v>#VALUE!</v>
      </c>
      <c r="AD38" s="188" t="str">
        <f>IFERROR(TEXT(VLOOKUP(T_BilanSocial[[#This Row],[NumL]],T_TraitDi[#Data],COLUMN(T_TraitDi[[#This Row],[Q2]]),FALSE),"###%"),"")</f>
        <v/>
      </c>
      <c r="AE38" s="97" t="e">
        <f>VLOOKUP(T_BilanSocial[[#This Row],[NumL]],T_TraitDi[#Data],COLUMN(T_TraitDi[[#This Row],[Reg Ponct]]),FALSE)</f>
        <v>#VALUE!</v>
      </c>
      <c r="AF38" s="97" t="e">
        <f>VLOOKUP(T_BilanSocial[NumL],T_TraitDi[#Data],COLUMN(T_TraitDi[[#This Row],[Jours flottants]]),FALSE)</f>
        <v>#VALUE!</v>
      </c>
      <c r="AG38" s="97" t="str">
        <f>IFERROR(VLOOKUP(T_BilanSocial[[#This Row],[NumL]],T_TraitDi[#Data],COLUMN(T_TraitDi[[#This Row],[Lundi]]),FALSE),"")</f>
        <v/>
      </c>
      <c r="AH38" s="172" t="e">
        <f>IF(VLOOKUP(T_BilanSocial[[#This Row],[NumL]],T_TraitDi[#Data],COLUMN(T_TraitDi[[#This Row],[Colonne3]]),FALSE)=0,"",TEXT(IFERROR(VLOOKUP(T_BilanSocial[[#This Row],[NumL]],T_TraitDi[#Data],COLUMN(T_TraitDi[[#This Row],[Colonne3]]),FALSE),""),"[hh]:mm"))</f>
        <v>#VALUE!</v>
      </c>
      <c r="AI38" s="172" t="e">
        <f>IF(VLOOKUP(T_BilanSocial[[#This Row],[NumL]],T_TraitDi[#Data],COLUMN(T_TraitDi[[#This Row],[Colonne4]]),FALSE)=0,"",TEXT(IFERROR(VLOOKUP(T_BilanSocial[[#This Row],[NumL]],T_TraitDi[#Data],COLUMN(T_TraitDi[[#This Row],[Colonne4]]),FALSE),""),"[hh]:mm"))</f>
        <v>#VALUE!</v>
      </c>
      <c r="AJ38" s="172" t="e">
        <f>IF(VLOOKUP(T_BilanSocial[[#This Row],[NumL]],T_TraitDi[#Data],COLUMN(T_TraitDi[[#This Row],[Colonne5]]),FALSE)=0,"",TEXT(IFERROR(VLOOKUP(T_BilanSocial[[#This Row],[NumL]],T_TraitDi[#Data],COLUMN(T_TraitDi[[#This Row],[Colonne5]]),FALSE),""),"[hh]:mm"))</f>
        <v>#VALUE!</v>
      </c>
      <c r="AK38" s="172" t="e">
        <f>IF(VLOOKUP(T_BilanSocial[[#This Row],[NumL]],T_TraitDi[#Data],COLUMN(T_TraitDi[[#This Row],[Colonne6]]),FALSE)=0,"",TEXT(IFERROR(VLOOKUP(T_BilanSocial[[#This Row],[NumL]],T_TraitDi[#Data],COLUMN(T_TraitDi[[#This Row],[Colonne6]]),FALSE),""),"[hh]:mm"))</f>
        <v>#VALUE!</v>
      </c>
      <c r="AL38" s="172" t="e">
        <f>IF(VLOOKUP(T_BilanSocial[[#This Row],[NumL]],T_TraitDi[#Data],COLUMN(T_TraitDi[[#This Row],[Colonne7]]),FALSE)=0,"",TEXT(IFERROR(VLOOKUP(T_BilanSocial[[#This Row],[NumL]],T_TraitDi[#Data],COLUMN(T_TraitDi[[#This Row],[Colonne7]]),FALSE),""),"[hh]:mm"))</f>
        <v>#VALUE!</v>
      </c>
      <c r="AM38" s="172" t="e">
        <f>IF(VLOOKUP(T_BilanSocial[[#This Row],[NumL]],T_TraitDi[#Data],COLUMN(T_TraitDi[[#This Row],[Colonne8]]),FALSE)=0,"",TEXT(IFERROR(VLOOKUP(T_BilanSocial[[#This Row],[NumL]],T_TraitDi[#Data],COLUMN(T_TraitDi[[#This Row],[Colonne8]]),FALSE),""),"[hh]:mm"))</f>
        <v>#VALUE!</v>
      </c>
      <c r="AN38" s="172" t="str">
        <f>IFERROR(VLOOKUP(T_BilanSocial[[#This Row],[NumL]],T_TraitDi[#Data],COLUMN(T_TraitDi[[#This Row],[Mardi]]),FALSE),"")</f>
        <v/>
      </c>
      <c r="AO38" s="172" t="e">
        <f>IF(VLOOKUP(T_BilanSocial[[#This Row],[NumL]],T_TraitDi[#Data],COLUMN(T_TraitDi[[#This Row],[Colonne1]]),FALSE)=0,"",TEXT(IFERROR(VLOOKUP(T_BilanSocial[[#This Row],[NumL]],T_TraitDi[#Data],COLUMN(T_TraitDi[[#This Row],[Colonne1]]),FALSE),""),"[hh]:mm"))</f>
        <v>#VALUE!</v>
      </c>
      <c r="AP38" s="172" t="e">
        <f>IF(VLOOKUP(T_BilanSocial[[#This Row],[NumL]],T_TraitDi[#Data],COLUMN(T_TraitDi[[#This Row],[Colonne9]]),FALSE)=0,"",TEXT(IFERROR(VLOOKUP(T_BilanSocial[[#This Row],[NumL]],T_TraitDi[#Data],COLUMN(T_TraitDi[[#This Row],[Colonne9]]),FALSE),""),"[hh]:mm"))</f>
        <v>#VALUE!</v>
      </c>
      <c r="AQ38" s="172" t="str">
        <f>IFERROR(VLOOKUP(T_BilanSocial[[#This Row],[NumL]],T_TraitDi[#Data],COLUMN(T_TraitDi[[#This Row],[Colonne10]]),FALSE),"")</f>
        <v/>
      </c>
      <c r="AR38" s="172" t="e">
        <f>IF(VLOOKUP(T_BilanSocial[[#This Row],[NumL]],T_TraitDi[#Data],COLUMN(T_TraitDi[[#This Row],[Colonne11]]),FALSE)=0,"",TEXT(IFERROR(VLOOKUP(T_BilanSocial[[#This Row],[NumL]],T_TraitDi[#Data],COLUMN(T_TraitDi[[#This Row],[Colonne11]]),FALSE),""),"[hh]:mm"))</f>
        <v>#VALUE!</v>
      </c>
      <c r="AS38" s="172" t="e">
        <f>IF(VLOOKUP(T_BilanSocial[[#This Row],[NumL]],T_TraitDi[#Data],COLUMN(T_TraitDi[[#This Row],[Colonne12]]),FALSE)=0,"",TEXT(IFERROR(VLOOKUP(T_BilanSocial[[#This Row],[NumL]],T_TraitDi[#Data],COLUMN(T_TraitDi[[#This Row],[Colonne12]]),FALSE),""),"[hh]:mm"))</f>
        <v>#VALUE!</v>
      </c>
      <c r="AT38" s="172" t="e">
        <f>IF(VLOOKUP(T_BilanSocial[[#This Row],[NumL]],T_TraitDi[#Data],COLUMN(T_TraitDi[[#This Row],[Colonne14]]),FALSE)=0,"",TEXT(IFERROR(VLOOKUP(T_BilanSocial[[#This Row],[NumL]],T_TraitDi[#Data],COLUMN(T_TraitDi[[#This Row],[Colonne14]]),FALSE),""),"[hh]:mm"))</f>
        <v>#VALUE!</v>
      </c>
      <c r="AU38" s="172" t="str">
        <f>IFERROR(VLOOKUP(T_BilanSocial[[#This Row],[NumL]],T_TraitDi[#Data],COLUMN(T_TraitDi[[#This Row],[Mercredi]]),FALSE),"")</f>
        <v/>
      </c>
      <c r="AV38" s="172" t="e">
        <f>IF(VLOOKUP(T_BilanSocial[[#This Row],[NumL]],T_TraitDi[#Data],COLUMN(T_TraitDi[[#This Row],[Colonne15]]),FALSE)=0,"",TEXT(IFERROR(VLOOKUP(T_BilanSocial[[#This Row],[NumL]],T_TraitDi[#Data],COLUMN(T_TraitDi[[#This Row],[Colonne15]]),FALSE),""),"[hh]:mm"))</f>
        <v>#VALUE!</v>
      </c>
      <c r="AW38" s="172" t="e">
        <f>IF(VLOOKUP(T_BilanSocial[[#This Row],[NumL]],T_TraitDi[#Data],COLUMN(T_TraitDi[[#This Row],[Colonne16]]),FALSE)=0,"",TEXT(IFERROR(VLOOKUP(T_BilanSocial[[#This Row],[NumL]],T_TraitDi[#Data],COLUMN(T_TraitDi[[#This Row],[Colonne16]]),FALSE),""),"[hh]:mm"))</f>
        <v>#VALUE!</v>
      </c>
      <c r="AX38" s="172" t="str">
        <f>IFERROR(VLOOKUP(T_BilanSocial[[#This Row],[NumL]],T_TraitDi[#Data],COLUMN(T_TraitDi[[#This Row],[Colonne17]]),FALSE),"")</f>
        <v/>
      </c>
      <c r="AY38" s="172" t="e">
        <f>IF(VLOOKUP(T_BilanSocial[[#This Row],[NumL]],T_TraitDi[#Data],COLUMN(T_TraitDi[[#This Row],[Colonne18]]),FALSE)=0,"",TEXT(IFERROR(VLOOKUP(T_BilanSocial[[#This Row],[NumL]],T_TraitDi[#Data],COLUMN(T_TraitDi[[#This Row],[Colonne18]]),FALSE),""),"[hh]:mm"))</f>
        <v>#VALUE!</v>
      </c>
      <c r="AZ38" s="172" t="e">
        <f>IF(VLOOKUP(T_BilanSocial[[#This Row],[NumL]],T_TraitDi[#Data],COLUMN(T_TraitDi[[#This Row],[Colonne19]]),FALSE)=0,"",TEXT(IFERROR(VLOOKUP(T_BilanSocial[[#This Row],[NumL]],T_TraitDi[#Data],COLUMN(T_TraitDi[[#This Row],[Colonne19]]),FALSE),""),"[hh]:mm"))</f>
        <v>#VALUE!</v>
      </c>
      <c r="BA38" s="172" t="e">
        <f>IF(VLOOKUP(T_BilanSocial[[#This Row],[NumL]],T_TraitDi[#Data],COLUMN(T_TraitDi[[#This Row],[Colonne20]]),FALSE)=0,"",TEXT(IFERROR(VLOOKUP(T_BilanSocial[[#This Row],[NumL]],T_TraitDi[#Data],COLUMN(T_TraitDi[[#This Row],[Colonne20]]),FALSE),""),"[hh]:mm"))</f>
        <v>#VALUE!</v>
      </c>
      <c r="BB38" s="178" t="str">
        <f>IFERROR(VLOOKUP(T_BilanSocial[[#This Row],[NumL]],T_TraitDi[#Data],COLUMN(T_TraitDi[[#This Row],[Jeudi]]),FALSE),"")</f>
        <v/>
      </c>
      <c r="BC38" s="178" t="e">
        <f>IF(VLOOKUP(T_BilanSocial[[#This Row],[NumL]],T_TraitDi[#Data],COLUMN(T_TraitDi[[#This Row],[Colonne21]]),FALSE)=0,"",TEXT(IFERROR(VLOOKUP(T_BilanSocial[[#This Row],[NumL]],T_TraitDi[#Data],COLUMN(T_TraitDi[[#This Row],[Colonne21]]),FALSE),""),"[hh]:mm"))</f>
        <v>#VALUE!</v>
      </c>
      <c r="BD38" s="178" t="e">
        <f>IF(VLOOKUP(T_BilanSocial[[#This Row],[NumL]],T_TraitDi[#Data],COLUMN(T_TraitDi[[#This Row],[Colonne22]]),FALSE)=0,"",TEXT(IFERROR(VLOOKUP(T_BilanSocial[[#This Row],[NumL]],T_TraitDi[#Data],COLUMN(T_TraitDi[[#This Row],[Colonne22]]),FALSE),""),"[hh]:mm"))</f>
        <v>#VALUE!</v>
      </c>
      <c r="BE38" s="178" t="str">
        <f>IFERROR(VLOOKUP(T_BilanSocial[[#This Row],[NumL]],T_TraitDi[#Data],COLUMN(T_TraitDi[[#This Row],[Colonne23]]),FALSE),"")</f>
        <v/>
      </c>
      <c r="BF38" s="178" t="e">
        <f>IF(VLOOKUP(T_BilanSocial[[#This Row],[NumL]],T_TraitDi[#Data],COLUMN(T_TraitDi[[#This Row],[Colonne24]]),FALSE)=0,"",TEXT(IFERROR(VLOOKUP(T_BilanSocial[[#This Row],[NumL]],T_TraitDi[#Data],COLUMN(T_TraitDi[[#This Row],[Colonne24]]),FALSE),""),"[hh]:mm"))</f>
        <v>#VALUE!</v>
      </c>
      <c r="BG38" s="178" t="e">
        <f>IF(VLOOKUP(T_BilanSocial[[#This Row],[NumL]],T_TraitDi[#Data],COLUMN(T_TraitDi[[#This Row],[Colonne25]]),FALSE)=0,"",TEXT(IFERROR(VLOOKUP(T_BilanSocial[[#This Row],[NumL]],T_TraitDi[#Data],COLUMN(T_TraitDi[[#This Row],[Colonne25]]),FALSE),""),"[hh]:mm"))</f>
        <v>#VALUE!</v>
      </c>
      <c r="BH38" s="178" t="e">
        <f>IF(VLOOKUP(T_BilanSocial[[#This Row],[NumL]],T_TraitDi[#Data],COLUMN(T_TraitDi[[#This Row],[Colonne26]]),FALSE)=0,"",TEXT(IFERROR(VLOOKUP(T_BilanSocial[[#This Row],[NumL]],T_TraitDi[#Data],COLUMN(T_TraitDi[[#This Row],[Colonne26]]),FALSE),""),"[hh]:mm"))</f>
        <v>#VALUE!</v>
      </c>
      <c r="BI38" s="172" t="str">
        <f>IFERROR(VLOOKUP(T_BilanSocial[[#This Row],[NumL]],T_TraitDi[#Data],COLUMN(T_TraitDi[[#This Row],[Vendredi]]),FALSE),"")</f>
        <v/>
      </c>
      <c r="BJ38" s="172" t="e">
        <f>IF(VLOOKUP(T_BilanSocial[[#This Row],[NumL]],T_TraitDi[#Data],COLUMN(T_TraitDi[[#This Row],[Colonne27]]),FALSE)=0,"",TEXT(IFERROR(VLOOKUP(T_BilanSocial[[#This Row],[NumL]],T_TraitDi[#Data],COLUMN(T_TraitDi[[#This Row],[Colonne27]]),FALSE),""),"[hh]:mm"))</f>
        <v>#VALUE!</v>
      </c>
      <c r="BK38" s="172" t="e">
        <f>IF(VLOOKUP(T_BilanSocial[[#This Row],[NumL]],T_TraitDi[#Data],COLUMN(T_TraitDi[[#This Row],[Colonne28]]),FALSE)=0,"",TEXT(IFERROR(VLOOKUP(T_BilanSocial[[#This Row],[NumL]],T_TraitDi[#Data],COLUMN(T_TraitDi[[#This Row],[Colonne28]]),FALSE),""),"[hh]:mm"))</f>
        <v>#VALUE!</v>
      </c>
      <c r="BL38" s="172" t="str">
        <f>IFERROR(VLOOKUP(T_BilanSocial[[#This Row],[NumL]],T_TraitDi[#Data],COLUMN(T_TraitDi[[#This Row],[Colonne29]]),FALSE),"")</f>
        <v/>
      </c>
      <c r="BM38" s="172" t="e">
        <f>IF(VLOOKUP(T_BilanSocial[[#This Row],[NumL]],T_TraitDi[#Data],COLUMN(T_TraitDi[[#This Row],[Colonne30]]),FALSE)=0,"",TEXT(IFERROR(VLOOKUP(T_BilanSocial[[#This Row],[NumL]],T_TraitDi[#Data],COLUMN(T_TraitDi[[#This Row],[Colonne30]]),FALSE),""),"[hh]:mm"))</f>
        <v>#VALUE!</v>
      </c>
      <c r="BN38" s="172" t="e">
        <f>IF(VLOOKUP(T_BilanSocial[[#This Row],[NumL]],T_TraitDi[#Data],COLUMN(T_TraitDi[[#This Row],[Colonne31]]),FALSE)=0,"",TEXT(IFERROR(VLOOKUP(T_BilanSocial[[#This Row],[NumL]],T_TraitDi[#Data],COLUMN(T_TraitDi[[#This Row],[Colonne31]]),FALSE),""),"[hh]:mm"))</f>
        <v>#VALUE!</v>
      </c>
      <c r="BO38" s="172" t="e">
        <f>IF(VLOOKUP(T_BilanSocial[[#This Row],[NumL]],T_TraitDi[#Data],COLUMN(T_TraitDi[[#This Row],[Colonne32]]),FALSE)=0,"",TEXT(IFERROR(VLOOKUP(T_BilanSocial[[#This Row],[NumL]],T_TraitDi[#Data],COLUMN(T_TraitDi[[#This Row],[Colonne32]]),FALSE),""),"[hh]:mm"))</f>
        <v>#VALUE!</v>
      </c>
      <c r="BP38" s="172" t="e">
        <f>VLOOKUP(T_BilanSocial[[#This Row],[NumL]],T_TraitDi[#Data],COLUMN(T_TraitDi[NbJTot]),FALSE)</f>
        <v>#N/A</v>
      </c>
      <c r="BQ38" s="174" t="str">
        <f>IFERROR(VLOOKUP(T_BilanSocial[[#This Row],[NumL]],T_TraitDi[#Data],COLUMN(T_TraitDi[[#This Row],[NbJTW]]),FALSE),"")</f>
        <v/>
      </c>
      <c r="BR38" s="174" t="e">
        <f>IF(VLOOKUP(T_BilanSocial[[#This Row],[NumL]],T_TraitDi[#Data],COLUMN(T_TraitDi[[#This Row],[NbhTW]]),FALSE)=0,"",TEXT(IFERROR(VLOOKUP(T_BilanSocial[[#This Row],[NumL]],T_TraitDi[#Data],COLUMN(T_TraitDi[[#This Row],[NbhTW]]),FALSE),""),"[hh]:mm"))</f>
        <v>#VALUE!</v>
      </c>
      <c r="BS38" s="174" t="e">
        <f>IF(VLOOKUP(T_BilanSocial[[#This Row],[NumL]],T_TraitDi[#Data],COLUMN(T_TraitDi[[#This Row],[Nbhheb]]),FALSE)=0,"",TEXT(IFERROR(VLOOKUP($A38,T_TraitDi[#Data],COLUMN(T_TraitDi[[#This Row],[Nbhheb]]),FALSE),""),"[hh]:mm"))</f>
        <v>#VALUE!</v>
      </c>
      <c r="BT38" s="182" t="str">
        <f>IFERROR(VLOOKUP(VLOOKUP($A38,T_TraitDi[#Data],COLUMN(T_TraitDi[[#This Row],[Type1]]),FALSE),TypeTW,2,FALSE),"")</f>
        <v/>
      </c>
      <c r="BU38" s="182" t="str">
        <f>IFERROR(VLOOKUP($A38,T_TraitDi[#Data],COLUMN(T_TraitDi[[#This Row],[Rue1]]),FALSE),"")</f>
        <v/>
      </c>
      <c r="BV38" s="173" t="str">
        <f>IFERROR(VLOOKUP($A38,T_TraitDi[#Data],COLUMN(T_TraitDi[[#This Row],[CP1]]),FALSE),"")</f>
        <v/>
      </c>
      <c r="BW38" s="173" t="str">
        <f>IFERROR(VLOOKUP($A38,T_TraitDi[#Data],COLUMN(T_TraitDi[[#This Row],[VILLE1]]),FALSE),"")</f>
        <v/>
      </c>
      <c r="BX38" s="182" t="str">
        <f>IFERROR(VLOOKUP(VLOOKUP($A38,T_TraitDi[#Data],COLUMN(T_TraitDi[[#This Row],[Type2]]),FALSE),TypeTW,2,FALSE),"")</f>
        <v/>
      </c>
      <c r="BY38" s="182" t="str">
        <f>IFERROR(VLOOKUP($A38,T_TraitDi[#Data],COLUMN(T_TraitDi[[#This Row],[Rue2]]),FALSE),"")</f>
        <v/>
      </c>
      <c r="BZ38" s="173" t="str">
        <f>IFERROR(VLOOKUP($A38,T_TraitDi[#Data],COLUMN(T_TraitDi[[#This Row],[CP2]]),FALSE),"")</f>
        <v/>
      </c>
      <c r="CA38" s="173" t="str">
        <f>IFERROR(VLOOKUP($A38,T_TraitDi[#Data],COLUMN(T_TraitDi[[#This Row],[VILLE2]]),FALSE),"")</f>
        <v/>
      </c>
      <c r="CB38" s="182" t="str">
        <f>IF(VLOOKUP(T_BilanSocial[[#This Row],[NumL]],T_Equipement[#Data],COLUMN(T_Equipement[[#This Row],[PC]]),FALSE)="","Aucun équipement spécifique directement lié au télétravail",VLOOKUP(T_BilanSocial[[#This Row],[NumL]],T_Equipement[#Data],COLUMN(T_Equipement[[#This Row],[PC]]),FALSE))</f>
        <v xml:space="preserve">17-024	</v>
      </c>
      <c r="CC38" s="166" t="str">
        <f>IFERROR(IF(VLOOKUP(T_BilanSocial[[#This Row],[NumL]],T_TraitDi[#Data],COLUMN(T_TraitDi[[#This Row],[Plan]]),FALSE)="OK","Un planning spécifique de télétravail est annexé à la présente convention.",""),"")</f>
        <v/>
      </c>
      <c r="CD38" s="258" t="s">
        <v>3439</v>
      </c>
      <c r="CE38" s="164" t="e">
        <f>IF(VLOOKUP(T_BilanSocial[[#This Row],[NumL]],T_suiviDi[#Data],COLUMN(T_suiviDi[[#This Row],[Entité]]),FALSE)="","",VLOOKUP(T_BilanSocial[[#This Row],[NumL]],T_suiviDi[#Data],COLUMN(T_suiviDi[[#This Row],[Entité]]),FALSE))</f>
        <v>#VALUE!</v>
      </c>
      <c r="CF38" s="164" t="str">
        <f>IF(VLOOKUP(T_BilanSocial[[#This Row],[NumL]],T_Commission[#Data],COLUMN(T_Commission[[#This Row],[envoi confirm TW]]),FALSE)="","",VLOOKUP(T_BilanSocial[[#This Row],[NumL]],T_Commission[#Data],COLUMN(T_Commission[[#This Row],[envoi confirm TW]]),FALSE))</f>
        <v>Oui</v>
      </c>
      <c r="CG3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8" s="262" t="str">
        <f>T_BilanSocial[[#This Row],[Nom]]&amp;T_BilanSocial[[#This Row],[Prenom]]</f>
        <v/>
      </c>
      <c r="CI38" s="262">
        <f>VLOOKUP(T_BilanSocial[[#This Row],[NumL]],T_Commission[#Data],COLUMN(T_Commission[Commentaire]),FALSE)</f>
        <v>0</v>
      </c>
      <c r="CJ38" s="262" t="str">
        <f>IF(VLOOKUP(T_BilanSocial[[#This Row],[NumL]],T_Commission[#Data],COLUMN(T_Commission[Encadrant Email]),FALSE)="","",VLOOKUP(T_BilanSocial[[#This Row],[NumL]],T_Commission[#Data],COLUMN(T_Commission[Encadrant Email]),FALSE))</f>
        <v/>
      </c>
      <c r="CK38" s="340" t="str">
        <f>IF(T_BilanSocial[[#This Row],[Final]]&lt;&gt;"",VLOOKUP(T_BilanSocial[[#This Row],[NumL]],T_suiviDi[#Data],COLUMN((T_suiviDi[Statut])),FALSE),"")</f>
        <v/>
      </c>
    </row>
    <row r="39" spans="1:89" s="106" customFormat="1" ht="24.75" customHeight="1" x14ac:dyDescent="0.25">
      <c r="A39" s="160">
        <v>36</v>
      </c>
      <c r="B39" s="161" t="str">
        <f t="shared" si="0"/>
        <v/>
      </c>
      <c r="C39" s="162" t="s">
        <v>173</v>
      </c>
      <c r="D39" s="95" t="e">
        <f>IF(VLOOKUP(T_BilanSocial[[#This Row],[NumL]],T_TraitDi[#Data],COLUMN(T_TraitDi[[#This Row],[WebC]]),FALSE)="","",VLOOKUP(T_BilanSocial[[#This Row],[NumL]],T_TraitDi[#Data],COLUMN(T_TraitDi[[#This Row],[WebC]]),FALSE))</f>
        <v>#VALUE!</v>
      </c>
      <c r="E39" s="163" t="str">
        <f t="shared" si="1"/>
        <v>12 janvier 2021</v>
      </c>
      <c r="F39" s="96" t="str">
        <f>IF(T_BilanSocial[[#This Row],[Final]]&lt;&gt;"",VLOOKUP(T_BilanSocial[[#This Row],[NumL]],T_suiviDi[#Data],COLUMN((T_suiviDi[Civ.])),FALSE),"")</f>
        <v/>
      </c>
      <c r="G39" s="96" t="str">
        <f>IF(T_BilanSocial[[#This Row],[Final]]&lt;&gt;"",VLOOKUP(T_BilanSocial[[#This Row],[NumL]],T_suiviDi[#Data],COLUMN((T_suiviDi[Nom])),FALSE),"")</f>
        <v/>
      </c>
      <c r="H39" s="96" t="str">
        <f>IF(T_BilanSocial[[#This Row],[Final]]&lt;&gt;"",VLOOKUP(T_BilanSocial[[#This Row],[NumL]],T_suiviDi[#Data],COLUMN((T_suiviDi[Prénom])),FALSE),"")</f>
        <v/>
      </c>
      <c r="I39" s="96" t="str">
        <f>IFERROR(VLOOKUP(T_BilanSocial[[#This Row],[Zone_Bilan]],T_P_BilanSocial[#Data],COLUMN(T_P_BilanSocial[[#This Row],[Numero_SIHAM]]),FALSE),"")</f>
        <v/>
      </c>
      <c r="J39" s="96" t="str">
        <f>IFERROR(VLOOKUP(T_BilanSocial[[#This Row],[Zone_Bilan]],T_P_BilanSocial[#Data],COLUMN(T_P_BilanSocial[[#This Row],[Sexe]]),FALSE),"")</f>
        <v/>
      </c>
      <c r="K39" s="97" t="str">
        <f>IFERROR(VLOOKUP(T_BilanSocial[[#This Row],[Zone_Bilan]],T_P_BilanSocial[#Data],COLUMN(T_P_BilanSocial[[#This Row],[Categorie]]),FALSE),"")</f>
        <v/>
      </c>
      <c r="L39" s="96" t="str">
        <f>IFERROR(VLOOKUP(T_BilanSocial[[#This Row],[Zone_Bilan]],T_P_BilanSocial[#Data],COLUMN(T_P_BilanSocial[[#This Row],[Statut]]),FALSE),"")</f>
        <v/>
      </c>
      <c r="M39" s="96" t="str">
        <f>IFERROR(VLOOKUP(T_BilanSocial[[#This Row],[Zone_Bilan]],T_P_BilanSocial[#Data],COLUMN(T_P_BilanSocial[[#This Row],[Filiere]]),FALSE),"")</f>
        <v/>
      </c>
      <c r="N39" s="96" t="e">
        <f>VLOOKUP(T_BilanSocial[[#This Row],[NumL]],T_TraitDi[#Data],COLUMN(T_TraitDi[EXP]),FALSE)</f>
        <v>#N/A</v>
      </c>
      <c r="O39" s="96" t="e">
        <f>VLOOKUP(T_BilanSocial[[#This Row],[NumL]],T_TraitDi[#Data],COLUMN(T_TraitDi[FORM]),FALSE)</f>
        <v>#N/A</v>
      </c>
      <c r="P39" s="96" t="str">
        <f>IF(T_BilanSocial[[#This Row],[Final]]&lt;&gt;"",VLOOKUP(T_BilanSocial[[#This Row],[NumL]],T_suiviDi[#Data],COLUMN((T_suiviDi[Email])),FALSE),"")</f>
        <v/>
      </c>
      <c r="Q39" s="164" t="e">
        <f t="shared" si="7"/>
        <v>#N/A</v>
      </c>
      <c r="R39" s="164" t="e">
        <f t="shared" si="8"/>
        <v>#N/A</v>
      </c>
      <c r="S39" s="164" t="e">
        <f>IF(VLOOKUP(T_BilanSocial[[#This Row],[NumL]],T_suiviDi[#Data],COLUMN(T_suiviDi[[#This Row],[Service ]]),FALSE)="","",VLOOKUP(T_BilanSocial[[#This Row],[NumL]],T_suiviDi[#Data],COLUMN(T_suiviDi[[#This Row],[Service ]]),FALSE))</f>
        <v>#VALUE!</v>
      </c>
      <c r="T39" s="164" t="str">
        <f t="shared" si="2"/>
        <v>01 septembre 2021</v>
      </c>
      <c r="U39" s="164" t="str">
        <f t="shared" si="3"/>
        <v>30 novembre 2021</v>
      </c>
      <c r="V39" s="164" t="str">
        <f t="shared" si="6"/>
        <v>30 novembre 2021</v>
      </c>
      <c r="W39" s="176" t="e">
        <f>IF(VLOOKUP(T_BilanSocial[[#This Row],[NumL]],T_TraitDi[#Data],COLUMN(T_TraitDi[[#This Row],[M1]]),FALSE)="","",VLOOKUP(T_BilanSocial[[#This Row],[NumL]],T_TraitDi[#Data],COLUMN(T_TraitDi[[#This Row],[M1]]),FALSE))</f>
        <v>#VALUE!</v>
      </c>
      <c r="X39" s="176" t="e">
        <f>IF(VLOOKUP(T_BilanSocial[[#This Row],[NumL]],T_TraitDi[#Data],COLUMN(T_TraitDi[[#This Row],[M2]]),FALSE)="","",VLOOKUP(T_BilanSocial[[#This Row],[NumL]],T_TraitDi[#Data],COLUMN(T_TraitDi[[#This Row],[M2]]),FALSE))</f>
        <v>#VALUE!</v>
      </c>
      <c r="Y39" s="176" t="e">
        <f>IF(VLOOKUP(T_BilanSocial[[#This Row],[NumL]],T_TraitDi[#Data],COLUMN(T_TraitDi[[#This Row],[M3]]),FALSE)="","",VLOOKUP(T_BilanSocial[[#This Row],[NumL]],T_TraitDi[#Data],COLUMN(T_TraitDi[[#This Row],[M3]]),FALSE))</f>
        <v>#VALUE!</v>
      </c>
      <c r="Z39" s="176" t="str">
        <f t="shared" si="5"/>
        <v/>
      </c>
      <c r="AA39" s="176" t="e">
        <f>IF(VLOOKUP(T_BilanSocial[[#This Row],[NumL]],T_TraitDi[#Data],COLUMN(T_TraitDi[[#This Row],[M5]]),FALSE)="","",VLOOKUP(T_BilanSocial[[#This Row],[NumL]],T_TraitDi[#Data],COLUMN(T_TraitDi[[#This Row],[M5]]),FALSE))</f>
        <v>#VALUE!</v>
      </c>
      <c r="AB39" s="176" t="e">
        <f>IF(VLOOKUP(T_BilanSocial[[#This Row],[NumL]],T_TraitDi[#Data],COLUMN(T_TraitDi[[#This Row],[M6]]),FALSE)="","",VLOOKUP(T_BilanSocial[[#This Row],[NumL]],T_TraitDi[#Data],COLUMN(T_TraitDi[[#This Row],[M6]]),FALSE))</f>
        <v>#VALUE!</v>
      </c>
      <c r="AC39" s="165" t="e">
        <f t="shared" si="4"/>
        <v>#VALUE!</v>
      </c>
      <c r="AD39" s="188" t="str">
        <f>IFERROR(TEXT(VLOOKUP(T_BilanSocial[[#This Row],[NumL]],T_TraitDi[#Data],COLUMN(T_TraitDi[[#This Row],[Q2]]),FALSE),"###%"),"")</f>
        <v/>
      </c>
      <c r="AE39" s="97" t="e">
        <f>VLOOKUP(T_BilanSocial[[#This Row],[NumL]],T_TraitDi[#Data],COLUMN(T_TraitDi[[#This Row],[Reg Ponct]]),FALSE)</f>
        <v>#VALUE!</v>
      </c>
      <c r="AF39" s="97" t="e">
        <f>VLOOKUP(T_BilanSocial[NumL],T_TraitDi[#Data],COLUMN(T_TraitDi[[#This Row],[Jours flottants]]),FALSE)</f>
        <v>#VALUE!</v>
      </c>
      <c r="AG39" s="97" t="str">
        <f>IFERROR(VLOOKUP(T_BilanSocial[[#This Row],[NumL]],T_TraitDi[#Data],COLUMN(T_TraitDi[[#This Row],[Lundi]]),FALSE),"")</f>
        <v/>
      </c>
      <c r="AH39" s="172" t="e">
        <f>IF(VLOOKUP(T_BilanSocial[[#This Row],[NumL]],T_TraitDi[#Data],COLUMN(T_TraitDi[[#This Row],[Colonne3]]),FALSE)=0,"",TEXT(IFERROR(VLOOKUP(T_BilanSocial[[#This Row],[NumL]],T_TraitDi[#Data],COLUMN(T_TraitDi[[#This Row],[Colonne3]]),FALSE),""),"[hh]:mm"))</f>
        <v>#VALUE!</v>
      </c>
      <c r="AI39" s="172" t="e">
        <f>IF(VLOOKUP(T_BilanSocial[[#This Row],[NumL]],T_TraitDi[#Data],COLUMN(T_TraitDi[[#This Row],[Colonne4]]),FALSE)=0,"",TEXT(IFERROR(VLOOKUP(T_BilanSocial[[#This Row],[NumL]],T_TraitDi[#Data],COLUMN(T_TraitDi[[#This Row],[Colonne4]]),FALSE),""),"[hh]:mm"))</f>
        <v>#VALUE!</v>
      </c>
      <c r="AJ39" s="172" t="e">
        <f>IF(VLOOKUP(T_BilanSocial[[#This Row],[NumL]],T_TraitDi[#Data],COLUMN(T_TraitDi[[#This Row],[Colonne5]]),FALSE)=0,"",TEXT(IFERROR(VLOOKUP(T_BilanSocial[[#This Row],[NumL]],T_TraitDi[#Data],COLUMN(T_TraitDi[[#This Row],[Colonne5]]),FALSE),""),"[hh]:mm"))</f>
        <v>#VALUE!</v>
      </c>
      <c r="AK39" s="172" t="e">
        <f>IF(VLOOKUP(T_BilanSocial[[#This Row],[NumL]],T_TraitDi[#Data],COLUMN(T_TraitDi[[#This Row],[Colonne6]]),FALSE)=0,"",TEXT(IFERROR(VLOOKUP(T_BilanSocial[[#This Row],[NumL]],T_TraitDi[#Data],COLUMN(T_TraitDi[[#This Row],[Colonne6]]),FALSE),""),"[hh]:mm"))</f>
        <v>#VALUE!</v>
      </c>
      <c r="AL39" s="172" t="e">
        <f>IF(VLOOKUP(T_BilanSocial[[#This Row],[NumL]],T_TraitDi[#Data],COLUMN(T_TraitDi[[#This Row],[Colonne7]]),FALSE)=0,"",TEXT(IFERROR(VLOOKUP(T_BilanSocial[[#This Row],[NumL]],T_TraitDi[#Data],COLUMN(T_TraitDi[[#This Row],[Colonne7]]),FALSE),""),"[hh]:mm"))</f>
        <v>#VALUE!</v>
      </c>
      <c r="AM39" s="172" t="e">
        <f>IF(VLOOKUP(T_BilanSocial[[#This Row],[NumL]],T_TraitDi[#Data],COLUMN(T_TraitDi[[#This Row],[Colonne8]]),FALSE)=0,"",TEXT(IFERROR(VLOOKUP(T_BilanSocial[[#This Row],[NumL]],T_TraitDi[#Data],COLUMN(T_TraitDi[[#This Row],[Colonne8]]),FALSE),""),"[hh]:mm"))</f>
        <v>#VALUE!</v>
      </c>
      <c r="AN39" s="172" t="str">
        <f>IFERROR(VLOOKUP(T_BilanSocial[[#This Row],[NumL]],T_TraitDi[#Data],COLUMN(T_TraitDi[[#This Row],[Mardi]]),FALSE),"")</f>
        <v/>
      </c>
      <c r="AO39" s="172" t="e">
        <f>IF(VLOOKUP(T_BilanSocial[[#This Row],[NumL]],T_TraitDi[#Data],COLUMN(T_TraitDi[[#This Row],[Colonne1]]),FALSE)=0,"",TEXT(IFERROR(VLOOKUP(T_BilanSocial[[#This Row],[NumL]],T_TraitDi[#Data],COLUMN(T_TraitDi[[#This Row],[Colonne1]]),FALSE),""),"[hh]:mm"))</f>
        <v>#VALUE!</v>
      </c>
      <c r="AP39" s="172" t="e">
        <f>IF(VLOOKUP(T_BilanSocial[[#This Row],[NumL]],T_TraitDi[#Data],COLUMN(T_TraitDi[[#This Row],[Colonne9]]),FALSE)=0,"",TEXT(IFERROR(VLOOKUP(T_BilanSocial[[#This Row],[NumL]],T_TraitDi[#Data],COLUMN(T_TraitDi[[#This Row],[Colonne9]]),FALSE),""),"[hh]:mm"))</f>
        <v>#VALUE!</v>
      </c>
      <c r="AQ39" s="172" t="str">
        <f>IFERROR(VLOOKUP(T_BilanSocial[[#This Row],[NumL]],T_TraitDi[#Data],COLUMN(T_TraitDi[[#This Row],[Colonne10]]),FALSE),"")</f>
        <v/>
      </c>
      <c r="AR39" s="172" t="e">
        <f>IF(VLOOKUP(T_BilanSocial[[#This Row],[NumL]],T_TraitDi[#Data],COLUMN(T_TraitDi[[#This Row],[Colonne11]]),FALSE)=0,"",TEXT(IFERROR(VLOOKUP(T_BilanSocial[[#This Row],[NumL]],T_TraitDi[#Data],COLUMN(T_TraitDi[[#This Row],[Colonne11]]),FALSE),""),"[hh]:mm"))</f>
        <v>#VALUE!</v>
      </c>
      <c r="AS39" s="172" t="e">
        <f>IF(VLOOKUP(T_BilanSocial[[#This Row],[NumL]],T_TraitDi[#Data],COLUMN(T_TraitDi[[#This Row],[Colonne12]]),FALSE)=0,"",TEXT(IFERROR(VLOOKUP(T_BilanSocial[[#This Row],[NumL]],T_TraitDi[#Data],COLUMN(T_TraitDi[[#This Row],[Colonne12]]),FALSE),""),"[hh]:mm"))</f>
        <v>#VALUE!</v>
      </c>
      <c r="AT39" s="172" t="e">
        <f>IF(VLOOKUP(T_BilanSocial[[#This Row],[NumL]],T_TraitDi[#Data],COLUMN(T_TraitDi[[#This Row],[Colonne14]]),FALSE)=0,"",TEXT(IFERROR(VLOOKUP(T_BilanSocial[[#This Row],[NumL]],T_TraitDi[#Data],COLUMN(T_TraitDi[[#This Row],[Colonne14]]),FALSE),""),"[hh]:mm"))</f>
        <v>#VALUE!</v>
      </c>
      <c r="AU39" s="172" t="str">
        <f>IFERROR(VLOOKUP(T_BilanSocial[[#This Row],[NumL]],T_TraitDi[#Data],COLUMN(T_TraitDi[[#This Row],[Mercredi]]),FALSE),"")</f>
        <v/>
      </c>
      <c r="AV39" s="172" t="e">
        <f>IF(VLOOKUP(T_BilanSocial[[#This Row],[NumL]],T_TraitDi[#Data],COLUMN(T_TraitDi[[#This Row],[Colonne15]]),FALSE)=0,"",TEXT(IFERROR(VLOOKUP(T_BilanSocial[[#This Row],[NumL]],T_TraitDi[#Data],COLUMN(T_TraitDi[[#This Row],[Colonne15]]),FALSE),""),"[hh]:mm"))</f>
        <v>#VALUE!</v>
      </c>
      <c r="AW39" s="172" t="e">
        <f>IF(VLOOKUP(T_BilanSocial[[#This Row],[NumL]],T_TraitDi[#Data],COLUMN(T_TraitDi[[#This Row],[Colonne16]]),FALSE)=0,"",TEXT(IFERROR(VLOOKUP(T_BilanSocial[[#This Row],[NumL]],T_TraitDi[#Data],COLUMN(T_TraitDi[[#This Row],[Colonne16]]),FALSE),""),"[hh]:mm"))</f>
        <v>#VALUE!</v>
      </c>
      <c r="AX39" s="172" t="str">
        <f>IFERROR(VLOOKUP(T_BilanSocial[[#This Row],[NumL]],T_TraitDi[#Data],COLUMN(T_TraitDi[[#This Row],[Colonne17]]),FALSE),"")</f>
        <v/>
      </c>
      <c r="AY39" s="172" t="e">
        <f>IF(VLOOKUP(T_BilanSocial[[#This Row],[NumL]],T_TraitDi[#Data],COLUMN(T_TraitDi[[#This Row],[Colonne18]]),FALSE)=0,"",TEXT(IFERROR(VLOOKUP(T_BilanSocial[[#This Row],[NumL]],T_TraitDi[#Data],COLUMN(T_TraitDi[[#This Row],[Colonne18]]),FALSE),""),"[hh]:mm"))</f>
        <v>#VALUE!</v>
      </c>
      <c r="AZ39" s="172" t="e">
        <f>IF(VLOOKUP(T_BilanSocial[[#This Row],[NumL]],T_TraitDi[#Data],COLUMN(T_TraitDi[[#This Row],[Colonne19]]),FALSE)=0,"",TEXT(IFERROR(VLOOKUP(T_BilanSocial[[#This Row],[NumL]],T_TraitDi[#Data],COLUMN(T_TraitDi[[#This Row],[Colonne19]]),FALSE),""),"[hh]:mm"))</f>
        <v>#VALUE!</v>
      </c>
      <c r="BA39" s="172" t="e">
        <f>IF(VLOOKUP(T_BilanSocial[[#This Row],[NumL]],T_TraitDi[#Data],COLUMN(T_TraitDi[[#This Row],[Colonne20]]),FALSE)=0,"",TEXT(IFERROR(VLOOKUP(T_BilanSocial[[#This Row],[NumL]],T_TraitDi[#Data],COLUMN(T_TraitDi[[#This Row],[Colonne20]]),FALSE),""),"[hh]:mm"))</f>
        <v>#VALUE!</v>
      </c>
      <c r="BB39" s="178" t="str">
        <f>IFERROR(VLOOKUP(T_BilanSocial[[#This Row],[NumL]],T_TraitDi[#Data],COLUMN(T_TraitDi[[#This Row],[Jeudi]]),FALSE),"")</f>
        <v/>
      </c>
      <c r="BC39" s="178" t="e">
        <f>IF(VLOOKUP(T_BilanSocial[[#This Row],[NumL]],T_TraitDi[#Data],COLUMN(T_TraitDi[[#This Row],[Colonne21]]),FALSE)=0,"",TEXT(IFERROR(VLOOKUP(T_BilanSocial[[#This Row],[NumL]],T_TraitDi[#Data],COLUMN(T_TraitDi[[#This Row],[Colonne21]]),FALSE),""),"[hh]:mm"))</f>
        <v>#VALUE!</v>
      </c>
      <c r="BD39" s="178" t="e">
        <f>IF(VLOOKUP(T_BilanSocial[[#This Row],[NumL]],T_TraitDi[#Data],COLUMN(T_TraitDi[[#This Row],[Colonne22]]),FALSE)=0,"",TEXT(IFERROR(VLOOKUP(T_BilanSocial[[#This Row],[NumL]],T_TraitDi[#Data],COLUMN(T_TraitDi[[#This Row],[Colonne22]]),FALSE),""),"[hh]:mm"))</f>
        <v>#VALUE!</v>
      </c>
      <c r="BE39" s="178" t="str">
        <f>IFERROR(VLOOKUP(T_BilanSocial[[#This Row],[NumL]],T_TraitDi[#Data],COLUMN(T_TraitDi[[#This Row],[Colonne23]]),FALSE),"")</f>
        <v/>
      </c>
      <c r="BF39" s="178" t="e">
        <f>IF(VLOOKUP(T_BilanSocial[[#This Row],[NumL]],T_TraitDi[#Data],COLUMN(T_TraitDi[[#This Row],[Colonne24]]),FALSE)=0,"",TEXT(IFERROR(VLOOKUP(T_BilanSocial[[#This Row],[NumL]],T_TraitDi[#Data],COLUMN(T_TraitDi[[#This Row],[Colonne24]]),FALSE),""),"[hh]:mm"))</f>
        <v>#VALUE!</v>
      </c>
      <c r="BG39" s="178" t="e">
        <f>IF(VLOOKUP(T_BilanSocial[[#This Row],[NumL]],T_TraitDi[#Data],COLUMN(T_TraitDi[[#This Row],[Colonne25]]),FALSE)=0,"",TEXT(IFERROR(VLOOKUP(T_BilanSocial[[#This Row],[NumL]],T_TraitDi[#Data],COLUMN(T_TraitDi[[#This Row],[Colonne25]]),FALSE),""),"[hh]:mm"))</f>
        <v>#VALUE!</v>
      </c>
      <c r="BH39" s="178" t="e">
        <f>IF(VLOOKUP(T_BilanSocial[[#This Row],[NumL]],T_TraitDi[#Data],COLUMN(T_TraitDi[[#This Row],[Colonne26]]),FALSE)=0,"",TEXT(IFERROR(VLOOKUP(T_BilanSocial[[#This Row],[NumL]],T_TraitDi[#Data],COLUMN(T_TraitDi[[#This Row],[Colonne26]]),FALSE),""),"[hh]:mm"))</f>
        <v>#VALUE!</v>
      </c>
      <c r="BI39" s="172" t="str">
        <f>IFERROR(VLOOKUP(T_BilanSocial[[#This Row],[NumL]],T_TraitDi[#Data],COLUMN(T_TraitDi[[#This Row],[Vendredi]]),FALSE),"")</f>
        <v/>
      </c>
      <c r="BJ39" s="172" t="e">
        <f>IF(VLOOKUP(T_BilanSocial[[#This Row],[NumL]],T_TraitDi[#Data],COLUMN(T_TraitDi[[#This Row],[Colonne27]]),FALSE)=0,"",TEXT(IFERROR(VLOOKUP(T_BilanSocial[[#This Row],[NumL]],T_TraitDi[#Data],COLUMN(T_TraitDi[[#This Row],[Colonne27]]),FALSE),""),"[hh]:mm"))</f>
        <v>#VALUE!</v>
      </c>
      <c r="BK39" s="172" t="e">
        <f>IF(VLOOKUP(T_BilanSocial[[#This Row],[NumL]],T_TraitDi[#Data],COLUMN(T_TraitDi[[#This Row],[Colonne28]]),FALSE)=0,"",TEXT(IFERROR(VLOOKUP(T_BilanSocial[[#This Row],[NumL]],T_TraitDi[#Data],COLUMN(T_TraitDi[[#This Row],[Colonne28]]),FALSE),""),"[hh]:mm"))</f>
        <v>#VALUE!</v>
      </c>
      <c r="BL39" s="172" t="str">
        <f>IFERROR(VLOOKUP(T_BilanSocial[[#This Row],[NumL]],T_TraitDi[#Data],COLUMN(T_TraitDi[[#This Row],[Colonne29]]),FALSE),"")</f>
        <v/>
      </c>
      <c r="BM39" s="172" t="e">
        <f>IF(VLOOKUP(T_BilanSocial[[#This Row],[NumL]],T_TraitDi[#Data],COLUMN(T_TraitDi[[#This Row],[Colonne30]]),FALSE)=0,"",TEXT(IFERROR(VLOOKUP(T_BilanSocial[[#This Row],[NumL]],T_TraitDi[#Data],COLUMN(T_TraitDi[[#This Row],[Colonne30]]),FALSE),""),"[hh]:mm"))</f>
        <v>#VALUE!</v>
      </c>
      <c r="BN39" s="172" t="e">
        <f>IF(VLOOKUP(T_BilanSocial[[#This Row],[NumL]],T_TraitDi[#Data],COLUMN(T_TraitDi[[#This Row],[Colonne31]]),FALSE)=0,"",TEXT(IFERROR(VLOOKUP(T_BilanSocial[[#This Row],[NumL]],T_TraitDi[#Data],COLUMN(T_TraitDi[[#This Row],[Colonne31]]),FALSE),""),"[hh]:mm"))</f>
        <v>#VALUE!</v>
      </c>
      <c r="BO39" s="172" t="e">
        <f>IF(VLOOKUP(T_BilanSocial[[#This Row],[NumL]],T_TraitDi[#Data],COLUMN(T_TraitDi[[#This Row],[Colonne32]]),FALSE)=0,"",TEXT(IFERROR(VLOOKUP(T_BilanSocial[[#This Row],[NumL]],T_TraitDi[#Data],COLUMN(T_TraitDi[[#This Row],[Colonne32]]),FALSE),""),"[hh]:mm"))</f>
        <v>#VALUE!</v>
      </c>
      <c r="BP39" s="172" t="e">
        <f>VLOOKUP(T_BilanSocial[[#This Row],[NumL]],T_TraitDi[#Data],COLUMN(T_TraitDi[NbJTot]),FALSE)</f>
        <v>#N/A</v>
      </c>
      <c r="BQ39" s="174" t="str">
        <f>IFERROR(VLOOKUP(T_BilanSocial[[#This Row],[NumL]],T_TraitDi[#Data],COLUMN(T_TraitDi[[#This Row],[NbJTW]]),FALSE),"")</f>
        <v/>
      </c>
      <c r="BR39" s="174" t="e">
        <f>IF(VLOOKUP(T_BilanSocial[[#This Row],[NumL]],T_TraitDi[#Data],COLUMN(T_TraitDi[[#This Row],[NbhTW]]),FALSE)=0,"",TEXT(IFERROR(VLOOKUP(T_BilanSocial[[#This Row],[NumL]],T_TraitDi[#Data],COLUMN(T_TraitDi[[#This Row],[NbhTW]]),FALSE),""),"[hh]:mm"))</f>
        <v>#VALUE!</v>
      </c>
      <c r="BS39" s="174" t="e">
        <f>IF(VLOOKUP(T_BilanSocial[[#This Row],[NumL]],T_TraitDi[#Data],COLUMN(T_TraitDi[[#This Row],[Nbhheb]]),FALSE)=0,"",TEXT(IFERROR(VLOOKUP($A39,T_TraitDi[#Data],COLUMN(T_TraitDi[[#This Row],[Nbhheb]]),FALSE),""),"[hh]:mm"))</f>
        <v>#VALUE!</v>
      </c>
      <c r="BT39" s="182" t="str">
        <f>IFERROR(VLOOKUP(VLOOKUP($A39,T_TraitDi[#Data],COLUMN(T_TraitDi[[#This Row],[Type1]]),FALSE),TypeTW,2,FALSE),"")</f>
        <v/>
      </c>
      <c r="BU39" s="182" t="str">
        <f>IFERROR(VLOOKUP($A39,T_TraitDi[#Data],COLUMN(T_TraitDi[[#This Row],[Rue1]]),FALSE),"")</f>
        <v/>
      </c>
      <c r="BV39" s="173" t="str">
        <f>IFERROR(VLOOKUP($A39,T_TraitDi[#Data],COLUMN(T_TraitDi[[#This Row],[CP1]]),FALSE),"")</f>
        <v/>
      </c>
      <c r="BW39" s="173" t="str">
        <f>IFERROR(VLOOKUP($A39,T_TraitDi[#Data],COLUMN(T_TraitDi[[#This Row],[VILLE1]]),FALSE),"")</f>
        <v/>
      </c>
      <c r="BX39" s="182" t="str">
        <f>IFERROR(VLOOKUP(VLOOKUP($A39,T_TraitDi[#Data],COLUMN(T_TraitDi[[#This Row],[Type2]]),FALSE),TypeTW,2,FALSE),"")</f>
        <v/>
      </c>
      <c r="BY39" s="182" t="str">
        <f>IFERROR(VLOOKUP($A39,T_TraitDi[#Data],COLUMN(T_TraitDi[[#This Row],[Rue2]]),FALSE),"")</f>
        <v/>
      </c>
      <c r="BZ39" s="173" t="str">
        <f>IFERROR(VLOOKUP($A39,T_TraitDi[#Data],COLUMN(T_TraitDi[[#This Row],[CP2]]),FALSE),"")</f>
        <v/>
      </c>
      <c r="CA39" s="173" t="str">
        <f>IFERROR(VLOOKUP($A39,T_TraitDi[#Data],COLUMN(T_TraitDi[[#This Row],[VILLE2]]),FALSE),"")</f>
        <v/>
      </c>
      <c r="CB39" s="182" t="str">
        <f>IF(VLOOKUP(T_BilanSocial[[#This Row],[NumL]],T_Equipement[#Data],COLUMN(T_Equipement[[#This Row],[PC]]),FALSE)="","Aucun équipement spécifique directement lié au télétravail",VLOOKUP(T_BilanSocial[[#This Row],[NumL]],T_Equipement[#Data],COLUMN(T_Equipement[[#This Row],[PC]]),FALSE))</f>
        <v xml:space="preserve">20-089	</v>
      </c>
      <c r="CC39" s="166" t="str">
        <f>IFERROR(IF(VLOOKUP(T_BilanSocial[[#This Row],[NumL]],T_TraitDi[#Data],COLUMN(T_TraitDi[[#This Row],[Plan]]),FALSE)="OK","Un planning spécifique de télétravail est annexé à la présente convention.",""),"")</f>
        <v/>
      </c>
      <c r="CD39" s="258" t="s">
        <v>3292</v>
      </c>
      <c r="CE39" s="164" t="e">
        <f>IF(VLOOKUP(T_BilanSocial[[#This Row],[NumL]],T_suiviDi[#Data],COLUMN(T_suiviDi[[#This Row],[Entité]]),FALSE)="","",VLOOKUP(T_BilanSocial[[#This Row],[NumL]],T_suiviDi[#Data],COLUMN(T_suiviDi[[#This Row],[Entité]]),FALSE))</f>
        <v>#VALUE!</v>
      </c>
      <c r="CF39" s="164" t="str">
        <f>IF(VLOOKUP(T_BilanSocial[[#This Row],[NumL]],T_Commission[#Data],COLUMN(T_Commission[[#This Row],[envoi confirm TW]]),FALSE)="","",VLOOKUP(T_BilanSocial[[#This Row],[NumL]],T_Commission[#Data],COLUMN(T_Commission[[#This Row],[envoi confirm TW]]),FALSE))</f>
        <v>Oui</v>
      </c>
      <c r="CG3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9" s="262" t="str">
        <f>T_BilanSocial[[#This Row],[Nom]]&amp;T_BilanSocial[[#This Row],[Prenom]]</f>
        <v/>
      </c>
      <c r="CI39" s="262">
        <f>VLOOKUP(T_BilanSocial[[#This Row],[NumL]],T_Commission[#Data],COLUMN(T_Commission[Commentaire]),FALSE)</f>
        <v>0</v>
      </c>
      <c r="CJ39" s="262" t="str">
        <f>IF(VLOOKUP(T_BilanSocial[[#This Row],[NumL]],T_Commission[#Data],COLUMN(T_Commission[Encadrant Email]),FALSE)="","",VLOOKUP(T_BilanSocial[[#This Row],[NumL]],T_Commission[#Data],COLUMN(T_Commission[Encadrant Email]),FALSE))</f>
        <v/>
      </c>
      <c r="CK39" s="340" t="str">
        <f>IF(T_BilanSocial[[#This Row],[Final]]&lt;&gt;"",VLOOKUP(T_BilanSocial[[#This Row],[NumL]],T_suiviDi[#Data],COLUMN((T_suiviDi[Statut])),FALSE),"")</f>
        <v/>
      </c>
    </row>
    <row r="40" spans="1:89" s="106" customFormat="1" ht="24.75" customHeight="1" x14ac:dyDescent="0.25">
      <c r="A40" s="160">
        <v>37</v>
      </c>
      <c r="B40" s="161" t="str">
        <f t="shared" si="0"/>
        <v/>
      </c>
      <c r="C40" s="162" t="s">
        <v>173</v>
      </c>
      <c r="D40" s="95" t="e">
        <f>IF(VLOOKUP(T_BilanSocial[[#This Row],[NumL]],T_TraitDi[#Data],COLUMN(T_TraitDi[[#This Row],[WebC]]),FALSE)="","",VLOOKUP(T_BilanSocial[[#This Row],[NumL]],T_TraitDi[#Data],COLUMN(T_TraitDi[[#This Row],[WebC]]),FALSE))</f>
        <v>#VALUE!</v>
      </c>
      <c r="E40" s="163" t="str">
        <f t="shared" si="1"/>
        <v>12 janvier 2021</v>
      </c>
      <c r="F40" s="96" t="str">
        <f>IF(T_BilanSocial[[#This Row],[Final]]&lt;&gt;"",VLOOKUP(T_BilanSocial[[#This Row],[NumL]],T_suiviDi[#Data],COLUMN((T_suiviDi[Civ.])),FALSE),"")</f>
        <v/>
      </c>
      <c r="G40" s="96" t="str">
        <f>IF(T_BilanSocial[[#This Row],[Final]]&lt;&gt;"",VLOOKUP(T_BilanSocial[[#This Row],[NumL]],T_suiviDi[#Data],COLUMN((T_suiviDi[Nom])),FALSE),"")</f>
        <v/>
      </c>
      <c r="H40" s="96" t="str">
        <f>IF(T_BilanSocial[[#This Row],[Final]]&lt;&gt;"",VLOOKUP(T_BilanSocial[[#This Row],[NumL]],T_suiviDi[#Data],COLUMN((T_suiviDi[Prénom])),FALSE),"")</f>
        <v/>
      </c>
      <c r="I40" s="96" t="str">
        <f>IFERROR(VLOOKUP(T_BilanSocial[[#This Row],[Zone_Bilan]],T_P_BilanSocial[#Data],COLUMN(T_P_BilanSocial[[#This Row],[Numero_SIHAM]]),FALSE),"")</f>
        <v/>
      </c>
      <c r="J40" s="96" t="str">
        <f>IFERROR(VLOOKUP(T_BilanSocial[[#This Row],[Zone_Bilan]],T_P_BilanSocial[#Data],COLUMN(T_P_BilanSocial[[#This Row],[Sexe]]),FALSE),"")</f>
        <v/>
      </c>
      <c r="K40" s="97" t="str">
        <f>IFERROR(VLOOKUP(T_BilanSocial[[#This Row],[Zone_Bilan]],T_P_BilanSocial[#Data],COLUMN(T_P_BilanSocial[[#This Row],[Categorie]]),FALSE),"")</f>
        <v/>
      </c>
      <c r="L40" s="96" t="str">
        <f>IFERROR(VLOOKUP(T_BilanSocial[[#This Row],[Zone_Bilan]],T_P_BilanSocial[#Data],COLUMN(T_P_BilanSocial[[#This Row],[Statut]]),FALSE),"")</f>
        <v/>
      </c>
      <c r="M40" s="96" t="str">
        <f>IFERROR(VLOOKUP(T_BilanSocial[[#This Row],[Zone_Bilan]],T_P_BilanSocial[#Data],COLUMN(T_P_BilanSocial[[#This Row],[Filiere]]),FALSE),"")</f>
        <v/>
      </c>
      <c r="N40" s="96" t="e">
        <f>VLOOKUP(T_BilanSocial[[#This Row],[NumL]],T_TraitDi[#Data],COLUMN(T_TraitDi[EXP]),FALSE)</f>
        <v>#N/A</v>
      </c>
      <c r="O40" s="96" t="e">
        <f>VLOOKUP(T_BilanSocial[[#This Row],[NumL]],T_TraitDi[#Data],COLUMN(T_TraitDi[FORM]),FALSE)</f>
        <v>#N/A</v>
      </c>
      <c r="P40" s="96" t="str">
        <f>IF(T_BilanSocial[[#This Row],[Final]]&lt;&gt;"",VLOOKUP(T_BilanSocial[[#This Row],[NumL]],T_suiviDi[#Data],COLUMN((T_suiviDi[Email])),FALSE),"")</f>
        <v/>
      </c>
      <c r="Q40" s="164" t="e">
        <f t="shared" si="7"/>
        <v>#N/A</v>
      </c>
      <c r="R40" s="164" t="e">
        <f t="shared" si="8"/>
        <v>#N/A</v>
      </c>
      <c r="S40" s="164" t="e">
        <f>IF(VLOOKUP(T_BilanSocial[[#This Row],[NumL]],T_suiviDi[#Data],COLUMN(T_suiviDi[[#This Row],[Service ]]),FALSE)="","",VLOOKUP(T_BilanSocial[[#This Row],[NumL]],T_suiviDi[#Data],COLUMN(T_suiviDi[[#This Row],[Service ]]),FALSE))</f>
        <v>#VALUE!</v>
      </c>
      <c r="T40" s="164" t="str">
        <f t="shared" si="2"/>
        <v>01 septembre 2021</v>
      </c>
      <c r="U40" s="164" t="str">
        <f t="shared" si="3"/>
        <v>30 novembre 2021</v>
      </c>
      <c r="V40" s="164" t="str">
        <f t="shared" si="6"/>
        <v>30 novembre 2021</v>
      </c>
      <c r="W40" s="176" t="e">
        <f>IF(VLOOKUP(T_BilanSocial[[#This Row],[NumL]],T_TraitDi[#Data],COLUMN(T_TraitDi[[#This Row],[M1]]),FALSE)="","",VLOOKUP(T_BilanSocial[[#This Row],[NumL]],T_TraitDi[#Data],COLUMN(T_TraitDi[[#This Row],[M1]]),FALSE))</f>
        <v>#VALUE!</v>
      </c>
      <c r="X40" s="176" t="e">
        <f>IF(VLOOKUP(T_BilanSocial[[#This Row],[NumL]],T_TraitDi[#Data],COLUMN(T_TraitDi[[#This Row],[M2]]),FALSE)="","",VLOOKUP(T_BilanSocial[[#This Row],[NumL]],T_TraitDi[#Data],COLUMN(T_TraitDi[[#This Row],[M2]]),FALSE))</f>
        <v>#VALUE!</v>
      </c>
      <c r="Y40" s="176" t="e">
        <f>IF(VLOOKUP(T_BilanSocial[[#This Row],[NumL]],T_TraitDi[#Data],COLUMN(T_TraitDi[[#This Row],[M3]]),FALSE)="","",VLOOKUP(T_BilanSocial[[#This Row],[NumL]],T_TraitDi[#Data],COLUMN(T_TraitDi[[#This Row],[M3]]),FALSE))</f>
        <v>#VALUE!</v>
      </c>
      <c r="Z40" s="176" t="str">
        <f t="shared" si="5"/>
        <v/>
      </c>
      <c r="AA40" s="176" t="e">
        <f>IF(VLOOKUP(T_BilanSocial[[#This Row],[NumL]],T_TraitDi[#Data],COLUMN(T_TraitDi[[#This Row],[M5]]),FALSE)="","",VLOOKUP(T_BilanSocial[[#This Row],[NumL]],T_TraitDi[#Data],COLUMN(T_TraitDi[[#This Row],[M5]]),FALSE))</f>
        <v>#VALUE!</v>
      </c>
      <c r="AB40" s="176" t="e">
        <f>IF(VLOOKUP(T_BilanSocial[[#This Row],[NumL]],T_TraitDi[#Data],COLUMN(T_TraitDi[[#This Row],[M6]]),FALSE)="","",VLOOKUP(T_BilanSocial[[#This Row],[NumL]],T_TraitDi[#Data],COLUMN(T_TraitDi[[#This Row],[M6]]),FALSE))</f>
        <v>#VALUE!</v>
      </c>
      <c r="AC40" s="165" t="e">
        <f t="shared" si="4"/>
        <v>#VALUE!</v>
      </c>
      <c r="AD40" s="188" t="str">
        <f>IFERROR(TEXT(VLOOKUP(T_BilanSocial[[#This Row],[NumL]],T_TraitDi[#Data],COLUMN(T_TraitDi[[#This Row],[Q2]]),FALSE),"###%"),"")</f>
        <v/>
      </c>
      <c r="AE40" s="97" t="e">
        <f>VLOOKUP(T_BilanSocial[[#This Row],[NumL]],T_TraitDi[#Data],COLUMN(T_TraitDi[[#This Row],[Reg Ponct]]),FALSE)</f>
        <v>#VALUE!</v>
      </c>
      <c r="AF40" s="97" t="e">
        <f>VLOOKUP(T_BilanSocial[NumL],T_TraitDi[#Data],COLUMN(T_TraitDi[[#This Row],[Jours flottants]]),FALSE)</f>
        <v>#VALUE!</v>
      </c>
      <c r="AG40" s="97" t="str">
        <f>IFERROR(VLOOKUP(T_BilanSocial[[#This Row],[NumL]],T_TraitDi[#Data],COLUMN(T_TraitDi[[#This Row],[Lundi]]),FALSE),"")</f>
        <v/>
      </c>
      <c r="AH40" s="172" t="e">
        <f>IF(VLOOKUP(T_BilanSocial[[#This Row],[NumL]],T_TraitDi[#Data],COLUMN(T_TraitDi[[#This Row],[Colonne3]]),FALSE)=0,"",TEXT(IFERROR(VLOOKUP(T_BilanSocial[[#This Row],[NumL]],T_TraitDi[#Data],COLUMN(T_TraitDi[[#This Row],[Colonne3]]),FALSE),""),"[hh]:mm"))</f>
        <v>#VALUE!</v>
      </c>
      <c r="AI40" s="172" t="e">
        <f>IF(VLOOKUP(T_BilanSocial[[#This Row],[NumL]],T_TraitDi[#Data],COLUMN(T_TraitDi[[#This Row],[Colonne4]]),FALSE)=0,"",TEXT(IFERROR(VLOOKUP(T_BilanSocial[[#This Row],[NumL]],T_TraitDi[#Data],COLUMN(T_TraitDi[[#This Row],[Colonne4]]),FALSE),""),"[hh]:mm"))</f>
        <v>#VALUE!</v>
      </c>
      <c r="AJ40" s="172" t="e">
        <f>IF(VLOOKUP(T_BilanSocial[[#This Row],[NumL]],T_TraitDi[#Data],COLUMN(T_TraitDi[[#This Row],[Colonne5]]),FALSE)=0,"",TEXT(IFERROR(VLOOKUP(T_BilanSocial[[#This Row],[NumL]],T_TraitDi[#Data],COLUMN(T_TraitDi[[#This Row],[Colonne5]]),FALSE),""),"[hh]:mm"))</f>
        <v>#VALUE!</v>
      </c>
      <c r="AK40" s="172" t="e">
        <f>IF(VLOOKUP(T_BilanSocial[[#This Row],[NumL]],T_TraitDi[#Data],COLUMN(T_TraitDi[[#This Row],[Colonne6]]),FALSE)=0,"",TEXT(IFERROR(VLOOKUP(T_BilanSocial[[#This Row],[NumL]],T_TraitDi[#Data],COLUMN(T_TraitDi[[#This Row],[Colonne6]]),FALSE),""),"[hh]:mm"))</f>
        <v>#VALUE!</v>
      </c>
      <c r="AL40" s="172" t="e">
        <f>IF(VLOOKUP(T_BilanSocial[[#This Row],[NumL]],T_TraitDi[#Data],COLUMN(T_TraitDi[[#This Row],[Colonne7]]),FALSE)=0,"",TEXT(IFERROR(VLOOKUP(T_BilanSocial[[#This Row],[NumL]],T_TraitDi[#Data],COLUMN(T_TraitDi[[#This Row],[Colonne7]]),FALSE),""),"[hh]:mm"))</f>
        <v>#VALUE!</v>
      </c>
      <c r="AM40" s="172" t="e">
        <f>IF(VLOOKUP(T_BilanSocial[[#This Row],[NumL]],T_TraitDi[#Data],COLUMN(T_TraitDi[[#This Row],[Colonne8]]),FALSE)=0,"",TEXT(IFERROR(VLOOKUP(T_BilanSocial[[#This Row],[NumL]],T_TraitDi[#Data],COLUMN(T_TraitDi[[#This Row],[Colonne8]]),FALSE),""),"[hh]:mm"))</f>
        <v>#VALUE!</v>
      </c>
      <c r="AN40" s="172" t="str">
        <f>IFERROR(VLOOKUP(T_BilanSocial[[#This Row],[NumL]],T_TraitDi[#Data],COLUMN(T_TraitDi[[#This Row],[Mardi]]),FALSE),"")</f>
        <v/>
      </c>
      <c r="AO40" s="172" t="e">
        <f>IF(VLOOKUP(T_BilanSocial[[#This Row],[NumL]],T_TraitDi[#Data],COLUMN(T_TraitDi[[#This Row],[Colonne1]]),FALSE)=0,"",TEXT(IFERROR(VLOOKUP(T_BilanSocial[[#This Row],[NumL]],T_TraitDi[#Data],COLUMN(T_TraitDi[[#This Row],[Colonne1]]),FALSE),""),"[hh]:mm"))</f>
        <v>#VALUE!</v>
      </c>
      <c r="AP40" s="172" t="e">
        <f>IF(VLOOKUP(T_BilanSocial[[#This Row],[NumL]],T_TraitDi[#Data],COLUMN(T_TraitDi[[#This Row],[Colonne9]]),FALSE)=0,"",TEXT(IFERROR(VLOOKUP(T_BilanSocial[[#This Row],[NumL]],T_TraitDi[#Data],COLUMN(T_TraitDi[[#This Row],[Colonne9]]),FALSE),""),"[hh]:mm"))</f>
        <v>#VALUE!</v>
      </c>
      <c r="AQ40" s="172" t="str">
        <f>IFERROR(VLOOKUP(T_BilanSocial[[#This Row],[NumL]],T_TraitDi[#Data],COLUMN(T_TraitDi[[#This Row],[Colonne10]]),FALSE),"")</f>
        <v/>
      </c>
      <c r="AR40" s="172" t="e">
        <f>IF(VLOOKUP(T_BilanSocial[[#This Row],[NumL]],T_TraitDi[#Data],COLUMN(T_TraitDi[[#This Row],[Colonne11]]),FALSE)=0,"",TEXT(IFERROR(VLOOKUP(T_BilanSocial[[#This Row],[NumL]],T_TraitDi[#Data],COLUMN(T_TraitDi[[#This Row],[Colonne11]]),FALSE),""),"[hh]:mm"))</f>
        <v>#VALUE!</v>
      </c>
      <c r="AS40" s="172" t="e">
        <f>IF(VLOOKUP(T_BilanSocial[[#This Row],[NumL]],T_TraitDi[#Data],COLUMN(T_TraitDi[[#This Row],[Colonne12]]),FALSE)=0,"",TEXT(IFERROR(VLOOKUP(T_BilanSocial[[#This Row],[NumL]],T_TraitDi[#Data],COLUMN(T_TraitDi[[#This Row],[Colonne12]]),FALSE),""),"[hh]:mm"))</f>
        <v>#VALUE!</v>
      </c>
      <c r="AT40" s="172" t="e">
        <f>IF(VLOOKUP(T_BilanSocial[[#This Row],[NumL]],T_TraitDi[#Data],COLUMN(T_TraitDi[[#This Row],[Colonne14]]),FALSE)=0,"",TEXT(IFERROR(VLOOKUP(T_BilanSocial[[#This Row],[NumL]],T_TraitDi[#Data],COLUMN(T_TraitDi[[#This Row],[Colonne14]]),FALSE),""),"[hh]:mm"))</f>
        <v>#VALUE!</v>
      </c>
      <c r="AU40" s="172" t="str">
        <f>IFERROR(VLOOKUP(T_BilanSocial[[#This Row],[NumL]],T_TraitDi[#Data],COLUMN(T_TraitDi[[#This Row],[Mercredi]]),FALSE),"")</f>
        <v/>
      </c>
      <c r="AV40" s="172" t="e">
        <f>IF(VLOOKUP(T_BilanSocial[[#This Row],[NumL]],T_TraitDi[#Data],COLUMN(T_TraitDi[[#This Row],[Colonne15]]),FALSE)=0,"",TEXT(IFERROR(VLOOKUP(T_BilanSocial[[#This Row],[NumL]],T_TraitDi[#Data],COLUMN(T_TraitDi[[#This Row],[Colonne15]]),FALSE),""),"[hh]:mm"))</f>
        <v>#VALUE!</v>
      </c>
      <c r="AW40" s="172" t="e">
        <f>IF(VLOOKUP(T_BilanSocial[[#This Row],[NumL]],T_TraitDi[#Data],COLUMN(T_TraitDi[[#This Row],[Colonne16]]),FALSE)=0,"",TEXT(IFERROR(VLOOKUP(T_BilanSocial[[#This Row],[NumL]],T_TraitDi[#Data],COLUMN(T_TraitDi[[#This Row],[Colonne16]]),FALSE),""),"[hh]:mm"))</f>
        <v>#VALUE!</v>
      </c>
      <c r="AX40" s="172" t="str">
        <f>IFERROR(VLOOKUP(T_BilanSocial[[#This Row],[NumL]],T_TraitDi[#Data],COLUMN(T_TraitDi[[#This Row],[Colonne17]]),FALSE),"")</f>
        <v/>
      </c>
      <c r="AY40" s="172" t="e">
        <f>IF(VLOOKUP(T_BilanSocial[[#This Row],[NumL]],T_TraitDi[#Data],COLUMN(T_TraitDi[[#This Row],[Colonne18]]),FALSE)=0,"",TEXT(IFERROR(VLOOKUP(T_BilanSocial[[#This Row],[NumL]],T_TraitDi[#Data],COLUMN(T_TraitDi[[#This Row],[Colonne18]]),FALSE),""),"[hh]:mm"))</f>
        <v>#VALUE!</v>
      </c>
      <c r="AZ40" s="172" t="e">
        <f>IF(VLOOKUP(T_BilanSocial[[#This Row],[NumL]],T_TraitDi[#Data],COLUMN(T_TraitDi[[#This Row],[Colonne19]]),FALSE)=0,"",TEXT(IFERROR(VLOOKUP(T_BilanSocial[[#This Row],[NumL]],T_TraitDi[#Data],COLUMN(T_TraitDi[[#This Row],[Colonne19]]),FALSE),""),"[hh]:mm"))</f>
        <v>#VALUE!</v>
      </c>
      <c r="BA40" s="172" t="e">
        <f>IF(VLOOKUP(T_BilanSocial[[#This Row],[NumL]],T_TraitDi[#Data],COLUMN(T_TraitDi[[#This Row],[Colonne20]]),FALSE)=0,"",TEXT(IFERROR(VLOOKUP(T_BilanSocial[[#This Row],[NumL]],T_TraitDi[#Data],COLUMN(T_TraitDi[[#This Row],[Colonne20]]),FALSE),""),"[hh]:mm"))</f>
        <v>#VALUE!</v>
      </c>
      <c r="BB40" s="178" t="str">
        <f>IFERROR(VLOOKUP(T_BilanSocial[[#This Row],[NumL]],T_TraitDi[#Data],COLUMN(T_TraitDi[[#This Row],[Jeudi]]),FALSE),"")</f>
        <v/>
      </c>
      <c r="BC40" s="178" t="e">
        <f>IF(VLOOKUP(T_BilanSocial[[#This Row],[NumL]],T_TraitDi[#Data],COLUMN(T_TraitDi[[#This Row],[Colonne21]]),FALSE)=0,"",TEXT(IFERROR(VLOOKUP(T_BilanSocial[[#This Row],[NumL]],T_TraitDi[#Data],COLUMN(T_TraitDi[[#This Row],[Colonne21]]),FALSE),""),"[hh]:mm"))</f>
        <v>#VALUE!</v>
      </c>
      <c r="BD40" s="178" t="e">
        <f>IF(VLOOKUP(T_BilanSocial[[#This Row],[NumL]],T_TraitDi[#Data],COLUMN(T_TraitDi[[#This Row],[Colonne22]]),FALSE)=0,"",TEXT(IFERROR(VLOOKUP(T_BilanSocial[[#This Row],[NumL]],T_TraitDi[#Data],COLUMN(T_TraitDi[[#This Row],[Colonne22]]),FALSE),""),"[hh]:mm"))</f>
        <v>#VALUE!</v>
      </c>
      <c r="BE40" s="178" t="str">
        <f>IFERROR(VLOOKUP(T_BilanSocial[[#This Row],[NumL]],T_TraitDi[#Data],COLUMN(T_TraitDi[[#This Row],[Colonne23]]),FALSE),"")</f>
        <v/>
      </c>
      <c r="BF40" s="178" t="e">
        <f>IF(VLOOKUP(T_BilanSocial[[#This Row],[NumL]],T_TraitDi[#Data],COLUMN(T_TraitDi[[#This Row],[Colonne24]]),FALSE)=0,"",TEXT(IFERROR(VLOOKUP(T_BilanSocial[[#This Row],[NumL]],T_TraitDi[#Data],COLUMN(T_TraitDi[[#This Row],[Colonne24]]),FALSE),""),"[hh]:mm"))</f>
        <v>#VALUE!</v>
      </c>
      <c r="BG40" s="178" t="e">
        <f>IF(VLOOKUP(T_BilanSocial[[#This Row],[NumL]],T_TraitDi[#Data],COLUMN(T_TraitDi[[#This Row],[Colonne25]]),FALSE)=0,"",TEXT(IFERROR(VLOOKUP(T_BilanSocial[[#This Row],[NumL]],T_TraitDi[#Data],COLUMN(T_TraitDi[[#This Row],[Colonne25]]),FALSE),""),"[hh]:mm"))</f>
        <v>#VALUE!</v>
      </c>
      <c r="BH40" s="178" t="e">
        <f>IF(VLOOKUP(T_BilanSocial[[#This Row],[NumL]],T_TraitDi[#Data],COLUMN(T_TraitDi[[#This Row],[Colonne26]]),FALSE)=0,"",TEXT(IFERROR(VLOOKUP(T_BilanSocial[[#This Row],[NumL]],T_TraitDi[#Data],COLUMN(T_TraitDi[[#This Row],[Colonne26]]),FALSE),""),"[hh]:mm"))</f>
        <v>#VALUE!</v>
      </c>
      <c r="BI40" s="172" t="str">
        <f>IFERROR(VLOOKUP(T_BilanSocial[[#This Row],[NumL]],T_TraitDi[#Data],COLUMN(T_TraitDi[[#This Row],[Vendredi]]),FALSE),"")</f>
        <v/>
      </c>
      <c r="BJ40" s="172" t="e">
        <f>IF(VLOOKUP(T_BilanSocial[[#This Row],[NumL]],T_TraitDi[#Data],COLUMN(T_TraitDi[[#This Row],[Colonne27]]),FALSE)=0,"",TEXT(IFERROR(VLOOKUP(T_BilanSocial[[#This Row],[NumL]],T_TraitDi[#Data],COLUMN(T_TraitDi[[#This Row],[Colonne27]]),FALSE),""),"[hh]:mm"))</f>
        <v>#VALUE!</v>
      </c>
      <c r="BK40" s="172" t="e">
        <f>IF(VLOOKUP(T_BilanSocial[[#This Row],[NumL]],T_TraitDi[#Data],COLUMN(T_TraitDi[[#This Row],[Colonne28]]),FALSE)=0,"",TEXT(IFERROR(VLOOKUP(T_BilanSocial[[#This Row],[NumL]],T_TraitDi[#Data],COLUMN(T_TraitDi[[#This Row],[Colonne28]]),FALSE),""),"[hh]:mm"))</f>
        <v>#VALUE!</v>
      </c>
      <c r="BL40" s="172" t="str">
        <f>IFERROR(VLOOKUP(T_BilanSocial[[#This Row],[NumL]],T_TraitDi[#Data],COLUMN(T_TraitDi[[#This Row],[Colonne29]]),FALSE),"")</f>
        <v/>
      </c>
      <c r="BM40" s="172" t="e">
        <f>IF(VLOOKUP(T_BilanSocial[[#This Row],[NumL]],T_TraitDi[#Data],COLUMN(T_TraitDi[[#This Row],[Colonne30]]),FALSE)=0,"",TEXT(IFERROR(VLOOKUP(T_BilanSocial[[#This Row],[NumL]],T_TraitDi[#Data],COLUMN(T_TraitDi[[#This Row],[Colonne30]]),FALSE),""),"[hh]:mm"))</f>
        <v>#VALUE!</v>
      </c>
      <c r="BN40" s="172" t="e">
        <f>IF(VLOOKUP(T_BilanSocial[[#This Row],[NumL]],T_TraitDi[#Data],COLUMN(T_TraitDi[[#This Row],[Colonne31]]),FALSE)=0,"",TEXT(IFERROR(VLOOKUP(T_BilanSocial[[#This Row],[NumL]],T_TraitDi[#Data],COLUMN(T_TraitDi[[#This Row],[Colonne31]]),FALSE),""),"[hh]:mm"))</f>
        <v>#VALUE!</v>
      </c>
      <c r="BO40" s="172" t="e">
        <f>IF(VLOOKUP(T_BilanSocial[[#This Row],[NumL]],T_TraitDi[#Data],COLUMN(T_TraitDi[[#This Row],[Colonne32]]),FALSE)=0,"",TEXT(IFERROR(VLOOKUP(T_BilanSocial[[#This Row],[NumL]],T_TraitDi[#Data],COLUMN(T_TraitDi[[#This Row],[Colonne32]]),FALSE),""),"[hh]:mm"))</f>
        <v>#VALUE!</v>
      </c>
      <c r="BP40" s="172" t="e">
        <f>VLOOKUP(T_BilanSocial[[#This Row],[NumL]],T_TraitDi[#Data],COLUMN(T_TraitDi[NbJTot]),FALSE)</f>
        <v>#N/A</v>
      </c>
      <c r="BQ40" s="174" t="str">
        <f>IFERROR(VLOOKUP(T_BilanSocial[[#This Row],[NumL]],T_TraitDi[#Data],COLUMN(T_TraitDi[[#This Row],[NbJTW]]),FALSE),"")</f>
        <v/>
      </c>
      <c r="BR40" s="174" t="e">
        <f>IF(VLOOKUP(T_BilanSocial[[#This Row],[NumL]],T_TraitDi[#Data],COLUMN(T_TraitDi[[#This Row],[NbhTW]]),FALSE)=0,"",TEXT(IFERROR(VLOOKUP(T_BilanSocial[[#This Row],[NumL]],T_TraitDi[#Data],COLUMN(T_TraitDi[[#This Row],[NbhTW]]),FALSE),""),"[hh]:mm"))</f>
        <v>#VALUE!</v>
      </c>
      <c r="BS40" s="174" t="e">
        <f>IF(VLOOKUP(T_BilanSocial[[#This Row],[NumL]],T_TraitDi[#Data],COLUMN(T_TraitDi[[#This Row],[Nbhheb]]),FALSE)=0,"",TEXT(IFERROR(VLOOKUP($A40,T_TraitDi[#Data],COLUMN(T_TraitDi[[#This Row],[Nbhheb]]),FALSE),""),"[hh]:mm"))</f>
        <v>#VALUE!</v>
      </c>
      <c r="BT40" s="182" t="str">
        <f>IFERROR(VLOOKUP(VLOOKUP($A40,T_TraitDi[#Data],COLUMN(T_TraitDi[[#This Row],[Type1]]),FALSE),TypeTW,2,FALSE),"")</f>
        <v/>
      </c>
      <c r="BU40" s="182" t="str">
        <f>IFERROR(VLOOKUP($A40,T_TraitDi[#Data],COLUMN(T_TraitDi[[#This Row],[Rue1]]),FALSE),"")</f>
        <v/>
      </c>
      <c r="BV40" s="173" t="str">
        <f>IFERROR(VLOOKUP($A40,T_TraitDi[#Data],COLUMN(T_TraitDi[[#This Row],[CP1]]),FALSE),"")</f>
        <v/>
      </c>
      <c r="BW40" s="173" t="str">
        <f>IFERROR(VLOOKUP($A40,T_TraitDi[#Data],COLUMN(T_TraitDi[[#This Row],[VILLE1]]),FALSE),"")</f>
        <v/>
      </c>
      <c r="BX40" s="182" t="str">
        <f>IFERROR(VLOOKUP(VLOOKUP($A40,T_TraitDi[#Data],COLUMN(T_TraitDi[[#This Row],[Type2]]),FALSE),TypeTW,2,FALSE),"")</f>
        <v/>
      </c>
      <c r="BY40" s="182" t="str">
        <f>IFERROR(VLOOKUP($A40,T_TraitDi[#Data],COLUMN(T_TraitDi[[#This Row],[Rue2]]),FALSE),"")</f>
        <v/>
      </c>
      <c r="BZ40" s="173" t="str">
        <f>IFERROR(VLOOKUP($A40,T_TraitDi[#Data],COLUMN(T_TraitDi[[#This Row],[CP2]]),FALSE),"")</f>
        <v/>
      </c>
      <c r="CA40" s="173" t="str">
        <f>IFERROR(VLOOKUP($A40,T_TraitDi[#Data],COLUMN(T_TraitDi[[#This Row],[VILLE2]]),FALSE),"")</f>
        <v/>
      </c>
      <c r="CB40" s="182" t="str">
        <f>IF(VLOOKUP(T_BilanSocial[[#This Row],[NumL]],T_Equipement[#Data],COLUMN(T_Equipement[[#This Row],[PC]]),FALSE)="","Aucun équipement spécifique directement lié au télétravail",VLOOKUP(T_BilanSocial[[#This Row],[NumL]],T_Equipement[#Data],COLUMN(T_Equipement[[#This Row],[PC]]),FALSE))</f>
        <v>17-034</v>
      </c>
      <c r="CC40" s="166" t="str">
        <f>IFERROR(IF(VLOOKUP(T_BilanSocial[[#This Row],[NumL]],T_TraitDi[#Data],COLUMN(T_TraitDi[[#This Row],[Plan]]),FALSE)="OK","Un planning spécifique de télétravail est annexé à la présente convention.",""),"")</f>
        <v/>
      </c>
      <c r="CD40" s="258" t="s">
        <v>3367</v>
      </c>
      <c r="CE40" s="164" t="e">
        <f>IF(VLOOKUP(T_BilanSocial[[#This Row],[NumL]],T_suiviDi[#Data],COLUMN(T_suiviDi[[#This Row],[Entité]]),FALSE)="","",VLOOKUP(T_BilanSocial[[#This Row],[NumL]],T_suiviDi[#Data],COLUMN(T_suiviDi[[#This Row],[Entité]]),FALSE))</f>
        <v>#VALUE!</v>
      </c>
      <c r="CF40" s="164" t="str">
        <f>IF(VLOOKUP(T_BilanSocial[[#This Row],[NumL]],T_Commission[#Data],COLUMN(T_Commission[[#This Row],[envoi confirm TW]]),FALSE)="","",VLOOKUP(T_BilanSocial[[#This Row],[NumL]],T_Commission[#Data],COLUMN(T_Commission[[#This Row],[envoi confirm TW]]),FALSE))</f>
        <v>Oui</v>
      </c>
      <c r="CG4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0" s="262" t="str">
        <f>T_BilanSocial[[#This Row],[Nom]]&amp;T_BilanSocial[[#This Row],[Prenom]]</f>
        <v/>
      </c>
      <c r="CI40" s="262">
        <f>VLOOKUP(T_BilanSocial[[#This Row],[NumL]],T_Commission[#Data],COLUMN(T_Commission[Commentaire]),FALSE)</f>
        <v>0</v>
      </c>
      <c r="CJ40" s="262" t="str">
        <f>IF(VLOOKUP(T_BilanSocial[[#This Row],[NumL]],T_Commission[#Data],COLUMN(T_Commission[Encadrant Email]),FALSE)="","",VLOOKUP(T_BilanSocial[[#This Row],[NumL]],T_Commission[#Data],COLUMN(T_Commission[Encadrant Email]),FALSE))</f>
        <v/>
      </c>
      <c r="CK40" s="340" t="str">
        <f>IF(T_BilanSocial[[#This Row],[Final]]&lt;&gt;"",VLOOKUP(T_BilanSocial[[#This Row],[NumL]],T_suiviDi[#Data],COLUMN((T_suiviDi[Statut])),FALSE),"")</f>
        <v/>
      </c>
    </row>
    <row r="41" spans="1:89" s="106" customFormat="1" ht="24.75" customHeight="1" x14ac:dyDescent="0.25">
      <c r="A41" s="160">
        <v>38</v>
      </c>
      <c r="B41" s="161" t="str">
        <f t="shared" si="0"/>
        <v/>
      </c>
      <c r="C41" s="162" t="s">
        <v>3287</v>
      </c>
      <c r="D41" s="95" t="e">
        <f>IF(VLOOKUP(T_BilanSocial[[#This Row],[NumL]],T_TraitDi[#Data],COLUMN(T_TraitDi[[#This Row],[WebC]]),FALSE)="","",VLOOKUP(T_BilanSocial[[#This Row],[NumL]],T_TraitDi[#Data],COLUMN(T_TraitDi[[#This Row],[WebC]]),FALSE))</f>
        <v>#VALUE!</v>
      </c>
      <c r="E41" s="163" t="str">
        <f t="shared" si="1"/>
        <v>12 janvier 2021</v>
      </c>
      <c r="F41" s="96" t="str">
        <f>IF(T_BilanSocial[[#This Row],[Final]]&lt;&gt;"",VLOOKUP(T_BilanSocial[[#This Row],[NumL]],T_suiviDi[#Data],COLUMN((T_suiviDi[Civ.])),FALSE),"")</f>
        <v/>
      </c>
      <c r="G41" s="96" t="str">
        <f>IF(T_BilanSocial[[#This Row],[Final]]&lt;&gt;"",VLOOKUP(T_BilanSocial[[#This Row],[NumL]],T_suiviDi[#Data],COLUMN((T_suiviDi[Nom])),FALSE),"")</f>
        <v/>
      </c>
      <c r="H41" s="96" t="str">
        <f>IF(T_BilanSocial[[#This Row],[Final]]&lt;&gt;"",VLOOKUP(T_BilanSocial[[#This Row],[NumL]],T_suiviDi[#Data],COLUMN((T_suiviDi[Prénom])),FALSE),"")</f>
        <v/>
      </c>
      <c r="I41" s="96" t="str">
        <f>IFERROR(VLOOKUP(T_BilanSocial[[#This Row],[Zone_Bilan]],T_P_BilanSocial[#Data],COLUMN(T_P_BilanSocial[[#This Row],[Numero_SIHAM]]),FALSE),"")</f>
        <v/>
      </c>
      <c r="J41" s="96" t="str">
        <f>IFERROR(VLOOKUP(T_BilanSocial[[#This Row],[Zone_Bilan]],T_P_BilanSocial[#Data],COLUMN(T_P_BilanSocial[[#This Row],[Sexe]]),FALSE),"")</f>
        <v/>
      </c>
      <c r="K41" s="97" t="str">
        <f>IFERROR(VLOOKUP(T_BilanSocial[[#This Row],[Zone_Bilan]],T_P_BilanSocial[#Data],COLUMN(T_P_BilanSocial[[#This Row],[Categorie]]),FALSE),"")</f>
        <v/>
      </c>
      <c r="L41" s="96" t="str">
        <f>IFERROR(VLOOKUP(T_BilanSocial[[#This Row],[Zone_Bilan]],T_P_BilanSocial[#Data],COLUMN(T_P_BilanSocial[[#This Row],[Statut]]),FALSE),"")</f>
        <v/>
      </c>
      <c r="M41" s="96" t="str">
        <f>IFERROR(VLOOKUP(T_BilanSocial[[#This Row],[Zone_Bilan]],T_P_BilanSocial[#Data],COLUMN(T_P_BilanSocial[[#This Row],[Filiere]]),FALSE),"")</f>
        <v/>
      </c>
      <c r="N41" s="96" t="e">
        <f>VLOOKUP(T_BilanSocial[[#This Row],[NumL]],T_TraitDi[#Data],COLUMN(T_TraitDi[EXP]),FALSE)</f>
        <v>#N/A</v>
      </c>
      <c r="O41" s="96" t="e">
        <f>VLOOKUP(T_BilanSocial[[#This Row],[NumL]],T_TraitDi[#Data],COLUMN(T_TraitDi[FORM]),FALSE)</f>
        <v>#N/A</v>
      </c>
      <c r="P41" s="96" t="str">
        <f>IF(T_BilanSocial[[#This Row],[Final]]&lt;&gt;"",VLOOKUP(T_BilanSocial[[#This Row],[NumL]],T_suiviDi[#Data],COLUMN((T_suiviDi[Email])),FALSE),"")</f>
        <v/>
      </c>
      <c r="Q41" s="164" t="e">
        <f t="shared" si="7"/>
        <v>#N/A</v>
      </c>
      <c r="R41" s="164" t="e">
        <f t="shared" si="8"/>
        <v>#N/A</v>
      </c>
      <c r="S41" s="164" t="e">
        <f>IF(VLOOKUP(T_BilanSocial[[#This Row],[NumL]],T_suiviDi[#Data],COLUMN(T_suiviDi[[#This Row],[Service ]]),FALSE)="","",VLOOKUP(T_BilanSocial[[#This Row],[NumL]],T_suiviDi[#Data],COLUMN(T_suiviDi[[#This Row],[Service ]]),FALSE))</f>
        <v>#VALUE!</v>
      </c>
      <c r="T41" s="164" t="str">
        <f t="shared" si="2"/>
        <v>01 septembre 2021</v>
      </c>
      <c r="U41" s="164" t="str">
        <f t="shared" si="3"/>
        <v>30 novembre 2021</v>
      </c>
      <c r="V41" s="164" t="str">
        <f t="shared" si="6"/>
        <v>30 novembre 2021</v>
      </c>
      <c r="W41" s="176" t="e">
        <f>IF(VLOOKUP(T_BilanSocial[[#This Row],[NumL]],T_TraitDi[#Data],COLUMN(T_TraitDi[[#This Row],[M1]]),FALSE)="","",VLOOKUP(T_BilanSocial[[#This Row],[NumL]],T_TraitDi[#Data],COLUMN(T_TraitDi[[#This Row],[M1]]),FALSE))</f>
        <v>#VALUE!</v>
      </c>
      <c r="X41" s="176" t="e">
        <f>IF(VLOOKUP(T_BilanSocial[[#This Row],[NumL]],T_TraitDi[#Data],COLUMN(T_TraitDi[[#This Row],[M2]]),FALSE)="","",VLOOKUP(T_BilanSocial[[#This Row],[NumL]],T_TraitDi[#Data],COLUMN(T_TraitDi[[#This Row],[M2]]),FALSE))</f>
        <v>#VALUE!</v>
      </c>
      <c r="Y41" s="176" t="e">
        <f>IF(VLOOKUP(T_BilanSocial[[#This Row],[NumL]],T_TraitDi[#Data],COLUMN(T_TraitDi[[#This Row],[M3]]),FALSE)="","",VLOOKUP(T_BilanSocial[[#This Row],[NumL]],T_TraitDi[#Data],COLUMN(T_TraitDi[[#This Row],[M3]]),FALSE))</f>
        <v>#VALUE!</v>
      </c>
      <c r="Z41" s="176" t="str">
        <f t="shared" si="5"/>
        <v/>
      </c>
      <c r="AA41" s="176" t="e">
        <f>IF(VLOOKUP(T_BilanSocial[[#This Row],[NumL]],T_TraitDi[#Data],COLUMN(T_TraitDi[[#This Row],[M5]]),FALSE)="","",VLOOKUP(T_BilanSocial[[#This Row],[NumL]],T_TraitDi[#Data],COLUMN(T_TraitDi[[#This Row],[M5]]),FALSE))</f>
        <v>#VALUE!</v>
      </c>
      <c r="AB41" s="176" t="e">
        <f>IF(VLOOKUP(T_BilanSocial[[#This Row],[NumL]],T_TraitDi[#Data],COLUMN(T_TraitDi[[#This Row],[M6]]),FALSE)="","",VLOOKUP(T_BilanSocial[[#This Row],[NumL]],T_TraitDi[#Data],COLUMN(T_TraitDi[[#This Row],[M6]]),FALSE))</f>
        <v>#VALUE!</v>
      </c>
      <c r="AC41" s="165" t="e">
        <f t="shared" si="4"/>
        <v>#VALUE!</v>
      </c>
      <c r="AD41" s="188" t="str">
        <f>IFERROR(TEXT(VLOOKUP(T_BilanSocial[[#This Row],[NumL]],T_TraitDi[#Data],COLUMN(T_TraitDi[[#This Row],[Q2]]),FALSE),"###%"),"")</f>
        <v/>
      </c>
      <c r="AE41" s="97" t="e">
        <f>VLOOKUP(T_BilanSocial[[#This Row],[NumL]],T_TraitDi[#Data],COLUMN(T_TraitDi[[#This Row],[Reg Ponct]]),FALSE)</f>
        <v>#VALUE!</v>
      </c>
      <c r="AF41" s="97" t="e">
        <f>VLOOKUP(T_BilanSocial[NumL],T_TraitDi[#Data],COLUMN(T_TraitDi[[#This Row],[Jours flottants]]),FALSE)</f>
        <v>#VALUE!</v>
      </c>
      <c r="AG41" s="97" t="str">
        <f>IFERROR(VLOOKUP(T_BilanSocial[[#This Row],[NumL]],T_TraitDi[#Data],COLUMN(T_TraitDi[[#This Row],[Lundi]]),FALSE),"")</f>
        <v/>
      </c>
      <c r="AH41" s="172" t="e">
        <f>IF(VLOOKUP(T_BilanSocial[[#This Row],[NumL]],T_TraitDi[#Data],COLUMN(T_TraitDi[[#This Row],[Colonne3]]),FALSE)=0,"",TEXT(IFERROR(VLOOKUP(T_BilanSocial[[#This Row],[NumL]],T_TraitDi[#Data],COLUMN(T_TraitDi[[#This Row],[Colonne3]]),FALSE),""),"[hh]:mm"))</f>
        <v>#VALUE!</v>
      </c>
      <c r="AI41" s="172" t="e">
        <f>IF(VLOOKUP(T_BilanSocial[[#This Row],[NumL]],T_TraitDi[#Data],COLUMN(T_TraitDi[[#This Row],[Colonne4]]),FALSE)=0,"",TEXT(IFERROR(VLOOKUP(T_BilanSocial[[#This Row],[NumL]],T_TraitDi[#Data],COLUMN(T_TraitDi[[#This Row],[Colonne4]]),FALSE),""),"[hh]:mm"))</f>
        <v>#VALUE!</v>
      </c>
      <c r="AJ41" s="172" t="e">
        <f>IF(VLOOKUP(T_BilanSocial[[#This Row],[NumL]],T_TraitDi[#Data],COLUMN(T_TraitDi[[#This Row],[Colonne5]]),FALSE)=0,"",TEXT(IFERROR(VLOOKUP(T_BilanSocial[[#This Row],[NumL]],T_TraitDi[#Data],COLUMN(T_TraitDi[[#This Row],[Colonne5]]),FALSE),""),"[hh]:mm"))</f>
        <v>#VALUE!</v>
      </c>
      <c r="AK41" s="172" t="e">
        <f>IF(VLOOKUP(T_BilanSocial[[#This Row],[NumL]],T_TraitDi[#Data],COLUMN(T_TraitDi[[#This Row],[Colonne6]]),FALSE)=0,"",TEXT(IFERROR(VLOOKUP(T_BilanSocial[[#This Row],[NumL]],T_TraitDi[#Data],COLUMN(T_TraitDi[[#This Row],[Colonne6]]),FALSE),""),"[hh]:mm"))</f>
        <v>#VALUE!</v>
      </c>
      <c r="AL41" s="172" t="e">
        <f>IF(VLOOKUP(T_BilanSocial[[#This Row],[NumL]],T_TraitDi[#Data],COLUMN(T_TraitDi[[#This Row],[Colonne7]]),FALSE)=0,"",TEXT(IFERROR(VLOOKUP(T_BilanSocial[[#This Row],[NumL]],T_TraitDi[#Data],COLUMN(T_TraitDi[[#This Row],[Colonne7]]),FALSE),""),"[hh]:mm"))</f>
        <v>#VALUE!</v>
      </c>
      <c r="AM41" s="172" t="e">
        <f>IF(VLOOKUP(T_BilanSocial[[#This Row],[NumL]],T_TraitDi[#Data],COLUMN(T_TraitDi[[#This Row],[Colonne8]]),FALSE)=0,"",TEXT(IFERROR(VLOOKUP(T_BilanSocial[[#This Row],[NumL]],T_TraitDi[#Data],COLUMN(T_TraitDi[[#This Row],[Colonne8]]),FALSE),""),"[hh]:mm"))</f>
        <v>#VALUE!</v>
      </c>
      <c r="AN41" s="172" t="str">
        <f>IFERROR(VLOOKUP(T_BilanSocial[[#This Row],[NumL]],T_TraitDi[#Data],COLUMN(T_TraitDi[[#This Row],[Mardi]]),FALSE),"")</f>
        <v/>
      </c>
      <c r="AO41" s="172" t="e">
        <f>IF(VLOOKUP(T_BilanSocial[[#This Row],[NumL]],T_TraitDi[#Data],COLUMN(T_TraitDi[[#This Row],[Colonne1]]),FALSE)=0,"",TEXT(IFERROR(VLOOKUP(T_BilanSocial[[#This Row],[NumL]],T_TraitDi[#Data],COLUMN(T_TraitDi[[#This Row],[Colonne1]]),FALSE),""),"[hh]:mm"))</f>
        <v>#VALUE!</v>
      </c>
      <c r="AP41" s="172" t="e">
        <f>IF(VLOOKUP(T_BilanSocial[[#This Row],[NumL]],T_TraitDi[#Data],COLUMN(T_TraitDi[[#This Row],[Colonne9]]),FALSE)=0,"",TEXT(IFERROR(VLOOKUP(T_BilanSocial[[#This Row],[NumL]],T_TraitDi[#Data],COLUMN(T_TraitDi[[#This Row],[Colonne9]]),FALSE),""),"[hh]:mm"))</f>
        <v>#VALUE!</v>
      </c>
      <c r="AQ41" s="172" t="str">
        <f>IFERROR(VLOOKUP(T_BilanSocial[[#This Row],[NumL]],T_TraitDi[#Data],COLUMN(T_TraitDi[[#This Row],[Colonne10]]),FALSE),"")</f>
        <v/>
      </c>
      <c r="AR41" s="172" t="e">
        <f>IF(VLOOKUP(T_BilanSocial[[#This Row],[NumL]],T_TraitDi[#Data],COLUMN(T_TraitDi[[#This Row],[Colonne11]]),FALSE)=0,"",TEXT(IFERROR(VLOOKUP(T_BilanSocial[[#This Row],[NumL]],T_TraitDi[#Data],COLUMN(T_TraitDi[[#This Row],[Colonne11]]),FALSE),""),"[hh]:mm"))</f>
        <v>#VALUE!</v>
      </c>
      <c r="AS41" s="172" t="e">
        <f>IF(VLOOKUP(T_BilanSocial[[#This Row],[NumL]],T_TraitDi[#Data],COLUMN(T_TraitDi[[#This Row],[Colonne12]]),FALSE)=0,"",TEXT(IFERROR(VLOOKUP(T_BilanSocial[[#This Row],[NumL]],T_TraitDi[#Data],COLUMN(T_TraitDi[[#This Row],[Colonne12]]),FALSE),""),"[hh]:mm"))</f>
        <v>#VALUE!</v>
      </c>
      <c r="AT41" s="172" t="e">
        <f>IF(VLOOKUP(T_BilanSocial[[#This Row],[NumL]],T_TraitDi[#Data],COLUMN(T_TraitDi[[#This Row],[Colonne14]]),FALSE)=0,"",TEXT(IFERROR(VLOOKUP(T_BilanSocial[[#This Row],[NumL]],T_TraitDi[#Data],COLUMN(T_TraitDi[[#This Row],[Colonne14]]),FALSE),""),"[hh]:mm"))</f>
        <v>#VALUE!</v>
      </c>
      <c r="AU41" s="172" t="str">
        <f>IFERROR(VLOOKUP(T_BilanSocial[[#This Row],[NumL]],T_TraitDi[#Data],COLUMN(T_TraitDi[[#This Row],[Mercredi]]),FALSE),"")</f>
        <v/>
      </c>
      <c r="AV41" s="172" t="e">
        <f>IF(VLOOKUP(T_BilanSocial[[#This Row],[NumL]],T_TraitDi[#Data],COLUMN(T_TraitDi[[#This Row],[Colonne15]]),FALSE)=0,"",TEXT(IFERROR(VLOOKUP(T_BilanSocial[[#This Row],[NumL]],T_TraitDi[#Data],COLUMN(T_TraitDi[[#This Row],[Colonne15]]),FALSE),""),"[hh]:mm"))</f>
        <v>#VALUE!</v>
      </c>
      <c r="AW41" s="172" t="e">
        <f>IF(VLOOKUP(T_BilanSocial[[#This Row],[NumL]],T_TraitDi[#Data],COLUMN(T_TraitDi[[#This Row],[Colonne16]]),FALSE)=0,"",TEXT(IFERROR(VLOOKUP(T_BilanSocial[[#This Row],[NumL]],T_TraitDi[#Data],COLUMN(T_TraitDi[[#This Row],[Colonne16]]),FALSE),""),"[hh]:mm"))</f>
        <v>#VALUE!</v>
      </c>
      <c r="AX41" s="172" t="str">
        <f>IFERROR(VLOOKUP(T_BilanSocial[[#This Row],[NumL]],T_TraitDi[#Data],COLUMN(T_TraitDi[[#This Row],[Colonne17]]),FALSE),"")</f>
        <v/>
      </c>
      <c r="AY41" s="172" t="e">
        <f>IF(VLOOKUP(T_BilanSocial[[#This Row],[NumL]],T_TraitDi[#Data],COLUMN(T_TraitDi[[#This Row],[Colonne18]]),FALSE)=0,"",TEXT(IFERROR(VLOOKUP(T_BilanSocial[[#This Row],[NumL]],T_TraitDi[#Data],COLUMN(T_TraitDi[[#This Row],[Colonne18]]),FALSE),""),"[hh]:mm"))</f>
        <v>#VALUE!</v>
      </c>
      <c r="AZ41" s="172" t="e">
        <f>IF(VLOOKUP(T_BilanSocial[[#This Row],[NumL]],T_TraitDi[#Data],COLUMN(T_TraitDi[[#This Row],[Colonne19]]),FALSE)=0,"",TEXT(IFERROR(VLOOKUP(T_BilanSocial[[#This Row],[NumL]],T_TraitDi[#Data],COLUMN(T_TraitDi[[#This Row],[Colonne19]]),FALSE),""),"[hh]:mm"))</f>
        <v>#VALUE!</v>
      </c>
      <c r="BA41" s="172" t="e">
        <f>IF(VLOOKUP(T_BilanSocial[[#This Row],[NumL]],T_TraitDi[#Data],COLUMN(T_TraitDi[[#This Row],[Colonne20]]),FALSE)=0,"",TEXT(IFERROR(VLOOKUP(T_BilanSocial[[#This Row],[NumL]],T_TraitDi[#Data],COLUMN(T_TraitDi[[#This Row],[Colonne20]]),FALSE),""),"[hh]:mm"))</f>
        <v>#VALUE!</v>
      </c>
      <c r="BB41" s="178" t="str">
        <f>IFERROR(VLOOKUP(T_BilanSocial[[#This Row],[NumL]],T_TraitDi[#Data],COLUMN(T_TraitDi[[#This Row],[Jeudi]]),FALSE),"")</f>
        <v/>
      </c>
      <c r="BC41" s="178" t="e">
        <f>IF(VLOOKUP(T_BilanSocial[[#This Row],[NumL]],T_TraitDi[#Data],COLUMN(T_TraitDi[[#This Row],[Colonne21]]),FALSE)=0,"",TEXT(IFERROR(VLOOKUP(T_BilanSocial[[#This Row],[NumL]],T_TraitDi[#Data],COLUMN(T_TraitDi[[#This Row],[Colonne21]]),FALSE),""),"[hh]:mm"))</f>
        <v>#VALUE!</v>
      </c>
      <c r="BD41" s="178" t="e">
        <f>IF(VLOOKUP(T_BilanSocial[[#This Row],[NumL]],T_TraitDi[#Data],COLUMN(T_TraitDi[[#This Row],[Colonne22]]),FALSE)=0,"",TEXT(IFERROR(VLOOKUP(T_BilanSocial[[#This Row],[NumL]],T_TraitDi[#Data],COLUMN(T_TraitDi[[#This Row],[Colonne22]]),FALSE),""),"[hh]:mm"))</f>
        <v>#VALUE!</v>
      </c>
      <c r="BE41" s="178" t="str">
        <f>IFERROR(VLOOKUP(T_BilanSocial[[#This Row],[NumL]],T_TraitDi[#Data],COLUMN(T_TraitDi[[#This Row],[Colonne23]]),FALSE),"")</f>
        <v/>
      </c>
      <c r="BF41" s="178" t="e">
        <f>IF(VLOOKUP(T_BilanSocial[[#This Row],[NumL]],T_TraitDi[#Data],COLUMN(T_TraitDi[[#This Row],[Colonne24]]),FALSE)=0,"",TEXT(IFERROR(VLOOKUP(T_BilanSocial[[#This Row],[NumL]],T_TraitDi[#Data],COLUMN(T_TraitDi[[#This Row],[Colonne24]]),FALSE),""),"[hh]:mm"))</f>
        <v>#VALUE!</v>
      </c>
      <c r="BG41" s="178" t="e">
        <f>IF(VLOOKUP(T_BilanSocial[[#This Row],[NumL]],T_TraitDi[#Data],COLUMN(T_TraitDi[[#This Row],[Colonne25]]),FALSE)=0,"",TEXT(IFERROR(VLOOKUP(T_BilanSocial[[#This Row],[NumL]],T_TraitDi[#Data],COLUMN(T_TraitDi[[#This Row],[Colonne25]]),FALSE),""),"[hh]:mm"))</f>
        <v>#VALUE!</v>
      </c>
      <c r="BH41" s="178" t="e">
        <f>IF(VLOOKUP(T_BilanSocial[[#This Row],[NumL]],T_TraitDi[#Data],COLUMN(T_TraitDi[[#This Row],[Colonne26]]),FALSE)=0,"",TEXT(IFERROR(VLOOKUP(T_BilanSocial[[#This Row],[NumL]],T_TraitDi[#Data],COLUMN(T_TraitDi[[#This Row],[Colonne26]]),FALSE),""),"[hh]:mm"))</f>
        <v>#VALUE!</v>
      </c>
      <c r="BI41" s="172" t="str">
        <f>IFERROR(VLOOKUP(T_BilanSocial[[#This Row],[NumL]],T_TraitDi[#Data],COLUMN(T_TraitDi[[#This Row],[Vendredi]]),FALSE),"")</f>
        <v/>
      </c>
      <c r="BJ41" s="172" t="e">
        <f>IF(VLOOKUP(T_BilanSocial[[#This Row],[NumL]],T_TraitDi[#Data],COLUMN(T_TraitDi[[#This Row],[Colonne27]]),FALSE)=0,"",TEXT(IFERROR(VLOOKUP(T_BilanSocial[[#This Row],[NumL]],T_TraitDi[#Data],COLUMN(T_TraitDi[[#This Row],[Colonne27]]),FALSE),""),"[hh]:mm"))</f>
        <v>#VALUE!</v>
      </c>
      <c r="BK41" s="172" t="e">
        <f>IF(VLOOKUP(T_BilanSocial[[#This Row],[NumL]],T_TraitDi[#Data],COLUMN(T_TraitDi[[#This Row],[Colonne28]]),FALSE)=0,"",TEXT(IFERROR(VLOOKUP(T_BilanSocial[[#This Row],[NumL]],T_TraitDi[#Data],COLUMN(T_TraitDi[[#This Row],[Colonne28]]),FALSE),""),"[hh]:mm"))</f>
        <v>#VALUE!</v>
      </c>
      <c r="BL41" s="172" t="str">
        <f>IFERROR(VLOOKUP(T_BilanSocial[[#This Row],[NumL]],T_TraitDi[#Data],COLUMN(T_TraitDi[[#This Row],[Colonne29]]),FALSE),"")</f>
        <v/>
      </c>
      <c r="BM41" s="172" t="e">
        <f>IF(VLOOKUP(T_BilanSocial[[#This Row],[NumL]],T_TraitDi[#Data],COLUMN(T_TraitDi[[#This Row],[Colonne30]]),FALSE)=0,"",TEXT(IFERROR(VLOOKUP(T_BilanSocial[[#This Row],[NumL]],T_TraitDi[#Data],COLUMN(T_TraitDi[[#This Row],[Colonne30]]),FALSE),""),"[hh]:mm"))</f>
        <v>#VALUE!</v>
      </c>
      <c r="BN41" s="172" t="e">
        <f>IF(VLOOKUP(T_BilanSocial[[#This Row],[NumL]],T_TraitDi[#Data],COLUMN(T_TraitDi[[#This Row],[Colonne31]]),FALSE)=0,"",TEXT(IFERROR(VLOOKUP(T_BilanSocial[[#This Row],[NumL]],T_TraitDi[#Data],COLUMN(T_TraitDi[[#This Row],[Colonne31]]),FALSE),""),"[hh]:mm"))</f>
        <v>#VALUE!</v>
      </c>
      <c r="BO41" s="172" t="e">
        <f>IF(VLOOKUP(T_BilanSocial[[#This Row],[NumL]],T_TraitDi[#Data],COLUMN(T_TraitDi[[#This Row],[Colonne32]]),FALSE)=0,"",TEXT(IFERROR(VLOOKUP(T_BilanSocial[[#This Row],[NumL]],T_TraitDi[#Data],COLUMN(T_TraitDi[[#This Row],[Colonne32]]),FALSE),""),"[hh]:mm"))</f>
        <v>#VALUE!</v>
      </c>
      <c r="BP41" s="172" t="e">
        <f>VLOOKUP(T_BilanSocial[[#This Row],[NumL]],T_TraitDi[#Data],COLUMN(T_TraitDi[NbJTot]),FALSE)</f>
        <v>#N/A</v>
      </c>
      <c r="BQ41" s="174" t="str">
        <f>IFERROR(VLOOKUP(T_BilanSocial[[#This Row],[NumL]],T_TraitDi[#Data],COLUMN(T_TraitDi[[#This Row],[NbJTW]]),FALSE),"")</f>
        <v/>
      </c>
      <c r="BR41" s="174" t="e">
        <f>IF(VLOOKUP(T_BilanSocial[[#This Row],[NumL]],T_TraitDi[#Data],COLUMN(T_TraitDi[[#This Row],[NbhTW]]),FALSE)=0,"",TEXT(IFERROR(VLOOKUP(T_BilanSocial[[#This Row],[NumL]],T_TraitDi[#Data],COLUMN(T_TraitDi[[#This Row],[NbhTW]]),FALSE),""),"[hh]:mm"))</f>
        <v>#VALUE!</v>
      </c>
      <c r="BS41" s="174" t="e">
        <f>IF(VLOOKUP(T_BilanSocial[[#This Row],[NumL]],T_TraitDi[#Data],COLUMN(T_TraitDi[[#This Row],[Nbhheb]]),FALSE)=0,"",TEXT(IFERROR(VLOOKUP($A41,T_TraitDi[#Data],COLUMN(T_TraitDi[[#This Row],[Nbhheb]]),FALSE),""),"[hh]:mm"))</f>
        <v>#VALUE!</v>
      </c>
      <c r="BT41" s="182" t="str">
        <f>IFERROR(VLOOKUP(VLOOKUP($A41,T_TraitDi[#Data],COLUMN(T_TraitDi[[#This Row],[Type1]]),FALSE),TypeTW,2,FALSE),"")</f>
        <v/>
      </c>
      <c r="BU41" s="182" t="str">
        <f>IFERROR(VLOOKUP($A41,T_TraitDi[#Data],COLUMN(T_TraitDi[[#This Row],[Rue1]]),FALSE),"")</f>
        <v/>
      </c>
      <c r="BV41" s="173" t="str">
        <f>IFERROR(VLOOKUP($A41,T_TraitDi[#Data],COLUMN(T_TraitDi[[#This Row],[CP1]]),FALSE),"")</f>
        <v/>
      </c>
      <c r="BW41" s="173" t="str">
        <f>IFERROR(VLOOKUP($A41,T_TraitDi[#Data],COLUMN(T_TraitDi[[#This Row],[VILLE1]]),FALSE),"")</f>
        <v/>
      </c>
      <c r="BX41" s="182" t="str">
        <f>IFERROR(VLOOKUP(VLOOKUP($A41,T_TraitDi[#Data],COLUMN(T_TraitDi[[#This Row],[Type2]]),FALSE),TypeTW,2,FALSE),"")</f>
        <v/>
      </c>
      <c r="BY41" s="182" t="str">
        <f>IFERROR(VLOOKUP($A41,T_TraitDi[#Data],COLUMN(T_TraitDi[[#This Row],[Rue2]]),FALSE),"")</f>
        <v/>
      </c>
      <c r="BZ41" s="173" t="str">
        <f>IFERROR(VLOOKUP($A41,T_TraitDi[#Data],COLUMN(T_TraitDi[[#This Row],[CP2]]),FALSE),"")</f>
        <v/>
      </c>
      <c r="CA41" s="173" t="str">
        <f>IFERROR(VLOOKUP($A41,T_TraitDi[#Data],COLUMN(T_TraitDi[[#This Row],[VILLE2]]),FALSE),"")</f>
        <v/>
      </c>
      <c r="CB41" s="182" t="str">
        <f>IF(VLOOKUP(T_BilanSocial[[#This Row],[NumL]],T_Equipement[#Data],COLUMN(T_Equipement[[#This Row],[PC]]),FALSE)="","Aucun équipement spécifique directement lié au télétravail",VLOOKUP(T_BilanSocial[[#This Row],[NumL]],T_Equipement[#Data],COLUMN(T_Equipement[[#This Row],[PC]]),FALSE))</f>
        <v xml:space="preserve">20-418	 / 20-714	</v>
      </c>
      <c r="CC41" s="166" t="str">
        <f>IFERROR(IF(VLOOKUP(T_BilanSocial[[#This Row],[NumL]],T_TraitDi[#Data],COLUMN(T_TraitDi[[#This Row],[Plan]]),FALSE)="OK","Un planning spécifique de télétravail est annexé à la présente convention.",""),"")</f>
        <v/>
      </c>
      <c r="CD41" s="185"/>
      <c r="CE41" s="164" t="e">
        <f>IF(VLOOKUP(T_BilanSocial[[#This Row],[NumL]],T_suiviDi[#Data],COLUMN(T_suiviDi[[#This Row],[Entité]]),FALSE)="","",VLOOKUP(T_BilanSocial[[#This Row],[NumL]],T_suiviDi[#Data],COLUMN(T_suiviDi[[#This Row],[Entité]]),FALSE))</f>
        <v>#VALUE!</v>
      </c>
      <c r="CF41" s="164" t="str">
        <f>IF(VLOOKUP(T_BilanSocial[[#This Row],[NumL]],T_Commission[#Data],COLUMN(T_Commission[[#This Row],[envoi confirm TW]]),FALSE)="","",VLOOKUP(T_BilanSocial[[#This Row],[NumL]],T_Commission[#Data],COLUMN(T_Commission[[#This Row],[envoi confirm TW]]),FALSE))</f>
        <v>Oui</v>
      </c>
      <c r="CG4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1" s="262" t="str">
        <f>T_BilanSocial[[#This Row],[Nom]]&amp;T_BilanSocial[[#This Row],[Prenom]]</f>
        <v/>
      </c>
      <c r="CI41" s="262">
        <f>VLOOKUP(T_BilanSocial[[#This Row],[NumL]],T_Commission[#Data],COLUMN(T_Commission[Commentaire]),FALSE)</f>
        <v>0</v>
      </c>
      <c r="CJ41" s="262" t="str">
        <f>IF(VLOOKUP(T_BilanSocial[[#This Row],[NumL]],T_Commission[#Data],COLUMN(T_Commission[Encadrant Email]),FALSE)="","",VLOOKUP(T_BilanSocial[[#This Row],[NumL]],T_Commission[#Data],COLUMN(T_Commission[Encadrant Email]),FALSE))</f>
        <v/>
      </c>
      <c r="CK41" s="340" t="str">
        <f>IF(T_BilanSocial[[#This Row],[Final]]&lt;&gt;"",VLOOKUP(T_BilanSocial[[#This Row],[NumL]],T_suiviDi[#Data],COLUMN((T_suiviDi[Statut])),FALSE),"")</f>
        <v/>
      </c>
    </row>
    <row r="42" spans="1:89" s="106" customFormat="1" ht="24.75" customHeight="1" x14ac:dyDescent="0.25">
      <c r="A42" s="160">
        <v>39</v>
      </c>
      <c r="B42" s="161" t="str">
        <f t="shared" si="0"/>
        <v/>
      </c>
      <c r="C42" s="162" t="s">
        <v>173</v>
      </c>
      <c r="D42" s="95" t="e">
        <f>IF(VLOOKUP(T_BilanSocial[[#This Row],[NumL]],T_TraitDi[#Data],COLUMN(T_TraitDi[[#This Row],[WebC]]),FALSE)="","",VLOOKUP(T_BilanSocial[[#This Row],[NumL]],T_TraitDi[#Data],COLUMN(T_TraitDi[[#This Row],[WebC]]),FALSE))</f>
        <v>#VALUE!</v>
      </c>
      <c r="E42" s="163" t="str">
        <f t="shared" si="1"/>
        <v>12 janvier 2021</v>
      </c>
      <c r="F42" s="96" t="str">
        <f>IF(T_BilanSocial[[#This Row],[Final]]&lt;&gt;"",VLOOKUP(T_BilanSocial[[#This Row],[NumL]],T_suiviDi[#Data],COLUMN((T_suiviDi[Civ.])),FALSE),"")</f>
        <v/>
      </c>
      <c r="G42" s="96" t="str">
        <f>IF(T_BilanSocial[[#This Row],[Final]]&lt;&gt;"",VLOOKUP(T_BilanSocial[[#This Row],[NumL]],T_suiviDi[#Data],COLUMN((T_suiviDi[Nom])),FALSE),"")</f>
        <v/>
      </c>
      <c r="H42" s="96" t="str">
        <f>IF(T_BilanSocial[[#This Row],[Final]]&lt;&gt;"",VLOOKUP(T_BilanSocial[[#This Row],[NumL]],T_suiviDi[#Data],COLUMN((T_suiviDi[Prénom])),FALSE),"")</f>
        <v/>
      </c>
      <c r="I42" s="96" t="str">
        <f>IFERROR(VLOOKUP(T_BilanSocial[[#This Row],[Zone_Bilan]],T_P_BilanSocial[#Data],COLUMN(T_P_BilanSocial[[#This Row],[Numero_SIHAM]]),FALSE),"")</f>
        <v/>
      </c>
      <c r="J42" s="96" t="str">
        <f>IFERROR(VLOOKUP(T_BilanSocial[[#This Row],[Zone_Bilan]],T_P_BilanSocial[#Data],COLUMN(T_P_BilanSocial[[#This Row],[Sexe]]),FALSE),"")</f>
        <v/>
      </c>
      <c r="K42" s="97" t="str">
        <f>IFERROR(VLOOKUP(T_BilanSocial[[#This Row],[Zone_Bilan]],T_P_BilanSocial[#Data],COLUMN(T_P_BilanSocial[[#This Row],[Categorie]]),FALSE),"")</f>
        <v/>
      </c>
      <c r="L42" s="96" t="str">
        <f>IFERROR(VLOOKUP(T_BilanSocial[[#This Row],[Zone_Bilan]],T_P_BilanSocial[#Data],COLUMN(T_P_BilanSocial[[#This Row],[Statut]]),FALSE),"")</f>
        <v/>
      </c>
      <c r="M42" s="96" t="str">
        <f>IFERROR(VLOOKUP(T_BilanSocial[[#This Row],[Zone_Bilan]],T_P_BilanSocial[#Data],COLUMN(T_P_BilanSocial[[#This Row],[Filiere]]),FALSE),"")</f>
        <v/>
      </c>
      <c r="N42" s="96" t="e">
        <f>VLOOKUP(T_BilanSocial[[#This Row],[NumL]],T_TraitDi[#Data],COLUMN(T_TraitDi[EXP]),FALSE)</f>
        <v>#N/A</v>
      </c>
      <c r="O42" s="96" t="e">
        <f>VLOOKUP(T_BilanSocial[[#This Row],[NumL]],T_TraitDi[#Data],COLUMN(T_TraitDi[FORM]),FALSE)</f>
        <v>#N/A</v>
      </c>
      <c r="P42" s="96" t="str">
        <f>IF(T_BilanSocial[[#This Row],[Final]]&lt;&gt;"",VLOOKUP(T_BilanSocial[[#This Row],[NumL]],T_suiviDi[#Data],COLUMN((T_suiviDi[Email])),FALSE),"")</f>
        <v/>
      </c>
      <c r="Q42" s="164" t="e">
        <f t="shared" si="7"/>
        <v>#N/A</v>
      </c>
      <c r="R42" s="164" t="e">
        <f t="shared" si="8"/>
        <v>#N/A</v>
      </c>
      <c r="S42" s="164" t="e">
        <f>IF(VLOOKUP(T_BilanSocial[[#This Row],[NumL]],T_suiviDi[#Data],COLUMN(T_suiviDi[[#This Row],[Service ]]),FALSE)="","",VLOOKUP(T_BilanSocial[[#This Row],[NumL]],T_suiviDi[#Data],COLUMN(T_suiviDi[[#This Row],[Service ]]),FALSE))</f>
        <v>#VALUE!</v>
      </c>
      <c r="T42" s="164" t="str">
        <f t="shared" si="2"/>
        <v>01 septembre 2021</v>
      </c>
      <c r="U42" s="164" t="str">
        <f t="shared" si="3"/>
        <v>30 novembre 2021</v>
      </c>
      <c r="V42" s="164" t="str">
        <f t="shared" si="6"/>
        <v>30 novembre 2021</v>
      </c>
      <c r="W42" s="176" t="e">
        <f>IF(VLOOKUP(T_BilanSocial[[#This Row],[NumL]],T_TraitDi[#Data],COLUMN(T_TraitDi[[#This Row],[M1]]),FALSE)="","",VLOOKUP(T_BilanSocial[[#This Row],[NumL]],T_TraitDi[#Data],COLUMN(T_TraitDi[[#This Row],[M1]]),FALSE))</f>
        <v>#VALUE!</v>
      </c>
      <c r="X42" s="176" t="e">
        <f>IF(VLOOKUP(T_BilanSocial[[#This Row],[NumL]],T_TraitDi[#Data],COLUMN(T_TraitDi[[#This Row],[M2]]),FALSE)="","",VLOOKUP(T_BilanSocial[[#This Row],[NumL]],T_TraitDi[#Data],COLUMN(T_TraitDi[[#This Row],[M2]]),FALSE))</f>
        <v>#VALUE!</v>
      </c>
      <c r="Y42" s="176" t="e">
        <f>IF(VLOOKUP(T_BilanSocial[[#This Row],[NumL]],T_TraitDi[#Data],COLUMN(T_TraitDi[[#This Row],[M3]]),FALSE)="","",VLOOKUP(T_BilanSocial[[#This Row],[NumL]],T_TraitDi[#Data],COLUMN(T_TraitDi[[#This Row],[M3]]),FALSE))</f>
        <v>#VALUE!</v>
      </c>
      <c r="Z42" s="176" t="str">
        <f t="shared" si="5"/>
        <v/>
      </c>
      <c r="AA42" s="176" t="e">
        <f>IF(VLOOKUP(T_BilanSocial[[#This Row],[NumL]],T_TraitDi[#Data],COLUMN(T_TraitDi[[#This Row],[M5]]),FALSE)="","",VLOOKUP(T_BilanSocial[[#This Row],[NumL]],T_TraitDi[#Data],COLUMN(T_TraitDi[[#This Row],[M5]]),FALSE))</f>
        <v>#VALUE!</v>
      </c>
      <c r="AB42" s="176" t="e">
        <f>IF(VLOOKUP(T_BilanSocial[[#This Row],[NumL]],T_TraitDi[#Data],COLUMN(T_TraitDi[[#This Row],[M6]]),FALSE)="","",VLOOKUP(T_BilanSocial[[#This Row],[NumL]],T_TraitDi[#Data],COLUMN(T_TraitDi[[#This Row],[M6]]),FALSE))</f>
        <v>#VALUE!</v>
      </c>
      <c r="AC42" s="165" t="e">
        <f t="shared" si="4"/>
        <v>#VALUE!</v>
      </c>
      <c r="AD42" s="188" t="str">
        <f>IFERROR(TEXT(VLOOKUP(T_BilanSocial[[#This Row],[NumL]],T_TraitDi[#Data],COLUMN(T_TraitDi[[#This Row],[Q2]]),FALSE),"###%"),"")</f>
        <v/>
      </c>
      <c r="AE42" s="97" t="e">
        <f>VLOOKUP(T_BilanSocial[[#This Row],[NumL]],T_TraitDi[#Data],COLUMN(T_TraitDi[[#This Row],[Reg Ponct]]),FALSE)</f>
        <v>#VALUE!</v>
      </c>
      <c r="AF42" s="97" t="e">
        <f>VLOOKUP(T_BilanSocial[NumL],T_TraitDi[#Data],COLUMN(T_TraitDi[[#This Row],[Jours flottants]]),FALSE)</f>
        <v>#VALUE!</v>
      </c>
      <c r="AG42" s="97" t="str">
        <f>IFERROR(VLOOKUP(T_BilanSocial[[#This Row],[NumL]],T_TraitDi[#Data],COLUMN(T_TraitDi[[#This Row],[Lundi]]),FALSE),"")</f>
        <v/>
      </c>
      <c r="AH42" s="172" t="e">
        <f>IF(VLOOKUP(T_BilanSocial[[#This Row],[NumL]],T_TraitDi[#Data],COLUMN(T_TraitDi[[#This Row],[Colonne3]]),FALSE)=0,"",TEXT(IFERROR(VLOOKUP(T_BilanSocial[[#This Row],[NumL]],T_TraitDi[#Data],COLUMN(T_TraitDi[[#This Row],[Colonne3]]),FALSE),""),"[hh]:mm"))</f>
        <v>#VALUE!</v>
      </c>
      <c r="AI42" s="172" t="e">
        <f>IF(VLOOKUP(T_BilanSocial[[#This Row],[NumL]],T_TraitDi[#Data],COLUMN(T_TraitDi[[#This Row],[Colonne4]]),FALSE)=0,"",TEXT(IFERROR(VLOOKUP(T_BilanSocial[[#This Row],[NumL]],T_TraitDi[#Data],COLUMN(T_TraitDi[[#This Row],[Colonne4]]),FALSE),""),"[hh]:mm"))</f>
        <v>#VALUE!</v>
      </c>
      <c r="AJ42" s="172" t="e">
        <f>IF(VLOOKUP(T_BilanSocial[[#This Row],[NumL]],T_TraitDi[#Data],COLUMN(T_TraitDi[[#This Row],[Colonne5]]),FALSE)=0,"",TEXT(IFERROR(VLOOKUP(T_BilanSocial[[#This Row],[NumL]],T_TraitDi[#Data],COLUMN(T_TraitDi[[#This Row],[Colonne5]]),FALSE),""),"[hh]:mm"))</f>
        <v>#VALUE!</v>
      </c>
      <c r="AK42" s="172" t="e">
        <f>IF(VLOOKUP(T_BilanSocial[[#This Row],[NumL]],T_TraitDi[#Data],COLUMN(T_TraitDi[[#This Row],[Colonne6]]),FALSE)=0,"",TEXT(IFERROR(VLOOKUP(T_BilanSocial[[#This Row],[NumL]],T_TraitDi[#Data],COLUMN(T_TraitDi[[#This Row],[Colonne6]]),FALSE),""),"[hh]:mm"))</f>
        <v>#VALUE!</v>
      </c>
      <c r="AL42" s="172" t="e">
        <f>IF(VLOOKUP(T_BilanSocial[[#This Row],[NumL]],T_TraitDi[#Data],COLUMN(T_TraitDi[[#This Row],[Colonne7]]),FALSE)=0,"",TEXT(IFERROR(VLOOKUP(T_BilanSocial[[#This Row],[NumL]],T_TraitDi[#Data],COLUMN(T_TraitDi[[#This Row],[Colonne7]]),FALSE),""),"[hh]:mm"))</f>
        <v>#VALUE!</v>
      </c>
      <c r="AM42" s="172" t="e">
        <f>IF(VLOOKUP(T_BilanSocial[[#This Row],[NumL]],T_TraitDi[#Data],COLUMN(T_TraitDi[[#This Row],[Colonne8]]),FALSE)=0,"",TEXT(IFERROR(VLOOKUP(T_BilanSocial[[#This Row],[NumL]],T_TraitDi[#Data],COLUMN(T_TraitDi[[#This Row],[Colonne8]]),FALSE),""),"[hh]:mm"))</f>
        <v>#VALUE!</v>
      </c>
      <c r="AN42" s="172" t="str">
        <f>IFERROR(VLOOKUP(T_BilanSocial[[#This Row],[NumL]],T_TraitDi[#Data],COLUMN(T_TraitDi[[#This Row],[Mardi]]),FALSE),"")</f>
        <v/>
      </c>
      <c r="AO42" s="172" t="e">
        <f>IF(VLOOKUP(T_BilanSocial[[#This Row],[NumL]],T_TraitDi[#Data],COLUMN(T_TraitDi[[#This Row],[Colonne1]]),FALSE)=0,"",TEXT(IFERROR(VLOOKUP(T_BilanSocial[[#This Row],[NumL]],T_TraitDi[#Data],COLUMN(T_TraitDi[[#This Row],[Colonne1]]),FALSE),""),"[hh]:mm"))</f>
        <v>#VALUE!</v>
      </c>
      <c r="AP42" s="172" t="e">
        <f>IF(VLOOKUP(T_BilanSocial[[#This Row],[NumL]],T_TraitDi[#Data],COLUMN(T_TraitDi[[#This Row],[Colonne9]]),FALSE)=0,"",TEXT(IFERROR(VLOOKUP(T_BilanSocial[[#This Row],[NumL]],T_TraitDi[#Data],COLUMN(T_TraitDi[[#This Row],[Colonne9]]),FALSE),""),"[hh]:mm"))</f>
        <v>#VALUE!</v>
      </c>
      <c r="AQ42" s="172" t="str">
        <f>IFERROR(VLOOKUP(T_BilanSocial[[#This Row],[NumL]],T_TraitDi[#Data],COLUMN(T_TraitDi[[#This Row],[Colonne10]]),FALSE),"")</f>
        <v/>
      </c>
      <c r="AR42" s="172" t="e">
        <f>IF(VLOOKUP(T_BilanSocial[[#This Row],[NumL]],T_TraitDi[#Data],COLUMN(T_TraitDi[[#This Row],[Colonne11]]),FALSE)=0,"",TEXT(IFERROR(VLOOKUP(T_BilanSocial[[#This Row],[NumL]],T_TraitDi[#Data],COLUMN(T_TraitDi[[#This Row],[Colonne11]]),FALSE),""),"[hh]:mm"))</f>
        <v>#VALUE!</v>
      </c>
      <c r="AS42" s="172" t="e">
        <f>IF(VLOOKUP(T_BilanSocial[[#This Row],[NumL]],T_TraitDi[#Data],COLUMN(T_TraitDi[[#This Row],[Colonne12]]),FALSE)=0,"",TEXT(IFERROR(VLOOKUP(T_BilanSocial[[#This Row],[NumL]],T_TraitDi[#Data],COLUMN(T_TraitDi[[#This Row],[Colonne12]]),FALSE),""),"[hh]:mm"))</f>
        <v>#VALUE!</v>
      </c>
      <c r="AT42" s="172" t="e">
        <f>IF(VLOOKUP(T_BilanSocial[[#This Row],[NumL]],T_TraitDi[#Data],COLUMN(T_TraitDi[[#This Row],[Colonne14]]),FALSE)=0,"",TEXT(IFERROR(VLOOKUP(T_BilanSocial[[#This Row],[NumL]],T_TraitDi[#Data],COLUMN(T_TraitDi[[#This Row],[Colonne14]]),FALSE),""),"[hh]:mm"))</f>
        <v>#VALUE!</v>
      </c>
      <c r="AU42" s="172" t="str">
        <f>IFERROR(VLOOKUP(T_BilanSocial[[#This Row],[NumL]],T_TraitDi[#Data],COLUMN(T_TraitDi[[#This Row],[Mercredi]]),FALSE),"")</f>
        <v/>
      </c>
      <c r="AV42" s="172" t="e">
        <f>IF(VLOOKUP(T_BilanSocial[[#This Row],[NumL]],T_TraitDi[#Data],COLUMN(T_TraitDi[[#This Row],[Colonne15]]),FALSE)=0,"",TEXT(IFERROR(VLOOKUP(T_BilanSocial[[#This Row],[NumL]],T_TraitDi[#Data],COLUMN(T_TraitDi[[#This Row],[Colonne15]]),FALSE),""),"[hh]:mm"))</f>
        <v>#VALUE!</v>
      </c>
      <c r="AW42" s="172" t="e">
        <f>IF(VLOOKUP(T_BilanSocial[[#This Row],[NumL]],T_TraitDi[#Data],COLUMN(T_TraitDi[[#This Row],[Colonne16]]),FALSE)=0,"",TEXT(IFERROR(VLOOKUP(T_BilanSocial[[#This Row],[NumL]],T_TraitDi[#Data],COLUMN(T_TraitDi[[#This Row],[Colonne16]]),FALSE),""),"[hh]:mm"))</f>
        <v>#VALUE!</v>
      </c>
      <c r="AX42" s="172" t="str">
        <f>IFERROR(VLOOKUP(T_BilanSocial[[#This Row],[NumL]],T_TraitDi[#Data],COLUMN(T_TraitDi[[#This Row],[Colonne17]]),FALSE),"")</f>
        <v/>
      </c>
      <c r="AY42" s="172" t="e">
        <f>IF(VLOOKUP(T_BilanSocial[[#This Row],[NumL]],T_TraitDi[#Data],COLUMN(T_TraitDi[[#This Row],[Colonne18]]),FALSE)=0,"",TEXT(IFERROR(VLOOKUP(T_BilanSocial[[#This Row],[NumL]],T_TraitDi[#Data],COLUMN(T_TraitDi[[#This Row],[Colonne18]]),FALSE),""),"[hh]:mm"))</f>
        <v>#VALUE!</v>
      </c>
      <c r="AZ42" s="172" t="e">
        <f>IF(VLOOKUP(T_BilanSocial[[#This Row],[NumL]],T_TraitDi[#Data],COLUMN(T_TraitDi[[#This Row],[Colonne19]]),FALSE)=0,"",TEXT(IFERROR(VLOOKUP(T_BilanSocial[[#This Row],[NumL]],T_TraitDi[#Data],COLUMN(T_TraitDi[[#This Row],[Colonne19]]),FALSE),""),"[hh]:mm"))</f>
        <v>#VALUE!</v>
      </c>
      <c r="BA42" s="172" t="e">
        <f>IF(VLOOKUP(T_BilanSocial[[#This Row],[NumL]],T_TraitDi[#Data],COLUMN(T_TraitDi[[#This Row],[Colonne20]]),FALSE)=0,"",TEXT(IFERROR(VLOOKUP(T_BilanSocial[[#This Row],[NumL]],T_TraitDi[#Data],COLUMN(T_TraitDi[[#This Row],[Colonne20]]),FALSE),""),"[hh]:mm"))</f>
        <v>#VALUE!</v>
      </c>
      <c r="BB42" s="178" t="str">
        <f>IFERROR(VLOOKUP(T_BilanSocial[[#This Row],[NumL]],T_TraitDi[#Data],COLUMN(T_TraitDi[[#This Row],[Jeudi]]),FALSE),"")</f>
        <v/>
      </c>
      <c r="BC42" s="178" t="e">
        <f>IF(VLOOKUP(T_BilanSocial[[#This Row],[NumL]],T_TraitDi[#Data],COLUMN(T_TraitDi[[#This Row],[Colonne21]]),FALSE)=0,"",TEXT(IFERROR(VLOOKUP(T_BilanSocial[[#This Row],[NumL]],T_TraitDi[#Data],COLUMN(T_TraitDi[[#This Row],[Colonne21]]),FALSE),""),"[hh]:mm"))</f>
        <v>#VALUE!</v>
      </c>
      <c r="BD42" s="178" t="e">
        <f>IF(VLOOKUP(T_BilanSocial[[#This Row],[NumL]],T_TraitDi[#Data],COLUMN(T_TraitDi[[#This Row],[Colonne22]]),FALSE)=0,"",TEXT(IFERROR(VLOOKUP(T_BilanSocial[[#This Row],[NumL]],T_TraitDi[#Data],COLUMN(T_TraitDi[[#This Row],[Colonne22]]),FALSE),""),"[hh]:mm"))</f>
        <v>#VALUE!</v>
      </c>
      <c r="BE42" s="178" t="str">
        <f>IFERROR(VLOOKUP(T_BilanSocial[[#This Row],[NumL]],T_TraitDi[#Data],COLUMN(T_TraitDi[[#This Row],[Colonne23]]),FALSE),"")</f>
        <v/>
      </c>
      <c r="BF42" s="178" t="e">
        <f>IF(VLOOKUP(T_BilanSocial[[#This Row],[NumL]],T_TraitDi[#Data],COLUMN(T_TraitDi[[#This Row],[Colonne24]]),FALSE)=0,"",TEXT(IFERROR(VLOOKUP(T_BilanSocial[[#This Row],[NumL]],T_TraitDi[#Data],COLUMN(T_TraitDi[[#This Row],[Colonne24]]),FALSE),""),"[hh]:mm"))</f>
        <v>#VALUE!</v>
      </c>
      <c r="BG42" s="178" t="e">
        <f>IF(VLOOKUP(T_BilanSocial[[#This Row],[NumL]],T_TraitDi[#Data],COLUMN(T_TraitDi[[#This Row],[Colonne25]]),FALSE)=0,"",TEXT(IFERROR(VLOOKUP(T_BilanSocial[[#This Row],[NumL]],T_TraitDi[#Data],COLUMN(T_TraitDi[[#This Row],[Colonne25]]),FALSE),""),"[hh]:mm"))</f>
        <v>#VALUE!</v>
      </c>
      <c r="BH42" s="178" t="e">
        <f>IF(VLOOKUP(T_BilanSocial[[#This Row],[NumL]],T_TraitDi[#Data],COLUMN(T_TraitDi[[#This Row],[Colonne26]]),FALSE)=0,"",TEXT(IFERROR(VLOOKUP(T_BilanSocial[[#This Row],[NumL]],T_TraitDi[#Data],COLUMN(T_TraitDi[[#This Row],[Colonne26]]),FALSE),""),"[hh]:mm"))</f>
        <v>#VALUE!</v>
      </c>
      <c r="BI42" s="172" t="str">
        <f>IFERROR(VLOOKUP(T_BilanSocial[[#This Row],[NumL]],T_TraitDi[#Data],COLUMN(T_TraitDi[[#This Row],[Vendredi]]),FALSE),"")</f>
        <v/>
      </c>
      <c r="BJ42" s="172" t="e">
        <f>IF(VLOOKUP(T_BilanSocial[[#This Row],[NumL]],T_TraitDi[#Data],COLUMN(T_TraitDi[[#This Row],[Colonne27]]),FALSE)=0,"",TEXT(IFERROR(VLOOKUP(T_BilanSocial[[#This Row],[NumL]],T_TraitDi[#Data],COLUMN(T_TraitDi[[#This Row],[Colonne27]]),FALSE),""),"[hh]:mm"))</f>
        <v>#VALUE!</v>
      </c>
      <c r="BK42" s="172" t="e">
        <f>IF(VLOOKUP(T_BilanSocial[[#This Row],[NumL]],T_TraitDi[#Data],COLUMN(T_TraitDi[[#This Row],[Colonne28]]),FALSE)=0,"",TEXT(IFERROR(VLOOKUP(T_BilanSocial[[#This Row],[NumL]],T_TraitDi[#Data],COLUMN(T_TraitDi[[#This Row],[Colonne28]]),FALSE),""),"[hh]:mm"))</f>
        <v>#VALUE!</v>
      </c>
      <c r="BL42" s="172" t="str">
        <f>IFERROR(VLOOKUP(T_BilanSocial[[#This Row],[NumL]],T_TraitDi[#Data],COLUMN(T_TraitDi[[#This Row],[Colonne29]]),FALSE),"")</f>
        <v/>
      </c>
      <c r="BM42" s="172" t="e">
        <f>IF(VLOOKUP(T_BilanSocial[[#This Row],[NumL]],T_TraitDi[#Data],COLUMN(T_TraitDi[[#This Row],[Colonne30]]),FALSE)=0,"",TEXT(IFERROR(VLOOKUP(T_BilanSocial[[#This Row],[NumL]],T_TraitDi[#Data],COLUMN(T_TraitDi[[#This Row],[Colonne30]]),FALSE),""),"[hh]:mm"))</f>
        <v>#VALUE!</v>
      </c>
      <c r="BN42" s="172" t="e">
        <f>IF(VLOOKUP(T_BilanSocial[[#This Row],[NumL]],T_TraitDi[#Data],COLUMN(T_TraitDi[[#This Row],[Colonne31]]),FALSE)=0,"",TEXT(IFERROR(VLOOKUP(T_BilanSocial[[#This Row],[NumL]],T_TraitDi[#Data],COLUMN(T_TraitDi[[#This Row],[Colonne31]]),FALSE),""),"[hh]:mm"))</f>
        <v>#VALUE!</v>
      </c>
      <c r="BO42" s="172" t="e">
        <f>IF(VLOOKUP(T_BilanSocial[[#This Row],[NumL]],T_TraitDi[#Data],COLUMN(T_TraitDi[[#This Row],[Colonne32]]),FALSE)=0,"",TEXT(IFERROR(VLOOKUP(T_BilanSocial[[#This Row],[NumL]],T_TraitDi[#Data],COLUMN(T_TraitDi[[#This Row],[Colonne32]]),FALSE),""),"[hh]:mm"))</f>
        <v>#VALUE!</v>
      </c>
      <c r="BP42" s="172" t="e">
        <f>VLOOKUP(T_BilanSocial[[#This Row],[NumL]],T_TraitDi[#Data],COLUMN(T_TraitDi[NbJTot]),FALSE)</f>
        <v>#N/A</v>
      </c>
      <c r="BQ42" s="174" t="str">
        <f>IFERROR(VLOOKUP(T_BilanSocial[[#This Row],[NumL]],T_TraitDi[#Data],COLUMN(T_TraitDi[[#This Row],[NbJTW]]),FALSE),"")</f>
        <v/>
      </c>
      <c r="BR42" s="174" t="e">
        <f>IF(VLOOKUP(T_BilanSocial[[#This Row],[NumL]],T_TraitDi[#Data],COLUMN(T_TraitDi[[#This Row],[NbhTW]]),FALSE)=0,"",TEXT(IFERROR(VLOOKUP(T_BilanSocial[[#This Row],[NumL]],T_TraitDi[#Data],COLUMN(T_TraitDi[[#This Row],[NbhTW]]),FALSE),""),"[hh]:mm"))</f>
        <v>#VALUE!</v>
      </c>
      <c r="BS42" s="174" t="e">
        <f>IF(VLOOKUP(T_BilanSocial[[#This Row],[NumL]],T_TraitDi[#Data],COLUMN(T_TraitDi[[#This Row],[Nbhheb]]),FALSE)=0,"",TEXT(IFERROR(VLOOKUP($A42,T_TraitDi[#Data],COLUMN(T_TraitDi[[#This Row],[Nbhheb]]),FALSE),""),"[hh]:mm"))</f>
        <v>#VALUE!</v>
      </c>
      <c r="BT42" s="182" t="str">
        <f>IFERROR(VLOOKUP(VLOOKUP($A42,T_TraitDi[#Data],COLUMN(T_TraitDi[[#This Row],[Type1]]),FALSE),TypeTW,2,FALSE),"")</f>
        <v/>
      </c>
      <c r="BU42" s="182" t="str">
        <f>IFERROR(VLOOKUP($A42,T_TraitDi[#Data],COLUMN(T_TraitDi[[#This Row],[Rue1]]),FALSE),"")</f>
        <v/>
      </c>
      <c r="BV42" s="173" t="str">
        <f>IFERROR(VLOOKUP($A42,T_TraitDi[#Data],COLUMN(T_TraitDi[[#This Row],[CP1]]),FALSE),"")</f>
        <v/>
      </c>
      <c r="BW42" s="173" t="str">
        <f>IFERROR(VLOOKUP($A42,T_TraitDi[#Data],COLUMN(T_TraitDi[[#This Row],[VILLE1]]),FALSE),"")</f>
        <v/>
      </c>
      <c r="BX42" s="182" t="str">
        <f>IFERROR(VLOOKUP(VLOOKUP($A42,T_TraitDi[#Data],COLUMN(T_TraitDi[[#This Row],[Type2]]),FALSE),TypeTW,2,FALSE),"")</f>
        <v/>
      </c>
      <c r="BY42" s="182" t="str">
        <f>IFERROR(VLOOKUP($A42,T_TraitDi[#Data],COLUMN(T_TraitDi[[#This Row],[Rue2]]),FALSE),"")</f>
        <v/>
      </c>
      <c r="BZ42" s="173" t="str">
        <f>IFERROR(VLOOKUP($A42,T_TraitDi[#Data],COLUMN(T_TraitDi[[#This Row],[CP2]]),FALSE),"")</f>
        <v/>
      </c>
      <c r="CA42" s="173" t="str">
        <f>IFERROR(VLOOKUP($A42,T_TraitDi[#Data],COLUMN(T_TraitDi[[#This Row],[VILLE2]]),FALSE),"")</f>
        <v/>
      </c>
      <c r="CB42" s="182" t="str">
        <f>IF(VLOOKUP(T_BilanSocial[[#This Row],[NumL]],T_Equipement[#Data],COLUMN(T_Equipement[[#This Row],[PC]]),FALSE)="","Aucun équipement spécifique directement lié au télétravail",VLOOKUP(T_BilanSocial[[#This Row],[NumL]],T_Equipement[#Data],COLUMN(T_Equipement[[#This Row],[PC]]),FALSE))</f>
        <v xml:space="preserve">13-389	</v>
      </c>
      <c r="CC42" s="166" t="str">
        <f>IFERROR(IF(VLOOKUP(T_BilanSocial[[#This Row],[NumL]],T_TraitDi[#Data],COLUMN(T_TraitDi[[#This Row],[Plan]]),FALSE)="OK","Un planning spécifique de télétravail est annexé à la présente convention.",""),"")</f>
        <v/>
      </c>
      <c r="CD42" s="258" t="s">
        <v>3331</v>
      </c>
      <c r="CE42" s="164" t="e">
        <f>IF(VLOOKUP(T_BilanSocial[[#This Row],[NumL]],T_suiviDi[#Data],COLUMN(T_suiviDi[[#This Row],[Entité]]),FALSE)="","",VLOOKUP(T_BilanSocial[[#This Row],[NumL]],T_suiviDi[#Data],COLUMN(T_suiviDi[[#This Row],[Entité]]),FALSE))</f>
        <v>#VALUE!</v>
      </c>
      <c r="CF42" s="164" t="str">
        <f>IF(VLOOKUP(T_BilanSocial[[#This Row],[NumL]],T_Commission[#Data],COLUMN(T_Commission[[#This Row],[envoi confirm TW]]),FALSE)="","",VLOOKUP(T_BilanSocial[[#This Row],[NumL]],T_Commission[#Data],COLUMN(T_Commission[[#This Row],[envoi confirm TW]]),FALSE))</f>
        <v>Oui</v>
      </c>
      <c r="CG4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2" s="262" t="str">
        <f>T_BilanSocial[[#This Row],[Nom]]&amp;T_BilanSocial[[#This Row],[Prenom]]</f>
        <v/>
      </c>
      <c r="CI42" s="262">
        <f>VLOOKUP(T_BilanSocial[[#This Row],[NumL]],T_Commission[#Data],COLUMN(T_Commission[Commentaire]),FALSE)</f>
        <v>0</v>
      </c>
      <c r="CJ42" s="262" t="str">
        <f>IF(VLOOKUP(T_BilanSocial[[#This Row],[NumL]],T_Commission[#Data],COLUMN(T_Commission[Encadrant Email]),FALSE)="","",VLOOKUP(T_BilanSocial[[#This Row],[NumL]],T_Commission[#Data],COLUMN(T_Commission[Encadrant Email]),FALSE))</f>
        <v/>
      </c>
      <c r="CK42" s="340" t="str">
        <f>IF(T_BilanSocial[[#This Row],[Final]]&lt;&gt;"",VLOOKUP(T_BilanSocial[[#This Row],[NumL]],T_suiviDi[#Data],COLUMN((T_suiviDi[Statut])),FALSE),"")</f>
        <v/>
      </c>
    </row>
    <row r="43" spans="1:89" s="106" customFormat="1" ht="24.75" customHeight="1" x14ac:dyDescent="0.25">
      <c r="A43" s="160">
        <v>40</v>
      </c>
      <c r="B43" s="161" t="str">
        <f t="shared" si="0"/>
        <v/>
      </c>
      <c r="C43" s="162" t="s">
        <v>173</v>
      </c>
      <c r="D43" s="95" t="e">
        <f>IF(VLOOKUP(T_BilanSocial[[#This Row],[NumL]],T_TraitDi[#Data],COLUMN(T_TraitDi[[#This Row],[WebC]]),FALSE)="","",VLOOKUP(T_BilanSocial[[#This Row],[NumL]],T_TraitDi[#Data],COLUMN(T_TraitDi[[#This Row],[WebC]]),FALSE))</f>
        <v>#VALUE!</v>
      </c>
      <c r="E43" s="163" t="str">
        <f t="shared" si="1"/>
        <v>12 janvier 2021</v>
      </c>
      <c r="F43" s="96" t="str">
        <f>IF(T_BilanSocial[[#This Row],[Final]]&lt;&gt;"",VLOOKUP(T_BilanSocial[[#This Row],[NumL]],T_suiviDi[#Data],COLUMN((T_suiviDi[Civ.])),FALSE),"")</f>
        <v/>
      </c>
      <c r="G43" s="96" t="str">
        <f>IF(T_BilanSocial[[#This Row],[Final]]&lt;&gt;"",VLOOKUP(T_BilanSocial[[#This Row],[NumL]],T_suiviDi[#Data],COLUMN((T_suiviDi[Nom])),FALSE),"")</f>
        <v/>
      </c>
      <c r="H43" s="96" t="str">
        <f>IF(T_BilanSocial[[#This Row],[Final]]&lt;&gt;"",VLOOKUP(T_BilanSocial[[#This Row],[NumL]],T_suiviDi[#Data],COLUMN((T_suiviDi[Prénom])),FALSE),"")</f>
        <v/>
      </c>
      <c r="I43" s="96" t="str">
        <f>IFERROR(VLOOKUP(T_BilanSocial[[#This Row],[Zone_Bilan]],T_P_BilanSocial[#Data],COLUMN(T_P_BilanSocial[[#This Row],[Numero_SIHAM]]),FALSE),"")</f>
        <v/>
      </c>
      <c r="J43" s="96" t="str">
        <f>IFERROR(VLOOKUP(T_BilanSocial[[#This Row],[Zone_Bilan]],T_P_BilanSocial[#Data],COLUMN(T_P_BilanSocial[[#This Row],[Sexe]]),FALSE),"")</f>
        <v/>
      </c>
      <c r="K43" s="97" t="str">
        <f>IFERROR(VLOOKUP(T_BilanSocial[[#This Row],[Zone_Bilan]],T_P_BilanSocial[#Data],COLUMN(T_P_BilanSocial[[#This Row],[Categorie]]),FALSE),"")</f>
        <v/>
      </c>
      <c r="L43" s="96" t="str">
        <f>IFERROR(VLOOKUP(T_BilanSocial[[#This Row],[Zone_Bilan]],T_P_BilanSocial[#Data],COLUMN(T_P_BilanSocial[[#This Row],[Statut]]),FALSE),"")</f>
        <v/>
      </c>
      <c r="M43" s="96" t="str">
        <f>IFERROR(VLOOKUP(T_BilanSocial[[#This Row],[Zone_Bilan]],T_P_BilanSocial[#Data],COLUMN(T_P_BilanSocial[[#This Row],[Filiere]]),FALSE),"")</f>
        <v/>
      </c>
      <c r="N43" s="96" t="e">
        <f>VLOOKUP(T_BilanSocial[[#This Row],[NumL]],T_TraitDi[#Data],COLUMN(T_TraitDi[EXP]),FALSE)</f>
        <v>#N/A</v>
      </c>
      <c r="O43" s="96" t="e">
        <f>VLOOKUP(T_BilanSocial[[#This Row],[NumL]],T_TraitDi[#Data],COLUMN(T_TraitDi[FORM]),FALSE)</f>
        <v>#N/A</v>
      </c>
      <c r="P43" s="96" t="str">
        <f>IF(T_BilanSocial[[#This Row],[Final]]&lt;&gt;"",VLOOKUP(T_BilanSocial[[#This Row],[NumL]],T_suiviDi[#Data],COLUMN((T_suiviDi[Email])),FALSE),"")</f>
        <v/>
      </c>
      <c r="Q43" s="164" t="e">
        <f t="shared" si="7"/>
        <v>#N/A</v>
      </c>
      <c r="R43" s="164" t="e">
        <f t="shared" si="8"/>
        <v>#N/A</v>
      </c>
      <c r="S43" s="164" t="e">
        <f>IF(VLOOKUP(T_BilanSocial[[#This Row],[NumL]],T_suiviDi[#Data],COLUMN(T_suiviDi[[#This Row],[Service ]]),FALSE)="","",VLOOKUP(T_BilanSocial[[#This Row],[NumL]],T_suiviDi[#Data],COLUMN(T_suiviDi[[#This Row],[Service ]]),FALSE))</f>
        <v>#VALUE!</v>
      </c>
      <c r="T43" s="164" t="str">
        <f t="shared" si="2"/>
        <v>01 septembre 2021</v>
      </c>
      <c r="U43" s="164" t="str">
        <f t="shared" si="3"/>
        <v>30 novembre 2021</v>
      </c>
      <c r="V43" s="164" t="str">
        <f t="shared" si="6"/>
        <v>30 novembre 2021</v>
      </c>
      <c r="W43" s="176" t="e">
        <f>IF(VLOOKUP(T_BilanSocial[[#This Row],[NumL]],T_TraitDi[#Data],COLUMN(T_TraitDi[[#This Row],[M1]]),FALSE)="","",VLOOKUP(T_BilanSocial[[#This Row],[NumL]],T_TraitDi[#Data],COLUMN(T_TraitDi[[#This Row],[M1]]),FALSE))</f>
        <v>#VALUE!</v>
      </c>
      <c r="X43" s="176" t="e">
        <f>IF(VLOOKUP(T_BilanSocial[[#This Row],[NumL]],T_TraitDi[#Data],COLUMN(T_TraitDi[[#This Row],[M2]]),FALSE)="","",VLOOKUP(T_BilanSocial[[#This Row],[NumL]],T_TraitDi[#Data],COLUMN(T_TraitDi[[#This Row],[M2]]),FALSE))</f>
        <v>#VALUE!</v>
      </c>
      <c r="Y43" s="176" t="e">
        <f>IF(VLOOKUP(T_BilanSocial[[#This Row],[NumL]],T_TraitDi[#Data],COLUMN(T_TraitDi[[#This Row],[M3]]),FALSE)="","",VLOOKUP(T_BilanSocial[[#This Row],[NumL]],T_TraitDi[#Data],COLUMN(T_TraitDi[[#This Row],[M3]]),FALSE))</f>
        <v>#VALUE!</v>
      </c>
      <c r="Z43" s="176" t="str">
        <f t="shared" si="5"/>
        <v/>
      </c>
      <c r="AA43" s="176" t="e">
        <f>IF(VLOOKUP(T_BilanSocial[[#This Row],[NumL]],T_TraitDi[#Data],COLUMN(T_TraitDi[[#This Row],[M5]]),FALSE)="","",VLOOKUP(T_BilanSocial[[#This Row],[NumL]],T_TraitDi[#Data],COLUMN(T_TraitDi[[#This Row],[M5]]),FALSE))</f>
        <v>#VALUE!</v>
      </c>
      <c r="AB43" s="176" t="e">
        <f>IF(VLOOKUP(T_BilanSocial[[#This Row],[NumL]],T_TraitDi[#Data],COLUMN(T_TraitDi[[#This Row],[M6]]),FALSE)="","",VLOOKUP(T_BilanSocial[[#This Row],[NumL]],T_TraitDi[#Data],COLUMN(T_TraitDi[[#This Row],[M6]]),FALSE))</f>
        <v>#VALUE!</v>
      </c>
      <c r="AC43" s="165" t="e">
        <f t="shared" si="4"/>
        <v>#VALUE!</v>
      </c>
      <c r="AD43" s="188" t="str">
        <f>IFERROR(TEXT(VLOOKUP(T_BilanSocial[[#This Row],[NumL]],T_TraitDi[#Data],COLUMN(T_TraitDi[[#This Row],[Q2]]),FALSE),"###%"),"")</f>
        <v/>
      </c>
      <c r="AE43" s="97" t="e">
        <f>VLOOKUP(T_BilanSocial[[#This Row],[NumL]],T_TraitDi[#Data],COLUMN(T_TraitDi[[#This Row],[Reg Ponct]]),FALSE)</f>
        <v>#VALUE!</v>
      </c>
      <c r="AF43" s="97" t="e">
        <f>VLOOKUP(T_BilanSocial[NumL],T_TraitDi[#Data],COLUMN(T_TraitDi[[#This Row],[Jours flottants]]),FALSE)</f>
        <v>#VALUE!</v>
      </c>
      <c r="AG43" s="97" t="str">
        <f>IFERROR(VLOOKUP(T_BilanSocial[[#This Row],[NumL]],T_TraitDi[#Data],COLUMN(T_TraitDi[[#This Row],[Lundi]]),FALSE),"")</f>
        <v/>
      </c>
      <c r="AH43" s="172" t="e">
        <f>IF(VLOOKUP(T_BilanSocial[[#This Row],[NumL]],T_TraitDi[#Data],COLUMN(T_TraitDi[[#This Row],[Colonne3]]),FALSE)=0,"",TEXT(IFERROR(VLOOKUP(T_BilanSocial[[#This Row],[NumL]],T_TraitDi[#Data],COLUMN(T_TraitDi[[#This Row],[Colonne3]]),FALSE),""),"[hh]:mm"))</f>
        <v>#VALUE!</v>
      </c>
      <c r="AI43" s="172" t="e">
        <f>IF(VLOOKUP(T_BilanSocial[[#This Row],[NumL]],T_TraitDi[#Data],COLUMN(T_TraitDi[[#This Row],[Colonne4]]),FALSE)=0,"",TEXT(IFERROR(VLOOKUP(T_BilanSocial[[#This Row],[NumL]],T_TraitDi[#Data],COLUMN(T_TraitDi[[#This Row],[Colonne4]]),FALSE),""),"[hh]:mm"))</f>
        <v>#VALUE!</v>
      </c>
      <c r="AJ43" s="172" t="e">
        <f>IF(VLOOKUP(T_BilanSocial[[#This Row],[NumL]],T_TraitDi[#Data],COLUMN(T_TraitDi[[#This Row],[Colonne5]]),FALSE)=0,"",TEXT(IFERROR(VLOOKUP(T_BilanSocial[[#This Row],[NumL]],T_TraitDi[#Data],COLUMN(T_TraitDi[[#This Row],[Colonne5]]),FALSE),""),"[hh]:mm"))</f>
        <v>#VALUE!</v>
      </c>
      <c r="AK43" s="172" t="e">
        <f>IF(VLOOKUP(T_BilanSocial[[#This Row],[NumL]],T_TraitDi[#Data],COLUMN(T_TraitDi[[#This Row],[Colonne6]]),FALSE)=0,"",TEXT(IFERROR(VLOOKUP(T_BilanSocial[[#This Row],[NumL]],T_TraitDi[#Data],COLUMN(T_TraitDi[[#This Row],[Colonne6]]),FALSE),""),"[hh]:mm"))</f>
        <v>#VALUE!</v>
      </c>
      <c r="AL43" s="172" t="e">
        <f>IF(VLOOKUP(T_BilanSocial[[#This Row],[NumL]],T_TraitDi[#Data],COLUMN(T_TraitDi[[#This Row],[Colonne7]]),FALSE)=0,"",TEXT(IFERROR(VLOOKUP(T_BilanSocial[[#This Row],[NumL]],T_TraitDi[#Data],COLUMN(T_TraitDi[[#This Row],[Colonne7]]),FALSE),""),"[hh]:mm"))</f>
        <v>#VALUE!</v>
      </c>
      <c r="AM43" s="172" t="e">
        <f>IF(VLOOKUP(T_BilanSocial[[#This Row],[NumL]],T_TraitDi[#Data],COLUMN(T_TraitDi[[#This Row],[Colonne8]]),FALSE)=0,"",TEXT(IFERROR(VLOOKUP(T_BilanSocial[[#This Row],[NumL]],T_TraitDi[#Data],COLUMN(T_TraitDi[[#This Row],[Colonne8]]),FALSE),""),"[hh]:mm"))</f>
        <v>#VALUE!</v>
      </c>
      <c r="AN43" s="172" t="str">
        <f>IFERROR(VLOOKUP(T_BilanSocial[[#This Row],[NumL]],T_TraitDi[#Data],COLUMN(T_TraitDi[[#This Row],[Mardi]]),FALSE),"")</f>
        <v/>
      </c>
      <c r="AO43" s="172" t="e">
        <f>IF(VLOOKUP(T_BilanSocial[[#This Row],[NumL]],T_TraitDi[#Data],COLUMN(T_TraitDi[[#This Row],[Colonne1]]),FALSE)=0,"",TEXT(IFERROR(VLOOKUP(T_BilanSocial[[#This Row],[NumL]],T_TraitDi[#Data],COLUMN(T_TraitDi[[#This Row],[Colonne1]]),FALSE),""),"[hh]:mm"))</f>
        <v>#VALUE!</v>
      </c>
      <c r="AP43" s="172" t="e">
        <f>IF(VLOOKUP(T_BilanSocial[[#This Row],[NumL]],T_TraitDi[#Data],COLUMN(T_TraitDi[[#This Row],[Colonne9]]),FALSE)=0,"",TEXT(IFERROR(VLOOKUP(T_BilanSocial[[#This Row],[NumL]],T_TraitDi[#Data],COLUMN(T_TraitDi[[#This Row],[Colonne9]]),FALSE),""),"[hh]:mm"))</f>
        <v>#VALUE!</v>
      </c>
      <c r="AQ43" s="172" t="str">
        <f>IFERROR(VLOOKUP(T_BilanSocial[[#This Row],[NumL]],T_TraitDi[#Data],COLUMN(T_TraitDi[[#This Row],[Colonne10]]),FALSE),"")</f>
        <v/>
      </c>
      <c r="AR43" s="172" t="e">
        <f>IF(VLOOKUP(T_BilanSocial[[#This Row],[NumL]],T_TraitDi[#Data],COLUMN(T_TraitDi[[#This Row],[Colonne11]]),FALSE)=0,"",TEXT(IFERROR(VLOOKUP(T_BilanSocial[[#This Row],[NumL]],T_TraitDi[#Data],COLUMN(T_TraitDi[[#This Row],[Colonne11]]),FALSE),""),"[hh]:mm"))</f>
        <v>#VALUE!</v>
      </c>
      <c r="AS43" s="172" t="e">
        <f>IF(VLOOKUP(T_BilanSocial[[#This Row],[NumL]],T_TraitDi[#Data],COLUMN(T_TraitDi[[#This Row],[Colonne12]]),FALSE)=0,"",TEXT(IFERROR(VLOOKUP(T_BilanSocial[[#This Row],[NumL]],T_TraitDi[#Data],COLUMN(T_TraitDi[[#This Row],[Colonne12]]),FALSE),""),"[hh]:mm"))</f>
        <v>#VALUE!</v>
      </c>
      <c r="AT43" s="172" t="e">
        <f>IF(VLOOKUP(T_BilanSocial[[#This Row],[NumL]],T_TraitDi[#Data],COLUMN(T_TraitDi[[#This Row],[Colonne14]]),FALSE)=0,"",TEXT(IFERROR(VLOOKUP(T_BilanSocial[[#This Row],[NumL]],T_TraitDi[#Data],COLUMN(T_TraitDi[[#This Row],[Colonne14]]),FALSE),""),"[hh]:mm"))</f>
        <v>#VALUE!</v>
      </c>
      <c r="AU43" s="172" t="str">
        <f>IFERROR(VLOOKUP(T_BilanSocial[[#This Row],[NumL]],T_TraitDi[#Data],COLUMN(T_TraitDi[[#This Row],[Mercredi]]),FALSE),"")</f>
        <v/>
      </c>
      <c r="AV43" s="172" t="e">
        <f>IF(VLOOKUP(T_BilanSocial[[#This Row],[NumL]],T_TraitDi[#Data],COLUMN(T_TraitDi[[#This Row],[Colonne15]]),FALSE)=0,"",TEXT(IFERROR(VLOOKUP(T_BilanSocial[[#This Row],[NumL]],T_TraitDi[#Data],COLUMN(T_TraitDi[[#This Row],[Colonne15]]),FALSE),""),"[hh]:mm"))</f>
        <v>#VALUE!</v>
      </c>
      <c r="AW43" s="172" t="e">
        <f>IF(VLOOKUP(T_BilanSocial[[#This Row],[NumL]],T_TraitDi[#Data],COLUMN(T_TraitDi[[#This Row],[Colonne16]]),FALSE)=0,"",TEXT(IFERROR(VLOOKUP(T_BilanSocial[[#This Row],[NumL]],T_TraitDi[#Data],COLUMN(T_TraitDi[[#This Row],[Colonne16]]),FALSE),""),"[hh]:mm"))</f>
        <v>#VALUE!</v>
      </c>
      <c r="AX43" s="172" t="str">
        <f>IFERROR(VLOOKUP(T_BilanSocial[[#This Row],[NumL]],T_TraitDi[#Data],COLUMN(T_TraitDi[[#This Row],[Colonne17]]),FALSE),"")</f>
        <v/>
      </c>
      <c r="AY43" s="172" t="e">
        <f>IF(VLOOKUP(T_BilanSocial[[#This Row],[NumL]],T_TraitDi[#Data],COLUMN(T_TraitDi[[#This Row],[Colonne18]]),FALSE)=0,"",TEXT(IFERROR(VLOOKUP(T_BilanSocial[[#This Row],[NumL]],T_TraitDi[#Data],COLUMN(T_TraitDi[[#This Row],[Colonne18]]),FALSE),""),"[hh]:mm"))</f>
        <v>#VALUE!</v>
      </c>
      <c r="AZ43" s="172" t="e">
        <f>IF(VLOOKUP(T_BilanSocial[[#This Row],[NumL]],T_TraitDi[#Data],COLUMN(T_TraitDi[[#This Row],[Colonne19]]),FALSE)=0,"",TEXT(IFERROR(VLOOKUP(T_BilanSocial[[#This Row],[NumL]],T_TraitDi[#Data],COLUMN(T_TraitDi[[#This Row],[Colonne19]]),FALSE),""),"[hh]:mm"))</f>
        <v>#VALUE!</v>
      </c>
      <c r="BA43" s="172" t="e">
        <f>IF(VLOOKUP(T_BilanSocial[[#This Row],[NumL]],T_TraitDi[#Data],COLUMN(T_TraitDi[[#This Row],[Colonne20]]),FALSE)=0,"",TEXT(IFERROR(VLOOKUP(T_BilanSocial[[#This Row],[NumL]],T_TraitDi[#Data],COLUMN(T_TraitDi[[#This Row],[Colonne20]]),FALSE),""),"[hh]:mm"))</f>
        <v>#VALUE!</v>
      </c>
      <c r="BB43" s="178" t="str">
        <f>IFERROR(VLOOKUP(T_BilanSocial[[#This Row],[NumL]],T_TraitDi[#Data],COLUMN(T_TraitDi[[#This Row],[Jeudi]]),FALSE),"")</f>
        <v/>
      </c>
      <c r="BC43" s="178" t="e">
        <f>IF(VLOOKUP(T_BilanSocial[[#This Row],[NumL]],T_TraitDi[#Data],COLUMN(T_TraitDi[[#This Row],[Colonne21]]),FALSE)=0,"",TEXT(IFERROR(VLOOKUP(T_BilanSocial[[#This Row],[NumL]],T_TraitDi[#Data],COLUMN(T_TraitDi[[#This Row],[Colonne21]]),FALSE),""),"[hh]:mm"))</f>
        <v>#VALUE!</v>
      </c>
      <c r="BD43" s="178" t="e">
        <f>IF(VLOOKUP(T_BilanSocial[[#This Row],[NumL]],T_TraitDi[#Data],COLUMN(T_TraitDi[[#This Row],[Colonne22]]),FALSE)=0,"",TEXT(IFERROR(VLOOKUP(T_BilanSocial[[#This Row],[NumL]],T_TraitDi[#Data],COLUMN(T_TraitDi[[#This Row],[Colonne22]]),FALSE),""),"[hh]:mm"))</f>
        <v>#VALUE!</v>
      </c>
      <c r="BE43" s="178" t="str">
        <f>IFERROR(VLOOKUP(T_BilanSocial[[#This Row],[NumL]],T_TraitDi[#Data],COLUMN(T_TraitDi[[#This Row],[Colonne23]]),FALSE),"")</f>
        <v/>
      </c>
      <c r="BF43" s="178" t="e">
        <f>IF(VLOOKUP(T_BilanSocial[[#This Row],[NumL]],T_TraitDi[#Data],COLUMN(T_TraitDi[[#This Row],[Colonne24]]),FALSE)=0,"",TEXT(IFERROR(VLOOKUP(T_BilanSocial[[#This Row],[NumL]],T_TraitDi[#Data],COLUMN(T_TraitDi[[#This Row],[Colonne24]]),FALSE),""),"[hh]:mm"))</f>
        <v>#VALUE!</v>
      </c>
      <c r="BG43" s="178" t="e">
        <f>IF(VLOOKUP(T_BilanSocial[[#This Row],[NumL]],T_TraitDi[#Data],COLUMN(T_TraitDi[[#This Row],[Colonne25]]),FALSE)=0,"",TEXT(IFERROR(VLOOKUP(T_BilanSocial[[#This Row],[NumL]],T_TraitDi[#Data],COLUMN(T_TraitDi[[#This Row],[Colonne25]]),FALSE),""),"[hh]:mm"))</f>
        <v>#VALUE!</v>
      </c>
      <c r="BH43" s="178" t="e">
        <f>IF(VLOOKUP(T_BilanSocial[[#This Row],[NumL]],T_TraitDi[#Data],COLUMN(T_TraitDi[[#This Row],[Colonne26]]),FALSE)=0,"",TEXT(IFERROR(VLOOKUP(T_BilanSocial[[#This Row],[NumL]],T_TraitDi[#Data],COLUMN(T_TraitDi[[#This Row],[Colonne26]]),FALSE),""),"[hh]:mm"))</f>
        <v>#VALUE!</v>
      </c>
      <c r="BI43" s="172" t="str">
        <f>IFERROR(VLOOKUP(T_BilanSocial[[#This Row],[NumL]],T_TraitDi[#Data],COLUMN(T_TraitDi[[#This Row],[Vendredi]]),FALSE),"")</f>
        <v/>
      </c>
      <c r="BJ43" s="172" t="e">
        <f>IF(VLOOKUP(T_BilanSocial[[#This Row],[NumL]],T_TraitDi[#Data],COLUMN(T_TraitDi[[#This Row],[Colonne27]]),FALSE)=0,"",TEXT(IFERROR(VLOOKUP(T_BilanSocial[[#This Row],[NumL]],T_TraitDi[#Data],COLUMN(T_TraitDi[[#This Row],[Colonne27]]),FALSE),""),"[hh]:mm"))</f>
        <v>#VALUE!</v>
      </c>
      <c r="BK43" s="172" t="e">
        <f>IF(VLOOKUP(T_BilanSocial[[#This Row],[NumL]],T_TraitDi[#Data],COLUMN(T_TraitDi[[#This Row],[Colonne28]]),FALSE)=0,"",TEXT(IFERROR(VLOOKUP(T_BilanSocial[[#This Row],[NumL]],T_TraitDi[#Data],COLUMN(T_TraitDi[[#This Row],[Colonne28]]),FALSE),""),"[hh]:mm"))</f>
        <v>#VALUE!</v>
      </c>
      <c r="BL43" s="172" t="str">
        <f>IFERROR(VLOOKUP(T_BilanSocial[[#This Row],[NumL]],T_TraitDi[#Data],COLUMN(T_TraitDi[[#This Row],[Colonne29]]),FALSE),"")</f>
        <v/>
      </c>
      <c r="BM43" s="172" t="e">
        <f>IF(VLOOKUP(T_BilanSocial[[#This Row],[NumL]],T_TraitDi[#Data],COLUMN(T_TraitDi[[#This Row],[Colonne30]]),FALSE)=0,"",TEXT(IFERROR(VLOOKUP(T_BilanSocial[[#This Row],[NumL]],T_TraitDi[#Data],COLUMN(T_TraitDi[[#This Row],[Colonne30]]),FALSE),""),"[hh]:mm"))</f>
        <v>#VALUE!</v>
      </c>
      <c r="BN43" s="172" t="e">
        <f>IF(VLOOKUP(T_BilanSocial[[#This Row],[NumL]],T_TraitDi[#Data],COLUMN(T_TraitDi[[#This Row],[Colonne31]]),FALSE)=0,"",TEXT(IFERROR(VLOOKUP(T_BilanSocial[[#This Row],[NumL]],T_TraitDi[#Data],COLUMN(T_TraitDi[[#This Row],[Colonne31]]),FALSE),""),"[hh]:mm"))</f>
        <v>#VALUE!</v>
      </c>
      <c r="BO43" s="172" t="e">
        <f>IF(VLOOKUP(T_BilanSocial[[#This Row],[NumL]],T_TraitDi[#Data],COLUMN(T_TraitDi[[#This Row],[Colonne32]]),FALSE)=0,"",TEXT(IFERROR(VLOOKUP(T_BilanSocial[[#This Row],[NumL]],T_TraitDi[#Data],COLUMN(T_TraitDi[[#This Row],[Colonne32]]),FALSE),""),"[hh]:mm"))</f>
        <v>#VALUE!</v>
      </c>
      <c r="BP43" s="172" t="e">
        <f>VLOOKUP(T_BilanSocial[[#This Row],[NumL]],T_TraitDi[#Data],COLUMN(T_TraitDi[NbJTot]),FALSE)</f>
        <v>#N/A</v>
      </c>
      <c r="BQ43" s="174" t="str">
        <f>IFERROR(VLOOKUP(T_BilanSocial[[#This Row],[NumL]],T_TraitDi[#Data],COLUMN(T_TraitDi[[#This Row],[NbJTW]]),FALSE),"")</f>
        <v/>
      </c>
      <c r="BR43" s="174" t="e">
        <f>IF(VLOOKUP(T_BilanSocial[[#This Row],[NumL]],T_TraitDi[#Data],COLUMN(T_TraitDi[[#This Row],[NbhTW]]),FALSE)=0,"",TEXT(IFERROR(VLOOKUP(T_BilanSocial[[#This Row],[NumL]],T_TraitDi[#Data],COLUMN(T_TraitDi[[#This Row],[NbhTW]]),FALSE),""),"[hh]:mm"))</f>
        <v>#VALUE!</v>
      </c>
      <c r="BS43" s="174" t="e">
        <f>IF(VLOOKUP(T_BilanSocial[[#This Row],[NumL]],T_TraitDi[#Data],COLUMN(T_TraitDi[[#This Row],[Nbhheb]]),FALSE)=0,"",TEXT(IFERROR(VLOOKUP($A43,T_TraitDi[#Data],COLUMN(T_TraitDi[[#This Row],[Nbhheb]]),FALSE),""),"[hh]:mm"))</f>
        <v>#VALUE!</v>
      </c>
      <c r="BT43" s="182" t="str">
        <f>IFERROR(VLOOKUP(VLOOKUP($A43,T_TraitDi[#Data],COLUMN(T_TraitDi[[#This Row],[Type1]]),FALSE),TypeTW,2,FALSE),"")</f>
        <v/>
      </c>
      <c r="BU43" s="182" t="str">
        <f>IFERROR(VLOOKUP($A43,T_TraitDi[#Data],COLUMN(T_TraitDi[[#This Row],[Rue1]]),FALSE),"")</f>
        <v/>
      </c>
      <c r="BV43" s="173" t="str">
        <f>IFERROR(VLOOKUP($A43,T_TraitDi[#Data],COLUMN(T_TraitDi[[#This Row],[CP1]]),FALSE),"")</f>
        <v/>
      </c>
      <c r="BW43" s="173" t="str">
        <f>IFERROR(VLOOKUP($A43,T_TraitDi[#Data],COLUMN(T_TraitDi[[#This Row],[VILLE1]]),FALSE),"")</f>
        <v/>
      </c>
      <c r="BX43" s="182" t="str">
        <f>IFERROR(VLOOKUP(VLOOKUP($A43,T_TraitDi[#Data],COLUMN(T_TraitDi[[#This Row],[Type2]]),FALSE),TypeTW,2,FALSE),"")</f>
        <v/>
      </c>
      <c r="BY43" s="182" t="str">
        <f>IFERROR(VLOOKUP($A43,T_TraitDi[#Data],COLUMN(T_TraitDi[[#This Row],[Rue2]]),FALSE),"")</f>
        <v/>
      </c>
      <c r="BZ43" s="173" t="str">
        <f>IFERROR(VLOOKUP($A43,T_TraitDi[#Data],COLUMN(T_TraitDi[[#This Row],[CP2]]),FALSE),"")</f>
        <v/>
      </c>
      <c r="CA43" s="173" t="str">
        <f>IFERROR(VLOOKUP($A43,T_TraitDi[#Data],COLUMN(T_TraitDi[[#This Row],[VILLE2]]),FALSE),"")</f>
        <v/>
      </c>
      <c r="CB43" s="182" t="str">
        <f>IF(VLOOKUP(T_BilanSocial[[#This Row],[NumL]],T_Equipement[#Data],COLUMN(T_Equipement[[#This Row],[PC]]),FALSE)="","Aucun équipement spécifique directement lié au télétravail",VLOOKUP(T_BilanSocial[[#This Row],[NumL]],T_Equipement[#Data],COLUMN(T_Equipement[[#This Row],[PC]]),FALSE))</f>
        <v xml:space="preserve">18-020	</v>
      </c>
      <c r="CC43" s="166" t="str">
        <f>IFERROR(IF(VLOOKUP(T_BilanSocial[[#This Row],[NumL]],T_TraitDi[#Data],COLUMN(T_TraitDi[[#This Row],[Plan]]),FALSE)="OK","Un planning spécifique de télétravail est annexé à la présente convention.",""),"")</f>
        <v/>
      </c>
      <c r="CD43" s="258" t="s">
        <v>3368</v>
      </c>
      <c r="CE43" s="164" t="e">
        <f>IF(VLOOKUP(T_BilanSocial[[#This Row],[NumL]],T_suiviDi[#Data],COLUMN(T_suiviDi[[#This Row],[Entité]]),FALSE)="","",VLOOKUP(T_BilanSocial[[#This Row],[NumL]],T_suiviDi[#Data],COLUMN(T_suiviDi[[#This Row],[Entité]]),FALSE))</f>
        <v>#VALUE!</v>
      </c>
      <c r="CF43" s="164" t="str">
        <f>IF(VLOOKUP(T_BilanSocial[[#This Row],[NumL]],T_Commission[#Data],COLUMN(T_Commission[[#This Row],[envoi confirm TW]]),FALSE)="","",VLOOKUP(T_BilanSocial[[#This Row],[NumL]],T_Commission[#Data],COLUMN(T_Commission[[#This Row],[envoi confirm TW]]),FALSE))</f>
        <v>Oui</v>
      </c>
      <c r="CG4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3" s="262" t="str">
        <f>T_BilanSocial[[#This Row],[Nom]]&amp;T_BilanSocial[[#This Row],[Prenom]]</f>
        <v/>
      </c>
      <c r="CI43" s="262">
        <f>VLOOKUP(T_BilanSocial[[#This Row],[NumL]],T_Commission[#Data],COLUMN(T_Commission[Commentaire]),FALSE)</f>
        <v>0</v>
      </c>
      <c r="CJ43" s="262" t="str">
        <f>IF(VLOOKUP(T_BilanSocial[[#This Row],[NumL]],T_Commission[#Data],COLUMN(T_Commission[Encadrant Email]),FALSE)="","",VLOOKUP(T_BilanSocial[[#This Row],[NumL]],T_Commission[#Data],COLUMN(T_Commission[Encadrant Email]),FALSE))</f>
        <v/>
      </c>
      <c r="CK43" s="340" t="str">
        <f>IF(T_BilanSocial[[#This Row],[Final]]&lt;&gt;"",VLOOKUP(T_BilanSocial[[#This Row],[NumL]],T_suiviDi[#Data],COLUMN((T_suiviDi[Statut])),FALSE),"")</f>
        <v/>
      </c>
    </row>
    <row r="44" spans="1:89" s="106" customFormat="1" ht="24.75" customHeight="1" x14ac:dyDescent="0.25">
      <c r="A44" s="160">
        <v>41</v>
      </c>
      <c r="B44" s="161" t="str">
        <f t="shared" si="0"/>
        <v/>
      </c>
      <c r="C44" s="162" t="s">
        <v>3287</v>
      </c>
      <c r="D44" s="95" t="e">
        <f>IF(VLOOKUP(T_BilanSocial[[#This Row],[NumL]],T_TraitDi[#Data],COLUMN(T_TraitDi[[#This Row],[WebC]]),FALSE)="","",VLOOKUP(T_BilanSocial[[#This Row],[NumL]],T_TraitDi[#Data],COLUMN(T_TraitDi[[#This Row],[WebC]]),FALSE))</f>
        <v>#VALUE!</v>
      </c>
      <c r="E44" s="163" t="str">
        <f t="shared" si="1"/>
        <v>12 janvier 2021</v>
      </c>
      <c r="F44" s="96" t="str">
        <f>IF(T_BilanSocial[[#This Row],[Final]]&lt;&gt;"",VLOOKUP(T_BilanSocial[[#This Row],[NumL]],T_suiviDi[#Data],COLUMN((T_suiviDi[Civ.])),FALSE),"")</f>
        <v/>
      </c>
      <c r="G44" s="96" t="str">
        <f>IF(T_BilanSocial[[#This Row],[Final]]&lt;&gt;"",VLOOKUP(T_BilanSocial[[#This Row],[NumL]],T_suiviDi[#Data],COLUMN((T_suiviDi[Nom])),FALSE),"")</f>
        <v/>
      </c>
      <c r="H44" s="96" t="str">
        <f>IF(T_BilanSocial[[#This Row],[Final]]&lt;&gt;"",VLOOKUP(T_BilanSocial[[#This Row],[NumL]],T_suiviDi[#Data],COLUMN((T_suiviDi[Prénom])),FALSE),"")</f>
        <v/>
      </c>
      <c r="I44" s="96" t="str">
        <f>IFERROR(VLOOKUP(T_BilanSocial[[#This Row],[Zone_Bilan]],T_P_BilanSocial[#Data],COLUMN(T_P_BilanSocial[[#This Row],[Numero_SIHAM]]),FALSE),"")</f>
        <v/>
      </c>
      <c r="J44" s="96" t="str">
        <f>IFERROR(VLOOKUP(T_BilanSocial[[#This Row],[Zone_Bilan]],T_P_BilanSocial[#Data],COLUMN(T_P_BilanSocial[[#This Row],[Sexe]]),FALSE),"")</f>
        <v/>
      </c>
      <c r="K44" s="97" t="str">
        <f>IFERROR(VLOOKUP(T_BilanSocial[[#This Row],[Zone_Bilan]],T_P_BilanSocial[#Data],COLUMN(T_P_BilanSocial[[#This Row],[Categorie]]),FALSE),"")</f>
        <v/>
      </c>
      <c r="L44" s="96" t="str">
        <f>IFERROR(VLOOKUP(T_BilanSocial[[#This Row],[Zone_Bilan]],T_P_BilanSocial[#Data],COLUMN(T_P_BilanSocial[[#This Row],[Statut]]),FALSE),"")</f>
        <v/>
      </c>
      <c r="M44" s="96" t="str">
        <f>IFERROR(VLOOKUP(T_BilanSocial[[#This Row],[Zone_Bilan]],T_P_BilanSocial[#Data],COLUMN(T_P_BilanSocial[[#This Row],[Filiere]]),FALSE),"")</f>
        <v/>
      </c>
      <c r="N44" s="96" t="e">
        <f>VLOOKUP(T_BilanSocial[[#This Row],[NumL]],T_TraitDi[#Data],COLUMN(T_TraitDi[EXP]),FALSE)</f>
        <v>#N/A</v>
      </c>
      <c r="O44" s="96" t="e">
        <f>VLOOKUP(T_BilanSocial[[#This Row],[NumL]],T_TraitDi[#Data],COLUMN(T_TraitDi[FORM]),FALSE)</f>
        <v>#N/A</v>
      </c>
      <c r="P44" s="96" t="str">
        <f>IF(T_BilanSocial[[#This Row],[Final]]&lt;&gt;"",VLOOKUP(T_BilanSocial[[#This Row],[NumL]],T_suiviDi[#Data],COLUMN((T_suiviDi[Email])),FALSE),"")</f>
        <v/>
      </c>
      <c r="Q44" s="164" t="e">
        <f t="shared" si="7"/>
        <v>#N/A</v>
      </c>
      <c r="R44" s="164" t="e">
        <f t="shared" si="8"/>
        <v>#N/A</v>
      </c>
      <c r="S44" s="164" t="e">
        <f>IF(VLOOKUP(T_BilanSocial[[#This Row],[NumL]],T_suiviDi[#Data],COLUMN(T_suiviDi[[#This Row],[Service ]]),FALSE)="","",VLOOKUP(T_BilanSocial[[#This Row],[NumL]],T_suiviDi[#Data],COLUMN(T_suiviDi[[#This Row],[Service ]]),FALSE))</f>
        <v>#VALUE!</v>
      </c>
      <c r="T44" s="164" t="str">
        <f t="shared" si="2"/>
        <v>01 septembre 2021</v>
      </c>
      <c r="U44" s="164" t="str">
        <f t="shared" si="3"/>
        <v>30 novembre 2021</v>
      </c>
      <c r="V44" s="164" t="str">
        <f t="shared" si="6"/>
        <v>30 novembre 2021</v>
      </c>
      <c r="W44" s="176" t="e">
        <f>IF(VLOOKUP(T_BilanSocial[[#This Row],[NumL]],T_TraitDi[#Data],COLUMN(T_TraitDi[[#This Row],[M1]]),FALSE)="","",VLOOKUP(T_BilanSocial[[#This Row],[NumL]],T_TraitDi[#Data],COLUMN(T_TraitDi[[#This Row],[M1]]),FALSE))</f>
        <v>#VALUE!</v>
      </c>
      <c r="X44" s="176" t="e">
        <f>IF(VLOOKUP(T_BilanSocial[[#This Row],[NumL]],T_TraitDi[#Data],COLUMN(T_TraitDi[[#This Row],[M2]]),FALSE)="","",VLOOKUP(T_BilanSocial[[#This Row],[NumL]],T_TraitDi[#Data],COLUMN(T_TraitDi[[#This Row],[M2]]),FALSE))</f>
        <v>#VALUE!</v>
      </c>
      <c r="Y44" s="176" t="e">
        <f>IF(VLOOKUP(T_BilanSocial[[#This Row],[NumL]],T_TraitDi[#Data],COLUMN(T_TraitDi[[#This Row],[M3]]),FALSE)="","",VLOOKUP(T_BilanSocial[[#This Row],[NumL]],T_TraitDi[#Data],COLUMN(T_TraitDi[[#This Row],[M3]]),FALSE))</f>
        <v>#VALUE!</v>
      </c>
      <c r="Z44" s="176" t="str">
        <f t="shared" si="5"/>
        <v/>
      </c>
      <c r="AA44" s="176" t="e">
        <f>IF(VLOOKUP(T_BilanSocial[[#This Row],[NumL]],T_TraitDi[#Data],COLUMN(T_TraitDi[[#This Row],[M5]]),FALSE)="","",VLOOKUP(T_BilanSocial[[#This Row],[NumL]],T_TraitDi[#Data],COLUMN(T_TraitDi[[#This Row],[M5]]),FALSE))</f>
        <v>#VALUE!</v>
      </c>
      <c r="AB44" s="176" t="e">
        <f>IF(VLOOKUP(T_BilanSocial[[#This Row],[NumL]],T_TraitDi[#Data],COLUMN(T_TraitDi[[#This Row],[M6]]),FALSE)="","",VLOOKUP(T_BilanSocial[[#This Row],[NumL]],T_TraitDi[#Data],COLUMN(T_TraitDi[[#This Row],[M6]]),FALSE))</f>
        <v>#VALUE!</v>
      </c>
      <c r="AC44" s="165" t="e">
        <f t="shared" si="4"/>
        <v>#VALUE!</v>
      </c>
      <c r="AD44" s="188" t="str">
        <f>IFERROR(TEXT(VLOOKUP(T_BilanSocial[[#This Row],[NumL]],T_TraitDi[#Data],COLUMN(T_TraitDi[[#This Row],[Q2]]),FALSE),"###%"),"")</f>
        <v/>
      </c>
      <c r="AE44" s="97" t="e">
        <f>VLOOKUP(T_BilanSocial[[#This Row],[NumL]],T_TraitDi[#Data],COLUMN(T_TraitDi[[#This Row],[Reg Ponct]]),FALSE)</f>
        <v>#VALUE!</v>
      </c>
      <c r="AF44" s="97" t="e">
        <f>VLOOKUP(T_BilanSocial[NumL],T_TraitDi[#Data],COLUMN(T_TraitDi[[#This Row],[Jours flottants]]),FALSE)</f>
        <v>#VALUE!</v>
      </c>
      <c r="AG44" s="97" t="str">
        <f>IFERROR(VLOOKUP(T_BilanSocial[[#This Row],[NumL]],T_TraitDi[#Data],COLUMN(T_TraitDi[[#This Row],[Lundi]]),FALSE),"")</f>
        <v/>
      </c>
      <c r="AH44" s="172" t="e">
        <f>IF(VLOOKUP(T_BilanSocial[[#This Row],[NumL]],T_TraitDi[#Data],COLUMN(T_TraitDi[[#This Row],[Colonne3]]),FALSE)=0,"",TEXT(IFERROR(VLOOKUP(T_BilanSocial[[#This Row],[NumL]],T_TraitDi[#Data],COLUMN(T_TraitDi[[#This Row],[Colonne3]]),FALSE),""),"[hh]:mm"))</f>
        <v>#VALUE!</v>
      </c>
      <c r="AI44" s="172" t="e">
        <f>IF(VLOOKUP(T_BilanSocial[[#This Row],[NumL]],T_TraitDi[#Data],COLUMN(T_TraitDi[[#This Row],[Colonne4]]),FALSE)=0,"",TEXT(IFERROR(VLOOKUP(T_BilanSocial[[#This Row],[NumL]],T_TraitDi[#Data],COLUMN(T_TraitDi[[#This Row],[Colonne4]]),FALSE),""),"[hh]:mm"))</f>
        <v>#VALUE!</v>
      </c>
      <c r="AJ44" s="172" t="e">
        <f>IF(VLOOKUP(T_BilanSocial[[#This Row],[NumL]],T_TraitDi[#Data],COLUMN(T_TraitDi[[#This Row],[Colonne5]]),FALSE)=0,"",TEXT(IFERROR(VLOOKUP(T_BilanSocial[[#This Row],[NumL]],T_TraitDi[#Data],COLUMN(T_TraitDi[[#This Row],[Colonne5]]),FALSE),""),"[hh]:mm"))</f>
        <v>#VALUE!</v>
      </c>
      <c r="AK44" s="172" t="e">
        <f>IF(VLOOKUP(T_BilanSocial[[#This Row],[NumL]],T_TraitDi[#Data],COLUMN(T_TraitDi[[#This Row],[Colonne6]]),FALSE)=0,"",TEXT(IFERROR(VLOOKUP(T_BilanSocial[[#This Row],[NumL]],T_TraitDi[#Data],COLUMN(T_TraitDi[[#This Row],[Colonne6]]),FALSE),""),"[hh]:mm"))</f>
        <v>#VALUE!</v>
      </c>
      <c r="AL44" s="172" t="e">
        <f>IF(VLOOKUP(T_BilanSocial[[#This Row],[NumL]],T_TraitDi[#Data],COLUMN(T_TraitDi[[#This Row],[Colonne7]]),FALSE)=0,"",TEXT(IFERROR(VLOOKUP(T_BilanSocial[[#This Row],[NumL]],T_TraitDi[#Data],COLUMN(T_TraitDi[[#This Row],[Colonne7]]),FALSE),""),"[hh]:mm"))</f>
        <v>#VALUE!</v>
      </c>
      <c r="AM44" s="172" t="e">
        <f>IF(VLOOKUP(T_BilanSocial[[#This Row],[NumL]],T_TraitDi[#Data],COLUMN(T_TraitDi[[#This Row],[Colonne8]]),FALSE)=0,"",TEXT(IFERROR(VLOOKUP(T_BilanSocial[[#This Row],[NumL]],T_TraitDi[#Data],COLUMN(T_TraitDi[[#This Row],[Colonne8]]),FALSE),""),"[hh]:mm"))</f>
        <v>#VALUE!</v>
      </c>
      <c r="AN44" s="172" t="str">
        <f>IFERROR(VLOOKUP(T_BilanSocial[[#This Row],[NumL]],T_TraitDi[#Data],COLUMN(T_TraitDi[[#This Row],[Mardi]]),FALSE),"")</f>
        <v/>
      </c>
      <c r="AO44" s="172" t="e">
        <f>IF(VLOOKUP(T_BilanSocial[[#This Row],[NumL]],T_TraitDi[#Data],COLUMN(T_TraitDi[[#This Row],[Colonne1]]),FALSE)=0,"",TEXT(IFERROR(VLOOKUP(T_BilanSocial[[#This Row],[NumL]],T_TraitDi[#Data],COLUMN(T_TraitDi[[#This Row],[Colonne1]]),FALSE),""),"[hh]:mm"))</f>
        <v>#VALUE!</v>
      </c>
      <c r="AP44" s="172" t="e">
        <f>IF(VLOOKUP(T_BilanSocial[[#This Row],[NumL]],T_TraitDi[#Data],COLUMN(T_TraitDi[[#This Row],[Colonne9]]),FALSE)=0,"",TEXT(IFERROR(VLOOKUP(T_BilanSocial[[#This Row],[NumL]],T_TraitDi[#Data],COLUMN(T_TraitDi[[#This Row],[Colonne9]]),FALSE),""),"[hh]:mm"))</f>
        <v>#VALUE!</v>
      </c>
      <c r="AQ44" s="172" t="str">
        <f>IFERROR(VLOOKUP(T_BilanSocial[[#This Row],[NumL]],T_TraitDi[#Data],COLUMN(T_TraitDi[[#This Row],[Colonne10]]),FALSE),"")</f>
        <v/>
      </c>
      <c r="AR44" s="172" t="e">
        <f>IF(VLOOKUP(T_BilanSocial[[#This Row],[NumL]],T_TraitDi[#Data],COLUMN(T_TraitDi[[#This Row],[Colonne11]]),FALSE)=0,"",TEXT(IFERROR(VLOOKUP(T_BilanSocial[[#This Row],[NumL]],T_TraitDi[#Data],COLUMN(T_TraitDi[[#This Row],[Colonne11]]),FALSE),""),"[hh]:mm"))</f>
        <v>#VALUE!</v>
      </c>
      <c r="AS44" s="172" t="e">
        <f>IF(VLOOKUP(T_BilanSocial[[#This Row],[NumL]],T_TraitDi[#Data],COLUMN(T_TraitDi[[#This Row],[Colonne12]]),FALSE)=0,"",TEXT(IFERROR(VLOOKUP(T_BilanSocial[[#This Row],[NumL]],T_TraitDi[#Data],COLUMN(T_TraitDi[[#This Row],[Colonne12]]),FALSE),""),"[hh]:mm"))</f>
        <v>#VALUE!</v>
      </c>
      <c r="AT44" s="172" t="e">
        <f>IF(VLOOKUP(T_BilanSocial[[#This Row],[NumL]],T_TraitDi[#Data],COLUMN(T_TraitDi[[#This Row],[Colonne14]]),FALSE)=0,"",TEXT(IFERROR(VLOOKUP(T_BilanSocial[[#This Row],[NumL]],T_TraitDi[#Data],COLUMN(T_TraitDi[[#This Row],[Colonne14]]),FALSE),""),"[hh]:mm"))</f>
        <v>#VALUE!</v>
      </c>
      <c r="AU44" s="172" t="str">
        <f>IFERROR(VLOOKUP(T_BilanSocial[[#This Row],[NumL]],T_TraitDi[#Data],COLUMN(T_TraitDi[[#This Row],[Mercredi]]),FALSE),"")</f>
        <v/>
      </c>
      <c r="AV44" s="172" t="e">
        <f>IF(VLOOKUP(T_BilanSocial[[#This Row],[NumL]],T_TraitDi[#Data],COLUMN(T_TraitDi[[#This Row],[Colonne15]]),FALSE)=0,"",TEXT(IFERROR(VLOOKUP(T_BilanSocial[[#This Row],[NumL]],T_TraitDi[#Data],COLUMN(T_TraitDi[[#This Row],[Colonne15]]),FALSE),""),"[hh]:mm"))</f>
        <v>#VALUE!</v>
      </c>
      <c r="AW44" s="172" t="e">
        <f>IF(VLOOKUP(T_BilanSocial[[#This Row],[NumL]],T_TraitDi[#Data],COLUMN(T_TraitDi[[#This Row],[Colonne16]]),FALSE)=0,"",TEXT(IFERROR(VLOOKUP(T_BilanSocial[[#This Row],[NumL]],T_TraitDi[#Data],COLUMN(T_TraitDi[[#This Row],[Colonne16]]),FALSE),""),"[hh]:mm"))</f>
        <v>#VALUE!</v>
      </c>
      <c r="AX44" s="172" t="str">
        <f>IFERROR(VLOOKUP(T_BilanSocial[[#This Row],[NumL]],T_TraitDi[#Data],COLUMN(T_TraitDi[[#This Row],[Colonne17]]),FALSE),"")</f>
        <v/>
      </c>
      <c r="AY44" s="172" t="e">
        <f>IF(VLOOKUP(T_BilanSocial[[#This Row],[NumL]],T_TraitDi[#Data],COLUMN(T_TraitDi[[#This Row],[Colonne18]]),FALSE)=0,"",TEXT(IFERROR(VLOOKUP(T_BilanSocial[[#This Row],[NumL]],T_TraitDi[#Data],COLUMN(T_TraitDi[[#This Row],[Colonne18]]),FALSE),""),"[hh]:mm"))</f>
        <v>#VALUE!</v>
      </c>
      <c r="AZ44" s="172" t="e">
        <f>IF(VLOOKUP(T_BilanSocial[[#This Row],[NumL]],T_TraitDi[#Data],COLUMN(T_TraitDi[[#This Row],[Colonne19]]),FALSE)=0,"",TEXT(IFERROR(VLOOKUP(T_BilanSocial[[#This Row],[NumL]],T_TraitDi[#Data],COLUMN(T_TraitDi[[#This Row],[Colonne19]]),FALSE),""),"[hh]:mm"))</f>
        <v>#VALUE!</v>
      </c>
      <c r="BA44" s="172" t="e">
        <f>IF(VLOOKUP(T_BilanSocial[[#This Row],[NumL]],T_TraitDi[#Data],COLUMN(T_TraitDi[[#This Row],[Colonne20]]),FALSE)=0,"",TEXT(IFERROR(VLOOKUP(T_BilanSocial[[#This Row],[NumL]],T_TraitDi[#Data],COLUMN(T_TraitDi[[#This Row],[Colonne20]]),FALSE),""),"[hh]:mm"))</f>
        <v>#VALUE!</v>
      </c>
      <c r="BB44" s="178" t="str">
        <f>IFERROR(VLOOKUP(T_BilanSocial[[#This Row],[NumL]],T_TraitDi[#Data],COLUMN(T_TraitDi[[#This Row],[Jeudi]]),FALSE),"")</f>
        <v/>
      </c>
      <c r="BC44" s="178" t="e">
        <f>IF(VLOOKUP(T_BilanSocial[[#This Row],[NumL]],T_TraitDi[#Data],COLUMN(T_TraitDi[[#This Row],[Colonne21]]),FALSE)=0,"",TEXT(IFERROR(VLOOKUP(T_BilanSocial[[#This Row],[NumL]],T_TraitDi[#Data],COLUMN(T_TraitDi[[#This Row],[Colonne21]]),FALSE),""),"[hh]:mm"))</f>
        <v>#VALUE!</v>
      </c>
      <c r="BD44" s="178" t="e">
        <f>IF(VLOOKUP(T_BilanSocial[[#This Row],[NumL]],T_TraitDi[#Data],COLUMN(T_TraitDi[[#This Row],[Colonne22]]),FALSE)=0,"",TEXT(IFERROR(VLOOKUP(T_BilanSocial[[#This Row],[NumL]],T_TraitDi[#Data],COLUMN(T_TraitDi[[#This Row],[Colonne22]]),FALSE),""),"[hh]:mm"))</f>
        <v>#VALUE!</v>
      </c>
      <c r="BE44" s="178" t="str">
        <f>IFERROR(VLOOKUP(T_BilanSocial[[#This Row],[NumL]],T_TraitDi[#Data],COLUMN(T_TraitDi[[#This Row],[Colonne23]]),FALSE),"")</f>
        <v/>
      </c>
      <c r="BF44" s="178" t="e">
        <f>IF(VLOOKUP(T_BilanSocial[[#This Row],[NumL]],T_TraitDi[#Data],COLUMN(T_TraitDi[[#This Row],[Colonne24]]),FALSE)=0,"",TEXT(IFERROR(VLOOKUP(T_BilanSocial[[#This Row],[NumL]],T_TraitDi[#Data],COLUMN(T_TraitDi[[#This Row],[Colonne24]]),FALSE),""),"[hh]:mm"))</f>
        <v>#VALUE!</v>
      </c>
      <c r="BG44" s="178" t="e">
        <f>IF(VLOOKUP(T_BilanSocial[[#This Row],[NumL]],T_TraitDi[#Data],COLUMN(T_TraitDi[[#This Row],[Colonne25]]),FALSE)=0,"",TEXT(IFERROR(VLOOKUP(T_BilanSocial[[#This Row],[NumL]],T_TraitDi[#Data],COLUMN(T_TraitDi[[#This Row],[Colonne25]]),FALSE),""),"[hh]:mm"))</f>
        <v>#VALUE!</v>
      </c>
      <c r="BH44" s="178" t="e">
        <f>IF(VLOOKUP(T_BilanSocial[[#This Row],[NumL]],T_TraitDi[#Data],COLUMN(T_TraitDi[[#This Row],[Colonne26]]),FALSE)=0,"",TEXT(IFERROR(VLOOKUP(T_BilanSocial[[#This Row],[NumL]],T_TraitDi[#Data],COLUMN(T_TraitDi[[#This Row],[Colonne26]]),FALSE),""),"[hh]:mm"))</f>
        <v>#VALUE!</v>
      </c>
      <c r="BI44" s="172" t="str">
        <f>IFERROR(VLOOKUP(T_BilanSocial[[#This Row],[NumL]],T_TraitDi[#Data],COLUMN(T_TraitDi[[#This Row],[Vendredi]]),FALSE),"")</f>
        <v/>
      </c>
      <c r="BJ44" s="172" t="e">
        <f>IF(VLOOKUP(T_BilanSocial[[#This Row],[NumL]],T_TraitDi[#Data],COLUMN(T_TraitDi[[#This Row],[Colonne27]]),FALSE)=0,"",TEXT(IFERROR(VLOOKUP(T_BilanSocial[[#This Row],[NumL]],T_TraitDi[#Data],COLUMN(T_TraitDi[[#This Row],[Colonne27]]),FALSE),""),"[hh]:mm"))</f>
        <v>#VALUE!</v>
      </c>
      <c r="BK44" s="172" t="e">
        <f>IF(VLOOKUP(T_BilanSocial[[#This Row],[NumL]],T_TraitDi[#Data],COLUMN(T_TraitDi[[#This Row],[Colonne28]]),FALSE)=0,"",TEXT(IFERROR(VLOOKUP(T_BilanSocial[[#This Row],[NumL]],T_TraitDi[#Data],COLUMN(T_TraitDi[[#This Row],[Colonne28]]),FALSE),""),"[hh]:mm"))</f>
        <v>#VALUE!</v>
      </c>
      <c r="BL44" s="172" t="str">
        <f>IFERROR(VLOOKUP(T_BilanSocial[[#This Row],[NumL]],T_TraitDi[#Data],COLUMN(T_TraitDi[[#This Row],[Colonne29]]),FALSE),"")</f>
        <v/>
      </c>
      <c r="BM44" s="172" t="e">
        <f>IF(VLOOKUP(T_BilanSocial[[#This Row],[NumL]],T_TraitDi[#Data],COLUMN(T_TraitDi[[#This Row],[Colonne30]]),FALSE)=0,"",TEXT(IFERROR(VLOOKUP(T_BilanSocial[[#This Row],[NumL]],T_TraitDi[#Data],COLUMN(T_TraitDi[[#This Row],[Colonne30]]),FALSE),""),"[hh]:mm"))</f>
        <v>#VALUE!</v>
      </c>
      <c r="BN44" s="172" t="e">
        <f>IF(VLOOKUP(T_BilanSocial[[#This Row],[NumL]],T_TraitDi[#Data],COLUMN(T_TraitDi[[#This Row],[Colonne31]]),FALSE)=0,"",TEXT(IFERROR(VLOOKUP(T_BilanSocial[[#This Row],[NumL]],T_TraitDi[#Data],COLUMN(T_TraitDi[[#This Row],[Colonne31]]),FALSE),""),"[hh]:mm"))</f>
        <v>#VALUE!</v>
      </c>
      <c r="BO44" s="172" t="e">
        <f>IF(VLOOKUP(T_BilanSocial[[#This Row],[NumL]],T_TraitDi[#Data],COLUMN(T_TraitDi[[#This Row],[Colonne32]]),FALSE)=0,"",TEXT(IFERROR(VLOOKUP(T_BilanSocial[[#This Row],[NumL]],T_TraitDi[#Data],COLUMN(T_TraitDi[[#This Row],[Colonne32]]),FALSE),""),"[hh]:mm"))</f>
        <v>#VALUE!</v>
      </c>
      <c r="BP44" s="172" t="e">
        <f>VLOOKUP(T_BilanSocial[[#This Row],[NumL]],T_TraitDi[#Data],COLUMN(T_TraitDi[NbJTot]),FALSE)</f>
        <v>#N/A</v>
      </c>
      <c r="BQ44" s="174" t="str">
        <f>IFERROR(VLOOKUP(T_BilanSocial[[#This Row],[NumL]],T_TraitDi[#Data],COLUMN(T_TraitDi[[#This Row],[NbJTW]]),FALSE),"")</f>
        <v/>
      </c>
      <c r="BR44" s="174" t="e">
        <f>IF(VLOOKUP(T_BilanSocial[[#This Row],[NumL]],T_TraitDi[#Data],COLUMN(T_TraitDi[[#This Row],[NbhTW]]),FALSE)=0,"",TEXT(IFERROR(VLOOKUP(T_BilanSocial[[#This Row],[NumL]],T_TraitDi[#Data],COLUMN(T_TraitDi[[#This Row],[NbhTW]]),FALSE),""),"[hh]:mm"))</f>
        <v>#VALUE!</v>
      </c>
      <c r="BS44" s="174" t="e">
        <f>IF(VLOOKUP(T_BilanSocial[[#This Row],[NumL]],T_TraitDi[#Data],COLUMN(T_TraitDi[[#This Row],[Nbhheb]]),FALSE)=0,"",TEXT(IFERROR(VLOOKUP($A44,T_TraitDi[#Data],COLUMN(T_TraitDi[[#This Row],[Nbhheb]]),FALSE),""),"[hh]:mm"))</f>
        <v>#VALUE!</v>
      </c>
      <c r="BT44" s="182" t="str">
        <f>IFERROR(VLOOKUP(VLOOKUP($A44,T_TraitDi[#Data],COLUMN(T_TraitDi[[#This Row],[Type1]]),FALSE),TypeTW,2,FALSE),"")</f>
        <v/>
      </c>
      <c r="BU44" s="182" t="str">
        <f>IFERROR(VLOOKUP($A44,T_TraitDi[#Data],COLUMN(T_TraitDi[[#This Row],[Rue1]]),FALSE),"")</f>
        <v/>
      </c>
      <c r="BV44" s="173" t="str">
        <f>IFERROR(VLOOKUP($A44,T_TraitDi[#Data],COLUMN(T_TraitDi[[#This Row],[CP1]]),FALSE),"")</f>
        <v/>
      </c>
      <c r="BW44" s="173" t="str">
        <f>IFERROR(VLOOKUP($A44,T_TraitDi[#Data],COLUMN(T_TraitDi[[#This Row],[VILLE1]]),FALSE),"")</f>
        <v/>
      </c>
      <c r="BX44" s="182" t="str">
        <f>IFERROR(VLOOKUP(VLOOKUP($A44,T_TraitDi[#Data],COLUMN(T_TraitDi[[#This Row],[Type2]]),FALSE),TypeTW,2,FALSE),"")</f>
        <v/>
      </c>
      <c r="BY44" s="182" t="str">
        <f>IFERROR(VLOOKUP($A44,T_TraitDi[#Data],COLUMN(T_TraitDi[[#This Row],[Rue2]]),FALSE),"")</f>
        <v/>
      </c>
      <c r="BZ44" s="173" t="str">
        <f>IFERROR(VLOOKUP($A44,T_TraitDi[#Data],COLUMN(T_TraitDi[[#This Row],[CP2]]),FALSE),"")</f>
        <v/>
      </c>
      <c r="CA44" s="173" t="str">
        <f>IFERROR(VLOOKUP($A44,T_TraitDi[#Data],COLUMN(T_TraitDi[[#This Row],[VILLE2]]),FALSE),"")</f>
        <v/>
      </c>
      <c r="CB44" s="182" t="str">
        <f>IF(VLOOKUP(T_BilanSocial[[#This Row],[NumL]],T_Equipement[#Data],COLUMN(T_Equipement[[#This Row],[PC]]),FALSE)="","Aucun équipement spécifique directement lié au télétravail",VLOOKUP(T_BilanSocial[[#This Row],[NumL]],T_Equipement[#Data],COLUMN(T_Equipement[[#This Row],[PC]]),FALSE))</f>
        <v xml:space="preserve">20-068	</v>
      </c>
      <c r="CC44" s="166" t="str">
        <f>IFERROR(IF(VLOOKUP(T_BilanSocial[[#This Row],[NumL]],T_TraitDi[#Data],COLUMN(T_TraitDi[[#This Row],[Plan]]),FALSE)="OK","Un planning spécifique de télétravail est annexé à la présente convention.",""),"")</f>
        <v/>
      </c>
      <c r="CD44" s="185"/>
      <c r="CE44" s="164" t="e">
        <f>IF(VLOOKUP(T_BilanSocial[[#This Row],[NumL]],T_suiviDi[#Data],COLUMN(T_suiviDi[[#This Row],[Entité]]),FALSE)="","",VLOOKUP(T_BilanSocial[[#This Row],[NumL]],T_suiviDi[#Data],COLUMN(T_suiviDi[[#This Row],[Entité]]),FALSE))</f>
        <v>#VALUE!</v>
      </c>
      <c r="CF44" s="164" t="str">
        <f>IF(VLOOKUP(T_BilanSocial[[#This Row],[NumL]],T_Commission[#Data],COLUMN(T_Commission[[#This Row],[envoi confirm TW]]),FALSE)="","",VLOOKUP(T_BilanSocial[[#This Row],[NumL]],T_Commission[#Data],COLUMN(T_Commission[[#This Row],[envoi confirm TW]]),FALSE))</f>
        <v>Oui</v>
      </c>
      <c r="CG4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4" s="262" t="str">
        <f>T_BilanSocial[[#This Row],[Nom]]&amp;T_BilanSocial[[#This Row],[Prenom]]</f>
        <v/>
      </c>
      <c r="CI44" s="262">
        <f>VLOOKUP(T_BilanSocial[[#This Row],[NumL]],T_Commission[#Data],COLUMN(T_Commission[Commentaire]),FALSE)</f>
        <v>0</v>
      </c>
      <c r="CJ44" s="262" t="str">
        <f>IF(VLOOKUP(T_BilanSocial[[#This Row],[NumL]],T_Commission[#Data],COLUMN(T_Commission[Encadrant Email]),FALSE)="","",VLOOKUP(T_BilanSocial[[#This Row],[NumL]],T_Commission[#Data],COLUMN(T_Commission[Encadrant Email]),FALSE))</f>
        <v/>
      </c>
      <c r="CK44" s="340" t="str">
        <f>IF(T_BilanSocial[[#This Row],[Final]]&lt;&gt;"",VLOOKUP(T_BilanSocial[[#This Row],[NumL]],T_suiviDi[#Data],COLUMN((T_suiviDi[Statut])),FALSE),"")</f>
        <v/>
      </c>
    </row>
    <row r="45" spans="1:89" s="106" customFormat="1" ht="24.75" customHeight="1" x14ac:dyDescent="0.25">
      <c r="A45" s="160">
        <v>42</v>
      </c>
      <c r="B45" s="161" t="str">
        <f t="shared" si="0"/>
        <v/>
      </c>
      <c r="C45" s="162" t="s">
        <v>142</v>
      </c>
      <c r="D45" s="95" t="e">
        <f>IF(VLOOKUP(T_BilanSocial[[#This Row],[NumL]],T_TraitDi[#Data],COLUMN(T_TraitDi[[#This Row],[WebC]]),FALSE)="","",VLOOKUP(T_BilanSocial[[#This Row],[NumL]],T_TraitDi[#Data],COLUMN(T_TraitDi[[#This Row],[WebC]]),FALSE))</f>
        <v>#VALUE!</v>
      </c>
      <c r="E45" s="163" t="str">
        <f t="shared" si="1"/>
        <v>12 janvier 2021</v>
      </c>
      <c r="F45" s="96" t="str">
        <f>IF(T_BilanSocial[[#This Row],[Final]]&lt;&gt;"",VLOOKUP(T_BilanSocial[[#This Row],[NumL]],T_suiviDi[#Data],COLUMN((T_suiviDi[Civ.])),FALSE),"")</f>
        <v/>
      </c>
      <c r="G45" s="96" t="str">
        <f>IF(T_BilanSocial[[#This Row],[Final]]&lt;&gt;"",VLOOKUP(T_BilanSocial[[#This Row],[NumL]],T_suiviDi[#Data],COLUMN((T_suiviDi[Nom])),FALSE),"")</f>
        <v/>
      </c>
      <c r="H45" s="96" t="str">
        <f>IF(T_BilanSocial[[#This Row],[Final]]&lt;&gt;"",VLOOKUP(T_BilanSocial[[#This Row],[NumL]],T_suiviDi[#Data],COLUMN((T_suiviDi[Prénom])),FALSE),"")</f>
        <v/>
      </c>
      <c r="I45" s="96" t="str">
        <f>IFERROR(VLOOKUP(T_BilanSocial[[#This Row],[Zone_Bilan]],T_P_BilanSocial[#Data],COLUMN(T_P_BilanSocial[[#This Row],[Numero_SIHAM]]),FALSE),"")</f>
        <v/>
      </c>
      <c r="J45" s="96" t="str">
        <f>IFERROR(VLOOKUP(T_BilanSocial[[#This Row],[Zone_Bilan]],T_P_BilanSocial[#Data],COLUMN(T_P_BilanSocial[[#This Row],[Sexe]]),FALSE),"")</f>
        <v/>
      </c>
      <c r="K45" s="97" t="str">
        <f>IFERROR(VLOOKUP(T_BilanSocial[[#This Row],[Zone_Bilan]],T_P_BilanSocial[#Data],COLUMN(T_P_BilanSocial[[#This Row],[Categorie]]),FALSE),"")</f>
        <v/>
      </c>
      <c r="L45" s="96" t="str">
        <f>IFERROR(VLOOKUP(T_BilanSocial[[#This Row],[Zone_Bilan]],T_P_BilanSocial[#Data],COLUMN(T_P_BilanSocial[[#This Row],[Statut]]),FALSE),"")</f>
        <v/>
      </c>
      <c r="M45" s="96" t="str">
        <f>IFERROR(VLOOKUP(T_BilanSocial[[#This Row],[Zone_Bilan]],T_P_BilanSocial[#Data],COLUMN(T_P_BilanSocial[[#This Row],[Filiere]]),FALSE),"")</f>
        <v/>
      </c>
      <c r="N45" s="96" t="e">
        <f>VLOOKUP(T_BilanSocial[[#This Row],[NumL]],T_TraitDi[#Data],COLUMN(T_TraitDi[EXP]),FALSE)</f>
        <v>#N/A</v>
      </c>
      <c r="O45" s="96" t="e">
        <f>VLOOKUP(T_BilanSocial[[#This Row],[NumL]],T_TraitDi[#Data],COLUMN(T_TraitDi[FORM]),FALSE)</f>
        <v>#N/A</v>
      </c>
      <c r="P45" s="96" t="str">
        <f>IF(T_BilanSocial[[#This Row],[Final]]&lt;&gt;"",VLOOKUP(T_BilanSocial[[#This Row],[NumL]],T_suiviDi[#Data],COLUMN((T_suiviDi[Email])),FALSE),"")</f>
        <v/>
      </c>
      <c r="Q45" s="164" t="e">
        <f t="shared" si="7"/>
        <v>#N/A</v>
      </c>
      <c r="R45" s="164" t="e">
        <f t="shared" si="8"/>
        <v>#N/A</v>
      </c>
      <c r="S45" s="164" t="e">
        <f>IF(VLOOKUP(T_BilanSocial[[#This Row],[NumL]],T_suiviDi[#Data],COLUMN(T_suiviDi[[#This Row],[Service ]]),FALSE)="","",VLOOKUP(T_BilanSocial[[#This Row],[NumL]],T_suiviDi[#Data],COLUMN(T_suiviDi[[#This Row],[Service ]]),FALSE))</f>
        <v>#VALUE!</v>
      </c>
      <c r="T45" s="164" t="str">
        <f t="shared" si="2"/>
        <v>01 septembre 2021</v>
      </c>
      <c r="U45" s="164" t="str">
        <f t="shared" si="3"/>
        <v>30 novembre 2021</v>
      </c>
      <c r="V45" s="164" t="str">
        <f t="shared" si="6"/>
        <v>30 novembre 2021</v>
      </c>
      <c r="W45" s="176" t="e">
        <f>IF(VLOOKUP(T_BilanSocial[[#This Row],[NumL]],T_TraitDi[#Data],COLUMN(T_TraitDi[[#This Row],[M1]]),FALSE)="","",VLOOKUP(T_BilanSocial[[#This Row],[NumL]],T_TraitDi[#Data],COLUMN(T_TraitDi[[#This Row],[M1]]),FALSE))</f>
        <v>#VALUE!</v>
      </c>
      <c r="X45" s="176" t="e">
        <f>IF(VLOOKUP(T_BilanSocial[[#This Row],[NumL]],T_TraitDi[#Data],COLUMN(T_TraitDi[[#This Row],[M2]]),FALSE)="","",VLOOKUP(T_BilanSocial[[#This Row],[NumL]],T_TraitDi[#Data],COLUMN(T_TraitDi[[#This Row],[M2]]),FALSE))</f>
        <v>#VALUE!</v>
      </c>
      <c r="Y45" s="176" t="e">
        <f>IF(VLOOKUP(T_BilanSocial[[#This Row],[NumL]],T_TraitDi[#Data],COLUMN(T_TraitDi[[#This Row],[M3]]),FALSE)="","",VLOOKUP(T_BilanSocial[[#This Row],[NumL]],T_TraitDi[#Data],COLUMN(T_TraitDi[[#This Row],[M3]]),FALSE))</f>
        <v>#VALUE!</v>
      </c>
      <c r="Z45" s="176" t="str">
        <f t="shared" si="5"/>
        <v/>
      </c>
      <c r="AA45" s="176" t="e">
        <f>IF(VLOOKUP(T_BilanSocial[[#This Row],[NumL]],T_TraitDi[#Data],COLUMN(T_TraitDi[[#This Row],[M5]]),FALSE)="","",VLOOKUP(T_BilanSocial[[#This Row],[NumL]],T_TraitDi[#Data],COLUMN(T_TraitDi[[#This Row],[M5]]),FALSE))</f>
        <v>#VALUE!</v>
      </c>
      <c r="AB45" s="176" t="e">
        <f>IF(VLOOKUP(T_BilanSocial[[#This Row],[NumL]],T_TraitDi[#Data],COLUMN(T_TraitDi[[#This Row],[M6]]),FALSE)="","",VLOOKUP(T_BilanSocial[[#This Row],[NumL]],T_TraitDi[#Data],COLUMN(T_TraitDi[[#This Row],[M6]]),FALSE))</f>
        <v>#VALUE!</v>
      </c>
      <c r="AC45" s="165" t="e">
        <f t="shared" si="4"/>
        <v>#VALUE!</v>
      </c>
      <c r="AD45" s="188" t="str">
        <f>IFERROR(TEXT(VLOOKUP(T_BilanSocial[[#This Row],[NumL]],T_TraitDi[#Data],COLUMN(T_TraitDi[[#This Row],[Q2]]),FALSE),"###%"),"")</f>
        <v/>
      </c>
      <c r="AE45" s="97" t="e">
        <f>VLOOKUP(T_BilanSocial[[#This Row],[NumL]],T_TraitDi[#Data],COLUMN(T_TraitDi[[#This Row],[Reg Ponct]]),FALSE)</f>
        <v>#VALUE!</v>
      </c>
      <c r="AF45" s="97" t="e">
        <f>VLOOKUP(T_BilanSocial[NumL],T_TraitDi[#Data],COLUMN(T_TraitDi[[#This Row],[Jours flottants]]),FALSE)</f>
        <v>#VALUE!</v>
      </c>
      <c r="AG45" s="97" t="str">
        <f>IFERROR(VLOOKUP(T_BilanSocial[[#This Row],[NumL]],T_TraitDi[#Data],COLUMN(T_TraitDi[[#This Row],[Lundi]]),FALSE),"")</f>
        <v/>
      </c>
      <c r="AH45" s="172" t="e">
        <f>IF(VLOOKUP(T_BilanSocial[[#This Row],[NumL]],T_TraitDi[#Data],COLUMN(T_TraitDi[[#This Row],[Colonne3]]),FALSE)=0,"",TEXT(IFERROR(VLOOKUP(T_BilanSocial[[#This Row],[NumL]],T_TraitDi[#Data],COLUMN(T_TraitDi[[#This Row],[Colonne3]]),FALSE),""),"[hh]:mm"))</f>
        <v>#VALUE!</v>
      </c>
      <c r="AI45" s="172" t="e">
        <f>IF(VLOOKUP(T_BilanSocial[[#This Row],[NumL]],T_TraitDi[#Data],COLUMN(T_TraitDi[[#This Row],[Colonne4]]),FALSE)=0,"",TEXT(IFERROR(VLOOKUP(T_BilanSocial[[#This Row],[NumL]],T_TraitDi[#Data],COLUMN(T_TraitDi[[#This Row],[Colonne4]]),FALSE),""),"[hh]:mm"))</f>
        <v>#VALUE!</v>
      </c>
      <c r="AJ45" s="172" t="e">
        <f>IF(VLOOKUP(T_BilanSocial[[#This Row],[NumL]],T_TraitDi[#Data],COLUMN(T_TraitDi[[#This Row],[Colonne5]]),FALSE)=0,"",TEXT(IFERROR(VLOOKUP(T_BilanSocial[[#This Row],[NumL]],T_TraitDi[#Data],COLUMN(T_TraitDi[[#This Row],[Colonne5]]),FALSE),""),"[hh]:mm"))</f>
        <v>#VALUE!</v>
      </c>
      <c r="AK45" s="172" t="e">
        <f>IF(VLOOKUP(T_BilanSocial[[#This Row],[NumL]],T_TraitDi[#Data],COLUMN(T_TraitDi[[#This Row],[Colonne6]]),FALSE)=0,"",TEXT(IFERROR(VLOOKUP(T_BilanSocial[[#This Row],[NumL]],T_TraitDi[#Data],COLUMN(T_TraitDi[[#This Row],[Colonne6]]),FALSE),""),"[hh]:mm"))</f>
        <v>#VALUE!</v>
      </c>
      <c r="AL45" s="172" t="e">
        <f>IF(VLOOKUP(T_BilanSocial[[#This Row],[NumL]],T_TraitDi[#Data],COLUMN(T_TraitDi[[#This Row],[Colonne7]]),FALSE)=0,"",TEXT(IFERROR(VLOOKUP(T_BilanSocial[[#This Row],[NumL]],T_TraitDi[#Data],COLUMN(T_TraitDi[[#This Row],[Colonne7]]),FALSE),""),"[hh]:mm"))</f>
        <v>#VALUE!</v>
      </c>
      <c r="AM45" s="172" t="e">
        <f>IF(VLOOKUP(T_BilanSocial[[#This Row],[NumL]],T_TraitDi[#Data],COLUMN(T_TraitDi[[#This Row],[Colonne8]]),FALSE)=0,"",TEXT(IFERROR(VLOOKUP(T_BilanSocial[[#This Row],[NumL]],T_TraitDi[#Data],COLUMN(T_TraitDi[[#This Row],[Colonne8]]),FALSE),""),"[hh]:mm"))</f>
        <v>#VALUE!</v>
      </c>
      <c r="AN45" s="172" t="str">
        <f>IFERROR(VLOOKUP(T_BilanSocial[[#This Row],[NumL]],T_TraitDi[#Data],COLUMN(T_TraitDi[[#This Row],[Mardi]]),FALSE),"")</f>
        <v/>
      </c>
      <c r="AO45" s="172" t="e">
        <f>IF(VLOOKUP(T_BilanSocial[[#This Row],[NumL]],T_TraitDi[#Data],COLUMN(T_TraitDi[[#This Row],[Colonne1]]),FALSE)=0,"",TEXT(IFERROR(VLOOKUP(T_BilanSocial[[#This Row],[NumL]],T_TraitDi[#Data],COLUMN(T_TraitDi[[#This Row],[Colonne1]]),FALSE),""),"[hh]:mm"))</f>
        <v>#VALUE!</v>
      </c>
      <c r="AP45" s="172" t="e">
        <f>IF(VLOOKUP(T_BilanSocial[[#This Row],[NumL]],T_TraitDi[#Data],COLUMN(T_TraitDi[[#This Row],[Colonne9]]),FALSE)=0,"",TEXT(IFERROR(VLOOKUP(T_BilanSocial[[#This Row],[NumL]],T_TraitDi[#Data],COLUMN(T_TraitDi[[#This Row],[Colonne9]]),FALSE),""),"[hh]:mm"))</f>
        <v>#VALUE!</v>
      </c>
      <c r="AQ45" s="172" t="str">
        <f>IFERROR(VLOOKUP(T_BilanSocial[[#This Row],[NumL]],T_TraitDi[#Data],COLUMN(T_TraitDi[[#This Row],[Colonne10]]),FALSE),"")</f>
        <v/>
      </c>
      <c r="AR45" s="172" t="e">
        <f>IF(VLOOKUP(T_BilanSocial[[#This Row],[NumL]],T_TraitDi[#Data],COLUMN(T_TraitDi[[#This Row],[Colonne11]]),FALSE)=0,"",TEXT(IFERROR(VLOOKUP(T_BilanSocial[[#This Row],[NumL]],T_TraitDi[#Data],COLUMN(T_TraitDi[[#This Row],[Colonne11]]),FALSE),""),"[hh]:mm"))</f>
        <v>#VALUE!</v>
      </c>
      <c r="AS45" s="172" t="e">
        <f>IF(VLOOKUP(T_BilanSocial[[#This Row],[NumL]],T_TraitDi[#Data],COLUMN(T_TraitDi[[#This Row],[Colonne12]]),FALSE)=0,"",TEXT(IFERROR(VLOOKUP(T_BilanSocial[[#This Row],[NumL]],T_TraitDi[#Data],COLUMN(T_TraitDi[[#This Row],[Colonne12]]),FALSE),""),"[hh]:mm"))</f>
        <v>#VALUE!</v>
      </c>
      <c r="AT45" s="172" t="e">
        <f>IF(VLOOKUP(T_BilanSocial[[#This Row],[NumL]],T_TraitDi[#Data],COLUMN(T_TraitDi[[#This Row],[Colonne14]]),FALSE)=0,"",TEXT(IFERROR(VLOOKUP(T_BilanSocial[[#This Row],[NumL]],T_TraitDi[#Data],COLUMN(T_TraitDi[[#This Row],[Colonne14]]),FALSE),""),"[hh]:mm"))</f>
        <v>#VALUE!</v>
      </c>
      <c r="AU45" s="172" t="str">
        <f>IFERROR(VLOOKUP(T_BilanSocial[[#This Row],[NumL]],T_TraitDi[#Data],COLUMN(T_TraitDi[[#This Row],[Mercredi]]),FALSE),"")</f>
        <v/>
      </c>
      <c r="AV45" s="172" t="e">
        <f>IF(VLOOKUP(T_BilanSocial[[#This Row],[NumL]],T_TraitDi[#Data],COLUMN(T_TraitDi[[#This Row],[Colonne15]]),FALSE)=0,"",TEXT(IFERROR(VLOOKUP(T_BilanSocial[[#This Row],[NumL]],T_TraitDi[#Data],COLUMN(T_TraitDi[[#This Row],[Colonne15]]),FALSE),""),"[hh]:mm"))</f>
        <v>#VALUE!</v>
      </c>
      <c r="AW45" s="172" t="e">
        <f>IF(VLOOKUP(T_BilanSocial[[#This Row],[NumL]],T_TraitDi[#Data],COLUMN(T_TraitDi[[#This Row],[Colonne16]]),FALSE)=0,"",TEXT(IFERROR(VLOOKUP(T_BilanSocial[[#This Row],[NumL]],T_TraitDi[#Data],COLUMN(T_TraitDi[[#This Row],[Colonne16]]),FALSE),""),"[hh]:mm"))</f>
        <v>#VALUE!</v>
      </c>
      <c r="AX45" s="172" t="str">
        <f>IFERROR(VLOOKUP(T_BilanSocial[[#This Row],[NumL]],T_TraitDi[#Data],COLUMN(T_TraitDi[[#This Row],[Colonne17]]),FALSE),"")</f>
        <v/>
      </c>
      <c r="AY45" s="172" t="e">
        <f>IF(VLOOKUP(T_BilanSocial[[#This Row],[NumL]],T_TraitDi[#Data],COLUMN(T_TraitDi[[#This Row],[Colonne18]]),FALSE)=0,"",TEXT(IFERROR(VLOOKUP(T_BilanSocial[[#This Row],[NumL]],T_TraitDi[#Data],COLUMN(T_TraitDi[[#This Row],[Colonne18]]),FALSE),""),"[hh]:mm"))</f>
        <v>#VALUE!</v>
      </c>
      <c r="AZ45" s="172" t="e">
        <f>IF(VLOOKUP(T_BilanSocial[[#This Row],[NumL]],T_TraitDi[#Data],COLUMN(T_TraitDi[[#This Row],[Colonne19]]),FALSE)=0,"",TEXT(IFERROR(VLOOKUP(T_BilanSocial[[#This Row],[NumL]],T_TraitDi[#Data],COLUMN(T_TraitDi[[#This Row],[Colonne19]]),FALSE),""),"[hh]:mm"))</f>
        <v>#VALUE!</v>
      </c>
      <c r="BA45" s="172" t="e">
        <f>IF(VLOOKUP(T_BilanSocial[[#This Row],[NumL]],T_TraitDi[#Data],COLUMN(T_TraitDi[[#This Row],[Colonne20]]),FALSE)=0,"",TEXT(IFERROR(VLOOKUP(T_BilanSocial[[#This Row],[NumL]],T_TraitDi[#Data],COLUMN(T_TraitDi[[#This Row],[Colonne20]]),FALSE),""),"[hh]:mm"))</f>
        <v>#VALUE!</v>
      </c>
      <c r="BB45" s="178" t="str">
        <f>IFERROR(VLOOKUP(T_BilanSocial[[#This Row],[NumL]],T_TraitDi[#Data],COLUMN(T_TraitDi[[#This Row],[Jeudi]]),FALSE),"")</f>
        <v/>
      </c>
      <c r="BC45" s="178" t="e">
        <f>IF(VLOOKUP(T_BilanSocial[[#This Row],[NumL]],T_TraitDi[#Data],COLUMN(T_TraitDi[[#This Row],[Colonne21]]),FALSE)=0,"",TEXT(IFERROR(VLOOKUP(T_BilanSocial[[#This Row],[NumL]],T_TraitDi[#Data],COLUMN(T_TraitDi[[#This Row],[Colonne21]]),FALSE),""),"[hh]:mm"))</f>
        <v>#VALUE!</v>
      </c>
      <c r="BD45" s="178" t="e">
        <f>IF(VLOOKUP(T_BilanSocial[[#This Row],[NumL]],T_TraitDi[#Data],COLUMN(T_TraitDi[[#This Row],[Colonne22]]),FALSE)=0,"",TEXT(IFERROR(VLOOKUP(T_BilanSocial[[#This Row],[NumL]],T_TraitDi[#Data],COLUMN(T_TraitDi[[#This Row],[Colonne22]]),FALSE),""),"[hh]:mm"))</f>
        <v>#VALUE!</v>
      </c>
      <c r="BE45" s="178" t="str">
        <f>IFERROR(VLOOKUP(T_BilanSocial[[#This Row],[NumL]],T_TraitDi[#Data],COLUMN(T_TraitDi[[#This Row],[Colonne23]]),FALSE),"")</f>
        <v/>
      </c>
      <c r="BF45" s="178" t="e">
        <f>IF(VLOOKUP(T_BilanSocial[[#This Row],[NumL]],T_TraitDi[#Data],COLUMN(T_TraitDi[[#This Row],[Colonne24]]),FALSE)=0,"",TEXT(IFERROR(VLOOKUP(T_BilanSocial[[#This Row],[NumL]],T_TraitDi[#Data],COLUMN(T_TraitDi[[#This Row],[Colonne24]]),FALSE),""),"[hh]:mm"))</f>
        <v>#VALUE!</v>
      </c>
      <c r="BG45" s="178" t="e">
        <f>IF(VLOOKUP(T_BilanSocial[[#This Row],[NumL]],T_TraitDi[#Data],COLUMN(T_TraitDi[[#This Row],[Colonne25]]),FALSE)=0,"",TEXT(IFERROR(VLOOKUP(T_BilanSocial[[#This Row],[NumL]],T_TraitDi[#Data],COLUMN(T_TraitDi[[#This Row],[Colonne25]]),FALSE),""),"[hh]:mm"))</f>
        <v>#VALUE!</v>
      </c>
      <c r="BH45" s="178" t="e">
        <f>IF(VLOOKUP(T_BilanSocial[[#This Row],[NumL]],T_TraitDi[#Data],COLUMN(T_TraitDi[[#This Row],[Colonne26]]),FALSE)=0,"",TEXT(IFERROR(VLOOKUP(T_BilanSocial[[#This Row],[NumL]],T_TraitDi[#Data],COLUMN(T_TraitDi[[#This Row],[Colonne26]]),FALSE),""),"[hh]:mm"))</f>
        <v>#VALUE!</v>
      </c>
      <c r="BI45" s="172" t="str">
        <f>IFERROR(VLOOKUP(T_BilanSocial[[#This Row],[NumL]],T_TraitDi[#Data],COLUMN(T_TraitDi[[#This Row],[Vendredi]]),FALSE),"")</f>
        <v/>
      </c>
      <c r="BJ45" s="172" t="e">
        <f>IF(VLOOKUP(T_BilanSocial[[#This Row],[NumL]],T_TraitDi[#Data],COLUMN(T_TraitDi[[#This Row],[Colonne27]]),FALSE)=0,"",TEXT(IFERROR(VLOOKUP(T_BilanSocial[[#This Row],[NumL]],T_TraitDi[#Data],COLUMN(T_TraitDi[[#This Row],[Colonne27]]),FALSE),""),"[hh]:mm"))</f>
        <v>#VALUE!</v>
      </c>
      <c r="BK45" s="172" t="e">
        <f>IF(VLOOKUP(T_BilanSocial[[#This Row],[NumL]],T_TraitDi[#Data],COLUMN(T_TraitDi[[#This Row],[Colonne28]]),FALSE)=0,"",TEXT(IFERROR(VLOOKUP(T_BilanSocial[[#This Row],[NumL]],T_TraitDi[#Data],COLUMN(T_TraitDi[[#This Row],[Colonne28]]),FALSE),""),"[hh]:mm"))</f>
        <v>#VALUE!</v>
      </c>
      <c r="BL45" s="172" t="str">
        <f>IFERROR(VLOOKUP(T_BilanSocial[[#This Row],[NumL]],T_TraitDi[#Data],COLUMN(T_TraitDi[[#This Row],[Colonne29]]),FALSE),"")</f>
        <v/>
      </c>
      <c r="BM45" s="172" t="e">
        <f>IF(VLOOKUP(T_BilanSocial[[#This Row],[NumL]],T_TraitDi[#Data],COLUMN(T_TraitDi[[#This Row],[Colonne30]]),FALSE)=0,"",TEXT(IFERROR(VLOOKUP(T_BilanSocial[[#This Row],[NumL]],T_TraitDi[#Data],COLUMN(T_TraitDi[[#This Row],[Colonne30]]),FALSE),""),"[hh]:mm"))</f>
        <v>#VALUE!</v>
      </c>
      <c r="BN45" s="172" t="e">
        <f>IF(VLOOKUP(T_BilanSocial[[#This Row],[NumL]],T_TraitDi[#Data],COLUMN(T_TraitDi[[#This Row],[Colonne31]]),FALSE)=0,"",TEXT(IFERROR(VLOOKUP(T_BilanSocial[[#This Row],[NumL]],T_TraitDi[#Data],COLUMN(T_TraitDi[[#This Row],[Colonne31]]),FALSE),""),"[hh]:mm"))</f>
        <v>#VALUE!</v>
      </c>
      <c r="BO45" s="172" t="e">
        <f>IF(VLOOKUP(T_BilanSocial[[#This Row],[NumL]],T_TraitDi[#Data],COLUMN(T_TraitDi[[#This Row],[Colonne32]]),FALSE)=0,"",TEXT(IFERROR(VLOOKUP(T_BilanSocial[[#This Row],[NumL]],T_TraitDi[#Data],COLUMN(T_TraitDi[[#This Row],[Colonne32]]),FALSE),""),"[hh]:mm"))</f>
        <v>#VALUE!</v>
      </c>
      <c r="BP45" s="172" t="e">
        <f>VLOOKUP(T_BilanSocial[[#This Row],[NumL]],T_TraitDi[#Data],COLUMN(T_TraitDi[NbJTot]),FALSE)</f>
        <v>#N/A</v>
      </c>
      <c r="BQ45" s="174" t="str">
        <f>IFERROR(VLOOKUP(T_BilanSocial[[#This Row],[NumL]],T_TraitDi[#Data],COLUMN(T_TraitDi[[#This Row],[NbJTW]]),FALSE),"")</f>
        <v/>
      </c>
      <c r="BR45" s="174" t="e">
        <f>IF(VLOOKUP(T_BilanSocial[[#This Row],[NumL]],T_TraitDi[#Data],COLUMN(T_TraitDi[[#This Row],[NbhTW]]),FALSE)=0,"",TEXT(IFERROR(VLOOKUP(T_BilanSocial[[#This Row],[NumL]],T_TraitDi[#Data],COLUMN(T_TraitDi[[#This Row],[NbhTW]]),FALSE),""),"[hh]:mm"))</f>
        <v>#VALUE!</v>
      </c>
      <c r="BS45" s="174" t="e">
        <f>IF(VLOOKUP(T_BilanSocial[[#This Row],[NumL]],T_TraitDi[#Data],COLUMN(T_TraitDi[[#This Row],[Nbhheb]]),FALSE)=0,"",TEXT(IFERROR(VLOOKUP($A45,T_TraitDi[#Data],COLUMN(T_TraitDi[[#This Row],[Nbhheb]]),FALSE),""),"[hh]:mm"))</f>
        <v>#VALUE!</v>
      </c>
      <c r="BT45" s="182" t="str">
        <f>IFERROR(VLOOKUP(VLOOKUP($A45,T_TraitDi[#Data],COLUMN(T_TraitDi[[#This Row],[Type1]]),FALSE),TypeTW,2,FALSE),"")</f>
        <v/>
      </c>
      <c r="BU45" s="182" t="str">
        <f>IFERROR(VLOOKUP($A45,T_TraitDi[#Data],COLUMN(T_TraitDi[[#This Row],[Rue1]]),FALSE),"")</f>
        <v/>
      </c>
      <c r="BV45" s="173" t="str">
        <f>IFERROR(VLOOKUP($A45,T_TraitDi[#Data],COLUMN(T_TraitDi[[#This Row],[CP1]]),FALSE),"")</f>
        <v/>
      </c>
      <c r="BW45" s="173" t="str">
        <f>IFERROR(VLOOKUP($A45,T_TraitDi[#Data],COLUMN(T_TraitDi[[#This Row],[VILLE1]]),FALSE),"")</f>
        <v/>
      </c>
      <c r="BX45" s="182" t="str">
        <f>IFERROR(VLOOKUP(VLOOKUP($A45,T_TraitDi[#Data],COLUMN(T_TraitDi[[#This Row],[Type2]]),FALSE),TypeTW,2,FALSE),"")</f>
        <v/>
      </c>
      <c r="BY45" s="182" t="str">
        <f>IFERROR(VLOOKUP($A45,T_TraitDi[#Data],COLUMN(T_TraitDi[[#This Row],[Rue2]]),FALSE),"")</f>
        <v/>
      </c>
      <c r="BZ45" s="173" t="str">
        <f>IFERROR(VLOOKUP($A45,T_TraitDi[#Data],COLUMN(T_TraitDi[[#This Row],[CP2]]),FALSE),"")</f>
        <v/>
      </c>
      <c r="CA45" s="173" t="str">
        <f>IFERROR(VLOOKUP($A45,T_TraitDi[#Data],COLUMN(T_TraitDi[[#This Row],[VILLE2]]),FALSE),"")</f>
        <v/>
      </c>
      <c r="CB45" s="182" t="str">
        <f>IF(VLOOKUP(T_BilanSocial[[#This Row],[NumL]],T_Equipement[#Data],COLUMN(T_Equipement[[#This Row],[PC]]),FALSE)="","Aucun équipement spécifique directement lié au télétravail",VLOOKUP(T_BilanSocial[[#This Row],[NumL]],T_Equipement[#Data],COLUMN(T_Equipement[[#This Row],[PC]]),FALSE))</f>
        <v xml:space="preserve">15-571	</v>
      </c>
      <c r="CC45" s="166" t="str">
        <f>IFERROR(IF(VLOOKUP(T_BilanSocial[[#This Row],[NumL]],T_TraitDi[#Data],COLUMN(T_TraitDi[[#This Row],[Plan]]),FALSE)="OK","Un planning spécifique de télétravail est annexé à la présente convention.",""),"")</f>
        <v/>
      </c>
      <c r="CD45" s="185"/>
      <c r="CE45" s="164" t="e">
        <f>IF(VLOOKUP(T_BilanSocial[[#This Row],[NumL]],T_suiviDi[#Data],COLUMN(T_suiviDi[[#This Row],[Entité]]),FALSE)="","",VLOOKUP(T_BilanSocial[[#This Row],[NumL]],T_suiviDi[#Data],COLUMN(T_suiviDi[[#This Row],[Entité]]),FALSE))</f>
        <v>#VALUE!</v>
      </c>
      <c r="CF45" s="164" t="str">
        <f>IF(VLOOKUP(T_BilanSocial[[#This Row],[NumL]],T_Commission[#Data],COLUMN(T_Commission[[#This Row],[envoi confirm TW]]),FALSE)="","",VLOOKUP(T_BilanSocial[[#This Row],[NumL]],T_Commission[#Data],COLUMN(T_Commission[[#This Row],[envoi confirm TW]]),FALSE))</f>
        <v>Oui</v>
      </c>
      <c r="CG4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5" s="262" t="str">
        <f>T_BilanSocial[[#This Row],[Nom]]&amp;T_BilanSocial[[#This Row],[Prenom]]</f>
        <v/>
      </c>
      <c r="CI45" s="262">
        <f>VLOOKUP(T_BilanSocial[[#This Row],[NumL]],T_Commission[#Data],COLUMN(T_Commission[Commentaire]),FALSE)</f>
        <v>0</v>
      </c>
      <c r="CJ45" s="262" t="str">
        <f>IF(VLOOKUP(T_BilanSocial[[#This Row],[NumL]],T_Commission[#Data],COLUMN(T_Commission[Encadrant Email]),FALSE)="","",VLOOKUP(T_BilanSocial[[#This Row],[NumL]],T_Commission[#Data],COLUMN(T_Commission[Encadrant Email]),FALSE))</f>
        <v/>
      </c>
      <c r="CK45" s="340" t="str">
        <f>IF(T_BilanSocial[[#This Row],[Final]]&lt;&gt;"",VLOOKUP(T_BilanSocial[[#This Row],[NumL]],T_suiviDi[#Data],COLUMN((T_suiviDi[Statut])),FALSE),"")</f>
        <v/>
      </c>
    </row>
    <row r="46" spans="1:89" s="106" customFormat="1" ht="24.75" customHeight="1" x14ac:dyDescent="0.25">
      <c r="A46" s="160">
        <v>43</v>
      </c>
      <c r="B46" s="161" t="str">
        <f t="shared" si="0"/>
        <v/>
      </c>
      <c r="C46" s="162" t="s">
        <v>139</v>
      </c>
      <c r="D46" s="95" t="e">
        <f>IF(VLOOKUP(T_BilanSocial[[#This Row],[NumL]],T_TraitDi[#Data],COLUMN(T_TraitDi[[#This Row],[WebC]]),FALSE)="","",VLOOKUP(T_BilanSocial[[#This Row],[NumL]],T_TraitDi[#Data],COLUMN(T_TraitDi[[#This Row],[WebC]]),FALSE))</f>
        <v>#VALUE!</v>
      </c>
      <c r="E46" s="163" t="str">
        <f t="shared" si="1"/>
        <v>12 janvier 2021</v>
      </c>
      <c r="F46" s="96" t="str">
        <f>IF(T_BilanSocial[[#This Row],[Final]]&lt;&gt;"",VLOOKUP(T_BilanSocial[[#This Row],[NumL]],T_suiviDi[#Data],COLUMN((T_suiviDi[Civ.])),FALSE),"")</f>
        <v/>
      </c>
      <c r="G46" s="96" t="str">
        <f>IF(T_BilanSocial[[#This Row],[Final]]&lt;&gt;"",VLOOKUP(T_BilanSocial[[#This Row],[NumL]],T_suiviDi[#Data],COLUMN((T_suiviDi[Nom])),FALSE),"")</f>
        <v/>
      </c>
      <c r="H46" s="96" t="str">
        <f>IF(T_BilanSocial[[#This Row],[Final]]&lt;&gt;"",VLOOKUP(T_BilanSocial[[#This Row],[NumL]],T_suiviDi[#Data],COLUMN((T_suiviDi[Prénom])),FALSE),"")</f>
        <v/>
      </c>
      <c r="I46" s="96" t="str">
        <f>IFERROR(VLOOKUP(T_BilanSocial[[#This Row],[Zone_Bilan]],T_P_BilanSocial[#Data],COLUMN(T_P_BilanSocial[[#This Row],[Numero_SIHAM]]),FALSE),"")</f>
        <v/>
      </c>
      <c r="J46" s="96" t="str">
        <f>IFERROR(VLOOKUP(T_BilanSocial[[#This Row],[Zone_Bilan]],T_P_BilanSocial[#Data],COLUMN(T_P_BilanSocial[[#This Row],[Sexe]]),FALSE),"")</f>
        <v/>
      </c>
      <c r="K46" s="97" t="str">
        <f>IFERROR(VLOOKUP(T_BilanSocial[[#This Row],[Zone_Bilan]],T_P_BilanSocial[#Data],COLUMN(T_P_BilanSocial[[#This Row],[Categorie]]),FALSE),"")</f>
        <v/>
      </c>
      <c r="L46" s="96" t="str">
        <f>IFERROR(VLOOKUP(T_BilanSocial[[#This Row],[Zone_Bilan]],T_P_BilanSocial[#Data],COLUMN(T_P_BilanSocial[[#This Row],[Statut]]),FALSE),"")</f>
        <v/>
      </c>
      <c r="M46" s="96" t="str">
        <f>IFERROR(VLOOKUP(T_BilanSocial[[#This Row],[Zone_Bilan]],T_P_BilanSocial[#Data],COLUMN(T_P_BilanSocial[[#This Row],[Filiere]]),FALSE),"")</f>
        <v/>
      </c>
      <c r="N46" s="96" t="e">
        <f>VLOOKUP(T_BilanSocial[[#This Row],[NumL]],T_TraitDi[#Data],COLUMN(T_TraitDi[EXP]),FALSE)</f>
        <v>#N/A</v>
      </c>
      <c r="O46" s="96" t="e">
        <f>VLOOKUP(T_BilanSocial[[#This Row],[NumL]],T_TraitDi[#Data],COLUMN(T_TraitDi[FORM]),FALSE)</f>
        <v>#N/A</v>
      </c>
      <c r="P46" s="96" t="str">
        <f>IF(T_BilanSocial[[#This Row],[Final]]&lt;&gt;"",VLOOKUP(T_BilanSocial[[#This Row],[NumL]],T_suiviDi[#Data],COLUMN((T_suiviDi[Email])),FALSE),"")</f>
        <v/>
      </c>
      <c r="Q46" s="164" t="e">
        <f t="shared" si="7"/>
        <v>#N/A</v>
      </c>
      <c r="R46" s="164" t="e">
        <f t="shared" si="8"/>
        <v>#N/A</v>
      </c>
      <c r="S46" s="164" t="e">
        <f>IF(VLOOKUP(T_BilanSocial[[#This Row],[NumL]],T_suiviDi[#Data],COLUMN(T_suiviDi[[#This Row],[Service ]]),FALSE)="","",VLOOKUP(T_BilanSocial[[#This Row],[NumL]],T_suiviDi[#Data],COLUMN(T_suiviDi[[#This Row],[Service ]]),FALSE))</f>
        <v>#VALUE!</v>
      </c>
      <c r="T46" s="164" t="str">
        <f t="shared" si="2"/>
        <v>01 septembre 2021</v>
      </c>
      <c r="U46" s="164" t="str">
        <f t="shared" si="3"/>
        <v>30 novembre 2021</v>
      </c>
      <c r="V46" s="256">
        <f>Datebilan</f>
        <v>44530</v>
      </c>
      <c r="W46" s="176" t="e">
        <f>IF(VLOOKUP(T_BilanSocial[[#This Row],[NumL]],T_TraitDi[#Data],COLUMN(T_TraitDi[[#This Row],[M1]]),FALSE)="","",VLOOKUP(T_BilanSocial[[#This Row],[NumL]],T_TraitDi[#Data],COLUMN(T_TraitDi[[#This Row],[M1]]),FALSE))</f>
        <v>#VALUE!</v>
      </c>
      <c r="X46" s="176" t="e">
        <f>IF(VLOOKUP(T_BilanSocial[[#This Row],[NumL]],T_TraitDi[#Data],COLUMN(T_TraitDi[[#This Row],[M2]]),FALSE)="","",VLOOKUP(T_BilanSocial[[#This Row],[NumL]],T_TraitDi[#Data],COLUMN(T_TraitDi[[#This Row],[M2]]),FALSE))</f>
        <v>#VALUE!</v>
      </c>
      <c r="Y46" s="176" t="e">
        <f>IF(VLOOKUP(T_BilanSocial[[#This Row],[NumL]],T_TraitDi[#Data],COLUMN(T_TraitDi[[#This Row],[M3]]),FALSE)="","",VLOOKUP(T_BilanSocial[[#This Row],[NumL]],T_TraitDi[#Data],COLUMN(T_TraitDi[[#This Row],[M3]]),FALSE))</f>
        <v>#VALUE!</v>
      </c>
      <c r="Z46" s="176" t="str">
        <f t="shared" si="5"/>
        <v/>
      </c>
      <c r="AA46" s="176" t="e">
        <f>IF(VLOOKUP(T_BilanSocial[[#This Row],[NumL]],T_TraitDi[#Data],COLUMN(T_TraitDi[[#This Row],[M5]]),FALSE)="","",VLOOKUP(T_BilanSocial[[#This Row],[NumL]],T_TraitDi[#Data],COLUMN(T_TraitDi[[#This Row],[M5]]),FALSE))</f>
        <v>#VALUE!</v>
      </c>
      <c r="AB46" s="176" t="e">
        <f>IF(VLOOKUP(T_BilanSocial[[#This Row],[NumL]],T_TraitDi[#Data],COLUMN(T_TraitDi[[#This Row],[M6]]),FALSE)="","",VLOOKUP(T_BilanSocial[[#This Row],[NumL]],T_TraitDi[#Data],COLUMN(T_TraitDi[[#This Row],[M6]]),FALSE))</f>
        <v>#VALUE!</v>
      </c>
      <c r="AC46" s="165" t="e">
        <f t="shared" si="4"/>
        <v>#VALUE!</v>
      </c>
      <c r="AD46" s="188" t="str">
        <f>IFERROR(TEXT(VLOOKUP(T_BilanSocial[[#This Row],[NumL]],T_TraitDi[#Data],COLUMN(T_TraitDi[[#This Row],[Q2]]),FALSE),"###%"),"")</f>
        <v/>
      </c>
      <c r="AE46" s="97" t="e">
        <f>VLOOKUP(T_BilanSocial[[#This Row],[NumL]],T_TraitDi[#Data],COLUMN(T_TraitDi[[#This Row],[Reg Ponct]]),FALSE)</f>
        <v>#VALUE!</v>
      </c>
      <c r="AF46" s="97" t="e">
        <f>VLOOKUP(T_BilanSocial[NumL],T_TraitDi[#Data],COLUMN(T_TraitDi[[#This Row],[Jours flottants]]),FALSE)</f>
        <v>#VALUE!</v>
      </c>
      <c r="AG46" s="97" t="str">
        <f>IFERROR(VLOOKUP(T_BilanSocial[[#This Row],[NumL]],T_TraitDi[#Data],COLUMN(T_TraitDi[[#This Row],[Lundi]]),FALSE),"")</f>
        <v/>
      </c>
      <c r="AH46" s="172" t="e">
        <f>IF(VLOOKUP(T_BilanSocial[[#This Row],[NumL]],T_TraitDi[#Data],COLUMN(T_TraitDi[[#This Row],[Colonne3]]),FALSE)=0,"",TEXT(IFERROR(VLOOKUP(T_BilanSocial[[#This Row],[NumL]],T_TraitDi[#Data],COLUMN(T_TraitDi[[#This Row],[Colonne3]]),FALSE),""),"[hh]:mm"))</f>
        <v>#VALUE!</v>
      </c>
      <c r="AI46" s="172" t="e">
        <f>IF(VLOOKUP(T_BilanSocial[[#This Row],[NumL]],T_TraitDi[#Data],COLUMN(T_TraitDi[[#This Row],[Colonne4]]),FALSE)=0,"",TEXT(IFERROR(VLOOKUP(T_BilanSocial[[#This Row],[NumL]],T_TraitDi[#Data],COLUMN(T_TraitDi[[#This Row],[Colonne4]]),FALSE),""),"[hh]:mm"))</f>
        <v>#VALUE!</v>
      </c>
      <c r="AJ46" s="172" t="e">
        <f>IF(VLOOKUP(T_BilanSocial[[#This Row],[NumL]],T_TraitDi[#Data],COLUMN(T_TraitDi[[#This Row],[Colonne5]]),FALSE)=0,"",TEXT(IFERROR(VLOOKUP(T_BilanSocial[[#This Row],[NumL]],T_TraitDi[#Data],COLUMN(T_TraitDi[[#This Row],[Colonne5]]),FALSE),""),"[hh]:mm"))</f>
        <v>#VALUE!</v>
      </c>
      <c r="AK46" s="172" t="e">
        <f>IF(VLOOKUP(T_BilanSocial[[#This Row],[NumL]],T_TraitDi[#Data],COLUMN(T_TraitDi[[#This Row],[Colonne6]]),FALSE)=0,"",TEXT(IFERROR(VLOOKUP(T_BilanSocial[[#This Row],[NumL]],T_TraitDi[#Data],COLUMN(T_TraitDi[[#This Row],[Colonne6]]),FALSE),""),"[hh]:mm"))</f>
        <v>#VALUE!</v>
      </c>
      <c r="AL46" s="172" t="e">
        <f>IF(VLOOKUP(T_BilanSocial[[#This Row],[NumL]],T_TraitDi[#Data],COLUMN(T_TraitDi[[#This Row],[Colonne7]]),FALSE)=0,"",TEXT(IFERROR(VLOOKUP(T_BilanSocial[[#This Row],[NumL]],T_TraitDi[#Data],COLUMN(T_TraitDi[[#This Row],[Colonne7]]),FALSE),""),"[hh]:mm"))</f>
        <v>#VALUE!</v>
      </c>
      <c r="AM46" s="172" t="e">
        <f>IF(VLOOKUP(T_BilanSocial[[#This Row],[NumL]],T_TraitDi[#Data],COLUMN(T_TraitDi[[#This Row],[Colonne8]]),FALSE)=0,"",TEXT(IFERROR(VLOOKUP(T_BilanSocial[[#This Row],[NumL]],T_TraitDi[#Data],COLUMN(T_TraitDi[[#This Row],[Colonne8]]),FALSE),""),"[hh]:mm"))</f>
        <v>#VALUE!</v>
      </c>
      <c r="AN46" s="172" t="str">
        <f>IFERROR(VLOOKUP(T_BilanSocial[[#This Row],[NumL]],T_TraitDi[#Data],COLUMN(T_TraitDi[[#This Row],[Mardi]]),FALSE),"")</f>
        <v/>
      </c>
      <c r="AO46" s="172" t="e">
        <f>IF(VLOOKUP(T_BilanSocial[[#This Row],[NumL]],T_TraitDi[#Data],COLUMN(T_TraitDi[[#This Row],[Colonne1]]),FALSE)=0,"",TEXT(IFERROR(VLOOKUP(T_BilanSocial[[#This Row],[NumL]],T_TraitDi[#Data],COLUMN(T_TraitDi[[#This Row],[Colonne1]]),FALSE),""),"[hh]:mm"))</f>
        <v>#VALUE!</v>
      </c>
      <c r="AP46" s="172" t="e">
        <f>IF(VLOOKUP(T_BilanSocial[[#This Row],[NumL]],T_TraitDi[#Data],COLUMN(T_TraitDi[[#This Row],[Colonne9]]),FALSE)=0,"",TEXT(IFERROR(VLOOKUP(T_BilanSocial[[#This Row],[NumL]],T_TraitDi[#Data],COLUMN(T_TraitDi[[#This Row],[Colonne9]]),FALSE),""),"[hh]:mm"))</f>
        <v>#VALUE!</v>
      </c>
      <c r="AQ46" s="172" t="str">
        <f>IFERROR(VLOOKUP(T_BilanSocial[[#This Row],[NumL]],T_TraitDi[#Data],COLUMN(T_TraitDi[[#This Row],[Colonne10]]),FALSE),"")</f>
        <v/>
      </c>
      <c r="AR46" s="172" t="e">
        <f>IF(VLOOKUP(T_BilanSocial[[#This Row],[NumL]],T_TraitDi[#Data],COLUMN(T_TraitDi[[#This Row],[Colonne11]]),FALSE)=0,"",TEXT(IFERROR(VLOOKUP(T_BilanSocial[[#This Row],[NumL]],T_TraitDi[#Data],COLUMN(T_TraitDi[[#This Row],[Colonne11]]),FALSE),""),"[hh]:mm"))</f>
        <v>#VALUE!</v>
      </c>
      <c r="AS46" s="172" t="e">
        <f>IF(VLOOKUP(T_BilanSocial[[#This Row],[NumL]],T_TraitDi[#Data],COLUMN(T_TraitDi[[#This Row],[Colonne12]]),FALSE)=0,"",TEXT(IFERROR(VLOOKUP(T_BilanSocial[[#This Row],[NumL]],T_TraitDi[#Data],COLUMN(T_TraitDi[[#This Row],[Colonne12]]),FALSE),""),"[hh]:mm"))</f>
        <v>#VALUE!</v>
      </c>
      <c r="AT46" s="172" t="e">
        <f>IF(VLOOKUP(T_BilanSocial[[#This Row],[NumL]],T_TraitDi[#Data],COLUMN(T_TraitDi[[#This Row],[Colonne14]]),FALSE)=0,"",TEXT(IFERROR(VLOOKUP(T_BilanSocial[[#This Row],[NumL]],T_TraitDi[#Data],COLUMN(T_TraitDi[[#This Row],[Colonne14]]),FALSE),""),"[hh]:mm"))</f>
        <v>#VALUE!</v>
      </c>
      <c r="AU46" s="172" t="str">
        <f>IFERROR(VLOOKUP(T_BilanSocial[[#This Row],[NumL]],T_TraitDi[#Data],COLUMN(T_TraitDi[[#This Row],[Mercredi]]),FALSE),"")</f>
        <v/>
      </c>
      <c r="AV46" s="172" t="e">
        <f>IF(VLOOKUP(T_BilanSocial[[#This Row],[NumL]],T_TraitDi[#Data],COLUMN(T_TraitDi[[#This Row],[Colonne15]]),FALSE)=0,"",TEXT(IFERROR(VLOOKUP(T_BilanSocial[[#This Row],[NumL]],T_TraitDi[#Data],COLUMN(T_TraitDi[[#This Row],[Colonne15]]),FALSE),""),"[hh]:mm"))</f>
        <v>#VALUE!</v>
      </c>
      <c r="AW46" s="172" t="e">
        <f>IF(VLOOKUP(T_BilanSocial[[#This Row],[NumL]],T_TraitDi[#Data],COLUMN(T_TraitDi[[#This Row],[Colonne16]]),FALSE)=0,"",TEXT(IFERROR(VLOOKUP(T_BilanSocial[[#This Row],[NumL]],T_TraitDi[#Data],COLUMN(T_TraitDi[[#This Row],[Colonne16]]),FALSE),""),"[hh]:mm"))</f>
        <v>#VALUE!</v>
      </c>
      <c r="AX46" s="172" t="str">
        <f>IFERROR(VLOOKUP(T_BilanSocial[[#This Row],[NumL]],T_TraitDi[#Data],COLUMN(T_TraitDi[[#This Row],[Colonne17]]),FALSE),"")</f>
        <v/>
      </c>
      <c r="AY46" s="172" t="e">
        <f>IF(VLOOKUP(T_BilanSocial[[#This Row],[NumL]],T_TraitDi[#Data],COLUMN(T_TraitDi[[#This Row],[Colonne18]]),FALSE)=0,"",TEXT(IFERROR(VLOOKUP(T_BilanSocial[[#This Row],[NumL]],T_TraitDi[#Data],COLUMN(T_TraitDi[[#This Row],[Colonne18]]),FALSE),""),"[hh]:mm"))</f>
        <v>#VALUE!</v>
      </c>
      <c r="AZ46" s="172" t="e">
        <f>IF(VLOOKUP(T_BilanSocial[[#This Row],[NumL]],T_TraitDi[#Data],COLUMN(T_TraitDi[[#This Row],[Colonne19]]),FALSE)=0,"",TEXT(IFERROR(VLOOKUP(T_BilanSocial[[#This Row],[NumL]],T_TraitDi[#Data],COLUMN(T_TraitDi[[#This Row],[Colonne19]]),FALSE),""),"[hh]:mm"))</f>
        <v>#VALUE!</v>
      </c>
      <c r="BA46" s="172" t="e">
        <f>IF(VLOOKUP(T_BilanSocial[[#This Row],[NumL]],T_TraitDi[#Data],COLUMN(T_TraitDi[[#This Row],[Colonne20]]),FALSE)=0,"",TEXT(IFERROR(VLOOKUP(T_BilanSocial[[#This Row],[NumL]],T_TraitDi[#Data],COLUMN(T_TraitDi[[#This Row],[Colonne20]]),FALSE),""),"[hh]:mm"))</f>
        <v>#VALUE!</v>
      </c>
      <c r="BB46" s="178" t="str">
        <f>IFERROR(VLOOKUP(T_BilanSocial[[#This Row],[NumL]],T_TraitDi[#Data],COLUMN(T_TraitDi[[#This Row],[Jeudi]]),FALSE),"")</f>
        <v/>
      </c>
      <c r="BC46" s="178" t="e">
        <f>IF(VLOOKUP(T_BilanSocial[[#This Row],[NumL]],T_TraitDi[#Data],COLUMN(T_TraitDi[[#This Row],[Colonne21]]),FALSE)=0,"",TEXT(IFERROR(VLOOKUP(T_BilanSocial[[#This Row],[NumL]],T_TraitDi[#Data],COLUMN(T_TraitDi[[#This Row],[Colonne21]]),FALSE),""),"[hh]:mm"))</f>
        <v>#VALUE!</v>
      </c>
      <c r="BD46" s="178" t="e">
        <f>IF(VLOOKUP(T_BilanSocial[[#This Row],[NumL]],T_TraitDi[#Data],COLUMN(T_TraitDi[[#This Row],[Colonne22]]),FALSE)=0,"",TEXT(IFERROR(VLOOKUP(T_BilanSocial[[#This Row],[NumL]],T_TraitDi[#Data],COLUMN(T_TraitDi[[#This Row],[Colonne22]]),FALSE),""),"[hh]:mm"))</f>
        <v>#VALUE!</v>
      </c>
      <c r="BE46" s="178" t="str">
        <f>IFERROR(VLOOKUP(T_BilanSocial[[#This Row],[NumL]],T_TraitDi[#Data],COLUMN(T_TraitDi[[#This Row],[Colonne23]]),FALSE),"")</f>
        <v/>
      </c>
      <c r="BF46" s="178" t="e">
        <f>IF(VLOOKUP(T_BilanSocial[[#This Row],[NumL]],T_TraitDi[#Data],COLUMN(T_TraitDi[[#This Row],[Colonne24]]),FALSE)=0,"",TEXT(IFERROR(VLOOKUP(T_BilanSocial[[#This Row],[NumL]],T_TraitDi[#Data],COLUMN(T_TraitDi[[#This Row],[Colonne24]]),FALSE),""),"[hh]:mm"))</f>
        <v>#VALUE!</v>
      </c>
      <c r="BG46" s="178" t="e">
        <f>IF(VLOOKUP(T_BilanSocial[[#This Row],[NumL]],T_TraitDi[#Data],COLUMN(T_TraitDi[[#This Row],[Colonne25]]),FALSE)=0,"",TEXT(IFERROR(VLOOKUP(T_BilanSocial[[#This Row],[NumL]],T_TraitDi[#Data],COLUMN(T_TraitDi[[#This Row],[Colonne25]]),FALSE),""),"[hh]:mm"))</f>
        <v>#VALUE!</v>
      </c>
      <c r="BH46" s="178" t="e">
        <f>IF(VLOOKUP(T_BilanSocial[[#This Row],[NumL]],T_TraitDi[#Data],COLUMN(T_TraitDi[[#This Row],[Colonne26]]),FALSE)=0,"",TEXT(IFERROR(VLOOKUP(T_BilanSocial[[#This Row],[NumL]],T_TraitDi[#Data],COLUMN(T_TraitDi[[#This Row],[Colonne26]]),FALSE),""),"[hh]:mm"))</f>
        <v>#VALUE!</v>
      </c>
      <c r="BI46" s="172" t="str">
        <f>IFERROR(VLOOKUP(T_BilanSocial[[#This Row],[NumL]],T_TraitDi[#Data],COLUMN(T_TraitDi[[#This Row],[Vendredi]]),FALSE),"")</f>
        <v/>
      </c>
      <c r="BJ46" s="172" t="e">
        <f>IF(VLOOKUP(T_BilanSocial[[#This Row],[NumL]],T_TraitDi[#Data],COLUMN(T_TraitDi[[#This Row],[Colonne27]]),FALSE)=0,"",TEXT(IFERROR(VLOOKUP(T_BilanSocial[[#This Row],[NumL]],T_TraitDi[#Data],COLUMN(T_TraitDi[[#This Row],[Colonne27]]),FALSE),""),"[hh]:mm"))</f>
        <v>#VALUE!</v>
      </c>
      <c r="BK46" s="172" t="e">
        <f>IF(VLOOKUP(T_BilanSocial[[#This Row],[NumL]],T_TraitDi[#Data],COLUMN(T_TraitDi[[#This Row],[Colonne28]]),FALSE)=0,"",TEXT(IFERROR(VLOOKUP(T_BilanSocial[[#This Row],[NumL]],T_TraitDi[#Data],COLUMN(T_TraitDi[[#This Row],[Colonne28]]),FALSE),""),"[hh]:mm"))</f>
        <v>#VALUE!</v>
      </c>
      <c r="BL46" s="172" t="str">
        <f>IFERROR(VLOOKUP(T_BilanSocial[[#This Row],[NumL]],T_TraitDi[#Data],COLUMN(T_TraitDi[[#This Row],[Colonne29]]),FALSE),"")</f>
        <v/>
      </c>
      <c r="BM46" s="172" t="e">
        <f>IF(VLOOKUP(T_BilanSocial[[#This Row],[NumL]],T_TraitDi[#Data],COLUMN(T_TraitDi[[#This Row],[Colonne30]]),FALSE)=0,"",TEXT(IFERROR(VLOOKUP(T_BilanSocial[[#This Row],[NumL]],T_TraitDi[#Data],COLUMN(T_TraitDi[[#This Row],[Colonne30]]),FALSE),""),"[hh]:mm"))</f>
        <v>#VALUE!</v>
      </c>
      <c r="BN46" s="172" t="e">
        <f>IF(VLOOKUP(T_BilanSocial[[#This Row],[NumL]],T_TraitDi[#Data],COLUMN(T_TraitDi[[#This Row],[Colonne31]]),FALSE)=0,"",TEXT(IFERROR(VLOOKUP(T_BilanSocial[[#This Row],[NumL]],T_TraitDi[#Data],COLUMN(T_TraitDi[[#This Row],[Colonne31]]),FALSE),""),"[hh]:mm"))</f>
        <v>#VALUE!</v>
      </c>
      <c r="BO46" s="172" t="e">
        <f>IF(VLOOKUP(T_BilanSocial[[#This Row],[NumL]],T_TraitDi[#Data],COLUMN(T_TraitDi[[#This Row],[Colonne32]]),FALSE)=0,"",TEXT(IFERROR(VLOOKUP(T_BilanSocial[[#This Row],[NumL]],T_TraitDi[#Data],COLUMN(T_TraitDi[[#This Row],[Colonne32]]),FALSE),""),"[hh]:mm"))</f>
        <v>#VALUE!</v>
      </c>
      <c r="BP46" s="172" t="e">
        <f>VLOOKUP(T_BilanSocial[[#This Row],[NumL]],T_TraitDi[#Data],COLUMN(T_TraitDi[NbJTot]),FALSE)</f>
        <v>#N/A</v>
      </c>
      <c r="BQ46" s="174" t="str">
        <f>IFERROR(VLOOKUP(T_BilanSocial[[#This Row],[NumL]],T_TraitDi[#Data],COLUMN(T_TraitDi[[#This Row],[NbJTW]]),FALSE),"")</f>
        <v/>
      </c>
      <c r="BR46" s="174" t="e">
        <f>IF(VLOOKUP(T_BilanSocial[[#This Row],[NumL]],T_TraitDi[#Data],COLUMN(T_TraitDi[[#This Row],[NbhTW]]),FALSE)=0,"",TEXT(IFERROR(VLOOKUP(T_BilanSocial[[#This Row],[NumL]],T_TraitDi[#Data],COLUMN(T_TraitDi[[#This Row],[NbhTW]]),FALSE),""),"[hh]:mm"))</f>
        <v>#VALUE!</v>
      </c>
      <c r="BS46" s="174" t="e">
        <f>IF(VLOOKUP(T_BilanSocial[[#This Row],[NumL]],T_TraitDi[#Data],COLUMN(T_TraitDi[[#This Row],[Nbhheb]]),FALSE)=0,"",TEXT(IFERROR(VLOOKUP($A46,T_TraitDi[#Data],COLUMN(T_TraitDi[[#This Row],[Nbhheb]]),FALSE),""),"[hh]:mm"))</f>
        <v>#VALUE!</v>
      </c>
      <c r="BT46" s="182" t="str">
        <f>IFERROR(VLOOKUP(VLOOKUP($A46,T_TraitDi[#Data],COLUMN(T_TraitDi[[#This Row],[Type1]]),FALSE),TypeTW,2,FALSE),"")</f>
        <v/>
      </c>
      <c r="BU46" s="182" t="str">
        <f>IFERROR(VLOOKUP($A46,T_TraitDi[#Data],COLUMN(T_TraitDi[[#This Row],[Rue1]]),FALSE),"")</f>
        <v/>
      </c>
      <c r="BV46" s="173" t="str">
        <f>IFERROR(VLOOKUP($A46,T_TraitDi[#Data],COLUMN(T_TraitDi[[#This Row],[CP1]]),FALSE),"")</f>
        <v/>
      </c>
      <c r="BW46" s="173" t="str">
        <f>IFERROR(VLOOKUP($A46,T_TraitDi[#Data],COLUMN(T_TraitDi[[#This Row],[VILLE1]]),FALSE),"")</f>
        <v/>
      </c>
      <c r="BX46" s="182" t="str">
        <f>IFERROR(VLOOKUP(VLOOKUP($A46,T_TraitDi[#Data],COLUMN(T_TraitDi[[#This Row],[Type2]]),FALSE),TypeTW,2,FALSE),"")</f>
        <v/>
      </c>
      <c r="BY46" s="182" t="str">
        <f>IFERROR(VLOOKUP($A46,T_TraitDi[#Data],COLUMN(T_TraitDi[[#This Row],[Rue2]]),FALSE),"")</f>
        <v/>
      </c>
      <c r="BZ46" s="173" t="str">
        <f>IFERROR(VLOOKUP($A46,T_TraitDi[#Data],COLUMN(T_TraitDi[[#This Row],[CP2]]),FALSE),"")</f>
        <v/>
      </c>
      <c r="CA46" s="173" t="str">
        <f>IFERROR(VLOOKUP($A46,T_TraitDi[#Data],COLUMN(T_TraitDi[[#This Row],[VILLE2]]),FALSE),"")</f>
        <v/>
      </c>
      <c r="CB46" s="182" t="str">
        <f>IF(VLOOKUP(T_BilanSocial[[#This Row],[NumL]],T_Equipement[#Data],COLUMN(T_Equipement[[#This Row],[PC]]),FALSE)="","Aucun équipement spécifique directement lié au télétravail",VLOOKUP(T_BilanSocial[[#This Row],[NumL]],T_Equipement[#Data],COLUMN(T_Equipement[[#This Row],[PC]]),FALSE))</f>
        <v xml:space="preserve">20-124	</v>
      </c>
      <c r="CC46" s="166" t="str">
        <f>IFERROR(IF(VLOOKUP(T_BilanSocial[[#This Row],[NumL]],T_TraitDi[#Data],COLUMN(T_TraitDi[[#This Row],[Plan]]),FALSE)="OK","Un planning spécifique de télétravail est annexé à la présente convention.",""),"")</f>
        <v/>
      </c>
      <c r="CD46" s="185"/>
      <c r="CE46" s="164" t="e">
        <f>IF(VLOOKUP(T_BilanSocial[[#This Row],[NumL]],T_suiviDi[#Data],COLUMN(T_suiviDi[[#This Row],[Entité]]),FALSE)="","",VLOOKUP(T_BilanSocial[[#This Row],[NumL]],T_suiviDi[#Data],COLUMN(T_suiviDi[[#This Row],[Entité]]),FALSE))</f>
        <v>#VALUE!</v>
      </c>
      <c r="CF46" s="164" t="str">
        <f>IF(VLOOKUP(T_BilanSocial[[#This Row],[NumL]],T_Commission[#Data],COLUMN(T_Commission[[#This Row],[envoi confirm TW]]),FALSE)="","",VLOOKUP(T_BilanSocial[[#This Row],[NumL]],T_Commission[#Data],COLUMN(T_Commission[[#This Row],[envoi confirm TW]]),FALSE))</f>
        <v>Oui</v>
      </c>
      <c r="CG4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6" s="262" t="str">
        <f>T_BilanSocial[[#This Row],[Nom]]&amp;T_BilanSocial[[#This Row],[Prenom]]</f>
        <v/>
      </c>
      <c r="CI46" s="262">
        <f>VLOOKUP(T_BilanSocial[[#This Row],[NumL]],T_Commission[#Data],COLUMN(T_Commission[Commentaire]),FALSE)</f>
        <v>0</v>
      </c>
      <c r="CJ46" s="262" t="str">
        <f>IF(VLOOKUP(T_BilanSocial[[#This Row],[NumL]],T_Commission[#Data],COLUMN(T_Commission[Encadrant Email]),FALSE)="","",VLOOKUP(T_BilanSocial[[#This Row],[NumL]],T_Commission[#Data],COLUMN(T_Commission[Encadrant Email]),FALSE))</f>
        <v/>
      </c>
      <c r="CK46" s="340" t="str">
        <f>IF(T_BilanSocial[[#This Row],[Final]]&lt;&gt;"",VLOOKUP(T_BilanSocial[[#This Row],[NumL]],T_suiviDi[#Data],COLUMN((T_suiviDi[Statut])),FALSE),"")</f>
        <v/>
      </c>
    </row>
    <row r="47" spans="1:89" s="106" customFormat="1" ht="24.75" customHeight="1" x14ac:dyDescent="0.25">
      <c r="A47" s="160">
        <v>44</v>
      </c>
      <c r="B47" s="161" t="str">
        <f t="shared" si="0"/>
        <v/>
      </c>
      <c r="C47" s="162" t="s">
        <v>173</v>
      </c>
      <c r="D47" s="95" t="e">
        <f>IF(VLOOKUP(T_BilanSocial[[#This Row],[NumL]],T_TraitDi[#Data],COLUMN(T_TraitDi[[#This Row],[WebC]]),FALSE)="","",VLOOKUP(T_BilanSocial[[#This Row],[NumL]],T_TraitDi[#Data],COLUMN(T_TraitDi[[#This Row],[WebC]]),FALSE))</f>
        <v>#VALUE!</v>
      </c>
      <c r="E47" s="163" t="str">
        <f t="shared" si="1"/>
        <v>12 janvier 2021</v>
      </c>
      <c r="F47" s="96" t="str">
        <f>IF(T_BilanSocial[[#This Row],[Final]]&lt;&gt;"",VLOOKUP(T_BilanSocial[[#This Row],[NumL]],T_suiviDi[#Data],COLUMN((T_suiviDi[Civ.])),FALSE),"")</f>
        <v/>
      </c>
      <c r="G47" s="96" t="str">
        <f>IF(T_BilanSocial[[#This Row],[Final]]&lt;&gt;"",VLOOKUP(T_BilanSocial[[#This Row],[NumL]],T_suiviDi[#Data],COLUMN((T_suiviDi[Nom])),FALSE),"")</f>
        <v/>
      </c>
      <c r="H47" s="96" t="str">
        <f>IF(T_BilanSocial[[#This Row],[Final]]&lt;&gt;"",VLOOKUP(T_BilanSocial[[#This Row],[NumL]],T_suiviDi[#Data],COLUMN((T_suiviDi[Prénom])),FALSE),"")</f>
        <v/>
      </c>
      <c r="I47" s="96" t="str">
        <f>IFERROR(VLOOKUP(T_BilanSocial[[#This Row],[Zone_Bilan]],T_P_BilanSocial[#Data],COLUMN(T_P_BilanSocial[[#This Row],[Numero_SIHAM]]),FALSE),"")</f>
        <v/>
      </c>
      <c r="J47" s="96" t="str">
        <f>IFERROR(VLOOKUP(T_BilanSocial[[#This Row],[Zone_Bilan]],T_P_BilanSocial[#Data],COLUMN(T_P_BilanSocial[[#This Row],[Sexe]]),FALSE),"")</f>
        <v/>
      </c>
      <c r="K47" s="97" t="str">
        <f>IFERROR(VLOOKUP(T_BilanSocial[[#This Row],[Zone_Bilan]],T_P_BilanSocial[#Data],COLUMN(T_P_BilanSocial[[#This Row],[Categorie]]),FALSE),"")</f>
        <v/>
      </c>
      <c r="L47" s="96" t="str">
        <f>IFERROR(VLOOKUP(T_BilanSocial[[#This Row],[Zone_Bilan]],T_P_BilanSocial[#Data],COLUMN(T_P_BilanSocial[[#This Row],[Statut]]),FALSE),"")</f>
        <v/>
      </c>
      <c r="M47" s="96" t="str">
        <f>IFERROR(VLOOKUP(T_BilanSocial[[#This Row],[Zone_Bilan]],T_P_BilanSocial[#Data],COLUMN(T_P_BilanSocial[[#This Row],[Filiere]]),FALSE),"")</f>
        <v/>
      </c>
      <c r="N47" s="96" t="e">
        <f>VLOOKUP(T_BilanSocial[[#This Row],[NumL]],T_TraitDi[#Data],COLUMN(T_TraitDi[EXP]),FALSE)</f>
        <v>#N/A</v>
      </c>
      <c r="O47" s="96" t="e">
        <f>VLOOKUP(T_BilanSocial[[#This Row],[NumL]],T_TraitDi[#Data],COLUMN(T_TraitDi[FORM]),FALSE)</f>
        <v>#N/A</v>
      </c>
      <c r="P47" s="96" t="str">
        <f>IF(T_BilanSocial[[#This Row],[Final]]&lt;&gt;"",VLOOKUP(T_BilanSocial[[#This Row],[NumL]],T_suiviDi[#Data],COLUMN((T_suiviDi[Email])),FALSE),"")</f>
        <v/>
      </c>
      <c r="Q47" s="164" t="e">
        <f t="shared" si="7"/>
        <v>#N/A</v>
      </c>
      <c r="R47" s="164" t="e">
        <f t="shared" si="8"/>
        <v>#N/A</v>
      </c>
      <c r="S47" s="164" t="e">
        <f>IF(VLOOKUP(T_BilanSocial[[#This Row],[NumL]],T_suiviDi[#Data],COLUMN(T_suiviDi[[#This Row],[Service ]]),FALSE)="","",VLOOKUP(T_BilanSocial[[#This Row],[NumL]],T_suiviDi[#Data],COLUMN(T_suiviDi[[#This Row],[Service ]]),FALSE))</f>
        <v>#VALUE!</v>
      </c>
      <c r="T47" s="164" t="str">
        <f t="shared" si="2"/>
        <v>01 septembre 2021</v>
      </c>
      <c r="U47" s="164" t="str">
        <f t="shared" si="3"/>
        <v>30 novembre 2021</v>
      </c>
      <c r="V47" s="164" t="str">
        <f t="shared" ref="V47:V66" si="9">TEXT(Datebilan,"jj mmmm aaaa")</f>
        <v>30 novembre 2021</v>
      </c>
      <c r="W47" s="176" t="e">
        <f>IF(VLOOKUP(T_BilanSocial[[#This Row],[NumL]],T_TraitDi[#Data],COLUMN(T_TraitDi[[#This Row],[M1]]),FALSE)="","",VLOOKUP(T_BilanSocial[[#This Row],[NumL]],T_TraitDi[#Data],COLUMN(T_TraitDi[[#This Row],[M1]]),FALSE))</f>
        <v>#VALUE!</v>
      </c>
      <c r="X47" s="176" t="e">
        <f>IF(VLOOKUP(T_BilanSocial[[#This Row],[NumL]],T_TraitDi[#Data],COLUMN(T_TraitDi[[#This Row],[M2]]),FALSE)="","",VLOOKUP(T_BilanSocial[[#This Row],[NumL]],T_TraitDi[#Data],COLUMN(T_TraitDi[[#This Row],[M2]]),FALSE))</f>
        <v>#VALUE!</v>
      </c>
      <c r="Y47" s="176" t="e">
        <f>IF(VLOOKUP(T_BilanSocial[[#This Row],[NumL]],T_TraitDi[#Data],COLUMN(T_TraitDi[[#This Row],[M3]]),FALSE)="","",VLOOKUP(T_BilanSocial[[#This Row],[NumL]],T_TraitDi[#Data],COLUMN(T_TraitDi[[#This Row],[M3]]),FALSE))</f>
        <v>#VALUE!</v>
      </c>
      <c r="Z47" s="176" t="str">
        <f t="shared" si="5"/>
        <v/>
      </c>
      <c r="AA47" s="176" t="e">
        <f>IF(VLOOKUP(T_BilanSocial[[#This Row],[NumL]],T_TraitDi[#Data],COLUMN(T_TraitDi[[#This Row],[M5]]),FALSE)="","",VLOOKUP(T_BilanSocial[[#This Row],[NumL]],T_TraitDi[#Data],COLUMN(T_TraitDi[[#This Row],[M5]]),FALSE))</f>
        <v>#VALUE!</v>
      </c>
      <c r="AB47" s="176" t="e">
        <f>IF(VLOOKUP(T_BilanSocial[[#This Row],[NumL]],T_TraitDi[#Data],COLUMN(T_TraitDi[[#This Row],[M6]]),FALSE)="","",VLOOKUP(T_BilanSocial[[#This Row],[NumL]],T_TraitDi[#Data],COLUMN(T_TraitDi[[#This Row],[M6]]),FALSE))</f>
        <v>#VALUE!</v>
      </c>
      <c r="AC47" s="165" t="e">
        <f t="shared" si="4"/>
        <v>#VALUE!</v>
      </c>
      <c r="AD47" s="188" t="str">
        <f>IFERROR(TEXT(VLOOKUP(T_BilanSocial[[#This Row],[NumL]],T_TraitDi[#Data],COLUMN(T_TraitDi[[#This Row],[Q2]]),FALSE),"###%"),"")</f>
        <v/>
      </c>
      <c r="AE47" s="97" t="e">
        <f>VLOOKUP(T_BilanSocial[[#This Row],[NumL]],T_TraitDi[#Data],COLUMN(T_TraitDi[[#This Row],[Reg Ponct]]),FALSE)</f>
        <v>#VALUE!</v>
      </c>
      <c r="AF47" s="97" t="e">
        <f>VLOOKUP(T_BilanSocial[NumL],T_TraitDi[#Data],COLUMN(T_TraitDi[[#This Row],[Jours flottants]]),FALSE)</f>
        <v>#VALUE!</v>
      </c>
      <c r="AG47" s="97" t="str">
        <f>IFERROR(VLOOKUP(T_BilanSocial[[#This Row],[NumL]],T_TraitDi[#Data],COLUMN(T_TraitDi[[#This Row],[Lundi]]),FALSE),"")</f>
        <v/>
      </c>
      <c r="AH47" s="172" t="e">
        <f>IF(VLOOKUP(T_BilanSocial[[#This Row],[NumL]],T_TraitDi[#Data],COLUMN(T_TraitDi[[#This Row],[Colonne3]]),FALSE)=0,"",TEXT(IFERROR(VLOOKUP(T_BilanSocial[[#This Row],[NumL]],T_TraitDi[#Data],COLUMN(T_TraitDi[[#This Row],[Colonne3]]),FALSE),""),"[hh]:mm"))</f>
        <v>#VALUE!</v>
      </c>
      <c r="AI47" s="172" t="e">
        <f>IF(VLOOKUP(T_BilanSocial[[#This Row],[NumL]],T_TraitDi[#Data],COLUMN(T_TraitDi[[#This Row],[Colonne4]]),FALSE)=0,"",TEXT(IFERROR(VLOOKUP(T_BilanSocial[[#This Row],[NumL]],T_TraitDi[#Data],COLUMN(T_TraitDi[[#This Row],[Colonne4]]),FALSE),""),"[hh]:mm"))</f>
        <v>#VALUE!</v>
      </c>
      <c r="AJ47" s="172" t="e">
        <f>IF(VLOOKUP(T_BilanSocial[[#This Row],[NumL]],T_TraitDi[#Data],COLUMN(T_TraitDi[[#This Row],[Colonne5]]),FALSE)=0,"",TEXT(IFERROR(VLOOKUP(T_BilanSocial[[#This Row],[NumL]],T_TraitDi[#Data],COLUMN(T_TraitDi[[#This Row],[Colonne5]]),FALSE),""),"[hh]:mm"))</f>
        <v>#VALUE!</v>
      </c>
      <c r="AK47" s="172" t="e">
        <f>IF(VLOOKUP(T_BilanSocial[[#This Row],[NumL]],T_TraitDi[#Data],COLUMN(T_TraitDi[[#This Row],[Colonne6]]),FALSE)=0,"",TEXT(IFERROR(VLOOKUP(T_BilanSocial[[#This Row],[NumL]],T_TraitDi[#Data],COLUMN(T_TraitDi[[#This Row],[Colonne6]]),FALSE),""),"[hh]:mm"))</f>
        <v>#VALUE!</v>
      </c>
      <c r="AL47" s="172" t="e">
        <f>IF(VLOOKUP(T_BilanSocial[[#This Row],[NumL]],T_TraitDi[#Data],COLUMN(T_TraitDi[[#This Row],[Colonne7]]),FALSE)=0,"",TEXT(IFERROR(VLOOKUP(T_BilanSocial[[#This Row],[NumL]],T_TraitDi[#Data],COLUMN(T_TraitDi[[#This Row],[Colonne7]]),FALSE),""),"[hh]:mm"))</f>
        <v>#VALUE!</v>
      </c>
      <c r="AM47" s="172" t="e">
        <f>IF(VLOOKUP(T_BilanSocial[[#This Row],[NumL]],T_TraitDi[#Data],COLUMN(T_TraitDi[[#This Row],[Colonne8]]),FALSE)=0,"",TEXT(IFERROR(VLOOKUP(T_BilanSocial[[#This Row],[NumL]],T_TraitDi[#Data],COLUMN(T_TraitDi[[#This Row],[Colonne8]]),FALSE),""),"[hh]:mm"))</f>
        <v>#VALUE!</v>
      </c>
      <c r="AN47" s="172" t="str">
        <f>IFERROR(VLOOKUP(T_BilanSocial[[#This Row],[NumL]],T_TraitDi[#Data],COLUMN(T_TraitDi[[#This Row],[Mardi]]),FALSE),"")</f>
        <v/>
      </c>
      <c r="AO47" s="172" t="e">
        <f>IF(VLOOKUP(T_BilanSocial[[#This Row],[NumL]],T_TraitDi[#Data],COLUMN(T_TraitDi[[#This Row],[Colonne1]]),FALSE)=0,"",TEXT(IFERROR(VLOOKUP(T_BilanSocial[[#This Row],[NumL]],T_TraitDi[#Data],COLUMN(T_TraitDi[[#This Row],[Colonne1]]),FALSE),""),"[hh]:mm"))</f>
        <v>#VALUE!</v>
      </c>
      <c r="AP47" s="172" t="e">
        <f>IF(VLOOKUP(T_BilanSocial[[#This Row],[NumL]],T_TraitDi[#Data],COLUMN(T_TraitDi[[#This Row],[Colonne9]]),FALSE)=0,"",TEXT(IFERROR(VLOOKUP(T_BilanSocial[[#This Row],[NumL]],T_TraitDi[#Data],COLUMN(T_TraitDi[[#This Row],[Colonne9]]),FALSE),""),"[hh]:mm"))</f>
        <v>#VALUE!</v>
      </c>
      <c r="AQ47" s="172" t="str">
        <f>IFERROR(VLOOKUP(T_BilanSocial[[#This Row],[NumL]],T_TraitDi[#Data],COLUMN(T_TraitDi[[#This Row],[Colonne10]]),FALSE),"")</f>
        <v/>
      </c>
      <c r="AR47" s="172" t="e">
        <f>IF(VLOOKUP(T_BilanSocial[[#This Row],[NumL]],T_TraitDi[#Data],COLUMN(T_TraitDi[[#This Row],[Colonne11]]),FALSE)=0,"",TEXT(IFERROR(VLOOKUP(T_BilanSocial[[#This Row],[NumL]],T_TraitDi[#Data],COLUMN(T_TraitDi[[#This Row],[Colonne11]]),FALSE),""),"[hh]:mm"))</f>
        <v>#VALUE!</v>
      </c>
      <c r="AS47" s="172" t="e">
        <f>IF(VLOOKUP(T_BilanSocial[[#This Row],[NumL]],T_TraitDi[#Data],COLUMN(T_TraitDi[[#This Row],[Colonne12]]),FALSE)=0,"",TEXT(IFERROR(VLOOKUP(T_BilanSocial[[#This Row],[NumL]],T_TraitDi[#Data],COLUMN(T_TraitDi[[#This Row],[Colonne12]]),FALSE),""),"[hh]:mm"))</f>
        <v>#VALUE!</v>
      </c>
      <c r="AT47" s="172" t="e">
        <f>IF(VLOOKUP(T_BilanSocial[[#This Row],[NumL]],T_TraitDi[#Data],COLUMN(T_TraitDi[[#This Row],[Colonne14]]),FALSE)=0,"",TEXT(IFERROR(VLOOKUP(T_BilanSocial[[#This Row],[NumL]],T_TraitDi[#Data],COLUMN(T_TraitDi[[#This Row],[Colonne14]]),FALSE),""),"[hh]:mm"))</f>
        <v>#VALUE!</v>
      </c>
      <c r="AU47" s="172" t="str">
        <f>IFERROR(VLOOKUP(T_BilanSocial[[#This Row],[NumL]],T_TraitDi[#Data],COLUMN(T_TraitDi[[#This Row],[Mercredi]]),FALSE),"")</f>
        <v/>
      </c>
      <c r="AV47" s="172" t="e">
        <f>IF(VLOOKUP(T_BilanSocial[[#This Row],[NumL]],T_TraitDi[#Data],COLUMN(T_TraitDi[[#This Row],[Colonne15]]),FALSE)=0,"",TEXT(IFERROR(VLOOKUP(T_BilanSocial[[#This Row],[NumL]],T_TraitDi[#Data],COLUMN(T_TraitDi[[#This Row],[Colonne15]]),FALSE),""),"[hh]:mm"))</f>
        <v>#VALUE!</v>
      </c>
      <c r="AW47" s="172" t="e">
        <f>IF(VLOOKUP(T_BilanSocial[[#This Row],[NumL]],T_TraitDi[#Data],COLUMN(T_TraitDi[[#This Row],[Colonne16]]),FALSE)=0,"",TEXT(IFERROR(VLOOKUP(T_BilanSocial[[#This Row],[NumL]],T_TraitDi[#Data],COLUMN(T_TraitDi[[#This Row],[Colonne16]]),FALSE),""),"[hh]:mm"))</f>
        <v>#VALUE!</v>
      </c>
      <c r="AX47" s="172" t="str">
        <f>IFERROR(VLOOKUP(T_BilanSocial[[#This Row],[NumL]],T_TraitDi[#Data],COLUMN(T_TraitDi[[#This Row],[Colonne17]]),FALSE),"")</f>
        <v/>
      </c>
      <c r="AY47" s="172" t="e">
        <f>IF(VLOOKUP(T_BilanSocial[[#This Row],[NumL]],T_TraitDi[#Data],COLUMN(T_TraitDi[[#This Row],[Colonne18]]),FALSE)=0,"",TEXT(IFERROR(VLOOKUP(T_BilanSocial[[#This Row],[NumL]],T_TraitDi[#Data],COLUMN(T_TraitDi[[#This Row],[Colonne18]]),FALSE),""),"[hh]:mm"))</f>
        <v>#VALUE!</v>
      </c>
      <c r="AZ47" s="172" t="e">
        <f>IF(VLOOKUP(T_BilanSocial[[#This Row],[NumL]],T_TraitDi[#Data],COLUMN(T_TraitDi[[#This Row],[Colonne19]]),FALSE)=0,"",TEXT(IFERROR(VLOOKUP(T_BilanSocial[[#This Row],[NumL]],T_TraitDi[#Data],COLUMN(T_TraitDi[[#This Row],[Colonne19]]),FALSE),""),"[hh]:mm"))</f>
        <v>#VALUE!</v>
      </c>
      <c r="BA47" s="172" t="e">
        <f>IF(VLOOKUP(T_BilanSocial[[#This Row],[NumL]],T_TraitDi[#Data],COLUMN(T_TraitDi[[#This Row],[Colonne20]]),FALSE)=0,"",TEXT(IFERROR(VLOOKUP(T_BilanSocial[[#This Row],[NumL]],T_TraitDi[#Data],COLUMN(T_TraitDi[[#This Row],[Colonne20]]),FALSE),""),"[hh]:mm"))</f>
        <v>#VALUE!</v>
      </c>
      <c r="BB47" s="178" t="str">
        <f>IFERROR(VLOOKUP(T_BilanSocial[[#This Row],[NumL]],T_TraitDi[#Data],COLUMN(T_TraitDi[[#This Row],[Jeudi]]),FALSE),"")</f>
        <v/>
      </c>
      <c r="BC47" s="178" t="e">
        <f>IF(VLOOKUP(T_BilanSocial[[#This Row],[NumL]],T_TraitDi[#Data],COLUMN(T_TraitDi[[#This Row],[Colonne21]]),FALSE)=0,"",TEXT(IFERROR(VLOOKUP(T_BilanSocial[[#This Row],[NumL]],T_TraitDi[#Data],COLUMN(T_TraitDi[[#This Row],[Colonne21]]),FALSE),""),"[hh]:mm"))</f>
        <v>#VALUE!</v>
      </c>
      <c r="BD47" s="178" t="e">
        <f>IF(VLOOKUP(T_BilanSocial[[#This Row],[NumL]],T_TraitDi[#Data],COLUMN(T_TraitDi[[#This Row],[Colonne22]]),FALSE)=0,"",TEXT(IFERROR(VLOOKUP(T_BilanSocial[[#This Row],[NumL]],T_TraitDi[#Data],COLUMN(T_TraitDi[[#This Row],[Colonne22]]),FALSE),""),"[hh]:mm"))</f>
        <v>#VALUE!</v>
      </c>
      <c r="BE47" s="178" t="str">
        <f>IFERROR(VLOOKUP(T_BilanSocial[[#This Row],[NumL]],T_TraitDi[#Data],COLUMN(T_TraitDi[[#This Row],[Colonne23]]),FALSE),"")</f>
        <v/>
      </c>
      <c r="BF47" s="178" t="e">
        <f>IF(VLOOKUP(T_BilanSocial[[#This Row],[NumL]],T_TraitDi[#Data],COLUMN(T_TraitDi[[#This Row],[Colonne24]]),FALSE)=0,"",TEXT(IFERROR(VLOOKUP(T_BilanSocial[[#This Row],[NumL]],T_TraitDi[#Data],COLUMN(T_TraitDi[[#This Row],[Colonne24]]),FALSE),""),"[hh]:mm"))</f>
        <v>#VALUE!</v>
      </c>
      <c r="BG47" s="178" t="e">
        <f>IF(VLOOKUP(T_BilanSocial[[#This Row],[NumL]],T_TraitDi[#Data],COLUMN(T_TraitDi[[#This Row],[Colonne25]]),FALSE)=0,"",TEXT(IFERROR(VLOOKUP(T_BilanSocial[[#This Row],[NumL]],T_TraitDi[#Data],COLUMN(T_TraitDi[[#This Row],[Colonne25]]),FALSE),""),"[hh]:mm"))</f>
        <v>#VALUE!</v>
      </c>
      <c r="BH47" s="178" t="e">
        <f>IF(VLOOKUP(T_BilanSocial[[#This Row],[NumL]],T_TraitDi[#Data],COLUMN(T_TraitDi[[#This Row],[Colonne26]]),FALSE)=0,"",TEXT(IFERROR(VLOOKUP(T_BilanSocial[[#This Row],[NumL]],T_TraitDi[#Data],COLUMN(T_TraitDi[[#This Row],[Colonne26]]),FALSE),""),"[hh]:mm"))</f>
        <v>#VALUE!</v>
      </c>
      <c r="BI47" s="172" t="str">
        <f>IFERROR(VLOOKUP(T_BilanSocial[[#This Row],[NumL]],T_TraitDi[#Data],COLUMN(T_TraitDi[[#This Row],[Vendredi]]),FALSE),"")</f>
        <v/>
      </c>
      <c r="BJ47" s="172" t="e">
        <f>IF(VLOOKUP(T_BilanSocial[[#This Row],[NumL]],T_TraitDi[#Data],COLUMN(T_TraitDi[[#This Row],[Colonne27]]),FALSE)=0,"",TEXT(IFERROR(VLOOKUP(T_BilanSocial[[#This Row],[NumL]],T_TraitDi[#Data],COLUMN(T_TraitDi[[#This Row],[Colonne27]]),FALSE),""),"[hh]:mm"))</f>
        <v>#VALUE!</v>
      </c>
      <c r="BK47" s="172" t="e">
        <f>IF(VLOOKUP(T_BilanSocial[[#This Row],[NumL]],T_TraitDi[#Data],COLUMN(T_TraitDi[[#This Row],[Colonne28]]),FALSE)=0,"",TEXT(IFERROR(VLOOKUP(T_BilanSocial[[#This Row],[NumL]],T_TraitDi[#Data],COLUMN(T_TraitDi[[#This Row],[Colonne28]]),FALSE),""),"[hh]:mm"))</f>
        <v>#VALUE!</v>
      </c>
      <c r="BL47" s="172" t="str">
        <f>IFERROR(VLOOKUP(T_BilanSocial[[#This Row],[NumL]],T_TraitDi[#Data],COLUMN(T_TraitDi[[#This Row],[Colonne29]]),FALSE),"")</f>
        <v/>
      </c>
      <c r="BM47" s="172" t="e">
        <f>IF(VLOOKUP(T_BilanSocial[[#This Row],[NumL]],T_TraitDi[#Data],COLUMN(T_TraitDi[[#This Row],[Colonne30]]),FALSE)=0,"",TEXT(IFERROR(VLOOKUP(T_BilanSocial[[#This Row],[NumL]],T_TraitDi[#Data],COLUMN(T_TraitDi[[#This Row],[Colonne30]]),FALSE),""),"[hh]:mm"))</f>
        <v>#VALUE!</v>
      </c>
      <c r="BN47" s="172" t="e">
        <f>IF(VLOOKUP(T_BilanSocial[[#This Row],[NumL]],T_TraitDi[#Data],COLUMN(T_TraitDi[[#This Row],[Colonne31]]),FALSE)=0,"",TEXT(IFERROR(VLOOKUP(T_BilanSocial[[#This Row],[NumL]],T_TraitDi[#Data],COLUMN(T_TraitDi[[#This Row],[Colonne31]]),FALSE),""),"[hh]:mm"))</f>
        <v>#VALUE!</v>
      </c>
      <c r="BO47" s="172" t="e">
        <f>IF(VLOOKUP(T_BilanSocial[[#This Row],[NumL]],T_TraitDi[#Data],COLUMN(T_TraitDi[[#This Row],[Colonne32]]),FALSE)=0,"",TEXT(IFERROR(VLOOKUP(T_BilanSocial[[#This Row],[NumL]],T_TraitDi[#Data],COLUMN(T_TraitDi[[#This Row],[Colonne32]]),FALSE),""),"[hh]:mm"))</f>
        <v>#VALUE!</v>
      </c>
      <c r="BP47" s="172" t="e">
        <f>VLOOKUP(T_BilanSocial[[#This Row],[NumL]],T_TraitDi[#Data],COLUMN(T_TraitDi[NbJTot]),FALSE)</f>
        <v>#N/A</v>
      </c>
      <c r="BQ47" s="174" t="str">
        <f>IFERROR(VLOOKUP(T_BilanSocial[[#This Row],[NumL]],T_TraitDi[#Data],COLUMN(T_TraitDi[[#This Row],[NbJTW]]),FALSE),"")</f>
        <v/>
      </c>
      <c r="BR47" s="174" t="e">
        <f>IF(VLOOKUP(T_BilanSocial[[#This Row],[NumL]],T_TraitDi[#Data],COLUMN(T_TraitDi[[#This Row],[NbhTW]]),FALSE)=0,"",TEXT(IFERROR(VLOOKUP(T_BilanSocial[[#This Row],[NumL]],T_TraitDi[#Data],COLUMN(T_TraitDi[[#This Row],[NbhTW]]),FALSE),""),"[hh]:mm"))</f>
        <v>#VALUE!</v>
      </c>
      <c r="BS47" s="174" t="e">
        <f>IF(VLOOKUP(T_BilanSocial[[#This Row],[NumL]],T_TraitDi[#Data],COLUMN(T_TraitDi[[#This Row],[Nbhheb]]),FALSE)=0,"",TEXT(IFERROR(VLOOKUP($A47,T_TraitDi[#Data],COLUMN(T_TraitDi[[#This Row],[Nbhheb]]),FALSE),""),"[hh]:mm"))</f>
        <v>#VALUE!</v>
      </c>
      <c r="BT47" s="182" t="str">
        <f>IFERROR(VLOOKUP(VLOOKUP($A47,T_TraitDi[#Data],COLUMN(T_TraitDi[[#This Row],[Type1]]),FALSE),TypeTW,2,FALSE),"")</f>
        <v/>
      </c>
      <c r="BU47" s="182" t="str">
        <f>IFERROR(VLOOKUP($A47,T_TraitDi[#Data],COLUMN(T_TraitDi[[#This Row],[Rue1]]),FALSE),"")</f>
        <v/>
      </c>
      <c r="BV47" s="173" t="str">
        <f>IFERROR(VLOOKUP($A47,T_TraitDi[#Data],COLUMN(T_TraitDi[[#This Row],[CP1]]),FALSE),"")</f>
        <v/>
      </c>
      <c r="BW47" s="173" t="str">
        <f>IFERROR(VLOOKUP($A47,T_TraitDi[#Data],COLUMN(T_TraitDi[[#This Row],[VILLE1]]),FALSE),"")</f>
        <v/>
      </c>
      <c r="BX47" s="182" t="str">
        <f>IFERROR(VLOOKUP(VLOOKUP($A47,T_TraitDi[#Data],COLUMN(T_TraitDi[[#This Row],[Type2]]),FALSE),TypeTW,2,FALSE),"")</f>
        <v/>
      </c>
      <c r="BY47" s="182" t="str">
        <f>IFERROR(VLOOKUP($A47,T_TraitDi[#Data],COLUMN(T_TraitDi[[#This Row],[Rue2]]),FALSE),"")</f>
        <v/>
      </c>
      <c r="BZ47" s="173" t="str">
        <f>IFERROR(VLOOKUP($A47,T_TraitDi[#Data],COLUMN(T_TraitDi[[#This Row],[CP2]]),FALSE),"")</f>
        <v/>
      </c>
      <c r="CA47" s="173" t="str">
        <f>IFERROR(VLOOKUP($A47,T_TraitDi[#Data],COLUMN(T_TraitDi[[#This Row],[VILLE2]]),FALSE),"")</f>
        <v/>
      </c>
      <c r="CB47" s="182" t="str">
        <f>IF(VLOOKUP(T_BilanSocial[[#This Row],[NumL]],T_Equipement[#Data],COLUMN(T_Equipement[[#This Row],[PC]]),FALSE)="","Aucun équipement spécifique directement lié au télétravail",VLOOKUP(T_BilanSocial[[#This Row],[NumL]],T_Equipement[#Data],COLUMN(T_Equipement[[#This Row],[PC]]),FALSE))</f>
        <v xml:space="preserve">20-130	</v>
      </c>
      <c r="CC47" s="166" t="str">
        <f>IFERROR(IF(VLOOKUP(T_BilanSocial[[#This Row],[NumL]],T_TraitDi[#Data],COLUMN(T_TraitDi[[#This Row],[Plan]]),FALSE)="OK","Un planning spécifique de télétravail est annexé à la présente convention.",""),"")</f>
        <v/>
      </c>
      <c r="CD47" s="258" t="s">
        <v>3293</v>
      </c>
      <c r="CE47" s="164" t="e">
        <f>IF(VLOOKUP(T_BilanSocial[[#This Row],[NumL]],T_suiviDi[#Data],COLUMN(T_suiviDi[[#This Row],[Entité]]),FALSE)="","",VLOOKUP(T_BilanSocial[[#This Row],[NumL]],T_suiviDi[#Data],COLUMN(T_suiviDi[[#This Row],[Entité]]),FALSE))</f>
        <v>#VALUE!</v>
      </c>
      <c r="CF47" s="164" t="str">
        <f>IF(VLOOKUP(T_BilanSocial[[#This Row],[NumL]],T_Commission[#Data],COLUMN(T_Commission[[#This Row],[envoi confirm TW]]),FALSE)="","",VLOOKUP(T_BilanSocial[[#This Row],[NumL]],T_Commission[#Data],COLUMN(T_Commission[[#This Row],[envoi confirm TW]]),FALSE))</f>
        <v>Oui</v>
      </c>
      <c r="CG4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7" s="262" t="str">
        <f>T_BilanSocial[[#This Row],[Nom]]&amp;T_BilanSocial[[#This Row],[Prenom]]</f>
        <v/>
      </c>
      <c r="CI47" s="262">
        <f>VLOOKUP(T_BilanSocial[[#This Row],[NumL]],T_Commission[#Data],COLUMN(T_Commission[Commentaire]),FALSE)</f>
        <v>0</v>
      </c>
      <c r="CJ47" s="262" t="str">
        <f>IF(VLOOKUP(T_BilanSocial[[#This Row],[NumL]],T_Commission[#Data],COLUMN(T_Commission[Encadrant Email]),FALSE)="","",VLOOKUP(T_BilanSocial[[#This Row],[NumL]],T_Commission[#Data],COLUMN(T_Commission[Encadrant Email]),FALSE))</f>
        <v/>
      </c>
      <c r="CK47" s="340" t="str">
        <f>IF(T_BilanSocial[[#This Row],[Final]]&lt;&gt;"",VLOOKUP(T_BilanSocial[[#This Row],[NumL]],T_suiviDi[#Data],COLUMN((T_suiviDi[Statut])),FALSE),"")</f>
        <v/>
      </c>
    </row>
    <row r="48" spans="1:89" s="106" customFormat="1" ht="24.75" customHeight="1" x14ac:dyDescent="0.25">
      <c r="A48" s="160">
        <v>45</v>
      </c>
      <c r="B48" s="161" t="e">
        <f t="shared" si="0"/>
        <v>#N/A</v>
      </c>
      <c r="C48" s="162" t="s">
        <v>173</v>
      </c>
      <c r="D48" s="95" t="e">
        <f>IF(VLOOKUP(T_BilanSocial[[#This Row],[NumL]],T_TraitDi[#Data],COLUMN(T_TraitDi[[#This Row],[WebC]]),FALSE)="","",VLOOKUP(T_BilanSocial[[#This Row],[NumL]],T_TraitDi[#Data],COLUMN(T_TraitDi[[#This Row],[WebC]]),FALSE))</f>
        <v>#VALUE!</v>
      </c>
      <c r="E48" s="163" t="str">
        <f t="shared" si="1"/>
        <v>12 janvier 2021</v>
      </c>
      <c r="F48" s="96" t="e">
        <f>IF(T_BilanSocial[[#This Row],[Final]]&lt;&gt;"",VLOOKUP(T_BilanSocial[[#This Row],[NumL]],T_suiviDi[#Data],COLUMN((T_suiviDi[Civ.])),FALSE),"")</f>
        <v>#N/A</v>
      </c>
      <c r="G48" s="96" t="e">
        <f>IF(T_BilanSocial[[#This Row],[Final]]&lt;&gt;"",VLOOKUP(T_BilanSocial[[#This Row],[NumL]],T_suiviDi[#Data],COLUMN((T_suiviDi[Nom])),FALSE),"")</f>
        <v>#N/A</v>
      </c>
      <c r="H48" s="96" t="e">
        <f>IF(T_BilanSocial[[#This Row],[Final]]&lt;&gt;"",VLOOKUP(T_BilanSocial[[#This Row],[NumL]],T_suiviDi[#Data],COLUMN((T_suiviDi[Prénom])),FALSE),"")</f>
        <v>#N/A</v>
      </c>
      <c r="I48" s="96" t="str">
        <f>IFERROR(VLOOKUP(T_BilanSocial[[#This Row],[Zone_Bilan]],T_P_BilanSocial[#Data],COLUMN(T_P_BilanSocial[[#This Row],[Numero_SIHAM]]),FALSE),"")</f>
        <v/>
      </c>
      <c r="J48" s="96" t="str">
        <f>IFERROR(VLOOKUP(T_BilanSocial[[#This Row],[Zone_Bilan]],T_P_BilanSocial[#Data],COLUMN(T_P_BilanSocial[[#This Row],[Sexe]]),FALSE),"")</f>
        <v/>
      </c>
      <c r="K48" s="97" t="str">
        <f>IFERROR(VLOOKUP(T_BilanSocial[[#This Row],[Zone_Bilan]],T_P_BilanSocial[#Data],COLUMN(T_P_BilanSocial[[#This Row],[Categorie]]),FALSE),"")</f>
        <v/>
      </c>
      <c r="L48" s="96" t="str">
        <f>IFERROR(VLOOKUP(T_BilanSocial[[#This Row],[Zone_Bilan]],T_P_BilanSocial[#Data],COLUMN(T_P_BilanSocial[[#This Row],[Statut]]),FALSE),"")</f>
        <v/>
      </c>
      <c r="M48" s="96" t="str">
        <f>IFERROR(VLOOKUP(T_BilanSocial[[#This Row],[Zone_Bilan]],T_P_BilanSocial[#Data],COLUMN(T_P_BilanSocial[[#This Row],[Filiere]]),FALSE),"")</f>
        <v/>
      </c>
      <c r="N48" s="96" t="e">
        <f>VLOOKUP(T_BilanSocial[[#This Row],[NumL]],T_TraitDi[#Data],COLUMN(T_TraitDi[EXP]),FALSE)</f>
        <v>#N/A</v>
      </c>
      <c r="O48" s="96" t="e">
        <f>VLOOKUP(T_BilanSocial[[#This Row],[NumL]],T_TraitDi[#Data],COLUMN(T_TraitDi[FORM]),FALSE)</f>
        <v>#N/A</v>
      </c>
      <c r="P48" s="96" t="e">
        <f>IF(T_BilanSocial[[#This Row],[Final]]&lt;&gt;"",VLOOKUP(T_BilanSocial[[#This Row],[NumL]],T_suiviDi[#Data],COLUMN((T_suiviDi[Email])),FALSE),"")</f>
        <v>#N/A</v>
      </c>
      <c r="Q48" s="164" t="e">
        <f t="shared" si="7"/>
        <v>#N/A</v>
      </c>
      <c r="R48" s="164" t="e">
        <f t="shared" si="8"/>
        <v>#N/A</v>
      </c>
      <c r="S48" s="164" t="e">
        <f>IF(VLOOKUP(T_BilanSocial[[#This Row],[NumL]],T_suiviDi[#Data],COLUMN(T_suiviDi[[#This Row],[Service ]]),FALSE)="","",VLOOKUP(T_BilanSocial[[#This Row],[NumL]],T_suiviDi[#Data],COLUMN(T_suiviDi[[#This Row],[Service ]]),FALSE))</f>
        <v>#VALUE!</v>
      </c>
      <c r="T48" s="164" t="str">
        <f t="shared" si="2"/>
        <v>01 septembre 2021</v>
      </c>
      <c r="U48" s="164" t="str">
        <f t="shared" si="3"/>
        <v>30 novembre 2021</v>
      </c>
      <c r="V48" s="164" t="str">
        <f t="shared" si="9"/>
        <v>30 novembre 2021</v>
      </c>
      <c r="W48" s="176" t="e">
        <f>IF(VLOOKUP(T_BilanSocial[[#This Row],[NumL]],T_TraitDi[#Data],COLUMN(T_TraitDi[[#This Row],[M1]]),FALSE)="","",VLOOKUP(T_BilanSocial[[#This Row],[NumL]],T_TraitDi[#Data],COLUMN(T_TraitDi[[#This Row],[M1]]),FALSE))</f>
        <v>#VALUE!</v>
      </c>
      <c r="X48" s="176" t="e">
        <f>IF(VLOOKUP(T_BilanSocial[[#This Row],[NumL]],T_TraitDi[#Data],COLUMN(T_TraitDi[[#This Row],[M2]]),FALSE)="","",VLOOKUP(T_BilanSocial[[#This Row],[NumL]],T_TraitDi[#Data],COLUMN(T_TraitDi[[#This Row],[M2]]),FALSE))</f>
        <v>#VALUE!</v>
      </c>
      <c r="Y48" s="176" t="e">
        <f>IF(VLOOKUP(T_BilanSocial[[#This Row],[NumL]],T_TraitDi[#Data],COLUMN(T_TraitDi[[#This Row],[M3]]),FALSE)="","",VLOOKUP(T_BilanSocial[[#This Row],[NumL]],T_TraitDi[#Data],COLUMN(T_TraitDi[[#This Row],[M3]]),FALSE))</f>
        <v>#VALUE!</v>
      </c>
      <c r="Z48" s="176" t="str">
        <f t="shared" si="5"/>
        <v/>
      </c>
      <c r="AA48" s="176" t="e">
        <f>IF(VLOOKUP(T_BilanSocial[[#This Row],[NumL]],T_TraitDi[#Data],COLUMN(T_TraitDi[[#This Row],[M5]]),FALSE)="","",VLOOKUP(T_BilanSocial[[#This Row],[NumL]],T_TraitDi[#Data],COLUMN(T_TraitDi[[#This Row],[M5]]),FALSE))</f>
        <v>#VALUE!</v>
      </c>
      <c r="AB48" s="176" t="e">
        <f>IF(VLOOKUP(T_BilanSocial[[#This Row],[NumL]],T_TraitDi[#Data],COLUMN(T_TraitDi[[#This Row],[M6]]),FALSE)="","",VLOOKUP(T_BilanSocial[[#This Row],[NumL]],T_TraitDi[#Data],COLUMN(T_TraitDi[[#This Row],[M6]]),FALSE))</f>
        <v>#VALUE!</v>
      </c>
      <c r="AC48" s="165" t="e">
        <f t="shared" si="4"/>
        <v>#VALUE!</v>
      </c>
      <c r="AD48" s="188" t="str">
        <f>IFERROR(TEXT(VLOOKUP(T_BilanSocial[[#This Row],[NumL]],T_TraitDi[#Data],COLUMN(T_TraitDi[[#This Row],[Q2]]),FALSE),"###%"),"")</f>
        <v/>
      </c>
      <c r="AE48" s="97" t="e">
        <f>VLOOKUP(T_BilanSocial[[#This Row],[NumL]],T_TraitDi[#Data],COLUMN(T_TraitDi[[#This Row],[Reg Ponct]]),FALSE)</f>
        <v>#VALUE!</v>
      </c>
      <c r="AF48" s="97" t="e">
        <f>VLOOKUP(T_BilanSocial[NumL],T_TraitDi[#Data],COLUMN(T_TraitDi[[#This Row],[Jours flottants]]),FALSE)</f>
        <v>#VALUE!</v>
      </c>
      <c r="AG48" s="97" t="str">
        <f>IFERROR(VLOOKUP(T_BilanSocial[[#This Row],[NumL]],T_TraitDi[#Data],COLUMN(T_TraitDi[[#This Row],[Lundi]]),FALSE),"")</f>
        <v/>
      </c>
      <c r="AH48" s="172" t="e">
        <f>IF(VLOOKUP(T_BilanSocial[[#This Row],[NumL]],T_TraitDi[#Data],COLUMN(T_TraitDi[[#This Row],[Colonne3]]),FALSE)=0,"",TEXT(IFERROR(VLOOKUP(T_BilanSocial[[#This Row],[NumL]],T_TraitDi[#Data],COLUMN(T_TraitDi[[#This Row],[Colonne3]]),FALSE),""),"[hh]:mm"))</f>
        <v>#VALUE!</v>
      </c>
      <c r="AI48" s="172" t="e">
        <f>IF(VLOOKUP(T_BilanSocial[[#This Row],[NumL]],T_TraitDi[#Data],COLUMN(T_TraitDi[[#This Row],[Colonne4]]),FALSE)=0,"",TEXT(IFERROR(VLOOKUP(T_BilanSocial[[#This Row],[NumL]],T_TraitDi[#Data],COLUMN(T_TraitDi[[#This Row],[Colonne4]]),FALSE),""),"[hh]:mm"))</f>
        <v>#VALUE!</v>
      </c>
      <c r="AJ48" s="172" t="e">
        <f>IF(VLOOKUP(T_BilanSocial[[#This Row],[NumL]],T_TraitDi[#Data],COLUMN(T_TraitDi[[#This Row],[Colonne5]]),FALSE)=0,"",TEXT(IFERROR(VLOOKUP(T_BilanSocial[[#This Row],[NumL]],T_TraitDi[#Data],COLUMN(T_TraitDi[[#This Row],[Colonne5]]),FALSE),""),"[hh]:mm"))</f>
        <v>#VALUE!</v>
      </c>
      <c r="AK48" s="172" t="e">
        <f>IF(VLOOKUP(T_BilanSocial[[#This Row],[NumL]],T_TraitDi[#Data],COLUMN(T_TraitDi[[#This Row],[Colonne6]]),FALSE)=0,"",TEXT(IFERROR(VLOOKUP(T_BilanSocial[[#This Row],[NumL]],T_TraitDi[#Data],COLUMN(T_TraitDi[[#This Row],[Colonne6]]),FALSE),""),"[hh]:mm"))</f>
        <v>#VALUE!</v>
      </c>
      <c r="AL48" s="172" t="e">
        <f>IF(VLOOKUP(T_BilanSocial[[#This Row],[NumL]],T_TraitDi[#Data],COLUMN(T_TraitDi[[#This Row],[Colonne7]]),FALSE)=0,"",TEXT(IFERROR(VLOOKUP(T_BilanSocial[[#This Row],[NumL]],T_TraitDi[#Data],COLUMN(T_TraitDi[[#This Row],[Colonne7]]),FALSE),""),"[hh]:mm"))</f>
        <v>#VALUE!</v>
      </c>
      <c r="AM48" s="172" t="e">
        <f>IF(VLOOKUP(T_BilanSocial[[#This Row],[NumL]],T_TraitDi[#Data],COLUMN(T_TraitDi[[#This Row],[Colonne8]]),FALSE)=0,"",TEXT(IFERROR(VLOOKUP(T_BilanSocial[[#This Row],[NumL]],T_TraitDi[#Data],COLUMN(T_TraitDi[[#This Row],[Colonne8]]),FALSE),""),"[hh]:mm"))</f>
        <v>#VALUE!</v>
      </c>
      <c r="AN48" s="172" t="str">
        <f>IFERROR(VLOOKUP(T_BilanSocial[[#This Row],[NumL]],T_TraitDi[#Data],COLUMN(T_TraitDi[[#This Row],[Mardi]]),FALSE),"")</f>
        <v/>
      </c>
      <c r="AO48" s="172" t="e">
        <f>IF(VLOOKUP(T_BilanSocial[[#This Row],[NumL]],T_TraitDi[#Data],COLUMN(T_TraitDi[[#This Row],[Colonne1]]),FALSE)=0,"",TEXT(IFERROR(VLOOKUP(T_BilanSocial[[#This Row],[NumL]],T_TraitDi[#Data],COLUMN(T_TraitDi[[#This Row],[Colonne1]]),FALSE),""),"[hh]:mm"))</f>
        <v>#VALUE!</v>
      </c>
      <c r="AP48" s="172" t="e">
        <f>IF(VLOOKUP(T_BilanSocial[[#This Row],[NumL]],T_TraitDi[#Data],COLUMN(T_TraitDi[[#This Row],[Colonne9]]),FALSE)=0,"",TEXT(IFERROR(VLOOKUP(T_BilanSocial[[#This Row],[NumL]],T_TraitDi[#Data],COLUMN(T_TraitDi[[#This Row],[Colonne9]]),FALSE),""),"[hh]:mm"))</f>
        <v>#VALUE!</v>
      </c>
      <c r="AQ48" s="172" t="str">
        <f>IFERROR(VLOOKUP(T_BilanSocial[[#This Row],[NumL]],T_TraitDi[#Data],COLUMN(T_TraitDi[[#This Row],[Colonne10]]),FALSE),"")</f>
        <v/>
      </c>
      <c r="AR48" s="172" t="e">
        <f>IF(VLOOKUP(T_BilanSocial[[#This Row],[NumL]],T_TraitDi[#Data],COLUMN(T_TraitDi[[#This Row],[Colonne11]]),FALSE)=0,"",TEXT(IFERROR(VLOOKUP(T_BilanSocial[[#This Row],[NumL]],T_TraitDi[#Data],COLUMN(T_TraitDi[[#This Row],[Colonne11]]),FALSE),""),"[hh]:mm"))</f>
        <v>#VALUE!</v>
      </c>
      <c r="AS48" s="172" t="e">
        <f>IF(VLOOKUP(T_BilanSocial[[#This Row],[NumL]],T_TraitDi[#Data],COLUMN(T_TraitDi[[#This Row],[Colonne12]]),FALSE)=0,"",TEXT(IFERROR(VLOOKUP(T_BilanSocial[[#This Row],[NumL]],T_TraitDi[#Data],COLUMN(T_TraitDi[[#This Row],[Colonne12]]),FALSE),""),"[hh]:mm"))</f>
        <v>#VALUE!</v>
      </c>
      <c r="AT48" s="172" t="e">
        <f>IF(VLOOKUP(T_BilanSocial[[#This Row],[NumL]],T_TraitDi[#Data],COLUMN(T_TraitDi[[#This Row],[Colonne14]]),FALSE)=0,"",TEXT(IFERROR(VLOOKUP(T_BilanSocial[[#This Row],[NumL]],T_TraitDi[#Data],COLUMN(T_TraitDi[[#This Row],[Colonne14]]),FALSE),""),"[hh]:mm"))</f>
        <v>#VALUE!</v>
      </c>
      <c r="AU48" s="172" t="str">
        <f>IFERROR(VLOOKUP(T_BilanSocial[[#This Row],[NumL]],T_TraitDi[#Data],COLUMN(T_TraitDi[[#This Row],[Mercredi]]),FALSE),"")</f>
        <v/>
      </c>
      <c r="AV48" s="172" t="e">
        <f>IF(VLOOKUP(T_BilanSocial[[#This Row],[NumL]],T_TraitDi[#Data],COLUMN(T_TraitDi[[#This Row],[Colonne15]]),FALSE)=0,"",TEXT(IFERROR(VLOOKUP(T_BilanSocial[[#This Row],[NumL]],T_TraitDi[#Data],COLUMN(T_TraitDi[[#This Row],[Colonne15]]),FALSE),""),"[hh]:mm"))</f>
        <v>#VALUE!</v>
      </c>
      <c r="AW48" s="172" t="e">
        <f>IF(VLOOKUP(T_BilanSocial[[#This Row],[NumL]],T_TraitDi[#Data],COLUMN(T_TraitDi[[#This Row],[Colonne16]]),FALSE)=0,"",TEXT(IFERROR(VLOOKUP(T_BilanSocial[[#This Row],[NumL]],T_TraitDi[#Data],COLUMN(T_TraitDi[[#This Row],[Colonne16]]),FALSE),""),"[hh]:mm"))</f>
        <v>#VALUE!</v>
      </c>
      <c r="AX48" s="172" t="str">
        <f>IFERROR(VLOOKUP(T_BilanSocial[[#This Row],[NumL]],T_TraitDi[#Data],COLUMN(T_TraitDi[[#This Row],[Colonne17]]),FALSE),"")</f>
        <v/>
      </c>
      <c r="AY48" s="172" t="e">
        <f>IF(VLOOKUP(T_BilanSocial[[#This Row],[NumL]],T_TraitDi[#Data],COLUMN(T_TraitDi[[#This Row],[Colonne18]]),FALSE)=0,"",TEXT(IFERROR(VLOOKUP(T_BilanSocial[[#This Row],[NumL]],T_TraitDi[#Data],COLUMN(T_TraitDi[[#This Row],[Colonne18]]),FALSE),""),"[hh]:mm"))</f>
        <v>#VALUE!</v>
      </c>
      <c r="AZ48" s="172" t="e">
        <f>IF(VLOOKUP(T_BilanSocial[[#This Row],[NumL]],T_TraitDi[#Data],COLUMN(T_TraitDi[[#This Row],[Colonne19]]),FALSE)=0,"",TEXT(IFERROR(VLOOKUP(T_BilanSocial[[#This Row],[NumL]],T_TraitDi[#Data],COLUMN(T_TraitDi[[#This Row],[Colonne19]]),FALSE),""),"[hh]:mm"))</f>
        <v>#VALUE!</v>
      </c>
      <c r="BA48" s="172" t="e">
        <f>IF(VLOOKUP(T_BilanSocial[[#This Row],[NumL]],T_TraitDi[#Data],COLUMN(T_TraitDi[[#This Row],[Colonne20]]),FALSE)=0,"",TEXT(IFERROR(VLOOKUP(T_BilanSocial[[#This Row],[NumL]],T_TraitDi[#Data],COLUMN(T_TraitDi[[#This Row],[Colonne20]]),FALSE),""),"[hh]:mm"))</f>
        <v>#VALUE!</v>
      </c>
      <c r="BB48" s="178" t="str">
        <f>IFERROR(VLOOKUP(T_BilanSocial[[#This Row],[NumL]],T_TraitDi[#Data],COLUMN(T_TraitDi[[#This Row],[Jeudi]]),FALSE),"")</f>
        <v/>
      </c>
      <c r="BC48" s="178" t="e">
        <f>IF(VLOOKUP(T_BilanSocial[[#This Row],[NumL]],T_TraitDi[#Data],COLUMN(T_TraitDi[[#This Row],[Colonne21]]),FALSE)=0,"",TEXT(IFERROR(VLOOKUP(T_BilanSocial[[#This Row],[NumL]],T_TraitDi[#Data],COLUMN(T_TraitDi[[#This Row],[Colonne21]]),FALSE),""),"[hh]:mm"))</f>
        <v>#VALUE!</v>
      </c>
      <c r="BD48" s="178" t="e">
        <f>IF(VLOOKUP(T_BilanSocial[[#This Row],[NumL]],T_TraitDi[#Data],COLUMN(T_TraitDi[[#This Row],[Colonne22]]),FALSE)=0,"",TEXT(IFERROR(VLOOKUP(T_BilanSocial[[#This Row],[NumL]],T_TraitDi[#Data],COLUMN(T_TraitDi[[#This Row],[Colonne22]]),FALSE),""),"[hh]:mm"))</f>
        <v>#VALUE!</v>
      </c>
      <c r="BE48" s="178" t="str">
        <f>IFERROR(VLOOKUP(T_BilanSocial[[#This Row],[NumL]],T_TraitDi[#Data],COLUMN(T_TraitDi[[#This Row],[Colonne23]]),FALSE),"")</f>
        <v/>
      </c>
      <c r="BF48" s="178" t="e">
        <f>IF(VLOOKUP(T_BilanSocial[[#This Row],[NumL]],T_TraitDi[#Data],COLUMN(T_TraitDi[[#This Row],[Colonne24]]),FALSE)=0,"",TEXT(IFERROR(VLOOKUP(T_BilanSocial[[#This Row],[NumL]],T_TraitDi[#Data],COLUMN(T_TraitDi[[#This Row],[Colonne24]]),FALSE),""),"[hh]:mm"))</f>
        <v>#VALUE!</v>
      </c>
      <c r="BG48" s="178" t="e">
        <f>IF(VLOOKUP(T_BilanSocial[[#This Row],[NumL]],T_TraitDi[#Data],COLUMN(T_TraitDi[[#This Row],[Colonne25]]),FALSE)=0,"",TEXT(IFERROR(VLOOKUP(T_BilanSocial[[#This Row],[NumL]],T_TraitDi[#Data],COLUMN(T_TraitDi[[#This Row],[Colonne25]]),FALSE),""),"[hh]:mm"))</f>
        <v>#VALUE!</v>
      </c>
      <c r="BH48" s="178" t="e">
        <f>IF(VLOOKUP(T_BilanSocial[[#This Row],[NumL]],T_TraitDi[#Data],COLUMN(T_TraitDi[[#This Row],[Colonne26]]),FALSE)=0,"",TEXT(IFERROR(VLOOKUP(T_BilanSocial[[#This Row],[NumL]],T_TraitDi[#Data],COLUMN(T_TraitDi[[#This Row],[Colonne26]]),FALSE),""),"[hh]:mm"))</f>
        <v>#VALUE!</v>
      </c>
      <c r="BI48" s="172" t="str">
        <f>IFERROR(VLOOKUP(T_BilanSocial[[#This Row],[NumL]],T_TraitDi[#Data],COLUMN(T_TraitDi[[#This Row],[Vendredi]]),FALSE),"")</f>
        <v/>
      </c>
      <c r="BJ48" s="172" t="e">
        <f>IF(VLOOKUP(T_BilanSocial[[#This Row],[NumL]],T_TraitDi[#Data],COLUMN(T_TraitDi[[#This Row],[Colonne27]]),FALSE)=0,"",TEXT(IFERROR(VLOOKUP(T_BilanSocial[[#This Row],[NumL]],T_TraitDi[#Data],COLUMN(T_TraitDi[[#This Row],[Colonne27]]),FALSE),""),"[hh]:mm"))</f>
        <v>#VALUE!</v>
      </c>
      <c r="BK48" s="172" t="e">
        <f>IF(VLOOKUP(T_BilanSocial[[#This Row],[NumL]],T_TraitDi[#Data],COLUMN(T_TraitDi[[#This Row],[Colonne28]]),FALSE)=0,"",TEXT(IFERROR(VLOOKUP(T_BilanSocial[[#This Row],[NumL]],T_TraitDi[#Data],COLUMN(T_TraitDi[[#This Row],[Colonne28]]),FALSE),""),"[hh]:mm"))</f>
        <v>#VALUE!</v>
      </c>
      <c r="BL48" s="172" t="str">
        <f>IFERROR(VLOOKUP(T_BilanSocial[[#This Row],[NumL]],T_TraitDi[#Data],COLUMN(T_TraitDi[[#This Row],[Colonne29]]),FALSE),"")</f>
        <v/>
      </c>
      <c r="BM48" s="172" t="e">
        <f>IF(VLOOKUP(T_BilanSocial[[#This Row],[NumL]],T_TraitDi[#Data],COLUMN(T_TraitDi[[#This Row],[Colonne30]]),FALSE)=0,"",TEXT(IFERROR(VLOOKUP(T_BilanSocial[[#This Row],[NumL]],T_TraitDi[#Data],COLUMN(T_TraitDi[[#This Row],[Colonne30]]),FALSE),""),"[hh]:mm"))</f>
        <v>#VALUE!</v>
      </c>
      <c r="BN48" s="172" t="e">
        <f>IF(VLOOKUP(T_BilanSocial[[#This Row],[NumL]],T_TraitDi[#Data],COLUMN(T_TraitDi[[#This Row],[Colonne31]]),FALSE)=0,"",TEXT(IFERROR(VLOOKUP(T_BilanSocial[[#This Row],[NumL]],T_TraitDi[#Data],COLUMN(T_TraitDi[[#This Row],[Colonne31]]),FALSE),""),"[hh]:mm"))</f>
        <v>#VALUE!</v>
      </c>
      <c r="BO48" s="172" t="e">
        <f>IF(VLOOKUP(T_BilanSocial[[#This Row],[NumL]],T_TraitDi[#Data],COLUMN(T_TraitDi[[#This Row],[Colonne32]]),FALSE)=0,"",TEXT(IFERROR(VLOOKUP(T_BilanSocial[[#This Row],[NumL]],T_TraitDi[#Data],COLUMN(T_TraitDi[[#This Row],[Colonne32]]),FALSE),""),"[hh]:mm"))</f>
        <v>#VALUE!</v>
      </c>
      <c r="BP48" s="172" t="e">
        <f>VLOOKUP(T_BilanSocial[[#This Row],[NumL]],T_TraitDi[#Data],COLUMN(T_TraitDi[NbJTot]),FALSE)</f>
        <v>#N/A</v>
      </c>
      <c r="BQ48" s="174" t="str">
        <f>IFERROR(VLOOKUP(T_BilanSocial[[#This Row],[NumL]],T_TraitDi[#Data],COLUMN(T_TraitDi[[#This Row],[NbJTW]]),FALSE),"")</f>
        <v/>
      </c>
      <c r="BR48" s="174" t="e">
        <f>IF(VLOOKUP(T_BilanSocial[[#This Row],[NumL]],T_TraitDi[#Data],COLUMN(T_TraitDi[[#This Row],[NbhTW]]),FALSE)=0,"",TEXT(IFERROR(VLOOKUP(T_BilanSocial[[#This Row],[NumL]],T_TraitDi[#Data],COLUMN(T_TraitDi[[#This Row],[NbhTW]]),FALSE),""),"[hh]:mm"))</f>
        <v>#VALUE!</v>
      </c>
      <c r="BS48" s="174" t="e">
        <f>IF(VLOOKUP(T_BilanSocial[[#This Row],[NumL]],T_TraitDi[#Data],COLUMN(T_TraitDi[[#This Row],[Nbhheb]]),FALSE)=0,"",TEXT(IFERROR(VLOOKUP($A48,T_TraitDi[#Data],COLUMN(T_TraitDi[[#This Row],[Nbhheb]]),FALSE),""),"[hh]:mm"))</f>
        <v>#VALUE!</v>
      </c>
      <c r="BT48" s="182" t="str">
        <f>IFERROR(VLOOKUP(VLOOKUP($A48,T_TraitDi[#Data],COLUMN(T_TraitDi[[#This Row],[Type1]]),FALSE),TypeTW,2,FALSE),"")</f>
        <v/>
      </c>
      <c r="BU48" s="182" t="str">
        <f>IFERROR(VLOOKUP($A48,T_TraitDi[#Data],COLUMN(T_TraitDi[[#This Row],[Rue1]]),FALSE),"")</f>
        <v/>
      </c>
      <c r="BV48" s="173" t="str">
        <f>IFERROR(VLOOKUP($A48,T_TraitDi[#Data],COLUMN(T_TraitDi[[#This Row],[CP1]]),FALSE),"")</f>
        <v/>
      </c>
      <c r="BW48" s="173" t="str">
        <f>IFERROR(VLOOKUP($A48,T_TraitDi[#Data],COLUMN(T_TraitDi[[#This Row],[VILLE1]]),FALSE),"")</f>
        <v/>
      </c>
      <c r="BX48" s="182" t="str">
        <f>IFERROR(VLOOKUP(VLOOKUP($A48,T_TraitDi[#Data],COLUMN(T_TraitDi[[#This Row],[Type2]]),FALSE),TypeTW,2,FALSE),"")</f>
        <v/>
      </c>
      <c r="BY48" s="182" t="str">
        <f>IFERROR(VLOOKUP($A48,T_TraitDi[#Data],COLUMN(T_TraitDi[[#This Row],[Rue2]]),FALSE),"")</f>
        <v/>
      </c>
      <c r="BZ48" s="173" t="str">
        <f>IFERROR(VLOOKUP($A48,T_TraitDi[#Data],COLUMN(T_TraitDi[[#This Row],[CP2]]),FALSE),"")</f>
        <v/>
      </c>
      <c r="CA48" s="173" t="str">
        <f>IFERROR(VLOOKUP($A48,T_TraitDi[#Data],COLUMN(T_TraitDi[[#This Row],[VILLE2]]),FALSE),"")</f>
        <v/>
      </c>
      <c r="CB48" s="182" t="e">
        <f>IF(VLOOKUP(T_BilanSocial[[#This Row],[NumL]],T_Equipement[#Data],COLUMN(T_Equipement[[#This Row],[PC]]),FALSE)="","Aucun équipement spécifique directement lié au télétravail",VLOOKUP(T_BilanSocial[[#This Row],[NumL]],T_Equipement[#Data],COLUMN(T_Equipement[[#This Row],[PC]]),FALSE))</f>
        <v>#N/A</v>
      </c>
      <c r="CC48" s="166" t="str">
        <f>IFERROR(IF(VLOOKUP(T_BilanSocial[[#This Row],[NumL]],T_TraitDi[#Data],COLUMN(T_TraitDi[[#This Row],[Plan]]),FALSE)="OK","Un planning spécifique de télétravail est annexé à la présente convention.",""),"")</f>
        <v/>
      </c>
      <c r="CD48" s="258" t="s">
        <v>3294</v>
      </c>
      <c r="CE48" s="164" t="e">
        <f>IF(VLOOKUP(T_BilanSocial[[#This Row],[NumL]],T_suiviDi[#Data],COLUMN(T_suiviDi[[#This Row],[Entité]]),FALSE)="","",VLOOKUP(T_BilanSocial[[#This Row],[NumL]],T_suiviDi[#Data],COLUMN(T_suiviDi[[#This Row],[Entité]]),FALSE))</f>
        <v>#VALUE!</v>
      </c>
      <c r="CF48" s="164" t="e">
        <f>IF(VLOOKUP(T_BilanSocial[[#This Row],[NumL]],T_Commission[#Data],COLUMN(T_Commission[[#This Row],[envoi confirm TW]]),FALSE)="","",VLOOKUP(T_BilanSocial[[#This Row],[NumL]],T_Commission[#Data],COLUMN(T_Commission[[#This Row],[envoi confirm TW]]),FALSE))</f>
        <v>#N/A</v>
      </c>
      <c r="CG4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8" s="262" t="e">
        <f>T_BilanSocial[[#This Row],[Nom]]&amp;T_BilanSocial[[#This Row],[Prenom]]</f>
        <v>#N/A</v>
      </c>
      <c r="CI48" s="262" t="e">
        <f>VLOOKUP(T_BilanSocial[[#This Row],[NumL]],T_Commission[#Data],COLUMN(T_Commission[Commentaire]),FALSE)</f>
        <v>#N/A</v>
      </c>
      <c r="CJ48" s="262" t="e">
        <f>IF(VLOOKUP(T_BilanSocial[[#This Row],[NumL]],T_Commission[#Data],COLUMN(T_Commission[Encadrant Email]),FALSE)="","",VLOOKUP(T_BilanSocial[[#This Row],[NumL]],T_Commission[#Data],COLUMN(T_Commission[Encadrant Email]),FALSE))</f>
        <v>#N/A</v>
      </c>
      <c r="CK48" s="340" t="e">
        <f>IF(T_BilanSocial[[#This Row],[Final]]&lt;&gt;"",VLOOKUP(T_BilanSocial[[#This Row],[NumL]],T_suiviDi[#Data],COLUMN((T_suiviDi[Statut])),FALSE),"")</f>
        <v>#N/A</v>
      </c>
    </row>
    <row r="49" spans="1:89" s="106" customFormat="1" ht="24.75" customHeight="1" x14ac:dyDescent="0.25">
      <c r="A49" s="160">
        <v>46</v>
      </c>
      <c r="B49" s="161" t="e">
        <f t="shared" si="0"/>
        <v>#N/A</v>
      </c>
      <c r="C49" s="162" t="s">
        <v>173</v>
      </c>
      <c r="D49" s="95" t="e">
        <f>IF(VLOOKUP(T_BilanSocial[[#This Row],[NumL]],T_TraitDi[#Data],COLUMN(T_TraitDi[[#This Row],[WebC]]),FALSE)="","",VLOOKUP(T_BilanSocial[[#This Row],[NumL]],T_TraitDi[#Data],COLUMN(T_TraitDi[[#This Row],[WebC]]),FALSE))</f>
        <v>#VALUE!</v>
      </c>
      <c r="E49" s="163" t="str">
        <f t="shared" si="1"/>
        <v>12 janvier 2021</v>
      </c>
      <c r="F49" s="96" t="e">
        <f>IF(T_BilanSocial[[#This Row],[Final]]&lt;&gt;"",VLOOKUP(T_BilanSocial[[#This Row],[NumL]],T_suiviDi[#Data],COLUMN((T_suiviDi[Civ.])),FALSE),"")</f>
        <v>#N/A</v>
      </c>
      <c r="G49" s="96" t="e">
        <f>IF(T_BilanSocial[[#This Row],[Final]]&lt;&gt;"",VLOOKUP(T_BilanSocial[[#This Row],[NumL]],T_suiviDi[#Data],COLUMN((T_suiviDi[Nom])),FALSE),"")</f>
        <v>#N/A</v>
      </c>
      <c r="H49" s="96" t="e">
        <f>IF(T_BilanSocial[[#This Row],[Final]]&lt;&gt;"",VLOOKUP(T_BilanSocial[[#This Row],[NumL]],T_suiviDi[#Data],COLUMN((T_suiviDi[Prénom])),FALSE),"")</f>
        <v>#N/A</v>
      </c>
      <c r="I49" s="96" t="str">
        <f>IFERROR(VLOOKUP(T_BilanSocial[[#This Row],[Zone_Bilan]],T_P_BilanSocial[#Data],COLUMN(T_P_BilanSocial[[#This Row],[Numero_SIHAM]]),FALSE),"")</f>
        <v/>
      </c>
      <c r="J49" s="96" t="str">
        <f>IFERROR(VLOOKUP(T_BilanSocial[[#This Row],[Zone_Bilan]],T_P_BilanSocial[#Data],COLUMN(T_P_BilanSocial[[#This Row],[Sexe]]),FALSE),"")</f>
        <v/>
      </c>
      <c r="K49" s="97" t="str">
        <f>IFERROR(VLOOKUP(T_BilanSocial[[#This Row],[Zone_Bilan]],T_P_BilanSocial[#Data],COLUMN(T_P_BilanSocial[[#This Row],[Categorie]]),FALSE),"")</f>
        <v/>
      </c>
      <c r="L49" s="96" t="str">
        <f>IFERROR(VLOOKUP(T_BilanSocial[[#This Row],[Zone_Bilan]],T_P_BilanSocial[#Data],COLUMN(T_P_BilanSocial[[#This Row],[Statut]]),FALSE),"")</f>
        <v/>
      </c>
      <c r="M49" s="96" t="str">
        <f>IFERROR(VLOOKUP(T_BilanSocial[[#This Row],[Zone_Bilan]],T_P_BilanSocial[#Data],COLUMN(T_P_BilanSocial[[#This Row],[Filiere]]),FALSE),"")</f>
        <v/>
      </c>
      <c r="N49" s="96" t="e">
        <f>VLOOKUP(T_BilanSocial[[#This Row],[NumL]],T_TraitDi[#Data],COLUMN(T_TraitDi[EXP]),FALSE)</f>
        <v>#N/A</v>
      </c>
      <c r="O49" s="96" t="e">
        <f>VLOOKUP(T_BilanSocial[[#This Row],[NumL]],T_TraitDi[#Data],COLUMN(T_TraitDi[FORM]),FALSE)</f>
        <v>#N/A</v>
      </c>
      <c r="P49" s="96" t="e">
        <f>IF(T_BilanSocial[[#This Row],[Final]]&lt;&gt;"",VLOOKUP(T_BilanSocial[[#This Row],[NumL]],T_suiviDi[#Data],COLUMN((T_suiviDi[Email])),FALSE),"")</f>
        <v>#N/A</v>
      </c>
      <c r="Q49" s="164" t="e">
        <f t="shared" si="7"/>
        <v>#N/A</v>
      </c>
      <c r="R49" s="164" t="e">
        <f t="shared" si="8"/>
        <v>#N/A</v>
      </c>
      <c r="S49" s="164" t="e">
        <f>IF(VLOOKUP(T_BilanSocial[[#This Row],[NumL]],T_suiviDi[#Data],COLUMN(T_suiviDi[[#This Row],[Service ]]),FALSE)="","",VLOOKUP(T_BilanSocial[[#This Row],[NumL]],T_suiviDi[#Data],COLUMN(T_suiviDi[[#This Row],[Service ]]),FALSE))</f>
        <v>#VALUE!</v>
      </c>
      <c r="T49" s="164" t="str">
        <f t="shared" si="2"/>
        <v>01 septembre 2021</v>
      </c>
      <c r="U49" s="164" t="str">
        <f t="shared" si="3"/>
        <v>30 novembre 2021</v>
      </c>
      <c r="V49" s="96" t="str">
        <f t="shared" si="9"/>
        <v>30 novembre 2021</v>
      </c>
      <c r="W49" s="176" t="e">
        <f>IF(VLOOKUP(T_BilanSocial[[#This Row],[NumL]],T_TraitDi[#Data],COLUMN(T_TraitDi[[#This Row],[M1]]),FALSE)="","",VLOOKUP(T_BilanSocial[[#This Row],[NumL]],T_TraitDi[#Data],COLUMN(T_TraitDi[[#This Row],[M1]]),FALSE))</f>
        <v>#VALUE!</v>
      </c>
      <c r="X49" s="176" t="e">
        <f>IF(VLOOKUP(T_BilanSocial[[#This Row],[NumL]],T_TraitDi[#Data],COLUMN(T_TraitDi[[#This Row],[M2]]),FALSE)="","",VLOOKUP(T_BilanSocial[[#This Row],[NumL]],T_TraitDi[#Data],COLUMN(T_TraitDi[[#This Row],[M2]]),FALSE))</f>
        <v>#VALUE!</v>
      </c>
      <c r="Y49" s="176" t="e">
        <f>IF(VLOOKUP(T_BilanSocial[[#This Row],[NumL]],T_TraitDi[#Data],COLUMN(T_TraitDi[[#This Row],[M3]]),FALSE)="","",VLOOKUP(T_BilanSocial[[#This Row],[NumL]],T_TraitDi[#Data],COLUMN(T_TraitDi[[#This Row],[M3]]),FALSE))</f>
        <v>#VALUE!</v>
      </c>
      <c r="Z49" s="176" t="str">
        <f t="shared" si="5"/>
        <v/>
      </c>
      <c r="AA49" s="176" t="e">
        <f>IF(VLOOKUP(T_BilanSocial[[#This Row],[NumL]],T_TraitDi[#Data],COLUMN(T_TraitDi[[#This Row],[M5]]),FALSE)="","",VLOOKUP(T_BilanSocial[[#This Row],[NumL]],T_TraitDi[#Data],COLUMN(T_TraitDi[[#This Row],[M5]]),FALSE))</f>
        <v>#VALUE!</v>
      </c>
      <c r="AB49" s="176" t="e">
        <f>IF(VLOOKUP(T_BilanSocial[[#This Row],[NumL]],T_TraitDi[#Data],COLUMN(T_TraitDi[[#This Row],[M6]]),FALSE)="","",VLOOKUP(T_BilanSocial[[#This Row],[NumL]],T_TraitDi[#Data],COLUMN(T_TraitDi[[#This Row],[M6]]),FALSE))</f>
        <v>#VALUE!</v>
      </c>
      <c r="AC49" s="165" t="e">
        <f t="shared" si="4"/>
        <v>#VALUE!</v>
      </c>
      <c r="AD49" s="188" t="str">
        <f>IFERROR(TEXT(VLOOKUP(T_BilanSocial[[#This Row],[NumL]],T_TraitDi[#Data],COLUMN(T_TraitDi[[#This Row],[Q2]]),FALSE),"###%"),"")</f>
        <v/>
      </c>
      <c r="AE49" s="97" t="e">
        <f>VLOOKUP(T_BilanSocial[[#This Row],[NumL]],T_TraitDi[#Data],COLUMN(T_TraitDi[[#This Row],[Reg Ponct]]),FALSE)</f>
        <v>#VALUE!</v>
      </c>
      <c r="AF49" s="97" t="e">
        <f>VLOOKUP(T_BilanSocial[NumL],T_TraitDi[#Data],COLUMN(T_TraitDi[[#This Row],[Jours flottants]]),FALSE)</f>
        <v>#VALUE!</v>
      </c>
      <c r="AG49" s="97" t="str">
        <f>IFERROR(VLOOKUP(T_BilanSocial[[#This Row],[NumL]],T_TraitDi[#Data],COLUMN(T_TraitDi[[#This Row],[Lundi]]),FALSE),"")</f>
        <v/>
      </c>
      <c r="AH49" s="172" t="e">
        <f>IF(VLOOKUP(T_BilanSocial[[#This Row],[NumL]],T_TraitDi[#Data],COLUMN(T_TraitDi[[#This Row],[Colonne3]]),FALSE)=0,"",TEXT(IFERROR(VLOOKUP(T_BilanSocial[[#This Row],[NumL]],T_TraitDi[#Data],COLUMN(T_TraitDi[[#This Row],[Colonne3]]),FALSE),""),"[hh]:mm"))</f>
        <v>#VALUE!</v>
      </c>
      <c r="AI49" s="172" t="e">
        <f>IF(VLOOKUP(T_BilanSocial[[#This Row],[NumL]],T_TraitDi[#Data],COLUMN(T_TraitDi[[#This Row],[Colonne4]]),FALSE)=0,"",TEXT(IFERROR(VLOOKUP(T_BilanSocial[[#This Row],[NumL]],T_TraitDi[#Data],COLUMN(T_TraitDi[[#This Row],[Colonne4]]),FALSE),""),"[hh]:mm"))</f>
        <v>#VALUE!</v>
      </c>
      <c r="AJ49" s="172" t="e">
        <f>IF(VLOOKUP(T_BilanSocial[[#This Row],[NumL]],T_TraitDi[#Data],COLUMN(T_TraitDi[[#This Row],[Colonne5]]),FALSE)=0,"",TEXT(IFERROR(VLOOKUP(T_BilanSocial[[#This Row],[NumL]],T_TraitDi[#Data],COLUMN(T_TraitDi[[#This Row],[Colonne5]]),FALSE),""),"[hh]:mm"))</f>
        <v>#VALUE!</v>
      </c>
      <c r="AK49" s="172" t="e">
        <f>IF(VLOOKUP(T_BilanSocial[[#This Row],[NumL]],T_TraitDi[#Data],COLUMN(T_TraitDi[[#This Row],[Colonne6]]),FALSE)=0,"",TEXT(IFERROR(VLOOKUP(T_BilanSocial[[#This Row],[NumL]],T_TraitDi[#Data],COLUMN(T_TraitDi[[#This Row],[Colonne6]]),FALSE),""),"[hh]:mm"))</f>
        <v>#VALUE!</v>
      </c>
      <c r="AL49" s="172" t="e">
        <f>IF(VLOOKUP(T_BilanSocial[[#This Row],[NumL]],T_TraitDi[#Data],COLUMN(T_TraitDi[[#This Row],[Colonne7]]),FALSE)=0,"",TEXT(IFERROR(VLOOKUP(T_BilanSocial[[#This Row],[NumL]],T_TraitDi[#Data],COLUMN(T_TraitDi[[#This Row],[Colonne7]]),FALSE),""),"[hh]:mm"))</f>
        <v>#VALUE!</v>
      </c>
      <c r="AM49" s="172" t="e">
        <f>IF(VLOOKUP(T_BilanSocial[[#This Row],[NumL]],T_TraitDi[#Data],COLUMN(T_TraitDi[[#This Row],[Colonne8]]),FALSE)=0,"",TEXT(IFERROR(VLOOKUP(T_BilanSocial[[#This Row],[NumL]],T_TraitDi[#Data],COLUMN(T_TraitDi[[#This Row],[Colonne8]]),FALSE),""),"[hh]:mm"))</f>
        <v>#VALUE!</v>
      </c>
      <c r="AN49" s="172" t="str">
        <f>IFERROR(VLOOKUP(T_BilanSocial[[#This Row],[NumL]],T_TraitDi[#Data],COLUMN(T_TraitDi[[#This Row],[Mardi]]),FALSE),"")</f>
        <v/>
      </c>
      <c r="AO49" s="172" t="e">
        <f>IF(VLOOKUP(T_BilanSocial[[#This Row],[NumL]],T_TraitDi[#Data],COLUMN(T_TraitDi[[#This Row],[Colonne1]]),FALSE)=0,"",TEXT(IFERROR(VLOOKUP(T_BilanSocial[[#This Row],[NumL]],T_TraitDi[#Data],COLUMN(T_TraitDi[[#This Row],[Colonne1]]),FALSE),""),"[hh]:mm"))</f>
        <v>#VALUE!</v>
      </c>
      <c r="AP49" s="172" t="e">
        <f>IF(VLOOKUP(T_BilanSocial[[#This Row],[NumL]],T_TraitDi[#Data],COLUMN(T_TraitDi[[#This Row],[Colonne9]]),FALSE)=0,"",TEXT(IFERROR(VLOOKUP(T_BilanSocial[[#This Row],[NumL]],T_TraitDi[#Data],COLUMN(T_TraitDi[[#This Row],[Colonne9]]),FALSE),""),"[hh]:mm"))</f>
        <v>#VALUE!</v>
      </c>
      <c r="AQ49" s="172" t="str">
        <f>IFERROR(VLOOKUP(T_BilanSocial[[#This Row],[NumL]],T_TraitDi[#Data],COLUMN(T_TraitDi[[#This Row],[Colonne10]]),FALSE),"")</f>
        <v/>
      </c>
      <c r="AR49" s="172" t="e">
        <f>IF(VLOOKUP(T_BilanSocial[[#This Row],[NumL]],T_TraitDi[#Data],COLUMN(T_TraitDi[[#This Row],[Colonne11]]),FALSE)=0,"",TEXT(IFERROR(VLOOKUP(T_BilanSocial[[#This Row],[NumL]],T_TraitDi[#Data],COLUMN(T_TraitDi[[#This Row],[Colonne11]]),FALSE),""),"[hh]:mm"))</f>
        <v>#VALUE!</v>
      </c>
      <c r="AS49" s="172" t="e">
        <f>IF(VLOOKUP(T_BilanSocial[[#This Row],[NumL]],T_TraitDi[#Data],COLUMN(T_TraitDi[[#This Row],[Colonne12]]),FALSE)=0,"",TEXT(IFERROR(VLOOKUP(T_BilanSocial[[#This Row],[NumL]],T_TraitDi[#Data],COLUMN(T_TraitDi[[#This Row],[Colonne12]]),FALSE),""),"[hh]:mm"))</f>
        <v>#VALUE!</v>
      </c>
      <c r="AT49" s="172" t="e">
        <f>IF(VLOOKUP(T_BilanSocial[[#This Row],[NumL]],T_TraitDi[#Data],COLUMN(T_TraitDi[[#This Row],[Colonne14]]),FALSE)=0,"",TEXT(IFERROR(VLOOKUP(T_BilanSocial[[#This Row],[NumL]],T_TraitDi[#Data],COLUMN(T_TraitDi[[#This Row],[Colonne14]]),FALSE),""),"[hh]:mm"))</f>
        <v>#VALUE!</v>
      </c>
      <c r="AU49" s="172" t="str">
        <f>IFERROR(VLOOKUP(T_BilanSocial[[#This Row],[NumL]],T_TraitDi[#Data],COLUMN(T_TraitDi[[#This Row],[Mercredi]]),FALSE),"")</f>
        <v/>
      </c>
      <c r="AV49" s="172" t="e">
        <f>IF(VLOOKUP(T_BilanSocial[[#This Row],[NumL]],T_TraitDi[#Data],COLUMN(T_TraitDi[[#This Row],[Colonne15]]),FALSE)=0,"",TEXT(IFERROR(VLOOKUP(T_BilanSocial[[#This Row],[NumL]],T_TraitDi[#Data],COLUMN(T_TraitDi[[#This Row],[Colonne15]]),FALSE),""),"[hh]:mm"))</f>
        <v>#VALUE!</v>
      </c>
      <c r="AW49" s="172" t="e">
        <f>IF(VLOOKUP(T_BilanSocial[[#This Row],[NumL]],T_TraitDi[#Data],COLUMN(T_TraitDi[[#This Row],[Colonne16]]),FALSE)=0,"",TEXT(IFERROR(VLOOKUP(T_BilanSocial[[#This Row],[NumL]],T_TraitDi[#Data],COLUMN(T_TraitDi[[#This Row],[Colonne16]]),FALSE),""),"[hh]:mm"))</f>
        <v>#VALUE!</v>
      </c>
      <c r="AX49" s="172" t="str">
        <f>IFERROR(VLOOKUP(T_BilanSocial[[#This Row],[NumL]],T_TraitDi[#Data],COLUMN(T_TraitDi[[#This Row],[Colonne17]]),FALSE),"")</f>
        <v/>
      </c>
      <c r="AY49" s="172" t="e">
        <f>IF(VLOOKUP(T_BilanSocial[[#This Row],[NumL]],T_TraitDi[#Data],COLUMN(T_TraitDi[[#This Row],[Colonne18]]),FALSE)=0,"",TEXT(IFERROR(VLOOKUP(T_BilanSocial[[#This Row],[NumL]],T_TraitDi[#Data],COLUMN(T_TraitDi[[#This Row],[Colonne18]]),FALSE),""),"[hh]:mm"))</f>
        <v>#VALUE!</v>
      </c>
      <c r="AZ49" s="172" t="e">
        <f>IF(VLOOKUP(T_BilanSocial[[#This Row],[NumL]],T_TraitDi[#Data],COLUMN(T_TraitDi[[#This Row],[Colonne19]]),FALSE)=0,"",TEXT(IFERROR(VLOOKUP(T_BilanSocial[[#This Row],[NumL]],T_TraitDi[#Data],COLUMN(T_TraitDi[[#This Row],[Colonne19]]),FALSE),""),"[hh]:mm"))</f>
        <v>#VALUE!</v>
      </c>
      <c r="BA49" s="172" t="e">
        <f>IF(VLOOKUP(T_BilanSocial[[#This Row],[NumL]],T_TraitDi[#Data],COLUMN(T_TraitDi[[#This Row],[Colonne20]]),FALSE)=0,"",TEXT(IFERROR(VLOOKUP(T_BilanSocial[[#This Row],[NumL]],T_TraitDi[#Data],COLUMN(T_TraitDi[[#This Row],[Colonne20]]),FALSE),""),"[hh]:mm"))</f>
        <v>#VALUE!</v>
      </c>
      <c r="BB49" s="178" t="str">
        <f>IFERROR(VLOOKUP(T_BilanSocial[[#This Row],[NumL]],T_TraitDi[#Data],COLUMN(T_TraitDi[[#This Row],[Jeudi]]),FALSE),"")</f>
        <v/>
      </c>
      <c r="BC49" s="178" t="e">
        <f>IF(VLOOKUP(T_BilanSocial[[#This Row],[NumL]],T_TraitDi[#Data],COLUMN(T_TraitDi[[#This Row],[Colonne21]]),FALSE)=0,"",TEXT(IFERROR(VLOOKUP(T_BilanSocial[[#This Row],[NumL]],T_TraitDi[#Data],COLUMN(T_TraitDi[[#This Row],[Colonne21]]),FALSE),""),"[hh]:mm"))</f>
        <v>#VALUE!</v>
      </c>
      <c r="BD49" s="178" t="e">
        <f>IF(VLOOKUP(T_BilanSocial[[#This Row],[NumL]],T_TraitDi[#Data],COLUMN(T_TraitDi[[#This Row],[Colonne22]]),FALSE)=0,"",TEXT(IFERROR(VLOOKUP(T_BilanSocial[[#This Row],[NumL]],T_TraitDi[#Data],COLUMN(T_TraitDi[[#This Row],[Colonne22]]),FALSE),""),"[hh]:mm"))</f>
        <v>#VALUE!</v>
      </c>
      <c r="BE49" s="178" t="str">
        <f>IFERROR(VLOOKUP(T_BilanSocial[[#This Row],[NumL]],T_TraitDi[#Data],COLUMN(T_TraitDi[[#This Row],[Colonne23]]),FALSE),"")</f>
        <v/>
      </c>
      <c r="BF49" s="178" t="e">
        <f>IF(VLOOKUP(T_BilanSocial[[#This Row],[NumL]],T_TraitDi[#Data],COLUMN(T_TraitDi[[#This Row],[Colonne24]]),FALSE)=0,"",TEXT(IFERROR(VLOOKUP(T_BilanSocial[[#This Row],[NumL]],T_TraitDi[#Data],COLUMN(T_TraitDi[[#This Row],[Colonne24]]),FALSE),""),"[hh]:mm"))</f>
        <v>#VALUE!</v>
      </c>
      <c r="BG49" s="178" t="e">
        <f>IF(VLOOKUP(T_BilanSocial[[#This Row],[NumL]],T_TraitDi[#Data],COLUMN(T_TraitDi[[#This Row],[Colonne25]]),FALSE)=0,"",TEXT(IFERROR(VLOOKUP(T_BilanSocial[[#This Row],[NumL]],T_TraitDi[#Data],COLUMN(T_TraitDi[[#This Row],[Colonne25]]),FALSE),""),"[hh]:mm"))</f>
        <v>#VALUE!</v>
      </c>
      <c r="BH49" s="178" t="e">
        <f>IF(VLOOKUP(T_BilanSocial[[#This Row],[NumL]],T_TraitDi[#Data],COLUMN(T_TraitDi[[#This Row],[Colonne26]]),FALSE)=0,"",TEXT(IFERROR(VLOOKUP(T_BilanSocial[[#This Row],[NumL]],T_TraitDi[#Data],COLUMN(T_TraitDi[[#This Row],[Colonne26]]),FALSE),""),"[hh]:mm"))</f>
        <v>#VALUE!</v>
      </c>
      <c r="BI49" s="172" t="str">
        <f>IFERROR(VLOOKUP(T_BilanSocial[[#This Row],[NumL]],T_TraitDi[#Data],COLUMN(T_TraitDi[[#This Row],[Vendredi]]),FALSE),"")</f>
        <v/>
      </c>
      <c r="BJ49" s="172" t="e">
        <f>IF(VLOOKUP(T_BilanSocial[[#This Row],[NumL]],T_TraitDi[#Data],COLUMN(T_TraitDi[[#This Row],[Colonne27]]),FALSE)=0,"",TEXT(IFERROR(VLOOKUP(T_BilanSocial[[#This Row],[NumL]],T_TraitDi[#Data],COLUMN(T_TraitDi[[#This Row],[Colonne27]]),FALSE),""),"[hh]:mm"))</f>
        <v>#VALUE!</v>
      </c>
      <c r="BK49" s="172" t="e">
        <f>IF(VLOOKUP(T_BilanSocial[[#This Row],[NumL]],T_TraitDi[#Data],COLUMN(T_TraitDi[[#This Row],[Colonne28]]),FALSE)=0,"",TEXT(IFERROR(VLOOKUP(T_BilanSocial[[#This Row],[NumL]],T_TraitDi[#Data],COLUMN(T_TraitDi[[#This Row],[Colonne28]]),FALSE),""),"[hh]:mm"))</f>
        <v>#VALUE!</v>
      </c>
      <c r="BL49" s="172" t="str">
        <f>IFERROR(VLOOKUP(T_BilanSocial[[#This Row],[NumL]],T_TraitDi[#Data],COLUMN(T_TraitDi[[#This Row],[Colonne29]]),FALSE),"")</f>
        <v/>
      </c>
      <c r="BM49" s="172" t="e">
        <f>IF(VLOOKUP(T_BilanSocial[[#This Row],[NumL]],T_TraitDi[#Data],COLUMN(T_TraitDi[[#This Row],[Colonne30]]),FALSE)=0,"",TEXT(IFERROR(VLOOKUP(T_BilanSocial[[#This Row],[NumL]],T_TraitDi[#Data],COLUMN(T_TraitDi[[#This Row],[Colonne30]]),FALSE),""),"[hh]:mm"))</f>
        <v>#VALUE!</v>
      </c>
      <c r="BN49" s="172" t="e">
        <f>IF(VLOOKUP(T_BilanSocial[[#This Row],[NumL]],T_TraitDi[#Data],COLUMN(T_TraitDi[[#This Row],[Colonne31]]),FALSE)=0,"",TEXT(IFERROR(VLOOKUP(T_BilanSocial[[#This Row],[NumL]],T_TraitDi[#Data],COLUMN(T_TraitDi[[#This Row],[Colonne31]]),FALSE),""),"[hh]:mm"))</f>
        <v>#VALUE!</v>
      </c>
      <c r="BO49" s="172" t="e">
        <f>IF(VLOOKUP(T_BilanSocial[[#This Row],[NumL]],T_TraitDi[#Data],COLUMN(T_TraitDi[[#This Row],[Colonne32]]),FALSE)=0,"",TEXT(IFERROR(VLOOKUP(T_BilanSocial[[#This Row],[NumL]],T_TraitDi[#Data],COLUMN(T_TraitDi[[#This Row],[Colonne32]]),FALSE),""),"[hh]:mm"))</f>
        <v>#VALUE!</v>
      </c>
      <c r="BP49" s="172" t="e">
        <f>VLOOKUP(T_BilanSocial[[#This Row],[NumL]],T_TraitDi[#Data],COLUMN(T_TraitDi[NbJTot]),FALSE)</f>
        <v>#N/A</v>
      </c>
      <c r="BQ49" s="174" t="str">
        <f>IFERROR(VLOOKUP(T_BilanSocial[[#This Row],[NumL]],T_TraitDi[#Data],COLUMN(T_TraitDi[[#This Row],[NbJTW]]),FALSE),"")</f>
        <v/>
      </c>
      <c r="BR49" s="174" t="e">
        <f>IF(VLOOKUP(T_BilanSocial[[#This Row],[NumL]],T_TraitDi[#Data],COLUMN(T_TraitDi[[#This Row],[NbhTW]]),FALSE)=0,"",TEXT(IFERROR(VLOOKUP(T_BilanSocial[[#This Row],[NumL]],T_TraitDi[#Data],COLUMN(T_TraitDi[[#This Row],[NbhTW]]),FALSE),""),"[hh]:mm"))</f>
        <v>#VALUE!</v>
      </c>
      <c r="BS49" s="174" t="e">
        <f>IF(VLOOKUP(T_BilanSocial[[#This Row],[NumL]],T_TraitDi[#Data],COLUMN(T_TraitDi[[#This Row],[Nbhheb]]),FALSE)=0,"",TEXT(IFERROR(VLOOKUP($A49,T_TraitDi[#Data],COLUMN(T_TraitDi[[#This Row],[Nbhheb]]),FALSE),""),"[hh]:mm"))</f>
        <v>#VALUE!</v>
      </c>
      <c r="BT49" s="182" t="str">
        <f>IFERROR(VLOOKUP(VLOOKUP($A49,T_TraitDi[#Data],COLUMN(T_TraitDi[[#This Row],[Type1]]),FALSE),TypeTW,2,FALSE),"")</f>
        <v/>
      </c>
      <c r="BU49" s="182" t="str">
        <f>IFERROR(VLOOKUP($A49,T_TraitDi[#Data],COLUMN(T_TraitDi[[#This Row],[Rue1]]),FALSE),"")</f>
        <v/>
      </c>
      <c r="BV49" s="173" t="str">
        <f>IFERROR(VLOOKUP($A49,T_TraitDi[#Data],COLUMN(T_TraitDi[[#This Row],[CP1]]),FALSE),"")</f>
        <v/>
      </c>
      <c r="BW49" s="173" t="str">
        <f>IFERROR(VLOOKUP($A49,T_TraitDi[#Data],COLUMN(T_TraitDi[[#This Row],[VILLE1]]),FALSE),"")</f>
        <v/>
      </c>
      <c r="BX49" s="182" t="str">
        <f>IFERROR(VLOOKUP(VLOOKUP($A49,T_TraitDi[#Data],COLUMN(T_TraitDi[[#This Row],[Type2]]),FALSE),TypeTW,2,FALSE),"")</f>
        <v/>
      </c>
      <c r="BY49" s="182" t="str">
        <f>IFERROR(VLOOKUP($A49,T_TraitDi[#Data],COLUMN(T_TraitDi[[#This Row],[Rue2]]),FALSE),"")</f>
        <v/>
      </c>
      <c r="BZ49" s="173" t="str">
        <f>IFERROR(VLOOKUP($A49,T_TraitDi[#Data],COLUMN(T_TraitDi[[#This Row],[CP2]]),FALSE),"")</f>
        <v/>
      </c>
      <c r="CA49" s="173" t="str">
        <f>IFERROR(VLOOKUP($A49,T_TraitDi[#Data],COLUMN(T_TraitDi[[#This Row],[VILLE2]]),FALSE),"")</f>
        <v/>
      </c>
      <c r="CB49" s="182" t="e">
        <f>IF(VLOOKUP(T_BilanSocial[[#This Row],[NumL]],T_Equipement[#Data],COLUMN(T_Equipement[[#This Row],[PC]]),FALSE)="","Aucun équipement spécifique directement lié au télétravail",VLOOKUP(T_BilanSocial[[#This Row],[NumL]],T_Equipement[#Data],COLUMN(T_Equipement[[#This Row],[PC]]),FALSE))</f>
        <v>#N/A</v>
      </c>
      <c r="CC49" s="166" t="str">
        <f>IFERROR(IF(VLOOKUP(T_BilanSocial[[#This Row],[NumL]],T_TraitDi[#Data],COLUMN(T_TraitDi[[#This Row],[Plan]]),FALSE)="OK","Un planning spécifique de télétravail est annexé à la présente convention.",""),"")</f>
        <v/>
      </c>
      <c r="CD49" s="258" t="s">
        <v>3295</v>
      </c>
      <c r="CE49" s="164" t="e">
        <f>IF(VLOOKUP(T_BilanSocial[[#This Row],[NumL]],T_suiviDi[#Data],COLUMN(T_suiviDi[[#This Row],[Entité]]),FALSE)="","",VLOOKUP(T_BilanSocial[[#This Row],[NumL]],T_suiviDi[#Data],COLUMN(T_suiviDi[[#This Row],[Entité]]),FALSE))</f>
        <v>#VALUE!</v>
      </c>
      <c r="CF49" s="164" t="e">
        <f>IF(VLOOKUP(T_BilanSocial[[#This Row],[NumL]],T_Commission[#Data],COLUMN(T_Commission[[#This Row],[envoi confirm TW]]),FALSE)="","",VLOOKUP(T_BilanSocial[[#This Row],[NumL]],T_Commission[#Data],COLUMN(T_Commission[[#This Row],[envoi confirm TW]]),FALSE))</f>
        <v>#N/A</v>
      </c>
      <c r="CG4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49" s="262" t="e">
        <f>T_BilanSocial[[#This Row],[Nom]]&amp;T_BilanSocial[[#This Row],[Prenom]]</f>
        <v>#N/A</v>
      </c>
      <c r="CI49" s="262" t="e">
        <f>VLOOKUP(T_BilanSocial[[#This Row],[NumL]],T_Commission[#Data],COLUMN(T_Commission[Commentaire]),FALSE)</f>
        <v>#N/A</v>
      </c>
      <c r="CJ49" s="262" t="e">
        <f>IF(VLOOKUP(T_BilanSocial[[#This Row],[NumL]],T_Commission[#Data],COLUMN(T_Commission[Encadrant Email]),FALSE)="","",VLOOKUP(T_BilanSocial[[#This Row],[NumL]],T_Commission[#Data],COLUMN(T_Commission[Encadrant Email]),FALSE))</f>
        <v>#N/A</v>
      </c>
      <c r="CK49" s="340" t="e">
        <f>IF(T_BilanSocial[[#This Row],[Final]]&lt;&gt;"",VLOOKUP(T_BilanSocial[[#This Row],[NumL]],T_suiviDi[#Data],COLUMN((T_suiviDi[Statut])),FALSE),"")</f>
        <v>#N/A</v>
      </c>
    </row>
    <row r="50" spans="1:89" s="106" customFormat="1" ht="24.75" customHeight="1" x14ac:dyDescent="0.25">
      <c r="A50" s="160">
        <v>47</v>
      </c>
      <c r="B50" s="161" t="str">
        <f t="shared" si="0"/>
        <v/>
      </c>
      <c r="C50" s="162" t="s">
        <v>173</v>
      </c>
      <c r="D50" s="95" t="e">
        <f>IF(VLOOKUP(T_BilanSocial[[#This Row],[NumL]],T_TraitDi[#Data],COLUMN(T_TraitDi[[#This Row],[WebC]]),FALSE)="","",VLOOKUP(T_BilanSocial[[#This Row],[NumL]],T_TraitDi[#Data],COLUMN(T_TraitDi[[#This Row],[WebC]]),FALSE))</f>
        <v>#VALUE!</v>
      </c>
      <c r="E50" s="163" t="str">
        <f t="shared" si="1"/>
        <v>12 janvier 2021</v>
      </c>
      <c r="F50" s="96" t="str">
        <f>IF(T_BilanSocial[[#This Row],[Final]]&lt;&gt;"",VLOOKUP(T_BilanSocial[[#This Row],[NumL]],T_suiviDi[#Data],COLUMN((T_suiviDi[Civ.])),FALSE),"")</f>
        <v/>
      </c>
      <c r="G50" s="96" t="str">
        <f>IF(T_BilanSocial[[#This Row],[Final]]&lt;&gt;"",VLOOKUP(T_BilanSocial[[#This Row],[NumL]],T_suiviDi[#Data],COLUMN((T_suiviDi[Nom])),FALSE),"")</f>
        <v/>
      </c>
      <c r="H50" s="96" t="str">
        <f>IF(T_BilanSocial[[#This Row],[Final]]&lt;&gt;"",VLOOKUP(T_BilanSocial[[#This Row],[NumL]],T_suiviDi[#Data],COLUMN((T_suiviDi[Prénom])),FALSE),"")</f>
        <v/>
      </c>
      <c r="I50" s="96" t="str">
        <f>IFERROR(VLOOKUP(T_BilanSocial[[#This Row],[Zone_Bilan]],T_P_BilanSocial[#Data],COLUMN(T_P_BilanSocial[[#This Row],[Numero_SIHAM]]),FALSE),"")</f>
        <v/>
      </c>
      <c r="J50" s="96" t="str">
        <f>IFERROR(VLOOKUP(T_BilanSocial[[#This Row],[Zone_Bilan]],T_P_BilanSocial[#Data],COLUMN(T_P_BilanSocial[[#This Row],[Sexe]]),FALSE),"")</f>
        <v/>
      </c>
      <c r="K50" s="97" t="str">
        <f>IFERROR(VLOOKUP(T_BilanSocial[[#This Row],[Zone_Bilan]],T_P_BilanSocial[#Data],COLUMN(T_P_BilanSocial[[#This Row],[Categorie]]),FALSE),"")</f>
        <v/>
      </c>
      <c r="L50" s="96" t="str">
        <f>IFERROR(VLOOKUP(T_BilanSocial[[#This Row],[Zone_Bilan]],T_P_BilanSocial[#Data],COLUMN(T_P_BilanSocial[[#This Row],[Statut]]),FALSE),"")</f>
        <v/>
      </c>
      <c r="M50" s="96" t="str">
        <f>IFERROR(VLOOKUP(T_BilanSocial[[#This Row],[Zone_Bilan]],T_P_BilanSocial[#Data],COLUMN(T_P_BilanSocial[[#This Row],[Filiere]]),FALSE),"")</f>
        <v/>
      </c>
      <c r="N50" s="96" t="e">
        <f>VLOOKUP(T_BilanSocial[[#This Row],[NumL]],T_TraitDi[#Data],COLUMN(T_TraitDi[EXP]),FALSE)</f>
        <v>#N/A</v>
      </c>
      <c r="O50" s="96" t="e">
        <f>VLOOKUP(T_BilanSocial[[#This Row],[NumL]],T_TraitDi[#Data],COLUMN(T_TraitDi[FORM]),FALSE)</f>
        <v>#N/A</v>
      </c>
      <c r="P50" s="96" t="str">
        <f>IF(T_BilanSocial[[#This Row],[Final]]&lt;&gt;"",VLOOKUP(T_BilanSocial[[#This Row],[NumL]],T_suiviDi[#Data],COLUMN((T_suiviDi[Email])),FALSE),"")</f>
        <v/>
      </c>
      <c r="Q50" s="164" t="e">
        <f t="shared" si="7"/>
        <v>#N/A</v>
      </c>
      <c r="R50" s="164" t="e">
        <f t="shared" si="8"/>
        <v>#N/A</v>
      </c>
      <c r="S50" s="164" t="e">
        <f>IF(VLOOKUP(T_BilanSocial[[#This Row],[NumL]],T_suiviDi[#Data],COLUMN(T_suiviDi[[#This Row],[Service ]]),FALSE)="","",VLOOKUP(T_BilanSocial[[#This Row],[NumL]],T_suiviDi[#Data],COLUMN(T_suiviDi[[#This Row],[Service ]]),FALSE))</f>
        <v>#VALUE!</v>
      </c>
      <c r="T50" s="164" t="str">
        <f t="shared" si="2"/>
        <v>01 septembre 2021</v>
      </c>
      <c r="U50" s="164" t="str">
        <f t="shared" si="3"/>
        <v>30 novembre 2021</v>
      </c>
      <c r="V50" s="164" t="str">
        <f t="shared" si="9"/>
        <v>30 novembre 2021</v>
      </c>
      <c r="W50" s="176" t="e">
        <f>IF(VLOOKUP(T_BilanSocial[[#This Row],[NumL]],T_TraitDi[#Data],COLUMN(T_TraitDi[[#This Row],[M1]]),FALSE)="","",VLOOKUP(T_BilanSocial[[#This Row],[NumL]],T_TraitDi[#Data],COLUMN(T_TraitDi[[#This Row],[M1]]),FALSE))</f>
        <v>#VALUE!</v>
      </c>
      <c r="X50" s="176" t="e">
        <f>IF(VLOOKUP(T_BilanSocial[[#This Row],[NumL]],T_TraitDi[#Data],COLUMN(T_TraitDi[[#This Row],[M2]]),FALSE)="","",VLOOKUP(T_BilanSocial[[#This Row],[NumL]],T_TraitDi[#Data],COLUMN(T_TraitDi[[#This Row],[M2]]),FALSE))</f>
        <v>#VALUE!</v>
      </c>
      <c r="Y50" s="176" t="e">
        <f>IF(VLOOKUP(T_BilanSocial[[#This Row],[NumL]],T_TraitDi[#Data],COLUMN(T_TraitDi[[#This Row],[M3]]),FALSE)="","",VLOOKUP(T_BilanSocial[[#This Row],[NumL]],T_TraitDi[#Data],COLUMN(T_TraitDi[[#This Row],[M3]]),FALSE))</f>
        <v>#VALUE!</v>
      </c>
      <c r="Z50" s="176" t="str">
        <f t="shared" si="5"/>
        <v/>
      </c>
      <c r="AA50" s="176" t="e">
        <f>IF(VLOOKUP(T_BilanSocial[[#This Row],[NumL]],T_TraitDi[#Data],COLUMN(T_TraitDi[[#This Row],[M5]]),FALSE)="","",VLOOKUP(T_BilanSocial[[#This Row],[NumL]],T_TraitDi[#Data],COLUMN(T_TraitDi[[#This Row],[M5]]),FALSE))</f>
        <v>#VALUE!</v>
      </c>
      <c r="AB50" s="176" t="e">
        <f>IF(VLOOKUP(T_BilanSocial[[#This Row],[NumL]],T_TraitDi[#Data],COLUMN(T_TraitDi[[#This Row],[M6]]),FALSE)="","",VLOOKUP(T_BilanSocial[[#This Row],[NumL]],T_TraitDi[#Data],COLUMN(T_TraitDi[[#This Row],[M6]]),FALSE))</f>
        <v>#VALUE!</v>
      </c>
      <c r="AC50" s="165" t="e">
        <f t="shared" si="4"/>
        <v>#VALUE!</v>
      </c>
      <c r="AD50" s="188" t="str">
        <f>IFERROR(TEXT(VLOOKUP(T_BilanSocial[[#This Row],[NumL]],T_TraitDi[#Data],COLUMN(T_TraitDi[[#This Row],[Q2]]),FALSE),"###%"),"")</f>
        <v/>
      </c>
      <c r="AE50" s="97" t="e">
        <f>VLOOKUP(T_BilanSocial[[#This Row],[NumL]],T_TraitDi[#Data],COLUMN(T_TraitDi[[#This Row],[Reg Ponct]]),FALSE)</f>
        <v>#VALUE!</v>
      </c>
      <c r="AF50" s="97" t="e">
        <f>VLOOKUP(T_BilanSocial[NumL],T_TraitDi[#Data],COLUMN(T_TraitDi[[#This Row],[Jours flottants]]),FALSE)</f>
        <v>#VALUE!</v>
      </c>
      <c r="AG50" s="97" t="str">
        <f>IFERROR(VLOOKUP(T_BilanSocial[[#This Row],[NumL]],T_TraitDi[#Data],COLUMN(T_TraitDi[[#This Row],[Lundi]]),FALSE),"")</f>
        <v/>
      </c>
      <c r="AH50" s="172" t="e">
        <f>IF(VLOOKUP(T_BilanSocial[[#This Row],[NumL]],T_TraitDi[#Data],COLUMN(T_TraitDi[[#This Row],[Colonne3]]),FALSE)=0,"",TEXT(IFERROR(VLOOKUP(T_BilanSocial[[#This Row],[NumL]],T_TraitDi[#Data],COLUMN(T_TraitDi[[#This Row],[Colonne3]]),FALSE),""),"[hh]:mm"))</f>
        <v>#VALUE!</v>
      </c>
      <c r="AI50" s="172" t="e">
        <f>IF(VLOOKUP(T_BilanSocial[[#This Row],[NumL]],T_TraitDi[#Data],COLUMN(T_TraitDi[[#This Row],[Colonne4]]),FALSE)=0,"",TEXT(IFERROR(VLOOKUP(T_BilanSocial[[#This Row],[NumL]],T_TraitDi[#Data],COLUMN(T_TraitDi[[#This Row],[Colonne4]]),FALSE),""),"[hh]:mm"))</f>
        <v>#VALUE!</v>
      </c>
      <c r="AJ50" s="172" t="e">
        <f>IF(VLOOKUP(T_BilanSocial[[#This Row],[NumL]],T_TraitDi[#Data],COLUMN(T_TraitDi[[#This Row],[Colonne5]]),FALSE)=0,"",TEXT(IFERROR(VLOOKUP(T_BilanSocial[[#This Row],[NumL]],T_TraitDi[#Data],COLUMN(T_TraitDi[[#This Row],[Colonne5]]),FALSE),""),"[hh]:mm"))</f>
        <v>#VALUE!</v>
      </c>
      <c r="AK50" s="172" t="e">
        <f>IF(VLOOKUP(T_BilanSocial[[#This Row],[NumL]],T_TraitDi[#Data],COLUMN(T_TraitDi[[#This Row],[Colonne6]]),FALSE)=0,"",TEXT(IFERROR(VLOOKUP(T_BilanSocial[[#This Row],[NumL]],T_TraitDi[#Data],COLUMN(T_TraitDi[[#This Row],[Colonne6]]),FALSE),""),"[hh]:mm"))</f>
        <v>#VALUE!</v>
      </c>
      <c r="AL50" s="172" t="e">
        <f>IF(VLOOKUP(T_BilanSocial[[#This Row],[NumL]],T_TraitDi[#Data],COLUMN(T_TraitDi[[#This Row],[Colonne7]]),FALSE)=0,"",TEXT(IFERROR(VLOOKUP(T_BilanSocial[[#This Row],[NumL]],T_TraitDi[#Data],COLUMN(T_TraitDi[[#This Row],[Colonne7]]),FALSE),""),"[hh]:mm"))</f>
        <v>#VALUE!</v>
      </c>
      <c r="AM50" s="172" t="e">
        <f>IF(VLOOKUP(T_BilanSocial[[#This Row],[NumL]],T_TraitDi[#Data],COLUMN(T_TraitDi[[#This Row],[Colonne8]]),FALSE)=0,"",TEXT(IFERROR(VLOOKUP(T_BilanSocial[[#This Row],[NumL]],T_TraitDi[#Data],COLUMN(T_TraitDi[[#This Row],[Colonne8]]),FALSE),""),"[hh]:mm"))</f>
        <v>#VALUE!</v>
      </c>
      <c r="AN50" s="172" t="str">
        <f>IFERROR(VLOOKUP(T_BilanSocial[[#This Row],[NumL]],T_TraitDi[#Data],COLUMN(T_TraitDi[[#This Row],[Mardi]]),FALSE),"")</f>
        <v/>
      </c>
      <c r="AO50" s="172" t="e">
        <f>IF(VLOOKUP(T_BilanSocial[[#This Row],[NumL]],T_TraitDi[#Data],COLUMN(T_TraitDi[[#This Row],[Colonne1]]),FALSE)=0,"",TEXT(IFERROR(VLOOKUP(T_BilanSocial[[#This Row],[NumL]],T_TraitDi[#Data],COLUMN(T_TraitDi[[#This Row],[Colonne1]]),FALSE),""),"[hh]:mm"))</f>
        <v>#VALUE!</v>
      </c>
      <c r="AP50" s="172" t="e">
        <f>IF(VLOOKUP(T_BilanSocial[[#This Row],[NumL]],T_TraitDi[#Data],COLUMN(T_TraitDi[[#This Row],[Colonne9]]),FALSE)=0,"",TEXT(IFERROR(VLOOKUP(T_BilanSocial[[#This Row],[NumL]],T_TraitDi[#Data],COLUMN(T_TraitDi[[#This Row],[Colonne9]]),FALSE),""),"[hh]:mm"))</f>
        <v>#VALUE!</v>
      </c>
      <c r="AQ50" s="172" t="str">
        <f>IFERROR(VLOOKUP(T_BilanSocial[[#This Row],[NumL]],T_TraitDi[#Data],COLUMN(T_TraitDi[[#This Row],[Colonne10]]),FALSE),"")</f>
        <v/>
      </c>
      <c r="AR50" s="172" t="e">
        <f>IF(VLOOKUP(T_BilanSocial[[#This Row],[NumL]],T_TraitDi[#Data],COLUMN(T_TraitDi[[#This Row],[Colonne11]]),FALSE)=0,"",TEXT(IFERROR(VLOOKUP(T_BilanSocial[[#This Row],[NumL]],T_TraitDi[#Data],COLUMN(T_TraitDi[[#This Row],[Colonne11]]),FALSE),""),"[hh]:mm"))</f>
        <v>#VALUE!</v>
      </c>
      <c r="AS50" s="172" t="e">
        <f>IF(VLOOKUP(T_BilanSocial[[#This Row],[NumL]],T_TraitDi[#Data],COLUMN(T_TraitDi[[#This Row],[Colonne12]]),FALSE)=0,"",TEXT(IFERROR(VLOOKUP(T_BilanSocial[[#This Row],[NumL]],T_TraitDi[#Data],COLUMN(T_TraitDi[[#This Row],[Colonne12]]),FALSE),""),"[hh]:mm"))</f>
        <v>#VALUE!</v>
      </c>
      <c r="AT50" s="172" t="e">
        <f>IF(VLOOKUP(T_BilanSocial[[#This Row],[NumL]],T_TraitDi[#Data],COLUMN(T_TraitDi[[#This Row],[Colonne14]]),FALSE)=0,"",TEXT(IFERROR(VLOOKUP(T_BilanSocial[[#This Row],[NumL]],T_TraitDi[#Data],COLUMN(T_TraitDi[[#This Row],[Colonne14]]),FALSE),""),"[hh]:mm"))</f>
        <v>#VALUE!</v>
      </c>
      <c r="AU50" s="172" t="str">
        <f>IFERROR(VLOOKUP(T_BilanSocial[[#This Row],[NumL]],T_TraitDi[#Data],COLUMN(T_TraitDi[[#This Row],[Mercredi]]),FALSE),"")</f>
        <v/>
      </c>
      <c r="AV50" s="172" t="e">
        <f>IF(VLOOKUP(T_BilanSocial[[#This Row],[NumL]],T_TraitDi[#Data],COLUMN(T_TraitDi[[#This Row],[Colonne15]]),FALSE)=0,"",TEXT(IFERROR(VLOOKUP(T_BilanSocial[[#This Row],[NumL]],T_TraitDi[#Data],COLUMN(T_TraitDi[[#This Row],[Colonne15]]),FALSE),""),"[hh]:mm"))</f>
        <v>#VALUE!</v>
      </c>
      <c r="AW50" s="172" t="e">
        <f>IF(VLOOKUP(T_BilanSocial[[#This Row],[NumL]],T_TraitDi[#Data],COLUMN(T_TraitDi[[#This Row],[Colonne16]]),FALSE)=0,"",TEXT(IFERROR(VLOOKUP(T_BilanSocial[[#This Row],[NumL]],T_TraitDi[#Data],COLUMN(T_TraitDi[[#This Row],[Colonne16]]),FALSE),""),"[hh]:mm"))</f>
        <v>#VALUE!</v>
      </c>
      <c r="AX50" s="172" t="str">
        <f>IFERROR(VLOOKUP(T_BilanSocial[[#This Row],[NumL]],T_TraitDi[#Data],COLUMN(T_TraitDi[[#This Row],[Colonne17]]),FALSE),"")</f>
        <v/>
      </c>
      <c r="AY50" s="172" t="e">
        <f>IF(VLOOKUP(T_BilanSocial[[#This Row],[NumL]],T_TraitDi[#Data],COLUMN(T_TraitDi[[#This Row],[Colonne18]]),FALSE)=0,"",TEXT(IFERROR(VLOOKUP(T_BilanSocial[[#This Row],[NumL]],T_TraitDi[#Data],COLUMN(T_TraitDi[[#This Row],[Colonne18]]),FALSE),""),"[hh]:mm"))</f>
        <v>#VALUE!</v>
      </c>
      <c r="AZ50" s="172" t="e">
        <f>IF(VLOOKUP(T_BilanSocial[[#This Row],[NumL]],T_TraitDi[#Data],COLUMN(T_TraitDi[[#This Row],[Colonne19]]),FALSE)=0,"",TEXT(IFERROR(VLOOKUP(T_BilanSocial[[#This Row],[NumL]],T_TraitDi[#Data],COLUMN(T_TraitDi[[#This Row],[Colonne19]]),FALSE),""),"[hh]:mm"))</f>
        <v>#VALUE!</v>
      </c>
      <c r="BA50" s="172" t="e">
        <f>IF(VLOOKUP(T_BilanSocial[[#This Row],[NumL]],T_TraitDi[#Data],COLUMN(T_TraitDi[[#This Row],[Colonne20]]),FALSE)=0,"",TEXT(IFERROR(VLOOKUP(T_BilanSocial[[#This Row],[NumL]],T_TraitDi[#Data],COLUMN(T_TraitDi[[#This Row],[Colonne20]]),FALSE),""),"[hh]:mm"))</f>
        <v>#VALUE!</v>
      </c>
      <c r="BB50" s="178" t="str">
        <f>IFERROR(VLOOKUP(T_BilanSocial[[#This Row],[NumL]],T_TraitDi[#Data],COLUMN(T_TraitDi[[#This Row],[Jeudi]]),FALSE),"")</f>
        <v/>
      </c>
      <c r="BC50" s="178" t="e">
        <f>IF(VLOOKUP(T_BilanSocial[[#This Row],[NumL]],T_TraitDi[#Data],COLUMN(T_TraitDi[[#This Row],[Colonne21]]),FALSE)=0,"",TEXT(IFERROR(VLOOKUP(T_BilanSocial[[#This Row],[NumL]],T_TraitDi[#Data],COLUMN(T_TraitDi[[#This Row],[Colonne21]]),FALSE),""),"[hh]:mm"))</f>
        <v>#VALUE!</v>
      </c>
      <c r="BD50" s="178" t="e">
        <f>IF(VLOOKUP(T_BilanSocial[[#This Row],[NumL]],T_TraitDi[#Data],COLUMN(T_TraitDi[[#This Row],[Colonne22]]),FALSE)=0,"",TEXT(IFERROR(VLOOKUP(T_BilanSocial[[#This Row],[NumL]],T_TraitDi[#Data],COLUMN(T_TraitDi[[#This Row],[Colonne22]]),FALSE),""),"[hh]:mm"))</f>
        <v>#VALUE!</v>
      </c>
      <c r="BE50" s="178" t="str">
        <f>IFERROR(VLOOKUP(T_BilanSocial[[#This Row],[NumL]],T_TraitDi[#Data],COLUMN(T_TraitDi[[#This Row],[Colonne23]]),FALSE),"")</f>
        <v/>
      </c>
      <c r="BF50" s="178" t="e">
        <f>IF(VLOOKUP(T_BilanSocial[[#This Row],[NumL]],T_TraitDi[#Data],COLUMN(T_TraitDi[[#This Row],[Colonne24]]),FALSE)=0,"",TEXT(IFERROR(VLOOKUP(T_BilanSocial[[#This Row],[NumL]],T_TraitDi[#Data],COLUMN(T_TraitDi[[#This Row],[Colonne24]]),FALSE),""),"[hh]:mm"))</f>
        <v>#VALUE!</v>
      </c>
      <c r="BG50" s="178" t="e">
        <f>IF(VLOOKUP(T_BilanSocial[[#This Row],[NumL]],T_TraitDi[#Data],COLUMN(T_TraitDi[[#This Row],[Colonne25]]),FALSE)=0,"",TEXT(IFERROR(VLOOKUP(T_BilanSocial[[#This Row],[NumL]],T_TraitDi[#Data],COLUMN(T_TraitDi[[#This Row],[Colonne25]]),FALSE),""),"[hh]:mm"))</f>
        <v>#VALUE!</v>
      </c>
      <c r="BH50" s="178" t="e">
        <f>IF(VLOOKUP(T_BilanSocial[[#This Row],[NumL]],T_TraitDi[#Data],COLUMN(T_TraitDi[[#This Row],[Colonne26]]),FALSE)=0,"",TEXT(IFERROR(VLOOKUP(T_BilanSocial[[#This Row],[NumL]],T_TraitDi[#Data],COLUMN(T_TraitDi[[#This Row],[Colonne26]]),FALSE),""),"[hh]:mm"))</f>
        <v>#VALUE!</v>
      </c>
      <c r="BI50" s="172" t="str">
        <f>IFERROR(VLOOKUP(T_BilanSocial[[#This Row],[NumL]],T_TraitDi[#Data],COLUMN(T_TraitDi[[#This Row],[Vendredi]]),FALSE),"")</f>
        <v/>
      </c>
      <c r="BJ50" s="172" t="e">
        <f>IF(VLOOKUP(T_BilanSocial[[#This Row],[NumL]],T_TraitDi[#Data],COLUMN(T_TraitDi[[#This Row],[Colonne27]]),FALSE)=0,"",TEXT(IFERROR(VLOOKUP(T_BilanSocial[[#This Row],[NumL]],T_TraitDi[#Data],COLUMN(T_TraitDi[[#This Row],[Colonne27]]),FALSE),""),"[hh]:mm"))</f>
        <v>#VALUE!</v>
      </c>
      <c r="BK50" s="172" t="e">
        <f>IF(VLOOKUP(T_BilanSocial[[#This Row],[NumL]],T_TraitDi[#Data],COLUMN(T_TraitDi[[#This Row],[Colonne28]]),FALSE)=0,"",TEXT(IFERROR(VLOOKUP(T_BilanSocial[[#This Row],[NumL]],T_TraitDi[#Data],COLUMN(T_TraitDi[[#This Row],[Colonne28]]),FALSE),""),"[hh]:mm"))</f>
        <v>#VALUE!</v>
      </c>
      <c r="BL50" s="172" t="str">
        <f>IFERROR(VLOOKUP(T_BilanSocial[[#This Row],[NumL]],T_TraitDi[#Data],COLUMN(T_TraitDi[[#This Row],[Colonne29]]),FALSE),"")</f>
        <v/>
      </c>
      <c r="BM50" s="172" t="e">
        <f>IF(VLOOKUP(T_BilanSocial[[#This Row],[NumL]],T_TraitDi[#Data],COLUMN(T_TraitDi[[#This Row],[Colonne30]]),FALSE)=0,"",TEXT(IFERROR(VLOOKUP(T_BilanSocial[[#This Row],[NumL]],T_TraitDi[#Data],COLUMN(T_TraitDi[[#This Row],[Colonne30]]),FALSE),""),"[hh]:mm"))</f>
        <v>#VALUE!</v>
      </c>
      <c r="BN50" s="172" t="e">
        <f>IF(VLOOKUP(T_BilanSocial[[#This Row],[NumL]],T_TraitDi[#Data],COLUMN(T_TraitDi[[#This Row],[Colonne31]]),FALSE)=0,"",TEXT(IFERROR(VLOOKUP(T_BilanSocial[[#This Row],[NumL]],T_TraitDi[#Data],COLUMN(T_TraitDi[[#This Row],[Colonne31]]),FALSE),""),"[hh]:mm"))</f>
        <v>#VALUE!</v>
      </c>
      <c r="BO50" s="172" t="e">
        <f>IF(VLOOKUP(T_BilanSocial[[#This Row],[NumL]],T_TraitDi[#Data],COLUMN(T_TraitDi[[#This Row],[Colonne32]]),FALSE)=0,"",TEXT(IFERROR(VLOOKUP(T_BilanSocial[[#This Row],[NumL]],T_TraitDi[#Data],COLUMN(T_TraitDi[[#This Row],[Colonne32]]),FALSE),""),"[hh]:mm"))</f>
        <v>#VALUE!</v>
      </c>
      <c r="BP50" s="172" t="e">
        <f>VLOOKUP(T_BilanSocial[[#This Row],[NumL]],T_TraitDi[#Data],COLUMN(T_TraitDi[NbJTot]),FALSE)</f>
        <v>#N/A</v>
      </c>
      <c r="BQ50" s="174" t="str">
        <f>IFERROR(VLOOKUP(T_BilanSocial[[#This Row],[NumL]],T_TraitDi[#Data],COLUMN(T_TraitDi[[#This Row],[NbJTW]]),FALSE),"")</f>
        <v/>
      </c>
      <c r="BR50" s="174" t="e">
        <f>IF(VLOOKUP(T_BilanSocial[[#This Row],[NumL]],T_TraitDi[#Data],COLUMN(T_TraitDi[[#This Row],[NbhTW]]),FALSE)=0,"",TEXT(IFERROR(VLOOKUP(T_BilanSocial[[#This Row],[NumL]],T_TraitDi[#Data],COLUMN(T_TraitDi[[#This Row],[NbhTW]]),FALSE),""),"[hh]:mm"))</f>
        <v>#VALUE!</v>
      </c>
      <c r="BS50" s="174" t="e">
        <f>IF(VLOOKUP(T_BilanSocial[[#This Row],[NumL]],T_TraitDi[#Data],COLUMN(T_TraitDi[[#This Row],[Nbhheb]]),FALSE)=0,"",TEXT(IFERROR(VLOOKUP($A50,T_TraitDi[#Data],COLUMN(T_TraitDi[[#This Row],[Nbhheb]]),FALSE),""),"[hh]:mm"))</f>
        <v>#VALUE!</v>
      </c>
      <c r="BT50" s="182" t="str">
        <f>IFERROR(VLOOKUP(VLOOKUP($A50,T_TraitDi[#Data],COLUMN(T_TraitDi[[#This Row],[Type1]]),FALSE),TypeTW,2,FALSE),"")</f>
        <v/>
      </c>
      <c r="BU50" s="182" t="str">
        <f>IFERROR(VLOOKUP($A50,T_TraitDi[#Data],COLUMN(T_TraitDi[[#This Row],[Rue1]]),FALSE),"")</f>
        <v/>
      </c>
      <c r="BV50" s="173" t="str">
        <f>IFERROR(VLOOKUP($A50,T_TraitDi[#Data],COLUMN(T_TraitDi[[#This Row],[CP1]]),FALSE),"")</f>
        <v/>
      </c>
      <c r="BW50" s="173" t="str">
        <f>IFERROR(VLOOKUP($A50,T_TraitDi[#Data],COLUMN(T_TraitDi[[#This Row],[VILLE1]]),FALSE),"")</f>
        <v/>
      </c>
      <c r="BX50" s="182" t="str">
        <f>IFERROR(VLOOKUP(VLOOKUP($A50,T_TraitDi[#Data],COLUMN(T_TraitDi[[#This Row],[Type2]]),FALSE),TypeTW,2,FALSE),"")</f>
        <v/>
      </c>
      <c r="BY50" s="182" t="str">
        <f>IFERROR(VLOOKUP($A50,T_TraitDi[#Data],COLUMN(T_TraitDi[[#This Row],[Rue2]]),FALSE),"")</f>
        <v/>
      </c>
      <c r="BZ50" s="173" t="str">
        <f>IFERROR(VLOOKUP($A50,T_TraitDi[#Data],COLUMN(T_TraitDi[[#This Row],[CP2]]),FALSE),"")</f>
        <v/>
      </c>
      <c r="CA50" s="173" t="str">
        <f>IFERROR(VLOOKUP($A50,T_TraitDi[#Data],COLUMN(T_TraitDi[[#This Row],[VILLE2]]),FALSE),"")</f>
        <v/>
      </c>
      <c r="CB50" s="182" t="str">
        <f>IF(VLOOKUP(T_BilanSocial[[#This Row],[NumL]],T_Equipement[#Data],COLUMN(T_Equipement[[#This Row],[PC]]),FALSE)="","Aucun équipement spécifique directement lié au télétravail",VLOOKUP(T_BilanSocial[[#This Row],[NumL]],T_Equipement[#Data],COLUMN(T_Equipement[[#This Row],[PC]]),FALSE))</f>
        <v xml:space="preserve">18-021	</v>
      </c>
      <c r="CC50" s="166" t="str">
        <f>IFERROR(IF(VLOOKUP(T_BilanSocial[[#This Row],[NumL]],T_TraitDi[#Data],COLUMN(T_TraitDi[[#This Row],[Plan]]),FALSE)="OK","Un planning spécifique de télétravail est annexé à la présente convention.",""),"")</f>
        <v/>
      </c>
      <c r="CD50" s="258" t="s">
        <v>3435</v>
      </c>
      <c r="CE50" s="164" t="e">
        <f>IF(VLOOKUP(T_BilanSocial[[#This Row],[NumL]],T_suiviDi[#Data],COLUMN(T_suiviDi[[#This Row],[Entité]]),FALSE)="","",VLOOKUP(T_BilanSocial[[#This Row],[NumL]],T_suiviDi[#Data],COLUMN(T_suiviDi[[#This Row],[Entité]]),FALSE))</f>
        <v>#VALUE!</v>
      </c>
      <c r="CF50" s="164" t="str">
        <f>IF(VLOOKUP(T_BilanSocial[[#This Row],[NumL]],T_Commission[#Data],COLUMN(T_Commission[[#This Row],[envoi confirm TW]]),FALSE)="","",VLOOKUP(T_BilanSocial[[#This Row],[NumL]],T_Commission[#Data],COLUMN(T_Commission[[#This Row],[envoi confirm TW]]),FALSE))</f>
        <v>Oui</v>
      </c>
      <c r="CG5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0" s="262" t="str">
        <f>T_BilanSocial[[#This Row],[Nom]]&amp;T_BilanSocial[[#This Row],[Prenom]]</f>
        <v/>
      </c>
      <c r="CI50" s="262">
        <f>VLOOKUP(T_BilanSocial[[#This Row],[NumL]],T_Commission[#Data],COLUMN(T_Commission[Commentaire]),FALSE)</f>
        <v>0</v>
      </c>
      <c r="CJ50" s="262" t="str">
        <f>IF(VLOOKUP(T_BilanSocial[[#This Row],[NumL]],T_Commission[#Data],COLUMN(T_Commission[Encadrant Email]),FALSE)="","",VLOOKUP(T_BilanSocial[[#This Row],[NumL]],T_Commission[#Data],COLUMN(T_Commission[Encadrant Email]),FALSE))</f>
        <v/>
      </c>
      <c r="CK50" s="340" t="str">
        <f>IF(T_BilanSocial[[#This Row],[Final]]&lt;&gt;"",VLOOKUP(T_BilanSocial[[#This Row],[NumL]],T_suiviDi[#Data],COLUMN((T_suiviDi[Statut])),FALSE),"")</f>
        <v/>
      </c>
    </row>
    <row r="51" spans="1:89" s="106" customFormat="1" ht="24.75" customHeight="1" x14ac:dyDescent="0.25">
      <c r="A51" s="160">
        <v>48</v>
      </c>
      <c r="B51" s="161" t="str">
        <f t="shared" si="0"/>
        <v/>
      </c>
      <c r="C51" s="162" t="s">
        <v>173</v>
      </c>
      <c r="D51" s="95" t="e">
        <f>IF(VLOOKUP(T_BilanSocial[[#This Row],[NumL]],T_TraitDi[#Data],COLUMN(T_TraitDi[[#This Row],[WebC]]),FALSE)="","",VLOOKUP(T_BilanSocial[[#This Row],[NumL]],T_TraitDi[#Data],COLUMN(T_TraitDi[[#This Row],[WebC]]),FALSE))</f>
        <v>#VALUE!</v>
      </c>
      <c r="E51" s="163" t="str">
        <f t="shared" si="1"/>
        <v>12 janvier 2021</v>
      </c>
      <c r="F51" s="96" t="str">
        <f>IF(T_BilanSocial[[#This Row],[Final]]&lt;&gt;"",VLOOKUP(T_BilanSocial[[#This Row],[NumL]],T_suiviDi[#Data],COLUMN((T_suiviDi[Civ.])),FALSE),"")</f>
        <v/>
      </c>
      <c r="G51" s="96" t="str">
        <f>IF(T_BilanSocial[[#This Row],[Final]]&lt;&gt;"",VLOOKUP(T_BilanSocial[[#This Row],[NumL]],T_suiviDi[#Data],COLUMN((T_suiviDi[Nom])),FALSE),"")</f>
        <v/>
      </c>
      <c r="H51" s="96" t="str">
        <f>IF(T_BilanSocial[[#This Row],[Final]]&lt;&gt;"",VLOOKUP(T_BilanSocial[[#This Row],[NumL]],T_suiviDi[#Data],COLUMN((T_suiviDi[Prénom])),FALSE),"")</f>
        <v/>
      </c>
      <c r="I51" s="96" t="str">
        <f>IFERROR(VLOOKUP(T_BilanSocial[[#This Row],[Zone_Bilan]],T_P_BilanSocial[#Data],COLUMN(T_P_BilanSocial[[#This Row],[Numero_SIHAM]]),FALSE),"")</f>
        <v/>
      </c>
      <c r="J51" s="96" t="str">
        <f>IFERROR(VLOOKUP(T_BilanSocial[[#This Row],[Zone_Bilan]],T_P_BilanSocial[#Data],COLUMN(T_P_BilanSocial[[#This Row],[Sexe]]),FALSE),"")</f>
        <v/>
      </c>
      <c r="K51" s="97" t="str">
        <f>IFERROR(VLOOKUP(T_BilanSocial[[#This Row],[Zone_Bilan]],T_P_BilanSocial[#Data],COLUMN(T_P_BilanSocial[[#This Row],[Categorie]]),FALSE),"")</f>
        <v/>
      </c>
      <c r="L51" s="96" t="str">
        <f>IFERROR(VLOOKUP(T_BilanSocial[[#This Row],[Zone_Bilan]],T_P_BilanSocial[#Data],COLUMN(T_P_BilanSocial[[#This Row],[Statut]]),FALSE),"")</f>
        <v/>
      </c>
      <c r="M51" s="96" t="str">
        <f>IFERROR(VLOOKUP(T_BilanSocial[[#This Row],[Zone_Bilan]],T_P_BilanSocial[#Data],COLUMN(T_P_BilanSocial[[#This Row],[Filiere]]),FALSE),"")</f>
        <v/>
      </c>
      <c r="N51" s="96" t="e">
        <f>VLOOKUP(T_BilanSocial[[#This Row],[NumL]],T_TraitDi[#Data],COLUMN(T_TraitDi[EXP]),FALSE)</f>
        <v>#N/A</v>
      </c>
      <c r="O51" s="96" t="e">
        <f>VLOOKUP(T_BilanSocial[[#This Row],[NumL]],T_TraitDi[#Data],COLUMN(T_TraitDi[FORM]),FALSE)</f>
        <v>#N/A</v>
      </c>
      <c r="P51" s="96" t="str">
        <f>IF(T_BilanSocial[[#This Row],[Final]]&lt;&gt;"",VLOOKUP(T_BilanSocial[[#This Row],[NumL]],T_suiviDi[#Data],COLUMN((T_suiviDi[Email])),FALSE),"")</f>
        <v/>
      </c>
      <c r="Q51" s="164" t="e">
        <f t="shared" si="7"/>
        <v>#N/A</v>
      </c>
      <c r="R51" s="164" t="e">
        <f t="shared" si="8"/>
        <v>#N/A</v>
      </c>
      <c r="S51" s="164" t="e">
        <f>IF(VLOOKUP(T_BilanSocial[[#This Row],[NumL]],T_suiviDi[#Data],COLUMN(T_suiviDi[[#This Row],[Service ]]),FALSE)="","",VLOOKUP(T_BilanSocial[[#This Row],[NumL]],T_suiviDi[#Data],COLUMN(T_suiviDi[[#This Row],[Service ]]),FALSE))</f>
        <v>#VALUE!</v>
      </c>
      <c r="T51" s="164" t="str">
        <f t="shared" si="2"/>
        <v>01 septembre 2021</v>
      </c>
      <c r="U51" s="164" t="str">
        <f t="shared" si="3"/>
        <v>30 novembre 2021</v>
      </c>
      <c r="V51" s="164" t="str">
        <f t="shared" si="9"/>
        <v>30 novembre 2021</v>
      </c>
      <c r="W51" s="176" t="e">
        <f>IF(VLOOKUP(T_BilanSocial[[#This Row],[NumL]],T_TraitDi[#Data],COLUMN(T_TraitDi[[#This Row],[M1]]),FALSE)="","",VLOOKUP(T_BilanSocial[[#This Row],[NumL]],T_TraitDi[#Data],COLUMN(T_TraitDi[[#This Row],[M1]]),FALSE))</f>
        <v>#VALUE!</v>
      </c>
      <c r="X51" s="176" t="e">
        <f>IF(VLOOKUP(T_BilanSocial[[#This Row],[NumL]],T_TraitDi[#Data],COLUMN(T_TraitDi[[#This Row],[M2]]),FALSE)="","",VLOOKUP(T_BilanSocial[[#This Row],[NumL]],T_TraitDi[#Data],COLUMN(T_TraitDi[[#This Row],[M2]]),FALSE))</f>
        <v>#VALUE!</v>
      </c>
      <c r="Y51" s="176" t="e">
        <f>IF(VLOOKUP(T_BilanSocial[[#This Row],[NumL]],T_TraitDi[#Data],COLUMN(T_TraitDi[[#This Row],[M3]]),FALSE)="","",VLOOKUP(T_BilanSocial[[#This Row],[NumL]],T_TraitDi[#Data],COLUMN(T_TraitDi[[#This Row],[M3]]),FALSE))</f>
        <v>#VALUE!</v>
      </c>
      <c r="Z51" s="176" t="str">
        <f t="shared" si="5"/>
        <v/>
      </c>
      <c r="AA51" s="176" t="e">
        <f>IF(VLOOKUP(T_BilanSocial[[#This Row],[NumL]],T_TraitDi[#Data],COLUMN(T_TraitDi[[#This Row],[M5]]),FALSE)="","",VLOOKUP(T_BilanSocial[[#This Row],[NumL]],T_TraitDi[#Data],COLUMN(T_TraitDi[[#This Row],[M5]]),FALSE))</f>
        <v>#VALUE!</v>
      </c>
      <c r="AB51" s="176" t="e">
        <f>IF(VLOOKUP(T_BilanSocial[[#This Row],[NumL]],T_TraitDi[#Data],COLUMN(T_TraitDi[[#This Row],[M6]]),FALSE)="","",VLOOKUP(T_BilanSocial[[#This Row],[NumL]],T_TraitDi[#Data],COLUMN(T_TraitDi[[#This Row],[M6]]),FALSE))</f>
        <v>#VALUE!</v>
      </c>
      <c r="AC51" s="165" t="e">
        <f t="shared" si="4"/>
        <v>#VALUE!</v>
      </c>
      <c r="AD51" s="188" t="str">
        <f>IFERROR(TEXT(VLOOKUP(T_BilanSocial[[#This Row],[NumL]],T_TraitDi[#Data],COLUMN(T_TraitDi[[#This Row],[Q2]]),FALSE),"###%"),"")</f>
        <v/>
      </c>
      <c r="AE51" s="97" t="e">
        <f>VLOOKUP(T_BilanSocial[[#This Row],[NumL]],T_TraitDi[#Data],COLUMN(T_TraitDi[[#This Row],[Reg Ponct]]),FALSE)</f>
        <v>#VALUE!</v>
      </c>
      <c r="AF51" s="97" t="e">
        <f>VLOOKUP(T_BilanSocial[NumL],T_TraitDi[#Data],COLUMN(T_TraitDi[[#This Row],[Jours flottants]]),FALSE)</f>
        <v>#VALUE!</v>
      </c>
      <c r="AG51" s="97" t="str">
        <f>IFERROR(VLOOKUP(T_BilanSocial[[#This Row],[NumL]],T_TraitDi[#Data],COLUMN(T_TraitDi[[#This Row],[Lundi]]),FALSE),"")</f>
        <v/>
      </c>
      <c r="AH51" s="172" t="e">
        <f>IF(VLOOKUP(T_BilanSocial[[#This Row],[NumL]],T_TraitDi[#Data],COLUMN(T_TraitDi[[#This Row],[Colonne3]]),FALSE)=0,"",TEXT(IFERROR(VLOOKUP(T_BilanSocial[[#This Row],[NumL]],T_TraitDi[#Data],COLUMN(T_TraitDi[[#This Row],[Colonne3]]),FALSE),""),"[hh]:mm"))</f>
        <v>#VALUE!</v>
      </c>
      <c r="AI51" s="172" t="e">
        <f>IF(VLOOKUP(T_BilanSocial[[#This Row],[NumL]],T_TraitDi[#Data],COLUMN(T_TraitDi[[#This Row],[Colonne4]]),FALSE)=0,"",TEXT(IFERROR(VLOOKUP(T_BilanSocial[[#This Row],[NumL]],T_TraitDi[#Data],COLUMN(T_TraitDi[[#This Row],[Colonne4]]),FALSE),""),"[hh]:mm"))</f>
        <v>#VALUE!</v>
      </c>
      <c r="AJ51" s="172" t="e">
        <f>IF(VLOOKUP(T_BilanSocial[[#This Row],[NumL]],T_TraitDi[#Data],COLUMN(T_TraitDi[[#This Row],[Colonne5]]),FALSE)=0,"",TEXT(IFERROR(VLOOKUP(T_BilanSocial[[#This Row],[NumL]],T_TraitDi[#Data],COLUMN(T_TraitDi[[#This Row],[Colonne5]]),FALSE),""),"[hh]:mm"))</f>
        <v>#VALUE!</v>
      </c>
      <c r="AK51" s="172" t="e">
        <f>IF(VLOOKUP(T_BilanSocial[[#This Row],[NumL]],T_TraitDi[#Data],COLUMN(T_TraitDi[[#This Row],[Colonne6]]),FALSE)=0,"",TEXT(IFERROR(VLOOKUP(T_BilanSocial[[#This Row],[NumL]],T_TraitDi[#Data],COLUMN(T_TraitDi[[#This Row],[Colonne6]]),FALSE),""),"[hh]:mm"))</f>
        <v>#VALUE!</v>
      </c>
      <c r="AL51" s="172" t="e">
        <f>IF(VLOOKUP(T_BilanSocial[[#This Row],[NumL]],T_TraitDi[#Data],COLUMN(T_TraitDi[[#This Row],[Colonne7]]),FALSE)=0,"",TEXT(IFERROR(VLOOKUP(T_BilanSocial[[#This Row],[NumL]],T_TraitDi[#Data],COLUMN(T_TraitDi[[#This Row],[Colonne7]]),FALSE),""),"[hh]:mm"))</f>
        <v>#VALUE!</v>
      </c>
      <c r="AM51" s="172" t="e">
        <f>IF(VLOOKUP(T_BilanSocial[[#This Row],[NumL]],T_TraitDi[#Data],COLUMN(T_TraitDi[[#This Row],[Colonne8]]),FALSE)=0,"",TEXT(IFERROR(VLOOKUP(T_BilanSocial[[#This Row],[NumL]],T_TraitDi[#Data],COLUMN(T_TraitDi[[#This Row],[Colonne8]]),FALSE),""),"[hh]:mm"))</f>
        <v>#VALUE!</v>
      </c>
      <c r="AN51" s="172" t="str">
        <f>IFERROR(VLOOKUP(T_BilanSocial[[#This Row],[NumL]],T_TraitDi[#Data],COLUMN(T_TraitDi[[#This Row],[Mardi]]),FALSE),"")</f>
        <v/>
      </c>
      <c r="AO51" s="172" t="e">
        <f>IF(VLOOKUP(T_BilanSocial[[#This Row],[NumL]],T_TraitDi[#Data],COLUMN(T_TraitDi[[#This Row],[Colonne1]]),FALSE)=0,"",TEXT(IFERROR(VLOOKUP(T_BilanSocial[[#This Row],[NumL]],T_TraitDi[#Data],COLUMN(T_TraitDi[[#This Row],[Colonne1]]),FALSE),""),"[hh]:mm"))</f>
        <v>#VALUE!</v>
      </c>
      <c r="AP51" s="172" t="e">
        <f>IF(VLOOKUP(T_BilanSocial[[#This Row],[NumL]],T_TraitDi[#Data],COLUMN(T_TraitDi[[#This Row],[Colonne9]]),FALSE)=0,"",TEXT(IFERROR(VLOOKUP(T_BilanSocial[[#This Row],[NumL]],T_TraitDi[#Data],COLUMN(T_TraitDi[[#This Row],[Colonne9]]),FALSE),""),"[hh]:mm"))</f>
        <v>#VALUE!</v>
      </c>
      <c r="AQ51" s="172" t="str">
        <f>IFERROR(VLOOKUP(T_BilanSocial[[#This Row],[NumL]],T_TraitDi[#Data],COLUMN(T_TraitDi[[#This Row],[Colonne10]]),FALSE),"")</f>
        <v/>
      </c>
      <c r="AR51" s="172" t="e">
        <f>IF(VLOOKUP(T_BilanSocial[[#This Row],[NumL]],T_TraitDi[#Data],COLUMN(T_TraitDi[[#This Row],[Colonne11]]),FALSE)=0,"",TEXT(IFERROR(VLOOKUP(T_BilanSocial[[#This Row],[NumL]],T_TraitDi[#Data],COLUMN(T_TraitDi[[#This Row],[Colonne11]]),FALSE),""),"[hh]:mm"))</f>
        <v>#VALUE!</v>
      </c>
      <c r="AS51" s="172" t="e">
        <f>IF(VLOOKUP(T_BilanSocial[[#This Row],[NumL]],T_TraitDi[#Data],COLUMN(T_TraitDi[[#This Row],[Colonne12]]),FALSE)=0,"",TEXT(IFERROR(VLOOKUP(T_BilanSocial[[#This Row],[NumL]],T_TraitDi[#Data],COLUMN(T_TraitDi[[#This Row],[Colonne12]]),FALSE),""),"[hh]:mm"))</f>
        <v>#VALUE!</v>
      </c>
      <c r="AT51" s="172" t="e">
        <f>IF(VLOOKUP(T_BilanSocial[[#This Row],[NumL]],T_TraitDi[#Data],COLUMN(T_TraitDi[[#This Row],[Colonne14]]),FALSE)=0,"",TEXT(IFERROR(VLOOKUP(T_BilanSocial[[#This Row],[NumL]],T_TraitDi[#Data],COLUMN(T_TraitDi[[#This Row],[Colonne14]]),FALSE),""),"[hh]:mm"))</f>
        <v>#VALUE!</v>
      </c>
      <c r="AU51" s="172" t="str">
        <f>IFERROR(VLOOKUP(T_BilanSocial[[#This Row],[NumL]],T_TraitDi[#Data],COLUMN(T_TraitDi[[#This Row],[Mercredi]]),FALSE),"")</f>
        <v/>
      </c>
      <c r="AV51" s="172" t="e">
        <f>IF(VLOOKUP(T_BilanSocial[[#This Row],[NumL]],T_TraitDi[#Data],COLUMN(T_TraitDi[[#This Row],[Colonne15]]),FALSE)=0,"",TEXT(IFERROR(VLOOKUP(T_BilanSocial[[#This Row],[NumL]],T_TraitDi[#Data],COLUMN(T_TraitDi[[#This Row],[Colonne15]]),FALSE),""),"[hh]:mm"))</f>
        <v>#VALUE!</v>
      </c>
      <c r="AW51" s="172" t="e">
        <f>IF(VLOOKUP(T_BilanSocial[[#This Row],[NumL]],T_TraitDi[#Data],COLUMN(T_TraitDi[[#This Row],[Colonne16]]),FALSE)=0,"",TEXT(IFERROR(VLOOKUP(T_BilanSocial[[#This Row],[NumL]],T_TraitDi[#Data],COLUMN(T_TraitDi[[#This Row],[Colonne16]]),FALSE),""),"[hh]:mm"))</f>
        <v>#VALUE!</v>
      </c>
      <c r="AX51" s="172" t="str">
        <f>IFERROR(VLOOKUP(T_BilanSocial[[#This Row],[NumL]],T_TraitDi[#Data],COLUMN(T_TraitDi[[#This Row],[Colonne17]]),FALSE),"")</f>
        <v/>
      </c>
      <c r="AY51" s="172" t="e">
        <f>IF(VLOOKUP(T_BilanSocial[[#This Row],[NumL]],T_TraitDi[#Data],COLUMN(T_TraitDi[[#This Row],[Colonne18]]),FALSE)=0,"",TEXT(IFERROR(VLOOKUP(T_BilanSocial[[#This Row],[NumL]],T_TraitDi[#Data],COLUMN(T_TraitDi[[#This Row],[Colonne18]]),FALSE),""),"[hh]:mm"))</f>
        <v>#VALUE!</v>
      </c>
      <c r="AZ51" s="172" t="e">
        <f>IF(VLOOKUP(T_BilanSocial[[#This Row],[NumL]],T_TraitDi[#Data],COLUMN(T_TraitDi[[#This Row],[Colonne19]]),FALSE)=0,"",TEXT(IFERROR(VLOOKUP(T_BilanSocial[[#This Row],[NumL]],T_TraitDi[#Data],COLUMN(T_TraitDi[[#This Row],[Colonne19]]),FALSE),""),"[hh]:mm"))</f>
        <v>#VALUE!</v>
      </c>
      <c r="BA51" s="172" t="e">
        <f>IF(VLOOKUP(T_BilanSocial[[#This Row],[NumL]],T_TraitDi[#Data],COLUMN(T_TraitDi[[#This Row],[Colonne20]]),FALSE)=0,"",TEXT(IFERROR(VLOOKUP(T_BilanSocial[[#This Row],[NumL]],T_TraitDi[#Data],COLUMN(T_TraitDi[[#This Row],[Colonne20]]),FALSE),""),"[hh]:mm"))</f>
        <v>#VALUE!</v>
      </c>
      <c r="BB51" s="178" t="str">
        <f>IFERROR(VLOOKUP(T_BilanSocial[[#This Row],[NumL]],T_TraitDi[#Data],COLUMN(T_TraitDi[[#This Row],[Jeudi]]),FALSE),"")</f>
        <v/>
      </c>
      <c r="BC51" s="178" t="e">
        <f>IF(VLOOKUP(T_BilanSocial[[#This Row],[NumL]],T_TraitDi[#Data],COLUMN(T_TraitDi[[#This Row],[Colonne21]]),FALSE)=0,"",TEXT(IFERROR(VLOOKUP(T_BilanSocial[[#This Row],[NumL]],T_TraitDi[#Data],COLUMN(T_TraitDi[[#This Row],[Colonne21]]),FALSE),""),"[hh]:mm"))</f>
        <v>#VALUE!</v>
      </c>
      <c r="BD51" s="178" t="e">
        <f>IF(VLOOKUP(T_BilanSocial[[#This Row],[NumL]],T_TraitDi[#Data],COLUMN(T_TraitDi[[#This Row],[Colonne22]]),FALSE)=0,"",TEXT(IFERROR(VLOOKUP(T_BilanSocial[[#This Row],[NumL]],T_TraitDi[#Data],COLUMN(T_TraitDi[[#This Row],[Colonne22]]),FALSE),""),"[hh]:mm"))</f>
        <v>#VALUE!</v>
      </c>
      <c r="BE51" s="178" t="str">
        <f>IFERROR(VLOOKUP(T_BilanSocial[[#This Row],[NumL]],T_TraitDi[#Data],COLUMN(T_TraitDi[[#This Row],[Colonne23]]),FALSE),"")</f>
        <v/>
      </c>
      <c r="BF51" s="178" t="e">
        <f>IF(VLOOKUP(T_BilanSocial[[#This Row],[NumL]],T_TraitDi[#Data],COLUMN(T_TraitDi[[#This Row],[Colonne24]]),FALSE)=0,"",TEXT(IFERROR(VLOOKUP(T_BilanSocial[[#This Row],[NumL]],T_TraitDi[#Data],COLUMN(T_TraitDi[[#This Row],[Colonne24]]),FALSE),""),"[hh]:mm"))</f>
        <v>#VALUE!</v>
      </c>
      <c r="BG51" s="178" t="e">
        <f>IF(VLOOKUP(T_BilanSocial[[#This Row],[NumL]],T_TraitDi[#Data],COLUMN(T_TraitDi[[#This Row],[Colonne25]]),FALSE)=0,"",TEXT(IFERROR(VLOOKUP(T_BilanSocial[[#This Row],[NumL]],T_TraitDi[#Data],COLUMN(T_TraitDi[[#This Row],[Colonne25]]),FALSE),""),"[hh]:mm"))</f>
        <v>#VALUE!</v>
      </c>
      <c r="BH51" s="178" t="e">
        <f>IF(VLOOKUP(T_BilanSocial[[#This Row],[NumL]],T_TraitDi[#Data],COLUMN(T_TraitDi[[#This Row],[Colonne26]]),FALSE)=0,"",TEXT(IFERROR(VLOOKUP(T_BilanSocial[[#This Row],[NumL]],T_TraitDi[#Data],COLUMN(T_TraitDi[[#This Row],[Colonne26]]),FALSE),""),"[hh]:mm"))</f>
        <v>#VALUE!</v>
      </c>
      <c r="BI51" s="172" t="str">
        <f>IFERROR(VLOOKUP(T_BilanSocial[[#This Row],[NumL]],T_TraitDi[#Data],COLUMN(T_TraitDi[[#This Row],[Vendredi]]),FALSE),"")</f>
        <v/>
      </c>
      <c r="BJ51" s="172" t="e">
        <f>IF(VLOOKUP(T_BilanSocial[[#This Row],[NumL]],T_TraitDi[#Data],COLUMN(T_TraitDi[[#This Row],[Colonne27]]),FALSE)=0,"",TEXT(IFERROR(VLOOKUP(T_BilanSocial[[#This Row],[NumL]],T_TraitDi[#Data],COLUMN(T_TraitDi[[#This Row],[Colonne27]]),FALSE),""),"[hh]:mm"))</f>
        <v>#VALUE!</v>
      </c>
      <c r="BK51" s="172" t="e">
        <f>IF(VLOOKUP(T_BilanSocial[[#This Row],[NumL]],T_TraitDi[#Data],COLUMN(T_TraitDi[[#This Row],[Colonne28]]),FALSE)=0,"",TEXT(IFERROR(VLOOKUP(T_BilanSocial[[#This Row],[NumL]],T_TraitDi[#Data],COLUMN(T_TraitDi[[#This Row],[Colonne28]]),FALSE),""),"[hh]:mm"))</f>
        <v>#VALUE!</v>
      </c>
      <c r="BL51" s="172" t="str">
        <f>IFERROR(VLOOKUP(T_BilanSocial[[#This Row],[NumL]],T_TraitDi[#Data],COLUMN(T_TraitDi[[#This Row],[Colonne29]]),FALSE),"")</f>
        <v/>
      </c>
      <c r="BM51" s="172" t="e">
        <f>IF(VLOOKUP(T_BilanSocial[[#This Row],[NumL]],T_TraitDi[#Data],COLUMN(T_TraitDi[[#This Row],[Colonne30]]),FALSE)=0,"",TEXT(IFERROR(VLOOKUP(T_BilanSocial[[#This Row],[NumL]],T_TraitDi[#Data],COLUMN(T_TraitDi[[#This Row],[Colonne30]]),FALSE),""),"[hh]:mm"))</f>
        <v>#VALUE!</v>
      </c>
      <c r="BN51" s="172" t="e">
        <f>IF(VLOOKUP(T_BilanSocial[[#This Row],[NumL]],T_TraitDi[#Data],COLUMN(T_TraitDi[[#This Row],[Colonne31]]),FALSE)=0,"",TEXT(IFERROR(VLOOKUP(T_BilanSocial[[#This Row],[NumL]],T_TraitDi[#Data],COLUMN(T_TraitDi[[#This Row],[Colonne31]]),FALSE),""),"[hh]:mm"))</f>
        <v>#VALUE!</v>
      </c>
      <c r="BO51" s="172" t="e">
        <f>IF(VLOOKUP(T_BilanSocial[[#This Row],[NumL]],T_TraitDi[#Data],COLUMN(T_TraitDi[[#This Row],[Colonne32]]),FALSE)=0,"",TEXT(IFERROR(VLOOKUP(T_BilanSocial[[#This Row],[NumL]],T_TraitDi[#Data],COLUMN(T_TraitDi[[#This Row],[Colonne32]]),FALSE),""),"[hh]:mm"))</f>
        <v>#VALUE!</v>
      </c>
      <c r="BP51" s="172" t="e">
        <f>VLOOKUP(T_BilanSocial[[#This Row],[NumL]],T_TraitDi[#Data],COLUMN(T_TraitDi[NbJTot]),FALSE)</f>
        <v>#N/A</v>
      </c>
      <c r="BQ51" s="174" t="str">
        <f>IFERROR(VLOOKUP(T_BilanSocial[[#This Row],[NumL]],T_TraitDi[#Data],COLUMN(T_TraitDi[[#This Row],[NbJTW]]),FALSE),"")</f>
        <v/>
      </c>
      <c r="BR51" s="174" t="e">
        <f>IF(VLOOKUP(T_BilanSocial[[#This Row],[NumL]],T_TraitDi[#Data],COLUMN(T_TraitDi[[#This Row],[NbhTW]]),FALSE)=0,"",TEXT(IFERROR(VLOOKUP(T_BilanSocial[[#This Row],[NumL]],T_TraitDi[#Data],COLUMN(T_TraitDi[[#This Row],[NbhTW]]),FALSE),""),"[hh]:mm"))</f>
        <v>#VALUE!</v>
      </c>
      <c r="BS51" s="174" t="e">
        <f>IF(VLOOKUP(T_BilanSocial[[#This Row],[NumL]],T_TraitDi[#Data],COLUMN(T_TraitDi[[#This Row],[Nbhheb]]),FALSE)=0,"",TEXT(IFERROR(VLOOKUP($A51,T_TraitDi[#Data],COLUMN(T_TraitDi[[#This Row],[Nbhheb]]),FALSE),""),"[hh]:mm"))</f>
        <v>#VALUE!</v>
      </c>
      <c r="BT51" s="182" t="str">
        <f>IFERROR(VLOOKUP(VLOOKUP($A51,T_TraitDi[#Data],COLUMN(T_TraitDi[[#This Row],[Type1]]),FALSE),TypeTW,2,FALSE),"")</f>
        <v/>
      </c>
      <c r="BU51" s="182" t="str">
        <f>IFERROR(VLOOKUP($A51,T_TraitDi[#Data],COLUMN(T_TraitDi[[#This Row],[Rue1]]),FALSE),"")</f>
        <v/>
      </c>
      <c r="BV51" s="173" t="str">
        <f>IFERROR(VLOOKUP($A51,T_TraitDi[#Data],COLUMN(T_TraitDi[[#This Row],[CP1]]),FALSE),"")</f>
        <v/>
      </c>
      <c r="BW51" s="173" t="str">
        <f>IFERROR(VLOOKUP($A51,T_TraitDi[#Data],COLUMN(T_TraitDi[[#This Row],[VILLE1]]),FALSE),"")</f>
        <v/>
      </c>
      <c r="BX51" s="182" t="str">
        <f>IFERROR(VLOOKUP(VLOOKUP($A51,T_TraitDi[#Data],COLUMN(T_TraitDi[[#This Row],[Type2]]),FALSE),TypeTW,2,FALSE),"")</f>
        <v/>
      </c>
      <c r="BY51" s="182" t="str">
        <f>IFERROR(VLOOKUP($A51,T_TraitDi[#Data],COLUMN(T_TraitDi[[#This Row],[Rue2]]),FALSE),"")</f>
        <v/>
      </c>
      <c r="BZ51" s="173" t="str">
        <f>IFERROR(VLOOKUP($A51,T_TraitDi[#Data],COLUMN(T_TraitDi[[#This Row],[CP2]]),FALSE),"")</f>
        <v/>
      </c>
      <c r="CA51" s="173" t="str">
        <f>IFERROR(VLOOKUP($A51,T_TraitDi[#Data],COLUMN(T_TraitDi[[#This Row],[VILLE2]]),FALSE),"")</f>
        <v/>
      </c>
      <c r="CB51" s="182" t="str">
        <f>IF(VLOOKUP(T_BilanSocial[[#This Row],[NumL]],T_Equipement[#Data],COLUMN(T_Equipement[[#This Row],[PC]]),FALSE)="","Aucun équipement spécifique directement lié au télétravail",VLOOKUP(T_BilanSocial[[#This Row],[NumL]],T_Equipement[#Data],COLUMN(T_Equipement[[#This Row],[PC]]),FALSE))</f>
        <v xml:space="preserve">19-601	</v>
      </c>
      <c r="CC51" s="166" t="str">
        <f>IFERROR(IF(VLOOKUP(T_BilanSocial[[#This Row],[NumL]],T_TraitDi[#Data],COLUMN(T_TraitDi[[#This Row],[Plan]]),FALSE)="OK","Un planning spécifique de télétravail est annexé à la présente convention.",""),"")</f>
        <v/>
      </c>
      <c r="CD51" s="258" t="s">
        <v>3312</v>
      </c>
      <c r="CE51" s="164" t="e">
        <f>IF(VLOOKUP(T_BilanSocial[[#This Row],[NumL]],T_suiviDi[#Data],COLUMN(T_suiviDi[[#This Row],[Entité]]),FALSE)="","",VLOOKUP(T_BilanSocial[[#This Row],[NumL]],T_suiviDi[#Data],COLUMN(T_suiviDi[[#This Row],[Entité]]),FALSE))</f>
        <v>#VALUE!</v>
      </c>
      <c r="CF51" s="164" t="str">
        <f>IF(VLOOKUP(T_BilanSocial[[#This Row],[NumL]],T_Commission[#Data],COLUMN(T_Commission[[#This Row],[envoi confirm TW]]),FALSE)="","",VLOOKUP(T_BilanSocial[[#This Row],[NumL]],T_Commission[#Data],COLUMN(T_Commission[[#This Row],[envoi confirm TW]]),FALSE))</f>
        <v>Oui</v>
      </c>
      <c r="CG5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1" s="262" t="str">
        <f>T_BilanSocial[[#This Row],[Nom]]&amp;T_BilanSocial[[#This Row],[Prenom]]</f>
        <v/>
      </c>
      <c r="CI51" s="262">
        <f>VLOOKUP(T_BilanSocial[[#This Row],[NumL]],T_Commission[#Data],COLUMN(T_Commission[Commentaire]),FALSE)</f>
        <v>0</v>
      </c>
      <c r="CJ51" s="262" t="str">
        <f>IF(VLOOKUP(T_BilanSocial[[#This Row],[NumL]],T_Commission[#Data],COLUMN(T_Commission[Encadrant Email]),FALSE)="","",VLOOKUP(T_BilanSocial[[#This Row],[NumL]],T_Commission[#Data],COLUMN(T_Commission[Encadrant Email]),FALSE))</f>
        <v/>
      </c>
      <c r="CK51" s="340" t="str">
        <f>IF(T_BilanSocial[[#This Row],[Final]]&lt;&gt;"",VLOOKUP(T_BilanSocial[[#This Row],[NumL]],T_suiviDi[#Data],COLUMN((T_suiviDi[Statut])),FALSE),"")</f>
        <v/>
      </c>
    </row>
    <row r="52" spans="1:89" s="106" customFormat="1" ht="24.75" customHeight="1" x14ac:dyDescent="0.25">
      <c r="A52" s="160">
        <v>49</v>
      </c>
      <c r="B52" s="161" t="str">
        <f t="shared" si="0"/>
        <v/>
      </c>
      <c r="C52" s="162" t="s">
        <v>173</v>
      </c>
      <c r="D52" s="95" t="e">
        <f>IF(VLOOKUP(T_BilanSocial[[#This Row],[NumL]],T_TraitDi[#Data],COLUMN(T_TraitDi[[#This Row],[WebC]]),FALSE)="","",VLOOKUP(T_BilanSocial[[#This Row],[NumL]],T_TraitDi[#Data],COLUMN(T_TraitDi[[#This Row],[WebC]]),FALSE))</f>
        <v>#VALUE!</v>
      </c>
      <c r="E52" s="163" t="str">
        <f t="shared" si="1"/>
        <v>12 janvier 2021</v>
      </c>
      <c r="F52" s="96" t="str">
        <f>IF(T_BilanSocial[[#This Row],[Final]]&lt;&gt;"",VLOOKUP(T_BilanSocial[[#This Row],[NumL]],T_suiviDi[#Data],COLUMN((T_suiviDi[Civ.])),FALSE),"")</f>
        <v/>
      </c>
      <c r="G52" s="96" t="str">
        <f>IF(T_BilanSocial[[#This Row],[Final]]&lt;&gt;"",VLOOKUP(T_BilanSocial[[#This Row],[NumL]],T_suiviDi[#Data],COLUMN((T_suiviDi[Nom])),FALSE),"")</f>
        <v/>
      </c>
      <c r="H52" s="96" t="str">
        <f>IF(T_BilanSocial[[#This Row],[Final]]&lt;&gt;"",VLOOKUP(T_BilanSocial[[#This Row],[NumL]],T_suiviDi[#Data],COLUMN((T_suiviDi[Prénom])),FALSE),"")</f>
        <v/>
      </c>
      <c r="I52" s="96" t="str">
        <f>IFERROR(VLOOKUP(T_BilanSocial[[#This Row],[Zone_Bilan]],T_P_BilanSocial[#Data],COLUMN(T_P_BilanSocial[[#This Row],[Numero_SIHAM]]),FALSE),"")</f>
        <v/>
      </c>
      <c r="J52" s="96" t="str">
        <f>IFERROR(VLOOKUP(T_BilanSocial[[#This Row],[Zone_Bilan]],T_P_BilanSocial[#Data],COLUMN(T_P_BilanSocial[[#This Row],[Sexe]]),FALSE),"")</f>
        <v/>
      </c>
      <c r="K52" s="97" t="str">
        <f>IFERROR(VLOOKUP(T_BilanSocial[[#This Row],[Zone_Bilan]],T_P_BilanSocial[#Data],COLUMN(T_P_BilanSocial[[#This Row],[Categorie]]),FALSE),"")</f>
        <v/>
      </c>
      <c r="L52" s="96" t="str">
        <f>IFERROR(VLOOKUP(T_BilanSocial[[#This Row],[Zone_Bilan]],T_P_BilanSocial[#Data],COLUMN(T_P_BilanSocial[[#This Row],[Statut]]),FALSE),"")</f>
        <v/>
      </c>
      <c r="M52" s="96" t="str">
        <f>IFERROR(VLOOKUP(T_BilanSocial[[#This Row],[Zone_Bilan]],T_P_BilanSocial[#Data],COLUMN(T_P_BilanSocial[[#This Row],[Filiere]]),FALSE),"")</f>
        <v/>
      </c>
      <c r="N52" s="96" t="e">
        <f>VLOOKUP(T_BilanSocial[[#This Row],[NumL]],T_TraitDi[#Data],COLUMN(T_TraitDi[EXP]),FALSE)</f>
        <v>#N/A</v>
      </c>
      <c r="O52" s="96" t="e">
        <f>VLOOKUP(T_BilanSocial[[#This Row],[NumL]],T_TraitDi[#Data],COLUMN(T_TraitDi[FORM]),FALSE)</f>
        <v>#N/A</v>
      </c>
      <c r="P52" s="96" t="str">
        <f>IF(T_BilanSocial[[#This Row],[Final]]&lt;&gt;"",VLOOKUP(T_BilanSocial[[#This Row],[NumL]],T_suiviDi[#Data],COLUMN((T_suiviDi[Email])),FALSE),"")</f>
        <v/>
      </c>
      <c r="Q52" s="164" t="e">
        <f t="shared" si="7"/>
        <v>#N/A</v>
      </c>
      <c r="R52" s="164" t="e">
        <f t="shared" si="8"/>
        <v>#N/A</v>
      </c>
      <c r="S52" s="164" t="e">
        <f>IF(VLOOKUP(T_BilanSocial[[#This Row],[NumL]],T_suiviDi[#Data],COLUMN(T_suiviDi[[#This Row],[Service ]]),FALSE)="","",VLOOKUP(T_BilanSocial[[#This Row],[NumL]],T_suiviDi[#Data],COLUMN(T_suiviDi[[#This Row],[Service ]]),FALSE))</f>
        <v>#VALUE!</v>
      </c>
      <c r="T52" s="164" t="str">
        <f t="shared" si="2"/>
        <v>01 septembre 2021</v>
      </c>
      <c r="U52" s="164" t="str">
        <f t="shared" si="3"/>
        <v>30 novembre 2021</v>
      </c>
      <c r="V52" s="164" t="str">
        <f t="shared" si="9"/>
        <v>30 novembre 2021</v>
      </c>
      <c r="W52" s="176" t="e">
        <f>IF(VLOOKUP(T_BilanSocial[[#This Row],[NumL]],T_TraitDi[#Data],COLUMN(T_TraitDi[[#This Row],[M1]]),FALSE)="","",VLOOKUP(T_BilanSocial[[#This Row],[NumL]],T_TraitDi[#Data],COLUMN(T_TraitDi[[#This Row],[M1]]),FALSE))</f>
        <v>#VALUE!</v>
      </c>
      <c r="X52" s="176" t="e">
        <f>IF(VLOOKUP(T_BilanSocial[[#This Row],[NumL]],T_TraitDi[#Data],COLUMN(T_TraitDi[[#This Row],[M2]]),FALSE)="","",VLOOKUP(T_BilanSocial[[#This Row],[NumL]],T_TraitDi[#Data],COLUMN(T_TraitDi[[#This Row],[M2]]),FALSE))</f>
        <v>#VALUE!</v>
      </c>
      <c r="Y52" s="176" t="e">
        <f>IF(VLOOKUP(T_BilanSocial[[#This Row],[NumL]],T_TraitDi[#Data],COLUMN(T_TraitDi[[#This Row],[M3]]),FALSE)="","",VLOOKUP(T_BilanSocial[[#This Row],[NumL]],T_TraitDi[#Data],COLUMN(T_TraitDi[[#This Row],[M3]]),FALSE))</f>
        <v>#VALUE!</v>
      </c>
      <c r="Z52" s="176" t="str">
        <f t="shared" si="5"/>
        <v/>
      </c>
      <c r="AA52" s="176" t="e">
        <f>IF(VLOOKUP(T_BilanSocial[[#This Row],[NumL]],T_TraitDi[#Data],COLUMN(T_TraitDi[[#This Row],[M5]]),FALSE)="","",VLOOKUP(T_BilanSocial[[#This Row],[NumL]],T_TraitDi[#Data],COLUMN(T_TraitDi[[#This Row],[M5]]),FALSE))</f>
        <v>#VALUE!</v>
      </c>
      <c r="AB52" s="176" t="e">
        <f>IF(VLOOKUP(T_BilanSocial[[#This Row],[NumL]],T_TraitDi[#Data],COLUMN(T_TraitDi[[#This Row],[M6]]),FALSE)="","",VLOOKUP(T_BilanSocial[[#This Row],[NumL]],T_TraitDi[#Data],COLUMN(T_TraitDi[[#This Row],[M6]]),FALSE))</f>
        <v>#VALUE!</v>
      </c>
      <c r="AC52" s="165" t="e">
        <f t="shared" si="4"/>
        <v>#VALUE!</v>
      </c>
      <c r="AD52" s="188" t="str">
        <f>IFERROR(TEXT(VLOOKUP(T_BilanSocial[[#This Row],[NumL]],T_TraitDi[#Data],COLUMN(T_TraitDi[[#This Row],[Q2]]),FALSE),"###%"),"")</f>
        <v/>
      </c>
      <c r="AE52" s="97" t="e">
        <f>VLOOKUP(T_BilanSocial[[#This Row],[NumL]],T_TraitDi[#Data],COLUMN(T_TraitDi[[#This Row],[Reg Ponct]]),FALSE)</f>
        <v>#VALUE!</v>
      </c>
      <c r="AF52" s="97" t="e">
        <f>VLOOKUP(T_BilanSocial[NumL],T_TraitDi[#Data],COLUMN(T_TraitDi[[#This Row],[Jours flottants]]),FALSE)</f>
        <v>#VALUE!</v>
      </c>
      <c r="AG52" s="97" t="str">
        <f>IFERROR(VLOOKUP(T_BilanSocial[[#This Row],[NumL]],T_TraitDi[#Data],COLUMN(T_TraitDi[[#This Row],[Lundi]]),FALSE),"")</f>
        <v/>
      </c>
      <c r="AH52" s="172" t="e">
        <f>IF(VLOOKUP(T_BilanSocial[[#This Row],[NumL]],T_TraitDi[#Data],COLUMN(T_TraitDi[[#This Row],[Colonne3]]),FALSE)=0,"",TEXT(IFERROR(VLOOKUP(T_BilanSocial[[#This Row],[NumL]],T_TraitDi[#Data],COLUMN(T_TraitDi[[#This Row],[Colonne3]]),FALSE),""),"[hh]:mm"))</f>
        <v>#VALUE!</v>
      </c>
      <c r="AI52" s="172" t="e">
        <f>IF(VLOOKUP(T_BilanSocial[[#This Row],[NumL]],T_TraitDi[#Data],COLUMN(T_TraitDi[[#This Row],[Colonne4]]),FALSE)=0,"",TEXT(IFERROR(VLOOKUP(T_BilanSocial[[#This Row],[NumL]],T_TraitDi[#Data],COLUMN(T_TraitDi[[#This Row],[Colonne4]]),FALSE),""),"[hh]:mm"))</f>
        <v>#VALUE!</v>
      </c>
      <c r="AJ52" s="172" t="e">
        <f>IF(VLOOKUP(T_BilanSocial[[#This Row],[NumL]],T_TraitDi[#Data],COLUMN(T_TraitDi[[#This Row],[Colonne5]]),FALSE)=0,"",TEXT(IFERROR(VLOOKUP(T_BilanSocial[[#This Row],[NumL]],T_TraitDi[#Data],COLUMN(T_TraitDi[[#This Row],[Colonne5]]),FALSE),""),"[hh]:mm"))</f>
        <v>#VALUE!</v>
      </c>
      <c r="AK52" s="172" t="e">
        <f>IF(VLOOKUP(T_BilanSocial[[#This Row],[NumL]],T_TraitDi[#Data],COLUMN(T_TraitDi[[#This Row],[Colonne6]]),FALSE)=0,"",TEXT(IFERROR(VLOOKUP(T_BilanSocial[[#This Row],[NumL]],T_TraitDi[#Data],COLUMN(T_TraitDi[[#This Row],[Colonne6]]),FALSE),""),"[hh]:mm"))</f>
        <v>#VALUE!</v>
      </c>
      <c r="AL52" s="172" t="e">
        <f>IF(VLOOKUP(T_BilanSocial[[#This Row],[NumL]],T_TraitDi[#Data],COLUMN(T_TraitDi[[#This Row],[Colonne7]]),FALSE)=0,"",TEXT(IFERROR(VLOOKUP(T_BilanSocial[[#This Row],[NumL]],T_TraitDi[#Data],COLUMN(T_TraitDi[[#This Row],[Colonne7]]),FALSE),""),"[hh]:mm"))</f>
        <v>#VALUE!</v>
      </c>
      <c r="AM52" s="172" t="e">
        <f>IF(VLOOKUP(T_BilanSocial[[#This Row],[NumL]],T_TraitDi[#Data],COLUMN(T_TraitDi[[#This Row],[Colonne8]]),FALSE)=0,"",TEXT(IFERROR(VLOOKUP(T_BilanSocial[[#This Row],[NumL]],T_TraitDi[#Data],COLUMN(T_TraitDi[[#This Row],[Colonne8]]),FALSE),""),"[hh]:mm"))</f>
        <v>#VALUE!</v>
      </c>
      <c r="AN52" s="172" t="str">
        <f>IFERROR(VLOOKUP(T_BilanSocial[[#This Row],[NumL]],T_TraitDi[#Data],COLUMN(T_TraitDi[[#This Row],[Mardi]]),FALSE),"")</f>
        <v/>
      </c>
      <c r="AO52" s="172" t="e">
        <f>IF(VLOOKUP(T_BilanSocial[[#This Row],[NumL]],T_TraitDi[#Data],COLUMN(T_TraitDi[[#This Row],[Colonne1]]),FALSE)=0,"",TEXT(IFERROR(VLOOKUP(T_BilanSocial[[#This Row],[NumL]],T_TraitDi[#Data],COLUMN(T_TraitDi[[#This Row],[Colonne1]]),FALSE),""),"[hh]:mm"))</f>
        <v>#VALUE!</v>
      </c>
      <c r="AP52" s="172" t="e">
        <f>IF(VLOOKUP(T_BilanSocial[[#This Row],[NumL]],T_TraitDi[#Data],COLUMN(T_TraitDi[[#This Row],[Colonne9]]),FALSE)=0,"",TEXT(IFERROR(VLOOKUP(T_BilanSocial[[#This Row],[NumL]],T_TraitDi[#Data],COLUMN(T_TraitDi[[#This Row],[Colonne9]]),FALSE),""),"[hh]:mm"))</f>
        <v>#VALUE!</v>
      </c>
      <c r="AQ52" s="172" t="str">
        <f>IFERROR(VLOOKUP(T_BilanSocial[[#This Row],[NumL]],T_TraitDi[#Data],COLUMN(T_TraitDi[[#This Row],[Colonne10]]),FALSE),"")</f>
        <v/>
      </c>
      <c r="AR52" s="172" t="e">
        <f>IF(VLOOKUP(T_BilanSocial[[#This Row],[NumL]],T_TraitDi[#Data],COLUMN(T_TraitDi[[#This Row],[Colonne11]]),FALSE)=0,"",TEXT(IFERROR(VLOOKUP(T_BilanSocial[[#This Row],[NumL]],T_TraitDi[#Data],COLUMN(T_TraitDi[[#This Row],[Colonne11]]),FALSE),""),"[hh]:mm"))</f>
        <v>#VALUE!</v>
      </c>
      <c r="AS52" s="172" t="e">
        <f>IF(VLOOKUP(T_BilanSocial[[#This Row],[NumL]],T_TraitDi[#Data],COLUMN(T_TraitDi[[#This Row],[Colonne12]]),FALSE)=0,"",TEXT(IFERROR(VLOOKUP(T_BilanSocial[[#This Row],[NumL]],T_TraitDi[#Data],COLUMN(T_TraitDi[[#This Row],[Colonne12]]),FALSE),""),"[hh]:mm"))</f>
        <v>#VALUE!</v>
      </c>
      <c r="AT52" s="172" t="e">
        <f>IF(VLOOKUP(T_BilanSocial[[#This Row],[NumL]],T_TraitDi[#Data],COLUMN(T_TraitDi[[#This Row],[Colonne14]]),FALSE)=0,"",TEXT(IFERROR(VLOOKUP(T_BilanSocial[[#This Row],[NumL]],T_TraitDi[#Data],COLUMN(T_TraitDi[[#This Row],[Colonne14]]),FALSE),""),"[hh]:mm"))</f>
        <v>#VALUE!</v>
      </c>
      <c r="AU52" s="172" t="str">
        <f>IFERROR(VLOOKUP(T_BilanSocial[[#This Row],[NumL]],T_TraitDi[#Data],COLUMN(T_TraitDi[[#This Row],[Mercredi]]),FALSE),"")</f>
        <v/>
      </c>
      <c r="AV52" s="172" t="e">
        <f>IF(VLOOKUP(T_BilanSocial[[#This Row],[NumL]],T_TraitDi[#Data],COLUMN(T_TraitDi[[#This Row],[Colonne15]]),FALSE)=0,"",TEXT(IFERROR(VLOOKUP(T_BilanSocial[[#This Row],[NumL]],T_TraitDi[#Data],COLUMN(T_TraitDi[[#This Row],[Colonne15]]),FALSE),""),"[hh]:mm"))</f>
        <v>#VALUE!</v>
      </c>
      <c r="AW52" s="172" t="e">
        <f>IF(VLOOKUP(T_BilanSocial[[#This Row],[NumL]],T_TraitDi[#Data],COLUMN(T_TraitDi[[#This Row],[Colonne16]]),FALSE)=0,"",TEXT(IFERROR(VLOOKUP(T_BilanSocial[[#This Row],[NumL]],T_TraitDi[#Data],COLUMN(T_TraitDi[[#This Row],[Colonne16]]),FALSE),""),"[hh]:mm"))</f>
        <v>#VALUE!</v>
      </c>
      <c r="AX52" s="172" t="str">
        <f>IFERROR(VLOOKUP(T_BilanSocial[[#This Row],[NumL]],T_TraitDi[#Data],COLUMN(T_TraitDi[[#This Row],[Colonne17]]),FALSE),"")</f>
        <v/>
      </c>
      <c r="AY52" s="172" t="e">
        <f>IF(VLOOKUP(T_BilanSocial[[#This Row],[NumL]],T_TraitDi[#Data],COLUMN(T_TraitDi[[#This Row],[Colonne18]]),FALSE)=0,"",TEXT(IFERROR(VLOOKUP(T_BilanSocial[[#This Row],[NumL]],T_TraitDi[#Data],COLUMN(T_TraitDi[[#This Row],[Colonne18]]),FALSE),""),"[hh]:mm"))</f>
        <v>#VALUE!</v>
      </c>
      <c r="AZ52" s="172" t="e">
        <f>IF(VLOOKUP(T_BilanSocial[[#This Row],[NumL]],T_TraitDi[#Data],COLUMN(T_TraitDi[[#This Row],[Colonne19]]),FALSE)=0,"",TEXT(IFERROR(VLOOKUP(T_BilanSocial[[#This Row],[NumL]],T_TraitDi[#Data],COLUMN(T_TraitDi[[#This Row],[Colonne19]]),FALSE),""),"[hh]:mm"))</f>
        <v>#VALUE!</v>
      </c>
      <c r="BA52" s="172" t="e">
        <f>IF(VLOOKUP(T_BilanSocial[[#This Row],[NumL]],T_TraitDi[#Data],COLUMN(T_TraitDi[[#This Row],[Colonne20]]),FALSE)=0,"",TEXT(IFERROR(VLOOKUP(T_BilanSocial[[#This Row],[NumL]],T_TraitDi[#Data],COLUMN(T_TraitDi[[#This Row],[Colonne20]]),FALSE),""),"[hh]:mm"))</f>
        <v>#VALUE!</v>
      </c>
      <c r="BB52" s="178" t="str">
        <f>IFERROR(VLOOKUP(T_BilanSocial[[#This Row],[NumL]],T_TraitDi[#Data],COLUMN(T_TraitDi[[#This Row],[Jeudi]]),FALSE),"")</f>
        <v/>
      </c>
      <c r="BC52" s="178" t="e">
        <f>IF(VLOOKUP(T_BilanSocial[[#This Row],[NumL]],T_TraitDi[#Data],COLUMN(T_TraitDi[[#This Row],[Colonne21]]),FALSE)=0,"",TEXT(IFERROR(VLOOKUP(T_BilanSocial[[#This Row],[NumL]],T_TraitDi[#Data],COLUMN(T_TraitDi[[#This Row],[Colonne21]]),FALSE),""),"[hh]:mm"))</f>
        <v>#VALUE!</v>
      </c>
      <c r="BD52" s="178" t="e">
        <f>IF(VLOOKUP(T_BilanSocial[[#This Row],[NumL]],T_TraitDi[#Data],COLUMN(T_TraitDi[[#This Row],[Colonne22]]),FALSE)=0,"",TEXT(IFERROR(VLOOKUP(T_BilanSocial[[#This Row],[NumL]],T_TraitDi[#Data],COLUMN(T_TraitDi[[#This Row],[Colonne22]]),FALSE),""),"[hh]:mm"))</f>
        <v>#VALUE!</v>
      </c>
      <c r="BE52" s="178" t="str">
        <f>IFERROR(VLOOKUP(T_BilanSocial[[#This Row],[NumL]],T_TraitDi[#Data],COLUMN(T_TraitDi[[#This Row],[Colonne23]]),FALSE),"")</f>
        <v/>
      </c>
      <c r="BF52" s="178" t="e">
        <f>IF(VLOOKUP(T_BilanSocial[[#This Row],[NumL]],T_TraitDi[#Data],COLUMN(T_TraitDi[[#This Row],[Colonne24]]),FALSE)=0,"",TEXT(IFERROR(VLOOKUP(T_BilanSocial[[#This Row],[NumL]],T_TraitDi[#Data],COLUMN(T_TraitDi[[#This Row],[Colonne24]]),FALSE),""),"[hh]:mm"))</f>
        <v>#VALUE!</v>
      </c>
      <c r="BG52" s="178" t="e">
        <f>IF(VLOOKUP(T_BilanSocial[[#This Row],[NumL]],T_TraitDi[#Data],COLUMN(T_TraitDi[[#This Row],[Colonne25]]),FALSE)=0,"",TEXT(IFERROR(VLOOKUP(T_BilanSocial[[#This Row],[NumL]],T_TraitDi[#Data],COLUMN(T_TraitDi[[#This Row],[Colonne25]]),FALSE),""),"[hh]:mm"))</f>
        <v>#VALUE!</v>
      </c>
      <c r="BH52" s="178" t="e">
        <f>IF(VLOOKUP(T_BilanSocial[[#This Row],[NumL]],T_TraitDi[#Data],COLUMN(T_TraitDi[[#This Row],[Colonne26]]),FALSE)=0,"",TEXT(IFERROR(VLOOKUP(T_BilanSocial[[#This Row],[NumL]],T_TraitDi[#Data],COLUMN(T_TraitDi[[#This Row],[Colonne26]]),FALSE),""),"[hh]:mm"))</f>
        <v>#VALUE!</v>
      </c>
      <c r="BI52" s="172" t="str">
        <f>IFERROR(VLOOKUP(T_BilanSocial[[#This Row],[NumL]],T_TraitDi[#Data],COLUMN(T_TraitDi[[#This Row],[Vendredi]]),FALSE),"")</f>
        <v/>
      </c>
      <c r="BJ52" s="172" t="e">
        <f>IF(VLOOKUP(T_BilanSocial[[#This Row],[NumL]],T_TraitDi[#Data],COLUMN(T_TraitDi[[#This Row],[Colonne27]]),FALSE)=0,"",TEXT(IFERROR(VLOOKUP(T_BilanSocial[[#This Row],[NumL]],T_TraitDi[#Data],COLUMN(T_TraitDi[[#This Row],[Colonne27]]),FALSE),""),"[hh]:mm"))</f>
        <v>#VALUE!</v>
      </c>
      <c r="BK52" s="172" t="e">
        <f>IF(VLOOKUP(T_BilanSocial[[#This Row],[NumL]],T_TraitDi[#Data],COLUMN(T_TraitDi[[#This Row],[Colonne28]]),FALSE)=0,"",TEXT(IFERROR(VLOOKUP(T_BilanSocial[[#This Row],[NumL]],T_TraitDi[#Data],COLUMN(T_TraitDi[[#This Row],[Colonne28]]),FALSE),""),"[hh]:mm"))</f>
        <v>#VALUE!</v>
      </c>
      <c r="BL52" s="172" t="str">
        <f>IFERROR(VLOOKUP(T_BilanSocial[[#This Row],[NumL]],T_TraitDi[#Data],COLUMN(T_TraitDi[[#This Row],[Colonne29]]),FALSE),"")</f>
        <v/>
      </c>
      <c r="BM52" s="172" t="e">
        <f>IF(VLOOKUP(T_BilanSocial[[#This Row],[NumL]],T_TraitDi[#Data],COLUMN(T_TraitDi[[#This Row],[Colonne30]]),FALSE)=0,"",TEXT(IFERROR(VLOOKUP(T_BilanSocial[[#This Row],[NumL]],T_TraitDi[#Data],COLUMN(T_TraitDi[[#This Row],[Colonne30]]),FALSE),""),"[hh]:mm"))</f>
        <v>#VALUE!</v>
      </c>
      <c r="BN52" s="172" t="e">
        <f>IF(VLOOKUP(T_BilanSocial[[#This Row],[NumL]],T_TraitDi[#Data],COLUMN(T_TraitDi[[#This Row],[Colonne31]]),FALSE)=0,"",TEXT(IFERROR(VLOOKUP(T_BilanSocial[[#This Row],[NumL]],T_TraitDi[#Data],COLUMN(T_TraitDi[[#This Row],[Colonne31]]),FALSE),""),"[hh]:mm"))</f>
        <v>#VALUE!</v>
      </c>
      <c r="BO52" s="172" t="e">
        <f>IF(VLOOKUP(T_BilanSocial[[#This Row],[NumL]],T_TraitDi[#Data],COLUMN(T_TraitDi[[#This Row],[Colonne32]]),FALSE)=0,"",TEXT(IFERROR(VLOOKUP(T_BilanSocial[[#This Row],[NumL]],T_TraitDi[#Data],COLUMN(T_TraitDi[[#This Row],[Colonne32]]),FALSE),""),"[hh]:mm"))</f>
        <v>#VALUE!</v>
      </c>
      <c r="BP52" s="172" t="e">
        <f>VLOOKUP(T_BilanSocial[[#This Row],[NumL]],T_TraitDi[#Data],COLUMN(T_TraitDi[NbJTot]),FALSE)</f>
        <v>#N/A</v>
      </c>
      <c r="BQ52" s="174" t="str">
        <f>IFERROR(VLOOKUP(T_BilanSocial[[#This Row],[NumL]],T_TraitDi[#Data],COLUMN(T_TraitDi[[#This Row],[NbJTW]]),FALSE),"")</f>
        <v/>
      </c>
      <c r="BR52" s="174" t="e">
        <f>IF(VLOOKUP(T_BilanSocial[[#This Row],[NumL]],T_TraitDi[#Data],COLUMN(T_TraitDi[[#This Row],[NbhTW]]),FALSE)=0,"",TEXT(IFERROR(VLOOKUP(T_BilanSocial[[#This Row],[NumL]],T_TraitDi[#Data],COLUMN(T_TraitDi[[#This Row],[NbhTW]]),FALSE),""),"[hh]:mm"))</f>
        <v>#VALUE!</v>
      </c>
      <c r="BS52" s="174" t="e">
        <f>IF(VLOOKUP(T_BilanSocial[[#This Row],[NumL]],T_TraitDi[#Data],COLUMN(T_TraitDi[[#This Row],[Nbhheb]]),FALSE)=0,"",TEXT(IFERROR(VLOOKUP($A52,T_TraitDi[#Data],COLUMN(T_TraitDi[[#This Row],[Nbhheb]]),FALSE),""),"[hh]:mm"))</f>
        <v>#VALUE!</v>
      </c>
      <c r="BT52" s="182" t="str">
        <f>IFERROR(VLOOKUP(VLOOKUP($A52,T_TraitDi[#Data],COLUMN(T_TraitDi[[#This Row],[Type1]]),FALSE),TypeTW,2,FALSE),"")</f>
        <v/>
      </c>
      <c r="BU52" s="182" t="str">
        <f>IFERROR(VLOOKUP($A52,T_TraitDi[#Data],COLUMN(T_TraitDi[[#This Row],[Rue1]]),FALSE),"")</f>
        <v/>
      </c>
      <c r="BV52" s="173" t="str">
        <f>IFERROR(VLOOKUP($A52,T_TraitDi[#Data],COLUMN(T_TraitDi[[#This Row],[CP1]]),FALSE),"")</f>
        <v/>
      </c>
      <c r="BW52" s="173" t="str">
        <f>IFERROR(VLOOKUP($A52,T_TraitDi[#Data],COLUMN(T_TraitDi[[#This Row],[VILLE1]]),FALSE),"")</f>
        <v/>
      </c>
      <c r="BX52" s="182" t="str">
        <f>IFERROR(VLOOKUP(VLOOKUP($A52,T_TraitDi[#Data],COLUMN(T_TraitDi[[#This Row],[Type2]]),FALSE),TypeTW,2,FALSE),"")</f>
        <v/>
      </c>
      <c r="BY52" s="182" t="str">
        <f>IFERROR(VLOOKUP($A52,T_TraitDi[#Data],COLUMN(T_TraitDi[[#This Row],[Rue2]]),FALSE),"")</f>
        <v/>
      </c>
      <c r="BZ52" s="173" t="str">
        <f>IFERROR(VLOOKUP($A52,T_TraitDi[#Data],COLUMN(T_TraitDi[[#This Row],[CP2]]),FALSE),"")</f>
        <v/>
      </c>
      <c r="CA52" s="173" t="str">
        <f>IFERROR(VLOOKUP($A52,T_TraitDi[#Data],COLUMN(T_TraitDi[[#This Row],[VILLE2]]),FALSE),"")</f>
        <v/>
      </c>
      <c r="CB52" s="182" t="str">
        <f>IF(VLOOKUP(T_BilanSocial[[#This Row],[NumL]],T_Equipement[#Data],COLUMN(T_Equipement[[#This Row],[PC]]),FALSE)="","Aucun équipement spécifique directement lié au télétravail",VLOOKUP(T_BilanSocial[[#This Row],[NumL]],T_Equipement[#Data],COLUMN(T_Equipement[[#This Row],[PC]]),FALSE))</f>
        <v xml:space="preserve">17-020	</v>
      </c>
      <c r="CC52" s="166" t="str">
        <f>IFERROR(IF(VLOOKUP(T_BilanSocial[[#This Row],[NumL]],T_TraitDi[#Data],COLUMN(T_TraitDi[[#This Row],[Plan]]),FALSE)="OK","Un planning spécifique de télétravail est annexé à la présente convention.",""),"")</f>
        <v/>
      </c>
      <c r="CD52" s="258" t="s">
        <v>3332</v>
      </c>
      <c r="CE52" s="164" t="e">
        <f>IF(VLOOKUP(T_BilanSocial[[#This Row],[NumL]],T_suiviDi[#Data],COLUMN(T_suiviDi[[#This Row],[Entité]]),FALSE)="","",VLOOKUP(T_BilanSocial[[#This Row],[NumL]],T_suiviDi[#Data],COLUMN(T_suiviDi[[#This Row],[Entité]]),FALSE))</f>
        <v>#VALUE!</v>
      </c>
      <c r="CF52" s="164" t="str">
        <f>IF(VLOOKUP(T_BilanSocial[[#This Row],[NumL]],T_Commission[#Data],COLUMN(T_Commission[[#This Row],[envoi confirm TW]]),FALSE)="","",VLOOKUP(T_BilanSocial[[#This Row],[NumL]],T_Commission[#Data],COLUMN(T_Commission[[#This Row],[envoi confirm TW]]),FALSE))</f>
        <v>Oui</v>
      </c>
      <c r="CG5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2" s="262" t="str">
        <f>T_BilanSocial[[#This Row],[Nom]]&amp;T_BilanSocial[[#This Row],[Prenom]]</f>
        <v/>
      </c>
      <c r="CI52" s="262">
        <f>VLOOKUP(T_BilanSocial[[#This Row],[NumL]],T_Commission[#Data],COLUMN(T_Commission[Commentaire]),FALSE)</f>
        <v>0</v>
      </c>
      <c r="CJ52" s="262" t="str">
        <f>IF(VLOOKUP(T_BilanSocial[[#This Row],[NumL]],T_Commission[#Data],COLUMN(T_Commission[Encadrant Email]),FALSE)="","",VLOOKUP(T_BilanSocial[[#This Row],[NumL]],T_Commission[#Data],COLUMN(T_Commission[Encadrant Email]),FALSE))</f>
        <v/>
      </c>
      <c r="CK52" s="340" t="str">
        <f>IF(T_BilanSocial[[#This Row],[Final]]&lt;&gt;"",VLOOKUP(T_BilanSocial[[#This Row],[NumL]],T_suiviDi[#Data],COLUMN((T_suiviDi[Statut])),FALSE),"")</f>
        <v/>
      </c>
    </row>
    <row r="53" spans="1:89" s="106" customFormat="1" ht="24.75" customHeight="1" x14ac:dyDescent="0.25">
      <c r="A53" s="160">
        <v>50</v>
      </c>
      <c r="B53" s="161" t="str">
        <f t="shared" si="0"/>
        <v/>
      </c>
      <c r="C53" s="162" t="s">
        <v>3287</v>
      </c>
      <c r="D53" s="95" t="e">
        <f>IF(VLOOKUP(T_BilanSocial[[#This Row],[NumL]],T_TraitDi[#Data],COLUMN(T_TraitDi[[#This Row],[WebC]]),FALSE)="","",VLOOKUP(T_BilanSocial[[#This Row],[NumL]],T_TraitDi[#Data],COLUMN(T_TraitDi[[#This Row],[WebC]]),FALSE))</f>
        <v>#VALUE!</v>
      </c>
      <c r="E53" s="163" t="str">
        <f t="shared" si="1"/>
        <v>12 janvier 2021</v>
      </c>
      <c r="F53" s="96" t="str">
        <f>IF(T_BilanSocial[[#This Row],[Final]]&lt;&gt;"",VLOOKUP(T_BilanSocial[[#This Row],[NumL]],T_suiviDi[#Data],COLUMN((T_suiviDi[Civ.])),FALSE),"")</f>
        <v/>
      </c>
      <c r="G53" s="96" t="str">
        <f>IF(T_BilanSocial[[#This Row],[Final]]&lt;&gt;"",VLOOKUP(T_BilanSocial[[#This Row],[NumL]],T_suiviDi[#Data],COLUMN((T_suiviDi[Nom])),FALSE),"")</f>
        <v/>
      </c>
      <c r="H53" s="96" t="str">
        <f>IF(T_BilanSocial[[#This Row],[Final]]&lt;&gt;"",VLOOKUP(T_BilanSocial[[#This Row],[NumL]],T_suiviDi[#Data],COLUMN((T_suiviDi[Prénom])),FALSE),"")</f>
        <v/>
      </c>
      <c r="I53" s="96" t="str">
        <f>IFERROR(VLOOKUP(T_BilanSocial[[#This Row],[Zone_Bilan]],T_P_BilanSocial[#Data],COLUMN(T_P_BilanSocial[[#This Row],[Numero_SIHAM]]),FALSE),"")</f>
        <v/>
      </c>
      <c r="J53" s="96" t="str">
        <f>IFERROR(VLOOKUP(T_BilanSocial[[#This Row],[Zone_Bilan]],T_P_BilanSocial[#Data],COLUMN(T_P_BilanSocial[[#This Row],[Sexe]]),FALSE),"")</f>
        <v/>
      </c>
      <c r="K53" s="97" t="str">
        <f>IFERROR(VLOOKUP(T_BilanSocial[[#This Row],[Zone_Bilan]],T_P_BilanSocial[#Data],COLUMN(T_P_BilanSocial[[#This Row],[Categorie]]),FALSE),"")</f>
        <v/>
      </c>
      <c r="L53" s="96" t="str">
        <f>IFERROR(VLOOKUP(T_BilanSocial[[#This Row],[Zone_Bilan]],T_P_BilanSocial[#Data],COLUMN(T_P_BilanSocial[[#This Row],[Statut]]),FALSE),"")</f>
        <v/>
      </c>
      <c r="M53" s="96" t="str">
        <f>IFERROR(VLOOKUP(T_BilanSocial[[#This Row],[Zone_Bilan]],T_P_BilanSocial[#Data],COLUMN(T_P_BilanSocial[[#This Row],[Filiere]]),FALSE),"")</f>
        <v/>
      </c>
      <c r="N53" s="96" t="e">
        <f>VLOOKUP(T_BilanSocial[[#This Row],[NumL]],T_TraitDi[#Data],COLUMN(T_TraitDi[EXP]),FALSE)</f>
        <v>#N/A</v>
      </c>
      <c r="O53" s="96" t="e">
        <f>VLOOKUP(T_BilanSocial[[#This Row],[NumL]],T_TraitDi[#Data],COLUMN(T_TraitDi[FORM]),FALSE)</f>
        <v>#N/A</v>
      </c>
      <c r="P53" s="96" t="str">
        <f>IF(T_BilanSocial[[#This Row],[Final]]&lt;&gt;"",VLOOKUP(T_BilanSocial[[#This Row],[NumL]],T_suiviDi[#Data],COLUMN((T_suiviDi[Email])),FALSE),"")</f>
        <v/>
      </c>
      <c r="Q53" s="164" t="e">
        <f t="shared" si="7"/>
        <v>#N/A</v>
      </c>
      <c r="R53" s="164" t="e">
        <f t="shared" si="8"/>
        <v>#N/A</v>
      </c>
      <c r="S53" s="164" t="e">
        <f>IF(VLOOKUP(T_BilanSocial[[#This Row],[NumL]],T_suiviDi[#Data],COLUMN(T_suiviDi[[#This Row],[Service ]]),FALSE)="","",VLOOKUP(T_BilanSocial[[#This Row],[NumL]],T_suiviDi[#Data],COLUMN(T_suiviDi[[#This Row],[Service ]]),FALSE))</f>
        <v>#VALUE!</v>
      </c>
      <c r="T53" s="164" t="str">
        <f t="shared" si="2"/>
        <v>01 septembre 2021</v>
      </c>
      <c r="U53" s="164" t="str">
        <f t="shared" si="3"/>
        <v>30 novembre 2021</v>
      </c>
      <c r="V53" s="164" t="str">
        <f t="shared" si="9"/>
        <v>30 novembre 2021</v>
      </c>
      <c r="W53" s="176" t="e">
        <f>IF(VLOOKUP(T_BilanSocial[[#This Row],[NumL]],T_TraitDi[#Data],COLUMN(T_TraitDi[[#This Row],[M1]]),FALSE)="","",VLOOKUP(T_BilanSocial[[#This Row],[NumL]],T_TraitDi[#Data],COLUMN(T_TraitDi[[#This Row],[M1]]),FALSE))</f>
        <v>#VALUE!</v>
      </c>
      <c r="X53" s="176" t="e">
        <f>IF(VLOOKUP(T_BilanSocial[[#This Row],[NumL]],T_TraitDi[#Data],COLUMN(T_TraitDi[[#This Row],[M2]]),FALSE)="","",VLOOKUP(T_BilanSocial[[#This Row],[NumL]],T_TraitDi[#Data],COLUMN(T_TraitDi[[#This Row],[M2]]),FALSE))</f>
        <v>#VALUE!</v>
      </c>
      <c r="Y53" s="176" t="e">
        <f>IF(VLOOKUP(T_BilanSocial[[#This Row],[NumL]],T_TraitDi[#Data],COLUMN(T_TraitDi[[#This Row],[M3]]),FALSE)="","",VLOOKUP(T_BilanSocial[[#This Row],[NumL]],T_TraitDi[#Data],COLUMN(T_TraitDi[[#This Row],[M3]]),FALSE))</f>
        <v>#VALUE!</v>
      </c>
      <c r="Z53" s="176" t="str">
        <f t="shared" si="5"/>
        <v/>
      </c>
      <c r="AA53" s="176" t="e">
        <f>IF(VLOOKUP(T_BilanSocial[[#This Row],[NumL]],T_TraitDi[#Data],COLUMN(T_TraitDi[[#This Row],[M5]]),FALSE)="","",VLOOKUP(T_BilanSocial[[#This Row],[NumL]],T_TraitDi[#Data],COLUMN(T_TraitDi[[#This Row],[M5]]),FALSE))</f>
        <v>#VALUE!</v>
      </c>
      <c r="AB53" s="176" t="e">
        <f>IF(VLOOKUP(T_BilanSocial[[#This Row],[NumL]],T_TraitDi[#Data],COLUMN(T_TraitDi[[#This Row],[M6]]),FALSE)="","",VLOOKUP(T_BilanSocial[[#This Row],[NumL]],T_TraitDi[#Data],COLUMN(T_TraitDi[[#This Row],[M6]]),FALSE))</f>
        <v>#VALUE!</v>
      </c>
      <c r="AC53" s="165" t="e">
        <f t="shared" si="4"/>
        <v>#VALUE!</v>
      </c>
      <c r="AD53" s="188" t="str">
        <f>IFERROR(TEXT(VLOOKUP(T_BilanSocial[[#This Row],[NumL]],T_TraitDi[#Data],COLUMN(T_TraitDi[[#This Row],[Q2]]),FALSE),"###%"),"")</f>
        <v/>
      </c>
      <c r="AE53" s="97" t="e">
        <f>VLOOKUP(T_BilanSocial[[#This Row],[NumL]],T_TraitDi[#Data],COLUMN(T_TraitDi[[#This Row],[Reg Ponct]]),FALSE)</f>
        <v>#VALUE!</v>
      </c>
      <c r="AF53" s="97" t="e">
        <f>VLOOKUP(T_BilanSocial[NumL],T_TraitDi[#Data],COLUMN(T_TraitDi[[#This Row],[Jours flottants]]),FALSE)</f>
        <v>#VALUE!</v>
      </c>
      <c r="AG53" s="97" t="str">
        <f>IFERROR(VLOOKUP(T_BilanSocial[[#This Row],[NumL]],T_TraitDi[#Data],COLUMN(T_TraitDi[[#This Row],[Lundi]]),FALSE),"")</f>
        <v/>
      </c>
      <c r="AH53" s="172" t="e">
        <f>IF(VLOOKUP(T_BilanSocial[[#This Row],[NumL]],T_TraitDi[#Data],COLUMN(T_TraitDi[[#This Row],[Colonne3]]),FALSE)=0,"",TEXT(IFERROR(VLOOKUP(T_BilanSocial[[#This Row],[NumL]],T_TraitDi[#Data],COLUMN(T_TraitDi[[#This Row],[Colonne3]]),FALSE),""),"[hh]:mm"))</f>
        <v>#VALUE!</v>
      </c>
      <c r="AI53" s="172" t="e">
        <f>IF(VLOOKUP(T_BilanSocial[[#This Row],[NumL]],T_TraitDi[#Data],COLUMN(T_TraitDi[[#This Row],[Colonne4]]),FALSE)=0,"",TEXT(IFERROR(VLOOKUP(T_BilanSocial[[#This Row],[NumL]],T_TraitDi[#Data],COLUMN(T_TraitDi[[#This Row],[Colonne4]]),FALSE),""),"[hh]:mm"))</f>
        <v>#VALUE!</v>
      </c>
      <c r="AJ53" s="172" t="e">
        <f>IF(VLOOKUP(T_BilanSocial[[#This Row],[NumL]],T_TraitDi[#Data],COLUMN(T_TraitDi[[#This Row],[Colonne5]]),FALSE)=0,"",TEXT(IFERROR(VLOOKUP(T_BilanSocial[[#This Row],[NumL]],T_TraitDi[#Data],COLUMN(T_TraitDi[[#This Row],[Colonne5]]),FALSE),""),"[hh]:mm"))</f>
        <v>#VALUE!</v>
      </c>
      <c r="AK53" s="172" t="e">
        <f>IF(VLOOKUP(T_BilanSocial[[#This Row],[NumL]],T_TraitDi[#Data],COLUMN(T_TraitDi[[#This Row],[Colonne6]]),FALSE)=0,"",TEXT(IFERROR(VLOOKUP(T_BilanSocial[[#This Row],[NumL]],T_TraitDi[#Data],COLUMN(T_TraitDi[[#This Row],[Colonne6]]),FALSE),""),"[hh]:mm"))</f>
        <v>#VALUE!</v>
      </c>
      <c r="AL53" s="172" t="e">
        <f>IF(VLOOKUP(T_BilanSocial[[#This Row],[NumL]],T_TraitDi[#Data],COLUMN(T_TraitDi[[#This Row],[Colonne7]]),FALSE)=0,"",TEXT(IFERROR(VLOOKUP(T_BilanSocial[[#This Row],[NumL]],T_TraitDi[#Data],COLUMN(T_TraitDi[[#This Row],[Colonne7]]),FALSE),""),"[hh]:mm"))</f>
        <v>#VALUE!</v>
      </c>
      <c r="AM53" s="172" t="e">
        <f>IF(VLOOKUP(T_BilanSocial[[#This Row],[NumL]],T_TraitDi[#Data],COLUMN(T_TraitDi[[#This Row],[Colonne8]]),FALSE)=0,"",TEXT(IFERROR(VLOOKUP(T_BilanSocial[[#This Row],[NumL]],T_TraitDi[#Data],COLUMN(T_TraitDi[[#This Row],[Colonne8]]),FALSE),""),"[hh]:mm"))</f>
        <v>#VALUE!</v>
      </c>
      <c r="AN53" s="172" t="str">
        <f>IFERROR(VLOOKUP(T_BilanSocial[[#This Row],[NumL]],T_TraitDi[#Data],COLUMN(T_TraitDi[[#This Row],[Mardi]]),FALSE),"")</f>
        <v/>
      </c>
      <c r="AO53" s="172" t="e">
        <f>IF(VLOOKUP(T_BilanSocial[[#This Row],[NumL]],T_TraitDi[#Data],COLUMN(T_TraitDi[[#This Row],[Colonne1]]),FALSE)=0,"",TEXT(IFERROR(VLOOKUP(T_BilanSocial[[#This Row],[NumL]],T_TraitDi[#Data],COLUMN(T_TraitDi[[#This Row],[Colonne1]]),FALSE),""),"[hh]:mm"))</f>
        <v>#VALUE!</v>
      </c>
      <c r="AP53" s="172" t="e">
        <f>IF(VLOOKUP(T_BilanSocial[[#This Row],[NumL]],T_TraitDi[#Data],COLUMN(T_TraitDi[[#This Row],[Colonne9]]),FALSE)=0,"",TEXT(IFERROR(VLOOKUP(T_BilanSocial[[#This Row],[NumL]],T_TraitDi[#Data],COLUMN(T_TraitDi[[#This Row],[Colonne9]]),FALSE),""),"[hh]:mm"))</f>
        <v>#VALUE!</v>
      </c>
      <c r="AQ53" s="172" t="str">
        <f>IFERROR(VLOOKUP(T_BilanSocial[[#This Row],[NumL]],T_TraitDi[#Data],COLUMN(T_TraitDi[[#This Row],[Colonne10]]),FALSE),"")</f>
        <v/>
      </c>
      <c r="AR53" s="172" t="e">
        <f>IF(VLOOKUP(T_BilanSocial[[#This Row],[NumL]],T_TraitDi[#Data],COLUMN(T_TraitDi[[#This Row],[Colonne11]]),FALSE)=0,"",TEXT(IFERROR(VLOOKUP(T_BilanSocial[[#This Row],[NumL]],T_TraitDi[#Data],COLUMN(T_TraitDi[[#This Row],[Colonne11]]),FALSE),""),"[hh]:mm"))</f>
        <v>#VALUE!</v>
      </c>
      <c r="AS53" s="172" t="e">
        <f>IF(VLOOKUP(T_BilanSocial[[#This Row],[NumL]],T_TraitDi[#Data],COLUMN(T_TraitDi[[#This Row],[Colonne12]]),FALSE)=0,"",TEXT(IFERROR(VLOOKUP(T_BilanSocial[[#This Row],[NumL]],T_TraitDi[#Data],COLUMN(T_TraitDi[[#This Row],[Colonne12]]),FALSE),""),"[hh]:mm"))</f>
        <v>#VALUE!</v>
      </c>
      <c r="AT53" s="172" t="e">
        <f>IF(VLOOKUP(T_BilanSocial[[#This Row],[NumL]],T_TraitDi[#Data],COLUMN(T_TraitDi[[#This Row],[Colonne14]]),FALSE)=0,"",TEXT(IFERROR(VLOOKUP(T_BilanSocial[[#This Row],[NumL]],T_TraitDi[#Data],COLUMN(T_TraitDi[[#This Row],[Colonne14]]),FALSE),""),"[hh]:mm"))</f>
        <v>#VALUE!</v>
      </c>
      <c r="AU53" s="172" t="str">
        <f>IFERROR(VLOOKUP(T_BilanSocial[[#This Row],[NumL]],T_TraitDi[#Data],COLUMN(T_TraitDi[[#This Row],[Mercredi]]),FALSE),"")</f>
        <v/>
      </c>
      <c r="AV53" s="172" t="e">
        <f>IF(VLOOKUP(T_BilanSocial[[#This Row],[NumL]],T_TraitDi[#Data],COLUMN(T_TraitDi[[#This Row],[Colonne15]]),FALSE)=0,"",TEXT(IFERROR(VLOOKUP(T_BilanSocial[[#This Row],[NumL]],T_TraitDi[#Data],COLUMN(T_TraitDi[[#This Row],[Colonne15]]),FALSE),""),"[hh]:mm"))</f>
        <v>#VALUE!</v>
      </c>
      <c r="AW53" s="172" t="e">
        <f>IF(VLOOKUP(T_BilanSocial[[#This Row],[NumL]],T_TraitDi[#Data],COLUMN(T_TraitDi[[#This Row],[Colonne16]]),FALSE)=0,"",TEXT(IFERROR(VLOOKUP(T_BilanSocial[[#This Row],[NumL]],T_TraitDi[#Data],COLUMN(T_TraitDi[[#This Row],[Colonne16]]),FALSE),""),"[hh]:mm"))</f>
        <v>#VALUE!</v>
      </c>
      <c r="AX53" s="172" t="str">
        <f>IFERROR(VLOOKUP(T_BilanSocial[[#This Row],[NumL]],T_TraitDi[#Data],COLUMN(T_TraitDi[[#This Row],[Colonne17]]),FALSE),"")</f>
        <v/>
      </c>
      <c r="AY53" s="172" t="e">
        <f>IF(VLOOKUP(T_BilanSocial[[#This Row],[NumL]],T_TraitDi[#Data],COLUMN(T_TraitDi[[#This Row],[Colonne18]]),FALSE)=0,"",TEXT(IFERROR(VLOOKUP(T_BilanSocial[[#This Row],[NumL]],T_TraitDi[#Data],COLUMN(T_TraitDi[[#This Row],[Colonne18]]),FALSE),""),"[hh]:mm"))</f>
        <v>#VALUE!</v>
      </c>
      <c r="AZ53" s="172" t="e">
        <f>IF(VLOOKUP(T_BilanSocial[[#This Row],[NumL]],T_TraitDi[#Data],COLUMN(T_TraitDi[[#This Row],[Colonne19]]),FALSE)=0,"",TEXT(IFERROR(VLOOKUP(T_BilanSocial[[#This Row],[NumL]],T_TraitDi[#Data],COLUMN(T_TraitDi[[#This Row],[Colonne19]]),FALSE),""),"[hh]:mm"))</f>
        <v>#VALUE!</v>
      </c>
      <c r="BA53" s="172" t="e">
        <f>IF(VLOOKUP(T_BilanSocial[[#This Row],[NumL]],T_TraitDi[#Data],COLUMN(T_TraitDi[[#This Row],[Colonne20]]),FALSE)=0,"",TEXT(IFERROR(VLOOKUP(T_BilanSocial[[#This Row],[NumL]],T_TraitDi[#Data],COLUMN(T_TraitDi[[#This Row],[Colonne20]]),FALSE),""),"[hh]:mm"))</f>
        <v>#VALUE!</v>
      </c>
      <c r="BB53" s="178" t="str">
        <f>IFERROR(VLOOKUP(T_BilanSocial[[#This Row],[NumL]],T_TraitDi[#Data],COLUMN(T_TraitDi[[#This Row],[Jeudi]]),FALSE),"")</f>
        <v/>
      </c>
      <c r="BC53" s="178" t="e">
        <f>IF(VLOOKUP(T_BilanSocial[[#This Row],[NumL]],T_TraitDi[#Data],COLUMN(T_TraitDi[[#This Row],[Colonne21]]),FALSE)=0,"",TEXT(IFERROR(VLOOKUP(T_BilanSocial[[#This Row],[NumL]],T_TraitDi[#Data],COLUMN(T_TraitDi[[#This Row],[Colonne21]]),FALSE),""),"[hh]:mm"))</f>
        <v>#VALUE!</v>
      </c>
      <c r="BD53" s="178" t="e">
        <f>IF(VLOOKUP(T_BilanSocial[[#This Row],[NumL]],T_TraitDi[#Data],COLUMN(T_TraitDi[[#This Row],[Colonne22]]),FALSE)=0,"",TEXT(IFERROR(VLOOKUP(T_BilanSocial[[#This Row],[NumL]],T_TraitDi[#Data],COLUMN(T_TraitDi[[#This Row],[Colonne22]]),FALSE),""),"[hh]:mm"))</f>
        <v>#VALUE!</v>
      </c>
      <c r="BE53" s="178" t="str">
        <f>IFERROR(VLOOKUP(T_BilanSocial[[#This Row],[NumL]],T_TraitDi[#Data],COLUMN(T_TraitDi[[#This Row],[Colonne23]]),FALSE),"")</f>
        <v/>
      </c>
      <c r="BF53" s="178" t="e">
        <f>IF(VLOOKUP(T_BilanSocial[[#This Row],[NumL]],T_TraitDi[#Data],COLUMN(T_TraitDi[[#This Row],[Colonne24]]),FALSE)=0,"",TEXT(IFERROR(VLOOKUP(T_BilanSocial[[#This Row],[NumL]],T_TraitDi[#Data],COLUMN(T_TraitDi[[#This Row],[Colonne24]]),FALSE),""),"[hh]:mm"))</f>
        <v>#VALUE!</v>
      </c>
      <c r="BG53" s="178" t="e">
        <f>IF(VLOOKUP(T_BilanSocial[[#This Row],[NumL]],T_TraitDi[#Data],COLUMN(T_TraitDi[[#This Row],[Colonne25]]),FALSE)=0,"",TEXT(IFERROR(VLOOKUP(T_BilanSocial[[#This Row],[NumL]],T_TraitDi[#Data],COLUMN(T_TraitDi[[#This Row],[Colonne25]]),FALSE),""),"[hh]:mm"))</f>
        <v>#VALUE!</v>
      </c>
      <c r="BH53" s="178" t="e">
        <f>IF(VLOOKUP(T_BilanSocial[[#This Row],[NumL]],T_TraitDi[#Data],COLUMN(T_TraitDi[[#This Row],[Colonne26]]),FALSE)=0,"",TEXT(IFERROR(VLOOKUP(T_BilanSocial[[#This Row],[NumL]],T_TraitDi[#Data],COLUMN(T_TraitDi[[#This Row],[Colonne26]]),FALSE),""),"[hh]:mm"))</f>
        <v>#VALUE!</v>
      </c>
      <c r="BI53" s="172" t="str">
        <f>IFERROR(VLOOKUP(T_BilanSocial[[#This Row],[NumL]],T_TraitDi[#Data],COLUMN(T_TraitDi[[#This Row],[Vendredi]]),FALSE),"")</f>
        <v/>
      </c>
      <c r="BJ53" s="172" t="e">
        <f>IF(VLOOKUP(T_BilanSocial[[#This Row],[NumL]],T_TraitDi[#Data],COLUMN(T_TraitDi[[#This Row],[Colonne27]]),FALSE)=0,"",TEXT(IFERROR(VLOOKUP(T_BilanSocial[[#This Row],[NumL]],T_TraitDi[#Data],COLUMN(T_TraitDi[[#This Row],[Colonne27]]),FALSE),""),"[hh]:mm"))</f>
        <v>#VALUE!</v>
      </c>
      <c r="BK53" s="172" t="e">
        <f>IF(VLOOKUP(T_BilanSocial[[#This Row],[NumL]],T_TraitDi[#Data],COLUMN(T_TraitDi[[#This Row],[Colonne28]]),FALSE)=0,"",TEXT(IFERROR(VLOOKUP(T_BilanSocial[[#This Row],[NumL]],T_TraitDi[#Data],COLUMN(T_TraitDi[[#This Row],[Colonne28]]),FALSE),""),"[hh]:mm"))</f>
        <v>#VALUE!</v>
      </c>
      <c r="BL53" s="172" t="str">
        <f>IFERROR(VLOOKUP(T_BilanSocial[[#This Row],[NumL]],T_TraitDi[#Data],COLUMN(T_TraitDi[[#This Row],[Colonne29]]),FALSE),"")</f>
        <v/>
      </c>
      <c r="BM53" s="172" t="e">
        <f>IF(VLOOKUP(T_BilanSocial[[#This Row],[NumL]],T_TraitDi[#Data],COLUMN(T_TraitDi[[#This Row],[Colonne30]]),FALSE)=0,"",TEXT(IFERROR(VLOOKUP(T_BilanSocial[[#This Row],[NumL]],T_TraitDi[#Data],COLUMN(T_TraitDi[[#This Row],[Colonne30]]),FALSE),""),"[hh]:mm"))</f>
        <v>#VALUE!</v>
      </c>
      <c r="BN53" s="172" t="e">
        <f>IF(VLOOKUP(T_BilanSocial[[#This Row],[NumL]],T_TraitDi[#Data],COLUMN(T_TraitDi[[#This Row],[Colonne31]]),FALSE)=0,"",TEXT(IFERROR(VLOOKUP(T_BilanSocial[[#This Row],[NumL]],T_TraitDi[#Data],COLUMN(T_TraitDi[[#This Row],[Colonne31]]),FALSE),""),"[hh]:mm"))</f>
        <v>#VALUE!</v>
      </c>
      <c r="BO53" s="172" t="e">
        <f>IF(VLOOKUP(T_BilanSocial[[#This Row],[NumL]],T_TraitDi[#Data],COLUMN(T_TraitDi[[#This Row],[Colonne32]]),FALSE)=0,"",TEXT(IFERROR(VLOOKUP(T_BilanSocial[[#This Row],[NumL]],T_TraitDi[#Data],COLUMN(T_TraitDi[[#This Row],[Colonne32]]),FALSE),""),"[hh]:mm"))</f>
        <v>#VALUE!</v>
      </c>
      <c r="BP53" s="172" t="e">
        <f>VLOOKUP(T_BilanSocial[[#This Row],[NumL]],T_TraitDi[#Data],COLUMN(T_TraitDi[NbJTot]),FALSE)</f>
        <v>#N/A</v>
      </c>
      <c r="BQ53" s="174" t="str">
        <f>IFERROR(VLOOKUP(T_BilanSocial[[#This Row],[NumL]],T_TraitDi[#Data],COLUMN(T_TraitDi[[#This Row],[NbJTW]]),FALSE),"")</f>
        <v/>
      </c>
      <c r="BR53" s="174" t="e">
        <f>IF(VLOOKUP(T_BilanSocial[[#This Row],[NumL]],T_TraitDi[#Data],COLUMN(T_TraitDi[[#This Row],[NbhTW]]),FALSE)=0,"",TEXT(IFERROR(VLOOKUP(T_BilanSocial[[#This Row],[NumL]],T_TraitDi[#Data],COLUMN(T_TraitDi[[#This Row],[NbhTW]]),FALSE),""),"[hh]:mm"))</f>
        <v>#VALUE!</v>
      </c>
      <c r="BS53" s="174" t="e">
        <f>IF(VLOOKUP(T_BilanSocial[[#This Row],[NumL]],T_TraitDi[#Data],COLUMN(T_TraitDi[[#This Row],[Nbhheb]]),FALSE)=0,"",TEXT(IFERROR(VLOOKUP($A53,T_TraitDi[#Data],COLUMN(T_TraitDi[[#This Row],[Nbhheb]]),FALSE),""),"[hh]:mm"))</f>
        <v>#VALUE!</v>
      </c>
      <c r="BT53" s="182" t="str">
        <f>IFERROR(VLOOKUP(VLOOKUP($A53,T_TraitDi[#Data],COLUMN(T_TraitDi[[#This Row],[Type1]]),FALSE),TypeTW,2,FALSE),"")</f>
        <v/>
      </c>
      <c r="BU53" s="182" t="str">
        <f>IFERROR(VLOOKUP($A53,T_TraitDi[#Data],COLUMN(T_TraitDi[[#This Row],[Rue1]]),FALSE),"")</f>
        <v/>
      </c>
      <c r="BV53" s="173" t="str">
        <f>IFERROR(VLOOKUP($A53,T_TraitDi[#Data],COLUMN(T_TraitDi[[#This Row],[CP1]]),FALSE),"")</f>
        <v/>
      </c>
      <c r="BW53" s="173" t="str">
        <f>IFERROR(VLOOKUP($A53,T_TraitDi[#Data],COLUMN(T_TraitDi[[#This Row],[VILLE1]]),FALSE),"")</f>
        <v/>
      </c>
      <c r="BX53" s="182" t="str">
        <f>IFERROR(VLOOKUP(VLOOKUP($A53,T_TraitDi[#Data],COLUMN(T_TraitDi[[#This Row],[Type2]]),FALSE),TypeTW,2,FALSE),"")</f>
        <v/>
      </c>
      <c r="BY53" s="182" t="str">
        <f>IFERROR(VLOOKUP($A53,T_TraitDi[#Data],COLUMN(T_TraitDi[[#This Row],[Rue2]]),FALSE),"")</f>
        <v/>
      </c>
      <c r="BZ53" s="173" t="str">
        <f>IFERROR(VLOOKUP($A53,T_TraitDi[#Data],COLUMN(T_TraitDi[[#This Row],[CP2]]),FALSE),"")</f>
        <v/>
      </c>
      <c r="CA53" s="173" t="str">
        <f>IFERROR(VLOOKUP($A53,T_TraitDi[#Data],COLUMN(T_TraitDi[[#This Row],[VILLE2]]),FALSE),"")</f>
        <v/>
      </c>
      <c r="CB53" s="182" t="str">
        <f>IF(VLOOKUP(T_BilanSocial[[#This Row],[NumL]],T_Equipement[#Data],COLUMN(T_Equipement[[#This Row],[PC]]),FALSE)="","Aucun équipement spécifique directement lié au télétravail",VLOOKUP(T_BilanSocial[[#This Row],[NumL]],T_Equipement[#Data],COLUMN(T_Equipement[[#This Row],[PC]]),FALSE))</f>
        <v xml:space="preserve">20-266	</v>
      </c>
      <c r="CC53" s="166" t="str">
        <f>IFERROR(IF(VLOOKUP(T_BilanSocial[[#This Row],[NumL]],T_TraitDi[#Data],COLUMN(T_TraitDi[[#This Row],[Plan]]),FALSE)="OK","Un planning spécifique de télétravail est annexé à la présente convention.",""),"")</f>
        <v/>
      </c>
      <c r="CD53" s="185"/>
      <c r="CE53" s="164" t="e">
        <f>IF(VLOOKUP(T_BilanSocial[[#This Row],[NumL]],T_suiviDi[#Data],COLUMN(T_suiviDi[[#This Row],[Entité]]),FALSE)="","",VLOOKUP(T_BilanSocial[[#This Row],[NumL]],T_suiviDi[#Data],COLUMN(T_suiviDi[[#This Row],[Entité]]),FALSE))</f>
        <v>#VALUE!</v>
      </c>
      <c r="CF53" s="164" t="str">
        <f>IF(VLOOKUP(T_BilanSocial[[#This Row],[NumL]],T_Commission[#Data],COLUMN(T_Commission[[#This Row],[envoi confirm TW]]),FALSE)="","",VLOOKUP(T_BilanSocial[[#This Row],[NumL]],T_Commission[#Data],COLUMN(T_Commission[[#This Row],[envoi confirm TW]]),FALSE))</f>
        <v>Oui</v>
      </c>
      <c r="CG5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3" s="262" t="str">
        <f>T_BilanSocial[[#This Row],[Nom]]&amp;T_BilanSocial[[#This Row],[Prenom]]</f>
        <v/>
      </c>
      <c r="CI53" s="262">
        <f>VLOOKUP(T_BilanSocial[[#This Row],[NumL]],T_Commission[#Data],COLUMN(T_Commission[Commentaire]),FALSE)</f>
        <v>0</v>
      </c>
      <c r="CJ53" s="262" t="str">
        <f>IF(VLOOKUP(T_BilanSocial[[#This Row],[NumL]],T_Commission[#Data],COLUMN(T_Commission[Encadrant Email]),FALSE)="","",VLOOKUP(T_BilanSocial[[#This Row],[NumL]],T_Commission[#Data],COLUMN(T_Commission[Encadrant Email]),FALSE))</f>
        <v/>
      </c>
      <c r="CK53" s="340" t="str">
        <f>IF(T_BilanSocial[[#This Row],[Final]]&lt;&gt;"",VLOOKUP(T_BilanSocial[[#This Row],[NumL]],T_suiviDi[#Data],COLUMN((T_suiviDi[Statut])),FALSE),"")</f>
        <v/>
      </c>
    </row>
    <row r="54" spans="1:89" s="106" customFormat="1" ht="24.75" customHeight="1" x14ac:dyDescent="0.25">
      <c r="A54" s="160">
        <v>51</v>
      </c>
      <c r="B54" s="161" t="str">
        <f t="shared" si="0"/>
        <v/>
      </c>
      <c r="C54" s="162" t="s">
        <v>173</v>
      </c>
      <c r="D54" s="95" t="e">
        <f>IF(VLOOKUP(T_BilanSocial[[#This Row],[NumL]],T_TraitDi[#Data],COLUMN(T_TraitDi[[#This Row],[WebC]]),FALSE)="","",VLOOKUP(T_BilanSocial[[#This Row],[NumL]],T_TraitDi[#Data],COLUMN(T_TraitDi[[#This Row],[WebC]]),FALSE))</f>
        <v>#VALUE!</v>
      </c>
      <c r="E54" s="163" t="str">
        <f t="shared" si="1"/>
        <v>12 janvier 2021</v>
      </c>
      <c r="F54" s="96" t="str">
        <f>IF(T_BilanSocial[[#This Row],[Final]]&lt;&gt;"",VLOOKUP(T_BilanSocial[[#This Row],[NumL]],T_suiviDi[#Data],COLUMN((T_suiviDi[Civ.])),FALSE),"")</f>
        <v/>
      </c>
      <c r="G54" s="96" t="str">
        <f>IF(T_BilanSocial[[#This Row],[Final]]&lt;&gt;"",VLOOKUP(T_BilanSocial[[#This Row],[NumL]],T_suiviDi[#Data],COLUMN((T_suiviDi[Nom])),FALSE),"")</f>
        <v/>
      </c>
      <c r="H54" s="96" t="str">
        <f>IF(T_BilanSocial[[#This Row],[Final]]&lt;&gt;"",VLOOKUP(T_BilanSocial[[#This Row],[NumL]],T_suiviDi[#Data],COLUMN((T_suiviDi[Prénom])),FALSE),"")</f>
        <v/>
      </c>
      <c r="I54" s="96" t="str">
        <f>IFERROR(VLOOKUP(T_BilanSocial[[#This Row],[Zone_Bilan]],T_P_BilanSocial[#Data],COLUMN(T_P_BilanSocial[[#This Row],[Numero_SIHAM]]),FALSE),"")</f>
        <v/>
      </c>
      <c r="J54" s="96" t="str">
        <f>IFERROR(VLOOKUP(T_BilanSocial[[#This Row],[Zone_Bilan]],T_P_BilanSocial[#Data],COLUMN(T_P_BilanSocial[[#This Row],[Sexe]]),FALSE),"")</f>
        <v/>
      </c>
      <c r="K54" s="97" t="str">
        <f>IFERROR(VLOOKUP(T_BilanSocial[[#This Row],[Zone_Bilan]],T_P_BilanSocial[#Data],COLUMN(T_P_BilanSocial[[#This Row],[Categorie]]),FALSE),"")</f>
        <v/>
      </c>
      <c r="L54" s="96" t="str">
        <f>IFERROR(VLOOKUP(T_BilanSocial[[#This Row],[Zone_Bilan]],T_P_BilanSocial[#Data],COLUMN(T_P_BilanSocial[[#This Row],[Statut]]),FALSE),"")</f>
        <v/>
      </c>
      <c r="M54" s="96" t="str">
        <f>IFERROR(VLOOKUP(T_BilanSocial[[#This Row],[Zone_Bilan]],T_P_BilanSocial[#Data],COLUMN(T_P_BilanSocial[[#This Row],[Filiere]]),FALSE),"")</f>
        <v/>
      </c>
      <c r="N54" s="96" t="e">
        <f>VLOOKUP(T_BilanSocial[[#This Row],[NumL]],T_TraitDi[#Data],COLUMN(T_TraitDi[EXP]),FALSE)</f>
        <v>#N/A</v>
      </c>
      <c r="O54" s="96" t="e">
        <f>VLOOKUP(T_BilanSocial[[#This Row],[NumL]],T_TraitDi[#Data],COLUMN(T_TraitDi[FORM]),FALSE)</f>
        <v>#N/A</v>
      </c>
      <c r="P54" s="96" t="str">
        <f>IF(T_BilanSocial[[#This Row],[Final]]&lt;&gt;"",VLOOKUP(T_BilanSocial[[#This Row],[NumL]],T_suiviDi[#Data],COLUMN((T_suiviDi[Email])),FALSE),"")</f>
        <v/>
      </c>
      <c r="Q54" s="164" t="e">
        <f t="shared" si="7"/>
        <v>#N/A</v>
      </c>
      <c r="R54" s="164" t="e">
        <f t="shared" si="8"/>
        <v>#N/A</v>
      </c>
      <c r="S54" s="164" t="e">
        <f>IF(VLOOKUP(T_BilanSocial[[#This Row],[NumL]],T_suiviDi[#Data],COLUMN(T_suiviDi[[#This Row],[Service ]]),FALSE)="","",VLOOKUP(T_BilanSocial[[#This Row],[NumL]],T_suiviDi[#Data],COLUMN(T_suiviDi[[#This Row],[Service ]]),FALSE))</f>
        <v>#VALUE!</v>
      </c>
      <c r="T54" s="164" t="str">
        <f t="shared" si="2"/>
        <v>01 septembre 2021</v>
      </c>
      <c r="U54" s="164" t="str">
        <f t="shared" si="3"/>
        <v>30 novembre 2021</v>
      </c>
      <c r="V54" s="164" t="str">
        <f t="shared" si="9"/>
        <v>30 novembre 2021</v>
      </c>
      <c r="W54" s="176" t="e">
        <f>IF(VLOOKUP(T_BilanSocial[[#This Row],[NumL]],T_TraitDi[#Data],COLUMN(T_TraitDi[[#This Row],[M1]]),FALSE)="","",VLOOKUP(T_BilanSocial[[#This Row],[NumL]],T_TraitDi[#Data],COLUMN(T_TraitDi[[#This Row],[M1]]),FALSE))</f>
        <v>#VALUE!</v>
      </c>
      <c r="X54" s="176" t="e">
        <f>IF(VLOOKUP(T_BilanSocial[[#This Row],[NumL]],T_TraitDi[#Data],COLUMN(T_TraitDi[[#This Row],[M2]]),FALSE)="","",VLOOKUP(T_BilanSocial[[#This Row],[NumL]],T_TraitDi[#Data],COLUMN(T_TraitDi[[#This Row],[M2]]),FALSE))</f>
        <v>#VALUE!</v>
      </c>
      <c r="Y54" s="176" t="e">
        <f>IF(VLOOKUP(T_BilanSocial[[#This Row],[NumL]],T_TraitDi[#Data],COLUMN(T_TraitDi[[#This Row],[M3]]),FALSE)="","",VLOOKUP(T_BilanSocial[[#This Row],[NumL]],T_TraitDi[#Data],COLUMN(T_TraitDi[[#This Row],[M3]]),FALSE))</f>
        <v>#VALUE!</v>
      </c>
      <c r="Z54" s="176" t="str">
        <f t="shared" si="5"/>
        <v/>
      </c>
      <c r="AA54" s="176" t="e">
        <f>IF(VLOOKUP(T_BilanSocial[[#This Row],[NumL]],T_TraitDi[#Data],COLUMN(T_TraitDi[[#This Row],[M5]]),FALSE)="","",VLOOKUP(T_BilanSocial[[#This Row],[NumL]],T_TraitDi[#Data],COLUMN(T_TraitDi[[#This Row],[M5]]),FALSE))</f>
        <v>#VALUE!</v>
      </c>
      <c r="AB54" s="176" t="e">
        <f>IF(VLOOKUP(T_BilanSocial[[#This Row],[NumL]],T_TraitDi[#Data],COLUMN(T_TraitDi[[#This Row],[M6]]),FALSE)="","",VLOOKUP(T_BilanSocial[[#This Row],[NumL]],T_TraitDi[#Data],COLUMN(T_TraitDi[[#This Row],[M6]]),FALSE))</f>
        <v>#VALUE!</v>
      </c>
      <c r="AC54" s="165" t="e">
        <f t="shared" si="4"/>
        <v>#VALUE!</v>
      </c>
      <c r="AD54" s="188" t="str">
        <f>IFERROR(TEXT(VLOOKUP(T_BilanSocial[[#This Row],[NumL]],T_TraitDi[#Data],COLUMN(T_TraitDi[[#This Row],[Q2]]),FALSE),"###%"),"")</f>
        <v/>
      </c>
      <c r="AE54" s="97" t="e">
        <f>VLOOKUP(T_BilanSocial[[#This Row],[NumL]],T_TraitDi[#Data],COLUMN(T_TraitDi[[#This Row],[Reg Ponct]]),FALSE)</f>
        <v>#VALUE!</v>
      </c>
      <c r="AF54" s="97" t="e">
        <f>VLOOKUP(T_BilanSocial[NumL],T_TraitDi[#Data],COLUMN(T_TraitDi[[#This Row],[Jours flottants]]),FALSE)</f>
        <v>#VALUE!</v>
      </c>
      <c r="AG54" s="97" t="str">
        <f>IFERROR(VLOOKUP(T_BilanSocial[[#This Row],[NumL]],T_TraitDi[#Data],COLUMN(T_TraitDi[[#This Row],[Lundi]]),FALSE),"")</f>
        <v/>
      </c>
      <c r="AH54" s="172" t="e">
        <f>IF(VLOOKUP(T_BilanSocial[[#This Row],[NumL]],T_TraitDi[#Data],COLUMN(T_TraitDi[[#This Row],[Colonne3]]),FALSE)=0,"",TEXT(IFERROR(VLOOKUP(T_BilanSocial[[#This Row],[NumL]],T_TraitDi[#Data],COLUMN(T_TraitDi[[#This Row],[Colonne3]]),FALSE),""),"[hh]:mm"))</f>
        <v>#VALUE!</v>
      </c>
      <c r="AI54" s="172" t="e">
        <f>IF(VLOOKUP(T_BilanSocial[[#This Row],[NumL]],T_TraitDi[#Data],COLUMN(T_TraitDi[[#This Row],[Colonne4]]),FALSE)=0,"",TEXT(IFERROR(VLOOKUP(T_BilanSocial[[#This Row],[NumL]],T_TraitDi[#Data],COLUMN(T_TraitDi[[#This Row],[Colonne4]]),FALSE),""),"[hh]:mm"))</f>
        <v>#VALUE!</v>
      </c>
      <c r="AJ54" s="172" t="e">
        <f>IF(VLOOKUP(T_BilanSocial[[#This Row],[NumL]],T_TraitDi[#Data],COLUMN(T_TraitDi[[#This Row],[Colonne5]]),FALSE)=0,"",TEXT(IFERROR(VLOOKUP(T_BilanSocial[[#This Row],[NumL]],T_TraitDi[#Data],COLUMN(T_TraitDi[[#This Row],[Colonne5]]),FALSE),""),"[hh]:mm"))</f>
        <v>#VALUE!</v>
      </c>
      <c r="AK54" s="172" t="e">
        <f>IF(VLOOKUP(T_BilanSocial[[#This Row],[NumL]],T_TraitDi[#Data],COLUMN(T_TraitDi[[#This Row],[Colonne6]]),FALSE)=0,"",TEXT(IFERROR(VLOOKUP(T_BilanSocial[[#This Row],[NumL]],T_TraitDi[#Data],COLUMN(T_TraitDi[[#This Row],[Colonne6]]),FALSE),""),"[hh]:mm"))</f>
        <v>#VALUE!</v>
      </c>
      <c r="AL54" s="172" t="e">
        <f>IF(VLOOKUP(T_BilanSocial[[#This Row],[NumL]],T_TraitDi[#Data],COLUMN(T_TraitDi[[#This Row],[Colonne7]]),FALSE)=0,"",TEXT(IFERROR(VLOOKUP(T_BilanSocial[[#This Row],[NumL]],T_TraitDi[#Data],COLUMN(T_TraitDi[[#This Row],[Colonne7]]),FALSE),""),"[hh]:mm"))</f>
        <v>#VALUE!</v>
      </c>
      <c r="AM54" s="172" t="e">
        <f>IF(VLOOKUP(T_BilanSocial[[#This Row],[NumL]],T_TraitDi[#Data],COLUMN(T_TraitDi[[#This Row],[Colonne8]]),FALSE)=0,"",TEXT(IFERROR(VLOOKUP(T_BilanSocial[[#This Row],[NumL]],T_TraitDi[#Data],COLUMN(T_TraitDi[[#This Row],[Colonne8]]),FALSE),""),"[hh]:mm"))</f>
        <v>#VALUE!</v>
      </c>
      <c r="AN54" s="172" t="str">
        <f>IFERROR(VLOOKUP(T_BilanSocial[[#This Row],[NumL]],T_TraitDi[#Data],COLUMN(T_TraitDi[[#This Row],[Mardi]]),FALSE),"")</f>
        <v/>
      </c>
      <c r="AO54" s="172" t="e">
        <f>IF(VLOOKUP(T_BilanSocial[[#This Row],[NumL]],T_TraitDi[#Data],COLUMN(T_TraitDi[[#This Row],[Colonne1]]),FALSE)=0,"",TEXT(IFERROR(VLOOKUP(T_BilanSocial[[#This Row],[NumL]],T_TraitDi[#Data],COLUMN(T_TraitDi[[#This Row],[Colonne1]]),FALSE),""),"[hh]:mm"))</f>
        <v>#VALUE!</v>
      </c>
      <c r="AP54" s="172" t="e">
        <f>IF(VLOOKUP(T_BilanSocial[[#This Row],[NumL]],T_TraitDi[#Data],COLUMN(T_TraitDi[[#This Row],[Colonne9]]),FALSE)=0,"",TEXT(IFERROR(VLOOKUP(T_BilanSocial[[#This Row],[NumL]],T_TraitDi[#Data],COLUMN(T_TraitDi[[#This Row],[Colonne9]]),FALSE),""),"[hh]:mm"))</f>
        <v>#VALUE!</v>
      </c>
      <c r="AQ54" s="172" t="str">
        <f>IFERROR(VLOOKUP(T_BilanSocial[[#This Row],[NumL]],T_TraitDi[#Data],COLUMN(T_TraitDi[[#This Row],[Colonne10]]),FALSE),"")</f>
        <v/>
      </c>
      <c r="AR54" s="172" t="e">
        <f>IF(VLOOKUP(T_BilanSocial[[#This Row],[NumL]],T_TraitDi[#Data],COLUMN(T_TraitDi[[#This Row],[Colonne11]]),FALSE)=0,"",TEXT(IFERROR(VLOOKUP(T_BilanSocial[[#This Row],[NumL]],T_TraitDi[#Data],COLUMN(T_TraitDi[[#This Row],[Colonne11]]),FALSE),""),"[hh]:mm"))</f>
        <v>#VALUE!</v>
      </c>
      <c r="AS54" s="172" t="e">
        <f>IF(VLOOKUP(T_BilanSocial[[#This Row],[NumL]],T_TraitDi[#Data],COLUMN(T_TraitDi[[#This Row],[Colonne12]]),FALSE)=0,"",TEXT(IFERROR(VLOOKUP(T_BilanSocial[[#This Row],[NumL]],T_TraitDi[#Data],COLUMN(T_TraitDi[[#This Row],[Colonne12]]),FALSE),""),"[hh]:mm"))</f>
        <v>#VALUE!</v>
      </c>
      <c r="AT54" s="172" t="e">
        <f>IF(VLOOKUP(T_BilanSocial[[#This Row],[NumL]],T_TraitDi[#Data],COLUMN(T_TraitDi[[#This Row],[Colonne14]]),FALSE)=0,"",TEXT(IFERROR(VLOOKUP(T_BilanSocial[[#This Row],[NumL]],T_TraitDi[#Data],COLUMN(T_TraitDi[[#This Row],[Colonne14]]),FALSE),""),"[hh]:mm"))</f>
        <v>#VALUE!</v>
      </c>
      <c r="AU54" s="172" t="str">
        <f>IFERROR(VLOOKUP(T_BilanSocial[[#This Row],[NumL]],T_TraitDi[#Data],COLUMN(T_TraitDi[[#This Row],[Mercredi]]),FALSE),"")</f>
        <v/>
      </c>
      <c r="AV54" s="172" t="e">
        <f>IF(VLOOKUP(T_BilanSocial[[#This Row],[NumL]],T_TraitDi[#Data],COLUMN(T_TraitDi[[#This Row],[Colonne15]]),FALSE)=0,"",TEXT(IFERROR(VLOOKUP(T_BilanSocial[[#This Row],[NumL]],T_TraitDi[#Data],COLUMN(T_TraitDi[[#This Row],[Colonne15]]),FALSE),""),"[hh]:mm"))</f>
        <v>#VALUE!</v>
      </c>
      <c r="AW54" s="172" t="e">
        <f>IF(VLOOKUP(T_BilanSocial[[#This Row],[NumL]],T_TraitDi[#Data],COLUMN(T_TraitDi[[#This Row],[Colonne16]]),FALSE)=0,"",TEXT(IFERROR(VLOOKUP(T_BilanSocial[[#This Row],[NumL]],T_TraitDi[#Data],COLUMN(T_TraitDi[[#This Row],[Colonne16]]),FALSE),""),"[hh]:mm"))</f>
        <v>#VALUE!</v>
      </c>
      <c r="AX54" s="172" t="str">
        <f>IFERROR(VLOOKUP(T_BilanSocial[[#This Row],[NumL]],T_TraitDi[#Data],COLUMN(T_TraitDi[[#This Row],[Colonne17]]),FALSE),"")</f>
        <v/>
      </c>
      <c r="AY54" s="172" t="e">
        <f>IF(VLOOKUP(T_BilanSocial[[#This Row],[NumL]],T_TraitDi[#Data],COLUMN(T_TraitDi[[#This Row],[Colonne18]]),FALSE)=0,"",TEXT(IFERROR(VLOOKUP(T_BilanSocial[[#This Row],[NumL]],T_TraitDi[#Data],COLUMN(T_TraitDi[[#This Row],[Colonne18]]),FALSE),""),"[hh]:mm"))</f>
        <v>#VALUE!</v>
      </c>
      <c r="AZ54" s="172" t="e">
        <f>IF(VLOOKUP(T_BilanSocial[[#This Row],[NumL]],T_TraitDi[#Data],COLUMN(T_TraitDi[[#This Row],[Colonne19]]),FALSE)=0,"",TEXT(IFERROR(VLOOKUP(T_BilanSocial[[#This Row],[NumL]],T_TraitDi[#Data],COLUMN(T_TraitDi[[#This Row],[Colonne19]]),FALSE),""),"[hh]:mm"))</f>
        <v>#VALUE!</v>
      </c>
      <c r="BA54" s="172" t="e">
        <f>IF(VLOOKUP(T_BilanSocial[[#This Row],[NumL]],T_TraitDi[#Data],COLUMN(T_TraitDi[[#This Row],[Colonne20]]),FALSE)=0,"",TEXT(IFERROR(VLOOKUP(T_BilanSocial[[#This Row],[NumL]],T_TraitDi[#Data],COLUMN(T_TraitDi[[#This Row],[Colonne20]]),FALSE),""),"[hh]:mm"))</f>
        <v>#VALUE!</v>
      </c>
      <c r="BB54" s="178" t="str">
        <f>IFERROR(VLOOKUP(T_BilanSocial[[#This Row],[NumL]],T_TraitDi[#Data],COLUMN(T_TraitDi[[#This Row],[Jeudi]]),FALSE),"")</f>
        <v/>
      </c>
      <c r="BC54" s="178" t="e">
        <f>IF(VLOOKUP(T_BilanSocial[[#This Row],[NumL]],T_TraitDi[#Data],COLUMN(T_TraitDi[[#This Row],[Colonne21]]),FALSE)=0,"",TEXT(IFERROR(VLOOKUP(T_BilanSocial[[#This Row],[NumL]],T_TraitDi[#Data],COLUMN(T_TraitDi[[#This Row],[Colonne21]]),FALSE),""),"[hh]:mm"))</f>
        <v>#VALUE!</v>
      </c>
      <c r="BD54" s="178" t="e">
        <f>IF(VLOOKUP(T_BilanSocial[[#This Row],[NumL]],T_TraitDi[#Data],COLUMN(T_TraitDi[[#This Row],[Colonne22]]),FALSE)=0,"",TEXT(IFERROR(VLOOKUP(T_BilanSocial[[#This Row],[NumL]],T_TraitDi[#Data],COLUMN(T_TraitDi[[#This Row],[Colonne22]]),FALSE),""),"[hh]:mm"))</f>
        <v>#VALUE!</v>
      </c>
      <c r="BE54" s="178" t="str">
        <f>IFERROR(VLOOKUP(T_BilanSocial[[#This Row],[NumL]],T_TraitDi[#Data],COLUMN(T_TraitDi[[#This Row],[Colonne23]]),FALSE),"")</f>
        <v/>
      </c>
      <c r="BF54" s="178" t="e">
        <f>IF(VLOOKUP(T_BilanSocial[[#This Row],[NumL]],T_TraitDi[#Data],COLUMN(T_TraitDi[[#This Row],[Colonne24]]),FALSE)=0,"",TEXT(IFERROR(VLOOKUP(T_BilanSocial[[#This Row],[NumL]],T_TraitDi[#Data],COLUMN(T_TraitDi[[#This Row],[Colonne24]]),FALSE),""),"[hh]:mm"))</f>
        <v>#VALUE!</v>
      </c>
      <c r="BG54" s="178" t="e">
        <f>IF(VLOOKUP(T_BilanSocial[[#This Row],[NumL]],T_TraitDi[#Data],COLUMN(T_TraitDi[[#This Row],[Colonne25]]),FALSE)=0,"",TEXT(IFERROR(VLOOKUP(T_BilanSocial[[#This Row],[NumL]],T_TraitDi[#Data],COLUMN(T_TraitDi[[#This Row],[Colonne25]]),FALSE),""),"[hh]:mm"))</f>
        <v>#VALUE!</v>
      </c>
      <c r="BH54" s="178" t="e">
        <f>IF(VLOOKUP(T_BilanSocial[[#This Row],[NumL]],T_TraitDi[#Data],COLUMN(T_TraitDi[[#This Row],[Colonne26]]),FALSE)=0,"",TEXT(IFERROR(VLOOKUP(T_BilanSocial[[#This Row],[NumL]],T_TraitDi[#Data],COLUMN(T_TraitDi[[#This Row],[Colonne26]]),FALSE),""),"[hh]:mm"))</f>
        <v>#VALUE!</v>
      </c>
      <c r="BI54" s="172" t="str">
        <f>IFERROR(VLOOKUP(T_BilanSocial[[#This Row],[NumL]],T_TraitDi[#Data],COLUMN(T_TraitDi[[#This Row],[Vendredi]]),FALSE),"")</f>
        <v/>
      </c>
      <c r="BJ54" s="172" t="e">
        <f>IF(VLOOKUP(T_BilanSocial[[#This Row],[NumL]],T_TraitDi[#Data],COLUMN(T_TraitDi[[#This Row],[Colonne27]]),FALSE)=0,"",TEXT(IFERROR(VLOOKUP(T_BilanSocial[[#This Row],[NumL]],T_TraitDi[#Data],COLUMN(T_TraitDi[[#This Row],[Colonne27]]),FALSE),""),"[hh]:mm"))</f>
        <v>#VALUE!</v>
      </c>
      <c r="BK54" s="172" t="e">
        <f>IF(VLOOKUP(T_BilanSocial[[#This Row],[NumL]],T_TraitDi[#Data],COLUMN(T_TraitDi[[#This Row],[Colonne28]]),FALSE)=0,"",TEXT(IFERROR(VLOOKUP(T_BilanSocial[[#This Row],[NumL]],T_TraitDi[#Data],COLUMN(T_TraitDi[[#This Row],[Colonne28]]),FALSE),""),"[hh]:mm"))</f>
        <v>#VALUE!</v>
      </c>
      <c r="BL54" s="172" t="str">
        <f>IFERROR(VLOOKUP(T_BilanSocial[[#This Row],[NumL]],T_TraitDi[#Data],COLUMN(T_TraitDi[[#This Row],[Colonne29]]),FALSE),"")</f>
        <v/>
      </c>
      <c r="BM54" s="172" t="e">
        <f>IF(VLOOKUP(T_BilanSocial[[#This Row],[NumL]],T_TraitDi[#Data],COLUMN(T_TraitDi[[#This Row],[Colonne30]]),FALSE)=0,"",TEXT(IFERROR(VLOOKUP(T_BilanSocial[[#This Row],[NumL]],T_TraitDi[#Data],COLUMN(T_TraitDi[[#This Row],[Colonne30]]),FALSE),""),"[hh]:mm"))</f>
        <v>#VALUE!</v>
      </c>
      <c r="BN54" s="172" t="e">
        <f>IF(VLOOKUP(T_BilanSocial[[#This Row],[NumL]],T_TraitDi[#Data],COLUMN(T_TraitDi[[#This Row],[Colonne31]]),FALSE)=0,"",TEXT(IFERROR(VLOOKUP(T_BilanSocial[[#This Row],[NumL]],T_TraitDi[#Data],COLUMN(T_TraitDi[[#This Row],[Colonne31]]),FALSE),""),"[hh]:mm"))</f>
        <v>#VALUE!</v>
      </c>
      <c r="BO54" s="172" t="e">
        <f>IF(VLOOKUP(T_BilanSocial[[#This Row],[NumL]],T_TraitDi[#Data],COLUMN(T_TraitDi[[#This Row],[Colonne32]]),FALSE)=0,"",TEXT(IFERROR(VLOOKUP(T_BilanSocial[[#This Row],[NumL]],T_TraitDi[#Data],COLUMN(T_TraitDi[[#This Row],[Colonne32]]),FALSE),""),"[hh]:mm"))</f>
        <v>#VALUE!</v>
      </c>
      <c r="BP54" s="172" t="e">
        <f>VLOOKUP(T_BilanSocial[[#This Row],[NumL]],T_TraitDi[#Data],COLUMN(T_TraitDi[NbJTot]),FALSE)</f>
        <v>#N/A</v>
      </c>
      <c r="BQ54" s="174" t="str">
        <f>IFERROR(VLOOKUP(T_BilanSocial[[#This Row],[NumL]],T_TraitDi[#Data],COLUMN(T_TraitDi[[#This Row],[NbJTW]]),FALSE),"")</f>
        <v/>
      </c>
      <c r="BR54" s="174" t="e">
        <f>IF(VLOOKUP(T_BilanSocial[[#This Row],[NumL]],T_TraitDi[#Data],COLUMN(T_TraitDi[[#This Row],[NbhTW]]),FALSE)=0,"",TEXT(IFERROR(VLOOKUP(T_BilanSocial[[#This Row],[NumL]],T_TraitDi[#Data],COLUMN(T_TraitDi[[#This Row],[NbhTW]]),FALSE),""),"[hh]:mm"))</f>
        <v>#VALUE!</v>
      </c>
      <c r="BS54" s="174" t="e">
        <f>IF(VLOOKUP(T_BilanSocial[[#This Row],[NumL]],T_TraitDi[#Data],COLUMN(T_TraitDi[[#This Row],[Nbhheb]]),FALSE)=0,"",TEXT(IFERROR(VLOOKUP($A54,T_TraitDi[#Data],COLUMN(T_TraitDi[[#This Row],[Nbhheb]]),FALSE),""),"[hh]:mm"))</f>
        <v>#VALUE!</v>
      </c>
      <c r="BT54" s="182" t="str">
        <f>IFERROR(VLOOKUP(VLOOKUP($A54,T_TraitDi[#Data],COLUMN(T_TraitDi[[#This Row],[Type1]]),FALSE),TypeTW,2,FALSE),"")</f>
        <v/>
      </c>
      <c r="BU54" s="182" t="str">
        <f>IFERROR(VLOOKUP($A54,T_TraitDi[#Data],COLUMN(T_TraitDi[[#This Row],[Rue1]]),FALSE),"")</f>
        <v/>
      </c>
      <c r="BV54" s="173" t="str">
        <f>IFERROR(VLOOKUP($A54,T_TraitDi[#Data],COLUMN(T_TraitDi[[#This Row],[CP1]]),FALSE),"")</f>
        <v/>
      </c>
      <c r="BW54" s="173" t="str">
        <f>IFERROR(VLOOKUP($A54,T_TraitDi[#Data],COLUMN(T_TraitDi[[#This Row],[VILLE1]]),FALSE),"")</f>
        <v/>
      </c>
      <c r="BX54" s="182" t="str">
        <f>IFERROR(VLOOKUP(VLOOKUP($A54,T_TraitDi[#Data],COLUMN(T_TraitDi[[#This Row],[Type2]]),FALSE),TypeTW,2,FALSE),"")</f>
        <v/>
      </c>
      <c r="BY54" s="182" t="str">
        <f>IFERROR(VLOOKUP($A54,T_TraitDi[#Data],COLUMN(T_TraitDi[[#This Row],[Rue2]]),FALSE),"")</f>
        <v/>
      </c>
      <c r="BZ54" s="173" t="str">
        <f>IFERROR(VLOOKUP($A54,T_TraitDi[#Data],COLUMN(T_TraitDi[[#This Row],[CP2]]),FALSE),"")</f>
        <v/>
      </c>
      <c r="CA54" s="173" t="str">
        <f>IFERROR(VLOOKUP($A54,T_TraitDi[#Data],COLUMN(T_TraitDi[[#This Row],[VILLE2]]),FALSE),"")</f>
        <v/>
      </c>
      <c r="CB54" s="182" t="str">
        <f>IF(VLOOKUP(T_BilanSocial[[#This Row],[NumL]],T_Equipement[#Data],COLUMN(T_Equipement[[#This Row],[PC]]),FALSE)="","Aucun équipement spécifique directement lié au télétravail",VLOOKUP(T_BilanSocial[[#This Row],[NumL]],T_Equipement[#Data],COLUMN(T_Equipement[[#This Row],[PC]]),FALSE))</f>
        <v xml:space="preserve">16-382	</v>
      </c>
      <c r="CC54" s="166" t="str">
        <f>IFERROR(IF(VLOOKUP(T_BilanSocial[[#This Row],[NumL]],T_TraitDi[#Data],COLUMN(T_TraitDi[[#This Row],[Plan]]),FALSE)="OK","Un planning spécifique de télétravail est annexé à la présente convention.",""),"")</f>
        <v/>
      </c>
      <c r="CD54" s="258" t="s">
        <v>3322</v>
      </c>
      <c r="CE54" s="164" t="e">
        <f>IF(VLOOKUP(T_BilanSocial[[#This Row],[NumL]],T_suiviDi[#Data],COLUMN(T_suiviDi[[#This Row],[Entité]]),FALSE)="","",VLOOKUP(T_BilanSocial[[#This Row],[NumL]],T_suiviDi[#Data],COLUMN(T_suiviDi[[#This Row],[Entité]]),FALSE))</f>
        <v>#VALUE!</v>
      </c>
      <c r="CF54" s="164" t="str">
        <f>IF(VLOOKUP(T_BilanSocial[[#This Row],[NumL]],T_Commission[#Data],COLUMN(T_Commission[[#This Row],[envoi confirm TW]]),FALSE)="","",VLOOKUP(T_BilanSocial[[#This Row],[NumL]],T_Commission[#Data],COLUMN(T_Commission[[#This Row],[envoi confirm TW]]),FALSE))</f>
        <v>Oui</v>
      </c>
      <c r="CG5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4" s="262" t="str">
        <f>T_BilanSocial[[#This Row],[Nom]]&amp;T_BilanSocial[[#This Row],[Prenom]]</f>
        <v/>
      </c>
      <c r="CI54" s="262">
        <f>VLOOKUP(T_BilanSocial[[#This Row],[NumL]],T_Commission[#Data],COLUMN(T_Commission[Commentaire]),FALSE)</f>
        <v>0</v>
      </c>
      <c r="CJ54" s="262" t="str">
        <f>IF(VLOOKUP(T_BilanSocial[[#This Row],[NumL]],T_Commission[#Data],COLUMN(T_Commission[Encadrant Email]),FALSE)="","",VLOOKUP(T_BilanSocial[[#This Row],[NumL]],T_Commission[#Data],COLUMN(T_Commission[Encadrant Email]),FALSE))</f>
        <v/>
      </c>
      <c r="CK54" s="340" t="str">
        <f>IF(T_BilanSocial[[#This Row],[Final]]&lt;&gt;"",VLOOKUP(T_BilanSocial[[#This Row],[NumL]],T_suiviDi[#Data],COLUMN((T_suiviDi[Statut])),FALSE),"")</f>
        <v/>
      </c>
    </row>
    <row r="55" spans="1:89" s="106" customFormat="1" ht="24.75" customHeight="1" x14ac:dyDescent="0.25">
      <c r="A55" s="160">
        <v>52</v>
      </c>
      <c r="B55" s="161" t="str">
        <f t="shared" si="0"/>
        <v/>
      </c>
      <c r="C55" s="162" t="s">
        <v>173</v>
      </c>
      <c r="D55" s="95" t="e">
        <f>IF(VLOOKUP(T_BilanSocial[[#This Row],[NumL]],T_TraitDi[#Data],COLUMN(T_TraitDi[[#This Row],[WebC]]),FALSE)="","",VLOOKUP(T_BilanSocial[[#This Row],[NumL]],T_TraitDi[#Data],COLUMN(T_TraitDi[[#This Row],[WebC]]),FALSE))</f>
        <v>#VALUE!</v>
      </c>
      <c r="E55" s="163" t="str">
        <f t="shared" si="1"/>
        <v>12 janvier 2021</v>
      </c>
      <c r="F55" s="96" t="str">
        <f>IF(T_BilanSocial[[#This Row],[Final]]&lt;&gt;"",VLOOKUP(T_BilanSocial[[#This Row],[NumL]],T_suiviDi[#Data],COLUMN((T_suiviDi[Civ.])),FALSE),"")</f>
        <v/>
      </c>
      <c r="G55" s="96" t="str">
        <f>IF(T_BilanSocial[[#This Row],[Final]]&lt;&gt;"",VLOOKUP(T_BilanSocial[[#This Row],[NumL]],T_suiviDi[#Data],COLUMN((T_suiviDi[Nom])),FALSE),"")</f>
        <v/>
      </c>
      <c r="H55" s="96" t="str">
        <f>IF(T_BilanSocial[[#This Row],[Final]]&lt;&gt;"",VLOOKUP(T_BilanSocial[[#This Row],[NumL]],T_suiviDi[#Data],COLUMN((T_suiviDi[Prénom])),FALSE),"")</f>
        <v/>
      </c>
      <c r="I55" s="96" t="str">
        <f>IFERROR(VLOOKUP(T_BilanSocial[[#This Row],[Zone_Bilan]],T_P_BilanSocial[#Data],COLUMN(T_P_BilanSocial[[#This Row],[Numero_SIHAM]]),FALSE),"")</f>
        <v/>
      </c>
      <c r="J55" s="96" t="str">
        <f>IFERROR(VLOOKUP(T_BilanSocial[[#This Row],[Zone_Bilan]],T_P_BilanSocial[#Data],COLUMN(T_P_BilanSocial[[#This Row],[Sexe]]),FALSE),"")</f>
        <v/>
      </c>
      <c r="K55" s="97" t="str">
        <f>IFERROR(VLOOKUP(T_BilanSocial[[#This Row],[Zone_Bilan]],T_P_BilanSocial[#Data],COLUMN(T_P_BilanSocial[[#This Row],[Categorie]]),FALSE),"")</f>
        <v/>
      </c>
      <c r="L55" s="96" t="str">
        <f>IFERROR(VLOOKUP(T_BilanSocial[[#This Row],[Zone_Bilan]],T_P_BilanSocial[#Data],COLUMN(T_P_BilanSocial[[#This Row],[Statut]]),FALSE),"")</f>
        <v/>
      </c>
      <c r="M55" s="96" t="str">
        <f>IFERROR(VLOOKUP(T_BilanSocial[[#This Row],[Zone_Bilan]],T_P_BilanSocial[#Data],COLUMN(T_P_BilanSocial[[#This Row],[Filiere]]),FALSE),"")</f>
        <v/>
      </c>
      <c r="N55" s="96" t="e">
        <f>VLOOKUP(T_BilanSocial[[#This Row],[NumL]],T_TraitDi[#Data],COLUMN(T_TraitDi[EXP]),FALSE)</f>
        <v>#N/A</v>
      </c>
      <c r="O55" s="96" t="e">
        <f>VLOOKUP(T_BilanSocial[[#This Row],[NumL]],T_TraitDi[#Data],COLUMN(T_TraitDi[FORM]),FALSE)</f>
        <v>#N/A</v>
      </c>
      <c r="P55" s="96" t="str">
        <f>IF(T_BilanSocial[[#This Row],[Final]]&lt;&gt;"",VLOOKUP(T_BilanSocial[[#This Row],[NumL]],T_suiviDi[#Data],COLUMN((T_suiviDi[Email])),FALSE),"")</f>
        <v/>
      </c>
      <c r="Q55" s="164" t="e">
        <f t="shared" si="7"/>
        <v>#N/A</v>
      </c>
      <c r="R55" s="164" t="e">
        <f t="shared" si="8"/>
        <v>#N/A</v>
      </c>
      <c r="S55" s="164" t="e">
        <f>IF(VLOOKUP(T_BilanSocial[[#This Row],[NumL]],T_suiviDi[#Data],COLUMN(T_suiviDi[[#This Row],[Service ]]),FALSE)="","",VLOOKUP(T_BilanSocial[[#This Row],[NumL]],T_suiviDi[#Data],COLUMN(T_suiviDi[[#This Row],[Service ]]),FALSE))</f>
        <v>#VALUE!</v>
      </c>
      <c r="T55" s="164" t="str">
        <f t="shared" si="2"/>
        <v>01 septembre 2021</v>
      </c>
      <c r="U55" s="164" t="str">
        <f t="shared" si="3"/>
        <v>30 novembre 2021</v>
      </c>
      <c r="V55" s="164" t="str">
        <f t="shared" si="9"/>
        <v>30 novembre 2021</v>
      </c>
      <c r="W55" s="176" t="e">
        <f>IF(VLOOKUP(T_BilanSocial[[#This Row],[NumL]],T_TraitDi[#Data],COLUMN(T_TraitDi[[#This Row],[M1]]),FALSE)="","",VLOOKUP(T_BilanSocial[[#This Row],[NumL]],T_TraitDi[#Data],COLUMN(T_TraitDi[[#This Row],[M1]]),FALSE))</f>
        <v>#VALUE!</v>
      </c>
      <c r="X55" s="176" t="e">
        <f>IF(VLOOKUP(T_BilanSocial[[#This Row],[NumL]],T_TraitDi[#Data],COLUMN(T_TraitDi[[#This Row],[M2]]),FALSE)="","",VLOOKUP(T_BilanSocial[[#This Row],[NumL]],T_TraitDi[#Data],COLUMN(T_TraitDi[[#This Row],[M2]]),FALSE))</f>
        <v>#VALUE!</v>
      </c>
      <c r="Y55" s="176" t="e">
        <f>IF(VLOOKUP(T_BilanSocial[[#This Row],[NumL]],T_TraitDi[#Data],COLUMN(T_TraitDi[[#This Row],[M3]]),FALSE)="","",VLOOKUP(T_BilanSocial[[#This Row],[NumL]],T_TraitDi[#Data],COLUMN(T_TraitDi[[#This Row],[M3]]),FALSE))</f>
        <v>#VALUE!</v>
      </c>
      <c r="Z55" s="176" t="str">
        <f t="shared" si="5"/>
        <v/>
      </c>
      <c r="AA55" s="176" t="e">
        <f>IF(VLOOKUP(T_BilanSocial[[#This Row],[NumL]],T_TraitDi[#Data],COLUMN(T_TraitDi[[#This Row],[M5]]),FALSE)="","",VLOOKUP(T_BilanSocial[[#This Row],[NumL]],T_TraitDi[#Data],COLUMN(T_TraitDi[[#This Row],[M5]]),FALSE))</f>
        <v>#VALUE!</v>
      </c>
      <c r="AB55" s="176" t="e">
        <f>IF(VLOOKUP(T_BilanSocial[[#This Row],[NumL]],T_TraitDi[#Data],COLUMN(T_TraitDi[[#This Row],[M6]]),FALSE)="","",VLOOKUP(T_BilanSocial[[#This Row],[NumL]],T_TraitDi[#Data],COLUMN(T_TraitDi[[#This Row],[M6]]),FALSE))</f>
        <v>#VALUE!</v>
      </c>
      <c r="AC55" s="165" t="e">
        <f t="shared" si="4"/>
        <v>#VALUE!</v>
      </c>
      <c r="AD55" s="188" t="str">
        <f>IFERROR(TEXT(VLOOKUP(T_BilanSocial[[#This Row],[NumL]],T_TraitDi[#Data],COLUMN(T_TraitDi[[#This Row],[Q2]]),FALSE),"###%"),"")</f>
        <v/>
      </c>
      <c r="AE55" s="97" t="e">
        <f>VLOOKUP(T_BilanSocial[[#This Row],[NumL]],T_TraitDi[#Data],COLUMN(T_TraitDi[[#This Row],[Reg Ponct]]),FALSE)</f>
        <v>#VALUE!</v>
      </c>
      <c r="AF55" s="97" t="e">
        <f>VLOOKUP(T_BilanSocial[NumL],T_TraitDi[#Data],COLUMN(T_TraitDi[[#This Row],[Jours flottants]]),FALSE)</f>
        <v>#VALUE!</v>
      </c>
      <c r="AG55" s="97" t="str">
        <f>IFERROR(VLOOKUP(T_BilanSocial[[#This Row],[NumL]],T_TraitDi[#Data],COLUMN(T_TraitDi[[#This Row],[Lundi]]),FALSE),"")</f>
        <v/>
      </c>
      <c r="AH55" s="172" t="e">
        <f>IF(VLOOKUP(T_BilanSocial[[#This Row],[NumL]],T_TraitDi[#Data],COLUMN(T_TraitDi[[#This Row],[Colonne3]]),FALSE)=0,"",TEXT(IFERROR(VLOOKUP(T_BilanSocial[[#This Row],[NumL]],T_TraitDi[#Data],COLUMN(T_TraitDi[[#This Row],[Colonne3]]),FALSE),""),"[hh]:mm"))</f>
        <v>#VALUE!</v>
      </c>
      <c r="AI55" s="172" t="e">
        <f>IF(VLOOKUP(T_BilanSocial[[#This Row],[NumL]],T_TraitDi[#Data],COLUMN(T_TraitDi[[#This Row],[Colonne4]]),FALSE)=0,"",TEXT(IFERROR(VLOOKUP(T_BilanSocial[[#This Row],[NumL]],T_TraitDi[#Data],COLUMN(T_TraitDi[[#This Row],[Colonne4]]),FALSE),""),"[hh]:mm"))</f>
        <v>#VALUE!</v>
      </c>
      <c r="AJ55" s="172" t="e">
        <f>IF(VLOOKUP(T_BilanSocial[[#This Row],[NumL]],T_TraitDi[#Data],COLUMN(T_TraitDi[[#This Row],[Colonne5]]),FALSE)=0,"",TEXT(IFERROR(VLOOKUP(T_BilanSocial[[#This Row],[NumL]],T_TraitDi[#Data],COLUMN(T_TraitDi[[#This Row],[Colonne5]]),FALSE),""),"[hh]:mm"))</f>
        <v>#VALUE!</v>
      </c>
      <c r="AK55" s="172" t="e">
        <f>IF(VLOOKUP(T_BilanSocial[[#This Row],[NumL]],T_TraitDi[#Data],COLUMN(T_TraitDi[[#This Row],[Colonne6]]),FALSE)=0,"",TEXT(IFERROR(VLOOKUP(T_BilanSocial[[#This Row],[NumL]],T_TraitDi[#Data],COLUMN(T_TraitDi[[#This Row],[Colonne6]]),FALSE),""),"[hh]:mm"))</f>
        <v>#VALUE!</v>
      </c>
      <c r="AL55" s="172" t="e">
        <f>IF(VLOOKUP(T_BilanSocial[[#This Row],[NumL]],T_TraitDi[#Data],COLUMN(T_TraitDi[[#This Row],[Colonne7]]),FALSE)=0,"",TEXT(IFERROR(VLOOKUP(T_BilanSocial[[#This Row],[NumL]],T_TraitDi[#Data],COLUMN(T_TraitDi[[#This Row],[Colonne7]]),FALSE),""),"[hh]:mm"))</f>
        <v>#VALUE!</v>
      </c>
      <c r="AM55" s="172" t="e">
        <f>IF(VLOOKUP(T_BilanSocial[[#This Row],[NumL]],T_TraitDi[#Data],COLUMN(T_TraitDi[[#This Row],[Colonne8]]),FALSE)=0,"",TEXT(IFERROR(VLOOKUP(T_BilanSocial[[#This Row],[NumL]],T_TraitDi[#Data],COLUMN(T_TraitDi[[#This Row],[Colonne8]]),FALSE),""),"[hh]:mm"))</f>
        <v>#VALUE!</v>
      </c>
      <c r="AN55" s="172" t="str">
        <f>IFERROR(VLOOKUP(T_BilanSocial[[#This Row],[NumL]],T_TraitDi[#Data],COLUMN(T_TraitDi[[#This Row],[Mardi]]),FALSE),"")</f>
        <v/>
      </c>
      <c r="AO55" s="172" t="e">
        <f>IF(VLOOKUP(T_BilanSocial[[#This Row],[NumL]],T_TraitDi[#Data],COLUMN(T_TraitDi[[#This Row],[Colonne1]]),FALSE)=0,"",TEXT(IFERROR(VLOOKUP(T_BilanSocial[[#This Row],[NumL]],T_TraitDi[#Data],COLUMN(T_TraitDi[[#This Row],[Colonne1]]),FALSE),""),"[hh]:mm"))</f>
        <v>#VALUE!</v>
      </c>
      <c r="AP55" s="172" t="e">
        <f>IF(VLOOKUP(T_BilanSocial[[#This Row],[NumL]],T_TraitDi[#Data],COLUMN(T_TraitDi[[#This Row],[Colonne9]]),FALSE)=0,"",TEXT(IFERROR(VLOOKUP(T_BilanSocial[[#This Row],[NumL]],T_TraitDi[#Data],COLUMN(T_TraitDi[[#This Row],[Colonne9]]),FALSE),""),"[hh]:mm"))</f>
        <v>#VALUE!</v>
      </c>
      <c r="AQ55" s="172" t="str">
        <f>IFERROR(VLOOKUP(T_BilanSocial[[#This Row],[NumL]],T_TraitDi[#Data],COLUMN(T_TraitDi[[#This Row],[Colonne10]]),FALSE),"")</f>
        <v/>
      </c>
      <c r="AR55" s="172" t="e">
        <f>IF(VLOOKUP(T_BilanSocial[[#This Row],[NumL]],T_TraitDi[#Data],COLUMN(T_TraitDi[[#This Row],[Colonne11]]),FALSE)=0,"",TEXT(IFERROR(VLOOKUP(T_BilanSocial[[#This Row],[NumL]],T_TraitDi[#Data],COLUMN(T_TraitDi[[#This Row],[Colonne11]]),FALSE),""),"[hh]:mm"))</f>
        <v>#VALUE!</v>
      </c>
      <c r="AS55" s="172" t="e">
        <f>IF(VLOOKUP(T_BilanSocial[[#This Row],[NumL]],T_TraitDi[#Data],COLUMN(T_TraitDi[[#This Row],[Colonne12]]),FALSE)=0,"",TEXT(IFERROR(VLOOKUP(T_BilanSocial[[#This Row],[NumL]],T_TraitDi[#Data],COLUMN(T_TraitDi[[#This Row],[Colonne12]]),FALSE),""),"[hh]:mm"))</f>
        <v>#VALUE!</v>
      </c>
      <c r="AT55" s="172" t="e">
        <f>IF(VLOOKUP(T_BilanSocial[[#This Row],[NumL]],T_TraitDi[#Data],COLUMN(T_TraitDi[[#This Row],[Colonne14]]),FALSE)=0,"",TEXT(IFERROR(VLOOKUP(T_BilanSocial[[#This Row],[NumL]],T_TraitDi[#Data],COLUMN(T_TraitDi[[#This Row],[Colonne14]]),FALSE),""),"[hh]:mm"))</f>
        <v>#VALUE!</v>
      </c>
      <c r="AU55" s="172" t="str">
        <f>IFERROR(VLOOKUP(T_BilanSocial[[#This Row],[NumL]],T_TraitDi[#Data],COLUMN(T_TraitDi[[#This Row],[Mercredi]]),FALSE),"")</f>
        <v/>
      </c>
      <c r="AV55" s="172" t="e">
        <f>IF(VLOOKUP(T_BilanSocial[[#This Row],[NumL]],T_TraitDi[#Data],COLUMN(T_TraitDi[[#This Row],[Colonne15]]),FALSE)=0,"",TEXT(IFERROR(VLOOKUP(T_BilanSocial[[#This Row],[NumL]],T_TraitDi[#Data],COLUMN(T_TraitDi[[#This Row],[Colonne15]]),FALSE),""),"[hh]:mm"))</f>
        <v>#VALUE!</v>
      </c>
      <c r="AW55" s="172" t="e">
        <f>IF(VLOOKUP(T_BilanSocial[[#This Row],[NumL]],T_TraitDi[#Data],COLUMN(T_TraitDi[[#This Row],[Colonne16]]),FALSE)=0,"",TEXT(IFERROR(VLOOKUP(T_BilanSocial[[#This Row],[NumL]],T_TraitDi[#Data],COLUMN(T_TraitDi[[#This Row],[Colonne16]]),FALSE),""),"[hh]:mm"))</f>
        <v>#VALUE!</v>
      </c>
      <c r="AX55" s="172" t="str">
        <f>IFERROR(VLOOKUP(T_BilanSocial[[#This Row],[NumL]],T_TraitDi[#Data],COLUMN(T_TraitDi[[#This Row],[Colonne17]]),FALSE),"")</f>
        <v/>
      </c>
      <c r="AY55" s="172" t="e">
        <f>IF(VLOOKUP(T_BilanSocial[[#This Row],[NumL]],T_TraitDi[#Data],COLUMN(T_TraitDi[[#This Row],[Colonne18]]),FALSE)=0,"",TEXT(IFERROR(VLOOKUP(T_BilanSocial[[#This Row],[NumL]],T_TraitDi[#Data],COLUMN(T_TraitDi[[#This Row],[Colonne18]]),FALSE),""),"[hh]:mm"))</f>
        <v>#VALUE!</v>
      </c>
      <c r="AZ55" s="172" t="e">
        <f>IF(VLOOKUP(T_BilanSocial[[#This Row],[NumL]],T_TraitDi[#Data],COLUMN(T_TraitDi[[#This Row],[Colonne19]]),FALSE)=0,"",TEXT(IFERROR(VLOOKUP(T_BilanSocial[[#This Row],[NumL]],T_TraitDi[#Data],COLUMN(T_TraitDi[[#This Row],[Colonne19]]),FALSE),""),"[hh]:mm"))</f>
        <v>#VALUE!</v>
      </c>
      <c r="BA55" s="172" t="e">
        <f>IF(VLOOKUP(T_BilanSocial[[#This Row],[NumL]],T_TraitDi[#Data],COLUMN(T_TraitDi[[#This Row],[Colonne20]]),FALSE)=0,"",TEXT(IFERROR(VLOOKUP(T_BilanSocial[[#This Row],[NumL]],T_TraitDi[#Data],COLUMN(T_TraitDi[[#This Row],[Colonne20]]),FALSE),""),"[hh]:mm"))</f>
        <v>#VALUE!</v>
      </c>
      <c r="BB55" s="178" t="str">
        <f>IFERROR(VLOOKUP(T_BilanSocial[[#This Row],[NumL]],T_TraitDi[#Data],COLUMN(T_TraitDi[[#This Row],[Jeudi]]),FALSE),"")</f>
        <v/>
      </c>
      <c r="BC55" s="178" t="e">
        <f>IF(VLOOKUP(T_BilanSocial[[#This Row],[NumL]],T_TraitDi[#Data],COLUMN(T_TraitDi[[#This Row],[Colonne21]]),FALSE)=0,"",TEXT(IFERROR(VLOOKUP(T_BilanSocial[[#This Row],[NumL]],T_TraitDi[#Data],COLUMN(T_TraitDi[[#This Row],[Colonne21]]),FALSE),""),"[hh]:mm"))</f>
        <v>#VALUE!</v>
      </c>
      <c r="BD55" s="178" t="e">
        <f>IF(VLOOKUP(T_BilanSocial[[#This Row],[NumL]],T_TraitDi[#Data],COLUMN(T_TraitDi[[#This Row],[Colonne22]]),FALSE)=0,"",TEXT(IFERROR(VLOOKUP(T_BilanSocial[[#This Row],[NumL]],T_TraitDi[#Data],COLUMN(T_TraitDi[[#This Row],[Colonne22]]),FALSE),""),"[hh]:mm"))</f>
        <v>#VALUE!</v>
      </c>
      <c r="BE55" s="178" t="str">
        <f>IFERROR(VLOOKUP(T_BilanSocial[[#This Row],[NumL]],T_TraitDi[#Data],COLUMN(T_TraitDi[[#This Row],[Colonne23]]),FALSE),"")</f>
        <v/>
      </c>
      <c r="BF55" s="178" t="e">
        <f>IF(VLOOKUP(T_BilanSocial[[#This Row],[NumL]],T_TraitDi[#Data],COLUMN(T_TraitDi[[#This Row],[Colonne24]]),FALSE)=0,"",TEXT(IFERROR(VLOOKUP(T_BilanSocial[[#This Row],[NumL]],T_TraitDi[#Data],COLUMN(T_TraitDi[[#This Row],[Colonne24]]),FALSE),""),"[hh]:mm"))</f>
        <v>#VALUE!</v>
      </c>
      <c r="BG55" s="178" t="e">
        <f>IF(VLOOKUP(T_BilanSocial[[#This Row],[NumL]],T_TraitDi[#Data],COLUMN(T_TraitDi[[#This Row],[Colonne25]]),FALSE)=0,"",TEXT(IFERROR(VLOOKUP(T_BilanSocial[[#This Row],[NumL]],T_TraitDi[#Data],COLUMN(T_TraitDi[[#This Row],[Colonne25]]),FALSE),""),"[hh]:mm"))</f>
        <v>#VALUE!</v>
      </c>
      <c r="BH55" s="178" t="e">
        <f>IF(VLOOKUP(T_BilanSocial[[#This Row],[NumL]],T_TraitDi[#Data],COLUMN(T_TraitDi[[#This Row],[Colonne26]]),FALSE)=0,"",TEXT(IFERROR(VLOOKUP(T_BilanSocial[[#This Row],[NumL]],T_TraitDi[#Data],COLUMN(T_TraitDi[[#This Row],[Colonne26]]),FALSE),""),"[hh]:mm"))</f>
        <v>#VALUE!</v>
      </c>
      <c r="BI55" s="172" t="str">
        <f>IFERROR(VLOOKUP(T_BilanSocial[[#This Row],[NumL]],T_TraitDi[#Data],COLUMN(T_TraitDi[[#This Row],[Vendredi]]),FALSE),"")</f>
        <v/>
      </c>
      <c r="BJ55" s="172" t="e">
        <f>IF(VLOOKUP(T_BilanSocial[[#This Row],[NumL]],T_TraitDi[#Data],COLUMN(T_TraitDi[[#This Row],[Colonne27]]),FALSE)=0,"",TEXT(IFERROR(VLOOKUP(T_BilanSocial[[#This Row],[NumL]],T_TraitDi[#Data],COLUMN(T_TraitDi[[#This Row],[Colonne27]]),FALSE),""),"[hh]:mm"))</f>
        <v>#VALUE!</v>
      </c>
      <c r="BK55" s="172" t="e">
        <f>IF(VLOOKUP(T_BilanSocial[[#This Row],[NumL]],T_TraitDi[#Data],COLUMN(T_TraitDi[[#This Row],[Colonne28]]),FALSE)=0,"",TEXT(IFERROR(VLOOKUP(T_BilanSocial[[#This Row],[NumL]],T_TraitDi[#Data],COLUMN(T_TraitDi[[#This Row],[Colonne28]]),FALSE),""),"[hh]:mm"))</f>
        <v>#VALUE!</v>
      </c>
      <c r="BL55" s="172" t="str">
        <f>IFERROR(VLOOKUP(T_BilanSocial[[#This Row],[NumL]],T_TraitDi[#Data],COLUMN(T_TraitDi[[#This Row],[Colonne29]]),FALSE),"")</f>
        <v/>
      </c>
      <c r="BM55" s="172" t="e">
        <f>IF(VLOOKUP(T_BilanSocial[[#This Row],[NumL]],T_TraitDi[#Data],COLUMN(T_TraitDi[[#This Row],[Colonne30]]),FALSE)=0,"",TEXT(IFERROR(VLOOKUP(T_BilanSocial[[#This Row],[NumL]],T_TraitDi[#Data],COLUMN(T_TraitDi[[#This Row],[Colonne30]]),FALSE),""),"[hh]:mm"))</f>
        <v>#VALUE!</v>
      </c>
      <c r="BN55" s="172" t="e">
        <f>IF(VLOOKUP(T_BilanSocial[[#This Row],[NumL]],T_TraitDi[#Data],COLUMN(T_TraitDi[[#This Row],[Colonne31]]),FALSE)=0,"",TEXT(IFERROR(VLOOKUP(T_BilanSocial[[#This Row],[NumL]],T_TraitDi[#Data],COLUMN(T_TraitDi[[#This Row],[Colonne31]]),FALSE),""),"[hh]:mm"))</f>
        <v>#VALUE!</v>
      </c>
      <c r="BO55" s="172" t="e">
        <f>IF(VLOOKUP(T_BilanSocial[[#This Row],[NumL]],T_TraitDi[#Data],COLUMN(T_TraitDi[[#This Row],[Colonne32]]),FALSE)=0,"",TEXT(IFERROR(VLOOKUP(T_BilanSocial[[#This Row],[NumL]],T_TraitDi[#Data],COLUMN(T_TraitDi[[#This Row],[Colonne32]]),FALSE),""),"[hh]:mm"))</f>
        <v>#VALUE!</v>
      </c>
      <c r="BP55" s="172" t="e">
        <f>VLOOKUP(T_BilanSocial[[#This Row],[NumL]],T_TraitDi[#Data],COLUMN(T_TraitDi[NbJTot]),FALSE)</f>
        <v>#N/A</v>
      </c>
      <c r="BQ55" s="174" t="str">
        <f>IFERROR(VLOOKUP(T_BilanSocial[[#This Row],[NumL]],T_TraitDi[#Data],COLUMN(T_TraitDi[[#This Row],[NbJTW]]),FALSE),"")</f>
        <v/>
      </c>
      <c r="BR55" s="174" t="e">
        <f>IF(VLOOKUP(T_BilanSocial[[#This Row],[NumL]],T_TraitDi[#Data],COLUMN(T_TraitDi[[#This Row],[NbhTW]]),FALSE)=0,"",TEXT(IFERROR(VLOOKUP(T_BilanSocial[[#This Row],[NumL]],T_TraitDi[#Data],COLUMN(T_TraitDi[[#This Row],[NbhTW]]),FALSE),""),"[hh]:mm"))</f>
        <v>#VALUE!</v>
      </c>
      <c r="BS55" s="174" t="e">
        <f>IF(VLOOKUP(T_BilanSocial[[#This Row],[NumL]],T_TraitDi[#Data],COLUMN(T_TraitDi[[#This Row],[Nbhheb]]),FALSE)=0,"",TEXT(IFERROR(VLOOKUP($A55,T_TraitDi[#Data],COLUMN(T_TraitDi[[#This Row],[Nbhheb]]),FALSE),""),"[hh]:mm"))</f>
        <v>#VALUE!</v>
      </c>
      <c r="BT55" s="182" t="str">
        <f>IFERROR(VLOOKUP(VLOOKUP($A55,T_TraitDi[#Data],COLUMN(T_TraitDi[[#This Row],[Type1]]),FALSE),TypeTW,2,FALSE),"")</f>
        <v/>
      </c>
      <c r="BU55" s="182" t="str">
        <f>IFERROR(VLOOKUP($A55,T_TraitDi[#Data],COLUMN(T_TraitDi[[#This Row],[Rue1]]),FALSE),"")</f>
        <v/>
      </c>
      <c r="BV55" s="173" t="str">
        <f>IFERROR(VLOOKUP($A55,T_TraitDi[#Data],COLUMN(T_TraitDi[[#This Row],[CP1]]),FALSE),"")</f>
        <v/>
      </c>
      <c r="BW55" s="173" t="str">
        <f>IFERROR(VLOOKUP($A55,T_TraitDi[#Data],COLUMN(T_TraitDi[[#This Row],[VILLE1]]),FALSE),"")</f>
        <v/>
      </c>
      <c r="BX55" s="182" t="str">
        <f>IFERROR(VLOOKUP(VLOOKUP($A55,T_TraitDi[#Data],COLUMN(T_TraitDi[[#This Row],[Type2]]),FALSE),TypeTW,2,FALSE),"")</f>
        <v/>
      </c>
      <c r="BY55" s="182" t="str">
        <f>IFERROR(VLOOKUP($A55,T_TraitDi[#Data],COLUMN(T_TraitDi[[#This Row],[Rue2]]),FALSE),"")</f>
        <v/>
      </c>
      <c r="BZ55" s="173" t="str">
        <f>IFERROR(VLOOKUP($A55,T_TraitDi[#Data],COLUMN(T_TraitDi[[#This Row],[CP2]]),FALSE),"")</f>
        <v/>
      </c>
      <c r="CA55" s="173" t="str">
        <f>IFERROR(VLOOKUP($A55,T_TraitDi[#Data],COLUMN(T_TraitDi[[#This Row],[VILLE2]]),FALSE),"")</f>
        <v/>
      </c>
      <c r="CB55" s="182" t="str">
        <f>IF(VLOOKUP(T_BilanSocial[[#This Row],[NumL]],T_Equipement[#Data],COLUMN(T_Equipement[[#This Row],[PC]]),FALSE)="","Aucun équipement spécifique directement lié au télétravail",VLOOKUP(T_BilanSocial[[#This Row],[NumL]],T_Equipement[#Data],COLUMN(T_Equipement[[#This Row],[PC]]),FALSE))</f>
        <v>20-352</v>
      </c>
      <c r="CC55" s="166" t="str">
        <f>IFERROR(IF(VLOOKUP(T_BilanSocial[[#This Row],[NumL]],T_TraitDi[#Data],COLUMN(T_TraitDi[[#This Row],[Plan]]),FALSE)="OK","Un planning spécifique de télétravail est annexé à la présente convention.",""),"")</f>
        <v/>
      </c>
      <c r="CD55" s="258" t="s">
        <v>3333</v>
      </c>
      <c r="CE55" s="164" t="e">
        <f>IF(VLOOKUP(T_BilanSocial[[#This Row],[NumL]],T_suiviDi[#Data],COLUMN(T_suiviDi[[#This Row],[Entité]]),FALSE)="","",VLOOKUP(T_BilanSocial[[#This Row],[NumL]],T_suiviDi[#Data],COLUMN(T_suiviDi[[#This Row],[Entité]]),FALSE))</f>
        <v>#VALUE!</v>
      </c>
      <c r="CF55" s="164" t="str">
        <f>IF(VLOOKUP(T_BilanSocial[[#This Row],[NumL]],T_Commission[#Data],COLUMN(T_Commission[[#This Row],[envoi confirm TW]]),FALSE)="","",VLOOKUP(T_BilanSocial[[#This Row],[NumL]],T_Commission[#Data],COLUMN(T_Commission[[#This Row],[envoi confirm TW]]),FALSE))</f>
        <v>Oui</v>
      </c>
      <c r="CG5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5" s="262" t="str">
        <f>T_BilanSocial[[#This Row],[Nom]]&amp;T_BilanSocial[[#This Row],[Prenom]]</f>
        <v/>
      </c>
      <c r="CI55" s="262">
        <f>VLOOKUP(T_BilanSocial[[#This Row],[NumL]],T_Commission[#Data],COLUMN(T_Commission[Commentaire]),FALSE)</f>
        <v>0</v>
      </c>
      <c r="CJ55" s="262" t="str">
        <f>IF(VLOOKUP(T_BilanSocial[[#This Row],[NumL]],T_Commission[#Data],COLUMN(T_Commission[Encadrant Email]),FALSE)="","",VLOOKUP(T_BilanSocial[[#This Row],[NumL]],T_Commission[#Data],COLUMN(T_Commission[Encadrant Email]),FALSE))</f>
        <v/>
      </c>
      <c r="CK55" s="340" t="str">
        <f>IF(T_BilanSocial[[#This Row],[Final]]&lt;&gt;"",VLOOKUP(T_BilanSocial[[#This Row],[NumL]],T_suiviDi[#Data],COLUMN((T_suiviDi[Statut])),FALSE),"")</f>
        <v/>
      </c>
    </row>
    <row r="56" spans="1:89" s="106" customFormat="1" ht="24.75" customHeight="1" x14ac:dyDescent="0.25">
      <c r="A56" s="160">
        <v>53</v>
      </c>
      <c r="B56" s="161" t="str">
        <f t="shared" si="0"/>
        <v/>
      </c>
      <c r="C56" s="162" t="s">
        <v>173</v>
      </c>
      <c r="D56" s="95" t="e">
        <f>IF(VLOOKUP(T_BilanSocial[[#This Row],[NumL]],T_TraitDi[#Data],COLUMN(T_TraitDi[[#This Row],[WebC]]),FALSE)="","",VLOOKUP(T_BilanSocial[[#This Row],[NumL]],T_TraitDi[#Data],COLUMN(T_TraitDi[[#This Row],[WebC]]),FALSE))</f>
        <v>#VALUE!</v>
      </c>
      <c r="E56" s="163" t="str">
        <f t="shared" si="1"/>
        <v>12 janvier 2021</v>
      </c>
      <c r="F56" s="96" t="str">
        <f>IF(T_BilanSocial[[#This Row],[Final]]&lt;&gt;"",VLOOKUP(T_BilanSocial[[#This Row],[NumL]],T_suiviDi[#Data],COLUMN((T_suiviDi[Civ.])),FALSE),"")</f>
        <v/>
      </c>
      <c r="G56" s="96" t="str">
        <f>IF(T_BilanSocial[[#This Row],[Final]]&lt;&gt;"",VLOOKUP(T_BilanSocial[[#This Row],[NumL]],T_suiviDi[#Data],COLUMN((T_suiviDi[Nom])),FALSE),"")</f>
        <v/>
      </c>
      <c r="H56" s="96" t="str">
        <f>IF(T_BilanSocial[[#This Row],[Final]]&lt;&gt;"",VLOOKUP(T_BilanSocial[[#This Row],[NumL]],T_suiviDi[#Data],COLUMN((T_suiviDi[Prénom])),FALSE),"")</f>
        <v/>
      </c>
      <c r="I56" s="96" t="str">
        <f>IFERROR(VLOOKUP(T_BilanSocial[[#This Row],[Zone_Bilan]],T_P_BilanSocial[#Data],COLUMN(T_P_BilanSocial[[#This Row],[Numero_SIHAM]]),FALSE),"")</f>
        <v/>
      </c>
      <c r="J56" s="96" t="str">
        <f>IFERROR(VLOOKUP(T_BilanSocial[[#This Row],[Zone_Bilan]],T_P_BilanSocial[#Data],COLUMN(T_P_BilanSocial[[#This Row],[Sexe]]),FALSE),"")</f>
        <v/>
      </c>
      <c r="K56" s="97" t="str">
        <f>IFERROR(VLOOKUP(T_BilanSocial[[#This Row],[Zone_Bilan]],T_P_BilanSocial[#Data],COLUMN(T_P_BilanSocial[[#This Row],[Categorie]]),FALSE),"")</f>
        <v/>
      </c>
      <c r="L56" s="96" t="str">
        <f>IFERROR(VLOOKUP(T_BilanSocial[[#This Row],[Zone_Bilan]],T_P_BilanSocial[#Data],COLUMN(T_P_BilanSocial[[#This Row],[Statut]]),FALSE),"")</f>
        <v/>
      </c>
      <c r="M56" s="96" t="str">
        <f>IFERROR(VLOOKUP(T_BilanSocial[[#This Row],[Zone_Bilan]],T_P_BilanSocial[#Data],COLUMN(T_P_BilanSocial[[#This Row],[Filiere]]),FALSE),"")</f>
        <v/>
      </c>
      <c r="N56" s="96" t="e">
        <f>VLOOKUP(T_BilanSocial[[#This Row],[NumL]],T_TraitDi[#Data],COLUMN(T_TraitDi[EXP]),FALSE)</f>
        <v>#N/A</v>
      </c>
      <c r="O56" s="96" t="e">
        <f>VLOOKUP(T_BilanSocial[[#This Row],[NumL]],T_TraitDi[#Data],COLUMN(T_TraitDi[FORM]),FALSE)</f>
        <v>#N/A</v>
      </c>
      <c r="P56" s="96" t="str">
        <f>IF(T_BilanSocial[[#This Row],[Final]]&lt;&gt;"",VLOOKUP(T_BilanSocial[[#This Row],[NumL]],T_suiviDi[#Data],COLUMN((T_suiviDi[Email])),FALSE),"")</f>
        <v/>
      </c>
      <c r="Q56" s="164" t="e">
        <f t="shared" si="7"/>
        <v>#N/A</v>
      </c>
      <c r="R56" s="164" t="e">
        <f t="shared" si="8"/>
        <v>#N/A</v>
      </c>
      <c r="S56" s="164" t="e">
        <f>IF(VLOOKUP(T_BilanSocial[[#This Row],[NumL]],T_suiviDi[#Data],COLUMN(T_suiviDi[[#This Row],[Service ]]),FALSE)="","",VLOOKUP(T_BilanSocial[[#This Row],[NumL]],T_suiviDi[#Data],COLUMN(T_suiviDi[[#This Row],[Service ]]),FALSE))</f>
        <v>#VALUE!</v>
      </c>
      <c r="T56" s="164" t="str">
        <f t="shared" si="2"/>
        <v>01 septembre 2021</v>
      </c>
      <c r="U56" s="164" t="str">
        <f t="shared" si="3"/>
        <v>30 novembre 2021</v>
      </c>
      <c r="V56" s="164" t="str">
        <f t="shared" si="9"/>
        <v>30 novembre 2021</v>
      </c>
      <c r="W56" s="176" t="e">
        <f>IF(VLOOKUP(T_BilanSocial[[#This Row],[NumL]],T_TraitDi[#Data],COLUMN(T_TraitDi[[#This Row],[M1]]),FALSE)="","",VLOOKUP(T_BilanSocial[[#This Row],[NumL]],T_TraitDi[#Data],COLUMN(T_TraitDi[[#This Row],[M1]]),FALSE))</f>
        <v>#VALUE!</v>
      </c>
      <c r="X56" s="176" t="e">
        <f>IF(VLOOKUP(T_BilanSocial[[#This Row],[NumL]],T_TraitDi[#Data],COLUMN(T_TraitDi[[#This Row],[M2]]),FALSE)="","",VLOOKUP(T_BilanSocial[[#This Row],[NumL]],T_TraitDi[#Data],COLUMN(T_TraitDi[[#This Row],[M2]]),FALSE))</f>
        <v>#VALUE!</v>
      </c>
      <c r="Y56" s="176" t="e">
        <f>IF(VLOOKUP(T_BilanSocial[[#This Row],[NumL]],T_TraitDi[#Data],COLUMN(T_TraitDi[[#This Row],[M3]]),FALSE)="","",VLOOKUP(T_BilanSocial[[#This Row],[NumL]],T_TraitDi[#Data],COLUMN(T_TraitDi[[#This Row],[M3]]),FALSE))</f>
        <v>#VALUE!</v>
      </c>
      <c r="Z56" s="176" t="str">
        <f t="shared" si="5"/>
        <v/>
      </c>
      <c r="AA56" s="176" t="e">
        <f>IF(VLOOKUP(T_BilanSocial[[#This Row],[NumL]],T_TraitDi[#Data],COLUMN(T_TraitDi[[#This Row],[M5]]),FALSE)="","",VLOOKUP(T_BilanSocial[[#This Row],[NumL]],T_TraitDi[#Data],COLUMN(T_TraitDi[[#This Row],[M5]]),FALSE))</f>
        <v>#VALUE!</v>
      </c>
      <c r="AB56" s="176" t="e">
        <f>IF(VLOOKUP(T_BilanSocial[[#This Row],[NumL]],T_TraitDi[#Data],COLUMN(T_TraitDi[[#This Row],[M6]]),FALSE)="","",VLOOKUP(T_BilanSocial[[#This Row],[NumL]],T_TraitDi[#Data],COLUMN(T_TraitDi[[#This Row],[M6]]),FALSE))</f>
        <v>#VALUE!</v>
      </c>
      <c r="AC56" s="165" t="e">
        <f t="shared" si="4"/>
        <v>#VALUE!</v>
      </c>
      <c r="AD56" s="188" t="str">
        <f>IFERROR(TEXT(VLOOKUP(T_BilanSocial[[#This Row],[NumL]],T_TraitDi[#Data],COLUMN(T_TraitDi[[#This Row],[Q2]]),FALSE),"###%"),"")</f>
        <v/>
      </c>
      <c r="AE56" s="97" t="e">
        <f>VLOOKUP(T_BilanSocial[[#This Row],[NumL]],T_TraitDi[#Data],COLUMN(T_TraitDi[[#This Row],[Reg Ponct]]),FALSE)</f>
        <v>#VALUE!</v>
      </c>
      <c r="AF56" s="97" t="e">
        <f>VLOOKUP(T_BilanSocial[NumL],T_TraitDi[#Data],COLUMN(T_TraitDi[[#This Row],[Jours flottants]]),FALSE)</f>
        <v>#VALUE!</v>
      </c>
      <c r="AG56" s="97" t="str">
        <f>IFERROR(VLOOKUP(T_BilanSocial[[#This Row],[NumL]],T_TraitDi[#Data],COLUMN(T_TraitDi[[#This Row],[Lundi]]),FALSE),"")</f>
        <v/>
      </c>
      <c r="AH56" s="172" t="e">
        <f>IF(VLOOKUP(T_BilanSocial[[#This Row],[NumL]],T_TraitDi[#Data],COLUMN(T_TraitDi[[#This Row],[Colonne3]]),FALSE)=0,"",TEXT(IFERROR(VLOOKUP(T_BilanSocial[[#This Row],[NumL]],T_TraitDi[#Data],COLUMN(T_TraitDi[[#This Row],[Colonne3]]),FALSE),""),"[hh]:mm"))</f>
        <v>#VALUE!</v>
      </c>
      <c r="AI56" s="172" t="e">
        <f>IF(VLOOKUP(T_BilanSocial[[#This Row],[NumL]],T_TraitDi[#Data],COLUMN(T_TraitDi[[#This Row],[Colonne4]]),FALSE)=0,"",TEXT(IFERROR(VLOOKUP(T_BilanSocial[[#This Row],[NumL]],T_TraitDi[#Data],COLUMN(T_TraitDi[[#This Row],[Colonne4]]),FALSE),""),"[hh]:mm"))</f>
        <v>#VALUE!</v>
      </c>
      <c r="AJ56" s="172" t="e">
        <f>IF(VLOOKUP(T_BilanSocial[[#This Row],[NumL]],T_TraitDi[#Data],COLUMN(T_TraitDi[[#This Row],[Colonne5]]),FALSE)=0,"",TEXT(IFERROR(VLOOKUP(T_BilanSocial[[#This Row],[NumL]],T_TraitDi[#Data],COLUMN(T_TraitDi[[#This Row],[Colonne5]]),FALSE),""),"[hh]:mm"))</f>
        <v>#VALUE!</v>
      </c>
      <c r="AK56" s="172" t="e">
        <f>IF(VLOOKUP(T_BilanSocial[[#This Row],[NumL]],T_TraitDi[#Data],COLUMN(T_TraitDi[[#This Row],[Colonne6]]),FALSE)=0,"",TEXT(IFERROR(VLOOKUP(T_BilanSocial[[#This Row],[NumL]],T_TraitDi[#Data],COLUMN(T_TraitDi[[#This Row],[Colonne6]]),FALSE),""),"[hh]:mm"))</f>
        <v>#VALUE!</v>
      </c>
      <c r="AL56" s="172" t="e">
        <f>IF(VLOOKUP(T_BilanSocial[[#This Row],[NumL]],T_TraitDi[#Data],COLUMN(T_TraitDi[[#This Row],[Colonne7]]),FALSE)=0,"",TEXT(IFERROR(VLOOKUP(T_BilanSocial[[#This Row],[NumL]],T_TraitDi[#Data],COLUMN(T_TraitDi[[#This Row],[Colonne7]]),FALSE),""),"[hh]:mm"))</f>
        <v>#VALUE!</v>
      </c>
      <c r="AM56" s="172" t="e">
        <f>IF(VLOOKUP(T_BilanSocial[[#This Row],[NumL]],T_TraitDi[#Data],COLUMN(T_TraitDi[[#This Row],[Colonne8]]),FALSE)=0,"",TEXT(IFERROR(VLOOKUP(T_BilanSocial[[#This Row],[NumL]],T_TraitDi[#Data],COLUMN(T_TraitDi[[#This Row],[Colonne8]]),FALSE),""),"[hh]:mm"))</f>
        <v>#VALUE!</v>
      </c>
      <c r="AN56" s="172" t="str">
        <f>IFERROR(VLOOKUP(T_BilanSocial[[#This Row],[NumL]],T_TraitDi[#Data],COLUMN(T_TraitDi[[#This Row],[Mardi]]),FALSE),"")</f>
        <v/>
      </c>
      <c r="AO56" s="172" t="e">
        <f>IF(VLOOKUP(T_BilanSocial[[#This Row],[NumL]],T_TraitDi[#Data],COLUMN(T_TraitDi[[#This Row],[Colonne1]]),FALSE)=0,"",TEXT(IFERROR(VLOOKUP(T_BilanSocial[[#This Row],[NumL]],T_TraitDi[#Data],COLUMN(T_TraitDi[[#This Row],[Colonne1]]),FALSE),""),"[hh]:mm"))</f>
        <v>#VALUE!</v>
      </c>
      <c r="AP56" s="172" t="e">
        <f>IF(VLOOKUP(T_BilanSocial[[#This Row],[NumL]],T_TraitDi[#Data],COLUMN(T_TraitDi[[#This Row],[Colonne9]]),FALSE)=0,"",TEXT(IFERROR(VLOOKUP(T_BilanSocial[[#This Row],[NumL]],T_TraitDi[#Data],COLUMN(T_TraitDi[[#This Row],[Colonne9]]),FALSE),""),"[hh]:mm"))</f>
        <v>#VALUE!</v>
      </c>
      <c r="AQ56" s="172" t="str">
        <f>IFERROR(VLOOKUP(T_BilanSocial[[#This Row],[NumL]],T_TraitDi[#Data],COLUMN(T_TraitDi[[#This Row],[Colonne10]]),FALSE),"")</f>
        <v/>
      </c>
      <c r="AR56" s="172" t="e">
        <f>IF(VLOOKUP(T_BilanSocial[[#This Row],[NumL]],T_TraitDi[#Data],COLUMN(T_TraitDi[[#This Row],[Colonne11]]),FALSE)=0,"",TEXT(IFERROR(VLOOKUP(T_BilanSocial[[#This Row],[NumL]],T_TraitDi[#Data],COLUMN(T_TraitDi[[#This Row],[Colonne11]]),FALSE),""),"[hh]:mm"))</f>
        <v>#VALUE!</v>
      </c>
      <c r="AS56" s="172" t="e">
        <f>IF(VLOOKUP(T_BilanSocial[[#This Row],[NumL]],T_TraitDi[#Data],COLUMN(T_TraitDi[[#This Row],[Colonne12]]),FALSE)=0,"",TEXT(IFERROR(VLOOKUP(T_BilanSocial[[#This Row],[NumL]],T_TraitDi[#Data],COLUMN(T_TraitDi[[#This Row],[Colonne12]]),FALSE),""),"[hh]:mm"))</f>
        <v>#VALUE!</v>
      </c>
      <c r="AT56" s="172" t="e">
        <f>IF(VLOOKUP(T_BilanSocial[[#This Row],[NumL]],T_TraitDi[#Data],COLUMN(T_TraitDi[[#This Row],[Colonne14]]),FALSE)=0,"",TEXT(IFERROR(VLOOKUP(T_BilanSocial[[#This Row],[NumL]],T_TraitDi[#Data],COLUMN(T_TraitDi[[#This Row],[Colonne14]]),FALSE),""),"[hh]:mm"))</f>
        <v>#VALUE!</v>
      </c>
      <c r="AU56" s="172" t="str">
        <f>IFERROR(VLOOKUP(T_BilanSocial[[#This Row],[NumL]],T_TraitDi[#Data],COLUMN(T_TraitDi[[#This Row],[Mercredi]]),FALSE),"")</f>
        <v/>
      </c>
      <c r="AV56" s="172" t="e">
        <f>IF(VLOOKUP(T_BilanSocial[[#This Row],[NumL]],T_TraitDi[#Data],COLUMN(T_TraitDi[[#This Row],[Colonne15]]),FALSE)=0,"",TEXT(IFERROR(VLOOKUP(T_BilanSocial[[#This Row],[NumL]],T_TraitDi[#Data],COLUMN(T_TraitDi[[#This Row],[Colonne15]]),FALSE),""),"[hh]:mm"))</f>
        <v>#VALUE!</v>
      </c>
      <c r="AW56" s="172" t="e">
        <f>IF(VLOOKUP(T_BilanSocial[[#This Row],[NumL]],T_TraitDi[#Data],COLUMN(T_TraitDi[[#This Row],[Colonne16]]),FALSE)=0,"",TEXT(IFERROR(VLOOKUP(T_BilanSocial[[#This Row],[NumL]],T_TraitDi[#Data],COLUMN(T_TraitDi[[#This Row],[Colonne16]]),FALSE),""),"[hh]:mm"))</f>
        <v>#VALUE!</v>
      </c>
      <c r="AX56" s="172" t="str">
        <f>IFERROR(VLOOKUP(T_BilanSocial[[#This Row],[NumL]],T_TraitDi[#Data],COLUMN(T_TraitDi[[#This Row],[Colonne17]]),FALSE),"")</f>
        <v/>
      </c>
      <c r="AY56" s="172" t="e">
        <f>IF(VLOOKUP(T_BilanSocial[[#This Row],[NumL]],T_TraitDi[#Data],COLUMN(T_TraitDi[[#This Row],[Colonne18]]),FALSE)=0,"",TEXT(IFERROR(VLOOKUP(T_BilanSocial[[#This Row],[NumL]],T_TraitDi[#Data],COLUMN(T_TraitDi[[#This Row],[Colonne18]]),FALSE),""),"[hh]:mm"))</f>
        <v>#VALUE!</v>
      </c>
      <c r="AZ56" s="172" t="e">
        <f>IF(VLOOKUP(T_BilanSocial[[#This Row],[NumL]],T_TraitDi[#Data],COLUMN(T_TraitDi[[#This Row],[Colonne19]]),FALSE)=0,"",TEXT(IFERROR(VLOOKUP(T_BilanSocial[[#This Row],[NumL]],T_TraitDi[#Data],COLUMN(T_TraitDi[[#This Row],[Colonne19]]),FALSE),""),"[hh]:mm"))</f>
        <v>#VALUE!</v>
      </c>
      <c r="BA56" s="172" t="e">
        <f>IF(VLOOKUP(T_BilanSocial[[#This Row],[NumL]],T_TraitDi[#Data],COLUMN(T_TraitDi[[#This Row],[Colonne20]]),FALSE)=0,"",TEXT(IFERROR(VLOOKUP(T_BilanSocial[[#This Row],[NumL]],T_TraitDi[#Data],COLUMN(T_TraitDi[[#This Row],[Colonne20]]),FALSE),""),"[hh]:mm"))</f>
        <v>#VALUE!</v>
      </c>
      <c r="BB56" s="178" t="str">
        <f>IFERROR(VLOOKUP(T_BilanSocial[[#This Row],[NumL]],T_TraitDi[#Data],COLUMN(T_TraitDi[[#This Row],[Jeudi]]),FALSE),"")</f>
        <v/>
      </c>
      <c r="BC56" s="178" t="e">
        <f>IF(VLOOKUP(T_BilanSocial[[#This Row],[NumL]],T_TraitDi[#Data],COLUMN(T_TraitDi[[#This Row],[Colonne21]]),FALSE)=0,"",TEXT(IFERROR(VLOOKUP(T_BilanSocial[[#This Row],[NumL]],T_TraitDi[#Data],COLUMN(T_TraitDi[[#This Row],[Colonne21]]),FALSE),""),"[hh]:mm"))</f>
        <v>#VALUE!</v>
      </c>
      <c r="BD56" s="178" t="e">
        <f>IF(VLOOKUP(T_BilanSocial[[#This Row],[NumL]],T_TraitDi[#Data],COLUMN(T_TraitDi[[#This Row],[Colonne22]]),FALSE)=0,"",TEXT(IFERROR(VLOOKUP(T_BilanSocial[[#This Row],[NumL]],T_TraitDi[#Data],COLUMN(T_TraitDi[[#This Row],[Colonne22]]),FALSE),""),"[hh]:mm"))</f>
        <v>#VALUE!</v>
      </c>
      <c r="BE56" s="178" t="str">
        <f>IFERROR(VLOOKUP(T_BilanSocial[[#This Row],[NumL]],T_TraitDi[#Data],COLUMN(T_TraitDi[[#This Row],[Colonne23]]),FALSE),"")</f>
        <v/>
      </c>
      <c r="BF56" s="178" t="e">
        <f>IF(VLOOKUP(T_BilanSocial[[#This Row],[NumL]],T_TraitDi[#Data],COLUMN(T_TraitDi[[#This Row],[Colonne24]]),FALSE)=0,"",TEXT(IFERROR(VLOOKUP(T_BilanSocial[[#This Row],[NumL]],T_TraitDi[#Data],COLUMN(T_TraitDi[[#This Row],[Colonne24]]),FALSE),""),"[hh]:mm"))</f>
        <v>#VALUE!</v>
      </c>
      <c r="BG56" s="178" t="e">
        <f>IF(VLOOKUP(T_BilanSocial[[#This Row],[NumL]],T_TraitDi[#Data],COLUMN(T_TraitDi[[#This Row],[Colonne25]]),FALSE)=0,"",TEXT(IFERROR(VLOOKUP(T_BilanSocial[[#This Row],[NumL]],T_TraitDi[#Data],COLUMN(T_TraitDi[[#This Row],[Colonne25]]),FALSE),""),"[hh]:mm"))</f>
        <v>#VALUE!</v>
      </c>
      <c r="BH56" s="178" t="e">
        <f>IF(VLOOKUP(T_BilanSocial[[#This Row],[NumL]],T_TraitDi[#Data],COLUMN(T_TraitDi[[#This Row],[Colonne26]]),FALSE)=0,"",TEXT(IFERROR(VLOOKUP(T_BilanSocial[[#This Row],[NumL]],T_TraitDi[#Data],COLUMN(T_TraitDi[[#This Row],[Colonne26]]),FALSE),""),"[hh]:mm"))</f>
        <v>#VALUE!</v>
      </c>
      <c r="BI56" s="172" t="str">
        <f>IFERROR(VLOOKUP(T_BilanSocial[[#This Row],[NumL]],T_TraitDi[#Data],COLUMN(T_TraitDi[[#This Row],[Vendredi]]),FALSE),"")</f>
        <v/>
      </c>
      <c r="BJ56" s="172" t="e">
        <f>IF(VLOOKUP(T_BilanSocial[[#This Row],[NumL]],T_TraitDi[#Data],COLUMN(T_TraitDi[[#This Row],[Colonne27]]),FALSE)=0,"",TEXT(IFERROR(VLOOKUP(T_BilanSocial[[#This Row],[NumL]],T_TraitDi[#Data],COLUMN(T_TraitDi[[#This Row],[Colonne27]]),FALSE),""),"[hh]:mm"))</f>
        <v>#VALUE!</v>
      </c>
      <c r="BK56" s="172" t="e">
        <f>IF(VLOOKUP(T_BilanSocial[[#This Row],[NumL]],T_TraitDi[#Data],COLUMN(T_TraitDi[[#This Row],[Colonne28]]),FALSE)=0,"",TEXT(IFERROR(VLOOKUP(T_BilanSocial[[#This Row],[NumL]],T_TraitDi[#Data],COLUMN(T_TraitDi[[#This Row],[Colonne28]]),FALSE),""),"[hh]:mm"))</f>
        <v>#VALUE!</v>
      </c>
      <c r="BL56" s="172" t="str">
        <f>IFERROR(VLOOKUP(T_BilanSocial[[#This Row],[NumL]],T_TraitDi[#Data],COLUMN(T_TraitDi[[#This Row],[Colonne29]]),FALSE),"")</f>
        <v/>
      </c>
      <c r="BM56" s="172" t="e">
        <f>IF(VLOOKUP(T_BilanSocial[[#This Row],[NumL]],T_TraitDi[#Data],COLUMN(T_TraitDi[[#This Row],[Colonne30]]),FALSE)=0,"",TEXT(IFERROR(VLOOKUP(T_BilanSocial[[#This Row],[NumL]],T_TraitDi[#Data],COLUMN(T_TraitDi[[#This Row],[Colonne30]]),FALSE),""),"[hh]:mm"))</f>
        <v>#VALUE!</v>
      </c>
      <c r="BN56" s="172" t="e">
        <f>IF(VLOOKUP(T_BilanSocial[[#This Row],[NumL]],T_TraitDi[#Data],COLUMN(T_TraitDi[[#This Row],[Colonne31]]),FALSE)=0,"",TEXT(IFERROR(VLOOKUP(T_BilanSocial[[#This Row],[NumL]],T_TraitDi[#Data],COLUMN(T_TraitDi[[#This Row],[Colonne31]]),FALSE),""),"[hh]:mm"))</f>
        <v>#VALUE!</v>
      </c>
      <c r="BO56" s="172" t="e">
        <f>IF(VLOOKUP(T_BilanSocial[[#This Row],[NumL]],T_TraitDi[#Data],COLUMN(T_TraitDi[[#This Row],[Colonne32]]),FALSE)=0,"",TEXT(IFERROR(VLOOKUP(T_BilanSocial[[#This Row],[NumL]],T_TraitDi[#Data],COLUMN(T_TraitDi[[#This Row],[Colonne32]]),FALSE),""),"[hh]:mm"))</f>
        <v>#VALUE!</v>
      </c>
      <c r="BP56" s="172" t="e">
        <f>VLOOKUP(T_BilanSocial[[#This Row],[NumL]],T_TraitDi[#Data],COLUMN(T_TraitDi[NbJTot]),FALSE)</f>
        <v>#N/A</v>
      </c>
      <c r="BQ56" s="174" t="str">
        <f>IFERROR(VLOOKUP(T_BilanSocial[[#This Row],[NumL]],T_TraitDi[#Data],COLUMN(T_TraitDi[[#This Row],[NbJTW]]),FALSE),"")</f>
        <v/>
      </c>
      <c r="BR56" s="174" t="e">
        <f>IF(VLOOKUP(T_BilanSocial[[#This Row],[NumL]],T_TraitDi[#Data],COLUMN(T_TraitDi[[#This Row],[NbhTW]]),FALSE)=0,"",TEXT(IFERROR(VLOOKUP(T_BilanSocial[[#This Row],[NumL]],T_TraitDi[#Data],COLUMN(T_TraitDi[[#This Row],[NbhTW]]),FALSE),""),"[hh]:mm"))</f>
        <v>#VALUE!</v>
      </c>
      <c r="BS56" s="174" t="e">
        <f>IF(VLOOKUP(T_BilanSocial[[#This Row],[NumL]],T_TraitDi[#Data],COLUMN(T_TraitDi[[#This Row],[Nbhheb]]),FALSE)=0,"",TEXT(IFERROR(VLOOKUP($A56,T_TraitDi[#Data],COLUMN(T_TraitDi[[#This Row],[Nbhheb]]),FALSE),""),"[hh]:mm"))</f>
        <v>#VALUE!</v>
      </c>
      <c r="BT56" s="182" t="str">
        <f>IFERROR(VLOOKUP(VLOOKUP($A56,T_TraitDi[#Data],COLUMN(T_TraitDi[[#This Row],[Type1]]),FALSE),TypeTW,2,FALSE),"")</f>
        <v/>
      </c>
      <c r="BU56" s="182" t="str">
        <f>IFERROR(VLOOKUP($A56,T_TraitDi[#Data],COLUMN(T_TraitDi[[#This Row],[Rue1]]),FALSE),"")</f>
        <v/>
      </c>
      <c r="BV56" s="173" t="str">
        <f>IFERROR(VLOOKUP($A56,T_TraitDi[#Data],COLUMN(T_TraitDi[[#This Row],[CP1]]),FALSE),"")</f>
        <v/>
      </c>
      <c r="BW56" s="173" t="str">
        <f>IFERROR(VLOOKUP($A56,T_TraitDi[#Data],COLUMN(T_TraitDi[[#This Row],[VILLE1]]),FALSE),"")</f>
        <v/>
      </c>
      <c r="BX56" s="182" t="str">
        <f>IFERROR(VLOOKUP(VLOOKUP($A56,T_TraitDi[#Data],COLUMN(T_TraitDi[[#This Row],[Type2]]),FALSE),TypeTW,2,FALSE),"")</f>
        <v/>
      </c>
      <c r="BY56" s="182" t="str">
        <f>IFERROR(VLOOKUP($A56,T_TraitDi[#Data],COLUMN(T_TraitDi[[#This Row],[Rue2]]),FALSE),"")</f>
        <v/>
      </c>
      <c r="BZ56" s="173" t="str">
        <f>IFERROR(VLOOKUP($A56,T_TraitDi[#Data],COLUMN(T_TraitDi[[#This Row],[CP2]]),FALSE),"")</f>
        <v/>
      </c>
      <c r="CA56" s="173" t="str">
        <f>IFERROR(VLOOKUP($A56,T_TraitDi[#Data],COLUMN(T_TraitDi[[#This Row],[VILLE2]]),FALSE),"")</f>
        <v/>
      </c>
      <c r="CB56" s="182" t="str">
        <f>IF(VLOOKUP(T_BilanSocial[[#This Row],[NumL]],T_Equipement[#Data],COLUMN(T_Equipement[[#This Row],[PC]]),FALSE)="","Aucun équipement spécifique directement lié au télétravail",VLOOKUP(T_BilanSocial[[#This Row],[NumL]],T_Equipement[#Data],COLUMN(T_Equipement[[#This Row],[PC]]),FALSE))</f>
        <v xml:space="preserve">18-029	</v>
      </c>
      <c r="CC56" s="166" t="str">
        <f>IFERROR(IF(VLOOKUP(T_BilanSocial[[#This Row],[NumL]],T_TraitDi[#Data],COLUMN(T_TraitDi[[#This Row],[Plan]]),FALSE)="OK","Un planning spécifique de télétravail est annexé à la présente convention.",""),"")</f>
        <v/>
      </c>
      <c r="CD56" s="258" t="s">
        <v>3411</v>
      </c>
      <c r="CE56" s="164" t="e">
        <f>IF(VLOOKUP(T_BilanSocial[[#This Row],[NumL]],T_suiviDi[#Data],COLUMN(T_suiviDi[[#This Row],[Entité]]),FALSE)="","",VLOOKUP(T_BilanSocial[[#This Row],[NumL]],T_suiviDi[#Data],COLUMN(T_suiviDi[[#This Row],[Entité]]),FALSE))</f>
        <v>#VALUE!</v>
      </c>
      <c r="CF56" s="164" t="str">
        <f>IF(VLOOKUP(T_BilanSocial[[#This Row],[NumL]],T_Commission[#Data],COLUMN(T_Commission[[#This Row],[envoi confirm TW]]),FALSE)="","",VLOOKUP(T_BilanSocial[[#This Row],[NumL]],T_Commission[#Data],COLUMN(T_Commission[[#This Row],[envoi confirm TW]]),FALSE))</f>
        <v>Non</v>
      </c>
      <c r="CG5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6" s="262" t="str">
        <f>T_BilanSocial[[#This Row],[Nom]]&amp;T_BilanSocial[[#This Row],[Prenom]]</f>
        <v/>
      </c>
      <c r="CI56" s="262" t="str">
        <f>VLOOKUP(T_BilanSocial[[#This Row],[NumL]],T_Commission[#Data],COLUMN(T_Commission[Commentaire]),FALSE)</f>
        <v>Le télétravail est accordé dans la limite de 1 jour par semaine afin de permettre l'évaluation des conditions de télétravail pour une eventuelle évolution àr 2 jours par semaine.</v>
      </c>
      <c r="CJ56" s="262" t="str">
        <f>IF(VLOOKUP(T_BilanSocial[[#This Row],[NumL]],T_Commission[#Data],COLUMN(T_Commission[Encadrant Email]),FALSE)="","",VLOOKUP(T_BilanSocial[[#This Row],[NumL]],T_Commission[#Data],COLUMN(T_Commission[Encadrant Email]),FALSE))</f>
        <v/>
      </c>
      <c r="CK56" s="340" t="str">
        <f>IF(T_BilanSocial[[#This Row],[Final]]&lt;&gt;"",VLOOKUP(T_BilanSocial[[#This Row],[NumL]],T_suiviDi[#Data],COLUMN((T_suiviDi[Statut])),FALSE),"")</f>
        <v/>
      </c>
    </row>
    <row r="57" spans="1:89" s="106" customFormat="1" ht="24.75" customHeight="1" x14ac:dyDescent="0.25">
      <c r="A57" s="160">
        <v>54</v>
      </c>
      <c r="B57" s="161" t="str">
        <f t="shared" si="0"/>
        <v/>
      </c>
      <c r="C57" s="162" t="s">
        <v>173</v>
      </c>
      <c r="D57" s="95" t="e">
        <f>IF(VLOOKUP(T_BilanSocial[[#This Row],[NumL]],T_TraitDi[#Data],COLUMN(T_TraitDi[[#This Row],[WebC]]),FALSE)="","",VLOOKUP(T_BilanSocial[[#This Row],[NumL]],T_TraitDi[#Data],COLUMN(T_TraitDi[[#This Row],[WebC]]),FALSE))</f>
        <v>#VALUE!</v>
      </c>
      <c r="E57" s="163" t="str">
        <f t="shared" si="1"/>
        <v>12 janvier 2021</v>
      </c>
      <c r="F57" s="96" t="str">
        <f>IF(T_BilanSocial[[#This Row],[Final]]&lt;&gt;"",VLOOKUP(T_BilanSocial[[#This Row],[NumL]],T_suiviDi[#Data],COLUMN((T_suiviDi[Civ.])),FALSE),"")</f>
        <v/>
      </c>
      <c r="G57" s="96" t="str">
        <f>IF(T_BilanSocial[[#This Row],[Final]]&lt;&gt;"",VLOOKUP(T_BilanSocial[[#This Row],[NumL]],T_suiviDi[#Data],COLUMN((T_suiviDi[Nom])),FALSE),"")</f>
        <v/>
      </c>
      <c r="H57" s="96" t="str">
        <f>IF(T_BilanSocial[[#This Row],[Final]]&lt;&gt;"",VLOOKUP(T_BilanSocial[[#This Row],[NumL]],T_suiviDi[#Data],COLUMN((T_suiviDi[Prénom])),FALSE),"")</f>
        <v/>
      </c>
      <c r="I57" s="96" t="str">
        <f>IFERROR(VLOOKUP(T_BilanSocial[[#This Row],[Zone_Bilan]],T_P_BilanSocial[#Data],COLUMN(T_P_BilanSocial[[#This Row],[Numero_SIHAM]]),FALSE),"")</f>
        <v/>
      </c>
      <c r="J57" s="96" t="str">
        <f>IFERROR(VLOOKUP(T_BilanSocial[[#This Row],[Zone_Bilan]],T_P_BilanSocial[#Data],COLUMN(T_P_BilanSocial[[#This Row],[Sexe]]),FALSE),"")</f>
        <v/>
      </c>
      <c r="K57" s="97" t="str">
        <f>IFERROR(VLOOKUP(T_BilanSocial[[#This Row],[Zone_Bilan]],T_P_BilanSocial[#Data],COLUMN(T_P_BilanSocial[[#This Row],[Categorie]]),FALSE),"")</f>
        <v/>
      </c>
      <c r="L57" s="96" t="str">
        <f>IFERROR(VLOOKUP(T_BilanSocial[[#This Row],[Zone_Bilan]],T_P_BilanSocial[#Data],COLUMN(T_P_BilanSocial[[#This Row],[Statut]]),FALSE),"")</f>
        <v/>
      </c>
      <c r="M57" s="96" t="str">
        <f>IFERROR(VLOOKUP(T_BilanSocial[[#This Row],[Zone_Bilan]],T_P_BilanSocial[#Data],COLUMN(T_P_BilanSocial[[#This Row],[Filiere]]),FALSE),"")</f>
        <v/>
      </c>
      <c r="N57" s="96" t="e">
        <f>VLOOKUP(T_BilanSocial[[#This Row],[NumL]],T_TraitDi[#Data],COLUMN(T_TraitDi[EXP]),FALSE)</f>
        <v>#N/A</v>
      </c>
      <c r="O57" s="96" t="e">
        <f>VLOOKUP(T_BilanSocial[[#This Row],[NumL]],T_TraitDi[#Data],COLUMN(T_TraitDi[FORM]),FALSE)</f>
        <v>#N/A</v>
      </c>
      <c r="P57" s="96" t="str">
        <f>IF(T_BilanSocial[[#This Row],[Final]]&lt;&gt;"",VLOOKUP(T_BilanSocial[[#This Row],[NumL]],T_suiviDi[#Data],COLUMN((T_suiviDi[Email])),FALSE),"")</f>
        <v/>
      </c>
      <c r="Q57" s="164" t="e">
        <f t="shared" si="7"/>
        <v>#N/A</v>
      </c>
      <c r="R57" s="164" t="e">
        <f t="shared" si="8"/>
        <v>#N/A</v>
      </c>
      <c r="S57" s="164" t="e">
        <f>IF(VLOOKUP(T_BilanSocial[[#This Row],[NumL]],T_suiviDi[#Data],COLUMN(T_suiviDi[[#This Row],[Service ]]),FALSE)="","",VLOOKUP(T_BilanSocial[[#This Row],[NumL]],T_suiviDi[#Data],COLUMN(T_suiviDi[[#This Row],[Service ]]),FALSE))</f>
        <v>#VALUE!</v>
      </c>
      <c r="T57" s="164" t="str">
        <f t="shared" si="2"/>
        <v>01 septembre 2021</v>
      </c>
      <c r="U57" s="164" t="str">
        <f t="shared" si="3"/>
        <v>30 novembre 2021</v>
      </c>
      <c r="V57" s="164" t="str">
        <f t="shared" si="9"/>
        <v>30 novembre 2021</v>
      </c>
      <c r="W57" s="176" t="e">
        <f>IF(VLOOKUP(T_BilanSocial[[#This Row],[NumL]],T_TraitDi[#Data],COLUMN(T_TraitDi[[#This Row],[M1]]),FALSE)="","",VLOOKUP(T_BilanSocial[[#This Row],[NumL]],T_TraitDi[#Data],COLUMN(T_TraitDi[[#This Row],[M1]]),FALSE))</f>
        <v>#VALUE!</v>
      </c>
      <c r="X57" s="176" t="e">
        <f>IF(VLOOKUP(T_BilanSocial[[#This Row],[NumL]],T_TraitDi[#Data],COLUMN(T_TraitDi[[#This Row],[M2]]),FALSE)="","",VLOOKUP(T_BilanSocial[[#This Row],[NumL]],T_TraitDi[#Data],COLUMN(T_TraitDi[[#This Row],[M2]]),FALSE))</f>
        <v>#VALUE!</v>
      </c>
      <c r="Y57" s="176" t="e">
        <f>IF(VLOOKUP(T_BilanSocial[[#This Row],[NumL]],T_TraitDi[#Data],COLUMN(T_TraitDi[[#This Row],[M3]]),FALSE)="","",VLOOKUP(T_BilanSocial[[#This Row],[NumL]],T_TraitDi[#Data],COLUMN(T_TraitDi[[#This Row],[M3]]),FALSE))</f>
        <v>#VALUE!</v>
      </c>
      <c r="Z57" s="176" t="str">
        <f t="shared" si="5"/>
        <v/>
      </c>
      <c r="AA57" s="176" t="e">
        <f>IF(VLOOKUP(T_BilanSocial[[#This Row],[NumL]],T_TraitDi[#Data],COLUMN(T_TraitDi[[#This Row],[M5]]),FALSE)="","",VLOOKUP(T_BilanSocial[[#This Row],[NumL]],T_TraitDi[#Data],COLUMN(T_TraitDi[[#This Row],[M5]]),FALSE))</f>
        <v>#VALUE!</v>
      </c>
      <c r="AB57" s="176" t="e">
        <f>IF(VLOOKUP(T_BilanSocial[[#This Row],[NumL]],T_TraitDi[#Data],COLUMN(T_TraitDi[[#This Row],[M6]]),FALSE)="","",VLOOKUP(T_BilanSocial[[#This Row],[NumL]],T_TraitDi[#Data],COLUMN(T_TraitDi[[#This Row],[M6]]),FALSE))</f>
        <v>#VALUE!</v>
      </c>
      <c r="AC57" s="165" t="e">
        <f t="shared" si="4"/>
        <v>#VALUE!</v>
      </c>
      <c r="AD57" s="188" t="str">
        <f>IFERROR(TEXT(VLOOKUP(T_BilanSocial[[#This Row],[NumL]],T_TraitDi[#Data],COLUMN(T_TraitDi[[#This Row],[Q2]]),FALSE),"###%"),"")</f>
        <v/>
      </c>
      <c r="AE57" s="97" t="e">
        <f>VLOOKUP(T_BilanSocial[[#This Row],[NumL]],T_TraitDi[#Data],COLUMN(T_TraitDi[[#This Row],[Reg Ponct]]),FALSE)</f>
        <v>#VALUE!</v>
      </c>
      <c r="AF57" s="97" t="e">
        <f>VLOOKUP(T_BilanSocial[NumL],T_TraitDi[#Data],COLUMN(T_TraitDi[[#This Row],[Jours flottants]]),FALSE)</f>
        <v>#VALUE!</v>
      </c>
      <c r="AG57" s="97" t="str">
        <f>IFERROR(VLOOKUP(T_BilanSocial[[#This Row],[NumL]],T_TraitDi[#Data],COLUMN(T_TraitDi[[#This Row],[Lundi]]),FALSE),"")</f>
        <v/>
      </c>
      <c r="AH57" s="172" t="e">
        <f>IF(VLOOKUP(T_BilanSocial[[#This Row],[NumL]],T_TraitDi[#Data],COLUMN(T_TraitDi[[#This Row],[Colonne3]]),FALSE)=0,"",TEXT(IFERROR(VLOOKUP(T_BilanSocial[[#This Row],[NumL]],T_TraitDi[#Data],COLUMN(T_TraitDi[[#This Row],[Colonne3]]),FALSE),""),"[hh]:mm"))</f>
        <v>#VALUE!</v>
      </c>
      <c r="AI57" s="172" t="e">
        <f>IF(VLOOKUP(T_BilanSocial[[#This Row],[NumL]],T_TraitDi[#Data],COLUMN(T_TraitDi[[#This Row],[Colonne4]]),FALSE)=0,"",TEXT(IFERROR(VLOOKUP(T_BilanSocial[[#This Row],[NumL]],T_TraitDi[#Data],COLUMN(T_TraitDi[[#This Row],[Colonne4]]),FALSE),""),"[hh]:mm"))</f>
        <v>#VALUE!</v>
      </c>
      <c r="AJ57" s="172" t="e">
        <f>IF(VLOOKUP(T_BilanSocial[[#This Row],[NumL]],T_TraitDi[#Data],COLUMN(T_TraitDi[[#This Row],[Colonne5]]),FALSE)=0,"",TEXT(IFERROR(VLOOKUP(T_BilanSocial[[#This Row],[NumL]],T_TraitDi[#Data],COLUMN(T_TraitDi[[#This Row],[Colonne5]]),FALSE),""),"[hh]:mm"))</f>
        <v>#VALUE!</v>
      </c>
      <c r="AK57" s="172" t="e">
        <f>IF(VLOOKUP(T_BilanSocial[[#This Row],[NumL]],T_TraitDi[#Data],COLUMN(T_TraitDi[[#This Row],[Colonne6]]),FALSE)=0,"",TEXT(IFERROR(VLOOKUP(T_BilanSocial[[#This Row],[NumL]],T_TraitDi[#Data],COLUMN(T_TraitDi[[#This Row],[Colonne6]]),FALSE),""),"[hh]:mm"))</f>
        <v>#VALUE!</v>
      </c>
      <c r="AL57" s="172" t="e">
        <f>IF(VLOOKUP(T_BilanSocial[[#This Row],[NumL]],T_TraitDi[#Data],COLUMN(T_TraitDi[[#This Row],[Colonne7]]),FALSE)=0,"",TEXT(IFERROR(VLOOKUP(T_BilanSocial[[#This Row],[NumL]],T_TraitDi[#Data],COLUMN(T_TraitDi[[#This Row],[Colonne7]]),FALSE),""),"[hh]:mm"))</f>
        <v>#VALUE!</v>
      </c>
      <c r="AM57" s="172" t="e">
        <f>IF(VLOOKUP(T_BilanSocial[[#This Row],[NumL]],T_TraitDi[#Data],COLUMN(T_TraitDi[[#This Row],[Colonne8]]),FALSE)=0,"",TEXT(IFERROR(VLOOKUP(T_BilanSocial[[#This Row],[NumL]],T_TraitDi[#Data],COLUMN(T_TraitDi[[#This Row],[Colonne8]]),FALSE),""),"[hh]:mm"))</f>
        <v>#VALUE!</v>
      </c>
      <c r="AN57" s="172" t="str">
        <f>IFERROR(VLOOKUP(T_BilanSocial[[#This Row],[NumL]],T_TraitDi[#Data],COLUMN(T_TraitDi[[#This Row],[Mardi]]),FALSE),"")</f>
        <v/>
      </c>
      <c r="AO57" s="172" t="e">
        <f>IF(VLOOKUP(T_BilanSocial[[#This Row],[NumL]],T_TraitDi[#Data],COLUMN(T_TraitDi[[#This Row],[Colonne1]]),FALSE)=0,"",TEXT(IFERROR(VLOOKUP(T_BilanSocial[[#This Row],[NumL]],T_TraitDi[#Data],COLUMN(T_TraitDi[[#This Row],[Colonne1]]),FALSE),""),"[hh]:mm"))</f>
        <v>#VALUE!</v>
      </c>
      <c r="AP57" s="172" t="e">
        <f>IF(VLOOKUP(T_BilanSocial[[#This Row],[NumL]],T_TraitDi[#Data],COLUMN(T_TraitDi[[#This Row],[Colonne9]]),FALSE)=0,"",TEXT(IFERROR(VLOOKUP(T_BilanSocial[[#This Row],[NumL]],T_TraitDi[#Data],COLUMN(T_TraitDi[[#This Row],[Colonne9]]),FALSE),""),"[hh]:mm"))</f>
        <v>#VALUE!</v>
      </c>
      <c r="AQ57" s="172" t="str">
        <f>IFERROR(VLOOKUP(T_BilanSocial[[#This Row],[NumL]],T_TraitDi[#Data],COLUMN(T_TraitDi[[#This Row],[Colonne10]]),FALSE),"")</f>
        <v/>
      </c>
      <c r="AR57" s="172" t="e">
        <f>IF(VLOOKUP(T_BilanSocial[[#This Row],[NumL]],T_TraitDi[#Data],COLUMN(T_TraitDi[[#This Row],[Colonne11]]),FALSE)=0,"",TEXT(IFERROR(VLOOKUP(T_BilanSocial[[#This Row],[NumL]],T_TraitDi[#Data],COLUMN(T_TraitDi[[#This Row],[Colonne11]]),FALSE),""),"[hh]:mm"))</f>
        <v>#VALUE!</v>
      </c>
      <c r="AS57" s="172" t="e">
        <f>IF(VLOOKUP(T_BilanSocial[[#This Row],[NumL]],T_TraitDi[#Data],COLUMN(T_TraitDi[[#This Row],[Colonne12]]),FALSE)=0,"",TEXT(IFERROR(VLOOKUP(T_BilanSocial[[#This Row],[NumL]],T_TraitDi[#Data],COLUMN(T_TraitDi[[#This Row],[Colonne12]]),FALSE),""),"[hh]:mm"))</f>
        <v>#VALUE!</v>
      </c>
      <c r="AT57" s="172" t="e">
        <f>IF(VLOOKUP(T_BilanSocial[[#This Row],[NumL]],T_TraitDi[#Data],COLUMN(T_TraitDi[[#This Row],[Colonne14]]),FALSE)=0,"",TEXT(IFERROR(VLOOKUP(T_BilanSocial[[#This Row],[NumL]],T_TraitDi[#Data],COLUMN(T_TraitDi[[#This Row],[Colonne14]]),FALSE),""),"[hh]:mm"))</f>
        <v>#VALUE!</v>
      </c>
      <c r="AU57" s="172" t="str">
        <f>IFERROR(VLOOKUP(T_BilanSocial[[#This Row],[NumL]],T_TraitDi[#Data],COLUMN(T_TraitDi[[#This Row],[Mercredi]]),FALSE),"")</f>
        <v/>
      </c>
      <c r="AV57" s="172" t="e">
        <f>IF(VLOOKUP(T_BilanSocial[[#This Row],[NumL]],T_TraitDi[#Data],COLUMN(T_TraitDi[[#This Row],[Colonne15]]),FALSE)=0,"",TEXT(IFERROR(VLOOKUP(T_BilanSocial[[#This Row],[NumL]],T_TraitDi[#Data],COLUMN(T_TraitDi[[#This Row],[Colonne15]]),FALSE),""),"[hh]:mm"))</f>
        <v>#VALUE!</v>
      </c>
      <c r="AW57" s="172" t="e">
        <f>IF(VLOOKUP(T_BilanSocial[[#This Row],[NumL]],T_TraitDi[#Data],COLUMN(T_TraitDi[[#This Row],[Colonne16]]),FALSE)=0,"",TEXT(IFERROR(VLOOKUP(T_BilanSocial[[#This Row],[NumL]],T_TraitDi[#Data],COLUMN(T_TraitDi[[#This Row],[Colonne16]]),FALSE),""),"[hh]:mm"))</f>
        <v>#VALUE!</v>
      </c>
      <c r="AX57" s="172" t="str">
        <f>IFERROR(VLOOKUP(T_BilanSocial[[#This Row],[NumL]],T_TraitDi[#Data],COLUMN(T_TraitDi[[#This Row],[Colonne17]]),FALSE),"")</f>
        <v/>
      </c>
      <c r="AY57" s="172" t="e">
        <f>IF(VLOOKUP(T_BilanSocial[[#This Row],[NumL]],T_TraitDi[#Data],COLUMN(T_TraitDi[[#This Row],[Colonne18]]),FALSE)=0,"",TEXT(IFERROR(VLOOKUP(T_BilanSocial[[#This Row],[NumL]],T_TraitDi[#Data],COLUMN(T_TraitDi[[#This Row],[Colonne18]]),FALSE),""),"[hh]:mm"))</f>
        <v>#VALUE!</v>
      </c>
      <c r="AZ57" s="172" t="e">
        <f>IF(VLOOKUP(T_BilanSocial[[#This Row],[NumL]],T_TraitDi[#Data],COLUMN(T_TraitDi[[#This Row],[Colonne19]]),FALSE)=0,"",TEXT(IFERROR(VLOOKUP(T_BilanSocial[[#This Row],[NumL]],T_TraitDi[#Data],COLUMN(T_TraitDi[[#This Row],[Colonne19]]),FALSE),""),"[hh]:mm"))</f>
        <v>#VALUE!</v>
      </c>
      <c r="BA57" s="172" t="e">
        <f>IF(VLOOKUP(T_BilanSocial[[#This Row],[NumL]],T_TraitDi[#Data],COLUMN(T_TraitDi[[#This Row],[Colonne20]]),FALSE)=0,"",TEXT(IFERROR(VLOOKUP(T_BilanSocial[[#This Row],[NumL]],T_TraitDi[#Data],COLUMN(T_TraitDi[[#This Row],[Colonne20]]),FALSE),""),"[hh]:mm"))</f>
        <v>#VALUE!</v>
      </c>
      <c r="BB57" s="178" t="str">
        <f>IFERROR(VLOOKUP(T_BilanSocial[[#This Row],[NumL]],T_TraitDi[#Data],COLUMN(T_TraitDi[[#This Row],[Jeudi]]),FALSE),"")</f>
        <v/>
      </c>
      <c r="BC57" s="178" t="e">
        <f>IF(VLOOKUP(T_BilanSocial[[#This Row],[NumL]],T_TraitDi[#Data],COLUMN(T_TraitDi[[#This Row],[Colonne21]]),FALSE)=0,"",TEXT(IFERROR(VLOOKUP(T_BilanSocial[[#This Row],[NumL]],T_TraitDi[#Data],COLUMN(T_TraitDi[[#This Row],[Colonne21]]),FALSE),""),"[hh]:mm"))</f>
        <v>#VALUE!</v>
      </c>
      <c r="BD57" s="178" t="e">
        <f>IF(VLOOKUP(T_BilanSocial[[#This Row],[NumL]],T_TraitDi[#Data],COLUMN(T_TraitDi[[#This Row],[Colonne22]]),FALSE)=0,"",TEXT(IFERROR(VLOOKUP(T_BilanSocial[[#This Row],[NumL]],T_TraitDi[#Data],COLUMN(T_TraitDi[[#This Row],[Colonne22]]),FALSE),""),"[hh]:mm"))</f>
        <v>#VALUE!</v>
      </c>
      <c r="BE57" s="178" t="str">
        <f>IFERROR(VLOOKUP(T_BilanSocial[[#This Row],[NumL]],T_TraitDi[#Data],COLUMN(T_TraitDi[[#This Row],[Colonne23]]),FALSE),"")</f>
        <v/>
      </c>
      <c r="BF57" s="178" t="e">
        <f>IF(VLOOKUP(T_BilanSocial[[#This Row],[NumL]],T_TraitDi[#Data],COLUMN(T_TraitDi[[#This Row],[Colonne24]]),FALSE)=0,"",TEXT(IFERROR(VLOOKUP(T_BilanSocial[[#This Row],[NumL]],T_TraitDi[#Data],COLUMN(T_TraitDi[[#This Row],[Colonne24]]),FALSE),""),"[hh]:mm"))</f>
        <v>#VALUE!</v>
      </c>
      <c r="BG57" s="178" t="e">
        <f>IF(VLOOKUP(T_BilanSocial[[#This Row],[NumL]],T_TraitDi[#Data],COLUMN(T_TraitDi[[#This Row],[Colonne25]]),FALSE)=0,"",TEXT(IFERROR(VLOOKUP(T_BilanSocial[[#This Row],[NumL]],T_TraitDi[#Data],COLUMN(T_TraitDi[[#This Row],[Colonne25]]),FALSE),""),"[hh]:mm"))</f>
        <v>#VALUE!</v>
      </c>
      <c r="BH57" s="178" t="e">
        <f>IF(VLOOKUP(T_BilanSocial[[#This Row],[NumL]],T_TraitDi[#Data],COLUMN(T_TraitDi[[#This Row],[Colonne26]]),FALSE)=0,"",TEXT(IFERROR(VLOOKUP(T_BilanSocial[[#This Row],[NumL]],T_TraitDi[#Data],COLUMN(T_TraitDi[[#This Row],[Colonne26]]),FALSE),""),"[hh]:mm"))</f>
        <v>#VALUE!</v>
      </c>
      <c r="BI57" s="172" t="str">
        <f>IFERROR(VLOOKUP(T_BilanSocial[[#This Row],[NumL]],T_TraitDi[#Data],COLUMN(T_TraitDi[[#This Row],[Vendredi]]),FALSE),"")</f>
        <v/>
      </c>
      <c r="BJ57" s="172" t="e">
        <f>IF(VLOOKUP(T_BilanSocial[[#This Row],[NumL]],T_TraitDi[#Data],COLUMN(T_TraitDi[[#This Row],[Colonne27]]),FALSE)=0,"",TEXT(IFERROR(VLOOKUP(T_BilanSocial[[#This Row],[NumL]],T_TraitDi[#Data],COLUMN(T_TraitDi[[#This Row],[Colonne27]]),FALSE),""),"[hh]:mm"))</f>
        <v>#VALUE!</v>
      </c>
      <c r="BK57" s="172" t="e">
        <f>IF(VLOOKUP(T_BilanSocial[[#This Row],[NumL]],T_TraitDi[#Data],COLUMN(T_TraitDi[[#This Row],[Colonne28]]),FALSE)=0,"",TEXT(IFERROR(VLOOKUP(T_BilanSocial[[#This Row],[NumL]],T_TraitDi[#Data],COLUMN(T_TraitDi[[#This Row],[Colonne28]]),FALSE),""),"[hh]:mm"))</f>
        <v>#VALUE!</v>
      </c>
      <c r="BL57" s="172" t="str">
        <f>IFERROR(VLOOKUP(T_BilanSocial[[#This Row],[NumL]],T_TraitDi[#Data],COLUMN(T_TraitDi[[#This Row],[Colonne29]]),FALSE),"")</f>
        <v/>
      </c>
      <c r="BM57" s="172" t="e">
        <f>IF(VLOOKUP(T_BilanSocial[[#This Row],[NumL]],T_TraitDi[#Data],COLUMN(T_TraitDi[[#This Row],[Colonne30]]),FALSE)=0,"",TEXT(IFERROR(VLOOKUP(T_BilanSocial[[#This Row],[NumL]],T_TraitDi[#Data],COLUMN(T_TraitDi[[#This Row],[Colonne30]]),FALSE),""),"[hh]:mm"))</f>
        <v>#VALUE!</v>
      </c>
      <c r="BN57" s="172" t="e">
        <f>IF(VLOOKUP(T_BilanSocial[[#This Row],[NumL]],T_TraitDi[#Data],COLUMN(T_TraitDi[[#This Row],[Colonne31]]),FALSE)=0,"",TEXT(IFERROR(VLOOKUP(T_BilanSocial[[#This Row],[NumL]],T_TraitDi[#Data],COLUMN(T_TraitDi[[#This Row],[Colonne31]]),FALSE),""),"[hh]:mm"))</f>
        <v>#VALUE!</v>
      </c>
      <c r="BO57" s="172" t="e">
        <f>IF(VLOOKUP(T_BilanSocial[[#This Row],[NumL]],T_TraitDi[#Data],COLUMN(T_TraitDi[[#This Row],[Colonne32]]),FALSE)=0,"",TEXT(IFERROR(VLOOKUP(T_BilanSocial[[#This Row],[NumL]],T_TraitDi[#Data],COLUMN(T_TraitDi[[#This Row],[Colonne32]]),FALSE),""),"[hh]:mm"))</f>
        <v>#VALUE!</v>
      </c>
      <c r="BP57" s="172" t="e">
        <f>VLOOKUP(T_BilanSocial[[#This Row],[NumL]],T_TraitDi[#Data],COLUMN(T_TraitDi[NbJTot]),FALSE)</f>
        <v>#N/A</v>
      </c>
      <c r="BQ57" s="174" t="str">
        <f>IFERROR(VLOOKUP(T_BilanSocial[[#This Row],[NumL]],T_TraitDi[#Data],COLUMN(T_TraitDi[[#This Row],[NbJTW]]),FALSE),"")</f>
        <v/>
      </c>
      <c r="BR57" s="174" t="e">
        <f>IF(VLOOKUP(T_BilanSocial[[#This Row],[NumL]],T_TraitDi[#Data],COLUMN(T_TraitDi[[#This Row],[NbhTW]]),FALSE)=0,"",TEXT(IFERROR(VLOOKUP(T_BilanSocial[[#This Row],[NumL]],T_TraitDi[#Data],COLUMN(T_TraitDi[[#This Row],[NbhTW]]),FALSE),""),"[hh]:mm"))</f>
        <v>#VALUE!</v>
      </c>
      <c r="BS57" s="174" t="e">
        <f>IF(VLOOKUP(T_BilanSocial[[#This Row],[NumL]],T_TraitDi[#Data],COLUMN(T_TraitDi[[#This Row],[Nbhheb]]),FALSE)=0,"",TEXT(IFERROR(VLOOKUP($A57,T_TraitDi[#Data],COLUMN(T_TraitDi[[#This Row],[Nbhheb]]),FALSE),""),"[hh]:mm"))</f>
        <v>#VALUE!</v>
      </c>
      <c r="BT57" s="182" t="str">
        <f>IFERROR(VLOOKUP(VLOOKUP($A57,T_TraitDi[#Data],COLUMN(T_TraitDi[[#This Row],[Type1]]),FALSE),TypeTW,2,FALSE),"")</f>
        <v/>
      </c>
      <c r="BU57" s="182" t="str">
        <f>IFERROR(VLOOKUP($A57,T_TraitDi[#Data],COLUMN(T_TraitDi[[#This Row],[Rue1]]),FALSE),"")</f>
        <v/>
      </c>
      <c r="BV57" s="173" t="str">
        <f>IFERROR(VLOOKUP($A57,T_TraitDi[#Data],COLUMN(T_TraitDi[[#This Row],[CP1]]),FALSE),"")</f>
        <v/>
      </c>
      <c r="BW57" s="173" t="str">
        <f>IFERROR(VLOOKUP($A57,T_TraitDi[#Data],COLUMN(T_TraitDi[[#This Row],[VILLE1]]),FALSE),"")</f>
        <v/>
      </c>
      <c r="BX57" s="182" t="str">
        <f>IFERROR(VLOOKUP(VLOOKUP($A57,T_TraitDi[#Data],COLUMN(T_TraitDi[[#This Row],[Type2]]),FALSE),TypeTW,2,FALSE),"")</f>
        <v/>
      </c>
      <c r="BY57" s="182" t="str">
        <f>IFERROR(VLOOKUP($A57,T_TraitDi[#Data],COLUMN(T_TraitDi[[#This Row],[Rue2]]),FALSE),"")</f>
        <v/>
      </c>
      <c r="BZ57" s="173" t="str">
        <f>IFERROR(VLOOKUP($A57,T_TraitDi[#Data],COLUMN(T_TraitDi[[#This Row],[CP2]]),FALSE),"")</f>
        <v/>
      </c>
      <c r="CA57" s="173" t="str">
        <f>IFERROR(VLOOKUP($A57,T_TraitDi[#Data],COLUMN(T_TraitDi[[#This Row],[VILLE2]]),FALSE),"")</f>
        <v/>
      </c>
      <c r="CB57" s="182" t="str">
        <f>IF(VLOOKUP(T_BilanSocial[[#This Row],[NumL]],T_Equipement[#Data],COLUMN(T_Equipement[[#This Row],[PC]]),FALSE)="","Aucun équipement spécifique directement lié au télétravail",VLOOKUP(T_BilanSocial[[#This Row],[NumL]],T_Equipement[#Data],COLUMN(T_Equipement[[#This Row],[PC]]),FALSE))</f>
        <v xml:space="preserve">19-591	</v>
      </c>
      <c r="CC57" s="166" t="str">
        <f>IFERROR(IF(VLOOKUP(T_BilanSocial[[#This Row],[NumL]],T_TraitDi[#Data],COLUMN(T_TraitDi[[#This Row],[Plan]]),FALSE)="OK","Un planning spécifique de télétravail est annexé à la présente convention.",""),"")</f>
        <v/>
      </c>
      <c r="CD57" s="258" t="s">
        <v>3412</v>
      </c>
      <c r="CE57" s="164" t="e">
        <f>IF(VLOOKUP(T_BilanSocial[[#This Row],[NumL]],T_suiviDi[#Data],COLUMN(T_suiviDi[[#This Row],[Entité]]),FALSE)="","",VLOOKUP(T_BilanSocial[[#This Row],[NumL]],T_suiviDi[#Data],COLUMN(T_suiviDi[[#This Row],[Entité]]),FALSE))</f>
        <v>#VALUE!</v>
      </c>
      <c r="CF57" s="164" t="str">
        <f>IF(VLOOKUP(T_BilanSocial[[#This Row],[NumL]],T_Commission[#Data],COLUMN(T_Commission[[#This Row],[envoi confirm TW]]),FALSE)="","",VLOOKUP(T_BilanSocial[[#This Row],[NumL]],T_Commission[#Data],COLUMN(T_Commission[[#This Row],[envoi confirm TW]]),FALSE))</f>
        <v>Oui</v>
      </c>
      <c r="CG5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7" s="262" t="str">
        <f>T_BilanSocial[[#This Row],[Nom]]&amp;T_BilanSocial[[#This Row],[Prenom]]</f>
        <v/>
      </c>
      <c r="CI57" s="262">
        <f>VLOOKUP(T_BilanSocial[[#This Row],[NumL]],T_Commission[#Data],COLUMN(T_Commission[Commentaire]),FALSE)</f>
        <v>0</v>
      </c>
      <c r="CJ57" s="262" t="str">
        <f>IF(VLOOKUP(T_BilanSocial[[#This Row],[NumL]],T_Commission[#Data],COLUMN(T_Commission[Encadrant Email]),FALSE)="","",VLOOKUP(T_BilanSocial[[#This Row],[NumL]],T_Commission[#Data],COLUMN(T_Commission[Encadrant Email]),FALSE))</f>
        <v/>
      </c>
      <c r="CK57" s="340" t="str">
        <f>IF(T_BilanSocial[[#This Row],[Final]]&lt;&gt;"",VLOOKUP(T_BilanSocial[[#This Row],[NumL]],T_suiviDi[#Data],COLUMN((T_suiviDi[Statut])),FALSE),"")</f>
        <v/>
      </c>
    </row>
    <row r="58" spans="1:89" s="106" customFormat="1" ht="24.75" customHeight="1" x14ac:dyDescent="0.25">
      <c r="A58" s="160">
        <v>55</v>
      </c>
      <c r="B58" s="161" t="str">
        <f t="shared" si="0"/>
        <v/>
      </c>
      <c r="C58" s="162" t="s">
        <v>173</v>
      </c>
      <c r="D58" s="95" t="e">
        <f>IF(VLOOKUP(T_BilanSocial[[#This Row],[NumL]],T_TraitDi[#Data],COLUMN(T_TraitDi[[#This Row],[WebC]]),FALSE)="","",VLOOKUP(T_BilanSocial[[#This Row],[NumL]],T_TraitDi[#Data],COLUMN(T_TraitDi[[#This Row],[WebC]]),FALSE))</f>
        <v>#VALUE!</v>
      </c>
      <c r="E58" s="163" t="str">
        <f t="shared" si="1"/>
        <v>12 janvier 2021</v>
      </c>
      <c r="F58" s="96" t="str">
        <f>IF(T_BilanSocial[[#This Row],[Final]]&lt;&gt;"",VLOOKUP(T_BilanSocial[[#This Row],[NumL]],T_suiviDi[#Data],COLUMN((T_suiviDi[Civ.])),FALSE),"")</f>
        <v/>
      </c>
      <c r="G58" s="96" t="str">
        <f>IF(T_BilanSocial[[#This Row],[Final]]&lt;&gt;"",VLOOKUP(T_BilanSocial[[#This Row],[NumL]],T_suiviDi[#Data],COLUMN((T_suiviDi[Nom])),FALSE),"")</f>
        <v/>
      </c>
      <c r="H58" s="96" t="str">
        <f>IF(T_BilanSocial[[#This Row],[Final]]&lt;&gt;"",VLOOKUP(T_BilanSocial[[#This Row],[NumL]],T_suiviDi[#Data],COLUMN((T_suiviDi[Prénom])),FALSE),"")</f>
        <v/>
      </c>
      <c r="I58" s="96" t="str">
        <f>IFERROR(VLOOKUP(T_BilanSocial[[#This Row],[Zone_Bilan]],T_P_BilanSocial[#Data],COLUMN(T_P_BilanSocial[[#This Row],[Numero_SIHAM]]),FALSE),"")</f>
        <v/>
      </c>
      <c r="J58" s="96" t="str">
        <f>IFERROR(VLOOKUP(T_BilanSocial[[#This Row],[Zone_Bilan]],T_P_BilanSocial[#Data],COLUMN(T_P_BilanSocial[[#This Row],[Sexe]]),FALSE),"")</f>
        <v/>
      </c>
      <c r="K58" s="97" t="str">
        <f>IFERROR(VLOOKUP(T_BilanSocial[[#This Row],[Zone_Bilan]],T_P_BilanSocial[#Data],COLUMN(T_P_BilanSocial[[#This Row],[Categorie]]),FALSE),"")</f>
        <v/>
      </c>
      <c r="L58" s="96" t="str">
        <f>IFERROR(VLOOKUP(T_BilanSocial[[#This Row],[Zone_Bilan]],T_P_BilanSocial[#Data],COLUMN(T_P_BilanSocial[[#This Row],[Statut]]),FALSE),"")</f>
        <v/>
      </c>
      <c r="M58" s="96" t="str">
        <f>IFERROR(VLOOKUP(T_BilanSocial[[#This Row],[Zone_Bilan]],T_P_BilanSocial[#Data],COLUMN(T_P_BilanSocial[[#This Row],[Filiere]]),FALSE),"")</f>
        <v/>
      </c>
      <c r="N58" s="96" t="e">
        <f>VLOOKUP(T_BilanSocial[[#This Row],[NumL]],T_TraitDi[#Data],COLUMN(T_TraitDi[EXP]),FALSE)</f>
        <v>#N/A</v>
      </c>
      <c r="O58" s="96" t="e">
        <f>VLOOKUP(T_BilanSocial[[#This Row],[NumL]],T_TraitDi[#Data],COLUMN(T_TraitDi[FORM]),FALSE)</f>
        <v>#N/A</v>
      </c>
      <c r="P58" s="96" t="str">
        <f>IF(T_BilanSocial[[#This Row],[Final]]&lt;&gt;"",VLOOKUP(T_BilanSocial[[#This Row],[NumL]],T_suiviDi[#Data],COLUMN((T_suiviDi[Email])),FALSE),"")</f>
        <v/>
      </c>
      <c r="Q58" s="164" t="e">
        <f t="shared" si="7"/>
        <v>#N/A</v>
      </c>
      <c r="R58" s="164" t="e">
        <f t="shared" si="8"/>
        <v>#N/A</v>
      </c>
      <c r="S58" s="164" t="e">
        <f>IF(VLOOKUP(T_BilanSocial[[#This Row],[NumL]],T_suiviDi[#Data],COLUMN(T_suiviDi[[#This Row],[Service ]]),FALSE)="","",VLOOKUP(T_BilanSocial[[#This Row],[NumL]],T_suiviDi[#Data],COLUMN(T_suiviDi[[#This Row],[Service ]]),FALSE))</f>
        <v>#VALUE!</v>
      </c>
      <c r="T58" s="164" t="str">
        <f t="shared" si="2"/>
        <v>01 septembre 2021</v>
      </c>
      <c r="U58" s="164" t="str">
        <f t="shared" si="3"/>
        <v>30 novembre 2021</v>
      </c>
      <c r="V58" s="164" t="str">
        <f t="shared" si="9"/>
        <v>30 novembre 2021</v>
      </c>
      <c r="W58" s="176" t="e">
        <f>IF(VLOOKUP(T_BilanSocial[[#This Row],[NumL]],T_TraitDi[#Data],COLUMN(T_TraitDi[[#This Row],[M1]]),FALSE)="","",VLOOKUP(T_BilanSocial[[#This Row],[NumL]],T_TraitDi[#Data],COLUMN(T_TraitDi[[#This Row],[M1]]),FALSE))</f>
        <v>#VALUE!</v>
      </c>
      <c r="X58" s="176" t="e">
        <f>IF(VLOOKUP(T_BilanSocial[[#This Row],[NumL]],T_TraitDi[#Data],COLUMN(T_TraitDi[[#This Row],[M2]]),FALSE)="","",VLOOKUP(T_BilanSocial[[#This Row],[NumL]],T_TraitDi[#Data],COLUMN(T_TraitDi[[#This Row],[M2]]),FALSE))</f>
        <v>#VALUE!</v>
      </c>
      <c r="Y58" s="176" t="e">
        <f>IF(VLOOKUP(T_BilanSocial[[#This Row],[NumL]],T_TraitDi[#Data],COLUMN(T_TraitDi[[#This Row],[M3]]),FALSE)="","",VLOOKUP(T_BilanSocial[[#This Row],[NumL]],T_TraitDi[#Data],COLUMN(T_TraitDi[[#This Row],[M3]]),FALSE))</f>
        <v>#VALUE!</v>
      </c>
      <c r="Z58" s="176" t="str">
        <f t="shared" si="5"/>
        <v/>
      </c>
      <c r="AA58" s="176" t="e">
        <f>IF(VLOOKUP(T_BilanSocial[[#This Row],[NumL]],T_TraitDi[#Data],COLUMN(T_TraitDi[[#This Row],[M5]]),FALSE)="","",VLOOKUP(T_BilanSocial[[#This Row],[NumL]],T_TraitDi[#Data],COLUMN(T_TraitDi[[#This Row],[M5]]),FALSE))</f>
        <v>#VALUE!</v>
      </c>
      <c r="AB58" s="176" t="e">
        <f>IF(VLOOKUP(T_BilanSocial[[#This Row],[NumL]],T_TraitDi[#Data],COLUMN(T_TraitDi[[#This Row],[M6]]),FALSE)="","",VLOOKUP(T_BilanSocial[[#This Row],[NumL]],T_TraitDi[#Data],COLUMN(T_TraitDi[[#This Row],[M6]]),FALSE))</f>
        <v>#VALUE!</v>
      </c>
      <c r="AC58" s="165" t="e">
        <f t="shared" si="4"/>
        <v>#VALUE!</v>
      </c>
      <c r="AD58" s="188" t="str">
        <f>IFERROR(TEXT(VLOOKUP(T_BilanSocial[[#This Row],[NumL]],T_TraitDi[#Data],COLUMN(T_TraitDi[[#This Row],[Q2]]),FALSE),"###%"),"")</f>
        <v/>
      </c>
      <c r="AE58" s="97" t="e">
        <f>VLOOKUP(T_BilanSocial[[#This Row],[NumL]],T_TraitDi[#Data],COLUMN(T_TraitDi[[#This Row],[Reg Ponct]]),FALSE)</f>
        <v>#VALUE!</v>
      </c>
      <c r="AF58" s="97" t="e">
        <f>VLOOKUP(T_BilanSocial[NumL],T_TraitDi[#Data],COLUMN(T_TraitDi[[#This Row],[Jours flottants]]),FALSE)</f>
        <v>#VALUE!</v>
      </c>
      <c r="AG58" s="97" t="str">
        <f>IFERROR(VLOOKUP(T_BilanSocial[[#This Row],[NumL]],T_TraitDi[#Data],COLUMN(T_TraitDi[[#This Row],[Lundi]]),FALSE),"")</f>
        <v/>
      </c>
      <c r="AH58" s="172" t="e">
        <f>IF(VLOOKUP(T_BilanSocial[[#This Row],[NumL]],T_TraitDi[#Data],COLUMN(T_TraitDi[[#This Row],[Colonne3]]),FALSE)=0,"",TEXT(IFERROR(VLOOKUP(T_BilanSocial[[#This Row],[NumL]],T_TraitDi[#Data],COLUMN(T_TraitDi[[#This Row],[Colonne3]]),FALSE),""),"[hh]:mm"))</f>
        <v>#VALUE!</v>
      </c>
      <c r="AI58" s="172" t="e">
        <f>IF(VLOOKUP(T_BilanSocial[[#This Row],[NumL]],T_TraitDi[#Data],COLUMN(T_TraitDi[[#This Row],[Colonne4]]),FALSE)=0,"",TEXT(IFERROR(VLOOKUP(T_BilanSocial[[#This Row],[NumL]],T_TraitDi[#Data],COLUMN(T_TraitDi[[#This Row],[Colonne4]]),FALSE),""),"[hh]:mm"))</f>
        <v>#VALUE!</v>
      </c>
      <c r="AJ58" s="172" t="e">
        <f>IF(VLOOKUP(T_BilanSocial[[#This Row],[NumL]],T_TraitDi[#Data],COLUMN(T_TraitDi[[#This Row],[Colonne5]]),FALSE)=0,"",TEXT(IFERROR(VLOOKUP(T_BilanSocial[[#This Row],[NumL]],T_TraitDi[#Data],COLUMN(T_TraitDi[[#This Row],[Colonne5]]),FALSE),""),"[hh]:mm"))</f>
        <v>#VALUE!</v>
      </c>
      <c r="AK58" s="172" t="e">
        <f>IF(VLOOKUP(T_BilanSocial[[#This Row],[NumL]],T_TraitDi[#Data],COLUMN(T_TraitDi[[#This Row],[Colonne6]]),FALSE)=0,"",TEXT(IFERROR(VLOOKUP(T_BilanSocial[[#This Row],[NumL]],T_TraitDi[#Data],COLUMN(T_TraitDi[[#This Row],[Colonne6]]),FALSE),""),"[hh]:mm"))</f>
        <v>#VALUE!</v>
      </c>
      <c r="AL58" s="172" t="e">
        <f>IF(VLOOKUP(T_BilanSocial[[#This Row],[NumL]],T_TraitDi[#Data],COLUMN(T_TraitDi[[#This Row],[Colonne7]]),FALSE)=0,"",TEXT(IFERROR(VLOOKUP(T_BilanSocial[[#This Row],[NumL]],T_TraitDi[#Data],COLUMN(T_TraitDi[[#This Row],[Colonne7]]),FALSE),""),"[hh]:mm"))</f>
        <v>#VALUE!</v>
      </c>
      <c r="AM58" s="172" t="e">
        <f>IF(VLOOKUP(T_BilanSocial[[#This Row],[NumL]],T_TraitDi[#Data],COLUMN(T_TraitDi[[#This Row],[Colonne8]]),FALSE)=0,"",TEXT(IFERROR(VLOOKUP(T_BilanSocial[[#This Row],[NumL]],T_TraitDi[#Data],COLUMN(T_TraitDi[[#This Row],[Colonne8]]),FALSE),""),"[hh]:mm"))</f>
        <v>#VALUE!</v>
      </c>
      <c r="AN58" s="172" t="str">
        <f>IFERROR(VLOOKUP(T_BilanSocial[[#This Row],[NumL]],T_TraitDi[#Data],COLUMN(T_TraitDi[[#This Row],[Mardi]]),FALSE),"")</f>
        <v/>
      </c>
      <c r="AO58" s="172" t="e">
        <f>IF(VLOOKUP(T_BilanSocial[[#This Row],[NumL]],T_TraitDi[#Data],COLUMN(T_TraitDi[[#This Row],[Colonne1]]),FALSE)=0,"",TEXT(IFERROR(VLOOKUP(T_BilanSocial[[#This Row],[NumL]],T_TraitDi[#Data],COLUMN(T_TraitDi[[#This Row],[Colonne1]]),FALSE),""),"[hh]:mm"))</f>
        <v>#VALUE!</v>
      </c>
      <c r="AP58" s="172" t="e">
        <f>IF(VLOOKUP(T_BilanSocial[[#This Row],[NumL]],T_TraitDi[#Data],COLUMN(T_TraitDi[[#This Row],[Colonne9]]),FALSE)=0,"",TEXT(IFERROR(VLOOKUP(T_BilanSocial[[#This Row],[NumL]],T_TraitDi[#Data],COLUMN(T_TraitDi[[#This Row],[Colonne9]]),FALSE),""),"[hh]:mm"))</f>
        <v>#VALUE!</v>
      </c>
      <c r="AQ58" s="172" t="str">
        <f>IFERROR(VLOOKUP(T_BilanSocial[[#This Row],[NumL]],T_TraitDi[#Data],COLUMN(T_TraitDi[[#This Row],[Colonne10]]),FALSE),"")</f>
        <v/>
      </c>
      <c r="AR58" s="172" t="e">
        <f>IF(VLOOKUP(T_BilanSocial[[#This Row],[NumL]],T_TraitDi[#Data],COLUMN(T_TraitDi[[#This Row],[Colonne11]]),FALSE)=0,"",TEXT(IFERROR(VLOOKUP(T_BilanSocial[[#This Row],[NumL]],T_TraitDi[#Data],COLUMN(T_TraitDi[[#This Row],[Colonne11]]),FALSE),""),"[hh]:mm"))</f>
        <v>#VALUE!</v>
      </c>
      <c r="AS58" s="172" t="e">
        <f>IF(VLOOKUP(T_BilanSocial[[#This Row],[NumL]],T_TraitDi[#Data],COLUMN(T_TraitDi[[#This Row],[Colonne12]]),FALSE)=0,"",TEXT(IFERROR(VLOOKUP(T_BilanSocial[[#This Row],[NumL]],T_TraitDi[#Data],COLUMN(T_TraitDi[[#This Row],[Colonne12]]),FALSE),""),"[hh]:mm"))</f>
        <v>#VALUE!</v>
      </c>
      <c r="AT58" s="172" t="e">
        <f>IF(VLOOKUP(T_BilanSocial[[#This Row],[NumL]],T_TraitDi[#Data],COLUMN(T_TraitDi[[#This Row],[Colonne14]]),FALSE)=0,"",TEXT(IFERROR(VLOOKUP(T_BilanSocial[[#This Row],[NumL]],T_TraitDi[#Data],COLUMN(T_TraitDi[[#This Row],[Colonne14]]),FALSE),""),"[hh]:mm"))</f>
        <v>#VALUE!</v>
      </c>
      <c r="AU58" s="172" t="str">
        <f>IFERROR(VLOOKUP(T_BilanSocial[[#This Row],[NumL]],T_TraitDi[#Data],COLUMN(T_TraitDi[[#This Row],[Mercredi]]),FALSE),"")</f>
        <v/>
      </c>
      <c r="AV58" s="172" t="e">
        <f>IF(VLOOKUP(T_BilanSocial[[#This Row],[NumL]],T_TraitDi[#Data],COLUMN(T_TraitDi[[#This Row],[Colonne15]]),FALSE)=0,"",TEXT(IFERROR(VLOOKUP(T_BilanSocial[[#This Row],[NumL]],T_TraitDi[#Data],COLUMN(T_TraitDi[[#This Row],[Colonne15]]),FALSE),""),"[hh]:mm"))</f>
        <v>#VALUE!</v>
      </c>
      <c r="AW58" s="172" t="e">
        <f>IF(VLOOKUP(T_BilanSocial[[#This Row],[NumL]],T_TraitDi[#Data],COLUMN(T_TraitDi[[#This Row],[Colonne16]]),FALSE)=0,"",TEXT(IFERROR(VLOOKUP(T_BilanSocial[[#This Row],[NumL]],T_TraitDi[#Data],COLUMN(T_TraitDi[[#This Row],[Colonne16]]),FALSE),""),"[hh]:mm"))</f>
        <v>#VALUE!</v>
      </c>
      <c r="AX58" s="172" t="str">
        <f>IFERROR(VLOOKUP(T_BilanSocial[[#This Row],[NumL]],T_TraitDi[#Data],COLUMN(T_TraitDi[[#This Row],[Colonne17]]),FALSE),"")</f>
        <v/>
      </c>
      <c r="AY58" s="172" t="e">
        <f>IF(VLOOKUP(T_BilanSocial[[#This Row],[NumL]],T_TraitDi[#Data],COLUMN(T_TraitDi[[#This Row],[Colonne18]]),FALSE)=0,"",TEXT(IFERROR(VLOOKUP(T_BilanSocial[[#This Row],[NumL]],T_TraitDi[#Data],COLUMN(T_TraitDi[[#This Row],[Colonne18]]),FALSE),""),"[hh]:mm"))</f>
        <v>#VALUE!</v>
      </c>
      <c r="AZ58" s="172" t="e">
        <f>IF(VLOOKUP(T_BilanSocial[[#This Row],[NumL]],T_TraitDi[#Data],COLUMN(T_TraitDi[[#This Row],[Colonne19]]),FALSE)=0,"",TEXT(IFERROR(VLOOKUP(T_BilanSocial[[#This Row],[NumL]],T_TraitDi[#Data],COLUMN(T_TraitDi[[#This Row],[Colonne19]]),FALSE),""),"[hh]:mm"))</f>
        <v>#VALUE!</v>
      </c>
      <c r="BA58" s="172" t="e">
        <f>IF(VLOOKUP(T_BilanSocial[[#This Row],[NumL]],T_TraitDi[#Data],COLUMN(T_TraitDi[[#This Row],[Colonne20]]),FALSE)=0,"",TEXT(IFERROR(VLOOKUP(T_BilanSocial[[#This Row],[NumL]],T_TraitDi[#Data],COLUMN(T_TraitDi[[#This Row],[Colonne20]]),FALSE),""),"[hh]:mm"))</f>
        <v>#VALUE!</v>
      </c>
      <c r="BB58" s="178" t="str">
        <f>IFERROR(VLOOKUP(T_BilanSocial[[#This Row],[NumL]],T_TraitDi[#Data],COLUMN(T_TraitDi[[#This Row],[Jeudi]]),FALSE),"")</f>
        <v/>
      </c>
      <c r="BC58" s="178" t="e">
        <f>IF(VLOOKUP(T_BilanSocial[[#This Row],[NumL]],T_TraitDi[#Data],COLUMN(T_TraitDi[[#This Row],[Colonne21]]),FALSE)=0,"",TEXT(IFERROR(VLOOKUP(T_BilanSocial[[#This Row],[NumL]],T_TraitDi[#Data],COLUMN(T_TraitDi[[#This Row],[Colonne21]]),FALSE),""),"[hh]:mm"))</f>
        <v>#VALUE!</v>
      </c>
      <c r="BD58" s="178" t="e">
        <f>IF(VLOOKUP(T_BilanSocial[[#This Row],[NumL]],T_TraitDi[#Data],COLUMN(T_TraitDi[[#This Row],[Colonne22]]),FALSE)=0,"",TEXT(IFERROR(VLOOKUP(T_BilanSocial[[#This Row],[NumL]],T_TraitDi[#Data],COLUMN(T_TraitDi[[#This Row],[Colonne22]]),FALSE),""),"[hh]:mm"))</f>
        <v>#VALUE!</v>
      </c>
      <c r="BE58" s="178" t="str">
        <f>IFERROR(VLOOKUP(T_BilanSocial[[#This Row],[NumL]],T_TraitDi[#Data],COLUMN(T_TraitDi[[#This Row],[Colonne23]]),FALSE),"")</f>
        <v/>
      </c>
      <c r="BF58" s="178" t="e">
        <f>IF(VLOOKUP(T_BilanSocial[[#This Row],[NumL]],T_TraitDi[#Data],COLUMN(T_TraitDi[[#This Row],[Colonne24]]),FALSE)=0,"",TEXT(IFERROR(VLOOKUP(T_BilanSocial[[#This Row],[NumL]],T_TraitDi[#Data],COLUMN(T_TraitDi[[#This Row],[Colonne24]]),FALSE),""),"[hh]:mm"))</f>
        <v>#VALUE!</v>
      </c>
      <c r="BG58" s="178" t="e">
        <f>IF(VLOOKUP(T_BilanSocial[[#This Row],[NumL]],T_TraitDi[#Data],COLUMN(T_TraitDi[[#This Row],[Colonne25]]),FALSE)=0,"",TEXT(IFERROR(VLOOKUP(T_BilanSocial[[#This Row],[NumL]],T_TraitDi[#Data],COLUMN(T_TraitDi[[#This Row],[Colonne25]]),FALSE),""),"[hh]:mm"))</f>
        <v>#VALUE!</v>
      </c>
      <c r="BH58" s="178" t="e">
        <f>IF(VLOOKUP(T_BilanSocial[[#This Row],[NumL]],T_TraitDi[#Data],COLUMN(T_TraitDi[[#This Row],[Colonne26]]),FALSE)=0,"",TEXT(IFERROR(VLOOKUP(T_BilanSocial[[#This Row],[NumL]],T_TraitDi[#Data],COLUMN(T_TraitDi[[#This Row],[Colonne26]]),FALSE),""),"[hh]:mm"))</f>
        <v>#VALUE!</v>
      </c>
      <c r="BI58" s="172" t="str">
        <f>IFERROR(VLOOKUP(T_BilanSocial[[#This Row],[NumL]],T_TraitDi[#Data],COLUMN(T_TraitDi[[#This Row],[Vendredi]]),FALSE),"")</f>
        <v/>
      </c>
      <c r="BJ58" s="172" t="e">
        <f>IF(VLOOKUP(T_BilanSocial[[#This Row],[NumL]],T_TraitDi[#Data],COLUMN(T_TraitDi[[#This Row],[Colonne27]]),FALSE)=0,"",TEXT(IFERROR(VLOOKUP(T_BilanSocial[[#This Row],[NumL]],T_TraitDi[#Data],COLUMN(T_TraitDi[[#This Row],[Colonne27]]),FALSE),""),"[hh]:mm"))</f>
        <v>#VALUE!</v>
      </c>
      <c r="BK58" s="172" t="e">
        <f>IF(VLOOKUP(T_BilanSocial[[#This Row],[NumL]],T_TraitDi[#Data],COLUMN(T_TraitDi[[#This Row],[Colonne28]]),FALSE)=0,"",TEXT(IFERROR(VLOOKUP(T_BilanSocial[[#This Row],[NumL]],T_TraitDi[#Data],COLUMN(T_TraitDi[[#This Row],[Colonne28]]),FALSE),""),"[hh]:mm"))</f>
        <v>#VALUE!</v>
      </c>
      <c r="BL58" s="172" t="str">
        <f>IFERROR(VLOOKUP(T_BilanSocial[[#This Row],[NumL]],T_TraitDi[#Data],COLUMN(T_TraitDi[[#This Row],[Colonne29]]),FALSE),"")</f>
        <v/>
      </c>
      <c r="BM58" s="172" t="e">
        <f>IF(VLOOKUP(T_BilanSocial[[#This Row],[NumL]],T_TraitDi[#Data],COLUMN(T_TraitDi[[#This Row],[Colonne30]]),FALSE)=0,"",TEXT(IFERROR(VLOOKUP(T_BilanSocial[[#This Row],[NumL]],T_TraitDi[#Data],COLUMN(T_TraitDi[[#This Row],[Colonne30]]),FALSE),""),"[hh]:mm"))</f>
        <v>#VALUE!</v>
      </c>
      <c r="BN58" s="172" t="e">
        <f>IF(VLOOKUP(T_BilanSocial[[#This Row],[NumL]],T_TraitDi[#Data],COLUMN(T_TraitDi[[#This Row],[Colonne31]]),FALSE)=0,"",TEXT(IFERROR(VLOOKUP(T_BilanSocial[[#This Row],[NumL]],T_TraitDi[#Data],COLUMN(T_TraitDi[[#This Row],[Colonne31]]),FALSE),""),"[hh]:mm"))</f>
        <v>#VALUE!</v>
      </c>
      <c r="BO58" s="172" t="e">
        <f>IF(VLOOKUP(T_BilanSocial[[#This Row],[NumL]],T_TraitDi[#Data],COLUMN(T_TraitDi[[#This Row],[Colonne32]]),FALSE)=0,"",TEXT(IFERROR(VLOOKUP(T_BilanSocial[[#This Row],[NumL]],T_TraitDi[#Data],COLUMN(T_TraitDi[[#This Row],[Colonne32]]),FALSE),""),"[hh]:mm"))</f>
        <v>#VALUE!</v>
      </c>
      <c r="BP58" s="172" t="e">
        <f>VLOOKUP(T_BilanSocial[[#This Row],[NumL]],T_TraitDi[#Data],COLUMN(T_TraitDi[NbJTot]),FALSE)</f>
        <v>#N/A</v>
      </c>
      <c r="BQ58" s="174" t="str">
        <f>IFERROR(VLOOKUP(T_BilanSocial[[#This Row],[NumL]],T_TraitDi[#Data],COLUMN(T_TraitDi[[#This Row],[NbJTW]]),FALSE),"")</f>
        <v/>
      </c>
      <c r="BR58" s="174" t="e">
        <f>IF(VLOOKUP(T_BilanSocial[[#This Row],[NumL]],T_TraitDi[#Data],COLUMN(T_TraitDi[[#This Row],[NbhTW]]),FALSE)=0,"",TEXT(IFERROR(VLOOKUP(T_BilanSocial[[#This Row],[NumL]],T_TraitDi[#Data],COLUMN(T_TraitDi[[#This Row],[NbhTW]]),FALSE),""),"[hh]:mm"))</f>
        <v>#VALUE!</v>
      </c>
      <c r="BS58" s="174" t="e">
        <f>IF(VLOOKUP(T_BilanSocial[[#This Row],[NumL]],T_TraitDi[#Data],COLUMN(T_TraitDi[[#This Row],[Nbhheb]]),FALSE)=0,"",TEXT(IFERROR(VLOOKUP($A58,T_TraitDi[#Data],COLUMN(T_TraitDi[[#This Row],[Nbhheb]]),FALSE),""),"[hh]:mm"))</f>
        <v>#VALUE!</v>
      </c>
      <c r="BT58" s="182" t="str">
        <f>IFERROR(VLOOKUP(VLOOKUP($A58,T_TraitDi[#Data],COLUMN(T_TraitDi[[#This Row],[Type1]]),FALSE),TypeTW,2,FALSE),"")</f>
        <v/>
      </c>
      <c r="BU58" s="182" t="str">
        <f>IFERROR(VLOOKUP($A58,T_TraitDi[#Data],COLUMN(T_TraitDi[[#This Row],[Rue1]]),FALSE),"")</f>
        <v/>
      </c>
      <c r="BV58" s="173" t="str">
        <f>IFERROR(VLOOKUP($A58,T_TraitDi[#Data],COLUMN(T_TraitDi[[#This Row],[CP1]]),FALSE),"")</f>
        <v/>
      </c>
      <c r="BW58" s="173" t="str">
        <f>IFERROR(VLOOKUP($A58,T_TraitDi[#Data],COLUMN(T_TraitDi[[#This Row],[VILLE1]]),FALSE),"")</f>
        <v/>
      </c>
      <c r="BX58" s="182" t="str">
        <f>IFERROR(VLOOKUP(VLOOKUP($A58,T_TraitDi[#Data],COLUMN(T_TraitDi[[#This Row],[Type2]]),FALSE),TypeTW,2,FALSE),"")</f>
        <v/>
      </c>
      <c r="BY58" s="182" t="str">
        <f>IFERROR(VLOOKUP($A58,T_TraitDi[#Data],COLUMN(T_TraitDi[[#This Row],[Rue2]]),FALSE),"")</f>
        <v/>
      </c>
      <c r="BZ58" s="173" t="str">
        <f>IFERROR(VLOOKUP($A58,T_TraitDi[#Data],COLUMN(T_TraitDi[[#This Row],[CP2]]),FALSE),"")</f>
        <v/>
      </c>
      <c r="CA58" s="173" t="str">
        <f>IFERROR(VLOOKUP($A58,T_TraitDi[#Data],COLUMN(T_TraitDi[[#This Row],[VILLE2]]),FALSE),"")</f>
        <v/>
      </c>
      <c r="CB58" s="182" t="str">
        <f>IF(VLOOKUP(T_BilanSocial[[#This Row],[NumL]],T_Equipement[#Data],COLUMN(T_Equipement[[#This Row],[PC]]),FALSE)="","Aucun équipement spécifique directement lié au télétravail",VLOOKUP(T_BilanSocial[[#This Row],[NumL]],T_Equipement[#Data],COLUMN(T_Equipement[[#This Row],[PC]]),FALSE))</f>
        <v xml:space="preserve">20-280	</v>
      </c>
      <c r="CC58" s="166" t="str">
        <f>IFERROR(IF(VLOOKUP(T_BilanSocial[[#This Row],[NumL]],T_TraitDi[#Data],COLUMN(T_TraitDi[[#This Row],[Plan]]),FALSE)="OK","Un planning spécifique de télétravail est annexé à la présente convention.",""),"")</f>
        <v/>
      </c>
      <c r="CD58" s="258" t="s">
        <v>3413</v>
      </c>
      <c r="CE58" s="164" t="e">
        <f>IF(VLOOKUP(T_BilanSocial[[#This Row],[NumL]],T_suiviDi[#Data],COLUMN(T_suiviDi[[#This Row],[Entité]]),FALSE)="","",VLOOKUP(T_BilanSocial[[#This Row],[NumL]],T_suiviDi[#Data],COLUMN(T_suiviDi[[#This Row],[Entité]]),FALSE))</f>
        <v>#VALUE!</v>
      </c>
      <c r="CF58" s="164" t="str">
        <f>IF(VLOOKUP(T_BilanSocial[[#This Row],[NumL]],T_Commission[#Data],COLUMN(T_Commission[[#This Row],[envoi confirm TW]]),FALSE)="","",VLOOKUP(T_BilanSocial[[#This Row],[NumL]],T_Commission[#Data],COLUMN(T_Commission[[#This Row],[envoi confirm TW]]),FALSE))</f>
        <v>Oui</v>
      </c>
      <c r="CG5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8" s="262" t="str">
        <f>T_BilanSocial[[#This Row],[Nom]]&amp;T_BilanSocial[[#This Row],[Prenom]]</f>
        <v/>
      </c>
      <c r="CI58" s="262">
        <f>VLOOKUP(T_BilanSocial[[#This Row],[NumL]],T_Commission[#Data],COLUMN(T_Commission[Commentaire]),FALSE)</f>
        <v>0</v>
      </c>
      <c r="CJ58" s="262" t="str">
        <f>IF(VLOOKUP(T_BilanSocial[[#This Row],[NumL]],T_Commission[#Data],COLUMN(T_Commission[Encadrant Email]),FALSE)="","",VLOOKUP(T_BilanSocial[[#This Row],[NumL]],T_Commission[#Data],COLUMN(T_Commission[Encadrant Email]),FALSE))</f>
        <v/>
      </c>
      <c r="CK58" s="340" t="str">
        <f>IF(T_BilanSocial[[#This Row],[Final]]&lt;&gt;"",VLOOKUP(T_BilanSocial[[#This Row],[NumL]],T_suiviDi[#Data],COLUMN((T_suiviDi[Statut])),FALSE),"")</f>
        <v/>
      </c>
    </row>
    <row r="59" spans="1:89" s="106" customFormat="1" ht="24.75" customHeight="1" x14ac:dyDescent="0.25">
      <c r="A59" s="160">
        <v>56</v>
      </c>
      <c r="B59" s="161" t="str">
        <f t="shared" si="0"/>
        <v/>
      </c>
      <c r="C59" s="162" t="s">
        <v>173</v>
      </c>
      <c r="D59" s="95" t="e">
        <f>IF(VLOOKUP(T_BilanSocial[[#This Row],[NumL]],T_TraitDi[#Data],COLUMN(T_TraitDi[[#This Row],[WebC]]),FALSE)="","",VLOOKUP(T_BilanSocial[[#This Row],[NumL]],T_TraitDi[#Data],COLUMN(T_TraitDi[[#This Row],[WebC]]),FALSE))</f>
        <v>#VALUE!</v>
      </c>
      <c r="E59" s="163" t="str">
        <f t="shared" si="1"/>
        <v>12 janvier 2021</v>
      </c>
      <c r="F59" s="96" t="str">
        <f>IF(T_BilanSocial[[#This Row],[Final]]&lt;&gt;"",VLOOKUP(T_BilanSocial[[#This Row],[NumL]],T_suiviDi[#Data],COLUMN((T_suiviDi[Civ.])),FALSE),"")</f>
        <v/>
      </c>
      <c r="G59" s="96" t="str">
        <f>IF(T_BilanSocial[[#This Row],[Final]]&lt;&gt;"",VLOOKUP(T_BilanSocial[[#This Row],[NumL]],T_suiviDi[#Data],COLUMN((T_suiviDi[Nom])),FALSE),"")</f>
        <v/>
      </c>
      <c r="H59" s="96" t="str">
        <f>IF(T_BilanSocial[[#This Row],[Final]]&lt;&gt;"",VLOOKUP(T_BilanSocial[[#This Row],[NumL]],T_suiviDi[#Data],COLUMN((T_suiviDi[Prénom])),FALSE),"")</f>
        <v/>
      </c>
      <c r="I59" s="96" t="str">
        <f>IFERROR(VLOOKUP(T_BilanSocial[[#This Row],[Zone_Bilan]],T_P_BilanSocial[#Data],COLUMN(T_P_BilanSocial[[#This Row],[Numero_SIHAM]]),FALSE),"")</f>
        <v/>
      </c>
      <c r="J59" s="96" t="str">
        <f>IFERROR(VLOOKUP(T_BilanSocial[[#This Row],[Zone_Bilan]],T_P_BilanSocial[#Data],COLUMN(T_P_BilanSocial[[#This Row],[Sexe]]),FALSE),"")</f>
        <v/>
      </c>
      <c r="K59" s="97" t="str">
        <f>IFERROR(VLOOKUP(T_BilanSocial[[#This Row],[Zone_Bilan]],T_P_BilanSocial[#Data],COLUMN(T_P_BilanSocial[[#This Row],[Categorie]]),FALSE),"")</f>
        <v/>
      </c>
      <c r="L59" s="96" t="str">
        <f>IFERROR(VLOOKUP(T_BilanSocial[[#This Row],[Zone_Bilan]],T_P_BilanSocial[#Data],COLUMN(T_P_BilanSocial[[#This Row],[Statut]]),FALSE),"")</f>
        <v/>
      </c>
      <c r="M59" s="96" t="str">
        <f>IFERROR(VLOOKUP(T_BilanSocial[[#This Row],[Zone_Bilan]],T_P_BilanSocial[#Data],COLUMN(T_P_BilanSocial[[#This Row],[Filiere]]),FALSE),"")</f>
        <v/>
      </c>
      <c r="N59" s="96" t="e">
        <f>VLOOKUP(T_BilanSocial[[#This Row],[NumL]],T_TraitDi[#Data],COLUMN(T_TraitDi[EXP]),FALSE)</f>
        <v>#N/A</v>
      </c>
      <c r="O59" s="96" t="e">
        <f>VLOOKUP(T_BilanSocial[[#This Row],[NumL]],T_TraitDi[#Data],COLUMN(T_TraitDi[FORM]),FALSE)</f>
        <v>#N/A</v>
      </c>
      <c r="P59" s="96" t="str">
        <f>IF(T_BilanSocial[[#This Row],[Final]]&lt;&gt;"",VLOOKUP(T_BilanSocial[[#This Row],[NumL]],T_suiviDi[#Data],COLUMN((T_suiviDi[Email])),FALSE),"")</f>
        <v/>
      </c>
      <c r="Q59" s="164" t="e">
        <f t="shared" si="7"/>
        <v>#N/A</v>
      </c>
      <c r="R59" s="164" t="e">
        <f t="shared" si="8"/>
        <v>#N/A</v>
      </c>
      <c r="S59" s="164" t="e">
        <f>IF(VLOOKUP(T_BilanSocial[[#This Row],[NumL]],T_suiviDi[#Data],COLUMN(T_suiviDi[[#This Row],[Service ]]),FALSE)="","",VLOOKUP(T_BilanSocial[[#This Row],[NumL]],T_suiviDi[#Data],COLUMN(T_suiviDi[[#This Row],[Service ]]),FALSE))</f>
        <v>#VALUE!</v>
      </c>
      <c r="T59" s="164" t="str">
        <f t="shared" si="2"/>
        <v>01 septembre 2021</v>
      </c>
      <c r="U59" s="164" t="str">
        <f t="shared" si="3"/>
        <v>30 novembre 2021</v>
      </c>
      <c r="V59" s="164" t="str">
        <f t="shared" si="9"/>
        <v>30 novembre 2021</v>
      </c>
      <c r="W59" s="176" t="e">
        <f>IF(VLOOKUP(T_BilanSocial[[#This Row],[NumL]],T_TraitDi[#Data],COLUMN(T_TraitDi[[#This Row],[M1]]),FALSE)="","",VLOOKUP(T_BilanSocial[[#This Row],[NumL]],T_TraitDi[#Data],COLUMN(T_TraitDi[[#This Row],[M1]]),FALSE))</f>
        <v>#VALUE!</v>
      </c>
      <c r="X59" s="176" t="e">
        <f>IF(VLOOKUP(T_BilanSocial[[#This Row],[NumL]],T_TraitDi[#Data],COLUMN(T_TraitDi[[#This Row],[M2]]),FALSE)="","",VLOOKUP(T_BilanSocial[[#This Row],[NumL]],T_TraitDi[#Data],COLUMN(T_TraitDi[[#This Row],[M2]]),FALSE))</f>
        <v>#VALUE!</v>
      </c>
      <c r="Y59" s="176" t="e">
        <f>IF(VLOOKUP(T_BilanSocial[[#This Row],[NumL]],T_TraitDi[#Data],COLUMN(T_TraitDi[[#This Row],[M3]]),FALSE)="","",VLOOKUP(T_BilanSocial[[#This Row],[NumL]],T_TraitDi[#Data],COLUMN(T_TraitDi[[#This Row],[M3]]),FALSE))</f>
        <v>#VALUE!</v>
      </c>
      <c r="Z59" s="176" t="str">
        <f t="shared" si="5"/>
        <v/>
      </c>
      <c r="AA59" s="176" t="e">
        <f>IF(VLOOKUP(T_BilanSocial[[#This Row],[NumL]],T_TraitDi[#Data],COLUMN(T_TraitDi[[#This Row],[M5]]),FALSE)="","",VLOOKUP(T_BilanSocial[[#This Row],[NumL]],T_TraitDi[#Data],COLUMN(T_TraitDi[[#This Row],[M5]]),FALSE))</f>
        <v>#VALUE!</v>
      </c>
      <c r="AB59" s="176" t="e">
        <f>IF(VLOOKUP(T_BilanSocial[[#This Row],[NumL]],T_TraitDi[#Data],COLUMN(T_TraitDi[[#This Row],[M6]]),FALSE)="","",VLOOKUP(T_BilanSocial[[#This Row],[NumL]],T_TraitDi[#Data],COLUMN(T_TraitDi[[#This Row],[M6]]),FALSE))</f>
        <v>#VALUE!</v>
      </c>
      <c r="AC59" s="165" t="e">
        <f t="shared" si="4"/>
        <v>#VALUE!</v>
      </c>
      <c r="AD59" s="188" t="str">
        <f>IFERROR(TEXT(VLOOKUP(T_BilanSocial[[#This Row],[NumL]],T_TraitDi[#Data],COLUMN(T_TraitDi[[#This Row],[Q2]]),FALSE),"###%"),"")</f>
        <v/>
      </c>
      <c r="AE59" s="97" t="e">
        <f>VLOOKUP(T_BilanSocial[[#This Row],[NumL]],T_TraitDi[#Data],COLUMN(T_TraitDi[[#This Row],[Reg Ponct]]),FALSE)</f>
        <v>#VALUE!</v>
      </c>
      <c r="AF59" s="97" t="e">
        <f>VLOOKUP(T_BilanSocial[NumL],T_TraitDi[#Data],COLUMN(T_TraitDi[[#This Row],[Jours flottants]]),FALSE)</f>
        <v>#VALUE!</v>
      </c>
      <c r="AG59" s="97" t="str">
        <f>IFERROR(VLOOKUP(T_BilanSocial[[#This Row],[NumL]],T_TraitDi[#Data],COLUMN(T_TraitDi[[#This Row],[Lundi]]),FALSE),"")</f>
        <v/>
      </c>
      <c r="AH59" s="172" t="e">
        <f>IF(VLOOKUP(T_BilanSocial[[#This Row],[NumL]],T_TraitDi[#Data],COLUMN(T_TraitDi[[#This Row],[Colonne3]]),FALSE)=0,"",TEXT(IFERROR(VLOOKUP(T_BilanSocial[[#This Row],[NumL]],T_TraitDi[#Data],COLUMN(T_TraitDi[[#This Row],[Colonne3]]),FALSE),""),"[hh]:mm"))</f>
        <v>#VALUE!</v>
      </c>
      <c r="AI59" s="172" t="e">
        <f>IF(VLOOKUP(T_BilanSocial[[#This Row],[NumL]],T_TraitDi[#Data],COLUMN(T_TraitDi[[#This Row],[Colonne4]]),FALSE)=0,"",TEXT(IFERROR(VLOOKUP(T_BilanSocial[[#This Row],[NumL]],T_TraitDi[#Data],COLUMN(T_TraitDi[[#This Row],[Colonne4]]),FALSE),""),"[hh]:mm"))</f>
        <v>#VALUE!</v>
      </c>
      <c r="AJ59" s="172" t="e">
        <f>IF(VLOOKUP(T_BilanSocial[[#This Row],[NumL]],T_TraitDi[#Data],COLUMN(T_TraitDi[[#This Row],[Colonne5]]),FALSE)=0,"",TEXT(IFERROR(VLOOKUP(T_BilanSocial[[#This Row],[NumL]],T_TraitDi[#Data],COLUMN(T_TraitDi[[#This Row],[Colonne5]]),FALSE),""),"[hh]:mm"))</f>
        <v>#VALUE!</v>
      </c>
      <c r="AK59" s="172" t="e">
        <f>IF(VLOOKUP(T_BilanSocial[[#This Row],[NumL]],T_TraitDi[#Data],COLUMN(T_TraitDi[[#This Row],[Colonne6]]),FALSE)=0,"",TEXT(IFERROR(VLOOKUP(T_BilanSocial[[#This Row],[NumL]],T_TraitDi[#Data],COLUMN(T_TraitDi[[#This Row],[Colonne6]]),FALSE),""),"[hh]:mm"))</f>
        <v>#VALUE!</v>
      </c>
      <c r="AL59" s="172" t="e">
        <f>IF(VLOOKUP(T_BilanSocial[[#This Row],[NumL]],T_TraitDi[#Data],COLUMN(T_TraitDi[[#This Row],[Colonne7]]),FALSE)=0,"",TEXT(IFERROR(VLOOKUP(T_BilanSocial[[#This Row],[NumL]],T_TraitDi[#Data],COLUMN(T_TraitDi[[#This Row],[Colonne7]]),FALSE),""),"[hh]:mm"))</f>
        <v>#VALUE!</v>
      </c>
      <c r="AM59" s="172" t="e">
        <f>IF(VLOOKUP(T_BilanSocial[[#This Row],[NumL]],T_TraitDi[#Data],COLUMN(T_TraitDi[[#This Row],[Colonne8]]),FALSE)=0,"",TEXT(IFERROR(VLOOKUP(T_BilanSocial[[#This Row],[NumL]],T_TraitDi[#Data],COLUMN(T_TraitDi[[#This Row],[Colonne8]]),FALSE),""),"[hh]:mm"))</f>
        <v>#VALUE!</v>
      </c>
      <c r="AN59" s="172" t="str">
        <f>IFERROR(VLOOKUP(T_BilanSocial[[#This Row],[NumL]],T_TraitDi[#Data],COLUMN(T_TraitDi[[#This Row],[Mardi]]),FALSE),"")</f>
        <v/>
      </c>
      <c r="AO59" s="172" t="e">
        <f>IF(VLOOKUP(T_BilanSocial[[#This Row],[NumL]],T_TraitDi[#Data],COLUMN(T_TraitDi[[#This Row],[Colonne1]]),FALSE)=0,"",TEXT(IFERROR(VLOOKUP(T_BilanSocial[[#This Row],[NumL]],T_TraitDi[#Data],COLUMN(T_TraitDi[[#This Row],[Colonne1]]),FALSE),""),"[hh]:mm"))</f>
        <v>#VALUE!</v>
      </c>
      <c r="AP59" s="172" t="e">
        <f>IF(VLOOKUP(T_BilanSocial[[#This Row],[NumL]],T_TraitDi[#Data],COLUMN(T_TraitDi[[#This Row],[Colonne9]]),FALSE)=0,"",TEXT(IFERROR(VLOOKUP(T_BilanSocial[[#This Row],[NumL]],T_TraitDi[#Data],COLUMN(T_TraitDi[[#This Row],[Colonne9]]),FALSE),""),"[hh]:mm"))</f>
        <v>#VALUE!</v>
      </c>
      <c r="AQ59" s="172" t="str">
        <f>IFERROR(VLOOKUP(T_BilanSocial[[#This Row],[NumL]],T_TraitDi[#Data],COLUMN(T_TraitDi[[#This Row],[Colonne10]]),FALSE),"")</f>
        <v/>
      </c>
      <c r="AR59" s="172" t="e">
        <f>IF(VLOOKUP(T_BilanSocial[[#This Row],[NumL]],T_TraitDi[#Data],COLUMN(T_TraitDi[[#This Row],[Colonne11]]),FALSE)=0,"",TEXT(IFERROR(VLOOKUP(T_BilanSocial[[#This Row],[NumL]],T_TraitDi[#Data],COLUMN(T_TraitDi[[#This Row],[Colonne11]]),FALSE),""),"[hh]:mm"))</f>
        <v>#VALUE!</v>
      </c>
      <c r="AS59" s="172" t="e">
        <f>IF(VLOOKUP(T_BilanSocial[[#This Row],[NumL]],T_TraitDi[#Data],COLUMN(T_TraitDi[[#This Row],[Colonne12]]),FALSE)=0,"",TEXT(IFERROR(VLOOKUP(T_BilanSocial[[#This Row],[NumL]],T_TraitDi[#Data],COLUMN(T_TraitDi[[#This Row],[Colonne12]]),FALSE),""),"[hh]:mm"))</f>
        <v>#VALUE!</v>
      </c>
      <c r="AT59" s="172" t="e">
        <f>IF(VLOOKUP(T_BilanSocial[[#This Row],[NumL]],T_TraitDi[#Data],COLUMN(T_TraitDi[[#This Row],[Colonne14]]),FALSE)=0,"",TEXT(IFERROR(VLOOKUP(T_BilanSocial[[#This Row],[NumL]],T_TraitDi[#Data],COLUMN(T_TraitDi[[#This Row],[Colonne14]]),FALSE),""),"[hh]:mm"))</f>
        <v>#VALUE!</v>
      </c>
      <c r="AU59" s="172" t="str">
        <f>IFERROR(VLOOKUP(T_BilanSocial[[#This Row],[NumL]],T_TraitDi[#Data],COLUMN(T_TraitDi[[#This Row],[Mercredi]]),FALSE),"")</f>
        <v/>
      </c>
      <c r="AV59" s="172" t="e">
        <f>IF(VLOOKUP(T_BilanSocial[[#This Row],[NumL]],T_TraitDi[#Data],COLUMN(T_TraitDi[[#This Row],[Colonne15]]),FALSE)=0,"",TEXT(IFERROR(VLOOKUP(T_BilanSocial[[#This Row],[NumL]],T_TraitDi[#Data],COLUMN(T_TraitDi[[#This Row],[Colonne15]]),FALSE),""),"[hh]:mm"))</f>
        <v>#VALUE!</v>
      </c>
      <c r="AW59" s="172" t="e">
        <f>IF(VLOOKUP(T_BilanSocial[[#This Row],[NumL]],T_TraitDi[#Data],COLUMN(T_TraitDi[[#This Row],[Colonne16]]),FALSE)=0,"",TEXT(IFERROR(VLOOKUP(T_BilanSocial[[#This Row],[NumL]],T_TraitDi[#Data],COLUMN(T_TraitDi[[#This Row],[Colonne16]]),FALSE),""),"[hh]:mm"))</f>
        <v>#VALUE!</v>
      </c>
      <c r="AX59" s="172" t="str">
        <f>IFERROR(VLOOKUP(T_BilanSocial[[#This Row],[NumL]],T_TraitDi[#Data],COLUMN(T_TraitDi[[#This Row],[Colonne17]]),FALSE),"")</f>
        <v/>
      </c>
      <c r="AY59" s="172" t="e">
        <f>IF(VLOOKUP(T_BilanSocial[[#This Row],[NumL]],T_TraitDi[#Data],COLUMN(T_TraitDi[[#This Row],[Colonne18]]),FALSE)=0,"",TEXT(IFERROR(VLOOKUP(T_BilanSocial[[#This Row],[NumL]],T_TraitDi[#Data],COLUMN(T_TraitDi[[#This Row],[Colonne18]]),FALSE),""),"[hh]:mm"))</f>
        <v>#VALUE!</v>
      </c>
      <c r="AZ59" s="172" t="e">
        <f>IF(VLOOKUP(T_BilanSocial[[#This Row],[NumL]],T_TraitDi[#Data],COLUMN(T_TraitDi[[#This Row],[Colonne19]]),FALSE)=0,"",TEXT(IFERROR(VLOOKUP(T_BilanSocial[[#This Row],[NumL]],T_TraitDi[#Data],COLUMN(T_TraitDi[[#This Row],[Colonne19]]),FALSE),""),"[hh]:mm"))</f>
        <v>#VALUE!</v>
      </c>
      <c r="BA59" s="172" t="e">
        <f>IF(VLOOKUP(T_BilanSocial[[#This Row],[NumL]],T_TraitDi[#Data],COLUMN(T_TraitDi[[#This Row],[Colonne20]]),FALSE)=0,"",TEXT(IFERROR(VLOOKUP(T_BilanSocial[[#This Row],[NumL]],T_TraitDi[#Data],COLUMN(T_TraitDi[[#This Row],[Colonne20]]),FALSE),""),"[hh]:mm"))</f>
        <v>#VALUE!</v>
      </c>
      <c r="BB59" s="178" t="str">
        <f>IFERROR(VLOOKUP(T_BilanSocial[[#This Row],[NumL]],T_TraitDi[#Data],COLUMN(T_TraitDi[[#This Row],[Jeudi]]),FALSE),"")</f>
        <v/>
      </c>
      <c r="BC59" s="178" t="e">
        <f>IF(VLOOKUP(T_BilanSocial[[#This Row],[NumL]],T_TraitDi[#Data],COLUMN(T_TraitDi[[#This Row],[Colonne21]]),FALSE)=0,"",TEXT(IFERROR(VLOOKUP(T_BilanSocial[[#This Row],[NumL]],T_TraitDi[#Data],COLUMN(T_TraitDi[[#This Row],[Colonne21]]),FALSE),""),"[hh]:mm"))</f>
        <v>#VALUE!</v>
      </c>
      <c r="BD59" s="178" t="e">
        <f>IF(VLOOKUP(T_BilanSocial[[#This Row],[NumL]],T_TraitDi[#Data],COLUMN(T_TraitDi[[#This Row],[Colonne22]]),FALSE)=0,"",TEXT(IFERROR(VLOOKUP(T_BilanSocial[[#This Row],[NumL]],T_TraitDi[#Data],COLUMN(T_TraitDi[[#This Row],[Colonne22]]),FALSE),""),"[hh]:mm"))</f>
        <v>#VALUE!</v>
      </c>
      <c r="BE59" s="178" t="str">
        <f>IFERROR(VLOOKUP(T_BilanSocial[[#This Row],[NumL]],T_TraitDi[#Data],COLUMN(T_TraitDi[[#This Row],[Colonne23]]),FALSE),"")</f>
        <v/>
      </c>
      <c r="BF59" s="178" t="e">
        <f>IF(VLOOKUP(T_BilanSocial[[#This Row],[NumL]],T_TraitDi[#Data],COLUMN(T_TraitDi[[#This Row],[Colonne24]]),FALSE)=0,"",TEXT(IFERROR(VLOOKUP(T_BilanSocial[[#This Row],[NumL]],T_TraitDi[#Data],COLUMN(T_TraitDi[[#This Row],[Colonne24]]),FALSE),""),"[hh]:mm"))</f>
        <v>#VALUE!</v>
      </c>
      <c r="BG59" s="178" t="e">
        <f>IF(VLOOKUP(T_BilanSocial[[#This Row],[NumL]],T_TraitDi[#Data],COLUMN(T_TraitDi[[#This Row],[Colonne25]]),FALSE)=0,"",TEXT(IFERROR(VLOOKUP(T_BilanSocial[[#This Row],[NumL]],T_TraitDi[#Data],COLUMN(T_TraitDi[[#This Row],[Colonne25]]),FALSE),""),"[hh]:mm"))</f>
        <v>#VALUE!</v>
      </c>
      <c r="BH59" s="178" t="e">
        <f>IF(VLOOKUP(T_BilanSocial[[#This Row],[NumL]],T_TraitDi[#Data],COLUMN(T_TraitDi[[#This Row],[Colonne26]]),FALSE)=0,"",TEXT(IFERROR(VLOOKUP(T_BilanSocial[[#This Row],[NumL]],T_TraitDi[#Data],COLUMN(T_TraitDi[[#This Row],[Colonne26]]),FALSE),""),"[hh]:mm"))</f>
        <v>#VALUE!</v>
      </c>
      <c r="BI59" s="172" t="str">
        <f>IFERROR(VLOOKUP(T_BilanSocial[[#This Row],[NumL]],T_TraitDi[#Data],COLUMN(T_TraitDi[[#This Row],[Vendredi]]),FALSE),"")</f>
        <v/>
      </c>
      <c r="BJ59" s="172" t="e">
        <f>IF(VLOOKUP(T_BilanSocial[[#This Row],[NumL]],T_TraitDi[#Data],COLUMN(T_TraitDi[[#This Row],[Colonne27]]),FALSE)=0,"",TEXT(IFERROR(VLOOKUP(T_BilanSocial[[#This Row],[NumL]],T_TraitDi[#Data],COLUMN(T_TraitDi[[#This Row],[Colonne27]]),FALSE),""),"[hh]:mm"))</f>
        <v>#VALUE!</v>
      </c>
      <c r="BK59" s="172" t="e">
        <f>IF(VLOOKUP(T_BilanSocial[[#This Row],[NumL]],T_TraitDi[#Data],COLUMN(T_TraitDi[[#This Row],[Colonne28]]),FALSE)=0,"",TEXT(IFERROR(VLOOKUP(T_BilanSocial[[#This Row],[NumL]],T_TraitDi[#Data],COLUMN(T_TraitDi[[#This Row],[Colonne28]]),FALSE),""),"[hh]:mm"))</f>
        <v>#VALUE!</v>
      </c>
      <c r="BL59" s="172" t="str">
        <f>IFERROR(VLOOKUP(T_BilanSocial[[#This Row],[NumL]],T_TraitDi[#Data],COLUMN(T_TraitDi[[#This Row],[Colonne29]]),FALSE),"")</f>
        <v/>
      </c>
      <c r="BM59" s="172" t="e">
        <f>IF(VLOOKUP(T_BilanSocial[[#This Row],[NumL]],T_TraitDi[#Data],COLUMN(T_TraitDi[[#This Row],[Colonne30]]),FALSE)=0,"",TEXT(IFERROR(VLOOKUP(T_BilanSocial[[#This Row],[NumL]],T_TraitDi[#Data],COLUMN(T_TraitDi[[#This Row],[Colonne30]]),FALSE),""),"[hh]:mm"))</f>
        <v>#VALUE!</v>
      </c>
      <c r="BN59" s="172" t="e">
        <f>IF(VLOOKUP(T_BilanSocial[[#This Row],[NumL]],T_TraitDi[#Data],COLUMN(T_TraitDi[[#This Row],[Colonne31]]),FALSE)=0,"",TEXT(IFERROR(VLOOKUP(T_BilanSocial[[#This Row],[NumL]],T_TraitDi[#Data],COLUMN(T_TraitDi[[#This Row],[Colonne31]]),FALSE),""),"[hh]:mm"))</f>
        <v>#VALUE!</v>
      </c>
      <c r="BO59" s="172" t="e">
        <f>IF(VLOOKUP(T_BilanSocial[[#This Row],[NumL]],T_TraitDi[#Data],COLUMN(T_TraitDi[[#This Row],[Colonne32]]),FALSE)=0,"",TEXT(IFERROR(VLOOKUP(T_BilanSocial[[#This Row],[NumL]],T_TraitDi[#Data],COLUMN(T_TraitDi[[#This Row],[Colonne32]]),FALSE),""),"[hh]:mm"))</f>
        <v>#VALUE!</v>
      </c>
      <c r="BP59" s="172" t="e">
        <f>VLOOKUP(T_BilanSocial[[#This Row],[NumL]],T_TraitDi[#Data],COLUMN(T_TraitDi[NbJTot]),FALSE)</f>
        <v>#N/A</v>
      </c>
      <c r="BQ59" s="174" t="str">
        <f>IFERROR(VLOOKUP(T_BilanSocial[[#This Row],[NumL]],T_TraitDi[#Data],COLUMN(T_TraitDi[[#This Row],[NbJTW]]),FALSE),"")</f>
        <v/>
      </c>
      <c r="BR59" s="174" t="e">
        <f>IF(VLOOKUP(T_BilanSocial[[#This Row],[NumL]],T_TraitDi[#Data],COLUMN(T_TraitDi[[#This Row],[NbhTW]]),FALSE)=0,"",TEXT(IFERROR(VLOOKUP(T_BilanSocial[[#This Row],[NumL]],T_TraitDi[#Data],COLUMN(T_TraitDi[[#This Row],[NbhTW]]),FALSE),""),"[hh]:mm"))</f>
        <v>#VALUE!</v>
      </c>
      <c r="BS59" s="174" t="e">
        <f>IF(VLOOKUP(T_BilanSocial[[#This Row],[NumL]],T_TraitDi[#Data],COLUMN(T_TraitDi[[#This Row],[Nbhheb]]),FALSE)=0,"",TEXT(IFERROR(VLOOKUP($A59,T_TraitDi[#Data],COLUMN(T_TraitDi[[#This Row],[Nbhheb]]),FALSE),""),"[hh]:mm"))</f>
        <v>#VALUE!</v>
      </c>
      <c r="BT59" s="182" t="str">
        <f>IFERROR(VLOOKUP(VLOOKUP($A59,T_TraitDi[#Data],COLUMN(T_TraitDi[[#This Row],[Type1]]),FALSE),TypeTW,2,FALSE),"")</f>
        <v/>
      </c>
      <c r="BU59" s="182" t="str">
        <f>IFERROR(VLOOKUP($A59,T_TraitDi[#Data],COLUMN(T_TraitDi[[#This Row],[Rue1]]),FALSE),"")</f>
        <v/>
      </c>
      <c r="BV59" s="173" t="str">
        <f>IFERROR(VLOOKUP($A59,T_TraitDi[#Data],COLUMN(T_TraitDi[[#This Row],[CP1]]),FALSE),"")</f>
        <v/>
      </c>
      <c r="BW59" s="173" t="str">
        <f>IFERROR(VLOOKUP($A59,T_TraitDi[#Data],COLUMN(T_TraitDi[[#This Row],[VILLE1]]),FALSE),"")</f>
        <v/>
      </c>
      <c r="BX59" s="182" t="str">
        <f>IFERROR(VLOOKUP(VLOOKUP($A59,T_TraitDi[#Data],COLUMN(T_TraitDi[[#This Row],[Type2]]),FALSE),TypeTW,2,FALSE),"")</f>
        <v/>
      </c>
      <c r="BY59" s="182" t="str">
        <f>IFERROR(VLOOKUP($A59,T_TraitDi[#Data],COLUMN(T_TraitDi[[#This Row],[Rue2]]),FALSE),"")</f>
        <v/>
      </c>
      <c r="BZ59" s="173" t="str">
        <f>IFERROR(VLOOKUP($A59,T_TraitDi[#Data],COLUMN(T_TraitDi[[#This Row],[CP2]]),FALSE),"")</f>
        <v/>
      </c>
      <c r="CA59" s="173" t="str">
        <f>IFERROR(VLOOKUP($A59,T_TraitDi[#Data],COLUMN(T_TraitDi[[#This Row],[VILLE2]]),FALSE),"")</f>
        <v/>
      </c>
      <c r="CB59" s="182" t="str">
        <f>IF(VLOOKUP(T_BilanSocial[[#This Row],[NumL]],T_Equipement[#Data],COLUMN(T_Equipement[[#This Row],[PC]]),FALSE)="","Aucun équipement spécifique directement lié au télétravail",VLOOKUP(T_BilanSocial[[#This Row],[NumL]],T_Equipement[#Data],COLUMN(T_Equipement[[#This Row],[PC]]),FALSE))</f>
        <v>16-384</v>
      </c>
      <c r="CC59" s="166" t="str">
        <f>IFERROR(IF(VLOOKUP(T_BilanSocial[[#This Row],[NumL]],T_TraitDi[#Data],COLUMN(T_TraitDi[[#This Row],[Plan]]),FALSE)="OK","Un planning spécifique de télétravail est annexé à la présente convention.",""),"")</f>
        <v/>
      </c>
      <c r="CD59" s="258" t="s">
        <v>3440</v>
      </c>
      <c r="CE59" s="164" t="e">
        <f>IF(VLOOKUP(T_BilanSocial[[#This Row],[NumL]],T_suiviDi[#Data],COLUMN(T_suiviDi[[#This Row],[Entité]]),FALSE)="","",VLOOKUP(T_BilanSocial[[#This Row],[NumL]],T_suiviDi[#Data],COLUMN(T_suiviDi[[#This Row],[Entité]]),FALSE))</f>
        <v>#VALUE!</v>
      </c>
      <c r="CF59" s="164" t="str">
        <f>IF(VLOOKUP(T_BilanSocial[[#This Row],[NumL]],T_Commission[#Data],COLUMN(T_Commission[[#This Row],[envoi confirm TW]]),FALSE)="","",VLOOKUP(T_BilanSocial[[#This Row],[NumL]],T_Commission[#Data],COLUMN(T_Commission[[#This Row],[envoi confirm TW]]),FALSE))</f>
        <v>Oui</v>
      </c>
      <c r="CG5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59" s="262" t="str">
        <f>T_BilanSocial[[#This Row],[Nom]]&amp;T_BilanSocial[[#This Row],[Prenom]]</f>
        <v/>
      </c>
      <c r="CI59" s="262">
        <f>VLOOKUP(T_BilanSocial[[#This Row],[NumL]],T_Commission[#Data],COLUMN(T_Commission[Commentaire]),FALSE)</f>
        <v>0</v>
      </c>
      <c r="CJ59" s="262" t="str">
        <f>IF(VLOOKUP(T_BilanSocial[[#This Row],[NumL]],T_Commission[#Data],COLUMN(T_Commission[Encadrant Email]),FALSE)="","",VLOOKUP(T_BilanSocial[[#This Row],[NumL]],T_Commission[#Data],COLUMN(T_Commission[Encadrant Email]),FALSE))</f>
        <v/>
      </c>
      <c r="CK59" s="340" t="str">
        <f>IF(T_BilanSocial[[#This Row],[Final]]&lt;&gt;"",VLOOKUP(T_BilanSocial[[#This Row],[NumL]],T_suiviDi[#Data],COLUMN((T_suiviDi[Statut])),FALSE),"")</f>
        <v/>
      </c>
    </row>
    <row r="60" spans="1:89" s="106" customFormat="1" ht="12" customHeight="1" x14ac:dyDescent="0.25">
      <c r="A60" s="160">
        <v>57</v>
      </c>
      <c r="B60" s="161">
        <f t="shared" si="0"/>
        <v>1</v>
      </c>
      <c r="C60" s="162" t="s">
        <v>173</v>
      </c>
      <c r="D60" s="95" t="e">
        <f>IF(VLOOKUP(T_BilanSocial[[#This Row],[NumL]],T_TraitDi[#Data],COLUMN(T_TraitDi[[#This Row],[WebC]]),FALSE)="","",VLOOKUP(T_BilanSocial[[#This Row],[NumL]],T_TraitDi[#Data],COLUMN(T_TraitDi[[#This Row],[WebC]]),FALSE))</f>
        <v>#VALUE!</v>
      </c>
      <c r="E60" s="163" t="str">
        <f t="shared" si="1"/>
        <v>12 janvier 2021</v>
      </c>
      <c r="F60" s="96" t="str">
        <f>IF(T_BilanSocial[[#This Row],[Final]]&lt;&gt;"",VLOOKUP(T_BilanSocial[[#This Row],[NumL]],T_suiviDi[#Data],COLUMN((T_suiviDi[Civ.])),FALSE),"")</f>
        <v>M.</v>
      </c>
      <c r="G60" s="96" t="str">
        <f>IF(T_BilanSocial[[#This Row],[Final]]&lt;&gt;"",VLOOKUP(T_BilanSocial[[#This Row],[NumL]],T_suiviDi[#Data],COLUMN((T_suiviDi[Nom])),FALSE),"")</f>
        <v>A</v>
      </c>
      <c r="H60" s="96" t="str">
        <f>IF(T_BilanSocial[[#This Row],[Final]]&lt;&gt;"",VLOOKUP(T_BilanSocial[[#This Row],[NumL]],T_suiviDi[#Data],COLUMN((T_suiviDi[Prénom])),FALSE),"")</f>
        <v>Lionel</v>
      </c>
      <c r="I60" s="96" t="str">
        <f>IFERROR(VLOOKUP(T_BilanSocial[[#This Row],[Zone_Bilan]],T_P_BilanSocial[#Data],COLUMN(T_P_BilanSocial[[#This Row],[Numero_SIHAM]]),FALSE),"")</f>
        <v/>
      </c>
      <c r="J60" s="96" t="str">
        <f>IFERROR(VLOOKUP(T_BilanSocial[[#This Row],[Zone_Bilan]],T_P_BilanSocial[#Data],COLUMN(T_P_BilanSocial[[#This Row],[Sexe]]),FALSE),"")</f>
        <v/>
      </c>
      <c r="K60" s="97" t="str">
        <f>IFERROR(VLOOKUP(T_BilanSocial[[#This Row],[Zone_Bilan]],T_P_BilanSocial[#Data],COLUMN(T_P_BilanSocial[[#This Row],[Categorie]]),FALSE),"")</f>
        <v/>
      </c>
      <c r="L60" s="96" t="str">
        <f>IFERROR(VLOOKUP(T_BilanSocial[[#This Row],[Zone_Bilan]],T_P_BilanSocial[#Data],COLUMN(T_P_BilanSocial[[#This Row],[Statut]]),FALSE),"")</f>
        <v/>
      </c>
      <c r="M60" s="96" t="str">
        <f>IFERROR(VLOOKUP(T_BilanSocial[[#This Row],[Zone_Bilan]],T_P_BilanSocial[#Data],COLUMN(T_P_BilanSocial[[#This Row],[Filiere]]),FALSE),"")</f>
        <v/>
      </c>
      <c r="N60" s="96" t="str">
        <f>VLOOKUP(T_BilanSocial[[#This Row],[NumL]],T_TraitDi[#Data],COLUMN(T_TraitDi[EXP]),FALSE)</f>
        <v>N</v>
      </c>
      <c r="O60" s="96" t="str">
        <f>VLOOKUP(T_BilanSocial[[#This Row],[NumL]],T_TraitDi[#Data],COLUMN(T_TraitDi[FORM]),FALSE)</f>
        <v>O</v>
      </c>
      <c r="P60" s="96">
        <f>IF(T_BilanSocial[[#This Row],[Final]]&lt;&gt;"",VLOOKUP(T_BilanSocial[[#This Row],[NumL]],T_suiviDi[#Data],COLUMN((T_suiviDi[Email])),FALSE),"")</f>
        <v>0</v>
      </c>
      <c r="Q60" s="164" t="str">
        <f t="shared" si="7"/>
        <v/>
      </c>
      <c r="R60" s="164" t="str">
        <f t="shared" si="8"/>
        <v>Gestionnaire de scolarité</v>
      </c>
      <c r="S60" s="164" t="e">
        <f>IF(VLOOKUP(T_BilanSocial[[#This Row],[NumL]],T_suiviDi[#Data],COLUMN(T_suiviDi[[#This Row],[Service ]]),FALSE)="","",VLOOKUP(T_BilanSocial[[#This Row],[NumL]],T_suiviDi[#Data],COLUMN(T_suiviDi[[#This Row],[Service ]]),FALSE))</f>
        <v>#VALUE!</v>
      </c>
      <c r="T60" s="164" t="str">
        <f t="shared" si="2"/>
        <v>01 septembre 2021</v>
      </c>
      <c r="U60" s="164" t="str">
        <f t="shared" si="3"/>
        <v>30 novembre 2021</v>
      </c>
      <c r="V60" s="164" t="str">
        <f t="shared" si="9"/>
        <v>30 novembre 2021</v>
      </c>
      <c r="W60" s="176" t="e">
        <f>IF(VLOOKUP(T_BilanSocial[[#This Row],[NumL]],T_TraitDi[#Data],COLUMN(T_TraitDi[[#This Row],[M1]]),FALSE)="","",VLOOKUP(T_BilanSocial[[#This Row],[NumL]],T_TraitDi[#Data],COLUMN(T_TraitDi[[#This Row],[M1]]),FALSE))</f>
        <v>#VALUE!</v>
      </c>
      <c r="X60" s="176" t="e">
        <f>IF(VLOOKUP(T_BilanSocial[[#This Row],[NumL]],T_TraitDi[#Data],COLUMN(T_TraitDi[[#This Row],[M2]]),FALSE)="","",VLOOKUP(T_BilanSocial[[#This Row],[NumL]],T_TraitDi[#Data],COLUMN(T_TraitDi[[#This Row],[M2]]),FALSE))</f>
        <v>#VALUE!</v>
      </c>
      <c r="Y60" s="176" t="e">
        <f>IF(VLOOKUP(T_BilanSocial[[#This Row],[NumL]],T_TraitDi[#Data],COLUMN(T_TraitDi[[#This Row],[M3]]),FALSE)="","",VLOOKUP(T_BilanSocial[[#This Row],[NumL]],T_TraitDi[#Data],COLUMN(T_TraitDi[[#This Row],[M3]]),FALSE))</f>
        <v>#VALUE!</v>
      </c>
      <c r="Z60" s="176" t="str">
        <f t="shared" si="5"/>
        <v xml:space="preserve"> -Diffusion des informations et des réponses numériques</v>
      </c>
      <c r="AA60" s="176" t="e">
        <f>IF(VLOOKUP(T_BilanSocial[[#This Row],[NumL]],T_TraitDi[#Data],COLUMN(T_TraitDi[[#This Row],[M5]]),FALSE)="","",VLOOKUP(T_BilanSocial[[#This Row],[NumL]],T_TraitDi[#Data],COLUMN(T_TraitDi[[#This Row],[M5]]),FALSE))</f>
        <v>#VALUE!</v>
      </c>
      <c r="AB60" s="176" t="e">
        <f>IF(VLOOKUP(T_BilanSocial[[#This Row],[NumL]],T_TraitDi[#Data],COLUMN(T_TraitDi[[#This Row],[M6]]),FALSE)="","",VLOOKUP(T_BilanSocial[[#This Row],[NumL]],T_TraitDi[#Data],COLUMN(T_TraitDi[[#This Row],[M6]]),FALSE))</f>
        <v>#VALUE!</v>
      </c>
      <c r="AC60" s="165" t="e">
        <f t="shared" si="4"/>
        <v>#VALUE!</v>
      </c>
      <c r="AD60" s="188" t="str">
        <f>IFERROR(TEXT(VLOOKUP(T_BilanSocial[[#This Row],[NumL]],T_TraitDi[#Data],COLUMN(T_TraitDi[[#This Row],[Q2]]),FALSE),"###%"),"")</f>
        <v/>
      </c>
      <c r="AE60" s="97" t="e">
        <f>VLOOKUP(T_BilanSocial[[#This Row],[NumL]],T_TraitDi[#Data],COLUMN(T_TraitDi[[#This Row],[Reg Ponct]]),FALSE)</f>
        <v>#VALUE!</v>
      </c>
      <c r="AF60" s="97" t="e">
        <f>VLOOKUP(T_BilanSocial[NumL],T_TraitDi[#Data],COLUMN(T_TraitDi[[#This Row],[Jours flottants]]),FALSE)</f>
        <v>#VALUE!</v>
      </c>
      <c r="AG60" s="97" t="str">
        <f>IFERROR(VLOOKUP(T_BilanSocial[[#This Row],[NumL]],T_TraitDi[#Data],COLUMN(T_TraitDi[[#This Row],[Lundi]]),FALSE),"")</f>
        <v/>
      </c>
      <c r="AH60" s="172" t="e">
        <f>IF(VLOOKUP(T_BilanSocial[[#This Row],[NumL]],T_TraitDi[#Data],COLUMN(T_TraitDi[[#This Row],[Colonne3]]),FALSE)=0,"",TEXT(IFERROR(VLOOKUP(T_BilanSocial[[#This Row],[NumL]],T_TraitDi[#Data],COLUMN(T_TraitDi[[#This Row],[Colonne3]]),FALSE),""),"[hh]:mm"))</f>
        <v>#VALUE!</v>
      </c>
      <c r="AI60" s="172" t="e">
        <f>IF(VLOOKUP(T_BilanSocial[[#This Row],[NumL]],T_TraitDi[#Data],COLUMN(T_TraitDi[[#This Row],[Colonne4]]),FALSE)=0,"",TEXT(IFERROR(VLOOKUP(T_BilanSocial[[#This Row],[NumL]],T_TraitDi[#Data],COLUMN(T_TraitDi[[#This Row],[Colonne4]]),FALSE),""),"[hh]:mm"))</f>
        <v>#VALUE!</v>
      </c>
      <c r="AJ60" s="172" t="e">
        <f>IF(VLOOKUP(T_BilanSocial[[#This Row],[NumL]],T_TraitDi[#Data],COLUMN(T_TraitDi[[#This Row],[Colonne5]]),FALSE)=0,"",TEXT(IFERROR(VLOOKUP(T_BilanSocial[[#This Row],[NumL]],T_TraitDi[#Data],COLUMN(T_TraitDi[[#This Row],[Colonne5]]),FALSE),""),"[hh]:mm"))</f>
        <v>#VALUE!</v>
      </c>
      <c r="AK60" s="172" t="e">
        <f>IF(VLOOKUP(T_BilanSocial[[#This Row],[NumL]],T_TraitDi[#Data],COLUMN(T_TraitDi[[#This Row],[Colonne6]]),FALSE)=0,"",TEXT(IFERROR(VLOOKUP(T_BilanSocial[[#This Row],[NumL]],T_TraitDi[#Data],COLUMN(T_TraitDi[[#This Row],[Colonne6]]),FALSE),""),"[hh]:mm"))</f>
        <v>#VALUE!</v>
      </c>
      <c r="AL60" s="172" t="e">
        <f>IF(VLOOKUP(T_BilanSocial[[#This Row],[NumL]],T_TraitDi[#Data],COLUMN(T_TraitDi[[#This Row],[Colonne7]]),FALSE)=0,"",TEXT(IFERROR(VLOOKUP(T_BilanSocial[[#This Row],[NumL]],T_TraitDi[#Data],COLUMN(T_TraitDi[[#This Row],[Colonne7]]),FALSE),""),"[hh]:mm"))</f>
        <v>#VALUE!</v>
      </c>
      <c r="AM60" s="172" t="e">
        <f>IF(VLOOKUP(T_BilanSocial[[#This Row],[NumL]],T_TraitDi[#Data],COLUMN(T_TraitDi[[#This Row],[Colonne8]]),FALSE)=0,"",TEXT(IFERROR(VLOOKUP(T_BilanSocial[[#This Row],[NumL]],T_TraitDi[#Data],COLUMN(T_TraitDi[[#This Row],[Colonne8]]),FALSE),""),"[hh]:mm"))</f>
        <v>#VALUE!</v>
      </c>
      <c r="AN60" s="172" t="str">
        <f>IFERROR(VLOOKUP(T_BilanSocial[[#This Row],[NumL]],T_TraitDi[#Data],COLUMN(T_TraitDi[[#This Row],[Mardi]]),FALSE),"")</f>
        <v/>
      </c>
      <c r="AO60" s="172" t="e">
        <f>IF(VLOOKUP(T_BilanSocial[[#This Row],[NumL]],T_TraitDi[#Data],COLUMN(T_TraitDi[[#This Row],[Colonne1]]),FALSE)=0,"",TEXT(IFERROR(VLOOKUP(T_BilanSocial[[#This Row],[NumL]],T_TraitDi[#Data],COLUMN(T_TraitDi[[#This Row],[Colonne1]]),FALSE),""),"[hh]:mm"))</f>
        <v>#VALUE!</v>
      </c>
      <c r="AP60" s="172" t="e">
        <f>IF(VLOOKUP(T_BilanSocial[[#This Row],[NumL]],T_TraitDi[#Data],COLUMN(T_TraitDi[[#This Row],[Colonne9]]),FALSE)=0,"",TEXT(IFERROR(VLOOKUP(T_BilanSocial[[#This Row],[NumL]],T_TraitDi[#Data],COLUMN(T_TraitDi[[#This Row],[Colonne9]]),FALSE),""),"[hh]:mm"))</f>
        <v>#VALUE!</v>
      </c>
      <c r="AQ60" s="172" t="str">
        <f>IFERROR(VLOOKUP(T_BilanSocial[[#This Row],[NumL]],T_TraitDi[#Data],COLUMN(T_TraitDi[[#This Row],[Colonne10]]),FALSE),"")</f>
        <v/>
      </c>
      <c r="AR60" s="172" t="e">
        <f>IF(VLOOKUP(T_BilanSocial[[#This Row],[NumL]],T_TraitDi[#Data],COLUMN(T_TraitDi[[#This Row],[Colonne11]]),FALSE)=0,"",TEXT(IFERROR(VLOOKUP(T_BilanSocial[[#This Row],[NumL]],T_TraitDi[#Data],COLUMN(T_TraitDi[[#This Row],[Colonne11]]),FALSE),""),"[hh]:mm"))</f>
        <v>#VALUE!</v>
      </c>
      <c r="AS60" s="172" t="e">
        <f>IF(VLOOKUP(T_BilanSocial[[#This Row],[NumL]],T_TraitDi[#Data],COLUMN(T_TraitDi[[#This Row],[Colonne12]]),FALSE)=0,"",TEXT(IFERROR(VLOOKUP(T_BilanSocial[[#This Row],[NumL]],T_TraitDi[#Data],COLUMN(T_TraitDi[[#This Row],[Colonne12]]),FALSE),""),"[hh]:mm"))</f>
        <v>#VALUE!</v>
      </c>
      <c r="AT60" s="172" t="e">
        <f>IF(VLOOKUP(T_BilanSocial[[#This Row],[NumL]],T_TraitDi[#Data],COLUMN(T_TraitDi[[#This Row],[Colonne14]]),FALSE)=0,"",TEXT(IFERROR(VLOOKUP(T_BilanSocial[[#This Row],[NumL]],T_TraitDi[#Data],COLUMN(T_TraitDi[[#This Row],[Colonne14]]),FALSE),""),"[hh]:mm"))</f>
        <v>#VALUE!</v>
      </c>
      <c r="AU60" s="172" t="str">
        <f>IFERROR(VLOOKUP(T_BilanSocial[[#This Row],[NumL]],T_TraitDi[#Data],COLUMN(T_TraitDi[[#This Row],[Mercredi]]),FALSE),"")</f>
        <v/>
      </c>
      <c r="AV60" s="172" t="e">
        <f>IF(VLOOKUP(T_BilanSocial[[#This Row],[NumL]],T_TraitDi[#Data],COLUMN(T_TraitDi[[#This Row],[Colonne15]]),FALSE)=0,"",TEXT(IFERROR(VLOOKUP(T_BilanSocial[[#This Row],[NumL]],T_TraitDi[#Data],COLUMN(T_TraitDi[[#This Row],[Colonne15]]),FALSE),""),"[hh]:mm"))</f>
        <v>#VALUE!</v>
      </c>
      <c r="AW60" s="172" t="e">
        <f>IF(VLOOKUP(T_BilanSocial[[#This Row],[NumL]],T_TraitDi[#Data],COLUMN(T_TraitDi[[#This Row],[Colonne16]]),FALSE)=0,"",TEXT(IFERROR(VLOOKUP(T_BilanSocial[[#This Row],[NumL]],T_TraitDi[#Data],COLUMN(T_TraitDi[[#This Row],[Colonne16]]),FALSE),""),"[hh]:mm"))</f>
        <v>#VALUE!</v>
      </c>
      <c r="AX60" s="172" t="str">
        <f>IFERROR(VLOOKUP(T_BilanSocial[[#This Row],[NumL]],T_TraitDi[#Data],COLUMN(T_TraitDi[[#This Row],[Colonne17]]),FALSE),"")</f>
        <v/>
      </c>
      <c r="AY60" s="172" t="e">
        <f>IF(VLOOKUP(T_BilanSocial[[#This Row],[NumL]],T_TraitDi[#Data],COLUMN(T_TraitDi[[#This Row],[Colonne18]]),FALSE)=0,"",TEXT(IFERROR(VLOOKUP(T_BilanSocial[[#This Row],[NumL]],T_TraitDi[#Data],COLUMN(T_TraitDi[[#This Row],[Colonne18]]),FALSE),""),"[hh]:mm"))</f>
        <v>#VALUE!</v>
      </c>
      <c r="AZ60" s="172" t="e">
        <f>IF(VLOOKUP(T_BilanSocial[[#This Row],[NumL]],T_TraitDi[#Data],COLUMN(T_TraitDi[[#This Row],[Colonne19]]),FALSE)=0,"",TEXT(IFERROR(VLOOKUP(T_BilanSocial[[#This Row],[NumL]],T_TraitDi[#Data],COLUMN(T_TraitDi[[#This Row],[Colonne19]]),FALSE),""),"[hh]:mm"))</f>
        <v>#VALUE!</v>
      </c>
      <c r="BA60" s="172" t="e">
        <f>IF(VLOOKUP(T_BilanSocial[[#This Row],[NumL]],T_TraitDi[#Data],COLUMN(T_TraitDi[[#This Row],[Colonne20]]),FALSE)=0,"",TEXT(IFERROR(VLOOKUP(T_BilanSocial[[#This Row],[NumL]],T_TraitDi[#Data],COLUMN(T_TraitDi[[#This Row],[Colonne20]]),FALSE),""),"[hh]:mm"))</f>
        <v>#VALUE!</v>
      </c>
      <c r="BB60" s="178" t="str">
        <f>IFERROR(VLOOKUP(T_BilanSocial[[#This Row],[NumL]],T_TraitDi[#Data],COLUMN(T_TraitDi[[#This Row],[Jeudi]]),FALSE),"")</f>
        <v/>
      </c>
      <c r="BC60" s="178" t="e">
        <f>IF(VLOOKUP(T_BilanSocial[[#This Row],[NumL]],T_TraitDi[#Data],COLUMN(T_TraitDi[[#This Row],[Colonne21]]),FALSE)=0,"",TEXT(IFERROR(VLOOKUP(T_BilanSocial[[#This Row],[NumL]],T_TraitDi[#Data],COLUMN(T_TraitDi[[#This Row],[Colonne21]]),FALSE),""),"[hh]:mm"))</f>
        <v>#VALUE!</v>
      </c>
      <c r="BD60" s="178" t="e">
        <f>IF(VLOOKUP(T_BilanSocial[[#This Row],[NumL]],T_TraitDi[#Data],COLUMN(T_TraitDi[[#This Row],[Colonne22]]),FALSE)=0,"",TEXT(IFERROR(VLOOKUP(T_BilanSocial[[#This Row],[NumL]],T_TraitDi[#Data],COLUMN(T_TraitDi[[#This Row],[Colonne22]]),FALSE),""),"[hh]:mm"))</f>
        <v>#VALUE!</v>
      </c>
      <c r="BE60" s="178" t="str">
        <f>IFERROR(VLOOKUP(T_BilanSocial[[#This Row],[NumL]],T_TraitDi[#Data],COLUMN(T_TraitDi[[#This Row],[Colonne23]]),FALSE),"")</f>
        <v/>
      </c>
      <c r="BF60" s="178" t="e">
        <f>IF(VLOOKUP(T_BilanSocial[[#This Row],[NumL]],T_TraitDi[#Data],COLUMN(T_TraitDi[[#This Row],[Colonne24]]),FALSE)=0,"",TEXT(IFERROR(VLOOKUP(T_BilanSocial[[#This Row],[NumL]],T_TraitDi[#Data],COLUMN(T_TraitDi[[#This Row],[Colonne24]]),FALSE),""),"[hh]:mm"))</f>
        <v>#VALUE!</v>
      </c>
      <c r="BG60" s="178" t="e">
        <f>IF(VLOOKUP(T_BilanSocial[[#This Row],[NumL]],T_TraitDi[#Data],COLUMN(T_TraitDi[[#This Row],[Colonne25]]),FALSE)=0,"",TEXT(IFERROR(VLOOKUP(T_BilanSocial[[#This Row],[NumL]],T_TraitDi[#Data],COLUMN(T_TraitDi[[#This Row],[Colonne25]]),FALSE),""),"[hh]:mm"))</f>
        <v>#VALUE!</v>
      </c>
      <c r="BH60" s="178" t="e">
        <f>IF(VLOOKUP(T_BilanSocial[[#This Row],[NumL]],T_TraitDi[#Data],COLUMN(T_TraitDi[[#This Row],[Colonne26]]),FALSE)=0,"",TEXT(IFERROR(VLOOKUP(T_BilanSocial[[#This Row],[NumL]],T_TraitDi[#Data],COLUMN(T_TraitDi[[#This Row],[Colonne26]]),FALSE),""),"[hh]:mm"))</f>
        <v>#VALUE!</v>
      </c>
      <c r="BI60" s="172" t="str">
        <f>IFERROR(VLOOKUP(T_BilanSocial[[#This Row],[NumL]],T_TraitDi[#Data],COLUMN(T_TraitDi[[#This Row],[Vendredi]]),FALSE),"")</f>
        <v/>
      </c>
      <c r="BJ60" s="172" t="e">
        <f>IF(VLOOKUP(T_BilanSocial[[#This Row],[NumL]],T_TraitDi[#Data],COLUMN(T_TraitDi[[#This Row],[Colonne27]]),FALSE)=0,"",TEXT(IFERROR(VLOOKUP(T_BilanSocial[[#This Row],[NumL]],T_TraitDi[#Data],COLUMN(T_TraitDi[[#This Row],[Colonne27]]),FALSE),""),"[hh]:mm"))</f>
        <v>#VALUE!</v>
      </c>
      <c r="BK60" s="172" t="e">
        <f>IF(VLOOKUP(T_BilanSocial[[#This Row],[NumL]],T_TraitDi[#Data],COLUMN(T_TraitDi[[#This Row],[Colonne28]]),FALSE)=0,"",TEXT(IFERROR(VLOOKUP(T_BilanSocial[[#This Row],[NumL]],T_TraitDi[#Data],COLUMN(T_TraitDi[[#This Row],[Colonne28]]),FALSE),""),"[hh]:mm"))</f>
        <v>#VALUE!</v>
      </c>
      <c r="BL60" s="172" t="str">
        <f>IFERROR(VLOOKUP(T_BilanSocial[[#This Row],[NumL]],T_TraitDi[#Data],COLUMN(T_TraitDi[[#This Row],[Colonne29]]),FALSE),"")</f>
        <v/>
      </c>
      <c r="BM60" s="172" t="e">
        <f>IF(VLOOKUP(T_BilanSocial[[#This Row],[NumL]],T_TraitDi[#Data],COLUMN(T_TraitDi[[#This Row],[Colonne30]]),FALSE)=0,"",TEXT(IFERROR(VLOOKUP(T_BilanSocial[[#This Row],[NumL]],T_TraitDi[#Data],COLUMN(T_TraitDi[[#This Row],[Colonne30]]),FALSE),""),"[hh]:mm"))</f>
        <v>#VALUE!</v>
      </c>
      <c r="BN60" s="172" t="e">
        <f>IF(VLOOKUP(T_BilanSocial[[#This Row],[NumL]],T_TraitDi[#Data],COLUMN(T_TraitDi[[#This Row],[Colonne31]]),FALSE)=0,"",TEXT(IFERROR(VLOOKUP(T_BilanSocial[[#This Row],[NumL]],T_TraitDi[#Data],COLUMN(T_TraitDi[[#This Row],[Colonne31]]),FALSE),""),"[hh]:mm"))</f>
        <v>#VALUE!</v>
      </c>
      <c r="BO60" s="172" t="e">
        <f>IF(VLOOKUP(T_BilanSocial[[#This Row],[NumL]],T_TraitDi[#Data],COLUMN(T_TraitDi[[#This Row],[Colonne32]]),FALSE)=0,"",TEXT(IFERROR(VLOOKUP(T_BilanSocial[[#This Row],[NumL]],T_TraitDi[#Data],COLUMN(T_TraitDi[[#This Row],[Colonne32]]),FALSE),""),"[hh]:mm"))</f>
        <v>#VALUE!</v>
      </c>
      <c r="BP60" s="172">
        <f>VLOOKUP(T_BilanSocial[[#This Row],[NumL]],T_TraitDi[#Data],COLUMN(T_TraitDi[NbJTot]),FALSE)</f>
        <v>4.5</v>
      </c>
      <c r="BQ60" s="174" t="str">
        <f>IFERROR(VLOOKUP(T_BilanSocial[[#This Row],[NumL]],T_TraitDi[#Data],COLUMN(T_TraitDi[[#This Row],[NbJTW]]),FALSE),"")</f>
        <v/>
      </c>
      <c r="BR60" s="174" t="e">
        <f>IF(VLOOKUP(T_BilanSocial[[#This Row],[NumL]],T_TraitDi[#Data],COLUMN(T_TraitDi[[#This Row],[NbhTW]]),FALSE)=0,"",TEXT(IFERROR(VLOOKUP(T_BilanSocial[[#This Row],[NumL]],T_TraitDi[#Data],COLUMN(T_TraitDi[[#This Row],[NbhTW]]),FALSE),""),"[hh]:mm"))</f>
        <v>#VALUE!</v>
      </c>
      <c r="BS60" s="174" t="e">
        <f>IF(VLOOKUP(T_BilanSocial[[#This Row],[NumL]],T_TraitDi[#Data],COLUMN(T_TraitDi[[#This Row],[Nbhheb]]),FALSE)=0,"",TEXT(IFERROR(VLOOKUP($A60,T_TraitDi[#Data],COLUMN(T_TraitDi[[#This Row],[Nbhheb]]),FALSE),""),"[hh]:mm"))</f>
        <v>#VALUE!</v>
      </c>
      <c r="BT60" s="182" t="str">
        <f>IFERROR(VLOOKUP(VLOOKUP($A60,T_TraitDi[#Data],COLUMN(T_TraitDi[[#This Row],[Type1]]),FALSE),TypeTW,2,FALSE),"")</f>
        <v/>
      </c>
      <c r="BU60" s="182" t="str">
        <f>IFERROR(VLOOKUP($A60,T_TraitDi[#Data],COLUMN(T_TraitDi[[#This Row],[Rue1]]),FALSE),"")</f>
        <v/>
      </c>
      <c r="BV60" s="173" t="str">
        <f>IFERROR(VLOOKUP($A60,T_TraitDi[#Data],COLUMN(T_TraitDi[[#This Row],[CP1]]),FALSE),"")</f>
        <v/>
      </c>
      <c r="BW60" s="173" t="str">
        <f>IFERROR(VLOOKUP($A60,T_TraitDi[#Data],COLUMN(T_TraitDi[[#This Row],[VILLE1]]),FALSE),"")</f>
        <v/>
      </c>
      <c r="BX60" s="182" t="str">
        <f>IFERROR(VLOOKUP(VLOOKUP($A60,T_TraitDi[#Data],COLUMN(T_TraitDi[[#This Row],[Type2]]),FALSE),TypeTW,2,FALSE),"")</f>
        <v/>
      </c>
      <c r="BY60" s="182" t="str">
        <f>IFERROR(VLOOKUP($A60,T_TraitDi[#Data],COLUMN(T_TraitDi[[#This Row],[Rue2]]),FALSE),"")</f>
        <v/>
      </c>
      <c r="BZ60" s="173" t="str">
        <f>IFERROR(VLOOKUP($A60,T_TraitDi[#Data],COLUMN(T_TraitDi[[#This Row],[CP2]]),FALSE),"")</f>
        <v/>
      </c>
      <c r="CA60" s="173" t="str">
        <f>IFERROR(VLOOKUP($A60,T_TraitDi[#Data],COLUMN(T_TraitDi[[#This Row],[VILLE2]]),FALSE),"")</f>
        <v/>
      </c>
      <c r="CB60" s="182" t="str">
        <f>IF(VLOOKUP(T_BilanSocial[[#This Row],[NumL]],T_Equipement[#Data],COLUMN(T_Equipement[[#This Row],[PC]]),FALSE)="","Aucun équipement spécifique directement lié au télétravail",VLOOKUP(T_BilanSocial[[#This Row],[NumL]],T_Equipement[#Data],COLUMN(T_Equipement[[#This Row],[PC]]),FALSE))</f>
        <v>17-028</v>
      </c>
      <c r="CC60" s="166" t="str">
        <f>IFERROR(IF(VLOOKUP(T_BilanSocial[[#This Row],[NumL]],T_TraitDi[#Data],COLUMN(T_TraitDi[[#This Row],[Plan]]),FALSE)="OK","Un planning spécifique de télétravail est annexé à la présente convention.",""),"")</f>
        <v/>
      </c>
      <c r="CD60" s="258" t="s">
        <v>3448</v>
      </c>
      <c r="CE60" s="164" t="e">
        <f>IF(VLOOKUP(T_BilanSocial[[#This Row],[NumL]],T_suiviDi[#Data],COLUMN(T_suiviDi[[#This Row],[Entité]]),FALSE)="","",VLOOKUP(T_BilanSocial[[#This Row],[NumL]],T_suiviDi[#Data],COLUMN(T_suiviDi[[#This Row],[Entité]]),FALSE))</f>
        <v>#VALUE!</v>
      </c>
      <c r="CF60" s="164" t="str">
        <f>IF(VLOOKUP(T_BilanSocial[[#This Row],[NumL]],T_Commission[#Data],COLUMN(T_Commission[[#This Row],[envoi confirm TW]]),FALSE)="","",VLOOKUP(T_BilanSocial[[#This Row],[NumL]],T_Commission[#Data],COLUMN(T_Commission[[#This Row],[envoi confirm TW]]),FALSE))</f>
        <v>Oui</v>
      </c>
      <c r="CG6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0" s="262" t="str">
        <f>T_BilanSocial[[#This Row],[Nom]]&amp;T_BilanSocial[[#This Row],[Prenom]]</f>
        <v>ALionel</v>
      </c>
      <c r="CI60" s="262">
        <f>VLOOKUP(T_BilanSocial[[#This Row],[NumL]],T_Commission[#Data],COLUMN(T_Commission[Commentaire]),FALSE)</f>
        <v>0</v>
      </c>
      <c r="CJ60" s="262" t="str">
        <f>IF(VLOOKUP(T_BilanSocial[[#This Row],[NumL]],T_Commission[#Data],COLUMN(T_Commission[Encadrant Email]),FALSE)="","",VLOOKUP(T_BilanSocial[[#This Row],[NumL]],T_Commission[#Data],COLUMN(T_Commission[Encadrant Email]),FALSE))</f>
        <v/>
      </c>
      <c r="CK60" s="340" t="str">
        <f>IF(T_BilanSocial[[#This Row],[Final]]&lt;&gt;"",VLOOKUP(T_BilanSocial[[#This Row],[NumL]],T_suiviDi[#Data],COLUMN((T_suiviDi[Statut])),FALSE),"")</f>
        <v>RENVL</v>
      </c>
    </row>
    <row r="61" spans="1:89" s="106" customFormat="1" ht="29.25" customHeight="1" x14ac:dyDescent="0.25">
      <c r="A61" s="160">
        <v>58</v>
      </c>
      <c r="B61" s="161" t="str">
        <f t="shared" si="0"/>
        <v/>
      </c>
      <c r="C61" s="162"/>
      <c r="D61" s="95" t="e">
        <f>IF(VLOOKUP(T_BilanSocial[[#This Row],[NumL]],T_TraitDi[#Data],COLUMN(T_TraitDi[[#This Row],[WebC]]),FALSE)="","",VLOOKUP(T_BilanSocial[[#This Row],[NumL]],T_TraitDi[#Data],COLUMN(T_TraitDi[[#This Row],[WebC]]),FALSE))</f>
        <v>#VALUE!</v>
      </c>
      <c r="E61" s="163" t="str">
        <f t="shared" si="1"/>
        <v>12 janvier 2021</v>
      </c>
      <c r="F61" s="96" t="str">
        <f>IF(T_BilanSocial[[#This Row],[Final]]&lt;&gt;"",VLOOKUP(T_BilanSocial[[#This Row],[NumL]],T_suiviDi[#Data],COLUMN((T_suiviDi[Civ.])),FALSE),"")</f>
        <v/>
      </c>
      <c r="G61" s="96" t="str">
        <f>IF(T_BilanSocial[[#This Row],[Final]]&lt;&gt;"",VLOOKUP(T_BilanSocial[[#This Row],[NumL]],T_suiviDi[#Data],COLUMN((T_suiviDi[Nom])),FALSE),"")</f>
        <v/>
      </c>
      <c r="H61" s="96" t="str">
        <f>IF(T_BilanSocial[[#This Row],[Final]]&lt;&gt;"",VLOOKUP(T_BilanSocial[[#This Row],[NumL]],T_suiviDi[#Data],COLUMN((T_suiviDi[Prénom])),FALSE),"")</f>
        <v/>
      </c>
      <c r="I61" s="96" t="str">
        <f>IFERROR(VLOOKUP(T_BilanSocial[[#This Row],[Zone_Bilan]],T_P_BilanSocial[#Data],COLUMN(T_P_BilanSocial[[#This Row],[Numero_SIHAM]]),FALSE),"")</f>
        <v/>
      </c>
      <c r="J61" s="96" t="str">
        <f>IFERROR(VLOOKUP(T_BilanSocial[[#This Row],[Zone_Bilan]],T_P_BilanSocial[#Data],COLUMN(T_P_BilanSocial[[#This Row],[Sexe]]),FALSE),"")</f>
        <v/>
      </c>
      <c r="K61" s="97" t="str">
        <f>IFERROR(VLOOKUP(T_BilanSocial[[#This Row],[Zone_Bilan]],T_P_BilanSocial[#Data],COLUMN(T_P_BilanSocial[[#This Row],[Categorie]]),FALSE),"")</f>
        <v/>
      </c>
      <c r="L61" s="96" t="str">
        <f>IFERROR(VLOOKUP(T_BilanSocial[[#This Row],[Zone_Bilan]],T_P_BilanSocial[#Data],COLUMN(T_P_BilanSocial[[#This Row],[Statut]]),FALSE),"")</f>
        <v/>
      </c>
      <c r="M61" s="96" t="str">
        <f>IFERROR(VLOOKUP(T_BilanSocial[[#This Row],[Zone_Bilan]],T_P_BilanSocial[#Data],COLUMN(T_P_BilanSocial[[#This Row],[Filiere]]),FALSE),"")</f>
        <v/>
      </c>
      <c r="N61" s="96" t="e">
        <f>VLOOKUP(T_BilanSocial[[#This Row],[NumL]],T_TraitDi[#Data],COLUMN(T_TraitDi[EXP]),FALSE)</f>
        <v>#N/A</v>
      </c>
      <c r="O61" s="96" t="e">
        <f>VLOOKUP(T_BilanSocial[[#This Row],[NumL]],T_TraitDi[#Data],COLUMN(T_TraitDi[FORM]),FALSE)</f>
        <v>#N/A</v>
      </c>
      <c r="P61" s="96" t="str">
        <f>IF(T_BilanSocial[[#This Row],[Final]]&lt;&gt;"",VLOOKUP(T_BilanSocial[[#This Row],[NumL]],T_suiviDi[#Data],COLUMN((T_suiviDi[Email])),FALSE),"")</f>
        <v/>
      </c>
      <c r="Q61" s="164" t="e">
        <f t="shared" si="7"/>
        <v>#N/A</v>
      </c>
      <c r="R61" s="164" t="e">
        <f t="shared" si="8"/>
        <v>#N/A</v>
      </c>
      <c r="S61" s="164" t="e">
        <f>IF(VLOOKUP(T_BilanSocial[[#This Row],[NumL]],T_suiviDi[#Data],COLUMN(T_suiviDi[[#This Row],[Service ]]),FALSE)="","",VLOOKUP(T_BilanSocial[[#This Row],[NumL]],T_suiviDi[#Data],COLUMN(T_suiviDi[[#This Row],[Service ]]),FALSE))</f>
        <v>#VALUE!</v>
      </c>
      <c r="T61" s="164" t="str">
        <f t="shared" si="2"/>
        <v>01 septembre 2021</v>
      </c>
      <c r="U61" s="164" t="str">
        <f t="shared" si="3"/>
        <v>30 novembre 2021</v>
      </c>
      <c r="V61" s="164" t="str">
        <f t="shared" si="9"/>
        <v>30 novembre 2021</v>
      </c>
      <c r="W61" s="176" t="e">
        <f>IF(VLOOKUP(T_BilanSocial[[#This Row],[NumL]],T_TraitDi[#Data],COLUMN(T_TraitDi[[#This Row],[M1]]),FALSE)="","",VLOOKUP(T_BilanSocial[[#This Row],[NumL]],T_TraitDi[#Data],COLUMN(T_TraitDi[[#This Row],[M1]]),FALSE))</f>
        <v>#VALUE!</v>
      </c>
      <c r="X61" s="176" t="e">
        <f>IF(VLOOKUP(T_BilanSocial[[#This Row],[NumL]],T_TraitDi[#Data],COLUMN(T_TraitDi[[#This Row],[M2]]),FALSE)="","",VLOOKUP(T_BilanSocial[[#This Row],[NumL]],T_TraitDi[#Data],COLUMN(T_TraitDi[[#This Row],[M2]]),FALSE))</f>
        <v>#VALUE!</v>
      </c>
      <c r="Y61" s="176" t="e">
        <f>IF(VLOOKUP(T_BilanSocial[[#This Row],[NumL]],T_TraitDi[#Data],COLUMN(T_TraitDi[[#This Row],[M3]]),FALSE)="","",VLOOKUP(T_BilanSocial[[#This Row],[NumL]],T_TraitDi[#Data],COLUMN(T_TraitDi[[#This Row],[M3]]),FALSE))</f>
        <v>#VALUE!</v>
      </c>
      <c r="Z61" s="176" t="str">
        <f t="shared" si="5"/>
        <v/>
      </c>
      <c r="AA61" s="176" t="e">
        <f>IF(VLOOKUP(T_BilanSocial[[#This Row],[NumL]],T_TraitDi[#Data],COLUMN(T_TraitDi[[#This Row],[M5]]),FALSE)="","",VLOOKUP(T_BilanSocial[[#This Row],[NumL]],T_TraitDi[#Data],COLUMN(T_TraitDi[[#This Row],[M5]]),FALSE))</f>
        <v>#VALUE!</v>
      </c>
      <c r="AB61" s="176" t="e">
        <f>IF(VLOOKUP(T_BilanSocial[[#This Row],[NumL]],T_TraitDi[#Data],COLUMN(T_TraitDi[[#This Row],[M6]]),FALSE)="","",VLOOKUP(T_BilanSocial[[#This Row],[NumL]],T_TraitDi[#Data],COLUMN(T_TraitDi[[#This Row],[M6]]),FALSE))</f>
        <v>#VALUE!</v>
      </c>
      <c r="AC61" s="165" t="e">
        <f t="shared" si="4"/>
        <v>#VALUE!</v>
      </c>
      <c r="AD61" s="188" t="str">
        <f>IFERROR(TEXT(VLOOKUP(T_BilanSocial[[#This Row],[NumL]],T_TraitDi[#Data],COLUMN(T_TraitDi[[#This Row],[Q2]]),FALSE),"###%"),"")</f>
        <v/>
      </c>
      <c r="AE61" s="97" t="e">
        <f>VLOOKUP(T_BilanSocial[[#This Row],[NumL]],T_TraitDi[#Data],COLUMN(T_TraitDi[[#This Row],[Reg Ponct]]),FALSE)</f>
        <v>#VALUE!</v>
      </c>
      <c r="AF61" s="97" t="e">
        <f>VLOOKUP(T_BilanSocial[NumL],T_TraitDi[#Data],COLUMN(T_TraitDi[[#This Row],[Jours flottants]]),FALSE)</f>
        <v>#VALUE!</v>
      </c>
      <c r="AG61" s="97" t="str">
        <f>IFERROR(VLOOKUP(T_BilanSocial[[#This Row],[NumL]],T_TraitDi[#Data],COLUMN(T_TraitDi[[#This Row],[Lundi]]),FALSE),"")</f>
        <v/>
      </c>
      <c r="AH61" s="172" t="e">
        <f>IF(VLOOKUP(T_BilanSocial[[#This Row],[NumL]],T_TraitDi[#Data],COLUMN(T_TraitDi[[#This Row],[Colonne3]]),FALSE)=0,"",TEXT(IFERROR(VLOOKUP(T_BilanSocial[[#This Row],[NumL]],T_TraitDi[#Data],COLUMN(T_TraitDi[[#This Row],[Colonne3]]),FALSE),""),"[hh]:mm"))</f>
        <v>#VALUE!</v>
      </c>
      <c r="AI61" s="172" t="e">
        <f>IF(VLOOKUP(T_BilanSocial[[#This Row],[NumL]],T_TraitDi[#Data],COLUMN(T_TraitDi[[#This Row],[Colonne4]]),FALSE)=0,"",TEXT(IFERROR(VLOOKUP(T_BilanSocial[[#This Row],[NumL]],T_TraitDi[#Data],COLUMN(T_TraitDi[[#This Row],[Colonne4]]),FALSE),""),"[hh]:mm"))</f>
        <v>#VALUE!</v>
      </c>
      <c r="AJ61" s="172" t="e">
        <f>IF(VLOOKUP(T_BilanSocial[[#This Row],[NumL]],T_TraitDi[#Data],COLUMN(T_TraitDi[[#This Row],[Colonne5]]),FALSE)=0,"",TEXT(IFERROR(VLOOKUP(T_BilanSocial[[#This Row],[NumL]],T_TraitDi[#Data],COLUMN(T_TraitDi[[#This Row],[Colonne5]]),FALSE),""),"[hh]:mm"))</f>
        <v>#VALUE!</v>
      </c>
      <c r="AK61" s="172" t="e">
        <f>IF(VLOOKUP(T_BilanSocial[[#This Row],[NumL]],T_TraitDi[#Data],COLUMN(T_TraitDi[[#This Row],[Colonne6]]),FALSE)=0,"",TEXT(IFERROR(VLOOKUP(T_BilanSocial[[#This Row],[NumL]],T_TraitDi[#Data],COLUMN(T_TraitDi[[#This Row],[Colonne6]]),FALSE),""),"[hh]:mm"))</f>
        <v>#VALUE!</v>
      </c>
      <c r="AL61" s="172" t="e">
        <f>IF(VLOOKUP(T_BilanSocial[[#This Row],[NumL]],T_TraitDi[#Data],COLUMN(T_TraitDi[[#This Row],[Colonne7]]),FALSE)=0,"",TEXT(IFERROR(VLOOKUP(T_BilanSocial[[#This Row],[NumL]],T_TraitDi[#Data],COLUMN(T_TraitDi[[#This Row],[Colonne7]]),FALSE),""),"[hh]:mm"))</f>
        <v>#VALUE!</v>
      </c>
      <c r="AM61" s="172" t="e">
        <f>IF(VLOOKUP(T_BilanSocial[[#This Row],[NumL]],T_TraitDi[#Data],COLUMN(T_TraitDi[[#This Row],[Colonne8]]),FALSE)=0,"",TEXT(IFERROR(VLOOKUP(T_BilanSocial[[#This Row],[NumL]],T_TraitDi[#Data],COLUMN(T_TraitDi[[#This Row],[Colonne8]]),FALSE),""),"[hh]:mm"))</f>
        <v>#VALUE!</v>
      </c>
      <c r="AN61" s="172" t="str">
        <f>IFERROR(VLOOKUP(T_BilanSocial[[#This Row],[NumL]],T_TraitDi[#Data],COLUMN(T_TraitDi[[#This Row],[Mardi]]),FALSE),"")</f>
        <v/>
      </c>
      <c r="AO61" s="172" t="e">
        <f>IF(VLOOKUP(T_BilanSocial[[#This Row],[NumL]],T_TraitDi[#Data],COLUMN(T_TraitDi[[#This Row],[Colonne1]]),FALSE)=0,"",TEXT(IFERROR(VLOOKUP(T_BilanSocial[[#This Row],[NumL]],T_TraitDi[#Data],COLUMN(T_TraitDi[[#This Row],[Colonne1]]),FALSE),""),"[hh]:mm"))</f>
        <v>#VALUE!</v>
      </c>
      <c r="AP61" s="172" t="e">
        <f>IF(VLOOKUP(T_BilanSocial[[#This Row],[NumL]],T_TraitDi[#Data],COLUMN(T_TraitDi[[#This Row],[Colonne9]]),FALSE)=0,"",TEXT(IFERROR(VLOOKUP(T_BilanSocial[[#This Row],[NumL]],T_TraitDi[#Data],COLUMN(T_TraitDi[[#This Row],[Colonne9]]),FALSE),""),"[hh]:mm"))</f>
        <v>#VALUE!</v>
      </c>
      <c r="AQ61" s="172" t="str">
        <f>IFERROR(VLOOKUP(T_BilanSocial[[#This Row],[NumL]],T_TraitDi[#Data],COLUMN(T_TraitDi[[#This Row],[Colonne10]]),FALSE),"")</f>
        <v/>
      </c>
      <c r="AR61" s="172" t="e">
        <f>IF(VLOOKUP(T_BilanSocial[[#This Row],[NumL]],T_TraitDi[#Data],COLUMN(T_TraitDi[[#This Row],[Colonne11]]),FALSE)=0,"",TEXT(IFERROR(VLOOKUP(T_BilanSocial[[#This Row],[NumL]],T_TraitDi[#Data],COLUMN(T_TraitDi[[#This Row],[Colonne11]]),FALSE),""),"[hh]:mm"))</f>
        <v>#VALUE!</v>
      </c>
      <c r="AS61" s="172" t="e">
        <f>IF(VLOOKUP(T_BilanSocial[[#This Row],[NumL]],T_TraitDi[#Data],COLUMN(T_TraitDi[[#This Row],[Colonne12]]),FALSE)=0,"",TEXT(IFERROR(VLOOKUP(T_BilanSocial[[#This Row],[NumL]],T_TraitDi[#Data],COLUMN(T_TraitDi[[#This Row],[Colonne12]]),FALSE),""),"[hh]:mm"))</f>
        <v>#VALUE!</v>
      </c>
      <c r="AT61" s="172" t="e">
        <f>IF(VLOOKUP(T_BilanSocial[[#This Row],[NumL]],T_TraitDi[#Data],COLUMN(T_TraitDi[[#This Row],[Colonne14]]),FALSE)=0,"",TEXT(IFERROR(VLOOKUP(T_BilanSocial[[#This Row],[NumL]],T_TraitDi[#Data],COLUMN(T_TraitDi[[#This Row],[Colonne14]]),FALSE),""),"[hh]:mm"))</f>
        <v>#VALUE!</v>
      </c>
      <c r="AU61" s="172" t="str">
        <f>IFERROR(VLOOKUP(T_BilanSocial[[#This Row],[NumL]],T_TraitDi[#Data],COLUMN(T_TraitDi[[#This Row],[Mercredi]]),FALSE),"")</f>
        <v/>
      </c>
      <c r="AV61" s="172" t="e">
        <f>IF(VLOOKUP(T_BilanSocial[[#This Row],[NumL]],T_TraitDi[#Data],COLUMN(T_TraitDi[[#This Row],[Colonne15]]),FALSE)=0,"",TEXT(IFERROR(VLOOKUP(T_BilanSocial[[#This Row],[NumL]],T_TraitDi[#Data],COLUMN(T_TraitDi[[#This Row],[Colonne15]]),FALSE),""),"[hh]:mm"))</f>
        <v>#VALUE!</v>
      </c>
      <c r="AW61" s="172" t="e">
        <f>IF(VLOOKUP(T_BilanSocial[[#This Row],[NumL]],T_TraitDi[#Data],COLUMN(T_TraitDi[[#This Row],[Colonne16]]),FALSE)=0,"",TEXT(IFERROR(VLOOKUP(T_BilanSocial[[#This Row],[NumL]],T_TraitDi[#Data],COLUMN(T_TraitDi[[#This Row],[Colonne16]]),FALSE),""),"[hh]:mm"))</f>
        <v>#VALUE!</v>
      </c>
      <c r="AX61" s="172" t="str">
        <f>IFERROR(VLOOKUP(T_BilanSocial[[#This Row],[NumL]],T_TraitDi[#Data],COLUMN(T_TraitDi[[#This Row],[Colonne17]]),FALSE),"")</f>
        <v/>
      </c>
      <c r="AY61" s="172" t="e">
        <f>IF(VLOOKUP(T_BilanSocial[[#This Row],[NumL]],T_TraitDi[#Data],COLUMN(T_TraitDi[[#This Row],[Colonne18]]),FALSE)=0,"",TEXT(IFERROR(VLOOKUP(T_BilanSocial[[#This Row],[NumL]],T_TraitDi[#Data],COLUMN(T_TraitDi[[#This Row],[Colonne18]]),FALSE),""),"[hh]:mm"))</f>
        <v>#VALUE!</v>
      </c>
      <c r="AZ61" s="172" t="e">
        <f>IF(VLOOKUP(T_BilanSocial[[#This Row],[NumL]],T_TraitDi[#Data],COLUMN(T_TraitDi[[#This Row],[Colonne19]]),FALSE)=0,"",TEXT(IFERROR(VLOOKUP(T_BilanSocial[[#This Row],[NumL]],T_TraitDi[#Data],COLUMN(T_TraitDi[[#This Row],[Colonne19]]),FALSE),""),"[hh]:mm"))</f>
        <v>#VALUE!</v>
      </c>
      <c r="BA61" s="172" t="e">
        <f>IF(VLOOKUP(T_BilanSocial[[#This Row],[NumL]],T_TraitDi[#Data],COLUMN(T_TraitDi[[#This Row],[Colonne20]]),FALSE)=0,"",TEXT(IFERROR(VLOOKUP(T_BilanSocial[[#This Row],[NumL]],T_TraitDi[#Data],COLUMN(T_TraitDi[[#This Row],[Colonne20]]),FALSE),""),"[hh]:mm"))</f>
        <v>#VALUE!</v>
      </c>
      <c r="BB61" s="178" t="str">
        <f>IFERROR(VLOOKUP(T_BilanSocial[[#This Row],[NumL]],T_TraitDi[#Data],COLUMN(T_TraitDi[[#This Row],[Jeudi]]),FALSE),"")</f>
        <v/>
      </c>
      <c r="BC61" s="178" t="e">
        <f>IF(VLOOKUP(T_BilanSocial[[#This Row],[NumL]],T_TraitDi[#Data],COLUMN(T_TraitDi[[#This Row],[Colonne21]]),FALSE)=0,"",TEXT(IFERROR(VLOOKUP(T_BilanSocial[[#This Row],[NumL]],T_TraitDi[#Data],COLUMN(T_TraitDi[[#This Row],[Colonne21]]),FALSE),""),"[hh]:mm"))</f>
        <v>#VALUE!</v>
      </c>
      <c r="BD61" s="178" t="e">
        <f>IF(VLOOKUP(T_BilanSocial[[#This Row],[NumL]],T_TraitDi[#Data],COLUMN(T_TraitDi[[#This Row],[Colonne22]]),FALSE)=0,"",TEXT(IFERROR(VLOOKUP(T_BilanSocial[[#This Row],[NumL]],T_TraitDi[#Data],COLUMN(T_TraitDi[[#This Row],[Colonne22]]),FALSE),""),"[hh]:mm"))</f>
        <v>#VALUE!</v>
      </c>
      <c r="BE61" s="178" t="str">
        <f>IFERROR(VLOOKUP(T_BilanSocial[[#This Row],[NumL]],T_TraitDi[#Data],COLUMN(T_TraitDi[[#This Row],[Colonne23]]),FALSE),"")</f>
        <v/>
      </c>
      <c r="BF61" s="178" t="e">
        <f>IF(VLOOKUP(T_BilanSocial[[#This Row],[NumL]],T_TraitDi[#Data],COLUMN(T_TraitDi[[#This Row],[Colonne24]]),FALSE)=0,"",TEXT(IFERROR(VLOOKUP(T_BilanSocial[[#This Row],[NumL]],T_TraitDi[#Data],COLUMN(T_TraitDi[[#This Row],[Colonne24]]),FALSE),""),"[hh]:mm"))</f>
        <v>#VALUE!</v>
      </c>
      <c r="BG61" s="178" t="e">
        <f>IF(VLOOKUP(T_BilanSocial[[#This Row],[NumL]],T_TraitDi[#Data],COLUMN(T_TraitDi[[#This Row],[Colonne25]]),FALSE)=0,"",TEXT(IFERROR(VLOOKUP(T_BilanSocial[[#This Row],[NumL]],T_TraitDi[#Data],COLUMN(T_TraitDi[[#This Row],[Colonne25]]),FALSE),""),"[hh]:mm"))</f>
        <v>#VALUE!</v>
      </c>
      <c r="BH61" s="178" t="e">
        <f>IF(VLOOKUP(T_BilanSocial[[#This Row],[NumL]],T_TraitDi[#Data],COLUMN(T_TraitDi[[#This Row],[Colonne26]]),FALSE)=0,"",TEXT(IFERROR(VLOOKUP(T_BilanSocial[[#This Row],[NumL]],T_TraitDi[#Data],COLUMN(T_TraitDi[[#This Row],[Colonne26]]),FALSE),""),"[hh]:mm"))</f>
        <v>#VALUE!</v>
      </c>
      <c r="BI61" s="172" t="str">
        <f>IFERROR(VLOOKUP(T_BilanSocial[[#This Row],[NumL]],T_TraitDi[#Data],COLUMN(T_TraitDi[[#This Row],[Vendredi]]),FALSE),"")</f>
        <v/>
      </c>
      <c r="BJ61" s="172" t="e">
        <f>IF(VLOOKUP(T_BilanSocial[[#This Row],[NumL]],T_TraitDi[#Data],COLUMN(T_TraitDi[[#This Row],[Colonne27]]),FALSE)=0,"",TEXT(IFERROR(VLOOKUP(T_BilanSocial[[#This Row],[NumL]],T_TraitDi[#Data],COLUMN(T_TraitDi[[#This Row],[Colonne27]]),FALSE),""),"[hh]:mm"))</f>
        <v>#VALUE!</v>
      </c>
      <c r="BK61" s="172" t="e">
        <f>IF(VLOOKUP(T_BilanSocial[[#This Row],[NumL]],T_TraitDi[#Data],COLUMN(T_TraitDi[[#This Row],[Colonne28]]),FALSE)=0,"",TEXT(IFERROR(VLOOKUP(T_BilanSocial[[#This Row],[NumL]],T_TraitDi[#Data],COLUMN(T_TraitDi[[#This Row],[Colonne28]]),FALSE),""),"[hh]:mm"))</f>
        <v>#VALUE!</v>
      </c>
      <c r="BL61" s="172" t="str">
        <f>IFERROR(VLOOKUP(T_BilanSocial[[#This Row],[NumL]],T_TraitDi[#Data],COLUMN(T_TraitDi[[#This Row],[Colonne29]]),FALSE),"")</f>
        <v/>
      </c>
      <c r="BM61" s="172" t="e">
        <f>IF(VLOOKUP(T_BilanSocial[[#This Row],[NumL]],T_TraitDi[#Data],COLUMN(T_TraitDi[[#This Row],[Colonne30]]),FALSE)=0,"",TEXT(IFERROR(VLOOKUP(T_BilanSocial[[#This Row],[NumL]],T_TraitDi[#Data],COLUMN(T_TraitDi[[#This Row],[Colonne30]]),FALSE),""),"[hh]:mm"))</f>
        <v>#VALUE!</v>
      </c>
      <c r="BN61" s="172" t="e">
        <f>IF(VLOOKUP(T_BilanSocial[[#This Row],[NumL]],T_TraitDi[#Data],COLUMN(T_TraitDi[[#This Row],[Colonne31]]),FALSE)=0,"",TEXT(IFERROR(VLOOKUP(T_BilanSocial[[#This Row],[NumL]],T_TraitDi[#Data],COLUMN(T_TraitDi[[#This Row],[Colonne31]]),FALSE),""),"[hh]:mm"))</f>
        <v>#VALUE!</v>
      </c>
      <c r="BO61" s="172" t="e">
        <f>IF(VLOOKUP(T_BilanSocial[[#This Row],[NumL]],T_TraitDi[#Data],COLUMN(T_TraitDi[[#This Row],[Colonne32]]),FALSE)=0,"",TEXT(IFERROR(VLOOKUP(T_BilanSocial[[#This Row],[NumL]],T_TraitDi[#Data],COLUMN(T_TraitDi[[#This Row],[Colonne32]]),FALSE),""),"[hh]:mm"))</f>
        <v>#VALUE!</v>
      </c>
      <c r="BP61" s="172" t="e">
        <f>VLOOKUP(T_BilanSocial[[#This Row],[NumL]],T_TraitDi[#Data],COLUMN(T_TraitDi[NbJTot]),FALSE)</f>
        <v>#N/A</v>
      </c>
      <c r="BQ61" s="174" t="str">
        <f>IFERROR(VLOOKUP(T_BilanSocial[[#This Row],[NumL]],T_TraitDi[#Data],COLUMN(T_TraitDi[[#This Row],[NbJTW]]),FALSE),"")</f>
        <v/>
      </c>
      <c r="BR61" s="174" t="e">
        <f>IF(VLOOKUP(T_BilanSocial[[#This Row],[NumL]],T_TraitDi[#Data],COLUMN(T_TraitDi[[#This Row],[NbhTW]]),FALSE)=0,"",TEXT(IFERROR(VLOOKUP(T_BilanSocial[[#This Row],[NumL]],T_TraitDi[#Data],COLUMN(T_TraitDi[[#This Row],[NbhTW]]),FALSE),""),"[hh]:mm"))</f>
        <v>#VALUE!</v>
      </c>
      <c r="BS61" s="174" t="e">
        <f>IF(VLOOKUP(T_BilanSocial[[#This Row],[NumL]],T_TraitDi[#Data],COLUMN(T_TraitDi[[#This Row],[Nbhheb]]),FALSE)=0,"",TEXT(IFERROR(VLOOKUP($A61,T_TraitDi[#Data],COLUMN(T_TraitDi[[#This Row],[Nbhheb]]),FALSE),""),"[hh]:mm"))</f>
        <v>#VALUE!</v>
      </c>
      <c r="BT61" s="182" t="str">
        <f>IFERROR(VLOOKUP(VLOOKUP($A61,T_TraitDi[#Data],COLUMN(T_TraitDi[[#This Row],[Type1]]),FALSE),TypeTW,2,FALSE),"")</f>
        <v/>
      </c>
      <c r="BU61" s="182" t="str">
        <f>IFERROR(VLOOKUP($A61,T_TraitDi[#Data],COLUMN(T_TraitDi[[#This Row],[Rue1]]),FALSE),"")</f>
        <v/>
      </c>
      <c r="BV61" s="173" t="str">
        <f>IFERROR(VLOOKUP($A61,T_TraitDi[#Data],COLUMN(T_TraitDi[[#This Row],[CP1]]),FALSE),"")</f>
        <v/>
      </c>
      <c r="BW61" s="173" t="str">
        <f>IFERROR(VLOOKUP($A61,T_TraitDi[#Data],COLUMN(T_TraitDi[[#This Row],[VILLE1]]),FALSE),"")</f>
        <v/>
      </c>
      <c r="BX61" s="182" t="str">
        <f>IFERROR(VLOOKUP(VLOOKUP($A61,T_TraitDi[#Data],COLUMN(T_TraitDi[[#This Row],[Type2]]),FALSE),TypeTW,2,FALSE),"")</f>
        <v/>
      </c>
      <c r="BY61" s="182" t="str">
        <f>IFERROR(VLOOKUP($A61,T_TraitDi[#Data],COLUMN(T_TraitDi[[#This Row],[Rue2]]),FALSE),"")</f>
        <v/>
      </c>
      <c r="BZ61" s="173" t="str">
        <f>IFERROR(VLOOKUP($A61,T_TraitDi[#Data],COLUMN(T_TraitDi[[#This Row],[CP2]]),FALSE),"")</f>
        <v/>
      </c>
      <c r="CA61" s="173" t="str">
        <f>IFERROR(VLOOKUP($A61,T_TraitDi[#Data],COLUMN(T_TraitDi[[#This Row],[VILLE2]]),FALSE),"")</f>
        <v/>
      </c>
      <c r="CB61" s="182" t="str">
        <f>IF(VLOOKUP(T_BilanSocial[[#This Row],[NumL]],T_Equipement[#Data],COLUMN(T_Equipement[[#This Row],[PC]]),FALSE)="","Aucun équipement spécifique directement lié au télétravail",VLOOKUP(T_BilanSocial[[#This Row],[NumL]],T_Equipement[#Data],COLUMN(T_Equipement[[#This Row],[PC]]),FALSE))</f>
        <v>19-584</v>
      </c>
      <c r="CC61" s="166" t="str">
        <f>IFERROR(IF(VLOOKUP(T_BilanSocial[[#This Row],[NumL]],T_TraitDi[#Data],COLUMN(T_TraitDi[[#This Row],[Plan]]),FALSE)="OK","Un planning spécifique de télétravail est annexé à la présente convention.",""),"")</f>
        <v/>
      </c>
      <c r="CD61" s="185"/>
      <c r="CE61" s="164" t="e">
        <f>IF(VLOOKUP(T_BilanSocial[[#This Row],[NumL]],T_suiviDi[#Data],COLUMN(T_suiviDi[[#This Row],[Entité]]),FALSE)="","",VLOOKUP(T_BilanSocial[[#This Row],[NumL]],T_suiviDi[#Data],COLUMN(T_suiviDi[[#This Row],[Entité]]),FALSE))</f>
        <v>#VALUE!</v>
      </c>
      <c r="CF61" s="164" t="str">
        <f>IF(VLOOKUP(T_BilanSocial[[#This Row],[NumL]],T_Commission[#Data],COLUMN(T_Commission[[#This Row],[envoi confirm TW]]),FALSE)="","",VLOOKUP(T_BilanSocial[[#This Row],[NumL]],T_Commission[#Data],COLUMN(T_Commission[[#This Row],[envoi confirm TW]]),FALSE))</f>
        <v>Oui</v>
      </c>
      <c r="CG6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1" s="262" t="str">
        <f>T_BilanSocial[[#This Row],[Nom]]&amp;T_BilanSocial[[#This Row],[Prenom]]</f>
        <v/>
      </c>
      <c r="CI61" s="262">
        <f>VLOOKUP(T_BilanSocial[[#This Row],[NumL]],T_Commission[#Data],COLUMN(T_Commission[Commentaire]),FALSE)</f>
        <v>0</v>
      </c>
      <c r="CJ61" s="262" t="str">
        <f>IF(VLOOKUP(T_BilanSocial[[#This Row],[NumL]],T_Commission[#Data],COLUMN(T_Commission[Encadrant Email]),FALSE)="","",VLOOKUP(T_BilanSocial[[#This Row],[NumL]],T_Commission[#Data],COLUMN(T_Commission[Encadrant Email]),FALSE))</f>
        <v/>
      </c>
      <c r="CK61" s="340" t="str">
        <f>IF(T_BilanSocial[[#This Row],[Final]]&lt;&gt;"",VLOOKUP(T_BilanSocial[[#This Row],[NumL]],T_suiviDi[#Data],COLUMN((T_suiviDi[Statut])),FALSE),"")</f>
        <v/>
      </c>
    </row>
    <row r="62" spans="1:89" s="106" customFormat="1" ht="24.75" customHeight="1" x14ac:dyDescent="0.25">
      <c r="A62" s="160">
        <v>59</v>
      </c>
      <c r="B62" s="161" t="e">
        <f t="shared" si="0"/>
        <v>#N/A</v>
      </c>
      <c r="C62" s="162" t="s">
        <v>173</v>
      </c>
      <c r="D62" s="95" t="e">
        <f>IF(VLOOKUP(T_BilanSocial[[#This Row],[NumL]],T_TraitDi[#Data],COLUMN(T_TraitDi[[#This Row],[WebC]]),FALSE)="","",VLOOKUP(T_BilanSocial[[#This Row],[NumL]],T_TraitDi[#Data],COLUMN(T_TraitDi[[#This Row],[WebC]]),FALSE))</f>
        <v>#VALUE!</v>
      </c>
      <c r="E62" s="163" t="str">
        <f t="shared" si="1"/>
        <v>12 janvier 2021</v>
      </c>
      <c r="F62" s="96" t="e">
        <f>IF(T_BilanSocial[[#This Row],[Final]]&lt;&gt;"",VLOOKUP(T_BilanSocial[[#This Row],[NumL]],T_suiviDi[#Data],COLUMN((T_suiviDi[Civ.])),FALSE),"")</f>
        <v>#N/A</v>
      </c>
      <c r="G62" s="96" t="e">
        <f>IF(T_BilanSocial[[#This Row],[Final]]&lt;&gt;"",VLOOKUP(T_BilanSocial[[#This Row],[NumL]],T_suiviDi[#Data],COLUMN((T_suiviDi[Nom])),FALSE),"")</f>
        <v>#N/A</v>
      </c>
      <c r="H62" s="96" t="e">
        <f>IF(T_BilanSocial[[#This Row],[Final]]&lt;&gt;"",VLOOKUP(T_BilanSocial[[#This Row],[NumL]],T_suiviDi[#Data],COLUMN((T_suiviDi[Prénom])),FALSE),"")</f>
        <v>#N/A</v>
      </c>
      <c r="I62" s="96" t="str">
        <f>IFERROR(VLOOKUP(T_BilanSocial[[#This Row],[Zone_Bilan]],T_P_BilanSocial[#Data],COLUMN(T_P_BilanSocial[[#This Row],[Numero_SIHAM]]),FALSE),"")</f>
        <v/>
      </c>
      <c r="J62" s="96" t="str">
        <f>IFERROR(VLOOKUP(T_BilanSocial[[#This Row],[Zone_Bilan]],T_P_BilanSocial[#Data],COLUMN(T_P_BilanSocial[[#This Row],[Sexe]]),FALSE),"")</f>
        <v/>
      </c>
      <c r="K62" s="97" t="str">
        <f>IFERROR(VLOOKUP(T_BilanSocial[[#This Row],[Zone_Bilan]],T_P_BilanSocial[#Data],COLUMN(T_P_BilanSocial[[#This Row],[Categorie]]),FALSE),"")</f>
        <v/>
      </c>
      <c r="L62" s="96" t="str">
        <f>IFERROR(VLOOKUP(T_BilanSocial[[#This Row],[Zone_Bilan]],T_P_BilanSocial[#Data],COLUMN(T_P_BilanSocial[[#This Row],[Statut]]),FALSE),"")</f>
        <v/>
      </c>
      <c r="M62" s="96" t="str">
        <f>IFERROR(VLOOKUP(T_BilanSocial[[#This Row],[Zone_Bilan]],T_P_BilanSocial[#Data],COLUMN(T_P_BilanSocial[[#This Row],[Filiere]]),FALSE),"")</f>
        <v/>
      </c>
      <c r="N62" s="96" t="e">
        <f>VLOOKUP(T_BilanSocial[[#This Row],[NumL]],T_TraitDi[#Data],COLUMN(T_TraitDi[EXP]),FALSE)</f>
        <v>#N/A</v>
      </c>
      <c r="O62" s="96" t="e">
        <f>VLOOKUP(T_BilanSocial[[#This Row],[NumL]],T_TraitDi[#Data],COLUMN(T_TraitDi[FORM]),FALSE)</f>
        <v>#N/A</v>
      </c>
      <c r="P62" s="96" t="e">
        <f>IF(T_BilanSocial[[#This Row],[Final]]&lt;&gt;"",VLOOKUP(T_BilanSocial[[#This Row],[NumL]],T_suiviDi[#Data],COLUMN((T_suiviDi[Email])),FALSE),"")</f>
        <v>#N/A</v>
      </c>
      <c r="Q62" s="164" t="e">
        <f t="shared" si="7"/>
        <v>#N/A</v>
      </c>
      <c r="R62" s="164" t="e">
        <f t="shared" si="8"/>
        <v>#N/A</v>
      </c>
      <c r="S62" s="164" t="e">
        <f>IF(VLOOKUP(T_BilanSocial[[#This Row],[NumL]],T_suiviDi[#Data],COLUMN(T_suiviDi[[#This Row],[Service ]]),FALSE)="","",VLOOKUP(T_BilanSocial[[#This Row],[NumL]],T_suiviDi[#Data],COLUMN(T_suiviDi[[#This Row],[Service ]]),FALSE))</f>
        <v>#VALUE!</v>
      </c>
      <c r="T62" s="164" t="str">
        <f t="shared" si="2"/>
        <v>01 septembre 2021</v>
      </c>
      <c r="U62" s="164" t="str">
        <f t="shared" si="3"/>
        <v>30 novembre 2021</v>
      </c>
      <c r="V62" s="164" t="str">
        <f t="shared" si="9"/>
        <v>30 novembre 2021</v>
      </c>
      <c r="W62" s="176" t="e">
        <f>IF(VLOOKUP(T_BilanSocial[[#This Row],[NumL]],T_TraitDi[#Data],COLUMN(T_TraitDi[[#This Row],[M1]]),FALSE)="","",VLOOKUP(T_BilanSocial[[#This Row],[NumL]],T_TraitDi[#Data],COLUMN(T_TraitDi[[#This Row],[M1]]),FALSE))</f>
        <v>#VALUE!</v>
      </c>
      <c r="X62" s="176" t="e">
        <f>IF(VLOOKUP(T_BilanSocial[[#This Row],[NumL]],T_TraitDi[#Data],COLUMN(T_TraitDi[[#This Row],[M2]]),FALSE)="","",VLOOKUP(T_BilanSocial[[#This Row],[NumL]],T_TraitDi[#Data],COLUMN(T_TraitDi[[#This Row],[M2]]),FALSE))</f>
        <v>#VALUE!</v>
      </c>
      <c r="Y62" s="176" t="e">
        <f>IF(VLOOKUP(T_BilanSocial[[#This Row],[NumL]],T_TraitDi[#Data],COLUMN(T_TraitDi[[#This Row],[M3]]),FALSE)="","",VLOOKUP(T_BilanSocial[[#This Row],[NumL]],T_TraitDi[#Data],COLUMN(T_TraitDi[[#This Row],[M3]]),FALSE))</f>
        <v>#VALUE!</v>
      </c>
      <c r="Z62" s="176" t="str">
        <f t="shared" si="5"/>
        <v/>
      </c>
      <c r="AA62" s="176" t="e">
        <f>IF(VLOOKUP(T_BilanSocial[[#This Row],[NumL]],T_TraitDi[#Data],COLUMN(T_TraitDi[[#This Row],[M5]]),FALSE)="","",VLOOKUP(T_BilanSocial[[#This Row],[NumL]],T_TraitDi[#Data],COLUMN(T_TraitDi[[#This Row],[M5]]),FALSE))</f>
        <v>#VALUE!</v>
      </c>
      <c r="AB62" s="176" t="e">
        <f>IF(VLOOKUP(T_BilanSocial[[#This Row],[NumL]],T_TraitDi[#Data],COLUMN(T_TraitDi[[#This Row],[M6]]),FALSE)="","",VLOOKUP(T_BilanSocial[[#This Row],[NumL]],T_TraitDi[#Data],COLUMN(T_TraitDi[[#This Row],[M6]]),FALSE))</f>
        <v>#VALUE!</v>
      </c>
      <c r="AC62" s="165" t="e">
        <f t="shared" si="4"/>
        <v>#VALUE!</v>
      </c>
      <c r="AD62" s="188" t="str">
        <f>IFERROR(TEXT(VLOOKUP(T_BilanSocial[[#This Row],[NumL]],T_TraitDi[#Data],COLUMN(T_TraitDi[[#This Row],[Q2]]),FALSE),"###%"),"")</f>
        <v/>
      </c>
      <c r="AE62" s="97" t="e">
        <f>VLOOKUP(T_BilanSocial[[#This Row],[NumL]],T_TraitDi[#Data],COLUMN(T_TraitDi[[#This Row],[Reg Ponct]]),FALSE)</f>
        <v>#VALUE!</v>
      </c>
      <c r="AF62" s="97" t="e">
        <f>VLOOKUP(T_BilanSocial[NumL],T_TraitDi[#Data],COLUMN(T_TraitDi[[#This Row],[Jours flottants]]),FALSE)</f>
        <v>#VALUE!</v>
      </c>
      <c r="AG62" s="97" t="str">
        <f>IFERROR(VLOOKUP(T_BilanSocial[[#This Row],[NumL]],T_TraitDi[#Data],COLUMN(T_TraitDi[[#This Row],[Lundi]]),FALSE),"")</f>
        <v/>
      </c>
      <c r="AH62" s="172" t="e">
        <f>IF(VLOOKUP(T_BilanSocial[[#This Row],[NumL]],T_TraitDi[#Data],COLUMN(T_TraitDi[[#This Row],[Colonne3]]),FALSE)=0,"",TEXT(IFERROR(VLOOKUP(T_BilanSocial[[#This Row],[NumL]],T_TraitDi[#Data],COLUMN(T_TraitDi[[#This Row],[Colonne3]]),FALSE),""),"[hh]:mm"))</f>
        <v>#VALUE!</v>
      </c>
      <c r="AI62" s="172" t="e">
        <f>IF(VLOOKUP(T_BilanSocial[[#This Row],[NumL]],T_TraitDi[#Data],COLUMN(T_TraitDi[[#This Row],[Colonne4]]),FALSE)=0,"",TEXT(IFERROR(VLOOKUP(T_BilanSocial[[#This Row],[NumL]],T_TraitDi[#Data],COLUMN(T_TraitDi[[#This Row],[Colonne4]]),FALSE),""),"[hh]:mm"))</f>
        <v>#VALUE!</v>
      </c>
      <c r="AJ62" s="172" t="e">
        <f>IF(VLOOKUP(T_BilanSocial[[#This Row],[NumL]],T_TraitDi[#Data],COLUMN(T_TraitDi[[#This Row],[Colonne5]]),FALSE)=0,"",TEXT(IFERROR(VLOOKUP(T_BilanSocial[[#This Row],[NumL]],T_TraitDi[#Data],COLUMN(T_TraitDi[[#This Row],[Colonne5]]),FALSE),""),"[hh]:mm"))</f>
        <v>#VALUE!</v>
      </c>
      <c r="AK62" s="172" t="e">
        <f>IF(VLOOKUP(T_BilanSocial[[#This Row],[NumL]],T_TraitDi[#Data],COLUMN(T_TraitDi[[#This Row],[Colonne6]]),FALSE)=0,"",TEXT(IFERROR(VLOOKUP(T_BilanSocial[[#This Row],[NumL]],T_TraitDi[#Data],COLUMN(T_TraitDi[[#This Row],[Colonne6]]),FALSE),""),"[hh]:mm"))</f>
        <v>#VALUE!</v>
      </c>
      <c r="AL62" s="172" t="e">
        <f>IF(VLOOKUP(T_BilanSocial[[#This Row],[NumL]],T_TraitDi[#Data],COLUMN(T_TraitDi[[#This Row],[Colonne7]]),FALSE)=0,"",TEXT(IFERROR(VLOOKUP(T_BilanSocial[[#This Row],[NumL]],T_TraitDi[#Data],COLUMN(T_TraitDi[[#This Row],[Colonne7]]),FALSE),""),"[hh]:mm"))</f>
        <v>#VALUE!</v>
      </c>
      <c r="AM62" s="172" t="e">
        <f>IF(VLOOKUP(T_BilanSocial[[#This Row],[NumL]],T_TraitDi[#Data],COLUMN(T_TraitDi[[#This Row],[Colonne8]]),FALSE)=0,"",TEXT(IFERROR(VLOOKUP(T_BilanSocial[[#This Row],[NumL]],T_TraitDi[#Data],COLUMN(T_TraitDi[[#This Row],[Colonne8]]),FALSE),""),"[hh]:mm"))</f>
        <v>#VALUE!</v>
      </c>
      <c r="AN62" s="172" t="str">
        <f>IFERROR(VLOOKUP(T_BilanSocial[[#This Row],[NumL]],T_TraitDi[#Data],COLUMN(T_TraitDi[[#This Row],[Mardi]]),FALSE),"")</f>
        <v/>
      </c>
      <c r="AO62" s="172" t="e">
        <f>IF(VLOOKUP(T_BilanSocial[[#This Row],[NumL]],T_TraitDi[#Data],COLUMN(T_TraitDi[[#This Row],[Colonne1]]),FALSE)=0,"",TEXT(IFERROR(VLOOKUP(T_BilanSocial[[#This Row],[NumL]],T_TraitDi[#Data],COLUMN(T_TraitDi[[#This Row],[Colonne1]]),FALSE),""),"[hh]:mm"))</f>
        <v>#VALUE!</v>
      </c>
      <c r="AP62" s="172" t="e">
        <f>IF(VLOOKUP(T_BilanSocial[[#This Row],[NumL]],T_TraitDi[#Data],COLUMN(T_TraitDi[[#This Row],[Colonne9]]),FALSE)=0,"",TEXT(IFERROR(VLOOKUP(T_BilanSocial[[#This Row],[NumL]],T_TraitDi[#Data],COLUMN(T_TraitDi[[#This Row],[Colonne9]]),FALSE),""),"[hh]:mm"))</f>
        <v>#VALUE!</v>
      </c>
      <c r="AQ62" s="172" t="str">
        <f>IFERROR(VLOOKUP(T_BilanSocial[[#This Row],[NumL]],T_TraitDi[#Data],COLUMN(T_TraitDi[[#This Row],[Colonne10]]),FALSE),"")</f>
        <v/>
      </c>
      <c r="AR62" s="172" t="e">
        <f>IF(VLOOKUP(T_BilanSocial[[#This Row],[NumL]],T_TraitDi[#Data],COLUMN(T_TraitDi[[#This Row],[Colonne11]]),FALSE)=0,"",TEXT(IFERROR(VLOOKUP(T_BilanSocial[[#This Row],[NumL]],T_TraitDi[#Data],COLUMN(T_TraitDi[[#This Row],[Colonne11]]),FALSE),""),"[hh]:mm"))</f>
        <v>#VALUE!</v>
      </c>
      <c r="AS62" s="172" t="e">
        <f>IF(VLOOKUP(T_BilanSocial[[#This Row],[NumL]],T_TraitDi[#Data],COLUMN(T_TraitDi[[#This Row],[Colonne12]]),FALSE)=0,"",TEXT(IFERROR(VLOOKUP(T_BilanSocial[[#This Row],[NumL]],T_TraitDi[#Data],COLUMN(T_TraitDi[[#This Row],[Colonne12]]),FALSE),""),"[hh]:mm"))</f>
        <v>#VALUE!</v>
      </c>
      <c r="AT62" s="172" t="e">
        <f>IF(VLOOKUP(T_BilanSocial[[#This Row],[NumL]],T_TraitDi[#Data],COLUMN(T_TraitDi[[#This Row],[Colonne14]]),FALSE)=0,"",TEXT(IFERROR(VLOOKUP(T_BilanSocial[[#This Row],[NumL]],T_TraitDi[#Data],COLUMN(T_TraitDi[[#This Row],[Colonne14]]),FALSE),""),"[hh]:mm"))</f>
        <v>#VALUE!</v>
      </c>
      <c r="AU62" s="172" t="str">
        <f>IFERROR(VLOOKUP(T_BilanSocial[[#This Row],[NumL]],T_TraitDi[#Data],COLUMN(T_TraitDi[[#This Row],[Mercredi]]),FALSE),"")</f>
        <v/>
      </c>
      <c r="AV62" s="172" t="e">
        <f>IF(VLOOKUP(T_BilanSocial[[#This Row],[NumL]],T_TraitDi[#Data],COLUMN(T_TraitDi[[#This Row],[Colonne15]]),FALSE)=0,"",TEXT(IFERROR(VLOOKUP(T_BilanSocial[[#This Row],[NumL]],T_TraitDi[#Data],COLUMN(T_TraitDi[[#This Row],[Colonne15]]),FALSE),""),"[hh]:mm"))</f>
        <v>#VALUE!</v>
      </c>
      <c r="AW62" s="172" t="e">
        <f>IF(VLOOKUP(T_BilanSocial[[#This Row],[NumL]],T_TraitDi[#Data],COLUMN(T_TraitDi[[#This Row],[Colonne16]]),FALSE)=0,"",TEXT(IFERROR(VLOOKUP(T_BilanSocial[[#This Row],[NumL]],T_TraitDi[#Data],COLUMN(T_TraitDi[[#This Row],[Colonne16]]),FALSE),""),"[hh]:mm"))</f>
        <v>#VALUE!</v>
      </c>
      <c r="AX62" s="172" t="str">
        <f>IFERROR(VLOOKUP(T_BilanSocial[[#This Row],[NumL]],T_TraitDi[#Data],COLUMN(T_TraitDi[[#This Row],[Colonne17]]),FALSE),"")</f>
        <v/>
      </c>
      <c r="AY62" s="172" t="e">
        <f>IF(VLOOKUP(T_BilanSocial[[#This Row],[NumL]],T_TraitDi[#Data],COLUMN(T_TraitDi[[#This Row],[Colonne18]]),FALSE)=0,"",TEXT(IFERROR(VLOOKUP(T_BilanSocial[[#This Row],[NumL]],T_TraitDi[#Data],COLUMN(T_TraitDi[[#This Row],[Colonne18]]),FALSE),""),"[hh]:mm"))</f>
        <v>#VALUE!</v>
      </c>
      <c r="AZ62" s="172" t="e">
        <f>IF(VLOOKUP(T_BilanSocial[[#This Row],[NumL]],T_TraitDi[#Data],COLUMN(T_TraitDi[[#This Row],[Colonne19]]),FALSE)=0,"",TEXT(IFERROR(VLOOKUP(T_BilanSocial[[#This Row],[NumL]],T_TraitDi[#Data],COLUMN(T_TraitDi[[#This Row],[Colonne19]]),FALSE),""),"[hh]:mm"))</f>
        <v>#VALUE!</v>
      </c>
      <c r="BA62" s="172" t="e">
        <f>IF(VLOOKUP(T_BilanSocial[[#This Row],[NumL]],T_TraitDi[#Data],COLUMN(T_TraitDi[[#This Row],[Colonne20]]),FALSE)=0,"",TEXT(IFERROR(VLOOKUP(T_BilanSocial[[#This Row],[NumL]],T_TraitDi[#Data],COLUMN(T_TraitDi[[#This Row],[Colonne20]]),FALSE),""),"[hh]:mm"))</f>
        <v>#VALUE!</v>
      </c>
      <c r="BB62" s="178" t="str">
        <f>IFERROR(VLOOKUP(T_BilanSocial[[#This Row],[NumL]],T_TraitDi[#Data],COLUMN(T_TraitDi[[#This Row],[Jeudi]]),FALSE),"")</f>
        <v/>
      </c>
      <c r="BC62" s="178" t="e">
        <f>IF(VLOOKUP(T_BilanSocial[[#This Row],[NumL]],T_TraitDi[#Data],COLUMN(T_TraitDi[[#This Row],[Colonne21]]),FALSE)=0,"",TEXT(IFERROR(VLOOKUP(T_BilanSocial[[#This Row],[NumL]],T_TraitDi[#Data],COLUMN(T_TraitDi[[#This Row],[Colonne21]]),FALSE),""),"[hh]:mm"))</f>
        <v>#VALUE!</v>
      </c>
      <c r="BD62" s="178" t="e">
        <f>IF(VLOOKUP(T_BilanSocial[[#This Row],[NumL]],T_TraitDi[#Data],COLUMN(T_TraitDi[[#This Row],[Colonne22]]),FALSE)=0,"",TEXT(IFERROR(VLOOKUP(T_BilanSocial[[#This Row],[NumL]],T_TraitDi[#Data],COLUMN(T_TraitDi[[#This Row],[Colonne22]]),FALSE),""),"[hh]:mm"))</f>
        <v>#VALUE!</v>
      </c>
      <c r="BE62" s="178" t="str">
        <f>IFERROR(VLOOKUP(T_BilanSocial[[#This Row],[NumL]],T_TraitDi[#Data],COLUMN(T_TraitDi[[#This Row],[Colonne23]]),FALSE),"")</f>
        <v/>
      </c>
      <c r="BF62" s="178" t="e">
        <f>IF(VLOOKUP(T_BilanSocial[[#This Row],[NumL]],T_TraitDi[#Data],COLUMN(T_TraitDi[[#This Row],[Colonne24]]),FALSE)=0,"",TEXT(IFERROR(VLOOKUP(T_BilanSocial[[#This Row],[NumL]],T_TraitDi[#Data],COLUMN(T_TraitDi[[#This Row],[Colonne24]]),FALSE),""),"[hh]:mm"))</f>
        <v>#VALUE!</v>
      </c>
      <c r="BG62" s="178" t="e">
        <f>IF(VLOOKUP(T_BilanSocial[[#This Row],[NumL]],T_TraitDi[#Data],COLUMN(T_TraitDi[[#This Row],[Colonne25]]),FALSE)=0,"",TEXT(IFERROR(VLOOKUP(T_BilanSocial[[#This Row],[NumL]],T_TraitDi[#Data],COLUMN(T_TraitDi[[#This Row],[Colonne25]]),FALSE),""),"[hh]:mm"))</f>
        <v>#VALUE!</v>
      </c>
      <c r="BH62" s="178" t="e">
        <f>IF(VLOOKUP(T_BilanSocial[[#This Row],[NumL]],T_TraitDi[#Data],COLUMN(T_TraitDi[[#This Row],[Colonne26]]),FALSE)=0,"",TEXT(IFERROR(VLOOKUP(T_BilanSocial[[#This Row],[NumL]],T_TraitDi[#Data],COLUMN(T_TraitDi[[#This Row],[Colonne26]]),FALSE),""),"[hh]:mm"))</f>
        <v>#VALUE!</v>
      </c>
      <c r="BI62" s="172" t="str">
        <f>IFERROR(VLOOKUP(T_BilanSocial[[#This Row],[NumL]],T_TraitDi[#Data],COLUMN(T_TraitDi[[#This Row],[Vendredi]]),FALSE),"")</f>
        <v/>
      </c>
      <c r="BJ62" s="172" t="e">
        <f>IF(VLOOKUP(T_BilanSocial[[#This Row],[NumL]],T_TraitDi[#Data],COLUMN(T_TraitDi[[#This Row],[Colonne27]]),FALSE)=0,"",TEXT(IFERROR(VLOOKUP(T_BilanSocial[[#This Row],[NumL]],T_TraitDi[#Data],COLUMN(T_TraitDi[[#This Row],[Colonne27]]),FALSE),""),"[hh]:mm"))</f>
        <v>#VALUE!</v>
      </c>
      <c r="BK62" s="172" t="e">
        <f>IF(VLOOKUP(T_BilanSocial[[#This Row],[NumL]],T_TraitDi[#Data],COLUMN(T_TraitDi[[#This Row],[Colonne28]]),FALSE)=0,"",TEXT(IFERROR(VLOOKUP(T_BilanSocial[[#This Row],[NumL]],T_TraitDi[#Data],COLUMN(T_TraitDi[[#This Row],[Colonne28]]),FALSE),""),"[hh]:mm"))</f>
        <v>#VALUE!</v>
      </c>
      <c r="BL62" s="172" t="str">
        <f>IFERROR(VLOOKUP(T_BilanSocial[[#This Row],[NumL]],T_TraitDi[#Data],COLUMN(T_TraitDi[[#This Row],[Colonne29]]),FALSE),"")</f>
        <v/>
      </c>
      <c r="BM62" s="172" t="e">
        <f>IF(VLOOKUP(T_BilanSocial[[#This Row],[NumL]],T_TraitDi[#Data],COLUMN(T_TraitDi[[#This Row],[Colonne30]]),FALSE)=0,"",TEXT(IFERROR(VLOOKUP(T_BilanSocial[[#This Row],[NumL]],T_TraitDi[#Data],COLUMN(T_TraitDi[[#This Row],[Colonne30]]),FALSE),""),"[hh]:mm"))</f>
        <v>#VALUE!</v>
      </c>
      <c r="BN62" s="172" t="e">
        <f>IF(VLOOKUP(T_BilanSocial[[#This Row],[NumL]],T_TraitDi[#Data],COLUMN(T_TraitDi[[#This Row],[Colonne31]]),FALSE)=0,"",TEXT(IFERROR(VLOOKUP(T_BilanSocial[[#This Row],[NumL]],T_TraitDi[#Data],COLUMN(T_TraitDi[[#This Row],[Colonne31]]),FALSE),""),"[hh]:mm"))</f>
        <v>#VALUE!</v>
      </c>
      <c r="BO62" s="172" t="e">
        <f>IF(VLOOKUP(T_BilanSocial[[#This Row],[NumL]],T_TraitDi[#Data],COLUMN(T_TraitDi[[#This Row],[Colonne32]]),FALSE)=0,"",TEXT(IFERROR(VLOOKUP(T_BilanSocial[[#This Row],[NumL]],T_TraitDi[#Data],COLUMN(T_TraitDi[[#This Row],[Colonne32]]),FALSE),""),"[hh]:mm"))</f>
        <v>#VALUE!</v>
      </c>
      <c r="BP62" s="172" t="e">
        <f>VLOOKUP(T_BilanSocial[[#This Row],[NumL]],T_TraitDi[#Data],COLUMN(T_TraitDi[NbJTot]),FALSE)</f>
        <v>#N/A</v>
      </c>
      <c r="BQ62" s="174" t="str">
        <f>IFERROR(VLOOKUP(T_BilanSocial[[#This Row],[NumL]],T_TraitDi[#Data],COLUMN(T_TraitDi[[#This Row],[NbJTW]]),FALSE),"")</f>
        <v/>
      </c>
      <c r="BR62" s="174" t="e">
        <f>IF(VLOOKUP(T_BilanSocial[[#This Row],[NumL]],T_TraitDi[#Data],COLUMN(T_TraitDi[[#This Row],[NbhTW]]),FALSE)=0,"",TEXT(IFERROR(VLOOKUP(T_BilanSocial[[#This Row],[NumL]],T_TraitDi[#Data],COLUMN(T_TraitDi[[#This Row],[NbhTW]]),FALSE),""),"[hh]:mm"))</f>
        <v>#VALUE!</v>
      </c>
      <c r="BS62" s="174" t="e">
        <f>IF(VLOOKUP(T_BilanSocial[[#This Row],[NumL]],T_TraitDi[#Data],COLUMN(T_TraitDi[[#This Row],[Nbhheb]]),FALSE)=0,"",TEXT(IFERROR(VLOOKUP($A62,T_TraitDi[#Data],COLUMN(T_TraitDi[[#This Row],[Nbhheb]]),FALSE),""),"[hh]:mm"))</f>
        <v>#VALUE!</v>
      </c>
      <c r="BT62" s="182" t="str">
        <f>IFERROR(VLOOKUP(VLOOKUP($A62,T_TraitDi[#Data],COLUMN(T_TraitDi[[#This Row],[Type1]]),FALSE),TypeTW,2,FALSE),"")</f>
        <v/>
      </c>
      <c r="BU62" s="182" t="str">
        <f>IFERROR(VLOOKUP($A62,T_TraitDi[#Data],COLUMN(T_TraitDi[[#This Row],[Rue1]]),FALSE),"")</f>
        <v/>
      </c>
      <c r="BV62" s="173" t="str">
        <f>IFERROR(VLOOKUP($A62,T_TraitDi[#Data],COLUMN(T_TraitDi[[#This Row],[CP1]]),FALSE),"")</f>
        <v/>
      </c>
      <c r="BW62" s="173" t="str">
        <f>IFERROR(VLOOKUP($A62,T_TraitDi[#Data],COLUMN(T_TraitDi[[#This Row],[VILLE1]]),FALSE),"")</f>
        <v/>
      </c>
      <c r="BX62" s="182" t="str">
        <f>IFERROR(VLOOKUP(VLOOKUP($A62,T_TraitDi[#Data],COLUMN(T_TraitDi[[#This Row],[Type2]]),FALSE),TypeTW,2,FALSE),"")</f>
        <v/>
      </c>
      <c r="BY62" s="182" t="str">
        <f>IFERROR(VLOOKUP($A62,T_TraitDi[#Data],COLUMN(T_TraitDi[[#This Row],[Rue2]]),FALSE),"")</f>
        <v/>
      </c>
      <c r="BZ62" s="173" t="str">
        <f>IFERROR(VLOOKUP($A62,T_TraitDi[#Data],COLUMN(T_TraitDi[[#This Row],[CP2]]),FALSE),"")</f>
        <v/>
      </c>
      <c r="CA62" s="173" t="str">
        <f>IFERROR(VLOOKUP($A62,T_TraitDi[#Data],COLUMN(T_TraitDi[[#This Row],[VILLE2]]),FALSE),"")</f>
        <v/>
      </c>
      <c r="CB62" s="182" t="e">
        <f>IF(VLOOKUP(T_BilanSocial[[#This Row],[NumL]],T_Equipement[#Data],COLUMN(T_Equipement[[#This Row],[PC]]),FALSE)="","Aucun équipement spécifique directement lié au télétravail",VLOOKUP(T_BilanSocial[[#This Row],[NumL]],T_Equipement[#Data],COLUMN(T_Equipement[[#This Row],[PC]]),FALSE))</f>
        <v>#N/A</v>
      </c>
      <c r="CC62" s="166" t="str">
        <f>IFERROR(IF(VLOOKUP(T_BilanSocial[[#This Row],[NumL]],T_TraitDi[#Data],COLUMN(T_TraitDi[[#This Row],[Plan]]),FALSE)="OK","Un planning spécifique de télétravail est annexé à la présente convention.",""),"")</f>
        <v/>
      </c>
      <c r="CD62" s="258" t="s">
        <v>3414</v>
      </c>
      <c r="CE62" s="164" t="e">
        <f>IF(VLOOKUP(T_BilanSocial[[#This Row],[NumL]],T_suiviDi[#Data],COLUMN(T_suiviDi[[#This Row],[Entité]]),FALSE)="","",VLOOKUP(T_BilanSocial[[#This Row],[NumL]],T_suiviDi[#Data],COLUMN(T_suiviDi[[#This Row],[Entité]]),FALSE))</f>
        <v>#VALUE!</v>
      </c>
      <c r="CF62" s="164" t="e">
        <f>IF(VLOOKUP(T_BilanSocial[[#This Row],[NumL]],T_Commission[#Data],COLUMN(T_Commission[[#This Row],[envoi confirm TW]]),FALSE)="","",VLOOKUP(T_BilanSocial[[#This Row],[NumL]],T_Commission[#Data],COLUMN(T_Commission[[#This Row],[envoi confirm TW]]),FALSE))</f>
        <v>#N/A</v>
      </c>
      <c r="CG6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2" s="262" t="e">
        <f>T_BilanSocial[[#This Row],[Nom]]&amp;T_BilanSocial[[#This Row],[Prenom]]</f>
        <v>#N/A</v>
      </c>
      <c r="CI62" s="262" t="e">
        <f>VLOOKUP(T_BilanSocial[[#This Row],[NumL]],T_Commission[#Data],COLUMN(T_Commission[Commentaire]),FALSE)</f>
        <v>#N/A</v>
      </c>
      <c r="CJ62" s="262" t="e">
        <f>IF(VLOOKUP(T_BilanSocial[[#This Row],[NumL]],T_Commission[#Data],COLUMN(T_Commission[Encadrant Email]),FALSE)="","",VLOOKUP(T_BilanSocial[[#This Row],[NumL]],T_Commission[#Data],COLUMN(T_Commission[Encadrant Email]),FALSE))</f>
        <v>#N/A</v>
      </c>
      <c r="CK62" s="340" t="e">
        <f>IF(T_BilanSocial[[#This Row],[Final]]&lt;&gt;"",VLOOKUP(T_BilanSocial[[#This Row],[NumL]],T_suiviDi[#Data],COLUMN((T_suiviDi[Statut])),FALSE),"")</f>
        <v>#N/A</v>
      </c>
    </row>
    <row r="63" spans="1:89" s="106" customFormat="1" ht="24.75" customHeight="1" x14ac:dyDescent="0.25">
      <c r="A63" s="160">
        <v>60</v>
      </c>
      <c r="B63" s="161" t="str">
        <f t="shared" si="0"/>
        <v/>
      </c>
      <c r="C63" s="162" t="s">
        <v>173</v>
      </c>
      <c r="D63" s="95" t="e">
        <f>IF(VLOOKUP(T_BilanSocial[[#This Row],[NumL]],T_TraitDi[#Data],COLUMN(T_TraitDi[[#This Row],[WebC]]),FALSE)="","",VLOOKUP(T_BilanSocial[[#This Row],[NumL]],T_TraitDi[#Data],COLUMN(T_TraitDi[[#This Row],[WebC]]),FALSE))</f>
        <v>#VALUE!</v>
      </c>
      <c r="E63" s="163" t="str">
        <f t="shared" si="1"/>
        <v>12 janvier 2021</v>
      </c>
      <c r="F63" s="96" t="str">
        <f>IF(T_BilanSocial[[#This Row],[Final]]&lt;&gt;"",VLOOKUP(T_BilanSocial[[#This Row],[NumL]],T_suiviDi[#Data],COLUMN((T_suiviDi[Civ.])),FALSE),"")</f>
        <v/>
      </c>
      <c r="G63" s="96" t="str">
        <f>IF(T_BilanSocial[[#This Row],[Final]]&lt;&gt;"",VLOOKUP(T_BilanSocial[[#This Row],[NumL]],T_suiviDi[#Data],COLUMN((T_suiviDi[Nom])),FALSE),"")</f>
        <v/>
      </c>
      <c r="H63" s="96" t="str">
        <f>IF(T_BilanSocial[[#This Row],[Final]]&lt;&gt;"",VLOOKUP(T_BilanSocial[[#This Row],[NumL]],T_suiviDi[#Data],COLUMN((T_suiviDi[Prénom])),FALSE),"")</f>
        <v/>
      </c>
      <c r="I63" s="96" t="str">
        <f>IFERROR(VLOOKUP(T_BilanSocial[[#This Row],[Zone_Bilan]],T_P_BilanSocial[#Data],COLUMN(T_P_BilanSocial[[#This Row],[Numero_SIHAM]]),FALSE),"")</f>
        <v/>
      </c>
      <c r="J63" s="96" t="str">
        <f>IFERROR(VLOOKUP(T_BilanSocial[[#This Row],[Zone_Bilan]],T_P_BilanSocial[#Data],COLUMN(T_P_BilanSocial[[#This Row],[Sexe]]),FALSE),"")</f>
        <v/>
      </c>
      <c r="K63" s="97" t="str">
        <f>IFERROR(VLOOKUP(T_BilanSocial[[#This Row],[Zone_Bilan]],T_P_BilanSocial[#Data],COLUMN(T_P_BilanSocial[[#This Row],[Categorie]]),FALSE),"")</f>
        <v/>
      </c>
      <c r="L63" s="96" t="str">
        <f>IFERROR(VLOOKUP(T_BilanSocial[[#This Row],[Zone_Bilan]],T_P_BilanSocial[#Data],COLUMN(T_P_BilanSocial[[#This Row],[Statut]]),FALSE),"")</f>
        <v/>
      </c>
      <c r="M63" s="96" t="str">
        <f>IFERROR(VLOOKUP(T_BilanSocial[[#This Row],[Zone_Bilan]],T_P_BilanSocial[#Data],COLUMN(T_P_BilanSocial[[#This Row],[Filiere]]),FALSE),"")</f>
        <v/>
      </c>
      <c r="N63" s="96" t="e">
        <f>VLOOKUP(T_BilanSocial[[#This Row],[NumL]],T_TraitDi[#Data],COLUMN(T_TraitDi[EXP]),FALSE)</f>
        <v>#N/A</v>
      </c>
      <c r="O63" s="96" t="e">
        <f>VLOOKUP(T_BilanSocial[[#This Row],[NumL]],T_TraitDi[#Data],COLUMN(T_TraitDi[FORM]),FALSE)</f>
        <v>#N/A</v>
      </c>
      <c r="P63" s="96" t="str">
        <f>IF(T_BilanSocial[[#This Row],[Final]]&lt;&gt;"",VLOOKUP(T_BilanSocial[[#This Row],[NumL]],T_suiviDi[#Data],COLUMN((T_suiviDi[Email])),FALSE),"")</f>
        <v/>
      </c>
      <c r="Q63" s="164" t="e">
        <f t="shared" si="7"/>
        <v>#N/A</v>
      </c>
      <c r="R63" s="164" t="e">
        <f t="shared" si="8"/>
        <v>#N/A</v>
      </c>
      <c r="S63" s="164" t="e">
        <f>IF(VLOOKUP(T_BilanSocial[[#This Row],[NumL]],T_suiviDi[#Data],COLUMN(T_suiviDi[[#This Row],[Service ]]),FALSE)="","",VLOOKUP(T_BilanSocial[[#This Row],[NumL]],T_suiviDi[#Data],COLUMN(T_suiviDi[[#This Row],[Service ]]),FALSE))</f>
        <v>#VALUE!</v>
      </c>
      <c r="T63" s="164" t="str">
        <f t="shared" si="2"/>
        <v>01 septembre 2021</v>
      </c>
      <c r="U63" s="164" t="str">
        <f t="shared" si="3"/>
        <v>30 novembre 2021</v>
      </c>
      <c r="V63" s="164" t="str">
        <f t="shared" si="9"/>
        <v>30 novembre 2021</v>
      </c>
      <c r="W63" s="176" t="e">
        <f>IF(VLOOKUP(T_BilanSocial[[#This Row],[NumL]],T_TraitDi[#Data],COLUMN(T_TraitDi[[#This Row],[M1]]),FALSE)="","",VLOOKUP(T_BilanSocial[[#This Row],[NumL]],T_TraitDi[#Data],COLUMN(T_TraitDi[[#This Row],[M1]]),FALSE))</f>
        <v>#VALUE!</v>
      </c>
      <c r="X63" s="176" t="e">
        <f>IF(VLOOKUP(T_BilanSocial[[#This Row],[NumL]],T_TraitDi[#Data],COLUMN(T_TraitDi[[#This Row],[M2]]),FALSE)="","",VLOOKUP(T_BilanSocial[[#This Row],[NumL]],T_TraitDi[#Data],COLUMN(T_TraitDi[[#This Row],[M2]]),FALSE))</f>
        <v>#VALUE!</v>
      </c>
      <c r="Y63" s="176" t="e">
        <f>IF(VLOOKUP(T_BilanSocial[[#This Row],[NumL]],T_TraitDi[#Data],COLUMN(T_TraitDi[[#This Row],[M3]]),FALSE)="","",VLOOKUP(T_BilanSocial[[#This Row],[NumL]],T_TraitDi[#Data],COLUMN(T_TraitDi[[#This Row],[M3]]),FALSE))</f>
        <v>#VALUE!</v>
      </c>
      <c r="Z63" s="176" t="str">
        <f t="shared" si="5"/>
        <v/>
      </c>
      <c r="AA63" s="176" t="e">
        <f>IF(VLOOKUP(T_BilanSocial[[#This Row],[NumL]],T_TraitDi[#Data],COLUMN(T_TraitDi[[#This Row],[M5]]),FALSE)="","",VLOOKUP(T_BilanSocial[[#This Row],[NumL]],T_TraitDi[#Data],COLUMN(T_TraitDi[[#This Row],[M5]]),FALSE))</f>
        <v>#VALUE!</v>
      </c>
      <c r="AB63" s="176" t="e">
        <f>IF(VLOOKUP(T_BilanSocial[[#This Row],[NumL]],T_TraitDi[#Data],COLUMN(T_TraitDi[[#This Row],[M6]]),FALSE)="","",VLOOKUP(T_BilanSocial[[#This Row],[NumL]],T_TraitDi[#Data],COLUMN(T_TraitDi[[#This Row],[M6]]),FALSE))</f>
        <v>#VALUE!</v>
      </c>
      <c r="AC63" s="165" t="e">
        <f t="shared" si="4"/>
        <v>#VALUE!</v>
      </c>
      <c r="AD63" s="188" t="str">
        <f>IFERROR(TEXT(VLOOKUP(T_BilanSocial[[#This Row],[NumL]],T_TraitDi[#Data],COLUMN(T_TraitDi[[#This Row],[Q2]]),FALSE),"###%"),"")</f>
        <v/>
      </c>
      <c r="AE63" s="97" t="e">
        <f>VLOOKUP(T_BilanSocial[[#This Row],[NumL]],T_TraitDi[#Data],COLUMN(T_TraitDi[[#This Row],[Reg Ponct]]),FALSE)</f>
        <v>#VALUE!</v>
      </c>
      <c r="AF63" s="97" t="e">
        <f>VLOOKUP(T_BilanSocial[NumL],T_TraitDi[#Data],COLUMN(T_TraitDi[[#This Row],[Jours flottants]]),FALSE)</f>
        <v>#VALUE!</v>
      </c>
      <c r="AG63" s="97" t="str">
        <f>IFERROR(VLOOKUP(T_BilanSocial[[#This Row],[NumL]],T_TraitDi[#Data],COLUMN(T_TraitDi[[#This Row],[Lundi]]),FALSE),"")</f>
        <v/>
      </c>
      <c r="AH63" s="172" t="e">
        <f>IF(VLOOKUP(T_BilanSocial[[#This Row],[NumL]],T_TraitDi[#Data],COLUMN(T_TraitDi[[#This Row],[Colonne3]]),FALSE)=0,"",TEXT(IFERROR(VLOOKUP(T_BilanSocial[[#This Row],[NumL]],T_TraitDi[#Data],COLUMN(T_TraitDi[[#This Row],[Colonne3]]),FALSE),""),"[hh]:mm"))</f>
        <v>#VALUE!</v>
      </c>
      <c r="AI63" s="172" t="e">
        <f>IF(VLOOKUP(T_BilanSocial[[#This Row],[NumL]],T_TraitDi[#Data],COLUMN(T_TraitDi[[#This Row],[Colonne4]]),FALSE)=0,"",TEXT(IFERROR(VLOOKUP(T_BilanSocial[[#This Row],[NumL]],T_TraitDi[#Data],COLUMN(T_TraitDi[[#This Row],[Colonne4]]),FALSE),""),"[hh]:mm"))</f>
        <v>#VALUE!</v>
      </c>
      <c r="AJ63" s="172" t="e">
        <f>IF(VLOOKUP(T_BilanSocial[[#This Row],[NumL]],T_TraitDi[#Data],COLUMN(T_TraitDi[[#This Row],[Colonne5]]),FALSE)=0,"",TEXT(IFERROR(VLOOKUP(T_BilanSocial[[#This Row],[NumL]],T_TraitDi[#Data],COLUMN(T_TraitDi[[#This Row],[Colonne5]]),FALSE),""),"[hh]:mm"))</f>
        <v>#VALUE!</v>
      </c>
      <c r="AK63" s="172" t="e">
        <f>IF(VLOOKUP(T_BilanSocial[[#This Row],[NumL]],T_TraitDi[#Data],COLUMN(T_TraitDi[[#This Row],[Colonne6]]),FALSE)=0,"",TEXT(IFERROR(VLOOKUP(T_BilanSocial[[#This Row],[NumL]],T_TraitDi[#Data],COLUMN(T_TraitDi[[#This Row],[Colonne6]]),FALSE),""),"[hh]:mm"))</f>
        <v>#VALUE!</v>
      </c>
      <c r="AL63" s="172" t="e">
        <f>IF(VLOOKUP(T_BilanSocial[[#This Row],[NumL]],T_TraitDi[#Data],COLUMN(T_TraitDi[[#This Row],[Colonne7]]),FALSE)=0,"",TEXT(IFERROR(VLOOKUP(T_BilanSocial[[#This Row],[NumL]],T_TraitDi[#Data],COLUMN(T_TraitDi[[#This Row],[Colonne7]]),FALSE),""),"[hh]:mm"))</f>
        <v>#VALUE!</v>
      </c>
      <c r="AM63" s="172" t="e">
        <f>IF(VLOOKUP(T_BilanSocial[[#This Row],[NumL]],T_TraitDi[#Data],COLUMN(T_TraitDi[[#This Row],[Colonne8]]),FALSE)=0,"",TEXT(IFERROR(VLOOKUP(T_BilanSocial[[#This Row],[NumL]],T_TraitDi[#Data],COLUMN(T_TraitDi[[#This Row],[Colonne8]]),FALSE),""),"[hh]:mm"))</f>
        <v>#VALUE!</v>
      </c>
      <c r="AN63" s="172" t="str">
        <f>IFERROR(VLOOKUP(T_BilanSocial[[#This Row],[NumL]],T_TraitDi[#Data],COLUMN(T_TraitDi[[#This Row],[Mardi]]),FALSE),"")</f>
        <v/>
      </c>
      <c r="AO63" s="172" t="e">
        <f>IF(VLOOKUP(T_BilanSocial[[#This Row],[NumL]],T_TraitDi[#Data],COLUMN(T_TraitDi[[#This Row],[Colonne1]]),FALSE)=0,"",TEXT(IFERROR(VLOOKUP(T_BilanSocial[[#This Row],[NumL]],T_TraitDi[#Data],COLUMN(T_TraitDi[[#This Row],[Colonne1]]),FALSE),""),"[hh]:mm"))</f>
        <v>#VALUE!</v>
      </c>
      <c r="AP63" s="172" t="e">
        <f>IF(VLOOKUP(T_BilanSocial[[#This Row],[NumL]],T_TraitDi[#Data],COLUMN(T_TraitDi[[#This Row],[Colonne9]]),FALSE)=0,"",TEXT(IFERROR(VLOOKUP(T_BilanSocial[[#This Row],[NumL]],T_TraitDi[#Data],COLUMN(T_TraitDi[[#This Row],[Colonne9]]),FALSE),""),"[hh]:mm"))</f>
        <v>#VALUE!</v>
      </c>
      <c r="AQ63" s="172" t="str">
        <f>IFERROR(VLOOKUP(T_BilanSocial[[#This Row],[NumL]],T_TraitDi[#Data],COLUMN(T_TraitDi[[#This Row],[Colonne10]]),FALSE),"")</f>
        <v/>
      </c>
      <c r="AR63" s="172" t="e">
        <f>IF(VLOOKUP(T_BilanSocial[[#This Row],[NumL]],T_TraitDi[#Data],COLUMN(T_TraitDi[[#This Row],[Colonne11]]),FALSE)=0,"",TEXT(IFERROR(VLOOKUP(T_BilanSocial[[#This Row],[NumL]],T_TraitDi[#Data],COLUMN(T_TraitDi[[#This Row],[Colonne11]]),FALSE),""),"[hh]:mm"))</f>
        <v>#VALUE!</v>
      </c>
      <c r="AS63" s="172" t="e">
        <f>IF(VLOOKUP(T_BilanSocial[[#This Row],[NumL]],T_TraitDi[#Data],COLUMN(T_TraitDi[[#This Row],[Colonne12]]),FALSE)=0,"",TEXT(IFERROR(VLOOKUP(T_BilanSocial[[#This Row],[NumL]],T_TraitDi[#Data],COLUMN(T_TraitDi[[#This Row],[Colonne12]]),FALSE),""),"[hh]:mm"))</f>
        <v>#VALUE!</v>
      </c>
      <c r="AT63" s="172" t="e">
        <f>IF(VLOOKUP(T_BilanSocial[[#This Row],[NumL]],T_TraitDi[#Data],COLUMN(T_TraitDi[[#This Row],[Colonne14]]),FALSE)=0,"",TEXT(IFERROR(VLOOKUP(T_BilanSocial[[#This Row],[NumL]],T_TraitDi[#Data],COLUMN(T_TraitDi[[#This Row],[Colonne14]]),FALSE),""),"[hh]:mm"))</f>
        <v>#VALUE!</v>
      </c>
      <c r="AU63" s="172" t="str">
        <f>IFERROR(VLOOKUP(T_BilanSocial[[#This Row],[NumL]],T_TraitDi[#Data],COLUMN(T_TraitDi[[#This Row],[Mercredi]]),FALSE),"")</f>
        <v/>
      </c>
      <c r="AV63" s="172" t="e">
        <f>IF(VLOOKUP(T_BilanSocial[[#This Row],[NumL]],T_TraitDi[#Data],COLUMN(T_TraitDi[[#This Row],[Colonne15]]),FALSE)=0,"",TEXT(IFERROR(VLOOKUP(T_BilanSocial[[#This Row],[NumL]],T_TraitDi[#Data],COLUMN(T_TraitDi[[#This Row],[Colonne15]]),FALSE),""),"[hh]:mm"))</f>
        <v>#VALUE!</v>
      </c>
      <c r="AW63" s="172" t="e">
        <f>IF(VLOOKUP(T_BilanSocial[[#This Row],[NumL]],T_TraitDi[#Data],COLUMN(T_TraitDi[[#This Row],[Colonne16]]),FALSE)=0,"",TEXT(IFERROR(VLOOKUP(T_BilanSocial[[#This Row],[NumL]],T_TraitDi[#Data],COLUMN(T_TraitDi[[#This Row],[Colonne16]]),FALSE),""),"[hh]:mm"))</f>
        <v>#VALUE!</v>
      </c>
      <c r="AX63" s="172" t="str">
        <f>IFERROR(VLOOKUP(T_BilanSocial[[#This Row],[NumL]],T_TraitDi[#Data],COLUMN(T_TraitDi[[#This Row],[Colonne17]]),FALSE),"")</f>
        <v/>
      </c>
      <c r="AY63" s="172" t="e">
        <f>IF(VLOOKUP(T_BilanSocial[[#This Row],[NumL]],T_TraitDi[#Data],COLUMN(T_TraitDi[[#This Row],[Colonne18]]),FALSE)=0,"",TEXT(IFERROR(VLOOKUP(T_BilanSocial[[#This Row],[NumL]],T_TraitDi[#Data],COLUMN(T_TraitDi[[#This Row],[Colonne18]]),FALSE),""),"[hh]:mm"))</f>
        <v>#VALUE!</v>
      </c>
      <c r="AZ63" s="172" t="e">
        <f>IF(VLOOKUP(T_BilanSocial[[#This Row],[NumL]],T_TraitDi[#Data],COLUMN(T_TraitDi[[#This Row],[Colonne19]]),FALSE)=0,"",TEXT(IFERROR(VLOOKUP(T_BilanSocial[[#This Row],[NumL]],T_TraitDi[#Data],COLUMN(T_TraitDi[[#This Row],[Colonne19]]),FALSE),""),"[hh]:mm"))</f>
        <v>#VALUE!</v>
      </c>
      <c r="BA63" s="172" t="e">
        <f>IF(VLOOKUP(T_BilanSocial[[#This Row],[NumL]],T_TraitDi[#Data],COLUMN(T_TraitDi[[#This Row],[Colonne20]]),FALSE)=0,"",TEXT(IFERROR(VLOOKUP(T_BilanSocial[[#This Row],[NumL]],T_TraitDi[#Data],COLUMN(T_TraitDi[[#This Row],[Colonne20]]),FALSE),""),"[hh]:mm"))</f>
        <v>#VALUE!</v>
      </c>
      <c r="BB63" s="178" t="str">
        <f>IFERROR(VLOOKUP(T_BilanSocial[[#This Row],[NumL]],T_TraitDi[#Data],COLUMN(T_TraitDi[[#This Row],[Jeudi]]),FALSE),"")</f>
        <v/>
      </c>
      <c r="BC63" s="178" t="e">
        <f>IF(VLOOKUP(T_BilanSocial[[#This Row],[NumL]],T_TraitDi[#Data],COLUMN(T_TraitDi[[#This Row],[Colonne21]]),FALSE)=0,"",TEXT(IFERROR(VLOOKUP(T_BilanSocial[[#This Row],[NumL]],T_TraitDi[#Data],COLUMN(T_TraitDi[[#This Row],[Colonne21]]),FALSE),""),"[hh]:mm"))</f>
        <v>#VALUE!</v>
      </c>
      <c r="BD63" s="178" t="e">
        <f>IF(VLOOKUP(T_BilanSocial[[#This Row],[NumL]],T_TraitDi[#Data],COLUMN(T_TraitDi[[#This Row],[Colonne22]]),FALSE)=0,"",TEXT(IFERROR(VLOOKUP(T_BilanSocial[[#This Row],[NumL]],T_TraitDi[#Data],COLUMN(T_TraitDi[[#This Row],[Colonne22]]),FALSE),""),"[hh]:mm"))</f>
        <v>#VALUE!</v>
      </c>
      <c r="BE63" s="178" t="str">
        <f>IFERROR(VLOOKUP(T_BilanSocial[[#This Row],[NumL]],T_TraitDi[#Data],COLUMN(T_TraitDi[[#This Row],[Colonne23]]),FALSE),"")</f>
        <v/>
      </c>
      <c r="BF63" s="178" t="e">
        <f>IF(VLOOKUP(T_BilanSocial[[#This Row],[NumL]],T_TraitDi[#Data],COLUMN(T_TraitDi[[#This Row],[Colonne24]]),FALSE)=0,"",TEXT(IFERROR(VLOOKUP(T_BilanSocial[[#This Row],[NumL]],T_TraitDi[#Data],COLUMN(T_TraitDi[[#This Row],[Colonne24]]),FALSE),""),"[hh]:mm"))</f>
        <v>#VALUE!</v>
      </c>
      <c r="BG63" s="178" t="e">
        <f>IF(VLOOKUP(T_BilanSocial[[#This Row],[NumL]],T_TraitDi[#Data],COLUMN(T_TraitDi[[#This Row],[Colonne25]]),FALSE)=0,"",TEXT(IFERROR(VLOOKUP(T_BilanSocial[[#This Row],[NumL]],T_TraitDi[#Data],COLUMN(T_TraitDi[[#This Row],[Colonne25]]),FALSE),""),"[hh]:mm"))</f>
        <v>#VALUE!</v>
      </c>
      <c r="BH63" s="178" t="e">
        <f>IF(VLOOKUP(T_BilanSocial[[#This Row],[NumL]],T_TraitDi[#Data],COLUMN(T_TraitDi[[#This Row],[Colonne26]]),FALSE)=0,"",TEXT(IFERROR(VLOOKUP(T_BilanSocial[[#This Row],[NumL]],T_TraitDi[#Data],COLUMN(T_TraitDi[[#This Row],[Colonne26]]),FALSE),""),"[hh]:mm"))</f>
        <v>#VALUE!</v>
      </c>
      <c r="BI63" s="172" t="str">
        <f>IFERROR(VLOOKUP(T_BilanSocial[[#This Row],[NumL]],T_TraitDi[#Data],COLUMN(T_TraitDi[[#This Row],[Vendredi]]),FALSE),"")</f>
        <v/>
      </c>
      <c r="BJ63" s="172" t="e">
        <f>IF(VLOOKUP(T_BilanSocial[[#This Row],[NumL]],T_TraitDi[#Data],COLUMN(T_TraitDi[[#This Row],[Colonne27]]),FALSE)=0,"",TEXT(IFERROR(VLOOKUP(T_BilanSocial[[#This Row],[NumL]],T_TraitDi[#Data],COLUMN(T_TraitDi[[#This Row],[Colonne27]]),FALSE),""),"[hh]:mm"))</f>
        <v>#VALUE!</v>
      </c>
      <c r="BK63" s="172" t="e">
        <f>IF(VLOOKUP(T_BilanSocial[[#This Row],[NumL]],T_TraitDi[#Data],COLUMN(T_TraitDi[[#This Row],[Colonne28]]),FALSE)=0,"",TEXT(IFERROR(VLOOKUP(T_BilanSocial[[#This Row],[NumL]],T_TraitDi[#Data],COLUMN(T_TraitDi[[#This Row],[Colonne28]]),FALSE),""),"[hh]:mm"))</f>
        <v>#VALUE!</v>
      </c>
      <c r="BL63" s="172" t="str">
        <f>IFERROR(VLOOKUP(T_BilanSocial[[#This Row],[NumL]],T_TraitDi[#Data],COLUMN(T_TraitDi[[#This Row],[Colonne29]]),FALSE),"")</f>
        <v/>
      </c>
      <c r="BM63" s="172" t="e">
        <f>IF(VLOOKUP(T_BilanSocial[[#This Row],[NumL]],T_TraitDi[#Data],COLUMN(T_TraitDi[[#This Row],[Colonne30]]),FALSE)=0,"",TEXT(IFERROR(VLOOKUP(T_BilanSocial[[#This Row],[NumL]],T_TraitDi[#Data],COLUMN(T_TraitDi[[#This Row],[Colonne30]]),FALSE),""),"[hh]:mm"))</f>
        <v>#VALUE!</v>
      </c>
      <c r="BN63" s="172" t="e">
        <f>IF(VLOOKUP(T_BilanSocial[[#This Row],[NumL]],T_TraitDi[#Data],COLUMN(T_TraitDi[[#This Row],[Colonne31]]),FALSE)=0,"",TEXT(IFERROR(VLOOKUP(T_BilanSocial[[#This Row],[NumL]],T_TraitDi[#Data],COLUMN(T_TraitDi[[#This Row],[Colonne31]]),FALSE),""),"[hh]:mm"))</f>
        <v>#VALUE!</v>
      </c>
      <c r="BO63" s="172" t="e">
        <f>IF(VLOOKUP(T_BilanSocial[[#This Row],[NumL]],T_TraitDi[#Data],COLUMN(T_TraitDi[[#This Row],[Colonne32]]),FALSE)=0,"",TEXT(IFERROR(VLOOKUP(T_BilanSocial[[#This Row],[NumL]],T_TraitDi[#Data],COLUMN(T_TraitDi[[#This Row],[Colonne32]]),FALSE),""),"[hh]:mm"))</f>
        <v>#VALUE!</v>
      </c>
      <c r="BP63" s="172" t="e">
        <f>VLOOKUP(T_BilanSocial[[#This Row],[NumL]],T_TraitDi[#Data],COLUMN(T_TraitDi[NbJTot]),FALSE)</f>
        <v>#N/A</v>
      </c>
      <c r="BQ63" s="174" t="str">
        <f>IFERROR(VLOOKUP(T_BilanSocial[[#This Row],[NumL]],T_TraitDi[#Data],COLUMN(T_TraitDi[[#This Row],[NbJTW]]),FALSE),"")</f>
        <v/>
      </c>
      <c r="BR63" s="174" t="e">
        <f>IF(VLOOKUP(T_BilanSocial[[#This Row],[NumL]],T_TraitDi[#Data],COLUMN(T_TraitDi[[#This Row],[NbhTW]]),FALSE)=0,"",TEXT(IFERROR(VLOOKUP(T_BilanSocial[[#This Row],[NumL]],T_TraitDi[#Data],COLUMN(T_TraitDi[[#This Row],[NbhTW]]),FALSE),""),"[hh]:mm"))</f>
        <v>#VALUE!</v>
      </c>
      <c r="BS63" s="174" t="e">
        <f>IF(VLOOKUP(T_BilanSocial[[#This Row],[NumL]],T_TraitDi[#Data],COLUMN(T_TraitDi[[#This Row],[Nbhheb]]),FALSE)=0,"",TEXT(IFERROR(VLOOKUP($A63,T_TraitDi[#Data],COLUMN(T_TraitDi[[#This Row],[Nbhheb]]),FALSE),""),"[hh]:mm"))</f>
        <v>#VALUE!</v>
      </c>
      <c r="BT63" s="182" t="str">
        <f>IFERROR(VLOOKUP(VLOOKUP($A63,T_TraitDi[#Data],COLUMN(T_TraitDi[[#This Row],[Type1]]),FALSE),TypeTW,2,FALSE),"")</f>
        <v/>
      </c>
      <c r="BU63" s="182" t="str">
        <f>IFERROR(VLOOKUP($A63,T_TraitDi[#Data],COLUMN(T_TraitDi[[#This Row],[Rue1]]),FALSE),"")</f>
        <v/>
      </c>
      <c r="BV63" s="173" t="str">
        <f>IFERROR(VLOOKUP($A63,T_TraitDi[#Data],COLUMN(T_TraitDi[[#This Row],[CP1]]),FALSE),"")</f>
        <v/>
      </c>
      <c r="BW63" s="173" t="str">
        <f>IFERROR(VLOOKUP($A63,T_TraitDi[#Data],COLUMN(T_TraitDi[[#This Row],[VILLE1]]),FALSE),"")</f>
        <v/>
      </c>
      <c r="BX63" s="182" t="str">
        <f>IFERROR(VLOOKUP(VLOOKUP($A63,T_TraitDi[#Data],COLUMN(T_TraitDi[[#This Row],[Type2]]),FALSE),TypeTW,2,FALSE),"")</f>
        <v/>
      </c>
      <c r="BY63" s="182" t="str">
        <f>IFERROR(VLOOKUP($A63,T_TraitDi[#Data],COLUMN(T_TraitDi[[#This Row],[Rue2]]),FALSE),"")</f>
        <v/>
      </c>
      <c r="BZ63" s="173" t="str">
        <f>IFERROR(VLOOKUP($A63,T_TraitDi[#Data],COLUMN(T_TraitDi[[#This Row],[CP2]]),FALSE),"")</f>
        <v/>
      </c>
      <c r="CA63" s="173" t="str">
        <f>IFERROR(VLOOKUP($A63,T_TraitDi[#Data],COLUMN(T_TraitDi[[#This Row],[VILLE2]]),FALSE),"")</f>
        <v/>
      </c>
      <c r="CB63" s="182" t="str">
        <f>IF(VLOOKUP(T_BilanSocial[[#This Row],[NumL]],T_Equipement[#Data],COLUMN(T_Equipement[[#This Row],[PC]]),FALSE)="","Aucun équipement spécifique directement lié au télétravail",VLOOKUP(T_BilanSocial[[#This Row],[NumL]],T_Equipement[#Data],COLUMN(T_Equipement[[#This Row],[PC]]),FALSE))</f>
        <v xml:space="preserve">20-652	</v>
      </c>
      <c r="CC63" s="166" t="str">
        <f>IFERROR(IF(VLOOKUP(T_BilanSocial[[#This Row],[NumL]],T_TraitDi[#Data],COLUMN(T_TraitDi[[#This Row],[Plan]]),FALSE)="OK","Un planning spécifique de télétravail est annexé à la présente convention.",""),"")</f>
        <v/>
      </c>
      <c r="CD63" s="258" t="s">
        <v>3415</v>
      </c>
      <c r="CE63" s="164" t="e">
        <f>IF(VLOOKUP(T_BilanSocial[[#This Row],[NumL]],T_suiviDi[#Data],COLUMN(T_suiviDi[[#This Row],[Entité]]),FALSE)="","",VLOOKUP(T_BilanSocial[[#This Row],[NumL]],T_suiviDi[#Data],COLUMN(T_suiviDi[[#This Row],[Entité]]),FALSE))</f>
        <v>#VALUE!</v>
      </c>
      <c r="CF63" s="164" t="str">
        <f>IF(VLOOKUP(T_BilanSocial[[#This Row],[NumL]],T_Commission[#Data],COLUMN(T_Commission[[#This Row],[envoi confirm TW]]),FALSE)="","",VLOOKUP(T_BilanSocial[[#This Row],[NumL]],T_Commission[#Data],COLUMN(T_Commission[[#This Row],[envoi confirm TW]]),FALSE))</f>
        <v>Oui</v>
      </c>
      <c r="CG6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3" s="262" t="str">
        <f>T_BilanSocial[[#This Row],[Nom]]&amp;T_BilanSocial[[#This Row],[Prenom]]</f>
        <v/>
      </c>
      <c r="CI63" s="262">
        <f>VLOOKUP(T_BilanSocial[[#This Row],[NumL]],T_Commission[#Data],COLUMN(T_Commission[Commentaire]),FALSE)</f>
        <v>0</v>
      </c>
      <c r="CJ63" s="262" t="str">
        <f>IF(VLOOKUP(T_BilanSocial[[#This Row],[NumL]],T_Commission[#Data],COLUMN(T_Commission[Encadrant Email]),FALSE)="","",VLOOKUP(T_BilanSocial[[#This Row],[NumL]],T_Commission[#Data],COLUMN(T_Commission[Encadrant Email]),FALSE))</f>
        <v/>
      </c>
      <c r="CK63" s="340" t="str">
        <f>IF(T_BilanSocial[[#This Row],[Final]]&lt;&gt;"",VLOOKUP(T_BilanSocial[[#This Row],[NumL]],T_suiviDi[#Data],COLUMN((T_suiviDi[Statut])),FALSE),"")</f>
        <v/>
      </c>
    </row>
    <row r="64" spans="1:89" s="106" customFormat="1" ht="24.75" customHeight="1" x14ac:dyDescent="0.25">
      <c r="A64" s="160">
        <v>61</v>
      </c>
      <c r="B64" s="161" t="e">
        <f t="shared" si="0"/>
        <v>#N/A</v>
      </c>
      <c r="C64" s="162" t="s">
        <v>173</v>
      </c>
      <c r="D64" s="95" t="e">
        <f>IF(VLOOKUP(T_BilanSocial[[#This Row],[NumL]],T_TraitDi[#Data],COLUMN(T_TraitDi[[#This Row],[WebC]]),FALSE)="","",VLOOKUP(T_BilanSocial[[#This Row],[NumL]],T_TraitDi[#Data],COLUMN(T_TraitDi[[#This Row],[WebC]]),FALSE))</f>
        <v>#VALUE!</v>
      </c>
      <c r="E64" s="163" t="str">
        <f t="shared" si="1"/>
        <v>12 janvier 2021</v>
      </c>
      <c r="F64" s="96" t="e">
        <f>IF(T_BilanSocial[[#This Row],[Final]]&lt;&gt;"",VLOOKUP(T_BilanSocial[[#This Row],[NumL]],T_suiviDi[#Data],COLUMN((T_suiviDi[Civ.])),FALSE),"")</f>
        <v>#N/A</v>
      </c>
      <c r="G64" s="96" t="e">
        <f>IF(T_BilanSocial[[#This Row],[Final]]&lt;&gt;"",VLOOKUP(T_BilanSocial[[#This Row],[NumL]],T_suiviDi[#Data],COLUMN((T_suiviDi[Nom])),FALSE),"")</f>
        <v>#N/A</v>
      </c>
      <c r="H64" s="96" t="e">
        <f>IF(T_BilanSocial[[#This Row],[Final]]&lt;&gt;"",VLOOKUP(T_BilanSocial[[#This Row],[NumL]],T_suiviDi[#Data],COLUMN((T_suiviDi[Prénom])),FALSE),"")</f>
        <v>#N/A</v>
      </c>
      <c r="I64" s="96" t="str">
        <f>IFERROR(VLOOKUP(T_BilanSocial[[#This Row],[Zone_Bilan]],T_P_BilanSocial[#Data],COLUMN(T_P_BilanSocial[[#This Row],[Numero_SIHAM]]),FALSE),"")</f>
        <v/>
      </c>
      <c r="J64" s="96" t="str">
        <f>IFERROR(VLOOKUP(T_BilanSocial[[#This Row],[Zone_Bilan]],T_P_BilanSocial[#Data],COLUMN(T_P_BilanSocial[[#This Row],[Sexe]]),FALSE),"")</f>
        <v/>
      </c>
      <c r="K64" s="97" t="str">
        <f>IFERROR(VLOOKUP(T_BilanSocial[[#This Row],[Zone_Bilan]],T_P_BilanSocial[#Data],COLUMN(T_P_BilanSocial[[#This Row],[Categorie]]),FALSE),"")</f>
        <v/>
      </c>
      <c r="L64" s="96" t="str">
        <f>IFERROR(VLOOKUP(T_BilanSocial[[#This Row],[Zone_Bilan]],T_P_BilanSocial[#Data],COLUMN(T_P_BilanSocial[[#This Row],[Statut]]),FALSE),"")</f>
        <v/>
      </c>
      <c r="M64" s="96" t="str">
        <f>IFERROR(VLOOKUP(T_BilanSocial[[#This Row],[Zone_Bilan]],T_P_BilanSocial[#Data],COLUMN(T_P_BilanSocial[[#This Row],[Filiere]]),FALSE),"")</f>
        <v/>
      </c>
      <c r="N64" s="96" t="e">
        <f>VLOOKUP(T_BilanSocial[[#This Row],[NumL]],T_TraitDi[#Data],COLUMN(T_TraitDi[EXP]),FALSE)</f>
        <v>#N/A</v>
      </c>
      <c r="O64" s="96" t="e">
        <f>VLOOKUP(T_BilanSocial[[#This Row],[NumL]],T_TraitDi[#Data],COLUMN(T_TraitDi[FORM]),FALSE)</f>
        <v>#N/A</v>
      </c>
      <c r="P64" s="96" t="e">
        <f>IF(T_BilanSocial[[#This Row],[Final]]&lt;&gt;"",VLOOKUP(T_BilanSocial[[#This Row],[NumL]],T_suiviDi[#Data],COLUMN((T_suiviDi[Email])),FALSE),"")</f>
        <v>#N/A</v>
      </c>
      <c r="Q64" s="164" t="e">
        <f t="shared" si="7"/>
        <v>#N/A</v>
      </c>
      <c r="R64" s="164" t="e">
        <f t="shared" si="8"/>
        <v>#N/A</v>
      </c>
      <c r="S64" s="164" t="e">
        <f>IF(VLOOKUP(T_BilanSocial[[#This Row],[NumL]],T_suiviDi[#Data],COLUMN(T_suiviDi[[#This Row],[Service ]]),FALSE)="","",VLOOKUP(T_BilanSocial[[#This Row],[NumL]],T_suiviDi[#Data],COLUMN(T_suiviDi[[#This Row],[Service ]]),FALSE))</f>
        <v>#VALUE!</v>
      </c>
      <c r="T64" s="164" t="str">
        <f t="shared" si="2"/>
        <v>01 septembre 2021</v>
      </c>
      <c r="U64" s="164" t="str">
        <f t="shared" si="3"/>
        <v>30 novembre 2021</v>
      </c>
      <c r="V64" s="164" t="str">
        <f t="shared" si="9"/>
        <v>30 novembre 2021</v>
      </c>
      <c r="W64" s="176" t="e">
        <f>IF(VLOOKUP(T_BilanSocial[[#This Row],[NumL]],T_TraitDi[#Data],COLUMN(T_TraitDi[[#This Row],[M1]]),FALSE)="","",VLOOKUP(T_BilanSocial[[#This Row],[NumL]],T_TraitDi[#Data],COLUMN(T_TraitDi[[#This Row],[M1]]),FALSE))</f>
        <v>#VALUE!</v>
      </c>
      <c r="X64" s="176" t="e">
        <f>IF(VLOOKUP(T_BilanSocial[[#This Row],[NumL]],T_TraitDi[#Data],COLUMN(T_TraitDi[[#This Row],[M2]]),FALSE)="","",VLOOKUP(T_BilanSocial[[#This Row],[NumL]],T_TraitDi[#Data],COLUMN(T_TraitDi[[#This Row],[M2]]),FALSE))</f>
        <v>#VALUE!</v>
      </c>
      <c r="Y64" s="176" t="e">
        <f>IF(VLOOKUP(T_BilanSocial[[#This Row],[NumL]],T_TraitDi[#Data],COLUMN(T_TraitDi[[#This Row],[M3]]),FALSE)="","",VLOOKUP(T_BilanSocial[[#This Row],[NumL]],T_TraitDi[#Data],COLUMN(T_TraitDi[[#This Row],[M3]]),FALSE))</f>
        <v>#VALUE!</v>
      </c>
      <c r="Z64" s="176" t="str">
        <f t="shared" si="5"/>
        <v/>
      </c>
      <c r="AA64" s="176" t="e">
        <f>IF(VLOOKUP(T_BilanSocial[[#This Row],[NumL]],T_TraitDi[#Data],COLUMN(T_TraitDi[[#This Row],[M5]]),FALSE)="","",VLOOKUP(T_BilanSocial[[#This Row],[NumL]],T_TraitDi[#Data],COLUMN(T_TraitDi[[#This Row],[M5]]),FALSE))</f>
        <v>#VALUE!</v>
      </c>
      <c r="AB64" s="176" t="e">
        <f>IF(VLOOKUP(T_BilanSocial[[#This Row],[NumL]],T_TraitDi[#Data],COLUMN(T_TraitDi[[#This Row],[M6]]),FALSE)="","",VLOOKUP(T_BilanSocial[[#This Row],[NumL]],T_TraitDi[#Data],COLUMN(T_TraitDi[[#This Row],[M6]]),FALSE))</f>
        <v>#VALUE!</v>
      </c>
      <c r="AC64" s="165" t="e">
        <f t="shared" si="4"/>
        <v>#VALUE!</v>
      </c>
      <c r="AD64" s="188" t="str">
        <f>IFERROR(TEXT(VLOOKUP(T_BilanSocial[[#This Row],[NumL]],T_TraitDi[#Data],COLUMN(T_TraitDi[[#This Row],[Q2]]),FALSE),"###%"),"")</f>
        <v/>
      </c>
      <c r="AE64" s="97" t="e">
        <f>VLOOKUP(T_BilanSocial[[#This Row],[NumL]],T_TraitDi[#Data],COLUMN(T_TraitDi[[#This Row],[Reg Ponct]]),FALSE)</f>
        <v>#VALUE!</v>
      </c>
      <c r="AF64" s="97" t="e">
        <f>VLOOKUP(T_BilanSocial[NumL],T_TraitDi[#Data],COLUMN(T_TraitDi[[#This Row],[Jours flottants]]),FALSE)</f>
        <v>#VALUE!</v>
      </c>
      <c r="AG64" s="97" t="str">
        <f>IFERROR(VLOOKUP(T_BilanSocial[[#This Row],[NumL]],T_TraitDi[#Data],COLUMN(T_TraitDi[[#This Row],[Lundi]]),FALSE),"")</f>
        <v/>
      </c>
      <c r="AH64" s="172" t="e">
        <f>IF(VLOOKUP(T_BilanSocial[[#This Row],[NumL]],T_TraitDi[#Data],COLUMN(T_TraitDi[[#This Row],[Colonne3]]),FALSE)=0,"",TEXT(IFERROR(VLOOKUP(T_BilanSocial[[#This Row],[NumL]],T_TraitDi[#Data],COLUMN(T_TraitDi[[#This Row],[Colonne3]]),FALSE),""),"[hh]:mm"))</f>
        <v>#VALUE!</v>
      </c>
      <c r="AI64" s="172" t="e">
        <f>IF(VLOOKUP(T_BilanSocial[[#This Row],[NumL]],T_TraitDi[#Data],COLUMN(T_TraitDi[[#This Row],[Colonne4]]),FALSE)=0,"",TEXT(IFERROR(VLOOKUP(T_BilanSocial[[#This Row],[NumL]],T_TraitDi[#Data],COLUMN(T_TraitDi[[#This Row],[Colonne4]]),FALSE),""),"[hh]:mm"))</f>
        <v>#VALUE!</v>
      </c>
      <c r="AJ64" s="172" t="e">
        <f>IF(VLOOKUP(T_BilanSocial[[#This Row],[NumL]],T_TraitDi[#Data],COLUMN(T_TraitDi[[#This Row],[Colonne5]]),FALSE)=0,"",TEXT(IFERROR(VLOOKUP(T_BilanSocial[[#This Row],[NumL]],T_TraitDi[#Data],COLUMN(T_TraitDi[[#This Row],[Colonne5]]),FALSE),""),"[hh]:mm"))</f>
        <v>#VALUE!</v>
      </c>
      <c r="AK64" s="172" t="e">
        <f>IF(VLOOKUP(T_BilanSocial[[#This Row],[NumL]],T_TraitDi[#Data],COLUMN(T_TraitDi[[#This Row],[Colonne6]]),FALSE)=0,"",TEXT(IFERROR(VLOOKUP(T_BilanSocial[[#This Row],[NumL]],T_TraitDi[#Data],COLUMN(T_TraitDi[[#This Row],[Colonne6]]),FALSE),""),"[hh]:mm"))</f>
        <v>#VALUE!</v>
      </c>
      <c r="AL64" s="172" t="e">
        <f>IF(VLOOKUP(T_BilanSocial[[#This Row],[NumL]],T_TraitDi[#Data],COLUMN(T_TraitDi[[#This Row],[Colonne7]]),FALSE)=0,"",TEXT(IFERROR(VLOOKUP(T_BilanSocial[[#This Row],[NumL]],T_TraitDi[#Data],COLUMN(T_TraitDi[[#This Row],[Colonne7]]),FALSE),""),"[hh]:mm"))</f>
        <v>#VALUE!</v>
      </c>
      <c r="AM64" s="172" t="e">
        <f>IF(VLOOKUP(T_BilanSocial[[#This Row],[NumL]],T_TraitDi[#Data],COLUMN(T_TraitDi[[#This Row],[Colonne8]]),FALSE)=0,"",TEXT(IFERROR(VLOOKUP(T_BilanSocial[[#This Row],[NumL]],T_TraitDi[#Data],COLUMN(T_TraitDi[[#This Row],[Colonne8]]),FALSE),""),"[hh]:mm"))</f>
        <v>#VALUE!</v>
      </c>
      <c r="AN64" s="172" t="str">
        <f>IFERROR(VLOOKUP(T_BilanSocial[[#This Row],[NumL]],T_TraitDi[#Data],COLUMN(T_TraitDi[[#This Row],[Mardi]]),FALSE),"")</f>
        <v/>
      </c>
      <c r="AO64" s="172" t="e">
        <f>IF(VLOOKUP(T_BilanSocial[[#This Row],[NumL]],T_TraitDi[#Data],COLUMN(T_TraitDi[[#This Row],[Colonne1]]),FALSE)=0,"",TEXT(IFERROR(VLOOKUP(T_BilanSocial[[#This Row],[NumL]],T_TraitDi[#Data],COLUMN(T_TraitDi[[#This Row],[Colonne1]]),FALSE),""),"[hh]:mm"))</f>
        <v>#VALUE!</v>
      </c>
      <c r="AP64" s="172" t="e">
        <f>IF(VLOOKUP(T_BilanSocial[[#This Row],[NumL]],T_TraitDi[#Data],COLUMN(T_TraitDi[[#This Row],[Colonne9]]),FALSE)=0,"",TEXT(IFERROR(VLOOKUP(T_BilanSocial[[#This Row],[NumL]],T_TraitDi[#Data],COLUMN(T_TraitDi[[#This Row],[Colonne9]]),FALSE),""),"[hh]:mm"))</f>
        <v>#VALUE!</v>
      </c>
      <c r="AQ64" s="172" t="str">
        <f>IFERROR(VLOOKUP(T_BilanSocial[[#This Row],[NumL]],T_TraitDi[#Data],COLUMN(T_TraitDi[[#This Row],[Colonne10]]),FALSE),"")</f>
        <v/>
      </c>
      <c r="AR64" s="172" t="e">
        <f>IF(VLOOKUP(T_BilanSocial[[#This Row],[NumL]],T_TraitDi[#Data],COLUMN(T_TraitDi[[#This Row],[Colonne11]]),FALSE)=0,"",TEXT(IFERROR(VLOOKUP(T_BilanSocial[[#This Row],[NumL]],T_TraitDi[#Data],COLUMN(T_TraitDi[[#This Row],[Colonne11]]),FALSE),""),"[hh]:mm"))</f>
        <v>#VALUE!</v>
      </c>
      <c r="AS64" s="172" t="e">
        <f>IF(VLOOKUP(T_BilanSocial[[#This Row],[NumL]],T_TraitDi[#Data],COLUMN(T_TraitDi[[#This Row],[Colonne12]]),FALSE)=0,"",TEXT(IFERROR(VLOOKUP(T_BilanSocial[[#This Row],[NumL]],T_TraitDi[#Data],COLUMN(T_TraitDi[[#This Row],[Colonne12]]),FALSE),""),"[hh]:mm"))</f>
        <v>#VALUE!</v>
      </c>
      <c r="AT64" s="172" t="e">
        <f>IF(VLOOKUP(T_BilanSocial[[#This Row],[NumL]],T_TraitDi[#Data],COLUMN(T_TraitDi[[#This Row],[Colonne14]]),FALSE)=0,"",TEXT(IFERROR(VLOOKUP(T_BilanSocial[[#This Row],[NumL]],T_TraitDi[#Data],COLUMN(T_TraitDi[[#This Row],[Colonne14]]),FALSE),""),"[hh]:mm"))</f>
        <v>#VALUE!</v>
      </c>
      <c r="AU64" s="172" t="str">
        <f>IFERROR(VLOOKUP(T_BilanSocial[[#This Row],[NumL]],T_TraitDi[#Data],COLUMN(T_TraitDi[[#This Row],[Mercredi]]),FALSE),"")</f>
        <v/>
      </c>
      <c r="AV64" s="172" t="e">
        <f>IF(VLOOKUP(T_BilanSocial[[#This Row],[NumL]],T_TraitDi[#Data],COLUMN(T_TraitDi[[#This Row],[Colonne15]]),FALSE)=0,"",TEXT(IFERROR(VLOOKUP(T_BilanSocial[[#This Row],[NumL]],T_TraitDi[#Data],COLUMN(T_TraitDi[[#This Row],[Colonne15]]),FALSE),""),"[hh]:mm"))</f>
        <v>#VALUE!</v>
      </c>
      <c r="AW64" s="172" t="e">
        <f>IF(VLOOKUP(T_BilanSocial[[#This Row],[NumL]],T_TraitDi[#Data],COLUMN(T_TraitDi[[#This Row],[Colonne16]]),FALSE)=0,"",TEXT(IFERROR(VLOOKUP(T_BilanSocial[[#This Row],[NumL]],T_TraitDi[#Data],COLUMN(T_TraitDi[[#This Row],[Colonne16]]),FALSE),""),"[hh]:mm"))</f>
        <v>#VALUE!</v>
      </c>
      <c r="AX64" s="172" t="str">
        <f>IFERROR(VLOOKUP(T_BilanSocial[[#This Row],[NumL]],T_TraitDi[#Data],COLUMN(T_TraitDi[[#This Row],[Colonne17]]),FALSE),"")</f>
        <v/>
      </c>
      <c r="AY64" s="172" t="e">
        <f>IF(VLOOKUP(T_BilanSocial[[#This Row],[NumL]],T_TraitDi[#Data],COLUMN(T_TraitDi[[#This Row],[Colonne18]]),FALSE)=0,"",TEXT(IFERROR(VLOOKUP(T_BilanSocial[[#This Row],[NumL]],T_TraitDi[#Data],COLUMN(T_TraitDi[[#This Row],[Colonne18]]),FALSE),""),"[hh]:mm"))</f>
        <v>#VALUE!</v>
      </c>
      <c r="AZ64" s="172" t="e">
        <f>IF(VLOOKUP(T_BilanSocial[[#This Row],[NumL]],T_TraitDi[#Data],COLUMN(T_TraitDi[[#This Row],[Colonne19]]),FALSE)=0,"",TEXT(IFERROR(VLOOKUP(T_BilanSocial[[#This Row],[NumL]],T_TraitDi[#Data],COLUMN(T_TraitDi[[#This Row],[Colonne19]]),FALSE),""),"[hh]:mm"))</f>
        <v>#VALUE!</v>
      </c>
      <c r="BA64" s="172" t="e">
        <f>IF(VLOOKUP(T_BilanSocial[[#This Row],[NumL]],T_TraitDi[#Data],COLUMN(T_TraitDi[[#This Row],[Colonne20]]),FALSE)=0,"",TEXT(IFERROR(VLOOKUP(T_BilanSocial[[#This Row],[NumL]],T_TraitDi[#Data],COLUMN(T_TraitDi[[#This Row],[Colonne20]]),FALSE),""),"[hh]:mm"))</f>
        <v>#VALUE!</v>
      </c>
      <c r="BB64" s="178" t="str">
        <f>IFERROR(VLOOKUP(T_BilanSocial[[#This Row],[NumL]],T_TraitDi[#Data],COLUMN(T_TraitDi[[#This Row],[Jeudi]]),FALSE),"")</f>
        <v/>
      </c>
      <c r="BC64" s="178" t="e">
        <f>IF(VLOOKUP(T_BilanSocial[[#This Row],[NumL]],T_TraitDi[#Data],COLUMN(T_TraitDi[[#This Row],[Colonne21]]),FALSE)=0,"",TEXT(IFERROR(VLOOKUP(T_BilanSocial[[#This Row],[NumL]],T_TraitDi[#Data],COLUMN(T_TraitDi[[#This Row],[Colonne21]]),FALSE),""),"[hh]:mm"))</f>
        <v>#VALUE!</v>
      </c>
      <c r="BD64" s="178" t="e">
        <f>IF(VLOOKUP(T_BilanSocial[[#This Row],[NumL]],T_TraitDi[#Data],COLUMN(T_TraitDi[[#This Row],[Colonne22]]),FALSE)=0,"",TEXT(IFERROR(VLOOKUP(T_BilanSocial[[#This Row],[NumL]],T_TraitDi[#Data],COLUMN(T_TraitDi[[#This Row],[Colonne22]]),FALSE),""),"[hh]:mm"))</f>
        <v>#VALUE!</v>
      </c>
      <c r="BE64" s="178" t="str">
        <f>IFERROR(VLOOKUP(T_BilanSocial[[#This Row],[NumL]],T_TraitDi[#Data],COLUMN(T_TraitDi[[#This Row],[Colonne23]]),FALSE),"")</f>
        <v/>
      </c>
      <c r="BF64" s="178" t="e">
        <f>IF(VLOOKUP(T_BilanSocial[[#This Row],[NumL]],T_TraitDi[#Data],COLUMN(T_TraitDi[[#This Row],[Colonne24]]),FALSE)=0,"",TEXT(IFERROR(VLOOKUP(T_BilanSocial[[#This Row],[NumL]],T_TraitDi[#Data],COLUMN(T_TraitDi[[#This Row],[Colonne24]]),FALSE),""),"[hh]:mm"))</f>
        <v>#VALUE!</v>
      </c>
      <c r="BG64" s="178" t="e">
        <f>IF(VLOOKUP(T_BilanSocial[[#This Row],[NumL]],T_TraitDi[#Data],COLUMN(T_TraitDi[[#This Row],[Colonne25]]),FALSE)=0,"",TEXT(IFERROR(VLOOKUP(T_BilanSocial[[#This Row],[NumL]],T_TraitDi[#Data],COLUMN(T_TraitDi[[#This Row],[Colonne25]]),FALSE),""),"[hh]:mm"))</f>
        <v>#VALUE!</v>
      </c>
      <c r="BH64" s="178" t="e">
        <f>IF(VLOOKUP(T_BilanSocial[[#This Row],[NumL]],T_TraitDi[#Data],COLUMN(T_TraitDi[[#This Row],[Colonne26]]),FALSE)=0,"",TEXT(IFERROR(VLOOKUP(T_BilanSocial[[#This Row],[NumL]],T_TraitDi[#Data],COLUMN(T_TraitDi[[#This Row],[Colonne26]]),FALSE),""),"[hh]:mm"))</f>
        <v>#VALUE!</v>
      </c>
      <c r="BI64" s="172" t="str">
        <f>IFERROR(VLOOKUP(T_BilanSocial[[#This Row],[NumL]],T_TraitDi[#Data],COLUMN(T_TraitDi[[#This Row],[Vendredi]]),FALSE),"")</f>
        <v/>
      </c>
      <c r="BJ64" s="172" t="e">
        <f>IF(VLOOKUP(T_BilanSocial[[#This Row],[NumL]],T_TraitDi[#Data],COLUMN(T_TraitDi[[#This Row],[Colonne27]]),FALSE)=0,"",TEXT(IFERROR(VLOOKUP(T_BilanSocial[[#This Row],[NumL]],T_TraitDi[#Data],COLUMN(T_TraitDi[[#This Row],[Colonne27]]),FALSE),""),"[hh]:mm"))</f>
        <v>#VALUE!</v>
      </c>
      <c r="BK64" s="172" t="e">
        <f>IF(VLOOKUP(T_BilanSocial[[#This Row],[NumL]],T_TraitDi[#Data],COLUMN(T_TraitDi[[#This Row],[Colonne28]]),FALSE)=0,"",TEXT(IFERROR(VLOOKUP(T_BilanSocial[[#This Row],[NumL]],T_TraitDi[#Data],COLUMN(T_TraitDi[[#This Row],[Colonne28]]),FALSE),""),"[hh]:mm"))</f>
        <v>#VALUE!</v>
      </c>
      <c r="BL64" s="172" t="str">
        <f>IFERROR(VLOOKUP(T_BilanSocial[[#This Row],[NumL]],T_TraitDi[#Data],COLUMN(T_TraitDi[[#This Row],[Colonne29]]),FALSE),"")</f>
        <v/>
      </c>
      <c r="BM64" s="172" t="e">
        <f>IF(VLOOKUP(T_BilanSocial[[#This Row],[NumL]],T_TraitDi[#Data],COLUMN(T_TraitDi[[#This Row],[Colonne30]]),FALSE)=0,"",TEXT(IFERROR(VLOOKUP(T_BilanSocial[[#This Row],[NumL]],T_TraitDi[#Data],COLUMN(T_TraitDi[[#This Row],[Colonne30]]),FALSE),""),"[hh]:mm"))</f>
        <v>#VALUE!</v>
      </c>
      <c r="BN64" s="172" t="e">
        <f>IF(VLOOKUP(T_BilanSocial[[#This Row],[NumL]],T_TraitDi[#Data],COLUMN(T_TraitDi[[#This Row],[Colonne31]]),FALSE)=0,"",TEXT(IFERROR(VLOOKUP(T_BilanSocial[[#This Row],[NumL]],T_TraitDi[#Data],COLUMN(T_TraitDi[[#This Row],[Colonne31]]),FALSE),""),"[hh]:mm"))</f>
        <v>#VALUE!</v>
      </c>
      <c r="BO64" s="172" t="e">
        <f>IF(VLOOKUP(T_BilanSocial[[#This Row],[NumL]],T_TraitDi[#Data],COLUMN(T_TraitDi[[#This Row],[Colonne32]]),FALSE)=0,"",TEXT(IFERROR(VLOOKUP(T_BilanSocial[[#This Row],[NumL]],T_TraitDi[#Data],COLUMN(T_TraitDi[[#This Row],[Colonne32]]),FALSE),""),"[hh]:mm"))</f>
        <v>#VALUE!</v>
      </c>
      <c r="BP64" s="172" t="e">
        <f>VLOOKUP(T_BilanSocial[[#This Row],[NumL]],T_TraitDi[#Data],COLUMN(T_TraitDi[NbJTot]),FALSE)</f>
        <v>#N/A</v>
      </c>
      <c r="BQ64" s="174" t="str">
        <f>IFERROR(VLOOKUP(T_BilanSocial[[#This Row],[NumL]],T_TraitDi[#Data],COLUMN(T_TraitDi[[#This Row],[NbJTW]]),FALSE),"")</f>
        <v/>
      </c>
      <c r="BR64" s="174" t="e">
        <f>IF(VLOOKUP(T_BilanSocial[[#This Row],[NumL]],T_TraitDi[#Data],COLUMN(T_TraitDi[[#This Row],[NbhTW]]),FALSE)=0,"",TEXT(IFERROR(VLOOKUP(T_BilanSocial[[#This Row],[NumL]],T_TraitDi[#Data],COLUMN(T_TraitDi[[#This Row],[NbhTW]]),FALSE),""),"[hh]:mm"))</f>
        <v>#VALUE!</v>
      </c>
      <c r="BS64" s="174" t="e">
        <f>IF(VLOOKUP(T_BilanSocial[[#This Row],[NumL]],T_TraitDi[#Data],COLUMN(T_TraitDi[[#This Row],[Nbhheb]]),FALSE)=0,"",TEXT(IFERROR(VLOOKUP($A64,T_TraitDi[#Data],COLUMN(T_TraitDi[[#This Row],[Nbhheb]]),FALSE),""),"[hh]:mm"))</f>
        <v>#VALUE!</v>
      </c>
      <c r="BT64" s="182" t="str">
        <f>IFERROR(VLOOKUP(VLOOKUP($A64,T_TraitDi[#Data],COLUMN(T_TraitDi[[#This Row],[Type1]]),FALSE),TypeTW,2,FALSE),"")</f>
        <v/>
      </c>
      <c r="BU64" s="182" t="str">
        <f>IFERROR(VLOOKUP($A64,T_TraitDi[#Data],COLUMN(T_TraitDi[[#This Row],[Rue1]]),FALSE),"")</f>
        <v/>
      </c>
      <c r="BV64" s="173" t="str">
        <f>IFERROR(VLOOKUP($A64,T_TraitDi[#Data],COLUMN(T_TraitDi[[#This Row],[CP1]]),FALSE),"")</f>
        <v/>
      </c>
      <c r="BW64" s="173" t="str">
        <f>IFERROR(VLOOKUP($A64,T_TraitDi[#Data],COLUMN(T_TraitDi[[#This Row],[VILLE1]]),FALSE),"")</f>
        <v/>
      </c>
      <c r="BX64" s="182" t="str">
        <f>IFERROR(VLOOKUP(VLOOKUP($A64,T_TraitDi[#Data],COLUMN(T_TraitDi[[#This Row],[Type2]]),FALSE),TypeTW,2,FALSE),"")</f>
        <v/>
      </c>
      <c r="BY64" s="182" t="str">
        <f>IFERROR(VLOOKUP($A64,T_TraitDi[#Data],COLUMN(T_TraitDi[[#This Row],[Rue2]]),FALSE),"")</f>
        <v/>
      </c>
      <c r="BZ64" s="173" t="str">
        <f>IFERROR(VLOOKUP($A64,T_TraitDi[#Data],COLUMN(T_TraitDi[[#This Row],[CP2]]),FALSE),"")</f>
        <v/>
      </c>
      <c r="CA64" s="173" t="str">
        <f>IFERROR(VLOOKUP($A64,T_TraitDi[#Data],COLUMN(T_TraitDi[[#This Row],[VILLE2]]),FALSE),"")</f>
        <v/>
      </c>
      <c r="CB64" s="182" t="e">
        <f>IF(VLOOKUP(T_BilanSocial[[#This Row],[NumL]],T_Equipement[#Data],COLUMN(T_Equipement[[#This Row],[PC]]),FALSE)="","Aucun équipement spécifique directement lié au télétravail",VLOOKUP(T_BilanSocial[[#This Row],[NumL]],T_Equipement[#Data],COLUMN(T_Equipement[[#This Row],[PC]]),FALSE))</f>
        <v>#N/A</v>
      </c>
      <c r="CC64" s="166" t="str">
        <f>IFERROR(IF(VLOOKUP(T_BilanSocial[[#This Row],[NumL]],T_TraitDi[#Data],COLUMN(T_TraitDi[[#This Row],[Plan]]),FALSE)="OK","Un planning spécifique de télétravail est annexé à la présente convention.",""),"")</f>
        <v/>
      </c>
      <c r="CD64" s="258" t="s">
        <v>3369</v>
      </c>
      <c r="CE64" s="164" t="e">
        <f>IF(VLOOKUP(T_BilanSocial[[#This Row],[NumL]],T_suiviDi[#Data],COLUMN(T_suiviDi[[#This Row],[Entité]]),FALSE)="","",VLOOKUP(T_BilanSocial[[#This Row],[NumL]],T_suiviDi[#Data],COLUMN(T_suiviDi[[#This Row],[Entité]]),FALSE))</f>
        <v>#VALUE!</v>
      </c>
      <c r="CF64" s="164" t="e">
        <f>IF(VLOOKUP(T_BilanSocial[[#This Row],[NumL]],T_Commission[#Data],COLUMN(T_Commission[[#This Row],[envoi confirm TW]]),FALSE)="","",VLOOKUP(T_BilanSocial[[#This Row],[NumL]],T_Commission[#Data],COLUMN(T_Commission[[#This Row],[envoi confirm TW]]),FALSE))</f>
        <v>#N/A</v>
      </c>
      <c r="CG6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4" s="262" t="e">
        <f>T_BilanSocial[[#This Row],[Nom]]&amp;T_BilanSocial[[#This Row],[Prenom]]</f>
        <v>#N/A</v>
      </c>
      <c r="CI64" s="262" t="e">
        <f>VLOOKUP(T_BilanSocial[[#This Row],[NumL]],T_Commission[#Data],COLUMN(T_Commission[Commentaire]),FALSE)</f>
        <v>#N/A</v>
      </c>
      <c r="CJ64" s="262" t="e">
        <f>IF(VLOOKUP(T_BilanSocial[[#This Row],[NumL]],T_Commission[#Data],COLUMN(T_Commission[Encadrant Email]),FALSE)="","",VLOOKUP(T_BilanSocial[[#This Row],[NumL]],T_Commission[#Data],COLUMN(T_Commission[Encadrant Email]),FALSE))</f>
        <v>#N/A</v>
      </c>
      <c r="CK64" s="340" t="e">
        <f>IF(T_BilanSocial[[#This Row],[Final]]&lt;&gt;"",VLOOKUP(T_BilanSocial[[#This Row],[NumL]],T_suiviDi[#Data],COLUMN((T_suiviDi[Statut])),FALSE),"")</f>
        <v>#N/A</v>
      </c>
    </row>
    <row r="65" spans="1:89" s="106" customFormat="1" ht="24.75" customHeight="1" x14ac:dyDescent="0.25">
      <c r="A65" s="160">
        <v>62</v>
      </c>
      <c r="B65" s="161">
        <f t="shared" si="0"/>
        <v>1</v>
      </c>
      <c r="C65" s="162" t="s">
        <v>3287</v>
      </c>
      <c r="D65" s="95" t="e">
        <f>IF(VLOOKUP(T_BilanSocial[[#This Row],[NumL]],T_TraitDi[#Data],COLUMN(T_TraitDi[[#This Row],[WebC]]),FALSE)="","",VLOOKUP(T_BilanSocial[[#This Row],[NumL]],T_TraitDi[#Data],COLUMN(T_TraitDi[[#This Row],[WebC]]),FALSE))</f>
        <v>#VALUE!</v>
      </c>
      <c r="E65" s="163" t="str">
        <f t="shared" si="1"/>
        <v>12 janvier 2021</v>
      </c>
      <c r="F65" s="96" t="str">
        <f>IF(T_BilanSocial[[#This Row],[Final]]&lt;&gt;"",VLOOKUP(T_BilanSocial[[#This Row],[NumL]],T_suiviDi[#Data],COLUMN((T_suiviDi[Civ.])),FALSE),"")</f>
        <v>Mme</v>
      </c>
      <c r="G65" s="96" t="str">
        <f>IF(T_BilanSocial[[#This Row],[Final]]&lt;&gt;"",VLOOKUP(T_BilanSocial[[#This Row],[NumL]],T_suiviDi[#Data],COLUMN((T_suiviDi[Nom])),FALSE),"")</f>
        <v>A</v>
      </c>
      <c r="H65" s="96" t="str">
        <f>IF(T_BilanSocial[[#This Row],[Final]]&lt;&gt;"",VLOOKUP(T_BilanSocial[[#This Row],[NumL]],T_suiviDi[#Data],COLUMN((T_suiviDi[Prénom])),FALSE),"")</f>
        <v>Jean-Baptiste</v>
      </c>
      <c r="I65" s="96" t="str">
        <f>IFERROR(VLOOKUP(T_BilanSocial[[#This Row],[Zone_Bilan]],T_P_BilanSocial[#Data],COLUMN(T_P_BilanSocial[[#This Row],[Numero_SIHAM]]),FALSE),"")</f>
        <v/>
      </c>
      <c r="J65" s="96" t="str">
        <f>IFERROR(VLOOKUP(T_BilanSocial[[#This Row],[Zone_Bilan]],T_P_BilanSocial[#Data],COLUMN(T_P_BilanSocial[[#This Row],[Sexe]]),FALSE),"")</f>
        <v/>
      </c>
      <c r="K65" s="97" t="str">
        <f>IFERROR(VLOOKUP(T_BilanSocial[[#This Row],[Zone_Bilan]],T_P_BilanSocial[#Data],COLUMN(T_P_BilanSocial[[#This Row],[Categorie]]),FALSE),"")</f>
        <v/>
      </c>
      <c r="L65" s="96" t="str">
        <f>IFERROR(VLOOKUP(T_BilanSocial[[#This Row],[Zone_Bilan]],T_P_BilanSocial[#Data],COLUMN(T_P_BilanSocial[[#This Row],[Statut]]),FALSE),"")</f>
        <v/>
      </c>
      <c r="M65" s="96" t="str">
        <f>IFERROR(VLOOKUP(T_BilanSocial[[#This Row],[Zone_Bilan]],T_P_BilanSocial[#Data],COLUMN(T_P_BilanSocial[[#This Row],[Filiere]]),FALSE),"")</f>
        <v/>
      </c>
      <c r="N65" s="96" t="str">
        <f>VLOOKUP(T_BilanSocial[[#This Row],[NumL]],T_TraitDi[#Data],COLUMN(T_TraitDi[EXP]),FALSE)</f>
        <v>N</v>
      </c>
      <c r="O65" s="96" t="str">
        <f>VLOOKUP(T_BilanSocial[[#This Row],[NumL]],T_TraitDi[#Data],COLUMN(T_TraitDi[FORM]),FALSE)</f>
        <v>N</v>
      </c>
      <c r="P65" s="96">
        <f>IF(T_BilanSocial[[#This Row],[Final]]&lt;&gt;"",VLOOKUP(T_BilanSocial[[#This Row],[NumL]],T_suiviDi[#Data],COLUMN((T_suiviDi[Email])),FALSE),"")</f>
        <v>0</v>
      </c>
      <c r="Q65" s="164" t="str">
        <f t="shared" si="7"/>
        <v/>
      </c>
      <c r="R65" s="164" t="str">
        <f t="shared" si="8"/>
        <v>Gestionnaire Action  Culturelle</v>
      </c>
      <c r="S65" s="164" t="e">
        <f>IF(VLOOKUP(T_BilanSocial[[#This Row],[NumL]],T_suiviDi[#Data],COLUMN(T_suiviDi[[#This Row],[Service ]]),FALSE)="","",VLOOKUP(T_BilanSocial[[#This Row],[NumL]],T_suiviDi[#Data],COLUMN(T_suiviDi[[#This Row],[Service ]]),FALSE))</f>
        <v>#VALUE!</v>
      </c>
      <c r="T65" s="164" t="str">
        <f t="shared" si="2"/>
        <v>01 septembre 2021</v>
      </c>
      <c r="U65" s="164" t="str">
        <f t="shared" si="3"/>
        <v>30 novembre 2021</v>
      </c>
      <c r="V65" s="164" t="str">
        <f t="shared" si="9"/>
        <v>30 novembre 2021</v>
      </c>
      <c r="W65" s="176" t="e">
        <f>IF(VLOOKUP(T_BilanSocial[[#This Row],[NumL]],T_TraitDi[#Data],COLUMN(T_TraitDi[[#This Row],[M1]]),FALSE)="","",VLOOKUP(T_BilanSocial[[#This Row],[NumL]],T_TraitDi[#Data],COLUMN(T_TraitDi[[#This Row],[M1]]),FALSE))</f>
        <v>#VALUE!</v>
      </c>
      <c r="X65" s="176" t="e">
        <f>IF(VLOOKUP(T_BilanSocial[[#This Row],[NumL]],T_TraitDi[#Data],COLUMN(T_TraitDi[[#This Row],[M2]]),FALSE)="","",VLOOKUP(T_BilanSocial[[#This Row],[NumL]],T_TraitDi[#Data],COLUMN(T_TraitDi[[#This Row],[M2]]),FALSE))</f>
        <v>#VALUE!</v>
      </c>
      <c r="Y65" s="176" t="e">
        <f>IF(VLOOKUP(T_BilanSocial[[#This Row],[NumL]],T_TraitDi[#Data],COLUMN(T_TraitDi[[#This Row],[M3]]),FALSE)="","",VLOOKUP(T_BilanSocial[[#This Row],[NumL]],T_TraitDi[#Data],COLUMN(T_TraitDi[[#This Row],[M3]]),FALSE))</f>
        <v>#VALUE!</v>
      </c>
      <c r="Z65" s="176" t="str">
        <f t="shared" si="5"/>
        <v xml:space="preserve"> -Elaboration des actualités pour la diffusion des informations sur l'activité culturelle</v>
      </c>
      <c r="AA65" s="176" t="e">
        <f>IF(VLOOKUP(T_BilanSocial[[#This Row],[NumL]],T_TraitDi[#Data],COLUMN(T_TraitDi[[#This Row],[M5]]),FALSE)="","",VLOOKUP(T_BilanSocial[[#This Row],[NumL]],T_TraitDi[#Data],COLUMN(T_TraitDi[[#This Row],[M5]]),FALSE))</f>
        <v>#VALUE!</v>
      </c>
      <c r="AB65" s="176" t="e">
        <f>IF(VLOOKUP(T_BilanSocial[[#This Row],[NumL]],T_TraitDi[#Data],COLUMN(T_TraitDi[[#This Row],[M6]]),FALSE)="","",VLOOKUP(T_BilanSocial[[#This Row],[NumL]],T_TraitDi[#Data],COLUMN(T_TraitDi[[#This Row],[M6]]),FALSE))</f>
        <v>#VALUE!</v>
      </c>
      <c r="AC65" s="165" t="e">
        <f t="shared" si="4"/>
        <v>#VALUE!</v>
      </c>
      <c r="AD65" s="188" t="str">
        <f>IFERROR(TEXT(VLOOKUP(T_BilanSocial[[#This Row],[NumL]],T_TraitDi[#Data],COLUMN(T_TraitDi[[#This Row],[Q2]]),FALSE),"###%"),"")</f>
        <v/>
      </c>
      <c r="AE65" s="97" t="e">
        <f>VLOOKUP(T_BilanSocial[[#This Row],[NumL]],T_TraitDi[#Data],COLUMN(T_TraitDi[[#This Row],[Reg Ponct]]),FALSE)</f>
        <v>#VALUE!</v>
      </c>
      <c r="AF65" s="97" t="e">
        <f>VLOOKUP(T_BilanSocial[NumL],T_TraitDi[#Data],COLUMN(T_TraitDi[[#This Row],[Jours flottants]]),FALSE)</f>
        <v>#VALUE!</v>
      </c>
      <c r="AG65" s="97" t="str">
        <f>IFERROR(VLOOKUP(T_BilanSocial[[#This Row],[NumL]],T_TraitDi[#Data],COLUMN(T_TraitDi[[#This Row],[Lundi]]),FALSE),"")</f>
        <v/>
      </c>
      <c r="AH65" s="172" t="e">
        <f>IF(VLOOKUP(T_BilanSocial[[#This Row],[NumL]],T_TraitDi[#Data],COLUMN(T_TraitDi[[#This Row],[Colonne3]]),FALSE)=0,"",TEXT(IFERROR(VLOOKUP(T_BilanSocial[[#This Row],[NumL]],T_TraitDi[#Data],COLUMN(T_TraitDi[[#This Row],[Colonne3]]),FALSE),""),"[hh]:mm"))</f>
        <v>#VALUE!</v>
      </c>
      <c r="AI65" s="172" t="e">
        <f>IF(VLOOKUP(T_BilanSocial[[#This Row],[NumL]],T_TraitDi[#Data],COLUMN(T_TraitDi[[#This Row],[Colonne4]]),FALSE)=0,"",TEXT(IFERROR(VLOOKUP(T_BilanSocial[[#This Row],[NumL]],T_TraitDi[#Data],COLUMN(T_TraitDi[[#This Row],[Colonne4]]),FALSE),""),"[hh]:mm"))</f>
        <v>#VALUE!</v>
      </c>
      <c r="AJ65" s="172" t="e">
        <f>IF(VLOOKUP(T_BilanSocial[[#This Row],[NumL]],T_TraitDi[#Data],COLUMN(T_TraitDi[[#This Row],[Colonne5]]),FALSE)=0,"",TEXT(IFERROR(VLOOKUP(T_BilanSocial[[#This Row],[NumL]],T_TraitDi[#Data],COLUMN(T_TraitDi[[#This Row],[Colonne5]]),FALSE),""),"[hh]:mm"))</f>
        <v>#VALUE!</v>
      </c>
      <c r="AK65" s="172" t="e">
        <f>IF(VLOOKUP(T_BilanSocial[[#This Row],[NumL]],T_TraitDi[#Data],COLUMN(T_TraitDi[[#This Row],[Colonne6]]),FALSE)=0,"",TEXT(IFERROR(VLOOKUP(T_BilanSocial[[#This Row],[NumL]],T_TraitDi[#Data],COLUMN(T_TraitDi[[#This Row],[Colonne6]]),FALSE),""),"[hh]:mm"))</f>
        <v>#VALUE!</v>
      </c>
      <c r="AL65" s="172" t="e">
        <f>IF(VLOOKUP(T_BilanSocial[[#This Row],[NumL]],T_TraitDi[#Data],COLUMN(T_TraitDi[[#This Row],[Colonne7]]),FALSE)=0,"",TEXT(IFERROR(VLOOKUP(T_BilanSocial[[#This Row],[NumL]],T_TraitDi[#Data],COLUMN(T_TraitDi[[#This Row],[Colonne7]]),FALSE),""),"[hh]:mm"))</f>
        <v>#VALUE!</v>
      </c>
      <c r="AM65" s="172" t="e">
        <f>IF(VLOOKUP(T_BilanSocial[[#This Row],[NumL]],T_TraitDi[#Data],COLUMN(T_TraitDi[[#This Row],[Colonne8]]),FALSE)=0,"",TEXT(IFERROR(VLOOKUP(T_BilanSocial[[#This Row],[NumL]],T_TraitDi[#Data],COLUMN(T_TraitDi[[#This Row],[Colonne8]]),FALSE),""),"[hh]:mm"))</f>
        <v>#VALUE!</v>
      </c>
      <c r="AN65" s="172" t="str">
        <f>IFERROR(VLOOKUP(T_BilanSocial[[#This Row],[NumL]],T_TraitDi[#Data],COLUMN(T_TraitDi[[#This Row],[Mardi]]),FALSE),"")</f>
        <v/>
      </c>
      <c r="AO65" s="172" t="e">
        <f>IF(VLOOKUP(T_BilanSocial[[#This Row],[NumL]],T_TraitDi[#Data],COLUMN(T_TraitDi[[#This Row],[Colonne1]]),FALSE)=0,"",TEXT(IFERROR(VLOOKUP(T_BilanSocial[[#This Row],[NumL]],T_TraitDi[#Data],COLUMN(T_TraitDi[[#This Row],[Colonne1]]),FALSE),""),"[hh]:mm"))</f>
        <v>#VALUE!</v>
      </c>
      <c r="AP65" s="172" t="e">
        <f>IF(VLOOKUP(T_BilanSocial[[#This Row],[NumL]],T_TraitDi[#Data],COLUMN(T_TraitDi[[#This Row],[Colonne9]]),FALSE)=0,"",TEXT(IFERROR(VLOOKUP(T_BilanSocial[[#This Row],[NumL]],T_TraitDi[#Data],COLUMN(T_TraitDi[[#This Row],[Colonne9]]),FALSE),""),"[hh]:mm"))</f>
        <v>#VALUE!</v>
      </c>
      <c r="AQ65" s="172" t="str">
        <f>IFERROR(VLOOKUP(T_BilanSocial[[#This Row],[NumL]],T_TraitDi[#Data],COLUMN(T_TraitDi[[#This Row],[Colonne10]]),FALSE),"")</f>
        <v/>
      </c>
      <c r="AR65" s="172" t="e">
        <f>IF(VLOOKUP(T_BilanSocial[[#This Row],[NumL]],T_TraitDi[#Data],COLUMN(T_TraitDi[[#This Row],[Colonne11]]),FALSE)=0,"",TEXT(IFERROR(VLOOKUP(T_BilanSocial[[#This Row],[NumL]],T_TraitDi[#Data],COLUMN(T_TraitDi[[#This Row],[Colonne11]]),FALSE),""),"[hh]:mm"))</f>
        <v>#VALUE!</v>
      </c>
      <c r="AS65" s="172" t="e">
        <f>IF(VLOOKUP(T_BilanSocial[[#This Row],[NumL]],T_TraitDi[#Data],COLUMN(T_TraitDi[[#This Row],[Colonne12]]),FALSE)=0,"",TEXT(IFERROR(VLOOKUP(T_BilanSocial[[#This Row],[NumL]],T_TraitDi[#Data],COLUMN(T_TraitDi[[#This Row],[Colonne12]]),FALSE),""),"[hh]:mm"))</f>
        <v>#VALUE!</v>
      </c>
      <c r="AT65" s="172" t="e">
        <f>IF(VLOOKUP(T_BilanSocial[[#This Row],[NumL]],T_TraitDi[#Data],COLUMN(T_TraitDi[[#This Row],[Colonne14]]),FALSE)=0,"",TEXT(IFERROR(VLOOKUP(T_BilanSocial[[#This Row],[NumL]],T_TraitDi[#Data],COLUMN(T_TraitDi[[#This Row],[Colonne14]]),FALSE),""),"[hh]:mm"))</f>
        <v>#VALUE!</v>
      </c>
      <c r="AU65" s="172" t="str">
        <f>IFERROR(VLOOKUP(T_BilanSocial[[#This Row],[NumL]],T_TraitDi[#Data],COLUMN(T_TraitDi[[#This Row],[Mercredi]]),FALSE),"")</f>
        <v/>
      </c>
      <c r="AV65" s="172" t="e">
        <f>IF(VLOOKUP(T_BilanSocial[[#This Row],[NumL]],T_TraitDi[#Data],COLUMN(T_TraitDi[[#This Row],[Colonne15]]),FALSE)=0,"",TEXT(IFERROR(VLOOKUP(T_BilanSocial[[#This Row],[NumL]],T_TraitDi[#Data],COLUMN(T_TraitDi[[#This Row],[Colonne15]]),FALSE),""),"[hh]:mm"))</f>
        <v>#VALUE!</v>
      </c>
      <c r="AW65" s="172" t="e">
        <f>IF(VLOOKUP(T_BilanSocial[[#This Row],[NumL]],T_TraitDi[#Data],COLUMN(T_TraitDi[[#This Row],[Colonne16]]),FALSE)=0,"",TEXT(IFERROR(VLOOKUP(T_BilanSocial[[#This Row],[NumL]],T_TraitDi[#Data],COLUMN(T_TraitDi[[#This Row],[Colonne16]]),FALSE),""),"[hh]:mm"))</f>
        <v>#VALUE!</v>
      </c>
      <c r="AX65" s="172" t="str">
        <f>IFERROR(VLOOKUP(T_BilanSocial[[#This Row],[NumL]],T_TraitDi[#Data],COLUMN(T_TraitDi[[#This Row],[Colonne17]]),FALSE),"")</f>
        <v/>
      </c>
      <c r="AY65" s="172" t="e">
        <f>IF(VLOOKUP(T_BilanSocial[[#This Row],[NumL]],T_TraitDi[#Data],COLUMN(T_TraitDi[[#This Row],[Colonne18]]),FALSE)=0,"",TEXT(IFERROR(VLOOKUP(T_BilanSocial[[#This Row],[NumL]],T_TraitDi[#Data],COLUMN(T_TraitDi[[#This Row],[Colonne18]]),FALSE),""),"[hh]:mm"))</f>
        <v>#VALUE!</v>
      </c>
      <c r="AZ65" s="172" t="e">
        <f>IF(VLOOKUP(T_BilanSocial[[#This Row],[NumL]],T_TraitDi[#Data],COLUMN(T_TraitDi[[#This Row],[Colonne19]]),FALSE)=0,"",TEXT(IFERROR(VLOOKUP(T_BilanSocial[[#This Row],[NumL]],T_TraitDi[#Data],COLUMN(T_TraitDi[[#This Row],[Colonne19]]),FALSE),""),"[hh]:mm"))</f>
        <v>#VALUE!</v>
      </c>
      <c r="BA65" s="172" t="e">
        <f>IF(VLOOKUP(T_BilanSocial[[#This Row],[NumL]],T_TraitDi[#Data],COLUMN(T_TraitDi[[#This Row],[Colonne20]]),FALSE)=0,"",TEXT(IFERROR(VLOOKUP(T_BilanSocial[[#This Row],[NumL]],T_TraitDi[#Data],COLUMN(T_TraitDi[[#This Row],[Colonne20]]),FALSE),""),"[hh]:mm"))</f>
        <v>#VALUE!</v>
      </c>
      <c r="BB65" s="178" t="str">
        <f>IFERROR(VLOOKUP(T_BilanSocial[[#This Row],[NumL]],T_TraitDi[#Data],COLUMN(T_TraitDi[[#This Row],[Jeudi]]),FALSE),"")</f>
        <v/>
      </c>
      <c r="BC65" s="178" t="e">
        <f>IF(VLOOKUP(T_BilanSocial[[#This Row],[NumL]],T_TraitDi[#Data],COLUMN(T_TraitDi[[#This Row],[Colonne21]]),FALSE)=0,"",TEXT(IFERROR(VLOOKUP(T_BilanSocial[[#This Row],[NumL]],T_TraitDi[#Data],COLUMN(T_TraitDi[[#This Row],[Colonne21]]),FALSE),""),"[hh]:mm"))</f>
        <v>#VALUE!</v>
      </c>
      <c r="BD65" s="178" t="e">
        <f>IF(VLOOKUP(T_BilanSocial[[#This Row],[NumL]],T_TraitDi[#Data],COLUMN(T_TraitDi[[#This Row],[Colonne22]]),FALSE)=0,"",TEXT(IFERROR(VLOOKUP(T_BilanSocial[[#This Row],[NumL]],T_TraitDi[#Data],COLUMN(T_TraitDi[[#This Row],[Colonne22]]),FALSE),""),"[hh]:mm"))</f>
        <v>#VALUE!</v>
      </c>
      <c r="BE65" s="178" t="str">
        <f>IFERROR(VLOOKUP(T_BilanSocial[[#This Row],[NumL]],T_TraitDi[#Data],COLUMN(T_TraitDi[[#This Row],[Colonne23]]),FALSE),"")</f>
        <v/>
      </c>
      <c r="BF65" s="178" t="e">
        <f>IF(VLOOKUP(T_BilanSocial[[#This Row],[NumL]],T_TraitDi[#Data],COLUMN(T_TraitDi[[#This Row],[Colonne24]]),FALSE)=0,"",TEXT(IFERROR(VLOOKUP(T_BilanSocial[[#This Row],[NumL]],T_TraitDi[#Data],COLUMN(T_TraitDi[[#This Row],[Colonne24]]),FALSE),""),"[hh]:mm"))</f>
        <v>#VALUE!</v>
      </c>
      <c r="BG65" s="178" t="e">
        <f>IF(VLOOKUP(T_BilanSocial[[#This Row],[NumL]],T_TraitDi[#Data],COLUMN(T_TraitDi[[#This Row],[Colonne25]]),FALSE)=0,"",TEXT(IFERROR(VLOOKUP(T_BilanSocial[[#This Row],[NumL]],T_TraitDi[#Data],COLUMN(T_TraitDi[[#This Row],[Colonne25]]),FALSE),""),"[hh]:mm"))</f>
        <v>#VALUE!</v>
      </c>
      <c r="BH65" s="178" t="e">
        <f>IF(VLOOKUP(T_BilanSocial[[#This Row],[NumL]],T_TraitDi[#Data],COLUMN(T_TraitDi[[#This Row],[Colonne26]]),FALSE)=0,"",TEXT(IFERROR(VLOOKUP(T_BilanSocial[[#This Row],[NumL]],T_TraitDi[#Data],COLUMN(T_TraitDi[[#This Row],[Colonne26]]),FALSE),""),"[hh]:mm"))</f>
        <v>#VALUE!</v>
      </c>
      <c r="BI65" s="172" t="str">
        <f>IFERROR(VLOOKUP(T_BilanSocial[[#This Row],[NumL]],T_TraitDi[#Data],COLUMN(T_TraitDi[[#This Row],[Vendredi]]),FALSE),"")</f>
        <v/>
      </c>
      <c r="BJ65" s="172" t="e">
        <f>IF(VLOOKUP(T_BilanSocial[[#This Row],[NumL]],T_TraitDi[#Data],COLUMN(T_TraitDi[[#This Row],[Colonne27]]),FALSE)=0,"",TEXT(IFERROR(VLOOKUP(T_BilanSocial[[#This Row],[NumL]],T_TraitDi[#Data],COLUMN(T_TraitDi[[#This Row],[Colonne27]]),FALSE),""),"[hh]:mm"))</f>
        <v>#VALUE!</v>
      </c>
      <c r="BK65" s="172" t="e">
        <f>IF(VLOOKUP(T_BilanSocial[[#This Row],[NumL]],T_TraitDi[#Data],COLUMN(T_TraitDi[[#This Row],[Colonne28]]),FALSE)=0,"",TEXT(IFERROR(VLOOKUP(T_BilanSocial[[#This Row],[NumL]],T_TraitDi[#Data],COLUMN(T_TraitDi[[#This Row],[Colonne28]]),FALSE),""),"[hh]:mm"))</f>
        <v>#VALUE!</v>
      </c>
      <c r="BL65" s="172" t="str">
        <f>IFERROR(VLOOKUP(T_BilanSocial[[#This Row],[NumL]],T_TraitDi[#Data],COLUMN(T_TraitDi[[#This Row],[Colonne29]]),FALSE),"")</f>
        <v/>
      </c>
      <c r="BM65" s="172" t="e">
        <f>IF(VLOOKUP(T_BilanSocial[[#This Row],[NumL]],T_TraitDi[#Data],COLUMN(T_TraitDi[[#This Row],[Colonne30]]),FALSE)=0,"",TEXT(IFERROR(VLOOKUP(T_BilanSocial[[#This Row],[NumL]],T_TraitDi[#Data],COLUMN(T_TraitDi[[#This Row],[Colonne30]]),FALSE),""),"[hh]:mm"))</f>
        <v>#VALUE!</v>
      </c>
      <c r="BN65" s="172" t="e">
        <f>IF(VLOOKUP(T_BilanSocial[[#This Row],[NumL]],T_TraitDi[#Data],COLUMN(T_TraitDi[[#This Row],[Colonne31]]),FALSE)=0,"",TEXT(IFERROR(VLOOKUP(T_BilanSocial[[#This Row],[NumL]],T_TraitDi[#Data],COLUMN(T_TraitDi[[#This Row],[Colonne31]]),FALSE),""),"[hh]:mm"))</f>
        <v>#VALUE!</v>
      </c>
      <c r="BO65" s="172" t="e">
        <f>IF(VLOOKUP(T_BilanSocial[[#This Row],[NumL]],T_TraitDi[#Data],COLUMN(T_TraitDi[[#This Row],[Colonne32]]),FALSE)=0,"",TEXT(IFERROR(VLOOKUP(T_BilanSocial[[#This Row],[NumL]],T_TraitDi[#Data],COLUMN(T_TraitDi[[#This Row],[Colonne32]]),FALSE),""),"[hh]:mm"))</f>
        <v>#VALUE!</v>
      </c>
      <c r="BP65" s="172">
        <f>VLOOKUP(T_BilanSocial[[#This Row],[NumL]],T_TraitDi[#Data],COLUMN(T_TraitDi[NbJTot]),FALSE)</f>
        <v>4.5</v>
      </c>
      <c r="BQ65" s="174" t="str">
        <f>IFERROR(VLOOKUP(T_BilanSocial[[#This Row],[NumL]],T_TraitDi[#Data],COLUMN(T_TraitDi[[#This Row],[NbJTW]]),FALSE),"")</f>
        <v/>
      </c>
      <c r="BR65" s="174" t="e">
        <f>IF(VLOOKUP(T_BilanSocial[[#This Row],[NumL]],T_TraitDi[#Data],COLUMN(T_TraitDi[[#This Row],[NbhTW]]),FALSE)=0,"",TEXT(IFERROR(VLOOKUP(T_BilanSocial[[#This Row],[NumL]],T_TraitDi[#Data],COLUMN(T_TraitDi[[#This Row],[NbhTW]]),FALSE),""),"[hh]:mm"))</f>
        <v>#VALUE!</v>
      </c>
      <c r="BS65" s="174" t="e">
        <f>IF(VLOOKUP(T_BilanSocial[[#This Row],[NumL]],T_TraitDi[#Data],COLUMN(T_TraitDi[[#This Row],[Nbhheb]]),FALSE)=0,"",TEXT(IFERROR(VLOOKUP($A65,T_TraitDi[#Data],COLUMN(T_TraitDi[[#This Row],[Nbhheb]]),FALSE),""),"[hh]:mm"))</f>
        <v>#VALUE!</v>
      </c>
      <c r="BT65" s="268" t="str">
        <f>IFERROR(VLOOKUP(VLOOKUP($A65,T_TraitDi[#Data],COLUMN(T_TraitDi[[#This Row],[Type1]]),FALSE),TypeTW,2,FALSE),"")</f>
        <v/>
      </c>
      <c r="BU65" s="182" t="str">
        <f>IFERROR(VLOOKUP($A65,T_TraitDi[#Data],COLUMN(T_TraitDi[[#This Row],[Rue1]]),FALSE),"")</f>
        <v/>
      </c>
      <c r="BV65" s="173" t="str">
        <f>IFERROR(VLOOKUP($A65,T_TraitDi[#Data],COLUMN(T_TraitDi[[#This Row],[CP1]]),FALSE),"")</f>
        <v/>
      </c>
      <c r="BW65" s="173" t="str">
        <f>IFERROR(VLOOKUP($A65,T_TraitDi[#Data],COLUMN(T_TraitDi[[#This Row],[VILLE1]]),FALSE),"")</f>
        <v/>
      </c>
      <c r="BX65" s="182" t="str">
        <f>IFERROR(VLOOKUP(VLOOKUP($A65,T_TraitDi[#Data],COLUMN(T_TraitDi[[#This Row],[Type2]]),FALSE),TypeTW,2,FALSE),"")</f>
        <v/>
      </c>
      <c r="BY65" s="182" t="str">
        <f>IFERROR(VLOOKUP($A65,T_TraitDi[#Data],COLUMN(T_TraitDi[[#This Row],[Rue2]]),FALSE),"")</f>
        <v/>
      </c>
      <c r="BZ65" s="173" t="str">
        <f>IFERROR(VLOOKUP($A65,T_TraitDi[#Data],COLUMN(T_TraitDi[[#This Row],[CP2]]),FALSE),"")</f>
        <v/>
      </c>
      <c r="CA65" s="173" t="str">
        <f>IFERROR(VLOOKUP($A65,T_TraitDi[#Data],COLUMN(T_TraitDi[[#This Row],[VILLE2]]),FALSE),"")</f>
        <v/>
      </c>
      <c r="CB65" s="182" t="str">
        <f>IF(VLOOKUP(T_BilanSocial[[#This Row],[NumL]],T_Equipement[#Data],COLUMN(T_Equipement[[#This Row],[PC]]),FALSE)="","Aucun équipement spécifique directement lié au télétravail",VLOOKUP(T_BilanSocial[[#This Row],[NumL]],T_Equipement[#Data],COLUMN(T_Equipement[[#This Row],[PC]]),FALSE))</f>
        <v>15-155</v>
      </c>
      <c r="CC65" s="166" t="str">
        <f>IFERROR(IF(VLOOKUP(T_BilanSocial[[#This Row],[NumL]],T_TraitDi[#Data],COLUMN(T_TraitDi[[#This Row],[Plan]]),FALSE)="OK","Un planning spécifique de télétravail est annexé à la présente convention.",""),"")</f>
        <v/>
      </c>
      <c r="CD65" s="185"/>
      <c r="CE65" s="164" t="e">
        <f>IF(VLOOKUP(T_BilanSocial[[#This Row],[NumL]],T_suiviDi[#Data],COLUMN(T_suiviDi[[#This Row],[Entité]]),FALSE)="","",VLOOKUP(T_BilanSocial[[#This Row],[NumL]],T_suiviDi[#Data],COLUMN(T_suiviDi[[#This Row],[Entité]]),FALSE))</f>
        <v>#VALUE!</v>
      </c>
      <c r="CF65" s="164" t="str">
        <f>IF(VLOOKUP(T_BilanSocial[[#This Row],[NumL]],T_Commission[#Data],COLUMN(T_Commission[[#This Row],[envoi confirm TW]]),FALSE)="","",VLOOKUP(T_BilanSocial[[#This Row],[NumL]],T_Commission[#Data],COLUMN(T_Commission[[#This Row],[envoi confirm TW]]),FALSE))</f>
        <v>Oui</v>
      </c>
      <c r="CG6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5" s="262" t="str">
        <f>T_BilanSocial[[#This Row],[Nom]]&amp;T_BilanSocial[[#This Row],[Prenom]]</f>
        <v>AJean-Baptiste</v>
      </c>
      <c r="CI65" s="262">
        <f>VLOOKUP(T_BilanSocial[[#This Row],[NumL]],T_Commission[#Data],COLUMN(T_Commission[Commentaire]),FALSE)</f>
        <v>0</v>
      </c>
      <c r="CJ65" s="262" t="str">
        <f>IF(VLOOKUP(T_BilanSocial[[#This Row],[NumL]],T_Commission[#Data],COLUMN(T_Commission[Encadrant Email]),FALSE)="","",VLOOKUP(T_BilanSocial[[#This Row],[NumL]],T_Commission[#Data],COLUMN(T_Commission[Encadrant Email]),FALSE))</f>
        <v/>
      </c>
      <c r="CK65" s="340" t="str">
        <f>IF(T_BilanSocial[[#This Row],[Final]]&lt;&gt;"",VLOOKUP(T_BilanSocial[[#This Row],[NumL]],T_suiviDi[#Data],COLUMN((T_suiviDi[Statut])),FALSE),"")</f>
        <v>RENVL</v>
      </c>
    </row>
    <row r="66" spans="1:89" s="106" customFormat="1" ht="24.75" customHeight="1" x14ac:dyDescent="0.25">
      <c r="A66" s="160">
        <v>63</v>
      </c>
      <c r="B66" s="161" t="e">
        <f t="shared" si="0"/>
        <v>#N/A</v>
      </c>
      <c r="C66" s="162" t="s">
        <v>3287</v>
      </c>
      <c r="D66" s="95" t="e">
        <f>IF(VLOOKUP(T_BilanSocial[[#This Row],[NumL]],T_TraitDi[#Data],COLUMN(T_TraitDi[[#This Row],[WebC]]),FALSE)="","",VLOOKUP(T_BilanSocial[[#This Row],[NumL]],T_TraitDi[#Data],COLUMN(T_TraitDi[[#This Row],[WebC]]),FALSE))</f>
        <v>#VALUE!</v>
      </c>
      <c r="E66" s="163" t="str">
        <f t="shared" si="1"/>
        <v>12 janvier 2021</v>
      </c>
      <c r="F66" s="96" t="e">
        <f>IF(T_BilanSocial[[#This Row],[Final]]&lt;&gt;"",VLOOKUP(T_BilanSocial[[#This Row],[NumL]],T_suiviDi[#Data],COLUMN((T_suiviDi[Civ.])),FALSE),"")</f>
        <v>#N/A</v>
      </c>
      <c r="G66" s="96" t="e">
        <f>IF(T_BilanSocial[[#This Row],[Final]]&lt;&gt;"",VLOOKUP(T_BilanSocial[[#This Row],[NumL]],T_suiviDi[#Data],COLUMN((T_suiviDi[Nom])),FALSE),"")</f>
        <v>#N/A</v>
      </c>
      <c r="H66" s="96" t="e">
        <f>IF(T_BilanSocial[[#This Row],[Final]]&lt;&gt;"",VLOOKUP(T_BilanSocial[[#This Row],[NumL]],T_suiviDi[#Data],COLUMN((T_suiviDi[Prénom])),FALSE),"")</f>
        <v>#N/A</v>
      </c>
      <c r="I66" s="96" t="str">
        <f>IFERROR(VLOOKUP(T_BilanSocial[[#This Row],[Zone_Bilan]],T_P_BilanSocial[#Data],COLUMN(T_P_BilanSocial[[#This Row],[Numero_SIHAM]]),FALSE),"")</f>
        <v/>
      </c>
      <c r="J66" s="96" t="str">
        <f>IFERROR(VLOOKUP(T_BilanSocial[[#This Row],[Zone_Bilan]],T_P_BilanSocial[#Data],COLUMN(T_P_BilanSocial[[#This Row],[Sexe]]),FALSE),"")</f>
        <v/>
      </c>
      <c r="K66" s="97" t="str">
        <f>IFERROR(VLOOKUP(T_BilanSocial[[#This Row],[Zone_Bilan]],T_P_BilanSocial[#Data],COLUMN(T_P_BilanSocial[[#This Row],[Categorie]]),FALSE),"")</f>
        <v/>
      </c>
      <c r="L66" s="96" t="str">
        <f>IFERROR(VLOOKUP(T_BilanSocial[[#This Row],[Zone_Bilan]],T_P_BilanSocial[#Data],COLUMN(T_P_BilanSocial[[#This Row],[Statut]]),FALSE),"")</f>
        <v/>
      </c>
      <c r="M66" s="96" t="str">
        <f>IFERROR(VLOOKUP(T_BilanSocial[[#This Row],[Zone_Bilan]],T_P_BilanSocial[#Data],COLUMN(T_P_BilanSocial[[#This Row],[Filiere]]),FALSE),"")</f>
        <v/>
      </c>
      <c r="N66" s="96" t="e">
        <f>VLOOKUP(T_BilanSocial[[#This Row],[NumL]],T_TraitDi[#Data],COLUMN(T_TraitDi[EXP]),FALSE)</f>
        <v>#N/A</v>
      </c>
      <c r="O66" s="96" t="e">
        <f>VLOOKUP(T_BilanSocial[[#This Row],[NumL]],T_TraitDi[#Data],COLUMN(T_TraitDi[FORM]),FALSE)</f>
        <v>#N/A</v>
      </c>
      <c r="P66" s="96" t="e">
        <f>IF(T_BilanSocial[[#This Row],[Final]]&lt;&gt;"",VLOOKUP(T_BilanSocial[[#This Row],[NumL]],T_suiviDi[#Data],COLUMN((T_suiviDi[Email])),FALSE),"")</f>
        <v>#N/A</v>
      </c>
      <c r="Q66" s="164" t="e">
        <f t="shared" si="7"/>
        <v>#N/A</v>
      </c>
      <c r="R66" s="164" t="e">
        <f t="shared" si="8"/>
        <v>#N/A</v>
      </c>
      <c r="S66" s="164" t="e">
        <f>IF(VLOOKUP(T_BilanSocial[[#This Row],[NumL]],T_suiviDi[#Data],COLUMN(T_suiviDi[[#This Row],[Service ]]),FALSE)="","",VLOOKUP(T_BilanSocial[[#This Row],[NumL]],T_suiviDi[#Data],COLUMN(T_suiviDi[[#This Row],[Service ]]),FALSE))</f>
        <v>#VALUE!</v>
      </c>
      <c r="T66" s="164" t="str">
        <f t="shared" si="2"/>
        <v>01 septembre 2021</v>
      </c>
      <c r="U66" s="164" t="str">
        <f t="shared" si="3"/>
        <v>30 novembre 2021</v>
      </c>
      <c r="V66" s="164" t="str">
        <f t="shared" si="9"/>
        <v>30 novembre 2021</v>
      </c>
      <c r="W66" s="176" t="e">
        <f>IF(VLOOKUP(T_BilanSocial[[#This Row],[NumL]],T_TraitDi[#Data],COLUMN(T_TraitDi[[#This Row],[M1]]),FALSE)="","",VLOOKUP(T_BilanSocial[[#This Row],[NumL]],T_TraitDi[#Data],COLUMN(T_TraitDi[[#This Row],[M1]]),FALSE))</f>
        <v>#VALUE!</v>
      </c>
      <c r="X66" s="176" t="e">
        <f>IF(VLOOKUP(T_BilanSocial[[#This Row],[NumL]],T_TraitDi[#Data],COLUMN(T_TraitDi[[#This Row],[M2]]),FALSE)="","",VLOOKUP(T_BilanSocial[[#This Row],[NumL]],T_TraitDi[#Data],COLUMN(T_TraitDi[[#This Row],[M2]]),FALSE))</f>
        <v>#VALUE!</v>
      </c>
      <c r="Y66" s="176" t="e">
        <f>IF(VLOOKUP(T_BilanSocial[[#This Row],[NumL]],T_TraitDi[#Data],COLUMN(T_TraitDi[[#This Row],[M3]]),FALSE)="","",VLOOKUP(T_BilanSocial[[#This Row],[NumL]],T_TraitDi[#Data],COLUMN(T_TraitDi[[#This Row],[M3]]),FALSE))</f>
        <v>#VALUE!</v>
      </c>
      <c r="Z66" s="176" t="str">
        <f t="shared" si="5"/>
        <v/>
      </c>
      <c r="AA66" s="176" t="e">
        <f>IF(VLOOKUP(T_BilanSocial[[#This Row],[NumL]],T_TraitDi[#Data],COLUMN(T_TraitDi[[#This Row],[M5]]),FALSE)="","",VLOOKUP(T_BilanSocial[[#This Row],[NumL]],T_TraitDi[#Data],COLUMN(T_TraitDi[[#This Row],[M5]]),FALSE))</f>
        <v>#VALUE!</v>
      </c>
      <c r="AB66" s="176" t="e">
        <f>IF(VLOOKUP(T_BilanSocial[[#This Row],[NumL]],T_TraitDi[#Data],COLUMN(T_TraitDi[[#This Row],[M6]]),FALSE)="","",VLOOKUP(T_BilanSocial[[#This Row],[NumL]],T_TraitDi[#Data],COLUMN(T_TraitDi[[#This Row],[M6]]),FALSE))</f>
        <v>#VALUE!</v>
      </c>
      <c r="AC66" s="165" t="e">
        <f t="shared" si="4"/>
        <v>#VALUE!</v>
      </c>
      <c r="AD66" s="188" t="str">
        <f>IFERROR(TEXT(VLOOKUP(T_BilanSocial[[#This Row],[NumL]],T_TraitDi[#Data],COLUMN(T_TraitDi[[#This Row],[Q2]]),FALSE),"###%"),"")</f>
        <v/>
      </c>
      <c r="AE66" s="97" t="e">
        <f>VLOOKUP(T_BilanSocial[[#This Row],[NumL]],T_TraitDi[#Data],COLUMN(T_TraitDi[[#This Row],[Reg Ponct]]),FALSE)</f>
        <v>#VALUE!</v>
      </c>
      <c r="AF66" s="97" t="e">
        <f>VLOOKUP(T_BilanSocial[NumL],T_TraitDi[#Data],COLUMN(T_TraitDi[[#This Row],[Jours flottants]]),FALSE)</f>
        <v>#VALUE!</v>
      </c>
      <c r="AG66" s="97" t="str">
        <f>IFERROR(VLOOKUP(T_BilanSocial[[#This Row],[NumL]],T_TraitDi[#Data],COLUMN(T_TraitDi[[#This Row],[Lundi]]),FALSE),"")</f>
        <v/>
      </c>
      <c r="AH66" s="172" t="e">
        <f>IF(VLOOKUP(T_BilanSocial[[#This Row],[NumL]],T_TraitDi[#Data],COLUMN(T_TraitDi[[#This Row],[Colonne3]]),FALSE)=0,"",TEXT(IFERROR(VLOOKUP(T_BilanSocial[[#This Row],[NumL]],T_TraitDi[#Data],COLUMN(T_TraitDi[[#This Row],[Colonne3]]),FALSE),""),"[hh]:mm"))</f>
        <v>#VALUE!</v>
      </c>
      <c r="AI66" s="172" t="e">
        <f>IF(VLOOKUP(T_BilanSocial[[#This Row],[NumL]],T_TraitDi[#Data],COLUMN(T_TraitDi[[#This Row],[Colonne4]]),FALSE)=0,"",TEXT(IFERROR(VLOOKUP(T_BilanSocial[[#This Row],[NumL]],T_TraitDi[#Data],COLUMN(T_TraitDi[[#This Row],[Colonne4]]),FALSE),""),"[hh]:mm"))</f>
        <v>#VALUE!</v>
      </c>
      <c r="AJ66" s="172" t="e">
        <f>IF(VLOOKUP(T_BilanSocial[[#This Row],[NumL]],T_TraitDi[#Data],COLUMN(T_TraitDi[[#This Row],[Colonne5]]),FALSE)=0,"",TEXT(IFERROR(VLOOKUP(T_BilanSocial[[#This Row],[NumL]],T_TraitDi[#Data],COLUMN(T_TraitDi[[#This Row],[Colonne5]]),FALSE),""),"[hh]:mm"))</f>
        <v>#VALUE!</v>
      </c>
      <c r="AK66" s="172" t="e">
        <f>IF(VLOOKUP(T_BilanSocial[[#This Row],[NumL]],T_TraitDi[#Data],COLUMN(T_TraitDi[[#This Row],[Colonne6]]),FALSE)=0,"",TEXT(IFERROR(VLOOKUP(T_BilanSocial[[#This Row],[NumL]],T_TraitDi[#Data],COLUMN(T_TraitDi[[#This Row],[Colonne6]]),FALSE),""),"[hh]:mm"))</f>
        <v>#VALUE!</v>
      </c>
      <c r="AL66" s="172" t="e">
        <f>IF(VLOOKUP(T_BilanSocial[[#This Row],[NumL]],T_TraitDi[#Data],COLUMN(T_TraitDi[[#This Row],[Colonne7]]),FALSE)=0,"",TEXT(IFERROR(VLOOKUP(T_BilanSocial[[#This Row],[NumL]],T_TraitDi[#Data],COLUMN(T_TraitDi[[#This Row],[Colonne7]]),FALSE),""),"[hh]:mm"))</f>
        <v>#VALUE!</v>
      </c>
      <c r="AM66" s="172" t="e">
        <f>IF(VLOOKUP(T_BilanSocial[[#This Row],[NumL]],T_TraitDi[#Data],COLUMN(T_TraitDi[[#This Row],[Colonne8]]),FALSE)=0,"",TEXT(IFERROR(VLOOKUP(T_BilanSocial[[#This Row],[NumL]],T_TraitDi[#Data],COLUMN(T_TraitDi[[#This Row],[Colonne8]]),FALSE),""),"[hh]:mm"))</f>
        <v>#VALUE!</v>
      </c>
      <c r="AN66" s="172" t="str">
        <f>IFERROR(VLOOKUP(T_BilanSocial[[#This Row],[NumL]],T_TraitDi[#Data],COLUMN(T_TraitDi[[#This Row],[Mardi]]),FALSE),"")</f>
        <v/>
      </c>
      <c r="AO66" s="172" t="e">
        <f>IF(VLOOKUP(T_BilanSocial[[#This Row],[NumL]],T_TraitDi[#Data],COLUMN(T_TraitDi[[#This Row],[Colonne1]]),FALSE)=0,"",TEXT(IFERROR(VLOOKUP(T_BilanSocial[[#This Row],[NumL]],T_TraitDi[#Data],COLUMN(T_TraitDi[[#This Row],[Colonne1]]),FALSE),""),"[hh]:mm"))</f>
        <v>#VALUE!</v>
      </c>
      <c r="AP66" s="172" t="e">
        <f>IF(VLOOKUP(T_BilanSocial[[#This Row],[NumL]],T_TraitDi[#Data],COLUMN(T_TraitDi[[#This Row],[Colonne9]]),FALSE)=0,"",TEXT(IFERROR(VLOOKUP(T_BilanSocial[[#This Row],[NumL]],T_TraitDi[#Data],COLUMN(T_TraitDi[[#This Row],[Colonne9]]),FALSE),""),"[hh]:mm"))</f>
        <v>#VALUE!</v>
      </c>
      <c r="AQ66" s="172" t="str">
        <f>IFERROR(VLOOKUP(T_BilanSocial[[#This Row],[NumL]],T_TraitDi[#Data],COLUMN(T_TraitDi[[#This Row],[Colonne10]]),FALSE),"")</f>
        <v/>
      </c>
      <c r="AR66" s="172" t="e">
        <f>IF(VLOOKUP(T_BilanSocial[[#This Row],[NumL]],T_TraitDi[#Data],COLUMN(T_TraitDi[[#This Row],[Colonne11]]),FALSE)=0,"",TEXT(IFERROR(VLOOKUP(T_BilanSocial[[#This Row],[NumL]],T_TraitDi[#Data],COLUMN(T_TraitDi[[#This Row],[Colonne11]]),FALSE),""),"[hh]:mm"))</f>
        <v>#VALUE!</v>
      </c>
      <c r="AS66" s="172" t="e">
        <f>IF(VLOOKUP(T_BilanSocial[[#This Row],[NumL]],T_TraitDi[#Data],COLUMN(T_TraitDi[[#This Row],[Colonne12]]),FALSE)=0,"",TEXT(IFERROR(VLOOKUP(T_BilanSocial[[#This Row],[NumL]],T_TraitDi[#Data],COLUMN(T_TraitDi[[#This Row],[Colonne12]]),FALSE),""),"[hh]:mm"))</f>
        <v>#VALUE!</v>
      </c>
      <c r="AT66" s="172" t="e">
        <f>IF(VLOOKUP(T_BilanSocial[[#This Row],[NumL]],T_TraitDi[#Data],COLUMN(T_TraitDi[[#This Row],[Colonne14]]),FALSE)=0,"",TEXT(IFERROR(VLOOKUP(T_BilanSocial[[#This Row],[NumL]],T_TraitDi[#Data],COLUMN(T_TraitDi[[#This Row],[Colonne14]]),FALSE),""),"[hh]:mm"))</f>
        <v>#VALUE!</v>
      </c>
      <c r="AU66" s="172" t="str">
        <f>IFERROR(VLOOKUP(T_BilanSocial[[#This Row],[NumL]],T_TraitDi[#Data],COLUMN(T_TraitDi[[#This Row],[Mercredi]]),FALSE),"")</f>
        <v/>
      </c>
      <c r="AV66" s="172" t="e">
        <f>IF(VLOOKUP(T_BilanSocial[[#This Row],[NumL]],T_TraitDi[#Data],COLUMN(T_TraitDi[[#This Row],[Colonne15]]),FALSE)=0,"",TEXT(IFERROR(VLOOKUP(T_BilanSocial[[#This Row],[NumL]],T_TraitDi[#Data],COLUMN(T_TraitDi[[#This Row],[Colonne15]]),FALSE),""),"[hh]:mm"))</f>
        <v>#VALUE!</v>
      </c>
      <c r="AW66" s="172" t="e">
        <f>IF(VLOOKUP(T_BilanSocial[[#This Row],[NumL]],T_TraitDi[#Data],COLUMN(T_TraitDi[[#This Row],[Colonne16]]),FALSE)=0,"",TEXT(IFERROR(VLOOKUP(T_BilanSocial[[#This Row],[NumL]],T_TraitDi[#Data],COLUMN(T_TraitDi[[#This Row],[Colonne16]]),FALSE),""),"[hh]:mm"))</f>
        <v>#VALUE!</v>
      </c>
      <c r="AX66" s="172" t="str">
        <f>IFERROR(VLOOKUP(T_BilanSocial[[#This Row],[NumL]],T_TraitDi[#Data],COLUMN(T_TraitDi[[#This Row],[Colonne17]]),FALSE),"")</f>
        <v/>
      </c>
      <c r="AY66" s="172" t="e">
        <f>IF(VLOOKUP(T_BilanSocial[[#This Row],[NumL]],T_TraitDi[#Data],COLUMN(T_TraitDi[[#This Row],[Colonne18]]),FALSE)=0,"",TEXT(IFERROR(VLOOKUP(T_BilanSocial[[#This Row],[NumL]],T_TraitDi[#Data],COLUMN(T_TraitDi[[#This Row],[Colonne18]]),FALSE),""),"[hh]:mm"))</f>
        <v>#VALUE!</v>
      </c>
      <c r="AZ66" s="172" t="e">
        <f>IF(VLOOKUP(T_BilanSocial[[#This Row],[NumL]],T_TraitDi[#Data],COLUMN(T_TraitDi[[#This Row],[Colonne19]]),FALSE)=0,"",TEXT(IFERROR(VLOOKUP(T_BilanSocial[[#This Row],[NumL]],T_TraitDi[#Data],COLUMN(T_TraitDi[[#This Row],[Colonne19]]),FALSE),""),"[hh]:mm"))</f>
        <v>#VALUE!</v>
      </c>
      <c r="BA66" s="172" t="e">
        <f>IF(VLOOKUP(T_BilanSocial[[#This Row],[NumL]],T_TraitDi[#Data],COLUMN(T_TraitDi[[#This Row],[Colonne20]]),FALSE)=0,"",TEXT(IFERROR(VLOOKUP(T_BilanSocial[[#This Row],[NumL]],T_TraitDi[#Data],COLUMN(T_TraitDi[[#This Row],[Colonne20]]),FALSE),""),"[hh]:mm"))</f>
        <v>#VALUE!</v>
      </c>
      <c r="BB66" s="178" t="str">
        <f>IFERROR(VLOOKUP(T_BilanSocial[[#This Row],[NumL]],T_TraitDi[#Data],COLUMN(T_TraitDi[[#This Row],[Jeudi]]),FALSE),"")</f>
        <v/>
      </c>
      <c r="BC66" s="178" t="e">
        <f>IF(VLOOKUP(T_BilanSocial[[#This Row],[NumL]],T_TraitDi[#Data],COLUMN(T_TraitDi[[#This Row],[Colonne21]]),FALSE)=0,"",TEXT(IFERROR(VLOOKUP(T_BilanSocial[[#This Row],[NumL]],T_TraitDi[#Data],COLUMN(T_TraitDi[[#This Row],[Colonne21]]),FALSE),""),"[hh]:mm"))</f>
        <v>#VALUE!</v>
      </c>
      <c r="BD66" s="178" t="e">
        <f>IF(VLOOKUP(T_BilanSocial[[#This Row],[NumL]],T_TraitDi[#Data],COLUMN(T_TraitDi[[#This Row],[Colonne22]]),FALSE)=0,"",TEXT(IFERROR(VLOOKUP(T_BilanSocial[[#This Row],[NumL]],T_TraitDi[#Data],COLUMN(T_TraitDi[[#This Row],[Colonne22]]),FALSE),""),"[hh]:mm"))</f>
        <v>#VALUE!</v>
      </c>
      <c r="BE66" s="178" t="str">
        <f>IFERROR(VLOOKUP(T_BilanSocial[[#This Row],[NumL]],T_TraitDi[#Data],COLUMN(T_TraitDi[[#This Row],[Colonne23]]),FALSE),"")</f>
        <v/>
      </c>
      <c r="BF66" s="178" t="e">
        <f>IF(VLOOKUP(T_BilanSocial[[#This Row],[NumL]],T_TraitDi[#Data],COLUMN(T_TraitDi[[#This Row],[Colonne24]]),FALSE)=0,"",TEXT(IFERROR(VLOOKUP(T_BilanSocial[[#This Row],[NumL]],T_TraitDi[#Data],COLUMN(T_TraitDi[[#This Row],[Colonne24]]),FALSE),""),"[hh]:mm"))</f>
        <v>#VALUE!</v>
      </c>
      <c r="BG66" s="178" t="e">
        <f>IF(VLOOKUP(T_BilanSocial[[#This Row],[NumL]],T_TraitDi[#Data],COLUMN(T_TraitDi[[#This Row],[Colonne25]]),FALSE)=0,"",TEXT(IFERROR(VLOOKUP(T_BilanSocial[[#This Row],[NumL]],T_TraitDi[#Data],COLUMN(T_TraitDi[[#This Row],[Colonne25]]),FALSE),""),"[hh]:mm"))</f>
        <v>#VALUE!</v>
      </c>
      <c r="BH66" s="178" t="e">
        <f>IF(VLOOKUP(T_BilanSocial[[#This Row],[NumL]],T_TraitDi[#Data],COLUMN(T_TraitDi[[#This Row],[Colonne26]]),FALSE)=0,"",TEXT(IFERROR(VLOOKUP(T_BilanSocial[[#This Row],[NumL]],T_TraitDi[#Data],COLUMN(T_TraitDi[[#This Row],[Colonne26]]),FALSE),""),"[hh]:mm"))</f>
        <v>#VALUE!</v>
      </c>
      <c r="BI66" s="172" t="str">
        <f>IFERROR(VLOOKUP(T_BilanSocial[[#This Row],[NumL]],T_TraitDi[#Data],COLUMN(T_TraitDi[[#This Row],[Vendredi]]),FALSE),"")</f>
        <v/>
      </c>
      <c r="BJ66" s="172" t="e">
        <f>IF(VLOOKUP(T_BilanSocial[[#This Row],[NumL]],T_TraitDi[#Data],COLUMN(T_TraitDi[[#This Row],[Colonne27]]),FALSE)=0,"",TEXT(IFERROR(VLOOKUP(T_BilanSocial[[#This Row],[NumL]],T_TraitDi[#Data],COLUMN(T_TraitDi[[#This Row],[Colonne27]]),FALSE),""),"[hh]:mm"))</f>
        <v>#VALUE!</v>
      </c>
      <c r="BK66" s="172" t="e">
        <f>IF(VLOOKUP(T_BilanSocial[[#This Row],[NumL]],T_TraitDi[#Data],COLUMN(T_TraitDi[[#This Row],[Colonne28]]),FALSE)=0,"",TEXT(IFERROR(VLOOKUP(T_BilanSocial[[#This Row],[NumL]],T_TraitDi[#Data],COLUMN(T_TraitDi[[#This Row],[Colonne28]]),FALSE),""),"[hh]:mm"))</f>
        <v>#VALUE!</v>
      </c>
      <c r="BL66" s="172" t="str">
        <f>IFERROR(VLOOKUP(T_BilanSocial[[#This Row],[NumL]],T_TraitDi[#Data],COLUMN(T_TraitDi[[#This Row],[Colonne29]]),FALSE),"")</f>
        <v/>
      </c>
      <c r="BM66" s="172" t="e">
        <f>IF(VLOOKUP(T_BilanSocial[[#This Row],[NumL]],T_TraitDi[#Data],COLUMN(T_TraitDi[[#This Row],[Colonne30]]),FALSE)=0,"",TEXT(IFERROR(VLOOKUP(T_BilanSocial[[#This Row],[NumL]],T_TraitDi[#Data],COLUMN(T_TraitDi[[#This Row],[Colonne30]]),FALSE),""),"[hh]:mm"))</f>
        <v>#VALUE!</v>
      </c>
      <c r="BN66" s="172" t="e">
        <f>IF(VLOOKUP(T_BilanSocial[[#This Row],[NumL]],T_TraitDi[#Data],COLUMN(T_TraitDi[[#This Row],[Colonne31]]),FALSE)=0,"",TEXT(IFERROR(VLOOKUP(T_BilanSocial[[#This Row],[NumL]],T_TraitDi[#Data],COLUMN(T_TraitDi[[#This Row],[Colonne31]]),FALSE),""),"[hh]:mm"))</f>
        <v>#VALUE!</v>
      </c>
      <c r="BO66" s="172" t="e">
        <f>IF(VLOOKUP(T_BilanSocial[[#This Row],[NumL]],T_TraitDi[#Data],COLUMN(T_TraitDi[[#This Row],[Colonne32]]),FALSE)=0,"",TEXT(IFERROR(VLOOKUP(T_BilanSocial[[#This Row],[NumL]],T_TraitDi[#Data],COLUMN(T_TraitDi[[#This Row],[Colonne32]]),FALSE),""),"[hh]:mm"))</f>
        <v>#VALUE!</v>
      </c>
      <c r="BP66" s="172" t="e">
        <f>VLOOKUP(T_BilanSocial[[#This Row],[NumL]],T_TraitDi[#Data],COLUMN(T_TraitDi[NbJTot]),FALSE)</f>
        <v>#N/A</v>
      </c>
      <c r="BQ66" s="174" t="str">
        <f>IFERROR(VLOOKUP(T_BilanSocial[[#This Row],[NumL]],T_TraitDi[#Data],COLUMN(T_TraitDi[[#This Row],[NbJTW]]),FALSE),"")</f>
        <v/>
      </c>
      <c r="BR66" s="174" t="e">
        <f>IF(VLOOKUP(T_BilanSocial[[#This Row],[NumL]],T_TraitDi[#Data],COLUMN(T_TraitDi[[#This Row],[NbhTW]]),FALSE)=0,"",TEXT(IFERROR(VLOOKUP(T_BilanSocial[[#This Row],[NumL]],T_TraitDi[#Data],COLUMN(T_TraitDi[[#This Row],[NbhTW]]),FALSE),""),"[hh]:mm"))</f>
        <v>#VALUE!</v>
      </c>
      <c r="BS66" s="174" t="e">
        <f>IF(VLOOKUP(T_BilanSocial[[#This Row],[NumL]],T_TraitDi[#Data],COLUMN(T_TraitDi[[#This Row],[Nbhheb]]),FALSE)=0,"",TEXT(IFERROR(VLOOKUP($A66,T_TraitDi[#Data],COLUMN(T_TraitDi[[#This Row],[Nbhheb]]),FALSE),""),"[hh]:mm"))</f>
        <v>#VALUE!</v>
      </c>
      <c r="BT66" s="268" t="str">
        <f>IFERROR(VLOOKUP(VLOOKUP($A66,T_TraitDi[#Data],COLUMN(T_TraitDi[[#This Row],[Type1]]),FALSE),TypeTW,2,FALSE),"")</f>
        <v/>
      </c>
      <c r="BU66" s="182" t="str">
        <f>IFERROR(VLOOKUP($A66,T_TraitDi[#Data],COLUMN(T_TraitDi[[#This Row],[Rue1]]),FALSE),"")</f>
        <v/>
      </c>
      <c r="BV66" s="173" t="str">
        <f>IFERROR(VLOOKUP($A66,T_TraitDi[#Data],COLUMN(T_TraitDi[[#This Row],[CP1]]),FALSE),"")</f>
        <v/>
      </c>
      <c r="BW66" s="173" t="str">
        <f>IFERROR(VLOOKUP($A66,T_TraitDi[#Data],COLUMN(T_TraitDi[[#This Row],[VILLE1]]),FALSE),"")</f>
        <v/>
      </c>
      <c r="BX66" s="182" t="str">
        <f>IFERROR(VLOOKUP(VLOOKUP($A66,T_TraitDi[#Data],COLUMN(T_TraitDi[[#This Row],[Type2]]),FALSE),TypeTW,2,FALSE),"")</f>
        <v/>
      </c>
      <c r="BY66" s="182" t="str">
        <f>IFERROR(VLOOKUP($A66,T_TraitDi[#Data],COLUMN(T_TraitDi[[#This Row],[Rue2]]),FALSE),"")</f>
        <v/>
      </c>
      <c r="BZ66" s="173" t="str">
        <f>IFERROR(VLOOKUP($A66,T_TraitDi[#Data],COLUMN(T_TraitDi[[#This Row],[CP2]]),FALSE),"")</f>
        <v/>
      </c>
      <c r="CA66" s="173" t="str">
        <f>IFERROR(VLOOKUP($A66,T_TraitDi[#Data],COLUMN(T_TraitDi[[#This Row],[VILLE2]]),FALSE),"")</f>
        <v/>
      </c>
      <c r="CB66" s="182" t="e">
        <f>IF(VLOOKUP(T_BilanSocial[[#This Row],[NumL]],T_Equipement[#Data],COLUMN(T_Equipement[[#This Row],[PC]]),FALSE)="","Aucun équipement spécifique directement lié au télétravail",VLOOKUP(T_BilanSocial[[#This Row],[NumL]],T_Equipement[#Data],COLUMN(T_Equipement[[#This Row],[PC]]),FALSE))</f>
        <v>#N/A</v>
      </c>
      <c r="CC66" s="166" t="str">
        <f>IFERROR(IF(VLOOKUP(T_BilanSocial[[#This Row],[NumL]],T_TraitDi[#Data],COLUMN(T_TraitDi[[#This Row],[Plan]]),FALSE)="OK","Un planning spécifique de télétravail est annexé à la présente convention.",""),"")</f>
        <v/>
      </c>
      <c r="CD66" s="185"/>
      <c r="CE66" s="164" t="e">
        <f>IF(VLOOKUP(T_BilanSocial[[#This Row],[NumL]],T_suiviDi[#Data],COLUMN(T_suiviDi[[#This Row],[Entité]]),FALSE)="","",VLOOKUP(T_BilanSocial[[#This Row],[NumL]],T_suiviDi[#Data],COLUMN(T_suiviDi[[#This Row],[Entité]]),FALSE))</f>
        <v>#VALUE!</v>
      </c>
      <c r="CF66" s="164" t="e">
        <f>IF(VLOOKUP(T_BilanSocial[[#This Row],[NumL]],T_Commission[#Data],COLUMN(T_Commission[[#This Row],[envoi confirm TW]]),FALSE)="","",VLOOKUP(T_BilanSocial[[#This Row],[NumL]],T_Commission[#Data],COLUMN(T_Commission[[#This Row],[envoi confirm TW]]),FALSE))</f>
        <v>#N/A</v>
      </c>
      <c r="CG6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6" s="262" t="e">
        <f>T_BilanSocial[[#This Row],[Nom]]&amp;T_BilanSocial[[#This Row],[Prenom]]</f>
        <v>#N/A</v>
      </c>
      <c r="CI66" s="262" t="e">
        <f>VLOOKUP(T_BilanSocial[[#This Row],[NumL]],T_Commission[#Data],COLUMN(T_Commission[Commentaire]),FALSE)</f>
        <v>#N/A</v>
      </c>
      <c r="CJ66" s="262" t="e">
        <f>IF(VLOOKUP(T_BilanSocial[[#This Row],[NumL]],T_Commission[#Data],COLUMN(T_Commission[Encadrant Email]),FALSE)="","",VLOOKUP(T_BilanSocial[[#This Row],[NumL]],T_Commission[#Data],COLUMN(T_Commission[Encadrant Email]),FALSE))</f>
        <v>#N/A</v>
      </c>
      <c r="CK66" s="340" t="e">
        <f>IF(T_BilanSocial[[#This Row],[Final]]&lt;&gt;"",VLOOKUP(T_BilanSocial[[#This Row],[NumL]],T_suiviDi[#Data],COLUMN((T_suiviDi[Statut])),FALSE),"")</f>
        <v>#N/A</v>
      </c>
    </row>
    <row r="67" spans="1:89" s="106" customFormat="1" ht="24.75" customHeight="1" x14ac:dyDescent="0.25">
      <c r="A67" s="160">
        <v>64</v>
      </c>
      <c r="B67" s="161" t="str">
        <f t="shared" si="0"/>
        <v/>
      </c>
      <c r="C67" s="162" t="s">
        <v>139</v>
      </c>
      <c r="D67" s="95" t="e">
        <f>IF(VLOOKUP(T_BilanSocial[[#This Row],[NumL]],T_TraitDi[#Data],COLUMN(T_TraitDi[[#This Row],[WebC]]),FALSE)="","",VLOOKUP(T_BilanSocial[[#This Row],[NumL]],T_TraitDi[#Data],COLUMN(T_TraitDi[[#This Row],[WebC]]),FALSE))</f>
        <v>#VALUE!</v>
      </c>
      <c r="E67" s="163" t="str">
        <f t="shared" si="1"/>
        <v>12 janvier 2021</v>
      </c>
      <c r="F67" s="96" t="str">
        <f>IF(T_BilanSocial[[#This Row],[Final]]&lt;&gt;"",VLOOKUP(T_BilanSocial[[#This Row],[NumL]],T_suiviDi[#Data],COLUMN((T_suiviDi[Civ.])),FALSE),"")</f>
        <v/>
      </c>
      <c r="G67" s="96" t="str">
        <f>IF(T_BilanSocial[[#This Row],[Final]]&lt;&gt;"",VLOOKUP(T_BilanSocial[[#This Row],[NumL]],T_suiviDi[#Data],COLUMN((T_suiviDi[Nom])),FALSE),"")</f>
        <v/>
      </c>
      <c r="H67" s="96" t="str">
        <f>IF(T_BilanSocial[[#This Row],[Final]]&lt;&gt;"",VLOOKUP(T_BilanSocial[[#This Row],[NumL]],T_suiviDi[#Data],COLUMN((T_suiviDi[Prénom])),FALSE),"")</f>
        <v/>
      </c>
      <c r="I67" s="96" t="str">
        <f>IFERROR(VLOOKUP(T_BilanSocial[[#This Row],[Zone_Bilan]],T_P_BilanSocial[#Data],COLUMN(T_P_BilanSocial[[#This Row],[Numero_SIHAM]]),FALSE),"")</f>
        <v/>
      </c>
      <c r="J67" s="96" t="str">
        <f>IFERROR(VLOOKUP(T_BilanSocial[[#This Row],[Zone_Bilan]],T_P_BilanSocial[#Data],COLUMN(T_P_BilanSocial[[#This Row],[Sexe]]),FALSE),"")</f>
        <v/>
      </c>
      <c r="K67" s="97" t="str">
        <f>IFERROR(VLOOKUP(T_BilanSocial[[#This Row],[Zone_Bilan]],T_P_BilanSocial[#Data],COLUMN(T_P_BilanSocial[[#This Row],[Categorie]]),FALSE),"")</f>
        <v/>
      </c>
      <c r="L67" s="96" t="str">
        <f>IFERROR(VLOOKUP(T_BilanSocial[[#This Row],[Zone_Bilan]],T_P_BilanSocial[#Data],COLUMN(T_P_BilanSocial[[#This Row],[Statut]]),FALSE),"")</f>
        <v/>
      </c>
      <c r="M67" s="96" t="str">
        <f>IFERROR(VLOOKUP(T_BilanSocial[[#This Row],[Zone_Bilan]],T_P_BilanSocial[#Data],COLUMN(T_P_BilanSocial[[#This Row],[Filiere]]),FALSE),"")</f>
        <v/>
      </c>
      <c r="N67" s="96" t="e">
        <f>VLOOKUP(T_BilanSocial[[#This Row],[NumL]],T_TraitDi[#Data],COLUMN(T_TraitDi[EXP]),FALSE)</f>
        <v>#N/A</v>
      </c>
      <c r="O67" s="96" t="e">
        <f>VLOOKUP(T_BilanSocial[[#This Row],[NumL]],T_TraitDi[#Data],COLUMN(T_TraitDi[FORM]),FALSE)</f>
        <v>#N/A</v>
      </c>
      <c r="P67" s="96" t="str">
        <f>IF(T_BilanSocial[[#This Row],[Final]]&lt;&gt;"",VLOOKUP(T_BilanSocial[[#This Row],[NumL]],T_suiviDi[#Data],COLUMN((T_suiviDi[Email])),FALSE),"")</f>
        <v/>
      </c>
      <c r="Q67" s="164" t="e">
        <f t="shared" si="7"/>
        <v>#N/A</v>
      </c>
      <c r="R67" s="164" t="e">
        <f t="shared" si="8"/>
        <v>#N/A</v>
      </c>
      <c r="S67" s="164" t="e">
        <f>IF(VLOOKUP(T_BilanSocial[[#This Row],[NumL]],T_suiviDi[#Data],COLUMN(T_suiviDi[[#This Row],[Service ]]),FALSE)="","",VLOOKUP(T_BilanSocial[[#This Row],[NumL]],T_suiviDi[#Data],COLUMN(T_suiviDi[[#This Row],[Service ]]),FALSE))</f>
        <v>#VALUE!</v>
      </c>
      <c r="T67" s="164" t="str">
        <f t="shared" si="2"/>
        <v>01 septembre 2021</v>
      </c>
      <c r="U67" s="164" t="str">
        <f t="shared" si="3"/>
        <v>30 novembre 2021</v>
      </c>
      <c r="V67" s="256">
        <f>Datebilan</f>
        <v>44530</v>
      </c>
      <c r="W67" s="176" t="e">
        <f>IF(VLOOKUP(T_BilanSocial[[#This Row],[NumL]],T_TraitDi[#Data],COLUMN(T_TraitDi[[#This Row],[M1]]),FALSE)="","",VLOOKUP(T_BilanSocial[[#This Row],[NumL]],T_TraitDi[#Data],COLUMN(T_TraitDi[[#This Row],[M1]]),FALSE))</f>
        <v>#VALUE!</v>
      </c>
      <c r="X67" s="176" t="e">
        <f>IF(VLOOKUP(T_BilanSocial[[#This Row],[NumL]],T_TraitDi[#Data],COLUMN(T_TraitDi[[#This Row],[M2]]),FALSE)="","",VLOOKUP(T_BilanSocial[[#This Row],[NumL]],T_TraitDi[#Data],COLUMN(T_TraitDi[[#This Row],[M2]]),FALSE))</f>
        <v>#VALUE!</v>
      </c>
      <c r="Y67" s="176" t="e">
        <f>IF(VLOOKUP(T_BilanSocial[[#This Row],[NumL]],T_TraitDi[#Data],COLUMN(T_TraitDi[[#This Row],[M3]]),FALSE)="","",VLOOKUP(T_BilanSocial[[#This Row],[NumL]],T_TraitDi[#Data],COLUMN(T_TraitDi[[#This Row],[M3]]),FALSE))</f>
        <v>#VALUE!</v>
      </c>
      <c r="Z67" s="176" t="str">
        <f t="shared" si="5"/>
        <v/>
      </c>
      <c r="AA67" s="176" t="e">
        <f>IF(VLOOKUP(T_BilanSocial[[#This Row],[NumL]],T_TraitDi[#Data],COLUMN(T_TraitDi[[#This Row],[M5]]),FALSE)="","",VLOOKUP(T_BilanSocial[[#This Row],[NumL]],T_TraitDi[#Data],COLUMN(T_TraitDi[[#This Row],[M5]]),FALSE))</f>
        <v>#VALUE!</v>
      </c>
      <c r="AB67" s="176" t="e">
        <f>IF(VLOOKUP(T_BilanSocial[[#This Row],[NumL]],T_TraitDi[#Data],COLUMN(T_TraitDi[[#This Row],[M6]]),FALSE)="","",VLOOKUP(T_BilanSocial[[#This Row],[NumL]],T_TraitDi[#Data],COLUMN(T_TraitDi[[#This Row],[M6]]),FALSE))</f>
        <v>#VALUE!</v>
      </c>
      <c r="AC67" s="165" t="e">
        <f t="shared" si="4"/>
        <v>#VALUE!</v>
      </c>
      <c r="AD67" s="188" t="str">
        <f>IFERROR(TEXT(VLOOKUP(T_BilanSocial[[#This Row],[NumL]],T_TraitDi[#Data],COLUMN(T_TraitDi[[#This Row],[Q2]]),FALSE),"###%"),"")</f>
        <v/>
      </c>
      <c r="AE67" s="97" t="e">
        <f>VLOOKUP(T_BilanSocial[[#This Row],[NumL]],T_TraitDi[#Data],COLUMN(T_TraitDi[[#This Row],[Reg Ponct]]),FALSE)</f>
        <v>#VALUE!</v>
      </c>
      <c r="AF67" s="97" t="e">
        <f>VLOOKUP(T_BilanSocial[NumL],T_TraitDi[#Data],COLUMN(T_TraitDi[[#This Row],[Jours flottants]]),FALSE)</f>
        <v>#VALUE!</v>
      </c>
      <c r="AG67" s="97" t="str">
        <f>IFERROR(VLOOKUP(T_BilanSocial[[#This Row],[NumL]],T_TraitDi[#Data],COLUMN(T_TraitDi[[#This Row],[Lundi]]),FALSE),"")</f>
        <v/>
      </c>
      <c r="AH67" s="172" t="e">
        <f>IF(VLOOKUP(T_BilanSocial[[#This Row],[NumL]],T_TraitDi[#Data],COLUMN(T_TraitDi[[#This Row],[Colonne3]]),FALSE)=0,"",TEXT(IFERROR(VLOOKUP(T_BilanSocial[[#This Row],[NumL]],T_TraitDi[#Data],COLUMN(T_TraitDi[[#This Row],[Colonne3]]),FALSE),""),"[hh]:mm"))</f>
        <v>#VALUE!</v>
      </c>
      <c r="AI67" s="172" t="e">
        <f>IF(VLOOKUP(T_BilanSocial[[#This Row],[NumL]],T_TraitDi[#Data],COLUMN(T_TraitDi[[#This Row],[Colonne4]]),FALSE)=0,"",TEXT(IFERROR(VLOOKUP(T_BilanSocial[[#This Row],[NumL]],T_TraitDi[#Data],COLUMN(T_TraitDi[[#This Row],[Colonne4]]),FALSE),""),"[hh]:mm"))</f>
        <v>#VALUE!</v>
      </c>
      <c r="AJ67" s="172" t="e">
        <f>IF(VLOOKUP(T_BilanSocial[[#This Row],[NumL]],T_TraitDi[#Data],COLUMN(T_TraitDi[[#This Row],[Colonne5]]),FALSE)=0,"",TEXT(IFERROR(VLOOKUP(T_BilanSocial[[#This Row],[NumL]],T_TraitDi[#Data],COLUMN(T_TraitDi[[#This Row],[Colonne5]]),FALSE),""),"[hh]:mm"))</f>
        <v>#VALUE!</v>
      </c>
      <c r="AK67" s="172" t="e">
        <f>IF(VLOOKUP(T_BilanSocial[[#This Row],[NumL]],T_TraitDi[#Data],COLUMN(T_TraitDi[[#This Row],[Colonne6]]),FALSE)=0,"",TEXT(IFERROR(VLOOKUP(T_BilanSocial[[#This Row],[NumL]],T_TraitDi[#Data],COLUMN(T_TraitDi[[#This Row],[Colonne6]]),FALSE),""),"[hh]:mm"))</f>
        <v>#VALUE!</v>
      </c>
      <c r="AL67" s="172" t="e">
        <f>IF(VLOOKUP(T_BilanSocial[[#This Row],[NumL]],T_TraitDi[#Data],COLUMN(T_TraitDi[[#This Row],[Colonne7]]),FALSE)=0,"",TEXT(IFERROR(VLOOKUP(T_BilanSocial[[#This Row],[NumL]],T_TraitDi[#Data],COLUMN(T_TraitDi[[#This Row],[Colonne7]]),FALSE),""),"[hh]:mm"))</f>
        <v>#VALUE!</v>
      </c>
      <c r="AM67" s="172" t="e">
        <f>IF(VLOOKUP(T_BilanSocial[[#This Row],[NumL]],T_TraitDi[#Data],COLUMN(T_TraitDi[[#This Row],[Colonne8]]),FALSE)=0,"",TEXT(IFERROR(VLOOKUP(T_BilanSocial[[#This Row],[NumL]],T_TraitDi[#Data],COLUMN(T_TraitDi[[#This Row],[Colonne8]]),FALSE),""),"[hh]:mm"))</f>
        <v>#VALUE!</v>
      </c>
      <c r="AN67" s="172" t="str">
        <f>IFERROR(VLOOKUP(T_BilanSocial[[#This Row],[NumL]],T_TraitDi[#Data],COLUMN(T_TraitDi[[#This Row],[Mardi]]),FALSE),"")</f>
        <v/>
      </c>
      <c r="AO67" s="172" t="e">
        <f>IF(VLOOKUP(T_BilanSocial[[#This Row],[NumL]],T_TraitDi[#Data],COLUMN(T_TraitDi[[#This Row],[Colonne1]]),FALSE)=0,"",TEXT(IFERROR(VLOOKUP(T_BilanSocial[[#This Row],[NumL]],T_TraitDi[#Data],COLUMN(T_TraitDi[[#This Row],[Colonne1]]),FALSE),""),"[hh]:mm"))</f>
        <v>#VALUE!</v>
      </c>
      <c r="AP67" s="172" t="e">
        <f>IF(VLOOKUP(T_BilanSocial[[#This Row],[NumL]],T_TraitDi[#Data],COLUMN(T_TraitDi[[#This Row],[Colonne9]]),FALSE)=0,"",TEXT(IFERROR(VLOOKUP(T_BilanSocial[[#This Row],[NumL]],T_TraitDi[#Data],COLUMN(T_TraitDi[[#This Row],[Colonne9]]),FALSE),""),"[hh]:mm"))</f>
        <v>#VALUE!</v>
      </c>
      <c r="AQ67" s="172" t="str">
        <f>IFERROR(VLOOKUP(T_BilanSocial[[#This Row],[NumL]],T_TraitDi[#Data],COLUMN(T_TraitDi[[#This Row],[Colonne10]]),FALSE),"")</f>
        <v/>
      </c>
      <c r="AR67" s="172" t="e">
        <f>IF(VLOOKUP(T_BilanSocial[[#This Row],[NumL]],T_TraitDi[#Data],COLUMN(T_TraitDi[[#This Row],[Colonne11]]),FALSE)=0,"",TEXT(IFERROR(VLOOKUP(T_BilanSocial[[#This Row],[NumL]],T_TraitDi[#Data],COLUMN(T_TraitDi[[#This Row],[Colonne11]]),FALSE),""),"[hh]:mm"))</f>
        <v>#VALUE!</v>
      </c>
      <c r="AS67" s="172" t="e">
        <f>IF(VLOOKUP(T_BilanSocial[[#This Row],[NumL]],T_TraitDi[#Data],COLUMN(T_TraitDi[[#This Row],[Colonne12]]),FALSE)=0,"",TEXT(IFERROR(VLOOKUP(T_BilanSocial[[#This Row],[NumL]],T_TraitDi[#Data],COLUMN(T_TraitDi[[#This Row],[Colonne12]]),FALSE),""),"[hh]:mm"))</f>
        <v>#VALUE!</v>
      </c>
      <c r="AT67" s="172" t="e">
        <f>IF(VLOOKUP(T_BilanSocial[[#This Row],[NumL]],T_TraitDi[#Data],COLUMN(T_TraitDi[[#This Row],[Colonne14]]),FALSE)=0,"",TEXT(IFERROR(VLOOKUP(T_BilanSocial[[#This Row],[NumL]],T_TraitDi[#Data],COLUMN(T_TraitDi[[#This Row],[Colonne14]]),FALSE),""),"[hh]:mm"))</f>
        <v>#VALUE!</v>
      </c>
      <c r="AU67" s="172" t="str">
        <f>IFERROR(VLOOKUP(T_BilanSocial[[#This Row],[NumL]],T_TraitDi[#Data],COLUMN(T_TraitDi[[#This Row],[Mercredi]]),FALSE),"")</f>
        <v/>
      </c>
      <c r="AV67" s="172" t="e">
        <f>IF(VLOOKUP(T_BilanSocial[[#This Row],[NumL]],T_TraitDi[#Data],COLUMN(T_TraitDi[[#This Row],[Colonne15]]),FALSE)=0,"",TEXT(IFERROR(VLOOKUP(T_BilanSocial[[#This Row],[NumL]],T_TraitDi[#Data],COLUMN(T_TraitDi[[#This Row],[Colonne15]]),FALSE),""),"[hh]:mm"))</f>
        <v>#VALUE!</v>
      </c>
      <c r="AW67" s="172" t="e">
        <f>IF(VLOOKUP(T_BilanSocial[[#This Row],[NumL]],T_TraitDi[#Data],COLUMN(T_TraitDi[[#This Row],[Colonne16]]),FALSE)=0,"",TEXT(IFERROR(VLOOKUP(T_BilanSocial[[#This Row],[NumL]],T_TraitDi[#Data],COLUMN(T_TraitDi[[#This Row],[Colonne16]]),FALSE),""),"[hh]:mm"))</f>
        <v>#VALUE!</v>
      </c>
      <c r="AX67" s="172" t="str">
        <f>IFERROR(VLOOKUP(T_BilanSocial[[#This Row],[NumL]],T_TraitDi[#Data],COLUMN(T_TraitDi[[#This Row],[Colonne17]]),FALSE),"")</f>
        <v/>
      </c>
      <c r="AY67" s="172" t="e">
        <f>IF(VLOOKUP(T_BilanSocial[[#This Row],[NumL]],T_TraitDi[#Data],COLUMN(T_TraitDi[[#This Row],[Colonne18]]),FALSE)=0,"",TEXT(IFERROR(VLOOKUP(T_BilanSocial[[#This Row],[NumL]],T_TraitDi[#Data],COLUMN(T_TraitDi[[#This Row],[Colonne18]]),FALSE),""),"[hh]:mm"))</f>
        <v>#VALUE!</v>
      </c>
      <c r="AZ67" s="172" t="e">
        <f>IF(VLOOKUP(T_BilanSocial[[#This Row],[NumL]],T_TraitDi[#Data],COLUMN(T_TraitDi[[#This Row],[Colonne19]]),FALSE)=0,"",TEXT(IFERROR(VLOOKUP(T_BilanSocial[[#This Row],[NumL]],T_TraitDi[#Data],COLUMN(T_TraitDi[[#This Row],[Colonne19]]),FALSE),""),"[hh]:mm"))</f>
        <v>#VALUE!</v>
      </c>
      <c r="BA67" s="172" t="e">
        <f>IF(VLOOKUP(T_BilanSocial[[#This Row],[NumL]],T_TraitDi[#Data],COLUMN(T_TraitDi[[#This Row],[Colonne20]]),FALSE)=0,"",TEXT(IFERROR(VLOOKUP(T_BilanSocial[[#This Row],[NumL]],T_TraitDi[#Data],COLUMN(T_TraitDi[[#This Row],[Colonne20]]),FALSE),""),"[hh]:mm"))</f>
        <v>#VALUE!</v>
      </c>
      <c r="BB67" s="178" t="str">
        <f>IFERROR(VLOOKUP(T_BilanSocial[[#This Row],[NumL]],T_TraitDi[#Data],COLUMN(T_TraitDi[[#This Row],[Jeudi]]),FALSE),"")</f>
        <v/>
      </c>
      <c r="BC67" s="178" t="e">
        <f>IF(VLOOKUP(T_BilanSocial[[#This Row],[NumL]],T_TraitDi[#Data],COLUMN(T_TraitDi[[#This Row],[Colonne21]]),FALSE)=0,"",TEXT(IFERROR(VLOOKUP(T_BilanSocial[[#This Row],[NumL]],T_TraitDi[#Data],COLUMN(T_TraitDi[[#This Row],[Colonne21]]),FALSE),""),"[hh]:mm"))</f>
        <v>#VALUE!</v>
      </c>
      <c r="BD67" s="178" t="e">
        <f>IF(VLOOKUP(T_BilanSocial[[#This Row],[NumL]],T_TraitDi[#Data],COLUMN(T_TraitDi[[#This Row],[Colonne22]]),FALSE)=0,"",TEXT(IFERROR(VLOOKUP(T_BilanSocial[[#This Row],[NumL]],T_TraitDi[#Data],COLUMN(T_TraitDi[[#This Row],[Colonne22]]),FALSE),""),"[hh]:mm"))</f>
        <v>#VALUE!</v>
      </c>
      <c r="BE67" s="178" t="str">
        <f>IFERROR(VLOOKUP(T_BilanSocial[[#This Row],[NumL]],T_TraitDi[#Data],COLUMN(T_TraitDi[[#This Row],[Colonne23]]),FALSE),"")</f>
        <v/>
      </c>
      <c r="BF67" s="178" t="e">
        <f>IF(VLOOKUP(T_BilanSocial[[#This Row],[NumL]],T_TraitDi[#Data],COLUMN(T_TraitDi[[#This Row],[Colonne24]]),FALSE)=0,"",TEXT(IFERROR(VLOOKUP(T_BilanSocial[[#This Row],[NumL]],T_TraitDi[#Data],COLUMN(T_TraitDi[[#This Row],[Colonne24]]),FALSE),""),"[hh]:mm"))</f>
        <v>#VALUE!</v>
      </c>
      <c r="BG67" s="178" t="e">
        <f>IF(VLOOKUP(T_BilanSocial[[#This Row],[NumL]],T_TraitDi[#Data],COLUMN(T_TraitDi[[#This Row],[Colonne25]]),FALSE)=0,"",TEXT(IFERROR(VLOOKUP(T_BilanSocial[[#This Row],[NumL]],T_TraitDi[#Data],COLUMN(T_TraitDi[[#This Row],[Colonne25]]),FALSE),""),"[hh]:mm"))</f>
        <v>#VALUE!</v>
      </c>
      <c r="BH67" s="178" t="e">
        <f>IF(VLOOKUP(T_BilanSocial[[#This Row],[NumL]],T_TraitDi[#Data],COLUMN(T_TraitDi[[#This Row],[Colonne26]]),FALSE)=0,"",TEXT(IFERROR(VLOOKUP(T_BilanSocial[[#This Row],[NumL]],T_TraitDi[#Data],COLUMN(T_TraitDi[[#This Row],[Colonne26]]),FALSE),""),"[hh]:mm"))</f>
        <v>#VALUE!</v>
      </c>
      <c r="BI67" s="172" t="str">
        <f>IFERROR(VLOOKUP(T_BilanSocial[[#This Row],[NumL]],T_TraitDi[#Data],COLUMN(T_TraitDi[[#This Row],[Vendredi]]),FALSE),"")</f>
        <v/>
      </c>
      <c r="BJ67" s="172" t="e">
        <f>IF(VLOOKUP(T_BilanSocial[[#This Row],[NumL]],T_TraitDi[#Data],COLUMN(T_TraitDi[[#This Row],[Colonne27]]),FALSE)=0,"",TEXT(IFERROR(VLOOKUP(T_BilanSocial[[#This Row],[NumL]],T_TraitDi[#Data],COLUMN(T_TraitDi[[#This Row],[Colonne27]]),FALSE),""),"[hh]:mm"))</f>
        <v>#VALUE!</v>
      </c>
      <c r="BK67" s="172" t="e">
        <f>IF(VLOOKUP(T_BilanSocial[[#This Row],[NumL]],T_TraitDi[#Data],COLUMN(T_TraitDi[[#This Row],[Colonne28]]),FALSE)=0,"",TEXT(IFERROR(VLOOKUP(T_BilanSocial[[#This Row],[NumL]],T_TraitDi[#Data],COLUMN(T_TraitDi[[#This Row],[Colonne28]]),FALSE),""),"[hh]:mm"))</f>
        <v>#VALUE!</v>
      </c>
      <c r="BL67" s="172" t="str">
        <f>IFERROR(VLOOKUP(T_BilanSocial[[#This Row],[NumL]],T_TraitDi[#Data],COLUMN(T_TraitDi[[#This Row],[Colonne29]]),FALSE),"")</f>
        <v/>
      </c>
      <c r="BM67" s="172" t="e">
        <f>IF(VLOOKUP(T_BilanSocial[[#This Row],[NumL]],T_TraitDi[#Data],COLUMN(T_TraitDi[[#This Row],[Colonne30]]),FALSE)=0,"",TEXT(IFERROR(VLOOKUP(T_BilanSocial[[#This Row],[NumL]],T_TraitDi[#Data],COLUMN(T_TraitDi[[#This Row],[Colonne30]]),FALSE),""),"[hh]:mm"))</f>
        <v>#VALUE!</v>
      </c>
      <c r="BN67" s="172" t="e">
        <f>IF(VLOOKUP(T_BilanSocial[[#This Row],[NumL]],T_TraitDi[#Data],COLUMN(T_TraitDi[[#This Row],[Colonne31]]),FALSE)=0,"",TEXT(IFERROR(VLOOKUP(T_BilanSocial[[#This Row],[NumL]],T_TraitDi[#Data],COLUMN(T_TraitDi[[#This Row],[Colonne31]]),FALSE),""),"[hh]:mm"))</f>
        <v>#VALUE!</v>
      </c>
      <c r="BO67" s="172" t="e">
        <f>IF(VLOOKUP(T_BilanSocial[[#This Row],[NumL]],T_TraitDi[#Data],COLUMN(T_TraitDi[[#This Row],[Colonne32]]),FALSE)=0,"",TEXT(IFERROR(VLOOKUP(T_BilanSocial[[#This Row],[NumL]],T_TraitDi[#Data],COLUMN(T_TraitDi[[#This Row],[Colonne32]]),FALSE),""),"[hh]:mm"))</f>
        <v>#VALUE!</v>
      </c>
      <c r="BP67" s="172" t="e">
        <f>VLOOKUP(T_BilanSocial[[#This Row],[NumL]],T_TraitDi[#Data],COLUMN(T_TraitDi[NbJTot]),FALSE)</f>
        <v>#N/A</v>
      </c>
      <c r="BQ67" s="174" t="str">
        <f>IFERROR(VLOOKUP(T_BilanSocial[[#This Row],[NumL]],T_TraitDi[#Data],COLUMN(T_TraitDi[[#This Row],[NbJTW]]),FALSE),"")</f>
        <v/>
      </c>
      <c r="BR67" s="174" t="e">
        <f>IF(VLOOKUP(T_BilanSocial[[#This Row],[NumL]],T_TraitDi[#Data],COLUMN(T_TraitDi[[#This Row],[NbhTW]]),FALSE)=0,"",TEXT(IFERROR(VLOOKUP(T_BilanSocial[[#This Row],[NumL]],T_TraitDi[#Data],COLUMN(T_TraitDi[[#This Row],[NbhTW]]),FALSE),""),"[hh]:mm"))</f>
        <v>#VALUE!</v>
      </c>
      <c r="BS67" s="174" t="e">
        <f>IF(VLOOKUP(T_BilanSocial[[#This Row],[NumL]],T_TraitDi[#Data],COLUMN(T_TraitDi[[#This Row],[Nbhheb]]),FALSE)=0,"",TEXT(IFERROR(VLOOKUP($A67,T_TraitDi[#Data],COLUMN(T_TraitDi[[#This Row],[Nbhheb]]),FALSE),""),"[hh]:mm"))</f>
        <v>#VALUE!</v>
      </c>
      <c r="BT67" s="268" t="str">
        <f>IFERROR(VLOOKUP(VLOOKUP($A67,T_TraitDi[#Data],COLUMN(T_TraitDi[[#This Row],[Type1]]),FALSE),TypeTW,2,FALSE),"")</f>
        <v/>
      </c>
      <c r="BU67" s="182" t="str">
        <f>IFERROR(VLOOKUP($A67,T_TraitDi[#Data],COLUMN(T_TraitDi[[#This Row],[Rue1]]),FALSE),"")</f>
        <v/>
      </c>
      <c r="BV67" s="173" t="str">
        <f>IFERROR(VLOOKUP($A67,T_TraitDi[#Data],COLUMN(T_TraitDi[[#This Row],[CP1]]),FALSE),"")</f>
        <v/>
      </c>
      <c r="BW67" s="173" t="str">
        <f>IFERROR(VLOOKUP($A67,T_TraitDi[#Data],COLUMN(T_TraitDi[[#This Row],[VILLE1]]),FALSE),"")</f>
        <v/>
      </c>
      <c r="BX67" s="182" t="str">
        <f>IFERROR(VLOOKUP(VLOOKUP($A67,T_TraitDi[#Data],COLUMN(T_TraitDi[[#This Row],[Type2]]),FALSE),TypeTW,2,FALSE),"")</f>
        <v/>
      </c>
      <c r="BY67" s="182" t="str">
        <f>IFERROR(VLOOKUP($A67,T_TraitDi[#Data],COLUMN(T_TraitDi[[#This Row],[Rue2]]),FALSE),"")</f>
        <v/>
      </c>
      <c r="BZ67" s="173" t="str">
        <f>IFERROR(VLOOKUP($A67,T_TraitDi[#Data],COLUMN(T_TraitDi[[#This Row],[CP2]]),FALSE),"")</f>
        <v/>
      </c>
      <c r="CA67" s="173" t="str">
        <f>IFERROR(VLOOKUP($A67,T_TraitDi[#Data],COLUMN(T_TraitDi[[#This Row],[VILLE2]]),FALSE),"")</f>
        <v/>
      </c>
      <c r="CB67" s="182" t="str">
        <f>IF(VLOOKUP(T_BilanSocial[[#This Row],[NumL]],T_Equipement[#Data],COLUMN(T_Equipement[[#This Row],[PC]]),FALSE)="","Aucun équipement spécifique directement lié au télétravail",VLOOKUP(T_BilanSocial[[#This Row],[NumL]],T_Equipement[#Data],COLUMN(T_Equipement[[#This Row],[PC]]),FALSE))</f>
        <v xml:space="preserve">16-422	</v>
      </c>
      <c r="CC67" s="166" t="str">
        <f>IFERROR(IF(VLOOKUP(T_BilanSocial[[#This Row],[NumL]],T_TraitDi[#Data],COLUMN(T_TraitDi[[#This Row],[Plan]]),FALSE)="OK","Un planning spécifique de télétravail est annexé à la présente convention.",""),"")</f>
        <v/>
      </c>
      <c r="CD67" s="185"/>
      <c r="CE67" s="164" t="e">
        <f>IF(VLOOKUP(T_BilanSocial[[#This Row],[NumL]],T_suiviDi[#Data],COLUMN(T_suiviDi[[#This Row],[Entité]]),FALSE)="","",VLOOKUP(T_BilanSocial[[#This Row],[NumL]],T_suiviDi[#Data],COLUMN(T_suiviDi[[#This Row],[Entité]]),FALSE))</f>
        <v>#VALUE!</v>
      </c>
      <c r="CF67" s="164" t="str">
        <f>IF(VLOOKUP(T_BilanSocial[[#This Row],[NumL]],T_Commission[#Data],COLUMN(T_Commission[[#This Row],[envoi confirm TW]]),FALSE)="","",VLOOKUP(T_BilanSocial[[#This Row],[NumL]],T_Commission[#Data],COLUMN(T_Commission[[#This Row],[envoi confirm TW]]),FALSE))</f>
        <v>Oui</v>
      </c>
      <c r="CG6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7" s="262" t="str">
        <f>T_BilanSocial[[#This Row],[Nom]]&amp;T_BilanSocial[[#This Row],[Prenom]]</f>
        <v/>
      </c>
      <c r="CI67" s="262">
        <f>VLOOKUP(T_BilanSocial[[#This Row],[NumL]],T_Commission[#Data],COLUMN(T_Commission[Commentaire]),FALSE)</f>
        <v>0</v>
      </c>
      <c r="CJ67" s="262" t="str">
        <f>IF(VLOOKUP(T_BilanSocial[[#This Row],[NumL]],T_Commission[#Data],COLUMN(T_Commission[Encadrant Email]),FALSE)="","",VLOOKUP(T_BilanSocial[[#This Row],[NumL]],T_Commission[#Data],COLUMN(T_Commission[Encadrant Email]),FALSE))</f>
        <v/>
      </c>
      <c r="CK67" s="340" t="str">
        <f>IF(T_BilanSocial[[#This Row],[Final]]&lt;&gt;"",VLOOKUP(T_BilanSocial[[#This Row],[NumL]],T_suiviDi[#Data],COLUMN((T_suiviDi[Statut])),FALSE),"")</f>
        <v/>
      </c>
    </row>
    <row r="68" spans="1:89" s="106" customFormat="1" ht="24.75" customHeight="1" x14ac:dyDescent="0.25">
      <c r="A68" s="160">
        <v>65</v>
      </c>
      <c r="B68" s="161" t="str">
        <f t="shared" ref="B68:B131" si="10">VLOOKUP(A68,ComDI,15,FALSE)</f>
        <v/>
      </c>
      <c r="C68" s="162" t="s">
        <v>173</v>
      </c>
      <c r="D68" s="95" t="e">
        <f>IF(VLOOKUP(T_BilanSocial[[#This Row],[NumL]],T_TraitDi[#Data],COLUMN(T_TraitDi[[#This Row],[WebC]]),FALSE)="","",VLOOKUP(T_BilanSocial[[#This Row],[NumL]],T_TraitDi[#Data],COLUMN(T_TraitDi[[#This Row],[WebC]]),FALSE))</f>
        <v>#VALUE!</v>
      </c>
      <c r="E68" s="163" t="str">
        <f t="shared" ref="E68:E131" si="11">TEXT(DateEdition,"jj mmmm aaaa")</f>
        <v>12 janvier 2021</v>
      </c>
      <c r="F68" s="96" t="str">
        <f>IF(T_BilanSocial[[#This Row],[Final]]&lt;&gt;"",VLOOKUP(T_BilanSocial[[#This Row],[NumL]],T_suiviDi[#Data],COLUMN((T_suiviDi[Civ.])),FALSE),"")</f>
        <v/>
      </c>
      <c r="G68" s="96" t="str">
        <f>IF(T_BilanSocial[[#This Row],[Final]]&lt;&gt;"",VLOOKUP(T_BilanSocial[[#This Row],[NumL]],T_suiviDi[#Data],COLUMN((T_suiviDi[Nom])),FALSE),"")</f>
        <v/>
      </c>
      <c r="H68" s="96" t="str">
        <f>IF(T_BilanSocial[[#This Row],[Final]]&lt;&gt;"",VLOOKUP(T_BilanSocial[[#This Row],[NumL]],T_suiviDi[#Data],COLUMN((T_suiviDi[Prénom])),FALSE),"")</f>
        <v/>
      </c>
      <c r="I68" s="96" t="str">
        <f>IFERROR(VLOOKUP(T_BilanSocial[[#This Row],[Zone_Bilan]],T_P_BilanSocial[#Data],COLUMN(T_P_BilanSocial[[#This Row],[Numero_SIHAM]]),FALSE),"")</f>
        <v/>
      </c>
      <c r="J68" s="96" t="str">
        <f>IFERROR(VLOOKUP(T_BilanSocial[[#This Row],[Zone_Bilan]],T_P_BilanSocial[#Data],COLUMN(T_P_BilanSocial[[#This Row],[Sexe]]),FALSE),"")</f>
        <v/>
      </c>
      <c r="K68" s="97" t="str">
        <f>IFERROR(VLOOKUP(T_BilanSocial[[#This Row],[Zone_Bilan]],T_P_BilanSocial[#Data],COLUMN(T_P_BilanSocial[[#This Row],[Categorie]]),FALSE),"")</f>
        <v/>
      </c>
      <c r="L68" s="96" t="str">
        <f>IFERROR(VLOOKUP(T_BilanSocial[[#This Row],[Zone_Bilan]],T_P_BilanSocial[#Data],COLUMN(T_P_BilanSocial[[#This Row],[Statut]]),FALSE),"")</f>
        <v/>
      </c>
      <c r="M68" s="96" t="str">
        <f>IFERROR(VLOOKUP(T_BilanSocial[[#This Row],[Zone_Bilan]],T_P_BilanSocial[#Data],COLUMN(T_P_BilanSocial[[#This Row],[Filiere]]),FALSE),"")</f>
        <v/>
      </c>
      <c r="N68" s="96" t="e">
        <f>VLOOKUP(T_BilanSocial[[#This Row],[NumL]],T_TraitDi[#Data],COLUMN(T_TraitDi[EXP]),FALSE)</f>
        <v>#N/A</v>
      </c>
      <c r="O68" s="96" t="e">
        <f>VLOOKUP(T_BilanSocial[[#This Row],[NumL]],T_TraitDi[#Data],COLUMN(T_TraitDi[FORM]),FALSE)</f>
        <v>#N/A</v>
      </c>
      <c r="P68" s="96" t="str">
        <f>IF(T_BilanSocial[[#This Row],[Final]]&lt;&gt;"",VLOOKUP(T_BilanSocial[[#This Row],[NumL]],T_suiviDi[#Data],COLUMN((T_suiviDi[Email])),FALSE),"")</f>
        <v/>
      </c>
      <c r="Q68" s="164" t="e">
        <f t="shared" si="7"/>
        <v>#N/A</v>
      </c>
      <c r="R68" s="164" t="e">
        <f t="shared" si="8"/>
        <v>#N/A</v>
      </c>
      <c r="S68" s="164" t="e">
        <f>IF(VLOOKUP(T_BilanSocial[[#This Row],[NumL]],T_suiviDi[#Data],COLUMN(T_suiviDi[[#This Row],[Service ]]),FALSE)="","",VLOOKUP(T_BilanSocial[[#This Row],[NumL]],T_suiviDi[#Data],COLUMN(T_suiviDi[[#This Row],[Service ]]),FALSE))</f>
        <v>#VALUE!</v>
      </c>
      <c r="T68" s="164" t="str">
        <f t="shared" ref="T68:T131" si="12">TEXT(Dateeffet,"jj mmmm aaaa")</f>
        <v>01 septembre 2021</v>
      </c>
      <c r="U68" s="164" t="str">
        <f t="shared" ref="U68:U131" si="13">TEXT(DateFinadapt,"jj mmmm aaaa")</f>
        <v>30 novembre 2021</v>
      </c>
      <c r="V68" s="164" t="str">
        <f t="shared" ref="V68:V74" si="14">TEXT(Datebilan,"jj mmmm aaaa")</f>
        <v>30 novembre 2021</v>
      </c>
      <c r="W68" s="176" t="e">
        <f>IF(VLOOKUP(T_BilanSocial[[#This Row],[NumL]],T_TraitDi[#Data],COLUMN(T_TraitDi[[#This Row],[M1]]),FALSE)="","",VLOOKUP(T_BilanSocial[[#This Row],[NumL]],T_TraitDi[#Data],COLUMN(T_TraitDi[[#This Row],[M1]]),FALSE))</f>
        <v>#VALUE!</v>
      </c>
      <c r="X68" s="176" t="e">
        <f>IF(VLOOKUP(T_BilanSocial[[#This Row],[NumL]],T_TraitDi[#Data],COLUMN(T_TraitDi[[#This Row],[M2]]),FALSE)="","",VLOOKUP(T_BilanSocial[[#This Row],[NumL]],T_TraitDi[#Data],COLUMN(T_TraitDi[[#This Row],[M2]]),FALSE))</f>
        <v>#VALUE!</v>
      </c>
      <c r="Y68" s="176" t="e">
        <f>IF(VLOOKUP(T_BilanSocial[[#This Row],[NumL]],T_TraitDi[#Data],COLUMN(T_TraitDi[[#This Row],[M3]]),FALSE)="","",VLOOKUP(T_BilanSocial[[#This Row],[NumL]],T_TraitDi[#Data],COLUMN(T_TraitDi[[#This Row],[M3]]),FALSE))</f>
        <v>#VALUE!</v>
      </c>
      <c r="Z68" s="176" t="str">
        <f t="shared" si="5"/>
        <v/>
      </c>
      <c r="AA68" s="176" t="e">
        <f>IF(VLOOKUP(T_BilanSocial[[#This Row],[NumL]],T_TraitDi[#Data],COLUMN(T_TraitDi[[#This Row],[M5]]),FALSE)="","",VLOOKUP(T_BilanSocial[[#This Row],[NumL]],T_TraitDi[#Data],COLUMN(T_TraitDi[[#This Row],[M5]]),FALSE))</f>
        <v>#VALUE!</v>
      </c>
      <c r="AB68" s="176" t="e">
        <f>IF(VLOOKUP(T_BilanSocial[[#This Row],[NumL]],T_TraitDi[#Data],COLUMN(T_TraitDi[[#This Row],[M6]]),FALSE)="","",VLOOKUP(T_BilanSocial[[#This Row],[NumL]],T_TraitDi[#Data],COLUMN(T_TraitDi[[#This Row],[M6]]),FALSE))</f>
        <v>#VALUE!</v>
      </c>
      <c r="AC68" s="165" t="e">
        <f t="shared" ref="AC68:AC131" si="15">W68&amp;X68&amp;Y68&amp;Z68&amp;AA68&amp;AB68</f>
        <v>#VALUE!</v>
      </c>
      <c r="AD68" s="188" t="str">
        <f>IFERROR(TEXT(VLOOKUP(T_BilanSocial[[#This Row],[NumL]],T_TraitDi[#Data],COLUMN(T_TraitDi[[#This Row],[Q2]]),FALSE),"###%"),"")</f>
        <v/>
      </c>
      <c r="AE68" s="97" t="e">
        <f>VLOOKUP(T_BilanSocial[[#This Row],[NumL]],T_TraitDi[#Data],COLUMN(T_TraitDi[[#This Row],[Reg Ponct]]),FALSE)</f>
        <v>#VALUE!</v>
      </c>
      <c r="AF68" s="97" t="e">
        <f>VLOOKUP(T_BilanSocial[NumL],T_TraitDi[#Data],COLUMN(T_TraitDi[[#This Row],[Jours flottants]]),FALSE)</f>
        <v>#VALUE!</v>
      </c>
      <c r="AG68" s="97" t="str">
        <f>IFERROR(VLOOKUP(T_BilanSocial[[#This Row],[NumL]],T_TraitDi[#Data],COLUMN(T_TraitDi[[#This Row],[Lundi]]),FALSE),"")</f>
        <v/>
      </c>
      <c r="AH68" s="172" t="e">
        <f>IF(VLOOKUP(T_BilanSocial[[#This Row],[NumL]],T_TraitDi[#Data],COLUMN(T_TraitDi[[#This Row],[Colonne3]]),FALSE)=0,"",TEXT(IFERROR(VLOOKUP(T_BilanSocial[[#This Row],[NumL]],T_TraitDi[#Data],COLUMN(T_TraitDi[[#This Row],[Colonne3]]),FALSE),""),"[hh]:mm"))</f>
        <v>#VALUE!</v>
      </c>
      <c r="AI68" s="172" t="e">
        <f>IF(VLOOKUP(T_BilanSocial[[#This Row],[NumL]],T_TraitDi[#Data],COLUMN(T_TraitDi[[#This Row],[Colonne4]]),FALSE)=0,"",TEXT(IFERROR(VLOOKUP(T_BilanSocial[[#This Row],[NumL]],T_TraitDi[#Data],COLUMN(T_TraitDi[[#This Row],[Colonne4]]),FALSE),""),"[hh]:mm"))</f>
        <v>#VALUE!</v>
      </c>
      <c r="AJ68" s="172" t="e">
        <f>IF(VLOOKUP(T_BilanSocial[[#This Row],[NumL]],T_TraitDi[#Data],COLUMN(T_TraitDi[[#This Row],[Colonne5]]),FALSE)=0,"",TEXT(IFERROR(VLOOKUP(T_BilanSocial[[#This Row],[NumL]],T_TraitDi[#Data],COLUMN(T_TraitDi[[#This Row],[Colonne5]]),FALSE),""),"[hh]:mm"))</f>
        <v>#VALUE!</v>
      </c>
      <c r="AK68" s="172" t="e">
        <f>IF(VLOOKUP(T_BilanSocial[[#This Row],[NumL]],T_TraitDi[#Data],COLUMN(T_TraitDi[[#This Row],[Colonne6]]),FALSE)=0,"",TEXT(IFERROR(VLOOKUP(T_BilanSocial[[#This Row],[NumL]],T_TraitDi[#Data],COLUMN(T_TraitDi[[#This Row],[Colonne6]]),FALSE),""),"[hh]:mm"))</f>
        <v>#VALUE!</v>
      </c>
      <c r="AL68" s="172" t="e">
        <f>IF(VLOOKUP(T_BilanSocial[[#This Row],[NumL]],T_TraitDi[#Data],COLUMN(T_TraitDi[[#This Row],[Colonne7]]),FALSE)=0,"",TEXT(IFERROR(VLOOKUP(T_BilanSocial[[#This Row],[NumL]],T_TraitDi[#Data],COLUMN(T_TraitDi[[#This Row],[Colonne7]]),FALSE),""),"[hh]:mm"))</f>
        <v>#VALUE!</v>
      </c>
      <c r="AM68" s="172" t="e">
        <f>IF(VLOOKUP(T_BilanSocial[[#This Row],[NumL]],T_TraitDi[#Data],COLUMN(T_TraitDi[[#This Row],[Colonne8]]),FALSE)=0,"",TEXT(IFERROR(VLOOKUP(T_BilanSocial[[#This Row],[NumL]],T_TraitDi[#Data],COLUMN(T_TraitDi[[#This Row],[Colonne8]]),FALSE),""),"[hh]:mm"))</f>
        <v>#VALUE!</v>
      </c>
      <c r="AN68" s="172" t="str">
        <f>IFERROR(VLOOKUP(T_BilanSocial[[#This Row],[NumL]],T_TraitDi[#Data],COLUMN(T_TraitDi[[#This Row],[Mardi]]),FALSE),"")</f>
        <v/>
      </c>
      <c r="AO68" s="172" t="e">
        <f>IF(VLOOKUP(T_BilanSocial[[#This Row],[NumL]],T_TraitDi[#Data],COLUMN(T_TraitDi[[#This Row],[Colonne1]]),FALSE)=0,"",TEXT(IFERROR(VLOOKUP(T_BilanSocial[[#This Row],[NumL]],T_TraitDi[#Data],COLUMN(T_TraitDi[[#This Row],[Colonne1]]),FALSE),""),"[hh]:mm"))</f>
        <v>#VALUE!</v>
      </c>
      <c r="AP68" s="172" t="e">
        <f>IF(VLOOKUP(T_BilanSocial[[#This Row],[NumL]],T_TraitDi[#Data],COLUMN(T_TraitDi[[#This Row],[Colonne9]]),FALSE)=0,"",TEXT(IFERROR(VLOOKUP(T_BilanSocial[[#This Row],[NumL]],T_TraitDi[#Data],COLUMN(T_TraitDi[[#This Row],[Colonne9]]),FALSE),""),"[hh]:mm"))</f>
        <v>#VALUE!</v>
      </c>
      <c r="AQ68" s="172" t="str">
        <f>IFERROR(VLOOKUP(T_BilanSocial[[#This Row],[NumL]],T_TraitDi[#Data],COLUMN(T_TraitDi[[#This Row],[Colonne10]]),FALSE),"")</f>
        <v/>
      </c>
      <c r="AR68" s="172" t="e">
        <f>IF(VLOOKUP(T_BilanSocial[[#This Row],[NumL]],T_TraitDi[#Data],COLUMN(T_TraitDi[[#This Row],[Colonne11]]),FALSE)=0,"",TEXT(IFERROR(VLOOKUP(T_BilanSocial[[#This Row],[NumL]],T_TraitDi[#Data],COLUMN(T_TraitDi[[#This Row],[Colonne11]]),FALSE),""),"[hh]:mm"))</f>
        <v>#VALUE!</v>
      </c>
      <c r="AS68" s="172" t="e">
        <f>IF(VLOOKUP(T_BilanSocial[[#This Row],[NumL]],T_TraitDi[#Data],COLUMN(T_TraitDi[[#This Row],[Colonne12]]),FALSE)=0,"",TEXT(IFERROR(VLOOKUP(T_BilanSocial[[#This Row],[NumL]],T_TraitDi[#Data],COLUMN(T_TraitDi[[#This Row],[Colonne12]]),FALSE),""),"[hh]:mm"))</f>
        <v>#VALUE!</v>
      </c>
      <c r="AT68" s="172" t="e">
        <f>IF(VLOOKUP(T_BilanSocial[[#This Row],[NumL]],T_TraitDi[#Data],COLUMN(T_TraitDi[[#This Row],[Colonne14]]),FALSE)=0,"",TEXT(IFERROR(VLOOKUP(T_BilanSocial[[#This Row],[NumL]],T_TraitDi[#Data],COLUMN(T_TraitDi[[#This Row],[Colonne14]]),FALSE),""),"[hh]:mm"))</f>
        <v>#VALUE!</v>
      </c>
      <c r="AU68" s="172" t="str">
        <f>IFERROR(VLOOKUP(T_BilanSocial[[#This Row],[NumL]],T_TraitDi[#Data],COLUMN(T_TraitDi[[#This Row],[Mercredi]]),FALSE),"")</f>
        <v/>
      </c>
      <c r="AV68" s="172" t="e">
        <f>IF(VLOOKUP(T_BilanSocial[[#This Row],[NumL]],T_TraitDi[#Data],COLUMN(T_TraitDi[[#This Row],[Colonne15]]),FALSE)=0,"",TEXT(IFERROR(VLOOKUP(T_BilanSocial[[#This Row],[NumL]],T_TraitDi[#Data],COLUMN(T_TraitDi[[#This Row],[Colonne15]]),FALSE),""),"[hh]:mm"))</f>
        <v>#VALUE!</v>
      </c>
      <c r="AW68" s="172" t="e">
        <f>IF(VLOOKUP(T_BilanSocial[[#This Row],[NumL]],T_TraitDi[#Data],COLUMN(T_TraitDi[[#This Row],[Colonne16]]),FALSE)=0,"",TEXT(IFERROR(VLOOKUP(T_BilanSocial[[#This Row],[NumL]],T_TraitDi[#Data],COLUMN(T_TraitDi[[#This Row],[Colonne16]]),FALSE),""),"[hh]:mm"))</f>
        <v>#VALUE!</v>
      </c>
      <c r="AX68" s="172" t="str">
        <f>IFERROR(VLOOKUP(T_BilanSocial[[#This Row],[NumL]],T_TraitDi[#Data],COLUMN(T_TraitDi[[#This Row],[Colonne17]]),FALSE),"")</f>
        <v/>
      </c>
      <c r="AY68" s="172" t="e">
        <f>IF(VLOOKUP(T_BilanSocial[[#This Row],[NumL]],T_TraitDi[#Data],COLUMN(T_TraitDi[[#This Row],[Colonne18]]),FALSE)=0,"",TEXT(IFERROR(VLOOKUP(T_BilanSocial[[#This Row],[NumL]],T_TraitDi[#Data],COLUMN(T_TraitDi[[#This Row],[Colonne18]]),FALSE),""),"[hh]:mm"))</f>
        <v>#VALUE!</v>
      </c>
      <c r="AZ68" s="172" t="e">
        <f>IF(VLOOKUP(T_BilanSocial[[#This Row],[NumL]],T_TraitDi[#Data],COLUMN(T_TraitDi[[#This Row],[Colonne19]]),FALSE)=0,"",TEXT(IFERROR(VLOOKUP(T_BilanSocial[[#This Row],[NumL]],T_TraitDi[#Data],COLUMN(T_TraitDi[[#This Row],[Colonne19]]),FALSE),""),"[hh]:mm"))</f>
        <v>#VALUE!</v>
      </c>
      <c r="BA68" s="172" t="e">
        <f>IF(VLOOKUP(T_BilanSocial[[#This Row],[NumL]],T_TraitDi[#Data],COLUMN(T_TraitDi[[#This Row],[Colonne20]]),FALSE)=0,"",TEXT(IFERROR(VLOOKUP(T_BilanSocial[[#This Row],[NumL]],T_TraitDi[#Data],COLUMN(T_TraitDi[[#This Row],[Colonne20]]),FALSE),""),"[hh]:mm"))</f>
        <v>#VALUE!</v>
      </c>
      <c r="BB68" s="178" t="str">
        <f>IFERROR(VLOOKUP(T_BilanSocial[[#This Row],[NumL]],T_TraitDi[#Data],COLUMN(T_TraitDi[[#This Row],[Jeudi]]),FALSE),"")</f>
        <v/>
      </c>
      <c r="BC68" s="178" t="e">
        <f>IF(VLOOKUP(T_BilanSocial[[#This Row],[NumL]],T_TraitDi[#Data],COLUMN(T_TraitDi[[#This Row],[Colonne21]]),FALSE)=0,"",TEXT(IFERROR(VLOOKUP(T_BilanSocial[[#This Row],[NumL]],T_TraitDi[#Data],COLUMN(T_TraitDi[[#This Row],[Colonne21]]),FALSE),""),"[hh]:mm"))</f>
        <v>#VALUE!</v>
      </c>
      <c r="BD68" s="178" t="e">
        <f>IF(VLOOKUP(T_BilanSocial[[#This Row],[NumL]],T_TraitDi[#Data],COLUMN(T_TraitDi[[#This Row],[Colonne22]]),FALSE)=0,"",TEXT(IFERROR(VLOOKUP(T_BilanSocial[[#This Row],[NumL]],T_TraitDi[#Data],COLUMN(T_TraitDi[[#This Row],[Colonne22]]),FALSE),""),"[hh]:mm"))</f>
        <v>#VALUE!</v>
      </c>
      <c r="BE68" s="178" t="str">
        <f>IFERROR(VLOOKUP(T_BilanSocial[[#This Row],[NumL]],T_TraitDi[#Data],COLUMN(T_TraitDi[[#This Row],[Colonne23]]),FALSE),"")</f>
        <v/>
      </c>
      <c r="BF68" s="178" t="e">
        <f>IF(VLOOKUP(T_BilanSocial[[#This Row],[NumL]],T_TraitDi[#Data],COLUMN(T_TraitDi[[#This Row],[Colonne24]]),FALSE)=0,"",TEXT(IFERROR(VLOOKUP(T_BilanSocial[[#This Row],[NumL]],T_TraitDi[#Data],COLUMN(T_TraitDi[[#This Row],[Colonne24]]),FALSE),""),"[hh]:mm"))</f>
        <v>#VALUE!</v>
      </c>
      <c r="BG68" s="178" t="e">
        <f>IF(VLOOKUP(T_BilanSocial[[#This Row],[NumL]],T_TraitDi[#Data],COLUMN(T_TraitDi[[#This Row],[Colonne25]]),FALSE)=0,"",TEXT(IFERROR(VLOOKUP(T_BilanSocial[[#This Row],[NumL]],T_TraitDi[#Data],COLUMN(T_TraitDi[[#This Row],[Colonne25]]),FALSE),""),"[hh]:mm"))</f>
        <v>#VALUE!</v>
      </c>
      <c r="BH68" s="178" t="e">
        <f>IF(VLOOKUP(T_BilanSocial[[#This Row],[NumL]],T_TraitDi[#Data],COLUMN(T_TraitDi[[#This Row],[Colonne26]]),FALSE)=0,"",TEXT(IFERROR(VLOOKUP(T_BilanSocial[[#This Row],[NumL]],T_TraitDi[#Data],COLUMN(T_TraitDi[[#This Row],[Colonne26]]),FALSE),""),"[hh]:mm"))</f>
        <v>#VALUE!</v>
      </c>
      <c r="BI68" s="172" t="str">
        <f>IFERROR(VLOOKUP(T_BilanSocial[[#This Row],[NumL]],T_TraitDi[#Data],COLUMN(T_TraitDi[[#This Row],[Vendredi]]),FALSE),"")</f>
        <v/>
      </c>
      <c r="BJ68" s="172" t="e">
        <f>IF(VLOOKUP(T_BilanSocial[[#This Row],[NumL]],T_TraitDi[#Data],COLUMN(T_TraitDi[[#This Row],[Colonne27]]),FALSE)=0,"",TEXT(IFERROR(VLOOKUP(T_BilanSocial[[#This Row],[NumL]],T_TraitDi[#Data],COLUMN(T_TraitDi[[#This Row],[Colonne27]]),FALSE),""),"[hh]:mm"))</f>
        <v>#VALUE!</v>
      </c>
      <c r="BK68" s="172" t="e">
        <f>IF(VLOOKUP(T_BilanSocial[[#This Row],[NumL]],T_TraitDi[#Data],COLUMN(T_TraitDi[[#This Row],[Colonne28]]),FALSE)=0,"",TEXT(IFERROR(VLOOKUP(T_BilanSocial[[#This Row],[NumL]],T_TraitDi[#Data],COLUMN(T_TraitDi[[#This Row],[Colonne28]]),FALSE),""),"[hh]:mm"))</f>
        <v>#VALUE!</v>
      </c>
      <c r="BL68" s="172" t="str">
        <f>IFERROR(VLOOKUP(T_BilanSocial[[#This Row],[NumL]],T_TraitDi[#Data],COLUMN(T_TraitDi[[#This Row],[Colonne29]]),FALSE),"")</f>
        <v/>
      </c>
      <c r="BM68" s="172" t="e">
        <f>IF(VLOOKUP(T_BilanSocial[[#This Row],[NumL]],T_TraitDi[#Data],COLUMN(T_TraitDi[[#This Row],[Colonne30]]),FALSE)=0,"",TEXT(IFERROR(VLOOKUP(T_BilanSocial[[#This Row],[NumL]],T_TraitDi[#Data],COLUMN(T_TraitDi[[#This Row],[Colonne30]]),FALSE),""),"[hh]:mm"))</f>
        <v>#VALUE!</v>
      </c>
      <c r="BN68" s="172" t="e">
        <f>IF(VLOOKUP(T_BilanSocial[[#This Row],[NumL]],T_TraitDi[#Data],COLUMN(T_TraitDi[[#This Row],[Colonne31]]),FALSE)=0,"",TEXT(IFERROR(VLOOKUP(T_BilanSocial[[#This Row],[NumL]],T_TraitDi[#Data],COLUMN(T_TraitDi[[#This Row],[Colonne31]]),FALSE),""),"[hh]:mm"))</f>
        <v>#VALUE!</v>
      </c>
      <c r="BO68" s="172" t="e">
        <f>IF(VLOOKUP(T_BilanSocial[[#This Row],[NumL]],T_TraitDi[#Data],COLUMN(T_TraitDi[[#This Row],[Colonne32]]),FALSE)=0,"",TEXT(IFERROR(VLOOKUP(T_BilanSocial[[#This Row],[NumL]],T_TraitDi[#Data],COLUMN(T_TraitDi[[#This Row],[Colonne32]]),FALSE),""),"[hh]:mm"))</f>
        <v>#VALUE!</v>
      </c>
      <c r="BP68" s="172" t="e">
        <f>VLOOKUP(T_BilanSocial[[#This Row],[NumL]],T_TraitDi[#Data],COLUMN(T_TraitDi[NbJTot]),FALSE)</f>
        <v>#N/A</v>
      </c>
      <c r="BQ68" s="174" t="str">
        <f>IFERROR(VLOOKUP(T_BilanSocial[[#This Row],[NumL]],T_TraitDi[#Data],COLUMN(T_TraitDi[[#This Row],[NbJTW]]),FALSE),"")</f>
        <v/>
      </c>
      <c r="BR68" s="174" t="e">
        <f>IF(VLOOKUP(T_BilanSocial[[#This Row],[NumL]],T_TraitDi[#Data],COLUMN(T_TraitDi[[#This Row],[NbhTW]]),FALSE)=0,"",TEXT(IFERROR(VLOOKUP(T_BilanSocial[[#This Row],[NumL]],T_TraitDi[#Data],COLUMN(T_TraitDi[[#This Row],[NbhTW]]),FALSE),""),"[hh]:mm"))</f>
        <v>#VALUE!</v>
      </c>
      <c r="BS68" s="174" t="e">
        <f>IF(VLOOKUP(T_BilanSocial[[#This Row],[NumL]],T_TraitDi[#Data],COLUMN(T_TraitDi[[#This Row],[Nbhheb]]),FALSE)=0,"",TEXT(IFERROR(VLOOKUP($A68,T_TraitDi[#Data],COLUMN(T_TraitDi[[#This Row],[Nbhheb]]),FALSE),""),"[hh]:mm"))</f>
        <v>#VALUE!</v>
      </c>
      <c r="BT68" s="182" t="str">
        <f>IFERROR(VLOOKUP(VLOOKUP($A68,T_TraitDi[#Data],COLUMN(T_TraitDi[[#This Row],[Type1]]),FALSE),TypeTW,2,FALSE),"")</f>
        <v/>
      </c>
      <c r="BU68" s="182" t="str">
        <f>IFERROR(VLOOKUP($A68,T_TraitDi[#Data],COLUMN(T_TraitDi[[#This Row],[Rue1]]),FALSE),"")</f>
        <v/>
      </c>
      <c r="BV68" s="173" t="str">
        <f>IFERROR(VLOOKUP($A68,T_TraitDi[#Data],COLUMN(T_TraitDi[[#This Row],[CP1]]),FALSE),"")</f>
        <v/>
      </c>
      <c r="BW68" s="173" t="str">
        <f>IFERROR(VLOOKUP($A68,T_TraitDi[#Data],COLUMN(T_TraitDi[[#This Row],[VILLE1]]),FALSE),"")</f>
        <v/>
      </c>
      <c r="BX68" s="182" t="str">
        <f>IFERROR(VLOOKUP(VLOOKUP($A68,T_TraitDi[#Data],COLUMN(T_TraitDi[[#This Row],[Type2]]),FALSE),TypeTW,2,FALSE),"")</f>
        <v/>
      </c>
      <c r="BY68" s="182" t="str">
        <f>IFERROR(VLOOKUP($A68,T_TraitDi[#Data],COLUMN(T_TraitDi[[#This Row],[Rue2]]),FALSE),"")</f>
        <v/>
      </c>
      <c r="BZ68" s="173" t="str">
        <f>IFERROR(VLOOKUP($A68,T_TraitDi[#Data],COLUMN(T_TraitDi[[#This Row],[CP2]]),FALSE),"")</f>
        <v/>
      </c>
      <c r="CA68" s="173" t="str">
        <f>IFERROR(VLOOKUP($A68,T_TraitDi[#Data],COLUMN(T_TraitDi[[#This Row],[VILLE2]]),FALSE),"")</f>
        <v/>
      </c>
      <c r="CB68" s="182" t="str">
        <f>IF(VLOOKUP(T_BilanSocial[[#This Row],[NumL]],T_Equipement[#Data],COLUMN(T_Equipement[[#This Row],[PC]]),FALSE)="","Aucun équipement spécifique directement lié au télétravail",VLOOKUP(T_BilanSocial[[#This Row],[NumL]],T_Equipement[#Data],COLUMN(T_Equipement[[#This Row],[PC]]),FALSE))</f>
        <v xml:space="preserve">19-596	</v>
      </c>
      <c r="CC68" s="166" t="str">
        <f>IFERROR(IF(VLOOKUP(T_BilanSocial[[#This Row],[NumL]],T_TraitDi[#Data],COLUMN(T_TraitDi[[#This Row],[Plan]]),FALSE)="OK","Un planning spécifique de télétravail est annexé à la présente convention.",""),"")</f>
        <v/>
      </c>
      <c r="CD68" s="258" t="s">
        <v>3334</v>
      </c>
      <c r="CE68" s="164" t="e">
        <f>IF(VLOOKUP(T_BilanSocial[[#This Row],[NumL]],T_suiviDi[#Data],COLUMN(T_suiviDi[[#This Row],[Entité]]),FALSE)="","",VLOOKUP(T_BilanSocial[[#This Row],[NumL]],T_suiviDi[#Data],COLUMN(T_suiviDi[[#This Row],[Entité]]),FALSE))</f>
        <v>#VALUE!</v>
      </c>
      <c r="CF68" s="164" t="str">
        <f>IF(VLOOKUP(T_BilanSocial[[#This Row],[NumL]],T_Commission[#Data],COLUMN(T_Commission[[#This Row],[envoi confirm TW]]),FALSE)="","",VLOOKUP(T_BilanSocial[[#This Row],[NumL]],T_Commission[#Data],COLUMN(T_Commission[[#This Row],[envoi confirm TW]]),FALSE))</f>
        <v>Oui</v>
      </c>
      <c r="CG6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8" s="262" t="str">
        <f>T_BilanSocial[[#This Row],[Nom]]&amp;T_BilanSocial[[#This Row],[Prenom]]</f>
        <v/>
      </c>
      <c r="CI68" s="262">
        <f>VLOOKUP(T_BilanSocial[[#This Row],[NumL]],T_Commission[#Data],COLUMN(T_Commission[Commentaire]),FALSE)</f>
        <v>0</v>
      </c>
      <c r="CJ68" s="262" t="str">
        <f>IF(VLOOKUP(T_BilanSocial[[#This Row],[NumL]],T_Commission[#Data],COLUMN(T_Commission[Encadrant Email]),FALSE)="","",VLOOKUP(T_BilanSocial[[#This Row],[NumL]],T_Commission[#Data],COLUMN(T_Commission[Encadrant Email]),FALSE))</f>
        <v/>
      </c>
      <c r="CK68" s="340" t="str">
        <f>IF(T_BilanSocial[[#This Row],[Final]]&lt;&gt;"",VLOOKUP(T_BilanSocial[[#This Row],[NumL]],T_suiviDi[#Data],COLUMN((T_suiviDi[Statut])),FALSE),"")</f>
        <v/>
      </c>
    </row>
    <row r="69" spans="1:89" s="106" customFormat="1" ht="24.75" customHeight="1" x14ac:dyDescent="0.25">
      <c r="A69" s="160">
        <v>66</v>
      </c>
      <c r="B69" s="161" t="str">
        <f t="shared" si="10"/>
        <v/>
      </c>
      <c r="C69" s="162" t="s">
        <v>142</v>
      </c>
      <c r="D69" s="95" t="e">
        <f>IF(VLOOKUP(T_BilanSocial[[#This Row],[NumL]],T_TraitDi[#Data],COLUMN(T_TraitDi[[#This Row],[WebC]]),FALSE)="","",VLOOKUP(T_BilanSocial[[#This Row],[NumL]],T_TraitDi[#Data],COLUMN(T_TraitDi[[#This Row],[WebC]]),FALSE))</f>
        <v>#VALUE!</v>
      </c>
      <c r="E69" s="163" t="str">
        <f t="shared" si="11"/>
        <v>12 janvier 2021</v>
      </c>
      <c r="F69" s="96" t="str">
        <f>IF(T_BilanSocial[[#This Row],[Final]]&lt;&gt;"",VLOOKUP(T_BilanSocial[[#This Row],[NumL]],T_suiviDi[#Data],COLUMN((T_suiviDi[Civ.])),FALSE),"")</f>
        <v/>
      </c>
      <c r="G69" s="96" t="str">
        <f>IF(T_BilanSocial[[#This Row],[Final]]&lt;&gt;"",VLOOKUP(T_BilanSocial[[#This Row],[NumL]],T_suiviDi[#Data],COLUMN((T_suiviDi[Nom])),FALSE),"")</f>
        <v/>
      </c>
      <c r="H69" s="96" t="str">
        <f>IF(T_BilanSocial[[#This Row],[Final]]&lt;&gt;"",VLOOKUP(T_BilanSocial[[#This Row],[NumL]],T_suiviDi[#Data],COLUMN((T_suiviDi[Prénom])),FALSE),"")</f>
        <v/>
      </c>
      <c r="I69" s="96" t="str">
        <f>IFERROR(VLOOKUP(T_BilanSocial[[#This Row],[Zone_Bilan]],T_P_BilanSocial[#Data],COLUMN(T_P_BilanSocial[[#This Row],[Numero_SIHAM]]),FALSE),"")</f>
        <v/>
      </c>
      <c r="J69" s="96" t="str">
        <f>IFERROR(VLOOKUP(T_BilanSocial[[#This Row],[Zone_Bilan]],T_P_BilanSocial[#Data],COLUMN(T_P_BilanSocial[[#This Row],[Sexe]]),FALSE),"")</f>
        <v/>
      </c>
      <c r="K69" s="97" t="str">
        <f>IFERROR(VLOOKUP(T_BilanSocial[[#This Row],[Zone_Bilan]],T_P_BilanSocial[#Data],COLUMN(T_P_BilanSocial[[#This Row],[Categorie]]),FALSE),"")</f>
        <v/>
      </c>
      <c r="L69" s="96" t="str">
        <f>IFERROR(VLOOKUP(T_BilanSocial[[#This Row],[Zone_Bilan]],T_P_BilanSocial[#Data],COLUMN(T_P_BilanSocial[[#This Row],[Statut]]),FALSE),"")</f>
        <v/>
      </c>
      <c r="M69" s="96" t="str">
        <f>IFERROR(VLOOKUP(T_BilanSocial[[#This Row],[Zone_Bilan]],T_P_BilanSocial[#Data],COLUMN(T_P_BilanSocial[[#This Row],[Filiere]]),FALSE),"")</f>
        <v/>
      </c>
      <c r="N69" s="96" t="e">
        <f>VLOOKUP(T_BilanSocial[[#This Row],[NumL]],T_TraitDi[#Data],COLUMN(T_TraitDi[EXP]),FALSE)</f>
        <v>#N/A</v>
      </c>
      <c r="O69" s="96" t="e">
        <f>VLOOKUP(T_BilanSocial[[#This Row],[NumL]],T_TraitDi[#Data],COLUMN(T_TraitDi[FORM]),FALSE)</f>
        <v>#N/A</v>
      </c>
      <c r="P69" s="96" t="str">
        <f>IF(T_BilanSocial[[#This Row],[Final]]&lt;&gt;"",VLOOKUP(T_BilanSocial[[#This Row],[NumL]],T_suiviDi[#Data],COLUMN((T_suiviDi[Email])),FALSE),"")</f>
        <v/>
      </c>
      <c r="Q69" s="164" t="e">
        <f t="shared" si="7"/>
        <v>#N/A</v>
      </c>
      <c r="R69" s="164" t="e">
        <f t="shared" si="8"/>
        <v>#N/A</v>
      </c>
      <c r="S69" s="164" t="e">
        <f>IF(VLOOKUP(T_BilanSocial[[#This Row],[NumL]],T_suiviDi[#Data],COLUMN(T_suiviDi[[#This Row],[Service ]]),FALSE)="","",VLOOKUP(T_BilanSocial[[#This Row],[NumL]],T_suiviDi[#Data],COLUMN(T_suiviDi[[#This Row],[Service ]]),FALSE))</f>
        <v>#VALUE!</v>
      </c>
      <c r="T69" s="164" t="str">
        <f t="shared" si="12"/>
        <v>01 septembre 2021</v>
      </c>
      <c r="U69" s="164" t="str">
        <f t="shared" si="13"/>
        <v>30 novembre 2021</v>
      </c>
      <c r="V69" s="164" t="str">
        <f t="shared" si="14"/>
        <v>30 novembre 2021</v>
      </c>
      <c r="W69" s="176" t="e">
        <f>IF(VLOOKUP(T_BilanSocial[[#This Row],[NumL]],T_TraitDi[#Data],COLUMN(T_TraitDi[[#This Row],[M1]]),FALSE)="","",VLOOKUP(T_BilanSocial[[#This Row],[NumL]],T_TraitDi[#Data],COLUMN(T_TraitDi[[#This Row],[M1]]),FALSE))</f>
        <v>#VALUE!</v>
      </c>
      <c r="X69" s="176" t="e">
        <f>IF(VLOOKUP(T_BilanSocial[[#This Row],[NumL]],T_TraitDi[#Data],COLUMN(T_TraitDi[[#This Row],[M2]]),FALSE)="","",VLOOKUP(T_BilanSocial[[#This Row],[NumL]],T_TraitDi[#Data],COLUMN(T_TraitDi[[#This Row],[M2]]),FALSE))</f>
        <v>#VALUE!</v>
      </c>
      <c r="Y69" s="176" t="e">
        <f>IF(VLOOKUP(T_BilanSocial[[#This Row],[NumL]],T_TraitDi[#Data],COLUMN(T_TraitDi[[#This Row],[M3]]),FALSE)="","",VLOOKUP(T_BilanSocial[[#This Row],[NumL]],T_TraitDi[#Data],COLUMN(T_TraitDi[[#This Row],[M3]]),FALSE))</f>
        <v>#VALUE!</v>
      </c>
      <c r="Z69" s="176" t="str">
        <f t="shared" ref="Z69:Z132" si="16">IFERROR(IF(VLOOKUP($A69,TraitementDI,Z$3,FALSE)="",""," -"&amp;VLOOKUP($A69,TraitementDI,Z$3,FALSE)),"")</f>
        <v/>
      </c>
      <c r="AA69" s="176" t="e">
        <f>IF(VLOOKUP(T_BilanSocial[[#This Row],[NumL]],T_TraitDi[#Data],COLUMN(T_TraitDi[[#This Row],[M5]]),FALSE)="","",VLOOKUP(T_BilanSocial[[#This Row],[NumL]],T_TraitDi[#Data],COLUMN(T_TraitDi[[#This Row],[M5]]),FALSE))</f>
        <v>#VALUE!</v>
      </c>
      <c r="AB69" s="176" t="e">
        <f>IF(VLOOKUP(T_BilanSocial[[#This Row],[NumL]],T_TraitDi[#Data],COLUMN(T_TraitDi[[#This Row],[M6]]),FALSE)="","",VLOOKUP(T_BilanSocial[[#This Row],[NumL]],T_TraitDi[#Data],COLUMN(T_TraitDi[[#This Row],[M6]]),FALSE))</f>
        <v>#VALUE!</v>
      </c>
      <c r="AC69" s="165" t="e">
        <f t="shared" si="15"/>
        <v>#VALUE!</v>
      </c>
      <c r="AD69" s="188" t="str">
        <f>IFERROR(TEXT(VLOOKUP(T_BilanSocial[[#This Row],[NumL]],T_TraitDi[#Data],COLUMN(T_TraitDi[[#This Row],[Q2]]),FALSE),"###%"),"")</f>
        <v/>
      </c>
      <c r="AE69" s="97" t="e">
        <f>VLOOKUP(T_BilanSocial[[#This Row],[NumL]],T_TraitDi[#Data],COLUMN(T_TraitDi[[#This Row],[Reg Ponct]]),FALSE)</f>
        <v>#VALUE!</v>
      </c>
      <c r="AF69" s="97" t="e">
        <f>VLOOKUP(T_BilanSocial[NumL],T_TraitDi[#Data],COLUMN(T_TraitDi[[#This Row],[Jours flottants]]),FALSE)</f>
        <v>#VALUE!</v>
      </c>
      <c r="AG69" s="97" t="str">
        <f>IFERROR(VLOOKUP(T_BilanSocial[[#This Row],[NumL]],T_TraitDi[#Data],COLUMN(T_TraitDi[[#This Row],[Lundi]]),FALSE),"")</f>
        <v/>
      </c>
      <c r="AH69" s="172" t="e">
        <f>IF(VLOOKUP(T_BilanSocial[[#This Row],[NumL]],T_TraitDi[#Data],COLUMN(T_TraitDi[[#This Row],[Colonne3]]),FALSE)=0,"",TEXT(IFERROR(VLOOKUP(T_BilanSocial[[#This Row],[NumL]],T_TraitDi[#Data],COLUMN(T_TraitDi[[#This Row],[Colonne3]]),FALSE),""),"[hh]:mm"))</f>
        <v>#VALUE!</v>
      </c>
      <c r="AI69" s="172" t="e">
        <f>IF(VLOOKUP(T_BilanSocial[[#This Row],[NumL]],T_TraitDi[#Data],COLUMN(T_TraitDi[[#This Row],[Colonne4]]),FALSE)=0,"",TEXT(IFERROR(VLOOKUP(T_BilanSocial[[#This Row],[NumL]],T_TraitDi[#Data],COLUMN(T_TraitDi[[#This Row],[Colonne4]]),FALSE),""),"[hh]:mm"))</f>
        <v>#VALUE!</v>
      </c>
      <c r="AJ69" s="172" t="e">
        <f>IF(VLOOKUP(T_BilanSocial[[#This Row],[NumL]],T_TraitDi[#Data],COLUMN(T_TraitDi[[#This Row],[Colonne5]]),FALSE)=0,"",TEXT(IFERROR(VLOOKUP(T_BilanSocial[[#This Row],[NumL]],T_TraitDi[#Data],COLUMN(T_TraitDi[[#This Row],[Colonne5]]),FALSE),""),"[hh]:mm"))</f>
        <v>#VALUE!</v>
      </c>
      <c r="AK69" s="172" t="e">
        <f>IF(VLOOKUP(T_BilanSocial[[#This Row],[NumL]],T_TraitDi[#Data],COLUMN(T_TraitDi[[#This Row],[Colonne6]]),FALSE)=0,"",TEXT(IFERROR(VLOOKUP(T_BilanSocial[[#This Row],[NumL]],T_TraitDi[#Data],COLUMN(T_TraitDi[[#This Row],[Colonne6]]),FALSE),""),"[hh]:mm"))</f>
        <v>#VALUE!</v>
      </c>
      <c r="AL69" s="172" t="e">
        <f>IF(VLOOKUP(T_BilanSocial[[#This Row],[NumL]],T_TraitDi[#Data],COLUMN(T_TraitDi[[#This Row],[Colonne7]]),FALSE)=0,"",TEXT(IFERROR(VLOOKUP(T_BilanSocial[[#This Row],[NumL]],T_TraitDi[#Data],COLUMN(T_TraitDi[[#This Row],[Colonne7]]),FALSE),""),"[hh]:mm"))</f>
        <v>#VALUE!</v>
      </c>
      <c r="AM69" s="172" t="e">
        <f>IF(VLOOKUP(T_BilanSocial[[#This Row],[NumL]],T_TraitDi[#Data],COLUMN(T_TraitDi[[#This Row],[Colonne8]]),FALSE)=0,"",TEXT(IFERROR(VLOOKUP(T_BilanSocial[[#This Row],[NumL]],T_TraitDi[#Data],COLUMN(T_TraitDi[[#This Row],[Colonne8]]),FALSE),""),"[hh]:mm"))</f>
        <v>#VALUE!</v>
      </c>
      <c r="AN69" s="172" t="str">
        <f>IFERROR(VLOOKUP(T_BilanSocial[[#This Row],[NumL]],T_TraitDi[#Data],COLUMN(T_TraitDi[[#This Row],[Mardi]]),FALSE),"")</f>
        <v/>
      </c>
      <c r="AO69" s="172" t="e">
        <f>IF(VLOOKUP(T_BilanSocial[[#This Row],[NumL]],T_TraitDi[#Data],COLUMN(T_TraitDi[[#This Row],[Colonne1]]),FALSE)=0,"",TEXT(IFERROR(VLOOKUP(T_BilanSocial[[#This Row],[NumL]],T_TraitDi[#Data],COLUMN(T_TraitDi[[#This Row],[Colonne1]]),FALSE),""),"[hh]:mm"))</f>
        <v>#VALUE!</v>
      </c>
      <c r="AP69" s="172" t="e">
        <f>IF(VLOOKUP(T_BilanSocial[[#This Row],[NumL]],T_TraitDi[#Data],COLUMN(T_TraitDi[[#This Row],[Colonne9]]),FALSE)=0,"",TEXT(IFERROR(VLOOKUP(T_BilanSocial[[#This Row],[NumL]],T_TraitDi[#Data],COLUMN(T_TraitDi[[#This Row],[Colonne9]]),FALSE),""),"[hh]:mm"))</f>
        <v>#VALUE!</v>
      </c>
      <c r="AQ69" s="172" t="str">
        <f>IFERROR(VLOOKUP(T_BilanSocial[[#This Row],[NumL]],T_TraitDi[#Data],COLUMN(T_TraitDi[[#This Row],[Colonne10]]),FALSE),"")</f>
        <v/>
      </c>
      <c r="AR69" s="172" t="e">
        <f>IF(VLOOKUP(T_BilanSocial[[#This Row],[NumL]],T_TraitDi[#Data],COLUMN(T_TraitDi[[#This Row],[Colonne11]]),FALSE)=0,"",TEXT(IFERROR(VLOOKUP(T_BilanSocial[[#This Row],[NumL]],T_TraitDi[#Data],COLUMN(T_TraitDi[[#This Row],[Colonne11]]),FALSE),""),"[hh]:mm"))</f>
        <v>#VALUE!</v>
      </c>
      <c r="AS69" s="172" t="e">
        <f>IF(VLOOKUP(T_BilanSocial[[#This Row],[NumL]],T_TraitDi[#Data],COLUMN(T_TraitDi[[#This Row],[Colonne12]]),FALSE)=0,"",TEXT(IFERROR(VLOOKUP(T_BilanSocial[[#This Row],[NumL]],T_TraitDi[#Data],COLUMN(T_TraitDi[[#This Row],[Colonne12]]),FALSE),""),"[hh]:mm"))</f>
        <v>#VALUE!</v>
      </c>
      <c r="AT69" s="172" t="e">
        <f>IF(VLOOKUP(T_BilanSocial[[#This Row],[NumL]],T_TraitDi[#Data],COLUMN(T_TraitDi[[#This Row],[Colonne14]]),FALSE)=0,"",TEXT(IFERROR(VLOOKUP(T_BilanSocial[[#This Row],[NumL]],T_TraitDi[#Data],COLUMN(T_TraitDi[[#This Row],[Colonne14]]),FALSE),""),"[hh]:mm"))</f>
        <v>#VALUE!</v>
      </c>
      <c r="AU69" s="172" t="str">
        <f>IFERROR(VLOOKUP(T_BilanSocial[[#This Row],[NumL]],T_TraitDi[#Data],COLUMN(T_TraitDi[[#This Row],[Mercredi]]),FALSE),"")</f>
        <v/>
      </c>
      <c r="AV69" s="172" t="e">
        <f>IF(VLOOKUP(T_BilanSocial[[#This Row],[NumL]],T_TraitDi[#Data],COLUMN(T_TraitDi[[#This Row],[Colonne15]]),FALSE)=0,"",TEXT(IFERROR(VLOOKUP(T_BilanSocial[[#This Row],[NumL]],T_TraitDi[#Data],COLUMN(T_TraitDi[[#This Row],[Colonne15]]),FALSE),""),"[hh]:mm"))</f>
        <v>#VALUE!</v>
      </c>
      <c r="AW69" s="172" t="e">
        <f>IF(VLOOKUP(T_BilanSocial[[#This Row],[NumL]],T_TraitDi[#Data],COLUMN(T_TraitDi[[#This Row],[Colonne16]]),FALSE)=0,"",TEXT(IFERROR(VLOOKUP(T_BilanSocial[[#This Row],[NumL]],T_TraitDi[#Data],COLUMN(T_TraitDi[[#This Row],[Colonne16]]),FALSE),""),"[hh]:mm"))</f>
        <v>#VALUE!</v>
      </c>
      <c r="AX69" s="172" t="str">
        <f>IFERROR(VLOOKUP(T_BilanSocial[[#This Row],[NumL]],T_TraitDi[#Data],COLUMN(T_TraitDi[[#This Row],[Colonne17]]),FALSE),"")</f>
        <v/>
      </c>
      <c r="AY69" s="172" t="e">
        <f>IF(VLOOKUP(T_BilanSocial[[#This Row],[NumL]],T_TraitDi[#Data],COLUMN(T_TraitDi[[#This Row],[Colonne18]]),FALSE)=0,"",TEXT(IFERROR(VLOOKUP(T_BilanSocial[[#This Row],[NumL]],T_TraitDi[#Data],COLUMN(T_TraitDi[[#This Row],[Colonne18]]),FALSE),""),"[hh]:mm"))</f>
        <v>#VALUE!</v>
      </c>
      <c r="AZ69" s="172" t="e">
        <f>IF(VLOOKUP(T_BilanSocial[[#This Row],[NumL]],T_TraitDi[#Data],COLUMN(T_TraitDi[[#This Row],[Colonne19]]),FALSE)=0,"",TEXT(IFERROR(VLOOKUP(T_BilanSocial[[#This Row],[NumL]],T_TraitDi[#Data],COLUMN(T_TraitDi[[#This Row],[Colonne19]]),FALSE),""),"[hh]:mm"))</f>
        <v>#VALUE!</v>
      </c>
      <c r="BA69" s="172" t="e">
        <f>IF(VLOOKUP(T_BilanSocial[[#This Row],[NumL]],T_TraitDi[#Data],COLUMN(T_TraitDi[[#This Row],[Colonne20]]),FALSE)=0,"",TEXT(IFERROR(VLOOKUP(T_BilanSocial[[#This Row],[NumL]],T_TraitDi[#Data],COLUMN(T_TraitDi[[#This Row],[Colonne20]]),FALSE),""),"[hh]:mm"))</f>
        <v>#VALUE!</v>
      </c>
      <c r="BB69" s="178" t="str">
        <f>IFERROR(VLOOKUP(T_BilanSocial[[#This Row],[NumL]],T_TraitDi[#Data],COLUMN(T_TraitDi[[#This Row],[Jeudi]]),FALSE),"")</f>
        <v/>
      </c>
      <c r="BC69" s="178" t="e">
        <f>IF(VLOOKUP(T_BilanSocial[[#This Row],[NumL]],T_TraitDi[#Data],COLUMN(T_TraitDi[[#This Row],[Colonne21]]),FALSE)=0,"",TEXT(IFERROR(VLOOKUP(T_BilanSocial[[#This Row],[NumL]],T_TraitDi[#Data],COLUMN(T_TraitDi[[#This Row],[Colonne21]]),FALSE),""),"[hh]:mm"))</f>
        <v>#VALUE!</v>
      </c>
      <c r="BD69" s="178" t="e">
        <f>IF(VLOOKUP(T_BilanSocial[[#This Row],[NumL]],T_TraitDi[#Data],COLUMN(T_TraitDi[[#This Row],[Colonne22]]),FALSE)=0,"",TEXT(IFERROR(VLOOKUP(T_BilanSocial[[#This Row],[NumL]],T_TraitDi[#Data],COLUMN(T_TraitDi[[#This Row],[Colonne22]]),FALSE),""),"[hh]:mm"))</f>
        <v>#VALUE!</v>
      </c>
      <c r="BE69" s="178" t="str">
        <f>IFERROR(VLOOKUP(T_BilanSocial[[#This Row],[NumL]],T_TraitDi[#Data],COLUMN(T_TraitDi[[#This Row],[Colonne23]]),FALSE),"")</f>
        <v/>
      </c>
      <c r="BF69" s="178" t="e">
        <f>IF(VLOOKUP(T_BilanSocial[[#This Row],[NumL]],T_TraitDi[#Data],COLUMN(T_TraitDi[[#This Row],[Colonne24]]),FALSE)=0,"",TEXT(IFERROR(VLOOKUP(T_BilanSocial[[#This Row],[NumL]],T_TraitDi[#Data],COLUMN(T_TraitDi[[#This Row],[Colonne24]]),FALSE),""),"[hh]:mm"))</f>
        <v>#VALUE!</v>
      </c>
      <c r="BG69" s="178" t="e">
        <f>IF(VLOOKUP(T_BilanSocial[[#This Row],[NumL]],T_TraitDi[#Data],COLUMN(T_TraitDi[[#This Row],[Colonne25]]),FALSE)=0,"",TEXT(IFERROR(VLOOKUP(T_BilanSocial[[#This Row],[NumL]],T_TraitDi[#Data],COLUMN(T_TraitDi[[#This Row],[Colonne25]]),FALSE),""),"[hh]:mm"))</f>
        <v>#VALUE!</v>
      </c>
      <c r="BH69" s="178" t="e">
        <f>IF(VLOOKUP(T_BilanSocial[[#This Row],[NumL]],T_TraitDi[#Data],COLUMN(T_TraitDi[[#This Row],[Colonne26]]),FALSE)=0,"",TEXT(IFERROR(VLOOKUP(T_BilanSocial[[#This Row],[NumL]],T_TraitDi[#Data],COLUMN(T_TraitDi[[#This Row],[Colonne26]]),FALSE),""),"[hh]:mm"))</f>
        <v>#VALUE!</v>
      </c>
      <c r="BI69" s="172" t="str">
        <f>IFERROR(VLOOKUP(T_BilanSocial[[#This Row],[NumL]],T_TraitDi[#Data],COLUMN(T_TraitDi[[#This Row],[Vendredi]]),FALSE),"")</f>
        <v/>
      </c>
      <c r="BJ69" s="172" t="e">
        <f>IF(VLOOKUP(T_BilanSocial[[#This Row],[NumL]],T_TraitDi[#Data],COLUMN(T_TraitDi[[#This Row],[Colonne27]]),FALSE)=0,"",TEXT(IFERROR(VLOOKUP(T_BilanSocial[[#This Row],[NumL]],T_TraitDi[#Data],COLUMN(T_TraitDi[[#This Row],[Colonne27]]),FALSE),""),"[hh]:mm"))</f>
        <v>#VALUE!</v>
      </c>
      <c r="BK69" s="172" t="e">
        <f>IF(VLOOKUP(T_BilanSocial[[#This Row],[NumL]],T_TraitDi[#Data],COLUMN(T_TraitDi[[#This Row],[Colonne28]]),FALSE)=0,"",TEXT(IFERROR(VLOOKUP(T_BilanSocial[[#This Row],[NumL]],T_TraitDi[#Data],COLUMN(T_TraitDi[[#This Row],[Colonne28]]),FALSE),""),"[hh]:mm"))</f>
        <v>#VALUE!</v>
      </c>
      <c r="BL69" s="172" t="str">
        <f>IFERROR(VLOOKUP(T_BilanSocial[[#This Row],[NumL]],T_TraitDi[#Data],COLUMN(T_TraitDi[[#This Row],[Colonne29]]),FALSE),"")</f>
        <v/>
      </c>
      <c r="BM69" s="172" t="e">
        <f>IF(VLOOKUP(T_BilanSocial[[#This Row],[NumL]],T_TraitDi[#Data],COLUMN(T_TraitDi[[#This Row],[Colonne30]]),FALSE)=0,"",TEXT(IFERROR(VLOOKUP(T_BilanSocial[[#This Row],[NumL]],T_TraitDi[#Data],COLUMN(T_TraitDi[[#This Row],[Colonne30]]),FALSE),""),"[hh]:mm"))</f>
        <v>#VALUE!</v>
      </c>
      <c r="BN69" s="172" t="e">
        <f>IF(VLOOKUP(T_BilanSocial[[#This Row],[NumL]],T_TraitDi[#Data],COLUMN(T_TraitDi[[#This Row],[Colonne31]]),FALSE)=0,"",TEXT(IFERROR(VLOOKUP(T_BilanSocial[[#This Row],[NumL]],T_TraitDi[#Data],COLUMN(T_TraitDi[[#This Row],[Colonne31]]),FALSE),""),"[hh]:mm"))</f>
        <v>#VALUE!</v>
      </c>
      <c r="BO69" s="172" t="e">
        <f>IF(VLOOKUP(T_BilanSocial[[#This Row],[NumL]],T_TraitDi[#Data],COLUMN(T_TraitDi[[#This Row],[Colonne32]]),FALSE)=0,"",TEXT(IFERROR(VLOOKUP(T_BilanSocial[[#This Row],[NumL]],T_TraitDi[#Data],COLUMN(T_TraitDi[[#This Row],[Colonne32]]),FALSE),""),"[hh]:mm"))</f>
        <v>#VALUE!</v>
      </c>
      <c r="BP69" s="172" t="e">
        <f>VLOOKUP(T_BilanSocial[[#This Row],[NumL]],T_TraitDi[#Data],COLUMN(T_TraitDi[NbJTot]),FALSE)</f>
        <v>#N/A</v>
      </c>
      <c r="BQ69" s="174" t="str">
        <f>IFERROR(VLOOKUP(T_BilanSocial[[#This Row],[NumL]],T_TraitDi[#Data],COLUMN(T_TraitDi[[#This Row],[NbJTW]]),FALSE),"")</f>
        <v/>
      </c>
      <c r="BR69" s="174" t="e">
        <f>IF(VLOOKUP(T_BilanSocial[[#This Row],[NumL]],T_TraitDi[#Data],COLUMN(T_TraitDi[[#This Row],[NbhTW]]),FALSE)=0,"",TEXT(IFERROR(VLOOKUP(T_BilanSocial[[#This Row],[NumL]],T_TraitDi[#Data],COLUMN(T_TraitDi[[#This Row],[NbhTW]]),FALSE),""),"[hh]:mm"))</f>
        <v>#VALUE!</v>
      </c>
      <c r="BS69" s="174" t="e">
        <f>IF(VLOOKUP(T_BilanSocial[[#This Row],[NumL]],T_TraitDi[#Data],COLUMN(T_TraitDi[[#This Row],[Nbhheb]]),FALSE)=0,"",TEXT(IFERROR(VLOOKUP($A69,T_TraitDi[#Data],COLUMN(T_TraitDi[[#This Row],[Nbhheb]]),FALSE),""),"[hh]:mm"))</f>
        <v>#VALUE!</v>
      </c>
      <c r="BT69" s="268" t="str">
        <f>IFERROR(VLOOKUP(VLOOKUP($A69,T_TraitDi[#Data],COLUMN(T_TraitDi[[#This Row],[Type1]]),FALSE),TypeTW,2,FALSE),"")</f>
        <v/>
      </c>
      <c r="BU69" s="182" t="str">
        <f>IFERROR(VLOOKUP($A69,T_TraitDi[#Data],COLUMN(T_TraitDi[[#This Row],[Rue1]]),FALSE),"")</f>
        <v/>
      </c>
      <c r="BV69" s="173" t="str">
        <f>IFERROR(VLOOKUP($A69,T_TraitDi[#Data],COLUMN(T_TraitDi[[#This Row],[CP1]]),FALSE),"")</f>
        <v/>
      </c>
      <c r="BW69" s="173" t="str">
        <f>IFERROR(VLOOKUP($A69,T_TraitDi[#Data],COLUMN(T_TraitDi[[#This Row],[VILLE1]]),FALSE),"")</f>
        <v/>
      </c>
      <c r="BX69" s="182" t="str">
        <f>IFERROR(VLOOKUP(VLOOKUP($A69,T_TraitDi[#Data],COLUMN(T_TraitDi[[#This Row],[Type2]]),FALSE),TypeTW,2,FALSE),"")</f>
        <v/>
      </c>
      <c r="BY69" s="182" t="str">
        <f>IFERROR(VLOOKUP($A69,T_TraitDi[#Data],COLUMN(T_TraitDi[[#This Row],[Rue2]]),FALSE),"")</f>
        <v/>
      </c>
      <c r="BZ69" s="173" t="str">
        <f>IFERROR(VLOOKUP($A69,T_TraitDi[#Data],COLUMN(T_TraitDi[[#This Row],[CP2]]),FALSE),"")</f>
        <v/>
      </c>
      <c r="CA69" s="173" t="str">
        <f>IFERROR(VLOOKUP($A69,T_TraitDi[#Data],COLUMN(T_TraitDi[[#This Row],[VILLE2]]),FALSE),"")</f>
        <v/>
      </c>
      <c r="CB69" s="182" t="str">
        <f>IF(VLOOKUP(T_BilanSocial[[#This Row],[NumL]],T_Equipement[#Data],COLUMN(T_Equipement[[#This Row],[PC]]),FALSE)="","Aucun équipement spécifique directement lié au télétravail",VLOOKUP(T_BilanSocial[[#This Row],[NumL]],T_Equipement[#Data],COLUMN(T_Equipement[[#This Row],[PC]]),FALSE))</f>
        <v xml:space="preserve">17-026	</v>
      </c>
      <c r="CC69" s="166" t="str">
        <f>IFERROR(IF(VLOOKUP(T_BilanSocial[[#This Row],[NumL]],T_TraitDi[#Data],COLUMN(T_TraitDi[[#This Row],[Plan]]),FALSE)="OK","Un planning spécifique de télétravail est annexé à la présente convention.",""),"")</f>
        <v/>
      </c>
      <c r="CD69" s="185"/>
      <c r="CE69" s="164" t="e">
        <f>IF(VLOOKUP(T_BilanSocial[[#This Row],[NumL]],T_suiviDi[#Data],COLUMN(T_suiviDi[[#This Row],[Entité]]),FALSE)="","",VLOOKUP(T_BilanSocial[[#This Row],[NumL]],T_suiviDi[#Data],COLUMN(T_suiviDi[[#This Row],[Entité]]),FALSE))</f>
        <v>#VALUE!</v>
      </c>
      <c r="CF69" s="164" t="str">
        <f>IF(VLOOKUP(T_BilanSocial[[#This Row],[NumL]],T_Commission[#Data],COLUMN(T_Commission[[#This Row],[envoi confirm TW]]),FALSE)="","",VLOOKUP(T_BilanSocial[[#This Row],[NumL]],T_Commission[#Data],COLUMN(T_Commission[[#This Row],[envoi confirm TW]]),FALSE))</f>
        <v>Non</v>
      </c>
      <c r="CG6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69" s="262" t="str">
        <f>T_BilanSocial[[#This Row],[Nom]]&amp;T_BilanSocial[[#This Row],[Prenom]]</f>
        <v/>
      </c>
      <c r="CI69" s="262" t="str">
        <f>VLOOKUP(T_BilanSocial[[#This Row],[NumL]],T_Commission[#Data],COLUMN(T_Commission[Commentaire]),FALSE)</f>
        <v>La demande de télétravail est accordée sous réserve de fourniture des pièces demandées.</v>
      </c>
      <c r="CJ69" s="262" t="str">
        <f>IF(VLOOKUP(T_BilanSocial[[#This Row],[NumL]],T_Commission[#Data],COLUMN(T_Commission[Encadrant Email]),FALSE)="","",VLOOKUP(T_BilanSocial[[#This Row],[NumL]],T_Commission[#Data],COLUMN(T_Commission[Encadrant Email]),FALSE))</f>
        <v/>
      </c>
      <c r="CK69" s="340" t="str">
        <f>IF(T_BilanSocial[[#This Row],[Final]]&lt;&gt;"",VLOOKUP(T_BilanSocial[[#This Row],[NumL]],T_suiviDi[#Data],COLUMN((T_suiviDi[Statut])),FALSE),"")</f>
        <v/>
      </c>
    </row>
    <row r="70" spans="1:89" s="106" customFormat="1" ht="24.75" customHeight="1" x14ac:dyDescent="0.25">
      <c r="A70" s="160">
        <v>67</v>
      </c>
      <c r="B70" s="161" t="str">
        <f t="shared" si="10"/>
        <v/>
      </c>
      <c r="C70" s="162" t="s">
        <v>173</v>
      </c>
      <c r="D70" s="95" t="e">
        <f>IF(VLOOKUP(T_BilanSocial[[#This Row],[NumL]],T_TraitDi[#Data],COLUMN(T_TraitDi[[#This Row],[WebC]]),FALSE)="","",VLOOKUP(T_BilanSocial[[#This Row],[NumL]],T_TraitDi[#Data],COLUMN(T_TraitDi[[#This Row],[WebC]]),FALSE))</f>
        <v>#VALUE!</v>
      </c>
      <c r="E70" s="163" t="str">
        <f t="shared" si="11"/>
        <v>12 janvier 2021</v>
      </c>
      <c r="F70" s="96" t="str">
        <f>IF(T_BilanSocial[[#This Row],[Final]]&lt;&gt;"",VLOOKUP(T_BilanSocial[[#This Row],[NumL]],T_suiviDi[#Data],COLUMN((T_suiviDi[Civ.])),FALSE),"")</f>
        <v/>
      </c>
      <c r="G70" s="96" t="str">
        <f>IF(T_BilanSocial[[#This Row],[Final]]&lt;&gt;"",VLOOKUP(T_BilanSocial[[#This Row],[NumL]],T_suiviDi[#Data],COLUMN((T_suiviDi[Nom])),FALSE),"")</f>
        <v/>
      </c>
      <c r="H70" s="96" t="str">
        <f>IF(T_BilanSocial[[#This Row],[Final]]&lt;&gt;"",VLOOKUP(T_BilanSocial[[#This Row],[NumL]],T_suiviDi[#Data],COLUMN((T_suiviDi[Prénom])),FALSE),"")</f>
        <v/>
      </c>
      <c r="I70" s="96" t="str">
        <f>IFERROR(VLOOKUP(T_BilanSocial[[#This Row],[Zone_Bilan]],T_P_BilanSocial[#Data],COLUMN(T_P_BilanSocial[[#This Row],[Numero_SIHAM]]),FALSE),"")</f>
        <v/>
      </c>
      <c r="J70" s="96" t="str">
        <f>IFERROR(VLOOKUP(T_BilanSocial[[#This Row],[Zone_Bilan]],T_P_BilanSocial[#Data],COLUMN(T_P_BilanSocial[[#This Row],[Sexe]]),FALSE),"")</f>
        <v/>
      </c>
      <c r="K70" s="97" t="str">
        <f>IFERROR(VLOOKUP(T_BilanSocial[[#This Row],[Zone_Bilan]],T_P_BilanSocial[#Data],COLUMN(T_P_BilanSocial[[#This Row],[Categorie]]),FALSE),"")</f>
        <v/>
      </c>
      <c r="L70" s="96" t="str">
        <f>IFERROR(VLOOKUP(T_BilanSocial[[#This Row],[Zone_Bilan]],T_P_BilanSocial[#Data],COLUMN(T_P_BilanSocial[[#This Row],[Statut]]),FALSE),"")</f>
        <v/>
      </c>
      <c r="M70" s="96" t="str">
        <f>IFERROR(VLOOKUP(T_BilanSocial[[#This Row],[Zone_Bilan]],T_P_BilanSocial[#Data],COLUMN(T_P_BilanSocial[[#This Row],[Filiere]]),FALSE),"")</f>
        <v/>
      </c>
      <c r="N70" s="96" t="e">
        <f>VLOOKUP(T_BilanSocial[[#This Row],[NumL]],T_TraitDi[#Data],COLUMN(T_TraitDi[EXP]),FALSE)</f>
        <v>#N/A</v>
      </c>
      <c r="O70" s="96" t="e">
        <f>VLOOKUP(T_BilanSocial[[#This Row],[NumL]],T_TraitDi[#Data],COLUMN(T_TraitDi[FORM]),FALSE)</f>
        <v>#N/A</v>
      </c>
      <c r="P70" s="96" t="str">
        <f>IF(T_BilanSocial[[#This Row],[Final]]&lt;&gt;"",VLOOKUP(T_BilanSocial[[#This Row],[NumL]],T_suiviDi[#Data],COLUMN((T_suiviDi[Email])),FALSE),"")</f>
        <v/>
      </c>
      <c r="Q70" s="164" t="e">
        <f t="shared" si="7"/>
        <v>#N/A</v>
      </c>
      <c r="R70" s="164" t="e">
        <f t="shared" si="8"/>
        <v>#N/A</v>
      </c>
      <c r="S70" s="164" t="e">
        <f>IF(VLOOKUP(T_BilanSocial[[#This Row],[NumL]],T_suiviDi[#Data],COLUMN(T_suiviDi[[#This Row],[Service ]]),FALSE)="","",VLOOKUP(T_BilanSocial[[#This Row],[NumL]],T_suiviDi[#Data],COLUMN(T_suiviDi[[#This Row],[Service ]]),FALSE))</f>
        <v>#VALUE!</v>
      </c>
      <c r="T70" s="164" t="str">
        <f t="shared" si="12"/>
        <v>01 septembre 2021</v>
      </c>
      <c r="U70" s="164" t="str">
        <f t="shared" si="13"/>
        <v>30 novembre 2021</v>
      </c>
      <c r="V70" s="96" t="str">
        <f t="shared" si="14"/>
        <v>30 novembre 2021</v>
      </c>
      <c r="W70" s="176" t="e">
        <f>IF(VLOOKUP(T_BilanSocial[[#This Row],[NumL]],T_TraitDi[#Data],COLUMN(T_TraitDi[[#This Row],[M1]]),FALSE)="","",VLOOKUP(T_BilanSocial[[#This Row],[NumL]],T_TraitDi[#Data],COLUMN(T_TraitDi[[#This Row],[M1]]),FALSE))</f>
        <v>#VALUE!</v>
      </c>
      <c r="X70" s="176" t="e">
        <f>IF(VLOOKUP(T_BilanSocial[[#This Row],[NumL]],T_TraitDi[#Data],COLUMN(T_TraitDi[[#This Row],[M2]]),FALSE)="","",VLOOKUP(T_BilanSocial[[#This Row],[NumL]],T_TraitDi[#Data],COLUMN(T_TraitDi[[#This Row],[M2]]),FALSE))</f>
        <v>#VALUE!</v>
      </c>
      <c r="Y70" s="176" t="e">
        <f>IF(VLOOKUP(T_BilanSocial[[#This Row],[NumL]],T_TraitDi[#Data],COLUMN(T_TraitDi[[#This Row],[M3]]),FALSE)="","",VLOOKUP(T_BilanSocial[[#This Row],[NumL]],T_TraitDi[#Data],COLUMN(T_TraitDi[[#This Row],[M3]]),FALSE))</f>
        <v>#VALUE!</v>
      </c>
      <c r="Z70" s="176" t="str">
        <f t="shared" si="16"/>
        <v/>
      </c>
      <c r="AA70" s="176" t="e">
        <f>IF(VLOOKUP(T_BilanSocial[[#This Row],[NumL]],T_TraitDi[#Data],COLUMN(T_TraitDi[[#This Row],[M5]]),FALSE)="","",VLOOKUP(T_BilanSocial[[#This Row],[NumL]],T_TraitDi[#Data],COLUMN(T_TraitDi[[#This Row],[M5]]),FALSE))</f>
        <v>#VALUE!</v>
      </c>
      <c r="AB70" s="176" t="e">
        <f>IF(VLOOKUP(T_BilanSocial[[#This Row],[NumL]],T_TraitDi[#Data],COLUMN(T_TraitDi[[#This Row],[M6]]),FALSE)="","",VLOOKUP(T_BilanSocial[[#This Row],[NumL]],T_TraitDi[#Data],COLUMN(T_TraitDi[[#This Row],[M6]]),FALSE))</f>
        <v>#VALUE!</v>
      </c>
      <c r="AC70" s="165" t="e">
        <f t="shared" si="15"/>
        <v>#VALUE!</v>
      </c>
      <c r="AD70" s="188" t="str">
        <f>IFERROR(TEXT(VLOOKUP(T_BilanSocial[[#This Row],[NumL]],T_TraitDi[#Data],COLUMN(T_TraitDi[[#This Row],[Q2]]),FALSE),"###%"),"")</f>
        <v/>
      </c>
      <c r="AE70" s="97" t="e">
        <f>VLOOKUP(T_BilanSocial[[#This Row],[NumL]],T_TraitDi[#Data],COLUMN(T_TraitDi[[#This Row],[Reg Ponct]]),FALSE)</f>
        <v>#VALUE!</v>
      </c>
      <c r="AF70" s="97" t="e">
        <f>VLOOKUP(T_BilanSocial[NumL],T_TraitDi[#Data],COLUMN(T_TraitDi[[#This Row],[Jours flottants]]),FALSE)</f>
        <v>#VALUE!</v>
      </c>
      <c r="AG70" s="97" t="str">
        <f>IFERROR(VLOOKUP(T_BilanSocial[[#This Row],[NumL]],T_TraitDi[#Data],COLUMN(T_TraitDi[[#This Row],[Lundi]]),FALSE),"")</f>
        <v/>
      </c>
      <c r="AH70" s="172" t="e">
        <f>IF(VLOOKUP(T_BilanSocial[[#This Row],[NumL]],T_TraitDi[#Data],COLUMN(T_TraitDi[[#This Row],[Colonne3]]),FALSE)=0,"",TEXT(IFERROR(VLOOKUP(T_BilanSocial[[#This Row],[NumL]],T_TraitDi[#Data],COLUMN(T_TraitDi[[#This Row],[Colonne3]]),FALSE),""),"[hh]:mm"))</f>
        <v>#VALUE!</v>
      </c>
      <c r="AI70" s="172" t="e">
        <f>IF(VLOOKUP(T_BilanSocial[[#This Row],[NumL]],T_TraitDi[#Data],COLUMN(T_TraitDi[[#This Row],[Colonne4]]),FALSE)=0,"",TEXT(IFERROR(VLOOKUP(T_BilanSocial[[#This Row],[NumL]],T_TraitDi[#Data],COLUMN(T_TraitDi[[#This Row],[Colonne4]]),FALSE),""),"[hh]:mm"))</f>
        <v>#VALUE!</v>
      </c>
      <c r="AJ70" s="172" t="e">
        <f>IF(VLOOKUP(T_BilanSocial[[#This Row],[NumL]],T_TraitDi[#Data],COLUMN(T_TraitDi[[#This Row],[Colonne5]]),FALSE)=0,"",TEXT(IFERROR(VLOOKUP(T_BilanSocial[[#This Row],[NumL]],T_TraitDi[#Data],COLUMN(T_TraitDi[[#This Row],[Colonne5]]),FALSE),""),"[hh]:mm"))</f>
        <v>#VALUE!</v>
      </c>
      <c r="AK70" s="172" t="e">
        <f>IF(VLOOKUP(T_BilanSocial[[#This Row],[NumL]],T_TraitDi[#Data],COLUMN(T_TraitDi[[#This Row],[Colonne6]]),FALSE)=0,"",TEXT(IFERROR(VLOOKUP(T_BilanSocial[[#This Row],[NumL]],T_TraitDi[#Data],COLUMN(T_TraitDi[[#This Row],[Colonne6]]),FALSE),""),"[hh]:mm"))</f>
        <v>#VALUE!</v>
      </c>
      <c r="AL70" s="172" t="e">
        <f>IF(VLOOKUP(T_BilanSocial[[#This Row],[NumL]],T_TraitDi[#Data],COLUMN(T_TraitDi[[#This Row],[Colonne7]]),FALSE)=0,"",TEXT(IFERROR(VLOOKUP(T_BilanSocial[[#This Row],[NumL]],T_TraitDi[#Data],COLUMN(T_TraitDi[[#This Row],[Colonne7]]),FALSE),""),"[hh]:mm"))</f>
        <v>#VALUE!</v>
      </c>
      <c r="AM70" s="172" t="e">
        <f>IF(VLOOKUP(T_BilanSocial[[#This Row],[NumL]],T_TraitDi[#Data],COLUMN(T_TraitDi[[#This Row],[Colonne8]]),FALSE)=0,"",TEXT(IFERROR(VLOOKUP(T_BilanSocial[[#This Row],[NumL]],T_TraitDi[#Data],COLUMN(T_TraitDi[[#This Row],[Colonne8]]),FALSE),""),"[hh]:mm"))</f>
        <v>#VALUE!</v>
      </c>
      <c r="AN70" s="172" t="str">
        <f>IFERROR(VLOOKUP(T_BilanSocial[[#This Row],[NumL]],T_TraitDi[#Data],COLUMN(T_TraitDi[[#This Row],[Mardi]]),FALSE),"")</f>
        <v/>
      </c>
      <c r="AO70" s="172" t="e">
        <f>IF(VLOOKUP(T_BilanSocial[[#This Row],[NumL]],T_TraitDi[#Data],COLUMN(T_TraitDi[[#This Row],[Colonne1]]),FALSE)=0,"",TEXT(IFERROR(VLOOKUP(T_BilanSocial[[#This Row],[NumL]],T_TraitDi[#Data],COLUMN(T_TraitDi[[#This Row],[Colonne1]]),FALSE),""),"[hh]:mm"))</f>
        <v>#VALUE!</v>
      </c>
      <c r="AP70" s="172" t="e">
        <f>IF(VLOOKUP(T_BilanSocial[[#This Row],[NumL]],T_TraitDi[#Data],COLUMN(T_TraitDi[[#This Row],[Colonne9]]),FALSE)=0,"",TEXT(IFERROR(VLOOKUP(T_BilanSocial[[#This Row],[NumL]],T_TraitDi[#Data],COLUMN(T_TraitDi[[#This Row],[Colonne9]]),FALSE),""),"[hh]:mm"))</f>
        <v>#VALUE!</v>
      </c>
      <c r="AQ70" s="172" t="str">
        <f>IFERROR(VLOOKUP(T_BilanSocial[[#This Row],[NumL]],T_TraitDi[#Data],COLUMN(T_TraitDi[[#This Row],[Colonne10]]),FALSE),"")</f>
        <v/>
      </c>
      <c r="AR70" s="172" t="e">
        <f>IF(VLOOKUP(T_BilanSocial[[#This Row],[NumL]],T_TraitDi[#Data],COLUMN(T_TraitDi[[#This Row],[Colonne11]]),FALSE)=0,"",TEXT(IFERROR(VLOOKUP(T_BilanSocial[[#This Row],[NumL]],T_TraitDi[#Data],COLUMN(T_TraitDi[[#This Row],[Colonne11]]),FALSE),""),"[hh]:mm"))</f>
        <v>#VALUE!</v>
      </c>
      <c r="AS70" s="172" t="e">
        <f>IF(VLOOKUP(T_BilanSocial[[#This Row],[NumL]],T_TraitDi[#Data],COLUMN(T_TraitDi[[#This Row],[Colonne12]]),FALSE)=0,"",TEXT(IFERROR(VLOOKUP(T_BilanSocial[[#This Row],[NumL]],T_TraitDi[#Data],COLUMN(T_TraitDi[[#This Row],[Colonne12]]),FALSE),""),"[hh]:mm"))</f>
        <v>#VALUE!</v>
      </c>
      <c r="AT70" s="172" t="e">
        <f>IF(VLOOKUP(T_BilanSocial[[#This Row],[NumL]],T_TraitDi[#Data],COLUMN(T_TraitDi[[#This Row],[Colonne14]]),FALSE)=0,"",TEXT(IFERROR(VLOOKUP(T_BilanSocial[[#This Row],[NumL]],T_TraitDi[#Data],COLUMN(T_TraitDi[[#This Row],[Colonne14]]),FALSE),""),"[hh]:mm"))</f>
        <v>#VALUE!</v>
      </c>
      <c r="AU70" s="172" t="str">
        <f>IFERROR(VLOOKUP(T_BilanSocial[[#This Row],[NumL]],T_TraitDi[#Data],COLUMN(T_TraitDi[[#This Row],[Mercredi]]),FALSE),"")</f>
        <v/>
      </c>
      <c r="AV70" s="172" t="e">
        <f>IF(VLOOKUP(T_BilanSocial[[#This Row],[NumL]],T_TraitDi[#Data],COLUMN(T_TraitDi[[#This Row],[Colonne15]]),FALSE)=0,"",TEXT(IFERROR(VLOOKUP(T_BilanSocial[[#This Row],[NumL]],T_TraitDi[#Data],COLUMN(T_TraitDi[[#This Row],[Colonne15]]),FALSE),""),"[hh]:mm"))</f>
        <v>#VALUE!</v>
      </c>
      <c r="AW70" s="172" t="e">
        <f>IF(VLOOKUP(T_BilanSocial[[#This Row],[NumL]],T_TraitDi[#Data],COLUMN(T_TraitDi[[#This Row],[Colonne16]]),FALSE)=0,"",TEXT(IFERROR(VLOOKUP(T_BilanSocial[[#This Row],[NumL]],T_TraitDi[#Data],COLUMN(T_TraitDi[[#This Row],[Colonne16]]),FALSE),""),"[hh]:mm"))</f>
        <v>#VALUE!</v>
      </c>
      <c r="AX70" s="172" t="str">
        <f>IFERROR(VLOOKUP(T_BilanSocial[[#This Row],[NumL]],T_TraitDi[#Data],COLUMN(T_TraitDi[[#This Row],[Colonne17]]),FALSE),"")</f>
        <v/>
      </c>
      <c r="AY70" s="172" t="e">
        <f>IF(VLOOKUP(T_BilanSocial[[#This Row],[NumL]],T_TraitDi[#Data],COLUMN(T_TraitDi[[#This Row],[Colonne18]]),FALSE)=0,"",TEXT(IFERROR(VLOOKUP(T_BilanSocial[[#This Row],[NumL]],T_TraitDi[#Data],COLUMN(T_TraitDi[[#This Row],[Colonne18]]),FALSE),""),"[hh]:mm"))</f>
        <v>#VALUE!</v>
      </c>
      <c r="AZ70" s="172" t="e">
        <f>IF(VLOOKUP(T_BilanSocial[[#This Row],[NumL]],T_TraitDi[#Data],COLUMN(T_TraitDi[[#This Row],[Colonne19]]),FALSE)=0,"",TEXT(IFERROR(VLOOKUP(T_BilanSocial[[#This Row],[NumL]],T_TraitDi[#Data],COLUMN(T_TraitDi[[#This Row],[Colonne19]]),FALSE),""),"[hh]:mm"))</f>
        <v>#VALUE!</v>
      </c>
      <c r="BA70" s="172" t="e">
        <f>IF(VLOOKUP(T_BilanSocial[[#This Row],[NumL]],T_TraitDi[#Data],COLUMN(T_TraitDi[[#This Row],[Colonne20]]),FALSE)=0,"",TEXT(IFERROR(VLOOKUP(T_BilanSocial[[#This Row],[NumL]],T_TraitDi[#Data],COLUMN(T_TraitDi[[#This Row],[Colonne20]]),FALSE),""),"[hh]:mm"))</f>
        <v>#VALUE!</v>
      </c>
      <c r="BB70" s="178" t="str">
        <f>IFERROR(VLOOKUP(T_BilanSocial[[#This Row],[NumL]],T_TraitDi[#Data],COLUMN(T_TraitDi[[#This Row],[Jeudi]]),FALSE),"")</f>
        <v/>
      </c>
      <c r="BC70" s="178" t="e">
        <f>IF(VLOOKUP(T_BilanSocial[[#This Row],[NumL]],T_TraitDi[#Data],COLUMN(T_TraitDi[[#This Row],[Colonne21]]),FALSE)=0,"",TEXT(IFERROR(VLOOKUP(T_BilanSocial[[#This Row],[NumL]],T_TraitDi[#Data],COLUMN(T_TraitDi[[#This Row],[Colonne21]]),FALSE),""),"[hh]:mm"))</f>
        <v>#VALUE!</v>
      </c>
      <c r="BD70" s="178" t="e">
        <f>IF(VLOOKUP(T_BilanSocial[[#This Row],[NumL]],T_TraitDi[#Data],COLUMN(T_TraitDi[[#This Row],[Colonne22]]),FALSE)=0,"",TEXT(IFERROR(VLOOKUP(T_BilanSocial[[#This Row],[NumL]],T_TraitDi[#Data],COLUMN(T_TraitDi[[#This Row],[Colonne22]]),FALSE),""),"[hh]:mm"))</f>
        <v>#VALUE!</v>
      </c>
      <c r="BE70" s="178" t="str">
        <f>IFERROR(VLOOKUP(T_BilanSocial[[#This Row],[NumL]],T_TraitDi[#Data],COLUMN(T_TraitDi[[#This Row],[Colonne23]]),FALSE),"")</f>
        <v/>
      </c>
      <c r="BF70" s="178" t="e">
        <f>IF(VLOOKUP(T_BilanSocial[[#This Row],[NumL]],T_TraitDi[#Data],COLUMN(T_TraitDi[[#This Row],[Colonne24]]),FALSE)=0,"",TEXT(IFERROR(VLOOKUP(T_BilanSocial[[#This Row],[NumL]],T_TraitDi[#Data],COLUMN(T_TraitDi[[#This Row],[Colonne24]]),FALSE),""),"[hh]:mm"))</f>
        <v>#VALUE!</v>
      </c>
      <c r="BG70" s="178" t="e">
        <f>IF(VLOOKUP(T_BilanSocial[[#This Row],[NumL]],T_TraitDi[#Data],COLUMN(T_TraitDi[[#This Row],[Colonne25]]),FALSE)=0,"",TEXT(IFERROR(VLOOKUP(T_BilanSocial[[#This Row],[NumL]],T_TraitDi[#Data],COLUMN(T_TraitDi[[#This Row],[Colonne25]]),FALSE),""),"[hh]:mm"))</f>
        <v>#VALUE!</v>
      </c>
      <c r="BH70" s="178" t="e">
        <f>IF(VLOOKUP(T_BilanSocial[[#This Row],[NumL]],T_TraitDi[#Data],COLUMN(T_TraitDi[[#This Row],[Colonne26]]),FALSE)=0,"",TEXT(IFERROR(VLOOKUP(T_BilanSocial[[#This Row],[NumL]],T_TraitDi[#Data],COLUMN(T_TraitDi[[#This Row],[Colonne26]]),FALSE),""),"[hh]:mm"))</f>
        <v>#VALUE!</v>
      </c>
      <c r="BI70" s="172" t="str">
        <f>IFERROR(VLOOKUP(T_BilanSocial[[#This Row],[NumL]],T_TraitDi[#Data],COLUMN(T_TraitDi[[#This Row],[Vendredi]]),FALSE),"")</f>
        <v/>
      </c>
      <c r="BJ70" s="172" t="e">
        <f>IF(VLOOKUP(T_BilanSocial[[#This Row],[NumL]],T_TraitDi[#Data],COLUMN(T_TraitDi[[#This Row],[Colonne27]]),FALSE)=0,"",TEXT(IFERROR(VLOOKUP(T_BilanSocial[[#This Row],[NumL]],T_TraitDi[#Data],COLUMN(T_TraitDi[[#This Row],[Colonne27]]),FALSE),""),"[hh]:mm"))</f>
        <v>#VALUE!</v>
      </c>
      <c r="BK70" s="172" t="e">
        <f>IF(VLOOKUP(T_BilanSocial[[#This Row],[NumL]],T_TraitDi[#Data],COLUMN(T_TraitDi[[#This Row],[Colonne28]]),FALSE)=0,"",TEXT(IFERROR(VLOOKUP(T_BilanSocial[[#This Row],[NumL]],T_TraitDi[#Data],COLUMN(T_TraitDi[[#This Row],[Colonne28]]),FALSE),""),"[hh]:mm"))</f>
        <v>#VALUE!</v>
      </c>
      <c r="BL70" s="172" t="str">
        <f>IFERROR(VLOOKUP(T_BilanSocial[[#This Row],[NumL]],T_TraitDi[#Data],COLUMN(T_TraitDi[[#This Row],[Colonne29]]),FALSE),"")</f>
        <v/>
      </c>
      <c r="BM70" s="172" t="e">
        <f>IF(VLOOKUP(T_BilanSocial[[#This Row],[NumL]],T_TraitDi[#Data],COLUMN(T_TraitDi[[#This Row],[Colonne30]]),FALSE)=0,"",TEXT(IFERROR(VLOOKUP(T_BilanSocial[[#This Row],[NumL]],T_TraitDi[#Data],COLUMN(T_TraitDi[[#This Row],[Colonne30]]),FALSE),""),"[hh]:mm"))</f>
        <v>#VALUE!</v>
      </c>
      <c r="BN70" s="172" t="e">
        <f>IF(VLOOKUP(T_BilanSocial[[#This Row],[NumL]],T_TraitDi[#Data],COLUMN(T_TraitDi[[#This Row],[Colonne31]]),FALSE)=0,"",TEXT(IFERROR(VLOOKUP(T_BilanSocial[[#This Row],[NumL]],T_TraitDi[#Data],COLUMN(T_TraitDi[[#This Row],[Colonne31]]),FALSE),""),"[hh]:mm"))</f>
        <v>#VALUE!</v>
      </c>
      <c r="BO70" s="172" t="e">
        <f>IF(VLOOKUP(T_BilanSocial[[#This Row],[NumL]],T_TraitDi[#Data],COLUMN(T_TraitDi[[#This Row],[Colonne32]]),FALSE)=0,"",TEXT(IFERROR(VLOOKUP(T_BilanSocial[[#This Row],[NumL]],T_TraitDi[#Data],COLUMN(T_TraitDi[[#This Row],[Colonne32]]),FALSE),""),"[hh]:mm"))</f>
        <v>#VALUE!</v>
      </c>
      <c r="BP70" s="172" t="e">
        <f>VLOOKUP(T_BilanSocial[[#This Row],[NumL]],T_TraitDi[#Data],COLUMN(T_TraitDi[NbJTot]),FALSE)</f>
        <v>#N/A</v>
      </c>
      <c r="BQ70" s="174" t="str">
        <f>IFERROR(VLOOKUP(T_BilanSocial[[#This Row],[NumL]],T_TraitDi[#Data],COLUMN(T_TraitDi[[#This Row],[NbJTW]]),FALSE),"")</f>
        <v/>
      </c>
      <c r="BR70" s="174" t="e">
        <f>IF(VLOOKUP(T_BilanSocial[[#This Row],[NumL]],T_TraitDi[#Data],COLUMN(T_TraitDi[[#This Row],[NbhTW]]),FALSE)=0,"",TEXT(IFERROR(VLOOKUP(T_BilanSocial[[#This Row],[NumL]],T_TraitDi[#Data],COLUMN(T_TraitDi[[#This Row],[NbhTW]]),FALSE),""),"[hh]:mm"))</f>
        <v>#VALUE!</v>
      </c>
      <c r="BS70" s="174" t="e">
        <f>IF(VLOOKUP(T_BilanSocial[[#This Row],[NumL]],T_TraitDi[#Data],COLUMN(T_TraitDi[[#This Row],[Nbhheb]]),FALSE)=0,"",TEXT(IFERROR(VLOOKUP($A70,T_TraitDi[#Data],COLUMN(T_TraitDi[[#This Row],[Nbhheb]]),FALSE),""),"[hh]:mm"))</f>
        <v>#VALUE!</v>
      </c>
      <c r="BT70" s="182" t="str">
        <f>IFERROR(VLOOKUP(VLOOKUP($A70,T_TraitDi[#Data],COLUMN(T_TraitDi[[#This Row],[Type1]]),FALSE),TypeTW,2,FALSE),"")</f>
        <v/>
      </c>
      <c r="BU70" s="182" t="str">
        <f>IFERROR(VLOOKUP($A70,T_TraitDi[#Data],COLUMN(T_TraitDi[[#This Row],[Rue1]]),FALSE),"")</f>
        <v/>
      </c>
      <c r="BV70" s="173" t="str">
        <f>IFERROR(VLOOKUP($A70,T_TraitDi[#Data],COLUMN(T_TraitDi[[#This Row],[CP1]]),FALSE),"")</f>
        <v/>
      </c>
      <c r="BW70" s="173" t="str">
        <f>IFERROR(VLOOKUP($A70,T_TraitDi[#Data],COLUMN(T_TraitDi[[#This Row],[VILLE1]]),FALSE),"")</f>
        <v/>
      </c>
      <c r="BX70" s="182" t="str">
        <f>IFERROR(VLOOKUP(VLOOKUP($A70,T_TraitDi[#Data],COLUMN(T_TraitDi[[#This Row],[Type2]]),FALSE),TypeTW,2,FALSE),"")</f>
        <v/>
      </c>
      <c r="BY70" s="182" t="str">
        <f>IFERROR(VLOOKUP($A70,T_TraitDi[#Data],COLUMN(T_TraitDi[[#This Row],[Rue2]]),FALSE),"")</f>
        <v/>
      </c>
      <c r="BZ70" s="173" t="str">
        <f>IFERROR(VLOOKUP($A70,T_TraitDi[#Data],COLUMN(T_TraitDi[[#This Row],[CP2]]),FALSE),"")</f>
        <v/>
      </c>
      <c r="CA70" s="173" t="str">
        <f>IFERROR(VLOOKUP($A70,T_TraitDi[#Data],COLUMN(T_TraitDi[[#This Row],[VILLE2]]),FALSE),"")</f>
        <v/>
      </c>
      <c r="CB70" s="182" t="str">
        <f>IF(VLOOKUP(T_BilanSocial[[#This Row],[NumL]],T_Equipement[#Data],COLUMN(T_Equipement[[#This Row],[PC]]),FALSE)="","Aucun équipement spécifique directement lié au télétravail",VLOOKUP(T_BilanSocial[[#This Row],[NumL]],T_Equipement[#Data],COLUMN(T_Equipement[[#This Row],[PC]]),FALSE))</f>
        <v xml:space="preserve">20-403	</v>
      </c>
      <c r="CC70" s="166" t="str">
        <f>IFERROR(IF(VLOOKUP(T_BilanSocial[[#This Row],[NumL]],T_TraitDi[#Data],COLUMN(T_TraitDi[[#This Row],[Plan]]),FALSE)="OK","Un planning spécifique de télétravail est annexé à la présente convention.",""),"")</f>
        <v/>
      </c>
      <c r="CD70" s="258" t="s">
        <v>3370</v>
      </c>
      <c r="CE70" s="164" t="e">
        <f>IF(VLOOKUP(T_BilanSocial[[#This Row],[NumL]],T_suiviDi[#Data],COLUMN(T_suiviDi[[#This Row],[Entité]]),FALSE)="","",VLOOKUP(T_BilanSocial[[#This Row],[NumL]],T_suiviDi[#Data],COLUMN(T_suiviDi[[#This Row],[Entité]]),FALSE))</f>
        <v>#VALUE!</v>
      </c>
      <c r="CF70" s="164" t="str">
        <f>IF(VLOOKUP(T_BilanSocial[[#This Row],[NumL]],T_Commission[#Data],COLUMN(T_Commission[[#This Row],[envoi confirm TW]]),FALSE)="","",VLOOKUP(T_BilanSocial[[#This Row],[NumL]],T_Commission[#Data],COLUMN(T_Commission[[#This Row],[envoi confirm TW]]),FALSE))</f>
        <v>Non</v>
      </c>
      <c r="CG7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0" s="262" t="str">
        <f>T_BilanSocial[[#This Row],[Nom]]&amp;T_BilanSocial[[#This Row],[Prenom]]</f>
        <v/>
      </c>
      <c r="CI70" s="262" t="str">
        <f>VLOOKUP(T_BilanSocial[[#This Row],[NumL]],T_Commission[#Data],COLUMN(T_Commission[Commentaire]),FALSE)</f>
        <v>La demande de télétravail est accordée sous réserve de la fourniture des pièces demandées au déménagement de l'agent.</v>
      </c>
      <c r="CJ70" s="262" t="str">
        <f>IF(VLOOKUP(T_BilanSocial[[#This Row],[NumL]],T_Commission[#Data],COLUMN(T_Commission[Encadrant Email]),FALSE)="","",VLOOKUP(T_BilanSocial[[#This Row],[NumL]],T_Commission[#Data],COLUMN(T_Commission[Encadrant Email]),FALSE))</f>
        <v/>
      </c>
      <c r="CK70" s="340" t="str">
        <f>IF(T_BilanSocial[[#This Row],[Final]]&lt;&gt;"",VLOOKUP(T_BilanSocial[[#This Row],[NumL]],T_suiviDi[#Data],COLUMN((T_suiviDi[Statut])),FALSE),"")</f>
        <v/>
      </c>
    </row>
    <row r="71" spans="1:89" s="106" customFormat="1" ht="24.75" customHeight="1" x14ac:dyDescent="0.25">
      <c r="A71" s="160">
        <v>68</v>
      </c>
      <c r="B71" s="161" t="str">
        <f t="shared" si="10"/>
        <v/>
      </c>
      <c r="C71" s="162" t="s">
        <v>173</v>
      </c>
      <c r="D71" s="95" t="e">
        <f>IF(VLOOKUP(T_BilanSocial[[#This Row],[NumL]],T_TraitDi[#Data],COLUMN(T_TraitDi[[#This Row],[WebC]]),FALSE)="","",VLOOKUP(T_BilanSocial[[#This Row],[NumL]],T_TraitDi[#Data],COLUMN(T_TraitDi[[#This Row],[WebC]]),FALSE))</f>
        <v>#VALUE!</v>
      </c>
      <c r="E71" s="163" t="str">
        <f t="shared" si="11"/>
        <v>12 janvier 2021</v>
      </c>
      <c r="F71" s="96" t="str">
        <f>IF(T_BilanSocial[[#This Row],[Final]]&lt;&gt;"",VLOOKUP(T_BilanSocial[[#This Row],[NumL]],T_suiviDi[#Data],COLUMN((T_suiviDi[Civ.])),FALSE),"")</f>
        <v/>
      </c>
      <c r="G71" s="96" t="str">
        <f>IF(T_BilanSocial[[#This Row],[Final]]&lt;&gt;"",VLOOKUP(T_BilanSocial[[#This Row],[NumL]],T_suiviDi[#Data],COLUMN((T_suiviDi[Nom])),FALSE),"")</f>
        <v/>
      </c>
      <c r="H71" s="96" t="str">
        <f>IF(T_BilanSocial[[#This Row],[Final]]&lt;&gt;"",VLOOKUP(T_BilanSocial[[#This Row],[NumL]],T_suiviDi[#Data],COLUMN((T_suiviDi[Prénom])),FALSE),"")</f>
        <v/>
      </c>
      <c r="I71" s="96" t="str">
        <f>IFERROR(VLOOKUP(T_BilanSocial[[#This Row],[Zone_Bilan]],T_P_BilanSocial[#Data],COLUMN(T_P_BilanSocial[[#This Row],[Numero_SIHAM]]),FALSE),"")</f>
        <v/>
      </c>
      <c r="J71" s="96" t="str">
        <f>IFERROR(VLOOKUP(T_BilanSocial[[#This Row],[Zone_Bilan]],T_P_BilanSocial[#Data],COLUMN(T_P_BilanSocial[[#This Row],[Sexe]]),FALSE),"")</f>
        <v/>
      </c>
      <c r="K71" s="97" t="str">
        <f>IFERROR(VLOOKUP(T_BilanSocial[[#This Row],[Zone_Bilan]],T_P_BilanSocial[#Data],COLUMN(T_P_BilanSocial[[#This Row],[Categorie]]),FALSE),"")</f>
        <v/>
      </c>
      <c r="L71" s="96" t="str">
        <f>IFERROR(VLOOKUP(T_BilanSocial[[#This Row],[Zone_Bilan]],T_P_BilanSocial[#Data],COLUMN(T_P_BilanSocial[[#This Row],[Statut]]),FALSE),"")</f>
        <v/>
      </c>
      <c r="M71" s="96" t="str">
        <f>IFERROR(VLOOKUP(T_BilanSocial[[#This Row],[Zone_Bilan]],T_P_BilanSocial[#Data],COLUMN(T_P_BilanSocial[[#This Row],[Filiere]]),FALSE),"")</f>
        <v/>
      </c>
      <c r="N71" s="96" t="e">
        <f>VLOOKUP(T_BilanSocial[[#This Row],[NumL]],T_TraitDi[#Data],COLUMN(T_TraitDi[EXP]),FALSE)</f>
        <v>#N/A</v>
      </c>
      <c r="O71" s="96" t="e">
        <f>VLOOKUP(T_BilanSocial[[#This Row],[NumL]],T_TraitDi[#Data],COLUMN(T_TraitDi[FORM]),FALSE)</f>
        <v>#N/A</v>
      </c>
      <c r="P71" s="96" t="str">
        <f>IF(T_BilanSocial[[#This Row],[Final]]&lt;&gt;"",VLOOKUP(T_BilanSocial[[#This Row],[NumL]],T_suiviDi[#Data],COLUMN((T_suiviDi[Email])),FALSE),"")</f>
        <v/>
      </c>
      <c r="Q71" s="164" t="e">
        <f t="shared" si="7"/>
        <v>#N/A</v>
      </c>
      <c r="R71" s="164" t="e">
        <f t="shared" si="8"/>
        <v>#N/A</v>
      </c>
      <c r="S71" s="164" t="e">
        <f>IF(VLOOKUP(T_BilanSocial[[#This Row],[NumL]],T_suiviDi[#Data],COLUMN(T_suiviDi[[#This Row],[Service ]]),FALSE)="","",VLOOKUP(T_BilanSocial[[#This Row],[NumL]],T_suiviDi[#Data],COLUMN(T_suiviDi[[#This Row],[Service ]]),FALSE))</f>
        <v>#VALUE!</v>
      </c>
      <c r="T71" s="164" t="str">
        <f t="shared" si="12"/>
        <v>01 septembre 2021</v>
      </c>
      <c r="U71" s="164" t="str">
        <f t="shared" si="13"/>
        <v>30 novembre 2021</v>
      </c>
      <c r="V71" s="164" t="str">
        <f t="shared" si="14"/>
        <v>30 novembre 2021</v>
      </c>
      <c r="W71" s="176" t="e">
        <f>IF(VLOOKUP(T_BilanSocial[[#This Row],[NumL]],T_TraitDi[#Data],COLUMN(T_TraitDi[[#This Row],[M1]]),FALSE)="","",VLOOKUP(T_BilanSocial[[#This Row],[NumL]],T_TraitDi[#Data],COLUMN(T_TraitDi[[#This Row],[M1]]),FALSE))</f>
        <v>#VALUE!</v>
      </c>
      <c r="X71" s="176" t="e">
        <f>IF(VLOOKUP(T_BilanSocial[[#This Row],[NumL]],T_TraitDi[#Data],COLUMN(T_TraitDi[[#This Row],[M2]]),FALSE)="","",VLOOKUP(T_BilanSocial[[#This Row],[NumL]],T_TraitDi[#Data],COLUMN(T_TraitDi[[#This Row],[M2]]),FALSE))</f>
        <v>#VALUE!</v>
      </c>
      <c r="Y71" s="176" t="e">
        <f>IF(VLOOKUP(T_BilanSocial[[#This Row],[NumL]],T_TraitDi[#Data],COLUMN(T_TraitDi[[#This Row],[M3]]),FALSE)="","",VLOOKUP(T_BilanSocial[[#This Row],[NumL]],T_TraitDi[#Data],COLUMN(T_TraitDi[[#This Row],[M3]]),FALSE))</f>
        <v>#VALUE!</v>
      </c>
      <c r="Z71" s="176" t="str">
        <f t="shared" si="16"/>
        <v/>
      </c>
      <c r="AA71" s="176" t="e">
        <f>IF(VLOOKUP(T_BilanSocial[[#This Row],[NumL]],T_TraitDi[#Data],COLUMN(T_TraitDi[[#This Row],[M5]]),FALSE)="","",VLOOKUP(T_BilanSocial[[#This Row],[NumL]],T_TraitDi[#Data],COLUMN(T_TraitDi[[#This Row],[M5]]),FALSE))</f>
        <v>#VALUE!</v>
      </c>
      <c r="AB71" s="176" t="e">
        <f>IF(VLOOKUP(T_BilanSocial[[#This Row],[NumL]],T_TraitDi[#Data],COLUMN(T_TraitDi[[#This Row],[M6]]),FALSE)="","",VLOOKUP(T_BilanSocial[[#This Row],[NumL]],T_TraitDi[#Data],COLUMN(T_TraitDi[[#This Row],[M6]]),FALSE))</f>
        <v>#VALUE!</v>
      </c>
      <c r="AC71" s="165" t="e">
        <f t="shared" si="15"/>
        <v>#VALUE!</v>
      </c>
      <c r="AD71" s="188" t="str">
        <f>IFERROR(TEXT(VLOOKUP(T_BilanSocial[[#This Row],[NumL]],T_TraitDi[#Data],COLUMN(T_TraitDi[[#This Row],[Q2]]),FALSE),"###%"),"")</f>
        <v/>
      </c>
      <c r="AE71" s="97" t="e">
        <f>VLOOKUP(T_BilanSocial[[#This Row],[NumL]],T_TraitDi[#Data],COLUMN(T_TraitDi[[#This Row],[Reg Ponct]]),FALSE)</f>
        <v>#VALUE!</v>
      </c>
      <c r="AF71" s="97" t="e">
        <f>VLOOKUP(T_BilanSocial[NumL],T_TraitDi[#Data],COLUMN(T_TraitDi[[#This Row],[Jours flottants]]),FALSE)</f>
        <v>#VALUE!</v>
      </c>
      <c r="AG71" s="97" t="str">
        <f>IFERROR(VLOOKUP(T_BilanSocial[[#This Row],[NumL]],T_TraitDi[#Data],COLUMN(T_TraitDi[[#This Row],[Lundi]]),FALSE),"")</f>
        <v/>
      </c>
      <c r="AH71" s="172" t="e">
        <f>IF(VLOOKUP(T_BilanSocial[[#This Row],[NumL]],T_TraitDi[#Data],COLUMN(T_TraitDi[[#This Row],[Colonne3]]),FALSE)=0,"",TEXT(IFERROR(VLOOKUP(T_BilanSocial[[#This Row],[NumL]],T_TraitDi[#Data],COLUMN(T_TraitDi[[#This Row],[Colonne3]]),FALSE),""),"[hh]:mm"))</f>
        <v>#VALUE!</v>
      </c>
      <c r="AI71" s="172" t="e">
        <f>IF(VLOOKUP(T_BilanSocial[[#This Row],[NumL]],T_TraitDi[#Data],COLUMN(T_TraitDi[[#This Row],[Colonne4]]),FALSE)=0,"",TEXT(IFERROR(VLOOKUP(T_BilanSocial[[#This Row],[NumL]],T_TraitDi[#Data],COLUMN(T_TraitDi[[#This Row],[Colonne4]]),FALSE),""),"[hh]:mm"))</f>
        <v>#VALUE!</v>
      </c>
      <c r="AJ71" s="172" t="e">
        <f>IF(VLOOKUP(T_BilanSocial[[#This Row],[NumL]],T_TraitDi[#Data],COLUMN(T_TraitDi[[#This Row],[Colonne5]]),FALSE)=0,"",TEXT(IFERROR(VLOOKUP(T_BilanSocial[[#This Row],[NumL]],T_TraitDi[#Data],COLUMN(T_TraitDi[[#This Row],[Colonne5]]),FALSE),""),"[hh]:mm"))</f>
        <v>#VALUE!</v>
      </c>
      <c r="AK71" s="172" t="e">
        <f>IF(VLOOKUP(T_BilanSocial[[#This Row],[NumL]],T_TraitDi[#Data],COLUMN(T_TraitDi[[#This Row],[Colonne6]]),FALSE)=0,"",TEXT(IFERROR(VLOOKUP(T_BilanSocial[[#This Row],[NumL]],T_TraitDi[#Data],COLUMN(T_TraitDi[[#This Row],[Colonne6]]),FALSE),""),"[hh]:mm"))</f>
        <v>#VALUE!</v>
      </c>
      <c r="AL71" s="172" t="e">
        <f>IF(VLOOKUP(T_BilanSocial[[#This Row],[NumL]],T_TraitDi[#Data],COLUMN(T_TraitDi[[#This Row],[Colonne7]]),FALSE)=0,"",TEXT(IFERROR(VLOOKUP(T_BilanSocial[[#This Row],[NumL]],T_TraitDi[#Data],COLUMN(T_TraitDi[[#This Row],[Colonne7]]),FALSE),""),"[hh]:mm"))</f>
        <v>#VALUE!</v>
      </c>
      <c r="AM71" s="172" t="e">
        <f>IF(VLOOKUP(T_BilanSocial[[#This Row],[NumL]],T_TraitDi[#Data],COLUMN(T_TraitDi[[#This Row],[Colonne8]]),FALSE)=0,"",TEXT(IFERROR(VLOOKUP(T_BilanSocial[[#This Row],[NumL]],T_TraitDi[#Data],COLUMN(T_TraitDi[[#This Row],[Colonne8]]),FALSE),""),"[hh]:mm"))</f>
        <v>#VALUE!</v>
      </c>
      <c r="AN71" s="172" t="str">
        <f>IFERROR(VLOOKUP(T_BilanSocial[[#This Row],[NumL]],T_TraitDi[#Data],COLUMN(T_TraitDi[[#This Row],[Mardi]]),FALSE),"")</f>
        <v/>
      </c>
      <c r="AO71" s="172" t="e">
        <f>IF(VLOOKUP(T_BilanSocial[[#This Row],[NumL]],T_TraitDi[#Data],COLUMN(T_TraitDi[[#This Row],[Colonne1]]),FALSE)=0,"",TEXT(IFERROR(VLOOKUP(T_BilanSocial[[#This Row],[NumL]],T_TraitDi[#Data],COLUMN(T_TraitDi[[#This Row],[Colonne1]]),FALSE),""),"[hh]:mm"))</f>
        <v>#VALUE!</v>
      </c>
      <c r="AP71" s="172" t="e">
        <f>IF(VLOOKUP(T_BilanSocial[[#This Row],[NumL]],T_TraitDi[#Data],COLUMN(T_TraitDi[[#This Row],[Colonne9]]),FALSE)=0,"",TEXT(IFERROR(VLOOKUP(T_BilanSocial[[#This Row],[NumL]],T_TraitDi[#Data],COLUMN(T_TraitDi[[#This Row],[Colonne9]]),FALSE),""),"[hh]:mm"))</f>
        <v>#VALUE!</v>
      </c>
      <c r="AQ71" s="172" t="str">
        <f>IFERROR(VLOOKUP(T_BilanSocial[[#This Row],[NumL]],T_TraitDi[#Data],COLUMN(T_TraitDi[[#This Row],[Colonne10]]),FALSE),"")</f>
        <v/>
      </c>
      <c r="AR71" s="172" t="e">
        <f>IF(VLOOKUP(T_BilanSocial[[#This Row],[NumL]],T_TraitDi[#Data],COLUMN(T_TraitDi[[#This Row],[Colonne11]]),FALSE)=0,"",TEXT(IFERROR(VLOOKUP(T_BilanSocial[[#This Row],[NumL]],T_TraitDi[#Data],COLUMN(T_TraitDi[[#This Row],[Colonne11]]),FALSE),""),"[hh]:mm"))</f>
        <v>#VALUE!</v>
      </c>
      <c r="AS71" s="172" t="e">
        <f>IF(VLOOKUP(T_BilanSocial[[#This Row],[NumL]],T_TraitDi[#Data],COLUMN(T_TraitDi[[#This Row],[Colonne12]]),FALSE)=0,"",TEXT(IFERROR(VLOOKUP(T_BilanSocial[[#This Row],[NumL]],T_TraitDi[#Data],COLUMN(T_TraitDi[[#This Row],[Colonne12]]),FALSE),""),"[hh]:mm"))</f>
        <v>#VALUE!</v>
      </c>
      <c r="AT71" s="172" t="e">
        <f>IF(VLOOKUP(T_BilanSocial[[#This Row],[NumL]],T_TraitDi[#Data],COLUMN(T_TraitDi[[#This Row],[Colonne14]]),FALSE)=0,"",TEXT(IFERROR(VLOOKUP(T_BilanSocial[[#This Row],[NumL]],T_TraitDi[#Data],COLUMN(T_TraitDi[[#This Row],[Colonne14]]),FALSE),""),"[hh]:mm"))</f>
        <v>#VALUE!</v>
      </c>
      <c r="AU71" s="172" t="str">
        <f>IFERROR(VLOOKUP(T_BilanSocial[[#This Row],[NumL]],T_TraitDi[#Data],COLUMN(T_TraitDi[[#This Row],[Mercredi]]),FALSE),"")</f>
        <v/>
      </c>
      <c r="AV71" s="172" t="e">
        <f>IF(VLOOKUP(T_BilanSocial[[#This Row],[NumL]],T_TraitDi[#Data],COLUMN(T_TraitDi[[#This Row],[Colonne15]]),FALSE)=0,"",TEXT(IFERROR(VLOOKUP(T_BilanSocial[[#This Row],[NumL]],T_TraitDi[#Data],COLUMN(T_TraitDi[[#This Row],[Colonne15]]),FALSE),""),"[hh]:mm"))</f>
        <v>#VALUE!</v>
      </c>
      <c r="AW71" s="172" t="e">
        <f>IF(VLOOKUP(T_BilanSocial[[#This Row],[NumL]],T_TraitDi[#Data],COLUMN(T_TraitDi[[#This Row],[Colonne16]]),FALSE)=0,"",TEXT(IFERROR(VLOOKUP(T_BilanSocial[[#This Row],[NumL]],T_TraitDi[#Data],COLUMN(T_TraitDi[[#This Row],[Colonne16]]),FALSE),""),"[hh]:mm"))</f>
        <v>#VALUE!</v>
      </c>
      <c r="AX71" s="172" t="str">
        <f>IFERROR(VLOOKUP(T_BilanSocial[[#This Row],[NumL]],T_TraitDi[#Data],COLUMN(T_TraitDi[[#This Row],[Colonne17]]),FALSE),"")</f>
        <v/>
      </c>
      <c r="AY71" s="172" t="e">
        <f>IF(VLOOKUP(T_BilanSocial[[#This Row],[NumL]],T_TraitDi[#Data],COLUMN(T_TraitDi[[#This Row],[Colonne18]]),FALSE)=0,"",TEXT(IFERROR(VLOOKUP(T_BilanSocial[[#This Row],[NumL]],T_TraitDi[#Data],COLUMN(T_TraitDi[[#This Row],[Colonne18]]),FALSE),""),"[hh]:mm"))</f>
        <v>#VALUE!</v>
      </c>
      <c r="AZ71" s="172" t="e">
        <f>IF(VLOOKUP(T_BilanSocial[[#This Row],[NumL]],T_TraitDi[#Data],COLUMN(T_TraitDi[[#This Row],[Colonne19]]),FALSE)=0,"",TEXT(IFERROR(VLOOKUP(T_BilanSocial[[#This Row],[NumL]],T_TraitDi[#Data],COLUMN(T_TraitDi[[#This Row],[Colonne19]]),FALSE),""),"[hh]:mm"))</f>
        <v>#VALUE!</v>
      </c>
      <c r="BA71" s="172" t="e">
        <f>IF(VLOOKUP(T_BilanSocial[[#This Row],[NumL]],T_TraitDi[#Data],COLUMN(T_TraitDi[[#This Row],[Colonne20]]),FALSE)=0,"",TEXT(IFERROR(VLOOKUP(T_BilanSocial[[#This Row],[NumL]],T_TraitDi[#Data],COLUMN(T_TraitDi[[#This Row],[Colonne20]]),FALSE),""),"[hh]:mm"))</f>
        <v>#VALUE!</v>
      </c>
      <c r="BB71" s="178" t="str">
        <f>IFERROR(VLOOKUP(T_BilanSocial[[#This Row],[NumL]],T_TraitDi[#Data],COLUMN(T_TraitDi[[#This Row],[Jeudi]]),FALSE),"")</f>
        <v/>
      </c>
      <c r="BC71" s="178" t="e">
        <f>IF(VLOOKUP(T_BilanSocial[[#This Row],[NumL]],T_TraitDi[#Data],COLUMN(T_TraitDi[[#This Row],[Colonne21]]),FALSE)=0,"",TEXT(IFERROR(VLOOKUP(T_BilanSocial[[#This Row],[NumL]],T_TraitDi[#Data],COLUMN(T_TraitDi[[#This Row],[Colonne21]]),FALSE),""),"[hh]:mm"))</f>
        <v>#VALUE!</v>
      </c>
      <c r="BD71" s="178" t="e">
        <f>IF(VLOOKUP(T_BilanSocial[[#This Row],[NumL]],T_TraitDi[#Data],COLUMN(T_TraitDi[[#This Row],[Colonne22]]),FALSE)=0,"",TEXT(IFERROR(VLOOKUP(T_BilanSocial[[#This Row],[NumL]],T_TraitDi[#Data],COLUMN(T_TraitDi[[#This Row],[Colonne22]]),FALSE),""),"[hh]:mm"))</f>
        <v>#VALUE!</v>
      </c>
      <c r="BE71" s="178" t="str">
        <f>IFERROR(VLOOKUP(T_BilanSocial[[#This Row],[NumL]],T_TraitDi[#Data],COLUMN(T_TraitDi[[#This Row],[Colonne23]]),FALSE),"")</f>
        <v/>
      </c>
      <c r="BF71" s="178" t="e">
        <f>IF(VLOOKUP(T_BilanSocial[[#This Row],[NumL]],T_TraitDi[#Data],COLUMN(T_TraitDi[[#This Row],[Colonne24]]),FALSE)=0,"",TEXT(IFERROR(VLOOKUP(T_BilanSocial[[#This Row],[NumL]],T_TraitDi[#Data],COLUMN(T_TraitDi[[#This Row],[Colonne24]]),FALSE),""),"[hh]:mm"))</f>
        <v>#VALUE!</v>
      </c>
      <c r="BG71" s="178" t="e">
        <f>IF(VLOOKUP(T_BilanSocial[[#This Row],[NumL]],T_TraitDi[#Data],COLUMN(T_TraitDi[[#This Row],[Colonne25]]),FALSE)=0,"",TEXT(IFERROR(VLOOKUP(T_BilanSocial[[#This Row],[NumL]],T_TraitDi[#Data],COLUMN(T_TraitDi[[#This Row],[Colonne25]]),FALSE),""),"[hh]:mm"))</f>
        <v>#VALUE!</v>
      </c>
      <c r="BH71" s="178" t="e">
        <f>IF(VLOOKUP(T_BilanSocial[[#This Row],[NumL]],T_TraitDi[#Data],COLUMN(T_TraitDi[[#This Row],[Colonne26]]),FALSE)=0,"",TEXT(IFERROR(VLOOKUP(T_BilanSocial[[#This Row],[NumL]],T_TraitDi[#Data],COLUMN(T_TraitDi[[#This Row],[Colonne26]]),FALSE),""),"[hh]:mm"))</f>
        <v>#VALUE!</v>
      </c>
      <c r="BI71" s="172" t="str">
        <f>IFERROR(VLOOKUP(T_BilanSocial[[#This Row],[NumL]],T_TraitDi[#Data],COLUMN(T_TraitDi[[#This Row],[Vendredi]]),FALSE),"")</f>
        <v/>
      </c>
      <c r="BJ71" s="172" t="e">
        <f>IF(VLOOKUP(T_BilanSocial[[#This Row],[NumL]],T_TraitDi[#Data],COLUMN(T_TraitDi[[#This Row],[Colonne27]]),FALSE)=0,"",TEXT(IFERROR(VLOOKUP(T_BilanSocial[[#This Row],[NumL]],T_TraitDi[#Data],COLUMN(T_TraitDi[[#This Row],[Colonne27]]),FALSE),""),"[hh]:mm"))</f>
        <v>#VALUE!</v>
      </c>
      <c r="BK71" s="172" t="e">
        <f>IF(VLOOKUP(T_BilanSocial[[#This Row],[NumL]],T_TraitDi[#Data],COLUMN(T_TraitDi[[#This Row],[Colonne28]]),FALSE)=0,"",TEXT(IFERROR(VLOOKUP(T_BilanSocial[[#This Row],[NumL]],T_TraitDi[#Data],COLUMN(T_TraitDi[[#This Row],[Colonne28]]),FALSE),""),"[hh]:mm"))</f>
        <v>#VALUE!</v>
      </c>
      <c r="BL71" s="172" t="str">
        <f>IFERROR(VLOOKUP(T_BilanSocial[[#This Row],[NumL]],T_TraitDi[#Data],COLUMN(T_TraitDi[[#This Row],[Colonne29]]),FALSE),"")</f>
        <v/>
      </c>
      <c r="BM71" s="172" t="e">
        <f>IF(VLOOKUP(T_BilanSocial[[#This Row],[NumL]],T_TraitDi[#Data],COLUMN(T_TraitDi[[#This Row],[Colonne30]]),FALSE)=0,"",TEXT(IFERROR(VLOOKUP(T_BilanSocial[[#This Row],[NumL]],T_TraitDi[#Data],COLUMN(T_TraitDi[[#This Row],[Colonne30]]),FALSE),""),"[hh]:mm"))</f>
        <v>#VALUE!</v>
      </c>
      <c r="BN71" s="172" t="e">
        <f>IF(VLOOKUP(T_BilanSocial[[#This Row],[NumL]],T_TraitDi[#Data],COLUMN(T_TraitDi[[#This Row],[Colonne31]]),FALSE)=0,"",TEXT(IFERROR(VLOOKUP(T_BilanSocial[[#This Row],[NumL]],T_TraitDi[#Data],COLUMN(T_TraitDi[[#This Row],[Colonne31]]),FALSE),""),"[hh]:mm"))</f>
        <v>#VALUE!</v>
      </c>
      <c r="BO71" s="172" t="e">
        <f>IF(VLOOKUP(T_BilanSocial[[#This Row],[NumL]],T_TraitDi[#Data],COLUMN(T_TraitDi[[#This Row],[Colonne32]]),FALSE)=0,"",TEXT(IFERROR(VLOOKUP(T_BilanSocial[[#This Row],[NumL]],T_TraitDi[#Data],COLUMN(T_TraitDi[[#This Row],[Colonne32]]),FALSE),""),"[hh]:mm"))</f>
        <v>#VALUE!</v>
      </c>
      <c r="BP71" s="172" t="e">
        <f>VLOOKUP(T_BilanSocial[[#This Row],[NumL]],T_TraitDi[#Data],COLUMN(T_TraitDi[NbJTot]),FALSE)</f>
        <v>#N/A</v>
      </c>
      <c r="BQ71" s="174" t="str">
        <f>IFERROR(VLOOKUP(T_BilanSocial[[#This Row],[NumL]],T_TraitDi[#Data],COLUMN(T_TraitDi[[#This Row],[NbJTW]]),FALSE),"")</f>
        <v/>
      </c>
      <c r="BR71" s="174" t="e">
        <f>IF(VLOOKUP(T_BilanSocial[[#This Row],[NumL]],T_TraitDi[#Data],COLUMN(T_TraitDi[[#This Row],[NbhTW]]),FALSE)=0,"",TEXT(IFERROR(VLOOKUP(T_BilanSocial[[#This Row],[NumL]],T_TraitDi[#Data],COLUMN(T_TraitDi[[#This Row],[NbhTW]]),FALSE),""),"[hh]:mm"))</f>
        <v>#VALUE!</v>
      </c>
      <c r="BS71" s="174" t="e">
        <f>IF(VLOOKUP(T_BilanSocial[[#This Row],[NumL]],T_TraitDi[#Data],COLUMN(T_TraitDi[[#This Row],[Nbhheb]]),FALSE)=0,"",TEXT(IFERROR(VLOOKUP($A71,T_TraitDi[#Data],COLUMN(T_TraitDi[[#This Row],[Nbhheb]]),FALSE),""),"[hh]:mm"))</f>
        <v>#VALUE!</v>
      </c>
      <c r="BT71" s="182" t="str">
        <f>IFERROR(VLOOKUP(VLOOKUP($A71,T_TraitDi[#Data],COLUMN(T_TraitDi[[#This Row],[Type1]]),FALSE),TypeTW,2,FALSE),"")</f>
        <v/>
      </c>
      <c r="BU71" s="182" t="str">
        <f>IFERROR(VLOOKUP($A71,T_TraitDi[#Data],COLUMN(T_TraitDi[[#This Row],[Rue1]]),FALSE),"")</f>
        <v/>
      </c>
      <c r="BV71" s="173" t="str">
        <f>IFERROR(VLOOKUP($A71,T_TraitDi[#Data],COLUMN(T_TraitDi[[#This Row],[CP1]]),FALSE),"")</f>
        <v/>
      </c>
      <c r="BW71" s="173" t="str">
        <f>IFERROR(VLOOKUP($A71,T_TraitDi[#Data],COLUMN(T_TraitDi[[#This Row],[VILLE1]]),FALSE),"")</f>
        <v/>
      </c>
      <c r="BX71" s="182" t="str">
        <f>IFERROR(VLOOKUP(VLOOKUP($A71,T_TraitDi[#Data],COLUMN(T_TraitDi[[#This Row],[Type2]]),FALSE),TypeTW,2,FALSE),"")</f>
        <v/>
      </c>
      <c r="BY71" s="182" t="str">
        <f>IFERROR(VLOOKUP($A71,T_TraitDi[#Data],COLUMN(T_TraitDi[[#This Row],[Rue2]]),FALSE),"")</f>
        <v/>
      </c>
      <c r="BZ71" s="173" t="str">
        <f>IFERROR(VLOOKUP($A71,T_TraitDi[#Data],COLUMN(T_TraitDi[[#This Row],[CP2]]),FALSE),"")</f>
        <v/>
      </c>
      <c r="CA71" s="173" t="str">
        <f>IFERROR(VLOOKUP($A71,T_TraitDi[#Data],COLUMN(T_TraitDi[[#This Row],[VILLE2]]),FALSE),"")</f>
        <v/>
      </c>
      <c r="CB71" s="182" t="str">
        <f>IF(VLOOKUP(T_BilanSocial[[#This Row],[NumL]],T_Equipement[#Data],COLUMN(T_Equipement[[#This Row],[PC]]),FALSE)="","Aucun équipement spécifique directement lié au télétravail",VLOOKUP(T_BilanSocial[[#This Row],[NumL]],T_Equipement[#Data],COLUMN(T_Equipement[[#This Row],[PC]]),FALSE))</f>
        <v xml:space="preserve">20-292	</v>
      </c>
      <c r="CC71" s="166" t="str">
        <f>IFERROR(IF(VLOOKUP(T_BilanSocial[[#This Row],[NumL]],T_TraitDi[#Data],COLUMN(T_TraitDi[[#This Row],[Plan]]),FALSE)="OK","Un planning spécifique de télétravail est annexé à la présente convention.",""),"")</f>
        <v/>
      </c>
      <c r="CD71" s="258" t="s">
        <v>3371</v>
      </c>
      <c r="CE71" s="164" t="e">
        <f>IF(VLOOKUP(T_BilanSocial[[#This Row],[NumL]],T_suiviDi[#Data],COLUMN(T_suiviDi[[#This Row],[Entité]]),FALSE)="","",VLOOKUP(T_BilanSocial[[#This Row],[NumL]],T_suiviDi[#Data],COLUMN(T_suiviDi[[#This Row],[Entité]]),FALSE))</f>
        <v>#VALUE!</v>
      </c>
      <c r="CF71" s="164" t="str">
        <f>IF(VLOOKUP(T_BilanSocial[[#This Row],[NumL]],T_Commission[#Data],COLUMN(T_Commission[[#This Row],[envoi confirm TW]]),FALSE)="","",VLOOKUP(T_BilanSocial[[#This Row],[NumL]],T_Commission[#Data],COLUMN(T_Commission[[#This Row],[envoi confirm TW]]),FALSE))</f>
        <v>Oui</v>
      </c>
      <c r="CG7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1" s="262" t="str">
        <f>T_BilanSocial[[#This Row],[Nom]]&amp;T_BilanSocial[[#This Row],[Prenom]]</f>
        <v/>
      </c>
      <c r="CI71" s="262">
        <f>VLOOKUP(T_BilanSocial[[#This Row],[NumL]],T_Commission[#Data],COLUMN(T_Commission[Commentaire]),FALSE)</f>
        <v>0</v>
      </c>
      <c r="CJ71" s="262" t="str">
        <f>IF(VLOOKUP(T_BilanSocial[[#This Row],[NumL]],T_Commission[#Data],COLUMN(T_Commission[Encadrant Email]),FALSE)="","",VLOOKUP(T_BilanSocial[[#This Row],[NumL]],T_Commission[#Data],COLUMN(T_Commission[Encadrant Email]),FALSE))</f>
        <v/>
      </c>
      <c r="CK71" s="340" t="str">
        <f>IF(T_BilanSocial[[#This Row],[Final]]&lt;&gt;"",VLOOKUP(T_BilanSocial[[#This Row],[NumL]],T_suiviDi[#Data],COLUMN((T_suiviDi[Statut])),FALSE),"")</f>
        <v/>
      </c>
    </row>
    <row r="72" spans="1:89" s="106" customFormat="1" ht="24.75" customHeight="1" x14ac:dyDescent="0.25">
      <c r="A72" s="160">
        <v>69</v>
      </c>
      <c r="B72" s="161" t="str">
        <f t="shared" si="10"/>
        <v/>
      </c>
      <c r="C72" s="162" t="s">
        <v>173</v>
      </c>
      <c r="D72" s="95" t="e">
        <f>IF(VLOOKUP(T_BilanSocial[[#This Row],[NumL]],T_TraitDi[#Data],COLUMN(T_TraitDi[[#This Row],[WebC]]),FALSE)="","",VLOOKUP(T_BilanSocial[[#This Row],[NumL]],T_TraitDi[#Data],COLUMN(T_TraitDi[[#This Row],[WebC]]),FALSE))</f>
        <v>#VALUE!</v>
      </c>
      <c r="E72" s="163" t="str">
        <f t="shared" si="11"/>
        <v>12 janvier 2021</v>
      </c>
      <c r="F72" s="96" t="str">
        <f>IF(T_BilanSocial[[#This Row],[Final]]&lt;&gt;"",VLOOKUP(T_BilanSocial[[#This Row],[NumL]],T_suiviDi[#Data],COLUMN((T_suiviDi[Civ.])),FALSE),"")</f>
        <v/>
      </c>
      <c r="G72" s="96" t="str">
        <f>IF(T_BilanSocial[[#This Row],[Final]]&lt;&gt;"",VLOOKUP(T_BilanSocial[[#This Row],[NumL]],T_suiviDi[#Data],COLUMN((T_suiviDi[Nom])),FALSE),"")</f>
        <v/>
      </c>
      <c r="H72" s="96" t="str">
        <f>IF(T_BilanSocial[[#This Row],[Final]]&lt;&gt;"",VLOOKUP(T_BilanSocial[[#This Row],[NumL]],T_suiviDi[#Data],COLUMN((T_suiviDi[Prénom])),FALSE),"")</f>
        <v/>
      </c>
      <c r="I72" s="96" t="str">
        <f>IFERROR(VLOOKUP(T_BilanSocial[[#This Row],[Zone_Bilan]],T_P_BilanSocial[#Data],COLUMN(T_P_BilanSocial[[#This Row],[Numero_SIHAM]]),FALSE),"")</f>
        <v/>
      </c>
      <c r="J72" s="96" t="str">
        <f>IFERROR(VLOOKUP(T_BilanSocial[[#This Row],[Zone_Bilan]],T_P_BilanSocial[#Data],COLUMN(T_P_BilanSocial[[#This Row],[Sexe]]),FALSE),"")</f>
        <v/>
      </c>
      <c r="K72" s="97" t="str">
        <f>IFERROR(VLOOKUP(T_BilanSocial[[#This Row],[Zone_Bilan]],T_P_BilanSocial[#Data],COLUMN(T_P_BilanSocial[[#This Row],[Categorie]]),FALSE),"")</f>
        <v/>
      </c>
      <c r="L72" s="96" t="str">
        <f>IFERROR(VLOOKUP(T_BilanSocial[[#This Row],[Zone_Bilan]],T_P_BilanSocial[#Data],COLUMN(T_P_BilanSocial[[#This Row],[Statut]]),FALSE),"")</f>
        <v/>
      </c>
      <c r="M72" s="96" t="str">
        <f>IFERROR(VLOOKUP(T_BilanSocial[[#This Row],[Zone_Bilan]],T_P_BilanSocial[#Data],COLUMN(T_P_BilanSocial[[#This Row],[Filiere]]),FALSE),"")</f>
        <v/>
      </c>
      <c r="N72" s="96" t="e">
        <f>VLOOKUP(T_BilanSocial[[#This Row],[NumL]],T_TraitDi[#Data],COLUMN(T_TraitDi[EXP]),FALSE)</f>
        <v>#N/A</v>
      </c>
      <c r="O72" s="96" t="e">
        <f>VLOOKUP(T_BilanSocial[[#This Row],[NumL]],T_TraitDi[#Data],COLUMN(T_TraitDi[FORM]),FALSE)</f>
        <v>#N/A</v>
      </c>
      <c r="P72" s="96" t="str">
        <f>IF(T_BilanSocial[[#This Row],[Final]]&lt;&gt;"",VLOOKUP(T_BilanSocial[[#This Row],[NumL]],T_suiviDi[#Data],COLUMN((T_suiviDi[Email])),FALSE),"")</f>
        <v/>
      </c>
      <c r="Q72" s="164" t="e">
        <f t="shared" si="7"/>
        <v>#N/A</v>
      </c>
      <c r="R72" s="164" t="e">
        <f t="shared" si="8"/>
        <v>#N/A</v>
      </c>
      <c r="S72" s="164" t="e">
        <f>IF(VLOOKUP(T_BilanSocial[[#This Row],[NumL]],T_suiviDi[#Data],COLUMN(T_suiviDi[[#This Row],[Service ]]),FALSE)="","",VLOOKUP(T_BilanSocial[[#This Row],[NumL]],T_suiviDi[#Data],COLUMN(T_suiviDi[[#This Row],[Service ]]),FALSE))</f>
        <v>#VALUE!</v>
      </c>
      <c r="T72" s="164" t="str">
        <f t="shared" si="12"/>
        <v>01 septembre 2021</v>
      </c>
      <c r="U72" s="164" t="str">
        <f t="shared" si="13"/>
        <v>30 novembre 2021</v>
      </c>
      <c r="V72" s="164" t="str">
        <f t="shared" si="14"/>
        <v>30 novembre 2021</v>
      </c>
      <c r="W72" s="176" t="e">
        <f>IF(VLOOKUP(T_BilanSocial[[#This Row],[NumL]],T_TraitDi[#Data],COLUMN(T_TraitDi[[#This Row],[M1]]),FALSE)="","",VLOOKUP(T_BilanSocial[[#This Row],[NumL]],T_TraitDi[#Data],COLUMN(T_TraitDi[[#This Row],[M1]]),FALSE))</f>
        <v>#VALUE!</v>
      </c>
      <c r="X72" s="176" t="e">
        <f>IF(VLOOKUP(T_BilanSocial[[#This Row],[NumL]],T_TraitDi[#Data],COLUMN(T_TraitDi[[#This Row],[M2]]),FALSE)="","",VLOOKUP(T_BilanSocial[[#This Row],[NumL]],T_TraitDi[#Data],COLUMN(T_TraitDi[[#This Row],[M2]]),FALSE))</f>
        <v>#VALUE!</v>
      </c>
      <c r="Y72" s="176" t="e">
        <f>IF(VLOOKUP(T_BilanSocial[[#This Row],[NumL]],T_TraitDi[#Data],COLUMN(T_TraitDi[[#This Row],[M3]]),FALSE)="","",VLOOKUP(T_BilanSocial[[#This Row],[NumL]],T_TraitDi[#Data],COLUMN(T_TraitDi[[#This Row],[M3]]),FALSE))</f>
        <v>#VALUE!</v>
      </c>
      <c r="Z72" s="176" t="str">
        <f t="shared" si="16"/>
        <v/>
      </c>
      <c r="AA72" s="176" t="e">
        <f>IF(VLOOKUP(T_BilanSocial[[#This Row],[NumL]],T_TraitDi[#Data],COLUMN(T_TraitDi[[#This Row],[M5]]),FALSE)="","",VLOOKUP(T_BilanSocial[[#This Row],[NumL]],T_TraitDi[#Data],COLUMN(T_TraitDi[[#This Row],[M5]]),FALSE))</f>
        <v>#VALUE!</v>
      </c>
      <c r="AB72" s="176" t="e">
        <f>IF(VLOOKUP(T_BilanSocial[[#This Row],[NumL]],T_TraitDi[#Data],COLUMN(T_TraitDi[[#This Row],[M6]]),FALSE)="","",VLOOKUP(T_BilanSocial[[#This Row],[NumL]],T_TraitDi[#Data],COLUMN(T_TraitDi[[#This Row],[M6]]),FALSE))</f>
        <v>#VALUE!</v>
      </c>
      <c r="AC72" s="165" t="e">
        <f t="shared" si="15"/>
        <v>#VALUE!</v>
      </c>
      <c r="AD72" s="188" t="str">
        <f>IFERROR(TEXT(VLOOKUP(T_BilanSocial[[#This Row],[NumL]],T_TraitDi[#Data],COLUMN(T_TraitDi[[#This Row],[Q2]]),FALSE),"###%"),"")</f>
        <v/>
      </c>
      <c r="AE72" s="97" t="e">
        <f>VLOOKUP(T_BilanSocial[[#This Row],[NumL]],T_TraitDi[#Data],COLUMN(T_TraitDi[[#This Row],[Reg Ponct]]),FALSE)</f>
        <v>#VALUE!</v>
      </c>
      <c r="AF72" s="97" t="e">
        <f>VLOOKUP(T_BilanSocial[NumL],T_TraitDi[#Data],COLUMN(T_TraitDi[[#This Row],[Jours flottants]]),FALSE)</f>
        <v>#VALUE!</v>
      </c>
      <c r="AG72" s="97" t="str">
        <f>IFERROR(VLOOKUP(T_BilanSocial[[#This Row],[NumL]],T_TraitDi[#Data],COLUMN(T_TraitDi[[#This Row],[Lundi]]),FALSE),"")</f>
        <v/>
      </c>
      <c r="AH72" s="172" t="e">
        <f>IF(VLOOKUP(T_BilanSocial[[#This Row],[NumL]],T_TraitDi[#Data],COLUMN(T_TraitDi[[#This Row],[Colonne3]]),FALSE)=0,"",TEXT(IFERROR(VLOOKUP(T_BilanSocial[[#This Row],[NumL]],T_TraitDi[#Data],COLUMN(T_TraitDi[[#This Row],[Colonne3]]),FALSE),""),"[hh]:mm"))</f>
        <v>#VALUE!</v>
      </c>
      <c r="AI72" s="172" t="e">
        <f>IF(VLOOKUP(T_BilanSocial[[#This Row],[NumL]],T_TraitDi[#Data],COLUMN(T_TraitDi[[#This Row],[Colonne4]]),FALSE)=0,"",TEXT(IFERROR(VLOOKUP(T_BilanSocial[[#This Row],[NumL]],T_TraitDi[#Data],COLUMN(T_TraitDi[[#This Row],[Colonne4]]),FALSE),""),"[hh]:mm"))</f>
        <v>#VALUE!</v>
      </c>
      <c r="AJ72" s="172" t="e">
        <f>IF(VLOOKUP(T_BilanSocial[[#This Row],[NumL]],T_TraitDi[#Data],COLUMN(T_TraitDi[[#This Row],[Colonne5]]),FALSE)=0,"",TEXT(IFERROR(VLOOKUP(T_BilanSocial[[#This Row],[NumL]],T_TraitDi[#Data],COLUMN(T_TraitDi[[#This Row],[Colonne5]]),FALSE),""),"[hh]:mm"))</f>
        <v>#VALUE!</v>
      </c>
      <c r="AK72" s="172" t="e">
        <f>IF(VLOOKUP(T_BilanSocial[[#This Row],[NumL]],T_TraitDi[#Data],COLUMN(T_TraitDi[[#This Row],[Colonne6]]),FALSE)=0,"",TEXT(IFERROR(VLOOKUP(T_BilanSocial[[#This Row],[NumL]],T_TraitDi[#Data],COLUMN(T_TraitDi[[#This Row],[Colonne6]]),FALSE),""),"[hh]:mm"))</f>
        <v>#VALUE!</v>
      </c>
      <c r="AL72" s="172" t="e">
        <f>IF(VLOOKUP(T_BilanSocial[[#This Row],[NumL]],T_TraitDi[#Data],COLUMN(T_TraitDi[[#This Row],[Colonne7]]),FALSE)=0,"",TEXT(IFERROR(VLOOKUP(T_BilanSocial[[#This Row],[NumL]],T_TraitDi[#Data],COLUMN(T_TraitDi[[#This Row],[Colonne7]]),FALSE),""),"[hh]:mm"))</f>
        <v>#VALUE!</v>
      </c>
      <c r="AM72" s="172" t="e">
        <f>IF(VLOOKUP(T_BilanSocial[[#This Row],[NumL]],T_TraitDi[#Data],COLUMN(T_TraitDi[[#This Row],[Colonne8]]),FALSE)=0,"",TEXT(IFERROR(VLOOKUP(T_BilanSocial[[#This Row],[NumL]],T_TraitDi[#Data],COLUMN(T_TraitDi[[#This Row],[Colonne8]]),FALSE),""),"[hh]:mm"))</f>
        <v>#VALUE!</v>
      </c>
      <c r="AN72" s="172" t="str">
        <f>IFERROR(VLOOKUP(T_BilanSocial[[#This Row],[NumL]],T_TraitDi[#Data],COLUMN(T_TraitDi[[#This Row],[Mardi]]),FALSE),"")</f>
        <v/>
      </c>
      <c r="AO72" s="172" t="e">
        <f>IF(VLOOKUP(T_BilanSocial[[#This Row],[NumL]],T_TraitDi[#Data],COLUMN(T_TraitDi[[#This Row],[Colonne1]]),FALSE)=0,"",TEXT(IFERROR(VLOOKUP(T_BilanSocial[[#This Row],[NumL]],T_TraitDi[#Data],COLUMN(T_TraitDi[[#This Row],[Colonne1]]),FALSE),""),"[hh]:mm"))</f>
        <v>#VALUE!</v>
      </c>
      <c r="AP72" s="172" t="e">
        <f>IF(VLOOKUP(T_BilanSocial[[#This Row],[NumL]],T_TraitDi[#Data],COLUMN(T_TraitDi[[#This Row],[Colonne9]]),FALSE)=0,"",TEXT(IFERROR(VLOOKUP(T_BilanSocial[[#This Row],[NumL]],T_TraitDi[#Data],COLUMN(T_TraitDi[[#This Row],[Colonne9]]),FALSE),""),"[hh]:mm"))</f>
        <v>#VALUE!</v>
      </c>
      <c r="AQ72" s="172" t="str">
        <f>IFERROR(VLOOKUP(T_BilanSocial[[#This Row],[NumL]],T_TraitDi[#Data],COLUMN(T_TraitDi[[#This Row],[Colonne10]]),FALSE),"")</f>
        <v/>
      </c>
      <c r="AR72" s="172" t="e">
        <f>IF(VLOOKUP(T_BilanSocial[[#This Row],[NumL]],T_TraitDi[#Data],COLUMN(T_TraitDi[[#This Row],[Colonne11]]),FALSE)=0,"",TEXT(IFERROR(VLOOKUP(T_BilanSocial[[#This Row],[NumL]],T_TraitDi[#Data],COLUMN(T_TraitDi[[#This Row],[Colonne11]]),FALSE),""),"[hh]:mm"))</f>
        <v>#VALUE!</v>
      </c>
      <c r="AS72" s="172" t="e">
        <f>IF(VLOOKUP(T_BilanSocial[[#This Row],[NumL]],T_TraitDi[#Data],COLUMN(T_TraitDi[[#This Row],[Colonne12]]),FALSE)=0,"",TEXT(IFERROR(VLOOKUP(T_BilanSocial[[#This Row],[NumL]],T_TraitDi[#Data],COLUMN(T_TraitDi[[#This Row],[Colonne12]]),FALSE),""),"[hh]:mm"))</f>
        <v>#VALUE!</v>
      </c>
      <c r="AT72" s="172" t="e">
        <f>IF(VLOOKUP(T_BilanSocial[[#This Row],[NumL]],T_TraitDi[#Data],COLUMN(T_TraitDi[[#This Row],[Colonne14]]),FALSE)=0,"",TEXT(IFERROR(VLOOKUP(T_BilanSocial[[#This Row],[NumL]],T_TraitDi[#Data],COLUMN(T_TraitDi[[#This Row],[Colonne14]]),FALSE),""),"[hh]:mm"))</f>
        <v>#VALUE!</v>
      </c>
      <c r="AU72" s="172" t="str">
        <f>IFERROR(VLOOKUP(T_BilanSocial[[#This Row],[NumL]],T_TraitDi[#Data],COLUMN(T_TraitDi[[#This Row],[Mercredi]]),FALSE),"")</f>
        <v/>
      </c>
      <c r="AV72" s="172" t="e">
        <f>IF(VLOOKUP(T_BilanSocial[[#This Row],[NumL]],T_TraitDi[#Data],COLUMN(T_TraitDi[[#This Row],[Colonne15]]),FALSE)=0,"",TEXT(IFERROR(VLOOKUP(T_BilanSocial[[#This Row],[NumL]],T_TraitDi[#Data],COLUMN(T_TraitDi[[#This Row],[Colonne15]]),FALSE),""),"[hh]:mm"))</f>
        <v>#VALUE!</v>
      </c>
      <c r="AW72" s="172" t="e">
        <f>IF(VLOOKUP(T_BilanSocial[[#This Row],[NumL]],T_TraitDi[#Data],COLUMN(T_TraitDi[[#This Row],[Colonne16]]),FALSE)=0,"",TEXT(IFERROR(VLOOKUP(T_BilanSocial[[#This Row],[NumL]],T_TraitDi[#Data],COLUMN(T_TraitDi[[#This Row],[Colonne16]]),FALSE),""),"[hh]:mm"))</f>
        <v>#VALUE!</v>
      </c>
      <c r="AX72" s="172" t="str">
        <f>IFERROR(VLOOKUP(T_BilanSocial[[#This Row],[NumL]],T_TraitDi[#Data],COLUMN(T_TraitDi[[#This Row],[Colonne17]]),FALSE),"")</f>
        <v/>
      </c>
      <c r="AY72" s="172" t="e">
        <f>IF(VLOOKUP(T_BilanSocial[[#This Row],[NumL]],T_TraitDi[#Data],COLUMN(T_TraitDi[[#This Row],[Colonne18]]),FALSE)=0,"",TEXT(IFERROR(VLOOKUP(T_BilanSocial[[#This Row],[NumL]],T_TraitDi[#Data],COLUMN(T_TraitDi[[#This Row],[Colonne18]]),FALSE),""),"[hh]:mm"))</f>
        <v>#VALUE!</v>
      </c>
      <c r="AZ72" s="172" t="e">
        <f>IF(VLOOKUP(T_BilanSocial[[#This Row],[NumL]],T_TraitDi[#Data],COLUMN(T_TraitDi[[#This Row],[Colonne19]]),FALSE)=0,"",TEXT(IFERROR(VLOOKUP(T_BilanSocial[[#This Row],[NumL]],T_TraitDi[#Data],COLUMN(T_TraitDi[[#This Row],[Colonne19]]),FALSE),""),"[hh]:mm"))</f>
        <v>#VALUE!</v>
      </c>
      <c r="BA72" s="172" t="e">
        <f>IF(VLOOKUP(T_BilanSocial[[#This Row],[NumL]],T_TraitDi[#Data],COLUMN(T_TraitDi[[#This Row],[Colonne20]]),FALSE)=0,"",TEXT(IFERROR(VLOOKUP(T_BilanSocial[[#This Row],[NumL]],T_TraitDi[#Data],COLUMN(T_TraitDi[[#This Row],[Colonne20]]),FALSE),""),"[hh]:mm"))</f>
        <v>#VALUE!</v>
      </c>
      <c r="BB72" s="178" t="str">
        <f>IFERROR(VLOOKUP(T_BilanSocial[[#This Row],[NumL]],T_TraitDi[#Data],COLUMN(T_TraitDi[[#This Row],[Jeudi]]),FALSE),"")</f>
        <v/>
      </c>
      <c r="BC72" s="178" t="e">
        <f>IF(VLOOKUP(T_BilanSocial[[#This Row],[NumL]],T_TraitDi[#Data],COLUMN(T_TraitDi[[#This Row],[Colonne21]]),FALSE)=0,"",TEXT(IFERROR(VLOOKUP(T_BilanSocial[[#This Row],[NumL]],T_TraitDi[#Data],COLUMN(T_TraitDi[[#This Row],[Colonne21]]),FALSE),""),"[hh]:mm"))</f>
        <v>#VALUE!</v>
      </c>
      <c r="BD72" s="178" t="e">
        <f>IF(VLOOKUP(T_BilanSocial[[#This Row],[NumL]],T_TraitDi[#Data],COLUMN(T_TraitDi[[#This Row],[Colonne22]]),FALSE)=0,"",TEXT(IFERROR(VLOOKUP(T_BilanSocial[[#This Row],[NumL]],T_TraitDi[#Data],COLUMN(T_TraitDi[[#This Row],[Colonne22]]),FALSE),""),"[hh]:mm"))</f>
        <v>#VALUE!</v>
      </c>
      <c r="BE72" s="178" t="str">
        <f>IFERROR(VLOOKUP(T_BilanSocial[[#This Row],[NumL]],T_TraitDi[#Data],COLUMN(T_TraitDi[[#This Row],[Colonne23]]),FALSE),"")</f>
        <v/>
      </c>
      <c r="BF72" s="178" t="e">
        <f>IF(VLOOKUP(T_BilanSocial[[#This Row],[NumL]],T_TraitDi[#Data],COLUMN(T_TraitDi[[#This Row],[Colonne24]]),FALSE)=0,"",TEXT(IFERROR(VLOOKUP(T_BilanSocial[[#This Row],[NumL]],T_TraitDi[#Data],COLUMN(T_TraitDi[[#This Row],[Colonne24]]),FALSE),""),"[hh]:mm"))</f>
        <v>#VALUE!</v>
      </c>
      <c r="BG72" s="178" t="e">
        <f>IF(VLOOKUP(T_BilanSocial[[#This Row],[NumL]],T_TraitDi[#Data],COLUMN(T_TraitDi[[#This Row],[Colonne25]]),FALSE)=0,"",TEXT(IFERROR(VLOOKUP(T_BilanSocial[[#This Row],[NumL]],T_TraitDi[#Data],COLUMN(T_TraitDi[[#This Row],[Colonne25]]),FALSE),""),"[hh]:mm"))</f>
        <v>#VALUE!</v>
      </c>
      <c r="BH72" s="178" t="e">
        <f>IF(VLOOKUP(T_BilanSocial[[#This Row],[NumL]],T_TraitDi[#Data],COLUMN(T_TraitDi[[#This Row],[Colonne26]]),FALSE)=0,"",TEXT(IFERROR(VLOOKUP(T_BilanSocial[[#This Row],[NumL]],T_TraitDi[#Data],COLUMN(T_TraitDi[[#This Row],[Colonne26]]),FALSE),""),"[hh]:mm"))</f>
        <v>#VALUE!</v>
      </c>
      <c r="BI72" s="172" t="str">
        <f>IFERROR(VLOOKUP(T_BilanSocial[[#This Row],[NumL]],T_TraitDi[#Data],COLUMN(T_TraitDi[[#This Row],[Vendredi]]),FALSE),"")</f>
        <v/>
      </c>
      <c r="BJ72" s="172" t="e">
        <f>IF(VLOOKUP(T_BilanSocial[[#This Row],[NumL]],T_TraitDi[#Data],COLUMN(T_TraitDi[[#This Row],[Colonne27]]),FALSE)=0,"",TEXT(IFERROR(VLOOKUP(T_BilanSocial[[#This Row],[NumL]],T_TraitDi[#Data],COLUMN(T_TraitDi[[#This Row],[Colonne27]]),FALSE),""),"[hh]:mm"))</f>
        <v>#VALUE!</v>
      </c>
      <c r="BK72" s="172" t="e">
        <f>IF(VLOOKUP(T_BilanSocial[[#This Row],[NumL]],T_TraitDi[#Data],COLUMN(T_TraitDi[[#This Row],[Colonne28]]),FALSE)=0,"",TEXT(IFERROR(VLOOKUP(T_BilanSocial[[#This Row],[NumL]],T_TraitDi[#Data],COLUMN(T_TraitDi[[#This Row],[Colonne28]]),FALSE),""),"[hh]:mm"))</f>
        <v>#VALUE!</v>
      </c>
      <c r="BL72" s="172" t="str">
        <f>IFERROR(VLOOKUP(T_BilanSocial[[#This Row],[NumL]],T_TraitDi[#Data],COLUMN(T_TraitDi[[#This Row],[Colonne29]]),FALSE),"")</f>
        <v/>
      </c>
      <c r="BM72" s="172" t="e">
        <f>IF(VLOOKUP(T_BilanSocial[[#This Row],[NumL]],T_TraitDi[#Data],COLUMN(T_TraitDi[[#This Row],[Colonne30]]),FALSE)=0,"",TEXT(IFERROR(VLOOKUP(T_BilanSocial[[#This Row],[NumL]],T_TraitDi[#Data],COLUMN(T_TraitDi[[#This Row],[Colonne30]]),FALSE),""),"[hh]:mm"))</f>
        <v>#VALUE!</v>
      </c>
      <c r="BN72" s="172" t="e">
        <f>IF(VLOOKUP(T_BilanSocial[[#This Row],[NumL]],T_TraitDi[#Data],COLUMN(T_TraitDi[[#This Row],[Colonne31]]),FALSE)=0,"",TEXT(IFERROR(VLOOKUP(T_BilanSocial[[#This Row],[NumL]],T_TraitDi[#Data],COLUMN(T_TraitDi[[#This Row],[Colonne31]]),FALSE),""),"[hh]:mm"))</f>
        <v>#VALUE!</v>
      </c>
      <c r="BO72" s="172" t="e">
        <f>IF(VLOOKUP(T_BilanSocial[[#This Row],[NumL]],T_TraitDi[#Data],COLUMN(T_TraitDi[[#This Row],[Colonne32]]),FALSE)=0,"",TEXT(IFERROR(VLOOKUP(T_BilanSocial[[#This Row],[NumL]],T_TraitDi[#Data],COLUMN(T_TraitDi[[#This Row],[Colonne32]]),FALSE),""),"[hh]:mm"))</f>
        <v>#VALUE!</v>
      </c>
      <c r="BP72" s="172" t="e">
        <f>VLOOKUP(T_BilanSocial[[#This Row],[NumL]],T_TraitDi[#Data],COLUMN(T_TraitDi[NbJTot]),FALSE)</f>
        <v>#N/A</v>
      </c>
      <c r="BQ72" s="174" t="str">
        <f>IFERROR(VLOOKUP(T_BilanSocial[[#This Row],[NumL]],T_TraitDi[#Data],COLUMN(T_TraitDi[[#This Row],[NbJTW]]),FALSE),"")</f>
        <v/>
      </c>
      <c r="BR72" s="174" t="e">
        <f>IF(VLOOKUP(T_BilanSocial[[#This Row],[NumL]],T_TraitDi[#Data],COLUMN(T_TraitDi[[#This Row],[NbhTW]]),FALSE)=0,"",TEXT(IFERROR(VLOOKUP(T_BilanSocial[[#This Row],[NumL]],T_TraitDi[#Data],COLUMN(T_TraitDi[[#This Row],[NbhTW]]),FALSE),""),"[hh]:mm"))</f>
        <v>#VALUE!</v>
      </c>
      <c r="BS72" s="174" t="e">
        <f>IF(VLOOKUP(T_BilanSocial[[#This Row],[NumL]],T_TraitDi[#Data],COLUMN(T_TraitDi[[#This Row],[Nbhheb]]),FALSE)=0,"",TEXT(IFERROR(VLOOKUP($A72,T_TraitDi[#Data],COLUMN(T_TraitDi[[#This Row],[Nbhheb]]),FALSE),""),"[hh]:mm"))</f>
        <v>#VALUE!</v>
      </c>
      <c r="BT72" s="182" t="str">
        <f>IFERROR(VLOOKUP(VLOOKUP($A72,T_TraitDi[#Data],COLUMN(T_TraitDi[[#This Row],[Type1]]),FALSE),TypeTW,2,FALSE),"")</f>
        <v/>
      </c>
      <c r="BU72" s="182" t="str">
        <f>IFERROR(VLOOKUP($A72,T_TraitDi[#Data],COLUMN(T_TraitDi[[#This Row],[Rue1]]),FALSE),"")</f>
        <v/>
      </c>
      <c r="BV72" s="173" t="str">
        <f>IFERROR(VLOOKUP($A72,T_TraitDi[#Data],COLUMN(T_TraitDi[[#This Row],[CP1]]),FALSE),"")</f>
        <v/>
      </c>
      <c r="BW72" s="173" t="str">
        <f>IFERROR(VLOOKUP($A72,T_TraitDi[#Data],COLUMN(T_TraitDi[[#This Row],[VILLE1]]),FALSE),"")</f>
        <v/>
      </c>
      <c r="BX72" s="182" t="str">
        <f>IFERROR(VLOOKUP(VLOOKUP($A72,T_TraitDi[#Data],COLUMN(T_TraitDi[[#This Row],[Type2]]),FALSE),TypeTW,2,FALSE),"")</f>
        <v/>
      </c>
      <c r="BY72" s="182" t="str">
        <f>IFERROR(VLOOKUP($A72,T_TraitDi[#Data],COLUMN(T_TraitDi[[#This Row],[Rue2]]),FALSE),"")</f>
        <v/>
      </c>
      <c r="BZ72" s="173" t="str">
        <f>IFERROR(VLOOKUP($A72,T_TraitDi[#Data],COLUMN(T_TraitDi[[#This Row],[CP2]]),FALSE),"")</f>
        <v/>
      </c>
      <c r="CA72" s="173" t="str">
        <f>IFERROR(VLOOKUP($A72,T_TraitDi[#Data],COLUMN(T_TraitDi[[#This Row],[VILLE2]]),FALSE),"")</f>
        <v/>
      </c>
      <c r="CB72" s="182" t="str">
        <f>IF(VLOOKUP(T_BilanSocial[[#This Row],[NumL]],T_Equipement[#Data],COLUMN(T_Equipement[[#This Row],[PC]]),FALSE)="","Aucun équipement spécifique directement lié au télétravail",VLOOKUP(T_BilanSocial[[#This Row],[NumL]],T_Equipement[#Data],COLUMN(T_Equipement[[#This Row],[PC]]),FALSE))</f>
        <v xml:space="preserve">18-052	</v>
      </c>
      <c r="CC72" s="166" t="str">
        <f>IFERROR(IF(VLOOKUP(T_BilanSocial[[#This Row],[NumL]],T_TraitDi[#Data],COLUMN(T_TraitDi[[#This Row],[Plan]]),FALSE)="OK","Un planning spécifique de télétravail est annexé à la présente convention.",""),"")</f>
        <v/>
      </c>
      <c r="CD72" s="258" t="s">
        <v>3335</v>
      </c>
      <c r="CE72" s="164" t="e">
        <f>IF(VLOOKUP(T_BilanSocial[[#This Row],[NumL]],T_suiviDi[#Data],COLUMN(T_suiviDi[[#This Row],[Entité]]),FALSE)="","",VLOOKUP(T_BilanSocial[[#This Row],[NumL]],T_suiviDi[#Data],COLUMN(T_suiviDi[[#This Row],[Entité]]),FALSE))</f>
        <v>#VALUE!</v>
      </c>
      <c r="CF72" s="164" t="str">
        <f>IF(VLOOKUP(T_BilanSocial[[#This Row],[NumL]],T_Commission[#Data],COLUMN(T_Commission[[#This Row],[envoi confirm TW]]),FALSE)="","",VLOOKUP(T_BilanSocial[[#This Row],[NumL]],T_Commission[#Data],COLUMN(T_Commission[[#This Row],[envoi confirm TW]]),FALSE))</f>
        <v>Oui</v>
      </c>
      <c r="CG7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2" s="262" t="str">
        <f>T_BilanSocial[[#This Row],[Nom]]&amp;T_BilanSocial[[#This Row],[Prenom]]</f>
        <v/>
      </c>
      <c r="CI72" s="262">
        <f>VLOOKUP(T_BilanSocial[[#This Row],[NumL]],T_Commission[#Data],COLUMN(T_Commission[Commentaire]),FALSE)</f>
        <v>0</v>
      </c>
      <c r="CJ72" s="262" t="str">
        <f>IF(VLOOKUP(T_BilanSocial[[#This Row],[NumL]],T_Commission[#Data],COLUMN(T_Commission[Encadrant Email]),FALSE)="","",VLOOKUP(T_BilanSocial[[#This Row],[NumL]],T_Commission[#Data],COLUMN(T_Commission[Encadrant Email]),FALSE))</f>
        <v/>
      </c>
      <c r="CK72" s="340" t="str">
        <f>IF(T_BilanSocial[[#This Row],[Final]]&lt;&gt;"",VLOOKUP(T_BilanSocial[[#This Row],[NumL]],T_suiviDi[#Data],COLUMN((T_suiviDi[Statut])),FALSE),"")</f>
        <v/>
      </c>
    </row>
    <row r="73" spans="1:89" s="106" customFormat="1" ht="24.75" customHeight="1" x14ac:dyDescent="0.25">
      <c r="A73" s="160">
        <v>70</v>
      </c>
      <c r="B73" s="161" t="str">
        <f t="shared" si="10"/>
        <v/>
      </c>
      <c r="C73" s="162" t="s">
        <v>173</v>
      </c>
      <c r="D73" s="95" t="e">
        <f>IF(VLOOKUP(T_BilanSocial[[#This Row],[NumL]],T_TraitDi[#Data],COLUMN(T_TraitDi[[#This Row],[WebC]]),FALSE)="","",VLOOKUP(T_BilanSocial[[#This Row],[NumL]],T_TraitDi[#Data],COLUMN(T_TraitDi[[#This Row],[WebC]]),FALSE))</f>
        <v>#VALUE!</v>
      </c>
      <c r="E73" s="163" t="str">
        <f t="shared" si="11"/>
        <v>12 janvier 2021</v>
      </c>
      <c r="F73" s="96" t="str">
        <f>IF(T_BilanSocial[[#This Row],[Final]]&lt;&gt;"",VLOOKUP(T_BilanSocial[[#This Row],[NumL]],T_suiviDi[#Data],COLUMN((T_suiviDi[Civ.])),FALSE),"")</f>
        <v/>
      </c>
      <c r="G73" s="96" t="str">
        <f>IF(T_BilanSocial[[#This Row],[Final]]&lt;&gt;"",VLOOKUP(T_BilanSocial[[#This Row],[NumL]],T_suiviDi[#Data],COLUMN((T_suiviDi[Nom])),FALSE),"")</f>
        <v/>
      </c>
      <c r="H73" s="96" t="str">
        <f>IF(T_BilanSocial[[#This Row],[Final]]&lt;&gt;"",VLOOKUP(T_BilanSocial[[#This Row],[NumL]],T_suiviDi[#Data],COLUMN((T_suiviDi[Prénom])),FALSE),"")</f>
        <v/>
      </c>
      <c r="I73" s="96" t="str">
        <f>IFERROR(VLOOKUP(T_BilanSocial[[#This Row],[Zone_Bilan]],T_P_BilanSocial[#Data],COLUMN(T_P_BilanSocial[[#This Row],[Numero_SIHAM]]),FALSE),"")</f>
        <v/>
      </c>
      <c r="J73" s="96" t="str">
        <f>IFERROR(VLOOKUP(T_BilanSocial[[#This Row],[Zone_Bilan]],T_P_BilanSocial[#Data],COLUMN(T_P_BilanSocial[[#This Row],[Sexe]]),FALSE),"")</f>
        <v/>
      </c>
      <c r="K73" s="97" t="str">
        <f>IFERROR(VLOOKUP(T_BilanSocial[[#This Row],[Zone_Bilan]],T_P_BilanSocial[#Data],COLUMN(T_P_BilanSocial[[#This Row],[Categorie]]),FALSE),"")</f>
        <v/>
      </c>
      <c r="L73" s="96" t="str">
        <f>IFERROR(VLOOKUP(T_BilanSocial[[#This Row],[Zone_Bilan]],T_P_BilanSocial[#Data],COLUMN(T_P_BilanSocial[[#This Row],[Statut]]),FALSE),"")</f>
        <v/>
      </c>
      <c r="M73" s="96" t="str">
        <f>IFERROR(VLOOKUP(T_BilanSocial[[#This Row],[Zone_Bilan]],T_P_BilanSocial[#Data],COLUMN(T_P_BilanSocial[[#This Row],[Filiere]]),FALSE),"")</f>
        <v/>
      </c>
      <c r="N73" s="96" t="e">
        <f>VLOOKUP(T_BilanSocial[[#This Row],[NumL]],T_TraitDi[#Data],COLUMN(T_TraitDi[EXP]),FALSE)</f>
        <v>#N/A</v>
      </c>
      <c r="O73" s="96" t="e">
        <f>VLOOKUP(T_BilanSocial[[#This Row],[NumL]],T_TraitDi[#Data],COLUMN(T_TraitDi[FORM]),FALSE)</f>
        <v>#N/A</v>
      </c>
      <c r="P73" s="96" t="str">
        <f>IF(T_BilanSocial[[#This Row],[Final]]&lt;&gt;"",VLOOKUP(T_BilanSocial[[#This Row],[NumL]],T_suiviDi[#Data],COLUMN((T_suiviDi[Email])),FALSE),"")</f>
        <v/>
      </c>
      <c r="Q73" s="164" t="e">
        <f t="shared" si="7"/>
        <v>#N/A</v>
      </c>
      <c r="R73" s="164" t="e">
        <f t="shared" si="8"/>
        <v>#N/A</v>
      </c>
      <c r="S73" s="164" t="e">
        <f>IF(VLOOKUP(T_BilanSocial[[#This Row],[NumL]],T_suiviDi[#Data],COLUMN(T_suiviDi[[#This Row],[Service ]]),FALSE)="","",VLOOKUP(T_BilanSocial[[#This Row],[NumL]],T_suiviDi[#Data],COLUMN(T_suiviDi[[#This Row],[Service ]]),FALSE))</f>
        <v>#VALUE!</v>
      </c>
      <c r="T73" s="164" t="str">
        <f t="shared" si="12"/>
        <v>01 septembre 2021</v>
      </c>
      <c r="U73" s="164" t="str">
        <f t="shared" si="13"/>
        <v>30 novembre 2021</v>
      </c>
      <c r="V73" s="164" t="str">
        <f t="shared" si="14"/>
        <v>30 novembre 2021</v>
      </c>
      <c r="W73" s="176" t="e">
        <f>IF(VLOOKUP(T_BilanSocial[[#This Row],[NumL]],T_TraitDi[#Data],COLUMN(T_TraitDi[[#This Row],[M1]]),FALSE)="","",VLOOKUP(T_BilanSocial[[#This Row],[NumL]],T_TraitDi[#Data],COLUMN(T_TraitDi[[#This Row],[M1]]),FALSE))</f>
        <v>#VALUE!</v>
      </c>
      <c r="X73" s="176" t="e">
        <f>IF(VLOOKUP(T_BilanSocial[[#This Row],[NumL]],T_TraitDi[#Data],COLUMN(T_TraitDi[[#This Row],[M2]]),FALSE)="","",VLOOKUP(T_BilanSocial[[#This Row],[NumL]],T_TraitDi[#Data],COLUMN(T_TraitDi[[#This Row],[M2]]),FALSE))</f>
        <v>#VALUE!</v>
      </c>
      <c r="Y73" s="176" t="e">
        <f>IF(VLOOKUP(T_BilanSocial[[#This Row],[NumL]],T_TraitDi[#Data],COLUMN(T_TraitDi[[#This Row],[M3]]),FALSE)="","",VLOOKUP(T_BilanSocial[[#This Row],[NumL]],T_TraitDi[#Data],COLUMN(T_TraitDi[[#This Row],[M3]]),FALSE))</f>
        <v>#VALUE!</v>
      </c>
      <c r="Z73" s="176" t="str">
        <f t="shared" si="16"/>
        <v/>
      </c>
      <c r="AA73" s="176" t="e">
        <f>IF(VLOOKUP(T_BilanSocial[[#This Row],[NumL]],T_TraitDi[#Data],COLUMN(T_TraitDi[[#This Row],[M5]]),FALSE)="","",VLOOKUP(T_BilanSocial[[#This Row],[NumL]],T_TraitDi[#Data],COLUMN(T_TraitDi[[#This Row],[M5]]),FALSE))</f>
        <v>#VALUE!</v>
      </c>
      <c r="AB73" s="176" t="e">
        <f>IF(VLOOKUP(T_BilanSocial[[#This Row],[NumL]],T_TraitDi[#Data],COLUMN(T_TraitDi[[#This Row],[M6]]),FALSE)="","",VLOOKUP(T_BilanSocial[[#This Row],[NumL]],T_TraitDi[#Data],COLUMN(T_TraitDi[[#This Row],[M6]]),FALSE))</f>
        <v>#VALUE!</v>
      </c>
      <c r="AC73" s="165" t="e">
        <f t="shared" si="15"/>
        <v>#VALUE!</v>
      </c>
      <c r="AD73" s="188" t="str">
        <f>IFERROR(TEXT(VLOOKUP(T_BilanSocial[[#This Row],[NumL]],T_TraitDi[#Data],COLUMN(T_TraitDi[[#This Row],[Q2]]),FALSE),"###%"),"")</f>
        <v/>
      </c>
      <c r="AE73" s="97" t="e">
        <f>VLOOKUP(T_BilanSocial[[#This Row],[NumL]],T_TraitDi[#Data],COLUMN(T_TraitDi[[#This Row],[Reg Ponct]]),FALSE)</f>
        <v>#VALUE!</v>
      </c>
      <c r="AF73" s="97" t="e">
        <f>VLOOKUP(T_BilanSocial[NumL],T_TraitDi[#Data],COLUMN(T_TraitDi[[#This Row],[Jours flottants]]),FALSE)</f>
        <v>#VALUE!</v>
      </c>
      <c r="AG73" s="97" t="str">
        <f>IFERROR(VLOOKUP(T_BilanSocial[[#This Row],[NumL]],T_TraitDi[#Data],COLUMN(T_TraitDi[[#This Row],[Lundi]]),FALSE),"")</f>
        <v/>
      </c>
      <c r="AH73" s="172" t="e">
        <f>IF(VLOOKUP(T_BilanSocial[[#This Row],[NumL]],T_TraitDi[#Data],COLUMN(T_TraitDi[[#This Row],[Colonne3]]),FALSE)=0,"",TEXT(IFERROR(VLOOKUP(T_BilanSocial[[#This Row],[NumL]],T_TraitDi[#Data],COLUMN(T_TraitDi[[#This Row],[Colonne3]]),FALSE),""),"[hh]:mm"))</f>
        <v>#VALUE!</v>
      </c>
      <c r="AI73" s="172" t="e">
        <f>IF(VLOOKUP(T_BilanSocial[[#This Row],[NumL]],T_TraitDi[#Data],COLUMN(T_TraitDi[[#This Row],[Colonne4]]),FALSE)=0,"",TEXT(IFERROR(VLOOKUP(T_BilanSocial[[#This Row],[NumL]],T_TraitDi[#Data],COLUMN(T_TraitDi[[#This Row],[Colonne4]]),FALSE),""),"[hh]:mm"))</f>
        <v>#VALUE!</v>
      </c>
      <c r="AJ73" s="172" t="e">
        <f>IF(VLOOKUP(T_BilanSocial[[#This Row],[NumL]],T_TraitDi[#Data],COLUMN(T_TraitDi[[#This Row],[Colonne5]]),FALSE)=0,"",TEXT(IFERROR(VLOOKUP(T_BilanSocial[[#This Row],[NumL]],T_TraitDi[#Data],COLUMN(T_TraitDi[[#This Row],[Colonne5]]),FALSE),""),"[hh]:mm"))</f>
        <v>#VALUE!</v>
      </c>
      <c r="AK73" s="172" t="e">
        <f>IF(VLOOKUP(T_BilanSocial[[#This Row],[NumL]],T_TraitDi[#Data],COLUMN(T_TraitDi[[#This Row],[Colonne6]]),FALSE)=0,"",TEXT(IFERROR(VLOOKUP(T_BilanSocial[[#This Row],[NumL]],T_TraitDi[#Data],COLUMN(T_TraitDi[[#This Row],[Colonne6]]),FALSE),""),"[hh]:mm"))</f>
        <v>#VALUE!</v>
      </c>
      <c r="AL73" s="172" t="e">
        <f>IF(VLOOKUP(T_BilanSocial[[#This Row],[NumL]],T_TraitDi[#Data],COLUMN(T_TraitDi[[#This Row],[Colonne7]]),FALSE)=0,"",TEXT(IFERROR(VLOOKUP(T_BilanSocial[[#This Row],[NumL]],T_TraitDi[#Data],COLUMN(T_TraitDi[[#This Row],[Colonne7]]),FALSE),""),"[hh]:mm"))</f>
        <v>#VALUE!</v>
      </c>
      <c r="AM73" s="172" t="e">
        <f>IF(VLOOKUP(T_BilanSocial[[#This Row],[NumL]],T_TraitDi[#Data],COLUMN(T_TraitDi[[#This Row],[Colonne8]]),FALSE)=0,"",TEXT(IFERROR(VLOOKUP(T_BilanSocial[[#This Row],[NumL]],T_TraitDi[#Data],COLUMN(T_TraitDi[[#This Row],[Colonne8]]),FALSE),""),"[hh]:mm"))</f>
        <v>#VALUE!</v>
      </c>
      <c r="AN73" s="172" t="str">
        <f>IFERROR(VLOOKUP(T_BilanSocial[[#This Row],[NumL]],T_TraitDi[#Data],COLUMN(T_TraitDi[[#This Row],[Mardi]]),FALSE),"")</f>
        <v/>
      </c>
      <c r="AO73" s="172" t="e">
        <f>IF(VLOOKUP(T_BilanSocial[[#This Row],[NumL]],T_TraitDi[#Data],COLUMN(T_TraitDi[[#This Row],[Colonne1]]),FALSE)=0,"",TEXT(IFERROR(VLOOKUP(T_BilanSocial[[#This Row],[NumL]],T_TraitDi[#Data],COLUMN(T_TraitDi[[#This Row],[Colonne1]]),FALSE),""),"[hh]:mm"))</f>
        <v>#VALUE!</v>
      </c>
      <c r="AP73" s="172" t="e">
        <f>IF(VLOOKUP(T_BilanSocial[[#This Row],[NumL]],T_TraitDi[#Data],COLUMN(T_TraitDi[[#This Row],[Colonne9]]),FALSE)=0,"",TEXT(IFERROR(VLOOKUP(T_BilanSocial[[#This Row],[NumL]],T_TraitDi[#Data],COLUMN(T_TraitDi[[#This Row],[Colonne9]]),FALSE),""),"[hh]:mm"))</f>
        <v>#VALUE!</v>
      </c>
      <c r="AQ73" s="172" t="str">
        <f>IFERROR(VLOOKUP(T_BilanSocial[[#This Row],[NumL]],T_TraitDi[#Data],COLUMN(T_TraitDi[[#This Row],[Colonne10]]),FALSE),"")</f>
        <v/>
      </c>
      <c r="AR73" s="172" t="e">
        <f>IF(VLOOKUP(T_BilanSocial[[#This Row],[NumL]],T_TraitDi[#Data],COLUMN(T_TraitDi[[#This Row],[Colonne11]]),FALSE)=0,"",TEXT(IFERROR(VLOOKUP(T_BilanSocial[[#This Row],[NumL]],T_TraitDi[#Data],COLUMN(T_TraitDi[[#This Row],[Colonne11]]),FALSE),""),"[hh]:mm"))</f>
        <v>#VALUE!</v>
      </c>
      <c r="AS73" s="172" t="e">
        <f>IF(VLOOKUP(T_BilanSocial[[#This Row],[NumL]],T_TraitDi[#Data],COLUMN(T_TraitDi[[#This Row],[Colonne12]]),FALSE)=0,"",TEXT(IFERROR(VLOOKUP(T_BilanSocial[[#This Row],[NumL]],T_TraitDi[#Data],COLUMN(T_TraitDi[[#This Row],[Colonne12]]),FALSE),""),"[hh]:mm"))</f>
        <v>#VALUE!</v>
      </c>
      <c r="AT73" s="172" t="e">
        <f>IF(VLOOKUP(T_BilanSocial[[#This Row],[NumL]],T_TraitDi[#Data],COLUMN(T_TraitDi[[#This Row],[Colonne14]]),FALSE)=0,"",TEXT(IFERROR(VLOOKUP(T_BilanSocial[[#This Row],[NumL]],T_TraitDi[#Data],COLUMN(T_TraitDi[[#This Row],[Colonne14]]),FALSE),""),"[hh]:mm"))</f>
        <v>#VALUE!</v>
      </c>
      <c r="AU73" s="172" t="str">
        <f>IFERROR(VLOOKUP(T_BilanSocial[[#This Row],[NumL]],T_TraitDi[#Data],COLUMN(T_TraitDi[[#This Row],[Mercredi]]),FALSE),"")</f>
        <v/>
      </c>
      <c r="AV73" s="172" t="e">
        <f>IF(VLOOKUP(T_BilanSocial[[#This Row],[NumL]],T_TraitDi[#Data],COLUMN(T_TraitDi[[#This Row],[Colonne15]]),FALSE)=0,"",TEXT(IFERROR(VLOOKUP(T_BilanSocial[[#This Row],[NumL]],T_TraitDi[#Data],COLUMN(T_TraitDi[[#This Row],[Colonne15]]),FALSE),""),"[hh]:mm"))</f>
        <v>#VALUE!</v>
      </c>
      <c r="AW73" s="172" t="e">
        <f>IF(VLOOKUP(T_BilanSocial[[#This Row],[NumL]],T_TraitDi[#Data],COLUMN(T_TraitDi[[#This Row],[Colonne16]]),FALSE)=0,"",TEXT(IFERROR(VLOOKUP(T_BilanSocial[[#This Row],[NumL]],T_TraitDi[#Data],COLUMN(T_TraitDi[[#This Row],[Colonne16]]),FALSE),""),"[hh]:mm"))</f>
        <v>#VALUE!</v>
      </c>
      <c r="AX73" s="172" t="str">
        <f>IFERROR(VLOOKUP(T_BilanSocial[[#This Row],[NumL]],T_TraitDi[#Data],COLUMN(T_TraitDi[[#This Row],[Colonne17]]),FALSE),"")</f>
        <v/>
      </c>
      <c r="AY73" s="172" t="e">
        <f>IF(VLOOKUP(T_BilanSocial[[#This Row],[NumL]],T_TraitDi[#Data],COLUMN(T_TraitDi[[#This Row],[Colonne18]]),FALSE)=0,"",TEXT(IFERROR(VLOOKUP(T_BilanSocial[[#This Row],[NumL]],T_TraitDi[#Data],COLUMN(T_TraitDi[[#This Row],[Colonne18]]),FALSE),""),"[hh]:mm"))</f>
        <v>#VALUE!</v>
      </c>
      <c r="AZ73" s="172" t="e">
        <f>IF(VLOOKUP(T_BilanSocial[[#This Row],[NumL]],T_TraitDi[#Data],COLUMN(T_TraitDi[[#This Row],[Colonne19]]),FALSE)=0,"",TEXT(IFERROR(VLOOKUP(T_BilanSocial[[#This Row],[NumL]],T_TraitDi[#Data],COLUMN(T_TraitDi[[#This Row],[Colonne19]]),FALSE),""),"[hh]:mm"))</f>
        <v>#VALUE!</v>
      </c>
      <c r="BA73" s="172" t="e">
        <f>IF(VLOOKUP(T_BilanSocial[[#This Row],[NumL]],T_TraitDi[#Data],COLUMN(T_TraitDi[[#This Row],[Colonne20]]),FALSE)=0,"",TEXT(IFERROR(VLOOKUP(T_BilanSocial[[#This Row],[NumL]],T_TraitDi[#Data],COLUMN(T_TraitDi[[#This Row],[Colonne20]]),FALSE),""),"[hh]:mm"))</f>
        <v>#VALUE!</v>
      </c>
      <c r="BB73" s="178" t="str">
        <f>IFERROR(VLOOKUP(T_BilanSocial[[#This Row],[NumL]],T_TraitDi[#Data],COLUMN(T_TraitDi[[#This Row],[Jeudi]]),FALSE),"")</f>
        <v/>
      </c>
      <c r="BC73" s="178" t="e">
        <f>IF(VLOOKUP(T_BilanSocial[[#This Row],[NumL]],T_TraitDi[#Data],COLUMN(T_TraitDi[[#This Row],[Colonne21]]),FALSE)=0,"",TEXT(IFERROR(VLOOKUP(T_BilanSocial[[#This Row],[NumL]],T_TraitDi[#Data],COLUMN(T_TraitDi[[#This Row],[Colonne21]]),FALSE),""),"[hh]:mm"))</f>
        <v>#VALUE!</v>
      </c>
      <c r="BD73" s="178" t="e">
        <f>IF(VLOOKUP(T_BilanSocial[[#This Row],[NumL]],T_TraitDi[#Data],COLUMN(T_TraitDi[[#This Row],[Colonne22]]),FALSE)=0,"",TEXT(IFERROR(VLOOKUP(T_BilanSocial[[#This Row],[NumL]],T_TraitDi[#Data],COLUMN(T_TraitDi[[#This Row],[Colonne22]]),FALSE),""),"[hh]:mm"))</f>
        <v>#VALUE!</v>
      </c>
      <c r="BE73" s="178" t="str">
        <f>IFERROR(VLOOKUP(T_BilanSocial[[#This Row],[NumL]],T_TraitDi[#Data],COLUMN(T_TraitDi[[#This Row],[Colonne23]]),FALSE),"")</f>
        <v/>
      </c>
      <c r="BF73" s="178" t="e">
        <f>IF(VLOOKUP(T_BilanSocial[[#This Row],[NumL]],T_TraitDi[#Data],COLUMN(T_TraitDi[[#This Row],[Colonne24]]),FALSE)=0,"",TEXT(IFERROR(VLOOKUP(T_BilanSocial[[#This Row],[NumL]],T_TraitDi[#Data],COLUMN(T_TraitDi[[#This Row],[Colonne24]]),FALSE),""),"[hh]:mm"))</f>
        <v>#VALUE!</v>
      </c>
      <c r="BG73" s="178" t="e">
        <f>IF(VLOOKUP(T_BilanSocial[[#This Row],[NumL]],T_TraitDi[#Data],COLUMN(T_TraitDi[[#This Row],[Colonne25]]),FALSE)=0,"",TEXT(IFERROR(VLOOKUP(T_BilanSocial[[#This Row],[NumL]],T_TraitDi[#Data],COLUMN(T_TraitDi[[#This Row],[Colonne25]]),FALSE),""),"[hh]:mm"))</f>
        <v>#VALUE!</v>
      </c>
      <c r="BH73" s="178" t="e">
        <f>IF(VLOOKUP(T_BilanSocial[[#This Row],[NumL]],T_TraitDi[#Data],COLUMN(T_TraitDi[[#This Row],[Colonne26]]),FALSE)=0,"",TEXT(IFERROR(VLOOKUP(T_BilanSocial[[#This Row],[NumL]],T_TraitDi[#Data],COLUMN(T_TraitDi[[#This Row],[Colonne26]]),FALSE),""),"[hh]:mm"))</f>
        <v>#VALUE!</v>
      </c>
      <c r="BI73" s="172" t="str">
        <f>IFERROR(VLOOKUP(T_BilanSocial[[#This Row],[NumL]],T_TraitDi[#Data],COLUMN(T_TraitDi[[#This Row],[Vendredi]]),FALSE),"")</f>
        <v/>
      </c>
      <c r="BJ73" s="172" t="e">
        <f>IF(VLOOKUP(T_BilanSocial[[#This Row],[NumL]],T_TraitDi[#Data],COLUMN(T_TraitDi[[#This Row],[Colonne27]]),FALSE)=0,"",TEXT(IFERROR(VLOOKUP(T_BilanSocial[[#This Row],[NumL]],T_TraitDi[#Data],COLUMN(T_TraitDi[[#This Row],[Colonne27]]),FALSE),""),"[hh]:mm"))</f>
        <v>#VALUE!</v>
      </c>
      <c r="BK73" s="172" t="e">
        <f>IF(VLOOKUP(T_BilanSocial[[#This Row],[NumL]],T_TraitDi[#Data],COLUMN(T_TraitDi[[#This Row],[Colonne28]]),FALSE)=0,"",TEXT(IFERROR(VLOOKUP(T_BilanSocial[[#This Row],[NumL]],T_TraitDi[#Data],COLUMN(T_TraitDi[[#This Row],[Colonne28]]),FALSE),""),"[hh]:mm"))</f>
        <v>#VALUE!</v>
      </c>
      <c r="BL73" s="172" t="str">
        <f>IFERROR(VLOOKUP(T_BilanSocial[[#This Row],[NumL]],T_TraitDi[#Data],COLUMN(T_TraitDi[[#This Row],[Colonne29]]),FALSE),"")</f>
        <v/>
      </c>
      <c r="BM73" s="172" t="e">
        <f>IF(VLOOKUP(T_BilanSocial[[#This Row],[NumL]],T_TraitDi[#Data],COLUMN(T_TraitDi[[#This Row],[Colonne30]]),FALSE)=0,"",TEXT(IFERROR(VLOOKUP(T_BilanSocial[[#This Row],[NumL]],T_TraitDi[#Data],COLUMN(T_TraitDi[[#This Row],[Colonne30]]),FALSE),""),"[hh]:mm"))</f>
        <v>#VALUE!</v>
      </c>
      <c r="BN73" s="172" t="e">
        <f>IF(VLOOKUP(T_BilanSocial[[#This Row],[NumL]],T_TraitDi[#Data],COLUMN(T_TraitDi[[#This Row],[Colonne31]]),FALSE)=0,"",TEXT(IFERROR(VLOOKUP(T_BilanSocial[[#This Row],[NumL]],T_TraitDi[#Data],COLUMN(T_TraitDi[[#This Row],[Colonne31]]),FALSE),""),"[hh]:mm"))</f>
        <v>#VALUE!</v>
      </c>
      <c r="BO73" s="172" t="e">
        <f>IF(VLOOKUP(T_BilanSocial[[#This Row],[NumL]],T_TraitDi[#Data],COLUMN(T_TraitDi[[#This Row],[Colonne32]]),FALSE)=0,"",TEXT(IFERROR(VLOOKUP(T_BilanSocial[[#This Row],[NumL]],T_TraitDi[#Data],COLUMN(T_TraitDi[[#This Row],[Colonne32]]),FALSE),""),"[hh]:mm"))</f>
        <v>#VALUE!</v>
      </c>
      <c r="BP73" s="172" t="e">
        <f>VLOOKUP(T_BilanSocial[[#This Row],[NumL]],T_TraitDi[#Data],COLUMN(T_TraitDi[NbJTot]),FALSE)</f>
        <v>#N/A</v>
      </c>
      <c r="BQ73" s="174" t="str">
        <f>IFERROR(VLOOKUP(T_BilanSocial[[#This Row],[NumL]],T_TraitDi[#Data],COLUMN(T_TraitDi[[#This Row],[NbJTW]]),FALSE),"")</f>
        <v/>
      </c>
      <c r="BR73" s="174" t="e">
        <f>IF(VLOOKUP(T_BilanSocial[[#This Row],[NumL]],T_TraitDi[#Data],COLUMN(T_TraitDi[[#This Row],[NbhTW]]),FALSE)=0,"",TEXT(IFERROR(VLOOKUP(T_BilanSocial[[#This Row],[NumL]],T_TraitDi[#Data],COLUMN(T_TraitDi[[#This Row],[NbhTW]]),FALSE),""),"[hh]:mm"))</f>
        <v>#VALUE!</v>
      </c>
      <c r="BS73" s="174" t="e">
        <f>IF(VLOOKUP(T_BilanSocial[[#This Row],[NumL]],T_TraitDi[#Data],COLUMN(T_TraitDi[[#This Row],[Nbhheb]]),FALSE)=0,"",TEXT(IFERROR(VLOOKUP($A73,T_TraitDi[#Data],COLUMN(T_TraitDi[[#This Row],[Nbhheb]]),FALSE),""),"[hh]:mm"))</f>
        <v>#VALUE!</v>
      </c>
      <c r="BT73" s="182" t="str">
        <f>IFERROR(VLOOKUP(VLOOKUP($A73,T_TraitDi[#Data],COLUMN(T_TraitDi[[#This Row],[Type1]]),FALSE),TypeTW,2,FALSE),"")</f>
        <v/>
      </c>
      <c r="BU73" s="182" t="str">
        <f>IFERROR(VLOOKUP($A73,T_TraitDi[#Data],COLUMN(T_TraitDi[[#This Row],[Rue1]]),FALSE),"")</f>
        <v/>
      </c>
      <c r="BV73" s="173" t="str">
        <f>IFERROR(VLOOKUP($A73,T_TraitDi[#Data],COLUMN(T_TraitDi[[#This Row],[CP1]]),FALSE),"")</f>
        <v/>
      </c>
      <c r="BW73" s="173" t="str">
        <f>IFERROR(VLOOKUP($A73,T_TraitDi[#Data],COLUMN(T_TraitDi[[#This Row],[VILLE1]]),FALSE),"")</f>
        <v/>
      </c>
      <c r="BX73" s="182" t="str">
        <f>IFERROR(VLOOKUP(VLOOKUP($A73,T_TraitDi[#Data],COLUMN(T_TraitDi[[#This Row],[Type2]]),FALSE),TypeTW,2,FALSE),"")</f>
        <v/>
      </c>
      <c r="BY73" s="182" t="str">
        <f>IFERROR(VLOOKUP($A73,T_TraitDi[#Data],COLUMN(T_TraitDi[[#This Row],[Rue2]]),FALSE),"")</f>
        <v/>
      </c>
      <c r="BZ73" s="173" t="str">
        <f>IFERROR(VLOOKUP($A73,T_TraitDi[#Data],COLUMN(T_TraitDi[[#This Row],[CP2]]),FALSE),"")</f>
        <v/>
      </c>
      <c r="CA73" s="173" t="str">
        <f>IFERROR(VLOOKUP($A73,T_TraitDi[#Data],COLUMN(T_TraitDi[[#This Row],[VILLE2]]),FALSE),"")</f>
        <v/>
      </c>
      <c r="CB73" s="182" t="str">
        <f>IF(VLOOKUP(T_BilanSocial[[#This Row],[NumL]],T_Equipement[#Data],COLUMN(T_Equipement[[#This Row],[PC]]),FALSE)="","Aucun équipement spécifique directement lié au télétravail",VLOOKUP(T_BilanSocial[[#This Row],[NumL]],T_Equipement[#Data],COLUMN(T_Equipement[[#This Row],[PC]]),FALSE))</f>
        <v xml:space="preserve">20-405	</v>
      </c>
      <c r="CC73" s="166" t="str">
        <f>IFERROR(IF(VLOOKUP(T_BilanSocial[[#This Row],[NumL]],T_TraitDi[#Data],COLUMN(T_TraitDi[[#This Row],[Plan]]),FALSE)="OK","Un planning spécifique de télétravail est annexé à la présente convention.",""),"")</f>
        <v/>
      </c>
      <c r="CD73" s="258" t="s">
        <v>3372</v>
      </c>
      <c r="CE73" s="164" t="e">
        <f>IF(VLOOKUP(T_BilanSocial[[#This Row],[NumL]],T_suiviDi[#Data],COLUMN(T_suiviDi[[#This Row],[Entité]]),FALSE)="","",VLOOKUP(T_BilanSocial[[#This Row],[NumL]],T_suiviDi[#Data],COLUMN(T_suiviDi[[#This Row],[Entité]]),FALSE))</f>
        <v>#VALUE!</v>
      </c>
      <c r="CF73" s="164" t="str">
        <f>IF(VLOOKUP(T_BilanSocial[[#This Row],[NumL]],T_Commission[#Data],COLUMN(T_Commission[[#This Row],[envoi confirm TW]]),FALSE)="","",VLOOKUP(T_BilanSocial[[#This Row],[NumL]],T_Commission[#Data],COLUMN(T_Commission[[#This Row],[envoi confirm TW]]),FALSE))</f>
        <v>Oui</v>
      </c>
      <c r="CG7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3" s="262" t="str">
        <f>T_BilanSocial[[#This Row],[Nom]]&amp;T_BilanSocial[[#This Row],[Prenom]]</f>
        <v/>
      </c>
      <c r="CI73" s="262">
        <f>VLOOKUP(T_BilanSocial[[#This Row],[NumL]],T_Commission[#Data],COLUMN(T_Commission[Commentaire]),FALSE)</f>
        <v>0</v>
      </c>
      <c r="CJ73" s="262" t="str">
        <f>IF(VLOOKUP(T_BilanSocial[[#This Row],[NumL]],T_Commission[#Data],COLUMN(T_Commission[Encadrant Email]),FALSE)="","",VLOOKUP(T_BilanSocial[[#This Row],[NumL]],T_Commission[#Data],COLUMN(T_Commission[Encadrant Email]),FALSE))</f>
        <v/>
      </c>
      <c r="CK73" s="340" t="str">
        <f>IF(T_BilanSocial[[#This Row],[Final]]&lt;&gt;"",VLOOKUP(T_BilanSocial[[#This Row],[NumL]],T_suiviDi[#Data],COLUMN((T_suiviDi[Statut])),FALSE),"")</f>
        <v/>
      </c>
    </row>
    <row r="74" spans="1:89" s="106" customFormat="1" ht="24.75" customHeight="1" x14ac:dyDescent="0.25">
      <c r="A74" s="160">
        <v>71</v>
      </c>
      <c r="B74" s="161" t="str">
        <f t="shared" si="10"/>
        <v/>
      </c>
      <c r="C74" s="162" t="s">
        <v>3287</v>
      </c>
      <c r="D74" s="95" t="e">
        <f>IF(VLOOKUP(T_BilanSocial[[#This Row],[NumL]],T_TraitDi[#Data],COLUMN(T_TraitDi[[#This Row],[WebC]]),FALSE)="","",VLOOKUP(T_BilanSocial[[#This Row],[NumL]],T_TraitDi[#Data],COLUMN(T_TraitDi[[#This Row],[WebC]]),FALSE))</f>
        <v>#VALUE!</v>
      </c>
      <c r="E74" s="163" t="str">
        <f t="shared" si="11"/>
        <v>12 janvier 2021</v>
      </c>
      <c r="F74" s="96" t="str">
        <f>IF(T_BilanSocial[[#This Row],[Final]]&lt;&gt;"",VLOOKUP(T_BilanSocial[[#This Row],[NumL]],T_suiviDi[#Data],COLUMN((T_suiviDi[Civ.])),FALSE),"")</f>
        <v/>
      </c>
      <c r="G74" s="96" t="str">
        <f>IF(T_BilanSocial[[#This Row],[Final]]&lt;&gt;"",VLOOKUP(T_BilanSocial[[#This Row],[NumL]],T_suiviDi[#Data],COLUMN((T_suiviDi[Nom])),FALSE),"")</f>
        <v/>
      </c>
      <c r="H74" s="96" t="str">
        <f>IF(T_BilanSocial[[#This Row],[Final]]&lt;&gt;"",VLOOKUP(T_BilanSocial[[#This Row],[NumL]],T_suiviDi[#Data],COLUMN((T_suiviDi[Prénom])),FALSE),"")</f>
        <v/>
      </c>
      <c r="I74" s="96" t="str">
        <f>IFERROR(VLOOKUP(T_BilanSocial[[#This Row],[Zone_Bilan]],T_P_BilanSocial[#Data],COLUMN(T_P_BilanSocial[[#This Row],[Numero_SIHAM]]),FALSE),"")</f>
        <v/>
      </c>
      <c r="J74" s="96" t="str">
        <f>IFERROR(VLOOKUP(T_BilanSocial[[#This Row],[Zone_Bilan]],T_P_BilanSocial[#Data],COLUMN(T_P_BilanSocial[[#This Row],[Sexe]]),FALSE),"")</f>
        <v/>
      </c>
      <c r="K74" s="97" t="str">
        <f>IFERROR(VLOOKUP(T_BilanSocial[[#This Row],[Zone_Bilan]],T_P_BilanSocial[#Data],COLUMN(T_P_BilanSocial[[#This Row],[Categorie]]),FALSE),"")</f>
        <v/>
      </c>
      <c r="L74" s="96" t="str">
        <f>IFERROR(VLOOKUP(T_BilanSocial[[#This Row],[Zone_Bilan]],T_P_BilanSocial[#Data],COLUMN(T_P_BilanSocial[[#This Row],[Statut]]),FALSE),"")</f>
        <v/>
      </c>
      <c r="M74" s="96" t="str">
        <f>IFERROR(VLOOKUP(T_BilanSocial[[#This Row],[Zone_Bilan]],T_P_BilanSocial[#Data],COLUMN(T_P_BilanSocial[[#This Row],[Filiere]]),FALSE),"")</f>
        <v/>
      </c>
      <c r="N74" s="96" t="e">
        <f>VLOOKUP(T_BilanSocial[[#This Row],[NumL]],T_TraitDi[#Data],COLUMN(T_TraitDi[EXP]),FALSE)</f>
        <v>#N/A</v>
      </c>
      <c r="O74" s="96" t="e">
        <f>VLOOKUP(T_BilanSocial[[#This Row],[NumL]],T_TraitDi[#Data],COLUMN(T_TraitDi[FORM]),FALSE)</f>
        <v>#N/A</v>
      </c>
      <c r="P74" s="96" t="str">
        <f>IF(T_BilanSocial[[#This Row],[Final]]&lt;&gt;"",VLOOKUP(T_BilanSocial[[#This Row],[NumL]],T_suiviDi[#Data],COLUMN((T_suiviDi[Email])),FALSE),"")</f>
        <v/>
      </c>
      <c r="Q74" s="164" t="e">
        <f t="shared" si="7"/>
        <v>#N/A</v>
      </c>
      <c r="R74" s="164" t="e">
        <f t="shared" si="8"/>
        <v>#N/A</v>
      </c>
      <c r="S74" s="164" t="e">
        <f>IF(VLOOKUP(T_BilanSocial[[#This Row],[NumL]],T_suiviDi[#Data],COLUMN(T_suiviDi[[#This Row],[Service ]]),FALSE)="","",VLOOKUP(T_BilanSocial[[#This Row],[NumL]],T_suiviDi[#Data],COLUMN(T_suiviDi[[#This Row],[Service ]]),FALSE))</f>
        <v>#VALUE!</v>
      </c>
      <c r="T74" s="164" t="str">
        <f t="shared" si="12"/>
        <v>01 septembre 2021</v>
      </c>
      <c r="U74" s="164" t="str">
        <f t="shared" si="13"/>
        <v>30 novembre 2021</v>
      </c>
      <c r="V74" s="164" t="str">
        <f t="shared" si="14"/>
        <v>30 novembre 2021</v>
      </c>
      <c r="W74" s="176" t="e">
        <f>IF(VLOOKUP(T_BilanSocial[[#This Row],[NumL]],T_TraitDi[#Data],COLUMN(T_TraitDi[[#This Row],[M1]]),FALSE)="","",VLOOKUP(T_BilanSocial[[#This Row],[NumL]],T_TraitDi[#Data],COLUMN(T_TraitDi[[#This Row],[M1]]),FALSE))</f>
        <v>#VALUE!</v>
      </c>
      <c r="X74" s="176" t="e">
        <f>IF(VLOOKUP(T_BilanSocial[[#This Row],[NumL]],T_TraitDi[#Data],COLUMN(T_TraitDi[[#This Row],[M2]]),FALSE)="","",VLOOKUP(T_BilanSocial[[#This Row],[NumL]],T_TraitDi[#Data],COLUMN(T_TraitDi[[#This Row],[M2]]),FALSE))</f>
        <v>#VALUE!</v>
      </c>
      <c r="Y74" s="176" t="e">
        <f>IF(VLOOKUP(T_BilanSocial[[#This Row],[NumL]],T_TraitDi[#Data],COLUMN(T_TraitDi[[#This Row],[M3]]),FALSE)="","",VLOOKUP(T_BilanSocial[[#This Row],[NumL]],T_TraitDi[#Data],COLUMN(T_TraitDi[[#This Row],[M3]]),FALSE))</f>
        <v>#VALUE!</v>
      </c>
      <c r="Z74" s="176" t="str">
        <f t="shared" si="16"/>
        <v/>
      </c>
      <c r="AA74" s="176" t="e">
        <f>IF(VLOOKUP(T_BilanSocial[[#This Row],[NumL]],T_TraitDi[#Data],COLUMN(T_TraitDi[[#This Row],[M5]]),FALSE)="","",VLOOKUP(T_BilanSocial[[#This Row],[NumL]],T_TraitDi[#Data],COLUMN(T_TraitDi[[#This Row],[M5]]),FALSE))</f>
        <v>#VALUE!</v>
      </c>
      <c r="AB74" s="176" t="e">
        <f>IF(VLOOKUP(T_BilanSocial[[#This Row],[NumL]],T_TraitDi[#Data],COLUMN(T_TraitDi[[#This Row],[M6]]),FALSE)="","",VLOOKUP(T_BilanSocial[[#This Row],[NumL]],T_TraitDi[#Data],COLUMN(T_TraitDi[[#This Row],[M6]]),FALSE))</f>
        <v>#VALUE!</v>
      </c>
      <c r="AC74" s="165" t="e">
        <f t="shared" si="15"/>
        <v>#VALUE!</v>
      </c>
      <c r="AD74" s="188" t="str">
        <f>IFERROR(TEXT(VLOOKUP(T_BilanSocial[[#This Row],[NumL]],T_TraitDi[#Data],COLUMN(T_TraitDi[[#This Row],[Q2]]),FALSE),"###%"),"")</f>
        <v/>
      </c>
      <c r="AE74" s="97" t="e">
        <f>VLOOKUP(T_BilanSocial[[#This Row],[NumL]],T_TraitDi[#Data],COLUMN(T_TraitDi[[#This Row],[Reg Ponct]]),FALSE)</f>
        <v>#VALUE!</v>
      </c>
      <c r="AF74" s="97" t="e">
        <f>VLOOKUP(T_BilanSocial[NumL],T_TraitDi[#Data],COLUMN(T_TraitDi[[#This Row],[Jours flottants]]),FALSE)</f>
        <v>#VALUE!</v>
      </c>
      <c r="AG74" s="97" t="str">
        <f>IFERROR(VLOOKUP(T_BilanSocial[[#This Row],[NumL]],T_TraitDi[#Data],COLUMN(T_TraitDi[[#This Row],[Lundi]]),FALSE),"")</f>
        <v/>
      </c>
      <c r="AH74" s="172" t="e">
        <f>IF(VLOOKUP(T_BilanSocial[[#This Row],[NumL]],T_TraitDi[#Data],COLUMN(T_TraitDi[[#This Row],[Colonne3]]),FALSE)=0,"",TEXT(IFERROR(VLOOKUP(T_BilanSocial[[#This Row],[NumL]],T_TraitDi[#Data],COLUMN(T_TraitDi[[#This Row],[Colonne3]]),FALSE),""),"[hh]:mm"))</f>
        <v>#VALUE!</v>
      </c>
      <c r="AI74" s="172" t="e">
        <f>IF(VLOOKUP(T_BilanSocial[[#This Row],[NumL]],T_TraitDi[#Data],COLUMN(T_TraitDi[[#This Row],[Colonne4]]),FALSE)=0,"",TEXT(IFERROR(VLOOKUP(T_BilanSocial[[#This Row],[NumL]],T_TraitDi[#Data],COLUMN(T_TraitDi[[#This Row],[Colonne4]]),FALSE),""),"[hh]:mm"))</f>
        <v>#VALUE!</v>
      </c>
      <c r="AJ74" s="172" t="e">
        <f>IF(VLOOKUP(T_BilanSocial[[#This Row],[NumL]],T_TraitDi[#Data],COLUMN(T_TraitDi[[#This Row],[Colonne5]]),FALSE)=0,"",TEXT(IFERROR(VLOOKUP(T_BilanSocial[[#This Row],[NumL]],T_TraitDi[#Data],COLUMN(T_TraitDi[[#This Row],[Colonne5]]),FALSE),""),"[hh]:mm"))</f>
        <v>#VALUE!</v>
      </c>
      <c r="AK74" s="172" t="e">
        <f>IF(VLOOKUP(T_BilanSocial[[#This Row],[NumL]],T_TraitDi[#Data],COLUMN(T_TraitDi[[#This Row],[Colonne6]]),FALSE)=0,"",TEXT(IFERROR(VLOOKUP(T_BilanSocial[[#This Row],[NumL]],T_TraitDi[#Data],COLUMN(T_TraitDi[[#This Row],[Colonne6]]),FALSE),""),"[hh]:mm"))</f>
        <v>#VALUE!</v>
      </c>
      <c r="AL74" s="172" t="e">
        <f>IF(VLOOKUP(T_BilanSocial[[#This Row],[NumL]],T_TraitDi[#Data],COLUMN(T_TraitDi[[#This Row],[Colonne7]]),FALSE)=0,"",TEXT(IFERROR(VLOOKUP(T_BilanSocial[[#This Row],[NumL]],T_TraitDi[#Data],COLUMN(T_TraitDi[[#This Row],[Colonne7]]),FALSE),""),"[hh]:mm"))</f>
        <v>#VALUE!</v>
      </c>
      <c r="AM74" s="172" t="e">
        <f>IF(VLOOKUP(T_BilanSocial[[#This Row],[NumL]],T_TraitDi[#Data],COLUMN(T_TraitDi[[#This Row],[Colonne8]]),FALSE)=0,"",TEXT(IFERROR(VLOOKUP(T_BilanSocial[[#This Row],[NumL]],T_TraitDi[#Data],COLUMN(T_TraitDi[[#This Row],[Colonne8]]),FALSE),""),"[hh]:mm"))</f>
        <v>#VALUE!</v>
      </c>
      <c r="AN74" s="172" t="str">
        <f>IFERROR(VLOOKUP(T_BilanSocial[[#This Row],[NumL]],T_TraitDi[#Data],COLUMN(T_TraitDi[[#This Row],[Mardi]]),FALSE),"")</f>
        <v/>
      </c>
      <c r="AO74" s="172" t="e">
        <f>IF(VLOOKUP(T_BilanSocial[[#This Row],[NumL]],T_TraitDi[#Data],COLUMN(T_TraitDi[[#This Row],[Colonne1]]),FALSE)=0,"",TEXT(IFERROR(VLOOKUP(T_BilanSocial[[#This Row],[NumL]],T_TraitDi[#Data],COLUMN(T_TraitDi[[#This Row],[Colonne1]]),FALSE),""),"[hh]:mm"))</f>
        <v>#VALUE!</v>
      </c>
      <c r="AP74" s="172" t="e">
        <f>IF(VLOOKUP(T_BilanSocial[[#This Row],[NumL]],T_TraitDi[#Data],COLUMN(T_TraitDi[[#This Row],[Colonne9]]),FALSE)=0,"",TEXT(IFERROR(VLOOKUP(T_BilanSocial[[#This Row],[NumL]],T_TraitDi[#Data],COLUMN(T_TraitDi[[#This Row],[Colonne9]]),FALSE),""),"[hh]:mm"))</f>
        <v>#VALUE!</v>
      </c>
      <c r="AQ74" s="172" t="str">
        <f>IFERROR(VLOOKUP(T_BilanSocial[[#This Row],[NumL]],T_TraitDi[#Data],COLUMN(T_TraitDi[[#This Row],[Colonne10]]),FALSE),"")</f>
        <v/>
      </c>
      <c r="AR74" s="172" t="e">
        <f>IF(VLOOKUP(T_BilanSocial[[#This Row],[NumL]],T_TraitDi[#Data],COLUMN(T_TraitDi[[#This Row],[Colonne11]]),FALSE)=0,"",TEXT(IFERROR(VLOOKUP(T_BilanSocial[[#This Row],[NumL]],T_TraitDi[#Data],COLUMN(T_TraitDi[[#This Row],[Colonne11]]),FALSE),""),"[hh]:mm"))</f>
        <v>#VALUE!</v>
      </c>
      <c r="AS74" s="172" t="e">
        <f>IF(VLOOKUP(T_BilanSocial[[#This Row],[NumL]],T_TraitDi[#Data],COLUMN(T_TraitDi[[#This Row],[Colonne12]]),FALSE)=0,"",TEXT(IFERROR(VLOOKUP(T_BilanSocial[[#This Row],[NumL]],T_TraitDi[#Data],COLUMN(T_TraitDi[[#This Row],[Colonne12]]),FALSE),""),"[hh]:mm"))</f>
        <v>#VALUE!</v>
      </c>
      <c r="AT74" s="172" t="e">
        <f>IF(VLOOKUP(T_BilanSocial[[#This Row],[NumL]],T_TraitDi[#Data],COLUMN(T_TraitDi[[#This Row],[Colonne14]]),FALSE)=0,"",TEXT(IFERROR(VLOOKUP(T_BilanSocial[[#This Row],[NumL]],T_TraitDi[#Data],COLUMN(T_TraitDi[[#This Row],[Colonne14]]),FALSE),""),"[hh]:mm"))</f>
        <v>#VALUE!</v>
      </c>
      <c r="AU74" s="172" t="str">
        <f>IFERROR(VLOOKUP(T_BilanSocial[[#This Row],[NumL]],T_TraitDi[#Data],COLUMN(T_TraitDi[[#This Row],[Mercredi]]),FALSE),"")</f>
        <v/>
      </c>
      <c r="AV74" s="172" t="e">
        <f>IF(VLOOKUP(T_BilanSocial[[#This Row],[NumL]],T_TraitDi[#Data],COLUMN(T_TraitDi[[#This Row],[Colonne15]]),FALSE)=0,"",TEXT(IFERROR(VLOOKUP(T_BilanSocial[[#This Row],[NumL]],T_TraitDi[#Data],COLUMN(T_TraitDi[[#This Row],[Colonne15]]),FALSE),""),"[hh]:mm"))</f>
        <v>#VALUE!</v>
      </c>
      <c r="AW74" s="172" t="e">
        <f>IF(VLOOKUP(T_BilanSocial[[#This Row],[NumL]],T_TraitDi[#Data],COLUMN(T_TraitDi[[#This Row],[Colonne16]]),FALSE)=0,"",TEXT(IFERROR(VLOOKUP(T_BilanSocial[[#This Row],[NumL]],T_TraitDi[#Data],COLUMN(T_TraitDi[[#This Row],[Colonne16]]),FALSE),""),"[hh]:mm"))</f>
        <v>#VALUE!</v>
      </c>
      <c r="AX74" s="172" t="str">
        <f>IFERROR(VLOOKUP(T_BilanSocial[[#This Row],[NumL]],T_TraitDi[#Data],COLUMN(T_TraitDi[[#This Row],[Colonne17]]),FALSE),"")</f>
        <v/>
      </c>
      <c r="AY74" s="172" t="e">
        <f>IF(VLOOKUP(T_BilanSocial[[#This Row],[NumL]],T_TraitDi[#Data],COLUMN(T_TraitDi[[#This Row],[Colonne18]]),FALSE)=0,"",TEXT(IFERROR(VLOOKUP(T_BilanSocial[[#This Row],[NumL]],T_TraitDi[#Data],COLUMN(T_TraitDi[[#This Row],[Colonne18]]),FALSE),""),"[hh]:mm"))</f>
        <v>#VALUE!</v>
      </c>
      <c r="AZ74" s="172" t="e">
        <f>IF(VLOOKUP(T_BilanSocial[[#This Row],[NumL]],T_TraitDi[#Data],COLUMN(T_TraitDi[[#This Row],[Colonne19]]),FALSE)=0,"",TEXT(IFERROR(VLOOKUP(T_BilanSocial[[#This Row],[NumL]],T_TraitDi[#Data],COLUMN(T_TraitDi[[#This Row],[Colonne19]]),FALSE),""),"[hh]:mm"))</f>
        <v>#VALUE!</v>
      </c>
      <c r="BA74" s="172" t="e">
        <f>IF(VLOOKUP(T_BilanSocial[[#This Row],[NumL]],T_TraitDi[#Data],COLUMN(T_TraitDi[[#This Row],[Colonne20]]),FALSE)=0,"",TEXT(IFERROR(VLOOKUP(T_BilanSocial[[#This Row],[NumL]],T_TraitDi[#Data],COLUMN(T_TraitDi[[#This Row],[Colonne20]]),FALSE),""),"[hh]:mm"))</f>
        <v>#VALUE!</v>
      </c>
      <c r="BB74" s="178" t="str">
        <f>IFERROR(VLOOKUP(T_BilanSocial[[#This Row],[NumL]],T_TraitDi[#Data],COLUMN(T_TraitDi[[#This Row],[Jeudi]]),FALSE),"")</f>
        <v/>
      </c>
      <c r="BC74" s="178" t="e">
        <f>IF(VLOOKUP(T_BilanSocial[[#This Row],[NumL]],T_TraitDi[#Data],COLUMN(T_TraitDi[[#This Row],[Colonne21]]),FALSE)=0,"",TEXT(IFERROR(VLOOKUP(T_BilanSocial[[#This Row],[NumL]],T_TraitDi[#Data],COLUMN(T_TraitDi[[#This Row],[Colonne21]]),FALSE),""),"[hh]:mm"))</f>
        <v>#VALUE!</v>
      </c>
      <c r="BD74" s="178" t="e">
        <f>IF(VLOOKUP(T_BilanSocial[[#This Row],[NumL]],T_TraitDi[#Data],COLUMN(T_TraitDi[[#This Row],[Colonne22]]),FALSE)=0,"",TEXT(IFERROR(VLOOKUP(T_BilanSocial[[#This Row],[NumL]],T_TraitDi[#Data],COLUMN(T_TraitDi[[#This Row],[Colonne22]]),FALSE),""),"[hh]:mm"))</f>
        <v>#VALUE!</v>
      </c>
      <c r="BE74" s="178" t="str">
        <f>IFERROR(VLOOKUP(T_BilanSocial[[#This Row],[NumL]],T_TraitDi[#Data],COLUMN(T_TraitDi[[#This Row],[Colonne23]]),FALSE),"")</f>
        <v/>
      </c>
      <c r="BF74" s="178" t="e">
        <f>IF(VLOOKUP(T_BilanSocial[[#This Row],[NumL]],T_TraitDi[#Data],COLUMN(T_TraitDi[[#This Row],[Colonne24]]),FALSE)=0,"",TEXT(IFERROR(VLOOKUP(T_BilanSocial[[#This Row],[NumL]],T_TraitDi[#Data],COLUMN(T_TraitDi[[#This Row],[Colonne24]]),FALSE),""),"[hh]:mm"))</f>
        <v>#VALUE!</v>
      </c>
      <c r="BG74" s="178" t="e">
        <f>IF(VLOOKUP(T_BilanSocial[[#This Row],[NumL]],T_TraitDi[#Data],COLUMN(T_TraitDi[[#This Row],[Colonne25]]),FALSE)=0,"",TEXT(IFERROR(VLOOKUP(T_BilanSocial[[#This Row],[NumL]],T_TraitDi[#Data],COLUMN(T_TraitDi[[#This Row],[Colonne25]]),FALSE),""),"[hh]:mm"))</f>
        <v>#VALUE!</v>
      </c>
      <c r="BH74" s="178" t="e">
        <f>IF(VLOOKUP(T_BilanSocial[[#This Row],[NumL]],T_TraitDi[#Data],COLUMN(T_TraitDi[[#This Row],[Colonne26]]),FALSE)=0,"",TEXT(IFERROR(VLOOKUP(T_BilanSocial[[#This Row],[NumL]],T_TraitDi[#Data],COLUMN(T_TraitDi[[#This Row],[Colonne26]]),FALSE),""),"[hh]:mm"))</f>
        <v>#VALUE!</v>
      </c>
      <c r="BI74" s="172" t="str">
        <f>IFERROR(VLOOKUP(T_BilanSocial[[#This Row],[NumL]],T_TraitDi[#Data],COLUMN(T_TraitDi[[#This Row],[Vendredi]]),FALSE),"")</f>
        <v/>
      </c>
      <c r="BJ74" s="172" t="e">
        <f>IF(VLOOKUP(T_BilanSocial[[#This Row],[NumL]],T_TraitDi[#Data],COLUMN(T_TraitDi[[#This Row],[Colonne27]]),FALSE)=0,"",TEXT(IFERROR(VLOOKUP(T_BilanSocial[[#This Row],[NumL]],T_TraitDi[#Data],COLUMN(T_TraitDi[[#This Row],[Colonne27]]),FALSE),""),"[hh]:mm"))</f>
        <v>#VALUE!</v>
      </c>
      <c r="BK74" s="172" t="e">
        <f>IF(VLOOKUP(T_BilanSocial[[#This Row],[NumL]],T_TraitDi[#Data],COLUMN(T_TraitDi[[#This Row],[Colonne28]]),FALSE)=0,"",TEXT(IFERROR(VLOOKUP(T_BilanSocial[[#This Row],[NumL]],T_TraitDi[#Data],COLUMN(T_TraitDi[[#This Row],[Colonne28]]),FALSE),""),"[hh]:mm"))</f>
        <v>#VALUE!</v>
      </c>
      <c r="BL74" s="172" t="str">
        <f>IFERROR(VLOOKUP(T_BilanSocial[[#This Row],[NumL]],T_TraitDi[#Data],COLUMN(T_TraitDi[[#This Row],[Colonne29]]),FALSE),"")</f>
        <v/>
      </c>
      <c r="BM74" s="172" t="e">
        <f>IF(VLOOKUP(T_BilanSocial[[#This Row],[NumL]],T_TraitDi[#Data],COLUMN(T_TraitDi[[#This Row],[Colonne30]]),FALSE)=0,"",TEXT(IFERROR(VLOOKUP(T_BilanSocial[[#This Row],[NumL]],T_TraitDi[#Data],COLUMN(T_TraitDi[[#This Row],[Colonne30]]),FALSE),""),"[hh]:mm"))</f>
        <v>#VALUE!</v>
      </c>
      <c r="BN74" s="172" t="e">
        <f>IF(VLOOKUP(T_BilanSocial[[#This Row],[NumL]],T_TraitDi[#Data],COLUMN(T_TraitDi[[#This Row],[Colonne31]]),FALSE)=0,"",TEXT(IFERROR(VLOOKUP(T_BilanSocial[[#This Row],[NumL]],T_TraitDi[#Data],COLUMN(T_TraitDi[[#This Row],[Colonne31]]),FALSE),""),"[hh]:mm"))</f>
        <v>#VALUE!</v>
      </c>
      <c r="BO74" s="172" t="e">
        <f>IF(VLOOKUP(T_BilanSocial[[#This Row],[NumL]],T_TraitDi[#Data],COLUMN(T_TraitDi[[#This Row],[Colonne32]]),FALSE)=0,"",TEXT(IFERROR(VLOOKUP(T_BilanSocial[[#This Row],[NumL]],T_TraitDi[#Data],COLUMN(T_TraitDi[[#This Row],[Colonne32]]),FALSE),""),"[hh]:mm"))</f>
        <v>#VALUE!</v>
      </c>
      <c r="BP74" s="172" t="e">
        <f>VLOOKUP(T_BilanSocial[[#This Row],[NumL]],T_TraitDi[#Data],COLUMN(T_TraitDi[NbJTot]),FALSE)</f>
        <v>#N/A</v>
      </c>
      <c r="BQ74" s="174" t="str">
        <f>IFERROR(VLOOKUP(T_BilanSocial[[#This Row],[NumL]],T_TraitDi[#Data],COLUMN(T_TraitDi[[#This Row],[NbJTW]]),FALSE),"")</f>
        <v/>
      </c>
      <c r="BR74" s="174" t="e">
        <f>IF(VLOOKUP(T_BilanSocial[[#This Row],[NumL]],T_TraitDi[#Data],COLUMN(T_TraitDi[[#This Row],[NbhTW]]),FALSE)=0,"",TEXT(IFERROR(VLOOKUP(T_BilanSocial[[#This Row],[NumL]],T_TraitDi[#Data],COLUMN(T_TraitDi[[#This Row],[NbhTW]]),FALSE),""),"[hh]:mm"))</f>
        <v>#VALUE!</v>
      </c>
      <c r="BS74" s="174" t="e">
        <f>IF(VLOOKUP(T_BilanSocial[[#This Row],[NumL]],T_TraitDi[#Data],COLUMN(T_TraitDi[[#This Row],[Nbhheb]]),FALSE)=0,"",TEXT(IFERROR(VLOOKUP($A74,T_TraitDi[#Data],COLUMN(T_TraitDi[[#This Row],[Nbhheb]]),FALSE),""),"[hh]:mm"))</f>
        <v>#VALUE!</v>
      </c>
      <c r="BT74" s="268" t="str">
        <f>IFERROR(VLOOKUP(VLOOKUP($A74,T_TraitDi[#Data],COLUMN(T_TraitDi[[#This Row],[Type1]]),FALSE),TypeTW,2,FALSE),"")</f>
        <v/>
      </c>
      <c r="BU74" s="182" t="str">
        <f>IFERROR(VLOOKUP($A74,T_TraitDi[#Data],COLUMN(T_TraitDi[[#This Row],[Rue1]]),FALSE),"")</f>
        <v/>
      </c>
      <c r="BV74" s="173" t="str">
        <f>IFERROR(VLOOKUP($A74,T_TraitDi[#Data],COLUMN(T_TraitDi[[#This Row],[CP1]]),FALSE),"")</f>
        <v/>
      </c>
      <c r="BW74" s="173" t="str">
        <f>IFERROR(VLOOKUP($A74,T_TraitDi[#Data],COLUMN(T_TraitDi[[#This Row],[VILLE1]]),FALSE),"")</f>
        <v/>
      </c>
      <c r="BX74" s="182" t="str">
        <f>IFERROR(VLOOKUP(VLOOKUP($A74,T_TraitDi[#Data],COLUMN(T_TraitDi[[#This Row],[Type2]]),FALSE),TypeTW,2,FALSE),"")</f>
        <v/>
      </c>
      <c r="BY74" s="182" t="str">
        <f>IFERROR(VLOOKUP($A74,T_TraitDi[#Data],COLUMN(T_TraitDi[[#This Row],[Rue2]]),FALSE),"")</f>
        <v/>
      </c>
      <c r="BZ74" s="173" t="str">
        <f>IFERROR(VLOOKUP($A74,T_TraitDi[#Data],COLUMN(T_TraitDi[[#This Row],[CP2]]),FALSE),"")</f>
        <v/>
      </c>
      <c r="CA74" s="173" t="str">
        <f>IFERROR(VLOOKUP($A74,T_TraitDi[#Data],COLUMN(T_TraitDi[[#This Row],[VILLE2]]),FALSE),"")</f>
        <v/>
      </c>
      <c r="CB74" s="182" t="str">
        <f>IF(VLOOKUP(T_BilanSocial[[#This Row],[NumL]],T_Equipement[#Data],COLUMN(T_Equipement[[#This Row],[PC]]),FALSE)="","Aucun équipement spécifique directement lié au télétravail",VLOOKUP(T_BilanSocial[[#This Row],[NumL]],T_Equipement[#Data],COLUMN(T_Equipement[[#This Row],[PC]]),FALSE))</f>
        <v xml:space="preserve">16-430	</v>
      </c>
      <c r="CC74" s="166" t="str">
        <f>IFERROR(IF(VLOOKUP(T_BilanSocial[[#This Row],[NumL]],T_TraitDi[#Data],COLUMN(T_TraitDi[[#This Row],[Plan]]),FALSE)="OK","Un planning spécifique de télétravail est annexé à la présente convention.",""),"")</f>
        <v/>
      </c>
      <c r="CD74" s="185"/>
      <c r="CE74" s="164" t="e">
        <f>IF(VLOOKUP(T_BilanSocial[[#This Row],[NumL]],T_suiviDi[#Data],COLUMN(T_suiviDi[[#This Row],[Entité]]),FALSE)="","",VLOOKUP(T_BilanSocial[[#This Row],[NumL]],T_suiviDi[#Data],COLUMN(T_suiviDi[[#This Row],[Entité]]),FALSE))</f>
        <v>#VALUE!</v>
      </c>
      <c r="CF74" s="164" t="str">
        <f>IF(VLOOKUP(T_BilanSocial[[#This Row],[NumL]],T_Commission[#Data],COLUMN(T_Commission[[#This Row],[envoi confirm TW]]),FALSE)="","",VLOOKUP(T_BilanSocial[[#This Row],[NumL]],T_Commission[#Data],COLUMN(T_Commission[[#This Row],[envoi confirm TW]]),FALSE))</f>
        <v>Oui</v>
      </c>
      <c r="CG7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4" s="262" t="str">
        <f>T_BilanSocial[[#This Row],[Nom]]&amp;T_BilanSocial[[#This Row],[Prenom]]</f>
        <v/>
      </c>
      <c r="CI74" s="262">
        <f>VLOOKUP(T_BilanSocial[[#This Row],[NumL]],T_Commission[#Data],COLUMN(T_Commission[Commentaire]),FALSE)</f>
        <v>0</v>
      </c>
      <c r="CJ74" s="262" t="str">
        <f>IF(VLOOKUP(T_BilanSocial[[#This Row],[NumL]],T_Commission[#Data],COLUMN(T_Commission[Encadrant Email]),FALSE)="","",VLOOKUP(T_BilanSocial[[#This Row],[NumL]],T_Commission[#Data],COLUMN(T_Commission[Encadrant Email]),FALSE))</f>
        <v/>
      </c>
      <c r="CK74" s="340" t="str">
        <f>IF(T_BilanSocial[[#This Row],[Final]]&lt;&gt;"",VLOOKUP(T_BilanSocial[[#This Row],[NumL]],T_suiviDi[#Data],COLUMN((T_suiviDi[Statut])),FALSE),"")</f>
        <v/>
      </c>
    </row>
    <row r="75" spans="1:89" s="106" customFormat="1" ht="24.75" customHeight="1" x14ac:dyDescent="0.25">
      <c r="A75" s="160">
        <v>72</v>
      </c>
      <c r="B75" s="161" t="str">
        <f t="shared" si="10"/>
        <v/>
      </c>
      <c r="C75" s="162" t="s">
        <v>139</v>
      </c>
      <c r="D75" s="95" t="e">
        <f>IF(VLOOKUP(T_BilanSocial[[#This Row],[NumL]],T_TraitDi[#Data],COLUMN(T_TraitDi[[#This Row],[WebC]]),FALSE)="","",VLOOKUP(T_BilanSocial[[#This Row],[NumL]],T_TraitDi[#Data],COLUMN(T_TraitDi[[#This Row],[WebC]]),FALSE))</f>
        <v>#VALUE!</v>
      </c>
      <c r="E75" s="163" t="str">
        <f t="shared" si="11"/>
        <v>12 janvier 2021</v>
      </c>
      <c r="F75" s="96" t="str">
        <f>IF(T_BilanSocial[[#This Row],[Final]]&lt;&gt;"",VLOOKUP(T_BilanSocial[[#This Row],[NumL]],T_suiviDi[#Data],COLUMN((T_suiviDi[Civ.])),FALSE),"")</f>
        <v/>
      </c>
      <c r="G75" s="96" t="str">
        <f>IF(T_BilanSocial[[#This Row],[Final]]&lt;&gt;"",VLOOKUP(T_BilanSocial[[#This Row],[NumL]],T_suiviDi[#Data],COLUMN((T_suiviDi[Nom])),FALSE),"")</f>
        <v/>
      </c>
      <c r="H75" s="96" t="str">
        <f>IF(T_BilanSocial[[#This Row],[Final]]&lt;&gt;"",VLOOKUP(T_BilanSocial[[#This Row],[NumL]],T_suiviDi[#Data],COLUMN((T_suiviDi[Prénom])),FALSE),"")</f>
        <v/>
      </c>
      <c r="I75" s="96" t="str">
        <f>IFERROR(VLOOKUP(T_BilanSocial[[#This Row],[Zone_Bilan]],T_P_BilanSocial[#Data],COLUMN(T_P_BilanSocial[[#This Row],[Numero_SIHAM]]),FALSE),"")</f>
        <v/>
      </c>
      <c r="J75" s="96" t="str">
        <f>IFERROR(VLOOKUP(T_BilanSocial[[#This Row],[Zone_Bilan]],T_P_BilanSocial[#Data],COLUMN(T_P_BilanSocial[[#This Row],[Sexe]]),FALSE),"")</f>
        <v/>
      </c>
      <c r="K75" s="97" t="str">
        <f>IFERROR(VLOOKUP(T_BilanSocial[[#This Row],[Zone_Bilan]],T_P_BilanSocial[#Data],COLUMN(T_P_BilanSocial[[#This Row],[Categorie]]),FALSE),"")</f>
        <v/>
      </c>
      <c r="L75" s="96" t="str">
        <f>IFERROR(VLOOKUP(T_BilanSocial[[#This Row],[Zone_Bilan]],T_P_BilanSocial[#Data],COLUMN(T_P_BilanSocial[[#This Row],[Statut]]),FALSE),"")</f>
        <v/>
      </c>
      <c r="M75" s="96" t="str">
        <f>IFERROR(VLOOKUP(T_BilanSocial[[#This Row],[Zone_Bilan]],T_P_BilanSocial[#Data],COLUMN(T_P_BilanSocial[[#This Row],[Filiere]]),FALSE),"")</f>
        <v/>
      </c>
      <c r="N75" s="96" t="e">
        <f>VLOOKUP(T_BilanSocial[[#This Row],[NumL]],T_TraitDi[#Data],COLUMN(T_TraitDi[EXP]),FALSE)</f>
        <v>#N/A</v>
      </c>
      <c r="O75" s="96" t="e">
        <f>VLOOKUP(T_BilanSocial[[#This Row],[NumL]],T_TraitDi[#Data],COLUMN(T_TraitDi[FORM]),FALSE)</f>
        <v>#N/A</v>
      </c>
      <c r="P75" s="96" t="str">
        <f>IF(T_BilanSocial[[#This Row],[Final]]&lt;&gt;"",VLOOKUP(T_BilanSocial[[#This Row],[NumL]],T_suiviDi[#Data],COLUMN((T_suiviDi[Email])),FALSE),"")</f>
        <v/>
      </c>
      <c r="Q75" s="164" t="e">
        <f t="shared" si="7"/>
        <v>#N/A</v>
      </c>
      <c r="R75" s="164" t="e">
        <f t="shared" si="8"/>
        <v>#N/A</v>
      </c>
      <c r="S75" s="164" t="e">
        <f>IF(VLOOKUP(T_BilanSocial[[#This Row],[NumL]],T_suiviDi[#Data],COLUMN(T_suiviDi[[#This Row],[Service ]]),FALSE)="","",VLOOKUP(T_BilanSocial[[#This Row],[NumL]],T_suiviDi[#Data],COLUMN(T_suiviDi[[#This Row],[Service ]]),FALSE))</f>
        <v>#VALUE!</v>
      </c>
      <c r="T75" s="164" t="str">
        <f t="shared" si="12"/>
        <v>01 septembre 2021</v>
      </c>
      <c r="U75" s="164" t="str">
        <f t="shared" si="13"/>
        <v>30 novembre 2021</v>
      </c>
      <c r="V75" s="256">
        <f>Datebilan</f>
        <v>44530</v>
      </c>
      <c r="W75" s="176" t="e">
        <f>IF(VLOOKUP(T_BilanSocial[[#This Row],[NumL]],T_TraitDi[#Data],COLUMN(T_TraitDi[[#This Row],[M1]]),FALSE)="","",VLOOKUP(T_BilanSocial[[#This Row],[NumL]],T_TraitDi[#Data],COLUMN(T_TraitDi[[#This Row],[M1]]),FALSE))</f>
        <v>#VALUE!</v>
      </c>
      <c r="X75" s="176" t="e">
        <f>IF(VLOOKUP(T_BilanSocial[[#This Row],[NumL]],T_TraitDi[#Data],COLUMN(T_TraitDi[[#This Row],[M2]]),FALSE)="","",VLOOKUP(T_BilanSocial[[#This Row],[NumL]],T_TraitDi[#Data],COLUMN(T_TraitDi[[#This Row],[M2]]),FALSE))</f>
        <v>#VALUE!</v>
      </c>
      <c r="Y75" s="176" t="e">
        <f>IF(VLOOKUP(T_BilanSocial[[#This Row],[NumL]],T_TraitDi[#Data],COLUMN(T_TraitDi[[#This Row],[M3]]),FALSE)="","",VLOOKUP(T_BilanSocial[[#This Row],[NumL]],T_TraitDi[#Data],COLUMN(T_TraitDi[[#This Row],[M3]]),FALSE))</f>
        <v>#VALUE!</v>
      </c>
      <c r="Z75" s="176" t="str">
        <f t="shared" si="16"/>
        <v/>
      </c>
      <c r="AA75" s="176" t="e">
        <f>IF(VLOOKUP(T_BilanSocial[[#This Row],[NumL]],T_TraitDi[#Data],COLUMN(T_TraitDi[[#This Row],[M5]]),FALSE)="","",VLOOKUP(T_BilanSocial[[#This Row],[NumL]],T_TraitDi[#Data],COLUMN(T_TraitDi[[#This Row],[M5]]),FALSE))</f>
        <v>#VALUE!</v>
      </c>
      <c r="AB75" s="176" t="e">
        <f>IF(VLOOKUP(T_BilanSocial[[#This Row],[NumL]],T_TraitDi[#Data],COLUMN(T_TraitDi[[#This Row],[M6]]),FALSE)="","",VLOOKUP(T_BilanSocial[[#This Row],[NumL]],T_TraitDi[#Data],COLUMN(T_TraitDi[[#This Row],[M6]]),FALSE))</f>
        <v>#VALUE!</v>
      </c>
      <c r="AC75" s="165" t="e">
        <f t="shared" si="15"/>
        <v>#VALUE!</v>
      </c>
      <c r="AD75" s="188" t="str">
        <f>IFERROR(TEXT(VLOOKUP(T_BilanSocial[[#This Row],[NumL]],T_TraitDi[#Data],COLUMN(T_TraitDi[[#This Row],[Q2]]),FALSE),"###%"),"")</f>
        <v/>
      </c>
      <c r="AE75" s="97" t="e">
        <f>VLOOKUP(T_BilanSocial[[#This Row],[NumL]],T_TraitDi[#Data],COLUMN(T_TraitDi[[#This Row],[Reg Ponct]]),FALSE)</f>
        <v>#VALUE!</v>
      </c>
      <c r="AF75" s="97" t="e">
        <f>VLOOKUP(T_BilanSocial[NumL],T_TraitDi[#Data],COLUMN(T_TraitDi[[#This Row],[Jours flottants]]),FALSE)</f>
        <v>#VALUE!</v>
      </c>
      <c r="AG75" s="97" t="str">
        <f>IFERROR(VLOOKUP(T_BilanSocial[[#This Row],[NumL]],T_TraitDi[#Data],COLUMN(T_TraitDi[[#This Row],[Lundi]]),FALSE),"")</f>
        <v/>
      </c>
      <c r="AH75" s="172" t="e">
        <f>IF(VLOOKUP(T_BilanSocial[[#This Row],[NumL]],T_TraitDi[#Data],COLUMN(T_TraitDi[[#This Row],[Colonne3]]),FALSE)=0,"",TEXT(IFERROR(VLOOKUP(T_BilanSocial[[#This Row],[NumL]],T_TraitDi[#Data],COLUMN(T_TraitDi[[#This Row],[Colonne3]]),FALSE),""),"[hh]:mm"))</f>
        <v>#VALUE!</v>
      </c>
      <c r="AI75" s="172" t="e">
        <f>IF(VLOOKUP(T_BilanSocial[[#This Row],[NumL]],T_TraitDi[#Data],COLUMN(T_TraitDi[[#This Row],[Colonne4]]),FALSE)=0,"",TEXT(IFERROR(VLOOKUP(T_BilanSocial[[#This Row],[NumL]],T_TraitDi[#Data],COLUMN(T_TraitDi[[#This Row],[Colonne4]]),FALSE),""),"[hh]:mm"))</f>
        <v>#VALUE!</v>
      </c>
      <c r="AJ75" s="172" t="e">
        <f>IF(VLOOKUP(T_BilanSocial[[#This Row],[NumL]],T_TraitDi[#Data],COLUMN(T_TraitDi[[#This Row],[Colonne5]]),FALSE)=0,"",TEXT(IFERROR(VLOOKUP(T_BilanSocial[[#This Row],[NumL]],T_TraitDi[#Data],COLUMN(T_TraitDi[[#This Row],[Colonne5]]),FALSE),""),"[hh]:mm"))</f>
        <v>#VALUE!</v>
      </c>
      <c r="AK75" s="172" t="e">
        <f>IF(VLOOKUP(T_BilanSocial[[#This Row],[NumL]],T_TraitDi[#Data],COLUMN(T_TraitDi[[#This Row],[Colonne6]]),FALSE)=0,"",TEXT(IFERROR(VLOOKUP(T_BilanSocial[[#This Row],[NumL]],T_TraitDi[#Data],COLUMN(T_TraitDi[[#This Row],[Colonne6]]),FALSE),""),"[hh]:mm"))</f>
        <v>#VALUE!</v>
      </c>
      <c r="AL75" s="172" t="e">
        <f>IF(VLOOKUP(T_BilanSocial[[#This Row],[NumL]],T_TraitDi[#Data],COLUMN(T_TraitDi[[#This Row],[Colonne7]]),FALSE)=0,"",TEXT(IFERROR(VLOOKUP(T_BilanSocial[[#This Row],[NumL]],T_TraitDi[#Data],COLUMN(T_TraitDi[[#This Row],[Colonne7]]),FALSE),""),"[hh]:mm"))</f>
        <v>#VALUE!</v>
      </c>
      <c r="AM75" s="172" t="e">
        <f>IF(VLOOKUP(T_BilanSocial[[#This Row],[NumL]],T_TraitDi[#Data],COLUMN(T_TraitDi[[#This Row],[Colonne8]]),FALSE)=0,"",TEXT(IFERROR(VLOOKUP(T_BilanSocial[[#This Row],[NumL]],T_TraitDi[#Data],COLUMN(T_TraitDi[[#This Row],[Colonne8]]),FALSE),""),"[hh]:mm"))</f>
        <v>#VALUE!</v>
      </c>
      <c r="AN75" s="172" t="str">
        <f>IFERROR(VLOOKUP(T_BilanSocial[[#This Row],[NumL]],T_TraitDi[#Data],COLUMN(T_TraitDi[[#This Row],[Mardi]]),FALSE),"")</f>
        <v/>
      </c>
      <c r="AO75" s="172" t="e">
        <f>IF(VLOOKUP(T_BilanSocial[[#This Row],[NumL]],T_TraitDi[#Data],COLUMN(T_TraitDi[[#This Row],[Colonne1]]),FALSE)=0,"",TEXT(IFERROR(VLOOKUP(T_BilanSocial[[#This Row],[NumL]],T_TraitDi[#Data],COLUMN(T_TraitDi[[#This Row],[Colonne1]]),FALSE),""),"[hh]:mm"))</f>
        <v>#VALUE!</v>
      </c>
      <c r="AP75" s="172" t="e">
        <f>IF(VLOOKUP(T_BilanSocial[[#This Row],[NumL]],T_TraitDi[#Data],COLUMN(T_TraitDi[[#This Row],[Colonne9]]),FALSE)=0,"",TEXT(IFERROR(VLOOKUP(T_BilanSocial[[#This Row],[NumL]],T_TraitDi[#Data],COLUMN(T_TraitDi[[#This Row],[Colonne9]]),FALSE),""),"[hh]:mm"))</f>
        <v>#VALUE!</v>
      </c>
      <c r="AQ75" s="172" t="str">
        <f>IFERROR(VLOOKUP(T_BilanSocial[[#This Row],[NumL]],T_TraitDi[#Data],COLUMN(T_TraitDi[[#This Row],[Colonne10]]),FALSE),"")</f>
        <v/>
      </c>
      <c r="AR75" s="172" t="e">
        <f>IF(VLOOKUP(T_BilanSocial[[#This Row],[NumL]],T_TraitDi[#Data],COLUMN(T_TraitDi[[#This Row],[Colonne11]]),FALSE)=0,"",TEXT(IFERROR(VLOOKUP(T_BilanSocial[[#This Row],[NumL]],T_TraitDi[#Data],COLUMN(T_TraitDi[[#This Row],[Colonne11]]),FALSE),""),"[hh]:mm"))</f>
        <v>#VALUE!</v>
      </c>
      <c r="AS75" s="172" t="e">
        <f>IF(VLOOKUP(T_BilanSocial[[#This Row],[NumL]],T_TraitDi[#Data],COLUMN(T_TraitDi[[#This Row],[Colonne12]]),FALSE)=0,"",TEXT(IFERROR(VLOOKUP(T_BilanSocial[[#This Row],[NumL]],T_TraitDi[#Data],COLUMN(T_TraitDi[[#This Row],[Colonne12]]),FALSE),""),"[hh]:mm"))</f>
        <v>#VALUE!</v>
      </c>
      <c r="AT75" s="172" t="e">
        <f>IF(VLOOKUP(T_BilanSocial[[#This Row],[NumL]],T_TraitDi[#Data],COLUMN(T_TraitDi[[#This Row],[Colonne14]]),FALSE)=0,"",TEXT(IFERROR(VLOOKUP(T_BilanSocial[[#This Row],[NumL]],T_TraitDi[#Data],COLUMN(T_TraitDi[[#This Row],[Colonne14]]),FALSE),""),"[hh]:mm"))</f>
        <v>#VALUE!</v>
      </c>
      <c r="AU75" s="172" t="str">
        <f>IFERROR(VLOOKUP(T_BilanSocial[[#This Row],[NumL]],T_TraitDi[#Data],COLUMN(T_TraitDi[[#This Row],[Mercredi]]),FALSE),"")</f>
        <v/>
      </c>
      <c r="AV75" s="172" t="e">
        <f>IF(VLOOKUP(T_BilanSocial[[#This Row],[NumL]],T_TraitDi[#Data],COLUMN(T_TraitDi[[#This Row],[Colonne15]]),FALSE)=0,"",TEXT(IFERROR(VLOOKUP(T_BilanSocial[[#This Row],[NumL]],T_TraitDi[#Data],COLUMN(T_TraitDi[[#This Row],[Colonne15]]),FALSE),""),"[hh]:mm"))</f>
        <v>#VALUE!</v>
      </c>
      <c r="AW75" s="172" t="e">
        <f>IF(VLOOKUP(T_BilanSocial[[#This Row],[NumL]],T_TraitDi[#Data],COLUMN(T_TraitDi[[#This Row],[Colonne16]]),FALSE)=0,"",TEXT(IFERROR(VLOOKUP(T_BilanSocial[[#This Row],[NumL]],T_TraitDi[#Data],COLUMN(T_TraitDi[[#This Row],[Colonne16]]),FALSE),""),"[hh]:mm"))</f>
        <v>#VALUE!</v>
      </c>
      <c r="AX75" s="172" t="str">
        <f>IFERROR(VLOOKUP(T_BilanSocial[[#This Row],[NumL]],T_TraitDi[#Data],COLUMN(T_TraitDi[[#This Row],[Colonne17]]),FALSE),"")</f>
        <v/>
      </c>
      <c r="AY75" s="172" t="e">
        <f>IF(VLOOKUP(T_BilanSocial[[#This Row],[NumL]],T_TraitDi[#Data],COLUMN(T_TraitDi[[#This Row],[Colonne18]]),FALSE)=0,"",TEXT(IFERROR(VLOOKUP(T_BilanSocial[[#This Row],[NumL]],T_TraitDi[#Data],COLUMN(T_TraitDi[[#This Row],[Colonne18]]),FALSE),""),"[hh]:mm"))</f>
        <v>#VALUE!</v>
      </c>
      <c r="AZ75" s="172" t="e">
        <f>IF(VLOOKUP(T_BilanSocial[[#This Row],[NumL]],T_TraitDi[#Data],COLUMN(T_TraitDi[[#This Row],[Colonne19]]),FALSE)=0,"",TEXT(IFERROR(VLOOKUP(T_BilanSocial[[#This Row],[NumL]],T_TraitDi[#Data],COLUMN(T_TraitDi[[#This Row],[Colonne19]]),FALSE),""),"[hh]:mm"))</f>
        <v>#VALUE!</v>
      </c>
      <c r="BA75" s="172" t="e">
        <f>IF(VLOOKUP(T_BilanSocial[[#This Row],[NumL]],T_TraitDi[#Data],COLUMN(T_TraitDi[[#This Row],[Colonne20]]),FALSE)=0,"",TEXT(IFERROR(VLOOKUP(T_BilanSocial[[#This Row],[NumL]],T_TraitDi[#Data],COLUMN(T_TraitDi[[#This Row],[Colonne20]]),FALSE),""),"[hh]:mm"))</f>
        <v>#VALUE!</v>
      </c>
      <c r="BB75" s="178" t="str">
        <f>IFERROR(VLOOKUP(T_BilanSocial[[#This Row],[NumL]],T_TraitDi[#Data],COLUMN(T_TraitDi[[#This Row],[Jeudi]]),FALSE),"")</f>
        <v/>
      </c>
      <c r="BC75" s="178" t="e">
        <f>IF(VLOOKUP(T_BilanSocial[[#This Row],[NumL]],T_TraitDi[#Data],COLUMN(T_TraitDi[[#This Row],[Colonne21]]),FALSE)=0,"",TEXT(IFERROR(VLOOKUP(T_BilanSocial[[#This Row],[NumL]],T_TraitDi[#Data],COLUMN(T_TraitDi[[#This Row],[Colonne21]]),FALSE),""),"[hh]:mm"))</f>
        <v>#VALUE!</v>
      </c>
      <c r="BD75" s="178" t="e">
        <f>IF(VLOOKUP(T_BilanSocial[[#This Row],[NumL]],T_TraitDi[#Data],COLUMN(T_TraitDi[[#This Row],[Colonne22]]),FALSE)=0,"",TEXT(IFERROR(VLOOKUP(T_BilanSocial[[#This Row],[NumL]],T_TraitDi[#Data],COLUMN(T_TraitDi[[#This Row],[Colonne22]]),FALSE),""),"[hh]:mm"))</f>
        <v>#VALUE!</v>
      </c>
      <c r="BE75" s="178" t="str">
        <f>IFERROR(VLOOKUP(T_BilanSocial[[#This Row],[NumL]],T_TraitDi[#Data],COLUMN(T_TraitDi[[#This Row],[Colonne23]]),FALSE),"")</f>
        <v/>
      </c>
      <c r="BF75" s="178" t="e">
        <f>IF(VLOOKUP(T_BilanSocial[[#This Row],[NumL]],T_TraitDi[#Data],COLUMN(T_TraitDi[[#This Row],[Colonne24]]),FALSE)=0,"",TEXT(IFERROR(VLOOKUP(T_BilanSocial[[#This Row],[NumL]],T_TraitDi[#Data],COLUMN(T_TraitDi[[#This Row],[Colonne24]]),FALSE),""),"[hh]:mm"))</f>
        <v>#VALUE!</v>
      </c>
      <c r="BG75" s="178" t="e">
        <f>IF(VLOOKUP(T_BilanSocial[[#This Row],[NumL]],T_TraitDi[#Data],COLUMN(T_TraitDi[[#This Row],[Colonne25]]),FALSE)=0,"",TEXT(IFERROR(VLOOKUP(T_BilanSocial[[#This Row],[NumL]],T_TraitDi[#Data],COLUMN(T_TraitDi[[#This Row],[Colonne25]]),FALSE),""),"[hh]:mm"))</f>
        <v>#VALUE!</v>
      </c>
      <c r="BH75" s="178" t="e">
        <f>IF(VLOOKUP(T_BilanSocial[[#This Row],[NumL]],T_TraitDi[#Data],COLUMN(T_TraitDi[[#This Row],[Colonne26]]),FALSE)=0,"",TEXT(IFERROR(VLOOKUP(T_BilanSocial[[#This Row],[NumL]],T_TraitDi[#Data],COLUMN(T_TraitDi[[#This Row],[Colonne26]]),FALSE),""),"[hh]:mm"))</f>
        <v>#VALUE!</v>
      </c>
      <c r="BI75" s="172" t="str">
        <f>IFERROR(VLOOKUP(T_BilanSocial[[#This Row],[NumL]],T_TraitDi[#Data],COLUMN(T_TraitDi[[#This Row],[Vendredi]]),FALSE),"")</f>
        <v/>
      </c>
      <c r="BJ75" s="172" t="e">
        <f>IF(VLOOKUP(T_BilanSocial[[#This Row],[NumL]],T_TraitDi[#Data],COLUMN(T_TraitDi[[#This Row],[Colonne27]]),FALSE)=0,"",TEXT(IFERROR(VLOOKUP(T_BilanSocial[[#This Row],[NumL]],T_TraitDi[#Data],COLUMN(T_TraitDi[[#This Row],[Colonne27]]),FALSE),""),"[hh]:mm"))</f>
        <v>#VALUE!</v>
      </c>
      <c r="BK75" s="172" t="e">
        <f>IF(VLOOKUP(T_BilanSocial[[#This Row],[NumL]],T_TraitDi[#Data],COLUMN(T_TraitDi[[#This Row],[Colonne28]]),FALSE)=0,"",TEXT(IFERROR(VLOOKUP(T_BilanSocial[[#This Row],[NumL]],T_TraitDi[#Data],COLUMN(T_TraitDi[[#This Row],[Colonne28]]),FALSE),""),"[hh]:mm"))</f>
        <v>#VALUE!</v>
      </c>
      <c r="BL75" s="172" t="str">
        <f>IFERROR(VLOOKUP(T_BilanSocial[[#This Row],[NumL]],T_TraitDi[#Data],COLUMN(T_TraitDi[[#This Row],[Colonne29]]),FALSE),"")</f>
        <v/>
      </c>
      <c r="BM75" s="172" t="e">
        <f>IF(VLOOKUP(T_BilanSocial[[#This Row],[NumL]],T_TraitDi[#Data],COLUMN(T_TraitDi[[#This Row],[Colonne30]]),FALSE)=0,"",TEXT(IFERROR(VLOOKUP(T_BilanSocial[[#This Row],[NumL]],T_TraitDi[#Data],COLUMN(T_TraitDi[[#This Row],[Colonne30]]),FALSE),""),"[hh]:mm"))</f>
        <v>#VALUE!</v>
      </c>
      <c r="BN75" s="172" t="e">
        <f>IF(VLOOKUP(T_BilanSocial[[#This Row],[NumL]],T_TraitDi[#Data],COLUMN(T_TraitDi[[#This Row],[Colonne31]]),FALSE)=0,"",TEXT(IFERROR(VLOOKUP(T_BilanSocial[[#This Row],[NumL]],T_TraitDi[#Data],COLUMN(T_TraitDi[[#This Row],[Colonne31]]),FALSE),""),"[hh]:mm"))</f>
        <v>#VALUE!</v>
      </c>
      <c r="BO75" s="172" t="e">
        <f>IF(VLOOKUP(T_BilanSocial[[#This Row],[NumL]],T_TraitDi[#Data],COLUMN(T_TraitDi[[#This Row],[Colonne32]]),FALSE)=0,"",TEXT(IFERROR(VLOOKUP(T_BilanSocial[[#This Row],[NumL]],T_TraitDi[#Data],COLUMN(T_TraitDi[[#This Row],[Colonne32]]),FALSE),""),"[hh]:mm"))</f>
        <v>#VALUE!</v>
      </c>
      <c r="BP75" s="172" t="e">
        <f>VLOOKUP(T_BilanSocial[[#This Row],[NumL]],T_TraitDi[#Data],COLUMN(T_TraitDi[NbJTot]),FALSE)</f>
        <v>#N/A</v>
      </c>
      <c r="BQ75" s="174" t="str">
        <f>IFERROR(VLOOKUP(T_BilanSocial[[#This Row],[NumL]],T_TraitDi[#Data],COLUMN(T_TraitDi[[#This Row],[NbJTW]]),FALSE),"")</f>
        <v/>
      </c>
      <c r="BR75" s="174" t="e">
        <f>IF(VLOOKUP(T_BilanSocial[[#This Row],[NumL]],T_TraitDi[#Data],COLUMN(T_TraitDi[[#This Row],[NbhTW]]),FALSE)=0,"",TEXT(IFERROR(VLOOKUP(T_BilanSocial[[#This Row],[NumL]],T_TraitDi[#Data],COLUMN(T_TraitDi[[#This Row],[NbhTW]]),FALSE),""),"[hh]:mm"))</f>
        <v>#VALUE!</v>
      </c>
      <c r="BS75" s="174" t="e">
        <f>IF(VLOOKUP(T_BilanSocial[[#This Row],[NumL]],T_TraitDi[#Data],COLUMN(T_TraitDi[[#This Row],[Nbhheb]]),FALSE)=0,"",TEXT(IFERROR(VLOOKUP($A75,T_TraitDi[#Data],COLUMN(T_TraitDi[[#This Row],[Nbhheb]]),FALSE),""),"[hh]:mm"))</f>
        <v>#VALUE!</v>
      </c>
      <c r="BT75" s="268" t="str">
        <f>IFERROR(VLOOKUP(VLOOKUP($A75,T_TraitDi[#Data],COLUMN(T_TraitDi[[#This Row],[Type1]]),FALSE),TypeTW,2,FALSE),"")</f>
        <v/>
      </c>
      <c r="BU75" s="182" t="str">
        <f>IFERROR(VLOOKUP($A75,T_TraitDi[#Data],COLUMN(T_TraitDi[[#This Row],[Rue1]]),FALSE),"")</f>
        <v/>
      </c>
      <c r="BV75" s="173" t="str">
        <f>IFERROR(VLOOKUP($A75,T_TraitDi[#Data],COLUMN(T_TraitDi[[#This Row],[CP1]]),FALSE),"")</f>
        <v/>
      </c>
      <c r="BW75" s="173" t="str">
        <f>IFERROR(VLOOKUP($A75,T_TraitDi[#Data],COLUMN(T_TraitDi[[#This Row],[VILLE1]]),FALSE),"")</f>
        <v/>
      </c>
      <c r="BX75" s="182" t="str">
        <f>IFERROR(VLOOKUP(VLOOKUP($A75,T_TraitDi[#Data],COLUMN(T_TraitDi[[#This Row],[Type2]]),FALSE),TypeTW,2,FALSE),"")</f>
        <v/>
      </c>
      <c r="BY75" s="182" t="str">
        <f>IFERROR(VLOOKUP($A75,T_TraitDi[#Data],COLUMN(T_TraitDi[[#This Row],[Rue2]]),FALSE),"")</f>
        <v/>
      </c>
      <c r="BZ75" s="173" t="str">
        <f>IFERROR(VLOOKUP($A75,T_TraitDi[#Data],COLUMN(T_TraitDi[[#This Row],[CP2]]),FALSE),"")</f>
        <v/>
      </c>
      <c r="CA75" s="173" t="str">
        <f>IFERROR(VLOOKUP($A75,T_TraitDi[#Data],COLUMN(T_TraitDi[[#This Row],[VILLE2]]),FALSE),"")</f>
        <v/>
      </c>
      <c r="CB75" s="182" t="str">
        <f>IF(VLOOKUP(T_BilanSocial[[#This Row],[NumL]],T_Equipement[#Data],COLUMN(T_Equipement[[#This Row],[PC]]),FALSE)="","Aucun équipement spécifique directement lié au télétravail",VLOOKUP(T_BilanSocial[[#This Row],[NumL]],T_Equipement[#Data],COLUMN(T_Equipement[[#This Row],[PC]]),FALSE))</f>
        <v xml:space="preserve">14-399	</v>
      </c>
      <c r="CC75" s="166" t="str">
        <f>IFERROR(IF(VLOOKUP(T_BilanSocial[[#This Row],[NumL]],T_TraitDi[#Data],COLUMN(T_TraitDi[[#This Row],[Plan]]),FALSE)="OK","Un planning spécifique de télétravail est annexé à la présente convention.",""),"")</f>
        <v/>
      </c>
      <c r="CD75" s="185"/>
      <c r="CE75" s="164" t="e">
        <f>IF(VLOOKUP(T_BilanSocial[[#This Row],[NumL]],T_suiviDi[#Data],COLUMN(T_suiviDi[[#This Row],[Entité]]),FALSE)="","",VLOOKUP(T_BilanSocial[[#This Row],[NumL]],T_suiviDi[#Data],COLUMN(T_suiviDi[[#This Row],[Entité]]),FALSE))</f>
        <v>#VALUE!</v>
      </c>
      <c r="CF75" s="164" t="str">
        <f>IF(VLOOKUP(T_BilanSocial[[#This Row],[NumL]],T_Commission[#Data],COLUMN(T_Commission[[#This Row],[envoi confirm TW]]),FALSE)="","",VLOOKUP(T_BilanSocial[[#This Row],[NumL]],T_Commission[#Data],COLUMN(T_Commission[[#This Row],[envoi confirm TW]]),FALSE))</f>
        <v>Oui</v>
      </c>
      <c r="CG7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5" s="262" t="str">
        <f>T_BilanSocial[[#This Row],[Nom]]&amp;T_BilanSocial[[#This Row],[Prenom]]</f>
        <v/>
      </c>
      <c r="CI75" s="262">
        <f>VLOOKUP(T_BilanSocial[[#This Row],[NumL]],T_Commission[#Data],COLUMN(T_Commission[Commentaire]),FALSE)</f>
        <v>0</v>
      </c>
      <c r="CJ75" s="262" t="str">
        <f>IF(VLOOKUP(T_BilanSocial[[#This Row],[NumL]],T_Commission[#Data],COLUMN(T_Commission[Encadrant Email]),FALSE)="","",VLOOKUP(T_BilanSocial[[#This Row],[NumL]],T_Commission[#Data],COLUMN(T_Commission[Encadrant Email]),FALSE))</f>
        <v/>
      </c>
      <c r="CK75" s="340" t="str">
        <f>IF(T_BilanSocial[[#This Row],[Final]]&lt;&gt;"",VLOOKUP(T_BilanSocial[[#This Row],[NumL]],T_suiviDi[#Data],COLUMN((T_suiviDi[Statut])),FALSE),"")</f>
        <v/>
      </c>
    </row>
    <row r="76" spans="1:89" s="106" customFormat="1" ht="24.75" customHeight="1" x14ac:dyDescent="0.25">
      <c r="A76" s="160">
        <v>73</v>
      </c>
      <c r="B76" s="161" t="str">
        <f t="shared" si="10"/>
        <v/>
      </c>
      <c r="C76" s="162" t="s">
        <v>173</v>
      </c>
      <c r="D76" s="95" t="e">
        <f>IF(VLOOKUP(T_BilanSocial[[#This Row],[NumL]],T_TraitDi[#Data],COLUMN(T_TraitDi[[#This Row],[WebC]]),FALSE)="","",VLOOKUP(T_BilanSocial[[#This Row],[NumL]],T_TraitDi[#Data],COLUMN(T_TraitDi[[#This Row],[WebC]]),FALSE))</f>
        <v>#VALUE!</v>
      </c>
      <c r="E76" s="163" t="str">
        <f t="shared" si="11"/>
        <v>12 janvier 2021</v>
      </c>
      <c r="F76" s="96" t="str">
        <f>IF(T_BilanSocial[[#This Row],[Final]]&lt;&gt;"",VLOOKUP(T_BilanSocial[[#This Row],[NumL]],T_suiviDi[#Data],COLUMN((T_suiviDi[Civ.])),FALSE),"")</f>
        <v/>
      </c>
      <c r="G76" s="96" t="str">
        <f>IF(T_BilanSocial[[#This Row],[Final]]&lt;&gt;"",VLOOKUP(T_BilanSocial[[#This Row],[NumL]],T_suiviDi[#Data],COLUMN((T_suiviDi[Nom])),FALSE),"")</f>
        <v/>
      </c>
      <c r="H76" s="96" t="str">
        <f>IF(T_BilanSocial[[#This Row],[Final]]&lt;&gt;"",VLOOKUP(T_BilanSocial[[#This Row],[NumL]],T_suiviDi[#Data],COLUMN((T_suiviDi[Prénom])),FALSE),"")</f>
        <v/>
      </c>
      <c r="I76" s="96" t="str">
        <f>IFERROR(VLOOKUP(T_BilanSocial[[#This Row],[Zone_Bilan]],T_P_BilanSocial[#Data],COLUMN(T_P_BilanSocial[[#This Row],[Numero_SIHAM]]),FALSE),"")</f>
        <v/>
      </c>
      <c r="J76" s="96" t="str">
        <f>IFERROR(VLOOKUP(T_BilanSocial[[#This Row],[Zone_Bilan]],T_P_BilanSocial[#Data],COLUMN(T_P_BilanSocial[[#This Row],[Sexe]]),FALSE),"")</f>
        <v/>
      </c>
      <c r="K76" s="97" t="str">
        <f>IFERROR(VLOOKUP(T_BilanSocial[[#This Row],[Zone_Bilan]],T_P_BilanSocial[#Data],COLUMN(T_P_BilanSocial[[#This Row],[Categorie]]),FALSE),"")</f>
        <v/>
      </c>
      <c r="L76" s="96" t="str">
        <f>IFERROR(VLOOKUP(T_BilanSocial[[#This Row],[Zone_Bilan]],T_P_BilanSocial[#Data],COLUMN(T_P_BilanSocial[[#This Row],[Statut]]),FALSE),"")</f>
        <v/>
      </c>
      <c r="M76" s="96" t="str">
        <f>IFERROR(VLOOKUP(T_BilanSocial[[#This Row],[Zone_Bilan]],T_P_BilanSocial[#Data],COLUMN(T_P_BilanSocial[[#This Row],[Filiere]]),FALSE),"")</f>
        <v/>
      </c>
      <c r="N76" s="96" t="e">
        <f>VLOOKUP(T_BilanSocial[[#This Row],[NumL]],T_TraitDi[#Data],COLUMN(T_TraitDi[EXP]),FALSE)</f>
        <v>#N/A</v>
      </c>
      <c r="O76" s="96" t="e">
        <f>VLOOKUP(T_BilanSocial[[#This Row],[NumL]],T_TraitDi[#Data],COLUMN(T_TraitDi[FORM]),FALSE)</f>
        <v>#N/A</v>
      </c>
      <c r="P76" s="96" t="str">
        <f>IF(T_BilanSocial[[#This Row],[Final]]&lt;&gt;"",VLOOKUP(T_BilanSocial[[#This Row],[NumL]],T_suiviDi[#Data],COLUMN((T_suiviDi[Email])),FALSE),"")</f>
        <v/>
      </c>
      <c r="Q76" s="164" t="e">
        <f t="shared" si="7"/>
        <v>#N/A</v>
      </c>
      <c r="R76" s="164" t="e">
        <f t="shared" si="8"/>
        <v>#N/A</v>
      </c>
      <c r="S76" s="164" t="e">
        <f>IF(VLOOKUP(T_BilanSocial[[#This Row],[NumL]],T_suiviDi[#Data],COLUMN(T_suiviDi[[#This Row],[Service ]]),FALSE)="","",VLOOKUP(T_BilanSocial[[#This Row],[NumL]],T_suiviDi[#Data],COLUMN(T_suiviDi[[#This Row],[Service ]]),FALSE))</f>
        <v>#VALUE!</v>
      </c>
      <c r="T76" s="164" t="str">
        <f t="shared" si="12"/>
        <v>01 septembre 2021</v>
      </c>
      <c r="U76" s="164" t="str">
        <f t="shared" si="13"/>
        <v>30 novembre 2021</v>
      </c>
      <c r="V76" s="164" t="str">
        <f>TEXT(Datebilan,"jj mmmm aaaa")</f>
        <v>30 novembre 2021</v>
      </c>
      <c r="W76" s="176" t="e">
        <f>IF(VLOOKUP(T_BilanSocial[[#This Row],[NumL]],T_TraitDi[#Data],COLUMN(T_TraitDi[[#This Row],[M1]]),FALSE)="","",VLOOKUP(T_BilanSocial[[#This Row],[NumL]],T_TraitDi[#Data],COLUMN(T_TraitDi[[#This Row],[M1]]),FALSE))</f>
        <v>#VALUE!</v>
      </c>
      <c r="X76" s="176" t="e">
        <f>IF(VLOOKUP(T_BilanSocial[[#This Row],[NumL]],T_TraitDi[#Data],COLUMN(T_TraitDi[[#This Row],[M2]]),FALSE)="","",VLOOKUP(T_BilanSocial[[#This Row],[NumL]],T_TraitDi[#Data],COLUMN(T_TraitDi[[#This Row],[M2]]),FALSE))</f>
        <v>#VALUE!</v>
      </c>
      <c r="Y76" s="176" t="e">
        <f>IF(VLOOKUP(T_BilanSocial[[#This Row],[NumL]],T_TraitDi[#Data],COLUMN(T_TraitDi[[#This Row],[M3]]),FALSE)="","",VLOOKUP(T_BilanSocial[[#This Row],[NumL]],T_TraitDi[#Data],COLUMN(T_TraitDi[[#This Row],[M3]]),FALSE))</f>
        <v>#VALUE!</v>
      </c>
      <c r="Z76" s="176" t="str">
        <f t="shared" si="16"/>
        <v/>
      </c>
      <c r="AA76" s="176" t="e">
        <f>IF(VLOOKUP(T_BilanSocial[[#This Row],[NumL]],T_TraitDi[#Data],COLUMN(T_TraitDi[[#This Row],[M5]]),FALSE)="","",VLOOKUP(T_BilanSocial[[#This Row],[NumL]],T_TraitDi[#Data],COLUMN(T_TraitDi[[#This Row],[M5]]),FALSE))</f>
        <v>#VALUE!</v>
      </c>
      <c r="AB76" s="176" t="e">
        <f>IF(VLOOKUP(T_BilanSocial[[#This Row],[NumL]],T_TraitDi[#Data],COLUMN(T_TraitDi[[#This Row],[M6]]),FALSE)="","",VLOOKUP(T_BilanSocial[[#This Row],[NumL]],T_TraitDi[#Data],COLUMN(T_TraitDi[[#This Row],[M6]]),FALSE))</f>
        <v>#VALUE!</v>
      </c>
      <c r="AC76" s="165" t="e">
        <f t="shared" si="15"/>
        <v>#VALUE!</v>
      </c>
      <c r="AD76" s="188" t="str">
        <f>IFERROR(TEXT(VLOOKUP(T_BilanSocial[[#This Row],[NumL]],T_TraitDi[#Data],COLUMN(T_TraitDi[[#This Row],[Q2]]),FALSE),"###%"),"")</f>
        <v/>
      </c>
      <c r="AE76" s="97" t="e">
        <f>VLOOKUP(T_BilanSocial[[#This Row],[NumL]],T_TraitDi[#Data],COLUMN(T_TraitDi[[#This Row],[Reg Ponct]]),FALSE)</f>
        <v>#VALUE!</v>
      </c>
      <c r="AF76" s="97" t="e">
        <f>VLOOKUP(T_BilanSocial[NumL],T_TraitDi[#Data],COLUMN(T_TraitDi[[#This Row],[Jours flottants]]),FALSE)</f>
        <v>#VALUE!</v>
      </c>
      <c r="AG76" s="97" t="str">
        <f>IFERROR(VLOOKUP(T_BilanSocial[[#This Row],[NumL]],T_TraitDi[#Data],COLUMN(T_TraitDi[[#This Row],[Lundi]]),FALSE),"")</f>
        <v/>
      </c>
      <c r="AH76" s="172" t="e">
        <f>IF(VLOOKUP(T_BilanSocial[[#This Row],[NumL]],T_TraitDi[#Data],COLUMN(T_TraitDi[[#This Row],[Colonne3]]),FALSE)=0,"",TEXT(IFERROR(VLOOKUP(T_BilanSocial[[#This Row],[NumL]],T_TraitDi[#Data],COLUMN(T_TraitDi[[#This Row],[Colonne3]]),FALSE),""),"[hh]:mm"))</f>
        <v>#VALUE!</v>
      </c>
      <c r="AI76" s="172" t="e">
        <f>IF(VLOOKUP(T_BilanSocial[[#This Row],[NumL]],T_TraitDi[#Data],COLUMN(T_TraitDi[[#This Row],[Colonne4]]),FALSE)=0,"",TEXT(IFERROR(VLOOKUP(T_BilanSocial[[#This Row],[NumL]],T_TraitDi[#Data],COLUMN(T_TraitDi[[#This Row],[Colonne4]]),FALSE),""),"[hh]:mm"))</f>
        <v>#VALUE!</v>
      </c>
      <c r="AJ76" s="172" t="e">
        <f>IF(VLOOKUP(T_BilanSocial[[#This Row],[NumL]],T_TraitDi[#Data],COLUMN(T_TraitDi[[#This Row],[Colonne5]]),FALSE)=0,"",TEXT(IFERROR(VLOOKUP(T_BilanSocial[[#This Row],[NumL]],T_TraitDi[#Data],COLUMN(T_TraitDi[[#This Row],[Colonne5]]),FALSE),""),"[hh]:mm"))</f>
        <v>#VALUE!</v>
      </c>
      <c r="AK76" s="172" t="e">
        <f>IF(VLOOKUP(T_BilanSocial[[#This Row],[NumL]],T_TraitDi[#Data],COLUMN(T_TraitDi[[#This Row],[Colonne6]]),FALSE)=0,"",TEXT(IFERROR(VLOOKUP(T_BilanSocial[[#This Row],[NumL]],T_TraitDi[#Data],COLUMN(T_TraitDi[[#This Row],[Colonne6]]),FALSE),""),"[hh]:mm"))</f>
        <v>#VALUE!</v>
      </c>
      <c r="AL76" s="172" t="e">
        <f>IF(VLOOKUP(T_BilanSocial[[#This Row],[NumL]],T_TraitDi[#Data],COLUMN(T_TraitDi[[#This Row],[Colonne7]]),FALSE)=0,"",TEXT(IFERROR(VLOOKUP(T_BilanSocial[[#This Row],[NumL]],T_TraitDi[#Data],COLUMN(T_TraitDi[[#This Row],[Colonne7]]),FALSE),""),"[hh]:mm"))</f>
        <v>#VALUE!</v>
      </c>
      <c r="AM76" s="172" t="e">
        <f>IF(VLOOKUP(T_BilanSocial[[#This Row],[NumL]],T_TraitDi[#Data],COLUMN(T_TraitDi[[#This Row],[Colonne8]]),FALSE)=0,"",TEXT(IFERROR(VLOOKUP(T_BilanSocial[[#This Row],[NumL]],T_TraitDi[#Data],COLUMN(T_TraitDi[[#This Row],[Colonne8]]),FALSE),""),"[hh]:mm"))</f>
        <v>#VALUE!</v>
      </c>
      <c r="AN76" s="172" t="str">
        <f>IFERROR(VLOOKUP(T_BilanSocial[[#This Row],[NumL]],T_TraitDi[#Data],COLUMN(T_TraitDi[[#This Row],[Mardi]]),FALSE),"")</f>
        <v/>
      </c>
      <c r="AO76" s="172" t="e">
        <f>IF(VLOOKUP(T_BilanSocial[[#This Row],[NumL]],T_TraitDi[#Data],COLUMN(T_TraitDi[[#This Row],[Colonne1]]),FALSE)=0,"",TEXT(IFERROR(VLOOKUP(T_BilanSocial[[#This Row],[NumL]],T_TraitDi[#Data],COLUMN(T_TraitDi[[#This Row],[Colonne1]]),FALSE),""),"[hh]:mm"))</f>
        <v>#VALUE!</v>
      </c>
      <c r="AP76" s="172" t="e">
        <f>IF(VLOOKUP(T_BilanSocial[[#This Row],[NumL]],T_TraitDi[#Data],COLUMN(T_TraitDi[[#This Row],[Colonne9]]),FALSE)=0,"",TEXT(IFERROR(VLOOKUP(T_BilanSocial[[#This Row],[NumL]],T_TraitDi[#Data],COLUMN(T_TraitDi[[#This Row],[Colonne9]]),FALSE),""),"[hh]:mm"))</f>
        <v>#VALUE!</v>
      </c>
      <c r="AQ76" s="172" t="str">
        <f>IFERROR(VLOOKUP(T_BilanSocial[[#This Row],[NumL]],T_TraitDi[#Data],COLUMN(T_TraitDi[[#This Row],[Colonne10]]),FALSE),"")</f>
        <v/>
      </c>
      <c r="AR76" s="172" t="e">
        <f>IF(VLOOKUP(T_BilanSocial[[#This Row],[NumL]],T_TraitDi[#Data],COLUMN(T_TraitDi[[#This Row],[Colonne11]]),FALSE)=0,"",TEXT(IFERROR(VLOOKUP(T_BilanSocial[[#This Row],[NumL]],T_TraitDi[#Data],COLUMN(T_TraitDi[[#This Row],[Colonne11]]),FALSE),""),"[hh]:mm"))</f>
        <v>#VALUE!</v>
      </c>
      <c r="AS76" s="172" t="e">
        <f>IF(VLOOKUP(T_BilanSocial[[#This Row],[NumL]],T_TraitDi[#Data],COLUMN(T_TraitDi[[#This Row],[Colonne12]]),FALSE)=0,"",TEXT(IFERROR(VLOOKUP(T_BilanSocial[[#This Row],[NumL]],T_TraitDi[#Data],COLUMN(T_TraitDi[[#This Row],[Colonne12]]),FALSE),""),"[hh]:mm"))</f>
        <v>#VALUE!</v>
      </c>
      <c r="AT76" s="172" t="e">
        <f>IF(VLOOKUP(T_BilanSocial[[#This Row],[NumL]],T_TraitDi[#Data],COLUMN(T_TraitDi[[#This Row],[Colonne14]]),FALSE)=0,"",TEXT(IFERROR(VLOOKUP(T_BilanSocial[[#This Row],[NumL]],T_TraitDi[#Data],COLUMN(T_TraitDi[[#This Row],[Colonne14]]),FALSE),""),"[hh]:mm"))</f>
        <v>#VALUE!</v>
      </c>
      <c r="AU76" s="172" t="str">
        <f>IFERROR(VLOOKUP(T_BilanSocial[[#This Row],[NumL]],T_TraitDi[#Data],COLUMN(T_TraitDi[[#This Row],[Mercredi]]),FALSE),"")</f>
        <v/>
      </c>
      <c r="AV76" s="172" t="e">
        <f>IF(VLOOKUP(T_BilanSocial[[#This Row],[NumL]],T_TraitDi[#Data],COLUMN(T_TraitDi[[#This Row],[Colonne15]]),FALSE)=0,"",TEXT(IFERROR(VLOOKUP(T_BilanSocial[[#This Row],[NumL]],T_TraitDi[#Data],COLUMN(T_TraitDi[[#This Row],[Colonne15]]),FALSE),""),"[hh]:mm"))</f>
        <v>#VALUE!</v>
      </c>
      <c r="AW76" s="172" t="e">
        <f>IF(VLOOKUP(T_BilanSocial[[#This Row],[NumL]],T_TraitDi[#Data],COLUMN(T_TraitDi[[#This Row],[Colonne16]]),FALSE)=0,"",TEXT(IFERROR(VLOOKUP(T_BilanSocial[[#This Row],[NumL]],T_TraitDi[#Data],COLUMN(T_TraitDi[[#This Row],[Colonne16]]),FALSE),""),"[hh]:mm"))</f>
        <v>#VALUE!</v>
      </c>
      <c r="AX76" s="172" t="str">
        <f>IFERROR(VLOOKUP(T_BilanSocial[[#This Row],[NumL]],T_TraitDi[#Data],COLUMN(T_TraitDi[[#This Row],[Colonne17]]),FALSE),"")</f>
        <v/>
      </c>
      <c r="AY76" s="172" t="e">
        <f>IF(VLOOKUP(T_BilanSocial[[#This Row],[NumL]],T_TraitDi[#Data],COLUMN(T_TraitDi[[#This Row],[Colonne18]]),FALSE)=0,"",TEXT(IFERROR(VLOOKUP(T_BilanSocial[[#This Row],[NumL]],T_TraitDi[#Data],COLUMN(T_TraitDi[[#This Row],[Colonne18]]),FALSE),""),"[hh]:mm"))</f>
        <v>#VALUE!</v>
      </c>
      <c r="AZ76" s="172" t="e">
        <f>IF(VLOOKUP(T_BilanSocial[[#This Row],[NumL]],T_TraitDi[#Data],COLUMN(T_TraitDi[[#This Row],[Colonne19]]),FALSE)=0,"",TEXT(IFERROR(VLOOKUP(T_BilanSocial[[#This Row],[NumL]],T_TraitDi[#Data],COLUMN(T_TraitDi[[#This Row],[Colonne19]]),FALSE),""),"[hh]:mm"))</f>
        <v>#VALUE!</v>
      </c>
      <c r="BA76" s="172" t="e">
        <f>IF(VLOOKUP(T_BilanSocial[[#This Row],[NumL]],T_TraitDi[#Data],COLUMN(T_TraitDi[[#This Row],[Colonne20]]),FALSE)=0,"",TEXT(IFERROR(VLOOKUP(T_BilanSocial[[#This Row],[NumL]],T_TraitDi[#Data],COLUMN(T_TraitDi[[#This Row],[Colonne20]]),FALSE),""),"[hh]:mm"))</f>
        <v>#VALUE!</v>
      </c>
      <c r="BB76" s="178" t="str">
        <f>IFERROR(VLOOKUP(T_BilanSocial[[#This Row],[NumL]],T_TraitDi[#Data],COLUMN(T_TraitDi[[#This Row],[Jeudi]]),FALSE),"")</f>
        <v/>
      </c>
      <c r="BC76" s="178" t="e">
        <f>IF(VLOOKUP(T_BilanSocial[[#This Row],[NumL]],T_TraitDi[#Data],COLUMN(T_TraitDi[[#This Row],[Colonne21]]),FALSE)=0,"",TEXT(IFERROR(VLOOKUP(T_BilanSocial[[#This Row],[NumL]],T_TraitDi[#Data],COLUMN(T_TraitDi[[#This Row],[Colonne21]]),FALSE),""),"[hh]:mm"))</f>
        <v>#VALUE!</v>
      </c>
      <c r="BD76" s="178" t="e">
        <f>IF(VLOOKUP(T_BilanSocial[[#This Row],[NumL]],T_TraitDi[#Data],COLUMN(T_TraitDi[[#This Row],[Colonne22]]),FALSE)=0,"",TEXT(IFERROR(VLOOKUP(T_BilanSocial[[#This Row],[NumL]],T_TraitDi[#Data],COLUMN(T_TraitDi[[#This Row],[Colonne22]]),FALSE),""),"[hh]:mm"))</f>
        <v>#VALUE!</v>
      </c>
      <c r="BE76" s="178" t="str">
        <f>IFERROR(VLOOKUP(T_BilanSocial[[#This Row],[NumL]],T_TraitDi[#Data],COLUMN(T_TraitDi[[#This Row],[Colonne23]]),FALSE),"")</f>
        <v/>
      </c>
      <c r="BF76" s="178" t="e">
        <f>IF(VLOOKUP(T_BilanSocial[[#This Row],[NumL]],T_TraitDi[#Data],COLUMN(T_TraitDi[[#This Row],[Colonne24]]),FALSE)=0,"",TEXT(IFERROR(VLOOKUP(T_BilanSocial[[#This Row],[NumL]],T_TraitDi[#Data],COLUMN(T_TraitDi[[#This Row],[Colonne24]]),FALSE),""),"[hh]:mm"))</f>
        <v>#VALUE!</v>
      </c>
      <c r="BG76" s="178" t="e">
        <f>IF(VLOOKUP(T_BilanSocial[[#This Row],[NumL]],T_TraitDi[#Data],COLUMN(T_TraitDi[[#This Row],[Colonne25]]),FALSE)=0,"",TEXT(IFERROR(VLOOKUP(T_BilanSocial[[#This Row],[NumL]],T_TraitDi[#Data],COLUMN(T_TraitDi[[#This Row],[Colonne25]]),FALSE),""),"[hh]:mm"))</f>
        <v>#VALUE!</v>
      </c>
      <c r="BH76" s="178" t="e">
        <f>IF(VLOOKUP(T_BilanSocial[[#This Row],[NumL]],T_TraitDi[#Data],COLUMN(T_TraitDi[[#This Row],[Colonne26]]),FALSE)=0,"",TEXT(IFERROR(VLOOKUP(T_BilanSocial[[#This Row],[NumL]],T_TraitDi[#Data],COLUMN(T_TraitDi[[#This Row],[Colonne26]]),FALSE),""),"[hh]:mm"))</f>
        <v>#VALUE!</v>
      </c>
      <c r="BI76" s="172" t="str">
        <f>IFERROR(VLOOKUP(T_BilanSocial[[#This Row],[NumL]],T_TraitDi[#Data],COLUMN(T_TraitDi[[#This Row],[Vendredi]]),FALSE),"")</f>
        <v/>
      </c>
      <c r="BJ76" s="172" t="e">
        <f>IF(VLOOKUP(T_BilanSocial[[#This Row],[NumL]],T_TraitDi[#Data],COLUMN(T_TraitDi[[#This Row],[Colonne27]]),FALSE)=0,"",TEXT(IFERROR(VLOOKUP(T_BilanSocial[[#This Row],[NumL]],T_TraitDi[#Data],COLUMN(T_TraitDi[[#This Row],[Colonne27]]),FALSE),""),"[hh]:mm"))</f>
        <v>#VALUE!</v>
      </c>
      <c r="BK76" s="172" t="e">
        <f>IF(VLOOKUP(T_BilanSocial[[#This Row],[NumL]],T_TraitDi[#Data],COLUMN(T_TraitDi[[#This Row],[Colonne28]]),FALSE)=0,"",TEXT(IFERROR(VLOOKUP(T_BilanSocial[[#This Row],[NumL]],T_TraitDi[#Data],COLUMN(T_TraitDi[[#This Row],[Colonne28]]),FALSE),""),"[hh]:mm"))</f>
        <v>#VALUE!</v>
      </c>
      <c r="BL76" s="172" t="str">
        <f>IFERROR(VLOOKUP(T_BilanSocial[[#This Row],[NumL]],T_TraitDi[#Data],COLUMN(T_TraitDi[[#This Row],[Colonne29]]),FALSE),"")</f>
        <v/>
      </c>
      <c r="BM76" s="172" t="e">
        <f>IF(VLOOKUP(T_BilanSocial[[#This Row],[NumL]],T_TraitDi[#Data],COLUMN(T_TraitDi[[#This Row],[Colonne30]]),FALSE)=0,"",TEXT(IFERROR(VLOOKUP(T_BilanSocial[[#This Row],[NumL]],T_TraitDi[#Data],COLUMN(T_TraitDi[[#This Row],[Colonne30]]),FALSE),""),"[hh]:mm"))</f>
        <v>#VALUE!</v>
      </c>
      <c r="BN76" s="172" t="e">
        <f>IF(VLOOKUP(T_BilanSocial[[#This Row],[NumL]],T_TraitDi[#Data],COLUMN(T_TraitDi[[#This Row],[Colonne31]]),FALSE)=0,"",TEXT(IFERROR(VLOOKUP(T_BilanSocial[[#This Row],[NumL]],T_TraitDi[#Data],COLUMN(T_TraitDi[[#This Row],[Colonne31]]),FALSE),""),"[hh]:mm"))</f>
        <v>#VALUE!</v>
      </c>
      <c r="BO76" s="172" t="e">
        <f>IF(VLOOKUP(T_BilanSocial[[#This Row],[NumL]],T_TraitDi[#Data],COLUMN(T_TraitDi[[#This Row],[Colonne32]]),FALSE)=0,"",TEXT(IFERROR(VLOOKUP(T_BilanSocial[[#This Row],[NumL]],T_TraitDi[#Data],COLUMN(T_TraitDi[[#This Row],[Colonne32]]),FALSE),""),"[hh]:mm"))</f>
        <v>#VALUE!</v>
      </c>
      <c r="BP76" s="172" t="e">
        <f>VLOOKUP(T_BilanSocial[[#This Row],[NumL]],T_TraitDi[#Data],COLUMN(T_TraitDi[NbJTot]),FALSE)</f>
        <v>#N/A</v>
      </c>
      <c r="BQ76" s="174" t="str">
        <f>IFERROR(VLOOKUP(T_BilanSocial[[#This Row],[NumL]],T_TraitDi[#Data],COLUMN(T_TraitDi[[#This Row],[NbJTW]]),FALSE),"")</f>
        <v/>
      </c>
      <c r="BR76" s="174" t="e">
        <f>IF(VLOOKUP(T_BilanSocial[[#This Row],[NumL]],T_TraitDi[#Data],COLUMN(T_TraitDi[[#This Row],[NbhTW]]),FALSE)=0,"",TEXT(IFERROR(VLOOKUP(T_BilanSocial[[#This Row],[NumL]],T_TraitDi[#Data],COLUMN(T_TraitDi[[#This Row],[NbhTW]]),FALSE),""),"[hh]:mm"))</f>
        <v>#VALUE!</v>
      </c>
      <c r="BS76" s="174" t="e">
        <f>IF(VLOOKUP(T_BilanSocial[[#This Row],[NumL]],T_TraitDi[#Data],COLUMN(T_TraitDi[[#This Row],[Nbhheb]]),FALSE)=0,"",TEXT(IFERROR(VLOOKUP($A76,T_TraitDi[#Data],COLUMN(T_TraitDi[[#This Row],[Nbhheb]]),FALSE),""),"[hh]:mm"))</f>
        <v>#VALUE!</v>
      </c>
      <c r="BT76" s="182" t="str">
        <f>IFERROR(VLOOKUP(VLOOKUP($A76,T_TraitDi[#Data],COLUMN(T_TraitDi[[#This Row],[Type1]]),FALSE),TypeTW,2,FALSE),"")</f>
        <v/>
      </c>
      <c r="BU76" s="182" t="str">
        <f>IFERROR(VLOOKUP($A76,T_TraitDi[#Data],COLUMN(T_TraitDi[[#This Row],[Rue1]]),FALSE),"")</f>
        <v/>
      </c>
      <c r="BV76" s="173" t="str">
        <f>IFERROR(VLOOKUP($A76,T_TraitDi[#Data],COLUMN(T_TraitDi[[#This Row],[CP1]]),FALSE),"")</f>
        <v/>
      </c>
      <c r="BW76" s="173" t="str">
        <f>IFERROR(VLOOKUP($A76,T_TraitDi[#Data],COLUMN(T_TraitDi[[#This Row],[VILLE1]]),FALSE),"")</f>
        <v/>
      </c>
      <c r="BX76" s="182" t="str">
        <f>IFERROR(VLOOKUP(VLOOKUP($A76,T_TraitDi[#Data],COLUMN(T_TraitDi[[#This Row],[Type2]]),FALSE),TypeTW,2,FALSE),"")</f>
        <v/>
      </c>
      <c r="BY76" s="182" t="str">
        <f>IFERROR(VLOOKUP($A76,T_TraitDi[#Data],COLUMN(T_TraitDi[[#This Row],[Rue2]]),FALSE),"")</f>
        <v/>
      </c>
      <c r="BZ76" s="173" t="str">
        <f>IFERROR(VLOOKUP($A76,T_TraitDi[#Data],COLUMN(T_TraitDi[[#This Row],[CP2]]),FALSE),"")</f>
        <v/>
      </c>
      <c r="CA76" s="173" t="str">
        <f>IFERROR(VLOOKUP($A76,T_TraitDi[#Data],COLUMN(T_TraitDi[[#This Row],[VILLE2]]),FALSE),"")</f>
        <v/>
      </c>
      <c r="CB76" s="182" t="str">
        <f>IF(VLOOKUP(T_BilanSocial[[#This Row],[NumL]],T_Equipement[#Data],COLUMN(T_Equipement[[#This Row],[PC]]),FALSE)="","Aucun équipement spécifique directement lié au télétravail",VLOOKUP(T_BilanSocial[[#This Row],[NumL]],T_Equipement[#Data],COLUMN(T_Equipement[[#This Row],[PC]]),FALSE))</f>
        <v xml:space="preserve">20-083	</v>
      </c>
      <c r="CC76" s="166" t="str">
        <f>IFERROR(IF(VLOOKUP(T_BilanSocial[[#This Row],[NumL]],T_TraitDi[#Data],COLUMN(T_TraitDi[[#This Row],[Plan]]),FALSE)="OK","Un planning spécifique de télétravail est annexé à la présente convention.",""),"")</f>
        <v/>
      </c>
      <c r="CD76" s="258" t="s">
        <v>3296</v>
      </c>
      <c r="CE76" s="164" t="e">
        <f>IF(VLOOKUP(T_BilanSocial[[#This Row],[NumL]],T_suiviDi[#Data],COLUMN(T_suiviDi[[#This Row],[Entité]]),FALSE)="","",VLOOKUP(T_BilanSocial[[#This Row],[NumL]],T_suiviDi[#Data],COLUMN(T_suiviDi[[#This Row],[Entité]]),FALSE))</f>
        <v>#VALUE!</v>
      </c>
      <c r="CF76" s="164" t="str">
        <f>IF(VLOOKUP(T_BilanSocial[[#This Row],[NumL]],T_Commission[#Data],COLUMN(T_Commission[[#This Row],[envoi confirm TW]]),FALSE)="","",VLOOKUP(T_BilanSocial[[#This Row],[NumL]],T_Commission[#Data],COLUMN(T_Commission[[#This Row],[envoi confirm TW]]),FALSE))</f>
        <v>Oui</v>
      </c>
      <c r="CG7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6" s="262" t="str">
        <f>T_BilanSocial[[#This Row],[Nom]]&amp;T_BilanSocial[[#This Row],[Prenom]]</f>
        <v/>
      </c>
      <c r="CI76" s="262">
        <f>VLOOKUP(T_BilanSocial[[#This Row],[NumL]],T_Commission[#Data],COLUMN(T_Commission[Commentaire]),FALSE)</f>
        <v>0</v>
      </c>
      <c r="CJ76" s="262" t="str">
        <f>IF(VLOOKUP(T_BilanSocial[[#This Row],[NumL]],T_Commission[#Data],COLUMN(T_Commission[Encadrant Email]),FALSE)="","",VLOOKUP(T_BilanSocial[[#This Row],[NumL]],T_Commission[#Data],COLUMN(T_Commission[Encadrant Email]),FALSE))</f>
        <v/>
      </c>
      <c r="CK76" s="340" t="str">
        <f>IF(T_BilanSocial[[#This Row],[Final]]&lt;&gt;"",VLOOKUP(T_BilanSocial[[#This Row],[NumL]],T_suiviDi[#Data],COLUMN((T_suiviDi[Statut])),FALSE),"")</f>
        <v/>
      </c>
    </row>
    <row r="77" spans="1:89" s="106" customFormat="1" ht="24.75" customHeight="1" x14ac:dyDescent="0.25">
      <c r="A77" s="160">
        <v>74</v>
      </c>
      <c r="B77" s="161" t="str">
        <f t="shared" si="10"/>
        <v/>
      </c>
      <c r="C77" s="162" t="s">
        <v>139</v>
      </c>
      <c r="D77" s="95" t="e">
        <f>IF(VLOOKUP(T_BilanSocial[[#This Row],[NumL]],T_TraitDi[#Data],COLUMN(T_TraitDi[[#This Row],[WebC]]),FALSE)="","",VLOOKUP(T_BilanSocial[[#This Row],[NumL]],T_TraitDi[#Data],COLUMN(T_TraitDi[[#This Row],[WebC]]),FALSE))</f>
        <v>#VALUE!</v>
      </c>
      <c r="E77" s="163" t="str">
        <f t="shared" si="11"/>
        <v>12 janvier 2021</v>
      </c>
      <c r="F77" s="96" t="str">
        <f>IF(T_BilanSocial[[#This Row],[Final]]&lt;&gt;"",VLOOKUP(T_BilanSocial[[#This Row],[NumL]],T_suiviDi[#Data],COLUMN((T_suiviDi[Civ.])),FALSE),"")</f>
        <v/>
      </c>
      <c r="G77" s="96" t="str">
        <f>IF(T_BilanSocial[[#This Row],[Final]]&lt;&gt;"",VLOOKUP(T_BilanSocial[[#This Row],[NumL]],T_suiviDi[#Data],COLUMN((T_suiviDi[Nom])),FALSE),"")</f>
        <v/>
      </c>
      <c r="H77" s="96" t="str">
        <f>IF(T_BilanSocial[[#This Row],[Final]]&lt;&gt;"",VLOOKUP(T_BilanSocial[[#This Row],[NumL]],T_suiviDi[#Data],COLUMN((T_suiviDi[Prénom])),FALSE),"")</f>
        <v/>
      </c>
      <c r="I77" s="96" t="str">
        <f>IFERROR(VLOOKUP(T_BilanSocial[[#This Row],[Zone_Bilan]],T_P_BilanSocial[#Data],COLUMN(T_P_BilanSocial[[#This Row],[Numero_SIHAM]]),FALSE),"")</f>
        <v/>
      </c>
      <c r="J77" s="96" t="str">
        <f>IFERROR(VLOOKUP(T_BilanSocial[[#This Row],[Zone_Bilan]],T_P_BilanSocial[#Data],COLUMN(T_P_BilanSocial[[#This Row],[Sexe]]),FALSE),"")</f>
        <v/>
      </c>
      <c r="K77" s="97" t="str">
        <f>IFERROR(VLOOKUP(T_BilanSocial[[#This Row],[Zone_Bilan]],T_P_BilanSocial[#Data],COLUMN(T_P_BilanSocial[[#This Row],[Categorie]]),FALSE),"")</f>
        <v/>
      </c>
      <c r="L77" s="96" t="str">
        <f>IFERROR(VLOOKUP(T_BilanSocial[[#This Row],[Zone_Bilan]],T_P_BilanSocial[#Data],COLUMN(T_P_BilanSocial[[#This Row],[Statut]]),FALSE),"")</f>
        <v/>
      </c>
      <c r="M77" s="96" t="str">
        <f>IFERROR(VLOOKUP(T_BilanSocial[[#This Row],[Zone_Bilan]],T_P_BilanSocial[#Data],COLUMN(T_P_BilanSocial[[#This Row],[Filiere]]),FALSE),"")</f>
        <v/>
      </c>
      <c r="N77" s="96" t="e">
        <f>VLOOKUP(T_BilanSocial[[#This Row],[NumL]],T_TraitDi[#Data],COLUMN(T_TraitDi[EXP]),FALSE)</f>
        <v>#N/A</v>
      </c>
      <c r="O77" s="96" t="e">
        <f>VLOOKUP(T_BilanSocial[[#This Row],[NumL]],T_TraitDi[#Data],COLUMN(T_TraitDi[FORM]),FALSE)</f>
        <v>#N/A</v>
      </c>
      <c r="P77" s="96" t="str">
        <f>IF(T_BilanSocial[[#This Row],[Final]]&lt;&gt;"",VLOOKUP(T_BilanSocial[[#This Row],[NumL]],T_suiviDi[#Data],COLUMN((T_suiviDi[Email])),FALSE),"")</f>
        <v/>
      </c>
      <c r="Q77" s="164" t="e">
        <f t="shared" si="7"/>
        <v>#N/A</v>
      </c>
      <c r="R77" s="164" t="e">
        <f t="shared" si="8"/>
        <v>#N/A</v>
      </c>
      <c r="S77" s="164" t="e">
        <f>IF(VLOOKUP(T_BilanSocial[[#This Row],[NumL]],T_suiviDi[#Data],COLUMN(T_suiviDi[[#This Row],[Service ]]),FALSE)="","",VLOOKUP(T_BilanSocial[[#This Row],[NumL]],T_suiviDi[#Data],COLUMN(T_suiviDi[[#This Row],[Service ]]),FALSE))</f>
        <v>#VALUE!</v>
      </c>
      <c r="T77" s="164" t="str">
        <f t="shared" si="12"/>
        <v>01 septembre 2021</v>
      </c>
      <c r="U77" s="164" t="str">
        <f t="shared" si="13"/>
        <v>30 novembre 2021</v>
      </c>
      <c r="V77" s="256">
        <f>Datebilan</f>
        <v>44530</v>
      </c>
      <c r="W77" s="176" t="e">
        <f>IF(VLOOKUP(T_BilanSocial[[#This Row],[NumL]],T_TraitDi[#Data],COLUMN(T_TraitDi[[#This Row],[M1]]),FALSE)="","",VLOOKUP(T_BilanSocial[[#This Row],[NumL]],T_TraitDi[#Data],COLUMN(T_TraitDi[[#This Row],[M1]]),FALSE))</f>
        <v>#VALUE!</v>
      </c>
      <c r="X77" s="176" t="e">
        <f>IF(VLOOKUP(T_BilanSocial[[#This Row],[NumL]],T_TraitDi[#Data],COLUMN(T_TraitDi[[#This Row],[M2]]),FALSE)="","",VLOOKUP(T_BilanSocial[[#This Row],[NumL]],T_TraitDi[#Data],COLUMN(T_TraitDi[[#This Row],[M2]]),FALSE))</f>
        <v>#VALUE!</v>
      </c>
      <c r="Y77" s="176" t="e">
        <f>IF(VLOOKUP(T_BilanSocial[[#This Row],[NumL]],T_TraitDi[#Data],COLUMN(T_TraitDi[[#This Row],[M3]]),FALSE)="","",VLOOKUP(T_BilanSocial[[#This Row],[NumL]],T_TraitDi[#Data],COLUMN(T_TraitDi[[#This Row],[M3]]),FALSE))</f>
        <v>#VALUE!</v>
      </c>
      <c r="Z77" s="176" t="str">
        <f t="shared" si="16"/>
        <v/>
      </c>
      <c r="AA77" s="176" t="e">
        <f>IF(VLOOKUP(T_BilanSocial[[#This Row],[NumL]],T_TraitDi[#Data],COLUMN(T_TraitDi[[#This Row],[M5]]),FALSE)="","",VLOOKUP(T_BilanSocial[[#This Row],[NumL]],T_TraitDi[#Data],COLUMN(T_TraitDi[[#This Row],[M5]]),FALSE))</f>
        <v>#VALUE!</v>
      </c>
      <c r="AB77" s="176" t="e">
        <f>IF(VLOOKUP(T_BilanSocial[[#This Row],[NumL]],T_TraitDi[#Data],COLUMN(T_TraitDi[[#This Row],[M6]]),FALSE)="","",VLOOKUP(T_BilanSocial[[#This Row],[NumL]],T_TraitDi[#Data],COLUMN(T_TraitDi[[#This Row],[M6]]),FALSE))</f>
        <v>#VALUE!</v>
      </c>
      <c r="AC77" s="165" t="e">
        <f t="shared" si="15"/>
        <v>#VALUE!</v>
      </c>
      <c r="AD77" s="188" t="str">
        <f>IFERROR(TEXT(VLOOKUP(T_BilanSocial[[#This Row],[NumL]],T_TraitDi[#Data],COLUMN(T_TraitDi[[#This Row],[Q2]]),FALSE),"###%"),"")</f>
        <v/>
      </c>
      <c r="AE77" s="97" t="e">
        <f>VLOOKUP(T_BilanSocial[[#This Row],[NumL]],T_TraitDi[#Data],COLUMN(T_TraitDi[[#This Row],[Reg Ponct]]),FALSE)</f>
        <v>#VALUE!</v>
      </c>
      <c r="AF77" s="97" t="e">
        <f>VLOOKUP(T_BilanSocial[NumL],T_TraitDi[#Data],COLUMN(T_TraitDi[[#This Row],[Jours flottants]]),FALSE)</f>
        <v>#VALUE!</v>
      </c>
      <c r="AG77" s="97" t="str">
        <f>IFERROR(VLOOKUP(T_BilanSocial[[#This Row],[NumL]],T_TraitDi[#Data],COLUMN(T_TraitDi[[#This Row],[Lundi]]),FALSE),"")</f>
        <v/>
      </c>
      <c r="AH77" s="172" t="e">
        <f>IF(VLOOKUP(T_BilanSocial[[#This Row],[NumL]],T_TraitDi[#Data],COLUMN(T_TraitDi[[#This Row],[Colonne3]]),FALSE)=0,"",TEXT(IFERROR(VLOOKUP(T_BilanSocial[[#This Row],[NumL]],T_TraitDi[#Data],COLUMN(T_TraitDi[[#This Row],[Colonne3]]),FALSE),""),"[hh]:mm"))</f>
        <v>#VALUE!</v>
      </c>
      <c r="AI77" s="172" t="e">
        <f>IF(VLOOKUP(T_BilanSocial[[#This Row],[NumL]],T_TraitDi[#Data],COLUMN(T_TraitDi[[#This Row],[Colonne4]]),FALSE)=0,"",TEXT(IFERROR(VLOOKUP(T_BilanSocial[[#This Row],[NumL]],T_TraitDi[#Data],COLUMN(T_TraitDi[[#This Row],[Colonne4]]),FALSE),""),"[hh]:mm"))</f>
        <v>#VALUE!</v>
      </c>
      <c r="AJ77" s="172" t="e">
        <f>IF(VLOOKUP(T_BilanSocial[[#This Row],[NumL]],T_TraitDi[#Data],COLUMN(T_TraitDi[[#This Row],[Colonne5]]),FALSE)=0,"",TEXT(IFERROR(VLOOKUP(T_BilanSocial[[#This Row],[NumL]],T_TraitDi[#Data],COLUMN(T_TraitDi[[#This Row],[Colonne5]]),FALSE),""),"[hh]:mm"))</f>
        <v>#VALUE!</v>
      </c>
      <c r="AK77" s="172" t="e">
        <f>IF(VLOOKUP(T_BilanSocial[[#This Row],[NumL]],T_TraitDi[#Data],COLUMN(T_TraitDi[[#This Row],[Colonne6]]),FALSE)=0,"",TEXT(IFERROR(VLOOKUP(T_BilanSocial[[#This Row],[NumL]],T_TraitDi[#Data],COLUMN(T_TraitDi[[#This Row],[Colonne6]]),FALSE),""),"[hh]:mm"))</f>
        <v>#VALUE!</v>
      </c>
      <c r="AL77" s="172" t="e">
        <f>IF(VLOOKUP(T_BilanSocial[[#This Row],[NumL]],T_TraitDi[#Data],COLUMN(T_TraitDi[[#This Row],[Colonne7]]),FALSE)=0,"",TEXT(IFERROR(VLOOKUP(T_BilanSocial[[#This Row],[NumL]],T_TraitDi[#Data],COLUMN(T_TraitDi[[#This Row],[Colonne7]]),FALSE),""),"[hh]:mm"))</f>
        <v>#VALUE!</v>
      </c>
      <c r="AM77" s="172" t="e">
        <f>IF(VLOOKUP(T_BilanSocial[[#This Row],[NumL]],T_TraitDi[#Data],COLUMN(T_TraitDi[[#This Row],[Colonne8]]),FALSE)=0,"",TEXT(IFERROR(VLOOKUP(T_BilanSocial[[#This Row],[NumL]],T_TraitDi[#Data],COLUMN(T_TraitDi[[#This Row],[Colonne8]]),FALSE),""),"[hh]:mm"))</f>
        <v>#VALUE!</v>
      </c>
      <c r="AN77" s="172" t="str">
        <f>IFERROR(VLOOKUP(T_BilanSocial[[#This Row],[NumL]],T_TraitDi[#Data],COLUMN(T_TraitDi[[#This Row],[Mardi]]),FALSE),"")</f>
        <v/>
      </c>
      <c r="AO77" s="172" t="e">
        <f>IF(VLOOKUP(T_BilanSocial[[#This Row],[NumL]],T_TraitDi[#Data],COLUMN(T_TraitDi[[#This Row],[Colonne1]]),FALSE)=0,"",TEXT(IFERROR(VLOOKUP(T_BilanSocial[[#This Row],[NumL]],T_TraitDi[#Data],COLUMN(T_TraitDi[[#This Row],[Colonne1]]),FALSE),""),"[hh]:mm"))</f>
        <v>#VALUE!</v>
      </c>
      <c r="AP77" s="172" t="e">
        <f>IF(VLOOKUP(T_BilanSocial[[#This Row],[NumL]],T_TraitDi[#Data],COLUMN(T_TraitDi[[#This Row],[Colonne9]]),FALSE)=0,"",TEXT(IFERROR(VLOOKUP(T_BilanSocial[[#This Row],[NumL]],T_TraitDi[#Data],COLUMN(T_TraitDi[[#This Row],[Colonne9]]),FALSE),""),"[hh]:mm"))</f>
        <v>#VALUE!</v>
      </c>
      <c r="AQ77" s="172" t="str">
        <f>IFERROR(VLOOKUP(T_BilanSocial[[#This Row],[NumL]],T_TraitDi[#Data],COLUMN(T_TraitDi[[#This Row],[Colonne10]]),FALSE),"")</f>
        <v/>
      </c>
      <c r="AR77" s="172" t="e">
        <f>IF(VLOOKUP(T_BilanSocial[[#This Row],[NumL]],T_TraitDi[#Data],COLUMN(T_TraitDi[[#This Row],[Colonne11]]),FALSE)=0,"",TEXT(IFERROR(VLOOKUP(T_BilanSocial[[#This Row],[NumL]],T_TraitDi[#Data],COLUMN(T_TraitDi[[#This Row],[Colonne11]]),FALSE),""),"[hh]:mm"))</f>
        <v>#VALUE!</v>
      </c>
      <c r="AS77" s="172" t="e">
        <f>IF(VLOOKUP(T_BilanSocial[[#This Row],[NumL]],T_TraitDi[#Data],COLUMN(T_TraitDi[[#This Row],[Colonne12]]),FALSE)=0,"",TEXT(IFERROR(VLOOKUP(T_BilanSocial[[#This Row],[NumL]],T_TraitDi[#Data],COLUMN(T_TraitDi[[#This Row],[Colonne12]]),FALSE),""),"[hh]:mm"))</f>
        <v>#VALUE!</v>
      </c>
      <c r="AT77" s="172" t="e">
        <f>IF(VLOOKUP(T_BilanSocial[[#This Row],[NumL]],T_TraitDi[#Data],COLUMN(T_TraitDi[[#This Row],[Colonne14]]),FALSE)=0,"",TEXT(IFERROR(VLOOKUP(T_BilanSocial[[#This Row],[NumL]],T_TraitDi[#Data],COLUMN(T_TraitDi[[#This Row],[Colonne14]]),FALSE),""),"[hh]:mm"))</f>
        <v>#VALUE!</v>
      </c>
      <c r="AU77" s="172" t="str">
        <f>IFERROR(VLOOKUP(T_BilanSocial[[#This Row],[NumL]],T_TraitDi[#Data],COLUMN(T_TraitDi[[#This Row],[Mercredi]]),FALSE),"")</f>
        <v/>
      </c>
      <c r="AV77" s="172" t="e">
        <f>IF(VLOOKUP(T_BilanSocial[[#This Row],[NumL]],T_TraitDi[#Data],COLUMN(T_TraitDi[[#This Row],[Colonne15]]),FALSE)=0,"",TEXT(IFERROR(VLOOKUP(T_BilanSocial[[#This Row],[NumL]],T_TraitDi[#Data],COLUMN(T_TraitDi[[#This Row],[Colonne15]]),FALSE),""),"[hh]:mm"))</f>
        <v>#VALUE!</v>
      </c>
      <c r="AW77" s="172" t="e">
        <f>IF(VLOOKUP(T_BilanSocial[[#This Row],[NumL]],T_TraitDi[#Data],COLUMN(T_TraitDi[[#This Row],[Colonne16]]),FALSE)=0,"",TEXT(IFERROR(VLOOKUP(T_BilanSocial[[#This Row],[NumL]],T_TraitDi[#Data],COLUMN(T_TraitDi[[#This Row],[Colonne16]]),FALSE),""),"[hh]:mm"))</f>
        <v>#VALUE!</v>
      </c>
      <c r="AX77" s="172" t="str">
        <f>IFERROR(VLOOKUP(T_BilanSocial[[#This Row],[NumL]],T_TraitDi[#Data],COLUMN(T_TraitDi[[#This Row],[Colonne17]]),FALSE),"")</f>
        <v/>
      </c>
      <c r="AY77" s="172" t="e">
        <f>IF(VLOOKUP(T_BilanSocial[[#This Row],[NumL]],T_TraitDi[#Data],COLUMN(T_TraitDi[[#This Row],[Colonne18]]),FALSE)=0,"",TEXT(IFERROR(VLOOKUP(T_BilanSocial[[#This Row],[NumL]],T_TraitDi[#Data],COLUMN(T_TraitDi[[#This Row],[Colonne18]]),FALSE),""),"[hh]:mm"))</f>
        <v>#VALUE!</v>
      </c>
      <c r="AZ77" s="172" t="e">
        <f>IF(VLOOKUP(T_BilanSocial[[#This Row],[NumL]],T_TraitDi[#Data],COLUMN(T_TraitDi[[#This Row],[Colonne19]]),FALSE)=0,"",TEXT(IFERROR(VLOOKUP(T_BilanSocial[[#This Row],[NumL]],T_TraitDi[#Data],COLUMN(T_TraitDi[[#This Row],[Colonne19]]),FALSE),""),"[hh]:mm"))</f>
        <v>#VALUE!</v>
      </c>
      <c r="BA77" s="172" t="e">
        <f>IF(VLOOKUP(T_BilanSocial[[#This Row],[NumL]],T_TraitDi[#Data],COLUMN(T_TraitDi[[#This Row],[Colonne20]]),FALSE)=0,"",TEXT(IFERROR(VLOOKUP(T_BilanSocial[[#This Row],[NumL]],T_TraitDi[#Data],COLUMN(T_TraitDi[[#This Row],[Colonne20]]),FALSE),""),"[hh]:mm"))</f>
        <v>#VALUE!</v>
      </c>
      <c r="BB77" s="178" t="str">
        <f>IFERROR(VLOOKUP(T_BilanSocial[[#This Row],[NumL]],T_TraitDi[#Data],COLUMN(T_TraitDi[[#This Row],[Jeudi]]),FALSE),"")</f>
        <v/>
      </c>
      <c r="BC77" s="178" t="e">
        <f>IF(VLOOKUP(T_BilanSocial[[#This Row],[NumL]],T_TraitDi[#Data],COLUMN(T_TraitDi[[#This Row],[Colonne21]]),FALSE)=0,"",TEXT(IFERROR(VLOOKUP(T_BilanSocial[[#This Row],[NumL]],T_TraitDi[#Data],COLUMN(T_TraitDi[[#This Row],[Colonne21]]),FALSE),""),"[hh]:mm"))</f>
        <v>#VALUE!</v>
      </c>
      <c r="BD77" s="178" t="e">
        <f>IF(VLOOKUP(T_BilanSocial[[#This Row],[NumL]],T_TraitDi[#Data],COLUMN(T_TraitDi[[#This Row],[Colonne22]]),FALSE)=0,"",TEXT(IFERROR(VLOOKUP(T_BilanSocial[[#This Row],[NumL]],T_TraitDi[#Data],COLUMN(T_TraitDi[[#This Row],[Colonne22]]),FALSE),""),"[hh]:mm"))</f>
        <v>#VALUE!</v>
      </c>
      <c r="BE77" s="178" t="str">
        <f>IFERROR(VLOOKUP(T_BilanSocial[[#This Row],[NumL]],T_TraitDi[#Data],COLUMN(T_TraitDi[[#This Row],[Colonne23]]),FALSE),"")</f>
        <v/>
      </c>
      <c r="BF77" s="178" t="e">
        <f>IF(VLOOKUP(T_BilanSocial[[#This Row],[NumL]],T_TraitDi[#Data],COLUMN(T_TraitDi[[#This Row],[Colonne24]]),FALSE)=0,"",TEXT(IFERROR(VLOOKUP(T_BilanSocial[[#This Row],[NumL]],T_TraitDi[#Data],COLUMN(T_TraitDi[[#This Row],[Colonne24]]),FALSE),""),"[hh]:mm"))</f>
        <v>#VALUE!</v>
      </c>
      <c r="BG77" s="178" t="e">
        <f>IF(VLOOKUP(T_BilanSocial[[#This Row],[NumL]],T_TraitDi[#Data],COLUMN(T_TraitDi[[#This Row],[Colonne25]]),FALSE)=0,"",TEXT(IFERROR(VLOOKUP(T_BilanSocial[[#This Row],[NumL]],T_TraitDi[#Data],COLUMN(T_TraitDi[[#This Row],[Colonne25]]),FALSE),""),"[hh]:mm"))</f>
        <v>#VALUE!</v>
      </c>
      <c r="BH77" s="178" t="e">
        <f>IF(VLOOKUP(T_BilanSocial[[#This Row],[NumL]],T_TraitDi[#Data],COLUMN(T_TraitDi[[#This Row],[Colonne26]]),FALSE)=0,"",TEXT(IFERROR(VLOOKUP(T_BilanSocial[[#This Row],[NumL]],T_TraitDi[#Data],COLUMN(T_TraitDi[[#This Row],[Colonne26]]),FALSE),""),"[hh]:mm"))</f>
        <v>#VALUE!</v>
      </c>
      <c r="BI77" s="172" t="str">
        <f>IFERROR(VLOOKUP(T_BilanSocial[[#This Row],[NumL]],T_TraitDi[#Data],COLUMN(T_TraitDi[[#This Row],[Vendredi]]),FALSE),"")</f>
        <v/>
      </c>
      <c r="BJ77" s="172" t="e">
        <f>IF(VLOOKUP(T_BilanSocial[[#This Row],[NumL]],T_TraitDi[#Data],COLUMN(T_TraitDi[[#This Row],[Colonne27]]),FALSE)=0,"",TEXT(IFERROR(VLOOKUP(T_BilanSocial[[#This Row],[NumL]],T_TraitDi[#Data],COLUMN(T_TraitDi[[#This Row],[Colonne27]]),FALSE),""),"[hh]:mm"))</f>
        <v>#VALUE!</v>
      </c>
      <c r="BK77" s="172" t="e">
        <f>IF(VLOOKUP(T_BilanSocial[[#This Row],[NumL]],T_TraitDi[#Data],COLUMN(T_TraitDi[[#This Row],[Colonne28]]),FALSE)=0,"",TEXT(IFERROR(VLOOKUP(T_BilanSocial[[#This Row],[NumL]],T_TraitDi[#Data],COLUMN(T_TraitDi[[#This Row],[Colonne28]]),FALSE),""),"[hh]:mm"))</f>
        <v>#VALUE!</v>
      </c>
      <c r="BL77" s="172" t="str">
        <f>IFERROR(VLOOKUP(T_BilanSocial[[#This Row],[NumL]],T_TraitDi[#Data],COLUMN(T_TraitDi[[#This Row],[Colonne29]]),FALSE),"")</f>
        <v/>
      </c>
      <c r="BM77" s="172" t="e">
        <f>IF(VLOOKUP(T_BilanSocial[[#This Row],[NumL]],T_TraitDi[#Data],COLUMN(T_TraitDi[[#This Row],[Colonne30]]),FALSE)=0,"",TEXT(IFERROR(VLOOKUP(T_BilanSocial[[#This Row],[NumL]],T_TraitDi[#Data],COLUMN(T_TraitDi[[#This Row],[Colonne30]]),FALSE),""),"[hh]:mm"))</f>
        <v>#VALUE!</v>
      </c>
      <c r="BN77" s="172" t="e">
        <f>IF(VLOOKUP(T_BilanSocial[[#This Row],[NumL]],T_TraitDi[#Data],COLUMN(T_TraitDi[[#This Row],[Colonne31]]),FALSE)=0,"",TEXT(IFERROR(VLOOKUP(T_BilanSocial[[#This Row],[NumL]],T_TraitDi[#Data],COLUMN(T_TraitDi[[#This Row],[Colonne31]]),FALSE),""),"[hh]:mm"))</f>
        <v>#VALUE!</v>
      </c>
      <c r="BO77" s="172" t="e">
        <f>IF(VLOOKUP(T_BilanSocial[[#This Row],[NumL]],T_TraitDi[#Data],COLUMN(T_TraitDi[[#This Row],[Colonne32]]),FALSE)=0,"",TEXT(IFERROR(VLOOKUP(T_BilanSocial[[#This Row],[NumL]],T_TraitDi[#Data],COLUMN(T_TraitDi[[#This Row],[Colonne32]]),FALSE),""),"[hh]:mm"))</f>
        <v>#VALUE!</v>
      </c>
      <c r="BP77" s="172" t="e">
        <f>VLOOKUP(T_BilanSocial[[#This Row],[NumL]],T_TraitDi[#Data],COLUMN(T_TraitDi[NbJTot]),FALSE)</f>
        <v>#N/A</v>
      </c>
      <c r="BQ77" s="174" t="str">
        <f>IFERROR(VLOOKUP(T_BilanSocial[[#This Row],[NumL]],T_TraitDi[#Data],COLUMN(T_TraitDi[[#This Row],[NbJTW]]),FALSE),"")</f>
        <v/>
      </c>
      <c r="BR77" s="174" t="e">
        <f>IF(VLOOKUP(T_BilanSocial[[#This Row],[NumL]],T_TraitDi[#Data],COLUMN(T_TraitDi[[#This Row],[NbhTW]]),FALSE)=0,"",TEXT(IFERROR(VLOOKUP(T_BilanSocial[[#This Row],[NumL]],T_TraitDi[#Data],COLUMN(T_TraitDi[[#This Row],[NbhTW]]),FALSE),""),"[hh]:mm"))</f>
        <v>#VALUE!</v>
      </c>
      <c r="BS77" s="174" t="e">
        <f>IF(VLOOKUP(T_BilanSocial[[#This Row],[NumL]],T_TraitDi[#Data],COLUMN(T_TraitDi[[#This Row],[Nbhheb]]),FALSE)=0,"",TEXT(IFERROR(VLOOKUP($A77,T_TraitDi[#Data],COLUMN(T_TraitDi[[#This Row],[Nbhheb]]),FALSE),""),"[hh]:mm"))</f>
        <v>#VALUE!</v>
      </c>
      <c r="BT77" s="268" t="str">
        <f>IFERROR(VLOOKUP(VLOOKUP($A77,T_TraitDi[#Data],COLUMN(T_TraitDi[[#This Row],[Type1]]),FALSE),TypeTW,2,FALSE),"")</f>
        <v/>
      </c>
      <c r="BU77" s="182" t="str">
        <f>IFERROR(VLOOKUP($A77,T_TraitDi[#Data],COLUMN(T_TraitDi[[#This Row],[Rue1]]),FALSE),"")</f>
        <v/>
      </c>
      <c r="BV77" s="173" t="str">
        <f>IFERROR(VLOOKUP($A77,T_TraitDi[#Data],COLUMN(T_TraitDi[[#This Row],[CP1]]),FALSE),"")</f>
        <v/>
      </c>
      <c r="BW77" s="173" t="str">
        <f>IFERROR(VLOOKUP($A77,T_TraitDi[#Data],COLUMN(T_TraitDi[[#This Row],[VILLE1]]),FALSE),"")</f>
        <v/>
      </c>
      <c r="BX77" s="182" t="str">
        <f>IFERROR(VLOOKUP(VLOOKUP($A77,T_TraitDi[#Data],COLUMN(T_TraitDi[[#This Row],[Type2]]),FALSE),TypeTW,2,FALSE),"")</f>
        <v/>
      </c>
      <c r="BY77" s="182" t="str">
        <f>IFERROR(VLOOKUP($A77,T_TraitDi[#Data],COLUMN(T_TraitDi[[#This Row],[Rue2]]),FALSE),"")</f>
        <v/>
      </c>
      <c r="BZ77" s="173" t="str">
        <f>IFERROR(VLOOKUP($A77,T_TraitDi[#Data],COLUMN(T_TraitDi[[#This Row],[CP2]]),FALSE),"")</f>
        <v/>
      </c>
      <c r="CA77" s="173" t="str">
        <f>IFERROR(VLOOKUP($A77,T_TraitDi[#Data],COLUMN(T_TraitDi[[#This Row],[VILLE2]]),FALSE),"")</f>
        <v/>
      </c>
      <c r="CB77" s="182" t="str">
        <f>IF(VLOOKUP(T_BilanSocial[[#This Row],[NumL]],T_Equipement[#Data],COLUMN(T_Equipement[[#This Row],[PC]]),FALSE)="","Aucun équipement spécifique directement lié au télétravail",VLOOKUP(T_BilanSocial[[#This Row],[NumL]],T_Equipement[#Data],COLUMN(T_Equipement[[#This Row],[PC]]),FALSE))</f>
        <v xml:space="preserve">20-288	</v>
      </c>
      <c r="CC77" s="166" t="str">
        <f>IFERROR(IF(VLOOKUP(T_BilanSocial[[#This Row],[NumL]],T_TraitDi[#Data],COLUMN(T_TraitDi[[#This Row],[Plan]]),FALSE)="OK","Un planning spécifique de télétravail est annexé à la présente convention.",""),"")</f>
        <v/>
      </c>
      <c r="CD77" s="185"/>
      <c r="CE77" s="164" t="e">
        <f>IF(VLOOKUP(T_BilanSocial[[#This Row],[NumL]],T_suiviDi[#Data],COLUMN(T_suiviDi[[#This Row],[Entité]]),FALSE)="","",VLOOKUP(T_BilanSocial[[#This Row],[NumL]],T_suiviDi[#Data],COLUMN(T_suiviDi[[#This Row],[Entité]]),FALSE))</f>
        <v>#VALUE!</v>
      </c>
      <c r="CF77" s="164" t="str">
        <f>IF(VLOOKUP(T_BilanSocial[[#This Row],[NumL]],T_Commission[#Data],COLUMN(T_Commission[[#This Row],[envoi confirm TW]]),FALSE)="","",VLOOKUP(T_BilanSocial[[#This Row],[NumL]],T_Commission[#Data],COLUMN(T_Commission[[#This Row],[envoi confirm TW]]),FALSE))</f>
        <v>Oui</v>
      </c>
      <c r="CG7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7" s="262" t="str">
        <f>T_BilanSocial[[#This Row],[Nom]]&amp;T_BilanSocial[[#This Row],[Prenom]]</f>
        <v/>
      </c>
      <c r="CI77" s="262">
        <f>VLOOKUP(T_BilanSocial[[#This Row],[NumL]],T_Commission[#Data],COLUMN(T_Commission[Commentaire]),FALSE)</f>
        <v>0</v>
      </c>
      <c r="CJ77" s="262" t="str">
        <f>IF(VLOOKUP(T_BilanSocial[[#This Row],[NumL]],T_Commission[#Data],COLUMN(T_Commission[Encadrant Email]),FALSE)="","",VLOOKUP(T_BilanSocial[[#This Row],[NumL]],T_Commission[#Data],COLUMN(T_Commission[Encadrant Email]),FALSE))</f>
        <v/>
      </c>
      <c r="CK77" s="340" t="str">
        <f>IF(T_BilanSocial[[#This Row],[Final]]&lt;&gt;"",VLOOKUP(T_BilanSocial[[#This Row],[NumL]],T_suiviDi[#Data],COLUMN((T_suiviDi[Statut])),FALSE),"")</f>
        <v/>
      </c>
    </row>
    <row r="78" spans="1:89" s="106" customFormat="1" ht="24.75" customHeight="1" x14ac:dyDescent="0.25">
      <c r="A78" s="160">
        <v>75</v>
      </c>
      <c r="B78" s="161" t="str">
        <f t="shared" si="10"/>
        <v/>
      </c>
      <c r="C78" s="162" t="s">
        <v>173</v>
      </c>
      <c r="D78" s="95" t="e">
        <f>IF(VLOOKUP(T_BilanSocial[[#This Row],[NumL]],T_TraitDi[#Data],COLUMN(T_TraitDi[[#This Row],[WebC]]),FALSE)="","",VLOOKUP(T_BilanSocial[[#This Row],[NumL]],T_TraitDi[#Data],COLUMN(T_TraitDi[[#This Row],[WebC]]),FALSE))</f>
        <v>#VALUE!</v>
      </c>
      <c r="E78" s="163" t="str">
        <f t="shared" si="11"/>
        <v>12 janvier 2021</v>
      </c>
      <c r="F78" s="96" t="str">
        <f>IF(T_BilanSocial[[#This Row],[Final]]&lt;&gt;"",VLOOKUP(T_BilanSocial[[#This Row],[NumL]],T_suiviDi[#Data],COLUMN((T_suiviDi[Civ.])),FALSE),"")</f>
        <v/>
      </c>
      <c r="G78" s="96" t="str">
        <f>IF(T_BilanSocial[[#This Row],[Final]]&lt;&gt;"",VLOOKUP(T_BilanSocial[[#This Row],[NumL]],T_suiviDi[#Data],COLUMN((T_suiviDi[Nom])),FALSE),"")</f>
        <v/>
      </c>
      <c r="H78" s="96" t="str">
        <f>IF(T_BilanSocial[[#This Row],[Final]]&lt;&gt;"",VLOOKUP(T_BilanSocial[[#This Row],[NumL]],T_suiviDi[#Data],COLUMN((T_suiviDi[Prénom])),FALSE),"")</f>
        <v/>
      </c>
      <c r="I78" s="96" t="str">
        <f>IFERROR(VLOOKUP(T_BilanSocial[[#This Row],[Zone_Bilan]],T_P_BilanSocial[#Data],COLUMN(T_P_BilanSocial[[#This Row],[Numero_SIHAM]]),FALSE),"")</f>
        <v/>
      </c>
      <c r="J78" s="96" t="str">
        <f>IFERROR(VLOOKUP(T_BilanSocial[[#This Row],[Zone_Bilan]],T_P_BilanSocial[#Data],COLUMN(T_P_BilanSocial[[#This Row],[Sexe]]),FALSE),"")</f>
        <v/>
      </c>
      <c r="K78" s="97" t="str">
        <f>IFERROR(VLOOKUP(T_BilanSocial[[#This Row],[Zone_Bilan]],T_P_BilanSocial[#Data],COLUMN(T_P_BilanSocial[[#This Row],[Categorie]]),FALSE),"")</f>
        <v/>
      </c>
      <c r="L78" s="96" t="str">
        <f>IFERROR(VLOOKUP(T_BilanSocial[[#This Row],[Zone_Bilan]],T_P_BilanSocial[#Data],COLUMN(T_P_BilanSocial[[#This Row],[Statut]]),FALSE),"")</f>
        <v/>
      </c>
      <c r="M78" s="96" t="str">
        <f>IFERROR(VLOOKUP(T_BilanSocial[[#This Row],[Zone_Bilan]],T_P_BilanSocial[#Data],COLUMN(T_P_BilanSocial[[#This Row],[Filiere]]),FALSE),"")</f>
        <v/>
      </c>
      <c r="N78" s="96" t="e">
        <f>VLOOKUP(T_BilanSocial[[#This Row],[NumL]],T_TraitDi[#Data],COLUMN(T_TraitDi[EXP]),FALSE)</f>
        <v>#N/A</v>
      </c>
      <c r="O78" s="96" t="e">
        <f>VLOOKUP(T_BilanSocial[[#This Row],[NumL]],T_TraitDi[#Data],COLUMN(T_TraitDi[FORM]),FALSE)</f>
        <v>#N/A</v>
      </c>
      <c r="P78" s="96" t="str">
        <f>IF(T_BilanSocial[[#This Row],[Final]]&lt;&gt;"",VLOOKUP(T_BilanSocial[[#This Row],[NumL]],T_suiviDi[#Data],COLUMN((T_suiviDi[Email])),FALSE),"")</f>
        <v/>
      </c>
      <c r="Q78" s="164" t="e">
        <f t="shared" si="7"/>
        <v>#N/A</v>
      </c>
      <c r="R78" s="164" t="e">
        <f t="shared" si="8"/>
        <v>#N/A</v>
      </c>
      <c r="S78" s="164" t="e">
        <f>IF(VLOOKUP(T_BilanSocial[[#This Row],[NumL]],T_suiviDi[#Data],COLUMN(T_suiviDi[[#This Row],[Service ]]),FALSE)="","",VLOOKUP(T_BilanSocial[[#This Row],[NumL]],T_suiviDi[#Data],COLUMN(T_suiviDi[[#This Row],[Service ]]),FALSE))</f>
        <v>#VALUE!</v>
      </c>
      <c r="T78" s="164" t="str">
        <f t="shared" si="12"/>
        <v>01 septembre 2021</v>
      </c>
      <c r="U78" s="164" t="str">
        <f t="shared" si="13"/>
        <v>30 novembre 2021</v>
      </c>
      <c r="V78" s="96" t="str">
        <f>TEXT(Datebilan,"jj mmmm aaaa")</f>
        <v>30 novembre 2021</v>
      </c>
      <c r="W78" s="176" t="e">
        <f>IF(VLOOKUP(T_BilanSocial[[#This Row],[NumL]],T_TraitDi[#Data],COLUMN(T_TraitDi[[#This Row],[M1]]),FALSE)="","",VLOOKUP(T_BilanSocial[[#This Row],[NumL]],T_TraitDi[#Data],COLUMN(T_TraitDi[[#This Row],[M1]]),FALSE))</f>
        <v>#VALUE!</v>
      </c>
      <c r="X78" s="176" t="e">
        <f>IF(VLOOKUP(T_BilanSocial[[#This Row],[NumL]],T_TraitDi[#Data],COLUMN(T_TraitDi[[#This Row],[M2]]),FALSE)="","",VLOOKUP(T_BilanSocial[[#This Row],[NumL]],T_TraitDi[#Data],COLUMN(T_TraitDi[[#This Row],[M2]]),FALSE))</f>
        <v>#VALUE!</v>
      </c>
      <c r="Y78" s="176" t="e">
        <f>IF(VLOOKUP(T_BilanSocial[[#This Row],[NumL]],T_TraitDi[#Data],COLUMN(T_TraitDi[[#This Row],[M3]]),FALSE)="","",VLOOKUP(T_BilanSocial[[#This Row],[NumL]],T_TraitDi[#Data],COLUMN(T_TraitDi[[#This Row],[M3]]),FALSE))</f>
        <v>#VALUE!</v>
      </c>
      <c r="Z78" s="176" t="str">
        <f t="shared" si="16"/>
        <v/>
      </c>
      <c r="AA78" s="176" t="e">
        <f>IF(VLOOKUP(T_BilanSocial[[#This Row],[NumL]],T_TraitDi[#Data],COLUMN(T_TraitDi[[#This Row],[M5]]),FALSE)="","",VLOOKUP(T_BilanSocial[[#This Row],[NumL]],T_TraitDi[#Data],COLUMN(T_TraitDi[[#This Row],[M5]]),FALSE))</f>
        <v>#VALUE!</v>
      </c>
      <c r="AB78" s="176" t="e">
        <f>IF(VLOOKUP(T_BilanSocial[[#This Row],[NumL]],T_TraitDi[#Data],COLUMN(T_TraitDi[[#This Row],[M6]]),FALSE)="","",VLOOKUP(T_BilanSocial[[#This Row],[NumL]],T_TraitDi[#Data],COLUMN(T_TraitDi[[#This Row],[M6]]),FALSE))</f>
        <v>#VALUE!</v>
      </c>
      <c r="AC78" s="165" t="e">
        <f t="shared" si="15"/>
        <v>#VALUE!</v>
      </c>
      <c r="AD78" s="188" t="str">
        <f>IFERROR(TEXT(VLOOKUP(T_BilanSocial[[#This Row],[NumL]],T_TraitDi[#Data],COLUMN(T_TraitDi[[#This Row],[Q2]]),FALSE),"###%"),"")</f>
        <v/>
      </c>
      <c r="AE78" s="97" t="e">
        <f>VLOOKUP(T_BilanSocial[[#This Row],[NumL]],T_TraitDi[#Data],COLUMN(T_TraitDi[[#This Row],[Reg Ponct]]),FALSE)</f>
        <v>#VALUE!</v>
      </c>
      <c r="AF78" s="97" t="e">
        <f>VLOOKUP(T_BilanSocial[NumL],T_TraitDi[#Data],COLUMN(T_TraitDi[[#This Row],[Jours flottants]]),FALSE)</f>
        <v>#VALUE!</v>
      </c>
      <c r="AG78" s="97" t="str">
        <f>IFERROR(VLOOKUP(T_BilanSocial[[#This Row],[NumL]],T_TraitDi[#Data],COLUMN(T_TraitDi[[#This Row],[Lundi]]),FALSE),"")</f>
        <v/>
      </c>
      <c r="AH78" s="172" t="e">
        <f>IF(VLOOKUP(T_BilanSocial[[#This Row],[NumL]],T_TraitDi[#Data],COLUMN(T_TraitDi[[#This Row],[Colonne3]]),FALSE)=0,"",TEXT(IFERROR(VLOOKUP(T_BilanSocial[[#This Row],[NumL]],T_TraitDi[#Data],COLUMN(T_TraitDi[[#This Row],[Colonne3]]),FALSE),""),"[hh]:mm"))</f>
        <v>#VALUE!</v>
      </c>
      <c r="AI78" s="172" t="e">
        <f>IF(VLOOKUP(T_BilanSocial[[#This Row],[NumL]],T_TraitDi[#Data],COLUMN(T_TraitDi[[#This Row],[Colonne4]]),FALSE)=0,"",TEXT(IFERROR(VLOOKUP(T_BilanSocial[[#This Row],[NumL]],T_TraitDi[#Data],COLUMN(T_TraitDi[[#This Row],[Colonne4]]),FALSE),""),"[hh]:mm"))</f>
        <v>#VALUE!</v>
      </c>
      <c r="AJ78" s="172" t="e">
        <f>IF(VLOOKUP(T_BilanSocial[[#This Row],[NumL]],T_TraitDi[#Data],COLUMN(T_TraitDi[[#This Row],[Colonne5]]),FALSE)=0,"",TEXT(IFERROR(VLOOKUP(T_BilanSocial[[#This Row],[NumL]],T_TraitDi[#Data],COLUMN(T_TraitDi[[#This Row],[Colonne5]]),FALSE),""),"[hh]:mm"))</f>
        <v>#VALUE!</v>
      </c>
      <c r="AK78" s="172" t="e">
        <f>IF(VLOOKUP(T_BilanSocial[[#This Row],[NumL]],T_TraitDi[#Data],COLUMN(T_TraitDi[[#This Row],[Colonne6]]),FALSE)=0,"",TEXT(IFERROR(VLOOKUP(T_BilanSocial[[#This Row],[NumL]],T_TraitDi[#Data],COLUMN(T_TraitDi[[#This Row],[Colonne6]]),FALSE),""),"[hh]:mm"))</f>
        <v>#VALUE!</v>
      </c>
      <c r="AL78" s="172" t="e">
        <f>IF(VLOOKUP(T_BilanSocial[[#This Row],[NumL]],T_TraitDi[#Data],COLUMN(T_TraitDi[[#This Row],[Colonne7]]),FALSE)=0,"",TEXT(IFERROR(VLOOKUP(T_BilanSocial[[#This Row],[NumL]],T_TraitDi[#Data],COLUMN(T_TraitDi[[#This Row],[Colonne7]]),FALSE),""),"[hh]:mm"))</f>
        <v>#VALUE!</v>
      </c>
      <c r="AM78" s="172" t="e">
        <f>IF(VLOOKUP(T_BilanSocial[[#This Row],[NumL]],T_TraitDi[#Data],COLUMN(T_TraitDi[[#This Row],[Colonne8]]),FALSE)=0,"",TEXT(IFERROR(VLOOKUP(T_BilanSocial[[#This Row],[NumL]],T_TraitDi[#Data],COLUMN(T_TraitDi[[#This Row],[Colonne8]]),FALSE),""),"[hh]:mm"))</f>
        <v>#VALUE!</v>
      </c>
      <c r="AN78" s="172" t="str">
        <f>IFERROR(VLOOKUP(T_BilanSocial[[#This Row],[NumL]],T_TraitDi[#Data],COLUMN(T_TraitDi[[#This Row],[Mardi]]),FALSE),"")</f>
        <v/>
      </c>
      <c r="AO78" s="172" t="e">
        <f>IF(VLOOKUP(T_BilanSocial[[#This Row],[NumL]],T_TraitDi[#Data],COLUMN(T_TraitDi[[#This Row],[Colonne1]]),FALSE)=0,"",TEXT(IFERROR(VLOOKUP(T_BilanSocial[[#This Row],[NumL]],T_TraitDi[#Data],COLUMN(T_TraitDi[[#This Row],[Colonne1]]),FALSE),""),"[hh]:mm"))</f>
        <v>#VALUE!</v>
      </c>
      <c r="AP78" s="172" t="e">
        <f>IF(VLOOKUP(T_BilanSocial[[#This Row],[NumL]],T_TraitDi[#Data],COLUMN(T_TraitDi[[#This Row],[Colonne9]]),FALSE)=0,"",TEXT(IFERROR(VLOOKUP(T_BilanSocial[[#This Row],[NumL]],T_TraitDi[#Data],COLUMN(T_TraitDi[[#This Row],[Colonne9]]),FALSE),""),"[hh]:mm"))</f>
        <v>#VALUE!</v>
      </c>
      <c r="AQ78" s="172" t="str">
        <f>IFERROR(VLOOKUP(T_BilanSocial[[#This Row],[NumL]],T_TraitDi[#Data],COLUMN(T_TraitDi[[#This Row],[Colonne10]]),FALSE),"")</f>
        <v/>
      </c>
      <c r="AR78" s="172" t="e">
        <f>IF(VLOOKUP(T_BilanSocial[[#This Row],[NumL]],T_TraitDi[#Data],COLUMN(T_TraitDi[[#This Row],[Colonne11]]),FALSE)=0,"",TEXT(IFERROR(VLOOKUP(T_BilanSocial[[#This Row],[NumL]],T_TraitDi[#Data],COLUMN(T_TraitDi[[#This Row],[Colonne11]]),FALSE),""),"[hh]:mm"))</f>
        <v>#VALUE!</v>
      </c>
      <c r="AS78" s="172" t="e">
        <f>IF(VLOOKUP(T_BilanSocial[[#This Row],[NumL]],T_TraitDi[#Data],COLUMN(T_TraitDi[[#This Row],[Colonne12]]),FALSE)=0,"",TEXT(IFERROR(VLOOKUP(T_BilanSocial[[#This Row],[NumL]],T_TraitDi[#Data],COLUMN(T_TraitDi[[#This Row],[Colonne12]]),FALSE),""),"[hh]:mm"))</f>
        <v>#VALUE!</v>
      </c>
      <c r="AT78" s="172" t="e">
        <f>IF(VLOOKUP(T_BilanSocial[[#This Row],[NumL]],T_TraitDi[#Data],COLUMN(T_TraitDi[[#This Row],[Colonne14]]),FALSE)=0,"",TEXT(IFERROR(VLOOKUP(T_BilanSocial[[#This Row],[NumL]],T_TraitDi[#Data],COLUMN(T_TraitDi[[#This Row],[Colonne14]]),FALSE),""),"[hh]:mm"))</f>
        <v>#VALUE!</v>
      </c>
      <c r="AU78" s="172" t="str">
        <f>IFERROR(VLOOKUP(T_BilanSocial[[#This Row],[NumL]],T_TraitDi[#Data],COLUMN(T_TraitDi[[#This Row],[Mercredi]]),FALSE),"")</f>
        <v/>
      </c>
      <c r="AV78" s="172" t="e">
        <f>IF(VLOOKUP(T_BilanSocial[[#This Row],[NumL]],T_TraitDi[#Data],COLUMN(T_TraitDi[[#This Row],[Colonne15]]),FALSE)=0,"",TEXT(IFERROR(VLOOKUP(T_BilanSocial[[#This Row],[NumL]],T_TraitDi[#Data],COLUMN(T_TraitDi[[#This Row],[Colonne15]]),FALSE),""),"[hh]:mm"))</f>
        <v>#VALUE!</v>
      </c>
      <c r="AW78" s="172" t="e">
        <f>IF(VLOOKUP(T_BilanSocial[[#This Row],[NumL]],T_TraitDi[#Data],COLUMN(T_TraitDi[[#This Row],[Colonne16]]),FALSE)=0,"",TEXT(IFERROR(VLOOKUP(T_BilanSocial[[#This Row],[NumL]],T_TraitDi[#Data],COLUMN(T_TraitDi[[#This Row],[Colonne16]]),FALSE),""),"[hh]:mm"))</f>
        <v>#VALUE!</v>
      </c>
      <c r="AX78" s="172" t="str">
        <f>IFERROR(VLOOKUP(T_BilanSocial[[#This Row],[NumL]],T_TraitDi[#Data],COLUMN(T_TraitDi[[#This Row],[Colonne17]]),FALSE),"")</f>
        <v/>
      </c>
      <c r="AY78" s="172" t="e">
        <f>IF(VLOOKUP(T_BilanSocial[[#This Row],[NumL]],T_TraitDi[#Data],COLUMN(T_TraitDi[[#This Row],[Colonne18]]),FALSE)=0,"",TEXT(IFERROR(VLOOKUP(T_BilanSocial[[#This Row],[NumL]],T_TraitDi[#Data],COLUMN(T_TraitDi[[#This Row],[Colonne18]]),FALSE),""),"[hh]:mm"))</f>
        <v>#VALUE!</v>
      </c>
      <c r="AZ78" s="172" t="e">
        <f>IF(VLOOKUP(T_BilanSocial[[#This Row],[NumL]],T_TraitDi[#Data],COLUMN(T_TraitDi[[#This Row],[Colonne19]]),FALSE)=0,"",TEXT(IFERROR(VLOOKUP(T_BilanSocial[[#This Row],[NumL]],T_TraitDi[#Data],COLUMN(T_TraitDi[[#This Row],[Colonne19]]),FALSE),""),"[hh]:mm"))</f>
        <v>#VALUE!</v>
      </c>
      <c r="BA78" s="172" t="e">
        <f>IF(VLOOKUP(T_BilanSocial[[#This Row],[NumL]],T_TraitDi[#Data],COLUMN(T_TraitDi[[#This Row],[Colonne20]]),FALSE)=0,"",TEXT(IFERROR(VLOOKUP(T_BilanSocial[[#This Row],[NumL]],T_TraitDi[#Data],COLUMN(T_TraitDi[[#This Row],[Colonne20]]),FALSE),""),"[hh]:mm"))</f>
        <v>#VALUE!</v>
      </c>
      <c r="BB78" s="178" t="str">
        <f>IFERROR(VLOOKUP(T_BilanSocial[[#This Row],[NumL]],T_TraitDi[#Data],COLUMN(T_TraitDi[[#This Row],[Jeudi]]),FALSE),"")</f>
        <v/>
      </c>
      <c r="BC78" s="178" t="e">
        <f>IF(VLOOKUP(T_BilanSocial[[#This Row],[NumL]],T_TraitDi[#Data],COLUMN(T_TraitDi[[#This Row],[Colonne21]]),FALSE)=0,"",TEXT(IFERROR(VLOOKUP(T_BilanSocial[[#This Row],[NumL]],T_TraitDi[#Data],COLUMN(T_TraitDi[[#This Row],[Colonne21]]),FALSE),""),"[hh]:mm"))</f>
        <v>#VALUE!</v>
      </c>
      <c r="BD78" s="178" t="e">
        <f>IF(VLOOKUP(T_BilanSocial[[#This Row],[NumL]],T_TraitDi[#Data],COLUMN(T_TraitDi[[#This Row],[Colonne22]]),FALSE)=0,"",TEXT(IFERROR(VLOOKUP(T_BilanSocial[[#This Row],[NumL]],T_TraitDi[#Data],COLUMN(T_TraitDi[[#This Row],[Colonne22]]),FALSE),""),"[hh]:mm"))</f>
        <v>#VALUE!</v>
      </c>
      <c r="BE78" s="178" t="str">
        <f>IFERROR(VLOOKUP(T_BilanSocial[[#This Row],[NumL]],T_TraitDi[#Data],COLUMN(T_TraitDi[[#This Row],[Colonne23]]),FALSE),"")</f>
        <v/>
      </c>
      <c r="BF78" s="178" t="e">
        <f>IF(VLOOKUP(T_BilanSocial[[#This Row],[NumL]],T_TraitDi[#Data],COLUMN(T_TraitDi[[#This Row],[Colonne24]]),FALSE)=0,"",TEXT(IFERROR(VLOOKUP(T_BilanSocial[[#This Row],[NumL]],T_TraitDi[#Data],COLUMN(T_TraitDi[[#This Row],[Colonne24]]),FALSE),""),"[hh]:mm"))</f>
        <v>#VALUE!</v>
      </c>
      <c r="BG78" s="178" t="e">
        <f>IF(VLOOKUP(T_BilanSocial[[#This Row],[NumL]],T_TraitDi[#Data],COLUMN(T_TraitDi[[#This Row],[Colonne25]]),FALSE)=0,"",TEXT(IFERROR(VLOOKUP(T_BilanSocial[[#This Row],[NumL]],T_TraitDi[#Data],COLUMN(T_TraitDi[[#This Row],[Colonne25]]),FALSE),""),"[hh]:mm"))</f>
        <v>#VALUE!</v>
      </c>
      <c r="BH78" s="178" t="e">
        <f>IF(VLOOKUP(T_BilanSocial[[#This Row],[NumL]],T_TraitDi[#Data],COLUMN(T_TraitDi[[#This Row],[Colonne26]]),FALSE)=0,"",TEXT(IFERROR(VLOOKUP(T_BilanSocial[[#This Row],[NumL]],T_TraitDi[#Data],COLUMN(T_TraitDi[[#This Row],[Colonne26]]),FALSE),""),"[hh]:mm"))</f>
        <v>#VALUE!</v>
      </c>
      <c r="BI78" s="172" t="str">
        <f>IFERROR(VLOOKUP(T_BilanSocial[[#This Row],[NumL]],T_TraitDi[#Data],COLUMN(T_TraitDi[[#This Row],[Vendredi]]),FALSE),"")</f>
        <v/>
      </c>
      <c r="BJ78" s="172" t="e">
        <f>IF(VLOOKUP(T_BilanSocial[[#This Row],[NumL]],T_TraitDi[#Data],COLUMN(T_TraitDi[[#This Row],[Colonne27]]),FALSE)=0,"",TEXT(IFERROR(VLOOKUP(T_BilanSocial[[#This Row],[NumL]],T_TraitDi[#Data],COLUMN(T_TraitDi[[#This Row],[Colonne27]]),FALSE),""),"[hh]:mm"))</f>
        <v>#VALUE!</v>
      </c>
      <c r="BK78" s="172" t="e">
        <f>IF(VLOOKUP(T_BilanSocial[[#This Row],[NumL]],T_TraitDi[#Data],COLUMN(T_TraitDi[[#This Row],[Colonne28]]),FALSE)=0,"",TEXT(IFERROR(VLOOKUP(T_BilanSocial[[#This Row],[NumL]],T_TraitDi[#Data],COLUMN(T_TraitDi[[#This Row],[Colonne28]]),FALSE),""),"[hh]:mm"))</f>
        <v>#VALUE!</v>
      </c>
      <c r="BL78" s="172" t="str">
        <f>IFERROR(VLOOKUP(T_BilanSocial[[#This Row],[NumL]],T_TraitDi[#Data],COLUMN(T_TraitDi[[#This Row],[Colonne29]]),FALSE),"")</f>
        <v/>
      </c>
      <c r="BM78" s="172" t="e">
        <f>IF(VLOOKUP(T_BilanSocial[[#This Row],[NumL]],T_TraitDi[#Data],COLUMN(T_TraitDi[[#This Row],[Colonne30]]),FALSE)=0,"",TEXT(IFERROR(VLOOKUP(T_BilanSocial[[#This Row],[NumL]],T_TraitDi[#Data],COLUMN(T_TraitDi[[#This Row],[Colonne30]]),FALSE),""),"[hh]:mm"))</f>
        <v>#VALUE!</v>
      </c>
      <c r="BN78" s="172" t="e">
        <f>IF(VLOOKUP(T_BilanSocial[[#This Row],[NumL]],T_TraitDi[#Data],COLUMN(T_TraitDi[[#This Row],[Colonne31]]),FALSE)=0,"",TEXT(IFERROR(VLOOKUP(T_BilanSocial[[#This Row],[NumL]],T_TraitDi[#Data],COLUMN(T_TraitDi[[#This Row],[Colonne31]]),FALSE),""),"[hh]:mm"))</f>
        <v>#VALUE!</v>
      </c>
      <c r="BO78" s="172" t="e">
        <f>IF(VLOOKUP(T_BilanSocial[[#This Row],[NumL]],T_TraitDi[#Data],COLUMN(T_TraitDi[[#This Row],[Colonne32]]),FALSE)=0,"",TEXT(IFERROR(VLOOKUP(T_BilanSocial[[#This Row],[NumL]],T_TraitDi[#Data],COLUMN(T_TraitDi[[#This Row],[Colonne32]]),FALSE),""),"[hh]:mm"))</f>
        <v>#VALUE!</v>
      </c>
      <c r="BP78" s="172" t="e">
        <f>VLOOKUP(T_BilanSocial[[#This Row],[NumL]],T_TraitDi[#Data],COLUMN(T_TraitDi[NbJTot]),FALSE)</f>
        <v>#N/A</v>
      </c>
      <c r="BQ78" s="174" t="str">
        <f>IFERROR(VLOOKUP(T_BilanSocial[[#This Row],[NumL]],T_TraitDi[#Data],COLUMN(T_TraitDi[[#This Row],[NbJTW]]),FALSE),"")</f>
        <v/>
      </c>
      <c r="BR78" s="174" t="e">
        <f>IF(VLOOKUP(T_BilanSocial[[#This Row],[NumL]],T_TraitDi[#Data],COLUMN(T_TraitDi[[#This Row],[NbhTW]]),FALSE)=0,"",TEXT(IFERROR(VLOOKUP(T_BilanSocial[[#This Row],[NumL]],T_TraitDi[#Data],COLUMN(T_TraitDi[[#This Row],[NbhTW]]),FALSE),""),"[hh]:mm"))</f>
        <v>#VALUE!</v>
      </c>
      <c r="BS78" s="174" t="e">
        <f>IF(VLOOKUP(T_BilanSocial[[#This Row],[NumL]],T_TraitDi[#Data],COLUMN(T_TraitDi[[#This Row],[Nbhheb]]),FALSE)=0,"",TEXT(IFERROR(VLOOKUP($A78,T_TraitDi[#Data],COLUMN(T_TraitDi[[#This Row],[Nbhheb]]),FALSE),""),"[hh]:mm"))</f>
        <v>#VALUE!</v>
      </c>
      <c r="BT78" s="182" t="str">
        <f>IFERROR(VLOOKUP(VLOOKUP($A78,T_TraitDi[#Data],COLUMN(T_TraitDi[[#This Row],[Type1]]),FALSE),TypeTW,2,FALSE),"")</f>
        <v/>
      </c>
      <c r="BU78" s="182" t="str">
        <f>IFERROR(VLOOKUP($A78,T_TraitDi[#Data],COLUMN(T_TraitDi[[#This Row],[Rue1]]),FALSE),"")</f>
        <v/>
      </c>
      <c r="BV78" s="173" t="str">
        <f>IFERROR(VLOOKUP($A78,T_TraitDi[#Data],COLUMN(T_TraitDi[[#This Row],[CP1]]),FALSE),"")</f>
        <v/>
      </c>
      <c r="BW78" s="173" t="str">
        <f>IFERROR(VLOOKUP($A78,T_TraitDi[#Data],COLUMN(T_TraitDi[[#This Row],[VILLE1]]),FALSE),"")</f>
        <v/>
      </c>
      <c r="BX78" s="182" t="str">
        <f>IFERROR(VLOOKUP(VLOOKUP($A78,T_TraitDi[#Data],COLUMN(T_TraitDi[[#This Row],[Type2]]),FALSE),TypeTW,2,FALSE),"")</f>
        <v/>
      </c>
      <c r="BY78" s="182" t="str">
        <f>IFERROR(VLOOKUP($A78,T_TraitDi[#Data],COLUMN(T_TraitDi[[#This Row],[Rue2]]),FALSE),"")</f>
        <v/>
      </c>
      <c r="BZ78" s="173" t="str">
        <f>IFERROR(VLOOKUP($A78,T_TraitDi[#Data],COLUMN(T_TraitDi[[#This Row],[CP2]]),FALSE),"")</f>
        <v/>
      </c>
      <c r="CA78" s="173" t="str">
        <f>IFERROR(VLOOKUP($A78,T_TraitDi[#Data],COLUMN(T_TraitDi[[#This Row],[VILLE2]]),FALSE),"")</f>
        <v/>
      </c>
      <c r="CB78" s="182" t="str">
        <f>IF(VLOOKUP(T_BilanSocial[[#This Row],[NumL]],T_Equipement[#Data],COLUMN(T_Equipement[[#This Row],[PC]]),FALSE)="","Aucun équipement spécifique directement lié au télétravail",VLOOKUP(T_BilanSocial[[#This Row],[NumL]],T_Equipement[#Data],COLUMN(T_Equipement[[#This Row],[PC]]),FALSE))</f>
        <v xml:space="preserve">14-008	</v>
      </c>
      <c r="CC78" s="166" t="str">
        <f>IFERROR(IF(VLOOKUP(T_BilanSocial[[#This Row],[NumL]],T_TraitDi[#Data],COLUMN(T_TraitDi[[#This Row],[Plan]]),FALSE)="OK","Un planning spécifique de télétravail est annexé à la présente convention.",""),"")</f>
        <v/>
      </c>
      <c r="CD78" s="258" t="s">
        <v>3336</v>
      </c>
      <c r="CE78" s="164" t="e">
        <f>IF(VLOOKUP(T_BilanSocial[[#This Row],[NumL]],T_suiviDi[#Data],COLUMN(T_suiviDi[[#This Row],[Entité]]),FALSE)="","",VLOOKUP(T_BilanSocial[[#This Row],[NumL]],T_suiviDi[#Data],COLUMN(T_suiviDi[[#This Row],[Entité]]),FALSE))</f>
        <v>#VALUE!</v>
      </c>
      <c r="CF78" s="164" t="str">
        <f>IF(VLOOKUP(T_BilanSocial[[#This Row],[NumL]],T_Commission[#Data],COLUMN(T_Commission[[#This Row],[envoi confirm TW]]),FALSE)="","",VLOOKUP(T_BilanSocial[[#This Row],[NumL]],T_Commission[#Data],COLUMN(T_Commission[[#This Row],[envoi confirm TW]]),FALSE))</f>
        <v>Oui</v>
      </c>
      <c r="CG7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8" s="262" t="str">
        <f>T_BilanSocial[[#This Row],[Nom]]&amp;T_BilanSocial[[#This Row],[Prenom]]</f>
        <v/>
      </c>
      <c r="CI78" s="262">
        <f>VLOOKUP(T_BilanSocial[[#This Row],[NumL]],T_Commission[#Data],COLUMN(T_Commission[Commentaire]),FALSE)</f>
        <v>0</v>
      </c>
      <c r="CJ78" s="262" t="str">
        <f>IF(VLOOKUP(T_BilanSocial[[#This Row],[NumL]],T_Commission[#Data],COLUMN(T_Commission[Encadrant Email]),FALSE)="","",VLOOKUP(T_BilanSocial[[#This Row],[NumL]],T_Commission[#Data],COLUMN(T_Commission[Encadrant Email]),FALSE))</f>
        <v/>
      </c>
      <c r="CK78" s="340" t="str">
        <f>IF(T_BilanSocial[[#This Row],[Final]]&lt;&gt;"",VLOOKUP(T_BilanSocial[[#This Row],[NumL]],T_suiviDi[#Data],COLUMN((T_suiviDi[Statut])),FALSE),"")</f>
        <v/>
      </c>
    </row>
    <row r="79" spans="1:89" s="106" customFormat="1" ht="24.75" customHeight="1" x14ac:dyDescent="0.25">
      <c r="A79" s="160">
        <v>76</v>
      </c>
      <c r="B79" s="161">
        <f t="shared" si="10"/>
        <v>1</v>
      </c>
      <c r="C79" s="162" t="s">
        <v>139</v>
      </c>
      <c r="D79" s="95" t="e">
        <f>IF(VLOOKUP(T_BilanSocial[[#This Row],[NumL]],T_TraitDi[#Data],COLUMN(T_TraitDi[[#This Row],[WebC]]),FALSE)="","",VLOOKUP(T_BilanSocial[[#This Row],[NumL]],T_TraitDi[#Data],COLUMN(T_TraitDi[[#This Row],[WebC]]),FALSE))</f>
        <v>#VALUE!</v>
      </c>
      <c r="E79" s="163" t="str">
        <f t="shared" si="11"/>
        <v>12 janvier 2021</v>
      </c>
      <c r="F79" s="96" t="str">
        <f>IF(T_BilanSocial[[#This Row],[Final]]&lt;&gt;"",VLOOKUP(T_BilanSocial[[#This Row],[NumL]],T_suiviDi[#Data],COLUMN((T_suiviDi[Civ.])),FALSE),"")</f>
        <v>M.</v>
      </c>
      <c r="G79" s="96" t="str">
        <f>IF(T_BilanSocial[[#This Row],[Final]]&lt;&gt;"",VLOOKUP(T_BilanSocial[[#This Row],[NumL]],T_suiviDi[#Data],COLUMN((T_suiviDi[Nom])),FALSE),"")</f>
        <v>A</v>
      </c>
      <c r="H79" s="96" t="str">
        <f>IF(T_BilanSocial[[#This Row],[Final]]&lt;&gt;"",VLOOKUP(T_BilanSocial[[#This Row],[NumL]],T_suiviDi[#Data],COLUMN((T_suiviDi[Prénom])),FALSE),"")</f>
        <v>Yann</v>
      </c>
      <c r="I79" s="96" t="str">
        <f>IFERROR(VLOOKUP(T_BilanSocial[[#This Row],[Zone_Bilan]],T_P_BilanSocial[#Data],COLUMN(T_P_BilanSocial[[#This Row],[Numero_SIHAM]]),FALSE),"")</f>
        <v/>
      </c>
      <c r="J79" s="96" t="str">
        <f>IFERROR(VLOOKUP(T_BilanSocial[[#This Row],[Zone_Bilan]],T_P_BilanSocial[#Data],COLUMN(T_P_BilanSocial[[#This Row],[Sexe]]),FALSE),"")</f>
        <v/>
      </c>
      <c r="K79" s="97" t="str">
        <f>IFERROR(VLOOKUP(T_BilanSocial[[#This Row],[Zone_Bilan]],T_P_BilanSocial[#Data],COLUMN(T_P_BilanSocial[[#This Row],[Categorie]]),FALSE),"")</f>
        <v/>
      </c>
      <c r="L79" s="96" t="str">
        <f>IFERROR(VLOOKUP(T_BilanSocial[[#This Row],[Zone_Bilan]],T_P_BilanSocial[#Data],COLUMN(T_P_BilanSocial[[#This Row],[Statut]]),FALSE),"")</f>
        <v/>
      </c>
      <c r="M79" s="96" t="str">
        <f>IFERROR(VLOOKUP(T_BilanSocial[[#This Row],[Zone_Bilan]],T_P_BilanSocial[#Data],COLUMN(T_P_BilanSocial[[#This Row],[Filiere]]),FALSE),"")</f>
        <v/>
      </c>
      <c r="N79" s="96" t="str">
        <f>VLOOKUP(T_BilanSocial[[#This Row],[NumL]],T_TraitDi[#Data],COLUMN(T_TraitDi[EXP]),FALSE)</f>
        <v>N</v>
      </c>
      <c r="O79" s="96" t="str">
        <f>VLOOKUP(T_BilanSocial[[#This Row],[NumL]],T_TraitDi[#Data],COLUMN(T_TraitDi[FORM]),FALSE)</f>
        <v>N</v>
      </c>
      <c r="P79" s="96">
        <f>IF(T_BilanSocial[[#This Row],[Final]]&lt;&gt;"",VLOOKUP(T_BilanSocial[[#This Row],[NumL]],T_suiviDi[#Data],COLUMN((T_suiviDi[Email])),FALSE),"")</f>
        <v>0</v>
      </c>
      <c r="Q79" s="164" t="str">
        <f t="shared" si="7"/>
        <v>PAPN</v>
      </c>
      <c r="R79" s="164" t="str">
        <f t="shared" si="8"/>
        <v>Sous-Directeur TICA</v>
      </c>
      <c r="S79" s="164" t="e">
        <f>IF(VLOOKUP(T_BilanSocial[[#This Row],[NumL]],T_suiviDi[#Data],COLUMN(T_suiviDi[[#This Row],[Service ]]),FALSE)="","",VLOOKUP(T_BilanSocial[[#This Row],[NumL]],T_suiviDi[#Data],COLUMN(T_suiviDi[[#This Row],[Service ]]),FALSE))</f>
        <v>#VALUE!</v>
      </c>
      <c r="T79" s="164" t="str">
        <f t="shared" si="12"/>
        <v>01 septembre 2021</v>
      </c>
      <c r="U79" s="164" t="str">
        <f t="shared" si="13"/>
        <v>30 novembre 2021</v>
      </c>
      <c r="V79" s="256">
        <f>Datebilan</f>
        <v>44530</v>
      </c>
      <c r="W79" s="176" t="e">
        <f>IF(VLOOKUP(T_BilanSocial[[#This Row],[NumL]],T_TraitDi[#Data],COLUMN(T_TraitDi[[#This Row],[M1]]),FALSE)="","",VLOOKUP(T_BilanSocial[[#This Row],[NumL]],T_TraitDi[#Data],COLUMN(T_TraitDi[[#This Row],[M1]]),FALSE))</f>
        <v>#VALUE!</v>
      </c>
      <c r="X79" s="176" t="e">
        <f>IF(VLOOKUP(T_BilanSocial[[#This Row],[NumL]],T_TraitDi[#Data],COLUMN(T_TraitDi[[#This Row],[M2]]),FALSE)="","",VLOOKUP(T_BilanSocial[[#This Row],[NumL]],T_TraitDi[#Data],COLUMN(T_TraitDi[[#This Row],[M2]]),FALSE))</f>
        <v>#VALUE!</v>
      </c>
      <c r="Y79" s="176" t="e">
        <f>IF(VLOOKUP(T_BilanSocial[[#This Row],[NumL]],T_TraitDi[#Data],COLUMN(T_TraitDi[[#This Row],[M3]]),FALSE)="","",VLOOKUP(T_BilanSocial[[#This Row],[NumL]],T_TraitDi[#Data],COLUMN(T_TraitDi[[#This Row],[M3]]),FALSE))</f>
        <v>#VALUE!</v>
      </c>
      <c r="Z79" s="176" t="str">
        <f t="shared" si="16"/>
        <v/>
      </c>
      <c r="AA79" s="176" t="e">
        <f>IF(VLOOKUP(T_BilanSocial[[#This Row],[NumL]],T_TraitDi[#Data],COLUMN(T_TraitDi[[#This Row],[M5]]),FALSE)="","",VLOOKUP(T_BilanSocial[[#This Row],[NumL]],T_TraitDi[#Data],COLUMN(T_TraitDi[[#This Row],[M5]]),FALSE))</f>
        <v>#VALUE!</v>
      </c>
      <c r="AB79" s="176" t="e">
        <f>IF(VLOOKUP(T_BilanSocial[[#This Row],[NumL]],T_TraitDi[#Data],COLUMN(T_TraitDi[[#This Row],[M6]]),FALSE)="","",VLOOKUP(T_BilanSocial[[#This Row],[NumL]],T_TraitDi[#Data],COLUMN(T_TraitDi[[#This Row],[M6]]),FALSE))</f>
        <v>#VALUE!</v>
      </c>
      <c r="AC79" s="165" t="e">
        <f t="shared" si="15"/>
        <v>#VALUE!</v>
      </c>
      <c r="AD79" s="188" t="str">
        <f>IFERROR(TEXT(VLOOKUP(T_BilanSocial[[#This Row],[NumL]],T_TraitDi[#Data],COLUMN(T_TraitDi[[#This Row],[Q2]]),FALSE),"###%"),"")</f>
        <v/>
      </c>
      <c r="AE79" s="97" t="e">
        <f>VLOOKUP(T_BilanSocial[[#This Row],[NumL]],T_TraitDi[#Data],COLUMN(T_TraitDi[[#This Row],[Reg Ponct]]),FALSE)</f>
        <v>#VALUE!</v>
      </c>
      <c r="AF79" s="97" t="e">
        <f>VLOOKUP(T_BilanSocial[NumL],T_TraitDi[#Data],COLUMN(T_TraitDi[[#This Row],[Jours flottants]]),FALSE)</f>
        <v>#VALUE!</v>
      </c>
      <c r="AG79" s="97" t="str">
        <f>IFERROR(VLOOKUP(T_BilanSocial[[#This Row],[NumL]],T_TraitDi[#Data],COLUMN(T_TraitDi[[#This Row],[Lundi]]),FALSE),"")</f>
        <v/>
      </c>
      <c r="AH79" s="172" t="e">
        <f>IF(VLOOKUP(T_BilanSocial[[#This Row],[NumL]],T_TraitDi[#Data],COLUMN(T_TraitDi[[#This Row],[Colonne3]]),FALSE)=0,"",TEXT(IFERROR(VLOOKUP(T_BilanSocial[[#This Row],[NumL]],T_TraitDi[#Data],COLUMN(T_TraitDi[[#This Row],[Colonne3]]),FALSE),""),"[hh]:mm"))</f>
        <v>#VALUE!</v>
      </c>
      <c r="AI79" s="172" t="e">
        <f>IF(VLOOKUP(T_BilanSocial[[#This Row],[NumL]],T_TraitDi[#Data],COLUMN(T_TraitDi[[#This Row],[Colonne4]]),FALSE)=0,"",TEXT(IFERROR(VLOOKUP(T_BilanSocial[[#This Row],[NumL]],T_TraitDi[#Data],COLUMN(T_TraitDi[[#This Row],[Colonne4]]),FALSE),""),"[hh]:mm"))</f>
        <v>#VALUE!</v>
      </c>
      <c r="AJ79" s="172" t="e">
        <f>IF(VLOOKUP(T_BilanSocial[[#This Row],[NumL]],T_TraitDi[#Data],COLUMN(T_TraitDi[[#This Row],[Colonne5]]),FALSE)=0,"",TEXT(IFERROR(VLOOKUP(T_BilanSocial[[#This Row],[NumL]],T_TraitDi[#Data],COLUMN(T_TraitDi[[#This Row],[Colonne5]]),FALSE),""),"[hh]:mm"))</f>
        <v>#VALUE!</v>
      </c>
      <c r="AK79" s="172" t="e">
        <f>IF(VLOOKUP(T_BilanSocial[[#This Row],[NumL]],T_TraitDi[#Data],COLUMN(T_TraitDi[[#This Row],[Colonne6]]),FALSE)=0,"",TEXT(IFERROR(VLOOKUP(T_BilanSocial[[#This Row],[NumL]],T_TraitDi[#Data],COLUMN(T_TraitDi[[#This Row],[Colonne6]]),FALSE),""),"[hh]:mm"))</f>
        <v>#VALUE!</v>
      </c>
      <c r="AL79" s="172" t="e">
        <f>IF(VLOOKUP(T_BilanSocial[[#This Row],[NumL]],T_TraitDi[#Data],COLUMN(T_TraitDi[[#This Row],[Colonne7]]),FALSE)=0,"",TEXT(IFERROR(VLOOKUP(T_BilanSocial[[#This Row],[NumL]],T_TraitDi[#Data],COLUMN(T_TraitDi[[#This Row],[Colonne7]]),FALSE),""),"[hh]:mm"))</f>
        <v>#VALUE!</v>
      </c>
      <c r="AM79" s="172" t="e">
        <f>IF(VLOOKUP(T_BilanSocial[[#This Row],[NumL]],T_TraitDi[#Data],COLUMN(T_TraitDi[[#This Row],[Colonne8]]),FALSE)=0,"",TEXT(IFERROR(VLOOKUP(T_BilanSocial[[#This Row],[NumL]],T_TraitDi[#Data],COLUMN(T_TraitDi[[#This Row],[Colonne8]]),FALSE),""),"[hh]:mm"))</f>
        <v>#VALUE!</v>
      </c>
      <c r="AN79" s="172" t="str">
        <f>IFERROR(VLOOKUP(T_BilanSocial[[#This Row],[NumL]],T_TraitDi[#Data],COLUMN(T_TraitDi[[#This Row],[Mardi]]),FALSE),"")</f>
        <v/>
      </c>
      <c r="AO79" s="172" t="e">
        <f>IF(VLOOKUP(T_BilanSocial[[#This Row],[NumL]],T_TraitDi[#Data],COLUMN(T_TraitDi[[#This Row],[Colonne1]]),FALSE)=0,"",TEXT(IFERROR(VLOOKUP(T_BilanSocial[[#This Row],[NumL]],T_TraitDi[#Data],COLUMN(T_TraitDi[[#This Row],[Colonne1]]),FALSE),""),"[hh]:mm"))</f>
        <v>#VALUE!</v>
      </c>
      <c r="AP79" s="172" t="e">
        <f>IF(VLOOKUP(T_BilanSocial[[#This Row],[NumL]],T_TraitDi[#Data],COLUMN(T_TraitDi[[#This Row],[Colonne9]]),FALSE)=0,"",TEXT(IFERROR(VLOOKUP(T_BilanSocial[[#This Row],[NumL]],T_TraitDi[#Data],COLUMN(T_TraitDi[[#This Row],[Colonne9]]),FALSE),""),"[hh]:mm"))</f>
        <v>#VALUE!</v>
      </c>
      <c r="AQ79" s="172" t="str">
        <f>IFERROR(VLOOKUP(T_BilanSocial[[#This Row],[NumL]],T_TraitDi[#Data],COLUMN(T_TraitDi[[#This Row],[Colonne10]]),FALSE),"")</f>
        <v/>
      </c>
      <c r="AR79" s="172" t="e">
        <f>IF(VLOOKUP(T_BilanSocial[[#This Row],[NumL]],T_TraitDi[#Data],COLUMN(T_TraitDi[[#This Row],[Colonne11]]),FALSE)=0,"",TEXT(IFERROR(VLOOKUP(T_BilanSocial[[#This Row],[NumL]],T_TraitDi[#Data],COLUMN(T_TraitDi[[#This Row],[Colonne11]]),FALSE),""),"[hh]:mm"))</f>
        <v>#VALUE!</v>
      </c>
      <c r="AS79" s="172" t="e">
        <f>IF(VLOOKUP(T_BilanSocial[[#This Row],[NumL]],T_TraitDi[#Data],COLUMN(T_TraitDi[[#This Row],[Colonne12]]),FALSE)=0,"",TEXT(IFERROR(VLOOKUP(T_BilanSocial[[#This Row],[NumL]],T_TraitDi[#Data],COLUMN(T_TraitDi[[#This Row],[Colonne12]]),FALSE),""),"[hh]:mm"))</f>
        <v>#VALUE!</v>
      </c>
      <c r="AT79" s="172" t="e">
        <f>IF(VLOOKUP(T_BilanSocial[[#This Row],[NumL]],T_TraitDi[#Data],COLUMN(T_TraitDi[[#This Row],[Colonne14]]),FALSE)=0,"",TEXT(IFERROR(VLOOKUP(T_BilanSocial[[#This Row],[NumL]],T_TraitDi[#Data],COLUMN(T_TraitDi[[#This Row],[Colonne14]]),FALSE),""),"[hh]:mm"))</f>
        <v>#VALUE!</v>
      </c>
      <c r="AU79" s="172" t="str">
        <f>IFERROR(VLOOKUP(T_BilanSocial[[#This Row],[NumL]],T_TraitDi[#Data],COLUMN(T_TraitDi[[#This Row],[Mercredi]]),FALSE),"")</f>
        <v/>
      </c>
      <c r="AV79" s="172" t="e">
        <f>IF(VLOOKUP(T_BilanSocial[[#This Row],[NumL]],T_TraitDi[#Data],COLUMN(T_TraitDi[[#This Row],[Colonne15]]),FALSE)=0,"",TEXT(IFERROR(VLOOKUP(T_BilanSocial[[#This Row],[NumL]],T_TraitDi[#Data],COLUMN(T_TraitDi[[#This Row],[Colonne15]]),FALSE),""),"[hh]:mm"))</f>
        <v>#VALUE!</v>
      </c>
      <c r="AW79" s="172" t="e">
        <f>IF(VLOOKUP(T_BilanSocial[[#This Row],[NumL]],T_TraitDi[#Data],COLUMN(T_TraitDi[[#This Row],[Colonne16]]),FALSE)=0,"",TEXT(IFERROR(VLOOKUP(T_BilanSocial[[#This Row],[NumL]],T_TraitDi[#Data],COLUMN(T_TraitDi[[#This Row],[Colonne16]]),FALSE),""),"[hh]:mm"))</f>
        <v>#VALUE!</v>
      </c>
      <c r="AX79" s="172" t="str">
        <f>IFERROR(VLOOKUP(T_BilanSocial[[#This Row],[NumL]],T_TraitDi[#Data],COLUMN(T_TraitDi[[#This Row],[Colonne17]]),FALSE),"")</f>
        <v/>
      </c>
      <c r="AY79" s="172" t="e">
        <f>IF(VLOOKUP(T_BilanSocial[[#This Row],[NumL]],T_TraitDi[#Data],COLUMN(T_TraitDi[[#This Row],[Colonne18]]),FALSE)=0,"",TEXT(IFERROR(VLOOKUP(T_BilanSocial[[#This Row],[NumL]],T_TraitDi[#Data],COLUMN(T_TraitDi[[#This Row],[Colonne18]]),FALSE),""),"[hh]:mm"))</f>
        <v>#VALUE!</v>
      </c>
      <c r="AZ79" s="172" t="e">
        <f>IF(VLOOKUP(T_BilanSocial[[#This Row],[NumL]],T_TraitDi[#Data],COLUMN(T_TraitDi[[#This Row],[Colonne19]]),FALSE)=0,"",TEXT(IFERROR(VLOOKUP(T_BilanSocial[[#This Row],[NumL]],T_TraitDi[#Data],COLUMN(T_TraitDi[[#This Row],[Colonne19]]),FALSE),""),"[hh]:mm"))</f>
        <v>#VALUE!</v>
      </c>
      <c r="BA79" s="172" t="e">
        <f>IF(VLOOKUP(T_BilanSocial[[#This Row],[NumL]],T_TraitDi[#Data],COLUMN(T_TraitDi[[#This Row],[Colonne20]]),FALSE)=0,"",TEXT(IFERROR(VLOOKUP(T_BilanSocial[[#This Row],[NumL]],T_TraitDi[#Data],COLUMN(T_TraitDi[[#This Row],[Colonne20]]),FALSE),""),"[hh]:mm"))</f>
        <v>#VALUE!</v>
      </c>
      <c r="BB79" s="178" t="str">
        <f>IFERROR(VLOOKUP(T_BilanSocial[[#This Row],[NumL]],T_TraitDi[#Data],COLUMN(T_TraitDi[[#This Row],[Jeudi]]),FALSE),"")</f>
        <v/>
      </c>
      <c r="BC79" s="178" t="e">
        <f>IF(VLOOKUP(T_BilanSocial[[#This Row],[NumL]],T_TraitDi[#Data],COLUMN(T_TraitDi[[#This Row],[Colonne21]]),FALSE)=0,"",TEXT(IFERROR(VLOOKUP(T_BilanSocial[[#This Row],[NumL]],T_TraitDi[#Data],COLUMN(T_TraitDi[[#This Row],[Colonne21]]),FALSE),""),"[hh]:mm"))</f>
        <v>#VALUE!</v>
      </c>
      <c r="BD79" s="178" t="e">
        <f>IF(VLOOKUP(T_BilanSocial[[#This Row],[NumL]],T_TraitDi[#Data],COLUMN(T_TraitDi[[#This Row],[Colonne22]]),FALSE)=0,"",TEXT(IFERROR(VLOOKUP(T_BilanSocial[[#This Row],[NumL]],T_TraitDi[#Data],COLUMN(T_TraitDi[[#This Row],[Colonne22]]),FALSE),""),"[hh]:mm"))</f>
        <v>#VALUE!</v>
      </c>
      <c r="BE79" s="178" t="str">
        <f>IFERROR(VLOOKUP(T_BilanSocial[[#This Row],[NumL]],T_TraitDi[#Data],COLUMN(T_TraitDi[[#This Row],[Colonne23]]),FALSE),"")</f>
        <v/>
      </c>
      <c r="BF79" s="178" t="e">
        <f>IF(VLOOKUP(T_BilanSocial[[#This Row],[NumL]],T_TraitDi[#Data],COLUMN(T_TraitDi[[#This Row],[Colonne24]]),FALSE)=0,"",TEXT(IFERROR(VLOOKUP(T_BilanSocial[[#This Row],[NumL]],T_TraitDi[#Data],COLUMN(T_TraitDi[[#This Row],[Colonne24]]),FALSE),""),"[hh]:mm"))</f>
        <v>#VALUE!</v>
      </c>
      <c r="BG79" s="178" t="e">
        <f>IF(VLOOKUP(T_BilanSocial[[#This Row],[NumL]],T_TraitDi[#Data],COLUMN(T_TraitDi[[#This Row],[Colonne25]]),FALSE)=0,"",TEXT(IFERROR(VLOOKUP(T_BilanSocial[[#This Row],[NumL]],T_TraitDi[#Data],COLUMN(T_TraitDi[[#This Row],[Colonne25]]),FALSE),""),"[hh]:mm"))</f>
        <v>#VALUE!</v>
      </c>
      <c r="BH79" s="178" t="e">
        <f>IF(VLOOKUP(T_BilanSocial[[#This Row],[NumL]],T_TraitDi[#Data],COLUMN(T_TraitDi[[#This Row],[Colonne26]]),FALSE)=0,"",TEXT(IFERROR(VLOOKUP(T_BilanSocial[[#This Row],[NumL]],T_TraitDi[#Data],COLUMN(T_TraitDi[[#This Row],[Colonne26]]),FALSE),""),"[hh]:mm"))</f>
        <v>#VALUE!</v>
      </c>
      <c r="BI79" s="172" t="str">
        <f>IFERROR(VLOOKUP(T_BilanSocial[[#This Row],[NumL]],T_TraitDi[#Data],COLUMN(T_TraitDi[[#This Row],[Vendredi]]),FALSE),"")</f>
        <v/>
      </c>
      <c r="BJ79" s="172" t="e">
        <f>IF(VLOOKUP(T_BilanSocial[[#This Row],[NumL]],T_TraitDi[#Data],COLUMN(T_TraitDi[[#This Row],[Colonne27]]),FALSE)=0,"",TEXT(IFERROR(VLOOKUP(T_BilanSocial[[#This Row],[NumL]],T_TraitDi[#Data],COLUMN(T_TraitDi[[#This Row],[Colonne27]]),FALSE),""),"[hh]:mm"))</f>
        <v>#VALUE!</v>
      </c>
      <c r="BK79" s="172" t="e">
        <f>IF(VLOOKUP(T_BilanSocial[[#This Row],[NumL]],T_TraitDi[#Data],COLUMN(T_TraitDi[[#This Row],[Colonne28]]),FALSE)=0,"",TEXT(IFERROR(VLOOKUP(T_BilanSocial[[#This Row],[NumL]],T_TraitDi[#Data],COLUMN(T_TraitDi[[#This Row],[Colonne28]]),FALSE),""),"[hh]:mm"))</f>
        <v>#VALUE!</v>
      </c>
      <c r="BL79" s="172" t="str">
        <f>IFERROR(VLOOKUP(T_BilanSocial[[#This Row],[NumL]],T_TraitDi[#Data],COLUMN(T_TraitDi[[#This Row],[Colonne29]]),FALSE),"")</f>
        <v/>
      </c>
      <c r="BM79" s="172" t="e">
        <f>IF(VLOOKUP(T_BilanSocial[[#This Row],[NumL]],T_TraitDi[#Data],COLUMN(T_TraitDi[[#This Row],[Colonne30]]),FALSE)=0,"",TEXT(IFERROR(VLOOKUP(T_BilanSocial[[#This Row],[NumL]],T_TraitDi[#Data],COLUMN(T_TraitDi[[#This Row],[Colonne30]]),FALSE),""),"[hh]:mm"))</f>
        <v>#VALUE!</v>
      </c>
      <c r="BN79" s="172" t="e">
        <f>IF(VLOOKUP(T_BilanSocial[[#This Row],[NumL]],T_TraitDi[#Data],COLUMN(T_TraitDi[[#This Row],[Colonne31]]),FALSE)=0,"",TEXT(IFERROR(VLOOKUP(T_BilanSocial[[#This Row],[NumL]],T_TraitDi[#Data],COLUMN(T_TraitDi[[#This Row],[Colonne31]]),FALSE),""),"[hh]:mm"))</f>
        <v>#VALUE!</v>
      </c>
      <c r="BO79" s="172" t="e">
        <f>IF(VLOOKUP(T_BilanSocial[[#This Row],[NumL]],T_TraitDi[#Data],COLUMN(T_TraitDi[[#This Row],[Colonne32]]),FALSE)=0,"",TEXT(IFERROR(VLOOKUP(T_BilanSocial[[#This Row],[NumL]],T_TraitDi[#Data],COLUMN(T_TraitDi[[#This Row],[Colonne32]]),FALSE),""),"[hh]:mm"))</f>
        <v>#VALUE!</v>
      </c>
      <c r="BP79" s="172" t="str">
        <f>VLOOKUP(T_BilanSocial[[#This Row],[NumL]],T_TraitDi[#Data],COLUMN(T_TraitDi[NbJTot]),FALSE)</f>
        <v/>
      </c>
      <c r="BQ79" s="174" t="str">
        <f>IFERROR(VLOOKUP(T_BilanSocial[[#This Row],[NumL]],T_TraitDi[#Data],COLUMN(T_TraitDi[[#This Row],[NbJTW]]),FALSE),"")</f>
        <v/>
      </c>
      <c r="BR79" s="174" t="e">
        <f>IF(VLOOKUP(T_BilanSocial[[#This Row],[NumL]],T_TraitDi[#Data],COLUMN(T_TraitDi[[#This Row],[NbhTW]]),FALSE)=0,"",TEXT(IFERROR(VLOOKUP(T_BilanSocial[[#This Row],[NumL]],T_TraitDi[#Data],COLUMN(T_TraitDi[[#This Row],[NbhTW]]),FALSE),""),"[hh]:mm"))</f>
        <v>#VALUE!</v>
      </c>
      <c r="BS79" s="174" t="e">
        <f>IF(VLOOKUP(T_BilanSocial[[#This Row],[NumL]],T_TraitDi[#Data],COLUMN(T_TraitDi[[#This Row],[Nbhheb]]),FALSE)=0,"",TEXT(IFERROR(VLOOKUP($A79,T_TraitDi[#Data],COLUMN(T_TraitDi[[#This Row],[Nbhheb]]),FALSE),""),"[hh]:mm"))</f>
        <v>#VALUE!</v>
      </c>
      <c r="BT79" s="268" t="str">
        <f>IFERROR(VLOOKUP(VLOOKUP($A79,T_TraitDi[#Data],COLUMN(T_TraitDi[[#This Row],[Type1]]),FALSE),TypeTW,2,FALSE),"")</f>
        <v/>
      </c>
      <c r="BU79" s="182" t="str">
        <f>IFERROR(VLOOKUP($A79,T_TraitDi[#Data],COLUMN(T_TraitDi[[#This Row],[Rue1]]),FALSE),"")</f>
        <v/>
      </c>
      <c r="BV79" s="173" t="str">
        <f>IFERROR(VLOOKUP($A79,T_TraitDi[#Data],COLUMN(T_TraitDi[[#This Row],[CP1]]),FALSE),"")</f>
        <v/>
      </c>
      <c r="BW79" s="173" t="str">
        <f>IFERROR(VLOOKUP($A79,T_TraitDi[#Data],COLUMN(T_TraitDi[[#This Row],[VILLE1]]),FALSE),"")</f>
        <v/>
      </c>
      <c r="BX79" s="182" t="str">
        <f>IFERROR(VLOOKUP(VLOOKUP($A79,T_TraitDi[#Data],COLUMN(T_TraitDi[[#This Row],[Type2]]),FALSE),TypeTW,2,FALSE),"")</f>
        <v/>
      </c>
      <c r="BY79" s="182" t="str">
        <f>IFERROR(VLOOKUP($A79,T_TraitDi[#Data],COLUMN(T_TraitDi[[#This Row],[Rue2]]),FALSE),"")</f>
        <v/>
      </c>
      <c r="BZ79" s="173" t="str">
        <f>IFERROR(VLOOKUP($A79,T_TraitDi[#Data],COLUMN(T_TraitDi[[#This Row],[CP2]]),FALSE),"")</f>
        <v/>
      </c>
      <c r="CA79" s="173" t="str">
        <f>IFERROR(VLOOKUP($A79,T_TraitDi[#Data],COLUMN(T_TraitDi[[#This Row],[VILLE2]]),FALSE),"")</f>
        <v/>
      </c>
      <c r="CB79" s="182" t="str">
        <f>IF(VLOOKUP(T_BilanSocial[[#This Row],[NumL]],T_Equipement[#Data],COLUMN(T_Equipement[[#This Row],[PC]]),FALSE)="","Aucun équipement spécifique directement lié au télétravail",VLOOKUP(T_BilanSocial[[#This Row],[NumL]],T_Equipement[#Data],COLUMN(T_Equipement[[#This Row],[PC]]),FALSE))</f>
        <v>18-043	 MAC</v>
      </c>
      <c r="CC79" s="166" t="str">
        <f>IFERROR(IF(VLOOKUP(T_BilanSocial[[#This Row],[NumL]],T_TraitDi[#Data],COLUMN(T_TraitDi[[#This Row],[Plan]]),FALSE)="OK","Un planning spécifique de télétravail est annexé à la présente convention.",""),"")</f>
        <v/>
      </c>
      <c r="CD79" s="185"/>
      <c r="CE79" s="164" t="e">
        <f>IF(VLOOKUP(T_BilanSocial[[#This Row],[NumL]],T_suiviDi[#Data],COLUMN(T_suiviDi[[#This Row],[Entité]]),FALSE)="","",VLOOKUP(T_BilanSocial[[#This Row],[NumL]],T_suiviDi[#Data],COLUMN(T_suiviDi[[#This Row],[Entité]]),FALSE))</f>
        <v>#VALUE!</v>
      </c>
      <c r="CF79" s="164" t="str">
        <f>IF(VLOOKUP(T_BilanSocial[[#This Row],[NumL]],T_Commission[#Data],COLUMN(T_Commission[[#This Row],[envoi confirm TW]]),FALSE)="","",VLOOKUP(T_BilanSocial[[#This Row],[NumL]],T_Commission[#Data],COLUMN(T_Commission[[#This Row],[envoi confirm TW]]),FALSE))</f>
        <v>Oui</v>
      </c>
      <c r="CG7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79" s="262" t="str">
        <f>T_BilanSocial[[#This Row],[Nom]]&amp;T_BilanSocial[[#This Row],[Prenom]]</f>
        <v>AYann</v>
      </c>
      <c r="CI79" s="262">
        <f>VLOOKUP(T_BilanSocial[[#This Row],[NumL]],T_Commission[#Data],COLUMN(T_Commission[Commentaire]),FALSE)</f>
        <v>0</v>
      </c>
      <c r="CJ79" s="262" t="str">
        <f>IF(VLOOKUP(T_BilanSocial[[#This Row],[NumL]],T_Commission[#Data],COLUMN(T_Commission[Encadrant Email]),FALSE)="","",VLOOKUP(T_BilanSocial[[#This Row],[NumL]],T_Commission[#Data],COLUMN(T_Commission[Encadrant Email]),FALSE))</f>
        <v/>
      </c>
      <c r="CK79" s="340" t="str">
        <f>IF(T_BilanSocial[[#This Row],[Final]]&lt;&gt;"",VLOOKUP(T_BilanSocial[[#This Row],[NumL]],T_suiviDi[#Data],COLUMN((T_suiviDi[Statut])),FALSE),"")</f>
        <v/>
      </c>
    </row>
    <row r="80" spans="1:89" s="106" customFormat="1" ht="24.75" customHeight="1" x14ac:dyDescent="0.25">
      <c r="A80" s="160">
        <v>77</v>
      </c>
      <c r="B80" s="161" t="str">
        <f t="shared" si="10"/>
        <v/>
      </c>
      <c r="C80" s="162" t="s">
        <v>3287</v>
      </c>
      <c r="D80" s="95" t="e">
        <f>IF(VLOOKUP(T_BilanSocial[[#This Row],[NumL]],T_TraitDi[#Data],COLUMN(T_TraitDi[[#This Row],[WebC]]),FALSE)="","",VLOOKUP(T_BilanSocial[[#This Row],[NumL]],T_TraitDi[#Data],COLUMN(T_TraitDi[[#This Row],[WebC]]),FALSE))</f>
        <v>#VALUE!</v>
      </c>
      <c r="E80" s="163" t="str">
        <f t="shared" si="11"/>
        <v>12 janvier 2021</v>
      </c>
      <c r="F80" s="96" t="str">
        <f>IF(T_BilanSocial[[#This Row],[Final]]&lt;&gt;"",VLOOKUP(T_BilanSocial[[#This Row],[NumL]],T_suiviDi[#Data],COLUMN((T_suiviDi[Civ.])),FALSE),"")</f>
        <v/>
      </c>
      <c r="G80" s="96" t="str">
        <f>IF(T_BilanSocial[[#This Row],[Final]]&lt;&gt;"",VLOOKUP(T_BilanSocial[[#This Row],[NumL]],T_suiviDi[#Data],COLUMN((T_suiviDi[Nom])),FALSE),"")</f>
        <v/>
      </c>
      <c r="H80" s="96" t="str">
        <f>IF(T_BilanSocial[[#This Row],[Final]]&lt;&gt;"",VLOOKUP(T_BilanSocial[[#This Row],[NumL]],T_suiviDi[#Data],COLUMN((T_suiviDi[Prénom])),FALSE),"")</f>
        <v/>
      </c>
      <c r="I80" s="96" t="str">
        <f>IFERROR(VLOOKUP(T_BilanSocial[[#This Row],[Zone_Bilan]],T_P_BilanSocial[#Data],COLUMN(T_P_BilanSocial[[#This Row],[Numero_SIHAM]]),FALSE),"")</f>
        <v/>
      </c>
      <c r="J80" s="96" t="str">
        <f>IFERROR(VLOOKUP(T_BilanSocial[[#This Row],[Zone_Bilan]],T_P_BilanSocial[#Data],COLUMN(T_P_BilanSocial[[#This Row],[Sexe]]),FALSE),"")</f>
        <v/>
      </c>
      <c r="K80" s="97" t="str">
        <f>IFERROR(VLOOKUP(T_BilanSocial[[#This Row],[Zone_Bilan]],T_P_BilanSocial[#Data],COLUMN(T_P_BilanSocial[[#This Row],[Categorie]]),FALSE),"")</f>
        <v/>
      </c>
      <c r="L80" s="96" t="str">
        <f>IFERROR(VLOOKUP(T_BilanSocial[[#This Row],[Zone_Bilan]],T_P_BilanSocial[#Data],COLUMN(T_P_BilanSocial[[#This Row],[Statut]]),FALSE),"")</f>
        <v/>
      </c>
      <c r="M80" s="96" t="str">
        <f>IFERROR(VLOOKUP(T_BilanSocial[[#This Row],[Zone_Bilan]],T_P_BilanSocial[#Data],COLUMN(T_P_BilanSocial[[#This Row],[Filiere]]),FALSE),"")</f>
        <v/>
      </c>
      <c r="N80" s="96" t="e">
        <f>VLOOKUP(T_BilanSocial[[#This Row],[NumL]],T_TraitDi[#Data],COLUMN(T_TraitDi[EXP]),FALSE)</f>
        <v>#N/A</v>
      </c>
      <c r="O80" s="96" t="e">
        <f>VLOOKUP(T_BilanSocial[[#This Row],[NumL]],T_TraitDi[#Data],COLUMN(T_TraitDi[FORM]),FALSE)</f>
        <v>#N/A</v>
      </c>
      <c r="P80" s="96" t="str">
        <f>IF(T_BilanSocial[[#This Row],[Final]]&lt;&gt;"",VLOOKUP(T_BilanSocial[[#This Row],[NumL]],T_suiviDi[#Data],COLUMN((T_suiviDi[Email])),FALSE),"")</f>
        <v/>
      </c>
      <c r="Q80" s="164" t="e">
        <f t="shared" ref="Q80:Q143" si="17">IF(VLOOKUP($A80,ListeDI,8,FALSE)="","",VLOOKUP($A80,ListeDI,8,FALSE))</f>
        <v>#N/A</v>
      </c>
      <c r="R80" s="164" t="e">
        <f t="shared" ref="R80:R143" si="18">IF(VLOOKUP($A80,ListeDI,9,FALSE)="","",VLOOKUP($A80,ListeDI,9,FALSE))</f>
        <v>#N/A</v>
      </c>
      <c r="S80" s="164" t="e">
        <f>IF(VLOOKUP(T_BilanSocial[[#This Row],[NumL]],T_suiviDi[#Data],COLUMN(T_suiviDi[[#This Row],[Service ]]),FALSE)="","",VLOOKUP(T_BilanSocial[[#This Row],[NumL]],T_suiviDi[#Data],COLUMN(T_suiviDi[[#This Row],[Service ]]),FALSE))</f>
        <v>#VALUE!</v>
      </c>
      <c r="T80" s="164" t="str">
        <f t="shared" si="12"/>
        <v>01 septembre 2021</v>
      </c>
      <c r="U80" s="164" t="str">
        <f t="shared" si="13"/>
        <v>30 novembre 2021</v>
      </c>
      <c r="V80" s="96" t="str">
        <f>TEXT(Datebilan,"jj mmmm aaaa")</f>
        <v>30 novembre 2021</v>
      </c>
      <c r="W80" s="176" t="e">
        <f>IF(VLOOKUP(T_BilanSocial[[#This Row],[NumL]],T_TraitDi[#Data],COLUMN(T_TraitDi[[#This Row],[M1]]),FALSE)="","",VLOOKUP(T_BilanSocial[[#This Row],[NumL]],T_TraitDi[#Data],COLUMN(T_TraitDi[[#This Row],[M1]]),FALSE))</f>
        <v>#VALUE!</v>
      </c>
      <c r="X80" s="176" t="e">
        <f>IF(VLOOKUP(T_BilanSocial[[#This Row],[NumL]],T_TraitDi[#Data],COLUMN(T_TraitDi[[#This Row],[M2]]),FALSE)="","",VLOOKUP(T_BilanSocial[[#This Row],[NumL]],T_TraitDi[#Data],COLUMN(T_TraitDi[[#This Row],[M2]]),FALSE))</f>
        <v>#VALUE!</v>
      </c>
      <c r="Y80" s="176" t="e">
        <f>IF(VLOOKUP(T_BilanSocial[[#This Row],[NumL]],T_TraitDi[#Data],COLUMN(T_TraitDi[[#This Row],[M3]]),FALSE)="","",VLOOKUP(T_BilanSocial[[#This Row],[NumL]],T_TraitDi[#Data],COLUMN(T_TraitDi[[#This Row],[M3]]),FALSE))</f>
        <v>#VALUE!</v>
      </c>
      <c r="Z80" s="176" t="str">
        <f t="shared" si="16"/>
        <v/>
      </c>
      <c r="AA80" s="176" t="e">
        <f>IF(VLOOKUP(T_BilanSocial[[#This Row],[NumL]],T_TraitDi[#Data],COLUMN(T_TraitDi[[#This Row],[M5]]),FALSE)="","",VLOOKUP(T_BilanSocial[[#This Row],[NumL]],T_TraitDi[#Data],COLUMN(T_TraitDi[[#This Row],[M5]]),FALSE))</f>
        <v>#VALUE!</v>
      </c>
      <c r="AB80" s="176" t="e">
        <f>IF(VLOOKUP(T_BilanSocial[[#This Row],[NumL]],T_TraitDi[#Data],COLUMN(T_TraitDi[[#This Row],[M6]]),FALSE)="","",VLOOKUP(T_BilanSocial[[#This Row],[NumL]],T_TraitDi[#Data],COLUMN(T_TraitDi[[#This Row],[M6]]),FALSE))</f>
        <v>#VALUE!</v>
      </c>
      <c r="AC80" s="165" t="e">
        <f t="shared" si="15"/>
        <v>#VALUE!</v>
      </c>
      <c r="AD80" s="188" t="str">
        <f>IFERROR(TEXT(VLOOKUP(T_BilanSocial[[#This Row],[NumL]],T_TraitDi[#Data],COLUMN(T_TraitDi[[#This Row],[Q2]]),FALSE),"###%"),"")</f>
        <v/>
      </c>
      <c r="AE80" s="97" t="e">
        <f>VLOOKUP(T_BilanSocial[[#This Row],[NumL]],T_TraitDi[#Data],COLUMN(T_TraitDi[[#This Row],[Reg Ponct]]),FALSE)</f>
        <v>#VALUE!</v>
      </c>
      <c r="AF80" s="97" t="e">
        <f>VLOOKUP(T_BilanSocial[NumL],T_TraitDi[#Data],COLUMN(T_TraitDi[[#This Row],[Jours flottants]]),FALSE)</f>
        <v>#VALUE!</v>
      </c>
      <c r="AG80" s="97" t="str">
        <f>IFERROR(VLOOKUP(T_BilanSocial[[#This Row],[NumL]],T_TraitDi[#Data],COLUMN(T_TraitDi[[#This Row],[Lundi]]),FALSE),"")</f>
        <v/>
      </c>
      <c r="AH80" s="172" t="e">
        <f>IF(VLOOKUP(T_BilanSocial[[#This Row],[NumL]],T_TraitDi[#Data],COLUMN(T_TraitDi[[#This Row],[Colonne3]]),FALSE)=0,"",TEXT(IFERROR(VLOOKUP(T_BilanSocial[[#This Row],[NumL]],T_TraitDi[#Data],COLUMN(T_TraitDi[[#This Row],[Colonne3]]),FALSE),""),"[hh]:mm"))</f>
        <v>#VALUE!</v>
      </c>
      <c r="AI80" s="172" t="e">
        <f>IF(VLOOKUP(T_BilanSocial[[#This Row],[NumL]],T_TraitDi[#Data],COLUMN(T_TraitDi[[#This Row],[Colonne4]]),FALSE)=0,"",TEXT(IFERROR(VLOOKUP(T_BilanSocial[[#This Row],[NumL]],T_TraitDi[#Data],COLUMN(T_TraitDi[[#This Row],[Colonne4]]),FALSE),""),"[hh]:mm"))</f>
        <v>#VALUE!</v>
      </c>
      <c r="AJ80" s="172" t="e">
        <f>IF(VLOOKUP(T_BilanSocial[[#This Row],[NumL]],T_TraitDi[#Data],COLUMN(T_TraitDi[[#This Row],[Colonne5]]),FALSE)=0,"",TEXT(IFERROR(VLOOKUP(T_BilanSocial[[#This Row],[NumL]],T_TraitDi[#Data],COLUMN(T_TraitDi[[#This Row],[Colonne5]]),FALSE),""),"[hh]:mm"))</f>
        <v>#VALUE!</v>
      </c>
      <c r="AK80" s="172" t="e">
        <f>IF(VLOOKUP(T_BilanSocial[[#This Row],[NumL]],T_TraitDi[#Data],COLUMN(T_TraitDi[[#This Row],[Colonne6]]),FALSE)=0,"",TEXT(IFERROR(VLOOKUP(T_BilanSocial[[#This Row],[NumL]],T_TraitDi[#Data],COLUMN(T_TraitDi[[#This Row],[Colonne6]]),FALSE),""),"[hh]:mm"))</f>
        <v>#VALUE!</v>
      </c>
      <c r="AL80" s="172" t="e">
        <f>IF(VLOOKUP(T_BilanSocial[[#This Row],[NumL]],T_TraitDi[#Data],COLUMN(T_TraitDi[[#This Row],[Colonne7]]),FALSE)=0,"",TEXT(IFERROR(VLOOKUP(T_BilanSocial[[#This Row],[NumL]],T_TraitDi[#Data],COLUMN(T_TraitDi[[#This Row],[Colonne7]]),FALSE),""),"[hh]:mm"))</f>
        <v>#VALUE!</v>
      </c>
      <c r="AM80" s="172" t="e">
        <f>IF(VLOOKUP(T_BilanSocial[[#This Row],[NumL]],T_TraitDi[#Data],COLUMN(T_TraitDi[[#This Row],[Colonne8]]),FALSE)=0,"",TEXT(IFERROR(VLOOKUP(T_BilanSocial[[#This Row],[NumL]],T_TraitDi[#Data],COLUMN(T_TraitDi[[#This Row],[Colonne8]]),FALSE),""),"[hh]:mm"))</f>
        <v>#VALUE!</v>
      </c>
      <c r="AN80" s="172" t="str">
        <f>IFERROR(VLOOKUP(T_BilanSocial[[#This Row],[NumL]],T_TraitDi[#Data],COLUMN(T_TraitDi[[#This Row],[Mardi]]),FALSE),"")</f>
        <v/>
      </c>
      <c r="AO80" s="172" t="e">
        <f>IF(VLOOKUP(T_BilanSocial[[#This Row],[NumL]],T_TraitDi[#Data],COLUMN(T_TraitDi[[#This Row],[Colonne1]]),FALSE)=0,"",TEXT(IFERROR(VLOOKUP(T_BilanSocial[[#This Row],[NumL]],T_TraitDi[#Data],COLUMN(T_TraitDi[[#This Row],[Colonne1]]),FALSE),""),"[hh]:mm"))</f>
        <v>#VALUE!</v>
      </c>
      <c r="AP80" s="172" t="e">
        <f>IF(VLOOKUP(T_BilanSocial[[#This Row],[NumL]],T_TraitDi[#Data],COLUMN(T_TraitDi[[#This Row],[Colonne9]]),FALSE)=0,"",TEXT(IFERROR(VLOOKUP(T_BilanSocial[[#This Row],[NumL]],T_TraitDi[#Data],COLUMN(T_TraitDi[[#This Row],[Colonne9]]),FALSE),""),"[hh]:mm"))</f>
        <v>#VALUE!</v>
      </c>
      <c r="AQ80" s="172" t="str">
        <f>IFERROR(VLOOKUP(T_BilanSocial[[#This Row],[NumL]],T_TraitDi[#Data],COLUMN(T_TraitDi[[#This Row],[Colonne10]]),FALSE),"")</f>
        <v/>
      </c>
      <c r="AR80" s="172" t="e">
        <f>IF(VLOOKUP(T_BilanSocial[[#This Row],[NumL]],T_TraitDi[#Data],COLUMN(T_TraitDi[[#This Row],[Colonne11]]),FALSE)=0,"",TEXT(IFERROR(VLOOKUP(T_BilanSocial[[#This Row],[NumL]],T_TraitDi[#Data],COLUMN(T_TraitDi[[#This Row],[Colonne11]]),FALSE),""),"[hh]:mm"))</f>
        <v>#VALUE!</v>
      </c>
      <c r="AS80" s="172" t="e">
        <f>IF(VLOOKUP(T_BilanSocial[[#This Row],[NumL]],T_TraitDi[#Data],COLUMN(T_TraitDi[[#This Row],[Colonne12]]),FALSE)=0,"",TEXT(IFERROR(VLOOKUP(T_BilanSocial[[#This Row],[NumL]],T_TraitDi[#Data],COLUMN(T_TraitDi[[#This Row],[Colonne12]]),FALSE),""),"[hh]:mm"))</f>
        <v>#VALUE!</v>
      </c>
      <c r="AT80" s="172" t="e">
        <f>IF(VLOOKUP(T_BilanSocial[[#This Row],[NumL]],T_TraitDi[#Data],COLUMN(T_TraitDi[[#This Row],[Colonne14]]),FALSE)=0,"",TEXT(IFERROR(VLOOKUP(T_BilanSocial[[#This Row],[NumL]],T_TraitDi[#Data],COLUMN(T_TraitDi[[#This Row],[Colonne14]]),FALSE),""),"[hh]:mm"))</f>
        <v>#VALUE!</v>
      </c>
      <c r="AU80" s="172" t="str">
        <f>IFERROR(VLOOKUP(T_BilanSocial[[#This Row],[NumL]],T_TraitDi[#Data],COLUMN(T_TraitDi[[#This Row],[Mercredi]]),FALSE),"")</f>
        <v/>
      </c>
      <c r="AV80" s="172" t="e">
        <f>IF(VLOOKUP(T_BilanSocial[[#This Row],[NumL]],T_TraitDi[#Data],COLUMN(T_TraitDi[[#This Row],[Colonne15]]),FALSE)=0,"",TEXT(IFERROR(VLOOKUP(T_BilanSocial[[#This Row],[NumL]],T_TraitDi[#Data],COLUMN(T_TraitDi[[#This Row],[Colonne15]]),FALSE),""),"[hh]:mm"))</f>
        <v>#VALUE!</v>
      </c>
      <c r="AW80" s="172" t="e">
        <f>IF(VLOOKUP(T_BilanSocial[[#This Row],[NumL]],T_TraitDi[#Data],COLUMN(T_TraitDi[[#This Row],[Colonne16]]),FALSE)=0,"",TEXT(IFERROR(VLOOKUP(T_BilanSocial[[#This Row],[NumL]],T_TraitDi[#Data],COLUMN(T_TraitDi[[#This Row],[Colonne16]]),FALSE),""),"[hh]:mm"))</f>
        <v>#VALUE!</v>
      </c>
      <c r="AX80" s="172" t="str">
        <f>IFERROR(VLOOKUP(T_BilanSocial[[#This Row],[NumL]],T_TraitDi[#Data],COLUMN(T_TraitDi[[#This Row],[Colonne17]]),FALSE),"")</f>
        <v/>
      </c>
      <c r="AY80" s="172" t="e">
        <f>IF(VLOOKUP(T_BilanSocial[[#This Row],[NumL]],T_TraitDi[#Data],COLUMN(T_TraitDi[[#This Row],[Colonne18]]),FALSE)=0,"",TEXT(IFERROR(VLOOKUP(T_BilanSocial[[#This Row],[NumL]],T_TraitDi[#Data],COLUMN(T_TraitDi[[#This Row],[Colonne18]]),FALSE),""),"[hh]:mm"))</f>
        <v>#VALUE!</v>
      </c>
      <c r="AZ80" s="172" t="e">
        <f>IF(VLOOKUP(T_BilanSocial[[#This Row],[NumL]],T_TraitDi[#Data],COLUMN(T_TraitDi[[#This Row],[Colonne19]]),FALSE)=0,"",TEXT(IFERROR(VLOOKUP(T_BilanSocial[[#This Row],[NumL]],T_TraitDi[#Data],COLUMN(T_TraitDi[[#This Row],[Colonne19]]),FALSE),""),"[hh]:mm"))</f>
        <v>#VALUE!</v>
      </c>
      <c r="BA80" s="172" t="e">
        <f>IF(VLOOKUP(T_BilanSocial[[#This Row],[NumL]],T_TraitDi[#Data],COLUMN(T_TraitDi[[#This Row],[Colonne20]]),FALSE)=0,"",TEXT(IFERROR(VLOOKUP(T_BilanSocial[[#This Row],[NumL]],T_TraitDi[#Data],COLUMN(T_TraitDi[[#This Row],[Colonne20]]),FALSE),""),"[hh]:mm"))</f>
        <v>#VALUE!</v>
      </c>
      <c r="BB80" s="178" t="str">
        <f>IFERROR(VLOOKUP(T_BilanSocial[[#This Row],[NumL]],T_TraitDi[#Data],COLUMN(T_TraitDi[[#This Row],[Jeudi]]),FALSE),"")</f>
        <v/>
      </c>
      <c r="BC80" s="178" t="e">
        <f>IF(VLOOKUP(T_BilanSocial[[#This Row],[NumL]],T_TraitDi[#Data],COLUMN(T_TraitDi[[#This Row],[Colonne21]]),FALSE)=0,"",TEXT(IFERROR(VLOOKUP(T_BilanSocial[[#This Row],[NumL]],T_TraitDi[#Data],COLUMN(T_TraitDi[[#This Row],[Colonne21]]),FALSE),""),"[hh]:mm"))</f>
        <v>#VALUE!</v>
      </c>
      <c r="BD80" s="178" t="e">
        <f>IF(VLOOKUP(T_BilanSocial[[#This Row],[NumL]],T_TraitDi[#Data],COLUMN(T_TraitDi[[#This Row],[Colonne22]]),FALSE)=0,"",TEXT(IFERROR(VLOOKUP(T_BilanSocial[[#This Row],[NumL]],T_TraitDi[#Data],COLUMN(T_TraitDi[[#This Row],[Colonne22]]),FALSE),""),"[hh]:mm"))</f>
        <v>#VALUE!</v>
      </c>
      <c r="BE80" s="178" t="str">
        <f>IFERROR(VLOOKUP(T_BilanSocial[[#This Row],[NumL]],T_TraitDi[#Data],COLUMN(T_TraitDi[[#This Row],[Colonne23]]),FALSE),"")</f>
        <v/>
      </c>
      <c r="BF80" s="178" t="e">
        <f>IF(VLOOKUP(T_BilanSocial[[#This Row],[NumL]],T_TraitDi[#Data],COLUMN(T_TraitDi[[#This Row],[Colonne24]]),FALSE)=0,"",TEXT(IFERROR(VLOOKUP(T_BilanSocial[[#This Row],[NumL]],T_TraitDi[#Data],COLUMN(T_TraitDi[[#This Row],[Colonne24]]),FALSE),""),"[hh]:mm"))</f>
        <v>#VALUE!</v>
      </c>
      <c r="BG80" s="178" t="e">
        <f>IF(VLOOKUP(T_BilanSocial[[#This Row],[NumL]],T_TraitDi[#Data],COLUMN(T_TraitDi[[#This Row],[Colonne25]]),FALSE)=0,"",TEXT(IFERROR(VLOOKUP(T_BilanSocial[[#This Row],[NumL]],T_TraitDi[#Data],COLUMN(T_TraitDi[[#This Row],[Colonne25]]),FALSE),""),"[hh]:mm"))</f>
        <v>#VALUE!</v>
      </c>
      <c r="BH80" s="178" t="e">
        <f>IF(VLOOKUP(T_BilanSocial[[#This Row],[NumL]],T_TraitDi[#Data],COLUMN(T_TraitDi[[#This Row],[Colonne26]]),FALSE)=0,"",TEXT(IFERROR(VLOOKUP(T_BilanSocial[[#This Row],[NumL]],T_TraitDi[#Data],COLUMN(T_TraitDi[[#This Row],[Colonne26]]),FALSE),""),"[hh]:mm"))</f>
        <v>#VALUE!</v>
      </c>
      <c r="BI80" s="172" t="str">
        <f>IFERROR(VLOOKUP(T_BilanSocial[[#This Row],[NumL]],T_TraitDi[#Data],COLUMN(T_TraitDi[[#This Row],[Vendredi]]),FALSE),"")</f>
        <v/>
      </c>
      <c r="BJ80" s="172" t="e">
        <f>IF(VLOOKUP(T_BilanSocial[[#This Row],[NumL]],T_TraitDi[#Data],COLUMN(T_TraitDi[[#This Row],[Colonne27]]),FALSE)=0,"",TEXT(IFERROR(VLOOKUP(T_BilanSocial[[#This Row],[NumL]],T_TraitDi[#Data],COLUMN(T_TraitDi[[#This Row],[Colonne27]]),FALSE),""),"[hh]:mm"))</f>
        <v>#VALUE!</v>
      </c>
      <c r="BK80" s="172" t="e">
        <f>IF(VLOOKUP(T_BilanSocial[[#This Row],[NumL]],T_TraitDi[#Data],COLUMN(T_TraitDi[[#This Row],[Colonne28]]),FALSE)=0,"",TEXT(IFERROR(VLOOKUP(T_BilanSocial[[#This Row],[NumL]],T_TraitDi[#Data],COLUMN(T_TraitDi[[#This Row],[Colonne28]]),FALSE),""),"[hh]:mm"))</f>
        <v>#VALUE!</v>
      </c>
      <c r="BL80" s="172" t="str">
        <f>IFERROR(VLOOKUP(T_BilanSocial[[#This Row],[NumL]],T_TraitDi[#Data],COLUMN(T_TraitDi[[#This Row],[Colonne29]]),FALSE),"")</f>
        <v/>
      </c>
      <c r="BM80" s="172" t="e">
        <f>IF(VLOOKUP(T_BilanSocial[[#This Row],[NumL]],T_TraitDi[#Data],COLUMN(T_TraitDi[[#This Row],[Colonne30]]),FALSE)=0,"",TEXT(IFERROR(VLOOKUP(T_BilanSocial[[#This Row],[NumL]],T_TraitDi[#Data],COLUMN(T_TraitDi[[#This Row],[Colonne30]]),FALSE),""),"[hh]:mm"))</f>
        <v>#VALUE!</v>
      </c>
      <c r="BN80" s="172" t="e">
        <f>IF(VLOOKUP(T_BilanSocial[[#This Row],[NumL]],T_TraitDi[#Data],COLUMN(T_TraitDi[[#This Row],[Colonne31]]),FALSE)=0,"",TEXT(IFERROR(VLOOKUP(T_BilanSocial[[#This Row],[NumL]],T_TraitDi[#Data],COLUMN(T_TraitDi[[#This Row],[Colonne31]]),FALSE),""),"[hh]:mm"))</f>
        <v>#VALUE!</v>
      </c>
      <c r="BO80" s="172" t="e">
        <f>IF(VLOOKUP(T_BilanSocial[[#This Row],[NumL]],T_TraitDi[#Data],COLUMN(T_TraitDi[[#This Row],[Colonne32]]),FALSE)=0,"",TEXT(IFERROR(VLOOKUP(T_BilanSocial[[#This Row],[NumL]],T_TraitDi[#Data],COLUMN(T_TraitDi[[#This Row],[Colonne32]]),FALSE),""),"[hh]:mm"))</f>
        <v>#VALUE!</v>
      </c>
      <c r="BP80" s="172" t="e">
        <f>VLOOKUP(T_BilanSocial[[#This Row],[NumL]],T_TraitDi[#Data],COLUMN(T_TraitDi[NbJTot]),FALSE)</f>
        <v>#N/A</v>
      </c>
      <c r="BQ80" s="174" t="str">
        <f>IFERROR(VLOOKUP(T_BilanSocial[[#This Row],[NumL]],T_TraitDi[#Data],COLUMN(T_TraitDi[[#This Row],[NbJTW]]),FALSE),"")</f>
        <v/>
      </c>
      <c r="BR80" s="174" t="e">
        <f>IF(VLOOKUP(T_BilanSocial[[#This Row],[NumL]],T_TraitDi[#Data],COLUMN(T_TraitDi[[#This Row],[NbhTW]]),FALSE)=0,"",TEXT(IFERROR(VLOOKUP(T_BilanSocial[[#This Row],[NumL]],T_TraitDi[#Data],COLUMN(T_TraitDi[[#This Row],[NbhTW]]),FALSE),""),"[hh]:mm"))</f>
        <v>#VALUE!</v>
      </c>
      <c r="BS80" s="174" t="e">
        <f>IF(VLOOKUP(T_BilanSocial[[#This Row],[NumL]],T_TraitDi[#Data],COLUMN(T_TraitDi[[#This Row],[Nbhheb]]),FALSE)=0,"",TEXT(IFERROR(VLOOKUP($A80,T_TraitDi[#Data],COLUMN(T_TraitDi[[#This Row],[Nbhheb]]),FALSE),""),"[hh]:mm"))</f>
        <v>#VALUE!</v>
      </c>
      <c r="BT80" s="268" t="str">
        <f>IFERROR(VLOOKUP(VLOOKUP($A80,T_TraitDi[#Data],COLUMN(T_TraitDi[[#This Row],[Type1]]),FALSE),TypeTW,2,FALSE),"")</f>
        <v/>
      </c>
      <c r="BU80" s="182" t="str">
        <f>IFERROR(VLOOKUP($A80,T_TraitDi[#Data],COLUMN(T_TraitDi[[#This Row],[Rue1]]),FALSE),"")</f>
        <v/>
      </c>
      <c r="BV80" s="173" t="str">
        <f>IFERROR(VLOOKUP($A80,T_TraitDi[#Data],COLUMN(T_TraitDi[[#This Row],[CP1]]),FALSE),"")</f>
        <v/>
      </c>
      <c r="BW80" s="173" t="str">
        <f>IFERROR(VLOOKUP($A80,T_TraitDi[#Data],COLUMN(T_TraitDi[[#This Row],[VILLE1]]),FALSE),"")</f>
        <v/>
      </c>
      <c r="BX80" s="182" t="str">
        <f>IFERROR(VLOOKUP(VLOOKUP($A80,T_TraitDi[#Data],COLUMN(T_TraitDi[[#This Row],[Type2]]),FALSE),TypeTW,2,FALSE),"")</f>
        <v/>
      </c>
      <c r="BY80" s="182" t="str">
        <f>IFERROR(VLOOKUP($A80,T_TraitDi[#Data],COLUMN(T_TraitDi[[#This Row],[Rue2]]),FALSE),"")</f>
        <v/>
      </c>
      <c r="BZ80" s="173" t="str">
        <f>IFERROR(VLOOKUP($A80,T_TraitDi[#Data],COLUMN(T_TraitDi[[#This Row],[CP2]]),FALSE),"")</f>
        <v/>
      </c>
      <c r="CA80" s="173" t="str">
        <f>IFERROR(VLOOKUP($A80,T_TraitDi[#Data],COLUMN(T_TraitDi[[#This Row],[VILLE2]]),FALSE),"")</f>
        <v/>
      </c>
      <c r="CB80" s="182" t="str">
        <f>IF(VLOOKUP(T_BilanSocial[[#This Row],[NumL]],T_Equipement[#Data],COLUMN(T_Equipement[[#This Row],[PC]]),FALSE)="","Aucun équipement spécifique directement lié au télétravail",VLOOKUP(T_BilanSocial[[#This Row],[NumL]],T_Equipement[#Data],COLUMN(T_Equipement[[#This Row],[PC]]),FALSE))</f>
        <v xml:space="preserve">20-457	</v>
      </c>
      <c r="CC80" s="166" t="str">
        <f>IFERROR(IF(VLOOKUP(T_BilanSocial[[#This Row],[NumL]],T_TraitDi[#Data],COLUMN(T_TraitDi[[#This Row],[Plan]]),FALSE)="OK","Un planning spécifique de télétravail est annexé à la présente convention.",""),"")</f>
        <v/>
      </c>
      <c r="CD80" s="185"/>
      <c r="CE80" s="164" t="e">
        <f>IF(VLOOKUP(T_BilanSocial[[#This Row],[NumL]],T_suiviDi[#Data],COLUMN(T_suiviDi[[#This Row],[Entité]]),FALSE)="","",VLOOKUP(T_BilanSocial[[#This Row],[NumL]],T_suiviDi[#Data],COLUMN(T_suiviDi[[#This Row],[Entité]]),FALSE))</f>
        <v>#VALUE!</v>
      </c>
      <c r="CF80" s="164" t="str">
        <f>IF(VLOOKUP(T_BilanSocial[[#This Row],[NumL]],T_Commission[#Data],COLUMN(T_Commission[[#This Row],[envoi confirm TW]]),FALSE)="","",VLOOKUP(T_BilanSocial[[#This Row],[NumL]],T_Commission[#Data],COLUMN(T_Commission[[#This Row],[envoi confirm TW]]),FALSE))</f>
        <v>Oui</v>
      </c>
      <c r="CG8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0" s="262" t="str">
        <f>T_BilanSocial[[#This Row],[Nom]]&amp;T_BilanSocial[[#This Row],[Prenom]]</f>
        <v/>
      </c>
      <c r="CI80" s="262">
        <f>VLOOKUP(T_BilanSocial[[#This Row],[NumL]],T_Commission[#Data],COLUMN(T_Commission[Commentaire]),FALSE)</f>
        <v>0</v>
      </c>
      <c r="CJ80" s="262" t="str">
        <f>IF(VLOOKUP(T_BilanSocial[[#This Row],[NumL]],T_Commission[#Data],COLUMN(T_Commission[Encadrant Email]),FALSE)="","",VLOOKUP(T_BilanSocial[[#This Row],[NumL]],T_Commission[#Data],COLUMN(T_Commission[Encadrant Email]),FALSE))</f>
        <v/>
      </c>
      <c r="CK80" s="340" t="str">
        <f>IF(T_BilanSocial[[#This Row],[Final]]&lt;&gt;"",VLOOKUP(T_BilanSocial[[#This Row],[NumL]],T_suiviDi[#Data],COLUMN((T_suiviDi[Statut])),FALSE),"")</f>
        <v/>
      </c>
    </row>
    <row r="81" spans="1:89" s="106" customFormat="1" ht="24.75" customHeight="1" x14ac:dyDescent="0.25">
      <c r="A81" s="160">
        <v>78</v>
      </c>
      <c r="B81" s="161">
        <f t="shared" si="10"/>
        <v>1</v>
      </c>
      <c r="C81" s="162" t="s">
        <v>139</v>
      </c>
      <c r="D81" s="95" t="e">
        <f>IF(VLOOKUP(T_BilanSocial[[#This Row],[NumL]],T_TraitDi[#Data],COLUMN(T_TraitDi[[#This Row],[WebC]]),FALSE)="","",VLOOKUP(T_BilanSocial[[#This Row],[NumL]],T_TraitDi[#Data],COLUMN(T_TraitDi[[#This Row],[WebC]]),FALSE))</f>
        <v>#VALUE!</v>
      </c>
      <c r="E81" s="163" t="str">
        <f t="shared" si="11"/>
        <v>12 janvier 2021</v>
      </c>
      <c r="F81" s="96" t="str">
        <f>IF(T_BilanSocial[[#This Row],[Final]]&lt;&gt;"",VLOOKUP(T_BilanSocial[[#This Row],[NumL]],T_suiviDi[#Data],COLUMN((T_suiviDi[Civ.])),FALSE),"")</f>
        <v>Mme</v>
      </c>
      <c r="G81" s="96" t="str">
        <f>IF(T_BilanSocial[[#This Row],[Final]]&lt;&gt;"",VLOOKUP(T_BilanSocial[[#This Row],[NumL]],T_suiviDi[#Data],COLUMN((T_suiviDi[Nom])),FALSE),"")</f>
        <v>A</v>
      </c>
      <c r="H81" s="96" t="str">
        <f>IF(T_BilanSocial[[#This Row],[Final]]&lt;&gt;"",VLOOKUP(T_BilanSocial[[#This Row],[NumL]],T_suiviDi[#Data],COLUMN((T_suiviDi[Prénom])),FALSE),"")</f>
        <v>Marianne</v>
      </c>
      <c r="I81" s="96" t="str">
        <f>IFERROR(VLOOKUP(T_BilanSocial[[#This Row],[Zone_Bilan]],T_P_BilanSocial[#Data],COLUMN(T_P_BilanSocial[[#This Row],[Numero_SIHAM]]),FALSE),"")</f>
        <v/>
      </c>
      <c r="J81" s="96" t="str">
        <f>IFERROR(VLOOKUP(T_BilanSocial[[#This Row],[Zone_Bilan]],T_P_BilanSocial[#Data],COLUMN(T_P_BilanSocial[[#This Row],[Sexe]]),FALSE),"")</f>
        <v/>
      </c>
      <c r="K81" s="97" t="str">
        <f>IFERROR(VLOOKUP(T_BilanSocial[[#This Row],[Zone_Bilan]],T_P_BilanSocial[#Data],COLUMN(T_P_BilanSocial[[#This Row],[Categorie]]),FALSE),"")</f>
        <v/>
      </c>
      <c r="L81" s="96" t="str">
        <f>IFERROR(VLOOKUP(T_BilanSocial[[#This Row],[Zone_Bilan]],T_P_BilanSocial[#Data],COLUMN(T_P_BilanSocial[[#This Row],[Statut]]),FALSE),"")</f>
        <v/>
      </c>
      <c r="M81" s="96" t="str">
        <f>IFERROR(VLOOKUP(T_BilanSocial[[#This Row],[Zone_Bilan]],T_P_BilanSocial[#Data],COLUMN(T_P_BilanSocial[[#This Row],[Filiere]]),FALSE),"")</f>
        <v/>
      </c>
      <c r="N81" s="96" t="str">
        <f>VLOOKUP(T_BilanSocial[[#This Row],[NumL]],T_TraitDi[#Data],COLUMN(T_TraitDi[EXP]),FALSE)</f>
        <v>N</v>
      </c>
      <c r="O81" s="96" t="str">
        <f>VLOOKUP(T_BilanSocial[[#This Row],[NumL]],T_TraitDi[#Data],COLUMN(T_TraitDi[FORM]),FALSE)</f>
        <v>N</v>
      </c>
      <c r="P81" s="96">
        <f>IF(T_BilanSocial[[#This Row],[Final]]&lt;&gt;"",VLOOKUP(T_BilanSocial[[#This Row],[NumL]],T_suiviDi[#Data],COLUMN((T_suiviDi[Email])),FALSE),"")</f>
        <v>0</v>
      </c>
      <c r="Q81" s="164" t="str">
        <f t="shared" si="17"/>
        <v>Scolarité des masters</v>
      </c>
      <c r="R81" s="164" t="str">
        <f t="shared" si="18"/>
        <v>Gestionnaire de scolarité</v>
      </c>
      <c r="S81" s="164" t="e">
        <f>IF(VLOOKUP(T_BilanSocial[[#This Row],[NumL]],T_suiviDi[#Data],COLUMN(T_suiviDi[[#This Row],[Service ]]),FALSE)="","",VLOOKUP(T_BilanSocial[[#This Row],[NumL]],T_suiviDi[#Data],COLUMN(T_suiviDi[[#This Row],[Service ]]),FALSE))</f>
        <v>#VALUE!</v>
      </c>
      <c r="T81" s="164" t="str">
        <f t="shared" si="12"/>
        <v>01 septembre 2021</v>
      </c>
      <c r="U81" s="164" t="str">
        <f t="shared" si="13"/>
        <v>30 novembre 2021</v>
      </c>
      <c r="V81" s="256">
        <f>Datebilan</f>
        <v>44530</v>
      </c>
      <c r="W81" s="176" t="e">
        <f>IF(VLOOKUP(T_BilanSocial[[#This Row],[NumL]],T_TraitDi[#Data],COLUMN(T_TraitDi[[#This Row],[M1]]),FALSE)="","",VLOOKUP(T_BilanSocial[[#This Row],[NumL]],T_TraitDi[#Data],COLUMN(T_TraitDi[[#This Row],[M1]]),FALSE))</f>
        <v>#VALUE!</v>
      </c>
      <c r="X81" s="176" t="e">
        <f>IF(VLOOKUP(T_BilanSocial[[#This Row],[NumL]],T_TraitDi[#Data],COLUMN(T_TraitDi[[#This Row],[M2]]),FALSE)="","",VLOOKUP(T_BilanSocial[[#This Row],[NumL]],T_TraitDi[#Data],COLUMN(T_TraitDi[[#This Row],[M2]]),FALSE))</f>
        <v>#VALUE!</v>
      </c>
      <c r="Y81" s="176" t="e">
        <f>IF(VLOOKUP(T_BilanSocial[[#This Row],[NumL]],T_TraitDi[#Data],COLUMN(T_TraitDi[[#This Row],[M3]]),FALSE)="","",VLOOKUP(T_BilanSocial[[#This Row],[NumL]],T_TraitDi[#Data],COLUMN(T_TraitDi[[#This Row],[M3]]),FALSE))</f>
        <v>#VALUE!</v>
      </c>
      <c r="Z81" s="176" t="str">
        <f t="shared" si="16"/>
        <v/>
      </c>
      <c r="AA81" s="176" t="e">
        <f>IF(VLOOKUP(T_BilanSocial[[#This Row],[NumL]],T_TraitDi[#Data],COLUMN(T_TraitDi[[#This Row],[M5]]),FALSE)="","",VLOOKUP(T_BilanSocial[[#This Row],[NumL]],T_TraitDi[#Data],COLUMN(T_TraitDi[[#This Row],[M5]]),FALSE))</f>
        <v>#VALUE!</v>
      </c>
      <c r="AB81" s="176" t="e">
        <f>IF(VLOOKUP(T_BilanSocial[[#This Row],[NumL]],T_TraitDi[#Data],COLUMN(T_TraitDi[[#This Row],[M6]]),FALSE)="","",VLOOKUP(T_BilanSocial[[#This Row],[NumL]],T_TraitDi[#Data],COLUMN(T_TraitDi[[#This Row],[M6]]),FALSE))</f>
        <v>#VALUE!</v>
      </c>
      <c r="AC81" s="165" t="e">
        <f t="shared" si="15"/>
        <v>#VALUE!</v>
      </c>
      <c r="AD81" s="188" t="str">
        <f>IFERROR(TEXT(VLOOKUP(T_BilanSocial[[#This Row],[NumL]],T_TraitDi[#Data],COLUMN(T_TraitDi[[#This Row],[Q2]]),FALSE),"###%"),"")</f>
        <v/>
      </c>
      <c r="AE81" s="97" t="e">
        <f>VLOOKUP(T_BilanSocial[[#This Row],[NumL]],T_TraitDi[#Data],COLUMN(T_TraitDi[[#This Row],[Reg Ponct]]),FALSE)</f>
        <v>#VALUE!</v>
      </c>
      <c r="AF81" s="97" t="e">
        <f>VLOOKUP(T_BilanSocial[NumL],T_TraitDi[#Data],COLUMN(T_TraitDi[[#This Row],[Jours flottants]]),FALSE)</f>
        <v>#VALUE!</v>
      </c>
      <c r="AG81" s="97" t="str">
        <f>IFERROR(VLOOKUP(T_BilanSocial[[#This Row],[NumL]],T_TraitDi[#Data],COLUMN(T_TraitDi[[#This Row],[Lundi]]),FALSE),"")</f>
        <v/>
      </c>
      <c r="AH81" s="172" t="e">
        <f>IF(VLOOKUP(T_BilanSocial[[#This Row],[NumL]],T_TraitDi[#Data],COLUMN(T_TraitDi[[#This Row],[Colonne3]]),FALSE)=0,"",TEXT(IFERROR(VLOOKUP(T_BilanSocial[[#This Row],[NumL]],T_TraitDi[#Data],COLUMN(T_TraitDi[[#This Row],[Colonne3]]),FALSE),""),"[hh]:mm"))</f>
        <v>#VALUE!</v>
      </c>
      <c r="AI81" s="172" t="e">
        <f>IF(VLOOKUP(T_BilanSocial[[#This Row],[NumL]],T_TraitDi[#Data],COLUMN(T_TraitDi[[#This Row],[Colonne4]]),FALSE)=0,"",TEXT(IFERROR(VLOOKUP(T_BilanSocial[[#This Row],[NumL]],T_TraitDi[#Data],COLUMN(T_TraitDi[[#This Row],[Colonne4]]),FALSE),""),"[hh]:mm"))</f>
        <v>#VALUE!</v>
      </c>
      <c r="AJ81" s="172" t="e">
        <f>IF(VLOOKUP(T_BilanSocial[[#This Row],[NumL]],T_TraitDi[#Data],COLUMN(T_TraitDi[[#This Row],[Colonne5]]),FALSE)=0,"",TEXT(IFERROR(VLOOKUP(T_BilanSocial[[#This Row],[NumL]],T_TraitDi[#Data],COLUMN(T_TraitDi[[#This Row],[Colonne5]]),FALSE),""),"[hh]:mm"))</f>
        <v>#VALUE!</v>
      </c>
      <c r="AK81" s="172" t="e">
        <f>IF(VLOOKUP(T_BilanSocial[[#This Row],[NumL]],T_TraitDi[#Data],COLUMN(T_TraitDi[[#This Row],[Colonne6]]),FALSE)=0,"",TEXT(IFERROR(VLOOKUP(T_BilanSocial[[#This Row],[NumL]],T_TraitDi[#Data],COLUMN(T_TraitDi[[#This Row],[Colonne6]]),FALSE),""),"[hh]:mm"))</f>
        <v>#VALUE!</v>
      </c>
      <c r="AL81" s="172" t="e">
        <f>IF(VLOOKUP(T_BilanSocial[[#This Row],[NumL]],T_TraitDi[#Data],COLUMN(T_TraitDi[[#This Row],[Colonne7]]),FALSE)=0,"",TEXT(IFERROR(VLOOKUP(T_BilanSocial[[#This Row],[NumL]],T_TraitDi[#Data],COLUMN(T_TraitDi[[#This Row],[Colonne7]]),FALSE),""),"[hh]:mm"))</f>
        <v>#VALUE!</v>
      </c>
      <c r="AM81" s="172" t="e">
        <f>IF(VLOOKUP(T_BilanSocial[[#This Row],[NumL]],T_TraitDi[#Data],COLUMN(T_TraitDi[[#This Row],[Colonne8]]),FALSE)=0,"",TEXT(IFERROR(VLOOKUP(T_BilanSocial[[#This Row],[NumL]],T_TraitDi[#Data],COLUMN(T_TraitDi[[#This Row],[Colonne8]]),FALSE),""),"[hh]:mm"))</f>
        <v>#VALUE!</v>
      </c>
      <c r="AN81" s="172" t="str">
        <f>IFERROR(VLOOKUP(T_BilanSocial[[#This Row],[NumL]],T_TraitDi[#Data],COLUMN(T_TraitDi[[#This Row],[Mardi]]),FALSE),"")</f>
        <v/>
      </c>
      <c r="AO81" s="172" t="e">
        <f>IF(VLOOKUP(T_BilanSocial[[#This Row],[NumL]],T_TraitDi[#Data],COLUMN(T_TraitDi[[#This Row],[Colonne1]]),FALSE)=0,"",TEXT(IFERROR(VLOOKUP(T_BilanSocial[[#This Row],[NumL]],T_TraitDi[#Data],COLUMN(T_TraitDi[[#This Row],[Colonne1]]),FALSE),""),"[hh]:mm"))</f>
        <v>#VALUE!</v>
      </c>
      <c r="AP81" s="172" t="e">
        <f>IF(VLOOKUP(T_BilanSocial[[#This Row],[NumL]],T_TraitDi[#Data],COLUMN(T_TraitDi[[#This Row],[Colonne9]]),FALSE)=0,"",TEXT(IFERROR(VLOOKUP(T_BilanSocial[[#This Row],[NumL]],T_TraitDi[#Data],COLUMN(T_TraitDi[[#This Row],[Colonne9]]),FALSE),""),"[hh]:mm"))</f>
        <v>#VALUE!</v>
      </c>
      <c r="AQ81" s="172" t="str">
        <f>IFERROR(VLOOKUP(T_BilanSocial[[#This Row],[NumL]],T_TraitDi[#Data],COLUMN(T_TraitDi[[#This Row],[Colonne10]]),FALSE),"")</f>
        <v/>
      </c>
      <c r="AR81" s="172" t="e">
        <f>IF(VLOOKUP(T_BilanSocial[[#This Row],[NumL]],T_TraitDi[#Data],COLUMN(T_TraitDi[[#This Row],[Colonne11]]),FALSE)=0,"",TEXT(IFERROR(VLOOKUP(T_BilanSocial[[#This Row],[NumL]],T_TraitDi[#Data],COLUMN(T_TraitDi[[#This Row],[Colonne11]]),FALSE),""),"[hh]:mm"))</f>
        <v>#VALUE!</v>
      </c>
      <c r="AS81" s="172" t="e">
        <f>IF(VLOOKUP(T_BilanSocial[[#This Row],[NumL]],T_TraitDi[#Data],COLUMN(T_TraitDi[[#This Row],[Colonne12]]),FALSE)=0,"",TEXT(IFERROR(VLOOKUP(T_BilanSocial[[#This Row],[NumL]],T_TraitDi[#Data],COLUMN(T_TraitDi[[#This Row],[Colonne12]]),FALSE),""),"[hh]:mm"))</f>
        <v>#VALUE!</v>
      </c>
      <c r="AT81" s="172" t="e">
        <f>IF(VLOOKUP(T_BilanSocial[[#This Row],[NumL]],T_TraitDi[#Data],COLUMN(T_TraitDi[[#This Row],[Colonne14]]),FALSE)=0,"",TEXT(IFERROR(VLOOKUP(T_BilanSocial[[#This Row],[NumL]],T_TraitDi[#Data],COLUMN(T_TraitDi[[#This Row],[Colonne14]]),FALSE),""),"[hh]:mm"))</f>
        <v>#VALUE!</v>
      </c>
      <c r="AU81" s="172" t="str">
        <f>IFERROR(VLOOKUP(T_BilanSocial[[#This Row],[NumL]],T_TraitDi[#Data],COLUMN(T_TraitDi[[#This Row],[Mercredi]]),FALSE),"")</f>
        <v/>
      </c>
      <c r="AV81" s="172" t="e">
        <f>IF(VLOOKUP(T_BilanSocial[[#This Row],[NumL]],T_TraitDi[#Data],COLUMN(T_TraitDi[[#This Row],[Colonne15]]),FALSE)=0,"",TEXT(IFERROR(VLOOKUP(T_BilanSocial[[#This Row],[NumL]],T_TraitDi[#Data],COLUMN(T_TraitDi[[#This Row],[Colonne15]]),FALSE),""),"[hh]:mm"))</f>
        <v>#VALUE!</v>
      </c>
      <c r="AW81" s="172" t="e">
        <f>IF(VLOOKUP(T_BilanSocial[[#This Row],[NumL]],T_TraitDi[#Data],COLUMN(T_TraitDi[[#This Row],[Colonne16]]),FALSE)=0,"",TEXT(IFERROR(VLOOKUP(T_BilanSocial[[#This Row],[NumL]],T_TraitDi[#Data],COLUMN(T_TraitDi[[#This Row],[Colonne16]]),FALSE),""),"[hh]:mm"))</f>
        <v>#VALUE!</v>
      </c>
      <c r="AX81" s="172" t="str">
        <f>IFERROR(VLOOKUP(T_BilanSocial[[#This Row],[NumL]],T_TraitDi[#Data],COLUMN(T_TraitDi[[#This Row],[Colonne17]]),FALSE),"")</f>
        <v/>
      </c>
      <c r="AY81" s="172" t="e">
        <f>IF(VLOOKUP(T_BilanSocial[[#This Row],[NumL]],T_TraitDi[#Data],COLUMN(T_TraitDi[[#This Row],[Colonne18]]),FALSE)=0,"",TEXT(IFERROR(VLOOKUP(T_BilanSocial[[#This Row],[NumL]],T_TraitDi[#Data],COLUMN(T_TraitDi[[#This Row],[Colonne18]]),FALSE),""),"[hh]:mm"))</f>
        <v>#VALUE!</v>
      </c>
      <c r="AZ81" s="172" t="e">
        <f>IF(VLOOKUP(T_BilanSocial[[#This Row],[NumL]],T_TraitDi[#Data],COLUMN(T_TraitDi[[#This Row],[Colonne19]]),FALSE)=0,"",TEXT(IFERROR(VLOOKUP(T_BilanSocial[[#This Row],[NumL]],T_TraitDi[#Data],COLUMN(T_TraitDi[[#This Row],[Colonne19]]),FALSE),""),"[hh]:mm"))</f>
        <v>#VALUE!</v>
      </c>
      <c r="BA81" s="172" t="e">
        <f>IF(VLOOKUP(T_BilanSocial[[#This Row],[NumL]],T_TraitDi[#Data],COLUMN(T_TraitDi[[#This Row],[Colonne20]]),FALSE)=0,"",TEXT(IFERROR(VLOOKUP(T_BilanSocial[[#This Row],[NumL]],T_TraitDi[#Data],COLUMN(T_TraitDi[[#This Row],[Colonne20]]),FALSE),""),"[hh]:mm"))</f>
        <v>#VALUE!</v>
      </c>
      <c r="BB81" s="178" t="str">
        <f>IFERROR(VLOOKUP(T_BilanSocial[[#This Row],[NumL]],T_TraitDi[#Data],COLUMN(T_TraitDi[[#This Row],[Jeudi]]),FALSE),"")</f>
        <v/>
      </c>
      <c r="BC81" s="178" t="e">
        <f>IF(VLOOKUP(T_BilanSocial[[#This Row],[NumL]],T_TraitDi[#Data],COLUMN(T_TraitDi[[#This Row],[Colonne21]]),FALSE)=0,"",TEXT(IFERROR(VLOOKUP(T_BilanSocial[[#This Row],[NumL]],T_TraitDi[#Data],COLUMN(T_TraitDi[[#This Row],[Colonne21]]),FALSE),""),"[hh]:mm"))</f>
        <v>#VALUE!</v>
      </c>
      <c r="BD81" s="178" t="e">
        <f>IF(VLOOKUP(T_BilanSocial[[#This Row],[NumL]],T_TraitDi[#Data],COLUMN(T_TraitDi[[#This Row],[Colonne22]]),FALSE)=0,"",TEXT(IFERROR(VLOOKUP(T_BilanSocial[[#This Row],[NumL]],T_TraitDi[#Data],COLUMN(T_TraitDi[[#This Row],[Colonne22]]),FALSE),""),"[hh]:mm"))</f>
        <v>#VALUE!</v>
      </c>
      <c r="BE81" s="178" t="str">
        <f>IFERROR(VLOOKUP(T_BilanSocial[[#This Row],[NumL]],T_TraitDi[#Data],COLUMN(T_TraitDi[[#This Row],[Colonne23]]),FALSE),"")</f>
        <v/>
      </c>
      <c r="BF81" s="178" t="e">
        <f>IF(VLOOKUP(T_BilanSocial[[#This Row],[NumL]],T_TraitDi[#Data],COLUMN(T_TraitDi[[#This Row],[Colonne24]]),FALSE)=0,"",TEXT(IFERROR(VLOOKUP(T_BilanSocial[[#This Row],[NumL]],T_TraitDi[#Data],COLUMN(T_TraitDi[[#This Row],[Colonne24]]),FALSE),""),"[hh]:mm"))</f>
        <v>#VALUE!</v>
      </c>
      <c r="BG81" s="178" t="e">
        <f>IF(VLOOKUP(T_BilanSocial[[#This Row],[NumL]],T_TraitDi[#Data],COLUMN(T_TraitDi[[#This Row],[Colonne25]]),FALSE)=0,"",TEXT(IFERROR(VLOOKUP(T_BilanSocial[[#This Row],[NumL]],T_TraitDi[#Data],COLUMN(T_TraitDi[[#This Row],[Colonne25]]),FALSE),""),"[hh]:mm"))</f>
        <v>#VALUE!</v>
      </c>
      <c r="BH81" s="178" t="e">
        <f>IF(VLOOKUP(T_BilanSocial[[#This Row],[NumL]],T_TraitDi[#Data],COLUMN(T_TraitDi[[#This Row],[Colonne26]]),FALSE)=0,"",TEXT(IFERROR(VLOOKUP(T_BilanSocial[[#This Row],[NumL]],T_TraitDi[#Data],COLUMN(T_TraitDi[[#This Row],[Colonne26]]),FALSE),""),"[hh]:mm"))</f>
        <v>#VALUE!</v>
      </c>
      <c r="BI81" s="172" t="str">
        <f>IFERROR(VLOOKUP(T_BilanSocial[[#This Row],[NumL]],T_TraitDi[#Data],COLUMN(T_TraitDi[[#This Row],[Vendredi]]),FALSE),"")</f>
        <v/>
      </c>
      <c r="BJ81" s="172" t="e">
        <f>IF(VLOOKUP(T_BilanSocial[[#This Row],[NumL]],T_TraitDi[#Data],COLUMN(T_TraitDi[[#This Row],[Colonne27]]),FALSE)=0,"",TEXT(IFERROR(VLOOKUP(T_BilanSocial[[#This Row],[NumL]],T_TraitDi[#Data],COLUMN(T_TraitDi[[#This Row],[Colonne27]]),FALSE),""),"[hh]:mm"))</f>
        <v>#VALUE!</v>
      </c>
      <c r="BK81" s="172" t="e">
        <f>IF(VLOOKUP(T_BilanSocial[[#This Row],[NumL]],T_TraitDi[#Data],COLUMN(T_TraitDi[[#This Row],[Colonne28]]),FALSE)=0,"",TEXT(IFERROR(VLOOKUP(T_BilanSocial[[#This Row],[NumL]],T_TraitDi[#Data],COLUMN(T_TraitDi[[#This Row],[Colonne28]]),FALSE),""),"[hh]:mm"))</f>
        <v>#VALUE!</v>
      </c>
      <c r="BL81" s="172" t="str">
        <f>IFERROR(VLOOKUP(T_BilanSocial[[#This Row],[NumL]],T_TraitDi[#Data],COLUMN(T_TraitDi[[#This Row],[Colonne29]]),FALSE),"")</f>
        <v/>
      </c>
      <c r="BM81" s="172" t="e">
        <f>IF(VLOOKUP(T_BilanSocial[[#This Row],[NumL]],T_TraitDi[#Data],COLUMN(T_TraitDi[[#This Row],[Colonne30]]),FALSE)=0,"",TEXT(IFERROR(VLOOKUP(T_BilanSocial[[#This Row],[NumL]],T_TraitDi[#Data],COLUMN(T_TraitDi[[#This Row],[Colonne30]]),FALSE),""),"[hh]:mm"))</f>
        <v>#VALUE!</v>
      </c>
      <c r="BN81" s="172" t="e">
        <f>IF(VLOOKUP(T_BilanSocial[[#This Row],[NumL]],T_TraitDi[#Data],COLUMN(T_TraitDi[[#This Row],[Colonne31]]),FALSE)=0,"",TEXT(IFERROR(VLOOKUP(T_BilanSocial[[#This Row],[NumL]],T_TraitDi[#Data],COLUMN(T_TraitDi[[#This Row],[Colonne31]]),FALSE),""),"[hh]:mm"))</f>
        <v>#VALUE!</v>
      </c>
      <c r="BO81" s="172" t="e">
        <f>IF(VLOOKUP(T_BilanSocial[[#This Row],[NumL]],T_TraitDi[#Data],COLUMN(T_TraitDi[[#This Row],[Colonne32]]),FALSE)=0,"",TEXT(IFERROR(VLOOKUP(T_BilanSocial[[#This Row],[NumL]],T_TraitDi[#Data],COLUMN(T_TraitDi[[#This Row],[Colonne32]]),FALSE),""),"[hh]:mm"))</f>
        <v>#VALUE!</v>
      </c>
      <c r="BP81" s="172">
        <f>VLOOKUP(T_BilanSocial[[#This Row],[NumL]],T_TraitDi[#Data],COLUMN(T_TraitDi[NbJTot]),FALSE)</f>
        <v>5</v>
      </c>
      <c r="BQ81" s="174" t="str">
        <f>IFERROR(VLOOKUP(T_BilanSocial[[#This Row],[NumL]],T_TraitDi[#Data],COLUMN(T_TraitDi[[#This Row],[NbJTW]]),FALSE),"")</f>
        <v/>
      </c>
      <c r="BR81" s="174" t="e">
        <f>IF(VLOOKUP(T_BilanSocial[[#This Row],[NumL]],T_TraitDi[#Data],COLUMN(T_TraitDi[[#This Row],[NbhTW]]),FALSE)=0,"",TEXT(IFERROR(VLOOKUP(T_BilanSocial[[#This Row],[NumL]],T_TraitDi[#Data],COLUMN(T_TraitDi[[#This Row],[NbhTW]]),FALSE),""),"[hh]:mm"))</f>
        <v>#VALUE!</v>
      </c>
      <c r="BS81" s="174" t="e">
        <f>IF(VLOOKUP(T_BilanSocial[[#This Row],[NumL]],T_TraitDi[#Data],COLUMN(T_TraitDi[[#This Row],[Nbhheb]]),FALSE)=0,"",TEXT(IFERROR(VLOOKUP($A81,T_TraitDi[#Data],COLUMN(T_TraitDi[[#This Row],[Nbhheb]]),FALSE),""),"[hh]:mm"))</f>
        <v>#VALUE!</v>
      </c>
      <c r="BT81" s="268" t="str">
        <f>IFERROR(VLOOKUP(VLOOKUP($A81,T_TraitDi[#Data],COLUMN(T_TraitDi[[#This Row],[Type1]]),FALSE),TypeTW,2,FALSE),"")</f>
        <v/>
      </c>
      <c r="BU81" s="182" t="str">
        <f>IFERROR(VLOOKUP($A81,T_TraitDi[#Data],COLUMN(T_TraitDi[[#This Row],[Rue1]]),FALSE),"")</f>
        <v/>
      </c>
      <c r="BV81" s="173" t="str">
        <f>IFERROR(VLOOKUP($A81,T_TraitDi[#Data],COLUMN(T_TraitDi[[#This Row],[CP1]]),FALSE),"")</f>
        <v/>
      </c>
      <c r="BW81" s="173" t="str">
        <f>IFERROR(VLOOKUP($A81,T_TraitDi[#Data],COLUMN(T_TraitDi[[#This Row],[VILLE1]]),FALSE),"")</f>
        <v/>
      </c>
      <c r="BX81" s="182" t="str">
        <f>IFERROR(VLOOKUP(VLOOKUP($A81,T_TraitDi[#Data],COLUMN(T_TraitDi[[#This Row],[Type2]]),FALSE),TypeTW,2,FALSE),"")</f>
        <v/>
      </c>
      <c r="BY81" s="182" t="str">
        <f>IFERROR(VLOOKUP($A81,T_TraitDi[#Data],COLUMN(T_TraitDi[[#This Row],[Rue2]]),FALSE),"")</f>
        <v/>
      </c>
      <c r="BZ81" s="173" t="str">
        <f>IFERROR(VLOOKUP($A81,T_TraitDi[#Data],COLUMN(T_TraitDi[[#This Row],[CP2]]),FALSE),"")</f>
        <v/>
      </c>
      <c r="CA81" s="173" t="str">
        <f>IFERROR(VLOOKUP($A81,T_TraitDi[#Data],COLUMN(T_TraitDi[[#This Row],[VILLE2]]),FALSE),"")</f>
        <v/>
      </c>
      <c r="CB81" s="182" t="str">
        <f>IF(VLOOKUP(T_BilanSocial[[#This Row],[NumL]],T_Equipement[#Data],COLUMN(T_Equipement[[#This Row],[PC]]),FALSE)="","Aucun équipement spécifique directement lié au télétravail",VLOOKUP(T_BilanSocial[[#This Row],[NumL]],T_Equipement[#Data],COLUMN(T_Equipement[[#This Row],[PC]]),FALSE))</f>
        <v xml:space="preserve">20-444	</v>
      </c>
      <c r="CC81" s="166" t="str">
        <f>IFERROR(IF(VLOOKUP(T_BilanSocial[[#This Row],[NumL]],T_TraitDi[#Data],COLUMN(T_TraitDi[[#This Row],[Plan]]),FALSE)="OK","Un planning spécifique de télétravail est annexé à la présente convention.",""),"")</f>
        <v/>
      </c>
      <c r="CD81" s="185"/>
      <c r="CE81" s="164" t="e">
        <f>IF(VLOOKUP(T_BilanSocial[[#This Row],[NumL]],T_suiviDi[#Data],COLUMN(T_suiviDi[[#This Row],[Entité]]),FALSE)="","",VLOOKUP(T_BilanSocial[[#This Row],[NumL]],T_suiviDi[#Data],COLUMN(T_suiviDi[[#This Row],[Entité]]),FALSE))</f>
        <v>#VALUE!</v>
      </c>
      <c r="CF81" s="164" t="str">
        <f>IF(VLOOKUP(T_BilanSocial[[#This Row],[NumL]],T_Commission[#Data],COLUMN(T_Commission[[#This Row],[envoi confirm TW]]),FALSE)="","",VLOOKUP(T_BilanSocial[[#This Row],[NumL]],T_Commission[#Data],COLUMN(T_Commission[[#This Row],[envoi confirm TW]]),FALSE))</f>
        <v>Oui</v>
      </c>
      <c r="CG8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1" s="262" t="str">
        <f>T_BilanSocial[[#This Row],[Nom]]&amp;T_BilanSocial[[#This Row],[Prenom]]</f>
        <v>AMarianne</v>
      </c>
      <c r="CI81" s="262">
        <f>VLOOKUP(T_BilanSocial[[#This Row],[NumL]],T_Commission[#Data],COLUMN(T_Commission[Commentaire]),FALSE)</f>
        <v>0</v>
      </c>
      <c r="CJ81" s="262" t="str">
        <f>IF(VLOOKUP(T_BilanSocial[[#This Row],[NumL]],T_Commission[#Data],COLUMN(T_Commission[Encadrant Email]),FALSE)="","",VLOOKUP(T_BilanSocial[[#This Row],[NumL]],T_Commission[#Data],COLUMN(T_Commission[Encadrant Email]),FALSE))</f>
        <v/>
      </c>
      <c r="CK81" s="340" t="str">
        <f>IF(T_BilanSocial[[#This Row],[Final]]&lt;&gt;"",VLOOKUP(T_BilanSocial[[#This Row],[NumL]],T_suiviDi[#Data],COLUMN((T_suiviDi[Statut])),FALSE),"")</f>
        <v>ENCOURS</v>
      </c>
    </row>
    <row r="82" spans="1:89" s="106" customFormat="1" ht="24.75" customHeight="1" x14ac:dyDescent="0.25">
      <c r="A82" s="160">
        <v>79</v>
      </c>
      <c r="B82" s="161" t="str">
        <f t="shared" si="10"/>
        <v/>
      </c>
      <c r="C82" s="162" t="s">
        <v>139</v>
      </c>
      <c r="D82" s="95" t="e">
        <f>IF(VLOOKUP(T_BilanSocial[[#This Row],[NumL]],T_TraitDi[#Data],COLUMN(T_TraitDi[[#This Row],[WebC]]),FALSE)="","",VLOOKUP(T_BilanSocial[[#This Row],[NumL]],T_TraitDi[#Data],COLUMN(T_TraitDi[[#This Row],[WebC]]),FALSE))</f>
        <v>#VALUE!</v>
      </c>
      <c r="E82" s="163" t="str">
        <f t="shared" si="11"/>
        <v>12 janvier 2021</v>
      </c>
      <c r="F82" s="96" t="str">
        <f>IF(T_BilanSocial[[#This Row],[Final]]&lt;&gt;"",VLOOKUP(T_BilanSocial[[#This Row],[NumL]],T_suiviDi[#Data],COLUMN((T_suiviDi[Civ.])),FALSE),"")</f>
        <v/>
      </c>
      <c r="G82" s="96" t="str">
        <f>IF(T_BilanSocial[[#This Row],[Final]]&lt;&gt;"",VLOOKUP(T_BilanSocial[[#This Row],[NumL]],T_suiviDi[#Data],COLUMN((T_suiviDi[Nom])),FALSE),"")</f>
        <v/>
      </c>
      <c r="H82" s="96" t="str">
        <f>IF(T_BilanSocial[[#This Row],[Final]]&lt;&gt;"",VLOOKUP(T_BilanSocial[[#This Row],[NumL]],T_suiviDi[#Data],COLUMN((T_suiviDi[Prénom])),FALSE),"")</f>
        <v/>
      </c>
      <c r="I82" s="96" t="str">
        <f>IFERROR(VLOOKUP(T_BilanSocial[[#This Row],[Zone_Bilan]],T_P_BilanSocial[#Data],COLUMN(T_P_BilanSocial[[#This Row],[Numero_SIHAM]]),FALSE),"")</f>
        <v/>
      </c>
      <c r="J82" s="96" t="str">
        <f>IFERROR(VLOOKUP(T_BilanSocial[[#This Row],[Zone_Bilan]],T_P_BilanSocial[#Data],COLUMN(T_P_BilanSocial[[#This Row],[Sexe]]),FALSE),"")</f>
        <v/>
      </c>
      <c r="K82" s="97" t="str">
        <f>IFERROR(VLOOKUP(T_BilanSocial[[#This Row],[Zone_Bilan]],T_P_BilanSocial[#Data],COLUMN(T_P_BilanSocial[[#This Row],[Categorie]]),FALSE),"")</f>
        <v/>
      </c>
      <c r="L82" s="96" t="str">
        <f>IFERROR(VLOOKUP(T_BilanSocial[[#This Row],[Zone_Bilan]],T_P_BilanSocial[#Data],COLUMN(T_P_BilanSocial[[#This Row],[Statut]]),FALSE),"")</f>
        <v/>
      </c>
      <c r="M82" s="96" t="str">
        <f>IFERROR(VLOOKUP(T_BilanSocial[[#This Row],[Zone_Bilan]],T_P_BilanSocial[#Data],COLUMN(T_P_BilanSocial[[#This Row],[Filiere]]),FALSE),"")</f>
        <v/>
      </c>
      <c r="N82" s="96" t="e">
        <f>VLOOKUP(T_BilanSocial[[#This Row],[NumL]],T_TraitDi[#Data],COLUMN(T_TraitDi[EXP]),FALSE)</f>
        <v>#N/A</v>
      </c>
      <c r="O82" s="96" t="e">
        <f>VLOOKUP(T_BilanSocial[[#This Row],[NumL]],T_TraitDi[#Data],COLUMN(T_TraitDi[FORM]),FALSE)</f>
        <v>#N/A</v>
      </c>
      <c r="P82" s="96" t="str">
        <f>IF(T_BilanSocial[[#This Row],[Final]]&lt;&gt;"",VLOOKUP(T_BilanSocial[[#This Row],[NumL]],T_suiviDi[#Data],COLUMN((T_suiviDi[Email])),FALSE),"")</f>
        <v/>
      </c>
      <c r="Q82" s="164" t="e">
        <f t="shared" si="17"/>
        <v>#N/A</v>
      </c>
      <c r="R82" s="164" t="e">
        <f t="shared" si="18"/>
        <v>#N/A</v>
      </c>
      <c r="S82" s="164" t="e">
        <f>IF(VLOOKUP(T_BilanSocial[[#This Row],[NumL]],T_suiviDi[#Data],COLUMN(T_suiviDi[[#This Row],[Service ]]),FALSE)="","",VLOOKUP(T_BilanSocial[[#This Row],[NumL]],T_suiviDi[#Data],COLUMN(T_suiviDi[[#This Row],[Service ]]),FALSE))</f>
        <v>#VALUE!</v>
      </c>
      <c r="T82" s="164" t="str">
        <f t="shared" si="12"/>
        <v>01 septembre 2021</v>
      </c>
      <c r="U82" s="164" t="str">
        <f t="shared" si="13"/>
        <v>30 novembre 2021</v>
      </c>
      <c r="V82" s="96" t="str">
        <f t="shared" ref="V82:V91" si="19">TEXT(Datebilan,"jj mmmm aaaa")</f>
        <v>30 novembre 2021</v>
      </c>
      <c r="W82" s="176" t="e">
        <f>IF(VLOOKUP(T_BilanSocial[[#This Row],[NumL]],T_TraitDi[#Data],COLUMN(T_TraitDi[[#This Row],[M1]]),FALSE)="","",VLOOKUP(T_BilanSocial[[#This Row],[NumL]],T_TraitDi[#Data],COLUMN(T_TraitDi[[#This Row],[M1]]),FALSE))</f>
        <v>#VALUE!</v>
      </c>
      <c r="X82" s="176" t="e">
        <f>IF(VLOOKUP(T_BilanSocial[[#This Row],[NumL]],T_TraitDi[#Data],COLUMN(T_TraitDi[[#This Row],[M2]]),FALSE)="","",VLOOKUP(T_BilanSocial[[#This Row],[NumL]],T_TraitDi[#Data],COLUMN(T_TraitDi[[#This Row],[M2]]),FALSE))</f>
        <v>#VALUE!</v>
      </c>
      <c r="Y82" s="176" t="e">
        <f>IF(VLOOKUP(T_BilanSocial[[#This Row],[NumL]],T_TraitDi[#Data],COLUMN(T_TraitDi[[#This Row],[M3]]),FALSE)="","",VLOOKUP(T_BilanSocial[[#This Row],[NumL]],T_TraitDi[#Data],COLUMN(T_TraitDi[[#This Row],[M3]]),FALSE))</f>
        <v>#VALUE!</v>
      </c>
      <c r="Z82" s="176" t="str">
        <f t="shared" si="16"/>
        <v/>
      </c>
      <c r="AA82" s="176" t="e">
        <f>IF(VLOOKUP(T_BilanSocial[[#This Row],[NumL]],T_TraitDi[#Data],COLUMN(T_TraitDi[[#This Row],[M5]]),FALSE)="","",VLOOKUP(T_BilanSocial[[#This Row],[NumL]],T_TraitDi[#Data],COLUMN(T_TraitDi[[#This Row],[M5]]),FALSE))</f>
        <v>#VALUE!</v>
      </c>
      <c r="AB82" s="176" t="e">
        <f>IF(VLOOKUP(T_BilanSocial[[#This Row],[NumL]],T_TraitDi[#Data],COLUMN(T_TraitDi[[#This Row],[M6]]),FALSE)="","",VLOOKUP(T_BilanSocial[[#This Row],[NumL]],T_TraitDi[#Data],COLUMN(T_TraitDi[[#This Row],[M6]]),FALSE))</f>
        <v>#VALUE!</v>
      </c>
      <c r="AC82" s="165" t="e">
        <f t="shared" si="15"/>
        <v>#VALUE!</v>
      </c>
      <c r="AD82" s="188" t="str">
        <f>IFERROR(TEXT(VLOOKUP(T_BilanSocial[[#This Row],[NumL]],T_TraitDi[#Data],COLUMN(T_TraitDi[[#This Row],[Q2]]),FALSE),"###%"),"")</f>
        <v/>
      </c>
      <c r="AE82" s="97" t="e">
        <f>VLOOKUP(T_BilanSocial[[#This Row],[NumL]],T_TraitDi[#Data],COLUMN(T_TraitDi[[#This Row],[Reg Ponct]]),FALSE)</f>
        <v>#VALUE!</v>
      </c>
      <c r="AF82" s="97" t="e">
        <f>VLOOKUP(T_BilanSocial[NumL],T_TraitDi[#Data],COLUMN(T_TraitDi[[#This Row],[Jours flottants]]),FALSE)</f>
        <v>#VALUE!</v>
      </c>
      <c r="AG82" s="97" t="str">
        <f>IFERROR(VLOOKUP(T_BilanSocial[[#This Row],[NumL]],T_TraitDi[#Data],COLUMN(T_TraitDi[[#This Row],[Lundi]]),FALSE),"")</f>
        <v/>
      </c>
      <c r="AH82" s="172" t="e">
        <f>IF(VLOOKUP(T_BilanSocial[[#This Row],[NumL]],T_TraitDi[#Data],COLUMN(T_TraitDi[[#This Row],[Colonne3]]),FALSE)=0,"",TEXT(IFERROR(VLOOKUP(T_BilanSocial[[#This Row],[NumL]],T_TraitDi[#Data],COLUMN(T_TraitDi[[#This Row],[Colonne3]]),FALSE),""),"[hh]:mm"))</f>
        <v>#VALUE!</v>
      </c>
      <c r="AI82" s="172" t="e">
        <f>IF(VLOOKUP(T_BilanSocial[[#This Row],[NumL]],T_TraitDi[#Data],COLUMN(T_TraitDi[[#This Row],[Colonne4]]),FALSE)=0,"",TEXT(IFERROR(VLOOKUP(T_BilanSocial[[#This Row],[NumL]],T_TraitDi[#Data],COLUMN(T_TraitDi[[#This Row],[Colonne4]]),FALSE),""),"[hh]:mm"))</f>
        <v>#VALUE!</v>
      </c>
      <c r="AJ82" s="172" t="e">
        <f>IF(VLOOKUP(T_BilanSocial[[#This Row],[NumL]],T_TraitDi[#Data],COLUMN(T_TraitDi[[#This Row],[Colonne5]]),FALSE)=0,"",TEXT(IFERROR(VLOOKUP(T_BilanSocial[[#This Row],[NumL]],T_TraitDi[#Data],COLUMN(T_TraitDi[[#This Row],[Colonne5]]),FALSE),""),"[hh]:mm"))</f>
        <v>#VALUE!</v>
      </c>
      <c r="AK82" s="172" t="e">
        <f>IF(VLOOKUP(T_BilanSocial[[#This Row],[NumL]],T_TraitDi[#Data],COLUMN(T_TraitDi[[#This Row],[Colonne6]]),FALSE)=0,"",TEXT(IFERROR(VLOOKUP(T_BilanSocial[[#This Row],[NumL]],T_TraitDi[#Data],COLUMN(T_TraitDi[[#This Row],[Colonne6]]),FALSE),""),"[hh]:mm"))</f>
        <v>#VALUE!</v>
      </c>
      <c r="AL82" s="172" t="e">
        <f>IF(VLOOKUP(T_BilanSocial[[#This Row],[NumL]],T_TraitDi[#Data],COLUMN(T_TraitDi[[#This Row],[Colonne7]]),FALSE)=0,"",TEXT(IFERROR(VLOOKUP(T_BilanSocial[[#This Row],[NumL]],T_TraitDi[#Data],COLUMN(T_TraitDi[[#This Row],[Colonne7]]),FALSE),""),"[hh]:mm"))</f>
        <v>#VALUE!</v>
      </c>
      <c r="AM82" s="172" t="e">
        <f>IF(VLOOKUP(T_BilanSocial[[#This Row],[NumL]],T_TraitDi[#Data],COLUMN(T_TraitDi[[#This Row],[Colonne8]]),FALSE)=0,"",TEXT(IFERROR(VLOOKUP(T_BilanSocial[[#This Row],[NumL]],T_TraitDi[#Data],COLUMN(T_TraitDi[[#This Row],[Colonne8]]),FALSE),""),"[hh]:mm"))</f>
        <v>#VALUE!</v>
      </c>
      <c r="AN82" s="172" t="str">
        <f>IFERROR(VLOOKUP(T_BilanSocial[[#This Row],[NumL]],T_TraitDi[#Data],COLUMN(T_TraitDi[[#This Row],[Mardi]]),FALSE),"")</f>
        <v/>
      </c>
      <c r="AO82" s="172" t="e">
        <f>IF(VLOOKUP(T_BilanSocial[[#This Row],[NumL]],T_TraitDi[#Data],COLUMN(T_TraitDi[[#This Row],[Colonne1]]),FALSE)=0,"",TEXT(IFERROR(VLOOKUP(T_BilanSocial[[#This Row],[NumL]],T_TraitDi[#Data],COLUMN(T_TraitDi[[#This Row],[Colonne1]]),FALSE),""),"[hh]:mm"))</f>
        <v>#VALUE!</v>
      </c>
      <c r="AP82" s="172" t="e">
        <f>IF(VLOOKUP(T_BilanSocial[[#This Row],[NumL]],T_TraitDi[#Data],COLUMN(T_TraitDi[[#This Row],[Colonne9]]),FALSE)=0,"",TEXT(IFERROR(VLOOKUP(T_BilanSocial[[#This Row],[NumL]],T_TraitDi[#Data],COLUMN(T_TraitDi[[#This Row],[Colonne9]]),FALSE),""),"[hh]:mm"))</f>
        <v>#VALUE!</v>
      </c>
      <c r="AQ82" s="172" t="str">
        <f>IFERROR(VLOOKUP(T_BilanSocial[[#This Row],[NumL]],T_TraitDi[#Data],COLUMN(T_TraitDi[[#This Row],[Colonne10]]),FALSE),"")</f>
        <v/>
      </c>
      <c r="AR82" s="172" t="e">
        <f>IF(VLOOKUP(T_BilanSocial[[#This Row],[NumL]],T_TraitDi[#Data],COLUMN(T_TraitDi[[#This Row],[Colonne11]]),FALSE)=0,"",TEXT(IFERROR(VLOOKUP(T_BilanSocial[[#This Row],[NumL]],T_TraitDi[#Data],COLUMN(T_TraitDi[[#This Row],[Colonne11]]),FALSE),""),"[hh]:mm"))</f>
        <v>#VALUE!</v>
      </c>
      <c r="AS82" s="172" t="e">
        <f>IF(VLOOKUP(T_BilanSocial[[#This Row],[NumL]],T_TraitDi[#Data],COLUMN(T_TraitDi[[#This Row],[Colonne12]]),FALSE)=0,"",TEXT(IFERROR(VLOOKUP(T_BilanSocial[[#This Row],[NumL]],T_TraitDi[#Data],COLUMN(T_TraitDi[[#This Row],[Colonne12]]),FALSE),""),"[hh]:mm"))</f>
        <v>#VALUE!</v>
      </c>
      <c r="AT82" s="172" t="e">
        <f>IF(VLOOKUP(T_BilanSocial[[#This Row],[NumL]],T_TraitDi[#Data],COLUMN(T_TraitDi[[#This Row],[Colonne14]]),FALSE)=0,"",TEXT(IFERROR(VLOOKUP(T_BilanSocial[[#This Row],[NumL]],T_TraitDi[#Data],COLUMN(T_TraitDi[[#This Row],[Colonne14]]),FALSE),""),"[hh]:mm"))</f>
        <v>#VALUE!</v>
      </c>
      <c r="AU82" s="172" t="str">
        <f>IFERROR(VLOOKUP(T_BilanSocial[[#This Row],[NumL]],T_TraitDi[#Data],COLUMN(T_TraitDi[[#This Row],[Mercredi]]),FALSE),"")</f>
        <v/>
      </c>
      <c r="AV82" s="172" t="e">
        <f>IF(VLOOKUP(T_BilanSocial[[#This Row],[NumL]],T_TraitDi[#Data],COLUMN(T_TraitDi[[#This Row],[Colonne15]]),FALSE)=0,"",TEXT(IFERROR(VLOOKUP(T_BilanSocial[[#This Row],[NumL]],T_TraitDi[#Data],COLUMN(T_TraitDi[[#This Row],[Colonne15]]),FALSE),""),"[hh]:mm"))</f>
        <v>#VALUE!</v>
      </c>
      <c r="AW82" s="172" t="e">
        <f>IF(VLOOKUP(T_BilanSocial[[#This Row],[NumL]],T_TraitDi[#Data],COLUMN(T_TraitDi[[#This Row],[Colonne16]]),FALSE)=0,"",TEXT(IFERROR(VLOOKUP(T_BilanSocial[[#This Row],[NumL]],T_TraitDi[#Data],COLUMN(T_TraitDi[[#This Row],[Colonne16]]),FALSE),""),"[hh]:mm"))</f>
        <v>#VALUE!</v>
      </c>
      <c r="AX82" s="172" t="str">
        <f>IFERROR(VLOOKUP(T_BilanSocial[[#This Row],[NumL]],T_TraitDi[#Data],COLUMN(T_TraitDi[[#This Row],[Colonne17]]),FALSE),"")</f>
        <v/>
      </c>
      <c r="AY82" s="172" t="e">
        <f>IF(VLOOKUP(T_BilanSocial[[#This Row],[NumL]],T_TraitDi[#Data],COLUMN(T_TraitDi[[#This Row],[Colonne18]]),FALSE)=0,"",TEXT(IFERROR(VLOOKUP(T_BilanSocial[[#This Row],[NumL]],T_TraitDi[#Data],COLUMN(T_TraitDi[[#This Row],[Colonne18]]),FALSE),""),"[hh]:mm"))</f>
        <v>#VALUE!</v>
      </c>
      <c r="AZ82" s="172" t="e">
        <f>IF(VLOOKUP(T_BilanSocial[[#This Row],[NumL]],T_TraitDi[#Data],COLUMN(T_TraitDi[[#This Row],[Colonne19]]),FALSE)=0,"",TEXT(IFERROR(VLOOKUP(T_BilanSocial[[#This Row],[NumL]],T_TraitDi[#Data],COLUMN(T_TraitDi[[#This Row],[Colonne19]]),FALSE),""),"[hh]:mm"))</f>
        <v>#VALUE!</v>
      </c>
      <c r="BA82" s="172" t="e">
        <f>IF(VLOOKUP(T_BilanSocial[[#This Row],[NumL]],T_TraitDi[#Data],COLUMN(T_TraitDi[[#This Row],[Colonne20]]),FALSE)=0,"",TEXT(IFERROR(VLOOKUP(T_BilanSocial[[#This Row],[NumL]],T_TraitDi[#Data],COLUMN(T_TraitDi[[#This Row],[Colonne20]]),FALSE),""),"[hh]:mm"))</f>
        <v>#VALUE!</v>
      </c>
      <c r="BB82" s="178" t="str">
        <f>IFERROR(VLOOKUP(T_BilanSocial[[#This Row],[NumL]],T_TraitDi[#Data],COLUMN(T_TraitDi[[#This Row],[Jeudi]]),FALSE),"")</f>
        <v/>
      </c>
      <c r="BC82" s="178" t="e">
        <f>IF(VLOOKUP(T_BilanSocial[[#This Row],[NumL]],T_TraitDi[#Data],COLUMN(T_TraitDi[[#This Row],[Colonne21]]),FALSE)=0,"",TEXT(IFERROR(VLOOKUP(T_BilanSocial[[#This Row],[NumL]],T_TraitDi[#Data],COLUMN(T_TraitDi[[#This Row],[Colonne21]]),FALSE),""),"[hh]:mm"))</f>
        <v>#VALUE!</v>
      </c>
      <c r="BD82" s="178" t="e">
        <f>IF(VLOOKUP(T_BilanSocial[[#This Row],[NumL]],T_TraitDi[#Data],COLUMN(T_TraitDi[[#This Row],[Colonne22]]),FALSE)=0,"",TEXT(IFERROR(VLOOKUP(T_BilanSocial[[#This Row],[NumL]],T_TraitDi[#Data],COLUMN(T_TraitDi[[#This Row],[Colonne22]]),FALSE),""),"[hh]:mm"))</f>
        <v>#VALUE!</v>
      </c>
      <c r="BE82" s="178" t="str">
        <f>IFERROR(VLOOKUP(T_BilanSocial[[#This Row],[NumL]],T_TraitDi[#Data],COLUMN(T_TraitDi[[#This Row],[Colonne23]]),FALSE),"")</f>
        <v/>
      </c>
      <c r="BF82" s="178" t="e">
        <f>IF(VLOOKUP(T_BilanSocial[[#This Row],[NumL]],T_TraitDi[#Data],COLUMN(T_TraitDi[[#This Row],[Colonne24]]),FALSE)=0,"",TEXT(IFERROR(VLOOKUP(T_BilanSocial[[#This Row],[NumL]],T_TraitDi[#Data],COLUMN(T_TraitDi[[#This Row],[Colonne24]]),FALSE),""),"[hh]:mm"))</f>
        <v>#VALUE!</v>
      </c>
      <c r="BG82" s="178" t="e">
        <f>IF(VLOOKUP(T_BilanSocial[[#This Row],[NumL]],T_TraitDi[#Data],COLUMN(T_TraitDi[[#This Row],[Colonne25]]),FALSE)=0,"",TEXT(IFERROR(VLOOKUP(T_BilanSocial[[#This Row],[NumL]],T_TraitDi[#Data],COLUMN(T_TraitDi[[#This Row],[Colonne25]]),FALSE),""),"[hh]:mm"))</f>
        <v>#VALUE!</v>
      </c>
      <c r="BH82" s="178" t="e">
        <f>IF(VLOOKUP(T_BilanSocial[[#This Row],[NumL]],T_TraitDi[#Data],COLUMN(T_TraitDi[[#This Row],[Colonne26]]),FALSE)=0,"",TEXT(IFERROR(VLOOKUP(T_BilanSocial[[#This Row],[NumL]],T_TraitDi[#Data],COLUMN(T_TraitDi[[#This Row],[Colonne26]]),FALSE),""),"[hh]:mm"))</f>
        <v>#VALUE!</v>
      </c>
      <c r="BI82" s="172" t="str">
        <f>IFERROR(VLOOKUP(T_BilanSocial[[#This Row],[NumL]],T_TraitDi[#Data],COLUMN(T_TraitDi[[#This Row],[Vendredi]]),FALSE),"")</f>
        <v/>
      </c>
      <c r="BJ82" s="172" t="e">
        <f>IF(VLOOKUP(T_BilanSocial[[#This Row],[NumL]],T_TraitDi[#Data],COLUMN(T_TraitDi[[#This Row],[Colonne27]]),FALSE)=0,"",TEXT(IFERROR(VLOOKUP(T_BilanSocial[[#This Row],[NumL]],T_TraitDi[#Data],COLUMN(T_TraitDi[[#This Row],[Colonne27]]),FALSE),""),"[hh]:mm"))</f>
        <v>#VALUE!</v>
      </c>
      <c r="BK82" s="172" t="e">
        <f>IF(VLOOKUP(T_BilanSocial[[#This Row],[NumL]],T_TraitDi[#Data],COLUMN(T_TraitDi[[#This Row],[Colonne28]]),FALSE)=0,"",TEXT(IFERROR(VLOOKUP(T_BilanSocial[[#This Row],[NumL]],T_TraitDi[#Data],COLUMN(T_TraitDi[[#This Row],[Colonne28]]),FALSE),""),"[hh]:mm"))</f>
        <v>#VALUE!</v>
      </c>
      <c r="BL82" s="172" t="str">
        <f>IFERROR(VLOOKUP(T_BilanSocial[[#This Row],[NumL]],T_TraitDi[#Data],COLUMN(T_TraitDi[[#This Row],[Colonne29]]),FALSE),"")</f>
        <v/>
      </c>
      <c r="BM82" s="172" t="e">
        <f>IF(VLOOKUP(T_BilanSocial[[#This Row],[NumL]],T_TraitDi[#Data],COLUMN(T_TraitDi[[#This Row],[Colonne30]]),FALSE)=0,"",TEXT(IFERROR(VLOOKUP(T_BilanSocial[[#This Row],[NumL]],T_TraitDi[#Data],COLUMN(T_TraitDi[[#This Row],[Colonne30]]),FALSE),""),"[hh]:mm"))</f>
        <v>#VALUE!</v>
      </c>
      <c r="BN82" s="172" t="e">
        <f>IF(VLOOKUP(T_BilanSocial[[#This Row],[NumL]],T_TraitDi[#Data],COLUMN(T_TraitDi[[#This Row],[Colonne31]]),FALSE)=0,"",TEXT(IFERROR(VLOOKUP(T_BilanSocial[[#This Row],[NumL]],T_TraitDi[#Data],COLUMN(T_TraitDi[[#This Row],[Colonne31]]),FALSE),""),"[hh]:mm"))</f>
        <v>#VALUE!</v>
      </c>
      <c r="BO82" s="172" t="e">
        <f>IF(VLOOKUP(T_BilanSocial[[#This Row],[NumL]],T_TraitDi[#Data],COLUMN(T_TraitDi[[#This Row],[Colonne32]]),FALSE)=0,"",TEXT(IFERROR(VLOOKUP(T_BilanSocial[[#This Row],[NumL]],T_TraitDi[#Data],COLUMN(T_TraitDi[[#This Row],[Colonne32]]),FALSE),""),"[hh]:mm"))</f>
        <v>#VALUE!</v>
      </c>
      <c r="BP82" s="172" t="e">
        <f>VLOOKUP(T_BilanSocial[[#This Row],[NumL]],T_TraitDi[#Data],COLUMN(T_TraitDi[NbJTot]),FALSE)</f>
        <v>#N/A</v>
      </c>
      <c r="BQ82" s="174" t="str">
        <f>IFERROR(VLOOKUP(T_BilanSocial[[#This Row],[NumL]],T_TraitDi[#Data],COLUMN(T_TraitDi[[#This Row],[NbJTW]]),FALSE),"")</f>
        <v/>
      </c>
      <c r="BR82" s="174" t="e">
        <f>IF(VLOOKUP(T_BilanSocial[[#This Row],[NumL]],T_TraitDi[#Data],COLUMN(T_TraitDi[[#This Row],[NbhTW]]),FALSE)=0,"",TEXT(IFERROR(VLOOKUP(T_BilanSocial[[#This Row],[NumL]],T_TraitDi[#Data],COLUMN(T_TraitDi[[#This Row],[NbhTW]]),FALSE),""),"[hh]:mm"))</f>
        <v>#VALUE!</v>
      </c>
      <c r="BS82" s="174" t="e">
        <f>IF(VLOOKUP(T_BilanSocial[[#This Row],[NumL]],T_TraitDi[#Data],COLUMN(T_TraitDi[[#This Row],[Nbhheb]]),FALSE)=0,"",TEXT(IFERROR(VLOOKUP($A82,T_TraitDi[#Data],COLUMN(T_TraitDi[[#This Row],[Nbhheb]]),FALSE),""),"[hh]:mm"))</f>
        <v>#VALUE!</v>
      </c>
      <c r="BT82" s="268" t="str">
        <f>IFERROR(VLOOKUP(VLOOKUP($A82,T_TraitDi[#Data],COLUMN(T_TraitDi[[#This Row],[Type1]]),FALSE),TypeTW,2,FALSE),"")</f>
        <v/>
      </c>
      <c r="BU82" s="182" t="str">
        <f>IFERROR(VLOOKUP($A82,T_TraitDi[#Data],COLUMN(T_TraitDi[[#This Row],[Rue1]]),FALSE),"")</f>
        <v/>
      </c>
      <c r="BV82" s="173" t="str">
        <f>IFERROR(VLOOKUP($A82,T_TraitDi[#Data],COLUMN(T_TraitDi[[#This Row],[CP1]]),FALSE),"")</f>
        <v/>
      </c>
      <c r="BW82" s="173" t="str">
        <f>IFERROR(VLOOKUP($A82,T_TraitDi[#Data],COLUMN(T_TraitDi[[#This Row],[VILLE1]]),FALSE),"")</f>
        <v/>
      </c>
      <c r="BX82" s="182" t="str">
        <f>IFERROR(VLOOKUP(VLOOKUP($A82,T_TraitDi[#Data],COLUMN(T_TraitDi[[#This Row],[Type2]]),FALSE),TypeTW,2,FALSE),"")</f>
        <v/>
      </c>
      <c r="BY82" s="182" t="str">
        <f>IFERROR(VLOOKUP($A82,T_TraitDi[#Data],COLUMN(T_TraitDi[[#This Row],[Rue2]]),FALSE),"")</f>
        <v/>
      </c>
      <c r="BZ82" s="173" t="str">
        <f>IFERROR(VLOOKUP($A82,T_TraitDi[#Data],COLUMN(T_TraitDi[[#This Row],[CP2]]),FALSE),"")</f>
        <v/>
      </c>
      <c r="CA82" s="173" t="str">
        <f>IFERROR(VLOOKUP($A82,T_TraitDi[#Data],COLUMN(T_TraitDi[[#This Row],[VILLE2]]),FALSE),"")</f>
        <v/>
      </c>
      <c r="CB82" s="182" t="str">
        <f>IF(VLOOKUP(T_BilanSocial[[#This Row],[NumL]],T_Equipement[#Data],COLUMN(T_Equipement[[#This Row],[PC]]),FALSE)="","Aucun équipement spécifique directement lié au télétravail",VLOOKUP(T_BilanSocial[[#This Row],[NumL]],T_Equipement[#Data],COLUMN(T_Equipement[[#This Row],[PC]]),FALSE))</f>
        <v xml:space="preserve">16-145	</v>
      </c>
      <c r="CC82" s="166" t="str">
        <f>IFERROR(IF(VLOOKUP(T_BilanSocial[[#This Row],[NumL]],T_TraitDi[#Data],COLUMN(T_TraitDi[[#This Row],[Plan]]),FALSE)="OK","Un planning spécifique de télétravail est annexé à la présente convention.",""),"")</f>
        <v/>
      </c>
      <c r="CD82" s="185"/>
      <c r="CE82" s="164" t="e">
        <f>IF(VLOOKUP(T_BilanSocial[[#This Row],[NumL]],T_suiviDi[#Data],COLUMN(T_suiviDi[[#This Row],[Entité]]),FALSE)="","",VLOOKUP(T_BilanSocial[[#This Row],[NumL]],T_suiviDi[#Data],COLUMN(T_suiviDi[[#This Row],[Entité]]),FALSE))</f>
        <v>#VALUE!</v>
      </c>
      <c r="CF82" s="164" t="str">
        <f>IF(VLOOKUP(T_BilanSocial[[#This Row],[NumL]],T_Commission[#Data],COLUMN(T_Commission[[#This Row],[envoi confirm TW]]),FALSE)="","",VLOOKUP(T_BilanSocial[[#This Row],[NumL]],T_Commission[#Data],COLUMN(T_Commission[[#This Row],[envoi confirm TW]]),FALSE))</f>
        <v>Oui</v>
      </c>
      <c r="CG8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2" s="262" t="str">
        <f>T_BilanSocial[[#This Row],[Nom]]&amp;T_BilanSocial[[#This Row],[Prenom]]</f>
        <v/>
      </c>
      <c r="CI82" s="262">
        <f>VLOOKUP(T_BilanSocial[[#This Row],[NumL]],T_Commission[#Data],COLUMN(T_Commission[Commentaire]),FALSE)</f>
        <v>0</v>
      </c>
      <c r="CJ82" s="262" t="str">
        <f>IF(VLOOKUP(T_BilanSocial[[#This Row],[NumL]],T_Commission[#Data],COLUMN(T_Commission[Encadrant Email]),FALSE)="","",VLOOKUP(T_BilanSocial[[#This Row],[NumL]],T_Commission[#Data],COLUMN(T_Commission[Encadrant Email]),FALSE))</f>
        <v/>
      </c>
      <c r="CK82" s="340" t="str">
        <f>IF(T_BilanSocial[[#This Row],[Final]]&lt;&gt;"",VLOOKUP(T_BilanSocial[[#This Row],[NumL]],T_suiviDi[#Data],COLUMN((T_suiviDi[Statut])),FALSE),"")</f>
        <v/>
      </c>
    </row>
    <row r="83" spans="1:89" s="106" customFormat="1" ht="24.75" customHeight="1" x14ac:dyDescent="0.25">
      <c r="A83" s="160">
        <v>80</v>
      </c>
      <c r="B83" s="161">
        <f t="shared" si="10"/>
        <v>1</v>
      </c>
      <c r="C83" s="162" t="s">
        <v>173</v>
      </c>
      <c r="D83" s="95" t="e">
        <f>IF(VLOOKUP(T_BilanSocial[[#This Row],[NumL]],T_TraitDi[#Data],COLUMN(T_TraitDi[[#This Row],[WebC]]),FALSE)="","",VLOOKUP(T_BilanSocial[[#This Row],[NumL]],T_TraitDi[#Data],COLUMN(T_TraitDi[[#This Row],[WebC]]),FALSE))</f>
        <v>#VALUE!</v>
      </c>
      <c r="E83" s="163" t="str">
        <f t="shared" si="11"/>
        <v>12 janvier 2021</v>
      </c>
      <c r="F83" s="96" t="str">
        <f>IF(T_BilanSocial[[#This Row],[Final]]&lt;&gt;"",VLOOKUP(T_BilanSocial[[#This Row],[NumL]],T_suiviDi[#Data],COLUMN((T_suiviDi[Civ.])),FALSE),"")</f>
        <v>Mme</v>
      </c>
      <c r="G83" s="96" t="str">
        <f>IF(T_BilanSocial[[#This Row],[Final]]&lt;&gt;"",VLOOKUP(T_BilanSocial[[#This Row],[NumL]],T_suiviDi[#Data],COLUMN((T_suiviDi[Nom])),FALSE),"")</f>
        <v>A</v>
      </c>
      <c r="H83" s="96" t="str">
        <f>IF(T_BilanSocial[[#This Row],[Final]]&lt;&gt;"",VLOOKUP(T_BilanSocial[[#This Row],[NumL]],T_suiviDi[#Data],COLUMN((T_suiviDi[Prénom])),FALSE),"")</f>
        <v>Anne-Laure</v>
      </c>
      <c r="I83" s="96" t="str">
        <f>IFERROR(VLOOKUP(T_BilanSocial[[#This Row],[Zone_Bilan]],T_P_BilanSocial[#Data],COLUMN(T_P_BilanSocial[[#This Row],[Numero_SIHAM]]),FALSE),"")</f>
        <v/>
      </c>
      <c r="J83" s="96" t="str">
        <f>IFERROR(VLOOKUP(T_BilanSocial[[#This Row],[Zone_Bilan]],T_P_BilanSocial[#Data],COLUMN(T_P_BilanSocial[[#This Row],[Sexe]]),FALSE),"")</f>
        <v/>
      </c>
      <c r="K83" s="97" t="str">
        <f>IFERROR(VLOOKUP(T_BilanSocial[[#This Row],[Zone_Bilan]],T_P_BilanSocial[#Data],COLUMN(T_P_BilanSocial[[#This Row],[Categorie]]),FALSE),"")</f>
        <v/>
      </c>
      <c r="L83" s="96" t="str">
        <f>IFERROR(VLOOKUP(T_BilanSocial[[#This Row],[Zone_Bilan]],T_P_BilanSocial[#Data],COLUMN(T_P_BilanSocial[[#This Row],[Statut]]),FALSE),"")</f>
        <v/>
      </c>
      <c r="M83" s="96" t="str">
        <f>IFERROR(VLOOKUP(T_BilanSocial[[#This Row],[Zone_Bilan]],T_P_BilanSocial[#Data],COLUMN(T_P_BilanSocial[[#This Row],[Filiere]]),FALSE),"")</f>
        <v/>
      </c>
      <c r="N83" s="96" t="str">
        <f>VLOOKUP(T_BilanSocial[[#This Row],[NumL]],T_TraitDi[#Data],COLUMN(T_TraitDi[EXP]),FALSE)</f>
        <v>N</v>
      </c>
      <c r="O83" s="96" t="str">
        <f>VLOOKUP(T_BilanSocial[[#This Row],[NumL]],T_TraitDi[#Data],COLUMN(T_TraitDi[FORM]),FALSE)</f>
        <v>O</v>
      </c>
      <c r="P83" s="96">
        <f>IF(T_BilanSocial[[#This Row],[Final]]&lt;&gt;"",VLOOKUP(T_BilanSocial[[#This Row],[NumL]],T_suiviDi[#Data],COLUMN((T_suiviDi[Email])),FALSE),"")</f>
        <v>0</v>
      </c>
      <c r="Q83" s="164" t="str">
        <f t="shared" si="17"/>
        <v/>
      </c>
      <c r="R83" s="164" t="str">
        <f t="shared" si="18"/>
        <v>Documentaliste</v>
      </c>
      <c r="S83" s="164" t="e">
        <f>IF(VLOOKUP(T_BilanSocial[[#This Row],[NumL]],T_suiviDi[#Data],COLUMN(T_suiviDi[[#This Row],[Service ]]),FALSE)="","",VLOOKUP(T_BilanSocial[[#This Row],[NumL]],T_suiviDi[#Data],COLUMN(T_suiviDi[[#This Row],[Service ]]),FALSE))</f>
        <v>#VALUE!</v>
      </c>
      <c r="T83" s="164" t="str">
        <f t="shared" si="12"/>
        <v>01 septembre 2021</v>
      </c>
      <c r="U83" s="164" t="str">
        <f t="shared" si="13"/>
        <v>30 novembre 2021</v>
      </c>
      <c r="V83" s="164" t="str">
        <f t="shared" si="19"/>
        <v>30 novembre 2021</v>
      </c>
      <c r="W83" s="176" t="e">
        <f>IF(VLOOKUP(T_BilanSocial[[#This Row],[NumL]],T_TraitDi[#Data],COLUMN(T_TraitDi[[#This Row],[M1]]),FALSE)="","",VLOOKUP(T_BilanSocial[[#This Row],[NumL]],T_TraitDi[#Data],COLUMN(T_TraitDi[[#This Row],[M1]]),FALSE))</f>
        <v>#VALUE!</v>
      </c>
      <c r="X83" s="176" t="e">
        <f>IF(VLOOKUP(T_BilanSocial[[#This Row],[NumL]],T_TraitDi[#Data],COLUMN(T_TraitDi[[#This Row],[M2]]),FALSE)="","",VLOOKUP(T_BilanSocial[[#This Row],[NumL]],T_TraitDi[#Data],COLUMN(T_TraitDi[[#This Row],[M2]]),FALSE))</f>
        <v>#VALUE!</v>
      </c>
      <c r="Y83" s="176" t="e">
        <f>IF(VLOOKUP(T_BilanSocial[[#This Row],[NumL]],T_TraitDi[#Data],COLUMN(T_TraitDi[[#This Row],[M3]]),FALSE)="","",VLOOKUP(T_BilanSocial[[#This Row],[NumL]],T_TraitDi[#Data],COLUMN(T_TraitDi[[#This Row],[M3]]),FALSE))</f>
        <v>#VALUE!</v>
      </c>
      <c r="Z83" s="176" t="str">
        <f t="shared" si="16"/>
        <v xml:space="preserve"> -Préparation de commandes et abonnements</v>
      </c>
      <c r="AA83" s="176" t="e">
        <f>IF(VLOOKUP(T_BilanSocial[[#This Row],[NumL]],T_TraitDi[#Data],COLUMN(T_TraitDi[[#This Row],[M5]]),FALSE)="","",VLOOKUP(T_BilanSocial[[#This Row],[NumL]],T_TraitDi[#Data],COLUMN(T_TraitDi[[#This Row],[M5]]),FALSE))</f>
        <v>#VALUE!</v>
      </c>
      <c r="AB83" s="176" t="e">
        <f>IF(VLOOKUP(T_BilanSocial[[#This Row],[NumL]],T_TraitDi[#Data],COLUMN(T_TraitDi[[#This Row],[M6]]),FALSE)="","",VLOOKUP(T_BilanSocial[[#This Row],[NumL]],T_TraitDi[#Data],COLUMN(T_TraitDi[[#This Row],[M6]]),FALSE))</f>
        <v>#VALUE!</v>
      </c>
      <c r="AC83" s="165" t="e">
        <f t="shared" si="15"/>
        <v>#VALUE!</v>
      </c>
      <c r="AD83" s="188" t="str">
        <f>IFERROR(TEXT(VLOOKUP(T_BilanSocial[[#This Row],[NumL]],T_TraitDi[#Data],COLUMN(T_TraitDi[[#This Row],[Q2]]),FALSE),"###%"),"")</f>
        <v/>
      </c>
      <c r="AE83" s="97" t="e">
        <f>VLOOKUP(T_BilanSocial[[#This Row],[NumL]],T_TraitDi[#Data],COLUMN(T_TraitDi[[#This Row],[Reg Ponct]]),FALSE)</f>
        <v>#VALUE!</v>
      </c>
      <c r="AF83" s="97" t="e">
        <f>VLOOKUP(T_BilanSocial[NumL],T_TraitDi[#Data],COLUMN(T_TraitDi[[#This Row],[Jours flottants]]),FALSE)</f>
        <v>#VALUE!</v>
      </c>
      <c r="AG83" s="97" t="str">
        <f>IFERROR(VLOOKUP(T_BilanSocial[[#This Row],[NumL]],T_TraitDi[#Data],COLUMN(T_TraitDi[[#This Row],[Lundi]]),FALSE),"")</f>
        <v/>
      </c>
      <c r="AH83" s="172" t="e">
        <f>IF(VLOOKUP(T_BilanSocial[[#This Row],[NumL]],T_TraitDi[#Data],COLUMN(T_TraitDi[[#This Row],[Colonne3]]),FALSE)=0,"",TEXT(IFERROR(VLOOKUP(T_BilanSocial[[#This Row],[NumL]],T_TraitDi[#Data],COLUMN(T_TraitDi[[#This Row],[Colonne3]]),FALSE),""),"[hh]:mm"))</f>
        <v>#VALUE!</v>
      </c>
      <c r="AI83" s="172" t="e">
        <f>IF(VLOOKUP(T_BilanSocial[[#This Row],[NumL]],T_TraitDi[#Data],COLUMN(T_TraitDi[[#This Row],[Colonne4]]),FALSE)=0,"",TEXT(IFERROR(VLOOKUP(T_BilanSocial[[#This Row],[NumL]],T_TraitDi[#Data],COLUMN(T_TraitDi[[#This Row],[Colonne4]]),FALSE),""),"[hh]:mm"))</f>
        <v>#VALUE!</v>
      </c>
      <c r="AJ83" s="172" t="e">
        <f>IF(VLOOKUP(T_BilanSocial[[#This Row],[NumL]],T_TraitDi[#Data],COLUMN(T_TraitDi[[#This Row],[Colonne5]]),FALSE)=0,"",TEXT(IFERROR(VLOOKUP(T_BilanSocial[[#This Row],[NumL]],T_TraitDi[#Data],COLUMN(T_TraitDi[[#This Row],[Colonne5]]),FALSE),""),"[hh]:mm"))</f>
        <v>#VALUE!</v>
      </c>
      <c r="AK83" s="172" t="e">
        <f>IF(VLOOKUP(T_BilanSocial[[#This Row],[NumL]],T_TraitDi[#Data],COLUMN(T_TraitDi[[#This Row],[Colonne6]]),FALSE)=0,"",TEXT(IFERROR(VLOOKUP(T_BilanSocial[[#This Row],[NumL]],T_TraitDi[#Data],COLUMN(T_TraitDi[[#This Row],[Colonne6]]),FALSE),""),"[hh]:mm"))</f>
        <v>#VALUE!</v>
      </c>
      <c r="AL83" s="172" t="e">
        <f>IF(VLOOKUP(T_BilanSocial[[#This Row],[NumL]],T_TraitDi[#Data],COLUMN(T_TraitDi[[#This Row],[Colonne7]]),FALSE)=0,"",TEXT(IFERROR(VLOOKUP(T_BilanSocial[[#This Row],[NumL]],T_TraitDi[#Data],COLUMN(T_TraitDi[[#This Row],[Colonne7]]),FALSE),""),"[hh]:mm"))</f>
        <v>#VALUE!</v>
      </c>
      <c r="AM83" s="172" t="e">
        <f>IF(VLOOKUP(T_BilanSocial[[#This Row],[NumL]],T_TraitDi[#Data],COLUMN(T_TraitDi[[#This Row],[Colonne8]]),FALSE)=0,"",TEXT(IFERROR(VLOOKUP(T_BilanSocial[[#This Row],[NumL]],T_TraitDi[#Data],COLUMN(T_TraitDi[[#This Row],[Colonne8]]),FALSE),""),"[hh]:mm"))</f>
        <v>#VALUE!</v>
      </c>
      <c r="AN83" s="172" t="str">
        <f>IFERROR(VLOOKUP(T_BilanSocial[[#This Row],[NumL]],T_TraitDi[#Data],COLUMN(T_TraitDi[[#This Row],[Mardi]]),FALSE),"")</f>
        <v/>
      </c>
      <c r="AO83" s="172" t="e">
        <f>IF(VLOOKUP(T_BilanSocial[[#This Row],[NumL]],T_TraitDi[#Data],COLUMN(T_TraitDi[[#This Row],[Colonne1]]),FALSE)=0,"",TEXT(IFERROR(VLOOKUP(T_BilanSocial[[#This Row],[NumL]],T_TraitDi[#Data],COLUMN(T_TraitDi[[#This Row],[Colonne1]]),FALSE),""),"[hh]:mm"))</f>
        <v>#VALUE!</v>
      </c>
      <c r="AP83" s="172" t="e">
        <f>IF(VLOOKUP(T_BilanSocial[[#This Row],[NumL]],T_TraitDi[#Data],COLUMN(T_TraitDi[[#This Row],[Colonne9]]),FALSE)=0,"",TEXT(IFERROR(VLOOKUP(T_BilanSocial[[#This Row],[NumL]],T_TraitDi[#Data],COLUMN(T_TraitDi[[#This Row],[Colonne9]]),FALSE),""),"[hh]:mm"))</f>
        <v>#VALUE!</v>
      </c>
      <c r="AQ83" s="172" t="str">
        <f>IFERROR(VLOOKUP(T_BilanSocial[[#This Row],[NumL]],T_TraitDi[#Data],COLUMN(T_TraitDi[[#This Row],[Colonne10]]),FALSE),"")</f>
        <v/>
      </c>
      <c r="AR83" s="172" t="e">
        <f>IF(VLOOKUP(T_BilanSocial[[#This Row],[NumL]],T_TraitDi[#Data],COLUMN(T_TraitDi[[#This Row],[Colonne11]]),FALSE)=0,"",TEXT(IFERROR(VLOOKUP(T_BilanSocial[[#This Row],[NumL]],T_TraitDi[#Data],COLUMN(T_TraitDi[[#This Row],[Colonne11]]),FALSE),""),"[hh]:mm"))</f>
        <v>#VALUE!</v>
      </c>
      <c r="AS83" s="172" t="e">
        <f>IF(VLOOKUP(T_BilanSocial[[#This Row],[NumL]],T_TraitDi[#Data],COLUMN(T_TraitDi[[#This Row],[Colonne12]]),FALSE)=0,"",TEXT(IFERROR(VLOOKUP(T_BilanSocial[[#This Row],[NumL]],T_TraitDi[#Data],COLUMN(T_TraitDi[[#This Row],[Colonne12]]),FALSE),""),"[hh]:mm"))</f>
        <v>#VALUE!</v>
      </c>
      <c r="AT83" s="172" t="e">
        <f>IF(VLOOKUP(T_BilanSocial[[#This Row],[NumL]],T_TraitDi[#Data],COLUMN(T_TraitDi[[#This Row],[Colonne14]]),FALSE)=0,"",TEXT(IFERROR(VLOOKUP(T_BilanSocial[[#This Row],[NumL]],T_TraitDi[#Data],COLUMN(T_TraitDi[[#This Row],[Colonne14]]),FALSE),""),"[hh]:mm"))</f>
        <v>#VALUE!</v>
      </c>
      <c r="AU83" s="172" t="str">
        <f>IFERROR(VLOOKUP(T_BilanSocial[[#This Row],[NumL]],T_TraitDi[#Data],COLUMN(T_TraitDi[[#This Row],[Mercredi]]),FALSE),"")</f>
        <v/>
      </c>
      <c r="AV83" s="172" t="e">
        <f>IF(VLOOKUP(T_BilanSocial[[#This Row],[NumL]],T_TraitDi[#Data],COLUMN(T_TraitDi[[#This Row],[Colonne15]]),FALSE)=0,"",TEXT(IFERROR(VLOOKUP(T_BilanSocial[[#This Row],[NumL]],T_TraitDi[#Data],COLUMN(T_TraitDi[[#This Row],[Colonne15]]),FALSE),""),"[hh]:mm"))</f>
        <v>#VALUE!</v>
      </c>
      <c r="AW83" s="172" t="e">
        <f>IF(VLOOKUP(T_BilanSocial[[#This Row],[NumL]],T_TraitDi[#Data],COLUMN(T_TraitDi[[#This Row],[Colonne16]]),FALSE)=0,"",TEXT(IFERROR(VLOOKUP(T_BilanSocial[[#This Row],[NumL]],T_TraitDi[#Data],COLUMN(T_TraitDi[[#This Row],[Colonne16]]),FALSE),""),"[hh]:mm"))</f>
        <v>#VALUE!</v>
      </c>
      <c r="AX83" s="172" t="str">
        <f>IFERROR(VLOOKUP(T_BilanSocial[[#This Row],[NumL]],T_TraitDi[#Data],COLUMN(T_TraitDi[[#This Row],[Colonne17]]),FALSE),"")</f>
        <v/>
      </c>
      <c r="AY83" s="172" t="e">
        <f>IF(VLOOKUP(T_BilanSocial[[#This Row],[NumL]],T_TraitDi[#Data],COLUMN(T_TraitDi[[#This Row],[Colonne18]]),FALSE)=0,"",TEXT(IFERROR(VLOOKUP(T_BilanSocial[[#This Row],[NumL]],T_TraitDi[#Data],COLUMN(T_TraitDi[[#This Row],[Colonne18]]),FALSE),""),"[hh]:mm"))</f>
        <v>#VALUE!</v>
      </c>
      <c r="AZ83" s="172" t="e">
        <f>IF(VLOOKUP(T_BilanSocial[[#This Row],[NumL]],T_TraitDi[#Data],COLUMN(T_TraitDi[[#This Row],[Colonne19]]),FALSE)=0,"",TEXT(IFERROR(VLOOKUP(T_BilanSocial[[#This Row],[NumL]],T_TraitDi[#Data],COLUMN(T_TraitDi[[#This Row],[Colonne19]]),FALSE),""),"[hh]:mm"))</f>
        <v>#VALUE!</v>
      </c>
      <c r="BA83" s="172" t="e">
        <f>IF(VLOOKUP(T_BilanSocial[[#This Row],[NumL]],T_TraitDi[#Data],COLUMN(T_TraitDi[[#This Row],[Colonne20]]),FALSE)=0,"",TEXT(IFERROR(VLOOKUP(T_BilanSocial[[#This Row],[NumL]],T_TraitDi[#Data],COLUMN(T_TraitDi[[#This Row],[Colonne20]]),FALSE),""),"[hh]:mm"))</f>
        <v>#VALUE!</v>
      </c>
      <c r="BB83" s="178" t="str">
        <f>IFERROR(VLOOKUP(T_BilanSocial[[#This Row],[NumL]],T_TraitDi[#Data],COLUMN(T_TraitDi[[#This Row],[Jeudi]]),FALSE),"")</f>
        <v/>
      </c>
      <c r="BC83" s="178" t="e">
        <f>IF(VLOOKUP(T_BilanSocial[[#This Row],[NumL]],T_TraitDi[#Data],COLUMN(T_TraitDi[[#This Row],[Colonne21]]),FALSE)=0,"",TEXT(IFERROR(VLOOKUP(T_BilanSocial[[#This Row],[NumL]],T_TraitDi[#Data],COLUMN(T_TraitDi[[#This Row],[Colonne21]]),FALSE),""),"[hh]:mm"))</f>
        <v>#VALUE!</v>
      </c>
      <c r="BD83" s="178" t="e">
        <f>IF(VLOOKUP(T_BilanSocial[[#This Row],[NumL]],T_TraitDi[#Data],COLUMN(T_TraitDi[[#This Row],[Colonne22]]),FALSE)=0,"",TEXT(IFERROR(VLOOKUP(T_BilanSocial[[#This Row],[NumL]],T_TraitDi[#Data],COLUMN(T_TraitDi[[#This Row],[Colonne22]]),FALSE),""),"[hh]:mm"))</f>
        <v>#VALUE!</v>
      </c>
      <c r="BE83" s="178" t="str">
        <f>IFERROR(VLOOKUP(T_BilanSocial[[#This Row],[NumL]],T_TraitDi[#Data],COLUMN(T_TraitDi[[#This Row],[Colonne23]]),FALSE),"")</f>
        <v/>
      </c>
      <c r="BF83" s="178" t="e">
        <f>IF(VLOOKUP(T_BilanSocial[[#This Row],[NumL]],T_TraitDi[#Data],COLUMN(T_TraitDi[[#This Row],[Colonne24]]),FALSE)=0,"",TEXT(IFERROR(VLOOKUP(T_BilanSocial[[#This Row],[NumL]],T_TraitDi[#Data],COLUMN(T_TraitDi[[#This Row],[Colonne24]]),FALSE),""),"[hh]:mm"))</f>
        <v>#VALUE!</v>
      </c>
      <c r="BG83" s="178" t="e">
        <f>IF(VLOOKUP(T_BilanSocial[[#This Row],[NumL]],T_TraitDi[#Data],COLUMN(T_TraitDi[[#This Row],[Colonne25]]),FALSE)=0,"",TEXT(IFERROR(VLOOKUP(T_BilanSocial[[#This Row],[NumL]],T_TraitDi[#Data],COLUMN(T_TraitDi[[#This Row],[Colonne25]]),FALSE),""),"[hh]:mm"))</f>
        <v>#VALUE!</v>
      </c>
      <c r="BH83" s="178" t="e">
        <f>IF(VLOOKUP(T_BilanSocial[[#This Row],[NumL]],T_TraitDi[#Data],COLUMN(T_TraitDi[[#This Row],[Colonne26]]),FALSE)=0,"",TEXT(IFERROR(VLOOKUP(T_BilanSocial[[#This Row],[NumL]],T_TraitDi[#Data],COLUMN(T_TraitDi[[#This Row],[Colonne26]]),FALSE),""),"[hh]:mm"))</f>
        <v>#VALUE!</v>
      </c>
      <c r="BI83" s="172" t="str">
        <f>IFERROR(VLOOKUP(T_BilanSocial[[#This Row],[NumL]],T_TraitDi[#Data],COLUMN(T_TraitDi[[#This Row],[Vendredi]]),FALSE),"")</f>
        <v/>
      </c>
      <c r="BJ83" s="172" t="e">
        <f>IF(VLOOKUP(T_BilanSocial[[#This Row],[NumL]],T_TraitDi[#Data],COLUMN(T_TraitDi[[#This Row],[Colonne27]]),FALSE)=0,"",TEXT(IFERROR(VLOOKUP(T_BilanSocial[[#This Row],[NumL]],T_TraitDi[#Data],COLUMN(T_TraitDi[[#This Row],[Colonne27]]),FALSE),""),"[hh]:mm"))</f>
        <v>#VALUE!</v>
      </c>
      <c r="BK83" s="172" t="e">
        <f>IF(VLOOKUP(T_BilanSocial[[#This Row],[NumL]],T_TraitDi[#Data],COLUMN(T_TraitDi[[#This Row],[Colonne28]]),FALSE)=0,"",TEXT(IFERROR(VLOOKUP(T_BilanSocial[[#This Row],[NumL]],T_TraitDi[#Data],COLUMN(T_TraitDi[[#This Row],[Colonne28]]),FALSE),""),"[hh]:mm"))</f>
        <v>#VALUE!</v>
      </c>
      <c r="BL83" s="172" t="str">
        <f>IFERROR(VLOOKUP(T_BilanSocial[[#This Row],[NumL]],T_TraitDi[#Data],COLUMN(T_TraitDi[[#This Row],[Colonne29]]),FALSE),"")</f>
        <v/>
      </c>
      <c r="BM83" s="172" t="e">
        <f>IF(VLOOKUP(T_BilanSocial[[#This Row],[NumL]],T_TraitDi[#Data],COLUMN(T_TraitDi[[#This Row],[Colonne30]]),FALSE)=0,"",TEXT(IFERROR(VLOOKUP(T_BilanSocial[[#This Row],[NumL]],T_TraitDi[#Data],COLUMN(T_TraitDi[[#This Row],[Colonne30]]),FALSE),""),"[hh]:mm"))</f>
        <v>#VALUE!</v>
      </c>
      <c r="BN83" s="172" t="e">
        <f>IF(VLOOKUP(T_BilanSocial[[#This Row],[NumL]],T_TraitDi[#Data],COLUMN(T_TraitDi[[#This Row],[Colonne31]]),FALSE)=0,"",TEXT(IFERROR(VLOOKUP(T_BilanSocial[[#This Row],[NumL]],T_TraitDi[#Data],COLUMN(T_TraitDi[[#This Row],[Colonne31]]),FALSE),""),"[hh]:mm"))</f>
        <v>#VALUE!</v>
      </c>
      <c r="BO83" s="172" t="e">
        <f>IF(VLOOKUP(T_BilanSocial[[#This Row],[NumL]],T_TraitDi[#Data],COLUMN(T_TraitDi[[#This Row],[Colonne32]]),FALSE)=0,"",TEXT(IFERROR(VLOOKUP(T_BilanSocial[[#This Row],[NumL]],T_TraitDi[#Data],COLUMN(T_TraitDi[[#This Row],[Colonne32]]),FALSE),""),"[hh]:mm"))</f>
        <v>#VALUE!</v>
      </c>
      <c r="BP83" s="172">
        <f>VLOOKUP(T_BilanSocial[[#This Row],[NumL]],T_TraitDi[#Data],COLUMN(T_TraitDi[NbJTot]),FALSE)</f>
        <v>4.5</v>
      </c>
      <c r="BQ83" s="174" t="str">
        <f>IFERROR(VLOOKUP(T_BilanSocial[[#This Row],[NumL]],T_TraitDi[#Data],COLUMN(T_TraitDi[[#This Row],[NbJTW]]),FALSE),"")</f>
        <v/>
      </c>
      <c r="BR83" s="174" t="e">
        <f>IF(VLOOKUP(T_BilanSocial[[#This Row],[NumL]],T_TraitDi[#Data],COLUMN(T_TraitDi[[#This Row],[NbhTW]]),FALSE)=0,"",TEXT(IFERROR(VLOOKUP(T_BilanSocial[[#This Row],[NumL]],T_TraitDi[#Data],COLUMN(T_TraitDi[[#This Row],[NbhTW]]),FALSE),""),"[hh]:mm"))</f>
        <v>#VALUE!</v>
      </c>
      <c r="BS83" s="174" t="e">
        <f>IF(VLOOKUP(T_BilanSocial[[#This Row],[NumL]],T_TraitDi[#Data],COLUMN(T_TraitDi[[#This Row],[Nbhheb]]),FALSE)=0,"",TEXT(IFERROR(VLOOKUP($A83,T_TraitDi[#Data],COLUMN(T_TraitDi[[#This Row],[Nbhheb]]),FALSE),""),"[hh]:mm"))</f>
        <v>#VALUE!</v>
      </c>
      <c r="BT83" s="182" t="str">
        <f>IFERROR(VLOOKUP(VLOOKUP($A83,T_TraitDi[#Data],COLUMN(T_TraitDi[[#This Row],[Type1]]),FALSE),TypeTW,2,FALSE),"")</f>
        <v/>
      </c>
      <c r="BU83" s="182" t="str">
        <f>IFERROR(VLOOKUP($A83,T_TraitDi[#Data],COLUMN(T_TraitDi[[#This Row],[Rue1]]),FALSE),"")</f>
        <v/>
      </c>
      <c r="BV83" s="173" t="str">
        <f>IFERROR(VLOOKUP($A83,T_TraitDi[#Data],COLUMN(T_TraitDi[[#This Row],[CP1]]),FALSE),"")</f>
        <v/>
      </c>
      <c r="BW83" s="173" t="str">
        <f>IFERROR(VLOOKUP($A83,T_TraitDi[#Data],COLUMN(T_TraitDi[[#This Row],[VILLE1]]),FALSE),"")</f>
        <v/>
      </c>
      <c r="BX83" s="182" t="str">
        <f>IFERROR(VLOOKUP(VLOOKUP($A83,T_TraitDi[#Data],COLUMN(T_TraitDi[[#This Row],[Type2]]),FALSE),TypeTW,2,FALSE),"")</f>
        <v/>
      </c>
      <c r="BY83" s="182" t="str">
        <f>IFERROR(VLOOKUP($A83,T_TraitDi[#Data],COLUMN(T_TraitDi[[#This Row],[Rue2]]),FALSE),"")</f>
        <v/>
      </c>
      <c r="BZ83" s="173" t="str">
        <f>IFERROR(VLOOKUP($A83,T_TraitDi[#Data],COLUMN(T_TraitDi[[#This Row],[CP2]]),FALSE),"")</f>
        <v/>
      </c>
      <c r="CA83" s="173" t="str">
        <f>IFERROR(VLOOKUP($A83,T_TraitDi[#Data],COLUMN(T_TraitDi[[#This Row],[VILLE2]]),FALSE),"")</f>
        <v/>
      </c>
      <c r="CB83" s="182" t="str">
        <f>IF(VLOOKUP(T_BilanSocial[[#This Row],[NumL]],T_Equipement[#Data],COLUMN(T_Equipement[[#This Row],[PC]]),FALSE)="","Aucun équipement spécifique directement lié au télétravail",VLOOKUP(T_BilanSocial[[#This Row],[NumL]],T_Equipement[#Data],COLUMN(T_Equipement[[#This Row],[PC]]),FALSE))</f>
        <v xml:space="preserve">17-029	</v>
      </c>
      <c r="CC83" s="166" t="str">
        <f>IFERROR(IF(VLOOKUP(T_BilanSocial[[#This Row],[NumL]],T_TraitDi[#Data],COLUMN(T_TraitDi[[#This Row],[Plan]]),FALSE)="OK","Un planning spécifique de télétravail est annexé à la présente convention.",""),"")</f>
        <v/>
      </c>
      <c r="CD83" s="258" t="s">
        <v>3373</v>
      </c>
      <c r="CE83" s="164" t="e">
        <f>IF(VLOOKUP(T_BilanSocial[[#This Row],[NumL]],T_suiviDi[#Data],COLUMN(T_suiviDi[[#This Row],[Entité]]),FALSE)="","",VLOOKUP(T_BilanSocial[[#This Row],[NumL]],T_suiviDi[#Data],COLUMN(T_suiviDi[[#This Row],[Entité]]),FALSE))</f>
        <v>#VALUE!</v>
      </c>
      <c r="CF83" s="164" t="str">
        <f>IF(VLOOKUP(T_BilanSocial[[#This Row],[NumL]],T_Commission[#Data],COLUMN(T_Commission[[#This Row],[envoi confirm TW]]),FALSE)="","",VLOOKUP(T_BilanSocial[[#This Row],[NumL]],T_Commission[#Data],COLUMN(T_Commission[[#This Row],[envoi confirm TW]]),FALSE))</f>
        <v>Oui</v>
      </c>
      <c r="CG8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3" s="262" t="str">
        <f>T_BilanSocial[[#This Row],[Nom]]&amp;T_BilanSocial[[#This Row],[Prenom]]</f>
        <v>AAnne-Laure</v>
      </c>
      <c r="CI83" s="262">
        <f>VLOOKUP(T_BilanSocial[[#This Row],[NumL]],T_Commission[#Data],COLUMN(T_Commission[Commentaire]),FALSE)</f>
        <v>0</v>
      </c>
      <c r="CJ83" s="262" t="str">
        <f>IF(VLOOKUP(T_BilanSocial[[#This Row],[NumL]],T_Commission[#Data],COLUMN(T_Commission[Encadrant Email]),FALSE)="","",VLOOKUP(T_BilanSocial[[#This Row],[NumL]],T_Commission[#Data],COLUMN(T_Commission[Encadrant Email]),FALSE))</f>
        <v/>
      </c>
      <c r="CK83" s="340" t="str">
        <f>IF(T_BilanSocial[[#This Row],[Final]]&lt;&gt;"",VLOOKUP(T_BilanSocial[[#This Row],[NumL]],T_suiviDi[#Data],COLUMN((T_suiviDi[Statut])),FALSE),"")</f>
        <v>RENVL</v>
      </c>
    </row>
    <row r="84" spans="1:89" s="106" customFormat="1" ht="24.75" customHeight="1" x14ac:dyDescent="0.25">
      <c r="A84" s="160">
        <v>81</v>
      </c>
      <c r="B84" s="161" t="str">
        <f t="shared" si="10"/>
        <v/>
      </c>
      <c r="C84" s="162" t="s">
        <v>173</v>
      </c>
      <c r="D84" s="95" t="e">
        <f>IF(VLOOKUP(T_BilanSocial[[#This Row],[NumL]],T_TraitDi[#Data],COLUMN(T_TraitDi[[#This Row],[WebC]]),FALSE)="","",VLOOKUP(T_BilanSocial[[#This Row],[NumL]],T_TraitDi[#Data],COLUMN(T_TraitDi[[#This Row],[WebC]]),FALSE))</f>
        <v>#VALUE!</v>
      </c>
      <c r="E84" s="163" t="str">
        <f t="shared" si="11"/>
        <v>12 janvier 2021</v>
      </c>
      <c r="F84" s="96" t="str">
        <f>IF(T_BilanSocial[[#This Row],[Final]]&lt;&gt;"",VLOOKUP(T_BilanSocial[[#This Row],[NumL]],T_suiviDi[#Data],COLUMN((T_suiviDi[Civ.])),FALSE),"")</f>
        <v/>
      </c>
      <c r="G84" s="96" t="str">
        <f>IF(T_BilanSocial[[#This Row],[Final]]&lt;&gt;"",VLOOKUP(T_BilanSocial[[#This Row],[NumL]],T_suiviDi[#Data],COLUMN((T_suiviDi[Nom])),FALSE),"")</f>
        <v/>
      </c>
      <c r="H84" s="96" t="str">
        <f>IF(T_BilanSocial[[#This Row],[Final]]&lt;&gt;"",VLOOKUP(T_BilanSocial[[#This Row],[NumL]],T_suiviDi[#Data],COLUMN((T_suiviDi[Prénom])),FALSE),"")</f>
        <v/>
      </c>
      <c r="I84" s="96" t="str">
        <f>IFERROR(VLOOKUP(T_BilanSocial[[#This Row],[Zone_Bilan]],T_P_BilanSocial[#Data],COLUMN(T_P_BilanSocial[[#This Row],[Numero_SIHAM]]),FALSE),"")</f>
        <v/>
      </c>
      <c r="J84" s="96" t="str">
        <f>IFERROR(VLOOKUP(T_BilanSocial[[#This Row],[Zone_Bilan]],T_P_BilanSocial[#Data],COLUMN(T_P_BilanSocial[[#This Row],[Sexe]]),FALSE),"")</f>
        <v/>
      </c>
      <c r="K84" s="97" t="str">
        <f>IFERROR(VLOOKUP(T_BilanSocial[[#This Row],[Zone_Bilan]],T_P_BilanSocial[#Data],COLUMN(T_P_BilanSocial[[#This Row],[Categorie]]),FALSE),"")</f>
        <v/>
      </c>
      <c r="L84" s="96" t="str">
        <f>IFERROR(VLOOKUP(T_BilanSocial[[#This Row],[Zone_Bilan]],T_P_BilanSocial[#Data],COLUMN(T_P_BilanSocial[[#This Row],[Statut]]),FALSE),"")</f>
        <v/>
      </c>
      <c r="M84" s="96" t="str">
        <f>IFERROR(VLOOKUP(T_BilanSocial[[#This Row],[Zone_Bilan]],T_P_BilanSocial[#Data],COLUMN(T_P_BilanSocial[[#This Row],[Filiere]]),FALSE),"")</f>
        <v/>
      </c>
      <c r="N84" s="96" t="e">
        <f>VLOOKUP(T_BilanSocial[[#This Row],[NumL]],T_TraitDi[#Data],COLUMN(T_TraitDi[EXP]),FALSE)</f>
        <v>#N/A</v>
      </c>
      <c r="O84" s="96" t="e">
        <f>VLOOKUP(T_BilanSocial[[#This Row],[NumL]],T_TraitDi[#Data],COLUMN(T_TraitDi[FORM]),FALSE)</f>
        <v>#N/A</v>
      </c>
      <c r="P84" s="96" t="str">
        <f>IF(T_BilanSocial[[#This Row],[Final]]&lt;&gt;"",VLOOKUP(T_BilanSocial[[#This Row],[NumL]],T_suiviDi[#Data],COLUMN((T_suiviDi[Email])),FALSE),"")</f>
        <v/>
      </c>
      <c r="Q84" s="164" t="e">
        <f t="shared" si="17"/>
        <v>#N/A</v>
      </c>
      <c r="R84" s="164" t="e">
        <f t="shared" si="18"/>
        <v>#N/A</v>
      </c>
      <c r="S84" s="164" t="e">
        <f>IF(VLOOKUP(T_BilanSocial[[#This Row],[NumL]],T_suiviDi[#Data],COLUMN(T_suiviDi[[#This Row],[Service ]]),FALSE)="","",VLOOKUP(T_BilanSocial[[#This Row],[NumL]],T_suiviDi[#Data],COLUMN(T_suiviDi[[#This Row],[Service ]]),FALSE))</f>
        <v>#VALUE!</v>
      </c>
      <c r="T84" s="164" t="str">
        <f t="shared" si="12"/>
        <v>01 septembre 2021</v>
      </c>
      <c r="U84" s="164" t="str">
        <f t="shared" si="13"/>
        <v>30 novembre 2021</v>
      </c>
      <c r="V84" s="96" t="str">
        <f t="shared" si="19"/>
        <v>30 novembre 2021</v>
      </c>
      <c r="W84" s="176" t="e">
        <f>IF(VLOOKUP(T_BilanSocial[[#This Row],[NumL]],T_TraitDi[#Data],COLUMN(T_TraitDi[[#This Row],[M1]]),FALSE)="","",VLOOKUP(T_BilanSocial[[#This Row],[NumL]],T_TraitDi[#Data],COLUMN(T_TraitDi[[#This Row],[M1]]),FALSE))</f>
        <v>#VALUE!</v>
      </c>
      <c r="X84" s="176" t="e">
        <f>IF(VLOOKUP(T_BilanSocial[[#This Row],[NumL]],T_TraitDi[#Data],COLUMN(T_TraitDi[[#This Row],[M2]]),FALSE)="","",VLOOKUP(T_BilanSocial[[#This Row],[NumL]],T_TraitDi[#Data],COLUMN(T_TraitDi[[#This Row],[M2]]),FALSE))</f>
        <v>#VALUE!</v>
      </c>
      <c r="Y84" s="176" t="e">
        <f>IF(VLOOKUP(T_BilanSocial[[#This Row],[NumL]],T_TraitDi[#Data],COLUMN(T_TraitDi[[#This Row],[M3]]),FALSE)="","",VLOOKUP(T_BilanSocial[[#This Row],[NumL]],T_TraitDi[#Data],COLUMN(T_TraitDi[[#This Row],[M3]]),FALSE))</f>
        <v>#VALUE!</v>
      </c>
      <c r="Z84" s="176" t="str">
        <f t="shared" si="16"/>
        <v/>
      </c>
      <c r="AA84" s="176" t="e">
        <f>IF(VLOOKUP(T_BilanSocial[[#This Row],[NumL]],T_TraitDi[#Data],COLUMN(T_TraitDi[[#This Row],[M5]]),FALSE)="","",VLOOKUP(T_BilanSocial[[#This Row],[NumL]],T_TraitDi[#Data],COLUMN(T_TraitDi[[#This Row],[M5]]),FALSE))</f>
        <v>#VALUE!</v>
      </c>
      <c r="AB84" s="176" t="e">
        <f>IF(VLOOKUP(T_BilanSocial[[#This Row],[NumL]],T_TraitDi[#Data],COLUMN(T_TraitDi[[#This Row],[M6]]),FALSE)="","",VLOOKUP(T_BilanSocial[[#This Row],[NumL]],T_TraitDi[#Data],COLUMN(T_TraitDi[[#This Row],[M6]]),FALSE))</f>
        <v>#VALUE!</v>
      </c>
      <c r="AC84" s="165" t="e">
        <f t="shared" si="15"/>
        <v>#VALUE!</v>
      </c>
      <c r="AD84" s="188" t="str">
        <f>IFERROR(TEXT(VLOOKUP(T_BilanSocial[[#This Row],[NumL]],T_TraitDi[#Data],COLUMN(T_TraitDi[[#This Row],[Q2]]),FALSE),"###%"),"")</f>
        <v/>
      </c>
      <c r="AE84" s="97" t="e">
        <f>VLOOKUP(T_BilanSocial[[#This Row],[NumL]],T_TraitDi[#Data],COLUMN(T_TraitDi[[#This Row],[Reg Ponct]]),FALSE)</f>
        <v>#VALUE!</v>
      </c>
      <c r="AF84" s="97" t="e">
        <f>VLOOKUP(T_BilanSocial[NumL],T_TraitDi[#Data],COLUMN(T_TraitDi[[#This Row],[Jours flottants]]),FALSE)</f>
        <v>#VALUE!</v>
      </c>
      <c r="AG84" s="97" t="str">
        <f>IFERROR(VLOOKUP(T_BilanSocial[[#This Row],[NumL]],T_TraitDi[#Data],COLUMN(T_TraitDi[[#This Row],[Lundi]]),FALSE),"")</f>
        <v/>
      </c>
      <c r="AH84" s="172" t="e">
        <f>IF(VLOOKUP(T_BilanSocial[[#This Row],[NumL]],T_TraitDi[#Data],COLUMN(T_TraitDi[[#This Row],[Colonne3]]),FALSE)=0,"",TEXT(IFERROR(VLOOKUP(T_BilanSocial[[#This Row],[NumL]],T_TraitDi[#Data],COLUMN(T_TraitDi[[#This Row],[Colonne3]]),FALSE),""),"[hh]:mm"))</f>
        <v>#VALUE!</v>
      </c>
      <c r="AI84" s="172" t="e">
        <f>IF(VLOOKUP(T_BilanSocial[[#This Row],[NumL]],T_TraitDi[#Data],COLUMN(T_TraitDi[[#This Row],[Colonne4]]),FALSE)=0,"",TEXT(IFERROR(VLOOKUP(T_BilanSocial[[#This Row],[NumL]],T_TraitDi[#Data],COLUMN(T_TraitDi[[#This Row],[Colonne4]]),FALSE),""),"[hh]:mm"))</f>
        <v>#VALUE!</v>
      </c>
      <c r="AJ84" s="172" t="e">
        <f>IF(VLOOKUP(T_BilanSocial[[#This Row],[NumL]],T_TraitDi[#Data],COLUMN(T_TraitDi[[#This Row],[Colonne5]]),FALSE)=0,"",TEXT(IFERROR(VLOOKUP(T_BilanSocial[[#This Row],[NumL]],T_TraitDi[#Data],COLUMN(T_TraitDi[[#This Row],[Colonne5]]),FALSE),""),"[hh]:mm"))</f>
        <v>#VALUE!</v>
      </c>
      <c r="AK84" s="172" t="e">
        <f>IF(VLOOKUP(T_BilanSocial[[#This Row],[NumL]],T_TraitDi[#Data],COLUMN(T_TraitDi[[#This Row],[Colonne6]]),FALSE)=0,"",TEXT(IFERROR(VLOOKUP(T_BilanSocial[[#This Row],[NumL]],T_TraitDi[#Data],COLUMN(T_TraitDi[[#This Row],[Colonne6]]),FALSE),""),"[hh]:mm"))</f>
        <v>#VALUE!</v>
      </c>
      <c r="AL84" s="172" t="e">
        <f>IF(VLOOKUP(T_BilanSocial[[#This Row],[NumL]],T_TraitDi[#Data],COLUMN(T_TraitDi[[#This Row],[Colonne7]]),FALSE)=0,"",TEXT(IFERROR(VLOOKUP(T_BilanSocial[[#This Row],[NumL]],T_TraitDi[#Data],COLUMN(T_TraitDi[[#This Row],[Colonne7]]),FALSE),""),"[hh]:mm"))</f>
        <v>#VALUE!</v>
      </c>
      <c r="AM84" s="172" t="e">
        <f>IF(VLOOKUP(T_BilanSocial[[#This Row],[NumL]],T_TraitDi[#Data],COLUMN(T_TraitDi[[#This Row],[Colonne8]]),FALSE)=0,"",TEXT(IFERROR(VLOOKUP(T_BilanSocial[[#This Row],[NumL]],T_TraitDi[#Data],COLUMN(T_TraitDi[[#This Row],[Colonne8]]),FALSE),""),"[hh]:mm"))</f>
        <v>#VALUE!</v>
      </c>
      <c r="AN84" s="172" t="str">
        <f>IFERROR(VLOOKUP(T_BilanSocial[[#This Row],[NumL]],T_TraitDi[#Data],COLUMN(T_TraitDi[[#This Row],[Mardi]]),FALSE),"")</f>
        <v/>
      </c>
      <c r="AO84" s="172" t="e">
        <f>IF(VLOOKUP(T_BilanSocial[[#This Row],[NumL]],T_TraitDi[#Data],COLUMN(T_TraitDi[[#This Row],[Colonne1]]),FALSE)=0,"",TEXT(IFERROR(VLOOKUP(T_BilanSocial[[#This Row],[NumL]],T_TraitDi[#Data],COLUMN(T_TraitDi[[#This Row],[Colonne1]]),FALSE),""),"[hh]:mm"))</f>
        <v>#VALUE!</v>
      </c>
      <c r="AP84" s="172" t="e">
        <f>IF(VLOOKUP(T_BilanSocial[[#This Row],[NumL]],T_TraitDi[#Data],COLUMN(T_TraitDi[[#This Row],[Colonne9]]),FALSE)=0,"",TEXT(IFERROR(VLOOKUP(T_BilanSocial[[#This Row],[NumL]],T_TraitDi[#Data],COLUMN(T_TraitDi[[#This Row],[Colonne9]]),FALSE),""),"[hh]:mm"))</f>
        <v>#VALUE!</v>
      </c>
      <c r="AQ84" s="172" t="str">
        <f>IFERROR(VLOOKUP(T_BilanSocial[[#This Row],[NumL]],T_TraitDi[#Data],COLUMN(T_TraitDi[[#This Row],[Colonne10]]),FALSE),"")</f>
        <v/>
      </c>
      <c r="AR84" s="172" t="e">
        <f>IF(VLOOKUP(T_BilanSocial[[#This Row],[NumL]],T_TraitDi[#Data],COLUMN(T_TraitDi[[#This Row],[Colonne11]]),FALSE)=0,"",TEXT(IFERROR(VLOOKUP(T_BilanSocial[[#This Row],[NumL]],T_TraitDi[#Data],COLUMN(T_TraitDi[[#This Row],[Colonne11]]),FALSE),""),"[hh]:mm"))</f>
        <v>#VALUE!</v>
      </c>
      <c r="AS84" s="172" t="e">
        <f>IF(VLOOKUP(T_BilanSocial[[#This Row],[NumL]],T_TraitDi[#Data],COLUMN(T_TraitDi[[#This Row],[Colonne12]]),FALSE)=0,"",TEXT(IFERROR(VLOOKUP(T_BilanSocial[[#This Row],[NumL]],T_TraitDi[#Data],COLUMN(T_TraitDi[[#This Row],[Colonne12]]),FALSE),""),"[hh]:mm"))</f>
        <v>#VALUE!</v>
      </c>
      <c r="AT84" s="172" t="e">
        <f>IF(VLOOKUP(T_BilanSocial[[#This Row],[NumL]],T_TraitDi[#Data],COLUMN(T_TraitDi[[#This Row],[Colonne14]]),FALSE)=0,"",TEXT(IFERROR(VLOOKUP(T_BilanSocial[[#This Row],[NumL]],T_TraitDi[#Data],COLUMN(T_TraitDi[[#This Row],[Colonne14]]),FALSE),""),"[hh]:mm"))</f>
        <v>#VALUE!</v>
      </c>
      <c r="AU84" s="172" t="str">
        <f>IFERROR(VLOOKUP(T_BilanSocial[[#This Row],[NumL]],T_TraitDi[#Data],COLUMN(T_TraitDi[[#This Row],[Mercredi]]),FALSE),"")</f>
        <v/>
      </c>
      <c r="AV84" s="172" t="e">
        <f>IF(VLOOKUP(T_BilanSocial[[#This Row],[NumL]],T_TraitDi[#Data],COLUMN(T_TraitDi[[#This Row],[Colonne15]]),FALSE)=0,"",TEXT(IFERROR(VLOOKUP(T_BilanSocial[[#This Row],[NumL]],T_TraitDi[#Data],COLUMN(T_TraitDi[[#This Row],[Colonne15]]),FALSE),""),"[hh]:mm"))</f>
        <v>#VALUE!</v>
      </c>
      <c r="AW84" s="172" t="e">
        <f>IF(VLOOKUP(T_BilanSocial[[#This Row],[NumL]],T_TraitDi[#Data],COLUMN(T_TraitDi[[#This Row],[Colonne16]]),FALSE)=0,"",TEXT(IFERROR(VLOOKUP(T_BilanSocial[[#This Row],[NumL]],T_TraitDi[#Data],COLUMN(T_TraitDi[[#This Row],[Colonne16]]),FALSE),""),"[hh]:mm"))</f>
        <v>#VALUE!</v>
      </c>
      <c r="AX84" s="172" t="str">
        <f>IFERROR(VLOOKUP(T_BilanSocial[[#This Row],[NumL]],T_TraitDi[#Data],COLUMN(T_TraitDi[[#This Row],[Colonne17]]),FALSE),"")</f>
        <v/>
      </c>
      <c r="AY84" s="172" t="e">
        <f>IF(VLOOKUP(T_BilanSocial[[#This Row],[NumL]],T_TraitDi[#Data],COLUMN(T_TraitDi[[#This Row],[Colonne18]]),FALSE)=0,"",TEXT(IFERROR(VLOOKUP(T_BilanSocial[[#This Row],[NumL]],T_TraitDi[#Data],COLUMN(T_TraitDi[[#This Row],[Colonne18]]),FALSE),""),"[hh]:mm"))</f>
        <v>#VALUE!</v>
      </c>
      <c r="AZ84" s="172" t="e">
        <f>IF(VLOOKUP(T_BilanSocial[[#This Row],[NumL]],T_TraitDi[#Data],COLUMN(T_TraitDi[[#This Row],[Colonne19]]),FALSE)=0,"",TEXT(IFERROR(VLOOKUP(T_BilanSocial[[#This Row],[NumL]],T_TraitDi[#Data],COLUMN(T_TraitDi[[#This Row],[Colonne19]]),FALSE),""),"[hh]:mm"))</f>
        <v>#VALUE!</v>
      </c>
      <c r="BA84" s="172" t="e">
        <f>IF(VLOOKUP(T_BilanSocial[[#This Row],[NumL]],T_TraitDi[#Data],COLUMN(T_TraitDi[[#This Row],[Colonne20]]),FALSE)=0,"",TEXT(IFERROR(VLOOKUP(T_BilanSocial[[#This Row],[NumL]],T_TraitDi[#Data],COLUMN(T_TraitDi[[#This Row],[Colonne20]]),FALSE),""),"[hh]:mm"))</f>
        <v>#VALUE!</v>
      </c>
      <c r="BB84" s="178" t="str">
        <f>IFERROR(VLOOKUP(T_BilanSocial[[#This Row],[NumL]],T_TraitDi[#Data],COLUMN(T_TraitDi[[#This Row],[Jeudi]]),FALSE),"")</f>
        <v/>
      </c>
      <c r="BC84" s="178" t="e">
        <f>IF(VLOOKUP(T_BilanSocial[[#This Row],[NumL]],T_TraitDi[#Data],COLUMN(T_TraitDi[[#This Row],[Colonne21]]),FALSE)=0,"",TEXT(IFERROR(VLOOKUP(T_BilanSocial[[#This Row],[NumL]],T_TraitDi[#Data],COLUMN(T_TraitDi[[#This Row],[Colonne21]]),FALSE),""),"[hh]:mm"))</f>
        <v>#VALUE!</v>
      </c>
      <c r="BD84" s="178" t="e">
        <f>IF(VLOOKUP(T_BilanSocial[[#This Row],[NumL]],T_TraitDi[#Data],COLUMN(T_TraitDi[[#This Row],[Colonne22]]),FALSE)=0,"",TEXT(IFERROR(VLOOKUP(T_BilanSocial[[#This Row],[NumL]],T_TraitDi[#Data],COLUMN(T_TraitDi[[#This Row],[Colonne22]]),FALSE),""),"[hh]:mm"))</f>
        <v>#VALUE!</v>
      </c>
      <c r="BE84" s="178" t="str">
        <f>IFERROR(VLOOKUP(T_BilanSocial[[#This Row],[NumL]],T_TraitDi[#Data],COLUMN(T_TraitDi[[#This Row],[Colonne23]]),FALSE),"")</f>
        <v/>
      </c>
      <c r="BF84" s="178" t="e">
        <f>IF(VLOOKUP(T_BilanSocial[[#This Row],[NumL]],T_TraitDi[#Data],COLUMN(T_TraitDi[[#This Row],[Colonne24]]),FALSE)=0,"",TEXT(IFERROR(VLOOKUP(T_BilanSocial[[#This Row],[NumL]],T_TraitDi[#Data],COLUMN(T_TraitDi[[#This Row],[Colonne24]]),FALSE),""),"[hh]:mm"))</f>
        <v>#VALUE!</v>
      </c>
      <c r="BG84" s="178" t="e">
        <f>IF(VLOOKUP(T_BilanSocial[[#This Row],[NumL]],T_TraitDi[#Data],COLUMN(T_TraitDi[[#This Row],[Colonne25]]),FALSE)=0,"",TEXT(IFERROR(VLOOKUP(T_BilanSocial[[#This Row],[NumL]],T_TraitDi[#Data],COLUMN(T_TraitDi[[#This Row],[Colonne25]]),FALSE),""),"[hh]:mm"))</f>
        <v>#VALUE!</v>
      </c>
      <c r="BH84" s="178" t="e">
        <f>IF(VLOOKUP(T_BilanSocial[[#This Row],[NumL]],T_TraitDi[#Data],COLUMN(T_TraitDi[[#This Row],[Colonne26]]),FALSE)=0,"",TEXT(IFERROR(VLOOKUP(T_BilanSocial[[#This Row],[NumL]],T_TraitDi[#Data],COLUMN(T_TraitDi[[#This Row],[Colonne26]]),FALSE),""),"[hh]:mm"))</f>
        <v>#VALUE!</v>
      </c>
      <c r="BI84" s="172" t="str">
        <f>IFERROR(VLOOKUP(T_BilanSocial[[#This Row],[NumL]],T_TraitDi[#Data],COLUMN(T_TraitDi[[#This Row],[Vendredi]]),FALSE),"")</f>
        <v/>
      </c>
      <c r="BJ84" s="172" t="e">
        <f>IF(VLOOKUP(T_BilanSocial[[#This Row],[NumL]],T_TraitDi[#Data],COLUMN(T_TraitDi[[#This Row],[Colonne27]]),FALSE)=0,"",TEXT(IFERROR(VLOOKUP(T_BilanSocial[[#This Row],[NumL]],T_TraitDi[#Data],COLUMN(T_TraitDi[[#This Row],[Colonne27]]),FALSE),""),"[hh]:mm"))</f>
        <v>#VALUE!</v>
      </c>
      <c r="BK84" s="172" t="e">
        <f>IF(VLOOKUP(T_BilanSocial[[#This Row],[NumL]],T_TraitDi[#Data],COLUMN(T_TraitDi[[#This Row],[Colonne28]]),FALSE)=0,"",TEXT(IFERROR(VLOOKUP(T_BilanSocial[[#This Row],[NumL]],T_TraitDi[#Data],COLUMN(T_TraitDi[[#This Row],[Colonne28]]),FALSE),""),"[hh]:mm"))</f>
        <v>#VALUE!</v>
      </c>
      <c r="BL84" s="172" t="str">
        <f>IFERROR(VLOOKUP(T_BilanSocial[[#This Row],[NumL]],T_TraitDi[#Data],COLUMN(T_TraitDi[[#This Row],[Colonne29]]),FALSE),"")</f>
        <v/>
      </c>
      <c r="BM84" s="172" t="e">
        <f>IF(VLOOKUP(T_BilanSocial[[#This Row],[NumL]],T_TraitDi[#Data],COLUMN(T_TraitDi[[#This Row],[Colonne30]]),FALSE)=0,"",TEXT(IFERROR(VLOOKUP(T_BilanSocial[[#This Row],[NumL]],T_TraitDi[#Data],COLUMN(T_TraitDi[[#This Row],[Colonne30]]),FALSE),""),"[hh]:mm"))</f>
        <v>#VALUE!</v>
      </c>
      <c r="BN84" s="172" t="e">
        <f>IF(VLOOKUP(T_BilanSocial[[#This Row],[NumL]],T_TraitDi[#Data],COLUMN(T_TraitDi[[#This Row],[Colonne31]]),FALSE)=0,"",TEXT(IFERROR(VLOOKUP(T_BilanSocial[[#This Row],[NumL]],T_TraitDi[#Data],COLUMN(T_TraitDi[[#This Row],[Colonne31]]),FALSE),""),"[hh]:mm"))</f>
        <v>#VALUE!</v>
      </c>
      <c r="BO84" s="172" t="e">
        <f>IF(VLOOKUP(T_BilanSocial[[#This Row],[NumL]],T_TraitDi[#Data],COLUMN(T_TraitDi[[#This Row],[Colonne32]]),FALSE)=0,"",TEXT(IFERROR(VLOOKUP(T_BilanSocial[[#This Row],[NumL]],T_TraitDi[#Data],COLUMN(T_TraitDi[[#This Row],[Colonne32]]),FALSE),""),"[hh]:mm"))</f>
        <v>#VALUE!</v>
      </c>
      <c r="BP84" s="172" t="e">
        <f>VLOOKUP(T_BilanSocial[[#This Row],[NumL]],T_TraitDi[#Data],COLUMN(T_TraitDi[NbJTot]),FALSE)</f>
        <v>#N/A</v>
      </c>
      <c r="BQ84" s="174" t="str">
        <f>IFERROR(VLOOKUP(T_BilanSocial[[#This Row],[NumL]],T_TraitDi[#Data],COLUMN(T_TraitDi[[#This Row],[NbJTW]]),FALSE),"")</f>
        <v/>
      </c>
      <c r="BR84" s="174" t="e">
        <f>IF(VLOOKUP(T_BilanSocial[[#This Row],[NumL]],T_TraitDi[#Data],COLUMN(T_TraitDi[[#This Row],[NbhTW]]),FALSE)=0,"",TEXT(IFERROR(VLOOKUP(T_BilanSocial[[#This Row],[NumL]],T_TraitDi[#Data],COLUMN(T_TraitDi[[#This Row],[NbhTW]]),FALSE),""),"[hh]:mm"))</f>
        <v>#VALUE!</v>
      </c>
      <c r="BS84" s="174" t="e">
        <f>IF(VLOOKUP(T_BilanSocial[[#This Row],[NumL]],T_TraitDi[#Data],COLUMN(T_TraitDi[[#This Row],[Nbhheb]]),FALSE)=0,"",TEXT(IFERROR(VLOOKUP($A84,T_TraitDi[#Data],COLUMN(T_TraitDi[[#This Row],[Nbhheb]]),FALSE),""),"[hh]:mm"))</f>
        <v>#VALUE!</v>
      </c>
      <c r="BT84" s="182" t="str">
        <f>IFERROR(VLOOKUP(VLOOKUP($A84,T_TraitDi[#Data],COLUMN(T_TraitDi[[#This Row],[Type1]]),FALSE),TypeTW,2,FALSE),"")</f>
        <v/>
      </c>
      <c r="BU84" s="182" t="str">
        <f>IFERROR(VLOOKUP($A84,T_TraitDi[#Data],COLUMN(T_TraitDi[[#This Row],[Rue1]]),FALSE),"")</f>
        <v/>
      </c>
      <c r="BV84" s="173" t="str">
        <f>IFERROR(VLOOKUP($A84,T_TraitDi[#Data],COLUMN(T_TraitDi[[#This Row],[CP1]]),FALSE),"")</f>
        <v/>
      </c>
      <c r="BW84" s="173" t="str">
        <f>IFERROR(VLOOKUP($A84,T_TraitDi[#Data],COLUMN(T_TraitDi[[#This Row],[VILLE1]]),FALSE),"")</f>
        <v/>
      </c>
      <c r="BX84" s="182" t="str">
        <f>IFERROR(VLOOKUP(VLOOKUP($A84,T_TraitDi[#Data],COLUMN(T_TraitDi[[#This Row],[Type2]]),FALSE),TypeTW,2,FALSE),"")</f>
        <v/>
      </c>
      <c r="BY84" s="182" t="str">
        <f>IFERROR(VLOOKUP($A84,T_TraitDi[#Data],COLUMN(T_TraitDi[[#This Row],[Rue2]]),FALSE),"")</f>
        <v/>
      </c>
      <c r="BZ84" s="173" t="str">
        <f>IFERROR(VLOOKUP($A84,T_TraitDi[#Data],COLUMN(T_TraitDi[[#This Row],[CP2]]),FALSE),"")</f>
        <v/>
      </c>
      <c r="CA84" s="173" t="str">
        <f>IFERROR(VLOOKUP($A84,T_TraitDi[#Data],COLUMN(T_TraitDi[[#This Row],[VILLE2]]),FALSE),"")</f>
        <v/>
      </c>
      <c r="CB84" s="182" t="str">
        <f>IF(VLOOKUP(T_BilanSocial[[#This Row],[NumL]],T_Equipement[#Data],COLUMN(T_Equipement[[#This Row],[PC]]),FALSE)="","Aucun équipement spécifique directement lié au télétravail",VLOOKUP(T_BilanSocial[[#This Row],[NumL]],T_Equipement[#Data],COLUMN(T_Equipement[[#This Row],[PC]]),FALSE))</f>
        <v xml:space="preserve">18-030	</v>
      </c>
      <c r="CC84" s="166" t="str">
        <f>IFERROR(IF(VLOOKUP(T_BilanSocial[[#This Row],[NumL]],T_TraitDi[#Data],COLUMN(T_TraitDi[[#This Row],[Plan]]),FALSE)="OK","Un planning spécifique de télétravail est annexé à la présente convention.",""),"")</f>
        <v/>
      </c>
      <c r="CD84" s="258" t="s">
        <v>3374</v>
      </c>
      <c r="CE84" s="164" t="e">
        <f>IF(VLOOKUP(T_BilanSocial[[#This Row],[NumL]],T_suiviDi[#Data],COLUMN(T_suiviDi[[#This Row],[Entité]]),FALSE)="","",VLOOKUP(T_BilanSocial[[#This Row],[NumL]],T_suiviDi[#Data],COLUMN(T_suiviDi[[#This Row],[Entité]]),FALSE))</f>
        <v>#VALUE!</v>
      </c>
      <c r="CF84" s="164" t="str">
        <f>IF(VLOOKUP(T_BilanSocial[[#This Row],[NumL]],T_Commission[#Data],COLUMN(T_Commission[[#This Row],[envoi confirm TW]]),FALSE)="","",VLOOKUP(T_BilanSocial[[#This Row],[NumL]],T_Commission[#Data],COLUMN(T_Commission[[#This Row],[envoi confirm TW]]),FALSE))</f>
        <v>Oui</v>
      </c>
      <c r="CG8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4" s="262" t="str">
        <f>T_BilanSocial[[#This Row],[Nom]]&amp;T_BilanSocial[[#This Row],[Prenom]]</f>
        <v/>
      </c>
      <c r="CI84" s="262">
        <f>VLOOKUP(T_BilanSocial[[#This Row],[NumL]],T_Commission[#Data],COLUMN(T_Commission[Commentaire]),FALSE)</f>
        <v>0</v>
      </c>
      <c r="CJ84" s="262" t="str">
        <f>IF(VLOOKUP(T_BilanSocial[[#This Row],[NumL]],T_Commission[#Data],COLUMN(T_Commission[Encadrant Email]),FALSE)="","",VLOOKUP(T_BilanSocial[[#This Row],[NumL]],T_Commission[#Data],COLUMN(T_Commission[Encadrant Email]),FALSE))</f>
        <v/>
      </c>
      <c r="CK84" s="340" t="str">
        <f>IF(T_BilanSocial[[#This Row],[Final]]&lt;&gt;"",VLOOKUP(T_BilanSocial[[#This Row],[NumL]],T_suiviDi[#Data],COLUMN((T_suiviDi[Statut])),FALSE),"")</f>
        <v/>
      </c>
    </row>
    <row r="85" spans="1:89" s="106" customFormat="1" ht="24.75" customHeight="1" x14ac:dyDescent="0.25">
      <c r="A85" s="160">
        <v>82</v>
      </c>
      <c r="B85" s="161" t="str">
        <f t="shared" si="10"/>
        <v/>
      </c>
      <c r="C85" s="162" t="s">
        <v>173</v>
      </c>
      <c r="D85" s="95" t="e">
        <f>IF(VLOOKUP(T_BilanSocial[[#This Row],[NumL]],T_TraitDi[#Data],COLUMN(T_TraitDi[[#This Row],[WebC]]),FALSE)="","",VLOOKUP(T_BilanSocial[[#This Row],[NumL]],T_TraitDi[#Data],COLUMN(T_TraitDi[[#This Row],[WebC]]),FALSE))</f>
        <v>#VALUE!</v>
      </c>
      <c r="E85" s="163" t="str">
        <f t="shared" si="11"/>
        <v>12 janvier 2021</v>
      </c>
      <c r="F85" s="96" t="str">
        <f>IF(T_BilanSocial[[#This Row],[Final]]&lt;&gt;"",VLOOKUP(T_BilanSocial[[#This Row],[NumL]],T_suiviDi[#Data],COLUMN((T_suiviDi[Civ.])),FALSE),"")</f>
        <v/>
      </c>
      <c r="G85" s="96" t="str">
        <f>IF(T_BilanSocial[[#This Row],[Final]]&lt;&gt;"",VLOOKUP(T_BilanSocial[[#This Row],[NumL]],T_suiviDi[#Data],COLUMN((T_suiviDi[Nom])),FALSE),"")</f>
        <v/>
      </c>
      <c r="H85" s="96" t="str">
        <f>IF(T_BilanSocial[[#This Row],[Final]]&lt;&gt;"",VLOOKUP(T_BilanSocial[[#This Row],[NumL]],T_suiviDi[#Data],COLUMN((T_suiviDi[Prénom])),FALSE),"")</f>
        <v/>
      </c>
      <c r="I85" s="96" t="str">
        <f>IFERROR(VLOOKUP(T_BilanSocial[[#This Row],[Zone_Bilan]],T_P_BilanSocial[#Data],COLUMN(T_P_BilanSocial[[#This Row],[Numero_SIHAM]]),FALSE),"")</f>
        <v/>
      </c>
      <c r="J85" s="96" t="str">
        <f>IFERROR(VLOOKUP(T_BilanSocial[[#This Row],[Zone_Bilan]],T_P_BilanSocial[#Data],COLUMN(T_P_BilanSocial[[#This Row],[Sexe]]),FALSE),"")</f>
        <v/>
      </c>
      <c r="K85" s="97" t="str">
        <f>IFERROR(VLOOKUP(T_BilanSocial[[#This Row],[Zone_Bilan]],T_P_BilanSocial[#Data],COLUMN(T_P_BilanSocial[[#This Row],[Categorie]]),FALSE),"")</f>
        <v/>
      </c>
      <c r="L85" s="96" t="str">
        <f>IFERROR(VLOOKUP(T_BilanSocial[[#This Row],[Zone_Bilan]],T_P_BilanSocial[#Data],COLUMN(T_P_BilanSocial[[#This Row],[Statut]]),FALSE),"")</f>
        <v/>
      </c>
      <c r="M85" s="96" t="str">
        <f>IFERROR(VLOOKUP(T_BilanSocial[[#This Row],[Zone_Bilan]],T_P_BilanSocial[#Data],COLUMN(T_P_BilanSocial[[#This Row],[Filiere]]),FALSE),"")</f>
        <v/>
      </c>
      <c r="N85" s="96" t="e">
        <f>VLOOKUP(T_BilanSocial[[#This Row],[NumL]],T_TraitDi[#Data],COLUMN(T_TraitDi[EXP]),FALSE)</f>
        <v>#N/A</v>
      </c>
      <c r="O85" s="96" t="e">
        <f>VLOOKUP(T_BilanSocial[[#This Row],[NumL]],T_TraitDi[#Data],COLUMN(T_TraitDi[FORM]),FALSE)</f>
        <v>#N/A</v>
      </c>
      <c r="P85" s="96" t="str">
        <f>IF(T_BilanSocial[[#This Row],[Final]]&lt;&gt;"",VLOOKUP(T_BilanSocial[[#This Row],[NumL]],T_suiviDi[#Data],COLUMN((T_suiviDi[Email])),FALSE),"")</f>
        <v/>
      </c>
      <c r="Q85" s="164" t="e">
        <f t="shared" si="17"/>
        <v>#N/A</v>
      </c>
      <c r="R85" s="164" t="e">
        <f t="shared" si="18"/>
        <v>#N/A</v>
      </c>
      <c r="S85" s="164" t="e">
        <f>IF(VLOOKUP(T_BilanSocial[[#This Row],[NumL]],T_suiviDi[#Data],COLUMN(T_suiviDi[[#This Row],[Service ]]),FALSE)="","",VLOOKUP(T_BilanSocial[[#This Row],[NumL]],T_suiviDi[#Data],COLUMN(T_suiviDi[[#This Row],[Service ]]),FALSE))</f>
        <v>#VALUE!</v>
      </c>
      <c r="T85" s="164" t="str">
        <f t="shared" si="12"/>
        <v>01 septembre 2021</v>
      </c>
      <c r="U85" s="164" t="str">
        <f t="shared" si="13"/>
        <v>30 novembre 2021</v>
      </c>
      <c r="V85" s="164" t="str">
        <f t="shared" si="19"/>
        <v>30 novembre 2021</v>
      </c>
      <c r="W85" s="176" t="e">
        <f>IF(VLOOKUP(T_BilanSocial[[#This Row],[NumL]],T_TraitDi[#Data],COLUMN(T_TraitDi[[#This Row],[M1]]),FALSE)="","",VLOOKUP(T_BilanSocial[[#This Row],[NumL]],T_TraitDi[#Data],COLUMN(T_TraitDi[[#This Row],[M1]]),FALSE))</f>
        <v>#VALUE!</v>
      </c>
      <c r="X85" s="176" t="e">
        <f>IF(VLOOKUP(T_BilanSocial[[#This Row],[NumL]],T_TraitDi[#Data],COLUMN(T_TraitDi[[#This Row],[M2]]),FALSE)="","",VLOOKUP(T_BilanSocial[[#This Row],[NumL]],T_TraitDi[#Data],COLUMN(T_TraitDi[[#This Row],[M2]]),FALSE))</f>
        <v>#VALUE!</v>
      </c>
      <c r="Y85" s="176" t="e">
        <f>IF(VLOOKUP(T_BilanSocial[[#This Row],[NumL]],T_TraitDi[#Data],COLUMN(T_TraitDi[[#This Row],[M3]]),FALSE)="","",VLOOKUP(T_BilanSocial[[#This Row],[NumL]],T_TraitDi[#Data],COLUMN(T_TraitDi[[#This Row],[M3]]),FALSE))</f>
        <v>#VALUE!</v>
      </c>
      <c r="Z85" s="176" t="str">
        <f t="shared" si="16"/>
        <v/>
      </c>
      <c r="AA85" s="176" t="e">
        <f>IF(VLOOKUP(T_BilanSocial[[#This Row],[NumL]],T_TraitDi[#Data],COLUMN(T_TraitDi[[#This Row],[M5]]),FALSE)="","",VLOOKUP(T_BilanSocial[[#This Row],[NumL]],T_TraitDi[#Data],COLUMN(T_TraitDi[[#This Row],[M5]]),FALSE))</f>
        <v>#VALUE!</v>
      </c>
      <c r="AB85" s="176" t="e">
        <f>IF(VLOOKUP(T_BilanSocial[[#This Row],[NumL]],T_TraitDi[#Data],COLUMN(T_TraitDi[[#This Row],[M6]]),FALSE)="","",VLOOKUP(T_BilanSocial[[#This Row],[NumL]],T_TraitDi[#Data],COLUMN(T_TraitDi[[#This Row],[M6]]),FALSE))</f>
        <v>#VALUE!</v>
      </c>
      <c r="AC85" s="165" t="e">
        <f t="shared" si="15"/>
        <v>#VALUE!</v>
      </c>
      <c r="AD85" s="188" t="str">
        <f>IFERROR(TEXT(VLOOKUP(T_BilanSocial[[#This Row],[NumL]],T_TraitDi[#Data],COLUMN(T_TraitDi[[#This Row],[Q2]]),FALSE),"###%"),"")</f>
        <v/>
      </c>
      <c r="AE85" s="97" t="e">
        <f>VLOOKUP(T_BilanSocial[[#This Row],[NumL]],T_TraitDi[#Data],COLUMN(T_TraitDi[[#This Row],[Reg Ponct]]),FALSE)</f>
        <v>#VALUE!</v>
      </c>
      <c r="AF85" s="97" t="e">
        <f>VLOOKUP(T_BilanSocial[NumL],T_TraitDi[#Data],COLUMN(T_TraitDi[[#This Row],[Jours flottants]]),FALSE)</f>
        <v>#VALUE!</v>
      </c>
      <c r="AG85" s="97" t="str">
        <f>IFERROR(VLOOKUP(T_BilanSocial[[#This Row],[NumL]],T_TraitDi[#Data],COLUMN(T_TraitDi[[#This Row],[Lundi]]),FALSE),"")</f>
        <v/>
      </c>
      <c r="AH85" s="172" t="e">
        <f>IF(VLOOKUP(T_BilanSocial[[#This Row],[NumL]],T_TraitDi[#Data],COLUMN(T_TraitDi[[#This Row],[Colonne3]]),FALSE)=0,"",TEXT(IFERROR(VLOOKUP(T_BilanSocial[[#This Row],[NumL]],T_TraitDi[#Data],COLUMN(T_TraitDi[[#This Row],[Colonne3]]),FALSE),""),"[hh]:mm"))</f>
        <v>#VALUE!</v>
      </c>
      <c r="AI85" s="172" t="e">
        <f>IF(VLOOKUP(T_BilanSocial[[#This Row],[NumL]],T_TraitDi[#Data],COLUMN(T_TraitDi[[#This Row],[Colonne4]]),FALSE)=0,"",TEXT(IFERROR(VLOOKUP(T_BilanSocial[[#This Row],[NumL]],T_TraitDi[#Data],COLUMN(T_TraitDi[[#This Row],[Colonne4]]),FALSE),""),"[hh]:mm"))</f>
        <v>#VALUE!</v>
      </c>
      <c r="AJ85" s="172" t="e">
        <f>IF(VLOOKUP(T_BilanSocial[[#This Row],[NumL]],T_TraitDi[#Data],COLUMN(T_TraitDi[[#This Row],[Colonne5]]),FALSE)=0,"",TEXT(IFERROR(VLOOKUP(T_BilanSocial[[#This Row],[NumL]],T_TraitDi[#Data],COLUMN(T_TraitDi[[#This Row],[Colonne5]]),FALSE),""),"[hh]:mm"))</f>
        <v>#VALUE!</v>
      </c>
      <c r="AK85" s="172" t="e">
        <f>IF(VLOOKUP(T_BilanSocial[[#This Row],[NumL]],T_TraitDi[#Data],COLUMN(T_TraitDi[[#This Row],[Colonne6]]),FALSE)=0,"",TEXT(IFERROR(VLOOKUP(T_BilanSocial[[#This Row],[NumL]],T_TraitDi[#Data],COLUMN(T_TraitDi[[#This Row],[Colonne6]]),FALSE),""),"[hh]:mm"))</f>
        <v>#VALUE!</v>
      </c>
      <c r="AL85" s="172" t="e">
        <f>IF(VLOOKUP(T_BilanSocial[[#This Row],[NumL]],T_TraitDi[#Data],COLUMN(T_TraitDi[[#This Row],[Colonne7]]),FALSE)=0,"",TEXT(IFERROR(VLOOKUP(T_BilanSocial[[#This Row],[NumL]],T_TraitDi[#Data],COLUMN(T_TraitDi[[#This Row],[Colonne7]]),FALSE),""),"[hh]:mm"))</f>
        <v>#VALUE!</v>
      </c>
      <c r="AM85" s="172" t="e">
        <f>IF(VLOOKUP(T_BilanSocial[[#This Row],[NumL]],T_TraitDi[#Data],COLUMN(T_TraitDi[[#This Row],[Colonne8]]),FALSE)=0,"",TEXT(IFERROR(VLOOKUP(T_BilanSocial[[#This Row],[NumL]],T_TraitDi[#Data],COLUMN(T_TraitDi[[#This Row],[Colonne8]]),FALSE),""),"[hh]:mm"))</f>
        <v>#VALUE!</v>
      </c>
      <c r="AN85" s="172" t="str">
        <f>IFERROR(VLOOKUP(T_BilanSocial[[#This Row],[NumL]],T_TraitDi[#Data],COLUMN(T_TraitDi[[#This Row],[Mardi]]),FALSE),"")</f>
        <v/>
      </c>
      <c r="AO85" s="172" t="e">
        <f>IF(VLOOKUP(T_BilanSocial[[#This Row],[NumL]],T_TraitDi[#Data],COLUMN(T_TraitDi[[#This Row],[Colonne1]]),FALSE)=0,"",TEXT(IFERROR(VLOOKUP(T_BilanSocial[[#This Row],[NumL]],T_TraitDi[#Data],COLUMN(T_TraitDi[[#This Row],[Colonne1]]),FALSE),""),"[hh]:mm"))</f>
        <v>#VALUE!</v>
      </c>
      <c r="AP85" s="172" t="e">
        <f>IF(VLOOKUP(T_BilanSocial[[#This Row],[NumL]],T_TraitDi[#Data],COLUMN(T_TraitDi[[#This Row],[Colonne9]]),FALSE)=0,"",TEXT(IFERROR(VLOOKUP(T_BilanSocial[[#This Row],[NumL]],T_TraitDi[#Data],COLUMN(T_TraitDi[[#This Row],[Colonne9]]),FALSE),""),"[hh]:mm"))</f>
        <v>#VALUE!</v>
      </c>
      <c r="AQ85" s="172" t="str">
        <f>IFERROR(VLOOKUP(T_BilanSocial[[#This Row],[NumL]],T_TraitDi[#Data],COLUMN(T_TraitDi[[#This Row],[Colonne10]]),FALSE),"")</f>
        <v/>
      </c>
      <c r="AR85" s="172" t="e">
        <f>IF(VLOOKUP(T_BilanSocial[[#This Row],[NumL]],T_TraitDi[#Data],COLUMN(T_TraitDi[[#This Row],[Colonne11]]),FALSE)=0,"",TEXT(IFERROR(VLOOKUP(T_BilanSocial[[#This Row],[NumL]],T_TraitDi[#Data],COLUMN(T_TraitDi[[#This Row],[Colonne11]]),FALSE),""),"[hh]:mm"))</f>
        <v>#VALUE!</v>
      </c>
      <c r="AS85" s="172" t="e">
        <f>IF(VLOOKUP(T_BilanSocial[[#This Row],[NumL]],T_TraitDi[#Data],COLUMN(T_TraitDi[[#This Row],[Colonne12]]),FALSE)=0,"",TEXT(IFERROR(VLOOKUP(T_BilanSocial[[#This Row],[NumL]],T_TraitDi[#Data],COLUMN(T_TraitDi[[#This Row],[Colonne12]]),FALSE),""),"[hh]:mm"))</f>
        <v>#VALUE!</v>
      </c>
      <c r="AT85" s="172" t="e">
        <f>IF(VLOOKUP(T_BilanSocial[[#This Row],[NumL]],T_TraitDi[#Data],COLUMN(T_TraitDi[[#This Row],[Colonne14]]),FALSE)=0,"",TEXT(IFERROR(VLOOKUP(T_BilanSocial[[#This Row],[NumL]],T_TraitDi[#Data],COLUMN(T_TraitDi[[#This Row],[Colonne14]]),FALSE),""),"[hh]:mm"))</f>
        <v>#VALUE!</v>
      </c>
      <c r="AU85" s="172" t="str">
        <f>IFERROR(VLOOKUP(T_BilanSocial[[#This Row],[NumL]],T_TraitDi[#Data],COLUMN(T_TraitDi[[#This Row],[Mercredi]]),FALSE),"")</f>
        <v/>
      </c>
      <c r="AV85" s="172" t="e">
        <f>IF(VLOOKUP(T_BilanSocial[[#This Row],[NumL]],T_TraitDi[#Data],COLUMN(T_TraitDi[[#This Row],[Colonne15]]),FALSE)=0,"",TEXT(IFERROR(VLOOKUP(T_BilanSocial[[#This Row],[NumL]],T_TraitDi[#Data],COLUMN(T_TraitDi[[#This Row],[Colonne15]]),FALSE),""),"[hh]:mm"))</f>
        <v>#VALUE!</v>
      </c>
      <c r="AW85" s="172" t="e">
        <f>IF(VLOOKUP(T_BilanSocial[[#This Row],[NumL]],T_TraitDi[#Data],COLUMN(T_TraitDi[[#This Row],[Colonne16]]),FALSE)=0,"",TEXT(IFERROR(VLOOKUP(T_BilanSocial[[#This Row],[NumL]],T_TraitDi[#Data],COLUMN(T_TraitDi[[#This Row],[Colonne16]]),FALSE),""),"[hh]:mm"))</f>
        <v>#VALUE!</v>
      </c>
      <c r="AX85" s="172" t="str">
        <f>IFERROR(VLOOKUP(T_BilanSocial[[#This Row],[NumL]],T_TraitDi[#Data],COLUMN(T_TraitDi[[#This Row],[Colonne17]]),FALSE),"")</f>
        <v/>
      </c>
      <c r="AY85" s="172" t="e">
        <f>IF(VLOOKUP(T_BilanSocial[[#This Row],[NumL]],T_TraitDi[#Data],COLUMN(T_TraitDi[[#This Row],[Colonne18]]),FALSE)=0,"",TEXT(IFERROR(VLOOKUP(T_BilanSocial[[#This Row],[NumL]],T_TraitDi[#Data],COLUMN(T_TraitDi[[#This Row],[Colonne18]]),FALSE),""),"[hh]:mm"))</f>
        <v>#VALUE!</v>
      </c>
      <c r="AZ85" s="172" t="e">
        <f>IF(VLOOKUP(T_BilanSocial[[#This Row],[NumL]],T_TraitDi[#Data],COLUMN(T_TraitDi[[#This Row],[Colonne19]]),FALSE)=0,"",TEXT(IFERROR(VLOOKUP(T_BilanSocial[[#This Row],[NumL]],T_TraitDi[#Data],COLUMN(T_TraitDi[[#This Row],[Colonne19]]),FALSE),""),"[hh]:mm"))</f>
        <v>#VALUE!</v>
      </c>
      <c r="BA85" s="172" t="e">
        <f>IF(VLOOKUP(T_BilanSocial[[#This Row],[NumL]],T_TraitDi[#Data],COLUMN(T_TraitDi[[#This Row],[Colonne20]]),FALSE)=0,"",TEXT(IFERROR(VLOOKUP(T_BilanSocial[[#This Row],[NumL]],T_TraitDi[#Data],COLUMN(T_TraitDi[[#This Row],[Colonne20]]),FALSE),""),"[hh]:mm"))</f>
        <v>#VALUE!</v>
      </c>
      <c r="BB85" s="178" t="str">
        <f>IFERROR(VLOOKUP(T_BilanSocial[[#This Row],[NumL]],T_TraitDi[#Data],COLUMN(T_TraitDi[[#This Row],[Jeudi]]),FALSE),"")</f>
        <v/>
      </c>
      <c r="BC85" s="178" t="e">
        <f>IF(VLOOKUP(T_BilanSocial[[#This Row],[NumL]],T_TraitDi[#Data],COLUMN(T_TraitDi[[#This Row],[Colonne21]]),FALSE)=0,"",TEXT(IFERROR(VLOOKUP(T_BilanSocial[[#This Row],[NumL]],T_TraitDi[#Data],COLUMN(T_TraitDi[[#This Row],[Colonne21]]),FALSE),""),"[hh]:mm"))</f>
        <v>#VALUE!</v>
      </c>
      <c r="BD85" s="178" t="e">
        <f>IF(VLOOKUP(T_BilanSocial[[#This Row],[NumL]],T_TraitDi[#Data],COLUMN(T_TraitDi[[#This Row],[Colonne22]]),FALSE)=0,"",TEXT(IFERROR(VLOOKUP(T_BilanSocial[[#This Row],[NumL]],T_TraitDi[#Data],COLUMN(T_TraitDi[[#This Row],[Colonne22]]),FALSE),""),"[hh]:mm"))</f>
        <v>#VALUE!</v>
      </c>
      <c r="BE85" s="178" t="str">
        <f>IFERROR(VLOOKUP(T_BilanSocial[[#This Row],[NumL]],T_TraitDi[#Data],COLUMN(T_TraitDi[[#This Row],[Colonne23]]),FALSE),"")</f>
        <v/>
      </c>
      <c r="BF85" s="178" t="e">
        <f>IF(VLOOKUP(T_BilanSocial[[#This Row],[NumL]],T_TraitDi[#Data],COLUMN(T_TraitDi[[#This Row],[Colonne24]]),FALSE)=0,"",TEXT(IFERROR(VLOOKUP(T_BilanSocial[[#This Row],[NumL]],T_TraitDi[#Data],COLUMN(T_TraitDi[[#This Row],[Colonne24]]),FALSE),""),"[hh]:mm"))</f>
        <v>#VALUE!</v>
      </c>
      <c r="BG85" s="178" t="e">
        <f>IF(VLOOKUP(T_BilanSocial[[#This Row],[NumL]],T_TraitDi[#Data],COLUMN(T_TraitDi[[#This Row],[Colonne25]]),FALSE)=0,"",TEXT(IFERROR(VLOOKUP(T_BilanSocial[[#This Row],[NumL]],T_TraitDi[#Data],COLUMN(T_TraitDi[[#This Row],[Colonne25]]),FALSE),""),"[hh]:mm"))</f>
        <v>#VALUE!</v>
      </c>
      <c r="BH85" s="178" t="e">
        <f>IF(VLOOKUP(T_BilanSocial[[#This Row],[NumL]],T_TraitDi[#Data],COLUMN(T_TraitDi[[#This Row],[Colonne26]]),FALSE)=0,"",TEXT(IFERROR(VLOOKUP(T_BilanSocial[[#This Row],[NumL]],T_TraitDi[#Data],COLUMN(T_TraitDi[[#This Row],[Colonne26]]),FALSE),""),"[hh]:mm"))</f>
        <v>#VALUE!</v>
      </c>
      <c r="BI85" s="172" t="str">
        <f>IFERROR(VLOOKUP(T_BilanSocial[[#This Row],[NumL]],T_TraitDi[#Data],COLUMN(T_TraitDi[[#This Row],[Vendredi]]),FALSE),"")</f>
        <v/>
      </c>
      <c r="BJ85" s="172" t="e">
        <f>IF(VLOOKUP(T_BilanSocial[[#This Row],[NumL]],T_TraitDi[#Data],COLUMN(T_TraitDi[[#This Row],[Colonne27]]),FALSE)=0,"",TEXT(IFERROR(VLOOKUP(T_BilanSocial[[#This Row],[NumL]],T_TraitDi[#Data],COLUMN(T_TraitDi[[#This Row],[Colonne27]]),FALSE),""),"[hh]:mm"))</f>
        <v>#VALUE!</v>
      </c>
      <c r="BK85" s="172" t="e">
        <f>IF(VLOOKUP(T_BilanSocial[[#This Row],[NumL]],T_TraitDi[#Data],COLUMN(T_TraitDi[[#This Row],[Colonne28]]),FALSE)=0,"",TEXT(IFERROR(VLOOKUP(T_BilanSocial[[#This Row],[NumL]],T_TraitDi[#Data],COLUMN(T_TraitDi[[#This Row],[Colonne28]]),FALSE),""),"[hh]:mm"))</f>
        <v>#VALUE!</v>
      </c>
      <c r="BL85" s="172" t="str">
        <f>IFERROR(VLOOKUP(T_BilanSocial[[#This Row],[NumL]],T_TraitDi[#Data],COLUMN(T_TraitDi[[#This Row],[Colonne29]]),FALSE),"")</f>
        <v/>
      </c>
      <c r="BM85" s="172" t="e">
        <f>IF(VLOOKUP(T_BilanSocial[[#This Row],[NumL]],T_TraitDi[#Data],COLUMN(T_TraitDi[[#This Row],[Colonne30]]),FALSE)=0,"",TEXT(IFERROR(VLOOKUP(T_BilanSocial[[#This Row],[NumL]],T_TraitDi[#Data],COLUMN(T_TraitDi[[#This Row],[Colonne30]]),FALSE),""),"[hh]:mm"))</f>
        <v>#VALUE!</v>
      </c>
      <c r="BN85" s="172" t="e">
        <f>IF(VLOOKUP(T_BilanSocial[[#This Row],[NumL]],T_TraitDi[#Data],COLUMN(T_TraitDi[[#This Row],[Colonne31]]),FALSE)=0,"",TEXT(IFERROR(VLOOKUP(T_BilanSocial[[#This Row],[NumL]],T_TraitDi[#Data],COLUMN(T_TraitDi[[#This Row],[Colonne31]]),FALSE),""),"[hh]:mm"))</f>
        <v>#VALUE!</v>
      </c>
      <c r="BO85" s="172" t="e">
        <f>IF(VLOOKUP(T_BilanSocial[[#This Row],[NumL]],T_TraitDi[#Data],COLUMN(T_TraitDi[[#This Row],[Colonne32]]),FALSE)=0,"",TEXT(IFERROR(VLOOKUP(T_BilanSocial[[#This Row],[NumL]],T_TraitDi[#Data],COLUMN(T_TraitDi[[#This Row],[Colonne32]]),FALSE),""),"[hh]:mm"))</f>
        <v>#VALUE!</v>
      </c>
      <c r="BP85" s="172" t="e">
        <f>VLOOKUP(T_BilanSocial[[#This Row],[NumL]],T_TraitDi[#Data],COLUMN(T_TraitDi[NbJTot]),FALSE)</f>
        <v>#N/A</v>
      </c>
      <c r="BQ85" s="174" t="str">
        <f>IFERROR(VLOOKUP(T_BilanSocial[[#This Row],[NumL]],T_TraitDi[#Data],COLUMN(T_TraitDi[[#This Row],[NbJTW]]),FALSE),"")</f>
        <v/>
      </c>
      <c r="BR85" s="174" t="e">
        <f>IF(VLOOKUP(T_BilanSocial[[#This Row],[NumL]],T_TraitDi[#Data],COLUMN(T_TraitDi[[#This Row],[NbhTW]]),FALSE)=0,"",TEXT(IFERROR(VLOOKUP(T_BilanSocial[[#This Row],[NumL]],T_TraitDi[#Data],COLUMN(T_TraitDi[[#This Row],[NbhTW]]),FALSE),""),"[hh]:mm"))</f>
        <v>#VALUE!</v>
      </c>
      <c r="BS85" s="174" t="e">
        <f>IF(VLOOKUP(T_BilanSocial[[#This Row],[NumL]],T_TraitDi[#Data],COLUMN(T_TraitDi[[#This Row],[Nbhheb]]),FALSE)=0,"",TEXT(IFERROR(VLOOKUP($A85,T_TraitDi[#Data],COLUMN(T_TraitDi[[#This Row],[Nbhheb]]),FALSE),""),"[hh]:mm"))</f>
        <v>#VALUE!</v>
      </c>
      <c r="BT85" s="182" t="str">
        <f>IFERROR(VLOOKUP(VLOOKUP($A85,T_TraitDi[#Data],COLUMN(T_TraitDi[[#This Row],[Type1]]),FALSE),TypeTW,2,FALSE),"")</f>
        <v/>
      </c>
      <c r="BU85" s="182" t="str">
        <f>IFERROR(VLOOKUP($A85,T_TraitDi[#Data],COLUMN(T_TraitDi[[#This Row],[Rue1]]),FALSE),"")</f>
        <v/>
      </c>
      <c r="BV85" s="173" t="str">
        <f>IFERROR(VLOOKUP($A85,T_TraitDi[#Data],COLUMN(T_TraitDi[[#This Row],[CP1]]),FALSE),"")</f>
        <v/>
      </c>
      <c r="BW85" s="173" t="str">
        <f>IFERROR(VLOOKUP($A85,T_TraitDi[#Data],COLUMN(T_TraitDi[[#This Row],[VILLE1]]),FALSE),"")</f>
        <v/>
      </c>
      <c r="BX85" s="182" t="str">
        <f>IFERROR(VLOOKUP(VLOOKUP($A85,T_TraitDi[#Data],COLUMN(T_TraitDi[[#This Row],[Type2]]),FALSE),TypeTW,2,FALSE),"")</f>
        <v/>
      </c>
      <c r="BY85" s="182" t="str">
        <f>IFERROR(VLOOKUP($A85,T_TraitDi[#Data],COLUMN(T_TraitDi[[#This Row],[Rue2]]),FALSE),"")</f>
        <v/>
      </c>
      <c r="BZ85" s="173" t="str">
        <f>IFERROR(VLOOKUP($A85,T_TraitDi[#Data],COLUMN(T_TraitDi[[#This Row],[CP2]]),FALSE),"")</f>
        <v/>
      </c>
      <c r="CA85" s="173" t="str">
        <f>IFERROR(VLOOKUP($A85,T_TraitDi[#Data],COLUMN(T_TraitDi[[#This Row],[VILLE2]]),FALSE),"")</f>
        <v/>
      </c>
      <c r="CB85" s="182" t="str">
        <f>IF(VLOOKUP(T_BilanSocial[[#This Row],[NumL]],T_Equipement[#Data],COLUMN(T_Equipement[[#This Row],[PC]]),FALSE)="","Aucun équipement spécifique directement lié au télétravail",VLOOKUP(T_BilanSocial[[#This Row],[NumL]],T_Equipement[#Data],COLUMN(T_Equipement[[#This Row],[PC]]),FALSE))</f>
        <v xml:space="preserve">20-383	</v>
      </c>
      <c r="CC85" s="166" t="str">
        <f>IFERROR(IF(VLOOKUP(T_BilanSocial[[#This Row],[NumL]],T_TraitDi[#Data],COLUMN(T_TraitDi[[#This Row],[Plan]]),FALSE)="OK","Un planning spécifique de télétravail est annexé à la présente convention.",""),"")</f>
        <v/>
      </c>
      <c r="CD85" s="258" t="s">
        <v>3375</v>
      </c>
      <c r="CE85" s="164" t="e">
        <f>IF(VLOOKUP(T_BilanSocial[[#This Row],[NumL]],T_suiviDi[#Data],COLUMN(T_suiviDi[[#This Row],[Entité]]),FALSE)="","",VLOOKUP(T_BilanSocial[[#This Row],[NumL]],T_suiviDi[#Data],COLUMN(T_suiviDi[[#This Row],[Entité]]),FALSE))</f>
        <v>#VALUE!</v>
      </c>
      <c r="CF85" s="164" t="str">
        <f>IF(VLOOKUP(T_BilanSocial[[#This Row],[NumL]],T_Commission[#Data],COLUMN(T_Commission[[#This Row],[envoi confirm TW]]),FALSE)="","",VLOOKUP(T_BilanSocial[[#This Row],[NumL]],T_Commission[#Data],COLUMN(T_Commission[[#This Row],[envoi confirm TW]]),FALSE))</f>
        <v>Oui</v>
      </c>
      <c r="CG8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5" s="262" t="str">
        <f>T_BilanSocial[[#This Row],[Nom]]&amp;T_BilanSocial[[#This Row],[Prenom]]</f>
        <v/>
      </c>
      <c r="CI85" s="262">
        <f>VLOOKUP(T_BilanSocial[[#This Row],[NumL]],T_Commission[#Data],COLUMN(T_Commission[Commentaire]),FALSE)</f>
        <v>0</v>
      </c>
      <c r="CJ85" s="262" t="str">
        <f>IF(VLOOKUP(T_BilanSocial[[#This Row],[NumL]],T_Commission[#Data],COLUMN(T_Commission[Encadrant Email]),FALSE)="","",VLOOKUP(T_BilanSocial[[#This Row],[NumL]],T_Commission[#Data],COLUMN(T_Commission[Encadrant Email]),FALSE))</f>
        <v/>
      </c>
      <c r="CK85" s="340" t="str">
        <f>IF(T_BilanSocial[[#This Row],[Final]]&lt;&gt;"",VLOOKUP(T_BilanSocial[[#This Row],[NumL]],T_suiviDi[#Data],COLUMN((T_suiviDi[Statut])),FALSE),"")</f>
        <v/>
      </c>
    </row>
    <row r="86" spans="1:89" s="106" customFormat="1" ht="24.75" customHeight="1" x14ac:dyDescent="0.25">
      <c r="A86" s="160">
        <v>83</v>
      </c>
      <c r="B86" s="161" t="str">
        <f t="shared" si="10"/>
        <v/>
      </c>
      <c r="C86" s="162" t="s">
        <v>173</v>
      </c>
      <c r="D86" s="95" t="e">
        <f>IF(VLOOKUP(T_BilanSocial[[#This Row],[NumL]],T_TraitDi[#Data],COLUMN(T_TraitDi[[#This Row],[WebC]]),FALSE)="","",VLOOKUP(T_BilanSocial[[#This Row],[NumL]],T_TraitDi[#Data],COLUMN(T_TraitDi[[#This Row],[WebC]]),FALSE))</f>
        <v>#VALUE!</v>
      </c>
      <c r="E86" s="163" t="str">
        <f t="shared" si="11"/>
        <v>12 janvier 2021</v>
      </c>
      <c r="F86" s="96" t="str">
        <f>IF(T_BilanSocial[[#This Row],[Final]]&lt;&gt;"",VLOOKUP(T_BilanSocial[[#This Row],[NumL]],T_suiviDi[#Data],COLUMN((T_suiviDi[Civ.])),FALSE),"")</f>
        <v/>
      </c>
      <c r="G86" s="96" t="str">
        <f>IF(T_BilanSocial[[#This Row],[Final]]&lt;&gt;"",VLOOKUP(T_BilanSocial[[#This Row],[NumL]],T_suiviDi[#Data],COLUMN((T_suiviDi[Nom])),FALSE),"")</f>
        <v/>
      </c>
      <c r="H86" s="96" t="str">
        <f>IF(T_BilanSocial[[#This Row],[Final]]&lt;&gt;"",VLOOKUP(T_BilanSocial[[#This Row],[NumL]],T_suiviDi[#Data],COLUMN((T_suiviDi[Prénom])),FALSE),"")</f>
        <v/>
      </c>
      <c r="I86" s="96" t="str">
        <f>IFERROR(VLOOKUP(T_BilanSocial[[#This Row],[Zone_Bilan]],T_P_BilanSocial[#Data],COLUMN(T_P_BilanSocial[[#This Row],[Numero_SIHAM]]),FALSE),"")</f>
        <v/>
      </c>
      <c r="J86" s="96" t="str">
        <f>IFERROR(VLOOKUP(T_BilanSocial[[#This Row],[Zone_Bilan]],T_P_BilanSocial[#Data],COLUMN(T_P_BilanSocial[[#This Row],[Sexe]]),FALSE),"")</f>
        <v/>
      </c>
      <c r="K86" s="97" t="str">
        <f>IFERROR(VLOOKUP(T_BilanSocial[[#This Row],[Zone_Bilan]],T_P_BilanSocial[#Data],COLUMN(T_P_BilanSocial[[#This Row],[Categorie]]),FALSE),"")</f>
        <v/>
      </c>
      <c r="L86" s="96" t="str">
        <f>IFERROR(VLOOKUP(T_BilanSocial[[#This Row],[Zone_Bilan]],T_P_BilanSocial[#Data],COLUMN(T_P_BilanSocial[[#This Row],[Statut]]),FALSE),"")</f>
        <v/>
      </c>
      <c r="M86" s="96" t="str">
        <f>IFERROR(VLOOKUP(T_BilanSocial[[#This Row],[Zone_Bilan]],T_P_BilanSocial[#Data],COLUMN(T_P_BilanSocial[[#This Row],[Filiere]]),FALSE),"")</f>
        <v/>
      </c>
      <c r="N86" s="96" t="e">
        <f>VLOOKUP(T_BilanSocial[[#This Row],[NumL]],T_TraitDi[#Data],COLUMN(T_TraitDi[EXP]),FALSE)</f>
        <v>#N/A</v>
      </c>
      <c r="O86" s="96" t="e">
        <f>VLOOKUP(T_BilanSocial[[#This Row],[NumL]],T_TraitDi[#Data],COLUMN(T_TraitDi[FORM]),FALSE)</f>
        <v>#N/A</v>
      </c>
      <c r="P86" s="96" t="str">
        <f>IF(T_BilanSocial[[#This Row],[Final]]&lt;&gt;"",VLOOKUP(T_BilanSocial[[#This Row],[NumL]],T_suiviDi[#Data],COLUMN((T_suiviDi[Email])),FALSE),"")</f>
        <v/>
      </c>
      <c r="Q86" s="164" t="e">
        <f t="shared" si="17"/>
        <v>#N/A</v>
      </c>
      <c r="R86" s="164" t="e">
        <f t="shared" si="18"/>
        <v>#N/A</v>
      </c>
      <c r="S86" s="164" t="e">
        <f>IF(VLOOKUP(T_BilanSocial[[#This Row],[NumL]],T_suiviDi[#Data],COLUMN(T_suiviDi[[#This Row],[Service ]]),FALSE)="","",VLOOKUP(T_BilanSocial[[#This Row],[NumL]],T_suiviDi[#Data],COLUMN(T_suiviDi[[#This Row],[Service ]]),FALSE))</f>
        <v>#VALUE!</v>
      </c>
      <c r="T86" s="164" t="str">
        <f t="shared" si="12"/>
        <v>01 septembre 2021</v>
      </c>
      <c r="U86" s="164" t="str">
        <f t="shared" si="13"/>
        <v>30 novembre 2021</v>
      </c>
      <c r="V86" s="164" t="str">
        <f t="shared" si="19"/>
        <v>30 novembre 2021</v>
      </c>
      <c r="W86" s="176" t="e">
        <f>IF(VLOOKUP(T_BilanSocial[[#This Row],[NumL]],T_TraitDi[#Data],COLUMN(T_TraitDi[[#This Row],[M1]]),FALSE)="","",VLOOKUP(T_BilanSocial[[#This Row],[NumL]],T_TraitDi[#Data],COLUMN(T_TraitDi[[#This Row],[M1]]),FALSE))</f>
        <v>#VALUE!</v>
      </c>
      <c r="X86" s="176" t="e">
        <f>IF(VLOOKUP(T_BilanSocial[[#This Row],[NumL]],T_TraitDi[#Data],COLUMN(T_TraitDi[[#This Row],[M2]]),FALSE)="","",VLOOKUP(T_BilanSocial[[#This Row],[NumL]],T_TraitDi[#Data],COLUMN(T_TraitDi[[#This Row],[M2]]),FALSE))</f>
        <v>#VALUE!</v>
      </c>
      <c r="Y86" s="176" t="e">
        <f>IF(VLOOKUP(T_BilanSocial[[#This Row],[NumL]],T_TraitDi[#Data],COLUMN(T_TraitDi[[#This Row],[M3]]),FALSE)="","",VLOOKUP(T_BilanSocial[[#This Row],[NumL]],T_TraitDi[#Data],COLUMN(T_TraitDi[[#This Row],[M3]]),FALSE))</f>
        <v>#VALUE!</v>
      </c>
      <c r="Z86" s="176" t="str">
        <f t="shared" si="16"/>
        <v/>
      </c>
      <c r="AA86" s="176" t="e">
        <f>IF(VLOOKUP(T_BilanSocial[[#This Row],[NumL]],T_TraitDi[#Data],COLUMN(T_TraitDi[[#This Row],[M5]]),FALSE)="","",VLOOKUP(T_BilanSocial[[#This Row],[NumL]],T_TraitDi[#Data],COLUMN(T_TraitDi[[#This Row],[M5]]),FALSE))</f>
        <v>#VALUE!</v>
      </c>
      <c r="AB86" s="176" t="e">
        <f>IF(VLOOKUP(T_BilanSocial[[#This Row],[NumL]],T_TraitDi[#Data],COLUMN(T_TraitDi[[#This Row],[M6]]),FALSE)="","",VLOOKUP(T_BilanSocial[[#This Row],[NumL]],T_TraitDi[#Data],COLUMN(T_TraitDi[[#This Row],[M6]]),FALSE))</f>
        <v>#VALUE!</v>
      </c>
      <c r="AC86" s="165" t="e">
        <f t="shared" si="15"/>
        <v>#VALUE!</v>
      </c>
      <c r="AD86" s="188" t="str">
        <f>IFERROR(TEXT(VLOOKUP(T_BilanSocial[[#This Row],[NumL]],T_TraitDi[#Data],COLUMN(T_TraitDi[[#This Row],[Q2]]),FALSE),"###%"),"")</f>
        <v/>
      </c>
      <c r="AE86" s="97" t="e">
        <f>VLOOKUP(T_BilanSocial[[#This Row],[NumL]],T_TraitDi[#Data],COLUMN(T_TraitDi[[#This Row],[Reg Ponct]]),FALSE)</f>
        <v>#VALUE!</v>
      </c>
      <c r="AF86" s="97" t="e">
        <f>VLOOKUP(T_BilanSocial[NumL],T_TraitDi[#Data],COLUMN(T_TraitDi[[#This Row],[Jours flottants]]),FALSE)</f>
        <v>#VALUE!</v>
      </c>
      <c r="AG86" s="97" t="str">
        <f>IFERROR(VLOOKUP(T_BilanSocial[[#This Row],[NumL]],T_TraitDi[#Data],COLUMN(T_TraitDi[[#This Row],[Lundi]]),FALSE),"")</f>
        <v/>
      </c>
      <c r="AH86" s="172" t="e">
        <f>IF(VLOOKUP(T_BilanSocial[[#This Row],[NumL]],T_TraitDi[#Data],COLUMN(T_TraitDi[[#This Row],[Colonne3]]),FALSE)=0,"",TEXT(IFERROR(VLOOKUP(T_BilanSocial[[#This Row],[NumL]],T_TraitDi[#Data],COLUMN(T_TraitDi[[#This Row],[Colonne3]]),FALSE),""),"[hh]:mm"))</f>
        <v>#VALUE!</v>
      </c>
      <c r="AI86" s="172" t="e">
        <f>IF(VLOOKUP(T_BilanSocial[[#This Row],[NumL]],T_TraitDi[#Data],COLUMN(T_TraitDi[[#This Row],[Colonne4]]),FALSE)=0,"",TEXT(IFERROR(VLOOKUP(T_BilanSocial[[#This Row],[NumL]],T_TraitDi[#Data],COLUMN(T_TraitDi[[#This Row],[Colonne4]]),FALSE),""),"[hh]:mm"))</f>
        <v>#VALUE!</v>
      </c>
      <c r="AJ86" s="172" t="e">
        <f>IF(VLOOKUP(T_BilanSocial[[#This Row],[NumL]],T_TraitDi[#Data],COLUMN(T_TraitDi[[#This Row],[Colonne5]]),FALSE)=0,"",TEXT(IFERROR(VLOOKUP(T_BilanSocial[[#This Row],[NumL]],T_TraitDi[#Data],COLUMN(T_TraitDi[[#This Row],[Colonne5]]),FALSE),""),"[hh]:mm"))</f>
        <v>#VALUE!</v>
      </c>
      <c r="AK86" s="172" t="e">
        <f>IF(VLOOKUP(T_BilanSocial[[#This Row],[NumL]],T_TraitDi[#Data],COLUMN(T_TraitDi[[#This Row],[Colonne6]]),FALSE)=0,"",TEXT(IFERROR(VLOOKUP(T_BilanSocial[[#This Row],[NumL]],T_TraitDi[#Data],COLUMN(T_TraitDi[[#This Row],[Colonne6]]),FALSE),""),"[hh]:mm"))</f>
        <v>#VALUE!</v>
      </c>
      <c r="AL86" s="172" t="e">
        <f>IF(VLOOKUP(T_BilanSocial[[#This Row],[NumL]],T_TraitDi[#Data],COLUMN(T_TraitDi[[#This Row],[Colonne7]]),FALSE)=0,"",TEXT(IFERROR(VLOOKUP(T_BilanSocial[[#This Row],[NumL]],T_TraitDi[#Data],COLUMN(T_TraitDi[[#This Row],[Colonne7]]),FALSE),""),"[hh]:mm"))</f>
        <v>#VALUE!</v>
      </c>
      <c r="AM86" s="172" t="e">
        <f>IF(VLOOKUP(T_BilanSocial[[#This Row],[NumL]],T_TraitDi[#Data],COLUMN(T_TraitDi[[#This Row],[Colonne8]]),FALSE)=0,"",TEXT(IFERROR(VLOOKUP(T_BilanSocial[[#This Row],[NumL]],T_TraitDi[#Data],COLUMN(T_TraitDi[[#This Row],[Colonne8]]),FALSE),""),"[hh]:mm"))</f>
        <v>#VALUE!</v>
      </c>
      <c r="AN86" s="172" t="str">
        <f>IFERROR(VLOOKUP(T_BilanSocial[[#This Row],[NumL]],T_TraitDi[#Data],COLUMN(T_TraitDi[[#This Row],[Mardi]]),FALSE),"")</f>
        <v/>
      </c>
      <c r="AO86" s="172" t="e">
        <f>IF(VLOOKUP(T_BilanSocial[[#This Row],[NumL]],T_TraitDi[#Data],COLUMN(T_TraitDi[[#This Row],[Colonne1]]),FALSE)=0,"",TEXT(IFERROR(VLOOKUP(T_BilanSocial[[#This Row],[NumL]],T_TraitDi[#Data],COLUMN(T_TraitDi[[#This Row],[Colonne1]]),FALSE),""),"[hh]:mm"))</f>
        <v>#VALUE!</v>
      </c>
      <c r="AP86" s="172" t="e">
        <f>IF(VLOOKUP(T_BilanSocial[[#This Row],[NumL]],T_TraitDi[#Data],COLUMN(T_TraitDi[[#This Row],[Colonne9]]),FALSE)=0,"",TEXT(IFERROR(VLOOKUP(T_BilanSocial[[#This Row],[NumL]],T_TraitDi[#Data],COLUMN(T_TraitDi[[#This Row],[Colonne9]]),FALSE),""),"[hh]:mm"))</f>
        <v>#VALUE!</v>
      </c>
      <c r="AQ86" s="172" t="str">
        <f>IFERROR(VLOOKUP(T_BilanSocial[[#This Row],[NumL]],T_TraitDi[#Data],COLUMN(T_TraitDi[[#This Row],[Colonne10]]),FALSE),"")</f>
        <v/>
      </c>
      <c r="AR86" s="172" t="e">
        <f>IF(VLOOKUP(T_BilanSocial[[#This Row],[NumL]],T_TraitDi[#Data],COLUMN(T_TraitDi[[#This Row],[Colonne11]]),FALSE)=0,"",TEXT(IFERROR(VLOOKUP(T_BilanSocial[[#This Row],[NumL]],T_TraitDi[#Data],COLUMN(T_TraitDi[[#This Row],[Colonne11]]),FALSE),""),"[hh]:mm"))</f>
        <v>#VALUE!</v>
      </c>
      <c r="AS86" s="172" t="e">
        <f>IF(VLOOKUP(T_BilanSocial[[#This Row],[NumL]],T_TraitDi[#Data],COLUMN(T_TraitDi[[#This Row],[Colonne12]]),FALSE)=0,"",TEXT(IFERROR(VLOOKUP(T_BilanSocial[[#This Row],[NumL]],T_TraitDi[#Data],COLUMN(T_TraitDi[[#This Row],[Colonne12]]),FALSE),""),"[hh]:mm"))</f>
        <v>#VALUE!</v>
      </c>
      <c r="AT86" s="172" t="e">
        <f>IF(VLOOKUP(T_BilanSocial[[#This Row],[NumL]],T_TraitDi[#Data],COLUMN(T_TraitDi[[#This Row],[Colonne14]]),FALSE)=0,"",TEXT(IFERROR(VLOOKUP(T_BilanSocial[[#This Row],[NumL]],T_TraitDi[#Data],COLUMN(T_TraitDi[[#This Row],[Colonne14]]),FALSE),""),"[hh]:mm"))</f>
        <v>#VALUE!</v>
      </c>
      <c r="AU86" s="172" t="str">
        <f>IFERROR(VLOOKUP(T_BilanSocial[[#This Row],[NumL]],T_TraitDi[#Data],COLUMN(T_TraitDi[[#This Row],[Mercredi]]),FALSE),"")</f>
        <v/>
      </c>
      <c r="AV86" s="172" t="e">
        <f>IF(VLOOKUP(T_BilanSocial[[#This Row],[NumL]],T_TraitDi[#Data],COLUMN(T_TraitDi[[#This Row],[Colonne15]]),FALSE)=0,"",TEXT(IFERROR(VLOOKUP(T_BilanSocial[[#This Row],[NumL]],T_TraitDi[#Data],COLUMN(T_TraitDi[[#This Row],[Colonne15]]),FALSE),""),"[hh]:mm"))</f>
        <v>#VALUE!</v>
      </c>
      <c r="AW86" s="172" t="e">
        <f>IF(VLOOKUP(T_BilanSocial[[#This Row],[NumL]],T_TraitDi[#Data],COLUMN(T_TraitDi[[#This Row],[Colonne16]]),FALSE)=0,"",TEXT(IFERROR(VLOOKUP(T_BilanSocial[[#This Row],[NumL]],T_TraitDi[#Data],COLUMN(T_TraitDi[[#This Row],[Colonne16]]),FALSE),""),"[hh]:mm"))</f>
        <v>#VALUE!</v>
      </c>
      <c r="AX86" s="172" t="str">
        <f>IFERROR(VLOOKUP(T_BilanSocial[[#This Row],[NumL]],T_TraitDi[#Data],COLUMN(T_TraitDi[[#This Row],[Colonne17]]),FALSE),"")</f>
        <v/>
      </c>
      <c r="AY86" s="172" t="e">
        <f>IF(VLOOKUP(T_BilanSocial[[#This Row],[NumL]],T_TraitDi[#Data],COLUMN(T_TraitDi[[#This Row],[Colonne18]]),FALSE)=0,"",TEXT(IFERROR(VLOOKUP(T_BilanSocial[[#This Row],[NumL]],T_TraitDi[#Data],COLUMN(T_TraitDi[[#This Row],[Colonne18]]),FALSE),""),"[hh]:mm"))</f>
        <v>#VALUE!</v>
      </c>
      <c r="AZ86" s="172" t="e">
        <f>IF(VLOOKUP(T_BilanSocial[[#This Row],[NumL]],T_TraitDi[#Data],COLUMN(T_TraitDi[[#This Row],[Colonne19]]),FALSE)=0,"",TEXT(IFERROR(VLOOKUP(T_BilanSocial[[#This Row],[NumL]],T_TraitDi[#Data],COLUMN(T_TraitDi[[#This Row],[Colonne19]]),FALSE),""),"[hh]:mm"))</f>
        <v>#VALUE!</v>
      </c>
      <c r="BA86" s="172" t="e">
        <f>IF(VLOOKUP(T_BilanSocial[[#This Row],[NumL]],T_TraitDi[#Data],COLUMN(T_TraitDi[[#This Row],[Colonne20]]),FALSE)=0,"",TEXT(IFERROR(VLOOKUP(T_BilanSocial[[#This Row],[NumL]],T_TraitDi[#Data],COLUMN(T_TraitDi[[#This Row],[Colonne20]]),FALSE),""),"[hh]:mm"))</f>
        <v>#VALUE!</v>
      </c>
      <c r="BB86" s="178" t="str">
        <f>IFERROR(VLOOKUP(T_BilanSocial[[#This Row],[NumL]],T_TraitDi[#Data],COLUMN(T_TraitDi[[#This Row],[Jeudi]]),FALSE),"")</f>
        <v/>
      </c>
      <c r="BC86" s="178" t="e">
        <f>IF(VLOOKUP(T_BilanSocial[[#This Row],[NumL]],T_TraitDi[#Data],COLUMN(T_TraitDi[[#This Row],[Colonne21]]),FALSE)=0,"",TEXT(IFERROR(VLOOKUP(T_BilanSocial[[#This Row],[NumL]],T_TraitDi[#Data],COLUMN(T_TraitDi[[#This Row],[Colonne21]]),FALSE),""),"[hh]:mm"))</f>
        <v>#VALUE!</v>
      </c>
      <c r="BD86" s="178" t="e">
        <f>IF(VLOOKUP(T_BilanSocial[[#This Row],[NumL]],T_TraitDi[#Data],COLUMN(T_TraitDi[[#This Row],[Colonne22]]),FALSE)=0,"",TEXT(IFERROR(VLOOKUP(T_BilanSocial[[#This Row],[NumL]],T_TraitDi[#Data],COLUMN(T_TraitDi[[#This Row],[Colonne22]]),FALSE),""),"[hh]:mm"))</f>
        <v>#VALUE!</v>
      </c>
      <c r="BE86" s="178" t="str">
        <f>IFERROR(VLOOKUP(T_BilanSocial[[#This Row],[NumL]],T_TraitDi[#Data],COLUMN(T_TraitDi[[#This Row],[Colonne23]]),FALSE),"")</f>
        <v/>
      </c>
      <c r="BF86" s="178" t="e">
        <f>IF(VLOOKUP(T_BilanSocial[[#This Row],[NumL]],T_TraitDi[#Data],COLUMN(T_TraitDi[[#This Row],[Colonne24]]),FALSE)=0,"",TEXT(IFERROR(VLOOKUP(T_BilanSocial[[#This Row],[NumL]],T_TraitDi[#Data],COLUMN(T_TraitDi[[#This Row],[Colonne24]]),FALSE),""),"[hh]:mm"))</f>
        <v>#VALUE!</v>
      </c>
      <c r="BG86" s="178" t="e">
        <f>IF(VLOOKUP(T_BilanSocial[[#This Row],[NumL]],T_TraitDi[#Data],COLUMN(T_TraitDi[[#This Row],[Colonne25]]),FALSE)=0,"",TEXT(IFERROR(VLOOKUP(T_BilanSocial[[#This Row],[NumL]],T_TraitDi[#Data],COLUMN(T_TraitDi[[#This Row],[Colonne25]]),FALSE),""),"[hh]:mm"))</f>
        <v>#VALUE!</v>
      </c>
      <c r="BH86" s="178" t="e">
        <f>IF(VLOOKUP(T_BilanSocial[[#This Row],[NumL]],T_TraitDi[#Data],COLUMN(T_TraitDi[[#This Row],[Colonne26]]),FALSE)=0,"",TEXT(IFERROR(VLOOKUP(T_BilanSocial[[#This Row],[NumL]],T_TraitDi[#Data],COLUMN(T_TraitDi[[#This Row],[Colonne26]]),FALSE),""),"[hh]:mm"))</f>
        <v>#VALUE!</v>
      </c>
      <c r="BI86" s="172" t="str">
        <f>IFERROR(VLOOKUP(T_BilanSocial[[#This Row],[NumL]],T_TraitDi[#Data],COLUMN(T_TraitDi[[#This Row],[Vendredi]]),FALSE),"")</f>
        <v/>
      </c>
      <c r="BJ86" s="172" t="e">
        <f>IF(VLOOKUP(T_BilanSocial[[#This Row],[NumL]],T_TraitDi[#Data],COLUMN(T_TraitDi[[#This Row],[Colonne27]]),FALSE)=0,"",TEXT(IFERROR(VLOOKUP(T_BilanSocial[[#This Row],[NumL]],T_TraitDi[#Data],COLUMN(T_TraitDi[[#This Row],[Colonne27]]),FALSE),""),"[hh]:mm"))</f>
        <v>#VALUE!</v>
      </c>
      <c r="BK86" s="172" t="e">
        <f>IF(VLOOKUP(T_BilanSocial[[#This Row],[NumL]],T_TraitDi[#Data],COLUMN(T_TraitDi[[#This Row],[Colonne28]]),FALSE)=0,"",TEXT(IFERROR(VLOOKUP(T_BilanSocial[[#This Row],[NumL]],T_TraitDi[#Data],COLUMN(T_TraitDi[[#This Row],[Colonne28]]),FALSE),""),"[hh]:mm"))</f>
        <v>#VALUE!</v>
      </c>
      <c r="BL86" s="172" t="str">
        <f>IFERROR(VLOOKUP(T_BilanSocial[[#This Row],[NumL]],T_TraitDi[#Data],COLUMN(T_TraitDi[[#This Row],[Colonne29]]),FALSE),"")</f>
        <v/>
      </c>
      <c r="BM86" s="172" t="e">
        <f>IF(VLOOKUP(T_BilanSocial[[#This Row],[NumL]],T_TraitDi[#Data],COLUMN(T_TraitDi[[#This Row],[Colonne30]]),FALSE)=0,"",TEXT(IFERROR(VLOOKUP(T_BilanSocial[[#This Row],[NumL]],T_TraitDi[#Data],COLUMN(T_TraitDi[[#This Row],[Colonne30]]),FALSE),""),"[hh]:mm"))</f>
        <v>#VALUE!</v>
      </c>
      <c r="BN86" s="172" t="e">
        <f>IF(VLOOKUP(T_BilanSocial[[#This Row],[NumL]],T_TraitDi[#Data],COLUMN(T_TraitDi[[#This Row],[Colonne31]]),FALSE)=0,"",TEXT(IFERROR(VLOOKUP(T_BilanSocial[[#This Row],[NumL]],T_TraitDi[#Data],COLUMN(T_TraitDi[[#This Row],[Colonne31]]),FALSE),""),"[hh]:mm"))</f>
        <v>#VALUE!</v>
      </c>
      <c r="BO86" s="172" t="e">
        <f>IF(VLOOKUP(T_BilanSocial[[#This Row],[NumL]],T_TraitDi[#Data],COLUMN(T_TraitDi[[#This Row],[Colonne32]]),FALSE)=0,"",TEXT(IFERROR(VLOOKUP(T_BilanSocial[[#This Row],[NumL]],T_TraitDi[#Data],COLUMN(T_TraitDi[[#This Row],[Colonne32]]),FALSE),""),"[hh]:mm"))</f>
        <v>#VALUE!</v>
      </c>
      <c r="BP86" s="172" t="e">
        <f>VLOOKUP(T_BilanSocial[[#This Row],[NumL]],T_TraitDi[#Data],COLUMN(T_TraitDi[NbJTot]),FALSE)</f>
        <v>#N/A</v>
      </c>
      <c r="BQ86" s="174" t="str">
        <f>IFERROR(VLOOKUP(T_BilanSocial[[#This Row],[NumL]],T_TraitDi[#Data],COLUMN(T_TraitDi[[#This Row],[NbJTW]]),FALSE),"")</f>
        <v/>
      </c>
      <c r="BR86" s="174" t="e">
        <f>IF(VLOOKUP(T_BilanSocial[[#This Row],[NumL]],T_TraitDi[#Data],COLUMN(T_TraitDi[[#This Row],[NbhTW]]),FALSE)=0,"",TEXT(IFERROR(VLOOKUP(T_BilanSocial[[#This Row],[NumL]],T_TraitDi[#Data],COLUMN(T_TraitDi[[#This Row],[NbhTW]]),FALSE),""),"[hh]:mm"))</f>
        <v>#VALUE!</v>
      </c>
      <c r="BS86" s="174" t="e">
        <f>IF(VLOOKUP(T_BilanSocial[[#This Row],[NumL]],T_TraitDi[#Data],COLUMN(T_TraitDi[[#This Row],[Nbhheb]]),FALSE)=0,"",TEXT(IFERROR(VLOOKUP($A86,T_TraitDi[#Data],COLUMN(T_TraitDi[[#This Row],[Nbhheb]]),FALSE),""),"[hh]:mm"))</f>
        <v>#VALUE!</v>
      </c>
      <c r="BT86" s="182" t="str">
        <f>IFERROR(VLOOKUP(VLOOKUP($A86,T_TraitDi[#Data],COLUMN(T_TraitDi[[#This Row],[Type1]]),FALSE),TypeTW,2,FALSE),"")</f>
        <v/>
      </c>
      <c r="BU86" s="182" t="str">
        <f>IFERROR(VLOOKUP($A86,T_TraitDi[#Data],COLUMN(T_TraitDi[[#This Row],[Rue1]]),FALSE),"")</f>
        <v/>
      </c>
      <c r="BV86" s="173" t="str">
        <f>IFERROR(VLOOKUP($A86,T_TraitDi[#Data],COLUMN(T_TraitDi[[#This Row],[CP1]]),FALSE),"")</f>
        <v/>
      </c>
      <c r="BW86" s="173" t="str">
        <f>IFERROR(VLOOKUP($A86,T_TraitDi[#Data],COLUMN(T_TraitDi[[#This Row],[VILLE1]]),FALSE),"")</f>
        <v/>
      </c>
      <c r="BX86" s="182" t="str">
        <f>IFERROR(VLOOKUP(VLOOKUP($A86,T_TraitDi[#Data],COLUMN(T_TraitDi[[#This Row],[Type2]]),FALSE),TypeTW,2,FALSE),"")</f>
        <v/>
      </c>
      <c r="BY86" s="182" t="str">
        <f>IFERROR(VLOOKUP($A86,T_TraitDi[#Data],COLUMN(T_TraitDi[[#This Row],[Rue2]]),FALSE),"")</f>
        <v/>
      </c>
      <c r="BZ86" s="173" t="str">
        <f>IFERROR(VLOOKUP($A86,T_TraitDi[#Data],COLUMN(T_TraitDi[[#This Row],[CP2]]),FALSE),"")</f>
        <v/>
      </c>
      <c r="CA86" s="173" t="str">
        <f>IFERROR(VLOOKUP($A86,T_TraitDi[#Data],COLUMN(T_TraitDi[[#This Row],[VILLE2]]),FALSE),"")</f>
        <v/>
      </c>
      <c r="CB86" s="182" t="str">
        <f>IF(VLOOKUP(T_BilanSocial[[#This Row],[NumL]],T_Equipement[#Data],COLUMN(T_Equipement[[#This Row],[PC]]),FALSE)="","Aucun équipement spécifique directement lié au télétravail",VLOOKUP(T_BilanSocial[[#This Row],[NumL]],T_Equipement[#Data],COLUMN(T_Equipement[[#This Row],[PC]]),FALSE))</f>
        <v>20-125</v>
      </c>
      <c r="CC86" s="166" t="str">
        <f>IFERROR(IF(VLOOKUP(T_BilanSocial[[#This Row],[NumL]],T_TraitDi[#Data],COLUMN(T_TraitDi[[#This Row],[Plan]]),FALSE)="OK","Un planning spécifique de télétravail est annexé à la présente convention.",""),"")</f>
        <v/>
      </c>
      <c r="CD86" s="258" t="s">
        <v>3313</v>
      </c>
      <c r="CE86" s="164" t="e">
        <f>IF(VLOOKUP(T_BilanSocial[[#This Row],[NumL]],T_suiviDi[#Data],COLUMN(T_suiviDi[[#This Row],[Entité]]),FALSE)="","",VLOOKUP(T_BilanSocial[[#This Row],[NumL]],T_suiviDi[#Data],COLUMN(T_suiviDi[[#This Row],[Entité]]),FALSE))</f>
        <v>#VALUE!</v>
      </c>
      <c r="CF86" s="164" t="str">
        <f>IF(VLOOKUP(T_BilanSocial[[#This Row],[NumL]],T_Commission[#Data],COLUMN(T_Commission[[#This Row],[envoi confirm TW]]),FALSE)="","",VLOOKUP(T_BilanSocial[[#This Row],[NumL]],T_Commission[#Data],COLUMN(T_Commission[[#This Row],[envoi confirm TW]]),FALSE))</f>
        <v>Oui</v>
      </c>
      <c r="CG8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6" s="262" t="str">
        <f>T_BilanSocial[[#This Row],[Nom]]&amp;T_BilanSocial[[#This Row],[Prenom]]</f>
        <v/>
      </c>
      <c r="CI86" s="262">
        <f>VLOOKUP(T_BilanSocial[[#This Row],[NumL]],T_Commission[#Data],COLUMN(T_Commission[Commentaire]),FALSE)</f>
        <v>0</v>
      </c>
      <c r="CJ86" s="262" t="str">
        <f>IF(VLOOKUP(T_BilanSocial[[#This Row],[NumL]],T_Commission[#Data],COLUMN(T_Commission[Encadrant Email]),FALSE)="","",VLOOKUP(T_BilanSocial[[#This Row],[NumL]],T_Commission[#Data],COLUMN(T_Commission[Encadrant Email]),FALSE))</f>
        <v/>
      </c>
      <c r="CK86" s="340" t="str">
        <f>IF(T_BilanSocial[[#This Row],[Final]]&lt;&gt;"",VLOOKUP(T_BilanSocial[[#This Row],[NumL]],T_suiviDi[#Data],COLUMN((T_suiviDi[Statut])),FALSE),"")</f>
        <v/>
      </c>
    </row>
    <row r="87" spans="1:89" s="106" customFormat="1" ht="24.75" customHeight="1" x14ac:dyDescent="0.25">
      <c r="A87" s="160">
        <v>84</v>
      </c>
      <c r="B87" s="161" t="str">
        <f t="shared" si="10"/>
        <v/>
      </c>
      <c r="C87" s="162" t="s">
        <v>3287</v>
      </c>
      <c r="D87" s="95" t="e">
        <f>IF(VLOOKUP(T_BilanSocial[[#This Row],[NumL]],T_TraitDi[#Data],COLUMN(T_TraitDi[[#This Row],[WebC]]),FALSE)="","",VLOOKUP(T_BilanSocial[[#This Row],[NumL]],T_TraitDi[#Data],COLUMN(T_TraitDi[[#This Row],[WebC]]),FALSE))</f>
        <v>#VALUE!</v>
      </c>
      <c r="E87" s="163" t="str">
        <f t="shared" si="11"/>
        <v>12 janvier 2021</v>
      </c>
      <c r="F87" s="96" t="str">
        <f>IF(T_BilanSocial[[#This Row],[Final]]&lt;&gt;"",VLOOKUP(T_BilanSocial[[#This Row],[NumL]],T_suiviDi[#Data],COLUMN((T_suiviDi[Civ.])),FALSE),"")</f>
        <v/>
      </c>
      <c r="G87" s="96" t="str">
        <f>IF(T_BilanSocial[[#This Row],[Final]]&lt;&gt;"",VLOOKUP(T_BilanSocial[[#This Row],[NumL]],T_suiviDi[#Data],COLUMN((T_suiviDi[Nom])),FALSE),"")</f>
        <v/>
      </c>
      <c r="H87" s="96" t="str">
        <f>IF(T_BilanSocial[[#This Row],[Final]]&lt;&gt;"",VLOOKUP(T_BilanSocial[[#This Row],[NumL]],T_suiviDi[#Data],COLUMN((T_suiviDi[Prénom])),FALSE),"")</f>
        <v/>
      </c>
      <c r="I87" s="96" t="str">
        <f>IFERROR(VLOOKUP(T_BilanSocial[[#This Row],[Zone_Bilan]],T_P_BilanSocial[#Data],COLUMN(T_P_BilanSocial[[#This Row],[Numero_SIHAM]]),FALSE),"")</f>
        <v/>
      </c>
      <c r="J87" s="96" t="str">
        <f>IFERROR(VLOOKUP(T_BilanSocial[[#This Row],[Zone_Bilan]],T_P_BilanSocial[#Data],COLUMN(T_P_BilanSocial[[#This Row],[Sexe]]),FALSE),"")</f>
        <v/>
      </c>
      <c r="K87" s="97" t="str">
        <f>IFERROR(VLOOKUP(T_BilanSocial[[#This Row],[Zone_Bilan]],T_P_BilanSocial[#Data],COLUMN(T_P_BilanSocial[[#This Row],[Categorie]]),FALSE),"")</f>
        <v/>
      </c>
      <c r="L87" s="96" t="str">
        <f>IFERROR(VLOOKUP(T_BilanSocial[[#This Row],[Zone_Bilan]],T_P_BilanSocial[#Data],COLUMN(T_P_BilanSocial[[#This Row],[Statut]]),FALSE),"")</f>
        <v/>
      </c>
      <c r="M87" s="96" t="str">
        <f>IFERROR(VLOOKUP(T_BilanSocial[[#This Row],[Zone_Bilan]],T_P_BilanSocial[#Data],COLUMN(T_P_BilanSocial[[#This Row],[Filiere]]),FALSE),"")</f>
        <v/>
      </c>
      <c r="N87" s="96" t="e">
        <f>VLOOKUP(T_BilanSocial[[#This Row],[NumL]],T_TraitDi[#Data],COLUMN(T_TraitDi[EXP]),FALSE)</f>
        <v>#N/A</v>
      </c>
      <c r="O87" s="96" t="e">
        <f>VLOOKUP(T_BilanSocial[[#This Row],[NumL]],T_TraitDi[#Data],COLUMN(T_TraitDi[FORM]),FALSE)</f>
        <v>#N/A</v>
      </c>
      <c r="P87" s="96" t="str">
        <f>IF(T_BilanSocial[[#This Row],[Final]]&lt;&gt;"",VLOOKUP(T_BilanSocial[[#This Row],[NumL]],T_suiviDi[#Data],COLUMN((T_suiviDi[Email])),FALSE),"")</f>
        <v/>
      </c>
      <c r="Q87" s="164" t="e">
        <f t="shared" si="17"/>
        <v>#N/A</v>
      </c>
      <c r="R87" s="164" t="e">
        <f t="shared" si="18"/>
        <v>#N/A</v>
      </c>
      <c r="S87" s="164" t="e">
        <f>IF(VLOOKUP(T_BilanSocial[[#This Row],[NumL]],T_suiviDi[#Data],COLUMN(T_suiviDi[[#This Row],[Service ]]),FALSE)="","",VLOOKUP(T_BilanSocial[[#This Row],[NumL]],T_suiviDi[#Data],COLUMN(T_suiviDi[[#This Row],[Service ]]),FALSE))</f>
        <v>#VALUE!</v>
      </c>
      <c r="T87" s="164" t="str">
        <f t="shared" si="12"/>
        <v>01 septembre 2021</v>
      </c>
      <c r="U87" s="164" t="str">
        <f t="shared" si="13"/>
        <v>30 novembre 2021</v>
      </c>
      <c r="V87" s="164" t="str">
        <f t="shared" si="19"/>
        <v>30 novembre 2021</v>
      </c>
      <c r="W87" s="176" t="e">
        <f>IF(VLOOKUP(T_BilanSocial[[#This Row],[NumL]],T_TraitDi[#Data],COLUMN(T_TraitDi[[#This Row],[M1]]),FALSE)="","",VLOOKUP(T_BilanSocial[[#This Row],[NumL]],T_TraitDi[#Data],COLUMN(T_TraitDi[[#This Row],[M1]]),FALSE))</f>
        <v>#VALUE!</v>
      </c>
      <c r="X87" s="176" t="e">
        <f>IF(VLOOKUP(T_BilanSocial[[#This Row],[NumL]],T_TraitDi[#Data],COLUMN(T_TraitDi[[#This Row],[M2]]),FALSE)="","",VLOOKUP(T_BilanSocial[[#This Row],[NumL]],T_TraitDi[#Data],COLUMN(T_TraitDi[[#This Row],[M2]]),FALSE))</f>
        <v>#VALUE!</v>
      </c>
      <c r="Y87" s="176" t="e">
        <f>IF(VLOOKUP(T_BilanSocial[[#This Row],[NumL]],T_TraitDi[#Data],COLUMN(T_TraitDi[[#This Row],[M3]]),FALSE)="","",VLOOKUP(T_BilanSocial[[#This Row],[NumL]],T_TraitDi[#Data],COLUMN(T_TraitDi[[#This Row],[M3]]),FALSE))</f>
        <v>#VALUE!</v>
      </c>
      <c r="Z87" s="176" t="str">
        <f t="shared" si="16"/>
        <v/>
      </c>
      <c r="AA87" s="176" t="e">
        <f>IF(VLOOKUP(T_BilanSocial[[#This Row],[NumL]],T_TraitDi[#Data],COLUMN(T_TraitDi[[#This Row],[M5]]),FALSE)="","",VLOOKUP(T_BilanSocial[[#This Row],[NumL]],T_TraitDi[#Data],COLUMN(T_TraitDi[[#This Row],[M5]]),FALSE))</f>
        <v>#VALUE!</v>
      </c>
      <c r="AB87" s="176" t="e">
        <f>IF(VLOOKUP(T_BilanSocial[[#This Row],[NumL]],T_TraitDi[#Data],COLUMN(T_TraitDi[[#This Row],[M6]]),FALSE)="","",VLOOKUP(T_BilanSocial[[#This Row],[NumL]],T_TraitDi[#Data],COLUMN(T_TraitDi[[#This Row],[M6]]),FALSE))</f>
        <v>#VALUE!</v>
      </c>
      <c r="AC87" s="165" t="e">
        <f t="shared" si="15"/>
        <v>#VALUE!</v>
      </c>
      <c r="AD87" s="188" t="str">
        <f>IFERROR(TEXT(VLOOKUP(T_BilanSocial[[#This Row],[NumL]],T_TraitDi[#Data],COLUMN(T_TraitDi[[#This Row],[Q2]]),FALSE),"###%"),"")</f>
        <v/>
      </c>
      <c r="AE87" s="97" t="e">
        <f>VLOOKUP(T_BilanSocial[[#This Row],[NumL]],T_TraitDi[#Data],COLUMN(T_TraitDi[[#This Row],[Reg Ponct]]),FALSE)</f>
        <v>#VALUE!</v>
      </c>
      <c r="AF87" s="97" t="e">
        <f>VLOOKUP(T_BilanSocial[NumL],T_TraitDi[#Data],COLUMN(T_TraitDi[[#This Row],[Jours flottants]]),FALSE)</f>
        <v>#VALUE!</v>
      </c>
      <c r="AG87" s="97" t="str">
        <f>IFERROR(VLOOKUP(T_BilanSocial[[#This Row],[NumL]],T_TraitDi[#Data],COLUMN(T_TraitDi[[#This Row],[Lundi]]),FALSE),"")</f>
        <v/>
      </c>
      <c r="AH87" s="172" t="e">
        <f>IF(VLOOKUP(T_BilanSocial[[#This Row],[NumL]],T_TraitDi[#Data],COLUMN(T_TraitDi[[#This Row],[Colonne3]]),FALSE)=0,"",TEXT(IFERROR(VLOOKUP(T_BilanSocial[[#This Row],[NumL]],T_TraitDi[#Data],COLUMN(T_TraitDi[[#This Row],[Colonne3]]),FALSE),""),"[hh]:mm"))</f>
        <v>#VALUE!</v>
      </c>
      <c r="AI87" s="172" t="e">
        <f>IF(VLOOKUP(T_BilanSocial[[#This Row],[NumL]],T_TraitDi[#Data],COLUMN(T_TraitDi[[#This Row],[Colonne4]]),FALSE)=0,"",TEXT(IFERROR(VLOOKUP(T_BilanSocial[[#This Row],[NumL]],T_TraitDi[#Data],COLUMN(T_TraitDi[[#This Row],[Colonne4]]),FALSE),""),"[hh]:mm"))</f>
        <v>#VALUE!</v>
      </c>
      <c r="AJ87" s="172" t="e">
        <f>IF(VLOOKUP(T_BilanSocial[[#This Row],[NumL]],T_TraitDi[#Data],COLUMN(T_TraitDi[[#This Row],[Colonne5]]),FALSE)=0,"",TEXT(IFERROR(VLOOKUP(T_BilanSocial[[#This Row],[NumL]],T_TraitDi[#Data],COLUMN(T_TraitDi[[#This Row],[Colonne5]]),FALSE),""),"[hh]:mm"))</f>
        <v>#VALUE!</v>
      </c>
      <c r="AK87" s="172" t="e">
        <f>IF(VLOOKUP(T_BilanSocial[[#This Row],[NumL]],T_TraitDi[#Data],COLUMN(T_TraitDi[[#This Row],[Colonne6]]),FALSE)=0,"",TEXT(IFERROR(VLOOKUP(T_BilanSocial[[#This Row],[NumL]],T_TraitDi[#Data],COLUMN(T_TraitDi[[#This Row],[Colonne6]]),FALSE),""),"[hh]:mm"))</f>
        <v>#VALUE!</v>
      </c>
      <c r="AL87" s="172" t="e">
        <f>IF(VLOOKUP(T_BilanSocial[[#This Row],[NumL]],T_TraitDi[#Data],COLUMN(T_TraitDi[[#This Row],[Colonne7]]),FALSE)=0,"",TEXT(IFERROR(VLOOKUP(T_BilanSocial[[#This Row],[NumL]],T_TraitDi[#Data],COLUMN(T_TraitDi[[#This Row],[Colonne7]]),FALSE),""),"[hh]:mm"))</f>
        <v>#VALUE!</v>
      </c>
      <c r="AM87" s="172" t="e">
        <f>IF(VLOOKUP(T_BilanSocial[[#This Row],[NumL]],T_TraitDi[#Data],COLUMN(T_TraitDi[[#This Row],[Colonne8]]),FALSE)=0,"",TEXT(IFERROR(VLOOKUP(T_BilanSocial[[#This Row],[NumL]],T_TraitDi[#Data],COLUMN(T_TraitDi[[#This Row],[Colonne8]]),FALSE),""),"[hh]:mm"))</f>
        <v>#VALUE!</v>
      </c>
      <c r="AN87" s="172" t="str">
        <f>IFERROR(VLOOKUP(T_BilanSocial[[#This Row],[NumL]],T_TraitDi[#Data],COLUMN(T_TraitDi[[#This Row],[Mardi]]),FALSE),"")</f>
        <v/>
      </c>
      <c r="AO87" s="172" t="e">
        <f>IF(VLOOKUP(T_BilanSocial[[#This Row],[NumL]],T_TraitDi[#Data],COLUMN(T_TraitDi[[#This Row],[Colonne1]]),FALSE)=0,"",TEXT(IFERROR(VLOOKUP(T_BilanSocial[[#This Row],[NumL]],T_TraitDi[#Data],COLUMN(T_TraitDi[[#This Row],[Colonne1]]),FALSE),""),"[hh]:mm"))</f>
        <v>#VALUE!</v>
      </c>
      <c r="AP87" s="172" t="e">
        <f>IF(VLOOKUP(T_BilanSocial[[#This Row],[NumL]],T_TraitDi[#Data],COLUMN(T_TraitDi[[#This Row],[Colonne9]]),FALSE)=0,"",TEXT(IFERROR(VLOOKUP(T_BilanSocial[[#This Row],[NumL]],T_TraitDi[#Data],COLUMN(T_TraitDi[[#This Row],[Colonne9]]),FALSE),""),"[hh]:mm"))</f>
        <v>#VALUE!</v>
      </c>
      <c r="AQ87" s="172" t="str">
        <f>IFERROR(VLOOKUP(T_BilanSocial[[#This Row],[NumL]],T_TraitDi[#Data],COLUMN(T_TraitDi[[#This Row],[Colonne10]]),FALSE),"")</f>
        <v/>
      </c>
      <c r="AR87" s="172" t="e">
        <f>IF(VLOOKUP(T_BilanSocial[[#This Row],[NumL]],T_TraitDi[#Data],COLUMN(T_TraitDi[[#This Row],[Colonne11]]),FALSE)=0,"",TEXT(IFERROR(VLOOKUP(T_BilanSocial[[#This Row],[NumL]],T_TraitDi[#Data],COLUMN(T_TraitDi[[#This Row],[Colonne11]]),FALSE),""),"[hh]:mm"))</f>
        <v>#VALUE!</v>
      </c>
      <c r="AS87" s="172" t="e">
        <f>IF(VLOOKUP(T_BilanSocial[[#This Row],[NumL]],T_TraitDi[#Data],COLUMN(T_TraitDi[[#This Row],[Colonne12]]),FALSE)=0,"",TEXT(IFERROR(VLOOKUP(T_BilanSocial[[#This Row],[NumL]],T_TraitDi[#Data],COLUMN(T_TraitDi[[#This Row],[Colonne12]]),FALSE),""),"[hh]:mm"))</f>
        <v>#VALUE!</v>
      </c>
      <c r="AT87" s="172" t="e">
        <f>IF(VLOOKUP(T_BilanSocial[[#This Row],[NumL]],T_TraitDi[#Data],COLUMN(T_TraitDi[[#This Row],[Colonne14]]),FALSE)=0,"",TEXT(IFERROR(VLOOKUP(T_BilanSocial[[#This Row],[NumL]],T_TraitDi[#Data],COLUMN(T_TraitDi[[#This Row],[Colonne14]]),FALSE),""),"[hh]:mm"))</f>
        <v>#VALUE!</v>
      </c>
      <c r="AU87" s="172" t="str">
        <f>IFERROR(VLOOKUP(T_BilanSocial[[#This Row],[NumL]],T_TraitDi[#Data],COLUMN(T_TraitDi[[#This Row],[Mercredi]]),FALSE),"")</f>
        <v/>
      </c>
      <c r="AV87" s="172" t="e">
        <f>IF(VLOOKUP(T_BilanSocial[[#This Row],[NumL]],T_TraitDi[#Data],COLUMN(T_TraitDi[[#This Row],[Colonne15]]),FALSE)=0,"",TEXT(IFERROR(VLOOKUP(T_BilanSocial[[#This Row],[NumL]],T_TraitDi[#Data],COLUMN(T_TraitDi[[#This Row],[Colonne15]]),FALSE),""),"[hh]:mm"))</f>
        <v>#VALUE!</v>
      </c>
      <c r="AW87" s="172" t="e">
        <f>IF(VLOOKUP(T_BilanSocial[[#This Row],[NumL]],T_TraitDi[#Data],COLUMN(T_TraitDi[[#This Row],[Colonne16]]),FALSE)=0,"",TEXT(IFERROR(VLOOKUP(T_BilanSocial[[#This Row],[NumL]],T_TraitDi[#Data],COLUMN(T_TraitDi[[#This Row],[Colonne16]]),FALSE),""),"[hh]:mm"))</f>
        <v>#VALUE!</v>
      </c>
      <c r="AX87" s="172" t="str">
        <f>IFERROR(VLOOKUP(T_BilanSocial[[#This Row],[NumL]],T_TraitDi[#Data],COLUMN(T_TraitDi[[#This Row],[Colonne17]]),FALSE),"")</f>
        <v/>
      </c>
      <c r="AY87" s="172" t="e">
        <f>IF(VLOOKUP(T_BilanSocial[[#This Row],[NumL]],T_TraitDi[#Data],COLUMN(T_TraitDi[[#This Row],[Colonne18]]),FALSE)=0,"",TEXT(IFERROR(VLOOKUP(T_BilanSocial[[#This Row],[NumL]],T_TraitDi[#Data],COLUMN(T_TraitDi[[#This Row],[Colonne18]]),FALSE),""),"[hh]:mm"))</f>
        <v>#VALUE!</v>
      </c>
      <c r="AZ87" s="172" t="e">
        <f>IF(VLOOKUP(T_BilanSocial[[#This Row],[NumL]],T_TraitDi[#Data],COLUMN(T_TraitDi[[#This Row],[Colonne19]]),FALSE)=0,"",TEXT(IFERROR(VLOOKUP(T_BilanSocial[[#This Row],[NumL]],T_TraitDi[#Data],COLUMN(T_TraitDi[[#This Row],[Colonne19]]),FALSE),""),"[hh]:mm"))</f>
        <v>#VALUE!</v>
      </c>
      <c r="BA87" s="172" t="e">
        <f>IF(VLOOKUP(T_BilanSocial[[#This Row],[NumL]],T_TraitDi[#Data],COLUMN(T_TraitDi[[#This Row],[Colonne20]]),FALSE)=0,"",TEXT(IFERROR(VLOOKUP(T_BilanSocial[[#This Row],[NumL]],T_TraitDi[#Data],COLUMN(T_TraitDi[[#This Row],[Colonne20]]),FALSE),""),"[hh]:mm"))</f>
        <v>#VALUE!</v>
      </c>
      <c r="BB87" s="178" t="str">
        <f>IFERROR(VLOOKUP(T_BilanSocial[[#This Row],[NumL]],T_TraitDi[#Data],COLUMN(T_TraitDi[[#This Row],[Jeudi]]),FALSE),"")</f>
        <v/>
      </c>
      <c r="BC87" s="178" t="e">
        <f>IF(VLOOKUP(T_BilanSocial[[#This Row],[NumL]],T_TraitDi[#Data],COLUMN(T_TraitDi[[#This Row],[Colonne21]]),FALSE)=0,"",TEXT(IFERROR(VLOOKUP(T_BilanSocial[[#This Row],[NumL]],T_TraitDi[#Data],COLUMN(T_TraitDi[[#This Row],[Colonne21]]),FALSE),""),"[hh]:mm"))</f>
        <v>#VALUE!</v>
      </c>
      <c r="BD87" s="178" t="e">
        <f>IF(VLOOKUP(T_BilanSocial[[#This Row],[NumL]],T_TraitDi[#Data],COLUMN(T_TraitDi[[#This Row],[Colonne22]]),FALSE)=0,"",TEXT(IFERROR(VLOOKUP(T_BilanSocial[[#This Row],[NumL]],T_TraitDi[#Data],COLUMN(T_TraitDi[[#This Row],[Colonne22]]),FALSE),""),"[hh]:mm"))</f>
        <v>#VALUE!</v>
      </c>
      <c r="BE87" s="178" t="str">
        <f>IFERROR(VLOOKUP(T_BilanSocial[[#This Row],[NumL]],T_TraitDi[#Data],COLUMN(T_TraitDi[[#This Row],[Colonne23]]),FALSE),"")</f>
        <v/>
      </c>
      <c r="BF87" s="178" t="e">
        <f>IF(VLOOKUP(T_BilanSocial[[#This Row],[NumL]],T_TraitDi[#Data],COLUMN(T_TraitDi[[#This Row],[Colonne24]]),FALSE)=0,"",TEXT(IFERROR(VLOOKUP(T_BilanSocial[[#This Row],[NumL]],T_TraitDi[#Data],COLUMN(T_TraitDi[[#This Row],[Colonne24]]),FALSE),""),"[hh]:mm"))</f>
        <v>#VALUE!</v>
      </c>
      <c r="BG87" s="178" t="e">
        <f>IF(VLOOKUP(T_BilanSocial[[#This Row],[NumL]],T_TraitDi[#Data],COLUMN(T_TraitDi[[#This Row],[Colonne25]]),FALSE)=0,"",TEXT(IFERROR(VLOOKUP(T_BilanSocial[[#This Row],[NumL]],T_TraitDi[#Data],COLUMN(T_TraitDi[[#This Row],[Colonne25]]),FALSE),""),"[hh]:mm"))</f>
        <v>#VALUE!</v>
      </c>
      <c r="BH87" s="178" t="e">
        <f>IF(VLOOKUP(T_BilanSocial[[#This Row],[NumL]],T_TraitDi[#Data],COLUMN(T_TraitDi[[#This Row],[Colonne26]]),FALSE)=0,"",TEXT(IFERROR(VLOOKUP(T_BilanSocial[[#This Row],[NumL]],T_TraitDi[#Data],COLUMN(T_TraitDi[[#This Row],[Colonne26]]),FALSE),""),"[hh]:mm"))</f>
        <v>#VALUE!</v>
      </c>
      <c r="BI87" s="172" t="str">
        <f>IFERROR(VLOOKUP(T_BilanSocial[[#This Row],[NumL]],T_TraitDi[#Data],COLUMN(T_TraitDi[[#This Row],[Vendredi]]),FALSE),"")</f>
        <v/>
      </c>
      <c r="BJ87" s="172" t="e">
        <f>IF(VLOOKUP(T_BilanSocial[[#This Row],[NumL]],T_TraitDi[#Data],COLUMN(T_TraitDi[[#This Row],[Colonne27]]),FALSE)=0,"",TEXT(IFERROR(VLOOKUP(T_BilanSocial[[#This Row],[NumL]],T_TraitDi[#Data],COLUMN(T_TraitDi[[#This Row],[Colonne27]]),FALSE),""),"[hh]:mm"))</f>
        <v>#VALUE!</v>
      </c>
      <c r="BK87" s="172" t="e">
        <f>IF(VLOOKUP(T_BilanSocial[[#This Row],[NumL]],T_TraitDi[#Data],COLUMN(T_TraitDi[[#This Row],[Colonne28]]),FALSE)=0,"",TEXT(IFERROR(VLOOKUP(T_BilanSocial[[#This Row],[NumL]],T_TraitDi[#Data],COLUMN(T_TraitDi[[#This Row],[Colonne28]]),FALSE),""),"[hh]:mm"))</f>
        <v>#VALUE!</v>
      </c>
      <c r="BL87" s="172" t="str">
        <f>IFERROR(VLOOKUP(T_BilanSocial[[#This Row],[NumL]],T_TraitDi[#Data],COLUMN(T_TraitDi[[#This Row],[Colonne29]]),FALSE),"")</f>
        <v/>
      </c>
      <c r="BM87" s="172" t="e">
        <f>IF(VLOOKUP(T_BilanSocial[[#This Row],[NumL]],T_TraitDi[#Data],COLUMN(T_TraitDi[[#This Row],[Colonne30]]),FALSE)=0,"",TEXT(IFERROR(VLOOKUP(T_BilanSocial[[#This Row],[NumL]],T_TraitDi[#Data],COLUMN(T_TraitDi[[#This Row],[Colonne30]]),FALSE),""),"[hh]:mm"))</f>
        <v>#VALUE!</v>
      </c>
      <c r="BN87" s="172" t="e">
        <f>IF(VLOOKUP(T_BilanSocial[[#This Row],[NumL]],T_TraitDi[#Data],COLUMN(T_TraitDi[[#This Row],[Colonne31]]),FALSE)=0,"",TEXT(IFERROR(VLOOKUP(T_BilanSocial[[#This Row],[NumL]],T_TraitDi[#Data],COLUMN(T_TraitDi[[#This Row],[Colonne31]]),FALSE),""),"[hh]:mm"))</f>
        <v>#VALUE!</v>
      </c>
      <c r="BO87" s="172" t="e">
        <f>IF(VLOOKUP(T_BilanSocial[[#This Row],[NumL]],T_TraitDi[#Data],COLUMN(T_TraitDi[[#This Row],[Colonne32]]),FALSE)=0,"",TEXT(IFERROR(VLOOKUP(T_BilanSocial[[#This Row],[NumL]],T_TraitDi[#Data],COLUMN(T_TraitDi[[#This Row],[Colonne32]]),FALSE),""),"[hh]:mm"))</f>
        <v>#VALUE!</v>
      </c>
      <c r="BP87" s="172" t="e">
        <f>VLOOKUP(T_BilanSocial[[#This Row],[NumL]],T_TraitDi[#Data],COLUMN(T_TraitDi[NbJTot]),FALSE)</f>
        <v>#N/A</v>
      </c>
      <c r="BQ87" s="174" t="str">
        <f>IFERROR(VLOOKUP(T_BilanSocial[[#This Row],[NumL]],T_TraitDi[#Data],COLUMN(T_TraitDi[[#This Row],[NbJTW]]),FALSE),"")</f>
        <v/>
      </c>
      <c r="BR87" s="174" t="e">
        <f>IF(VLOOKUP(T_BilanSocial[[#This Row],[NumL]],T_TraitDi[#Data],COLUMN(T_TraitDi[[#This Row],[NbhTW]]),FALSE)=0,"",TEXT(IFERROR(VLOOKUP(T_BilanSocial[[#This Row],[NumL]],T_TraitDi[#Data],COLUMN(T_TraitDi[[#This Row],[NbhTW]]),FALSE),""),"[hh]:mm"))</f>
        <v>#VALUE!</v>
      </c>
      <c r="BS87" s="174" t="e">
        <f>IF(VLOOKUP(T_BilanSocial[[#This Row],[NumL]],T_TraitDi[#Data],COLUMN(T_TraitDi[[#This Row],[Nbhheb]]),FALSE)=0,"",TEXT(IFERROR(VLOOKUP($A87,T_TraitDi[#Data],COLUMN(T_TraitDi[[#This Row],[Nbhheb]]),FALSE),""),"[hh]:mm"))</f>
        <v>#VALUE!</v>
      </c>
      <c r="BT87" s="268" t="str">
        <f>IFERROR(VLOOKUP(VLOOKUP($A87,T_TraitDi[#Data],COLUMN(T_TraitDi[[#This Row],[Type1]]),FALSE),TypeTW,2,FALSE),"")</f>
        <v/>
      </c>
      <c r="BU87" s="182" t="str">
        <f>IFERROR(VLOOKUP($A87,T_TraitDi[#Data],COLUMN(T_TraitDi[[#This Row],[Rue1]]),FALSE),"")</f>
        <v/>
      </c>
      <c r="BV87" s="173" t="str">
        <f>IFERROR(VLOOKUP($A87,T_TraitDi[#Data],COLUMN(T_TraitDi[[#This Row],[CP1]]),FALSE),"")</f>
        <v/>
      </c>
      <c r="BW87" s="173" t="str">
        <f>IFERROR(VLOOKUP($A87,T_TraitDi[#Data],COLUMN(T_TraitDi[[#This Row],[VILLE1]]),FALSE),"")</f>
        <v/>
      </c>
      <c r="BX87" s="182" t="str">
        <f>IFERROR(VLOOKUP(VLOOKUP($A87,T_TraitDi[#Data],COLUMN(T_TraitDi[[#This Row],[Type2]]),FALSE),TypeTW,2,FALSE),"")</f>
        <v/>
      </c>
      <c r="BY87" s="182" t="str">
        <f>IFERROR(VLOOKUP($A87,T_TraitDi[#Data],COLUMN(T_TraitDi[[#This Row],[Rue2]]),FALSE),"")</f>
        <v/>
      </c>
      <c r="BZ87" s="173" t="str">
        <f>IFERROR(VLOOKUP($A87,T_TraitDi[#Data],COLUMN(T_TraitDi[[#This Row],[CP2]]),FALSE),"")</f>
        <v/>
      </c>
      <c r="CA87" s="173" t="str">
        <f>IFERROR(VLOOKUP($A87,T_TraitDi[#Data],COLUMN(T_TraitDi[[#This Row],[VILLE2]]),FALSE),"")</f>
        <v/>
      </c>
      <c r="CB87" s="182" t="str">
        <f>IF(VLOOKUP(T_BilanSocial[[#This Row],[NumL]],T_Equipement[#Data],COLUMN(T_Equipement[[#This Row],[PC]]),FALSE)="","Aucun équipement spécifique directement lié au télétravail",VLOOKUP(T_BilanSocial[[#This Row],[NumL]],T_Equipement[#Data],COLUMN(T_Equipement[[#This Row],[PC]]),FALSE))</f>
        <v xml:space="preserve">20-716	</v>
      </c>
      <c r="CC87" s="166" t="str">
        <f>IFERROR(IF(VLOOKUP(T_BilanSocial[[#This Row],[NumL]],T_TraitDi[#Data],COLUMN(T_TraitDi[[#This Row],[Plan]]),FALSE)="OK","Un planning spécifique de télétravail est annexé à la présente convention.",""),"")</f>
        <v/>
      </c>
      <c r="CD87" s="185"/>
      <c r="CE87" s="164" t="e">
        <f>IF(VLOOKUP(T_BilanSocial[[#This Row],[NumL]],T_suiviDi[#Data],COLUMN(T_suiviDi[[#This Row],[Entité]]),FALSE)="","",VLOOKUP(T_BilanSocial[[#This Row],[NumL]],T_suiviDi[#Data],COLUMN(T_suiviDi[[#This Row],[Entité]]),FALSE))</f>
        <v>#VALUE!</v>
      </c>
      <c r="CF87" s="164" t="str">
        <f>IF(VLOOKUP(T_BilanSocial[[#This Row],[NumL]],T_Commission[#Data],COLUMN(T_Commission[[#This Row],[envoi confirm TW]]),FALSE)="","",VLOOKUP(T_BilanSocial[[#This Row],[NumL]],T_Commission[#Data],COLUMN(T_Commission[[#This Row],[envoi confirm TW]]),FALSE))</f>
        <v>Oui</v>
      </c>
      <c r="CG8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7" s="262" t="str">
        <f>T_BilanSocial[[#This Row],[Nom]]&amp;T_BilanSocial[[#This Row],[Prenom]]</f>
        <v/>
      </c>
      <c r="CI87" s="262">
        <f>VLOOKUP(T_BilanSocial[[#This Row],[NumL]],T_Commission[#Data],COLUMN(T_Commission[Commentaire]),FALSE)</f>
        <v>0</v>
      </c>
      <c r="CJ87" s="262" t="str">
        <f>IF(VLOOKUP(T_BilanSocial[[#This Row],[NumL]],T_Commission[#Data],COLUMN(T_Commission[Encadrant Email]),FALSE)="","",VLOOKUP(T_BilanSocial[[#This Row],[NumL]],T_Commission[#Data],COLUMN(T_Commission[Encadrant Email]),FALSE))</f>
        <v/>
      </c>
      <c r="CK87" s="340" t="str">
        <f>IF(T_BilanSocial[[#This Row],[Final]]&lt;&gt;"",VLOOKUP(T_BilanSocial[[#This Row],[NumL]],T_suiviDi[#Data],COLUMN((T_suiviDi[Statut])),FALSE),"")</f>
        <v/>
      </c>
    </row>
    <row r="88" spans="1:89" s="106" customFormat="1" ht="24.75" customHeight="1" x14ac:dyDescent="0.25">
      <c r="A88" s="160">
        <v>85</v>
      </c>
      <c r="B88" s="161" t="str">
        <f t="shared" si="10"/>
        <v/>
      </c>
      <c r="C88" s="162" t="s">
        <v>173</v>
      </c>
      <c r="D88" s="95" t="e">
        <f>IF(VLOOKUP(T_BilanSocial[[#This Row],[NumL]],T_TraitDi[#Data],COLUMN(T_TraitDi[[#This Row],[WebC]]),FALSE)="","",VLOOKUP(T_BilanSocial[[#This Row],[NumL]],T_TraitDi[#Data],COLUMN(T_TraitDi[[#This Row],[WebC]]),FALSE))</f>
        <v>#VALUE!</v>
      </c>
      <c r="E88" s="163" t="str">
        <f t="shared" si="11"/>
        <v>12 janvier 2021</v>
      </c>
      <c r="F88" s="96" t="str">
        <f>IF(T_BilanSocial[[#This Row],[Final]]&lt;&gt;"",VLOOKUP(T_BilanSocial[[#This Row],[NumL]],T_suiviDi[#Data],COLUMN((T_suiviDi[Civ.])),FALSE),"")</f>
        <v/>
      </c>
      <c r="G88" s="96" t="str">
        <f>IF(T_BilanSocial[[#This Row],[Final]]&lt;&gt;"",VLOOKUP(T_BilanSocial[[#This Row],[NumL]],T_suiviDi[#Data],COLUMN((T_suiviDi[Nom])),FALSE),"")</f>
        <v/>
      </c>
      <c r="H88" s="96" t="str">
        <f>IF(T_BilanSocial[[#This Row],[Final]]&lt;&gt;"",VLOOKUP(T_BilanSocial[[#This Row],[NumL]],T_suiviDi[#Data],COLUMN((T_suiviDi[Prénom])),FALSE),"")</f>
        <v/>
      </c>
      <c r="I88" s="96" t="str">
        <f>IFERROR(VLOOKUP(T_BilanSocial[[#This Row],[Zone_Bilan]],T_P_BilanSocial[#Data],COLUMN(T_P_BilanSocial[[#This Row],[Numero_SIHAM]]),FALSE),"")</f>
        <v/>
      </c>
      <c r="J88" s="96" t="str">
        <f>IFERROR(VLOOKUP(T_BilanSocial[[#This Row],[Zone_Bilan]],T_P_BilanSocial[#Data],COLUMN(T_P_BilanSocial[[#This Row],[Sexe]]),FALSE),"")</f>
        <v/>
      </c>
      <c r="K88" s="97" t="str">
        <f>IFERROR(VLOOKUP(T_BilanSocial[[#This Row],[Zone_Bilan]],T_P_BilanSocial[#Data],COLUMN(T_P_BilanSocial[[#This Row],[Categorie]]),FALSE),"")</f>
        <v/>
      </c>
      <c r="L88" s="96" t="str">
        <f>IFERROR(VLOOKUP(T_BilanSocial[[#This Row],[Zone_Bilan]],T_P_BilanSocial[#Data],COLUMN(T_P_BilanSocial[[#This Row],[Statut]]),FALSE),"")</f>
        <v/>
      </c>
      <c r="M88" s="96" t="str">
        <f>IFERROR(VLOOKUP(T_BilanSocial[[#This Row],[Zone_Bilan]],T_P_BilanSocial[#Data],COLUMN(T_P_BilanSocial[[#This Row],[Filiere]]),FALSE),"")</f>
        <v/>
      </c>
      <c r="N88" s="96" t="e">
        <f>VLOOKUP(T_BilanSocial[[#This Row],[NumL]],T_TraitDi[#Data],COLUMN(T_TraitDi[EXP]),FALSE)</f>
        <v>#N/A</v>
      </c>
      <c r="O88" s="96" t="e">
        <f>VLOOKUP(T_BilanSocial[[#This Row],[NumL]],T_TraitDi[#Data],COLUMN(T_TraitDi[FORM]),FALSE)</f>
        <v>#N/A</v>
      </c>
      <c r="P88" s="96" t="str">
        <f>IF(T_BilanSocial[[#This Row],[Final]]&lt;&gt;"",VLOOKUP(T_BilanSocial[[#This Row],[NumL]],T_suiviDi[#Data],COLUMN((T_suiviDi[Email])),FALSE),"")</f>
        <v/>
      </c>
      <c r="Q88" s="164" t="e">
        <f t="shared" si="17"/>
        <v>#N/A</v>
      </c>
      <c r="R88" s="164" t="e">
        <f t="shared" si="18"/>
        <v>#N/A</v>
      </c>
      <c r="S88" s="164" t="e">
        <f>IF(VLOOKUP(T_BilanSocial[[#This Row],[NumL]],T_suiviDi[#Data],COLUMN(T_suiviDi[[#This Row],[Service ]]),FALSE)="","",VLOOKUP(T_BilanSocial[[#This Row],[NumL]],T_suiviDi[#Data],COLUMN(T_suiviDi[[#This Row],[Service ]]),FALSE))</f>
        <v>#VALUE!</v>
      </c>
      <c r="T88" s="164" t="str">
        <f t="shared" si="12"/>
        <v>01 septembre 2021</v>
      </c>
      <c r="U88" s="164" t="str">
        <f t="shared" si="13"/>
        <v>30 novembre 2021</v>
      </c>
      <c r="V88" s="164" t="str">
        <f t="shared" si="19"/>
        <v>30 novembre 2021</v>
      </c>
      <c r="W88" s="176" t="e">
        <f>IF(VLOOKUP(T_BilanSocial[[#This Row],[NumL]],T_TraitDi[#Data],COLUMN(T_TraitDi[[#This Row],[M1]]),FALSE)="","",VLOOKUP(T_BilanSocial[[#This Row],[NumL]],T_TraitDi[#Data],COLUMN(T_TraitDi[[#This Row],[M1]]),FALSE))</f>
        <v>#VALUE!</v>
      </c>
      <c r="X88" s="176" t="e">
        <f>IF(VLOOKUP(T_BilanSocial[[#This Row],[NumL]],T_TraitDi[#Data],COLUMN(T_TraitDi[[#This Row],[M2]]),FALSE)="","",VLOOKUP(T_BilanSocial[[#This Row],[NumL]],T_TraitDi[#Data],COLUMN(T_TraitDi[[#This Row],[M2]]),FALSE))</f>
        <v>#VALUE!</v>
      </c>
      <c r="Y88" s="176" t="e">
        <f>IF(VLOOKUP(T_BilanSocial[[#This Row],[NumL]],T_TraitDi[#Data],COLUMN(T_TraitDi[[#This Row],[M3]]),FALSE)="","",VLOOKUP(T_BilanSocial[[#This Row],[NumL]],T_TraitDi[#Data],COLUMN(T_TraitDi[[#This Row],[M3]]),FALSE))</f>
        <v>#VALUE!</v>
      </c>
      <c r="Z88" s="176" t="str">
        <f t="shared" si="16"/>
        <v/>
      </c>
      <c r="AA88" s="176" t="e">
        <f>IF(VLOOKUP(T_BilanSocial[[#This Row],[NumL]],T_TraitDi[#Data],COLUMN(T_TraitDi[[#This Row],[M5]]),FALSE)="","",VLOOKUP(T_BilanSocial[[#This Row],[NumL]],T_TraitDi[#Data],COLUMN(T_TraitDi[[#This Row],[M5]]),FALSE))</f>
        <v>#VALUE!</v>
      </c>
      <c r="AB88" s="176" t="e">
        <f>IF(VLOOKUP(T_BilanSocial[[#This Row],[NumL]],T_TraitDi[#Data],COLUMN(T_TraitDi[[#This Row],[M6]]),FALSE)="","",VLOOKUP(T_BilanSocial[[#This Row],[NumL]],T_TraitDi[#Data],COLUMN(T_TraitDi[[#This Row],[M6]]),FALSE))</f>
        <v>#VALUE!</v>
      </c>
      <c r="AC88" s="165" t="e">
        <f t="shared" si="15"/>
        <v>#VALUE!</v>
      </c>
      <c r="AD88" s="188" t="str">
        <f>IFERROR(TEXT(VLOOKUP(T_BilanSocial[[#This Row],[NumL]],T_TraitDi[#Data],COLUMN(T_TraitDi[[#This Row],[Q2]]),FALSE),"###%"),"")</f>
        <v/>
      </c>
      <c r="AE88" s="97" t="e">
        <f>VLOOKUP(T_BilanSocial[[#This Row],[NumL]],T_TraitDi[#Data],COLUMN(T_TraitDi[[#This Row],[Reg Ponct]]),FALSE)</f>
        <v>#VALUE!</v>
      </c>
      <c r="AF88" s="97" t="e">
        <f>VLOOKUP(T_BilanSocial[NumL],T_TraitDi[#Data],COLUMN(T_TraitDi[[#This Row],[Jours flottants]]),FALSE)</f>
        <v>#VALUE!</v>
      </c>
      <c r="AG88" s="97" t="str">
        <f>IFERROR(VLOOKUP(T_BilanSocial[[#This Row],[NumL]],T_TraitDi[#Data],COLUMN(T_TraitDi[[#This Row],[Lundi]]),FALSE),"")</f>
        <v/>
      </c>
      <c r="AH88" s="172" t="e">
        <f>IF(VLOOKUP(T_BilanSocial[[#This Row],[NumL]],T_TraitDi[#Data],COLUMN(T_TraitDi[[#This Row],[Colonne3]]),FALSE)=0,"",TEXT(IFERROR(VLOOKUP(T_BilanSocial[[#This Row],[NumL]],T_TraitDi[#Data],COLUMN(T_TraitDi[[#This Row],[Colonne3]]),FALSE),""),"[hh]:mm"))</f>
        <v>#VALUE!</v>
      </c>
      <c r="AI88" s="172" t="e">
        <f>IF(VLOOKUP(T_BilanSocial[[#This Row],[NumL]],T_TraitDi[#Data],COLUMN(T_TraitDi[[#This Row],[Colonne4]]),FALSE)=0,"",TEXT(IFERROR(VLOOKUP(T_BilanSocial[[#This Row],[NumL]],T_TraitDi[#Data],COLUMN(T_TraitDi[[#This Row],[Colonne4]]),FALSE),""),"[hh]:mm"))</f>
        <v>#VALUE!</v>
      </c>
      <c r="AJ88" s="172" t="e">
        <f>IF(VLOOKUP(T_BilanSocial[[#This Row],[NumL]],T_TraitDi[#Data],COLUMN(T_TraitDi[[#This Row],[Colonne5]]),FALSE)=0,"",TEXT(IFERROR(VLOOKUP(T_BilanSocial[[#This Row],[NumL]],T_TraitDi[#Data],COLUMN(T_TraitDi[[#This Row],[Colonne5]]),FALSE),""),"[hh]:mm"))</f>
        <v>#VALUE!</v>
      </c>
      <c r="AK88" s="172" t="e">
        <f>IF(VLOOKUP(T_BilanSocial[[#This Row],[NumL]],T_TraitDi[#Data],COLUMN(T_TraitDi[[#This Row],[Colonne6]]),FALSE)=0,"",TEXT(IFERROR(VLOOKUP(T_BilanSocial[[#This Row],[NumL]],T_TraitDi[#Data],COLUMN(T_TraitDi[[#This Row],[Colonne6]]),FALSE),""),"[hh]:mm"))</f>
        <v>#VALUE!</v>
      </c>
      <c r="AL88" s="172" t="e">
        <f>IF(VLOOKUP(T_BilanSocial[[#This Row],[NumL]],T_TraitDi[#Data],COLUMN(T_TraitDi[[#This Row],[Colonne7]]),FALSE)=0,"",TEXT(IFERROR(VLOOKUP(T_BilanSocial[[#This Row],[NumL]],T_TraitDi[#Data],COLUMN(T_TraitDi[[#This Row],[Colonne7]]),FALSE),""),"[hh]:mm"))</f>
        <v>#VALUE!</v>
      </c>
      <c r="AM88" s="172" t="e">
        <f>IF(VLOOKUP(T_BilanSocial[[#This Row],[NumL]],T_TraitDi[#Data],COLUMN(T_TraitDi[[#This Row],[Colonne8]]),FALSE)=0,"",TEXT(IFERROR(VLOOKUP(T_BilanSocial[[#This Row],[NumL]],T_TraitDi[#Data],COLUMN(T_TraitDi[[#This Row],[Colonne8]]),FALSE),""),"[hh]:mm"))</f>
        <v>#VALUE!</v>
      </c>
      <c r="AN88" s="172" t="str">
        <f>IFERROR(VLOOKUP(T_BilanSocial[[#This Row],[NumL]],T_TraitDi[#Data],COLUMN(T_TraitDi[[#This Row],[Mardi]]),FALSE),"")</f>
        <v/>
      </c>
      <c r="AO88" s="172" t="e">
        <f>IF(VLOOKUP(T_BilanSocial[[#This Row],[NumL]],T_TraitDi[#Data],COLUMN(T_TraitDi[[#This Row],[Colonne1]]),FALSE)=0,"",TEXT(IFERROR(VLOOKUP(T_BilanSocial[[#This Row],[NumL]],T_TraitDi[#Data],COLUMN(T_TraitDi[[#This Row],[Colonne1]]),FALSE),""),"[hh]:mm"))</f>
        <v>#VALUE!</v>
      </c>
      <c r="AP88" s="172" t="e">
        <f>IF(VLOOKUP(T_BilanSocial[[#This Row],[NumL]],T_TraitDi[#Data],COLUMN(T_TraitDi[[#This Row],[Colonne9]]),FALSE)=0,"",TEXT(IFERROR(VLOOKUP(T_BilanSocial[[#This Row],[NumL]],T_TraitDi[#Data],COLUMN(T_TraitDi[[#This Row],[Colonne9]]),FALSE),""),"[hh]:mm"))</f>
        <v>#VALUE!</v>
      </c>
      <c r="AQ88" s="172" t="str">
        <f>IFERROR(VLOOKUP(T_BilanSocial[[#This Row],[NumL]],T_TraitDi[#Data],COLUMN(T_TraitDi[[#This Row],[Colonne10]]),FALSE),"")</f>
        <v/>
      </c>
      <c r="AR88" s="172" t="e">
        <f>IF(VLOOKUP(T_BilanSocial[[#This Row],[NumL]],T_TraitDi[#Data],COLUMN(T_TraitDi[[#This Row],[Colonne11]]),FALSE)=0,"",TEXT(IFERROR(VLOOKUP(T_BilanSocial[[#This Row],[NumL]],T_TraitDi[#Data],COLUMN(T_TraitDi[[#This Row],[Colonne11]]),FALSE),""),"[hh]:mm"))</f>
        <v>#VALUE!</v>
      </c>
      <c r="AS88" s="172" t="e">
        <f>IF(VLOOKUP(T_BilanSocial[[#This Row],[NumL]],T_TraitDi[#Data],COLUMN(T_TraitDi[[#This Row],[Colonne12]]),FALSE)=0,"",TEXT(IFERROR(VLOOKUP(T_BilanSocial[[#This Row],[NumL]],T_TraitDi[#Data],COLUMN(T_TraitDi[[#This Row],[Colonne12]]),FALSE),""),"[hh]:mm"))</f>
        <v>#VALUE!</v>
      </c>
      <c r="AT88" s="172" t="e">
        <f>IF(VLOOKUP(T_BilanSocial[[#This Row],[NumL]],T_TraitDi[#Data],COLUMN(T_TraitDi[[#This Row],[Colonne14]]),FALSE)=0,"",TEXT(IFERROR(VLOOKUP(T_BilanSocial[[#This Row],[NumL]],T_TraitDi[#Data],COLUMN(T_TraitDi[[#This Row],[Colonne14]]),FALSE),""),"[hh]:mm"))</f>
        <v>#VALUE!</v>
      </c>
      <c r="AU88" s="172" t="str">
        <f>IFERROR(VLOOKUP(T_BilanSocial[[#This Row],[NumL]],T_TraitDi[#Data],COLUMN(T_TraitDi[[#This Row],[Mercredi]]),FALSE),"")</f>
        <v/>
      </c>
      <c r="AV88" s="172" t="e">
        <f>IF(VLOOKUP(T_BilanSocial[[#This Row],[NumL]],T_TraitDi[#Data],COLUMN(T_TraitDi[[#This Row],[Colonne15]]),FALSE)=0,"",TEXT(IFERROR(VLOOKUP(T_BilanSocial[[#This Row],[NumL]],T_TraitDi[#Data],COLUMN(T_TraitDi[[#This Row],[Colonne15]]),FALSE),""),"[hh]:mm"))</f>
        <v>#VALUE!</v>
      </c>
      <c r="AW88" s="172" t="e">
        <f>IF(VLOOKUP(T_BilanSocial[[#This Row],[NumL]],T_TraitDi[#Data],COLUMN(T_TraitDi[[#This Row],[Colonne16]]),FALSE)=0,"",TEXT(IFERROR(VLOOKUP(T_BilanSocial[[#This Row],[NumL]],T_TraitDi[#Data],COLUMN(T_TraitDi[[#This Row],[Colonne16]]),FALSE),""),"[hh]:mm"))</f>
        <v>#VALUE!</v>
      </c>
      <c r="AX88" s="172" t="str">
        <f>IFERROR(VLOOKUP(T_BilanSocial[[#This Row],[NumL]],T_TraitDi[#Data],COLUMN(T_TraitDi[[#This Row],[Colonne17]]),FALSE),"")</f>
        <v/>
      </c>
      <c r="AY88" s="172" t="e">
        <f>IF(VLOOKUP(T_BilanSocial[[#This Row],[NumL]],T_TraitDi[#Data],COLUMN(T_TraitDi[[#This Row],[Colonne18]]),FALSE)=0,"",TEXT(IFERROR(VLOOKUP(T_BilanSocial[[#This Row],[NumL]],T_TraitDi[#Data],COLUMN(T_TraitDi[[#This Row],[Colonne18]]),FALSE),""),"[hh]:mm"))</f>
        <v>#VALUE!</v>
      </c>
      <c r="AZ88" s="172" t="e">
        <f>IF(VLOOKUP(T_BilanSocial[[#This Row],[NumL]],T_TraitDi[#Data],COLUMN(T_TraitDi[[#This Row],[Colonne19]]),FALSE)=0,"",TEXT(IFERROR(VLOOKUP(T_BilanSocial[[#This Row],[NumL]],T_TraitDi[#Data],COLUMN(T_TraitDi[[#This Row],[Colonne19]]),FALSE),""),"[hh]:mm"))</f>
        <v>#VALUE!</v>
      </c>
      <c r="BA88" s="172" t="e">
        <f>IF(VLOOKUP(T_BilanSocial[[#This Row],[NumL]],T_TraitDi[#Data],COLUMN(T_TraitDi[[#This Row],[Colonne20]]),FALSE)=0,"",TEXT(IFERROR(VLOOKUP(T_BilanSocial[[#This Row],[NumL]],T_TraitDi[#Data],COLUMN(T_TraitDi[[#This Row],[Colonne20]]),FALSE),""),"[hh]:mm"))</f>
        <v>#VALUE!</v>
      </c>
      <c r="BB88" s="178" t="str">
        <f>IFERROR(VLOOKUP(T_BilanSocial[[#This Row],[NumL]],T_TraitDi[#Data],COLUMN(T_TraitDi[[#This Row],[Jeudi]]),FALSE),"")</f>
        <v/>
      </c>
      <c r="BC88" s="178" t="e">
        <f>IF(VLOOKUP(T_BilanSocial[[#This Row],[NumL]],T_TraitDi[#Data],COLUMN(T_TraitDi[[#This Row],[Colonne21]]),FALSE)=0,"",TEXT(IFERROR(VLOOKUP(T_BilanSocial[[#This Row],[NumL]],T_TraitDi[#Data],COLUMN(T_TraitDi[[#This Row],[Colonne21]]),FALSE),""),"[hh]:mm"))</f>
        <v>#VALUE!</v>
      </c>
      <c r="BD88" s="178" t="e">
        <f>IF(VLOOKUP(T_BilanSocial[[#This Row],[NumL]],T_TraitDi[#Data],COLUMN(T_TraitDi[[#This Row],[Colonne22]]),FALSE)=0,"",TEXT(IFERROR(VLOOKUP(T_BilanSocial[[#This Row],[NumL]],T_TraitDi[#Data],COLUMN(T_TraitDi[[#This Row],[Colonne22]]),FALSE),""),"[hh]:mm"))</f>
        <v>#VALUE!</v>
      </c>
      <c r="BE88" s="178" t="str">
        <f>IFERROR(VLOOKUP(T_BilanSocial[[#This Row],[NumL]],T_TraitDi[#Data],COLUMN(T_TraitDi[[#This Row],[Colonne23]]),FALSE),"")</f>
        <v/>
      </c>
      <c r="BF88" s="178" t="e">
        <f>IF(VLOOKUP(T_BilanSocial[[#This Row],[NumL]],T_TraitDi[#Data],COLUMN(T_TraitDi[[#This Row],[Colonne24]]),FALSE)=0,"",TEXT(IFERROR(VLOOKUP(T_BilanSocial[[#This Row],[NumL]],T_TraitDi[#Data],COLUMN(T_TraitDi[[#This Row],[Colonne24]]),FALSE),""),"[hh]:mm"))</f>
        <v>#VALUE!</v>
      </c>
      <c r="BG88" s="178" t="e">
        <f>IF(VLOOKUP(T_BilanSocial[[#This Row],[NumL]],T_TraitDi[#Data],COLUMN(T_TraitDi[[#This Row],[Colonne25]]),FALSE)=0,"",TEXT(IFERROR(VLOOKUP(T_BilanSocial[[#This Row],[NumL]],T_TraitDi[#Data],COLUMN(T_TraitDi[[#This Row],[Colonne25]]),FALSE),""),"[hh]:mm"))</f>
        <v>#VALUE!</v>
      </c>
      <c r="BH88" s="178" t="e">
        <f>IF(VLOOKUP(T_BilanSocial[[#This Row],[NumL]],T_TraitDi[#Data],COLUMN(T_TraitDi[[#This Row],[Colonne26]]),FALSE)=0,"",TEXT(IFERROR(VLOOKUP(T_BilanSocial[[#This Row],[NumL]],T_TraitDi[#Data],COLUMN(T_TraitDi[[#This Row],[Colonne26]]),FALSE),""),"[hh]:mm"))</f>
        <v>#VALUE!</v>
      </c>
      <c r="BI88" s="172" t="str">
        <f>IFERROR(VLOOKUP(T_BilanSocial[[#This Row],[NumL]],T_TraitDi[#Data],COLUMN(T_TraitDi[[#This Row],[Vendredi]]),FALSE),"")</f>
        <v/>
      </c>
      <c r="BJ88" s="172" t="e">
        <f>IF(VLOOKUP(T_BilanSocial[[#This Row],[NumL]],T_TraitDi[#Data],COLUMN(T_TraitDi[[#This Row],[Colonne27]]),FALSE)=0,"",TEXT(IFERROR(VLOOKUP(T_BilanSocial[[#This Row],[NumL]],T_TraitDi[#Data],COLUMN(T_TraitDi[[#This Row],[Colonne27]]),FALSE),""),"[hh]:mm"))</f>
        <v>#VALUE!</v>
      </c>
      <c r="BK88" s="172" t="e">
        <f>IF(VLOOKUP(T_BilanSocial[[#This Row],[NumL]],T_TraitDi[#Data],COLUMN(T_TraitDi[[#This Row],[Colonne28]]),FALSE)=0,"",TEXT(IFERROR(VLOOKUP(T_BilanSocial[[#This Row],[NumL]],T_TraitDi[#Data],COLUMN(T_TraitDi[[#This Row],[Colonne28]]),FALSE),""),"[hh]:mm"))</f>
        <v>#VALUE!</v>
      </c>
      <c r="BL88" s="172" t="str">
        <f>IFERROR(VLOOKUP(T_BilanSocial[[#This Row],[NumL]],T_TraitDi[#Data],COLUMN(T_TraitDi[[#This Row],[Colonne29]]),FALSE),"")</f>
        <v/>
      </c>
      <c r="BM88" s="172" t="e">
        <f>IF(VLOOKUP(T_BilanSocial[[#This Row],[NumL]],T_TraitDi[#Data],COLUMN(T_TraitDi[[#This Row],[Colonne30]]),FALSE)=0,"",TEXT(IFERROR(VLOOKUP(T_BilanSocial[[#This Row],[NumL]],T_TraitDi[#Data],COLUMN(T_TraitDi[[#This Row],[Colonne30]]),FALSE),""),"[hh]:mm"))</f>
        <v>#VALUE!</v>
      </c>
      <c r="BN88" s="172" t="e">
        <f>IF(VLOOKUP(T_BilanSocial[[#This Row],[NumL]],T_TraitDi[#Data],COLUMN(T_TraitDi[[#This Row],[Colonne31]]),FALSE)=0,"",TEXT(IFERROR(VLOOKUP(T_BilanSocial[[#This Row],[NumL]],T_TraitDi[#Data],COLUMN(T_TraitDi[[#This Row],[Colonne31]]),FALSE),""),"[hh]:mm"))</f>
        <v>#VALUE!</v>
      </c>
      <c r="BO88" s="172" t="e">
        <f>IF(VLOOKUP(T_BilanSocial[[#This Row],[NumL]],T_TraitDi[#Data],COLUMN(T_TraitDi[[#This Row],[Colonne32]]),FALSE)=0,"",TEXT(IFERROR(VLOOKUP(T_BilanSocial[[#This Row],[NumL]],T_TraitDi[#Data],COLUMN(T_TraitDi[[#This Row],[Colonne32]]),FALSE),""),"[hh]:mm"))</f>
        <v>#VALUE!</v>
      </c>
      <c r="BP88" s="172" t="e">
        <f>VLOOKUP(T_BilanSocial[[#This Row],[NumL]],T_TraitDi[#Data],COLUMN(T_TraitDi[NbJTot]),FALSE)</f>
        <v>#N/A</v>
      </c>
      <c r="BQ88" s="174" t="str">
        <f>IFERROR(VLOOKUP(T_BilanSocial[[#This Row],[NumL]],T_TraitDi[#Data],COLUMN(T_TraitDi[[#This Row],[NbJTW]]),FALSE),"")</f>
        <v/>
      </c>
      <c r="BR88" s="174" t="e">
        <f>IF(VLOOKUP(T_BilanSocial[[#This Row],[NumL]],T_TraitDi[#Data],COLUMN(T_TraitDi[[#This Row],[NbhTW]]),FALSE)=0,"",TEXT(IFERROR(VLOOKUP(T_BilanSocial[[#This Row],[NumL]],T_TraitDi[#Data],COLUMN(T_TraitDi[[#This Row],[NbhTW]]),FALSE),""),"[hh]:mm"))</f>
        <v>#VALUE!</v>
      </c>
      <c r="BS88" s="174" t="e">
        <f>IF(VLOOKUP(T_BilanSocial[[#This Row],[NumL]],T_TraitDi[#Data],COLUMN(T_TraitDi[[#This Row],[Nbhheb]]),FALSE)=0,"",TEXT(IFERROR(VLOOKUP($A88,T_TraitDi[#Data],COLUMN(T_TraitDi[[#This Row],[Nbhheb]]),FALSE),""),"[hh]:mm"))</f>
        <v>#VALUE!</v>
      </c>
      <c r="BT88" s="268" t="str">
        <f>IFERROR(VLOOKUP(VLOOKUP($A88,T_TraitDi[#Data],COLUMN(T_TraitDi[[#This Row],[Type1]]),FALSE),TypeTW,2,FALSE),"")</f>
        <v/>
      </c>
      <c r="BU88" s="182" t="str">
        <f>IFERROR(VLOOKUP($A88,T_TraitDi[#Data],COLUMN(T_TraitDi[[#This Row],[Rue1]]),FALSE),"")</f>
        <v/>
      </c>
      <c r="BV88" s="173" t="str">
        <f>IFERROR(VLOOKUP($A88,T_TraitDi[#Data],COLUMN(T_TraitDi[[#This Row],[CP1]]),FALSE),"")</f>
        <v/>
      </c>
      <c r="BW88" s="173" t="str">
        <f>IFERROR(VLOOKUP($A88,T_TraitDi[#Data],COLUMN(T_TraitDi[[#This Row],[VILLE1]]),FALSE),"")</f>
        <v/>
      </c>
      <c r="BX88" s="182" t="str">
        <f>IFERROR(VLOOKUP(VLOOKUP($A88,T_TraitDi[#Data],COLUMN(T_TraitDi[[#This Row],[Type2]]),FALSE),TypeTW,2,FALSE),"")</f>
        <v/>
      </c>
      <c r="BY88" s="182" t="str">
        <f>IFERROR(VLOOKUP($A88,T_TraitDi[#Data],COLUMN(T_TraitDi[[#This Row],[Rue2]]),FALSE),"")</f>
        <v/>
      </c>
      <c r="BZ88" s="173" t="str">
        <f>IFERROR(VLOOKUP($A88,T_TraitDi[#Data],COLUMN(T_TraitDi[[#This Row],[CP2]]),FALSE),"")</f>
        <v/>
      </c>
      <c r="CA88" s="173" t="str">
        <f>IFERROR(VLOOKUP($A88,T_TraitDi[#Data],COLUMN(T_TraitDi[[#This Row],[VILLE2]]),FALSE),"")</f>
        <v/>
      </c>
      <c r="CB88" s="182" t="str">
        <f>IF(VLOOKUP(T_BilanSocial[[#This Row],[NumL]],T_Equipement[#Data],COLUMN(T_Equipement[[#This Row],[PC]]),FALSE)="","Aucun équipement spécifique directement lié au télétravail",VLOOKUP(T_BilanSocial[[#This Row],[NumL]],T_Equipement[#Data],COLUMN(T_Equipement[[#This Row],[PC]]),FALSE))</f>
        <v>20-293</v>
      </c>
      <c r="CC88" s="166" t="str">
        <f>IFERROR(IF(VLOOKUP(T_BilanSocial[[#This Row],[NumL]],T_TraitDi[#Data],COLUMN(T_TraitDi[[#This Row],[Plan]]),FALSE)="OK","Un planning spécifique de télétravail est annexé à la présente convention.",""),"")</f>
        <v/>
      </c>
      <c r="CD88" s="185"/>
      <c r="CE88" s="164" t="e">
        <f>IF(VLOOKUP(T_BilanSocial[[#This Row],[NumL]],T_suiviDi[#Data],COLUMN(T_suiviDi[[#This Row],[Entité]]),FALSE)="","",VLOOKUP(T_BilanSocial[[#This Row],[NumL]],T_suiviDi[#Data],COLUMN(T_suiviDi[[#This Row],[Entité]]),FALSE))</f>
        <v>#VALUE!</v>
      </c>
      <c r="CF88" s="164" t="str">
        <f>IF(VLOOKUP(T_BilanSocial[[#This Row],[NumL]],T_Commission[#Data],COLUMN(T_Commission[[#This Row],[envoi confirm TW]]),FALSE)="","",VLOOKUP(T_BilanSocial[[#This Row],[NumL]],T_Commission[#Data],COLUMN(T_Commission[[#This Row],[envoi confirm TW]]),FALSE))</f>
        <v>Oui</v>
      </c>
      <c r="CG8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8" s="262" t="str">
        <f>T_BilanSocial[[#This Row],[Nom]]&amp;T_BilanSocial[[#This Row],[Prenom]]</f>
        <v/>
      </c>
      <c r="CI88" s="262">
        <f>VLOOKUP(T_BilanSocial[[#This Row],[NumL]],T_Commission[#Data],COLUMN(T_Commission[Commentaire]),FALSE)</f>
        <v>0</v>
      </c>
      <c r="CJ88" s="262" t="str">
        <f>IF(VLOOKUP(T_BilanSocial[[#This Row],[NumL]],T_Commission[#Data],COLUMN(T_Commission[Encadrant Email]),FALSE)="","",VLOOKUP(T_BilanSocial[[#This Row],[NumL]],T_Commission[#Data],COLUMN(T_Commission[Encadrant Email]),FALSE))</f>
        <v/>
      </c>
      <c r="CK88" s="340" t="str">
        <f>IF(T_BilanSocial[[#This Row],[Final]]&lt;&gt;"",VLOOKUP(T_BilanSocial[[#This Row],[NumL]],T_suiviDi[#Data],COLUMN((T_suiviDi[Statut])),FALSE),"")</f>
        <v/>
      </c>
    </row>
    <row r="89" spans="1:89" s="106" customFormat="1" ht="24.75" customHeight="1" x14ac:dyDescent="0.25">
      <c r="A89" s="160">
        <v>86</v>
      </c>
      <c r="B89" s="161" t="e">
        <f t="shared" si="10"/>
        <v>#N/A</v>
      </c>
      <c r="C89" s="162" t="s">
        <v>173</v>
      </c>
      <c r="D89" s="95" t="e">
        <f>IF(VLOOKUP(T_BilanSocial[[#This Row],[NumL]],T_TraitDi[#Data],COLUMN(T_TraitDi[[#This Row],[WebC]]),FALSE)="","",VLOOKUP(T_BilanSocial[[#This Row],[NumL]],T_TraitDi[#Data],COLUMN(T_TraitDi[[#This Row],[WebC]]),FALSE))</f>
        <v>#VALUE!</v>
      </c>
      <c r="E89" s="163" t="str">
        <f t="shared" si="11"/>
        <v>12 janvier 2021</v>
      </c>
      <c r="F89" s="96" t="e">
        <f>IF(T_BilanSocial[[#This Row],[Final]]&lt;&gt;"",VLOOKUP(T_BilanSocial[[#This Row],[NumL]],T_suiviDi[#Data],COLUMN((T_suiviDi[Civ.])),FALSE),"")</f>
        <v>#N/A</v>
      </c>
      <c r="G89" s="96" t="e">
        <f>IF(T_BilanSocial[[#This Row],[Final]]&lt;&gt;"",VLOOKUP(T_BilanSocial[[#This Row],[NumL]],T_suiviDi[#Data],COLUMN((T_suiviDi[Nom])),FALSE),"")</f>
        <v>#N/A</v>
      </c>
      <c r="H89" s="96" t="e">
        <f>IF(T_BilanSocial[[#This Row],[Final]]&lt;&gt;"",VLOOKUP(T_BilanSocial[[#This Row],[NumL]],T_suiviDi[#Data],COLUMN((T_suiviDi[Prénom])),FALSE),"")</f>
        <v>#N/A</v>
      </c>
      <c r="I89" s="96" t="str">
        <f>IFERROR(VLOOKUP(T_BilanSocial[[#This Row],[Zone_Bilan]],T_P_BilanSocial[#Data],COLUMN(T_P_BilanSocial[[#This Row],[Numero_SIHAM]]),FALSE),"")</f>
        <v/>
      </c>
      <c r="J89" s="96" t="str">
        <f>IFERROR(VLOOKUP(T_BilanSocial[[#This Row],[Zone_Bilan]],T_P_BilanSocial[#Data],COLUMN(T_P_BilanSocial[[#This Row],[Sexe]]),FALSE),"")</f>
        <v/>
      </c>
      <c r="K89" s="97" t="str">
        <f>IFERROR(VLOOKUP(T_BilanSocial[[#This Row],[Zone_Bilan]],T_P_BilanSocial[#Data],COLUMN(T_P_BilanSocial[[#This Row],[Categorie]]),FALSE),"")</f>
        <v/>
      </c>
      <c r="L89" s="96" t="str">
        <f>IFERROR(VLOOKUP(T_BilanSocial[[#This Row],[Zone_Bilan]],T_P_BilanSocial[#Data],COLUMN(T_P_BilanSocial[[#This Row],[Statut]]),FALSE),"")</f>
        <v/>
      </c>
      <c r="M89" s="96" t="str">
        <f>IFERROR(VLOOKUP(T_BilanSocial[[#This Row],[Zone_Bilan]],T_P_BilanSocial[#Data],COLUMN(T_P_BilanSocial[[#This Row],[Filiere]]),FALSE),"")</f>
        <v/>
      </c>
      <c r="N89" s="96" t="e">
        <f>VLOOKUP(T_BilanSocial[[#This Row],[NumL]],T_TraitDi[#Data],COLUMN(T_TraitDi[EXP]),FALSE)</f>
        <v>#N/A</v>
      </c>
      <c r="O89" s="96" t="e">
        <f>VLOOKUP(T_BilanSocial[[#This Row],[NumL]],T_TraitDi[#Data],COLUMN(T_TraitDi[FORM]),FALSE)</f>
        <v>#N/A</v>
      </c>
      <c r="P89" s="96" t="e">
        <f>IF(T_BilanSocial[[#This Row],[Final]]&lt;&gt;"",VLOOKUP(T_BilanSocial[[#This Row],[NumL]],T_suiviDi[#Data],COLUMN((T_suiviDi[Email])),FALSE),"")</f>
        <v>#N/A</v>
      </c>
      <c r="Q89" s="164" t="e">
        <f t="shared" si="17"/>
        <v>#N/A</v>
      </c>
      <c r="R89" s="164" t="e">
        <f t="shared" si="18"/>
        <v>#N/A</v>
      </c>
      <c r="S89" s="164" t="e">
        <f>IF(VLOOKUP(T_BilanSocial[[#This Row],[NumL]],T_suiviDi[#Data],COLUMN(T_suiviDi[[#This Row],[Service ]]),FALSE)="","",VLOOKUP(T_BilanSocial[[#This Row],[NumL]],T_suiviDi[#Data],COLUMN(T_suiviDi[[#This Row],[Service ]]),FALSE))</f>
        <v>#VALUE!</v>
      </c>
      <c r="T89" s="164" t="str">
        <f t="shared" si="12"/>
        <v>01 septembre 2021</v>
      </c>
      <c r="U89" s="164" t="str">
        <f t="shared" si="13"/>
        <v>30 novembre 2021</v>
      </c>
      <c r="V89" s="164" t="str">
        <f t="shared" si="19"/>
        <v>30 novembre 2021</v>
      </c>
      <c r="W89" s="176" t="e">
        <f>IF(VLOOKUP(T_BilanSocial[[#This Row],[NumL]],T_TraitDi[#Data],COLUMN(T_TraitDi[[#This Row],[M1]]),FALSE)="","",VLOOKUP(T_BilanSocial[[#This Row],[NumL]],T_TraitDi[#Data],COLUMN(T_TraitDi[[#This Row],[M1]]),FALSE))</f>
        <v>#VALUE!</v>
      </c>
      <c r="X89" s="176" t="e">
        <f>IF(VLOOKUP(T_BilanSocial[[#This Row],[NumL]],T_TraitDi[#Data],COLUMN(T_TraitDi[[#This Row],[M2]]),FALSE)="","",VLOOKUP(T_BilanSocial[[#This Row],[NumL]],T_TraitDi[#Data],COLUMN(T_TraitDi[[#This Row],[M2]]),FALSE))</f>
        <v>#VALUE!</v>
      </c>
      <c r="Y89" s="176" t="e">
        <f>IF(VLOOKUP(T_BilanSocial[[#This Row],[NumL]],T_TraitDi[#Data],COLUMN(T_TraitDi[[#This Row],[M3]]),FALSE)="","",VLOOKUP(T_BilanSocial[[#This Row],[NumL]],T_TraitDi[#Data],COLUMN(T_TraitDi[[#This Row],[M3]]),FALSE))</f>
        <v>#VALUE!</v>
      </c>
      <c r="Z89" s="176" t="str">
        <f t="shared" si="16"/>
        <v/>
      </c>
      <c r="AA89" s="176" t="e">
        <f>IF(VLOOKUP(T_BilanSocial[[#This Row],[NumL]],T_TraitDi[#Data],COLUMN(T_TraitDi[[#This Row],[M5]]),FALSE)="","",VLOOKUP(T_BilanSocial[[#This Row],[NumL]],T_TraitDi[#Data],COLUMN(T_TraitDi[[#This Row],[M5]]),FALSE))</f>
        <v>#VALUE!</v>
      </c>
      <c r="AB89" s="176" t="e">
        <f>IF(VLOOKUP(T_BilanSocial[[#This Row],[NumL]],T_TraitDi[#Data],COLUMN(T_TraitDi[[#This Row],[M6]]),FALSE)="","",VLOOKUP(T_BilanSocial[[#This Row],[NumL]],T_TraitDi[#Data],COLUMN(T_TraitDi[[#This Row],[M6]]),FALSE))</f>
        <v>#VALUE!</v>
      </c>
      <c r="AC89" s="165" t="e">
        <f t="shared" si="15"/>
        <v>#VALUE!</v>
      </c>
      <c r="AD89" s="188" t="str">
        <f>IFERROR(TEXT(VLOOKUP(T_BilanSocial[[#This Row],[NumL]],T_TraitDi[#Data],COLUMN(T_TraitDi[[#This Row],[Q2]]),FALSE),"###%"),"")</f>
        <v/>
      </c>
      <c r="AE89" s="97" t="e">
        <f>VLOOKUP(T_BilanSocial[[#This Row],[NumL]],T_TraitDi[#Data],COLUMN(T_TraitDi[[#This Row],[Reg Ponct]]),FALSE)</f>
        <v>#VALUE!</v>
      </c>
      <c r="AF89" s="97" t="e">
        <f>VLOOKUP(T_BilanSocial[NumL],T_TraitDi[#Data],COLUMN(T_TraitDi[[#This Row],[Jours flottants]]),FALSE)</f>
        <v>#VALUE!</v>
      </c>
      <c r="AG89" s="97" t="str">
        <f>IFERROR(VLOOKUP(T_BilanSocial[[#This Row],[NumL]],T_TraitDi[#Data],COLUMN(T_TraitDi[[#This Row],[Lundi]]),FALSE),"")</f>
        <v/>
      </c>
      <c r="AH89" s="172" t="e">
        <f>IF(VLOOKUP(T_BilanSocial[[#This Row],[NumL]],T_TraitDi[#Data],COLUMN(T_TraitDi[[#This Row],[Colonne3]]),FALSE)=0,"",TEXT(IFERROR(VLOOKUP(T_BilanSocial[[#This Row],[NumL]],T_TraitDi[#Data],COLUMN(T_TraitDi[[#This Row],[Colonne3]]),FALSE),""),"[hh]:mm"))</f>
        <v>#VALUE!</v>
      </c>
      <c r="AI89" s="172" t="e">
        <f>IF(VLOOKUP(T_BilanSocial[[#This Row],[NumL]],T_TraitDi[#Data],COLUMN(T_TraitDi[[#This Row],[Colonne4]]),FALSE)=0,"",TEXT(IFERROR(VLOOKUP(T_BilanSocial[[#This Row],[NumL]],T_TraitDi[#Data],COLUMN(T_TraitDi[[#This Row],[Colonne4]]),FALSE),""),"[hh]:mm"))</f>
        <v>#VALUE!</v>
      </c>
      <c r="AJ89" s="172" t="e">
        <f>IF(VLOOKUP(T_BilanSocial[[#This Row],[NumL]],T_TraitDi[#Data],COLUMN(T_TraitDi[[#This Row],[Colonne5]]),FALSE)=0,"",TEXT(IFERROR(VLOOKUP(T_BilanSocial[[#This Row],[NumL]],T_TraitDi[#Data],COLUMN(T_TraitDi[[#This Row],[Colonne5]]),FALSE),""),"[hh]:mm"))</f>
        <v>#VALUE!</v>
      </c>
      <c r="AK89" s="172" t="e">
        <f>IF(VLOOKUP(T_BilanSocial[[#This Row],[NumL]],T_TraitDi[#Data],COLUMN(T_TraitDi[[#This Row],[Colonne6]]),FALSE)=0,"",TEXT(IFERROR(VLOOKUP(T_BilanSocial[[#This Row],[NumL]],T_TraitDi[#Data],COLUMN(T_TraitDi[[#This Row],[Colonne6]]),FALSE),""),"[hh]:mm"))</f>
        <v>#VALUE!</v>
      </c>
      <c r="AL89" s="172" t="e">
        <f>IF(VLOOKUP(T_BilanSocial[[#This Row],[NumL]],T_TraitDi[#Data],COLUMN(T_TraitDi[[#This Row],[Colonne7]]),FALSE)=0,"",TEXT(IFERROR(VLOOKUP(T_BilanSocial[[#This Row],[NumL]],T_TraitDi[#Data],COLUMN(T_TraitDi[[#This Row],[Colonne7]]),FALSE),""),"[hh]:mm"))</f>
        <v>#VALUE!</v>
      </c>
      <c r="AM89" s="172" t="e">
        <f>IF(VLOOKUP(T_BilanSocial[[#This Row],[NumL]],T_TraitDi[#Data],COLUMN(T_TraitDi[[#This Row],[Colonne8]]),FALSE)=0,"",TEXT(IFERROR(VLOOKUP(T_BilanSocial[[#This Row],[NumL]],T_TraitDi[#Data],COLUMN(T_TraitDi[[#This Row],[Colonne8]]),FALSE),""),"[hh]:mm"))</f>
        <v>#VALUE!</v>
      </c>
      <c r="AN89" s="172" t="str">
        <f>IFERROR(VLOOKUP(T_BilanSocial[[#This Row],[NumL]],T_TraitDi[#Data],COLUMN(T_TraitDi[[#This Row],[Mardi]]),FALSE),"")</f>
        <v/>
      </c>
      <c r="AO89" s="172" t="e">
        <f>IF(VLOOKUP(T_BilanSocial[[#This Row],[NumL]],T_TraitDi[#Data],COLUMN(T_TraitDi[[#This Row],[Colonne1]]),FALSE)=0,"",TEXT(IFERROR(VLOOKUP(T_BilanSocial[[#This Row],[NumL]],T_TraitDi[#Data],COLUMN(T_TraitDi[[#This Row],[Colonne1]]),FALSE),""),"[hh]:mm"))</f>
        <v>#VALUE!</v>
      </c>
      <c r="AP89" s="172" t="e">
        <f>IF(VLOOKUP(T_BilanSocial[[#This Row],[NumL]],T_TraitDi[#Data],COLUMN(T_TraitDi[[#This Row],[Colonne9]]),FALSE)=0,"",TEXT(IFERROR(VLOOKUP(T_BilanSocial[[#This Row],[NumL]],T_TraitDi[#Data],COLUMN(T_TraitDi[[#This Row],[Colonne9]]),FALSE),""),"[hh]:mm"))</f>
        <v>#VALUE!</v>
      </c>
      <c r="AQ89" s="172" t="str">
        <f>IFERROR(VLOOKUP(T_BilanSocial[[#This Row],[NumL]],T_TraitDi[#Data],COLUMN(T_TraitDi[[#This Row],[Colonne10]]),FALSE),"")</f>
        <v/>
      </c>
      <c r="AR89" s="172" t="e">
        <f>IF(VLOOKUP(T_BilanSocial[[#This Row],[NumL]],T_TraitDi[#Data],COLUMN(T_TraitDi[[#This Row],[Colonne11]]),FALSE)=0,"",TEXT(IFERROR(VLOOKUP(T_BilanSocial[[#This Row],[NumL]],T_TraitDi[#Data],COLUMN(T_TraitDi[[#This Row],[Colonne11]]),FALSE),""),"[hh]:mm"))</f>
        <v>#VALUE!</v>
      </c>
      <c r="AS89" s="172" t="e">
        <f>IF(VLOOKUP(T_BilanSocial[[#This Row],[NumL]],T_TraitDi[#Data],COLUMN(T_TraitDi[[#This Row],[Colonne12]]),FALSE)=0,"",TEXT(IFERROR(VLOOKUP(T_BilanSocial[[#This Row],[NumL]],T_TraitDi[#Data],COLUMN(T_TraitDi[[#This Row],[Colonne12]]),FALSE),""),"[hh]:mm"))</f>
        <v>#VALUE!</v>
      </c>
      <c r="AT89" s="172" t="e">
        <f>IF(VLOOKUP(T_BilanSocial[[#This Row],[NumL]],T_TraitDi[#Data],COLUMN(T_TraitDi[[#This Row],[Colonne14]]),FALSE)=0,"",TEXT(IFERROR(VLOOKUP(T_BilanSocial[[#This Row],[NumL]],T_TraitDi[#Data],COLUMN(T_TraitDi[[#This Row],[Colonne14]]),FALSE),""),"[hh]:mm"))</f>
        <v>#VALUE!</v>
      </c>
      <c r="AU89" s="172" t="str">
        <f>IFERROR(VLOOKUP(T_BilanSocial[[#This Row],[NumL]],T_TraitDi[#Data],COLUMN(T_TraitDi[[#This Row],[Mercredi]]),FALSE),"")</f>
        <v/>
      </c>
      <c r="AV89" s="172" t="e">
        <f>IF(VLOOKUP(T_BilanSocial[[#This Row],[NumL]],T_TraitDi[#Data],COLUMN(T_TraitDi[[#This Row],[Colonne15]]),FALSE)=0,"",TEXT(IFERROR(VLOOKUP(T_BilanSocial[[#This Row],[NumL]],T_TraitDi[#Data],COLUMN(T_TraitDi[[#This Row],[Colonne15]]),FALSE),""),"[hh]:mm"))</f>
        <v>#VALUE!</v>
      </c>
      <c r="AW89" s="172" t="e">
        <f>IF(VLOOKUP(T_BilanSocial[[#This Row],[NumL]],T_TraitDi[#Data],COLUMN(T_TraitDi[[#This Row],[Colonne16]]),FALSE)=0,"",TEXT(IFERROR(VLOOKUP(T_BilanSocial[[#This Row],[NumL]],T_TraitDi[#Data],COLUMN(T_TraitDi[[#This Row],[Colonne16]]),FALSE),""),"[hh]:mm"))</f>
        <v>#VALUE!</v>
      </c>
      <c r="AX89" s="172" t="str">
        <f>IFERROR(VLOOKUP(T_BilanSocial[[#This Row],[NumL]],T_TraitDi[#Data],COLUMN(T_TraitDi[[#This Row],[Colonne17]]),FALSE),"")</f>
        <v/>
      </c>
      <c r="AY89" s="172" t="e">
        <f>IF(VLOOKUP(T_BilanSocial[[#This Row],[NumL]],T_TraitDi[#Data],COLUMN(T_TraitDi[[#This Row],[Colonne18]]),FALSE)=0,"",TEXT(IFERROR(VLOOKUP(T_BilanSocial[[#This Row],[NumL]],T_TraitDi[#Data],COLUMN(T_TraitDi[[#This Row],[Colonne18]]),FALSE),""),"[hh]:mm"))</f>
        <v>#VALUE!</v>
      </c>
      <c r="AZ89" s="172" t="e">
        <f>IF(VLOOKUP(T_BilanSocial[[#This Row],[NumL]],T_TraitDi[#Data],COLUMN(T_TraitDi[[#This Row],[Colonne19]]),FALSE)=0,"",TEXT(IFERROR(VLOOKUP(T_BilanSocial[[#This Row],[NumL]],T_TraitDi[#Data],COLUMN(T_TraitDi[[#This Row],[Colonne19]]),FALSE),""),"[hh]:mm"))</f>
        <v>#VALUE!</v>
      </c>
      <c r="BA89" s="172" t="e">
        <f>IF(VLOOKUP(T_BilanSocial[[#This Row],[NumL]],T_TraitDi[#Data],COLUMN(T_TraitDi[[#This Row],[Colonne20]]),FALSE)=0,"",TEXT(IFERROR(VLOOKUP(T_BilanSocial[[#This Row],[NumL]],T_TraitDi[#Data],COLUMN(T_TraitDi[[#This Row],[Colonne20]]),FALSE),""),"[hh]:mm"))</f>
        <v>#VALUE!</v>
      </c>
      <c r="BB89" s="178" t="str">
        <f>IFERROR(VLOOKUP(T_BilanSocial[[#This Row],[NumL]],T_TraitDi[#Data],COLUMN(T_TraitDi[[#This Row],[Jeudi]]),FALSE),"")</f>
        <v/>
      </c>
      <c r="BC89" s="178" t="e">
        <f>IF(VLOOKUP(T_BilanSocial[[#This Row],[NumL]],T_TraitDi[#Data],COLUMN(T_TraitDi[[#This Row],[Colonne21]]),FALSE)=0,"",TEXT(IFERROR(VLOOKUP(T_BilanSocial[[#This Row],[NumL]],T_TraitDi[#Data],COLUMN(T_TraitDi[[#This Row],[Colonne21]]),FALSE),""),"[hh]:mm"))</f>
        <v>#VALUE!</v>
      </c>
      <c r="BD89" s="178" t="e">
        <f>IF(VLOOKUP(T_BilanSocial[[#This Row],[NumL]],T_TraitDi[#Data],COLUMN(T_TraitDi[[#This Row],[Colonne22]]),FALSE)=0,"",TEXT(IFERROR(VLOOKUP(T_BilanSocial[[#This Row],[NumL]],T_TraitDi[#Data],COLUMN(T_TraitDi[[#This Row],[Colonne22]]),FALSE),""),"[hh]:mm"))</f>
        <v>#VALUE!</v>
      </c>
      <c r="BE89" s="178" t="str">
        <f>IFERROR(VLOOKUP(T_BilanSocial[[#This Row],[NumL]],T_TraitDi[#Data],COLUMN(T_TraitDi[[#This Row],[Colonne23]]),FALSE),"")</f>
        <v/>
      </c>
      <c r="BF89" s="178" t="e">
        <f>IF(VLOOKUP(T_BilanSocial[[#This Row],[NumL]],T_TraitDi[#Data],COLUMN(T_TraitDi[[#This Row],[Colonne24]]),FALSE)=0,"",TEXT(IFERROR(VLOOKUP(T_BilanSocial[[#This Row],[NumL]],T_TraitDi[#Data],COLUMN(T_TraitDi[[#This Row],[Colonne24]]),FALSE),""),"[hh]:mm"))</f>
        <v>#VALUE!</v>
      </c>
      <c r="BG89" s="178" t="e">
        <f>IF(VLOOKUP(T_BilanSocial[[#This Row],[NumL]],T_TraitDi[#Data],COLUMN(T_TraitDi[[#This Row],[Colonne25]]),FALSE)=0,"",TEXT(IFERROR(VLOOKUP(T_BilanSocial[[#This Row],[NumL]],T_TraitDi[#Data],COLUMN(T_TraitDi[[#This Row],[Colonne25]]),FALSE),""),"[hh]:mm"))</f>
        <v>#VALUE!</v>
      </c>
      <c r="BH89" s="178" t="e">
        <f>IF(VLOOKUP(T_BilanSocial[[#This Row],[NumL]],T_TraitDi[#Data],COLUMN(T_TraitDi[[#This Row],[Colonne26]]),FALSE)=0,"",TEXT(IFERROR(VLOOKUP(T_BilanSocial[[#This Row],[NumL]],T_TraitDi[#Data],COLUMN(T_TraitDi[[#This Row],[Colonne26]]),FALSE),""),"[hh]:mm"))</f>
        <v>#VALUE!</v>
      </c>
      <c r="BI89" s="172" t="str">
        <f>IFERROR(VLOOKUP(T_BilanSocial[[#This Row],[NumL]],T_TraitDi[#Data],COLUMN(T_TraitDi[[#This Row],[Vendredi]]),FALSE),"")</f>
        <v/>
      </c>
      <c r="BJ89" s="172" t="e">
        <f>IF(VLOOKUP(T_BilanSocial[[#This Row],[NumL]],T_TraitDi[#Data],COLUMN(T_TraitDi[[#This Row],[Colonne27]]),FALSE)=0,"",TEXT(IFERROR(VLOOKUP(T_BilanSocial[[#This Row],[NumL]],T_TraitDi[#Data],COLUMN(T_TraitDi[[#This Row],[Colonne27]]),FALSE),""),"[hh]:mm"))</f>
        <v>#VALUE!</v>
      </c>
      <c r="BK89" s="172" t="e">
        <f>IF(VLOOKUP(T_BilanSocial[[#This Row],[NumL]],T_TraitDi[#Data],COLUMN(T_TraitDi[[#This Row],[Colonne28]]),FALSE)=0,"",TEXT(IFERROR(VLOOKUP(T_BilanSocial[[#This Row],[NumL]],T_TraitDi[#Data],COLUMN(T_TraitDi[[#This Row],[Colonne28]]),FALSE),""),"[hh]:mm"))</f>
        <v>#VALUE!</v>
      </c>
      <c r="BL89" s="172" t="str">
        <f>IFERROR(VLOOKUP(T_BilanSocial[[#This Row],[NumL]],T_TraitDi[#Data],COLUMN(T_TraitDi[[#This Row],[Colonne29]]),FALSE),"")</f>
        <v/>
      </c>
      <c r="BM89" s="172" t="e">
        <f>IF(VLOOKUP(T_BilanSocial[[#This Row],[NumL]],T_TraitDi[#Data],COLUMN(T_TraitDi[[#This Row],[Colonne30]]),FALSE)=0,"",TEXT(IFERROR(VLOOKUP(T_BilanSocial[[#This Row],[NumL]],T_TraitDi[#Data],COLUMN(T_TraitDi[[#This Row],[Colonne30]]),FALSE),""),"[hh]:mm"))</f>
        <v>#VALUE!</v>
      </c>
      <c r="BN89" s="172" t="e">
        <f>IF(VLOOKUP(T_BilanSocial[[#This Row],[NumL]],T_TraitDi[#Data],COLUMN(T_TraitDi[[#This Row],[Colonne31]]),FALSE)=0,"",TEXT(IFERROR(VLOOKUP(T_BilanSocial[[#This Row],[NumL]],T_TraitDi[#Data],COLUMN(T_TraitDi[[#This Row],[Colonne31]]),FALSE),""),"[hh]:mm"))</f>
        <v>#VALUE!</v>
      </c>
      <c r="BO89" s="172" t="e">
        <f>IF(VLOOKUP(T_BilanSocial[[#This Row],[NumL]],T_TraitDi[#Data],COLUMN(T_TraitDi[[#This Row],[Colonne32]]),FALSE)=0,"",TEXT(IFERROR(VLOOKUP(T_BilanSocial[[#This Row],[NumL]],T_TraitDi[#Data],COLUMN(T_TraitDi[[#This Row],[Colonne32]]),FALSE),""),"[hh]:mm"))</f>
        <v>#VALUE!</v>
      </c>
      <c r="BP89" s="172" t="e">
        <f>VLOOKUP(T_BilanSocial[[#This Row],[NumL]],T_TraitDi[#Data],COLUMN(T_TraitDi[NbJTot]),FALSE)</f>
        <v>#N/A</v>
      </c>
      <c r="BQ89" s="174" t="str">
        <f>IFERROR(VLOOKUP(T_BilanSocial[[#This Row],[NumL]],T_TraitDi[#Data],COLUMN(T_TraitDi[[#This Row],[NbJTW]]),FALSE),"")</f>
        <v/>
      </c>
      <c r="BR89" s="174" t="e">
        <f>IF(VLOOKUP(T_BilanSocial[[#This Row],[NumL]],T_TraitDi[#Data],COLUMN(T_TraitDi[[#This Row],[NbhTW]]),FALSE)=0,"",TEXT(IFERROR(VLOOKUP(T_BilanSocial[[#This Row],[NumL]],T_TraitDi[#Data],COLUMN(T_TraitDi[[#This Row],[NbhTW]]),FALSE),""),"[hh]:mm"))</f>
        <v>#VALUE!</v>
      </c>
      <c r="BS89" s="174" t="e">
        <f>IF(VLOOKUP(T_BilanSocial[[#This Row],[NumL]],T_TraitDi[#Data],COLUMN(T_TraitDi[[#This Row],[Nbhheb]]),FALSE)=0,"",TEXT(IFERROR(VLOOKUP($A89,T_TraitDi[#Data],COLUMN(T_TraitDi[[#This Row],[Nbhheb]]),FALSE),""),"[hh]:mm"))</f>
        <v>#VALUE!</v>
      </c>
      <c r="BT89" s="182" t="str">
        <f>IFERROR(VLOOKUP(VLOOKUP($A89,T_TraitDi[#Data],COLUMN(T_TraitDi[[#This Row],[Type1]]),FALSE),TypeTW,2,FALSE),"")</f>
        <v/>
      </c>
      <c r="BU89" s="182" t="str">
        <f>IFERROR(VLOOKUP($A89,T_TraitDi[#Data],COLUMN(T_TraitDi[[#This Row],[Rue1]]),FALSE),"")</f>
        <v/>
      </c>
      <c r="BV89" s="173" t="str">
        <f>IFERROR(VLOOKUP($A89,T_TraitDi[#Data],COLUMN(T_TraitDi[[#This Row],[CP1]]),FALSE),"")</f>
        <v/>
      </c>
      <c r="BW89" s="173" t="str">
        <f>IFERROR(VLOOKUP($A89,T_TraitDi[#Data],COLUMN(T_TraitDi[[#This Row],[VILLE1]]),FALSE),"")</f>
        <v/>
      </c>
      <c r="BX89" s="182" t="str">
        <f>IFERROR(VLOOKUP(VLOOKUP($A89,T_TraitDi[#Data],COLUMN(T_TraitDi[[#This Row],[Type2]]),FALSE),TypeTW,2,FALSE),"")</f>
        <v/>
      </c>
      <c r="BY89" s="182" t="str">
        <f>IFERROR(VLOOKUP($A89,T_TraitDi[#Data],COLUMN(T_TraitDi[[#This Row],[Rue2]]),FALSE),"")</f>
        <v/>
      </c>
      <c r="BZ89" s="173" t="str">
        <f>IFERROR(VLOOKUP($A89,T_TraitDi[#Data],COLUMN(T_TraitDi[[#This Row],[CP2]]),FALSE),"")</f>
        <v/>
      </c>
      <c r="CA89" s="173" t="str">
        <f>IFERROR(VLOOKUP($A89,T_TraitDi[#Data],COLUMN(T_TraitDi[[#This Row],[VILLE2]]),FALSE),"")</f>
        <v/>
      </c>
      <c r="CB89" s="182" t="e">
        <f>IF(VLOOKUP(T_BilanSocial[[#This Row],[NumL]],T_Equipement[#Data],COLUMN(T_Equipement[[#This Row],[PC]]),FALSE)="","Aucun équipement spécifique directement lié au télétravail",VLOOKUP(T_BilanSocial[[#This Row],[NumL]],T_Equipement[#Data],COLUMN(T_Equipement[[#This Row],[PC]]),FALSE))</f>
        <v>#N/A</v>
      </c>
      <c r="CC89" s="166" t="str">
        <f>IFERROR(IF(VLOOKUP(T_BilanSocial[[#This Row],[NumL]],T_TraitDi[#Data],COLUMN(T_TraitDi[[#This Row],[Plan]]),FALSE)="OK","Un planning spécifique de télétravail est annexé à la présente convention.",""),"")</f>
        <v/>
      </c>
      <c r="CD89" s="258" t="s">
        <v>3416</v>
      </c>
      <c r="CE89" s="164" t="e">
        <f>IF(VLOOKUP(T_BilanSocial[[#This Row],[NumL]],T_suiviDi[#Data],COLUMN(T_suiviDi[[#This Row],[Entité]]),FALSE)="","",VLOOKUP(T_BilanSocial[[#This Row],[NumL]],T_suiviDi[#Data],COLUMN(T_suiviDi[[#This Row],[Entité]]),FALSE))</f>
        <v>#VALUE!</v>
      </c>
      <c r="CF89" s="164" t="e">
        <f>IF(VLOOKUP(T_BilanSocial[[#This Row],[NumL]],T_Commission[#Data],COLUMN(T_Commission[[#This Row],[envoi confirm TW]]),FALSE)="","",VLOOKUP(T_BilanSocial[[#This Row],[NumL]],T_Commission[#Data],COLUMN(T_Commission[[#This Row],[envoi confirm TW]]),FALSE))</f>
        <v>#N/A</v>
      </c>
      <c r="CG8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89" s="262" t="e">
        <f>T_BilanSocial[[#This Row],[Nom]]&amp;T_BilanSocial[[#This Row],[Prenom]]</f>
        <v>#N/A</v>
      </c>
      <c r="CI89" s="262" t="e">
        <f>VLOOKUP(T_BilanSocial[[#This Row],[NumL]],T_Commission[#Data],COLUMN(T_Commission[Commentaire]),FALSE)</f>
        <v>#N/A</v>
      </c>
      <c r="CJ89" s="262" t="e">
        <f>IF(VLOOKUP(T_BilanSocial[[#This Row],[NumL]],T_Commission[#Data],COLUMN(T_Commission[Encadrant Email]),FALSE)="","",VLOOKUP(T_BilanSocial[[#This Row],[NumL]],T_Commission[#Data],COLUMN(T_Commission[Encadrant Email]),FALSE))</f>
        <v>#N/A</v>
      </c>
      <c r="CK89" s="340" t="e">
        <f>IF(T_BilanSocial[[#This Row],[Final]]&lt;&gt;"",VLOOKUP(T_BilanSocial[[#This Row],[NumL]],T_suiviDi[#Data],COLUMN((T_suiviDi[Statut])),FALSE),"")</f>
        <v>#N/A</v>
      </c>
    </row>
    <row r="90" spans="1:89" s="106" customFormat="1" ht="24.75" customHeight="1" x14ac:dyDescent="0.25">
      <c r="A90" s="160">
        <v>87</v>
      </c>
      <c r="B90" s="161" t="str">
        <f t="shared" si="10"/>
        <v/>
      </c>
      <c r="C90" s="162" t="s">
        <v>173</v>
      </c>
      <c r="D90" s="95" t="e">
        <f>IF(VLOOKUP(T_BilanSocial[[#This Row],[NumL]],T_TraitDi[#Data],COLUMN(T_TraitDi[[#This Row],[WebC]]),FALSE)="","",VLOOKUP(T_BilanSocial[[#This Row],[NumL]],T_TraitDi[#Data],COLUMN(T_TraitDi[[#This Row],[WebC]]),FALSE))</f>
        <v>#VALUE!</v>
      </c>
      <c r="E90" s="163" t="str">
        <f t="shared" si="11"/>
        <v>12 janvier 2021</v>
      </c>
      <c r="F90" s="96" t="str">
        <f>IF(T_BilanSocial[[#This Row],[Final]]&lt;&gt;"",VLOOKUP(T_BilanSocial[[#This Row],[NumL]],T_suiviDi[#Data],COLUMN((T_suiviDi[Civ.])),FALSE),"")</f>
        <v/>
      </c>
      <c r="G90" s="96" t="str">
        <f>IF(T_BilanSocial[[#This Row],[Final]]&lt;&gt;"",VLOOKUP(T_BilanSocial[[#This Row],[NumL]],T_suiviDi[#Data],COLUMN((T_suiviDi[Nom])),FALSE),"")</f>
        <v/>
      </c>
      <c r="H90" s="96" t="str">
        <f>IF(T_BilanSocial[[#This Row],[Final]]&lt;&gt;"",VLOOKUP(T_BilanSocial[[#This Row],[NumL]],T_suiviDi[#Data],COLUMN((T_suiviDi[Prénom])),FALSE),"")</f>
        <v/>
      </c>
      <c r="I90" s="96" t="str">
        <f>IFERROR(VLOOKUP(T_BilanSocial[[#This Row],[Zone_Bilan]],T_P_BilanSocial[#Data],COLUMN(T_P_BilanSocial[[#This Row],[Numero_SIHAM]]),FALSE),"")</f>
        <v/>
      </c>
      <c r="J90" s="96" t="str">
        <f>IFERROR(VLOOKUP(T_BilanSocial[[#This Row],[Zone_Bilan]],T_P_BilanSocial[#Data],COLUMN(T_P_BilanSocial[[#This Row],[Sexe]]),FALSE),"")</f>
        <v/>
      </c>
      <c r="K90" s="97" t="str">
        <f>IFERROR(VLOOKUP(T_BilanSocial[[#This Row],[Zone_Bilan]],T_P_BilanSocial[#Data],COLUMN(T_P_BilanSocial[[#This Row],[Categorie]]),FALSE),"")</f>
        <v/>
      </c>
      <c r="L90" s="96" t="str">
        <f>IFERROR(VLOOKUP(T_BilanSocial[[#This Row],[Zone_Bilan]],T_P_BilanSocial[#Data],COLUMN(T_P_BilanSocial[[#This Row],[Statut]]),FALSE),"")</f>
        <v/>
      </c>
      <c r="M90" s="96" t="str">
        <f>IFERROR(VLOOKUP(T_BilanSocial[[#This Row],[Zone_Bilan]],T_P_BilanSocial[#Data],COLUMN(T_P_BilanSocial[[#This Row],[Filiere]]),FALSE),"")</f>
        <v/>
      </c>
      <c r="N90" s="96" t="e">
        <f>VLOOKUP(T_BilanSocial[[#This Row],[NumL]],T_TraitDi[#Data],COLUMN(T_TraitDi[EXP]),FALSE)</f>
        <v>#N/A</v>
      </c>
      <c r="O90" s="96" t="e">
        <f>VLOOKUP(T_BilanSocial[[#This Row],[NumL]],T_TraitDi[#Data],COLUMN(T_TraitDi[FORM]),FALSE)</f>
        <v>#N/A</v>
      </c>
      <c r="P90" s="96" t="str">
        <f>IF(T_BilanSocial[[#This Row],[Final]]&lt;&gt;"",VLOOKUP(T_BilanSocial[[#This Row],[NumL]],T_suiviDi[#Data],COLUMN((T_suiviDi[Email])),FALSE),"")</f>
        <v/>
      </c>
      <c r="Q90" s="164" t="e">
        <f t="shared" si="17"/>
        <v>#N/A</v>
      </c>
      <c r="R90" s="164" t="e">
        <f t="shared" si="18"/>
        <v>#N/A</v>
      </c>
      <c r="S90" s="164" t="e">
        <f>IF(VLOOKUP(T_BilanSocial[[#This Row],[NumL]],T_suiviDi[#Data],COLUMN(T_suiviDi[[#This Row],[Service ]]),FALSE)="","",VLOOKUP(T_BilanSocial[[#This Row],[NumL]],T_suiviDi[#Data],COLUMN(T_suiviDi[[#This Row],[Service ]]),FALSE))</f>
        <v>#VALUE!</v>
      </c>
      <c r="T90" s="164" t="str">
        <f t="shared" si="12"/>
        <v>01 septembre 2021</v>
      </c>
      <c r="U90" s="164" t="str">
        <f t="shared" si="13"/>
        <v>30 novembre 2021</v>
      </c>
      <c r="V90" s="164" t="str">
        <f t="shared" si="19"/>
        <v>30 novembre 2021</v>
      </c>
      <c r="W90" s="176" t="e">
        <f>IF(VLOOKUP(T_BilanSocial[[#This Row],[NumL]],T_TraitDi[#Data],COLUMN(T_TraitDi[[#This Row],[M1]]),FALSE)="","",VLOOKUP(T_BilanSocial[[#This Row],[NumL]],T_TraitDi[#Data],COLUMN(T_TraitDi[[#This Row],[M1]]),FALSE))</f>
        <v>#VALUE!</v>
      </c>
      <c r="X90" s="176" t="e">
        <f>IF(VLOOKUP(T_BilanSocial[[#This Row],[NumL]],T_TraitDi[#Data],COLUMN(T_TraitDi[[#This Row],[M2]]),FALSE)="","",VLOOKUP(T_BilanSocial[[#This Row],[NumL]],T_TraitDi[#Data],COLUMN(T_TraitDi[[#This Row],[M2]]),FALSE))</f>
        <v>#VALUE!</v>
      </c>
      <c r="Y90" s="176" t="e">
        <f>IF(VLOOKUP(T_BilanSocial[[#This Row],[NumL]],T_TraitDi[#Data],COLUMN(T_TraitDi[[#This Row],[M3]]),FALSE)="","",VLOOKUP(T_BilanSocial[[#This Row],[NumL]],T_TraitDi[#Data],COLUMN(T_TraitDi[[#This Row],[M3]]),FALSE))</f>
        <v>#VALUE!</v>
      </c>
      <c r="Z90" s="176" t="str">
        <f t="shared" si="16"/>
        <v/>
      </c>
      <c r="AA90" s="176" t="e">
        <f>IF(VLOOKUP(T_BilanSocial[[#This Row],[NumL]],T_TraitDi[#Data],COLUMN(T_TraitDi[[#This Row],[M5]]),FALSE)="","",VLOOKUP(T_BilanSocial[[#This Row],[NumL]],T_TraitDi[#Data],COLUMN(T_TraitDi[[#This Row],[M5]]),FALSE))</f>
        <v>#VALUE!</v>
      </c>
      <c r="AB90" s="176" t="e">
        <f>IF(VLOOKUP(T_BilanSocial[[#This Row],[NumL]],T_TraitDi[#Data],COLUMN(T_TraitDi[[#This Row],[M6]]),FALSE)="","",VLOOKUP(T_BilanSocial[[#This Row],[NumL]],T_TraitDi[#Data],COLUMN(T_TraitDi[[#This Row],[M6]]),FALSE))</f>
        <v>#VALUE!</v>
      </c>
      <c r="AC90" s="165" t="e">
        <f t="shared" si="15"/>
        <v>#VALUE!</v>
      </c>
      <c r="AD90" s="188" t="str">
        <f>IFERROR(TEXT(VLOOKUP(T_BilanSocial[[#This Row],[NumL]],T_TraitDi[#Data],COLUMN(T_TraitDi[[#This Row],[Q2]]),FALSE),"###%"),"")</f>
        <v/>
      </c>
      <c r="AE90" s="97" t="e">
        <f>VLOOKUP(T_BilanSocial[[#This Row],[NumL]],T_TraitDi[#Data],COLUMN(T_TraitDi[[#This Row],[Reg Ponct]]),FALSE)</f>
        <v>#VALUE!</v>
      </c>
      <c r="AF90" s="97" t="e">
        <f>VLOOKUP(T_BilanSocial[NumL],T_TraitDi[#Data],COLUMN(T_TraitDi[[#This Row],[Jours flottants]]),FALSE)</f>
        <v>#VALUE!</v>
      </c>
      <c r="AG90" s="97" t="str">
        <f>IFERROR(VLOOKUP(T_BilanSocial[[#This Row],[NumL]],T_TraitDi[#Data],COLUMN(T_TraitDi[[#This Row],[Lundi]]),FALSE),"")</f>
        <v/>
      </c>
      <c r="AH90" s="172" t="e">
        <f>IF(VLOOKUP(T_BilanSocial[[#This Row],[NumL]],T_TraitDi[#Data],COLUMN(T_TraitDi[[#This Row],[Colonne3]]),FALSE)=0,"",TEXT(IFERROR(VLOOKUP(T_BilanSocial[[#This Row],[NumL]],T_TraitDi[#Data],COLUMN(T_TraitDi[[#This Row],[Colonne3]]),FALSE),""),"[hh]:mm"))</f>
        <v>#VALUE!</v>
      </c>
      <c r="AI90" s="172" t="e">
        <f>IF(VLOOKUP(T_BilanSocial[[#This Row],[NumL]],T_TraitDi[#Data],COLUMN(T_TraitDi[[#This Row],[Colonne4]]),FALSE)=0,"",TEXT(IFERROR(VLOOKUP(T_BilanSocial[[#This Row],[NumL]],T_TraitDi[#Data],COLUMN(T_TraitDi[[#This Row],[Colonne4]]),FALSE),""),"[hh]:mm"))</f>
        <v>#VALUE!</v>
      </c>
      <c r="AJ90" s="172" t="e">
        <f>IF(VLOOKUP(T_BilanSocial[[#This Row],[NumL]],T_TraitDi[#Data],COLUMN(T_TraitDi[[#This Row],[Colonne5]]),FALSE)=0,"",TEXT(IFERROR(VLOOKUP(T_BilanSocial[[#This Row],[NumL]],T_TraitDi[#Data],COLUMN(T_TraitDi[[#This Row],[Colonne5]]),FALSE),""),"[hh]:mm"))</f>
        <v>#VALUE!</v>
      </c>
      <c r="AK90" s="172" t="e">
        <f>IF(VLOOKUP(T_BilanSocial[[#This Row],[NumL]],T_TraitDi[#Data],COLUMN(T_TraitDi[[#This Row],[Colonne6]]),FALSE)=0,"",TEXT(IFERROR(VLOOKUP(T_BilanSocial[[#This Row],[NumL]],T_TraitDi[#Data],COLUMN(T_TraitDi[[#This Row],[Colonne6]]),FALSE),""),"[hh]:mm"))</f>
        <v>#VALUE!</v>
      </c>
      <c r="AL90" s="172" t="e">
        <f>IF(VLOOKUP(T_BilanSocial[[#This Row],[NumL]],T_TraitDi[#Data],COLUMN(T_TraitDi[[#This Row],[Colonne7]]),FALSE)=0,"",TEXT(IFERROR(VLOOKUP(T_BilanSocial[[#This Row],[NumL]],T_TraitDi[#Data],COLUMN(T_TraitDi[[#This Row],[Colonne7]]),FALSE),""),"[hh]:mm"))</f>
        <v>#VALUE!</v>
      </c>
      <c r="AM90" s="172" t="e">
        <f>IF(VLOOKUP(T_BilanSocial[[#This Row],[NumL]],T_TraitDi[#Data],COLUMN(T_TraitDi[[#This Row],[Colonne8]]),FALSE)=0,"",TEXT(IFERROR(VLOOKUP(T_BilanSocial[[#This Row],[NumL]],T_TraitDi[#Data],COLUMN(T_TraitDi[[#This Row],[Colonne8]]),FALSE),""),"[hh]:mm"))</f>
        <v>#VALUE!</v>
      </c>
      <c r="AN90" s="172" t="str">
        <f>IFERROR(VLOOKUP(T_BilanSocial[[#This Row],[NumL]],T_TraitDi[#Data],COLUMN(T_TraitDi[[#This Row],[Mardi]]),FALSE),"")</f>
        <v/>
      </c>
      <c r="AO90" s="172" t="e">
        <f>IF(VLOOKUP(T_BilanSocial[[#This Row],[NumL]],T_TraitDi[#Data],COLUMN(T_TraitDi[[#This Row],[Colonne1]]),FALSE)=0,"",TEXT(IFERROR(VLOOKUP(T_BilanSocial[[#This Row],[NumL]],T_TraitDi[#Data],COLUMN(T_TraitDi[[#This Row],[Colonne1]]),FALSE),""),"[hh]:mm"))</f>
        <v>#VALUE!</v>
      </c>
      <c r="AP90" s="172" t="e">
        <f>IF(VLOOKUP(T_BilanSocial[[#This Row],[NumL]],T_TraitDi[#Data],COLUMN(T_TraitDi[[#This Row],[Colonne9]]),FALSE)=0,"",TEXT(IFERROR(VLOOKUP(T_BilanSocial[[#This Row],[NumL]],T_TraitDi[#Data],COLUMN(T_TraitDi[[#This Row],[Colonne9]]),FALSE),""),"[hh]:mm"))</f>
        <v>#VALUE!</v>
      </c>
      <c r="AQ90" s="172" t="str">
        <f>IFERROR(VLOOKUP(T_BilanSocial[[#This Row],[NumL]],T_TraitDi[#Data],COLUMN(T_TraitDi[[#This Row],[Colonne10]]),FALSE),"")</f>
        <v/>
      </c>
      <c r="AR90" s="172" t="e">
        <f>IF(VLOOKUP(T_BilanSocial[[#This Row],[NumL]],T_TraitDi[#Data],COLUMN(T_TraitDi[[#This Row],[Colonne11]]),FALSE)=0,"",TEXT(IFERROR(VLOOKUP(T_BilanSocial[[#This Row],[NumL]],T_TraitDi[#Data],COLUMN(T_TraitDi[[#This Row],[Colonne11]]),FALSE),""),"[hh]:mm"))</f>
        <v>#VALUE!</v>
      </c>
      <c r="AS90" s="172" t="e">
        <f>IF(VLOOKUP(T_BilanSocial[[#This Row],[NumL]],T_TraitDi[#Data],COLUMN(T_TraitDi[[#This Row],[Colonne12]]),FALSE)=0,"",TEXT(IFERROR(VLOOKUP(T_BilanSocial[[#This Row],[NumL]],T_TraitDi[#Data],COLUMN(T_TraitDi[[#This Row],[Colonne12]]),FALSE),""),"[hh]:mm"))</f>
        <v>#VALUE!</v>
      </c>
      <c r="AT90" s="172" t="e">
        <f>IF(VLOOKUP(T_BilanSocial[[#This Row],[NumL]],T_TraitDi[#Data],COLUMN(T_TraitDi[[#This Row],[Colonne14]]),FALSE)=0,"",TEXT(IFERROR(VLOOKUP(T_BilanSocial[[#This Row],[NumL]],T_TraitDi[#Data],COLUMN(T_TraitDi[[#This Row],[Colonne14]]),FALSE),""),"[hh]:mm"))</f>
        <v>#VALUE!</v>
      </c>
      <c r="AU90" s="172" t="str">
        <f>IFERROR(VLOOKUP(T_BilanSocial[[#This Row],[NumL]],T_TraitDi[#Data],COLUMN(T_TraitDi[[#This Row],[Mercredi]]),FALSE),"")</f>
        <v/>
      </c>
      <c r="AV90" s="172" t="e">
        <f>IF(VLOOKUP(T_BilanSocial[[#This Row],[NumL]],T_TraitDi[#Data],COLUMN(T_TraitDi[[#This Row],[Colonne15]]),FALSE)=0,"",TEXT(IFERROR(VLOOKUP(T_BilanSocial[[#This Row],[NumL]],T_TraitDi[#Data],COLUMN(T_TraitDi[[#This Row],[Colonne15]]),FALSE),""),"[hh]:mm"))</f>
        <v>#VALUE!</v>
      </c>
      <c r="AW90" s="172" t="e">
        <f>IF(VLOOKUP(T_BilanSocial[[#This Row],[NumL]],T_TraitDi[#Data],COLUMN(T_TraitDi[[#This Row],[Colonne16]]),FALSE)=0,"",TEXT(IFERROR(VLOOKUP(T_BilanSocial[[#This Row],[NumL]],T_TraitDi[#Data],COLUMN(T_TraitDi[[#This Row],[Colonne16]]),FALSE),""),"[hh]:mm"))</f>
        <v>#VALUE!</v>
      </c>
      <c r="AX90" s="172" t="str">
        <f>IFERROR(VLOOKUP(T_BilanSocial[[#This Row],[NumL]],T_TraitDi[#Data],COLUMN(T_TraitDi[[#This Row],[Colonne17]]),FALSE),"")</f>
        <v/>
      </c>
      <c r="AY90" s="172" t="e">
        <f>IF(VLOOKUP(T_BilanSocial[[#This Row],[NumL]],T_TraitDi[#Data],COLUMN(T_TraitDi[[#This Row],[Colonne18]]),FALSE)=0,"",TEXT(IFERROR(VLOOKUP(T_BilanSocial[[#This Row],[NumL]],T_TraitDi[#Data],COLUMN(T_TraitDi[[#This Row],[Colonne18]]),FALSE),""),"[hh]:mm"))</f>
        <v>#VALUE!</v>
      </c>
      <c r="AZ90" s="172" t="e">
        <f>IF(VLOOKUP(T_BilanSocial[[#This Row],[NumL]],T_TraitDi[#Data],COLUMN(T_TraitDi[[#This Row],[Colonne19]]),FALSE)=0,"",TEXT(IFERROR(VLOOKUP(T_BilanSocial[[#This Row],[NumL]],T_TraitDi[#Data],COLUMN(T_TraitDi[[#This Row],[Colonne19]]),FALSE),""),"[hh]:mm"))</f>
        <v>#VALUE!</v>
      </c>
      <c r="BA90" s="172" t="e">
        <f>IF(VLOOKUP(T_BilanSocial[[#This Row],[NumL]],T_TraitDi[#Data],COLUMN(T_TraitDi[[#This Row],[Colonne20]]),FALSE)=0,"",TEXT(IFERROR(VLOOKUP(T_BilanSocial[[#This Row],[NumL]],T_TraitDi[#Data],COLUMN(T_TraitDi[[#This Row],[Colonne20]]),FALSE),""),"[hh]:mm"))</f>
        <v>#VALUE!</v>
      </c>
      <c r="BB90" s="178" t="str">
        <f>IFERROR(VLOOKUP(T_BilanSocial[[#This Row],[NumL]],T_TraitDi[#Data],COLUMN(T_TraitDi[[#This Row],[Jeudi]]),FALSE),"")</f>
        <v/>
      </c>
      <c r="BC90" s="178" t="e">
        <f>IF(VLOOKUP(T_BilanSocial[[#This Row],[NumL]],T_TraitDi[#Data],COLUMN(T_TraitDi[[#This Row],[Colonne21]]),FALSE)=0,"",TEXT(IFERROR(VLOOKUP(T_BilanSocial[[#This Row],[NumL]],T_TraitDi[#Data],COLUMN(T_TraitDi[[#This Row],[Colonne21]]),FALSE),""),"[hh]:mm"))</f>
        <v>#VALUE!</v>
      </c>
      <c r="BD90" s="178" t="e">
        <f>IF(VLOOKUP(T_BilanSocial[[#This Row],[NumL]],T_TraitDi[#Data],COLUMN(T_TraitDi[[#This Row],[Colonne22]]),FALSE)=0,"",TEXT(IFERROR(VLOOKUP(T_BilanSocial[[#This Row],[NumL]],T_TraitDi[#Data],COLUMN(T_TraitDi[[#This Row],[Colonne22]]),FALSE),""),"[hh]:mm"))</f>
        <v>#VALUE!</v>
      </c>
      <c r="BE90" s="178" t="str">
        <f>IFERROR(VLOOKUP(T_BilanSocial[[#This Row],[NumL]],T_TraitDi[#Data],COLUMN(T_TraitDi[[#This Row],[Colonne23]]),FALSE),"")</f>
        <v/>
      </c>
      <c r="BF90" s="178" t="e">
        <f>IF(VLOOKUP(T_BilanSocial[[#This Row],[NumL]],T_TraitDi[#Data],COLUMN(T_TraitDi[[#This Row],[Colonne24]]),FALSE)=0,"",TEXT(IFERROR(VLOOKUP(T_BilanSocial[[#This Row],[NumL]],T_TraitDi[#Data],COLUMN(T_TraitDi[[#This Row],[Colonne24]]),FALSE),""),"[hh]:mm"))</f>
        <v>#VALUE!</v>
      </c>
      <c r="BG90" s="178" t="e">
        <f>IF(VLOOKUP(T_BilanSocial[[#This Row],[NumL]],T_TraitDi[#Data],COLUMN(T_TraitDi[[#This Row],[Colonne25]]),FALSE)=0,"",TEXT(IFERROR(VLOOKUP(T_BilanSocial[[#This Row],[NumL]],T_TraitDi[#Data],COLUMN(T_TraitDi[[#This Row],[Colonne25]]),FALSE),""),"[hh]:mm"))</f>
        <v>#VALUE!</v>
      </c>
      <c r="BH90" s="178" t="e">
        <f>IF(VLOOKUP(T_BilanSocial[[#This Row],[NumL]],T_TraitDi[#Data],COLUMN(T_TraitDi[[#This Row],[Colonne26]]),FALSE)=0,"",TEXT(IFERROR(VLOOKUP(T_BilanSocial[[#This Row],[NumL]],T_TraitDi[#Data],COLUMN(T_TraitDi[[#This Row],[Colonne26]]),FALSE),""),"[hh]:mm"))</f>
        <v>#VALUE!</v>
      </c>
      <c r="BI90" s="172" t="str">
        <f>IFERROR(VLOOKUP(T_BilanSocial[[#This Row],[NumL]],T_TraitDi[#Data],COLUMN(T_TraitDi[[#This Row],[Vendredi]]),FALSE),"")</f>
        <v/>
      </c>
      <c r="BJ90" s="172" t="e">
        <f>IF(VLOOKUP(T_BilanSocial[[#This Row],[NumL]],T_TraitDi[#Data],COLUMN(T_TraitDi[[#This Row],[Colonne27]]),FALSE)=0,"",TEXT(IFERROR(VLOOKUP(T_BilanSocial[[#This Row],[NumL]],T_TraitDi[#Data],COLUMN(T_TraitDi[[#This Row],[Colonne27]]),FALSE),""),"[hh]:mm"))</f>
        <v>#VALUE!</v>
      </c>
      <c r="BK90" s="172" t="e">
        <f>IF(VLOOKUP(T_BilanSocial[[#This Row],[NumL]],T_TraitDi[#Data],COLUMN(T_TraitDi[[#This Row],[Colonne28]]),FALSE)=0,"",TEXT(IFERROR(VLOOKUP(T_BilanSocial[[#This Row],[NumL]],T_TraitDi[#Data],COLUMN(T_TraitDi[[#This Row],[Colonne28]]),FALSE),""),"[hh]:mm"))</f>
        <v>#VALUE!</v>
      </c>
      <c r="BL90" s="172" t="str">
        <f>IFERROR(VLOOKUP(T_BilanSocial[[#This Row],[NumL]],T_TraitDi[#Data],COLUMN(T_TraitDi[[#This Row],[Colonne29]]),FALSE),"")</f>
        <v/>
      </c>
      <c r="BM90" s="172" t="e">
        <f>IF(VLOOKUP(T_BilanSocial[[#This Row],[NumL]],T_TraitDi[#Data],COLUMN(T_TraitDi[[#This Row],[Colonne30]]),FALSE)=0,"",TEXT(IFERROR(VLOOKUP(T_BilanSocial[[#This Row],[NumL]],T_TraitDi[#Data],COLUMN(T_TraitDi[[#This Row],[Colonne30]]),FALSE),""),"[hh]:mm"))</f>
        <v>#VALUE!</v>
      </c>
      <c r="BN90" s="172" t="e">
        <f>IF(VLOOKUP(T_BilanSocial[[#This Row],[NumL]],T_TraitDi[#Data],COLUMN(T_TraitDi[[#This Row],[Colonne31]]),FALSE)=0,"",TEXT(IFERROR(VLOOKUP(T_BilanSocial[[#This Row],[NumL]],T_TraitDi[#Data],COLUMN(T_TraitDi[[#This Row],[Colonne31]]),FALSE),""),"[hh]:mm"))</f>
        <v>#VALUE!</v>
      </c>
      <c r="BO90" s="172" t="e">
        <f>IF(VLOOKUP(T_BilanSocial[[#This Row],[NumL]],T_TraitDi[#Data],COLUMN(T_TraitDi[[#This Row],[Colonne32]]),FALSE)=0,"",TEXT(IFERROR(VLOOKUP(T_BilanSocial[[#This Row],[NumL]],T_TraitDi[#Data],COLUMN(T_TraitDi[[#This Row],[Colonne32]]),FALSE),""),"[hh]:mm"))</f>
        <v>#VALUE!</v>
      </c>
      <c r="BP90" s="172" t="e">
        <f>VLOOKUP(T_BilanSocial[[#This Row],[NumL]],T_TraitDi[#Data],COLUMN(T_TraitDi[NbJTot]),FALSE)</f>
        <v>#N/A</v>
      </c>
      <c r="BQ90" s="174" t="str">
        <f>IFERROR(VLOOKUP(T_BilanSocial[[#This Row],[NumL]],T_TraitDi[#Data],COLUMN(T_TraitDi[[#This Row],[NbJTW]]),FALSE),"")</f>
        <v/>
      </c>
      <c r="BR90" s="174" t="e">
        <f>IF(VLOOKUP(T_BilanSocial[[#This Row],[NumL]],T_TraitDi[#Data],COLUMN(T_TraitDi[[#This Row],[NbhTW]]),FALSE)=0,"",TEXT(IFERROR(VLOOKUP(T_BilanSocial[[#This Row],[NumL]],T_TraitDi[#Data],COLUMN(T_TraitDi[[#This Row],[NbhTW]]),FALSE),""),"[hh]:mm"))</f>
        <v>#VALUE!</v>
      </c>
      <c r="BS90" s="174" t="e">
        <f>IF(VLOOKUP(T_BilanSocial[[#This Row],[NumL]],T_TraitDi[#Data],COLUMN(T_TraitDi[[#This Row],[Nbhheb]]),FALSE)=0,"",TEXT(IFERROR(VLOOKUP($A90,T_TraitDi[#Data],COLUMN(T_TraitDi[[#This Row],[Nbhheb]]),FALSE),""),"[hh]:mm"))</f>
        <v>#VALUE!</v>
      </c>
      <c r="BT90" s="182" t="str">
        <f>IFERROR(VLOOKUP(VLOOKUP($A90,T_TraitDi[#Data],COLUMN(T_TraitDi[[#This Row],[Type1]]),FALSE),TypeTW,2,FALSE),"")</f>
        <v/>
      </c>
      <c r="BU90" s="182" t="str">
        <f>IFERROR(VLOOKUP($A90,T_TraitDi[#Data],COLUMN(T_TraitDi[[#This Row],[Rue1]]),FALSE),"")</f>
        <v/>
      </c>
      <c r="BV90" s="173" t="str">
        <f>IFERROR(VLOOKUP($A90,T_TraitDi[#Data],COLUMN(T_TraitDi[[#This Row],[CP1]]),FALSE),"")</f>
        <v/>
      </c>
      <c r="BW90" s="173" t="str">
        <f>IFERROR(VLOOKUP($A90,T_TraitDi[#Data],COLUMN(T_TraitDi[[#This Row],[VILLE1]]),FALSE),"")</f>
        <v/>
      </c>
      <c r="BX90" s="182" t="str">
        <f>IFERROR(VLOOKUP(VLOOKUP($A90,T_TraitDi[#Data],COLUMN(T_TraitDi[[#This Row],[Type2]]),FALSE),TypeTW,2,FALSE),"")</f>
        <v/>
      </c>
      <c r="BY90" s="182" t="str">
        <f>IFERROR(VLOOKUP($A90,T_TraitDi[#Data],COLUMN(T_TraitDi[[#This Row],[Rue2]]),FALSE),"")</f>
        <v/>
      </c>
      <c r="BZ90" s="173" t="str">
        <f>IFERROR(VLOOKUP($A90,T_TraitDi[#Data],COLUMN(T_TraitDi[[#This Row],[CP2]]),FALSE),"")</f>
        <v/>
      </c>
      <c r="CA90" s="173" t="str">
        <f>IFERROR(VLOOKUP($A90,T_TraitDi[#Data],COLUMN(T_TraitDi[[#This Row],[VILLE2]]),FALSE),"")</f>
        <v/>
      </c>
      <c r="CB90" s="182" t="str">
        <f>IF(VLOOKUP(T_BilanSocial[[#This Row],[NumL]],T_Equipement[#Data],COLUMN(T_Equipement[[#This Row],[PC]]),FALSE)="","Aucun équipement spécifique directement lié au télétravail",VLOOKUP(T_BilanSocial[[#This Row],[NumL]],T_Equipement[#Data],COLUMN(T_Equipement[[#This Row],[PC]]),FALSE))</f>
        <v xml:space="preserve">16-428	</v>
      </c>
      <c r="CC90" s="166" t="str">
        <f>IFERROR(IF(VLOOKUP(T_BilanSocial[[#This Row],[NumL]],T_TraitDi[#Data],COLUMN(T_TraitDi[[#This Row],[Plan]]),FALSE)="OK","Un planning spécifique de télétravail est annexé à la présente convention.",""),"")</f>
        <v/>
      </c>
      <c r="CD90" s="258" t="s">
        <v>3337</v>
      </c>
      <c r="CE90" s="164" t="e">
        <f>IF(VLOOKUP(T_BilanSocial[[#This Row],[NumL]],T_suiviDi[#Data],COLUMN(T_suiviDi[[#This Row],[Entité]]),FALSE)="","",VLOOKUP(T_BilanSocial[[#This Row],[NumL]],T_suiviDi[#Data],COLUMN(T_suiviDi[[#This Row],[Entité]]),FALSE))</f>
        <v>#VALUE!</v>
      </c>
      <c r="CF90" s="164" t="str">
        <f>IF(VLOOKUP(T_BilanSocial[[#This Row],[NumL]],T_Commission[#Data],COLUMN(T_Commission[[#This Row],[envoi confirm TW]]),FALSE)="","",VLOOKUP(T_BilanSocial[[#This Row],[NumL]],T_Commission[#Data],COLUMN(T_Commission[[#This Row],[envoi confirm TW]]),FALSE))</f>
        <v>Oui</v>
      </c>
      <c r="CG9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0" s="262" t="str">
        <f>T_BilanSocial[[#This Row],[Nom]]&amp;T_BilanSocial[[#This Row],[Prenom]]</f>
        <v/>
      </c>
      <c r="CI90" s="262">
        <f>VLOOKUP(T_BilanSocial[[#This Row],[NumL]],T_Commission[#Data],COLUMN(T_Commission[Commentaire]),FALSE)</f>
        <v>0</v>
      </c>
      <c r="CJ90" s="262" t="str">
        <f>IF(VLOOKUP(T_BilanSocial[[#This Row],[NumL]],T_Commission[#Data],COLUMN(T_Commission[Encadrant Email]),FALSE)="","",VLOOKUP(T_BilanSocial[[#This Row],[NumL]],T_Commission[#Data],COLUMN(T_Commission[Encadrant Email]),FALSE))</f>
        <v/>
      </c>
      <c r="CK90" s="340" t="str">
        <f>IF(T_BilanSocial[[#This Row],[Final]]&lt;&gt;"",VLOOKUP(T_BilanSocial[[#This Row],[NumL]],T_suiviDi[#Data],COLUMN((T_suiviDi[Statut])),FALSE),"")</f>
        <v/>
      </c>
    </row>
    <row r="91" spans="1:89" s="106" customFormat="1" ht="24.75" customHeight="1" x14ac:dyDescent="0.25">
      <c r="A91" s="160">
        <v>88</v>
      </c>
      <c r="B91" s="161" t="str">
        <f t="shared" si="10"/>
        <v/>
      </c>
      <c r="C91" s="162" t="s">
        <v>173</v>
      </c>
      <c r="D91" s="95" t="e">
        <f>IF(VLOOKUP(T_BilanSocial[[#This Row],[NumL]],T_TraitDi[#Data],COLUMN(T_TraitDi[[#This Row],[WebC]]),FALSE)="","",VLOOKUP(T_BilanSocial[[#This Row],[NumL]],T_TraitDi[#Data],COLUMN(T_TraitDi[[#This Row],[WebC]]),FALSE))</f>
        <v>#VALUE!</v>
      </c>
      <c r="E91" s="163" t="str">
        <f t="shared" si="11"/>
        <v>12 janvier 2021</v>
      </c>
      <c r="F91" s="96" t="str">
        <f>IF(T_BilanSocial[[#This Row],[Final]]&lt;&gt;"",VLOOKUP(T_BilanSocial[[#This Row],[NumL]],T_suiviDi[#Data],COLUMN((T_suiviDi[Civ.])),FALSE),"")</f>
        <v/>
      </c>
      <c r="G91" s="96" t="str">
        <f>IF(T_BilanSocial[[#This Row],[Final]]&lt;&gt;"",VLOOKUP(T_BilanSocial[[#This Row],[NumL]],T_suiviDi[#Data],COLUMN((T_suiviDi[Nom])),FALSE),"")</f>
        <v/>
      </c>
      <c r="H91" s="96" t="str">
        <f>IF(T_BilanSocial[[#This Row],[Final]]&lt;&gt;"",VLOOKUP(T_BilanSocial[[#This Row],[NumL]],T_suiviDi[#Data],COLUMN((T_suiviDi[Prénom])),FALSE),"")</f>
        <v/>
      </c>
      <c r="I91" s="96" t="str">
        <f>IFERROR(VLOOKUP(T_BilanSocial[[#This Row],[Zone_Bilan]],T_P_BilanSocial[#Data],COLUMN(T_P_BilanSocial[[#This Row],[Numero_SIHAM]]),FALSE),"")</f>
        <v/>
      </c>
      <c r="J91" s="96" t="str">
        <f>IFERROR(VLOOKUP(T_BilanSocial[[#This Row],[Zone_Bilan]],T_P_BilanSocial[#Data],COLUMN(T_P_BilanSocial[[#This Row],[Sexe]]),FALSE),"")</f>
        <v/>
      </c>
      <c r="K91" s="97" t="str">
        <f>IFERROR(VLOOKUP(T_BilanSocial[[#This Row],[Zone_Bilan]],T_P_BilanSocial[#Data],COLUMN(T_P_BilanSocial[[#This Row],[Categorie]]),FALSE),"")</f>
        <v/>
      </c>
      <c r="L91" s="96" t="str">
        <f>IFERROR(VLOOKUP(T_BilanSocial[[#This Row],[Zone_Bilan]],T_P_BilanSocial[#Data],COLUMN(T_P_BilanSocial[[#This Row],[Statut]]),FALSE),"")</f>
        <v/>
      </c>
      <c r="M91" s="96" t="str">
        <f>IFERROR(VLOOKUP(T_BilanSocial[[#This Row],[Zone_Bilan]],T_P_BilanSocial[#Data],COLUMN(T_P_BilanSocial[[#This Row],[Filiere]]),FALSE),"")</f>
        <v/>
      </c>
      <c r="N91" s="96" t="e">
        <f>VLOOKUP(T_BilanSocial[[#This Row],[NumL]],T_TraitDi[#Data],COLUMN(T_TraitDi[EXP]),FALSE)</f>
        <v>#N/A</v>
      </c>
      <c r="O91" s="96" t="e">
        <f>VLOOKUP(T_BilanSocial[[#This Row],[NumL]],T_TraitDi[#Data],COLUMN(T_TraitDi[FORM]),FALSE)</f>
        <v>#N/A</v>
      </c>
      <c r="P91" s="96" t="str">
        <f>IF(T_BilanSocial[[#This Row],[Final]]&lt;&gt;"",VLOOKUP(T_BilanSocial[[#This Row],[NumL]],T_suiviDi[#Data],COLUMN((T_suiviDi[Email])),FALSE),"")</f>
        <v/>
      </c>
      <c r="Q91" s="164" t="e">
        <f t="shared" si="17"/>
        <v>#N/A</v>
      </c>
      <c r="R91" s="164" t="e">
        <f t="shared" si="18"/>
        <v>#N/A</v>
      </c>
      <c r="S91" s="164" t="e">
        <f>IF(VLOOKUP(T_BilanSocial[[#This Row],[NumL]],T_suiviDi[#Data],COLUMN(T_suiviDi[[#This Row],[Service ]]),FALSE)="","",VLOOKUP(T_BilanSocial[[#This Row],[NumL]],T_suiviDi[#Data],COLUMN(T_suiviDi[[#This Row],[Service ]]),FALSE))</f>
        <v>#VALUE!</v>
      </c>
      <c r="T91" s="164" t="str">
        <f t="shared" si="12"/>
        <v>01 septembre 2021</v>
      </c>
      <c r="U91" s="164" t="str">
        <f t="shared" si="13"/>
        <v>30 novembre 2021</v>
      </c>
      <c r="V91" s="164" t="str">
        <f t="shared" si="19"/>
        <v>30 novembre 2021</v>
      </c>
      <c r="W91" s="176" t="e">
        <f>IF(VLOOKUP(T_BilanSocial[[#This Row],[NumL]],T_TraitDi[#Data],COLUMN(T_TraitDi[[#This Row],[M1]]),FALSE)="","",VLOOKUP(T_BilanSocial[[#This Row],[NumL]],T_TraitDi[#Data],COLUMN(T_TraitDi[[#This Row],[M1]]),FALSE))</f>
        <v>#VALUE!</v>
      </c>
      <c r="X91" s="176" t="e">
        <f>IF(VLOOKUP(T_BilanSocial[[#This Row],[NumL]],T_TraitDi[#Data],COLUMN(T_TraitDi[[#This Row],[M2]]),FALSE)="","",VLOOKUP(T_BilanSocial[[#This Row],[NumL]],T_TraitDi[#Data],COLUMN(T_TraitDi[[#This Row],[M2]]),FALSE))</f>
        <v>#VALUE!</v>
      </c>
      <c r="Y91" s="176" t="e">
        <f>IF(VLOOKUP(T_BilanSocial[[#This Row],[NumL]],T_TraitDi[#Data],COLUMN(T_TraitDi[[#This Row],[M3]]),FALSE)="","",VLOOKUP(T_BilanSocial[[#This Row],[NumL]],T_TraitDi[#Data],COLUMN(T_TraitDi[[#This Row],[M3]]),FALSE))</f>
        <v>#VALUE!</v>
      </c>
      <c r="Z91" s="176" t="str">
        <f t="shared" si="16"/>
        <v/>
      </c>
      <c r="AA91" s="176" t="e">
        <f>IF(VLOOKUP(T_BilanSocial[[#This Row],[NumL]],T_TraitDi[#Data],COLUMN(T_TraitDi[[#This Row],[M5]]),FALSE)="","",VLOOKUP(T_BilanSocial[[#This Row],[NumL]],T_TraitDi[#Data],COLUMN(T_TraitDi[[#This Row],[M5]]),FALSE))</f>
        <v>#VALUE!</v>
      </c>
      <c r="AB91" s="176" t="e">
        <f>IF(VLOOKUP(T_BilanSocial[[#This Row],[NumL]],T_TraitDi[#Data],COLUMN(T_TraitDi[[#This Row],[M6]]),FALSE)="","",VLOOKUP(T_BilanSocial[[#This Row],[NumL]],T_TraitDi[#Data],COLUMN(T_TraitDi[[#This Row],[M6]]),FALSE))</f>
        <v>#VALUE!</v>
      </c>
      <c r="AC91" s="165" t="e">
        <f t="shared" si="15"/>
        <v>#VALUE!</v>
      </c>
      <c r="AD91" s="188" t="str">
        <f>IFERROR(TEXT(VLOOKUP(T_BilanSocial[[#This Row],[NumL]],T_TraitDi[#Data],COLUMN(T_TraitDi[[#This Row],[Q2]]),FALSE),"###%"),"")</f>
        <v/>
      </c>
      <c r="AE91" s="97" t="e">
        <f>VLOOKUP(T_BilanSocial[[#This Row],[NumL]],T_TraitDi[#Data],COLUMN(T_TraitDi[[#This Row],[Reg Ponct]]),FALSE)</f>
        <v>#VALUE!</v>
      </c>
      <c r="AF91" s="97" t="e">
        <f>VLOOKUP(T_BilanSocial[NumL],T_TraitDi[#Data],COLUMN(T_TraitDi[[#This Row],[Jours flottants]]),FALSE)</f>
        <v>#VALUE!</v>
      </c>
      <c r="AG91" s="97" t="str">
        <f>IFERROR(VLOOKUP(T_BilanSocial[[#This Row],[NumL]],T_TraitDi[#Data],COLUMN(T_TraitDi[[#This Row],[Lundi]]),FALSE),"")</f>
        <v/>
      </c>
      <c r="AH91" s="172" t="e">
        <f>IF(VLOOKUP(T_BilanSocial[[#This Row],[NumL]],T_TraitDi[#Data],COLUMN(T_TraitDi[[#This Row],[Colonne3]]),FALSE)=0,"",TEXT(IFERROR(VLOOKUP(T_BilanSocial[[#This Row],[NumL]],T_TraitDi[#Data],COLUMN(T_TraitDi[[#This Row],[Colonne3]]),FALSE),""),"[hh]:mm"))</f>
        <v>#VALUE!</v>
      </c>
      <c r="AI91" s="172" t="e">
        <f>IF(VLOOKUP(T_BilanSocial[[#This Row],[NumL]],T_TraitDi[#Data],COLUMN(T_TraitDi[[#This Row],[Colonne4]]),FALSE)=0,"",TEXT(IFERROR(VLOOKUP(T_BilanSocial[[#This Row],[NumL]],T_TraitDi[#Data],COLUMN(T_TraitDi[[#This Row],[Colonne4]]),FALSE),""),"[hh]:mm"))</f>
        <v>#VALUE!</v>
      </c>
      <c r="AJ91" s="172" t="e">
        <f>IF(VLOOKUP(T_BilanSocial[[#This Row],[NumL]],T_TraitDi[#Data],COLUMN(T_TraitDi[[#This Row],[Colonne5]]),FALSE)=0,"",TEXT(IFERROR(VLOOKUP(T_BilanSocial[[#This Row],[NumL]],T_TraitDi[#Data],COLUMN(T_TraitDi[[#This Row],[Colonne5]]),FALSE),""),"[hh]:mm"))</f>
        <v>#VALUE!</v>
      </c>
      <c r="AK91" s="172" t="e">
        <f>IF(VLOOKUP(T_BilanSocial[[#This Row],[NumL]],T_TraitDi[#Data],COLUMN(T_TraitDi[[#This Row],[Colonne6]]),FALSE)=0,"",TEXT(IFERROR(VLOOKUP(T_BilanSocial[[#This Row],[NumL]],T_TraitDi[#Data],COLUMN(T_TraitDi[[#This Row],[Colonne6]]),FALSE),""),"[hh]:mm"))</f>
        <v>#VALUE!</v>
      </c>
      <c r="AL91" s="172" t="e">
        <f>IF(VLOOKUP(T_BilanSocial[[#This Row],[NumL]],T_TraitDi[#Data],COLUMN(T_TraitDi[[#This Row],[Colonne7]]),FALSE)=0,"",TEXT(IFERROR(VLOOKUP(T_BilanSocial[[#This Row],[NumL]],T_TraitDi[#Data],COLUMN(T_TraitDi[[#This Row],[Colonne7]]),FALSE),""),"[hh]:mm"))</f>
        <v>#VALUE!</v>
      </c>
      <c r="AM91" s="172" t="e">
        <f>IF(VLOOKUP(T_BilanSocial[[#This Row],[NumL]],T_TraitDi[#Data],COLUMN(T_TraitDi[[#This Row],[Colonne8]]),FALSE)=0,"",TEXT(IFERROR(VLOOKUP(T_BilanSocial[[#This Row],[NumL]],T_TraitDi[#Data],COLUMN(T_TraitDi[[#This Row],[Colonne8]]),FALSE),""),"[hh]:mm"))</f>
        <v>#VALUE!</v>
      </c>
      <c r="AN91" s="172" t="str">
        <f>IFERROR(VLOOKUP(T_BilanSocial[[#This Row],[NumL]],T_TraitDi[#Data],COLUMN(T_TraitDi[[#This Row],[Mardi]]),FALSE),"")</f>
        <v/>
      </c>
      <c r="AO91" s="172" t="e">
        <f>IF(VLOOKUP(T_BilanSocial[[#This Row],[NumL]],T_TraitDi[#Data],COLUMN(T_TraitDi[[#This Row],[Colonne1]]),FALSE)=0,"",TEXT(IFERROR(VLOOKUP(T_BilanSocial[[#This Row],[NumL]],T_TraitDi[#Data],COLUMN(T_TraitDi[[#This Row],[Colonne1]]),FALSE),""),"[hh]:mm"))</f>
        <v>#VALUE!</v>
      </c>
      <c r="AP91" s="172" t="e">
        <f>IF(VLOOKUP(T_BilanSocial[[#This Row],[NumL]],T_TraitDi[#Data],COLUMN(T_TraitDi[[#This Row],[Colonne9]]),FALSE)=0,"",TEXT(IFERROR(VLOOKUP(T_BilanSocial[[#This Row],[NumL]],T_TraitDi[#Data],COLUMN(T_TraitDi[[#This Row],[Colonne9]]),FALSE),""),"[hh]:mm"))</f>
        <v>#VALUE!</v>
      </c>
      <c r="AQ91" s="172" t="str">
        <f>IFERROR(VLOOKUP(T_BilanSocial[[#This Row],[NumL]],T_TraitDi[#Data],COLUMN(T_TraitDi[[#This Row],[Colonne10]]),FALSE),"")</f>
        <v/>
      </c>
      <c r="AR91" s="172" t="e">
        <f>IF(VLOOKUP(T_BilanSocial[[#This Row],[NumL]],T_TraitDi[#Data],COLUMN(T_TraitDi[[#This Row],[Colonne11]]),FALSE)=0,"",TEXT(IFERROR(VLOOKUP(T_BilanSocial[[#This Row],[NumL]],T_TraitDi[#Data],COLUMN(T_TraitDi[[#This Row],[Colonne11]]),FALSE),""),"[hh]:mm"))</f>
        <v>#VALUE!</v>
      </c>
      <c r="AS91" s="172" t="e">
        <f>IF(VLOOKUP(T_BilanSocial[[#This Row],[NumL]],T_TraitDi[#Data],COLUMN(T_TraitDi[[#This Row],[Colonne12]]),FALSE)=0,"",TEXT(IFERROR(VLOOKUP(T_BilanSocial[[#This Row],[NumL]],T_TraitDi[#Data],COLUMN(T_TraitDi[[#This Row],[Colonne12]]),FALSE),""),"[hh]:mm"))</f>
        <v>#VALUE!</v>
      </c>
      <c r="AT91" s="172" t="e">
        <f>IF(VLOOKUP(T_BilanSocial[[#This Row],[NumL]],T_TraitDi[#Data],COLUMN(T_TraitDi[[#This Row],[Colonne14]]),FALSE)=0,"",TEXT(IFERROR(VLOOKUP(T_BilanSocial[[#This Row],[NumL]],T_TraitDi[#Data],COLUMN(T_TraitDi[[#This Row],[Colonne14]]),FALSE),""),"[hh]:mm"))</f>
        <v>#VALUE!</v>
      </c>
      <c r="AU91" s="172" t="str">
        <f>IFERROR(VLOOKUP(T_BilanSocial[[#This Row],[NumL]],T_TraitDi[#Data],COLUMN(T_TraitDi[[#This Row],[Mercredi]]),FALSE),"")</f>
        <v/>
      </c>
      <c r="AV91" s="172" t="e">
        <f>IF(VLOOKUP(T_BilanSocial[[#This Row],[NumL]],T_TraitDi[#Data],COLUMN(T_TraitDi[[#This Row],[Colonne15]]),FALSE)=0,"",TEXT(IFERROR(VLOOKUP(T_BilanSocial[[#This Row],[NumL]],T_TraitDi[#Data],COLUMN(T_TraitDi[[#This Row],[Colonne15]]),FALSE),""),"[hh]:mm"))</f>
        <v>#VALUE!</v>
      </c>
      <c r="AW91" s="172" t="e">
        <f>IF(VLOOKUP(T_BilanSocial[[#This Row],[NumL]],T_TraitDi[#Data],COLUMN(T_TraitDi[[#This Row],[Colonne16]]),FALSE)=0,"",TEXT(IFERROR(VLOOKUP(T_BilanSocial[[#This Row],[NumL]],T_TraitDi[#Data],COLUMN(T_TraitDi[[#This Row],[Colonne16]]),FALSE),""),"[hh]:mm"))</f>
        <v>#VALUE!</v>
      </c>
      <c r="AX91" s="172" t="str">
        <f>IFERROR(VLOOKUP(T_BilanSocial[[#This Row],[NumL]],T_TraitDi[#Data],COLUMN(T_TraitDi[[#This Row],[Colonne17]]),FALSE),"")</f>
        <v/>
      </c>
      <c r="AY91" s="172" t="e">
        <f>IF(VLOOKUP(T_BilanSocial[[#This Row],[NumL]],T_TraitDi[#Data],COLUMN(T_TraitDi[[#This Row],[Colonne18]]),FALSE)=0,"",TEXT(IFERROR(VLOOKUP(T_BilanSocial[[#This Row],[NumL]],T_TraitDi[#Data],COLUMN(T_TraitDi[[#This Row],[Colonne18]]),FALSE),""),"[hh]:mm"))</f>
        <v>#VALUE!</v>
      </c>
      <c r="AZ91" s="172" t="e">
        <f>IF(VLOOKUP(T_BilanSocial[[#This Row],[NumL]],T_TraitDi[#Data],COLUMN(T_TraitDi[[#This Row],[Colonne19]]),FALSE)=0,"",TEXT(IFERROR(VLOOKUP(T_BilanSocial[[#This Row],[NumL]],T_TraitDi[#Data],COLUMN(T_TraitDi[[#This Row],[Colonne19]]),FALSE),""),"[hh]:mm"))</f>
        <v>#VALUE!</v>
      </c>
      <c r="BA91" s="172" t="e">
        <f>IF(VLOOKUP(T_BilanSocial[[#This Row],[NumL]],T_TraitDi[#Data],COLUMN(T_TraitDi[[#This Row],[Colonne20]]),FALSE)=0,"",TEXT(IFERROR(VLOOKUP(T_BilanSocial[[#This Row],[NumL]],T_TraitDi[#Data],COLUMN(T_TraitDi[[#This Row],[Colonne20]]),FALSE),""),"[hh]:mm"))</f>
        <v>#VALUE!</v>
      </c>
      <c r="BB91" s="178" t="str">
        <f>IFERROR(VLOOKUP(T_BilanSocial[[#This Row],[NumL]],T_TraitDi[#Data],COLUMN(T_TraitDi[[#This Row],[Jeudi]]),FALSE),"")</f>
        <v/>
      </c>
      <c r="BC91" s="178" t="e">
        <f>IF(VLOOKUP(T_BilanSocial[[#This Row],[NumL]],T_TraitDi[#Data],COLUMN(T_TraitDi[[#This Row],[Colonne21]]),FALSE)=0,"",TEXT(IFERROR(VLOOKUP(T_BilanSocial[[#This Row],[NumL]],T_TraitDi[#Data],COLUMN(T_TraitDi[[#This Row],[Colonne21]]),FALSE),""),"[hh]:mm"))</f>
        <v>#VALUE!</v>
      </c>
      <c r="BD91" s="178" t="e">
        <f>IF(VLOOKUP(T_BilanSocial[[#This Row],[NumL]],T_TraitDi[#Data],COLUMN(T_TraitDi[[#This Row],[Colonne22]]),FALSE)=0,"",TEXT(IFERROR(VLOOKUP(T_BilanSocial[[#This Row],[NumL]],T_TraitDi[#Data],COLUMN(T_TraitDi[[#This Row],[Colonne22]]),FALSE),""),"[hh]:mm"))</f>
        <v>#VALUE!</v>
      </c>
      <c r="BE91" s="178" t="str">
        <f>IFERROR(VLOOKUP(T_BilanSocial[[#This Row],[NumL]],T_TraitDi[#Data],COLUMN(T_TraitDi[[#This Row],[Colonne23]]),FALSE),"")</f>
        <v/>
      </c>
      <c r="BF91" s="178" t="e">
        <f>IF(VLOOKUP(T_BilanSocial[[#This Row],[NumL]],T_TraitDi[#Data],COLUMN(T_TraitDi[[#This Row],[Colonne24]]),FALSE)=0,"",TEXT(IFERROR(VLOOKUP(T_BilanSocial[[#This Row],[NumL]],T_TraitDi[#Data],COLUMN(T_TraitDi[[#This Row],[Colonne24]]),FALSE),""),"[hh]:mm"))</f>
        <v>#VALUE!</v>
      </c>
      <c r="BG91" s="178" t="e">
        <f>IF(VLOOKUP(T_BilanSocial[[#This Row],[NumL]],T_TraitDi[#Data],COLUMN(T_TraitDi[[#This Row],[Colonne25]]),FALSE)=0,"",TEXT(IFERROR(VLOOKUP(T_BilanSocial[[#This Row],[NumL]],T_TraitDi[#Data],COLUMN(T_TraitDi[[#This Row],[Colonne25]]),FALSE),""),"[hh]:mm"))</f>
        <v>#VALUE!</v>
      </c>
      <c r="BH91" s="178" t="e">
        <f>IF(VLOOKUP(T_BilanSocial[[#This Row],[NumL]],T_TraitDi[#Data],COLUMN(T_TraitDi[[#This Row],[Colonne26]]),FALSE)=0,"",TEXT(IFERROR(VLOOKUP(T_BilanSocial[[#This Row],[NumL]],T_TraitDi[#Data],COLUMN(T_TraitDi[[#This Row],[Colonne26]]),FALSE),""),"[hh]:mm"))</f>
        <v>#VALUE!</v>
      </c>
      <c r="BI91" s="172" t="str">
        <f>IFERROR(VLOOKUP(T_BilanSocial[[#This Row],[NumL]],T_TraitDi[#Data],COLUMN(T_TraitDi[[#This Row],[Vendredi]]),FALSE),"")</f>
        <v/>
      </c>
      <c r="BJ91" s="172" t="e">
        <f>IF(VLOOKUP(T_BilanSocial[[#This Row],[NumL]],T_TraitDi[#Data],COLUMN(T_TraitDi[[#This Row],[Colonne27]]),FALSE)=0,"",TEXT(IFERROR(VLOOKUP(T_BilanSocial[[#This Row],[NumL]],T_TraitDi[#Data],COLUMN(T_TraitDi[[#This Row],[Colonne27]]),FALSE),""),"[hh]:mm"))</f>
        <v>#VALUE!</v>
      </c>
      <c r="BK91" s="172" t="e">
        <f>IF(VLOOKUP(T_BilanSocial[[#This Row],[NumL]],T_TraitDi[#Data],COLUMN(T_TraitDi[[#This Row],[Colonne28]]),FALSE)=0,"",TEXT(IFERROR(VLOOKUP(T_BilanSocial[[#This Row],[NumL]],T_TraitDi[#Data],COLUMN(T_TraitDi[[#This Row],[Colonne28]]),FALSE),""),"[hh]:mm"))</f>
        <v>#VALUE!</v>
      </c>
      <c r="BL91" s="172" t="str">
        <f>IFERROR(VLOOKUP(T_BilanSocial[[#This Row],[NumL]],T_TraitDi[#Data],COLUMN(T_TraitDi[[#This Row],[Colonne29]]),FALSE),"")</f>
        <v/>
      </c>
      <c r="BM91" s="172" t="e">
        <f>IF(VLOOKUP(T_BilanSocial[[#This Row],[NumL]],T_TraitDi[#Data],COLUMN(T_TraitDi[[#This Row],[Colonne30]]),FALSE)=0,"",TEXT(IFERROR(VLOOKUP(T_BilanSocial[[#This Row],[NumL]],T_TraitDi[#Data],COLUMN(T_TraitDi[[#This Row],[Colonne30]]),FALSE),""),"[hh]:mm"))</f>
        <v>#VALUE!</v>
      </c>
      <c r="BN91" s="172" t="e">
        <f>IF(VLOOKUP(T_BilanSocial[[#This Row],[NumL]],T_TraitDi[#Data],COLUMN(T_TraitDi[[#This Row],[Colonne31]]),FALSE)=0,"",TEXT(IFERROR(VLOOKUP(T_BilanSocial[[#This Row],[NumL]],T_TraitDi[#Data],COLUMN(T_TraitDi[[#This Row],[Colonne31]]),FALSE),""),"[hh]:mm"))</f>
        <v>#VALUE!</v>
      </c>
      <c r="BO91" s="172" t="e">
        <f>IF(VLOOKUP(T_BilanSocial[[#This Row],[NumL]],T_TraitDi[#Data],COLUMN(T_TraitDi[[#This Row],[Colonne32]]),FALSE)=0,"",TEXT(IFERROR(VLOOKUP(T_BilanSocial[[#This Row],[NumL]],T_TraitDi[#Data],COLUMN(T_TraitDi[[#This Row],[Colonne32]]),FALSE),""),"[hh]:mm"))</f>
        <v>#VALUE!</v>
      </c>
      <c r="BP91" s="172" t="e">
        <f>VLOOKUP(T_BilanSocial[[#This Row],[NumL]],T_TraitDi[#Data],COLUMN(T_TraitDi[NbJTot]),FALSE)</f>
        <v>#N/A</v>
      </c>
      <c r="BQ91" s="174" t="str">
        <f>IFERROR(VLOOKUP(T_BilanSocial[[#This Row],[NumL]],T_TraitDi[#Data],COLUMN(T_TraitDi[[#This Row],[NbJTW]]),FALSE),"")</f>
        <v/>
      </c>
      <c r="BR91" s="174" t="e">
        <f>IF(VLOOKUP(T_BilanSocial[[#This Row],[NumL]],T_TraitDi[#Data],COLUMN(T_TraitDi[[#This Row],[NbhTW]]),FALSE)=0,"",TEXT(IFERROR(VLOOKUP(T_BilanSocial[[#This Row],[NumL]],T_TraitDi[#Data],COLUMN(T_TraitDi[[#This Row],[NbhTW]]),FALSE),""),"[hh]:mm"))</f>
        <v>#VALUE!</v>
      </c>
      <c r="BS91" s="174" t="e">
        <f>IF(VLOOKUP(T_BilanSocial[[#This Row],[NumL]],T_TraitDi[#Data],COLUMN(T_TraitDi[[#This Row],[Nbhheb]]),FALSE)=0,"",TEXT(IFERROR(VLOOKUP($A91,T_TraitDi[#Data],COLUMN(T_TraitDi[[#This Row],[Nbhheb]]),FALSE),""),"[hh]:mm"))</f>
        <v>#VALUE!</v>
      </c>
      <c r="BT91" s="182" t="str">
        <f>IFERROR(VLOOKUP(VLOOKUP($A91,T_TraitDi[#Data],COLUMN(T_TraitDi[[#This Row],[Type1]]),FALSE),TypeTW,2,FALSE),"")</f>
        <v/>
      </c>
      <c r="BU91" s="182" t="str">
        <f>IFERROR(VLOOKUP($A91,T_TraitDi[#Data],COLUMN(T_TraitDi[[#This Row],[Rue1]]),FALSE),"")</f>
        <v/>
      </c>
      <c r="BV91" s="173" t="str">
        <f>IFERROR(VLOOKUP($A91,T_TraitDi[#Data],COLUMN(T_TraitDi[[#This Row],[CP1]]),FALSE),"")</f>
        <v/>
      </c>
      <c r="BW91" s="173" t="str">
        <f>IFERROR(VLOOKUP($A91,T_TraitDi[#Data],COLUMN(T_TraitDi[[#This Row],[VILLE1]]),FALSE),"")</f>
        <v/>
      </c>
      <c r="BX91" s="182" t="str">
        <f>IFERROR(VLOOKUP(VLOOKUP($A91,T_TraitDi[#Data],COLUMN(T_TraitDi[[#This Row],[Type2]]),FALSE),TypeTW,2,FALSE),"")</f>
        <v/>
      </c>
      <c r="BY91" s="182" t="str">
        <f>IFERROR(VLOOKUP($A91,T_TraitDi[#Data],COLUMN(T_TraitDi[[#This Row],[Rue2]]),FALSE),"")</f>
        <v/>
      </c>
      <c r="BZ91" s="173" t="str">
        <f>IFERROR(VLOOKUP($A91,T_TraitDi[#Data],COLUMN(T_TraitDi[[#This Row],[CP2]]),FALSE),"")</f>
        <v/>
      </c>
      <c r="CA91" s="173" t="str">
        <f>IFERROR(VLOOKUP($A91,T_TraitDi[#Data],COLUMN(T_TraitDi[[#This Row],[VILLE2]]),FALSE),"")</f>
        <v/>
      </c>
      <c r="CB91" s="182" t="str">
        <f>IF(VLOOKUP(T_BilanSocial[[#This Row],[NumL]],T_Equipement[#Data],COLUMN(T_Equipement[[#This Row],[PC]]),FALSE)="","Aucun équipement spécifique directement lié au télétravail",VLOOKUP(T_BilanSocial[[#This Row],[NumL]],T_Equipement[#Data],COLUMN(T_Equipement[[#This Row],[PC]]),FALSE))</f>
        <v>20-076</v>
      </c>
      <c r="CC91" s="166" t="str">
        <f>IFERROR(IF(VLOOKUP(T_BilanSocial[[#This Row],[NumL]],T_TraitDi[#Data],COLUMN(T_TraitDi[[#This Row],[Plan]]),FALSE)="OK","Un planning spécifique de télétravail est annexé à la présente convention.",""),"")</f>
        <v/>
      </c>
      <c r="CD91" s="258" t="s">
        <v>3449</v>
      </c>
      <c r="CE91" s="164" t="e">
        <f>IF(VLOOKUP(T_BilanSocial[[#This Row],[NumL]],T_suiviDi[#Data],COLUMN(T_suiviDi[[#This Row],[Entité]]),FALSE)="","",VLOOKUP(T_BilanSocial[[#This Row],[NumL]],T_suiviDi[#Data],COLUMN(T_suiviDi[[#This Row],[Entité]]),FALSE))</f>
        <v>#VALUE!</v>
      </c>
      <c r="CF91" s="164" t="str">
        <f>IF(VLOOKUP(T_BilanSocial[[#This Row],[NumL]],T_Commission[#Data],COLUMN(T_Commission[[#This Row],[envoi confirm TW]]),FALSE)="","",VLOOKUP(T_BilanSocial[[#This Row],[NumL]],T_Commission[#Data],COLUMN(T_Commission[[#This Row],[envoi confirm TW]]),FALSE))</f>
        <v>Oui</v>
      </c>
      <c r="CG9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1" s="262" t="str">
        <f>T_BilanSocial[[#This Row],[Nom]]&amp;T_BilanSocial[[#This Row],[Prenom]]</f>
        <v/>
      </c>
      <c r="CI91" s="262">
        <f>VLOOKUP(T_BilanSocial[[#This Row],[NumL]],T_Commission[#Data],COLUMN(T_Commission[Commentaire]),FALSE)</f>
        <v>0</v>
      </c>
      <c r="CJ91" s="262" t="str">
        <f>IF(VLOOKUP(T_BilanSocial[[#This Row],[NumL]],T_Commission[#Data],COLUMN(T_Commission[Encadrant Email]),FALSE)="","",VLOOKUP(T_BilanSocial[[#This Row],[NumL]],T_Commission[#Data],COLUMN(T_Commission[Encadrant Email]),FALSE))</f>
        <v/>
      </c>
      <c r="CK91" s="340" t="str">
        <f>IF(T_BilanSocial[[#This Row],[Final]]&lt;&gt;"",VLOOKUP(T_BilanSocial[[#This Row],[NumL]],T_suiviDi[#Data],COLUMN((T_suiviDi[Statut])),FALSE),"")</f>
        <v/>
      </c>
    </row>
    <row r="92" spans="1:89" s="106" customFormat="1" ht="24.75" customHeight="1" x14ac:dyDescent="0.25">
      <c r="A92" s="160">
        <v>89</v>
      </c>
      <c r="B92" s="161" t="str">
        <f t="shared" si="10"/>
        <v/>
      </c>
      <c r="C92" s="162" t="s">
        <v>139</v>
      </c>
      <c r="D92" s="95" t="e">
        <f>IF(VLOOKUP(T_BilanSocial[[#This Row],[NumL]],T_TraitDi[#Data],COLUMN(T_TraitDi[[#This Row],[WebC]]),FALSE)="","",VLOOKUP(T_BilanSocial[[#This Row],[NumL]],T_TraitDi[#Data],COLUMN(T_TraitDi[[#This Row],[WebC]]),FALSE))</f>
        <v>#VALUE!</v>
      </c>
      <c r="E92" s="163" t="str">
        <f t="shared" si="11"/>
        <v>12 janvier 2021</v>
      </c>
      <c r="F92" s="96" t="str">
        <f>IF(T_BilanSocial[[#This Row],[Final]]&lt;&gt;"",VLOOKUP(T_BilanSocial[[#This Row],[NumL]],T_suiviDi[#Data],COLUMN((T_suiviDi[Civ.])),FALSE),"")</f>
        <v/>
      </c>
      <c r="G92" s="96" t="str">
        <f>IF(T_BilanSocial[[#This Row],[Final]]&lt;&gt;"",VLOOKUP(T_BilanSocial[[#This Row],[NumL]],T_suiviDi[#Data],COLUMN((T_suiviDi[Nom])),FALSE),"")</f>
        <v/>
      </c>
      <c r="H92" s="96" t="str">
        <f>IF(T_BilanSocial[[#This Row],[Final]]&lt;&gt;"",VLOOKUP(T_BilanSocial[[#This Row],[NumL]],T_suiviDi[#Data],COLUMN((T_suiviDi[Prénom])),FALSE),"")</f>
        <v/>
      </c>
      <c r="I92" s="96" t="str">
        <f>IFERROR(VLOOKUP(T_BilanSocial[[#This Row],[Zone_Bilan]],T_P_BilanSocial[#Data],COLUMN(T_P_BilanSocial[[#This Row],[Numero_SIHAM]]),FALSE),"")</f>
        <v/>
      </c>
      <c r="J92" s="96" t="str">
        <f>IFERROR(VLOOKUP(T_BilanSocial[[#This Row],[Zone_Bilan]],T_P_BilanSocial[#Data],COLUMN(T_P_BilanSocial[[#This Row],[Sexe]]),FALSE),"")</f>
        <v/>
      </c>
      <c r="K92" s="97" t="str">
        <f>IFERROR(VLOOKUP(T_BilanSocial[[#This Row],[Zone_Bilan]],T_P_BilanSocial[#Data],COLUMN(T_P_BilanSocial[[#This Row],[Categorie]]),FALSE),"")</f>
        <v/>
      </c>
      <c r="L92" s="96" t="str">
        <f>IFERROR(VLOOKUP(T_BilanSocial[[#This Row],[Zone_Bilan]],T_P_BilanSocial[#Data],COLUMN(T_P_BilanSocial[[#This Row],[Statut]]),FALSE),"")</f>
        <v/>
      </c>
      <c r="M92" s="96" t="str">
        <f>IFERROR(VLOOKUP(T_BilanSocial[[#This Row],[Zone_Bilan]],T_P_BilanSocial[#Data],COLUMN(T_P_BilanSocial[[#This Row],[Filiere]]),FALSE),"")</f>
        <v/>
      </c>
      <c r="N92" s="96" t="e">
        <f>VLOOKUP(T_BilanSocial[[#This Row],[NumL]],T_TraitDi[#Data],COLUMN(T_TraitDi[EXP]),FALSE)</f>
        <v>#N/A</v>
      </c>
      <c r="O92" s="96" t="e">
        <f>VLOOKUP(T_BilanSocial[[#This Row],[NumL]],T_TraitDi[#Data],COLUMN(T_TraitDi[FORM]),FALSE)</f>
        <v>#N/A</v>
      </c>
      <c r="P92" s="96" t="str">
        <f>IF(T_BilanSocial[[#This Row],[Final]]&lt;&gt;"",VLOOKUP(T_BilanSocial[[#This Row],[NumL]],T_suiviDi[#Data],COLUMN((T_suiviDi[Email])),FALSE),"")</f>
        <v/>
      </c>
      <c r="Q92" s="164" t="e">
        <f t="shared" si="17"/>
        <v>#N/A</v>
      </c>
      <c r="R92" s="164" t="e">
        <f t="shared" si="18"/>
        <v>#N/A</v>
      </c>
      <c r="S92" s="164" t="e">
        <f>IF(VLOOKUP(T_BilanSocial[[#This Row],[NumL]],T_suiviDi[#Data],COLUMN(T_suiviDi[[#This Row],[Service ]]),FALSE)="","",VLOOKUP(T_BilanSocial[[#This Row],[NumL]],T_suiviDi[#Data],COLUMN(T_suiviDi[[#This Row],[Service ]]),FALSE))</f>
        <v>#VALUE!</v>
      </c>
      <c r="T92" s="164" t="str">
        <f t="shared" si="12"/>
        <v>01 septembre 2021</v>
      </c>
      <c r="U92" s="164" t="str">
        <f t="shared" si="13"/>
        <v>30 novembre 2021</v>
      </c>
      <c r="V92" s="256">
        <f>Datebilan</f>
        <v>44530</v>
      </c>
      <c r="W92" s="176" t="e">
        <f>IF(VLOOKUP(T_BilanSocial[[#This Row],[NumL]],T_TraitDi[#Data],COLUMN(T_TraitDi[[#This Row],[M1]]),FALSE)="","",VLOOKUP(T_BilanSocial[[#This Row],[NumL]],T_TraitDi[#Data],COLUMN(T_TraitDi[[#This Row],[M1]]),FALSE))</f>
        <v>#VALUE!</v>
      </c>
      <c r="X92" s="176" t="e">
        <f>IF(VLOOKUP(T_BilanSocial[[#This Row],[NumL]],T_TraitDi[#Data],COLUMN(T_TraitDi[[#This Row],[M2]]),FALSE)="","",VLOOKUP(T_BilanSocial[[#This Row],[NumL]],T_TraitDi[#Data],COLUMN(T_TraitDi[[#This Row],[M2]]),FALSE))</f>
        <v>#VALUE!</v>
      </c>
      <c r="Y92" s="176" t="e">
        <f>IF(VLOOKUP(T_BilanSocial[[#This Row],[NumL]],T_TraitDi[#Data],COLUMN(T_TraitDi[[#This Row],[M3]]),FALSE)="","",VLOOKUP(T_BilanSocial[[#This Row],[NumL]],T_TraitDi[#Data],COLUMN(T_TraitDi[[#This Row],[M3]]),FALSE))</f>
        <v>#VALUE!</v>
      </c>
      <c r="Z92" s="176" t="str">
        <f t="shared" si="16"/>
        <v/>
      </c>
      <c r="AA92" s="176" t="e">
        <f>IF(VLOOKUP(T_BilanSocial[[#This Row],[NumL]],T_TraitDi[#Data],COLUMN(T_TraitDi[[#This Row],[M5]]),FALSE)="","",VLOOKUP(T_BilanSocial[[#This Row],[NumL]],T_TraitDi[#Data],COLUMN(T_TraitDi[[#This Row],[M5]]),FALSE))</f>
        <v>#VALUE!</v>
      </c>
      <c r="AB92" s="176" t="e">
        <f>IF(VLOOKUP(T_BilanSocial[[#This Row],[NumL]],T_TraitDi[#Data],COLUMN(T_TraitDi[[#This Row],[M6]]),FALSE)="","",VLOOKUP(T_BilanSocial[[#This Row],[NumL]],T_TraitDi[#Data],COLUMN(T_TraitDi[[#This Row],[M6]]),FALSE))</f>
        <v>#VALUE!</v>
      </c>
      <c r="AC92" s="165" t="e">
        <f t="shared" si="15"/>
        <v>#VALUE!</v>
      </c>
      <c r="AD92" s="188" t="str">
        <f>IFERROR(TEXT(VLOOKUP(T_BilanSocial[[#This Row],[NumL]],T_TraitDi[#Data],COLUMN(T_TraitDi[[#This Row],[Q2]]),FALSE),"###%"),"")</f>
        <v/>
      </c>
      <c r="AE92" s="97" t="e">
        <f>VLOOKUP(T_BilanSocial[[#This Row],[NumL]],T_TraitDi[#Data],COLUMN(T_TraitDi[[#This Row],[Reg Ponct]]),FALSE)</f>
        <v>#VALUE!</v>
      </c>
      <c r="AF92" s="97" t="e">
        <f>VLOOKUP(T_BilanSocial[NumL],T_TraitDi[#Data],COLUMN(T_TraitDi[[#This Row],[Jours flottants]]),FALSE)</f>
        <v>#VALUE!</v>
      </c>
      <c r="AG92" s="97" t="str">
        <f>IFERROR(VLOOKUP(T_BilanSocial[[#This Row],[NumL]],T_TraitDi[#Data],COLUMN(T_TraitDi[[#This Row],[Lundi]]),FALSE),"")</f>
        <v/>
      </c>
      <c r="AH92" s="172" t="e">
        <f>IF(VLOOKUP(T_BilanSocial[[#This Row],[NumL]],T_TraitDi[#Data],COLUMN(T_TraitDi[[#This Row],[Colonne3]]),FALSE)=0,"",TEXT(IFERROR(VLOOKUP(T_BilanSocial[[#This Row],[NumL]],T_TraitDi[#Data],COLUMN(T_TraitDi[[#This Row],[Colonne3]]),FALSE),""),"[hh]:mm"))</f>
        <v>#VALUE!</v>
      </c>
      <c r="AI92" s="172" t="e">
        <f>IF(VLOOKUP(T_BilanSocial[[#This Row],[NumL]],T_TraitDi[#Data],COLUMN(T_TraitDi[[#This Row],[Colonne4]]),FALSE)=0,"",TEXT(IFERROR(VLOOKUP(T_BilanSocial[[#This Row],[NumL]],T_TraitDi[#Data],COLUMN(T_TraitDi[[#This Row],[Colonne4]]),FALSE),""),"[hh]:mm"))</f>
        <v>#VALUE!</v>
      </c>
      <c r="AJ92" s="172" t="e">
        <f>IF(VLOOKUP(T_BilanSocial[[#This Row],[NumL]],T_TraitDi[#Data],COLUMN(T_TraitDi[[#This Row],[Colonne5]]),FALSE)=0,"",TEXT(IFERROR(VLOOKUP(T_BilanSocial[[#This Row],[NumL]],T_TraitDi[#Data],COLUMN(T_TraitDi[[#This Row],[Colonne5]]),FALSE),""),"[hh]:mm"))</f>
        <v>#VALUE!</v>
      </c>
      <c r="AK92" s="172" t="e">
        <f>IF(VLOOKUP(T_BilanSocial[[#This Row],[NumL]],T_TraitDi[#Data],COLUMN(T_TraitDi[[#This Row],[Colonne6]]),FALSE)=0,"",TEXT(IFERROR(VLOOKUP(T_BilanSocial[[#This Row],[NumL]],T_TraitDi[#Data],COLUMN(T_TraitDi[[#This Row],[Colonne6]]),FALSE),""),"[hh]:mm"))</f>
        <v>#VALUE!</v>
      </c>
      <c r="AL92" s="172" t="e">
        <f>IF(VLOOKUP(T_BilanSocial[[#This Row],[NumL]],T_TraitDi[#Data],COLUMN(T_TraitDi[[#This Row],[Colonne7]]),FALSE)=0,"",TEXT(IFERROR(VLOOKUP(T_BilanSocial[[#This Row],[NumL]],T_TraitDi[#Data],COLUMN(T_TraitDi[[#This Row],[Colonne7]]),FALSE),""),"[hh]:mm"))</f>
        <v>#VALUE!</v>
      </c>
      <c r="AM92" s="172" t="e">
        <f>IF(VLOOKUP(T_BilanSocial[[#This Row],[NumL]],T_TraitDi[#Data],COLUMN(T_TraitDi[[#This Row],[Colonne8]]),FALSE)=0,"",TEXT(IFERROR(VLOOKUP(T_BilanSocial[[#This Row],[NumL]],T_TraitDi[#Data],COLUMN(T_TraitDi[[#This Row],[Colonne8]]),FALSE),""),"[hh]:mm"))</f>
        <v>#VALUE!</v>
      </c>
      <c r="AN92" s="172" t="str">
        <f>IFERROR(VLOOKUP(T_BilanSocial[[#This Row],[NumL]],T_TraitDi[#Data],COLUMN(T_TraitDi[[#This Row],[Mardi]]),FALSE),"")</f>
        <v/>
      </c>
      <c r="AO92" s="172" t="e">
        <f>IF(VLOOKUP(T_BilanSocial[[#This Row],[NumL]],T_TraitDi[#Data],COLUMN(T_TraitDi[[#This Row],[Colonne1]]),FALSE)=0,"",TEXT(IFERROR(VLOOKUP(T_BilanSocial[[#This Row],[NumL]],T_TraitDi[#Data],COLUMN(T_TraitDi[[#This Row],[Colonne1]]),FALSE),""),"[hh]:mm"))</f>
        <v>#VALUE!</v>
      </c>
      <c r="AP92" s="172" t="e">
        <f>IF(VLOOKUP(T_BilanSocial[[#This Row],[NumL]],T_TraitDi[#Data],COLUMN(T_TraitDi[[#This Row],[Colonne9]]),FALSE)=0,"",TEXT(IFERROR(VLOOKUP(T_BilanSocial[[#This Row],[NumL]],T_TraitDi[#Data],COLUMN(T_TraitDi[[#This Row],[Colonne9]]),FALSE),""),"[hh]:mm"))</f>
        <v>#VALUE!</v>
      </c>
      <c r="AQ92" s="172" t="str">
        <f>IFERROR(VLOOKUP(T_BilanSocial[[#This Row],[NumL]],T_TraitDi[#Data],COLUMN(T_TraitDi[[#This Row],[Colonne10]]),FALSE),"")</f>
        <v/>
      </c>
      <c r="AR92" s="172" t="e">
        <f>IF(VLOOKUP(T_BilanSocial[[#This Row],[NumL]],T_TraitDi[#Data],COLUMN(T_TraitDi[[#This Row],[Colonne11]]),FALSE)=0,"",TEXT(IFERROR(VLOOKUP(T_BilanSocial[[#This Row],[NumL]],T_TraitDi[#Data],COLUMN(T_TraitDi[[#This Row],[Colonne11]]),FALSE),""),"[hh]:mm"))</f>
        <v>#VALUE!</v>
      </c>
      <c r="AS92" s="172" t="e">
        <f>IF(VLOOKUP(T_BilanSocial[[#This Row],[NumL]],T_TraitDi[#Data],COLUMN(T_TraitDi[[#This Row],[Colonne12]]),FALSE)=0,"",TEXT(IFERROR(VLOOKUP(T_BilanSocial[[#This Row],[NumL]],T_TraitDi[#Data],COLUMN(T_TraitDi[[#This Row],[Colonne12]]),FALSE),""),"[hh]:mm"))</f>
        <v>#VALUE!</v>
      </c>
      <c r="AT92" s="172" t="e">
        <f>IF(VLOOKUP(T_BilanSocial[[#This Row],[NumL]],T_TraitDi[#Data],COLUMN(T_TraitDi[[#This Row],[Colonne14]]),FALSE)=0,"",TEXT(IFERROR(VLOOKUP(T_BilanSocial[[#This Row],[NumL]],T_TraitDi[#Data],COLUMN(T_TraitDi[[#This Row],[Colonne14]]),FALSE),""),"[hh]:mm"))</f>
        <v>#VALUE!</v>
      </c>
      <c r="AU92" s="172" t="str">
        <f>IFERROR(VLOOKUP(T_BilanSocial[[#This Row],[NumL]],T_TraitDi[#Data],COLUMN(T_TraitDi[[#This Row],[Mercredi]]),FALSE),"")</f>
        <v/>
      </c>
      <c r="AV92" s="172" t="e">
        <f>IF(VLOOKUP(T_BilanSocial[[#This Row],[NumL]],T_TraitDi[#Data],COLUMN(T_TraitDi[[#This Row],[Colonne15]]),FALSE)=0,"",TEXT(IFERROR(VLOOKUP(T_BilanSocial[[#This Row],[NumL]],T_TraitDi[#Data],COLUMN(T_TraitDi[[#This Row],[Colonne15]]),FALSE),""),"[hh]:mm"))</f>
        <v>#VALUE!</v>
      </c>
      <c r="AW92" s="172" t="e">
        <f>IF(VLOOKUP(T_BilanSocial[[#This Row],[NumL]],T_TraitDi[#Data],COLUMN(T_TraitDi[[#This Row],[Colonne16]]),FALSE)=0,"",TEXT(IFERROR(VLOOKUP(T_BilanSocial[[#This Row],[NumL]],T_TraitDi[#Data],COLUMN(T_TraitDi[[#This Row],[Colonne16]]),FALSE),""),"[hh]:mm"))</f>
        <v>#VALUE!</v>
      </c>
      <c r="AX92" s="172" t="str">
        <f>IFERROR(VLOOKUP(T_BilanSocial[[#This Row],[NumL]],T_TraitDi[#Data],COLUMN(T_TraitDi[[#This Row],[Colonne17]]),FALSE),"")</f>
        <v/>
      </c>
      <c r="AY92" s="172" t="e">
        <f>IF(VLOOKUP(T_BilanSocial[[#This Row],[NumL]],T_TraitDi[#Data],COLUMN(T_TraitDi[[#This Row],[Colonne18]]),FALSE)=0,"",TEXT(IFERROR(VLOOKUP(T_BilanSocial[[#This Row],[NumL]],T_TraitDi[#Data],COLUMN(T_TraitDi[[#This Row],[Colonne18]]),FALSE),""),"[hh]:mm"))</f>
        <v>#VALUE!</v>
      </c>
      <c r="AZ92" s="172" t="e">
        <f>IF(VLOOKUP(T_BilanSocial[[#This Row],[NumL]],T_TraitDi[#Data],COLUMN(T_TraitDi[[#This Row],[Colonne19]]),FALSE)=0,"",TEXT(IFERROR(VLOOKUP(T_BilanSocial[[#This Row],[NumL]],T_TraitDi[#Data],COLUMN(T_TraitDi[[#This Row],[Colonne19]]),FALSE),""),"[hh]:mm"))</f>
        <v>#VALUE!</v>
      </c>
      <c r="BA92" s="172" t="e">
        <f>IF(VLOOKUP(T_BilanSocial[[#This Row],[NumL]],T_TraitDi[#Data],COLUMN(T_TraitDi[[#This Row],[Colonne20]]),FALSE)=0,"",TEXT(IFERROR(VLOOKUP(T_BilanSocial[[#This Row],[NumL]],T_TraitDi[#Data],COLUMN(T_TraitDi[[#This Row],[Colonne20]]),FALSE),""),"[hh]:mm"))</f>
        <v>#VALUE!</v>
      </c>
      <c r="BB92" s="178" t="str">
        <f>IFERROR(VLOOKUP(T_BilanSocial[[#This Row],[NumL]],T_TraitDi[#Data],COLUMN(T_TraitDi[[#This Row],[Jeudi]]),FALSE),"")</f>
        <v/>
      </c>
      <c r="BC92" s="178" t="e">
        <f>IF(VLOOKUP(T_BilanSocial[[#This Row],[NumL]],T_TraitDi[#Data],COLUMN(T_TraitDi[[#This Row],[Colonne21]]),FALSE)=0,"",TEXT(IFERROR(VLOOKUP(T_BilanSocial[[#This Row],[NumL]],T_TraitDi[#Data],COLUMN(T_TraitDi[[#This Row],[Colonne21]]),FALSE),""),"[hh]:mm"))</f>
        <v>#VALUE!</v>
      </c>
      <c r="BD92" s="178" t="e">
        <f>IF(VLOOKUP(T_BilanSocial[[#This Row],[NumL]],T_TraitDi[#Data],COLUMN(T_TraitDi[[#This Row],[Colonne22]]),FALSE)=0,"",TEXT(IFERROR(VLOOKUP(T_BilanSocial[[#This Row],[NumL]],T_TraitDi[#Data],COLUMN(T_TraitDi[[#This Row],[Colonne22]]),FALSE),""),"[hh]:mm"))</f>
        <v>#VALUE!</v>
      </c>
      <c r="BE92" s="178" t="str">
        <f>IFERROR(VLOOKUP(T_BilanSocial[[#This Row],[NumL]],T_TraitDi[#Data],COLUMN(T_TraitDi[[#This Row],[Colonne23]]),FALSE),"")</f>
        <v/>
      </c>
      <c r="BF92" s="178" t="e">
        <f>IF(VLOOKUP(T_BilanSocial[[#This Row],[NumL]],T_TraitDi[#Data],COLUMN(T_TraitDi[[#This Row],[Colonne24]]),FALSE)=0,"",TEXT(IFERROR(VLOOKUP(T_BilanSocial[[#This Row],[NumL]],T_TraitDi[#Data],COLUMN(T_TraitDi[[#This Row],[Colonne24]]),FALSE),""),"[hh]:mm"))</f>
        <v>#VALUE!</v>
      </c>
      <c r="BG92" s="178" t="e">
        <f>IF(VLOOKUP(T_BilanSocial[[#This Row],[NumL]],T_TraitDi[#Data],COLUMN(T_TraitDi[[#This Row],[Colonne25]]),FALSE)=0,"",TEXT(IFERROR(VLOOKUP(T_BilanSocial[[#This Row],[NumL]],T_TraitDi[#Data],COLUMN(T_TraitDi[[#This Row],[Colonne25]]),FALSE),""),"[hh]:mm"))</f>
        <v>#VALUE!</v>
      </c>
      <c r="BH92" s="178" t="e">
        <f>IF(VLOOKUP(T_BilanSocial[[#This Row],[NumL]],T_TraitDi[#Data],COLUMN(T_TraitDi[[#This Row],[Colonne26]]),FALSE)=0,"",TEXT(IFERROR(VLOOKUP(T_BilanSocial[[#This Row],[NumL]],T_TraitDi[#Data],COLUMN(T_TraitDi[[#This Row],[Colonne26]]),FALSE),""),"[hh]:mm"))</f>
        <v>#VALUE!</v>
      </c>
      <c r="BI92" s="172" t="str">
        <f>IFERROR(VLOOKUP(T_BilanSocial[[#This Row],[NumL]],T_TraitDi[#Data],COLUMN(T_TraitDi[[#This Row],[Vendredi]]),FALSE),"")</f>
        <v/>
      </c>
      <c r="BJ92" s="172" t="e">
        <f>IF(VLOOKUP(T_BilanSocial[[#This Row],[NumL]],T_TraitDi[#Data],COLUMN(T_TraitDi[[#This Row],[Colonne27]]),FALSE)=0,"",TEXT(IFERROR(VLOOKUP(T_BilanSocial[[#This Row],[NumL]],T_TraitDi[#Data],COLUMN(T_TraitDi[[#This Row],[Colonne27]]),FALSE),""),"[hh]:mm"))</f>
        <v>#VALUE!</v>
      </c>
      <c r="BK92" s="172" t="e">
        <f>IF(VLOOKUP(T_BilanSocial[[#This Row],[NumL]],T_TraitDi[#Data],COLUMN(T_TraitDi[[#This Row],[Colonne28]]),FALSE)=0,"",TEXT(IFERROR(VLOOKUP(T_BilanSocial[[#This Row],[NumL]],T_TraitDi[#Data],COLUMN(T_TraitDi[[#This Row],[Colonne28]]),FALSE),""),"[hh]:mm"))</f>
        <v>#VALUE!</v>
      </c>
      <c r="BL92" s="172" t="str">
        <f>IFERROR(VLOOKUP(T_BilanSocial[[#This Row],[NumL]],T_TraitDi[#Data],COLUMN(T_TraitDi[[#This Row],[Colonne29]]),FALSE),"")</f>
        <v/>
      </c>
      <c r="BM92" s="172" t="e">
        <f>IF(VLOOKUP(T_BilanSocial[[#This Row],[NumL]],T_TraitDi[#Data],COLUMN(T_TraitDi[[#This Row],[Colonne30]]),FALSE)=0,"",TEXT(IFERROR(VLOOKUP(T_BilanSocial[[#This Row],[NumL]],T_TraitDi[#Data],COLUMN(T_TraitDi[[#This Row],[Colonne30]]),FALSE),""),"[hh]:mm"))</f>
        <v>#VALUE!</v>
      </c>
      <c r="BN92" s="172" t="e">
        <f>IF(VLOOKUP(T_BilanSocial[[#This Row],[NumL]],T_TraitDi[#Data],COLUMN(T_TraitDi[[#This Row],[Colonne31]]),FALSE)=0,"",TEXT(IFERROR(VLOOKUP(T_BilanSocial[[#This Row],[NumL]],T_TraitDi[#Data],COLUMN(T_TraitDi[[#This Row],[Colonne31]]),FALSE),""),"[hh]:mm"))</f>
        <v>#VALUE!</v>
      </c>
      <c r="BO92" s="172" t="e">
        <f>IF(VLOOKUP(T_BilanSocial[[#This Row],[NumL]],T_TraitDi[#Data],COLUMN(T_TraitDi[[#This Row],[Colonne32]]),FALSE)=0,"",TEXT(IFERROR(VLOOKUP(T_BilanSocial[[#This Row],[NumL]],T_TraitDi[#Data],COLUMN(T_TraitDi[[#This Row],[Colonne32]]),FALSE),""),"[hh]:mm"))</f>
        <v>#VALUE!</v>
      </c>
      <c r="BP92" s="172" t="e">
        <f>VLOOKUP(T_BilanSocial[[#This Row],[NumL]],T_TraitDi[#Data],COLUMN(T_TraitDi[NbJTot]),FALSE)</f>
        <v>#N/A</v>
      </c>
      <c r="BQ92" s="174" t="str">
        <f>IFERROR(VLOOKUP(T_BilanSocial[[#This Row],[NumL]],T_TraitDi[#Data],COLUMN(T_TraitDi[[#This Row],[NbJTW]]),FALSE),"")</f>
        <v/>
      </c>
      <c r="BR92" s="174" t="e">
        <f>IF(VLOOKUP(T_BilanSocial[[#This Row],[NumL]],T_TraitDi[#Data],COLUMN(T_TraitDi[[#This Row],[NbhTW]]),FALSE)=0,"",TEXT(IFERROR(VLOOKUP(T_BilanSocial[[#This Row],[NumL]],T_TraitDi[#Data],COLUMN(T_TraitDi[[#This Row],[NbhTW]]),FALSE),""),"[hh]:mm"))</f>
        <v>#VALUE!</v>
      </c>
      <c r="BS92" s="174" t="e">
        <f>IF(VLOOKUP(T_BilanSocial[[#This Row],[NumL]],T_TraitDi[#Data],COLUMN(T_TraitDi[[#This Row],[Nbhheb]]),FALSE)=0,"",TEXT(IFERROR(VLOOKUP($A92,T_TraitDi[#Data],COLUMN(T_TraitDi[[#This Row],[Nbhheb]]),FALSE),""),"[hh]:mm"))</f>
        <v>#VALUE!</v>
      </c>
      <c r="BT92" s="268" t="str">
        <f>IFERROR(VLOOKUP(VLOOKUP($A92,T_TraitDi[#Data],COLUMN(T_TraitDi[[#This Row],[Type1]]),FALSE),TypeTW,2,FALSE),"")</f>
        <v/>
      </c>
      <c r="BU92" s="182" t="str">
        <f>IFERROR(VLOOKUP($A92,T_TraitDi[#Data],COLUMN(T_TraitDi[[#This Row],[Rue1]]),FALSE),"")</f>
        <v/>
      </c>
      <c r="BV92" s="173" t="str">
        <f>IFERROR(VLOOKUP($A92,T_TraitDi[#Data],COLUMN(T_TraitDi[[#This Row],[CP1]]),FALSE),"")</f>
        <v/>
      </c>
      <c r="BW92" s="173" t="str">
        <f>IFERROR(VLOOKUP($A92,T_TraitDi[#Data],COLUMN(T_TraitDi[[#This Row],[VILLE1]]),FALSE),"")</f>
        <v/>
      </c>
      <c r="BX92" s="182" t="str">
        <f>IFERROR(VLOOKUP(VLOOKUP($A92,T_TraitDi[#Data],COLUMN(T_TraitDi[[#This Row],[Type2]]),FALSE),TypeTW,2,FALSE),"")</f>
        <v/>
      </c>
      <c r="BY92" s="182" t="str">
        <f>IFERROR(VLOOKUP($A92,T_TraitDi[#Data],COLUMN(T_TraitDi[[#This Row],[Rue2]]),FALSE),"")</f>
        <v/>
      </c>
      <c r="BZ92" s="173" t="str">
        <f>IFERROR(VLOOKUP($A92,T_TraitDi[#Data],COLUMN(T_TraitDi[[#This Row],[CP2]]),FALSE),"")</f>
        <v/>
      </c>
      <c r="CA92" s="173" t="str">
        <f>IFERROR(VLOOKUP($A92,T_TraitDi[#Data],COLUMN(T_TraitDi[[#This Row],[VILLE2]]),FALSE),"")</f>
        <v/>
      </c>
      <c r="CB92" s="182" t="str">
        <f>IF(VLOOKUP(T_BilanSocial[[#This Row],[NumL]],T_Equipement[#Data],COLUMN(T_Equipement[[#This Row],[PC]]),FALSE)="","Aucun équipement spécifique directement lié au télétravail",VLOOKUP(T_BilanSocial[[#This Row],[NumL]],T_Equipement[#Data],COLUMN(T_Equipement[[#This Row],[PC]]),FALSE))</f>
        <v xml:space="preserve">18-008	</v>
      </c>
      <c r="CC92" s="166" t="str">
        <f>IFERROR(IF(VLOOKUP(T_BilanSocial[[#This Row],[NumL]],T_TraitDi[#Data],COLUMN(T_TraitDi[[#This Row],[Plan]]),FALSE)="OK","Un planning spécifique de télétravail est annexé à la présente convention.",""),"")</f>
        <v/>
      </c>
      <c r="CD92" s="185"/>
      <c r="CE92" s="164" t="e">
        <f>IF(VLOOKUP(T_BilanSocial[[#This Row],[NumL]],T_suiviDi[#Data],COLUMN(T_suiviDi[[#This Row],[Entité]]),FALSE)="","",VLOOKUP(T_BilanSocial[[#This Row],[NumL]],T_suiviDi[#Data],COLUMN(T_suiviDi[[#This Row],[Entité]]),FALSE))</f>
        <v>#VALUE!</v>
      </c>
      <c r="CF92" s="164" t="str">
        <f>IF(VLOOKUP(T_BilanSocial[[#This Row],[NumL]],T_Commission[#Data],COLUMN(T_Commission[[#This Row],[envoi confirm TW]]),FALSE)="","",VLOOKUP(T_BilanSocial[[#This Row],[NumL]],T_Commission[#Data],COLUMN(T_Commission[[#This Row],[envoi confirm TW]]),FALSE))</f>
        <v>Oui</v>
      </c>
      <c r="CG9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2" s="262" t="str">
        <f>T_BilanSocial[[#This Row],[Nom]]&amp;T_BilanSocial[[#This Row],[Prenom]]</f>
        <v/>
      </c>
      <c r="CI92" s="262">
        <f>VLOOKUP(T_BilanSocial[[#This Row],[NumL]],T_Commission[#Data],COLUMN(T_Commission[Commentaire]),FALSE)</f>
        <v>0</v>
      </c>
      <c r="CJ92" s="262" t="str">
        <f>IF(VLOOKUP(T_BilanSocial[[#This Row],[NumL]],T_Commission[#Data],COLUMN(T_Commission[Encadrant Email]),FALSE)="","",VLOOKUP(T_BilanSocial[[#This Row],[NumL]],T_Commission[#Data],COLUMN(T_Commission[Encadrant Email]),FALSE))</f>
        <v/>
      </c>
      <c r="CK92" s="340" t="str">
        <f>IF(T_BilanSocial[[#This Row],[Final]]&lt;&gt;"",VLOOKUP(T_BilanSocial[[#This Row],[NumL]],T_suiviDi[#Data],COLUMN((T_suiviDi[Statut])),FALSE),"")</f>
        <v/>
      </c>
    </row>
    <row r="93" spans="1:89" s="106" customFormat="1" ht="24.75" customHeight="1" x14ac:dyDescent="0.25">
      <c r="A93" s="160">
        <v>90</v>
      </c>
      <c r="B93" s="161" t="str">
        <f t="shared" si="10"/>
        <v/>
      </c>
      <c r="C93" s="162" t="s">
        <v>173</v>
      </c>
      <c r="D93" s="95" t="e">
        <f>IF(VLOOKUP(T_BilanSocial[[#This Row],[NumL]],T_TraitDi[#Data],COLUMN(T_TraitDi[[#This Row],[WebC]]),FALSE)="","",VLOOKUP(T_BilanSocial[[#This Row],[NumL]],T_TraitDi[#Data],COLUMN(T_TraitDi[[#This Row],[WebC]]),FALSE))</f>
        <v>#VALUE!</v>
      </c>
      <c r="E93" s="163" t="str">
        <f t="shared" si="11"/>
        <v>12 janvier 2021</v>
      </c>
      <c r="F93" s="96" t="str">
        <f>IF(T_BilanSocial[[#This Row],[Final]]&lt;&gt;"",VLOOKUP(T_BilanSocial[[#This Row],[NumL]],T_suiviDi[#Data],COLUMN((T_suiviDi[Civ.])),FALSE),"")</f>
        <v/>
      </c>
      <c r="G93" s="96" t="str">
        <f>IF(T_BilanSocial[[#This Row],[Final]]&lt;&gt;"",VLOOKUP(T_BilanSocial[[#This Row],[NumL]],T_suiviDi[#Data],COLUMN((T_suiviDi[Nom])),FALSE),"")</f>
        <v/>
      </c>
      <c r="H93" s="96" t="str">
        <f>IF(T_BilanSocial[[#This Row],[Final]]&lt;&gt;"",VLOOKUP(T_BilanSocial[[#This Row],[NumL]],T_suiviDi[#Data],COLUMN((T_suiviDi[Prénom])),FALSE),"")</f>
        <v/>
      </c>
      <c r="I93" s="96" t="str">
        <f>IFERROR(VLOOKUP(T_BilanSocial[[#This Row],[Zone_Bilan]],T_P_BilanSocial[#Data],COLUMN(T_P_BilanSocial[[#This Row],[Numero_SIHAM]]),FALSE),"")</f>
        <v/>
      </c>
      <c r="J93" s="96" t="str">
        <f>IFERROR(VLOOKUP(T_BilanSocial[[#This Row],[Zone_Bilan]],T_P_BilanSocial[#Data],COLUMN(T_P_BilanSocial[[#This Row],[Sexe]]),FALSE),"")</f>
        <v/>
      </c>
      <c r="K93" s="97" t="str">
        <f>IFERROR(VLOOKUP(T_BilanSocial[[#This Row],[Zone_Bilan]],T_P_BilanSocial[#Data],COLUMN(T_P_BilanSocial[[#This Row],[Categorie]]),FALSE),"")</f>
        <v/>
      </c>
      <c r="L93" s="96" t="str">
        <f>IFERROR(VLOOKUP(T_BilanSocial[[#This Row],[Zone_Bilan]],T_P_BilanSocial[#Data],COLUMN(T_P_BilanSocial[[#This Row],[Statut]]),FALSE),"")</f>
        <v/>
      </c>
      <c r="M93" s="96" t="str">
        <f>IFERROR(VLOOKUP(T_BilanSocial[[#This Row],[Zone_Bilan]],T_P_BilanSocial[#Data],COLUMN(T_P_BilanSocial[[#This Row],[Filiere]]),FALSE),"")</f>
        <v/>
      </c>
      <c r="N93" s="96" t="e">
        <f>VLOOKUP(T_BilanSocial[[#This Row],[NumL]],T_TraitDi[#Data],COLUMN(T_TraitDi[EXP]),FALSE)</f>
        <v>#N/A</v>
      </c>
      <c r="O93" s="96" t="e">
        <f>VLOOKUP(T_BilanSocial[[#This Row],[NumL]],T_TraitDi[#Data],COLUMN(T_TraitDi[FORM]),FALSE)</f>
        <v>#N/A</v>
      </c>
      <c r="P93" s="96" t="str">
        <f>IF(T_BilanSocial[[#This Row],[Final]]&lt;&gt;"",VLOOKUP(T_BilanSocial[[#This Row],[NumL]],T_suiviDi[#Data],COLUMN((T_suiviDi[Email])),FALSE),"")</f>
        <v/>
      </c>
      <c r="Q93" s="164" t="e">
        <f t="shared" si="17"/>
        <v>#N/A</v>
      </c>
      <c r="R93" s="164" t="e">
        <f t="shared" si="18"/>
        <v>#N/A</v>
      </c>
      <c r="S93" s="164" t="e">
        <f>IF(VLOOKUP(T_BilanSocial[[#This Row],[NumL]],T_suiviDi[#Data],COLUMN(T_suiviDi[[#This Row],[Service ]]),FALSE)="","",VLOOKUP(T_BilanSocial[[#This Row],[NumL]],T_suiviDi[#Data],COLUMN(T_suiviDi[[#This Row],[Service ]]),FALSE))</f>
        <v>#VALUE!</v>
      </c>
      <c r="T93" s="164" t="str">
        <f t="shared" si="12"/>
        <v>01 septembre 2021</v>
      </c>
      <c r="U93" s="164" t="str">
        <f t="shared" si="13"/>
        <v>30 novembre 2021</v>
      </c>
      <c r="V93" s="164" t="str">
        <f t="shared" ref="V93:V102" si="20">TEXT(Datebilan,"jj mmmm aaaa")</f>
        <v>30 novembre 2021</v>
      </c>
      <c r="W93" s="176" t="e">
        <f>IF(VLOOKUP(T_BilanSocial[[#This Row],[NumL]],T_TraitDi[#Data],COLUMN(T_TraitDi[[#This Row],[M1]]),FALSE)="","",VLOOKUP(T_BilanSocial[[#This Row],[NumL]],T_TraitDi[#Data],COLUMN(T_TraitDi[[#This Row],[M1]]),FALSE))</f>
        <v>#VALUE!</v>
      </c>
      <c r="X93" s="176" t="e">
        <f>IF(VLOOKUP(T_BilanSocial[[#This Row],[NumL]],T_TraitDi[#Data],COLUMN(T_TraitDi[[#This Row],[M2]]),FALSE)="","",VLOOKUP(T_BilanSocial[[#This Row],[NumL]],T_TraitDi[#Data],COLUMN(T_TraitDi[[#This Row],[M2]]),FALSE))</f>
        <v>#VALUE!</v>
      </c>
      <c r="Y93" s="176" t="e">
        <f>IF(VLOOKUP(T_BilanSocial[[#This Row],[NumL]],T_TraitDi[#Data],COLUMN(T_TraitDi[[#This Row],[M3]]),FALSE)="","",VLOOKUP(T_BilanSocial[[#This Row],[NumL]],T_TraitDi[#Data],COLUMN(T_TraitDi[[#This Row],[M3]]),FALSE))</f>
        <v>#VALUE!</v>
      </c>
      <c r="Z93" s="176" t="str">
        <f t="shared" si="16"/>
        <v/>
      </c>
      <c r="AA93" s="176" t="e">
        <f>IF(VLOOKUP(T_BilanSocial[[#This Row],[NumL]],T_TraitDi[#Data],COLUMN(T_TraitDi[[#This Row],[M5]]),FALSE)="","",VLOOKUP(T_BilanSocial[[#This Row],[NumL]],T_TraitDi[#Data],COLUMN(T_TraitDi[[#This Row],[M5]]),FALSE))</f>
        <v>#VALUE!</v>
      </c>
      <c r="AB93" s="176" t="e">
        <f>IF(VLOOKUP(T_BilanSocial[[#This Row],[NumL]],T_TraitDi[#Data],COLUMN(T_TraitDi[[#This Row],[M6]]),FALSE)="","",VLOOKUP(T_BilanSocial[[#This Row],[NumL]],T_TraitDi[#Data],COLUMN(T_TraitDi[[#This Row],[M6]]),FALSE))</f>
        <v>#VALUE!</v>
      </c>
      <c r="AC93" s="165" t="e">
        <f t="shared" si="15"/>
        <v>#VALUE!</v>
      </c>
      <c r="AD93" s="188" t="str">
        <f>IFERROR(TEXT(VLOOKUP(T_BilanSocial[[#This Row],[NumL]],T_TraitDi[#Data],COLUMN(T_TraitDi[[#This Row],[Q2]]),FALSE),"###%"),"")</f>
        <v/>
      </c>
      <c r="AE93" s="97" t="e">
        <f>VLOOKUP(T_BilanSocial[[#This Row],[NumL]],T_TraitDi[#Data],COLUMN(T_TraitDi[[#This Row],[Reg Ponct]]),FALSE)</f>
        <v>#VALUE!</v>
      </c>
      <c r="AF93" s="97" t="e">
        <f>VLOOKUP(T_BilanSocial[NumL],T_TraitDi[#Data],COLUMN(T_TraitDi[[#This Row],[Jours flottants]]),FALSE)</f>
        <v>#VALUE!</v>
      </c>
      <c r="AG93" s="97" t="str">
        <f>IFERROR(VLOOKUP(T_BilanSocial[[#This Row],[NumL]],T_TraitDi[#Data],COLUMN(T_TraitDi[[#This Row],[Lundi]]),FALSE),"")</f>
        <v/>
      </c>
      <c r="AH93" s="172" t="e">
        <f>IF(VLOOKUP(T_BilanSocial[[#This Row],[NumL]],T_TraitDi[#Data],COLUMN(T_TraitDi[[#This Row],[Colonne3]]),FALSE)=0,"",TEXT(IFERROR(VLOOKUP(T_BilanSocial[[#This Row],[NumL]],T_TraitDi[#Data],COLUMN(T_TraitDi[[#This Row],[Colonne3]]),FALSE),""),"[hh]:mm"))</f>
        <v>#VALUE!</v>
      </c>
      <c r="AI93" s="172" t="e">
        <f>IF(VLOOKUP(T_BilanSocial[[#This Row],[NumL]],T_TraitDi[#Data],COLUMN(T_TraitDi[[#This Row],[Colonne4]]),FALSE)=0,"",TEXT(IFERROR(VLOOKUP(T_BilanSocial[[#This Row],[NumL]],T_TraitDi[#Data],COLUMN(T_TraitDi[[#This Row],[Colonne4]]),FALSE),""),"[hh]:mm"))</f>
        <v>#VALUE!</v>
      </c>
      <c r="AJ93" s="172" t="e">
        <f>IF(VLOOKUP(T_BilanSocial[[#This Row],[NumL]],T_TraitDi[#Data],COLUMN(T_TraitDi[[#This Row],[Colonne5]]),FALSE)=0,"",TEXT(IFERROR(VLOOKUP(T_BilanSocial[[#This Row],[NumL]],T_TraitDi[#Data],COLUMN(T_TraitDi[[#This Row],[Colonne5]]),FALSE),""),"[hh]:mm"))</f>
        <v>#VALUE!</v>
      </c>
      <c r="AK93" s="172" t="e">
        <f>IF(VLOOKUP(T_BilanSocial[[#This Row],[NumL]],T_TraitDi[#Data],COLUMN(T_TraitDi[[#This Row],[Colonne6]]),FALSE)=0,"",TEXT(IFERROR(VLOOKUP(T_BilanSocial[[#This Row],[NumL]],T_TraitDi[#Data],COLUMN(T_TraitDi[[#This Row],[Colonne6]]),FALSE),""),"[hh]:mm"))</f>
        <v>#VALUE!</v>
      </c>
      <c r="AL93" s="172" t="e">
        <f>IF(VLOOKUP(T_BilanSocial[[#This Row],[NumL]],T_TraitDi[#Data],COLUMN(T_TraitDi[[#This Row],[Colonne7]]),FALSE)=0,"",TEXT(IFERROR(VLOOKUP(T_BilanSocial[[#This Row],[NumL]],T_TraitDi[#Data],COLUMN(T_TraitDi[[#This Row],[Colonne7]]),FALSE),""),"[hh]:mm"))</f>
        <v>#VALUE!</v>
      </c>
      <c r="AM93" s="172" t="e">
        <f>IF(VLOOKUP(T_BilanSocial[[#This Row],[NumL]],T_TraitDi[#Data],COLUMN(T_TraitDi[[#This Row],[Colonne8]]),FALSE)=0,"",TEXT(IFERROR(VLOOKUP(T_BilanSocial[[#This Row],[NumL]],T_TraitDi[#Data],COLUMN(T_TraitDi[[#This Row],[Colonne8]]),FALSE),""),"[hh]:mm"))</f>
        <v>#VALUE!</v>
      </c>
      <c r="AN93" s="172" t="str">
        <f>IFERROR(VLOOKUP(T_BilanSocial[[#This Row],[NumL]],T_TraitDi[#Data],COLUMN(T_TraitDi[[#This Row],[Mardi]]),FALSE),"")</f>
        <v/>
      </c>
      <c r="AO93" s="172" t="e">
        <f>IF(VLOOKUP(T_BilanSocial[[#This Row],[NumL]],T_TraitDi[#Data],COLUMN(T_TraitDi[[#This Row],[Colonne1]]),FALSE)=0,"",TEXT(IFERROR(VLOOKUP(T_BilanSocial[[#This Row],[NumL]],T_TraitDi[#Data],COLUMN(T_TraitDi[[#This Row],[Colonne1]]),FALSE),""),"[hh]:mm"))</f>
        <v>#VALUE!</v>
      </c>
      <c r="AP93" s="172" t="e">
        <f>IF(VLOOKUP(T_BilanSocial[[#This Row],[NumL]],T_TraitDi[#Data],COLUMN(T_TraitDi[[#This Row],[Colonne9]]),FALSE)=0,"",TEXT(IFERROR(VLOOKUP(T_BilanSocial[[#This Row],[NumL]],T_TraitDi[#Data],COLUMN(T_TraitDi[[#This Row],[Colonne9]]),FALSE),""),"[hh]:mm"))</f>
        <v>#VALUE!</v>
      </c>
      <c r="AQ93" s="172" t="str">
        <f>IFERROR(VLOOKUP(T_BilanSocial[[#This Row],[NumL]],T_TraitDi[#Data],COLUMN(T_TraitDi[[#This Row],[Colonne10]]),FALSE),"")</f>
        <v/>
      </c>
      <c r="AR93" s="172" t="e">
        <f>IF(VLOOKUP(T_BilanSocial[[#This Row],[NumL]],T_TraitDi[#Data],COLUMN(T_TraitDi[[#This Row],[Colonne11]]),FALSE)=0,"",TEXT(IFERROR(VLOOKUP(T_BilanSocial[[#This Row],[NumL]],T_TraitDi[#Data],COLUMN(T_TraitDi[[#This Row],[Colonne11]]),FALSE),""),"[hh]:mm"))</f>
        <v>#VALUE!</v>
      </c>
      <c r="AS93" s="172" t="e">
        <f>IF(VLOOKUP(T_BilanSocial[[#This Row],[NumL]],T_TraitDi[#Data],COLUMN(T_TraitDi[[#This Row],[Colonne12]]),FALSE)=0,"",TEXT(IFERROR(VLOOKUP(T_BilanSocial[[#This Row],[NumL]],T_TraitDi[#Data],COLUMN(T_TraitDi[[#This Row],[Colonne12]]),FALSE),""),"[hh]:mm"))</f>
        <v>#VALUE!</v>
      </c>
      <c r="AT93" s="172" t="e">
        <f>IF(VLOOKUP(T_BilanSocial[[#This Row],[NumL]],T_TraitDi[#Data],COLUMN(T_TraitDi[[#This Row],[Colonne14]]),FALSE)=0,"",TEXT(IFERROR(VLOOKUP(T_BilanSocial[[#This Row],[NumL]],T_TraitDi[#Data],COLUMN(T_TraitDi[[#This Row],[Colonne14]]),FALSE),""),"[hh]:mm"))</f>
        <v>#VALUE!</v>
      </c>
      <c r="AU93" s="172" t="str">
        <f>IFERROR(VLOOKUP(T_BilanSocial[[#This Row],[NumL]],T_TraitDi[#Data],COLUMN(T_TraitDi[[#This Row],[Mercredi]]),FALSE),"")</f>
        <v/>
      </c>
      <c r="AV93" s="172" t="e">
        <f>IF(VLOOKUP(T_BilanSocial[[#This Row],[NumL]],T_TraitDi[#Data],COLUMN(T_TraitDi[[#This Row],[Colonne15]]),FALSE)=0,"",TEXT(IFERROR(VLOOKUP(T_BilanSocial[[#This Row],[NumL]],T_TraitDi[#Data],COLUMN(T_TraitDi[[#This Row],[Colonne15]]),FALSE),""),"[hh]:mm"))</f>
        <v>#VALUE!</v>
      </c>
      <c r="AW93" s="172" t="e">
        <f>IF(VLOOKUP(T_BilanSocial[[#This Row],[NumL]],T_TraitDi[#Data],COLUMN(T_TraitDi[[#This Row],[Colonne16]]),FALSE)=0,"",TEXT(IFERROR(VLOOKUP(T_BilanSocial[[#This Row],[NumL]],T_TraitDi[#Data],COLUMN(T_TraitDi[[#This Row],[Colonne16]]),FALSE),""),"[hh]:mm"))</f>
        <v>#VALUE!</v>
      </c>
      <c r="AX93" s="172" t="str">
        <f>IFERROR(VLOOKUP(T_BilanSocial[[#This Row],[NumL]],T_TraitDi[#Data],COLUMN(T_TraitDi[[#This Row],[Colonne17]]),FALSE),"")</f>
        <v/>
      </c>
      <c r="AY93" s="172" t="e">
        <f>IF(VLOOKUP(T_BilanSocial[[#This Row],[NumL]],T_TraitDi[#Data],COLUMN(T_TraitDi[[#This Row],[Colonne18]]),FALSE)=0,"",TEXT(IFERROR(VLOOKUP(T_BilanSocial[[#This Row],[NumL]],T_TraitDi[#Data],COLUMN(T_TraitDi[[#This Row],[Colonne18]]),FALSE),""),"[hh]:mm"))</f>
        <v>#VALUE!</v>
      </c>
      <c r="AZ93" s="172" t="e">
        <f>IF(VLOOKUP(T_BilanSocial[[#This Row],[NumL]],T_TraitDi[#Data],COLUMN(T_TraitDi[[#This Row],[Colonne19]]),FALSE)=0,"",TEXT(IFERROR(VLOOKUP(T_BilanSocial[[#This Row],[NumL]],T_TraitDi[#Data],COLUMN(T_TraitDi[[#This Row],[Colonne19]]),FALSE),""),"[hh]:mm"))</f>
        <v>#VALUE!</v>
      </c>
      <c r="BA93" s="172" t="e">
        <f>IF(VLOOKUP(T_BilanSocial[[#This Row],[NumL]],T_TraitDi[#Data],COLUMN(T_TraitDi[[#This Row],[Colonne20]]),FALSE)=0,"",TEXT(IFERROR(VLOOKUP(T_BilanSocial[[#This Row],[NumL]],T_TraitDi[#Data],COLUMN(T_TraitDi[[#This Row],[Colonne20]]),FALSE),""),"[hh]:mm"))</f>
        <v>#VALUE!</v>
      </c>
      <c r="BB93" s="178" t="str">
        <f>IFERROR(VLOOKUP(T_BilanSocial[[#This Row],[NumL]],T_TraitDi[#Data],COLUMN(T_TraitDi[[#This Row],[Jeudi]]),FALSE),"")</f>
        <v/>
      </c>
      <c r="BC93" s="178" t="e">
        <f>IF(VLOOKUP(T_BilanSocial[[#This Row],[NumL]],T_TraitDi[#Data],COLUMN(T_TraitDi[[#This Row],[Colonne21]]),FALSE)=0,"",TEXT(IFERROR(VLOOKUP(T_BilanSocial[[#This Row],[NumL]],T_TraitDi[#Data],COLUMN(T_TraitDi[[#This Row],[Colonne21]]),FALSE),""),"[hh]:mm"))</f>
        <v>#VALUE!</v>
      </c>
      <c r="BD93" s="178" t="e">
        <f>IF(VLOOKUP(T_BilanSocial[[#This Row],[NumL]],T_TraitDi[#Data],COLUMN(T_TraitDi[[#This Row],[Colonne22]]),FALSE)=0,"",TEXT(IFERROR(VLOOKUP(T_BilanSocial[[#This Row],[NumL]],T_TraitDi[#Data],COLUMN(T_TraitDi[[#This Row],[Colonne22]]),FALSE),""),"[hh]:mm"))</f>
        <v>#VALUE!</v>
      </c>
      <c r="BE93" s="178" t="str">
        <f>IFERROR(VLOOKUP(T_BilanSocial[[#This Row],[NumL]],T_TraitDi[#Data],COLUMN(T_TraitDi[[#This Row],[Colonne23]]),FALSE),"")</f>
        <v/>
      </c>
      <c r="BF93" s="178" t="e">
        <f>IF(VLOOKUP(T_BilanSocial[[#This Row],[NumL]],T_TraitDi[#Data],COLUMN(T_TraitDi[[#This Row],[Colonne24]]),FALSE)=0,"",TEXT(IFERROR(VLOOKUP(T_BilanSocial[[#This Row],[NumL]],T_TraitDi[#Data],COLUMN(T_TraitDi[[#This Row],[Colonne24]]),FALSE),""),"[hh]:mm"))</f>
        <v>#VALUE!</v>
      </c>
      <c r="BG93" s="178" t="e">
        <f>IF(VLOOKUP(T_BilanSocial[[#This Row],[NumL]],T_TraitDi[#Data],COLUMN(T_TraitDi[[#This Row],[Colonne25]]),FALSE)=0,"",TEXT(IFERROR(VLOOKUP(T_BilanSocial[[#This Row],[NumL]],T_TraitDi[#Data],COLUMN(T_TraitDi[[#This Row],[Colonne25]]),FALSE),""),"[hh]:mm"))</f>
        <v>#VALUE!</v>
      </c>
      <c r="BH93" s="178" t="e">
        <f>IF(VLOOKUP(T_BilanSocial[[#This Row],[NumL]],T_TraitDi[#Data],COLUMN(T_TraitDi[[#This Row],[Colonne26]]),FALSE)=0,"",TEXT(IFERROR(VLOOKUP(T_BilanSocial[[#This Row],[NumL]],T_TraitDi[#Data],COLUMN(T_TraitDi[[#This Row],[Colonne26]]),FALSE),""),"[hh]:mm"))</f>
        <v>#VALUE!</v>
      </c>
      <c r="BI93" s="172" t="str">
        <f>IFERROR(VLOOKUP(T_BilanSocial[[#This Row],[NumL]],T_TraitDi[#Data],COLUMN(T_TraitDi[[#This Row],[Vendredi]]),FALSE),"")</f>
        <v/>
      </c>
      <c r="BJ93" s="172" t="e">
        <f>IF(VLOOKUP(T_BilanSocial[[#This Row],[NumL]],T_TraitDi[#Data],COLUMN(T_TraitDi[[#This Row],[Colonne27]]),FALSE)=0,"",TEXT(IFERROR(VLOOKUP(T_BilanSocial[[#This Row],[NumL]],T_TraitDi[#Data],COLUMN(T_TraitDi[[#This Row],[Colonne27]]),FALSE),""),"[hh]:mm"))</f>
        <v>#VALUE!</v>
      </c>
      <c r="BK93" s="172" t="e">
        <f>IF(VLOOKUP(T_BilanSocial[[#This Row],[NumL]],T_TraitDi[#Data],COLUMN(T_TraitDi[[#This Row],[Colonne28]]),FALSE)=0,"",TEXT(IFERROR(VLOOKUP(T_BilanSocial[[#This Row],[NumL]],T_TraitDi[#Data],COLUMN(T_TraitDi[[#This Row],[Colonne28]]),FALSE),""),"[hh]:mm"))</f>
        <v>#VALUE!</v>
      </c>
      <c r="BL93" s="172" t="str">
        <f>IFERROR(VLOOKUP(T_BilanSocial[[#This Row],[NumL]],T_TraitDi[#Data],COLUMN(T_TraitDi[[#This Row],[Colonne29]]),FALSE),"")</f>
        <v/>
      </c>
      <c r="BM93" s="172" t="e">
        <f>IF(VLOOKUP(T_BilanSocial[[#This Row],[NumL]],T_TraitDi[#Data],COLUMN(T_TraitDi[[#This Row],[Colonne30]]),FALSE)=0,"",TEXT(IFERROR(VLOOKUP(T_BilanSocial[[#This Row],[NumL]],T_TraitDi[#Data],COLUMN(T_TraitDi[[#This Row],[Colonne30]]),FALSE),""),"[hh]:mm"))</f>
        <v>#VALUE!</v>
      </c>
      <c r="BN93" s="172" t="e">
        <f>IF(VLOOKUP(T_BilanSocial[[#This Row],[NumL]],T_TraitDi[#Data],COLUMN(T_TraitDi[[#This Row],[Colonne31]]),FALSE)=0,"",TEXT(IFERROR(VLOOKUP(T_BilanSocial[[#This Row],[NumL]],T_TraitDi[#Data],COLUMN(T_TraitDi[[#This Row],[Colonne31]]),FALSE),""),"[hh]:mm"))</f>
        <v>#VALUE!</v>
      </c>
      <c r="BO93" s="172" t="e">
        <f>IF(VLOOKUP(T_BilanSocial[[#This Row],[NumL]],T_TraitDi[#Data],COLUMN(T_TraitDi[[#This Row],[Colonne32]]),FALSE)=0,"",TEXT(IFERROR(VLOOKUP(T_BilanSocial[[#This Row],[NumL]],T_TraitDi[#Data],COLUMN(T_TraitDi[[#This Row],[Colonne32]]),FALSE),""),"[hh]:mm"))</f>
        <v>#VALUE!</v>
      </c>
      <c r="BP93" s="172" t="e">
        <f>VLOOKUP(T_BilanSocial[[#This Row],[NumL]],T_TraitDi[#Data],COLUMN(T_TraitDi[NbJTot]),FALSE)</f>
        <v>#N/A</v>
      </c>
      <c r="BQ93" s="174" t="str">
        <f>IFERROR(VLOOKUP(T_BilanSocial[[#This Row],[NumL]],T_TraitDi[#Data],COLUMN(T_TraitDi[[#This Row],[NbJTW]]),FALSE),"")</f>
        <v/>
      </c>
      <c r="BR93" s="174" t="e">
        <f>IF(VLOOKUP(T_BilanSocial[[#This Row],[NumL]],T_TraitDi[#Data],COLUMN(T_TraitDi[[#This Row],[NbhTW]]),FALSE)=0,"",TEXT(IFERROR(VLOOKUP(T_BilanSocial[[#This Row],[NumL]],T_TraitDi[#Data],COLUMN(T_TraitDi[[#This Row],[NbhTW]]),FALSE),""),"[hh]:mm"))</f>
        <v>#VALUE!</v>
      </c>
      <c r="BS93" s="174" t="e">
        <f>IF(VLOOKUP(T_BilanSocial[[#This Row],[NumL]],T_TraitDi[#Data],COLUMN(T_TraitDi[[#This Row],[Nbhheb]]),FALSE)=0,"",TEXT(IFERROR(VLOOKUP($A93,T_TraitDi[#Data],COLUMN(T_TraitDi[[#This Row],[Nbhheb]]),FALSE),""),"[hh]:mm"))</f>
        <v>#VALUE!</v>
      </c>
      <c r="BT93" s="182" t="str">
        <f>IFERROR(VLOOKUP(VLOOKUP($A93,T_TraitDi[#Data],COLUMN(T_TraitDi[[#This Row],[Type1]]),FALSE),TypeTW,2,FALSE),"")</f>
        <v/>
      </c>
      <c r="BU93" s="182" t="str">
        <f>IFERROR(VLOOKUP($A93,T_TraitDi[#Data],COLUMN(T_TraitDi[[#This Row],[Rue1]]),FALSE),"")</f>
        <v/>
      </c>
      <c r="BV93" s="173" t="str">
        <f>IFERROR(VLOOKUP($A93,T_TraitDi[#Data],COLUMN(T_TraitDi[[#This Row],[CP1]]),FALSE),"")</f>
        <v/>
      </c>
      <c r="BW93" s="173" t="str">
        <f>IFERROR(VLOOKUP($A93,T_TraitDi[#Data],COLUMN(T_TraitDi[[#This Row],[VILLE1]]),FALSE),"")</f>
        <v/>
      </c>
      <c r="BX93" s="182" t="str">
        <f>IFERROR(VLOOKUP(VLOOKUP($A93,T_TraitDi[#Data],COLUMN(T_TraitDi[[#This Row],[Type2]]),FALSE),TypeTW,2,FALSE),"")</f>
        <v/>
      </c>
      <c r="BY93" s="182" t="str">
        <f>IFERROR(VLOOKUP($A93,T_TraitDi[#Data],COLUMN(T_TraitDi[[#This Row],[Rue2]]),FALSE),"")</f>
        <v/>
      </c>
      <c r="BZ93" s="173" t="str">
        <f>IFERROR(VLOOKUP($A93,T_TraitDi[#Data],COLUMN(T_TraitDi[[#This Row],[CP2]]),FALSE),"")</f>
        <v/>
      </c>
      <c r="CA93" s="173" t="str">
        <f>IFERROR(VLOOKUP($A93,T_TraitDi[#Data],COLUMN(T_TraitDi[[#This Row],[VILLE2]]),FALSE),"")</f>
        <v/>
      </c>
      <c r="CB93" s="182" t="str">
        <f>IF(VLOOKUP(T_BilanSocial[[#This Row],[NumL]],T_Equipement[#Data],COLUMN(T_Equipement[[#This Row],[PC]]),FALSE)="","Aucun équipement spécifique directement lié au télétravail",VLOOKUP(T_BilanSocial[[#This Row],[NumL]],T_Equipement[#Data],COLUMN(T_Equipement[[#This Row],[PC]]),FALSE))</f>
        <v xml:space="preserve">	16-031</v>
      </c>
      <c r="CC93" s="166" t="str">
        <f>IFERROR(IF(VLOOKUP(T_BilanSocial[[#This Row],[NumL]],T_TraitDi[#Data],COLUMN(T_TraitDi[[#This Row],[Plan]]),FALSE)="OK","Un planning spécifique de télétravail est annexé à la présente convention.",""),"")</f>
        <v/>
      </c>
      <c r="CD93" s="258" t="s">
        <v>3338</v>
      </c>
      <c r="CE93" s="164" t="e">
        <f>IF(VLOOKUP(T_BilanSocial[[#This Row],[NumL]],T_suiviDi[#Data],COLUMN(T_suiviDi[[#This Row],[Entité]]),FALSE)="","",VLOOKUP(T_BilanSocial[[#This Row],[NumL]],T_suiviDi[#Data],COLUMN(T_suiviDi[[#This Row],[Entité]]),FALSE))</f>
        <v>#VALUE!</v>
      </c>
      <c r="CF93" s="164" t="str">
        <f>IF(VLOOKUP(T_BilanSocial[[#This Row],[NumL]],T_Commission[#Data],COLUMN(T_Commission[[#This Row],[envoi confirm TW]]),FALSE)="","",VLOOKUP(T_BilanSocial[[#This Row],[NumL]],T_Commission[#Data],COLUMN(T_Commission[[#This Row],[envoi confirm TW]]),FALSE))</f>
        <v>Oui</v>
      </c>
      <c r="CG9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3" s="262" t="str">
        <f>T_BilanSocial[[#This Row],[Nom]]&amp;T_BilanSocial[[#This Row],[Prenom]]</f>
        <v/>
      </c>
      <c r="CI93" s="262">
        <f>VLOOKUP(T_BilanSocial[[#This Row],[NumL]],T_Commission[#Data],COLUMN(T_Commission[Commentaire]),FALSE)</f>
        <v>0</v>
      </c>
      <c r="CJ93" s="262" t="str">
        <f>IF(VLOOKUP(T_BilanSocial[[#This Row],[NumL]],T_Commission[#Data],COLUMN(T_Commission[Encadrant Email]),FALSE)="","",VLOOKUP(T_BilanSocial[[#This Row],[NumL]],T_Commission[#Data],COLUMN(T_Commission[Encadrant Email]),FALSE))</f>
        <v/>
      </c>
      <c r="CK93" s="340" t="str">
        <f>IF(T_BilanSocial[[#This Row],[Final]]&lt;&gt;"",VLOOKUP(T_BilanSocial[[#This Row],[NumL]],T_suiviDi[#Data],COLUMN((T_suiviDi[Statut])),FALSE),"")</f>
        <v/>
      </c>
    </row>
    <row r="94" spans="1:89" s="106" customFormat="1" ht="24.75" customHeight="1" x14ac:dyDescent="0.25">
      <c r="A94" s="160">
        <v>91</v>
      </c>
      <c r="B94" s="161" t="e">
        <f t="shared" si="10"/>
        <v>#N/A</v>
      </c>
      <c r="C94" s="162" t="s">
        <v>173</v>
      </c>
      <c r="D94" s="95" t="e">
        <f>IF(VLOOKUP(T_BilanSocial[[#This Row],[NumL]],T_TraitDi[#Data],COLUMN(T_TraitDi[[#This Row],[WebC]]),FALSE)="","",VLOOKUP(T_BilanSocial[[#This Row],[NumL]],T_TraitDi[#Data],COLUMN(T_TraitDi[[#This Row],[WebC]]),FALSE))</f>
        <v>#VALUE!</v>
      </c>
      <c r="E94" s="163" t="str">
        <f t="shared" si="11"/>
        <v>12 janvier 2021</v>
      </c>
      <c r="F94" s="96" t="e">
        <f>IF(T_BilanSocial[[#This Row],[Final]]&lt;&gt;"",VLOOKUP(T_BilanSocial[[#This Row],[NumL]],T_suiviDi[#Data],COLUMN((T_suiviDi[Civ.])),FALSE),"")</f>
        <v>#N/A</v>
      </c>
      <c r="G94" s="96" t="e">
        <f>IF(T_BilanSocial[[#This Row],[Final]]&lt;&gt;"",VLOOKUP(T_BilanSocial[[#This Row],[NumL]],T_suiviDi[#Data],COLUMN((T_suiviDi[Nom])),FALSE),"")</f>
        <v>#N/A</v>
      </c>
      <c r="H94" s="96" t="e">
        <f>IF(T_BilanSocial[[#This Row],[Final]]&lt;&gt;"",VLOOKUP(T_BilanSocial[[#This Row],[NumL]],T_suiviDi[#Data],COLUMN((T_suiviDi[Prénom])),FALSE),"")</f>
        <v>#N/A</v>
      </c>
      <c r="I94" s="96" t="str">
        <f>IFERROR(VLOOKUP(T_BilanSocial[[#This Row],[Zone_Bilan]],T_P_BilanSocial[#Data],COLUMN(T_P_BilanSocial[[#This Row],[Numero_SIHAM]]),FALSE),"")</f>
        <v/>
      </c>
      <c r="J94" s="96" t="str">
        <f>IFERROR(VLOOKUP(T_BilanSocial[[#This Row],[Zone_Bilan]],T_P_BilanSocial[#Data],COLUMN(T_P_BilanSocial[[#This Row],[Sexe]]),FALSE),"")</f>
        <v/>
      </c>
      <c r="K94" s="97" t="str">
        <f>IFERROR(VLOOKUP(T_BilanSocial[[#This Row],[Zone_Bilan]],T_P_BilanSocial[#Data],COLUMN(T_P_BilanSocial[[#This Row],[Categorie]]),FALSE),"")</f>
        <v/>
      </c>
      <c r="L94" s="96" t="str">
        <f>IFERROR(VLOOKUP(T_BilanSocial[[#This Row],[Zone_Bilan]],T_P_BilanSocial[#Data],COLUMN(T_P_BilanSocial[[#This Row],[Statut]]),FALSE),"")</f>
        <v/>
      </c>
      <c r="M94" s="96" t="str">
        <f>IFERROR(VLOOKUP(T_BilanSocial[[#This Row],[Zone_Bilan]],T_P_BilanSocial[#Data],COLUMN(T_P_BilanSocial[[#This Row],[Filiere]]),FALSE),"")</f>
        <v/>
      </c>
      <c r="N94" s="96" t="e">
        <f>VLOOKUP(T_BilanSocial[[#This Row],[NumL]],T_TraitDi[#Data],COLUMN(T_TraitDi[EXP]),FALSE)</f>
        <v>#N/A</v>
      </c>
      <c r="O94" s="96" t="e">
        <f>VLOOKUP(T_BilanSocial[[#This Row],[NumL]],T_TraitDi[#Data],COLUMN(T_TraitDi[FORM]),FALSE)</f>
        <v>#N/A</v>
      </c>
      <c r="P94" s="96" t="e">
        <f>IF(T_BilanSocial[[#This Row],[Final]]&lt;&gt;"",VLOOKUP(T_BilanSocial[[#This Row],[NumL]],T_suiviDi[#Data],COLUMN((T_suiviDi[Email])),FALSE),"")</f>
        <v>#N/A</v>
      </c>
      <c r="Q94" s="164" t="e">
        <f t="shared" si="17"/>
        <v>#N/A</v>
      </c>
      <c r="R94" s="164" t="e">
        <f t="shared" si="18"/>
        <v>#N/A</v>
      </c>
      <c r="S94" s="164" t="e">
        <f>IF(VLOOKUP(T_BilanSocial[[#This Row],[NumL]],T_suiviDi[#Data],COLUMN(T_suiviDi[[#This Row],[Service ]]),FALSE)="","",VLOOKUP(T_BilanSocial[[#This Row],[NumL]],T_suiviDi[#Data],COLUMN(T_suiviDi[[#This Row],[Service ]]),FALSE))</f>
        <v>#VALUE!</v>
      </c>
      <c r="T94" s="164" t="str">
        <f t="shared" si="12"/>
        <v>01 septembre 2021</v>
      </c>
      <c r="U94" s="164" t="str">
        <f t="shared" si="13"/>
        <v>30 novembre 2021</v>
      </c>
      <c r="V94" s="164" t="str">
        <f t="shared" si="20"/>
        <v>30 novembre 2021</v>
      </c>
      <c r="W94" s="176" t="e">
        <f>IF(VLOOKUP(T_BilanSocial[[#This Row],[NumL]],T_TraitDi[#Data],COLUMN(T_TraitDi[[#This Row],[M1]]),FALSE)="","",VLOOKUP(T_BilanSocial[[#This Row],[NumL]],T_TraitDi[#Data],COLUMN(T_TraitDi[[#This Row],[M1]]),FALSE))</f>
        <v>#VALUE!</v>
      </c>
      <c r="X94" s="176" t="e">
        <f>IF(VLOOKUP(T_BilanSocial[[#This Row],[NumL]],T_TraitDi[#Data],COLUMN(T_TraitDi[[#This Row],[M2]]),FALSE)="","",VLOOKUP(T_BilanSocial[[#This Row],[NumL]],T_TraitDi[#Data],COLUMN(T_TraitDi[[#This Row],[M2]]),FALSE))</f>
        <v>#VALUE!</v>
      </c>
      <c r="Y94" s="176" t="e">
        <f>IF(VLOOKUP(T_BilanSocial[[#This Row],[NumL]],T_TraitDi[#Data],COLUMN(T_TraitDi[[#This Row],[M3]]),FALSE)="","",VLOOKUP(T_BilanSocial[[#This Row],[NumL]],T_TraitDi[#Data],COLUMN(T_TraitDi[[#This Row],[M3]]),FALSE))</f>
        <v>#VALUE!</v>
      </c>
      <c r="Z94" s="176" t="str">
        <f t="shared" si="16"/>
        <v/>
      </c>
      <c r="AA94" s="176" t="e">
        <f>IF(VLOOKUP(T_BilanSocial[[#This Row],[NumL]],T_TraitDi[#Data],COLUMN(T_TraitDi[[#This Row],[M5]]),FALSE)="","",VLOOKUP(T_BilanSocial[[#This Row],[NumL]],T_TraitDi[#Data],COLUMN(T_TraitDi[[#This Row],[M5]]),FALSE))</f>
        <v>#VALUE!</v>
      </c>
      <c r="AB94" s="176" t="e">
        <f>IF(VLOOKUP(T_BilanSocial[[#This Row],[NumL]],T_TraitDi[#Data],COLUMN(T_TraitDi[[#This Row],[M6]]),FALSE)="","",VLOOKUP(T_BilanSocial[[#This Row],[NumL]],T_TraitDi[#Data],COLUMN(T_TraitDi[[#This Row],[M6]]),FALSE))</f>
        <v>#VALUE!</v>
      </c>
      <c r="AC94" s="165" t="e">
        <f t="shared" si="15"/>
        <v>#VALUE!</v>
      </c>
      <c r="AD94" s="188" t="str">
        <f>IFERROR(TEXT(VLOOKUP(T_BilanSocial[[#This Row],[NumL]],T_TraitDi[#Data],COLUMN(T_TraitDi[[#This Row],[Q2]]),FALSE),"###%"),"")</f>
        <v/>
      </c>
      <c r="AE94" s="97" t="e">
        <f>VLOOKUP(T_BilanSocial[[#This Row],[NumL]],T_TraitDi[#Data],COLUMN(T_TraitDi[[#This Row],[Reg Ponct]]),FALSE)</f>
        <v>#VALUE!</v>
      </c>
      <c r="AF94" s="97" t="e">
        <f>VLOOKUP(T_BilanSocial[NumL],T_TraitDi[#Data],COLUMN(T_TraitDi[[#This Row],[Jours flottants]]),FALSE)</f>
        <v>#VALUE!</v>
      </c>
      <c r="AG94" s="97" t="str">
        <f>IFERROR(VLOOKUP(T_BilanSocial[[#This Row],[NumL]],T_TraitDi[#Data],COLUMN(T_TraitDi[[#This Row],[Lundi]]),FALSE),"")</f>
        <v/>
      </c>
      <c r="AH94" s="172" t="e">
        <f>IF(VLOOKUP(T_BilanSocial[[#This Row],[NumL]],T_TraitDi[#Data],COLUMN(T_TraitDi[[#This Row],[Colonne3]]),FALSE)=0,"",TEXT(IFERROR(VLOOKUP(T_BilanSocial[[#This Row],[NumL]],T_TraitDi[#Data],COLUMN(T_TraitDi[[#This Row],[Colonne3]]),FALSE),""),"[hh]:mm"))</f>
        <v>#VALUE!</v>
      </c>
      <c r="AI94" s="172" t="e">
        <f>IF(VLOOKUP(T_BilanSocial[[#This Row],[NumL]],T_TraitDi[#Data],COLUMN(T_TraitDi[[#This Row],[Colonne4]]),FALSE)=0,"",TEXT(IFERROR(VLOOKUP(T_BilanSocial[[#This Row],[NumL]],T_TraitDi[#Data],COLUMN(T_TraitDi[[#This Row],[Colonne4]]),FALSE),""),"[hh]:mm"))</f>
        <v>#VALUE!</v>
      </c>
      <c r="AJ94" s="172" t="e">
        <f>IF(VLOOKUP(T_BilanSocial[[#This Row],[NumL]],T_TraitDi[#Data],COLUMN(T_TraitDi[[#This Row],[Colonne5]]),FALSE)=0,"",TEXT(IFERROR(VLOOKUP(T_BilanSocial[[#This Row],[NumL]],T_TraitDi[#Data],COLUMN(T_TraitDi[[#This Row],[Colonne5]]),FALSE),""),"[hh]:mm"))</f>
        <v>#VALUE!</v>
      </c>
      <c r="AK94" s="172" t="e">
        <f>IF(VLOOKUP(T_BilanSocial[[#This Row],[NumL]],T_TraitDi[#Data],COLUMN(T_TraitDi[[#This Row],[Colonne6]]),FALSE)=0,"",TEXT(IFERROR(VLOOKUP(T_BilanSocial[[#This Row],[NumL]],T_TraitDi[#Data],COLUMN(T_TraitDi[[#This Row],[Colonne6]]),FALSE),""),"[hh]:mm"))</f>
        <v>#VALUE!</v>
      </c>
      <c r="AL94" s="172" t="e">
        <f>IF(VLOOKUP(T_BilanSocial[[#This Row],[NumL]],T_TraitDi[#Data],COLUMN(T_TraitDi[[#This Row],[Colonne7]]),FALSE)=0,"",TEXT(IFERROR(VLOOKUP(T_BilanSocial[[#This Row],[NumL]],T_TraitDi[#Data],COLUMN(T_TraitDi[[#This Row],[Colonne7]]),FALSE),""),"[hh]:mm"))</f>
        <v>#VALUE!</v>
      </c>
      <c r="AM94" s="172" t="e">
        <f>IF(VLOOKUP(T_BilanSocial[[#This Row],[NumL]],T_TraitDi[#Data],COLUMN(T_TraitDi[[#This Row],[Colonne8]]),FALSE)=0,"",TEXT(IFERROR(VLOOKUP(T_BilanSocial[[#This Row],[NumL]],T_TraitDi[#Data],COLUMN(T_TraitDi[[#This Row],[Colonne8]]),FALSE),""),"[hh]:mm"))</f>
        <v>#VALUE!</v>
      </c>
      <c r="AN94" s="172" t="str">
        <f>IFERROR(VLOOKUP(T_BilanSocial[[#This Row],[NumL]],T_TraitDi[#Data],COLUMN(T_TraitDi[[#This Row],[Mardi]]),FALSE),"")</f>
        <v/>
      </c>
      <c r="AO94" s="172" t="e">
        <f>IF(VLOOKUP(T_BilanSocial[[#This Row],[NumL]],T_TraitDi[#Data],COLUMN(T_TraitDi[[#This Row],[Colonne1]]),FALSE)=0,"",TEXT(IFERROR(VLOOKUP(T_BilanSocial[[#This Row],[NumL]],T_TraitDi[#Data],COLUMN(T_TraitDi[[#This Row],[Colonne1]]),FALSE),""),"[hh]:mm"))</f>
        <v>#VALUE!</v>
      </c>
      <c r="AP94" s="172" t="e">
        <f>IF(VLOOKUP(T_BilanSocial[[#This Row],[NumL]],T_TraitDi[#Data],COLUMN(T_TraitDi[[#This Row],[Colonne9]]),FALSE)=0,"",TEXT(IFERROR(VLOOKUP(T_BilanSocial[[#This Row],[NumL]],T_TraitDi[#Data],COLUMN(T_TraitDi[[#This Row],[Colonne9]]),FALSE),""),"[hh]:mm"))</f>
        <v>#VALUE!</v>
      </c>
      <c r="AQ94" s="172" t="str">
        <f>IFERROR(VLOOKUP(T_BilanSocial[[#This Row],[NumL]],T_TraitDi[#Data],COLUMN(T_TraitDi[[#This Row],[Colonne10]]),FALSE),"")</f>
        <v/>
      </c>
      <c r="AR94" s="172" t="e">
        <f>IF(VLOOKUP(T_BilanSocial[[#This Row],[NumL]],T_TraitDi[#Data],COLUMN(T_TraitDi[[#This Row],[Colonne11]]),FALSE)=0,"",TEXT(IFERROR(VLOOKUP(T_BilanSocial[[#This Row],[NumL]],T_TraitDi[#Data],COLUMN(T_TraitDi[[#This Row],[Colonne11]]),FALSE),""),"[hh]:mm"))</f>
        <v>#VALUE!</v>
      </c>
      <c r="AS94" s="172" t="e">
        <f>IF(VLOOKUP(T_BilanSocial[[#This Row],[NumL]],T_TraitDi[#Data],COLUMN(T_TraitDi[[#This Row],[Colonne12]]),FALSE)=0,"",TEXT(IFERROR(VLOOKUP(T_BilanSocial[[#This Row],[NumL]],T_TraitDi[#Data],COLUMN(T_TraitDi[[#This Row],[Colonne12]]),FALSE),""),"[hh]:mm"))</f>
        <v>#VALUE!</v>
      </c>
      <c r="AT94" s="172" t="e">
        <f>IF(VLOOKUP(T_BilanSocial[[#This Row],[NumL]],T_TraitDi[#Data],COLUMN(T_TraitDi[[#This Row],[Colonne14]]),FALSE)=0,"",TEXT(IFERROR(VLOOKUP(T_BilanSocial[[#This Row],[NumL]],T_TraitDi[#Data],COLUMN(T_TraitDi[[#This Row],[Colonne14]]),FALSE),""),"[hh]:mm"))</f>
        <v>#VALUE!</v>
      </c>
      <c r="AU94" s="172" t="str">
        <f>IFERROR(VLOOKUP(T_BilanSocial[[#This Row],[NumL]],T_TraitDi[#Data],COLUMN(T_TraitDi[[#This Row],[Mercredi]]),FALSE),"")</f>
        <v/>
      </c>
      <c r="AV94" s="172" t="e">
        <f>IF(VLOOKUP(T_BilanSocial[[#This Row],[NumL]],T_TraitDi[#Data],COLUMN(T_TraitDi[[#This Row],[Colonne15]]),FALSE)=0,"",TEXT(IFERROR(VLOOKUP(T_BilanSocial[[#This Row],[NumL]],T_TraitDi[#Data],COLUMN(T_TraitDi[[#This Row],[Colonne15]]),FALSE),""),"[hh]:mm"))</f>
        <v>#VALUE!</v>
      </c>
      <c r="AW94" s="172" t="e">
        <f>IF(VLOOKUP(T_BilanSocial[[#This Row],[NumL]],T_TraitDi[#Data],COLUMN(T_TraitDi[[#This Row],[Colonne16]]),FALSE)=0,"",TEXT(IFERROR(VLOOKUP(T_BilanSocial[[#This Row],[NumL]],T_TraitDi[#Data],COLUMN(T_TraitDi[[#This Row],[Colonne16]]),FALSE),""),"[hh]:mm"))</f>
        <v>#VALUE!</v>
      </c>
      <c r="AX94" s="172" t="str">
        <f>IFERROR(VLOOKUP(T_BilanSocial[[#This Row],[NumL]],T_TraitDi[#Data],COLUMN(T_TraitDi[[#This Row],[Colonne17]]),FALSE),"")</f>
        <v/>
      </c>
      <c r="AY94" s="172" t="e">
        <f>IF(VLOOKUP(T_BilanSocial[[#This Row],[NumL]],T_TraitDi[#Data],COLUMN(T_TraitDi[[#This Row],[Colonne18]]),FALSE)=0,"",TEXT(IFERROR(VLOOKUP(T_BilanSocial[[#This Row],[NumL]],T_TraitDi[#Data],COLUMN(T_TraitDi[[#This Row],[Colonne18]]),FALSE),""),"[hh]:mm"))</f>
        <v>#VALUE!</v>
      </c>
      <c r="AZ94" s="172" t="e">
        <f>IF(VLOOKUP(T_BilanSocial[[#This Row],[NumL]],T_TraitDi[#Data],COLUMN(T_TraitDi[[#This Row],[Colonne19]]),FALSE)=0,"",TEXT(IFERROR(VLOOKUP(T_BilanSocial[[#This Row],[NumL]],T_TraitDi[#Data],COLUMN(T_TraitDi[[#This Row],[Colonne19]]),FALSE),""),"[hh]:mm"))</f>
        <v>#VALUE!</v>
      </c>
      <c r="BA94" s="172" t="e">
        <f>IF(VLOOKUP(T_BilanSocial[[#This Row],[NumL]],T_TraitDi[#Data],COLUMN(T_TraitDi[[#This Row],[Colonne20]]),FALSE)=0,"",TEXT(IFERROR(VLOOKUP(T_BilanSocial[[#This Row],[NumL]],T_TraitDi[#Data],COLUMN(T_TraitDi[[#This Row],[Colonne20]]),FALSE),""),"[hh]:mm"))</f>
        <v>#VALUE!</v>
      </c>
      <c r="BB94" s="178" t="str">
        <f>IFERROR(VLOOKUP(T_BilanSocial[[#This Row],[NumL]],T_TraitDi[#Data],COLUMN(T_TraitDi[[#This Row],[Jeudi]]),FALSE),"")</f>
        <v/>
      </c>
      <c r="BC94" s="178" t="e">
        <f>IF(VLOOKUP(T_BilanSocial[[#This Row],[NumL]],T_TraitDi[#Data],COLUMN(T_TraitDi[[#This Row],[Colonne21]]),FALSE)=0,"",TEXT(IFERROR(VLOOKUP(T_BilanSocial[[#This Row],[NumL]],T_TraitDi[#Data],COLUMN(T_TraitDi[[#This Row],[Colonne21]]),FALSE),""),"[hh]:mm"))</f>
        <v>#VALUE!</v>
      </c>
      <c r="BD94" s="178" t="e">
        <f>IF(VLOOKUP(T_BilanSocial[[#This Row],[NumL]],T_TraitDi[#Data],COLUMN(T_TraitDi[[#This Row],[Colonne22]]),FALSE)=0,"",TEXT(IFERROR(VLOOKUP(T_BilanSocial[[#This Row],[NumL]],T_TraitDi[#Data],COLUMN(T_TraitDi[[#This Row],[Colonne22]]),FALSE),""),"[hh]:mm"))</f>
        <v>#VALUE!</v>
      </c>
      <c r="BE94" s="178" t="str">
        <f>IFERROR(VLOOKUP(T_BilanSocial[[#This Row],[NumL]],T_TraitDi[#Data],COLUMN(T_TraitDi[[#This Row],[Colonne23]]),FALSE),"")</f>
        <v/>
      </c>
      <c r="BF94" s="178" t="e">
        <f>IF(VLOOKUP(T_BilanSocial[[#This Row],[NumL]],T_TraitDi[#Data],COLUMN(T_TraitDi[[#This Row],[Colonne24]]),FALSE)=0,"",TEXT(IFERROR(VLOOKUP(T_BilanSocial[[#This Row],[NumL]],T_TraitDi[#Data],COLUMN(T_TraitDi[[#This Row],[Colonne24]]),FALSE),""),"[hh]:mm"))</f>
        <v>#VALUE!</v>
      </c>
      <c r="BG94" s="178" t="e">
        <f>IF(VLOOKUP(T_BilanSocial[[#This Row],[NumL]],T_TraitDi[#Data],COLUMN(T_TraitDi[[#This Row],[Colonne25]]),FALSE)=0,"",TEXT(IFERROR(VLOOKUP(T_BilanSocial[[#This Row],[NumL]],T_TraitDi[#Data],COLUMN(T_TraitDi[[#This Row],[Colonne25]]),FALSE),""),"[hh]:mm"))</f>
        <v>#VALUE!</v>
      </c>
      <c r="BH94" s="178" t="e">
        <f>IF(VLOOKUP(T_BilanSocial[[#This Row],[NumL]],T_TraitDi[#Data],COLUMN(T_TraitDi[[#This Row],[Colonne26]]),FALSE)=0,"",TEXT(IFERROR(VLOOKUP(T_BilanSocial[[#This Row],[NumL]],T_TraitDi[#Data],COLUMN(T_TraitDi[[#This Row],[Colonne26]]),FALSE),""),"[hh]:mm"))</f>
        <v>#VALUE!</v>
      </c>
      <c r="BI94" s="172" t="str">
        <f>IFERROR(VLOOKUP(T_BilanSocial[[#This Row],[NumL]],T_TraitDi[#Data],COLUMN(T_TraitDi[[#This Row],[Vendredi]]),FALSE),"")</f>
        <v/>
      </c>
      <c r="BJ94" s="172" t="e">
        <f>IF(VLOOKUP(T_BilanSocial[[#This Row],[NumL]],T_TraitDi[#Data],COLUMN(T_TraitDi[[#This Row],[Colonne27]]),FALSE)=0,"",TEXT(IFERROR(VLOOKUP(T_BilanSocial[[#This Row],[NumL]],T_TraitDi[#Data],COLUMN(T_TraitDi[[#This Row],[Colonne27]]),FALSE),""),"[hh]:mm"))</f>
        <v>#VALUE!</v>
      </c>
      <c r="BK94" s="172" t="e">
        <f>IF(VLOOKUP(T_BilanSocial[[#This Row],[NumL]],T_TraitDi[#Data],COLUMN(T_TraitDi[[#This Row],[Colonne28]]),FALSE)=0,"",TEXT(IFERROR(VLOOKUP(T_BilanSocial[[#This Row],[NumL]],T_TraitDi[#Data],COLUMN(T_TraitDi[[#This Row],[Colonne28]]),FALSE),""),"[hh]:mm"))</f>
        <v>#VALUE!</v>
      </c>
      <c r="BL94" s="172" t="str">
        <f>IFERROR(VLOOKUP(T_BilanSocial[[#This Row],[NumL]],T_TraitDi[#Data],COLUMN(T_TraitDi[[#This Row],[Colonne29]]),FALSE),"")</f>
        <v/>
      </c>
      <c r="BM94" s="172" t="e">
        <f>IF(VLOOKUP(T_BilanSocial[[#This Row],[NumL]],T_TraitDi[#Data],COLUMN(T_TraitDi[[#This Row],[Colonne30]]),FALSE)=0,"",TEXT(IFERROR(VLOOKUP(T_BilanSocial[[#This Row],[NumL]],T_TraitDi[#Data],COLUMN(T_TraitDi[[#This Row],[Colonne30]]),FALSE),""),"[hh]:mm"))</f>
        <v>#VALUE!</v>
      </c>
      <c r="BN94" s="172" t="e">
        <f>IF(VLOOKUP(T_BilanSocial[[#This Row],[NumL]],T_TraitDi[#Data],COLUMN(T_TraitDi[[#This Row],[Colonne31]]),FALSE)=0,"",TEXT(IFERROR(VLOOKUP(T_BilanSocial[[#This Row],[NumL]],T_TraitDi[#Data],COLUMN(T_TraitDi[[#This Row],[Colonne31]]),FALSE),""),"[hh]:mm"))</f>
        <v>#VALUE!</v>
      </c>
      <c r="BO94" s="172" t="e">
        <f>IF(VLOOKUP(T_BilanSocial[[#This Row],[NumL]],T_TraitDi[#Data],COLUMN(T_TraitDi[[#This Row],[Colonne32]]),FALSE)=0,"",TEXT(IFERROR(VLOOKUP(T_BilanSocial[[#This Row],[NumL]],T_TraitDi[#Data],COLUMN(T_TraitDi[[#This Row],[Colonne32]]),FALSE),""),"[hh]:mm"))</f>
        <v>#VALUE!</v>
      </c>
      <c r="BP94" s="172" t="e">
        <f>VLOOKUP(T_BilanSocial[[#This Row],[NumL]],T_TraitDi[#Data],COLUMN(T_TraitDi[NbJTot]),FALSE)</f>
        <v>#N/A</v>
      </c>
      <c r="BQ94" s="174" t="str">
        <f>IFERROR(VLOOKUP(T_BilanSocial[[#This Row],[NumL]],T_TraitDi[#Data],COLUMN(T_TraitDi[[#This Row],[NbJTW]]),FALSE),"")</f>
        <v/>
      </c>
      <c r="BR94" s="174" t="e">
        <f>IF(VLOOKUP(T_BilanSocial[[#This Row],[NumL]],T_TraitDi[#Data],COLUMN(T_TraitDi[[#This Row],[NbhTW]]),FALSE)=0,"",TEXT(IFERROR(VLOOKUP(T_BilanSocial[[#This Row],[NumL]],T_TraitDi[#Data],COLUMN(T_TraitDi[[#This Row],[NbhTW]]),FALSE),""),"[hh]:mm"))</f>
        <v>#VALUE!</v>
      </c>
      <c r="BS94" s="174" t="e">
        <f>IF(VLOOKUP(T_BilanSocial[[#This Row],[NumL]],T_TraitDi[#Data],COLUMN(T_TraitDi[[#This Row],[Nbhheb]]),FALSE)=0,"",TEXT(IFERROR(VLOOKUP($A94,T_TraitDi[#Data],COLUMN(T_TraitDi[[#This Row],[Nbhheb]]),FALSE),""),"[hh]:mm"))</f>
        <v>#VALUE!</v>
      </c>
      <c r="BT94" s="182" t="str">
        <f>IFERROR(VLOOKUP(VLOOKUP($A94,T_TraitDi[#Data],COLUMN(T_TraitDi[[#This Row],[Type1]]),FALSE),TypeTW,2,FALSE),"")</f>
        <v/>
      </c>
      <c r="BU94" s="182" t="str">
        <f>IFERROR(VLOOKUP($A94,T_TraitDi[#Data],COLUMN(T_TraitDi[[#This Row],[Rue1]]),FALSE),"")</f>
        <v/>
      </c>
      <c r="BV94" s="173" t="str">
        <f>IFERROR(VLOOKUP($A94,T_TraitDi[#Data],COLUMN(T_TraitDi[[#This Row],[CP1]]),FALSE),"")</f>
        <v/>
      </c>
      <c r="BW94" s="173" t="str">
        <f>IFERROR(VLOOKUP($A94,T_TraitDi[#Data],COLUMN(T_TraitDi[[#This Row],[VILLE1]]),FALSE),"")</f>
        <v/>
      </c>
      <c r="BX94" s="182" t="str">
        <f>IFERROR(VLOOKUP(VLOOKUP($A94,T_TraitDi[#Data],COLUMN(T_TraitDi[[#This Row],[Type2]]),FALSE),TypeTW,2,FALSE),"")</f>
        <v/>
      </c>
      <c r="BY94" s="182" t="str">
        <f>IFERROR(VLOOKUP($A94,T_TraitDi[#Data],COLUMN(T_TraitDi[[#This Row],[Rue2]]),FALSE),"")</f>
        <v/>
      </c>
      <c r="BZ94" s="173" t="str">
        <f>IFERROR(VLOOKUP($A94,T_TraitDi[#Data],COLUMN(T_TraitDi[[#This Row],[CP2]]),FALSE),"")</f>
        <v/>
      </c>
      <c r="CA94" s="173" t="str">
        <f>IFERROR(VLOOKUP($A94,T_TraitDi[#Data],COLUMN(T_TraitDi[[#This Row],[VILLE2]]),FALSE),"")</f>
        <v/>
      </c>
      <c r="CB94" s="182" t="e">
        <f>IF(VLOOKUP(T_BilanSocial[[#This Row],[NumL]],T_Equipement[#Data],COLUMN(T_Equipement[[#This Row],[PC]]),FALSE)="","Aucun équipement spécifique directement lié au télétravail",VLOOKUP(T_BilanSocial[[#This Row],[NumL]],T_Equipement[#Data],COLUMN(T_Equipement[[#This Row],[PC]]),FALSE))</f>
        <v>#N/A</v>
      </c>
      <c r="CC94" s="166" t="str">
        <f>IFERROR(IF(VLOOKUP(T_BilanSocial[[#This Row],[NumL]],T_TraitDi[#Data],COLUMN(T_TraitDi[[#This Row],[Plan]]),FALSE)="OK","Un planning spécifique de télétravail est annexé à la présente convention.",""),"")</f>
        <v/>
      </c>
      <c r="CD94" s="258" t="s">
        <v>3297</v>
      </c>
      <c r="CE94" s="164" t="e">
        <f>IF(VLOOKUP(T_BilanSocial[[#This Row],[NumL]],T_suiviDi[#Data],COLUMN(T_suiviDi[[#This Row],[Entité]]),FALSE)="","",VLOOKUP(T_BilanSocial[[#This Row],[NumL]],T_suiviDi[#Data],COLUMN(T_suiviDi[[#This Row],[Entité]]),FALSE))</f>
        <v>#VALUE!</v>
      </c>
      <c r="CF94" s="164" t="e">
        <f>IF(VLOOKUP(T_BilanSocial[[#This Row],[NumL]],T_Commission[#Data],COLUMN(T_Commission[[#This Row],[envoi confirm TW]]),FALSE)="","",VLOOKUP(T_BilanSocial[[#This Row],[NumL]],T_Commission[#Data],COLUMN(T_Commission[[#This Row],[envoi confirm TW]]),FALSE))</f>
        <v>#N/A</v>
      </c>
      <c r="CG9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4" s="262" t="e">
        <f>T_BilanSocial[[#This Row],[Nom]]&amp;T_BilanSocial[[#This Row],[Prenom]]</f>
        <v>#N/A</v>
      </c>
      <c r="CI94" s="262" t="e">
        <f>VLOOKUP(T_BilanSocial[[#This Row],[NumL]],T_Commission[#Data],COLUMN(T_Commission[Commentaire]),FALSE)</f>
        <v>#N/A</v>
      </c>
      <c r="CJ94" s="262" t="e">
        <f>IF(VLOOKUP(T_BilanSocial[[#This Row],[NumL]],T_Commission[#Data],COLUMN(T_Commission[Encadrant Email]),FALSE)="","",VLOOKUP(T_BilanSocial[[#This Row],[NumL]],T_Commission[#Data],COLUMN(T_Commission[Encadrant Email]),FALSE))</f>
        <v>#N/A</v>
      </c>
      <c r="CK94" s="340" t="e">
        <f>IF(T_BilanSocial[[#This Row],[Final]]&lt;&gt;"",VLOOKUP(T_BilanSocial[[#This Row],[NumL]],T_suiviDi[#Data],COLUMN((T_suiviDi[Statut])),FALSE),"")</f>
        <v>#N/A</v>
      </c>
    </row>
    <row r="95" spans="1:89" s="106" customFormat="1" ht="24.75" customHeight="1" x14ac:dyDescent="0.25">
      <c r="A95" s="160">
        <v>92</v>
      </c>
      <c r="B95" s="161" t="e">
        <f t="shared" si="10"/>
        <v>#N/A</v>
      </c>
      <c r="C95" s="162" t="s">
        <v>3287</v>
      </c>
      <c r="D95" s="95" t="e">
        <f>IF(VLOOKUP(T_BilanSocial[[#This Row],[NumL]],T_TraitDi[#Data],COLUMN(T_TraitDi[[#This Row],[WebC]]),FALSE)="","",VLOOKUP(T_BilanSocial[[#This Row],[NumL]],T_TraitDi[#Data],COLUMN(T_TraitDi[[#This Row],[WebC]]),FALSE))</f>
        <v>#VALUE!</v>
      </c>
      <c r="E95" s="163" t="str">
        <f t="shared" si="11"/>
        <v>12 janvier 2021</v>
      </c>
      <c r="F95" s="96" t="e">
        <f>IF(T_BilanSocial[[#This Row],[Final]]&lt;&gt;"",VLOOKUP(T_BilanSocial[[#This Row],[NumL]],T_suiviDi[#Data],COLUMN((T_suiviDi[Civ.])),FALSE),"")</f>
        <v>#N/A</v>
      </c>
      <c r="G95" s="96" t="e">
        <f>IF(T_BilanSocial[[#This Row],[Final]]&lt;&gt;"",VLOOKUP(T_BilanSocial[[#This Row],[NumL]],T_suiviDi[#Data],COLUMN((T_suiviDi[Nom])),FALSE),"")</f>
        <v>#N/A</v>
      </c>
      <c r="H95" s="96" t="e">
        <f>IF(T_BilanSocial[[#This Row],[Final]]&lt;&gt;"",VLOOKUP(T_BilanSocial[[#This Row],[NumL]],T_suiviDi[#Data],COLUMN((T_suiviDi[Prénom])),FALSE),"")</f>
        <v>#N/A</v>
      </c>
      <c r="I95" s="96" t="str">
        <f>IFERROR(VLOOKUP(T_BilanSocial[[#This Row],[Zone_Bilan]],T_P_BilanSocial[#Data],COLUMN(T_P_BilanSocial[[#This Row],[Numero_SIHAM]]),FALSE),"")</f>
        <v/>
      </c>
      <c r="J95" s="96" t="str">
        <f>IFERROR(VLOOKUP(T_BilanSocial[[#This Row],[Zone_Bilan]],T_P_BilanSocial[#Data],COLUMN(T_P_BilanSocial[[#This Row],[Sexe]]),FALSE),"")</f>
        <v/>
      </c>
      <c r="K95" s="97" t="str">
        <f>IFERROR(VLOOKUP(T_BilanSocial[[#This Row],[Zone_Bilan]],T_P_BilanSocial[#Data],COLUMN(T_P_BilanSocial[[#This Row],[Categorie]]),FALSE),"")</f>
        <v/>
      </c>
      <c r="L95" s="96" t="str">
        <f>IFERROR(VLOOKUP(T_BilanSocial[[#This Row],[Zone_Bilan]],T_P_BilanSocial[#Data],COLUMN(T_P_BilanSocial[[#This Row],[Statut]]),FALSE),"")</f>
        <v/>
      </c>
      <c r="M95" s="96" t="str">
        <f>IFERROR(VLOOKUP(T_BilanSocial[[#This Row],[Zone_Bilan]],T_P_BilanSocial[#Data],COLUMN(T_P_BilanSocial[[#This Row],[Filiere]]),FALSE),"")</f>
        <v/>
      </c>
      <c r="N95" s="96" t="e">
        <f>VLOOKUP(T_BilanSocial[[#This Row],[NumL]],T_TraitDi[#Data],COLUMN(T_TraitDi[EXP]),FALSE)</f>
        <v>#N/A</v>
      </c>
      <c r="O95" s="96" t="e">
        <f>VLOOKUP(T_BilanSocial[[#This Row],[NumL]],T_TraitDi[#Data],COLUMN(T_TraitDi[FORM]),FALSE)</f>
        <v>#N/A</v>
      </c>
      <c r="P95" s="96" t="e">
        <f>IF(T_BilanSocial[[#This Row],[Final]]&lt;&gt;"",VLOOKUP(T_BilanSocial[[#This Row],[NumL]],T_suiviDi[#Data],COLUMN((T_suiviDi[Email])),FALSE),"")</f>
        <v>#N/A</v>
      </c>
      <c r="Q95" s="164" t="str">
        <f t="shared" si="17"/>
        <v>Equipe de recherche Louis Josserand</v>
      </c>
      <c r="R95" s="164" t="str">
        <f t="shared" si="18"/>
        <v>Gestionnaire administrative</v>
      </c>
      <c r="S95" s="164" t="e">
        <f>IF(VLOOKUP(T_BilanSocial[[#This Row],[NumL]],T_suiviDi[#Data],COLUMN(T_suiviDi[[#This Row],[Service ]]),FALSE)="","",VLOOKUP(T_BilanSocial[[#This Row],[NumL]],T_suiviDi[#Data],COLUMN(T_suiviDi[[#This Row],[Service ]]),FALSE))</f>
        <v>#VALUE!</v>
      </c>
      <c r="T95" s="164" t="str">
        <f t="shared" si="12"/>
        <v>01 septembre 2021</v>
      </c>
      <c r="U95" s="164" t="str">
        <f t="shared" si="13"/>
        <v>30 novembre 2021</v>
      </c>
      <c r="V95" s="96" t="str">
        <f t="shared" si="20"/>
        <v>30 novembre 2021</v>
      </c>
      <c r="W95" s="176" t="e">
        <f>IF(VLOOKUP(T_BilanSocial[[#This Row],[NumL]],T_TraitDi[#Data],COLUMN(T_TraitDi[[#This Row],[M1]]),FALSE)="","",VLOOKUP(T_BilanSocial[[#This Row],[NumL]],T_TraitDi[#Data],COLUMN(T_TraitDi[[#This Row],[M1]]),FALSE))</f>
        <v>#VALUE!</v>
      </c>
      <c r="X95" s="176" t="e">
        <f>IF(VLOOKUP(T_BilanSocial[[#This Row],[NumL]],T_TraitDi[#Data],COLUMN(T_TraitDi[[#This Row],[M2]]),FALSE)="","",VLOOKUP(T_BilanSocial[[#This Row],[NumL]],T_TraitDi[#Data],COLUMN(T_TraitDi[[#This Row],[M2]]),FALSE))</f>
        <v>#VALUE!</v>
      </c>
      <c r="Y95" s="176" t="e">
        <f>IF(VLOOKUP(T_BilanSocial[[#This Row],[NumL]],T_TraitDi[#Data],COLUMN(T_TraitDi[[#This Row],[M3]]),FALSE)="","",VLOOKUP(T_BilanSocial[[#This Row],[NumL]],T_TraitDi[#Data],COLUMN(T_TraitDi[[#This Row],[M3]]),FALSE))</f>
        <v>#VALUE!</v>
      </c>
      <c r="Z95" s="176" t="str">
        <f t="shared" si="16"/>
        <v/>
      </c>
      <c r="AA95" s="176" t="e">
        <f>IF(VLOOKUP(T_BilanSocial[[#This Row],[NumL]],T_TraitDi[#Data],COLUMN(T_TraitDi[[#This Row],[M5]]),FALSE)="","",VLOOKUP(T_BilanSocial[[#This Row],[NumL]],T_TraitDi[#Data],COLUMN(T_TraitDi[[#This Row],[M5]]),FALSE))</f>
        <v>#VALUE!</v>
      </c>
      <c r="AB95" s="176" t="e">
        <f>IF(VLOOKUP(T_BilanSocial[[#This Row],[NumL]],T_TraitDi[#Data],COLUMN(T_TraitDi[[#This Row],[M6]]),FALSE)="","",VLOOKUP(T_BilanSocial[[#This Row],[NumL]],T_TraitDi[#Data],COLUMN(T_TraitDi[[#This Row],[M6]]),FALSE))</f>
        <v>#VALUE!</v>
      </c>
      <c r="AC95" s="165" t="e">
        <f t="shared" si="15"/>
        <v>#VALUE!</v>
      </c>
      <c r="AD95" s="188" t="str">
        <f>IFERROR(TEXT(VLOOKUP(T_BilanSocial[[#This Row],[NumL]],T_TraitDi[#Data],COLUMN(T_TraitDi[[#This Row],[Q2]]),FALSE),"###%"),"")</f>
        <v/>
      </c>
      <c r="AE95" s="97" t="e">
        <f>VLOOKUP(T_BilanSocial[[#This Row],[NumL]],T_TraitDi[#Data],COLUMN(T_TraitDi[[#This Row],[Reg Ponct]]),FALSE)</f>
        <v>#VALUE!</v>
      </c>
      <c r="AF95" s="97" t="e">
        <f>VLOOKUP(T_BilanSocial[NumL],T_TraitDi[#Data],COLUMN(T_TraitDi[[#This Row],[Jours flottants]]),FALSE)</f>
        <v>#VALUE!</v>
      </c>
      <c r="AG95" s="97" t="str">
        <f>IFERROR(VLOOKUP(T_BilanSocial[[#This Row],[NumL]],T_TraitDi[#Data],COLUMN(T_TraitDi[[#This Row],[Lundi]]),FALSE),"")</f>
        <v/>
      </c>
      <c r="AH95" s="172" t="e">
        <f>IF(VLOOKUP(T_BilanSocial[[#This Row],[NumL]],T_TraitDi[#Data],COLUMN(T_TraitDi[[#This Row],[Colonne3]]),FALSE)=0,"",TEXT(IFERROR(VLOOKUP(T_BilanSocial[[#This Row],[NumL]],T_TraitDi[#Data],COLUMN(T_TraitDi[[#This Row],[Colonne3]]),FALSE),""),"[hh]:mm"))</f>
        <v>#VALUE!</v>
      </c>
      <c r="AI95" s="172" t="e">
        <f>IF(VLOOKUP(T_BilanSocial[[#This Row],[NumL]],T_TraitDi[#Data],COLUMN(T_TraitDi[[#This Row],[Colonne4]]),FALSE)=0,"",TEXT(IFERROR(VLOOKUP(T_BilanSocial[[#This Row],[NumL]],T_TraitDi[#Data],COLUMN(T_TraitDi[[#This Row],[Colonne4]]),FALSE),""),"[hh]:mm"))</f>
        <v>#VALUE!</v>
      </c>
      <c r="AJ95" s="172" t="e">
        <f>IF(VLOOKUP(T_BilanSocial[[#This Row],[NumL]],T_TraitDi[#Data],COLUMN(T_TraitDi[[#This Row],[Colonne5]]),FALSE)=0,"",TEXT(IFERROR(VLOOKUP(T_BilanSocial[[#This Row],[NumL]],T_TraitDi[#Data],COLUMN(T_TraitDi[[#This Row],[Colonne5]]),FALSE),""),"[hh]:mm"))</f>
        <v>#VALUE!</v>
      </c>
      <c r="AK95" s="172" t="e">
        <f>IF(VLOOKUP(T_BilanSocial[[#This Row],[NumL]],T_TraitDi[#Data],COLUMN(T_TraitDi[[#This Row],[Colonne6]]),FALSE)=0,"",TEXT(IFERROR(VLOOKUP(T_BilanSocial[[#This Row],[NumL]],T_TraitDi[#Data],COLUMN(T_TraitDi[[#This Row],[Colonne6]]),FALSE),""),"[hh]:mm"))</f>
        <v>#VALUE!</v>
      </c>
      <c r="AL95" s="172" t="e">
        <f>IF(VLOOKUP(T_BilanSocial[[#This Row],[NumL]],T_TraitDi[#Data],COLUMN(T_TraitDi[[#This Row],[Colonne7]]),FALSE)=0,"",TEXT(IFERROR(VLOOKUP(T_BilanSocial[[#This Row],[NumL]],T_TraitDi[#Data],COLUMN(T_TraitDi[[#This Row],[Colonne7]]),FALSE),""),"[hh]:mm"))</f>
        <v>#VALUE!</v>
      </c>
      <c r="AM95" s="172" t="e">
        <f>IF(VLOOKUP(T_BilanSocial[[#This Row],[NumL]],T_TraitDi[#Data],COLUMN(T_TraitDi[[#This Row],[Colonne8]]),FALSE)=0,"",TEXT(IFERROR(VLOOKUP(T_BilanSocial[[#This Row],[NumL]],T_TraitDi[#Data],COLUMN(T_TraitDi[[#This Row],[Colonne8]]),FALSE),""),"[hh]:mm"))</f>
        <v>#VALUE!</v>
      </c>
      <c r="AN95" s="172" t="str">
        <f>IFERROR(VLOOKUP(T_BilanSocial[[#This Row],[NumL]],T_TraitDi[#Data],COLUMN(T_TraitDi[[#This Row],[Mardi]]),FALSE),"")</f>
        <v/>
      </c>
      <c r="AO95" s="172" t="e">
        <f>IF(VLOOKUP(T_BilanSocial[[#This Row],[NumL]],T_TraitDi[#Data],COLUMN(T_TraitDi[[#This Row],[Colonne1]]),FALSE)=0,"",TEXT(IFERROR(VLOOKUP(T_BilanSocial[[#This Row],[NumL]],T_TraitDi[#Data],COLUMN(T_TraitDi[[#This Row],[Colonne1]]),FALSE),""),"[hh]:mm"))</f>
        <v>#VALUE!</v>
      </c>
      <c r="AP95" s="172" t="e">
        <f>IF(VLOOKUP(T_BilanSocial[[#This Row],[NumL]],T_TraitDi[#Data],COLUMN(T_TraitDi[[#This Row],[Colonne9]]),FALSE)=0,"",TEXT(IFERROR(VLOOKUP(T_BilanSocial[[#This Row],[NumL]],T_TraitDi[#Data],COLUMN(T_TraitDi[[#This Row],[Colonne9]]),FALSE),""),"[hh]:mm"))</f>
        <v>#VALUE!</v>
      </c>
      <c r="AQ95" s="172" t="str">
        <f>IFERROR(VLOOKUP(T_BilanSocial[[#This Row],[NumL]],T_TraitDi[#Data],COLUMN(T_TraitDi[[#This Row],[Colonne10]]),FALSE),"")</f>
        <v/>
      </c>
      <c r="AR95" s="172" t="e">
        <f>IF(VLOOKUP(T_BilanSocial[[#This Row],[NumL]],T_TraitDi[#Data],COLUMN(T_TraitDi[[#This Row],[Colonne11]]),FALSE)=0,"",TEXT(IFERROR(VLOOKUP(T_BilanSocial[[#This Row],[NumL]],T_TraitDi[#Data],COLUMN(T_TraitDi[[#This Row],[Colonne11]]),FALSE),""),"[hh]:mm"))</f>
        <v>#VALUE!</v>
      </c>
      <c r="AS95" s="172" t="e">
        <f>IF(VLOOKUP(T_BilanSocial[[#This Row],[NumL]],T_TraitDi[#Data],COLUMN(T_TraitDi[[#This Row],[Colonne12]]),FALSE)=0,"",TEXT(IFERROR(VLOOKUP(T_BilanSocial[[#This Row],[NumL]],T_TraitDi[#Data],COLUMN(T_TraitDi[[#This Row],[Colonne12]]),FALSE),""),"[hh]:mm"))</f>
        <v>#VALUE!</v>
      </c>
      <c r="AT95" s="172" t="e">
        <f>IF(VLOOKUP(T_BilanSocial[[#This Row],[NumL]],T_TraitDi[#Data],COLUMN(T_TraitDi[[#This Row],[Colonne14]]),FALSE)=0,"",TEXT(IFERROR(VLOOKUP(T_BilanSocial[[#This Row],[NumL]],T_TraitDi[#Data],COLUMN(T_TraitDi[[#This Row],[Colonne14]]),FALSE),""),"[hh]:mm"))</f>
        <v>#VALUE!</v>
      </c>
      <c r="AU95" s="172" t="str">
        <f>IFERROR(VLOOKUP(T_BilanSocial[[#This Row],[NumL]],T_TraitDi[#Data],COLUMN(T_TraitDi[[#This Row],[Mercredi]]),FALSE),"")</f>
        <v/>
      </c>
      <c r="AV95" s="172" t="e">
        <f>IF(VLOOKUP(T_BilanSocial[[#This Row],[NumL]],T_TraitDi[#Data],COLUMN(T_TraitDi[[#This Row],[Colonne15]]),FALSE)=0,"",TEXT(IFERROR(VLOOKUP(T_BilanSocial[[#This Row],[NumL]],T_TraitDi[#Data],COLUMN(T_TraitDi[[#This Row],[Colonne15]]),FALSE),""),"[hh]:mm"))</f>
        <v>#VALUE!</v>
      </c>
      <c r="AW95" s="172" t="e">
        <f>IF(VLOOKUP(T_BilanSocial[[#This Row],[NumL]],T_TraitDi[#Data],COLUMN(T_TraitDi[[#This Row],[Colonne16]]),FALSE)=0,"",TEXT(IFERROR(VLOOKUP(T_BilanSocial[[#This Row],[NumL]],T_TraitDi[#Data],COLUMN(T_TraitDi[[#This Row],[Colonne16]]),FALSE),""),"[hh]:mm"))</f>
        <v>#VALUE!</v>
      </c>
      <c r="AX95" s="172" t="str">
        <f>IFERROR(VLOOKUP(T_BilanSocial[[#This Row],[NumL]],T_TraitDi[#Data],COLUMN(T_TraitDi[[#This Row],[Colonne17]]),FALSE),"")</f>
        <v/>
      </c>
      <c r="AY95" s="172" t="e">
        <f>IF(VLOOKUP(T_BilanSocial[[#This Row],[NumL]],T_TraitDi[#Data],COLUMN(T_TraitDi[[#This Row],[Colonne18]]),FALSE)=0,"",TEXT(IFERROR(VLOOKUP(T_BilanSocial[[#This Row],[NumL]],T_TraitDi[#Data],COLUMN(T_TraitDi[[#This Row],[Colonne18]]),FALSE),""),"[hh]:mm"))</f>
        <v>#VALUE!</v>
      </c>
      <c r="AZ95" s="172" t="e">
        <f>IF(VLOOKUP(T_BilanSocial[[#This Row],[NumL]],T_TraitDi[#Data],COLUMN(T_TraitDi[[#This Row],[Colonne19]]),FALSE)=0,"",TEXT(IFERROR(VLOOKUP(T_BilanSocial[[#This Row],[NumL]],T_TraitDi[#Data],COLUMN(T_TraitDi[[#This Row],[Colonne19]]),FALSE),""),"[hh]:mm"))</f>
        <v>#VALUE!</v>
      </c>
      <c r="BA95" s="172" t="e">
        <f>IF(VLOOKUP(T_BilanSocial[[#This Row],[NumL]],T_TraitDi[#Data],COLUMN(T_TraitDi[[#This Row],[Colonne20]]),FALSE)=0,"",TEXT(IFERROR(VLOOKUP(T_BilanSocial[[#This Row],[NumL]],T_TraitDi[#Data],COLUMN(T_TraitDi[[#This Row],[Colonne20]]),FALSE),""),"[hh]:mm"))</f>
        <v>#VALUE!</v>
      </c>
      <c r="BB95" s="178" t="str">
        <f>IFERROR(VLOOKUP(T_BilanSocial[[#This Row],[NumL]],T_TraitDi[#Data],COLUMN(T_TraitDi[[#This Row],[Jeudi]]),FALSE),"")</f>
        <v/>
      </c>
      <c r="BC95" s="178" t="e">
        <f>IF(VLOOKUP(T_BilanSocial[[#This Row],[NumL]],T_TraitDi[#Data],COLUMN(T_TraitDi[[#This Row],[Colonne21]]),FALSE)=0,"",TEXT(IFERROR(VLOOKUP(T_BilanSocial[[#This Row],[NumL]],T_TraitDi[#Data],COLUMN(T_TraitDi[[#This Row],[Colonne21]]),FALSE),""),"[hh]:mm"))</f>
        <v>#VALUE!</v>
      </c>
      <c r="BD95" s="178" t="e">
        <f>IF(VLOOKUP(T_BilanSocial[[#This Row],[NumL]],T_TraitDi[#Data],COLUMN(T_TraitDi[[#This Row],[Colonne22]]),FALSE)=0,"",TEXT(IFERROR(VLOOKUP(T_BilanSocial[[#This Row],[NumL]],T_TraitDi[#Data],COLUMN(T_TraitDi[[#This Row],[Colonne22]]),FALSE),""),"[hh]:mm"))</f>
        <v>#VALUE!</v>
      </c>
      <c r="BE95" s="178" t="str">
        <f>IFERROR(VLOOKUP(T_BilanSocial[[#This Row],[NumL]],T_TraitDi[#Data],COLUMN(T_TraitDi[[#This Row],[Colonne23]]),FALSE),"")</f>
        <v/>
      </c>
      <c r="BF95" s="178" t="e">
        <f>IF(VLOOKUP(T_BilanSocial[[#This Row],[NumL]],T_TraitDi[#Data],COLUMN(T_TraitDi[[#This Row],[Colonne24]]),FALSE)=0,"",TEXT(IFERROR(VLOOKUP(T_BilanSocial[[#This Row],[NumL]],T_TraitDi[#Data],COLUMN(T_TraitDi[[#This Row],[Colonne24]]),FALSE),""),"[hh]:mm"))</f>
        <v>#VALUE!</v>
      </c>
      <c r="BG95" s="178" t="e">
        <f>IF(VLOOKUP(T_BilanSocial[[#This Row],[NumL]],T_TraitDi[#Data],COLUMN(T_TraitDi[[#This Row],[Colonne25]]),FALSE)=0,"",TEXT(IFERROR(VLOOKUP(T_BilanSocial[[#This Row],[NumL]],T_TraitDi[#Data],COLUMN(T_TraitDi[[#This Row],[Colonne25]]),FALSE),""),"[hh]:mm"))</f>
        <v>#VALUE!</v>
      </c>
      <c r="BH95" s="178" t="e">
        <f>IF(VLOOKUP(T_BilanSocial[[#This Row],[NumL]],T_TraitDi[#Data],COLUMN(T_TraitDi[[#This Row],[Colonne26]]),FALSE)=0,"",TEXT(IFERROR(VLOOKUP(T_BilanSocial[[#This Row],[NumL]],T_TraitDi[#Data],COLUMN(T_TraitDi[[#This Row],[Colonne26]]),FALSE),""),"[hh]:mm"))</f>
        <v>#VALUE!</v>
      </c>
      <c r="BI95" s="172" t="str">
        <f>IFERROR(VLOOKUP(T_BilanSocial[[#This Row],[NumL]],T_TraitDi[#Data],COLUMN(T_TraitDi[[#This Row],[Vendredi]]),FALSE),"")</f>
        <v/>
      </c>
      <c r="BJ95" s="172" t="e">
        <f>IF(VLOOKUP(T_BilanSocial[[#This Row],[NumL]],T_TraitDi[#Data],COLUMN(T_TraitDi[[#This Row],[Colonne27]]),FALSE)=0,"",TEXT(IFERROR(VLOOKUP(T_BilanSocial[[#This Row],[NumL]],T_TraitDi[#Data],COLUMN(T_TraitDi[[#This Row],[Colonne27]]),FALSE),""),"[hh]:mm"))</f>
        <v>#VALUE!</v>
      </c>
      <c r="BK95" s="172" t="e">
        <f>IF(VLOOKUP(T_BilanSocial[[#This Row],[NumL]],T_TraitDi[#Data],COLUMN(T_TraitDi[[#This Row],[Colonne28]]),FALSE)=0,"",TEXT(IFERROR(VLOOKUP(T_BilanSocial[[#This Row],[NumL]],T_TraitDi[#Data],COLUMN(T_TraitDi[[#This Row],[Colonne28]]),FALSE),""),"[hh]:mm"))</f>
        <v>#VALUE!</v>
      </c>
      <c r="BL95" s="172" t="str">
        <f>IFERROR(VLOOKUP(T_BilanSocial[[#This Row],[NumL]],T_TraitDi[#Data],COLUMN(T_TraitDi[[#This Row],[Colonne29]]),FALSE),"")</f>
        <v/>
      </c>
      <c r="BM95" s="172" t="e">
        <f>IF(VLOOKUP(T_BilanSocial[[#This Row],[NumL]],T_TraitDi[#Data],COLUMN(T_TraitDi[[#This Row],[Colonne30]]),FALSE)=0,"",TEXT(IFERROR(VLOOKUP(T_BilanSocial[[#This Row],[NumL]],T_TraitDi[#Data],COLUMN(T_TraitDi[[#This Row],[Colonne30]]),FALSE),""),"[hh]:mm"))</f>
        <v>#VALUE!</v>
      </c>
      <c r="BN95" s="172" t="e">
        <f>IF(VLOOKUP(T_BilanSocial[[#This Row],[NumL]],T_TraitDi[#Data],COLUMN(T_TraitDi[[#This Row],[Colonne31]]),FALSE)=0,"",TEXT(IFERROR(VLOOKUP(T_BilanSocial[[#This Row],[NumL]],T_TraitDi[#Data],COLUMN(T_TraitDi[[#This Row],[Colonne31]]),FALSE),""),"[hh]:mm"))</f>
        <v>#VALUE!</v>
      </c>
      <c r="BO95" s="172" t="e">
        <f>IF(VLOOKUP(T_BilanSocial[[#This Row],[NumL]],T_TraitDi[#Data],COLUMN(T_TraitDi[[#This Row],[Colonne32]]),FALSE)=0,"",TEXT(IFERROR(VLOOKUP(T_BilanSocial[[#This Row],[NumL]],T_TraitDi[#Data],COLUMN(T_TraitDi[[#This Row],[Colonne32]]),FALSE),""),"[hh]:mm"))</f>
        <v>#VALUE!</v>
      </c>
      <c r="BP95" s="172" t="e">
        <f>VLOOKUP(T_BilanSocial[[#This Row],[NumL]],T_TraitDi[#Data],COLUMN(T_TraitDi[NbJTot]),FALSE)</f>
        <v>#N/A</v>
      </c>
      <c r="BQ95" s="174" t="str">
        <f>IFERROR(VLOOKUP(T_BilanSocial[[#This Row],[NumL]],T_TraitDi[#Data],COLUMN(T_TraitDi[[#This Row],[NbJTW]]),FALSE),"")</f>
        <v/>
      </c>
      <c r="BR95" s="174" t="e">
        <f>IF(VLOOKUP(T_BilanSocial[[#This Row],[NumL]],T_TraitDi[#Data],COLUMN(T_TraitDi[[#This Row],[NbhTW]]),FALSE)=0,"",TEXT(IFERROR(VLOOKUP(T_BilanSocial[[#This Row],[NumL]],T_TraitDi[#Data],COLUMN(T_TraitDi[[#This Row],[NbhTW]]),FALSE),""),"[hh]:mm"))</f>
        <v>#VALUE!</v>
      </c>
      <c r="BS95" s="174" t="e">
        <f>IF(VLOOKUP(T_BilanSocial[[#This Row],[NumL]],T_TraitDi[#Data],COLUMN(T_TraitDi[[#This Row],[Nbhheb]]),FALSE)=0,"",TEXT(IFERROR(VLOOKUP($A95,T_TraitDi[#Data],COLUMN(T_TraitDi[[#This Row],[Nbhheb]]),FALSE),""),"[hh]:mm"))</f>
        <v>#VALUE!</v>
      </c>
      <c r="BT95" s="268" t="str">
        <f>IFERROR(VLOOKUP(VLOOKUP($A95,T_TraitDi[#Data],COLUMN(T_TraitDi[[#This Row],[Type1]]),FALSE),TypeTW,2,FALSE),"")</f>
        <v/>
      </c>
      <c r="BU95" s="182" t="str">
        <f>IFERROR(VLOOKUP($A95,T_TraitDi[#Data],COLUMN(T_TraitDi[[#This Row],[Rue1]]),FALSE),"")</f>
        <v/>
      </c>
      <c r="BV95" s="173" t="str">
        <f>IFERROR(VLOOKUP($A95,T_TraitDi[#Data],COLUMN(T_TraitDi[[#This Row],[CP1]]),FALSE),"")</f>
        <v/>
      </c>
      <c r="BW95" s="173" t="str">
        <f>IFERROR(VLOOKUP($A95,T_TraitDi[#Data],COLUMN(T_TraitDi[[#This Row],[VILLE1]]),FALSE),"")</f>
        <v/>
      </c>
      <c r="BX95" s="182" t="str">
        <f>IFERROR(VLOOKUP(VLOOKUP($A95,T_TraitDi[#Data],COLUMN(T_TraitDi[[#This Row],[Type2]]),FALSE),TypeTW,2,FALSE),"")</f>
        <v/>
      </c>
      <c r="BY95" s="182" t="str">
        <f>IFERROR(VLOOKUP($A95,T_TraitDi[#Data],COLUMN(T_TraitDi[[#This Row],[Rue2]]),FALSE),"")</f>
        <v/>
      </c>
      <c r="BZ95" s="173" t="str">
        <f>IFERROR(VLOOKUP($A95,T_TraitDi[#Data],COLUMN(T_TraitDi[[#This Row],[CP2]]),FALSE),"")</f>
        <v/>
      </c>
      <c r="CA95" s="173" t="str">
        <f>IFERROR(VLOOKUP($A95,T_TraitDi[#Data],COLUMN(T_TraitDi[[#This Row],[VILLE2]]),FALSE),"")</f>
        <v/>
      </c>
      <c r="CB95" s="182" t="e">
        <f>IF(VLOOKUP(T_BilanSocial[[#This Row],[NumL]],T_Equipement[#Data],COLUMN(T_Equipement[[#This Row],[PC]]),FALSE)="","Aucun équipement spécifique directement lié au télétravail",VLOOKUP(T_BilanSocial[[#This Row],[NumL]],T_Equipement[#Data],COLUMN(T_Equipement[[#This Row],[PC]]),FALSE))</f>
        <v>#N/A</v>
      </c>
      <c r="CC95" s="166" t="str">
        <f>IFERROR(IF(VLOOKUP(T_BilanSocial[[#This Row],[NumL]],T_TraitDi[#Data],COLUMN(T_TraitDi[[#This Row],[Plan]]),FALSE)="OK","Un planning spécifique de télétravail est annexé à la présente convention.",""),"")</f>
        <v/>
      </c>
      <c r="CD95" s="185"/>
      <c r="CE95" s="164" t="e">
        <f>IF(VLOOKUP(T_BilanSocial[[#This Row],[NumL]],T_suiviDi[#Data],COLUMN(T_suiviDi[[#This Row],[Entité]]),FALSE)="","",VLOOKUP(T_BilanSocial[[#This Row],[NumL]],T_suiviDi[#Data],COLUMN(T_suiviDi[[#This Row],[Entité]]),FALSE))</f>
        <v>#VALUE!</v>
      </c>
      <c r="CF95" s="164" t="e">
        <f>IF(VLOOKUP(T_BilanSocial[[#This Row],[NumL]],T_Commission[#Data],COLUMN(T_Commission[[#This Row],[envoi confirm TW]]),FALSE)="","",VLOOKUP(T_BilanSocial[[#This Row],[NumL]],T_Commission[#Data],COLUMN(T_Commission[[#This Row],[envoi confirm TW]]),FALSE))</f>
        <v>#N/A</v>
      </c>
      <c r="CG9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5" s="262" t="e">
        <f>T_BilanSocial[[#This Row],[Nom]]&amp;T_BilanSocial[[#This Row],[Prenom]]</f>
        <v>#N/A</v>
      </c>
      <c r="CI95" s="262" t="e">
        <f>VLOOKUP(T_BilanSocial[[#This Row],[NumL]],T_Commission[#Data],COLUMN(T_Commission[Commentaire]),FALSE)</f>
        <v>#N/A</v>
      </c>
      <c r="CJ95" s="262" t="e">
        <f>IF(VLOOKUP(T_BilanSocial[[#This Row],[NumL]],T_Commission[#Data],COLUMN(T_Commission[Encadrant Email]),FALSE)="","",VLOOKUP(T_BilanSocial[[#This Row],[NumL]],T_Commission[#Data],COLUMN(T_Commission[Encadrant Email]),FALSE))</f>
        <v>#N/A</v>
      </c>
      <c r="CK95" s="340" t="e">
        <f>IF(T_BilanSocial[[#This Row],[Final]]&lt;&gt;"",VLOOKUP(T_BilanSocial[[#This Row],[NumL]],T_suiviDi[#Data],COLUMN((T_suiviDi[Statut])),FALSE),"")</f>
        <v>#N/A</v>
      </c>
    </row>
    <row r="96" spans="1:89" s="106" customFormat="1" ht="24.75" customHeight="1" x14ac:dyDescent="0.25">
      <c r="A96" s="160">
        <v>93</v>
      </c>
      <c r="B96" s="161" t="str">
        <f t="shared" si="10"/>
        <v/>
      </c>
      <c r="C96" s="162" t="s">
        <v>173</v>
      </c>
      <c r="D96" s="95" t="e">
        <f>IF(VLOOKUP(T_BilanSocial[[#This Row],[NumL]],T_TraitDi[#Data],COLUMN(T_TraitDi[[#This Row],[WebC]]),FALSE)="","",VLOOKUP(T_BilanSocial[[#This Row],[NumL]],T_TraitDi[#Data],COLUMN(T_TraitDi[[#This Row],[WebC]]),FALSE))</f>
        <v>#VALUE!</v>
      </c>
      <c r="E96" s="163" t="str">
        <f t="shared" si="11"/>
        <v>12 janvier 2021</v>
      </c>
      <c r="F96" s="96" t="str">
        <f>IF(T_BilanSocial[[#This Row],[Final]]&lt;&gt;"",VLOOKUP(T_BilanSocial[[#This Row],[NumL]],T_suiviDi[#Data],COLUMN((T_suiviDi[Civ.])),FALSE),"")</f>
        <v/>
      </c>
      <c r="G96" s="96" t="str">
        <f>IF(T_BilanSocial[[#This Row],[Final]]&lt;&gt;"",VLOOKUP(T_BilanSocial[[#This Row],[NumL]],T_suiviDi[#Data],COLUMN((T_suiviDi[Nom])),FALSE),"")</f>
        <v/>
      </c>
      <c r="H96" s="96" t="str">
        <f>IF(T_BilanSocial[[#This Row],[Final]]&lt;&gt;"",VLOOKUP(T_BilanSocial[[#This Row],[NumL]],T_suiviDi[#Data],COLUMN((T_suiviDi[Prénom])),FALSE),"")</f>
        <v/>
      </c>
      <c r="I96" s="96" t="str">
        <f>IFERROR(VLOOKUP(T_BilanSocial[[#This Row],[Zone_Bilan]],T_P_BilanSocial[#Data],COLUMN(T_P_BilanSocial[[#This Row],[Numero_SIHAM]]),FALSE),"")</f>
        <v/>
      </c>
      <c r="J96" s="96" t="str">
        <f>IFERROR(VLOOKUP(T_BilanSocial[[#This Row],[Zone_Bilan]],T_P_BilanSocial[#Data],COLUMN(T_P_BilanSocial[[#This Row],[Sexe]]),FALSE),"")</f>
        <v/>
      </c>
      <c r="K96" s="97" t="str">
        <f>IFERROR(VLOOKUP(T_BilanSocial[[#This Row],[Zone_Bilan]],T_P_BilanSocial[#Data],COLUMN(T_P_BilanSocial[[#This Row],[Categorie]]),FALSE),"")</f>
        <v/>
      </c>
      <c r="L96" s="96" t="str">
        <f>IFERROR(VLOOKUP(T_BilanSocial[[#This Row],[Zone_Bilan]],T_P_BilanSocial[#Data],COLUMN(T_P_BilanSocial[[#This Row],[Statut]]),FALSE),"")</f>
        <v/>
      </c>
      <c r="M96" s="96" t="str">
        <f>IFERROR(VLOOKUP(T_BilanSocial[[#This Row],[Zone_Bilan]],T_P_BilanSocial[#Data],COLUMN(T_P_BilanSocial[[#This Row],[Filiere]]),FALSE),"")</f>
        <v/>
      </c>
      <c r="N96" s="96" t="e">
        <f>VLOOKUP(T_BilanSocial[[#This Row],[NumL]],T_TraitDi[#Data],COLUMN(T_TraitDi[EXP]),FALSE)</f>
        <v>#N/A</v>
      </c>
      <c r="O96" s="96" t="e">
        <f>VLOOKUP(T_BilanSocial[[#This Row],[NumL]],T_TraitDi[#Data],COLUMN(T_TraitDi[FORM]),FALSE)</f>
        <v>#N/A</v>
      </c>
      <c r="P96" s="96" t="str">
        <f>IF(T_BilanSocial[[#This Row],[Final]]&lt;&gt;"",VLOOKUP(T_BilanSocial[[#This Row],[NumL]],T_suiviDi[#Data],COLUMN((T_suiviDi[Email])),FALSE),"")</f>
        <v/>
      </c>
      <c r="Q96" s="164" t="e">
        <f t="shared" si="17"/>
        <v>#N/A</v>
      </c>
      <c r="R96" s="164" t="e">
        <f t="shared" si="18"/>
        <v>#N/A</v>
      </c>
      <c r="S96" s="164" t="e">
        <f>IF(VLOOKUP(T_BilanSocial[[#This Row],[NumL]],T_suiviDi[#Data],COLUMN(T_suiviDi[[#This Row],[Service ]]),FALSE)="","",VLOOKUP(T_BilanSocial[[#This Row],[NumL]],T_suiviDi[#Data],COLUMN(T_suiviDi[[#This Row],[Service ]]),FALSE))</f>
        <v>#VALUE!</v>
      </c>
      <c r="T96" s="164" t="str">
        <f t="shared" si="12"/>
        <v>01 septembre 2021</v>
      </c>
      <c r="U96" s="164" t="str">
        <f t="shared" si="13"/>
        <v>30 novembre 2021</v>
      </c>
      <c r="V96" s="164" t="str">
        <f t="shared" si="20"/>
        <v>30 novembre 2021</v>
      </c>
      <c r="W96" s="176" t="e">
        <f>IF(VLOOKUP(T_BilanSocial[[#This Row],[NumL]],T_TraitDi[#Data],COLUMN(T_TraitDi[[#This Row],[M1]]),FALSE)="","",VLOOKUP(T_BilanSocial[[#This Row],[NumL]],T_TraitDi[#Data],COLUMN(T_TraitDi[[#This Row],[M1]]),FALSE))</f>
        <v>#VALUE!</v>
      </c>
      <c r="X96" s="176" t="e">
        <f>IF(VLOOKUP(T_BilanSocial[[#This Row],[NumL]],T_TraitDi[#Data],COLUMN(T_TraitDi[[#This Row],[M2]]),FALSE)="","",VLOOKUP(T_BilanSocial[[#This Row],[NumL]],T_TraitDi[#Data],COLUMN(T_TraitDi[[#This Row],[M2]]),FALSE))</f>
        <v>#VALUE!</v>
      </c>
      <c r="Y96" s="176" t="e">
        <f>IF(VLOOKUP(T_BilanSocial[[#This Row],[NumL]],T_TraitDi[#Data],COLUMN(T_TraitDi[[#This Row],[M3]]),FALSE)="","",VLOOKUP(T_BilanSocial[[#This Row],[NumL]],T_TraitDi[#Data],COLUMN(T_TraitDi[[#This Row],[M3]]),FALSE))</f>
        <v>#VALUE!</v>
      </c>
      <c r="Z96" s="176" t="str">
        <f t="shared" si="16"/>
        <v/>
      </c>
      <c r="AA96" s="176" t="e">
        <f>IF(VLOOKUP(T_BilanSocial[[#This Row],[NumL]],T_TraitDi[#Data],COLUMN(T_TraitDi[[#This Row],[M5]]),FALSE)="","",VLOOKUP(T_BilanSocial[[#This Row],[NumL]],T_TraitDi[#Data],COLUMN(T_TraitDi[[#This Row],[M5]]),FALSE))</f>
        <v>#VALUE!</v>
      </c>
      <c r="AB96" s="176" t="e">
        <f>IF(VLOOKUP(T_BilanSocial[[#This Row],[NumL]],T_TraitDi[#Data],COLUMN(T_TraitDi[[#This Row],[M6]]),FALSE)="","",VLOOKUP(T_BilanSocial[[#This Row],[NumL]],T_TraitDi[#Data],COLUMN(T_TraitDi[[#This Row],[M6]]),FALSE))</f>
        <v>#VALUE!</v>
      </c>
      <c r="AC96" s="165" t="e">
        <f t="shared" si="15"/>
        <v>#VALUE!</v>
      </c>
      <c r="AD96" s="188" t="str">
        <f>IFERROR(TEXT(VLOOKUP(T_BilanSocial[[#This Row],[NumL]],T_TraitDi[#Data],COLUMN(T_TraitDi[[#This Row],[Q2]]),FALSE),"###%"),"")</f>
        <v/>
      </c>
      <c r="AE96" s="97" t="e">
        <f>VLOOKUP(T_BilanSocial[[#This Row],[NumL]],T_TraitDi[#Data],COLUMN(T_TraitDi[[#This Row],[Reg Ponct]]),FALSE)</f>
        <v>#VALUE!</v>
      </c>
      <c r="AF96" s="97" t="e">
        <f>VLOOKUP(T_BilanSocial[NumL],T_TraitDi[#Data],COLUMN(T_TraitDi[[#This Row],[Jours flottants]]),FALSE)</f>
        <v>#VALUE!</v>
      </c>
      <c r="AG96" s="97" t="str">
        <f>IFERROR(VLOOKUP(T_BilanSocial[[#This Row],[NumL]],T_TraitDi[#Data],COLUMN(T_TraitDi[[#This Row],[Lundi]]),FALSE),"")</f>
        <v/>
      </c>
      <c r="AH96" s="172" t="e">
        <f>IF(VLOOKUP(T_BilanSocial[[#This Row],[NumL]],T_TraitDi[#Data],COLUMN(T_TraitDi[[#This Row],[Colonne3]]),FALSE)=0,"",TEXT(IFERROR(VLOOKUP(T_BilanSocial[[#This Row],[NumL]],T_TraitDi[#Data],COLUMN(T_TraitDi[[#This Row],[Colonne3]]),FALSE),""),"[hh]:mm"))</f>
        <v>#VALUE!</v>
      </c>
      <c r="AI96" s="172" t="e">
        <f>IF(VLOOKUP(T_BilanSocial[[#This Row],[NumL]],T_TraitDi[#Data],COLUMN(T_TraitDi[[#This Row],[Colonne4]]),FALSE)=0,"",TEXT(IFERROR(VLOOKUP(T_BilanSocial[[#This Row],[NumL]],T_TraitDi[#Data],COLUMN(T_TraitDi[[#This Row],[Colonne4]]),FALSE),""),"[hh]:mm"))</f>
        <v>#VALUE!</v>
      </c>
      <c r="AJ96" s="172" t="e">
        <f>IF(VLOOKUP(T_BilanSocial[[#This Row],[NumL]],T_TraitDi[#Data],COLUMN(T_TraitDi[[#This Row],[Colonne5]]),FALSE)=0,"",TEXT(IFERROR(VLOOKUP(T_BilanSocial[[#This Row],[NumL]],T_TraitDi[#Data],COLUMN(T_TraitDi[[#This Row],[Colonne5]]),FALSE),""),"[hh]:mm"))</f>
        <v>#VALUE!</v>
      </c>
      <c r="AK96" s="172" t="e">
        <f>IF(VLOOKUP(T_BilanSocial[[#This Row],[NumL]],T_TraitDi[#Data],COLUMN(T_TraitDi[[#This Row],[Colonne6]]),FALSE)=0,"",TEXT(IFERROR(VLOOKUP(T_BilanSocial[[#This Row],[NumL]],T_TraitDi[#Data],COLUMN(T_TraitDi[[#This Row],[Colonne6]]),FALSE),""),"[hh]:mm"))</f>
        <v>#VALUE!</v>
      </c>
      <c r="AL96" s="172" t="e">
        <f>IF(VLOOKUP(T_BilanSocial[[#This Row],[NumL]],T_TraitDi[#Data],COLUMN(T_TraitDi[[#This Row],[Colonne7]]),FALSE)=0,"",TEXT(IFERROR(VLOOKUP(T_BilanSocial[[#This Row],[NumL]],T_TraitDi[#Data],COLUMN(T_TraitDi[[#This Row],[Colonne7]]),FALSE),""),"[hh]:mm"))</f>
        <v>#VALUE!</v>
      </c>
      <c r="AM96" s="172" t="e">
        <f>IF(VLOOKUP(T_BilanSocial[[#This Row],[NumL]],T_TraitDi[#Data],COLUMN(T_TraitDi[[#This Row],[Colonne8]]),FALSE)=0,"",TEXT(IFERROR(VLOOKUP(T_BilanSocial[[#This Row],[NumL]],T_TraitDi[#Data],COLUMN(T_TraitDi[[#This Row],[Colonne8]]),FALSE),""),"[hh]:mm"))</f>
        <v>#VALUE!</v>
      </c>
      <c r="AN96" s="172" t="str">
        <f>IFERROR(VLOOKUP(T_BilanSocial[[#This Row],[NumL]],T_TraitDi[#Data],COLUMN(T_TraitDi[[#This Row],[Mardi]]),FALSE),"")</f>
        <v/>
      </c>
      <c r="AO96" s="172" t="e">
        <f>IF(VLOOKUP(T_BilanSocial[[#This Row],[NumL]],T_TraitDi[#Data],COLUMN(T_TraitDi[[#This Row],[Colonne1]]),FALSE)=0,"",TEXT(IFERROR(VLOOKUP(T_BilanSocial[[#This Row],[NumL]],T_TraitDi[#Data],COLUMN(T_TraitDi[[#This Row],[Colonne1]]),FALSE),""),"[hh]:mm"))</f>
        <v>#VALUE!</v>
      </c>
      <c r="AP96" s="172" t="e">
        <f>IF(VLOOKUP(T_BilanSocial[[#This Row],[NumL]],T_TraitDi[#Data],COLUMN(T_TraitDi[[#This Row],[Colonne9]]),FALSE)=0,"",TEXT(IFERROR(VLOOKUP(T_BilanSocial[[#This Row],[NumL]],T_TraitDi[#Data],COLUMN(T_TraitDi[[#This Row],[Colonne9]]),FALSE),""),"[hh]:mm"))</f>
        <v>#VALUE!</v>
      </c>
      <c r="AQ96" s="172" t="str">
        <f>IFERROR(VLOOKUP(T_BilanSocial[[#This Row],[NumL]],T_TraitDi[#Data],COLUMN(T_TraitDi[[#This Row],[Colonne10]]),FALSE),"")</f>
        <v/>
      </c>
      <c r="AR96" s="172" t="e">
        <f>IF(VLOOKUP(T_BilanSocial[[#This Row],[NumL]],T_TraitDi[#Data],COLUMN(T_TraitDi[[#This Row],[Colonne11]]),FALSE)=0,"",TEXT(IFERROR(VLOOKUP(T_BilanSocial[[#This Row],[NumL]],T_TraitDi[#Data],COLUMN(T_TraitDi[[#This Row],[Colonne11]]),FALSE),""),"[hh]:mm"))</f>
        <v>#VALUE!</v>
      </c>
      <c r="AS96" s="172" t="e">
        <f>IF(VLOOKUP(T_BilanSocial[[#This Row],[NumL]],T_TraitDi[#Data],COLUMN(T_TraitDi[[#This Row],[Colonne12]]),FALSE)=0,"",TEXT(IFERROR(VLOOKUP(T_BilanSocial[[#This Row],[NumL]],T_TraitDi[#Data],COLUMN(T_TraitDi[[#This Row],[Colonne12]]),FALSE),""),"[hh]:mm"))</f>
        <v>#VALUE!</v>
      </c>
      <c r="AT96" s="172" t="e">
        <f>IF(VLOOKUP(T_BilanSocial[[#This Row],[NumL]],T_TraitDi[#Data],COLUMN(T_TraitDi[[#This Row],[Colonne14]]),FALSE)=0,"",TEXT(IFERROR(VLOOKUP(T_BilanSocial[[#This Row],[NumL]],T_TraitDi[#Data],COLUMN(T_TraitDi[[#This Row],[Colonne14]]),FALSE),""),"[hh]:mm"))</f>
        <v>#VALUE!</v>
      </c>
      <c r="AU96" s="172" t="str">
        <f>IFERROR(VLOOKUP(T_BilanSocial[[#This Row],[NumL]],T_TraitDi[#Data],COLUMN(T_TraitDi[[#This Row],[Mercredi]]),FALSE),"")</f>
        <v/>
      </c>
      <c r="AV96" s="172" t="e">
        <f>IF(VLOOKUP(T_BilanSocial[[#This Row],[NumL]],T_TraitDi[#Data],COLUMN(T_TraitDi[[#This Row],[Colonne15]]),FALSE)=0,"",TEXT(IFERROR(VLOOKUP(T_BilanSocial[[#This Row],[NumL]],T_TraitDi[#Data],COLUMN(T_TraitDi[[#This Row],[Colonne15]]),FALSE),""),"[hh]:mm"))</f>
        <v>#VALUE!</v>
      </c>
      <c r="AW96" s="172" t="e">
        <f>IF(VLOOKUP(T_BilanSocial[[#This Row],[NumL]],T_TraitDi[#Data],COLUMN(T_TraitDi[[#This Row],[Colonne16]]),FALSE)=0,"",TEXT(IFERROR(VLOOKUP(T_BilanSocial[[#This Row],[NumL]],T_TraitDi[#Data],COLUMN(T_TraitDi[[#This Row],[Colonne16]]),FALSE),""),"[hh]:mm"))</f>
        <v>#VALUE!</v>
      </c>
      <c r="AX96" s="172" t="str">
        <f>IFERROR(VLOOKUP(T_BilanSocial[[#This Row],[NumL]],T_TraitDi[#Data],COLUMN(T_TraitDi[[#This Row],[Colonne17]]),FALSE),"")</f>
        <v/>
      </c>
      <c r="AY96" s="172" t="e">
        <f>IF(VLOOKUP(T_BilanSocial[[#This Row],[NumL]],T_TraitDi[#Data],COLUMN(T_TraitDi[[#This Row],[Colonne18]]),FALSE)=0,"",TEXT(IFERROR(VLOOKUP(T_BilanSocial[[#This Row],[NumL]],T_TraitDi[#Data],COLUMN(T_TraitDi[[#This Row],[Colonne18]]),FALSE),""),"[hh]:mm"))</f>
        <v>#VALUE!</v>
      </c>
      <c r="AZ96" s="172" t="e">
        <f>IF(VLOOKUP(T_BilanSocial[[#This Row],[NumL]],T_TraitDi[#Data],COLUMN(T_TraitDi[[#This Row],[Colonne19]]),FALSE)=0,"",TEXT(IFERROR(VLOOKUP(T_BilanSocial[[#This Row],[NumL]],T_TraitDi[#Data],COLUMN(T_TraitDi[[#This Row],[Colonne19]]),FALSE),""),"[hh]:mm"))</f>
        <v>#VALUE!</v>
      </c>
      <c r="BA96" s="172" t="e">
        <f>IF(VLOOKUP(T_BilanSocial[[#This Row],[NumL]],T_TraitDi[#Data],COLUMN(T_TraitDi[[#This Row],[Colonne20]]),FALSE)=0,"",TEXT(IFERROR(VLOOKUP(T_BilanSocial[[#This Row],[NumL]],T_TraitDi[#Data],COLUMN(T_TraitDi[[#This Row],[Colonne20]]),FALSE),""),"[hh]:mm"))</f>
        <v>#VALUE!</v>
      </c>
      <c r="BB96" s="178" t="str">
        <f>IFERROR(VLOOKUP(T_BilanSocial[[#This Row],[NumL]],T_TraitDi[#Data],COLUMN(T_TraitDi[[#This Row],[Jeudi]]),FALSE),"")</f>
        <v/>
      </c>
      <c r="BC96" s="178" t="e">
        <f>IF(VLOOKUP(T_BilanSocial[[#This Row],[NumL]],T_TraitDi[#Data],COLUMN(T_TraitDi[[#This Row],[Colonne21]]),FALSE)=0,"",TEXT(IFERROR(VLOOKUP(T_BilanSocial[[#This Row],[NumL]],T_TraitDi[#Data],COLUMN(T_TraitDi[[#This Row],[Colonne21]]),FALSE),""),"[hh]:mm"))</f>
        <v>#VALUE!</v>
      </c>
      <c r="BD96" s="178" t="e">
        <f>IF(VLOOKUP(T_BilanSocial[[#This Row],[NumL]],T_TraitDi[#Data],COLUMN(T_TraitDi[[#This Row],[Colonne22]]),FALSE)=0,"",TEXT(IFERROR(VLOOKUP(T_BilanSocial[[#This Row],[NumL]],T_TraitDi[#Data],COLUMN(T_TraitDi[[#This Row],[Colonne22]]),FALSE),""),"[hh]:mm"))</f>
        <v>#VALUE!</v>
      </c>
      <c r="BE96" s="178" t="str">
        <f>IFERROR(VLOOKUP(T_BilanSocial[[#This Row],[NumL]],T_TraitDi[#Data],COLUMN(T_TraitDi[[#This Row],[Colonne23]]),FALSE),"")</f>
        <v/>
      </c>
      <c r="BF96" s="178" t="e">
        <f>IF(VLOOKUP(T_BilanSocial[[#This Row],[NumL]],T_TraitDi[#Data],COLUMN(T_TraitDi[[#This Row],[Colonne24]]),FALSE)=0,"",TEXT(IFERROR(VLOOKUP(T_BilanSocial[[#This Row],[NumL]],T_TraitDi[#Data],COLUMN(T_TraitDi[[#This Row],[Colonne24]]),FALSE),""),"[hh]:mm"))</f>
        <v>#VALUE!</v>
      </c>
      <c r="BG96" s="178" t="e">
        <f>IF(VLOOKUP(T_BilanSocial[[#This Row],[NumL]],T_TraitDi[#Data],COLUMN(T_TraitDi[[#This Row],[Colonne25]]),FALSE)=0,"",TEXT(IFERROR(VLOOKUP(T_BilanSocial[[#This Row],[NumL]],T_TraitDi[#Data],COLUMN(T_TraitDi[[#This Row],[Colonne25]]),FALSE),""),"[hh]:mm"))</f>
        <v>#VALUE!</v>
      </c>
      <c r="BH96" s="178" t="e">
        <f>IF(VLOOKUP(T_BilanSocial[[#This Row],[NumL]],T_TraitDi[#Data],COLUMN(T_TraitDi[[#This Row],[Colonne26]]),FALSE)=0,"",TEXT(IFERROR(VLOOKUP(T_BilanSocial[[#This Row],[NumL]],T_TraitDi[#Data],COLUMN(T_TraitDi[[#This Row],[Colonne26]]),FALSE),""),"[hh]:mm"))</f>
        <v>#VALUE!</v>
      </c>
      <c r="BI96" s="172" t="str">
        <f>IFERROR(VLOOKUP(T_BilanSocial[[#This Row],[NumL]],T_TraitDi[#Data],COLUMN(T_TraitDi[[#This Row],[Vendredi]]),FALSE),"")</f>
        <v/>
      </c>
      <c r="BJ96" s="172" t="e">
        <f>IF(VLOOKUP(T_BilanSocial[[#This Row],[NumL]],T_TraitDi[#Data],COLUMN(T_TraitDi[[#This Row],[Colonne27]]),FALSE)=0,"",TEXT(IFERROR(VLOOKUP(T_BilanSocial[[#This Row],[NumL]],T_TraitDi[#Data],COLUMN(T_TraitDi[[#This Row],[Colonne27]]),FALSE),""),"[hh]:mm"))</f>
        <v>#VALUE!</v>
      </c>
      <c r="BK96" s="172" t="e">
        <f>IF(VLOOKUP(T_BilanSocial[[#This Row],[NumL]],T_TraitDi[#Data],COLUMN(T_TraitDi[[#This Row],[Colonne28]]),FALSE)=0,"",TEXT(IFERROR(VLOOKUP(T_BilanSocial[[#This Row],[NumL]],T_TraitDi[#Data],COLUMN(T_TraitDi[[#This Row],[Colonne28]]),FALSE),""),"[hh]:mm"))</f>
        <v>#VALUE!</v>
      </c>
      <c r="BL96" s="172" t="str">
        <f>IFERROR(VLOOKUP(T_BilanSocial[[#This Row],[NumL]],T_TraitDi[#Data],COLUMN(T_TraitDi[[#This Row],[Colonne29]]),FALSE),"")</f>
        <v/>
      </c>
      <c r="BM96" s="172" t="e">
        <f>IF(VLOOKUP(T_BilanSocial[[#This Row],[NumL]],T_TraitDi[#Data],COLUMN(T_TraitDi[[#This Row],[Colonne30]]),FALSE)=0,"",TEXT(IFERROR(VLOOKUP(T_BilanSocial[[#This Row],[NumL]],T_TraitDi[#Data],COLUMN(T_TraitDi[[#This Row],[Colonne30]]),FALSE),""),"[hh]:mm"))</f>
        <v>#VALUE!</v>
      </c>
      <c r="BN96" s="172" t="e">
        <f>IF(VLOOKUP(T_BilanSocial[[#This Row],[NumL]],T_TraitDi[#Data],COLUMN(T_TraitDi[[#This Row],[Colonne31]]),FALSE)=0,"",TEXT(IFERROR(VLOOKUP(T_BilanSocial[[#This Row],[NumL]],T_TraitDi[#Data],COLUMN(T_TraitDi[[#This Row],[Colonne31]]),FALSE),""),"[hh]:mm"))</f>
        <v>#VALUE!</v>
      </c>
      <c r="BO96" s="172" t="e">
        <f>IF(VLOOKUP(T_BilanSocial[[#This Row],[NumL]],T_TraitDi[#Data],COLUMN(T_TraitDi[[#This Row],[Colonne32]]),FALSE)=0,"",TEXT(IFERROR(VLOOKUP(T_BilanSocial[[#This Row],[NumL]],T_TraitDi[#Data],COLUMN(T_TraitDi[[#This Row],[Colonne32]]),FALSE),""),"[hh]:mm"))</f>
        <v>#VALUE!</v>
      </c>
      <c r="BP96" s="172" t="e">
        <f>VLOOKUP(T_BilanSocial[[#This Row],[NumL]],T_TraitDi[#Data],COLUMN(T_TraitDi[NbJTot]),FALSE)</f>
        <v>#N/A</v>
      </c>
      <c r="BQ96" s="174" t="str">
        <f>IFERROR(VLOOKUP(T_BilanSocial[[#This Row],[NumL]],T_TraitDi[#Data],COLUMN(T_TraitDi[[#This Row],[NbJTW]]),FALSE),"")</f>
        <v/>
      </c>
      <c r="BR96" s="174" t="e">
        <f>IF(VLOOKUP(T_BilanSocial[[#This Row],[NumL]],T_TraitDi[#Data],COLUMN(T_TraitDi[[#This Row],[NbhTW]]),FALSE)=0,"",TEXT(IFERROR(VLOOKUP(T_BilanSocial[[#This Row],[NumL]],T_TraitDi[#Data],COLUMN(T_TraitDi[[#This Row],[NbhTW]]),FALSE),""),"[hh]:mm"))</f>
        <v>#VALUE!</v>
      </c>
      <c r="BS96" s="174" t="e">
        <f>IF(VLOOKUP(T_BilanSocial[[#This Row],[NumL]],T_TraitDi[#Data],COLUMN(T_TraitDi[[#This Row],[Nbhheb]]),FALSE)=0,"",TEXT(IFERROR(VLOOKUP($A96,T_TraitDi[#Data],COLUMN(T_TraitDi[[#This Row],[Nbhheb]]),FALSE),""),"[hh]:mm"))</f>
        <v>#VALUE!</v>
      </c>
      <c r="BT96" s="182" t="str">
        <f>IFERROR(VLOOKUP(VLOOKUP($A96,T_TraitDi[#Data],COLUMN(T_TraitDi[[#This Row],[Type1]]),FALSE),TypeTW,2,FALSE),"")</f>
        <v/>
      </c>
      <c r="BU96" s="182" t="str">
        <f>IFERROR(VLOOKUP($A96,T_TraitDi[#Data],COLUMN(T_TraitDi[[#This Row],[Rue1]]),FALSE),"")</f>
        <v/>
      </c>
      <c r="BV96" s="173" t="str">
        <f>IFERROR(VLOOKUP($A96,T_TraitDi[#Data],COLUMN(T_TraitDi[[#This Row],[CP1]]),FALSE),"")</f>
        <v/>
      </c>
      <c r="BW96" s="173" t="str">
        <f>IFERROR(VLOOKUP($A96,T_TraitDi[#Data],COLUMN(T_TraitDi[[#This Row],[VILLE1]]),FALSE),"")</f>
        <v/>
      </c>
      <c r="BX96" s="182" t="str">
        <f>IFERROR(VLOOKUP(VLOOKUP($A96,T_TraitDi[#Data],COLUMN(T_TraitDi[[#This Row],[Type2]]),FALSE),TypeTW,2,FALSE),"")</f>
        <v/>
      </c>
      <c r="BY96" s="182" t="str">
        <f>IFERROR(VLOOKUP($A96,T_TraitDi[#Data],COLUMN(T_TraitDi[[#This Row],[Rue2]]),FALSE),"")</f>
        <v/>
      </c>
      <c r="BZ96" s="173" t="str">
        <f>IFERROR(VLOOKUP($A96,T_TraitDi[#Data],COLUMN(T_TraitDi[[#This Row],[CP2]]),FALSE),"")</f>
        <v/>
      </c>
      <c r="CA96" s="173" t="str">
        <f>IFERROR(VLOOKUP($A96,T_TraitDi[#Data],COLUMN(T_TraitDi[[#This Row],[VILLE2]]),FALSE),"")</f>
        <v/>
      </c>
      <c r="CB96" s="182" t="str">
        <f>IF(VLOOKUP(T_BilanSocial[[#This Row],[NumL]],T_Equipement[#Data],COLUMN(T_Equipement[[#This Row],[PC]]),FALSE)="","Aucun équipement spécifique directement lié au télétravail",VLOOKUP(T_BilanSocial[[#This Row],[NumL]],T_Equipement[#Data],COLUMN(T_Equipement[[#This Row],[PC]]),FALSE))</f>
        <v xml:space="preserve">20-501	</v>
      </c>
      <c r="CC96" s="166" t="str">
        <f>IFERROR(IF(VLOOKUP(T_BilanSocial[[#This Row],[NumL]],T_TraitDi[#Data],COLUMN(T_TraitDi[[#This Row],[Plan]]),FALSE)="OK","Un planning spécifique de télétravail est annexé à la présente convention.",""),"")</f>
        <v/>
      </c>
      <c r="CD96" s="258" t="s">
        <v>3417</v>
      </c>
      <c r="CE96" s="164" t="e">
        <f>IF(VLOOKUP(T_BilanSocial[[#This Row],[NumL]],T_suiviDi[#Data],COLUMN(T_suiviDi[[#This Row],[Entité]]),FALSE)="","",VLOOKUP(T_BilanSocial[[#This Row],[NumL]],T_suiviDi[#Data],COLUMN(T_suiviDi[[#This Row],[Entité]]),FALSE))</f>
        <v>#VALUE!</v>
      </c>
      <c r="CF96" s="164" t="str">
        <f>IF(VLOOKUP(T_BilanSocial[[#This Row],[NumL]],T_Commission[#Data],COLUMN(T_Commission[[#This Row],[envoi confirm TW]]),FALSE)="","",VLOOKUP(T_BilanSocial[[#This Row],[NumL]],T_Commission[#Data],COLUMN(T_Commission[[#This Row],[envoi confirm TW]]),FALSE))</f>
        <v>Oui</v>
      </c>
      <c r="CG9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6" s="262" t="str">
        <f>T_BilanSocial[[#This Row],[Nom]]&amp;T_BilanSocial[[#This Row],[Prenom]]</f>
        <v/>
      </c>
      <c r="CI96" s="262">
        <f>VLOOKUP(T_BilanSocial[[#This Row],[NumL]],T_Commission[#Data],COLUMN(T_Commission[Commentaire]),FALSE)</f>
        <v>0</v>
      </c>
      <c r="CJ96" s="262" t="str">
        <f>IF(VLOOKUP(T_BilanSocial[[#This Row],[NumL]],T_Commission[#Data],COLUMN(T_Commission[Encadrant Email]),FALSE)="","",VLOOKUP(T_BilanSocial[[#This Row],[NumL]],T_Commission[#Data],COLUMN(T_Commission[Encadrant Email]),FALSE))</f>
        <v/>
      </c>
      <c r="CK96" s="340" t="str">
        <f>IF(T_BilanSocial[[#This Row],[Final]]&lt;&gt;"",VLOOKUP(T_BilanSocial[[#This Row],[NumL]],T_suiviDi[#Data],COLUMN((T_suiviDi[Statut])),FALSE),"")</f>
        <v/>
      </c>
    </row>
    <row r="97" spans="1:89" s="106" customFormat="1" ht="24.75" customHeight="1" x14ac:dyDescent="0.25">
      <c r="A97" s="160">
        <v>94</v>
      </c>
      <c r="B97" s="161" t="str">
        <f t="shared" si="10"/>
        <v/>
      </c>
      <c r="C97" s="162" t="s">
        <v>173</v>
      </c>
      <c r="D97" s="95" t="e">
        <f>IF(VLOOKUP(T_BilanSocial[[#This Row],[NumL]],T_TraitDi[#Data],COLUMN(T_TraitDi[[#This Row],[WebC]]),FALSE)="","",VLOOKUP(T_BilanSocial[[#This Row],[NumL]],T_TraitDi[#Data],COLUMN(T_TraitDi[[#This Row],[WebC]]),FALSE))</f>
        <v>#VALUE!</v>
      </c>
      <c r="E97" s="163" t="str">
        <f t="shared" si="11"/>
        <v>12 janvier 2021</v>
      </c>
      <c r="F97" s="96" t="str">
        <f>IF(T_BilanSocial[[#This Row],[Final]]&lt;&gt;"",VLOOKUP(T_BilanSocial[[#This Row],[NumL]],T_suiviDi[#Data],COLUMN((T_suiviDi[Civ.])),FALSE),"")</f>
        <v/>
      </c>
      <c r="G97" s="96" t="str">
        <f>IF(T_BilanSocial[[#This Row],[Final]]&lt;&gt;"",VLOOKUP(T_BilanSocial[[#This Row],[NumL]],T_suiviDi[#Data],COLUMN((T_suiviDi[Nom])),FALSE),"")</f>
        <v/>
      </c>
      <c r="H97" s="96" t="str">
        <f>IF(T_BilanSocial[[#This Row],[Final]]&lt;&gt;"",VLOOKUP(T_BilanSocial[[#This Row],[NumL]],T_suiviDi[#Data],COLUMN((T_suiviDi[Prénom])),FALSE),"")</f>
        <v/>
      </c>
      <c r="I97" s="96" t="str">
        <f>IFERROR(VLOOKUP(T_BilanSocial[[#This Row],[Zone_Bilan]],T_P_BilanSocial[#Data],COLUMN(T_P_BilanSocial[[#This Row],[Numero_SIHAM]]),FALSE),"")</f>
        <v/>
      </c>
      <c r="J97" s="96" t="str">
        <f>IFERROR(VLOOKUP(T_BilanSocial[[#This Row],[Zone_Bilan]],T_P_BilanSocial[#Data],COLUMN(T_P_BilanSocial[[#This Row],[Sexe]]),FALSE),"")</f>
        <v/>
      </c>
      <c r="K97" s="97" t="str">
        <f>IFERROR(VLOOKUP(T_BilanSocial[[#This Row],[Zone_Bilan]],T_P_BilanSocial[#Data],COLUMN(T_P_BilanSocial[[#This Row],[Categorie]]),FALSE),"")</f>
        <v/>
      </c>
      <c r="L97" s="96" t="str">
        <f>IFERROR(VLOOKUP(T_BilanSocial[[#This Row],[Zone_Bilan]],T_P_BilanSocial[#Data],COLUMN(T_P_BilanSocial[[#This Row],[Statut]]),FALSE),"")</f>
        <v/>
      </c>
      <c r="M97" s="96" t="str">
        <f>IFERROR(VLOOKUP(T_BilanSocial[[#This Row],[Zone_Bilan]],T_P_BilanSocial[#Data],COLUMN(T_P_BilanSocial[[#This Row],[Filiere]]),FALSE),"")</f>
        <v/>
      </c>
      <c r="N97" s="96" t="e">
        <f>VLOOKUP(T_BilanSocial[[#This Row],[NumL]],T_TraitDi[#Data],COLUMN(T_TraitDi[EXP]),FALSE)</f>
        <v>#N/A</v>
      </c>
      <c r="O97" s="96" t="e">
        <f>VLOOKUP(T_BilanSocial[[#This Row],[NumL]],T_TraitDi[#Data],COLUMN(T_TraitDi[FORM]),FALSE)</f>
        <v>#N/A</v>
      </c>
      <c r="P97" s="96" t="str">
        <f>IF(T_BilanSocial[[#This Row],[Final]]&lt;&gt;"",VLOOKUP(T_BilanSocial[[#This Row],[NumL]],T_suiviDi[#Data],COLUMN((T_suiviDi[Email])),FALSE),"")</f>
        <v/>
      </c>
      <c r="Q97" s="164" t="e">
        <f t="shared" si="17"/>
        <v>#N/A</v>
      </c>
      <c r="R97" s="164" t="e">
        <f t="shared" si="18"/>
        <v>#N/A</v>
      </c>
      <c r="S97" s="164" t="e">
        <f>IF(VLOOKUP(T_BilanSocial[[#This Row],[NumL]],T_suiviDi[#Data],COLUMN(T_suiviDi[[#This Row],[Service ]]),FALSE)="","",VLOOKUP(T_BilanSocial[[#This Row],[NumL]],T_suiviDi[#Data],COLUMN(T_suiviDi[[#This Row],[Service ]]),FALSE))</f>
        <v>#VALUE!</v>
      </c>
      <c r="T97" s="164" t="str">
        <f t="shared" si="12"/>
        <v>01 septembre 2021</v>
      </c>
      <c r="U97" s="164" t="str">
        <f t="shared" si="13"/>
        <v>30 novembre 2021</v>
      </c>
      <c r="V97" s="164" t="str">
        <f t="shared" si="20"/>
        <v>30 novembre 2021</v>
      </c>
      <c r="W97" s="176" t="e">
        <f>IF(VLOOKUP(T_BilanSocial[[#This Row],[NumL]],T_TraitDi[#Data],COLUMN(T_TraitDi[[#This Row],[M1]]),FALSE)="","",VLOOKUP(T_BilanSocial[[#This Row],[NumL]],T_TraitDi[#Data],COLUMN(T_TraitDi[[#This Row],[M1]]),FALSE))</f>
        <v>#VALUE!</v>
      </c>
      <c r="X97" s="176" t="e">
        <f>IF(VLOOKUP(T_BilanSocial[[#This Row],[NumL]],T_TraitDi[#Data],COLUMN(T_TraitDi[[#This Row],[M2]]),FALSE)="","",VLOOKUP(T_BilanSocial[[#This Row],[NumL]],T_TraitDi[#Data],COLUMN(T_TraitDi[[#This Row],[M2]]),FALSE))</f>
        <v>#VALUE!</v>
      </c>
      <c r="Y97" s="176" t="e">
        <f>IF(VLOOKUP(T_BilanSocial[[#This Row],[NumL]],T_TraitDi[#Data],COLUMN(T_TraitDi[[#This Row],[M3]]),FALSE)="","",VLOOKUP(T_BilanSocial[[#This Row],[NumL]],T_TraitDi[#Data],COLUMN(T_TraitDi[[#This Row],[M3]]),FALSE))</f>
        <v>#VALUE!</v>
      </c>
      <c r="Z97" s="176" t="str">
        <f t="shared" si="16"/>
        <v/>
      </c>
      <c r="AA97" s="176" t="e">
        <f>IF(VLOOKUP(T_BilanSocial[[#This Row],[NumL]],T_TraitDi[#Data],COLUMN(T_TraitDi[[#This Row],[M5]]),FALSE)="","",VLOOKUP(T_BilanSocial[[#This Row],[NumL]],T_TraitDi[#Data],COLUMN(T_TraitDi[[#This Row],[M5]]),FALSE))</f>
        <v>#VALUE!</v>
      </c>
      <c r="AB97" s="176" t="e">
        <f>IF(VLOOKUP(T_BilanSocial[[#This Row],[NumL]],T_TraitDi[#Data],COLUMN(T_TraitDi[[#This Row],[M6]]),FALSE)="","",VLOOKUP(T_BilanSocial[[#This Row],[NumL]],T_TraitDi[#Data],COLUMN(T_TraitDi[[#This Row],[M6]]),FALSE))</f>
        <v>#VALUE!</v>
      </c>
      <c r="AC97" s="165" t="e">
        <f t="shared" si="15"/>
        <v>#VALUE!</v>
      </c>
      <c r="AD97" s="188" t="str">
        <f>IFERROR(TEXT(VLOOKUP(T_BilanSocial[[#This Row],[NumL]],T_TraitDi[#Data],COLUMN(T_TraitDi[[#This Row],[Q2]]),FALSE),"###%"),"")</f>
        <v/>
      </c>
      <c r="AE97" s="97" t="e">
        <f>VLOOKUP(T_BilanSocial[[#This Row],[NumL]],T_TraitDi[#Data],COLUMN(T_TraitDi[[#This Row],[Reg Ponct]]),FALSE)</f>
        <v>#VALUE!</v>
      </c>
      <c r="AF97" s="97" t="e">
        <f>VLOOKUP(T_BilanSocial[NumL],T_TraitDi[#Data],COLUMN(T_TraitDi[[#This Row],[Jours flottants]]),FALSE)</f>
        <v>#VALUE!</v>
      </c>
      <c r="AG97" s="97" t="str">
        <f>IFERROR(VLOOKUP(T_BilanSocial[[#This Row],[NumL]],T_TraitDi[#Data],COLUMN(T_TraitDi[[#This Row],[Lundi]]),FALSE),"")</f>
        <v/>
      </c>
      <c r="AH97" s="172" t="e">
        <f>IF(VLOOKUP(T_BilanSocial[[#This Row],[NumL]],T_TraitDi[#Data],COLUMN(T_TraitDi[[#This Row],[Colonne3]]),FALSE)=0,"",TEXT(IFERROR(VLOOKUP(T_BilanSocial[[#This Row],[NumL]],T_TraitDi[#Data],COLUMN(T_TraitDi[[#This Row],[Colonne3]]),FALSE),""),"[hh]:mm"))</f>
        <v>#VALUE!</v>
      </c>
      <c r="AI97" s="172" t="e">
        <f>IF(VLOOKUP(T_BilanSocial[[#This Row],[NumL]],T_TraitDi[#Data],COLUMN(T_TraitDi[[#This Row],[Colonne4]]),FALSE)=0,"",TEXT(IFERROR(VLOOKUP(T_BilanSocial[[#This Row],[NumL]],T_TraitDi[#Data],COLUMN(T_TraitDi[[#This Row],[Colonne4]]),FALSE),""),"[hh]:mm"))</f>
        <v>#VALUE!</v>
      </c>
      <c r="AJ97" s="172" t="e">
        <f>IF(VLOOKUP(T_BilanSocial[[#This Row],[NumL]],T_TraitDi[#Data],COLUMN(T_TraitDi[[#This Row],[Colonne5]]),FALSE)=0,"",TEXT(IFERROR(VLOOKUP(T_BilanSocial[[#This Row],[NumL]],T_TraitDi[#Data],COLUMN(T_TraitDi[[#This Row],[Colonne5]]),FALSE),""),"[hh]:mm"))</f>
        <v>#VALUE!</v>
      </c>
      <c r="AK97" s="172" t="e">
        <f>IF(VLOOKUP(T_BilanSocial[[#This Row],[NumL]],T_TraitDi[#Data],COLUMN(T_TraitDi[[#This Row],[Colonne6]]),FALSE)=0,"",TEXT(IFERROR(VLOOKUP(T_BilanSocial[[#This Row],[NumL]],T_TraitDi[#Data],COLUMN(T_TraitDi[[#This Row],[Colonne6]]),FALSE),""),"[hh]:mm"))</f>
        <v>#VALUE!</v>
      </c>
      <c r="AL97" s="172" t="e">
        <f>IF(VLOOKUP(T_BilanSocial[[#This Row],[NumL]],T_TraitDi[#Data],COLUMN(T_TraitDi[[#This Row],[Colonne7]]),FALSE)=0,"",TEXT(IFERROR(VLOOKUP(T_BilanSocial[[#This Row],[NumL]],T_TraitDi[#Data],COLUMN(T_TraitDi[[#This Row],[Colonne7]]),FALSE),""),"[hh]:mm"))</f>
        <v>#VALUE!</v>
      </c>
      <c r="AM97" s="172" t="e">
        <f>IF(VLOOKUP(T_BilanSocial[[#This Row],[NumL]],T_TraitDi[#Data],COLUMN(T_TraitDi[[#This Row],[Colonne8]]),FALSE)=0,"",TEXT(IFERROR(VLOOKUP(T_BilanSocial[[#This Row],[NumL]],T_TraitDi[#Data],COLUMN(T_TraitDi[[#This Row],[Colonne8]]),FALSE),""),"[hh]:mm"))</f>
        <v>#VALUE!</v>
      </c>
      <c r="AN97" s="172" t="str">
        <f>IFERROR(VLOOKUP(T_BilanSocial[[#This Row],[NumL]],T_TraitDi[#Data],COLUMN(T_TraitDi[[#This Row],[Mardi]]),FALSE),"")</f>
        <v/>
      </c>
      <c r="AO97" s="172" t="e">
        <f>IF(VLOOKUP(T_BilanSocial[[#This Row],[NumL]],T_TraitDi[#Data],COLUMN(T_TraitDi[[#This Row],[Colonne1]]),FALSE)=0,"",TEXT(IFERROR(VLOOKUP(T_BilanSocial[[#This Row],[NumL]],T_TraitDi[#Data],COLUMN(T_TraitDi[[#This Row],[Colonne1]]),FALSE),""),"[hh]:mm"))</f>
        <v>#VALUE!</v>
      </c>
      <c r="AP97" s="172" t="e">
        <f>IF(VLOOKUP(T_BilanSocial[[#This Row],[NumL]],T_TraitDi[#Data],COLUMN(T_TraitDi[[#This Row],[Colonne9]]),FALSE)=0,"",TEXT(IFERROR(VLOOKUP(T_BilanSocial[[#This Row],[NumL]],T_TraitDi[#Data],COLUMN(T_TraitDi[[#This Row],[Colonne9]]),FALSE),""),"[hh]:mm"))</f>
        <v>#VALUE!</v>
      </c>
      <c r="AQ97" s="172" t="str">
        <f>IFERROR(VLOOKUP(T_BilanSocial[[#This Row],[NumL]],T_TraitDi[#Data],COLUMN(T_TraitDi[[#This Row],[Colonne10]]),FALSE),"")</f>
        <v/>
      </c>
      <c r="AR97" s="172" t="e">
        <f>IF(VLOOKUP(T_BilanSocial[[#This Row],[NumL]],T_TraitDi[#Data],COLUMN(T_TraitDi[[#This Row],[Colonne11]]),FALSE)=0,"",TEXT(IFERROR(VLOOKUP(T_BilanSocial[[#This Row],[NumL]],T_TraitDi[#Data],COLUMN(T_TraitDi[[#This Row],[Colonne11]]),FALSE),""),"[hh]:mm"))</f>
        <v>#VALUE!</v>
      </c>
      <c r="AS97" s="172" t="e">
        <f>IF(VLOOKUP(T_BilanSocial[[#This Row],[NumL]],T_TraitDi[#Data],COLUMN(T_TraitDi[[#This Row],[Colonne12]]),FALSE)=0,"",TEXT(IFERROR(VLOOKUP(T_BilanSocial[[#This Row],[NumL]],T_TraitDi[#Data],COLUMN(T_TraitDi[[#This Row],[Colonne12]]),FALSE),""),"[hh]:mm"))</f>
        <v>#VALUE!</v>
      </c>
      <c r="AT97" s="172" t="e">
        <f>IF(VLOOKUP(T_BilanSocial[[#This Row],[NumL]],T_TraitDi[#Data],COLUMN(T_TraitDi[[#This Row],[Colonne14]]),FALSE)=0,"",TEXT(IFERROR(VLOOKUP(T_BilanSocial[[#This Row],[NumL]],T_TraitDi[#Data],COLUMN(T_TraitDi[[#This Row],[Colonne14]]),FALSE),""),"[hh]:mm"))</f>
        <v>#VALUE!</v>
      </c>
      <c r="AU97" s="172" t="str">
        <f>IFERROR(VLOOKUP(T_BilanSocial[[#This Row],[NumL]],T_TraitDi[#Data],COLUMN(T_TraitDi[[#This Row],[Mercredi]]),FALSE),"")</f>
        <v/>
      </c>
      <c r="AV97" s="172" t="e">
        <f>IF(VLOOKUP(T_BilanSocial[[#This Row],[NumL]],T_TraitDi[#Data],COLUMN(T_TraitDi[[#This Row],[Colonne15]]),FALSE)=0,"",TEXT(IFERROR(VLOOKUP(T_BilanSocial[[#This Row],[NumL]],T_TraitDi[#Data],COLUMN(T_TraitDi[[#This Row],[Colonne15]]),FALSE),""),"[hh]:mm"))</f>
        <v>#VALUE!</v>
      </c>
      <c r="AW97" s="172" t="e">
        <f>IF(VLOOKUP(T_BilanSocial[[#This Row],[NumL]],T_TraitDi[#Data],COLUMN(T_TraitDi[[#This Row],[Colonne16]]),FALSE)=0,"",TEXT(IFERROR(VLOOKUP(T_BilanSocial[[#This Row],[NumL]],T_TraitDi[#Data],COLUMN(T_TraitDi[[#This Row],[Colonne16]]),FALSE),""),"[hh]:mm"))</f>
        <v>#VALUE!</v>
      </c>
      <c r="AX97" s="172" t="str">
        <f>IFERROR(VLOOKUP(T_BilanSocial[[#This Row],[NumL]],T_TraitDi[#Data],COLUMN(T_TraitDi[[#This Row],[Colonne17]]),FALSE),"")</f>
        <v/>
      </c>
      <c r="AY97" s="172" t="e">
        <f>IF(VLOOKUP(T_BilanSocial[[#This Row],[NumL]],T_TraitDi[#Data],COLUMN(T_TraitDi[[#This Row],[Colonne18]]),FALSE)=0,"",TEXT(IFERROR(VLOOKUP(T_BilanSocial[[#This Row],[NumL]],T_TraitDi[#Data],COLUMN(T_TraitDi[[#This Row],[Colonne18]]),FALSE),""),"[hh]:mm"))</f>
        <v>#VALUE!</v>
      </c>
      <c r="AZ97" s="172" t="e">
        <f>IF(VLOOKUP(T_BilanSocial[[#This Row],[NumL]],T_TraitDi[#Data],COLUMN(T_TraitDi[[#This Row],[Colonne19]]),FALSE)=0,"",TEXT(IFERROR(VLOOKUP(T_BilanSocial[[#This Row],[NumL]],T_TraitDi[#Data],COLUMN(T_TraitDi[[#This Row],[Colonne19]]),FALSE),""),"[hh]:mm"))</f>
        <v>#VALUE!</v>
      </c>
      <c r="BA97" s="172" t="e">
        <f>IF(VLOOKUP(T_BilanSocial[[#This Row],[NumL]],T_TraitDi[#Data],COLUMN(T_TraitDi[[#This Row],[Colonne20]]),FALSE)=0,"",TEXT(IFERROR(VLOOKUP(T_BilanSocial[[#This Row],[NumL]],T_TraitDi[#Data],COLUMN(T_TraitDi[[#This Row],[Colonne20]]),FALSE),""),"[hh]:mm"))</f>
        <v>#VALUE!</v>
      </c>
      <c r="BB97" s="178" t="str">
        <f>IFERROR(VLOOKUP(T_BilanSocial[[#This Row],[NumL]],T_TraitDi[#Data],COLUMN(T_TraitDi[[#This Row],[Jeudi]]),FALSE),"")</f>
        <v/>
      </c>
      <c r="BC97" s="178" t="e">
        <f>IF(VLOOKUP(T_BilanSocial[[#This Row],[NumL]],T_TraitDi[#Data],COLUMN(T_TraitDi[[#This Row],[Colonne21]]),FALSE)=0,"",TEXT(IFERROR(VLOOKUP(T_BilanSocial[[#This Row],[NumL]],T_TraitDi[#Data],COLUMN(T_TraitDi[[#This Row],[Colonne21]]),FALSE),""),"[hh]:mm"))</f>
        <v>#VALUE!</v>
      </c>
      <c r="BD97" s="178" t="e">
        <f>IF(VLOOKUP(T_BilanSocial[[#This Row],[NumL]],T_TraitDi[#Data],COLUMN(T_TraitDi[[#This Row],[Colonne22]]),FALSE)=0,"",TEXT(IFERROR(VLOOKUP(T_BilanSocial[[#This Row],[NumL]],T_TraitDi[#Data],COLUMN(T_TraitDi[[#This Row],[Colonne22]]),FALSE),""),"[hh]:mm"))</f>
        <v>#VALUE!</v>
      </c>
      <c r="BE97" s="178" t="str">
        <f>IFERROR(VLOOKUP(T_BilanSocial[[#This Row],[NumL]],T_TraitDi[#Data],COLUMN(T_TraitDi[[#This Row],[Colonne23]]),FALSE),"")</f>
        <v/>
      </c>
      <c r="BF97" s="178" t="e">
        <f>IF(VLOOKUP(T_BilanSocial[[#This Row],[NumL]],T_TraitDi[#Data],COLUMN(T_TraitDi[[#This Row],[Colonne24]]),FALSE)=0,"",TEXT(IFERROR(VLOOKUP(T_BilanSocial[[#This Row],[NumL]],T_TraitDi[#Data],COLUMN(T_TraitDi[[#This Row],[Colonne24]]),FALSE),""),"[hh]:mm"))</f>
        <v>#VALUE!</v>
      </c>
      <c r="BG97" s="178" t="e">
        <f>IF(VLOOKUP(T_BilanSocial[[#This Row],[NumL]],T_TraitDi[#Data],COLUMN(T_TraitDi[[#This Row],[Colonne25]]),FALSE)=0,"",TEXT(IFERROR(VLOOKUP(T_BilanSocial[[#This Row],[NumL]],T_TraitDi[#Data],COLUMN(T_TraitDi[[#This Row],[Colonne25]]),FALSE),""),"[hh]:mm"))</f>
        <v>#VALUE!</v>
      </c>
      <c r="BH97" s="178" t="e">
        <f>IF(VLOOKUP(T_BilanSocial[[#This Row],[NumL]],T_TraitDi[#Data],COLUMN(T_TraitDi[[#This Row],[Colonne26]]),FALSE)=0,"",TEXT(IFERROR(VLOOKUP(T_BilanSocial[[#This Row],[NumL]],T_TraitDi[#Data],COLUMN(T_TraitDi[[#This Row],[Colonne26]]),FALSE),""),"[hh]:mm"))</f>
        <v>#VALUE!</v>
      </c>
      <c r="BI97" s="172" t="str">
        <f>IFERROR(VLOOKUP(T_BilanSocial[[#This Row],[NumL]],T_TraitDi[#Data],COLUMN(T_TraitDi[[#This Row],[Vendredi]]),FALSE),"")</f>
        <v/>
      </c>
      <c r="BJ97" s="172" t="e">
        <f>IF(VLOOKUP(T_BilanSocial[[#This Row],[NumL]],T_TraitDi[#Data],COLUMN(T_TraitDi[[#This Row],[Colonne27]]),FALSE)=0,"",TEXT(IFERROR(VLOOKUP(T_BilanSocial[[#This Row],[NumL]],T_TraitDi[#Data],COLUMN(T_TraitDi[[#This Row],[Colonne27]]),FALSE),""),"[hh]:mm"))</f>
        <v>#VALUE!</v>
      </c>
      <c r="BK97" s="172" t="e">
        <f>IF(VLOOKUP(T_BilanSocial[[#This Row],[NumL]],T_TraitDi[#Data],COLUMN(T_TraitDi[[#This Row],[Colonne28]]),FALSE)=0,"",TEXT(IFERROR(VLOOKUP(T_BilanSocial[[#This Row],[NumL]],T_TraitDi[#Data],COLUMN(T_TraitDi[[#This Row],[Colonne28]]),FALSE),""),"[hh]:mm"))</f>
        <v>#VALUE!</v>
      </c>
      <c r="BL97" s="172" t="str">
        <f>IFERROR(VLOOKUP(T_BilanSocial[[#This Row],[NumL]],T_TraitDi[#Data],COLUMN(T_TraitDi[[#This Row],[Colonne29]]),FALSE),"")</f>
        <v/>
      </c>
      <c r="BM97" s="172" t="e">
        <f>IF(VLOOKUP(T_BilanSocial[[#This Row],[NumL]],T_TraitDi[#Data],COLUMN(T_TraitDi[[#This Row],[Colonne30]]),FALSE)=0,"",TEXT(IFERROR(VLOOKUP(T_BilanSocial[[#This Row],[NumL]],T_TraitDi[#Data],COLUMN(T_TraitDi[[#This Row],[Colonne30]]),FALSE),""),"[hh]:mm"))</f>
        <v>#VALUE!</v>
      </c>
      <c r="BN97" s="172" t="e">
        <f>IF(VLOOKUP(T_BilanSocial[[#This Row],[NumL]],T_TraitDi[#Data],COLUMN(T_TraitDi[[#This Row],[Colonne31]]),FALSE)=0,"",TEXT(IFERROR(VLOOKUP(T_BilanSocial[[#This Row],[NumL]],T_TraitDi[#Data],COLUMN(T_TraitDi[[#This Row],[Colonne31]]),FALSE),""),"[hh]:mm"))</f>
        <v>#VALUE!</v>
      </c>
      <c r="BO97" s="172" t="e">
        <f>IF(VLOOKUP(T_BilanSocial[[#This Row],[NumL]],T_TraitDi[#Data],COLUMN(T_TraitDi[[#This Row],[Colonne32]]),FALSE)=0,"",TEXT(IFERROR(VLOOKUP(T_BilanSocial[[#This Row],[NumL]],T_TraitDi[#Data],COLUMN(T_TraitDi[[#This Row],[Colonne32]]),FALSE),""),"[hh]:mm"))</f>
        <v>#VALUE!</v>
      </c>
      <c r="BP97" s="172" t="e">
        <f>VLOOKUP(T_BilanSocial[[#This Row],[NumL]],T_TraitDi[#Data],COLUMN(T_TraitDi[NbJTot]),FALSE)</f>
        <v>#N/A</v>
      </c>
      <c r="BQ97" s="174" t="str">
        <f>IFERROR(VLOOKUP(T_BilanSocial[[#This Row],[NumL]],T_TraitDi[#Data],COLUMN(T_TraitDi[[#This Row],[NbJTW]]),FALSE),"")</f>
        <v/>
      </c>
      <c r="BR97" s="174" t="e">
        <f>IF(VLOOKUP(T_BilanSocial[[#This Row],[NumL]],T_TraitDi[#Data],COLUMN(T_TraitDi[[#This Row],[NbhTW]]),FALSE)=0,"",TEXT(IFERROR(VLOOKUP(T_BilanSocial[[#This Row],[NumL]],T_TraitDi[#Data],COLUMN(T_TraitDi[[#This Row],[NbhTW]]),FALSE),""),"[hh]:mm"))</f>
        <v>#VALUE!</v>
      </c>
      <c r="BS97" s="174" t="e">
        <f>IF(VLOOKUP(T_BilanSocial[[#This Row],[NumL]],T_TraitDi[#Data],COLUMN(T_TraitDi[[#This Row],[Nbhheb]]),FALSE)=0,"",TEXT(IFERROR(VLOOKUP($A97,T_TraitDi[#Data],COLUMN(T_TraitDi[[#This Row],[Nbhheb]]),FALSE),""),"[hh]:mm"))</f>
        <v>#VALUE!</v>
      </c>
      <c r="BT97" s="182" t="str">
        <f>IFERROR(VLOOKUP(VLOOKUP($A97,T_TraitDi[#Data],COLUMN(T_TraitDi[[#This Row],[Type1]]),FALSE),TypeTW,2,FALSE),"")</f>
        <v/>
      </c>
      <c r="BU97" s="182" t="str">
        <f>IFERROR(VLOOKUP($A97,T_TraitDi[#Data],COLUMN(T_TraitDi[[#This Row],[Rue1]]),FALSE),"")</f>
        <v/>
      </c>
      <c r="BV97" s="173" t="str">
        <f>IFERROR(VLOOKUP($A97,T_TraitDi[#Data],COLUMN(T_TraitDi[[#This Row],[CP1]]),FALSE),"")</f>
        <v/>
      </c>
      <c r="BW97" s="173" t="str">
        <f>IFERROR(VLOOKUP($A97,T_TraitDi[#Data],COLUMN(T_TraitDi[[#This Row],[VILLE1]]),FALSE),"")</f>
        <v/>
      </c>
      <c r="BX97" s="182" t="str">
        <f>IFERROR(VLOOKUP(VLOOKUP($A97,T_TraitDi[#Data],COLUMN(T_TraitDi[[#This Row],[Type2]]),FALSE),TypeTW,2,FALSE),"")</f>
        <v/>
      </c>
      <c r="BY97" s="182" t="str">
        <f>IFERROR(VLOOKUP($A97,T_TraitDi[#Data],COLUMN(T_TraitDi[[#This Row],[Rue2]]),FALSE),"")</f>
        <v/>
      </c>
      <c r="BZ97" s="173" t="str">
        <f>IFERROR(VLOOKUP($A97,T_TraitDi[#Data],COLUMN(T_TraitDi[[#This Row],[CP2]]),FALSE),"")</f>
        <v/>
      </c>
      <c r="CA97" s="173" t="str">
        <f>IFERROR(VLOOKUP($A97,T_TraitDi[#Data],COLUMN(T_TraitDi[[#This Row],[VILLE2]]),FALSE),"")</f>
        <v/>
      </c>
      <c r="CB97" s="182" t="str">
        <f>IF(VLOOKUP(T_BilanSocial[[#This Row],[NumL]],T_Equipement[#Data],COLUMN(T_Equipement[[#This Row],[PC]]),FALSE)="","Aucun équipement spécifique directement lié au télétravail",VLOOKUP(T_BilanSocial[[#This Row],[NumL]],T_Equipement[#Data],COLUMN(T_Equipement[[#This Row],[PC]]),FALSE))</f>
        <v xml:space="preserve">18-023	</v>
      </c>
      <c r="CC97" s="166" t="str">
        <f>IFERROR(IF(VLOOKUP(T_BilanSocial[[#This Row],[NumL]],T_TraitDi[#Data],COLUMN(T_TraitDi[[#This Row],[Plan]]),FALSE)="OK","Un planning spécifique de télétravail est annexé à la présente convention.",""),"")</f>
        <v/>
      </c>
      <c r="CD97" s="258" t="s">
        <v>3376</v>
      </c>
      <c r="CE97" s="164" t="e">
        <f>IF(VLOOKUP(T_BilanSocial[[#This Row],[NumL]],T_suiviDi[#Data],COLUMN(T_suiviDi[[#This Row],[Entité]]),FALSE)="","",VLOOKUP(T_BilanSocial[[#This Row],[NumL]],T_suiviDi[#Data],COLUMN(T_suiviDi[[#This Row],[Entité]]),FALSE))</f>
        <v>#VALUE!</v>
      </c>
      <c r="CF97" s="164" t="str">
        <f>IF(VLOOKUP(T_BilanSocial[[#This Row],[NumL]],T_Commission[#Data],COLUMN(T_Commission[[#This Row],[envoi confirm TW]]),FALSE)="","",VLOOKUP(T_BilanSocial[[#This Row],[NumL]],T_Commission[#Data],COLUMN(T_Commission[[#This Row],[envoi confirm TW]]),FALSE))</f>
        <v>Oui</v>
      </c>
      <c r="CG9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7" s="262" t="str">
        <f>T_BilanSocial[[#This Row],[Nom]]&amp;T_BilanSocial[[#This Row],[Prenom]]</f>
        <v/>
      </c>
      <c r="CI97" s="262">
        <f>VLOOKUP(T_BilanSocial[[#This Row],[NumL]],T_Commission[#Data],COLUMN(T_Commission[Commentaire]),FALSE)</f>
        <v>0</v>
      </c>
      <c r="CJ97" s="262" t="str">
        <f>IF(VLOOKUP(T_BilanSocial[[#This Row],[NumL]],T_Commission[#Data],COLUMN(T_Commission[Encadrant Email]),FALSE)="","",VLOOKUP(T_BilanSocial[[#This Row],[NumL]],T_Commission[#Data],COLUMN(T_Commission[Encadrant Email]),FALSE))</f>
        <v/>
      </c>
      <c r="CK97" s="340" t="str">
        <f>IF(T_BilanSocial[[#This Row],[Final]]&lt;&gt;"",VLOOKUP(T_BilanSocial[[#This Row],[NumL]],T_suiviDi[#Data],COLUMN((T_suiviDi[Statut])),FALSE),"")</f>
        <v/>
      </c>
    </row>
    <row r="98" spans="1:89" s="106" customFormat="1" ht="24.75" customHeight="1" x14ac:dyDescent="0.25">
      <c r="A98" s="160">
        <v>95</v>
      </c>
      <c r="B98" s="161" t="str">
        <f t="shared" si="10"/>
        <v/>
      </c>
      <c r="C98" s="162" t="s">
        <v>3287</v>
      </c>
      <c r="D98" s="95" t="e">
        <f>IF(VLOOKUP(T_BilanSocial[[#This Row],[NumL]],T_TraitDi[#Data],COLUMN(T_TraitDi[[#This Row],[WebC]]),FALSE)="","",VLOOKUP(T_BilanSocial[[#This Row],[NumL]],T_TraitDi[#Data],COLUMN(T_TraitDi[[#This Row],[WebC]]),FALSE))</f>
        <v>#VALUE!</v>
      </c>
      <c r="E98" s="163" t="str">
        <f t="shared" si="11"/>
        <v>12 janvier 2021</v>
      </c>
      <c r="F98" s="96" t="str">
        <f>IF(T_BilanSocial[[#This Row],[Final]]&lt;&gt;"",VLOOKUP(T_BilanSocial[[#This Row],[NumL]],T_suiviDi[#Data],COLUMN((T_suiviDi[Civ.])),FALSE),"")</f>
        <v/>
      </c>
      <c r="G98" s="96" t="str">
        <f>IF(T_BilanSocial[[#This Row],[Final]]&lt;&gt;"",VLOOKUP(T_BilanSocial[[#This Row],[NumL]],T_suiviDi[#Data],COLUMN((T_suiviDi[Nom])),FALSE),"")</f>
        <v/>
      </c>
      <c r="H98" s="96" t="str">
        <f>IF(T_BilanSocial[[#This Row],[Final]]&lt;&gt;"",VLOOKUP(T_BilanSocial[[#This Row],[NumL]],T_suiviDi[#Data],COLUMN((T_suiviDi[Prénom])),FALSE),"")</f>
        <v/>
      </c>
      <c r="I98" s="96" t="str">
        <f>IFERROR(VLOOKUP(T_BilanSocial[[#This Row],[Zone_Bilan]],T_P_BilanSocial[#Data],COLUMN(T_P_BilanSocial[[#This Row],[Numero_SIHAM]]),FALSE),"")</f>
        <v/>
      </c>
      <c r="J98" s="96" t="str">
        <f>IFERROR(VLOOKUP(T_BilanSocial[[#This Row],[Zone_Bilan]],T_P_BilanSocial[#Data],COLUMN(T_P_BilanSocial[[#This Row],[Sexe]]),FALSE),"")</f>
        <v/>
      </c>
      <c r="K98" s="97" t="str">
        <f>IFERROR(VLOOKUP(T_BilanSocial[[#This Row],[Zone_Bilan]],T_P_BilanSocial[#Data],COLUMN(T_P_BilanSocial[[#This Row],[Categorie]]),FALSE),"")</f>
        <v/>
      </c>
      <c r="L98" s="96" t="str">
        <f>IFERROR(VLOOKUP(T_BilanSocial[[#This Row],[Zone_Bilan]],T_P_BilanSocial[#Data],COLUMN(T_P_BilanSocial[[#This Row],[Statut]]),FALSE),"")</f>
        <v/>
      </c>
      <c r="M98" s="96" t="str">
        <f>IFERROR(VLOOKUP(T_BilanSocial[[#This Row],[Zone_Bilan]],T_P_BilanSocial[#Data],COLUMN(T_P_BilanSocial[[#This Row],[Filiere]]),FALSE),"")</f>
        <v/>
      </c>
      <c r="N98" s="96" t="e">
        <f>VLOOKUP(T_BilanSocial[[#This Row],[NumL]],T_TraitDi[#Data],COLUMN(T_TraitDi[EXP]),FALSE)</f>
        <v>#N/A</v>
      </c>
      <c r="O98" s="96" t="e">
        <f>VLOOKUP(T_BilanSocial[[#This Row],[NumL]],T_TraitDi[#Data],COLUMN(T_TraitDi[FORM]),FALSE)</f>
        <v>#N/A</v>
      </c>
      <c r="P98" s="96" t="str">
        <f>IF(T_BilanSocial[[#This Row],[Final]]&lt;&gt;"",VLOOKUP(T_BilanSocial[[#This Row],[NumL]],T_suiviDi[#Data],COLUMN((T_suiviDi[Email])),FALSE),"")</f>
        <v/>
      </c>
      <c r="Q98" s="164" t="e">
        <f t="shared" si="17"/>
        <v>#N/A</v>
      </c>
      <c r="R98" s="164" t="e">
        <f t="shared" si="18"/>
        <v>#N/A</v>
      </c>
      <c r="S98" s="164" t="e">
        <f>IF(VLOOKUP(T_BilanSocial[[#This Row],[NumL]],T_suiviDi[#Data],COLUMN(T_suiviDi[[#This Row],[Service ]]),FALSE)="","",VLOOKUP(T_BilanSocial[[#This Row],[NumL]],T_suiviDi[#Data],COLUMN(T_suiviDi[[#This Row],[Service ]]),FALSE))</f>
        <v>#VALUE!</v>
      </c>
      <c r="T98" s="164" t="str">
        <f t="shared" si="12"/>
        <v>01 septembre 2021</v>
      </c>
      <c r="U98" s="164" t="str">
        <f t="shared" si="13"/>
        <v>30 novembre 2021</v>
      </c>
      <c r="V98" s="164" t="str">
        <f t="shared" si="20"/>
        <v>30 novembre 2021</v>
      </c>
      <c r="W98" s="176" t="e">
        <f>IF(VLOOKUP(T_BilanSocial[[#This Row],[NumL]],T_TraitDi[#Data],COLUMN(T_TraitDi[[#This Row],[M1]]),FALSE)="","",VLOOKUP(T_BilanSocial[[#This Row],[NumL]],T_TraitDi[#Data],COLUMN(T_TraitDi[[#This Row],[M1]]),FALSE))</f>
        <v>#VALUE!</v>
      </c>
      <c r="X98" s="176" t="e">
        <f>IF(VLOOKUP(T_BilanSocial[[#This Row],[NumL]],T_TraitDi[#Data],COLUMN(T_TraitDi[[#This Row],[M2]]),FALSE)="","",VLOOKUP(T_BilanSocial[[#This Row],[NumL]],T_TraitDi[#Data],COLUMN(T_TraitDi[[#This Row],[M2]]),FALSE))</f>
        <v>#VALUE!</v>
      </c>
      <c r="Y98" s="176" t="e">
        <f>IF(VLOOKUP(T_BilanSocial[[#This Row],[NumL]],T_TraitDi[#Data],COLUMN(T_TraitDi[[#This Row],[M3]]),FALSE)="","",VLOOKUP(T_BilanSocial[[#This Row],[NumL]],T_TraitDi[#Data],COLUMN(T_TraitDi[[#This Row],[M3]]),FALSE))</f>
        <v>#VALUE!</v>
      </c>
      <c r="Z98" s="176" t="str">
        <f t="shared" si="16"/>
        <v/>
      </c>
      <c r="AA98" s="176" t="e">
        <f>IF(VLOOKUP(T_BilanSocial[[#This Row],[NumL]],T_TraitDi[#Data],COLUMN(T_TraitDi[[#This Row],[M5]]),FALSE)="","",VLOOKUP(T_BilanSocial[[#This Row],[NumL]],T_TraitDi[#Data],COLUMN(T_TraitDi[[#This Row],[M5]]),FALSE))</f>
        <v>#VALUE!</v>
      </c>
      <c r="AB98" s="176" t="e">
        <f>IF(VLOOKUP(T_BilanSocial[[#This Row],[NumL]],T_TraitDi[#Data],COLUMN(T_TraitDi[[#This Row],[M6]]),FALSE)="","",VLOOKUP(T_BilanSocial[[#This Row],[NumL]],T_TraitDi[#Data],COLUMN(T_TraitDi[[#This Row],[M6]]),FALSE))</f>
        <v>#VALUE!</v>
      </c>
      <c r="AC98" s="165" t="e">
        <f t="shared" si="15"/>
        <v>#VALUE!</v>
      </c>
      <c r="AD98" s="188" t="str">
        <f>IFERROR(TEXT(VLOOKUP(T_BilanSocial[[#This Row],[NumL]],T_TraitDi[#Data],COLUMN(T_TraitDi[[#This Row],[Q2]]),FALSE),"###%"),"")</f>
        <v/>
      </c>
      <c r="AE98" s="97" t="e">
        <f>VLOOKUP(T_BilanSocial[[#This Row],[NumL]],T_TraitDi[#Data],COLUMN(T_TraitDi[[#This Row],[Reg Ponct]]),FALSE)</f>
        <v>#VALUE!</v>
      </c>
      <c r="AF98" s="97" t="e">
        <f>VLOOKUP(T_BilanSocial[NumL],T_TraitDi[#Data],COLUMN(T_TraitDi[[#This Row],[Jours flottants]]),FALSE)</f>
        <v>#VALUE!</v>
      </c>
      <c r="AG98" s="97" t="str">
        <f>IFERROR(VLOOKUP(T_BilanSocial[[#This Row],[NumL]],T_TraitDi[#Data],COLUMN(T_TraitDi[[#This Row],[Lundi]]),FALSE),"")</f>
        <v/>
      </c>
      <c r="AH98" s="172" t="e">
        <f>IF(VLOOKUP(T_BilanSocial[[#This Row],[NumL]],T_TraitDi[#Data],COLUMN(T_TraitDi[[#This Row],[Colonne3]]),FALSE)=0,"",TEXT(IFERROR(VLOOKUP(T_BilanSocial[[#This Row],[NumL]],T_TraitDi[#Data],COLUMN(T_TraitDi[[#This Row],[Colonne3]]),FALSE),""),"[hh]:mm"))</f>
        <v>#VALUE!</v>
      </c>
      <c r="AI98" s="172" t="e">
        <f>IF(VLOOKUP(T_BilanSocial[[#This Row],[NumL]],T_TraitDi[#Data],COLUMN(T_TraitDi[[#This Row],[Colonne4]]),FALSE)=0,"",TEXT(IFERROR(VLOOKUP(T_BilanSocial[[#This Row],[NumL]],T_TraitDi[#Data],COLUMN(T_TraitDi[[#This Row],[Colonne4]]),FALSE),""),"[hh]:mm"))</f>
        <v>#VALUE!</v>
      </c>
      <c r="AJ98" s="172" t="e">
        <f>IF(VLOOKUP(T_BilanSocial[[#This Row],[NumL]],T_TraitDi[#Data],COLUMN(T_TraitDi[[#This Row],[Colonne5]]),FALSE)=0,"",TEXT(IFERROR(VLOOKUP(T_BilanSocial[[#This Row],[NumL]],T_TraitDi[#Data],COLUMN(T_TraitDi[[#This Row],[Colonne5]]),FALSE),""),"[hh]:mm"))</f>
        <v>#VALUE!</v>
      </c>
      <c r="AK98" s="172" t="e">
        <f>IF(VLOOKUP(T_BilanSocial[[#This Row],[NumL]],T_TraitDi[#Data],COLUMN(T_TraitDi[[#This Row],[Colonne6]]),FALSE)=0,"",TEXT(IFERROR(VLOOKUP(T_BilanSocial[[#This Row],[NumL]],T_TraitDi[#Data],COLUMN(T_TraitDi[[#This Row],[Colonne6]]),FALSE),""),"[hh]:mm"))</f>
        <v>#VALUE!</v>
      </c>
      <c r="AL98" s="172" t="e">
        <f>IF(VLOOKUP(T_BilanSocial[[#This Row],[NumL]],T_TraitDi[#Data],COLUMN(T_TraitDi[[#This Row],[Colonne7]]),FALSE)=0,"",TEXT(IFERROR(VLOOKUP(T_BilanSocial[[#This Row],[NumL]],T_TraitDi[#Data],COLUMN(T_TraitDi[[#This Row],[Colonne7]]),FALSE),""),"[hh]:mm"))</f>
        <v>#VALUE!</v>
      </c>
      <c r="AM98" s="172" t="e">
        <f>IF(VLOOKUP(T_BilanSocial[[#This Row],[NumL]],T_TraitDi[#Data],COLUMN(T_TraitDi[[#This Row],[Colonne8]]),FALSE)=0,"",TEXT(IFERROR(VLOOKUP(T_BilanSocial[[#This Row],[NumL]],T_TraitDi[#Data],COLUMN(T_TraitDi[[#This Row],[Colonne8]]),FALSE),""),"[hh]:mm"))</f>
        <v>#VALUE!</v>
      </c>
      <c r="AN98" s="172" t="str">
        <f>IFERROR(VLOOKUP(T_BilanSocial[[#This Row],[NumL]],T_TraitDi[#Data],COLUMN(T_TraitDi[[#This Row],[Mardi]]),FALSE),"")</f>
        <v/>
      </c>
      <c r="AO98" s="172" t="e">
        <f>IF(VLOOKUP(T_BilanSocial[[#This Row],[NumL]],T_TraitDi[#Data],COLUMN(T_TraitDi[[#This Row],[Colonne1]]),FALSE)=0,"",TEXT(IFERROR(VLOOKUP(T_BilanSocial[[#This Row],[NumL]],T_TraitDi[#Data],COLUMN(T_TraitDi[[#This Row],[Colonne1]]),FALSE),""),"[hh]:mm"))</f>
        <v>#VALUE!</v>
      </c>
      <c r="AP98" s="172" t="e">
        <f>IF(VLOOKUP(T_BilanSocial[[#This Row],[NumL]],T_TraitDi[#Data],COLUMN(T_TraitDi[[#This Row],[Colonne9]]),FALSE)=0,"",TEXT(IFERROR(VLOOKUP(T_BilanSocial[[#This Row],[NumL]],T_TraitDi[#Data],COLUMN(T_TraitDi[[#This Row],[Colonne9]]),FALSE),""),"[hh]:mm"))</f>
        <v>#VALUE!</v>
      </c>
      <c r="AQ98" s="172" t="str">
        <f>IFERROR(VLOOKUP(T_BilanSocial[[#This Row],[NumL]],T_TraitDi[#Data],COLUMN(T_TraitDi[[#This Row],[Colonne10]]),FALSE),"")</f>
        <v/>
      </c>
      <c r="AR98" s="172" t="e">
        <f>IF(VLOOKUP(T_BilanSocial[[#This Row],[NumL]],T_TraitDi[#Data],COLUMN(T_TraitDi[[#This Row],[Colonne11]]),FALSE)=0,"",TEXT(IFERROR(VLOOKUP(T_BilanSocial[[#This Row],[NumL]],T_TraitDi[#Data],COLUMN(T_TraitDi[[#This Row],[Colonne11]]),FALSE),""),"[hh]:mm"))</f>
        <v>#VALUE!</v>
      </c>
      <c r="AS98" s="172" t="e">
        <f>IF(VLOOKUP(T_BilanSocial[[#This Row],[NumL]],T_TraitDi[#Data],COLUMN(T_TraitDi[[#This Row],[Colonne12]]),FALSE)=0,"",TEXT(IFERROR(VLOOKUP(T_BilanSocial[[#This Row],[NumL]],T_TraitDi[#Data],COLUMN(T_TraitDi[[#This Row],[Colonne12]]),FALSE),""),"[hh]:mm"))</f>
        <v>#VALUE!</v>
      </c>
      <c r="AT98" s="172" t="e">
        <f>IF(VLOOKUP(T_BilanSocial[[#This Row],[NumL]],T_TraitDi[#Data],COLUMN(T_TraitDi[[#This Row],[Colonne14]]),FALSE)=0,"",TEXT(IFERROR(VLOOKUP(T_BilanSocial[[#This Row],[NumL]],T_TraitDi[#Data],COLUMN(T_TraitDi[[#This Row],[Colonne14]]),FALSE),""),"[hh]:mm"))</f>
        <v>#VALUE!</v>
      </c>
      <c r="AU98" s="172" t="str">
        <f>IFERROR(VLOOKUP(T_BilanSocial[[#This Row],[NumL]],T_TraitDi[#Data],COLUMN(T_TraitDi[[#This Row],[Mercredi]]),FALSE),"")</f>
        <v/>
      </c>
      <c r="AV98" s="172" t="e">
        <f>IF(VLOOKUP(T_BilanSocial[[#This Row],[NumL]],T_TraitDi[#Data],COLUMN(T_TraitDi[[#This Row],[Colonne15]]),FALSE)=0,"",TEXT(IFERROR(VLOOKUP(T_BilanSocial[[#This Row],[NumL]],T_TraitDi[#Data],COLUMN(T_TraitDi[[#This Row],[Colonne15]]),FALSE),""),"[hh]:mm"))</f>
        <v>#VALUE!</v>
      </c>
      <c r="AW98" s="172" t="e">
        <f>IF(VLOOKUP(T_BilanSocial[[#This Row],[NumL]],T_TraitDi[#Data],COLUMN(T_TraitDi[[#This Row],[Colonne16]]),FALSE)=0,"",TEXT(IFERROR(VLOOKUP(T_BilanSocial[[#This Row],[NumL]],T_TraitDi[#Data],COLUMN(T_TraitDi[[#This Row],[Colonne16]]),FALSE),""),"[hh]:mm"))</f>
        <v>#VALUE!</v>
      </c>
      <c r="AX98" s="172" t="str">
        <f>IFERROR(VLOOKUP(T_BilanSocial[[#This Row],[NumL]],T_TraitDi[#Data],COLUMN(T_TraitDi[[#This Row],[Colonne17]]),FALSE),"")</f>
        <v/>
      </c>
      <c r="AY98" s="172" t="e">
        <f>IF(VLOOKUP(T_BilanSocial[[#This Row],[NumL]],T_TraitDi[#Data],COLUMN(T_TraitDi[[#This Row],[Colonne18]]),FALSE)=0,"",TEXT(IFERROR(VLOOKUP(T_BilanSocial[[#This Row],[NumL]],T_TraitDi[#Data],COLUMN(T_TraitDi[[#This Row],[Colonne18]]),FALSE),""),"[hh]:mm"))</f>
        <v>#VALUE!</v>
      </c>
      <c r="AZ98" s="172" t="e">
        <f>IF(VLOOKUP(T_BilanSocial[[#This Row],[NumL]],T_TraitDi[#Data],COLUMN(T_TraitDi[[#This Row],[Colonne19]]),FALSE)=0,"",TEXT(IFERROR(VLOOKUP(T_BilanSocial[[#This Row],[NumL]],T_TraitDi[#Data],COLUMN(T_TraitDi[[#This Row],[Colonne19]]),FALSE),""),"[hh]:mm"))</f>
        <v>#VALUE!</v>
      </c>
      <c r="BA98" s="172" t="e">
        <f>IF(VLOOKUP(T_BilanSocial[[#This Row],[NumL]],T_TraitDi[#Data],COLUMN(T_TraitDi[[#This Row],[Colonne20]]),FALSE)=0,"",TEXT(IFERROR(VLOOKUP(T_BilanSocial[[#This Row],[NumL]],T_TraitDi[#Data],COLUMN(T_TraitDi[[#This Row],[Colonne20]]),FALSE),""),"[hh]:mm"))</f>
        <v>#VALUE!</v>
      </c>
      <c r="BB98" s="178" t="str">
        <f>IFERROR(VLOOKUP(T_BilanSocial[[#This Row],[NumL]],T_TraitDi[#Data],COLUMN(T_TraitDi[[#This Row],[Jeudi]]),FALSE),"")</f>
        <v/>
      </c>
      <c r="BC98" s="178" t="e">
        <f>IF(VLOOKUP(T_BilanSocial[[#This Row],[NumL]],T_TraitDi[#Data],COLUMN(T_TraitDi[[#This Row],[Colonne21]]),FALSE)=0,"",TEXT(IFERROR(VLOOKUP(T_BilanSocial[[#This Row],[NumL]],T_TraitDi[#Data],COLUMN(T_TraitDi[[#This Row],[Colonne21]]),FALSE),""),"[hh]:mm"))</f>
        <v>#VALUE!</v>
      </c>
      <c r="BD98" s="178" t="e">
        <f>IF(VLOOKUP(T_BilanSocial[[#This Row],[NumL]],T_TraitDi[#Data],COLUMN(T_TraitDi[[#This Row],[Colonne22]]),FALSE)=0,"",TEXT(IFERROR(VLOOKUP(T_BilanSocial[[#This Row],[NumL]],T_TraitDi[#Data],COLUMN(T_TraitDi[[#This Row],[Colonne22]]),FALSE),""),"[hh]:mm"))</f>
        <v>#VALUE!</v>
      </c>
      <c r="BE98" s="178" t="str">
        <f>IFERROR(VLOOKUP(T_BilanSocial[[#This Row],[NumL]],T_TraitDi[#Data],COLUMN(T_TraitDi[[#This Row],[Colonne23]]),FALSE),"")</f>
        <v/>
      </c>
      <c r="BF98" s="178" t="e">
        <f>IF(VLOOKUP(T_BilanSocial[[#This Row],[NumL]],T_TraitDi[#Data],COLUMN(T_TraitDi[[#This Row],[Colonne24]]),FALSE)=0,"",TEXT(IFERROR(VLOOKUP(T_BilanSocial[[#This Row],[NumL]],T_TraitDi[#Data],COLUMN(T_TraitDi[[#This Row],[Colonne24]]),FALSE),""),"[hh]:mm"))</f>
        <v>#VALUE!</v>
      </c>
      <c r="BG98" s="178" t="e">
        <f>IF(VLOOKUP(T_BilanSocial[[#This Row],[NumL]],T_TraitDi[#Data],COLUMN(T_TraitDi[[#This Row],[Colonne25]]),FALSE)=0,"",TEXT(IFERROR(VLOOKUP(T_BilanSocial[[#This Row],[NumL]],T_TraitDi[#Data],COLUMN(T_TraitDi[[#This Row],[Colonne25]]),FALSE),""),"[hh]:mm"))</f>
        <v>#VALUE!</v>
      </c>
      <c r="BH98" s="178" t="e">
        <f>IF(VLOOKUP(T_BilanSocial[[#This Row],[NumL]],T_TraitDi[#Data],COLUMN(T_TraitDi[[#This Row],[Colonne26]]),FALSE)=0,"",TEXT(IFERROR(VLOOKUP(T_BilanSocial[[#This Row],[NumL]],T_TraitDi[#Data],COLUMN(T_TraitDi[[#This Row],[Colonne26]]),FALSE),""),"[hh]:mm"))</f>
        <v>#VALUE!</v>
      </c>
      <c r="BI98" s="172" t="str">
        <f>IFERROR(VLOOKUP(T_BilanSocial[[#This Row],[NumL]],T_TraitDi[#Data],COLUMN(T_TraitDi[[#This Row],[Vendredi]]),FALSE),"")</f>
        <v/>
      </c>
      <c r="BJ98" s="172" t="e">
        <f>IF(VLOOKUP(T_BilanSocial[[#This Row],[NumL]],T_TraitDi[#Data],COLUMN(T_TraitDi[[#This Row],[Colonne27]]),FALSE)=0,"",TEXT(IFERROR(VLOOKUP(T_BilanSocial[[#This Row],[NumL]],T_TraitDi[#Data],COLUMN(T_TraitDi[[#This Row],[Colonne27]]),FALSE),""),"[hh]:mm"))</f>
        <v>#VALUE!</v>
      </c>
      <c r="BK98" s="172" t="e">
        <f>IF(VLOOKUP(T_BilanSocial[[#This Row],[NumL]],T_TraitDi[#Data],COLUMN(T_TraitDi[[#This Row],[Colonne28]]),FALSE)=0,"",TEXT(IFERROR(VLOOKUP(T_BilanSocial[[#This Row],[NumL]],T_TraitDi[#Data],COLUMN(T_TraitDi[[#This Row],[Colonne28]]),FALSE),""),"[hh]:mm"))</f>
        <v>#VALUE!</v>
      </c>
      <c r="BL98" s="172" t="str">
        <f>IFERROR(VLOOKUP(T_BilanSocial[[#This Row],[NumL]],T_TraitDi[#Data],COLUMN(T_TraitDi[[#This Row],[Colonne29]]),FALSE),"")</f>
        <v/>
      </c>
      <c r="BM98" s="172" t="e">
        <f>IF(VLOOKUP(T_BilanSocial[[#This Row],[NumL]],T_TraitDi[#Data],COLUMN(T_TraitDi[[#This Row],[Colonne30]]),FALSE)=0,"",TEXT(IFERROR(VLOOKUP(T_BilanSocial[[#This Row],[NumL]],T_TraitDi[#Data],COLUMN(T_TraitDi[[#This Row],[Colonne30]]),FALSE),""),"[hh]:mm"))</f>
        <v>#VALUE!</v>
      </c>
      <c r="BN98" s="172" t="e">
        <f>IF(VLOOKUP(T_BilanSocial[[#This Row],[NumL]],T_TraitDi[#Data],COLUMN(T_TraitDi[[#This Row],[Colonne31]]),FALSE)=0,"",TEXT(IFERROR(VLOOKUP(T_BilanSocial[[#This Row],[NumL]],T_TraitDi[#Data],COLUMN(T_TraitDi[[#This Row],[Colonne31]]),FALSE),""),"[hh]:mm"))</f>
        <v>#VALUE!</v>
      </c>
      <c r="BO98" s="172" t="e">
        <f>IF(VLOOKUP(T_BilanSocial[[#This Row],[NumL]],T_TraitDi[#Data],COLUMN(T_TraitDi[[#This Row],[Colonne32]]),FALSE)=0,"",TEXT(IFERROR(VLOOKUP(T_BilanSocial[[#This Row],[NumL]],T_TraitDi[#Data],COLUMN(T_TraitDi[[#This Row],[Colonne32]]),FALSE),""),"[hh]:mm"))</f>
        <v>#VALUE!</v>
      </c>
      <c r="BP98" s="172" t="e">
        <f>VLOOKUP(T_BilanSocial[[#This Row],[NumL]],T_TraitDi[#Data],COLUMN(T_TraitDi[NbJTot]),FALSE)</f>
        <v>#N/A</v>
      </c>
      <c r="BQ98" s="174" t="str">
        <f>IFERROR(VLOOKUP(T_BilanSocial[[#This Row],[NumL]],T_TraitDi[#Data],COLUMN(T_TraitDi[[#This Row],[NbJTW]]),FALSE),"")</f>
        <v/>
      </c>
      <c r="BR98" s="174" t="e">
        <f>IF(VLOOKUP(T_BilanSocial[[#This Row],[NumL]],T_TraitDi[#Data],COLUMN(T_TraitDi[[#This Row],[NbhTW]]),FALSE)=0,"",TEXT(IFERROR(VLOOKUP(T_BilanSocial[[#This Row],[NumL]],T_TraitDi[#Data],COLUMN(T_TraitDi[[#This Row],[NbhTW]]),FALSE),""),"[hh]:mm"))</f>
        <v>#VALUE!</v>
      </c>
      <c r="BS98" s="174" t="e">
        <f>IF(VLOOKUP(T_BilanSocial[[#This Row],[NumL]],T_TraitDi[#Data],COLUMN(T_TraitDi[[#This Row],[Nbhheb]]),FALSE)=0,"",TEXT(IFERROR(VLOOKUP($A98,T_TraitDi[#Data],COLUMN(T_TraitDi[[#This Row],[Nbhheb]]),FALSE),""),"[hh]:mm"))</f>
        <v>#VALUE!</v>
      </c>
      <c r="BT98" s="268" t="str">
        <f>IFERROR(VLOOKUP(VLOOKUP($A98,T_TraitDi[#Data],COLUMN(T_TraitDi[[#This Row],[Type1]]),FALSE),TypeTW,2,FALSE),"")</f>
        <v/>
      </c>
      <c r="BU98" s="182" t="str">
        <f>IFERROR(VLOOKUP($A98,T_TraitDi[#Data],COLUMN(T_TraitDi[[#This Row],[Rue1]]),FALSE),"")</f>
        <v/>
      </c>
      <c r="BV98" s="173" t="str">
        <f>IFERROR(VLOOKUP($A98,T_TraitDi[#Data],COLUMN(T_TraitDi[[#This Row],[CP1]]),FALSE),"")</f>
        <v/>
      </c>
      <c r="BW98" s="173" t="str">
        <f>IFERROR(VLOOKUP($A98,T_TraitDi[#Data],COLUMN(T_TraitDi[[#This Row],[VILLE1]]),FALSE),"")</f>
        <v/>
      </c>
      <c r="BX98" s="182" t="str">
        <f>IFERROR(VLOOKUP(VLOOKUP($A98,T_TraitDi[#Data],COLUMN(T_TraitDi[[#This Row],[Type2]]),FALSE),TypeTW,2,FALSE),"")</f>
        <v/>
      </c>
      <c r="BY98" s="182" t="str">
        <f>IFERROR(VLOOKUP($A98,T_TraitDi[#Data],COLUMN(T_TraitDi[[#This Row],[Rue2]]),FALSE),"")</f>
        <v/>
      </c>
      <c r="BZ98" s="173" t="str">
        <f>IFERROR(VLOOKUP($A98,T_TraitDi[#Data],COLUMN(T_TraitDi[[#This Row],[CP2]]),FALSE),"")</f>
        <v/>
      </c>
      <c r="CA98" s="173" t="str">
        <f>IFERROR(VLOOKUP($A98,T_TraitDi[#Data],COLUMN(T_TraitDi[[#This Row],[VILLE2]]),FALSE),"")</f>
        <v/>
      </c>
      <c r="CB98" s="182" t="str">
        <f>IF(VLOOKUP(T_BilanSocial[[#This Row],[NumL]],T_Equipement[#Data],COLUMN(T_Equipement[[#This Row],[PC]]),FALSE)="","Aucun équipement spécifique directement lié au télétravail",VLOOKUP(T_BilanSocial[[#This Row],[NumL]],T_Equipement[#Data],COLUMN(T_Equipement[[#This Row],[PC]]),FALSE))</f>
        <v xml:space="preserve">19-581	</v>
      </c>
      <c r="CC98" s="166" t="str">
        <f>IFERROR(IF(VLOOKUP(T_BilanSocial[[#This Row],[NumL]],T_TraitDi[#Data],COLUMN(T_TraitDi[[#This Row],[Plan]]),FALSE)="OK","Un planning spécifique de télétravail est annexé à la présente convention.",""),"")</f>
        <v/>
      </c>
      <c r="CD98" s="185"/>
      <c r="CE98" s="164" t="e">
        <f>IF(VLOOKUP(T_BilanSocial[[#This Row],[NumL]],T_suiviDi[#Data],COLUMN(T_suiviDi[[#This Row],[Entité]]),FALSE)="","",VLOOKUP(T_BilanSocial[[#This Row],[NumL]],T_suiviDi[#Data],COLUMN(T_suiviDi[[#This Row],[Entité]]),FALSE))</f>
        <v>#VALUE!</v>
      </c>
      <c r="CF98" s="164" t="str">
        <f>IF(VLOOKUP(T_BilanSocial[[#This Row],[NumL]],T_Commission[#Data],COLUMN(T_Commission[[#This Row],[envoi confirm TW]]),FALSE)="","",VLOOKUP(T_BilanSocial[[#This Row],[NumL]],T_Commission[#Data],COLUMN(T_Commission[[#This Row],[envoi confirm TW]]),FALSE))</f>
        <v>Oui</v>
      </c>
      <c r="CG9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8" s="262" t="str">
        <f>T_BilanSocial[[#This Row],[Nom]]&amp;T_BilanSocial[[#This Row],[Prenom]]</f>
        <v/>
      </c>
      <c r="CI98" s="262">
        <f>VLOOKUP(T_BilanSocial[[#This Row],[NumL]],T_Commission[#Data],COLUMN(T_Commission[Commentaire]),FALSE)</f>
        <v>0</v>
      </c>
      <c r="CJ98" s="262" t="str">
        <f>IF(VLOOKUP(T_BilanSocial[[#This Row],[NumL]],T_Commission[#Data],COLUMN(T_Commission[Encadrant Email]),FALSE)="","",VLOOKUP(T_BilanSocial[[#This Row],[NumL]],T_Commission[#Data],COLUMN(T_Commission[Encadrant Email]),FALSE))</f>
        <v/>
      </c>
      <c r="CK98" s="340" t="str">
        <f>IF(T_BilanSocial[[#This Row],[Final]]&lt;&gt;"",VLOOKUP(T_BilanSocial[[#This Row],[NumL]],T_suiviDi[#Data],COLUMN((T_suiviDi[Statut])),FALSE),"")</f>
        <v/>
      </c>
    </row>
    <row r="99" spans="1:89" s="106" customFormat="1" ht="24.75" customHeight="1" x14ac:dyDescent="0.25">
      <c r="A99" s="160">
        <v>96</v>
      </c>
      <c r="B99" s="161" t="str">
        <f t="shared" si="10"/>
        <v/>
      </c>
      <c r="C99" s="162" t="s">
        <v>3287</v>
      </c>
      <c r="D99" s="95" t="e">
        <f>IF(VLOOKUP(T_BilanSocial[[#This Row],[NumL]],T_TraitDi[#Data],COLUMN(T_TraitDi[[#This Row],[WebC]]),FALSE)="","",VLOOKUP(T_BilanSocial[[#This Row],[NumL]],T_TraitDi[#Data],COLUMN(T_TraitDi[[#This Row],[WebC]]),FALSE))</f>
        <v>#VALUE!</v>
      </c>
      <c r="E99" s="163" t="str">
        <f t="shared" si="11"/>
        <v>12 janvier 2021</v>
      </c>
      <c r="F99" s="96" t="str">
        <f>IF(T_BilanSocial[[#This Row],[Final]]&lt;&gt;"",VLOOKUP(T_BilanSocial[[#This Row],[NumL]],T_suiviDi[#Data],COLUMN((T_suiviDi[Civ.])),FALSE),"")</f>
        <v/>
      </c>
      <c r="G99" s="96" t="str">
        <f>IF(T_BilanSocial[[#This Row],[Final]]&lt;&gt;"",VLOOKUP(T_BilanSocial[[#This Row],[NumL]],T_suiviDi[#Data],COLUMN((T_suiviDi[Nom])),FALSE),"")</f>
        <v/>
      </c>
      <c r="H99" s="96" t="str">
        <f>IF(T_BilanSocial[[#This Row],[Final]]&lt;&gt;"",VLOOKUP(T_BilanSocial[[#This Row],[NumL]],T_suiviDi[#Data],COLUMN((T_suiviDi[Prénom])),FALSE),"")</f>
        <v/>
      </c>
      <c r="I99" s="96" t="str">
        <f>IFERROR(VLOOKUP(T_BilanSocial[[#This Row],[Zone_Bilan]],T_P_BilanSocial[#Data],COLUMN(T_P_BilanSocial[[#This Row],[Numero_SIHAM]]),FALSE),"")</f>
        <v/>
      </c>
      <c r="J99" s="96" t="str">
        <f>IFERROR(VLOOKUP(T_BilanSocial[[#This Row],[Zone_Bilan]],T_P_BilanSocial[#Data],COLUMN(T_P_BilanSocial[[#This Row],[Sexe]]),FALSE),"")</f>
        <v/>
      </c>
      <c r="K99" s="97" t="str">
        <f>IFERROR(VLOOKUP(T_BilanSocial[[#This Row],[Zone_Bilan]],T_P_BilanSocial[#Data],COLUMN(T_P_BilanSocial[[#This Row],[Categorie]]),FALSE),"")</f>
        <v/>
      </c>
      <c r="L99" s="96" t="str">
        <f>IFERROR(VLOOKUP(T_BilanSocial[[#This Row],[Zone_Bilan]],T_P_BilanSocial[#Data],COLUMN(T_P_BilanSocial[[#This Row],[Statut]]),FALSE),"")</f>
        <v/>
      </c>
      <c r="M99" s="96" t="str">
        <f>IFERROR(VLOOKUP(T_BilanSocial[[#This Row],[Zone_Bilan]],T_P_BilanSocial[#Data],COLUMN(T_P_BilanSocial[[#This Row],[Filiere]]),FALSE),"")</f>
        <v/>
      </c>
      <c r="N99" s="96" t="e">
        <f>VLOOKUP(T_BilanSocial[[#This Row],[NumL]],T_TraitDi[#Data],COLUMN(T_TraitDi[EXP]),FALSE)</f>
        <v>#N/A</v>
      </c>
      <c r="O99" s="96" t="e">
        <f>VLOOKUP(T_BilanSocial[[#This Row],[NumL]],T_TraitDi[#Data],COLUMN(T_TraitDi[FORM]),FALSE)</f>
        <v>#N/A</v>
      </c>
      <c r="P99" s="96" t="str">
        <f>IF(T_BilanSocial[[#This Row],[Final]]&lt;&gt;"",VLOOKUP(T_BilanSocial[[#This Row],[NumL]],T_suiviDi[#Data],COLUMN((T_suiviDi[Email])),FALSE),"")</f>
        <v/>
      </c>
      <c r="Q99" s="164" t="e">
        <f t="shared" si="17"/>
        <v>#N/A</v>
      </c>
      <c r="R99" s="164" t="e">
        <f t="shared" si="18"/>
        <v>#N/A</v>
      </c>
      <c r="S99" s="164" t="e">
        <f>IF(VLOOKUP(T_BilanSocial[[#This Row],[NumL]],T_suiviDi[#Data],COLUMN(T_suiviDi[[#This Row],[Service ]]),FALSE)="","",VLOOKUP(T_BilanSocial[[#This Row],[NumL]],T_suiviDi[#Data],COLUMN(T_suiviDi[[#This Row],[Service ]]),FALSE))</f>
        <v>#VALUE!</v>
      </c>
      <c r="T99" s="164" t="str">
        <f t="shared" si="12"/>
        <v>01 septembre 2021</v>
      </c>
      <c r="U99" s="164" t="str">
        <f t="shared" si="13"/>
        <v>30 novembre 2021</v>
      </c>
      <c r="V99" s="164" t="str">
        <f t="shared" si="20"/>
        <v>30 novembre 2021</v>
      </c>
      <c r="W99" s="176" t="e">
        <f>IF(VLOOKUP(T_BilanSocial[[#This Row],[NumL]],T_TraitDi[#Data],COLUMN(T_TraitDi[[#This Row],[M1]]),FALSE)="","",VLOOKUP(T_BilanSocial[[#This Row],[NumL]],T_TraitDi[#Data],COLUMN(T_TraitDi[[#This Row],[M1]]),FALSE))</f>
        <v>#VALUE!</v>
      </c>
      <c r="X99" s="176" t="e">
        <f>IF(VLOOKUP(T_BilanSocial[[#This Row],[NumL]],T_TraitDi[#Data],COLUMN(T_TraitDi[[#This Row],[M2]]),FALSE)="","",VLOOKUP(T_BilanSocial[[#This Row],[NumL]],T_TraitDi[#Data],COLUMN(T_TraitDi[[#This Row],[M2]]),FALSE))</f>
        <v>#VALUE!</v>
      </c>
      <c r="Y99" s="176" t="e">
        <f>IF(VLOOKUP(T_BilanSocial[[#This Row],[NumL]],T_TraitDi[#Data],COLUMN(T_TraitDi[[#This Row],[M3]]),FALSE)="","",VLOOKUP(T_BilanSocial[[#This Row],[NumL]],T_TraitDi[#Data],COLUMN(T_TraitDi[[#This Row],[M3]]),FALSE))</f>
        <v>#VALUE!</v>
      </c>
      <c r="Z99" s="176" t="str">
        <f t="shared" si="16"/>
        <v/>
      </c>
      <c r="AA99" s="176" t="e">
        <f>IF(VLOOKUP(T_BilanSocial[[#This Row],[NumL]],T_TraitDi[#Data],COLUMN(T_TraitDi[[#This Row],[M5]]),FALSE)="","",VLOOKUP(T_BilanSocial[[#This Row],[NumL]],T_TraitDi[#Data],COLUMN(T_TraitDi[[#This Row],[M5]]),FALSE))</f>
        <v>#VALUE!</v>
      </c>
      <c r="AB99" s="176" t="e">
        <f>IF(VLOOKUP(T_BilanSocial[[#This Row],[NumL]],T_TraitDi[#Data],COLUMN(T_TraitDi[[#This Row],[M6]]),FALSE)="","",VLOOKUP(T_BilanSocial[[#This Row],[NumL]],T_TraitDi[#Data],COLUMN(T_TraitDi[[#This Row],[M6]]),FALSE))</f>
        <v>#VALUE!</v>
      </c>
      <c r="AC99" s="165" t="e">
        <f t="shared" si="15"/>
        <v>#VALUE!</v>
      </c>
      <c r="AD99" s="188" t="str">
        <f>IFERROR(TEXT(VLOOKUP(T_BilanSocial[[#This Row],[NumL]],T_TraitDi[#Data],COLUMN(T_TraitDi[[#This Row],[Q2]]),FALSE),"###%"),"")</f>
        <v/>
      </c>
      <c r="AE99" s="97" t="e">
        <f>VLOOKUP(T_BilanSocial[[#This Row],[NumL]],T_TraitDi[#Data],COLUMN(T_TraitDi[[#This Row],[Reg Ponct]]),FALSE)</f>
        <v>#VALUE!</v>
      </c>
      <c r="AF99" s="97" t="e">
        <f>VLOOKUP(T_BilanSocial[NumL],T_TraitDi[#Data],COLUMN(T_TraitDi[[#This Row],[Jours flottants]]),FALSE)</f>
        <v>#VALUE!</v>
      </c>
      <c r="AG99" s="97" t="str">
        <f>IFERROR(VLOOKUP(T_BilanSocial[[#This Row],[NumL]],T_TraitDi[#Data],COLUMN(T_TraitDi[[#This Row],[Lundi]]),FALSE),"")</f>
        <v/>
      </c>
      <c r="AH99" s="172" t="e">
        <f>IF(VLOOKUP(T_BilanSocial[[#This Row],[NumL]],T_TraitDi[#Data],COLUMN(T_TraitDi[[#This Row],[Colonne3]]),FALSE)=0,"",TEXT(IFERROR(VLOOKUP(T_BilanSocial[[#This Row],[NumL]],T_TraitDi[#Data],COLUMN(T_TraitDi[[#This Row],[Colonne3]]),FALSE),""),"[hh]:mm"))</f>
        <v>#VALUE!</v>
      </c>
      <c r="AI99" s="172" t="e">
        <f>IF(VLOOKUP(T_BilanSocial[[#This Row],[NumL]],T_TraitDi[#Data],COLUMN(T_TraitDi[[#This Row],[Colonne4]]),FALSE)=0,"",TEXT(IFERROR(VLOOKUP(T_BilanSocial[[#This Row],[NumL]],T_TraitDi[#Data],COLUMN(T_TraitDi[[#This Row],[Colonne4]]),FALSE),""),"[hh]:mm"))</f>
        <v>#VALUE!</v>
      </c>
      <c r="AJ99" s="172" t="e">
        <f>IF(VLOOKUP(T_BilanSocial[[#This Row],[NumL]],T_TraitDi[#Data],COLUMN(T_TraitDi[[#This Row],[Colonne5]]),FALSE)=0,"",TEXT(IFERROR(VLOOKUP(T_BilanSocial[[#This Row],[NumL]],T_TraitDi[#Data],COLUMN(T_TraitDi[[#This Row],[Colonne5]]),FALSE),""),"[hh]:mm"))</f>
        <v>#VALUE!</v>
      </c>
      <c r="AK99" s="172" t="e">
        <f>IF(VLOOKUP(T_BilanSocial[[#This Row],[NumL]],T_TraitDi[#Data],COLUMN(T_TraitDi[[#This Row],[Colonne6]]),FALSE)=0,"",TEXT(IFERROR(VLOOKUP(T_BilanSocial[[#This Row],[NumL]],T_TraitDi[#Data],COLUMN(T_TraitDi[[#This Row],[Colonne6]]),FALSE),""),"[hh]:mm"))</f>
        <v>#VALUE!</v>
      </c>
      <c r="AL99" s="172" t="e">
        <f>IF(VLOOKUP(T_BilanSocial[[#This Row],[NumL]],T_TraitDi[#Data],COLUMN(T_TraitDi[[#This Row],[Colonne7]]),FALSE)=0,"",TEXT(IFERROR(VLOOKUP(T_BilanSocial[[#This Row],[NumL]],T_TraitDi[#Data],COLUMN(T_TraitDi[[#This Row],[Colonne7]]),FALSE),""),"[hh]:mm"))</f>
        <v>#VALUE!</v>
      </c>
      <c r="AM99" s="172" t="e">
        <f>IF(VLOOKUP(T_BilanSocial[[#This Row],[NumL]],T_TraitDi[#Data],COLUMN(T_TraitDi[[#This Row],[Colonne8]]),FALSE)=0,"",TEXT(IFERROR(VLOOKUP(T_BilanSocial[[#This Row],[NumL]],T_TraitDi[#Data],COLUMN(T_TraitDi[[#This Row],[Colonne8]]),FALSE),""),"[hh]:mm"))</f>
        <v>#VALUE!</v>
      </c>
      <c r="AN99" s="172" t="str">
        <f>IFERROR(VLOOKUP(T_BilanSocial[[#This Row],[NumL]],T_TraitDi[#Data],COLUMN(T_TraitDi[[#This Row],[Mardi]]),FALSE),"")</f>
        <v/>
      </c>
      <c r="AO99" s="172" t="e">
        <f>IF(VLOOKUP(T_BilanSocial[[#This Row],[NumL]],T_TraitDi[#Data],COLUMN(T_TraitDi[[#This Row],[Colonne1]]),FALSE)=0,"",TEXT(IFERROR(VLOOKUP(T_BilanSocial[[#This Row],[NumL]],T_TraitDi[#Data],COLUMN(T_TraitDi[[#This Row],[Colonne1]]),FALSE),""),"[hh]:mm"))</f>
        <v>#VALUE!</v>
      </c>
      <c r="AP99" s="172" t="e">
        <f>IF(VLOOKUP(T_BilanSocial[[#This Row],[NumL]],T_TraitDi[#Data],COLUMN(T_TraitDi[[#This Row],[Colonne9]]),FALSE)=0,"",TEXT(IFERROR(VLOOKUP(T_BilanSocial[[#This Row],[NumL]],T_TraitDi[#Data],COLUMN(T_TraitDi[[#This Row],[Colonne9]]),FALSE),""),"[hh]:mm"))</f>
        <v>#VALUE!</v>
      </c>
      <c r="AQ99" s="172" t="str">
        <f>IFERROR(VLOOKUP(T_BilanSocial[[#This Row],[NumL]],T_TraitDi[#Data],COLUMN(T_TraitDi[[#This Row],[Colonne10]]),FALSE),"")</f>
        <v/>
      </c>
      <c r="AR99" s="172" t="e">
        <f>IF(VLOOKUP(T_BilanSocial[[#This Row],[NumL]],T_TraitDi[#Data],COLUMN(T_TraitDi[[#This Row],[Colonne11]]),FALSE)=0,"",TEXT(IFERROR(VLOOKUP(T_BilanSocial[[#This Row],[NumL]],T_TraitDi[#Data],COLUMN(T_TraitDi[[#This Row],[Colonne11]]),FALSE),""),"[hh]:mm"))</f>
        <v>#VALUE!</v>
      </c>
      <c r="AS99" s="172" t="e">
        <f>IF(VLOOKUP(T_BilanSocial[[#This Row],[NumL]],T_TraitDi[#Data],COLUMN(T_TraitDi[[#This Row],[Colonne12]]),FALSE)=0,"",TEXT(IFERROR(VLOOKUP(T_BilanSocial[[#This Row],[NumL]],T_TraitDi[#Data],COLUMN(T_TraitDi[[#This Row],[Colonne12]]),FALSE),""),"[hh]:mm"))</f>
        <v>#VALUE!</v>
      </c>
      <c r="AT99" s="172" t="e">
        <f>IF(VLOOKUP(T_BilanSocial[[#This Row],[NumL]],T_TraitDi[#Data],COLUMN(T_TraitDi[[#This Row],[Colonne14]]),FALSE)=0,"",TEXT(IFERROR(VLOOKUP(T_BilanSocial[[#This Row],[NumL]],T_TraitDi[#Data],COLUMN(T_TraitDi[[#This Row],[Colonne14]]),FALSE),""),"[hh]:mm"))</f>
        <v>#VALUE!</v>
      </c>
      <c r="AU99" s="172" t="str">
        <f>IFERROR(VLOOKUP(T_BilanSocial[[#This Row],[NumL]],T_TraitDi[#Data],COLUMN(T_TraitDi[[#This Row],[Mercredi]]),FALSE),"")</f>
        <v/>
      </c>
      <c r="AV99" s="172" t="e">
        <f>IF(VLOOKUP(T_BilanSocial[[#This Row],[NumL]],T_TraitDi[#Data],COLUMN(T_TraitDi[[#This Row],[Colonne15]]),FALSE)=0,"",TEXT(IFERROR(VLOOKUP(T_BilanSocial[[#This Row],[NumL]],T_TraitDi[#Data],COLUMN(T_TraitDi[[#This Row],[Colonne15]]),FALSE),""),"[hh]:mm"))</f>
        <v>#VALUE!</v>
      </c>
      <c r="AW99" s="172" t="e">
        <f>IF(VLOOKUP(T_BilanSocial[[#This Row],[NumL]],T_TraitDi[#Data],COLUMN(T_TraitDi[[#This Row],[Colonne16]]),FALSE)=0,"",TEXT(IFERROR(VLOOKUP(T_BilanSocial[[#This Row],[NumL]],T_TraitDi[#Data],COLUMN(T_TraitDi[[#This Row],[Colonne16]]),FALSE),""),"[hh]:mm"))</f>
        <v>#VALUE!</v>
      </c>
      <c r="AX99" s="172" t="str">
        <f>IFERROR(VLOOKUP(T_BilanSocial[[#This Row],[NumL]],T_TraitDi[#Data],COLUMN(T_TraitDi[[#This Row],[Colonne17]]),FALSE),"")</f>
        <v/>
      </c>
      <c r="AY99" s="172" t="e">
        <f>IF(VLOOKUP(T_BilanSocial[[#This Row],[NumL]],T_TraitDi[#Data],COLUMN(T_TraitDi[[#This Row],[Colonne18]]),FALSE)=0,"",TEXT(IFERROR(VLOOKUP(T_BilanSocial[[#This Row],[NumL]],T_TraitDi[#Data],COLUMN(T_TraitDi[[#This Row],[Colonne18]]),FALSE),""),"[hh]:mm"))</f>
        <v>#VALUE!</v>
      </c>
      <c r="AZ99" s="172" t="e">
        <f>IF(VLOOKUP(T_BilanSocial[[#This Row],[NumL]],T_TraitDi[#Data],COLUMN(T_TraitDi[[#This Row],[Colonne19]]),FALSE)=0,"",TEXT(IFERROR(VLOOKUP(T_BilanSocial[[#This Row],[NumL]],T_TraitDi[#Data],COLUMN(T_TraitDi[[#This Row],[Colonne19]]),FALSE),""),"[hh]:mm"))</f>
        <v>#VALUE!</v>
      </c>
      <c r="BA99" s="172" t="e">
        <f>IF(VLOOKUP(T_BilanSocial[[#This Row],[NumL]],T_TraitDi[#Data],COLUMN(T_TraitDi[[#This Row],[Colonne20]]),FALSE)=0,"",TEXT(IFERROR(VLOOKUP(T_BilanSocial[[#This Row],[NumL]],T_TraitDi[#Data],COLUMN(T_TraitDi[[#This Row],[Colonne20]]),FALSE),""),"[hh]:mm"))</f>
        <v>#VALUE!</v>
      </c>
      <c r="BB99" s="178" t="str">
        <f>IFERROR(VLOOKUP(T_BilanSocial[[#This Row],[NumL]],T_TraitDi[#Data],COLUMN(T_TraitDi[[#This Row],[Jeudi]]),FALSE),"")</f>
        <v/>
      </c>
      <c r="BC99" s="178" t="e">
        <f>IF(VLOOKUP(T_BilanSocial[[#This Row],[NumL]],T_TraitDi[#Data],COLUMN(T_TraitDi[[#This Row],[Colonne21]]),FALSE)=0,"",TEXT(IFERROR(VLOOKUP(T_BilanSocial[[#This Row],[NumL]],T_TraitDi[#Data],COLUMN(T_TraitDi[[#This Row],[Colonne21]]),FALSE),""),"[hh]:mm"))</f>
        <v>#VALUE!</v>
      </c>
      <c r="BD99" s="178" t="e">
        <f>IF(VLOOKUP(T_BilanSocial[[#This Row],[NumL]],T_TraitDi[#Data],COLUMN(T_TraitDi[[#This Row],[Colonne22]]),FALSE)=0,"",TEXT(IFERROR(VLOOKUP(T_BilanSocial[[#This Row],[NumL]],T_TraitDi[#Data],COLUMN(T_TraitDi[[#This Row],[Colonne22]]),FALSE),""),"[hh]:mm"))</f>
        <v>#VALUE!</v>
      </c>
      <c r="BE99" s="178" t="str">
        <f>IFERROR(VLOOKUP(T_BilanSocial[[#This Row],[NumL]],T_TraitDi[#Data],COLUMN(T_TraitDi[[#This Row],[Colonne23]]),FALSE),"")</f>
        <v/>
      </c>
      <c r="BF99" s="178" t="e">
        <f>IF(VLOOKUP(T_BilanSocial[[#This Row],[NumL]],T_TraitDi[#Data],COLUMN(T_TraitDi[[#This Row],[Colonne24]]),FALSE)=0,"",TEXT(IFERROR(VLOOKUP(T_BilanSocial[[#This Row],[NumL]],T_TraitDi[#Data],COLUMN(T_TraitDi[[#This Row],[Colonne24]]),FALSE),""),"[hh]:mm"))</f>
        <v>#VALUE!</v>
      </c>
      <c r="BG99" s="178" t="e">
        <f>IF(VLOOKUP(T_BilanSocial[[#This Row],[NumL]],T_TraitDi[#Data],COLUMN(T_TraitDi[[#This Row],[Colonne25]]),FALSE)=0,"",TEXT(IFERROR(VLOOKUP(T_BilanSocial[[#This Row],[NumL]],T_TraitDi[#Data],COLUMN(T_TraitDi[[#This Row],[Colonne25]]),FALSE),""),"[hh]:mm"))</f>
        <v>#VALUE!</v>
      </c>
      <c r="BH99" s="178" t="e">
        <f>IF(VLOOKUP(T_BilanSocial[[#This Row],[NumL]],T_TraitDi[#Data],COLUMN(T_TraitDi[[#This Row],[Colonne26]]),FALSE)=0,"",TEXT(IFERROR(VLOOKUP(T_BilanSocial[[#This Row],[NumL]],T_TraitDi[#Data],COLUMN(T_TraitDi[[#This Row],[Colonne26]]),FALSE),""),"[hh]:mm"))</f>
        <v>#VALUE!</v>
      </c>
      <c r="BI99" s="172" t="str">
        <f>IFERROR(VLOOKUP(T_BilanSocial[[#This Row],[NumL]],T_TraitDi[#Data],COLUMN(T_TraitDi[[#This Row],[Vendredi]]),FALSE),"")</f>
        <v/>
      </c>
      <c r="BJ99" s="172" t="e">
        <f>IF(VLOOKUP(T_BilanSocial[[#This Row],[NumL]],T_TraitDi[#Data],COLUMN(T_TraitDi[[#This Row],[Colonne27]]),FALSE)=0,"",TEXT(IFERROR(VLOOKUP(T_BilanSocial[[#This Row],[NumL]],T_TraitDi[#Data],COLUMN(T_TraitDi[[#This Row],[Colonne27]]),FALSE),""),"[hh]:mm"))</f>
        <v>#VALUE!</v>
      </c>
      <c r="BK99" s="172" t="e">
        <f>IF(VLOOKUP(T_BilanSocial[[#This Row],[NumL]],T_TraitDi[#Data],COLUMN(T_TraitDi[[#This Row],[Colonne28]]),FALSE)=0,"",TEXT(IFERROR(VLOOKUP(T_BilanSocial[[#This Row],[NumL]],T_TraitDi[#Data],COLUMN(T_TraitDi[[#This Row],[Colonne28]]),FALSE),""),"[hh]:mm"))</f>
        <v>#VALUE!</v>
      </c>
      <c r="BL99" s="172" t="str">
        <f>IFERROR(VLOOKUP(T_BilanSocial[[#This Row],[NumL]],T_TraitDi[#Data],COLUMN(T_TraitDi[[#This Row],[Colonne29]]),FALSE),"")</f>
        <v/>
      </c>
      <c r="BM99" s="172" t="e">
        <f>IF(VLOOKUP(T_BilanSocial[[#This Row],[NumL]],T_TraitDi[#Data],COLUMN(T_TraitDi[[#This Row],[Colonne30]]),FALSE)=0,"",TEXT(IFERROR(VLOOKUP(T_BilanSocial[[#This Row],[NumL]],T_TraitDi[#Data],COLUMN(T_TraitDi[[#This Row],[Colonne30]]),FALSE),""),"[hh]:mm"))</f>
        <v>#VALUE!</v>
      </c>
      <c r="BN99" s="172" t="e">
        <f>IF(VLOOKUP(T_BilanSocial[[#This Row],[NumL]],T_TraitDi[#Data],COLUMN(T_TraitDi[[#This Row],[Colonne31]]),FALSE)=0,"",TEXT(IFERROR(VLOOKUP(T_BilanSocial[[#This Row],[NumL]],T_TraitDi[#Data],COLUMN(T_TraitDi[[#This Row],[Colonne31]]),FALSE),""),"[hh]:mm"))</f>
        <v>#VALUE!</v>
      </c>
      <c r="BO99" s="172" t="e">
        <f>IF(VLOOKUP(T_BilanSocial[[#This Row],[NumL]],T_TraitDi[#Data],COLUMN(T_TraitDi[[#This Row],[Colonne32]]),FALSE)=0,"",TEXT(IFERROR(VLOOKUP(T_BilanSocial[[#This Row],[NumL]],T_TraitDi[#Data],COLUMN(T_TraitDi[[#This Row],[Colonne32]]),FALSE),""),"[hh]:mm"))</f>
        <v>#VALUE!</v>
      </c>
      <c r="BP99" s="172" t="e">
        <f>VLOOKUP(T_BilanSocial[[#This Row],[NumL]],T_TraitDi[#Data],COLUMN(T_TraitDi[NbJTot]),FALSE)</f>
        <v>#N/A</v>
      </c>
      <c r="BQ99" s="174" t="str">
        <f>IFERROR(VLOOKUP(T_BilanSocial[[#This Row],[NumL]],T_TraitDi[#Data],COLUMN(T_TraitDi[[#This Row],[NbJTW]]),FALSE),"")</f>
        <v/>
      </c>
      <c r="BR99" s="174" t="e">
        <f>IF(VLOOKUP(T_BilanSocial[[#This Row],[NumL]],T_TraitDi[#Data],COLUMN(T_TraitDi[[#This Row],[NbhTW]]),FALSE)=0,"",TEXT(IFERROR(VLOOKUP(T_BilanSocial[[#This Row],[NumL]],T_TraitDi[#Data],COLUMN(T_TraitDi[[#This Row],[NbhTW]]),FALSE),""),"[hh]:mm"))</f>
        <v>#VALUE!</v>
      </c>
      <c r="BS99" s="174" t="e">
        <f>IF(VLOOKUP(T_BilanSocial[[#This Row],[NumL]],T_TraitDi[#Data],COLUMN(T_TraitDi[[#This Row],[Nbhheb]]),FALSE)=0,"",TEXT(IFERROR(VLOOKUP($A99,T_TraitDi[#Data],COLUMN(T_TraitDi[[#This Row],[Nbhheb]]),FALSE),""),"[hh]:mm"))</f>
        <v>#VALUE!</v>
      </c>
      <c r="BT99" s="182" t="str">
        <f>IFERROR(VLOOKUP(VLOOKUP($A99,T_TraitDi[#Data],COLUMN(T_TraitDi[[#This Row],[Type1]]),FALSE),TypeTW,2,FALSE),"")</f>
        <v/>
      </c>
      <c r="BU99" s="182" t="str">
        <f>IFERROR(VLOOKUP($A99,T_TraitDi[#Data],COLUMN(T_TraitDi[[#This Row],[Rue1]]),FALSE),"")</f>
        <v/>
      </c>
      <c r="BV99" s="173" t="str">
        <f>IFERROR(VLOOKUP($A99,T_TraitDi[#Data],COLUMN(T_TraitDi[[#This Row],[CP1]]),FALSE),"")</f>
        <v/>
      </c>
      <c r="BW99" s="173" t="str">
        <f>IFERROR(VLOOKUP($A99,T_TraitDi[#Data],COLUMN(T_TraitDi[[#This Row],[VILLE1]]),FALSE),"")</f>
        <v/>
      </c>
      <c r="BX99" s="182" t="str">
        <f>IFERROR(VLOOKUP(VLOOKUP($A99,T_TraitDi[#Data],COLUMN(T_TraitDi[[#This Row],[Type2]]),FALSE),TypeTW,2,FALSE),"")</f>
        <v/>
      </c>
      <c r="BY99" s="182" t="str">
        <f>IFERROR(VLOOKUP($A99,T_TraitDi[#Data],COLUMN(T_TraitDi[[#This Row],[Rue2]]),FALSE),"")</f>
        <v/>
      </c>
      <c r="BZ99" s="173" t="str">
        <f>IFERROR(VLOOKUP($A99,T_TraitDi[#Data],COLUMN(T_TraitDi[[#This Row],[CP2]]),FALSE),"")</f>
        <v/>
      </c>
      <c r="CA99" s="173" t="str">
        <f>IFERROR(VLOOKUP($A99,T_TraitDi[#Data],COLUMN(T_TraitDi[[#This Row],[VILLE2]]),FALSE),"")</f>
        <v/>
      </c>
      <c r="CB99" s="182" t="str">
        <f>IF(VLOOKUP(T_BilanSocial[[#This Row],[NumL]],T_Equipement[#Data],COLUMN(T_Equipement[[#This Row],[PC]]),FALSE)="","Aucun équipement spécifique directement lié au télétravail",VLOOKUP(T_BilanSocial[[#This Row],[NumL]],T_Equipement[#Data],COLUMN(T_Equipement[[#This Row],[PC]]),FALSE))</f>
        <v xml:space="preserve">19-580	</v>
      </c>
      <c r="CC99" s="166" t="str">
        <f>IFERROR(IF(VLOOKUP(T_BilanSocial[[#This Row],[NumL]],T_TraitDi[#Data],COLUMN(T_TraitDi[[#This Row],[Plan]]),FALSE)="OK","Un planning spécifique de télétravail est annexé à la présente convention.",""),"")</f>
        <v/>
      </c>
      <c r="CD99" s="185"/>
      <c r="CE99" s="164" t="e">
        <f>IF(VLOOKUP(T_BilanSocial[[#This Row],[NumL]],T_suiviDi[#Data],COLUMN(T_suiviDi[[#This Row],[Entité]]),FALSE)="","",VLOOKUP(T_BilanSocial[[#This Row],[NumL]],T_suiviDi[#Data],COLUMN(T_suiviDi[[#This Row],[Entité]]),FALSE))</f>
        <v>#VALUE!</v>
      </c>
      <c r="CF99" s="164" t="str">
        <f>IF(VLOOKUP(T_BilanSocial[[#This Row],[NumL]],T_Commission[#Data],COLUMN(T_Commission[[#This Row],[envoi confirm TW]]),FALSE)="","",VLOOKUP(T_BilanSocial[[#This Row],[NumL]],T_Commission[#Data],COLUMN(T_Commission[[#This Row],[envoi confirm TW]]),FALSE))</f>
        <v>Oui</v>
      </c>
      <c r="CG9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99" s="262" t="str">
        <f>T_BilanSocial[[#This Row],[Nom]]&amp;T_BilanSocial[[#This Row],[Prenom]]</f>
        <v/>
      </c>
      <c r="CI99" s="262">
        <f>VLOOKUP(T_BilanSocial[[#This Row],[NumL]],T_Commission[#Data],COLUMN(T_Commission[Commentaire]),FALSE)</f>
        <v>0</v>
      </c>
      <c r="CJ99" s="262" t="str">
        <f>IF(VLOOKUP(T_BilanSocial[[#This Row],[NumL]],T_Commission[#Data],COLUMN(T_Commission[Encadrant Email]),FALSE)="","",VLOOKUP(T_BilanSocial[[#This Row],[NumL]],T_Commission[#Data],COLUMN(T_Commission[Encadrant Email]),FALSE))</f>
        <v/>
      </c>
      <c r="CK99" s="340" t="str">
        <f>IF(T_BilanSocial[[#This Row],[Final]]&lt;&gt;"",VLOOKUP(T_BilanSocial[[#This Row],[NumL]],T_suiviDi[#Data],COLUMN((T_suiviDi[Statut])),FALSE),"")</f>
        <v/>
      </c>
    </row>
    <row r="100" spans="1:89" s="106" customFormat="1" ht="24.75" customHeight="1" x14ac:dyDescent="0.25">
      <c r="A100" s="160">
        <v>97</v>
      </c>
      <c r="B100" s="161" t="str">
        <f t="shared" si="10"/>
        <v/>
      </c>
      <c r="C100" s="162" t="s">
        <v>139</v>
      </c>
      <c r="D100" s="95" t="e">
        <f>IF(VLOOKUP(T_BilanSocial[[#This Row],[NumL]],T_TraitDi[#Data],COLUMN(T_TraitDi[[#This Row],[WebC]]),FALSE)="","",VLOOKUP(T_BilanSocial[[#This Row],[NumL]],T_TraitDi[#Data],COLUMN(T_TraitDi[[#This Row],[WebC]]),FALSE))</f>
        <v>#VALUE!</v>
      </c>
      <c r="E100" s="163" t="str">
        <f t="shared" si="11"/>
        <v>12 janvier 2021</v>
      </c>
      <c r="F100" s="96" t="str">
        <f>IF(T_BilanSocial[[#This Row],[Final]]&lt;&gt;"",VLOOKUP(T_BilanSocial[[#This Row],[NumL]],T_suiviDi[#Data],COLUMN((T_suiviDi[Civ.])),FALSE),"")</f>
        <v/>
      </c>
      <c r="G100" s="96" t="str">
        <f>IF(T_BilanSocial[[#This Row],[Final]]&lt;&gt;"",VLOOKUP(T_BilanSocial[[#This Row],[NumL]],T_suiviDi[#Data],COLUMN((T_suiviDi[Nom])),FALSE),"")</f>
        <v/>
      </c>
      <c r="H100" s="96" t="str">
        <f>IF(T_BilanSocial[[#This Row],[Final]]&lt;&gt;"",VLOOKUP(T_BilanSocial[[#This Row],[NumL]],T_suiviDi[#Data],COLUMN((T_suiviDi[Prénom])),FALSE),"")</f>
        <v/>
      </c>
      <c r="I100" s="96" t="str">
        <f>IFERROR(VLOOKUP(T_BilanSocial[[#This Row],[Zone_Bilan]],T_P_BilanSocial[#Data],COLUMN(T_P_BilanSocial[[#This Row],[Numero_SIHAM]]),FALSE),"")</f>
        <v/>
      </c>
      <c r="J100" s="96" t="str">
        <f>IFERROR(VLOOKUP(T_BilanSocial[[#This Row],[Zone_Bilan]],T_P_BilanSocial[#Data],COLUMN(T_P_BilanSocial[[#This Row],[Sexe]]),FALSE),"")</f>
        <v/>
      </c>
      <c r="K100" s="97" t="str">
        <f>IFERROR(VLOOKUP(T_BilanSocial[[#This Row],[Zone_Bilan]],T_P_BilanSocial[#Data],COLUMN(T_P_BilanSocial[[#This Row],[Categorie]]),FALSE),"")</f>
        <v/>
      </c>
      <c r="L100" s="96" t="str">
        <f>IFERROR(VLOOKUP(T_BilanSocial[[#This Row],[Zone_Bilan]],T_P_BilanSocial[#Data],COLUMN(T_P_BilanSocial[[#This Row],[Statut]]),FALSE),"")</f>
        <v/>
      </c>
      <c r="M100" s="96" t="str">
        <f>IFERROR(VLOOKUP(T_BilanSocial[[#This Row],[Zone_Bilan]],T_P_BilanSocial[#Data],COLUMN(T_P_BilanSocial[[#This Row],[Filiere]]),FALSE),"")</f>
        <v/>
      </c>
      <c r="N100" s="96" t="e">
        <f>VLOOKUP(T_BilanSocial[[#This Row],[NumL]],T_TraitDi[#Data],COLUMN(T_TraitDi[EXP]),FALSE)</f>
        <v>#N/A</v>
      </c>
      <c r="O100" s="96" t="e">
        <f>VLOOKUP(T_BilanSocial[[#This Row],[NumL]],T_TraitDi[#Data],COLUMN(T_TraitDi[FORM]),FALSE)</f>
        <v>#N/A</v>
      </c>
      <c r="P100" s="96" t="str">
        <f>IF(T_BilanSocial[[#This Row],[Final]]&lt;&gt;"",VLOOKUP(T_BilanSocial[[#This Row],[NumL]],T_suiviDi[#Data],COLUMN((T_suiviDi[Email])),FALSE),"")</f>
        <v/>
      </c>
      <c r="Q100" s="164" t="e">
        <f t="shared" si="17"/>
        <v>#N/A</v>
      </c>
      <c r="R100" s="164" t="e">
        <f t="shared" si="18"/>
        <v>#N/A</v>
      </c>
      <c r="S100" s="164" t="e">
        <f>IF(VLOOKUP(T_BilanSocial[[#This Row],[NumL]],T_suiviDi[#Data],COLUMN(T_suiviDi[[#This Row],[Service ]]),FALSE)="","",VLOOKUP(T_BilanSocial[[#This Row],[NumL]],T_suiviDi[#Data],COLUMN(T_suiviDi[[#This Row],[Service ]]),FALSE))</f>
        <v>#VALUE!</v>
      </c>
      <c r="T100" s="164" t="str">
        <f t="shared" si="12"/>
        <v>01 septembre 2021</v>
      </c>
      <c r="U100" s="164" t="str">
        <f t="shared" si="13"/>
        <v>30 novembre 2021</v>
      </c>
      <c r="V100" s="164" t="str">
        <f t="shared" si="20"/>
        <v>30 novembre 2021</v>
      </c>
      <c r="W100" s="176" t="e">
        <f>IF(VLOOKUP(T_BilanSocial[[#This Row],[NumL]],T_TraitDi[#Data],COLUMN(T_TraitDi[[#This Row],[M1]]),FALSE)="","",VLOOKUP(T_BilanSocial[[#This Row],[NumL]],T_TraitDi[#Data],COLUMN(T_TraitDi[[#This Row],[M1]]),FALSE))</f>
        <v>#VALUE!</v>
      </c>
      <c r="X100" s="176" t="e">
        <f>IF(VLOOKUP(T_BilanSocial[[#This Row],[NumL]],T_TraitDi[#Data],COLUMN(T_TraitDi[[#This Row],[M2]]),FALSE)="","",VLOOKUP(T_BilanSocial[[#This Row],[NumL]],T_TraitDi[#Data],COLUMN(T_TraitDi[[#This Row],[M2]]),FALSE))</f>
        <v>#VALUE!</v>
      </c>
      <c r="Y100" s="176" t="e">
        <f>IF(VLOOKUP(T_BilanSocial[[#This Row],[NumL]],T_TraitDi[#Data],COLUMN(T_TraitDi[[#This Row],[M3]]),FALSE)="","",VLOOKUP(T_BilanSocial[[#This Row],[NumL]],T_TraitDi[#Data],COLUMN(T_TraitDi[[#This Row],[M3]]),FALSE))</f>
        <v>#VALUE!</v>
      </c>
      <c r="Z100" s="176" t="str">
        <f t="shared" si="16"/>
        <v/>
      </c>
      <c r="AA100" s="176" t="e">
        <f>IF(VLOOKUP(T_BilanSocial[[#This Row],[NumL]],T_TraitDi[#Data],COLUMN(T_TraitDi[[#This Row],[M5]]),FALSE)="","",VLOOKUP(T_BilanSocial[[#This Row],[NumL]],T_TraitDi[#Data],COLUMN(T_TraitDi[[#This Row],[M5]]),FALSE))</f>
        <v>#VALUE!</v>
      </c>
      <c r="AB100" s="176" t="e">
        <f>IF(VLOOKUP(T_BilanSocial[[#This Row],[NumL]],T_TraitDi[#Data],COLUMN(T_TraitDi[[#This Row],[M6]]),FALSE)="","",VLOOKUP(T_BilanSocial[[#This Row],[NumL]],T_TraitDi[#Data],COLUMN(T_TraitDi[[#This Row],[M6]]),FALSE))</f>
        <v>#VALUE!</v>
      </c>
      <c r="AC100" s="165" t="e">
        <f t="shared" si="15"/>
        <v>#VALUE!</v>
      </c>
      <c r="AD100" s="188" t="str">
        <f>IFERROR(TEXT(VLOOKUP(T_BilanSocial[[#This Row],[NumL]],T_TraitDi[#Data],COLUMN(T_TraitDi[[#This Row],[Q2]]),FALSE),"###%"),"")</f>
        <v/>
      </c>
      <c r="AE100" s="97" t="e">
        <f>VLOOKUP(T_BilanSocial[[#This Row],[NumL]],T_TraitDi[#Data],COLUMN(T_TraitDi[[#This Row],[Reg Ponct]]),FALSE)</f>
        <v>#VALUE!</v>
      </c>
      <c r="AF100" s="97" t="e">
        <f>VLOOKUP(T_BilanSocial[NumL],T_TraitDi[#Data],COLUMN(T_TraitDi[[#This Row],[Jours flottants]]),FALSE)</f>
        <v>#VALUE!</v>
      </c>
      <c r="AG100" s="97" t="str">
        <f>IFERROR(VLOOKUP(T_BilanSocial[[#This Row],[NumL]],T_TraitDi[#Data],COLUMN(T_TraitDi[[#This Row],[Lundi]]),FALSE),"")</f>
        <v/>
      </c>
      <c r="AH100" s="172" t="e">
        <f>IF(VLOOKUP(T_BilanSocial[[#This Row],[NumL]],T_TraitDi[#Data],COLUMN(T_TraitDi[[#This Row],[Colonne3]]),FALSE)=0,"",TEXT(IFERROR(VLOOKUP(T_BilanSocial[[#This Row],[NumL]],T_TraitDi[#Data],COLUMN(T_TraitDi[[#This Row],[Colonne3]]),FALSE),""),"[hh]:mm"))</f>
        <v>#VALUE!</v>
      </c>
      <c r="AI100" s="172" t="e">
        <f>IF(VLOOKUP(T_BilanSocial[[#This Row],[NumL]],T_TraitDi[#Data],COLUMN(T_TraitDi[[#This Row],[Colonne4]]),FALSE)=0,"",TEXT(IFERROR(VLOOKUP(T_BilanSocial[[#This Row],[NumL]],T_TraitDi[#Data],COLUMN(T_TraitDi[[#This Row],[Colonne4]]),FALSE),""),"[hh]:mm"))</f>
        <v>#VALUE!</v>
      </c>
      <c r="AJ100" s="172" t="e">
        <f>IF(VLOOKUP(T_BilanSocial[[#This Row],[NumL]],T_TraitDi[#Data],COLUMN(T_TraitDi[[#This Row],[Colonne5]]),FALSE)=0,"",TEXT(IFERROR(VLOOKUP(T_BilanSocial[[#This Row],[NumL]],T_TraitDi[#Data],COLUMN(T_TraitDi[[#This Row],[Colonne5]]),FALSE),""),"[hh]:mm"))</f>
        <v>#VALUE!</v>
      </c>
      <c r="AK100" s="172" t="e">
        <f>IF(VLOOKUP(T_BilanSocial[[#This Row],[NumL]],T_TraitDi[#Data],COLUMN(T_TraitDi[[#This Row],[Colonne6]]),FALSE)=0,"",TEXT(IFERROR(VLOOKUP(T_BilanSocial[[#This Row],[NumL]],T_TraitDi[#Data],COLUMN(T_TraitDi[[#This Row],[Colonne6]]),FALSE),""),"[hh]:mm"))</f>
        <v>#VALUE!</v>
      </c>
      <c r="AL100" s="172" t="e">
        <f>IF(VLOOKUP(T_BilanSocial[[#This Row],[NumL]],T_TraitDi[#Data],COLUMN(T_TraitDi[[#This Row],[Colonne7]]),FALSE)=0,"",TEXT(IFERROR(VLOOKUP(T_BilanSocial[[#This Row],[NumL]],T_TraitDi[#Data],COLUMN(T_TraitDi[[#This Row],[Colonne7]]),FALSE),""),"[hh]:mm"))</f>
        <v>#VALUE!</v>
      </c>
      <c r="AM100" s="172" t="e">
        <f>IF(VLOOKUP(T_BilanSocial[[#This Row],[NumL]],T_TraitDi[#Data],COLUMN(T_TraitDi[[#This Row],[Colonne8]]),FALSE)=0,"",TEXT(IFERROR(VLOOKUP(T_BilanSocial[[#This Row],[NumL]],T_TraitDi[#Data],COLUMN(T_TraitDi[[#This Row],[Colonne8]]),FALSE),""),"[hh]:mm"))</f>
        <v>#VALUE!</v>
      </c>
      <c r="AN100" s="172" t="str">
        <f>IFERROR(VLOOKUP(T_BilanSocial[[#This Row],[NumL]],T_TraitDi[#Data],COLUMN(T_TraitDi[[#This Row],[Mardi]]),FALSE),"")</f>
        <v/>
      </c>
      <c r="AO100" s="172" t="e">
        <f>IF(VLOOKUP(T_BilanSocial[[#This Row],[NumL]],T_TraitDi[#Data],COLUMN(T_TraitDi[[#This Row],[Colonne1]]),FALSE)=0,"",TEXT(IFERROR(VLOOKUP(T_BilanSocial[[#This Row],[NumL]],T_TraitDi[#Data],COLUMN(T_TraitDi[[#This Row],[Colonne1]]),FALSE),""),"[hh]:mm"))</f>
        <v>#VALUE!</v>
      </c>
      <c r="AP100" s="172" t="e">
        <f>IF(VLOOKUP(T_BilanSocial[[#This Row],[NumL]],T_TraitDi[#Data],COLUMN(T_TraitDi[[#This Row],[Colonne9]]),FALSE)=0,"",TEXT(IFERROR(VLOOKUP(T_BilanSocial[[#This Row],[NumL]],T_TraitDi[#Data],COLUMN(T_TraitDi[[#This Row],[Colonne9]]),FALSE),""),"[hh]:mm"))</f>
        <v>#VALUE!</v>
      </c>
      <c r="AQ100" s="172" t="str">
        <f>IFERROR(VLOOKUP(T_BilanSocial[[#This Row],[NumL]],T_TraitDi[#Data],COLUMN(T_TraitDi[[#This Row],[Colonne10]]),FALSE),"")</f>
        <v/>
      </c>
      <c r="AR100" s="172" t="e">
        <f>IF(VLOOKUP(T_BilanSocial[[#This Row],[NumL]],T_TraitDi[#Data],COLUMN(T_TraitDi[[#This Row],[Colonne11]]),FALSE)=0,"",TEXT(IFERROR(VLOOKUP(T_BilanSocial[[#This Row],[NumL]],T_TraitDi[#Data],COLUMN(T_TraitDi[[#This Row],[Colonne11]]),FALSE),""),"[hh]:mm"))</f>
        <v>#VALUE!</v>
      </c>
      <c r="AS100" s="172" t="e">
        <f>IF(VLOOKUP(T_BilanSocial[[#This Row],[NumL]],T_TraitDi[#Data],COLUMN(T_TraitDi[[#This Row],[Colonne12]]),FALSE)=0,"",TEXT(IFERROR(VLOOKUP(T_BilanSocial[[#This Row],[NumL]],T_TraitDi[#Data],COLUMN(T_TraitDi[[#This Row],[Colonne12]]),FALSE),""),"[hh]:mm"))</f>
        <v>#VALUE!</v>
      </c>
      <c r="AT100" s="172" t="e">
        <f>IF(VLOOKUP(T_BilanSocial[[#This Row],[NumL]],T_TraitDi[#Data],COLUMN(T_TraitDi[[#This Row],[Colonne14]]),FALSE)=0,"",TEXT(IFERROR(VLOOKUP(T_BilanSocial[[#This Row],[NumL]],T_TraitDi[#Data],COLUMN(T_TraitDi[[#This Row],[Colonne14]]),FALSE),""),"[hh]:mm"))</f>
        <v>#VALUE!</v>
      </c>
      <c r="AU100" s="172" t="str">
        <f>IFERROR(VLOOKUP(T_BilanSocial[[#This Row],[NumL]],T_TraitDi[#Data],COLUMN(T_TraitDi[[#This Row],[Mercredi]]),FALSE),"")</f>
        <v/>
      </c>
      <c r="AV100" s="172" t="e">
        <f>IF(VLOOKUP(T_BilanSocial[[#This Row],[NumL]],T_TraitDi[#Data],COLUMN(T_TraitDi[[#This Row],[Colonne15]]),FALSE)=0,"",TEXT(IFERROR(VLOOKUP(T_BilanSocial[[#This Row],[NumL]],T_TraitDi[#Data],COLUMN(T_TraitDi[[#This Row],[Colonne15]]),FALSE),""),"[hh]:mm"))</f>
        <v>#VALUE!</v>
      </c>
      <c r="AW100" s="172" t="e">
        <f>IF(VLOOKUP(T_BilanSocial[[#This Row],[NumL]],T_TraitDi[#Data],COLUMN(T_TraitDi[[#This Row],[Colonne16]]),FALSE)=0,"",TEXT(IFERROR(VLOOKUP(T_BilanSocial[[#This Row],[NumL]],T_TraitDi[#Data],COLUMN(T_TraitDi[[#This Row],[Colonne16]]),FALSE),""),"[hh]:mm"))</f>
        <v>#VALUE!</v>
      </c>
      <c r="AX100" s="172" t="str">
        <f>IFERROR(VLOOKUP(T_BilanSocial[[#This Row],[NumL]],T_TraitDi[#Data],COLUMN(T_TraitDi[[#This Row],[Colonne17]]),FALSE),"")</f>
        <v/>
      </c>
      <c r="AY100" s="172" t="e">
        <f>IF(VLOOKUP(T_BilanSocial[[#This Row],[NumL]],T_TraitDi[#Data],COLUMN(T_TraitDi[[#This Row],[Colonne18]]),FALSE)=0,"",TEXT(IFERROR(VLOOKUP(T_BilanSocial[[#This Row],[NumL]],T_TraitDi[#Data],COLUMN(T_TraitDi[[#This Row],[Colonne18]]),FALSE),""),"[hh]:mm"))</f>
        <v>#VALUE!</v>
      </c>
      <c r="AZ100" s="172" t="e">
        <f>IF(VLOOKUP(T_BilanSocial[[#This Row],[NumL]],T_TraitDi[#Data],COLUMN(T_TraitDi[[#This Row],[Colonne19]]),FALSE)=0,"",TEXT(IFERROR(VLOOKUP(T_BilanSocial[[#This Row],[NumL]],T_TraitDi[#Data],COLUMN(T_TraitDi[[#This Row],[Colonne19]]),FALSE),""),"[hh]:mm"))</f>
        <v>#VALUE!</v>
      </c>
      <c r="BA100" s="172" t="e">
        <f>IF(VLOOKUP(T_BilanSocial[[#This Row],[NumL]],T_TraitDi[#Data],COLUMN(T_TraitDi[[#This Row],[Colonne20]]),FALSE)=0,"",TEXT(IFERROR(VLOOKUP(T_BilanSocial[[#This Row],[NumL]],T_TraitDi[#Data],COLUMN(T_TraitDi[[#This Row],[Colonne20]]),FALSE),""),"[hh]:mm"))</f>
        <v>#VALUE!</v>
      </c>
      <c r="BB100" s="178" t="str">
        <f>IFERROR(VLOOKUP(T_BilanSocial[[#This Row],[NumL]],T_TraitDi[#Data],COLUMN(T_TraitDi[[#This Row],[Jeudi]]),FALSE),"")</f>
        <v/>
      </c>
      <c r="BC100" s="178" t="e">
        <f>IF(VLOOKUP(T_BilanSocial[[#This Row],[NumL]],T_TraitDi[#Data],COLUMN(T_TraitDi[[#This Row],[Colonne21]]),FALSE)=0,"",TEXT(IFERROR(VLOOKUP(T_BilanSocial[[#This Row],[NumL]],T_TraitDi[#Data],COLUMN(T_TraitDi[[#This Row],[Colonne21]]),FALSE),""),"[hh]:mm"))</f>
        <v>#VALUE!</v>
      </c>
      <c r="BD100" s="178" t="e">
        <f>IF(VLOOKUP(T_BilanSocial[[#This Row],[NumL]],T_TraitDi[#Data],COLUMN(T_TraitDi[[#This Row],[Colonne22]]),FALSE)=0,"",TEXT(IFERROR(VLOOKUP(T_BilanSocial[[#This Row],[NumL]],T_TraitDi[#Data],COLUMN(T_TraitDi[[#This Row],[Colonne22]]),FALSE),""),"[hh]:mm"))</f>
        <v>#VALUE!</v>
      </c>
      <c r="BE100" s="178" t="str">
        <f>IFERROR(VLOOKUP(T_BilanSocial[[#This Row],[NumL]],T_TraitDi[#Data],COLUMN(T_TraitDi[[#This Row],[Colonne23]]),FALSE),"")</f>
        <v/>
      </c>
      <c r="BF100" s="178" t="e">
        <f>IF(VLOOKUP(T_BilanSocial[[#This Row],[NumL]],T_TraitDi[#Data],COLUMN(T_TraitDi[[#This Row],[Colonne24]]),FALSE)=0,"",TEXT(IFERROR(VLOOKUP(T_BilanSocial[[#This Row],[NumL]],T_TraitDi[#Data],COLUMN(T_TraitDi[[#This Row],[Colonne24]]),FALSE),""),"[hh]:mm"))</f>
        <v>#VALUE!</v>
      </c>
      <c r="BG100" s="178" t="e">
        <f>IF(VLOOKUP(T_BilanSocial[[#This Row],[NumL]],T_TraitDi[#Data],COLUMN(T_TraitDi[[#This Row],[Colonne25]]),FALSE)=0,"",TEXT(IFERROR(VLOOKUP(T_BilanSocial[[#This Row],[NumL]],T_TraitDi[#Data],COLUMN(T_TraitDi[[#This Row],[Colonne25]]),FALSE),""),"[hh]:mm"))</f>
        <v>#VALUE!</v>
      </c>
      <c r="BH100" s="178" t="e">
        <f>IF(VLOOKUP(T_BilanSocial[[#This Row],[NumL]],T_TraitDi[#Data],COLUMN(T_TraitDi[[#This Row],[Colonne26]]),FALSE)=0,"",TEXT(IFERROR(VLOOKUP(T_BilanSocial[[#This Row],[NumL]],T_TraitDi[#Data],COLUMN(T_TraitDi[[#This Row],[Colonne26]]),FALSE),""),"[hh]:mm"))</f>
        <v>#VALUE!</v>
      </c>
      <c r="BI100" s="172" t="str">
        <f>IFERROR(VLOOKUP(T_BilanSocial[[#This Row],[NumL]],T_TraitDi[#Data],COLUMN(T_TraitDi[[#This Row],[Vendredi]]),FALSE),"")</f>
        <v/>
      </c>
      <c r="BJ100" s="172" t="e">
        <f>IF(VLOOKUP(T_BilanSocial[[#This Row],[NumL]],T_TraitDi[#Data],COLUMN(T_TraitDi[[#This Row],[Colonne27]]),FALSE)=0,"",TEXT(IFERROR(VLOOKUP(T_BilanSocial[[#This Row],[NumL]],T_TraitDi[#Data],COLUMN(T_TraitDi[[#This Row],[Colonne27]]),FALSE),""),"[hh]:mm"))</f>
        <v>#VALUE!</v>
      </c>
      <c r="BK100" s="172" t="e">
        <f>IF(VLOOKUP(T_BilanSocial[[#This Row],[NumL]],T_TraitDi[#Data],COLUMN(T_TraitDi[[#This Row],[Colonne28]]),FALSE)=0,"",TEXT(IFERROR(VLOOKUP(T_BilanSocial[[#This Row],[NumL]],T_TraitDi[#Data],COLUMN(T_TraitDi[[#This Row],[Colonne28]]),FALSE),""),"[hh]:mm"))</f>
        <v>#VALUE!</v>
      </c>
      <c r="BL100" s="172" t="str">
        <f>IFERROR(VLOOKUP(T_BilanSocial[[#This Row],[NumL]],T_TraitDi[#Data],COLUMN(T_TraitDi[[#This Row],[Colonne29]]),FALSE),"")</f>
        <v/>
      </c>
      <c r="BM100" s="172" t="e">
        <f>IF(VLOOKUP(T_BilanSocial[[#This Row],[NumL]],T_TraitDi[#Data],COLUMN(T_TraitDi[[#This Row],[Colonne30]]),FALSE)=0,"",TEXT(IFERROR(VLOOKUP(T_BilanSocial[[#This Row],[NumL]],T_TraitDi[#Data],COLUMN(T_TraitDi[[#This Row],[Colonne30]]),FALSE),""),"[hh]:mm"))</f>
        <v>#VALUE!</v>
      </c>
      <c r="BN100" s="172" t="e">
        <f>IF(VLOOKUP(T_BilanSocial[[#This Row],[NumL]],T_TraitDi[#Data],COLUMN(T_TraitDi[[#This Row],[Colonne31]]),FALSE)=0,"",TEXT(IFERROR(VLOOKUP(T_BilanSocial[[#This Row],[NumL]],T_TraitDi[#Data],COLUMN(T_TraitDi[[#This Row],[Colonne31]]),FALSE),""),"[hh]:mm"))</f>
        <v>#VALUE!</v>
      </c>
      <c r="BO100" s="172" t="e">
        <f>IF(VLOOKUP(T_BilanSocial[[#This Row],[NumL]],T_TraitDi[#Data],COLUMN(T_TraitDi[[#This Row],[Colonne32]]),FALSE)=0,"",TEXT(IFERROR(VLOOKUP(T_BilanSocial[[#This Row],[NumL]],T_TraitDi[#Data],COLUMN(T_TraitDi[[#This Row],[Colonne32]]),FALSE),""),"[hh]:mm"))</f>
        <v>#VALUE!</v>
      </c>
      <c r="BP100" s="172" t="e">
        <f>VLOOKUP(T_BilanSocial[[#This Row],[NumL]],T_TraitDi[#Data],COLUMN(T_TraitDi[NbJTot]),FALSE)</f>
        <v>#N/A</v>
      </c>
      <c r="BQ100" s="174" t="str">
        <f>IFERROR(VLOOKUP(T_BilanSocial[[#This Row],[NumL]],T_TraitDi[#Data],COLUMN(T_TraitDi[[#This Row],[NbJTW]]),FALSE),"")</f>
        <v/>
      </c>
      <c r="BR100" s="174" t="e">
        <f>IF(VLOOKUP(T_BilanSocial[[#This Row],[NumL]],T_TraitDi[#Data],COLUMN(T_TraitDi[[#This Row],[NbhTW]]),FALSE)=0,"",TEXT(IFERROR(VLOOKUP(T_BilanSocial[[#This Row],[NumL]],T_TraitDi[#Data],COLUMN(T_TraitDi[[#This Row],[NbhTW]]),FALSE),""),"[hh]:mm"))</f>
        <v>#VALUE!</v>
      </c>
      <c r="BS100" s="174" t="e">
        <f>IF(VLOOKUP(T_BilanSocial[[#This Row],[NumL]],T_TraitDi[#Data],COLUMN(T_TraitDi[[#This Row],[Nbhheb]]),FALSE)=0,"",TEXT(IFERROR(VLOOKUP($A100,T_TraitDi[#Data],COLUMN(T_TraitDi[[#This Row],[Nbhheb]]),FALSE),""),"[hh]:mm"))</f>
        <v>#VALUE!</v>
      </c>
      <c r="BT100" s="182" t="str">
        <f>IFERROR(VLOOKUP(VLOOKUP($A100,T_TraitDi[#Data],COLUMN(T_TraitDi[[#This Row],[Type1]]),FALSE),TypeTW,2,FALSE),"")</f>
        <v/>
      </c>
      <c r="BU100" s="182" t="str">
        <f>IFERROR(VLOOKUP($A100,T_TraitDi[#Data],COLUMN(T_TraitDi[[#This Row],[Rue1]]),FALSE),"")</f>
        <v/>
      </c>
      <c r="BV100" s="173" t="str">
        <f>IFERROR(VLOOKUP($A100,T_TraitDi[#Data],COLUMN(T_TraitDi[[#This Row],[CP1]]),FALSE),"")</f>
        <v/>
      </c>
      <c r="BW100" s="173" t="str">
        <f>IFERROR(VLOOKUP($A100,T_TraitDi[#Data],COLUMN(T_TraitDi[[#This Row],[VILLE1]]),FALSE),"")</f>
        <v/>
      </c>
      <c r="BX100" s="182" t="str">
        <f>IFERROR(VLOOKUP(VLOOKUP($A100,T_TraitDi[#Data],COLUMN(T_TraitDi[[#This Row],[Type2]]),FALSE),TypeTW,2,FALSE),"")</f>
        <v/>
      </c>
      <c r="BY100" s="182" t="str">
        <f>IFERROR(VLOOKUP($A100,T_TraitDi[#Data],COLUMN(T_TraitDi[[#This Row],[Rue2]]),FALSE),"")</f>
        <v/>
      </c>
      <c r="BZ100" s="173" t="str">
        <f>IFERROR(VLOOKUP($A100,T_TraitDi[#Data],COLUMN(T_TraitDi[[#This Row],[CP2]]),FALSE),"")</f>
        <v/>
      </c>
      <c r="CA100" s="173" t="str">
        <f>IFERROR(VLOOKUP($A100,T_TraitDi[#Data],COLUMN(T_TraitDi[[#This Row],[VILLE2]]),FALSE),"")</f>
        <v/>
      </c>
      <c r="CB100" s="182" t="str">
        <f>IF(VLOOKUP(T_BilanSocial[[#This Row],[NumL]],T_Equipement[#Data],COLUMN(T_Equipement[[#This Row],[PC]]),FALSE)="","Aucun équipement spécifique directement lié au télétravail",VLOOKUP(T_BilanSocial[[#This Row],[NumL]],T_Equipement[#Data],COLUMN(T_Equipement[[#This Row],[PC]]),FALSE))</f>
        <v xml:space="preserve">20-094	</v>
      </c>
      <c r="CC100" s="166" t="str">
        <f>IFERROR(IF(VLOOKUP(T_BilanSocial[[#This Row],[NumL]],T_TraitDi[#Data],COLUMN(T_TraitDi[[#This Row],[Plan]]),FALSE)="OK","Un planning spécifique de télétravail est annexé à la présente convention.",""),"")</f>
        <v/>
      </c>
      <c r="CD100" s="185"/>
      <c r="CE100" s="164" t="e">
        <f>IF(VLOOKUP(T_BilanSocial[[#This Row],[NumL]],T_suiviDi[#Data],COLUMN(T_suiviDi[[#This Row],[Entité]]),FALSE)="","",VLOOKUP(T_BilanSocial[[#This Row],[NumL]],T_suiviDi[#Data],COLUMN(T_suiviDi[[#This Row],[Entité]]),FALSE))</f>
        <v>#VALUE!</v>
      </c>
      <c r="CF100" s="164" t="str">
        <f>IF(VLOOKUP(T_BilanSocial[[#This Row],[NumL]],T_Commission[#Data],COLUMN(T_Commission[[#This Row],[envoi confirm TW]]),FALSE)="","",VLOOKUP(T_BilanSocial[[#This Row],[NumL]],T_Commission[#Data],COLUMN(T_Commission[[#This Row],[envoi confirm TW]]),FALSE))</f>
        <v>Oui</v>
      </c>
      <c r="CG10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0" s="262" t="str">
        <f>T_BilanSocial[[#This Row],[Nom]]&amp;T_BilanSocial[[#This Row],[Prenom]]</f>
        <v/>
      </c>
      <c r="CI100" s="262">
        <f>VLOOKUP(T_BilanSocial[[#This Row],[NumL]],T_Commission[#Data],COLUMN(T_Commission[Commentaire]),FALSE)</f>
        <v>0</v>
      </c>
      <c r="CJ100" s="262" t="str">
        <f>IF(VLOOKUP(T_BilanSocial[[#This Row],[NumL]],T_Commission[#Data],COLUMN(T_Commission[Encadrant Email]),FALSE)="","",VLOOKUP(T_BilanSocial[[#This Row],[NumL]],T_Commission[#Data],COLUMN(T_Commission[Encadrant Email]),FALSE))</f>
        <v/>
      </c>
      <c r="CK100" s="340" t="str">
        <f>IF(T_BilanSocial[[#This Row],[Final]]&lt;&gt;"",VLOOKUP(T_BilanSocial[[#This Row],[NumL]],T_suiviDi[#Data],COLUMN((T_suiviDi[Statut])),FALSE),"")</f>
        <v/>
      </c>
    </row>
    <row r="101" spans="1:89" s="106" customFormat="1" ht="24.75" customHeight="1" x14ac:dyDescent="0.25">
      <c r="A101" s="160">
        <v>98</v>
      </c>
      <c r="B101" s="161" t="str">
        <f t="shared" si="10"/>
        <v/>
      </c>
      <c r="C101" s="162" t="s">
        <v>173</v>
      </c>
      <c r="D101" s="95" t="e">
        <f>IF(VLOOKUP(T_BilanSocial[[#This Row],[NumL]],T_TraitDi[#Data],COLUMN(T_TraitDi[[#This Row],[WebC]]),FALSE)="","",VLOOKUP(T_BilanSocial[[#This Row],[NumL]],T_TraitDi[#Data],COLUMN(T_TraitDi[[#This Row],[WebC]]),FALSE))</f>
        <v>#VALUE!</v>
      </c>
      <c r="E101" s="163" t="str">
        <f t="shared" si="11"/>
        <v>12 janvier 2021</v>
      </c>
      <c r="F101" s="96" t="str">
        <f>IF(T_BilanSocial[[#This Row],[Final]]&lt;&gt;"",VLOOKUP(T_BilanSocial[[#This Row],[NumL]],T_suiviDi[#Data],COLUMN((T_suiviDi[Civ.])),FALSE),"")</f>
        <v/>
      </c>
      <c r="G101" s="96" t="str">
        <f>IF(T_BilanSocial[[#This Row],[Final]]&lt;&gt;"",VLOOKUP(T_BilanSocial[[#This Row],[NumL]],T_suiviDi[#Data],COLUMN((T_suiviDi[Nom])),FALSE),"")</f>
        <v/>
      </c>
      <c r="H101" s="96" t="str">
        <f>IF(T_BilanSocial[[#This Row],[Final]]&lt;&gt;"",VLOOKUP(T_BilanSocial[[#This Row],[NumL]],T_suiviDi[#Data],COLUMN((T_suiviDi[Prénom])),FALSE),"")</f>
        <v/>
      </c>
      <c r="I101" s="96" t="str">
        <f>IFERROR(VLOOKUP(T_BilanSocial[[#This Row],[Zone_Bilan]],T_P_BilanSocial[#Data],COLUMN(T_P_BilanSocial[[#This Row],[Numero_SIHAM]]),FALSE),"")</f>
        <v/>
      </c>
      <c r="J101" s="96" t="str">
        <f>IFERROR(VLOOKUP(T_BilanSocial[[#This Row],[Zone_Bilan]],T_P_BilanSocial[#Data],COLUMN(T_P_BilanSocial[[#This Row],[Sexe]]),FALSE),"")</f>
        <v/>
      </c>
      <c r="K101" s="97" t="str">
        <f>IFERROR(VLOOKUP(T_BilanSocial[[#This Row],[Zone_Bilan]],T_P_BilanSocial[#Data],COLUMN(T_P_BilanSocial[[#This Row],[Categorie]]),FALSE),"")</f>
        <v/>
      </c>
      <c r="L101" s="96" t="str">
        <f>IFERROR(VLOOKUP(T_BilanSocial[[#This Row],[Zone_Bilan]],T_P_BilanSocial[#Data],COLUMN(T_P_BilanSocial[[#This Row],[Statut]]),FALSE),"")</f>
        <v/>
      </c>
      <c r="M101" s="96" t="str">
        <f>IFERROR(VLOOKUP(T_BilanSocial[[#This Row],[Zone_Bilan]],T_P_BilanSocial[#Data],COLUMN(T_P_BilanSocial[[#This Row],[Filiere]]),FALSE),"")</f>
        <v/>
      </c>
      <c r="N101" s="96" t="e">
        <f>VLOOKUP(T_BilanSocial[[#This Row],[NumL]],T_TraitDi[#Data],COLUMN(T_TraitDi[EXP]),FALSE)</f>
        <v>#N/A</v>
      </c>
      <c r="O101" s="96" t="e">
        <f>VLOOKUP(T_BilanSocial[[#This Row],[NumL]],T_TraitDi[#Data],COLUMN(T_TraitDi[FORM]),FALSE)</f>
        <v>#N/A</v>
      </c>
      <c r="P101" s="96" t="str">
        <f>IF(T_BilanSocial[[#This Row],[Final]]&lt;&gt;"",VLOOKUP(T_BilanSocial[[#This Row],[NumL]],T_suiviDi[#Data],COLUMN((T_suiviDi[Email])),FALSE),"")</f>
        <v/>
      </c>
      <c r="Q101" s="164" t="e">
        <f t="shared" si="17"/>
        <v>#N/A</v>
      </c>
      <c r="R101" s="164" t="e">
        <f t="shared" si="18"/>
        <v>#N/A</v>
      </c>
      <c r="S101" s="164" t="e">
        <f>IF(VLOOKUP(T_BilanSocial[[#This Row],[NumL]],T_suiviDi[#Data],COLUMN(T_suiviDi[[#This Row],[Service ]]),FALSE)="","",VLOOKUP(T_BilanSocial[[#This Row],[NumL]],T_suiviDi[#Data],COLUMN(T_suiviDi[[#This Row],[Service ]]),FALSE))</f>
        <v>#VALUE!</v>
      </c>
      <c r="T101" s="164" t="str">
        <f t="shared" si="12"/>
        <v>01 septembre 2021</v>
      </c>
      <c r="U101" s="164" t="str">
        <f t="shared" si="13"/>
        <v>30 novembre 2021</v>
      </c>
      <c r="V101" s="164" t="str">
        <f t="shared" si="20"/>
        <v>30 novembre 2021</v>
      </c>
      <c r="W101" s="176" t="e">
        <f>IF(VLOOKUP(T_BilanSocial[[#This Row],[NumL]],T_TraitDi[#Data],COLUMN(T_TraitDi[[#This Row],[M1]]),FALSE)="","",VLOOKUP(T_BilanSocial[[#This Row],[NumL]],T_TraitDi[#Data],COLUMN(T_TraitDi[[#This Row],[M1]]),FALSE))</f>
        <v>#VALUE!</v>
      </c>
      <c r="X101" s="176" t="e">
        <f>IF(VLOOKUP(T_BilanSocial[[#This Row],[NumL]],T_TraitDi[#Data],COLUMN(T_TraitDi[[#This Row],[M2]]),FALSE)="","",VLOOKUP(T_BilanSocial[[#This Row],[NumL]],T_TraitDi[#Data],COLUMN(T_TraitDi[[#This Row],[M2]]),FALSE))</f>
        <v>#VALUE!</v>
      </c>
      <c r="Y101" s="176" t="e">
        <f>IF(VLOOKUP(T_BilanSocial[[#This Row],[NumL]],T_TraitDi[#Data],COLUMN(T_TraitDi[[#This Row],[M3]]),FALSE)="","",VLOOKUP(T_BilanSocial[[#This Row],[NumL]],T_TraitDi[#Data],COLUMN(T_TraitDi[[#This Row],[M3]]),FALSE))</f>
        <v>#VALUE!</v>
      </c>
      <c r="Z101" s="176" t="str">
        <f t="shared" si="16"/>
        <v/>
      </c>
      <c r="AA101" s="176" t="e">
        <f>IF(VLOOKUP(T_BilanSocial[[#This Row],[NumL]],T_TraitDi[#Data],COLUMN(T_TraitDi[[#This Row],[M5]]),FALSE)="","",VLOOKUP(T_BilanSocial[[#This Row],[NumL]],T_TraitDi[#Data],COLUMN(T_TraitDi[[#This Row],[M5]]),FALSE))</f>
        <v>#VALUE!</v>
      </c>
      <c r="AB101" s="176" t="e">
        <f>IF(VLOOKUP(T_BilanSocial[[#This Row],[NumL]],T_TraitDi[#Data],COLUMN(T_TraitDi[[#This Row],[M6]]),FALSE)="","",VLOOKUP(T_BilanSocial[[#This Row],[NumL]],T_TraitDi[#Data],COLUMN(T_TraitDi[[#This Row],[M6]]),FALSE))</f>
        <v>#VALUE!</v>
      </c>
      <c r="AC101" s="165" t="e">
        <f t="shared" si="15"/>
        <v>#VALUE!</v>
      </c>
      <c r="AD101" s="188" t="str">
        <f>IFERROR(TEXT(VLOOKUP(T_BilanSocial[[#This Row],[NumL]],T_TraitDi[#Data],COLUMN(T_TraitDi[[#This Row],[Q2]]),FALSE),"###%"),"")</f>
        <v/>
      </c>
      <c r="AE101" s="97" t="e">
        <f>VLOOKUP(T_BilanSocial[[#This Row],[NumL]],T_TraitDi[#Data],COLUMN(T_TraitDi[[#This Row],[Reg Ponct]]),FALSE)</f>
        <v>#VALUE!</v>
      </c>
      <c r="AF101" s="97" t="e">
        <f>VLOOKUP(T_BilanSocial[NumL],T_TraitDi[#Data],COLUMN(T_TraitDi[[#This Row],[Jours flottants]]),FALSE)</f>
        <v>#VALUE!</v>
      </c>
      <c r="AG101" s="97" t="str">
        <f>IFERROR(VLOOKUP(T_BilanSocial[[#This Row],[NumL]],T_TraitDi[#Data],COLUMN(T_TraitDi[[#This Row],[Lundi]]),FALSE),"")</f>
        <v/>
      </c>
      <c r="AH101" s="172" t="e">
        <f>IF(VLOOKUP(T_BilanSocial[[#This Row],[NumL]],T_TraitDi[#Data],COLUMN(T_TraitDi[[#This Row],[Colonne3]]),FALSE)=0,"",TEXT(IFERROR(VLOOKUP(T_BilanSocial[[#This Row],[NumL]],T_TraitDi[#Data],COLUMN(T_TraitDi[[#This Row],[Colonne3]]),FALSE),""),"[hh]:mm"))</f>
        <v>#VALUE!</v>
      </c>
      <c r="AI101" s="172" t="e">
        <f>IF(VLOOKUP(T_BilanSocial[[#This Row],[NumL]],T_TraitDi[#Data],COLUMN(T_TraitDi[[#This Row],[Colonne4]]),FALSE)=0,"",TEXT(IFERROR(VLOOKUP(T_BilanSocial[[#This Row],[NumL]],T_TraitDi[#Data],COLUMN(T_TraitDi[[#This Row],[Colonne4]]),FALSE),""),"[hh]:mm"))</f>
        <v>#VALUE!</v>
      </c>
      <c r="AJ101" s="172" t="e">
        <f>IF(VLOOKUP(T_BilanSocial[[#This Row],[NumL]],T_TraitDi[#Data],COLUMN(T_TraitDi[[#This Row],[Colonne5]]),FALSE)=0,"",TEXT(IFERROR(VLOOKUP(T_BilanSocial[[#This Row],[NumL]],T_TraitDi[#Data],COLUMN(T_TraitDi[[#This Row],[Colonne5]]),FALSE),""),"[hh]:mm"))</f>
        <v>#VALUE!</v>
      </c>
      <c r="AK101" s="172" t="e">
        <f>IF(VLOOKUP(T_BilanSocial[[#This Row],[NumL]],T_TraitDi[#Data],COLUMN(T_TraitDi[[#This Row],[Colonne6]]),FALSE)=0,"",TEXT(IFERROR(VLOOKUP(T_BilanSocial[[#This Row],[NumL]],T_TraitDi[#Data],COLUMN(T_TraitDi[[#This Row],[Colonne6]]),FALSE),""),"[hh]:mm"))</f>
        <v>#VALUE!</v>
      </c>
      <c r="AL101" s="172" t="e">
        <f>IF(VLOOKUP(T_BilanSocial[[#This Row],[NumL]],T_TraitDi[#Data],COLUMN(T_TraitDi[[#This Row],[Colonne7]]),FALSE)=0,"",TEXT(IFERROR(VLOOKUP(T_BilanSocial[[#This Row],[NumL]],T_TraitDi[#Data],COLUMN(T_TraitDi[[#This Row],[Colonne7]]),FALSE),""),"[hh]:mm"))</f>
        <v>#VALUE!</v>
      </c>
      <c r="AM101" s="172" t="e">
        <f>IF(VLOOKUP(T_BilanSocial[[#This Row],[NumL]],T_TraitDi[#Data],COLUMN(T_TraitDi[[#This Row],[Colonne8]]),FALSE)=0,"",TEXT(IFERROR(VLOOKUP(T_BilanSocial[[#This Row],[NumL]],T_TraitDi[#Data],COLUMN(T_TraitDi[[#This Row],[Colonne8]]),FALSE),""),"[hh]:mm"))</f>
        <v>#VALUE!</v>
      </c>
      <c r="AN101" s="172" t="str">
        <f>IFERROR(VLOOKUP(T_BilanSocial[[#This Row],[NumL]],T_TraitDi[#Data],COLUMN(T_TraitDi[[#This Row],[Mardi]]),FALSE),"")</f>
        <v/>
      </c>
      <c r="AO101" s="172" t="e">
        <f>IF(VLOOKUP(T_BilanSocial[[#This Row],[NumL]],T_TraitDi[#Data],COLUMN(T_TraitDi[[#This Row],[Colonne1]]),FALSE)=0,"",TEXT(IFERROR(VLOOKUP(T_BilanSocial[[#This Row],[NumL]],T_TraitDi[#Data],COLUMN(T_TraitDi[[#This Row],[Colonne1]]),FALSE),""),"[hh]:mm"))</f>
        <v>#VALUE!</v>
      </c>
      <c r="AP101" s="172" t="e">
        <f>IF(VLOOKUP(T_BilanSocial[[#This Row],[NumL]],T_TraitDi[#Data],COLUMN(T_TraitDi[[#This Row],[Colonne9]]),FALSE)=0,"",TEXT(IFERROR(VLOOKUP(T_BilanSocial[[#This Row],[NumL]],T_TraitDi[#Data],COLUMN(T_TraitDi[[#This Row],[Colonne9]]),FALSE),""),"[hh]:mm"))</f>
        <v>#VALUE!</v>
      </c>
      <c r="AQ101" s="172" t="str">
        <f>IFERROR(VLOOKUP(T_BilanSocial[[#This Row],[NumL]],T_TraitDi[#Data],COLUMN(T_TraitDi[[#This Row],[Colonne10]]),FALSE),"")</f>
        <v/>
      </c>
      <c r="AR101" s="172" t="e">
        <f>IF(VLOOKUP(T_BilanSocial[[#This Row],[NumL]],T_TraitDi[#Data],COLUMN(T_TraitDi[[#This Row],[Colonne11]]),FALSE)=0,"",TEXT(IFERROR(VLOOKUP(T_BilanSocial[[#This Row],[NumL]],T_TraitDi[#Data],COLUMN(T_TraitDi[[#This Row],[Colonne11]]),FALSE),""),"[hh]:mm"))</f>
        <v>#VALUE!</v>
      </c>
      <c r="AS101" s="172" t="e">
        <f>IF(VLOOKUP(T_BilanSocial[[#This Row],[NumL]],T_TraitDi[#Data],COLUMN(T_TraitDi[[#This Row],[Colonne12]]),FALSE)=0,"",TEXT(IFERROR(VLOOKUP(T_BilanSocial[[#This Row],[NumL]],T_TraitDi[#Data],COLUMN(T_TraitDi[[#This Row],[Colonne12]]),FALSE),""),"[hh]:mm"))</f>
        <v>#VALUE!</v>
      </c>
      <c r="AT101" s="172" t="e">
        <f>IF(VLOOKUP(T_BilanSocial[[#This Row],[NumL]],T_TraitDi[#Data],COLUMN(T_TraitDi[[#This Row],[Colonne14]]),FALSE)=0,"",TEXT(IFERROR(VLOOKUP(T_BilanSocial[[#This Row],[NumL]],T_TraitDi[#Data],COLUMN(T_TraitDi[[#This Row],[Colonne14]]),FALSE),""),"[hh]:mm"))</f>
        <v>#VALUE!</v>
      </c>
      <c r="AU101" s="172" t="str">
        <f>IFERROR(VLOOKUP(T_BilanSocial[[#This Row],[NumL]],T_TraitDi[#Data],COLUMN(T_TraitDi[[#This Row],[Mercredi]]),FALSE),"")</f>
        <v/>
      </c>
      <c r="AV101" s="172" t="e">
        <f>IF(VLOOKUP(T_BilanSocial[[#This Row],[NumL]],T_TraitDi[#Data],COLUMN(T_TraitDi[[#This Row],[Colonne15]]),FALSE)=0,"",TEXT(IFERROR(VLOOKUP(T_BilanSocial[[#This Row],[NumL]],T_TraitDi[#Data],COLUMN(T_TraitDi[[#This Row],[Colonne15]]),FALSE),""),"[hh]:mm"))</f>
        <v>#VALUE!</v>
      </c>
      <c r="AW101" s="172" t="e">
        <f>IF(VLOOKUP(T_BilanSocial[[#This Row],[NumL]],T_TraitDi[#Data],COLUMN(T_TraitDi[[#This Row],[Colonne16]]),FALSE)=0,"",TEXT(IFERROR(VLOOKUP(T_BilanSocial[[#This Row],[NumL]],T_TraitDi[#Data],COLUMN(T_TraitDi[[#This Row],[Colonne16]]),FALSE),""),"[hh]:mm"))</f>
        <v>#VALUE!</v>
      </c>
      <c r="AX101" s="172" t="str">
        <f>IFERROR(VLOOKUP(T_BilanSocial[[#This Row],[NumL]],T_TraitDi[#Data],COLUMN(T_TraitDi[[#This Row],[Colonne17]]),FALSE),"")</f>
        <v/>
      </c>
      <c r="AY101" s="172" t="e">
        <f>IF(VLOOKUP(T_BilanSocial[[#This Row],[NumL]],T_TraitDi[#Data],COLUMN(T_TraitDi[[#This Row],[Colonne18]]),FALSE)=0,"",TEXT(IFERROR(VLOOKUP(T_BilanSocial[[#This Row],[NumL]],T_TraitDi[#Data],COLUMN(T_TraitDi[[#This Row],[Colonne18]]),FALSE),""),"[hh]:mm"))</f>
        <v>#VALUE!</v>
      </c>
      <c r="AZ101" s="172" t="e">
        <f>IF(VLOOKUP(T_BilanSocial[[#This Row],[NumL]],T_TraitDi[#Data],COLUMN(T_TraitDi[[#This Row],[Colonne19]]),FALSE)=0,"",TEXT(IFERROR(VLOOKUP(T_BilanSocial[[#This Row],[NumL]],T_TraitDi[#Data],COLUMN(T_TraitDi[[#This Row],[Colonne19]]),FALSE),""),"[hh]:mm"))</f>
        <v>#VALUE!</v>
      </c>
      <c r="BA101" s="172" t="e">
        <f>IF(VLOOKUP(T_BilanSocial[[#This Row],[NumL]],T_TraitDi[#Data],COLUMN(T_TraitDi[[#This Row],[Colonne20]]),FALSE)=0,"",TEXT(IFERROR(VLOOKUP(T_BilanSocial[[#This Row],[NumL]],T_TraitDi[#Data],COLUMN(T_TraitDi[[#This Row],[Colonne20]]),FALSE),""),"[hh]:mm"))</f>
        <v>#VALUE!</v>
      </c>
      <c r="BB101" s="178" t="str">
        <f>IFERROR(VLOOKUP(T_BilanSocial[[#This Row],[NumL]],T_TraitDi[#Data],COLUMN(T_TraitDi[[#This Row],[Jeudi]]),FALSE),"")</f>
        <v/>
      </c>
      <c r="BC101" s="178" t="e">
        <f>IF(VLOOKUP(T_BilanSocial[[#This Row],[NumL]],T_TraitDi[#Data],COLUMN(T_TraitDi[[#This Row],[Colonne21]]),FALSE)=0,"",TEXT(IFERROR(VLOOKUP(T_BilanSocial[[#This Row],[NumL]],T_TraitDi[#Data],COLUMN(T_TraitDi[[#This Row],[Colonne21]]),FALSE),""),"[hh]:mm"))</f>
        <v>#VALUE!</v>
      </c>
      <c r="BD101" s="178" t="e">
        <f>IF(VLOOKUP(T_BilanSocial[[#This Row],[NumL]],T_TraitDi[#Data],COLUMN(T_TraitDi[[#This Row],[Colonne22]]),FALSE)=0,"",TEXT(IFERROR(VLOOKUP(T_BilanSocial[[#This Row],[NumL]],T_TraitDi[#Data],COLUMN(T_TraitDi[[#This Row],[Colonne22]]),FALSE),""),"[hh]:mm"))</f>
        <v>#VALUE!</v>
      </c>
      <c r="BE101" s="178" t="str">
        <f>IFERROR(VLOOKUP(T_BilanSocial[[#This Row],[NumL]],T_TraitDi[#Data],COLUMN(T_TraitDi[[#This Row],[Colonne23]]),FALSE),"")</f>
        <v/>
      </c>
      <c r="BF101" s="178" t="e">
        <f>IF(VLOOKUP(T_BilanSocial[[#This Row],[NumL]],T_TraitDi[#Data],COLUMN(T_TraitDi[[#This Row],[Colonne24]]),FALSE)=0,"",TEXT(IFERROR(VLOOKUP(T_BilanSocial[[#This Row],[NumL]],T_TraitDi[#Data],COLUMN(T_TraitDi[[#This Row],[Colonne24]]),FALSE),""),"[hh]:mm"))</f>
        <v>#VALUE!</v>
      </c>
      <c r="BG101" s="178" t="e">
        <f>IF(VLOOKUP(T_BilanSocial[[#This Row],[NumL]],T_TraitDi[#Data],COLUMN(T_TraitDi[[#This Row],[Colonne25]]),FALSE)=0,"",TEXT(IFERROR(VLOOKUP(T_BilanSocial[[#This Row],[NumL]],T_TraitDi[#Data],COLUMN(T_TraitDi[[#This Row],[Colonne25]]),FALSE),""),"[hh]:mm"))</f>
        <v>#VALUE!</v>
      </c>
      <c r="BH101" s="178" t="e">
        <f>IF(VLOOKUP(T_BilanSocial[[#This Row],[NumL]],T_TraitDi[#Data],COLUMN(T_TraitDi[[#This Row],[Colonne26]]),FALSE)=0,"",TEXT(IFERROR(VLOOKUP(T_BilanSocial[[#This Row],[NumL]],T_TraitDi[#Data],COLUMN(T_TraitDi[[#This Row],[Colonne26]]),FALSE),""),"[hh]:mm"))</f>
        <v>#VALUE!</v>
      </c>
      <c r="BI101" s="172" t="str">
        <f>IFERROR(VLOOKUP(T_BilanSocial[[#This Row],[NumL]],T_TraitDi[#Data],COLUMN(T_TraitDi[[#This Row],[Vendredi]]),FALSE),"")</f>
        <v/>
      </c>
      <c r="BJ101" s="172" t="e">
        <f>IF(VLOOKUP(T_BilanSocial[[#This Row],[NumL]],T_TraitDi[#Data],COLUMN(T_TraitDi[[#This Row],[Colonne27]]),FALSE)=0,"",TEXT(IFERROR(VLOOKUP(T_BilanSocial[[#This Row],[NumL]],T_TraitDi[#Data],COLUMN(T_TraitDi[[#This Row],[Colonne27]]),FALSE),""),"[hh]:mm"))</f>
        <v>#VALUE!</v>
      </c>
      <c r="BK101" s="172" t="e">
        <f>IF(VLOOKUP(T_BilanSocial[[#This Row],[NumL]],T_TraitDi[#Data],COLUMN(T_TraitDi[[#This Row],[Colonne28]]),FALSE)=0,"",TEXT(IFERROR(VLOOKUP(T_BilanSocial[[#This Row],[NumL]],T_TraitDi[#Data],COLUMN(T_TraitDi[[#This Row],[Colonne28]]),FALSE),""),"[hh]:mm"))</f>
        <v>#VALUE!</v>
      </c>
      <c r="BL101" s="172" t="str">
        <f>IFERROR(VLOOKUP(T_BilanSocial[[#This Row],[NumL]],T_TraitDi[#Data],COLUMN(T_TraitDi[[#This Row],[Colonne29]]),FALSE),"")</f>
        <v/>
      </c>
      <c r="BM101" s="172" t="e">
        <f>IF(VLOOKUP(T_BilanSocial[[#This Row],[NumL]],T_TraitDi[#Data],COLUMN(T_TraitDi[[#This Row],[Colonne30]]),FALSE)=0,"",TEXT(IFERROR(VLOOKUP(T_BilanSocial[[#This Row],[NumL]],T_TraitDi[#Data],COLUMN(T_TraitDi[[#This Row],[Colonne30]]),FALSE),""),"[hh]:mm"))</f>
        <v>#VALUE!</v>
      </c>
      <c r="BN101" s="172" t="e">
        <f>IF(VLOOKUP(T_BilanSocial[[#This Row],[NumL]],T_TraitDi[#Data],COLUMN(T_TraitDi[[#This Row],[Colonne31]]),FALSE)=0,"",TEXT(IFERROR(VLOOKUP(T_BilanSocial[[#This Row],[NumL]],T_TraitDi[#Data],COLUMN(T_TraitDi[[#This Row],[Colonne31]]),FALSE),""),"[hh]:mm"))</f>
        <v>#VALUE!</v>
      </c>
      <c r="BO101" s="172" t="e">
        <f>IF(VLOOKUP(T_BilanSocial[[#This Row],[NumL]],T_TraitDi[#Data],COLUMN(T_TraitDi[[#This Row],[Colonne32]]),FALSE)=0,"",TEXT(IFERROR(VLOOKUP(T_BilanSocial[[#This Row],[NumL]],T_TraitDi[#Data],COLUMN(T_TraitDi[[#This Row],[Colonne32]]),FALSE),""),"[hh]:mm"))</f>
        <v>#VALUE!</v>
      </c>
      <c r="BP101" s="172" t="e">
        <f>VLOOKUP(T_BilanSocial[[#This Row],[NumL]],T_TraitDi[#Data],COLUMN(T_TraitDi[NbJTot]),FALSE)</f>
        <v>#N/A</v>
      </c>
      <c r="BQ101" s="174" t="str">
        <f>IFERROR(VLOOKUP(T_BilanSocial[[#This Row],[NumL]],T_TraitDi[#Data],COLUMN(T_TraitDi[[#This Row],[NbJTW]]),FALSE),"")</f>
        <v/>
      </c>
      <c r="BR101" s="174" t="e">
        <f>IF(VLOOKUP(T_BilanSocial[[#This Row],[NumL]],T_TraitDi[#Data],COLUMN(T_TraitDi[[#This Row],[NbhTW]]),FALSE)=0,"",TEXT(IFERROR(VLOOKUP(T_BilanSocial[[#This Row],[NumL]],T_TraitDi[#Data],COLUMN(T_TraitDi[[#This Row],[NbhTW]]),FALSE),""),"[hh]:mm"))</f>
        <v>#VALUE!</v>
      </c>
      <c r="BS101" s="174" t="e">
        <f>IF(VLOOKUP(T_BilanSocial[[#This Row],[NumL]],T_TraitDi[#Data],COLUMN(T_TraitDi[[#This Row],[Nbhheb]]),FALSE)=0,"",TEXT(IFERROR(VLOOKUP($A101,T_TraitDi[#Data],COLUMN(T_TraitDi[[#This Row],[Nbhheb]]),FALSE),""),"[hh]:mm"))</f>
        <v>#VALUE!</v>
      </c>
      <c r="BT101" s="182" t="str">
        <f>IFERROR(VLOOKUP(VLOOKUP($A101,T_TraitDi[#Data],COLUMN(T_TraitDi[[#This Row],[Type1]]),FALSE),TypeTW,2,FALSE),"")</f>
        <v/>
      </c>
      <c r="BU101" s="182" t="str">
        <f>IFERROR(VLOOKUP($A101,T_TraitDi[#Data],COLUMN(T_TraitDi[[#This Row],[Rue1]]),FALSE),"")</f>
        <v/>
      </c>
      <c r="BV101" s="173" t="str">
        <f>IFERROR(VLOOKUP($A101,T_TraitDi[#Data],COLUMN(T_TraitDi[[#This Row],[CP1]]),FALSE),"")</f>
        <v/>
      </c>
      <c r="BW101" s="173" t="str">
        <f>IFERROR(VLOOKUP($A101,T_TraitDi[#Data],COLUMN(T_TraitDi[[#This Row],[VILLE1]]),FALSE),"")</f>
        <v/>
      </c>
      <c r="BX101" s="182" t="str">
        <f>IFERROR(VLOOKUP(VLOOKUP($A101,T_TraitDi[#Data],COLUMN(T_TraitDi[[#This Row],[Type2]]),FALSE),TypeTW,2,FALSE),"")</f>
        <v/>
      </c>
      <c r="BY101" s="182" t="str">
        <f>IFERROR(VLOOKUP($A101,T_TraitDi[#Data],COLUMN(T_TraitDi[[#This Row],[Rue2]]),FALSE),"")</f>
        <v/>
      </c>
      <c r="BZ101" s="173" t="str">
        <f>IFERROR(VLOOKUP($A101,T_TraitDi[#Data],COLUMN(T_TraitDi[[#This Row],[CP2]]),FALSE),"")</f>
        <v/>
      </c>
      <c r="CA101" s="173" t="str">
        <f>IFERROR(VLOOKUP($A101,T_TraitDi[#Data],COLUMN(T_TraitDi[[#This Row],[VILLE2]]),FALSE),"")</f>
        <v/>
      </c>
      <c r="CB101" s="182" t="str">
        <f>IF(VLOOKUP(T_BilanSocial[[#This Row],[NumL]],T_Equipement[#Data],COLUMN(T_Equipement[[#This Row],[PC]]),FALSE)="","Aucun équipement spécifique directement lié au télétravail",VLOOKUP(T_BilanSocial[[#This Row],[NumL]],T_Equipement[#Data],COLUMN(T_Equipement[[#This Row],[PC]]),FALSE))</f>
        <v>20-3078</v>
      </c>
      <c r="CC101" s="166" t="str">
        <f>IFERROR(IF(VLOOKUP(T_BilanSocial[[#This Row],[NumL]],T_TraitDi[#Data],COLUMN(T_TraitDi[[#This Row],[Plan]]),FALSE)="OK","Un planning spécifique de télétravail est annexé à la présente convention.",""),"")</f>
        <v/>
      </c>
      <c r="CD101" s="258" t="s">
        <v>3418</v>
      </c>
      <c r="CE101" s="164" t="e">
        <f>IF(VLOOKUP(T_BilanSocial[[#This Row],[NumL]],T_suiviDi[#Data],COLUMN(T_suiviDi[[#This Row],[Entité]]),FALSE)="","",VLOOKUP(T_BilanSocial[[#This Row],[NumL]],T_suiviDi[#Data],COLUMN(T_suiviDi[[#This Row],[Entité]]),FALSE))</f>
        <v>#VALUE!</v>
      </c>
      <c r="CF101" s="164" t="str">
        <f>IF(VLOOKUP(T_BilanSocial[[#This Row],[NumL]],T_Commission[#Data],COLUMN(T_Commission[[#This Row],[envoi confirm TW]]),FALSE)="","",VLOOKUP(T_BilanSocial[[#This Row],[NumL]],T_Commission[#Data],COLUMN(T_Commission[[#This Row],[envoi confirm TW]]),FALSE))</f>
        <v>Oui</v>
      </c>
      <c r="CG10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1" s="262" t="str">
        <f>T_BilanSocial[[#This Row],[Nom]]&amp;T_BilanSocial[[#This Row],[Prenom]]</f>
        <v/>
      </c>
      <c r="CI101" s="262">
        <f>VLOOKUP(T_BilanSocial[[#This Row],[NumL]],T_Commission[#Data],COLUMN(T_Commission[Commentaire]),FALSE)</f>
        <v>0</v>
      </c>
      <c r="CJ101" s="262" t="str">
        <f>IF(VLOOKUP(T_BilanSocial[[#This Row],[NumL]],T_Commission[#Data],COLUMN(T_Commission[Encadrant Email]),FALSE)="","",VLOOKUP(T_BilanSocial[[#This Row],[NumL]],T_Commission[#Data],COLUMN(T_Commission[Encadrant Email]),FALSE))</f>
        <v/>
      </c>
      <c r="CK101" s="340" t="str">
        <f>IF(T_BilanSocial[[#This Row],[Final]]&lt;&gt;"",VLOOKUP(T_BilanSocial[[#This Row],[NumL]],T_suiviDi[#Data],COLUMN((T_suiviDi[Statut])),FALSE),"")</f>
        <v/>
      </c>
    </row>
    <row r="102" spans="1:89" s="106" customFormat="1" ht="24.75" customHeight="1" x14ac:dyDescent="0.25">
      <c r="A102" s="160">
        <v>99</v>
      </c>
      <c r="B102" s="161" t="str">
        <f t="shared" si="10"/>
        <v/>
      </c>
      <c r="C102" s="162" t="s">
        <v>173</v>
      </c>
      <c r="D102" s="95" t="e">
        <f>IF(VLOOKUP(T_BilanSocial[[#This Row],[NumL]],T_TraitDi[#Data],COLUMN(T_TraitDi[[#This Row],[WebC]]),FALSE)="","",VLOOKUP(T_BilanSocial[[#This Row],[NumL]],T_TraitDi[#Data],COLUMN(T_TraitDi[[#This Row],[WebC]]),FALSE))</f>
        <v>#VALUE!</v>
      </c>
      <c r="E102" s="163" t="str">
        <f t="shared" si="11"/>
        <v>12 janvier 2021</v>
      </c>
      <c r="F102" s="96" t="str">
        <f>IF(T_BilanSocial[[#This Row],[Final]]&lt;&gt;"",VLOOKUP(T_BilanSocial[[#This Row],[NumL]],T_suiviDi[#Data],COLUMN((T_suiviDi[Civ.])),FALSE),"")</f>
        <v/>
      </c>
      <c r="G102" s="96" t="str">
        <f>IF(T_BilanSocial[[#This Row],[Final]]&lt;&gt;"",VLOOKUP(T_BilanSocial[[#This Row],[NumL]],T_suiviDi[#Data],COLUMN((T_suiviDi[Nom])),FALSE),"")</f>
        <v/>
      </c>
      <c r="H102" s="96" t="str">
        <f>IF(T_BilanSocial[[#This Row],[Final]]&lt;&gt;"",VLOOKUP(T_BilanSocial[[#This Row],[NumL]],T_suiviDi[#Data],COLUMN((T_suiviDi[Prénom])),FALSE),"")</f>
        <v/>
      </c>
      <c r="I102" s="96" t="str">
        <f>IFERROR(VLOOKUP(T_BilanSocial[[#This Row],[Zone_Bilan]],T_P_BilanSocial[#Data],COLUMN(T_P_BilanSocial[[#This Row],[Numero_SIHAM]]),FALSE),"")</f>
        <v/>
      </c>
      <c r="J102" s="96" t="str">
        <f>IFERROR(VLOOKUP(T_BilanSocial[[#This Row],[Zone_Bilan]],T_P_BilanSocial[#Data],COLUMN(T_P_BilanSocial[[#This Row],[Sexe]]),FALSE),"")</f>
        <v/>
      </c>
      <c r="K102" s="97" t="str">
        <f>IFERROR(VLOOKUP(T_BilanSocial[[#This Row],[Zone_Bilan]],T_P_BilanSocial[#Data],COLUMN(T_P_BilanSocial[[#This Row],[Categorie]]),FALSE),"")</f>
        <v/>
      </c>
      <c r="L102" s="96" t="str">
        <f>IFERROR(VLOOKUP(T_BilanSocial[[#This Row],[Zone_Bilan]],T_P_BilanSocial[#Data],COLUMN(T_P_BilanSocial[[#This Row],[Statut]]),FALSE),"")</f>
        <v/>
      </c>
      <c r="M102" s="96" t="str">
        <f>IFERROR(VLOOKUP(T_BilanSocial[[#This Row],[Zone_Bilan]],T_P_BilanSocial[#Data],COLUMN(T_P_BilanSocial[[#This Row],[Filiere]]),FALSE),"")</f>
        <v/>
      </c>
      <c r="N102" s="96" t="e">
        <f>VLOOKUP(T_BilanSocial[[#This Row],[NumL]],T_TraitDi[#Data],COLUMN(T_TraitDi[EXP]),FALSE)</f>
        <v>#N/A</v>
      </c>
      <c r="O102" s="96" t="e">
        <f>VLOOKUP(T_BilanSocial[[#This Row],[NumL]],T_TraitDi[#Data],COLUMN(T_TraitDi[FORM]),FALSE)</f>
        <v>#N/A</v>
      </c>
      <c r="P102" s="96" t="str">
        <f>IF(T_BilanSocial[[#This Row],[Final]]&lt;&gt;"",VLOOKUP(T_BilanSocial[[#This Row],[NumL]],T_suiviDi[#Data],COLUMN((T_suiviDi[Email])),FALSE),"")</f>
        <v/>
      </c>
      <c r="Q102" s="164" t="e">
        <f t="shared" si="17"/>
        <v>#N/A</v>
      </c>
      <c r="R102" s="164" t="e">
        <f t="shared" si="18"/>
        <v>#N/A</v>
      </c>
      <c r="S102" s="164" t="e">
        <f>IF(VLOOKUP(T_BilanSocial[[#This Row],[NumL]],T_suiviDi[#Data],COLUMN(T_suiviDi[[#This Row],[Service ]]),FALSE)="","",VLOOKUP(T_BilanSocial[[#This Row],[NumL]],T_suiviDi[#Data],COLUMN(T_suiviDi[[#This Row],[Service ]]),FALSE))</f>
        <v>#VALUE!</v>
      </c>
      <c r="T102" s="164" t="str">
        <f t="shared" si="12"/>
        <v>01 septembre 2021</v>
      </c>
      <c r="U102" s="164" t="str">
        <f t="shared" si="13"/>
        <v>30 novembre 2021</v>
      </c>
      <c r="V102" s="164" t="str">
        <f t="shared" si="20"/>
        <v>30 novembre 2021</v>
      </c>
      <c r="W102" s="176" t="e">
        <f>IF(VLOOKUP(T_BilanSocial[[#This Row],[NumL]],T_TraitDi[#Data],COLUMN(T_TraitDi[[#This Row],[M1]]),FALSE)="","",VLOOKUP(T_BilanSocial[[#This Row],[NumL]],T_TraitDi[#Data],COLUMN(T_TraitDi[[#This Row],[M1]]),FALSE))</f>
        <v>#VALUE!</v>
      </c>
      <c r="X102" s="176" t="e">
        <f>IF(VLOOKUP(T_BilanSocial[[#This Row],[NumL]],T_TraitDi[#Data],COLUMN(T_TraitDi[[#This Row],[M2]]),FALSE)="","",VLOOKUP(T_BilanSocial[[#This Row],[NumL]],T_TraitDi[#Data],COLUMN(T_TraitDi[[#This Row],[M2]]),FALSE))</f>
        <v>#VALUE!</v>
      </c>
      <c r="Y102" s="176" t="e">
        <f>IF(VLOOKUP(T_BilanSocial[[#This Row],[NumL]],T_TraitDi[#Data],COLUMN(T_TraitDi[[#This Row],[M3]]),FALSE)="","",VLOOKUP(T_BilanSocial[[#This Row],[NumL]],T_TraitDi[#Data],COLUMN(T_TraitDi[[#This Row],[M3]]),FALSE))</f>
        <v>#VALUE!</v>
      </c>
      <c r="Z102" s="176" t="str">
        <f t="shared" si="16"/>
        <v/>
      </c>
      <c r="AA102" s="176" t="e">
        <f>IF(VLOOKUP(T_BilanSocial[[#This Row],[NumL]],T_TraitDi[#Data],COLUMN(T_TraitDi[[#This Row],[M5]]),FALSE)="","",VLOOKUP(T_BilanSocial[[#This Row],[NumL]],T_TraitDi[#Data],COLUMN(T_TraitDi[[#This Row],[M5]]),FALSE))</f>
        <v>#VALUE!</v>
      </c>
      <c r="AB102" s="176" t="e">
        <f>IF(VLOOKUP(T_BilanSocial[[#This Row],[NumL]],T_TraitDi[#Data],COLUMN(T_TraitDi[[#This Row],[M6]]),FALSE)="","",VLOOKUP(T_BilanSocial[[#This Row],[NumL]],T_TraitDi[#Data],COLUMN(T_TraitDi[[#This Row],[M6]]),FALSE))</f>
        <v>#VALUE!</v>
      </c>
      <c r="AC102" s="165" t="e">
        <f t="shared" si="15"/>
        <v>#VALUE!</v>
      </c>
      <c r="AD102" s="188" t="str">
        <f>IFERROR(TEXT(VLOOKUP(T_BilanSocial[[#This Row],[NumL]],T_TraitDi[#Data],COLUMN(T_TraitDi[[#This Row],[Q2]]),FALSE),"###%"),"")</f>
        <v/>
      </c>
      <c r="AE102" s="97" t="e">
        <f>VLOOKUP(T_BilanSocial[[#This Row],[NumL]],T_TraitDi[#Data],COLUMN(T_TraitDi[[#This Row],[Reg Ponct]]),FALSE)</f>
        <v>#VALUE!</v>
      </c>
      <c r="AF102" s="97" t="e">
        <f>VLOOKUP(T_BilanSocial[NumL],T_TraitDi[#Data],COLUMN(T_TraitDi[[#This Row],[Jours flottants]]),FALSE)</f>
        <v>#VALUE!</v>
      </c>
      <c r="AG102" s="97" t="str">
        <f>IFERROR(VLOOKUP(T_BilanSocial[[#This Row],[NumL]],T_TraitDi[#Data],COLUMN(T_TraitDi[[#This Row],[Lundi]]),FALSE),"")</f>
        <v/>
      </c>
      <c r="AH102" s="172" t="e">
        <f>IF(VLOOKUP(T_BilanSocial[[#This Row],[NumL]],T_TraitDi[#Data],COLUMN(T_TraitDi[[#This Row],[Colonne3]]),FALSE)=0,"",TEXT(IFERROR(VLOOKUP(T_BilanSocial[[#This Row],[NumL]],T_TraitDi[#Data],COLUMN(T_TraitDi[[#This Row],[Colonne3]]),FALSE),""),"[hh]:mm"))</f>
        <v>#VALUE!</v>
      </c>
      <c r="AI102" s="172" t="e">
        <f>IF(VLOOKUP(T_BilanSocial[[#This Row],[NumL]],T_TraitDi[#Data],COLUMN(T_TraitDi[[#This Row],[Colonne4]]),FALSE)=0,"",TEXT(IFERROR(VLOOKUP(T_BilanSocial[[#This Row],[NumL]],T_TraitDi[#Data],COLUMN(T_TraitDi[[#This Row],[Colonne4]]),FALSE),""),"[hh]:mm"))</f>
        <v>#VALUE!</v>
      </c>
      <c r="AJ102" s="172" t="e">
        <f>IF(VLOOKUP(T_BilanSocial[[#This Row],[NumL]],T_TraitDi[#Data],COLUMN(T_TraitDi[[#This Row],[Colonne5]]),FALSE)=0,"",TEXT(IFERROR(VLOOKUP(T_BilanSocial[[#This Row],[NumL]],T_TraitDi[#Data],COLUMN(T_TraitDi[[#This Row],[Colonne5]]),FALSE),""),"[hh]:mm"))</f>
        <v>#VALUE!</v>
      </c>
      <c r="AK102" s="172" t="e">
        <f>IF(VLOOKUP(T_BilanSocial[[#This Row],[NumL]],T_TraitDi[#Data],COLUMN(T_TraitDi[[#This Row],[Colonne6]]),FALSE)=0,"",TEXT(IFERROR(VLOOKUP(T_BilanSocial[[#This Row],[NumL]],T_TraitDi[#Data],COLUMN(T_TraitDi[[#This Row],[Colonne6]]),FALSE),""),"[hh]:mm"))</f>
        <v>#VALUE!</v>
      </c>
      <c r="AL102" s="172" t="e">
        <f>IF(VLOOKUP(T_BilanSocial[[#This Row],[NumL]],T_TraitDi[#Data],COLUMN(T_TraitDi[[#This Row],[Colonne7]]),FALSE)=0,"",TEXT(IFERROR(VLOOKUP(T_BilanSocial[[#This Row],[NumL]],T_TraitDi[#Data],COLUMN(T_TraitDi[[#This Row],[Colonne7]]),FALSE),""),"[hh]:mm"))</f>
        <v>#VALUE!</v>
      </c>
      <c r="AM102" s="172" t="e">
        <f>IF(VLOOKUP(T_BilanSocial[[#This Row],[NumL]],T_TraitDi[#Data],COLUMN(T_TraitDi[[#This Row],[Colonne8]]),FALSE)=0,"",TEXT(IFERROR(VLOOKUP(T_BilanSocial[[#This Row],[NumL]],T_TraitDi[#Data],COLUMN(T_TraitDi[[#This Row],[Colonne8]]),FALSE),""),"[hh]:mm"))</f>
        <v>#VALUE!</v>
      </c>
      <c r="AN102" s="172" t="str">
        <f>IFERROR(VLOOKUP(T_BilanSocial[[#This Row],[NumL]],T_TraitDi[#Data],COLUMN(T_TraitDi[[#This Row],[Mardi]]),FALSE),"")</f>
        <v/>
      </c>
      <c r="AO102" s="172" t="e">
        <f>IF(VLOOKUP(T_BilanSocial[[#This Row],[NumL]],T_TraitDi[#Data],COLUMN(T_TraitDi[[#This Row],[Colonne1]]),FALSE)=0,"",TEXT(IFERROR(VLOOKUP(T_BilanSocial[[#This Row],[NumL]],T_TraitDi[#Data],COLUMN(T_TraitDi[[#This Row],[Colonne1]]),FALSE),""),"[hh]:mm"))</f>
        <v>#VALUE!</v>
      </c>
      <c r="AP102" s="172" t="e">
        <f>IF(VLOOKUP(T_BilanSocial[[#This Row],[NumL]],T_TraitDi[#Data],COLUMN(T_TraitDi[[#This Row],[Colonne9]]),FALSE)=0,"",TEXT(IFERROR(VLOOKUP(T_BilanSocial[[#This Row],[NumL]],T_TraitDi[#Data],COLUMN(T_TraitDi[[#This Row],[Colonne9]]),FALSE),""),"[hh]:mm"))</f>
        <v>#VALUE!</v>
      </c>
      <c r="AQ102" s="172" t="str">
        <f>IFERROR(VLOOKUP(T_BilanSocial[[#This Row],[NumL]],T_TraitDi[#Data],COLUMN(T_TraitDi[[#This Row],[Colonne10]]),FALSE),"")</f>
        <v/>
      </c>
      <c r="AR102" s="172" t="e">
        <f>IF(VLOOKUP(T_BilanSocial[[#This Row],[NumL]],T_TraitDi[#Data],COLUMN(T_TraitDi[[#This Row],[Colonne11]]),FALSE)=0,"",TEXT(IFERROR(VLOOKUP(T_BilanSocial[[#This Row],[NumL]],T_TraitDi[#Data],COLUMN(T_TraitDi[[#This Row],[Colonne11]]),FALSE),""),"[hh]:mm"))</f>
        <v>#VALUE!</v>
      </c>
      <c r="AS102" s="172" t="e">
        <f>IF(VLOOKUP(T_BilanSocial[[#This Row],[NumL]],T_TraitDi[#Data],COLUMN(T_TraitDi[[#This Row],[Colonne12]]),FALSE)=0,"",TEXT(IFERROR(VLOOKUP(T_BilanSocial[[#This Row],[NumL]],T_TraitDi[#Data],COLUMN(T_TraitDi[[#This Row],[Colonne12]]),FALSE),""),"[hh]:mm"))</f>
        <v>#VALUE!</v>
      </c>
      <c r="AT102" s="172" t="e">
        <f>IF(VLOOKUP(T_BilanSocial[[#This Row],[NumL]],T_TraitDi[#Data],COLUMN(T_TraitDi[[#This Row],[Colonne14]]),FALSE)=0,"",TEXT(IFERROR(VLOOKUP(T_BilanSocial[[#This Row],[NumL]],T_TraitDi[#Data],COLUMN(T_TraitDi[[#This Row],[Colonne14]]),FALSE),""),"[hh]:mm"))</f>
        <v>#VALUE!</v>
      </c>
      <c r="AU102" s="172" t="str">
        <f>IFERROR(VLOOKUP(T_BilanSocial[[#This Row],[NumL]],T_TraitDi[#Data],COLUMN(T_TraitDi[[#This Row],[Mercredi]]),FALSE),"")</f>
        <v/>
      </c>
      <c r="AV102" s="172" t="e">
        <f>IF(VLOOKUP(T_BilanSocial[[#This Row],[NumL]],T_TraitDi[#Data],COLUMN(T_TraitDi[[#This Row],[Colonne15]]),FALSE)=0,"",TEXT(IFERROR(VLOOKUP(T_BilanSocial[[#This Row],[NumL]],T_TraitDi[#Data],COLUMN(T_TraitDi[[#This Row],[Colonne15]]),FALSE),""),"[hh]:mm"))</f>
        <v>#VALUE!</v>
      </c>
      <c r="AW102" s="172" t="e">
        <f>IF(VLOOKUP(T_BilanSocial[[#This Row],[NumL]],T_TraitDi[#Data],COLUMN(T_TraitDi[[#This Row],[Colonne16]]),FALSE)=0,"",TEXT(IFERROR(VLOOKUP(T_BilanSocial[[#This Row],[NumL]],T_TraitDi[#Data],COLUMN(T_TraitDi[[#This Row],[Colonne16]]),FALSE),""),"[hh]:mm"))</f>
        <v>#VALUE!</v>
      </c>
      <c r="AX102" s="172" t="str">
        <f>IFERROR(VLOOKUP(T_BilanSocial[[#This Row],[NumL]],T_TraitDi[#Data],COLUMN(T_TraitDi[[#This Row],[Colonne17]]),FALSE),"")</f>
        <v/>
      </c>
      <c r="AY102" s="172" t="e">
        <f>IF(VLOOKUP(T_BilanSocial[[#This Row],[NumL]],T_TraitDi[#Data],COLUMN(T_TraitDi[[#This Row],[Colonne18]]),FALSE)=0,"",TEXT(IFERROR(VLOOKUP(T_BilanSocial[[#This Row],[NumL]],T_TraitDi[#Data],COLUMN(T_TraitDi[[#This Row],[Colonne18]]),FALSE),""),"[hh]:mm"))</f>
        <v>#VALUE!</v>
      </c>
      <c r="AZ102" s="172" t="e">
        <f>IF(VLOOKUP(T_BilanSocial[[#This Row],[NumL]],T_TraitDi[#Data],COLUMN(T_TraitDi[[#This Row],[Colonne19]]),FALSE)=0,"",TEXT(IFERROR(VLOOKUP(T_BilanSocial[[#This Row],[NumL]],T_TraitDi[#Data],COLUMN(T_TraitDi[[#This Row],[Colonne19]]),FALSE),""),"[hh]:mm"))</f>
        <v>#VALUE!</v>
      </c>
      <c r="BA102" s="172" t="e">
        <f>IF(VLOOKUP(T_BilanSocial[[#This Row],[NumL]],T_TraitDi[#Data],COLUMN(T_TraitDi[[#This Row],[Colonne20]]),FALSE)=0,"",TEXT(IFERROR(VLOOKUP(T_BilanSocial[[#This Row],[NumL]],T_TraitDi[#Data],COLUMN(T_TraitDi[[#This Row],[Colonne20]]),FALSE),""),"[hh]:mm"))</f>
        <v>#VALUE!</v>
      </c>
      <c r="BB102" s="178" t="str">
        <f>IFERROR(VLOOKUP(T_BilanSocial[[#This Row],[NumL]],T_TraitDi[#Data],COLUMN(T_TraitDi[[#This Row],[Jeudi]]),FALSE),"")</f>
        <v/>
      </c>
      <c r="BC102" s="178" t="e">
        <f>IF(VLOOKUP(T_BilanSocial[[#This Row],[NumL]],T_TraitDi[#Data],COLUMN(T_TraitDi[[#This Row],[Colonne21]]),FALSE)=0,"",TEXT(IFERROR(VLOOKUP(T_BilanSocial[[#This Row],[NumL]],T_TraitDi[#Data],COLUMN(T_TraitDi[[#This Row],[Colonne21]]),FALSE),""),"[hh]:mm"))</f>
        <v>#VALUE!</v>
      </c>
      <c r="BD102" s="178" t="e">
        <f>IF(VLOOKUP(T_BilanSocial[[#This Row],[NumL]],T_TraitDi[#Data],COLUMN(T_TraitDi[[#This Row],[Colonne22]]),FALSE)=0,"",TEXT(IFERROR(VLOOKUP(T_BilanSocial[[#This Row],[NumL]],T_TraitDi[#Data],COLUMN(T_TraitDi[[#This Row],[Colonne22]]),FALSE),""),"[hh]:mm"))</f>
        <v>#VALUE!</v>
      </c>
      <c r="BE102" s="178" t="str">
        <f>IFERROR(VLOOKUP(T_BilanSocial[[#This Row],[NumL]],T_TraitDi[#Data],COLUMN(T_TraitDi[[#This Row],[Colonne23]]),FALSE),"")</f>
        <v/>
      </c>
      <c r="BF102" s="178" t="e">
        <f>IF(VLOOKUP(T_BilanSocial[[#This Row],[NumL]],T_TraitDi[#Data],COLUMN(T_TraitDi[[#This Row],[Colonne24]]),FALSE)=0,"",TEXT(IFERROR(VLOOKUP(T_BilanSocial[[#This Row],[NumL]],T_TraitDi[#Data],COLUMN(T_TraitDi[[#This Row],[Colonne24]]),FALSE),""),"[hh]:mm"))</f>
        <v>#VALUE!</v>
      </c>
      <c r="BG102" s="178" t="e">
        <f>IF(VLOOKUP(T_BilanSocial[[#This Row],[NumL]],T_TraitDi[#Data],COLUMN(T_TraitDi[[#This Row],[Colonne25]]),FALSE)=0,"",TEXT(IFERROR(VLOOKUP(T_BilanSocial[[#This Row],[NumL]],T_TraitDi[#Data],COLUMN(T_TraitDi[[#This Row],[Colonne25]]),FALSE),""),"[hh]:mm"))</f>
        <v>#VALUE!</v>
      </c>
      <c r="BH102" s="178" t="e">
        <f>IF(VLOOKUP(T_BilanSocial[[#This Row],[NumL]],T_TraitDi[#Data],COLUMN(T_TraitDi[[#This Row],[Colonne26]]),FALSE)=0,"",TEXT(IFERROR(VLOOKUP(T_BilanSocial[[#This Row],[NumL]],T_TraitDi[#Data],COLUMN(T_TraitDi[[#This Row],[Colonne26]]),FALSE),""),"[hh]:mm"))</f>
        <v>#VALUE!</v>
      </c>
      <c r="BI102" s="172" t="str">
        <f>IFERROR(VLOOKUP(T_BilanSocial[[#This Row],[NumL]],T_TraitDi[#Data],COLUMN(T_TraitDi[[#This Row],[Vendredi]]),FALSE),"")</f>
        <v/>
      </c>
      <c r="BJ102" s="172" t="e">
        <f>IF(VLOOKUP(T_BilanSocial[[#This Row],[NumL]],T_TraitDi[#Data],COLUMN(T_TraitDi[[#This Row],[Colonne27]]),FALSE)=0,"",TEXT(IFERROR(VLOOKUP(T_BilanSocial[[#This Row],[NumL]],T_TraitDi[#Data],COLUMN(T_TraitDi[[#This Row],[Colonne27]]),FALSE),""),"[hh]:mm"))</f>
        <v>#VALUE!</v>
      </c>
      <c r="BK102" s="172" t="e">
        <f>IF(VLOOKUP(T_BilanSocial[[#This Row],[NumL]],T_TraitDi[#Data],COLUMN(T_TraitDi[[#This Row],[Colonne28]]),FALSE)=0,"",TEXT(IFERROR(VLOOKUP(T_BilanSocial[[#This Row],[NumL]],T_TraitDi[#Data],COLUMN(T_TraitDi[[#This Row],[Colonne28]]),FALSE),""),"[hh]:mm"))</f>
        <v>#VALUE!</v>
      </c>
      <c r="BL102" s="172" t="str">
        <f>IFERROR(VLOOKUP(T_BilanSocial[[#This Row],[NumL]],T_TraitDi[#Data],COLUMN(T_TraitDi[[#This Row],[Colonne29]]),FALSE),"")</f>
        <v/>
      </c>
      <c r="BM102" s="172" t="e">
        <f>IF(VLOOKUP(T_BilanSocial[[#This Row],[NumL]],T_TraitDi[#Data],COLUMN(T_TraitDi[[#This Row],[Colonne30]]),FALSE)=0,"",TEXT(IFERROR(VLOOKUP(T_BilanSocial[[#This Row],[NumL]],T_TraitDi[#Data],COLUMN(T_TraitDi[[#This Row],[Colonne30]]),FALSE),""),"[hh]:mm"))</f>
        <v>#VALUE!</v>
      </c>
      <c r="BN102" s="172" t="e">
        <f>IF(VLOOKUP(T_BilanSocial[[#This Row],[NumL]],T_TraitDi[#Data],COLUMN(T_TraitDi[[#This Row],[Colonne31]]),FALSE)=0,"",TEXT(IFERROR(VLOOKUP(T_BilanSocial[[#This Row],[NumL]],T_TraitDi[#Data],COLUMN(T_TraitDi[[#This Row],[Colonne31]]),FALSE),""),"[hh]:mm"))</f>
        <v>#VALUE!</v>
      </c>
      <c r="BO102" s="172" t="e">
        <f>IF(VLOOKUP(T_BilanSocial[[#This Row],[NumL]],T_TraitDi[#Data],COLUMN(T_TraitDi[[#This Row],[Colonne32]]),FALSE)=0,"",TEXT(IFERROR(VLOOKUP(T_BilanSocial[[#This Row],[NumL]],T_TraitDi[#Data],COLUMN(T_TraitDi[[#This Row],[Colonne32]]),FALSE),""),"[hh]:mm"))</f>
        <v>#VALUE!</v>
      </c>
      <c r="BP102" s="172" t="e">
        <f>VLOOKUP(T_BilanSocial[[#This Row],[NumL]],T_TraitDi[#Data],COLUMN(T_TraitDi[NbJTot]),FALSE)</f>
        <v>#N/A</v>
      </c>
      <c r="BQ102" s="174" t="str">
        <f>IFERROR(VLOOKUP(T_BilanSocial[[#This Row],[NumL]],T_TraitDi[#Data],COLUMN(T_TraitDi[[#This Row],[NbJTW]]),FALSE),"")</f>
        <v/>
      </c>
      <c r="BR102" s="174" t="e">
        <f>IF(VLOOKUP(T_BilanSocial[[#This Row],[NumL]],T_TraitDi[#Data],COLUMN(T_TraitDi[[#This Row],[NbhTW]]),FALSE)=0,"",TEXT(IFERROR(VLOOKUP(T_BilanSocial[[#This Row],[NumL]],T_TraitDi[#Data],COLUMN(T_TraitDi[[#This Row],[NbhTW]]),FALSE),""),"[hh]:mm"))</f>
        <v>#VALUE!</v>
      </c>
      <c r="BS102" s="174" t="e">
        <f>IF(VLOOKUP(T_BilanSocial[[#This Row],[NumL]],T_TraitDi[#Data],COLUMN(T_TraitDi[[#This Row],[Nbhheb]]),FALSE)=0,"",TEXT(IFERROR(VLOOKUP($A102,T_TraitDi[#Data],COLUMN(T_TraitDi[[#This Row],[Nbhheb]]),FALSE),""),"[hh]:mm"))</f>
        <v>#VALUE!</v>
      </c>
      <c r="BT102" s="182" t="str">
        <f>IFERROR(VLOOKUP(VLOOKUP($A102,T_TraitDi[#Data],COLUMN(T_TraitDi[[#This Row],[Type1]]),FALSE),TypeTW,2,FALSE),"")</f>
        <v/>
      </c>
      <c r="BU102" s="182" t="str">
        <f>IFERROR(VLOOKUP($A102,T_TraitDi[#Data],COLUMN(T_TraitDi[[#This Row],[Rue1]]),FALSE),"")</f>
        <v/>
      </c>
      <c r="BV102" s="173" t="str">
        <f>IFERROR(VLOOKUP($A102,T_TraitDi[#Data],COLUMN(T_TraitDi[[#This Row],[CP1]]),FALSE),"")</f>
        <v/>
      </c>
      <c r="BW102" s="173" t="str">
        <f>IFERROR(VLOOKUP($A102,T_TraitDi[#Data],COLUMN(T_TraitDi[[#This Row],[VILLE1]]),FALSE),"")</f>
        <v/>
      </c>
      <c r="BX102" s="182" t="str">
        <f>IFERROR(VLOOKUP(VLOOKUP($A102,T_TraitDi[#Data],COLUMN(T_TraitDi[[#This Row],[Type2]]),FALSE),TypeTW,2,FALSE),"")</f>
        <v/>
      </c>
      <c r="BY102" s="182" t="str">
        <f>IFERROR(VLOOKUP($A102,T_TraitDi[#Data],COLUMN(T_TraitDi[[#This Row],[Rue2]]),FALSE),"")</f>
        <v/>
      </c>
      <c r="BZ102" s="173" t="str">
        <f>IFERROR(VLOOKUP($A102,T_TraitDi[#Data],COLUMN(T_TraitDi[[#This Row],[CP2]]),FALSE),"")</f>
        <v/>
      </c>
      <c r="CA102" s="173" t="str">
        <f>IFERROR(VLOOKUP($A102,T_TraitDi[#Data],COLUMN(T_TraitDi[[#This Row],[VILLE2]]),FALSE),"")</f>
        <v/>
      </c>
      <c r="CB102" s="182" t="str">
        <f>IF(VLOOKUP(T_BilanSocial[[#This Row],[NumL]],T_Equipement[#Data],COLUMN(T_Equipement[[#This Row],[PC]]),FALSE)="","Aucun équipement spécifique directement lié au télétravail",VLOOKUP(T_BilanSocial[[#This Row],[NumL]],T_Equipement[#Data],COLUMN(T_Equipement[[#This Row],[PC]]),FALSE))</f>
        <v xml:space="preserve">20-472	</v>
      </c>
      <c r="CC102" s="166" t="str">
        <f>IFERROR(IF(VLOOKUP(T_BilanSocial[[#This Row],[NumL]],T_TraitDi[#Data],COLUMN(T_TraitDi[[#This Row],[Plan]]),FALSE)="OK","Un planning spécifique de télétravail est annexé à la présente convention.",""),"")</f>
        <v/>
      </c>
      <c r="CD102" s="258" t="s">
        <v>3441</v>
      </c>
      <c r="CE102" s="164" t="e">
        <f>IF(VLOOKUP(T_BilanSocial[[#This Row],[NumL]],T_suiviDi[#Data],COLUMN(T_suiviDi[[#This Row],[Entité]]),FALSE)="","",VLOOKUP(T_BilanSocial[[#This Row],[NumL]],T_suiviDi[#Data],COLUMN(T_suiviDi[[#This Row],[Entité]]),FALSE))</f>
        <v>#VALUE!</v>
      </c>
      <c r="CF102" s="164" t="str">
        <f>IF(VLOOKUP(T_BilanSocial[[#This Row],[NumL]],T_Commission[#Data],COLUMN(T_Commission[[#This Row],[envoi confirm TW]]),FALSE)="","",VLOOKUP(T_BilanSocial[[#This Row],[NumL]],T_Commission[#Data],COLUMN(T_Commission[[#This Row],[envoi confirm TW]]),FALSE))</f>
        <v>Oui</v>
      </c>
      <c r="CG10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2" s="262" t="str">
        <f>T_BilanSocial[[#This Row],[Nom]]&amp;T_BilanSocial[[#This Row],[Prenom]]</f>
        <v/>
      </c>
      <c r="CI102" s="262">
        <f>VLOOKUP(T_BilanSocial[[#This Row],[NumL]],T_Commission[#Data],COLUMN(T_Commission[Commentaire]),FALSE)</f>
        <v>0</v>
      </c>
      <c r="CJ102" s="262" t="str">
        <f>IF(VLOOKUP(T_BilanSocial[[#This Row],[NumL]],T_Commission[#Data],COLUMN(T_Commission[Encadrant Email]),FALSE)="","",VLOOKUP(T_BilanSocial[[#This Row],[NumL]],T_Commission[#Data],COLUMN(T_Commission[Encadrant Email]),FALSE))</f>
        <v/>
      </c>
      <c r="CK102" s="340" t="str">
        <f>IF(T_BilanSocial[[#This Row],[Final]]&lt;&gt;"",VLOOKUP(T_BilanSocial[[#This Row],[NumL]],T_suiviDi[#Data],COLUMN((T_suiviDi[Statut])),FALSE),"")</f>
        <v/>
      </c>
    </row>
    <row r="103" spans="1:89" s="106" customFormat="1" ht="24.75" customHeight="1" x14ac:dyDescent="0.25">
      <c r="A103" s="160">
        <v>100</v>
      </c>
      <c r="B103" s="161" t="str">
        <f t="shared" si="10"/>
        <v/>
      </c>
      <c r="C103" s="162" t="s">
        <v>139</v>
      </c>
      <c r="D103" s="95" t="e">
        <f>IF(VLOOKUP(T_BilanSocial[[#This Row],[NumL]],T_TraitDi[#Data],COLUMN(T_TraitDi[[#This Row],[WebC]]),FALSE)="","",VLOOKUP(T_BilanSocial[[#This Row],[NumL]],T_TraitDi[#Data],COLUMN(T_TraitDi[[#This Row],[WebC]]),FALSE))</f>
        <v>#VALUE!</v>
      </c>
      <c r="E103" s="163" t="str">
        <f t="shared" si="11"/>
        <v>12 janvier 2021</v>
      </c>
      <c r="F103" s="96" t="str">
        <f>IF(T_BilanSocial[[#This Row],[Final]]&lt;&gt;"",VLOOKUP(T_BilanSocial[[#This Row],[NumL]],T_suiviDi[#Data],COLUMN((T_suiviDi[Civ.])),FALSE),"")</f>
        <v/>
      </c>
      <c r="G103" s="96" t="str">
        <f>IF(T_BilanSocial[[#This Row],[Final]]&lt;&gt;"",VLOOKUP(T_BilanSocial[[#This Row],[NumL]],T_suiviDi[#Data],COLUMN((T_suiviDi[Nom])),FALSE),"")</f>
        <v/>
      </c>
      <c r="H103" s="96" t="str">
        <f>IF(T_BilanSocial[[#This Row],[Final]]&lt;&gt;"",VLOOKUP(T_BilanSocial[[#This Row],[NumL]],T_suiviDi[#Data],COLUMN((T_suiviDi[Prénom])),FALSE),"")</f>
        <v/>
      </c>
      <c r="I103" s="96" t="str">
        <f>IFERROR(VLOOKUP(T_BilanSocial[[#This Row],[Zone_Bilan]],T_P_BilanSocial[#Data],COLUMN(T_P_BilanSocial[[#This Row],[Numero_SIHAM]]),FALSE),"")</f>
        <v/>
      </c>
      <c r="J103" s="96" t="str">
        <f>IFERROR(VLOOKUP(T_BilanSocial[[#This Row],[Zone_Bilan]],T_P_BilanSocial[#Data],COLUMN(T_P_BilanSocial[[#This Row],[Sexe]]),FALSE),"")</f>
        <v/>
      </c>
      <c r="K103" s="97" t="str">
        <f>IFERROR(VLOOKUP(T_BilanSocial[[#This Row],[Zone_Bilan]],T_P_BilanSocial[#Data],COLUMN(T_P_BilanSocial[[#This Row],[Categorie]]),FALSE),"")</f>
        <v/>
      </c>
      <c r="L103" s="96" t="str">
        <f>IFERROR(VLOOKUP(T_BilanSocial[[#This Row],[Zone_Bilan]],T_P_BilanSocial[#Data],COLUMN(T_P_BilanSocial[[#This Row],[Statut]]),FALSE),"")</f>
        <v/>
      </c>
      <c r="M103" s="96" t="str">
        <f>IFERROR(VLOOKUP(T_BilanSocial[[#This Row],[Zone_Bilan]],T_P_BilanSocial[#Data],COLUMN(T_P_BilanSocial[[#This Row],[Filiere]]),FALSE),"")</f>
        <v/>
      </c>
      <c r="N103" s="96" t="e">
        <f>VLOOKUP(T_BilanSocial[[#This Row],[NumL]],T_TraitDi[#Data],COLUMN(T_TraitDi[EXP]),FALSE)</f>
        <v>#N/A</v>
      </c>
      <c r="O103" s="96" t="e">
        <f>VLOOKUP(T_BilanSocial[[#This Row],[NumL]],T_TraitDi[#Data],COLUMN(T_TraitDi[FORM]),FALSE)</f>
        <v>#N/A</v>
      </c>
      <c r="P103" s="96" t="str">
        <f>IF(T_BilanSocial[[#This Row],[Final]]&lt;&gt;"",VLOOKUP(T_BilanSocial[[#This Row],[NumL]],T_suiviDi[#Data],COLUMN((T_suiviDi[Email])),FALSE),"")</f>
        <v/>
      </c>
      <c r="Q103" s="164" t="e">
        <f t="shared" si="17"/>
        <v>#N/A</v>
      </c>
      <c r="R103" s="164" t="e">
        <f t="shared" si="18"/>
        <v>#N/A</v>
      </c>
      <c r="S103" s="164" t="e">
        <f>IF(VLOOKUP(T_BilanSocial[[#This Row],[NumL]],T_suiviDi[#Data],COLUMN(T_suiviDi[[#This Row],[Service ]]),FALSE)="","",VLOOKUP(T_BilanSocial[[#This Row],[NumL]],T_suiviDi[#Data],COLUMN(T_suiviDi[[#This Row],[Service ]]),FALSE))</f>
        <v>#VALUE!</v>
      </c>
      <c r="T103" s="164" t="str">
        <f t="shared" si="12"/>
        <v>01 septembre 2021</v>
      </c>
      <c r="U103" s="164" t="str">
        <f t="shared" si="13"/>
        <v>30 novembre 2021</v>
      </c>
      <c r="V103" s="256">
        <f>Datebilan</f>
        <v>44530</v>
      </c>
      <c r="W103" s="176" t="e">
        <f>IF(VLOOKUP(T_BilanSocial[[#This Row],[NumL]],T_TraitDi[#Data],COLUMN(T_TraitDi[[#This Row],[M1]]),FALSE)="","",VLOOKUP(T_BilanSocial[[#This Row],[NumL]],T_TraitDi[#Data],COLUMN(T_TraitDi[[#This Row],[M1]]),FALSE))</f>
        <v>#VALUE!</v>
      </c>
      <c r="X103" s="176" t="e">
        <f>IF(VLOOKUP(T_BilanSocial[[#This Row],[NumL]],T_TraitDi[#Data],COLUMN(T_TraitDi[[#This Row],[M2]]),FALSE)="","",VLOOKUP(T_BilanSocial[[#This Row],[NumL]],T_TraitDi[#Data],COLUMN(T_TraitDi[[#This Row],[M2]]),FALSE))</f>
        <v>#VALUE!</v>
      </c>
      <c r="Y103" s="176" t="e">
        <f>IF(VLOOKUP(T_BilanSocial[[#This Row],[NumL]],T_TraitDi[#Data],COLUMN(T_TraitDi[[#This Row],[M3]]),FALSE)="","",VLOOKUP(T_BilanSocial[[#This Row],[NumL]],T_TraitDi[#Data],COLUMN(T_TraitDi[[#This Row],[M3]]),FALSE))</f>
        <v>#VALUE!</v>
      </c>
      <c r="Z103" s="176" t="str">
        <f t="shared" si="16"/>
        <v/>
      </c>
      <c r="AA103" s="176" t="e">
        <f>IF(VLOOKUP(T_BilanSocial[[#This Row],[NumL]],T_TraitDi[#Data],COLUMN(T_TraitDi[[#This Row],[M5]]),FALSE)="","",VLOOKUP(T_BilanSocial[[#This Row],[NumL]],T_TraitDi[#Data],COLUMN(T_TraitDi[[#This Row],[M5]]),FALSE))</f>
        <v>#VALUE!</v>
      </c>
      <c r="AB103" s="176" t="e">
        <f>IF(VLOOKUP(T_BilanSocial[[#This Row],[NumL]],T_TraitDi[#Data],COLUMN(T_TraitDi[[#This Row],[M6]]),FALSE)="","",VLOOKUP(T_BilanSocial[[#This Row],[NumL]],T_TraitDi[#Data],COLUMN(T_TraitDi[[#This Row],[M6]]),FALSE))</f>
        <v>#VALUE!</v>
      </c>
      <c r="AC103" s="165" t="e">
        <f t="shared" si="15"/>
        <v>#VALUE!</v>
      </c>
      <c r="AD103" s="188" t="str">
        <f>IFERROR(TEXT(VLOOKUP(T_BilanSocial[[#This Row],[NumL]],T_TraitDi[#Data],COLUMN(T_TraitDi[[#This Row],[Q2]]),FALSE),"###%"),"")</f>
        <v/>
      </c>
      <c r="AE103" s="97" t="e">
        <f>VLOOKUP(T_BilanSocial[[#This Row],[NumL]],T_TraitDi[#Data],COLUMN(T_TraitDi[[#This Row],[Reg Ponct]]),FALSE)</f>
        <v>#VALUE!</v>
      </c>
      <c r="AF103" s="97" t="e">
        <f>VLOOKUP(T_BilanSocial[NumL],T_TraitDi[#Data],COLUMN(T_TraitDi[[#This Row],[Jours flottants]]),FALSE)</f>
        <v>#VALUE!</v>
      </c>
      <c r="AG103" s="97" t="str">
        <f>IFERROR(VLOOKUP(T_BilanSocial[[#This Row],[NumL]],T_TraitDi[#Data],COLUMN(T_TraitDi[[#This Row],[Lundi]]),FALSE),"")</f>
        <v/>
      </c>
      <c r="AH103" s="172" t="e">
        <f>IF(VLOOKUP(T_BilanSocial[[#This Row],[NumL]],T_TraitDi[#Data],COLUMN(T_TraitDi[[#This Row],[Colonne3]]),FALSE)=0,"",TEXT(IFERROR(VLOOKUP(T_BilanSocial[[#This Row],[NumL]],T_TraitDi[#Data],COLUMN(T_TraitDi[[#This Row],[Colonne3]]),FALSE),""),"[hh]:mm"))</f>
        <v>#VALUE!</v>
      </c>
      <c r="AI103" s="172" t="e">
        <f>IF(VLOOKUP(T_BilanSocial[[#This Row],[NumL]],T_TraitDi[#Data],COLUMN(T_TraitDi[[#This Row],[Colonne4]]),FALSE)=0,"",TEXT(IFERROR(VLOOKUP(T_BilanSocial[[#This Row],[NumL]],T_TraitDi[#Data],COLUMN(T_TraitDi[[#This Row],[Colonne4]]),FALSE),""),"[hh]:mm"))</f>
        <v>#VALUE!</v>
      </c>
      <c r="AJ103" s="172" t="e">
        <f>IF(VLOOKUP(T_BilanSocial[[#This Row],[NumL]],T_TraitDi[#Data],COLUMN(T_TraitDi[[#This Row],[Colonne5]]),FALSE)=0,"",TEXT(IFERROR(VLOOKUP(T_BilanSocial[[#This Row],[NumL]],T_TraitDi[#Data],COLUMN(T_TraitDi[[#This Row],[Colonne5]]),FALSE),""),"[hh]:mm"))</f>
        <v>#VALUE!</v>
      </c>
      <c r="AK103" s="172" t="e">
        <f>IF(VLOOKUP(T_BilanSocial[[#This Row],[NumL]],T_TraitDi[#Data],COLUMN(T_TraitDi[[#This Row],[Colonne6]]),FALSE)=0,"",TEXT(IFERROR(VLOOKUP(T_BilanSocial[[#This Row],[NumL]],T_TraitDi[#Data],COLUMN(T_TraitDi[[#This Row],[Colonne6]]),FALSE),""),"[hh]:mm"))</f>
        <v>#VALUE!</v>
      </c>
      <c r="AL103" s="172" t="e">
        <f>IF(VLOOKUP(T_BilanSocial[[#This Row],[NumL]],T_TraitDi[#Data],COLUMN(T_TraitDi[[#This Row],[Colonne7]]),FALSE)=0,"",TEXT(IFERROR(VLOOKUP(T_BilanSocial[[#This Row],[NumL]],T_TraitDi[#Data],COLUMN(T_TraitDi[[#This Row],[Colonne7]]),FALSE),""),"[hh]:mm"))</f>
        <v>#VALUE!</v>
      </c>
      <c r="AM103" s="172" t="e">
        <f>IF(VLOOKUP(T_BilanSocial[[#This Row],[NumL]],T_TraitDi[#Data],COLUMN(T_TraitDi[[#This Row],[Colonne8]]),FALSE)=0,"",TEXT(IFERROR(VLOOKUP(T_BilanSocial[[#This Row],[NumL]],T_TraitDi[#Data],COLUMN(T_TraitDi[[#This Row],[Colonne8]]),FALSE),""),"[hh]:mm"))</f>
        <v>#VALUE!</v>
      </c>
      <c r="AN103" s="172" t="str">
        <f>IFERROR(VLOOKUP(T_BilanSocial[[#This Row],[NumL]],T_TraitDi[#Data],COLUMN(T_TraitDi[[#This Row],[Mardi]]),FALSE),"")</f>
        <v/>
      </c>
      <c r="AO103" s="172" t="e">
        <f>IF(VLOOKUP(T_BilanSocial[[#This Row],[NumL]],T_TraitDi[#Data],COLUMN(T_TraitDi[[#This Row],[Colonne1]]),FALSE)=0,"",TEXT(IFERROR(VLOOKUP(T_BilanSocial[[#This Row],[NumL]],T_TraitDi[#Data],COLUMN(T_TraitDi[[#This Row],[Colonne1]]),FALSE),""),"[hh]:mm"))</f>
        <v>#VALUE!</v>
      </c>
      <c r="AP103" s="172" t="e">
        <f>IF(VLOOKUP(T_BilanSocial[[#This Row],[NumL]],T_TraitDi[#Data],COLUMN(T_TraitDi[[#This Row],[Colonne9]]),FALSE)=0,"",TEXT(IFERROR(VLOOKUP(T_BilanSocial[[#This Row],[NumL]],T_TraitDi[#Data],COLUMN(T_TraitDi[[#This Row],[Colonne9]]),FALSE),""),"[hh]:mm"))</f>
        <v>#VALUE!</v>
      </c>
      <c r="AQ103" s="172" t="str">
        <f>IFERROR(VLOOKUP(T_BilanSocial[[#This Row],[NumL]],T_TraitDi[#Data],COLUMN(T_TraitDi[[#This Row],[Colonne10]]),FALSE),"")</f>
        <v/>
      </c>
      <c r="AR103" s="172" t="e">
        <f>IF(VLOOKUP(T_BilanSocial[[#This Row],[NumL]],T_TraitDi[#Data],COLUMN(T_TraitDi[[#This Row],[Colonne11]]),FALSE)=0,"",TEXT(IFERROR(VLOOKUP(T_BilanSocial[[#This Row],[NumL]],T_TraitDi[#Data],COLUMN(T_TraitDi[[#This Row],[Colonne11]]),FALSE),""),"[hh]:mm"))</f>
        <v>#VALUE!</v>
      </c>
      <c r="AS103" s="172" t="e">
        <f>IF(VLOOKUP(T_BilanSocial[[#This Row],[NumL]],T_TraitDi[#Data],COLUMN(T_TraitDi[[#This Row],[Colonne12]]),FALSE)=0,"",TEXT(IFERROR(VLOOKUP(T_BilanSocial[[#This Row],[NumL]],T_TraitDi[#Data],COLUMN(T_TraitDi[[#This Row],[Colonne12]]),FALSE),""),"[hh]:mm"))</f>
        <v>#VALUE!</v>
      </c>
      <c r="AT103" s="172" t="e">
        <f>IF(VLOOKUP(T_BilanSocial[[#This Row],[NumL]],T_TraitDi[#Data],COLUMN(T_TraitDi[[#This Row],[Colonne14]]),FALSE)=0,"",TEXT(IFERROR(VLOOKUP(T_BilanSocial[[#This Row],[NumL]],T_TraitDi[#Data],COLUMN(T_TraitDi[[#This Row],[Colonne14]]),FALSE),""),"[hh]:mm"))</f>
        <v>#VALUE!</v>
      </c>
      <c r="AU103" s="172" t="str">
        <f>IFERROR(VLOOKUP(T_BilanSocial[[#This Row],[NumL]],T_TraitDi[#Data],COLUMN(T_TraitDi[[#This Row],[Mercredi]]),FALSE),"")</f>
        <v/>
      </c>
      <c r="AV103" s="172" t="e">
        <f>IF(VLOOKUP(T_BilanSocial[[#This Row],[NumL]],T_TraitDi[#Data],COLUMN(T_TraitDi[[#This Row],[Colonne15]]),FALSE)=0,"",TEXT(IFERROR(VLOOKUP(T_BilanSocial[[#This Row],[NumL]],T_TraitDi[#Data],COLUMN(T_TraitDi[[#This Row],[Colonne15]]),FALSE),""),"[hh]:mm"))</f>
        <v>#VALUE!</v>
      </c>
      <c r="AW103" s="172" t="e">
        <f>IF(VLOOKUP(T_BilanSocial[[#This Row],[NumL]],T_TraitDi[#Data],COLUMN(T_TraitDi[[#This Row],[Colonne16]]),FALSE)=0,"",TEXT(IFERROR(VLOOKUP(T_BilanSocial[[#This Row],[NumL]],T_TraitDi[#Data],COLUMN(T_TraitDi[[#This Row],[Colonne16]]),FALSE),""),"[hh]:mm"))</f>
        <v>#VALUE!</v>
      </c>
      <c r="AX103" s="172" t="str">
        <f>IFERROR(VLOOKUP(T_BilanSocial[[#This Row],[NumL]],T_TraitDi[#Data],COLUMN(T_TraitDi[[#This Row],[Colonne17]]),FALSE),"")</f>
        <v/>
      </c>
      <c r="AY103" s="172" t="e">
        <f>IF(VLOOKUP(T_BilanSocial[[#This Row],[NumL]],T_TraitDi[#Data],COLUMN(T_TraitDi[[#This Row],[Colonne18]]),FALSE)=0,"",TEXT(IFERROR(VLOOKUP(T_BilanSocial[[#This Row],[NumL]],T_TraitDi[#Data],COLUMN(T_TraitDi[[#This Row],[Colonne18]]),FALSE),""),"[hh]:mm"))</f>
        <v>#VALUE!</v>
      </c>
      <c r="AZ103" s="172" t="e">
        <f>IF(VLOOKUP(T_BilanSocial[[#This Row],[NumL]],T_TraitDi[#Data],COLUMN(T_TraitDi[[#This Row],[Colonne19]]),FALSE)=0,"",TEXT(IFERROR(VLOOKUP(T_BilanSocial[[#This Row],[NumL]],T_TraitDi[#Data],COLUMN(T_TraitDi[[#This Row],[Colonne19]]),FALSE),""),"[hh]:mm"))</f>
        <v>#VALUE!</v>
      </c>
      <c r="BA103" s="172" t="e">
        <f>IF(VLOOKUP(T_BilanSocial[[#This Row],[NumL]],T_TraitDi[#Data],COLUMN(T_TraitDi[[#This Row],[Colonne20]]),FALSE)=0,"",TEXT(IFERROR(VLOOKUP(T_BilanSocial[[#This Row],[NumL]],T_TraitDi[#Data],COLUMN(T_TraitDi[[#This Row],[Colonne20]]),FALSE),""),"[hh]:mm"))</f>
        <v>#VALUE!</v>
      </c>
      <c r="BB103" s="178" t="str">
        <f>IFERROR(VLOOKUP(T_BilanSocial[[#This Row],[NumL]],T_TraitDi[#Data],COLUMN(T_TraitDi[[#This Row],[Jeudi]]),FALSE),"")</f>
        <v/>
      </c>
      <c r="BC103" s="178" t="e">
        <f>IF(VLOOKUP(T_BilanSocial[[#This Row],[NumL]],T_TraitDi[#Data],COLUMN(T_TraitDi[[#This Row],[Colonne21]]),FALSE)=0,"",TEXT(IFERROR(VLOOKUP(T_BilanSocial[[#This Row],[NumL]],T_TraitDi[#Data],COLUMN(T_TraitDi[[#This Row],[Colonne21]]),FALSE),""),"[hh]:mm"))</f>
        <v>#VALUE!</v>
      </c>
      <c r="BD103" s="178" t="e">
        <f>IF(VLOOKUP(T_BilanSocial[[#This Row],[NumL]],T_TraitDi[#Data],COLUMN(T_TraitDi[[#This Row],[Colonne22]]),FALSE)=0,"",TEXT(IFERROR(VLOOKUP(T_BilanSocial[[#This Row],[NumL]],T_TraitDi[#Data],COLUMN(T_TraitDi[[#This Row],[Colonne22]]),FALSE),""),"[hh]:mm"))</f>
        <v>#VALUE!</v>
      </c>
      <c r="BE103" s="178" t="str">
        <f>IFERROR(VLOOKUP(T_BilanSocial[[#This Row],[NumL]],T_TraitDi[#Data],COLUMN(T_TraitDi[[#This Row],[Colonne23]]),FALSE),"")</f>
        <v/>
      </c>
      <c r="BF103" s="178" t="e">
        <f>IF(VLOOKUP(T_BilanSocial[[#This Row],[NumL]],T_TraitDi[#Data],COLUMN(T_TraitDi[[#This Row],[Colonne24]]),FALSE)=0,"",TEXT(IFERROR(VLOOKUP(T_BilanSocial[[#This Row],[NumL]],T_TraitDi[#Data],COLUMN(T_TraitDi[[#This Row],[Colonne24]]),FALSE),""),"[hh]:mm"))</f>
        <v>#VALUE!</v>
      </c>
      <c r="BG103" s="178" t="e">
        <f>IF(VLOOKUP(T_BilanSocial[[#This Row],[NumL]],T_TraitDi[#Data],COLUMN(T_TraitDi[[#This Row],[Colonne25]]),FALSE)=0,"",TEXT(IFERROR(VLOOKUP(T_BilanSocial[[#This Row],[NumL]],T_TraitDi[#Data],COLUMN(T_TraitDi[[#This Row],[Colonne25]]),FALSE),""),"[hh]:mm"))</f>
        <v>#VALUE!</v>
      </c>
      <c r="BH103" s="178" t="e">
        <f>IF(VLOOKUP(T_BilanSocial[[#This Row],[NumL]],T_TraitDi[#Data],COLUMN(T_TraitDi[[#This Row],[Colonne26]]),FALSE)=0,"",TEXT(IFERROR(VLOOKUP(T_BilanSocial[[#This Row],[NumL]],T_TraitDi[#Data],COLUMN(T_TraitDi[[#This Row],[Colonne26]]),FALSE),""),"[hh]:mm"))</f>
        <v>#VALUE!</v>
      </c>
      <c r="BI103" s="172" t="str">
        <f>IFERROR(VLOOKUP(T_BilanSocial[[#This Row],[NumL]],T_TraitDi[#Data],COLUMN(T_TraitDi[[#This Row],[Vendredi]]),FALSE),"")</f>
        <v/>
      </c>
      <c r="BJ103" s="172" t="e">
        <f>IF(VLOOKUP(T_BilanSocial[[#This Row],[NumL]],T_TraitDi[#Data],COLUMN(T_TraitDi[[#This Row],[Colonne27]]),FALSE)=0,"",TEXT(IFERROR(VLOOKUP(T_BilanSocial[[#This Row],[NumL]],T_TraitDi[#Data],COLUMN(T_TraitDi[[#This Row],[Colonne27]]),FALSE),""),"[hh]:mm"))</f>
        <v>#VALUE!</v>
      </c>
      <c r="BK103" s="172" t="e">
        <f>IF(VLOOKUP(T_BilanSocial[[#This Row],[NumL]],T_TraitDi[#Data],COLUMN(T_TraitDi[[#This Row],[Colonne28]]),FALSE)=0,"",TEXT(IFERROR(VLOOKUP(T_BilanSocial[[#This Row],[NumL]],T_TraitDi[#Data],COLUMN(T_TraitDi[[#This Row],[Colonne28]]),FALSE),""),"[hh]:mm"))</f>
        <v>#VALUE!</v>
      </c>
      <c r="BL103" s="172" t="str">
        <f>IFERROR(VLOOKUP(T_BilanSocial[[#This Row],[NumL]],T_TraitDi[#Data],COLUMN(T_TraitDi[[#This Row],[Colonne29]]),FALSE),"")</f>
        <v/>
      </c>
      <c r="BM103" s="172" t="e">
        <f>IF(VLOOKUP(T_BilanSocial[[#This Row],[NumL]],T_TraitDi[#Data],COLUMN(T_TraitDi[[#This Row],[Colonne30]]),FALSE)=0,"",TEXT(IFERROR(VLOOKUP(T_BilanSocial[[#This Row],[NumL]],T_TraitDi[#Data],COLUMN(T_TraitDi[[#This Row],[Colonne30]]),FALSE),""),"[hh]:mm"))</f>
        <v>#VALUE!</v>
      </c>
      <c r="BN103" s="172" t="e">
        <f>IF(VLOOKUP(T_BilanSocial[[#This Row],[NumL]],T_TraitDi[#Data],COLUMN(T_TraitDi[[#This Row],[Colonne31]]),FALSE)=0,"",TEXT(IFERROR(VLOOKUP(T_BilanSocial[[#This Row],[NumL]],T_TraitDi[#Data],COLUMN(T_TraitDi[[#This Row],[Colonne31]]),FALSE),""),"[hh]:mm"))</f>
        <v>#VALUE!</v>
      </c>
      <c r="BO103" s="172" t="e">
        <f>IF(VLOOKUP(T_BilanSocial[[#This Row],[NumL]],T_TraitDi[#Data],COLUMN(T_TraitDi[[#This Row],[Colonne32]]),FALSE)=0,"",TEXT(IFERROR(VLOOKUP(T_BilanSocial[[#This Row],[NumL]],T_TraitDi[#Data],COLUMN(T_TraitDi[[#This Row],[Colonne32]]),FALSE),""),"[hh]:mm"))</f>
        <v>#VALUE!</v>
      </c>
      <c r="BP103" s="172" t="e">
        <f>VLOOKUP(T_BilanSocial[[#This Row],[NumL]],T_TraitDi[#Data],COLUMN(T_TraitDi[NbJTot]),FALSE)</f>
        <v>#N/A</v>
      </c>
      <c r="BQ103" s="174" t="str">
        <f>IFERROR(VLOOKUP(T_BilanSocial[[#This Row],[NumL]],T_TraitDi[#Data],COLUMN(T_TraitDi[[#This Row],[NbJTW]]),FALSE),"")</f>
        <v/>
      </c>
      <c r="BR103" s="174" t="e">
        <f>IF(VLOOKUP(T_BilanSocial[[#This Row],[NumL]],T_TraitDi[#Data],COLUMN(T_TraitDi[[#This Row],[NbhTW]]),FALSE)=0,"",TEXT(IFERROR(VLOOKUP(T_BilanSocial[[#This Row],[NumL]],T_TraitDi[#Data],COLUMN(T_TraitDi[[#This Row],[NbhTW]]),FALSE),""),"[hh]:mm"))</f>
        <v>#VALUE!</v>
      </c>
      <c r="BS103" s="174" t="e">
        <f>IF(VLOOKUP(T_BilanSocial[[#This Row],[NumL]],T_TraitDi[#Data],COLUMN(T_TraitDi[[#This Row],[Nbhheb]]),FALSE)=0,"",TEXT(IFERROR(VLOOKUP($A103,T_TraitDi[#Data],COLUMN(T_TraitDi[[#This Row],[Nbhheb]]),FALSE),""),"[hh]:mm"))</f>
        <v>#VALUE!</v>
      </c>
      <c r="BT103" s="182" t="str">
        <f>IFERROR(VLOOKUP(VLOOKUP($A103,T_TraitDi[#Data],COLUMN(T_TraitDi[[#This Row],[Type1]]),FALSE),TypeTW,2,FALSE),"")</f>
        <v/>
      </c>
      <c r="BU103" s="182" t="str">
        <f>IFERROR(VLOOKUP($A103,T_TraitDi[#Data],COLUMN(T_TraitDi[[#This Row],[Rue1]]),FALSE),"")</f>
        <v/>
      </c>
      <c r="BV103" s="173" t="str">
        <f>IFERROR(VLOOKUP($A103,T_TraitDi[#Data],COLUMN(T_TraitDi[[#This Row],[CP1]]),FALSE),"")</f>
        <v/>
      </c>
      <c r="BW103" s="173" t="str">
        <f>IFERROR(VLOOKUP($A103,T_TraitDi[#Data],COLUMN(T_TraitDi[[#This Row],[VILLE1]]),FALSE),"")</f>
        <v/>
      </c>
      <c r="BX103" s="182" t="str">
        <f>IFERROR(VLOOKUP(VLOOKUP($A103,T_TraitDi[#Data],COLUMN(T_TraitDi[[#This Row],[Type2]]),FALSE),TypeTW,2,FALSE),"")</f>
        <v/>
      </c>
      <c r="BY103" s="182" t="str">
        <f>IFERROR(VLOOKUP($A103,T_TraitDi[#Data],COLUMN(T_TraitDi[[#This Row],[Rue2]]),FALSE),"")</f>
        <v/>
      </c>
      <c r="BZ103" s="173" t="str">
        <f>IFERROR(VLOOKUP($A103,T_TraitDi[#Data],COLUMN(T_TraitDi[[#This Row],[CP2]]),FALSE),"")</f>
        <v/>
      </c>
      <c r="CA103" s="173" t="str">
        <f>IFERROR(VLOOKUP($A103,T_TraitDi[#Data],COLUMN(T_TraitDi[[#This Row],[VILLE2]]),FALSE),"")</f>
        <v/>
      </c>
      <c r="CB103" s="182" t="str">
        <f>IF(VLOOKUP(T_BilanSocial[[#This Row],[NumL]],T_Equipement[#Data],COLUMN(T_Equipement[[#This Row],[PC]]),FALSE)="","Aucun équipement spécifique directement lié au télétravail",VLOOKUP(T_BilanSocial[[#This Row],[NumL]],T_Equipement[#Data],COLUMN(T_Equipement[[#This Row],[PC]]),FALSE))</f>
        <v xml:space="preserve">17-042	</v>
      </c>
      <c r="CC103" s="166" t="str">
        <f>IFERROR(IF(VLOOKUP(T_BilanSocial[[#This Row],[NumL]],T_TraitDi[#Data],COLUMN(T_TraitDi[[#This Row],[Plan]]),FALSE)="OK","Un planning spécifique de télétravail est annexé à la présente convention.",""),"")</f>
        <v/>
      </c>
      <c r="CD103" s="185"/>
      <c r="CE103" s="164" t="e">
        <f>IF(VLOOKUP(T_BilanSocial[[#This Row],[NumL]],T_suiviDi[#Data],COLUMN(T_suiviDi[[#This Row],[Entité]]),FALSE)="","",VLOOKUP(T_BilanSocial[[#This Row],[NumL]],T_suiviDi[#Data],COLUMN(T_suiviDi[[#This Row],[Entité]]),FALSE))</f>
        <v>#VALUE!</v>
      </c>
      <c r="CF103" s="164" t="str">
        <f>IF(VLOOKUP(T_BilanSocial[[#This Row],[NumL]],T_Commission[#Data],COLUMN(T_Commission[[#This Row],[envoi confirm TW]]),FALSE)="","",VLOOKUP(T_BilanSocial[[#This Row],[NumL]],T_Commission[#Data],COLUMN(T_Commission[[#This Row],[envoi confirm TW]]),FALSE))</f>
        <v>Oui</v>
      </c>
      <c r="CG10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3" s="262" t="str">
        <f>T_BilanSocial[[#This Row],[Nom]]&amp;T_BilanSocial[[#This Row],[Prenom]]</f>
        <v/>
      </c>
      <c r="CI103" s="262">
        <f>VLOOKUP(T_BilanSocial[[#This Row],[NumL]],T_Commission[#Data],COLUMN(T_Commission[Commentaire]),FALSE)</f>
        <v>0</v>
      </c>
      <c r="CJ103" s="262" t="str">
        <f>IF(VLOOKUP(T_BilanSocial[[#This Row],[NumL]],T_Commission[#Data],COLUMN(T_Commission[Encadrant Email]),FALSE)="","",VLOOKUP(T_BilanSocial[[#This Row],[NumL]],T_Commission[#Data],COLUMN(T_Commission[Encadrant Email]),FALSE))</f>
        <v/>
      </c>
      <c r="CK103" s="340" t="str">
        <f>IF(T_BilanSocial[[#This Row],[Final]]&lt;&gt;"",VLOOKUP(T_BilanSocial[[#This Row],[NumL]],T_suiviDi[#Data],COLUMN((T_suiviDi[Statut])),FALSE),"")</f>
        <v/>
      </c>
    </row>
    <row r="104" spans="1:89" s="106" customFormat="1" ht="24.75" customHeight="1" x14ac:dyDescent="0.25">
      <c r="A104" s="160">
        <v>101</v>
      </c>
      <c r="B104" s="161" t="str">
        <f t="shared" si="10"/>
        <v/>
      </c>
      <c r="C104" s="162" t="s">
        <v>173</v>
      </c>
      <c r="D104" s="95" t="e">
        <f>IF(VLOOKUP(T_BilanSocial[[#This Row],[NumL]],T_TraitDi[#Data],COLUMN(T_TraitDi[[#This Row],[WebC]]),FALSE)="","",VLOOKUP(T_BilanSocial[[#This Row],[NumL]],T_TraitDi[#Data],COLUMN(T_TraitDi[[#This Row],[WebC]]),FALSE))</f>
        <v>#VALUE!</v>
      </c>
      <c r="E104" s="163" t="str">
        <f t="shared" si="11"/>
        <v>12 janvier 2021</v>
      </c>
      <c r="F104" s="96" t="str">
        <f>IF(T_BilanSocial[[#This Row],[Final]]&lt;&gt;"",VLOOKUP(T_BilanSocial[[#This Row],[NumL]],T_suiviDi[#Data],COLUMN((T_suiviDi[Civ.])),FALSE),"")</f>
        <v/>
      </c>
      <c r="G104" s="96" t="str">
        <f>IF(T_BilanSocial[[#This Row],[Final]]&lt;&gt;"",VLOOKUP(T_BilanSocial[[#This Row],[NumL]],T_suiviDi[#Data],COLUMN((T_suiviDi[Nom])),FALSE),"")</f>
        <v/>
      </c>
      <c r="H104" s="96" t="str">
        <f>IF(T_BilanSocial[[#This Row],[Final]]&lt;&gt;"",VLOOKUP(T_BilanSocial[[#This Row],[NumL]],T_suiviDi[#Data],COLUMN((T_suiviDi[Prénom])),FALSE),"")</f>
        <v/>
      </c>
      <c r="I104" s="96" t="str">
        <f>IFERROR(VLOOKUP(T_BilanSocial[[#This Row],[Zone_Bilan]],T_P_BilanSocial[#Data],COLUMN(T_P_BilanSocial[[#This Row],[Numero_SIHAM]]),FALSE),"")</f>
        <v/>
      </c>
      <c r="J104" s="96" t="str">
        <f>IFERROR(VLOOKUP(T_BilanSocial[[#This Row],[Zone_Bilan]],T_P_BilanSocial[#Data],COLUMN(T_P_BilanSocial[[#This Row],[Sexe]]),FALSE),"")</f>
        <v/>
      </c>
      <c r="K104" s="97" t="str">
        <f>IFERROR(VLOOKUP(T_BilanSocial[[#This Row],[Zone_Bilan]],T_P_BilanSocial[#Data],COLUMN(T_P_BilanSocial[[#This Row],[Categorie]]),FALSE),"")</f>
        <v/>
      </c>
      <c r="L104" s="96" t="str">
        <f>IFERROR(VLOOKUP(T_BilanSocial[[#This Row],[Zone_Bilan]],T_P_BilanSocial[#Data],COLUMN(T_P_BilanSocial[[#This Row],[Statut]]),FALSE),"")</f>
        <v/>
      </c>
      <c r="M104" s="96" t="str">
        <f>IFERROR(VLOOKUP(T_BilanSocial[[#This Row],[Zone_Bilan]],T_P_BilanSocial[#Data],COLUMN(T_P_BilanSocial[[#This Row],[Filiere]]),FALSE),"")</f>
        <v/>
      </c>
      <c r="N104" s="96" t="e">
        <f>VLOOKUP(T_BilanSocial[[#This Row],[NumL]],T_TraitDi[#Data],COLUMN(T_TraitDi[EXP]),FALSE)</f>
        <v>#N/A</v>
      </c>
      <c r="O104" s="96" t="e">
        <f>VLOOKUP(T_BilanSocial[[#This Row],[NumL]],T_TraitDi[#Data],COLUMN(T_TraitDi[FORM]),FALSE)</f>
        <v>#N/A</v>
      </c>
      <c r="P104" s="96" t="str">
        <f>IF(T_BilanSocial[[#This Row],[Final]]&lt;&gt;"",VLOOKUP(T_BilanSocial[[#This Row],[NumL]],T_suiviDi[#Data],COLUMN((T_suiviDi[Email])),FALSE),"")</f>
        <v/>
      </c>
      <c r="Q104" s="164" t="e">
        <f t="shared" si="17"/>
        <v>#N/A</v>
      </c>
      <c r="R104" s="164" t="e">
        <f t="shared" si="18"/>
        <v>#N/A</v>
      </c>
      <c r="S104" s="164" t="e">
        <f>IF(VLOOKUP(T_BilanSocial[[#This Row],[NumL]],T_suiviDi[#Data],COLUMN(T_suiviDi[[#This Row],[Service ]]),FALSE)="","",VLOOKUP(T_BilanSocial[[#This Row],[NumL]],T_suiviDi[#Data],COLUMN(T_suiviDi[[#This Row],[Service ]]),FALSE))</f>
        <v>#VALUE!</v>
      </c>
      <c r="T104" s="164" t="str">
        <f t="shared" si="12"/>
        <v>01 septembre 2021</v>
      </c>
      <c r="U104" s="164" t="str">
        <f t="shared" si="13"/>
        <v>30 novembre 2021</v>
      </c>
      <c r="V104" s="164" t="str">
        <f t="shared" ref="V104:V134" si="21">TEXT(Datebilan,"jj mmmm aaaa")</f>
        <v>30 novembre 2021</v>
      </c>
      <c r="W104" s="176" t="e">
        <f>IF(VLOOKUP(T_BilanSocial[[#This Row],[NumL]],T_TraitDi[#Data],COLUMN(T_TraitDi[[#This Row],[M1]]),FALSE)="","",VLOOKUP(T_BilanSocial[[#This Row],[NumL]],T_TraitDi[#Data],COLUMN(T_TraitDi[[#This Row],[M1]]),FALSE))</f>
        <v>#VALUE!</v>
      </c>
      <c r="X104" s="176" t="e">
        <f>IF(VLOOKUP(T_BilanSocial[[#This Row],[NumL]],T_TraitDi[#Data],COLUMN(T_TraitDi[[#This Row],[M2]]),FALSE)="","",VLOOKUP(T_BilanSocial[[#This Row],[NumL]],T_TraitDi[#Data],COLUMN(T_TraitDi[[#This Row],[M2]]),FALSE))</f>
        <v>#VALUE!</v>
      </c>
      <c r="Y104" s="176" t="e">
        <f>IF(VLOOKUP(T_BilanSocial[[#This Row],[NumL]],T_TraitDi[#Data],COLUMN(T_TraitDi[[#This Row],[M3]]),FALSE)="","",VLOOKUP(T_BilanSocial[[#This Row],[NumL]],T_TraitDi[#Data],COLUMN(T_TraitDi[[#This Row],[M3]]),FALSE))</f>
        <v>#VALUE!</v>
      </c>
      <c r="Z104" s="176" t="str">
        <f t="shared" si="16"/>
        <v/>
      </c>
      <c r="AA104" s="176" t="e">
        <f>IF(VLOOKUP(T_BilanSocial[[#This Row],[NumL]],T_TraitDi[#Data],COLUMN(T_TraitDi[[#This Row],[M5]]),FALSE)="","",VLOOKUP(T_BilanSocial[[#This Row],[NumL]],T_TraitDi[#Data],COLUMN(T_TraitDi[[#This Row],[M5]]),FALSE))</f>
        <v>#VALUE!</v>
      </c>
      <c r="AB104" s="176" t="e">
        <f>IF(VLOOKUP(T_BilanSocial[[#This Row],[NumL]],T_TraitDi[#Data],COLUMN(T_TraitDi[[#This Row],[M6]]),FALSE)="","",VLOOKUP(T_BilanSocial[[#This Row],[NumL]],T_TraitDi[#Data],COLUMN(T_TraitDi[[#This Row],[M6]]),FALSE))</f>
        <v>#VALUE!</v>
      </c>
      <c r="AC104" s="165" t="e">
        <f t="shared" si="15"/>
        <v>#VALUE!</v>
      </c>
      <c r="AD104" s="188" t="str">
        <f>IFERROR(TEXT(VLOOKUP(T_BilanSocial[[#This Row],[NumL]],T_TraitDi[#Data],COLUMN(T_TraitDi[[#This Row],[Q2]]),FALSE),"###%"),"")</f>
        <v/>
      </c>
      <c r="AE104" s="97" t="e">
        <f>VLOOKUP(T_BilanSocial[[#This Row],[NumL]],T_TraitDi[#Data],COLUMN(T_TraitDi[[#This Row],[Reg Ponct]]),FALSE)</f>
        <v>#VALUE!</v>
      </c>
      <c r="AF104" s="97" t="e">
        <f>VLOOKUP(T_BilanSocial[NumL],T_TraitDi[#Data],COLUMN(T_TraitDi[[#This Row],[Jours flottants]]),FALSE)</f>
        <v>#VALUE!</v>
      </c>
      <c r="AG104" s="97" t="str">
        <f>IFERROR(VLOOKUP(T_BilanSocial[[#This Row],[NumL]],T_TraitDi[#Data],COLUMN(T_TraitDi[[#This Row],[Lundi]]),FALSE),"")</f>
        <v/>
      </c>
      <c r="AH104" s="172" t="e">
        <f>IF(VLOOKUP(T_BilanSocial[[#This Row],[NumL]],T_TraitDi[#Data],COLUMN(T_TraitDi[[#This Row],[Colonne3]]),FALSE)=0,"",TEXT(IFERROR(VLOOKUP(T_BilanSocial[[#This Row],[NumL]],T_TraitDi[#Data],COLUMN(T_TraitDi[[#This Row],[Colonne3]]),FALSE),""),"[hh]:mm"))</f>
        <v>#VALUE!</v>
      </c>
      <c r="AI104" s="172" t="e">
        <f>IF(VLOOKUP(T_BilanSocial[[#This Row],[NumL]],T_TraitDi[#Data],COLUMN(T_TraitDi[[#This Row],[Colonne4]]),FALSE)=0,"",TEXT(IFERROR(VLOOKUP(T_BilanSocial[[#This Row],[NumL]],T_TraitDi[#Data],COLUMN(T_TraitDi[[#This Row],[Colonne4]]),FALSE),""),"[hh]:mm"))</f>
        <v>#VALUE!</v>
      </c>
      <c r="AJ104" s="172" t="e">
        <f>IF(VLOOKUP(T_BilanSocial[[#This Row],[NumL]],T_TraitDi[#Data],COLUMN(T_TraitDi[[#This Row],[Colonne5]]),FALSE)=0,"",TEXT(IFERROR(VLOOKUP(T_BilanSocial[[#This Row],[NumL]],T_TraitDi[#Data],COLUMN(T_TraitDi[[#This Row],[Colonne5]]),FALSE),""),"[hh]:mm"))</f>
        <v>#VALUE!</v>
      </c>
      <c r="AK104" s="172" t="e">
        <f>IF(VLOOKUP(T_BilanSocial[[#This Row],[NumL]],T_TraitDi[#Data],COLUMN(T_TraitDi[[#This Row],[Colonne6]]),FALSE)=0,"",TEXT(IFERROR(VLOOKUP(T_BilanSocial[[#This Row],[NumL]],T_TraitDi[#Data],COLUMN(T_TraitDi[[#This Row],[Colonne6]]),FALSE),""),"[hh]:mm"))</f>
        <v>#VALUE!</v>
      </c>
      <c r="AL104" s="172" t="e">
        <f>IF(VLOOKUP(T_BilanSocial[[#This Row],[NumL]],T_TraitDi[#Data],COLUMN(T_TraitDi[[#This Row],[Colonne7]]),FALSE)=0,"",TEXT(IFERROR(VLOOKUP(T_BilanSocial[[#This Row],[NumL]],T_TraitDi[#Data],COLUMN(T_TraitDi[[#This Row],[Colonne7]]),FALSE),""),"[hh]:mm"))</f>
        <v>#VALUE!</v>
      </c>
      <c r="AM104" s="172" t="e">
        <f>IF(VLOOKUP(T_BilanSocial[[#This Row],[NumL]],T_TraitDi[#Data],COLUMN(T_TraitDi[[#This Row],[Colonne8]]),FALSE)=0,"",TEXT(IFERROR(VLOOKUP(T_BilanSocial[[#This Row],[NumL]],T_TraitDi[#Data],COLUMN(T_TraitDi[[#This Row],[Colonne8]]),FALSE),""),"[hh]:mm"))</f>
        <v>#VALUE!</v>
      </c>
      <c r="AN104" s="172" t="str">
        <f>IFERROR(VLOOKUP(T_BilanSocial[[#This Row],[NumL]],T_TraitDi[#Data],COLUMN(T_TraitDi[[#This Row],[Mardi]]),FALSE),"")</f>
        <v/>
      </c>
      <c r="AO104" s="172" t="e">
        <f>IF(VLOOKUP(T_BilanSocial[[#This Row],[NumL]],T_TraitDi[#Data],COLUMN(T_TraitDi[[#This Row],[Colonne1]]),FALSE)=0,"",TEXT(IFERROR(VLOOKUP(T_BilanSocial[[#This Row],[NumL]],T_TraitDi[#Data],COLUMN(T_TraitDi[[#This Row],[Colonne1]]),FALSE),""),"[hh]:mm"))</f>
        <v>#VALUE!</v>
      </c>
      <c r="AP104" s="172" t="e">
        <f>IF(VLOOKUP(T_BilanSocial[[#This Row],[NumL]],T_TraitDi[#Data],COLUMN(T_TraitDi[[#This Row],[Colonne9]]),FALSE)=0,"",TEXT(IFERROR(VLOOKUP(T_BilanSocial[[#This Row],[NumL]],T_TraitDi[#Data],COLUMN(T_TraitDi[[#This Row],[Colonne9]]),FALSE),""),"[hh]:mm"))</f>
        <v>#VALUE!</v>
      </c>
      <c r="AQ104" s="172" t="str">
        <f>IFERROR(VLOOKUP(T_BilanSocial[[#This Row],[NumL]],T_TraitDi[#Data],COLUMN(T_TraitDi[[#This Row],[Colonne10]]),FALSE),"")</f>
        <v/>
      </c>
      <c r="AR104" s="172" t="e">
        <f>IF(VLOOKUP(T_BilanSocial[[#This Row],[NumL]],T_TraitDi[#Data],COLUMN(T_TraitDi[[#This Row],[Colonne11]]),FALSE)=0,"",TEXT(IFERROR(VLOOKUP(T_BilanSocial[[#This Row],[NumL]],T_TraitDi[#Data],COLUMN(T_TraitDi[[#This Row],[Colonne11]]),FALSE),""),"[hh]:mm"))</f>
        <v>#VALUE!</v>
      </c>
      <c r="AS104" s="172" t="e">
        <f>IF(VLOOKUP(T_BilanSocial[[#This Row],[NumL]],T_TraitDi[#Data],COLUMN(T_TraitDi[[#This Row],[Colonne12]]),FALSE)=0,"",TEXT(IFERROR(VLOOKUP(T_BilanSocial[[#This Row],[NumL]],T_TraitDi[#Data],COLUMN(T_TraitDi[[#This Row],[Colonne12]]),FALSE),""),"[hh]:mm"))</f>
        <v>#VALUE!</v>
      </c>
      <c r="AT104" s="172" t="e">
        <f>IF(VLOOKUP(T_BilanSocial[[#This Row],[NumL]],T_TraitDi[#Data],COLUMN(T_TraitDi[[#This Row],[Colonne14]]),FALSE)=0,"",TEXT(IFERROR(VLOOKUP(T_BilanSocial[[#This Row],[NumL]],T_TraitDi[#Data],COLUMN(T_TraitDi[[#This Row],[Colonne14]]),FALSE),""),"[hh]:mm"))</f>
        <v>#VALUE!</v>
      </c>
      <c r="AU104" s="172" t="str">
        <f>IFERROR(VLOOKUP(T_BilanSocial[[#This Row],[NumL]],T_TraitDi[#Data],COLUMN(T_TraitDi[[#This Row],[Mercredi]]),FALSE),"")</f>
        <v/>
      </c>
      <c r="AV104" s="172" t="e">
        <f>IF(VLOOKUP(T_BilanSocial[[#This Row],[NumL]],T_TraitDi[#Data],COLUMN(T_TraitDi[[#This Row],[Colonne15]]),FALSE)=0,"",TEXT(IFERROR(VLOOKUP(T_BilanSocial[[#This Row],[NumL]],T_TraitDi[#Data],COLUMN(T_TraitDi[[#This Row],[Colonne15]]),FALSE),""),"[hh]:mm"))</f>
        <v>#VALUE!</v>
      </c>
      <c r="AW104" s="172" t="e">
        <f>IF(VLOOKUP(T_BilanSocial[[#This Row],[NumL]],T_TraitDi[#Data],COLUMN(T_TraitDi[[#This Row],[Colonne16]]),FALSE)=0,"",TEXT(IFERROR(VLOOKUP(T_BilanSocial[[#This Row],[NumL]],T_TraitDi[#Data],COLUMN(T_TraitDi[[#This Row],[Colonne16]]),FALSE),""),"[hh]:mm"))</f>
        <v>#VALUE!</v>
      </c>
      <c r="AX104" s="172" t="str">
        <f>IFERROR(VLOOKUP(T_BilanSocial[[#This Row],[NumL]],T_TraitDi[#Data],COLUMN(T_TraitDi[[#This Row],[Colonne17]]),FALSE),"")</f>
        <v/>
      </c>
      <c r="AY104" s="172" t="e">
        <f>IF(VLOOKUP(T_BilanSocial[[#This Row],[NumL]],T_TraitDi[#Data],COLUMN(T_TraitDi[[#This Row],[Colonne18]]),FALSE)=0,"",TEXT(IFERROR(VLOOKUP(T_BilanSocial[[#This Row],[NumL]],T_TraitDi[#Data],COLUMN(T_TraitDi[[#This Row],[Colonne18]]),FALSE),""),"[hh]:mm"))</f>
        <v>#VALUE!</v>
      </c>
      <c r="AZ104" s="172" t="e">
        <f>IF(VLOOKUP(T_BilanSocial[[#This Row],[NumL]],T_TraitDi[#Data],COLUMN(T_TraitDi[[#This Row],[Colonne19]]),FALSE)=0,"",TEXT(IFERROR(VLOOKUP(T_BilanSocial[[#This Row],[NumL]],T_TraitDi[#Data],COLUMN(T_TraitDi[[#This Row],[Colonne19]]),FALSE),""),"[hh]:mm"))</f>
        <v>#VALUE!</v>
      </c>
      <c r="BA104" s="172" t="e">
        <f>IF(VLOOKUP(T_BilanSocial[[#This Row],[NumL]],T_TraitDi[#Data],COLUMN(T_TraitDi[[#This Row],[Colonne20]]),FALSE)=0,"",TEXT(IFERROR(VLOOKUP(T_BilanSocial[[#This Row],[NumL]],T_TraitDi[#Data],COLUMN(T_TraitDi[[#This Row],[Colonne20]]),FALSE),""),"[hh]:mm"))</f>
        <v>#VALUE!</v>
      </c>
      <c r="BB104" s="178" t="str">
        <f>IFERROR(VLOOKUP(T_BilanSocial[[#This Row],[NumL]],T_TraitDi[#Data],COLUMN(T_TraitDi[[#This Row],[Jeudi]]),FALSE),"")</f>
        <v/>
      </c>
      <c r="BC104" s="178" t="e">
        <f>IF(VLOOKUP(T_BilanSocial[[#This Row],[NumL]],T_TraitDi[#Data],COLUMN(T_TraitDi[[#This Row],[Colonne21]]),FALSE)=0,"",TEXT(IFERROR(VLOOKUP(T_BilanSocial[[#This Row],[NumL]],T_TraitDi[#Data],COLUMN(T_TraitDi[[#This Row],[Colonne21]]),FALSE),""),"[hh]:mm"))</f>
        <v>#VALUE!</v>
      </c>
      <c r="BD104" s="178" t="e">
        <f>IF(VLOOKUP(T_BilanSocial[[#This Row],[NumL]],T_TraitDi[#Data],COLUMN(T_TraitDi[[#This Row],[Colonne22]]),FALSE)=0,"",TEXT(IFERROR(VLOOKUP(T_BilanSocial[[#This Row],[NumL]],T_TraitDi[#Data],COLUMN(T_TraitDi[[#This Row],[Colonne22]]),FALSE),""),"[hh]:mm"))</f>
        <v>#VALUE!</v>
      </c>
      <c r="BE104" s="178" t="str">
        <f>IFERROR(VLOOKUP(T_BilanSocial[[#This Row],[NumL]],T_TraitDi[#Data],COLUMN(T_TraitDi[[#This Row],[Colonne23]]),FALSE),"")</f>
        <v/>
      </c>
      <c r="BF104" s="178" t="e">
        <f>IF(VLOOKUP(T_BilanSocial[[#This Row],[NumL]],T_TraitDi[#Data],COLUMN(T_TraitDi[[#This Row],[Colonne24]]),FALSE)=0,"",TEXT(IFERROR(VLOOKUP(T_BilanSocial[[#This Row],[NumL]],T_TraitDi[#Data],COLUMN(T_TraitDi[[#This Row],[Colonne24]]),FALSE),""),"[hh]:mm"))</f>
        <v>#VALUE!</v>
      </c>
      <c r="BG104" s="178" t="e">
        <f>IF(VLOOKUP(T_BilanSocial[[#This Row],[NumL]],T_TraitDi[#Data],COLUMN(T_TraitDi[[#This Row],[Colonne25]]),FALSE)=0,"",TEXT(IFERROR(VLOOKUP(T_BilanSocial[[#This Row],[NumL]],T_TraitDi[#Data],COLUMN(T_TraitDi[[#This Row],[Colonne25]]),FALSE),""),"[hh]:mm"))</f>
        <v>#VALUE!</v>
      </c>
      <c r="BH104" s="178" t="e">
        <f>IF(VLOOKUP(T_BilanSocial[[#This Row],[NumL]],T_TraitDi[#Data],COLUMN(T_TraitDi[[#This Row],[Colonne26]]),FALSE)=0,"",TEXT(IFERROR(VLOOKUP(T_BilanSocial[[#This Row],[NumL]],T_TraitDi[#Data],COLUMN(T_TraitDi[[#This Row],[Colonne26]]),FALSE),""),"[hh]:mm"))</f>
        <v>#VALUE!</v>
      </c>
      <c r="BI104" s="172" t="str">
        <f>IFERROR(VLOOKUP(T_BilanSocial[[#This Row],[NumL]],T_TraitDi[#Data],COLUMN(T_TraitDi[[#This Row],[Vendredi]]),FALSE),"")</f>
        <v/>
      </c>
      <c r="BJ104" s="172" t="e">
        <f>IF(VLOOKUP(T_BilanSocial[[#This Row],[NumL]],T_TraitDi[#Data],COLUMN(T_TraitDi[[#This Row],[Colonne27]]),FALSE)=0,"",TEXT(IFERROR(VLOOKUP(T_BilanSocial[[#This Row],[NumL]],T_TraitDi[#Data],COLUMN(T_TraitDi[[#This Row],[Colonne27]]),FALSE),""),"[hh]:mm"))</f>
        <v>#VALUE!</v>
      </c>
      <c r="BK104" s="172" t="e">
        <f>IF(VLOOKUP(T_BilanSocial[[#This Row],[NumL]],T_TraitDi[#Data],COLUMN(T_TraitDi[[#This Row],[Colonne28]]),FALSE)=0,"",TEXT(IFERROR(VLOOKUP(T_BilanSocial[[#This Row],[NumL]],T_TraitDi[#Data],COLUMN(T_TraitDi[[#This Row],[Colonne28]]),FALSE),""),"[hh]:mm"))</f>
        <v>#VALUE!</v>
      </c>
      <c r="BL104" s="172" t="str">
        <f>IFERROR(VLOOKUP(T_BilanSocial[[#This Row],[NumL]],T_TraitDi[#Data],COLUMN(T_TraitDi[[#This Row],[Colonne29]]),FALSE),"")</f>
        <v/>
      </c>
      <c r="BM104" s="172" t="e">
        <f>IF(VLOOKUP(T_BilanSocial[[#This Row],[NumL]],T_TraitDi[#Data],COLUMN(T_TraitDi[[#This Row],[Colonne30]]),FALSE)=0,"",TEXT(IFERROR(VLOOKUP(T_BilanSocial[[#This Row],[NumL]],T_TraitDi[#Data],COLUMN(T_TraitDi[[#This Row],[Colonne30]]),FALSE),""),"[hh]:mm"))</f>
        <v>#VALUE!</v>
      </c>
      <c r="BN104" s="172" t="e">
        <f>IF(VLOOKUP(T_BilanSocial[[#This Row],[NumL]],T_TraitDi[#Data],COLUMN(T_TraitDi[[#This Row],[Colonne31]]),FALSE)=0,"",TEXT(IFERROR(VLOOKUP(T_BilanSocial[[#This Row],[NumL]],T_TraitDi[#Data],COLUMN(T_TraitDi[[#This Row],[Colonne31]]),FALSE),""),"[hh]:mm"))</f>
        <v>#VALUE!</v>
      </c>
      <c r="BO104" s="172" t="e">
        <f>IF(VLOOKUP(T_BilanSocial[[#This Row],[NumL]],T_TraitDi[#Data],COLUMN(T_TraitDi[[#This Row],[Colonne32]]),FALSE)=0,"",TEXT(IFERROR(VLOOKUP(T_BilanSocial[[#This Row],[NumL]],T_TraitDi[#Data],COLUMN(T_TraitDi[[#This Row],[Colonne32]]),FALSE),""),"[hh]:mm"))</f>
        <v>#VALUE!</v>
      </c>
      <c r="BP104" s="172" t="e">
        <f>VLOOKUP(T_BilanSocial[[#This Row],[NumL]],T_TraitDi[#Data],COLUMN(T_TraitDi[NbJTot]),FALSE)</f>
        <v>#N/A</v>
      </c>
      <c r="BQ104" s="174" t="str">
        <f>IFERROR(VLOOKUP(T_BilanSocial[[#This Row],[NumL]],T_TraitDi[#Data],COLUMN(T_TraitDi[[#This Row],[NbJTW]]),FALSE),"")</f>
        <v/>
      </c>
      <c r="BR104" s="174" t="e">
        <f>IF(VLOOKUP(T_BilanSocial[[#This Row],[NumL]],T_TraitDi[#Data],COLUMN(T_TraitDi[[#This Row],[NbhTW]]),FALSE)=0,"",TEXT(IFERROR(VLOOKUP(T_BilanSocial[[#This Row],[NumL]],T_TraitDi[#Data],COLUMN(T_TraitDi[[#This Row],[NbhTW]]),FALSE),""),"[hh]:mm"))</f>
        <v>#VALUE!</v>
      </c>
      <c r="BS104" s="174" t="e">
        <f>IF(VLOOKUP(T_BilanSocial[[#This Row],[NumL]],T_TraitDi[#Data],COLUMN(T_TraitDi[[#This Row],[Nbhheb]]),FALSE)=0,"",TEXT(IFERROR(VLOOKUP($A104,T_TraitDi[#Data],COLUMN(T_TraitDi[[#This Row],[Nbhheb]]),FALSE),""),"[hh]:mm"))</f>
        <v>#VALUE!</v>
      </c>
      <c r="BT104" s="182" t="str">
        <f>IFERROR(VLOOKUP(VLOOKUP($A104,T_TraitDi[#Data],COLUMN(T_TraitDi[[#This Row],[Type1]]),FALSE),TypeTW,2,FALSE),"")</f>
        <v/>
      </c>
      <c r="BU104" s="182" t="str">
        <f>IFERROR(VLOOKUP($A104,T_TraitDi[#Data],COLUMN(T_TraitDi[[#This Row],[Rue1]]),FALSE),"")</f>
        <v/>
      </c>
      <c r="BV104" s="173" t="str">
        <f>IFERROR(VLOOKUP($A104,T_TraitDi[#Data],COLUMN(T_TraitDi[[#This Row],[CP1]]),FALSE),"")</f>
        <v/>
      </c>
      <c r="BW104" s="173" t="str">
        <f>IFERROR(VLOOKUP($A104,T_TraitDi[#Data],COLUMN(T_TraitDi[[#This Row],[VILLE1]]),FALSE),"")</f>
        <v/>
      </c>
      <c r="BX104" s="182" t="str">
        <f>IFERROR(VLOOKUP(VLOOKUP($A104,T_TraitDi[#Data],COLUMN(T_TraitDi[[#This Row],[Type2]]),FALSE),TypeTW,2,FALSE),"")</f>
        <v/>
      </c>
      <c r="BY104" s="182" t="str">
        <f>IFERROR(VLOOKUP($A104,T_TraitDi[#Data],COLUMN(T_TraitDi[[#This Row],[Rue2]]),FALSE),"")</f>
        <v/>
      </c>
      <c r="BZ104" s="173" t="str">
        <f>IFERROR(VLOOKUP($A104,T_TraitDi[#Data],COLUMN(T_TraitDi[[#This Row],[CP2]]),FALSE),"")</f>
        <v/>
      </c>
      <c r="CA104" s="173" t="str">
        <f>IFERROR(VLOOKUP($A104,T_TraitDi[#Data],COLUMN(T_TraitDi[[#This Row],[VILLE2]]),FALSE),"")</f>
        <v/>
      </c>
      <c r="CB104" s="182" t="str">
        <f>IF(VLOOKUP(T_BilanSocial[[#This Row],[NumL]],T_Equipement[#Data],COLUMN(T_Equipement[[#This Row],[PC]]),FALSE)="","Aucun équipement spécifique directement lié au télétravail",VLOOKUP(T_BilanSocial[[#This Row],[NumL]],T_Equipement[#Data],COLUMN(T_Equipement[[#This Row],[PC]]),FALSE))</f>
        <v xml:space="preserve">18-053	</v>
      </c>
      <c r="CC104" s="166" t="str">
        <f>IFERROR(IF(VLOOKUP(T_BilanSocial[[#This Row],[NumL]],T_TraitDi[#Data],COLUMN(T_TraitDi[[#This Row],[Plan]]),FALSE)="OK","Un planning spécifique de télétravail est annexé à la présente convention.",""),"")</f>
        <v/>
      </c>
      <c r="CD104" s="258" t="s">
        <v>3457</v>
      </c>
      <c r="CE104" s="164" t="e">
        <f>IF(VLOOKUP(T_BilanSocial[[#This Row],[NumL]],T_suiviDi[#Data],COLUMN(T_suiviDi[[#This Row],[Entité]]),FALSE)="","",VLOOKUP(T_BilanSocial[[#This Row],[NumL]],T_suiviDi[#Data],COLUMN(T_suiviDi[[#This Row],[Entité]]),FALSE))</f>
        <v>#VALUE!</v>
      </c>
      <c r="CF104" s="164" t="str">
        <f>IF(VLOOKUP(T_BilanSocial[[#This Row],[NumL]],T_Commission[#Data],COLUMN(T_Commission[[#This Row],[envoi confirm TW]]),FALSE)="","",VLOOKUP(T_BilanSocial[[#This Row],[NumL]],T_Commission[#Data],COLUMN(T_Commission[[#This Row],[envoi confirm TW]]),FALSE))</f>
        <v>Oui</v>
      </c>
      <c r="CG10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4" s="262" t="str">
        <f>T_BilanSocial[[#This Row],[Nom]]&amp;T_BilanSocial[[#This Row],[Prenom]]</f>
        <v/>
      </c>
      <c r="CI104" s="262">
        <f>VLOOKUP(T_BilanSocial[[#This Row],[NumL]],T_Commission[#Data],COLUMN(T_Commission[Commentaire]),FALSE)</f>
        <v>0</v>
      </c>
      <c r="CJ104" s="262" t="str">
        <f>IF(VLOOKUP(T_BilanSocial[[#This Row],[NumL]],T_Commission[#Data],COLUMN(T_Commission[Encadrant Email]),FALSE)="","",VLOOKUP(T_BilanSocial[[#This Row],[NumL]],T_Commission[#Data],COLUMN(T_Commission[Encadrant Email]),FALSE))</f>
        <v/>
      </c>
      <c r="CK104" s="340" t="str">
        <f>IF(T_BilanSocial[[#This Row],[Final]]&lt;&gt;"",VLOOKUP(T_BilanSocial[[#This Row],[NumL]],T_suiviDi[#Data],COLUMN((T_suiviDi[Statut])),FALSE),"")</f>
        <v/>
      </c>
    </row>
    <row r="105" spans="1:89" s="106" customFormat="1" ht="24.75" customHeight="1" x14ac:dyDescent="0.25">
      <c r="A105" s="160">
        <v>102</v>
      </c>
      <c r="B105" s="161" t="str">
        <f t="shared" si="10"/>
        <v/>
      </c>
      <c r="C105" s="162" t="s">
        <v>173</v>
      </c>
      <c r="D105" s="95" t="e">
        <f>IF(VLOOKUP(T_BilanSocial[[#This Row],[NumL]],T_TraitDi[#Data],COLUMN(T_TraitDi[[#This Row],[WebC]]),FALSE)="","",VLOOKUP(T_BilanSocial[[#This Row],[NumL]],T_TraitDi[#Data],COLUMN(T_TraitDi[[#This Row],[WebC]]),FALSE))</f>
        <v>#VALUE!</v>
      </c>
      <c r="E105" s="163" t="str">
        <f t="shared" si="11"/>
        <v>12 janvier 2021</v>
      </c>
      <c r="F105" s="96" t="str">
        <f>IF(T_BilanSocial[[#This Row],[Final]]&lt;&gt;"",VLOOKUP(T_BilanSocial[[#This Row],[NumL]],T_suiviDi[#Data],COLUMN((T_suiviDi[Civ.])),FALSE),"")</f>
        <v/>
      </c>
      <c r="G105" s="96" t="str">
        <f>IF(T_BilanSocial[[#This Row],[Final]]&lt;&gt;"",VLOOKUP(T_BilanSocial[[#This Row],[NumL]],T_suiviDi[#Data],COLUMN((T_suiviDi[Nom])),FALSE),"")</f>
        <v/>
      </c>
      <c r="H105" s="96" t="str">
        <f>IF(T_BilanSocial[[#This Row],[Final]]&lt;&gt;"",VLOOKUP(T_BilanSocial[[#This Row],[NumL]],T_suiviDi[#Data],COLUMN((T_suiviDi[Prénom])),FALSE),"")</f>
        <v/>
      </c>
      <c r="I105" s="96" t="str">
        <f>IFERROR(VLOOKUP(T_BilanSocial[[#This Row],[Zone_Bilan]],T_P_BilanSocial[#Data],COLUMN(T_P_BilanSocial[[#This Row],[Numero_SIHAM]]),FALSE),"")</f>
        <v/>
      </c>
      <c r="J105" s="96" t="str">
        <f>IFERROR(VLOOKUP(T_BilanSocial[[#This Row],[Zone_Bilan]],T_P_BilanSocial[#Data],COLUMN(T_P_BilanSocial[[#This Row],[Sexe]]),FALSE),"")</f>
        <v/>
      </c>
      <c r="K105" s="97" t="str">
        <f>IFERROR(VLOOKUP(T_BilanSocial[[#This Row],[Zone_Bilan]],T_P_BilanSocial[#Data],COLUMN(T_P_BilanSocial[[#This Row],[Categorie]]),FALSE),"")</f>
        <v/>
      </c>
      <c r="L105" s="96" t="str">
        <f>IFERROR(VLOOKUP(T_BilanSocial[[#This Row],[Zone_Bilan]],T_P_BilanSocial[#Data],COLUMN(T_P_BilanSocial[[#This Row],[Statut]]),FALSE),"")</f>
        <v/>
      </c>
      <c r="M105" s="96" t="str">
        <f>IFERROR(VLOOKUP(T_BilanSocial[[#This Row],[Zone_Bilan]],T_P_BilanSocial[#Data],COLUMN(T_P_BilanSocial[[#This Row],[Filiere]]),FALSE),"")</f>
        <v/>
      </c>
      <c r="N105" s="96" t="e">
        <f>VLOOKUP(T_BilanSocial[[#This Row],[NumL]],T_TraitDi[#Data],COLUMN(T_TraitDi[EXP]),FALSE)</f>
        <v>#N/A</v>
      </c>
      <c r="O105" s="96" t="e">
        <f>VLOOKUP(T_BilanSocial[[#This Row],[NumL]],T_TraitDi[#Data],COLUMN(T_TraitDi[FORM]),FALSE)</f>
        <v>#N/A</v>
      </c>
      <c r="P105" s="96" t="str">
        <f>IF(T_BilanSocial[[#This Row],[Final]]&lt;&gt;"",VLOOKUP(T_BilanSocial[[#This Row],[NumL]],T_suiviDi[#Data],COLUMN((T_suiviDi[Email])),FALSE),"")</f>
        <v/>
      </c>
      <c r="Q105" s="164" t="e">
        <f t="shared" si="17"/>
        <v>#N/A</v>
      </c>
      <c r="R105" s="164" t="e">
        <f t="shared" si="18"/>
        <v>#N/A</v>
      </c>
      <c r="S105" s="164" t="e">
        <f>IF(VLOOKUP(T_BilanSocial[[#This Row],[NumL]],T_suiviDi[#Data],COLUMN(T_suiviDi[[#This Row],[Service ]]),FALSE)="","",VLOOKUP(T_BilanSocial[[#This Row],[NumL]],T_suiviDi[#Data],COLUMN(T_suiviDi[[#This Row],[Service ]]),FALSE))</f>
        <v>#VALUE!</v>
      </c>
      <c r="T105" s="164" t="str">
        <f t="shared" si="12"/>
        <v>01 septembre 2021</v>
      </c>
      <c r="U105" s="164" t="str">
        <f t="shared" si="13"/>
        <v>30 novembre 2021</v>
      </c>
      <c r="V105" s="164" t="str">
        <f t="shared" si="21"/>
        <v>30 novembre 2021</v>
      </c>
      <c r="W105" s="176" t="e">
        <f>IF(VLOOKUP(T_BilanSocial[[#This Row],[NumL]],T_TraitDi[#Data],COLUMN(T_TraitDi[[#This Row],[M1]]),FALSE)="","",VLOOKUP(T_BilanSocial[[#This Row],[NumL]],T_TraitDi[#Data],COLUMN(T_TraitDi[[#This Row],[M1]]),FALSE))</f>
        <v>#VALUE!</v>
      </c>
      <c r="X105" s="176" t="e">
        <f>IF(VLOOKUP(T_BilanSocial[[#This Row],[NumL]],T_TraitDi[#Data],COLUMN(T_TraitDi[[#This Row],[M2]]),FALSE)="","",VLOOKUP(T_BilanSocial[[#This Row],[NumL]],T_TraitDi[#Data],COLUMN(T_TraitDi[[#This Row],[M2]]),FALSE))</f>
        <v>#VALUE!</v>
      </c>
      <c r="Y105" s="176" t="e">
        <f>IF(VLOOKUP(T_BilanSocial[[#This Row],[NumL]],T_TraitDi[#Data],COLUMN(T_TraitDi[[#This Row],[M3]]),FALSE)="","",VLOOKUP(T_BilanSocial[[#This Row],[NumL]],T_TraitDi[#Data],COLUMN(T_TraitDi[[#This Row],[M3]]),FALSE))</f>
        <v>#VALUE!</v>
      </c>
      <c r="Z105" s="176" t="str">
        <f t="shared" si="16"/>
        <v/>
      </c>
      <c r="AA105" s="176" t="e">
        <f>IF(VLOOKUP(T_BilanSocial[[#This Row],[NumL]],T_TraitDi[#Data],COLUMN(T_TraitDi[[#This Row],[M5]]),FALSE)="","",VLOOKUP(T_BilanSocial[[#This Row],[NumL]],T_TraitDi[#Data],COLUMN(T_TraitDi[[#This Row],[M5]]),FALSE))</f>
        <v>#VALUE!</v>
      </c>
      <c r="AB105" s="176" t="e">
        <f>IF(VLOOKUP(T_BilanSocial[[#This Row],[NumL]],T_TraitDi[#Data],COLUMN(T_TraitDi[[#This Row],[M6]]),FALSE)="","",VLOOKUP(T_BilanSocial[[#This Row],[NumL]],T_TraitDi[#Data],COLUMN(T_TraitDi[[#This Row],[M6]]),FALSE))</f>
        <v>#VALUE!</v>
      </c>
      <c r="AC105" s="165" t="e">
        <f t="shared" si="15"/>
        <v>#VALUE!</v>
      </c>
      <c r="AD105" s="188" t="str">
        <f>IFERROR(TEXT(VLOOKUP(T_BilanSocial[[#This Row],[NumL]],T_TraitDi[#Data],COLUMN(T_TraitDi[[#This Row],[Q2]]),FALSE),"###%"),"")</f>
        <v/>
      </c>
      <c r="AE105" s="97" t="e">
        <f>VLOOKUP(T_BilanSocial[[#This Row],[NumL]],T_TraitDi[#Data],COLUMN(T_TraitDi[[#This Row],[Reg Ponct]]),FALSE)</f>
        <v>#VALUE!</v>
      </c>
      <c r="AF105" s="97" t="e">
        <f>VLOOKUP(T_BilanSocial[NumL],T_TraitDi[#Data],COLUMN(T_TraitDi[[#This Row],[Jours flottants]]),FALSE)</f>
        <v>#VALUE!</v>
      </c>
      <c r="AG105" s="97" t="str">
        <f>IFERROR(VLOOKUP(T_BilanSocial[[#This Row],[NumL]],T_TraitDi[#Data],COLUMN(T_TraitDi[[#This Row],[Lundi]]),FALSE),"")</f>
        <v/>
      </c>
      <c r="AH105" s="172" t="e">
        <f>IF(VLOOKUP(T_BilanSocial[[#This Row],[NumL]],T_TraitDi[#Data],COLUMN(T_TraitDi[[#This Row],[Colonne3]]),FALSE)=0,"",TEXT(IFERROR(VLOOKUP(T_BilanSocial[[#This Row],[NumL]],T_TraitDi[#Data],COLUMN(T_TraitDi[[#This Row],[Colonne3]]),FALSE),""),"[hh]:mm"))</f>
        <v>#VALUE!</v>
      </c>
      <c r="AI105" s="172" t="e">
        <f>IF(VLOOKUP(T_BilanSocial[[#This Row],[NumL]],T_TraitDi[#Data],COLUMN(T_TraitDi[[#This Row],[Colonne4]]),FALSE)=0,"",TEXT(IFERROR(VLOOKUP(T_BilanSocial[[#This Row],[NumL]],T_TraitDi[#Data],COLUMN(T_TraitDi[[#This Row],[Colonne4]]),FALSE),""),"[hh]:mm"))</f>
        <v>#VALUE!</v>
      </c>
      <c r="AJ105" s="172" t="e">
        <f>IF(VLOOKUP(T_BilanSocial[[#This Row],[NumL]],T_TraitDi[#Data],COLUMN(T_TraitDi[[#This Row],[Colonne5]]),FALSE)=0,"",TEXT(IFERROR(VLOOKUP(T_BilanSocial[[#This Row],[NumL]],T_TraitDi[#Data],COLUMN(T_TraitDi[[#This Row],[Colonne5]]),FALSE),""),"[hh]:mm"))</f>
        <v>#VALUE!</v>
      </c>
      <c r="AK105" s="172" t="e">
        <f>IF(VLOOKUP(T_BilanSocial[[#This Row],[NumL]],T_TraitDi[#Data],COLUMN(T_TraitDi[[#This Row],[Colonne6]]),FALSE)=0,"",TEXT(IFERROR(VLOOKUP(T_BilanSocial[[#This Row],[NumL]],T_TraitDi[#Data],COLUMN(T_TraitDi[[#This Row],[Colonne6]]),FALSE),""),"[hh]:mm"))</f>
        <v>#VALUE!</v>
      </c>
      <c r="AL105" s="172" t="e">
        <f>IF(VLOOKUP(T_BilanSocial[[#This Row],[NumL]],T_TraitDi[#Data],COLUMN(T_TraitDi[[#This Row],[Colonne7]]),FALSE)=0,"",TEXT(IFERROR(VLOOKUP(T_BilanSocial[[#This Row],[NumL]],T_TraitDi[#Data],COLUMN(T_TraitDi[[#This Row],[Colonne7]]),FALSE),""),"[hh]:mm"))</f>
        <v>#VALUE!</v>
      </c>
      <c r="AM105" s="172" t="e">
        <f>IF(VLOOKUP(T_BilanSocial[[#This Row],[NumL]],T_TraitDi[#Data],COLUMN(T_TraitDi[[#This Row],[Colonne8]]),FALSE)=0,"",TEXT(IFERROR(VLOOKUP(T_BilanSocial[[#This Row],[NumL]],T_TraitDi[#Data],COLUMN(T_TraitDi[[#This Row],[Colonne8]]),FALSE),""),"[hh]:mm"))</f>
        <v>#VALUE!</v>
      </c>
      <c r="AN105" s="172" t="str">
        <f>IFERROR(VLOOKUP(T_BilanSocial[[#This Row],[NumL]],T_TraitDi[#Data],COLUMN(T_TraitDi[[#This Row],[Mardi]]),FALSE),"")</f>
        <v/>
      </c>
      <c r="AO105" s="172" t="e">
        <f>IF(VLOOKUP(T_BilanSocial[[#This Row],[NumL]],T_TraitDi[#Data],COLUMN(T_TraitDi[[#This Row],[Colonne1]]),FALSE)=0,"",TEXT(IFERROR(VLOOKUP(T_BilanSocial[[#This Row],[NumL]],T_TraitDi[#Data],COLUMN(T_TraitDi[[#This Row],[Colonne1]]),FALSE),""),"[hh]:mm"))</f>
        <v>#VALUE!</v>
      </c>
      <c r="AP105" s="172" t="e">
        <f>IF(VLOOKUP(T_BilanSocial[[#This Row],[NumL]],T_TraitDi[#Data],COLUMN(T_TraitDi[[#This Row],[Colonne9]]),FALSE)=0,"",TEXT(IFERROR(VLOOKUP(T_BilanSocial[[#This Row],[NumL]],T_TraitDi[#Data],COLUMN(T_TraitDi[[#This Row],[Colonne9]]),FALSE),""),"[hh]:mm"))</f>
        <v>#VALUE!</v>
      </c>
      <c r="AQ105" s="172" t="str">
        <f>IFERROR(VLOOKUP(T_BilanSocial[[#This Row],[NumL]],T_TraitDi[#Data],COLUMN(T_TraitDi[[#This Row],[Colonne10]]),FALSE),"")</f>
        <v/>
      </c>
      <c r="AR105" s="172" t="e">
        <f>IF(VLOOKUP(T_BilanSocial[[#This Row],[NumL]],T_TraitDi[#Data],COLUMN(T_TraitDi[[#This Row],[Colonne11]]),FALSE)=0,"",TEXT(IFERROR(VLOOKUP(T_BilanSocial[[#This Row],[NumL]],T_TraitDi[#Data],COLUMN(T_TraitDi[[#This Row],[Colonne11]]),FALSE),""),"[hh]:mm"))</f>
        <v>#VALUE!</v>
      </c>
      <c r="AS105" s="172" t="e">
        <f>IF(VLOOKUP(T_BilanSocial[[#This Row],[NumL]],T_TraitDi[#Data],COLUMN(T_TraitDi[[#This Row],[Colonne12]]),FALSE)=0,"",TEXT(IFERROR(VLOOKUP(T_BilanSocial[[#This Row],[NumL]],T_TraitDi[#Data],COLUMN(T_TraitDi[[#This Row],[Colonne12]]),FALSE),""),"[hh]:mm"))</f>
        <v>#VALUE!</v>
      </c>
      <c r="AT105" s="172" t="e">
        <f>IF(VLOOKUP(T_BilanSocial[[#This Row],[NumL]],T_TraitDi[#Data],COLUMN(T_TraitDi[[#This Row],[Colonne14]]),FALSE)=0,"",TEXT(IFERROR(VLOOKUP(T_BilanSocial[[#This Row],[NumL]],T_TraitDi[#Data],COLUMN(T_TraitDi[[#This Row],[Colonne14]]),FALSE),""),"[hh]:mm"))</f>
        <v>#VALUE!</v>
      </c>
      <c r="AU105" s="172" t="str">
        <f>IFERROR(VLOOKUP(T_BilanSocial[[#This Row],[NumL]],T_TraitDi[#Data],COLUMN(T_TraitDi[[#This Row],[Mercredi]]),FALSE),"")</f>
        <v/>
      </c>
      <c r="AV105" s="172" t="e">
        <f>IF(VLOOKUP(T_BilanSocial[[#This Row],[NumL]],T_TraitDi[#Data],COLUMN(T_TraitDi[[#This Row],[Colonne15]]),FALSE)=0,"",TEXT(IFERROR(VLOOKUP(T_BilanSocial[[#This Row],[NumL]],T_TraitDi[#Data],COLUMN(T_TraitDi[[#This Row],[Colonne15]]),FALSE),""),"[hh]:mm"))</f>
        <v>#VALUE!</v>
      </c>
      <c r="AW105" s="172" t="e">
        <f>IF(VLOOKUP(T_BilanSocial[[#This Row],[NumL]],T_TraitDi[#Data],COLUMN(T_TraitDi[[#This Row],[Colonne16]]),FALSE)=0,"",TEXT(IFERROR(VLOOKUP(T_BilanSocial[[#This Row],[NumL]],T_TraitDi[#Data],COLUMN(T_TraitDi[[#This Row],[Colonne16]]),FALSE),""),"[hh]:mm"))</f>
        <v>#VALUE!</v>
      </c>
      <c r="AX105" s="172" t="str">
        <f>IFERROR(VLOOKUP(T_BilanSocial[[#This Row],[NumL]],T_TraitDi[#Data],COLUMN(T_TraitDi[[#This Row],[Colonne17]]),FALSE),"")</f>
        <v/>
      </c>
      <c r="AY105" s="172" t="e">
        <f>IF(VLOOKUP(T_BilanSocial[[#This Row],[NumL]],T_TraitDi[#Data],COLUMN(T_TraitDi[[#This Row],[Colonne18]]),FALSE)=0,"",TEXT(IFERROR(VLOOKUP(T_BilanSocial[[#This Row],[NumL]],T_TraitDi[#Data],COLUMN(T_TraitDi[[#This Row],[Colonne18]]),FALSE),""),"[hh]:mm"))</f>
        <v>#VALUE!</v>
      </c>
      <c r="AZ105" s="172" t="e">
        <f>IF(VLOOKUP(T_BilanSocial[[#This Row],[NumL]],T_TraitDi[#Data],COLUMN(T_TraitDi[[#This Row],[Colonne19]]),FALSE)=0,"",TEXT(IFERROR(VLOOKUP(T_BilanSocial[[#This Row],[NumL]],T_TraitDi[#Data],COLUMN(T_TraitDi[[#This Row],[Colonne19]]),FALSE),""),"[hh]:mm"))</f>
        <v>#VALUE!</v>
      </c>
      <c r="BA105" s="172" t="e">
        <f>IF(VLOOKUP(T_BilanSocial[[#This Row],[NumL]],T_TraitDi[#Data],COLUMN(T_TraitDi[[#This Row],[Colonne20]]),FALSE)=0,"",TEXT(IFERROR(VLOOKUP(T_BilanSocial[[#This Row],[NumL]],T_TraitDi[#Data],COLUMN(T_TraitDi[[#This Row],[Colonne20]]),FALSE),""),"[hh]:mm"))</f>
        <v>#VALUE!</v>
      </c>
      <c r="BB105" s="178" t="str">
        <f>IFERROR(VLOOKUP(T_BilanSocial[[#This Row],[NumL]],T_TraitDi[#Data],COLUMN(T_TraitDi[[#This Row],[Jeudi]]),FALSE),"")</f>
        <v/>
      </c>
      <c r="BC105" s="178" t="e">
        <f>IF(VLOOKUP(T_BilanSocial[[#This Row],[NumL]],T_TraitDi[#Data],COLUMN(T_TraitDi[[#This Row],[Colonne21]]),FALSE)=0,"",TEXT(IFERROR(VLOOKUP(T_BilanSocial[[#This Row],[NumL]],T_TraitDi[#Data],COLUMN(T_TraitDi[[#This Row],[Colonne21]]),FALSE),""),"[hh]:mm"))</f>
        <v>#VALUE!</v>
      </c>
      <c r="BD105" s="178" t="e">
        <f>IF(VLOOKUP(T_BilanSocial[[#This Row],[NumL]],T_TraitDi[#Data],COLUMN(T_TraitDi[[#This Row],[Colonne22]]),FALSE)=0,"",TEXT(IFERROR(VLOOKUP(T_BilanSocial[[#This Row],[NumL]],T_TraitDi[#Data],COLUMN(T_TraitDi[[#This Row],[Colonne22]]),FALSE),""),"[hh]:mm"))</f>
        <v>#VALUE!</v>
      </c>
      <c r="BE105" s="178" t="str">
        <f>IFERROR(VLOOKUP(T_BilanSocial[[#This Row],[NumL]],T_TraitDi[#Data],COLUMN(T_TraitDi[[#This Row],[Colonne23]]),FALSE),"")</f>
        <v/>
      </c>
      <c r="BF105" s="178" t="e">
        <f>IF(VLOOKUP(T_BilanSocial[[#This Row],[NumL]],T_TraitDi[#Data],COLUMN(T_TraitDi[[#This Row],[Colonne24]]),FALSE)=0,"",TEXT(IFERROR(VLOOKUP(T_BilanSocial[[#This Row],[NumL]],T_TraitDi[#Data],COLUMN(T_TraitDi[[#This Row],[Colonne24]]),FALSE),""),"[hh]:mm"))</f>
        <v>#VALUE!</v>
      </c>
      <c r="BG105" s="178" t="e">
        <f>IF(VLOOKUP(T_BilanSocial[[#This Row],[NumL]],T_TraitDi[#Data],COLUMN(T_TraitDi[[#This Row],[Colonne25]]),FALSE)=0,"",TEXT(IFERROR(VLOOKUP(T_BilanSocial[[#This Row],[NumL]],T_TraitDi[#Data],COLUMN(T_TraitDi[[#This Row],[Colonne25]]),FALSE),""),"[hh]:mm"))</f>
        <v>#VALUE!</v>
      </c>
      <c r="BH105" s="178" t="e">
        <f>IF(VLOOKUP(T_BilanSocial[[#This Row],[NumL]],T_TraitDi[#Data],COLUMN(T_TraitDi[[#This Row],[Colonne26]]),FALSE)=0,"",TEXT(IFERROR(VLOOKUP(T_BilanSocial[[#This Row],[NumL]],T_TraitDi[#Data],COLUMN(T_TraitDi[[#This Row],[Colonne26]]),FALSE),""),"[hh]:mm"))</f>
        <v>#VALUE!</v>
      </c>
      <c r="BI105" s="172" t="str">
        <f>IFERROR(VLOOKUP(T_BilanSocial[[#This Row],[NumL]],T_TraitDi[#Data],COLUMN(T_TraitDi[[#This Row],[Vendredi]]),FALSE),"")</f>
        <v/>
      </c>
      <c r="BJ105" s="172" t="e">
        <f>IF(VLOOKUP(T_BilanSocial[[#This Row],[NumL]],T_TraitDi[#Data],COLUMN(T_TraitDi[[#This Row],[Colonne27]]),FALSE)=0,"",TEXT(IFERROR(VLOOKUP(T_BilanSocial[[#This Row],[NumL]],T_TraitDi[#Data],COLUMN(T_TraitDi[[#This Row],[Colonne27]]),FALSE),""),"[hh]:mm"))</f>
        <v>#VALUE!</v>
      </c>
      <c r="BK105" s="172" t="e">
        <f>IF(VLOOKUP(T_BilanSocial[[#This Row],[NumL]],T_TraitDi[#Data],COLUMN(T_TraitDi[[#This Row],[Colonne28]]),FALSE)=0,"",TEXT(IFERROR(VLOOKUP(T_BilanSocial[[#This Row],[NumL]],T_TraitDi[#Data],COLUMN(T_TraitDi[[#This Row],[Colonne28]]),FALSE),""),"[hh]:mm"))</f>
        <v>#VALUE!</v>
      </c>
      <c r="BL105" s="172" t="str">
        <f>IFERROR(VLOOKUP(T_BilanSocial[[#This Row],[NumL]],T_TraitDi[#Data],COLUMN(T_TraitDi[[#This Row],[Colonne29]]),FALSE),"")</f>
        <v/>
      </c>
      <c r="BM105" s="172" t="e">
        <f>IF(VLOOKUP(T_BilanSocial[[#This Row],[NumL]],T_TraitDi[#Data],COLUMN(T_TraitDi[[#This Row],[Colonne30]]),FALSE)=0,"",TEXT(IFERROR(VLOOKUP(T_BilanSocial[[#This Row],[NumL]],T_TraitDi[#Data],COLUMN(T_TraitDi[[#This Row],[Colonne30]]),FALSE),""),"[hh]:mm"))</f>
        <v>#VALUE!</v>
      </c>
      <c r="BN105" s="172" t="e">
        <f>IF(VLOOKUP(T_BilanSocial[[#This Row],[NumL]],T_TraitDi[#Data],COLUMN(T_TraitDi[[#This Row],[Colonne31]]),FALSE)=0,"",TEXT(IFERROR(VLOOKUP(T_BilanSocial[[#This Row],[NumL]],T_TraitDi[#Data],COLUMN(T_TraitDi[[#This Row],[Colonne31]]),FALSE),""),"[hh]:mm"))</f>
        <v>#VALUE!</v>
      </c>
      <c r="BO105" s="172" t="e">
        <f>IF(VLOOKUP(T_BilanSocial[[#This Row],[NumL]],T_TraitDi[#Data],COLUMN(T_TraitDi[[#This Row],[Colonne32]]),FALSE)=0,"",TEXT(IFERROR(VLOOKUP(T_BilanSocial[[#This Row],[NumL]],T_TraitDi[#Data],COLUMN(T_TraitDi[[#This Row],[Colonne32]]),FALSE),""),"[hh]:mm"))</f>
        <v>#VALUE!</v>
      </c>
      <c r="BP105" s="172" t="e">
        <f>VLOOKUP(T_BilanSocial[[#This Row],[NumL]],T_TraitDi[#Data],COLUMN(T_TraitDi[NbJTot]),FALSE)</f>
        <v>#N/A</v>
      </c>
      <c r="BQ105" s="174" t="str">
        <f>IFERROR(VLOOKUP(T_BilanSocial[[#This Row],[NumL]],T_TraitDi[#Data],COLUMN(T_TraitDi[[#This Row],[NbJTW]]),FALSE),"")</f>
        <v/>
      </c>
      <c r="BR105" s="174" t="e">
        <f>IF(VLOOKUP(T_BilanSocial[[#This Row],[NumL]],T_TraitDi[#Data],COLUMN(T_TraitDi[[#This Row],[NbhTW]]),FALSE)=0,"",TEXT(IFERROR(VLOOKUP(T_BilanSocial[[#This Row],[NumL]],T_TraitDi[#Data],COLUMN(T_TraitDi[[#This Row],[NbhTW]]),FALSE),""),"[hh]:mm"))</f>
        <v>#VALUE!</v>
      </c>
      <c r="BS105" s="174" t="e">
        <f>IF(VLOOKUP(T_BilanSocial[[#This Row],[NumL]],T_TraitDi[#Data],COLUMN(T_TraitDi[[#This Row],[Nbhheb]]),FALSE)=0,"",TEXT(IFERROR(VLOOKUP($A105,T_TraitDi[#Data],COLUMN(T_TraitDi[[#This Row],[Nbhheb]]),FALSE),""),"[hh]:mm"))</f>
        <v>#VALUE!</v>
      </c>
      <c r="BT105" s="182" t="str">
        <f>IFERROR(VLOOKUP(VLOOKUP($A105,T_TraitDi[#Data],COLUMN(T_TraitDi[[#This Row],[Type1]]),FALSE),TypeTW,2,FALSE),"")</f>
        <v/>
      </c>
      <c r="BU105" s="182" t="str">
        <f>IFERROR(VLOOKUP($A105,T_TraitDi[#Data],COLUMN(T_TraitDi[[#This Row],[Rue1]]),FALSE),"")</f>
        <v/>
      </c>
      <c r="BV105" s="173" t="str">
        <f>IFERROR(VLOOKUP($A105,T_TraitDi[#Data],COLUMN(T_TraitDi[[#This Row],[CP1]]),FALSE),"")</f>
        <v/>
      </c>
      <c r="BW105" s="173" t="str">
        <f>IFERROR(VLOOKUP($A105,T_TraitDi[#Data],COLUMN(T_TraitDi[[#This Row],[VILLE1]]),FALSE),"")</f>
        <v/>
      </c>
      <c r="BX105" s="182" t="str">
        <f>IFERROR(VLOOKUP(VLOOKUP($A105,T_TraitDi[#Data],COLUMN(T_TraitDi[[#This Row],[Type2]]),FALSE),TypeTW,2,FALSE),"")</f>
        <v/>
      </c>
      <c r="BY105" s="182" t="str">
        <f>IFERROR(VLOOKUP($A105,T_TraitDi[#Data],COLUMN(T_TraitDi[[#This Row],[Rue2]]),FALSE),"")</f>
        <v/>
      </c>
      <c r="BZ105" s="173" t="str">
        <f>IFERROR(VLOOKUP($A105,T_TraitDi[#Data],COLUMN(T_TraitDi[[#This Row],[CP2]]),FALSE),"")</f>
        <v/>
      </c>
      <c r="CA105" s="173" t="str">
        <f>IFERROR(VLOOKUP($A105,T_TraitDi[#Data],COLUMN(T_TraitDi[[#This Row],[VILLE2]]),FALSE),"")</f>
        <v/>
      </c>
      <c r="CB105" s="182" t="str">
        <f>IF(VLOOKUP(T_BilanSocial[[#This Row],[NumL]],T_Equipement[#Data],COLUMN(T_Equipement[[#This Row],[PC]]),FALSE)="","Aucun équipement spécifique directement lié au télétravail",VLOOKUP(T_BilanSocial[[#This Row],[NumL]],T_Equipement[#Data],COLUMN(T_Equipement[[#This Row],[PC]]),FALSE))</f>
        <v xml:space="preserve">20-269	</v>
      </c>
      <c r="CC105" s="166" t="str">
        <f>IFERROR(IF(VLOOKUP(T_BilanSocial[[#This Row],[NumL]],T_TraitDi[#Data],COLUMN(T_TraitDi[[#This Row],[Plan]]),FALSE)="OK","Un planning spécifique de télétravail est annexé à la présente convention.",""),"")</f>
        <v/>
      </c>
      <c r="CD105" s="258" t="s">
        <v>3296</v>
      </c>
      <c r="CE105" s="164" t="e">
        <f>IF(VLOOKUP(T_BilanSocial[[#This Row],[NumL]],T_suiviDi[#Data],COLUMN(T_suiviDi[[#This Row],[Entité]]),FALSE)="","",VLOOKUP(T_BilanSocial[[#This Row],[NumL]],T_suiviDi[#Data],COLUMN(T_suiviDi[[#This Row],[Entité]]),FALSE))</f>
        <v>#VALUE!</v>
      </c>
      <c r="CF105" s="164" t="str">
        <f>IF(VLOOKUP(T_BilanSocial[[#This Row],[NumL]],T_Commission[#Data],COLUMN(T_Commission[[#This Row],[envoi confirm TW]]),FALSE)="","",VLOOKUP(T_BilanSocial[[#This Row],[NumL]],T_Commission[#Data],COLUMN(T_Commission[[#This Row],[envoi confirm TW]]),FALSE))</f>
        <v>Oui</v>
      </c>
      <c r="CG10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5" s="262" t="str">
        <f>T_BilanSocial[[#This Row],[Nom]]&amp;T_BilanSocial[[#This Row],[Prenom]]</f>
        <v/>
      </c>
      <c r="CI105" s="262">
        <f>VLOOKUP(T_BilanSocial[[#This Row],[NumL]],T_Commission[#Data],COLUMN(T_Commission[Commentaire]),FALSE)</f>
        <v>0</v>
      </c>
      <c r="CJ105" s="262" t="str">
        <f>IF(VLOOKUP(T_BilanSocial[[#This Row],[NumL]],T_Commission[#Data],COLUMN(T_Commission[Encadrant Email]),FALSE)="","",VLOOKUP(T_BilanSocial[[#This Row],[NumL]],T_Commission[#Data],COLUMN(T_Commission[Encadrant Email]),FALSE))</f>
        <v/>
      </c>
      <c r="CK105" s="340" t="str">
        <f>IF(T_BilanSocial[[#This Row],[Final]]&lt;&gt;"",VLOOKUP(T_BilanSocial[[#This Row],[NumL]],T_suiviDi[#Data],COLUMN((T_suiviDi[Statut])),FALSE),"")</f>
        <v/>
      </c>
    </row>
    <row r="106" spans="1:89" s="106" customFormat="1" ht="24.75" customHeight="1" x14ac:dyDescent="0.25">
      <c r="A106" s="160">
        <v>103</v>
      </c>
      <c r="B106" s="161" t="e">
        <f t="shared" si="10"/>
        <v>#N/A</v>
      </c>
      <c r="C106" s="162" t="s">
        <v>173</v>
      </c>
      <c r="D106" s="95" t="e">
        <f>IF(VLOOKUP(T_BilanSocial[[#This Row],[NumL]],T_TraitDi[#Data],COLUMN(T_TraitDi[[#This Row],[WebC]]),FALSE)="","",VLOOKUP(T_BilanSocial[[#This Row],[NumL]],T_TraitDi[#Data],COLUMN(T_TraitDi[[#This Row],[WebC]]),FALSE))</f>
        <v>#VALUE!</v>
      </c>
      <c r="E106" s="163" t="str">
        <f t="shared" si="11"/>
        <v>12 janvier 2021</v>
      </c>
      <c r="F106" s="96" t="e">
        <f>IF(T_BilanSocial[[#This Row],[Final]]&lt;&gt;"",VLOOKUP(T_BilanSocial[[#This Row],[NumL]],T_suiviDi[#Data],COLUMN((T_suiviDi[Civ.])),FALSE),"")</f>
        <v>#N/A</v>
      </c>
      <c r="G106" s="96" t="e">
        <f>IF(T_BilanSocial[[#This Row],[Final]]&lt;&gt;"",VLOOKUP(T_BilanSocial[[#This Row],[NumL]],T_suiviDi[#Data],COLUMN((T_suiviDi[Nom])),FALSE),"")</f>
        <v>#N/A</v>
      </c>
      <c r="H106" s="96" t="e">
        <f>IF(T_BilanSocial[[#This Row],[Final]]&lt;&gt;"",VLOOKUP(T_BilanSocial[[#This Row],[NumL]],T_suiviDi[#Data],COLUMN((T_suiviDi[Prénom])),FALSE),"")</f>
        <v>#N/A</v>
      </c>
      <c r="I106" s="96" t="str">
        <f>IFERROR(VLOOKUP(T_BilanSocial[[#This Row],[Zone_Bilan]],T_P_BilanSocial[#Data],COLUMN(T_P_BilanSocial[[#This Row],[Numero_SIHAM]]),FALSE),"")</f>
        <v/>
      </c>
      <c r="J106" s="96" t="str">
        <f>IFERROR(VLOOKUP(T_BilanSocial[[#This Row],[Zone_Bilan]],T_P_BilanSocial[#Data],COLUMN(T_P_BilanSocial[[#This Row],[Sexe]]),FALSE),"")</f>
        <v/>
      </c>
      <c r="K106" s="97" t="str">
        <f>IFERROR(VLOOKUP(T_BilanSocial[[#This Row],[Zone_Bilan]],T_P_BilanSocial[#Data],COLUMN(T_P_BilanSocial[[#This Row],[Categorie]]),FALSE),"")</f>
        <v/>
      </c>
      <c r="L106" s="96" t="str">
        <f>IFERROR(VLOOKUP(T_BilanSocial[[#This Row],[Zone_Bilan]],T_P_BilanSocial[#Data],COLUMN(T_P_BilanSocial[[#This Row],[Statut]]),FALSE),"")</f>
        <v/>
      </c>
      <c r="M106" s="96" t="str">
        <f>IFERROR(VLOOKUP(T_BilanSocial[[#This Row],[Zone_Bilan]],T_P_BilanSocial[#Data],COLUMN(T_P_BilanSocial[[#This Row],[Filiere]]),FALSE),"")</f>
        <v/>
      </c>
      <c r="N106" s="96" t="e">
        <f>VLOOKUP(T_BilanSocial[[#This Row],[NumL]],T_TraitDi[#Data],COLUMN(T_TraitDi[EXP]),FALSE)</f>
        <v>#N/A</v>
      </c>
      <c r="O106" s="96" t="e">
        <f>VLOOKUP(T_BilanSocial[[#This Row],[NumL]],T_TraitDi[#Data],COLUMN(T_TraitDi[FORM]),FALSE)</f>
        <v>#N/A</v>
      </c>
      <c r="P106" s="96" t="e">
        <f>IF(T_BilanSocial[[#This Row],[Final]]&lt;&gt;"",VLOOKUP(T_BilanSocial[[#This Row],[NumL]],T_suiviDi[#Data],COLUMN((T_suiviDi[Email])),FALSE),"")</f>
        <v>#N/A</v>
      </c>
      <c r="Q106" s="164" t="e">
        <f t="shared" si="17"/>
        <v>#N/A</v>
      </c>
      <c r="R106" s="164" t="e">
        <f t="shared" si="18"/>
        <v>#N/A</v>
      </c>
      <c r="S106" s="164" t="e">
        <f>IF(VLOOKUP(T_BilanSocial[[#This Row],[NumL]],T_suiviDi[#Data],COLUMN(T_suiviDi[[#This Row],[Service ]]),FALSE)="","",VLOOKUP(T_BilanSocial[[#This Row],[NumL]],T_suiviDi[#Data],COLUMN(T_suiviDi[[#This Row],[Service ]]),FALSE))</f>
        <v>#VALUE!</v>
      </c>
      <c r="T106" s="164" t="str">
        <f t="shared" si="12"/>
        <v>01 septembre 2021</v>
      </c>
      <c r="U106" s="164" t="str">
        <f t="shared" si="13"/>
        <v>30 novembre 2021</v>
      </c>
      <c r="V106" s="96" t="str">
        <f t="shared" si="21"/>
        <v>30 novembre 2021</v>
      </c>
      <c r="W106" s="176" t="e">
        <f>IF(VLOOKUP(T_BilanSocial[[#This Row],[NumL]],T_TraitDi[#Data],COLUMN(T_TraitDi[[#This Row],[M1]]),FALSE)="","",VLOOKUP(T_BilanSocial[[#This Row],[NumL]],T_TraitDi[#Data],COLUMN(T_TraitDi[[#This Row],[M1]]),FALSE))</f>
        <v>#VALUE!</v>
      </c>
      <c r="X106" s="176" t="e">
        <f>IF(VLOOKUP(T_BilanSocial[[#This Row],[NumL]],T_TraitDi[#Data],COLUMN(T_TraitDi[[#This Row],[M2]]),FALSE)="","",VLOOKUP(T_BilanSocial[[#This Row],[NumL]],T_TraitDi[#Data],COLUMN(T_TraitDi[[#This Row],[M2]]),FALSE))</f>
        <v>#VALUE!</v>
      </c>
      <c r="Y106" s="176" t="e">
        <f>IF(VLOOKUP(T_BilanSocial[[#This Row],[NumL]],T_TraitDi[#Data],COLUMN(T_TraitDi[[#This Row],[M3]]),FALSE)="","",VLOOKUP(T_BilanSocial[[#This Row],[NumL]],T_TraitDi[#Data],COLUMN(T_TraitDi[[#This Row],[M3]]),FALSE))</f>
        <v>#VALUE!</v>
      </c>
      <c r="Z106" s="176" t="str">
        <f t="shared" si="16"/>
        <v/>
      </c>
      <c r="AA106" s="176" t="e">
        <f>IF(VLOOKUP(T_BilanSocial[[#This Row],[NumL]],T_TraitDi[#Data],COLUMN(T_TraitDi[[#This Row],[M5]]),FALSE)="","",VLOOKUP(T_BilanSocial[[#This Row],[NumL]],T_TraitDi[#Data],COLUMN(T_TraitDi[[#This Row],[M5]]),FALSE))</f>
        <v>#VALUE!</v>
      </c>
      <c r="AB106" s="176" t="e">
        <f>IF(VLOOKUP(T_BilanSocial[[#This Row],[NumL]],T_TraitDi[#Data],COLUMN(T_TraitDi[[#This Row],[M6]]),FALSE)="","",VLOOKUP(T_BilanSocial[[#This Row],[NumL]],T_TraitDi[#Data],COLUMN(T_TraitDi[[#This Row],[M6]]),FALSE))</f>
        <v>#VALUE!</v>
      </c>
      <c r="AC106" s="165" t="e">
        <f t="shared" si="15"/>
        <v>#VALUE!</v>
      </c>
      <c r="AD106" s="188" t="str">
        <f>IFERROR(TEXT(VLOOKUP(T_BilanSocial[[#This Row],[NumL]],T_TraitDi[#Data],COLUMN(T_TraitDi[[#This Row],[Q2]]),FALSE),"###%"),"")</f>
        <v/>
      </c>
      <c r="AE106" s="97" t="e">
        <f>VLOOKUP(T_BilanSocial[[#This Row],[NumL]],T_TraitDi[#Data],COLUMN(T_TraitDi[[#This Row],[Reg Ponct]]),FALSE)</f>
        <v>#VALUE!</v>
      </c>
      <c r="AF106" s="97" t="e">
        <f>VLOOKUP(T_BilanSocial[NumL],T_TraitDi[#Data],COLUMN(T_TraitDi[[#This Row],[Jours flottants]]),FALSE)</f>
        <v>#VALUE!</v>
      </c>
      <c r="AG106" s="97" t="str">
        <f>IFERROR(VLOOKUP(T_BilanSocial[[#This Row],[NumL]],T_TraitDi[#Data],COLUMN(T_TraitDi[[#This Row],[Lundi]]),FALSE),"")</f>
        <v/>
      </c>
      <c r="AH106" s="172" t="e">
        <f>IF(VLOOKUP(T_BilanSocial[[#This Row],[NumL]],T_TraitDi[#Data],COLUMN(T_TraitDi[[#This Row],[Colonne3]]),FALSE)=0,"",TEXT(IFERROR(VLOOKUP(T_BilanSocial[[#This Row],[NumL]],T_TraitDi[#Data],COLUMN(T_TraitDi[[#This Row],[Colonne3]]),FALSE),""),"[hh]:mm"))</f>
        <v>#VALUE!</v>
      </c>
      <c r="AI106" s="172" t="e">
        <f>IF(VLOOKUP(T_BilanSocial[[#This Row],[NumL]],T_TraitDi[#Data],COLUMN(T_TraitDi[[#This Row],[Colonne4]]),FALSE)=0,"",TEXT(IFERROR(VLOOKUP(T_BilanSocial[[#This Row],[NumL]],T_TraitDi[#Data],COLUMN(T_TraitDi[[#This Row],[Colonne4]]),FALSE),""),"[hh]:mm"))</f>
        <v>#VALUE!</v>
      </c>
      <c r="AJ106" s="172" t="e">
        <f>IF(VLOOKUP(T_BilanSocial[[#This Row],[NumL]],T_TraitDi[#Data],COLUMN(T_TraitDi[[#This Row],[Colonne5]]),FALSE)=0,"",TEXT(IFERROR(VLOOKUP(T_BilanSocial[[#This Row],[NumL]],T_TraitDi[#Data],COLUMN(T_TraitDi[[#This Row],[Colonne5]]),FALSE),""),"[hh]:mm"))</f>
        <v>#VALUE!</v>
      </c>
      <c r="AK106" s="172" t="e">
        <f>IF(VLOOKUP(T_BilanSocial[[#This Row],[NumL]],T_TraitDi[#Data],COLUMN(T_TraitDi[[#This Row],[Colonne6]]),FALSE)=0,"",TEXT(IFERROR(VLOOKUP(T_BilanSocial[[#This Row],[NumL]],T_TraitDi[#Data],COLUMN(T_TraitDi[[#This Row],[Colonne6]]),FALSE),""),"[hh]:mm"))</f>
        <v>#VALUE!</v>
      </c>
      <c r="AL106" s="172" t="e">
        <f>IF(VLOOKUP(T_BilanSocial[[#This Row],[NumL]],T_TraitDi[#Data],COLUMN(T_TraitDi[[#This Row],[Colonne7]]),FALSE)=0,"",TEXT(IFERROR(VLOOKUP(T_BilanSocial[[#This Row],[NumL]],T_TraitDi[#Data],COLUMN(T_TraitDi[[#This Row],[Colonne7]]),FALSE),""),"[hh]:mm"))</f>
        <v>#VALUE!</v>
      </c>
      <c r="AM106" s="172" t="e">
        <f>IF(VLOOKUP(T_BilanSocial[[#This Row],[NumL]],T_TraitDi[#Data],COLUMN(T_TraitDi[[#This Row],[Colonne8]]),FALSE)=0,"",TEXT(IFERROR(VLOOKUP(T_BilanSocial[[#This Row],[NumL]],T_TraitDi[#Data],COLUMN(T_TraitDi[[#This Row],[Colonne8]]),FALSE),""),"[hh]:mm"))</f>
        <v>#VALUE!</v>
      </c>
      <c r="AN106" s="172" t="str">
        <f>IFERROR(VLOOKUP(T_BilanSocial[[#This Row],[NumL]],T_TraitDi[#Data],COLUMN(T_TraitDi[[#This Row],[Mardi]]),FALSE),"")</f>
        <v/>
      </c>
      <c r="AO106" s="172" t="e">
        <f>IF(VLOOKUP(T_BilanSocial[[#This Row],[NumL]],T_TraitDi[#Data],COLUMN(T_TraitDi[[#This Row],[Colonne1]]),FALSE)=0,"",TEXT(IFERROR(VLOOKUP(T_BilanSocial[[#This Row],[NumL]],T_TraitDi[#Data],COLUMN(T_TraitDi[[#This Row],[Colonne1]]),FALSE),""),"[hh]:mm"))</f>
        <v>#VALUE!</v>
      </c>
      <c r="AP106" s="172" t="e">
        <f>IF(VLOOKUP(T_BilanSocial[[#This Row],[NumL]],T_TraitDi[#Data],COLUMN(T_TraitDi[[#This Row],[Colonne9]]),FALSE)=0,"",TEXT(IFERROR(VLOOKUP(T_BilanSocial[[#This Row],[NumL]],T_TraitDi[#Data],COLUMN(T_TraitDi[[#This Row],[Colonne9]]),FALSE),""),"[hh]:mm"))</f>
        <v>#VALUE!</v>
      </c>
      <c r="AQ106" s="172" t="str">
        <f>IFERROR(VLOOKUP(T_BilanSocial[[#This Row],[NumL]],T_TraitDi[#Data],COLUMN(T_TraitDi[[#This Row],[Colonne10]]),FALSE),"")</f>
        <v/>
      </c>
      <c r="AR106" s="172" t="e">
        <f>IF(VLOOKUP(T_BilanSocial[[#This Row],[NumL]],T_TraitDi[#Data],COLUMN(T_TraitDi[[#This Row],[Colonne11]]),FALSE)=0,"",TEXT(IFERROR(VLOOKUP(T_BilanSocial[[#This Row],[NumL]],T_TraitDi[#Data],COLUMN(T_TraitDi[[#This Row],[Colonne11]]),FALSE),""),"[hh]:mm"))</f>
        <v>#VALUE!</v>
      </c>
      <c r="AS106" s="172" t="e">
        <f>IF(VLOOKUP(T_BilanSocial[[#This Row],[NumL]],T_TraitDi[#Data],COLUMN(T_TraitDi[[#This Row],[Colonne12]]),FALSE)=0,"",TEXT(IFERROR(VLOOKUP(T_BilanSocial[[#This Row],[NumL]],T_TraitDi[#Data],COLUMN(T_TraitDi[[#This Row],[Colonne12]]),FALSE),""),"[hh]:mm"))</f>
        <v>#VALUE!</v>
      </c>
      <c r="AT106" s="172" t="e">
        <f>IF(VLOOKUP(T_BilanSocial[[#This Row],[NumL]],T_TraitDi[#Data],COLUMN(T_TraitDi[[#This Row],[Colonne14]]),FALSE)=0,"",TEXT(IFERROR(VLOOKUP(T_BilanSocial[[#This Row],[NumL]],T_TraitDi[#Data],COLUMN(T_TraitDi[[#This Row],[Colonne14]]),FALSE),""),"[hh]:mm"))</f>
        <v>#VALUE!</v>
      </c>
      <c r="AU106" s="172" t="str">
        <f>IFERROR(VLOOKUP(T_BilanSocial[[#This Row],[NumL]],T_TraitDi[#Data],COLUMN(T_TraitDi[[#This Row],[Mercredi]]),FALSE),"")</f>
        <v/>
      </c>
      <c r="AV106" s="172" t="e">
        <f>IF(VLOOKUP(T_BilanSocial[[#This Row],[NumL]],T_TraitDi[#Data],COLUMN(T_TraitDi[[#This Row],[Colonne15]]),FALSE)=0,"",TEXT(IFERROR(VLOOKUP(T_BilanSocial[[#This Row],[NumL]],T_TraitDi[#Data],COLUMN(T_TraitDi[[#This Row],[Colonne15]]),FALSE),""),"[hh]:mm"))</f>
        <v>#VALUE!</v>
      </c>
      <c r="AW106" s="172" t="e">
        <f>IF(VLOOKUP(T_BilanSocial[[#This Row],[NumL]],T_TraitDi[#Data],COLUMN(T_TraitDi[[#This Row],[Colonne16]]),FALSE)=0,"",TEXT(IFERROR(VLOOKUP(T_BilanSocial[[#This Row],[NumL]],T_TraitDi[#Data],COLUMN(T_TraitDi[[#This Row],[Colonne16]]),FALSE),""),"[hh]:mm"))</f>
        <v>#VALUE!</v>
      </c>
      <c r="AX106" s="172" t="str">
        <f>IFERROR(VLOOKUP(T_BilanSocial[[#This Row],[NumL]],T_TraitDi[#Data],COLUMN(T_TraitDi[[#This Row],[Colonne17]]),FALSE),"")</f>
        <v/>
      </c>
      <c r="AY106" s="172" t="e">
        <f>IF(VLOOKUP(T_BilanSocial[[#This Row],[NumL]],T_TraitDi[#Data],COLUMN(T_TraitDi[[#This Row],[Colonne18]]),FALSE)=0,"",TEXT(IFERROR(VLOOKUP(T_BilanSocial[[#This Row],[NumL]],T_TraitDi[#Data],COLUMN(T_TraitDi[[#This Row],[Colonne18]]),FALSE),""),"[hh]:mm"))</f>
        <v>#VALUE!</v>
      </c>
      <c r="AZ106" s="172" t="e">
        <f>IF(VLOOKUP(T_BilanSocial[[#This Row],[NumL]],T_TraitDi[#Data],COLUMN(T_TraitDi[[#This Row],[Colonne19]]),FALSE)=0,"",TEXT(IFERROR(VLOOKUP(T_BilanSocial[[#This Row],[NumL]],T_TraitDi[#Data],COLUMN(T_TraitDi[[#This Row],[Colonne19]]),FALSE),""),"[hh]:mm"))</f>
        <v>#VALUE!</v>
      </c>
      <c r="BA106" s="172" t="e">
        <f>IF(VLOOKUP(T_BilanSocial[[#This Row],[NumL]],T_TraitDi[#Data],COLUMN(T_TraitDi[[#This Row],[Colonne20]]),FALSE)=0,"",TEXT(IFERROR(VLOOKUP(T_BilanSocial[[#This Row],[NumL]],T_TraitDi[#Data],COLUMN(T_TraitDi[[#This Row],[Colonne20]]),FALSE),""),"[hh]:mm"))</f>
        <v>#VALUE!</v>
      </c>
      <c r="BB106" s="178" t="str">
        <f>IFERROR(VLOOKUP(T_BilanSocial[[#This Row],[NumL]],T_TraitDi[#Data],COLUMN(T_TraitDi[[#This Row],[Jeudi]]),FALSE),"")</f>
        <v/>
      </c>
      <c r="BC106" s="178" t="e">
        <f>IF(VLOOKUP(T_BilanSocial[[#This Row],[NumL]],T_TraitDi[#Data],COLUMN(T_TraitDi[[#This Row],[Colonne21]]),FALSE)=0,"",TEXT(IFERROR(VLOOKUP(T_BilanSocial[[#This Row],[NumL]],T_TraitDi[#Data],COLUMN(T_TraitDi[[#This Row],[Colonne21]]),FALSE),""),"[hh]:mm"))</f>
        <v>#VALUE!</v>
      </c>
      <c r="BD106" s="178" t="e">
        <f>IF(VLOOKUP(T_BilanSocial[[#This Row],[NumL]],T_TraitDi[#Data],COLUMN(T_TraitDi[[#This Row],[Colonne22]]),FALSE)=0,"",TEXT(IFERROR(VLOOKUP(T_BilanSocial[[#This Row],[NumL]],T_TraitDi[#Data],COLUMN(T_TraitDi[[#This Row],[Colonne22]]),FALSE),""),"[hh]:mm"))</f>
        <v>#VALUE!</v>
      </c>
      <c r="BE106" s="178" t="str">
        <f>IFERROR(VLOOKUP(T_BilanSocial[[#This Row],[NumL]],T_TraitDi[#Data],COLUMN(T_TraitDi[[#This Row],[Colonne23]]),FALSE),"")</f>
        <v/>
      </c>
      <c r="BF106" s="178" t="e">
        <f>IF(VLOOKUP(T_BilanSocial[[#This Row],[NumL]],T_TraitDi[#Data],COLUMN(T_TraitDi[[#This Row],[Colonne24]]),FALSE)=0,"",TEXT(IFERROR(VLOOKUP(T_BilanSocial[[#This Row],[NumL]],T_TraitDi[#Data],COLUMN(T_TraitDi[[#This Row],[Colonne24]]),FALSE),""),"[hh]:mm"))</f>
        <v>#VALUE!</v>
      </c>
      <c r="BG106" s="178" t="e">
        <f>IF(VLOOKUP(T_BilanSocial[[#This Row],[NumL]],T_TraitDi[#Data],COLUMN(T_TraitDi[[#This Row],[Colonne25]]),FALSE)=0,"",TEXT(IFERROR(VLOOKUP(T_BilanSocial[[#This Row],[NumL]],T_TraitDi[#Data],COLUMN(T_TraitDi[[#This Row],[Colonne25]]),FALSE),""),"[hh]:mm"))</f>
        <v>#VALUE!</v>
      </c>
      <c r="BH106" s="178" t="e">
        <f>IF(VLOOKUP(T_BilanSocial[[#This Row],[NumL]],T_TraitDi[#Data],COLUMN(T_TraitDi[[#This Row],[Colonne26]]),FALSE)=0,"",TEXT(IFERROR(VLOOKUP(T_BilanSocial[[#This Row],[NumL]],T_TraitDi[#Data],COLUMN(T_TraitDi[[#This Row],[Colonne26]]),FALSE),""),"[hh]:mm"))</f>
        <v>#VALUE!</v>
      </c>
      <c r="BI106" s="172" t="str">
        <f>IFERROR(VLOOKUP(T_BilanSocial[[#This Row],[NumL]],T_TraitDi[#Data],COLUMN(T_TraitDi[[#This Row],[Vendredi]]),FALSE),"")</f>
        <v/>
      </c>
      <c r="BJ106" s="172" t="e">
        <f>IF(VLOOKUP(T_BilanSocial[[#This Row],[NumL]],T_TraitDi[#Data],COLUMN(T_TraitDi[[#This Row],[Colonne27]]),FALSE)=0,"",TEXT(IFERROR(VLOOKUP(T_BilanSocial[[#This Row],[NumL]],T_TraitDi[#Data],COLUMN(T_TraitDi[[#This Row],[Colonne27]]),FALSE),""),"[hh]:mm"))</f>
        <v>#VALUE!</v>
      </c>
      <c r="BK106" s="172" t="e">
        <f>IF(VLOOKUP(T_BilanSocial[[#This Row],[NumL]],T_TraitDi[#Data],COLUMN(T_TraitDi[[#This Row],[Colonne28]]),FALSE)=0,"",TEXT(IFERROR(VLOOKUP(T_BilanSocial[[#This Row],[NumL]],T_TraitDi[#Data],COLUMN(T_TraitDi[[#This Row],[Colonne28]]),FALSE),""),"[hh]:mm"))</f>
        <v>#VALUE!</v>
      </c>
      <c r="BL106" s="172" t="str">
        <f>IFERROR(VLOOKUP(T_BilanSocial[[#This Row],[NumL]],T_TraitDi[#Data],COLUMN(T_TraitDi[[#This Row],[Colonne29]]),FALSE),"")</f>
        <v/>
      </c>
      <c r="BM106" s="172" t="e">
        <f>IF(VLOOKUP(T_BilanSocial[[#This Row],[NumL]],T_TraitDi[#Data],COLUMN(T_TraitDi[[#This Row],[Colonne30]]),FALSE)=0,"",TEXT(IFERROR(VLOOKUP(T_BilanSocial[[#This Row],[NumL]],T_TraitDi[#Data],COLUMN(T_TraitDi[[#This Row],[Colonne30]]),FALSE),""),"[hh]:mm"))</f>
        <v>#VALUE!</v>
      </c>
      <c r="BN106" s="172" t="e">
        <f>IF(VLOOKUP(T_BilanSocial[[#This Row],[NumL]],T_TraitDi[#Data],COLUMN(T_TraitDi[[#This Row],[Colonne31]]),FALSE)=0,"",TEXT(IFERROR(VLOOKUP(T_BilanSocial[[#This Row],[NumL]],T_TraitDi[#Data],COLUMN(T_TraitDi[[#This Row],[Colonne31]]),FALSE),""),"[hh]:mm"))</f>
        <v>#VALUE!</v>
      </c>
      <c r="BO106" s="172" t="e">
        <f>IF(VLOOKUP(T_BilanSocial[[#This Row],[NumL]],T_TraitDi[#Data],COLUMN(T_TraitDi[[#This Row],[Colonne32]]),FALSE)=0,"",TEXT(IFERROR(VLOOKUP(T_BilanSocial[[#This Row],[NumL]],T_TraitDi[#Data],COLUMN(T_TraitDi[[#This Row],[Colonne32]]),FALSE),""),"[hh]:mm"))</f>
        <v>#VALUE!</v>
      </c>
      <c r="BP106" s="172" t="e">
        <f>VLOOKUP(T_BilanSocial[[#This Row],[NumL]],T_TraitDi[#Data],COLUMN(T_TraitDi[NbJTot]),FALSE)</f>
        <v>#N/A</v>
      </c>
      <c r="BQ106" s="174" t="str">
        <f>IFERROR(VLOOKUP(T_BilanSocial[[#This Row],[NumL]],T_TraitDi[#Data],COLUMN(T_TraitDi[[#This Row],[NbJTW]]),FALSE),"")</f>
        <v/>
      </c>
      <c r="BR106" s="174" t="e">
        <f>IF(VLOOKUP(T_BilanSocial[[#This Row],[NumL]],T_TraitDi[#Data],COLUMN(T_TraitDi[[#This Row],[NbhTW]]),FALSE)=0,"",TEXT(IFERROR(VLOOKUP(T_BilanSocial[[#This Row],[NumL]],T_TraitDi[#Data],COLUMN(T_TraitDi[[#This Row],[NbhTW]]),FALSE),""),"[hh]:mm"))</f>
        <v>#VALUE!</v>
      </c>
      <c r="BS106" s="174" t="e">
        <f>IF(VLOOKUP(T_BilanSocial[[#This Row],[NumL]],T_TraitDi[#Data],COLUMN(T_TraitDi[[#This Row],[Nbhheb]]),FALSE)=0,"",TEXT(IFERROR(VLOOKUP($A106,T_TraitDi[#Data],COLUMN(T_TraitDi[[#This Row],[Nbhheb]]),FALSE),""),"[hh]:mm"))</f>
        <v>#VALUE!</v>
      </c>
      <c r="BT106" s="182" t="str">
        <f>IFERROR(VLOOKUP(VLOOKUP($A106,T_TraitDi[#Data],COLUMN(T_TraitDi[[#This Row],[Type1]]),FALSE),TypeTW,2,FALSE),"")</f>
        <v/>
      </c>
      <c r="BU106" s="182" t="str">
        <f>IFERROR(VLOOKUP($A106,T_TraitDi[#Data],COLUMN(T_TraitDi[[#This Row],[Rue1]]),FALSE),"")</f>
        <v/>
      </c>
      <c r="BV106" s="173" t="str">
        <f>IFERROR(VLOOKUP($A106,T_TraitDi[#Data],COLUMN(T_TraitDi[[#This Row],[CP1]]),FALSE),"")</f>
        <v/>
      </c>
      <c r="BW106" s="173" t="str">
        <f>IFERROR(VLOOKUP($A106,T_TraitDi[#Data],COLUMN(T_TraitDi[[#This Row],[VILLE1]]),FALSE),"")</f>
        <v/>
      </c>
      <c r="BX106" s="182" t="str">
        <f>IFERROR(VLOOKUP(VLOOKUP($A106,T_TraitDi[#Data],COLUMN(T_TraitDi[[#This Row],[Type2]]),FALSE),TypeTW,2,FALSE),"")</f>
        <v/>
      </c>
      <c r="BY106" s="182" t="str">
        <f>IFERROR(VLOOKUP($A106,T_TraitDi[#Data],COLUMN(T_TraitDi[[#This Row],[Rue2]]),FALSE),"")</f>
        <v/>
      </c>
      <c r="BZ106" s="173" t="str">
        <f>IFERROR(VLOOKUP($A106,T_TraitDi[#Data],COLUMN(T_TraitDi[[#This Row],[CP2]]),FALSE),"")</f>
        <v/>
      </c>
      <c r="CA106" s="173" t="str">
        <f>IFERROR(VLOOKUP($A106,T_TraitDi[#Data],COLUMN(T_TraitDi[[#This Row],[VILLE2]]),FALSE),"")</f>
        <v/>
      </c>
      <c r="CB106" s="182" t="e">
        <f>IF(VLOOKUP(T_BilanSocial[[#This Row],[NumL]],T_Equipement[#Data],COLUMN(T_Equipement[[#This Row],[PC]]),FALSE)="","Aucun équipement spécifique directement lié au télétravail",VLOOKUP(T_BilanSocial[[#This Row],[NumL]],T_Equipement[#Data],COLUMN(T_Equipement[[#This Row],[PC]]),FALSE))</f>
        <v>#N/A</v>
      </c>
      <c r="CC106" s="166" t="str">
        <f>IFERROR(IF(VLOOKUP(T_BilanSocial[[#This Row],[NumL]],T_TraitDi[#Data],COLUMN(T_TraitDi[[#This Row],[Plan]]),FALSE)="OK","Un planning spécifique de télétravail est annexé à la présente convention.",""),"")</f>
        <v/>
      </c>
      <c r="CD106" s="258" t="s">
        <v>3377</v>
      </c>
      <c r="CE106" s="164" t="e">
        <f>IF(VLOOKUP(T_BilanSocial[[#This Row],[NumL]],T_suiviDi[#Data],COLUMN(T_suiviDi[[#This Row],[Entité]]),FALSE)="","",VLOOKUP(T_BilanSocial[[#This Row],[NumL]],T_suiviDi[#Data],COLUMN(T_suiviDi[[#This Row],[Entité]]),FALSE))</f>
        <v>#VALUE!</v>
      </c>
      <c r="CF106" s="164" t="e">
        <f>IF(VLOOKUP(T_BilanSocial[[#This Row],[NumL]],T_Commission[#Data],COLUMN(T_Commission[[#This Row],[envoi confirm TW]]),FALSE)="","",VLOOKUP(T_BilanSocial[[#This Row],[NumL]],T_Commission[#Data],COLUMN(T_Commission[[#This Row],[envoi confirm TW]]),FALSE))</f>
        <v>#N/A</v>
      </c>
      <c r="CG10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6" s="262" t="e">
        <f>T_BilanSocial[[#This Row],[Nom]]&amp;T_BilanSocial[[#This Row],[Prenom]]</f>
        <v>#N/A</v>
      </c>
      <c r="CI106" s="262" t="e">
        <f>VLOOKUP(T_BilanSocial[[#This Row],[NumL]],T_Commission[#Data],COLUMN(T_Commission[Commentaire]),FALSE)</f>
        <v>#N/A</v>
      </c>
      <c r="CJ106" s="262" t="e">
        <f>IF(VLOOKUP(T_BilanSocial[[#This Row],[NumL]],T_Commission[#Data],COLUMN(T_Commission[Encadrant Email]),FALSE)="","",VLOOKUP(T_BilanSocial[[#This Row],[NumL]],T_Commission[#Data],COLUMN(T_Commission[Encadrant Email]),FALSE))</f>
        <v>#N/A</v>
      </c>
      <c r="CK106" s="340" t="e">
        <f>IF(T_BilanSocial[[#This Row],[Final]]&lt;&gt;"",VLOOKUP(T_BilanSocial[[#This Row],[NumL]],T_suiviDi[#Data],COLUMN((T_suiviDi[Statut])),FALSE),"")</f>
        <v>#N/A</v>
      </c>
    </row>
    <row r="107" spans="1:89" s="106" customFormat="1" ht="24.75" customHeight="1" x14ac:dyDescent="0.25">
      <c r="A107" s="160">
        <v>104</v>
      </c>
      <c r="B107" s="161" t="str">
        <f t="shared" si="10"/>
        <v/>
      </c>
      <c r="C107" s="162" t="s">
        <v>173</v>
      </c>
      <c r="D107" s="95" t="e">
        <f>IF(VLOOKUP(T_BilanSocial[[#This Row],[NumL]],T_TraitDi[#Data],COLUMN(T_TraitDi[[#This Row],[WebC]]),FALSE)="","",VLOOKUP(T_BilanSocial[[#This Row],[NumL]],T_TraitDi[#Data],COLUMN(T_TraitDi[[#This Row],[WebC]]),FALSE))</f>
        <v>#VALUE!</v>
      </c>
      <c r="E107" s="163" t="str">
        <f t="shared" si="11"/>
        <v>12 janvier 2021</v>
      </c>
      <c r="F107" s="96" t="str">
        <f>IF(T_BilanSocial[[#This Row],[Final]]&lt;&gt;"",VLOOKUP(T_BilanSocial[[#This Row],[NumL]],T_suiviDi[#Data],COLUMN((T_suiviDi[Civ.])),FALSE),"")</f>
        <v/>
      </c>
      <c r="G107" s="96" t="str">
        <f>IF(T_BilanSocial[[#This Row],[Final]]&lt;&gt;"",VLOOKUP(T_BilanSocial[[#This Row],[NumL]],T_suiviDi[#Data],COLUMN((T_suiviDi[Nom])),FALSE),"")</f>
        <v/>
      </c>
      <c r="H107" s="96" t="str">
        <f>IF(T_BilanSocial[[#This Row],[Final]]&lt;&gt;"",VLOOKUP(T_BilanSocial[[#This Row],[NumL]],T_suiviDi[#Data],COLUMN((T_suiviDi[Prénom])),FALSE),"")</f>
        <v/>
      </c>
      <c r="I107" s="96" t="str">
        <f>IFERROR(VLOOKUP(T_BilanSocial[[#This Row],[Zone_Bilan]],T_P_BilanSocial[#Data],COLUMN(T_P_BilanSocial[[#This Row],[Numero_SIHAM]]),FALSE),"")</f>
        <v/>
      </c>
      <c r="J107" s="96" t="str">
        <f>IFERROR(VLOOKUP(T_BilanSocial[[#This Row],[Zone_Bilan]],T_P_BilanSocial[#Data],COLUMN(T_P_BilanSocial[[#This Row],[Sexe]]),FALSE),"")</f>
        <v/>
      </c>
      <c r="K107" s="97" t="str">
        <f>IFERROR(VLOOKUP(T_BilanSocial[[#This Row],[Zone_Bilan]],T_P_BilanSocial[#Data],COLUMN(T_P_BilanSocial[[#This Row],[Categorie]]),FALSE),"")</f>
        <v/>
      </c>
      <c r="L107" s="96" t="str">
        <f>IFERROR(VLOOKUP(T_BilanSocial[[#This Row],[Zone_Bilan]],T_P_BilanSocial[#Data],COLUMN(T_P_BilanSocial[[#This Row],[Statut]]),FALSE),"")</f>
        <v/>
      </c>
      <c r="M107" s="96" t="str">
        <f>IFERROR(VLOOKUP(T_BilanSocial[[#This Row],[Zone_Bilan]],T_P_BilanSocial[#Data],COLUMN(T_P_BilanSocial[[#This Row],[Filiere]]),FALSE),"")</f>
        <v/>
      </c>
      <c r="N107" s="96" t="e">
        <f>VLOOKUP(T_BilanSocial[[#This Row],[NumL]],T_TraitDi[#Data],COLUMN(T_TraitDi[EXP]),FALSE)</f>
        <v>#N/A</v>
      </c>
      <c r="O107" s="96" t="e">
        <f>VLOOKUP(T_BilanSocial[[#This Row],[NumL]],T_TraitDi[#Data],COLUMN(T_TraitDi[FORM]),FALSE)</f>
        <v>#N/A</v>
      </c>
      <c r="P107" s="96" t="str">
        <f>IF(T_BilanSocial[[#This Row],[Final]]&lt;&gt;"",VLOOKUP(T_BilanSocial[[#This Row],[NumL]],T_suiviDi[#Data],COLUMN((T_suiviDi[Email])),FALSE),"")</f>
        <v/>
      </c>
      <c r="Q107" s="164" t="e">
        <f t="shared" si="17"/>
        <v>#N/A</v>
      </c>
      <c r="R107" s="164" t="e">
        <f t="shared" si="18"/>
        <v>#N/A</v>
      </c>
      <c r="S107" s="164" t="e">
        <f>IF(VLOOKUP(T_BilanSocial[[#This Row],[NumL]],T_suiviDi[#Data],COLUMN(T_suiviDi[[#This Row],[Service ]]),FALSE)="","",VLOOKUP(T_BilanSocial[[#This Row],[NumL]],T_suiviDi[#Data],COLUMN(T_suiviDi[[#This Row],[Service ]]),FALSE))</f>
        <v>#VALUE!</v>
      </c>
      <c r="T107" s="164" t="str">
        <f t="shared" si="12"/>
        <v>01 septembre 2021</v>
      </c>
      <c r="U107" s="164" t="str">
        <f t="shared" si="13"/>
        <v>30 novembre 2021</v>
      </c>
      <c r="V107" s="164" t="str">
        <f t="shared" si="21"/>
        <v>30 novembre 2021</v>
      </c>
      <c r="W107" s="176" t="e">
        <f>IF(VLOOKUP(T_BilanSocial[[#This Row],[NumL]],T_TraitDi[#Data],COLUMN(T_TraitDi[[#This Row],[M1]]),FALSE)="","",VLOOKUP(T_BilanSocial[[#This Row],[NumL]],T_TraitDi[#Data],COLUMN(T_TraitDi[[#This Row],[M1]]),FALSE))</f>
        <v>#VALUE!</v>
      </c>
      <c r="X107" s="176" t="e">
        <f>IF(VLOOKUP(T_BilanSocial[[#This Row],[NumL]],T_TraitDi[#Data],COLUMN(T_TraitDi[[#This Row],[M2]]),FALSE)="","",VLOOKUP(T_BilanSocial[[#This Row],[NumL]],T_TraitDi[#Data],COLUMN(T_TraitDi[[#This Row],[M2]]),FALSE))</f>
        <v>#VALUE!</v>
      </c>
      <c r="Y107" s="176" t="e">
        <f>IF(VLOOKUP(T_BilanSocial[[#This Row],[NumL]],T_TraitDi[#Data],COLUMN(T_TraitDi[[#This Row],[M3]]),FALSE)="","",VLOOKUP(T_BilanSocial[[#This Row],[NumL]],T_TraitDi[#Data],COLUMN(T_TraitDi[[#This Row],[M3]]),FALSE))</f>
        <v>#VALUE!</v>
      </c>
      <c r="Z107" s="176" t="str">
        <f t="shared" si="16"/>
        <v/>
      </c>
      <c r="AA107" s="176" t="e">
        <f>IF(VLOOKUP(T_BilanSocial[[#This Row],[NumL]],T_TraitDi[#Data],COLUMN(T_TraitDi[[#This Row],[M5]]),FALSE)="","",VLOOKUP(T_BilanSocial[[#This Row],[NumL]],T_TraitDi[#Data],COLUMN(T_TraitDi[[#This Row],[M5]]),FALSE))</f>
        <v>#VALUE!</v>
      </c>
      <c r="AB107" s="176" t="e">
        <f>IF(VLOOKUP(T_BilanSocial[[#This Row],[NumL]],T_TraitDi[#Data],COLUMN(T_TraitDi[[#This Row],[M6]]),FALSE)="","",VLOOKUP(T_BilanSocial[[#This Row],[NumL]],T_TraitDi[#Data],COLUMN(T_TraitDi[[#This Row],[M6]]),FALSE))</f>
        <v>#VALUE!</v>
      </c>
      <c r="AC107" s="165" t="e">
        <f t="shared" si="15"/>
        <v>#VALUE!</v>
      </c>
      <c r="AD107" s="188" t="str">
        <f>IFERROR(TEXT(VLOOKUP(T_BilanSocial[[#This Row],[NumL]],T_TraitDi[#Data],COLUMN(T_TraitDi[[#This Row],[Q2]]),FALSE),"###%"),"")</f>
        <v/>
      </c>
      <c r="AE107" s="97" t="e">
        <f>VLOOKUP(T_BilanSocial[[#This Row],[NumL]],T_TraitDi[#Data],COLUMN(T_TraitDi[[#This Row],[Reg Ponct]]),FALSE)</f>
        <v>#VALUE!</v>
      </c>
      <c r="AF107" s="97" t="e">
        <f>VLOOKUP(T_BilanSocial[NumL],T_TraitDi[#Data],COLUMN(T_TraitDi[[#This Row],[Jours flottants]]),FALSE)</f>
        <v>#VALUE!</v>
      </c>
      <c r="AG107" s="97" t="str">
        <f>IFERROR(VLOOKUP(T_BilanSocial[[#This Row],[NumL]],T_TraitDi[#Data],COLUMN(T_TraitDi[[#This Row],[Lundi]]),FALSE),"")</f>
        <v/>
      </c>
      <c r="AH107" s="172" t="e">
        <f>IF(VLOOKUP(T_BilanSocial[[#This Row],[NumL]],T_TraitDi[#Data],COLUMN(T_TraitDi[[#This Row],[Colonne3]]),FALSE)=0,"",TEXT(IFERROR(VLOOKUP(T_BilanSocial[[#This Row],[NumL]],T_TraitDi[#Data],COLUMN(T_TraitDi[[#This Row],[Colonne3]]),FALSE),""),"[hh]:mm"))</f>
        <v>#VALUE!</v>
      </c>
      <c r="AI107" s="172" t="e">
        <f>IF(VLOOKUP(T_BilanSocial[[#This Row],[NumL]],T_TraitDi[#Data],COLUMN(T_TraitDi[[#This Row],[Colonne4]]),FALSE)=0,"",TEXT(IFERROR(VLOOKUP(T_BilanSocial[[#This Row],[NumL]],T_TraitDi[#Data],COLUMN(T_TraitDi[[#This Row],[Colonne4]]),FALSE),""),"[hh]:mm"))</f>
        <v>#VALUE!</v>
      </c>
      <c r="AJ107" s="172" t="e">
        <f>IF(VLOOKUP(T_BilanSocial[[#This Row],[NumL]],T_TraitDi[#Data],COLUMN(T_TraitDi[[#This Row],[Colonne5]]),FALSE)=0,"",TEXT(IFERROR(VLOOKUP(T_BilanSocial[[#This Row],[NumL]],T_TraitDi[#Data],COLUMN(T_TraitDi[[#This Row],[Colonne5]]),FALSE),""),"[hh]:mm"))</f>
        <v>#VALUE!</v>
      </c>
      <c r="AK107" s="172" t="e">
        <f>IF(VLOOKUP(T_BilanSocial[[#This Row],[NumL]],T_TraitDi[#Data],COLUMN(T_TraitDi[[#This Row],[Colonne6]]),FALSE)=0,"",TEXT(IFERROR(VLOOKUP(T_BilanSocial[[#This Row],[NumL]],T_TraitDi[#Data],COLUMN(T_TraitDi[[#This Row],[Colonne6]]),FALSE),""),"[hh]:mm"))</f>
        <v>#VALUE!</v>
      </c>
      <c r="AL107" s="172" t="e">
        <f>IF(VLOOKUP(T_BilanSocial[[#This Row],[NumL]],T_TraitDi[#Data],COLUMN(T_TraitDi[[#This Row],[Colonne7]]),FALSE)=0,"",TEXT(IFERROR(VLOOKUP(T_BilanSocial[[#This Row],[NumL]],T_TraitDi[#Data],COLUMN(T_TraitDi[[#This Row],[Colonne7]]),FALSE),""),"[hh]:mm"))</f>
        <v>#VALUE!</v>
      </c>
      <c r="AM107" s="172" t="e">
        <f>IF(VLOOKUP(T_BilanSocial[[#This Row],[NumL]],T_TraitDi[#Data],COLUMN(T_TraitDi[[#This Row],[Colonne8]]),FALSE)=0,"",TEXT(IFERROR(VLOOKUP(T_BilanSocial[[#This Row],[NumL]],T_TraitDi[#Data],COLUMN(T_TraitDi[[#This Row],[Colonne8]]),FALSE),""),"[hh]:mm"))</f>
        <v>#VALUE!</v>
      </c>
      <c r="AN107" s="172" t="str">
        <f>IFERROR(VLOOKUP(T_BilanSocial[[#This Row],[NumL]],T_TraitDi[#Data],COLUMN(T_TraitDi[[#This Row],[Mardi]]),FALSE),"")</f>
        <v/>
      </c>
      <c r="AO107" s="172" t="e">
        <f>IF(VLOOKUP(T_BilanSocial[[#This Row],[NumL]],T_TraitDi[#Data],COLUMN(T_TraitDi[[#This Row],[Colonne1]]),FALSE)=0,"",TEXT(IFERROR(VLOOKUP(T_BilanSocial[[#This Row],[NumL]],T_TraitDi[#Data],COLUMN(T_TraitDi[[#This Row],[Colonne1]]),FALSE),""),"[hh]:mm"))</f>
        <v>#VALUE!</v>
      </c>
      <c r="AP107" s="172" t="e">
        <f>IF(VLOOKUP(T_BilanSocial[[#This Row],[NumL]],T_TraitDi[#Data],COLUMN(T_TraitDi[[#This Row],[Colonne9]]),FALSE)=0,"",TEXT(IFERROR(VLOOKUP(T_BilanSocial[[#This Row],[NumL]],T_TraitDi[#Data],COLUMN(T_TraitDi[[#This Row],[Colonne9]]),FALSE),""),"[hh]:mm"))</f>
        <v>#VALUE!</v>
      </c>
      <c r="AQ107" s="172" t="str">
        <f>IFERROR(VLOOKUP(T_BilanSocial[[#This Row],[NumL]],T_TraitDi[#Data],COLUMN(T_TraitDi[[#This Row],[Colonne10]]),FALSE),"")</f>
        <v/>
      </c>
      <c r="AR107" s="172" t="e">
        <f>IF(VLOOKUP(T_BilanSocial[[#This Row],[NumL]],T_TraitDi[#Data],COLUMN(T_TraitDi[[#This Row],[Colonne11]]),FALSE)=0,"",TEXT(IFERROR(VLOOKUP(T_BilanSocial[[#This Row],[NumL]],T_TraitDi[#Data],COLUMN(T_TraitDi[[#This Row],[Colonne11]]),FALSE),""),"[hh]:mm"))</f>
        <v>#VALUE!</v>
      </c>
      <c r="AS107" s="172" t="e">
        <f>IF(VLOOKUP(T_BilanSocial[[#This Row],[NumL]],T_TraitDi[#Data],COLUMN(T_TraitDi[[#This Row],[Colonne12]]),FALSE)=0,"",TEXT(IFERROR(VLOOKUP(T_BilanSocial[[#This Row],[NumL]],T_TraitDi[#Data],COLUMN(T_TraitDi[[#This Row],[Colonne12]]),FALSE),""),"[hh]:mm"))</f>
        <v>#VALUE!</v>
      </c>
      <c r="AT107" s="172" t="e">
        <f>IF(VLOOKUP(T_BilanSocial[[#This Row],[NumL]],T_TraitDi[#Data],COLUMN(T_TraitDi[[#This Row],[Colonne14]]),FALSE)=0,"",TEXT(IFERROR(VLOOKUP(T_BilanSocial[[#This Row],[NumL]],T_TraitDi[#Data],COLUMN(T_TraitDi[[#This Row],[Colonne14]]),FALSE),""),"[hh]:mm"))</f>
        <v>#VALUE!</v>
      </c>
      <c r="AU107" s="172" t="str">
        <f>IFERROR(VLOOKUP(T_BilanSocial[[#This Row],[NumL]],T_TraitDi[#Data],COLUMN(T_TraitDi[[#This Row],[Mercredi]]),FALSE),"")</f>
        <v/>
      </c>
      <c r="AV107" s="172" t="e">
        <f>IF(VLOOKUP(T_BilanSocial[[#This Row],[NumL]],T_TraitDi[#Data],COLUMN(T_TraitDi[[#This Row],[Colonne15]]),FALSE)=0,"",TEXT(IFERROR(VLOOKUP(T_BilanSocial[[#This Row],[NumL]],T_TraitDi[#Data],COLUMN(T_TraitDi[[#This Row],[Colonne15]]),FALSE),""),"[hh]:mm"))</f>
        <v>#VALUE!</v>
      </c>
      <c r="AW107" s="172" t="e">
        <f>IF(VLOOKUP(T_BilanSocial[[#This Row],[NumL]],T_TraitDi[#Data],COLUMN(T_TraitDi[[#This Row],[Colonne16]]),FALSE)=0,"",TEXT(IFERROR(VLOOKUP(T_BilanSocial[[#This Row],[NumL]],T_TraitDi[#Data],COLUMN(T_TraitDi[[#This Row],[Colonne16]]),FALSE),""),"[hh]:mm"))</f>
        <v>#VALUE!</v>
      </c>
      <c r="AX107" s="172" t="str">
        <f>IFERROR(VLOOKUP(T_BilanSocial[[#This Row],[NumL]],T_TraitDi[#Data],COLUMN(T_TraitDi[[#This Row],[Colonne17]]),FALSE),"")</f>
        <v/>
      </c>
      <c r="AY107" s="172" t="e">
        <f>IF(VLOOKUP(T_BilanSocial[[#This Row],[NumL]],T_TraitDi[#Data],COLUMN(T_TraitDi[[#This Row],[Colonne18]]),FALSE)=0,"",TEXT(IFERROR(VLOOKUP(T_BilanSocial[[#This Row],[NumL]],T_TraitDi[#Data],COLUMN(T_TraitDi[[#This Row],[Colonne18]]),FALSE),""),"[hh]:mm"))</f>
        <v>#VALUE!</v>
      </c>
      <c r="AZ107" s="172" t="e">
        <f>IF(VLOOKUP(T_BilanSocial[[#This Row],[NumL]],T_TraitDi[#Data],COLUMN(T_TraitDi[[#This Row],[Colonne19]]),FALSE)=0,"",TEXT(IFERROR(VLOOKUP(T_BilanSocial[[#This Row],[NumL]],T_TraitDi[#Data],COLUMN(T_TraitDi[[#This Row],[Colonne19]]),FALSE),""),"[hh]:mm"))</f>
        <v>#VALUE!</v>
      </c>
      <c r="BA107" s="172" t="e">
        <f>IF(VLOOKUP(T_BilanSocial[[#This Row],[NumL]],T_TraitDi[#Data],COLUMN(T_TraitDi[[#This Row],[Colonne20]]),FALSE)=0,"",TEXT(IFERROR(VLOOKUP(T_BilanSocial[[#This Row],[NumL]],T_TraitDi[#Data],COLUMN(T_TraitDi[[#This Row],[Colonne20]]),FALSE),""),"[hh]:mm"))</f>
        <v>#VALUE!</v>
      </c>
      <c r="BB107" s="178" t="str">
        <f>IFERROR(VLOOKUP(T_BilanSocial[[#This Row],[NumL]],T_TraitDi[#Data],COLUMN(T_TraitDi[[#This Row],[Jeudi]]),FALSE),"")</f>
        <v/>
      </c>
      <c r="BC107" s="178" t="e">
        <f>IF(VLOOKUP(T_BilanSocial[[#This Row],[NumL]],T_TraitDi[#Data],COLUMN(T_TraitDi[[#This Row],[Colonne21]]),FALSE)=0,"",TEXT(IFERROR(VLOOKUP(T_BilanSocial[[#This Row],[NumL]],T_TraitDi[#Data],COLUMN(T_TraitDi[[#This Row],[Colonne21]]),FALSE),""),"[hh]:mm"))</f>
        <v>#VALUE!</v>
      </c>
      <c r="BD107" s="178" t="e">
        <f>IF(VLOOKUP(T_BilanSocial[[#This Row],[NumL]],T_TraitDi[#Data],COLUMN(T_TraitDi[[#This Row],[Colonne22]]),FALSE)=0,"",TEXT(IFERROR(VLOOKUP(T_BilanSocial[[#This Row],[NumL]],T_TraitDi[#Data],COLUMN(T_TraitDi[[#This Row],[Colonne22]]),FALSE),""),"[hh]:mm"))</f>
        <v>#VALUE!</v>
      </c>
      <c r="BE107" s="178" t="str">
        <f>IFERROR(VLOOKUP(T_BilanSocial[[#This Row],[NumL]],T_TraitDi[#Data],COLUMN(T_TraitDi[[#This Row],[Colonne23]]),FALSE),"")</f>
        <v/>
      </c>
      <c r="BF107" s="178" t="e">
        <f>IF(VLOOKUP(T_BilanSocial[[#This Row],[NumL]],T_TraitDi[#Data],COLUMN(T_TraitDi[[#This Row],[Colonne24]]),FALSE)=0,"",TEXT(IFERROR(VLOOKUP(T_BilanSocial[[#This Row],[NumL]],T_TraitDi[#Data],COLUMN(T_TraitDi[[#This Row],[Colonne24]]),FALSE),""),"[hh]:mm"))</f>
        <v>#VALUE!</v>
      </c>
      <c r="BG107" s="178" t="e">
        <f>IF(VLOOKUP(T_BilanSocial[[#This Row],[NumL]],T_TraitDi[#Data],COLUMN(T_TraitDi[[#This Row],[Colonne25]]),FALSE)=0,"",TEXT(IFERROR(VLOOKUP(T_BilanSocial[[#This Row],[NumL]],T_TraitDi[#Data],COLUMN(T_TraitDi[[#This Row],[Colonne25]]),FALSE),""),"[hh]:mm"))</f>
        <v>#VALUE!</v>
      </c>
      <c r="BH107" s="178" t="e">
        <f>IF(VLOOKUP(T_BilanSocial[[#This Row],[NumL]],T_TraitDi[#Data],COLUMN(T_TraitDi[[#This Row],[Colonne26]]),FALSE)=0,"",TEXT(IFERROR(VLOOKUP(T_BilanSocial[[#This Row],[NumL]],T_TraitDi[#Data],COLUMN(T_TraitDi[[#This Row],[Colonne26]]),FALSE),""),"[hh]:mm"))</f>
        <v>#VALUE!</v>
      </c>
      <c r="BI107" s="172" t="str">
        <f>IFERROR(VLOOKUP(T_BilanSocial[[#This Row],[NumL]],T_TraitDi[#Data],COLUMN(T_TraitDi[[#This Row],[Vendredi]]),FALSE),"")</f>
        <v/>
      </c>
      <c r="BJ107" s="172" t="e">
        <f>IF(VLOOKUP(T_BilanSocial[[#This Row],[NumL]],T_TraitDi[#Data],COLUMN(T_TraitDi[[#This Row],[Colonne27]]),FALSE)=0,"",TEXT(IFERROR(VLOOKUP(T_BilanSocial[[#This Row],[NumL]],T_TraitDi[#Data],COLUMN(T_TraitDi[[#This Row],[Colonne27]]),FALSE),""),"[hh]:mm"))</f>
        <v>#VALUE!</v>
      </c>
      <c r="BK107" s="172" t="e">
        <f>IF(VLOOKUP(T_BilanSocial[[#This Row],[NumL]],T_TraitDi[#Data],COLUMN(T_TraitDi[[#This Row],[Colonne28]]),FALSE)=0,"",TEXT(IFERROR(VLOOKUP(T_BilanSocial[[#This Row],[NumL]],T_TraitDi[#Data],COLUMN(T_TraitDi[[#This Row],[Colonne28]]),FALSE),""),"[hh]:mm"))</f>
        <v>#VALUE!</v>
      </c>
      <c r="BL107" s="172" t="str">
        <f>IFERROR(VLOOKUP(T_BilanSocial[[#This Row],[NumL]],T_TraitDi[#Data],COLUMN(T_TraitDi[[#This Row],[Colonne29]]),FALSE),"")</f>
        <v/>
      </c>
      <c r="BM107" s="172" t="e">
        <f>IF(VLOOKUP(T_BilanSocial[[#This Row],[NumL]],T_TraitDi[#Data],COLUMN(T_TraitDi[[#This Row],[Colonne30]]),FALSE)=0,"",TEXT(IFERROR(VLOOKUP(T_BilanSocial[[#This Row],[NumL]],T_TraitDi[#Data],COLUMN(T_TraitDi[[#This Row],[Colonne30]]),FALSE),""),"[hh]:mm"))</f>
        <v>#VALUE!</v>
      </c>
      <c r="BN107" s="172" t="e">
        <f>IF(VLOOKUP(T_BilanSocial[[#This Row],[NumL]],T_TraitDi[#Data],COLUMN(T_TraitDi[[#This Row],[Colonne31]]),FALSE)=0,"",TEXT(IFERROR(VLOOKUP(T_BilanSocial[[#This Row],[NumL]],T_TraitDi[#Data],COLUMN(T_TraitDi[[#This Row],[Colonne31]]),FALSE),""),"[hh]:mm"))</f>
        <v>#VALUE!</v>
      </c>
      <c r="BO107" s="172" t="e">
        <f>IF(VLOOKUP(T_BilanSocial[[#This Row],[NumL]],T_TraitDi[#Data],COLUMN(T_TraitDi[[#This Row],[Colonne32]]),FALSE)=0,"",TEXT(IFERROR(VLOOKUP(T_BilanSocial[[#This Row],[NumL]],T_TraitDi[#Data],COLUMN(T_TraitDi[[#This Row],[Colonne32]]),FALSE),""),"[hh]:mm"))</f>
        <v>#VALUE!</v>
      </c>
      <c r="BP107" s="172" t="e">
        <f>VLOOKUP(T_BilanSocial[[#This Row],[NumL]],T_TraitDi[#Data],COLUMN(T_TraitDi[NbJTot]),FALSE)</f>
        <v>#N/A</v>
      </c>
      <c r="BQ107" s="174" t="str">
        <f>IFERROR(VLOOKUP(T_BilanSocial[[#This Row],[NumL]],T_TraitDi[#Data],COLUMN(T_TraitDi[[#This Row],[NbJTW]]),FALSE),"")</f>
        <v/>
      </c>
      <c r="BR107" s="174" t="e">
        <f>IF(VLOOKUP(T_BilanSocial[[#This Row],[NumL]],T_TraitDi[#Data],COLUMN(T_TraitDi[[#This Row],[NbhTW]]),FALSE)=0,"",TEXT(IFERROR(VLOOKUP(T_BilanSocial[[#This Row],[NumL]],T_TraitDi[#Data],COLUMN(T_TraitDi[[#This Row],[NbhTW]]),FALSE),""),"[hh]:mm"))</f>
        <v>#VALUE!</v>
      </c>
      <c r="BS107" s="174" t="e">
        <f>IF(VLOOKUP(T_BilanSocial[[#This Row],[NumL]],T_TraitDi[#Data],COLUMN(T_TraitDi[[#This Row],[Nbhheb]]),FALSE)=0,"",TEXT(IFERROR(VLOOKUP($A107,T_TraitDi[#Data],COLUMN(T_TraitDi[[#This Row],[Nbhheb]]),FALSE),""),"[hh]:mm"))</f>
        <v>#VALUE!</v>
      </c>
      <c r="BT107" s="182" t="str">
        <f>IFERROR(VLOOKUP(VLOOKUP($A107,T_TraitDi[#Data],COLUMN(T_TraitDi[[#This Row],[Type1]]),FALSE),TypeTW,2,FALSE),"")</f>
        <v/>
      </c>
      <c r="BU107" s="182" t="str">
        <f>IFERROR(VLOOKUP($A107,T_TraitDi[#Data],COLUMN(T_TraitDi[[#This Row],[Rue1]]),FALSE),"")</f>
        <v/>
      </c>
      <c r="BV107" s="173" t="str">
        <f>IFERROR(VLOOKUP($A107,T_TraitDi[#Data],COLUMN(T_TraitDi[[#This Row],[CP1]]),FALSE),"")</f>
        <v/>
      </c>
      <c r="BW107" s="173" t="str">
        <f>IFERROR(VLOOKUP($A107,T_TraitDi[#Data],COLUMN(T_TraitDi[[#This Row],[VILLE1]]),FALSE),"")</f>
        <v/>
      </c>
      <c r="BX107" s="182" t="str">
        <f>IFERROR(VLOOKUP(VLOOKUP($A107,T_TraitDi[#Data],COLUMN(T_TraitDi[[#This Row],[Type2]]),FALSE),TypeTW,2,FALSE),"")</f>
        <v/>
      </c>
      <c r="BY107" s="182" t="str">
        <f>IFERROR(VLOOKUP($A107,T_TraitDi[#Data],COLUMN(T_TraitDi[[#This Row],[Rue2]]),FALSE),"")</f>
        <v/>
      </c>
      <c r="BZ107" s="173" t="str">
        <f>IFERROR(VLOOKUP($A107,T_TraitDi[#Data],COLUMN(T_TraitDi[[#This Row],[CP2]]),FALSE),"")</f>
        <v/>
      </c>
      <c r="CA107" s="173" t="str">
        <f>IFERROR(VLOOKUP($A107,T_TraitDi[#Data],COLUMN(T_TraitDi[[#This Row],[VILLE2]]),FALSE),"")</f>
        <v/>
      </c>
      <c r="CB107" s="182" t="str">
        <f>IF(VLOOKUP(T_BilanSocial[[#This Row],[NumL]],T_Equipement[#Data],COLUMN(T_Equipement[[#This Row],[PC]]),FALSE)="","Aucun équipement spécifique directement lié au télétravail",VLOOKUP(T_BilanSocial[[#This Row],[NumL]],T_Equipement[#Data],COLUMN(T_Equipement[[#This Row],[PC]]),FALSE))</f>
        <v xml:space="preserve">12-180	</v>
      </c>
      <c r="CC107" s="166" t="str">
        <f>IFERROR(IF(VLOOKUP(T_BilanSocial[[#This Row],[NumL]],T_TraitDi[#Data],COLUMN(T_TraitDi[[#This Row],[Plan]]),FALSE)="OK","Un planning spécifique de télétravail est annexé à la présente convention.",""),"")</f>
        <v/>
      </c>
      <c r="CD107" s="258" t="s">
        <v>3378</v>
      </c>
      <c r="CE107" s="164" t="e">
        <f>IF(VLOOKUP(T_BilanSocial[[#This Row],[NumL]],T_suiviDi[#Data],COLUMN(T_suiviDi[[#This Row],[Entité]]),FALSE)="","",VLOOKUP(T_BilanSocial[[#This Row],[NumL]],T_suiviDi[#Data],COLUMN(T_suiviDi[[#This Row],[Entité]]),FALSE))</f>
        <v>#VALUE!</v>
      </c>
      <c r="CF107" s="164" t="str">
        <f>IF(VLOOKUP(T_BilanSocial[[#This Row],[NumL]],T_Commission[#Data],COLUMN(T_Commission[[#This Row],[envoi confirm TW]]),FALSE)="","",VLOOKUP(T_BilanSocial[[#This Row],[NumL]],T_Commission[#Data],COLUMN(T_Commission[[#This Row],[envoi confirm TW]]),FALSE))</f>
        <v>Oui</v>
      </c>
      <c r="CG10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7" s="262" t="str">
        <f>T_BilanSocial[[#This Row],[Nom]]&amp;T_BilanSocial[[#This Row],[Prenom]]</f>
        <v/>
      </c>
      <c r="CI107" s="262">
        <f>VLOOKUP(T_BilanSocial[[#This Row],[NumL]],T_Commission[#Data],COLUMN(T_Commission[Commentaire]),FALSE)</f>
        <v>0</v>
      </c>
      <c r="CJ107" s="262" t="str">
        <f>IF(VLOOKUP(T_BilanSocial[[#This Row],[NumL]],T_Commission[#Data],COLUMN(T_Commission[Encadrant Email]),FALSE)="","",VLOOKUP(T_BilanSocial[[#This Row],[NumL]],T_Commission[#Data],COLUMN(T_Commission[Encadrant Email]),FALSE))</f>
        <v/>
      </c>
      <c r="CK107" s="340" t="str">
        <f>IF(T_BilanSocial[[#This Row],[Final]]&lt;&gt;"",VLOOKUP(T_BilanSocial[[#This Row],[NumL]],T_suiviDi[#Data],COLUMN((T_suiviDi[Statut])),FALSE),"")</f>
        <v/>
      </c>
    </row>
    <row r="108" spans="1:89" s="106" customFormat="1" ht="24.75" customHeight="1" x14ac:dyDescent="0.25">
      <c r="A108" s="160">
        <v>105</v>
      </c>
      <c r="B108" s="161" t="str">
        <f t="shared" si="10"/>
        <v/>
      </c>
      <c r="C108" s="162" t="s">
        <v>173</v>
      </c>
      <c r="D108" s="95" t="e">
        <f>IF(VLOOKUP(T_BilanSocial[[#This Row],[NumL]],T_TraitDi[#Data],COLUMN(T_TraitDi[[#This Row],[WebC]]),FALSE)="","",VLOOKUP(T_BilanSocial[[#This Row],[NumL]],T_TraitDi[#Data],COLUMN(T_TraitDi[[#This Row],[WebC]]),FALSE))</f>
        <v>#VALUE!</v>
      </c>
      <c r="E108" s="163" t="str">
        <f t="shared" si="11"/>
        <v>12 janvier 2021</v>
      </c>
      <c r="F108" s="96" t="str">
        <f>IF(T_BilanSocial[[#This Row],[Final]]&lt;&gt;"",VLOOKUP(T_BilanSocial[[#This Row],[NumL]],T_suiviDi[#Data],COLUMN((T_suiviDi[Civ.])),FALSE),"")</f>
        <v/>
      </c>
      <c r="G108" s="96" t="str">
        <f>IF(T_BilanSocial[[#This Row],[Final]]&lt;&gt;"",VLOOKUP(T_BilanSocial[[#This Row],[NumL]],T_suiviDi[#Data],COLUMN((T_suiviDi[Nom])),FALSE),"")</f>
        <v/>
      </c>
      <c r="H108" s="96" t="str">
        <f>IF(T_BilanSocial[[#This Row],[Final]]&lt;&gt;"",VLOOKUP(T_BilanSocial[[#This Row],[NumL]],T_suiviDi[#Data],COLUMN((T_suiviDi[Prénom])),FALSE),"")</f>
        <v/>
      </c>
      <c r="I108" s="96" t="str">
        <f>IFERROR(VLOOKUP(T_BilanSocial[[#This Row],[Zone_Bilan]],T_P_BilanSocial[#Data],COLUMN(T_P_BilanSocial[[#This Row],[Numero_SIHAM]]),FALSE),"")</f>
        <v/>
      </c>
      <c r="J108" s="96" t="str">
        <f>IFERROR(VLOOKUP(T_BilanSocial[[#This Row],[Zone_Bilan]],T_P_BilanSocial[#Data],COLUMN(T_P_BilanSocial[[#This Row],[Sexe]]),FALSE),"")</f>
        <v/>
      </c>
      <c r="K108" s="97" t="str">
        <f>IFERROR(VLOOKUP(T_BilanSocial[[#This Row],[Zone_Bilan]],T_P_BilanSocial[#Data],COLUMN(T_P_BilanSocial[[#This Row],[Categorie]]),FALSE),"")</f>
        <v/>
      </c>
      <c r="L108" s="96" t="str">
        <f>IFERROR(VLOOKUP(T_BilanSocial[[#This Row],[Zone_Bilan]],T_P_BilanSocial[#Data],COLUMN(T_P_BilanSocial[[#This Row],[Statut]]),FALSE),"")</f>
        <v/>
      </c>
      <c r="M108" s="96" t="str">
        <f>IFERROR(VLOOKUP(T_BilanSocial[[#This Row],[Zone_Bilan]],T_P_BilanSocial[#Data],COLUMN(T_P_BilanSocial[[#This Row],[Filiere]]),FALSE),"")</f>
        <v/>
      </c>
      <c r="N108" s="96" t="e">
        <f>VLOOKUP(T_BilanSocial[[#This Row],[NumL]],T_TraitDi[#Data],COLUMN(T_TraitDi[EXP]),FALSE)</f>
        <v>#N/A</v>
      </c>
      <c r="O108" s="96" t="e">
        <f>VLOOKUP(T_BilanSocial[[#This Row],[NumL]],T_TraitDi[#Data],COLUMN(T_TraitDi[FORM]),FALSE)</f>
        <v>#N/A</v>
      </c>
      <c r="P108" s="96" t="str">
        <f>IF(T_BilanSocial[[#This Row],[Final]]&lt;&gt;"",VLOOKUP(T_BilanSocial[[#This Row],[NumL]],T_suiviDi[#Data],COLUMN((T_suiviDi[Email])),FALSE),"")</f>
        <v/>
      </c>
      <c r="Q108" s="164" t="e">
        <f t="shared" si="17"/>
        <v>#N/A</v>
      </c>
      <c r="R108" s="164" t="e">
        <f t="shared" si="18"/>
        <v>#N/A</v>
      </c>
      <c r="S108" s="164" t="e">
        <f>IF(VLOOKUP(T_BilanSocial[[#This Row],[NumL]],T_suiviDi[#Data],COLUMN(T_suiviDi[[#This Row],[Service ]]),FALSE)="","",VLOOKUP(T_BilanSocial[[#This Row],[NumL]],T_suiviDi[#Data],COLUMN(T_suiviDi[[#This Row],[Service ]]),FALSE))</f>
        <v>#VALUE!</v>
      </c>
      <c r="T108" s="164" t="str">
        <f t="shared" si="12"/>
        <v>01 septembre 2021</v>
      </c>
      <c r="U108" s="164" t="str">
        <f t="shared" si="13"/>
        <v>30 novembre 2021</v>
      </c>
      <c r="V108" s="164" t="str">
        <f t="shared" si="21"/>
        <v>30 novembre 2021</v>
      </c>
      <c r="W108" s="176" t="e">
        <f>IF(VLOOKUP(T_BilanSocial[[#This Row],[NumL]],T_TraitDi[#Data],COLUMN(T_TraitDi[[#This Row],[M1]]),FALSE)="","",VLOOKUP(T_BilanSocial[[#This Row],[NumL]],T_TraitDi[#Data],COLUMN(T_TraitDi[[#This Row],[M1]]),FALSE))</f>
        <v>#VALUE!</v>
      </c>
      <c r="X108" s="176" t="e">
        <f>IF(VLOOKUP(T_BilanSocial[[#This Row],[NumL]],T_TraitDi[#Data],COLUMN(T_TraitDi[[#This Row],[M2]]),FALSE)="","",VLOOKUP(T_BilanSocial[[#This Row],[NumL]],T_TraitDi[#Data],COLUMN(T_TraitDi[[#This Row],[M2]]),FALSE))</f>
        <v>#VALUE!</v>
      </c>
      <c r="Y108" s="176" t="e">
        <f>IF(VLOOKUP(T_BilanSocial[[#This Row],[NumL]],T_TraitDi[#Data],COLUMN(T_TraitDi[[#This Row],[M3]]),FALSE)="","",VLOOKUP(T_BilanSocial[[#This Row],[NumL]],T_TraitDi[#Data],COLUMN(T_TraitDi[[#This Row],[M3]]),FALSE))</f>
        <v>#VALUE!</v>
      </c>
      <c r="Z108" s="176" t="str">
        <f t="shared" si="16"/>
        <v/>
      </c>
      <c r="AA108" s="176" t="e">
        <f>IF(VLOOKUP(T_BilanSocial[[#This Row],[NumL]],T_TraitDi[#Data],COLUMN(T_TraitDi[[#This Row],[M5]]),FALSE)="","",VLOOKUP(T_BilanSocial[[#This Row],[NumL]],T_TraitDi[#Data],COLUMN(T_TraitDi[[#This Row],[M5]]),FALSE))</f>
        <v>#VALUE!</v>
      </c>
      <c r="AB108" s="176" t="e">
        <f>IF(VLOOKUP(T_BilanSocial[[#This Row],[NumL]],T_TraitDi[#Data],COLUMN(T_TraitDi[[#This Row],[M6]]),FALSE)="","",VLOOKUP(T_BilanSocial[[#This Row],[NumL]],T_TraitDi[#Data],COLUMN(T_TraitDi[[#This Row],[M6]]),FALSE))</f>
        <v>#VALUE!</v>
      </c>
      <c r="AC108" s="165" t="e">
        <f t="shared" si="15"/>
        <v>#VALUE!</v>
      </c>
      <c r="AD108" s="188" t="str">
        <f>IFERROR(TEXT(VLOOKUP(T_BilanSocial[[#This Row],[NumL]],T_TraitDi[#Data],COLUMN(T_TraitDi[[#This Row],[Q2]]),FALSE),"###%"),"")</f>
        <v/>
      </c>
      <c r="AE108" s="97" t="e">
        <f>VLOOKUP(T_BilanSocial[[#This Row],[NumL]],T_TraitDi[#Data],COLUMN(T_TraitDi[[#This Row],[Reg Ponct]]),FALSE)</f>
        <v>#VALUE!</v>
      </c>
      <c r="AF108" s="97" t="e">
        <f>VLOOKUP(T_BilanSocial[NumL],T_TraitDi[#Data],COLUMN(T_TraitDi[[#This Row],[Jours flottants]]),FALSE)</f>
        <v>#VALUE!</v>
      </c>
      <c r="AG108" s="97" t="str">
        <f>IFERROR(VLOOKUP(T_BilanSocial[[#This Row],[NumL]],T_TraitDi[#Data],COLUMN(T_TraitDi[[#This Row],[Lundi]]),FALSE),"")</f>
        <v/>
      </c>
      <c r="AH108" s="172" t="e">
        <f>IF(VLOOKUP(T_BilanSocial[[#This Row],[NumL]],T_TraitDi[#Data],COLUMN(T_TraitDi[[#This Row],[Colonne3]]),FALSE)=0,"",TEXT(IFERROR(VLOOKUP(T_BilanSocial[[#This Row],[NumL]],T_TraitDi[#Data],COLUMN(T_TraitDi[[#This Row],[Colonne3]]),FALSE),""),"[hh]:mm"))</f>
        <v>#VALUE!</v>
      </c>
      <c r="AI108" s="172" t="e">
        <f>IF(VLOOKUP(T_BilanSocial[[#This Row],[NumL]],T_TraitDi[#Data],COLUMN(T_TraitDi[[#This Row],[Colonne4]]),FALSE)=0,"",TEXT(IFERROR(VLOOKUP(T_BilanSocial[[#This Row],[NumL]],T_TraitDi[#Data],COLUMN(T_TraitDi[[#This Row],[Colonne4]]),FALSE),""),"[hh]:mm"))</f>
        <v>#VALUE!</v>
      </c>
      <c r="AJ108" s="172" t="e">
        <f>IF(VLOOKUP(T_BilanSocial[[#This Row],[NumL]],T_TraitDi[#Data],COLUMN(T_TraitDi[[#This Row],[Colonne5]]),FALSE)=0,"",TEXT(IFERROR(VLOOKUP(T_BilanSocial[[#This Row],[NumL]],T_TraitDi[#Data],COLUMN(T_TraitDi[[#This Row],[Colonne5]]),FALSE),""),"[hh]:mm"))</f>
        <v>#VALUE!</v>
      </c>
      <c r="AK108" s="172" t="e">
        <f>IF(VLOOKUP(T_BilanSocial[[#This Row],[NumL]],T_TraitDi[#Data],COLUMN(T_TraitDi[[#This Row],[Colonne6]]),FALSE)=0,"",TEXT(IFERROR(VLOOKUP(T_BilanSocial[[#This Row],[NumL]],T_TraitDi[#Data],COLUMN(T_TraitDi[[#This Row],[Colonne6]]),FALSE),""),"[hh]:mm"))</f>
        <v>#VALUE!</v>
      </c>
      <c r="AL108" s="172" t="e">
        <f>IF(VLOOKUP(T_BilanSocial[[#This Row],[NumL]],T_TraitDi[#Data],COLUMN(T_TraitDi[[#This Row],[Colonne7]]),FALSE)=0,"",TEXT(IFERROR(VLOOKUP(T_BilanSocial[[#This Row],[NumL]],T_TraitDi[#Data],COLUMN(T_TraitDi[[#This Row],[Colonne7]]),FALSE),""),"[hh]:mm"))</f>
        <v>#VALUE!</v>
      </c>
      <c r="AM108" s="172" t="e">
        <f>IF(VLOOKUP(T_BilanSocial[[#This Row],[NumL]],T_TraitDi[#Data],COLUMN(T_TraitDi[[#This Row],[Colonne8]]),FALSE)=0,"",TEXT(IFERROR(VLOOKUP(T_BilanSocial[[#This Row],[NumL]],T_TraitDi[#Data],COLUMN(T_TraitDi[[#This Row],[Colonne8]]),FALSE),""),"[hh]:mm"))</f>
        <v>#VALUE!</v>
      </c>
      <c r="AN108" s="172" t="str">
        <f>IFERROR(VLOOKUP(T_BilanSocial[[#This Row],[NumL]],T_TraitDi[#Data],COLUMN(T_TraitDi[[#This Row],[Mardi]]),FALSE),"")</f>
        <v/>
      </c>
      <c r="AO108" s="172" t="e">
        <f>IF(VLOOKUP(T_BilanSocial[[#This Row],[NumL]],T_TraitDi[#Data],COLUMN(T_TraitDi[[#This Row],[Colonne1]]),FALSE)=0,"",TEXT(IFERROR(VLOOKUP(T_BilanSocial[[#This Row],[NumL]],T_TraitDi[#Data],COLUMN(T_TraitDi[[#This Row],[Colonne1]]),FALSE),""),"[hh]:mm"))</f>
        <v>#VALUE!</v>
      </c>
      <c r="AP108" s="172" t="e">
        <f>IF(VLOOKUP(T_BilanSocial[[#This Row],[NumL]],T_TraitDi[#Data],COLUMN(T_TraitDi[[#This Row],[Colonne9]]),FALSE)=0,"",TEXT(IFERROR(VLOOKUP(T_BilanSocial[[#This Row],[NumL]],T_TraitDi[#Data],COLUMN(T_TraitDi[[#This Row],[Colonne9]]),FALSE),""),"[hh]:mm"))</f>
        <v>#VALUE!</v>
      </c>
      <c r="AQ108" s="172" t="str">
        <f>IFERROR(VLOOKUP(T_BilanSocial[[#This Row],[NumL]],T_TraitDi[#Data],COLUMN(T_TraitDi[[#This Row],[Colonne10]]),FALSE),"")</f>
        <v/>
      </c>
      <c r="AR108" s="172" t="e">
        <f>IF(VLOOKUP(T_BilanSocial[[#This Row],[NumL]],T_TraitDi[#Data],COLUMN(T_TraitDi[[#This Row],[Colonne11]]),FALSE)=0,"",TEXT(IFERROR(VLOOKUP(T_BilanSocial[[#This Row],[NumL]],T_TraitDi[#Data],COLUMN(T_TraitDi[[#This Row],[Colonne11]]),FALSE),""),"[hh]:mm"))</f>
        <v>#VALUE!</v>
      </c>
      <c r="AS108" s="172" t="e">
        <f>IF(VLOOKUP(T_BilanSocial[[#This Row],[NumL]],T_TraitDi[#Data],COLUMN(T_TraitDi[[#This Row],[Colonne12]]),FALSE)=0,"",TEXT(IFERROR(VLOOKUP(T_BilanSocial[[#This Row],[NumL]],T_TraitDi[#Data],COLUMN(T_TraitDi[[#This Row],[Colonne12]]),FALSE),""),"[hh]:mm"))</f>
        <v>#VALUE!</v>
      </c>
      <c r="AT108" s="172" t="e">
        <f>IF(VLOOKUP(T_BilanSocial[[#This Row],[NumL]],T_TraitDi[#Data],COLUMN(T_TraitDi[[#This Row],[Colonne14]]),FALSE)=0,"",TEXT(IFERROR(VLOOKUP(T_BilanSocial[[#This Row],[NumL]],T_TraitDi[#Data],COLUMN(T_TraitDi[[#This Row],[Colonne14]]),FALSE),""),"[hh]:mm"))</f>
        <v>#VALUE!</v>
      </c>
      <c r="AU108" s="172" t="str">
        <f>IFERROR(VLOOKUP(T_BilanSocial[[#This Row],[NumL]],T_TraitDi[#Data],COLUMN(T_TraitDi[[#This Row],[Mercredi]]),FALSE),"")</f>
        <v/>
      </c>
      <c r="AV108" s="172" t="e">
        <f>IF(VLOOKUP(T_BilanSocial[[#This Row],[NumL]],T_TraitDi[#Data],COLUMN(T_TraitDi[[#This Row],[Colonne15]]),FALSE)=0,"",TEXT(IFERROR(VLOOKUP(T_BilanSocial[[#This Row],[NumL]],T_TraitDi[#Data],COLUMN(T_TraitDi[[#This Row],[Colonne15]]),FALSE),""),"[hh]:mm"))</f>
        <v>#VALUE!</v>
      </c>
      <c r="AW108" s="172" t="e">
        <f>IF(VLOOKUP(T_BilanSocial[[#This Row],[NumL]],T_TraitDi[#Data],COLUMN(T_TraitDi[[#This Row],[Colonne16]]),FALSE)=0,"",TEXT(IFERROR(VLOOKUP(T_BilanSocial[[#This Row],[NumL]],T_TraitDi[#Data],COLUMN(T_TraitDi[[#This Row],[Colonne16]]),FALSE),""),"[hh]:mm"))</f>
        <v>#VALUE!</v>
      </c>
      <c r="AX108" s="172" t="str">
        <f>IFERROR(VLOOKUP(T_BilanSocial[[#This Row],[NumL]],T_TraitDi[#Data],COLUMN(T_TraitDi[[#This Row],[Colonne17]]),FALSE),"")</f>
        <v/>
      </c>
      <c r="AY108" s="172" t="e">
        <f>IF(VLOOKUP(T_BilanSocial[[#This Row],[NumL]],T_TraitDi[#Data],COLUMN(T_TraitDi[[#This Row],[Colonne18]]),FALSE)=0,"",TEXT(IFERROR(VLOOKUP(T_BilanSocial[[#This Row],[NumL]],T_TraitDi[#Data],COLUMN(T_TraitDi[[#This Row],[Colonne18]]),FALSE),""),"[hh]:mm"))</f>
        <v>#VALUE!</v>
      </c>
      <c r="AZ108" s="172" t="e">
        <f>IF(VLOOKUP(T_BilanSocial[[#This Row],[NumL]],T_TraitDi[#Data],COLUMN(T_TraitDi[[#This Row],[Colonne19]]),FALSE)=0,"",TEXT(IFERROR(VLOOKUP(T_BilanSocial[[#This Row],[NumL]],T_TraitDi[#Data],COLUMN(T_TraitDi[[#This Row],[Colonne19]]),FALSE),""),"[hh]:mm"))</f>
        <v>#VALUE!</v>
      </c>
      <c r="BA108" s="172" t="e">
        <f>IF(VLOOKUP(T_BilanSocial[[#This Row],[NumL]],T_TraitDi[#Data],COLUMN(T_TraitDi[[#This Row],[Colonne20]]),FALSE)=0,"",TEXT(IFERROR(VLOOKUP(T_BilanSocial[[#This Row],[NumL]],T_TraitDi[#Data],COLUMN(T_TraitDi[[#This Row],[Colonne20]]),FALSE),""),"[hh]:mm"))</f>
        <v>#VALUE!</v>
      </c>
      <c r="BB108" s="178" t="str">
        <f>IFERROR(VLOOKUP(T_BilanSocial[[#This Row],[NumL]],T_TraitDi[#Data],COLUMN(T_TraitDi[[#This Row],[Jeudi]]),FALSE),"")</f>
        <v/>
      </c>
      <c r="BC108" s="178" t="e">
        <f>IF(VLOOKUP(T_BilanSocial[[#This Row],[NumL]],T_TraitDi[#Data],COLUMN(T_TraitDi[[#This Row],[Colonne21]]),FALSE)=0,"",TEXT(IFERROR(VLOOKUP(T_BilanSocial[[#This Row],[NumL]],T_TraitDi[#Data],COLUMN(T_TraitDi[[#This Row],[Colonne21]]),FALSE),""),"[hh]:mm"))</f>
        <v>#VALUE!</v>
      </c>
      <c r="BD108" s="178" t="e">
        <f>IF(VLOOKUP(T_BilanSocial[[#This Row],[NumL]],T_TraitDi[#Data],COLUMN(T_TraitDi[[#This Row],[Colonne22]]),FALSE)=0,"",TEXT(IFERROR(VLOOKUP(T_BilanSocial[[#This Row],[NumL]],T_TraitDi[#Data],COLUMN(T_TraitDi[[#This Row],[Colonne22]]),FALSE),""),"[hh]:mm"))</f>
        <v>#VALUE!</v>
      </c>
      <c r="BE108" s="178" t="str">
        <f>IFERROR(VLOOKUP(T_BilanSocial[[#This Row],[NumL]],T_TraitDi[#Data],COLUMN(T_TraitDi[[#This Row],[Colonne23]]),FALSE),"")</f>
        <v/>
      </c>
      <c r="BF108" s="178" t="e">
        <f>IF(VLOOKUP(T_BilanSocial[[#This Row],[NumL]],T_TraitDi[#Data],COLUMN(T_TraitDi[[#This Row],[Colonne24]]),FALSE)=0,"",TEXT(IFERROR(VLOOKUP(T_BilanSocial[[#This Row],[NumL]],T_TraitDi[#Data],COLUMN(T_TraitDi[[#This Row],[Colonne24]]),FALSE),""),"[hh]:mm"))</f>
        <v>#VALUE!</v>
      </c>
      <c r="BG108" s="178" t="e">
        <f>IF(VLOOKUP(T_BilanSocial[[#This Row],[NumL]],T_TraitDi[#Data],COLUMN(T_TraitDi[[#This Row],[Colonne25]]),FALSE)=0,"",TEXT(IFERROR(VLOOKUP(T_BilanSocial[[#This Row],[NumL]],T_TraitDi[#Data],COLUMN(T_TraitDi[[#This Row],[Colonne25]]),FALSE),""),"[hh]:mm"))</f>
        <v>#VALUE!</v>
      </c>
      <c r="BH108" s="178" t="e">
        <f>IF(VLOOKUP(T_BilanSocial[[#This Row],[NumL]],T_TraitDi[#Data],COLUMN(T_TraitDi[[#This Row],[Colonne26]]),FALSE)=0,"",TEXT(IFERROR(VLOOKUP(T_BilanSocial[[#This Row],[NumL]],T_TraitDi[#Data],COLUMN(T_TraitDi[[#This Row],[Colonne26]]),FALSE),""),"[hh]:mm"))</f>
        <v>#VALUE!</v>
      </c>
      <c r="BI108" s="172" t="str">
        <f>IFERROR(VLOOKUP(T_BilanSocial[[#This Row],[NumL]],T_TraitDi[#Data],COLUMN(T_TraitDi[[#This Row],[Vendredi]]),FALSE),"")</f>
        <v/>
      </c>
      <c r="BJ108" s="172" t="e">
        <f>IF(VLOOKUP(T_BilanSocial[[#This Row],[NumL]],T_TraitDi[#Data],COLUMN(T_TraitDi[[#This Row],[Colonne27]]),FALSE)=0,"",TEXT(IFERROR(VLOOKUP(T_BilanSocial[[#This Row],[NumL]],T_TraitDi[#Data],COLUMN(T_TraitDi[[#This Row],[Colonne27]]),FALSE),""),"[hh]:mm"))</f>
        <v>#VALUE!</v>
      </c>
      <c r="BK108" s="172" t="e">
        <f>IF(VLOOKUP(T_BilanSocial[[#This Row],[NumL]],T_TraitDi[#Data],COLUMN(T_TraitDi[[#This Row],[Colonne28]]),FALSE)=0,"",TEXT(IFERROR(VLOOKUP(T_BilanSocial[[#This Row],[NumL]],T_TraitDi[#Data],COLUMN(T_TraitDi[[#This Row],[Colonne28]]),FALSE),""),"[hh]:mm"))</f>
        <v>#VALUE!</v>
      </c>
      <c r="BL108" s="172" t="str">
        <f>IFERROR(VLOOKUP(T_BilanSocial[[#This Row],[NumL]],T_TraitDi[#Data],COLUMN(T_TraitDi[[#This Row],[Colonne29]]),FALSE),"")</f>
        <v/>
      </c>
      <c r="BM108" s="172" t="e">
        <f>IF(VLOOKUP(T_BilanSocial[[#This Row],[NumL]],T_TraitDi[#Data],COLUMN(T_TraitDi[[#This Row],[Colonne30]]),FALSE)=0,"",TEXT(IFERROR(VLOOKUP(T_BilanSocial[[#This Row],[NumL]],T_TraitDi[#Data],COLUMN(T_TraitDi[[#This Row],[Colonne30]]),FALSE),""),"[hh]:mm"))</f>
        <v>#VALUE!</v>
      </c>
      <c r="BN108" s="172" t="e">
        <f>IF(VLOOKUP(T_BilanSocial[[#This Row],[NumL]],T_TraitDi[#Data],COLUMN(T_TraitDi[[#This Row],[Colonne31]]),FALSE)=0,"",TEXT(IFERROR(VLOOKUP(T_BilanSocial[[#This Row],[NumL]],T_TraitDi[#Data],COLUMN(T_TraitDi[[#This Row],[Colonne31]]),FALSE),""),"[hh]:mm"))</f>
        <v>#VALUE!</v>
      </c>
      <c r="BO108" s="172" t="e">
        <f>IF(VLOOKUP(T_BilanSocial[[#This Row],[NumL]],T_TraitDi[#Data],COLUMN(T_TraitDi[[#This Row],[Colonne32]]),FALSE)=0,"",TEXT(IFERROR(VLOOKUP(T_BilanSocial[[#This Row],[NumL]],T_TraitDi[#Data],COLUMN(T_TraitDi[[#This Row],[Colonne32]]),FALSE),""),"[hh]:mm"))</f>
        <v>#VALUE!</v>
      </c>
      <c r="BP108" s="172" t="e">
        <f>VLOOKUP(T_BilanSocial[[#This Row],[NumL]],T_TraitDi[#Data],COLUMN(T_TraitDi[NbJTot]),FALSE)</f>
        <v>#N/A</v>
      </c>
      <c r="BQ108" s="174" t="str">
        <f>IFERROR(VLOOKUP(T_BilanSocial[[#This Row],[NumL]],T_TraitDi[#Data],COLUMN(T_TraitDi[[#This Row],[NbJTW]]),FALSE),"")</f>
        <v/>
      </c>
      <c r="BR108" s="174" t="e">
        <f>IF(VLOOKUP(T_BilanSocial[[#This Row],[NumL]],T_TraitDi[#Data],COLUMN(T_TraitDi[[#This Row],[NbhTW]]),FALSE)=0,"",TEXT(IFERROR(VLOOKUP(T_BilanSocial[[#This Row],[NumL]],T_TraitDi[#Data],COLUMN(T_TraitDi[[#This Row],[NbhTW]]),FALSE),""),"[hh]:mm"))</f>
        <v>#VALUE!</v>
      </c>
      <c r="BS108" s="174" t="e">
        <f>IF(VLOOKUP(T_BilanSocial[[#This Row],[NumL]],T_TraitDi[#Data],COLUMN(T_TraitDi[[#This Row],[Nbhheb]]),FALSE)=0,"",TEXT(IFERROR(VLOOKUP($A108,T_TraitDi[#Data],COLUMN(T_TraitDi[[#This Row],[Nbhheb]]),FALSE),""),"[hh]:mm"))</f>
        <v>#VALUE!</v>
      </c>
      <c r="BT108" s="182" t="str">
        <f>IFERROR(VLOOKUP(VLOOKUP($A108,T_TraitDi[#Data],COLUMN(T_TraitDi[[#This Row],[Type1]]),FALSE),TypeTW,2,FALSE),"")</f>
        <v/>
      </c>
      <c r="BU108" s="182" t="str">
        <f>IFERROR(VLOOKUP($A108,T_TraitDi[#Data],COLUMN(T_TraitDi[[#This Row],[Rue1]]),FALSE),"")</f>
        <v/>
      </c>
      <c r="BV108" s="173" t="str">
        <f>IFERROR(VLOOKUP($A108,T_TraitDi[#Data],COLUMN(T_TraitDi[[#This Row],[CP1]]),FALSE),"")</f>
        <v/>
      </c>
      <c r="BW108" s="173" t="str">
        <f>IFERROR(VLOOKUP($A108,T_TraitDi[#Data],COLUMN(T_TraitDi[[#This Row],[VILLE1]]),FALSE),"")</f>
        <v/>
      </c>
      <c r="BX108" s="182" t="str">
        <f>IFERROR(VLOOKUP(VLOOKUP($A108,T_TraitDi[#Data],COLUMN(T_TraitDi[[#This Row],[Type2]]),FALSE),TypeTW,2,FALSE),"")</f>
        <v/>
      </c>
      <c r="BY108" s="182" t="str">
        <f>IFERROR(VLOOKUP($A108,T_TraitDi[#Data],COLUMN(T_TraitDi[[#This Row],[Rue2]]),FALSE),"")</f>
        <v/>
      </c>
      <c r="BZ108" s="173" t="str">
        <f>IFERROR(VLOOKUP($A108,T_TraitDi[#Data],COLUMN(T_TraitDi[[#This Row],[CP2]]),FALSE),"")</f>
        <v/>
      </c>
      <c r="CA108" s="173" t="str">
        <f>IFERROR(VLOOKUP($A108,T_TraitDi[#Data],COLUMN(T_TraitDi[[#This Row],[VILLE2]]),FALSE),"")</f>
        <v/>
      </c>
      <c r="CB108" s="182" t="str">
        <f>IF(VLOOKUP(T_BilanSocial[[#This Row],[NumL]],T_Equipement[#Data],COLUMN(T_Equipement[[#This Row],[PC]]),FALSE)="","Aucun équipement spécifique directement lié au télétravail",VLOOKUP(T_BilanSocial[[#This Row],[NumL]],T_Equipement[#Data],COLUMN(T_Equipement[[#This Row],[PC]]),FALSE))</f>
        <v xml:space="preserve">18-025	</v>
      </c>
      <c r="CC108" s="166" t="str">
        <f>IFERROR(IF(VLOOKUP(T_BilanSocial[[#This Row],[NumL]],T_TraitDi[#Data],COLUMN(T_TraitDi[[#This Row],[Plan]]),FALSE)="OK","Un planning spécifique de télétravail est annexé à la présente convention.",""),"")</f>
        <v/>
      </c>
      <c r="CD108" s="258" t="s">
        <v>3379</v>
      </c>
      <c r="CE108" s="164" t="e">
        <f>IF(VLOOKUP(T_BilanSocial[[#This Row],[NumL]],T_suiviDi[#Data],COLUMN(T_suiviDi[[#This Row],[Entité]]),FALSE)="","",VLOOKUP(T_BilanSocial[[#This Row],[NumL]],T_suiviDi[#Data],COLUMN(T_suiviDi[[#This Row],[Entité]]),FALSE))</f>
        <v>#VALUE!</v>
      </c>
      <c r="CF108" s="164" t="str">
        <f>IF(VLOOKUP(T_BilanSocial[[#This Row],[NumL]],T_Commission[#Data],COLUMN(T_Commission[[#This Row],[envoi confirm TW]]),FALSE)="","",VLOOKUP(T_BilanSocial[[#This Row],[NumL]],T_Commission[#Data],COLUMN(T_Commission[[#This Row],[envoi confirm TW]]),FALSE))</f>
        <v>Oui</v>
      </c>
      <c r="CG10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8" s="262" t="str">
        <f>T_BilanSocial[[#This Row],[Nom]]&amp;T_BilanSocial[[#This Row],[Prenom]]</f>
        <v/>
      </c>
      <c r="CI108" s="262">
        <f>VLOOKUP(T_BilanSocial[[#This Row],[NumL]],T_Commission[#Data],COLUMN(T_Commission[Commentaire]),FALSE)</f>
        <v>0</v>
      </c>
      <c r="CJ108" s="262" t="str">
        <f>IF(VLOOKUP(T_BilanSocial[[#This Row],[NumL]],T_Commission[#Data],COLUMN(T_Commission[Encadrant Email]),FALSE)="","",VLOOKUP(T_BilanSocial[[#This Row],[NumL]],T_Commission[#Data],COLUMN(T_Commission[Encadrant Email]),FALSE))</f>
        <v/>
      </c>
      <c r="CK108" s="340" t="str">
        <f>IF(T_BilanSocial[[#This Row],[Final]]&lt;&gt;"",VLOOKUP(T_BilanSocial[[#This Row],[NumL]],T_suiviDi[#Data],COLUMN((T_suiviDi[Statut])),FALSE),"")</f>
        <v/>
      </c>
    </row>
    <row r="109" spans="1:89" s="106" customFormat="1" ht="24.75" customHeight="1" x14ac:dyDescent="0.25">
      <c r="A109" s="160">
        <v>106</v>
      </c>
      <c r="B109" s="161" t="str">
        <f t="shared" si="10"/>
        <v/>
      </c>
      <c r="C109" s="162" t="s">
        <v>173</v>
      </c>
      <c r="D109" s="95" t="e">
        <f>IF(VLOOKUP(T_BilanSocial[[#This Row],[NumL]],T_TraitDi[#Data],COLUMN(T_TraitDi[[#This Row],[WebC]]),FALSE)="","",VLOOKUP(T_BilanSocial[[#This Row],[NumL]],T_TraitDi[#Data],COLUMN(T_TraitDi[[#This Row],[WebC]]),FALSE))</f>
        <v>#VALUE!</v>
      </c>
      <c r="E109" s="163" t="str">
        <f t="shared" si="11"/>
        <v>12 janvier 2021</v>
      </c>
      <c r="F109" s="96" t="str">
        <f>IF(T_BilanSocial[[#This Row],[Final]]&lt;&gt;"",VLOOKUP(T_BilanSocial[[#This Row],[NumL]],T_suiviDi[#Data],COLUMN((T_suiviDi[Civ.])),FALSE),"")</f>
        <v/>
      </c>
      <c r="G109" s="96" t="str">
        <f>IF(T_BilanSocial[[#This Row],[Final]]&lt;&gt;"",VLOOKUP(T_BilanSocial[[#This Row],[NumL]],T_suiviDi[#Data],COLUMN((T_suiviDi[Nom])),FALSE),"")</f>
        <v/>
      </c>
      <c r="H109" s="96" t="str">
        <f>IF(T_BilanSocial[[#This Row],[Final]]&lt;&gt;"",VLOOKUP(T_BilanSocial[[#This Row],[NumL]],T_suiviDi[#Data],COLUMN((T_suiviDi[Prénom])),FALSE),"")</f>
        <v/>
      </c>
      <c r="I109" s="96" t="str">
        <f>IFERROR(VLOOKUP(T_BilanSocial[[#This Row],[Zone_Bilan]],T_P_BilanSocial[#Data],COLUMN(T_P_BilanSocial[[#This Row],[Numero_SIHAM]]),FALSE),"")</f>
        <v/>
      </c>
      <c r="J109" s="96" t="str">
        <f>IFERROR(VLOOKUP(T_BilanSocial[[#This Row],[Zone_Bilan]],T_P_BilanSocial[#Data],COLUMN(T_P_BilanSocial[[#This Row],[Sexe]]),FALSE),"")</f>
        <v/>
      </c>
      <c r="K109" s="97" t="str">
        <f>IFERROR(VLOOKUP(T_BilanSocial[[#This Row],[Zone_Bilan]],T_P_BilanSocial[#Data],COLUMN(T_P_BilanSocial[[#This Row],[Categorie]]),FALSE),"")</f>
        <v/>
      </c>
      <c r="L109" s="96" t="str">
        <f>IFERROR(VLOOKUP(T_BilanSocial[[#This Row],[Zone_Bilan]],T_P_BilanSocial[#Data],COLUMN(T_P_BilanSocial[[#This Row],[Statut]]),FALSE),"")</f>
        <v/>
      </c>
      <c r="M109" s="96" t="str">
        <f>IFERROR(VLOOKUP(T_BilanSocial[[#This Row],[Zone_Bilan]],T_P_BilanSocial[#Data],COLUMN(T_P_BilanSocial[[#This Row],[Filiere]]),FALSE),"")</f>
        <v/>
      </c>
      <c r="N109" s="96" t="e">
        <f>VLOOKUP(T_BilanSocial[[#This Row],[NumL]],T_TraitDi[#Data],COLUMN(T_TraitDi[EXP]),FALSE)</f>
        <v>#N/A</v>
      </c>
      <c r="O109" s="96" t="e">
        <f>VLOOKUP(T_BilanSocial[[#This Row],[NumL]],T_TraitDi[#Data],COLUMN(T_TraitDi[FORM]),FALSE)</f>
        <v>#N/A</v>
      </c>
      <c r="P109" s="96" t="str">
        <f>IF(T_BilanSocial[[#This Row],[Final]]&lt;&gt;"",VLOOKUP(T_BilanSocial[[#This Row],[NumL]],T_suiviDi[#Data],COLUMN((T_suiviDi[Email])),FALSE),"")</f>
        <v/>
      </c>
      <c r="Q109" s="164" t="e">
        <f t="shared" si="17"/>
        <v>#N/A</v>
      </c>
      <c r="R109" s="164" t="e">
        <f t="shared" si="18"/>
        <v>#N/A</v>
      </c>
      <c r="S109" s="164" t="e">
        <f>IF(VLOOKUP(T_BilanSocial[[#This Row],[NumL]],T_suiviDi[#Data],COLUMN(T_suiviDi[[#This Row],[Service ]]),FALSE)="","",VLOOKUP(T_BilanSocial[[#This Row],[NumL]],T_suiviDi[#Data],COLUMN(T_suiviDi[[#This Row],[Service ]]),FALSE))</f>
        <v>#VALUE!</v>
      </c>
      <c r="T109" s="164" t="str">
        <f t="shared" si="12"/>
        <v>01 septembre 2021</v>
      </c>
      <c r="U109" s="164" t="str">
        <f t="shared" si="13"/>
        <v>30 novembre 2021</v>
      </c>
      <c r="V109" s="164" t="str">
        <f t="shared" si="21"/>
        <v>30 novembre 2021</v>
      </c>
      <c r="W109" s="176" t="e">
        <f>IF(VLOOKUP(T_BilanSocial[[#This Row],[NumL]],T_TraitDi[#Data],COLUMN(T_TraitDi[[#This Row],[M1]]),FALSE)="","",VLOOKUP(T_BilanSocial[[#This Row],[NumL]],T_TraitDi[#Data],COLUMN(T_TraitDi[[#This Row],[M1]]),FALSE))</f>
        <v>#VALUE!</v>
      </c>
      <c r="X109" s="176" t="e">
        <f>IF(VLOOKUP(T_BilanSocial[[#This Row],[NumL]],T_TraitDi[#Data],COLUMN(T_TraitDi[[#This Row],[M2]]),FALSE)="","",VLOOKUP(T_BilanSocial[[#This Row],[NumL]],T_TraitDi[#Data],COLUMN(T_TraitDi[[#This Row],[M2]]),FALSE))</f>
        <v>#VALUE!</v>
      </c>
      <c r="Y109" s="176" t="e">
        <f>IF(VLOOKUP(T_BilanSocial[[#This Row],[NumL]],T_TraitDi[#Data],COLUMN(T_TraitDi[[#This Row],[M3]]),FALSE)="","",VLOOKUP(T_BilanSocial[[#This Row],[NumL]],T_TraitDi[#Data],COLUMN(T_TraitDi[[#This Row],[M3]]),FALSE))</f>
        <v>#VALUE!</v>
      </c>
      <c r="Z109" s="176" t="str">
        <f t="shared" si="16"/>
        <v/>
      </c>
      <c r="AA109" s="176" t="e">
        <f>IF(VLOOKUP(T_BilanSocial[[#This Row],[NumL]],T_TraitDi[#Data],COLUMN(T_TraitDi[[#This Row],[M5]]),FALSE)="","",VLOOKUP(T_BilanSocial[[#This Row],[NumL]],T_TraitDi[#Data],COLUMN(T_TraitDi[[#This Row],[M5]]),FALSE))</f>
        <v>#VALUE!</v>
      </c>
      <c r="AB109" s="176" t="e">
        <f>IF(VLOOKUP(T_BilanSocial[[#This Row],[NumL]],T_TraitDi[#Data],COLUMN(T_TraitDi[[#This Row],[M6]]),FALSE)="","",VLOOKUP(T_BilanSocial[[#This Row],[NumL]],T_TraitDi[#Data],COLUMN(T_TraitDi[[#This Row],[M6]]),FALSE))</f>
        <v>#VALUE!</v>
      </c>
      <c r="AC109" s="165" t="e">
        <f t="shared" si="15"/>
        <v>#VALUE!</v>
      </c>
      <c r="AD109" s="188" t="str">
        <f>IFERROR(TEXT(VLOOKUP(T_BilanSocial[[#This Row],[NumL]],T_TraitDi[#Data],COLUMN(T_TraitDi[[#This Row],[Q2]]),FALSE),"###%"),"")</f>
        <v/>
      </c>
      <c r="AE109" s="97" t="e">
        <f>VLOOKUP(T_BilanSocial[[#This Row],[NumL]],T_TraitDi[#Data],COLUMN(T_TraitDi[[#This Row],[Reg Ponct]]),FALSE)</f>
        <v>#VALUE!</v>
      </c>
      <c r="AF109" s="97" t="e">
        <f>VLOOKUP(T_BilanSocial[NumL],T_TraitDi[#Data],COLUMN(T_TraitDi[[#This Row],[Jours flottants]]),FALSE)</f>
        <v>#VALUE!</v>
      </c>
      <c r="AG109" s="97" t="str">
        <f>IFERROR(VLOOKUP(T_BilanSocial[[#This Row],[NumL]],T_TraitDi[#Data],COLUMN(T_TraitDi[[#This Row],[Lundi]]),FALSE),"")</f>
        <v/>
      </c>
      <c r="AH109" s="172" t="e">
        <f>IF(VLOOKUP(T_BilanSocial[[#This Row],[NumL]],T_TraitDi[#Data],COLUMN(T_TraitDi[[#This Row],[Colonne3]]),FALSE)=0,"",TEXT(IFERROR(VLOOKUP(T_BilanSocial[[#This Row],[NumL]],T_TraitDi[#Data],COLUMN(T_TraitDi[[#This Row],[Colonne3]]),FALSE),""),"[hh]:mm"))</f>
        <v>#VALUE!</v>
      </c>
      <c r="AI109" s="172" t="e">
        <f>IF(VLOOKUP(T_BilanSocial[[#This Row],[NumL]],T_TraitDi[#Data],COLUMN(T_TraitDi[[#This Row],[Colonne4]]),FALSE)=0,"",TEXT(IFERROR(VLOOKUP(T_BilanSocial[[#This Row],[NumL]],T_TraitDi[#Data],COLUMN(T_TraitDi[[#This Row],[Colonne4]]),FALSE),""),"[hh]:mm"))</f>
        <v>#VALUE!</v>
      </c>
      <c r="AJ109" s="172" t="e">
        <f>IF(VLOOKUP(T_BilanSocial[[#This Row],[NumL]],T_TraitDi[#Data],COLUMN(T_TraitDi[[#This Row],[Colonne5]]),FALSE)=0,"",TEXT(IFERROR(VLOOKUP(T_BilanSocial[[#This Row],[NumL]],T_TraitDi[#Data],COLUMN(T_TraitDi[[#This Row],[Colonne5]]),FALSE),""),"[hh]:mm"))</f>
        <v>#VALUE!</v>
      </c>
      <c r="AK109" s="172" t="e">
        <f>IF(VLOOKUP(T_BilanSocial[[#This Row],[NumL]],T_TraitDi[#Data],COLUMN(T_TraitDi[[#This Row],[Colonne6]]),FALSE)=0,"",TEXT(IFERROR(VLOOKUP(T_BilanSocial[[#This Row],[NumL]],T_TraitDi[#Data],COLUMN(T_TraitDi[[#This Row],[Colonne6]]),FALSE),""),"[hh]:mm"))</f>
        <v>#VALUE!</v>
      </c>
      <c r="AL109" s="172" t="e">
        <f>IF(VLOOKUP(T_BilanSocial[[#This Row],[NumL]],T_TraitDi[#Data],COLUMN(T_TraitDi[[#This Row],[Colonne7]]),FALSE)=0,"",TEXT(IFERROR(VLOOKUP(T_BilanSocial[[#This Row],[NumL]],T_TraitDi[#Data],COLUMN(T_TraitDi[[#This Row],[Colonne7]]),FALSE),""),"[hh]:mm"))</f>
        <v>#VALUE!</v>
      </c>
      <c r="AM109" s="172" t="e">
        <f>IF(VLOOKUP(T_BilanSocial[[#This Row],[NumL]],T_TraitDi[#Data],COLUMN(T_TraitDi[[#This Row],[Colonne8]]),FALSE)=0,"",TEXT(IFERROR(VLOOKUP(T_BilanSocial[[#This Row],[NumL]],T_TraitDi[#Data],COLUMN(T_TraitDi[[#This Row],[Colonne8]]),FALSE),""),"[hh]:mm"))</f>
        <v>#VALUE!</v>
      </c>
      <c r="AN109" s="172" t="str">
        <f>IFERROR(VLOOKUP(T_BilanSocial[[#This Row],[NumL]],T_TraitDi[#Data],COLUMN(T_TraitDi[[#This Row],[Mardi]]),FALSE),"")</f>
        <v/>
      </c>
      <c r="AO109" s="172" t="e">
        <f>IF(VLOOKUP(T_BilanSocial[[#This Row],[NumL]],T_TraitDi[#Data],COLUMN(T_TraitDi[[#This Row],[Colonne1]]),FALSE)=0,"",TEXT(IFERROR(VLOOKUP(T_BilanSocial[[#This Row],[NumL]],T_TraitDi[#Data],COLUMN(T_TraitDi[[#This Row],[Colonne1]]),FALSE),""),"[hh]:mm"))</f>
        <v>#VALUE!</v>
      </c>
      <c r="AP109" s="172" t="e">
        <f>IF(VLOOKUP(T_BilanSocial[[#This Row],[NumL]],T_TraitDi[#Data],COLUMN(T_TraitDi[[#This Row],[Colonne9]]),FALSE)=0,"",TEXT(IFERROR(VLOOKUP(T_BilanSocial[[#This Row],[NumL]],T_TraitDi[#Data],COLUMN(T_TraitDi[[#This Row],[Colonne9]]),FALSE),""),"[hh]:mm"))</f>
        <v>#VALUE!</v>
      </c>
      <c r="AQ109" s="172" t="str">
        <f>IFERROR(VLOOKUP(T_BilanSocial[[#This Row],[NumL]],T_TraitDi[#Data],COLUMN(T_TraitDi[[#This Row],[Colonne10]]),FALSE),"")</f>
        <v/>
      </c>
      <c r="AR109" s="172" t="e">
        <f>IF(VLOOKUP(T_BilanSocial[[#This Row],[NumL]],T_TraitDi[#Data],COLUMN(T_TraitDi[[#This Row],[Colonne11]]),FALSE)=0,"",TEXT(IFERROR(VLOOKUP(T_BilanSocial[[#This Row],[NumL]],T_TraitDi[#Data],COLUMN(T_TraitDi[[#This Row],[Colonne11]]),FALSE),""),"[hh]:mm"))</f>
        <v>#VALUE!</v>
      </c>
      <c r="AS109" s="172" t="e">
        <f>IF(VLOOKUP(T_BilanSocial[[#This Row],[NumL]],T_TraitDi[#Data],COLUMN(T_TraitDi[[#This Row],[Colonne12]]),FALSE)=0,"",TEXT(IFERROR(VLOOKUP(T_BilanSocial[[#This Row],[NumL]],T_TraitDi[#Data],COLUMN(T_TraitDi[[#This Row],[Colonne12]]),FALSE),""),"[hh]:mm"))</f>
        <v>#VALUE!</v>
      </c>
      <c r="AT109" s="172" t="e">
        <f>IF(VLOOKUP(T_BilanSocial[[#This Row],[NumL]],T_TraitDi[#Data],COLUMN(T_TraitDi[[#This Row],[Colonne14]]),FALSE)=0,"",TEXT(IFERROR(VLOOKUP(T_BilanSocial[[#This Row],[NumL]],T_TraitDi[#Data],COLUMN(T_TraitDi[[#This Row],[Colonne14]]),FALSE),""),"[hh]:mm"))</f>
        <v>#VALUE!</v>
      </c>
      <c r="AU109" s="172" t="str">
        <f>IFERROR(VLOOKUP(T_BilanSocial[[#This Row],[NumL]],T_TraitDi[#Data],COLUMN(T_TraitDi[[#This Row],[Mercredi]]),FALSE),"")</f>
        <v/>
      </c>
      <c r="AV109" s="172" t="e">
        <f>IF(VLOOKUP(T_BilanSocial[[#This Row],[NumL]],T_TraitDi[#Data],COLUMN(T_TraitDi[[#This Row],[Colonne15]]),FALSE)=0,"",TEXT(IFERROR(VLOOKUP(T_BilanSocial[[#This Row],[NumL]],T_TraitDi[#Data],COLUMN(T_TraitDi[[#This Row],[Colonne15]]),FALSE),""),"[hh]:mm"))</f>
        <v>#VALUE!</v>
      </c>
      <c r="AW109" s="172" t="e">
        <f>IF(VLOOKUP(T_BilanSocial[[#This Row],[NumL]],T_TraitDi[#Data],COLUMN(T_TraitDi[[#This Row],[Colonne16]]),FALSE)=0,"",TEXT(IFERROR(VLOOKUP(T_BilanSocial[[#This Row],[NumL]],T_TraitDi[#Data],COLUMN(T_TraitDi[[#This Row],[Colonne16]]),FALSE),""),"[hh]:mm"))</f>
        <v>#VALUE!</v>
      </c>
      <c r="AX109" s="172" t="str">
        <f>IFERROR(VLOOKUP(T_BilanSocial[[#This Row],[NumL]],T_TraitDi[#Data],COLUMN(T_TraitDi[[#This Row],[Colonne17]]),FALSE),"")</f>
        <v/>
      </c>
      <c r="AY109" s="172" t="e">
        <f>IF(VLOOKUP(T_BilanSocial[[#This Row],[NumL]],T_TraitDi[#Data],COLUMN(T_TraitDi[[#This Row],[Colonne18]]),FALSE)=0,"",TEXT(IFERROR(VLOOKUP(T_BilanSocial[[#This Row],[NumL]],T_TraitDi[#Data],COLUMN(T_TraitDi[[#This Row],[Colonne18]]),FALSE),""),"[hh]:mm"))</f>
        <v>#VALUE!</v>
      </c>
      <c r="AZ109" s="172" t="e">
        <f>IF(VLOOKUP(T_BilanSocial[[#This Row],[NumL]],T_TraitDi[#Data],COLUMN(T_TraitDi[[#This Row],[Colonne19]]),FALSE)=0,"",TEXT(IFERROR(VLOOKUP(T_BilanSocial[[#This Row],[NumL]],T_TraitDi[#Data],COLUMN(T_TraitDi[[#This Row],[Colonne19]]),FALSE),""),"[hh]:mm"))</f>
        <v>#VALUE!</v>
      </c>
      <c r="BA109" s="172" t="e">
        <f>IF(VLOOKUP(T_BilanSocial[[#This Row],[NumL]],T_TraitDi[#Data],COLUMN(T_TraitDi[[#This Row],[Colonne20]]),FALSE)=0,"",TEXT(IFERROR(VLOOKUP(T_BilanSocial[[#This Row],[NumL]],T_TraitDi[#Data],COLUMN(T_TraitDi[[#This Row],[Colonne20]]),FALSE),""),"[hh]:mm"))</f>
        <v>#VALUE!</v>
      </c>
      <c r="BB109" s="178" t="str">
        <f>IFERROR(VLOOKUP(T_BilanSocial[[#This Row],[NumL]],T_TraitDi[#Data],COLUMN(T_TraitDi[[#This Row],[Jeudi]]),FALSE),"")</f>
        <v/>
      </c>
      <c r="BC109" s="178" t="e">
        <f>IF(VLOOKUP(T_BilanSocial[[#This Row],[NumL]],T_TraitDi[#Data],COLUMN(T_TraitDi[[#This Row],[Colonne21]]),FALSE)=0,"",TEXT(IFERROR(VLOOKUP(T_BilanSocial[[#This Row],[NumL]],T_TraitDi[#Data],COLUMN(T_TraitDi[[#This Row],[Colonne21]]),FALSE),""),"[hh]:mm"))</f>
        <v>#VALUE!</v>
      </c>
      <c r="BD109" s="178" t="e">
        <f>IF(VLOOKUP(T_BilanSocial[[#This Row],[NumL]],T_TraitDi[#Data],COLUMN(T_TraitDi[[#This Row],[Colonne22]]),FALSE)=0,"",TEXT(IFERROR(VLOOKUP(T_BilanSocial[[#This Row],[NumL]],T_TraitDi[#Data],COLUMN(T_TraitDi[[#This Row],[Colonne22]]),FALSE),""),"[hh]:mm"))</f>
        <v>#VALUE!</v>
      </c>
      <c r="BE109" s="178" t="str">
        <f>IFERROR(VLOOKUP(T_BilanSocial[[#This Row],[NumL]],T_TraitDi[#Data],COLUMN(T_TraitDi[[#This Row],[Colonne23]]),FALSE),"")</f>
        <v/>
      </c>
      <c r="BF109" s="178" t="e">
        <f>IF(VLOOKUP(T_BilanSocial[[#This Row],[NumL]],T_TraitDi[#Data],COLUMN(T_TraitDi[[#This Row],[Colonne24]]),FALSE)=0,"",TEXT(IFERROR(VLOOKUP(T_BilanSocial[[#This Row],[NumL]],T_TraitDi[#Data],COLUMN(T_TraitDi[[#This Row],[Colonne24]]),FALSE),""),"[hh]:mm"))</f>
        <v>#VALUE!</v>
      </c>
      <c r="BG109" s="178" t="e">
        <f>IF(VLOOKUP(T_BilanSocial[[#This Row],[NumL]],T_TraitDi[#Data],COLUMN(T_TraitDi[[#This Row],[Colonne25]]),FALSE)=0,"",TEXT(IFERROR(VLOOKUP(T_BilanSocial[[#This Row],[NumL]],T_TraitDi[#Data],COLUMN(T_TraitDi[[#This Row],[Colonne25]]),FALSE),""),"[hh]:mm"))</f>
        <v>#VALUE!</v>
      </c>
      <c r="BH109" s="178" t="e">
        <f>IF(VLOOKUP(T_BilanSocial[[#This Row],[NumL]],T_TraitDi[#Data],COLUMN(T_TraitDi[[#This Row],[Colonne26]]),FALSE)=0,"",TEXT(IFERROR(VLOOKUP(T_BilanSocial[[#This Row],[NumL]],T_TraitDi[#Data],COLUMN(T_TraitDi[[#This Row],[Colonne26]]),FALSE),""),"[hh]:mm"))</f>
        <v>#VALUE!</v>
      </c>
      <c r="BI109" s="172" t="str">
        <f>IFERROR(VLOOKUP(T_BilanSocial[[#This Row],[NumL]],T_TraitDi[#Data],COLUMN(T_TraitDi[[#This Row],[Vendredi]]),FALSE),"")</f>
        <v/>
      </c>
      <c r="BJ109" s="172" t="e">
        <f>IF(VLOOKUP(T_BilanSocial[[#This Row],[NumL]],T_TraitDi[#Data],COLUMN(T_TraitDi[[#This Row],[Colonne27]]),FALSE)=0,"",TEXT(IFERROR(VLOOKUP(T_BilanSocial[[#This Row],[NumL]],T_TraitDi[#Data],COLUMN(T_TraitDi[[#This Row],[Colonne27]]),FALSE),""),"[hh]:mm"))</f>
        <v>#VALUE!</v>
      </c>
      <c r="BK109" s="172" t="e">
        <f>IF(VLOOKUP(T_BilanSocial[[#This Row],[NumL]],T_TraitDi[#Data],COLUMN(T_TraitDi[[#This Row],[Colonne28]]),FALSE)=0,"",TEXT(IFERROR(VLOOKUP(T_BilanSocial[[#This Row],[NumL]],T_TraitDi[#Data],COLUMN(T_TraitDi[[#This Row],[Colonne28]]),FALSE),""),"[hh]:mm"))</f>
        <v>#VALUE!</v>
      </c>
      <c r="BL109" s="172" t="str">
        <f>IFERROR(VLOOKUP(T_BilanSocial[[#This Row],[NumL]],T_TraitDi[#Data],COLUMN(T_TraitDi[[#This Row],[Colonne29]]),FALSE),"")</f>
        <v/>
      </c>
      <c r="BM109" s="172" t="e">
        <f>IF(VLOOKUP(T_BilanSocial[[#This Row],[NumL]],T_TraitDi[#Data],COLUMN(T_TraitDi[[#This Row],[Colonne30]]),FALSE)=0,"",TEXT(IFERROR(VLOOKUP(T_BilanSocial[[#This Row],[NumL]],T_TraitDi[#Data],COLUMN(T_TraitDi[[#This Row],[Colonne30]]),FALSE),""),"[hh]:mm"))</f>
        <v>#VALUE!</v>
      </c>
      <c r="BN109" s="172" t="e">
        <f>IF(VLOOKUP(T_BilanSocial[[#This Row],[NumL]],T_TraitDi[#Data],COLUMN(T_TraitDi[[#This Row],[Colonne31]]),FALSE)=0,"",TEXT(IFERROR(VLOOKUP(T_BilanSocial[[#This Row],[NumL]],T_TraitDi[#Data],COLUMN(T_TraitDi[[#This Row],[Colonne31]]),FALSE),""),"[hh]:mm"))</f>
        <v>#VALUE!</v>
      </c>
      <c r="BO109" s="172" t="e">
        <f>IF(VLOOKUP(T_BilanSocial[[#This Row],[NumL]],T_TraitDi[#Data],COLUMN(T_TraitDi[[#This Row],[Colonne32]]),FALSE)=0,"",TEXT(IFERROR(VLOOKUP(T_BilanSocial[[#This Row],[NumL]],T_TraitDi[#Data],COLUMN(T_TraitDi[[#This Row],[Colonne32]]),FALSE),""),"[hh]:mm"))</f>
        <v>#VALUE!</v>
      </c>
      <c r="BP109" s="172" t="e">
        <f>VLOOKUP(T_BilanSocial[[#This Row],[NumL]],T_TraitDi[#Data],COLUMN(T_TraitDi[NbJTot]),FALSE)</f>
        <v>#N/A</v>
      </c>
      <c r="BQ109" s="174" t="str">
        <f>IFERROR(VLOOKUP(T_BilanSocial[[#This Row],[NumL]],T_TraitDi[#Data],COLUMN(T_TraitDi[[#This Row],[NbJTW]]),FALSE),"")</f>
        <v/>
      </c>
      <c r="BR109" s="174" t="e">
        <f>IF(VLOOKUP(T_BilanSocial[[#This Row],[NumL]],T_TraitDi[#Data],COLUMN(T_TraitDi[[#This Row],[NbhTW]]),FALSE)=0,"",TEXT(IFERROR(VLOOKUP(T_BilanSocial[[#This Row],[NumL]],T_TraitDi[#Data],COLUMN(T_TraitDi[[#This Row],[NbhTW]]),FALSE),""),"[hh]:mm"))</f>
        <v>#VALUE!</v>
      </c>
      <c r="BS109" s="174" t="e">
        <f>IF(VLOOKUP(T_BilanSocial[[#This Row],[NumL]],T_TraitDi[#Data],COLUMN(T_TraitDi[[#This Row],[Nbhheb]]),FALSE)=0,"",TEXT(IFERROR(VLOOKUP($A109,T_TraitDi[#Data],COLUMN(T_TraitDi[[#This Row],[Nbhheb]]),FALSE),""),"[hh]:mm"))</f>
        <v>#VALUE!</v>
      </c>
      <c r="BT109" s="182" t="str">
        <f>IFERROR(VLOOKUP(VLOOKUP($A109,T_TraitDi[#Data],COLUMN(T_TraitDi[[#This Row],[Type1]]),FALSE),TypeTW,2,FALSE),"")</f>
        <v/>
      </c>
      <c r="BU109" s="182" t="str">
        <f>IFERROR(VLOOKUP($A109,T_TraitDi[#Data],COLUMN(T_TraitDi[[#This Row],[Rue1]]),FALSE),"")</f>
        <v/>
      </c>
      <c r="BV109" s="173" t="str">
        <f>IFERROR(VLOOKUP($A109,T_TraitDi[#Data],COLUMN(T_TraitDi[[#This Row],[CP1]]),FALSE),"")</f>
        <v/>
      </c>
      <c r="BW109" s="173" t="str">
        <f>IFERROR(VLOOKUP($A109,T_TraitDi[#Data],COLUMN(T_TraitDi[[#This Row],[VILLE1]]),FALSE),"")</f>
        <v/>
      </c>
      <c r="BX109" s="182" t="str">
        <f>IFERROR(VLOOKUP(VLOOKUP($A109,T_TraitDi[#Data],COLUMN(T_TraitDi[[#This Row],[Type2]]),FALSE),TypeTW,2,FALSE),"")</f>
        <v/>
      </c>
      <c r="BY109" s="182" t="str">
        <f>IFERROR(VLOOKUP($A109,T_TraitDi[#Data],COLUMN(T_TraitDi[[#This Row],[Rue2]]),FALSE),"")</f>
        <v/>
      </c>
      <c r="BZ109" s="173" t="str">
        <f>IFERROR(VLOOKUP($A109,T_TraitDi[#Data],COLUMN(T_TraitDi[[#This Row],[CP2]]),FALSE),"")</f>
        <v/>
      </c>
      <c r="CA109" s="173" t="str">
        <f>IFERROR(VLOOKUP($A109,T_TraitDi[#Data],COLUMN(T_TraitDi[[#This Row],[VILLE2]]),FALSE),"")</f>
        <v/>
      </c>
      <c r="CB109" s="182" t="str">
        <f>IF(VLOOKUP(T_BilanSocial[[#This Row],[NumL]],T_Equipement[#Data],COLUMN(T_Equipement[[#This Row],[PC]]),FALSE)="","Aucun équipement spécifique directement lié au télétravail",VLOOKUP(T_BilanSocial[[#This Row],[NumL]],T_Equipement[#Data],COLUMN(T_Equipement[[#This Row],[PC]]),FALSE))</f>
        <v xml:space="preserve">18-062	</v>
      </c>
      <c r="CC109" s="166" t="str">
        <f>IFERROR(IF(VLOOKUP(T_BilanSocial[[#This Row],[NumL]],T_TraitDi[#Data],COLUMN(T_TraitDi[[#This Row],[Plan]]),FALSE)="OK","Un planning spécifique de télétravail est annexé à la présente convention.",""),"")</f>
        <v/>
      </c>
      <c r="CD109" s="258" t="s">
        <v>3380</v>
      </c>
      <c r="CE109" s="164" t="e">
        <f>IF(VLOOKUP(T_BilanSocial[[#This Row],[NumL]],T_suiviDi[#Data],COLUMN(T_suiviDi[[#This Row],[Entité]]),FALSE)="","",VLOOKUP(T_BilanSocial[[#This Row],[NumL]],T_suiviDi[#Data],COLUMN(T_suiviDi[[#This Row],[Entité]]),FALSE))</f>
        <v>#VALUE!</v>
      </c>
      <c r="CF109" s="164" t="str">
        <f>IF(VLOOKUP(T_BilanSocial[[#This Row],[NumL]],T_Commission[#Data],COLUMN(T_Commission[[#This Row],[envoi confirm TW]]),FALSE)="","",VLOOKUP(T_BilanSocial[[#This Row],[NumL]],T_Commission[#Data],COLUMN(T_Commission[[#This Row],[envoi confirm TW]]),FALSE))</f>
        <v>Oui</v>
      </c>
      <c r="CG10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09" s="262" t="str">
        <f>T_BilanSocial[[#This Row],[Nom]]&amp;T_BilanSocial[[#This Row],[Prenom]]</f>
        <v/>
      </c>
      <c r="CI109" s="262">
        <f>VLOOKUP(T_BilanSocial[[#This Row],[NumL]],T_Commission[#Data],COLUMN(T_Commission[Commentaire]),FALSE)</f>
        <v>0</v>
      </c>
      <c r="CJ109" s="262" t="str">
        <f>IF(VLOOKUP(T_BilanSocial[[#This Row],[NumL]],T_Commission[#Data],COLUMN(T_Commission[Encadrant Email]),FALSE)="","",VLOOKUP(T_BilanSocial[[#This Row],[NumL]],T_Commission[#Data],COLUMN(T_Commission[Encadrant Email]),FALSE))</f>
        <v/>
      </c>
      <c r="CK109" s="340" t="str">
        <f>IF(T_BilanSocial[[#This Row],[Final]]&lt;&gt;"",VLOOKUP(T_BilanSocial[[#This Row],[NumL]],T_suiviDi[#Data],COLUMN((T_suiviDi[Statut])),FALSE),"")</f>
        <v/>
      </c>
    </row>
    <row r="110" spans="1:89" s="106" customFormat="1" ht="24.75" customHeight="1" x14ac:dyDescent="0.25">
      <c r="A110" s="160">
        <v>107</v>
      </c>
      <c r="B110" s="161">
        <f t="shared" si="10"/>
        <v>1</v>
      </c>
      <c r="C110" s="162" t="s">
        <v>173</v>
      </c>
      <c r="D110" s="95" t="e">
        <f>IF(VLOOKUP(T_BilanSocial[[#This Row],[NumL]],T_TraitDi[#Data],COLUMN(T_TraitDi[[#This Row],[WebC]]),FALSE)="","",VLOOKUP(T_BilanSocial[[#This Row],[NumL]],T_TraitDi[#Data],COLUMN(T_TraitDi[[#This Row],[WebC]]),FALSE))</f>
        <v>#VALUE!</v>
      </c>
      <c r="E110" s="163" t="str">
        <f t="shared" si="11"/>
        <v>12 janvier 2021</v>
      </c>
      <c r="F110" s="96" t="str">
        <f>IF(T_BilanSocial[[#This Row],[Final]]&lt;&gt;"",VLOOKUP(T_BilanSocial[[#This Row],[NumL]],T_suiviDi[#Data],COLUMN((T_suiviDi[Civ.])),FALSE),"")</f>
        <v>Mme</v>
      </c>
      <c r="G110" s="96" t="str">
        <f>IF(T_BilanSocial[[#This Row],[Final]]&lt;&gt;"",VLOOKUP(T_BilanSocial[[#This Row],[NumL]],T_suiviDi[#Data],COLUMN((T_suiviDi[Nom])),FALSE),"")</f>
        <v>A</v>
      </c>
      <c r="H110" s="96" t="str">
        <f>IF(T_BilanSocial[[#This Row],[Final]]&lt;&gt;"",VLOOKUP(T_BilanSocial[[#This Row],[NumL]],T_suiviDi[#Data],COLUMN((T_suiviDi[Prénom])),FALSE),"")</f>
        <v>Cécile</v>
      </c>
      <c r="I110" s="96" t="str">
        <f>IFERROR(VLOOKUP(T_BilanSocial[[#This Row],[Zone_Bilan]],T_P_BilanSocial[#Data],COLUMN(T_P_BilanSocial[[#This Row],[Numero_SIHAM]]),FALSE),"")</f>
        <v/>
      </c>
      <c r="J110" s="96" t="str">
        <f>IFERROR(VLOOKUP(T_BilanSocial[[#This Row],[Zone_Bilan]],T_P_BilanSocial[#Data],COLUMN(T_P_BilanSocial[[#This Row],[Sexe]]),FALSE),"")</f>
        <v/>
      </c>
      <c r="K110" s="97" t="str">
        <f>IFERROR(VLOOKUP(T_BilanSocial[[#This Row],[Zone_Bilan]],T_P_BilanSocial[#Data],COLUMN(T_P_BilanSocial[[#This Row],[Categorie]]),FALSE),"")</f>
        <v/>
      </c>
      <c r="L110" s="96" t="str">
        <f>IFERROR(VLOOKUP(T_BilanSocial[[#This Row],[Zone_Bilan]],T_P_BilanSocial[#Data],COLUMN(T_P_BilanSocial[[#This Row],[Statut]]),FALSE),"")</f>
        <v/>
      </c>
      <c r="M110" s="96" t="str">
        <f>IFERROR(VLOOKUP(T_BilanSocial[[#This Row],[Zone_Bilan]],T_P_BilanSocial[#Data],COLUMN(T_P_BilanSocial[[#This Row],[Filiere]]),FALSE),"")</f>
        <v/>
      </c>
      <c r="N110" s="96" t="str">
        <f>VLOOKUP(T_BilanSocial[[#This Row],[NumL]],T_TraitDi[#Data],COLUMN(T_TraitDi[EXP]),FALSE)</f>
        <v>N</v>
      </c>
      <c r="O110" s="96" t="str">
        <f>VLOOKUP(T_BilanSocial[[#This Row],[NumL]],T_TraitDi[#Data],COLUMN(T_TraitDi[FORM]),FALSE)</f>
        <v>N</v>
      </c>
      <c r="P110" s="96">
        <f>IF(T_BilanSocial[[#This Row],[Final]]&lt;&gt;"",VLOOKUP(T_BilanSocial[[#This Row],[NumL]],T_suiviDi[#Data],COLUMN((T_suiviDi[Email])),FALSE),"")</f>
        <v>0</v>
      </c>
      <c r="Q110" s="164" t="str">
        <f t="shared" si="17"/>
        <v/>
      </c>
      <c r="R110" s="164" t="str">
        <f t="shared" si="18"/>
        <v>Biatss / Responsable apprentissage/démarche qualité</v>
      </c>
      <c r="S110" s="164" t="e">
        <f>IF(VLOOKUP(T_BilanSocial[[#This Row],[NumL]],T_suiviDi[#Data],COLUMN(T_suiviDi[[#This Row],[Service ]]),FALSE)="","",VLOOKUP(T_BilanSocial[[#This Row],[NumL]],T_suiviDi[#Data],COLUMN(T_suiviDi[[#This Row],[Service ]]),FALSE))</f>
        <v>#VALUE!</v>
      </c>
      <c r="T110" s="164" t="str">
        <f t="shared" si="12"/>
        <v>01 septembre 2021</v>
      </c>
      <c r="U110" s="164" t="str">
        <f t="shared" si="13"/>
        <v>30 novembre 2021</v>
      </c>
      <c r="V110" s="164" t="str">
        <f t="shared" si="21"/>
        <v>30 novembre 2021</v>
      </c>
      <c r="W110" s="176" t="e">
        <f>IF(VLOOKUP(T_BilanSocial[[#This Row],[NumL]],T_TraitDi[#Data],COLUMN(T_TraitDi[[#This Row],[M1]]),FALSE)="","",VLOOKUP(T_BilanSocial[[#This Row],[NumL]],T_TraitDi[#Data],COLUMN(T_TraitDi[[#This Row],[M1]]),FALSE))</f>
        <v>#VALUE!</v>
      </c>
      <c r="X110" s="176" t="e">
        <f>IF(VLOOKUP(T_BilanSocial[[#This Row],[NumL]],T_TraitDi[#Data],COLUMN(T_TraitDi[[#This Row],[M2]]),FALSE)="","",VLOOKUP(T_BilanSocial[[#This Row],[NumL]],T_TraitDi[#Data],COLUMN(T_TraitDi[[#This Row],[M2]]),FALSE))</f>
        <v>#VALUE!</v>
      </c>
      <c r="Y110" s="176" t="e">
        <f>IF(VLOOKUP(T_BilanSocial[[#This Row],[NumL]],T_TraitDi[#Data],COLUMN(T_TraitDi[[#This Row],[M3]]),FALSE)="","",VLOOKUP(T_BilanSocial[[#This Row],[NumL]],T_TraitDi[#Data],COLUMN(T_TraitDi[[#This Row],[M3]]),FALSE))</f>
        <v>#VALUE!</v>
      </c>
      <c r="Z110" s="176" t="str">
        <f t="shared" si="16"/>
        <v xml:space="preserve"> -Référente (logiciels) FCA Manager/Kairos/G.E.D</v>
      </c>
      <c r="AA110" s="176" t="e">
        <f>IF(VLOOKUP(T_BilanSocial[[#This Row],[NumL]],T_TraitDi[#Data],COLUMN(T_TraitDi[[#This Row],[M5]]),FALSE)="","",VLOOKUP(T_BilanSocial[[#This Row],[NumL]],T_TraitDi[#Data],COLUMN(T_TraitDi[[#This Row],[M5]]),FALSE))</f>
        <v>#VALUE!</v>
      </c>
      <c r="AB110" s="176" t="e">
        <f>IF(VLOOKUP(T_BilanSocial[[#This Row],[NumL]],T_TraitDi[#Data],COLUMN(T_TraitDi[[#This Row],[M6]]),FALSE)="","",VLOOKUP(T_BilanSocial[[#This Row],[NumL]],T_TraitDi[#Data],COLUMN(T_TraitDi[[#This Row],[M6]]),FALSE))</f>
        <v>#VALUE!</v>
      </c>
      <c r="AC110" s="165" t="e">
        <f t="shared" si="15"/>
        <v>#VALUE!</v>
      </c>
      <c r="AD110" s="188" t="str">
        <f>IFERROR(TEXT(VLOOKUP(T_BilanSocial[[#This Row],[NumL]],T_TraitDi[#Data],COLUMN(T_TraitDi[[#This Row],[Q2]]),FALSE),"###%"),"")</f>
        <v/>
      </c>
      <c r="AE110" s="97" t="e">
        <f>VLOOKUP(T_BilanSocial[[#This Row],[NumL]],T_TraitDi[#Data],COLUMN(T_TraitDi[[#This Row],[Reg Ponct]]),FALSE)</f>
        <v>#VALUE!</v>
      </c>
      <c r="AF110" s="97" t="e">
        <f>VLOOKUP(T_BilanSocial[NumL],T_TraitDi[#Data],COLUMN(T_TraitDi[[#This Row],[Jours flottants]]),FALSE)</f>
        <v>#VALUE!</v>
      </c>
      <c r="AG110" s="97" t="str">
        <f>IFERROR(VLOOKUP(T_BilanSocial[[#This Row],[NumL]],T_TraitDi[#Data],COLUMN(T_TraitDi[[#This Row],[Lundi]]),FALSE),"")</f>
        <v/>
      </c>
      <c r="AH110" s="172" t="e">
        <f>IF(VLOOKUP(T_BilanSocial[[#This Row],[NumL]],T_TraitDi[#Data],COLUMN(T_TraitDi[[#This Row],[Colonne3]]),FALSE)=0,"",TEXT(IFERROR(VLOOKUP(T_BilanSocial[[#This Row],[NumL]],T_TraitDi[#Data],COLUMN(T_TraitDi[[#This Row],[Colonne3]]),FALSE),""),"[hh]:mm"))</f>
        <v>#VALUE!</v>
      </c>
      <c r="AI110" s="172" t="e">
        <f>IF(VLOOKUP(T_BilanSocial[[#This Row],[NumL]],T_TraitDi[#Data],COLUMN(T_TraitDi[[#This Row],[Colonne4]]),FALSE)=0,"",TEXT(IFERROR(VLOOKUP(T_BilanSocial[[#This Row],[NumL]],T_TraitDi[#Data],COLUMN(T_TraitDi[[#This Row],[Colonne4]]),FALSE),""),"[hh]:mm"))</f>
        <v>#VALUE!</v>
      </c>
      <c r="AJ110" s="172" t="e">
        <f>IF(VLOOKUP(T_BilanSocial[[#This Row],[NumL]],T_TraitDi[#Data],COLUMN(T_TraitDi[[#This Row],[Colonne5]]),FALSE)=0,"",TEXT(IFERROR(VLOOKUP(T_BilanSocial[[#This Row],[NumL]],T_TraitDi[#Data],COLUMN(T_TraitDi[[#This Row],[Colonne5]]),FALSE),""),"[hh]:mm"))</f>
        <v>#VALUE!</v>
      </c>
      <c r="AK110" s="172" t="e">
        <f>IF(VLOOKUP(T_BilanSocial[[#This Row],[NumL]],T_TraitDi[#Data],COLUMN(T_TraitDi[[#This Row],[Colonne6]]),FALSE)=0,"",TEXT(IFERROR(VLOOKUP(T_BilanSocial[[#This Row],[NumL]],T_TraitDi[#Data],COLUMN(T_TraitDi[[#This Row],[Colonne6]]),FALSE),""),"[hh]:mm"))</f>
        <v>#VALUE!</v>
      </c>
      <c r="AL110" s="172" t="e">
        <f>IF(VLOOKUP(T_BilanSocial[[#This Row],[NumL]],T_TraitDi[#Data],COLUMN(T_TraitDi[[#This Row],[Colonne7]]),FALSE)=0,"",TEXT(IFERROR(VLOOKUP(T_BilanSocial[[#This Row],[NumL]],T_TraitDi[#Data],COLUMN(T_TraitDi[[#This Row],[Colonne7]]),FALSE),""),"[hh]:mm"))</f>
        <v>#VALUE!</v>
      </c>
      <c r="AM110" s="172" t="e">
        <f>IF(VLOOKUP(T_BilanSocial[[#This Row],[NumL]],T_TraitDi[#Data],COLUMN(T_TraitDi[[#This Row],[Colonne8]]),FALSE)=0,"",TEXT(IFERROR(VLOOKUP(T_BilanSocial[[#This Row],[NumL]],T_TraitDi[#Data],COLUMN(T_TraitDi[[#This Row],[Colonne8]]),FALSE),""),"[hh]:mm"))</f>
        <v>#VALUE!</v>
      </c>
      <c r="AN110" s="172" t="str">
        <f>IFERROR(VLOOKUP(T_BilanSocial[[#This Row],[NumL]],T_TraitDi[#Data],COLUMN(T_TraitDi[[#This Row],[Mardi]]),FALSE),"")</f>
        <v/>
      </c>
      <c r="AO110" s="172" t="e">
        <f>IF(VLOOKUP(T_BilanSocial[[#This Row],[NumL]],T_TraitDi[#Data],COLUMN(T_TraitDi[[#This Row],[Colonne1]]),FALSE)=0,"",TEXT(IFERROR(VLOOKUP(T_BilanSocial[[#This Row],[NumL]],T_TraitDi[#Data],COLUMN(T_TraitDi[[#This Row],[Colonne1]]),FALSE),""),"[hh]:mm"))</f>
        <v>#VALUE!</v>
      </c>
      <c r="AP110" s="172" t="e">
        <f>IF(VLOOKUP(T_BilanSocial[[#This Row],[NumL]],T_TraitDi[#Data],COLUMN(T_TraitDi[[#This Row],[Colonne9]]),FALSE)=0,"",TEXT(IFERROR(VLOOKUP(T_BilanSocial[[#This Row],[NumL]],T_TraitDi[#Data],COLUMN(T_TraitDi[[#This Row],[Colonne9]]),FALSE),""),"[hh]:mm"))</f>
        <v>#VALUE!</v>
      </c>
      <c r="AQ110" s="172" t="str">
        <f>IFERROR(VLOOKUP(T_BilanSocial[[#This Row],[NumL]],T_TraitDi[#Data],COLUMN(T_TraitDi[[#This Row],[Colonne10]]),FALSE),"")</f>
        <v/>
      </c>
      <c r="AR110" s="172" t="e">
        <f>IF(VLOOKUP(T_BilanSocial[[#This Row],[NumL]],T_TraitDi[#Data],COLUMN(T_TraitDi[[#This Row],[Colonne11]]),FALSE)=0,"",TEXT(IFERROR(VLOOKUP(T_BilanSocial[[#This Row],[NumL]],T_TraitDi[#Data],COLUMN(T_TraitDi[[#This Row],[Colonne11]]),FALSE),""),"[hh]:mm"))</f>
        <v>#VALUE!</v>
      </c>
      <c r="AS110" s="172" t="e">
        <f>IF(VLOOKUP(T_BilanSocial[[#This Row],[NumL]],T_TraitDi[#Data],COLUMN(T_TraitDi[[#This Row],[Colonne12]]),FALSE)=0,"",TEXT(IFERROR(VLOOKUP(T_BilanSocial[[#This Row],[NumL]],T_TraitDi[#Data],COLUMN(T_TraitDi[[#This Row],[Colonne12]]),FALSE),""),"[hh]:mm"))</f>
        <v>#VALUE!</v>
      </c>
      <c r="AT110" s="172" t="e">
        <f>IF(VLOOKUP(T_BilanSocial[[#This Row],[NumL]],T_TraitDi[#Data],COLUMN(T_TraitDi[[#This Row],[Colonne14]]),FALSE)=0,"",TEXT(IFERROR(VLOOKUP(T_BilanSocial[[#This Row],[NumL]],T_TraitDi[#Data],COLUMN(T_TraitDi[[#This Row],[Colonne14]]),FALSE),""),"[hh]:mm"))</f>
        <v>#VALUE!</v>
      </c>
      <c r="AU110" s="172" t="str">
        <f>IFERROR(VLOOKUP(T_BilanSocial[[#This Row],[NumL]],T_TraitDi[#Data],COLUMN(T_TraitDi[[#This Row],[Mercredi]]),FALSE),"")</f>
        <v/>
      </c>
      <c r="AV110" s="172" t="e">
        <f>IF(VLOOKUP(T_BilanSocial[[#This Row],[NumL]],T_TraitDi[#Data],COLUMN(T_TraitDi[[#This Row],[Colonne15]]),FALSE)=0,"",TEXT(IFERROR(VLOOKUP(T_BilanSocial[[#This Row],[NumL]],T_TraitDi[#Data],COLUMN(T_TraitDi[[#This Row],[Colonne15]]),FALSE),""),"[hh]:mm"))</f>
        <v>#VALUE!</v>
      </c>
      <c r="AW110" s="172" t="e">
        <f>IF(VLOOKUP(T_BilanSocial[[#This Row],[NumL]],T_TraitDi[#Data],COLUMN(T_TraitDi[[#This Row],[Colonne16]]),FALSE)=0,"",TEXT(IFERROR(VLOOKUP(T_BilanSocial[[#This Row],[NumL]],T_TraitDi[#Data],COLUMN(T_TraitDi[[#This Row],[Colonne16]]),FALSE),""),"[hh]:mm"))</f>
        <v>#VALUE!</v>
      </c>
      <c r="AX110" s="172" t="str">
        <f>IFERROR(VLOOKUP(T_BilanSocial[[#This Row],[NumL]],T_TraitDi[#Data],COLUMN(T_TraitDi[[#This Row],[Colonne17]]),FALSE),"")</f>
        <v/>
      </c>
      <c r="AY110" s="172" t="e">
        <f>IF(VLOOKUP(T_BilanSocial[[#This Row],[NumL]],T_TraitDi[#Data],COLUMN(T_TraitDi[[#This Row],[Colonne18]]),FALSE)=0,"",TEXT(IFERROR(VLOOKUP(T_BilanSocial[[#This Row],[NumL]],T_TraitDi[#Data],COLUMN(T_TraitDi[[#This Row],[Colonne18]]),FALSE),""),"[hh]:mm"))</f>
        <v>#VALUE!</v>
      </c>
      <c r="AZ110" s="172" t="e">
        <f>IF(VLOOKUP(T_BilanSocial[[#This Row],[NumL]],T_TraitDi[#Data],COLUMN(T_TraitDi[[#This Row],[Colonne19]]),FALSE)=0,"",TEXT(IFERROR(VLOOKUP(T_BilanSocial[[#This Row],[NumL]],T_TraitDi[#Data],COLUMN(T_TraitDi[[#This Row],[Colonne19]]),FALSE),""),"[hh]:mm"))</f>
        <v>#VALUE!</v>
      </c>
      <c r="BA110" s="172" t="e">
        <f>IF(VLOOKUP(T_BilanSocial[[#This Row],[NumL]],T_TraitDi[#Data],COLUMN(T_TraitDi[[#This Row],[Colonne20]]),FALSE)=0,"",TEXT(IFERROR(VLOOKUP(T_BilanSocial[[#This Row],[NumL]],T_TraitDi[#Data],COLUMN(T_TraitDi[[#This Row],[Colonne20]]),FALSE),""),"[hh]:mm"))</f>
        <v>#VALUE!</v>
      </c>
      <c r="BB110" s="178" t="str">
        <f>IFERROR(VLOOKUP(T_BilanSocial[[#This Row],[NumL]],T_TraitDi[#Data],COLUMN(T_TraitDi[[#This Row],[Jeudi]]),FALSE),"")</f>
        <v/>
      </c>
      <c r="BC110" s="178" t="e">
        <f>IF(VLOOKUP(T_BilanSocial[[#This Row],[NumL]],T_TraitDi[#Data],COLUMN(T_TraitDi[[#This Row],[Colonne21]]),FALSE)=0,"",TEXT(IFERROR(VLOOKUP(T_BilanSocial[[#This Row],[NumL]],T_TraitDi[#Data],COLUMN(T_TraitDi[[#This Row],[Colonne21]]),FALSE),""),"[hh]:mm"))</f>
        <v>#VALUE!</v>
      </c>
      <c r="BD110" s="178" t="e">
        <f>IF(VLOOKUP(T_BilanSocial[[#This Row],[NumL]],T_TraitDi[#Data],COLUMN(T_TraitDi[[#This Row],[Colonne22]]),FALSE)=0,"",TEXT(IFERROR(VLOOKUP(T_BilanSocial[[#This Row],[NumL]],T_TraitDi[#Data],COLUMN(T_TraitDi[[#This Row],[Colonne22]]),FALSE),""),"[hh]:mm"))</f>
        <v>#VALUE!</v>
      </c>
      <c r="BE110" s="178" t="str">
        <f>IFERROR(VLOOKUP(T_BilanSocial[[#This Row],[NumL]],T_TraitDi[#Data],COLUMN(T_TraitDi[[#This Row],[Colonne23]]),FALSE),"")</f>
        <v/>
      </c>
      <c r="BF110" s="178" t="e">
        <f>IF(VLOOKUP(T_BilanSocial[[#This Row],[NumL]],T_TraitDi[#Data],COLUMN(T_TraitDi[[#This Row],[Colonne24]]),FALSE)=0,"",TEXT(IFERROR(VLOOKUP(T_BilanSocial[[#This Row],[NumL]],T_TraitDi[#Data],COLUMN(T_TraitDi[[#This Row],[Colonne24]]),FALSE),""),"[hh]:mm"))</f>
        <v>#VALUE!</v>
      </c>
      <c r="BG110" s="178" t="e">
        <f>IF(VLOOKUP(T_BilanSocial[[#This Row],[NumL]],T_TraitDi[#Data],COLUMN(T_TraitDi[[#This Row],[Colonne25]]),FALSE)=0,"",TEXT(IFERROR(VLOOKUP(T_BilanSocial[[#This Row],[NumL]],T_TraitDi[#Data],COLUMN(T_TraitDi[[#This Row],[Colonne25]]),FALSE),""),"[hh]:mm"))</f>
        <v>#VALUE!</v>
      </c>
      <c r="BH110" s="178" t="e">
        <f>IF(VLOOKUP(T_BilanSocial[[#This Row],[NumL]],T_TraitDi[#Data],COLUMN(T_TraitDi[[#This Row],[Colonne26]]),FALSE)=0,"",TEXT(IFERROR(VLOOKUP(T_BilanSocial[[#This Row],[NumL]],T_TraitDi[#Data],COLUMN(T_TraitDi[[#This Row],[Colonne26]]),FALSE),""),"[hh]:mm"))</f>
        <v>#VALUE!</v>
      </c>
      <c r="BI110" s="172" t="str">
        <f>IFERROR(VLOOKUP(T_BilanSocial[[#This Row],[NumL]],T_TraitDi[#Data],COLUMN(T_TraitDi[[#This Row],[Vendredi]]),FALSE),"")</f>
        <v/>
      </c>
      <c r="BJ110" s="172" t="e">
        <f>IF(VLOOKUP(T_BilanSocial[[#This Row],[NumL]],T_TraitDi[#Data],COLUMN(T_TraitDi[[#This Row],[Colonne27]]),FALSE)=0,"",TEXT(IFERROR(VLOOKUP(T_BilanSocial[[#This Row],[NumL]],T_TraitDi[#Data],COLUMN(T_TraitDi[[#This Row],[Colonne27]]),FALSE),""),"[hh]:mm"))</f>
        <v>#VALUE!</v>
      </c>
      <c r="BK110" s="172" t="e">
        <f>IF(VLOOKUP(T_BilanSocial[[#This Row],[NumL]],T_TraitDi[#Data],COLUMN(T_TraitDi[[#This Row],[Colonne28]]),FALSE)=0,"",TEXT(IFERROR(VLOOKUP(T_BilanSocial[[#This Row],[NumL]],T_TraitDi[#Data],COLUMN(T_TraitDi[[#This Row],[Colonne28]]),FALSE),""),"[hh]:mm"))</f>
        <v>#VALUE!</v>
      </c>
      <c r="BL110" s="172" t="str">
        <f>IFERROR(VLOOKUP(T_BilanSocial[[#This Row],[NumL]],T_TraitDi[#Data],COLUMN(T_TraitDi[[#This Row],[Colonne29]]),FALSE),"")</f>
        <v/>
      </c>
      <c r="BM110" s="172" t="e">
        <f>IF(VLOOKUP(T_BilanSocial[[#This Row],[NumL]],T_TraitDi[#Data],COLUMN(T_TraitDi[[#This Row],[Colonne30]]),FALSE)=0,"",TEXT(IFERROR(VLOOKUP(T_BilanSocial[[#This Row],[NumL]],T_TraitDi[#Data],COLUMN(T_TraitDi[[#This Row],[Colonne30]]),FALSE),""),"[hh]:mm"))</f>
        <v>#VALUE!</v>
      </c>
      <c r="BN110" s="172" t="e">
        <f>IF(VLOOKUP(T_BilanSocial[[#This Row],[NumL]],T_TraitDi[#Data],COLUMN(T_TraitDi[[#This Row],[Colonne31]]),FALSE)=0,"",TEXT(IFERROR(VLOOKUP(T_BilanSocial[[#This Row],[NumL]],T_TraitDi[#Data],COLUMN(T_TraitDi[[#This Row],[Colonne31]]),FALSE),""),"[hh]:mm"))</f>
        <v>#VALUE!</v>
      </c>
      <c r="BO110" s="172" t="e">
        <f>IF(VLOOKUP(T_BilanSocial[[#This Row],[NumL]],T_TraitDi[#Data],COLUMN(T_TraitDi[[#This Row],[Colonne32]]),FALSE)=0,"",TEXT(IFERROR(VLOOKUP(T_BilanSocial[[#This Row],[NumL]],T_TraitDi[#Data],COLUMN(T_TraitDi[[#This Row],[Colonne32]]),FALSE),""),"[hh]:mm"))</f>
        <v>#VALUE!</v>
      </c>
      <c r="BP110" s="172">
        <f>VLOOKUP(T_BilanSocial[[#This Row],[NumL]],T_TraitDi[#Data],COLUMN(T_TraitDi[NbJTot]),FALSE)</f>
        <v>4.5</v>
      </c>
      <c r="BQ110" s="174" t="str">
        <f>IFERROR(VLOOKUP(T_BilanSocial[[#This Row],[NumL]],T_TraitDi[#Data],COLUMN(T_TraitDi[[#This Row],[NbJTW]]),FALSE),"")</f>
        <v/>
      </c>
      <c r="BR110" s="174" t="e">
        <f>IF(VLOOKUP(T_BilanSocial[[#This Row],[NumL]],T_TraitDi[#Data],COLUMN(T_TraitDi[[#This Row],[NbhTW]]),FALSE)=0,"",TEXT(IFERROR(VLOOKUP(T_BilanSocial[[#This Row],[NumL]],T_TraitDi[#Data],COLUMN(T_TraitDi[[#This Row],[NbhTW]]),FALSE),""),"[hh]:mm"))</f>
        <v>#VALUE!</v>
      </c>
      <c r="BS110" s="174" t="e">
        <f>IF(VLOOKUP(T_BilanSocial[[#This Row],[NumL]],T_TraitDi[#Data],COLUMN(T_TraitDi[[#This Row],[Nbhheb]]),FALSE)=0,"",TEXT(IFERROR(VLOOKUP($A110,T_TraitDi[#Data],COLUMN(T_TraitDi[[#This Row],[Nbhheb]]),FALSE),""),"[hh]:mm"))</f>
        <v>#VALUE!</v>
      </c>
      <c r="BT110" s="182" t="str">
        <f>IFERROR(VLOOKUP(VLOOKUP($A110,T_TraitDi[#Data],COLUMN(T_TraitDi[[#This Row],[Type1]]),FALSE),TypeTW,2,FALSE),"")</f>
        <v/>
      </c>
      <c r="BU110" s="182" t="str">
        <f>IFERROR(VLOOKUP($A110,T_TraitDi[#Data],COLUMN(T_TraitDi[[#This Row],[Rue1]]),FALSE),"")</f>
        <v/>
      </c>
      <c r="BV110" s="173" t="str">
        <f>IFERROR(VLOOKUP($A110,T_TraitDi[#Data],COLUMN(T_TraitDi[[#This Row],[CP1]]),FALSE),"")</f>
        <v/>
      </c>
      <c r="BW110" s="173" t="str">
        <f>IFERROR(VLOOKUP($A110,T_TraitDi[#Data],COLUMN(T_TraitDi[[#This Row],[VILLE1]]),FALSE),"")</f>
        <v/>
      </c>
      <c r="BX110" s="182" t="str">
        <f>IFERROR(VLOOKUP(VLOOKUP($A110,T_TraitDi[#Data],COLUMN(T_TraitDi[[#This Row],[Type2]]),FALSE),TypeTW,2,FALSE),"")</f>
        <v/>
      </c>
      <c r="BY110" s="182" t="str">
        <f>IFERROR(VLOOKUP($A110,T_TraitDi[#Data],COLUMN(T_TraitDi[[#This Row],[Rue2]]),FALSE),"")</f>
        <v/>
      </c>
      <c r="BZ110" s="173" t="str">
        <f>IFERROR(VLOOKUP($A110,T_TraitDi[#Data],COLUMN(T_TraitDi[[#This Row],[CP2]]),FALSE),"")</f>
        <v/>
      </c>
      <c r="CA110" s="173" t="str">
        <f>IFERROR(VLOOKUP($A110,T_TraitDi[#Data],COLUMN(T_TraitDi[[#This Row],[VILLE2]]),FALSE),"")</f>
        <v/>
      </c>
      <c r="CB110" s="182" t="str">
        <f>IF(VLOOKUP(T_BilanSocial[[#This Row],[NumL]],T_Equipement[#Data],COLUMN(T_Equipement[[#This Row],[PC]]),FALSE)="","Aucun équipement spécifique directement lié au télétravail",VLOOKUP(T_BilanSocial[[#This Row],[NumL]],T_Equipement[#Data],COLUMN(T_Equipement[[#This Row],[PC]]),FALSE))</f>
        <v>16-148</v>
      </c>
      <c r="CC110" s="166" t="str">
        <f>IFERROR(IF(VLOOKUP(T_BilanSocial[[#This Row],[NumL]],T_TraitDi[#Data],COLUMN(T_TraitDi[[#This Row],[Plan]]),FALSE)="OK","Un planning spécifique de télétravail est annexé à la présente convention.",""),"")</f>
        <v/>
      </c>
      <c r="CD110" s="258" t="s">
        <v>3381</v>
      </c>
      <c r="CE110" s="164" t="e">
        <f>IF(VLOOKUP(T_BilanSocial[[#This Row],[NumL]],T_suiviDi[#Data],COLUMN(T_suiviDi[[#This Row],[Entité]]),FALSE)="","",VLOOKUP(T_BilanSocial[[#This Row],[NumL]],T_suiviDi[#Data],COLUMN(T_suiviDi[[#This Row],[Entité]]),FALSE))</f>
        <v>#VALUE!</v>
      </c>
      <c r="CF110" s="164" t="str">
        <f>IF(VLOOKUP(T_BilanSocial[[#This Row],[NumL]],T_Commission[#Data],COLUMN(T_Commission[[#This Row],[envoi confirm TW]]),FALSE)="","",VLOOKUP(T_BilanSocial[[#This Row],[NumL]],T_Commission[#Data],COLUMN(T_Commission[[#This Row],[envoi confirm TW]]),FALSE))</f>
        <v>Oui</v>
      </c>
      <c r="CG11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0" s="262" t="str">
        <f>T_BilanSocial[[#This Row],[Nom]]&amp;T_BilanSocial[[#This Row],[Prenom]]</f>
        <v>ACécile</v>
      </c>
      <c r="CI110" s="262">
        <f>VLOOKUP(T_BilanSocial[[#This Row],[NumL]],T_Commission[#Data],COLUMN(T_Commission[Commentaire]),FALSE)</f>
        <v>0</v>
      </c>
      <c r="CJ110" s="262" t="str">
        <f>IF(VLOOKUP(T_BilanSocial[[#This Row],[NumL]],T_Commission[#Data],COLUMN(T_Commission[Encadrant Email]),FALSE)="","",VLOOKUP(T_BilanSocial[[#This Row],[NumL]],T_Commission[#Data],COLUMN(T_Commission[Encadrant Email]),FALSE))</f>
        <v/>
      </c>
      <c r="CK110" s="340" t="str">
        <f>IF(T_BilanSocial[[#This Row],[Final]]&lt;&gt;"",VLOOKUP(T_BilanSocial[[#This Row],[NumL]],T_suiviDi[#Data],COLUMN((T_suiviDi[Statut])),FALSE),"")</f>
        <v/>
      </c>
    </row>
    <row r="111" spans="1:89" s="106" customFormat="1" ht="24.75" customHeight="1" x14ac:dyDescent="0.25">
      <c r="A111" s="160">
        <v>108</v>
      </c>
      <c r="B111" s="161" t="str">
        <f t="shared" si="10"/>
        <v/>
      </c>
      <c r="C111" s="162" t="s">
        <v>173</v>
      </c>
      <c r="D111" s="95" t="e">
        <f>IF(VLOOKUP(T_BilanSocial[[#This Row],[NumL]],T_TraitDi[#Data],COLUMN(T_TraitDi[[#This Row],[WebC]]),FALSE)="","",VLOOKUP(T_BilanSocial[[#This Row],[NumL]],T_TraitDi[#Data],COLUMN(T_TraitDi[[#This Row],[WebC]]),FALSE))</f>
        <v>#VALUE!</v>
      </c>
      <c r="E111" s="163" t="str">
        <f t="shared" si="11"/>
        <v>12 janvier 2021</v>
      </c>
      <c r="F111" s="96" t="str">
        <f>IF(T_BilanSocial[[#This Row],[Final]]&lt;&gt;"",VLOOKUP(T_BilanSocial[[#This Row],[NumL]],T_suiviDi[#Data],COLUMN((T_suiviDi[Civ.])),FALSE),"")</f>
        <v/>
      </c>
      <c r="G111" s="96" t="str">
        <f>IF(T_BilanSocial[[#This Row],[Final]]&lt;&gt;"",VLOOKUP(T_BilanSocial[[#This Row],[NumL]],T_suiviDi[#Data],COLUMN((T_suiviDi[Nom])),FALSE),"")</f>
        <v/>
      </c>
      <c r="H111" s="96" t="str">
        <f>IF(T_BilanSocial[[#This Row],[Final]]&lt;&gt;"",VLOOKUP(T_BilanSocial[[#This Row],[NumL]],T_suiviDi[#Data],COLUMN((T_suiviDi[Prénom])),FALSE),"")</f>
        <v/>
      </c>
      <c r="I111" s="96" t="str">
        <f>IFERROR(VLOOKUP(T_BilanSocial[[#This Row],[Zone_Bilan]],T_P_BilanSocial[#Data],COLUMN(T_P_BilanSocial[[#This Row],[Numero_SIHAM]]),FALSE),"")</f>
        <v/>
      </c>
      <c r="J111" s="96" t="str">
        <f>IFERROR(VLOOKUP(T_BilanSocial[[#This Row],[Zone_Bilan]],T_P_BilanSocial[#Data],COLUMN(T_P_BilanSocial[[#This Row],[Sexe]]),FALSE),"")</f>
        <v/>
      </c>
      <c r="K111" s="97" t="str">
        <f>IFERROR(VLOOKUP(T_BilanSocial[[#This Row],[Zone_Bilan]],T_P_BilanSocial[#Data],COLUMN(T_P_BilanSocial[[#This Row],[Categorie]]),FALSE),"")</f>
        <v/>
      </c>
      <c r="L111" s="96" t="str">
        <f>IFERROR(VLOOKUP(T_BilanSocial[[#This Row],[Zone_Bilan]],T_P_BilanSocial[#Data],COLUMN(T_P_BilanSocial[[#This Row],[Statut]]),FALSE),"")</f>
        <v/>
      </c>
      <c r="M111" s="96" t="str">
        <f>IFERROR(VLOOKUP(T_BilanSocial[[#This Row],[Zone_Bilan]],T_P_BilanSocial[#Data],COLUMN(T_P_BilanSocial[[#This Row],[Filiere]]),FALSE),"")</f>
        <v/>
      </c>
      <c r="N111" s="96" t="e">
        <f>VLOOKUP(T_BilanSocial[[#This Row],[NumL]],T_TraitDi[#Data],COLUMN(T_TraitDi[EXP]),FALSE)</f>
        <v>#N/A</v>
      </c>
      <c r="O111" s="96" t="e">
        <f>VLOOKUP(T_BilanSocial[[#This Row],[NumL]],T_TraitDi[#Data],COLUMN(T_TraitDi[FORM]),FALSE)</f>
        <v>#N/A</v>
      </c>
      <c r="P111" s="96" t="str">
        <f>IF(T_BilanSocial[[#This Row],[Final]]&lt;&gt;"",VLOOKUP(T_BilanSocial[[#This Row],[NumL]],T_suiviDi[#Data],COLUMN((T_suiviDi[Email])),FALSE),"")</f>
        <v/>
      </c>
      <c r="Q111" s="164" t="e">
        <f t="shared" si="17"/>
        <v>#N/A</v>
      </c>
      <c r="R111" s="164" t="e">
        <f t="shared" si="18"/>
        <v>#N/A</v>
      </c>
      <c r="S111" s="164" t="e">
        <f>IF(VLOOKUP(T_BilanSocial[[#This Row],[NumL]],T_suiviDi[#Data],COLUMN(T_suiviDi[[#This Row],[Service ]]),FALSE)="","",VLOOKUP(T_BilanSocial[[#This Row],[NumL]],T_suiviDi[#Data],COLUMN(T_suiviDi[[#This Row],[Service ]]),FALSE))</f>
        <v>#VALUE!</v>
      </c>
      <c r="T111" s="164" t="str">
        <f t="shared" si="12"/>
        <v>01 septembre 2021</v>
      </c>
      <c r="U111" s="164" t="str">
        <f t="shared" si="13"/>
        <v>30 novembre 2021</v>
      </c>
      <c r="V111" s="164" t="str">
        <f t="shared" si="21"/>
        <v>30 novembre 2021</v>
      </c>
      <c r="W111" s="176" t="e">
        <f>IF(VLOOKUP(T_BilanSocial[[#This Row],[NumL]],T_TraitDi[#Data],COLUMN(T_TraitDi[[#This Row],[M1]]),FALSE)="","",VLOOKUP(T_BilanSocial[[#This Row],[NumL]],T_TraitDi[#Data],COLUMN(T_TraitDi[[#This Row],[M1]]),FALSE))</f>
        <v>#VALUE!</v>
      </c>
      <c r="X111" s="176" t="e">
        <f>IF(VLOOKUP(T_BilanSocial[[#This Row],[NumL]],T_TraitDi[#Data],COLUMN(T_TraitDi[[#This Row],[M2]]),FALSE)="","",VLOOKUP(T_BilanSocial[[#This Row],[NumL]],T_TraitDi[#Data],COLUMN(T_TraitDi[[#This Row],[M2]]),FALSE))</f>
        <v>#VALUE!</v>
      </c>
      <c r="Y111" s="176" t="e">
        <f>IF(VLOOKUP(T_BilanSocial[[#This Row],[NumL]],T_TraitDi[#Data],COLUMN(T_TraitDi[[#This Row],[M3]]),FALSE)="","",VLOOKUP(T_BilanSocial[[#This Row],[NumL]],T_TraitDi[#Data],COLUMN(T_TraitDi[[#This Row],[M3]]),FALSE))</f>
        <v>#VALUE!</v>
      </c>
      <c r="Z111" s="176" t="str">
        <f t="shared" si="16"/>
        <v/>
      </c>
      <c r="AA111" s="176" t="e">
        <f>IF(VLOOKUP(T_BilanSocial[[#This Row],[NumL]],T_TraitDi[#Data],COLUMN(T_TraitDi[[#This Row],[M5]]),FALSE)="","",VLOOKUP(T_BilanSocial[[#This Row],[NumL]],T_TraitDi[#Data],COLUMN(T_TraitDi[[#This Row],[M5]]),FALSE))</f>
        <v>#VALUE!</v>
      </c>
      <c r="AB111" s="176" t="e">
        <f>IF(VLOOKUP(T_BilanSocial[[#This Row],[NumL]],T_TraitDi[#Data],COLUMN(T_TraitDi[[#This Row],[M6]]),FALSE)="","",VLOOKUP(T_BilanSocial[[#This Row],[NumL]],T_TraitDi[#Data],COLUMN(T_TraitDi[[#This Row],[M6]]),FALSE))</f>
        <v>#VALUE!</v>
      </c>
      <c r="AC111" s="165" t="e">
        <f t="shared" si="15"/>
        <v>#VALUE!</v>
      </c>
      <c r="AD111" s="188" t="str">
        <f>IFERROR(TEXT(VLOOKUP(T_BilanSocial[[#This Row],[NumL]],T_TraitDi[#Data],COLUMN(T_TraitDi[[#This Row],[Q2]]),FALSE),"###%"),"")</f>
        <v/>
      </c>
      <c r="AE111" s="97" t="e">
        <f>VLOOKUP(T_BilanSocial[[#This Row],[NumL]],T_TraitDi[#Data],COLUMN(T_TraitDi[[#This Row],[Reg Ponct]]),FALSE)</f>
        <v>#VALUE!</v>
      </c>
      <c r="AF111" s="97" t="e">
        <f>VLOOKUP(T_BilanSocial[NumL],T_TraitDi[#Data],COLUMN(T_TraitDi[[#This Row],[Jours flottants]]),FALSE)</f>
        <v>#VALUE!</v>
      </c>
      <c r="AG111" s="97" t="str">
        <f>IFERROR(VLOOKUP(T_BilanSocial[[#This Row],[NumL]],T_TraitDi[#Data],COLUMN(T_TraitDi[[#This Row],[Lundi]]),FALSE),"")</f>
        <v/>
      </c>
      <c r="AH111" s="172" t="e">
        <f>IF(VLOOKUP(T_BilanSocial[[#This Row],[NumL]],T_TraitDi[#Data],COLUMN(T_TraitDi[[#This Row],[Colonne3]]),FALSE)=0,"",TEXT(IFERROR(VLOOKUP(T_BilanSocial[[#This Row],[NumL]],T_TraitDi[#Data],COLUMN(T_TraitDi[[#This Row],[Colonne3]]),FALSE),""),"[hh]:mm"))</f>
        <v>#VALUE!</v>
      </c>
      <c r="AI111" s="172" t="e">
        <f>IF(VLOOKUP(T_BilanSocial[[#This Row],[NumL]],T_TraitDi[#Data],COLUMN(T_TraitDi[[#This Row],[Colonne4]]),FALSE)=0,"",TEXT(IFERROR(VLOOKUP(T_BilanSocial[[#This Row],[NumL]],T_TraitDi[#Data],COLUMN(T_TraitDi[[#This Row],[Colonne4]]),FALSE),""),"[hh]:mm"))</f>
        <v>#VALUE!</v>
      </c>
      <c r="AJ111" s="172" t="e">
        <f>IF(VLOOKUP(T_BilanSocial[[#This Row],[NumL]],T_TraitDi[#Data],COLUMN(T_TraitDi[[#This Row],[Colonne5]]),FALSE)=0,"",TEXT(IFERROR(VLOOKUP(T_BilanSocial[[#This Row],[NumL]],T_TraitDi[#Data],COLUMN(T_TraitDi[[#This Row],[Colonne5]]),FALSE),""),"[hh]:mm"))</f>
        <v>#VALUE!</v>
      </c>
      <c r="AK111" s="172" t="e">
        <f>IF(VLOOKUP(T_BilanSocial[[#This Row],[NumL]],T_TraitDi[#Data],COLUMN(T_TraitDi[[#This Row],[Colonne6]]),FALSE)=0,"",TEXT(IFERROR(VLOOKUP(T_BilanSocial[[#This Row],[NumL]],T_TraitDi[#Data],COLUMN(T_TraitDi[[#This Row],[Colonne6]]),FALSE),""),"[hh]:mm"))</f>
        <v>#VALUE!</v>
      </c>
      <c r="AL111" s="172" t="e">
        <f>IF(VLOOKUP(T_BilanSocial[[#This Row],[NumL]],T_TraitDi[#Data],COLUMN(T_TraitDi[[#This Row],[Colonne7]]),FALSE)=0,"",TEXT(IFERROR(VLOOKUP(T_BilanSocial[[#This Row],[NumL]],T_TraitDi[#Data],COLUMN(T_TraitDi[[#This Row],[Colonne7]]),FALSE),""),"[hh]:mm"))</f>
        <v>#VALUE!</v>
      </c>
      <c r="AM111" s="172" t="e">
        <f>IF(VLOOKUP(T_BilanSocial[[#This Row],[NumL]],T_TraitDi[#Data],COLUMN(T_TraitDi[[#This Row],[Colonne8]]),FALSE)=0,"",TEXT(IFERROR(VLOOKUP(T_BilanSocial[[#This Row],[NumL]],T_TraitDi[#Data],COLUMN(T_TraitDi[[#This Row],[Colonne8]]),FALSE),""),"[hh]:mm"))</f>
        <v>#VALUE!</v>
      </c>
      <c r="AN111" s="172" t="str">
        <f>IFERROR(VLOOKUP(T_BilanSocial[[#This Row],[NumL]],T_TraitDi[#Data],COLUMN(T_TraitDi[[#This Row],[Mardi]]),FALSE),"")</f>
        <v/>
      </c>
      <c r="AO111" s="172" t="e">
        <f>IF(VLOOKUP(T_BilanSocial[[#This Row],[NumL]],T_TraitDi[#Data],COLUMN(T_TraitDi[[#This Row],[Colonne1]]),FALSE)=0,"",TEXT(IFERROR(VLOOKUP(T_BilanSocial[[#This Row],[NumL]],T_TraitDi[#Data],COLUMN(T_TraitDi[[#This Row],[Colonne1]]),FALSE),""),"[hh]:mm"))</f>
        <v>#VALUE!</v>
      </c>
      <c r="AP111" s="172" t="e">
        <f>IF(VLOOKUP(T_BilanSocial[[#This Row],[NumL]],T_TraitDi[#Data],COLUMN(T_TraitDi[[#This Row],[Colonne9]]),FALSE)=0,"",TEXT(IFERROR(VLOOKUP(T_BilanSocial[[#This Row],[NumL]],T_TraitDi[#Data],COLUMN(T_TraitDi[[#This Row],[Colonne9]]),FALSE),""),"[hh]:mm"))</f>
        <v>#VALUE!</v>
      </c>
      <c r="AQ111" s="172" t="str">
        <f>IFERROR(VLOOKUP(T_BilanSocial[[#This Row],[NumL]],T_TraitDi[#Data],COLUMN(T_TraitDi[[#This Row],[Colonne10]]),FALSE),"")</f>
        <v/>
      </c>
      <c r="AR111" s="172" t="e">
        <f>IF(VLOOKUP(T_BilanSocial[[#This Row],[NumL]],T_TraitDi[#Data],COLUMN(T_TraitDi[[#This Row],[Colonne11]]),FALSE)=0,"",TEXT(IFERROR(VLOOKUP(T_BilanSocial[[#This Row],[NumL]],T_TraitDi[#Data],COLUMN(T_TraitDi[[#This Row],[Colonne11]]),FALSE),""),"[hh]:mm"))</f>
        <v>#VALUE!</v>
      </c>
      <c r="AS111" s="172" t="e">
        <f>IF(VLOOKUP(T_BilanSocial[[#This Row],[NumL]],T_TraitDi[#Data],COLUMN(T_TraitDi[[#This Row],[Colonne12]]),FALSE)=0,"",TEXT(IFERROR(VLOOKUP(T_BilanSocial[[#This Row],[NumL]],T_TraitDi[#Data],COLUMN(T_TraitDi[[#This Row],[Colonne12]]),FALSE),""),"[hh]:mm"))</f>
        <v>#VALUE!</v>
      </c>
      <c r="AT111" s="172" t="e">
        <f>IF(VLOOKUP(T_BilanSocial[[#This Row],[NumL]],T_TraitDi[#Data],COLUMN(T_TraitDi[[#This Row],[Colonne14]]),FALSE)=0,"",TEXT(IFERROR(VLOOKUP(T_BilanSocial[[#This Row],[NumL]],T_TraitDi[#Data],COLUMN(T_TraitDi[[#This Row],[Colonne14]]),FALSE),""),"[hh]:mm"))</f>
        <v>#VALUE!</v>
      </c>
      <c r="AU111" s="172" t="str">
        <f>IFERROR(VLOOKUP(T_BilanSocial[[#This Row],[NumL]],T_TraitDi[#Data],COLUMN(T_TraitDi[[#This Row],[Mercredi]]),FALSE),"")</f>
        <v/>
      </c>
      <c r="AV111" s="172" t="e">
        <f>IF(VLOOKUP(T_BilanSocial[[#This Row],[NumL]],T_TraitDi[#Data],COLUMN(T_TraitDi[[#This Row],[Colonne15]]),FALSE)=0,"",TEXT(IFERROR(VLOOKUP(T_BilanSocial[[#This Row],[NumL]],T_TraitDi[#Data],COLUMN(T_TraitDi[[#This Row],[Colonne15]]),FALSE),""),"[hh]:mm"))</f>
        <v>#VALUE!</v>
      </c>
      <c r="AW111" s="172" t="e">
        <f>IF(VLOOKUP(T_BilanSocial[[#This Row],[NumL]],T_TraitDi[#Data],COLUMN(T_TraitDi[[#This Row],[Colonne16]]),FALSE)=0,"",TEXT(IFERROR(VLOOKUP(T_BilanSocial[[#This Row],[NumL]],T_TraitDi[#Data],COLUMN(T_TraitDi[[#This Row],[Colonne16]]),FALSE),""),"[hh]:mm"))</f>
        <v>#VALUE!</v>
      </c>
      <c r="AX111" s="172" t="str">
        <f>IFERROR(VLOOKUP(T_BilanSocial[[#This Row],[NumL]],T_TraitDi[#Data],COLUMN(T_TraitDi[[#This Row],[Colonne17]]),FALSE),"")</f>
        <v/>
      </c>
      <c r="AY111" s="172" t="e">
        <f>IF(VLOOKUP(T_BilanSocial[[#This Row],[NumL]],T_TraitDi[#Data],COLUMN(T_TraitDi[[#This Row],[Colonne18]]),FALSE)=0,"",TEXT(IFERROR(VLOOKUP(T_BilanSocial[[#This Row],[NumL]],T_TraitDi[#Data],COLUMN(T_TraitDi[[#This Row],[Colonne18]]),FALSE),""),"[hh]:mm"))</f>
        <v>#VALUE!</v>
      </c>
      <c r="AZ111" s="172" t="e">
        <f>IF(VLOOKUP(T_BilanSocial[[#This Row],[NumL]],T_TraitDi[#Data],COLUMN(T_TraitDi[[#This Row],[Colonne19]]),FALSE)=0,"",TEXT(IFERROR(VLOOKUP(T_BilanSocial[[#This Row],[NumL]],T_TraitDi[#Data],COLUMN(T_TraitDi[[#This Row],[Colonne19]]),FALSE),""),"[hh]:mm"))</f>
        <v>#VALUE!</v>
      </c>
      <c r="BA111" s="172" t="e">
        <f>IF(VLOOKUP(T_BilanSocial[[#This Row],[NumL]],T_TraitDi[#Data],COLUMN(T_TraitDi[[#This Row],[Colonne20]]),FALSE)=0,"",TEXT(IFERROR(VLOOKUP(T_BilanSocial[[#This Row],[NumL]],T_TraitDi[#Data],COLUMN(T_TraitDi[[#This Row],[Colonne20]]),FALSE),""),"[hh]:mm"))</f>
        <v>#VALUE!</v>
      </c>
      <c r="BB111" s="178" t="str">
        <f>IFERROR(VLOOKUP(T_BilanSocial[[#This Row],[NumL]],T_TraitDi[#Data],COLUMN(T_TraitDi[[#This Row],[Jeudi]]),FALSE),"")</f>
        <v/>
      </c>
      <c r="BC111" s="178" t="e">
        <f>IF(VLOOKUP(T_BilanSocial[[#This Row],[NumL]],T_TraitDi[#Data],COLUMN(T_TraitDi[[#This Row],[Colonne21]]),FALSE)=0,"",TEXT(IFERROR(VLOOKUP(T_BilanSocial[[#This Row],[NumL]],T_TraitDi[#Data],COLUMN(T_TraitDi[[#This Row],[Colonne21]]),FALSE),""),"[hh]:mm"))</f>
        <v>#VALUE!</v>
      </c>
      <c r="BD111" s="178" t="e">
        <f>IF(VLOOKUP(T_BilanSocial[[#This Row],[NumL]],T_TraitDi[#Data],COLUMN(T_TraitDi[[#This Row],[Colonne22]]),FALSE)=0,"",TEXT(IFERROR(VLOOKUP(T_BilanSocial[[#This Row],[NumL]],T_TraitDi[#Data],COLUMN(T_TraitDi[[#This Row],[Colonne22]]),FALSE),""),"[hh]:mm"))</f>
        <v>#VALUE!</v>
      </c>
      <c r="BE111" s="178" t="str">
        <f>IFERROR(VLOOKUP(T_BilanSocial[[#This Row],[NumL]],T_TraitDi[#Data],COLUMN(T_TraitDi[[#This Row],[Colonne23]]),FALSE),"")</f>
        <v/>
      </c>
      <c r="BF111" s="178" t="e">
        <f>IF(VLOOKUP(T_BilanSocial[[#This Row],[NumL]],T_TraitDi[#Data],COLUMN(T_TraitDi[[#This Row],[Colonne24]]),FALSE)=0,"",TEXT(IFERROR(VLOOKUP(T_BilanSocial[[#This Row],[NumL]],T_TraitDi[#Data],COLUMN(T_TraitDi[[#This Row],[Colonne24]]),FALSE),""),"[hh]:mm"))</f>
        <v>#VALUE!</v>
      </c>
      <c r="BG111" s="178" t="e">
        <f>IF(VLOOKUP(T_BilanSocial[[#This Row],[NumL]],T_TraitDi[#Data],COLUMN(T_TraitDi[[#This Row],[Colonne25]]),FALSE)=0,"",TEXT(IFERROR(VLOOKUP(T_BilanSocial[[#This Row],[NumL]],T_TraitDi[#Data],COLUMN(T_TraitDi[[#This Row],[Colonne25]]),FALSE),""),"[hh]:mm"))</f>
        <v>#VALUE!</v>
      </c>
      <c r="BH111" s="178" t="e">
        <f>IF(VLOOKUP(T_BilanSocial[[#This Row],[NumL]],T_TraitDi[#Data],COLUMN(T_TraitDi[[#This Row],[Colonne26]]),FALSE)=0,"",TEXT(IFERROR(VLOOKUP(T_BilanSocial[[#This Row],[NumL]],T_TraitDi[#Data],COLUMN(T_TraitDi[[#This Row],[Colonne26]]),FALSE),""),"[hh]:mm"))</f>
        <v>#VALUE!</v>
      </c>
      <c r="BI111" s="172" t="str">
        <f>IFERROR(VLOOKUP(T_BilanSocial[[#This Row],[NumL]],T_TraitDi[#Data],COLUMN(T_TraitDi[[#This Row],[Vendredi]]),FALSE),"")</f>
        <v/>
      </c>
      <c r="BJ111" s="172" t="e">
        <f>IF(VLOOKUP(T_BilanSocial[[#This Row],[NumL]],T_TraitDi[#Data],COLUMN(T_TraitDi[[#This Row],[Colonne27]]),FALSE)=0,"",TEXT(IFERROR(VLOOKUP(T_BilanSocial[[#This Row],[NumL]],T_TraitDi[#Data],COLUMN(T_TraitDi[[#This Row],[Colonne27]]),FALSE),""),"[hh]:mm"))</f>
        <v>#VALUE!</v>
      </c>
      <c r="BK111" s="172" t="e">
        <f>IF(VLOOKUP(T_BilanSocial[[#This Row],[NumL]],T_TraitDi[#Data],COLUMN(T_TraitDi[[#This Row],[Colonne28]]),FALSE)=0,"",TEXT(IFERROR(VLOOKUP(T_BilanSocial[[#This Row],[NumL]],T_TraitDi[#Data],COLUMN(T_TraitDi[[#This Row],[Colonne28]]),FALSE),""),"[hh]:mm"))</f>
        <v>#VALUE!</v>
      </c>
      <c r="BL111" s="172" t="str">
        <f>IFERROR(VLOOKUP(T_BilanSocial[[#This Row],[NumL]],T_TraitDi[#Data],COLUMN(T_TraitDi[[#This Row],[Colonne29]]),FALSE),"")</f>
        <v/>
      </c>
      <c r="BM111" s="172" t="e">
        <f>IF(VLOOKUP(T_BilanSocial[[#This Row],[NumL]],T_TraitDi[#Data],COLUMN(T_TraitDi[[#This Row],[Colonne30]]),FALSE)=0,"",TEXT(IFERROR(VLOOKUP(T_BilanSocial[[#This Row],[NumL]],T_TraitDi[#Data],COLUMN(T_TraitDi[[#This Row],[Colonne30]]),FALSE),""),"[hh]:mm"))</f>
        <v>#VALUE!</v>
      </c>
      <c r="BN111" s="172" t="e">
        <f>IF(VLOOKUP(T_BilanSocial[[#This Row],[NumL]],T_TraitDi[#Data],COLUMN(T_TraitDi[[#This Row],[Colonne31]]),FALSE)=0,"",TEXT(IFERROR(VLOOKUP(T_BilanSocial[[#This Row],[NumL]],T_TraitDi[#Data],COLUMN(T_TraitDi[[#This Row],[Colonne31]]),FALSE),""),"[hh]:mm"))</f>
        <v>#VALUE!</v>
      </c>
      <c r="BO111" s="172" t="e">
        <f>IF(VLOOKUP(T_BilanSocial[[#This Row],[NumL]],T_TraitDi[#Data],COLUMN(T_TraitDi[[#This Row],[Colonne32]]),FALSE)=0,"",TEXT(IFERROR(VLOOKUP(T_BilanSocial[[#This Row],[NumL]],T_TraitDi[#Data],COLUMN(T_TraitDi[[#This Row],[Colonne32]]),FALSE),""),"[hh]:mm"))</f>
        <v>#VALUE!</v>
      </c>
      <c r="BP111" s="172" t="e">
        <f>VLOOKUP(T_BilanSocial[[#This Row],[NumL]],T_TraitDi[#Data],COLUMN(T_TraitDi[NbJTot]),FALSE)</f>
        <v>#N/A</v>
      </c>
      <c r="BQ111" s="174" t="str">
        <f>IFERROR(VLOOKUP(T_BilanSocial[[#This Row],[NumL]],T_TraitDi[#Data],COLUMN(T_TraitDi[[#This Row],[NbJTW]]),FALSE),"")</f>
        <v/>
      </c>
      <c r="BR111" s="174" t="e">
        <f>IF(VLOOKUP(T_BilanSocial[[#This Row],[NumL]],T_TraitDi[#Data],COLUMN(T_TraitDi[[#This Row],[NbhTW]]),FALSE)=0,"",TEXT(IFERROR(VLOOKUP(T_BilanSocial[[#This Row],[NumL]],T_TraitDi[#Data],COLUMN(T_TraitDi[[#This Row],[NbhTW]]),FALSE),""),"[hh]:mm"))</f>
        <v>#VALUE!</v>
      </c>
      <c r="BS111" s="174" t="e">
        <f>IF(VLOOKUP(T_BilanSocial[[#This Row],[NumL]],T_TraitDi[#Data],COLUMN(T_TraitDi[[#This Row],[Nbhheb]]),FALSE)=0,"",TEXT(IFERROR(VLOOKUP($A111,T_TraitDi[#Data],COLUMN(T_TraitDi[[#This Row],[Nbhheb]]),FALSE),""),"[hh]:mm"))</f>
        <v>#VALUE!</v>
      </c>
      <c r="BT111" s="182" t="str">
        <f>IFERROR(VLOOKUP(VLOOKUP($A111,T_TraitDi[#Data],COLUMN(T_TraitDi[[#This Row],[Type1]]),FALSE),TypeTW,2,FALSE),"")</f>
        <v/>
      </c>
      <c r="BU111" s="182" t="str">
        <f>IFERROR(VLOOKUP($A111,T_TraitDi[#Data],COLUMN(T_TraitDi[[#This Row],[Rue1]]),FALSE),"")</f>
        <v/>
      </c>
      <c r="BV111" s="173" t="str">
        <f>IFERROR(VLOOKUP($A111,T_TraitDi[#Data],COLUMN(T_TraitDi[[#This Row],[CP1]]),FALSE),"")</f>
        <v/>
      </c>
      <c r="BW111" s="173" t="str">
        <f>IFERROR(VLOOKUP($A111,T_TraitDi[#Data],COLUMN(T_TraitDi[[#This Row],[VILLE1]]),FALSE),"")</f>
        <v/>
      </c>
      <c r="BX111" s="182" t="str">
        <f>IFERROR(VLOOKUP(VLOOKUP($A111,T_TraitDi[#Data],COLUMN(T_TraitDi[[#This Row],[Type2]]),FALSE),TypeTW,2,FALSE),"")</f>
        <v/>
      </c>
      <c r="BY111" s="182" t="str">
        <f>IFERROR(VLOOKUP($A111,T_TraitDi[#Data],COLUMN(T_TraitDi[[#This Row],[Rue2]]),FALSE),"")</f>
        <v/>
      </c>
      <c r="BZ111" s="173" t="str">
        <f>IFERROR(VLOOKUP($A111,T_TraitDi[#Data],COLUMN(T_TraitDi[[#This Row],[CP2]]),FALSE),"")</f>
        <v/>
      </c>
      <c r="CA111" s="173" t="str">
        <f>IFERROR(VLOOKUP($A111,T_TraitDi[#Data],COLUMN(T_TraitDi[[#This Row],[VILLE2]]),FALSE),"")</f>
        <v/>
      </c>
      <c r="CB111" s="182" t="str">
        <f>IF(VLOOKUP(T_BilanSocial[[#This Row],[NumL]],T_Equipement[#Data],COLUMN(T_Equipement[[#This Row],[PC]]),FALSE)="","Aucun équipement spécifique directement lié au télétravail",VLOOKUP(T_BilanSocial[[#This Row],[NumL]],T_Equipement[#Data],COLUMN(T_Equipement[[#This Row],[PC]]),FALSE))</f>
        <v xml:space="preserve">20-628	</v>
      </c>
      <c r="CC111" s="166" t="str">
        <f>IFERROR(IF(VLOOKUP(T_BilanSocial[[#This Row],[NumL]],T_TraitDi[#Data],COLUMN(T_TraitDi[[#This Row],[Plan]]),FALSE)="OK","Un planning spécifique de télétravail est annexé à la présente convention.",""),"")</f>
        <v/>
      </c>
      <c r="CD111" s="258" t="s">
        <v>3419</v>
      </c>
      <c r="CE111" s="164" t="e">
        <f>IF(VLOOKUP(T_BilanSocial[[#This Row],[NumL]],T_suiviDi[#Data],COLUMN(T_suiviDi[[#This Row],[Entité]]),FALSE)="","",VLOOKUP(T_BilanSocial[[#This Row],[NumL]],T_suiviDi[#Data],COLUMN(T_suiviDi[[#This Row],[Entité]]),FALSE))</f>
        <v>#VALUE!</v>
      </c>
      <c r="CF111" s="164" t="str">
        <f>IF(VLOOKUP(T_BilanSocial[[#This Row],[NumL]],T_Commission[#Data],COLUMN(T_Commission[[#This Row],[envoi confirm TW]]),FALSE)="","",VLOOKUP(T_BilanSocial[[#This Row],[NumL]],T_Commission[#Data],COLUMN(T_Commission[[#This Row],[envoi confirm TW]]),FALSE))</f>
        <v>Oui</v>
      </c>
      <c r="CG11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1" s="262" t="str">
        <f>T_BilanSocial[[#This Row],[Nom]]&amp;T_BilanSocial[[#This Row],[Prenom]]</f>
        <v/>
      </c>
      <c r="CI111" s="262">
        <f>VLOOKUP(T_BilanSocial[[#This Row],[NumL]],T_Commission[#Data],COLUMN(T_Commission[Commentaire]),FALSE)</f>
        <v>0</v>
      </c>
      <c r="CJ111" s="262" t="str">
        <f>IF(VLOOKUP(T_BilanSocial[[#This Row],[NumL]],T_Commission[#Data],COLUMN(T_Commission[Encadrant Email]),FALSE)="","",VLOOKUP(T_BilanSocial[[#This Row],[NumL]],T_Commission[#Data],COLUMN(T_Commission[Encadrant Email]),FALSE))</f>
        <v/>
      </c>
      <c r="CK111" s="340" t="str">
        <f>IF(T_BilanSocial[[#This Row],[Final]]&lt;&gt;"",VLOOKUP(T_BilanSocial[[#This Row],[NumL]],T_suiviDi[#Data],COLUMN((T_suiviDi[Statut])),FALSE),"")</f>
        <v/>
      </c>
    </row>
    <row r="112" spans="1:89" s="106" customFormat="1" ht="24.75" customHeight="1" x14ac:dyDescent="0.25">
      <c r="A112" s="160">
        <v>109</v>
      </c>
      <c r="B112" s="161" t="str">
        <f t="shared" si="10"/>
        <v/>
      </c>
      <c r="C112" s="162" t="s">
        <v>3287</v>
      </c>
      <c r="D112" s="95" t="e">
        <f>IF(VLOOKUP(T_BilanSocial[[#This Row],[NumL]],T_TraitDi[#Data],COLUMN(T_TraitDi[[#This Row],[WebC]]),FALSE)="","",VLOOKUP(T_BilanSocial[[#This Row],[NumL]],T_TraitDi[#Data],COLUMN(T_TraitDi[[#This Row],[WebC]]),FALSE))</f>
        <v>#VALUE!</v>
      </c>
      <c r="E112" s="163" t="str">
        <f t="shared" si="11"/>
        <v>12 janvier 2021</v>
      </c>
      <c r="F112" s="96" t="str">
        <f>IF(T_BilanSocial[[#This Row],[Final]]&lt;&gt;"",VLOOKUP(T_BilanSocial[[#This Row],[NumL]],T_suiviDi[#Data],COLUMN((T_suiviDi[Civ.])),FALSE),"")</f>
        <v/>
      </c>
      <c r="G112" s="96" t="str">
        <f>IF(T_BilanSocial[[#This Row],[Final]]&lt;&gt;"",VLOOKUP(T_BilanSocial[[#This Row],[NumL]],T_suiviDi[#Data],COLUMN((T_suiviDi[Nom])),FALSE),"")</f>
        <v/>
      </c>
      <c r="H112" s="96" t="str">
        <f>IF(T_BilanSocial[[#This Row],[Final]]&lt;&gt;"",VLOOKUP(T_BilanSocial[[#This Row],[NumL]],T_suiviDi[#Data],COLUMN((T_suiviDi[Prénom])),FALSE),"")</f>
        <v/>
      </c>
      <c r="I112" s="96" t="str">
        <f>IFERROR(VLOOKUP(T_BilanSocial[[#This Row],[Zone_Bilan]],T_P_BilanSocial[#Data],COLUMN(T_P_BilanSocial[[#This Row],[Numero_SIHAM]]),FALSE),"")</f>
        <v/>
      </c>
      <c r="J112" s="96" t="str">
        <f>IFERROR(VLOOKUP(T_BilanSocial[[#This Row],[Zone_Bilan]],T_P_BilanSocial[#Data],COLUMN(T_P_BilanSocial[[#This Row],[Sexe]]),FALSE),"")</f>
        <v/>
      </c>
      <c r="K112" s="97" t="str">
        <f>IFERROR(VLOOKUP(T_BilanSocial[[#This Row],[Zone_Bilan]],T_P_BilanSocial[#Data],COLUMN(T_P_BilanSocial[[#This Row],[Categorie]]),FALSE),"")</f>
        <v/>
      </c>
      <c r="L112" s="96" t="str">
        <f>IFERROR(VLOOKUP(T_BilanSocial[[#This Row],[Zone_Bilan]],T_P_BilanSocial[#Data],COLUMN(T_P_BilanSocial[[#This Row],[Statut]]),FALSE),"")</f>
        <v/>
      </c>
      <c r="M112" s="96" t="str">
        <f>IFERROR(VLOOKUP(T_BilanSocial[[#This Row],[Zone_Bilan]],T_P_BilanSocial[#Data],COLUMN(T_P_BilanSocial[[#This Row],[Filiere]]),FALSE),"")</f>
        <v/>
      </c>
      <c r="N112" s="96" t="e">
        <f>VLOOKUP(T_BilanSocial[[#This Row],[NumL]],T_TraitDi[#Data],COLUMN(T_TraitDi[EXP]),FALSE)</f>
        <v>#N/A</v>
      </c>
      <c r="O112" s="96" t="e">
        <f>VLOOKUP(T_BilanSocial[[#This Row],[NumL]],T_TraitDi[#Data],COLUMN(T_TraitDi[FORM]),FALSE)</f>
        <v>#N/A</v>
      </c>
      <c r="P112" s="96" t="str">
        <f>IF(T_BilanSocial[[#This Row],[Final]]&lt;&gt;"",VLOOKUP(T_BilanSocial[[#This Row],[NumL]],T_suiviDi[#Data],COLUMN((T_suiviDi[Email])),FALSE),"")</f>
        <v/>
      </c>
      <c r="Q112" s="164" t="e">
        <f t="shared" si="17"/>
        <v>#N/A</v>
      </c>
      <c r="R112" s="164" t="e">
        <f t="shared" si="18"/>
        <v>#N/A</v>
      </c>
      <c r="S112" s="164" t="e">
        <f>IF(VLOOKUP(T_BilanSocial[[#This Row],[NumL]],T_suiviDi[#Data],COLUMN(T_suiviDi[[#This Row],[Service ]]),FALSE)="","",VLOOKUP(T_BilanSocial[[#This Row],[NumL]],T_suiviDi[#Data],COLUMN(T_suiviDi[[#This Row],[Service ]]),FALSE))</f>
        <v>#VALUE!</v>
      </c>
      <c r="T112" s="164" t="str">
        <f t="shared" si="12"/>
        <v>01 septembre 2021</v>
      </c>
      <c r="U112" s="164" t="str">
        <f t="shared" si="13"/>
        <v>30 novembre 2021</v>
      </c>
      <c r="V112" s="164" t="str">
        <f t="shared" si="21"/>
        <v>30 novembre 2021</v>
      </c>
      <c r="W112" s="176" t="e">
        <f>IF(VLOOKUP(T_BilanSocial[[#This Row],[NumL]],T_TraitDi[#Data],COLUMN(T_TraitDi[[#This Row],[M1]]),FALSE)="","",VLOOKUP(T_BilanSocial[[#This Row],[NumL]],T_TraitDi[#Data],COLUMN(T_TraitDi[[#This Row],[M1]]),FALSE))</f>
        <v>#VALUE!</v>
      </c>
      <c r="X112" s="176" t="e">
        <f>IF(VLOOKUP(T_BilanSocial[[#This Row],[NumL]],T_TraitDi[#Data],COLUMN(T_TraitDi[[#This Row],[M2]]),FALSE)="","",VLOOKUP(T_BilanSocial[[#This Row],[NumL]],T_TraitDi[#Data],COLUMN(T_TraitDi[[#This Row],[M2]]),FALSE))</f>
        <v>#VALUE!</v>
      </c>
      <c r="Y112" s="176" t="e">
        <f>IF(VLOOKUP(T_BilanSocial[[#This Row],[NumL]],T_TraitDi[#Data],COLUMN(T_TraitDi[[#This Row],[M3]]),FALSE)="","",VLOOKUP(T_BilanSocial[[#This Row],[NumL]],T_TraitDi[#Data],COLUMN(T_TraitDi[[#This Row],[M3]]),FALSE))</f>
        <v>#VALUE!</v>
      </c>
      <c r="Z112" s="176" t="str">
        <f t="shared" si="16"/>
        <v/>
      </c>
      <c r="AA112" s="176" t="e">
        <f>IF(VLOOKUP(T_BilanSocial[[#This Row],[NumL]],T_TraitDi[#Data],COLUMN(T_TraitDi[[#This Row],[M5]]),FALSE)="","",VLOOKUP(T_BilanSocial[[#This Row],[NumL]],T_TraitDi[#Data],COLUMN(T_TraitDi[[#This Row],[M5]]),FALSE))</f>
        <v>#VALUE!</v>
      </c>
      <c r="AB112" s="176" t="e">
        <f>IF(VLOOKUP(T_BilanSocial[[#This Row],[NumL]],T_TraitDi[#Data],COLUMN(T_TraitDi[[#This Row],[M6]]),FALSE)="","",VLOOKUP(T_BilanSocial[[#This Row],[NumL]],T_TraitDi[#Data],COLUMN(T_TraitDi[[#This Row],[M6]]),FALSE))</f>
        <v>#VALUE!</v>
      </c>
      <c r="AC112" s="165" t="e">
        <f t="shared" si="15"/>
        <v>#VALUE!</v>
      </c>
      <c r="AD112" s="188" t="str">
        <f>IFERROR(TEXT(VLOOKUP(T_BilanSocial[[#This Row],[NumL]],T_TraitDi[#Data],COLUMN(T_TraitDi[[#This Row],[Q2]]),FALSE),"###%"),"")</f>
        <v/>
      </c>
      <c r="AE112" s="97" t="e">
        <f>VLOOKUP(T_BilanSocial[[#This Row],[NumL]],T_TraitDi[#Data],COLUMN(T_TraitDi[[#This Row],[Reg Ponct]]),FALSE)</f>
        <v>#VALUE!</v>
      </c>
      <c r="AF112" s="97" t="e">
        <f>VLOOKUP(T_BilanSocial[NumL],T_TraitDi[#Data],COLUMN(T_TraitDi[[#This Row],[Jours flottants]]),FALSE)</f>
        <v>#VALUE!</v>
      </c>
      <c r="AG112" s="97" t="str">
        <f>IFERROR(VLOOKUP(T_BilanSocial[[#This Row],[NumL]],T_TraitDi[#Data],COLUMN(T_TraitDi[[#This Row],[Lundi]]),FALSE),"")</f>
        <v/>
      </c>
      <c r="AH112" s="172" t="e">
        <f>IF(VLOOKUP(T_BilanSocial[[#This Row],[NumL]],T_TraitDi[#Data],COLUMN(T_TraitDi[[#This Row],[Colonne3]]),FALSE)=0,"",TEXT(IFERROR(VLOOKUP(T_BilanSocial[[#This Row],[NumL]],T_TraitDi[#Data],COLUMN(T_TraitDi[[#This Row],[Colonne3]]),FALSE),""),"[hh]:mm"))</f>
        <v>#VALUE!</v>
      </c>
      <c r="AI112" s="172" t="e">
        <f>IF(VLOOKUP(T_BilanSocial[[#This Row],[NumL]],T_TraitDi[#Data],COLUMN(T_TraitDi[[#This Row],[Colonne4]]),FALSE)=0,"",TEXT(IFERROR(VLOOKUP(T_BilanSocial[[#This Row],[NumL]],T_TraitDi[#Data],COLUMN(T_TraitDi[[#This Row],[Colonne4]]),FALSE),""),"[hh]:mm"))</f>
        <v>#VALUE!</v>
      </c>
      <c r="AJ112" s="172" t="e">
        <f>IF(VLOOKUP(T_BilanSocial[[#This Row],[NumL]],T_TraitDi[#Data],COLUMN(T_TraitDi[[#This Row],[Colonne5]]),FALSE)=0,"",TEXT(IFERROR(VLOOKUP(T_BilanSocial[[#This Row],[NumL]],T_TraitDi[#Data],COLUMN(T_TraitDi[[#This Row],[Colonne5]]),FALSE),""),"[hh]:mm"))</f>
        <v>#VALUE!</v>
      </c>
      <c r="AK112" s="172" t="e">
        <f>IF(VLOOKUP(T_BilanSocial[[#This Row],[NumL]],T_TraitDi[#Data],COLUMN(T_TraitDi[[#This Row],[Colonne6]]),FALSE)=0,"",TEXT(IFERROR(VLOOKUP(T_BilanSocial[[#This Row],[NumL]],T_TraitDi[#Data],COLUMN(T_TraitDi[[#This Row],[Colonne6]]),FALSE),""),"[hh]:mm"))</f>
        <v>#VALUE!</v>
      </c>
      <c r="AL112" s="172" t="e">
        <f>IF(VLOOKUP(T_BilanSocial[[#This Row],[NumL]],T_TraitDi[#Data],COLUMN(T_TraitDi[[#This Row],[Colonne7]]),FALSE)=0,"",TEXT(IFERROR(VLOOKUP(T_BilanSocial[[#This Row],[NumL]],T_TraitDi[#Data],COLUMN(T_TraitDi[[#This Row],[Colonne7]]),FALSE),""),"[hh]:mm"))</f>
        <v>#VALUE!</v>
      </c>
      <c r="AM112" s="172" t="e">
        <f>IF(VLOOKUP(T_BilanSocial[[#This Row],[NumL]],T_TraitDi[#Data],COLUMN(T_TraitDi[[#This Row],[Colonne8]]),FALSE)=0,"",TEXT(IFERROR(VLOOKUP(T_BilanSocial[[#This Row],[NumL]],T_TraitDi[#Data],COLUMN(T_TraitDi[[#This Row],[Colonne8]]),FALSE),""),"[hh]:mm"))</f>
        <v>#VALUE!</v>
      </c>
      <c r="AN112" s="172" t="str">
        <f>IFERROR(VLOOKUP(T_BilanSocial[[#This Row],[NumL]],T_TraitDi[#Data],COLUMN(T_TraitDi[[#This Row],[Mardi]]),FALSE),"")</f>
        <v/>
      </c>
      <c r="AO112" s="172" t="e">
        <f>IF(VLOOKUP(T_BilanSocial[[#This Row],[NumL]],T_TraitDi[#Data],COLUMN(T_TraitDi[[#This Row],[Colonne1]]),FALSE)=0,"",TEXT(IFERROR(VLOOKUP(T_BilanSocial[[#This Row],[NumL]],T_TraitDi[#Data],COLUMN(T_TraitDi[[#This Row],[Colonne1]]),FALSE),""),"[hh]:mm"))</f>
        <v>#VALUE!</v>
      </c>
      <c r="AP112" s="172" t="e">
        <f>IF(VLOOKUP(T_BilanSocial[[#This Row],[NumL]],T_TraitDi[#Data],COLUMN(T_TraitDi[[#This Row],[Colonne9]]),FALSE)=0,"",TEXT(IFERROR(VLOOKUP(T_BilanSocial[[#This Row],[NumL]],T_TraitDi[#Data],COLUMN(T_TraitDi[[#This Row],[Colonne9]]),FALSE),""),"[hh]:mm"))</f>
        <v>#VALUE!</v>
      </c>
      <c r="AQ112" s="172" t="str">
        <f>IFERROR(VLOOKUP(T_BilanSocial[[#This Row],[NumL]],T_TraitDi[#Data],COLUMN(T_TraitDi[[#This Row],[Colonne10]]),FALSE),"")</f>
        <v/>
      </c>
      <c r="AR112" s="172" t="e">
        <f>IF(VLOOKUP(T_BilanSocial[[#This Row],[NumL]],T_TraitDi[#Data],COLUMN(T_TraitDi[[#This Row],[Colonne11]]),FALSE)=0,"",TEXT(IFERROR(VLOOKUP(T_BilanSocial[[#This Row],[NumL]],T_TraitDi[#Data],COLUMN(T_TraitDi[[#This Row],[Colonne11]]),FALSE),""),"[hh]:mm"))</f>
        <v>#VALUE!</v>
      </c>
      <c r="AS112" s="172" t="e">
        <f>IF(VLOOKUP(T_BilanSocial[[#This Row],[NumL]],T_TraitDi[#Data],COLUMN(T_TraitDi[[#This Row],[Colonne12]]),FALSE)=0,"",TEXT(IFERROR(VLOOKUP(T_BilanSocial[[#This Row],[NumL]],T_TraitDi[#Data],COLUMN(T_TraitDi[[#This Row],[Colonne12]]),FALSE),""),"[hh]:mm"))</f>
        <v>#VALUE!</v>
      </c>
      <c r="AT112" s="172" t="e">
        <f>IF(VLOOKUP(T_BilanSocial[[#This Row],[NumL]],T_TraitDi[#Data],COLUMN(T_TraitDi[[#This Row],[Colonne14]]),FALSE)=0,"",TEXT(IFERROR(VLOOKUP(T_BilanSocial[[#This Row],[NumL]],T_TraitDi[#Data],COLUMN(T_TraitDi[[#This Row],[Colonne14]]),FALSE),""),"[hh]:mm"))</f>
        <v>#VALUE!</v>
      </c>
      <c r="AU112" s="172" t="str">
        <f>IFERROR(VLOOKUP(T_BilanSocial[[#This Row],[NumL]],T_TraitDi[#Data],COLUMN(T_TraitDi[[#This Row],[Mercredi]]),FALSE),"")</f>
        <v/>
      </c>
      <c r="AV112" s="172" t="e">
        <f>IF(VLOOKUP(T_BilanSocial[[#This Row],[NumL]],T_TraitDi[#Data],COLUMN(T_TraitDi[[#This Row],[Colonne15]]),FALSE)=0,"",TEXT(IFERROR(VLOOKUP(T_BilanSocial[[#This Row],[NumL]],T_TraitDi[#Data],COLUMN(T_TraitDi[[#This Row],[Colonne15]]),FALSE),""),"[hh]:mm"))</f>
        <v>#VALUE!</v>
      </c>
      <c r="AW112" s="172" t="e">
        <f>IF(VLOOKUP(T_BilanSocial[[#This Row],[NumL]],T_TraitDi[#Data],COLUMN(T_TraitDi[[#This Row],[Colonne16]]),FALSE)=0,"",TEXT(IFERROR(VLOOKUP(T_BilanSocial[[#This Row],[NumL]],T_TraitDi[#Data],COLUMN(T_TraitDi[[#This Row],[Colonne16]]),FALSE),""),"[hh]:mm"))</f>
        <v>#VALUE!</v>
      </c>
      <c r="AX112" s="172" t="str">
        <f>IFERROR(VLOOKUP(T_BilanSocial[[#This Row],[NumL]],T_TraitDi[#Data],COLUMN(T_TraitDi[[#This Row],[Colonne17]]),FALSE),"")</f>
        <v/>
      </c>
      <c r="AY112" s="172" t="e">
        <f>IF(VLOOKUP(T_BilanSocial[[#This Row],[NumL]],T_TraitDi[#Data],COLUMN(T_TraitDi[[#This Row],[Colonne18]]),FALSE)=0,"",TEXT(IFERROR(VLOOKUP(T_BilanSocial[[#This Row],[NumL]],T_TraitDi[#Data],COLUMN(T_TraitDi[[#This Row],[Colonne18]]),FALSE),""),"[hh]:mm"))</f>
        <v>#VALUE!</v>
      </c>
      <c r="AZ112" s="172" t="e">
        <f>IF(VLOOKUP(T_BilanSocial[[#This Row],[NumL]],T_TraitDi[#Data],COLUMN(T_TraitDi[[#This Row],[Colonne19]]),FALSE)=0,"",TEXT(IFERROR(VLOOKUP(T_BilanSocial[[#This Row],[NumL]],T_TraitDi[#Data],COLUMN(T_TraitDi[[#This Row],[Colonne19]]),FALSE),""),"[hh]:mm"))</f>
        <v>#VALUE!</v>
      </c>
      <c r="BA112" s="172" t="e">
        <f>IF(VLOOKUP(T_BilanSocial[[#This Row],[NumL]],T_TraitDi[#Data],COLUMN(T_TraitDi[[#This Row],[Colonne20]]),FALSE)=0,"",TEXT(IFERROR(VLOOKUP(T_BilanSocial[[#This Row],[NumL]],T_TraitDi[#Data],COLUMN(T_TraitDi[[#This Row],[Colonne20]]),FALSE),""),"[hh]:mm"))</f>
        <v>#VALUE!</v>
      </c>
      <c r="BB112" s="178" t="str">
        <f>IFERROR(VLOOKUP(T_BilanSocial[[#This Row],[NumL]],T_TraitDi[#Data],COLUMN(T_TraitDi[[#This Row],[Jeudi]]),FALSE),"")</f>
        <v/>
      </c>
      <c r="BC112" s="178" t="e">
        <f>IF(VLOOKUP(T_BilanSocial[[#This Row],[NumL]],T_TraitDi[#Data],COLUMN(T_TraitDi[[#This Row],[Colonne21]]),FALSE)=0,"",TEXT(IFERROR(VLOOKUP(T_BilanSocial[[#This Row],[NumL]],T_TraitDi[#Data],COLUMN(T_TraitDi[[#This Row],[Colonne21]]),FALSE),""),"[hh]:mm"))</f>
        <v>#VALUE!</v>
      </c>
      <c r="BD112" s="178" t="e">
        <f>IF(VLOOKUP(T_BilanSocial[[#This Row],[NumL]],T_TraitDi[#Data],COLUMN(T_TraitDi[[#This Row],[Colonne22]]),FALSE)=0,"",TEXT(IFERROR(VLOOKUP(T_BilanSocial[[#This Row],[NumL]],T_TraitDi[#Data],COLUMN(T_TraitDi[[#This Row],[Colonne22]]),FALSE),""),"[hh]:mm"))</f>
        <v>#VALUE!</v>
      </c>
      <c r="BE112" s="178" t="str">
        <f>IFERROR(VLOOKUP(T_BilanSocial[[#This Row],[NumL]],T_TraitDi[#Data],COLUMN(T_TraitDi[[#This Row],[Colonne23]]),FALSE),"")</f>
        <v/>
      </c>
      <c r="BF112" s="178" t="e">
        <f>IF(VLOOKUP(T_BilanSocial[[#This Row],[NumL]],T_TraitDi[#Data],COLUMN(T_TraitDi[[#This Row],[Colonne24]]),FALSE)=0,"",TEXT(IFERROR(VLOOKUP(T_BilanSocial[[#This Row],[NumL]],T_TraitDi[#Data],COLUMN(T_TraitDi[[#This Row],[Colonne24]]),FALSE),""),"[hh]:mm"))</f>
        <v>#VALUE!</v>
      </c>
      <c r="BG112" s="178" t="e">
        <f>IF(VLOOKUP(T_BilanSocial[[#This Row],[NumL]],T_TraitDi[#Data],COLUMN(T_TraitDi[[#This Row],[Colonne25]]),FALSE)=0,"",TEXT(IFERROR(VLOOKUP(T_BilanSocial[[#This Row],[NumL]],T_TraitDi[#Data],COLUMN(T_TraitDi[[#This Row],[Colonne25]]),FALSE),""),"[hh]:mm"))</f>
        <v>#VALUE!</v>
      </c>
      <c r="BH112" s="178" t="e">
        <f>IF(VLOOKUP(T_BilanSocial[[#This Row],[NumL]],T_TraitDi[#Data],COLUMN(T_TraitDi[[#This Row],[Colonne26]]),FALSE)=0,"",TEXT(IFERROR(VLOOKUP(T_BilanSocial[[#This Row],[NumL]],T_TraitDi[#Data],COLUMN(T_TraitDi[[#This Row],[Colonne26]]),FALSE),""),"[hh]:mm"))</f>
        <v>#VALUE!</v>
      </c>
      <c r="BI112" s="172" t="str">
        <f>IFERROR(VLOOKUP(T_BilanSocial[[#This Row],[NumL]],T_TraitDi[#Data],COLUMN(T_TraitDi[[#This Row],[Vendredi]]),FALSE),"")</f>
        <v/>
      </c>
      <c r="BJ112" s="172" t="e">
        <f>IF(VLOOKUP(T_BilanSocial[[#This Row],[NumL]],T_TraitDi[#Data],COLUMN(T_TraitDi[[#This Row],[Colonne27]]),FALSE)=0,"",TEXT(IFERROR(VLOOKUP(T_BilanSocial[[#This Row],[NumL]],T_TraitDi[#Data],COLUMN(T_TraitDi[[#This Row],[Colonne27]]),FALSE),""),"[hh]:mm"))</f>
        <v>#VALUE!</v>
      </c>
      <c r="BK112" s="172" t="e">
        <f>IF(VLOOKUP(T_BilanSocial[[#This Row],[NumL]],T_TraitDi[#Data],COLUMN(T_TraitDi[[#This Row],[Colonne28]]),FALSE)=0,"",TEXT(IFERROR(VLOOKUP(T_BilanSocial[[#This Row],[NumL]],T_TraitDi[#Data],COLUMN(T_TraitDi[[#This Row],[Colonne28]]),FALSE),""),"[hh]:mm"))</f>
        <v>#VALUE!</v>
      </c>
      <c r="BL112" s="172" t="str">
        <f>IFERROR(VLOOKUP(T_BilanSocial[[#This Row],[NumL]],T_TraitDi[#Data],COLUMN(T_TraitDi[[#This Row],[Colonne29]]),FALSE),"")</f>
        <v/>
      </c>
      <c r="BM112" s="172" t="e">
        <f>IF(VLOOKUP(T_BilanSocial[[#This Row],[NumL]],T_TraitDi[#Data],COLUMN(T_TraitDi[[#This Row],[Colonne30]]),FALSE)=0,"",TEXT(IFERROR(VLOOKUP(T_BilanSocial[[#This Row],[NumL]],T_TraitDi[#Data],COLUMN(T_TraitDi[[#This Row],[Colonne30]]),FALSE),""),"[hh]:mm"))</f>
        <v>#VALUE!</v>
      </c>
      <c r="BN112" s="172" t="e">
        <f>IF(VLOOKUP(T_BilanSocial[[#This Row],[NumL]],T_TraitDi[#Data],COLUMN(T_TraitDi[[#This Row],[Colonne31]]),FALSE)=0,"",TEXT(IFERROR(VLOOKUP(T_BilanSocial[[#This Row],[NumL]],T_TraitDi[#Data],COLUMN(T_TraitDi[[#This Row],[Colonne31]]),FALSE),""),"[hh]:mm"))</f>
        <v>#VALUE!</v>
      </c>
      <c r="BO112" s="172" t="e">
        <f>IF(VLOOKUP(T_BilanSocial[[#This Row],[NumL]],T_TraitDi[#Data],COLUMN(T_TraitDi[[#This Row],[Colonne32]]),FALSE)=0,"",TEXT(IFERROR(VLOOKUP(T_BilanSocial[[#This Row],[NumL]],T_TraitDi[#Data],COLUMN(T_TraitDi[[#This Row],[Colonne32]]),FALSE),""),"[hh]:mm"))</f>
        <v>#VALUE!</v>
      </c>
      <c r="BP112" s="172" t="e">
        <f>VLOOKUP(T_BilanSocial[[#This Row],[NumL]],T_TraitDi[#Data],COLUMN(T_TraitDi[NbJTot]),FALSE)</f>
        <v>#N/A</v>
      </c>
      <c r="BQ112" s="174" t="str">
        <f>IFERROR(VLOOKUP(T_BilanSocial[[#This Row],[NumL]],T_TraitDi[#Data],COLUMN(T_TraitDi[[#This Row],[NbJTW]]),FALSE),"")</f>
        <v/>
      </c>
      <c r="BR112" s="174" t="e">
        <f>IF(VLOOKUP(T_BilanSocial[[#This Row],[NumL]],T_TraitDi[#Data],COLUMN(T_TraitDi[[#This Row],[NbhTW]]),FALSE)=0,"",TEXT(IFERROR(VLOOKUP(T_BilanSocial[[#This Row],[NumL]],T_TraitDi[#Data],COLUMN(T_TraitDi[[#This Row],[NbhTW]]),FALSE),""),"[hh]:mm"))</f>
        <v>#VALUE!</v>
      </c>
      <c r="BS112" s="174" t="e">
        <f>IF(VLOOKUP(T_BilanSocial[[#This Row],[NumL]],T_TraitDi[#Data],COLUMN(T_TraitDi[[#This Row],[Nbhheb]]),FALSE)=0,"",TEXT(IFERROR(VLOOKUP($A112,T_TraitDi[#Data],COLUMN(T_TraitDi[[#This Row],[Nbhheb]]),FALSE),""),"[hh]:mm"))</f>
        <v>#VALUE!</v>
      </c>
      <c r="BT112" s="182" t="str">
        <f>IFERROR(VLOOKUP(VLOOKUP($A112,T_TraitDi[#Data],COLUMN(T_TraitDi[[#This Row],[Type1]]),FALSE),TypeTW,2,FALSE),"")</f>
        <v/>
      </c>
      <c r="BU112" s="182" t="str">
        <f>IFERROR(VLOOKUP($A112,T_TraitDi[#Data],COLUMN(T_TraitDi[[#This Row],[Rue1]]),FALSE),"")</f>
        <v/>
      </c>
      <c r="BV112" s="173" t="str">
        <f>IFERROR(VLOOKUP($A112,T_TraitDi[#Data],COLUMN(T_TraitDi[[#This Row],[CP1]]),FALSE),"")</f>
        <v/>
      </c>
      <c r="BW112" s="173" t="str">
        <f>IFERROR(VLOOKUP($A112,T_TraitDi[#Data],COLUMN(T_TraitDi[[#This Row],[VILLE1]]),FALSE),"")</f>
        <v/>
      </c>
      <c r="BX112" s="182" t="str">
        <f>IFERROR(VLOOKUP(VLOOKUP($A112,T_TraitDi[#Data],COLUMN(T_TraitDi[[#This Row],[Type2]]),FALSE),TypeTW,2,FALSE),"")</f>
        <v/>
      </c>
      <c r="BY112" s="182" t="str">
        <f>IFERROR(VLOOKUP($A112,T_TraitDi[#Data],COLUMN(T_TraitDi[[#This Row],[Rue2]]),FALSE),"")</f>
        <v/>
      </c>
      <c r="BZ112" s="173" t="str">
        <f>IFERROR(VLOOKUP($A112,T_TraitDi[#Data],COLUMN(T_TraitDi[[#This Row],[CP2]]),FALSE),"")</f>
        <v/>
      </c>
      <c r="CA112" s="173" t="str">
        <f>IFERROR(VLOOKUP($A112,T_TraitDi[#Data],COLUMN(T_TraitDi[[#This Row],[VILLE2]]),FALSE),"")</f>
        <v/>
      </c>
      <c r="CB112" s="182" t="str">
        <f>IF(VLOOKUP(T_BilanSocial[[#This Row],[NumL]],T_Equipement[#Data],COLUMN(T_Equipement[[#This Row],[PC]]),FALSE)="","Aucun équipement spécifique directement lié au télétravail",VLOOKUP(T_BilanSocial[[#This Row],[NumL]],T_Equipement[#Data],COLUMN(T_Equipement[[#This Row],[PC]]),FALSE))</f>
        <v xml:space="preserve">16-086	</v>
      </c>
      <c r="CC112" s="166" t="str">
        <f>IFERROR(IF(VLOOKUP(T_BilanSocial[[#This Row],[NumL]],T_TraitDi[#Data],COLUMN(T_TraitDi[[#This Row],[Plan]]),FALSE)="OK","Un planning spécifique de télétravail est annexé à la présente convention.",""),"")</f>
        <v/>
      </c>
      <c r="CD112" s="185"/>
      <c r="CE112" s="164" t="e">
        <f>IF(VLOOKUP(T_BilanSocial[[#This Row],[NumL]],T_suiviDi[#Data],COLUMN(T_suiviDi[[#This Row],[Entité]]),FALSE)="","",VLOOKUP(T_BilanSocial[[#This Row],[NumL]],T_suiviDi[#Data],COLUMN(T_suiviDi[[#This Row],[Entité]]),FALSE))</f>
        <v>#VALUE!</v>
      </c>
      <c r="CF112" s="164" t="str">
        <f>IF(VLOOKUP(T_BilanSocial[[#This Row],[NumL]],T_Commission[#Data],COLUMN(T_Commission[[#This Row],[envoi confirm TW]]),FALSE)="","",VLOOKUP(T_BilanSocial[[#This Row],[NumL]],T_Commission[#Data],COLUMN(T_Commission[[#This Row],[envoi confirm TW]]),FALSE))</f>
        <v>Oui</v>
      </c>
      <c r="CG11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2" s="262" t="str">
        <f>T_BilanSocial[[#This Row],[Nom]]&amp;T_BilanSocial[[#This Row],[Prenom]]</f>
        <v/>
      </c>
      <c r="CI112" s="262">
        <f>VLOOKUP(T_BilanSocial[[#This Row],[NumL]],T_Commission[#Data],COLUMN(T_Commission[Commentaire]),FALSE)</f>
        <v>0</v>
      </c>
      <c r="CJ112" s="262" t="str">
        <f>IF(VLOOKUP(T_BilanSocial[[#This Row],[NumL]],T_Commission[#Data],COLUMN(T_Commission[Encadrant Email]),FALSE)="","",VLOOKUP(T_BilanSocial[[#This Row],[NumL]],T_Commission[#Data],COLUMN(T_Commission[Encadrant Email]),FALSE))</f>
        <v/>
      </c>
      <c r="CK112" s="340" t="str">
        <f>IF(T_BilanSocial[[#This Row],[Final]]&lt;&gt;"",VLOOKUP(T_BilanSocial[[#This Row],[NumL]],T_suiviDi[#Data],COLUMN((T_suiviDi[Statut])),FALSE),"")</f>
        <v/>
      </c>
    </row>
    <row r="113" spans="1:89" s="106" customFormat="1" ht="24.75" customHeight="1" x14ac:dyDescent="0.25">
      <c r="A113" s="160">
        <v>110</v>
      </c>
      <c r="B113" s="161" t="str">
        <f t="shared" si="10"/>
        <v/>
      </c>
      <c r="C113" s="162" t="s">
        <v>173</v>
      </c>
      <c r="D113" s="95" t="e">
        <f>IF(VLOOKUP(T_BilanSocial[[#This Row],[NumL]],T_TraitDi[#Data],COLUMN(T_TraitDi[[#This Row],[WebC]]),FALSE)="","",VLOOKUP(T_BilanSocial[[#This Row],[NumL]],T_TraitDi[#Data],COLUMN(T_TraitDi[[#This Row],[WebC]]),FALSE))</f>
        <v>#VALUE!</v>
      </c>
      <c r="E113" s="163" t="str">
        <f t="shared" si="11"/>
        <v>12 janvier 2021</v>
      </c>
      <c r="F113" s="96" t="str">
        <f>IF(T_BilanSocial[[#This Row],[Final]]&lt;&gt;"",VLOOKUP(T_BilanSocial[[#This Row],[NumL]],T_suiviDi[#Data],COLUMN((T_suiviDi[Civ.])),FALSE),"")</f>
        <v/>
      </c>
      <c r="G113" s="96" t="str">
        <f>IF(T_BilanSocial[[#This Row],[Final]]&lt;&gt;"",VLOOKUP(T_BilanSocial[[#This Row],[NumL]],T_suiviDi[#Data],COLUMN((T_suiviDi[Nom])),FALSE),"")</f>
        <v/>
      </c>
      <c r="H113" s="96" t="str">
        <f>IF(T_BilanSocial[[#This Row],[Final]]&lt;&gt;"",VLOOKUP(T_BilanSocial[[#This Row],[NumL]],T_suiviDi[#Data],COLUMN((T_suiviDi[Prénom])),FALSE),"")</f>
        <v/>
      </c>
      <c r="I113" s="96" t="str">
        <f>IFERROR(VLOOKUP(T_BilanSocial[[#This Row],[Zone_Bilan]],T_P_BilanSocial[#Data],COLUMN(T_P_BilanSocial[[#This Row],[Numero_SIHAM]]),FALSE),"")</f>
        <v/>
      </c>
      <c r="J113" s="96" t="str">
        <f>IFERROR(VLOOKUP(T_BilanSocial[[#This Row],[Zone_Bilan]],T_P_BilanSocial[#Data],COLUMN(T_P_BilanSocial[[#This Row],[Sexe]]),FALSE),"")</f>
        <v/>
      </c>
      <c r="K113" s="97" t="str">
        <f>IFERROR(VLOOKUP(T_BilanSocial[[#This Row],[Zone_Bilan]],T_P_BilanSocial[#Data],COLUMN(T_P_BilanSocial[[#This Row],[Categorie]]),FALSE),"")</f>
        <v/>
      </c>
      <c r="L113" s="96" t="str">
        <f>IFERROR(VLOOKUP(T_BilanSocial[[#This Row],[Zone_Bilan]],T_P_BilanSocial[#Data],COLUMN(T_P_BilanSocial[[#This Row],[Statut]]),FALSE),"")</f>
        <v/>
      </c>
      <c r="M113" s="96" t="str">
        <f>IFERROR(VLOOKUP(T_BilanSocial[[#This Row],[Zone_Bilan]],T_P_BilanSocial[#Data],COLUMN(T_P_BilanSocial[[#This Row],[Filiere]]),FALSE),"")</f>
        <v/>
      </c>
      <c r="N113" s="96" t="e">
        <f>VLOOKUP(T_BilanSocial[[#This Row],[NumL]],T_TraitDi[#Data],COLUMN(T_TraitDi[EXP]),FALSE)</f>
        <v>#N/A</v>
      </c>
      <c r="O113" s="96" t="e">
        <f>VLOOKUP(T_BilanSocial[[#This Row],[NumL]],T_TraitDi[#Data],COLUMN(T_TraitDi[FORM]),FALSE)</f>
        <v>#N/A</v>
      </c>
      <c r="P113" s="96" t="str">
        <f>IF(T_BilanSocial[[#This Row],[Final]]&lt;&gt;"",VLOOKUP(T_BilanSocial[[#This Row],[NumL]],T_suiviDi[#Data],COLUMN((T_suiviDi[Email])),FALSE),"")</f>
        <v/>
      </c>
      <c r="Q113" s="164" t="e">
        <f t="shared" si="17"/>
        <v>#N/A</v>
      </c>
      <c r="R113" s="164" t="e">
        <f t="shared" si="18"/>
        <v>#N/A</v>
      </c>
      <c r="S113" s="164" t="e">
        <f>IF(VLOOKUP(T_BilanSocial[[#This Row],[NumL]],T_suiviDi[#Data],COLUMN(T_suiviDi[[#This Row],[Service ]]),FALSE)="","",VLOOKUP(T_BilanSocial[[#This Row],[NumL]],T_suiviDi[#Data],COLUMN(T_suiviDi[[#This Row],[Service ]]),FALSE))</f>
        <v>#VALUE!</v>
      </c>
      <c r="T113" s="164" t="str">
        <f t="shared" si="12"/>
        <v>01 septembre 2021</v>
      </c>
      <c r="U113" s="164" t="str">
        <f t="shared" si="13"/>
        <v>30 novembre 2021</v>
      </c>
      <c r="V113" s="164" t="str">
        <f t="shared" si="21"/>
        <v>30 novembre 2021</v>
      </c>
      <c r="W113" s="176" t="e">
        <f>IF(VLOOKUP(T_BilanSocial[[#This Row],[NumL]],T_TraitDi[#Data],COLUMN(T_TraitDi[[#This Row],[M1]]),FALSE)="","",VLOOKUP(T_BilanSocial[[#This Row],[NumL]],T_TraitDi[#Data],COLUMN(T_TraitDi[[#This Row],[M1]]),FALSE))</f>
        <v>#VALUE!</v>
      </c>
      <c r="X113" s="176" t="e">
        <f>IF(VLOOKUP(T_BilanSocial[[#This Row],[NumL]],T_TraitDi[#Data],COLUMN(T_TraitDi[[#This Row],[M2]]),FALSE)="","",VLOOKUP(T_BilanSocial[[#This Row],[NumL]],T_TraitDi[#Data],COLUMN(T_TraitDi[[#This Row],[M2]]),FALSE))</f>
        <v>#VALUE!</v>
      </c>
      <c r="Y113" s="176" t="e">
        <f>IF(VLOOKUP(T_BilanSocial[[#This Row],[NumL]],T_TraitDi[#Data],COLUMN(T_TraitDi[[#This Row],[M3]]),FALSE)="","",VLOOKUP(T_BilanSocial[[#This Row],[NumL]],T_TraitDi[#Data],COLUMN(T_TraitDi[[#This Row],[M3]]),FALSE))</f>
        <v>#VALUE!</v>
      </c>
      <c r="Z113" s="176" t="str">
        <f t="shared" si="16"/>
        <v/>
      </c>
      <c r="AA113" s="176" t="e">
        <f>IF(VLOOKUP(T_BilanSocial[[#This Row],[NumL]],T_TraitDi[#Data],COLUMN(T_TraitDi[[#This Row],[M5]]),FALSE)="","",VLOOKUP(T_BilanSocial[[#This Row],[NumL]],T_TraitDi[#Data],COLUMN(T_TraitDi[[#This Row],[M5]]),FALSE))</f>
        <v>#VALUE!</v>
      </c>
      <c r="AB113" s="176" t="e">
        <f>IF(VLOOKUP(T_BilanSocial[[#This Row],[NumL]],T_TraitDi[#Data],COLUMN(T_TraitDi[[#This Row],[M6]]),FALSE)="","",VLOOKUP(T_BilanSocial[[#This Row],[NumL]],T_TraitDi[#Data],COLUMN(T_TraitDi[[#This Row],[M6]]),FALSE))</f>
        <v>#VALUE!</v>
      </c>
      <c r="AC113" s="165" t="e">
        <f t="shared" si="15"/>
        <v>#VALUE!</v>
      </c>
      <c r="AD113" s="188" t="str">
        <f>IFERROR(TEXT(VLOOKUP(T_BilanSocial[[#This Row],[NumL]],T_TraitDi[#Data],COLUMN(T_TraitDi[[#This Row],[Q2]]),FALSE),"###%"),"")</f>
        <v/>
      </c>
      <c r="AE113" s="97" t="e">
        <f>VLOOKUP(T_BilanSocial[[#This Row],[NumL]],T_TraitDi[#Data],COLUMN(T_TraitDi[[#This Row],[Reg Ponct]]),FALSE)</f>
        <v>#VALUE!</v>
      </c>
      <c r="AF113" s="97" t="e">
        <f>VLOOKUP(T_BilanSocial[NumL],T_TraitDi[#Data],COLUMN(T_TraitDi[[#This Row],[Jours flottants]]),FALSE)</f>
        <v>#VALUE!</v>
      </c>
      <c r="AG113" s="97" t="str">
        <f>IFERROR(VLOOKUP(T_BilanSocial[[#This Row],[NumL]],T_TraitDi[#Data],COLUMN(T_TraitDi[[#This Row],[Lundi]]),FALSE),"")</f>
        <v/>
      </c>
      <c r="AH113" s="172" t="e">
        <f>IF(VLOOKUP(T_BilanSocial[[#This Row],[NumL]],T_TraitDi[#Data],COLUMN(T_TraitDi[[#This Row],[Colonne3]]),FALSE)=0,"",TEXT(IFERROR(VLOOKUP(T_BilanSocial[[#This Row],[NumL]],T_TraitDi[#Data],COLUMN(T_TraitDi[[#This Row],[Colonne3]]),FALSE),""),"[hh]:mm"))</f>
        <v>#VALUE!</v>
      </c>
      <c r="AI113" s="172" t="e">
        <f>IF(VLOOKUP(T_BilanSocial[[#This Row],[NumL]],T_TraitDi[#Data],COLUMN(T_TraitDi[[#This Row],[Colonne4]]),FALSE)=0,"",TEXT(IFERROR(VLOOKUP(T_BilanSocial[[#This Row],[NumL]],T_TraitDi[#Data],COLUMN(T_TraitDi[[#This Row],[Colonne4]]),FALSE),""),"[hh]:mm"))</f>
        <v>#VALUE!</v>
      </c>
      <c r="AJ113" s="172" t="e">
        <f>IF(VLOOKUP(T_BilanSocial[[#This Row],[NumL]],T_TraitDi[#Data],COLUMN(T_TraitDi[[#This Row],[Colonne5]]),FALSE)=0,"",TEXT(IFERROR(VLOOKUP(T_BilanSocial[[#This Row],[NumL]],T_TraitDi[#Data],COLUMN(T_TraitDi[[#This Row],[Colonne5]]),FALSE),""),"[hh]:mm"))</f>
        <v>#VALUE!</v>
      </c>
      <c r="AK113" s="172" t="e">
        <f>IF(VLOOKUP(T_BilanSocial[[#This Row],[NumL]],T_TraitDi[#Data],COLUMN(T_TraitDi[[#This Row],[Colonne6]]),FALSE)=0,"",TEXT(IFERROR(VLOOKUP(T_BilanSocial[[#This Row],[NumL]],T_TraitDi[#Data],COLUMN(T_TraitDi[[#This Row],[Colonne6]]),FALSE),""),"[hh]:mm"))</f>
        <v>#VALUE!</v>
      </c>
      <c r="AL113" s="172" t="e">
        <f>IF(VLOOKUP(T_BilanSocial[[#This Row],[NumL]],T_TraitDi[#Data],COLUMN(T_TraitDi[[#This Row],[Colonne7]]),FALSE)=0,"",TEXT(IFERROR(VLOOKUP(T_BilanSocial[[#This Row],[NumL]],T_TraitDi[#Data],COLUMN(T_TraitDi[[#This Row],[Colonne7]]),FALSE),""),"[hh]:mm"))</f>
        <v>#VALUE!</v>
      </c>
      <c r="AM113" s="172" t="e">
        <f>IF(VLOOKUP(T_BilanSocial[[#This Row],[NumL]],T_TraitDi[#Data],COLUMN(T_TraitDi[[#This Row],[Colonne8]]),FALSE)=0,"",TEXT(IFERROR(VLOOKUP(T_BilanSocial[[#This Row],[NumL]],T_TraitDi[#Data],COLUMN(T_TraitDi[[#This Row],[Colonne8]]),FALSE),""),"[hh]:mm"))</f>
        <v>#VALUE!</v>
      </c>
      <c r="AN113" s="172" t="str">
        <f>IFERROR(VLOOKUP(T_BilanSocial[[#This Row],[NumL]],T_TraitDi[#Data],COLUMN(T_TraitDi[[#This Row],[Mardi]]),FALSE),"")</f>
        <v/>
      </c>
      <c r="AO113" s="172" t="e">
        <f>IF(VLOOKUP(T_BilanSocial[[#This Row],[NumL]],T_TraitDi[#Data],COLUMN(T_TraitDi[[#This Row],[Colonne1]]),FALSE)=0,"",TEXT(IFERROR(VLOOKUP(T_BilanSocial[[#This Row],[NumL]],T_TraitDi[#Data],COLUMN(T_TraitDi[[#This Row],[Colonne1]]),FALSE),""),"[hh]:mm"))</f>
        <v>#VALUE!</v>
      </c>
      <c r="AP113" s="172" t="e">
        <f>IF(VLOOKUP(T_BilanSocial[[#This Row],[NumL]],T_TraitDi[#Data],COLUMN(T_TraitDi[[#This Row],[Colonne9]]),FALSE)=0,"",TEXT(IFERROR(VLOOKUP(T_BilanSocial[[#This Row],[NumL]],T_TraitDi[#Data],COLUMN(T_TraitDi[[#This Row],[Colonne9]]),FALSE),""),"[hh]:mm"))</f>
        <v>#VALUE!</v>
      </c>
      <c r="AQ113" s="172" t="str">
        <f>IFERROR(VLOOKUP(T_BilanSocial[[#This Row],[NumL]],T_TraitDi[#Data],COLUMN(T_TraitDi[[#This Row],[Colonne10]]),FALSE),"")</f>
        <v/>
      </c>
      <c r="AR113" s="172" t="e">
        <f>IF(VLOOKUP(T_BilanSocial[[#This Row],[NumL]],T_TraitDi[#Data],COLUMN(T_TraitDi[[#This Row],[Colonne11]]),FALSE)=0,"",TEXT(IFERROR(VLOOKUP(T_BilanSocial[[#This Row],[NumL]],T_TraitDi[#Data],COLUMN(T_TraitDi[[#This Row],[Colonne11]]),FALSE),""),"[hh]:mm"))</f>
        <v>#VALUE!</v>
      </c>
      <c r="AS113" s="172" t="e">
        <f>IF(VLOOKUP(T_BilanSocial[[#This Row],[NumL]],T_TraitDi[#Data],COLUMN(T_TraitDi[[#This Row],[Colonne12]]),FALSE)=0,"",TEXT(IFERROR(VLOOKUP(T_BilanSocial[[#This Row],[NumL]],T_TraitDi[#Data],COLUMN(T_TraitDi[[#This Row],[Colonne12]]),FALSE),""),"[hh]:mm"))</f>
        <v>#VALUE!</v>
      </c>
      <c r="AT113" s="172" t="e">
        <f>IF(VLOOKUP(T_BilanSocial[[#This Row],[NumL]],T_TraitDi[#Data],COLUMN(T_TraitDi[[#This Row],[Colonne14]]),FALSE)=0,"",TEXT(IFERROR(VLOOKUP(T_BilanSocial[[#This Row],[NumL]],T_TraitDi[#Data],COLUMN(T_TraitDi[[#This Row],[Colonne14]]),FALSE),""),"[hh]:mm"))</f>
        <v>#VALUE!</v>
      </c>
      <c r="AU113" s="172" t="str">
        <f>IFERROR(VLOOKUP(T_BilanSocial[[#This Row],[NumL]],T_TraitDi[#Data],COLUMN(T_TraitDi[[#This Row],[Mercredi]]),FALSE),"")</f>
        <v/>
      </c>
      <c r="AV113" s="172" t="e">
        <f>IF(VLOOKUP(T_BilanSocial[[#This Row],[NumL]],T_TraitDi[#Data],COLUMN(T_TraitDi[[#This Row],[Colonne15]]),FALSE)=0,"",TEXT(IFERROR(VLOOKUP(T_BilanSocial[[#This Row],[NumL]],T_TraitDi[#Data],COLUMN(T_TraitDi[[#This Row],[Colonne15]]),FALSE),""),"[hh]:mm"))</f>
        <v>#VALUE!</v>
      </c>
      <c r="AW113" s="172" t="e">
        <f>IF(VLOOKUP(T_BilanSocial[[#This Row],[NumL]],T_TraitDi[#Data],COLUMN(T_TraitDi[[#This Row],[Colonne16]]),FALSE)=0,"",TEXT(IFERROR(VLOOKUP(T_BilanSocial[[#This Row],[NumL]],T_TraitDi[#Data],COLUMN(T_TraitDi[[#This Row],[Colonne16]]),FALSE),""),"[hh]:mm"))</f>
        <v>#VALUE!</v>
      </c>
      <c r="AX113" s="172" t="str">
        <f>IFERROR(VLOOKUP(T_BilanSocial[[#This Row],[NumL]],T_TraitDi[#Data],COLUMN(T_TraitDi[[#This Row],[Colonne17]]),FALSE),"")</f>
        <v/>
      </c>
      <c r="AY113" s="172" t="e">
        <f>IF(VLOOKUP(T_BilanSocial[[#This Row],[NumL]],T_TraitDi[#Data],COLUMN(T_TraitDi[[#This Row],[Colonne18]]),FALSE)=0,"",TEXT(IFERROR(VLOOKUP(T_BilanSocial[[#This Row],[NumL]],T_TraitDi[#Data],COLUMN(T_TraitDi[[#This Row],[Colonne18]]),FALSE),""),"[hh]:mm"))</f>
        <v>#VALUE!</v>
      </c>
      <c r="AZ113" s="172" t="e">
        <f>IF(VLOOKUP(T_BilanSocial[[#This Row],[NumL]],T_TraitDi[#Data],COLUMN(T_TraitDi[[#This Row],[Colonne19]]),FALSE)=0,"",TEXT(IFERROR(VLOOKUP(T_BilanSocial[[#This Row],[NumL]],T_TraitDi[#Data],COLUMN(T_TraitDi[[#This Row],[Colonne19]]),FALSE),""),"[hh]:mm"))</f>
        <v>#VALUE!</v>
      </c>
      <c r="BA113" s="172" t="e">
        <f>IF(VLOOKUP(T_BilanSocial[[#This Row],[NumL]],T_TraitDi[#Data],COLUMN(T_TraitDi[[#This Row],[Colonne20]]),FALSE)=0,"",TEXT(IFERROR(VLOOKUP(T_BilanSocial[[#This Row],[NumL]],T_TraitDi[#Data],COLUMN(T_TraitDi[[#This Row],[Colonne20]]),FALSE),""),"[hh]:mm"))</f>
        <v>#VALUE!</v>
      </c>
      <c r="BB113" s="178" t="str">
        <f>IFERROR(VLOOKUP(T_BilanSocial[[#This Row],[NumL]],T_TraitDi[#Data],COLUMN(T_TraitDi[[#This Row],[Jeudi]]),FALSE),"")</f>
        <v/>
      </c>
      <c r="BC113" s="178" t="e">
        <f>IF(VLOOKUP(T_BilanSocial[[#This Row],[NumL]],T_TraitDi[#Data],COLUMN(T_TraitDi[[#This Row],[Colonne21]]),FALSE)=0,"",TEXT(IFERROR(VLOOKUP(T_BilanSocial[[#This Row],[NumL]],T_TraitDi[#Data],COLUMN(T_TraitDi[[#This Row],[Colonne21]]),FALSE),""),"[hh]:mm"))</f>
        <v>#VALUE!</v>
      </c>
      <c r="BD113" s="178" t="e">
        <f>IF(VLOOKUP(T_BilanSocial[[#This Row],[NumL]],T_TraitDi[#Data],COLUMN(T_TraitDi[[#This Row],[Colonne22]]),FALSE)=0,"",TEXT(IFERROR(VLOOKUP(T_BilanSocial[[#This Row],[NumL]],T_TraitDi[#Data],COLUMN(T_TraitDi[[#This Row],[Colonne22]]),FALSE),""),"[hh]:mm"))</f>
        <v>#VALUE!</v>
      </c>
      <c r="BE113" s="178" t="str">
        <f>IFERROR(VLOOKUP(T_BilanSocial[[#This Row],[NumL]],T_TraitDi[#Data],COLUMN(T_TraitDi[[#This Row],[Colonne23]]),FALSE),"")</f>
        <v/>
      </c>
      <c r="BF113" s="178" t="e">
        <f>IF(VLOOKUP(T_BilanSocial[[#This Row],[NumL]],T_TraitDi[#Data],COLUMN(T_TraitDi[[#This Row],[Colonne24]]),FALSE)=0,"",TEXT(IFERROR(VLOOKUP(T_BilanSocial[[#This Row],[NumL]],T_TraitDi[#Data],COLUMN(T_TraitDi[[#This Row],[Colonne24]]),FALSE),""),"[hh]:mm"))</f>
        <v>#VALUE!</v>
      </c>
      <c r="BG113" s="178" t="e">
        <f>IF(VLOOKUP(T_BilanSocial[[#This Row],[NumL]],T_TraitDi[#Data],COLUMN(T_TraitDi[[#This Row],[Colonne25]]),FALSE)=0,"",TEXT(IFERROR(VLOOKUP(T_BilanSocial[[#This Row],[NumL]],T_TraitDi[#Data],COLUMN(T_TraitDi[[#This Row],[Colonne25]]),FALSE),""),"[hh]:mm"))</f>
        <v>#VALUE!</v>
      </c>
      <c r="BH113" s="178" t="e">
        <f>IF(VLOOKUP(T_BilanSocial[[#This Row],[NumL]],T_TraitDi[#Data],COLUMN(T_TraitDi[[#This Row],[Colonne26]]),FALSE)=0,"",TEXT(IFERROR(VLOOKUP(T_BilanSocial[[#This Row],[NumL]],T_TraitDi[#Data],COLUMN(T_TraitDi[[#This Row],[Colonne26]]),FALSE),""),"[hh]:mm"))</f>
        <v>#VALUE!</v>
      </c>
      <c r="BI113" s="172" t="str">
        <f>IFERROR(VLOOKUP(T_BilanSocial[[#This Row],[NumL]],T_TraitDi[#Data],COLUMN(T_TraitDi[[#This Row],[Vendredi]]),FALSE),"")</f>
        <v/>
      </c>
      <c r="BJ113" s="172" t="e">
        <f>IF(VLOOKUP(T_BilanSocial[[#This Row],[NumL]],T_TraitDi[#Data],COLUMN(T_TraitDi[[#This Row],[Colonne27]]),FALSE)=0,"",TEXT(IFERROR(VLOOKUP(T_BilanSocial[[#This Row],[NumL]],T_TraitDi[#Data],COLUMN(T_TraitDi[[#This Row],[Colonne27]]),FALSE),""),"[hh]:mm"))</f>
        <v>#VALUE!</v>
      </c>
      <c r="BK113" s="172" t="e">
        <f>IF(VLOOKUP(T_BilanSocial[[#This Row],[NumL]],T_TraitDi[#Data],COLUMN(T_TraitDi[[#This Row],[Colonne28]]),FALSE)=0,"",TEXT(IFERROR(VLOOKUP(T_BilanSocial[[#This Row],[NumL]],T_TraitDi[#Data],COLUMN(T_TraitDi[[#This Row],[Colonne28]]),FALSE),""),"[hh]:mm"))</f>
        <v>#VALUE!</v>
      </c>
      <c r="BL113" s="172" t="str">
        <f>IFERROR(VLOOKUP(T_BilanSocial[[#This Row],[NumL]],T_TraitDi[#Data],COLUMN(T_TraitDi[[#This Row],[Colonne29]]),FALSE),"")</f>
        <v/>
      </c>
      <c r="BM113" s="172" t="e">
        <f>IF(VLOOKUP(T_BilanSocial[[#This Row],[NumL]],T_TraitDi[#Data],COLUMN(T_TraitDi[[#This Row],[Colonne30]]),FALSE)=0,"",TEXT(IFERROR(VLOOKUP(T_BilanSocial[[#This Row],[NumL]],T_TraitDi[#Data],COLUMN(T_TraitDi[[#This Row],[Colonne30]]),FALSE),""),"[hh]:mm"))</f>
        <v>#VALUE!</v>
      </c>
      <c r="BN113" s="172" t="e">
        <f>IF(VLOOKUP(T_BilanSocial[[#This Row],[NumL]],T_TraitDi[#Data],COLUMN(T_TraitDi[[#This Row],[Colonne31]]),FALSE)=0,"",TEXT(IFERROR(VLOOKUP(T_BilanSocial[[#This Row],[NumL]],T_TraitDi[#Data],COLUMN(T_TraitDi[[#This Row],[Colonne31]]),FALSE),""),"[hh]:mm"))</f>
        <v>#VALUE!</v>
      </c>
      <c r="BO113" s="172" t="e">
        <f>IF(VLOOKUP(T_BilanSocial[[#This Row],[NumL]],T_TraitDi[#Data],COLUMN(T_TraitDi[[#This Row],[Colonne32]]),FALSE)=0,"",TEXT(IFERROR(VLOOKUP(T_BilanSocial[[#This Row],[NumL]],T_TraitDi[#Data],COLUMN(T_TraitDi[[#This Row],[Colonne32]]),FALSE),""),"[hh]:mm"))</f>
        <v>#VALUE!</v>
      </c>
      <c r="BP113" s="172" t="e">
        <f>VLOOKUP(T_BilanSocial[[#This Row],[NumL]],T_TraitDi[#Data],COLUMN(T_TraitDi[NbJTot]),FALSE)</f>
        <v>#N/A</v>
      </c>
      <c r="BQ113" s="174" t="str">
        <f>IFERROR(VLOOKUP(T_BilanSocial[[#This Row],[NumL]],T_TraitDi[#Data],COLUMN(T_TraitDi[[#This Row],[NbJTW]]),FALSE),"")</f>
        <v/>
      </c>
      <c r="BR113" s="174" t="e">
        <f>IF(VLOOKUP(T_BilanSocial[[#This Row],[NumL]],T_TraitDi[#Data],COLUMN(T_TraitDi[[#This Row],[NbhTW]]),FALSE)=0,"",TEXT(IFERROR(VLOOKUP(T_BilanSocial[[#This Row],[NumL]],T_TraitDi[#Data],COLUMN(T_TraitDi[[#This Row],[NbhTW]]),FALSE),""),"[hh]:mm"))</f>
        <v>#VALUE!</v>
      </c>
      <c r="BS113" s="174" t="e">
        <f>IF(VLOOKUP(T_BilanSocial[[#This Row],[NumL]],T_TraitDi[#Data],COLUMN(T_TraitDi[[#This Row],[Nbhheb]]),FALSE)=0,"",TEXT(IFERROR(VLOOKUP($A113,T_TraitDi[#Data],COLUMN(T_TraitDi[[#This Row],[Nbhheb]]),FALSE),""),"[hh]:mm"))</f>
        <v>#VALUE!</v>
      </c>
      <c r="BT113" s="182" t="str">
        <f>IFERROR(VLOOKUP(VLOOKUP($A113,T_TraitDi[#Data],COLUMN(T_TraitDi[[#This Row],[Type1]]),FALSE),TypeTW,2,FALSE),"")</f>
        <v/>
      </c>
      <c r="BU113" s="182" t="str">
        <f>IFERROR(VLOOKUP($A113,T_TraitDi[#Data],COLUMN(T_TraitDi[[#This Row],[Rue1]]),FALSE),"")</f>
        <v/>
      </c>
      <c r="BV113" s="173" t="str">
        <f>IFERROR(VLOOKUP($A113,T_TraitDi[#Data],COLUMN(T_TraitDi[[#This Row],[CP1]]),FALSE),"")</f>
        <v/>
      </c>
      <c r="BW113" s="173" t="str">
        <f>IFERROR(VLOOKUP($A113,T_TraitDi[#Data],COLUMN(T_TraitDi[[#This Row],[VILLE1]]),FALSE),"")</f>
        <v/>
      </c>
      <c r="BX113" s="182" t="str">
        <f>IFERROR(VLOOKUP(VLOOKUP($A113,T_TraitDi[#Data],COLUMN(T_TraitDi[[#This Row],[Type2]]),FALSE),TypeTW,2,FALSE),"")</f>
        <v/>
      </c>
      <c r="BY113" s="182" t="str">
        <f>IFERROR(VLOOKUP($A113,T_TraitDi[#Data],COLUMN(T_TraitDi[[#This Row],[Rue2]]),FALSE),"")</f>
        <v/>
      </c>
      <c r="BZ113" s="173" t="str">
        <f>IFERROR(VLOOKUP($A113,T_TraitDi[#Data],COLUMN(T_TraitDi[[#This Row],[CP2]]),FALSE),"")</f>
        <v/>
      </c>
      <c r="CA113" s="173" t="str">
        <f>IFERROR(VLOOKUP($A113,T_TraitDi[#Data],COLUMN(T_TraitDi[[#This Row],[VILLE2]]),FALSE),"")</f>
        <v/>
      </c>
      <c r="CB113" s="182" t="str">
        <f>IF(VLOOKUP(T_BilanSocial[[#This Row],[NumL]],T_Equipement[#Data],COLUMN(T_Equipement[[#This Row],[PC]]),FALSE)="","Aucun équipement spécifique directement lié au télétravail",VLOOKUP(T_BilanSocial[[#This Row],[NumL]],T_Equipement[#Data],COLUMN(T_Equipement[[#This Row],[PC]]),FALSE))</f>
        <v xml:space="preserve">20-647	</v>
      </c>
      <c r="CC113" s="166" t="str">
        <f>IFERROR(IF(VLOOKUP(T_BilanSocial[[#This Row],[NumL]],T_TraitDi[#Data],COLUMN(T_TraitDi[[#This Row],[Plan]]),FALSE)="OK","Un planning spécifique de télétravail est annexé à la présente convention.",""),"")</f>
        <v/>
      </c>
      <c r="CD113" s="258" t="s">
        <v>3420</v>
      </c>
      <c r="CE113" s="164" t="e">
        <f>IF(VLOOKUP(T_BilanSocial[[#This Row],[NumL]],T_suiviDi[#Data],COLUMN(T_suiviDi[[#This Row],[Entité]]),FALSE)="","",VLOOKUP(T_BilanSocial[[#This Row],[NumL]],T_suiviDi[#Data],COLUMN(T_suiviDi[[#This Row],[Entité]]),FALSE))</f>
        <v>#VALUE!</v>
      </c>
      <c r="CF113" s="164" t="str">
        <f>IF(VLOOKUP(T_BilanSocial[[#This Row],[NumL]],T_Commission[#Data],COLUMN(T_Commission[[#This Row],[envoi confirm TW]]),FALSE)="","",VLOOKUP(T_BilanSocial[[#This Row],[NumL]],T_Commission[#Data],COLUMN(T_Commission[[#This Row],[envoi confirm TW]]),FALSE))</f>
        <v>Oui</v>
      </c>
      <c r="CG11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3" s="262" t="str">
        <f>T_BilanSocial[[#This Row],[Nom]]&amp;T_BilanSocial[[#This Row],[Prenom]]</f>
        <v/>
      </c>
      <c r="CI113" s="262">
        <f>VLOOKUP(T_BilanSocial[[#This Row],[NumL]],T_Commission[#Data],COLUMN(T_Commission[Commentaire]),FALSE)</f>
        <v>0</v>
      </c>
      <c r="CJ113" s="262" t="str">
        <f>IF(VLOOKUP(T_BilanSocial[[#This Row],[NumL]],T_Commission[#Data],COLUMN(T_Commission[Encadrant Email]),FALSE)="","",VLOOKUP(T_BilanSocial[[#This Row],[NumL]],T_Commission[#Data],COLUMN(T_Commission[Encadrant Email]),FALSE))</f>
        <v/>
      </c>
      <c r="CK113" s="340" t="str">
        <f>IF(T_BilanSocial[[#This Row],[Final]]&lt;&gt;"",VLOOKUP(T_BilanSocial[[#This Row],[NumL]],T_suiviDi[#Data],COLUMN((T_suiviDi[Statut])),FALSE),"")</f>
        <v/>
      </c>
    </row>
    <row r="114" spans="1:89" s="106" customFormat="1" ht="24.75" customHeight="1" x14ac:dyDescent="0.25">
      <c r="A114" s="160">
        <v>111</v>
      </c>
      <c r="B114" s="161" t="str">
        <f t="shared" si="10"/>
        <v/>
      </c>
      <c r="C114" s="162" t="s">
        <v>173</v>
      </c>
      <c r="D114" s="95" t="e">
        <f>IF(VLOOKUP(T_BilanSocial[[#This Row],[NumL]],T_TraitDi[#Data],COLUMN(T_TraitDi[[#This Row],[WebC]]),FALSE)="","",VLOOKUP(T_BilanSocial[[#This Row],[NumL]],T_TraitDi[#Data],COLUMN(T_TraitDi[[#This Row],[WebC]]),FALSE))</f>
        <v>#VALUE!</v>
      </c>
      <c r="E114" s="163" t="str">
        <f t="shared" si="11"/>
        <v>12 janvier 2021</v>
      </c>
      <c r="F114" s="96" t="str">
        <f>IF(T_BilanSocial[[#This Row],[Final]]&lt;&gt;"",VLOOKUP(T_BilanSocial[[#This Row],[NumL]],T_suiviDi[#Data],COLUMN((T_suiviDi[Civ.])),FALSE),"")</f>
        <v/>
      </c>
      <c r="G114" s="96" t="str">
        <f>IF(T_BilanSocial[[#This Row],[Final]]&lt;&gt;"",VLOOKUP(T_BilanSocial[[#This Row],[NumL]],T_suiviDi[#Data],COLUMN((T_suiviDi[Nom])),FALSE),"")</f>
        <v/>
      </c>
      <c r="H114" s="96" t="str">
        <f>IF(T_BilanSocial[[#This Row],[Final]]&lt;&gt;"",VLOOKUP(T_BilanSocial[[#This Row],[NumL]],T_suiviDi[#Data],COLUMN((T_suiviDi[Prénom])),FALSE),"")</f>
        <v/>
      </c>
      <c r="I114" s="96" t="str">
        <f>IFERROR(VLOOKUP(T_BilanSocial[[#This Row],[Zone_Bilan]],T_P_BilanSocial[#Data],COLUMN(T_P_BilanSocial[[#This Row],[Numero_SIHAM]]),FALSE),"")</f>
        <v/>
      </c>
      <c r="J114" s="96" t="str">
        <f>IFERROR(VLOOKUP(T_BilanSocial[[#This Row],[Zone_Bilan]],T_P_BilanSocial[#Data],COLUMN(T_P_BilanSocial[[#This Row],[Sexe]]),FALSE),"")</f>
        <v/>
      </c>
      <c r="K114" s="97" t="str">
        <f>IFERROR(VLOOKUP(T_BilanSocial[[#This Row],[Zone_Bilan]],T_P_BilanSocial[#Data],COLUMN(T_P_BilanSocial[[#This Row],[Categorie]]),FALSE),"")</f>
        <v/>
      </c>
      <c r="L114" s="96" t="str">
        <f>IFERROR(VLOOKUP(T_BilanSocial[[#This Row],[Zone_Bilan]],T_P_BilanSocial[#Data],COLUMN(T_P_BilanSocial[[#This Row],[Statut]]),FALSE),"")</f>
        <v/>
      </c>
      <c r="M114" s="96" t="str">
        <f>IFERROR(VLOOKUP(T_BilanSocial[[#This Row],[Zone_Bilan]],T_P_BilanSocial[#Data],COLUMN(T_P_BilanSocial[[#This Row],[Filiere]]),FALSE),"")</f>
        <v/>
      </c>
      <c r="N114" s="96" t="e">
        <f>VLOOKUP(T_BilanSocial[[#This Row],[NumL]],T_TraitDi[#Data],COLUMN(T_TraitDi[EXP]),FALSE)</f>
        <v>#N/A</v>
      </c>
      <c r="O114" s="96" t="e">
        <f>VLOOKUP(T_BilanSocial[[#This Row],[NumL]],T_TraitDi[#Data],COLUMN(T_TraitDi[FORM]),FALSE)</f>
        <v>#N/A</v>
      </c>
      <c r="P114" s="96" t="str">
        <f>IF(T_BilanSocial[[#This Row],[Final]]&lt;&gt;"",VLOOKUP(T_BilanSocial[[#This Row],[NumL]],T_suiviDi[#Data],COLUMN((T_suiviDi[Email])),FALSE),"")</f>
        <v/>
      </c>
      <c r="Q114" s="164" t="e">
        <f t="shared" si="17"/>
        <v>#N/A</v>
      </c>
      <c r="R114" s="164" t="e">
        <f t="shared" si="18"/>
        <v>#N/A</v>
      </c>
      <c r="S114" s="164" t="e">
        <f>IF(VLOOKUP(T_BilanSocial[[#This Row],[NumL]],T_suiviDi[#Data],COLUMN(T_suiviDi[[#This Row],[Service ]]),FALSE)="","",VLOOKUP(T_BilanSocial[[#This Row],[NumL]],T_suiviDi[#Data],COLUMN(T_suiviDi[[#This Row],[Service ]]),FALSE))</f>
        <v>#VALUE!</v>
      </c>
      <c r="T114" s="164" t="str">
        <f t="shared" si="12"/>
        <v>01 septembre 2021</v>
      </c>
      <c r="U114" s="164" t="str">
        <f t="shared" si="13"/>
        <v>30 novembre 2021</v>
      </c>
      <c r="V114" s="164" t="str">
        <f t="shared" si="21"/>
        <v>30 novembre 2021</v>
      </c>
      <c r="W114" s="176" t="e">
        <f>IF(VLOOKUP(T_BilanSocial[[#This Row],[NumL]],T_TraitDi[#Data],COLUMN(T_TraitDi[[#This Row],[M1]]),FALSE)="","",VLOOKUP(T_BilanSocial[[#This Row],[NumL]],T_TraitDi[#Data],COLUMN(T_TraitDi[[#This Row],[M1]]),FALSE))</f>
        <v>#VALUE!</v>
      </c>
      <c r="X114" s="176" t="e">
        <f>IF(VLOOKUP(T_BilanSocial[[#This Row],[NumL]],T_TraitDi[#Data],COLUMN(T_TraitDi[[#This Row],[M2]]),FALSE)="","",VLOOKUP(T_BilanSocial[[#This Row],[NumL]],T_TraitDi[#Data],COLUMN(T_TraitDi[[#This Row],[M2]]),FALSE))</f>
        <v>#VALUE!</v>
      </c>
      <c r="Y114" s="176" t="e">
        <f>IF(VLOOKUP(T_BilanSocial[[#This Row],[NumL]],T_TraitDi[#Data],COLUMN(T_TraitDi[[#This Row],[M3]]),FALSE)="","",VLOOKUP(T_BilanSocial[[#This Row],[NumL]],T_TraitDi[#Data],COLUMN(T_TraitDi[[#This Row],[M3]]),FALSE))</f>
        <v>#VALUE!</v>
      </c>
      <c r="Z114" s="176" t="str">
        <f t="shared" si="16"/>
        <v/>
      </c>
      <c r="AA114" s="176" t="e">
        <f>IF(VLOOKUP(T_BilanSocial[[#This Row],[NumL]],T_TraitDi[#Data],COLUMN(T_TraitDi[[#This Row],[M5]]),FALSE)="","",VLOOKUP(T_BilanSocial[[#This Row],[NumL]],T_TraitDi[#Data],COLUMN(T_TraitDi[[#This Row],[M5]]),FALSE))</f>
        <v>#VALUE!</v>
      </c>
      <c r="AB114" s="176" t="e">
        <f>IF(VLOOKUP(T_BilanSocial[[#This Row],[NumL]],T_TraitDi[#Data],COLUMN(T_TraitDi[[#This Row],[M6]]),FALSE)="","",VLOOKUP(T_BilanSocial[[#This Row],[NumL]],T_TraitDi[#Data],COLUMN(T_TraitDi[[#This Row],[M6]]),FALSE))</f>
        <v>#VALUE!</v>
      </c>
      <c r="AC114" s="165" t="e">
        <f t="shared" si="15"/>
        <v>#VALUE!</v>
      </c>
      <c r="AD114" s="188" t="str">
        <f>IFERROR(TEXT(VLOOKUP(T_BilanSocial[[#This Row],[NumL]],T_TraitDi[#Data],COLUMN(T_TraitDi[[#This Row],[Q2]]),FALSE),"###%"),"")</f>
        <v/>
      </c>
      <c r="AE114" s="97" t="e">
        <f>VLOOKUP(T_BilanSocial[[#This Row],[NumL]],T_TraitDi[#Data],COLUMN(T_TraitDi[[#This Row],[Reg Ponct]]),FALSE)</f>
        <v>#VALUE!</v>
      </c>
      <c r="AF114" s="97" t="e">
        <f>VLOOKUP(T_BilanSocial[NumL],T_TraitDi[#Data],COLUMN(T_TraitDi[[#This Row],[Jours flottants]]),FALSE)</f>
        <v>#VALUE!</v>
      </c>
      <c r="AG114" s="97" t="str">
        <f>IFERROR(VLOOKUP(T_BilanSocial[[#This Row],[NumL]],T_TraitDi[#Data],COLUMN(T_TraitDi[[#This Row],[Lundi]]),FALSE),"")</f>
        <v/>
      </c>
      <c r="AH114" s="172" t="e">
        <f>IF(VLOOKUP(T_BilanSocial[[#This Row],[NumL]],T_TraitDi[#Data],COLUMN(T_TraitDi[[#This Row],[Colonne3]]),FALSE)=0,"",TEXT(IFERROR(VLOOKUP(T_BilanSocial[[#This Row],[NumL]],T_TraitDi[#Data],COLUMN(T_TraitDi[[#This Row],[Colonne3]]),FALSE),""),"[hh]:mm"))</f>
        <v>#VALUE!</v>
      </c>
      <c r="AI114" s="172" t="e">
        <f>IF(VLOOKUP(T_BilanSocial[[#This Row],[NumL]],T_TraitDi[#Data],COLUMN(T_TraitDi[[#This Row],[Colonne4]]),FALSE)=0,"",TEXT(IFERROR(VLOOKUP(T_BilanSocial[[#This Row],[NumL]],T_TraitDi[#Data],COLUMN(T_TraitDi[[#This Row],[Colonne4]]),FALSE),""),"[hh]:mm"))</f>
        <v>#VALUE!</v>
      </c>
      <c r="AJ114" s="172" t="e">
        <f>IF(VLOOKUP(T_BilanSocial[[#This Row],[NumL]],T_TraitDi[#Data],COLUMN(T_TraitDi[[#This Row],[Colonne5]]),FALSE)=0,"",TEXT(IFERROR(VLOOKUP(T_BilanSocial[[#This Row],[NumL]],T_TraitDi[#Data],COLUMN(T_TraitDi[[#This Row],[Colonne5]]),FALSE),""),"[hh]:mm"))</f>
        <v>#VALUE!</v>
      </c>
      <c r="AK114" s="172" t="e">
        <f>IF(VLOOKUP(T_BilanSocial[[#This Row],[NumL]],T_TraitDi[#Data],COLUMN(T_TraitDi[[#This Row],[Colonne6]]),FALSE)=0,"",TEXT(IFERROR(VLOOKUP(T_BilanSocial[[#This Row],[NumL]],T_TraitDi[#Data],COLUMN(T_TraitDi[[#This Row],[Colonne6]]),FALSE),""),"[hh]:mm"))</f>
        <v>#VALUE!</v>
      </c>
      <c r="AL114" s="172" t="e">
        <f>IF(VLOOKUP(T_BilanSocial[[#This Row],[NumL]],T_TraitDi[#Data],COLUMN(T_TraitDi[[#This Row],[Colonne7]]),FALSE)=0,"",TEXT(IFERROR(VLOOKUP(T_BilanSocial[[#This Row],[NumL]],T_TraitDi[#Data],COLUMN(T_TraitDi[[#This Row],[Colonne7]]),FALSE),""),"[hh]:mm"))</f>
        <v>#VALUE!</v>
      </c>
      <c r="AM114" s="172" t="e">
        <f>IF(VLOOKUP(T_BilanSocial[[#This Row],[NumL]],T_TraitDi[#Data],COLUMN(T_TraitDi[[#This Row],[Colonne8]]),FALSE)=0,"",TEXT(IFERROR(VLOOKUP(T_BilanSocial[[#This Row],[NumL]],T_TraitDi[#Data],COLUMN(T_TraitDi[[#This Row],[Colonne8]]),FALSE),""),"[hh]:mm"))</f>
        <v>#VALUE!</v>
      </c>
      <c r="AN114" s="172" t="str">
        <f>IFERROR(VLOOKUP(T_BilanSocial[[#This Row],[NumL]],T_TraitDi[#Data],COLUMN(T_TraitDi[[#This Row],[Mardi]]),FALSE),"")</f>
        <v/>
      </c>
      <c r="AO114" s="172" t="e">
        <f>IF(VLOOKUP(T_BilanSocial[[#This Row],[NumL]],T_TraitDi[#Data],COLUMN(T_TraitDi[[#This Row],[Colonne1]]),FALSE)=0,"",TEXT(IFERROR(VLOOKUP(T_BilanSocial[[#This Row],[NumL]],T_TraitDi[#Data],COLUMN(T_TraitDi[[#This Row],[Colonne1]]),FALSE),""),"[hh]:mm"))</f>
        <v>#VALUE!</v>
      </c>
      <c r="AP114" s="172" t="e">
        <f>IF(VLOOKUP(T_BilanSocial[[#This Row],[NumL]],T_TraitDi[#Data],COLUMN(T_TraitDi[[#This Row],[Colonne9]]),FALSE)=0,"",TEXT(IFERROR(VLOOKUP(T_BilanSocial[[#This Row],[NumL]],T_TraitDi[#Data],COLUMN(T_TraitDi[[#This Row],[Colonne9]]),FALSE),""),"[hh]:mm"))</f>
        <v>#VALUE!</v>
      </c>
      <c r="AQ114" s="172" t="str">
        <f>IFERROR(VLOOKUP(T_BilanSocial[[#This Row],[NumL]],T_TraitDi[#Data],COLUMN(T_TraitDi[[#This Row],[Colonne10]]),FALSE),"")</f>
        <v/>
      </c>
      <c r="AR114" s="172" t="e">
        <f>IF(VLOOKUP(T_BilanSocial[[#This Row],[NumL]],T_TraitDi[#Data],COLUMN(T_TraitDi[[#This Row],[Colonne11]]),FALSE)=0,"",TEXT(IFERROR(VLOOKUP(T_BilanSocial[[#This Row],[NumL]],T_TraitDi[#Data],COLUMN(T_TraitDi[[#This Row],[Colonne11]]),FALSE),""),"[hh]:mm"))</f>
        <v>#VALUE!</v>
      </c>
      <c r="AS114" s="172" t="e">
        <f>IF(VLOOKUP(T_BilanSocial[[#This Row],[NumL]],T_TraitDi[#Data],COLUMN(T_TraitDi[[#This Row],[Colonne12]]),FALSE)=0,"",TEXT(IFERROR(VLOOKUP(T_BilanSocial[[#This Row],[NumL]],T_TraitDi[#Data],COLUMN(T_TraitDi[[#This Row],[Colonne12]]),FALSE),""),"[hh]:mm"))</f>
        <v>#VALUE!</v>
      </c>
      <c r="AT114" s="172" t="e">
        <f>IF(VLOOKUP(T_BilanSocial[[#This Row],[NumL]],T_TraitDi[#Data],COLUMN(T_TraitDi[[#This Row],[Colonne14]]),FALSE)=0,"",TEXT(IFERROR(VLOOKUP(T_BilanSocial[[#This Row],[NumL]],T_TraitDi[#Data],COLUMN(T_TraitDi[[#This Row],[Colonne14]]),FALSE),""),"[hh]:mm"))</f>
        <v>#VALUE!</v>
      </c>
      <c r="AU114" s="172" t="str">
        <f>IFERROR(VLOOKUP(T_BilanSocial[[#This Row],[NumL]],T_TraitDi[#Data],COLUMN(T_TraitDi[[#This Row],[Mercredi]]),FALSE),"")</f>
        <v/>
      </c>
      <c r="AV114" s="172" t="e">
        <f>IF(VLOOKUP(T_BilanSocial[[#This Row],[NumL]],T_TraitDi[#Data],COLUMN(T_TraitDi[[#This Row],[Colonne15]]),FALSE)=0,"",TEXT(IFERROR(VLOOKUP(T_BilanSocial[[#This Row],[NumL]],T_TraitDi[#Data],COLUMN(T_TraitDi[[#This Row],[Colonne15]]),FALSE),""),"[hh]:mm"))</f>
        <v>#VALUE!</v>
      </c>
      <c r="AW114" s="172" t="e">
        <f>IF(VLOOKUP(T_BilanSocial[[#This Row],[NumL]],T_TraitDi[#Data],COLUMN(T_TraitDi[[#This Row],[Colonne16]]),FALSE)=0,"",TEXT(IFERROR(VLOOKUP(T_BilanSocial[[#This Row],[NumL]],T_TraitDi[#Data],COLUMN(T_TraitDi[[#This Row],[Colonne16]]),FALSE),""),"[hh]:mm"))</f>
        <v>#VALUE!</v>
      </c>
      <c r="AX114" s="172" t="str">
        <f>IFERROR(VLOOKUP(T_BilanSocial[[#This Row],[NumL]],T_TraitDi[#Data],COLUMN(T_TraitDi[[#This Row],[Colonne17]]),FALSE),"")</f>
        <v/>
      </c>
      <c r="AY114" s="172" t="e">
        <f>IF(VLOOKUP(T_BilanSocial[[#This Row],[NumL]],T_TraitDi[#Data],COLUMN(T_TraitDi[[#This Row],[Colonne18]]),FALSE)=0,"",TEXT(IFERROR(VLOOKUP(T_BilanSocial[[#This Row],[NumL]],T_TraitDi[#Data],COLUMN(T_TraitDi[[#This Row],[Colonne18]]),FALSE),""),"[hh]:mm"))</f>
        <v>#VALUE!</v>
      </c>
      <c r="AZ114" s="172" t="e">
        <f>IF(VLOOKUP(T_BilanSocial[[#This Row],[NumL]],T_TraitDi[#Data],COLUMN(T_TraitDi[[#This Row],[Colonne19]]),FALSE)=0,"",TEXT(IFERROR(VLOOKUP(T_BilanSocial[[#This Row],[NumL]],T_TraitDi[#Data],COLUMN(T_TraitDi[[#This Row],[Colonne19]]),FALSE),""),"[hh]:mm"))</f>
        <v>#VALUE!</v>
      </c>
      <c r="BA114" s="172" t="e">
        <f>IF(VLOOKUP(T_BilanSocial[[#This Row],[NumL]],T_TraitDi[#Data],COLUMN(T_TraitDi[[#This Row],[Colonne20]]),FALSE)=0,"",TEXT(IFERROR(VLOOKUP(T_BilanSocial[[#This Row],[NumL]],T_TraitDi[#Data],COLUMN(T_TraitDi[[#This Row],[Colonne20]]),FALSE),""),"[hh]:mm"))</f>
        <v>#VALUE!</v>
      </c>
      <c r="BB114" s="178" t="str">
        <f>IFERROR(VLOOKUP(T_BilanSocial[[#This Row],[NumL]],T_TraitDi[#Data],COLUMN(T_TraitDi[[#This Row],[Jeudi]]),FALSE),"")</f>
        <v/>
      </c>
      <c r="BC114" s="178" t="e">
        <f>IF(VLOOKUP(T_BilanSocial[[#This Row],[NumL]],T_TraitDi[#Data],COLUMN(T_TraitDi[[#This Row],[Colonne21]]),FALSE)=0,"",TEXT(IFERROR(VLOOKUP(T_BilanSocial[[#This Row],[NumL]],T_TraitDi[#Data],COLUMN(T_TraitDi[[#This Row],[Colonne21]]),FALSE),""),"[hh]:mm"))</f>
        <v>#VALUE!</v>
      </c>
      <c r="BD114" s="178" t="e">
        <f>IF(VLOOKUP(T_BilanSocial[[#This Row],[NumL]],T_TraitDi[#Data],COLUMN(T_TraitDi[[#This Row],[Colonne22]]),FALSE)=0,"",TEXT(IFERROR(VLOOKUP(T_BilanSocial[[#This Row],[NumL]],T_TraitDi[#Data],COLUMN(T_TraitDi[[#This Row],[Colonne22]]),FALSE),""),"[hh]:mm"))</f>
        <v>#VALUE!</v>
      </c>
      <c r="BE114" s="178" t="str">
        <f>IFERROR(VLOOKUP(T_BilanSocial[[#This Row],[NumL]],T_TraitDi[#Data],COLUMN(T_TraitDi[[#This Row],[Colonne23]]),FALSE),"")</f>
        <v/>
      </c>
      <c r="BF114" s="178" t="e">
        <f>IF(VLOOKUP(T_BilanSocial[[#This Row],[NumL]],T_TraitDi[#Data],COLUMN(T_TraitDi[[#This Row],[Colonne24]]),FALSE)=0,"",TEXT(IFERROR(VLOOKUP(T_BilanSocial[[#This Row],[NumL]],T_TraitDi[#Data],COLUMN(T_TraitDi[[#This Row],[Colonne24]]),FALSE),""),"[hh]:mm"))</f>
        <v>#VALUE!</v>
      </c>
      <c r="BG114" s="178" t="e">
        <f>IF(VLOOKUP(T_BilanSocial[[#This Row],[NumL]],T_TraitDi[#Data],COLUMN(T_TraitDi[[#This Row],[Colonne25]]),FALSE)=0,"",TEXT(IFERROR(VLOOKUP(T_BilanSocial[[#This Row],[NumL]],T_TraitDi[#Data],COLUMN(T_TraitDi[[#This Row],[Colonne25]]),FALSE),""),"[hh]:mm"))</f>
        <v>#VALUE!</v>
      </c>
      <c r="BH114" s="178" t="e">
        <f>IF(VLOOKUP(T_BilanSocial[[#This Row],[NumL]],T_TraitDi[#Data],COLUMN(T_TraitDi[[#This Row],[Colonne26]]),FALSE)=0,"",TEXT(IFERROR(VLOOKUP(T_BilanSocial[[#This Row],[NumL]],T_TraitDi[#Data],COLUMN(T_TraitDi[[#This Row],[Colonne26]]),FALSE),""),"[hh]:mm"))</f>
        <v>#VALUE!</v>
      </c>
      <c r="BI114" s="172" t="str">
        <f>IFERROR(VLOOKUP(T_BilanSocial[[#This Row],[NumL]],T_TraitDi[#Data],COLUMN(T_TraitDi[[#This Row],[Vendredi]]),FALSE),"")</f>
        <v/>
      </c>
      <c r="BJ114" s="172" t="e">
        <f>IF(VLOOKUP(T_BilanSocial[[#This Row],[NumL]],T_TraitDi[#Data],COLUMN(T_TraitDi[[#This Row],[Colonne27]]),FALSE)=0,"",TEXT(IFERROR(VLOOKUP(T_BilanSocial[[#This Row],[NumL]],T_TraitDi[#Data],COLUMN(T_TraitDi[[#This Row],[Colonne27]]),FALSE),""),"[hh]:mm"))</f>
        <v>#VALUE!</v>
      </c>
      <c r="BK114" s="172" t="e">
        <f>IF(VLOOKUP(T_BilanSocial[[#This Row],[NumL]],T_TraitDi[#Data],COLUMN(T_TraitDi[[#This Row],[Colonne28]]),FALSE)=0,"",TEXT(IFERROR(VLOOKUP(T_BilanSocial[[#This Row],[NumL]],T_TraitDi[#Data],COLUMN(T_TraitDi[[#This Row],[Colonne28]]),FALSE),""),"[hh]:mm"))</f>
        <v>#VALUE!</v>
      </c>
      <c r="BL114" s="172" t="str">
        <f>IFERROR(VLOOKUP(T_BilanSocial[[#This Row],[NumL]],T_TraitDi[#Data],COLUMN(T_TraitDi[[#This Row],[Colonne29]]),FALSE),"")</f>
        <v/>
      </c>
      <c r="BM114" s="172" t="e">
        <f>IF(VLOOKUP(T_BilanSocial[[#This Row],[NumL]],T_TraitDi[#Data],COLUMN(T_TraitDi[[#This Row],[Colonne30]]),FALSE)=0,"",TEXT(IFERROR(VLOOKUP(T_BilanSocial[[#This Row],[NumL]],T_TraitDi[#Data],COLUMN(T_TraitDi[[#This Row],[Colonne30]]),FALSE),""),"[hh]:mm"))</f>
        <v>#VALUE!</v>
      </c>
      <c r="BN114" s="172" t="e">
        <f>IF(VLOOKUP(T_BilanSocial[[#This Row],[NumL]],T_TraitDi[#Data],COLUMN(T_TraitDi[[#This Row],[Colonne31]]),FALSE)=0,"",TEXT(IFERROR(VLOOKUP(T_BilanSocial[[#This Row],[NumL]],T_TraitDi[#Data],COLUMN(T_TraitDi[[#This Row],[Colonne31]]),FALSE),""),"[hh]:mm"))</f>
        <v>#VALUE!</v>
      </c>
      <c r="BO114" s="172" t="e">
        <f>IF(VLOOKUP(T_BilanSocial[[#This Row],[NumL]],T_TraitDi[#Data],COLUMN(T_TraitDi[[#This Row],[Colonne32]]),FALSE)=0,"",TEXT(IFERROR(VLOOKUP(T_BilanSocial[[#This Row],[NumL]],T_TraitDi[#Data],COLUMN(T_TraitDi[[#This Row],[Colonne32]]),FALSE),""),"[hh]:mm"))</f>
        <v>#VALUE!</v>
      </c>
      <c r="BP114" s="172" t="e">
        <f>VLOOKUP(T_BilanSocial[[#This Row],[NumL]],T_TraitDi[#Data],COLUMN(T_TraitDi[NbJTot]),FALSE)</f>
        <v>#N/A</v>
      </c>
      <c r="BQ114" s="174" t="str">
        <f>IFERROR(VLOOKUP(T_BilanSocial[[#This Row],[NumL]],T_TraitDi[#Data],COLUMN(T_TraitDi[[#This Row],[NbJTW]]),FALSE),"")</f>
        <v/>
      </c>
      <c r="BR114" s="174" t="e">
        <f>IF(VLOOKUP(T_BilanSocial[[#This Row],[NumL]],T_TraitDi[#Data],COLUMN(T_TraitDi[[#This Row],[NbhTW]]),FALSE)=0,"",TEXT(IFERROR(VLOOKUP(T_BilanSocial[[#This Row],[NumL]],T_TraitDi[#Data],COLUMN(T_TraitDi[[#This Row],[NbhTW]]),FALSE),""),"[hh]:mm"))</f>
        <v>#VALUE!</v>
      </c>
      <c r="BS114" s="174" t="e">
        <f>IF(VLOOKUP(T_BilanSocial[[#This Row],[NumL]],T_TraitDi[#Data],COLUMN(T_TraitDi[[#This Row],[Nbhheb]]),FALSE)=0,"",TEXT(IFERROR(VLOOKUP($A114,T_TraitDi[#Data],COLUMN(T_TraitDi[[#This Row],[Nbhheb]]),FALSE),""),"[hh]:mm"))</f>
        <v>#VALUE!</v>
      </c>
      <c r="BT114" s="182" t="str">
        <f>IFERROR(VLOOKUP(VLOOKUP($A114,T_TraitDi[#Data],COLUMN(T_TraitDi[[#This Row],[Type1]]),FALSE),TypeTW,2,FALSE),"")</f>
        <v/>
      </c>
      <c r="BU114" s="182" t="str">
        <f>IFERROR(VLOOKUP($A114,T_TraitDi[#Data],COLUMN(T_TraitDi[[#This Row],[Rue1]]),FALSE),"")</f>
        <v/>
      </c>
      <c r="BV114" s="173" t="str">
        <f>IFERROR(VLOOKUP($A114,T_TraitDi[#Data],COLUMN(T_TraitDi[[#This Row],[CP1]]),FALSE),"")</f>
        <v/>
      </c>
      <c r="BW114" s="173" t="str">
        <f>IFERROR(VLOOKUP($A114,T_TraitDi[#Data],COLUMN(T_TraitDi[[#This Row],[VILLE1]]),FALSE),"")</f>
        <v/>
      </c>
      <c r="BX114" s="182" t="str">
        <f>IFERROR(VLOOKUP(VLOOKUP($A114,T_TraitDi[#Data],COLUMN(T_TraitDi[[#This Row],[Type2]]),FALSE),TypeTW,2,FALSE),"")</f>
        <v/>
      </c>
      <c r="BY114" s="182" t="str">
        <f>IFERROR(VLOOKUP($A114,T_TraitDi[#Data],COLUMN(T_TraitDi[[#This Row],[Rue2]]),FALSE),"")</f>
        <v/>
      </c>
      <c r="BZ114" s="173" t="str">
        <f>IFERROR(VLOOKUP($A114,T_TraitDi[#Data],COLUMN(T_TraitDi[[#This Row],[CP2]]),FALSE),"")</f>
        <v/>
      </c>
      <c r="CA114" s="173" t="str">
        <f>IFERROR(VLOOKUP($A114,T_TraitDi[#Data],COLUMN(T_TraitDi[[#This Row],[VILLE2]]),FALSE),"")</f>
        <v/>
      </c>
      <c r="CB114" s="182" t="str">
        <f>IF(VLOOKUP(T_BilanSocial[[#This Row],[NumL]],T_Equipement[#Data],COLUMN(T_Equipement[[#This Row],[PC]]),FALSE)="","Aucun équipement spécifique directement lié au télétravail",VLOOKUP(T_BilanSocial[[#This Row],[NumL]],T_Equipement[#Data],COLUMN(T_Equipement[[#This Row],[PC]]),FALSE))</f>
        <v xml:space="preserve">16-415	</v>
      </c>
      <c r="CC114" s="166" t="str">
        <f>IFERROR(IF(VLOOKUP(T_BilanSocial[[#This Row],[NumL]],T_TraitDi[#Data],COLUMN(T_TraitDi[[#This Row],[Plan]]),FALSE)="OK","Un planning spécifique de télétravail est annexé à la présente convention.",""),"")</f>
        <v/>
      </c>
      <c r="CD114" s="258" t="s">
        <v>3382</v>
      </c>
      <c r="CE114" s="164" t="e">
        <f>IF(VLOOKUP(T_BilanSocial[[#This Row],[NumL]],T_suiviDi[#Data],COLUMN(T_suiviDi[[#This Row],[Entité]]),FALSE)="","",VLOOKUP(T_BilanSocial[[#This Row],[NumL]],T_suiviDi[#Data],COLUMN(T_suiviDi[[#This Row],[Entité]]),FALSE))</f>
        <v>#VALUE!</v>
      </c>
      <c r="CF114" s="164" t="str">
        <f>IF(VLOOKUP(T_BilanSocial[[#This Row],[NumL]],T_Commission[#Data],COLUMN(T_Commission[[#This Row],[envoi confirm TW]]),FALSE)="","",VLOOKUP(T_BilanSocial[[#This Row],[NumL]],T_Commission[#Data],COLUMN(T_Commission[[#This Row],[envoi confirm TW]]),FALSE))</f>
        <v>Oui</v>
      </c>
      <c r="CG11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4" s="262" t="str">
        <f>T_BilanSocial[[#This Row],[Nom]]&amp;T_BilanSocial[[#This Row],[Prenom]]</f>
        <v/>
      </c>
      <c r="CI114" s="262">
        <f>VLOOKUP(T_BilanSocial[[#This Row],[NumL]],T_Commission[#Data],COLUMN(T_Commission[Commentaire]),FALSE)</f>
        <v>0</v>
      </c>
      <c r="CJ114" s="262" t="str">
        <f>IF(VLOOKUP(T_BilanSocial[[#This Row],[NumL]],T_Commission[#Data],COLUMN(T_Commission[Encadrant Email]),FALSE)="","",VLOOKUP(T_BilanSocial[[#This Row],[NumL]],T_Commission[#Data],COLUMN(T_Commission[Encadrant Email]),FALSE))</f>
        <v/>
      </c>
      <c r="CK114" s="340" t="str">
        <f>IF(T_BilanSocial[[#This Row],[Final]]&lt;&gt;"",VLOOKUP(T_BilanSocial[[#This Row],[NumL]],T_suiviDi[#Data],COLUMN((T_suiviDi[Statut])),FALSE),"")</f>
        <v/>
      </c>
    </row>
    <row r="115" spans="1:89" s="106" customFormat="1" ht="24.75" customHeight="1" x14ac:dyDescent="0.25">
      <c r="A115" s="160">
        <v>112</v>
      </c>
      <c r="B115" s="161" t="str">
        <f t="shared" si="10"/>
        <v/>
      </c>
      <c r="C115" s="162" t="s">
        <v>173</v>
      </c>
      <c r="D115" s="95" t="e">
        <f>IF(VLOOKUP(T_BilanSocial[[#This Row],[NumL]],T_TraitDi[#Data],COLUMN(T_TraitDi[[#This Row],[WebC]]),FALSE)="","",VLOOKUP(T_BilanSocial[[#This Row],[NumL]],T_TraitDi[#Data],COLUMN(T_TraitDi[[#This Row],[WebC]]),FALSE))</f>
        <v>#VALUE!</v>
      </c>
      <c r="E115" s="163" t="str">
        <f t="shared" si="11"/>
        <v>12 janvier 2021</v>
      </c>
      <c r="F115" s="96" t="str">
        <f>IF(T_BilanSocial[[#This Row],[Final]]&lt;&gt;"",VLOOKUP(T_BilanSocial[[#This Row],[NumL]],T_suiviDi[#Data],COLUMN((T_suiviDi[Civ.])),FALSE),"")</f>
        <v/>
      </c>
      <c r="G115" s="96" t="str">
        <f>IF(T_BilanSocial[[#This Row],[Final]]&lt;&gt;"",VLOOKUP(T_BilanSocial[[#This Row],[NumL]],T_suiviDi[#Data],COLUMN((T_suiviDi[Nom])),FALSE),"")</f>
        <v/>
      </c>
      <c r="H115" s="96" t="str">
        <f>IF(T_BilanSocial[[#This Row],[Final]]&lt;&gt;"",VLOOKUP(T_BilanSocial[[#This Row],[NumL]],T_suiviDi[#Data],COLUMN((T_suiviDi[Prénom])),FALSE),"")</f>
        <v/>
      </c>
      <c r="I115" s="96" t="str">
        <f>IFERROR(VLOOKUP(T_BilanSocial[[#This Row],[Zone_Bilan]],T_P_BilanSocial[#Data],COLUMN(T_P_BilanSocial[[#This Row],[Numero_SIHAM]]),FALSE),"")</f>
        <v/>
      </c>
      <c r="J115" s="96" t="str">
        <f>IFERROR(VLOOKUP(T_BilanSocial[[#This Row],[Zone_Bilan]],T_P_BilanSocial[#Data],COLUMN(T_P_BilanSocial[[#This Row],[Sexe]]),FALSE),"")</f>
        <v/>
      </c>
      <c r="K115" s="97" t="str">
        <f>IFERROR(VLOOKUP(T_BilanSocial[[#This Row],[Zone_Bilan]],T_P_BilanSocial[#Data],COLUMN(T_P_BilanSocial[[#This Row],[Categorie]]),FALSE),"")</f>
        <v/>
      </c>
      <c r="L115" s="96" t="str">
        <f>IFERROR(VLOOKUP(T_BilanSocial[[#This Row],[Zone_Bilan]],T_P_BilanSocial[#Data],COLUMN(T_P_BilanSocial[[#This Row],[Statut]]),FALSE),"")</f>
        <v/>
      </c>
      <c r="M115" s="96" t="str">
        <f>IFERROR(VLOOKUP(T_BilanSocial[[#This Row],[Zone_Bilan]],T_P_BilanSocial[#Data],COLUMN(T_P_BilanSocial[[#This Row],[Filiere]]),FALSE),"")</f>
        <v/>
      </c>
      <c r="N115" s="96" t="e">
        <f>VLOOKUP(T_BilanSocial[[#This Row],[NumL]],T_TraitDi[#Data],COLUMN(T_TraitDi[EXP]),FALSE)</f>
        <v>#N/A</v>
      </c>
      <c r="O115" s="96" t="e">
        <f>VLOOKUP(T_BilanSocial[[#This Row],[NumL]],T_TraitDi[#Data],COLUMN(T_TraitDi[FORM]),FALSE)</f>
        <v>#N/A</v>
      </c>
      <c r="P115" s="96" t="str">
        <f>IF(T_BilanSocial[[#This Row],[Final]]&lt;&gt;"",VLOOKUP(T_BilanSocial[[#This Row],[NumL]],T_suiviDi[#Data],COLUMN((T_suiviDi[Email])),FALSE),"")</f>
        <v/>
      </c>
      <c r="Q115" s="164" t="e">
        <f t="shared" si="17"/>
        <v>#N/A</v>
      </c>
      <c r="R115" s="164" t="e">
        <f t="shared" si="18"/>
        <v>#N/A</v>
      </c>
      <c r="S115" s="164" t="e">
        <f>IF(VLOOKUP(T_BilanSocial[[#This Row],[NumL]],T_suiviDi[#Data],COLUMN(T_suiviDi[[#This Row],[Service ]]),FALSE)="","",VLOOKUP(T_BilanSocial[[#This Row],[NumL]],T_suiviDi[#Data],COLUMN(T_suiviDi[[#This Row],[Service ]]),FALSE))</f>
        <v>#VALUE!</v>
      </c>
      <c r="T115" s="164" t="str">
        <f t="shared" si="12"/>
        <v>01 septembre 2021</v>
      </c>
      <c r="U115" s="164" t="str">
        <f t="shared" si="13"/>
        <v>30 novembre 2021</v>
      </c>
      <c r="V115" s="164" t="str">
        <f t="shared" si="21"/>
        <v>30 novembre 2021</v>
      </c>
      <c r="W115" s="176" t="e">
        <f>IF(VLOOKUP(T_BilanSocial[[#This Row],[NumL]],T_TraitDi[#Data],COLUMN(T_TraitDi[[#This Row],[M1]]),FALSE)="","",VLOOKUP(T_BilanSocial[[#This Row],[NumL]],T_TraitDi[#Data],COLUMN(T_TraitDi[[#This Row],[M1]]),FALSE))</f>
        <v>#VALUE!</v>
      </c>
      <c r="X115" s="176" t="e">
        <f>IF(VLOOKUP(T_BilanSocial[[#This Row],[NumL]],T_TraitDi[#Data],COLUMN(T_TraitDi[[#This Row],[M2]]),FALSE)="","",VLOOKUP(T_BilanSocial[[#This Row],[NumL]],T_TraitDi[#Data],COLUMN(T_TraitDi[[#This Row],[M2]]),FALSE))</f>
        <v>#VALUE!</v>
      </c>
      <c r="Y115" s="176" t="e">
        <f>IF(VLOOKUP(T_BilanSocial[[#This Row],[NumL]],T_TraitDi[#Data],COLUMN(T_TraitDi[[#This Row],[M3]]),FALSE)="","",VLOOKUP(T_BilanSocial[[#This Row],[NumL]],T_TraitDi[#Data],COLUMN(T_TraitDi[[#This Row],[M3]]),FALSE))</f>
        <v>#VALUE!</v>
      </c>
      <c r="Z115" s="176" t="str">
        <f t="shared" si="16"/>
        <v/>
      </c>
      <c r="AA115" s="176" t="e">
        <f>IF(VLOOKUP(T_BilanSocial[[#This Row],[NumL]],T_TraitDi[#Data],COLUMN(T_TraitDi[[#This Row],[M5]]),FALSE)="","",VLOOKUP(T_BilanSocial[[#This Row],[NumL]],T_TraitDi[#Data],COLUMN(T_TraitDi[[#This Row],[M5]]),FALSE))</f>
        <v>#VALUE!</v>
      </c>
      <c r="AB115" s="176" t="e">
        <f>IF(VLOOKUP(T_BilanSocial[[#This Row],[NumL]],T_TraitDi[#Data],COLUMN(T_TraitDi[[#This Row],[M6]]),FALSE)="","",VLOOKUP(T_BilanSocial[[#This Row],[NumL]],T_TraitDi[#Data],COLUMN(T_TraitDi[[#This Row],[M6]]),FALSE))</f>
        <v>#VALUE!</v>
      </c>
      <c r="AC115" s="165" t="e">
        <f t="shared" si="15"/>
        <v>#VALUE!</v>
      </c>
      <c r="AD115" s="188" t="str">
        <f>IFERROR(TEXT(VLOOKUP(T_BilanSocial[[#This Row],[NumL]],T_TraitDi[#Data],COLUMN(T_TraitDi[[#This Row],[Q2]]),FALSE),"###%"),"")</f>
        <v/>
      </c>
      <c r="AE115" s="97" t="e">
        <f>VLOOKUP(T_BilanSocial[[#This Row],[NumL]],T_TraitDi[#Data],COLUMN(T_TraitDi[[#This Row],[Reg Ponct]]),FALSE)</f>
        <v>#VALUE!</v>
      </c>
      <c r="AF115" s="97" t="e">
        <f>VLOOKUP(T_BilanSocial[NumL],T_TraitDi[#Data],COLUMN(T_TraitDi[[#This Row],[Jours flottants]]),FALSE)</f>
        <v>#VALUE!</v>
      </c>
      <c r="AG115" s="97" t="str">
        <f>IFERROR(VLOOKUP(T_BilanSocial[[#This Row],[NumL]],T_TraitDi[#Data],COLUMN(T_TraitDi[[#This Row],[Lundi]]),FALSE),"")</f>
        <v/>
      </c>
      <c r="AH115" s="172" t="e">
        <f>IF(VLOOKUP(T_BilanSocial[[#This Row],[NumL]],T_TraitDi[#Data],COLUMN(T_TraitDi[[#This Row],[Colonne3]]),FALSE)=0,"",TEXT(IFERROR(VLOOKUP(T_BilanSocial[[#This Row],[NumL]],T_TraitDi[#Data],COLUMN(T_TraitDi[[#This Row],[Colonne3]]),FALSE),""),"[hh]:mm"))</f>
        <v>#VALUE!</v>
      </c>
      <c r="AI115" s="172" t="e">
        <f>IF(VLOOKUP(T_BilanSocial[[#This Row],[NumL]],T_TraitDi[#Data],COLUMN(T_TraitDi[[#This Row],[Colonne4]]),FALSE)=0,"",TEXT(IFERROR(VLOOKUP(T_BilanSocial[[#This Row],[NumL]],T_TraitDi[#Data],COLUMN(T_TraitDi[[#This Row],[Colonne4]]),FALSE),""),"[hh]:mm"))</f>
        <v>#VALUE!</v>
      </c>
      <c r="AJ115" s="172" t="e">
        <f>IF(VLOOKUP(T_BilanSocial[[#This Row],[NumL]],T_TraitDi[#Data],COLUMN(T_TraitDi[[#This Row],[Colonne5]]),FALSE)=0,"",TEXT(IFERROR(VLOOKUP(T_BilanSocial[[#This Row],[NumL]],T_TraitDi[#Data],COLUMN(T_TraitDi[[#This Row],[Colonne5]]),FALSE),""),"[hh]:mm"))</f>
        <v>#VALUE!</v>
      </c>
      <c r="AK115" s="172" t="e">
        <f>IF(VLOOKUP(T_BilanSocial[[#This Row],[NumL]],T_TraitDi[#Data],COLUMN(T_TraitDi[[#This Row],[Colonne6]]),FALSE)=0,"",TEXT(IFERROR(VLOOKUP(T_BilanSocial[[#This Row],[NumL]],T_TraitDi[#Data],COLUMN(T_TraitDi[[#This Row],[Colonne6]]),FALSE),""),"[hh]:mm"))</f>
        <v>#VALUE!</v>
      </c>
      <c r="AL115" s="172" t="e">
        <f>IF(VLOOKUP(T_BilanSocial[[#This Row],[NumL]],T_TraitDi[#Data],COLUMN(T_TraitDi[[#This Row],[Colonne7]]),FALSE)=0,"",TEXT(IFERROR(VLOOKUP(T_BilanSocial[[#This Row],[NumL]],T_TraitDi[#Data],COLUMN(T_TraitDi[[#This Row],[Colonne7]]),FALSE),""),"[hh]:mm"))</f>
        <v>#VALUE!</v>
      </c>
      <c r="AM115" s="172" t="e">
        <f>IF(VLOOKUP(T_BilanSocial[[#This Row],[NumL]],T_TraitDi[#Data],COLUMN(T_TraitDi[[#This Row],[Colonne8]]),FALSE)=0,"",TEXT(IFERROR(VLOOKUP(T_BilanSocial[[#This Row],[NumL]],T_TraitDi[#Data],COLUMN(T_TraitDi[[#This Row],[Colonne8]]),FALSE),""),"[hh]:mm"))</f>
        <v>#VALUE!</v>
      </c>
      <c r="AN115" s="172" t="str">
        <f>IFERROR(VLOOKUP(T_BilanSocial[[#This Row],[NumL]],T_TraitDi[#Data],COLUMN(T_TraitDi[[#This Row],[Mardi]]),FALSE),"")</f>
        <v/>
      </c>
      <c r="AO115" s="172" t="e">
        <f>IF(VLOOKUP(T_BilanSocial[[#This Row],[NumL]],T_TraitDi[#Data],COLUMN(T_TraitDi[[#This Row],[Colonne1]]),FALSE)=0,"",TEXT(IFERROR(VLOOKUP(T_BilanSocial[[#This Row],[NumL]],T_TraitDi[#Data],COLUMN(T_TraitDi[[#This Row],[Colonne1]]),FALSE),""),"[hh]:mm"))</f>
        <v>#VALUE!</v>
      </c>
      <c r="AP115" s="172" t="e">
        <f>IF(VLOOKUP(T_BilanSocial[[#This Row],[NumL]],T_TraitDi[#Data],COLUMN(T_TraitDi[[#This Row],[Colonne9]]),FALSE)=0,"",TEXT(IFERROR(VLOOKUP(T_BilanSocial[[#This Row],[NumL]],T_TraitDi[#Data],COLUMN(T_TraitDi[[#This Row],[Colonne9]]),FALSE),""),"[hh]:mm"))</f>
        <v>#VALUE!</v>
      </c>
      <c r="AQ115" s="172" t="str">
        <f>IFERROR(VLOOKUP(T_BilanSocial[[#This Row],[NumL]],T_TraitDi[#Data],COLUMN(T_TraitDi[[#This Row],[Colonne10]]),FALSE),"")</f>
        <v/>
      </c>
      <c r="AR115" s="172" t="e">
        <f>IF(VLOOKUP(T_BilanSocial[[#This Row],[NumL]],T_TraitDi[#Data],COLUMN(T_TraitDi[[#This Row],[Colonne11]]),FALSE)=0,"",TEXT(IFERROR(VLOOKUP(T_BilanSocial[[#This Row],[NumL]],T_TraitDi[#Data],COLUMN(T_TraitDi[[#This Row],[Colonne11]]),FALSE),""),"[hh]:mm"))</f>
        <v>#VALUE!</v>
      </c>
      <c r="AS115" s="172" t="e">
        <f>IF(VLOOKUP(T_BilanSocial[[#This Row],[NumL]],T_TraitDi[#Data],COLUMN(T_TraitDi[[#This Row],[Colonne12]]),FALSE)=0,"",TEXT(IFERROR(VLOOKUP(T_BilanSocial[[#This Row],[NumL]],T_TraitDi[#Data],COLUMN(T_TraitDi[[#This Row],[Colonne12]]),FALSE),""),"[hh]:mm"))</f>
        <v>#VALUE!</v>
      </c>
      <c r="AT115" s="172" t="e">
        <f>IF(VLOOKUP(T_BilanSocial[[#This Row],[NumL]],T_TraitDi[#Data],COLUMN(T_TraitDi[[#This Row],[Colonne14]]),FALSE)=0,"",TEXT(IFERROR(VLOOKUP(T_BilanSocial[[#This Row],[NumL]],T_TraitDi[#Data],COLUMN(T_TraitDi[[#This Row],[Colonne14]]),FALSE),""),"[hh]:mm"))</f>
        <v>#VALUE!</v>
      </c>
      <c r="AU115" s="172" t="str">
        <f>IFERROR(VLOOKUP(T_BilanSocial[[#This Row],[NumL]],T_TraitDi[#Data],COLUMN(T_TraitDi[[#This Row],[Mercredi]]),FALSE),"")</f>
        <v/>
      </c>
      <c r="AV115" s="172" t="e">
        <f>IF(VLOOKUP(T_BilanSocial[[#This Row],[NumL]],T_TraitDi[#Data],COLUMN(T_TraitDi[[#This Row],[Colonne15]]),FALSE)=0,"",TEXT(IFERROR(VLOOKUP(T_BilanSocial[[#This Row],[NumL]],T_TraitDi[#Data],COLUMN(T_TraitDi[[#This Row],[Colonne15]]),FALSE),""),"[hh]:mm"))</f>
        <v>#VALUE!</v>
      </c>
      <c r="AW115" s="172" t="e">
        <f>IF(VLOOKUP(T_BilanSocial[[#This Row],[NumL]],T_TraitDi[#Data],COLUMN(T_TraitDi[[#This Row],[Colonne16]]),FALSE)=0,"",TEXT(IFERROR(VLOOKUP(T_BilanSocial[[#This Row],[NumL]],T_TraitDi[#Data],COLUMN(T_TraitDi[[#This Row],[Colonne16]]),FALSE),""),"[hh]:mm"))</f>
        <v>#VALUE!</v>
      </c>
      <c r="AX115" s="172" t="str">
        <f>IFERROR(VLOOKUP(T_BilanSocial[[#This Row],[NumL]],T_TraitDi[#Data],COLUMN(T_TraitDi[[#This Row],[Colonne17]]),FALSE),"")</f>
        <v/>
      </c>
      <c r="AY115" s="172" t="e">
        <f>IF(VLOOKUP(T_BilanSocial[[#This Row],[NumL]],T_TraitDi[#Data],COLUMN(T_TraitDi[[#This Row],[Colonne18]]),FALSE)=0,"",TEXT(IFERROR(VLOOKUP(T_BilanSocial[[#This Row],[NumL]],T_TraitDi[#Data],COLUMN(T_TraitDi[[#This Row],[Colonne18]]),FALSE),""),"[hh]:mm"))</f>
        <v>#VALUE!</v>
      </c>
      <c r="AZ115" s="172" t="e">
        <f>IF(VLOOKUP(T_BilanSocial[[#This Row],[NumL]],T_TraitDi[#Data],COLUMN(T_TraitDi[[#This Row],[Colonne19]]),FALSE)=0,"",TEXT(IFERROR(VLOOKUP(T_BilanSocial[[#This Row],[NumL]],T_TraitDi[#Data],COLUMN(T_TraitDi[[#This Row],[Colonne19]]),FALSE),""),"[hh]:mm"))</f>
        <v>#VALUE!</v>
      </c>
      <c r="BA115" s="172" t="e">
        <f>IF(VLOOKUP(T_BilanSocial[[#This Row],[NumL]],T_TraitDi[#Data],COLUMN(T_TraitDi[[#This Row],[Colonne20]]),FALSE)=0,"",TEXT(IFERROR(VLOOKUP(T_BilanSocial[[#This Row],[NumL]],T_TraitDi[#Data],COLUMN(T_TraitDi[[#This Row],[Colonne20]]),FALSE),""),"[hh]:mm"))</f>
        <v>#VALUE!</v>
      </c>
      <c r="BB115" s="178" t="str">
        <f>IFERROR(VLOOKUP(T_BilanSocial[[#This Row],[NumL]],T_TraitDi[#Data],COLUMN(T_TraitDi[[#This Row],[Jeudi]]),FALSE),"")</f>
        <v/>
      </c>
      <c r="BC115" s="178" t="e">
        <f>IF(VLOOKUP(T_BilanSocial[[#This Row],[NumL]],T_TraitDi[#Data],COLUMN(T_TraitDi[[#This Row],[Colonne21]]),FALSE)=0,"",TEXT(IFERROR(VLOOKUP(T_BilanSocial[[#This Row],[NumL]],T_TraitDi[#Data],COLUMN(T_TraitDi[[#This Row],[Colonne21]]),FALSE),""),"[hh]:mm"))</f>
        <v>#VALUE!</v>
      </c>
      <c r="BD115" s="178" t="e">
        <f>IF(VLOOKUP(T_BilanSocial[[#This Row],[NumL]],T_TraitDi[#Data],COLUMN(T_TraitDi[[#This Row],[Colonne22]]),FALSE)=0,"",TEXT(IFERROR(VLOOKUP(T_BilanSocial[[#This Row],[NumL]],T_TraitDi[#Data],COLUMN(T_TraitDi[[#This Row],[Colonne22]]),FALSE),""),"[hh]:mm"))</f>
        <v>#VALUE!</v>
      </c>
      <c r="BE115" s="178" t="str">
        <f>IFERROR(VLOOKUP(T_BilanSocial[[#This Row],[NumL]],T_TraitDi[#Data],COLUMN(T_TraitDi[[#This Row],[Colonne23]]),FALSE),"")</f>
        <v/>
      </c>
      <c r="BF115" s="178" t="e">
        <f>IF(VLOOKUP(T_BilanSocial[[#This Row],[NumL]],T_TraitDi[#Data],COLUMN(T_TraitDi[[#This Row],[Colonne24]]),FALSE)=0,"",TEXT(IFERROR(VLOOKUP(T_BilanSocial[[#This Row],[NumL]],T_TraitDi[#Data],COLUMN(T_TraitDi[[#This Row],[Colonne24]]),FALSE),""),"[hh]:mm"))</f>
        <v>#VALUE!</v>
      </c>
      <c r="BG115" s="178" t="e">
        <f>IF(VLOOKUP(T_BilanSocial[[#This Row],[NumL]],T_TraitDi[#Data],COLUMN(T_TraitDi[[#This Row],[Colonne25]]),FALSE)=0,"",TEXT(IFERROR(VLOOKUP(T_BilanSocial[[#This Row],[NumL]],T_TraitDi[#Data],COLUMN(T_TraitDi[[#This Row],[Colonne25]]),FALSE),""),"[hh]:mm"))</f>
        <v>#VALUE!</v>
      </c>
      <c r="BH115" s="178" t="e">
        <f>IF(VLOOKUP(T_BilanSocial[[#This Row],[NumL]],T_TraitDi[#Data],COLUMN(T_TraitDi[[#This Row],[Colonne26]]),FALSE)=0,"",TEXT(IFERROR(VLOOKUP(T_BilanSocial[[#This Row],[NumL]],T_TraitDi[#Data],COLUMN(T_TraitDi[[#This Row],[Colonne26]]),FALSE),""),"[hh]:mm"))</f>
        <v>#VALUE!</v>
      </c>
      <c r="BI115" s="172" t="str">
        <f>IFERROR(VLOOKUP(T_BilanSocial[[#This Row],[NumL]],T_TraitDi[#Data],COLUMN(T_TraitDi[[#This Row],[Vendredi]]),FALSE),"")</f>
        <v/>
      </c>
      <c r="BJ115" s="172" t="e">
        <f>IF(VLOOKUP(T_BilanSocial[[#This Row],[NumL]],T_TraitDi[#Data],COLUMN(T_TraitDi[[#This Row],[Colonne27]]),FALSE)=0,"",TEXT(IFERROR(VLOOKUP(T_BilanSocial[[#This Row],[NumL]],T_TraitDi[#Data],COLUMN(T_TraitDi[[#This Row],[Colonne27]]),FALSE),""),"[hh]:mm"))</f>
        <v>#VALUE!</v>
      </c>
      <c r="BK115" s="172" t="e">
        <f>IF(VLOOKUP(T_BilanSocial[[#This Row],[NumL]],T_TraitDi[#Data],COLUMN(T_TraitDi[[#This Row],[Colonne28]]),FALSE)=0,"",TEXT(IFERROR(VLOOKUP(T_BilanSocial[[#This Row],[NumL]],T_TraitDi[#Data],COLUMN(T_TraitDi[[#This Row],[Colonne28]]),FALSE),""),"[hh]:mm"))</f>
        <v>#VALUE!</v>
      </c>
      <c r="BL115" s="172" t="str">
        <f>IFERROR(VLOOKUP(T_BilanSocial[[#This Row],[NumL]],T_TraitDi[#Data],COLUMN(T_TraitDi[[#This Row],[Colonne29]]),FALSE),"")</f>
        <v/>
      </c>
      <c r="BM115" s="172" t="e">
        <f>IF(VLOOKUP(T_BilanSocial[[#This Row],[NumL]],T_TraitDi[#Data],COLUMN(T_TraitDi[[#This Row],[Colonne30]]),FALSE)=0,"",TEXT(IFERROR(VLOOKUP(T_BilanSocial[[#This Row],[NumL]],T_TraitDi[#Data],COLUMN(T_TraitDi[[#This Row],[Colonne30]]),FALSE),""),"[hh]:mm"))</f>
        <v>#VALUE!</v>
      </c>
      <c r="BN115" s="172" t="e">
        <f>IF(VLOOKUP(T_BilanSocial[[#This Row],[NumL]],T_TraitDi[#Data],COLUMN(T_TraitDi[[#This Row],[Colonne31]]),FALSE)=0,"",TEXT(IFERROR(VLOOKUP(T_BilanSocial[[#This Row],[NumL]],T_TraitDi[#Data],COLUMN(T_TraitDi[[#This Row],[Colonne31]]),FALSE),""),"[hh]:mm"))</f>
        <v>#VALUE!</v>
      </c>
      <c r="BO115" s="172" t="e">
        <f>IF(VLOOKUP(T_BilanSocial[[#This Row],[NumL]],T_TraitDi[#Data],COLUMN(T_TraitDi[[#This Row],[Colonne32]]),FALSE)=0,"",TEXT(IFERROR(VLOOKUP(T_BilanSocial[[#This Row],[NumL]],T_TraitDi[#Data],COLUMN(T_TraitDi[[#This Row],[Colonne32]]),FALSE),""),"[hh]:mm"))</f>
        <v>#VALUE!</v>
      </c>
      <c r="BP115" s="172" t="e">
        <f>VLOOKUP(T_BilanSocial[[#This Row],[NumL]],T_TraitDi[#Data],COLUMN(T_TraitDi[NbJTot]),FALSE)</f>
        <v>#N/A</v>
      </c>
      <c r="BQ115" s="174" t="str">
        <f>IFERROR(VLOOKUP(T_BilanSocial[[#This Row],[NumL]],T_TraitDi[#Data],COLUMN(T_TraitDi[[#This Row],[NbJTW]]),FALSE),"")</f>
        <v/>
      </c>
      <c r="BR115" s="174" t="e">
        <f>IF(VLOOKUP(T_BilanSocial[[#This Row],[NumL]],T_TraitDi[#Data],COLUMN(T_TraitDi[[#This Row],[NbhTW]]),FALSE)=0,"",TEXT(IFERROR(VLOOKUP(T_BilanSocial[[#This Row],[NumL]],T_TraitDi[#Data],COLUMN(T_TraitDi[[#This Row],[NbhTW]]),FALSE),""),"[hh]:mm"))</f>
        <v>#VALUE!</v>
      </c>
      <c r="BS115" s="174" t="e">
        <f>IF(VLOOKUP(T_BilanSocial[[#This Row],[NumL]],T_TraitDi[#Data],COLUMN(T_TraitDi[[#This Row],[Nbhheb]]),FALSE)=0,"",TEXT(IFERROR(VLOOKUP($A115,T_TraitDi[#Data],COLUMN(T_TraitDi[[#This Row],[Nbhheb]]),FALSE),""),"[hh]:mm"))</f>
        <v>#VALUE!</v>
      </c>
      <c r="BT115" s="182" t="str">
        <f>IFERROR(VLOOKUP(VLOOKUP($A115,T_TraitDi[#Data],COLUMN(T_TraitDi[[#This Row],[Type1]]),FALSE),TypeTW,2,FALSE),"")</f>
        <v/>
      </c>
      <c r="BU115" s="182" t="str">
        <f>IFERROR(VLOOKUP($A115,T_TraitDi[#Data],COLUMN(T_TraitDi[[#This Row],[Rue1]]),FALSE),"")</f>
        <v/>
      </c>
      <c r="BV115" s="173" t="str">
        <f>IFERROR(VLOOKUP($A115,T_TraitDi[#Data],COLUMN(T_TraitDi[[#This Row],[CP1]]),FALSE),"")</f>
        <v/>
      </c>
      <c r="BW115" s="173" t="str">
        <f>IFERROR(VLOOKUP($A115,T_TraitDi[#Data],COLUMN(T_TraitDi[[#This Row],[VILLE1]]),FALSE),"")</f>
        <v/>
      </c>
      <c r="BX115" s="182" t="str">
        <f>IFERROR(VLOOKUP(VLOOKUP($A115,T_TraitDi[#Data],COLUMN(T_TraitDi[[#This Row],[Type2]]),FALSE),TypeTW,2,FALSE),"")</f>
        <v/>
      </c>
      <c r="BY115" s="182" t="str">
        <f>IFERROR(VLOOKUP($A115,T_TraitDi[#Data],COLUMN(T_TraitDi[[#This Row],[Rue2]]),FALSE),"")</f>
        <v/>
      </c>
      <c r="BZ115" s="173" t="str">
        <f>IFERROR(VLOOKUP($A115,T_TraitDi[#Data],COLUMN(T_TraitDi[[#This Row],[CP2]]),FALSE),"")</f>
        <v/>
      </c>
      <c r="CA115" s="173" t="str">
        <f>IFERROR(VLOOKUP($A115,T_TraitDi[#Data],COLUMN(T_TraitDi[[#This Row],[VILLE2]]),FALSE),"")</f>
        <v/>
      </c>
      <c r="CB115" s="182" t="str">
        <f>IF(VLOOKUP(T_BilanSocial[[#This Row],[NumL]],T_Equipement[#Data],COLUMN(T_Equipement[[#This Row],[PC]]),FALSE)="","Aucun équipement spécifique directement lié au télétravail",VLOOKUP(T_BilanSocial[[#This Row],[NumL]],T_Equipement[#Data],COLUMN(T_Equipement[[#This Row],[PC]]),FALSE))</f>
        <v xml:space="preserve">20-635	</v>
      </c>
      <c r="CC115" s="166" t="str">
        <f>IFERROR(IF(VLOOKUP(T_BilanSocial[[#This Row],[NumL]],T_TraitDi[#Data],COLUMN(T_TraitDi[[#This Row],[Plan]]),FALSE)="OK","Un planning spécifique de télétravail est annexé à la présente convention.",""),"")</f>
        <v/>
      </c>
      <c r="CD115" s="258" t="s">
        <v>3339</v>
      </c>
      <c r="CE115" s="164" t="e">
        <f>IF(VLOOKUP(T_BilanSocial[[#This Row],[NumL]],T_suiviDi[#Data],COLUMN(T_suiviDi[[#This Row],[Entité]]),FALSE)="","",VLOOKUP(T_BilanSocial[[#This Row],[NumL]],T_suiviDi[#Data],COLUMN(T_suiviDi[[#This Row],[Entité]]),FALSE))</f>
        <v>#VALUE!</v>
      </c>
      <c r="CF115" s="164" t="str">
        <f>IF(VLOOKUP(T_BilanSocial[[#This Row],[NumL]],T_Commission[#Data],COLUMN(T_Commission[[#This Row],[envoi confirm TW]]),FALSE)="","",VLOOKUP(T_BilanSocial[[#This Row],[NumL]],T_Commission[#Data],COLUMN(T_Commission[[#This Row],[envoi confirm TW]]),FALSE))</f>
        <v>Oui</v>
      </c>
      <c r="CG11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5" s="262" t="str">
        <f>T_BilanSocial[[#This Row],[Nom]]&amp;T_BilanSocial[[#This Row],[Prenom]]</f>
        <v/>
      </c>
      <c r="CI115" s="262">
        <f>VLOOKUP(T_BilanSocial[[#This Row],[NumL]],T_Commission[#Data],COLUMN(T_Commission[Commentaire]),FALSE)</f>
        <v>0</v>
      </c>
      <c r="CJ115" s="262" t="str">
        <f>IF(VLOOKUP(T_BilanSocial[[#This Row],[NumL]],T_Commission[#Data],COLUMN(T_Commission[Encadrant Email]),FALSE)="","",VLOOKUP(T_BilanSocial[[#This Row],[NumL]],T_Commission[#Data],COLUMN(T_Commission[Encadrant Email]),FALSE))</f>
        <v/>
      </c>
      <c r="CK115" s="340" t="str">
        <f>IF(T_BilanSocial[[#This Row],[Final]]&lt;&gt;"",VLOOKUP(T_BilanSocial[[#This Row],[NumL]],T_suiviDi[#Data],COLUMN((T_suiviDi[Statut])),FALSE),"")</f>
        <v/>
      </c>
    </row>
    <row r="116" spans="1:89" s="106" customFormat="1" ht="24.75" customHeight="1" x14ac:dyDescent="0.25">
      <c r="A116" s="160">
        <v>113</v>
      </c>
      <c r="B116" s="161" t="str">
        <f t="shared" si="10"/>
        <v/>
      </c>
      <c r="C116" s="162" t="s">
        <v>173</v>
      </c>
      <c r="D116" s="95" t="e">
        <f>IF(VLOOKUP(T_BilanSocial[[#This Row],[NumL]],T_TraitDi[#Data],COLUMN(T_TraitDi[[#This Row],[WebC]]),FALSE)="","",VLOOKUP(T_BilanSocial[[#This Row],[NumL]],T_TraitDi[#Data],COLUMN(T_TraitDi[[#This Row],[WebC]]),FALSE))</f>
        <v>#VALUE!</v>
      </c>
      <c r="E116" s="163" t="str">
        <f t="shared" si="11"/>
        <v>12 janvier 2021</v>
      </c>
      <c r="F116" s="96" t="str">
        <f>IF(T_BilanSocial[[#This Row],[Final]]&lt;&gt;"",VLOOKUP(T_BilanSocial[[#This Row],[NumL]],T_suiviDi[#Data],COLUMN((T_suiviDi[Civ.])),FALSE),"")</f>
        <v/>
      </c>
      <c r="G116" s="96" t="str">
        <f>IF(T_BilanSocial[[#This Row],[Final]]&lt;&gt;"",VLOOKUP(T_BilanSocial[[#This Row],[NumL]],T_suiviDi[#Data],COLUMN((T_suiviDi[Nom])),FALSE),"")</f>
        <v/>
      </c>
      <c r="H116" s="96" t="str">
        <f>IF(T_BilanSocial[[#This Row],[Final]]&lt;&gt;"",VLOOKUP(T_BilanSocial[[#This Row],[NumL]],T_suiviDi[#Data],COLUMN((T_suiviDi[Prénom])),FALSE),"")</f>
        <v/>
      </c>
      <c r="I116" s="96" t="str">
        <f>IFERROR(VLOOKUP(T_BilanSocial[[#This Row],[Zone_Bilan]],T_P_BilanSocial[#Data],COLUMN(T_P_BilanSocial[[#This Row],[Numero_SIHAM]]),FALSE),"")</f>
        <v/>
      </c>
      <c r="J116" s="96" t="str">
        <f>IFERROR(VLOOKUP(T_BilanSocial[[#This Row],[Zone_Bilan]],T_P_BilanSocial[#Data],COLUMN(T_P_BilanSocial[[#This Row],[Sexe]]),FALSE),"")</f>
        <v/>
      </c>
      <c r="K116" s="97" t="str">
        <f>IFERROR(VLOOKUP(T_BilanSocial[[#This Row],[Zone_Bilan]],T_P_BilanSocial[#Data],COLUMN(T_P_BilanSocial[[#This Row],[Categorie]]),FALSE),"")</f>
        <v/>
      </c>
      <c r="L116" s="96" t="str">
        <f>IFERROR(VLOOKUP(T_BilanSocial[[#This Row],[Zone_Bilan]],T_P_BilanSocial[#Data],COLUMN(T_P_BilanSocial[[#This Row],[Statut]]),FALSE),"")</f>
        <v/>
      </c>
      <c r="M116" s="96" t="str">
        <f>IFERROR(VLOOKUP(T_BilanSocial[[#This Row],[Zone_Bilan]],T_P_BilanSocial[#Data],COLUMN(T_P_BilanSocial[[#This Row],[Filiere]]),FALSE),"")</f>
        <v/>
      </c>
      <c r="N116" s="96" t="e">
        <f>VLOOKUP(T_BilanSocial[[#This Row],[NumL]],T_TraitDi[#Data],COLUMN(T_TraitDi[EXP]),FALSE)</f>
        <v>#N/A</v>
      </c>
      <c r="O116" s="96" t="e">
        <f>VLOOKUP(T_BilanSocial[[#This Row],[NumL]],T_TraitDi[#Data],COLUMN(T_TraitDi[FORM]),FALSE)</f>
        <v>#N/A</v>
      </c>
      <c r="P116" s="96" t="str">
        <f>IF(T_BilanSocial[[#This Row],[Final]]&lt;&gt;"",VLOOKUP(T_BilanSocial[[#This Row],[NumL]],T_suiviDi[#Data],COLUMN((T_suiviDi[Email])),FALSE),"")</f>
        <v/>
      </c>
      <c r="Q116" s="164" t="e">
        <f t="shared" si="17"/>
        <v>#N/A</v>
      </c>
      <c r="R116" s="164" t="e">
        <f t="shared" si="18"/>
        <v>#N/A</v>
      </c>
      <c r="S116" s="164" t="e">
        <f>IF(VLOOKUP(T_BilanSocial[[#This Row],[NumL]],T_suiviDi[#Data],COLUMN(T_suiviDi[[#This Row],[Service ]]),FALSE)="","",VLOOKUP(T_BilanSocial[[#This Row],[NumL]],T_suiviDi[#Data],COLUMN(T_suiviDi[[#This Row],[Service ]]),FALSE))</f>
        <v>#VALUE!</v>
      </c>
      <c r="T116" s="164" t="str">
        <f t="shared" si="12"/>
        <v>01 septembre 2021</v>
      </c>
      <c r="U116" s="164" t="str">
        <f t="shared" si="13"/>
        <v>30 novembre 2021</v>
      </c>
      <c r="V116" s="164" t="str">
        <f t="shared" si="21"/>
        <v>30 novembre 2021</v>
      </c>
      <c r="W116" s="176" t="e">
        <f>IF(VLOOKUP(T_BilanSocial[[#This Row],[NumL]],T_TraitDi[#Data],COLUMN(T_TraitDi[[#This Row],[M1]]),FALSE)="","",VLOOKUP(T_BilanSocial[[#This Row],[NumL]],T_TraitDi[#Data],COLUMN(T_TraitDi[[#This Row],[M1]]),FALSE))</f>
        <v>#VALUE!</v>
      </c>
      <c r="X116" s="176" t="e">
        <f>IF(VLOOKUP(T_BilanSocial[[#This Row],[NumL]],T_TraitDi[#Data],COLUMN(T_TraitDi[[#This Row],[M2]]),FALSE)="","",VLOOKUP(T_BilanSocial[[#This Row],[NumL]],T_TraitDi[#Data],COLUMN(T_TraitDi[[#This Row],[M2]]),FALSE))</f>
        <v>#VALUE!</v>
      </c>
      <c r="Y116" s="176" t="e">
        <f>IF(VLOOKUP(T_BilanSocial[[#This Row],[NumL]],T_TraitDi[#Data],COLUMN(T_TraitDi[[#This Row],[M3]]),FALSE)="","",VLOOKUP(T_BilanSocial[[#This Row],[NumL]],T_TraitDi[#Data],COLUMN(T_TraitDi[[#This Row],[M3]]),FALSE))</f>
        <v>#VALUE!</v>
      </c>
      <c r="Z116" s="176" t="str">
        <f t="shared" si="16"/>
        <v/>
      </c>
      <c r="AA116" s="176" t="e">
        <f>IF(VLOOKUP(T_BilanSocial[[#This Row],[NumL]],T_TraitDi[#Data],COLUMN(T_TraitDi[[#This Row],[M5]]),FALSE)="","",VLOOKUP(T_BilanSocial[[#This Row],[NumL]],T_TraitDi[#Data],COLUMN(T_TraitDi[[#This Row],[M5]]),FALSE))</f>
        <v>#VALUE!</v>
      </c>
      <c r="AB116" s="176" t="e">
        <f>IF(VLOOKUP(T_BilanSocial[[#This Row],[NumL]],T_TraitDi[#Data],COLUMN(T_TraitDi[[#This Row],[M6]]),FALSE)="","",VLOOKUP(T_BilanSocial[[#This Row],[NumL]],T_TraitDi[#Data],COLUMN(T_TraitDi[[#This Row],[M6]]),FALSE))</f>
        <v>#VALUE!</v>
      </c>
      <c r="AC116" s="165" t="e">
        <f t="shared" si="15"/>
        <v>#VALUE!</v>
      </c>
      <c r="AD116" s="188" t="str">
        <f>IFERROR(TEXT(VLOOKUP(T_BilanSocial[[#This Row],[NumL]],T_TraitDi[#Data],COLUMN(T_TraitDi[[#This Row],[Q2]]),FALSE),"###%"),"")</f>
        <v/>
      </c>
      <c r="AE116" s="97" t="e">
        <f>VLOOKUP(T_BilanSocial[[#This Row],[NumL]],T_TraitDi[#Data],COLUMN(T_TraitDi[[#This Row],[Reg Ponct]]),FALSE)</f>
        <v>#VALUE!</v>
      </c>
      <c r="AF116" s="97" t="e">
        <f>VLOOKUP(T_BilanSocial[NumL],T_TraitDi[#Data],COLUMN(T_TraitDi[[#This Row],[Jours flottants]]),FALSE)</f>
        <v>#VALUE!</v>
      </c>
      <c r="AG116" s="97" t="str">
        <f>IFERROR(VLOOKUP(T_BilanSocial[[#This Row],[NumL]],T_TraitDi[#Data],COLUMN(T_TraitDi[[#This Row],[Lundi]]),FALSE),"")</f>
        <v/>
      </c>
      <c r="AH116" s="172" t="e">
        <f>IF(VLOOKUP(T_BilanSocial[[#This Row],[NumL]],T_TraitDi[#Data],COLUMN(T_TraitDi[[#This Row],[Colonne3]]),FALSE)=0,"",TEXT(IFERROR(VLOOKUP(T_BilanSocial[[#This Row],[NumL]],T_TraitDi[#Data],COLUMN(T_TraitDi[[#This Row],[Colonne3]]),FALSE),""),"[hh]:mm"))</f>
        <v>#VALUE!</v>
      </c>
      <c r="AI116" s="172" t="e">
        <f>IF(VLOOKUP(T_BilanSocial[[#This Row],[NumL]],T_TraitDi[#Data],COLUMN(T_TraitDi[[#This Row],[Colonne4]]),FALSE)=0,"",TEXT(IFERROR(VLOOKUP(T_BilanSocial[[#This Row],[NumL]],T_TraitDi[#Data],COLUMN(T_TraitDi[[#This Row],[Colonne4]]),FALSE),""),"[hh]:mm"))</f>
        <v>#VALUE!</v>
      </c>
      <c r="AJ116" s="172" t="e">
        <f>IF(VLOOKUP(T_BilanSocial[[#This Row],[NumL]],T_TraitDi[#Data],COLUMN(T_TraitDi[[#This Row],[Colonne5]]),FALSE)=0,"",TEXT(IFERROR(VLOOKUP(T_BilanSocial[[#This Row],[NumL]],T_TraitDi[#Data],COLUMN(T_TraitDi[[#This Row],[Colonne5]]),FALSE),""),"[hh]:mm"))</f>
        <v>#VALUE!</v>
      </c>
      <c r="AK116" s="172" t="e">
        <f>IF(VLOOKUP(T_BilanSocial[[#This Row],[NumL]],T_TraitDi[#Data],COLUMN(T_TraitDi[[#This Row],[Colonne6]]),FALSE)=0,"",TEXT(IFERROR(VLOOKUP(T_BilanSocial[[#This Row],[NumL]],T_TraitDi[#Data],COLUMN(T_TraitDi[[#This Row],[Colonne6]]),FALSE),""),"[hh]:mm"))</f>
        <v>#VALUE!</v>
      </c>
      <c r="AL116" s="172" t="e">
        <f>IF(VLOOKUP(T_BilanSocial[[#This Row],[NumL]],T_TraitDi[#Data],COLUMN(T_TraitDi[[#This Row],[Colonne7]]),FALSE)=0,"",TEXT(IFERROR(VLOOKUP(T_BilanSocial[[#This Row],[NumL]],T_TraitDi[#Data],COLUMN(T_TraitDi[[#This Row],[Colonne7]]),FALSE),""),"[hh]:mm"))</f>
        <v>#VALUE!</v>
      </c>
      <c r="AM116" s="172" t="e">
        <f>IF(VLOOKUP(T_BilanSocial[[#This Row],[NumL]],T_TraitDi[#Data],COLUMN(T_TraitDi[[#This Row],[Colonne8]]),FALSE)=0,"",TEXT(IFERROR(VLOOKUP(T_BilanSocial[[#This Row],[NumL]],T_TraitDi[#Data],COLUMN(T_TraitDi[[#This Row],[Colonne8]]),FALSE),""),"[hh]:mm"))</f>
        <v>#VALUE!</v>
      </c>
      <c r="AN116" s="172" t="str">
        <f>IFERROR(VLOOKUP(T_BilanSocial[[#This Row],[NumL]],T_TraitDi[#Data],COLUMN(T_TraitDi[[#This Row],[Mardi]]),FALSE),"")</f>
        <v/>
      </c>
      <c r="AO116" s="172" t="e">
        <f>IF(VLOOKUP(T_BilanSocial[[#This Row],[NumL]],T_TraitDi[#Data],COLUMN(T_TraitDi[[#This Row],[Colonne1]]),FALSE)=0,"",TEXT(IFERROR(VLOOKUP(T_BilanSocial[[#This Row],[NumL]],T_TraitDi[#Data],COLUMN(T_TraitDi[[#This Row],[Colonne1]]),FALSE),""),"[hh]:mm"))</f>
        <v>#VALUE!</v>
      </c>
      <c r="AP116" s="172" t="e">
        <f>IF(VLOOKUP(T_BilanSocial[[#This Row],[NumL]],T_TraitDi[#Data],COLUMN(T_TraitDi[[#This Row],[Colonne9]]),FALSE)=0,"",TEXT(IFERROR(VLOOKUP(T_BilanSocial[[#This Row],[NumL]],T_TraitDi[#Data],COLUMN(T_TraitDi[[#This Row],[Colonne9]]),FALSE),""),"[hh]:mm"))</f>
        <v>#VALUE!</v>
      </c>
      <c r="AQ116" s="172" t="str">
        <f>IFERROR(VLOOKUP(T_BilanSocial[[#This Row],[NumL]],T_TraitDi[#Data],COLUMN(T_TraitDi[[#This Row],[Colonne10]]),FALSE),"")</f>
        <v/>
      </c>
      <c r="AR116" s="172" t="e">
        <f>IF(VLOOKUP(T_BilanSocial[[#This Row],[NumL]],T_TraitDi[#Data],COLUMN(T_TraitDi[[#This Row],[Colonne11]]),FALSE)=0,"",TEXT(IFERROR(VLOOKUP(T_BilanSocial[[#This Row],[NumL]],T_TraitDi[#Data],COLUMN(T_TraitDi[[#This Row],[Colonne11]]),FALSE),""),"[hh]:mm"))</f>
        <v>#VALUE!</v>
      </c>
      <c r="AS116" s="172" t="e">
        <f>IF(VLOOKUP(T_BilanSocial[[#This Row],[NumL]],T_TraitDi[#Data],COLUMN(T_TraitDi[[#This Row],[Colonne12]]),FALSE)=0,"",TEXT(IFERROR(VLOOKUP(T_BilanSocial[[#This Row],[NumL]],T_TraitDi[#Data],COLUMN(T_TraitDi[[#This Row],[Colonne12]]),FALSE),""),"[hh]:mm"))</f>
        <v>#VALUE!</v>
      </c>
      <c r="AT116" s="172" t="e">
        <f>IF(VLOOKUP(T_BilanSocial[[#This Row],[NumL]],T_TraitDi[#Data],COLUMN(T_TraitDi[[#This Row],[Colonne14]]),FALSE)=0,"",TEXT(IFERROR(VLOOKUP(T_BilanSocial[[#This Row],[NumL]],T_TraitDi[#Data],COLUMN(T_TraitDi[[#This Row],[Colonne14]]),FALSE),""),"[hh]:mm"))</f>
        <v>#VALUE!</v>
      </c>
      <c r="AU116" s="172" t="str">
        <f>IFERROR(VLOOKUP(T_BilanSocial[[#This Row],[NumL]],T_TraitDi[#Data],COLUMN(T_TraitDi[[#This Row],[Mercredi]]),FALSE),"")</f>
        <v/>
      </c>
      <c r="AV116" s="172" t="e">
        <f>IF(VLOOKUP(T_BilanSocial[[#This Row],[NumL]],T_TraitDi[#Data],COLUMN(T_TraitDi[[#This Row],[Colonne15]]),FALSE)=0,"",TEXT(IFERROR(VLOOKUP(T_BilanSocial[[#This Row],[NumL]],T_TraitDi[#Data],COLUMN(T_TraitDi[[#This Row],[Colonne15]]),FALSE),""),"[hh]:mm"))</f>
        <v>#VALUE!</v>
      </c>
      <c r="AW116" s="172" t="e">
        <f>IF(VLOOKUP(T_BilanSocial[[#This Row],[NumL]],T_TraitDi[#Data],COLUMN(T_TraitDi[[#This Row],[Colonne16]]),FALSE)=0,"",TEXT(IFERROR(VLOOKUP(T_BilanSocial[[#This Row],[NumL]],T_TraitDi[#Data],COLUMN(T_TraitDi[[#This Row],[Colonne16]]),FALSE),""),"[hh]:mm"))</f>
        <v>#VALUE!</v>
      </c>
      <c r="AX116" s="172" t="str">
        <f>IFERROR(VLOOKUP(T_BilanSocial[[#This Row],[NumL]],T_TraitDi[#Data],COLUMN(T_TraitDi[[#This Row],[Colonne17]]),FALSE),"")</f>
        <v/>
      </c>
      <c r="AY116" s="172" t="e">
        <f>IF(VLOOKUP(T_BilanSocial[[#This Row],[NumL]],T_TraitDi[#Data],COLUMN(T_TraitDi[[#This Row],[Colonne18]]),FALSE)=0,"",TEXT(IFERROR(VLOOKUP(T_BilanSocial[[#This Row],[NumL]],T_TraitDi[#Data],COLUMN(T_TraitDi[[#This Row],[Colonne18]]),FALSE),""),"[hh]:mm"))</f>
        <v>#VALUE!</v>
      </c>
      <c r="AZ116" s="172" t="e">
        <f>IF(VLOOKUP(T_BilanSocial[[#This Row],[NumL]],T_TraitDi[#Data],COLUMN(T_TraitDi[[#This Row],[Colonne19]]),FALSE)=0,"",TEXT(IFERROR(VLOOKUP(T_BilanSocial[[#This Row],[NumL]],T_TraitDi[#Data],COLUMN(T_TraitDi[[#This Row],[Colonne19]]),FALSE),""),"[hh]:mm"))</f>
        <v>#VALUE!</v>
      </c>
      <c r="BA116" s="172" t="e">
        <f>IF(VLOOKUP(T_BilanSocial[[#This Row],[NumL]],T_TraitDi[#Data],COLUMN(T_TraitDi[[#This Row],[Colonne20]]),FALSE)=0,"",TEXT(IFERROR(VLOOKUP(T_BilanSocial[[#This Row],[NumL]],T_TraitDi[#Data],COLUMN(T_TraitDi[[#This Row],[Colonne20]]),FALSE),""),"[hh]:mm"))</f>
        <v>#VALUE!</v>
      </c>
      <c r="BB116" s="178" t="str">
        <f>IFERROR(VLOOKUP(T_BilanSocial[[#This Row],[NumL]],T_TraitDi[#Data],COLUMN(T_TraitDi[[#This Row],[Jeudi]]),FALSE),"")</f>
        <v/>
      </c>
      <c r="BC116" s="178" t="e">
        <f>IF(VLOOKUP(T_BilanSocial[[#This Row],[NumL]],T_TraitDi[#Data],COLUMN(T_TraitDi[[#This Row],[Colonne21]]),FALSE)=0,"",TEXT(IFERROR(VLOOKUP(T_BilanSocial[[#This Row],[NumL]],T_TraitDi[#Data],COLUMN(T_TraitDi[[#This Row],[Colonne21]]),FALSE),""),"[hh]:mm"))</f>
        <v>#VALUE!</v>
      </c>
      <c r="BD116" s="178" t="e">
        <f>IF(VLOOKUP(T_BilanSocial[[#This Row],[NumL]],T_TraitDi[#Data],COLUMN(T_TraitDi[[#This Row],[Colonne22]]),FALSE)=0,"",TEXT(IFERROR(VLOOKUP(T_BilanSocial[[#This Row],[NumL]],T_TraitDi[#Data],COLUMN(T_TraitDi[[#This Row],[Colonne22]]),FALSE),""),"[hh]:mm"))</f>
        <v>#VALUE!</v>
      </c>
      <c r="BE116" s="178" t="str">
        <f>IFERROR(VLOOKUP(T_BilanSocial[[#This Row],[NumL]],T_TraitDi[#Data],COLUMN(T_TraitDi[[#This Row],[Colonne23]]),FALSE),"")</f>
        <v/>
      </c>
      <c r="BF116" s="178" t="e">
        <f>IF(VLOOKUP(T_BilanSocial[[#This Row],[NumL]],T_TraitDi[#Data],COLUMN(T_TraitDi[[#This Row],[Colonne24]]),FALSE)=0,"",TEXT(IFERROR(VLOOKUP(T_BilanSocial[[#This Row],[NumL]],T_TraitDi[#Data],COLUMN(T_TraitDi[[#This Row],[Colonne24]]),FALSE),""),"[hh]:mm"))</f>
        <v>#VALUE!</v>
      </c>
      <c r="BG116" s="178" t="e">
        <f>IF(VLOOKUP(T_BilanSocial[[#This Row],[NumL]],T_TraitDi[#Data],COLUMN(T_TraitDi[[#This Row],[Colonne25]]),FALSE)=0,"",TEXT(IFERROR(VLOOKUP(T_BilanSocial[[#This Row],[NumL]],T_TraitDi[#Data],COLUMN(T_TraitDi[[#This Row],[Colonne25]]),FALSE),""),"[hh]:mm"))</f>
        <v>#VALUE!</v>
      </c>
      <c r="BH116" s="178" t="e">
        <f>IF(VLOOKUP(T_BilanSocial[[#This Row],[NumL]],T_TraitDi[#Data],COLUMN(T_TraitDi[[#This Row],[Colonne26]]),FALSE)=0,"",TEXT(IFERROR(VLOOKUP(T_BilanSocial[[#This Row],[NumL]],T_TraitDi[#Data],COLUMN(T_TraitDi[[#This Row],[Colonne26]]),FALSE),""),"[hh]:mm"))</f>
        <v>#VALUE!</v>
      </c>
      <c r="BI116" s="172" t="str">
        <f>IFERROR(VLOOKUP(T_BilanSocial[[#This Row],[NumL]],T_TraitDi[#Data],COLUMN(T_TraitDi[[#This Row],[Vendredi]]),FALSE),"")</f>
        <v/>
      </c>
      <c r="BJ116" s="172" t="e">
        <f>IF(VLOOKUP(T_BilanSocial[[#This Row],[NumL]],T_TraitDi[#Data],COLUMN(T_TraitDi[[#This Row],[Colonne27]]),FALSE)=0,"",TEXT(IFERROR(VLOOKUP(T_BilanSocial[[#This Row],[NumL]],T_TraitDi[#Data],COLUMN(T_TraitDi[[#This Row],[Colonne27]]),FALSE),""),"[hh]:mm"))</f>
        <v>#VALUE!</v>
      </c>
      <c r="BK116" s="172" t="e">
        <f>IF(VLOOKUP(T_BilanSocial[[#This Row],[NumL]],T_TraitDi[#Data],COLUMN(T_TraitDi[[#This Row],[Colonne28]]),FALSE)=0,"",TEXT(IFERROR(VLOOKUP(T_BilanSocial[[#This Row],[NumL]],T_TraitDi[#Data],COLUMN(T_TraitDi[[#This Row],[Colonne28]]),FALSE),""),"[hh]:mm"))</f>
        <v>#VALUE!</v>
      </c>
      <c r="BL116" s="172" t="str">
        <f>IFERROR(VLOOKUP(T_BilanSocial[[#This Row],[NumL]],T_TraitDi[#Data],COLUMN(T_TraitDi[[#This Row],[Colonne29]]),FALSE),"")</f>
        <v/>
      </c>
      <c r="BM116" s="172" t="e">
        <f>IF(VLOOKUP(T_BilanSocial[[#This Row],[NumL]],T_TraitDi[#Data],COLUMN(T_TraitDi[[#This Row],[Colonne30]]),FALSE)=0,"",TEXT(IFERROR(VLOOKUP(T_BilanSocial[[#This Row],[NumL]],T_TraitDi[#Data],COLUMN(T_TraitDi[[#This Row],[Colonne30]]),FALSE),""),"[hh]:mm"))</f>
        <v>#VALUE!</v>
      </c>
      <c r="BN116" s="172" t="e">
        <f>IF(VLOOKUP(T_BilanSocial[[#This Row],[NumL]],T_TraitDi[#Data],COLUMN(T_TraitDi[[#This Row],[Colonne31]]),FALSE)=0,"",TEXT(IFERROR(VLOOKUP(T_BilanSocial[[#This Row],[NumL]],T_TraitDi[#Data],COLUMN(T_TraitDi[[#This Row],[Colonne31]]),FALSE),""),"[hh]:mm"))</f>
        <v>#VALUE!</v>
      </c>
      <c r="BO116" s="172" t="e">
        <f>IF(VLOOKUP(T_BilanSocial[[#This Row],[NumL]],T_TraitDi[#Data],COLUMN(T_TraitDi[[#This Row],[Colonne32]]),FALSE)=0,"",TEXT(IFERROR(VLOOKUP(T_BilanSocial[[#This Row],[NumL]],T_TraitDi[#Data],COLUMN(T_TraitDi[[#This Row],[Colonne32]]),FALSE),""),"[hh]:mm"))</f>
        <v>#VALUE!</v>
      </c>
      <c r="BP116" s="172" t="e">
        <f>VLOOKUP(T_BilanSocial[[#This Row],[NumL]],T_TraitDi[#Data],COLUMN(T_TraitDi[NbJTot]),FALSE)</f>
        <v>#N/A</v>
      </c>
      <c r="BQ116" s="174" t="str">
        <f>IFERROR(VLOOKUP(T_BilanSocial[[#This Row],[NumL]],T_TraitDi[#Data],COLUMN(T_TraitDi[[#This Row],[NbJTW]]),FALSE),"")</f>
        <v/>
      </c>
      <c r="BR116" s="174" t="e">
        <f>IF(VLOOKUP(T_BilanSocial[[#This Row],[NumL]],T_TraitDi[#Data],COLUMN(T_TraitDi[[#This Row],[NbhTW]]),FALSE)=0,"",TEXT(IFERROR(VLOOKUP(T_BilanSocial[[#This Row],[NumL]],T_TraitDi[#Data],COLUMN(T_TraitDi[[#This Row],[NbhTW]]),FALSE),""),"[hh]:mm"))</f>
        <v>#VALUE!</v>
      </c>
      <c r="BS116" s="174" t="e">
        <f>IF(VLOOKUP(T_BilanSocial[[#This Row],[NumL]],T_TraitDi[#Data],COLUMN(T_TraitDi[[#This Row],[Nbhheb]]),FALSE)=0,"",TEXT(IFERROR(VLOOKUP($A116,T_TraitDi[#Data],COLUMN(T_TraitDi[[#This Row],[Nbhheb]]),FALSE),""),"[hh]:mm"))</f>
        <v>#VALUE!</v>
      </c>
      <c r="BT116" s="182" t="str">
        <f>IFERROR(VLOOKUP(VLOOKUP($A116,T_TraitDi[#Data],COLUMN(T_TraitDi[[#This Row],[Type1]]),FALSE),TypeTW,2,FALSE),"")</f>
        <v/>
      </c>
      <c r="BU116" s="182" t="str">
        <f>IFERROR(VLOOKUP($A116,T_TraitDi[#Data],COLUMN(T_TraitDi[[#This Row],[Rue1]]),FALSE),"")</f>
        <v/>
      </c>
      <c r="BV116" s="173" t="str">
        <f>IFERROR(VLOOKUP($A116,T_TraitDi[#Data],COLUMN(T_TraitDi[[#This Row],[CP1]]),FALSE),"")</f>
        <v/>
      </c>
      <c r="BW116" s="173" t="str">
        <f>IFERROR(VLOOKUP($A116,T_TraitDi[#Data],COLUMN(T_TraitDi[[#This Row],[VILLE1]]),FALSE),"")</f>
        <v/>
      </c>
      <c r="BX116" s="182" t="str">
        <f>IFERROR(VLOOKUP(VLOOKUP($A116,T_TraitDi[#Data],COLUMN(T_TraitDi[[#This Row],[Type2]]),FALSE),TypeTW,2,FALSE),"")</f>
        <v/>
      </c>
      <c r="BY116" s="182" t="str">
        <f>IFERROR(VLOOKUP($A116,T_TraitDi[#Data],COLUMN(T_TraitDi[[#This Row],[Rue2]]),FALSE),"")</f>
        <v/>
      </c>
      <c r="BZ116" s="173" t="str">
        <f>IFERROR(VLOOKUP($A116,T_TraitDi[#Data],COLUMN(T_TraitDi[[#This Row],[CP2]]),FALSE),"")</f>
        <v/>
      </c>
      <c r="CA116" s="173" t="str">
        <f>IFERROR(VLOOKUP($A116,T_TraitDi[#Data],COLUMN(T_TraitDi[[#This Row],[VILLE2]]),FALSE),"")</f>
        <v/>
      </c>
      <c r="CB116" s="182" t="str">
        <f>IF(VLOOKUP(T_BilanSocial[[#This Row],[NumL]],T_Equipement[#Data],COLUMN(T_Equipement[[#This Row],[PC]]),FALSE)="","Aucun équipement spécifique directement lié au télétravail",VLOOKUP(T_BilanSocial[[#This Row],[NumL]],T_Equipement[#Data],COLUMN(T_Equipement[[#This Row],[PC]]),FALSE))</f>
        <v xml:space="preserve">20-300	</v>
      </c>
      <c r="CC116" s="166" t="str">
        <f>IFERROR(IF(VLOOKUP(T_BilanSocial[[#This Row],[NumL]],T_TraitDi[#Data],COLUMN(T_TraitDi[[#This Row],[Plan]]),FALSE)="OK","Un planning spécifique de télétravail est annexé à la présente convention.",""),"")</f>
        <v/>
      </c>
      <c r="CD116" s="258" t="s">
        <v>3298</v>
      </c>
      <c r="CE116" s="164" t="e">
        <f>IF(VLOOKUP(T_BilanSocial[[#This Row],[NumL]],T_suiviDi[#Data],COLUMN(T_suiviDi[[#This Row],[Entité]]),FALSE)="","",VLOOKUP(T_BilanSocial[[#This Row],[NumL]],T_suiviDi[#Data],COLUMN(T_suiviDi[[#This Row],[Entité]]),FALSE))</f>
        <v>#VALUE!</v>
      </c>
      <c r="CF116" s="164" t="str">
        <f>IF(VLOOKUP(T_BilanSocial[[#This Row],[NumL]],T_Commission[#Data],COLUMN(T_Commission[[#This Row],[envoi confirm TW]]),FALSE)="","",VLOOKUP(T_BilanSocial[[#This Row],[NumL]],T_Commission[#Data],COLUMN(T_Commission[[#This Row],[envoi confirm TW]]),FALSE))</f>
        <v>Oui</v>
      </c>
      <c r="CG11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6" s="262" t="str">
        <f>T_BilanSocial[[#This Row],[Nom]]&amp;T_BilanSocial[[#This Row],[Prenom]]</f>
        <v/>
      </c>
      <c r="CI116" s="262">
        <f>VLOOKUP(T_BilanSocial[[#This Row],[NumL]],T_Commission[#Data],COLUMN(T_Commission[Commentaire]),FALSE)</f>
        <v>0</v>
      </c>
      <c r="CJ116" s="262" t="str">
        <f>IF(VLOOKUP(T_BilanSocial[[#This Row],[NumL]],T_Commission[#Data],COLUMN(T_Commission[Encadrant Email]),FALSE)="","",VLOOKUP(T_BilanSocial[[#This Row],[NumL]],T_Commission[#Data],COLUMN(T_Commission[Encadrant Email]),FALSE))</f>
        <v/>
      </c>
      <c r="CK116" s="340" t="str">
        <f>IF(T_BilanSocial[[#This Row],[Final]]&lt;&gt;"",VLOOKUP(T_BilanSocial[[#This Row],[NumL]],T_suiviDi[#Data],COLUMN((T_suiviDi[Statut])),FALSE),"")</f>
        <v/>
      </c>
    </row>
    <row r="117" spans="1:89" s="106" customFormat="1" ht="24.75" customHeight="1" x14ac:dyDescent="0.25">
      <c r="A117" s="160">
        <v>114</v>
      </c>
      <c r="B117" s="161" t="str">
        <f t="shared" si="10"/>
        <v/>
      </c>
      <c r="C117" s="162" t="s">
        <v>173</v>
      </c>
      <c r="D117" s="95" t="e">
        <f>IF(VLOOKUP(T_BilanSocial[[#This Row],[NumL]],T_TraitDi[#Data],COLUMN(T_TraitDi[[#This Row],[WebC]]),FALSE)="","",VLOOKUP(T_BilanSocial[[#This Row],[NumL]],T_TraitDi[#Data],COLUMN(T_TraitDi[[#This Row],[WebC]]),FALSE))</f>
        <v>#VALUE!</v>
      </c>
      <c r="E117" s="163" t="str">
        <f t="shared" si="11"/>
        <v>12 janvier 2021</v>
      </c>
      <c r="F117" s="96" t="str">
        <f>IF(T_BilanSocial[[#This Row],[Final]]&lt;&gt;"",VLOOKUP(T_BilanSocial[[#This Row],[NumL]],T_suiviDi[#Data],COLUMN((T_suiviDi[Civ.])),FALSE),"")</f>
        <v/>
      </c>
      <c r="G117" s="96" t="str">
        <f>IF(T_BilanSocial[[#This Row],[Final]]&lt;&gt;"",VLOOKUP(T_BilanSocial[[#This Row],[NumL]],T_suiviDi[#Data],COLUMN((T_suiviDi[Nom])),FALSE),"")</f>
        <v/>
      </c>
      <c r="H117" s="96" t="str">
        <f>IF(T_BilanSocial[[#This Row],[Final]]&lt;&gt;"",VLOOKUP(T_BilanSocial[[#This Row],[NumL]],T_suiviDi[#Data],COLUMN((T_suiviDi[Prénom])),FALSE),"")</f>
        <v/>
      </c>
      <c r="I117" s="96" t="str">
        <f>IFERROR(VLOOKUP(T_BilanSocial[[#This Row],[Zone_Bilan]],T_P_BilanSocial[#Data],COLUMN(T_P_BilanSocial[[#This Row],[Numero_SIHAM]]),FALSE),"")</f>
        <v/>
      </c>
      <c r="J117" s="96" t="str">
        <f>IFERROR(VLOOKUP(T_BilanSocial[[#This Row],[Zone_Bilan]],T_P_BilanSocial[#Data],COLUMN(T_P_BilanSocial[[#This Row],[Sexe]]),FALSE),"")</f>
        <v/>
      </c>
      <c r="K117" s="97" t="str">
        <f>IFERROR(VLOOKUP(T_BilanSocial[[#This Row],[Zone_Bilan]],T_P_BilanSocial[#Data],COLUMN(T_P_BilanSocial[[#This Row],[Categorie]]),FALSE),"")</f>
        <v/>
      </c>
      <c r="L117" s="96" t="str">
        <f>IFERROR(VLOOKUP(T_BilanSocial[[#This Row],[Zone_Bilan]],T_P_BilanSocial[#Data],COLUMN(T_P_BilanSocial[[#This Row],[Statut]]),FALSE),"")</f>
        <v/>
      </c>
      <c r="M117" s="96" t="str">
        <f>IFERROR(VLOOKUP(T_BilanSocial[[#This Row],[Zone_Bilan]],T_P_BilanSocial[#Data],COLUMN(T_P_BilanSocial[[#This Row],[Filiere]]),FALSE),"")</f>
        <v/>
      </c>
      <c r="N117" s="96" t="e">
        <f>VLOOKUP(T_BilanSocial[[#This Row],[NumL]],T_TraitDi[#Data],COLUMN(T_TraitDi[EXP]),FALSE)</f>
        <v>#N/A</v>
      </c>
      <c r="O117" s="96" t="e">
        <f>VLOOKUP(T_BilanSocial[[#This Row],[NumL]],T_TraitDi[#Data],COLUMN(T_TraitDi[FORM]),FALSE)</f>
        <v>#N/A</v>
      </c>
      <c r="P117" s="96" t="str">
        <f>IF(T_BilanSocial[[#This Row],[Final]]&lt;&gt;"",VLOOKUP(T_BilanSocial[[#This Row],[NumL]],T_suiviDi[#Data],COLUMN((T_suiviDi[Email])),FALSE),"")</f>
        <v/>
      </c>
      <c r="Q117" s="164" t="e">
        <f t="shared" si="17"/>
        <v>#N/A</v>
      </c>
      <c r="R117" s="164" t="e">
        <f t="shared" si="18"/>
        <v>#N/A</v>
      </c>
      <c r="S117" s="164" t="e">
        <f>IF(VLOOKUP(T_BilanSocial[[#This Row],[NumL]],T_suiviDi[#Data],COLUMN(T_suiviDi[[#This Row],[Service ]]),FALSE)="","",VLOOKUP(T_BilanSocial[[#This Row],[NumL]],T_suiviDi[#Data],COLUMN(T_suiviDi[[#This Row],[Service ]]),FALSE))</f>
        <v>#VALUE!</v>
      </c>
      <c r="T117" s="164" t="str">
        <f t="shared" si="12"/>
        <v>01 septembre 2021</v>
      </c>
      <c r="U117" s="164" t="str">
        <f t="shared" si="13"/>
        <v>30 novembre 2021</v>
      </c>
      <c r="V117" s="164" t="str">
        <f t="shared" si="21"/>
        <v>30 novembre 2021</v>
      </c>
      <c r="W117" s="176" t="e">
        <f>IF(VLOOKUP(T_BilanSocial[[#This Row],[NumL]],T_TraitDi[#Data],COLUMN(T_TraitDi[[#This Row],[M1]]),FALSE)="","",VLOOKUP(T_BilanSocial[[#This Row],[NumL]],T_TraitDi[#Data],COLUMN(T_TraitDi[[#This Row],[M1]]),FALSE))</f>
        <v>#VALUE!</v>
      </c>
      <c r="X117" s="176" t="e">
        <f>IF(VLOOKUP(T_BilanSocial[[#This Row],[NumL]],T_TraitDi[#Data],COLUMN(T_TraitDi[[#This Row],[M2]]),FALSE)="","",VLOOKUP(T_BilanSocial[[#This Row],[NumL]],T_TraitDi[#Data],COLUMN(T_TraitDi[[#This Row],[M2]]),FALSE))</f>
        <v>#VALUE!</v>
      </c>
      <c r="Y117" s="176" t="e">
        <f>IF(VLOOKUP(T_BilanSocial[[#This Row],[NumL]],T_TraitDi[#Data],COLUMN(T_TraitDi[[#This Row],[M3]]),FALSE)="","",VLOOKUP(T_BilanSocial[[#This Row],[NumL]],T_TraitDi[#Data],COLUMN(T_TraitDi[[#This Row],[M3]]),FALSE))</f>
        <v>#VALUE!</v>
      </c>
      <c r="Z117" s="176" t="str">
        <f t="shared" si="16"/>
        <v/>
      </c>
      <c r="AA117" s="176" t="e">
        <f>IF(VLOOKUP(T_BilanSocial[[#This Row],[NumL]],T_TraitDi[#Data],COLUMN(T_TraitDi[[#This Row],[M5]]),FALSE)="","",VLOOKUP(T_BilanSocial[[#This Row],[NumL]],T_TraitDi[#Data],COLUMN(T_TraitDi[[#This Row],[M5]]),FALSE))</f>
        <v>#VALUE!</v>
      </c>
      <c r="AB117" s="176" t="e">
        <f>IF(VLOOKUP(T_BilanSocial[[#This Row],[NumL]],T_TraitDi[#Data],COLUMN(T_TraitDi[[#This Row],[M6]]),FALSE)="","",VLOOKUP(T_BilanSocial[[#This Row],[NumL]],T_TraitDi[#Data],COLUMN(T_TraitDi[[#This Row],[M6]]),FALSE))</f>
        <v>#VALUE!</v>
      </c>
      <c r="AC117" s="165" t="e">
        <f t="shared" si="15"/>
        <v>#VALUE!</v>
      </c>
      <c r="AD117" s="188" t="str">
        <f>IFERROR(TEXT(VLOOKUP(T_BilanSocial[[#This Row],[NumL]],T_TraitDi[#Data],COLUMN(T_TraitDi[[#This Row],[Q2]]),FALSE),"###%"),"")</f>
        <v/>
      </c>
      <c r="AE117" s="97" t="e">
        <f>VLOOKUP(T_BilanSocial[[#This Row],[NumL]],T_TraitDi[#Data],COLUMN(T_TraitDi[[#This Row],[Reg Ponct]]),FALSE)</f>
        <v>#VALUE!</v>
      </c>
      <c r="AF117" s="97" t="e">
        <f>VLOOKUP(T_BilanSocial[NumL],T_TraitDi[#Data],COLUMN(T_TraitDi[[#This Row],[Jours flottants]]),FALSE)</f>
        <v>#VALUE!</v>
      </c>
      <c r="AG117" s="97" t="str">
        <f>IFERROR(VLOOKUP(T_BilanSocial[[#This Row],[NumL]],T_TraitDi[#Data],COLUMN(T_TraitDi[[#This Row],[Lundi]]),FALSE),"")</f>
        <v/>
      </c>
      <c r="AH117" s="172" t="e">
        <f>IF(VLOOKUP(T_BilanSocial[[#This Row],[NumL]],T_TraitDi[#Data],COLUMN(T_TraitDi[[#This Row],[Colonne3]]),FALSE)=0,"",TEXT(IFERROR(VLOOKUP(T_BilanSocial[[#This Row],[NumL]],T_TraitDi[#Data],COLUMN(T_TraitDi[[#This Row],[Colonne3]]),FALSE),""),"[hh]:mm"))</f>
        <v>#VALUE!</v>
      </c>
      <c r="AI117" s="172" t="e">
        <f>IF(VLOOKUP(T_BilanSocial[[#This Row],[NumL]],T_TraitDi[#Data],COLUMN(T_TraitDi[[#This Row],[Colonne4]]),FALSE)=0,"",TEXT(IFERROR(VLOOKUP(T_BilanSocial[[#This Row],[NumL]],T_TraitDi[#Data],COLUMN(T_TraitDi[[#This Row],[Colonne4]]),FALSE),""),"[hh]:mm"))</f>
        <v>#VALUE!</v>
      </c>
      <c r="AJ117" s="172" t="e">
        <f>IF(VLOOKUP(T_BilanSocial[[#This Row],[NumL]],T_TraitDi[#Data],COLUMN(T_TraitDi[[#This Row],[Colonne5]]),FALSE)=0,"",TEXT(IFERROR(VLOOKUP(T_BilanSocial[[#This Row],[NumL]],T_TraitDi[#Data],COLUMN(T_TraitDi[[#This Row],[Colonne5]]),FALSE),""),"[hh]:mm"))</f>
        <v>#VALUE!</v>
      </c>
      <c r="AK117" s="172" t="e">
        <f>IF(VLOOKUP(T_BilanSocial[[#This Row],[NumL]],T_TraitDi[#Data],COLUMN(T_TraitDi[[#This Row],[Colonne6]]),FALSE)=0,"",TEXT(IFERROR(VLOOKUP(T_BilanSocial[[#This Row],[NumL]],T_TraitDi[#Data],COLUMN(T_TraitDi[[#This Row],[Colonne6]]),FALSE),""),"[hh]:mm"))</f>
        <v>#VALUE!</v>
      </c>
      <c r="AL117" s="172" t="e">
        <f>IF(VLOOKUP(T_BilanSocial[[#This Row],[NumL]],T_TraitDi[#Data],COLUMN(T_TraitDi[[#This Row],[Colonne7]]),FALSE)=0,"",TEXT(IFERROR(VLOOKUP(T_BilanSocial[[#This Row],[NumL]],T_TraitDi[#Data],COLUMN(T_TraitDi[[#This Row],[Colonne7]]),FALSE),""),"[hh]:mm"))</f>
        <v>#VALUE!</v>
      </c>
      <c r="AM117" s="172" t="e">
        <f>IF(VLOOKUP(T_BilanSocial[[#This Row],[NumL]],T_TraitDi[#Data],COLUMN(T_TraitDi[[#This Row],[Colonne8]]),FALSE)=0,"",TEXT(IFERROR(VLOOKUP(T_BilanSocial[[#This Row],[NumL]],T_TraitDi[#Data],COLUMN(T_TraitDi[[#This Row],[Colonne8]]),FALSE),""),"[hh]:mm"))</f>
        <v>#VALUE!</v>
      </c>
      <c r="AN117" s="172" t="str">
        <f>IFERROR(VLOOKUP(T_BilanSocial[[#This Row],[NumL]],T_TraitDi[#Data],COLUMN(T_TraitDi[[#This Row],[Mardi]]),FALSE),"")</f>
        <v/>
      </c>
      <c r="AO117" s="172" t="e">
        <f>IF(VLOOKUP(T_BilanSocial[[#This Row],[NumL]],T_TraitDi[#Data],COLUMN(T_TraitDi[[#This Row],[Colonne1]]),FALSE)=0,"",TEXT(IFERROR(VLOOKUP(T_BilanSocial[[#This Row],[NumL]],T_TraitDi[#Data],COLUMN(T_TraitDi[[#This Row],[Colonne1]]),FALSE),""),"[hh]:mm"))</f>
        <v>#VALUE!</v>
      </c>
      <c r="AP117" s="172" t="e">
        <f>IF(VLOOKUP(T_BilanSocial[[#This Row],[NumL]],T_TraitDi[#Data],COLUMN(T_TraitDi[[#This Row],[Colonne9]]),FALSE)=0,"",TEXT(IFERROR(VLOOKUP(T_BilanSocial[[#This Row],[NumL]],T_TraitDi[#Data],COLUMN(T_TraitDi[[#This Row],[Colonne9]]),FALSE),""),"[hh]:mm"))</f>
        <v>#VALUE!</v>
      </c>
      <c r="AQ117" s="172" t="str">
        <f>IFERROR(VLOOKUP(T_BilanSocial[[#This Row],[NumL]],T_TraitDi[#Data],COLUMN(T_TraitDi[[#This Row],[Colonne10]]),FALSE),"")</f>
        <v/>
      </c>
      <c r="AR117" s="172" t="e">
        <f>IF(VLOOKUP(T_BilanSocial[[#This Row],[NumL]],T_TraitDi[#Data],COLUMN(T_TraitDi[[#This Row],[Colonne11]]),FALSE)=0,"",TEXT(IFERROR(VLOOKUP(T_BilanSocial[[#This Row],[NumL]],T_TraitDi[#Data],COLUMN(T_TraitDi[[#This Row],[Colonne11]]),FALSE),""),"[hh]:mm"))</f>
        <v>#VALUE!</v>
      </c>
      <c r="AS117" s="172" t="e">
        <f>IF(VLOOKUP(T_BilanSocial[[#This Row],[NumL]],T_TraitDi[#Data],COLUMN(T_TraitDi[[#This Row],[Colonne12]]),FALSE)=0,"",TEXT(IFERROR(VLOOKUP(T_BilanSocial[[#This Row],[NumL]],T_TraitDi[#Data],COLUMN(T_TraitDi[[#This Row],[Colonne12]]),FALSE),""),"[hh]:mm"))</f>
        <v>#VALUE!</v>
      </c>
      <c r="AT117" s="172" t="e">
        <f>IF(VLOOKUP(T_BilanSocial[[#This Row],[NumL]],T_TraitDi[#Data],COLUMN(T_TraitDi[[#This Row],[Colonne14]]),FALSE)=0,"",TEXT(IFERROR(VLOOKUP(T_BilanSocial[[#This Row],[NumL]],T_TraitDi[#Data],COLUMN(T_TraitDi[[#This Row],[Colonne14]]),FALSE),""),"[hh]:mm"))</f>
        <v>#VALUE!</v>
      </c>
      <c r="AU117" s="172" t="str">
        <f>IFERROR(VLOOKUP(T_BilanSocial[[#This Row],[NumL]],T_TraitDi[#Data],COLUMN(T_TraitDi[[#This Row],[Mercredi]]),FALSE),"")</f>
        <v/>
      </c>
      <c r="AV117" s="172" t="e">
        <f>IF(VLOOKUP(T_BilanSocial[[#This Row],[NumL]],T_TraitDi[#Data],COLUMN(T_TraitDi[[#This Row],[Colonne15]]),FALSE)=0,"",TEXT(IFERROR(VLOOKUP(T_BilanSocial[[#This Row],[NumL]],T_TraitDi[#Data],COLUMN(T_TraitDi[[#This Row],[Colonne15]]),FALSE),""),"[hh]:mm"))</f>
        <v>#VALUE!</v>
      </c>
      <c r="AW117" s="172" t="e">
        <f>IF(VLOOKUP(T_BilanSocial[[#This Row],[NumL]],T_TraitDi[#Data],COLUMN(T_TraitDi[[#This Row],[Colonne16]]),FALSE)=0,"",TEXT(IFERROR(VLOOKUP(T_BilanSocial[[#This Row],[NumL]],T_TraitDi[#Data],COLUMN(T_TraitDi[[#This Row],[Colonne16]]),FALSE),""),"[hh]:mm"))</f>
        <v>#VALUE!</v>
      </c>
      <c r="AX117" s="172" t="str">
        <f>IFERROR(VLOOKUP(T_BilanSocial[[#This Row],[NumL]],T_TraitDi[#Data],COLUMN(T_TraitDi[[#This Row],[Colonne17]]),FALSE),"")</f>
        <v/>
      </c>
      <c r="AY117" s="172" t="e">
        <f>IF(VLOOKUP(T_BilanSocial[[#This Row],[NumL]],T_TraitDi[#Data],COLUMN(T_TraitDi[[#This Row],[Colonne18]]),FALSE)=0,"",TEXT(IFERROR(VLOOKUP(T_BilanSocial[[#This Row],[NumL]],T_TraitDi[#Data],COLUMN(T_TraitDi[[#This Row],[Colonne18]]),FALSE),""),"[hh]:mm"))</f>
        <v>#VALUE!</v>
      </c>
      <c r="AZ117" s="172" t="e">
        <f>IF(VLOOKUP(T_BilanSocial[[#This Row],[NumL]],T_TraitDi[#Data],COLUMN(T_TraitDi[[#This Row],[Colonne19]]),FALSE)=0,"",TEXT(IFERROR(VLOOKUP(T_BilanSocial[[#This Row],[NumL]],T_TraitDi[#Data],COLUMN(T_TraitDi[[#This Row],[Colonne19]]),FALSE),""),"[hh]:mm"))</f>
        <v>#VALUE!</v>
      </c>
      <c r="BA117" s="172" t="e">
        <f>IF(VLOOKUP(T_BilanSocial[[#This Row],[NumL]],T_TraitDi[#Data],COLUMN(T_TraitDi[[#This Row],[Colonne20]]),FALSE)=0,"",TEXT(IFERROR(VLOOKUP(T_BilanSocial[[#This Row],[NumL]],T_TraitDi[#Data],COLUMN(T_TraitDi[[#This Row],[Colonne20]]),FALSE),""),"[hh]:mm"))</f>
        <v>#VALUE!</v>
      </c>
      <c r="BB117" s="178" t="str">
        <f>IFERROR(VLOOKUP(T_BilanSocial[[#This Row],[NumL]],T_TraitDi[#Data],COLUMN(T_TraitDi[[#This Row],[Jeudi]]),FALSE),"")</f>
        <v/>
      </c>
      <c r="BC117" s="178" t="e">
        <f>IF(VLOOKUP(T_BilanSocial[[#This Row],[NumL]],T_TraitDi[#Data],COLUMN(T_TraitDi[[#This Row],[Colonne21]]),FALSE)=0,"",TEXT(IFERROR(VLOOKUP(T_BilanSocial[[#This Row],[NumL]],T_TraitDi[#Data],COLUMN(T_TraitDi[[#This Row],[Colonne21]]),FALSE),""),"[hh]:mm"))</f>
        <v>#VALUE!</v>
      </c>
      <c r="BD117" s="178" t="e">
        <f>IF(VLOOKUP(T_BilanSocial[[#This Row],[NumL]],T_TraitDi[#Data],COLUMN(T_TraitDi[[#This Row],[Colonne22]]),FALSE)=0,"",TEXT(IFERROR(VLOOKUP(T_BilanSocial[[#This Row],[NumL]],T_TraitDi[#Data],COLUMN(T_TraitDi[[#This Row],[Colonne22]]),FALSE),""),"[hh]:mm"))</f>
        <v>#VALUE!</v>
      </c>
      <c r="BE117" s="178" t="str">
        <f>IFERROR(VLOOKUP(T_BilanSocial[[#This Row],[NumL]],T_TraitDi[#Data],COLUMN(T_TraitDi[[#This Row],[Colonne23]]),FALSE),"")</f>
        <v/>
      </c>
      <c r="BF117" s="178" t="e">
        <f>IF(VLOOKUP(T_BilanSocial[[#This Row],[NumL]],T_TraitDi[#Data],COLUMN(T_TraitDi[[#This Row],[Colonne24]]),FALSE)=0,"",TEXT(IFERROR(VLOOKUP(T_BilanSocial[[#This Row],[NumL]],T_TraitDi[#Data],COLUMN(T_TraitDi[[#This Row],[Colonne24]]),FALSE),""),"[hh]:mm"))</f>
        <v>#VALUE!</v>
      </c>
      <c r="BG117" s="178" t="e">
        <f>IF(VLOOKUP(T_BilanSocial[[#This Row],[NumL]],T_TraitDi[#Data],COLUMN(T_TraitDi[[#This Row],[Colonne25]]),FALSE)=0,"",TEXT(IFERROR(VLOOKUP(T_BilanSocial[[#This Row],[NumL]],T_TraitDi[#Data],COLUMN(T_TraitDi[[#This Row],[Colonne25]]),FALSE),""),"[hh]:mm"))</f>
        <v>#VALUE!</v>
      </c>
      <c r="BH117" s="178" t="e">
        <f>IF(VLOOKUP(T_BilanSocial[[#This Row],[NumL]],T_TraitDi[#Data],COLUMN(T_TraitDi[[#This Row],[Colonne26]]),FALSE)=0,"",TEXT(IFERROR(VLOOKUP(T_BilanSocial[[#This Row],[NumL]],T_TraitDi[#Data],COLUMN(T_TraitDi[[#This Row],[Colonne26]]),FALSE),""),"[hh]:mm"))</f>
        <v>#VALUE!</v>
      </c>
      <c r="BI117" s="172" t="str">
        <f>IFERROR(VLOOKUP(T_BilanSocial[[#This Row],[NumL]],T_TraitDi[#Data],COLUMN(T_TraitDi[[#This Row],[Vendredi]]),FALSE),"")</f>
        <v/>
      </c>
      <c r="BJ117" s="172" t="e">
        <f>IF(VLOOKUP(T_BilanSocial[[#This Row],[NumL]],T_TraitDi[#Data],COLUMN(T_TraitDi[[#This Row],[Colonne27]]),FALSE)=0,"",TEXT(IFERROR(VLOOKUP(T_BilanSocial[[#This Row],[NumL]],T_TraitDi[#Data],COLUMN(T_TraitDi[[#This Row],[Colonne27]]),FALSE),""),"[hh]:mm"))</f>
        <v>#VALUE!</v>
      </c>
      <c r="BK117" s="172" t="e">
        <f>IF(VLOOKUP(T_BilanSocial[[#This Row],[NumL]],T_TraitDi[#Data],COLUMN(T_TraitDi[[#This Row],[Colonne28]]),FALSE)=0,"",TEXT(IFERROR(VLOOKUP(T_BilanSocial[[#This Row],[NumL]],T_TraitDi[#Data],COLUMN(T_TraitDi[[#This Row],[Colonne28]]),FALSE),""),"[hh]:mm"))</f>
        <v>#VALUE!</v>
      </c>
      <c r="BL117" s="172" t="str">
        <f>IFERROR(VLOOKUP(T_BilanSocial[[#This Row],[NumL]],T_TraitDi[#Data],COLUMN(T_TraitDi[[#This Row],[Colonne29]]),FALSE),"")</f>
        <v/>
      </c>
      <c r="BM117" s="172" t="e">
        <f>IF(VLOOKUP(T_BilanSocial[[#This Row],[NumL]],T_TraitDi[#Data],COLUMN(T_TraitDi[[#This Row],[Colonne30]]),FALSE)=0,"",TEXT(IFERROR(VLOOKUP(T_BilanSocial[[#This Row],[NumL]],T_TraitDi[#Data],COLUMN(T_TraitDi[[#This Row],[Colonne30]]),FALSE),""),"[hh]:mm"))</f>
        <v>#VALUE!</v>
      </c>
      <c r="BN117" s="172" t="e">
        <f>IF(VLOOKUP(T_BilanSocial[[#This Row],[NumL]],T_TraitDi[#Data],COLUMN(T_TraitDi[[#This Row],[Colonne31]]),FALSE)=0,"",TEXT(IFERROR(VLOOKUP(T_BilanSocial[[#This Row],[NumL]],T_TraitDi[#Data],COLUMN(T_TraitDi[[#This Row],[Colonne31]]),FALSE),""),"[hh]:mm"))</f>
        <v>#VALUE!</v>
      </c>
      <c r="BO117" s="172" t="e">
        <f>IF(VLOOKUP(T_BilanSocial[[#This Row],[NumL]],T_TraitDi[#Data],COLUMN(T_TraitDi[[#This Row],[Colonne32]]),FALSE)=0,"",TEXT(IFERROR(VLOOKUP(T_BilanSocial[[#This Row],[NumL]],T_TraitDi[#Data],COLUMN(T_TraitDi[[#This Row],[Colonne32]]),FALSE),""),"[hh]:mm"))</f>
        <v>#VALUE!</v>
      </c>
      <c r="BP117" s="172" t="e">
        <f>VLOOKUP(T_BilanSocial[[#This Row],[NumL]],T_TraitDi[#Data],COLUMN(T_TraitDi[NbJTot]),FALSE)</f>
        <v>#N/A</v>
      </c>
      <c r="BQ117" s="174" t="str">
        <f>IFERROR(VLOOKUP(T_BilanSocial[[#This Row],[NumL]],T_TraitDi[#Data],COLUMN(T_TraitDi[[#This Row],[NbJTW]]),FALSE),"")</f>
        <v/>
      </c>
      <c r="BR117" s="174" t="e">
        <f>IF(VLOOKUP(T_BilanSocial[[#This Row],[NumL]],T_TraitDi[#Data],COLUMN(T_TraitDi[[#This Row],[NbhTW]]),FALSE)=0,"",TEXT(IFERROR(VLOOKUP(T_BilanSocial[[#This Row],[NumL]],T_TraitDi[#Data],COLUMN(T_TraitDi[[#This Row],[NbhTW]]),FALSE),""),"[hh]:mm"))</f>
        <v>#VALUE!</v>
      </c>
      <c r="BS117" s="174" t="e">
        <f>IF(VLOOKUP(T_BilanSocial[[#This Row],[NumL]],T_TraitDi[#Data],COLUMN(T_TraitDi[[#This Row],[Nbhheb]]),FALSE)=0,"",TEXT(IFERROR(VLOOKUP($A117,T_TraitDi[#Data],COLUMN(T_TraitDi[[#This Row],[Nbhheb]]),FALSE),""),"[hh]:mm"))</f>
        <v>#VALUE!</v>
      </c>
      <c r="BT117" s="182" t="str">
        <f>IFERROR(VLOOKUP(VLOOKUP($A117,T_TraitDi[#Data],COLUMN(T_TraitDi[[#This Row],[Type1]]),FALSE),TypeTW,2,FALSE),"")</f>
        <v/>
      </c>
      <c r="BU117" s="182" t="str">
        <f>IFERROR(VLOOKUP($A117,T_TraitDi[#Data],COLUMN(T_TraitDi[[#This Row],[Rue1]]),FALSE),"")</f>
        <v/>
      </c>
      <c r="BV117" s="173" t="str">
        <f>IFERROR(VLOOKUP($A117,T_TraitDi[#Data],COLUMN(T_TraitDi[[#This Row],[CP1]]),FALSE),"")</f>
        <v/>
      </c>
      <c r="BW117" s="173" t="str">
        <f>IFERROR(VLOOKUP($A117,T_TraitDi[#Data],COLUMN(T_TraitDi[[#This Row],[VILLE1]]),FALSE),"")</f>
        <v/>
      </c>
      <c r="BX117" s="182" t="str">
        <f>IFERROR(VLOOKUP(VLOOKUP($A117,T_TraitDi[#Data],COLUMN(T_TraitDi[[#This Row],[Type2]]),FALSE),TypeTW,2,FALSE),"")</f>
        <v/>
      </c>
      <c r="BY117" s="182" t="str">
        <f>IFERROR(VLOOKUP($A117,T_TraitDi[#Data],COLUMN(T_TraitDi[[#This Row],[Rue2]]),FALSE),"")</f>
        <v/>
      </c>
      <c r="BZ117" s="173" t="str">
        <f>IFERROR(VLOOKUP($A117,T_TraitDi[#Data],COLUMN(T_TraitDi[[#This Row],[CP2]]),FALSE),"")</f>
        <v/>
      </c>
      <c r="CA117" s="173" t="str">
        <f>IFERROR(VLOOKUP($A117,T_TraitDi[#Data],COLUMN(T_TraitDi[[#This Row],[VILLE2]]),FALSE),"")</f>
        <v/>
      </c>
      <c r="CB117" s="182" t="str">
        <f>IF(VLOOKUP(T_BilanSocial[[#This Row],[NumL]],T_Equipement[#Data],COLUMN(T_Equipement[[#This Row],[PC]]),FALSE)="","Aucun équipement spécifique directement lié au télétravail",VLOOKUP(T_BilanSocial[[#This Row],[NumL]],T_Equipement[#Data],COLUMN(T_Equipement[[#This Row],[PC]]),FALSE))</f>
        <v xml:space="preserve">20-275	</v>
      </c>
      <c r="CC117" s="166" t="str">
        <f>IFERROR(IF(VLOOKUP(T_BilanSocial[[#This Row],[NumL]],T_TraitDi[#Data],COLUMN(T_TraitDi[[#This Row],[Plan]]),FALSE)="OK","Un planning spécifique de télétravail est annexé à la présente convention.",""),"")</f>
        <v/>
      </c>
      <c r="CD117" s="258" t="s">
        <v>3340</v>
      </c>
      <c r="CE117" s="164" t="e">
        <f>IF(VLOOKUP(T_BilanSocial[[#This Row],[NumL]],T_suiviDi[#Data],COLUMN(T_suiviDi[[#This Row],[Entité]]),FALSE)="","",VLOOKUP(T_BilanSocial[[#This Row],[NumL]],T_suiviDi[#Data],COLUMN(T_suiviDi[[#This Row],[Entité]]),FALSE))</f>
        <v>#VALUE!</v>
      </c>
      <c r="CF117" s="164" t="str">
        <f>IF(VLOOKUP(T_BilanSocial[[#This Row],[NumL]],T_Commission[#Data],COLUMN(T_Commission[[#This Row],[envoi confirm TW]]),FALSE)="","",VLOOKUP(T_BilanSocial[[#This Row],[NumL]],T_Commission[#Data],COLUMN(T_Commission[[#This Row],[envoi confirm TW]]),FALSE))</f>
        <v>Oui</v>
      </c>
      <c r="CG11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7" s="262" t="str">
        <f>T_BilanSocial[[#This Row],[Nom]]&amp;T_BilanSocial[[#This Row],[Prenom]]</f>
        <v/>
      </c>
      <c r="CI117" s="262">
        <f>VLOOKUP(T_BilanSocial[[#This Row],[NumL]],T_Commission[#Data],COLUMN(T_Commission[Commentaire]),FALSE)</f>
        <v>0</v>
      </c>
      <c r="CJ117" s="262" t="str">
        <f>IF(VLOOKUP(T_BilanSocial[[#This Row],[NumL]],T_Commission[#Data],COLUMN(T_Commission[Encadrant Email]),FALSE)="","",VLOOKUP(T_BilanSocial[[#This Row],[NumL]],T_Commission[#Data],COLUMN(T_Commission[Encadrant Email]),FALSE))</f>
        <v/>
      </c>
      <c r="CK117" s="340" t="str">
        <f>IF(T_BilanSocial[[#This Row],[Final]]&lt;&gt;"",VLOOKUP(T_BilanSocial[[#This Row],[NumL]],T_suiviDi[#Data],COLUMN((T_suiviDi[Statut])),FALSE),"")</f>
        <v/>
      </c>
    </row>
    <row r="118" spans="1:89" s="106" customFormat="1" ht="24.75" customHeight="1" x14ac:dyDescent="0.25">
      <c r="A118" s="160">
        <v>115</v>
      </c>
      <c r="B118" s="161" t="e">
        <f t="shared" si="10"/>
        <v>#N/A</v>
      </c>
      <c r="C118" s="162" t="s">
        <v>173</v>
      </c>
      <c r="D118" s="95" t="e">
        <f>IF(VLOOKUP(T_BilanSocial[[#This Row],[NumL]],T_TraitDi[#Data],COLUMN(T_TraitDi[[#This Row],[WebC]]),FALSE)="","",VLOOKUP(T_BilanSocial[[#This Row],[NumL]],T_TraitDi[#Data],COLUMN(T_TraitDi[[#This Row],[WebC]]),FALSE))</f>
        <v>#VALUE!</v>
      </c>
      <c r="E118" s="163" t="str">
        <f t="shared" si="11"/>
        <v>12 janvier 2021</v>
      </c>
      <c r="F118" s="96" t="e">
        <f>IF(T_BilanSocial[[#This Row],[Final]]&lt;&gt;"",VLOOKUP(T_BilanSocial[[#This Row],[NumL]],T_suiviDi[#Data],COLUMN((T_suiviDi[Civ.])),FALSE),"")</f>
        <v>#N/A</v>
      </c>
      <c r="G118" s="96" t="e">
        <f>IF(T_BilanSocial[[#This Row],[Final]]&lt;&gt;"",VLOOKUP(T_BilanSocial[[#This Row],[NumL]],T_suiviDi[#Data],COLUMN((T_suiviDi[Nom])),FALSE),"")</f>
        <v>#N/A</v>
      </c>
      <c r="H118" s="96" t="e">
        <f>IF(T_BilanSocial[[#This Row],[Final]]&lt;&gt;"",VLOOKUP(T_BilanSocial[[#This Row],[NumL]],T_suiviDi[#Data],COLUMN((T_suiviDi[Prénom])),FALSE),"")</f>
        <v>#N/A</v>
      </c>
      <c r="I118" s="96" t="str">
        <f>IFERROR(VLOOKUP(T_BilanSocial[[#This Row],[Zone_Bilan]],T_P_BilanSocial[#Data],COLUMN(T_P_BilanSocial[[#This Row],[Numero_SIHAM]]),FALSE),"")</f>
        <v/>
      </c>
      <c r="J118" s="96" t="str">
        <f>IFERROR(VLOOKUP(T_BilanSocial[[#This Row],[Zone_Bilan]],T_P_BilanSocial[#Data],COLUMN(T_P_BilanSocial[[#This Row],[Sexe]]),FALSE),"")</f>
        <v/>
      </c>
      <c r="K118" s="97" t="str">
        <f>IFERROR(VLOOKUP(T_BilanSocial[[#This Row],[Zone_Bilan]],T_P_BilanSocial[#Data],COLUMN(T_P_BilanSocial[[#This Row],[Categorie]]),FALSE),"")</f>
        <v/>
      </c>
      <c r="L118" s="96" t="str">
        <f>IFERROR(VLOOKUP(T_BilanSocial[[#This Row],[Zone_Bilan]],T_P_BilanSocial[#Data],COLUMN(T_P_BilanSocial[[#This Row],[Statut]]),FALSE),"")</f>
        <v/>
      </c>
      <c r="M118" s="96" t="str">
        <f>IFERROR(VLOOKUP(T_BilanSocial[[#This Row],[Zone_Bilan]],T_P_BilanSocial[#Data],COLUMN(T_P_BilanSocial[[#This Row],[Filiere]]),FALSE),"")</f>
        <v/>
      </c>
      <c r="N118" s="96" t="e">
        <f>VLOOKUP(T_BilanSocial[[#This Row],[NumL]],T_TraitDi[#Data],COLUMN(T_TraitDi[EXP]),FALSE)</f>
        <v>#N/A</v>
      </c>
      <c r="O118" s="96" t="e">
        <f>VLOOKUP(T_BilanSocial[[#This Row],[NumL]],T_TraitDi[#Data],COLUMN(T_TraitDi[FORM]),FALSE)</f>
        <v>#N/A</v>
      </c>
      <c r="P118" s="96" t="e">
        <f>IF(T_BilanSocial[[#This Row],[Final]]&lt;&gt;"",VLOOKUP(T_BilanSocial[[#This Row],[NumL]],T_suiviDi[#Data],COLUMN((T_suiviDi[Email])),FALSE),"")</f>
        <v>#N/A</v>
      </c>
      <c r="Q118" s="164" t="e">
        <f t="shared" si="17"/>
        <v>#N/A</v>
      </c>
      <c r="R118" s="164" t="e">
        <f t="shared" si="18"/>
        <v>#N/A</v>
      </c>
      <c r="S118" s="164" t="e">
        <f>IF(VLOOKUP(T_BilanSocial[[#This Row],[NumL]],T_suiviDi[#Data],COLUMN(T_suiviDi[[#This Row],[Service ]]),FALSE)="","",VLOOKUP(T_BilanSocial[[#This Row],[NumL]],T_suiviDi[#Data],COLUMN(T_suiviDi[[#This Row],[Service ]]),FALSE))</f>
        <v>#VALUE!</v>
      </c>
      <c r="T118" s="164" t="str">
        <f t="shared" si="12"/>
        <v>01 septembre 2021</v>
      </c>
      <c r="U118" s="164" t="str">
        <f t="shared" si="13"/>
        <v>30 novembre 2021</v>
      </c>
      <c r="V118" s="164" t="str">
        <f t="shared" si="21"/>
        <v>30 novembre 2021</v>
      </c>
      <c r="W118" s="176" t="e">
        <f>IF(VLOOKUP(T_BilanSocial[[#This Row],[NumL]],T_TraitDi[#Data],COLUMN(T_TraitDi[[#This Row],[M1]]),FALSE)="","",VLOOKUP(T_BilanSocial[[#This Row],[NumL]],T_TraitDi[#Data],COLUMN(T_TraitDi[[#This Row],[M1]]),FALSE))</f>
        <v>#VALUE!</v>
      </c>
      <c r="X118" s="176" t="e">
        <f>IF(VLOOKUP(T_BilanSocial[[#This Row],[NumL]],T_TraitDi[#Data],COLUMN(T_TraitDi[[#This Row],[M2]]),FALSE)="","",VLOOKUP(T_BilanSocial[[#This Row],[NumL]],T_TraitDi[#Data],COLUMN(T_TraitDi[[#This Row],[M2]]),FALSE))</f>
        <v>#VALUE!</v>
      </c>
      <c r="Y118" s="176" t="e">
        <f>IF(VLOOKUP(T_BilanSocial[[#This Row],[NumL]],T_TraitDi[#Data],COLUMN(T_TraitDi[[#This Row],[M3]]),FALSE)="","",VLOOKUP(T_BilanSocial[[#This Row],[NumL]],T_TraitDi[#Data],COLUMN(T_TraitDi[[#This Row],[M3]]),FALSE))</f>
        <v>#VALUE!</v>
      </c>
      <c r="Z118" s="176" t="str">
        <f t="shared" si="16"/>
        <v/>
      </c>
      <c r="AA118" s="176" t="e">
        <f>IF(VLOOKUP(T_BilanSocial[[#This Row],[NumL]],T_TraitDi[#Data],COLUMN(T_TraitDi[[#This Row],[M5]]),FALSE)="","",VLOOKUP(T_BilanSocial[[#This Row],[NumL]],T_TraitDi[#Data],COLUMN(T_TraitDi[[#This Row],[M5]]),FALSE))</f>
        <v>#VALUE!</v>
      </c>
      <c r="AB118" s="176" t="e">
        <f>IF(VLOOKUP(T_BilanSocial[[#This Row],[NumL]],T_TraitDi[#Data],COLUMN(T_TraitDi[[#This Row],[M6]]),FALSE)="","",VLOOKUP(T_BilanSocial[[#This Row],[NumL]],T_TraitDi[#Data],COLUMN(T_TraitDi[[#This Row],[M6]]),FALSE))</f>
        <v>#VALUE!</v>
      </c>
      <c r="AC118" s="165" t="e">
        <f t="shared" si="15"/>
        <v>#VALUE!</v>
      </c>
      <c r="AD118" s="188" t="str">
        <f>IFERROR(TEXT(VLOOKUP(T_BilanSocial[[#This Row],[NumL]],T_TraitDi[#Data],COLUMN(T_TraitDi[[#This Row],[Q2]]),FALSE),"###%"),"")</f>
        <v/>
      </c>
      <c r="AE118" s="97" t="e">
        <f>VLOOKUP(T_BilanSocial[[#This Row],[NumL]],T_TraitDi[#Data],COLUMN(T_TraitDi[[#This Row],[Reg Ponct]]),FALSE)</f>
        <v>#VALUE!</v>
      </c>
      <c r="AF118" s="97" t="e">
        <f>VLOOKUP(T_BilanSocial[NumL],T_TraitDi[#Data],COLUMN(T_TraitDi[[#This Row],[Jours flottants]]),FALSE)</f>
        <v>#VALUE!</v>
      </c>
      <c r="AG118" s="97" t="str">
        <f>IFERROR(VLOOKUP(T_BilanSocial[[#This Row],[NumL]],T_TraitDi[#Data],COLUMN(T_TraitDi[[#This Row],[Lundi]]),FALSE),"")</f>
        <v/>
      </c>
      <c r="AH118" s="172" t="e">
        <f>IF(VLOOKUP(T_BilanSocial[[#This Row],[NumL]],T_TraitDi[#Data],COLUMN(T_TraitDi[[#This Row],[Colonne3]]),FALSE)=0,"",TEXT(IFERROR(VLOOKUP(T_BilanSocial[[#This Row],[NumL]],T_TraitDi[#Data],COLUMN(T_TraitDi[[#This Row],[Colonne3]]),FALSE),""),"[hh]:mm"))</f>
        <v>#VALUE!</v>
      </c>
      <c r="AI118" s="172" t="e">
        <f>IF(VLOOKUP(T_BilanSocial[[#This Row],[NumL]],T_TraitDi[#Data],COLUMN(T_TraitDi[[#This Row],[Colonne4]]),FALSE)=0,"",TEXT(IFERROR(VLOOKUP(T_BilanSocial[[#This Row],[NumL]],T_TraitDi[#Data],COLUMN(T_TraitDi[[#This Row],[Colonne4]]),FALSE),""),"[hh]:mm"))</f>
        <v>#VALUE!</v>
      </c>
      <c r="AJ118" s="172" t="e">
        <f>IF(VLOOKUP(T_BilanSocial[[#This Row],[NumL]],T_TraitDi[#Data],COLUMN(T_TraitDi[[#This Row],[Colonne5]]),FALSE)=0,"",TEXT(IFERROR(VLOOKUP(T_BilanSocial[[#This Row],[NumL]],T_TraitDi[#Data],COLUMN(T_TraitDi[[#This Row],[Colonne5]]),FALSE),""),"[hh]:mm"))</f>
        <v>#VALUE!</v>
      </c>
      <c r="AK118" s="172" t="e">
        <f>IF(VLOOKUP(T_BilanSocial[[#This Row],[NumL]],T_TraitDi[#Data],COLUMN(T_TraitDi[[#This Row],[Colonne6]]),FALSE)=0,"",TEXT(IFERROR(VLOOKUP(T_BilanSocial[[#This Row],[NumL]],T_TraitDi[#Data],COLUMN(T_TraitDi[[#This Row],[Colonne6]]),FALSE),""),"[hh]:mm"))</f>
        <v>#VALUE!</v>
      </c>
      <c r="AL118" s="172" t="e">
        <f>IF(VLOOKUP(T_BilanSocial[[#This Row],[NumL]],T_TraitDi[#Data],COLUMN(T_TraitDi[[#This Row],[Colonne7]]),FALSE)=0,"",TEXT(IFERROR(VLOOKUP(T_BilanSocial[[#This Row],[NumL]],T_TraitDi[#Data],COLUMN(T_TraitDi[[#This Row],[Colonne7]]),FALSE),""),"[hh]:mm"))</f>
        <v>#VALUE!</v>
      </c>
      <c r="AM118" s="172" t="e">
        <f>IF(VLOOKUP(T_BilanSocial[[#This Row],[NumL]],T_TraitDi[#Data],COLUMN(T_TraitDi[[#This Row],[Colonne8]]),FALSE)=0,"",TEXT(IFERROR(VLOOKUP(T_BilanSocial[[#This Row],[NumL]],T_TraitDi[#Data],COLUMN(T_TraitDi[[#This Row],[Colonne8]]),FALSE),""),"[hh]:mm"))</f>
        <v>#VALUE!</v>
      </c>
      <c r="AN118" s="172" t="str">
        <f>IFERROR(VLOOKUP(T_BilanSocial[[#This Row],[NumL]],T_TraitDi[#Data],COLUMN(T_TraitDi[[#This Row],[Mardi]]),FALSE),"")</f>
        <v/>
      </c>
      <c r="AO118" s="172" t="e">
        <f>IF(VLOOKUP(T_BilanSocial[[#This Row],[NumL]],T_TraitDi[#Data],COLUMN(T_TraitDi[[#This Row],[Colonne1]]),FALSE)=0,"",TEXT(IFERROR(VLOOKUP(T_BilanSocial[[#This Row],[NumL]],T_TraitDi[#Data],COLUMN(T_TraitDi[[#This Row],[Colonne1]]),FALSE),""),"[hh]:mm"))</f>
        <v>#VALUE!</v>
      </c>
      <c r="AP118" s="172" t="e">
        <f>IF(VLOOKUP(T_BilanSocial[[#This Row],[NumL]],T_TraitDi[#Data],COLUMN(T_TraitDi[[#This Row],[Colonne9]]),FALSE)=0,"",TEXT(IFERROR(VLOOKUP(T_BilanSocial[[#This Row],[NumL]],T_TraitDi[#Data],COLUMN(T_TraitDi[[#This Row],[Colonne9]]),FALSE),""),"[hh]:mm"))</f>
        <v>#VALUE!</v>
      </c>
      <c r="AQ118" s="172" t="str">
        <f>IFERROR(VLOOKUP(T_BilanSocial[[#This Row],[NumL]],T_TraitDi[#Data],COLUMN(T_TraitDi[[#This Row],[Colonne10]]),FALSE),"")</f>
        <v/>
      </c>
      <c r="AR118" s="172" t="e">
        <f>IF(VLOOKUP(T_BilanSocial[[#This Row],[NumL]],T_TraitDi[#Data],COLUMN(T_TraitDi[[#This Row],[Colonne11]]),FALSE)=0,"",TEXT(IFERROR(VLOOKUP(T_BilanSocial[[#This Row],[NumL]],T_TraitDi[#Data],COLUMN(T_TraitDi[[#This Row],[Colonne11]]),FALSE),""),"[hh]:mm"))</f>
        <v>#VALUE!</v>
      </c>
      <c r="AS118" s="172" t="e">
        <f>IF(VLOOKUP(T_BilanSocial[[#This Row],[NumL]],T_TraitDi[#Data],COLUMN(T_TraitDi[[#This Row],[Colonne12]]),FALSE)=0,"",TEXT(IFERROR(VLOOKUP(T_BilanSocial[[#This Row],[NumL]],T_TraitDi[#Data],COLUMN(T_TraitDi[[#This Row],[Colonne12]]),FALSE),""),"[hh]:mm"))</f>
        <v>#VALUE!</v>
      </c>
      <c r="AT118" s="172" t="e">
        <f>IF(VLOOKUP(T_BilanSocial[[#This Row],[NumL]],T_TraitDi[#Data],COLUMN(T_TraitDi[[#This Row],[Colonne14]]),FALSE)=0,"",TEXT(IFERROR(VLOOKUP(T_BilanSocial[[#This Row],[NumL]],T_TraitDi[#Data],COLUMN(T_TraitDi[[#This Row],[Colonne14]]),FALSE),""),"[hh]:mm"))</f>
        <v>#VALUE!</v>
      </c>
      <c r="AU118" s="172" t="str">
        <f>IFERROR(VLOOKUP(T_BilanSocial[[#This Row],[NumL]],T_TraitDi[#Data],COLUMN(T_TraitDi[[#This Row],[Mercredi]]),FALSE),"")</f>
        <v/>
      </c>
      <c r="AV118" s="172" t="e">
        <f>IF(VLOOKUP(T_BilanSocial[[#This Row],[NumL]],T_TraitDi[#Data],COLUMN(T_TraitDi[[#This Row],[Colonne15]]),FALSE)=0,"",TEXT(IFERROR(VLOOKUP(T_BilanSocial[[#This Row],[NumL]],T_TraitDi[#Data],COLUMN(T_TraitDi[[#This Row],[Colonne15]]),FALSE),""),"[hh]:mm"))</f>
        <v>#VALUE!</v>
      </c>
      <c r="AW118" s="172" t="e">
        <f>IF(VLOOKUP(T_BilanSocial[[#This Row],[NumL]],T_TraitDi[#Data],COLUMN(T_TraitDi[[#This Row],[Colonne16]]),FALSE)=0,"",TEXT(IFERROR(VLOOKUP(T_BilanSocial[[#This Row],[NumL]],T_TraitDi[#Data],COLUMN(T_TraitDi[[#This Row],[Colonne16]]),FALSE),""),"[hh]:mm"))</f>
        <v>#VALUE!</v>
      </c>
      <c r="AX118" s="172" t="str">
        <f>IFERROR(VLOOKUP(T_BilanSocial[[#This Row],[NumL]],T_TraitDi[#Data],COLUMN(T_TraitDi[[#This Row],[Colonne17]]),FALSE),"")</f>
        <v/>
      </c>
      <c r="AY118" s="172" t="e">
        <f>IF(VLOOKUP(T_BilanSocial[[#This Row],[NumL]],T_TraitDi[#Data],COLUMN(T_TraitDi[[#This Row],[Colonne18]]),FALSE)=0,"",TEXT(IFERROR(VLOOKUP(T_BilanSocial[[#This Row],[NumL]],T_TraitDi[#Data],COLUMN(T_TraitDi[[#This Row],[Colonne18]]),FALSE),""),"[hh]:mm"))</f>
        <v>#VALUE!</v>
      </c>
      <c r="AZ118" s="172" t="e">
        <f>IF(VLOOKUP(T_BilanSocial[[#This Row],[NumL]],T_TraitDi[#Data],COLUMN(T_TraitDi[[#This Row],[Colonne19]]),FALSE)=0,"",TEXT(IFERROR(VLOOKUP(T_BilanSocial[[#This Row],[NumL]],T_TraitDi[#Data],COLUMN(T_TraitDi[[#This Row],[Colonne19]]),FALSE),""),"[hh]:mm"))</f>
        <v>#VALUE!</v>
      </c>
      <c r="BA118" s="172" t="e">
        <f>IF(VLOOKUP(T_BilanSocial[[#This Row],[NumL]],T_TraitDi[#Data],COLUMN(T_TraitDi[[#This Row],[Colonne20]]),FALSE)=0,"",TEXT(IFERROR(VLOOKUP(T_BilanSocial[[#This Row],[NumL]],T_TraitDi[#Data],COLUMN(T_TraitDi[[#This Row],[Colonne20]]),FALSE),""),"[hh]:mm"))</f>
        <v>#VALUE!</v>
      </c>
      <c r="BB118" s="178" t="str">
        <f>IFERROR(VLOOKUP(T_BilanSocial[[#This Row],[NumL]],T_TraitDi[#Data],COLUMN(T_TraitDi[[#This Row],[Jeudi]]),FALSE),"")</f>
        <v/>
      </c>
      <c r="BC118" s="178" t="e">
        <f>IF(VLOOKUP(T_BilanSocial[[#This Row],[NumL]],T_TraitDi[#Data],COLUMN(T_TraitDi[[#This Row],[Colonne21]]),FALSE)=0,"",TEXT(IFERROR(VLOOKUP(T_BilanSocial[[#This Row],[NumL]],T_TraitDi[#Data],COLUMN(T_TraitDi[[#This Row],[Colonne21]]),FALSE),""),"[hh]:mm"))</f>
        <v>#VALUE!</v>
      </c>
      <c r="BD118" s="178" t="e">
        <f>IF(VLOOKUP(T_BilanSocial[[#This Row],[NumL]],T_TraitDi[#Data],COLUMN(T_TraitDi[[#This Row],[Colonne22]]),FALSE)=0,"",TEXT(IFERROR(VLOOKUP(T_BilanSocial[[#This Row],[NumL]],T_TraitDi[#Data],COLUMN(T_TraitDi[[#This Row],[Colonne22]]),FALSE),""),"[hh]:mm"))</f>
        <v>#VALUE!</v>
      </c>
      <c r="BE118" s="178" t="str">
        <f>IFERROR(VLOOKUP(T_BilanSocial[[#This Row],[NumL]],T_TraitDi[#Data],COLUMN(T_TraitDi[[#This Row],[Colonne23]]),FALSE),"")</f>
        <v/>
      </c>
      <c r="BF118" s="178" t="e">
        <f>IF(VLOOKUP(T_BilanSocial[[#This Row],[NumL]],T_TraitDi[#Data],COLUMN(T_TraitDi[[#This Row],[Colonne24]]),FALSE)=0,"",TEXT(IFERROR(VLOOKUP(T_BilanSocial[[#This Row],[NumL]],T_TraitDi[#Data],COLUMN(T_TraitDi[[#This Row],[Colonne24]]),FALSE),""),"[hh]:mm"))</f>
        <v>#VALUE!</v>
      </c>
      <c r="BG118" s="178" t="e">
        <f>IF(VLOOKUP(T_BilanSocial[[#This Row],[NumL]],T_TraitDi[#Data],COLUMN(T_TraitDi[[#This Row],[Colonne25]]),FALSE)=0,"",TEXT(IFERROR(VLOOKUP(T_BilanSocial[[#This Row],[NumL]],T_TraitDi[#Data],COLUMN(T_TraitDi[[#This Row],[Colonne25]]),FALSE),""),"[hh]:mm"))</f>
        <v>#VALUE!</v>
      </c>
      <c r="BH118" s="178" t="e">
        <f>IF(VLOOKUP(T_BilanSocial[[#This Row],[NumL]],T_TraitDi[#Data],COLUMN(T_TraitDi[[#This Row],[Colonne26]]),FALSE)=0,"",TEXT(IFERROR(VLOOKUP(T_BilanSocial[[#This Row],[NumL]],T_TraitDi[#Data],COLUMN(T_TraitDi[[#This Row],[Colonne26]]),FALSE),""),"[hh]:mm"))</f>
        <v>#VALUE!</v>
      </c>
      <c r="BI118" s="172" t="str">
        <f>IFERROR(VLOOKUP(T_BilanSocial[[#This Row],[NumL]],T_TraitDi[#Data],COLUMN(T_TraitDi[[#This Row],[Vendredi]]),FALSE),"")</f>
        <v/>
      </c>
      <c r="BJ118" s="172" t="e">
        <f>IF(VLOOKUP(T_BilanSocial[[#This Row],[NumL]],T_TraitDi[#Data],COLUMN(T_TraitDi[[#This Row],[Colonne27]]),FALSE)=0,"",TEXT(IFERROR(VLOOKUP(T_BilanSocial[[#This Row],[NumL]],T_TraitDi[#Data],COLUMN(T_TraitDi[[#This Row],[Colonne27]]),FALSE),""),"[hh]:mm"))</f>
        <v>#VALUE!</v>
      </c>
      <c r="BK118" s="172" t="e">
        <f>IF(VLOOKUP(T_BilanSocial[[#This Row],[NumL]],T_TraitDi[#Data],COLUMN(T_TraitDi[[#This Row],[Colonne28]]),FALSE)=0,"",TEXT(IFERROR(VLOOKUP(T_BilanSocial[[#This Row],[NumL]],T_TraitDi[#Data],COLUMN(T_TraitDi[[#This Row],[Colonne28]]),FALSE),""),"[hh]:mm"))</f>
        <v>#VALUE!</v>
      </c>
      <c r="BL118" s="172" t="str">
        <f>IFERROR(VLOOKUP(T_BilanSocial[[#This Row],[NumL]],T_TraitDi[#Data],COLUMN(T_TraitDi[[#This Row],[Colonne29]]),FALSE),"")</f>
        <v/>
      </c>
      <c r="BM118" s="172" t="e">
        <f>IF(VLOOKUP(T_BilanSocial[[#This Row],[NumL]],T_TraitDi[#Data],COLUMN(T_TraitDi[[#This Row],[Colonne30]]),FALSE)=0,"",TEXT(IFERROR(VLOOKUP(T_BilanSocial[[#This Row],[NumL]],T_TraitDi[#Data],COLUMN(T_TraitDi[[#This Row],[Colonne30]]),FALSE),""),"[hh]:mm"))</f>
        <v>#VALUE!</v>
      </c>
      <c r="BN118" s="172" t="e">
        <f>IF(VLOOKUP(T_BilanSocial[[#This Row],[NumL]],T_TraitDi[#Data],COLUMN(T_TraitDi[[#This Row],[Colonne31]]),FALSE)=0,"",TEXT(IFERROR(VLOOKUP(T_BilanSocial[[#This Row],[NumL]],T_TraitDi[#Data],COLUMN(T_TraitDi[[#This Row],[Colonne31]]),FALSE),""),"[hh]:mm"))</f>
        <v>#VALUE!</v>
      </c>
      <c r="BO118" s="172" t="e">
        <f>IF(VLOOKUP(T_BilanSocial[[#This Row],[NumL]],T_TraitDi[#Data],COLUMN(T_TraitDi[[#This Row],[Colonne32]]),FALSE)=0,"",TEXT(IFERROR(VLOOKUP(T_BilanSocial[[#This Row],[NumL]],T_TraitDi[#Data],COLUMN(T_TraitDi[[#This Row],[Colonne32]]),FALSE),""),"[hh]:mm"))</f>
        <v>#VALUE!</v>
      </c>
      <c r="BP118" s="172" t="e">
        <f>VLOOKUP(T_BilanSocial[[#This Row],[NumL]],T_TraitDi[#Data],COLUMN(T_TraitDi[NbJTot]),FALSE)</f>
        <v>#N/A</v>
      </c>
      <c r="BQ118" s="174" t="str">
        <f>IFERROR(VLOOKUP(T_BilanSocial[[#This Row],[NumL]],T_TraitDi[#Data],COLUMN(T_TraitDi[[#This Row],[NbJTW]]),FALSE),"")</f>
        <v/>
      </c>
      <c r="BR118" s="174" t="e">
        <f>IF(VLOOKUP(T_BilanSocial[[#This Row],[NumL]],T_TraitDi[#Data],COLUMN(T_TraitDi[[#This Row],[NbhTW]]),FALSE)=0,"",TEXT(IFERROR(VLOOKUP(T_BilanSocial[[#This Row],[NumL]],T_TraitDi[#Data],COLUMN(T_TraitDi[[#This Row],[NbhTW]]),FALSE),""),"[hh]:mm"))</f>
        <v>#VALUE!</v>
      </c>
      <c r="BS118" s="174" t="e">
        <f>IF(VLOOKUP(T_BilanSocial[[#This Row],[NumL]],T_TraitDi[#Data],COLUMN(T_TraitDi[[#This Row],[Nbhheb]]),FALSE)=0,"",TEXT(IFERROR(VLOOKUP($A118,T_TraitDi[#Data],COLUMN(T_TraitDi[[#This Row],[Nbhheb]]),FALSE),""),"[hh]:mm"))</f>
        <v>#VALUE!</v>
      </c>
      <c r="BT118" s="182" t="str">
        <f>IFERROR(VLOOKUP(VLOOKUP($A118,T_TraitDi[#Data],COLUMN(T_TraitDi[[#This Row],[Type1]]),FALSE),TypeTW,2,FALSE),"")</f>
        <v/>
      </c>
      <c r="BU118" s="182" t="str">
        <f>IFERROR(VLOOKUP($A118,T_TraitDi[#Data],COLUMN(T_TraitDi[[#This Row],[Rue1]]),FALSE),"")</f>
        <v/>
      </c>
      <c r="BV118" s="173" t="str">
        <f>IFERROR(VLOOKUP($A118,T_TraitDi[#Data],COLUMN(T_TraitDi[[#This Row],[CP1]]),FALSE),"")</f>
        <v/>
      </c>
      <c r="BW118" s="173" t="str">
        <f>IFERROR(VLOOKUP($A118,T_TraitDi[#Data],COLUMN(T_TraitDi[[#This Row],[VILLE1]]),FALSE),"")</f>
        <v/>
      </c>
      <c r="BX118" s="182" t="str">
        <f>IFERROR(VLOOKUP(VLOOKUP($A118,T_TraitDi[#Data],COLUMN(T_TraitDi[[#This Row],[Type2]]),FALSE),TypeTW,2,FALSE),"")</f>
        <v/>
      </c>
      <c r="BY118" s="182" t="str">
        <f>IFERROR(VLOOKUP($A118,T_TraitDi[#Data],COLUMN(T_TraitDi[[#This Row],[Rue2]]),FALSE),"")</f>
        <v/>
      </c>
      <c r="BZ118" s="173" t="str">
        <f>IFERROR(VLOOKUP($A118,T_TraitDi[#Data],COLUMN(T_TraitDi[[#This Row],[CP2]]),FALSE),"")</f>
        <v/>
      </c>
      <c r="CA118" s="173" t="str">
        <f>IFERROR(VLOOKUP($A118,T_TraitDi[#Data],COLUMN(T_TraitDi[[#This Row],[VILLE2]]),FALSE),"")</f>
        <v/>
      </c>
      <c r="CB118" s="182" t="e">
        <f>IF(VLOOKUP(T_BilanSocial[[#This Row],[NumL]],T_Equipement[#Data],COLUMN(T_Equipement[[#This Row],[PC]]),FALSE)="","Aucun équipement spécifique directement lié au télétravail",VLOOKUP(T_BilanSocial[[#This Row],[NumL]],T_Equipement[#Data],COLUMN(T_Equipement[[#This Row],[PC]]),FALSE))</f>
        <v>#N/A</v>
      </c>
      <c r="CC118" s="166" t="str">
        <f>IFERROR(IF(VLOOKUP(T_BilanSocial[[#This Row],[NumL]],T_TraitDi[#Data],COLUMN(T_TraitDi[[#This Row],[Plan]]),FALSE)="OK","Un planning spécifique de télétravail est annexé à la présente convention.",""),"")</f>
        <v/>
      </c>
      <c r="CD118" s="258" t="s">
        <v>3421</v>
      </c>
      <c r="CE118" s="164" t="e">
        <f>IF(VLOOKUP(T_BilanSocial[[#This Row],[NumL]],T_suiviDi[#Data],COLUMN(T_suiviDi[[#This Row],[Entité]]),FALSE)="","",VLOOKUP(T_BilanSocial[[#This Row],[NumL]],T_suiviDi[#Data],COLUMN(T_suiviDi[[#This Row],[Entité]]),FALSE))</f>
        <v>#VALUE!</v>
      </c>
      <c r="CF118" s="164" t="e">
        <f>IF(VLOOKUP(T_BilanSocial[[#This Row],[NumL]],T_Commission[#Data],COLUMN(T_Commission[[#This Row],[envoi confirm TW]]),FALSE)="","",VLOOKUP(T_BilanSocial[[#This Row],[NumL]],T_Commission[#Data],COLUMN(T_Commission[[#This Row],[envoi confirm TW]]),FALSE))</f>
        <v>#N/A</v>
      </c>
      <c r="CG11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8" s="262" t="e">
        <f>T_BilanSocial[[#This Row],[Nom]]&amp;T_BilanSocial[[#This Row],[Prenom]]</f>
        <v>#N/A</v>
      </c>
      <c r="CI118" s="262" t="e">
        <f>VLOOKUP(T_BilanSocial[[#This Row],[NumL]],T_Commission[#Data],COLUMN(T_Commission[Commentaire]),FALSE)</f>
        <v>#N/A</v>
      </c>
      <c r="CJ118" s="262" t="e">
        <f>IF(VLOOKUP(T_BilanSocial[[#This Row],[NumL]],T_Commission[#Data],COLUMN(T_Commission[Encadrant Email]),FALSE)="","",VLOOKUP(T_BilanSocial[[#This Row],[NumL]],T_Commission[#Data],COLUMN(T_Commission[Encadrant Email]),FALSE))</f>
        <v>#N/A</v>
      </c>
      <c r="CK118" s="340" t="e">
        <f>IF(T_BilanSocial[[#This Row],[Final]]&lt;&gt;"",VLOOKUP(T_BilanSocial[[#This Row],[NumL]],T_suiviDi[#Data],COLUMN((T_suiviDi[Statut])),FALSE),"")</f>
        <v>#N/A</v>
      </c>
    </row>
    <row r="119" spans="1:89" s="106" customFormat="1" ht="24.75" customHeight="1" x14ac:dyDescent="0.25">
      <c r="A119" s="160">
        <v>116</v>
      </c>
      <c r="B119" s="161" t="str">
        <f t="shared" si="10"/>
        <v/>
      </c>
      <c r="C119" s="162" t="s">
        <v>173</v>
      </c>
      <c r="D119" s="95" t="e">
        <f>IF(VLOOKUP(T_BilanSocial[[#This Row],[NumL]],T_TraitDi[#Data],COLUMN(T_TraitDi[[#This Row],[WebC]]),FALSE)="","",VLOOKUP(T_BilanSocial[[#This Row],[NumL]],T_TraitDi[#Data],COLUMN(T_TraitDi[[#This Row],[WebC]]),FALSE))</f>
        <v>#VALUE!</v>
      </c>
      <c r="E119" s="163" t="str">
        <f t="shared" si="11"/>
        <v>12 janvier 2021</v>
      </c>
      <c r="F119" s="96" t="str">
        <f>IF(T_BilanSocial[[#This Row],[Final]]&lt;&gt;"",VLOOKUP(T_BilanSocial[[#This Row],[NumL]],T_suiviDi[#Data],COLUMN((T_suiviDi[Civ.])),FALSE),"")</f>
        <v/>
      </c>
      <c r="G119" s="96" t="str">
        <f>IF(T_BilanSocial[[#This Row],[Final]]&lt;&gt;"",VLOOKUP(T_BilanSocial[[#This Row],[NumL]],T_suiviDi[#Data],COLUMN((T_suiviDi[Nom])),FALSE),"")</f>
        <v/>
      </c>
      <c r="H119" s="96" t="str">
        <f>IF(T_BilanSocial[[#This Row],[Final]]&lt;&gt;"",VLOOKUP(T_BilanSocial[[#This Row],[NumL]],T_suiviDi[#Data],COLUMN((T_suiviDi[Prénom])),FALSE),"")</f>
        <v/>
      </c>
      <c r="I119" s="96" t="str">
        <f>IFERROR(VLOOKUP(T_BilanSocial[[#This Row],[Zone_Bilan]],T_P_BilanSocial[#Data],COLUMN(T_P_BilanSocial[[#This Row],[Numero_SIHAM]]),FALSE),"")</f>
        <v/>
      </c>
      <c r="J119" s="96" t="str">
        <f>IFERROR(VLOOKUP(T_BilanSocial[[#This Row],[Zone_Bilan]],T_P_BilanSocial[#Data],COLUMN(T_P_BilanSocial[[#This Row],[Sexe]]),FALSE),"")</f>
        <v/>
      </c>
      <c r="K119" s="97" t="str">
        <f>IFERROR(VLOOKUP(T_BilanSocial[[#This Row],[Zone_Bilan]],T_P_BilanSocial[#Data],COLUMN(T_P_BilanSocial[[#This Row],[Categorie]]),FALSE),"")</f>
        <v/>
      </c>
      <c r="L119" s="96" t="str">
        <f>IFERROR(VLOOKUP(T_BilanSocial[[#This Row],[Zone_Bilan]],T_P_BilanSocial[#Data],COLUMN(T_P_BilanSocial[[#This Row],[Statut]]),FALSE),"")</f>
        <v/>
      </c>
      <c r="M119" s="96" t="str">
        <f>IFERROR(VLOOKUP(T_BilanSocial[[#This Row],[Zone_Bilan]],T_P_BilanSocial[#Data],COLUMN(T_P_BilanSocial[[#This Row],[Filiere]]),FALSE),"")</f>
        <v/>
      </c>
      <c r="N119" s="96" t="e">
        <f>VLOOKUP(T_BilanSocial[[#This Row],[NumL]],T_TraitDi[#Data],COLUMN(T_TraitDi[EXP]),FALSE)</f>
        <v>#N/A</v>
      </c>
      <c r="O119" s="96" t="e">
        <f>VLOOKUP(T_BilanSocial[[#This Row],[NumL]],T_TraitDi[#Data],COLUMN(T_TraitDi[FORM]),FALSE)</f>
        <v>#N/A</v>
      </c>
      <c r="P119" s="96" t="str">
        <f>IF(T_BilanSocial[[#This Row],[Final]]&lt;&gt;"",VLOOKUP(T_BilanSocial[[#This Row],[NumL]],T_suiviDi[#Data],COLUMN((T_suiviDi[Email])),FALSE),"")</f>
        <v/>
      </c>
      <c r="Q119" s="164" t="e">
        <f t="shared" si="17"/>
        <v>#N/A</v>
      </c>
      <c r="R119" s="164" t="e">
        <f t="shared" si="18"/>
        <v>#N/A</v>
      </c>
      <c r="S119" s="164" t="e">
        <f>IF(VLOOKUP(T_BilanSocial[[#This Row],[NumL]],T_suiviDi[#Data],COLUMN(T_suiviDi[[#This Row],[Service ]]),FALSE)="","",VLOOKUP(T_BilanSocial[[#This Row],[NumL]],T_suiviDi[#Data],COLUMN(T_suiviDi[[#This Row],[Service ]]),FALSE))</f>
        <v>#VALUE!</v>
      </c>
      <c r="T119" s="164" t="str">
        <f t="shared" si="12"/>
        <v>01 septembre 2021</v>
      </c>
      <c r="U119" s="164" t="str">
        <f t="shared" si="13"/>
        <v>30 novembre 2021</v>
      </c>
      <c r="V119" s="164" t="str">
        <f t="shared" si="21"/>
        <v>30 novembre 2021</v>
      </c>
      <c r="W119" s="176" t="e">
        <f>IF(VLOOKUP(T_BilanSocial[[#This Row],[NumL]],T_TraitDi[#Data],COLUMN(T_TraitDi[[#This Row],[M1]]),FALSE)="","",VLOOKUP(T_BilanSocial[[#This Row],[NumL]],T_TraitDi[#Data],COLUMN(T_TraitDi[[#This Row],[M1]]),FALSE))</f>
        <v>#VALUE!</v>
      </c>
      <c r="X119" s="176" t="e">
        <f>IF(VLOOKUP(T_BilanSocial[[#This Row],[NumL]],T_TraitDi[#Data],COLUMN(T_TraitDi[[#This Row],[M2]]),FALSE)="","",VLOOKUP(T_BilanSocial[[#This Row],[NumL]],T_TraitDi[#Data],COLUMN(T_TraitDi[[#This Row],[M2]]),FALSE))</f>
        <v>#VALUE!</v>
      </c>
      <c r="Y119" s="176" t="e">
        <f>IF(VLOOKUP(T_BilanSocial[[#This Row],[NumL]],T_TraitDi[#Data],COLUMN(T_TraitDi[[#This Row],[M3]]),FALSE)="","",VLOOKUP(T_BilanSocial[[#This Row],[NumL]],T_TraitDi[#Data],COLUMN(T_TraitDi[[#This Row],[M3]]),FALSE))</f>
        <v>#VALUE!</v>
      </c>
      <c r="Z119" s="176" t="str">
        <f t="shared" si="16"/>
        <v/>
      </c>
      <c r="AA119" s="176" t="e">
        <f>IF(VLOOKUP(T_BilanSocial[[#This Row],[NumL]],T_TraitDi[#Data],COLUMN(T_TraitDi[[#This Row],[M5]]),FALSE)="","",VLOOKUP(T_BilanSocial[[#This Row],[NumL]],T_TraitDi[#Data],COLUMN(T_TraitDi[[#This Row],[M5]]),FALSE))</f>
        <v>#VALUE!</v>
      </c>
      <c r="AB119" s="176" t="e">
        <f>IF(VLOOKUP(T_BilanSocial[[#This Row],[NumL]],T_TraitDi[#Data],COLUMN(T_TraitDi[[#This Row],[M6]]),FALSE)="","",VLOOKUP(T_BilanSocial[[#This Row],[NumL]],T_TraitDi[#Data],COLUMN(T_TraitDi[[#This Row],[M6]]),FALSE))</f>
        <v>#VALUE!</v>
      </c>
      <c r="AC119" s="165" t="e">
        <f t="shared" si="15"/>
        <v>#VALUE!</v>
      </c>
      <c r="AD119" s="188" t="str">
        <f>IFERROR(TEXT(VLOOKUP(T_BilanSocial[[#This Row],[NumL]],T_TraitDi[#Data],COLUMN(T_TraitDi[[#This Row],[Q2]]),FALSE),"###%"),"")</f>
        <v/>
      </c>
      <c r="AE119" s="97" t="e">
        <f>VLOOKUP(T_BilanSocial[[#This Row],[NumL]],T_TraitDi[#Data],COLUMN(T_TraitDi[[#This Row],[Reg Ponct]]),FALSE)</f>
        <v>#VALUE!</v>
      </c>
      <c r="AF119" s="97" t="e">
        <f>VLOOKUP(T_BilanSocial[NumL],T_TraitDi[#Data],COLUMN(T_TraitDi[[#This Row],[Jours flottants]]),FALSE)</f>
        <v>#VALUE!</v>
      </c>
      <c r="AG119" s="97" t="str">
        <f>IFERROR(VLOOKUP(T_BilanSocial[[#This Row],[NumL]],T_TraitDi[#Data],COLUMN(T_TraitDi[[#This Row],[Lundi]]),FALSE),"")</f>
        <v/>
      </c>
      <c r="AH119" s="172" t="e">
        <f>IF(VLOOKUP(T_BilanSocial[[#This Row],[NumL]],T_TraitDi[#Data],COLUMN(T_TraitDi[[#This Row],[Colonne3]]),FALSE)=0,"",TEXT(IFERROR(VLOOKUP(T_BilanSocial[[#This Row],[NumL]],T_TraitDi[#Data],COLUMN(T_TraitDi[[#This Row],[Colonne3]]),FALSE),""),"[hh]:mm"))</f>
        <v>#VALUE!</v>
      </c>
      <c r="AI119" s="172" t="e">
        <f>IF(VLOOKUP(T_BilanSocial[[#This Row],[NumL]],T_TraitDi[#Data],COLUMN(T_TraitDi[[#This Row],[Colonne4]]),FALSE)=0,"",TEXT(IFERROR(VLOOKUP(T_BilanSocial[[#This Row],[NumL]],T_TraitDi[#Data],COLUMN(T_TraitDi[[#This Row],[Colonne4]]),FALSE),""),"[hh]:mm"))</f>
        <v>#VALUE!</v>
      </c>
      <c r="AJ119" s="172" t="e">
        <f>IF(VLOOKUP(T_BilanSocial[[#This Row],[NumL]],T_TraitDi[#Data],COLUMN(T_TraitDi[[#This Row],[Colonne5]]),FALSE)=0,"",TEXT(IFERROR(VLOOKUP(T_BilanSocial[[#This Row],[NumL]],T_TraitDi[#Data],COLUMN(T_TraitDi[[#This Row],[Colonne5]]),FALSE),""),"[hh]:mm"))</f>
        <v>#VALUE!</v>
      </c>
      <c r="AK119" s="172" t="e">
        <f>IF(VLOOKUP(T_BilanSocial[[#This Row],[NumL]],T_TraitDi[#Data],COLUMN(T_TraitDi[[#This Row],[Colonne6]]),FALSE)=0,"",TEXT(IFERROR(VLOOKUP(T_BilanSocial[[#This Row],[NumL]],T_TraitDi[#Data],COLUMN(T_TraitDi[[#This Row],[Colonne6]]),FALSE),""),"[hh]:mm"))</f>
        <v>#VALUE!</v>
      </c>
      <c r="AL119" s="172" t="e">
        <f>IF(VLOOKUP(T_BilanSocial[[#This Row],[NumL]],T_TraitDi[#Data],COLUMN(T_TraitDi[[#This Row],[Colonne7]]),FALSE)=0,"",TEXT(IFERROR(VLOOKUP(T_BilanSocial[[#This Row],[NumL]],T_TraitDi[#Data],COLUMN(T_TraitDi[[#This Row],[Colonne7]]),FALSE),""),"[hh]:mm"))</f>
        <v>#VALUE!</v>
      </c>
      <c r="AM119" s="172" t="e">
        <f>IF(VLOOKUP(T_BilanSocial[[#This Row],[NumL]],T_TraitDi[#Data],COLUMN(T_TraitDi[[#This Row],[Colonne8]]),FALSE)=0,"",TEXT(IFERROR(VLOOKUP(T_BilanSocial[[#This Row],[NumL]],T_TraitDi[#Data],COLUMN(T_TraitDi[[#This Row],[Colonne8]]),FALSE),""),"[hh]:mm"))</f>
        <v>#VALUE!</v>
      </c>
      <c r="AN119" s="172" t="str">
        <f>IFERROR(VLOOKUP(T_BilanSocial[[#This Row],[NumL]],T_TraitDi[#Data],COLUMN(T_TraitDi[[#This Row],[Mardi]]),FALSE),"")</f>
        <v/>
      </c>
      <c r="AO119" s="172" t="e">
        <f>IF(VLOOKUP(T_BilanSocial[[#This Row],[NumL]],T_TraitDi[#Data],COLUMN(T_TraitDi[[#This Row],[Colonne1]]),FALSE)=0,"",TEXT(IFERROR(VLOOKUP(T_BilanSocial[[#This Row],[NumL]],T_TraitDi[#Data],COLUMN(T_TraitDi[[#This Row],[Colonne1]]),FALSE),""),"[hh]:mm"))</f>
        <v>#VALUE!</v>
      </c>
      <c r="AP119" s="172" t="e">
        <f>IF(VLOOKUP(T_BilanSocial[[#This Row],[NumL]],T_TraitDi[#Data],COLUMN(T_TraitDi[[#This Row],[Colonne9]]),FALSE)=0,"",TEXT(IFERROR(VLOOKUP(T_BilanSocial[[#This Row],[NumL]],T_TraitDi[#Data],COLUMN(T_TraitDi[[#This Row],[Colonne9]]),FALSE),""),"[hh]:mm"))</f>
        <v>#VALUE!</v>
      </c>
      <c r="AQ119" s="172" t="str">
        <f>IFERROR(VLOOKUP(T_BilanSocial[[#This Row],[NumL]],T_TraitDi[#Data],COLUMN(T_TraitDi[[#This Row],[Colonne10]]),FALSE),"")</f>
        <v/>
      </c>
      <c r="AR119" s="172" t="e">
        <f>IF(VLOOKUP(T_BilanSocial[[#This Row],[NumL]],T_TraitDi[#Data],COLUMN(T_TraitDi[[#This Row],[Colonne11]]),FALSE)=0,"",TEXT(IFERROR(VLOOKUP(T_BilanSocial[[#This Row],[NumL]],T_TraitDi[#Data],COLUMN(T_TraitDi[[#This Row],[Colonne11]]),FALSE),""),"[hh]:mm"))</f>
        <v>#VALUE!</v>
      </c>
      <c r="AS119" s="172" t="e">
        <f>IF(VLOOKUP(T_BilanSocial[[#This Row],[NumL]],T_TraitDi[#Data],COLUMN(T_TraitDi[[#This Row],[Colonne12]]),FALSE)=0,"",TEXT(IFERROR(VLOOKUP(T_BilanSocial[[#This Row],[NumL]],T_TraitDi[#Data],COLUMN(T_TraitDi[[#This Row],[Colonne12]]),FALSE),""),"[hh]:mm"))</f>
        <v>#VALUE!</v>
      </c>
      <c r="AT119" s="172" t="e">
        <f>IF(VLOOKUP(T_BilanSocial[[#This Row],[NumL]],T_TraitDi[#Data],COLUMN(T_TraitDi[[#This Row],[Colonne14]]),FALSE)=0,"",TEXT(IFERROR(VLOOKUP(T_BilanSocial[[#This Row],[NumL]],T_TraitDi[#Data],COLUMN(T_TraitDi[[#This Row],[Colonne14]]),FALSE),""),"[hh]:mm"))</f>
        <v>#VALUE!</v>
      </c>
      <c r="AU119" s="172" t="str">
        <f>IFERROR(VLOOKUP(T_BilanSocial[[#This Row],[NumL]],T_TraitDi[#Data],COLUMN(T_TraitDi[[#This Row],[Mercredi]]),FALSE),"")</f>
        <v/>
      </c>
      <c r="AV119" s="172" t="e">
        <f>IF(VLOOKUP(T_BilanSocial[[#This Row],[NumL]],T_TraitDi[#Data],COLUMN(T_TraitDi[[#This Row],[Colonne15]]),FALSE)=0,"",TEXT(IFERROR(VLOOKUP(T_BilanSocial[[#This Row],[NumL]],T_TraitDi[#Data],COLUMN(T_TraitDi[[#This Row],[Colonne15]]),FALSE),""),"[hh]:mm"))</f>
        <v>#VALUE!</v>
      </c>
      <c r="AW119" s="172" t="e">
        <f>IF(VLOOKUP(T_BilanSocial[[#This Row],[NumL]],T_TraitDi[#Data],COLUMN(T_TraitDi[[#This Row],[Colonne16]]),FALSE)=0,"",TEXT(IFERROR(VLOOKUP(T_BilanSocial[[#This Row],[NumL]],T_TraitDi[#Data],COLUMN(T_TraitDi[[#This Row],[Colonne16]]),FALSE),""),"[hh]:mm"))</f>
        <v>#VALUE!</v>
      </c>
      <c r="AX119" s="172" t="str">
        <f>IFERROR(VLOOKUP(T_BilanSocial[[#This Row],[NumL]],T_TraitDi[#Data],COLUMN(T_TraitDi[[#This Row],[Colonne17]]),FALSE),"")</f>
        <v/>
      </c>
      <c r="AY119" s="172" t="e">
        <f>IF(VLOOKUP(T_BilanSocial[[#This Row],[NumL]],T_TraitDi[#Data],COLUMN(T_TraitDi[[#This Row],[Colonne18]]),FALSE)=0,"",TEXT(IFERROR(VLOOKUP(T_BilanSocial[[#This Row],[NumL]],T_TraitDi[#Data],COLUMN(T_TraitDi[[#This Row],[Colonne18]]),FALSE),""),"[hh]:mm"))</f>
        <v>#VALUE!</v>
      </c>
      <c r="AZ119" s="172" t="e">
        <f>IF(VLOOKUP(T_BilanSocial[[#This Row],[NumL]],T_TraitDi[#Data],COLUMN(T_TraitDi[[#This Row],[Colonne19]]),FALSE)=0,"",TEXT(IFERROR(VLOOKUP(T_BilanSocial[[#This Row],[NumL]],T_TraitDi[#Data],COLUMN(T_TraitDi[[#This Row],[Colonne19]]),FALSE),""),"[hh]:mm"))</f>
        <v>#VALUE!</v>
      </c>
      <c r="BA119" s="172" t="e">
        <f>IF(VLOOKUP(T_BilanSocial[[#This Row],[NumL]],T_TraitDi[#Data],COLUMN(T_TraitDi[[#This Row],[Colonne20]]),FALSE)=0,"",TEXT(IFERROR(VLOOKUP(T_BilanSocial[[#This Row],[NumL]],T_TraitDi[#Data],COLUMN(T_TraitDi[[#This Row],[Colonne20]]),FALSE),""),"[hh]:mm"))</f>
        <v>#VALUE!</v>
      </c>
      <c r="BB119" s="178" t="str">
        <f>IFERROR(VLOOKUP(T_BilanSocial[[#This Row],[NumL]],T_TraitDi[#Data],COLUMN(T_TraitDi[[#This Row],[Jeudi]]),FALSE),"")</f>
        <v/>
      </c>
      <c r="BC119" s="178" t="e">
        <f>IF(VLOOKUP(T_BilanSocial[[#This Row],[NumL]],T_TraitDi[#Data],COLUMN(T_TraitDi[[#This Row],[Colonne21]]),FALSE)=0,"",TEXT(IFERROR(VLOOKUP(T_BilanSocial[[#This Row],[NumL]],T_TraitDi[#Data],COLUMN(T_TraitDi[[#This Row],[Colonne21]]),FALSE),""),"[hh]:mm"))</f>
        <v>#VALUE!</v>
      </c>
      <c r="BD119" s="178" t="e">
        <f>IF(VLOOKUP(T_BilanSocial[[#This Row],[NumL]],T_TraitDi[#Data],COLUMN(T_TraitDi[[#This Row],[Colonne22]]),FALSE)=0,"",TEXT(IFERROR(VLOOKUP(T_BilanSocial[[#This Row],[NumL]],T_TraitDi[#Data],COLUMN(T_TraitDi[[#This Row],[Colonne22]]),FALSE),""),"[hh]:mm"))</f>
        <v>#VALUE!</v>
      </c>
      <c r="BE119" s="178" t="str">
        <f>IFERROR(VLOOKUP(T_BilanSocial[[#This Row],[NumL]],T_TraitDi[#Data],COLUMN(T_TraitDi[[#This Row],[Colonne23]]),FALSE),"")</f>
        <v/>
      </c>
      <c r="BF119" s="178" t="e">
        <f>IF(VLOOKUP(T_BilanSocial[[#This Row],[NumL]],T_TraitDi[#Data],COLUMN(T_TraitDi[[#This Row],[Colonne24]]),FALSE)=0,"",TEXT(IFERROR(VLOOKUP(T_BilanSocial[[#This Row],[NumL]],T_TraitDi[#Data],COLUMN(T_TraitDi[[#This Row],[Colonne24]]),FALSE),""),"[hh]:mm"))</f>
        <v>#VALUE!</v>
      </c>
      <c r="BG119" s="178" t="e">
        <f>IF(VLOOKUP(T_BilanSocial[[#This Row],[NumL]],T_TraitDi[#Data],COLUMN(T_TraitDi[[#This Row],[Colonne25]]),FALSE)=0,"",TEXT(IFERROR(VLOOKUP(T_BilanSocial[[#This Row],[NumL]],T_TraitDi[#Data],COLUMN(T_TraitDi[[#This Row],[Colonne25]]),FALSE),""),"[hh]:mm"))</f>
        <v>#VALUE!</v>
      </c>
      <c r="BH119" s="178" t="e">
        <f>IF(VLOOKUP(T_BilanSocial[[#This Row],[NumL]],T_TraitDi[#Data],COLUMN(T_TraitDi[[#This Row],[Colonne26]]),FALSE)=0,"",TEXT(IFERROR(VLOOKUP(T_BilanSocial[[#This Row],[NumL]],T_TraitDi[#Data],COLUMN(T_TraitDi[[#This Row],[Colonne26]]),FALSE),""),"[hh]:mm"))</f>
        <v>#VALUE!</v>
      </c>
      <c r="BI119" s="172" t="str">
        <f>IFERROR(VLOOKUP(T_BilanSocial[[#This Row],[NumL]],T_TraitDi[#Data],COLUMN(T_TraitDi[[#This Row],[Vendredi]]),FALSE),"")</f>
        <v/>
      </c>
      <c r="BJ119" s="172" t="e">
        <f>IF(VLOOKUP(T_BilanSocial[[#This Row],[NumL]],T_TraitDi[#Data],COLUMN(T_TraitDi[[#This Row],[Colonne27]]),FALSE)=0,"",TEXT(IFERROR(VLOOKUP(T_BilanSocial[[#This Row],[NumL]],T_TraitDi[#Data],COLUMN(T_TraitDi[[#This Row],[Colonne27]]),FALSE),""),"[hh]:mm"))</f>
        <v>#VALUE!</v>
      </c>
      <c r="BK119" s="172" t="e">
        <f>IF(VLOOKUP(T_BilanSocial[[#This Row],[NumL]],T_TraitDi[#Data],COLUMN(T_TraitDi[[#This Row],[Colonne28]]),FALSE)=0,"",TEXT(IFERROR(VLOOKUP(T_BilanSocial[[#This Row],[NumL]],T_TraitDi[#Data],COLUMN(T_TraitDi[[#This Row],[Colonne28]]),FALSE),""),"[hh]:mm"))</f>
        <v>#VALUE!</v>
      </c>
      <c r="BL119" s="172" t="str">
        <f>IFERROR(VLOOKUP(T_BilanSocial[[#This Row],[NumL]],T_TraitDi[#Data],COLUMN(T_TraitDi[[#This Row],[Colonne29]]),FALSE),"")</f>
        <v/>
      </c>
      <c r="BM119" s="172" t="e">
        <f>IF(VLOOKUP(T_BilanSocial[[#This Row],[NumL]],T_TraitDi[#Data],COLUMN(T_TraitDi[[#This Row],[Colonne30]]),FALSE)=0,"",TEXT(IFERROR(VLOOKUP(T_BilanSocial[[#This Row],[NumL]],T_TraitDi[#Data],COLUMN(T_TraitDi[[#This Row],[Colonne30]]),FALSE),""),"[hh]:mm"))</f>
        <v>#VALUE!</v>
      </c>
      <c r="BN119" s="172" t="e">
        <f>IF(VLOOKUP(T_BilanSocial[[#This Row],[NumL]],T_TraitDi[#Data],COLUMN(T_TraitDi[[#This Row],[Colonne31]]),FALSE)=0,"",TEXT(IFERROR(VLOOKUP(T_BilanSocial[[#This Row],[NumL]],T_TraitDi[#Data],COLUMN(T_TraitDi[[#This Row],[Colonne31]]),FALSE),""),"[hh]:mm"))</f>
        <v>#VALUE!</v>
      </c>
      <c r="BO119" s="172" t="e">
        <f>IF(VLOOKUP(T_BilanSocial[[#This Row],[NumL]],T_TraitDi[#Data],COLUMN(T_TraitDi[[#This Row],[Colonne32]]),FALSE)=0,"",TEXT(IFERROR(VLOOKUP(T_BilanSocial[[#This Row],[NumL]],T_TraitDi[#Data],COLUMN(T_TraitDi[[#This Row],[Colonne32]]),FALSE),""),"[hh]:mm"))</f>
        <v>#VALUE!</v>
      </c>
      <c r="BP119" s="172" t="e">
        <f>VLOOKUP(T_BilanSocial[[#This Row],[NumL]],T_TraitDi[#Data],COLUMN(T_TraitDi[NbJTot]),FALSE)</f>
        <v>#N/A</v>
      </c>
      <c r="BQ119" s="174" t="str">
        <f>IFERROR(VLOOKUP(T_BilanSocial[[#This Row],[NumL]],T_TraitDi[#Data],COLUMN(T_TraitDi[[#This Row],[NbJTW]]),FALSE),"")</f>
        <v/>
      </c>
      <c r="BR119" s="174" t="e">
        <f>IF(VLOOKUP(T_BilanSocial[[#This Row],[NumL]],T_TraitDi[#Data],COLUMN(T_TraitDi[[#This Row],[NbhTW]]),FALSE)=0,"",TEXT(IFERROR(VLOOKUP(T_BilanSocial[[#This Row],[NumL]],T_TraitDi[#Data],COLUMN(T_TraitDi[[#This Row],[NbhTW]]),FALSE),""),"[hh]:mm"))</f>
        <v>#VALUE!</v>
      </c>
      <c r="BS119" s="174" t="e">
        <f>IF(VLOOKUP(T_BilanSocial[[#This Row],[NumL]],T_TraitDi[#Data],COLUMN(T_TraitDi[[#This Row],[Nbhheb]]),FALSE)=0,"",TEXT(IFERROR(VLOOKUP($A119,T_TraitDi[#Data],COLUMN(T_TraitDi[[#This Row],[Nbhheb]]),FALSE),""),"[hh]:mm"))</f>
        <v>#VALUE!</v>
      </c>
      <c r="BT119" s="182" t="str">
        <f>IFERROR(VLOOKUP(VLOOKUP($A119,T_TraitDi[#Data],COLUMN(T_TraitDi[[#This Row],[Type1]]),FALSE),TypeTW,2,FALSE),"")</f>
        <v/>
      </c>
      <c r="BU119" s="182" t="str">
        <f>IFERROR(VLOOKUP($A119,T_TraitDi[#Data],COLUMN(T_TraitDi[[#This Row],[Rue1]]),FALSE),"")</f>
        <v/>
      </c>
      <c r="BV119" s="173" t="str">
        <f>IFERROR(VLOOKUP($A119,T_TraitDi[#Data],COLUMN(T_TraitDi[[#This Row],[CP1]]),FALSE),"")</f>
        <v/>
      </c>
      <c r="BW119" s="173" t="str">
        <f>IFERROR(VLOOKUP($A119,T_TraitDi[#Data],COLUMN(T_TraitDi[[#This Row],[VILLE1]]),FALSE),"")</f>
        <v/>
      </c>
      <c r="BX119" s="182" t="str">
        <f>IFERROR(VLOOKUP(VLOOKUP($A119,T_TraitDi[#Data],COLUMN(T_TraitDi[[#This Row],[Type2]]),FALSE),TypeTW,2,FALSE),"")</f>
        <v/>
      </c>
      <c r="BY119" s="182" t="str">
        <f>IFERROR(VLOOKUP($A119,T_TraitDi[#Data],COLUMN(T_TraitDi[[#This Row],[Rue2]]),FALSE),"")</f>
        <v/>
      </c>
      <c r="BZ119" s="173" t="str">
        <f>IFERROR(VLOOKUP($A119,T_TraitDi[#Data],COLUMN(T_TraitDi[[#This Row],[CP2]]),FALSE),"")</f>
        <v/>
      </c>
      <c r="CA119" s="173" t="str">
        <f>IFERROR(VLOOKUP($A119,T_TraitDi[#Data],COLUMN(T_TraitDi[[#This Row],[VILLE2]]),FALSE),"")</f>
        <v/>
      </c>
      <c r="CB119" s="182" t="str">
        <f>IF(VLOOKUP(T_BilanSocial[[#This Row],[NumL]],T_Equipement[#Data],COLUMN(T_Equipement[[#This Row],[PC]]),FALSE)="","Aucun équipement spécifique directement lié au télétravail",VLOOKUP(T_BilanSocial[[#This Row],[NumL]],T_Equipement[#Data],COLUMN(T_Equipement[[#This Row],[PC]]),FALSE))</f>
        <v>20-786</v>
      </c>
      <c r="CC119" s="166" t="str">
        <f>IFERROR(IF(VLOOKUP(T_BilanSocial[[#This Row],[NumL]],T_TraitDi[#Data],COLUMN(T_TraitDi[[#This Row],[Plan]]),FALSE)="OK","Un planning spécifique de télétravail est annexé à la présente convention.",""),"")</f>
        <v/>
      </c>
      <c r="CD119" s="258" t="s">
        <v>3314</v>
      </c>
      <c r="CE119" s="164" t="e">
        <f>IF(VLOOKUP(T_BilanSocial[[#This Row],[NumL]],T_suiviDi[#Data],COLUMN(T_suiviDi[[#This Row],[Entité]]),FALSE)="","",VLOOKUP(T_BilanSocial[[#This Row],[NumL]],T_suiviDi[#Data],COLUMN(T_suiviDi[[#This Row],[Entité]]),FALSE))</f>
        <v>#VALUE!</v>
      </c>
      <c r="CF119" s="164" t="str">
        <f>IF(VLOOKUP(T_BilanSocial[[#This Row],[NumL]],T_Commission[#Data],COLUMN(T_Commission[[#This Row],[envoi confirm TW]]),FALSE)="","",VLOOKUP(T_BilanSocial[[#This Row],[NumL]],T_Commission[#Data],COLUMN(T_Commission[[#This Row],[envoi confirm TW]]),FALSE))</f>
        <v>Oui</v>
      </c>
      <c r="CG11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19" s="262" t="str">
        <f>T_BilanSocial[[#This Row],[Nom]]&amp;T_BilanSocial[[#This Row],[Prenom]]</f>
        <v/>
      </c>
      <c r="CI119" s="262">
        <f>VLOOKUP(T_BilanSocial[[#This Row],[NumL]],T_Commission[#Data],COLUMN(T_Commission[Commentaire]),FALSE)</f>
        <v>0</v>
      </c>
      <c r="CJ119" s="262" t="str">
        <f>IF(VLOOKUP(T_BilanSocial[[#This Row],[NumL]],T_Commission[#Data],COLUMN(T_Commission[Encadrant Email]),FALSE)="","",VLOOKUP(T_BilanSocial[[#This Row],[NumL]],T_Commission[#Data],COLUMN(T_Commission[Encadrant Email]),FALSE))</f>
        <v/>
      </c>
      <c r="CK119" s="340" t="str">
        <f>IF(T_BilanSocial[[#This Row],[Final]]&lt;&gt;"",VLOOKUP(T_BilanSocial[[#This Row],[NumL]],T_suiviDi[#Data],COLUMN((T_suiviDi[Statut])),FALSE),"")</f>
        <v/>
      </c>
    </row>
    <row r="120" spans="1:89" s="106" customFormat="1" ht="24.75" customHeight="1" x14ac:dyDescent="0.25">
      <c r="A120" s="160">
        <v>117</v>
      </c>
      <c r="B120" s="161" t="str">
        <f t="shared" si="10"/>
        <v/>
      </c>
      <c r="C120" s="162" t="s">
        <v>173</v>
      </c>
      <c r="D120" s="95" t="e">
        <f>IF(VLOOKUP(T_BilanSocial[[#This Row],[NumL]],T_TraitDi[#Data],COLUMN(T_TraitDi[[#This Row],[WebC]]),FALSE)="","",VLOOKUP(T_BilanSocial[[#This Row],[NumL]],T_TraitDi[#Data],COLUMN(T_TraitDi[[#This Row],[WebC]]),FALSE))</f>
        <v>#VALUE!</v>
      </c>
      <c r="E120" s="163" t="str">
        <f t="shared" si="11"/>
        <v>12 janvier 2021</v>
      </c>
      <c r="F120" s="96" t="str">
        <f>IF(T_BilanSocial[[#This Row],[Final]]&lt;&gt;"",VLOOKUP(T_BilanSocial[[#This Row],[NumL]],T_suiviDi[#Data],COLUMN((T_suiviDi[Civ.])),FALSE),"")</f>
        <v/>
      </c>
      <c r="G120" s="96" t="str">
        <f>IF(T_BilanSocial[[#This Row],[Final]]&lt;&gt;"",VLOOKUP(T_BilanSocial[[#This Row],[NumL]],T_suiviDi[#Data],COLUMN((T_suiviDi[Nom])),FALSE),"")</f>
        <v/>
      </c>
      <c r="H120" s="96" t="str">
        <f>IF(T_BilanSocial[[#This Row],[Final]]&lt;&gt;"",VLOOKUP(T_BilanSocial[[#This Row],[NumL]],T_suiviDi[#Data],COLUMN((T_suiviDi[Prénom])),FALSE),"")</f>
        <v/>
      </c>
      <c r="I120" s="96" t="str">
        <f>IFERROR(VLOOKUP(T_BilanSocial[[#This Row],[Zone_Bilan]],T_P_BilanSocial[#Data],COLUMN(T_P_BilanSocial[[#This Row],[Numero_SIHAM]]),FALSE),"")</f>
        <v/>
      </c>
      <c r="J120" s="96" t="str">
        <f>IFERROR(VLOOKUP(T_BilanSocial[[#This Row],[Zone_Bilan]],T_P_BilanSocial[#Data],COLUMN(T_P_BilanSocial[[#This Row],[Sexe]]),FALSE),"")</f>
        <v/>
      </c>
      <c r="K120" s="97" t="str">
        <f>IFERROR(VLOOKUP(T_BilanSocial[[#This Row],[Zone_Bilan]],T_P_BilanSocial[#Data],COLUMN(T_P_BilanSocial[[#This Row],[Categorie]]),FALSE),"")</f>
        <v/>
      </c>
      <c r="L120" s="96" t="str">
        <f>IFERROR(VLOOKUP(T_BilanSocial[[#This Row],[Zone_Bilan]],T_P_BilanSocial[#Data],COLUMN(T_P_BilanSocial[[#This Row],[Statut]]),FALSE),"")</f>
        <v/>
      </c>
      <c r="M120" s="96" t="str">
        <f>IFERROR(VLOOKUP(T_BilanSocial[[#This Row],[Zone_Bilan]],T_P_BilanSocial[#Data],COLUMN(T_P_BilanSocial[[#This Row],[Filiere]]),FALSE),"")</f>
        <v/>
      </c>
      <c r="N120" s="96" t="e">
        <f>VLOOKUP(T_BilanSocial[[#This Row],[NumL]],T_TraitDi[#Data],COLUMN(T_TraitDi[EXP]),FALSE)</f>
        <v>#N/A</v>
      </c>
      <c r="O120" s="96" t="e">
        <f>VLOOKUP(T_BilanSocial[[#This Row],[NumL]],T_TraitDi[#Data],COLUMN(T_TraitDi[FORM]),FALSE)</f>
        <v>#N/A</v>
      </c>
      <c r="P120" s="96" t="str">
        <f>IF(T_BilanSocial[[#This Row],[Final]]&lt;&gt;"",VLOOKUP(T_BilanSocial[[#This Row],[NumL]],T_suiviDi[#Data],COLUMN((T_suiviDi[Email])),FALSE),"")</f>
        <v/>
      </c>
      <c r="Q120" s="164" t="e">
        <f t="shared" si="17"/>
        <v>#N/A</v>
      </c>
      <c r="R120" s="164" t="e">
        <f t="shared" si="18"/>
        <v>#N/A</v>
      </c>
      <c r="S120" s="164" t="e">
        <f>IF(VLOOKUP(T_BilanSocial[[#This Row],[NumL]],T_suiviDi[#Data],COLUMN(T_suiviDi[[#This Row],[Service ]]),FALSE)="","",VLOOKUP(T_BilanSocial[[#This Row],[NumL]],T_suiviDi[#Data],COLUMN(T_suiviDi[[#This Row],[Service ]]),FALSE))</f>
        <v>#VALUE!</v>
      </c>
      <c r="T120" s="164" t="str">
        <f t="shared" si="12"/>
        <v>01 septembre 2021</v>
      </c>
      <c r="U120" s="164" t="str">
        <f t="shared" si="13"/>
        <v>30 novembre 2021</v>
      </c>
      <c r="V120" s="164" t="str">
        <f t="shared" si="21"/>
        <v>30 novembre 2021</v>
      </c>
      <c r="W120" s="176" t="e">
        <f>IF(VLOOKUP(T_BilanSocial[[#This Row],[NumL]],T_TraitDi[#Data],COLUMN(T_TraitDi[[#This Row],[M1]]),FALSE)="","",VLOOKUP(T_BilanSocial[[#This Row],[NumL]],T_TraitDi[#Data],COLUMN(T_TraitDi[[#This Row],[M1]]),FALSE))</f>
        <v>#VALUE!</v>
      </c>
      <c r="X120" s="176" t="e">
        <f>IF(VLOOKUP(T_BilanSocial[[#This Row],[NumL]],T_TraitDi[#Data],COLUMN(T_TraitDi[[#This Row],[M2]]),FALSE)="","",VLOOKUP(T_BilanSocial[[#This Row],[NumL]],T_TraitDi[#Data],COLUMN(T_TraitDi[[#This Row],[M2]]),FALSE))</f>
        <v>#VALUE!</v>
      </c>
      <c r="Y120" s="176" t="e">
        <f>IF(VLOOKUP(T_BilanSocial[[#This Row],[NumL]],T_TraitDi[#Data],COLUMN(T_TraitDi[[#This Row],[M3]]),FALSE)="","",VLOOKUP(T_BilanSocial[[#This Row],[NumL]],T_TraitDi[#Data],COLUMN(T_TraitDi[[#This Row],[M3]]),FALSE))</f>
        <v>#VALUE!</v>
      </c>
      <c r="Z120" s="176" t="str">
        <f t="shared" si="16"/>
        <v/>
      </c>
      <c r="AA120" s="176" t="e">
        <f>IF(VLOOKUP(T_BilanSocial[[#This Row],[NumL]],T_TraitDi[#Data],COLUMN(T_TraitDi[[#This Row],[M5]]),FALSE)="","",VLOOKUP(T_BilanSocial[[#This Row],[NumL]],T_TraitDi[#Data],COLUMN(T_TraitDi[[#This Row],[M5]]),FALSE))</f>
        <v>#VALUE!</v>
      </c>
      <c r="AB120" s="176" t="e">
        <f>IF(VLOOKUP(T_BilanSocial[[#This Row],[NumL]],T_TraitDi[#Data],COLUMN(T_TraitDi[[#This Row],[M6]]),FALSE)="","",VLOOKUP(T_BilanSocial[[#This Row],[NumL]],T_TraitDi[#Data],COLUMN(T_TraitDi[[#This Row],[M6]]),FALSE))</f>
        <v>#VALUE!</v>
      </c>
      <c r="AC120" s="165" t="e">
        <f t="shared" si="15"/>
        <v>#VALUE!</v>
      </c>
      <c r="AD120" s="188" t="str">
        <f>IFERROR(TEXT(VLOOKUP(T_BilanSocial[[#This Row],[NumL]],T_TraitDi[#Data],COLUMN(T_TraitDi[[#This Row],[Q2]]),FALSE),"###%"),"")</f>
        <v/>
      </c>
      <c r="AE120" s="97" t="e">
        <f>VLOOKUP(T_BilanSocial[[#This Row],[NumL]],T_TraitDi[#Data],COLUMN(T_TraitDi[[#This Row],[Reg Ponct]]),FALSE)</f>
        <v>#VALUE!</v>
      </c>
      <c r="AF120" s="97" t="e">
        <f>VLOOKUP(T_BilanSocial[NumL],T_TraitDi[#Data],COLUMN(T_TraitDi[[#This Row],[Jours flottants]]),FALSE)</f>
        <v>#VALUE!</v>
      </c>
      <c r="AG120" s="97" t="str">
        <f>IFERROR(VLOOKUP(T_BilanSocial[[#This Row],[NumL]],T_TraitDi[#Data],COLUMN(T_TraitDi[[#This Row],[Lundi]]),FALSE),"")</f>
        <v/>
      </c>
      <c r="AH120" s="172" t="e">
        <f>IF(VLOOKUP(T_BilanSocial[[#This Row],[NumL]],T_TraitDi[#Data],COLUMN(T_TraitDi[[#This Row],[Colonne3]]),FALSE)=0,"",TEXT(IFERROR(VLOOKUP(T_BilanSocial[[#This Row],[NumL]],T_TraitDi[#Data],COLUMN(T_TraitDi[[#This Row],[Colonne3]]),FALSE),""),"[hh]:mm"))</f>
        <v>#VALUE!</v>
      </c>
      <c r="AI120" s="172" t="e">
        <f>IF(VLOOKUP(T_BilanSocial[[#This Row],[NumL]],T_TraitDi[#Data],COLUMN(T_TraitDi[[#This Row],[Colonne4]]),FALSE)=0,"",TEXT(IFERROR(VLOOKUP(T_BilanSocial[[#This Row],[NumL]],T_TraitDi[#Data],COLUMN(T_TraitDi[[#This Row],[Colonne4]]),FALSE),""),"[hh]:mm"))</f>
        <v>#VALUE!</v>
      </c>
      <c r="AJ120" s="172" t="e">
        <f>IF(VLOOKUP(T_BilanSocial[[#This Row],[NumL]],T_TraitDi[#Data],COLUMN(T_TraitDi[[#This Row],[Colonne5]]),FALSE)=0,"",TEXT(IFERROR(VLOOKUP(T_BilanSocial[[#This Row],[NumL]],T_TraitDi[#Data],COLUMN(T_TraitDi[[#This Row],[Colonne5]]),FALSE),""),"[hh]:mm"))</f>
        <v>#VALUE!</v>
      </c>
      <c r="AK120" s="172" t="e">
        <f>IF(VLOOKUP(T_BilanSocial[[#This Row],[NumL]],T_TraitDi[#Data],COLUMN(T_TraitDi[[#This Row],[Colonne6]]),FALSE)=0,"",TEXT(IFERROR(VLOOKUP(T_BilanSocial[[#This Row],[NumL]],T_TraitDi[#Data],COLUMN(T_TraitDi[[#This Row],[Colonne6]]),FALSE),""),"[hh]:mm"))</f>
        <v>#VALUE!</v>
      </c>
      <c r="AL120" s="172" t="e">
        <f>IF(VLOOKUP(T_BilanSocial[[#This Row],[NumL]],T_TraitDi[#Data],COLUMN(T_TraitDi[[#This Row],[Colonne7]]),FALSE)=0,"",TEXT(IFERROR(VLOOKUP(T_BilanSocial[[#This Row],[NumL]],T_TraitDi[#Data],COLUMN(T_TraitDi[[#This Row],[Colonne7]]),FALSE),""),"[hh]:mm"))</f>
        <v>#VALUE!</v>
      </c>
      <c r="AM120" s="172" t="e">
        <f>IF(VLOOKUP(T_BilanSocial[[#This Row],[NumL]],T_TraitDi[#Data],COLUMN(T_TraitDi[[#This Row],[Colonne8]]),FALSE)=0,"",TEXT(IFERROR(VLOOKUP(T_BilanSocial[[#This Row],[NumL]],T_TraitDi[#Data],COLUMN(T_TraitDi[[#This Row],[Colonne8]]),FALSE),""),"[hh]:mm"))</f>
        <v>#VALUE!</v>
      </c>
      <c r="AN120" s="172" t="str">
        <f>IFERROR(VLOOKUP(T_BilanSocial[[#This Row],[NumL]],T_TraitDi[#Data],COLUMN(T_TraitDi[[#This Row],[Mardi]]),FALSE),"")</f>
        <v/>
      </c>
      <c r="AO120" s="172" t="e">
        <f>IF(VLOOKUP(T_BilanSocial[[#This Row],[NumL]],T_TraitDi[#Data],COLUMN(T_TraitDi[[#This Row],[Colonne1]]),FALSE)=0,"",TEXT(IFERROR(VLOOKUP(T_BilanSocial[[#This Row],[NumL]],T_TraitDi[#Data],COLUMN(T_TraitDi[[#This Row],[Colonne1]]),FALSE),""),"[hh]:mm"))</f>
        <v>#VALUE!</v>
      </c>
      <c r="AP120" s="172" t="e">
        <f>IF(VLOOKUP(T_BilanSocial[[#This Row],[NumL]],T_TraitDi[#Data],COLUMN(T_TraitDi[[#This Row],[Colonne9]]),FALSE)=0,"",TEXT(IFERROR(VLOOKUP(T_BilanSocial[[#This Row],[NumL]],T_TraitDi[#Data],COLUMN(T_TraitDi[[#This Row],[Colonne9]]),FALSE),""),"[hh]:mm"))</f>
        <v>#VALUE!</v>
      </c>
      <c r="AQ120" s="172" t="str">
        <f>IFERROR(VLOOKUP(T_BilanSocial[[#This Row],[NumL]],T_TraitDi[#Data],COLUMN(T_TraitDi[[#This Row],[Colonne10]]),FALSE),"")</f>
        <v/>
      </c>
      <c r="AR120" s="172" t="e">
        <f>IF(VLOOKUP(T_BilanSocial[[#This Row],[NumL]],T_TraitDi[#Data],COLUMN(T_TraitDi[[#This Row],[Colonne11]]),FALSE)=0,"",TEXT(IFERROR(VLOOKUP(T_BilanSocial[[#This Row],[NumL]],T_TraitDi[#Data],COLUMN(T_TraitDi[[#This Row],[Colonne11]]),FALSE),""),"[hh]:mm"))</f>
        <v>#VALUE!</v>
      </c>
      <c r="AS120" s="172" t="e">
        <f>IF(VLOOKUP(T_BilanSocial[[#This Row],[NumL]],T_TraitDi[#Data],COLUMN(T_TraitDi[[#This Row],[Colonne12]]),FALSE)=0,"",TEXT(IFERROR(VLOOKUP(T_BilanSocial[[#This Row],[NumL]],T_TraitDi[#Data],COLUMN(T_TraitDi[[#This Row],[Colonne12]]),FALSE),""),"[hh]:mm"))</f>
        <v>#VALUE!</v>
      </c>
      <c r="AT120" s="172" t="e">
        <f>IF(VLOOKUP(T_BilanSocial[[#This Row],[NumL]],T_TraitDi[#Data],COLUMN(T_TraitDi[[#This Row],[Colonne14]]),FALSE)=0,"",TEXT(IFERROR(VLOOKUP(T_BilanSocial[[#This Row],[NumL]],T_TraitDi[#Data],COLUMN(T_TraitDi[[#This Row],[Colonne14]]),FALSE),""),"[hh]:mm"))</f>
        <v>#VALUE!</v>
      </c>
      <c r="AU120" s="172" t="str">
        <f>IFERROR(VLOOKUP(T_BilanSocial[[#This Row],[NumL]],T_TraitDi[#Data],COLUMN(T_TraitDi[[#This Row],[Mercredi]]),FALSE),"")</f>
        <v/>
      </c>
      <c r="AV120" s="172" t="e">
        <f>IF(VLOOKUP(T_BilanSocial[[#This Row],[NumL]],T_TraitDi[#Data],COLUMN(T_TraitDi[[#This Row],[Colonne15]]),FALSE)=0,"",TEXT(IFERROR(VLOOKUP(T_BilanSocial[[#This Row],[NumL]],T_TraitDi[#Data],COLUMN(T_TraitDi[[#This Row],[Colonne15]]),FALSE),""),"[hh]:mm"))</f>
        <v>#VALUE!</v>
      </c>
      <c r="AW120" s="172" t="e">
        <f>IF(VLOOKUP(T_BilanSocial[[#This Row],[NumL]],T_TraitDi[#Data],COLUMN(T_TraitDi[[#This Row],[Colonne16]]),FALSE)=0,"",TEXT(IFERROR(VLOOKUP(T_BilanSocial[[#This Row],[NumL]],T_TraitDi[#Data],COLUMN(T_TraitDi[[#This Row],[Colonne16]]),FALSE),""),"[hh]:mm"))</f>
        <v>#VALUE!</v>
      </c>
      <c r="AX120" s="172" t="str">
        <f>IFERROR(VLOOKUP(T_BilanSocial[[#This Row],[NumL]],T_TraitDi[#Data],COLUMN(T_TraitDi[[#This Row],[Colonne17]]),FALSE),"")</f>
        <v/>
      </c>
      <c r="AY120" s="172" t="e">
        <f>IF(VLOOKUP(T_BilanSocial[[#This Row],[NumL]],T_TraitDi[#Data],COLUMN(T_TraitDi[[#This Row],[Colonne18]]),FALSE)=0,"",TEXT(IFERROR(VLOOKUP(T_BilanSocial[[#This Row],[NumL]],T_TraitDi[#Data],COLUMN(T_TraitDi[[#This Row],[Colonne18]]),FALSE),""),"[hh]:mm"))</f>
        <v>#VALUE!</v>
      </c>
      <c r="AZ120" s="172" t="e">
        <f>IF(VLOOKUP(T_BilanSocial[[#This Row],[NumL]],T_TraitDi[#Data],COLUMN(T_TraitDi[[#This Row],[Colonne19]]),FALSE)=0,"",TEXT(IFERROR(VLOOKUP(T_BilanSocial[[#This Row],[NumL]],T_TraitDi[#Data],COLUMN(T_TraitDi[[#This Row],[Colonne19]]),FALSE),""),"[hh]:mm"))</f>
        <v>#VALUE!</v>
      </c>
      <c r="BA120" s="172" t="e">
        <f>IF(VLOOKUP(T_BilanSocial[[#This Row],[NumL]],T_TraitDi[#Data],COLUMN(T_TraitDi[[#This Row],[Colonne20]]),FALSE)=0,"",TEXT(IFERROR(VLOOKUP(T_BilanSocial[[#This Row],[NumL]],T_TraitDi[#Data],COLUMN(T_TraitDi[[#This Row],[Colonne20]]),FALSE),""),"[hh]:mm"))</f>
        <v>#VALUE!</v>
      </c>
      <c r="BB120" s="178" t="str">
        <f>IFERROR(VLOOKUP(T_BilanSocial[[#This Row],[NumL]],T_TraitDi[#Data],COLUMN(T_TraitDi[[#This Row],[Jeudi]]),FALSE),"")</f>
        <v/>
      </c>
      <c r="BC120" s="178" t="e">
        <f>IF(VLOOKUP(T_BilanSocial[[#This Row],[NumL]],T_TraitDi[#Data],COLUMN(T_TraitDi[[#This Row],[Colonne21]]),FALSE)=0,"",TEXT(IFERROR(VLOOKUP(T_BilanSocial[[#This Row],[NumL]],T_TraitDi[#Data],COLUMN(T_TraitDi[[#This Row],[Colonne21]]),FALSE),""),"[hh]:mm"))</f>
        <v>#VALUE!</v>
      </c>
      <c r="BD120" s="178" t="e">
        <f>IF(VLOOKUP(T_BilanSocial[[#This Row],[NumL]],T_TraitDi[#Data],COLUMN(T_TraitDi[[#This Row],[Colonne22]]),FALSE)=0,"",TEXT(IFERROR(VLOOKUP(T_BilanSocial[[#This Row],[NumL]],T_TraitDi[#Data],COLUMN(T_TraitDi[[#This Row],[Colonne22]]),FALSE),""),"[hh]:mm"))</f>
        <v>#VALUE!</v>
      </c>
      <c r="BE120" s="178" t="str">
        <f>IFERROR(VLOOKUP(T_BilanSocial[[#This Row],[NumL]],T_TraitDi[#Data],COLUMN(T_TraitDi[[#This Row],[Colonne23]]),FALSE),"")</f>
        <v/>
      </c>
      <c r="BF120" s="178" t="e">
        <f>IF(VLOOKUP(T_BilanSocial[[#This Row],[NumL]],T_TraitDi[#Data],COLUMN(T_TraitDi[[#This Row],[Colonne24]]),FALSE)=0,"",TEXT(IFERROR(VLOOKUP(T_BilanSocial[[#This Row],[NumL]],T_TraitDi[#Data],COLUMN(T_TraitDi[[#This Row],[Colonne24]]),FALSE),""),"[hh]:mm"))</f>
        <v>#VALUE!</v>
      </c>
      <c r="BG120" s="178" t="e">
        <f>IF(VLOOKUP(T_BilanSocial[[#This Row],[NumL]],T_TraitDi[#Data],COLUMN(T_TraitDi[[#This Row],[Colonne25]]),FALSE)=0,"",TEXT(IFERROR(VLOOKUP(T_BilanSocial[[#This Row],[NumL]],T_TraitDi[#Data],COLUMN(T_TraitDi[[#This Row],[Colonne25]]),FALSE),""),"[hh]:mm"))</f>
        <v>#VALUE!</v>
      </c>
      <c r="BH120" s="178" t="e">
        <f>IF(VLOOKUP(T_BilanSocial[[#This Row],[NumL]],T_TraitDi[#Data],COLUMN(T_TraitDi[[#This Row],[Colonne26]]),FALSE)=0,"",TEXT(IFERROR(VLOOKUP(T_BilanSocial[[#This Row],[NumL]],T_TraitDi[#Data],COLUMN(T_TraitDi[[#This Row],[Colonne26]]),FALSE),""),"[hh]:mm"))</f>
        <v>#VALUE!</v>
      </c>
      <c r="BI120" s="172" t="str">
        <f>IFERROR(VLOOKUP(T_BilanSocial[[#This Row],[NumL]],T_TraitDi[#Data],COLUMN(T_TraitDi[[#This Row],[Vendredi]]),FALSE),"")</f>
        <v/>
      </c>
      <c r="BJ120" s="172" t="e">
        <f>IF(VLOOKUP(T_BilanSocial[[#This Row],[NumL]],T_TraitDi[#Data],COLUMN(T_TraitDi[[#This Row],[Colonne27]]),FALSE)=0,"",TEXT(IFERROR(VLOOKUP(T_BilanSocial[[#This Row],[NumL]],T_TraitDi[#Data],COLUMN(T_TraitDi[[#This Row],[Colonne27]]),FALSE),""),"[hh]:mm"))</f>
        <v>#VALUE!</v>
      </c>
      <c r="BK120" s="172" t="e">
        <f>IF(VLOOKUP(T_BilanSocial[[#This Row],[NumL]],T_TraitDi[#Data],COLUMN(T_TraitDi[[#This Row],[Colonne28]]),FALSE)=0,"",TEXT(IFERROR(VLOOKUP(T_BilanSocial[[#This Row],[NumL]],T_TraitDi[#Data],COLUMN(T_TraitDi[[#This Row],[Colonne28]]),FALSE),""),"[hh]:mm"))</f>
        <v>#VALUE!</v>
      </c>
      <c r="BL120" s="172" t="str">
        <f>IFERROR(VLOOKUP(T_BilanSocial[[#This Row],[NumL]],T_TraitDi[#Data],COLUMN(T_TraitDi[[#This Row],[Colonne29]]),FALSE),"")</f>
        <v/>
      </c>
      <c r="BM120" s="172" t="e">
        <f>IF(VLOOKUP(T_BilanSocial[[#This Row],[NumL]],T_TraitDi[#Data],COLUMN(T_TraitDi[[#This Row],[Colonne30]]),FALSE)=0,"",TEXT(IFERROR(VLOOKUP(T_BilanSocial[[#This Row],[NumL]],T_TraitDi[#Data],COLUMN(T_TraitDi[[#This Row],[Colonne30]]),FALSE),""),"[hh]:mm"))</f>
        <v>#VALUE!</v>
      </c>
      <c r="BN120" s="172" t="e">
        <f>IF(VLOOKUP(T_BilanSocial[[#This Row],[NumL]],T_TraitDi[#Data],COLUMN(T_TraitDi[[#This Row],[Colonne31]]),FALSE)=0,"",TEXT(IFERROR(VLOOKUP(T_BilanSocial[[#This Row],[NumL]],T_TraitDi[#Data],COLUMN(T_TraitDi[[#This Row],[Colonne31]]),FALSE),""),"[hh]:mm"))</f>
        <v>#VALUE!</v>
      </c>
      <c r="BO120" s="172" t="e">
        <f>IF(VLOOKUP(T_BilanSocial[[#This Row],[NumL]],T_TraitDi[#Data],COLUMN(T_TraitDi[[#This Row],[Colonne32]]),FALSE)=0,"",TEXT(IFERROR(VLOOKUP(T_BilanSocial[[#This Row],[NumL]],T_TraitDi[#Data],COLUMN(T_TraitDi[[#This Row],[Colonne32]]),FALSE),""),"[hh]:mm"))</f>
        <v>#VALUE!</v>
      </c>
      <c r="BP120" s="172" t="e">
        <f>VLOOKUP(T_BilanSocial[[#This Row],[NumL]],T_TraitDi[#Data],COLUMN(T_TraitDi[NbJTot]),FALSE)</f>
        <v>#N/A</v>
      </c>
      <c r="BQ120" s="174" t="str">
        <f>IFERROR(VLOOKUP(T_BilanSocial[[#This Row],[NumL]],T_TraitDi[#Data],COLUMN(T_TraitDi[[#This Row],[NbJTW]]),FALSE),"")</f>
        <v/>
      </c>
      <c r="BR120" s="174" t="e">
        <f>IF(VLOOKUP(T_BilanSocial[[#This Row],[NumL]],T_TraitDi[#Data],COLUMN(T_TraitDi[[#This Row],[NbhTW]]),FALSE)=0,"",TEXT(IFERROR(VLOOKUP(T_BilanSocial[[#This Row],[NumL]],T_TraitDi[#Data],COLUMN(T_TraitDi[[#This Row],[NbhTW]]),FALSE),""),"[hh]:mm"))</f>
        <v>#VALUE!</v>
      </c>
      <c r="BS120" s="174" t="e">
        <f>IF(VLOOKUP(T_BilanSocial[[#This Row],[NumL]],T_TraitDi[#Data],COLUMN(T_TraitDi[[#This Row],[Nbhheb]]),FALSE)=0,"",TEXT(IFERROR(VLOOKUP($A120,T_TraitDi[#Data],COLUMN(T_TraitDi[[#This Row],[Nbhheb]]),FALSE),""),"[hh]:mm"))</f>
        <v>#VALUE!</v>
      </c>
      <c r="BT120" s="182" t="str">
        <f>IFERROR(VLOOKUP(VLOOKUP($A120,T_TraitDi[#Data],COLUMN(T_TraitDi[[#This Row],[Type1]]),FALSE),TypeTW,2,FALSE),"")</f>
        <v/>
      </c>
      <c r="BU120" s="182" t="str">
        <f>IFERROR(VLOOKUP($A120,T_TraitDi[#Data],COLUMN(T_TraitDi[[#This Row],[Rue1]]),FALSE),"")</f>
        <v/>
      </c>
      <c r="BV120" s="173" t="str">
        <f>IFERROR(VLOOKUP($A120,T_TraitDi[#Data],COLUMN(T_TraitDi[[#This Row],[CP1]]),FALSE),"")</f>
        <v/>
      </c>
      <c r="BW120" s="173" t="str">
        <f>IFERROR(VLOOKUP($A120,T_TraitDi[#Data],COLUMN(T_TraitDi[[#This Row],[VILLE1]]),FALSE),"")</f>
        <v/>
      </c>
      <c r="BX120" s="182" t="str">
        <f>IFERROR(VLOOKUP(VLOOKUP($A120,T_TraitDi[#Data],COLUMN(T_TraitDi[[#This Row],[Type2]]),FALSE),TypeTW,2,FALSE),"")</f>
        <v/>
      </c>
      <c r="BY120" s="182" t="str">
        <f>IFERROR(VLOOKUP($A120,T_TraitDi[#Data],COLUMN(T_TraitDi[[#This Row],[Rue2]]),FALSE),"")</f>
        <v/>
      </c>
      <c r="BZ120" s="173" t="str">
        <f>IFERROR(VLOOKUP($A120,T_TraitDi[#Data],COLUMN(T_TraitDi[[#This Row],[CP2]]),FALSE),"")</f>
        <v/>
      </c>
      <c r="CA120" s="173" t="str">
        <f>IFERROR(VLOOKUP($A120,T_TraitDi[#Data],COLUMN(T_TraitDi[[#This Row],[VILLE2]]),FALSE),"")</f>
        <v/>
      </c>
      <c r="CB120" s="182" t="str">
        <f>IF(VLOOKUP(T_BilanSocial[[#This Row],[NumL]],T_Equipement[#Data],COLUMN(T_Equipement[[#This Row],[PC]]),FALSE)="","Aucun équipement spécifique directement lié au télétravail",VLOOKUP(T_BilanSocial[[#This Row],[NumL]],T_Equipement[#Data],COLUMN(T_Equipement[[#This Row],[PC]]),FALSE))</f>
        <v xml:space="preserve">20-637	</v>
      </c>
      <c r="CC120" s="166" t="str">
        <f>IFERROR(IF(VLOOKUP(T_BilanSocial[[#This Row],[NumL]],T_TraitDi[#Data],COLUMN(T_TraitDi[[#This Row],[Plan]]),FALSE)="OK","Un planning spécifique de télétravail est annexé à la présente convention.",""),"")</f>
        <v/>
      </c>
      <c r="CD120" s="258" t="s">
        <v>3341</v>
      </c>
      <c r="CE120" s="164" t="e">
        <f>IF(VLOOKUP(T_BilanSocial[[#This Row],[NumL]],T_suiviDi[#Data],COLUMN(T_suiviDi[[#This Row],[Entité]]),FALSE)="","",VLOOKUP(T_BilanSocial[[#This Row],[NumL]],T_suiviDi[#Data],COLUMN(T_suiviDi[[#This Row],[Entité]]),FALSE))</f>
        <v>#VALUE!</v>
      </c>
      <c r="CF120" s="164" t="str">
        <f>IF(VLOOKUP(T_BilanSocial[[#This Row],[NumL]],T_Commission[#Data],COLUMN(T_Commission[[#This Row],[envoi confirm TW]]),FALSE)="","",VLOOKUP(T_BilanSocial[[#This Row],[NumL]],T_Commission[#Data],COLUMN(T_Commission[[#This Row],[envoi confirm TW]]),FALSE))</f>
        <v>Oui</v>
      </c>
      <c r="CG12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0" s="262" t="str">
        <f>T_BilanSocial[[#This Row],[Nom]]&amp;T_BilanSocial[[#This Row],[Prenom]]</f>
        <v/>
      </c>
      <c r="CI120" s="262">
        <f>VLOOKUP(T_BilanSocial[[#This Row],[NumL]],T_Commission[#Data],COLUMN(T_Commission[Commentaire]),FALSE)</f>
        <v>0</v>
      </c>
      <c r="CJ120" s="262" t="str">
        <f>IF(VLOOKUP(T_BilanSocial[[#This Row],[NumL]],T_Commission[#Data],COLUMN(T_Commission[Encadrant Email]),FALSE)="","",VLOOKUP(T_BilanSocial[[#This Row],[NumL]],T_Commission[#Data],COLUMN(T_Commission[Encadrant Email]),FALSE))</f>
        <v/>
      </c>
      <c r="CK120" s="340" t="str">
        <f>IF(T_BilanSocial[[#This Row],[Final]]&lt;&gt;"",VLOOKUP(T_BilanSocial[[#This Row],[NumL]],T_suiviDi[#Data],COLUMN((T_suiviDi[Statut])),FALSE),"")</f>
        <v/>
      </c>
    </row>
    <row r="121" spans="1:89" s="106" customFormat="1" ht="24.75" customHeight="1" x14ac:dyDescent="0.25">
      <c r="A121" s="160">
        <v>118</v>
      </c>
      <c r="B121" s="161" t="str">
        <f t="shared" si="10"/>
        <v/>
      </c>
      <c r="C121" s="162" t="s">
        <v>3287</v>
      </c>
      <c r="D121" s="95" t="e">
        <f>IF(VLOOKUP(T_BilanSocial[[#This Row],[NumL]],T_TraitDi[#Data],COLUMN(T_TraitDi[[#This Row],[WebC]]),FALSE)="","",VLOOKUP(T_BilanSocial[[#This Row],[NumL]],T_TraitDi[#Data],COLUMN(T_TraitDi[[#This Row],[WebC]]),FALSE))</f>
        <v>#VALUE!</v>
      </c>
      <c r="E121" s="163" t="str">
        <f t="shared" si="11"/>
        <v>12 janvier 2021</v>
      </c>
      <c r="F121" s="96" t="str">
        <f>IF(T_BilanSocial[[#This Row],[Final]]&lt;&gt;"",VLOOKUP(T_BilanSocial[[#This Row],[NumL]],T_suiviDi[#Data],COLUMN((T_suiviDi[Civ.])),FALSE),"")</f>
        <v/>
      </c>
      <c r="G121" s="96" t="str">
        <f>IF(T_BilanSocial[[#This Row],[Final]]&lt;&gt;"",VLOOKUP(T_BilanSocial[[#This Row],[NumL]],T_suiviDi[#Data],COLUMN((T_suiviDi[Nom])),FALSE),"")</f>
        <v/>
      </c>
      <c r="H121" s="96" t="str">
        <f>IF(T_BilanSocial[[#This Row],[Final]]&lt;&gt;"",VLOOKUP(T_BilanSocial[[#This Row],[NumL]],T_suiviDi[#Data],COLUMN((T_suiviDi[Prénom])),FALSE),"")</f>
        <v/>
      </c>
      <c r="I121" s="96" t="str">
        <f>IFERROR(VLOOKUP(T_BilanSocial[[#This Row],[Zone_Bilan]],T_P_BilanSocial[#Data],COLUMN(T_P_BilanSocial[[#This Row],[Numero_SIHAM]]),FALSE),"")</f>
        <v/>
      </c>
      <c r="J121" s="96" t="str">
        <f>IFERROR(VLOOKUP(T_BilanSocial[[#This Row],[Zone_Bilan]],T_P_BilanSocial[#Data],COLUMN(T_P_BilanSocial[[#This Row],[Sexe]]),FALSE),"")</f>
        <v/>
      </c>
      <c r="K121" s="97" t="str">
        <f>IFERROR(VLOOKUP(T_BilanSocial[[#This Row],[Zone_Bilan]],T_P_BilanSocial[#Data],COLUMN(T_P_BilanSocial[[#This Row],[Categorie]]),FALSE),"")</f>
        <v/>
      </c>
      <c r="L121" s="96" t="str">
        <f>IFERROR(VLOOKUP(T_BilanSocial[[#This Row],[Zone_Bilan]],T_P_BilanSocial[#Data],COLUMN(T_P_BilanSocial[[#This Row],[Statut]]),FALSE),"")</f>
        <v/>
      </c>
      <c r="M121" s="96" t="str">
        <f>IFERROR(VLOOKUP(T_BilanSocial[[#This Row],[Zone_Bilan]],T_P_BilanSocial[#Data],COLUMN(T_P_BilanSocial[[#This Row],[Filiere]]),FALSE),"")</f>
        <v/>
      </c>
      <c r="N121" s="96" t="e">
        <f>VLOOKUP(T_BilanSocial[[#This Row],[NumL]],T_TraitDi[#Data],COLUMN(T_TraitDi[EXP]),FALSE)</f>
        <v>#N/A</v>
      </c>
      <c r="O121" s="96" t="e">
        <f>VLOOKUP(T_BilanSocial[[#This Row],[NumL]],T_TraitDi[#Data],COLUMN(T_TraitDi[FORM]),FALSE)</f>
        <v>#N/A</v>
      </c>
      <c r="P121" s="96" t="str">
        <f>IF(T_BilanSocial[[#This Row],[Final]]&lt;&gt;"",VLOOKUP(T_BilanSocial[[#This Row],[NumL]],T_suiviDi[#Data],COLUMN((T_suiviDi[Email])),FALSE),"")</f>
        <v/>
      </c>
      <c r="Q121" s="164" t="e">
        <f t="shared" si="17"/>
        <v>#N/A</v>
      </c>
      <c r="R121" s="164" t="e">
        <f t="shared" si="18"/>
        <v>#N/A</v>
      </c>
      <c r="S121" s="164" t="e">
        <f>IF(VLOOKUP(T_BilanSocial[[#This Row],[NumL]],T_suiviDi[#Data],COLUMN(T_suiviDi[[#This Row],[Service ]]),FALSE)="","",VLOOKUP(T_BilanSocial[[#This Row],[NumL]],T_suiviDi[#Data],COLUMN(T_suiviDi[[#This Row],[Service ]]),FALSE))</f>
        <v>#VALUE!</v>
      </c>
      <c r="T121" s="164" t="str">
        <f t="shared" si="12"/>
        <v>01 septembre 2021</v>
      </c>
      <c r="U121" s="164" t="str">
        <f t="shared" si="13"/>
        <v>30 novembre 2021</v>
      </c>
      <c r="V121" s="164" t="str">
        <f t="shared" si="21"/>
        <v>30 novembre 2021</v>
      </c>
      <c r="W121" s="176" t="e">
        <f>IF(VLOOKUP(T_BilanSocial[[#This Row],[NumL]],T_TraitDi[#Data],COLUMN(T_TraitDi[[#This Row],[M1]]),FALSE)="","",VLOOKUP(T_BilanSocial[[#This Row],[NumL]],T_TraitDi[#Data],COLUMN(T_TraitDi[[#This Row],[M1]]),FALSE))</f>
        <v>#VALUE!</v>
      </c>
      <c r="X121" s="176" t="e">
        <f>IF(VLOOKUP(T_BilanSocial[[#This Row],[NumL]],T_TraitDi[#Data],COLUMN(T_TraitDi[[#This Row],[M2]]),FALSE)="","",VLOOKUP(T_BilanSocial[[#This Row],[NumL]],T_TraitDi[#Data],COLUMN(T_TraitDi[[#This Row],[M2]]),FALSE))</f>
        <v>#VALUE!</v>
      </c>
      <c r="Y121" s="176" t="e">
        <f>IF(VLOOKUP(T_BilanSocial[[#This Row],[NumL]],T_TraitDi[#Data],COLUMN(T_TraitDi[[#This Row],[M3]]),FALSE)="","",VLOOKUP(T_BilanSocial[[#This Row],[NumL]],T_TraitDi[#Data],COLUMN(T_TraitDi[[#This Row],[M3]]),FALSE))</f>
        <v>#VALUE!</v>
      </c>
      <c r="Z121" s="176" t="str">
        <f t="shared" si="16"/>
        <v/>
      </c>
      <c r="AA121" s="176" t="e">
        <f>IF(VLOOKUP(T_BilanSocial[[#This Row],[NumL]],T_TraitDi[#Data],COLUMN(T_TraitDi[[#This Row],[M5]]),FALSE)="","",VLOOKUP(T_BilanSocial[[#This Row],[NumL]],T_TraitDi[#Data],COLUMN(T_TraitDi[[#This Row],[M5]]),FALSE))</f>
        <v>#VALUE!</v>
      </c>
      <c r="AB121" s="176" t="e">
        <f>IF(VLOOKUP(T_BilanSocial[[#This Row],[NumL]],T_TraitDi[#Data],COLUMN(T_TraitDi[[#This Row],[M6]]),FALSE)="","",VLOOKUP(T_BilanSocial[[#This Row],[NumL]],T_TraitDi[#Data],COLUMN(T_TraitDi[[#This Row],[M6]]),FALSE))</f>
        <v>#VALUE!</v>
      </c>
      <c r="AC121" s="165" t="e">
        <f t="shared" si="15"/>
        <v>#VALUE!</v>
      </c>
      <c r="AD121" s="188" t="str">
        <f>IFERROR(TEXT(VLOOKUP(T_BilanSocial[[#This Row],[NumL]],T_TraitDi[#Data],COLUMN(T_TraitDi[[#This Row],[Q2]]),FALSE),"###%"),"")</f>
        <v/>
      </c>
      <c r="AE121" s="97" t="e">
        <f>VLOOKUP(T_BilanSocial[[#This Row],[NumL]],T_TraitDi[#Data],COLUMN(T_TraitDi[[#This Row],[Reg Ponct]]),FALSE)</f>
        <v>#VALUE!</v>
      </c>
      <c r="AF121" s="97" t="e">
        <f>VLOOKUP(T_BilanSocial[NumL],T_TraitDi[#Data],COLUMN(T_TraitDi[[#This Row],[Jours flottants]]),FALSE)</f>
        <v>#VALUE!</v>
      </c>
      <c r="AG121" s="97" t="str">
        <f>IFERROR(VLOOKUP(T_BilanSocial[[#This Row],[NumL]],T_TraitDi[#Data],COLUMN(T_TraitDi[[#This Row],[Lundi]]),FALSE),"")</f>
        <v/>
      </c>
      <c r="AH121" s="172" t="e">
        <f>IF(VLOOKUP(T_BilanSocial[[#This Row],[NumL]],T_TraitDi[#Data],COLUMN(T_TraitDi[[#This Row],[Colonne3]]),FALSE)=0,"",TEXT(IFERROR(VLOOKUP(T_BilanSocial[[#This Row],[NumL]],T_TraitDi[#Data],COLUMN(T_TraitDi[[#This Row],[Colonne3]]),FALSE),""),"[hh]:mm"))</f>
        <v>#VALUE!</v>
      </c>
      <c r="AI121" s="172" t="e">
        <f>IF(VLOOKUP(T_BilanSocial[[#This Row],[NumL]],T_TraitDi[#Data],COLUMN(T_TraitDi[[#This Row],[Colonne4]]),FALSE)=0,"",TEXT(IFERROR(VLOOKUP(T_BilanSocial[[#This Row],[NumL]],T_TraitDi[#Data],COLUMN(T_TraitDi[[#This Row],[Colonne4]]),FALSE),""),"[hh]:mm"))</f>
        <v>#VALUE!</v>
      </c>
      <c r="AJ121" s="172" t="e">
        <f>IF(VLOOKUP(T_BilanSocial[[#This Row],[NumL]],T_TraitDi[#Data],COLUMN(T_TraitDi[[#This Row],[Colonne5]]),FALSE)=0,"",TEXT(IFERROR(VLOOKUP(T_BilanSocial[[#This Row],[NumL]],T_TraitDi[#Data],COLUMN(T_TraitDi[[#This Row],[Colonne5]]),FALSE),""),"[hh]:mm"))</f>
        <v>#VALUE!</v>
      </c>
      <c r="AK121" s="172" t="e">
        <f>IF(VLOOKUP(T_BilanSocial[[#This Row],[NumL]],T_TraitDi[#Data],COLUMN(T_TraitDi[[#This Row],[Colonne6]]),FALSE)=0,"",TEXT(IFERROR(VLOOKUP(T_BilanSocial[[#This Row],[NumL]],T_TraitDi[#Data],COLUMN(T_TraitDi[[#This Row],[Colonne6]]),FALSE),""),"[hh]:mm"))</f>
        <v>#VALUE!</v>
      </c>
      <c r="AL121" s="172" t="e">
        <f>IF(VLOOKUP(T_BilanSocial[[#This Row],[NumL]],T_TraitDi[#Data],COLUMN(T_TraitDi[[#This Row],[Colonne7]]),FALSE)=0,"",TEXT(IFERROR(VLOOKUP(T_BilanSocial[[#This Row],[NumL]],T_TraitDi[#Data],COLUMN(T_TraitDi[[#This Row],[Colonne7]]),FALSE),""),"[hh]:mm"))</f>
        <v>#VALUE!</v>
      </c>
      <c r="AM121" s="172" t="e">
        <f>IF(VLOOKUP(T_BilanSocial[[#This Row],[NumL]],T_TraitDi[#Data],COLUMN(T_TraitDi[[#This Row],[Colonne8]]),FALSE)=0,"",TEXT(IFERROR(VLOOKUP(T_BilanSocial[[#This Row],[NumL]],T_TraitDi[#Data],COLUMN(T_TraitDi[[#This Row],[Colonne8]]),FALSE),""),"[hh]:mm"))</f>
        <v>#VALUE!</v>
      </c>
      <c r="AN121" s="172" t="str">
        <f>IFERROR(VLOOKUP(T_BilanSocial[[#This Row],[NumL]],T_TraitDi[#Data],COLUMN(T_TraitDi[[#This Row],[Mardi]]),FALSE),"")</f>
        <v/>
      </c>
      <c r="AO121" s="172" t="e">
        <f>IF(VLOOKUP(T_BilanSocial[[#This Row],[NumL]],T_TraitDi[#Data],COLUMN(T_TraitDi[[#This Row],[Colonne1]]),FALSE)=0,"",TEXT(IFERROR(VLOOKUP(T_BilanSocial[[#This Row],[NumL]],T_TraitDi[#Data],COLUMN(T_TraitDi[[#This Row],[Colonne1]]),FALSE),""),"[hh]:mm"))</f>
        <v>#VALUE!</v>
      </c>
      <c r="AP121" s="172" t="e">
        <f>IF(VLOOKUP(T_BilanSocial[[#This Row],[NumL]],T_TraitDi[#Data],COLUMN(T_TraitDi[[#This Row],[Colonne9]]),FALSE)=0,"",TEXT(IFERROR(VLOOKUP(T_BilanSocial[[#This Row],[NumL]],T_TraitDi[#Data],COLUMN(T_TraitDi[[#This Row],[Colonne9]]),FALSE),""),"[hh]:mm"))</f>
        <v>#VALUE!</v>
      </c>
      <c r="AQ121" s="172" t="str">
        <f>IFERROR(VLOOKUP(T_BilanSocial[[#This Row],[NumL]],T_TraitDi[#Data],COLUMN(T_TraitDi[[#This Row],[Colonne10]]),FALSE),"")</f>
        <v/>
      </c>
      <c r="AR121" s="172" t="e">
        <f>IF(VLOOKUP(T_BilanSocial[[#This Row],[NumL]],T_TraitDi[#Data],COLUMN(T_TraitDi[[#This Row],[Colonne11]]),FALSE)=0,"",TEXT(IFERROR(VLOOKUP(T_BilanSocial[[#This Row],[NumL]],T_TraitDi[#Data],COLUMN(T_TraitDi[[#This Row],[Colonne11]]),FALSE),""),"[hh]:mm"))</f>
        <v>#VALUE!</v>
      </c>
      <c r="AS121" s="172" t="e">
        <f>IF(VLOOKUP(T_BilanSocial[[#This Row],[NumL]],T_TraitDi[#Data],COLUMN(T_TraitDi[[#This Row],[Colonne12]]),FALSE)=0,"",TEXT(IFERROR(VLOOKUP(T_BilanSocial[[#This Row],[NumL]],T_TraitDi[#Data],COLUMN(T_TraitDi[[#This Row],[Colonne12]]),FALSE),""),"[hh]:mm"))</f>
        <v>#VALUE!</v>
      </c>
      <c r="AT121" s="172" t="e">
        <f>IF(VLOOKUP(T_BilanSocial[[#This Row],[NumL]],T_TraitDi[#Data],COLUMN(T_TraitDi[[#This Row],[Colonne14]]),FALSE)=0,"",TEXT(IFERROR(VLOOKUP(T_BilanSocial[[#This Row],[NumL]],T_TraitDi[#Data],COLUMN(T_TraitDi[[#This Row],[Colonne14]]),FALSE),""),"[hh]:mm"))</f>
        <v>#VALUE!</v>
      </c>
      <c r="AU121" s="172" t="str">
        <f>IFERROR(VLOOKUP(T_BilanSocial[[#This Row],[NumL]],T_TraitDi[#Data],COLUMN(T_TraitDi[[#This Row],[Mercredi]]),FALSE),"")</f>
        <v/>
      </c>
      <c r="AV121" s="172" t="e">
        <f>IF(VLOOKUP(T_BilanSocial[[#This Row],[NumL]],T_TraitDi[#Data],COLUMN(T_TraitDi[[#This Row],[Colonne15]]),FALSE)=0,"",TEXT(IFERROR(VLOOKUP(T_BilanSocial[[#This Row],[NumL]],T_TraitDi[#Data],COLUMN(T_TraitDi[[#This Row],[Colonne15]]),FALSE),""),"[hh]:mm"))</f>
        <v>#VALUE!</v>
      </c>
      <c r="AW121" s="172" t="e">
        <f>IF(VLOOKUP(T_BilanSocial[[#This Row],[NumL]],T_TraitDi[#Data],COLUMN(T_TraitDi[[#This Row],[Colonne16]]),FALSE)=0,"",TEXT(IFERROR(VLOOKUP(T_BilanSocial[[#This Row],[NumL]],T_TraitDi[#Data],COLUMN(T_TraitDi[[#This Row],[Colonne16]]),FALSE),""),"[hh]:mm"))</f>
        <v>#VALUE!</v>
      </c>
      <c r="AX121" s="172" t="str">
        <f>IFERROR(VLOOKUP(T_BilanSocial[[#This Row],[NumL]],T_TraitDi[#Data],COLUMN(T_TraitDi[[#This Row],[Colonne17]]),FALSE),"")</f>
        <v/>
      </c>
      <c r="AY121" s="172" t="e">
        <f>IF(VLOOKUP(T_BilanSocial[[#This Row],[NumL]],T_TraitDi[#Data],COLUMN(T_TraitDi[[#This Row],[Colonne18]]),FALSE)=0,"",TEXT(IFERROR(VLOOKUP(T_BilanSocial[[#This Row],[NumL]],T_TraitDi[#Data],COLUMN(T_TraitDi[[#This Row],[Colonne18]]),FALSE),""),"[hh]:mm"))</f>
        <v>#VALUE!</v>
      </c>
      <c r="AZ121" s="172" t="e">
        <f>IF(VLOOKUP(T_BilanSocial[[#This Row],[NumL]],T_TraitDi[#Data],COLUMN(T_TraitDi[[#This Row],[Colonne19]]),FALSE)=0,"",TEXT(IFERROR(VLOOKUP(T_BilanSocial[[#This Row],[NumL]],T_TraitDi[#Data],COLUMN(T_TraitDi[[#This Row],[Colonne19]]),FALSE),""),"[hh]:mm"))</f>
        <v>#VALUE!</v>
      </c>
      <c r="BA121" s="172" t="e">
        <f>IF(VLOOKUP(T_BilanSocial[[#This Row],[NumL]],T_TraitDi[#Data],COLUMN(T_TraitDi[[#This Row],[Colonne20]]),FALSE)=0,"",TEXT(IFERROR(VLOOKUP(T_BilanSocial[[#This Row],[NumL]],T_TraitDi[#Data],COLUMN(T_TraitDi[[#This Row],[Colonne20]]),FALSE),""),"[hh]:mm"))</f>
        <v>#VALUE!</v>
      </c>
      <c r="BB121" s="178" t="str">
        <f>IFERROR(VLOOKUP(T_BilanSocial[[#This Row],[NumL]],T_TraitDi[#Data],COLUMN(T_TraitDi[[#This Row],[Jeudi]]),FALSE),"")</f>
        <v/>
      </c>
      <c r="BC121" s="178" t="e">
        <f>IF(VLOOKUP(T_BilanSocial[[#This Row],[NumL]],T_TraitDi[#Data],COLUMN(T_TraitDi[[#This Row],[Colonne21]]),FALSE)=0,"",TEXT(IFERROR(VLOOKUP(T_BilanSocial[[#This Row],[NumL]],T_TraitDi[#Data],COLUMN(T_TraitDi[[#This Row],[Colonne21]]),FALSE),""),"[hh]:mm"))</f>
        <v>#VALUE!</v>
      </c>
      <c r="BD121" s="178" t="e">
        <f>IF(VLOOKUP(T_BilanSocial[[#This Row],[NumL]],T_TraitDi[#Data],COLUMN(T_TraitDi[[#This Row],[Colonne22]]),FALSE)=0,"",TEXT(IFERROR(VLOOKUP(T_BilanSocial[[#This Row],[NumL]],T_TraitDi[#Data],COLUMN(T_TraitDi[[#This Row],[Colonne22]]),FALSE),""),"[hh]:mm"))</f>
        <v>#VALUE!</v>
      </c>
      <c r="BE121" s="178" t="str">
        <f>IFERROR(VLOOKUP(T_BilanSocial[[#This Row],[NumL]],T_TraitDi[#Data],COLUMN(T_TraitDi[[#This Row],[Colonne23]]),FALSE),"")</f>
        <v/>
      </c>
      <c r="BF121" s="178" t="e">
        <f>IF(VLOOKUP(T_BilanSocial[[#This Row],[NumL]],T_TraitDi[#Data],COLUMN(T_TraitDi[[#This Row],[Colonne24]]),FALSE)=0,"",TEXT(IFERROR(VLOOKUP(T_BilanSocial[[#This Row],[NumL]],T_TraitDi[#Data],COLUMN(T_TraitDi[[#This Row],[Colonne24]]),FALSE),""),"[hh]:mm"))</f>
        <v>#VALUE!</v>
      </c>
      <c r="BG121" s="178" t="e">
        <f>IF(VLOOKUP(T_BilanSocial[[#This Row],[NumL]],T_TraitDi[#Data],COLUMN(T_TraitDi[[#This Row],[Colonne25]]),FALSE)=0,"",TEXT(IFERROR(VLOOKUP(T_BilanSocial[[#This Row],[NumL]],T_TraitDi[#Data],COLUMN(T_TraitDi[[#This Row],[Colonne25]]),FALSE),""),"[hh]:mm"))</f>
        <v>#VALUE!</v>
      </c>
      <c r="BH121" s="178" t="e">
        <f>IF(VLOOKUP(T_BilanSocial[[#This Row],[NumL]],T_TraitDi[#Data],COLUMN(T_TraitDi[[#This Row],[Colonne26]]),FALSE)=0,"",TEXT(IFERROR(VLOOKUP(T_BilanSocial[[#This Row],[NumL]],T_TraitDi[#Data],COLUMN(T_TraitDi[[#This Row],[Colonne26]]),FALSE),""),"[hh]:mm"))</f>
        <v>#VALUE!</v>
      </c>
      <c r="BI121" s="172" t="str">
        <f>IFERROR(VLOOKUP(T_BilanSocial[[#This Row],[NumL]],T_TraitDi[#Data],COLUMN(T_TraitDi[[#This Row],[Vendredi]]),FALSE),"")</f>
        <v/>
      </c>
      <c r="BJ121" s="172" t="e">
        <f>IF(VLOOKUP(T_BilanSocial[[#This Row],[NumL]],T_TraitDi[#Data],COLUMN(T_TraitDi[[#This Row],[Colonne27]]),FALSE)=0,"",TEXT(IFERROR(VLOOKUP(T_BilanSocial[[#This Row],[NumL]],T_TraitDi[#Data],COLUMN(T_TraitDi[[#This Row],[Colonne27]]),FALSE),""),"[hh]:mm"))</f>
        <v>#VALUE!</v>
      </c>
      <c r="BK121" s="172" t="e">
        <f>IF(VLOOKUP(T_BilanSocial[[#This Row],[NumL]],T_TraitDi[#Data],COLUMN(T_TraitDi[[#This Row],[Colonne28]]),FALSE)=0,"",TEXT(IFERROR(VLOOKUP(T_BilanSocial[[#This Row],[NumL]],T_TraitDi[#Data],COLUMN(T_TraitDi[[#This Row],[Colonne28]]),FALSE),""),"[hh]:mm"))</f>
        <v>#VALUE!</v>
      </c>
      <c r="BL121" s="172" t="str">
        <f>IFERROR(VLOOKUP(T_BilanSocial[[#This Row],[NumL]],T_TraitDi[#Data],COLUMN(T_TraitDi[[#This Row],[Colonne29]]),FALSE),"")</f>
        <v/>
      </c>
      <c r="BM121" s="172" t="e">
        <f>IF(VLOOKUP(T_BilanSocial[[#This Row],[NumL]],T_TraitDi[#Data],COLUMN(T_TraitDi[[#This Row],[Colonne30]]),FALSE)=0,"",TEXT(IFERROR(VLOOKUP(T_BilanSocial[[#This Row],[NumL]],T_TraitDi[#Data],COLUMN(T_TraitDi[[#This Row],[Colonne30]]),FALSE),""),"[hh]:mm"))</f>
        <v>#VALUE!</v>
      </c>
      <c r="BN121" s="172" t="e">
        <f>IF(VLOOKUP(T_BilanSocial[[#This Row],[NumL]],T_TraitDi[#Data],COLUMN(T_TraitDi[[#This Row],[Colonne31]]),FALSE)=0,"",TEXT(IFERROR(VLOOKUP(T_BilanSocial[[#This Row],[NumL]],T_TraitDi[#Data],COLUMN(T_TraitDi[[#This Row],[Colonne31]]),FALSE),""),"[hh]:mm"))</f>
        <v>#VALUE!</v>
      </c>
      <c r="BO121" s="172" t="e">
        <f>IF(VLOOKUP(T_BilanSocial[[#This Row],[NumL]],T_TraitDi[#Data],COLUMN(T_TraitDi[[#This Row],[Colonne32]]),FALSE)=0,"",TEXT(IFERROR(VLOOKUP(T_BilanSocial[[#This Row],[NumL]],T_TraitDi[#Data],COLUMN(T_TraitDi[[#This Row],[Colonne32]]),FALSE),""),"[hh]:mm"))</f>
        <v>#VALUE!</v>
      </c>
      <c r="BP121" s="172" t="e">
        <f>VLOOKUP(T_BilanSocial[[#This Row],[NumL]],T_TraitDi[#Data],COLUMN(T_TraitDi[NbJTot]),FALSE)</f>
        <v>#N/A</v>
      </c>
      <c r="BQ121" s="174" t="str">
        <f>IFERROR(VLOOKUP(T_BilanSocial[[#This Row],[NumL]],T_TraitDi[#Data],COLUMN(T_TraitDi[[#This Row],[NbJTW]]),FALSE),"")</f>
        <v/>
      </c>
      <c r="BR121" s="174" t="e">
        <f>IF(VLOOKUP(T_BilanSocial[[#This Row],[NumL]],T_TraitDi[#Data],COLUMN(T_TraitDi[[#This Row],[NbhTW]]),FALSE)=0,"",TEXT(IFERROR(VLOOKUP(T_BilanSocial[[#This Row],[NumL]],T_TraitDi[#Data],COLUMN(T_TraitDi[[#This Row],[NbhTW]]),FALSE),""),"[hh]:mm"))</f>
        <v>#VALUE!</v>
      </c>
      <c r="BS121" s="174" t="e">
        <f>IF(VLOOKUP(T_BilanSocial[[#This Row],[NumL]],T_TraitDi[#Data],COLUMN(T_TraitDi[[#This Row],[Nbhheb]]),FALSE)=0,"",TEXT(IFERROR(VLOOKUP($A121,T_TraitDi[#Data],COLUMN(T_TraitDi[[#This Row],[Nbhheb]]),FALSE),""),"[hh]:mm"))</f>
        <v>#VALUE!</v>
      </c>
      <c r="BT121" s="182" t="str">
        <f>IFERROR(VLOOKUP(VLOOKUP($A121,T_TraitDi[#Data],COLUMN(T_TraitDi[[#This Row],[Type1]]),FALSE),TypeTW,2,FALSE),"")</f>
        <v/>
      </c>
      <c r="BU121" s="182" t="str">
        <f>IFERROR(VLOOKUP($A121,T_TraitDi[#Data],COLUMN(T_TraitDi[[#This Row],[Rue1]]),FALSE),"")</f>
        <v/>
      </c>
      <c r="BV121" s="173" t="str">
        <f>IFERROR(VLOOKUP($A121,T_TraitDi[#Data],COLUMN(T_TraitDi[[#This Row],[CP1]]),FALSE),"")</f>
        <v/>
      </c>
      <c r="BW121" s="173" t="str">
        <f>IFERROR(VLOOKUP($A121,T_TraitDi[#Data],COLUMN(T_TraitDi[[#This Row],[VILLE1]]),FALSE),"")</f>
        <v/>
      </c>
      <c r="BX121" s="182" t="str">
        <f>IFERROR(VLOOKUP(VLOOKUP($A121,T_TraitDi[#Data],COLUMN(T_TraitDi[[#This Row],[Type2]]),FALSE),TypeTW,2,FALSE),"")</f>
        <v/>
      </c>
      <c r="BY121" s="182" t="str">
        <f>IFERROR(VLOOKUP($A121,T_TraitDi[#Data],COLUMN(T_TraitDi[[#This Row],[Rue2]]),FALSE),"")</f>
        <v/>
      </c>
      <c r="BZ121" s="173" t="str">
        <f>IFERROR(VLOOKUP($A121,T_TraitDi[#Data],COLUMN(T_TraitDi[[#This Row],[CP2]]),FALSE),"")</f>
        <v/>
      </c>
      <c r="CA121" s="173" t="str">
        <f>IFERROR(VLOOKUP($A121,T_TraitDi[#Data],COLUMN(T_TraitDi[[#This Row],[VILLE2]]),FALSE),"")</f>
        <v/>
      </c>
      <c r="CB121" s="182" t="str">
        <f>IF(VLOOKUP(T_BilanSocial[[#This Row],[NumL]],T_Equipement[#Data],COLUMN(T_Equipement[[#This Row],[PC]]),FALSE)="","Aucun équipement spécifique directement lié au télétravail",VLOOKUP(T_BilanSocial[[#This Row],[NumL]],T_Equipement[#Data],COLUMN(T_Equipement[[#This Row],[PC]]),FALSE))</f>
        <v xml:space="preserve">20-485	</v>
      </c>
      <c r="CC121" s="166" t="str">
        <f>IFERROR(IF(VLOOKUP(T_BilanSocial[[#This Row],[NumL]],T_TraitDi[#Data],COLUMN(T_TraitDi[[#This Row],[Plan]]),FALSE)="OK","Un planning spécifique de télétravail est annexé à la présente convention.",""),"")</f>
        <v/>
      </c>
      <c r="CD121" s="185"/>
      <c r="CE121" s="164" t="e">
        <f>IF(VLOOKUP(T_BilanSocial[[#This Row],[NumL]],T_suiviDi[#Data],COLUMN(T_suiviDi[[#This Row],[Entité]]),FALSE)="","",VLOOKUP(T_BilanSocial[[#This Row],[NumL]],T_suiviDi[#Data],COLUMN(T_suiviDi[[#This Row],[Entité]]),FALSE))</f>
        <v>#VALUE!</v>
      </c>
      <c r="CF121" s="164" t="str">
        <f>IF(VLOOKUP(T_BilanSocial[[#This Row],[NumL]],T_Commission[#Data],COLUMN(T_Commission[[#This Row],[envoi confirm TW]]),FALSE)="","",VLOOKUP(T_BilanSocial[[#This Row],[NumL]],T_Commission[#Data],COLUMN(T_Commission[[#This Row],[envoi confirm TW]]),FALSE))</f>
        <v>Oui</v>
      </c>
      <c r="CG12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1" s="262" t="str">
        <f>T_BilanSocial[[#This Row],[Nom]]&amp;T_BilanSocial[[#This Row],[Prenom]]</f>
        <v/>
      </c>
      <c r="CI121" s="262">
        <f>VLOOKUP(T_BilanSocial[[#This Row],[NumL]],T_Commission[#Data],COLUMN(T_Commission[Commentaire]),FALSE)</f>
        <v>0</v>
      </c>
      <c r="CJ121" s="262" t="str">
        <f>IF(VLOOKUP(T_BilanSocial[[#This Row],[NumL]],T_Commission[#Data],COLUMN(T_Commission[Encadrant Email]),FALSE)="","",VLOOKUP(T_BilanSocial[[#This Row],[NumL]],T_Commission[#Data],COLUMN(T_Commission[Encadrant Email]),FALSE))</f>
        <v/>
      </c>
      <c r="CK121" s="340" t="str">
        <f>IF(T_BilanSocial[[#This Row],[Final]]&lt;&gt;"",VLOOKUP(T_BilanSocial[[#This Row],[NumL]],T_suiviDi[#Data],COLUMN((T_suiviDi[Statut])),FALSE),"")</f>
        <v/>
      </c>
    </row>
    <row r="122" spans="1:89" s="106" customFormat="1" ht="24.75" customHeight="1" x14ac:dyDescent="0.25">
      <c r="A122" s="160">
        <v>119</v>
      </c>
      <c r="B122" s="161" t="str">
        <f t="shared" si="10"/>
        <v/>
      </c>
      <c r="C122" s="162" t="s">
        <v>173</v>
      </c>
      <c r="D122" s="95" t="e">
        <f>IF(VLOOKUP(T_BilanSocial[[#This Row],[NumL]],T_TraitDi[#Data],COLUMN(T_TraitDi[[#This Row],[WebC]]),FALSE)="","",VLOOKUP(T_BilanSocial[[#This Row],[NumL]],T_TraitDi[#Data],COLUMN(T_TraitDi[[#This Row],[WebC]]),FALSE))</f>
        <v>#VALUE!</v>
      </c>
      <c r="E122" s="163" t="str">
        <f t="shared" si="11"/>
        <v>12 janvier 2021</v>
      </c>
      <c r="F122" s="96" t="str">
        <f>IF(T_BilanSocial[[#This Row],[Final]]&lt;&gt;"",VLOOKUP(T_BilanSocial[[#This Row],[NumL]],T_suiviDi[#Data],COLUMN((T_suiviDi[Civ.])),FALSE),"")</f>
        <v/>
      </c>
      <c r="G122" s="96" t="str">
        <f>IF(T_BilanSocial[[#This Row],[Final]]&lt;&gt;"",VLOOKUP(T_BilanSocial[[#This Row],[NumL]],T_suiviDi[#Data],COLUMN((T_suiviDi[Nom])),FALSE),"")</f>
        <v/>
      </c>
      <c r="H122" s="96" t="str">
        <f>IF(T_BilanSocial[[#This Row],[Final]]&lt;&gt;"",VLOOKUP(T_BilanSocial[[#This Row],[NumL]],T_suiviDi[#Data],COLUMN((T_suiviDi[Prénom])),FALSE),"")</f>
        <v/>
      </c>
      <c r="I122" s="96" t="str">
        <f>IFERROR(VLOOKUP(T_BilanSocial[[#This Row],[Zone_Bilan]],T_P_BilanSocial[#Data],COLUMN(T_P_BilanSocial[[#This Row],[Numero_SIHAM]]),FALSE),"")</f>
        <v/>
      </c>
      <c r="J122" s="96" t="str">
        <f>IFERROR(VLOOKUP(T_BilanSocial[[#This Row],[Zone_Bilan]],T_P_BilanSocial[#Data],COLUMN(T_P_BilanSocial[[#This Row],[Sexe]]),FALSE),"")</f>
        <v/>
      </c>
      <c r="K122" s="97" t="str">
        <f>IFERROR(VLOOKUP(T_BilanSocial[[#This Row],[Zone_Bilan]],T_P_BilanSocial[#Data],COLUMN(T_P_BilanSocial[[#This Row],[Categorie]]),FALSE),"")</f>
        <v/>
      </c>
      <c r="L122" s="96" t="str">
        <f>IFERROR(VLOOKUP(T_BilanSocial[[#This Row],[Zone_Bilan]],T_P_BilanSocial[#Data],COLUMN(T_P_BilanSocial[[#This Row],[Statut]]),FALSE),"")</f>
        <v/>
      </c>
      <c r="M122" s="96" t="str">
        <f>IFERROR(VLOOKUP(T_BilanSocial[[#This Row],[Zone_Bilan]],T_P_BilanSocial[#Data],COLUMN(T_P_BilanSocial[[#This Row],[Filiere]]),FALSE),"")</f>
        <v/>
      </c>
      <c r="N122" s="96" t="e">
        <f>VLOOKUP(T_BilanSocial[[#This Row],[NumL]],T_TraitDi[#Data],COLUMN(T_TraitDi[EXP]),FALSE)</f>
        <v>#N/A</v>
      </c>
      <c r="O122" s="96" t="e">
        <f>VLOOKUP(T_BilanSocial[[#This Row],[NumL]],T_TraitDi[#Data],COLUMN(T_TraitDi[FORM]),FALSE)</f>
        <v>#N/A</v>
      </c>
      <c r="P122" s="96" t="str">
        <f>IF(T_BilanSocial[[#This Row],[Final]]&lt;&gt;"",VLOOKUP(T_BilanSocial[[#This Row],[NumL]],T_suiviDi[#Data],COLUMN((T_suiviDi[Email])),FALSE),"")</f>
        <v/>
      </c>
      <c r="Q122" s="164" t="e">
        <f t="shared" si="17"/>
        <v>#N/A</v>
      </c>
      <c r="R122" s="164" t="e">
        <f t="shared" si="18"/>
        <v>#N/A</v>
      </c>
      <c r="S122" s="164" t="e">
        <f>IF(VLOOKUP(T_BilanSocial[[#This Row],[NumL]],T_suiviDi[#Data],COLUMN(T_suiviDi[[#This Row],[Service ]]),FALSE)="","",VLOOKUP(T_BilanSocial[[#This Row],[NumL]],T_suiviDi[#Data],COLUMN(T_suiviDi[[#This Row],[Service ]]),FALSE))</f>
        <v>#VALUE!</v>
      </c>
      <c r="T122" s="164" t="str">
        <f t="shared" si="12"/>
        <v>01 septembre 2021</v>
      </c>
      <c r="U122" s="164" t="str">
        <f t="shared" si="13"/>
        <v>30 novembre 2021</v>
      </c>
      <c r="V122" s="164" t="str">
        <f t="shared" si="21"/>
        <v>30 novembre 2021</v>
      </c>
      <c r="W122" s="176" t="e">
        <f>IF(VLOOKUP(T_BilanSocial[[#This Row],[NumL]],T_TraitDi[#Data],COLUMN(T_TraitDi[[#This Row],[M1]]),FALSE)="","",VLOOKUP(T_BilanSocial[[#This Row],[NumL]],T_TraitDi[#Data],COLUMN(T_TraitDi[[#This Row],[M1]]),FALSE))</f>
        <v>#VALUE!</v>
      </c>
      <c r="X122" s="176" t="e">
        <f>IF(VLOOKUP(T_BilanSocial[[#This Row],[NumL]],T_TraitDi[#Data],COLUMN(T_TraitDi[[#This Row],[M2]]),FALSE)="","",VLOOKUP(T_BilanSocial[[#This Row],[NumL]],T_TraitDi[#Data],COLUMN(T_TraitDi[[#This Row],[M2]]),FALSE))</f>
        <v>#VALUE!</v>
      </c>
      <c r="Y122" s="176" t="e">
        <f>IF(VLOOKUP(T_BilanSocial[[#This Row],[NumL]],T_TraitDi[#Data],COLUMN(T_TraitDi[[#This Row],[M3]]),FALSE)="","",VLOOKUP(T_BilanSocial[[#This Row],[NumL]],T_TraitDi[#Data],COLUMN(T_TraitDi[[#This Row],[M3]]),FALSE))</f>
        <v>#VALUE!</v>
      </c>
      <c r="Z122" s="176" t="str">
        <f t="shared" si="16"/>
        <v/>
      </c>
      <c r="AA122" s="176" t="e">
        <f>IF(VLOOKUP(T_BilanSocial[[#This Row],[NumL]],T_TraitDi[#Data],COLUMN(T_TraitDi[[#This Row],[M5]]),FALSE)="","",VLOOKUP(T_BilanSocial[[#This Row],[NumL]],T_TraitDi[#Data],COLUMN(T_TraitDi[[#This Row],[M5]]),FALSE))</f>
        <v>#VALUE!</v>
      </c>
      <c r="AB122" s="176" t="e">
        <f>IF(VLOOKUP(T_BilanSocial[[#This Row],[NumL]],T_TraitDi[#Data],COLUMN(T_TraitDi[[#This Row],[M6]]),FALSE)="","",VLOOKUP(T_BilanSocial[[#This Row],[NumL]],T_TraitDi[#Data],COLUMN(T_TraitDi[[#This Row],[M6]]),FALSE))</f>
        <v>#VALUE!</v>
      </c>
      <c r="AC122" s="165" t="e">
        <f t="shared" si="15"/>
        <v>#VALUE!</v>
      </c>
      <c r="AD122" s="188" t="str">
        <f>IFERROR(TEXT(VLOOKUP(T_BilanSocial[[#This Row],[NumL]],T_TraitDi[#Data],COLUMN(T_TraitDi[[#This Row],[Q2]]),FALSE),"###%"),"")</f>
        <v/>
      </c>
      <c r="AE122" s="97" t="e">
        <f>VLOOKUP(T_BilanSocial[[#This Row],[NumL]],T_TraitDi[#Data],COLUMN(T_TraitDi[[#This Row],[Reg Ponct]]),FALSE)</f>
        <v>#VALUE!</v>
      </c>
      <c r="AF122" s="97" t="e">
        <f>VLOOKUP(T_BilanSocial[NumL],T_TraitDi[#Data],COLUMN(T_TraitDi[[#This Row],[Jours flottants]]),FALSE)</f>
        <v>#VALUE!</v>
      </c>
      <c r="AG122" s="97" t="str">
        <f>IFERROR(VLOOKUP(T_BilanSocial[[#This Row],[NumL]],T_TraitDi[#Data],COLUMN(T_TraitDi[[#This Row],[Lundi]]),FALSE),"")</f>
        <v/>
      </c>
      <c r="AH122" s="172" t="e">
        <f>IF(VLOOKUP(T_BilanSocial[[#This Row],[NumL]],T_TraitDi[#Data],COLUMN(T_TraitDi[[#This Row],[Colonne3]]),FALSE)=0,"",TEXT(IFERROR(VLOOKUP(T_BilanSocial[[#This Row],[NumL]],T_TraitDi[#Data],COLUMN(T_TraitDi[[#This Row],[Colonne3]]),FALSE),""),"[hh]:mm"))</f>
        <v>#VALUE!</v>
      </c>
      <c r="AI122" s="172" t="e">
        <f>IF(VLOOKUP(T_BilanSocial[[#This Row],[NumL]],T_TraitDi[#Data],COLUMN(T_TraitDi[[#This Row],[Colonne4]]),FALSE)=0,"",TEXT(IFERROR(VLOOKUP(T_BilanSocial[[#This Row],[NumL]],T_TraitDi[#Data],COLUMN(T_TraitDi[[#This Row],[Colonne4]]),FALSE),""),"[hh]:mm"))</f>
        <v>#VALUE!</v>
      </c>
      <c r="AJ122" s="172" t="e">
        <f>IF(VLOOKUP(T_BilanSocial[[#This Row],[NumL]],T_TraitDi[#Data],COLUMN(T_TraitDi[[#This Row],[Colonne5]]),FALSE)=0,"",TEXT(IFERROR(VLOOKUP(T_BilanSocial[[#This Row],[NumL]],T_TraitDi[#Data],COLUMN(T_TraitDi[[#This Row],[Colonne5]]),FALSE),""),"[hh]:mm"))</f>
        <v>#VALUE!</v>
      </c>
      <c r="AK122" s="172" t="e">
        <f>IF(VLOOKUP(T_BilanSocial[[#This Row],[NumL]],T_TraitDi[#Data],COLUMN(T_TraitDi[[#This Row],[Colonne6]]),FALSE)=0,"",TEXT(IFERROR(VLOOKUP(T_BilanSocial[[#This Row],[NumL]],T_TraitDi[#Data],COLUMN(T_TraitDi[[#This Row],[Colonne6]]),FALSE),""),"[hh]:mm"))</f>
        <v>#VALUE!</v>
      </c>
      <c r="AL122" s="172" t="e">
        <f>IF(VLOOKUP(T_BilanSocial[[#This Row],[NumL]],T_TraitDi[#Data],COLUMN(T_TraitDi[[#This Row],[Colonne7]]),FALSE)=0,"",TEXT(IFERROR(VLOOKUP(T_BilanSocial[[#This Row],[NumL]],T_TraitDi[#Data],COLUMN(T_TraitDi[[#This Row],[Colonne7]]),FALSE),""),"[hh]:mm"))</f>
        <v>#VALUE!</v>
      </c>
      <c r="AM122" s="172" t="e">
        <f>IF(VLOOKUP(T_BilanSocial[[#This Row],[NumL]],T_TraitDi[#Data],COLUMN(T_TraitDi[[#This Row],[Colonne8]]),FALSE)=0,"",TEXT(IFERROR(VLOOKUP(T_BilanSocial[[#This Row],[NumL]],T_TraitDi[#Data],COLUMN(T_TraitDi[[#This Row],[Colonne8]]),FALSE),""),"[hh]:mm"))</f>
        <v>#VALUE!</v>
      </c>
      <c r="AN122" s="172" t="str">
        <f>IFERROR(VLOOKUP(T_BilanSocial[[#This Row],[NumL]],T_TraitDi[#Data],COLUMN(T_TraitDi[[#This Row],[Mardi]]),FALSE),"")</f>
        <v/>
      </c>
      <c r="AO122" s="172" t="e">
        <f>IF(VLOOKUP(T_BilanSocial[[#This Row],[NumL]],T_TraitDi[#Data],COLUMN(T_TraitDi[[#This Row],[Colonne1]]),FALSE)=0,"",TEXT(IFERROR(VLOOKUP(T_BilanSocial[[#This Row],[NumL]],T_TraitDi[#Data],COLUMN(T_TraitDi[[#This Row],[Colonne1]]),FALSE),""),"[hh]:mm"))</f>
        <v>#VALUE!</v>
      </c>
      <c r="AP122" s="172" t="e">
        <f>IF(VLOOKUP(T_BilanSocial[[#This Row],[NumL]],T_TraitDi[#Data],COLUMN(T_TraitDi[[#This Row],[Colonne9]]),FALSE)=0,"",TEXT(IFERROR(VLOOKUP(T_BilanSocial[[#This Row],[NumL]],T_TraitDi[#Data],COLUMN(T_TraitDi[[#This Row],[Colonne9]]),FALSE),""),"[hh]:mm"))</f>
        <v>#VALUE!</v>
      </c>
      <c r="AQ122" s="172" t="str">
        <f>IFERROR(VLOOKUP(T_BilanSocial[[#This Row],[NumL]],T_TraitDi[#Data],COLUMN(T_TraitDi[[#This Row],[Colonne10]]),FALSE),"")</f>
        <v/>
      </c>
      <c r="AR122" s="172" t="e">
        <f>IF(VLOOKUP(T_BilanSocial[[#This Row],[NumL]],T_TraitDi[#Data],COLUMN(T_TraitDi[[#This Row],[Colonne11]]),FALSE)=0,"",TEXT(IFERROR(VLOOKUP(T_BilanSocial[[#This Row],[NumL]],T_TraitDi[#Data],COLUMN(T_TraitDi[[#This Row],[Colonne11]]),FALSE),""),"[hh]:mm"))</f>
        <v>#VALUE!</v>
      </c>
      <c r="AS122" s="172" t="e">
        <f>IF(VLOOKUP(T_BilanSocial[[#This Row],[NumL]],T_TraitDi[#Data],COLUMN(T_TraitDi[[#This Row],[Colonne12]]),FALSE)=0,"",TEXT(IFERROR(VLOOKUP(T_BilanSocial[[#This Row],[NumL]],T_TraitDi[#Data],COLUMN(T_TraitDi[[#This Row],[Colonne12]]),FALSE),""),"[hh]:mm"))</f>
        <v>#VALUE!</v>
      </c>
      <c r="AT122" s="172" t="e">
        <f>IF(VLOOKUP(T_BilanSocial[[#This Row],[NumL]],T_TraitDi[#Data],COLUMN(T_TraitDi[[#This Row],[Colonne14]]),FALSE)=0,"",TEXT(IFERROR(VLOOKUP(T_BilanSocial[[#This Row],[NumL]],T_TraitDi[#Data],COLUMN(T_TraitDi[[#This Row],[Colonne14]]),FALSE),""),"[hh]:mm"))</f>
        <v>#VALUE!</v>
      </c>
      <c r="AU122" s="172" t="str">
        <f>IFERROR(VLOOKUP(T_BilanSocial[[#This Row],[NumL]],T_TraitDi[#Data],COLUMN(T_TraitDi[[#This Row],[Mercredi]]),FALSE),"")</f>
        <v/>
      </c>
      <c r="AV122" s="172" t="e">
        <f>IF(VLOOKUP(T_BilanSocial[[#This Row],[NumL]],T_TraitDi[#Data],COLUMN(T_TraitDi[[#This Row],[Colonne15]]),FALSE)=0,"",TEXT(IFERROR(VLOOKUP(T_BilanSocial[[#This Row],[NumL]],T_TraitDi[#Data],COLUMN(T_TraitDi[[#This Row],[Colonne15]]),FALSE),""),"[hh]:mm"))</f>
        <v>#VALUE!</v>
      </c>
      <c r="AW122" s="172" t="e">
        <f>IF(VLOOKUP(T_BilanSocial[[#This Row],[NumL]],T_TraitDi[#Data],COLUMN(T_TraitDi[[#This Row],[Colonne16]]),FALSE)=0,"",TEXT(IFERROR(VLOOKUP(T_BilanSocial[[#This Row],[NumL]],T_TraitDi[#Data],COLUMN(T_TraitDi[[#This Row],[Colonne16]]),FALSE),""),"[hh]:mm"))</f>
        <v>#VALUE!</v>
      </c>
      <c r="AX122" s="172" t="str">
        <f>IFERROR(VLOOKUP(T_BilanSocial[[#This Row],[NumL]],T_TraitDi[#Data],COLUMN(T_TraitDi[[#This Row],[Colonne17]]),FALSE),"")</f>
        <v/>
      </c>
      <c r="AY122" s="172" t="e">
        <f>IF(VLOOKUP(T_BilanSocial[[#This Row],[NumL]],T_TraitDi[#Data],COLUMN(T_TraitDi[[#This Row],[Colonne18]]),FALSE)=0,"",TEXT(IFERROR(VLOOKUP(T_BilanSocial[[#This Row],[NumL]],T_TraitDi[#Data],COLUMN(T_TraitDi[[#This Row],[Colonne18]]),FALSE),""),"[hh]:mm"))</f>
        <v>#VALUE!</v>
      </c>
      <c r="AZ122" s="172" t="e">
        <f>IF(VLOOKUP(T_BilanSocial[[#This Row],[NumL]],T_TraitDi[#Data],COLUMN(T_TraitDi[[#This Row],[Colonne19]]),FALSE)=0,"",TEXT(IFERROR(VLOOKUP(T_BilanSocial[[#This Row],[NumL]],T_TraitDi[#Data],COLUMN(T_TraitDi[[#This Row],[Colonne19]]),FALSE),""),"[hh]:mm"))</f>
        <v>#VALUE!</v>
      </c>
      <c r="BA122" s="172" t="e">
        <f>IF(VLOOKUP(T_BilanSocial[[#This Row],[NumL]],T_TraitDi[#Data],COLUMN(T_TraitDi[[#This Row],[Colonne20]]),FALSE)=0,"",TEXT(IFERROR(VLOOKUP(T_BilanSocial[[#This Row],[NumL]],T_TraitDi[#Data],COLUMN(T_TraitDi[[#This Row],[Colonne20]]),FALSE),""),"[hh]:mm"))</f>
        <v>#VALUE!</v>
      </c>
      <c r="BB122" s="178" t="str">
        <f>IFERROR(VLOOKUP(T_BilanSocial[[#This Row],[NumL]],T_TraitDi[#Data],COLUMN(T_TraitDi[[#This Row],[Jeudi]]),FALSE),"")</f>
        <v/>
      </c>
      <c r="BC122" s="178" t="e">
        <f>IF(VLOOKUP(T_BilanSocial[[#This Row],[NumL]],T_TraitDi[#Data],COLUMN(T_TraitDi[[#This Row],[Colonne21]]),FALSE)=0,"",TEXT(IFERROR(VLOOKUP(T_BilanSocial[[#This Row],[NumL]],T_TraitDi[#Data],COLUMN(T_TraitDi[[#This Row],[Colonne21]]),FALSE),""),"[hh]:mm"))</f>
        <v>#VALUE!</v>
      </c>
      <c r="BD122" s="178" t="e">
        <f>IF(VLOOKUP(T_BilanSocial[[#This Row],[NumL]],T_TraitDi[#Data],COLUMN(T_TraitDi[[#This Row],[Colonne22]]),FALSE)=0,"",TEXT(IFERROR(VLOOKUP(T_BilanSocial[[#This Row],[NumL]],T_TraitDi[#Data],COLUMN(T_TraitDi[[#This Row],[Colonne22]]),FALSE),""),"[hh]:mm"))</f>
        <v>#VALUE!</v>
      </c>
      <c r="BE122" s="178" t="str">
        <f>IFERROR(VLOOKUP(T_BilanSocial[[#This Row],[NumL]],T_TraitDi[#Data],COLUMN(T_TraitDi[[#This Row],[Colonne23]]),FALSE),"")</f>
        <v/>
      </c>
      <c r="BF122" s="178" t="e">
        <f>IF(VLOOKUP(T_BilanSocial[[#This Row],[NumL]],T_TraitDi[#Data],COLUMN(T_TraitDi[[#This Row],[Colonne24]]),FALSE)=0,"",TEXT(IFERROR(VLOOKUP(T_BilanSocial[[#This Row],[NumL]],T_TraitDi[#Data],COLUMN(T_TraitDi[[#This Row],[Colonne24]]),FALSE),""),"[hh]:mm"))</f>
        <v>#VALUE!</v>
      </c>
      <c r="BG122" s="178" t="e">
        <f>IF(VLOOKUP(T_BilanSocial[[#This Row],[NumL]],T_TraitDi[#Data],COLUMN(T_TraitDi[[#This Row],[Colonne25]]),FALSE)=0,"",TEXT(IFERROR(VLOOKUP(T_BilanSocial[[#This Row],[NumL]],T_TraitDi[#Data],COLUMN(T_TraitDi[[#This Row],[Colonne25]]),FALSE),""),"[hh]:mm"))</f>
        <v>#VALUE!</v>
      </c>
      <c r="BH122" s="178" t="e">
        <f>IF(VLOOKUP(T_BilanSocial[[#This Row],[NumL]],T_TraitDi[#Data],COLUMN(T_TraitDi[[#This Row],[Colonne26]]),FALSE)=0,"",TEXT(IFERROR(VLOOKUP(T_BilanSocial[[#This Row],[NumL]],T_TraitDi[#Data],COLUMN(T_TraitDi[[#This Row],[Colonne26]]),FALSE),""),"[hh]:mm"))</f>
        <v>#VALUE!</v>
      </c>
      <c r="BI122" s="172" t="str">
        <f>IFERROR(VLOOKUP(T_BilanSocial[[#This Row],[NumL]],T_TraitDi[#Data],COLUMN(T_TraitDi[[#This Row],[Vendredi]]),FALSE),"")</f>
        <v/>
      </c>
      <c r="BJ122" s="172" t="e">
        <f>IF(VLOOKUP(T_BilanSocial[[#This Row],[NumL]],T_TraitDi[#Data],COLUMN(T_TraitDi[[#This Row],[Colonne27]]),FALSE)=0,"",TEXT(IFERROR(VLOOKUP(T_BilanSocial[[#This Row],[NumL]],T_TraitDi[#Data],COLUMN(T_TraitDi[[#This Row],[Colonne27]]),FALSE),""),"[hh]:mm"))</f>
        <v>#VALUE!</v>
      </c>
      <c r="BK122" s="172" t="e">
        <f>IF(VLOOKUP(T_BilanSocial[[#This Row],[NumL]],T_TraitDi[#Data],COLUMN(T_TraitDi[[#This Row],[Colonne28]]),FALSE)=0,"",TEXT(IFERROR(VLOOKUP(T_BilanSocial[[#This Row],[NumL]],T_TraitDi[#Data],COLUMN(T_TraitDi[[#This Row],[Colonne28]]),FALSE),""),"[hh]:mm"))</f>
        <v>#VALUE!</v>
      </c>
      <c r="BL122" s="172" t="str">
        <f>IFERROR(VLOOKUP(T_BilanSocial[[#This Row],[NumL]],T_TraitDi[#Data],COLUMN(T_TraitDi[[#This Row],[Colonne29]]),FALSE),"")</f>
        <v/>
      </c>
      <c r="BM122" s="172" t="e">
        <f>IF(VLOOKUP(T_BilanSocial[[#This Row],[NumL]],T_TraitDi[#Data],COLUMN(T_TraitDi[[#This Row],[Colonne30]]),FALSE)=0,"",TEXT(IFERROR(VLOOKUP(T_BilanSocial[[#This Row],[NumL]],T_TraitDi[#Data],COLUMN(T_TraitDi[[#This Row],[Colonne30]]),FALSE),""),"[hh]:mm"))</f>
        <v>#VALUE!</v>
      </c>
      <c r="BN122" s="172" t="e">
        <f>IF(VLOOKUP(T_BilanSocial[[#This Row],[NumL]],T_TraitDi[#Data],COLUMN(T_TraitDi[[#This Row],[Colonne31]]),FALSE)=0,"",TEXT(IFERROR(VLOOKUP(T_BilanSocial[[#This Row],[NumL]],T_TraitDi[#Data],COLUMN(T_TraitDi[[#This Row],[Colonne31]]),FALSE),""),"[hh]:mm"))</f>
        <v>#VALUE!</v>
      </c>
      <c r="BO122" s="172" t="e">
        <f>IF(VLOOKUP(T_BilanSocial[[#This Row],[NumL]],T_TraitDi[#Data],COLUMN(T_TraitDi[[#This Row],[Colonne32]]),FALSE)=0,"",TEXT(IFERROR(VLOOKUP(T_BilanSocial[[#This Row],[NumL]],T_TraitDi[#Data],COLUMN(T_TraitDi[[#This Row],[Colonne32]]),FALSE),""),"[hh]:mm"))</f>
        <v>#VALUE!</v>
      </c>
      <c r="BP122" s="172" t="e">
        <f>VLOOKUP(T_BilanSocial[[#This Row],[NumL]],T_TraitDi[#Data],COLUMN(T_TraitDi[NbJTot]),FALSE)</f>
        <v>#N/A</v>
      </c>
      <c r="BQ122" s="174" t="str">
        <f>IFERROR(VLOOKUP(T_BilanSocial[[#This Row],[NumL]],T_TraitDi[#Data],COLUMN(T_TraitDi[[#This Row],[NbJTW]]),FALSE),"")</f>
        <v/>
      </c>
      <c r="BR122" s="174" t="e">
        <f>IF(VLOOKUP(T_BilanSocial[[#This Row],[NumL]],T_TraitDi[#Data],COLUMN(T_TraitDi[[#This Row],[NbhTW]]),FALSE)=0,"",TEXT(IFERROR(VLOOKUP(T_BilanSocial[[#This Row],[NumL]],T_TraitDi[#Data],COLUMN(T_TraitDi[[#This Row],[NbhTW]]),FALSE),""),"[hh]:mm"))</f>
        <v>#VALUE!</v>
      </c>
      <c r="BS122" s="174" t="e">
        <f>IF(VLOOKUP(T_BilanSocial[[#This Row],[NumL]],T_TraitDi[#Data],COLUMN(T_TraitDi[[#This Row],[Nbhheb]]),FALSE)=0,"",TEXT(IFERROR(VLOOKUP($A122,T_TraitDi[#Data],COLUMN(T_TraitDi[[#This Row],[Nbhheb]]),FALSE),""),"[hh]:mm"))</f>
        <v>#VALUE!</v>
      </c>
      <c r="BT122" s="182" t="str">
        <f>IFERROR(VLOOKUP(VLOOKUP($A122,T_TraitDi[#Data],COLUMN(T_TraitDi[[#This Row],[Type1]]),FALSE),TypeTW,2,FALSE),"")</f>
        <v/>
      </c>
      <c r="BU122" s="182" t="str">
        <f>IFERROR(VLOOKUP($A122,T_TraitDi[#Data],COLUMN(T_TraitDi[[#This Row],[Rue1]]),FALSE),"")</f>
        <v/>
      </c>
      <c r="BV122" s="173" t="str">
        <f>IFERROR(VLOOKUP($A122,T_TraitDi[#Data],COLUMN(T_TraitDi[[#This Row],[CP1]]),FALSE),"")</f>
        <v/>
      </c>
      <c r="BW122" s="173" t="str">
        <f>IFERROR(VLOOKUP($A122,T_TraitDi[#Data],COLUMN(T_TraitDi[[#This Row],[VILLE1]]),FALSE),"")</f>
        <v/>
      </c>
      <c r="BX122" s="182" t="str">
        <f>IFERROR(VLOOKUP(VLOOKUP($A122,T_TraitDi[#Data],COLUMN(T_TraitDi[[#This Row],[Type2]]),FALSE),TypeTW,2,FALSE),"")</f>
        <v/>
      </c>
      <c r="BY122" s="182" t="str">
        <f>IFERROR(VLOOKUP($A122,T_TraitDi[#Data],COLUMN(T_TraitDi[[#This Row],[Rue2]]),FALSE),"")</f>
        <v/>
      </c>
      <c r="BZ122" s="173" t="str">
        <f>IFERROR(VLOOKUP($A122,T_TraitDi[#Data],COLUMN(T_TraitDi[[#This Row],[CP2]]),FALSE),"")</f>
        <v/>
      </c>
      <c r="CA122" s="173" t="str">
        <f>IFERROR(VLOOKUP($A122,T_TraitDi[#Data],COLUMN(T_TraitDi[[#This Row],[VILLE2]]),FALSE),"")</f>
        <v/>
      </c>
      <c r="CB122" s="182" t="str">
        <f>IF(VLOOKUP(T_BilanSocial[[#This Row],[NumL]],T_Equipement[#Data],COLUMN(T_Equipement[[#This Row],[PC]]),FALSE)="","Aucun équipement spécifique directement lié au télétravail",VLOOKUP(T_BilanSocial[[#This Row],[NumL]],T_Equipement[#Data],COLUMN(T_Equipement[[#This Row],[PC]]),FALSE))</f>
        <v xml:space="preserve">19-036	</v>
      </c>
      <c r="CC122" s="166" t="str">
        <f>IFERROR(IF(VLOOKUP(T_BilanSocial[[#This Row],[NumL]],T_TraitDi[#Data],COLUMN(T_TraitDi[[#This Row],[Plan]]),FALSE)="OK","Un planning spécifique de télétravail est annexé à la présente convention.",""),"")</f>
        <v/>
      </c>
      <c r="CD122" s="258" t="s">
        <v>3342</v>
      </c>
      <c r="CE122" s="164" t="e">
        <f>IF(VLOOKUP(T_BilanSocial[[#This Row],[NumL]],T_suiviDi[#Data],COLUMN(T_suiviDi[[#This Row],[Entité]]),FALSE)="","",VLOOKUP(T_BilanSocial[[#This Row],[NumL]],T_suiviDi[#Data],COLUMN(T_suiviDi[[#This Row],[Entité]]),FALSE))</f>
        <v>#VALUE!</v>
      </c>
      <c r="CF122" s="164" t="str">
        <f>IF(VLOOKUP(T_BilanSocial[[#This Row],[NumL]],T_Commission[#Data],COLUMN(T_Commission[[#This Row],[envoi confirm TW]]),FALSE)="","",VLOOKUP(T_BilanSocial[[#This Row],[NumL]],T_Commission[#Data],COLUMN(T_Commission[[#This Row],[envoi confirm TW]]),FALSE))</f>
        <v>Oui</v>
      </c>
      <c r="CG12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2" s="262" t="str">
        <f>T_BilanSocial[[#This Row],[Nom]]&amp;T_BilanSocial[[#This Row],[Prenom]]</f>
        <v/>
      </c>
      <c r="CI122" s="262">
        <f>VLOOKUP(T_BilanSocial[[#This Row],[NumL]],T_Commission[#Data],COLUMN(T_Commission[Commentaire]),FALSE)</f>
        <v>0</v>
      </c>
      <c r="CJ122" s="262" t="str">
        <f>IF(VLOOKUP(T_BilanSocial[[#This Row],[NumL]],T_Commission[#Data],COLUMN(T_Commission[Encadrant Email]),FALSE)="","",VLOOKUP(T_BilanSocial[[#This Row],[NumL]],T_Commission[#Data],COLUMN(T_Commission[Encadrant Email]),FALSE))</f>
        <v/>
      </c>
      <c r="CK122" s="340" t="str">
        <f>IF(T_BilanSocial[[#This Row],[Final]]&lt;&gt;"",VLOOKUP(T_BilanSocial[[#This Row],[NumL]],T_suiviDi[#Data],COLUMN((T_suiviDi[Statut])),FALSE),"")</f>
        <v/>
      </c>
    </row>
    <row r="123" spans="1:89" s="106" customFormat="1" ht="24.75" customHeight="1" x14ac:dyDescent="0.25">
      <c r="A123" s="160">
        <v>120</v>
      </c>
      <c r="B123" s="161" t="str">
        <f t="shared" si="10"/>
        <v/>
      </c>
      <c r="C123" s="162" t="s">
        <v>173</v>
      </c>
      <c r="D123" s="95" t="e">
        <f>IF(VLOOKUP(T_BilanSocial[[#This Row],[NumL]],T_TraitDi[#Data],COLUMN(T_TraitDi[[#This Row],[WebC]]),FALSE)="","",VLOOKUP(T_BilanSocial[[#This Row],[NumL]],T_TraitDi[#Data],COLUMN(T_TraitDi[[#This Row],[WebC]]),FALSE))</f>
        <v>#VALUE!</v>
      </c>
      <c r="E123" s="163" t="str">
        <f t="shared" si="11"/>
        <v>12 janvier 2021</v>
      </c>
      <c r="F123" s="96" t="str">
        <f>IF(T_BilanSocial[[#This Row],[Final]]&lt;&gt;"",VLOOKUP(T_BilanSocial[[#This Row],[NumL]],T_suiviDi[#Data],COLUMN((T_suiviDi[Civ.])),FALSE),"")</f>
        <v/>
      </c>
      <c r="G123" s="96" t="str">
        <f>IF(T_BilanSocial[[#This Row],[Final]]&lt;&gt;"",VLOOKUP(T_BilanSocial[[#This Row],[NumL]],T_suiviDi[#Data],COLUMN((T_suiviDi[Nom])),FALSE),"")</f>
        <v/>
      </c>
      <c r="H123" s="96" t="str">
        <f>IF(T_BilanSocial[[#This Row],[Final]]&lt;&gt;"",VLOOKUP(T_BilanSocial[[#This Row],[NumL]],T_suiviDi[#Data],COLUMN((T_suiviDi[Prénom])),FALSE),"")</f>
        <v/>
      </c>
      <c r="I123" s="96" t="str">
        <f>IFERROR(VLOOKUP(T_BilanSocial[[#This Row],[Zone_Bilan]],T_P_BilanSocial[#Data],COLUMN(T_P_BilanSocial[[#This Row],[Numero_SIHAM]]),FALSE),"")</f>
        <v/>
      </c>
      <c r="J123" s="96" t="str">
        <f>IFERROR(VLOOKUP(T_BilanSocial[[#This Row],[Zone_Bilan]],T_P_BilanSocial[#Data],COLUMN(T_P_BilanSocial[[#This Row],[Sexe]]),FALSE),"")</f>
        <v/>
      </c>
      <c r="K123" s="97" t="str">
        <f>IFERROR(VLOOKUP(T_BilanSocial[[#This Row],[Zone_Bilan]],T_P_BilanSocial[#Data],COLUMN(T_P_BilanSocial[[#This Row],[Categorie]]),FALSE),"")</f>
        <v/>
      </c>
      <c r="L123" s="96" t="str">
        <f>IFERROR(VLOOKUP(T_BilanSocial[[#This Row],[Zone_Bilan]],T_P_BilanSocial[#Data],COLUMN(T_P_BilanSocial[[#This Row],[Statut]]),FALSE),"")</f>
        <v/>
      </c>
      <c r="M123" s="96" t="str">
        <f>IFERROR(VLOOKUP(T_BilanSocial[[#This Row],[Zone_Bilan]],T_P_BilanSocial[#Data],COLUMN(T_P_BilanSocial[[#This Row],[Filiere]]),FALSE),"")</f>
        <v/>
      </c>
      <c r="N123" s="96" t="e">
        <f>VLOOKUP(T_BilanSocial[[#This Row],[NumL]],T_TraitDi[#Data],COLUMN(T_TraitDi[EXP]),FALSE)</f>
        <v>#N/A</v>
      </c>
      <c r="O123" s="96" t="e">
        <f>VLOOKUP(T_BilanSocial[[#This Row],[NumL]],T_TraitDi[#Data],COLUMN(T_TraitDi[FORM]),FALSE)</f>
        <v>#N/A</v>
      </c>
      <c r="P123" s="96" t="str">
        <f>IF(T_BilanSocial[[#This Row],[Final]]&lt;&gt;"",VLOOKUP(T_BilanSocial[[#This Row],[NumL]],T_suiviDi[#Data],COLUMN((T_suiviDi[Email])),FALSE),"")</f>
        <v/>
      </c>
      <c r="Q123" s="164" t="e">
        <f t="shared" si="17"/>
        <v>#N/A</v>
      </c>
      <c r="R123" s="164" t="e">
        <f t="shared" si="18"/>
        <v>#N/A</v>
      </c>
      <c r="S123" s="164" t="e">
        <f>IF(VLOOKUP(T_BilanSocial[[#This Row],[NumL]],T_suiviDi[#Data],COLUMN(T_suiviDi[[#This Row],[Service ]]),FALSE)="","",VLOOKUP(T_BilanSocial[[#This Row],[NumL]],T_suiviDi[#Data],COLUMN(T_suiviDi[[#This Row],[Service ]]),FALSE))</f>
        <v>#VALUE!</v>
      </c>
      <c r="T123" s="164" t="str">
        <f t="shared" si="12"/>
        <v>01 septembre 2021</v>
      </c>
      <c r="U123" s="164" t="str">
        <f t="shared" si="13"/>
        <v>30 novembre 2021</v>
      </c>
      <c r="V123" s="164" t="str">
        <f t="shared" si="21"/>
        <v>30 novembre 2021</v>
      </c>
      <c r="W123" s="176" t="e">
        <f>IF(VLOOKUP(T_BilanSocial[[#This Row],[NumL]],T_TraitDi[#Data],COLUMN(T_TraitDi[[#This Row],[M1]]),FALSE)="","",VLOOKUP(T_BilanSocial[[#This Row],[NumL]],T_TraitDi[#Data],COLUMN(T_TraitDi[[#This Row],[M1]]),FALSE))</f>
        <v>#VALUE!</v>
      </c>
      <c r="X123" s="176" t="e">
        <f>IF(VLOOKUP(T_BilanSocial[[#This Row],[NumL]],T_TraitDi[#Data],COLUMN(T_TraitDi[[#This Row],[M2]]),FALSE)="","",VLOOKUP(T_BilanSocial[[#This Row],[NumL]],T_TraitDi[#Data],COLUMN(T_TraitDi[[#This Row],[M2]]),FALSE))</f>
        <v>#VALUE!</v>
      </c>
      <c r="Y123" s="176" t="e">
        <f>IF(VLOOKUP(T_BilanSocial[[#This Row],[NumL]],T_TraitDi[#Data],COLUMN(T_TraitDi[[#This Row],[M3]]),FALSE)="","",VLOOKUP(T_BilanSocial[[#This Row],[NumL]],T_TraitDi[#Data],COLUMN(T_TraitDi[[#This Row],[M3]]),FALSE))</f>
        <v>#VALUE!</v>
      </c>
      <c r="Z123" s="176" t="str">
        <f t="shared" si="16"/>
        <v/>
      </c>
      <c r="AA123" s="176" t="e">
        <f>IF(VLOOKUP(T_BilanSocial[[#This Row],[NumL]],T_TraitDi[#Data],COLUMN(T_TraitDi[[#This Row],[M5]]),FALSE)="","",VLOOKUP(T_BilanSocial[[#This Row],[NumL]],T_TraitDi[#Data],COLUMN(T_TraitDi[[#This Row],[M5]]),FALSE))</f>
        <v>#VALUE!</v>
      </c>
      <c r="AB123" s="176" t="e">
        <f>IF(VLOOKUP(T_BilanSocial[[#This Row],[NumL]],T_TraitDi[#Data],COLUMN(T_TraitDi[[#This Row],[M6]]),FALSE)="","",VLOOKUP(T_BilanSocial[[#This Row],[NumL]],T_TraitDi[#Data],COLUMN(T_TraitDi[[#This Row],[M6]]),FALSE))</f>
        <v>#VALUE!</v>
      </c>
      <c r="AC123" s="165" t="e">
        <f t="shared" si="15"/>
        <v>#VALUE!</v>
      </c>
      <c r="AD123" s="188" t="str">
        <f>IFERROR(TEXT(VLOOKUP(T_BilanSocial[[#This Row],[NumL]],T_TraitDi[#Data],COLUMN(T_TraitDi[[#This Row],[Q2]]),FALSE),"###%"),"")</f>
        <v/>
      </c>
      <c r="AE123" s="97" t="e">
        <f>VLOOKUP(T_BilanSocial[[#This Row],[NumL]],T_TraitDi[#Data],COLUMN(T_TraitDi[[#This Row],[Reg Ponct]]),FALSE)</f>
        <v>#VALUE!</v>
      </c>
      <c r="AF123" s="97" t="e">
        <f>VLOOKUP(T_BilanSocial[NumL],T_TraitDi[#Data],COLUMN(T_TraitDi[[#This Row],[Jours flottants]]),FALSE)</f>
        <v>#VALUE!</v>
      </c>
      <c r="AG123" s="97" t="str">
        <f>IFERROR(VLOOKUP(T_BilanSocial[[#This Row],[NumL]],T_TraitDi[#Data],COLUMN(T_TraitDi[[#This Row],[Lundi]]),FALSE),"")</f>
        <v/>
      </c>
      <c r="AH123" s="172" t="e">
        <f>IF(VLOOKUP(T_BilanSocial[[#This Row],[NumL]],T_TraitDi[#Data],COLUMN(T_TraitDi[[#This Row],[Colonne3]]),FALSE)=0,"",TEXT(IFERROR(VLOOKUP(T_BilanSocial[[#This Row],[NumL]],T_TraitDi[#Data],COLUMN(T_TraitDi[[#This Row],[Colonne3]]),FALSE),""),"[hh]:mm"))</f>
        <v>#VALUE!</v>
      </c>
      <c r="AI123" s="172" t="e">
        <f>IF(VLOOKUP(T_BilanSocial[[#This Row],[NumL]],T_TraitDi[#Data],COLUMN(T_TraitDi[[#This Row],[Colonne4]]),FALSE)=0,"",TEXT(IFERROR(VLOOKUP(T_BilanSocial[[#This Row],[NumL]],T_TraitDi[#Data],COLUMN(T_TraitDi[[#This Row],[Colonne4]]),FALSE),""),"[hh]:mm"))</f>
        <v>#VALUE!</v>
      </c>
      <c r="AJ123" s="172" t="e">
        <f>IF(VLOOKUP(T_BilanSocial[[#This Row],[NumL]],T_TraitDi[#Data],COLUMN(T_TraitDi[[#This Row],[Colonne5]]),FALSE)=0,"",TEXT(IFERROR(VLOOKUP(T_BilanSocial[[#This Row],[NumL]],T_TraitDi[#Data],COLUMN(T_TraitDi[[#This Row],[Colonne5]]),FALSE),""),"[hh]:mm"))</f>
        <v>#VALUE!</v>
      </c>
      <c r="AK123" s="172" t="e">
        <f>IF(VLOOKUP(T_BilanSocial[[#This Row],[NumL]],T_TraitDi[#Data],COLUMN(T_TraitDi[[#This Row],[Colonne6]]),FALSE)=0,"",TEXT(IFERROR(VLOOKUP(T_BilanSocial[[#This Row],[NumL]],T_TraitDi[#Data],COLUMN(T_TraitDi[[#This Row],[Colonne6]]),FALSE),""),"[hh]:mm"))</f>
        <v>#VALUE!</v>
      </c>
      <c r="AL123" s="172" t="e">
        <f>IF(VLOOKUP(T_BilanSocial[[#This Row],[NumL]],T_TraitDi[#Data],COLUMN(T_TraitDi[[#This Row],[Colonne7]]),FALSE)=0,"",TEXT(IFERROR(VLOOKUP(T_BilanSocial[[#This Row],[NumL]],T_TraitDi[#Data],COLUMN(T_TraitDi[[#This Row],[Colonne7]]),FALSE),""),"[hh]:mm"))</f>
        <v>#VALUE!</v>
      </c>
      <c r="AM123" s="172" t="e">
        <f>IF(VLOOKUP(T_BilanSocial[[#This Row],[NumL]],T_TraitDi[#Data],COLUMN(T_TraitDi[[#This Row],[Colonne8]]),FALSE)=0,"",TEXT(IFERROR(VLOOKUP(T_BilanSocial[[#This Row],[NumL]],T_TraitDi[#Data],COLUMN(T_TraitDi[[#This Row],[Colonne8]]),FALSE),""),"[hh]:mm"))</f>
        <v>#VALUE!</v>
      </c>
      <c r="AN123" s="172" t="str">
        <f>IFERROR(VLOOKUP(T_BilanSocial[[#This Row],[NumL]],T_TraitDi[#Data],COLUMN(T_TraitDi[[#This Row],[Mardi]]),FALSE),"")</f>
        <v/>
      </c>
      <c r="AO123" s="172" t="e">
        <f>IF(VLOOKUP(T_BilanSocial[[#This Row],[NumL]],T_TraitDi[#Data],COLUMN(T_TraitDi[[#This Row],[Colonne1]]),FALSE)=0,"",TEXT(IFERROR(VLOOKUP(T_BilanSocial[[#This Row],[NumL]],T_TraitDi[#Data],COLUMN(T_TraitDi[[#This Row],[Colonne1]]),FALSE),""),"[hh]:mm"))</f>
        <v>#VALUE!</v>
      </c>
      <c r="AP123" s="172" t="e">
        <f>IF(VLOOKUP(T_BilanSocial[[#This Row],[NumL]],T_TraitDi[#Data],COLUMN(T_TraitDi[[#This Row],[Colonne9]]),FALSE)=0,"",TEXT(IFERROR(VLOOKUP(T_BilanSocial[[#This Row],[NumL]],T_TraitDi[#Data],COLUMN(T_TraitDi[[#This Row],[Colonne9]]),FALSE),""),"[hh]:mm"))</f>
        <v>#VALUE!</v>
      </c>
      <c r="AQ123" s="172" t="str">
        <f>IFERROR(VLOOKUP(T_BilanSocial[[#This Row],[NumL]],T_TraitDi[#Data],COLUMN(T_TraitDi[[#This Row],[Colonne10]]),FALSE),"")</f>
        <v/>
      </c>
      <c r="AR123" s="172" t="e">
        <f>IF(VLOOKUP(T_BilanSocial[[#This Row],[NumL]],T_TraitDi[#Data],COLUMN(T_TraitDi[[#This Row],[Colonne11]]),FALSE)=0,"",TEXT(IFERROR(VLOOKUP(T_BilanSocial[[#This Row],[NumL]],T_TraitDi[#Data],COLUMN(T_TraitDi[[#This Row],[Colonne11]]),FALSE),""),"[hh]:mm"))</f>
        <v>#VALUE!</v>
      </c>
      <c r="AS123" s="172" t="e">
        <f>IF(VLOOKUP(T_BilanSocial[[#This Row],[NumL]],T_TraitDi[#Data],COLUMN(T_TraitDi[[#This Row],[Colonne12]]),FALSE)=0,"",TEXT(IFERROR(VLOOKUP(T_BilanSocial[[#This Row],[NumL]],T_TraitDi[#Data],COLUMN(T_TraitDi[[#This Row],[Colonne12]]),FALSE),""),"[hh]:mm"))</f>
        <v>#VALUE!</v>
      </c>
      <c r="AT123" s="172" t="e">
        <f>IF(VLOOKUP(T_BilanSocial[[#This Row],[NumL]],T_TraitDi[#Data],COLUMN(T_TraitDi[[#This Row],[Colonne14]]),FALSE)=0,"",TEXT(IFERROR(VLOOKUP(T_BilanSocial[[#This Row],[NumL]],T_TraitDi[#Data],COLUMN(T_TraitDi[[#This Row],[Colonne14]]),FALSE),""),"[hh]:mm"))</f>
        <v>#VALUE!</v>
      </c>
      <c r="AU123" s="172" t="str">
        <f>IFERROR(VLOOKUP(T_BilanSocial[[#This Row],[NumL]],T_TraitDi[#Data],COLUMN(T_TraitDi[[#This Row],[Mercredi]]),FALSE),"")</f>
        <v/>
      </c>
      <c r="AV123" s="172" t="e">
        <f>IF(VLOOKUP(T_BilanSocial[[#This Row],[NumL]],T_TraitDi[#Data],COLUMN(T_TraitDi[[#This Row],[Colonne15]]),FALSE)=0,"",TEXT(IFERROR(VLOOKUP(T_BilanSocial[[#This Row],[NumL]],T_TraitDi[#Data],COLUMN(T_TraitDi[[#This Row],[Colonne15]]),FALSE),""),"[hh]:mm"))</f>
        <v>#VALUE!</v>
      </c>
      <c r="AW123" s="172" t="e">
        <f>IF(VLOOKUP(T_BilanSocial[[#This Row],[NumL]],T_TraitDi[#Data],COLUMN(T_TraitDi[[#This Row],[Colonne16]]),FALSE)=0,"",TEXT(IFERROR(VLOOKUP(T_BilanSocial[[#This Row],[NumL]],T_TraitDi[#Data],COLUMN(T_TraitDi[[#This Row],[Colonne16]]),FALSE),""),"[hh]:mm"))</f>
        <v>#VALUE!</v>
      </c>
      <c r="AX123" s="172" t="str">
        <f>IFERROR(VLOOKUP(T_BilanSocial[[#This Row],[NumL]],T_TraitDi[#Data],COLUMN(T_TraitDi[[#This Row],[Colonne17]]),FALSE),"")</f>
        <v/>
      </c>
      <c r="AY123" s="172" t="e">
        <f>IF(VLOOKUP(T_BilanSocial[[#This Row],[NumL]],T_TraitDi[#Data],COLUMN(T_TraitDi[[#This Row],[Colonne18]]),FALSE)=0,"",TEXT(IFERROR(VLOOKUP(T_BilanSocial[[#This Row],[NumL]],T_TraitDi[#Data],COLUMN(T_TraitDi[[#This Row],[Colonne18]]),FALSE),""),"[hh]:mm"))</f>
        <v>#VALUE!</v>
      </c>
      <c r="AZ123" s="172" t="e">
        <f>IF(VLOOKUP(T_BilanSocial[[#This Row],[NumL]],T_TraitDi[#Data],COLUMN(T_TraitDi[[#This Row],[Colonne19]]),FALSE)=0,"",TEXT(IFERROR(VLOOKUP(T_BilanSocial[[#This Row],[NumL]],T_TraitDi[#Data],COLUMN(T_TraitDi[[#This Row],[Colonne19]]),FALSE),""),"[hh]:mm"))</f>
        <v>#VALUE!</v>
      </c>
      <c r="BA123" s="172" t="e">
        <f>IF(VLOOKUP(T_BilanSocial[[#This Row],[NumL]],T_TraitDi[#Data],COLUMN(T_TraitDi[[#This Row],[Colonne20]]),FALSE)=0,"",TEXT(IFERROR(VLOOKUP(T_BilanSocial[[#This Row],[NumL]],T_TraitDi[#Data],COLUMN(T_TraitDi[[#This Row],[Colonne20]]),FALSE),""),"[hh]:mm"))</f>
        <v>#VALUE!</v>
      </c>
      <c r="BB123" s="178" t="str">
        <f>IFERROR(VLOOKUP(T_BilanSocial[[#This Row],[NumL]],T_TraitDi[#Data],COLUMN(T_TraitDi[[#This Row],[Jeudi]]),FALSE),"")</f>
        <v/>
      </c>
      <c r="BC123" s="178" t="e">
        <f>IF(VLOOKUP(T_BilanSocial[[#This Row],[NumL]],T_TraitDi[#Data],COLUMN(T_TraitDi[[#This Row],[Colonne21]]),FALSE)=0,"",TEXT(IFERROR(VLOOKUP(T_BilanSocial[[#This Row],[NumL]],T_TraitDi[#Data],COLUMN(T_TraitDi[[#This Row],[Colonne21]]),FALSE),""),"[hh]:mm"))</f>
        <v>#VALUE!</v>
      </c>
      <c r="BD123" s="178" t="e">
        <f>IF(VLOOKUP(T_BilanSocial[[#This Row],[NumL]],T_TraitDi[#Data],COLUMN(T_TraitDi[[#This Row],[Colonne22]]),FALSE)=0,"",TEXT(IFERROR(VLOOKUP(T_BilanSocial[[#This Row],[NumL]],T_TraitDi[#Data],COLUMN(T_TraitDi[[#This Row],[Colonne22]]),FALSE),""),"[hh]:mm"))</f>
        <v>#VALUE!</v>
      </c>
      <c r="BE123" s="178" t="str">
        <f>IFERROR(VLOOKUP(T_BilanSocial[[#This Row],[NumL]],T_TraitDi[#Data],COLUMN(T_TraitDi[[#This Row],[Colonne23]]),FALSE),"")</f>
        <v/>
      </c>
      <c r="BF123" s="178" t="e">
        <f>IF(VLOOKUP(T_BilanSocial[[#This Row],[NumL]],T_TraitDi[#Data],COLUMN(T_TraitDi[[#This Row],[Colonne24]]),FALSE)=0,"",TEXT(IFERROR(VLOOKUP(T_BilanSocial[[#This Row],[NumL]],T_TraitDi[#Data],COLUMN(T_TraitDi[[#This Row],[Colonne24]]),FALSE),""),"[hh]:mm"))</f>
        <v>#VALUE!</v>
      </c>
      <c r="BG123" s="178" t="e">
        <f>IF(VLOOKUP(T_BilanSocial[[#This Row],[NumL]],T_TraitDi[#Data],COLUMN(T_TraitDi[[#This Row],[Colonne25]]),FALSE)=0,"",TEXT(IFERROR(VLOOKUP(T_BilanSocial[[#This Row],[NumL]],T_TraitDi[#Data],COLUMN(T_TraitDi[[#This Row],[Colonne25]]),FALSE),""),"[hh]:mm"))</f>
        <v>#VALUE!</v>
      </c>
      <c r="BH123" s="178" t="e">
        <f>IF(VLOOKUP(T_BilanSocial[[#This Row],[NumL]],T_TraitDi[#Data],COLUMN(T_TraitDi[[#This Row],[Colonne26]]),FALSE)=0,"",TEXT(IFERROR(VLOOKUP(T_BilanSocial[[#This Row],[NumL]],T_TraitDi[#Data],COLUMN(T_TraitDi[[#This Row],[Colonne26]]),FALSE),""),"[hh]:mm"))</f>
        <v>#VALUE!</v>
      </c>
      <c r="BI123" s="172" t="str">
        <f>IFERROR(VLOOKUP(T_BilanSocial[[#This Row],[NumL]],T_TraitDi[#Data],COLUMN(T_TraitDi[[#This Row],[Vendredi]]),FALSE),"")</f>
        <v/>
      </c>
      <c r="BJ123" s="172" t="e">
        <f>IF(VLOOKUP(T_BilanSocial[[#This Row],[NumL]],T_TraitDi[#Data],COLUMN(T_TraitDi[[#This Row],[Colonne27]]),FALSE)=0,"",TEXT(IFERROR(VLOOKUP(T_BilanSocial[[#This Row],[NumL]],T_TraitDi[#Data],COLUMN(T_TraitDi[[#This Row],[Colonne27]]),FALSE),""),"[hh]:mm"))</f>
        <v>#VALUE!</v>
      </c>
      <c r="BK123" s="172" t="e">
        <f>IF(VLOOKUP(T_BilanSocial[[#This Row],[NumL]],T_TraitDi[#Data],COLUMN(T_TraitDi[[#This Row],[Colonne28]]),FALSE)=0,"",TEXT(IFERROR(VLOOKUP(T_BilanSocial[[#This Row],[NumL]],T_TraitDi[#Data],COLUMN(T_TraitDi[[#This Row],[Colonne28]]),FALSE),""),"[hh]:mm"))</f>
        <v>#VALUE!</v>
      </c>
      <c r="BL123" s="172" t="str">
        <f>IFERROR(VLOOKUP(T_BilanSocial[[#This Row],[NumL]],T_TraitDi[#Data],COLUMN(T_TraitDi[[#This Row],[Colonne29]]),FALSE),"")</f>
        <v/>
      </c>
      <c r="BM123" s="172" t="e">
        <f>IF(VLOOKUP(T_BilanSocial[[#This Row],[NumL]],T_TraitDi[#Data],COLUMN(T_TraitDi[[#This Row],[Colonne30]]),FALSE)=0,"",TEXT(IFERROR(VLOOKUP(T_BilanSocial[[#This Row],[NumL]],T_TraitDi[#Data],COLUMN(T_TraitDi[[#This Row],[Colonne30]]),FALSE),""),"[hh]:mm"))</f>
        <v>#VALUE!</v>
      </c>
      <c r="BN123" s="172" t="e">
        <f>IF(VLOOKUP(T_BilanSocial[[#This Row],[NumL]],T_TraitDi[#Data],COLUMN(T_TraitDi[[#This Row],[Colonne31]]),FALSE)=0,"",TEXT(IFERROR(VLOOKUP(T_BilanSocial[[#This Row],[NumL]],T_TraitDi[#Data],COLUMN(T_TraitDi[[#This Row],[Colonne31]]),FALSE),""),"[hh]:mm"))</f>
        <v>#VALUE!</v>
      </c>
      <c r="BO123" s="172" t="e">
        <f>IF(VLOOKUP(T_BilanSocial[[#This Row],[NumL]],T_TraitDi[#Data],COLUMN(T_TraitDi[[#This Row],[Colonne32]]),FALSE)=0,"",TEXT(IFERROR(VLOOKUP(T_BilanSocial[[#This Row],[NumL]],T_TraitDi[#Data],COLUMN(T_TraitDi[[#This Row],[Colonne32]]),FALSE),""),"[hh]:mm"))</f>
        <v>#VALUE!</v>
      </c>
      <c r="BP123" s="172" t="e">
        <f>VLOOKUP(T_BilanSocial[[#This Row],[NumL]],T_TraitDi[#Data],COLUMN(T_TraitDi[NbJTot]),FALSE)</f>
        <v>#N/A</v>
      </c>
      <c r="BQ123" s="174" t="str">
        <f>IFERROR(VLOOKUP(T_BilanSocial[[#This Row],[NumL]],T_TraitDi[#Data],COLUMN(T_TraitDi[[#This Row],[NbJTW]]),FALSE),"")</f>
        <v/>
      </c>
      <c r="BR123" s="174" t="e">
        <f>IF(VLOOKUP(T_BilanSocial[[#This Row],[NumL]],T_TraitDi[#Data],COLUMN(T_TraitDi[[#This Row],[NbhTW]]),FALSE)=0,"",TEXT(IFERROR(VLOOKUP(T_BilanSocial[[#This Row],[NumL]],T_TraitDi[#Data],COLUMN(T_TraitDi[[#This Row],[NbhTW]]),FALSE),""),"[hh]:mm"))</f>
        <v>#VALUE!</v>
      </c>
      <c r="BS123" s="174" t="e">
        <f>IF(VLOOKUP(T_BilanSocial[[#This Row],[NumL]],T_TraitDi[#Data],COLUMN(T_TraitDi[[#This Row],[Nbhheb]]),FALSE)=0,"",TEXT(IFERROR(VLOOKUP($A123,T_TraitDi[#Data],COLUMN(T_TraitDi[[#This Row],[Nbhheb]]),FALSE),""),"[hh]:mm"))</f>
        <v>#VALUE!</v>
      </c>
      <c r="BT123" s="182" t="str">
        <f>IFERROR(VLOOKUP(VLOOKUP($A123,T_TraitDi[#Data],COLUMN(T_TraitDi[[#This Row],[Type1]]),FALSE),TypeTW,2,FALSE),"")</f>
        <v/>
      </c>
      <c r="BU123" s="182" t="str">
        <f>IFERROR(VLOOKUP($A123,T_TraitDi[#Data],COLUMN(T_TraitDi[[#This Row],[Rue1]]),FALSE),"")</f>
        <v/>
      </c>
      <c r="BV123" s="173" t="str">
        <f>IFERROR(VLOOKUP($A123,T_TraitDi[#Data],COLUMN(T_TraitDi[[#This Row],[CP1]]),FALSE),"")</f>
        <v/>
      </c>
      <c r="BW123" s="173" t="str">
        <f>IFERROR(VLOOKUP($A123,T_TraitDi[#Data],COLUMN(T_TraitDi[[#This Row],[VILLE1]]),FALSE),"")</f>
        <v/>
      </c>
      <c r="BX123" s="182" t="str">
        <f>IFERROR(VLOOKUP(VLOOKUP($A123,T_TraitDi[#Data],COLUMN(T_TraitDi[[#This Row],[Type2]]),FALSE),TypeTW,2,FALSE),"")</f>
        <v/>
      </c>
      <c r="BY123" s="182" t="str">
        <f>IFERROR(VLOOKUP($A123,T_TraitDi[#Data],COLUMN(T_TraitDi[[#This Row],[Rue2]]),FALSE),"")</f>
        <v/>
      </c>
      <c r="BZ123" s="173" t="str">
        <f>IFERROR(VLOOKUP($A123,T_TraitDi[#Data],COLUMN(T_TraitDi[[#This Row],[CP2]]),FALSE),"")</f>
        <v/>
      </c>
      <c r="CA123" s="173" t="str">
        <f>IFERROR(VLOOKUP($A123,T_TraitDi[#Data],COLUMN(T_TraitDi[[#This Row],[VILLE2]]),FALSE),"")</f>
        <v/>
      </c>
      <c r="CB123" s="182" t="str">
        <f>IF(VLOOKUP(T_BilanSocial[[#This Row],[NumL]],T_Equipement[#Data],COLUMN(T_Equipement[[#This Row],[PC]]),FALSE)="","Aucun équipement spécifique directement lié au télétravail",VLOOKUP(T_BilanSocial[[#This Row],[NumL]],T_Equipement[#Data],COLUMN(T_Equipement[[#This Row],[PC]]),FALSE))</f>
        <v>17-017</v>
      </c>
      <c r="CC123" s="166" t="str">
        <f>IFERROR(IF(VLOOKUP(T_BilanSocial[[#This Row],[NumL]],T_TraitDi[#Data],COLUMN(T_TraitDi[[#This Row],[Plan]]),FALSE)="OK","Un planning spécifique de télétravail est annexé à la présente convention.",""),"")</f>
        <v/>
      </c>
      <c r="CD123" s="258" t="s">
        <v>3450</v>
      </c>
      <c r="CE123" s="164" t="e">
        <f>IF(VLOOKUP(T_BilanSocial[[#This Row],[NumL]],T_suiviDi[#Data],COLUMN(T_suiviDi[[#This Row],[Entité]]),FALSE)="","",VLOOKUP(T_BilanSocial[[#This Row],[NumL]],T_suiviDi[#Data],COLUMN(T_suiviDi[[#This Row],[Entité]]),FALSE))</f>
        <v>#VALUE!</v>
      </c>
      <c r="CF123" s="164" t="str">
        <f>IF(VLOOKUP(T_BilanSocial[[#This Row],[NumL]],T_Commission[#Data],COLUMN(T_Commission[[#This Row],[envoi confirm TW]]),FALSE)="","",VLOOKUP(T_BilanSocial[[#This Row],[NumL]],T_Commission[#Data],COLUMN(T_Commission[[#This Row],[envoi confirm TW]]),FALSE))</f>
        <v>Oui</v>
      </c>
      <c r="CG12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3" s="262" t="str">
        <f>T_BilanSocial[[#This Row],[Nom]]&amp;T_BilanSocial[[#This Row],[Prenom]]</f>
        <v/>
      </c>
      <c r="CI123" s="262">
        <f>VLOOKUP(T_BilanSocial[[#This Row],[NumL]],T_Commission[#Data],COLUMN(T_Commission[Commentaire]),FALSE)</f>
        <v>0</v>
      </c>
      <c r="CJ123" s="262" t="str">
        <f>IF(VLOOKUP(T_BilanSocial[[#This Row],[NumL]],T_Commission[#Data],COLUMN(T_Commission[Encadrant Email]),FALSE)="","",VLOOKUP(T_BilanSocial[[#This Row],[NumL]],T_Commission[#Data],COLUMN(T_Commission[Encadrant Email]),FALSE))</f>
        <v/>
      </c>
      <c r="CK123" s="340" t="str">
        <f>IF(T_BilanSocial[[#This Row],[Final]]&lt;&gt;"",VLOOKUP(T_BilanSocial[[#This Row],[NumL]],T_suiviDi[#Data],COLUMN((T_suiviDi[Statut])),FALSE),"")</f>
        <v/>
      </c>
    </row>
    <row r="124" spans="1:89" s="106" customFormat="1" ht="24.75" customHeight="1" x14ac:dyDescent="0.25">
      <c r="A124" s="160">
        <v>121</v>
      </c>
      <c r="B124" s="161" t="str">
        <f t="shared" si="10"/>
        <v/>
      </c>
      <c r="C124" s="162" t="s">
        <v>173</v>
      </c>
      <c r="D124" s="95" t="e">
        <f>IF(VLOOKUP(T_BilanSocial[[#This Row],[NumL]],T_TraitDi[#Data],COLUMN(T_TraitDi[[#This Row],[WebC]]),FALSE)="","",VLOOKUP(T_BilanSocial[[#This Row],[NumL]],T_TraitDi[#Data],COLUMN(T_TraitDi[[#This Row],[WebC]]),FALSE))</f>
        <v>#VALUE!</v>
      </c>
      <c r="E124" s="163" t="str">
        <f t="shared" si="11"/>
        <v>12 janvier 2021</v>
      </c>
      <c r="F124" s="96" t="str">
        <f>IF(T_BilanSocial[[#This Row],[Final]]&lt;&gt;"",VLOOKUP(T_BilanSocial[[#This Row],[NumL]],T_suiviDi[#Data],COLUMN((T_suiviDi[Civ.])),FALSE),"")</f>
        <v/>
      </c>
      <c r="G124" s="96" t="str">
        <f>IF(T_BilanSocial[[#This Row],[Final]]&lt;&gt;"",VLOOKUP(T_BilanSocial[[#This Row],[NumL]],T_suiviDi[#Data],COLUMN((T_suiviDi[Nom])),FALSE),"")</f>
        <v/>
      </c>
      <c r="H124" s="96" t="str">
        <f>IF(T_BilanSocial[[#This Row],[Final]]&lt;&gt;"",VLOOKUP(T_BilanSocial[[#This Row],[NumL]],T_suiviDi[#Data],COLUMN((T_suiviDi[Prénom])),FALSE),"")</f>
        <v/>
      </c>
      <c r="I124" s="96" t="str">
        <f>IFERROR(VLOOKUP(T_BilanSocial[[#This Row],[Zone_Bilan]],T_P_BilanSocial[#Data],COLUMN(T_P_BilanSocial[[#This Row],[Numero_SIHAM]]),FALSE),"")</f>
        <v/>
      </c>
      <c r="J124" s="96" t="str">
        <f>IFERROR(VLOOKUP(T_BilanSocial[[#This Row],[Zone_Bilan]],T_P_BilanSocial[#Data],COLUMN(T_P_BilanSocial[[#This Row],[Sexe]]),FALSE),"")</f>
        <v/>
      </c>
      <c r="K124" s="97" t="str">
        <f>IFERROR(VLOOKUP(T_BilanSocial[[#This Row],[Zone_Bilan]],T_P_BilanSocial[#Data],COLUMN(T_P_BilanSocial[[#This Row],[Categorie]]),FALSE),"")</f>
        <v/>
      </c>
      <c r="L124" s="96" t="str">
        <f>IFERROR(VLOOKUP(T_BilanSocial[[#This Row],[Zone_Bilan]],T_P_BilanSocial[#Data],COLUMN(T_P_BilanSocial[[#This Row],[Statut]]),FALSE),"")</f>
        <v/>
      </c>
      <c r="M124" s="96" t="str">
        <f>IFERROR(VLOOKUP(T_BilanSocial[[#This Row],[Zone_Bilan]],T_P_BilanSocial[#Data],COLUMN(T_P_BilanSocial[[#This Row],[Filiere]]),FALSE),"")</f>
        <v/>
      </c>
      <c r="N124" s="96" t="e">
        <f>VLOOKUP(T_BilanSocial[[#This Row],[NumL]],T_TraitDi[#Data],COLUMN(T_TraitDi[EXP]),FALSE)</f>
        <v>#N/A</v>
      </c>
      <c r="O124" s="96" t="e">
        <f>VLOOKUP(T_BilanSocial[[#This Row],[NumL]],T_TraitDi[#Data],COLUMN(T_TraitDi[FORM]),FALSE)</f>
        <v>#N/A</v>
      </c>
      <c r="P124" s="96" t="str">
        <f>IF(T_BilanSocial[[#This Row],[Final]]&lt;&gt;"",VLOOKUP(T_BilanSocial[[#This Row],[NumL]],T_suiviDi[#Data],COLUMN((T_suiviDi[Email])),FALSE),"")</f>
        <v/>
      </c>
      <c r="Q124" s="164" t="e">
        <f t="shared" si="17"/>
        <v>#N/A</v>
      </c>
      <c r="R124" s="164" t="e">
        <f t="shared" si="18"/>
        <v>#N/A</v>
      </c>
      <c r="S124" s="164" t="e">
        <f>IF(VLOOKUP(T_BilanSocial[[#This Row],[NumL]],T_suiviDi[#Data],COLUMN(T_suiviDi[[#This Row],[Service ]]),FALSE)="","",VLOOKUP(T_BilanSocial[[#This Row],[NumL]],T_suiviDi[#Data],COLUMN(T_suiviDi[[#This Row],[Service ]]),FALSE))</f>
        <v>#VALUE!</v>
      </c>
      <c r="T124" s="164" t="str">
        <f t="shared" si="12"/>
        <v>01 septembre 2021</v>
      </c>
      <c r="U124" s="164" t="str">
        <f t="shared" si="13"/>
        <v>30 novembre 2021</v>
      </c>
      <c r="V124" s="164" t="str">
        <f t="shared" si="21"/>
        <v>30 novembre 2021</v>
      </c>
      <c r="W124" s="176" t="e">
        <f>IF(VLOOKUP(T_BilanSocial[[#This Row],[NumL]],T_TraitDi[#Data],COLUMN(T_TraitDi[[#This Row],[M1]]),FALSE)="","",VLOOKUP(T_BilanSocial[[#This Row],[NumL]],T_TraitDi[#Data],COLUMN(T_TraitDi[[#This Row],[M1]]),FALSE))</f>
        <v>#VALUE!</v>
      </c>
      <c r="X124" s="176" t="e">
        <f>IF(VLOOKUP(T_BilanSocial[[#This Row],[NumL]],T_TraitDi[#Data],COLUMN(T_TraitDi[[#This Row],[M2]]),FALSE)="","",VLOOKUP(T_BilanSocial[[#This Row],[NumL]],T_TraitDi[#Data],COLUMN(T_TraitDi[[#This Row],[M2]]),FALSE))</f>
        <v>#VALUE!</v>
      </c>
      <c r="Y124" s="176" t="e">
        <f>IF(VLOOKUP(T_BilanSocial[[#This Row],[NumL]],T_TraitDi[#Data],COLUMN(T_TraitDi[[#This Row],[M3]]),FALSE)="","",VLOOKUP(T_BilanSocial[[#This Row],[NumL]],T_TraitDi[#Data],COLUMN(T_TraitDi[[#This Row],[M3]]),FALSE))</f>
        <v>#VALUE!</v>
      </c>
      <c r="Z124" s="176" t="str">
        <f t="shared" si="16"/>
        <v/>
      </c>
      <c r="AA124" s="176" t="e">
        <f>IF(VLOOKUP(T_BilanSocial[[#This Row],[NumL]],T_TraitDi[#Data],COLUMN(T_TraitDi[[#This Row],[M5]]),FALSE)="","",VLOOKUP(T_BilanSocial[[#This Row],[NumL]],T_TraitDi[#Data],COLUMN(T_TraitDi[[#This Row],[M5]]),FALSE))</f>
        <v>#VALUE!</v>
      </c>
      <c r="AB124" s="176" t="e">
        <f>IF(VLOOKUP(T_BilanSocial[[#This Row],[NumL]],T_TraitDi[#Data],COLUMN(T_TraitDi[[#This Row],[M6]]),FALSE)="","",VLOOKUP(T_BilanSocial[[#This Row],[NumL]],T_TraitDi[#Data],COLUMN(T_TraitDi[[#This Row],[M6]]),FALSE))</f>
        <v>#VALUE!</v>
      </c>
      <c r="AC124" s="165" t="e">
        <f t="shared" si="15"/>
        <v>#VALUE!</v>
      </c>
      <c r="AD124" s="188" t="str">
        <f>IFERROR(TEXT(VLOOKUP(T_BilanSocial[[#This Row],[NumL]],T_TraitDi[#Data],COLUMN(T_TraitDi[[#This Row],[Q2]]),FALSE),"###%"),"")</f>
        <v/>
      </c>
      <c r="AE124" s="97" t="e">
        <f>VLOOKUP(T_BilanSocial[[#This Row],[NumL]],T_TraitDi[#Data],COLUMN(T_TraitDi[[#This Row],[Reg Ponct]]),FALSE)</f>
        <v>#VALUE!</v>
      </c>
      <c r="AF124" s="97" t="e">
        <f>VLOOKUP(T_BilanSocial[NumL],T_TraitDi[#Data],COLUMN(T_TraitDi[[#This Row],[Jours flottants]]),FALSE)</f>
        <v>#VALUE!</v>
      </c>
      <c r="AG124" s="97" t="str">
        <f>IFERROR(VLOOKUP(T_BilanSocial[[#This Row],[NumL]],T_TraitDi[#Data],COLUMN(T_TraitDi[[#This Row],[Lundi]]),FALSE),"")</f>
        <v/>
      </c>
      <c r="AH124" s="172" t="e">
        <f>IF(VLOOKUP(T_BilanSocial[[#This Row],[NumL]],T_TraitDi[#Data],COLUMN(T_TraitDi[[#This Row],[Colonne3]]),FALSE)=0,"",TEXT(IFERROR(VLOOKUP(T_BilanSocial[[#This Row],[NumL]],T_TraitDi[#Data],COLUMN(T_TraitDi[[#This Row],[Colonne3]]),FALSE),""),"[hh]:mm"))</f>
        <v>#VALUE!</v>
      </c>
      <c r="AI124" s="172" t="e">
        <f>IF(VLOOKUP(T_BilanSocial[[#This Row],[NumL]],T_TraitDi[#Data],COLUMN(T_TraitDi[[#This Row],[Colonne4]]),FALSE)=0,"",TEXT(IFERROR(VLOOKUP(T_BilanSocial[[#This Row],[NumL]],T_TraitDi[#Data],COLUMN(T_TraitDi[[#This Row],[Colonne4]]),FALSE),""),"[hh]:mm"))</f>
        <v>#VALUE!</v>
      </c>
      <c r="AJ124" s="172" t="e">
        <f>IF(VLOOKUP(T_BilanSocial[[#This Row],[NumL]],T_TraitDi[#Data],COLUMN(T_TraitDi[[#This Row],[Colonne5]]),FALSE)=0,"",TEXT(IFERROR(VLOOKUP(T_BilanSocial[[#This Row],[NumL]],T_TraitDi[#Data],COLUMN(T_TraitDi[[#This Row],[Colonne5]]),FALSE),""),"[hh]:mm"))</f>
        <v>#VALUE!</v>
      </c>
      <c r="AK124" s="172" t="e">
        <f>IF(VLOOKUP(T_BilanSocial[[#This Row],[NumL]],T_TraitDi[#Data],COLUMN(T_TraitDi[[#This Row],[Colonne6]]),FALSE)=0,"",TEXT(IFERROR(VLOOKUP(T_BilanSocial[[#This Row],[NumL]],T_TraitDi[#Data],COLUMN(T_TraitDi[[#This Row],[Colonne6]]),FALSE),""),"[hh]:mm"))</f>
        <v>#VALUE!</v>
      </c>
      <c r="AL124" s="172" t="e">
        <f>IF(VLOOKUP(T_BilanSocial[[#This Row],[NumL]],T_TraitDi[#Data],COLUMN(T_TraitDi[[#This Row],[Colonne7]]),FALSE)=0,"",TEXT(IFERROR(VLOOKUP(T_BilanSocial[[#This Row],[NumL]],T_TraitDi[#Data],COLUMN(T_TraitDi[[#This Row],[Colonne7]]),FALSE),""),"[hh]:mm"))</f>
        <v>#VALUE!</v>
      </c>
      <c r="AM124" s="172" t="e">
        <f>IF(VLOOKUP(T_BilanSocial[[#This Row],[NumL]],T_TraitDi[#Data],COLUMN(T_TraitDi[[#This Row],[Colonne8]]),FALSE)=0,"",TEXT(IFERROR(VLOOKUP(T_BilanSocial[[#This Row],[NumL]],T_TraitDi[#Data],COLUMN(T_TraitDi[[#This Row],[Colonne8]]),FALSE),""),"[hh]:mm"))</f>
        <v>#VALUE!</v>
      </c>
      <c r="AN124" s="172" t="str">
        <f>IFERROR(VLOOKUP(T_BilanSocial[[#This Row],[NumL]],T_TraitDi[#Data],COLUMN(T_TraitDi[[#This Row],[Mardi]]),FALSE),"")</f>
        <v/>
      </c>
      <c r="AO124" s="172" t="e">
        <f>IF(VLOOKUP(T_BilanSocial[[#This Row],[NumL]],T_TraitDi[#Data],COLUMN(T_TraitDi[[#This Row],[Colonne1]]),FALSE)=0,"",TEXT(IFERROR(VLOOKUP(T_BilanSocial[[#This Row],[NumL]],T_TraitDi[#Data],COLUMN(T_TraitDi[[#This Row],[Colonne1]]),FALSE),""),"[hh]:mm"))</f>
        <v>#VALUE!</v>
      </c>
      <c r="AP124" s="172" t="e">
        <f>IF(VLOOKUP(T_BilanSocial[[#This Row],[NumL]],T_TraitDi[#Data],COLUMN(T_TraitDi[[#This Row],[Colonne9]]),FALSE)=0,"",TEXT(IFERROR(VLOOKUP(T_BilanSocial[[#This Row],[NumL]],T_TraitDi[#Data],COLUMN(T_TraitDi[[#This Row],[Colonne9]]),FALSE),""),"[hh]:mm"))</f>
        <v>#VALUE!</v>
      </c>
      <c r="AQ124" s="172" t="str">
        <f>IFERROR(VLOOKUP(T_BilanSocial[[#This Row],[NumL]],T_TraitDi[#Data],COLUMN(T_TraitDi[[#This Row],[Colonne10]]),FALSE),"")</f>
        <v/>
      </c>
      <c r="AR124" s="172" t="e">
        <f>IF(VLOOKUP(T_BilanSocial[[#This Row],[NumL]],T_TraitDi[#Data],COLUMN(T_TraitDi[[#This Row],[Colonne11]]),FALSE)=0,"",TEXT(IFERROR(VLOOKUP(T_BilanSocial[[#This Row],[NumL]],T_TraitDi[#Data],COLUMN(T_TraitDi[[#This Row],[Colonne11]]),FALSE),""),"[hh]:mm"))</f>
        <v>#VALUE!</v>
      </c>
      <c r="AS124" s="172" t="e">
        <f>IF(VLOOKUP(T_BilanSocial[[#This Row],[NumL]],T_TraitDi[#Data],COLUMN(T_TraitDi[[#This Row],[Colonne12]]),FALSE)=0,"",TEXT(IFERROR(VLOOKUP(T_BilanSocial[[#This Row],[NumL]],T_TraitDi[#Data],COLUMN(T_TraitDi[[#This Row],[Colonne12]]),FALSE),""),"[hh]:mm"))</f>
        <v>#VALUE!</v>
      </c>
      <c r="AT124" s="172" t="e">
        <f>IF(VLOOKUP(T_BilanSocial[[#This Row],[NumL]],T_TraitDi[#Data],COLUMN(T_TraitDi[[#This Row],[Colonne14]]),FALSE)=0,"",TEXT(IFERROR(VLOOKUP(T_BilanSocial[[#This Row],[NumL]],T_TraitDi[#Data],COLUMN(T_TraitDi[[#This Row],[Colonne14]]),FALSE),""),"[hh]:mm"))</f>
        <v>#VALUE!</v>
      </c>
      <c r="AU124" s="172" t="str">
        <f>IFERROR(VLOOKUP(T_BilanSocial[[#This Row],[NumL]],T_TraitDi[#Data],COLUMN(T_TraitDi[[#This Row],[Mercredi]]),FALSE),"")</f>
        <v/>
      </c>
      <c r="AV124" s="172" t="e">
        <f>IF(VLOOKUP(T_BilanSocial[[#This Row],[NumL]],T_TraitDi[#Data],COLUMN(T_TraitDi[[#This Row],[Colonne15]]),FALSE)=0,"",TEXT(IFERROR(VLOOKUP(T_BilanSocial[[#This Row],[NumL]],T_TraitDi[#Data],COLUMN(T_TraitDi[[#This Row],[Colonne15]]),FALSE),""),"[hh]:mm"))</f>
        <v>#VALUE!</v>
      </c>
      <c r="AW124" s="172" t="e">
        <f>IF(VLOOKUP(T_BilanSocial[[#This Row],[NumL]],T_TraitDi[#Data],COLUMN(T_TraitDi[[#This Row],[Colonne16]]),FALSE)=0,"",TEXT(IFERROR(VLOOKUP(T_BilanSocial[[#This Row],[NumL]],T_TraitDi[#Data],COLUMN(T_TraitDi[[#This Row],[Colonne16]]),FALSE),""),"[hh]:mm"))</f>
        <v>#VALUE!</v>
      </c>
      <c r="AX124" s="172" t="str">
        <f>IFERROR(VLOOKUP(T_BilanSocial[[#This Row],[NumL]],T_TraitDi[#Data],COLUMN(T_TraitDi[[#This Row],[Colonne17]]),FALSE),"")</f>
        <v/>
      </c>
      <c r="AY124" s="172" t="e">
        <f>IF(VLOOKUP(T_BilanSocial[[#This Row],[NumL]],T_TraitDi[#Data],COLUMN(T_TraitDi[[#This Row],[Colonne18]]),FALSE)=0,"",TEXT(IFERROR(VLOOKUP(T_BilanSocial[[#This Row],[NumL]],T_TraitDi[#Data],COLUMN(T_TraitDi[[#This Row],[Colonne18]]),FALSE),""),"[hh]:mm"))</f>
        <v>#VALUE!</v>
      </c>
      <c r="AZ124" s="172" t="e">
        <f>IF(VLOOKUP(T_BilanSocial[[#This Row],[NumL]],T_TraitDi[#Data],COLUMN(T_TraitDi[[#This Row],[Colonne19]]),FALSE)=0,"",TEXT(IFERROR(VLOOKUP(T_BilanSocial[[#This Row],[NumL]],T_TraitDi[#Data],COLUMN(T_TraitDi[[#This Row],[Colonne19]]),FALSE),""),"[hh]:mm"))</f>
        <v>#VALUE!</v>
      </c>
      <c r="BA124" s="172" t="e">
        <f>IF(VLOOKUP(T_BilanSocial[[#This Row],[NumL]],T_TraitDi[#Data],COLUMN(T_TraitDi[[#This Row],[Colonne20]]),FALSE)=0,"",TEXT(IFERROR(VLOOKUP(T_BilanSocial[[#This Row],[NumL]],T_TraitDi[#Data],COLUMN(T_TraitDi[[#This Row],[Colonne20]]),FALSE),""),"[hh]:mm"))</f>
        <v>#VALUE!</v>
      </c>
      <c r="BB124" s="178" t="str">
        <f>IFERROR(VLOOKUP(T_BilanSocial[[#This Row],[NumL]],T_TraitDi[#Data],COLUMN(T_TraitDi[[#This Row],[Jeudi]]),FALSE),"")</f>
        <v/>
      </c>
      <c r="BC124" s="178" t="e">
        <f>IF(VLOOKUP(T_BilanSocial[[#This Row],[NumL]],T_TraitDi[#Data],COLUMN(T_TraitDi[[#This Row],[Colonne21]]),FALSE)=0,"",TEXT(IFERROR(VLOOKUP(T_BilanSocial[[#This Row],[NumL]],T_TraitDi[#Data],COLUMN(T_TraitDi[[#This Row],[Colonne21]]),FALSE),""),"[hh]:mm"))</f>
        <v>#VALUE!</v>
      </c>
      <c r="BD124" s="178" t="e">
        <f>IF(VLOOKUP(T_BilanSocial[[#This Row],[NumL]],T_TraitDi[#Data],COLUMN(T_TraitDi[[#This Row],[Colonne22]]),FALSE)=0,"",TEXT(IFERROR(VLOOKUP(T_BilanSocial[[#This Row],[NumL]],T_TraitDi[#Data],COLUMN(T_TraitDi[[#This Row],[Colonne22]]),FALSE),""),"[hh]:mm"))</f>
        <v>#VALUE!</v>
      </c>
      <c r="BE124" s="178" t="str">
        <f>IFERROR(VLOOKUP(T_BilanSocial[[#This Row],[NumL]],T_TraitDi[#Data],COLUMN(T_TraitDi[[#This Row],[Colonne23]]),FALSE),"")</f>
        <v/>
      </c>
      <c r="BF124" s="178" t="e">
        <f>IF(VLOOKUP(T_BilanSocial[[#This Row],[NumL]],T_TraitDi[#Data],COLUMN(T_TraitDi[[#This Row],[Colonne24]]),FALSE)=0,"",TEXT(IFERROR(VLOOKUP(T_BilanSocial[[#This Row],[NumL]],T_TraitDi[#Data],COLUMN(T_TraitDi[[#This Row],[Colonne24]]),FALSE),""),"[hh]:mm"))</f>
        <v>#VALUE!</v>
      </c>
      <c r="BG124" s="178" t="e">
        <f>IF(VLOOKUP(T_BilanSocial[[#This Row],[NumL]],T_TraitDi[#Data],COLUMN(T_TraitDi[[#This Row],[Colonne25]]),FALSE)=0,"",TEXT(IFERROR(VLOOKUP(T_BilanSocial[[#This Row],[NumL]],T_TraitDi[#Data],COLUMN(T_TraitDi[[#This Row],[Colonne25]]),FALSE),""),"[hh]:mm"))</f>
        <v>#VALUE!</v>
      </c>
      <c r="BH124" s="178" t="e">
        <f>IF(VLOOKUP(T_BilanSocial[[#This Row],[NumL]],T_TraitDi[#Data],COLUMN(T_TraitDi[[#This Row],[Colonne26]]),FALSE)=0,"",TEXT(IFERROR(VLOOKUP(T_BilanSocial[[#This Row],[NumL]],T_TraitDi[#Data],COLUMN(T_TraitDi[[#This Row],[Colonne26]]),FALSE),""),"[hh]:mm"))</f>
        <v>#VALUE!</v>
      </c>
      <c r="BI124" s="172" t="str">
        <f>IFERROR(VLOOKUP(T_BilanSocial[[#This Row],[NumL]],T_TraitDi[#Data],COLUMN(T_TraitDi[[#This Row],[Vendredi]]),FALSE),"")</f>
        <v/>
      </c>
      <c r="BJ124" s="172" t="e">
        <f>IF(VLOOKUP(T_BilanSocial[[#This Row],[NumL]],T_TraitDi[#Data],COLUMN(T_TraitDi[[#This Row],[Colonne27]]),FALSE)=0,"",TEXT(IFERROR(VLOOKUP(T_BilanSocial[[#This Row],[NumL]],T_TraitDi[#Data],COLUMN(T_TraitDi[[#This Row],[Colonne27]]),FALSE),""),"[hh]:mm"))</f>
        <v>#VALUE!</v>
      </c>
      <c r="BK124" s="172" t="e">
        <f>IF(VLOOKUP(T_BilanSocial[[#This Row],[NumL]],T_TraitDi[#Data],COLUMN(T_TraitDi[[#This Row],[Colonne28]]),FALSE)=0,"",TEXT(IFERROR(VLOOKUP(T_BilanSocial[[#This Row],[NumL]],T_TraitDi[#Data],COLUMN(T_TraitDi[[#This Row],[Colonne28]]),FALSE),""),"[hh]:mm"))</f>
        <v>#VALUE!</v>
      </c>
      <c r="BL124" s="172" t="str">
        <f>IFERROR(VLOOKUP(T_BilanSocial[[#This Row],[NumL]],T_TraitDi[#Data],COLUMN(T_TraitDi[[#This Row],[Colonne29]]),FALSE),"")</f>
        <v/>
      </c>
      <c r="BM124" s="172" t="e">
        <f>IF(VLOOKUP(T_BilanSocial[[#This Row],[NumL]],T_TraitDi[#Data],COLUMN(T_TraitDi[[#This Row],[Colonne30]]),FALSE)=0,"",TEXT(IFERROR(VLOOKUP(T_BilanSocial[[#This Row],[NumL]],T_TraitDi[#Data],COLUMN(T_TraitDi[[#This Row],[Colonne30]]),FALSE),""),"[hh]:mm"))</f>
        <v>#VALUE!</v>
      </c>
      <c r="BN124" s="172" t="e">
        <f>IF(VLOOKUP(T_BilanSocial[[#This Row],[NumL]],T_TraitDi[#Data],COLUMN(T_TraitDi[[#This Row],[Colonne31]]),FALSE)=0,"",TEXT(IFERROR(VLOOKUP(T_BilanSocial[[#This Row],[NumL]],T_TraitDi[#Data],COLUMN(T_TraitDi[[#This Row],[Colonne31]]),FALSE),""),"[hh]:mm"))</f>
        <v>#VALUE!</v>
      </c>
      <c r="BO124" s="172" t="e">
        <f>IF(VLOOKUP(T_BilanSocial[[#This Row],[NumL]],T_TraitDi[#Data],COLUMN(T_TraitDi[[#This Row],[Colonne32]]),FALSE)=0,"",TEXT(IFERROR(VLOOKUP(T_BilanSocial[[#This Row],[NumL]],T_TraitDi[#Data],COLUMN(T_TraitDi[[#This Row],[Colonne32]]),FALSE),""),"[hh]:mm"))</f>
        <v>#VALUE!</v>
      </c>
      <c r="BP124" s="172" t="e">
        <f>VLOOKUP(T_BilanSocial[[#This Row],[NumL]],T_TraitDi[#Data],COLUMN(T_TraitDi[NbJTot]),FALSE)</f>
        <v>#N/A</v>
      </c>
      <c r="BQ124" s="174" t="str">
        <f>IFERROR(VLOOKUP(T_BilanSocial[[#This Row],[NumL]],T_TraitDi[#Data],COLUMN(T_TraitDi[[#This Row],[NbJTW]]),FALSE),"")</f>
        <v/>
      </c>
      <c r="BR124" s="174" t="e">
        <f>IF(VLOOKUP(T_BilanSocial[[#This Row],[NumL]],T_TraitDi[#Data],COLUMN(T_TraitDi[[#This Row],[NbhTW]]),FALSE)=0,"",TEXT(IFERROR(VLOOKUP(T_BilanSocial[[#This Row],[NumL]],T_TraitDi[#Data],COLUMN(T_TraitDi[[#This Row],[NbhTW]]),FALSE),""),"[hh]:mm"))</f>
        <v>#VALUE!</v>
      </c>
      <c r="BS124" s="174" t="e">
        <f>IF(VLOOKUP(T_BilanSocial[[#This Row],[NumL]],T_TraitDi[#Data],COLUMN(T_TraitDi[[#This Row],[Nbhheb]]),FALSE)=0,"",TEXT(IFERROR(VLOOKUP($A124,T_TraitDi[#Data],COLUMN(T_TraitDi[[#This Row],[Nbhheb]]),FALSE),""),"[hh]:mm"))</f>
        <v>#VALUE!</v>
      </c>
      <c r="BT124" s="182" t="str">
        <f>IFERROR(VLOOKUP(VLOOKUP($A124,T_TraitDi[#Data],COLUMN(T_TraitDi[[#This Row],[Type1]]),FALSE),TypeTW,2,FALSE),"")</f>
        <v/>
      </c>
      <c r="BU124" s="182" t="str">
        <f>IFERROR(VLOOKUP($A124,T_TraitDi[#Data],COLUMN(T_TraitDi[[#This Row],[Rue1]]),FALSE),"")</f>
        <v/>
      </c>
      <c r="BV124" s="173" t="str">
        <f>IFERROR(VLOOKUP($A124,T_TraitDi[#Data],COLUMN(T_TraitDi[[#This Row],[CP1]]),FALSE),"")</f>
        <v/>
      </c>
      <c r="BW124" s="173" t="str">
        <f>IFERROR(VLOOKUP($A124,T_TraitDi[#Data],COLUMN(T_TraitDi[[#This Row],[VILLE1]]),FALSE),"")</f>
        <v/>
      </c>
      <c r="BX124" s="182" t="str">
        <f>IFERROR(VLOOKUP(VLOOKUP($A124,T_TraitDi[#Data],COLUMN(T_TraitDi[[#This Row],[Type2]]),FALSE),TypeTW,2,FALSE),"")</f>
        <v/>
      </c>
      <c r="BY124" s="182" t="str">
        <f>IFERROR(VLOOKUP($A124,T_TraitDi[#Data],COLUMN(T_TraitDi[[#This Row],[Rue2]]),FALSE),"")</f>
        <v/>
      </c>
      <c r="BZ124" s="173" t="str">
        <f>IFERROR(VLOOKUP($A124,T_TraitDi[#Data],COLUMN(T_TraitDi[[#This Row],[CP2]]),FALSE),"")</f>
        <v/>
      </c>
      <c r="CA124" s="173" t="str">
        <f>IFERROR(VLOOKUP($A124,T_TraitDi[#Data],COLUMN(T_TraitDi[[#This Row],[VILLE2]]),FALSE),"")</f>
        <v/>
      </c>
      <c r="CB124" s="182" t="str">
        <f>IF(VLOOKUP(T_BilanSocial[[#This Row],[NumL]],T_Equipement[#Data],COLUMN(T_Equipement[[#This Row],[PC]]),FALSE)="","Aucun équipement spécifique directement lié au télétravail",VLOOKUP(T_BilanSocial[[#This Row],[NumL]],T_Equipement[#Data],COLUMN(T_Equipement[[#This Row],[PC]]),FALSE))</f>
        <v xml:space="preserve">18-123	</v>
      </c>
      <c r="CC124" s="166" t="str">
        <f>IFERROR(IF(VLOOKUP(T_BilanSocial[[#This Row],[NumL]],T_TraitDi[#Data],COLUMN(T_TraitDi[[#This Row],[Plan]]),FALSE)="OK","Un planning spécifique de télétravail est annexé à la présente convention.",""),"")</f>
        <v/>
      </c>
      <c r="CD124" s="258" t="s">
        <v>3458</v>
      </c>
      <c r="CE124" s="164" t="e">
        <f>IF(VLOOKUP(T_BilanSocial[[#This Row],[NumL]],T_suiviDi[#Data],COLUMN(T_suiviDi[[#This Row],[Entité]]),FALSE)="","",VLOOKUP(T_BilanSocial[[#This Row],[NumL]],T_suiviDi[#Data],COLUMN(T_suiviDi[[#This Row],[Entité]]),FALSE))</f>
        <v>#VALUE!</v>
      </c>
      <c r="CF124" s="164" t="str">
        <f>IF(VLOOKUP(T_BilanSocial[[#This Row],[NumL]],T_Commission[#Data],COLUMN(T_Commission[[#This Row],[envoi confirm TW]]),FALSE)="","",VLOOKUP(T_BilanSocial[[#This Row],[NumL]],T_Commission[#Data],COLUMN(T_Commission[[#This Row],[envoi confirm TW]]),FALSE))</f>
        <v>Oui</v>
      </c>
      <c r="CG12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4" s="262" t="str">
        <f>T_BilanSocial[[#This Row],[Nom]]&amp;T_BilanSocial[[#This Row],[Prenom]]</f>
        <v/>
      </c>
      <c r="CI124" s="262">
        <f>VLOOKUP(T_BilanSocial[[#This Row],[NumL]],T_Commission[#Data],COLUMN(T_Commission[Commentaire]),FALSE)</f>
        <v>0</v>
      </c>
      <c r="CJ124" s="262" t="str">
        <f>IF(VLOOKUP(T_BilanSocial[[#This Row],[NumL]],T_Commission[#Data],COLUMN(T_Commission[Encadrant Email]),FALSE)="","",VLOOKUP(T_BilanSocial[[#This Row],[NumL]],T_Commission[#Data],COLUMN(T_Commission[Encadrant Email]),FALSE))</f>
        <v/>
      </c>
      <c r="CK124" s="340" t="str">
        <f>IF(T_BilanSocial[[#This Row],[Final]]&lt;&gt;"",VLOOKUP(T_BilanSocial[[#This Row],[NumL]],T_suiviDi[#Data],COLUMN((T_suiviDi[Statut])),FALSE),"")</f>
        <v/>
      </c>
    </row>
    <row r="125" spans="1:89" s="106" customFormat="1" ht="24.75" customHeight="1" x14ac:dyDescent="0.25">
      <c r="A125" s="160">
        <v>122</v>
      </c>
      <c r="B125" s="161" t="str">
        <f t="shared" si="10"/>
        <v/>
      </c>
      <c r="C125" s="162" t="s">
        <v>173</v>
      </c>
      <c r="D125" s="95" t="e">
        <f>IF(VLOOKUP(T_BilanSocial[[#This Row],[NumL]],T_TraitDi[#Data],COLUMN(T_TraitDi[[#This Row],[WebC]]),FALSE)="","",VLOOKUP(T_BilanSocial[[#This Row],[NumL]],T_TraitDi[#Data],COLUMN(T_TraitDi[[#This Row],[WebC]]),FALSE))</f>
        <v>#VALUE!</v>
      </c>
      <c r="E125" s="163" t="str">
        <f t="shared" si="11"/>
        <v>12 janvier 2021</v>
      </c>
      <c r="F125" s="96" t="str">
        <f>IF(T_BilanSocial[[#This Row],[Final]]&lt;&gt;"",VLOOKUP(T_BilanSocial[[#This Row],[NumL]],T_suiviDi[#Data],COLUMN((T_suiviDi[Civ.])),FALSE),"")</f>
        <v/>
      </c>
      <c r="G125" s="96" t="str">
        <f>IF(T_BilanSocial[[#This Row],[Final]]&lt;&gt;"",VLOOKUP(T_BilanSocial[[#This Row],[NumL]],T_suiviDi[#Data],COLUMN((T_suiviDi[Nom])),FALSE),"")</f>
        <v/>
      </c>
      <c r="H125" s="96" t="str">
        <f>IF(T_BilanSocial[[#This Row],[Final]]&lt;&gt;"",VLOOKUP(T_BilanSocial[[#This Row],[NumL]],T_suiviDi[#Data],COLUMN((T_suiviDi[Prénom])),FALSE),"")</f>
        <v/>
      </c>
      <c r="I125" s="96" t="str">
        <f>IFERROR(VLOOKUP(T_BilanSocial[[#This Row],[Zone_Bilan]],T_P_BilanSocial[#Data],COLUMN(T_P_BilanSocial[[#This Row],[Numero_SIHAM]]),FALSE),"")</f>
        <v/>
      </c>
      <c r="J125" s="96" t="str">
        <f>IFERROR(VLOOKUP(T_BilanSocial[[#This Row],[Zone_Bilan]],T_P_BilanSocial[#Data],COLUMN(T_P_BilanSocial[[#This Row],[Sexe]]),FALSE),"")</f>
        <v/>
      </c>
      <c r="K125" s="97" t="str">
        <f>IFERROR(VLOOKUP(T_BilanSocial[[#This Row],[Zone_Bilan]],T_P_BilanSocial[#Data],COLUMN(T_P_BilanSocial[[#This Row],[Categorie]]),FALSE),"")</f>
        <v/>
      </c>
      <c r="L125" s="96" t="str">
        <f>IFERROR(VLOOKUP(T_BilanSocial[[#This Row],[Zone_Bilan]],T_P_BilanSocial[#Data],COLUMN(T_P_BilanSocial[[#This Row],[Statut]]),FALSE),"")</f>
        <v/>
      </c>
      <c r="M125" s="96" t="str">
        <f>IFERROR(VLOOKUP(T_BilanSocial[[#This Row],[Zone_Bilan]],T_P_BilanSocial[#Data],COLUMN(T_P_BilanSocial[[#This Row],[Filiere]]),FALSE),"")</f>
        <v/>
      </c>
      <c r="N125" s="96" t="e">
        <f>VLOOKUP(T_BilanSocial[[#This Row],[NumL]],T_TraitDi[#Data],COLUMN(T_TraitDi[EXP]),FALSE)</f>
        <v>#N/A</v>
      </c>
      <c r="O125" s="96" t="e">
        <f>VLOOKUP(T_BilanSocial[[#This Row],[NumL]],T_TraitDi[#Data],COLUMN(T_TraitDi[FORM]),FALSE)</f>
        <v>#N/A</v>
      </c>
      <c r="P125" s="96" t="str">
        <f>IF(T_BilanSocial[[#This Row],[Final]]&lt;&gt;"",VLOOKUP(T_BilanSocial[[#This Row],[NumL]],T_suiviDi[#Data],COLUMN((T_suiviDi[Email])),FALSE),"")</f>
        <v/>
      </c>
      <c r="Q125" s="164" t="e">
        <f t="shared" si="17"/>
        <v>#N/A</v>
      </c>
      <c r="R125" s="164" t="e">
        <f t="shared" si="18"/>
        <v>#N/A</v>
      </c>
      <c r="S125" s="164" t="e">
        <f>IF(VLOOKUP(T_BilanSocial[[#This Row],[NumL]],T_suiviDi[#Data],COLUMN(T_suiviDi[[#This Row],[Service ]]),FALSE)="","",VLOOKUP(T_BilanSocial[[#This Row],[NumL]],T_suiviDi[#Data],COLUMN(T_suiviDi[[#This Row],[Service ]]),FALSE))</f>
        <v>#VALUE!</v>
      </c>
      <c r="T125" s="164" t="str">
        <f t="shared" si="12"/>
        <v>01 septembre 2021</v>
      </c>
      <c r="U125" s="164" t="str">
        <f t="shared" si="13"/>
        <v>30 novembre 2021</v>
      </c>
      <c r="V125" s="164" t="str">
        <f t="shared" si="21"/>
        <v>30 novembre 2021</v>
      </c>
      <c r="W125" s="176" t="e">
        <f>IF(VLOOKUP(T_BilanSocial[[#This Row],[NumL]],T_TraitDi[#Data],COLUMN(T_TraitDi[[#This Row],[M1]]),FALSE)="","",VLOOKUP(T_BilanSocial[[#This Row],[NumL]],T_TraitDi[#Data],COLUMN(T_TraitDi[[#This Row],[M1]]),FALSE))</f>
        <v>#VALUE!</v>
      </c>
      <c r="X125" s="176" t="e">
        <f>IF(VLOOKUP(T_BilanSocial[[#This Row],[NumL]],T_TraitDi[#Data],COLUMN(T_TraitDi[[#This Row],[M2]]),FALSE)="","",VLOOKUP(T_BilanSocial[[#This Row],[NumL]],T_TraitDi[#Data],COLUMN(T_TraitDi[[#This Row],[M2]]),FALSE))</f>
        <v>#VALUE!</v>
      </c>
      <c r="Y125" s="176" t="e">
        <f>IF(VLOOKUP(T_BilanSocial[[#This Row],[NumL]],T_TraitDi[#Data],COLUMN(T_TraitDi[[#This Row],[M3]]),FALSE)="","",VLOOKUP(T_BilanSocial[[#This Row],[NumL]],T_TraitDi[#Data],COLUMN(T_TraitDi[[#This Row],[M3]]),FALSE))</f>
        <v>#VALUE!</v>
      </c>
      <c r="Z125" s="176" t="str">
        <f t="shared" si="16"/>
        <v/>
      </c>
      <c r="AA125" s="176" t="e">
        <f>IF(VLOOKUP(T_BilanSocial[[#This Row],[NumL]],T_TraitDi[#Data],COLUMN(T_TraitDi[[#This Row],[M5]]),FALSE)="","",VLOOKUP(T_BilanSocial[[#This Row],[NumL]],T_TraitDi[#Data],COLUMN(T_TraitDi[[#This Row],[M5]]),FALSE))</f>
        <v>#VALUE!</v>
      </c>
      <c r="AB125" s="176" t="e">
        <f>IF(VLOOKUP(T_BilanSocial[[#This Row],[NumL]],T_TraitDi[#Data],COLUMN(T_TraitDi[[#This Row],[M6]]),FALSE)="","",VLOOKUP(T_BilanSocial[[#This Row],[NumL]],T_TraitDi[#Data],COLUMN(T_TraitDi[[#This Row],[M6]]),FALSE))</f>
        <v>#VALUE!</v>
      </c>
      <c r="AC125" s="165" t="e">
        <f t="shared" si="15"/>
        <v>#VALUE!</v>
      </c>
      <c r="AD125" s="188" t="str">
        <f>IFERROR(TEXT(VLOOKUP(T_BilanSocial[[#This Row],[NumL]],T_TraitDi[#Data],COLUMN(T_TraitDi[[#This Row],[Q2]]),FALSE),"###%"),"")</f>
        <v/>
      </c>
      <c r="AE125" s="97" t="e">
        <f>VLOOKUP(T_BilanSocial[[#This Row],[NumL]],T_TraitDi[#Data],COLUMN(T_TraitDi[[#This Row],[Reg Ponct]]),FALSE)</f>
        <v>#VALUE!</v>
      </c>
      <c r="AF125" s="97" t="e">
        <f>VLOOKUP(T_BilanSocial[NumL],T_TraitDi[#Data],COLUMN(T_TraitDi[[#This Row],[Jours flottants]]),FALSE)</f>
        <v>#VALUE!</v>
      </c>
      <c r="AG125" s="97" t="str">
        <f>IFERROR(VLOOKUP(T_BilanSocial[[#This Row],[NumL]],T_TraitDi[#Data],COLUMN(T_TraitDi[[#This Row],[Lundi]]),FALSE),"")</f>
        <v/>
      </c>
      <c r="AH125" s="172" t="e">
        <f>IF(VLOOKUP(T_BilanSocial[[#This Row],[NumL]],T_TraitDi[#Data],COLUMN(T_TraitDi[[#This Row],[Colonne3]]),FALSE)=0,"",TEXT(IFERROR(VLOOKUP(T_BilanSocial[[#This Row],[NumL]],T_TraitDi[#Data],COLUMN(T_TraitDi[[#This Row],[Colonne3]]),FALSE),""),"[hh]:mm"))</f>
        <v>#VALUE!</v>
      </c>
      <c r="AI125" s="172" t="e">
        <f>IF(VLOOKUP(T_BilanSocial[[#This Row],[NumL]],T_TraitDi[#Data],COLUMN(T_TraitDi[[#This Row],[Colonne4]]),FALSE)=0,"",TEXT(IFERROR(VLOOKUP(T_BilanSocial[[#This Row],[NumL]],T_TraitDi[#Data],COLUMN(T_TraitDi[[#This Row],[Colonne4]]),FALSE),""),"[hh]:mm"))</f>
        <v>#VALUE!</v>
      </c>
      <c r="AJ125" s="172" t="e">
        <f>IF(VLOOKUP(T_BilanSocial[[#This Row],[NumL]],T_TraitDi[#Data],COLUMN(T_TraitDi[[#This Row],[Colonne5]]),FALSE)=0,"",TEXT(IFERROR(VLOOKUP(T_BilanSocial[[#This Row],[NumL]],T_TraitDi[#Data],COLUMN(T_TraitDi[[#This Row],[Colonne5]]),FALSE),""),"[hh]:mm"))</f>
        <v>#VALUE!</v>
      </c>
      <c r="AK125" s="172" t="e">
        <f>IF(VLOOKUP(T_BilanSocial[[#This Row],[NumL]],T_TraitDi[#Data],COLUMN(T_TraitDi[[#This Row],[Colonne6]]),FALSE)=0,"",TEXT(IFERROR(VLOOKUP(T_BilanSocial[[#This Row],[NumL]],T_TraitDi[#Data],COLUMN(T_TraitDi[[#This Row],[Colonne6]]),FALSE),""),"[hh]:mm"))</f>
        <v>#VALUE!</v>
      </c>
      <c r="AL125" s="172" t="e">
        <f>IF(VLOOKUP(T_BilanSocial[[#This Row],[NumL]],T_TraitDi[#Data],COLUMN(T_TraitDi[[#This Row],[Colonne7]]),FALSE)=0,"",TEXT(IFERROR(VLOOKUP(T_BilanSocial[[#This Row],[NumL]],T_TraitDi[#Data],COLUMN(T_TraitDi[[#This Row],[Colonne7]]),FALSE),""),"[hh]:mm"))</f>
        <v>#VALUE!</v>
      </c>
      <c r="AM125" s="172" t="e">
        <f>IF(VLOOKUP(T_BilanSocial[[#This Row],[NumL]],T_TraitDi[#Data],COLUMN(T_TraitDi[[#This Row],[Colonne8]]),FALSE)=0,"",TEXT(IFERROR(VLOOKUP(T_BilanSocial[[#This Row],[NumL]],T_TraitDi[#Data],COLUMN(T_TraitDi[[#This Row],[Colonne8]]),FALSE),""),"[hh]:mm"))</f>
        <v>#VALUE!</v>
      </c>
      <c r="AN125" s="172" t="str">
        <f>IFERROR(VLOOKUP(T_BilanSocial[[#This Row],[NumL]],T_TraitDi[#Data],COLUMN(T_TraitDi[[#This Row],[Mardi]]),FALSE),"")</f>
        <v/>
      </c>
      <c r="AO125" s="172" t="e">
        <f>IF(VLOOKUP(T_BilanSocial[[#This Row],[NumL]],T_TraitDi[#Data],COLUMN(T_TraitDi[[#This Row],[Colonne1]]),FALSE)=0,"",TEXT(IFERROR(VLOOKUP(T_BilanSocial[[#This Row],[NumL]],T_TraitDi[#Data],COLUMN(T_TraitDi[[#This Row],[Colonne1]]),FALSE),""),"[hh]:mm"))</f>
        <v>#VALUE!</v>
      </c>
      <c r="AP125" s="172" t="e">
        <f>IF(VLOOKUP(T_BilanSocial[[#This Row],[NumL]],T_TraitDi[#Data],COLUMN(T_TraitDi[[#This Row],[Colonne9]]),FALSE)=0,"",TEXT(IFERROR(VLOOKUP(T_BilanSocial[[#This Row],[NumL]],T_TraitDi[#Data],COLUMN(T_TraitDi[[#This Row],[Colonne9]]),FALSE),""),"[hh]:mm"))</f>
        <v>#VALUE!</v>
      </c>
      <c r="AQ125" s="172" t="str">
        <f>IFERROR(VLOOKUP(T_BilanSocial[[#This Row],[NumL]],T_TraitDi[#Data],COLUMN(T_TraitDi[[#This Row],[Colonne10]]),FALSE),"")</f>
        <v/>
      </c>
      <c r="AR125" s="172" t="e">
        <f>IF(VLOOKUP(T_BilanSocial[[#This Row],[NumL]],T_TraitDi[#Data],COLUMN(T_TraitDi[[#This Row],[Colonne11]]),FALSE)=0,"",TEXT(IFERROR(VLOOKUP(T_BilanSocial[[#This Row],[NumL]],T_TraitDi[#Data],COLUMN(T_TraitDi[[#This Row],[Colonne11]]),FALSE),""),"[hh]:mm"))</f>
        <v>#VALUE!</v>
      </c>
      <c r="AS125" s="172" t="e">
        <f>IF(VLOOKUP(T_BilanSocial[[#This Row],[NumL]],T_TraitDi[#Data],COLUMN(T_TraitDi[[#This Row],[Colonne12]]),FALSE)=0,"",TEXT(IFERROR(VLOOKUP(T_BilanSocial[[#This Row],[NumL]],T_TraitDi[#Data],COLUMN(T_TraitDi[[#This Row],[Colonne12]]),FALSE),""),"[hh]:mm"))</f>
        <v>#VALUE!</v>
      </c>
      <c r="AT125" s="172" t="e">
        <f>IF(VLOOKUP(T_BilanSocial[[#This Row],[NumL]],T_TraitDi[#Data],COLUMN(T_TraitDi[[#This Row],[Colonne14]]),FALSE)=0,"",TEXT(IFERROR(VLOOKUP(T_BilanSocial[[#This Row],[NumL]],T_TraitDi[#Data],COLUMN(T_TraitDi[[#This Row],[Colonne14]]),FALSE),""),"[hh]:mm"))</f>
        <v>#VALUE!</v>
      </c>
      <c r="AU125" s="172" t="str">
        <f>IFERROR(VLOOKUP(T_BilanSocial[[#This Row],[NumL]],T_TraitDi[#Data],COLUMN(T_TraitDi[[#This Row],[Mercredi]]),FALSE),"")</f>
        <v/>
      </c>
      <c r="AV125" s="172" t="e">
        <f>IF(VLOOKUP(T_BilanSocial[[#This Row],[NumL]],T_TraitDi[#Data],COLUMN(T_TraitDi[[#This Row],[Colonne15]]),FALSE)=0,"",TEXT(IFERROR(VLOOKUP(T_BilanSocial[[#This Row],[NumL]],T_TraitDi[#Data],COLUMN(T_TraitDi[[#This Row],[Colonne15]]),FALSE),""),"[hh]:mm"))</f>
        <v>#VALUE!</v>
      </c>
      <c r="AW125" s="172" t="e">
        <f>IF(VLOOKUP(T_BilanSocial[[#This Row],[NumL]],T_TraitDi[#Data],COLUMN(T_TraitDi[[#This Row],[Colonne16]]),FALSE)=0,"",TEXT(IFERROR(VLOOKUP(T_BilanSocial[[#This Row],[NumL]],T_TraitDi[#Data],COLUMN(T_TraitDi[[#This Row],[Colonne16]]),FALSE),""),"[hh]:mm"))</f>
        <v>#VALUE!</v>
      </c>
      <c r="AX125" s="172" t="str">
        <f>IFERROR(VLOOKUP(T_BilanSocial[[#This Row],[NumL]],T_TraitDi[#Data],COLUMN(T_TraitDi[[#This Row],[Colonne17]]),FALSE),"")</f>
        <v/>
      </c>
      <c r="AY125" s="172" t="e">
        <f>IF(VLOOKUP(T_BilanSocial[[#This Row],[NumL]],T_TraitDi[#Data],COLUMN(T_TraitDi[[#This Row],[Colonne18]]),FALSE)=0,"",TEXT(IFERROR(VLOOKUP(T_BilanSocial[[#This Row],[NumL]],T_TraitDi[#Data],COLUMN(T_TraitDi[[#This Row],[Colonne18]]),FALSE),""),"[hh]:mm"))</f>
        <v>#VALUE!</v>
      </c>
      <c r="AZ125" s="172" t="e">
        <f>IF(VLOOKUP(T_BilanSocial[[#This Row],[NumL]],T_TraitDi[#Data],COLUMN(T_TraitDi[[#This Row],[Colonne19]]),FALSE)=0,"",TEXT(IFERROR(VLOOKUP(T_BilanSocial[[#This Row],[NumL]],T_TraitDi[#Data],COLUMN(T_TraitDi[[#This Row],[Colonne19]]),FALSE),""),"[hh]:mm"))</f>
        <v>#VALUE!</v>
      </c>
      <c r="BA125" s="172" t="e">
        <f>IF(VLOOKUP(T_BilanSocial[[#This Row],[NumL]],T_TraitDi[#Data],COLUMN(T_TraitDi[[#This Row],[Colonne20]]),FALSE)=0,"",TEXT(IFERROR(VLOOKUP(T_BilanSocial[[#This Row],[NumL]],T_TraitDi[#Data],COLUMN(T_TraitDi[[#This Row],[Colonne20]]),FALSE),""),"[hh]:mm"))</f>
        <v>#VALUE!</v>
      </c>
      <c r="BB125" s="178" t="str">
        <f>IFERROR(VLOOKUP(T_BilanSocial[[#This Row],[NumL]],T_TraitDi[#Data],COLUMN(T_TraitDi[[#This Row],[Jeudi]]),FALSE),"")</f>
        <v/>
      </c>
      <c r="BC125" s="178" t="e">
        <f>IF(VLOOKUP(T_BilanSocial[[#This Row],[NumL]],T_TraitDi[#Data],COLUMN(T_TraitDi[[#This Row],[Colonne21]]),FALSE)=0,"",TEXT(IFERROR(VLOOKUP(T_BilanSocial[[#This Row],[NumL]],T_TraitDi[#Data],COLUMN(T_TraitDi[[#This Row],[Colonne21]]),FALSE),""),"[hh]:mm"))</f>
        <v>#VALUE!</v>
      </c>
      <c r="BD125" s="178" t="e">
        <f>IF(VLOOKUP(T_BilanSocial[[#This Row],[NumL]],T_TraitDi[#Data],COLUMN(T_TraitDi[[#This Row],[Colonne22]]),FALSE)=0,"",TEXT(IFERROR(VLOOKUP(T_BilanSocial[[#This Row],[NumL]],T_TraitDi[#Data],COLUMN(T_TraitDi[[#This Row],[Colonne22]]),FALSE),""),"[hh]:mm"))</f>
        <v>#VALUE!</v>
      </c>
      <c r="BE125" s="178" t="str">
        <f>IFERROR(VLOOKUP(T_BilanSocial[[#This Row],[NumL]],T_TraitDi[#Data],COLUMN(T_TraitDi[[#This Row],[Colonne23]]),FALSE),"")</f>
        <v/>
      </c>
      <c r="BF125" s="178" t="e">
        <f>IF(VLOOKUP(T_BilanSocial[[#This Row],[NumL]],T_TraitDi[#Data],COLUMN(T_TraitDi[[#This Row],[Colonne24]]),FALSE)=0,"",TEXT(IFERROR(VLOOKUP(T_BilanSocial[[#This Row],[NumL]],T_TraitDi[#Data],COLUMN(T_TraitDi[[#This Row],[Colonne24]]),FALSE),""),"[hh]:mm"))</f>
        <v>#VALUE!</v>
      </c>
      <c r="BG125" s="178" t="e">
        <f>IF(VLOOKUP(T_BilanSocial[[#This Row],[NumL]],T_TraitDi[#Data],COLUMN(T_TraitDi[[#This Row],[Colonne25]]),FALSE)=0,"",TEXT(IFERROR(VLOOKUP(T_BilanSocial[[#This Row],[NumL]],T_TraitDi[#Data],COLUMN(T_TraitDi[[#This Row],[Colonne25]]),FALSE),""),"[hh]:mm"))</f>
        <v>#VALUE!</v>
      </c>
      <c r="BH125" s="178" t="e">
        <f>IF(VLOOKUP(T_BilanSocial[[#This Row],[NumL]],T_TraitDi[#Data],COLUMN(T_TraitDi[[#This Row],[Colonne26]]),FALSE)=0,"",TEXT(IFERROR(VLOOKUP(T_BilanSocial[[#This Row],[NumL]],T_TraitDi[#Data],COLUMN(T_TraitDi[[#This Row],[Colonne26]]),FALSE),""),"[hh]:mm"))</f>
        <v>#VALUE!</v>
      </c>
      <c r="BI125" s="172" t="str">
        <f>IFERROR(VLOOKUP(T_BilanSocial[[#This Row],[NumL]],T_TraitDi[#Data],COLUMN(T_TraitDi[[#This Row],[Vendredi]]),FALSE),"")</f>
        <v/>
      </c>
      <c r="BJ125" s="172" t="e">
        <f>IF(VLOOKUP(T_BilanSocial[[#This Row],[NumL]],T_TraitDi[#Data],COLUMN(T_TraitDi[[#This Row],[Colonne27]]),FALSE)=0,"",TEXT(IFERROR(VLOOKUP(T_BilanSocial[[#This Row],[NumL]],T_TraitDi[#Data],COLUMN(T_TraitDi[[#This Row],[Colonne27]]),FALSE),""),"[hh]:mm"))</f>
        <v>#VALUE!</v>
      </c>
      <c r="BK125" s="172" t="e">
        <f>IF(VLOOKUP(T_BilanSocial[[#This Row],[NumL]],T_TraitDi[#Data],COLUMN(T_TraitDi[[#This Row],[Colonne28]]),FALSE)=0,"",TEXT(IFERROR(VLOOKUP(T_BilanSocial[[#This Row],[NumL]],T_TraitDi[#Data],COLUMN(T_TraitDi[[#This Row],[Colonne28]]),FALSE),""),"[hh]:mm"))</f>
        <v>#VALUE!</v>
      </c>
      <c r="BL125" s="172" t="str">
        <f>IFERROR(VLOOKUP(T_BilanSocial[[#This Row],[NumL]],T_TraitDi[#Data],COLUMN(T_TraitDi[[#This Row],[Colonne29]]),FALSE),"")</f>
        <v/>
      </c>
      <c r="BM125" s="172" t="e">
        <f>IF(VLOOKUP(T_BilanSocial[[#This Row],[NumL]],T_TraitDi[#Data],COLUMN(T_TraitDi[[#This Row],[Colonne30]]),FALSE)=0,"",TEXT(IFERROR(VLOOKUP(T_BilanSocial[[#This Row],[NumL]],T_TraitDi[#Data],COLUMN(T_TraitDi[[#This Row],[Colonne30]]),FALSE),""),"[hh]:mm"))</f>
        <v>#VALUE!</v>
      </c>
      <c r="BN125" s="172" t="e">
        <f>IF(VLOOKUP(T_BilanSocial[[#This Row],[NumL]],T_TraitDi[#Data],COLUMN(T_TraitDi[[#This Row],[Colonne31]]),FALSE)=0,"",TEXT(IFERROR(VLOOKUP(T_BilanSocial[[#This Row],[NumL]],T_TraitDi[#Data],COLUMN(T_TraitDi[[#This Row],[Colonne31]]),FALSE),""),"[hh]:mm"))</f>
        <v>#VALUE!</v>
      </c>
      <c r="BO125" s="172" t="e">
        <f>IF(VLOOKUP(T_BilanSocial[[#This Row],[NumL]],T_TraitDi[#Data],COLUMN(T_TraitDi[[#This Row],[Colonne32]]),FALSE)=0,"",TEXT(IFERROR(VLOOKUP(T_BilanSocial[[#This Row],[NumL]],T_TraitDi[#Data],COLUMN(T_TraitDi[[#This Row],[Colonne32]]),FALSE),""),"[hh]:mm"))</f>
        <v>#VALUE!</v>
      </c>
      <c r="BP125" s="172" t="e">
        <f>VLOOKUP(T_BilanSocial[[#This Row],[NumL]],T_TraitDi[#Data],COLUMN(T_TraitDi[NbJTot]),FALSE)</f>
        <v>#N/A</v>
      </c>
      <c r="BQ125" s="174" t="str">
        <f>IFERROR(VLOOKUP(T_BilanSocial[[#This Row],[NumL]],T_TraitDi[#Data],COLUMN(T_TraitDi[[#This Row],[NbJTW]]),FALSE),"")</f>
        <v/>
      </c>
      <c r="BR125" s="174" t="e">
        <f>IF(VLOOKUP(T_BilanSocial[[#This Row],[NumL]],T_TraitDi[#Data],COLUMN(T_TraitDi[[#This Row],[NbhTW]]),FALSE)=0,"",TEXT(IFERROR(VLOOKUP(T_BilanSocial[[#This Row],[NumL]],T_TraitDi[#Data],COLUMN(T_TraitDi[[#This Row],[NbhTW]]),FALSE),""),"[hh]:mm"))</f>
        <v>#VALUE!</v>
      </c>
      <c r="BS125" s="174" t="e">
        <f>IF(VLOOKUP(T_BilanSocial[[#This Row],[NumL]],T_TraitDi[#Data],COLUMN(T_TraitDi[[#This Row],[Nbhheb]]),FALSE)=0,"",TEXT(IFERROR(VLOOKUP($A125,T_TraitDi[#Data],COLUMN(T_TraitDi[[#This Row],[Nbhheb]]),FALSE),""),"[hh]:mm"))</f>
        <v>#VALUE!</v>
      </c>
      <c r="BT125" s="182" t="str">
        <f>IFERROR(VLOOKUP(VLOOKUP($A125,T_TraitDi[#Data],COLUMN(T_TraitDi[[#This Row],[Type1]]),FALSE),TypeTW,2,FALSE),"")</f>
        <v/>
      </c>
      <c r="BU125" s="182" t="str">
        <f>IFERROR(VLOOKUP($A125,T_TraitDi[#Data],COLUMN(T_TraitDi[[#This Row],[Rue1]]),FALSE),"")</f>
        <v/>
      </c>
      <c r="BV125" s="173" t="str">
        <f>IFERROR(VLOOKUP($A125,T_TraitDi[#Data],COLUMN(T_TraitDi[[#This Row],[CP1]]),FALSE),"")</f>
        <v/>
      </c>
      <c r="BW125" s="173" t="str">
        <f>IFERROR(VLOOKUP($A125,T_TraitDi[#Data],COLUMN(T_TraitDi[[#This Row],[VILLE1]]),FALSE),"")</f>
        <v/>
      </c>
      <c r="BX125" s="182" t="str">
        <f>IFERROR(VLOOKUP(VLOOKUP($A125,T_TraitDi[#Data],COLUMN(T_TraitDi[[#This Row],[Type2]]),FALSE),TypeTW,2,FALSE),"")</f>
        <v/>
      </c>
      <c r="BY125" s="182" t="str">
        <f>IFERROR(VLOOKUP($A125,T_TraitDi[#Data],COLUMN(T_TraitDi[[#This Row],[Rue2]]),FALSE),"")</f>
        <v/>
      </c>
      <c r="BZ125" s="173" t="str">
        <f>IFERROR(VLOOKUP($A125,T_TraitDi[#Data],COLUMN(T_TraitDi[[#This Row],[CP2]]),FALSE),"")</f>
        <v/>
      </c>
      <c r="CA125" s="173" t="str">
        <f>IFERROR(VLOOKUP($A125,T_TraitDi[#Data],COLUMN(T_TraitDi[[#This Row],[VILLE2]]),FALSE),"")</f>
        <v/>
      </c>
      <c r="CB125" s="182" t="str">
        <f>IF(VLOOKUP(T_BilanSocial[[#This Row],[NumL]],T_Equipement[#Data],COLUMN(T_Equipement[[#This Row],[PC]]),FALSE)="","Aucun équipement spécifique directement lié au télétravail",VLOOKUP(T_BilanSocial[[#This Row],[NumL]],T_Equipement[#Data],COLUMN(T_Equipement[[#This Row],[PC]]),FALSE))</f>
        <v xml:space="preserve">20-515	</v>
      </c>
      <c r="CC125" s="166" t="str">
        <f>IFERROR(IF(VLOOKUP(T_BilanSocial[[#This Row],[NumL]],T_TraitDi[#Data],COLUMN(T_TraitDi[[#This Row],[Plan]]),FALSE)="OK","Un planning spécifique de télétravail est annexé à la présente convention.",""),"")</f>
        <v/>
      </c>
      <c r="CD125" s="258" t="s">
        <v>3383</v>
      </c>
      <c r="CE125" s="164" t="e">
        <f>IF(VLOOKUP(T_BilanSocial[[#This Row],[NumL]],T_suiviDi[#Data],COLUMN(T_suiviDi[[#This Row],[Entité]]),FALSE)="","",VLOOKUP(T_BilanSocial[[#This Row],[NumL]],T_suiviDi[#Data],COLUMN(T_suiviDi[[#This Row],[Entité]]),FALSE))</f>
        <v>#VALUE!</v>
      </c>
      <c r="CF125" s="164" t="str">
        <f>IF(VLOOKUP(T_BilanSocial[[#This Row],[NumL]],T_Commission[#Data],COLUMN(T_Commission[[#This Row],[envoi confirm TW]]),FALSE)="","",VLOOKUP(T_BilanSocial[[#This Row],[NumL]],T_Commission[#Data],COLUMN(T_Commission[[#This Row],[envoi confirm TW]]),FALSE))</f>
        <v>Oui</v>
      </c>
      <c r="CG12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5" s="262" t="str">
        <f>T_BilanSocial[[#This Row],[Nom]]&amp;T_BilanSocial[[#This Row],[Prenom]]</f>
        <v/>
      </c>
      <c r="CI125" s="262">
        <f>VLOOKUP(T_BilanSocial[[#This Row],[NumL]],T_Commission[#Data],COLUMN(T_Commission[Commentaire]),FALSE)</f>
        <v>0</v>
      </c>
      <c r="CJ125" s="262" t="str">
        <f>IF(VLOOKUP(T_BilanSocial[[#This Row],[NumL]],T_Commission[#Data],COLUMN(T_Commission[Encadrant Email]),FALSE)="","",VLOOKUP(T_BilanSocial[[#This Row],[NumL]],T_Commission[#Data],COLUMN(T_Commission[Encadrant Email]),FALSE))</f>
        <v/>
      </c>
      <c r="CK125" s="340" t="str">
        <f>IF(T_BilanSocial[[#This Row],[Final]]&lt;&gt;"",VLOOKUP(T_BilanSocial[[#This Row],[NumL]],T_suiviDi[#Data],COLUMN((T_suiviDi[Statut])),FALSE),"")</f>
        <v/>
      </c>
    </row>
    <row r="126" spans="1:89" s="106" customFormat="1" ht="24.75" customHeight="1" x14ac:dyDescent="0.25">
      <c r="A126" s="160">
        <v>123</v>
      </c>
      <c r="B126" s="161" t="str">
        <f t="shared" si="10"/>
        <v/>
      </c>
      <c r="C126" s="162" t="s">
        <v>173</v>
      </c>
      <c r="D126" s="95" t="e">
        <f>IF(VLOOKUP(T_BilanSocial[[#This Row],[NumL]],T_TraitDi[#Data],COLUMN(T_TraitDi[[#This Row],[WebC]]),FALSE)="","",VLOOKUP(T_BilanSocial[[#This Row],[NumL]],T_TraitDi[#Data],COLUMN(T_TraitDi[[#This Row],[WebC]]),FALSE))</f>
        <v>#VALUE!</v>
      </c>
      <c r="E126" s="163" t="str">
        <f t="shared" si="11"/>
        <v>12 janvier 2021</v>
      </c>
      <c r="F126" s="96" t="str">
        <f>IF(T_BilanSocial[[#This Row],[Final]]&lt;&gt;"",VLOOKUP(T_BilanSocial[[#This Row],[NumL]],T_suiviDi[#Data],COLUMN((T_suiviDi[Civ.])),FALSE),"")</f>
        <v/>
      </c>
      <c r="G126" s="96" t="str">
        <f>IF(T_BilanSocial[[#This Row],[Final]]&lt;&gt;"",VLOOKUP(T_BilanSocial[[#This Row],[NumL]],T_suiviDi[#Data],COLUMN((T_suiviDi[Nom])),FALSE),"")</f>
        <v/>
      </c>
      <c r="H126" s="96" t="str">
        <f>IF(T_BilanSocial[[#This Row],[Final]]&lt;&gt;"",VLOOKUP(T_BilanSocial[[#This Row],[NumL]],T_suiviDi[#Data],COLUMN((T_suiviDi[Prénom])),FALSE),"")</f>
        <v/>
      </c>
      <c r="I126" s="96" t="str">
        <f>IFERROR(VLOOKUP(T_BilanSocial[[#This Row],[Zone_Bilan]],T_P_BilanSocial[#Data],COLUMN(T_P_BilanSocial[[#This Row],[Numero_SIHAM]]),FALSE),"")</f>
        <v/>
      </c>
      <c r="J126" s="96" t="str">
        <f>IFERROR(VLOOKUP(T_BilanSocial[[#This Row],[Zone_Bilan]],T_P_BilanSocial[#Data],COLUMN(T_P_BilanSocial[[#This Row],[Sexe]]),FALSE),"")</f>
        <v/>
      </c>
      <c r="K126" s="97" t="str">
        <f>IFERROR(VLOOKUP(T_BilanSocial[[#This Row],[Zone_Bilan]],T_P_BilanSocial[#Data],COLUMN(T_P_BilanSocial[[#This Row],[Categorie]]),FALSE),"")</f>
        <v/>
      </c>
      <c r="L126" s="96" t="str">
        <f>IFERROR(VLOOKUP(T_BilanSocial[[#This Row],[Zone_Bilan]],T_P_BilanSocial[#Data],COLUMN(T_P_BilanSocial[[#This Row],[Statut]]),FALSE),"")</f>
        <v/>
      </c>
      <c r="M126" s="96" t="str">
        <f>IFERROR(VLOOKUP(T_BilanSocial[[#This Row],[Zone_Bilan]],T_P_BilanSocial[#Data],COLUMN(T_P_BilanSocial[[#This Row],[Filiere]]),FALSE),"")</f>
        <v/>
      </c>
      <c r="N126" s="96" t="e">
        <f>VLOOKUP(T_BilanSocial[[#This Row],[NumL]],T_TraitDi[#Data],COLUMN(T_TraitDi[EXP]),FALSE)</f>
        <v>#N/A</v>
      </c>
      <c r="O126" s="96" t="e">
        <f>VLOOKUP(T_BilanSocial[[#This Row],[NumL]],T_TraitDi[#Data],COLUMN(T_TraitDi[FORM]),FALSE)</f>
        <v>#N/A</v>
      </c>
      <c r="P126" s="96" t="str">
        <f>IF(T_BilanSocial[[#This Row],[Final]]&lt;&gt;"",VLOOKUP(T_BilanSocial[[#This Row],[NumL]],T_suiviDi[#Data],COLUMN((T_suiviDi[Email])),FALSE),"")</f>
        <v/>
      </c>
      <c r="Q126" s="164" t="e">
        <f t="shared" si="17"/>
        <v>#N/A</v>
      </c>
      <c r="R126" s="164" t="e">
        <f t="shared" si="18"/>
        <v>#N/A</v>
      </c>
      <c r="S126" s="164" t="e">
        <f>IF(VLOOKUP(T_BilanSocial[[#This Row],[NumL]],T_suiviDi[#Data],COLUMN(T_suiviDi[[#This Row],[Service ]]),FALSE)="","",VLOOKUP(T_BilanSocial[[#This Row],[NumL]],T_suiviDi[#Data],COLUMN(T_suiviDi[[#This Row],[Service ]]),FALSE))</f>
        <v>#VALUE!</v>
      </c>
      <c r="T126" s="164" t="str">
        <f t="shared" si="12"/>
        <v>01 septembre 2021</v>
      </c>
      <c r="U126" s="164" t="str">
        <f t="shared" si="13"/>
        <v>30 novembre 2021</v>
      </c>
      <c r="V126" s="164" t="str">
        <f t="shared" si="21"/>
        <v>30 novembre 2021</v>
      </c>
      <c r="W126" s="176" t="e">
        <f>IF(VLOOKUP(T_BilanSocial[[#This Row],[NumL]],T_TraitDi[#Data],COLUMN(T_TraitDi[[#This Row],[M1]]),FALSE)="","",VLOOKUP(T_BilanSocial[[#This Row],[NumL]],T_TraitDi[#Data],COLUMN(T_TraitDi[[#This Row],[M1]]),FALSE))</f>
        <v>#VALUE!</v>
      </c>
      <c r="X126" s="176" t="e">
        <f>IF(VLOOKUP(T_BilanSocial[[#This Row],[NumL]],T_TraitDi[#Data],COLUMN(T_TraitDi[[#This Row],[M2]]),FALSE)="","",VLOOKUP(T_BilanSocial[[#This Row],[NumL]],T_TraitDi[#Data],COLUMN(T_TraitDi[[#This Row],[M2]]),FALSE))</f>
        <v>#VALUE!</v>
      </c>
      <c r="Y126" s="176" t="e">
        <f>IF(VLOOKUP(T_BilanSocial[[#This Row],[NumL]],T_TraitDi[#Data],COLUMN(T_TraitDi[[#This Row],[M3]]),FALSE)="","",VLOOKUP(T_BilanSocial[[#This Row],[NumL]],T_TraitDi[#Data],COLUMN(T_TraitDi[[#This Row],[M3]]),FALSE))</f>
        <v>#VALUE!</v>
      </c>
      <c r="Z126" s="176" t="str">
        <f t="shared" si="16"/>
        <v/>
      </c>
      <c r="AA126" s="176" t="e">
        <f>IF(VLOOKUP(T_BilanSocial[[#This Row],[NumL]],T_TraitDi[#Data],COLUMN(T_TraitDi[[#This Row],[M5]]),FALSE)="","",VLOOKUP(T_BilanSocial[[#This Row],[NumL]],T_TraitDi[#Data],COLUMN(T_TraitDi[[#This Row],[M5]]),FALSE))</f>
        <v>#VALUE!</v>
      </c>
      <c r="AB126" s="176" t="e">
        <f>IF(VLOOKUP(T_BilanSocial[[#This Row],[NumL]],T_TraitDi[#Data],COLUMN(T_TraitDi[[#This Row],[M6]]),FALSE)="","",VLOOKUP(T_BilanSocial[[#This Row],[NumL]],T_TraitDi[#Data],COLUMN(T_TraitDi[[#This Row],[M6]]),FALSE))</f>
        <v>#VALUE!</v>
      </c>
      <c r="AC126" s="165" t="e">
        <f t="shared" si="15"/>
        <v>#VALUE!</v>
      </c>
      <c r="AD126" s="188" t="str">
        <f>IFERROR(TEXT(VLOOKUP(T_BilanSocial[[#This Row],[NumL]],T_TraitDi[#Data],COLUMN(T_TraitDi[[#This Row],[Q2]]),FALSE),"###%"),"")</f>
        <v/>
      </c>
      <c r="AE126" s="97" t="e">
        <f>VLOOKUP(T_BilanSocial[[#This Row],[NumL]],T_TraitDi[#Data],COLUMN(T_TraitDi[[#This Row],[Reg Ponct]]),FALSE)</f>
        <v>#VALUE!</v>
      </c>
      <c r="AF126" s="97" t="e">
        <f>VLOOKUP(T_BilanSocial[NumL],T_TraitDi[#Data],COLUMN(T_TraitDi[[#This Row],[Jours flottants]]),FALSE)</f>
        <v>#VALUE!</v>
      </c>
      <c r="AG126" s="97" t="str">
        <f>IFERROR(VLOOKUP(T_BilanSocial[[#This Row],[NumL]],T_TraitDi[#Data],COLUMN(T_TraitDi[[#This Row],[Lundi]]),FALSE),"")</f>
        <v/>
      </c>
      <c r="AH126" s="172" t="e">
        <f>IF(VLOOKUP(T_BilanSocial[[#This Row],[NumL]],T_TraitDi[#Data],COLUMN(T_TraitDi[[#This Row],[Colonne3]]),FALSE)=0,"",TEXT(IFERROR(VLOOKUP(T_BilanSocial[[#This Row],[NumL]],T_TraitDi[#Data],COLUMN(T_TraitDi[[#This Row],[Colonne3]]),FALSE),""),"[hh]:mm"))</f>
        <v>#VALUE!</v>
      </c>
      <c r="AI126" s="172" t="e">
        <f>IF(VLOOKUP(T_BilanSocial[[#This Row],[NumL]],T_TraitDi[#Data],COLUMN(T_TraitDi[[#This Row],[Colonne4]]),FALSE)=0,"",TEXT(IFERROR(VLOOKUP(T_BilanSocial[[#This Row],[NumL]],T_TraitDi[#Data],COLUMN(T_TraitDi[[#This Row],[Colonne4]]),FALSE),""),"[hh]:mm"))</f>
        <v>#VALUE!</v>
      </c>
      <c r="AJ126" s="172" t="e">
        <f>IF(VLOOKUP(T_BilanSocial[[#This Row],[NumL]],T_TraitDi[#Data],COLUMN(T_TraitDi[[#This Row],[Colonne5]]),FALSE)=0,"",TEXT(IFERROR(VLOOKUP(T_BilanSocial[[#This Row],[NumL]],T_TraitDi[#Data],COLUMN(T_TraitDi[[#This Row],[Colonne5]]),FALSE),""),"[hh]:mm"))</f>
        <v>#VALUE!</v>
      </c>
      <c r="AK126" s="172" t="e">
        <f>IF(VLOOKUP(T_BilanSocial[[#This Row],[NumL]],T_TraitDi[#Data],COLUMN(T_TraitDi[[#This Row],[Colonne6]]),FALSE)=0,"",TEXT(IFERROR(VLOOKUP(T_BilanSocial[[#This Row],[NumL]],T_TraitDi[#Data],COLUMN(T_TraitDi[[#This Row],[Colonne6]]),FALSE),""),"[hh]:mm"))</f>
        <v>#VALUE!</v>
      </c>
      <c r="AL126" s="172" t="e">
        <f>IF(VLOOKUP(T_BilanSocial[[#This Row],[NumL]],T_TraitDi[#Data],COLUMN(T_TraitDi[[#This Row],[Colonne7]]),FALSE)=0,"",TEXT(IFERROR(VLOOKUP(T_BilanSocial[[#This Row],[NumL]],T_TraitDi[#Data],COLUMN(T_TraitDi[[#This Row],[Colonne7]]),FALSE),""),"[hh]:mm"))</f>
        <v>#VALUE!</v>
      </c>
      <c r="AM126" s="172" t="e">
        <f>IF(VLOOKUP(T_BilanSocial[[#This Row],[NumL]],T_TraitDi[#Data],COLUMN(T_TraitDi[[#This Row],[Colonne8]]),FALSE)=0,"",TEXT(IFERROR(VLOOKUP(T_BilanSocial[[#This Row],[NumL]],T_TraitDi[#Data],COLUMN(T_TraitDi[[#This Row],[Colonne8]]),FALSE),""),"[hh]:mm"))</f>
        <v>#VALUE!</v>
      </c>
      <c r="AN126" s="172" t="str">
        <f>IFERROR(VLOOKUP(T_BilanSocial[[#This Row],[NumL]],T_TraitDi[#Data],COLUMN(T_TraitDi[[#This Row],[Mardi]]),FALSE),"")</f>
        <v/>
      </c>
      <c r="AO126" s="172" t="e">
        <f>IF(VLOOKUP(T_BilanSocial[[#This Row],[NumL]],T_TraitDi[#Data],COLUMN(T_TraitDi[[#This Row],[Colonne1]]),FALSE)=0,"",TEXT(IFERROR(VLOOKUP(T_BilanSocial[[#This Row],[NumL]],T_TraitDi[#Data],COLUMN(T_TraitDi[[#This Row],[Colonne1]]),FALSE),""),"[hh]:mm"))</f>
        <v>#VALUE!</v>
      </c>
      <c r="AP126" s="172" t="e">
        <f>IF(VLOOKUP(T_BilanSocial[[#This Row],[NumL]],T_TraitDi[#Data],COLUMN(T_TraitDi[[#This Row],[Colonne9]]),FALSE)=0,"",TEXT(IFERROR(VLOOKUP(T_BilanSocial[[#This Row],[NumL]],T_TraitDi[#Data],COLUMN(T_TraitDi[[#This Row],[Colonne9]]),FALSE),""),"[hh]:mm"))</f>
        <v>#VALUE!</v>
      </c>
      <c r="AQ126" s="172" t="str">
        <f>IFERROR(VLOOKUP(T_BilanSocial[[#This Row],[NumL]],T_TraitDi[#Data],COLUMN(T_TraitDi[[#This Row],[Colonne10]]),FALSE),"")</f>
        <v/>
      </c>
      <c r="AR126" s="172" t="e">
        <f>IF(VLOOKUP(T_BilanSocial[[#This Row],[NumL]],T_TraitDi[#Data],COLUMN(T_TraitDi[[#This Row],[Colonne11]]),FALSE)=0,"",TEXT(IFERROR(VLOOKUP(T_BilanSocial[[#This Row],[NumL]],T_TraitDi[#Data],COLUMN(T_TraitDi[[#This Row],[Colonne11]]),FALSE),""),"[hh]:mm"))</f>
        <v>#VALUE!</v>
      </c>
      <c r="AS126" s="172" t="e">
        <f>IF(VLOOKUP(T_BilanSocial[[#This Row],[NumL]],T_TraitDi[#Data],COLUMN(T_TraitDi[[#This Row],[Colonne12]]),FALSE)=0,"",TEXT(IFERROR(VLOOKUP(T_BilanSocial[[#This Row],[NumL]],T_TraitDi[#Data],COLUMN(T_TraitDi[[#This Row],[Colonne12]]),FALSE),""),"[hh]:mm"))</f>
        <v>#VALUE!</v>
      </c>
      <c r="AT126" s="172" t="e">
        <f>IF(VLOOKUP(T_BilanSocial[[#This Row],[NumL]],T_TraitDi[#Data],COLUMN(T_TraitDi[[#This Row],[Colonne14]]),FALSE)=0,"",TEXT(IFERROR(VLOOKUP(T_BilanSocial[[#This Row],[NumL]],T_TraitDi[#Data],COLUMN(T_TraitDi[[#This Row],[Colonne14]]),FALSE),""),"[hh]:mm"))</f>
        <v>#VALUE!</v>
      </c>
      <c r="AU126" s="172" t="str">
        <f>IFERROR(VLOOKUP(T_BilanSocial[[#This Row],[NumL]],T_TraitDi[#Data],COLUMN(T_TraitDi[[#This Row],[Mercredi]]),FALSE),"")</f>
        <v/>
      </c>
      <c r="AV126" s="172" t="e">
        <f>IF(VLOOKUP(T_BilanSocial[[#This Row],[NumL]],T_TraitDi[#Data],COLUMN(T_TraitDi[[#This Row],[Colonne15]]),FALSE)=0,"",TEXT(IFERROR(VLOOKUP(T_BilanSocial[[#This Row],[NumL]],T_TraitDi[#Data],COLUMN(T_TraitDi[[#This Row],[Colonne15]]),FALSE),""),"[hh]:mm"))</f>
        <v>#VALUE!</v>
      </c>
      <c r="AW126" s="172" t="e">
        <f>IF(VLOOKUP(T_BilanSocial[[#This Row],[NumL]],T_TraitDi[#Data],COLUMN(T_TraitDi[[#This Row],[Colonne16]]),FALSE)=0,"",TEXT(IFERROR(VLOOKUP(T_BilanSocial[[#This Row],[NumL]],T_TraitDi[#Data],COLUMN(T_TraitDi[[#This Row],[Colonne16]]),FALSE),""),"[hh]:mm"))</f>
        <v>#VALUE!</v>
      </c>
      <c r="AX126" s="172" t="str">
        <f>IFERROR(VLOOKUP(T_BilanSocial[[#This Row],[NumL]],T_TraitDi[#Data],COLUMN(T_TraitDi[[#This Row],[Colonne17]]),FALSE),"")</f>
        <v/>
      </c>
      <c r="AY126" s="172" t="e">
        <f>IF(VLOOKUP(T_BilanSocial[[#This Row],[NumL]],T_TraitDi[#Data],COLUMN(T_TraitDi[[#This Row],[Colonne18]]),FALSE)=0,"",TEXT(IFERROR(VLOOKUP(T_BilanSocial[[#This Row],[NumL]],T_TraitDi[#Data],COLUMN(T_TraitDi[[#This Row],[Colonne18]]),FALSE),""),"[hh]:mm"))</f>
        <v>#VALUE!</v>
      </c>
      <c r="AZ126" s="172" t="e">
        <f>IF(VLOOKUP(T_BilanSocial[[#This Row],[NumL]],T_TraitDi[#Data],COLUMN(T_TraitDi[[#This Row],[Colonne19]]),FALSE)=0,"",TEXT(IFERROR(VLOOKUP(T_BilanSocial[[#This Row],[NumL]],T_TraitDi[#Data],COLUMN(T_TraitDi[[#This Row],[Colonne19]]),FALSE),""),"[hh]:mm"))</f>
        <v>#VALUE!</v>
      </c>
      <c r="BA126" s="172" t="e">
        <f>IF(VLOOKUP(T_BilanSocial[[#This Row],[NumL]],T_TraitDi[#Data],COLUMN(T_TraitDi[[#This Row],[Colonne20]]),FALSE)=0,"",TEXT(IFERROR(VLOOKUP(T_BilanSocial[[#This Row],[NumL]],T_TraitDi[#Data],COLUMN(T_TraitDi[[#This Row],[Colonne20]]),FALSE),""),"[hh]:mm"))</f>
        <v>#VALUE!</v>
      </c>
      <c r="BB126" s="178" t="str">
        <f>IFERROR(VLOOKUP(T_BilanSocial[[#This Row],[NumL]],T_TraitDi[#Data],COLUMN(T_TraitDi[[#This Row],[Jeudi]]),FALSE),"")</f>
        <v/>
      </c>
      <c r="BC126" s="178" t="e">
        <f>IF(VLOOKUP(T_BilanSocial[[#This Row],[NumL]],T_TraitDi[#Data],COLUMN(T_TraitDi[[#This Row],[Colonne21]]),FALSE)=0,"",TEXT(IFERROR(VLOOKUP(T_BilanSocial[[#This Row],[NumL]],T_TraitDi[#Data],COLUMN(T_TraitDi[[#This Row],[Colonne21]]),FALSE),""),"[hh]:mm"))</f>
        <v>#VALUE!</v>
      </c>
      <c r="BD126" s="178" t="e">
        <f>IF(VLOOKUP(T_BilanSocial[[#This Row],[NumL]],T_TraitDi[#Data],COLUMN(T_TraitDi[[#This Row],[Colonne22]]),FALSE)=0,"",TEXT(IFERROR(VLOOKUP(T_BilanSocial[[#This Row],[NumL]],T_TraitDi[#Data],COLUMN(T_TraitDi[[#This Row],[Colonne22]]),FALSE),""),"[hh]:mm"))</f>
        <v>#VALUE!</v>
      </c>
      <c r="BE126" s="178" t="str">
        <f>IFERROR(VLOOKUP(T_BilanSocial[[#This Row],[NumL]],T_TraitDi[#Data],COLUMN(T_TraitDi[[#This Row],[Colonne23]]),FALSE),"")</f>
        <v/>
      </c>
      <c r="BF126" s="178" t="e">
        <f>IF(VLOOKUP(T_BilanSocial[[#This Row],[NumL]],T_TraitDi[#Data],COLUMN(T_TraitDi[[#This Row],[Colonne24]]),FALSE)=0,"",TEXT(IFERROR(VLOOKUP(T_BilanSocial[[#This Row],[NumL]],T_TraitDi[#Data],COLUMN(T_TraitDi[[#This Row],[Colonne24]]),FALSE),""),"[hh]:mm"))</f>
        <v>#VALUE!</v>
      </c>
      <c r="BG126" s="178" t="e">
        <f>IF(VLOOKUP(T_BilanSocial[[#This Row],[NumL]],T_TraitDi[#Data],COLUMN(T_TraitDi[[#This Row],[Colonne25]]),FALSE)=0,"",TEXT(IFERROR(VLOOKUP(T_BilanSocial[[#This Row],[NumL]],T_TraitDi[#Data],COLUMN(T_TraitDi[[#This Row],[Colonne25]]),FALSE),""),"[hh]:mm"))</f>
        <v>#VALUE!</v>
      </c>
      <c r="BH126" s="178" t="e">
        <f>IF(VLOOKUP(T_BilanSocial[[#This Row],[NumL]],T_TraitDi[#Data],COLUMN(T_TraitDi[[#This Row],[Colonne26]]),FALSE)=0,"",TEXT(IFERROR(VLOOKUP(T_BilanSocial[[#This Row],[NumL]],T_TraitDi[#Data],COLUMN(T_TraitDi[[#This Row],[Colonne26]]),FALSE),""),"[hh]:mm"))</f>
        <v>#VALUE!</v>
      </c>
      <c r="BI126" s="172" t="str">
        <f>IFERROR(VLOOKUP(T_BilanSocial[[#This Row],[NumL]],T_TraitDi[#Data],COLUMN(T_TraitDi[[#This Row],[Vendredi]]),FALSE),"")</f>
        <v/>
      </c>
      <c r="BJ126" s="172" t="e">
        <f>IF(VLOOKUP(T_BilanSocial[[#This Row],[NumL]],T_TraitDi[#Data],COLUMN(T_TraitDi[[#This Row],[Colonne27]]),FALSE)=0,"",TEXT(IFERROR(VLOOKUP(T_BilanSocial[[#This Row],[NumL]],T_TraitDi[#Data],COLUMN(T_TraitDi[[#This Row],[Colonne27]]),FALSE),""),"[hh]:mm"))</f>
        <v>#VALUE!</v>
      </c>
      <c r="BK126" s="172" t="e">
        <f>IF(VLOOKUP(T_BilanSocial[[#This Row],[NumL]],T_TraitDi[#Data],COLUMN(T_TraitDi[[#This Row],[Colonne28]]),FALSE)=0,"",TEXT(IFERROR(VLOOKUP(T_BilanSocial[[#This Row],[NumL]],T_TraitDi[#Data],COLUMN(T_TraitDi[[#This Row],[Colonne28]]),FALSE),""),"[hh]:mm"))</f>
        <v>#VALUE!</v>
      </c>
      <c r="BL126" s="172" t="str">
        <f>IFERROR(VLOOKUP(T_BilanSocial[[#This Row],[NumL]],T_TraitDi[#Data],COLUMN(T_TraitDi[[#This Row],[Colonne29]]),FALSE),"")</f>
        <v/>
      </c>
      <c r="BM126" s="172" t="e">
        <f>IF(VLOOKUP(T_BilanSocial[[#This Row],[NumL]],T_TraitDi[#Data],COLUMN(T_TraitDi[[#This Row],[Colonne30]]),FALSE)=0,"",TEXT(IFERROR(VLOOKUP(T_BilanSocial[[#This Row],[NumL]],T_TraitDi[#Data],COLUMN(T_TraitDi[[#This Row],[Colonne30]]),FALSE),""),"[hh]:mm"))</f>
        <v>#VALUE!</v>
      </c>
      <c r="BN126" s="172" t="e">
        <f>IF(VLOOKUP(T_BilanSocial[[#This Row],[NumL]],T_TraitDi[#Data],COLUMN(T_TraitDi[[#This Row],[Colonne31]]),FALSE)=0,"",TEXT(IFERROR(VLOOKUP(T_BilanSocial[[#This Row],[NumL]],T_TraitDi[#Data],COLUMN(T_TraitDi[[#This Row],[Colonne31]]),FALSE),""),"[hh]:mm"))</f>
        <v>#VALUE!</v>
      </c>
      <c r="BO126" s="172" t="e">
        <f>IF(VLOOKUP(T_BilanSocial[[#This Row],[NumL]],T_TraitDi[#Data],COLUMN(T_TraitDi[[#This Row],[Colonne32]]),FALSE)=0,"",TEXT(IFERROR(VLOOKUP(T_BilanSocial[[#This Row],[NumL]],T_TraitDi[#Data],COLUMN(T_TraitDi[[#This Row],[Colonne32]]),FALSE),""),"[hh]:mm"))</f>
        <v>#VALUE!</v>
      </c>
      <c r="BP126" s="172" t="e">
        <f>VLOOKUP(T_BilanSocial[[#This Row],[NumL]],T_TraitDi[#Data],COLUMN(T_TraitDi[NbJTot]),FALSE)</f>
        <v>#N/A</v>
      </c>
      <c r="BQ126" s="174" t="str">
        <f>IFERROR(VLOOKUP(T_BilanSocial[[#This Row],[NumL]],T_TraitDi[#Data],COLUMN(T_TraitDi[[#This Row],[NbJTW]]),FALSE),"")</f>
        <v/>
      </c>
      <c r="BR126" s="174" t="e">
        <f>IF(VLOOKUP(T_BilanSocial[[#This Row],[NumL]],T_TraitDi[#Data],COLUMN(T_TraitDi[[#This Row],[NbhTW]]),FALSE)=0,"",TEXT(IFERROR(VLOOKUP(T_BilanSocial[[#This Row],[NumL]],T_TraitDi[#Data],COLUMN(T_TraitDi[[#This Row],[NbhTW]]),FALSE),""),"[hh]:mm"))</f>
        <v>#VALUE!</v>
      </c>
      <c r="BS126" s="174" t="e">
        <f>IF(VLOOKUP(T_BilanSocial[[#This Row],[NumL]],T_TraitDi[#Data],COLUMN(T_TraitDi[[#This Row],[Nbhheb]]),FALSE)=0,"",TEXT(IFERROR(VLOOKUP($A126,T_TraitDi[#Data],COLUMN(T_TraitDi[[#This Row],[Nbhheb]]),FALSE),""),"[hh]:mm"))</f>
        <v>#VALUE!</v>
      </c>
      <c r="BT126" s="182" t="str">
        <f>IFERROR(VLOOKUP(VLOOKUP($A126,T_TraitDi[#Data],COLUMN(T_TraitDi[[#This Row],[Type1]]),FALSE),TypeTW,2,FALSE),"")</f>
        <v/>
      </c>
      <c r="BU126" s="182" t="str">
        <f>IFERROR(VLOOKUP($A126,T_TraitDi[#Data],COLUMN(T_TraitDi[[#This Row],[Rue1]]),FALSE),"")</f>
        <v/>
      </c>
      <c r="BV126" s="173" t="str">
        <f>IFERROR(VLOOKUP($A126,T_TraitDi[#Data],COLUMN(T_TraitDi[[#This Row],[CP1]]),FALSE),"")</f>
        <v/>
      </c>
      <c r="BW126" s="173" t="str">
        <f>IFERROR(VLOOKUP($A126,T_TraitDi[#Data],COLUMN(T_TraitDi[[#This Row],[VILLE1]]),FALSE),"")</f>
        <v/>
      </c>
      <c r="BX126" s="182" t="str">
        <f>IFERROR(VLOOKUP(VLOOKUP($A126,T_TraitDi[#Data],COLUMN(T_TraitDi[[#This Row],[Type2]]),FALSE),TypeTW,2,FALSE),"")</f>
        <v/>
      </c>
      <c r="BY126" s="182" t="str">
        <f>IFERROR(VLOOKUP($A126,T_TraitDi[#Data],COLUMN(T_TraitDi[[#This Row],[Rue2]]),FALSE),"")</f>
        <v/>
      </c>
      <c r="BZ126" s="173" t="str">
        <f>IFERROR(VLOOKUP($A126,T_TraitDi[#Data],COLUMN(T_TraitDi[[#This Row],[CP2]]),FALSE),"")</f>
        <v/>
      </c>
      <c r="CA126" s="173" t="str">
        <f>IFERROR(VLOOKUP($A126,T_TraitDi[#Data],COLUMN(T_TraitDi[[#This Row],[VILLE2]]),FALSE),"")</f>
        <v/>
      </c>
      <c r="CB126" s="182" t="str">
        <f>IF(VLOOKUP(T_BilanSocial[[#This Row],[NumL]],T_Equipement[#Data],COLUMN(T_Equipement[[#This Row],[PC]]),FALSE)="","Aucun équipement spécifique directement lié au télétravail",VLOOKUP(T_BilanSocial[[#This Row],[NumL]],T_Equipement[#Data],COLUMN(T_Equipement[[#This Row],[PC]]),FALSE))</f>
        <v xml:space="preserve">20-031	</v>
      </c>
      <c r="CC126" s="166" t="str">
        <f>IFERROR(IF(VLOOKUP(T_BilanSocial[[#This Row],[NumL]],T_TraitDi[#Data],COLUMN(T_TraitDi[[#This Row],[Plan]]),FALSE)="OK","Un planning spécifique de télétravail est annexé à la présente convention.",""),"")</f>
        <v/>
      </c>
      <c r="CD126" s="258" t="s">
        <v>3459</v>
      </c>
      <c r="CE126" s="164" t="e">
        <f>IF(VLOOKUP(T_BilanSocial[[#This Row],[NumL]],T_suiviDi[#Data],COLUMN(T_suiviDi[[#This Row],[Entité]]),FALSE)="","",VLOOKUP(T_BilanSocial[[#This Row],[NumL]],T_suiviDi[#Data],COLUMN(T_suiviDi[[#This Row],[Entité]]),FALSE))</f>
        <v>#VALUE!</v>
      </c>
      <c r="CF126" s="164" t="str">
        <f>IF(VLOOKUP(T_BilanSocial[[#This Row],[NumL]],T_Commission[#Data],COLUMN(T_Commission[[#This Row],[envoi confirm TW]]),FALSE)="","",VLOOKUP(T_BilanSocial[[#This Row],[NumL]],T_Commission[#Data],COLUMN(T_Commission[[#This Row],[envoi confirm TW]]),FALSE))</f>
        <v>Oui</v>
      </c>
      <c r="CG12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6" s="262" t="str">
        <f>T_BilanSocial[[#This Row],[Nom]]&amp;T_BilanSocial[[#This Row],[Prenom]]</f>
        <v/>
      </c>
      <c r="CI126" s="262">
        <f>VLOOKUP(T_BilanSocial[[#This Row],[NumL]],T_Commission[#Data],COLUMN(T_Commission[Commentaire]),FALSE)</f>
        <v>0</v>
      </c>
      <c r="CJ126" s="262" t="str">
        <f>IF(VLOOKUP(T_BilanSocial[[#This Row],[NumL]],T_Commission[#Data],COLUMN(T_Commission[Encadrant Email]),FALSE)="","",VLOOKUP(T_BilanSocial[[#This Row],[NumL]],T_Commission[#Data],COLUMN(T_Commission[Encadrant Email]),FALSE))</f>
        <v/>
      </c>
      <c r="CK126" s="340" t="str">
        <f>IF(T_BilanSocial[[#This Row],[Final]]&lt;&gt;"",VLOOKUP(T_BilanSocial[[#This Row],[NumL]],T_suiviDi[#Data],COLUMN((T_suiviDi[Statut])),FALSE),"")</f>
        <v/>
      </c>
    </row>
    <row r="127" spans="1:89" s="106" customFormat="1" ht="24.75" customHeight="1" x14ac:dyDescent="0.25">
      <c r="A127" s="160">
        <v>124</v>
      </c>
      <c r="B127" s="161" t="e">
        <f t="shared" si="10"/>
        <v>#N/A</v>
      </c>
      <c r="C127" s="162" t="s">
        <v>173</v>
      </c>
      <c r="D127" s="95" t="e">
        <f>IF(VLOOKUP(T_BilanSocial[[#This Row],[NumL]],T_TraitDi[#Data],COLUMN(T_TraitDi[[#This Row],[WebC]]),FALSE)="","",VLOOKUP(T_BilanSocial[[#This Row],[NumL]],T_TraitDi[#Data],COLUMN(T_TraitDi[[#This Row],[WebC]]),FALSE))</f>
        <v>#VALUE!</v>
      </c>
      <c r="E127" s="163" t="str">
        <f t="shared" si="11"/>
        <v>12 janvier 2021</v>
      </c>
      <c r="F127" s="96" t="e">
        <f>IF(T_BilanSocial[[#This Row],[Final]]&lt;&gt;"",VLOOKUP(T_BilanSocial[[#This Row],[NumL]],T_suiviDi[#Data],COLUMN((T_suiviDi[Civ.])),FALSE),"")</f>
        <v>#N/A</v>
      </c>
      <c r="G127" s="96" t="e">
        <f>IF(T_BilanSocial[[#This Row],[Final]]&lt;&gt;"",VLOOKUP(T_BilanSocial[[#This Row],[NumL]],T_suiviDi[#Data],COLUMN((T_suiviDi[Nom])),FALSE),"")</f>
        <v>#N/A</v>
      </c>
      <c r="H127" s="96" t="e">
        <f>IF(T_BilanSocial[[#This Row],[Final]]&lt;&gt;"",VLOOKUP(T_BilanSocial[[#This Row],[NumL]],T_suiviDi[#Data],COLUMN((T_suiviDi[Prénom])),FALSE),"")</f>
        <v>#N/A</v>
      </c>
      <c r="I127" s="96" t="str">
        <f>IFERROR(VLOOKUP(T_BilanSocial[[#This Row],[Zone_Bilan]],T_P_BilanSocial[#Data],COLUMN(T_P_BilanSocial[[#This Row],[Numero_SIHAM]]),FALSE),"")</f>
        <v/>
      </c>
      <c r="J127" s="96" t="str">
        <f>IFERROR(VLOOKUP(T_BilanSocial[[#This Row],[Zone_Bilan]],T_P_BilanSocial[#Data],COLUMN(T_P_BilanSocial[[#This Row],[Sexe]]),FALSE),"")</f>
        <v/>
      </c>
      <c r="K127" s="97" t="str">
        <f>IFERROR(VLOOKUP(T_BilanSocial[[#This Row],[Zone_Bilan]],T_P_BilanSocial[#Data],COLUMN(T_P_BilanSocial[[#This Row],[Categorie]]),FALSE),"")</f>
        <v/>
      </c>
      <c r="L127" s="96" t="str">
        <f>IFERROR(VLOOKUP(T_BilanSocial[[#This Row],[Zone_Bilan]],T_P_BilanSocial[#Data],COLUMN(T_P_BilanSocial[[#This Row],[Statut]]),FALSE),"")</f>
        <v/>
      </c>
      <c r="M127" s="96" t="str">
        <f>IFERROR(VLOOKUP(T_BilanSocial[[#This Row],[Zone_Bilan]],T_P_BilanSocial[#Data],COLUMN(T_P_BilanSocial[[#This Row],[Filiere]]),FALSE),"")</f>
        <v/>
      </c>
      <c r="N127" s="96" t="e">
        <f>VLOOKUP(T_BilanSocial[[#This Row],[NumL]],T_TraitDi[#Data],COLUMN(T_TraitDi[EXP]),FALSE)</f>
        <v>#N/A</v>
      </c>
      <c r="O127" s="96" t="e">
        <f>VLOOKUP(T_BilanSocial[[#This Row],[NumL]],T_TraitDi[#Data],COLUMN(T_TraitDi[FORM]),FALSE)</f>
        <v>#N/A</v>
      </c>
      <c r="P127" s="96" t="e">
        <f>IF(T_BilanSocial[[#This Row],[Final]]&lt;&gt;"",VLOOKUP(T_BilanSocial[[#This Row],[NumL]],T_suiviDi[#Data],COLUMN((T_suiviDi[Email])),FALSE),"")</f>
        <v>#N/A</v>
      </c>
      <c r="Q127" s="164" t="e">
        <f t="shared" si="17"/>
        <v>#N/A</v>
      </c>
      <c r="R127" s="164" t="e">
        <f t="shared" si="18"/>
        <v>#N/A</v>
      </c>
      <c r="S127" s="164" t="e">
        <f>IF(VLOOKUP(T_BilanSocial[[#This Row],[NumL]],T_suiviDi[#Data],COLUMN(T_suiviDi[[#This Row],[Service ]]),FALSE)="","",VLOOKUP(T_BilanSocial[[#This Row],[NumL]],T_suiviDi[#Data],COLUMN(T_suiviDi[[#This Row],[Service ]]),FALSE))</f>
        <v>#VALUE!</v>
      </c>
      <c r="T127" s="164" t="str">
        <f t="shared" si="12"/>
        <v>01 septembre 2021</v>
      </c>
      <c r="U127" s="164" t="str">
        <f t="shared" si="13"/>
        <v>30 novembre 2021</v>
      </c>
      <c r="V127" s="164" t="str">
        <f t="shared" si="21"/>
        <v>30 novembre 2021</v>
      </c>
      <c r="W127" s="176" t="e">
        <f>IF(VLOOKUP(T_BilanSocial[[#This Row],[NumL]],T_TraitDi[#Data],COLUMN(T_TraitDi[[#This Row],[M1]]),FALSE)="","",VLOOKUP(T_BilanSocial[[#This Row],[NumL]],T_TraitDi[#Data],COLUMN(T_TraitDi[[#This Row],[M1]]),FALSE))</f>
        <v>#VALUE!</v>
      </c>
      <c r="X127" s="176" t="e">
        <f>IF(VLOOKUP(T_BilanSocial[[#This Row],[NumL]],T_TraitDi[#Data],COLUMN(T_TraitDi[[#This Row],[M2]]),FALSE)="","",VLOOKUP(T_BilanSocial[[#This Row],[NumL]],T_TraitDi[#Data],COLUMN(T_TraitDi[[#This Row],[M2]]),FALSE))</f>
        <v>#VALUE!</v>
      </c>
      <c r="Y127" s="176" t="e">
        <f>IF(VLOOKUP(T_BilanSocial[[#This Row],[NumL]],T_TraitDi[#Data],COLUMN(T_TraitDi[[#This Row],[M3]]),FALSE)="","",VLOOKUP(T_BilanSocial[[#This Row],[NumL]],T_TraitDi[#Data],COLUMN(T_TraitDi[[#This Row],[M3]]),FALSE))</f>
        <v>#VALUE!</v>
      </c>
      <c r="Z127" s="176" t="str">
        <f t="shared" si="16"/>
        <v/>
      </c>
      <c r="AA127" s="176" t="e">
        <f>IF(VLOOKUP(T_BilanSocial[[#This Row],[NumL]],T_TraitDi[#Data],COLUMN(T_TraitDi[[#This Row],[M5]]),FALSE)="","",VLOOKUP(T_BilanSocial[[#This Row],[NumL]],T_TraitDi[#Data],COLUMN(T_TraitDi[[#This Row],[M5]]),FALSE))</f>
        <v>#VALUE!</v>
      </c>
      <c r="AB127" s="176" t="e">
        <f>IF(VLOOKUP(T_BilanSocial[[#This Row],[NumL]],T_TraitDi[#Data],COLUMN(T_TraitDi[[#This Row],[M6]]),FALSE)="","",VLOOKUP(T_BilanSocial[[#This Row],[NumL]],T_TraitDi[#Data],COLUMN(T_TraitDi[[#This Row],[M6]]),FALSE))</f>
        <v>#VALUE!</v>
      </c>
      <c r="AC127" s="165" t="e">
        <f t="shared" si="15"/>
        <v>#VALUE!</v>
      </c>
      <c r="AD127" s="188" t="str">
        <f>IFERROR(TEXT(VLOOKUP(T_BilanSocial[[#This Row],[NumL]],T_TraitDi[#Data],COLUMN(T_TraitDi[[#This Row],[Q2]]),FALSE),"###%"),"")</f>
        <v/>
      </c>
      <c r="AE127" s="97" t="e">
        <f>VLOOKUP(T_BilanSocial[[#This Row],[NumL]],T_TraitDi[#Data],COLUMN(T_TraitDi[[#This Row],[Reg Ponct]]),FALSE)</f>
        <v>#VALUE!</v>
      </c>
      <c r="AF127" s="97" t="e">
        <f>VLOOKUP(T_BilanSocial[NumL],T_TraitDi[#Data],COLUMN(T_TraitDi[[#This Row],[Jours flottants]]),FALSE)</f>
        <v>#VALUE!</v>
      </c>
      <c r="AG127" s="97" t="str">
        <f>IFERROR(VLOOKUP(T_BilanSocial[[#This Row],[NumL]],T_TraitDi[#Data],COLUMN(T_TraitDi[[#This Row],[Lundi]]),FALSE),"")</f>
        <v/>
      </c>
      <c r="AH127" s="172" t="e">
        <f>IF(VLOOKUP(T_BilanSocial[[#This Row],[NumL]],T_TraitDi[#Data],COLUMN(T_TraitDi[[#This Row],[Colonne3]]),FALSE)=0,"",TEXT(IFERROR(VLOOKUP(T_BilanSocial[[#This Row],[NumL]],T_TraitDi[#Data],COLUMN(T_TraitDi[[#This Row],[Colonne3]]),FALSE),""),"[hh]:mm"))</f>
        <v>#VALUE!</v>
      </c>
      <c r="AI127" s="172" t="e">
        <f>IF(VLOOKUP(T_BilanSocial[[#This Row],[NumL]],T_TraitDi[#Data],COLUMN(T_TraitDi[[#This Row],[Colonne4]]),FALSE)=0,"",TEXT(IFERROR(VLOOKUP(T_BilanSocial[[#This Row],[NumL]],T_TraitDi[#Data],COLUMN(T_TraitDi[[#This Row],[Colonne4]]),FALSE),""),"[hh]:mm"))</f>
        <v>#VALUE!</v>
      </c>
      <c r="AJ127" s="172" t="e">
        <f>IF(VLOOKUP(T_BilanSocial[[#This Row],[NumL]],T_TraitDi[#Data],COLUMN(T_TraitDi[[#This Row],[Colonne5]]),FALSE)=0,"",TEXT(IFERROR(VLOOKUP(T_BilanSocial[[#This Row],[NumL]],T_TraitDi[#Data],COLUMN(T_TraitDi[[#This Row],[Colonne5]]),FALSE),""),"[hh]:mm"))</f>
        <v>#VALUE!</v>
      </c>
      <c r="AK127" s="172" t="e">
        <f>IF(VLOOKUP(T_BilanSocial[[#This Row],[NumL]],T_TraitDi[#Data],COLUMN(T_TraitDi[[#This Row],[Colonne6]]),FALSE)=0,"",TEXT(IFERROR(VLOOKUP(T_BilanSocial[[#This Row],[NumL]],T_TraitDi[#Data],COLUMN(T_TraitDi[[#This Row],[Colonne6]]),FALSE),""),"[hh]:mm"))</f>
        <v>#VALUE!</v>
      </c>
      <c r="AL127" s="172" t="e">
        <f>IF(VLOOKUP(T_BilanSocial[[#This Row],[NumL]],T_TraitDi[#Data],COLUMN(T_TraitDi[[#This Row],[Colonne7]]),FALSE)=0,"",TEXT(IFERROR(VLOOKUP(T_BilanSocial[[#This Row],[NumL]],T_TraitDi[#Data],COLUMN(T_TraitDi[[#This Row],[Colonne7]]),FALSE),""),"[hh]:mm"))</f>
        <v>#VALUE!</v>
      </c>
      <c r="AM127" s="172" t="e">
        <f>IF(VLOOKUP(T_BilanSocial[[#This Row],[NumL]],T_TraitDi[#Data],COLUMN(T_TraitDi[[#This Row],[Colonne8]]),FALSE)=0,"",TEXT(IFERROR(VLOOKUP(T_BilanSocial[[#This Row],[NumL]],T_TraitDi[#Data],COLUMN(T_TraitDi[[#This Row],[Colonne8]]),FALSE),""),"[hh]:mm"))</f>
        <v>#VALUE!</v>
      </c>
      <c r="AN127" s="172" t="str">
        <f>IFERROR(VLOOKUP(T_BilanSocial[[#This Row],[NumL]],T_TraitDi[#Data],COLUMN(T_TraitDi[[#This Row],[Mardi]]),FALSE),"")</f>
        <v/>
      </c>
      <c r="AO127" s="172" t="e">
        <f>IF(VLOOKUP(T_BilanSocial[[#This Row],[NumL]],T_TraitDi[#Data],COLUMN(T_TraitDi[[#This Row],[Colonne1]]),FALSE)=0,"",TEXT(IFERROR(VLOOKUP(T_BilanSocial[[#This Row],[NumL]],T_TraitDi[#Data],COLUMN(T_TraitDi[[#This Row],[Colonne1]]),FALSE),""),"[hh]:mm"))</f>
        <v>#VALUE!</v>
      </c>
      <c r="AP127" s="172" t="e">
        <f>IF(VLOOKUP(T_BilanSocial[[#This Row],[NumL]],T_TraitDi[#Data],COLUMN(T_TraitDi[[#This Row],[Colonne9]]),FALSE)=0,"",TEXT(IFERROR(VLOOKUP(T_BilanSocial[[#This Row],[NumL]],T_TraitDi[#Data],COLUMN(T_TraitDi[[#This Row],[Colonne9]]),FALSE),""),"[hh]:mm"))</f>
        <v>#VALUE!</v>
      </c>
      <c r="AQ127" s="172" t="str">
        <f>IFERROR(VLOOKUP(T_BilanSocial[[#This Row],[NumL]],T_TraitDi[#Data],COLUMN(T_TraitDi[[#This Row],[Colonne10]]),FALSE),"")</f>
        <v/>
      </c>
      <c r="AR127" s="172" t="e">
        <f>IF(VLOOKUP(T_BilanSocial[[#This Row],[NumL]],T_TraitDi[#Data],COLUMN(T_TraitDi[[#This Row],[Colonne11]]),FALSE)=0,"",TEXT(IFERROR(VLOOKUP(T_BilanSocial[[#This Row],[NumL]],T_TraitDi[#Data],COLUMN(T_TraitDi[[#This Row],[Colonne11]]),FALSE),""),"[hh]:mm"))</f>
        <v>#VALUE!</v>
      </c>
      <c r="AS127" s="172" t="e">
        <f>IF(VLOOKUP(T_BilanSocial[[#This Row],[NumL]],T_TraitDi[#Data],COLUMN(T_TraitDi[[#This Row],[Colonne12]]),FALSE)=0,"",TEXT(IFERROR(VLOOKUP(T_BilanSocial[[#This Row],[NumL]],T_TraitDi[#Data],COLUMN(T_TraitDi[[#This Row],[Colonne12]]),FALSE),""),"[hh]:mm"))</f>
        <v>#VALUE!</v>
      </c>
      <c r="AT127" s="172" t="e">
        <f>IF(VLOOKUP(T_BilanSocial[[#This Row],[NumL]],T_TraitDi[#Data],COLUMN(T_TraitDi[[#This Row],[Colonne14]]),FALSE)=0,"",TEXT(IFERROR(VLOOKUP(T_BilanSocial[[#This Row],[NumL]],T_TraitDi[#Data],COLUMN(T_TraitDi[[#This Row],[Colonne14]]),FALSE),""),"[hh]:mm"))</f>
        <v>#VALUE!</v>
      </c>
      <c r="AU127" s="172" t="str">
        <f>IFERROR(VLOOKUP(T_BilanSocial[[#This Row],[NumL]],T_TraitDi[#Data],COLUMN(T_TraitDi[[#This Row],[Mercredi]]),FALSE),"")</f>
        <v/>
      </c>
      <c r="AV127" s="172" t="e">
        <f>IF(VLOOKUP(T_BilanSocial[[#This Row],[NumL]],T_TraitDi[#Data],COLUMN(T_TraitDi[[#This Row],[Colonne15]]),FALSE)=0,"",TEXT(IFERROR(VLOOKUP(T_BilanSocial[[#This Row],[NumL]],T_TraitDi[#Data],COLUMN(T_TraitDi[[#This Row],[Colonne15]]),FALSE),""),"[hh]:mm"))</f>
        <v>#VALUE!</v>
      </c>
      <c r="AW127" s="172" t="e">
        <f>IF(VLOOKUP(T_BilanSocial[[#This Row],[NumL]],T_TraitDi[#Data],COLUMN(T_TraitDi[[#This Row],[Colonne16]]),FALSE)=0,"",TEXT(IFERROR(VLOOKUP(T_BilanSocial[[#This Row],[NumL]],T_TraitDi[#Data],COLUMN(T_TraitDi[[#This Row],[Colonne16]]),FALSE),""),"[hh]:mm"))</f>
        <v>#VALUE!</v>
      </c>
      <c r="AX127" s="172" t="str">
        <f>IFERROR(VLOOKUP(T_BilanSocial[[#This Row],[NumL]],T_TraitDi[#Data],COLUMN(T_TraitDi[[#This Row],[Colonne17]]),FALSE),"")</f>
        <v/>
      </c>
      <c r="AY127" s="172" t="e">
        <f>IF(VLOOKUP(T_BilanSocial[[#This Row],[NumL]],T_TraitDi[#Data],COLUMN(T_TraitDi[[#This Row],[Colonne18]]),FALSE)=0,"",TEXT(IFERROR(VLOOKUP(T_BilanSocial[[#This Row],[NumL]],T_TraitDi[#Data],COLUMN(T_TraitDi[[#This Row],[Colonne18]]),FALSE),""),"[hh]:mm"))</f>
        <v>#VALUE!</v>
      </c>
      <c r="AZ127" s="172" t="e">
        <f>IF(VLOOKUP(T_BilanSocial[[#This Row],[NumL]],T_TraitDi[#Data],COLUMN(T_TraitDi[[#This Row],[Colonne19]]),FALSE)=0,"",TEXT(IFERROR(VLOOKUP(T_BilanSocial[[#This Row],[NumL]],T_TraitDi[#Data],COLUMN(T_TraitDi[[#This Row],[Colonne19]]),FALSE),""),"[hh]:mm"))</f>
        <v>#VALUE!</v>
      </c>
      <c r="BA127" s="172" t="e">
        <f>IF(VLOOKUP(T_BilanSocial[[#This Row],[NumL]],T_TraitDi[#Data],COLUMN(T_TraitDi[[#This Row],[Colonne20]]),FALSE)=0,"",TEXT(IFERROR(VLOOKUP(T_BilanSocial[[#This Row],[NumL]],T_TraitDi[#Data],COLUMN(T_TraitDi[[#This Row],[Colonne20]]),FALSE),""),"[hh]:mm"))</f>
        <v>#VALUE!</v>
      </c>
      <c r="BB127" s="178" t="str">
        <f>IFERROR(VLOOKUP(T_BilanSocial[[#This Row],[NumL]],T_TraitDi[#Data],COLUMN(T_TraitDi[[#This Row],[Jeudi]]),FALSE),"")</f>
        <v/>
      </c>
      <c r="BC127" s="178" t="e">
        <f>IF(VLOOKUP(T_BilanSocial[[#This Row],[NumL]],T_TraitDi[#Data],COLUMN(T_TraitDi[[#This Row],[Colonne21]]),FALSE)=0,"",TEXT(IFERROR(VLOOKUP(T_BilanSocial[[#This Row],[NumL]],T_TraitDi[#Data],COLUMN(T_TraitDi[[#This Row],[Colonne21]]),FALSE),""),"[hh]:mm"))</f>
        <v>#VALUE!</v>
      </c>
      <c r="BD127" s="178" t="e">
        <f>IF(VLOOKUP(T_BilanSocial[[#This Row],[NumL]],T_TraitDi[#Data],COLUMN(T_TraitDi[[#This Row],[Colonne22]]),FALSE)=0,"",TEXT(IFERROR(VLOOKUP(T_BilanSocial[[#This Row],[NumL]],T_TraitDi[#Data],COLUMN(T_TraitDi[[#This Row],[Colonne22]]),FALSE),""),"[hh]:mm"))</f>
        <v>#VALUE!</v>
      </c>
      <c r="BE127" s="178" t="str">
        <f>IFERROR(VLOOKUP(T_BilanSocial[[#This Row],[NumL]],T_TraitDi[#Data],COLUMN(T_TraitDi[[#This Row],[Colonne23]]),FALSE),"")</f>
        <v/>
      </c>
      <c r="BF127" s="178" t="e">
        <f>IF(VLOOKUP(T_BilanSocial[[#This Row],[NumL]],T_TraitDi[#Data],COLUMN(T_TraitDi[[#This Row],[Colonne24]]),FALSE)=0,"",TEXT(IFERROR(VLOOKUP(T_BilanSocial[[#This Row],[NumL]],T_TraitDi[#Data],COLUMN(T_TraitDi[[#This Row],[Colonne24]]),FALSE),""),"[hh]:mm"))</f>
        <v>#VALUE!</v>
      </c>
      <c r="BG127" s="178" t="e">
        <f>IF(VLOOKUP(T_BilanSocial[[#This Row],[NumL]],T_TraitDi[#Data],COLUMN(T_TraitDi[[#This Row],[Colonne25]]),FALSE)=0,"",TEXT(IFERROR(VLOOKUP(T_BilanSocial[[#This Row],[NumL]],T_TraitDi[#Data],COLUMN(T_TraitDi[[#This Row],[Colonne25]]),FALSE),""),"[hh]:mm"))</f>
        <v>#VALUE!</v>
      </c>
      <c r="BH127" s="178" t="e">
        <f>IF(VLOOKUP(T_BilanSocial[[#This Row],[NumL]],T_TraitDi[#Data],COLUMN(T_TraitDi[[#This Row],[Colonne26]]),FALSE)=0,"",TEXT(IFERROR(VLOOKUP(T_BilanSocial[[#This Row],[NumL]],T_TraitDi[#Data],COLUMN(T_TraitDi[[#This Row],[Colonne26]]),FALSE),""),"[hh]:mm"))</f>
        <v>#VALUE!</v>
      </c>
      <c r="BI127" s="172" t="str">
        <f>IFERROR(VLOOKUP(T_BilanSocial[[#This Row],[NumL]],T_TraitDi[#Data],COLUMN(T_TraitDi[[#This Row],[Vendredi]]),FALSE),"")</f>
        <v/>
      </c>
      <c r="BJ127" s="172" t="e">
        <f>IF(VLOOKUP(T_BilanSocial[[#This Row],[NumL]],T_TraitDi[#Data],COLUMN(T_TraitDi[[#This Row],[Colonne27]]),FALSE)=0,"",TEXT(IFERROR(VLOOKUP(T_BilanSocial[[#This Row],[NumL]],T_TraitDi[#Data],COLUMN(T_TraitDi[[#This Row],[Colonne27]]),FALSE),""),"[hh]:mm"))</f>
        <v>#VALUE!</v>
      </c>
      <c r="BK127" s="172" t="e">
        <f>IF(VLOOKUP(T_BilanSocial[[#This Row],[NumL]],T_TraitDi[#Data],COLUMN(T_TraitDi[[#This Row],[Colonne28]]),FALSE)=0,"",TEXT(IFERROR(VLOOKUP(T_BilanSocial[[#This Row],[NumL]],T_TraitDi[#Data],COLUMN(T_TraitDi[[#This Row],[Colonne28]]),FALSE),""),"[hh]:mm"))</f>
        <v>#VALUE!</v>
      </c>
      <c r="BL127" s="172" t="str">
        <f>IFERROR(VLOOKUP(T_BilanSocial[[#This Row],[NumL]],T_TraitDi[#Data],COLUMN(T_TraitDi[[#This Row],[Colonne29]]),FALSE),"")</f>
        <v/>
      </c>
      <c r="BM127" s="172" t="e">
        <f>IF(VLOOKUP(T_BilanSocial[[#This Row],[NumL]],T_TraitDi[#Data],COLUMN(T_TraitDi[[#This Row],[Colonne30]]),FALSE)=0,"",TEXT(IFERROR(VLOOKUP(T_BilanSocial[[#This Row],[NumL]],T_TraitDi[#Data],COLUMN(T_TraitDi[[#This Row],[Colonne30]]),FALSE),""),"[hh]:mm"))</f>
        <v>#VALUE!</v>
      </c>
      <c r="BN127" s="172" t="e">
        <f>IF(VLOOKUP(T_BilanSocial[[#This Row],[NumL]],T_TraitDi[#Data],COLUMN(T_TraitDi[[#This Row],[Colonne31]]),FALSE)=0,"",TEXT(IFERROR(VLOOKUP(T_BilanSocial[[#This Row],[NumL]],T_TraitDi[#Data],COLUMN(T_TraitDi[[#This Row],[Colonne31]]),FALSE),""),"[hh]:mm"))</f>
        <v>#VALUE!</v>
      </c>
      <c r="BO127" s="172" t="e">
        <f>IF(VLOOKUP(T_BilanSocial[[#This Row],[NumL]],T_TraitDi[#Data],COLUMN(T_TraitDi[[#This Row],[Colonne32]]),FALSE)=0,"",TEXT(IFERROR(VLOOKUP(T_BilanSocial[[#This Row],[NumL]],T_TraitDi[#Data],COLUMN(T_TraitDi[[#This Row],[Colonne32]]),FALSE),""),"[hh]:mm"))</f>
        <v>#VALUE!</v>
      </c>
      <c r="BP127" s="172" t="e">
        <f>VLOOKUP(T_BilanSocial[[#This Row],[NumL]],T_TraitDi[#Data],COLUMN(T_TraitDi[NbJTot]),FALSE)</f>
        <v>#N/A</v>
      </c>
      <c r="BQ127" s="174" t="str">
        <f>IFERROR(VLOOKUP(T_BilanSocial[[#This Row],[NumL]],T_TraitDi[#Data],COLUMN(T_TraitDi[[#This Row],[NbJTW]]),FALSE),"")</f>
        <v/>
      </c>
      <c r="BR127" s="174" t="e">
        <f>IF(VLOOKUP(T_BilanSocial[[#This Row],[NumL]],T_TraitDi[#Data],COLUMN(T_TraitDi[[#This Row],[NbhTW]]),FALSE)=0,"",TEXT(IFERROR(VLOOKUP(T_BilanSocial[[#This Row],[NumL]],T_TraitDi[#Data],COLUMN(T_TraitDi[[#This Row],[NbhTW]]),FALSE),""),"[hh]:mm"))</f>
        <v>#VALUE!</v>
      </c>
      <c r="BS127" s="174" t="e">
        <f>IF(VLOOKUP(T_BilanSocial[[#This Row],[NumL]],T_TraitDi[#Data],COLUMN(T_TraitDi[[#This Row],[Nbhheb]]),FALSE)=0,"",TEXT(IFERROR(VLOOKUP($A127,T_TraitDi[#Data],COLUMN(T_TraitDi[[#This Row],[Nbhheb]]),FALSE),""),"[hh]:mm"))</f>
        <v>#VALUE!</v>
      </c>
      <c r="BT127" s="182" t="str">
        <f>IFERROR(VLOOKUP(VLOOKUP($A127,T_TraitDi[#Data],COLUMN(T_TraitDi[[#This Row],[Type1]]),FALSE),TypeTW,2,FALSE),"")</f>
        <v/>
      </c>
      <c r="BU127" s="182" t="str">
        <f>IFERROR(VLOOKUP($A127,T_TraitDi[#Data],COLUMN(T_TraitDi[[#This Row],[Rue1]]),FALSE),"")</f>
        <v/>
      </c>
      <c r="BV127" s="173" t="str">
        <f>IFERROR(VLOOKUP($A127,T_TraitDi[#Data],COLUMN(T_TraitDi[[#This Row],[CP1]]),FALSE),"")</f>
        <v/>
      </c>
      <c r="BW127" s="173" t="str">
        <f>IFERROR(VLOOKUP($A127,T_TraitDi[#Data],COLUMN(T_TraitDi[[#This Row],[VILLE1]]),FALSE),"")</f>
        <v/>
      </c>
      <c r="BX127" s="182" t="str">
        <f>IFERROR(VLOOKUP(VLOOKUP($A127,T_TraitDi[#Data],COLUMN(T_TraitDi[[#This Row],[Type2]]),FALSE),TypeTW,2,FALSE),"")</f>
        <v/>
      </c>
      <c r="BY127" s="182" t="str">
        <f>IFERROR(VLOOKUP($A127,T_TraitDi[#Data],COLUMN(T_TraitDi[[#This Row],[Rue2]]),FALSE),"")</f>
        <v/>
      </c>
      <c r="BZ127" s="173" t="str">
        <f>IFERROR(VLOOKUP($A127,T_TraitDi[#Data],COLUMN(T_TraitDi[[#This Row],[CP2]]),FALSE),"")</f>
        <v/>
      </c>
      <c r="CA127" s="173" t="str">
        <f>IFERROR(VLOOKUP($A127,T_TraitDi[#Data],COLUMN(T_TraitDi[[#This Row],[VILLE2]]),FALSE),"")</f>
        <v/>
      </c>
      <c r="CB127" s="182" t="e">
        <f>IF(VLOOKUP(T_BilanSocial[[#This Row],[NumL]],T_Equipement[#Data],COLUMN(T_Equipement[[#This Row],[PC]]),FALSE)="","Aucun équipement spécifique directement lié au télétravail",VLOOKUP(T_BilanSocial[[#This Row],[NumL]],T_Equipement[#Data],COLUMN(T_Equipement[[#This Row],[PC]]),FALSE))</f>
        <v>#N/A</v>
      </c>
      <c r="CC127" s="166" t="str">
        <f>IFERROR(IF(VLOOKUP(T_BilanSocial[[#This Row],[NumL]],T_TraitDi[#Data],COLUMN(T_TraitDi[[#This Row],[Plan]]),FALSE)="OK","Un planning spécifique de télétravail est annexé à la présente convention.",""),"")</f>
        <v/>
      </c>
      <c r="CD127" s="258" t="s">
        <v>3343</v>
      </c>
      <c r="CE127" s="164" t="e">
        <f>IF(VLOOKUP(T_BilanSocial[[#This Row],[NumL]],T_suiviDi[#Data],COLUMN(T_suiviDi[[#This Row],[Entité]]),FALSE)="","",VLOOKUP(T_BilanSocial[[#This Row],[NumL]],T_suiviDi[#Data],COLUMN(T_suiviDi[[#This Row],[Entité]]),FALSE))</f>
        <v>#VALUE!</v>
      </c>
      <c r="CF127" s="164" t="e">
        <f>IF(VLOOKUP(T_BilanSocial[[#This Row],[NumL]],T_Commission[#Data],COLUMN(T_Commission[[#This Row],[envoi confirm TW]]),FALSE)="","",VLOOKUP(T_BilanSocial[[#This Row],[NumL]],T_Commission[#Data],COLUMN(T_Commission[[#This Row],[envoi confirm TW]]),FALSE))</f>
        <v>#N/A</v>
      </c>
      <c r="CG12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7" s="262" t="e">
        <f>T_BilanSocial[[#This Row],[Nom]]&amp;T_BilanSocial[[#This Row],[Prenom]]</f>
        <v>#N/A</v>
      </c>
      <c r="CI127" s="262" t="e">
        <f>VLOOKUP(T_BilanSocial[[#This Row],[NumL]],T_Commission[#Data],COLUMN(T_Commission[Commentaire]),FALSE)</f>
        <v>#N/A</v>
      </c>
      <c r="CJ127" s="262" t="e">
        <f>IF(VLOOKUP(T_BilanSocial[[#This Row],[NumL]],T_Commission[#Data],COLUMN(T_Commission[Encadrant Email]),FALSE)="","",VLOOKUP(T_BilanSocial[[#This Row],[NumL]],T_Commission[#Data],COLUMN(T_Commission[Encadrant Email]),FALSE))</f>
        <v>#N/A</v>
      </c>
      <c r="CK127" s="340" t="e">
        <f>IF(T_BilanSocial[[#This Row],[Final]]&lt;&gt;"",VLOOKUP(T_BilanSocial[[#This Row],[NumL]],T_suiviDi[#Data],COLUMN((T_suiviDi[Statut])),FALSE),"")</f>
        <v>#N/A</v>
      </c>
    </row>
    <row r="128" spans="1:89" s="106" customFormat="1" ht="24.75" customHeight="1" x14ac:dyDescent="0.25">
      <c r="A128" s="160">
        <v>125</v>
      </c>
      <c r="B128" s="161" t="e">
        <f t="shared" si="10"/>
        <v>#N/A</v>
      </c>
      <c r="C128" s="162" t="s">
        <v>3287</v>
      </c>
      <c r="D128" s="95" t="e">
        <f>IF(VLOOKUP(T_BilanSocial[[#This Row],[NumL]],T_TraitDi[#Data],COLUMN(T_TraitDi[[#This Row],[WebC]]),FALSE)="","",VLOOKUP(T_BilanSocial[[#This Row],[NumL]],T_TraitDi[#Data],COLUMN(T_TraitDi[[#This Row],[WebC]]),FALSE))</f>
        <v>#VALUE!</v>
      </c>
      <c r="E128" s="163" t="str">
        <f t="shared" si="11"/>
        <v>12 janvier 2021</v>
      </c>
      <c r="F128" s="96" t="e">
        <f>IF(T_BilanSocial[[#This Row],[Final]]&lt;&gt;"",VLOOKUP(T_BilanSocial[[#This Row],[NumL]],T_suiviDi[#Data],COLUMN((T_suiviDi[Civ.])),FALSE),"")</f>
        <v>#N/A</v>
      </c>
      <c r="G128" s="96" t="e">
        <f>IF(T_BilanSocial[[#This Row],[Final]]&lt;&gt;"",VLOOKUP(T_BilanSocial[[#This Row],[NumL]],T_suiviDi[#Data],COLUMN((T_suiviDi[Nom])),FALSE),"")</f>
        <v>#N/A</v>
      </c>
      <c r="H128" s="96" t="e">
        <f>IF(T_BilanSocial[[#This Row],[Final]]&lt;&gt;"",VLOOKUP(T_BilanSocial[[#This Row],[NumL]],T_suiviDi[#Data],COLUMN((T_suiviDi[Prénom])),FALSE),"")</f>
        <v>#N/A</v>
      </c>
      <c r="I128" s="96" t="str">
        <f>IFERROR(VLOOKUP(T_BilanSocial[[#This Row],[Zone_Bilan]],T_P_BilanSocial[#Data],COLUMN(T_P_BilanSocial[[#This Row],[Numero_SIHAM]]),FALSE),"")</f>
        <v/>
      </c>
      <c r="J128" s="96" t="str">
        <f>IFERROR(VLOOKUP(T_BilanSocial[[#This Row],[Zone_Bilan]],T_P_BilanSocial[#Data],COLUMN(T_P_BilanSocial[[#This Row],[Sexe]]),FALSE),"")</f>
        <v/>
      </c>
      <c r="K128" s="97" t="str">
        <f>IFERROR(VLOOKUP(T_BilanSocial[[#This Row],[Zone_Bilan]],T_P_BilanSocial[#Data],COLUMN(T_P_BilanSocial[[#This Row],[Categorie]]),FALSE),"")</f>
        <v/>
      </c>
      <c r="L128" s="96" t="str">
        <f>IFERROR(VLOOKUP(T_BilanSocial[[#This Row],[Zone_Bilan]],T_P_BilanSocial[#Data],COLUMN(T_P_BilanSocial[[#This Row],[Statut]]),FALSE),"")</f>
        <v/>
      </c>
      <c r="M128" s="96" t="str">
        <f>IFERROR(VLOOKUP(T_BilanSocial[[#This Row],[Zone_Bilan]],T_P_BilanSocial[#Data],COLUMN(T_P_BilanSocial[[#This Row],[Filiere]]),FALSE),"")</f>
        <v/>
      </c>
      <c r="N128" s="96" t="e">
        <f>VLOOKUP(T_BilanSocial[[#This Row],[NumL]],T_TraitDi[#Data],COLUMN(T_TraitDi[EXP]),FALSE)</f>
        <v>#N/A</v>
      </c>
      <c r="O128" s="96" t="e">
        <f>VLOOKUP(T_BilanSocial[[#This Row],[NumL]],T_TraitDi[#Data],COLUMN(T_TraitDi[FORM]),FALSE)</f>
        <v>#N/A</v>
      </c>
      <c r="P128" s="96" t="e">
        <f>IF(T_BilanSocial[[#This Row],[Final]]&lt;&gt;"",VLOOKUP(T_BilanSocial[[#This Row],[NumL]],T_suiviDi[#Data],COLUMN((T_suiviDi[Email])),FALSE),"")</f>
        <v>#N/A</v>
      </c>
      <c r="Q128" s="164" t="e">
        <f t="shared" si="17"/>
        <v>#N/A</v>
      </c>
      <c r="R128" s="164" t="e">
        <f t="shared" si="18"/>
        <v>#N/A</v>
      </c>
      <c r="S128" s="164" t="e">
        <f>IF(VLOOKUP(T_BilanSocial[[#This Row],[NumL]],T_suiviDi[#Data],COLUMN(T_suiviDi[[#This Row],[Service ]]),FALSE)="","",VLOOKUP(T_BilanSocial[[#This Row],[NumL]],T_suiviDi[#Data],COLUMN(T_suiviDi[[#This Row],[Service ]]),FALSE))</f>
        <v>#VALUE!</v>
      </c>
      <c r="T128" s="164" t="str">
        <f t="shared" si="12"/>
        <v>01 septembre 2021</v>
      </c>
      <c r="U128" s="164" t="str">
        <f t="shared" si="13"/>
        <v>30 novembre 2021</v>
      </c>
      <c r="V128" s="164" t="str">
        <f t="shared" si="21"/>
        <v>30 novembre 2021</v>
      </c>
      <c r="W128" s="176" t="e">
        <f>IF(VLOOKUP(T_BilanSocial[[#This Row],[NumL]],T_TraitDi[#Data],COLUMN(T_TraitDi[[#This Row],[M1]]),FALSE)="","",VLOOKUP(T_BilanSocial[[#This Row],[NumL]],T_TraitDi[#Data],COLUMN(T_TraitDi[[#This Row],[M1]]),FALSE))</f>
        <v>#VALUE!</v>
      </c>
      <c r="X128" s="176" t="e">
        <f>IF(VLOOKUP(T_BilanSocial[[#This Row],[NumL]],T_TraitDi[#Data],COLUMN(T_TraitDi[[#This Row],[M2]]),FALSE)="","",VLOOKUP(T_BilanSocial[[#This Row],[NumL]],T_TraitDi[#Data],COLUMN(T_TraitDi[[#This Row],[M2]]),FALSE))</f>
        <v>#VALUE!</v>
      </c>
      <c r="Y128" s="176" t="e">
        <f>IF(VLOOKUP(T_BilanSocial[[#This Row],[NumL]],T_TraitDi[#Data],COLUMN(T_TraitDi[[#This Row],[M3]]),FALSE)="","",VLOOKUP(T_BilanSocial[[#This Row],[NumL]],T_TraitDi[#Data],COLUMN(T_TraitDi[[#This Row],[M3]]),FALSE))</f>
        <v>#VALUE!</v>
      </c>
      <c r="Z128" s="176" t="str">
        <f t="shared" si="16"/>
        <v/>
      </c>
      <c r="AA128" s="176" t="e">
        <f>IF(VLOOKUP(T_BilanSocial[[#This Row],[NumL]],T_TraitDi[#Data],COLUMN(T_TraitDi[[#This Row],[M5]]),FALSE)="","",VLOOKUP(T_BilanSocial[[#This Row],[NumL]],T_TraitDi[#Data],COLUMN(T_TraitDi[[#This Row],[M5]]),FALSE))</f>
        <v>#VALUE!</v>
      </c>
      <c r="AB128" s="176" t="e">
        <f>IF(VLOOKUP(T_BilanSocial[[#This Row],[NumL]],T_TraitDi[#Data],COLUMN(T_TraitDi[[#This Row],[M6]]),FALSE)="","",VLOOKUP(T_BilanSocial[[#This Row],[NumL]],T_TraitDi[#Data],COLUMN(T_TraitDi[[#This Row],[M6]]),FALSE))</f>
        <v>#VALUE!</v>
      </c>
      <c r="AC128" s="165" t="e">
        <f t="shared" si="15"/>
        <v>#VALUE!</v>
      </c>
      <c r="AD128" s="188" t="str">
        <f>IFERROR(TEXT(VLOOKUP(T_BilanSocial[[#This Row],[NumL]],T_TraitDi[#Data],COLUMN(T_TraitDi[[#This Row],[Q2]]),FALSE),"###%"),"")</f>
        <v/>
      </c>
      <c r="AE128" s="97" t="e">
        <f>VLOOKUP(T_BilanSocial[[#This Row],[NumL]],T_TraitDi[#Data],COLUMN(T_TraitDi[[#This Row],[Reg Ponct]]),FALSE)</f>
        <v>#VALUE!</v>
      </c>
      <c r="AF128" s="97" t="e">
        <f>VLOOKUP(T_BilanSocial[NumL],T_TraitDi[#Data],COLUMN(T_TraitDi[[#This Row],[Jours flottants]]),FALSE)</f>
        <v>#VALUE!</v>
      </c>
      <c r="AG128" s="97" t="str">
        <f>IFERROR(VLOOKUP(T_BilanSocial[[#This Row],[NumL]],T_TraitDi[#Data],COLUMN(T_TraitDi[[#This Row],[Lundi]]),FALSE),"")</f>
        <v/>
      </c>
      <c r="AH128" s="172" t="e">
        <f>IF(VLOOKUP(T_BilanSocial[[#This Row],[NumL]],T_TraitDi[#Data],COLUMN(T_TraitDi[[#This Row],[Colonne3]]),FALSE)=0,"",TEXT(IFERROR(VLOOKUP(T_BilanSocial[[#This Row],[NumL]],T_TraitDi[#Data],COLUMN(T_TraitDi[[#This Row],[Colonne3]]),FALSE),""),"[hh]:mm"))</f>
        <v>#VALUE!</v>
      </c>
      <c r="AI128" s="172" t="e">
        <f>IF(VLOOKUP(T_BilanSocial[[#This Row],[NumL]],T_TraitDi[#Data],COLUMN(T_TraitDi[[#This Row],[Colonne4]]),FALSE)=0,"",TEXT(IFERROR(VLOOKUP(T_BilanSocial[[#This Row],[NumL]],T_TraitDi[#Data],COLUMN(T_TraitDi[[#This Row],[Colonne4]]),FALSE),""),"[hh]:mm"))</f>
        <v>#VALUE!</v>
      </c>
      <c r="AJ128" s="172" t="e">
        <f>IF(VLOOKUP(T_BilanSocial[[#This Row],[NumL]],T_TraitDi[#Data],COLUMN(T_TraitDi[[#This Row],[Colonne5]]),FALSE)=0,"",TEXT(IFERROR(VLOOKUP(T_BilanSocial[[#This Row],[NumL]],T_TraitDi[#Data],COLUMN(T_TraitDi[[#This Row],[Colonne5]]),FALSE),""),"[hh]:mm"))</f>
        <v>#VALUE!</v>
      </c>
      <c r="AK128" s="172" t="e">
        <f>IF(VLOOKUP(T_BilanSocial[[#This Row],[NumL]],T_TraitDi[#Data],COLUMN(T_TraitDi[[#This Row],[Colonne6]]),FALSE)=0,"",TEXT(IFERROR(VLOOKUP(T_BilanSocial[[#This Row],[NumL]],T_TraitDi[#Data],COLUMN(T_TraitDi[[#This Row],[Colonne6]]),FALSE),""),"[hh]:mm"))</f>
        <v>#VALUE!</v>
      </c>
      <c r="AL128" s="172" t="e">
        <f>IF(VLOOKUP(T_BilanSocial[[#This Row],[NumL]],T_TraitDi[#Data],COLUMN(T_TraitDi[[#This Row],[Colonne7]]),FALSE)=0,"",TEXT(IFERROR(VLOOKUP(T_BilanSocial[[#This Row],[NumL]],T_TraitDi[#Data],COLUMN(T_TraitDi[[#This Row],[Colonne7]]),FALSE),""),"[hh]:mm"))</f>
        <v>#VALUE!</v>
      </c>
      <c r="AM128" s="172" t="e">
        <f>IF(VLOOKUP(T_BilanSocial[[#This Row],[NumL]],T_TraitDi[#Data],COLUMN(T_TraitDi[[#This Row],[Colonne8]]),FALSE)=0,"",TEXT(IFERROR(VLOOKUP(T_BilanSocial[[#This Row],[NumL]],T_TraitDi[#Data],COLUMN(T_TraitDi[[#This Row],[Colonne8]]),FALSE),""),"[hh]:mm"))</f>
        <v>#VALUE!</v>
      </c>
      <c r="AN128" s="172" t="str">
        <f>IFERROR(VLOOKUP(T_BilanSocial[[#This Row],[NumL]],T_TraitDi[#Data],COLUMN(T_TraitDi[[#This Row],[Mardi]]),FALSE),"")</f>
        <v/>
      </c>
      <c r="AO128" s="172" t="e">
        <f>IF(VLOOKUP(T_BilanSocial[[#This Row],[NumL]],T_TraitDi[#Data],COLUMN(T_TraitDi[[#This Row],[Colonne1]]),FALSE)=0,"",TEXT(IFERROR(VLOOKUP(T_BilanSocial[[#This Row],[NumL]],T_TraitDi[#Data],COLUMN(T_TraitDi[[#This Row],[Colonne1]]),FALSE),""),"[hh]:mm"))</f>
        <v>#VALUE!</v>
      </c>
      <c r="AP128" s="172" t="e">
        <f>IF(VLOOKUP(T_BilanSocial[[#This Row],[NumL]],T_TraitDi[#Data],COLUMN(T_TraitDi[[#This Row],[Colonne9]]),FALSE)=0,"",TEXT(IFERROR(VLOOKUP(T_BilanSocial[[#This Row],[NumL]],T_TraitDi[#Data],COLUMN(T_TraitDi[[#This Row],[Colonne9]]),FALSE),""),"[hh]:mm"))</f>
        <v>#VALUE!</v>
      </c>
      <c r="AQ128" s="172" t="str">
        <f>IFERROR(VLOOKUP(T_BilanSocial[[#This Row],[NumL]],T_TraitDi[#Data],COLUMN(T_TraitDi[[#This Row],[Colonne10]]),FALSE),"")</f>
        <v/>
      </c>
      <c r="AR128" s="172" t="e">
        <f>IF(VLOOKUP(T_BilanSocial[[#This Row],[NumL]],T_TraitDi[#Data],COLUMN(T_TraitDi[[#This Row],[Colonne11]]),FALSE)=0,"",TEXT(IFERROR(VLOOKUP(T_BilanSocial[[#This Row],[NumL]],T_TraitDi[#Data],COLUMN(T_TraitDi[[#This Row],[Colonne11]]),FALSE),""),"[hh]:mm"))</f>
        <v>#VALUE!</v>
      </c>
      <c r="AS128" s="172" t="e">
        <f>IF(VLOOKUP(T_BilanSocial[[#This Row],[NumL]],T_TraitDi[#Data],COLUMN(T_TraitDi[[#This Row],[Colonne12]]),FALSE)=0,"",TEXT(IFERROR(VLOOKUP(T_BilanSocial[[#This Row],[NumL]],T_TraitDi[#Data],COLUMN(T_TraitDi[[#This Row],[Colonne12]]),FALSE),""),"[hh]:mm"))</f>
        <v>#VALUE!</v>
      </c>
      <c r="AT128" s="172" t="e">
        <f>IF(VLOOKUP(T_BilanSocial[[#This Row],[NumL]],T_TraitDi[#Data],COLUMN(T_TraitDi[[#This Row],[Colonne14]]),FALSE)=0,"",TEXT(IFERROR(VLOOKUP(T_BilanSocial[[#This Row],[NumL]],T_TraitDi[#Data],COLUMN(T_TraitDi[[#This Row],[Colonne14]]),FALSE),""),"[hh]:mm"))</f>
        <v>#VALUE!</v>
      </c>
      <c r="AU128" s="172" t="str">
        <f>IFERROR(VLOOKUP(T_BilanSocial[[#This Row],[NumL]],T_TraitDi[#Data],COLUMN(T_TraitDi[[#This Row],[Mercredi]]),FALSE),"")</f>
        <v/>
      </c>
      <c r="AV128" s="172" t="e">
        <f>IF(VLOOKUP(T_BilanSocial[[#This Row],[NumL]],T_TraitDi[#Data],COLUMN(T_TraitDi[[#This Row],[Colonne15]]),FALSE)=0,"",TEXT(IFERROR(VLOOKUP(T_BilanSocial[[#This Row],[NumL]],T_TraitDi[#Data],COLUMN(T_TraitDi[[#This Row],[Colonne15]]),FALSE),""),"[hh]:mm"))</f>
        <v>#VALUE!</v>
      </c>
      <c r="AW128" s="172" t="e">
        <f>IF(VLOOKUP(T_BilanSocial[[#This Row],[NumL]],T_TraitDi[#Data],COLUMN(T_TraitDi[[#This Row],[Colonne16]]),FALSE)=0,"",TEXT(IFERROR(VLOOKUP(T_BilanSocial[[#This Row],[NumL]],T_TraitDi[#Data],COLUMN(T_TraitDi[[#This Row],[Colonne16]]),FALSE),""),"[hh]:mm"))</f>
        <v>#VALUE!</v>
      </c>
      <c r="AX128" s="172" t="str">
        <f>IFERROR(VLOOKUP(T_BilanSocial[[#This Row],[NumL]],T_TraitDi[#Data],COLUMN(T_TraitDi[[#This Row],[Colonne17]]),FALSE),"")</f>
        <v/>
      </c>
      <c r="AY128" s="172" t="e">
        <f>IF(VLOOKUP(T_BilanSocial[[#This Row],[NumL]],T_TraitDi[#Data],COLUMN(T_TraitDi[[#This Row],[Colonne18]]),FALSE)=0,"",TEXT(IFERROR(VLOOKUP(T_BilanSocial[[#This Row],[NumL]],T_TraitDi[#Data],COLUMN(T_TraitDi[[#This Row],[Colonne18]]),FALSE),""),"[hh]:mm"))</f>
        <v>#VALUE!</v>
      </c>
      <c r="AZ128" s="172" t="e">
        <f>IF(VLOOKUP(T_BilanSocial[[#This Row],[NumL]],T_TraitDi[#Data],COLUMN(T_TraitDi[[#This Row],[Colonne19]]),FALSE)=0,"",TEXT(IFERROR(VLOOKUP(T_BilanSocial[[#This Row],[NumL]],T_TraitDi[#Data],COLUMN(T_TraitDi[[#This Row],[Colonne19]]),FALSE),""),"[hh]:mm"))</f>
        <v>#VALUE!</v>
      </c>
      <c r="BA128" s="172" t="e">
        <f>IF(VLOOKUP(T_BilanSocial[[#This Row],[NumL]],T_TraitDi[#Data],COLUMN(T_TraitDi[[#This Row],[Colonne20]]),FALSE)=0,"",TEXT(IFERROR(VLOOKUP(T_BilanSocial[[#This Row],[NumL]],T_TraitDi[#Data],COLUMN(T_TraitDi[[#This Row],[Colonne20]]),FALSE),""),"[hh]:mm"))</f>
        <v>#VALUE!</v>
      </c>
      <c r="BB128" s="178" t="str">
        <f>IFERROR(VLOOKUP(T_BilanSocial[[#This Row],[NumL]],T_TraitDi[#Data],COLUMN(T_TraitDi[[#This Row],[Jeudi]]),FALSE),"")</f>
        <v/>
      </c>
      <c r="BC128" s="178" t="e">
        <f>IF(VLOOKUP(T_BilanSocial[[#This Row],[NumL]],T_TraitDi[#Data],COLUMN(T_TraitDi[[#This Row],[Colonne21]]),FALSE)=0,"",TEXT(IFERROR(VLOOKUP(T_BilanSocial[[#This Row],[NumL]],T_TraitDi[#Data],COLUMN(T_TraitDi[[#This Row],[Colonne21]]),FALSE),""),"[hh]:mm"))</f>
        <v>#VALUE!</v>
      </c>
      <c r="BD128" s="178" t="e">
        <f>IF(VLOOKUP(T_BilanSocial[[#This Row],[NumL]],T_TraitDi[#Data],COLUMN(T_TraitDi[[#This Row],[Colonne22]]),FALSE)=0,"",TEXT(IFERROR(VLOOKUP(T_BilanSocial[[#This Row],[NumL]],T_TraitDi[#Data],COLUMN(T_TraitDi[[#This Row],[Colonne22]]),FALSE),""),"[hh]:mm"))</f>
        <v>#VALUE!</v>
      </c>
      <c r="BE128" s="178" t="str">
        <f>IFERROR(VLOOKUP(T_BilanSocial[[#This Row],[NumL]],T_TraitDi[#Data],COLUMN(T_TraitDi[[#This Row],[Colonne23]]),FALSE),"")</f>
        <v/>
      </c>
      <c r="BF128" s="178" t="e">
        <f>IF(VLOOKUP(T_BilanSocial[[#This Row],[NumL]],T_TraitDi[#Data],COLUMN(T_TraitDi[[#This Row],[Colonne24]]),FALSE)=0,"",TEXT(IFERROR(VLOOKUP(T_BilanSocial[[#This Row],[NumL]],T_TraitDi[#Data],COLUMN(T_TraitDi[[#This Row],[Colonne24]]),FALSE),""),"[hh]:mm"))</f>
        <v>#VALUE!</v>
      </c>
      <c r="BG128" s="178" t="e">
        <f>IF(VLOOKUP(T_BilanSocial[[#This Row],[NumL]],T_TraitDi[#Data],COLUMN(T_TraitDi[[#This Row],[Colonne25]]),FALSE)=0,"",TEXT(IFERROR(VLOOKUP(T_BilanSocial[[#This Row],[NumL]],T_TraitDi[#Data],COLUMN(T_TraitDi[[#This Row],[Colonne25]]),FALSE),""),"[hh]:mm"))</f>
        <v>#VALUE!</v>
      </c>
      <c r="BH128" s="178" t="e">
        <f>IF(VLOOKUP(T_BilanSocial[[#This Row],[NumL]],T_TraitDi[#Data],COLUMN(T_TraitDi[[#This Row],[Colonne26]]),FALSE)=0,"",TEXT(IFERROR(VLOOKUP(T_BilanSocial[[#This Row],[NumL]],T_TraitDi[#Data],COLUMN(T_TraitDi[[#This Row],[Colonne26]]),FALSE),""),"[hh]:mm"))</f>
        <v>#VALUE!</v>
      </c>
      <c r="BI128" s="172" t="str">
        <f>IFERROR(VLOOKUP(T_BilanSocial[[#This Row],[NumL]],T_TraitDi[#Data],COLUMN(T_TraitDi[[#This Row],[Vendredi]]),FALSE),"")</f>
        <v/>
      </c>
      <c r="BJ128" s="172" t="e">
        <f>IF(VLOOKUP(T_BilanSocial[[#This Row],[NumL]],T_TraitDi[#Data],COLUMN(T_TraitDi[[#This Row],[Colonne27]]),FALSE)=0,"",TEXT(IFERROR(VLOOKUP(T_BilanSocial[[#This Row],[NumL]],T_TraitDi[#Data],COLUMN(T_TraitDi[[#This Row],[Colonne27]]),FALSE),""),"[hh]:mm"))</f>
        <v>#VALUE!</v>
      </c>
      <c r="BK128" s="172" t="e">
        <f>IF(VLOOKUP(T_BilanSocial[[#This Row],[NumL]],T_TraitDi[#Data],COLUMN(T_TraitDi[[#This Row],[Colonne28]]),FALSE)=0,"",TEXT(IFERROR(VLOOKUP(T_BilanSocial[[#This Row],[NumL]],T_TraitDi[#Data],COLUMN(T_TraitDi[[#This Row],[Colonne28]]),FALSE),""),"[hh]:mm"))</f>
        <v>#VALUE!</v>
      </c>
      <c r="BL128" s="172" t="str">
        <f>IFERROR(VLOOKUP(T_BilanSocial[[#This Row],[NumL]],T_TraitDi[#Data],COLUMN(T_TraitDi[[#This Row],[Colonne29]]),FALSE),"")</f>
        <v/>
      </c>
      <c r="BM128" s="172" t="e">
        <f>IF(VLOOKUP(T_BilanSocial[[#This Row],[NumL]],T_TraitDi[#Data],COLUMN(T_TraitDi[[#This Row],[Colonne30]]),FALSE)=0,"",TEXT(IFERROR(VLOOKUP(T_BilanSocial[[#This Row],[NumL]],T_TraitDi[#Data],COLUMN(T_TraitDi[[#This Row],[Colonne30]]),FALSE),""),"[hh]:mm"))</f>
        <v>#VALUE!</v>
      </c>
      <c r="BN128" s="172" t="e">
        <f>IF(VLOOKUP(T_BilanSocial[[#This Row],[NumL]],T_TraitDi[#Data],COLUMN(T_TraitDi[[#This Row],[Colonne31]]),FALSE)=0,"",TEXT(IFERROR(VLOOKUP(T_BilanSocial[[#This Row],[NumL]],T_TraitDi[#Data],COLUMN(T_TraitDi[[#This Row],[Colonne31]]),FALSE),""),"[hh]:mm"))</f>
        <v>#VALUE!</v>
      </c>
      <c r="BO128" s="172" t="e">
        <f>IF(VLOOKUP(T_BilanSocial[[#This Row],[NumL]],T_TraitDi[#Data],COLUMN(T_TraitDi[[#This Row],[Colonne32]]),FALSE)=0,"",TEXT(IFERROR(VLOOKUP(T_BilanSocial[[#This Row],[NumL]],T_TraitDi[#Data],COLUMN(T_TraitDi[[#This Row],[Colonne32]]),FALSE),""),"[hh]:mm"))</f>
        <v>#VALUE!</v>
      </c>
      <c r="BP128" s="172" t="e">
        <f>VLOOKUP(T_BilanSocial[[#This Row],[NumL]],T_TraitDi[#Data],COLUMN(T_TraitDi[NbJTot]),FALSE)</f>
        <v>#N/A</v>
      </c>
      <c r="BQ128" s="174" t="str">
        <f>IFERROR(VLOOKUP(T_BilanSocial[[#This Row],[NumL]],T_TraitDi[#Data],COLUMN(T_TraitDi[[#This Row],[NbJTW]]),FALSE),"")</f>
        <v/>
      </c>
      <c r="BR128" s="174" t="e">
        <f>IF(VLOOKUP(T_BilanSocial[[#This Row],[NumL]],T_TraitDi[#Data],COLUMN(T_TraitDi[[#This Row],[NbhTW]]),FALSE)=0,"",TEXT(IFERROR(VLOOKUP(T_BilanSocial[[#This Row],[NumL]],T_TraitDi[#Data],COLUMN(T_TraitDi[[#This Row],[NbhTW]]),FALSE),""),"[hh]:mm"))</f>
        <v>#VALUE!</v>
      </c>
      <c r="BS128" s="174" t="e">
        <f>IF(VLOOKUP(T_BilanSocial[[#This Row],[NumL]],T_TraitDi[#Data],COLUMN(T_TraitDi[[#This Row],[Nbhheb]]),FALSE)=0,"",TEXT(IFERROR(VLOOKUP($A128,T_TraitDi[#Data],COLUMN(T_TraitDi[[#This Row],[Nbhheb]]),FALSE),""),"[hh]:mm"))</f>
        <v>#VALUE!</v>
      </c>
      <c r="BT128" s="182" t="str">
        <f>IFERROR(VLOOKUP(VLOOKUP($A128,T_TraitDi[#Data],COLUMN(T_TraitDi[[#This Row],[Type1]]),FALSE),TypeTW,2,FALSE),"")</f>
        <v/>
      </c>
      <c r="BU128" s="182" t="str">
        <f>IFERROR(VLOOKUP($A128,T_TraitDi[#Data],COLUMN(T_TraitDi[[#This Row],[Rue1]]),FALSE),"")</f>
        <v/>
      </c>
      <c r="BV128" s="173" t="str">
        <f>IFERROR(VLOOKUP($A128,T_TraitDi[#Data],COLUMN(T_TraitDi[[#This Row],[CP1]]),FALSE),"")</f>
        <v/>
      </c>
      <c r="BW128" s="173" t="str">
        <f>IFERROR(VLOOKUP($A128,T_TraitDi[#Data],COLUMN(T_TraitDi[[#This Row],[VILLE1]]),FALSE),"")</f>
        <v/>
      </c>
      <c r="BX128" s="182" t="str">
        <f>IFERROR(VLOOKUP(VLOOKUP($A128,T_TraitDi[#Data],COLUMN(T_TraitDi[[#This Row],[Type2]]),FALSE),TypeTW,2,FALSE),"")</f>
        <v/>
      </c>
      <c r="BY128" s="182" t="str">
        <f>IFERROR(VLOOKUP($A128,T_TraitDi[#Data],COLUMN(T_TraitDi[[#This Row],[Rue2]]),FALSE),"")</f>
        <v/>
      </c>
      <c r="BZ128" s="173" t="str">
        <f>IFERROR(VLOOKUP($A128,T_TraitDi[#Data],COLUMN(T_TraitDi[[#This Row],[CP2]]),FALSE),"")</f>
        <v/>
      </c>
      <c r="CA128" s="173" t="str">
        <f>IFERROR(VLOOKUP($A128,T_TraitDi[#Data],COLUMN(T_TraitDi[[#This Row],[VILLE2]]),FALSE),"")</f>
        <v/>
      </c>
      <c r="CB128" s="182" t="e">
        <f>IF(VLOOKUP(T_BilanSocial[[#This Row],[NumL]],T_Equipement[#Data],COLUMN(T_Equipement[[#This Row],[PC]]),FALSE)="","Aucun équipement spécifique directement lié au télétravail",VLOOKUP(T_BilanSocial[[#This Row],[NumL]],T_Equipement[#Data],COLUMN(T_Equipement[[#This Row],[PC]]),FALSE))</f>
        <v>#N/A</v>
      </c>
      <c r="CC128" s="166" t="str">
        <f>IFERROR(IF(VLOOKUP(T_BilanSocial[[#This Row],[NumL]],T_TraitDi[#Data],COLUMN(T_TraitDi[[#This Row],[Plan]]),FALSE)="OK","Un planning spécifique de télétravail est annexé à la présente convention.",""),"")</f>
        <v/>
      </c>
      <c r="CD128" s="185"/>
      <c r="CE128" s="164" t="e">
        <f>IF(VLOOKUP(T_BilanSocial[[#This Row],[NumL]],T_suiviDi[#Data],COLUMN(T_suiviDi[[#This Row],[Entité]]),FALSE)="","",VLOOKUP(T_BilanSocial[[#This Row],[NumL]],T_suiviDi[#Data],COLUMN(T_suiviDi[[#This Row],[Entité]]),FALSE))</f>
        <v>#VALUE!</v>
      </c>
      <c r="CF128" s="164" t="e">
        <f>IF(VLOOKUP(T_BilanSocial[[#This Row],[NumL]],T_Commission[#Data],COLUMN(T_Commission[[#This Row],[envoi confirm TW]]),FALSE)="","",VLOOKUP(T_BilanSocial[[#This Row],[NumL]],T_Commission[#Data],COLUMN(T_Commission[[#This Row],[envoi confirm TW]]),FALSE))</f>
        <v>#N/A</v>
      </c>
      <c r="CG12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8" s="262" t="e">
        <f>T_BilanSocial[[#This Row],[Nom]]&amp;T_BilanSocial[[#This Row],[Prenom]]</f>
        <v>#N/A</v>
      </c>
      <c r="CI128" s="262" t="e">
        <f>VLOOKUP(T_BilanSocial[[#This Row],[NumL]],T_Commission[#Data],COLUMN(T_Commission[Commentaire]),FALSE)</f>
        <v>#N/A</v>
      </c>
      <c r="CJ128" s="262" t="e">
        <f>IF(VLOOKUP(T_BilanSocial[[#This Row],[NumL]],T_Commission[#Data],COLUMN(T_Commission[Encadrant Email]),FALSE)="","",VLOOKUP(T_BilanSocial[[#This Row],[NumL]],T_Commission[#Data],COLUMN(T_Commission[Encadrant Email]),FALSE))</f>
        <v>#N/A</v>
      </c>
      <c r="CK128" s="340" t="e">
        <f>IF(T_BilanSocial[[#This Row],[Final]]&lt;&gt;"",VLOOKUP(T_BilanSocial[[#This Row],[NumL]],T_suiviDi[#Data],COLUMN((T_suiviDi[Statut])),FALSE),"")</f>
        <v>#N/A</v>
      </c>
    </row>
    <row r="129" spans="1:89" s="106" customFormat="1" ht="24.75" customHeight="1" x14ac:dyDescent="0.25">
      <c r="A129" s="160">
        <v>126</v>
      </c>
      <c r="B129" s="161" t="str">
        <f t="shared" si="10"/>
        <v/>
      </c>
      <c r="C129" s="162" t="s">
        <v>173</v>
      </c>
      <c r="D129" s="95" t="e">
        <f>IF(VLOOKUP(T_BilanSocial[[#This Row],[NumL]],T_TraitDi[#Data],COLUMN(T_TraitDi[[#This Row],[WebC]]),FALSE)="","",VLOOKUP(T_BilanSocial[[#This Row],[NumL]],T_TraitDi[#Data],COLUMN(T_TraitDi[[#This Row],[WebC]]),FALSE))</f>
        <v>#VALUE!</v>
      </c>
      <c r="E129" s="163" t="str">
        <f t="shared" si="11"/>
        <v>12 janvier 2021</v>
      </c>
      <c r="F129" s="96" t="str">
        <f>IF(T_BilanSocial[[#This Row],[Final]]&lt;&gt;"",VLOOKUP(T_BilanSocial[[#This Row],[NumL]],T_suiviDi[#Data],COLUMN((T_suiviDi[Civ.])),FALSE),"")</f>
        <v/>
      </c>
      <c r="G129" s="96" t="str">
        <f>IF(T_BilanSocial[[#This Row],[Final]]&lt;&gt;"",VLOOKUP(T_BilanSocial[[#This Row],[NumL]],T_suiviDi[#Data],COLUMN((T_suiviDi[Nom])),FALSE),"")</f>
        <v/>
      </c>
      <c r="H129" s="96" t="str">
        <f>IF(T_BilanSocial[[#This Row],[Final]]&lt;&gt;"",VLOOKUP(T_BilanSocial[[#This Row],[NumL]],T_suiviDi[#Data],COLUMN((T_suiviDi[Prénom])),FALSE),"")</f>
        <v/>
      </c>
      <c r="I129" s="96" t="str">
        <f>IFERROR(VLOOKUP(T_BilanSocial[[#This Row],[Zone_Bilan]],T_P_BilanSocial[#Data],COLUMN(T_P_BilanSocial[[#This Row],[Numero_SIHAM]]),FALSE),"")</f>
        <v/>
      </c>
      <c r="J129" s="96" t="str">
        <f>IFERROR(VLOOKUP(T_BilanSocial[[#This Row],[Zone_Bilan]],T_P_BilanSocial[#Data],COLUMN(T_P_BilanSocial[[#This Row],[Sexe]]),FALSE),"")</f>
        <v/>
      </c>
      <c r="K129" s="97" t="str">
        <f>IFERROR(VLOOKUP(T_BilanSocial[[#This Row],[Zone_Bilan]],T_P_BilanSocial[#Data],COLUMN(T_P_BilanSocial[[#This Row],[Categorie]]),FALSE),"")</f>
        <v/>
      </c>
      <c r="L129" s="96" t="str">
        <f>IFERROR(VLOOKUP(T_BilanSocial[[#This Row],[Zone_Bilan]],T_P_BilanSocial[#Data],COLUMN(T_P_BilanSocial[[#This Row],[Statut]]),FALSE),"")</f>
        <v/>
      </c>
      <c r="M129" s="96" t="str">
        <f>IFERROR(VLOOKUP(T_BilanSocial[[#This Row],[Zone_Bilan]],T_P_BilanSocial[#Data],COLUMN(T_P_BilanSocial[[#This Row],[Filiere]]),FALSE),"")</f>
        <v/>
      </c>
      <c r="N129" s="96" t="e">
        <f>VLOOKUP(T_BilanSocial[[#This Row],[NumL]],T_TraitDi[#Data],COLUMN(T_TraitDi[EXP]),FALSE)</f>
        <v>#N/A</v>
      </c>
      <c r="O129" s="96" t="e">
        <f>VLOOKUP(T_BilanSocial[[#This Row],[NumL]],T_TraitDi[#Data],COLUMN(T_TraitDi[FORM]),FALSE)</f>
        <v>#N/A</v>
      </c>
      <c r="P129" s="96" t="str">
        <f>IF(T_BilanSocial[[#This Row],[Final]]&lt;&gt;"",VLOOKUP(T_BilanSocial[[#This Row],[NumL]],T_suiviDi[#Data],COLUMN((T_suiviDi[Email])),FALSE),"")</f>
        <v/>
      </c>
      <c r="Q129" s="164" t="e">
        <f t="shared" si="17"/>
        <v>#N/A</v>
      </c>
      <c r="R129" s="164" t="e">
        <f t="shared" si="18"/>
        <v>#N/A</v>
      </c>
      <c r="S129" s="164" t="e">
        <f>IF(VLOOKUP(T_BilanSocial[[#This Row],[NumL]],T_suiviDi[#Data],COLUMN(T_suiviDi[[#This Row],[Service ]]),FALSE)="","",VLOOKUP(T_BilanSocial[[#This Row],[NumL]],T_suiviDi[#Data],COLUMN(T_suiviDi[[#This Row],[Service ]]),FALSE))</f>
        <v>#VALUE!</v>
      </c>
      <c r="T129" s="164" t="str">
        <f t="shared" si="12"/>
        <v>01 septembre 2021</v>
      </c>
      <c r="U129" s="164" t="str">
        <f t="shared" si="13"/>
        <v>30 novembre 2021</v>
      </c>
      <c r="V129" s="164" t="str">
        <f t="shared" si="21"/>
        <v>30 novembre 2021</v>
      </c>
      <c r="W129" s="176" t="e">
        <f>IF(VLOOKUP(T_BilanSocial[[#This Row],[NumL]],T_TraitDi[#Data],COLUMN(T_TraitDi[[#This Row],[M1]]),FALSE)="","",VLOOKUP(T_BilanSocial[[#This Row],[NumL]],T_TraitDi[#Data],COLUMN(T_TraitDi[[#This Row],[M1]]),FALSE))</f>
        <v>#VALUE!</v>
      </c>
      <c r="X129" s="176" t="e">
        <f>IF(VLOOKUP(T_BilanSocial[[#This Row],[NumL]],T_TraitDi[#Data],COLUMN(T_TraitDi[[#This Row],[M2]]),FALSE)="","",VLOOKUP(T_BilanSocial[[#This Row],[NumL]],T_TraitDi[#Data],COLUMN(T_TraitDi[[#This Row],[M2]]),FALSE))</f>
        <v>#VALUE!</v>
      </c>
      <c r="Y129" s="176" t="e">
        <f>IF(VLOOKUP(T_BilanSocial[[#This Row],[NumL]],T_TraitDi[#Data],COLUMN(T_TraitDi[[#This Row],[M3]]),FALSE)="","",VLOOKUP(T_BilanSocial[[#This Row],[NumL]],T_TraitDi[#Data],COLUMN(T_TraitDi[[#This Row],[M3]]),FALSE))</f>
        <v>#VALUE!</v>
      </c>
      <c r="Z129" s="176" t="str">
        <f t="shared" si="16"/>
        <v/>
      </c>
      <c r="AA129" s="176" t="e">
        <f>IF(VLOOKUP(T_BilanSocial[[#This Row],[NumL]],T_TraitDi[#Data],COLUMN(T_TraitDi[[#This Row],[M5]]),FALSE)="","",VLOOKUP(T_BilanSocial[[#This Row],[NumL]],T_TraitDi[#Data],COLUMN(T_TraitDi[[#This Row],[M5]]),FALSE))</f>
        <v>#VALUE!</v>
      </c>
      <c r="AB129" s="176" t="e">
        <f>IF(VLOOKUP(T_BilanSocial[[#This Row],[NumL]],T_TraitDi[#Data],COLUMN(T_TraitDi[[#This Row],[M6]]),FALSE)="","",VLOOKUP(T_BilanSocial[[#This Row],[NumL]],T_TraitDi[#Data],COLUMN(T_TraitDi[[#This Row],[M6]]),FALSE))</f>
        <v>#VALUE!</v>
      </c>
      <c r="AC129" s="165" t="e">
        <f t="shared" si="15"/>
        <v>#VALUE!</v>
      </c>
      <c r="AD129" s="188" t="str">
        <f>IFERROR(TEXT(VLOOKUP(T_BilanSocial[[#This Row],[NumL]],T_TraitDi[#Data],COLUMN(T_TraitDi[[#This Row],[Q2]]),FALSE),"###%"),"")</f>
        <v/>
      </c>
      <c r="AE129" s="97" t="e">
        <f>VLOOKUP(T_BilanSocial[[#This Row],[NumL]],T_TraitDi[#Data],COLUMN(T_TraitDi[[#This Row],[Reg Ponct]]),FALSE)</f>
        <v>#VALUE!</v>
      </c>
      <c r="AF129" s="97" t="e">
        <f>VLOOKUP(T_BilanSocial[NumL],T_TraitDi[#Data],COLUMN(T_TraitDi[[#This Row],[Jours flottants]]),FALSE)</f>
        <v>#VALUE!</v>
      </c>
      <c r="AG129" s="97" t="str">
        <f>IFERROR(VLOOKUP(T_BilanSocial[[#This Row],[NumL]],T_TraitDi[#Data],COLUMN(T_TraitDi[[#This Row],[Lundi]]),FALSE),"")</f>
        <v/>
      </c>
      <c r="AH129" s="172" t="e">
        <f>IF(VLOOKUP(T_BilanSocial[[#This Row],[NumL]],T_TraitDi[#Data],COLUMN(T_TraitDi[[#This Row],[Colonne3]]),FALSE)=0,"",TEXT(IFERROR(VLOOKUP(T_BilanSocial[[#This Row],[NumL]],T_TraitDi[#Data],COLUMN(T_TraitDi[[#This Row],[Colonne3]]),FALSE),""),"[hh]:mm"))</f>
        <v>#VALUE!</v>
      </c>
      <c r="AI129" s="172" t="e">
        <f>IF(VLOOKUP(T_BilanSocial[[#This Row],[NumL]],T_TraitDi[#Data],COLUMN(T_TraitDi[[#This Row],[Colonne4]]),FALSE)=0,"",TEXT(IFERROR(VLOOKUP(T_BilanSocial[[#This Row],[NumL]],T_TraitDi[#Data],COLUMN(T_TraitDi[[#This Row],[Colonne4]]),FALSE),""),"[hh]:mm"))</f>
        <v>#VALUE!</v>
      </c>
      <c r="AJ129" s="172" t="e">
        <f>IF(VLOOKUP(T_BilanSocial[[#This Row],[NumL]],T_TraitDi[#Data],COLUMN(T_TraitDi[[#This Row],[Colonne5]]),FALSE)=0,"",TEXT(IFERROR(VLOOKUP(T_BilanSocial[[#This Row],[NumL]],T_TraitDi[#Data],COLUMN(T_TraitDi[[#This Row],[Colonne5]]),FALSE),""),"[hh]:mm"))</f>
        <v>#VALUE!</v>
      </c>
      <c r="AK129" s="172" t="e">
        <f>IF(VLOOKUP(T_BilanSocial[[#This Row],[NumL]],T_TraitDi[#Data],COLUMN(T_TraitDi[[#This Row],[Colonne6]]),FALSE)=0,"",TEXT(IFERROR(VLOOKUP(T_BilanSocial[[#This Row],[NumL]],T_TraitDi[#Data],COLUMN(T_TraitDi[[#This Row],[Colonne6]]),FALSE),""),"[hh]:mm"))</f>
        <v>#VALUE!</v>
      </c>
      <c r="AL129" s="172" t="e">
        <f>IF(VLOOKUP(T_BilanSocial[[#This Row],[NumL]],T_TraitDi[#Data],COLUMN(T_TraitDi[[#This Row],[Colonne7]]),FALSE)=0,"",TEXT(IFERROR(VLOOKUP(T_BilanSocial[[#This Row],[NumL]],T_TraitDi[#Data],COLUMN(T_TraitDi[[#This Row],[Colonne7]]),FALSE),""),"[hh]:mm"))</f>
        <v>#VALUE!</v>
      </c>
      <c r="AM129" s="172" t="e">
        <f>IF(VLOOKUP(T_BilanSocial[[#This Row],[NumL]],T_TraitDi[#Data],COLUMN(T_TraitDi[[#This Row],[Colonne8]]),FALSE)=0,"",TEXT(IFERROR(VLOOKUP(T_BilanSocial[[#This Row],[NumL]],T_TraitDi[#Data],COLUMN(T_TraitDi[[#This Row],[Colonne8]]),FALSE),""),"[hh]:mm"))</f>
        <v>#VALUE!</v>
      </c>
      <c r="AN129" s="172" t="str">
        <f>IFERROR(VLOOKUP(T_BilanSocial[[#This Row],[NumL]],T_TraitDi[#Data],COLUMN(T_TraitDi[[#This Row],[Mardi]]),FALSE),"")</f>
        <v/>
      </c>
      <c r="AO129" s="172" t="e">
        <f>IF(VLOOKUP(T_BilanSocial[[#This Row],[NumL]],T_TraitDi[#Data],COLUMN(T_TraitDi[[#This Row],[Colonne1]]),FALSE)=0,"",TEXT(IFERROR(VLOOKUP(T_BilanSocial[[#This Row],[NumL]],T_TraitDi[#Data],COLUMN(T_TraitDi[[#This Row],[Colonne1]]),FALSE),""),"[hh]:mm"))</f>
        <v>#VALUE!</v>
      </c>
      <c r="AP129" s="172" t="e">
        <f>IF(VLOOKUP(T_BilanSocial[[#This Row],[NumL]],T_TraitDi[#Data],COLUMN(T_TraitDi[[#This Row],[Colonne9]]),FALSE)=0,"",TEXT(IFERROR(VLOOKUP(T_BilanSocial[[#This Row],[NumL]],T_TraitDi[#Data],COLUMN(T_TraitDi[[#This Row],[Colonne9]]),FALSE),""),"[hh]:mm"))</f>
        <v>#VALUE!</v>
      </c>
      <c r="AQ129" s="172" t="str">
        <f>IFERROR(VLOOKUP(T_BilanSocial[[#This Row],[NumL]],T_TraitDi[#Data],COLUMN(T_TraitDi[[#This Row],[Colonne10]]),FALSE),"")</f>
        <v/>
      </c>
      <c r="AR129" s="172" t="e">
        <f>IF(VLOOKUP(T_BilanSocial[[#This Row],[NumL]],T_TraitDi[#Data],COLUMN(T_TraitDi[[#This Row],[Colonne11]]),FALSE)=0,"",TEXT(IFERROR(VLOOKUP(T_BilanSocial[[#This Row],[NumL]],T_TraitDi[#Data],COLUMN(T_TraitDi[[#This Row],[Colonne11]]),FALSE),""),"[hh]:mm"))</f>
        <v>#VALUE!</v>
      </c>
      <c r="AS129" s="172" t="e">
        <f>IF(VLOOKUP(T_BilanSocial[[#This Row],[NumL]],T_TraitDi[#Data],COLUMN(T_TraitDi[[#This Row],[Colonne12]]),FALSE)=0,"",TEXT(IFERROR(VLOOKUP(T_BilanSocial[[#This Row],[NumL]],T_TraitDi[#Data],COLUMN(T_TraitDi[[#This Row],[Colonne12]]),FALSE),""),"[hh]:mm"))</f>
        <v>#VALUE!</v>
      </c>
      <c r="AT129" s="172" t="e">
        <f>IF(VLOOKUP(T_BilanSocial[[#This Row],[NumL]],T_TraitDi[#Data],COLUMN(T_TraitDi[[#This Row],[Colonne14]]),FALSE)=0,"",TEXT(IFERROR(VLOOKUP(T_BilanSocial[[#This Row],[NumL]],T_TraitDi[#Data],COLUMN(T_TraitDi[[#This Row],[Colonne14]]),FALSE),""),"[hh]:mm"))</f>
        <v>#VALUE!</v>
      </c>
      <c r="AU129" s="172" t="str">
        <f>IFERROR(VLOOKUP(T_BilanSocial[[#This Row],[NumL]],T_TraitDi[#Data],COLUMN(T_TraitDi[[#This Row],[Mercredi]]),FALSE),"")</f>
        <v/>
      </c>
      <c r="AV129" s="172" t="e">
        <f>IF(VLOOKUP(T_BilanSocial[[#This Row],[NumL]],T_TraitDi[#Data],COLUMN(T_TraitDi[[#This Row],[Colonne15]]),FALSE)=0,"",TEXT(IFERROR(VLOOKUP(T_BilanSocial[[#This Row],[NumL]],T_TraitDi[#Data],COLUMN(T_TraitDi[[#This Row],[Colonne15]]),FALSE),""),"[hh]:mm"))</f>
        <v>#VALUE!</v>
      </c>
      <c r="AW129" s="172" t="e">
        <f>IF(VLOOKUP(T_BilanSocial[[#This Row],[NumL]],T_TraitDi[#Data],COLUMN(T_TraitDi[[#This Row],[Colonne16]]),FALSE)=0,"",TEXT(IFERROR(VLOOKUP(T_BilanSocial[[#This Row],[NumL]],T_TraitDi[#Data],COLUMN(T_TraitDi[[#This Row],[Colonne16]]),FALSE),""),"[hh]:mm"))</f>
        <v>#VALUE!</v>
      </c>
      <c r="AX129" s="172" t="str">
        <f>IFERROR(VLOOKUP(T_BilanSocial[[#This Row],[NumL]],T_TraitDi[#Data],COLUMN(T_TraitDi[[#This Row],[Colonne17]]),FALSE),"")</f>
        <v/>
      </c>
      <c r="AY129" s="172" t="e">
        <f>IF(VLOOKUP(T_BilanSocial[[#This Row],[NumL]],T_TraitDi[#Data],COLUMN(T_TraitDi[[#This Row],[Colonne18]]),FALSE)=0,"",TEXT(IFERROR(VLOOKUP(T_BilanSocial[[#This Row],[NumL]],T_TraitDi[#Data],COLUMN(T_TraitDi[[#This Row],[Colonne18]]),FALSE),""),"[hh]:mm"))</f>
        <v>#VALUE!</v>
      </c>
      <c r="AZ129" s="172" t="e">
        <f>IF(VLOOKUP(T_BilanSocial[[#This Row],[NumL]],T_TraitDi[#Data],COLUMN(T_TraitDi[[#This Row],[Colonne19]]),FALSE)=0,"",TEXT(IFERROR(VLOOKUP(T_BilanSocial[[#This Row],[NumL]],T_TraitDi[#Data],COLUMN(T_TraitDi[[#This Row],[Colonne19]]),FALSE),""),"[hh]:mm"))</f>
        <v>#VALUE!</v>
      </c>
      <c r="BA129" s="172" t="e">
        <f>IF(VLOOKUP(T_BilanSocial[[#This Row],[NumL]],T_TraitDi[#Data],COLUMN(T_TraitDi[[#This Row],[Colonne20]]),FALSE)=0,"",TEXT(IFERROR(VLOOKUP(T_BilanSocial[[#This Row],[NumL]],T_TraitDi[#Data],COLUMN(T_TraitDi[[#This Row],[Colonne20]]),FALSE),""),"[hh]:mm"))</f>
        <v>#VALUE!</v>
      </c>
      <c r="BB129" s="178" t="str">
        <f>IFERROR(VLOOKUP(T_BilanSocial[[#This Row],[NumL]],T_TraitDi[#Data],COLUMN(T_TraitDi[[#This Row],[Jeudi]]),FALSE),"")</f>
        <v/>
      </c>
      <c r="BC129" s="178" t="e">
        <f>IF(VLOOKUP(T_BilanSocial[[#This Row],[NumL]],T_TraitDi[#Data],COLUMN(T_TraitDi[[#This Row],[Colonne21]]),FALSE)=0,"",TEXT(IFERROR(VLOOKUP(T_BilanSocial[[#This Row],[NumL]],T_TraitDi[#Data],COLUMN(T_TraitDi[[#This Row],[Colonne21]]),FALSE),""),"[hh]:mm"))</f>
        <v>#VALUE!</v>
      </c>
      <c r="BD129" s="178" t="e">
        <f>IF(VLOOKUP(T_BilanSocial[[#This Row],[NumL]],T_TraitDi[#Data],COLUMN(T_TraitDi[[#This Row],[Colonne22]]),FALSE)=0,"",TEXT(IFERROR(VLOOKUP(T_BilanSocial[[#This Row],[NumL]],T_TraitDi[#Data],COLUMN(T_TraitDi[[#This Row],[Colonne22]]),FALSE),""),"[hh]:mm"))</f>
        <v>#VALUE!</v>
      </c>
      <c r="BE129" s="178" t="str">
        <f>IFERROR(VLOOKUP(T_BilanSocial[[#This Row],[NumL]],T_TraitDi[#Data],COLUMN(T_TraitDi[[#This Row],[Colonne23]]),FALSE),"")</f>
        <v/>
      </c>
      <c r="BF129" s="178" t="e">
        <f>IF(VLOOKUP(T_BilanSocial[[#This Row],[NumL]],T_TraitDi[#Data],COLUMN(T_TraitDi[[#This Row],[Colonne24]]),FALSE)=0,"",TEXT(IFERROR(VLOOKUP(T_BilanSocial[[#This Row],[NumL]],T_TraitDi[#Data],COLUMN(T_TraitDi[[#This Row],[Colonne24]]),FALSE),""),"[hh]:mm"))</f>
        <v>#VALUE!</v>
      </c>
      <c r="BG129" s="178" t="e">
        <f>IF(VLOOKUP(T_BilanSocial[[#This Row],[NumL]],T_TraitDi[#Data],COLUMN(T_TraitDi[[#This Row],[Colonne25]]),FALSE)=0,"",TEXT(IFERROR(VLOOKUP(T_BilanSocial[[#This Row],[NumL]],T_TraitDi[#Data],COLUMN(T_TraitDi[[#This Row],[Colonne25]]),FALSE),""),"[hh]:mm"))</f>
        <v>#VALUE!</v>
      </c>
      <c r="BH129" s="178" t="e">
        <f>IF(VLOOKUP(T_BilanSocial[[#This Row],[NumL]],T_TraitDi[#Data],COLUMN(T_TraitDi[[#This Row],[Colonne26]]),FALSE)=0,"",TEXT(IFERROR(VLOOKUP(T_BilanSocial[[#This Row],[NumL]],T_TraitDi[#Data],COLUMN(T_TraitDi[[#This Row],[Colonne26]]),FALSE),""),"[hh]:mm"))</f>
        <v>#VALUE!</v>
      </c>
      <c r="BI129" s="172" t="str">
        <f>IFERROR(VLOOKUP(T_BilanSocial[[#This Row],[NumL]],T_TraitDi[#Data],COLUMN(T_TraitDi[[#This Row],[Vendredi]]),FALSE),"")</f>
        <v/>
      </c>
      <c r="BJ129" s="172" t="e">
        <f>IF(VLOOKUP(T_BilanSocial[[#This Row],[NumL]],T_TraitDi[#Data],COLUMN(T_TraitDi[[#This Row],[Colonne27]]),FALSE)=0,"",TEXT(IFERROR(VLOOKUP(T_BilanSocial[[#This Row],[NumL]],T_TraitDi[#Data],COLUMN(T_TraitDi[[#This Row],[Colonne27]]),FALSE),""),"[hh]:mm"))</f>
        <v>#VALUE!</v>
      </c>
      <c r="BK129" s="172" t="e">
        <f>IF(VLOOKUP(T_BilanSocial[[#This Row],[NumL]],T_TraitDi[#Data],COLUMN(T_TraitDi[[#This Row],[Colonne28]]),FALSE)=0,"",TEXT(IFERROR(VLOOKUP(T_BilanSocial[[#This Row],[NumL]],T_TraitDi[#Data],COLUMN(T_TraitDi[[#This Row],[Colonne28]]),FALSE),""),"[hh]:mm"))</f>
        <v>#VALUE!</v>
      </c>
      <c r="BL129" s="172" t="str">
        <f>IFERROR(VLOOKUP(T_BilanSocial[[#This Row],[NumL]],T_TraitDi[#Data],COLUMN(T_TraitDi[[#This Row],[Colonne29]]),FALSE),"")</f>
        <v/>
      </c>
      <c r="BM129" s="172" t="e">
        <f>IF(VLOOKUP(T_BilanSocial[[#This Row],[NumL]],T_TraitDi[#Data],COLUMN(T_TraitDi[[#This Row],[Colonne30]]),FALSE)=0,"",TEXT(IFERROR(VLOOKUP(T_BilanSocial[[#This Row],[NumL]],T_TraitDi[#Data],COLUMN(T_TraitDi[[#This Row],[Colonne30]]),FALSE),""),"[hh]:mm"))</f>
        <v>#VALUE!</v>
      </c>
      <c r="BN129" s="172" t="e">
        <f>IF(VLOOKUP(T_BilanSocial[[#This Row],[NumL]],T_TraitDi[#Data],COLUMN(T_TraitDi[[#This Row],[Colonne31]]),FALSE)=0,"",TEXT(IFERROR(VLOOKUP(T_BilanSocial[[#This Row],[NumL]],T_TraitDi[#Data],COLUMN(T_TraitDi[[#This Row],[Colonne31]]),FALSE),""),"[hh]:mm"))</f>
        <v>#VALUE!</v>
      </c>
      <c r="BO129" s="172" t="e">
        <f>IF(VLOOKUP(T_BilanSocial[[#This Row],[NumL]],T_TraitDi[#Data],COLUMN(T_TraitDi[[#This Row],[Colonne32]]),FALSE)=0,"",TEXT(IFERROR(VLOOKUP(T_BilanSocial[[#This Row],[NumL]],T_TraitDi[#Data],COLUMN(T_TraitDi[[#This Row],[Colonne32]]),FALSE),""),"[hh]:mm"))</f>
        <v>#VALUE!</v>
      </c>
      <c r="BP129" s="172" t="e">
        <f>VLOOKUP(T_BilanSocial[[#This Row],[NumL]],T_TraitDi[#Data],COLUMN(T_TraitDi[NbJTot]),FALSE)</f>
        <v>#N/A</v>
      </c>
      <c r="BQ129" s="174" t="str">
        <f>IFERROR(VLOOKUP(T_BilanSocial[[#This Row],[NumL]],T_TraitDi[#Data],COLUMN(T_TraitDi[[#This Row],[NbJTW]]),FALSE),"")</f>
        <v/>
      </c>
      <c r="BR129" s="174" t="e">
        <f>IF(VLOOKUP(T_BilanSocial[[#This Row],[NumL]],T_TraitDi[#Data],COLUMN(T_TraitDi[[#This Row],[NbhTW]]),FALSE)=0,"",TEXT(IFERROR(VLOOKUP(T_BilanSocial[[#This Row],[NumL]],T_TraitDi[#Data],COLUMN(T_TraitDi[[#This Row],[NbhTW]]),FALSE),""),"[hh]:mm"))</f>
        <v>#VALUE!</v>
      </c>
      <c r="BS129" s="174" t="e">
        <f>IF(VLOOKUP(T_BilanSocial[[#This Row],[NumL]],T_TraitDi[#Data],COLUMN(T_TraitDi[[#This Row],[Nbhheb]]),FALSE)=0,"",TEXT(IFERROR(VLOOKUP($A129,T_TraitDi[#Data],COLUMN(T_TraitDi[[#This Row],[Nbhheb]]),FALSE),""),"[hh]:mm"))</f>
        <v>#VALUE!</v>
      </c>
      <c r="BT129" s="182" t="str">
        <f>IFERROR(VLOOKUP(VLOOKUP($A129,T_TraitDi[#Data],COLUMN(T_TraitDi[[#This Row],[Type1]]),FALSE),TypeTW,2,FALSE),"")</f>
        <v/>
      </c>
      <c r="BU129" s="182" t="str">
        <f>IFERROR(VLOOKUP($A129,T_TraitDi[#Data],COLUMN(T_TraitDi[[#This Row],[Rue1]]),FALSE),"")</f>
        <v/>
      </c>
      <c r="BV129" s="173" t="str">
        <f>IFERROR(VLOOKUP($A129,T_TraitDi[#Data],COLUMN(T_TraitDi[[#This Row],[CP1]]),FALSE),"")</f>
        <v/>
      </c>
      <c r="BW129" s="173" t="str">
        <f>IFERROR(VLOOKUP($A129,T_TraitDi[#Data],COLUMN(T_TraitDi[[#This Row],[VILLE1]]),FALSE),"")</f>
        <v/>
      </c>
      <c r="BX129" s="182" t="str">
        <f>IFERROR(VLOOKUP(VLOOKUP($A129,T_TraitDi[#Data],COLUMN(T_TraitDi[[#This Row],[Type2]]),FALSE),TypeTW,2,FALSE),"")</f>
        <v/>
      </c>
      <c r="BY129" s="182" t="str">
        <f>IFERROR(VLOOKUP($A129,T_TraitDi[#Data],COLUMN(T_TraitDi[[#This Row],[Rue2]]),FALSE),"")</f>
        <v/>
      </c>
      <c r="BZ129" s="173" t="str">
        <f>IFERROR(VLOOKUP($A129,T_TraitDi[#Data],COLUMN(T_TraitDi[[#This Row],[CP2]]),FALSE),"")</f>
        <v/>
      </c>
      <c r="CA129" s="173" t="str">
        <f>IFERROR(VLOOKUP($A129,T_TraitDi[#Data],COLUMN(T_TraitDi[[#This Row],[VILLE2]]),FALSE),"")</f>
        <v/>
      </c>
      <c r="CB129" s="182" t="str">
        <f>IF(VLOOKUP(T_BilanSocial[[#This Row],[NumL]],T_Equipement[#Data],COLUMN(T_Equipement[[#This Row],[PC]]),FALSE)="","Aucun équipement spécifique directement lié au télétravail",VLOOKUP(T_BilanSocial[[#This Row],[NumL]],T_Equipement[#Data],COLUMN(T_Equipement[[#This Row],[PC]]),FALSE))</f>
        <v xml:space="preserve">17-035	</v>
      </c>
      <c r="CC129" s="166" t="str">
        <f>IFERROR(IF(VLOOKUP(T_BilanSocial[[#This Row],[NumL]],T_TraitDi[#Data],COLUMN(T_TraitDi[[#This Row],[Plan]]),FALSE)="OK","Un planning spécifique de télétravail est annexé à la présente convention.",""),"")</f>
        <v/>
      </c>
      <c r="CD129" s="258" t="s">
        <v>3451</v>
      </c>
      <c r="CE129" s="164" t="e">
        <f>IF(VLOOKUP(T_BilanSocial[[#This Row],[NumL]],T_suiviDi[#Data],COLUMN(T_suiviDi[[#This Row],[Entité]]),FALSE)="","",VLOOKUP(T_BilanSocial[[#This Row],[NumL]],T_suiviDi[#Data],COLUMN(T_suiviDi[[#This Row],[Entité]]),FALSE))</f>
        <v>#VALUE!</v>
      </c>
      <c r="CF129" s="164" t="str">
        <f>IF(VLOOKUP(T_BilanSocial[[#This Row],[NumL]],T_Commission[#Data],COLUMN(T_Commission[[#This Row],[envoi confirm TW]]),FALSE)="","",VLOOKUP(T_BilanSocial[[#This Row],[NumL]],T_Commission[#Data],COLUMN(T_Commission[[#This Row],[envoi confirm TW]]),FALSE))</f>
        <v>Oui</v>
      </c>
      <c r="CG12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29" s="262" t="str">
        <f>T_BilanSocial[[#This Row],[Nom]]&amp;T_BilanSocial[[#This Row],[Prenom]]</f>
        <v/>
      </c>
      <c r="CI129" s="262">
        <f>VLOOKUP(T_BilanSocial[[#This Row],[NumL]],T_Commission[#Data],COLUMN(T_Commission[Commentaire]),FALSE)</f>
        <v>0</v>
      </c>
      <c r="CJ129" s="262" t="str">
        <f>IF(VLOOKUP(T_BilanSocial[[#This Row],[NumL]],T_Commission[#Data],COLUMN(T_Commission[Encadrant Email]),FALSE)="","",VLOOKUP(T_BilanSocial[[#This Row],[NumL]],T_Commission[#Data],COLUMN(T_Commission[Encadrant Email]),FALSE))</f>
        <v/>
      </c>
      <c r="CK129" s="340" t="str">
        <f>IF(T_BilanSocial[[#This Row],[Final]]&lt;&gt;"",VLOOKUP(T_BilanSocial[[#This Row],[NumL]],T_suiviDi[#Data],COLUMN((T_suiviDi[Statut])),FALSE),"")</f>
        <v/>
      </c>
    </row>
    <row r="130" spans="1:89" s="106" customFormat="1" ht="24.75" customHeight="1" x14ac:dyDescent="0.25">
      <c r="A130" s="160">
        <v>127</v>
      </c>
      <c r="B130" s="161" t="str">
        <f t="shared" si="10"/>
        <v/>
      </c>
      <c r="C130" s="162" t="s">
        <v>3287</v>
      </c>
      <c r="D130" s="95" t="e">
        <f>IF(VLOOKUP(T_BilanSocial[[#This Row],[NumL]],T_TraitDi[#Data],COLUMN(T_TraitDi[[#This Row],[WebC]]),FALSE)="","",VLOOKUP(T_BilanSocial[[#This Row],[NumL]],T_TraitDi[#Data],COLUMN(T_TraitDi[[#This Row],[WebC]]),FALSE))</f>
        <v>#VALUE!</v>
      </c>
      <c r="E130" s="163" t="str">
        <f t="shared" si="11"/>
        <v>12 janvier 2021</v>
      </c>
      <c r="F130" s="96" t="str">
        <f>IF(T_BilanSocial[[#This Row],[Final]]&lt;&gt;"",VLOOKUP(T_BilanSocial[[#This Row],[NumL]],T_suiviDi[#Data],COLUMN((T_suiviDi[Civ.])),FALSE),"")</f>
        <v/>
      </c>
      <c r="G130" s="96" t="str">
        <f>IF(T_BilanSocial[[#This Row],[Final]]&lt;&gt;"",VLOOKUP(T_BilanSocial[[#This Row],[NumL]],T_suiviDi[#Data],COLUMN((T_suiviDi[Nom])),FALSE),"")</f>
        <v/>
      </c>
      <c r="H130" s="96" t="str">
        <f>IF(T_BilanSocial[[#This Row],[Final]]&lt;&gt;"",VLOOKUP(T_BilanSocial[[#This Row],[NumL]],T_suiviDi[#Data],COLUMN((T_suiviDi[Prénom])),FALSE),"")</f>
        <v/>
      </c>
      <c r="I130" s="96" t="str">
        <f>IFERROR(VLOOKUP(T_BilanSocial[[#This Row],[Zone_Bilan]],T_P_BilanSocial[#Data],COLUMN(T_P_BilanSocial[[#This Row],[Numero_SIHAM]]),FALSE),"")</f>
        <v/>
      </c>
      <c r="J130" s="96" t="str">
        <f>IFERROR(VLOOKUP(T_BilanSocial[[#This Row],[Zone_Bilan]],T_P_BilanSocial[#Data],COLUMN(T_P_BilanSocial[[#This Row],[Sexe]]),FALSE),"")</f>
        <v/>
      </c>
      <c r="K130" s="97" t="str">
        <f>IFERROR(VLOOKUP(T_BilanSocial[[#This Row],[Zone_Bilan]],T_P_BilanSocial[#Data],COLUMN(T_P_BilanSocial[[#This Row],[Categorie]]),FALSE),"")</f>
        <v/>
      </c>
      <c r="L130" s="96" t="str">
        <f>IFERROR(VLOOKUP(T_BilanSocial[[#This Row],[Zone_Bilan]],T_P_BilanSocial[#Data],COLUMN(T_P_BilanSocial[[#This Row],[Statut]]),FALSE),"")</f>
        <v/>
      </c>
      <c r="M130" s="96" t="str">
        <f>IFERROR(VLOOKUP(T_BilanSocial[[#This Row],[Zone_Bilan]],T_P_BilanSocial[#Data],COLUMN(T_P_BilanSocial[[#This Row],[Filiere]]),FALSE),"")</f>
        <v/>
      </c>
      <c r="N130" s="96" t="e">
        <f>VLOOKUP(T_BilanSocial[[#This Row],[NumL]],T_TraitDi[#Data],COLUMN(T_TraitDi[EXP]),FALSE)</f>
        <v>#N/A</v>
      </c>
      <c r="O130" s="96" t="e">
        <f>VLOOKUP(T_BilanSocial[[#This Row],[NumL]],T_TraitDi[#Data],COLUMN(T_TraitDi[FORM]),FALSE)</f>
        <v>#N/A</v>
      </c>
      <c r="P130" s="96" t="str">
        <f>IF(T_BilanSocial[[#This Row],[Final]]&lt;&gt;"",VLOOKUP(T_BilanSocial[[#This Row],[NumL]],T_suiviDi[#Data],COLUMN((T_suiviDi[Email])),FALSE),"")</f>
        <v/>
      </c>
      <c r="Q130" s="164" t="e">
        <f t="shared" si="17"/>
        <v>#N/A</v>
      </c>
      <c r="R130" s="164" t="e">
        <f t="shared" si="18"/>
        <v>#N/A</v>
      </c>
      <c r="S130" s="164" t="e">
        <f>IF(VLOOKUP(T_BilanSocial[[#This Row],[NumL]],T_suiviDi[#Data],COLUMN(T_suiviDi[[#This Row],[Service ]]),FALSE)="","",VLOOKUP(T_BilanSocial[[#This Row],[NumL]],T_suiviDi[#Data],COLUMN(T_suiviDi[[#This Row],[Service ]]),FALSE))</f>
        <v>#VALUE!</v>
      </c>
      <c r="T130" s="164" t="str">
        <f t="shared" si="12"/>
        <v>01 septembre 2021</v>
      </c>
      <c r="U130" s="164" t="str">
        <f t="shared" si="13"/>
        <v>30 novembre 2021</v>
      </c>
      <c r="V130" s="164" t="str">
        <f t="shared" si="21"/>
        <v>30 novembre 2021</v>
      </c>
      <c r="W130" s="176" t="e">
        <f>IF(VLOOKUP(T_BilanSocial[[#This Row],[NumL]],T_TraitDi[#Data],COLUMN(T_TraitDi[[#This Row],[M1]]),FALSE)="","",VLOOKUP(T_BilanSocial[[#This Row],[NumL]],T_TraitDi[#Data],COLUMN(T_TraitDi[[#This Row],[M1]]),FALSE))</f>
        <v>#VALUE!</v>
      </c>
      <c r="X130" s="176" t="e">
        <f>IF(VLOOKUP(T_BilanSocial[[#This Row],[NumL]],T_TraitDi[#Data],COLUMN(T_TraitDi[[#This Row],[M2]]),FALSE)="","",VLOOKUP(T_BilanSocial[[#This Row],[NumL]],T_TraitDi[#Data],COLUMN(T_TraitDi[[#This Row],[M2]]),FALSE))</f>
        <v>#VALUE!</v>
      </c>
      <c r="Y130" s="176" t="e">
        <f>IF(VLOOKUP(T_BilanSocial[[#This Row],[NumL]],T_TraitDi[#Data],COLUMN(T_TraitDi[[#This Row],[M3]]),FALSE)="","",VLOOKUP(T_BilanSocial[[#This Row],[NumL]],T_TraitDi[#Data],COLUMN(T_TraitDi[[#This Row],[M3]]),FALSE))</f>
        <v>#VALUE!</v>
      </c>
      <c r="Z130" s="176" t="str">
        <f t="shared" si="16"/>
        <v/>
      </c>
      <c r="AA130" s="176" t="e">
        <f>IF(VLOOKUP(T_BilanSocial[[#This Row],[NumL]],T_TraitDi[#Data],COLUMN(T_TraitDi[[#This Row],[M5]]),FALSE)="","",VLOOKUP(T_BilanSocial[[#This Row],[NumL]],T_TraitDi[#Data],COLUMN(T_TraitDi[[#This Row],[M5]]),FALSE))</f>
        <v>#VALUE!</v>
      </c>
      <c r="AB130" s="176" t="e">
        <f>IF(VLOOKUP(T_BilanSocial[[#This Row],[NumL]],T_TraitDi[#Data],COLUMN(T_TraitDi[[#This Row],[M6]]),FALSE)="","",VLOOKUP(T_BilanSocial[[#This Row],[NumL]],T_TraitDi[#Data],COLUMN(T_TraitDi[[#This Row],[M6]]),FALSE))</f>
        <v>#VALUE!</v>
      </c>
      <c r="AC130" s="165" t="e">
        <f t="shared" si="15"/>
        <v>#VALUE!</v>
      </c>
      <c r="AD130" s="188" t="str">
        <f>IFERROR(TEXT(VLOOKUP(T_BilanSocial[[#This Row],[NumL]],T_TraitDi[#Data],COLUMN(T_TraitDi[[#This Row],[Q2]]),FALSE),"###%"),"")</f>
        <v/>
      </c>
      <c r="AE130" s="97" t="e">
        <f>VLOOKUP(T_BilanSocial[[#This Row],[NumL]],T_TraitDi[#Data],COLUMN(T_TraitDi[[#This Row],[Reg Ponct]]),FALSE)</f>
        <v>#VALUE!</v>
      </c>
      <c r="AF130" s="97" t="e">
        <f>VLOOKUP(T_BilanSocial[NumL],T_TraitDi[#Data],COLUMN(T_TraitDi[[#This Row],[Jours flottants]]),FALSE)</f>
        <v>#VALUE!</v>
      </c>
      <c r="AG130" s="97" t="str">
        <f>IFERROR(VLOOKUP(T_BilanSocial[[#This Row],[NumL]],T_TraitDi[#Data],COLUMN(T_TraitDi[[#This Row],[Lundi]]),FALSE),"")</f>
        <v/>
      </c>
      <c r="AH130" s="172" t="e">
        <f>IF(VLOOKUP(T_BilanSocial[[#This Row],[NumL]],T_TraitDi[#Data],COLUMN(T_TraitDi[[#This Row],[Colonne3]]),FALSE)=0,"",TEXT(IFERROR(VLOOKUP(T_BilanSocial[[#This Row],[NumL]],T_TraitDi[#Data],COLUMN(T_TraitDi[[#This Row],[Colonne3]]),FALSE),""),"[hh]:mm"))</f>
        <v>#VALUE!</v>
      </c>
      <c r="AI130" s="172" t="e">
        <f>IF(VLOOKUP(T_BilanSocial[[#This Row],[NumL]],T_TraitDi[#Data],COLUMN(T_TraitDi[[#This Row],[Colonne4]]),FALSE)=0,"",TEXT(IFERROR(VLOOKUP(T_BilanSocial[[#This Row],[NumL]],T_TraitDi[#Data],COLUMN(T_TraitDi[[#This Row],[Colonne4]]),FALSE),""),"[hh]:mm"))</f>
        <v>#VALUE!</v>
      </c>
      <c r="AJ130" s="172" t="e">
        <f>IF(VLOOKUP(T_BilanSocial[[#This Row],[NumL]],T_TraitDi[#Data],COLUMN(T_TraitDi[[#This Row],[Colonne5]]),FALSE)=0,"",TEXT(IFERROR(VLOOKUP(T_BilanSocial[[#This Row],[NumL]],T_TraitDi[#Data],COLUMN(T_TraitDi[[#This Row],[Colonne5]]),FALSE),""),"[hh]:mm"))</f>
        <v>#VALUE!</v>
      </c>
      <c r="AK130" s="172" t="e">
        <f>IF(VLOOKUP(T_BilanSocial[[#This Row],[NumL]],T_TraitDi[#Data],COLUMN(T_TraitDi[[#This Row],[Colonne6]]),FALSE)=0,"",TEXT(IFERROR(VLOOKUP(T_BilanSocial[[#This Row],[NumL]],T_TraitDi[#Data],COLUMN(T_TraitDi[[#This Row],[Colonne6]]),FALSE),""),"[hh]:mm"))</f>
        <v>#VALUE!</v>
      </c>
      <c r="AL130" s="172" t="e">
        <f>IF(VLOOKUP(T_BilanSocial[[#This Row],[NumL]],T_TraitDi[#Data],COLUMN(T_TraitDi[[#This Row],[Colonne7]]),FALSE)=0,"",TEXT(IFERROR(VLOOKUP(T_BilanSocial[[#This Row],[NumL]],T_TraitDi[#Data],COLUMN(T_TraitDi[[#This Row],[Colonne7]]),FALSE),""),"[hh]:mm"))</f>
        <v>#VALUE!</v>
      </c>
      <c r="AM130" s="172" t="e">
        <f>IF(VLOOKUP(T_BilanSocial[[#This Row],[NumL]],T_TraitDi[#Data],COLUMN(T_TraitDi[[#This Row],[Colonne8]]),FALSE)=0,"",TEXT(IFERROR(VLOOKUP(T_BilanSocial[[#This Row],[NumL]],T_TraitDi[#Data],COLUMN(T_TraitDi[[#This Row],[Colonne8]]),FALSE),""),"[hh]:mm"))</f>
        <v>#VALUE!</v>
      </c>
      <c r="AN130" s="172" t="str">
        <f>IFERROR(VLOOKUP(T_BilanSocial[[#This Row],[NumL]],T_TraitDi[#Data],COLUMN(T_TraitDi[[#This Row],[Mardi]]),FALSE),"")</f>
        <v/>
      </c>
      <c r="AO130" s="172" t="e">
        <f>IF(VLOOKUP(T_BilanSocial[[#This Row],[NumL]],T_TraitDi[#Data],COLUMN(T_TraitDi[[#This Row],[Colonne1]]),FALSE)=0,"",TEXT(IFERROR(VLOOKUP(T_BilanSocial[[#This Row],[NumL]],T_TraitDi[#Data],COLUMN(T_TraitDi[[#This Row],[Colonne1]]),FALSE),""),"[hh]:mm"))</f>
        <v>#VALUE!</v>
      </c>
      <c r="AP130" s="172" t="e">
        <f>IF(VLOOKUP(T_BilanSocial[[#This Row],[NumL]],T_TraitDi[#Data],COLUMN(T_TraitDi[[#This Row],[Colonne9]]),FALSE)=0,"",TEXT(IFERROR(VLOOKUP(T_BilanSocial[[#This Row],[NumL]],T_TraitDi[#Data],COLUMN(T_TraitDi[[#This Row],[Colonne9]]),FALSE),""),"[hh]:mm"))</f>
        <v>#VALUE!</v>
      </c>
      <c r="AQ130" s="172" t="str">
        <f>IFERROR(VLOOKUP(T_BilanSocial[[#This Row],[NumL]],T_TraitDi[#Data],COLUMN(T_TraitDi[[#This Row],[Colonne10]]),FALSE),"")</f>
        <v/>
      </c>
      <c r="AR130" s="172" t="e">
        <f>IF(VLOOKUP(T_BilanSocial[[#This Row],[NumL]],T_TraitDi[#Data],COLUMN(T_TraitDi[[#This Row],[Colonne11]]),FALSE)=0,"",TEXT(IFERROR(VLOOKUP(T_BilanSocial[[#This Row],[NumL]],T_TraitDi[#Data],COLUMN(T_TraitDi[[#This Row],[Colonne11]]),FALSE),""),"[hh]:mm"))</f>
        <v>#VALUE!</v>
      </c>
      <c r="AS130" s="172" t="e">
        <f>IF(VLOOKUP(T_BilanSocial[[#This Row],[NumL]],T_TraitDi[#Data],COLUMN(T_TraitDi[[#This Row],[Colonne12]]),FALSE)=0,"",TEXT(IFERROR(VLOOKUP(T_BilanSocial[[#This Row],[NumL]],T_TraitDi[#Data],COLUMN(T_TraitDi[[#This Row],[Colonne12]]),FALSE),""),"[hh]:mm"))</f>
        <v>#VALUE!</v>
      </c>
      <c r="AT130" s="172" t="e">
        <f>IF(VLOOKUP(T_BilanSocial[[#This Row],[NumL]],T_TraitDi[#Data],COLUMN(T_TraitDi[[#This Row],[Colonne14]]),FALSE)=0,"",TEXT(IFERROR(VLOOKUP(T_BilanSocial[[#This Row],[NumL]],T_TraitDi[#Data],COLUMN(T_TraitDi[[#This Row],[Colonne14]]),FALSE),""),"[hh]:mm"))</f>
        <v>#VALUE!</v>
      </c>
      <c r="AU130" s="172" t="str">
        <f>IFERROR(VLOOKUP(T_BilanSocial[[#This Row],[NumL]],T_TraitDi[#Data],COLUMN(T_TraitDi[[#This Row],[Mercredi]]),FALSE),"")</f>
        <v/>
      </c>
      <c r="AV130" s="172" t="e">
        <f>IF(VLOOKUP(T_BilanSocial[[#This Row],[NumL]],T_TraitDi[#Data],COLUMN(T_TraitDi[[#This Row],[Colonne15]]),FALSE)=0,"",TEXT(IFERROR(VLOOKUP(T_BilanSocial[[#This Row],[NumL]],T_TraitDi[#Data],COLUMN(T_TraitDi[[#This Row],[Colonne15]]),FALSE),""),"[hh]:mm"))</f>
        <v>#VALUE!</v>
      </c>
      <c r="AW130" s="172" t="e">
        <f>IF(VLOOKUP(T_BilanSocial[[#This Row],[NumL]],T_TraitDi[#Data],COLUMN(T_TraitDi[[#This Row],[Colonne16]]),FALSE)=0,"",TEXT(IFERROR(VLOOKUP(T_BilanSocial[[#This Row],[NumL]],T_TraitDi[#Data],COLUMN(T_TraitDi[[#This Row],[Colonne16]]),FALSE),""),"[hh]:mm"))</f>
        <v>#VALUE!</v>
      </c>
      <c r="AX130" s="172" t="str">
        <f>IFERROR(VLOOKUP(T_BilanSocial[[#This Row],[NumL]],T_TraitDi[#Data],COLUMN(T_TraitDi[[#This Row],[Colonne17]]),FALSE),"")</f>
        <v/>
      </c>
      <c r="AY130" s="172" t="e">
        <f>IF(VLOOKUP(T_BilanSocial[[#This Row],[NumL]],T_TraitDi[#Data],COLUMN(T_TraitDi[[#This Row],[Colonne18]]),FALSE)=0,"",TEXT(IFERROR(VLOOKUP(T_BilanSocial[[#This Row],[NumL]],T_TraitDi[#Data],COLUMN(T_TraitDi[[#This Row],[Colonne18]]),FALSE),""),"[hh]:mm"))</f>
        <v>#VALUE!</v>
      </c>
      <c r="AZ130" s="172" t="e">
        <f>IF(VLOOKUP(T_BilanSocial[[#This Row],[NumL]],T_TraitDi[#Data],COLUMN(T_TraitDi[[#This Row],[Colonne19]]),FALSE)=0,"",TEXT(IFERROR(VLOOKUP(T_BilanSocial[[#This Row],[NumL]],T_TraitDi[#Data],COLUMN(T_TraitDi[[#This Row],[Colonne19]]),FALSE),""),"[hh]:mm"))</f>
        <v>#VALUE!</v>
      </c>
      <c r="BA130" s="172" t="e">
        <f>IF(VLOOKUP(T_BilanSocial[[#This Row],[NumL]],T_TraitDi[#Data],COLUMN(T_TraitDi[[#This Row],[Colonne20]]),FALSE)=0,"",TEXT(IFERROR(VLOOKUP(T_BilanSocial[[#This Row],[NumL]],T_TraitDi[#Data],COLUMN(T_TraitDi[[#This Row],[Colonne20]]),FALSE),""),"[hh]:mm"))</f>
        <v>#VALUE!</v>
      </c>
      <c r="BB130" s="178" t="str">
        <f>IFERROR(VLOOKUP(T_BilanSocial[[#This Row],[NumL]],T_TraitDi[#Data],COLUMN(T_TraitDi[[#This Row],[Jeudi]]),FALSE),"")</f>
        <v/>
      </c>
      <c r="BC130" s="178" t="e">
        <f>IF(VLOOKUP(T_BilanSocial[[#This Row],[NumL]],T_TraitDi[#Data],COLUMN(T_TraitDi[[#This Row],[Colonne21]]),FALSE)=0,"",TEXT(IFERROR(VLOOKUP(T_BilanSocial[[#This Row],[NumL]],T_TraitDi[#Data],COLUMN(T_TraitDi[[#This Row],[Colonne21]]),FALSE),""),"[hh]:mm"))</f>
        <v>#VALUE!</v>
      </c>
      <c r="BD130" s="178" t="e">
        <f>IF(VLOOKUP(T_BilanSocial[[#This Row],[NumL]],T_TraitDi[#Data],COLUMN(T_TraitDi[[#This Row],[Colonne22]]),FALSE)=0,"",TEXT(IFERROR(VLOOKUP(T_BilanSocial[[#This Row],[NumL]],T_TraitDi[#Data],COLUMN(T_TraitDi[[#This Row],[Colonne22]]),FALSE),""),"[hh]:mm"))</f>
        <v>#VALUE!</v>
      </c>
      <c r="BE130" s="178" t="str">
        <f>IFERROR(VLOOKUP(T_BilanSocial[[#This Row],[NumL]],T_TraitDi[#Data],COLUMN(T_TraitDi[[#This Row],[Colonne23]]),FALSE),"")</f>
        <v/>
      </c>
      <c r="BF130" s="178" t="e">
        <f>IF(VLOOKUP(T_BilanSocial[[#This Row],[NumL]],T_TraitDi[#Data],COLUMN(T_TraitDi[[#This Row],[Colonne24]]),FALSE)=0,"",TEXT(IFERROR(VLOOKUP(T_BilanSocial[[#This Row],[NumL]],T_TraitDi[#Data],COLUMN(T_TraitDi[[#This Row],[Colonne24]]),FALSE),""),"[hh]:mm"))</f>
        <v>#VALUE!</v>
      </c>
      <c r="BG130" s="178" t="e">
        <f>IF(VLOOKUP(T_BilanSocial[[#This Row],[NumL]],T_TraitDi[#Data],COLUMN(T_TraitDi[[#This Row],[Colonne25]]),FALSE)=0,"",TEXT(IFERROR(VLOOKUP(T_BilanSocial[[#This Row],[NumL]],T_TraitDi[#Data],COLUMN(T_TraitDi[[#This Row],[Colonne25]]),FALSE),""),"[hh]:mm"))</f>
        <v>#VALUE!</v>
      </c>
      <c r="BH130" s="178" t="e">
        <f>IF(VLOOKUP(T_BilanSocial[[#This Row],[NumL]],T_TraitDi[#Data],COLUMN(T_TraitDi[[#This Row],[Colonne26]]),FALSE)=0,"",TEXT(IFERROR(VLOOKUP(T_BilanSocial[[#This Row],[NumL]],T_TraitDi[#Data],COLUMN(T_TraitDi[[#This Row],[Colonne26]]),FALSE),""),"[hh]:mm"))</f>
        <v>#VALUE!</v>
      </c>
      <c r="BI130" s="172" t="str">
        <f>IFERROR(VLOOKUP(T_BilanSocial[[#This Row],[NumL]],T_TraitDi[#Data],COLUMN(T_TraitDi[[#This Row],[Vendredi]]),FALSE),"")</f>
        <v/>
      </c>
      <c r="BJ130" s="172" t="e">
        <f>IF(VLOOKUP(T_BilanSocial[[#This Row],[NumL]],T_TraitDi[#Data],COLUMN(T_TraitDi[[#This Row],[Colonne27]]),FALSE)=0,"",TEXT(IFERROR(VLOOKUP(T_BilanSocial[[#This Row],[NumL]],T_TraitDi[#Data],COLUMN(T_TraitDi[[#This Row],[Colonne27]]),FALSE),""),"[hh]:mm"))</f>
        <v>#VALUE!</v>
      </c>
      <c r="BK130" s="172" t="e">
        <f>IF(VLOOKUP(T_BilanSocial[[#This Row],[NumL]],T_TraitDi[#Data],COLUMN(T_TraitDi[[#This Row],[Colonne28]]),FALSE)=0,"",TEXT(IFERROR(VLOOKUP(T_BilanSocial[[#This Row],[NumL]],T_TraitDi[#Data],COLUMN(T_TraitDi[[#This Row],[Colonne28]]),FALSE),""),"[hh]:mm"))</f>
        <v>#VALUE!</v>
      </c>
      <c r="BL130" s="172" t="str">
        <f>IFERROR(VLOOKUP(T_BilanSocial[[#This Row],[NumL]],T_TraitDi[#Data],COLUMN(T_TraitDi[[#This Row],[Colonne29]]),FALSE),"")</f>
        <v/>
      </c>
      <c r="BM130" s="172" t="e">
        <f>IF(VLOOKUP(T_BilanSocial[[#This Row],[NumL]],T_TraitDi[#Data],COLUMN(T_TraitDi[[#This Row],[Colonne30]]),FALSE)=0,"",TEXT(IFERROR(VLOOKUP(T_BilanSocial[[#This Row],[NumL]],T_TraitDi[#Data],COLUMN(T_TraitDi[[#This Row],[Colonne30]]),FALSE),""),"[hh]:mm"))</f>
        <v>#VALUE!</v>
      </c>
      <c r="BN130" s="172" t="e">
        <f>IF(VLOOKUP(T_BilanSocial[[#This Row],[NumL]],T_TraitDi[#Data],COLUMN(T_TraitDi[[#This Row],[Colonne31]]),FALSE)=0,"",TEXT(IFERROR(VLOOKUP(T_BilanSocial[[#This Row],[NumL]],T_TraitDi[#Data],COLUMN(T_TraitDi[[#This Row],[Colonne31]]),FALSE),""),"[hh]:mm"))</f>
        <v>#VALUE!</v>
      </c>
      <c r="BO130" s="172" t="e">
        <f>IF(VLOOKUP(T_BilanSocial[[#This Row],[NumL]],T_TraitDi[#Data],COLUMN(T_TraitDi[[#This Row],[Colonne32]]),FALSE)=0,"",TEXT(IFERROR(VLOOKUP(T_BilanSocial[[#This Row],[NumL]],T_TraitDi[#Data],COLUMN(T_TraitDi[[#This Row],[Colonne32]]),FALSE),""),"[hh]:mm"))</f>
        <v>#VALUE!</v>
      </c>
      <c r="BP130" s="172" t="e">
        <f>VLOOKUP(T_BilanSocial[[#This Row],[NumL]],T_TraitDi[#Data],COLUMN(T_TraitDi[NbJTot]),FALSE)</f>
        <v>#N/A</v>
      </c>
      <c r="BQ130" s="174" t="str">
        <f>IFERROR(VLOOKUP(T_BilanSocial[[#This Row],[NumL]],T_TraitDi[#Data],COLUMN(T_TraitDi[[#This Row],[NbJTW]]),FALSE),"")</f>
        <v/>
      </c>
      <c r="BR130" s="174" t="e">
        <f>IF(VLOOKUP(T_BilanSocial[[#This Row],[NumL]],T_TraitDi[#Data],COLUMN(T_TraitDi[[#This Row],[NbhTW]]),FALSE)=0,"",TEXT(IFERROR(VLOOKUP(T_BilanSocial[[#This Row],[NumL]],T_TraitDi[#Data],COLUMN(T_TraitDi[[#This Row],[NbhTW]]),FALSE),""),"[hh]:mm"))</f>
        <v>#VALUE!</v>
      </c>
      <c r="BS130" s="174" t="e">
        <f>IF(VLOOKUP(T_BilanSocial[[#This Row],[NumL]],T_TraitDi[#Data],COLUMN(T_TraitDi[[#This Row],[Nbhheb]]),FALSE)=0,"",TEXT(IFERROR(VLOOKUP($A130,T_TraitDi[#Data],COLUMN(T_TraitDi[[#This Row],[Nbhheb]]),FALSE),""),"[hh]:mm"))</f>
        <v>#VALUE!</v>
      </c>
      <c r="BT130" s="182" t="str">
        <f>IFERROR(VLOOKUP(VLOOKUP($A130,T_TraitDi[#Data],COLUMN(T_TraitDi[[#This Row],[Type1]]),FALSE),TypeTW,2,FALSE),"")</f>
        <v/>
      </c>
      <c r="BU130" s="182" t="str">
        <f>IFERROR(VLOOKUP($A130,T_TraitDi[#Data],COLUMN(T_TraitDi[[#This Row],[Rue1]]),FALSE),"")</f>
        <v/>
      </c>
      <c r="BV130" s="173" t="str">
        <f>IFERROR(VLOOKUP($A130,T_TraitDi[#Data],COLUMN(T_TraitDi[[#This Row],[CP1]]),FALSE),"")</f>
        <v/>
      </c>
      <c r="BW130" s="173" t="str">
        <f>IFERROR(VLOOKUP($A130,T_TraitDi[#Data],COLUMN(T_TraitDi[[#This Row],[VILLE1]]),FALSE),"")</f>
        <v/>
      </c>
      <c r="BX130" s="182" t="str">
        <f>IFERROR(VLOOKUP(VLOOKUP($A130,T_TraitDi[#Data],COLUMN(T_TraitDi[[#This Row],[Type2]]),FALSE),TypeTW,2,FALSE),"")</f>
        <v/>
      </c>
      <c r="BY130" s="182" t="str">
        <f>IFERROR(VLOOKUP($A130,T_TraitDi[#Data],COLUMN(T_TraitDi[[#This Row],[Rue2]]),FALSE),"")</f>
        <v/>
      </c>
      <c r="BZ130" s="173" t="str">
        <f>IFERROR(VLOOKUP($A130,T_TraitDi[#Data],COLUMN(T_TraitDi[[#This Row],[CP2]]),FALSE),"")</f>
        <v/>
      </c>
      <c r="CA130" s="173" t="str">
        <f>IFERROR(VLOOKUP($A130,T_TraitDi[#Data],COLUMN(T_TraitDi[[#This Row],[VILLE2]]),FALSE),"")</f>
        <v/>
      </c>
      <c r="CB130" s="182" t="str">
        <f>IF(VLOOKUP(T_BilanSocial[[#This Row],[NumL]],T_Equipement[#Data],COLUMN(T_Equipement[[#This Row],[PC]]),FALSE)="","Aucun équipement spécifique directement lié au télétravail",VLOOKUP(T_BilanSocial[[#This Row],[NumL]],T_Equipement[#Data],COLUMN(T_Equipement[[#This Row],[PC]]),FALSE))</f>
        <v xml:space="preserve">18-035	</v>
      </c>
      <c r="CC130" s="166" t="str">
        <f>IFERROR(IF(VLOOKUP(T_BilanSocial[[#This Row],[NumL]],T_TraitDi[#Data],COLUMN(T_TraitDi[[#This Row],[Plan]]),FALSE)="OK","Un planning spécifique de télétravail est annexé à la présente convention.",""),"")</f>
        <v/>
      </c>
      <c r="CD130" s="185"/>
      <c r="CE130" s="164" t="e">
        <f>IF(VLOOKUP(T_BilanSocial[[#This Row],[NumL]],T_suiviDi[#Data],COLUMN(T_suiviDi[[#This Row],[Entité]]),FALSE)="","",VLOOKUP(T_BilanSocial[[#This Row],[NumL]],T_suiviDi[#Data],COLUMN(T_suiviDi[[#This Row],[Entité]]),FALSE))</f>
        <v>#VALUE!</v>
      </c>
      <c r="CF130" s="164" t="str">
        <f>IF(VLOOKUP(T_BilanSocial[[#This Row],[NumL]],T_Commission[#Data],COLUMN(T_Commission[[#This Row],[envoi confirm TW]]),FALSE)="","",VLOOKUP(T_BilanSocial[[#This Row],[NumL]],T_Commission[#Data],COLUMN(T_Commission[[#This Row],[envoi confirm TW]]),FALSE))</f>
        <v>Oui</v>
      </c>
      <c r="CG13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0" s="262" t="str">
        <f>T_BilanSocial[[#This Row],[Nom]]&amp;T_BilanSocial[[#This Row],[Prenom]]</f>
        <v/>
      </c>
      <c r="CI130" s="262">
        <f>VLOOKUP(T_BilanSocial[[#This Row],[NumL]],T_Commission[#Data],COLUMN(T_Commission[Commentaire]),FALSE)</f>
        <v>0</v>
      </c>
      <c r="CJ130" s="262" t="str">
        <f>IF(VLOOKUP(T_BilanSocial[[#This Row],[NumL]],T_Commission[#Data],COLUMN(T_Commission[Encadrant Email]),FALSE)="","",VLOOKUP(T_BilanSocial[[#This Row],[NumL]],T_Commission[#Data],COLUMN(T_Commission[Encadrant Email]),FALSE))</f>
        <v/>
      </c>
      <c r="CK130" s="340" t="str">
        <f>IF(T_BilanSocial[[#This Row],[Final]]&lt;&gt;"",VLOOKUP(T_BilanSocial[[#This Row],[NumL]],T_suiviDi[#Data],COLUMN((T_suiviDi[Statut])),FALSE),"")</f>
        <v/>
      </c>
    </row>
    <row r="131" spans="1:89" s="106" customFormat="1" ht="24.75" customHeight="1" x14ac:dyDescent="0.25">
      <c r="A131" s="160">
        <v>128</v>
      </c>
      <c r="B131" s="161" t="str">
        <f t="shared" si="10"/>
        <v/>
      </c>
      <c r="C131" s="162" t="s">
        <v>173</v>
      </c>
      <c r="D131" s="95" t="e">
        <f>IF(VLOOKUP(T_BilanSocial[[#This Row],[NumL]],T_TraitDi[#Data],COLUMN(T_TraitDi[[#This Row],[WebC]]),FALSE)="","",VLOOKUP(T_BilanSocial[[#This Row],[NumL]],T_TraitDi[#Data],COLUMN(T_TraitDi[[#This Row],[WebC]]),FALSE))</f>
        <v>#VALUE!</v>
      </c>
      <c r="E131" s="163" t="str">
        <f t="shared" si="11"/>
        <v>12 janvier 2021</v>
      </c>
      <c r="F131" s="96" t="str">
        <f>IF(T_BilanSocial[[#This Row],[Final]]&lt;&gt;"",VLOOKUP(T_BilanSocial[[#This Row],[NumL]],T_suiviDi[#Data],COLUMN((T_suiviDi[Civ.])),FALSE),"")</f>
        <v/>
      </c>
      <c r="G131" s="96" t="str">
        <f>IF(T_BilanSocial[[#This Row],[Final]]&lt;&gt;"",VLOOKUP(T_BilanSocial[[#This Row],[NumL]],T_suiviDi[#Data],COLUMN((T_suiviDi[Nom])),FALSE),"")</f>
        <v/>
      </c>
      <c r="H131" s="96" t="str">
        <f>IF(T_BilanSocial[[#This Row],[Final]]&lt;&gt;"",VLOOKUP(T_BilanSocial[[#This Row],[NumL]],T_suiviDi[#Data],COLUMN((T_suiviDi[Prénom])),FALSE),"")</f>
        <v/>
      </c>
      <c r="I131" s="96" t="str">
        <f>IFERROR(VLOOKUP(T_BilanSocial[[#This Row],[Zone_Bilan]],T_P_BilanSocial[#Data],COLUMN(T_P_BilanSocial[[#This Row],[Numero_SIHAM]]),FALSE),"")</f>
        <v/>
      </c>
      <c r="J131" s="96" t="str">
        <f>IFERROR(VLOOKUP(T_BilanSocial[[#This Row],[Zone_Bilan]],T_P_BilanSocial[#Data],COLUMN(T_P_BilanSocial[[#This Row],[Sexe]]),FALSE),"")</f>
        <v/>
      </c>
      <c r="K131" s="97" t="str">
        <f>IFERROR(VLOOKUP(T_BilanSocial[[#This Row],[Zone_Bilan]],T_P_BilanSocial[#Data],COLUMN(T_P_BilanSocial[[#This Row],[Categorie]]),FALSE),"")</f>
        <v/>
      </c>
      <c r="L131" s="96" t="str">
        <f>IFERROR(VLOOKUP(T_BilanSocial[[#This Row],[Zone_Bilan]],T_P_BilanSocial[#Data],COLUMN(T_P_BilanSocial[[#This Row],[Statut]]),FALSE),"")</f>
        <v/>
      </c>
      <c r="M131" s="96" t="str">
        <f>IFERROR(VLOOKUP(T_BilanSocial[[#This Row],[Zone_Bilan]],T_P_BilanSocial[#Data],COLUMN(T_P_BilanSocial[[#This Row],[Filiere]]),FALSE),"")</f>
        <v/>
      </c>
      <c r="N131" s="96" t="e">
        <f>VLOOKUP(T_BilanSocial[[#This Row],[NumL]],T_TraitDi[#Data],COLUMN(T_TraitDi[EXP]),FALSE)</f>
        <v>#N/A</v>
      </c>
      <c r="O131" s="96" t="e">
        <f>VLOOKUP(T_BilanSocial[[#This Row],[NumL]],T_TraitDi[#Data],COLUMN(T_TraitDi[FORM]),FALSE)</f>
        <v>#N/A</v>
      </c>
      <c r="P131" s="96" t="str">
        <f>IF(T_BilanSocial[[#This Row],[Final]]&lt;&gt;"",VLOOKUP(T_BilanSocial[[#This Row],[NumL]],T_suiviDi[#Data],COLUMN((T_suiviDi[Email])),FALSE),"")</f>
        <v/>
      </c>
      <c r="Q131" s="164" t="e">
        <f t="shared" si="17"/>
        <v>#N/A</v>
      </c>
      <c r="R131" s="164" t="e">
        <f t="shared" si="18"/>
        <v>#N/A</v>
      </c>
      <c r="S131" s="164" t="e">
        <f>IF(VLOOKUP(T_BilanSocial[[#This Row],[NumL]],T_suiviDi[#Data],COLUMN(T_suiviDi[[#This Row],[Service ]]),FALSE)="","",VLOOKUP(T_BilanSocial[[#This Row],[NumL]],T_suiviDi[#Data],COLUMN(T_suiviDi[[#This Row],[Service ]]),FALSE))</f>
        <v>#VALUE!</v>
      </c>
      <c r="T131" s="164" t="str">
        <f t="shared" si="12"/>
        <v>01 septembre 2021</v>
      </c>
      <c r="U131" s="164" t="str">
        <f t="shared" si="13"/>
        <v>30 novembre 2021</v>
      </c>
      <c r="V131" s="164" t="str">
        <f t="shared" si="21"/>
        <v>30 novembre 2021</v>
      </c>
      <c r="W131" s="176" t="e">
        <f>IF(VLOOKUP(T_BilanSocial[[#This Row],[NumL]],T_TraitDi[#Data],COLUMN(T_TraitDi[[#This Row],[M1]]),FALSE)="","",VLOOKUP(T_BilanSocial[[#This Row],[NumL]],T_TraitDi[#Data],COLUMN(T_TraitDi[[#This Row],[M1]]),FALSE))</f>
        <v>#VALUE!</v>
      </c>
      <c r="X131" s="176" t="e">
        <f>IF(VLOOKUP(T_BilanSocial[[#This Row],[NumL]],T_TraitDi[#Data],COLUMN(T_TraitDi[[#This Row],[M2]]),FALSE)="","",VLOOKUP(T_BilanSocial[[#This Row],[NumL]],T_TraitDi[#Data],COLUMN(T_TraitDi[[#This Row],[M2]]),FALSE))</f>
        <v>#VALUE!</v>
      </c>
      <c r="Y131" s="176" t="e">
        <f>IF(VLOOKUP(T_BilanSocial[[#This Row],[NumL]],T_TraitDi[#Data],COLUMN(T_TraitDi[[#This Row],[M3]]),FALSE)="","",VLOOKUP(T_BilanSocial[[#This Row],[NumL]],T_TraitDi[#Data],COLUMN(T_TraitDi[[#This Row],[M3]]),FALSE))</f>
        <v>#VALUE!</v>
      </c>
      <c r="Z131" s="176" t="str">
        <f t="shared" si="16"/>
        <v/>
      </c>
      <c r="AA131" s="176" t="e">
        <f>IF(VLOOKUP(T_BilanSocial[[#This Row],[NumL]],T_TraitDi[#Data],COLUMN(T_TraitDi[[#This Row],[M5]]),FALSE)="","",VLOOKUP(T_BilanSocial[[#This Row],[NumL]],T_TraitDi[#Data],COLUMN(T_TraitDi[[#This Row],[M5]]),FALSE))</f>
        <v>#VALUE!</v>
      </c>
      <c r="AB131" s="176" t="e">
        <f>IF(VLOOKUP(T_BilanSocial[[#This Row],[NumL]],T_TraitDi[#Data],COLUMN(T_TraitDi[[#This Row],[M6]]),FALSE)="","",VLOOKUP(T_BilanSocial[[#This Row],[NumL]],T_TraitDi[#Data],COLUMN(T_TraitDi[[#This Row],[M6]]),FALSE))</f>
        <v>#VALUE!</v>
      </c>
      <c r="AC131" s="165" t="e">
        <f t="shared" si="15"/>
        <v>#VALUE!</v>
      </c>
      <c r="AD131" s="188" t="str">
        <f>IFERROR(TEXT(VLOOKUP(T_BilanSocial[[#This Row],[NumL]],T_TraitDi[#Data],COLUMN(T_TraitDi[[#This Row],[Q2]]),FALSE),"###%"),"")</f>
        <v/>
      </c>
      <c r="AE131" s="97" t="e">
        <f>VLOOKUP(T_BilanSocial[[#This Row],[NumL]],T_TraitDi[#Data],COLUMN(T_TraitDi[[#This Row],[Reg Ponct]]),FALSE)</f>
        <v>#VALUE!</v>
      </c>
      <c r="AF131" s="97" t="e">
        <f>VLOOKUP(T_BilanSocial[NumL],T_TraitDi[#Data],COLUMN(T_TraitDi[[#This Row],[Jours flottants]]),FALSE)</f>
        <v>#VALUE!</v>
      </c>
      <c r="AG131" s="97" t="str">
        <f>IFERROR(VLOOKUP(T_BilanSocial[[#This Row],[NumL]],T_TraitDi[#Data],COLUMN(T_TraitDi[[#This Row],[Lundi]]),FALSE),"")</f>
        <v/>
      </c>
      <c r="AH131" s="172" t="e">
        <f>IF(VLOOKUP(T_BilanSocial[[#This Row],[NumL]],T_TraitDi[#Data],COLUMN(T_TraitDi[[#This Row],[Colonne3]]),FALSE)=0,"",TEXT(IFERROR(VLOOKUP(T_BilanSocial[[#This Row],[NumL]],T_TraitDi[#Data],COLUMN(T_TraitDi[[#This Row],[Colonne3]]),FALSE),""),"[hh]:mm"))</f>
        <v>#VALUE!</v>
      </c>
      <c r="AI131" s="172" t="e">
        <f>IF(VLOOKUP(T_BilanSocial[[#This Row],[NumL]],T_TraitDi[#Data],COLUMN(T_TraitDi[[#This Row],[Colonne4]]),FALSE)=0,"",TEXT(IFERROR(VLOOKUP(T_BilanSocial[[#This Row],[NumL]],T_TraitDi[#Data],COLUMN(T_TraitDi[[#This Row],[Colonne4]]),FALSE),""),"[hh]:mm"))</f>
        <v>#VALUE!</v>
      </c>
      <c r="AJ131" s="172" t="e">
        <f>IF(VLOOKUP(T_BilanSocial[[#This Row],[NumL]],T_TraitDi[#Data],COLUMN(T_TraitDi[[#This Row],[Colonne5]]),FALSE)=0,"",TEXT(IFERROR(VLOOKUP(T_BilanSocial[[#This Row],[NumL]],T_TraitDi[#Data],COLUMN(T_TraitDi[[#This Row],[Colonne5]]),FALSE),""),"[hh]:mm"))</f>
        <v>#VALUE!</v>
      </c>
      <c r="AK131" s="172" t="e">
        <f>IF(VLOOKUP(T_BilanSocial[[#This Row],[NumL]],T_TraitDi[#Data],COLUMN(T_TraitDi[[#This Row],[Colonne6]]),FALSE)=0,"",TEXT(IFERROR(VLOOKUP(T_BilanSocial[[#This Row],[NumL]],T_TraitDi[#Data],COLUMN(T_TraitDi[[#This Row],[Colonne6]]),FALSE),""),"[hh]:mm"))</f>
        <v>#VALUE!</v>
      </c>
      <c r="AL131" s="172" t="e">
        <f>IF(VLOOKUP(T_BilanSocial[[#This Row],[NumL]],T_TraitDi[#Data],COLUMN(T_TraitDi[[#This Row],[Colonne7]]),FALSE)=0,"",TEXT(IFERROR(VLOOKUP(T_BilanSocial[[#This Row],[NumL]],T_TraitDi[#Data],COLUMN(T_TraitDi[[#This Row],[Colonne7]]),FALSE),""),"[hh]:mm"))</f>
        <v>#VALUE!</v>
      </c>
      <c r="AM131" s="172" t="e">
        <f>IF(VLOOKUP(T_BilanSocial[[#This Row],[NumL]],T_TraitDi[#Data],COLUMN(T_TraitDi[[#This Row],[Colonne8]]),FALSE)=0,"",TEXT(IFERROR(VLOOKUP(T_BilanSocial[[#This Row],[NumL]],T_TraitDi[#Data],COLUMN(T_TraitDi[[#This Row],[Colonne8]]),FALSE),""),"[hh]:mm"))</f>
        <v>#VALUE!</v>
      </c>
      <c r="AN131" s="172" t="str">
        <f>IFERROR(VLOOKUP(T_BilanSocial[[#This Row],[NumL]],T_TraitDi[#Data],COLUMN(T_TraitDi[[#This Row],[Mardi]]),FALSE),"")</f>
        <v/>
      </c>
      <c r="AO131" s="172" t="e">
        <f>IF(VLOOKUP(T_BilanSocial[[#This Row],[NumL]],T_TraitDi[#Data],COLUMN(T_TraitDi[[#This Row],[Colonne1]]),FALSE)=0,"",TEXT(IFERROR(VLOOKUP(T_BilanSocial[[#This Row],[NumL]],T_TraitDi[#Data],COLUMN(T_TraitDi[[#This Row],[Colonne1]]),FALSE),""),"[hh]:mm"))</f>
        <v>#VALUE!</v>
      </c>
      <c r="AP131" s="172" t="e">
        <f>IF(VLOOKUP(T_BilanSocial[[#This Row],[NumL]],T_TraitDi[#Data],COLUMN(T_TraitDi[[#This Row],[Colonne9]]),FALSE)=0,"",TEXT(IFERROR(VLOOKUP(T_BilanSocial[[#This Row],[NumL]],T_TraitDi[#Data],COLUMN(T_TraitDi[[#This Row],[Colonne9]]),FALSE),""),"[hh]:mm"))</f>
        <v>#VALUE!</v>
      </c>
      <c r="AQ131" s="172" t="str">
        <f>IFERROR(VLOOKUP(T_BilanSocial[[#This Row],[NumL]],T_TraitDi[#Data],COLUMN(T_TraitDi[[#This Row],[Colonne10]]),FALSE),"")</f>
        <v/>
      </c>
      <c r="AR131" s="172" t="e">
        <f>IF(VLOOKUP(T_BilanSocial[[#This Row],[NumL]],T_TraitDi[#Data],COLUMN(T_TraitDi[[#This Row],[Colonne11]]),FALSE)=0,"",TEXT(IFERROR(VLOOKUP(T_BilanSocial[[#This Row],[NumL]],T_TraitDi[#Data],COLUMN(T_TraitDi[[#This Row],[Colonne11]]),FALSE),""),"[hh]:mm"))</f>
        <v>#VALUE!</v>
      </c>
      <c r="AS131" s="172" t="e">
        <f>IF(VLOOKUP(T_BilanSocial[[#This Row],[NumL]],T_TraitDi[#Data],COLUMN(T_TraitDi[[#This Row],[Colonne12]]),FALSE)=0,"",TEXT(IFERROR(VLOOKUP(T_BilanSocial[[#This Row],[NumL]],T_TraitDi[#Data],COLUMN(T_TraitDi[[#This Row],[Colonne12]]),FALSE),""),"[hh]:mm"))</f>
        <v>#VALUE!</v>
      </c>
      <c r="AT131" s="172" t="e">
        <f>IF(VLOOKUP(T_BilanSocial[[#This Row],[NumL]],T_TraitDi[#Data],COLUMN(T_TraitDi[[#This Row],[Colonne14]]),FALSE)=0,"",TEXT(IFERROR(VLOOKUP(T_BilanSocial[[#This Row],[NumL]],T_TraitDi[#Data],COLUMN(T_TraitDi[[#This Row],[Colonne14]]),FALSE),""),"[hh]:mm"))</f>
        <v>#VALUE!</v>
      </c>
      <c r="AU131" s="172" t="str">
        <f>IFERROR(VLOOKUP(T_BilanSocial[[#This Row],[NumL]],T_TraitDi[#Data],COLUMN(T_TraitDi[[#This Row],[Mercredi]]),FALSE),"")</f>
        <v/>
      </c>
      <c r="AV131" s="172" t="e">
        <f>IF(VLOOKUP(T_BilanSocial[[#This Row],[NumL]],T_TraitDi[#Data],COLUMN(T_TraitDi[[#This Row],[Colonne15]]),FALSE)=0,"",TEXT(IFERROR(VLOOKUP(T_BilanSocial[[#This Row],[NumL]],T_TraitDi[#Data],COLUMN(T_TraitDi[[#This Row],[Colonne15]]),FALSE),""),"[hh]:mm"))</f>
        <v>#VALUE!</v>
      </c>
      <c r="AW131" s="172" t="e">
        <f>IF(VLOOKUP(T_BilanSocial[[#This Row],[NumL]],T_TraitDi[#Data],COLUMN(T_TraitDi[[#This Row],[Colonne16]]),FALSE)=0,"",TEXT(IFERROR(VLOOKUP(T_BilanSocial[[#This Row],[NumL]],T_TraitDi[#Data],COLUMN(T_TraitDi[[#This Row],[Colonne16]]),FALSE),""),"[hh]:mm"))</f>
        <v>#VALUE!</v>
      </c>
      <c r="AX131" s="172" t="str">
        <f>IFERROR(VLOOKUP(T_BilanSocial[[#This Row],[NumL]],T_TraitDi[#Data],COLUMN(T_TraitDi[[#This Row],[Colonne17]]),FALSE),"")</f>
        <v/>
      </c>
      <c r="AY131" s="172" t="e">
        <f>IF(VLOOKUP(T_BilanSocial[[#This Row],[NumL]],T_TraitDi[#Data],COLUMN(T_TraitDi[[#This Row],[Colonne18]]),FALSE)=0,"",TEXT(IFERROR(VLOOKUP(T_BilanSocial[[#This Row],[NumL]],T_TraitDi[#Data],COLUMN(T_TraitDi[[#This Row],[Colonne18]]),FALSE),""),"[hh]:mm"))</f>
        <v>#VALUE!</v>
      </c>
      <c r="AZ131" s="172" t="e">
        <f>IF(VLOOKUP(T_BilanSocial[[#This Row],[NumL]],T_TraitDi[#Data],COLUMN(T_TraitDi[[#This Row],[Colonne19]]),FALSE)=0,"",TEXT(IFERROR(VLOOKUP(T_BilanSocial[[#This Row],[NumL]],T_TraitDi[#Data],COLUMN(T_TraitDi[[#This Row],[Colonne19]]),FALSE),""),"[hh]:mm"))</f>
        <v>#VALUE!</v>
      </c>
      <c r="BA131" s="172" t="e">
        <f>IF(VLOOKUP(T_BilanSocial[[#This Row],[NumL]],T_TraitDi[#Data],COLUMN(T_TraitDi[[#This Row],[Colonne20]]),FALSE)=0,"",TEXT(IFERROR(VLOOKUP(T_BilanSocial[[#This Row],[NumL]],T_TraitDi[#Data],COLUMN(T_TraitDi[[#This Row],[Colonne20]]),FALSE),""),"[hh]:mm"))</f>
        <v>#VALUE!</v>
      </c>
      <c r="BB131" s="178" t="str">
        <f>IFERROR(VLOOKUP(T_BilanSocial[[#This Row],[NumL]],T_TraitDi[#Data],COLUMN(T_TraitDi[[#This Row],[Jeudi]]),FALSE),"")</f>
        <v/>
      </c>
      <c r="BC131" s="178" t="e">
        <f>IF(VLOOKUP(T_BilanSocial[[#This Row],[NumL]],T_TraitDi[#Data],COLUMN(T_TraitDi[[#This Row],[Colonne21]]),FALSE)=0,"",TEXT(IFERROR(VLOOKUP(T_BilanSocial[[#This Row],[NumL]],T_TraitDi[#Data],COLUMN(T_TraitDi[[#This Row],[Colonne21]]),FALSE),""),"[hh]:mm"))</f>
        <v>#VALUE!</v>
      </c>
      <c r="BD131" s="178" t="e">
        <f>IF(VLOOKUP(T_BilanSocial[[#This Row],[NumL]],T_TraitDi[#Data],COLUMN(T_TraitDi[[#This Row],[Colonne22]]),FALSE)=0,"",TEXT(IFERROR(VLOOKUP(T_BilanSocial[[#This Row],[NumL]],T_TraitDi[#Data],COLUMN(T_TraitDi[[#This Row],[Colonne22]]),FALSE),""),"[hh]:mm"))</f>
        <v>#VALUE!</v>
      </c>
      <c r="BE131" s="178" t="str">
        <f>IFERROR(VLOOKUP(T_BilanSocial[[#This Row],[NumL]],T_TraitDi[#Data],COLUMN(T_TraitDi[[#This Row],[Colonne23]]),FALSE),"")</f>
        <v/>
      </c>
      <c r="BF131" s="178" t="e">
        <f>IF(VLOOKUP(T_BilanSocial[[#This Row],[NumL]],T_TraitDi[#Data],COLUMN(T_TraitDi[[#This Row],[Colonne24]]),FALSE)=0,"",TEXT(IFERROR(VLOOKUP(T_BilanSocial[[#This Row],[NumL]],T_TraitDi[#Data],COLUMN(T_TraitDi[[#This Row],[Colonne24]]),FALSE),""),"[hh]:mm"))</f>
        <v>#VALUE!</v>
      </c>
      <c r="BG131" s="178" t="e">
        <f>IF(VLOOKUP(T_BilanSocial[[#This Row],[NumL]],T_TraitDi[#Data],COLUMN(T_TraitDi[[#This Row],[Colonne25]]),FALSE)=0,"",TEXT(IFERROR(VLOOKUP(T_BilanSocial[[#This Row],[NumL]],T_TraitDi[#Data],COLUMN(T_TraitDi[[#This Row],[Colonne25]]),FALSE),""),"[hh]:mm"))</f>
        <v>#VALUE!</v>
      </c>
      <c r="BH131" s="178" t="e">
        <f>IF(VLOOKUP(T_BilanSocial[[#This Row],[NumL]],T_TraitDi[#Data],COLUMN(T_TraitDi[[#This Row],[Colonne26]]),FALSE)=0,"",TEXT(IFERROR(VLOOKUP(T_BilanSocial[[#This Row],[NumL]],T_TraitDi[#Data],COLUMN(T_TraitDi[[#This Row],[Colonne26]]),FALSE),""),"[hh]:mm"))</f>
        <v>#VALUE!</v>
      </c>
      <c r="BI131" s="172" t="str">
        <f>IFERROR(VLOOKUP(T_BilanSocial[[#This Row],[NumL]],T_TraitDi[#Data],COLUMN(T_TraitDi[[#This Row],[Vendredi]]),FALSE),"")</f>
        <v/>
      </c>
      <c r="BJ131" s="172" t="e">
        <f>IF(VLOOKUP(T_BilanSocial[[#This Row],[NumL]],T_TraitDi[#Data],COLUMN(T_TraitDi[[#This Row],[Colonne27]]),FALSE)=0,"",TEXT(IFERROR(VLOOKUP(T_BilanSocial[[#This Row],[NumL]],T_TraitDi[#Data],COLUMN(T_TraitDi[[#This Row],[Colonne27]]),FALSE),""),"[hh]:mm"))</f>
        <v>#VALUE!</v>
      </c>
      <c r="BK131" s="172" t="e">
        <f>IF(VLOOKUP(T_BilanSocial[[#This Row],[NumL]],T_TraitDi[#Data],COLUMN(T_TraitDi[[#This Row],[Colonne28]]),FALSE)=0,"",TEXT(IFERROR(VLOOKUP(T_BilanSocial[[#This Row],[NumL]],T_TraitDi[#Data],COLUMN(T_TraitDi[[#This Row],[Colonne28]]),FALSE),""),"[hh]:mm"))</f>
        <v>#VALUE!</v>
      </c>
      <c r="BL131" s="172" t="str">
        <f>IFERROR(VLOOKUP(T_BilanSocial[[#This Row],[NumL]],T_TraitDi[#Data],COLUMN(T_TraitDi[[#This Row],[Colonne29]]),FALSE),"")</f>
        <v/>
      </c>
      <c r="BM131" s="172" t="e">
        <f>IF(VLOOKUP(T_BilanSocial[[#This Row],[NumL]],T_TraitDi[#Data],COLUMN(T_TraitDi[[#This Row],[Colonne30]]),FALSE)=0,"",TEXT(IFERROR(VLOOKUP(T_BilanSocial[[#This Row],[NumL]],T_TraitDi[#Data],COLUMN(T_TraitDi[[#This Row],[Colonne30]]),FALSE),""),"[hh]:mm"))</f>
        <v>#VALUE!</v>
      </c>
      <c r="BN131" s="172" t="e">
        <f>IF(VLOOKUP(T_BilanSocial[[#This Row],[NumL]],T_TraitDi[#Data],COLUMN(T_TraitDi[[#This Row],[Colonne31]]),FALSE)=0,"",TEXT(IFERROR(VLOOKUP(T_BilanSocial[[#This Row],[NumL]],T_TraitDi[#Data],COLUMN(T_TraitDi[[#This Row],[Colonne31]]),FALSE),""),"[hh]:mm"))</f>
        <v>#VALUE!</v>
      </c>
      <c r="BO131" s="172" t="e">
        <f>IF(VLOOKUP(T_BilanSocial[[#This Row],[NumL]],T_TraitDi[#Data],COLUMN(T_TraitDi[[#This Row],[Colonne32]]),FALSE)=0,"",TEXT(IFERROR(VLOOKUP(T_BilanSocial[[#This Row],[NumL]],T_TraitDi[#Data],COLUMN(T_TraitDi[[#This Row],[Colonne32]]),FALSE),""),"[hh]:mm"))</f>
        <v>#VALUE!</v>
      </c>
      <c r="BP131" s="172" t="e">
        <f>VLOOKUP(T_BilanSocial[[#This Row],[NumL]],T_TraitDi[#Data],COLUMN(T_TraitDi[NbJTot]),FALSE)</f>
        <v>#N/A</v>
      </c>
      <c r="BQ131" s="174" t="str">
        <f>IFERROR(VLOOKUP(T_BilanSocial[[#This Row],[NumL]],T_TraitDi[#Data],COLUMN(T_TraitDi[[#This Row],[NbJTW]]),FALSE),"")</f>
        <v/>
      </c>
      <c r="BR131" s="174" t="e">
        <f>IF(VLOOKUP(T_BilanSocial[[#This Row],[NumL]],T_TraitDi[#Data],COLUMN(T_TraitDi[[#This Row],[NbhTW]]),FALSE)=0,"",TEXT(IFERROR(VLOOKUP(T_BilanSocial[[#This Row],[NumL]],T_TraitDi[#Data],COLUMN(T_TraitDi[[#This Row],[NbhTW]]),FALSE),""),"[hh]:mm"))</f>
        <v>#VALUE!</v>
      </c>
      <c r="BS131" s="174" t="e">
        <f>IF(VLOOKUP(T_BilanSocial[[#This Row],[NumL]],T_TraitDi[#Data],COLUMN(T_TraitDi[[#This Row],[Nbhheb]]),FALSE)=0,"",TEXT(IFERROR(VLOOKUP($A131,T_TraitDi[#Data],COLUMN(T_TraitDi[[#This Row],[Nbhheb]]),FALSE),""),"[hh]:mm"))</f>
        <v>#VALUE!</v>
      </c>
      <c r="BT131" s="182" t="str">
        <f>IFERROR(VLOOKUP(VLOOKUP($A131,T_TraitDi[#Data],COLUMN(T_TraitDi[[#This Row],[Type1]]),FALSE),TypeTW,2,FALSE),"")</f>
        <v/>
      </c>
      <c r="BU131" s="182" t="str">
        <f>IFERROR(VLOOKUP($A131,T_TraitDi[#Data],COLUMN(T_TraitDi[[#This Row],[Rue1]]),FALSE),"")</f>
        <v/>
      </c>
      <c r="BV131" s="173" t="str">
        <f>IFERROR(VLOOKUP($A131,T_TraitDi[#Data],COLUMN(T_TraitDi[[#This Row],[CP1]]),FALSE),"")</f>
        <v/>
      </c>
      <c r="BW131" s="173" t="str">
        <f>IFERROR(VLOOKUP($A131,T_TraitDi[#Data],COLUMN(T_TraitDi[[#This Row],[VILLE1]]),FALSE),"")</f>
        <v/>
      </c>
      <c r="BX131" s="182" t="str">
        <f>IFERROR(VLOOKUP(VLOOKUP($A131,T_TraitDi[#Data],COLUMN(T_TraitDi[[#This Row],[Type2]]),FALSE),TypeTW,2,FALSE),"")</f>
        <v/>
      </c>
      <c r="BY131" s="182" t="str">
        <f>IFERROR(VLOOKUP($A131,T_TraitDi[#Data],COLUMN(T_TraitDi[[#This Row],[Rue2]]),FALSE),"")</f>
        <v/>
      </c>
      <c r="BZ131" s="173" t="str">
        <f>IFERROR(VLOOKUP($A131,T_TraitDi[#Data],COLUMN(T_TraitDi[[#This Row],[CP2]]),FALSE),"")</f>
        <v/>
      </c>
      <c r="CA131" s="173" t="str">
        <f>IFERROR(VLOOKUP($A131,T_TraitDi[#Data],COLUMN(T_TraitDi[[#This Row],[VILLE2]]),FALSE),"")</f>
        <v/>
      </c>
      <c r="CB131" s="182" t="str">
        <f>IF(VLOOKUP(T_BilanSocial[[#This Row],[NumL]],T_Equipement[#Data],COLUMN(T_Equipement[[#This Row],[PC]]),FALSE)="","Aucun équipement spécifique directement lié au télétravail",VLOOKUP(T_BilanSocial[[#This Row],[NumL]],T_Equipement[#Data],COLUMN(T_Equipement[[#This Row],[PC]]),FALSE))</f>
        <v>20-785</v>
      </c>
      <c r="CC131" s="166" t="str">
        <f>IFERROR(IF(VLOOKUP(T_BilanSocial[[#This Row],[NumL]],T_TraitDi[#Data],COLUMN(T_TraitDi[[#This Row],[Plan]]),FALSE)="OK","Un planning spécifique de télétravail est annexé à la présente convention.",""),"")</f>
        <v/>
      </c>
      <c r="CD131" s="258" t="s">
        <v>3315</v>
      </c>
      <c r="CE131" s="164" t="e">
        <f>IF(VLOOKUP(T_BilanSocial[[#This Row],[NumL]],T_suiviDi[#Data],COLUMN(T_suiviDi[[#This Row],[Entité]]),FALSE)="","",VLOOKUP(T_BilanSocial[[#This Row],[NumL]],T_suiviDi[#Data],COLUMN(T_suiviDi[[#This Row],[Entité]]),FALSE))</f>
        <v>#VALUE!</v>
      </c>
      <c r="CF131" s="164" t="str">
        <f>IF(VLOOKUP(T_BilanSocial[[#This Row],[NumL]],T_Commission[#Data],COLUMN(T_Commission[[#This Row],[envoi confirm TW]]),FALSE)="","",VLOOKUP(T_BilanSocial[[#This Row],[NumL]],T_Commission[#Data],COLUMN(T_Commission[[#This Row],[envoi confirm TW]]),FALSE))</f>
        <v>Oui</v>
      </c>
      <c r="CG13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1" s="262" t="str">
        <f>T_BilanSocial[[#This Row],[Nom]]&amp;T_BilanSocial[[#This Row],[Prenom]]</f>
        <v/>
      </c>
      <c r="CI131" s="262">
        <f>VLOOKUP(T_BilanSocial[[#This Row],[NumL]],T_Commission[#Data],COLUMN(T_Commission[Commentaire]),FALSE)</f>
        <v>0</v>
      </c>
      <c r="CJ131" s="262" t="str">
        <f>IF(VLOOKUP(T_BilanSocial[[#This Row],[NumL]],T_Commission[#Data],COLUMN(T_Commission[Encadrant Email]),FALSE)="","",VLOOKUP(T_BilanSocial[[#This Row],[NumL]],T_Commission[#Data],COLUMN(T_Commission[Encadrant Email]),FALSE))</f>
        <v/>
      </c>
      <c r="CK131" s="340" t="str">
        <f>IF(T_BilanSocial[[#This Row],[Final]]&lt;&gt;"",VLOOKUP(T_BilanSocial[[#This Row],[NumL]],T_suiviDi[#Data],COLUMN((T_suiviDi[Statut])),FALSE),"")</f>
        <v/>
      </c>
    </row>
    <row r="132" spans="1:89" s="106" customFormat="1" ht="24.75" customHeight="1" x14ac:dyDescent="0.25">
      <c r="A132" s="160">
        <v>129</v>
      </c>
      <c r="B132" s="161" t="str">
        <f t="shared" ref="B132:B195" si="22">VLOOKUP(A132,ComDI,15,FALSE)</f>
        <v/>
      </c>
      <c r="C132" s="162" t="s">
        <v>173</v>
      </c>
      <c r="D132" s="95" t="e">
        <f>IF(VLOOKUP(T_BilanSocial[[#This Row],[NumL]],T_TraitDi[#Data],COLUMN(T_TraitDi[[#This Row],[WebC]]),FALSE)="","",VLOOKUP(T_BilanSocial[[#This Row],[NumL]],T_TraitDi[#Data],COLUMN(T_TraitDi[[#This Row],[WebC]]),FALSE))</f>
        <v>#VALUE!</v>
      </c>
      <c r="E132" s="163" t="str">
        <f t="shared" ref="E132:E195" si="23">TEXT(DateEdition,"jj mmmm aaaa")</f>
        <v>12 janvier 2021</v>
      </c>
      <c r="F132" s="96" t="str">
        <f>IF(T_BilanSocial[[#This Row],[Final]]&lt;&gt;"",VLOOKUP(T_BilanSocial[[#This Row],[NumL]],T_suiviDi[#Data],COLUMN((T_suiviDi[Civ.])),FALSE),"")</f>
        <v/>
      </c>
      <c r="G132" s="96" t="str">
        <f>IF(T_BilanSocial[[#This Row],[Final]]&lt;&gt;"",VLOOKUP(T_BilanSocial[[#This Row],[NumL]],T_suiviDi[#Data],COLUMN((T_suiviDi[Nom])),FALSE),"")</f>
        <v/>
      </c>
      <c r="H132" s="96" t="str">
        <f>IF(T_BilanSocial[[#This Row],[Final]]&lt;&gt;"",VLOOKUP(T_BilanSocial[[#This Row],[NumL]],T_suiviDi[#Data],COLUMN((T_suiviDi[Prénom])),FALSE),"")</f>
        <v/>
      </c>
      <c r="I132" s="96" t="str">
        <f>IFERROR(VLOOKUP(T_BilanSocial[[#This Row],[Zone_Bilan]],T_P_BilanSocial[#Data],COLUMN(T_P_BilanSocial[[#This Row],[Numero_SIHAM]]),FALSE),"")</f>
        <v/>
      </c>
      <c r="J132" s="96" t="str">
        <f>IFERROR(VLOOKUP(T_BilanSocial[[#This Row],[Zone_Bilan]],T_P_BilanSocial[#Data],COLUMN(T_P_BilanSocial[[#This Row],[Sexe]]),FALSE),"")</f>
        <v/>
      </c>
      <c r="K132" s="97" t="str">
        <f>IFERROR(VLOOKUP(T_BilanSocial[[#This Row],[Zone_Bilan]],T_P_BilanSocial[#Data],COLUMN(T_P_BilanSocial[[#This Row],[Categorie]]),FALSE),"")</f>
        <v/>
      </c>
      <c r="L132" s="96" t="str">
        <f>IFERROR(VLOOKUP(T_BilanSocial[[#This Row],[Zone_Bilan]],T_P_BilanSocial[#Data],COLUMN(T_P_BilanSocial[[#This Row],[Statut]]),FALSE),"")</f>
        <v/>
      </c>
      <c r="M132" s="96" t="str">
        <f>IFERROR(VLOOKUP(T_BilanSocial[[#This Row],[Zone_Bilan]],T_P_BilanSocial[#Data],COLUMN(T_P_BilanSocial[[#This Row],[Filiere]]),FALSE),"")</f>
        <v/>
      </c>
      <c r="N132" s="96" t="e">
        <f>VLOOKUP(T_BilanSocial[[#This Row],[NumL]],T_TraitDi[#Data],COLUMN(T_TraitDi[EXP]),FALSE)</f>
        <v>#N/A</v>
      </c>
      <c r="O132" s="96" t="e">
        <f>VLOOKUP(T_BilanSocial[[#This Row],[NumL]],T_TraitDi[#Data],COLUMN(T_TraitDi[FORM]),FALSE)</f>
        <v>#N/A</v>
      </c>
      <c r="P132" s="96" t="str">
        <f>IF(T_BilanSocial[[#This Row],[Final]]&lt;&gt;"",VLOOKUP(T_BilanSocial[[#This Row],[NumL]],T_suiviDi[#Data],COLUMN((T_suiviDi[Email])),FALSE),"")</f>
        <v/>
      </c>
      <c r="Q132" s="164" t="e">
        <f t="shared" si="17"/>
        <v>#N/A</v>
      </c>
      <c r="R132" s="164" t="e">
        <f t="shared" si="18"/>
        <v>#N/A</v>
      </c>
      <c r="S132" s="164" t="e">
        <f>IF(VLOOKUP(T_BilanSocial[[#This Row],[NumL]],T_suiviDi[#Data],COLUMN(T_suiviDi[[#This Row],[Service ]]),FALSE)="","",VLOOKUP(T_BilanSocial[[#This Row],[NumL]],T_suiviDi[#Data],COLUMN(T_suiviDi[[#This Row],[Service ]]),FALSE))</f>
        <v>#VALUE!</v>
      </c>
      <c r="T132" s="164" t="str">
        <f t="shared" ref="T132:T195" si="24">TEXT(Dateeffet,"jj mmmm aaaa")</f>
        <v>01 septembre 2021</v>
      </c>
      <c r="U132" s="164" t="str">
        <f t="shared" ref="U132:U195" si="25">TEXT(DateFinadapt,"jj mmmm aaaa")</f>
        <v>30 novembre 2021</v>
      </c>
      <c r="V132" s="164" t="str">
        <f t="shared" si="21"/>
        <v>30 novembre 2021</v>
      </c>
      <c r="W132" s="176" t="e">
        <f>IF(VLOOKUP(T_BilanSocial[[#This Row],[NumL]],T_TraitDi[#Data],COLUMN(T_TraitDi[[#This Row],[M1]]),FALSE)="","",VLOOKUP(T_BilanSocial[[#This Row],[NumL]],T_TraitDi[#Data],COLUMN(T_TraitDi[[#This Row],[M1]]),FALSE))</f>
        <v>#VALUE!</v>
      </c>
      <c r="X132" s="176" t="e">
        <f>IF(VLOOKUP(T_BilanSocial[[#This Row],[NumL]],T_TraitDi[#Data],COLUMN(T_TraitDi[[#This Row],[M2]]),FALSE)="","",VLOOKUP(T_BilanSocial[[#This Row],[NumL]],T_TraitDi[#Data],COLUMN(T_TraitDi[[#This Row],[M2]]),FALSE))</f>
        <v>#VALUE!</v>
      </c>
      <c r="Y132" s="176" t="e">
        <f>IF(VLOOKUP(T_BilanSocial[[#This Row],[NumL]],T_TraitDi[#Data],COLUMN(T_TraitDi[[#This Row],[M3]]),FALSE)="","",VLOOKUP(T_BilanSocial[[#This Row],[NumL]],T_TraitDi[#Data],COLUMN(T_TraitDi[[#This Row],[M3]]),FALSE))</f>
        <v>#VALUE!</v>
      </c>
      <c r="Z132" s="176" t="str">
        <f t="shared" si="16"/>
        <v/>
      </c>
      <c r="AA132" s="176" t="e">
        <f>IF(VLOOKUP(T_BilanSocial[[#This Row],[NumL]],T_TraitDi[#Data],COLUMN(T_TraitDi[[#This Row],[M5]]),FALSE)="","",VLOOKUP(T_BilanSocial[[#This Row],[NumL]],T_TraitDi[#Data],COLUMN(T_TraitDi[[#This Row],[M5]]),FALSE))</f>
        <v>#VALUE!</v>
      </c>
      <c r="AB132" s="176" t="e">
        <f>IF(VLOOKUP(T_BilanSocial[[#This Row],[NumL]],T_TraitDi[#Data],COLUMN(T_TraitDi[[#This Row],[M6]]),FALSE)="","",VLOOKUP(T_BilanSocial[[#This Row],[NumL]],T_TraitDi[#Data],COLUMN(T_TraitDi[[#This Row],[M6]]),FALSE))</f>
        <v>#VALUE!</v>
      </c>
      <c r="AC132" s="165" t="e">
        <f t="shared" ref="AC132:AC195" si="26">W132&amp;X132&amp;Y132&amp;Z132&amp;AA132&amp;AB132</f>
        <v>#VALUE!</v>
      </c>
      <c r="AD132" s="188" t="str">
        <f>IFERROR(TEXT(VLOOKUP(T_BilanSocial[[#This Row],[NumL]],T_TraitDi[#Data],COLUMN(T_TraitDi[[#This Row],[Q2]]),FALSE),"###%"),"")</f>
        <v/>
      </c>
      <c r="AE132" s="97" t="e">
        <f>VLOOKUP(T_BilanSocial[[#This Row],[NumL]],T_TraitDi[#Data],COLUMN(T_TraitDi[[#This Row],[Reg Ponct]]),FALSE)</f>
        <v>#VALUE!</v>
      </c>
      <c r="AF132" s="97" t="e">
        <f>VLOOKUP(T_BilanSocial[NumL],T_TraitDi[#Data],COLUMN(T_TraitDi[[#This Row],[Jours flottants]]),FALSE)</f>
        <v>#VALUE!</v>
      </c>
      <c r="AG132" s="97" t="str">
        <f>IFERROR(VLOOKUP(T_BilanSocial[[#This Row],[NumL]],T_TraitDi[#Data],COLUMN(T_TraitDi[[#This Row],[Lundi]]),FALSE),"")</f>
        <v/>
      </c>
      <c r="AH132" s="172" t="e">
        <f>IF(VLOOKUP(T_BilanSocial[[#This Row],[NumL]],T_TraitDi[#Data],COLUMN(T_TraitDi[[#This Row],[Colonne3]]),FALSE)=0,"",TEXT(IFERROR(VLOOKUP(T_BilanSocial[[#This Row],[NumL]],T_TraitDi[#Data],COLUMN(T_TraitDi[[#This Row],[Colonne3]]),FALSE),""),"[hh]:mm"))</f>
        <v>#VALUE!</v>
      </c>
      <c r="AI132" s="172" t="e">
        <f>IF(VLOOKUP(T_BilanSocial[[#This Row],[NumL]],T_TraitDi[#Data],COLUMN(T_TraitDi[[#This Row],[Colonne4]]),FALSE)=0,"",TEXT(IFERROR(VLOOKUP(T_BilanSocial[[#This Row],[NumL]],T_TraitDi[#Data],COLUMN(T_TraitDi[[#This Row],[Colonne4]]),FALSE),""),"[hh]:mm"))</f>
        <v>#VALUE!</v>
      </c>
      <c r="AJ132" s="172" t="e">
        <f>IF(VLOOKUP(T_BilanSocial[[#This Row],[NumL]],T_TraitDi[#Data],COLUMN(T_TraitDi[[#This Row],[Colonne5]]),FALSE)=0,"",TEXT(IFERROR(VLOOKUP(T_BilanSocial[[#This Row],[NumL]],T_TraitDi[#Data],COLUMN(T_TraitDi[[#This Row],[Colonne5]]),FALSE),""),"[hh]:mm"))</f>
        <v>#VALUE!</v>
      </c>
      <c r="AK132" s="172" t="e">
        <f>IF(VLOOKUP(T_BilanSocial[[#This Row],[NumL]],T_TraitDi[#Data],COLUMN(T_TraitDi[[#This Row],[Colonne6]]),FALSE)=0,"",TEXT(IFERROR(VLOOKUP(T_BilanSocial[[#This Row],[NumL]],T_TraitDi[#Data],COLUMN(T_TraitDi[[#This Row],[Colonne6]]),FALSE),""),"[hh]:mm"))</f>
        <v>#VALUE!</v>
      </c>
      <c r="AL132" s="172" t="e">
        <f>IF(VLOOKUP(T_BilanSocial[[#This Row],[NumL]],T_TraitDi[#Data],COLUMN(T_TraitDi[[#This Row],[Colonne7]]),FALSE)=0,"",TEXT(IFERROR(VLOOKUP(T_BilanSocial[[#This Row],[NumL]],T_TraitDi[#Data],COLUMN(T_TraitDi[[#This Row],[Colonne7]]),FALSE),""),"[hh]:mm"))</f>
        <v>#VALUE!</v>
      </c>
      <c r="AM132" s="172" t="e">
        <f>IF(VLOOKUP(T_BilanSocial[[#This Row],[NumL]],T_TraitDi[#Data],COLUMN(T_TraitDi[[#This Row],[Colonne8]]),FALSE)=0,"",TEXT(IFERROR(VLOOKUP(T_BilanSocial[[#This Row],[NumL]],T_TraitDi[#Data],COLUMN(T_TraitDi[[#This Row],[Colonne8]]),FALSE),""),"[hh]:mm"))</f>
        <v>#VALUE!</v>
      </c>
      <c r="AN132" s="172" t="str">
        <f>IFERROR(VLOOKUP(T_BilanSocial[[#This Row],[NumL]],T_TraitDi[#Data],COLUMN(T_TraitDi[[#This Row],[Mardi]]),FALSE),"")</f>
        <v/>
      </c>
      <c r="AO132" s="172" t="e">
        <f>IF(VLOOKUP(T_BilanSocial[[#This Row],[NumL]],T_TraitDi[#Data],COLUMN(T_TraitDi[[#This Row],[Colonne1]]),FALSE)=0,"",TEXT(IFERROR(VLOOKUP(T_BilanSocial[[#This Row],[NumL]],T_TraitDi[#Data],COLUMN(T_TraitDi[[#This Row],[Colonne1]]),FALSE),""),"[hh]:mm"))</f>
        <v>#VALUE!</v>
      </c>
      <c r="AP132" s="172" t="e">
        <f>IF(VLOOKUP(T_BilanSocial[[#This Row],[NumL]],T_TraitDi[#Data],COLUMN(T_TraitDi[[#This Row],[Colonne9]]),FALSE)=0,"",TEXT(IFERROR(VLOOKUP(T_BilanSocial[[#This Row],[NumL]],T_TraitDi[#Data],COLUMN(T_TraitDi[[#This Row],[Colonne9]]),FALSE),""),"[hh]:mm"))</f>
        <v>#VALUE!</v>
      </c>
      <c r="AQ132" s="172" t="str">
        <f>IFERROR(VLOOKUP(T_BilanSocial[[#This Row],[NumL]],T_TraitDi[#Data],COLUMN(T_TraitDi[[#This Row],[Colonne10]]),FALSE),"")</f>
        <v/>
      </c>
      <c r="AR132" s="172" t="e">
        <f>IF(VLOOKUP(T_BilanSocial[[#This Row],[NumL]],T_TraitDi[#Data],COLUMN(T_TraitDi[[#This Row],[Colonne11]]),FALSE)=0,"",TEXT(IFERROR(VLOOKUP(T_BilanSocial[[#This Row],[NumL]],T_TraitDi[#Data],COLUMN(T_TraitDi[[#This Row],[Colonne11]]),FALSE),""),"[hh]:mm"))</f>
        <v>#VALUE!</v>
      </c>
      <c r="AS132" s="172" t="e">
        <f>IF(VLOOKUP(T_BilanSocial[[#This Row],[NumL]],T_TraitDi[#Data],COLUMN(T_TraitDi[[#This Row],[Colonne12]]),FALSE)=0,"",TEXT(IFERROR(VLOOKUP(T_BilanSocial[[#This Row],[NumL]],T_TraitDi[#Data],COLUMN(T_TraitDi[[#This Row],[Colonne12]]),FALSE),""),"[hh]:mm"))</f>
        <v>#VALUE!</v>
      </c>
      <c r="AT132" s="172" t="e">
        <f>IF(VLOOKUP(T_BilanSocial[[#This Row],[NumL]],T_TraitDi[#Data],COLUMN(T_TraitDi[[#This Row],[Colonne14]]),FALSE)=0,"",TEXT(IFERROR(VLOOKUP(T_BilanSocial[[#This Row],[NumL]],T_TraitDi[#Data],COLUMN(T_TraitDi[[#This Row],[Colonne14]]),FALSE),""),"[hh]:mm"))</f>
        <v>#VALUE!</v>
      </c>
      <c r="AU132" s="172" t="str">
        <f>IFERROR(VLOOKUP(T_BilanSocial[[#This Row],[NumL]],T_TraitDi[#Data],COLUMN(T_TraitDi[[#This Row],[Mercredi]]),FALSE),"")</f>
        <v/>
      </c>
      <c r="AV132" s="172" t="e">
        <f>IF(VLOOKUP(T_BilanSocial[[#This Row],[NumL]],T_TraitDi[#Data],COLUMN(T_TraitDi[[#This Row],[Colonne15]]),FALSE)=0,"",TEXT(IFERROR(VLOOKUP(T_BilanSocial[[#This Row],[NumL]],T_TraitDi[#Data],COLUMN(T_TraitDi[[#This Row],[Colonne15]]),FALSE),""),"[hh]:mm"))</f>
        <v>#VALUE!</v>
      </c>
      <c r="AW132" s="172" t="e">
        <f>IF(VLOOKUP(T_BilanSocial[[#This Row],[NumL]],T_TraitDi[#Data],COLUMN(T_TraitDi[[#This Row],[Colonne16]]),FALSE)=0,"",TEXT(IFERROR(VLOOKUP(T_BilanSocial[[#This Row],[NumL]],T_TraitDi[#Data],COLUMN(T_TraitDi[[#This Row],[Colonne16]]),FALSE),""),"[hh]:mm"))</f>
        <v>#VALUE!</v>
      </c>
      <c r="AX132" s="172" t="str">
        <f>IFERROR(VLOOKUP(T_BilanSocial[[#This Row],[NumL]],T_TraitDi[#Data],COLUMN(T_TraitDi[[#This Row],[Colonne17]]),FALSE),"")</f>
        <v/>
      </c>
      <c r="AY132" s="172" t="e">
        <f>IF(VLOOKUP(T_BilanSocial[[#This Row],[NumL]],T_TraitDi[#Data],COLUMN(T_TraitDi[[#This Row],[Colonne18]]),FALSE)=0,"",TEXT(IFERROR(VLOOKUP(T_BilanSocial[[#This Row],[NumL]],T_TraitDi[#Data],COLUMN(T_TraitDi[[#This Row],[Colonne18]]),FALSE),""),"[hh]:mm"))</f>
        <v>#VALUE!</v>
      </c>
      <c r="AZ132" s="172" t="e">
        <f>IF(VLOOKUP(T_BilanSocial[[#This Row],[NumL]],T_TraitDi[#Data],COLUMN(T_TraitDi[[#This Row],[Colonne19]]),FALSE)=0,"",TEXT(IFERROR(VLOOKUP(T_BilanSocial[[#This Row],[NumL]],T_TraitDi[#Data],COLUMN(T_TraitDi[[#This Row],[Colonne19]]),FALSE),""),"[hh]:mm"))</f>
        <v>#VALUE!</v>
      </c>
      <c r="BA132" s="172" t="e">
        <f>IF(VLOOKUP(T_BilanSocial[[#This Row],[NumL]],T_TraitDi[#Data],COLUMN(T_TraitDi[[#This Row],[Colonne20]]),FALSE)=0,"",TEXT(IFERROR(VLOOKUP(T_BilanSocial[[#This Row],[NumL]],T_TraitDi[#Data],COLUMN(T_TraitDi[[#This Row],[Colonne20]]),FALSE),""),"[hh]:mm"))</f>
        <v>#VALUE!</v>
      </c>
      <c r="BB132" s="178" t="str">
        <f>IFERROR(VLOOKUP(T_BilanSocial[[#This Row],[NumL]],T_TraitDi[#Data],COLUMN(T_TraitDi[[#This Row],[Jeudi]]),FALSE),"")</f>
        <v/>
      </c>
      <c r="BC132" s="178" t="e">
        <f>IF(VLOOKUP(T_BilanSocial[[#This Row],[NumL]],T_TraitDi[#Data],COLUMN(T_TraitDi[[#This Row],[Colonne21]]),FALSE)=0,"",TEXT(IFERROR(VLOOKUP(T_BilanSocial[[#This Row],[NumL]],T_TraitDi[#Data],COLUMN(T_TraitDi[[#This Row],[Colonne21]]),FALSE),""),"[hh]:mm"))</f>
        <v>#VALUE!</v>
      </c>
      <c r="BD132" s="178" t="e">
        <f>IF(VLOOKUP(T_BilanSocial[[#This Row],[NumL]],T_TraitDi[#Data],COLUMN(T_TraitDi[[#This Row],[Colonne22]]),FALSE)=0,"",TEXT(IFERROR(VLOOKUP(T_BilanSocial[[#This Row],[NumL]],T_TraitDi[#Data],COLUMN(T_TraitDi[[#This Row],[Colonne22]]),FALSE),""),"[hh]:mm"))</f>
        <v>#VALUE!</v>
      </c>
      <c r="BE132" s="178" t="str">
        <f>IFERROR(VLOOKUP(T_BilanSocial[[#This Row],[NumL]],T_TraitDi[#Data],COLUMN(T_TraitDi[[#This Row],[Colonne23]]),FALSE),"")</f>
        <v/>
      </c>
      <c r="BF132" s="178" t="e">
        <f>IF(VLOOKUP(T_BilanSocial[[#This Row],[NumL]],T_TraitDi[#Data],COLUMN(T_TraitDi[[#This Row],[Colonne24]]),FALSE)=0,"",TEXT(IFERROR(VLOOKUP(T_BilanSocial[[#This Row],[NumL]],T_TraitDi[#Data],COLUMN(T_TraitDi[[#This Row],[Colonne24]]),FALSE),""),"[hh]:mm"))</f>
        <v>#VALUE!</v>
      </c>
      <c r="BG132" s="178" t="e">
        <f>IF(VLOOKUP(T_BilanSocial[[#This Row],[NumL]],T_TraitDi[#Data],COLUMN(T_TraitDi[[#This Row],[Colonne25]]),FALSE)=0,"",TEXT(IFERROR(VLOOKUP(T_BilanSocial[[#This Row],[NumL]],T_TraitDi[#Data],COLUMN(T_TraitDi[[#This Row],[Colonne25]]),FALSE),""),"[hh]:mm"))</f>
        <v>#VALUE!</v>
      </c>
      <c r="BH132" s="178" t="e">
        <f>IF(VLOOKUP(T_BilanSocial[[#This Row],[NumL]],T_TraitDi[#Data],COLUMN(T_TraitDi[[#This Row],[Colonne26]]),FALSE)=0,"",TEXT(IFERROR(VLOOKUP(T_BilanSocial[[#This Row],[NumL]],T_TraitDi[#Data],COLUMN(T_TraitDi[[#This Row],[Colonne26]]),FALSE),""),"[hh]:mm"))</f>
        <v>#VALUE!</v>
      </c>
      <c r="BI132" s="172" t="str">
        <f>IFERROR(VLOOKUP(T_BilanSocial[[#This Row],[NumL]],T_TraitDi[#Data],COLUMN(T_TraitDi[[#This Row],[Vendredi]]),FALSE),"")</f>
        <v/>
      </c>
      <c r="BJ132" s="172" t="e">
        <f>IF(VLOOKUP(T_BilanSocial[[#This Row],[NumL]],T_TraitDi[#Data],COLUMN(T_TraitDi[[#This Row],[Colonne27]]),FALSE)=0,"",TEXT(IFERROR(VLOOKUP(T_BilanSocial[[#This Row],[NumL]],T_TraitDi[#Data],COLUMN(T_TraitDi[[#This Row],[Colonne27]]),FALSE),""),"[hh]:mm"))</f>
        <v>#VALUE!</v>
      </c>
      <c r="BK132" s="172" t="e">
        <f>IF(VLOOKUP(T_BilanSocial[[#This Row],[NumL]],T_TraitDi[#Data],COLUMN(T_TraitDi[[#This Row],[Colonne28]]),FALSE)=0,"",TEXT(IFERROR(VLOOKUP(T_BilanSocial[[#This Row],[NumL]],T_TraitDi[#Data],COLUMN(T_TraitDi[[#This Row],[Colonne28]]),FALSE),""),"[hh]:mm"))</f>
        <v>#VALUE!</v>
      </c>
      <c r="BL132" s="172" t="str">
        <f>IFERROR(VLOOKUP(T_BilanSocial[[#This Row],[NumL]],T_TraitDi[#Data],COLUMN(T_TraitDi[[#This Row],[Colonne29]]),FALSE),"")</f>
        <v/>
      </c>
      <c r="BM132" s="172" t="e">
        <f>IF(VLOOKUP(T_BilanSocial[[#This Row],[NumL]],T_TraitDi[#Data],COLUMN(T_TraitDi[[#This Row],[Colonne30]]),FALSE)=0,"",TEXT(IFERROR(VLOOKUP(T_BilanSocial[[#This Row],[NumL]],T_TraitDi[#Data],COLUMN(T_TraitDi[[#This Row],[Colonne30]]),FALSE),""),"[hh]:mm"))</f>
        <v>#VALUE!</v>
      </c>
      <c r="BN132" s="172" t="e">
        <f>IF(VLOOKUP(T_BilanSocial[[#This Row],[NumL]],T_TraitDi[#Data],COLUMN(T_TraitDi[[#This Row],[Colonne31]]),FALSE)=0,"",TEXT(IFERROR(VLOOKUP(T_BilanSocial[[#This Row],[NumL]],T_TraitDi[#Data],COLUMN(T_TraitDi[[#This Row],[Colonne31]]),FALSE),""),"[hh]:mm"))</f>
        <v>#VALUE!</v>
      </c>
      <c r="BO132" s="172" t="e">
        <f>IF(VLOOKUP(T_BilanSocial[[#This Row],[NumL]],T_TraitDi[#Data],COLUMN(T_TraitDi[[#This Row],[Colonne32]]),FALSE)=0,"",TEXT(IFERROR(VLOOKUP(T_BilanSocial[[#This Row],[NumL]],T_TraitDi[#Data],COLUMN(T_TraitDi[[#This Row],[Colonne32]]),FALSE),""),"[hh]:mm"))</f>
        <v>#VALUE!</v>
      </c>
      <c r="BP132" s="172" t="e">
        <f>VLOOKUP(T_BilanSocial[[#This Row],[NumL]],T_TraitDi[#Data],COLUMN(T_TraitDi[NbJTot]),FALSE)</f>
        <v>#N/A</v>
      </c>
      <c r="BQ132" s="174" t="str">
        <f>IFERROR(VLOOKUP(T_BilanSocial[[#This Row],[NumL]],T_TraitDi[#Data],COLUMN(T_TraitDi[[#This Row],[NbJTW]]),FALSE),"")</f>
        <v/>
      </c>
      <c r="BR132" s="174" t="e">
        <f>IF(VLOOKUP(T_BilanSocial[[#This Row],[NumL]],T_TraitDi[#Data],COLUMN(T_TraitDi[[#This Row],[NbhTW]]),FALSE)=0,"",TEXT(IFERROR(VLOOKUP(T_BilanSocial[[#This Row],[NumL]],T_TraitDi[#Data],COLUMN(T_TraitDi[[#This Row],[NbhTW]]),FALSE),""),"[hh]:mm"))</f>
        <v>#VALUE!</v>
      </c>
      <c r="BS132" s="174" t="e">
        <f>IF(VLOOKUP(T_BilanSocial[[#This Row],[NumL]],T_TraitDi[#Data],COLUMN(T_TraitDi[[#This Row],[Nbhheb]]),FALSE)=0,"",TEXT(IFERROR(VLOOKUP($A132,T_TraitDi[#Data],COLUMN(T_TraitDi[[#This Row],[Nbhheb]]),FALSE),""),"[hh]:mm"))</f>
        <v>#VALUE!</v>
      </c>
      <c r="BT132" s="182" t="str">
        <f>IFERROR(VLOOKUP(VLOOKUP($A132,T_TraitDi[#Data],COLUMN(T_TraitDi[[#This Row],[Type1]]),FALSE),TypeTW,2,FALSE),"")</f>
        <v/>
      </c>
      <c r="BU132" s="182" t="str">
        <f>IFERROR(VLOOKUP($A132,T_TraitDi[#Data],COLUMN(T_TraitDi[[#This Row],[Rue1]]),FALSE),"")</f>
        <v/>
      </c>
      <c r="BV132" s="173" t="str">
        <f>IFERROR(VLOOKUP($A132,T_TraitDi[#Data],COLUMN(T_TraitDi[[#This Row],[CP1]]),FALSE),"")</f>
        <v/>
      </c>
      <c r="BW132" s="173" t="str">
        <f>IFERROR(VLOOKUP($A132,T_TraitDi[#Data],COLUMN(T_TraitDi[[#This Row],[VILLE1]]),FALSE),"")</f>
        <v/>
      </c>
      <c r="BX132" s="182" t="str">
        <f>IFERROR(VLOOKUP(VLOOKUP($A132,T_TraitDi[#Data],COLUMN(T_TraitDi[[#This Row],[Type2]]),FALSE),TypeTW,2,FALSE),"")</f>
        <v/>
      </c>
      <c r="BY132" s="182" t="str">
        <f>IFERROR(VLOOKUP($A132,T_TraitDi[#Data],COLUMN(T_TraitDi[[#This Row],[Rue2]]),FALSE),"")</f>
        <v/>
      </c>
      <c r="BZ132" s="173" t="str">
        <f>IFERROR(VLOOKUP($A132,T_TraitDi[#Data],COLUMN(T_TraitDi[[#This Row],[CP2]]),FALSE),"")</f>
        <v/>
      </c>
      <c r="CA132" s="173" t="str">
        <f>IFERROR(VLOOKUP($A132,T_TraitDi[#Data],COLUMN(T_TraitDi[[#This Row],[VILLE2]]),FALSE),"")</f>
        <v/>
      </c>
      <c r="CB132" s="182" t="str">
        <f>IF(VLOOKUP(T_BilanSocial[[#This Row],[NumL]],T_Equipement[#Data],COLUMN(T_Equipement[[#This Row],[PC]]),FALSE)="","Aucun équipement spécifique directement lié au télétravail",VLOOKUP(T_BilanSocial[[#This Row],[NumL]],T_Equipement[#Data],COLUMN(T_Equipement[[#This Row],[PC]]),FALSE))</f>
        <v xml:space="preserve">18-048	</v>
      </c>
      <c r="CC132" s="166" t="str">
        <f>IFERROR(IF(VLOOKUP(T_BilanSocial[[#This Row],[NumL]],T_TraitDi[#Data],COLUMN(T_TraitDi[[#This Row],[Plan]]),FALSE)="OK","Un planning spécifique de télétravail est annexé à la présente convention.",""),"")</f>
        <v/>
      </c>
      <c r="CD132" s="258" t="s">
        <v>3344</v>
      </c>
      <c r="CE132" s="164" t="e">
        <f>IF(VLOOKUP(T_BilanSocial[[#This Row],[NumL]],T_suiviDi[#Data],COLUMN(T_suiviDi[[#This Row],[Entité]]),FALSE)="","",VLOOKUP(T_BilanSocial[[#This Row],[NumL]],T_suiviDi[#Data],COLUMN(T_suiviDi[[#This Row],[Entité]]),FALSE))</f>
        <v>#VALUE!</v>
      </c>
      <c r="CF132" s="164" t="str">
        <f>IF(VLOOKUP(T_BilanSocial[[#This Row],[NumL]],T_Commission[#Data],COLUMN(T_Commission[[#This Row],[envoi confirm TW]]),FALSE)="","",VLOOKUP(T_BilanSocial[[#This Row],[NumL]],T_Commission[#Data],COLUMN(T_Commission[[#This Row],[envoi confirm TW]]),FALSE))</f>
        <v>Oui</v>
      </c>
      <c r="CG13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2" s="262" t="str">
        <f>T_BilanSocial[[#This Row],[Nom]]&amp;T_BilanSocial[[#This Row],[Prenom]]</f>
        <v/>
      </c>
      <c r="CI132" s="262">
        <f>VLOOKUP(T_BilanSocial[[#This Row],[NumL]],T_Commission[#Data],COLUMN(T_Commission[Commentaire]),FALSE)</f>
        <v>0</v>
      </c>
      <c r="CJ132" s="262" t="str">
        <f>IF(VLOOKUP(T_BilanSocial[[#This Row],[NumL]],T_Commission[#Data],COLUMN(T_Commission[Encadrant Email]),FALSE)="","",VLOOKUP(T_BilanSocial[[#This Row],[NumL]],T_Commission[#Data],COLUMN(T_Commission[Encadrant Email]),FALSE))</f>
        <v/>
      </c>
      <c r="CK132" s="340" t="str">
        <f>IF(T_BilanSocial[[#This Row],[Final]]&lt;&gt;"",VLOOKUP(T_BilanSocial[[#This Row],[NumL]],T_suiviDi[#Data],COLUMN((T_suiviDi[Statut])),FALSE),"")</f>
        <v/>
      </c>
    </row>
    <row r="133" spans="1:89" s="106" customFormat="1" ht="24.75" customHeight="1" x14ac:dyDescent="0.25">
      <c r="A133" s="160">
        <v>130</v>
      </c>
      <c r="B133" s="161" t="str">
        <f t="shared" si="22"/>
        <v/>
      </c>
      <c r="C133" s="162" t="s">
        <v>173</v>
      </c>
      <c r="D133" s="95" t="e">
        <f>IF(VLOOKUP(T_BilanSocial[[#This Row],[NumL]],T_TraitDi[#Data],COLUMN(T_TraitDi[[#This Row],[WebC]]),FALSE)="","",VLOOKUP(T_BilanSocial[[#This Row],[NumL]],T_TraitDi[#Data],COLUMN(T_TraitDi[[#This Row],[WebC]]),FALSE))</f>
        <v>#VALUE!</v>
      </c>
      <c r="E133" s="163" t="str">
        <f t="shared" si="23"/>
        <v>12 janvier 2021</v>
      </c>
      <c r="F133" s="96" t="str">
        <f>IF(T_BilanSocial[[#This Row],[Final]]&lt;&gt;"",VLOOKUP(T_BilanSocial[[#This Row],[NumL]],T_suiviDi[#Data],COLUMN((T_suiviDi[Civ.])),FALSE),"")</f>
        <v/>
      </c>
      <c r="G133" s="96" t="str">
        <f>IF(T_BilanSocial[[#This Row],[Final]]&lt;&gt;"",VLOOKUP(T_BilanSocial[[#This Row],[NumL]],T_suiviDi[#Data],COLUMN((T_suiviDi[Nom])),FALSE),"")</f>
        <v/>
      </c>
      <c r="H133" s="96" t="str">
        <f>IF(T_BilanSocial[[#This Row],[Final]]&lt;&gt;"",VLOOKUP(T_BilanSocial[[#This Row],[NumL]],T_suiviDi[#Data],COLUMN((T_suiviDi[Prénom])),FALSE),"")</f>
        <v/>
      </c>
      <c r="I133" s="96" t="str">
        <f>IFERROR(VLOOKUP(T_BilanSocial[[#This Row],[Zone_Bilan]],T_P_BilanSocial[#Data],COLUMN(T_P_BilanSocial[[#This Row],[Numero_SIHAM]]),FALSE),"")</f>
        <v/>
      </c>
      <c r="J133" s="96" t="str">
        <f>IFERROR(VLOOKUP(T_BilanSocial[[#This Row],[Zone_Bilan]],T_P_BilanSocial[#Data],COLUMN(T_P_BilanSocial[[#This Row],[Sexe]]),FALSE),"")</f>
        <v/>
      </c>
      <c r="K133" s="97" t="str">
        <f>IFERROR(VLOOKUP(T_BilanSocial[[#This Row],[Zone_Bilan]],T_P_BilanSocial[#Data],COLUMN(T_P_BilanSocial[[#This Row],[Categorie]]),FALSE),"")</f>
        <v/>
      </c>
      <c r="L133" s="96" t="str">
        <f>IFERROR(VLOOKUP(T_BilanSocial[[#This Row],[Zone_Bilan]],T_P_BilanSocial[#Data],COLUMN(T_P_BilanSocial[[#This Row],[Statut]]),FALSE),"")</f>
        <v/>
      </c>
      <c r="M133" s="96" t="str">
        <f>IFERROR(VLOOKUP(T_BilanSocial[[#This Row],[Zone_Bilan]],T_P_BilanSocial[#Data],COLUMN(T_P_BilanSocial[[#This Row],[Filiere]]),FALSE),"")</f>
        <v/>
      </c>
      <c r="N133" s="96" t="e">
        <f>VLOOKUP(T_BilanSocial[[#This Row],[NumL]],T_TraitDi[#Data],COLUMN(T_TraitDi[EXP]),FALSE)</f>
        <v>#N/A</v>
      </c>
      <c r="O133" s="96" t="e">
        <f>VLOOKUP(T_BilanSocial[[#This Row],[NumL]],T_TraitDi[#Data],COLUMN(T_TraitDi[FORM]),FALSE)</f>
        <v>#N/A</v>
      </c>
      <c r="P133" s="96" t="str">
        <f>IF(T_BilanSocial[[#This Row],[Final]]&lt;&gt;"",VLOOKUP(T_BilanSocial[[#This Row],[NumL]],T_suiviDi[#Data],COLUMN((T_suiviDi[Email])),FALSE),"")</f>
        <v/>
      </c>
      <c r="Q133" s="164" t="e">
        <f t="shared" si="17"/>
        <v>#N/A</v>
      </c>
      <c r="R133" s="164" t="e">
        <f t="shared" si="18"/>
        <v>#N/A</v>
      </c>
      <c r="S133" s="164" t="e">
        <f>IF(VLOOKUP(T_BilanSocial[[#This Row],[NumL]],T_suiviDi[#Data],COLUMN(T_suiviDi[[#This Row],[Service ]]),FALSE)="","",VLOOKUP(T_BilanSocial[[#This Row],[NumL]],T_suiviDi[#Data],COLUMN(T_suiviDi[[#This Row],[Service ]]),FALSE))</f>
        <v>#VALUE!</v>
      </c>
      <c r="T133" s="164" t="str">
        <f t="shared" si="24"/>
        <v>01 septembre 2021</v>
      </c>
      <c r="U133" s="164" t="str">
        <f t="shared" si="25"/>
        <v>30 novembre 2021</v>
      </c>
      <c r="V133" s="164" t="str">
        <f t="shared" si="21"/>
        <v>30 novembre 2021</v>
      </c>
      <c r="W133" s="176" t="e">
        <f>IF(VLOOKUP(T_BilanSocial[[#This Row],[NumL]],T_TraitDi[#Data],COLUMN(T_TraitDi[[#This Row],[M1]]),FALSE)="","",VLOOKUP(T_BilanSocial[[#This Row],[NumL]],T_TraitDi[#Data],COLUMN(T_TraitDi[[#This Row],[M1]]),FALSE))</f>
        <v>#VALUE!</v>
      </c>
      <c r="X133" s="176" t="e">
        <f>IF(VLOOKUP(T_BilanSocial[[#This Row],[NumL]],T_TraitDi[#Data],COLUMN(T_TraitDi[[#This Row],[M2]]),FALSE)="","",VLOOKUP(T_BilanSocial[[#This Row],[NumL]],T_TraitDi[#Data],COLUMN(T_TraitDi[[#This Row],[M2]]),FALSE))</f>
        <v>#VALUE!</v>
      </c>
      <c r="Y133" s="176" t="e">
        <f>IF(VLOOKUP(T_BilanSocial[[#This Row],[NumL]],T_TraitDi[#Data],COLUMN(T_TraitDi[[#This Row],[M3]]),FALSE)="","",VLOOKUP(T_BilanSocial[[#This Row],[NumL]],T_TraitDi[#Data],COLUMN(T_TraitDi[[#This Row],[M3]]),FALSE))</f>
        <v>#VALUE!</v>
      </c>
      <c r="Z133" s="176" t="str">
        <f t="shared" ref="Z133:Z196" si="27">IFERROR(IF(VLOOKUP($A133,TraitementDI,Z$3,FALSE)="",""," -"&amp;VLOOKUP($A133,TraitementDI,Z$3,FALSE)),"")</f>
        <v/>
      </c>
      <c r="AA133" s="176" t="e">
        <f>IF(VLOOKUP(T_BilanSocial[[#This Row],[NumL]],T_TraitDi[#Data],COLUMN(T_TraitDi[[#This Row],[M5]]),FALSE)="","",VLOOKUP(T_BilanSocial[[#This Row],[NumL]],T_TraitDi[#Data],COLUMN(T_TraitDi[[#This Row],[M5]]),FALSE))</f>
        <v>#VALUE!</v>
      </c>
      <c r="AB133" s="176" t="e">
        <f>IF(VLOOKUP(T_BilanSocial[[#This Row],[NumL]],T_TraitDi[#Data],COLUMN(T_TraitDi[[#This Row],[M6]]),FALSE)="","",VLOOKUP(T_BilanSocial[[#This Row],[NumL]],T_TraitDi[#Data],COLUMN(T_TraitDi[[#This Row],[M6]]),FALSE))</f>
        <v>#VALUE!</v>
      </c>
      <c r="AC133" s="165" t="e">
        <f t="shared" si="26"/>
        <v>#VALUE!</v>
      </c>
      <c r="AD133" s="188" t="str">
        <f>IFERROR(TEXT(VLOOKUP(T_BilanSocial[[#This Row],[NumL]],T_TraitDi[#Data],COLUMN(T_TraitDi[[#This Row],[Q2]]),FALSE),"###%"),"")</f>
        <v/>
      </c>
      <c r="AE133" s="97" t="e">
        <f>VLOOKUP(T_BilanSocial[[#This Row],[NumL]],T_TraitDi[#Data],COLUMN(T_TraitDi[[#This Row],[Reg Ponct]]),FALSE)</f>
        <v>#VALUE!</v>
      </c>
      <c r="AF133" s="97" t="e">
        <f>VLOOKUP(T_BilanSocial[NumL],T_TraitDi[#Data],COLUMN(T_TraitDi[[#This Row],[Jours flottants]]),FALSE)</f>
        <v>#VALUE!</v>
      </c>
      <c r="AG133" s="97" t="str">
        <f>IFERROR(VLOOKUP(T_BilanSocial[[#This Row],[NumL]],T_TraitDi[#Data],COLUMN(T_TraitDi[[#This Row],[Lundi]]),FALSE),"")</f>
        <v/>
      </c>
      <c r="AH133" s="172" t="e">
        <f>IF(VLOOKUP(T_BilanSocial[[#This Row],[NumL]],T_TraitDi[#Data],COLUMN(T_TraitDi[[#This Row],[Colonne3]]),FALSE)=0,"",TEXT(IFERROR(VLOOKUP(T_BilanSocial[[#This Row],[NumL]],T_TraitDi[#Data],COLUMN(T_TraitDi[[#This Row],[Colonne3]]),FALSE),""),"[hh]:mm"))</f>
        <v>#VALUE!</v>
      </c>
      <c r="AI133" s="172" t="e">
        <f>IF(VLOOKUP(T_BilanSocial[[#This Row],[NumL]],T_TraitDi[#Data],COLUMN(T_TraitDi[[#This Row],[Colonne4]]),FALSE)=0,"",TEXT(IFERROR(VLOOKUP(T_BilanSocial[[#This Row],[NumL]],T_TraitDi[#Data],COLUMN(T_TraitDi[[#This Row],[Colonne4]]),FALSE),""),"[hh]:mm"))</f>
        <v>#VALUE!</v>
      </c>
      <c r="AJ133" s="172" t="e">
        <f>IF(VLOOKUP(T_BilanSocial[[#This Row],[NumL]],T_TraitDi[#Data],COLUMN(T_TraitDi[[#This Row],[Colonne5]]),FALSE)=0,"",TEXT(IFERROR(VLOOKUP(T_BilanSocial[[#This Row],[NumL]],T_TraitDi[#Data],COLUMN(T_TraitDi[[#This Row],[Colonne5]]),FALSE),""),"[hh]:mm"))</f>
        <v>#VALUE!</v>
      </c>
      <c r="AK133" s="172" t="e">
        <f>IF(VLOOKUP(T_BilanSocial[[#This Row],[NumL]],T_TraitDi[#Data],COLUMN(T_TraitDi[[#This Row],[Colonne6]]),FALSE)=0,"",TEXT(IFERROR(VLOOKUP(T_BilanSocial[[#This Row],[NumL]],T_TraitDi[#Data],COLUMN(T_TraitDi[[#This Row],[Colonne6]]),FALSE),""),"[hh]:mm"))</f>
        <v>#VALUE!</v>
      </c>
      <c r="AL133" s="172" t="e">
        <f>IF(VLOOKUP(T_BilanSocial[[#This Row],[NumL]],T_TraitDi[#Data],COLUMN(T_TraitDi[[#This Row],[Colonne7]]),FALSE)=0,"",TEXT(IFERROR(VLOOKUP(T_BilanSocial[[#This Row],[NumL]],T_TraitDi[#Data],COLUMN(T_TraitDi[[#This Row],[Colonne7]]),FALSE),""),"[hh]:mm"))</f>
        <v>#VALUE!</v>
      </c>
      <c r="AM133" s="172" t="e">
        <f>IF(VLOOKUP(T_BilanSocial[[#This Row],[NumL]],T_TraitDi[#Data],COLUMN(T_TraitDi[[#This Row],[Colonne8]]),FALSE)=0,"",TEXT(IFERROR(VLOOKUP(T_BilanSocial[[#This Row],[NumL]],T_TraitDi[#Data],COLUMN(T_TraitDi[[#This Row],[Colonne8]]),FALSE),""),"[hh]:mm"))</f>
        <v>#VALUE!</v>
      </c>
      <c r="AN133" s="172" t="str">
        <f>IFERROR(VLOOKUP(T_BilanSocial[[#This Row],[NumL]],T_TraitDi[#Data],COLUMN(T_TraitDi[[#This Row],[Mardi]]),FALSE),"")</f>
        <v/>
      </c>
      <c r="AO133" s="172" t="e">
        <f>IF(VLOOKUP(T_BilanSocial[[#This Row],[NumL]],T_TraitDi[#Data],COLUMN(T_TraitDi[[#This Row],[Colonne1]]),FALSE)=0,"",TEXT(IFERROR(VLOOKUP(T_BilanSocial[[#This Row],[NumL]],T_TraitDi[#Data],COLUMN(T_TraitDi[[#This Row],[Colonne1]]),FALSE),""),"[hh]:mm"))</f>
        <v>#VALUE!</v>
      </c>
      <c r="AP133" s="172" t="e">
        <f>IF(VLOOKUP(T_BilanSocial[[#This Row],[NumL]],T_TraitDi[#Data],COLUMN(T_TraitDi[[#This Row],[Colonne9]]),FALSE)=0,"",TEXT(IFERROR(VLOOKUP(T_BilanSocial[[#This Row],[NumL]],T_TraitDi[#Data],COLUMN(T_TraitDi[[#This Row],[Colonne9]]),FALSE),""),"[hh]:mm"))</f>
        <v>#VALUE!</v>
      </c>
      <c r="AQ133" s="172" t="str">
        <f>IFERROR(VLOOKUP(T_BilanSocial[[#This Row],[NumL]],T_TraitDi[#Data],COLUMN(T_TraitDi[[#This Row],[Colonne10]]),FALSE),"")</f>
        <v/>
      </c>
      <c r="AR133" s="172" t="e">
        <f>IF(VLOOKUP(T_BilanSocial[[#This Row],[NumL]],T_TraitDi[#Data],COLUMN(T_TraitDi[[#This Row],[Colonne11]]),FALSE)=0,"",TEXT(IFERROR(VLOOKUP(T_BilanSocial[[#This Row],[NumL]],T_TraitDi[#Data],COLUMN(T_TraitDi[[#This Row],[Colonne11]]),FALSE),""),"[hh]:mm"))</f>
        <v>#VALUE!</v>
      </c>
      <c r="AS133" s="172" t="e">
        <f>IF(VLOOKUP(T_BilanSocial[[#This Row],[NumL]],T_TraitDi[#Data],COLUMN(T_TraitDi[[#This Row],[Colonne12]]),FALSE)=0,"",TEXT(IFERROR(VLOOKUP(T_BilanSocial[[#This Row],[NumL]],T_TraitDi[#Data],COLUMN(T_TraitDi[[#This Row],[Colonne12]]),FALSE),""),"[hh]:mm"))</f>
        <v>#VALUE!</v>
      </c>
      <c r="AT133" s="172" t="e">
        <f>IF(VLOOKUP(T_BilanSocial[[#This Row],[NumL]],T_TraitDi[#Data],COLUMN(T_TraitDi[[#This Row],[Colonne14]]),FALSE)=0,"",TEXT(IFERROR(VLOOKUP(T_BilanSocial[[#This Row],[NumL]],T_TraitDi[#Data],COLUMN(T_TraitDi[[#This Row],[Colonne14]]),FALSE),""),"[hh]:mm"))</f>
        <v>#VALUE!</v>
      </c>
      <c r="AU133" s="172" t="str">
        <f>IFERROR(VLOOKUP(T_BilanSocial[[#This Row],[NumL]],T_TraitDi[#Data],COLUMN(T_TraitDi[[#This Row],[Mercredi]]),FALSE),"")</f>
        <v/>
      </c>
      <c r="AV133" s="172" t="e">
        <f>IF(VLOOKUP(T_BilanSocial[[#This Row],[NumL]],T_TraitDi[#Data],COLUMN(T_TraitDi[[#This Row],[Colonne15]]),FALSE)=0,"",TEXT(IFERROR(VLOOKUP(T_BilanSocial[[#This Row],[NumL]],T_TraitDi[#Data],COLUMN(T_TraitDi[[#This Row],[Colonne15]]),FALSE),""),"[hh]:mm"))</f>
        <v>#VALUE!</v>
      </c>
      <c r="AW133" s="172" t="e">
        <f>IF(VLOOKUP(T_BilanSocial[[#This Row],[NumL]],T_TraitDi[#Data],COLUMN(T_TraitDi[[#This Row],[Colonne16]]),FALSE)=0,"",TEXT(IFERROR(VLOOKUP(T_BilanSocial[[#This Row],[NumL]],T_TraitDi[#Data],COLUMN(T_TraitDi[[#This Row],[Colonne16]]),FALSE),""),"[hh]:mm"))</f>
        <v>#VALUE!</v>
      </c>
      <c r="AX133" s="172" t="str">
        <f>IFERROR(VLOOKUP(T_BilanSocial[[#This Row],[NumL]],T_TraitDi[#Data],COLUMN(T_TraitDi[[#This Row],[Colonne17]]),FALSE),"")</f>
        <v/>
      </c>
      <c r="AY133" s="172" t="e">
        <f>IF(VLOOKUP(T_BilanSocial[[#This Row],[NumL]],T_TraitDi[#Data],COLUMN(T_TraitDi[[#This Row],[Colonne18]]),FALSE)=0,"",TEXT(IFERROR(VLOOKUP(T_BilanSocial[[#This Row],[NumL]],T_TraitDi[#Data],COLUMN(T_TraitDi[[#This Row],[Colonne18]]),FALSE),""),"[hh]:mm"))</f>
        <v>#VALUE!</v>
      </c>
      <c r="AZ133" s="172" t="e">
        <f>IF(VLOOKUP(T_BilanSocial[[#This Row],[NumL]],T_TraitDi[#Data],COLUMN(T_TraitDi[[#This Row],[Colonne19]]),FALSE)=0,"",TEXT(IFERROR(VLOOKUP(T_BilanSocial[[#This Row],[NumL]],T_TraitDi[#Data],COLUMN(T_TraitDi[[#This Row],[Colonne19]]),FALSE),""),"[hh]:mm"))</f>
        <v>#VALUE!</v>
      </c>
      <c r="BA133" s="172" t="e">
        <f>IF(VLOOKUP(T_BilanSocial[[#This Row],[NumL]],T_TraitDi[#Data],COLUMN(T_TraitDi[[#This Row],[Colonne20]]),FALSE)=0,"",TEXT(IFERROR(VLOOKUP(T_BilanSocial[[#This Row],[NumL]],T_TraitDi[#Data],COLUMN(T_TraitDi[[#This Row],[Colonne20]]),FALSE),""),"[hh]:mm"))</f>
        <v>#VALUE!</v>
      </c>
      <c r="BB133" s="178" t="str">
        <f>IFERROR(VLOOKUP(T_BilanSocial[[#This Row],[NumL]],T_TraitDi[#Data],COLUMN(T_TraitDi[[#This Row],[Jeudi]]),FALSE),"")</f>
        <v/>
      </c>
      <c r="BC133" s="178" t="e">
        <f>IF(VLOOKUP(T_BilanSocial[[#This Row],[NumL]],T_TraitDi[#Data],COLUMN(T_TraitDi[[#This Row],[Colonne21]]),FALSE)=0,"",TEXT(IFERROR(VLOOKUP(T_BilanSocial[[#This Row],[NumL]],T_TraitDi[#Data],COLUMN(T_TraitDi[[#This Row],[Colonne21]]),FALSE),""),"[hh]:mm"))</f>
        <v>#VALUE!</v>
      </c>
      <c r="BD133" s="178" t="e">
        <f>IF(VLOOKUP(T_BilanSocial[[#This Row],[NumL]],T_TraitDi[#Data],COLUMN(T_TraitDi[[#This Row],[Colonne22]]),FALSE)=0,"",TEXT(IFERROR(VLOOKUP(T_BilanSocial[[#This Row],[NumL]],T_TraitDi[#Data],COLUMN(T_TraitDi[[#This Row],[Colonne22]]),FALSE),""),"[hh]:mm"))</f>
        <v>#VALUE!</v>
      </c>
      <c r="BE133" s="178" t="str">
        <f>IFERROR(VLOOKUP(T_BilanSocial[[#This Row],[NumL]],T_TraitDi[#Data],COLUMN(T_TraitDi[[#This Row],[Colonne23]]),FALSE),"")</f>
        <v/>
      </c>
      <c r="BF133" s="178" t="e">
        <f>IF(VLOOKUP(T_BilanSocial[[#This Row],[NumL]],T_TraitDi[#Data],COLUMN(T_TraitDi[[#This Row],[Colonne24]]),FALSE)=0,"",TEXT(IFERROR(VLOOKUP(T_BilanSocial[[#This Row],[NumL]],T_TraitDi[#Data],COLUMN(T_TraitDi[[#This Row],[Colonne24]]),FALSE),""),"[hh]:mm"))</f>
        <v>#VALUE!</v>
      </c>
      <c r="BG133" s="178" t="e">
        <f>IF(VLOOKUP(T_BilanSocial[[#This Row],[NumL]],T_TraitDi[#Data],COLUMN(T_TraitDi[[#This Row],[Colonne25]]),FALSE)=0,"",TEXT(IFERROR(VLOOKUP(T_BilanSocial[[#This Row],[NumL]],T_TraitDi[#Data],COLUMN(T_TraitDi[[#This Row],[Colonne25]]),FALSE),""),"[hh]:mm"))</f>
        <v>#VALUE!</v>
      </c>
      <c r="BH133" s="178" t="e">
        <f>IF(VLOOKUP(T_BilanSocial[[#This Row],[NumL]],T_TraitDi[#Data],COLUMN(T_TraitDi[[#This Row],[Colonne26]]),FALSE)=0,"",TEXT(IFERROR(VLOOKUP(T_BilanSocial[[#This Row],[NumL]],T_TraitDi[#Data],COLUMN(T_TraitDi[[#This Row],[Colonne26]]),FALSE),""),"[hh]:mm"))</f>
        <v>#VALUE!</v>
      </c>
      <c r="BI133" s="172" t="str">
        <f>IFERROR(VLOOKUP(T_BilanSocial[[#This Row],[NumL]],T_TraitDi[#Data],COLUMN(T_TraitDi[[#This Row],[Vendredi]]),FALSE),"")</f>
        <v/>
      </c>
      <c r="BJ133" s="172" t="e">
        <f>IF(VLOOKUP(T_BilanSocial[[#This Row],[NumL]],T_TraitDi[#Data],COLUMN(T_TraitDi[[#This Row],[Colonne27]]),FALSE)=0,"",TEXT(IFERROR(VLOOKUP(T_BilanSocial[[#This Row],[NumL]],T_TraitDi[#Data],COLUMN(T_TraitDi[[#This Row],[Colonne27]]),FALSE),""),"[hh]:mm"))</f>
        <v>#VALUE!</v>
      </c>
      <c r="BK133" s="172" t="e">
        <f>IF(VLOOKUP(T_BilanSocial[[#This Row],[NumL]],T_TraitDi[#Data],COLUMN(T_TraitDi[[#This Row],[Colonne28]]),FALSE)=0,"",TEXT(IFERROR(VLOOKUP(T_BilanSocial[[#This Row],[NumL]],T_TraitDi[#Data],COLUMN(T_TraitDi[[#This Row],[Colonne28]]),FALSE),""),"[hh]:mm"))</f>
        <v>#VALUE!</v>
      </c>
      <c r="BL133" s="172" t="str">
        <f>IFERROR(VLOOKUP(T_BilanSocial[[#This Row],[NumL]],T_TraitDi[#Data],COLUMN(T_TraitDi[[#This Row],[Colonne29]]),FALSE),"")</f>
        <v/>
      </c>
      <c r="BM133" s="172" t="e">
        <f>IF(VLOOKUP(T_BilanSocial[[#This Row],[NumL]],T_TraitDi[#Data],COLUMN(T_TraitDi[[#This Row],[Colonne30]]),FALSE)=0,"",TEXT(IFERROR(VLOOKUP(T_BilanSocial[[#This Row],[NumL]],T_TraitDi[#Data],COLUMN(T_TraitDi[[#This Row],[Colonne30]]),FALSE),""),"[hh]:mm"))</f>
        <v>#VALUE!</v>
      </c>
      <c r="BN133" s="172" t="e">
        <f>IF(VLOOKUP(T_BilanSocial[[#This Row],[NumL]],T_TraitDi[#Data],COLUMN(T_TraitDi[[#This Row],[Colonne31]]),FALSE)=0,"",TEXT(IFERROR(VLOOKUP(T_BilanSocial[[#This Row],[NumL]],T_TraitDi[#Data],COLUMN(T_TraitDi[[#This Row],[Colonne31]]),FALSE),""),"[hh]:mm"))</f>
        <v>#VALUE!</v>
      </c>
      <c r="BO133" s="172" t="e">
        <f>IF(VLOOKUP(T_BilanSocial[[#This Row],[NumL]],T_TraitDi[#Data],COLUMN(T_TraitDi[[#This Row],[Colonne32]]),FALSE)=0,"",TEXT(IFERROR(VLOOKUP(T_BilanSocial[[#This Row],[NumL]],T_TraitDi[#Data],COLUMN(T_TraitDi[[#This Row],[Colonne32]]),FALSE),""),"[hh]:mm"))</f>
        <v>#VALUE!</v>
      </c>
      <c r="BP133" s="172" t="e">
        <f>VLOOKUP(T_BilanSocial[[#This Row],[NumL]],T_TraitDi[#Data],COLUMN(T_TraitDi[NbJTot]),FALSE)</f>
        <v>#N/A</v>
      </c>
      <c r="BQ133" s="174" t="str">
        <f>IFERROR(VLOOKUP(T_BilanSocial[[#This Row],[NumL]],T_TraitDi[#Data],COLUMN(T_TraitDi[[#This Row],[NbJTW]]),FALSE),"")</f>
        <v/>
      </c>
      <c r="BR133" s="174" t="e">
        <f>IF(VLOOKUP(T_BilanSocial[[#This Row],[NumL]],T_TraitDi[#Data],COLUMN(T_TraitDi[[#This Row],[NbhTW]]),FALSE)=0,"",TEXT(IFERROR(VLOOKUP(T_BilanSocial[[#This Row],[NumL]],T_TraitDi[#Data],COLUMN(T_TraitDi[[#This Row],[NbhTW]]),FALSE),""),"[hh]:mm"))</f>
        <v>#VALUE!</v>
      </c>
      <c r="BS133" s="174" t="e">
        <f>IF(VLOOKUP(T_BilanSocial[[#This Row],[NumL]],T_TraitDi[#Data],COLUMN(T_TraitDi[[#This Row],[Nbhheb]]),FALSE)=0,"",TEXT(IFERROR(VLOOKUP($A133,T_TraitDi[#Data],COLUMN(T_TraitDi[[#This Row],[Nbhheb]]),FALSE),""),"[hh]:mm"))</f>
        <v>#VALUE!</v>
      </c>
      <c r="BT133" s="182" t="str">
        <f>IFERROR(VLOOKUP(VLOOKUP($A133,T_TraitDi[#Data],COLUMN(T_TraitDi[[#This Row],[Type1]]),FALSE),TypeTW,2,FALSE),"")</f>
        <v/>
      </c>
      <c r="BU133" s="182" t="str">
        <f>IFERROR(VLOOKUP($A133,T_TraitDi[#Data],COLUMN(T_TraitDi[[#This Row],[Rue1]]),FALSE),"")</f>
        <v/>
      </c>
      <c r="BV133" s="173" t="str">
        <f>IFERROR(VLOOKUP($A133,T_TraitDi[#Data],COLUMN(T_TraitDi[[#This Row],[CP1]]),FALSE),"")</f>
        <v/>
      </c>
      <c r="BW133" s="173" t="str">
        <f>IFERROR(VLOOKUP($A133,T_TraitDi[#Data],COLUMN(T_TraitDi[[#This Row],[VILLE1]]),FALSE),"")</f>
        <v/>
      </c>
      <c r="BX133" s="182" t="str">
        <f>IFERROR(VLOOKUP(VLOOKUP($A133,T_TraitDi[#Data],COLUMN(T_TraitDi[[#This Row],[Type2]]),FALSE),TypeTW,2,FALSE),"")</f>
        <v/>
      </c>
      <c r="BY133" s="182" t="str">
        <f>IFERROR(VLOOKUP($A133,T_TraitDi[#Data],COLUMN(T_TraitDi[[#This Row],[Rue2]]),FALSE),"")</f>
        <v/>
      </c>
      <c r="BZ133" s="173" t="str">
        <f>IFERROR(VLOOKUP($A133,T_TraitDi[#Data],COLUMN(T_TraitDi[[#This Row],[CP2]]),FALSE),"")</f>
        <v/>
      </c>
      <c r="CA133" s="173" t="str">
        <f>IFERROR(VLOOKUP($A133,T_TraitDi[#Data],COLUMN(T_TraitDi[[#This Row],[VILLE2]]),FALSE),"")</f>
        <v/>
      </c>
      <c r="CB133" s="182" t="str">
        <f>IF(VLOOKUP(T_BilanSocial[[#This Row],[NumL]],T_Equipement[#Data],COLUMN(T_Equipement[[#This Row],[PC]]),FALSE)="","Aucun équipement spécifique directement lié au télétravail",VLOOKUP(T_BilanSocial[[#This Row],[NumL]],T_Equipement[#Data],COLUMN(T_Equipement[[#This Row],[PC]]),FALSE))</f>
        <v xml:space="preserve">17-025	</v>
      </c>
      <c r="CC133" s="166" t="str">
        <f>IFERROR(IF(VLOOKUP(T_BilanSocial[[#This Row],[NumL]],T_TraitDi[#Data],COLUMN(T_TraitDi[[#This Row],[Plan]]),FALSE)="OK","Un planning spécifique de télétravail est annexé à la présente convention.",""),"")</f>
        <v/>
      </c>
      <c r="CD133" s="258" t="s">
        <v>3345</v>
      </c>
      <c r="CE133" s="164" t="e">
        <f>IF(VLOOKUP(T_BilanSocial[[#This Row],[NumL]],T_suiviDi[#Data],COLUMN(T_suiviDi[[#This Row],[Entité]]),FALSE)="","",VLOOKUP(T_BilanSocial[[#This Row],[NumL]],T_suiviDi[#Data],COLUMN(T_suiviDi[[#This Row],[Entité]]),FALSE))</f>
        <v>#VALUE!</v>
      </c>
      <c r="CF133" s="164" t="str">
        <f>IF(VLOOKUP(T_BilanSocial[[#This Row],[NumL]],T_Commission[#Data],COLUMN(T_Commission[[#This Row],[envoi confirm TW]]),FALSE)="","",VLOOKUP(T_BilanSocial[[#This Row],[NumL]],T_Commission[#Data],COLUMN(T_Commission[[#This Row],[envoi confirm TW]]),FALSE))</f>
        <v>Oui</v>
      </c>
      <c r="CG13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3" s="262" t="str">
        <f>T_BilanSocial[[#This Row],[Nom]]&amp;T_BilanSocial[[#This Row],[Prenom]]</f>
        <v/>
      </c>
      <c r="CI133" s="262">
        <f>VLOOKUP(T_BilanSocial[[#This Row],[NumL]],T_Commission[#Data],COLUMN(T_Commission[Commentaire]),FALSE)</f>
        <v>0</v>
      </c>
      <c r="CJ133" s="262" t="str">
        <f>IF(VLOOKUP(T_BilanSocial[[#This Row],[NumL]],T_Commission[#Data],COLUMN(T_Commission[Encadrant Email]),FALSE)="","",VLOOKUP(T_BilanSocial[[#This Row],[NumL]],T_Commission[#Data],COLUMN(T_Commission[Encadrant Email]),FALSE))</f>
        <v/>
      </c>
      <c r="CK133" s="340" t="str">
        <f>IF(T_BilanSocial[[#This Row],[Final]]&lt;&gt;"",VLOOKUP(T_BilanSocial[[#This Row],[NumL]],T_suiviDi[#Data],COLUMN((T_suiviDi[Statut])),FALSE),"")</f>
        <v/>
      </c>
    </row>
    <row r="134" spans="1:89" s="106" customFormat="1" ht="24.75" customHeight="1" x14ac:dyDescent="0.25">
      <c r="A134" s="160">
        <v>131</v>
      </c>
      <c r="B134" s="161" t="str">
        <f t="shared" si="22"/>
        <v/>
      </c>
      <c r="C134" s="162" t="s">
        <v>173</v>
      </c>
      <c r="D134" s="95" t="e">
        <f>IF(VLOOKUP(T_BilanSocial[[#This Row],[NumL]],T_TraitDi[#Data],COLUMN(T_TraitDi[[#This Row],[WebC]]),FALSE)="","",VLOOKUP(T_BilanSocial[[#This Row],[NumL]],T_TraitDi[#Data],COLUMN(T_TraitDi[[#This Row],[WebC]]),FALSE))</f>
        <v>#VALUE!</v>
      </c>
      <c r="E134" s="163" t="str">
        <f t="shared" si="23"/>
        <v>12 janvier 2021</v>
      </c>
      <c r="F134" s="96" t="str">
        <f>IF(T_BilanSocial[[#This Row],[Final]]&lt;&gt;"",VLOOKUP(T_BilanSocial[[#This Row],[NumL]],T_suiviDi[#Data],COLUMN((T_suiviDi[Civ.])),FALSE),"")</f>
        <v/>
      </c>
      <c r="G134" s="96" t="str">
        <f>IF(T_BilanSocial[[#This Row],[Final]]&lt;&gt;"",VLOOKUP(T_BilanSocial[[#This Row],[NumL]],T_suiviDi[#Data],COLUMN((T_suiviDi[Nom])),FALSE),"")</f>
        <v/>
      </c>
      <c r="H134" s="96" t="str">
        <f>IF(T_BilanSocial[[#This Row],[Final]]&lt;&gt;"",VLOOKUP(T_BilanSocial[[#This Row],[NumL]],T_suiviDi[#Data],COLUMN((T_suiviDi[Prénom])),FALSE),"")</f>
        <v/>
      </c>
      <c r="I134" s="96" t="str">
        <f>IFERROR(VLOOKUP(T_BilanSocial[[#This Row],[Zone_Bilan]],T_P_BilanSocial[#Data],COLUMN(T_P_BilanSocial[[#This Row],[Numero_SIHAM]]),FALSE),"")</f>
        <v/>
      </c>
      <c r="J134" s="96" t="str">
        <f>IFERROR(VLOOKUP(T_BilanSocial[[#This Row],[Zone_Bilan]],T_P_BilanSocial[#Data],COLUMN(T_P_BilanSocial[[#This Row],[Sexe]]),FALSE),"")</f>
        <v/>
      </c>
      <c r="K134" s="97" t="str">
        <f>IFERROR(VLOOKUP(T_BilanSocial[[#This Row],[Zone_Bilan]],T_P_BilanSocial[#Data],COLUMN(T_P_BilanSocial[[#This Row],[Categorie]]),FALSE),"")</f>
        <v/>
      </c>
      <c r="L134" s="96" t="str">
        <f>IFERROR(VLOOKUP(T_BilanSocial[[#This Row],[Zone_Bilan]],T_P_BilanSocial[#Data],COLUMN(T_P_BilanSocial[[#This Row],[Statut]]),FALSE),"")</f>
        <v/>
      </c>
      <c r="M134" s="96" t="str">
        <f>IFERROR(VLOOKUP(T_BilanSocial[[#This Row],[Zone_Bilan]],T_P_BilanSocial[#Data],COLUMN(T_P_BilanSocial[[#This Row],[Filiere]]),FALSE),"")</f>
        <v/>
      </c>
      <c r="N134" s="96" t="e">
        <f>VLOOKUP(T_BilanSocial[[#This Row],[NumL]],T_TraitDi[#Data],COLUMN(T_TraitDi[EXP]),FALSE)</f>
        <v>#N/A</v>
      </c>
      <c r="O134" s="96" t="e">
        <f>VLOOKUP(T_BilanSocial[[#This Row],[NumL]],T_TraitDi[#Data],COLUMN(T_TraitDi[FORM]),FALSE)</f>
        <v>#N/A</v>
      </c>
      <c r="P134" s="96" t="str">
        <f>IF(T_BilanSocial[[#This Row],[Final]]&lt;&gt;"",VLOOKUP(T_BilanSocial[[#This Row],[NumL]],T_suiviDi[#Data],COLUMN((T_suiviDi[Email])),FALSE),"")</f>
        <v/>
      </c>
      <c r="Q134" s="164" t="e">
        <f t="shared" si="17"/>
        <v>#N/A</v>
      </c>
      <c r="R134" s="164" t="e">
        <f t="shared" si="18"/>
        <v>#N/A</v>
      </c>
      <c r="S134" s="164" t="e">
        <f>IF(VLOOKUP(T_BilanSocial[[#This Row],[NumL]],T_suiviDi[#Data],COLUMN(T_suiviDi[[#This Row],[Service ]]),FALSE)="","",VLOOKUP(T_BilanSocial[[#This Row],[NumL]],T_suiviDi[#Data],COLUMN(T_suiviDi[[#This Row],[Service ]]),FALSE))</f>
        <v>#VALUE!</v>
      </c>
      <c r="T134" s="164" t="str">
        <f t="shared" si="24"/>
        <v>01 septembre 2021</v>
      </c>
      <c r="U134" s="164" t="str">
        <f t="shared" si="25"/>
        <v>30 novembre 2021</v>
      </c>
      <c r="V134" s="164" t="str">
        <f t="shared" si="21"/>
        <v>30 novembre 2021</v>
      </c>
      <c r="W134" s="176" t="e">
        <f>IF(VLOOKUP(T_BilanSocial[[#This Row],[NumL]],T_TraitDi[#Data],COLUMN(T_TraitDi[[#This Row],[M1]]),FALSE)="","",VLOOKUP(T_BilanSocial[[#This Row],[NumL]],T_TraitDi[#Data],COLUMN(T_TraitDi[[#This Row],[M1]]),FALSE))</f>
        <v>#VALUE!</v>
      </c>
      <c r="X134" s="176" t="e">
        <f>IF(VLOOKUP(T_BilanSocial[[#This Row],[NumL]],T_TraitDi[#Data],COLUMN(T_TraitDi[[#This Row],[M2]]),FALSE)="","",VLOOKUP(T_BilanSocial[[#This Row],[NumL]],T_TraitDi[#Data],COLUMN(T_TraitDi[[#This Row],[M2]]),FALSE))</f>
        <v>#VALUE!</v>
      </c>
      <c r="Y134" s="176" t="e">
        <f>IF(VLOOKUP(T_BilanSocial[[#This Row],[NumL]],T_TraitDi[#Data],COLUMN(T_TraitDi[[#This Row],[M3]]),FALSE)="","",VLOOKUP(T_BilanSocial[[#This Row],[NumL]],T_TraitDi[#Data],COLUMN(T_TraitDi[[#This Row],[M3]]),FALSE))</f>
        <v>#VALUE!</v>
      </c>
      <c r="Z134" s="176" t="str">
        <f t="shared" si="27"/>
        <v/>
      </c>
      <c r="AA134" s="176" t="e">
        <f>IF(VLOOKUP(T_BilanSocial[[#This Row],[NumL]],T_TraitDi[#Data],COLUMN(T_TraitDi[[#This Row],[M5]]),FALSE)="","",VLOOKUP(T_BilanSocial[[#This Row],[NumL]],T_TraitDi[#Data],COLUMN(T_TraitDi[[#This Row],[M5]]),FALSE))</f>
        <v>#VALUE!</v>
      </c>
      <c r="AB134" s="176" t="e">
        <f>IF(VLOOKUP(T_BilanSocial[[#This Row],[NumL]],T_TraitDi[#Data],COLUMN(T_TraitDi[[#This Row],[M6]]),FALSE)="","",VLOOKUP(T_BilanSocial[[#This Row],[NumL]],T_TraitDi[#Data],COLUMN(T_TraitDi[[#This Row],[M6]]),FALSE))</f>
        <v>#VALUE!</v>
      </c>
      <c r="AC134" s="165" t="e">
        <f t="shared" si="26"/>
        <v>#VALUE!</v>
      </c>
      <c r="AD134" s="188" t="str">
        <f>IFERROR(TEXT(VLOOKUP(T_BilanSocial[[#This Row],[NumL]],T_TraitDi[#Data],COLUMN(T_TraitDi[[#This Row],[Q2]]),FALSE),"###%"),"")</f>
        <v/>
      </c>
      <c r="AE134" s="97" t="e">
        <f>VLOOKUP(T_BilanSocial[[#This Row],[NumL]],T_TraitDi[#Data],COLUMN(T_TraitDi[[#This Row],[Reg Ponct]]),FALSE)</f>
        <v>#VALUE!</v>
      </c>
      <c r="AF134" s="97" t="e">
        <f>VLOOKUP(T_BilanSocial[NumL],T_TraitDi[#Data],COLUMN(T_TraitDi[[#This Row],[Jours flottants]]),FALSE)</f>
        <v>#VALUE!</v>
      </c>
      <c r="AG134" s="97" t="str">
        <f>IFERROR(VLOOKUP(T_BilanSocial[[#This Row],[NumL]],T_TraitDi[#Data],COLUMN(T_TraitDi[[#This Row],[Lundi]]),FALSE),"")</f>
        <v/>
      </c>
      <c r="AH134" s="172" t="e">
        <f>IF(VLOOKUP(T_BilanSocial[[#This Row],[NumL]],T_TraitDi[#Data],COLUMN(T_TraitDi[[#This Row],[Colonne3]]),FALSE)=0,"",TEXT(IFERROR(VLOOKUP(T_BilanSocial[[#This Row],[NumL]],T_TraitDi[#Data],COLUMN(T_TraitDi[[#This Row],[Colonne3]]),FALSE),""),"[hh]:mm"))</f>
        <v>#VALUE!</v>
      </c>
      <c r="AI134" s="172" t="e">
        <f>IF(VLOOKUP(T_BilanSocial[[#This Row],[NumL]],T_TraitDi[#Data],COLUMN(T_TraitDi[[#This Row],[Colonne4]]),FALSE)=0,"",TEXT(IFERROR(VLOOKUP(T_BilanSocial[[#This Row],[NumL]],T_TraitDi[#Data],COLUMN(T_TraitDi[[#This Row],[Colonne4]]),FALSE),""),"[hh]:mm"))</f>
        <v>#VALUE!</v>
      </c>
      <c r="AJ134" s="172" t="e">
        <f>IF(VLOOKUP(T_BilanSocial[[#This Row],[NumL]],T_TraitDi[#Data],COLUMN(T_TraitDi[[#This Row],[Colonne5]]),FALSE)=0,"",TEXT(IFERROR(VLOOKUP(T_BilanSocial[[#This Row],[NumL]],T_TraitDi[#Data],COLUMN(T_TraitDi[[#This Row],[Colonne5]]),FALSE),""),"[hh]:mm"))</f>
        <v>#VALUE!</v>
      </c>
      <c r="AK134" s="172" t="e">
        <f>IF(VLOOKUP(T_BilanSocial[[#This Row],[NumL]],T_TraitDi[#Data],COLUMN(T_TraitDi[[#This Row],[Colonne6]]),FALSE)=0,"",TEXT(IFERROR(VLOOKUP(T_BilanSocial[[#This Row],[NumL]],T_TraitDi[#Data],COLUMN(T_TraitDi[[#This Row],[Colonne6]]),FALSE),""),"[hh]:mm"))</f>
        <v>#VALUE!</v>
      </c>
      <c r="AL134" s="172" t="e">
        <f>IF(VLOOKUP(T_BilanSocial[[#This Row],[NumL]],T_TraitDi[#Data],COLUMN(T_TraitDi[[#This Row],[Colonne7]]),FALSE)=0,"",TEXT(IFERROR(VLOOKUP(T_BilanSocial[[#This Row],[NumL]],T_TraitDi[#Data],COLUMN(T_TraitDi[[#This Row],[Colonne7]]),FALSE),""),"[hh]:mm"))</f>
        <v>#VALUE!</v>
      </c>
      <c r="AM134" s="172" t="e">
        <f>IF(VLOOKUP(T_BilanSocial[[#This Row],[NumL]],T_TraitDi[#Data],COLUMN(T_TraitDi[[#This Row],[Colonne8]]),FALSE)=0,"",TEXT(IFERROR(VLOOKUP(T_BilanSocial[[#This Row],[NumL]],T_TraitDi[#Data],COLUMN(T_TraitDi[[#This Row],[Colonne8]]),FALSE),""),"[hh]:mm"))</f>
        <v>#VALUE!</v>
      </c>
      <c r="AN134" s="172" t="str">
        <f>IFERROR(VLOOKUP(T_BilanSocial[[#This Row],[NumL]],T_TraitDi[#Data],COLUMN(T_TraitDi[[#This Row],[Mardi]]),FALSE),"")</f>
        <v/>
      </c>
      <c r="AO134" s="172" t="e">
        <f>IF(VLOOKUP(T_BilanSocial[[#This Row],[NumL]],T_TraitDi[#Data],COLUMN(T_TraitDi[[#This Row],[Colonne1]]),FALSE)=0,"",TEXT(IFERROR(VLOOKUP(T_BilanSocial[[#This Row],[NumL]],T_TraitDi[#Data],COLUMN(T_TraitDi[[#This Row],[Colonne1]]),FALSE),""),"[hh]:mm"))</f>
        <v>#VALUE!</v>
      </c>
      <c r="AP134" s="172" t="e">
        <f>IF(VLOOKUP(T_BilanSocial[[#This Row],[NumL]],T_TraitDi[#Data],COLUMN(T_TraitDi[[#This Row],[Colonne9]]),FALSE)=0,"",TEXT(IFERROR(VLOOKUP(T_BilanSocial[[#This Row],[NumL]],T_TraitDi[#Data],COLUMN(T_TraitDi[[#This Row],[Colonne9]]),FALSE),""),"[hh]:mm"))</f>
        <v>#VALUE!</v>
      </c>
      <c r="AQ134" s="172" t="str">
        <f>IFERROR(VLOOKUP(T_BilanSocial[[#This Row],[NumL]],T_TraitDi[#Data],COLUMN(T_TraitDi[[#This Row],[Colonne10]]),FALSE),"")</f>
        <v/>
      </c>
      <c r="AR134" s="172" t="e">
        <f>IF(VLOOKUP(T_BilanSocial[[#This Row],[NumL]],T_TraitDi[#Data],COLUMN(T_TraitDi[[#This Row],[Colonne11]]),FALSE)=0,"",TEXT(IFERROR(VLOOKUP(T_BilanSocial[[#This Row],[NumL]],T_TraitDi[#Data],COLUMN(T_TraitDi[[#This Row],[Colonne11]]),FALSE),""),"[hh]:mm"))</f>
        <v>#VALUE!</v>
      </c>
      <c r="AS134" s="172" t="e">
        <f>IF(VLOOKUP(T_BilanSocial[[#This Row],[NumL]],T_TraitDi[#Data],COLUMN(T_TraitDi[[#This Row],[Colonne12]]),FALSE)=0,"",TEXT(IFERROR(VLOOKUP(T_BilanSocial[[#This Row],[NumL]],T_TraitDi[#Data],COLUMN(T_TraitDi[[#This Row],[Colonne12]]),FALSE),""),"[hh]:mm"))</f>
        <v>#VALUE!</v>
      </c>
      <c r="AT134" s="172" t="e">
        <f>IF(VLOOKUP(T_BilanSocial[[#This Row],[NumL]],T_TraitDi[#Data],COLUMN(T_TraitDi[[#This Row],[Colonne14]]),FALSE)=0,"",TEXT(IFERROR(VLOOKUP(T_BilanSocial[[#This Row],[NumL]],T_TraitDi[#Data],COLUMN(T_TraitDi[[#This Row],[Colonne14]]),FALSE),""),"[hh]:mm"))</f>
        <v>#VALUE!</v>
      </c>
      <c r="AU134" s="172" t="str">
        <f>IFERROR(VLOOKUP(T_BilanSocial[[#This Row],[NumL]],T_TraitDi[#Data],COLUMN(T_TraitDi[[#This Row],[Mercredi]]),FALSE),"")</f>
        <v/>
      </c>
      <c r="AV134" s="172" t="e">
        <f>IF(VLOOKUP(T_BilanSocial[[#This Row],[NumL]],T_TraitDi[#Data],COLUMN(T_TraitDi[[#This Row],[Colonne15]]),FALSE)=0,"",TEXT(IFERROR(VLOOKUP(T_BilanSocial[[#This Row],[NumL]],T_TraitDi[#Data],COLUMN(T_TraitDi[[#This Row],[Colonne15]]),FALSE),""),"[hh]:mm"))</f>
        <v>#VALUE!</v>
      </c>
      <c r="AW134" s="172" t="e">
        <f>IF(VLOOKUP(T_BilanSocial[[#This Row],[NumL]],T_TraitDi[#Data],COLUMN(T_TraitDi[[#This Row],[Colonne16]]),FALSE)=0,"",TEXT(IFERROR(VLOOKUP(T_BilanSocial[[#This Row],[NumL]],T_TraitDi[#Data],COLUMN(T_TraitDi[[#This Row],[Colonne16]]),FALSE),""),"[hh]:mm"))</f>
        <v>#VALUE!</v>
      </c>
      <c r="AX134" s="172" t="str">
        <f>IFERROR(VLOOKUP(T_BilanSocial[[#This Row],[NumL]],T_TraitDi[#Data],COLUMN(T_TraitDi[[#This Row],[Colonne17]]),FALSE),"")</f>
        <v/>
      </c>
      <c r="AY134" s="172" t="e">
        <f>IF(VLOOKUP(T_BilanSocial[[#This Row],[NumL]],T_TraitDi[#Data],COLUMN(T_TraitDi[[#This Row],[Colonne18]]),FALSE)=0,"",TEXT(IFERROR(VLOOKUP(T_BilanSocial[[#This Row],[NumL]],T_TraitDi[#Data],COLUMN(T_TraitDi[[#This Row],[Colonne18]]),FALSE),""),"[hh]:mm"))</f>
        <v>#VALUE!</v>
      </c>
      <c r="AZ134" s="172" t="e">
        <f>IF(VLOOKUP(T_BilanSocial[[#This Row],[NumL]],T_TraitDi[#Data],COLUMN(T_TraitDi[[#This Row],[Colonne19]]),FALSE)=0,"",TEXT(IFERROR(VLOOKUP(T_BilanSocial[[#This Row],[NumL]],T_TraitDi[#Data],COLUMN(T_TraitDi[[#This Row],[Colonne19]]),FALSE),""),"[hh]:mm"))</f>
        <v>#VALUE!</v>
      </c>
      <c r="BA134" s="172" t="e">
        <f>IF(VLOOKUP(T_BilanSocial[[#This Row],[NumL]],T_TraitDi[#Data],COLUMN(T_TraitDi[[#This Row],[Colonne20]]),FALSE)=0,"",TEXT(IFERROR(VLOOKUP(T_BilanSocial[[#This Row],[NumL]],T_TraitDi[#Data],COLUMN(T_TraitDi[[#This Row],[Colonne20]]),FALSE),""),"[hh]:mm"))</f>
        <v>#VALUE!</v>
      </c>
      <c r="BB134" s="178" t="str">
        <f>IFERROR(VLOOKUP(T_BilanSocial[[#This Row],[NumL]],T_TraitDi[#Data],COLUMN(T_TraitDi[[#This Row],[Jeudi]]),FALSE),"")</f>
        <v/>
      </c>
      <c r="BC134" s="178" t="e">
        <f>IF(VLOOKUP(T_BilanSocial[[#This Row],[NumL]],T_TraitDi[#Data],COLUMN(T_TraitDi[[#This Row],[Colonne21]]),FALSE)=0,"",TEXT(IFERROR(VLOOKUP(T_BilanSocial[[#This Row],[NumL]],T_TraitDi[#Data],COLUMN(T_TraitDi[[#This Row],[Colonne21]]),FALSE),""),"[hh]:mm"))</f>
        <v>#VALUE!</v>
      </c>
      <c r="BD134" s="178" t="e">
        <f>IF(VLOOKUP(T_BilanSocial[[#This Row],[NumL]],T_TraitDi[#Data],COLUMN(T_TraitDi[[#This Row],[Colonne22]]),FALSE)=0,"",TEXT(IFERROR(VLOOKUP(T_BilanSocial[[#This Row],[NumL]],T_TraitDi[#Data],COLUMN(T_TraitDi[[#This Row],[Colonne22]]),FALSE),""),"[hh]:mm"))</f>
        <v>#VALUE!</v>
      </c>
      <c r="BE134" s="178" t="str">
        <f>IFERROR(VLOOKUP(T_BilanSocial[[#This Row],[NumL]],T_TraitDi[#Data],COLUMN(T_TraitDi[[#This Row],[Colonne23]]),FALSE),"")</f>
        <v/>
      </c>
      <c r="BF134" s="178" t="e">
        <f>IF(VLOOKUP(T_BilanSocial[[#This Row],[NumL]],T_TraitDi[#Data],COLUMN(T_TraitDi[[#This Row],[Colonne24]]),FALSE)=0,"",TEXT(IFERROR(VLOOKUP(T_BilanSocial[[#This Row],[NumL]],T_TraitDi[#Data],COLUMN(T_TraitDi[[#This Row],[Colonne24]]),FALSE),""),"[hh]:mm"))</f>
        <v>#VALUE!</v>
      </c>
      <c r="BG134" s="178" t="e">
        <f>IF(VLOOKUP(T_BilanSocial[[#This Row],[NumL]],T_TraitDi[#Data],COLUMN(T_TraitDi[[#This Row],[Colonne25]]),FALSE)=0,"",TEXT(IFERROR(VLOOKUP(T_BilanSocial[[#This Row],[NumL]],T_TraitDi[#Data],COLUMN(T_TraitDi[[#This Row],[Colonne25]]),FALSE),""),"[hh]:mm"))</f>
        <v>#VALUE!</v>
      </c>
      <c r="BH134" s="178" t="e">
        <f>IF(VLOOKUP(T_BilanSocial[[#This Row],[NumL]],T_TraitDi[#Data],COLUMN(T_TraitDi[[#This Row],[Colonne26]]),FALSE)=0,"",TEXT(IFERROR(VLOOKUP(T_BilanSocial[[#This Row],[NumL]],T_TraitDi[#Data],COLUMN(T_TraitDi[[#This Row],[Colonne26]]),FALSE),""),"[hh]:mm"))</f>
        <v>#VALUE!</v>
      </c>
      <c r="BI134" s="172" t="str">
        <f>IFERROR(VLOOKUP(T_BilanSocial[[#This Row],[NumL]],T_TraitDi[#Data],COLUMN(T_TraitDi[[#This Row],[Vendredi]]),FALSE),"")</f>
        <v/>
      </c>
      <c r="BJ134" s="172" t="e">
        <f>IF(VLOOKUP(T_BilanSocial[[#This Row],[NumL]],T_TraitDi[#Data],COLUMN(T_TraitDi[[#This Row],[Colonne27]]),FALSE)=0,"",TEXT(IFERROR(VLOOKUP(T_BilanSocial[[#This Row],[NumL]],T_TraitDi[#Data],COLUMN(T_TraitDi[[#This Row],[Colonne27]]),FALSE),""),"[hh]:mm"))</f>
        <v>#VALUE!</v>
      </c>
      <c r="BK134" s="172" t="e">
        <f>IF(VLOOKUP(T_BilanSocial[[#This Row],[NumL]],T_TraitDi[#Data],COLUMN(T_TraitDi[[#This Row],[Colonne28]]),FALSE)=0,"",TEXT(IFERROR(VLOOKUP(T_BilanSocial[[#This Row],[NumL]],T_TraitDi[#Data],COLUMN(T_TraitDi[[#This Row],[Colonne28]]),FALSE),""),"[hh]:mm"))</f>
        <v>#VALUE!</v>
      </c>
      <c r="BL134" s="172" t="str">
        <f>IFERROR(VLOOKUP(T_BilanSocial[[#This Row],[NumL]],T_TraitDi[#Data],COLUMN(T_TraitDi[[#This Row],[Colonne29]]),FALSE),"")</f>
        <v/>
      </c>
      <c r="BM134" s="172" t="e">
        <f>IF(VLOOKUP(T_BilanSocial[[#This Row],[NumL]],T_TraitDi[#Data],COLUMN(T_TraitDi[[#This Row],[Colonne30]]),FALSE)=0,"",TEXT(IFERROR(VLOOKUP(T_BilanSocial[[#This Row],[NumL]],T_TraitDi[#Data],COLUMN(T_TraitDi[[#This Row],[Colonne30]]),FALSE),""),"[hh]:mm"))</f>
        <v>#VALUE!</v>
      </c>
      <c r="BN134" s="172" t="e">
        <f>IF(VLOOKUP(T_BilanSocial[[#This Row],[NumL]],T_TraitDi[#Data],COLUMN(T_TraitDi[[#This Row],[Colonne31]]),FALSE)=0,"",TEXT(IFERROR(VLOOKUP(T_BilanSocial[[#This Row],[NumL]],T_TraitDi[#Data],COLUMN(T_TraitDi[[#This Row],[Colonne31]]),FALSE),""),"[hh]:mm"))</f>
        <v>#VALUE!</v>
      </c>
      <c r="BO134" s="172" t="e">
        <f>IF(VLOOKUP(T_BilanSocial[[#This Row],[NumL]],T_TraitDi[#Data],COLUMN(T_TraitDi[[#This Row],[Colonne32]]),FALSE)=0,"",TEXT(IFERROR(VLOOKUP(T_BilanSocial[[#This Row],[NumL]],T_TraitDi[#Data],COLUMN(T_TraitDi[[#This Row],[Colonne32]]),FALSE),""),"[hh]:mm"))</f>
        <v>#VALUE!</v>
      </c>
      <c r="BP134" s="172" t="e">
        <f>VLOOKUP(T_BilanSocial[[#This Row],[NumL]],T_TraitDi[#Data],COLUMN(T_TraitDi[NbJTot]),FALSE)</f>
        <v>#N/A</v>
      </c>
      <c r="BQ134" s="174" t="str">
        <f>IFERROR(VLOOKUP(T_BilanSocial[[#This Row],[NumL]],T_TraitDi[#Data],COLUMN(T_TraitDi[[#This Row],[NbJTW]]),FALSE),"")</f>
        <v/>
      </c>
      <c r="BR134" s="174" t="e">
        <f>IF(VLOOKUP(T_BilanSocial[[#This Row],[NumL]],T_TraitDi[#Data],COLUMN(T_TraitDi[[#This Row],[NbhTW]]),FALSE)=0,"",TEXT(IFERROR(VLOOKUP(T_BilanSocial[[#This Row],[NumL]],T_TraitDi[#Data],COLUMN(T_TraitDi[[#This Row],[NbhTW]]),FALSE),""),"[hh]:mm"))</f>
        <v>#VALUE!</v>
      </c>
      <c r="BS134" s="174" t="e">
        <f>IF(VLOOKUP(T_BilanSocial[[#This Row],[NumL]],T_TraitDi[#Data],COLUMN(T_TraitDi[[#This Row],[Nbhheb]]),FALSE)=0,"",TEXT(IFERROR(VLOOKUP($A134,T_TraitDi[#Data],COLUMN(T_TraitDi[[#This Row],[Nbhheb]]),FALSE),""),"[hh]:mm"))</f>
        <v>#VALUE!</v>
      </c>
      <c r="BT134" s="182" t="str">
        <f>IFERROR(VLOOKUP(VLOOKUP($A134,T_TraitDi[#Data],COLUMN(T_TraitDi[[#This Row],[Type1]]),FALSE),TypeTW,2,FALSE),"")</f>
        <v/>
      </c>
      <c r="BU134" s="182" t="str">
        <f>IFERROR(VLOOKUP($A134,T_TraitDi[#Data],COLUMN(T_TraitDi[[#This Row],[Rue1]]),FALSE),"")</f>
        <v/>
      </c>
      <c r="BV134" s="173" t="str">
        <f>IFERROR(VLOOKUP($A134,T_TraitDi[#Data],COLUMN(T_TraitDi[[#This Row],[CP1]]),FALSE),"")</f>
        <v/>
      </c>
      <c r="BW134" s="173" t="str">
        <f>IFERROR(VLOOKUP($A134,T_TraitDi[#Data],COLUMN(T_TraitDi[[#This Row],[VILLE1]]),FALSE),"")</f>
        <v/>
      </c>
      <c r="BX134" s="182" t="str">
        <f>IFERROR(VLOOKUP(VLOOKUP($A134,T_TraitDi[#Data],COLUMN(T_TraitDi[[#This Row],[Type2]]),FALSE),TypeTW,2,FALSE),"")</f>
        <v/>
      </c>
      <c r="BY134" s="182" t="str">
        <f>IFERROR(VLOOKUP($A134,T_TraitDi[#Data],COLUMN(T_TraitDi[[#This Row],[Rue2]]),FALSE),"")</f>
        <v/>
      </c>
      <c r="BZ134" s="173" t="str">
        <f>IFERROR(VLOOKUP($A134,T_TraitDi[#Data],COLUMN(T_TraitDi[[#This Row],[CP2]]),FALSE),"")</f>
        <v/>
      </c>
      <c r="CA134" s="173" t="str">
        <f>IFERROR(VLOOKUP($A134,T_TraitDi[#Data],COLUMN(T_TraitDi[[#This Row],[VILLE2]]),FALSE),"")</f>
        <v/>
      </c>
      <c r="CB134" s="182" t="str">
        <f>IF(VLOOKUP(T_BilanSocial[[#This Row],[NumL]],T_Equipement[#Data],COLUMN(T_Equipement[[#This Row],[PC]]),FALSE)="","Aucun équipement spécifique directement lié au télétravail",VLOOKUP(T_BilanSocial[[#This Row],[NumL]],T_Equipement[#Data],COLUMN(T_Equipement[[#This Row],[PC]]),FALSE))</f>
        <v xml:space="preserve">	20-469</v>
      </c>
      <c r="CC134" s="166" t="str">
        <f>IFERROR(IF(VLOOKUP(T_BilanSocial[[#This Row],[NumL]],T_TraitDi[#Data],COLUMN(T_TraitDi[[#This Row],[Plan]]),FALSE)="OK","Un planning spécifique de télétravail est annexé à la présente convention.",""),"")</f>
        <v/>
      </c>
      <c r="CD134" s="258" t="s">
        <v>3460</v>
      </c>
      <c r="CE134" s="164" t="e">
        <f>IF(VLOOKUP(T_BilanSocial[[#This Row],[NumL]],T_suiviDi[#Data],COLUMN(T_suiviDi[[#This Row],[Entité]]),FALSE)="","",VLOOKUP(T_BilanSocial[[#This Row],[NumL]],T_suiviDi[#Data],COLUMN(T_suiviDi[[#This Row],[Entité]]),FALSE))</f>
        <v>#VALUE!</v>
      </c>
      <c r="CF134" s="164" t="str">
        <f>IF(VLOOKUP(T_BilanSocial[[#This Row],[NumL]],T_Commission[#Data],COLUMN(T_Commission[[#This Row],[envoi confirm TW]]),FALSE)="","",VLOOKUP(T_BilanSocial[[#This Row],[NumL]],T_Commission[#Data],COLUMN(T_Commission[[#This Row],[envoi confirm TW]]),FALSE))</f>
        <v>Oui</v>
      </c>
      <c r="CG13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4" s="262" t="str">
        <f>T_BilanSocial[[#This Row],[Nom]]&amp;T_BilanSocial[[#This Row],[Prenom]]</f>
        <v/>
      </c>
      <c r="CI134" s="262">
        <f>VLOOKUP(T_BilanSocial[[#This Row],[NumL]],T_Commission[#Data],COLUMN(T_Commission[Commentaire]),FALSE)</f>
        <v>0</v>
      </c>
      <c r="CJ134" s="262" t="str">
        <f>IF(VLOOKUP(T_BilanSocial[[#This Row],[NumL]],T_Commission[#Data],COLUMN(T_Commission[Encadrant Email]),FALSE)="","",VLOOKUP(T_BilanSocial[[#This Row],[NumL]],T_Commission[#Data],COLUMN(T_Commission[Encadrant Email]),FALSE))</f>
        <v/>
      </c>
      <c r="CK134" s="340" t="str">
        <f>IF(T_BilanSocial[[#This Row],[Final]]&lt;&gt;"",VLOOKUP(T_BilanSocial[[#This Row],[NumL]],T_suiviDi[#Data],COLUMN((T_suiviDi[Statut])),FALSE),"")</f>
        <v/>
      </c>
    </row>
    <row r="135" spans="1:89" s="106" customFormat="1" ht="24.75" customHeight="1" x14ac:dyDescent="0.25">
      <c r="A135" s="160">
        <v>132</v>
      </c>
      <c r="B135" s="161" t="str">
        <f t="shared" si="22"/>
        <v/>
      </c>
      <c r="C135" s="162" t="s">
        <v>139</v>
      </c>
      <c r="D135" s="95" t="e">
        <f>IF(VLOOKUP(T_BilanSocial[[#This Row],[NumL]],T_TraitDi[#Data],COLUMN(T_TraitDi[[#This Row],[WebC]]),FALSE)="","",VLOOKUP(T_BilanSocial[[#This Row],[NumL]],T_TraitDi[#Data],COLUMN(T_TraitDi[[#This Row],[WebC]]),FALSE))</f>
        <v>#VALUE!</v>
      </c>
      <c r="E135" s="163" t="str">
        <f t="shared" si="23"/>
        <v>12 janvier 2021</v>
      </c>
      <c r="F135" s="96" t="str">
        <f>IF(T_BilanSocial[[#This Row],[Final]]&lt;&gt;"",VLOOKUP(T_BilanSocial[[#This Row],[NumL]],T_suiviDi[#Data],COLUMN((T_suiviDi[Civ.])),FALSE),"")</f>
        <v/>
      </c>
      <c r="G135" s="96" t="str">
        <f>IF(T_BilanSocial[[#This Row],[Final]]&lt;&gt;"",VLOOKUP(T_BilanSocial[[#This Row],[NumL]],T_suiviDi[#Data],COLUMN((T_suiviDi[Nom])),FALSE),"")</f>
        <v/>
      </c>
      <c r="H135" s="96" t="str">
        <f>IF(T_BilanSocial[[#This Row],[Final]]&lt;&gt;"",VLOOKUP(T_BilanSocial[[#This Row],[NumL]],T_suiviDi[#Data],COLUMN((T_suiviDi[Prénom])),FALSE),"")</f>
        <v/>
      </c>
      <c r="I135" s="96" t="str">
        <f>IFERROR(VLOOKUP(T_BilanSocial[[#This Row],[Zone_Bilan]],T_P_BilanSocial[#Data],COLUMN(T_P_BilanSocial[[#This Row],[Numero_SIHAM]]),FALSE),"")</f>
        <v/>
      </c>
      <c r="J135" s="96" t="str">
        <f>IFERROR(VLOOKUP(T_BilanSocial[[#This Row],[Zone_Bilan]],T_P_BilanSocial[#Data],COLUMN(T_P_BilanSocial[[#This Row],[Sexe]]),FALSE),"")</f>
        <v/>
      </c>
      <c r="K135" s="97" t="str">
        <f>IFERROR(VLOOKUP(T_BilanSocial[[#This Row],[Zone_Bilan]],T_P_BilanSocial[#Data],COLUMN(T_P_BilanSocial[[#This Row],[Categorie]]),FALSE),"")</f>
        <v/>
      </c>
      <c r="L135" s="96" t="str">
        <f>IFERROR(VLOOKUP(T_BilanSocial[[#This Row],[Zone_Bilan]],T_P_BilanSocial[#Data],COLUMN(T_P_BilanSocial[[#This Row],[Statut]]),FALSE),"")</f>
        <v/>
      </c>
      <c r="M135" s="96" t="str">
        <f>IFERROR(VLOOKUP(T_BilanSocial[[#This Row],[Zone_Bilan]],T_P_BilanSocial[#Data],COLUMN(T_P_BilanSocial[[#This Row],[Filiere]]),FALSE),"")</f>
        <v/>
      </c>
      <c r="N135" s="96" t="e">
        <f>VLOOKUP(T_BilanSocial[[#This Row],[NumL]],T_TraitDi[#Data],COLUMN(T_TraitDi[EXP]),FALSE)</f>
        <v>#N/A</v>
      </c>
      <c r="O135" s="96" t="e">
        <f>VLOOKUP(T_BilanSocial[[#This Row],[NumL]],T_TraitDi[#Data],COLUMN(T_TraitDi[FORM]),FALSE)</f>
        <v>#N/A</v>
      </c>
      <c r="P135" s="96" t="str">
        <f>IF(T_BilanSocial[[#This Row],[Final]]&lt;&gt;"",VLOOKUP(T_BilanSocial[[#This Row],[NumL]],T_suiviDi[#Data],COLUMN((T_suiviDi[Email])),FALSE),"")</f>
        <v/>
      </c>
      <c r="Q135" s="164" t="e">
        <f t="shared" si="17"/>
        <v>#N/A</v>
      </c>
      <c r="R135" s="164" t="e">
        <f t="shared" si="18"/>
        <v>#N/A</v>
      </c>
      <c r="S135" s="164" t="e">
        <f>IF(VLOOKUP(T_BilanSocial[[#This Row],[NumL]],T_suiviDi[#Data],COLUMN(T_suiviDi[[#This Row],[Service ]]),FALSE)="","",VLOOKUP(T_BilanSocial[[#This Row],[NumL]],T_suiviDi[#Data],COLUMN(T_suiviDi[[#This Row],[Service ]]),FALSE))</f>
        <v>#VALUE!</v>
      </c>
      <c r="T135" s="164" t="str">
        <f t="shared" si="24"/>
        <v>01 septembre 2021</v>
      </c>
      <c r="U135" s="164" t="str">
        <f t="shared" si="25"/>
        <v>30 novembre 2021</v>
      </c>
      <c r="V135" s="256">
        <f>Datebilan</f>
        <v>44530</v>
      </c>
      <c r="W135" s="176" t="e">
        <f>IF(VLOOKUP(T_BilanSocial[[#This Row],[NumL]],T_TraitDi[#Data],COLUMN(T_TraitDi[[#This Row],[M1]]),FALSE)="","",VLOOKUP(T_BilanSocial[[#This Row],[NumL]],T_TraitDi[#Data],COLUMN(T_TraitDi[[#This Row],[M1]]),FALSE))</f>
        <v>#VALUE!</v>
      </c>
      <c r="X135" s="176" t="e">
        <f>IF(VLOOKUP(T_BilanSocial[[#This Row],[NumL]],T_TraitDi[#Data],COLUMN(T_TraitDi[[#This Row],[M2]]),FALSE)="","",VLOOKUP(T_BilanSocial[[#This Row],[NumL]],T_TraitDi[#Data],COLUMN(T_TraitDi[[#This Row],[M2]]),FALSE))</f>
        <v>#VALUE!</v>
      </c>
      <c r="Y135" s="176" t="e">
        <f>IF(VLOOKUP(T_BilanSocial[[#This Row],[NumL]],T_TraitDi[#Data],COLUMN(T_TraitDi[[#This Row],[M3]]),FALSE)="","",VLOOKUP(T_BilanSocial[[#This Row],[NumL]],T_TraitDi[#Data],COLUMN(T_TraitDi[[#This Row],[M3]]),FALSE))</f>
        <v>#VALUE!</v>
      </c>
      <c r="Z135" s="176" t="str">
        <f t="shared" si="27"/>
        <v/>
      </c>
      <c r="AA135" s="176" t="e">
        <f>IF(VLOOKUP(T_BilanSocial[[#This Row],[NumL]],T_TraitDi[#Data],COLUMN(T_TraitDi[[#This Row],[M5]]),FALSE)="","",VLOOKUP(T_BilanSocial[[#This Row],[NumL]],T_TraitDi[#Data],COLUMN(T_TraitDi[[#This Row],[M5]]),FALSE))</f>
        <v>#VALUE!</v>
      </c>
      <c r="AB135" s="176" t="e">
        <f>IF(VLOOKUP(T_BilanSocial[[#This Row],[NumL]],T_TraitDi[#Data],COLUMN(T_TraitDi[[#This Row],[M6]]),FALSE)="","",VLOOKUP(T_BilanSocial[[#This Row],[NumL]],T_TraitDi[#Data],COLUMN(T_TraitDi[[#This Row],[M6]]),FALSE))</f>
        <v>#VALUE!</v>
      </c>
      <c r="AC135" s="165" t="e">
        <f t="shared" si="26"/>
        <v>#VALUE!</v>
      </c>
      <c r="AD135" s="188" t="str">
        <f>IFERROR(TEXT(VLOOKUP(T_BilanSocial[[#This Row],[NumL]],T_TraitDi[#Data],COLUMN(T_TraitDi[[#This Row],[Q2]]),FALSE),"###%"),"")</f>
        <v/>
      </c>
      <c r="AE135" s="97" t="e">
        <f>VLOOKUP(T_BilanSocial[[#This Row],[NumL]],T_TraitDi[#Data],COLUMN(T_TraitDi[[#This Row],[Reg Ponct]]),FALSE)</f>
        <v>#VALUE!</v>
      </c>
      <c r="AF135" s="97" t="e">
        <f>VLOOKUP(T_BilanSocial[NumL],T_TraitDi[#Data],COLUMN(T_TraitDi[[#This Row],[Jours flottants]]),FALSE)</f>
        <v>#VALUE!</v>
      </c>
      <c r="AG135" s="97" t="str">
        <f>IFERROR(VLOOKUP(T_BilanSocial[[#This Row],[NumL]],T_TraitDi[#Data],COLUMN(T_TraitDi[[#This Row],[Lundi]]),FALSE),"")</f>
        <v/>
      </c>
      <c r="AH135" s="172" t="e">
        <f>IF(VLOOKUP(T_BilanSocial[[#This Row],[NumL]],T_TraitDi[#Data],COLUMN(T_TraitDi[[#This Row],[Colonne3]]),FALSE)=0,"",TEXT(IFERROR(VLOOKUP(T_BilanSocial[[#This Row],[NumL]],T_TraitDi[#Data],COLUMN(T_TraitDi[[#This Row],[Colonne3]]),FALSE),""),"[hh]:mm"))</f>
        <v>#VALUE!</v>
      </c>
      <c r="AI135" s="172" t="e">
        <f>IF(VLOOKUP(T_BilanSocial[[#This Row],[NumL]],T_TraitDi[#Data],COLUMN(T_TraitDi[[#This Row],[Colonne4]]),FALSE)=0,"",TEXT(IFERROR(VLOOKUP(T_BilanSocial[[#This Row],[NumL]],T_TraitDi[#Data],COLUMN(T_TraitDi[[#This Row],[Colonne4]]),FALSE),""),"[hh]:mm"))</f>
        <v>#VALUE!</v>
      </c>
      <c r="AJ135" s="172" t="e">
        <f>IF(VLOOKUP(T_BilanSocial[[#This Row],[NumL]],T_TraitDi[#Data],COLUMN(T_TraitDi[[#This Row],[Colonne5]]),FALSE)=0,"",TEXT(IFERROR(VLOOKUP(T_BilanSocial[[#This Row],[NumL]],T_TraitDi[#Data],COLUMN(T_TraitDi[[#This Row],[Colonne5]]),FALSE),""),"[hh]:mm"))</f>
        <v>#VALUE!</v>
      </c>
      <c r="AK135" s="172" t="e">
        <f>IF(VLOOKUP(T_BilanSocial[[#This Row],[NumL]],T_TraitDi[#Data],COLUMN(T_TraitDi[[#This Row],[Colonne6]]),FALSE)=0,"",TEXT(IFERROR(VLOOKUP(T_BilanSocial[[#This Row],[NumL]],T_TraitDi[#Data],COLUMN(T_TraitDi[[#This Row],[Colonne6]]),FALSE),""),"[hh]:mm"))</f>
        <v>#VALUE!</v>
      </c>
      <c r="AL135" s="172" t="e">
        <f>IF(VLOOKUP(T_BilanSocial[[#This Row],[NumL]],T_TraitDi[#Data],COLUMN(T_TraitDi[[#This Row],[Colonne7]]),FALSE)=0,"",TEXT(IFERROR(VLOOKUP(T_BilanSocial[[#This Row],[NumL]],T_TraitDi[#Data],COLUMN(T_TraitDi[[#This Row],[Colonne7]]),FALSE),""),"[hh]:mm"))</f>
        <v>#VALUE!</v>
      </c>
      <c r="AM135" s="172" t="e">
        <f>IF(VLOOKUP(T_BilanSocial[[#This Row],[NumL]],T_TraitDi[#Data],COLUMN(T_TraitDi[[#This Row],[Colonne8]]),FALSE)=0,"",TEXT(IFERROR(VLOOKUP(T_BilanSocial[[#This Row],[NumL]],T_TraitDi[#Data],COLUMN(T_TraitDi[[#This Row],[Colonne8]]),FALSE),""),"[hh]:mm"))</f>
        <v>#VALUE!</v>
      </c>
      <c r="AN135" s="172" t="str">
        <f>IFERROR(VLOOKUP(T_BilanSocial[[#This Row],[NumL]],T_TraitDi[#Data],COLUMN(T_TraitDi[[#This Row],[Mardi]]),FALSE),"")</f>
        <v/>
      </c>
      <c r="AO135" s="172" t="e">
        <f>IF(VLOOKUP(T_BilanSocial[[#This Row],[NumL]],T_TraitDi[#Data],COLUMN(T_TraitDi[[#This Row],[Colonne1]]),FALSE)=0,"",TEXT(IFERROR(VLOOKUP(T_BilanSocial[[#This Row],[NumL]],T_TraitDi[#Data],COLUMN(T_TraitDi[[#This Row],[Colonne1]]),FALSE),""),"[hh]:mm"))</f>
        <v>#VALUE!</v>
      </c>
      <c r="AP135" s="172" t="e">
        <f>IF(VLOOKUP(T_BilanSocial[[#This Row],[NumL]],T_TraitDi[#Data],COLUMN(T_TraitDi[[#This Row],[Colonne9]]),FALSE)=0,"",TEXT(IFERROR(VLOOKUP(T_BilanSocial[[#This Row],[NumL]],T_TraitDi[#Data],COLUMN(T_TraitDi[[#This Row],[Colonne9]]),FALSE),""),"[hh]:mm"))</f>
        <v>#VALUE!</v>
      </c>
      <c r="AQ135" s="172" t="str">
        <f>IFERROR(VLOOKUP(T_BilanSocial[[#This Row],[NumL]],T_TraitDi[#Data],COLUMN(T_TraitDi[[#This Row],[Colonne10]]),FALSE),"")</f>
        <v/>
      </c>
      <c r="AR135" s="172" t="e">
        <f>IF(VLOOKUP(T_BilanSocial[[#This Row],[NumL]],T_TraitDi[#Data],COLUMN(T_TraitDi[[#This Row],[Colonne11]]),FALSE)=0,"",TEXT(IFERROR(VLOOKUP(T_BilanSocial[[#This Row],[NumL]],T_TraitDi[#Data],COLUMN(T_TraitDi[[#This Row],[Colonne11]]),FALSE),""),"[hh]:mm"))</f>
        <v>#VALUE!</v>
      </c>
      <c r="AS135" s="172" t="e">
        <f>IF(VLOOKUP(T_BilanSocial[[#This Row],[NumL]],T_TraitDi[#Data],COLUMN(T_TraitDi[[#This Row],[Colonne12]]),FALSE)=0,"",TEXT(IFERROR(VLOOKUP(T_BilanSocial[[#This Row],[NumL]],T_TraitDi[#Data],COLUMN(T_TraitDi[[#This Row],[Colonne12]]),FALSE),""),"[hh]:mm"))</f>
        <v>#VALUE!</v>
      </c>
      <c r="AT135" s="172" t="e">
        <f>IF(VLOOKUP(T_BilanSocial[[#This Row],[NumL]],T_TraitDi[#Data],COLUMN(T_TraitDi[[#This Row],[Colonne14]]),FALSE)=0,"",TEXT(IFERROR(VLOOKUP(T_BilanSocial[[#This Row],[NumL]],T_TraitDi[#Data],COLUMN(T_TraitDi[[#This Row],[Colonne14]]),FALSE),""),"[hh]:mm"))</f>
        <v>#VALUE!</v>
      </c>
      <c r="AU135" s="172" t="str">
        <f>IFERROR(VLOOKUP(T_BilanSocial[[#This Row],[NumL]],T_TraitDi[#Data],COLUMN(T_TraitDi[[#This Row],[Mercredi]]),FALSE),"")</f>
        <v/>
      </c>
      <c r="AV135" s="172" t="e">
        <f>IF(VLOOKUP(T_BilanSocial[[#This Row],[NumL]],T_TraitDi[#Data],COLUMN(T_TraitDi[[#This Row],[Colonne15]]),FALSE)=0,"",TEXT(IFERROR(VLOOKUP(T_BilanSocial[[#This Row],[NumL]],T_TraitDi[#Data],COLUMN(T_TraitDi[[#This Row],[Colonne15]]),FALSE),""),"[hh]:mm"))</f>
        <v>#VALUE!</v>
      </c>
      <c r="AW135" s="172" t="e">
        <f>IF(VLOOKUP(T_BilanSocial[[#This Row],[NumL]],T_TraitDi[#Data],COLUMN(T_TraitDi[[#This Row],[Colonne16]]),FALSE)=0,"",TEXT(IFERROR(VLOOKUP(T_BilanSocial[[#This Row],[NumL]],T_TraitDi[#Data],COLUMN(T_TraitDi[[#This Row],[Colonne16]]),FALSE),""),"[hh]:mm"))</f>
        <v>#VALUE!</v>
      </c>
      <c r="AX135" s="172" t="str">
        <f>IFERROR(VLOOKUP(T_BilanSocial[[#This Row],[NumL]],T_TraitDi[#Data],COLUMN(T_TraitDi[[#This Row],[Colonne17]]),FALSE),"")</f>
        <v/>
      </c>
      <c r="AY135" s="172" t="e">
        <f>IF(VLOOKUP(T_BilanSocial[[#This Row],[NumL]],T_TraitDi[#Data],COLUMN(T_TraitDi[[#This Row],[Colonne18]]),FALSE)=0,"",TEXT(IFERROR(VLOOKUP(T_BilanSocial[[#This Row],[NumL]],T_TraitDi[#Data],COLUMN(T_TraitDi[[#This Row],[Colonne18]]),FALSE),""),"[hh]:mm"))</f>
        <v>#VALUE!</v>
      </c>
      <c r="AZ135" s="172" t="e">
        <f>IF(VLOOKUP(T_BilanSocial[[#This Row],[NumL]],T_TraitDi[#Data],COLUMN(T_TraitDi[[#This Row],[Colonne19]]),FALSE)=0,"",TEXT(IFERROR(VLOOKUP(T_BilanSocial[[#This Row],[NumL]],T_TraitDi[#Data],COLUMN(T_TraitDi[[#This Row],[Colonne19]]),FALSE),""),"[hh]:mm"))</f>
        <v>#VALUE!</v>
      </c>
      <c r="BA135" s="172" t="e">
        <f>IF(VLOOKUP(T_BilanSocial[[#This Row],[NumL]],T_TraitDi[#Data],COLUMN(T_TraitDi[[#This Row],[Colonne20]]),FALSE)=0,"",TEXT(IFERROR(VLOOKUP(T_BilanSocial[[#This Row],[NumL]],T_TraitDi[#Data],COLUMN(T_TraitDi[[#This Row],[Colonne20]]),FALSE),""),"[hh]:mm"))</f>
        <v>#VALUE!</v>
      </c>
      <c r="BB135" s="178" t="str">
        <f>IFERROR(VLOOKUP(T_BilanSocial[[#This Row],[NumL]],T_TraitDi[#Data],COLUMN(T_TraitDi[[#This Row],[Jeudi]]),FALSE),"")</f>
        <v/>
      </c>
      <c r="BC135" s="178" t="e">
        <f>IF(VLOOKUP(T_BilanSocial[[#This Row],[NumL]],T_TraitDi[#Data],COLUMN(T_TraitDi[[#This Row],[Colonne21]]),FALSE)=0,"",TEXT(IFERROR(VLOOKUP(T_BilanSocial[[#This Row],[NumL]],T_TraitDi[#Data],COLUMN(T_TraitDi[[#This Row],[Colonne21]]),FALSE),""),"[hh]:mm"))</f>
        <v>#VALUE!</v>
      </c>
      <c r="BD135" s="178" t="e">
        <f>IF(VLOOKUP(T_BilanSocial[[#This Row],[NumL]],T_TraitDi[#Data],COLUMN(T_TraitDi[[#This Row],[Colonne22]]),FALSE)=0,"",TEXT(IFERROR(VLOOKUP(T_BilanSocial[[#This Row],[NumL]],T_TraitDi[#Data],COLUMN(T_TraitDi[[#This Row],[Colonne22]]),FALSE),""),"[hh]:mm"))</f>
        <v>#VALUE!</v>
      </c>
      <c r="BE135" s="178" t="str">
        <f>IFERROR(VLOOKUP(T_BilanSocial[[#This Row],[NumL]],T_TraitDi[#Data],COLUMN(T_TraitDi[[#This Row],[Colonne23]]),FALSE),"")</f>
        <v/>
      </c>
      <c r="BF135" s="178" t="e">
        <f>IF(VLOOKUP(T_BilanSocial[[#This Row],[NumL]],T_TraitDi[#Data],COLUMN(T_TraitDi[[#This Row],[Colonne24]]),FALSE)=0,"",TEXT(IFERROR(VLOOKUP(T_BilanSocial[[#This Row],[NumL]],T_TraitDi[#Data],COLUMN(T_TraitDi[[#This Row],[Colonne24]]),FALSE),""),"[hh]:mm"))</f>
        <v>#VALUE!</v>
      </c>
      <c r="BG135" s="178" t="e">
        <f>IF(VLOOKUP(T_BilanSocial[[#This Row],[NumL]],T_TraitDi[#Data],COLUMN(T_TraitDi[[#This Row],[Colonne25]]),FALSE)=0,"",TEXT(IFERROR(VLOOKUP(T_BilanSocial[[#This Row],[NumL]],T_TraitDi[#Data],COLUMN(T_TraitDi[[#This Row],[Colonne25]]),FALSE),""),"[hh]:mm"))</f>
        <v>#VALUE!</v>
      </c>
      <c r="BH135" s="178" t="e">
        <f>IF(VLOOKUP(T_BilanSocial[[#This Row],[NumL]],T_TraitDi[#Data],COLUMN(T_TraitDi[[#This Row],[Colonne26]]),FALSE)=0,"",TEXT(IFERROR(VLOOKUP(T_BilanSocial[[#This Row],[NumL]],T_TraitDi[#Data],COLUMN(T_TraitDi[[#This Row],[Colonne26]]),FALSE),""),"[hh]:mm"))</f>
        <v>#VALUE!</v>
      </c>
      <c r="BI135" s="172" t="str">
        <f>IFERROR(VLOOKUP(T_BilanSocial[[#This Row],[NumL]],T_TraitDi[#Data],COLUMN(T_TraitDi[[#This Row],[Vendredi]]),FALSE),"")</f>
        <v/>
      </c>
      <c r="BJ135" s="172" t="e">
        <f>IF(VLOOKUP(T_BilanSocial[[#This Row],[NumL]],T_TraitDi[#Data],COLUMN(T_TraitDi[[#This Row],[Colonne27]]),FALSE)=0,"",TEXT(IFERROR(VLOOKUP(T_BilanSocial[[#This Row],[NumL]],T_TraitDi[#Data],COLUMN(T_TraitDi[[#This Row],[Colonne27]]),FALSE),""),"[hh]:mm"))</f>
        <v>#VALUE!</v>
      </c>
      <c r="BK135" s="172" t="e">
        <f>IF(VLOOKUP(T_BilanSocial[[#This Row],[NumL]],T_TraitDi[#Data],COLUMN(T_TraitDi[[#This Row],[Colonne28]]),FALSE)=0,"",TEXT(IFERROR(VLOOKUP(T_BilanSocial[[#This Row],[NumL]],T_TraitDi[#Data],COLUMN(T_TraitDi[[#This Row],[Colonne28]]),FALSE),""),"[hh]:mm"))</f>
        <v>#VALUE!</v>
      </c>
      <c r="BL135" s="172" t="str">
        <f>IFERROR(VLOOKUP(T_BilanSocial[[#This Row],[NumL]],T_TraitDi[#Data],COLUMN(T_TraitDi[[#This Row],[Colonne29]]),FALSE),"")</f>
        <v/>
      </c>
      <c r="BM135" s="172" t="e">
        <f>IF(VLOOKUP(T_BilanSocial[[#This Row],[NumL]],T_TraitDi[#Data],COLUMN(T_TraitDi[[#This Row],[Colonne30]]),FALSE)=0,"",TEXT(IFERROR(VLOOKUP(T_BilanSocial[[#This Row],[NumL]],T_TraitDi[#Data],COLUMN(T_TraitDi[[#This Row],[Colonne30]]),FALSE),""),"[hh]:mm"))</f>
        <v>#VALUE!</v>
      </c>
      <c r="BN135" s="172" t="e">
        <f>IF(VLOOKUP(T_BilanSocial[[#This Row],[NumL]],T_TraitDi[#Data],COLUMN(T_TraitDi[[#This Row],[Colonne31]]),FALSE)=0,"",TEXT(IFERROR(VLOOKUP(T_BilanSocial[[#This Row],[NumL]],T_TraitDi[#Data],COLUMN(T_TraitDi[[#This Row],[Colonne31]]),FALSE),""),"[hh]:mm"))</f>
        <v>#VALUE!</v>
      </c>
      <c r="BO135" s="172" t="e">
        <f>IF(VLOOKUP(T_BilanSocial[[#This Row],[NumL]],T_TraitDi[#Data],COLUMN(T_TraitDi[[#This Row],[Colonne32]]),FALSE)=0,"",TEXT(IFERROR(VLOOKUP(T_BilanSocial[[#This Row],[NumL]],T_TraitDi[#Data],COLUMN(T_TraitDi[[#This Row],[Colonne32]]),FALSE),""),"[hh]:mm"))</f>
        <v>#VALUE!</v>
      </c>
      <c r="BP135" s="172" t="e">
        <f>VLOOKUP(T_BilanSocial[[#This Row],[NumL]],T_TraitDi[#Data],COLUMN(T_TraitDi[NbJTot]),FALSE)</f>
        <v>#N/A</v>
      </c>
      <c r="BQ135" s="174" t="str">
        <f>IFERROR(VLOOKUP(T_BilanSocial[[#This Row],[NumL]],T_TraitDi[#Data],COLUMN(T_TraitDi[[#This Row],[NbJTW]]),FALSE),"")</f>
        <v/>
      </c>
      <c r="BR135" s="174" t="e">
        <f>IF(VLOOKUP(T_BilanSocial[[#This Row],[NumL]],T_TraitDi[#Data],COLUMN(T_TraitDi[[#This Row],[NbhTW]]),FALSE)=0,"",TEXT(IFERROR(VLOOKUP(T_BilanSocial[[#This Row],[NumL]],T_TraitDi[#Data],COLUMN(T_TraitDi[[#This Row],[NbhTW]]),FALSE),""),"[hh]:mm"))</f>
        <v>#VALUE!</v>
      </c>
      <c r="BS135" s="174" t="e">
        <f>IF(VLOOKUP(T_BilanSocial[[#This Row],[NumL]],T_TraitDi[#Data],COLUMN(T_TraitDi[[#This Row],[Nbhheb]]),FALSE)=0,"",TEXT(IFERROR(VLOOKUP($A135,T_TraitDi[#Data],COLUMN(T_TraitDi[[#This Row],[Nbhheb]]),FALSE),""),"[hh]:mm"))</f>
        <v>#VALUE!</v>
      </c>
      <c r="BT135" s="182" t="str">
        <f>IFERROR(VLOOKUP(VLOOKUP($A135,T_TraitDi[#Data],COLUMN(T_TraitDi[[#This Row],[Type1]]),FALSE),TypeTW,2,FALSE),"")</f>
        <v/>
      </c>
      <c r="BU135" s="182" t="str">
        <f>IFERROR(VLOOKUP($A135,T_TraitDi[#Data],COLUMN(T_TraitDi[[#This Row],[Rue1]]),FALSE),"")</f>
        <v/>
      </c>
      <c r="BV135" s="173" t="str">
        <f>IFERROR(VLOOKUP($A135,T_TraitDi[#Data],COLUMN(T_TraitDi[[#This Row],[CP1]]),FALSE),"")</f>
        <v/>
      </c>
      <c r="BW135" s="173" t="str">
        <f>IFERROR(VLOOKUP($A135,T_TraitDi[#Data],COLUMN(T_TraitDi[[#This Row],[VILLE1]]),FALSE),"")</f>
        <v/>
      </c>
      <c r="BX135" s="182" t="str">
        <f>IFERROR(VLOOKUP(VLOOKUP($A135,T_TraitDi[#Data],COLUMN(T_TraitDi[[#This Row],[Type2]]),FALSE),TypeTW,2,FALSE),"")</f>
        <v/>
      </c>
      <c r="BY135" s="182" t="str">
        <f>IFERROR(VLOOKUP($A135,T_TraitDi[#Data],COLUMN(T_TraitDi[[#This Row],[Rue2]]),FALSE),"")</f>
        <v/>
      </c>
      <c r="BZ135" s="173" t="str">
        <f>IFERROR(VLOOKUP($A135,T_TraitDi[#Data],COLUMN(T_TraitDi[[#This Row],[CP2]]),FALSE),"")</f>
        <v/>
      </c>
      <c r="CA135" s="173" t="str">
        <f>IFERROR(VLOOKUP($A135,T_TraitDi[#Data],COLUMN(T_TraitDi[[#This Row],[VILLE2]]),FALSE),"")</f>
        <v/>
      </c>
      <c r="CB135" s="182" t="str">
        <f>IF(VLOOKUP(T_BilanSocial[[#This Row],[NumL]],T_Equipement[#Data],COLUMN(T_Equipement[[#This Row],[PC]]),FALSE)="","Aucun équipement spécifique directement lié au télétravail",VLOOKUP(T_BilanSocial[[#This Row],[NumL]],T_Equipement[#Data],COLUMN(T_Equipement[[#This Row],[PC]]),FALSE))</f>
        <v>14-054	 mac</v>
      </c>
      <c r="CC135" s="166" t="str">
        <f>IFERROR(IF(VLOOKUP(T_BilanSocial[[#This Row],[NumL]],T_TraitDi[#Data],COLUMN(T_TraitDi[[#This Row],[Plan]]),FALSE)="OK","Un planning spécifique de télétravail est annexé à la présente convention.",""),"")</f>
        <v/>
      </c>
      <c r="CD135" s="185"/>
      <c r="CE135" s="164" t="e">
        <f>IF(VLOOKUP(T_BilanSocial[[#This Row],[NumL]],T_suiviDi[#Data],COLUMN(T_suiviDi[[#This Row],[Entité]]),FALSE)="","",VLOOKUP(T_BilanSocial[[#This Row],[NumL]],T_suiviDi[#Data],COLUMN(T_suiviDi[[#This Row],[Entité]]),FALSE))</f>
        <v>#VALUE!</v>
      </c>
      <c r="CF135" s="164" t="str">
        <f>IF(VLOOKUP(T_BilanSocial[[#This Row],[NumL]],T_Commission[#Data],COLUMN(T_Commission[[#This Row],[envoi confirm TW]]),FALSE)="","",VLOOKUP(T_BilanSocial[[#This Row],[NumL]],T_Commission[#Data],COLUMN(T_Commission[[#This Row],[envoi confirm TW]]),FALSE))</f>
        <v>Oui</v>
      </c>
      <c r="CG13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5" s="262" t="str">
        <f>T_BilanSocial[[#This Row],[Nom]]&amp;T_BilanSocial[[#This Row],[Prenom]]</f>
        <v/>
      </c>
      <c r="CI135" s="262">
        <f>VLOOKUP(T_BilanSocial[[#This Row],[NumL]],T_Commission[#Data],COLUMN(T_Commission[Commentaire]),FALSE)</f>
        <v>0</v>
      </c>
      <c r="CJ135" s="262" t="str">
        <f>IF(VLOOKUP(T_BilanSocial[[#This Row],[NumL]],T_Commission[#Data],COLUMN(T_Commission[Encadrant Email]),FALSE)="","",VLOOKUP(T_BilanSocial[[#This Row],[NumL]],T_Commission[#Data],COLUMN(T_Commission[Encadrant Email]),FALSE))</f>
        <v/>
      </c>
      <c r="CK135" s="340" t="str">
        <f>IF(T_BilanSocial[[#This Row],[Final]]&lt;&gt;"",VLOOKUP(T_BilanSocial[[#This Row],[NumL]],T_suiviDi[#Data],COLUMN((T_suiviDi[Statut])),FALSE),"")</f>
        <v/>
      </c>
    </row>
    <row r="136" spans="1:89" s="106" customFormat="1" ht="24.75" customHeight="1" x14ac:dyDescent="0.25">
      <c r="A136" s="160">
        <v>133</v>
      </c>
      <c r="B136" s="161" t="str">
        <f t="shared" si="22"/>
        <v/>
      </c>
      <c r="C136" s="162" t="s">
        <v>173</v>
      </c>
      <c r="D136" s="95" t="e">
        <f>IF(VLOOKUP(T_BilanSocial[[#This Row],[NumL]],T_TraitDi[#Data],COLUMN(T_TraitDi[[#This Row],[WebC]]),FALSE)="","",VLOOKUP(T_BilanSocial[[#This Row],[NumL]],T_TraitDi[#Data],COLUMN(T_TraitDi[[#This Row],[WebC]]),FALSE))</f>
        <v>#VALUE!</v>
      </c>
      <c r="E136" s="163" t="str">
        <f t="shared" si="23"/>
        <v>12 janvier 2021</v>
      </c>
      <c r="F136" s="96" t="str">
        <f>IF(T_BilanSocial[[#This Row],[Final]]&lt;&gt;"",VLOOKUP(T_BilanSocial[[#This Row],[NumL]],T_suiviDi[#Data],COLUMN((T_suiviDi[Civ.])),FALSE),"")</f>
        <v/>
      </c>
      <c r="G136" s="96" t="str">
        <f>IF(T_BilanSocial[[#This Row],[Final]]&lt;&gt;"",VLOOKUP(T_BilanSocial[[#This Row],[NumL]],T_suiviDi[#Data],COLUMN((T_suiviDi[Nom])),FALSE),"")</f>
        <v/>
      </c>
      <c r="H136" s="96" t="str">
        <f>IF(T_BilanSocial[[#This Row],[Final]]&lt;&gt;"",VLOOKUP(T_BilanSocial[[#This Row],[NumL]],T_suiviDi[#Data],COLUMN((T_suiviDi[Prénom])),FALSE),"")</f>
        <v/>
      </c>
      <c r="I136" s="96" t="str">
        <f>IFERROR(VLOOKUP(T_BilanSocial[[#This Row],[Zone_Bilan]],T_P_BilanSocial[#Data],COLUMN(T_P_BilanSocial[[#This Row],[Numero_SIHAM]]),FALSE),"")</f>
        <v/>
      </c>
      <c r="J136" s="96" t="str">
        <f>IFERROR(VLOOKUP(T_BilanSocial[[#This Row],[Zone_Bilan]],T_P_BilanSocial[#Data],COLUMN(T_P_BilanSocial[[#This Row],[Sexe]]),FALSE),"")</f>
        <v/>
      </c>
      <c r="K136" s="97" t="str">
        <f>IFERROR(VLOOKUP(T_BilanSocial[[#This Row],[Zone_Bilan]],T_P_BilanSocial[#Data],COLUMN(T_P_BilanSocial[[#This Row],[Categorie]]),FALSE),"")</f>
        <v/>
      </c>
      <c r="L136" s="96" t="str">
        <f>IFERROR(VLOOKUP(T_BilanSocial[[#This Row],[Zone_Bilan]],T_P_BilanSocial[#Data],COLUMN(T_P_BilanSocial[[#This Row],[Statut]]),FALSE),"")</f>
        <v/>
      </c>
      <c r="M136" s="96" t="str">
        <f>IFERROR(VLOOKUP(T_BilanSocial[[#This Row],[Zone_Bilan]],T_P_BilanSocial[#Data],COLUMN(T_P_BilanSocial[[#This Row],[Filiere]]),FALSE),"")</f>
        <v/>
      </c>
      <c r="N136" s="96" t="e">
        <f>VLOOKUP(T_BilanSocial[[#This Row],[NumL]],T_TraitDi[#Data],COLUMN(T_TraitDi[EXP]),FALSE)</f>
        <v>#N/A</v>
      </c>
      <c r="O136" s="96" t="e">
        <f>VLOOKUP(T_BilanSocial[[#This Row],[NumL]],T_TraitDi[#Data],COLUMN(T_TraitDi[FORM]),FALSE)</f>
        <v>#N/A</v>
      </c>
      <c r="P136" s="96" t="str">
        <f>IF(T_BilanSocial[[#This Row],[Final]]&lt;&gt;"",VLOOKUP(T_BilanSocial[[#This Row],[NumL]],T_suiviDi[#Data],COLUMN((T_suiviDi[Email])),FALSE),"")</f>
        <v/>
      </c>
      <c r="Q136" s="164" t="e">
        <f t="shared" si="17"/>
        <v>#N/A</v>
      </c>
      <c r="R136" s="164" t="e">
        <f t="shared" si="18"/>
        <v>#N/A</v>
      </c>
      <c r="S136" s="164" t="e">
        <f>IF(VLOOKUP(T_BilanSocial[[#This Row],[NumL]],T_suiviDi[#Data],COLUMN(T_suiviDi[[#This Row],[Service ]]),FALSE)="","",VLOOKUP(T_BilanSocial[[#This Row],[NumL]],T_suiviDi[#Data],COLUMN(T_suiviDi[[#This Row],[Service ]]),FALSE))</f>
        <v>#VALUE!</v>
      </c>
      <c r="T136" s="164" t="str">
        <f t="shared" si="24"/>
        <v>01 septembre 2021</v>
      </c>
      <c r="U136" s="164" t="str">
        <f t="shared" si="25"/>
        <v>30 novembre 2021</v>
      </c>
      <c r="V136" s="164" t="str">
        <f>TEXT(Datebilan,"jj mmmm aaaa")</f>
        <v>30 novembre 2021</v>
      </c>
      <c r="W136" s="176" t="e">
        <f>IF(VLOOKUP(T_BilanSocial[[#This Row],[NumL]],T_TraitDi[#Data],COLUMN(T_TraitDi[[#This Row],[M1]]),FALSE)="","",VLOOKUP(T_BilanSocial[[#This Row],[NumL]],T_TraitDi[#Data],COLUMN(T_TraitDi[[#This Row],[M1]]),FALSE))</f>
        <v>#VALUE!</v>
      </c>
      <c r="X136" s="176" t="e">
        <f>IF(VLOOKUP(T_BilanSocial[[#This Row],[NumL]],T_TraitDi[#Data],COLUMN(T_TraitDi[[#This Row],[M2]]),FALSE)="","",VLOOKUP(T_BilanSocial[[#This Row],[NumL]],T_TraitDi[#Data],COLUMN(T_TraitDi[[#This Row],[M2]]),FALSE))</f>
        <v>#VALUE!</v>
      </c>
      <c r="Y136" s="176" t="e">
        <f>IF(VLOOKUP(T_BilanSocial[[#This Row],[NumL]],T_TraitDi[#Data],COLUMN(T_TraitDi[[#This Row],[M3]]),FALSE)="","",VLOOKUP(T_BilanSocial[[#This Row],[NumL]],T_TraitDi[#Data],COLUMN(T_TraitDi[[#This Row],[M3]]),FALSE))</f>
        <v>#VALUE!</v>
      </c>
      <c r="Z136" s="176" t="str">
        <f t="shared" si="27"/>
        <v/>
      </c>
      <c r="AA136" s="176" t="e">
        <f>IF(VLOOKUP(T_BilanSocial[[#This Row],[NumL]],T_TraitDi[#Data],COLUMN(T_TraitDi[[#This Row],[M5]]),FALSE)="","",VLOOKUP(T_BilanSocial[[#This Row],[NumL]],T_TraitDi[#Data],COLUMN(T_TraitDi[[#This Row],[M5]]),FALSE))</f>
        <v>#VALUE!</v>
      </c>
      <c r="AB136" s="176" t="e">
        <f>IF(VLOOKUP(T_BilanSocial[[#This Row],[NumL]],T_TraitDi[#Data],COLUMN(T_TraitDi[[#This Row],[M6]]),FALSE)="","",VLOOKUP(T_BilanSocial[[#This Row],[NumL]],T_TraitDi[#Data],COLUMN(T_TraitDi[[#This Row],[M6]]),FALSE))</f>
        <v>#VALUE!</v>
      </c>
      <c r="AC136" s="165" t="e">
        <f t="shared" si="26"/>
        <v>#VALUE!</v>
      </c>
      <c r="AD136" s="188" t="str">
        <f>IFERROR(TEXT(VLOOKUP(T_BilanSocial[[#This Row],[NumL]],T_TraitDi[#Data],COLUMN(T_TraitDi[[#This Row],[Q2]]),FALSE),"###%"),"")</f>
        <v/>
      </c>
      <c r="AE136" s="97" t="e">
        <f>VLOOKUP(T_BilanSocial[[#This Row],[NumL]],T_TraitDi[#Data],COLUMN(T_TraitDi[[#This Row],[Reg Ponct]]),FALSE)</f>
        <v>#VALUE!</v>
      </c>
      <c r="AF136" s="97" t="e">
        <f>VLOOKUP(T_BilanSocial[NumL],T_TraitDi[#Data],COLUMN(T_TraitDi[[#This Row],[Jours flottants]]),FALSE)</f>
        <v>#VALUE!</v>
      </c>
      <c r="AG136" s="97" t="str">
        <f>IFERROR(VLOOKUP(T_BilanSocial[[#This Row],[NumL]],T_TraitDi[#Data],COLUMN(T_TraitDi[[#This Row],[Lundi]]),FALSE),"")</f>
        <v/>
      </c>
      <c r="AH136" s="172" t="e">
        <f>IF(VLOOKUP(T_BilanSocial[[#This Row],[NumL]],T_TraitDi[#Data],COLUMN(T_TraitDi[[#This Row],[Colonne3]]),FALSE)=0,"",TEXT(IFERROR(VLOOKUP(T_BilanSocial[[#This Row],[NumL]],T_TraitDi[#Data],COLUMN(T_TraitDi[[#This Row],[Colonne3]]),FALSE),""),"[hh]:mm"))</f>
        <v>#VALUE!</v>
      </c>
      <c r="AI136" s="172" t="e">
        <f>IF(VLOOKUP(T_BilanSocial[[#This Row],[NumL]],T_TraitDi[#Data],COLUMN(T_TraitDi[[#This Row],[Colonne4]]),FALSE)=0,"",TEXT(IFERROR(VLOOKUP(T_BilanSocial[[#This Row],[NumL]],T_TraitDi[#Data],COLUMN(T_TraitDi[[#This Row],[Colonne4]]),FALSE),""),"[hh]:mm"))</f>
        <v>#VALUE!</v>
      </c>
      <c r="AJ136" s="172" t="e">
        <f>IF(VLOOKUP(T_BilanSocial[[#This Row],[NumL]],T_TraitDi[#Data],COLUMN(T_TraitDi[[#This Row],[Colonne5]]),FALSE)=0,"",TEXT(IFERROR(VLOOKUP(T_BilanSocial[[#This Row],[NumL]],T_TraitDi[#Data],COLUMN(T_TraitDi[[#This Row],[Colonne5]]),FALSE),""),"[hh]:mm"))</f>
        <v>#VALUE!</v>
      </c>
      <c r="AK136" s="172" t="e">
        <f>IF(VLOOKUP(T_BilanSocial[[#This Row],[NumL]],T_TraitDi[#Data],COLUMN(T_TraitDi[[#This Row],[Colonne6]]),FALSE)=0,"",TEXT(IFERROR(VLOOKUP(T_BilanSocial[[#This Row],[NumL]],T_TraitDi[#Data],COLUMN(T_TraitDi[[#This Row],[Colonne6]]),FALSE),""),"[hh]:mm"))</f>
        <v>#VALUE!</v>
      </c>
      <c r="AL136" s="172" t="e">
        <f>IF(VLOOKUP(T_BilanSocial[[#This Row],[NumL]],T_TraitDi[#Data],COLUMN(T_TraitDi[[#This Row],[Colonne7]]),FALSE)=0,"",TEXT(IFERROR(VLOOKUP(T_BilanSocial[[#This Row],[NumL]],T_TraitDi[#Data],COLUMN(T_TraitDi[[#This Row],[Colonne7]]),FALSE),""),"[hh]:mm"))</f>
        <v>#VALUE!</v>
      </c>
      <c r="AM136" s="172" t="e">
        <f>IF(VLOOKUP(T_BilanSocial[[#This Row],[NumL]],T_TraitDi[#Data],COLUMN(T_TraitDi[[#This Row],[Colonne8]]),FALSE)=0,"",TEXT(IFERROR(VLOOKUP(T_BilanSocial[[#This Row],[NumL]],T_TraitDi[#Data],COLUMN(T_TraitDi[[#This Row],[Colonne8]]),FALSE),""),"[hh]:mm"))</f>
        <v>#VALUE!</v>
      </c>
      <c r="AN136" s="172" t="str">
        <f>IFERROR(VLOOKUP(T_BilanSocial[[#This Row],[NumL]],T_TraitDi[#Data],COLUMN(T_TraitDi[[#This Row],[Mardi]]),FALSE),"")</f>
        <v/>
      </c>
      <c r="AO136" s="172" t="e">
        <f>IF(VLOOKUP(T_BilanSocial[[#This Row],[NumL]],T_TraitDi[#Data],COLUMN(T_TraitDi[[#This Row],[Colonne1]]),FALSE)=0,"",TEXT(IFERROR(VLOOKUP(T_BilanSocial[[#This Row],[NumL]],T_TraitDi[#Data],COLUMN(T_TraitDi[[#This Row],[Colonne1]]),FALSE),""),"[hh]:mm"))</f>
        <v>#VALUE!</v>
      </c>
      <c r="AP136" s="172" t="e">
        <f>IF(VLOOKUP(T_BilanSocial[[#This Row],[NumL]],T_TraitDi[#Data],COLUMN(T_TraitDi[[#This Row],[Colonne9]]),FALSE)=0,"",TEXT(IFERROR(VLOOKUP(T_BilanSocial[[#This Row],[NumL]],T_TraitDi[#Data],COLUMN(T_TraitDi[[#This Row],[Colonne9]]),FALSE),""),"[hh]:mm"))</f>
        <v>#VALUE!</v>
      </c>
      <c r="AQ136" s="172" t="str">
        <f>IFERROR(VLOOKUP(T_BilanSocial[[#This Row],[NumL]],T_TraitDi[#Data],COLUMN(T_TraitDi[[#This Row],[Colonne10]]),FALSE),"")</f>
        <v/>
      </c>
      <c r="AR136" s="172" t="e">
        <f>IF(VLOOKUP(T_BilanSocial[[#This Row],[NumL]],T_TraitDi[#Data],COLUMN(T_TraitDi[[#This Row],[Colonne11]]),FALSE)=0,"",TEXT(IFERROR(VLOOKUP(T_BilanSocial[[#This Row],[NumL]],T_TraitDi[#Data],COLUMN(T_TraitDi[[#This Row],[Colonne11]]),FALSE),""),"[hh]:mm"))</f>
        <v>#VALUE!</v>
      </c>
      <c r="AS136" s="172" t="e">
        <f>IF(VLOOKUP(T_BilanSocial[[#This Row],[NumL]],T_TraitDi[#Data],COLUMN(T_TraitDi[[#This Row],[Colonne12]]),FALSE)=0,"",TEXT(IFERROR(VLOOKUP(T_BilanSocial[[#This Row],[NumL]],T_TraitDi[#Data],COLUMN(T_TraitDi[[#This Row],[Colonne12]]),FALSE),""),"[hh]:mm"))</f>
        <v>#VALUE!</v>
      </c>
      <c r="AT136" s="172" t="e">
        <f>IF(VLOOKUP(T_BilanSocial[[#This Row],[NumL]],T_TraitDi[#Data],COLUMN(T_TraitDi[[#This Row],[Colonne14]]),FALSE)=0,"",TEXT(IFERROR(VLOOKUP(T_BilanSocial[[#This Row],[NumL]],T_TraitDi[#Data],COLUMN(T_TraitDi[[#This Row],[Colonne14]]),FALSE),""),"[hh]:mm"))</f>
        <v>#VALUE!</v>
      </c>
      <c r="AU136" s="172" t="str">
        <f>IFERROR(VLOOKUP(T_BilanSocial[[#This Row],[NumL]],T_TraitDi[#Data],COLUMN(T_TraitDi[[#This Row],[Mercredi]]),FALSE),"")</f>
        <v/>
      </c>
      <c r="AV136" s="172" t="e">
        <f>IF(VLOOKUP(T_BilanSocial[[#This Row],[NumL]],T_TraitDi[#Data],COLUMN(T_TraitDi[[#This Row],[Colonne15]]),FALSE)=0,"",TEXT(IFERROR(VLOOKUP(T_BilanSocial[[#This Row],[NumL]],T_TraitDi[#Data],COLUMN(T_TraitDi[[#This Row],[Colonne15]]),FALSE),""),"[hh]:mm"))</f>
        <v>#VALUE!</v>
      </c>
      <c r="AW136" s="172" t="e">
        <f>IF(VLOOKUP(T_BilanSocial[[#This Row],[NumL]],T_TraitDi[#Data],COLUMN(T_TraitDi[[#This Row],[Colonne16]]),FALSE)=0,"",TEXT(IFERROR(VLOOKUP(T_BilanSocial[[#This Row],[NumL]],T_TraitDi[#Data],COLUMN(T_TraitDi[[#This Row],[Colonne16]]),FALSE),""),"[hh]:mm"))</f>
        <v>#VALUE!</v>
      </c>
      <c r="AX136" s="172" t="str">
        <f>IFERROR(VLOOKUP(T_BilanSocial[[#This Row],[NumL]],T_TraitDi[#Data],COLUMN(T_TraitDi[[#This Row],[Colonne17]]),FALSE),"")</f>
        <v/>
      </c>
      <c r="AY136" s="172" t="e">
        <f>IF(VLOOKUP(T_BilanSocial[[#This Row],[NumL]],T_TraitDi[#Data],COLUMN(T_TraitDi[[#This Row],[Colonne18]]),FALSE)=0,"",TEXT(IFERROR(VLOOKUP(T_BilanSocial[[#This Row],[NumL]],T_TraitDi[#Data],COLUMN(T_TraitDi[[#This Row],[Colonne18]]),FALSE),""),"[hh]:mm"))</f>
        <v>#VALUE!</v>
      </c>
      <c r="AZ136" s="172" t="e">
        <f>IF(VLOOKUP(T_BilanSocial[[#This Row],[NumL]],T_TraitDi[#Data],COLUMN(T_TraitDi[[#This Row],[Colonne19]]),FALSE)=0,"",TEXT(IFERROR(VLOOKUP(T_BilanSocial[[#This Row],[NumL]],T_TraitDi[#Data],COLUMN(T_TraitDi[[#This Row],[Colonne19]]),FALSE),""),"[hh]:mm"))</f>
        <v>#VALUE!</v>
      </c>
      <c r="BA136" s="172" t="e">
        <f>IF(VLOOKUP(T_BilanSocial[[#This Row],[NumL]],T_TraitDi[#Data],COLUMN(T_TraitDi[[#This Row],[Colonne20]]),FALSE)=0,"",TEXT(IFERROR(VLOOKUP(T_BilanSocial[[#This Row],[NumL]],T_TraitDi[#Data],COLUMN(T_TraitDi[[#This Row],[Colonne20]]),FALSE),""),"[hh]:mm"))</f>
        <v>#VALUE!</v>
      </c>
      <c r="BB136" s="178" t="str">
        <f>IFERROR(VLOOKUP(T_BilanSocial[[#This Row],[NumL]],T_TraitDi[#Data],COLUMN(T_TraitDi[[#This Row],[Jeudi]]),FALSE),"")</f>
        <v/>
      </c>
      <c r="BC136" s="178" t="e">
        <f>IF(VLOOKUP(T_BilanSocial[[#This Row],[NumL]],T_TraitDi[#Data],COLUMN(T_TraitDi[[#This Row],[Colonne21]]),FALSE)=0,"",TEXT(IFERROR(VLOOKUP(T_BilanSocial[[#This Row],[NumL]],T_TraitDi[#Data],COLUMN(T_TraitDi[[#This Row],[Colonne21]]),FALSE),""),"[hh]:mm"))</f>
        <v>#VALUE!</v>
      </c>
      <c r="BD136" s="178" t="e">
        <f>IF(VLOOKUP(T_BilanSocial[[#This Row],[NumL]],T_TraitDi[#Data],COLUMN(T_TraitDi[[#This Row],[Colonne22]]),FALSE)=0,"",TEXT(IFERROR(VLOOKUP(T_BilanSocial[[#This Row],[NumL]],T_TraitDi[#Data],COLUMN(T_TraitDi[[#This Row],[Colonne22]]),FALSE),""),"[hh]:mm"))</f>
        <v>#VALUE!</v>
      </c>
      <c r="BE136" s="178" t="str">
        <f>IFERROR(VLOOKUP(T_BilanSocial[[#This Row],[NumL]],T_TraitDi[#Data],COLUMN(T_TraitDi[[#This Row],[Colonne23]]),FALSE),"")</f>
        <v/>
      </c>
      <c r="BF136" s="178" t="e">
        <f>IF(VLOOKUP(T_BilanSocial[[#This Row],[NumL]],T_TraitDi[#Data],COLUMN(T_TraitDi[[#This Row],[Colonne24]]),FALSE)=0,"",TEXT(IFERROR(VLOOKUP(T_BilanSocial[[#This Row],[NumL]],T_TraitDi[#Data],COLUMN(T_TraitDi[[#This Row],[Colonne24]]),FALSE),""),"[hh]:mm"))</f>
        <v>#VALUE!</v>
      </c>
      <c r="BG136" s="178" t="e">
        <f>IF(VLOOKUP(T_BilanSocial[[#This Row],[NumL]],T_TraitDi[#Data],COLUMN(T_TraitDi[[#This Row],[Colonne25]]),FALSE)=0,"",TEXT(IFERROR(VLOOKUP(T_BilanSocial[[#This Row],[NumL]],T_TraitDi[#Data],COLUMN(T_TraitDi[[#This Row],[Colonne25]]),FALSE),""),"[hh]:mm"))</f>
        <v>#VALUE!</v>
      </c>
      <c r="BH136" s="178" t="e">
        <f>IF(VLOOKUP(T_BilanSocial[[#This Row],[NumL]],T_TraitDi[#Data],COLUMN(T_TraitDi[[#This Row],[Colonne26]]),FALSE)=0,"",TEXT(IFERROR(VLOOKUP(T_BilanSocial[[#This Row],[NumL]],T_TraitDi[#Data],COLUMN(T_TraitDi[[#This Row],[Colonne26]]),FALSE),""),"[hh]:mm"))</f>
        <v>#VALUE!</v>
      </c>
      <c r="BI136" s="172" t="str">
        <f>IFERROR(VLOOKUP(T_BilanSocial[[#This Row],[NumL]],T_TraitDi[#Data],COLUMN(T_TraitDi[[#This Row],[Vendredi]]),FALSE),"")</f>
        <v/>
      </c>
      <c r="BJ136" s="172" t="e">
        <f>IF(VLOOKUP(T_BilanSocial[[#This Row],[NumL]],T_TraitDi[#Data],COLUMN(T_TraitDi[[#This Row],[Colonne27]]),FALSE)=0,"",TEXT(IFERROR(VLOOKUP(T_BilanSocial[[#This Row],[NumL]],T_TraitDi[#Data],COLUMN(T_TraitDi[[#This Row],[Colonne27]]),FALSE),""),"[hh]:mm"))</f>
        <v>#VALUE!</v>
      </c>
      <c r="BK136" s="172" t="e">
        <f>IF(VLOOKUP(T_BilanSocial[[#This Row],[NumL]],T_TraitDi[#Data],COLUMN(T_TraitDi[[#This Row],[Colonne28]]),FALSE)=0,"",TEXT(IFERROR(VLOOKUP(T_BilanSocial[[#This Row],[NumL]],T_TraitDi[#Data],COLUMN(T_TraitDi[[#This Row],[Colonne28]]),FALSE),""),"[hh]:mm"))</f>
        <v>#VALUE!</v>
      </c>
      <c r="BL136" s="172" t="str">
        <f>IFERROR(VLOOKUP(T_BilanSocial[[#This Row],[NumL]],T_TraitDi[#Data],COLUMN(T_TraitDi[[#This Row],[Colonne29]]),FALSE),"")</f>
        <v/>
      </c>
      <c r="BM136" s="172" t="e">
        <f>IF(VLOOKUP(T_BilanSocial[[#This Row],[NumL]],T_TraitDi[#Data],COLUMN(T_TraitDi[[#This Row],[Colonne30]]),FALSE)=0,"",TEXT(IFERROR(VLOOKUP(T_BilanSocial[[#This Row],[NumL]],T_TraitDi[#Data],COLUMN(T_TraitDi[[#This Row],[Colonne30]]),FALSE),""),"[hh]:mm"))</f>
        <v>#VALUE!</v>
      </c>
      <c r="BN136" s="172" t="e">
        <f>IF(VLOOKUP(T_BilanSocial[[#This Row],[NumL]],T_TraitDi[#Data],COLUMN(T_TraitDi[[#This Row],[Colonne31]]),FALSE)=0,"",TEXT(IFERROR(VLOOKUP(T_BilanSocial[[#This Row],[NumL]],T_TraitDi[#Data],COLUMN(T_TraitDi[[#This Row],[Colonne31]]),FALSE),""),"[hh]:mm"))</f>
        <v>#VALUE!</v>
      </c>
      <c r="BO136" s="172" t="e">
        <f>IF(VLOOKUP(T_BilanSocial[[#This Row],[NumL]],T_TraitDi[#Data],COLUMN(T_TraitDi[[#This Row],[Colonne32]]),FALSE)=0,"",TEXT(IFERROR(VLOOKUP(T_BilanSocial[[#This Row],[NumL]],T_TraitDi[#Data],COLUMN(T_TraitDi[[#This Row],[Colonne32]]),FALSE),""),"[hh]:mm"))</f>
        <v>#VALUE!</v>
      </c>
      <c r="BP136" s="172" t="e">
        <f>VLOOKUP(T_BilanSocial[[#This Row],[NumL]],T_TraitDi[#Data],COLUMN(T_TraitDi[NbJTot]),FALSE)</f>
        <v>#N/A</v>
      </c>
      <c r="BQ136" s="174" t="str">
        <f>IFERROR(VLOOKUP(T_BilanSocial[[#This Row],[NumL]],T_TraitDi[#Data],COLUMN(T_TraitDi[[#This Row],[NbJTW]]),FALSE),"")</f>
        <v/>
      </c>
      <c r="BR136" s="174" t="e">
        <f>IF(VLOOKUP(T_BilanSocial[[#This Row],[NumL]],T_TraitDi[#Data],COLUMN(T_TraitDi[[#This Row],[NbhTW]]),FALSE)=0,"",TEXT(IFERROR(VLOOKUP(T_BilanSocial[[#This Row],[NumL]],T_TraitDi[#Data],COLUMN(T_TraitDi[[#This Row],[NbhTW]]),FALSE),""),"[hh]:mm"))</f>
        <v>#VALUE!</v>
      </c>
      <c r="BS136" s="174" t="e">
        <f>IF(VLOOKUP(T_BilanSocial[[#This Row],[NumL]],T_TraitDi[#Data],COLUMN(T_TraitDi[[#This Row],[Nbhheb]]),FALSE)=0,"",TEXT(IFERROR(VLOOKUP($A136,T_TraitDi[#Data],COLUMN(T_TraitDi[[#This Row],[Nbhheb]]),FALSE),""),"[hh]:mm"))</f>
        <v>#VALUE!</v>
      </c>
      <c r="BT136" s="182" t="str">
        <f>IFERROR(VLOOKUP(VLOOKUP($A136,T_TraitDi[#Data],COLUMN(T_TraitDi[[#This Row],[Type1]]),FALSE),TypeTW,2,FALSE),"")</f>
        <v/>
      </c>
      <c r="BU136" s="182" t="str">
        <f>IFERROR(VLOOKUP($A136,T_TraitDi[#Data],COLUMN(T_TraitDi[[#This Row],[Rue1]]),FALSE),"")</f>
        <v/>
      </c>
      <c r="BV136" s="173" t="str">
        <f>IFERROR(VLOOKUP($A136,T_TraitDi[#Data],COLUMN(T_TraitDi[[#This Row],[CP1]]),FALSE),"")</f>
        <v/>
      </c>
      <c r="BW136" s="173" t="str">
        <f>IFERROR(VLOOKUP($A136,T_TraitDi[#Data],COLUMN(T_TraitDi[[#This Row],[VILLE1]]),FALSE),"")</f>
        <v/>
      </c>
      <c r="BX136" s="182" t="str">
        <f>IFERROR(VLOOKUP(VLOOKUP($A136,T_TraitDi[#Data],COLUMN(T_TraitDi[[#This Row],[Type2]]),FALSE),TypeTW,2,FALSE),"")</f>
        <v/>
      </c>
      <c r="BY136" s="182" t="str">
        <f>IFERROR(VLOOKUP($A136,T_TraitDi[#Data],COLUMN(T_TraitDi[[#This Row],[Rue2]]),FALSE),"")</f>
        <v/>
      </c>
      <c r="BZ136" s="173" t="str">
        <f>IFERROR(VLOOKUP($A136,T_TraitDi[#Data],COLUMN(T_TraitDi[[#This Row],[CP2]]),FALSE),"")</f>
        <v/>
      </c>
      <c r="CA136" s="173" t="str">
        <f>IFERROR(VLOOKUP($A136,T_TraitDi[#Data],COLUMN(T_TraitDi[[#This Row],[VILLE2]]),FALSE),"")</f>
        <v/>
      </c>
      <c r="CB136" s="182" t="str">
        <f>IF(VLOOKUP(T_BilanSocial[[#This Row],[NumL]],T_Equipement[#Data],COLUMN(T_Equipement[[#This Row],[PC]]),FALSE)="","Aucun équipement spécifique directement lié au télétravail",VLOOKUP(T_BilanSocial[[#This Row],[NumL]],T_Equipement[#Data],COLUMN(T_Equipement[[#This Row],[PC]]),FALSE))</f>
        <v xml:space="preserve">19-583	</v>
      </c>
      <c r="CC136" s="166" t="str">
        <f>IFERROR(IF(VLOOKUP(T_BilanSocial[[#This Row],[NumL]],T_TraitDi[#Data],COLUMN(T_TraitDi[[#This Row],[Plan]]),FALSE)="OK","Un planning spécifique de télétravail est annexé à la présente convention.",""),"")</f>
        <v/>
      </c>
      <c r="CD136" s="258" t="s">
        <v>3303</v>
      </c>
      <c r="CE136" s="164" t="e">
        <f>IF(VLOOKUP(T_BilanSocial[[#This Row],[NumL]],T_suiviDi[#Data],COLUMN(T_suiviDi[[#This Row],[Entité]]),FALSE)="","",VLOOKUP(T_BilanSocial[[#This Row],[NumL]],T_suiviDi[#Data],COLUMN(T_suiviDi[[#This Row],[Entité]]),FALSE))</f>
        <v>#VALUE!</v>
      </c>
      <c r="CF136" s="164" t="str">
        <f>IF(VLOOKUP(T_BilanSocial[[#This Row],[NumL]],T_Commission[#Data],COLUMN(T_Commission[[#This Row],[envoi confirm TW]]),FALSE)="","",VLOOKUP(T_BilanSocial[[#This Row],[NumL]],T_Commission[#Data],COLUMN(T_Commission[[#This Row],[envoi confirm TW]]),FALSE))</f>
        <v>Oui</v>
      </c>
      <c r="CG13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6" s="262" t="str">
        <f>T_BilanSocial[[#This Row],[Nom]]&amp;T_BilanSocial[[#This Row],[Prenom]]</f>
        <v/>
      </c>
      <c r="CI136" s="262">
        <f>VLOOKUP(T_BilanSocial[[#This Row],[NumL]],T_Commission[#Data],COLUMN(T_Commission[Commentaire]),FALSE)</f>
        <v>0</v>
      </c>
      <c r="CJ136" s="262" t="str">
        <f>IF(VLOOKUP(T_BilanSocial[[#This Row],[NumL]],T_Commission[#Data],COLUMN(T_Commission[Encadrant Email]),FALSE)="","",VLOOKUP(T_BilanSocial[[#This Row],[NumL]],T_Commission[#Data],COLUMN(T_Commission[Encadrant Email]),FALSE))</f>
        <v/>
      </c>
      <c r="CK136" s="340" t="str">
        <f>IF(T_BilanSocial[[#This Row],[Final]]&lt;&gt;"",VLOOKUP(T_BilanSocial[[#This Row],[NumL]],T_suiviDi[#Data],COLUMN((T_suiviDi[Statut])),FALSE),"")</f>
        <v/>
      </c>
    </row>
    <row r="137" spans="1:89" s="106" customFormat="1" ht="24.75" customHeight="1" x14ac:dyDescent="0.25">
      <c r="A137" s="160">
        <v>134</v>
      </c>
      <c r="B137" s="161">
        <f t="shared" si="22"/>
        <v>1</v>
      </c>
      <c r="C137" s="162" t="s">
        <v>173</v>
      </c>
      <c r="D137" s="95" t="e">
        <f>IF(VLOOKUP(T_BilanSocial[[#This Row],[NumL]],T_TraitDi[#Data],COLUMN(T_TraitDi[[#This Row],[WebC]]),FALSE)="","",VLOOKUP(T_BilanSocial[[#This Row],[NumL]],T_TraitDi[#Data],COLUMN(T_TraitDi[[#This Row],[WebC]]),FALSE))</f>
        <v>#VALUE!</v>
      </c>
      <c r="E137" s="163" t="str">
        <f t="shared" si="23"/>
        <v>12 janvier 2021</v>
      </c>
      <c r="F137" s="96" t="str">
        <f>IF(T_BilanSocial[[#This Row],[Final]]&lt;&gt;"",VLOOKUP(T_BilanSocial[[#This Row],[NumL]],T_suiviDi[#Data],COLUMN((T_suiviDi[Civ.])),FALSE),"")</f>
        <v>Mme</v>
      </c>
      <c r="G137" s="96" t="str">
        <f>IF(T_BilanSocial[[#This Row],[Final]]&lt;&gt;"",VLOOKUP(T_BilanSocial[[#This Row],[NumL]],T_suiviDi[#Data],COLUMN((T_suiviDi[Nom])),FALSE),"")</f>
        <v>A</v>
      </c>
      <c r="H137" s="96" t="str">
        <f>IF(T_BilanSocial[[#This Row],[Final]]&lt;&gt;"",VLOOKUP(T_BilanSocial[[#This Row],[NumL]],T_suiviDi[#Data],COLUMN((T_suiviDi[Prénom])),FALSE),"")</f>
        <v>Laetitia</v>
      </c>
      <c r="I137" s="96" t="str">
        <f>IFERROR(VLOOKUP(T_BilanSocial[[#This Row],[Zone_Bilan]],T_P_BilanSocial[#Data],COLUMN(T_P_BilanSocial[[#This Row],[Numero_SIHAM]]),FALSE),"")</f>
        <v/>
      </c>
      <c r="J137" s="96" t="str">
        <f>IFERROR(VLOOKUP(T_BilanSocial[[#This Row],[Zone_Bilan]],T_P_BilanSocial[#Data],COLUMN(T_P_BilanSocial[[#This Row],[Sexe]]),FALSE),"")</f>
        <v/>
      </c>
      <c r="K137" s="97" t="str">
        <f>IFERROR(VLOOKUP(T_BilanSocial[[#This Row],[Zone_Bilan]],T_P_BilanSocial[#Data],COLUMN(T_P_BilanSocial[[#This Row],[Categorie]]),FALSE),"")</f>
        <v/>
      </c>
      <c r="L137" s="96" t="str">
        <f>IFERROR(VLOOKUP(T_BilanSocial[[#This Row],[Zone_Bilan]],T_P_BilanSocial[#Data],COLUMN(T_P_BilanSocial[[#This Row],[Statut]]),FALSE),"")</f>
        <v/>
      </c>
      <c r="M137" s="96" t="str">
        <f>IFERROR(VLOOKUP(T_BilanSocial[[#This Row],[Zone_Bilan]],T_P_BilanSocial[#Data],COLUMN(T_P_BilanSocial[[#This Row],[Filiere]]),FALSE),"")</f>
        <v/>
      </c>
      <c r="N137" s="96" t="str">
        <f>VLOOKUP(T_BilanSocial[[#This Row],[NumL]],T_TraitDi[#Data],COLUMN(T_TraitDi[EXP]),FALSE)</f>
        <v>N</v>
      </c>
      <c r="O137" s="96" t="str">
        <f>VLOOKUP(T_BilanSocial[[#This Row],[NumL]],T_TraitDi[#Data],COLUMN(T_TraitDi[FORM]),FALSE)</f>
        <v>N</v>
      </c>
      <c r="P137" s="96">
        <f>IF(T_BilanSocial[[#This Row],[Final]]&lt;&gt;"",VLOOKUP(T_BilanSocial[[#This Row],[NumL]],T_suiviDi[#Data],COLUMN((T_suiviDi[Email])),FALSE),"")</f>
        <v>0</v>
      </c>
      <c r="Q137" s="164" t="str">
        <f t="shared" si="17"/>
        <v/>
      </c>
      <c r="R137" s="164" t="str">
        <f t="shared" si="18"/>
        <v>Coordinatrice zone amerique du nord océanie afrique du sud</v>
      </c>
      <c r="S137" s="164" t="e">
        <f>IF(VLOOKUP(T_BilanSocial[[#This Row],[NumL]],T_suiviDi[#Data],COLUMN(T_suiviDi[[#This Row],[Service ]]),FALSE)="","",VLOOKUP(T_BilanSocial[[#This Row],[NumL]],T_suiviDi[#Data],COLUMN(T_suiviDi[[#This Row],[Service ]]),FALSE))</f>
        <v>#VALUE!</v>
      </c>
      <c r="T137" s="164" t="str">
        <f t="shared" si="24"/>
        <v>01 septembre 2021</v>
      </c>
      <c r="U137" s="164" t="str">
        <f t="shared" si="25"/>
        <v>30 novembre 2021</v>
      </c>
      <c r="V137" s="164" t="str">
        <f>TEXT(Datebilan,"jj mmmm aaaa")</f>
        <v>30 novembre 2021</v>
      </c>
      <c r="W137" s="176" t="e">
        <f>IF(VLOOKUP(T_BilanSocial[[#This Row],[NumL]],T_TraitDi[#Data],COLUMN(T_TraitDi[[#This Row],[M1]]),FALSE)="","",VLOOKUP(T_BilanSocial[[#This Row],[NumL]],T_TraitDi[#Data],COLUMN(T_TraitDi[[#This Row],[M1]]),FALSE))</f>
        <v>#VALUE!</v>
      </c>
      <c r="X137" s="176" t="e">
        <f>IF(VLOOKUP(T_BilanSocial[[#This Row],[NumL]],T_TraitDi[#Data],COLUMN(T_TraitDi[[#This Row],[M2]]),FALSE)="","",VLOOKUP(T_BilanSocial[[#This Row],[NumL]],T_TraitDi[#Data],COLUMN(T_TraitDi[[#This Row],[M2]]),FALSE))</f>
        <v>#VALUE!</v>
      </c>
      <c r="Y137" s="176" t="e">
        <f>IF(VLOOKUP(T_BilanSocial[[#This Row],[NumL]],T_TraitDi[#Data],COLUMN(T_TraitDi[[#This Row],[M3]]),FALSE)="","",VLOOKUP(T_BilanSocial[[#This Row],[NumL]],T_TraitDi[#Data],COLUMN(T_TraitDi[[#This Row],[M3]]),FALSE))</f>
        <v>#VALUE!</v>
      </c>
      <c r="Z137" s="176" t="str">
        <f t="shared" si="27"/>
        <v/>
      </c>
      <c r="AA137" s="176" t="e">
        <f>IF(VLOOKUP(T_BilanSocial[[#This Row],[NumL]],T_TraitDi[#Data],COLUMN(T_TraitDi[[#This Row],[M5]]),FALSE)="","",VLOOKUP(T_BilanSocial[[#This Row],[NumL]],T_TraitDi[#Data],COLUMN(T_TraitDi[[#This Row],[M5]]),FALSE))</f>
        <v>#VALUE!</v>
      </c>
      <c r="AB137" s="176" t="e">
        <f>IF(VLOOKUP(T_BilanSocial[[#This Row],[NumL]],T_TraitDi[#Data],COLUMN(T_TraitDi[[#This Row],[M6]]),FALSE)="","",VLOOKUP(T_BilanSocial[[#This Row],[NumL]],T_TraitDi[#Data],COLUMN(T_TraitDi[[#This Row],[M6]]),FALSE))</f>
        <v>#VALUE!</v>
      </c>
      <c r="AC137" s="165" t="e">
        <f t="shared" si="26"/>
        <v>#VALUE!</v>
      </c>
      <c r="AD137" s="188" t="str">
        <f>IFERROR(TEXT(VLOOKUP(T_BilanSocial[[#This Row],[NumL]],T_TraitDi[#Data],COLUMN(T_TraitDi[[#This Row],[Q2]]),FALSE),"###%"),"")</f>
        <v/>
      </c>
      <c r="AE137" s="97" t="e">
        <f>VLOOKUP(T_BilanSocial[[#This Row],[NumL]],T_TraitDi[#Data],COLUMN(T_TraitDi[[#This Row],[Reg Ponct]]),FALSE)</f>
        <v>#VALUE!</v>
      </c>
      <c r="AF137" s="97" t="e">
        <f>VLOOKUP(T_BilanSocial[NumL],T_TraitDi[#Data],COLUMN(T_TraitDi[[#This Row],[Jours flottants]]),FALSE)</f>
        <v>#VALUE!</v>
      </c>
      <c r="AG137" s="97" t="str">
        <f>IFERROR(VLOOKUP(T_BilanSocial[[#This Row],[NumL]],T_TraitDi[#Data],COLUMN(T_TraitDi[[#This Row],[Lundi]]),FALSE),"")</f>
        <v/>
      </c>
      <c r="AH137" s="172" t="e">
        <f>IF(VLOOKUP(T_BilanSocial[[#This Row],[NumL]],T_TraitDi[#Data],COLUMN(T_TraitDi[[#This Row],[Colonne3]]),FALSE)=0,"",TEXT(IFERROR(VLOOKUP(T_BilanSocial[[#This Row],[NumL]],T_TraitDi[#Data],COLUMN(T_TraitDi[[#This Row],[Colonne3]]),FALSE),""),"[hh]:mm"))</f>
        <v>#VALUE!</v>
      </c>
      <c r="AI137" s="172" t="e">
        <f>IF(VLOOKUP(T_BilanSocial[[#This Row],[NumL]],T_TraitDi[#Data],COLUMN(T_TraitDi[[#This Row],[Colonne4]]),FALSE)=0,"",TEXT(IFERROR(VLOOKUP(T_BilanSocial[[#This Row],[NumL]],T_TraitDi[#Data],COLUMN(T_TraitDi[[#This Row],[Colonne4]]),FALSE),""),"[hh]:mm"))</f>
        <v>#VALUE!</v>
      </c>
      <c r="AJ137" s="172" t="e">
        <f>IF(VLOOKUP(T_BilanSocial[[#This Row],[NumL]],T_TraitDi[#Data],COLUMN(T_TraitDi[[#This Row],[Colonne5]]),FALSE)=0,"",TEXT(IFERROR(VLOOKUP(T_BilanSocial[[#This Row],[NumL]],T_TraitDi[#Data],COLUMN(T_TraitDi[[#This Row],[Colonne5]]),FALSE),""),"[hh]:mm"))</f>
        <v>#VALUE!</v>
      </c>
      <c r="AK137" s="172" t="e">
        <f>IF(VLOOKUP(T_BilanSocial[[#This Row],[NumL]],T_TraitDi[#Data],COLUMN(T_TraitDi[[#This Row],[Colonne6]]),FALSE)=0,"",TEXT(IFERROR(VLOOKUP(T_BilanSocial[[#This Row],[NumL]],T_TraitDi[#Data],COLUMN(T_TraitDi[[#This Row],[Colonne6]]),FALSE),""),"[hh]:mm"))</f>
        <v>#VALUE!</v>
      </c>
      <c r="AL137" s="172" t="e">
        <f>IF(VLOOKUP(T_BilanSocial[[#This Row],[NumL]],T_TraitDi[#Data],COLUMN(T_TraitDi[[#This Row],[Colonne7]]),FALSE)=0,"",TEXT(IFERROR(VLOOKUP(T_BilanSocial[[#This Row],[NumL]],T_TraitDi[#Data],COLUMN(T_TraitDi[[#This Row],[Colonne7]]),FALSE),""),"[hh]:mm"))</f>
        <v>#VALUE!</v>
      </c>
      <c r="AM137" s="172" t="e">
        <f>IF(VLOOKUP(T_BilanSocial[[#This Row],[NumL]],T_TraitDi[#Data],COLUMN(T_TraitDi[[#This Row],[Colonne8]]),FALSE)=0,"",TEXT(IFERROR(VLOOKUP(T_BilanSocial[[#This Row],[NumL]],T_TraitDi[#Data],COLUMN(T_TraitDi[[#This Row],[Colonne8]]),FALSE),""),"[hh]:mm"))</f>
        <v>#VALUE!</v>
      </c>
      <c r="AN137" s="172" t="str">
        <f>IFERROR(VLOOKUP(T_BilanSocial[[#This Row],[NumL]],T_TraitDi[#Data],COLUMN(T_TraitDi[[#This Row],[Mardi]]),FALSE),"")</f>
        <v/>
      </c>
      <c r="AO137" s="172" t="e">
        <f>IF(VLOOKUP(T_BilanSocial[[#This Row],[NumL]],T_TraitDi[#Data],COLUMN(T_TraitDi[[#This Row],[Colonne1]]),FALSE)=0,"",TEXT(IFERROR(VLOOKUP(T_BilanSocial[[#This Row],[NumL]],T_TraitDi[#Data],COLUMN(T_TraitDi[[#This Row],[Colonne1]]),FALSE),""),"[hh]:mm"))</f>
        <v>#VALUE!</v>
      </c>
      <c r="AP137" s="172" t="e">
        <f>IF(VLOOKUP(T_BilanSocial[[#This Row],[NumL]],T_TraitDi[#Data],COLUMN(T_TraitDi[[#This Row],[Colonne9]]),FALSE)=0,"",TEXT(IFERROR(VLOOKUP(T_BilanSocial[[#This Row],[NumL]],T_TraitDi[#Data],COLUMN(T_TraitDi[[#This Row],[Colonne9]]),FALSE),""),"[hh]:mm"))</f>
        <v>#VALUE!</v>
      </c>
      <c r="AQ137" s="172" t="str">
        <f>IFERROR(VLOOKUP(T_BilanSocial[[#This Row],[NumL]],T_TraitDi[#Data],COLUMN(T_TraitDi[[#This Row],[Colonne10]]),FALSE),"")</f>
        <v/>
      </c>
      <c r="AR137" s="172" t="e">
        <f>IF(VLOOKUP(T_BilanSocial[[#This Row],[NumL]],T_TraitDi[#Data],COLUMN(T_TraitDi[[#This Row],[Colonne11]]),FALSE)=0,"",TEXT(IFERROR(VLOOKUP(T_BilanSocial[[#This Row],[NumL]],T_TraitDi[#Data],COLUMN(T_TraitDi[[#This Row],[Colonne11]]),FALSE),""),"[hh]:mm"))</f>
        <v>#VALUE!</v>
      </c>
      <c r="AS137" s="172" t="e">
        <f>IF(VLOOKUP(T_BilanSocial[[#This Row],[NumL]],T_TraitDi[#Data],COLUMN(T_TraitDi[[#This Row],[Colonne12]]),FALSE)=0,"",TEXT(IFERROR(VLOOKUP(T_BilanSocial[[#This Row],[NumL]],T_TraitDi[#Data],COLUMN(T_TraitDi[[#This Row],[Colonne12]]),FALSE),""),"[hh]:mm"))</f>
        <v>#VALUE!</v>
      </c>
      <c r="AT137" s="172" t="e">
        <f>IF(VLOOKUP(T_BilanSocial[[#This Row],[NumL]],T_TraitDi[#Data],COLUMN(T_TraitDi[[#This Row],[Colonne14]]),FALSE)=0,"",TEXT(IFERROR(VLOOKUP(T_BilanSocial[[#This Row],[NumL]],T_TraitDi[#Data],COLUMN(T_TraitDi[[#This Row],[Colonne14]]),FALSE),""),"[hh]:mm"))</f>
        <v>#VALUE!</v>
      </c>
      <c r="AU137" s="172" t="str">
        <f>IFERROR(VLOOKUP(T_BilanSocial[[#This Row],[NumL]],T_TraitDi[#Data],COLUMN(T_TraitDi[[#This Row],[Mercredi]]),FALSE),"")</f>
        <v/>
      </c>
      <c r="AV137" s="172" t="e">
        <f>IF(VLOOKUP(T_BilanSocial[[#This Row],[NumL]],T_TraitDi[#Data],COLUMN(T_TraitDi[[#This Row],[Colonne15]]),FALSE)=0,"",TEXT(IFERROR(VLOOKUP(T_BilanSocial[[#This Row],[NumL]],T_TraitDi[#Data],COLUMN(T_TraitDi[[#This Row],[Colonne15]]),FALSE),""),"[hh]:mm"))</f>
        <v>#VALUE!</v>
      </c>
      <c r="AW137" s="172" t="e">
        <f>IF(VLOOKUP(T_BilanSocial[[#This Row],[NumL]],T_TraitDi[#Data],COLUMN(T_TraitDi[[#This Row],[Colonne16]]),FALSE)=0,"",TEXT(IFERROR(VLOOKUP(T_BilanSocial[[#This Row],[NumL]],T_TraitDi[#Data],COLUMN(T_TraitDi[[#This Row],[Colonne16]]),FALSE),""),"[hh]:mm"))</f>
        <v>#VALUE!</v>
      </c>
      <c r="AX137" s="172" t="str">
        <f>IFERROR(VLOOKUP(T_BilanSocial[[#This Row],[NumL]],T_TraitDi[#Data],COLUMN(T_TraitDi[[#This Row],[Colonne17]]),FALSE),"")</f>
        <v/>
      </c>
      <c r="AY137" s="172" t="e">
        <f>IF(VLOOKUP(T_BilanSocial[[#This Row],[NumL]],T_TraitDi[#Data],COLUMN(T_TraitDi[[#This Row],[Colonne18]]),FALSE)=0,"",TEXT(IFERROR(VLOOKUP(T_BilanSocial[[#This Row],[NumL]],T_TraitDi[#Data],COLUMN(T_TraitDi[[#This Row],[Colonne18]]),FALSE),""),"[hh]:mm"))</f>
        <v>#VALUE!</v>
      </c>
      <c r="AZ137" s="172" t="e">
        <f>IF(VLOOKUP(T_BilanSocial[[#This Row],[NumL]],T_TraitDi[#Data],COLUMN(T_TraitDi[[#This Row],[Colonne19]]),FALSE)=0,"",TEXT(IFERROR(VLOOKUP(T_BilanSocial[[#This Row],[NumL]],T_TraitDi[#Data],COLUMN(T_TraitDi[[#This Row],[Colonne19]]),FALSE),""),"[hh]:mm"))</f>
        <v>#VALUE!</v>
      </c>
      <c r="BA137" s="172" t="e">
        <f>IF(VLOOKUP(T_BilanSocial[[#This Row],[NumL]],T_TraitDi[#Data],COLUMN(T_TraitDi[[#This Row],[Colonne20]]),FALSE)=0,"",TEXT(IFERROR(VLOOKUP(T_BilanSocial[[#This Row],[NumL]],T_TraitDi[#Data],COLUMN(T_TraitDi[[#This Row],[Colonne20]]),FALSE),""),"[hh]:mm"))</f>
        <v>#VALUE!</v>
      </c>
      <c r="BB137" s="178" t="str">
        <f>IFERROR(VLOOKUP(T_BilanSocial[[#This Row],[NumL]],T_TraitDi[#Data],COLUMN(T_TraitDi[[#This Row],[Jeudi]]),FALSE),"")</f>
        <v/>
      </c>
      <c r="BC137" s="178" t="e">
        <f>IF(VLOOKUP(T_BilanSocial[[#This Row],[NumL]],T_TraitDi[#Data],COLUMN(T_TraitDi[[#This Row],[Colonne21]]),FALSE)=0,"",TEXT(IFERROR(VLOOKUP(T_BilanSocial[[#This Row],[NumL]],T_TraitDi[#Data],COLUMN(T_TraitDi[[#This Row],[Colonne21]]),FALSE),""),"[hh]:mm"))</f>
        <v>#VALUE!</v>
      </c>
      <c r="BD137" s="178" t="e">
        <f>IF(VLOOKUP(T_BilanSocial[[#This Row],[NumL]],T_TraitDi[#Data],COLUMN(T_TraitDi[[#This Row],[Colonne22]]),FALSE)=0,"",TEXT(IFERROR(VLOOKUP(T_BilanSocial[[#This Row],[NumL]],T_TraitDi[#Data],COLUMN(T_TraitDi[[#This Row],[Colonne22]]),FALSE),""),"[hh]:mm"))</f>
        <v>#VALUE!</v>
      </c>
      <c r="BE137" s="178" t="str">
        <f>IFERROR(VLOOKUP(T_BilanSocial[[#This Row],[NumL]],T_TraitDi[#Data],COLUMN(T_TraitDi[[#This Row],[Colonne23]]),FALSE),"")</f>
        <v/>
      </c>
      <c r="BF137" s="178" t="e">
        <f>IF(VLOOKUP(T_BilanSocial[[#This Row],[NumL]],T_TraitDi[#Data],COLUMN(T_TraitDi[[#This Row],[Colonne24]]),FALSE)=0,"",TEXT(IFERROR(VLOOKUP(T_BilanSocial[[#This Row],[NumL]],T_TraitDi[#Data],COLUMN(T_TraitDi[[#This Row],[Colonne24]]),FALSE),""),"[hh]:mm"))</f>
        <v>#VALUE!</v>
      </c>
      <c r="BG137" s="178" t="e">
        <f>IF(VLOOKUP(T_BilanSocial[[#This Row],[NumL]],T_TraitDi[#Data],COLUMN(T_TraitDi[[#This Row],[Colonne25]]),FALSE)=0,"",TEXT(IFERROR(VLOOKUP(T_BilanSocial[[#This Row],[NumL]],T_TraitDi[#Data],COLUMN(T_TraitDi[[#This Row],[Colonne25]]),FALSE),""),"[hh]:mm"))</f>
        <v>#VALUE!</v>
      </c>
      <c r="BH137" s="178" t="e">
        <f>IF(VLOOKUP(T_BilanSocial[[#This Row],[NumL]],T_TraitDi[#Data],COLUMN(T_TraitDi[[#This Row],[Colonne26]]),FALSE)=0,"",TEXT(IFERROR(VLOOKUP(T_BilanSocial[[#This Row],[NumL]],T_TraitDi[#Data],COLUMN(T_TraitDi[[#This Row],[Colonne26]]),FALSE),""),"[hh]:mm"))</f>
        <v>#VALUE!</v>
      </c>
      <c r="BI137" s="172" t="str">
        <f>IFERROR(VLOOKUP(T_BilanSocial[[#This Row],[NumL]],T_TraitDi[#Data],COLUMN(T_TraitDi[[#This Row],[Vendredi]]),FALSE),"")</f>
        <v/>
      </c>
      <c r="BJ137" s="172" t="e">
        <f>IF(VLOOKUP(T_BilanSocial[[#This Row],[NumL]],T_TraitDi[#Data],COLUMN(T_TraitDi[[#This Row],[Colonne27]]),FALSE)=0,"",TEXT(IFERROR(VLOOKUP(T_BilanSocial[[#This Row],[NumL]],T_TraitDi[#Data],COLUMN(T_TraitDi[[#This Row],[Colonne27]]),FALSE),""),"[hh]:mm"))</f>
        <v>#VALUE!</v>
      </c>
      <c r="BK137" s="172" t="e">
        <f>IF(VLOOKUP(T_BilanSocial[[#This Row],[NumL]],T_TraitDi[#Data],COLUMN(T_TraitDi[[#This Row],[Colonne28]]),FALSE)=0,"",TEXT(IFERROR(VLOOKUP(T_BilanSocial[[#This Row],[NumL]],T_TraitDi[#Data],COLUMN(T_TraitDi[[#This Row],[Colonne28]]),FALSE),""),"[hh]:mm"))</f>
        <v>#VALUE!</v>
      </c>
      <c r="BL137" s="172" t="str">
        <f>IFERROR(VLOOKUP(T_BilanSocial[[#This Row],[NumL]],T_TraitDi[#Data],COLUMN(T_TraitDi[[#This Row],[Colonne29]]),FALSE),"")</f>
        <v/>
      </c>
      <c r="BM137" s="172" t="e">
        <f>IF(VLOOKUP(T_BilanSocial[[#This Row],[NumL]],T_TraitDi[#Data],COLUMN(T_TraitDi[[#This Row],[Colonne30]]),FALSE)=0,"",TEXT(IFERROR(VLOOKUP(T_BilanSocial[[#This Row],[NumL]],T_TraitDi[#Data],COLUMN(T_TraitDi[[#This Row],[Colonne30]]),FALSE),""),"[hh]:mm"))</f>
        <v>#VALUE!</v>
      </c>
      <c r="BN137" s="172" t="e">
        <f>IF(VLOOKUP(T_BilanSocial[[#This Row],[NumL]],T_TraitDi[#Data],COLUMN(T_TraitDi[[#This Row],[Colonne31]]),FALSE)=0,"",TEXT(IFERROR(VLOOKUP(T_BilanSocial[[#This Row],[NumL]],T_TraitDi[#Data],COLUMN(T_TraitDi[[#This Row],[Colonne31]]),FALSE),""),"[hh]:mm"))</f>
        <v>#VALUE!</v>
      </c>
      <c r="BO137" s="172" t="e">
        <f>IF(VLOOKUP(T_BilanSocial[[#This Row],[NumL]],T_TraitDi[#Data],COLUMN(T_TraitDi[[#This Row],[Colonne32]]),FALSE)=0,"",TEXT(IFERROR(VLOOKUP(T_BilanSocial[[#This Row],[NumL]],T_TraitDi[#Data],COLUMN(T_TraitDi[[#This Row],[Colonne32]]),FALSE),""),"[hh]:mm"))</f>
        <v>#VALUE!</v>
      </c>
      <c r="BP137" s="172">
        <f>VLOOKUP(T_BilanSocial[[#This Row],[NumL]],T_TraitDi[#Data],COLUMN(T_TraitDi[NbJTot]),FALSE)</f>
        <v>4</v>
      </c>
      <c r="BQ137" s="174" t="str">
        <f>IFERROR(VLOOKUP(T_BilanSocial[[#This Row],[NumL]],T_TraitDi[#Data],COLUMN(T_TraitDi[[#This Row],[NbJTW]]),FALSE),"")</f>
        <v/>
      </c>
      <c r="BR137" s="174" t="e">
        <f>IF(VLOOKUP(T_BilanSocial[[#This Row],[NumL]],T_TraitDi[#Data],COLUMN(T_TraitDi[[#This Row],[NbhTW]]),FALSE)=0,"",TEXT(IFERROR(VLOOKUP(T_BilanSocial[[#This Row],[NumL]],T_TraitDi[#Data],COLUMN(T_TraitDi[[#This Row],[NbhTW]]),FALSE),""),"[hh]:mm"))</f>
        <v>#VALUE!</v>
      </c>
      <c r="BS137" s="174" t="e">
        <f>IF(VLOOKUP(T_BilanSocial[[#This Row],[NumL]],T_TraitDi[#Data],COLUMN(T_TraitDi[[#This Row],[Nbhheb]]),FALSE)=0,"",TEXT(IFERROR(VLOOKUP($A137,T_TraitDi[#Data],COLUMN(T_TraitDi[[#This Row],[Nbhheb]]),FALSE),""),"[hh]:mm"))</f>
        <v>#VALUE!</v>
      </c>
      <c r="BT137" s="182" t="str">
        <f>IFERROR(VLOOKUP(VLOOKUP($A137,T_TraitDi[#Data],COLUMN(T_TraitDi[[#This Row],[Type1]]),FALSE),TypeTW,2,FALSE),"")</f>
        <v/>
      </c>
      <c r="BU137" s="182" t="str">
        <f>IFERROR(VLOOKUP($A137,T_TraitDi[#Data],COLUMN(T_TraitDi[[#This Row],[Rue1]]),FALSE),"")</f>
        <v/>
      </c>
      <c r="BV137" s="173" t="str">
        <f>IFERROR(VLOOKUP($A137,T_TraitDi[#Data],COLUMN(T_TraitDi[[#This Row],[CP1]]),FALSE),"")</f>
        <v/>
      </c>
      <c r="BW137" s="173" t="str">
        <f>IFERROR(VLOOKUP($A137,T_TraitDi[#Data],COLUMN(T_TraitDi[[#This Row],[VILLE1]]),FALSE),"")</f>
        <v/>
      </c>
      <c r="BX137" s="182" t="str">
        <f>IFERROR(VLOOKUP(VLOOKUP($A137,T_TraitDi[#Data],COLUMN(T_TraitDi[[#This Row],[Type2]]),FALSE),TypeTW,2,FALSE),"")</f>
        <v/>
      </c>
      <c r="BY137" s="182" t="str">
        <f>IFERROR(VLOOKUP($A137,T_TraitDi[#Data],COLUMN(T_TraitDi[[#This Row],[Rue2]]),FALSE),"")</f>
        <v/>
      </c>
      <c r="BZ137" s="173" t="str">
        <f>IFERROR(VLOOKUP($A137,T_TraitDi[#Data],COLUMN(T_TraitDi[[#This Row],[CP2]]),FALSE),"")</f>
        <v/>
      </c>
      <c r="CA137" s="173" t="str">
        <f>IFERROR(VLOOKUP($A137,T_TraitDi[#Data],COLUMN(T_TraitDi[[#This Row],[VILLE2]]),FALSE),"")</f>
        <v/>
      </c>
      <c r="CB137" s="182" t="str">
        <f>IF(VLOOKUP(T_BilanSocial[[#This Row],[NumL]],T_Equipement[#Data],COLUMN(T_Equipement[[#This Row],[PC]]),FALSE)="","Aucun équipement spécifique directement lié au télétravail",VLOOKUP(T_BilanSocial[[#This Row],[NumL]],T_Equipement[#Data],COLUMN(T_Equipement[[#This Row],[PC]]),FALSE))</f>
        <v xml:space="preserve">20-283	</v>
      </c>
      <c r="CC137" s="166" t="str">
        <f>IFERROR(IF(VLOOKUP(T_BilanSocial[[#This Row],[NumL]],T_TraitDi[#Data],COLUMN(T_TraitDi[[#This Row],[Plan]]),FALSE)="OK","Un planning spécifique de télétravail est annexé à la présente convention.",""),"")</f>
        <v/>
      </c>
      <c r="CD137" s="258" t="s">
        <v>3461</v>
      </c>
      <c r="CE137" s="164" t="e">
        <f>IF(VLOOKUP(T_BilanSocial[[#This Row],[NumL]],T_suiviDi[#Data],COLUMN(T_suiviDi[[#This Row],[Entité]]),FALSE)="","",VLOOKUP(T_BilanSocial[[#This Row],[NumL]],T_suiviDi[#Data],COLUMN(T_suiviDi[[#This Row],[Entité]]),FALSE))</f>
        <v>#VALUE!</v>
      </c>
      <c r="CF137" s="164" t="str">
        <f>IF(VLOOKUP(T_BilanSocial[[#This Row],[NumL]],T_Commission[#Data],COLUMN(T_Commission[[#This Row],[envoi confirm TW]]),FALSE)="","",VLOOKUP(T_BilanSocial[[#This Row],[NumL]],T_Commission[#Data],COLUMN(T_Commission[[#This Row],[envoi confirm TW]]),FALSE))</f>
        <v>Oui</v>
      </c>
      <c r="CG13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7" s="262" t="str">
        <f>T_BilanSocial[[#This Row],[Nom]]&amp;T_BilanSocial[[#This Row],[Prenom]]</f>
        <v>ALaetitia</v>
      </c>
      <c r="CI137" s="262">
        <f>VLOOKUP(T_BilanSocial[[#This Row],[NumL]],T_Commission[#Data],COLUMN(T_Commission[Commentaire]),FALSE)</f>
        <v>0</v>
      </c>
      <c r="CJ137" s="262" t="str">
        <f>IF(VLOOKUP(T_BilanSocial[[#This Row],[NumL]],T_Commission[#Data],COLUMN(T_Commission[Encadrant Email]),FALSE)="","",VLOOKUP(T_BilanSocial[[#This Row],[NumL]],T_Commission[#Data],COLUMN(T_Commission[Encadrant Email]),FALSE))</f>
        <v/>
      </c>
      <c r="CK137" s="340" t="str">
        <f>IF(T_BilanSocial[[#This Row],[Final]]&lt;&gt;"",VLOOKUP(T_BilanSocial[[#This Row],[NumL]],T_suiviDi[#Data],COLUMN((T_suiviDi[Statut])),FALSE),"")</f>
        <v>RENVL</v>
      </c>
    </row>
    <row r="138" spans="1:89" s="106" customFormat="1" ht="24.75" customHeight="1" x14ac:dyDescent="0.25">
      <c r="A138" s="160">
        <v>135</v>
      </c>
      <c r="B138" s="161" t="str">
        <f t="shared" si="22"/>
        <v/>
      </c>
      <c r="C138" s="162" t="s">
        <v>139</v>
      </c>
      <c r="D138" s="95" t="e">
        <f>IF(VLOOKUP(T_BilanSocial[[#This Row],[NumL]],T_TraitDi[#Data],COLUMN(T_TraitDi[[#This Row],[WebC]]),FALSE)="","",VLOOKUP(T_BilanSocial[[#This Row],[NumL]],T_TraitDi[#Data],COLUMN(T_TraitDi[[#This Row],[WebC]]),FALSE))</f>
        <v>#VALUE!</v>
      </c>
      <c r="E138" s="163" t="str">
        <f t="shared" si="23"/>
        <v>12 janvier 2021</v>
      </c>
      <c r="F138" s="96" t="str">
        <f>IF(T_BilanSocial[[#This Row],[Final]]&lt;&gt;"",VLOOKUP(T_BilanSocial[[#This Row],[NumL]],T_suiviDi[#Data],COLUMN((T_suiviDi[Civ.])),FALSE),"")</f>
        <v/>
      </c>
      <c r="G138" s="96" t="str">
        <f>IF(T_BilanSocial[[#This Row],[Final]]&lt;&gt;"",VLOOKUP(T_BilanSocial[[#This Row],[NumL]],T_suiviDi[#Data],COLUMN((T_suiviDi[Nom])),FALSE),"")</f>
        <v/>
      </c>
      <c r="H138" s="96" t="str">
        <f>IF(T_BilanSocial[[#This Row],[Final]]&lt;&gt;"",VLOOKUP(T_BilanSocial[[#This Row],[NumL]],T_suiviDi[#Data],COLUMN((T_suiviDi[Prénom])),FALSE),"")</f>
        <v/>
      </c>
      <c r="I138" s="96" t="str">
        <f>IFERROR(VLOOKUP(T_BilanSocial[[#This Row],[Zone_Bilan]],T_P_BilanSocial[#Data],COLUMN(T_P_BilanSocial[[#This Row],[Numero_SIHAM]]),FALSE),"")</f>
        <v/>
      </c>
      <c r="J138" s="96" t="str">
        <f>IFERROR(VLOOKUP(T_BilanSocial[[#This Row],[Zone_Bilan]],T_P_BilanSocial[#Data],COLUMN(T_P_BilanSocial[[#This Row],[Sexe]]),FALSE),"")</f>
        <v/>
      </c>
      <c r="K138" s="97" t="str">
        <f>IFERROR(VLOOKUP(T_BilanSocial[[#This Row],[Zone_Bilan]],T_P_BilanSocial[#Data],COLUMN(T_P_BilanSocial[[#This Row],[Categorie]]),FALSE),"")</f>
        <v/>
      </c>
      <c r="L138" s="96" t="str">
        <f>IFERROR(VLOOKUP(T_BilanSocial[[#This Row],[Zone_Bilan]],T_P_BilanSocial[#Data],COLUMN(T_P_BilanSocial[[#This Row],[Statut]]),FALSE),"")</f>
        <v/>
      </c>
      <c r="M138" s="96" t="str">
        <f>IFERROR(VLOOKUP(T_BilanSocial[[#This Row],[Zone_Bilan]],T_P_BilanSocial[#Data],COLUMN(T_P_BilanSocial[[#This Row],[Filiere]]),FALSE),"")</f>
        <v/>
      </c>
      <c r="N138" s="96" t="e">
        <f>VLOOKUP(T_BilanSocial[[#This Row],[NumL]],T_TraitDi[#Data],COLUMN(T_TraitDi[EXP]),FALSE)</f>
        <v>#N/A</v>
      </c>
      <c r="O138" s="96" t="e">
        <f>VLOOKUP(T_BilanSocial[[#This Row],[NumL]],T_TraitDi[#Data],COLUMN(T_TraitDi[FORM]),FALSE)</f>
        <v>#N/A</v>
      </c>
      <c r="P138" s="96" t="str">
        <f>IF(T_BilanSocial[[#This Row],[Final]]&lt;&gt;"",VLOOKUP(T_BilanSocial[[#This Row],[NumL]],T_suiviDi[#Data],COLUMN((T_suiviDi[Email])),FALSE),"")</f>
        <v/>
      </c>
      <c r="Q138" s="164" t="e">
        <f t="shared" si="17"/>
        <v>#N/A</v>
      </c>
      <c r="R138" s="164" t="e">
        <f t="shared" si="18"/>
        <v>#N/A</v>
      </c>
      <c r="S138" s="164" t="e">
        <f>IF(VLOOKUP(T_BilanSocial[[#This Row],[NumL]],T_suiviDi[#Data],COLUMN(T_suiviDi[[#This Row],[Service ]]),FALSE)="","",VLOOKUP(T_BilanSocial[[#This Row],[NumL]],T_suiviDi[#Data],COLUMN(T_suiviDi[[#This Row],[Service ]]),FALSE))</f>
        <v>#VALUE!</v>
      </c>
      <c r="T138" s="164" t="str">
        <f t="shared" si="24"/>
        <v>01 septembre 2021</v>
      </c>
      <c r="U138" s="164" t="str">
        <f t="shared" si="25"/>
        <v>30 novembre 2021</v>
      </c>
      <c r="V138" s="192">
        <f>Datebilan</f>
        <v>44530</v>
      </c>
      <c r="W138" s="176" t="e">
        <f>IF(VLOOKUP(T_BilanSocial[[#This Row],[NumL]],T_TraitDi[#Data],COLUMN(T_TraitDi[[#This Row],[M1]]),FALSE)="","",VLOOKUP(T_BilanSocial[[#This Row],[NumL]],T_TraitDi[#Data],COLUMN(T_TraitDi[[#This Row],[M1]]),FALSE))</f>
        <v>#VALUE!</v>
      </c>
      <c r="X138" s="176" t="e">
        <f>IF(VLOOKUP(T_BilanSocial[[#This Row],[NumL]],T_TraitDi[#Data],COLUMN(T_TraitDi[[#This Row],[M2]]),FALSE)="","",VLOOKUP(T_BilanSocial[[#This Row],[NumL]],T_TraitDi[#Data],COLUMN(T_TraitDi[[#This Row],[M2]]),FALSE))</f>
        <v>#VALUE!</v>
      </c>
      <c r="Y138" s="176" t="e">
        <f>IF(VLOOKUP(T_BilanSocial[[#This Row],[NumL]],T_TraitDi[#Data],COLUMN(T_TraitDi[[#This Row],[M3]]),FALSE)="","",VLOOKUP(T_BilanSocial[[#This Row],[NumL]],T_TraitDi[#Data],COLUMN(T_TraitDi[[#This Row],[M3]]),FALSE))</f>
        <v>#VALUE!</v>
      </c>
      <c r="Z138" s="176" t="str">
        <f t="shared" si="27"/>
        <v/>
      </c>
      <c r="AA138" s="176" t="e">
        <f>IF(VLOOKUP(T_BilanSocial[[#This Row],[NumL]],T_TraitDi[#Data],COLUMN(T_TraitDi[[#This Row],[M5]]),FALSE)="","",VLOOKUP(T_BilanSocial[[#This Row],[NumL]],T_TraitDi[#Data],COLUMN(T_TraitDi[[#This Row],[M5]]),FALSE))</f>
        <v>#VALUE!</v>
      </c>
      <c r="AB138" s="176" t="e">
        <f>IF(VLOOKUP(T_BilanSocial[[#This Row],[NumL]],T_TraitDi[#Data],COLUMN(T_TraitDi[[#This Row],[M6]]),FALSE)="","",VLOOKUP(T_BilanSocial[[#This Row],[NumL]],T_TraitDi[#Data],COLUMN(T_TraitDi[[#This Row],[M6]]),FALSE))</f>
        <v>#VALUE!</v>
      </c>
      <c r="AC138" s="165" t="e">
        <f t="shared" si="26"/>
        <v>#VALUE!</v>
      </c>
      <c r="AD138" s="188" t="str">
        <f>IFERROR(TEXT(VLOOKUP(T_BilanSocial[[#This Row],[NumL]],T_TraitDi[#Data],COLUMN(T_TraitDi[[#This Row],[Q2]]),FALSE),"###%"),"")</f>
        <v/>
      </c>
      <c r="AE138" s="97" t="e">
        <f>VLOOKUP(T_BilanSocial[[#This Row],[NumL]],T_TraitDi[#Data],COLUMN(T_TraitDi[[#This Row],[Reg Ponct]]),FALSE)</f>
        <v>#VALUE!</v>
      </c>
      <c r="AF138" s="97" t="e">
        <f>VLOOKUP(T_BilanSocial[NumL],T_TraitDi[#Data],COLUMN(T_TraitDi[[#This Row],[Jours flottants]]),FALSE)</f>
        <v>#VALUE!</v>
      </c>
      <c r="AG138" s="97" t="str">
        <f>IFERROR(VLOOKUP(T_BilanSocial[[#This Row],[NumL]],T_TraitDi[#Data],COLUMN(T_TraitDi[[#This Row],[Lundi]]),FALSE),"")</f>
        <v/>
      </c>
      <c r="AH138" s="172" t="e">
        <f>IF(VLOOKUP(T_BilanSocial[[#This Row],[NumL]],T_TraitDi[#Data],COLUMN(T_TraitDi[[#This Row],[Colonne3]]),FALSE)=0,"",TEXT(IFERROR(VLOOKUP(T_BilanSocial[[#This Row],[NumL]],T_TraitDi[#Data],COLUMN(T_TraitDi[[#This Row],[Colonne3]]),FALSE),""),"[hh]:mm"))</f>
        <v>#VALUE!</v>
      </c>
      <c r="AI138" s="172" t="e">
        <f>IF(VLOOKUP(T_BilanSocial[[#This Row],[NumL]],T_TraitDi[#Data],COLUMN(T_TraitDi[[#This Row],[Colonne4]]),FALSE)=0,"",TEXT(IFERROR(VLOOKUP(T_BilanSocial[[#This Row],[NumL]],T_TraitDi[#Data],COLUMN(T_TraitDi[[#This Row],[Colonne4]]),FALSE),""),"[hh]:mm"))</f>
        <v>#VALUE!</v>
      </c>
      <c r="AJ138" s="172" t="e">
        <f>IF(VLOOKUP(T_BilanSocial[[#This Row],[NumL]],T_TraitDi[#Data],COLUMN(T_TraitDi[[#This Row],[Colonne5]]),FALSE)=0,"",TEXT(IFERROR(VLOOKUP(T_BilanSocial[[#This Row],[NumL]],T_TraitDi[#Data],COLUMN(T_TraitDi[[#This Row],[Colonne5]]),FALSE),""),"[hh]:mm"))</f>
        <v>#VALUE!</v>
      </c>
      <c r="AK138" s="172" t="e">
        <f>IF(VLOOKUP(T_BilanSocial[[#This Row],[NumL]],T_TraitDi[#Data],COLUMN(T_TraitDi[[#This Row],[Colonne6]]),FALSE)=0,"",TEXT(IFERROR(VLOOKUP(T_BilanSocial[[#This Row],[NumL]],T_TraitDi[#Data],COLUMN(T_TraitDi[[#This Row],[Colonne6]]),FALSE),""),"[hh]:mm"))</f>
        <v>#VALUE!</v>
      </c>
      <c r="AL138" s="172" t="e">
        <f>IF(VLOOKUP(T_BilanSocial[[#This Row],[NumL]],T_TraitDi[#Data],COLUMN(T_TraitDi[[#This Row],[Colonne7]]),FALSE)=0,"",TEXT(IFERROR(VLOOKUP(T_BilanSocial[[#This Row],[NumL]],T_TraitDi[#Data],COLUMN(T_TraitDi[[#This Row],[Colonne7]]),FALSE),""),"[hh]:mm"))</f>
        <v>#VALUE!</v>
      </c>
      <c r="AM138" s="172" t="e">
        <f>IF(VLOOKUP(T_BilanSocial[[#This Row],[NumL]],T_TraitDi[#Data],COLUMN(T_TraitDi[[#This Row],[Colonne8]]),FALSE)=0,"",TEXT(IFERROR(VLOOKUP(T_BilanSocial[[#This Row],[NumL]],T_TraitDi[#Data],COLUMN(T_TraitDi[[#This Row],[Colonne8]]),FALSE),""),"[hh]:mm"))</f>
        <v>#VALUE!</v>
      </c>
      <c r="AN138" s="172" t="str">
        <f>IFERROR(VLOOKUP(T_BilanSocial[[#This Row],[NumL]],T_TraitDi[#Data],COLUMN(T_TraitDi[[#This Row],[Mardi]]),FALSE),"")</f>
        <v/>
      </c>
      <c r="AO138" s="172" t="e">
        <f>IF(VLOOKUP(T_BilanSocial[[#This Row],[NumL]],T_TraitDi[#Data],COLUMN(T_TraitDi[[#This Row],[Colonne1]]),FALSE)=0,"",TEXT(IFERROR(VLOOKUP(T_BilanSocial[[#This Row],[NumL]],T_TraitDi[#Data],COLUMN(T_TraitDi[[#This Row],[Colonne1]]),FALSE),""),"[hh]:mm"))</f>
        <v>#VALUE!</v>
      </c>
      <c r="AP138" s="172" t="e">
        <f>IF(VLOOKUP(T_BilanSocial[[#This Row],[NumL]],T_TraitDi[#Data],COLUMN(T_TraitDi[[#This Row],[Colonne9]]),FALSE)=0,"",TEXT(IFERROR(VLOOKUP(T_BilanSocial[[#This Row],[NumL]],T_TraitDi[#Data],COLUMN(T_TraitDi[[#This Row],[Colonne9]]),FALSE),""),"[hh]:mm"))</f>
        <v>#VALUE!</v>
      </c>
      <c r="AQ138" s="172" t="str">
        <f>IFERROR(VLOOKUP(T_BilanSocial[[#This Row],[NumL]],T_TraitDi[#Data],COLUMN(T_TraitDi[[#This Row],[Colonne10]]),FALSE),"")</f>
        <v/>
      </c>
      <c r="AR138" s="172" t="e">
        <f>IF(VLOOKUP(T_BilanSocial[[#This Row],[NumL]],T_TraitDi[#Data],COLUMN(T_TraitDi[[#This Row],[Colonne11]]),FALSE)=0,"",TEXT(IFERROR(VLOOKUP(T_BilanSocial[[#This Row],[NumL]],T_TraitDi[#Data],COLUMN(T_TraitDi[[#This Row],[Colonne11]]),FALSE),""),"[hh]:mm"))</f>
        <v>#VALUE!</v>
      </c>
      <c r="AS138" s="172" t="e">
        <f>IF(VLOOKUP(T_BilanSocial[[#This Row],[NumL]],T_TraitDi[#Data],COLUMN(T_TraitDi[[#This Row],[Colonne12]]),FALSE)=0,"",TEXT(IFERROR(VLOOKUP(T_BilanSocial[[#This Row],[NumL]],T_TraitDi[#Data],COLUMN(T_TraitDi[[#This Row],[Colonne12]]),FALSE),""),"[hh]:mm"))</f>
        <v>#VALUE!</v>
      </c>
      <c r="AT138" s="172" t="e">
        <f>IF(VLOOKUP(T_BilanSocial[[#This Row],[NumL]],T_TraitDi[#Data],COLUMN(T_TraitDi[[#This Row],[Colonne14]]),FALSE)=0,"",TEXT(IFERROR(VLOOKUP(T_BilanSocial[[#This Row],[NumL]],T_TraitDi[#Data],COLUMN(T_TraitDi[[#This Row],[Colonne14]]),FALSE),""),"[hh]:mm"))</f>
        <v>#VALUE!</v>
      </c>
      <c r="AU138" s="172" t="str">
        <f>IFERROR(VLOOKUP(T_BilanSocial[[#This Row],[NumL]],T_TraitDi[#Data],COLUMN(T_TraitDi[[#This Row],[Mercredi]]),FALSE),"")</f>
        <v/>
      </c>
      <c r="AV138" s="172" t="e">
        <f>IF(VLOOKUP(T_BilanSocial[[#This Row],[NumL]],T_TraitDi[#Data],COLUMN(T_TraitDi[[#This Row],[Colonne15]]),FALSE)=0,"",TEXT(IFERROR(VLOOKUP(T_BilanSocial[[#This Row],[NumL]],T_TraitDi[#Data],COLUMN(T_TraitDi[[#This Row],[Colonne15]]),FALSE),""),"[hh]:mm"))</f>
        <v>#VALUE!</v>
      </c>
      <c r="AW138" s="172" t="e">
        <f>IF(VLOOKUP(T_BilanSocial[[#This Row],[NumL]],T_TraitDi[#Data],COLUMN(T_TraitDi[[#This Row],[Colonne16]]),FALSE)=0,"",TEXT(IFERROR(VLOOKUP(T_BilanSocial[[#This Row],[NumL]],T_TraitDi[#Data],COLUMN(T_TraitDi[[#This Row],[Colonne16]]),FALSE),""),"[hh]:mm"))</f>
        <v>#VALUE!</v>
      </c>
      <c r="AX138" s="172" t="str">
        <f>IFERROR(VLOOKUP(T_BilanSocial[[#This Row],[NumL]],T_TraitDi[#Data],COLUMN(T_TraitDi[[#This Row],[Colonne17]]),FALSE),"")</f>
        <v/>
      </c>
      <c r="AY138" s="172" t="e">
        <f>IF(VLOOKUP(T_BilanSocial[[#This Row],[NumL]],T_TraitDi[#Data],COLUMN(T_TraitDi[[#This Row],[Colonne18]]),FALSE)=0,"",TEXT(IFERROR(VLOOKUP(T_BilanSocial[[#This Row],[NumL]],T_TraitDi[#Data],COLUMN(T_TraitDi[[#This Row],[Colonne18]]),FALSE),""),"[hh]:mm"))</f>
        <v>#VALUE!</v>
      </c>
      <c r="AZ138" s="172" t="e">
        <f>IF(VLOOKUP(T_BilanSocial[[#This Row],[NumL]],T_TraitDi[#Data],COLUMN(T_TraitDi[[#This Row],[Colonne19]]),FALSE)=0,"",TEXT(IFERROR(VLOOKUP(T_BilanSocial[[#This Row],[NumL]],T_TraitDi[#Data],COLUMN(T_TraitDi[[#This Row],[Colonne19]]),FALSE),""),"[hh]:mm"))</f>
        <v>#VALUE!</v>
      </c>
      <c r="BA138" s="172" t="e">
        <f>IF(VLOOKUP(T_BilanSocial[[#This Row],[NumL]],T_TraitDi[#Data],COLUMN(T_TraitDi[[#This Row],[Colonne20]]),FALSE)=0,"",TEXT(IFERROR(VLOOKUP(T_BilanSocial[[#This Row],[NumL]],T_TraitDi[#Data],COLUMN(T_TraitDi[[#This Row],[Colonne20]]),FALSE),""),"[hh]:mm"))</f>
        <v>#VALUE!</v>
      </c>
      <c r="BB138" s="178" t="str">
        <f>IFERROR(VLOOKUP(T_BilanSocial[[#This Row],[NumL]],T_TraitDi[#Data],COLUMN(T_TraitDi[[#This Row],[Jeudi]]),FALSE),"")</f>
        <v/>
      </c>
      <c r="BC138" s="178" t="e">
        <f>IF(VLOOKUP(T_BilanSocial[[#This Row],[NumL]],T_TraitDi[#Data],COLUMN(T_TraitDi[[#This Row],[Colonne21]]),FALSE)=0,"",TEXT(IFERROR(VLOOKUP(T_BilanSocial[[#This Row],[NumL]],T_TraitDi[#Data],COLUMN(T_TraitDi[[#This Row],[Colonne21]]),FALSE),""),"[hh]:mm"))</f>
        <v>#VALUE!</v>
      </c>
      <c r="BD138" s="178" t="e">
        <f>IF(VLOOKUP(T_BilanSocial[[#This Row],[NumL]],T_TraitDi[#Data],COLUMN(T_TraitDi[[#This Row],[Colonne22]]),FALSE)=0,"",TEXT(IFERROR(VLOOKUP(T_BilanSocial[[#This Row],[NumL]],T_TraitDi[#Data],COLUMN(T_TraitDi[[#This Row],[Colonne22]]),FALSE),""),"[hh]:mm"))</f>
        <v>#VALUE!</v>
      </c>
      <c r="BE138" s="178" t="str">
        <f>IFERROR(VLOOKUP(T_BilanSocial[[#This Row],[NumL]],T_TraitDi[#Data],COLUMN(T_TraitDi[[#This Row],[Colonne23]]),FALSE),"")</f>
        <v/>
      </c>
      <c r="BF138" s="178" t="e">
        <f>IF(VLOOKUP(T_BilanSocial[[#This Row],[NumL]],T_TraitDi[#Data],COLUMN(T_TraitDi[[#This Row],[Colonne24]]),FALSE)=0,"",TEXT(IFERROR(VLOOKUP(T_BilanSocial[[#This Row],[NumL]],T_TraitDi[#Data],COLUMN(T_TraitDi[[#This Row],[Colonne24]]),FALSE),""),"[hh]:mm"))</f>
        <v>#VALUE!</v>
      </c>
      <c r="BG138" s="178" t="e">
        <f>IF(VLOOKUP(T_BilanSocial[[#This Row],[NumL]],T_TraitDi[#Data],COLUMN(T_TraitDi[[#This Row],[Colonne25]]),FALSE)=0,"",TEXT(IFERROR(VLOOKUP(T_BilanSocial[[#This Row],[NumL]],T_TraitDi[#Data],COLUMN(T_TraitDi[[#This Row],[Colonne25]]),FALSE),""),"[hh]:mm"))</f>
        <v>#VALUE!</v>
      </c>
      <c r="BH138" s="178" t="e">
        <f>IF(VLOOKUP(T_BilanSocial[[#This Row],[NumL]],T_TraitDi[#Data],COLUMN(T_TraitDi[[#This Row],[Colonne26]]),FALSE)=0,"",TEXT(IFERROR(VLOOKUP(T_BilanSocial[[#This Row],[NumL]],T_TraitDi[#Data],COLUMN(T_TraitDi[[#This Row],[Colonne26]]),FALSE),""),"[hh]:mm"))</f>
        <v>#VALUE!</v>
      </c>
      <c r="BI138" s="172" t="str">
        <f>IFERROR(VLOOKUP(T_BilanSocial[[#This Row],[NumL]],T_TraitDi[#Data],COLUMN(T_TraitDi[[#This Row],[Vendredi]]),FALSE),"")</f>
        <v/>
      </c>
      <c r="BJ138" s="172" t="e">
        <f>IF(VLOOKUP(T_BilanSocial[[#This Row],[NumL]],T_TraitDi[#Data],COLUMN(T_TraitDi[[#This Row],[Colonne27]]),FALSE)=0,"",TEXT(IFERROR(VLOOKUP(T_BilanSocial[[#This Row],[NumL]],T_TraitDi[#Data],COLUMN(T_TraitDi[[#This Row],[Colonne27]]),FALSE),""),"[hh]:mm"))</f>
        <v>#VALUE!</v>
      </c>
      <c r="BK138" s="172" t="e">
        <f>IF(VLOOKUP(T_BilanSocial[[#This Row],[NumL]],T_TraitDi[#Data],COLUMN(T_TraitDi[[#This Row],[Colonne28]]),FALSE)=0,"",TEXT(IFERROR(VLOOKUP(T_BilanSocial[[#This Row],[NumL]],T_TraitDi[#Data],COLUMN(T_TraitDi[[#This Row],[Colonne28]]),FALSE),""),"[hh]:mm"))</f>
        <v>#VALUE!</v>
      </c>
      <c r="BL138" s="172" t="str">
        <f>IFERROR(VLOOKUP(T_BilanSocial[[#This Row],[NumL]],T_TraitDi[#Data],COLUMN(T_TraitDi[[#This Row],[Colonne29]]),FALSE),"")</f>
        <v/>
      </c>
      <c r="BM138" s="172" t="e">
        <f>IF(VLOOKUP(T_BilanSocial[[#This Row],[NumL]],T_TraitDi[#Data],COLUMN(T_TraitDi[[#This Row],[Colonne30]]),FALSE)=0,"",TEXT(IFERROR(VLOOKUP(T_BilanSocial[[#This Row],[NumL]],T_TraitDi[#Data],COLUMN(T_TraitDi[[#This Row],[Colonne30]]),FALSE),""),"[hh]:mm"))</f>
        <v>#VALUE!</v>
      </c>
      <c r="BN138" s="172" t="e">
        <f>IF(VLOOKUP(T_BilanSocial[[#This Row],[NumL]],T_TraitDi[#Data],COLUMN(T_TraitDi[[#This Row],[Colonne31]]),FALSE)=0,"",TEXT(IFERROR(VLOOKUP(T_BilanSocial[[#This Row],[NumL]],T_TraitDi[#Data],COLUMN(T_TraitDi[[#This Row],[Colonne31]]),FALSE),""),"[hh]:mm"))</f>
        <v>#VALUE!</v>
      </c>
      <c r="BO138" s="172" t="e">
        <f>IF(VLOOKUP(T_BilanSocial[[#This Row],[NumL]],T_TraitDi[#Data],COLUMN(T_TraitDi[[#This Row],[Colonne32]]),FALSE)=0,"",TEXT(IFERROR(VLOOKUP(T_BilanSocial[[#This Row],[NumL]],T_TraitDi[#Data],COLUMN(T_TraitDi[[#This Row],[Colonne32]]),FALSE),""),"[hh]:mm"))</f>
        <v>#VALUE!</v>
      </c>
      <c r="BP138" s="172" t="e">
        <f>VLOOKUP(T_BilanSocial[[#This Row],[NumL]],T_TraitDi[#Data],COLUMN(T_TraitDi[NbJTot]),FALSE)</f>
        <v>#N/A</v>
      </c>
      <c r="BQ138" s="174" t="str">
        <f>IFERROR(VLOOKUP(T_BilanSocial[[#This Row],[NumL]],T_TraitDi[#Data],COLUMN(T_TraitDi[[#This Row],[NbJTW]]),FALSE),"")</f>
        <v/>
      </c>
      <c r="BR138" s="174" t="e">
        <f>IF(VLOOKUP(T_BilanSocial[[#This Row],[NumL]],T_TraitDi[#Data],COLUMN(T_TraitDi[[#This Row],[NbhTW]]),FALSE)=0,"",TEXT(IFERROR(VLOOKUP(T_BilanSocial[[#This Row],[NumL]],T_TraitDi[#Data],COLUMN(T_TraitDi[[#This Row],[NbhTW]]),FALSE),""),"[hh]:mm"))</f>
        <v>#VALUE!</v>
      </c>
      <c r="BS138" s="174" t="e">
        <f>IF(VLOOKUP(T_BilanSocial[[#This Row],[NumL]],T_TraitDi[#Data],COLUMN(T_TraitDi[[#This Row],[Nbhheb]]),FALSE)=0,"",TEXT(IFERROR(VLOOKUP($A138,T_TraitDi[#Data],COLUMN(T_TraitDi[[#This Row],[Nbhheb]]),FALSE),""),"[hh]:mm"))</f>
        <v>#VALUE!</v>
      </c>
      <c r="BT138" s="182" t="str">
        <f>IFERROR(VLOOKUP(VLOOKUP($A138,T_TraitDi[#Data],COLUMN(T_TraitDi[[#This Row],[Type1]]),FALSE),TypeTW,2,FALSE),"")</f>
        <v/>
      </c>
      <c r="BU138" s="182" t="str">
        <f>IFERROR(VLOOKUP($A138,T_TraitDi[#Data],COLUMN(T_TraitDi[[#This Row],[Rue1]]),FALSE),"")</f>
        <v/>
      </c>
      <c r="BV138" s="173" t="str">
        <f>IFERROR(VLOOKUP($A138,T_TraitDi[#Data],COLUMN(T_TraitDi[[#This Row],[CP1]]),FALSE),"")</f>
        <v/>
      </c>
      <c r="BW138" s="173" t="str">
        <f>IFERROR(VLOOKUP($A138,T_TraitDi[#Data],COLUMN(T_TraitDi[[#This Row],[VILLE1]]),FALSE),"")</f>
        <v/>
      </c>
      <c r="BX138" s="182" t="str">
        <f>IFERROR(VLOOKUP(VLOOKUP($A138,T_TraitDi[#Data],COLUMN(T_TraitDi[[#This Row],[Type2]]),FALSE),TypeTW,2,FALSE),"")</f>
        <v/>
      </c>
      <c r="BY138" s="182" t="str">
        <f>IFERROR(VLOOKUP($A138,T_TraitDi[#Data],COLUMN(T_TraitDi[[#This Row],[Rue2]]),FALSE),"")</f>
        <v/>
      </c>
      <c r="BZ138" s="173" t="str">
        <f>IFERROR(VLOOKUP($A138,T_TraitDi[#Data],COLUMN(T_TraitDi[[#This Row],[CP2]]),FALSE),"")</f>
        <v/>
      </c>
      <c r="CA138" s="173" t="str">
        <f>IFERROR(VLOOKUP($A138,T_TraitDi[#Data],COLUMN(T_TraitDi[[#This Row],[VILLE2]]),FALSE),"")</f>
        <v/>
      </c>
      <c r="CB138" s="182" t="str">
        <f>IF(VLOOKUP(T_BilanSocial[[#This Row],[NumL]],T_Equipement[#Data],COLUMN(T_Equipement[[#This Row],[PC]]),FALSE)="","Aucun équipement spécifique directement lié au télétravail",VLOOKUP(T_BilanSocial[[#This Row],[NumL]],T_Equipement[#Data],COLUMN(T_Equipement[[#This Row],[PC]]),FALSE))</f>
        <v xml:space="preserve">20-498	</v>
      </c>
      <c r="CC138" s="166" t="str">
        <f>IFERROR(IF(VLOOKUP(T_BilanSocial[[#This Row],[NumL]],T_TraitDi[#Data],COLUMN(T_TraitDi[[#This Row],[Plan]]),FALSE)="OK","Un planning spécifique de télétravail est annexé à la présente convention.",""),"")</f>
        <v/>
      </c>
      <c r="CD138" s="185"/>
      <c r="CE138" s="164" t="e">
        <f>IF(VLOOKUP(T_BilanSocial[[#This Row],[NumL]],T_suiviDi[#Data],COLUMN(T_suiviDi[[#This Row],[Entité]]),FALSE)="","",VLOOKUP(T_BilanSocial[[#This Row],[NumL]],T_suiviDi[#Data],COLUMN(T_suiviDi[[#This Row],[Entité]]),FALSE))</f>
        <v>#VALUE!</v>
      </c>
      <c r="CF138" s="164" t="str">
        <f>IF(VLOOKUP(T_BilanSocial[[#This Row],[NumL]],T_Commission[#Data],COLUMN(T_Commission[[#This Row],[envoi confirm TW]]),FALSE)="","",VLOOKUP(T_BilanSocial[[#This Row],[NumL]],T_Commission[#Data],COLUMN(T_Commission[[#This Row],[envoi confirm TW]]),FALSE))</f>
        <v>Oui</v>
      </c>
      <c r="CG13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8" s="262" t="str">
        <f>T_BilanSocial[[#This Row],[Nom]]&amp;T_BilanSocial[[#This Row],[Prenom]]</f>
        <v/>
      </c>
      <c r="CI138" s="262">
        <f>VLOOKUP(T_BilanSocial[[#This Row],[NumL]],T_Commission[#Data],COLUMN(T_Commission[Commentaire]),FALSE)</f>
        <v>0</v>
      </c>
      <c r="CJ138" s="262" t="str">
        <f>IF(VLOOKUP(T_BilanSocial[[#This Row],[NumL]],T_Commission[#Data],COLUMN(T_Commission[Encadrant Email]),FALSE)="","",VLOOKUP(T_BilanSocial[[#This Row],[NumL]],T_Commission[#Data],COLUMN(T_Commission[Encadrant Email]),FALSE))</f>
        <v/>
      </c>
      <c r="CK138" s="340" t="str">
        <f>IF(T_BilanSocial[[#This Row],[Final]]&lt;&gt;"",VLOOKUP(T_BilanSocial[[#This Row],[NumL]],T_suiviDi[#Data],COLUMN((T_suiviDi[Statut])),FALSE),"")</f>
        <v/>
      </c>
    </row>
    <row r="139" spans="1:89" s="106" customFormat="1" ht="24.75" customHeight="1" x14ac:dyDescent="0.25">
      <c r="A139" s="160">
        <v>136</v>
      </c>
      <c r="B139" s="161" t="str">
        <f t="shared" si="22"/>
        <v/>
      </c>
      <c r="C139" s="162" t="s">
        <v>173</v>
      </c>
      <c r="D139" s="95" t="e">
        <f>IF(VLOOKUP(T_BilanSocial[[#This Row],[NumL]],T_TraitDi[#Data],COLUMN(T_TraitDi[[#This Row],[WebC]]),FALSE)="","",VLOOKUP(T_BilanSocial[[#This Row],[NumL]],T_TraitDi[#Data],COLUMN(T_TraitDi[[#This Row],[WebC]]),FALSE))</f>
        <v>#VALUE!</v>
      </c>
      <c r="E139" s="163" t="str">
        <f t="shared" si="23"/>
        <v>12 janvier 2021</v>
      </c>
      <c r="F139" s="96" t="str">
        <f>IF(T_BilanSocial[[#This Row],[Final]]&lt;&gt;"",VLOOKUP(T_BilanSocial[[#This Row],[NumL]],T_suiviDi[#Data],COLUMN((T_suiviDi[Civ.])),FALSE),"")</f>
        <v/>
      </c>
      <c r="G139" s="96" t="str">
        <f>IF(T_BilanSocial[[#This Row],[Final]]&lt;&gt;"",VLOOKUP(T_BilanSocial[[#This Row],[NumL]],T_suiviDi[#Data],COLUMN((T_suiviDi[Nom])),FALSE),"")</f>
        <v/>
      </c>
      <c r="H139" s="96" t="str">
        <f>IF(T_BilanSocial[[#This Row],[Final]]&lt;&gt;"",VLOOKUP(T_BilanSocial[[#This Row],[NumL]],T_suiviDi[#Data],COLUMN((T_suiviDi[Prénom])),FALSE),"")</f>
        <v/>
      </c>
      <c r="I139" s="96" t="str">
        <f>IFERROR(VLOOKUP(T_BilanSocial[[#This Row],[Zone_Bilan]],T_P_BilanSocial[#Data],COLUMN(T_P_BilanSocial[[#This Row],[Numero_SIHAM]]),FALSE),"")</f>
        <v/>
      </c>
      <c r="J139" s="96" t="str">
        <f>IFERROR(VLOOKUP(T_BilanSocial[[#This Row],[Zone_Bilan]],T_P_BilanSocial[#Data],COLUMN(T_P_BilanSocial[[#This Row],[Sexe]]),FALSE),"")</f>
        <v/>
      </c>
      <c r="K139" s="97" t="str">
        <f>IFERROR(VLOOKUP(T_BilanSocial[[#This Row],[Zone_Bilan]],T_P_BilanSocial[#Data],COLUMN(T_P_BilanSocial[[#This Row],[Categorie]]),FALSE),"")</f>
        <v/>
      </c>
      <c r="L139" s="96" t="str">
        <f>IFERROR(VLOOKUP(T_BilanSocial[[#This Row],[Zone_Bilan]],T_P_BilanSocial[#Data],COLUMN(T_P_BilanSocial[[#This Row],[Statut]]),FALSE),"")</f>
        <v/>
      </c>
      <c r="M139" s="96" t="str">
        <f>IFERROR(VLOOKUP(T_BilanSocial[[#This Row],[Zone_Bilan]],T_P_BilanSocial[#Data],COLUMN(T_P_BilanSocial[[#This Row],[Filiere]]),FALSE),"")</f>
        <v/>
      </c>
      <c r="N139" s="96" t="e">
        <f>VLOOKUP(T_BilanSocial[[#This Row],[NumL]],T_TraitDi[#Data],COLUMN(T_TraitDi[EXP]),FALSE)</f>
        <v>#N/A</v>
      </c>
      <c r="O139" s="96" t="e">
        <f>VLOOKUP(T_BilanSocial[[#This Row],[NumL]],T_TraitDi[#Data],COLUMN(T_TraitDi[FORM]),FALSE)</f>
        <v>#N/A</v>
      </c>
      <c r="P139" s="96" t="str">
        <f>IF(T_BilanSocial[[#This Row],[Final]]&lt;&gt;"",VLOOKUP(T_BilanSocial[[#This Row],[NumL]],T_suiviDi[#Data],COLUMN((T_suiviDi[Email])),FALSE),"")</f>
        <v/>
      </c>
      <c r="Q139" s="164" t="e">
        <f t="shared" si="17"/>
        <v>#N/A</v>
      </c>
      <c r="R139" s="164" t="e">
        <f t="shared" si="18"/>
        <v>#N/A</v>
      </c>
      <c r="S139" s="164" t="e">
        <f>IF(VLOOKUP(T_BilanSocial[[#This Row],[NumL]],T_suiviDi[#Data],COLUMN(T_suiviDi[[#This Row],[Service ]]),FALSE)="","",VLOOKUP(T_BilanSocial[[#This Row],[NumL]],T_suiviDi[#Data],COLUMN(T_suiviDi[[#This Row],[Service ]]),FALSE))</f>
        <v>#VALUE!</v>
      </c>
      <c r="T139" s="164" t="str">
        <f t="shared" si="24"/>
        <v>01 septembre 2021</v>
      </c>
      <c r="U139" s="164" t="str">
        <f t="shared" si="25"/>
        <v>30 novembre 2021</v>
      </c>
      <c r="V139" s="164" t="str">
        <f>TEXT(Datebilan,"jj mmmm aaaa")</f>
        <v>30 novembre 2021</v>
      </c>
      <c r="W139" s="176" t="e">
        <f>IF(VLOOKUP(T_BilanSocial[[#This Row],[NumL]],T_TraitDi[#Data],COLUMN(T_TraitDi[[#This Row],[M1]]),FALSE)="","",VLOOKUP(T_BilanSocial[[#This Row],[NumL]],T_TraitDi[#Data],COLUMN(T_TraitDi[[#This Row],[M1]]),FALSE))</f>
        <v>#VALUE!</v>
      </c>
      <c r="X139" s="176" t="e">
        <f>IF(VLOOKUP(T_BilanSocial[[#This Row],[NumL]],T_TraitDi[#Data],COLUMN(T_TraitDi[[#This Row],[M2]]),FALSE)="","",VLOOKUP(T_BilanSocial[[#This Row],[NumL]],T_TraitDi[#Data],COLUMN(T_TraitDi[[#This Row],[M2]]),FALSE))</f>
        <v>#VALUE!</v>
      </c>
      <c r="Y139" s="176" t="e">
        <f>IF(VLOOKUP(T_BilanSocial[[#This Row],[NumL]],T_TraitDi[#Data],COLUMN(T_TraitDi[[#This Row],[M3]]),FALSE)="","",VLOOKUP(T_BilanSocial[[#This Row],[NumL]],T_TraitDi[#Data],COLUMN(T_TraitDi[[#This Row],[M3]]),FALSE))</f>
        <v>#VALUE!</v>
      </c>
      <c r="Z139" s="176" t="str">
        <f t="shared" si="27"/>
        <v/>
      </c>
      <c r="AA139" s="176" t="e">
        <f>IF(VLOOKUP(T_BilanSocial[[#This Row],[NumL]],T_TraitDi[#Data],COLUMN(T_TraitDi[[#This Row],[M5]]),FALSE)="","",VLOOKUP(T_BilanSocial[[#This Row],[NumL]],T_TraitDi[#Data],COLUMN(T_TraitDi[[#This Row],[M5]]),FALSE))</f>
        <v>#VALUE!</v>
      </c>
      <c r="AB139" s="176" t="e">
        <f>IF(VLOOKUP(T_BilanSocial[[#This Row],[NumL]],T_TraitDi[#Data],COLUMN(T_TraitDi[[#This Row],[M6]]),FALSE)="","",VLOOKUP(T_BilanSocial[[#This Row],[NumL]],T_TraitDi[#Data],COLUMN(T_TraitDi[[#This Row],[M6]]),FALSE))</f>
        <v>#VALUE!</v>
      </c>
      <c r="AC139" s="165" t="e">
        <f t="shared" si="26"/>
        <v>#VALUE!</v>
      </c>
      <c r="AD139" s="188" t="str">
        <f>IFERROR(TEXT(VLOOKUP(T_BilanSocial[[#This Row],[NumL]],T_TraitDi[#Data],COLUMN(T_TraitDi[[#This Row],[Q2]]),FALSE),"###%"),"")</f>
        <v/>
      </c>
      <c r="AE139" s="97" t="e">
        <f>VLOOKUP(T_BilanSocial[[#This Row],[NumL]],T_TraitDi[#Data],COLUMN(T_TraitDi[[#This Row],[Reg Ponct]]),FALSE)</f>
        <v>#VALUE!</v>
      </c>
      <c r="AF139" s="97" t="e">
        <f>VLOOKUP(T_BilanSocial[NumL],T_TraitDi[#Data],COLUMN(T_TraitDi[[#This Row],[Jours flottants]]),FALSE)</f>
        <v>#VALUE!</v>
      </c>
      <c r="AG139" s="97" t="str">
        <f>IFERROR(VLOOKUP(T_BilanSocial[[#This Row],[NumL]],T_TraitDi[#Data],COLUMN(T_TraitDi[[#This Row],[Lundi]]),FALSE),"")</f>
        <v/>
      </c>
      <c r="AH139" s="172" t="e">
        <f>IF(VLOOKUP(T_BilanSocial[[#This Row],[NumL]],T_TraitDi[#Data],COLUMN(T_TraitDi[[#This Row],[Colonne3]]),FALSE)=0,"",TEXT(IFERROR(VLOOKUP(T_BilanSocial[[#This Row],[NumL]],T_TraitDi[#Data],COLUMN(T_TraitDi[[#This Row],[Colonne3]]),FALSE),""),"[hh]:mm"))</f>
        <v>#VALUE!</v>
      </c>
      <c r="AI139" s="172" t="e">
        <f>IF(VLOOKUP(T_BilanSocial[[#This Row],[NumL]],T_TraitDi[#Data],COLUMN(T_TraitDi[[#This Row],[Colonne4]]),FALSE)=0,"",TEXT(IFERROR(VLOOKUP(T_BilanSocial[[#This Row],[NumL]],T_TraitDi[#Data],COLUMN(T_TraitDi[[#This Row],[Colonne4]]),FALSE),""),"[hh]:mm"))</f>
        <v>#VALUE!</v>
      </c>
      <c r="AJ139" s="172" t="e">
        <f>IF(VLOOKUP(T_BilanSocial[[#This Row],[NumL]],T_TraitDi[#Data],COLUMN(T_TraitDi[[#This Row],[Colonne5]]),FALSE)=0,"",TEXT(IFERROR(VLOOKUP(T_BilanSocial[[#This Row],[NumL]],T_TraitDi[#Data],COLUMN(T_TraitDi[[#This Row],[Colonne5]]),FALSE),""),"[hh]:mm"))</f>
        <v>#VALUE!</v>
      </c>
      <c r="AK139" s="172" t="e">
        <f>IF(VLOOKUP(T_BilanSocial[[#This Row],[NumL]],T_TraitDi[#Data],COLUMN(T_TraitDi[[#This Row],[Colonne6]]),FALSE)=0,"",TEXT(IFERROR(VLOOKUP(T_BilanSocial[[#This Row],[NumL]],T_TraitDi[#Data],COLUMN(T_TraitDi[[#This Row],[Colonne6]]),FALSE),""),"[hh]:mm"))</f>
        <v>#VALUE!</v>
      </c>
      <c r="AL139" s="172" t="e">
        <f>IF(VLOOKUP(T_BilanSocial[[#This Row],[NumL]],T_TraitDi[#Data],COLUMN(T_TraitDi[[#This Row],[Colonne7]]),FALSE)=0,"",TEXT(IFERROR(VLOOKUP(T_BilanSocial[[#This Row],[NumL]],T_TraitDi[#Data],COLUMN(T_TraitDi[[#This Row],[Colonne7]]),FALSE),""),"[hh]:mm"))</f>
        <v>#VALUE!</v>
      </c>
      <c r="AM139" s="172" t="e">
        <f>IF(VLOOKUP(T_BilanSocial[[#This Row],[NumL]],T_TraitDi[#Data],COLUMN(T_TraitDi[[#This Row],[Colonne8]]),FALSE)=0,"",TEXT(IFERROR(VLOOKUP(T_BilanSocial[[#This Row],[NumL]],T_TraitDi[#Data],COLUMN(T_TraitDi[[#This Row],[Colonne8]]),FALSE),""),"[hh]:mm"))</f>
        <v>#VALUE!</v>
      </c>
      <c r="AN139" s="172" t="str">
        <f>IFERROR(VLOOKUP(T_BilanSocial[[#This Row],[NumL]],T_TraitDi[#Data],COLUMN(T_TraitDi[[#This Row],[Mardi]]),FALSE),"")</f>
        <v/>
      </c>
      <c r="AO139" s="172" t="e">
        <f>IF(VLOOKUP(T_BilanSocial[[#This Row],[NumL]],T_TraitDi[#Data],COLUMN(T_TraitDi[[#This Row],[Colonne1]]),FALSE)=0,"",TEXT(IFERROR(VLOOKUP(T_BilanSocial[[#This Row],[NumL]],T_TraitDi[#Data],COLUMN(T_TraitDi[[#This Row],[Colonne1]]),FALSE),""),"[hh]:mm"))</f>
        <v>#VALUE!</v>
      </c>
      <c r="AP139" s="172" t="e">
        <f>IF(VLOOKUP(T_BilanSocial[[#This Row],[NumL]],T_TraitDi[#Data],COLUMN(T_TraitDi[[#This Row],[Colonne9]]),FALSE)=0,"",TEXT(IFERROR(VLOOKUP(T_BilanSocial[[#This Row],[NumL]],T_TraitDi[#Data],COLUMN(T_TraitDi[[#This Row],[Colonne9]]),FALSE),""),"[hh]:mm"))</f>
        <v>#VALUE!</v>
      </c>
      <c r="AQ139" s="172" t="str">
        <f>IFERROR(VLOOKUP(T_BilanSocial[[#This Row],[NumL]],T_TraitDi[#Data],COLUMN(T_TraitDi[[#This Row],[Colonne10]]),FALSE),"")</f>
        <v/>
      </c>
      <c r="AR139" s="172" t="e">
        <f>IF(VLOOKUP(T_BilanSocial[[#This Row],[NumL]],T_TraitDi[#Data],COLUMN(T_TraitDi[[#This Row],[Colonne11]]),FALSE)=0,"",TEXT(IFERROR(VLOOKUP(T_BilanSocial[[#This Row],[NumL]],T_TraitDi[#Data],COLUMN(T_TraitDi[[#This Row],[Colonne11]]),FALSE),""),"[hh]:mm"))</f>
        <v>#VALUE!</v>
      </c>
      <c r="AS139" s="172" t="e">
        <f>IF(VLOOKUP(T_BilanSocial[[#This Row],[NumL]],T_TraitDi[#Data],COLUMN(T_TraitDi[[#This Row],[Colonne12]]),FALSE)=0,"",TEXT(IFERROR(VLOOKUP(T_BilanSocial[[#This Row],[NumL]],T_TraitDi[#Data],COLUMN(T_TraitDi[[#This Row],[Colonne12]]),FALSE),""),"[hh]:mm"))</f>
        <v>#VALUE!</v>
      </c>
      <c r="AT139" s="172" t="e">
        <f>IF(VLOOKUP(T_BilanSocial[[#This Row],[NumL]],T_TraitDi[#Data],COLUMN(T_TraitDi[[#This Row],[Colonne14]]),FALSE)=0,"",TEXT(IFERROR(VLOOKUP(T_BilanSocial[[#This Row],[NumL]],T_TraitDi[#Data],COLUMN(T_TraitDi[[#This Row],[Colonne14]]),FALSE),""),"[hh]:mm"))</f>
        <v>#VALUE!</v>
      </c>
      <c r="AU139" s="172" t="str">
        <f>IFERROR(VLOOKUP(T_BilanSocial[[#This Row],[NumL]],T_TraitDi[#Data],COLUMN(T_TraitDi[[#This Row],[Mercredi]]),FALSE),"")</f>
        <v/>
      </c>
      <c r="AV139" s="172" t="e">
        <f>IF(VLOOKUP(T_BilanSocial[[#This Row],[NumL]],T_TraitDi[#Data],COLUMN(T_TraitDi[[#This Row],[Colonne15]]),FALSE)=0,"",TEXT(IFERROR(VLOOKUP(T_BilanSocial[[#This Row],[NumL]],T_TraitDi[#Data],COLUMN(T_TraitDi[[#This Row],[Colonne15]]),FALSE),""),"[hh]:mm"))</f>
        <v>#VALUE!</v>
      </c>
      <c r="AW139" s="172" t="e">
        <f>IF(VLOOKUP(T_BilanSocial[[#This Row],[NumL]],T_TraitDi[#Data],COLUMN(T_TraitDi[[#This Row],[Colonne16]]),FALSE)=0,"",TEXT(IFERROR(VLOOKUP(T_BilanSocial[[#This Row],[NumL]],T_TraitDi[#Data],COLUMN(T_TraitDi[[#This Row],[Colonne16]]),FALSE),""),"[hh]:mm"))</f>
        <v>#VALUE!</v>
      </c>
      <c r="AX139" s="172" t="str">
        <f>IFERROR(VLOOKUP(T_BilanSocial[[#This Row],[NumL]],T_TraitDi[#Data],COLUMN(T_TraitDi[[#This Row],[Colonne17]]),FALSE),"")</f>
        <v/>
      </c>
      <c r="AY139" s="172" t="e">
        <f>IF(VLOOKUP(T_BilanSocial[[#This Row],[NumL]],T_TraitDi[#Data],COLUMN(T_TraitDi[[#This Row],[Colonne18]]),FALSE)=0,"",TEXT(IFERROR(VLOOKUP(T_BilanSocial[[#This Row],[NumL]],T_TraitDi[#Data],COLUMN(T_TraitDi[[#This Row],[Colonne18]]),FALSE),""),"[hh]:mm"))</f>
        <v>#VALUE!</v>
      </c>
      <c r="AZ139" s="172" t="e">
        <f>IF(VLOOKUP(T_BilanSocial[[#This Row],[NumL]],T_TraitDi[#Data],COLUMN(T_TraitDi[[#This Row],[Colonne19]]),FALSE)=0,"",TEXT(IFERROR(VLOOKUP(T_BilanSocial[[#This Row],[NumL]],T_TraitDi[#Data],COLUMN(T_TraitDi[[#This Row],[Colonne19]]),FALSE),""),"[hh]:mm"))</f>
        <v>#VALUE!</v>
      </c>
      <c r="BA139" s="172" t="e">
        <f>IF(VLOOKUP(T_BilanSocial[[#This Row],[NumL]],T_TraitDi[#Data],COLUMN(T_TraitDi[[#This Row],[Colonne20]]),FALSE)=0,"",TEXT(IFERROR(VLOOKUP(T_BilanSocial[[#This Row],[NumL]],T_TraitDi[#Data],COLUMN(T_TraitDi[[#This Row],[Colonne20]]),FALSE),""),"[hh]:mm"))</f>
        <v>#VALUE!</v>
      </c>
      <c r="BB139" s="178" t="str">
        <f>IFERROR(VLOOKUP(T_BilanSocial[[#This Row],[NumL]],T_TraitDi[#Data],COLUMN(T_TraitDi[[#This Row],[Jeudi]]),FALSE),"")</f>
        <v/>
      </c>
      <c r="BC139" s="178" t="e">
        <f>IF(VLOOKUP(T_BilanSocial[[#This Row],[NumL]],T_TraitDi[#Data],COLUMN(T_TraitDi[[#This Row],[Colonne21]]),FALSE)=0,"",TEXT(IFERROR(VLOOKUP(T_BilanSocial[[#This Row],[NumL]],T_TraitDi[#Data],COLUMN(T_TraitDi[[#This Row],[Colonne21]]),FALSE),""),"[hh]:mm"))</f>
        <v>#VALUE!</v>
      </c>
      <c r="BD139" s="178" t="e">
        <f>IF(VLOOKUP(T_BilanSocial[[#This Row],[NumL]],T_TraitDi[#Data],COLUMN(T_TraitDi[[#This Row],[Colonne22]]),FALSE)=0,"",TEXT(IFERROR(VLOOKUP(T_BilanSocial[[#This Row],[NumL]],T_TraitDi[#Data],COLUMN(T_TraitDi[[#This Row],[Colonne22]]),FALSE),""),"[hh]:mm"))</f>
        <v>#VALUE!</v>
      </c>
      <c r="BE139" s="178" t="str">
        <f>IFERROR(VLOOKUP(T_BilanSocial[[#This Row],[NumL]],T_TraitDi[#Data],COLUMN(T_TraitDi[[#This Row],[Colonne23]]),FALSE),"")</f>
        <v/>
      </c>
      <c r="BF139" s="178" t="e">
        <f>IF(VLOOKUP(T_BilanSocial[[#This Row],[NumL]],T_TraitDi[#Data],COLUMN(T_TraitDi[[#This Row],[Colonne24]]),FALSE)=0,"",TEXT(IFERROR(VLOOKUP(T_BilanSocial[[#This Row],[NumL]],T_TraitDi[#Data],COLUMN(T_TraitDi[[#This Row],[Colonne24]]),FALSE),""),"[hh]:mm"))</f>
        <v>#VALUE!</v>
      </c>
      <c r="BG139" s="178" t="e">
        <f>IF(VLOOKUP(T_BilanSocial[[#This Row],[NumL]],T_TraitDi[#Data],COLUMN(T_TraitDi[[#This Row],[Colonne25]]),FALSE)=0,"",TEXT(IFERROR(VLOOKUP(T_BilanSocial[[#This Row],[NumL]],T_TraitDi[#Data],COLUMN(T_TraitDi[[#This Row],[Colonne25]]),FALSE),""),"[hh]:mm"))</f>
        <v>#VALUE!</v>
      </c>
      <c r="BH139" s="178" t="e">
        <f>IF(VLOOKUP(T_BilanSocial[[#This Row],[NumL]],T_TraitDi[#Data],COLUMN(T_TraitDi[[#This Row],[Colonne26]]),FALSE)=0,"",TEXT(IFERROR(VLOOKUP(T_BilanSocial[[#This Row],[NumL]],T_TraitDi[#Data],COLUMN(T_TraitDi[[#This Row],[Colonne26]]),FALSE),""),"[hh]:mm"))</f>
        <v>#VALUE!</v>
      </c>
      <c r="BI139" s="172" t="str">
        <f>IFERROR(VLOOKUP(T_BilanSocial[[#This Row],[NumL]],T_TraitDi[#Data],COLUMN(T_TraitDi[[#This Row],[Vendredi]]),FALSE),"")</f>
        <v/>
      </c>
      <c r="BJ139" s="172" t="e">
        <f>IF(VLOOKUP(T_BilanSocial[[#This Row],[NumL]],T_TraitDi[#Data],COLUMN(T_TraitDi[[#This Row],[Colonne27]]),FALSE)=0,"",TEXT(IFERROR(VLOOKUP(T_BilanSocial[[#This Row],[NumL]],T_TraitDi[#Data],COLUMN(T_TraitDi[[#This Row],[Colonne27]]),FALSE),""),"[hh]:mm"))</f>
        <v>#VALUE!</v>
      </c>
      <c r="BK139" s="172" t="e">
        <f>IF(VLOOKUP(T_BilanSocial[[#This Row],[NumL]],T_TraitDi[#Data],COLUMN(T_TraitDi[[#This Row],[Colonne28]]),FALSE)=0,"",TEXT(IFERROR(VLOOKUP(T_BilanSocial[[#This Row],[NumL]],T_TraitDi[#Data],COLUMN(T_TraitDi[[#This Row],[Colonne28]]),FALSE),""),"[hh]:mm"))</f>
        <v>#VALUE!</v>
      </c>
      <c r="BL139" s="172" t="str">
        <f>IFERROR(VLOOKUP(T_BilanSocial[[#This Row],[NumL]],T_TraitDi[#Data],COLUMN(T_TraitDi[[#This Row],[Colonne29]]),FALSE),"")</f>
        <v/>
      </c>
      <c r="BM139" s="172" t="e">
        <f>IF(VLOOKUP(T_BilanSocial[[#This Row],[NumL]],T_TraitDi[#Data],COLUMN(T_TraitDi[[#This Row],[Colonne30]]),FALSE)=0,"",TEXT(IFERROR(VLOOKUP(T_BilanSocial[[#This Row],[NumL]],T_TraitDi[#Data],COLUMN(T_TraitDi[[#This Row],[Colonne30]]),FALSE),""),"[hh]:mm"))</f>
        <v>#VALUE!</v>
      </c>
      <c r="BN139" s="172" t="e">
        <f>IF(VLOOKUP(T_BilanSocial[[#This Row],[NumL]],T_TraitDi[#Data],COLUMN(T_TraitDi[[#This Row],[Colonne31]]),FALSE)=0,"",TEXT(IFERROR(VLOOKUP(T_BilanSocial[[#This Row],[NumL]],T_TraitDi[#Data],COLUMN(T_TraitDi[[#This Row],[Colonne31]]),FALSE),""),"[hh]:mm"))</f>
        <v>#VALUE!</v>
      </c>
      <c r="BO139" s="172" t="e">
        <f>IF(VLOOKUP(T_BilanSocial[[#This Row],[NumL]],T_TraitDi[#Data],COLUMN(T_TraitDi[[#This Row],[Colonne32]]),FALSE)=0,"",TEXT(IFERROR(VLOOKUP(T_BilanSocial[[#This Row],[NumL]],T_TraitDi[#Data],COLUMN(T_TraitDi[[#This Row],[Colonne32]]),FALSE),""),"[hh]:mm"))</f>
        <v>#VALUE!</v>
      </c>
      <c r="BP139" s="172" t="e">
        <f>VLOOKUP(T_BilanSocial[[#This Row],[NumL]],T_TraitDi[#Data],COLUMN(T_TraitDi[NbJTot]),FALSE)</f>
        <v>#N/A</v>
      </c>
      <c r="BQ139" s="174" t="str">
        <f>IFERROR(VLOOKUP(T_BilanSocial[[#This Row],[NumL]],T_TraitDi[#Data],COLUMN(T_TraitDi[[#This Row],[NbJTW]]),FALSE),"")</f>
        <v/>
      </c>
      <c r="BR139" s="174" t="e">
        <f>IF(VLOOKUP(T_BilanSocial[[#This Row],[NumL]],T_TraitDi[#Data],COLUMN(T_TraitDi[[#This Row],[NbhTW]]),FALSE)=0,"",TEXT(IFERROR(VLOOKUP(T_BilanSocial[[#This Row],[NumL]],T_TraitDi[#Data],COLUMN(T_TraitDi[[#This Row],[NbhTW]]),FALSE),""),"[hh]:mm"))</f>
        <v>#VALUE!</v>
      </c>
      <c r="BS139" s="174" t="e">
        <f>IF(VLOOKUP(T_BilanSocial[[#This Row],[NumL]],T_TraitDi[#Data],COLUMN(T_TraitDi[[#This Row],[Nbhheb]]),FALSE)=0,"",TEXT(IFERROR(VLOOKUP($A139,T_TraitDi[#Data],COLUMN(T_TraitDi[[#This Row],[Nbhheb]]),FALSE),""),"[hh]:mm"))</f>
        <v>#VALUE!</v>
      </c>
      <c r="BT139" s="182" t="str">
        <f>IFERROR(VLOOKUP(VLOOKUP($A139,T_TraitDi[#Data],COLUMN(T_TraitDi[[#This Row],[Type1]]),FALSE),TypeTW,2,FALSE),"")</f>
        <v/>
      </c>
      <c r="BU139" s="182" t="str">
        <f>IFERROR(VLOOKUP($A139,T_TraitDi[#Data],COLUMN(T_TraitDi[[#This Row],[Rue1]]),FALSE),"")</f>
        <v/>
      </c>
      <c r="BV139" s="173" t="str">
        <f>IFERROR(VLOOKUP($A139,T_TraitDi[#Data],COLUMN(T_TraitDi[[#This Row],[CP1]]),FALSE),"")</f>
        <v/>
      </c>
      <c r="BW139" s="173" t="str">
        <f>IFERROR(VLOOKUP($A139,T_TraitDi[#Data],COLUMN(T_TraitDi[[#This Row],[VILLE1]]),FALSE),"")</f>
        <v/>
      </c>
      <c r="BX139" s="182" t="str">
        <f>IFERROR(VLOOKUP(VLOOKUP($A139,T_TraitDi[#Data],COLUMN(T_TraitDi[[#This Row],[Type2]]),FALSE),TypeTW,2,FALSE),"")</f>
        <v/>
      </c>
      <c r="BY139" s="182" t="str">
        <f>IFERROR(VLOOKUP($A139,T_TraitDi[#Data],COLUMN(T_TraitDi[[#This Row],[Rue2]]),FALSE),"")</f>
        <v/>
      </c>
      <c r="BZ139" s="173" t="str">
        <f>IFERROR(VLOOKUP($A139,T_TraitDi[#Data],COLUMN(T_TraitDi[[#This Row],[CP2]]),FALSE),"")</f>
        <v/>
      </c>
      <c r="CA139" s="173" t="str">
        <f>IFERROR(VLOOKUP($A139,T_TraitDi[#Data],COLUMN(T_TraitDi[[#This Row],[VILLE2]]),FALSE),"")</f>
        <v/>
      </c>
      <c r="CB139" s="182" t="str">
        <f>IF(VLOOKUP(T_BilanSocial[[#This Row],[NumL]],T_Equipement[#Data],COLUMN(T_Equipement[[#This Row],[PC]]),FALSE)="","Aucun équipement spécifique directement lié au télétravail",VLOOKUP(T_BilanSocial[[#This Row],[NumL]],T_Equipement[#Data],COLUMN(T_Equipement[[#This Row],[PC]]),FALSE))</f>
        <v xml:space="preserve">20-255	</v>
      </c>
      <c r="CC139" s="166" t="str">
        <f>IFERROR(IF(VLOOKUP(T_BilanSocial[[#This Row],[NumL]],T_TraitDi[#Data],COLUMN(T_TraitDi[[#This Row],[Plan]]),FALSE)="OK","Un planning spécifique de télétravail est annexé à la présente convention.",""),"")</f>
        <v/>
      </c>
      <c r="CD139" s="258" t="s">
        <v>3346</v>
      </c>
      <c r="CE139" s="164" t="e">
        <f>IF(VLOOKUP(T_BilanSocial[[#This Row],[NumL]],T_suiviDi[#Data],COLUMN(T_suiviDi[[#This Row],[Entité]]),FALSE)="","",VLOOKUP(T_BilanSocial[[#This Row],[NumL]],T_suiviDi[#Data],COLUMN(T_suiviDi[[#This Row],[Entité]]),FALSE))</f>
        <v>#VALUE!</v>
      </c>
      <c r="CF139" s="164" t="str">
        <f>IF(VLOOKUP(T_BilanSocial[[#This Row],[NumL]],T_Commission[#Data],COLUMN(T_Commission[[#This Row],[envoi confirm TW]]),FALSE)="","",VLOOKUP(T_BilanSocial[[#This Row],[NumL]],T_Commission[#Data],COLUMN(T_Commission[[#This Row],[envoi confirm TW]]),FALSE))</f>
        <v>Oui</v>
      </c>
      <c r="CG13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39" s="262" t="str">
        <f>T_BilanSocial[[#This Row],[Nom]]&amp;T_BilanSocial[[#This Row],[Prenom]]</f>
        <v/>
      </c>
      <c r="CI139" s="262">
        <f>VLOOKUP(T_BilanSocial[[#This Row],[NumL]],T_Commission[#Data],COLUMN(T_Commission[Commentaire]),FALSE)</f>
        <v>0</v>
      </c>
      <c r="CJ139" s="262" t="str">
        <f>IF(VLOOKUP(T_BilanSocial[[#This Row],[NumL]],T_Commission[#Data],COLUMN(T_Commission[Encadrant Email]),FALSE)="","",VLOOKUP(T_BilanSocial[[#This Row],[NumL]],T_Commission[#Data],COLUMN(T_Commission[Encadrant Email]),FALSE))</f>
        <v/>
      </c>
      <c r="CK139" s="340" t="str">
        <f>IF(T_BilanSocial[[#This Row],[Final]]&lt;&gt;"",VLOOKUP(T_BilanSocial[[#This Row],[NumL]],T_suiviDi[#Data],COLUMN((T_suiviDi[Statut])),FALSE),"")</f>
        <v/>
      </c>
    </row>
    <row r="140" spans="1:89" s="106" customFormat="1" ht="24.75" customHeight="1" x14ac:dyDescent="0.25">
      <c r="A140" s="160">
        <v>137</v>
      </c>
      <c r="B140" s="161">
        <f t="shared" si="22"/>
        <v>1</v>
      </c>
      <c r="C140" s="162" t="s">
        <v>3287</v>
      </c>
      <c r="D140" s="95" t="e">
        <f>IF(VLOOKUP(T_BilanSocial[[#This Row],[NumL]],T_TraitDi[#Data],COLUMN(T_TraitDi[[#This Row],[WebC]]),FALSE)="","",VLOOKUP(T_BilanSocial[[#This Row],[NumL]],T_TraitDi[#Data],COLUMN(T_TraitDi[[#This Row],[WebC]]),FALSE))</f>
        <v>#VALUE!</v>
      </c>
      <c r="E140" s="163" t="str">
        <f t="shared" si="23"/>
        <v>12 janvier 2021</v>
      </c>
      <c r="F140" s="96" t="str">
        <f>IF(T_BilanSocial[[#This Row],[Final]]&lt;&gt;"",VLOOKUP(T_BilanSocial[[#This Row],[NumL]],T_suiviDi[#Data],COLUMN((T_suiviDi[Civ.])),FALSE),"")</f>
        <v>M.</v>
      </c>
      <c r="G140" s="96" t="str">
        <f>IF(T_BilanSocial[[#This Row],[Final]]&lt;&gt;"",VLOOKUP(T_BilanSocial[[#This Row],[NumL]],T_suiviDi[#Data],COLUMN((T_suiviDi[Nom])),FALSE),"")</f>
        <v>A</v>
      </c>
      <c r="H140" s="96" t="str">
        <f>IF(T_BilanSocial[[#This Row],[Final]]&lt;&gt;"",VLOOKUP(T_BilanSocial[[#This Row],[NumL]],T_suiviDi[#Data],COLUMN((T_suiviDi[Prénom])),FALSE),"")</f>
        <v>Babak</v>
      </c>
      <c r="I140" s="96" t="str">
        <f>IFERROR(VLOOKUP(T_BilanSocial[[#This Row],[Zone_Bilan]],T_P_BilanSocial[#Data],COLUMN(T_P_BilanSocial[[#This Row],[Numero_SIHAM]]),FALSE),"")</f>
        <v/>
      </c>
      <c r="J140" s="96" t="str">
        <f>IFERROR(VLOOKUP(T_BilanSocial[[#This Row],[Zone_Bilan]],T_P_BilanSocial[#Data],COLUMN(T_P_BilanSocial[[#This Row],[Sexe]]),FALSE),"")</f>
        <v/>
      </c>
      <c r="K140" s="97" t="str">
        <f>IFERROR(VLOOKUP(T_BilanSocial[[#This Row],[Zone_Bilan]],T_P_BilanSocial[#Data],COLUMN(T_P_BilanSocial[[#This Row],[Categorie]]),FALSE),"")</f>
        <v/>
      </c>
      <c r="L140" s="96" t="str">
        <f>IFERROR(VLOOKUP(T_BilanSocial[[#This Row],[Zone_Bilan]],T_P_BilanSocial[#Data],COLUMN(T_P_BilanSocial[[#This Row],[Statut]]),FALSE),"")</f>
        <v/>
      </c>
      <c r="M140" s="96" t="str">
        <f>IFERROR(VLOOKUP(T_BilanSocial[[#This Row],[Zone_Bilan]],T_P_BilanSocial[#Data],COLUMN(T_P_BilanSocial[[#This Row],[Filiere]]),FALSE),"")</f>
        <v/>
      </c>
      <c r="N140" s="96" t="str">
        <f>VLOOKUP(T_BilanSocial[[#This Row],[NumL]],T_TraitDi[#Data],COLUMN(T_TraitDi[EXP]),FALSE)</f>
        <v>N</v>
      </c>
      <c r="O140" s="96" t="str">
        <f>VLOOKUP(T_BilanSocial[[#This Row],[NumL]],T_TraitDi[#Data],COLUMN(T_TraitDi[FORM]),FALSE)</f>
        <v>N</v>
      </c>
      <c r="P140" s="96">
        <f>IF(T_BilanSocial[[#This Row],[Final]]&lt;&gt;"",VLOOKUP(T_BilanSocial[[#This Row],[NumL]],T_suiviDi[#Data],COLUMN((T_suiviDi[Email])),FALSE),"")</f>
        <v>0</v>
      </c>
      <c r="Q140" s="164" t="str">
        <f t="shared" si="17"/>
        <v>Pôle master</v>
      </c>
      <c r="R140" s="164" t="str">
        <f t="shared" si="18"/>
        <v>Référent pôle master</v>
      </c>
      <c r="S140" s="164" t="e">
        <f>IF(VLOOKUP(T_BilanSocial[[#This Row],[NumL]],T_suiviDi[#Data],COLUMN(T_suiviDi[[#This Row],[Service ]]),FALSE)="","",VLOOKUP(T_BilanSocial[[#This Row],[NumL]],T_suiviDi[#Data],COLUMN(T_suiviDi[[#This Row],[Service ]]),FALSE))</f>
        <v>#VALUE!</v>
      </c>
      <c r="T140" s="164" t="str">
        <f t="shared" si="24"/>
        <v>01 septembre 2021</v>
      </c>
      <c r="U140" s="164" t="str">
        <f t="shared" si="25"/>
        <v>30 novembre 2021</v>
      </c>
      <c r="V140" s="164" t="str">
        <f>TEXT(Datebilan,"jj mmmm aaaa")</f>
        <v>30 novembre 2021</v>
      </c>
      <c r="W140" s="176" t="e">
        <f>IF(VLOOKUP(T_BilanSocial[[#This Row],[NumL]],T_TraitDi[#Data],COLUMN(T_TraitDi[[#This Row],[M1]]),FALSE)="","",VLOOKUP(T_BilanSocial[[#This Row],[NumL]],T_TraitDi[#Data],COLUMN(T_TraitDi[[#This Row],[M1]]),FALSE))</f>
        <v>#VALUE!</v>
      </c>
      <c r="X140" s="176" t="e">
        <f>IF(VLOOKUP(T_BilanSocial[[#This Row],[NumL]],T_TraitDi[#Data],COLUMN(T_TraitDi[[#This Row],[M2]]),FALSE)="","",VLOOKUP(T_BilanSocial[[#This Row],[NumL]],T_TraitDi[#Data],COLUMN(T_TraitDi[[#This Row],[M2]]),FALSE))</f>
        <v>#VALUE!</v>
      </c>
      <c r="Y140" s="176" t="e">
        <f>IF(VLOOKUP(T_BilanSocial[[#This Row],[NumL]],T_TraitDi[#Data],COLUMN(T_TraitDi[[#This Row],[M3]]),FALSE)="","",VLOOKUP(T_BilanSocial[[#This Row],[NumL]],T_TraitDi[#Data],COLUMN(T_TraitDi[[#This Row],[M3]]),FALSE))</f>
        <v>#VALUE!</v>
      </c>
      <c r="Z140" s="176" t="str">
        <f t="shared" si="27"/>
        <v xml:space="preserve"> -Coordination campagnes universitaires</v>
      </c>
      <c r="AA140" s="176" t="e">
        <f>IF(VLOOKUP(T_BilanSocial[[#This Row],[NumL]],T_TraitDi[#Data],COLUMN(T_TraitDi[[#This Row],[M5]]),FALSE)="","",VLOOKUP(T_BilanSocial[[#This Row],[NumL]],T_TraitDi[#Data],COLUMN(T_TraitDi[[#This Row],[M5]]),FALSE))</f>
        <v>#VALUE!</v>
      </c>
      <c r="AB140" s="176" t="e">
        <f>IF(VLOOKUP(T_BilanSocial[[#This Row],[NumL]],T_TraitDi[#Data],COLUMN(T_TraitDi[[#This Row],[M6]]),FALSE)="","",VLOOKUP(T_BilanSocial[[#This Row],[NumL]],T_TraitDi[#Data],COLUMN(T_TraitDi[[#This Row],[M6]]),FALSE))</f>
        <v>#VALUE!</v>
      </c>
      <c r="AC140" s="165" t="e">
        <f t="shared" si="26"/>
        <v>#VALUE!</v>
      </c>
      <c r="AD140" s="188" t="str">
        <f>IFERROR(TEXT(VLOOKUP(T_BilanSocial[[#This Row],[NumL]],T_TraitDi[#Data],COLUMN(T_TraitDi[[#This Row],[Q2]]),FALSE),"###%"),"")</f>
        <v/>
      </c>
      <c r="AE140" s="97" t="e">
        <f>VLOOKUP(T_BilanSocial[[#This Row],[NumL]],T_TraitDi[#Data],COLUMN(T_TraitDi[[#This Row],[Reg Ponct]]),FALSE)</f>
        <v>#VALUE!</v>
      </c>
      <c r="AF140" s="97" t="e">
        <f>VLOOKUP(T_BilanSocial[NumL],T_TraitDi[#Data],COLUMN(T_TraitDi[[#This Row],[Jours flottants]]),FALSE)</f>
        <v>#VALUE!</v>
      </c>
      <c r="AG140" s="97" t="str">
        <f>IFERROR(VLOOKUP(T_BilanSocial[[#This Row],[NumL]],T_TraitDi[#Data],COLUMN(T_TraitDi[[#This Row],[Lundi]]),FALSE),"")</f>
        <v/>
      </c>
      <c r="AH140" s="172" t="e">
        <f>IF(VLOOKUP(T_BilanSocial[[#This Row],[NumL]],T_TraitDi[#Data],COLUMN(T_TraitDi[[#This Row],[Colonne3]]),FALSE)=0,"",TEXT(IFERROR(VLOOKUP(T_BilanSocial[[#This Row],[NumL]],T_TraitDi[#Data],COLUMN(T_TraitDi[[#This Row],[Colonne3]]),FALSE),""),"[hh]:mm"))</f>
        <v>#VALUE!</v>
      </c>
      <c r="AI140" s="172" t="e">
        <f>IF(VLOOKUP(T_BilanSocial[[#This Row],[NumL]],T_TraitDi[#Data],COLUMN(T_TraitDi[[#This Row],[Colonne4]]),FALSE)=0,"",TEXT(IFERROR(VLOOKUP(T_BilanSocial[[#This Row],[NumL]],T_TraitDi[#Data],COLUMN(T_TraitDi[[#This Row],[Colonne4]]),FALSE),""),"[hh]:mm"))</f>
        <v>#VALUE!</v>
      </c>
      <c r="AJ140" s="172" t="e">
        <f>IF(VLOOKUP(T_BilanSocial[[#This Row],[NumL]],T_TraitDi[#Data],COLUMN(T_TraitDi[[#This Row],[Colonne5]]),FALSE)=0,"",TEXT(IFERROR(VLOOKUP(T_BilanSocial[[#This Row],[NumL]],T_TraitDi[#Data],COLUMN(T_TraitDi[[#This Row],[Colonne5]]),FALSE),""),"[hh]:mm"))</f>
        <v>#VALUE!</v>
      </c>
      <c r="AK140" s="172" t="e">
        <f>IF(VLOOKUP(T_BilanSocial[[#This Row],[NumL]],T_TraitDi[#Data],COLUMN(T_TraitDi[[#This Row],[Colonne6]]),FALSE)=0,"",TEXT(IFERROR(VLOOKUP(T_BilanSocial[[#This Row],[NumL]],T_TraitDi[#Data],COLUMN(T_TraitDi[[#This Row],[Colonne6]]),FALSE),""),"[hh]:mm"))</f>
        <v>#VALUE!</v>
      </c>
      <c r="AL140" s="172" t="e">
        <f>IF(VLOOKUP(T_BilanSocial[[#This Row],[NumL]],T_TraitDi[#Data],COLUMN(T_TraitDi[[#This Row],[Colonne7]]),FALSE)=0,"",TEXT(IFERROR(VLOOKUP(T_BilanSocial[[#This Row],[NumL]],T_TraitDi[#Data],COLUMN(T_TraitDi[[#This Row],[Colonne7]]),FALSE),""),"[hh]:mm"))</f>
        <v>#VALUE!</v>
      </c>
      <c r="AM140" s="172" t="e">
        <f>IF(VLOOKUP(T_BilanSocial[[#This Row],[NumL]],T_TraitDi[#Data],COLUMN(T_TraitDi[[#This Row],[Colonne8]]),FALSE)=0,"",TEXT(IFERROR(VLOOKUP(T_BilanSocial[[#This Row],[NumL]],T_TraitDi[#Data],COLUMN(T_TraitDi[[#This Row],[Colonne8]]),FALSE),""),"[hh]:mm"))</f>
        <v>#VALUE!</v>
      </c>
      <c r="AN140" s="172" t="str">
        <f>IFERROR(VLOOKUP(T_BilanSocial[[#This Row],[NumL]],T_TraitDi[#Data],COLUMN(T_TraitDi[[#This Row],[Mardi]]),FALSE),"")</f>
        <v/>
      </c>
      <c r="AO140" s="172" t="e">
        <f>IF(VLOOKUP(T_BilanSocial[[#This Row],[NumL]],T_TraitDi[#Data],COLUMN(T_TraitDi[[#This Row],[Colonne1]]),FALSE)=0,"",TEXT(IFERROR(VLOOKUP(T_BilanSocial[[#This Row],[NumL]],T_TraitDi[#Data],COLUMN(T_TraitDi[[#This Row],[Colonne1]]),FALSE),""),"[hh]:mm"))</f>
        <v>#VALUE!</v>
      </c>
      <c r="AP140" s="172" t="e">
        <f>IF(VLOOKUP(T_BilanSocial[[#This Row],[NumL]],T_TraitDi[#Data],COLUMN(T_TraitDi[[#This Row],[Colonne9]]),FALSE)=0,"",TEXT(IFERROR(VLOOKUP(T_BilanSocial[[#This Row],[NumL]],T_TraitDi[#Data],COLUMN(T_TraitDi[[#This Row],[Colonne9]]),FALSE),""),"[hh]:mm"))</f>
        <v>#VALUE!</v>
      </c>
      <c r="AQ140" s="172" t="str">
        <f>IFERROR(VLOOKUP(T_BilanSocial[[#This Row],[NumL]],T_TraitDi[#Data],COLUMN(T_TraitDi[[#This Row],[Colonne10]]),FALSE),"")</f>
        <v/>
      </c>
      <c r="AR140" s="172" t="e">
        <f>IF(VLOOKUP(T_BilanSocial[[#This Row],[NumL]],T_TraitDi[#Data],COLUMN(T_TraitDi[[#This Row],[Colonne11]]),FALSE)=0,"",TEXT(IFERROR(VLOOKUP(T_BilanSocial[[#This Row],[NumL]],T_TraitDi[#Data],COLUMN(T_TraitDi[[#This Row],[Colonne11]]),FALSE),""),"[hh]:mm"))</f>
        <v>#VALUE!</v>
      </c>
      <c r="AS140" s="172" t="e">
        <f>IF(VLOOKUP(T_BilanSocial[[#This Row],[NumL]],T_TraitDi[#Data],COLUMN(T_TraitDi[[#This Row],[Colonne12]]),FALSE)=0,"",TEXT(IFERROR(VLOOKUP(T_BilanSocial[[#This Row],[NumL]],T_TraitDi[#Data],COLUMN(T_TraitDi[[#This Row],[Colonne12]]),FALSE),""),"[hh]:mm"))</f>
        <v>#VALUE!</v>
      </c>
      <c r="AT140" s="172" t="e">
        <f>IF(VLOOKUP(T_BilanSocial[[#This Row],[NumL]],T_TraitDi[#Data],COLUMN(T_TraitDi[[#This Row],[Colonne14]]),FALSE)=0,"",TEXT(IFERROR(VLOOKUP(T_BilanSocial[[#This Row],[NumL]],T_TraitDi[#Data],COLUMN(T_TraitDi[[#This Row],[Colonne14]]),FALSE),""),"[hh]:mm"))</f>
        <v>#VALUE!</v>
      </c>
      <c r="AU140" s="172" t="str">
        <f>IFERROR(VLOOKUP(T_BilanSocial[[#This Row],[NumL]],T_TraitDi[#Data],COLUMN(T_TraitDi[[#This Row],[Mercredi]]),FALSE),"")</f>
        <v/>
      </c>
      <c r="AV140" s="172" t="e">
        <f>IF(VLOOKUP(T_BilanSocial[[#This Row],[NumL]],T_TraitDi[#Data],COLUMN(T_TraitDi[[#This Row],[Colonne15]]),FALSE)=0,"",TEXT(IFERROR(VLOOKUP(T_BilanSocial[[#This Row],[NumL]],T_TraitDi[#Data],COLUMN(T_TraitDi[[#This Row],[Colonne15]]),FALSE),""),"[hh]:mm"))</f>
        <v>#VALUE!</v>
      </c>
      <c r="AW140" s="172" t="e">
        <f>IF(VLOOKUP(T_BilanSocial[[#This Row],[NumL]],T_TraitDi[#Data],COLUMN(T_TraitDi[[#This Row],[Colonne16]]),FALSE)=0,"",TEXT(IFERROR(VLOOKUP(T_BilanSocial[[#This Row],[NumL]],T_TraitDi[#Data],COLUMN(T_TraitDi[[#This Row],[Colonne16]]),FALSE),""),"[hh]:mm"))</f>
        <v>#VALUE!</v>
      </c>
      <c r="AX140" s="172" t="str">
        <f>IFERROR(VLOOKUP(T_BilanSocial[[#This Row],[NumL]],T_TraitDi[#Data],COLUMN(T_TraitDi[[#This Row],[Colonne17]]),FALSE),"")</f>
        <v/>
      </c>
      <c r="AY140" s="172" t="e">
        <f>IF(VLOOKUP(T_BilanSocial[[#This Row],[NumL]],T_TraitDi[#Data],COLUMN(T_TraitDi[[#This Row],[Colonne18]]),FALSE)=0,"",TEXT(IFERROR(VLOOKUP(T_BilanSocial[[#This Row],[NumL]],T_TraitDi[#Data],COLUMN(T_TraitDi[[#This Row],[Colonne18]]),FALSE),""),"[hh]:mm"))</f>
        <v>#VALUE!</v>
      </c>
      <c r="AZ140" s="172" t="e">
        <f>IF(VLOOKUP(T_BilanSocial[[#This Row],[NumL]],T_TraitDi[#Data],COLUMN(T_TraitDi[[#This Row],[Colonne19]]),FALSE)=0,"",TEXT(IFERROR(VLOOKUP(T_BilanSocial[[#This Row],[NumL]],T_TraitDi[#Data],COLUMN(T_TraitDi[[#This Row],[Colonne19]]),FALSE),""),"[hh]:mm"))</f>
        <v>#VALUE!</v>
      </c>
      <c r="BA140" s="172" t="e">
        <f>IF(VLOOKUP(T_BilanSocial[[#This Row],[NumL]],T_TraitDi[#Data],COLUMN(T_TraitDi[[#This Row],[Colonne20]]),FALSE)=0,"",TEXT(IFERROR(VLOOKUP(T_BilanSocial[[#This Row],[NumL]],T_TraitDi[#Data],COLUMN(T_TraitDi[[#This Row],[Colonne20]]),FALSE),""),"[hh]:mm"))</f>
        <v>#VALUE!</v>
      </c>
      <c r="BB140" s="178" t="str">
        <f>IFERROR(VLOOKUP(T_BilanSocial[[#This Row],[NumL]],T_TraitDi[#Data],COLUMN(T_TraitDi[[#This Row],[Jeudi]]),FALSE),"")</f>
        <v/>
      </c>
      <c r="BC140" s="178" t="e">
        <f>IF(VLOOKUP(T_BilanSocial[[#This Row],[NumL]],T_TraitDi[#Data],COLUMN(T_TraitDi[[#This Row],[Colonne21]]),FALSE)=0,"",TEXT(IFERROR(VLOOKUP(T_BilanSocial[[#This Row],[NumL]],T_TraitDi[#Data],COLUMN(T_TraitDi[[#This Row],[Colonne21]]),FALSE),""),"[hh]:mm"))</f>
        <v>#VALUE!</v>
      </c>
      <c r="BD140" s="178" t="e">
        <f>IF(VLOOKUP(T_BilanSocial[[#This Row],[NumL]],T_TraitDi[#Data],COLUMN(T_TraitDi[[#This Row],[Colonne22]]),FALSE)=0,"",TEXT(IFERROR(VLOOKUP(T_BilanSocial[[#This Row],[NumL]],T_TraitDi[#Data],COLUMN(T_TraitDi[[#This Row],[Colonne22]]),FALSE),""),"[hh]:mm"))</f>
        <v>#VALUE!</v>
      </c>
      <c r="BE140" s="178" t="str">
        <f>IFERROR(VLOOKUP(T_BilanSocial[[#This Row],[NumL]],T_TraitDi[#Data],COLUMN(T_TraitDi[[#This Row],[Colonne23]]),FALSE),"")</f>
        <v/>
      </c>
      <c r="BF140" s="178" t="e">
        <f>IF(VLOOKUP(T_BilanSocial[[#This Row],[NumL]],T_TraitDi[#Data],COLUMN(T_TraitDi[[#This Row],[Colonne24]]),FALSE)=0,"",TEXT(IFERROR(VLOOKUP(T_BilanSocial[[#This Row],[NumL]],T_TraitDi[#Data],COLUMN(T_TraitDi[[#This Row],[Colonne24]]),FALSE),""),"[hh]:mm"))</f>
        <v>#VALUE!</v>
      </c>
      <c r="BG140" s="178" t="e">
        <f>IF(VLOOKUP(T_BilanSocial[[#This Row],[NumL]],T_TraitDi[#Data],COLUMN(T_TraitDi[[#This Row],[Colonne25]]),FALSE)=0,"",TEXT(IFERROR(VLOOKUP(T_BilanSocial[[#This Row],[NumL]],T_TraitDi[#Data],COLUMN(T_TraitDi[[#This Row],[Colonne25]]),FALSE),""),"[hh]:mm"))</f>
        <v>#VALUE!</v>
      </c>
      <c r="BH140" s="178" t="e">
        <f>IF(VLOOKUP(T_BilanSocial[[#This Row],[NumL]],T_TraitDi[#Data],COLUMN(T_TraitDi[[#This Row],[Colonne26]]),FALSE)=0,"",TEXT(IFERROR(VLOOKUP(T_BilanSocial[[#This Row],[NumL]],T_TraitDi[#Data],COLUMN(T_TraitDi[[#This Row],[Colonne26]]),FALSE),""),"[hh]:mm"))</f>
        <v>#VALUE!</v>
      </c>
      <c r="BI140" s="172" t="str">
        <f>IFERROR(VLOOKUP(T_BilanSocial[[#This Row],[NumL]],T_TraitDi[#Data],COLUMN(T_TraitDi[[#This Row],[Vendredi]]),FALSE),"")</f>
        <v/>
      </c>
      <c r="BJ140" s="172" t="e">
        <f>IF(VLOOKUP(T_BilanSocial[[#This Row],[NumL]],T_TraitDi[#Data],COLUMN(T_TraitDi[[#This Row],[Colonne27]]),FALSE)=0,"",TEXT(IFERROR(VLOOKUP(T_BilanSocial[[#This Row],[NumL]],T_TraitDi[#Data],COLUMN(T_TraitDi[[#This Row],[Colonne27]]),FALSE),""),"[hh]:mm"))</f>
        <v>#VALUE!</v>
      </c>
      <c r="BK140" s="172" t="e">
        <f>IF(VLOOKUP(T_BilanSocial[[#This Row],[NumL]],T_TraitDi[#Data],COLUMN(T_TraitDi[[#This Row],[Colonne28]]),FALSE)=0,"",TEXT(IFERROR(VLOOKUP(T_BilanSocial[[#This Row],[NumL]],T_TraitDi[#Data],COLUMN(T_TraitDi[[#This Row],[Colonne28]]),FALSE),""),"[hh]:mm"))</f>
        <v>#VALUE!</v>
      </c>
      <c r="BL140" s="172" t="str">
        <f>IFERROR(VLOOKUP(T_BilanSocial[[#This Row],[NumL]],T_TraitDi[#Data],COLUMN(T_TraitDi[[#This Row],[Colonne29]]),FALSE),"")</f>
        <v/>
      </c>
      <c r="BM140" s="172" t="e">
        <f>IF(VLOOKUP(T_BilanSocial[[#This Row],[NumL]],T_TraitDi[#Data],COLUMN(T_TraitDi[[#This Row],[Colonne30]]),FALSE)=0,"",TEXT(IFERROR(VLOOKUP(T_BilanSocial[[#This Row],[NumL]],T_TraitDi[#Data],COLUMN(T_TraitDi[[#This Row],[Colonne30]]),FALSE),""),"[hh]:mm"))</f>
        <v>#VALUE!</v>
      </c>
      <c r="BN140" s="172" t="e">
        <f>IF(VLOOKUP(T_BilanSocial[[#This Row],[NumL]],T_TraitDi[#Data],COLUMN(T_TraitDi[[#This Row],[Colonne31]]),FALSE)=0,"",TEXT(IFERROR(VLOOKUP(T_BilanSocial[[#This Row],[NumL]],T_TraitDi[#Data],COLUMN(T_TraitDi[[#This Row],[Colonne31]]),FALSE),""),"[hh]:mm"))</f>
        <v>#VALUE!</v>
      </c>
      <c r="BO140" s="172" t="e">
        <f>IF(VLOOKUP(T_BilanSocial[[#This Row],[NumL]],T_TraitDi[#Data],COLUMN(T_TraitDi[[#This Row],[Colonne32]]),FALSE)=0,"",TEXT(IFERROR(VLOOKUP(T_BilanSocial[[#This Row],[NumL]],T_TraitDi[#Data],COLUMN(T_TraitDi[[#This Row],[Colonne32]]),FALSE),""),"[hh]:mm"))</f>
        <v>#VALUE!</v>
      </c>
      <c r="BP140" s="172">
        <f>VLOOKUP(T_BilanSocial[[#This Row],[NumL]],T_TraitDi[#Data],COLUMN(T_TraitDi[NbJTot]),FALSE)</f>
        <v>4.5</v>
      </c>
      <c r="BQ140" s="174" t="str">
        <f>IFERROR(VLOOKUP(T_BilanSocial[[#This Row],[NumL]],T_TraitDi[#Data],COLUMN(T_TraitDi[[#This Row],[NbJTW]]),FALSE),"")</f>
        <v/>
      </c>
      <c r="BR140" s="174" t="e">
        <f>IF(VLOOKUP(T_BilanSocial[[#This Row],[NumL]],T_TraitDi[#Data],COLUMN(T_TraitDi[[#This Row],[NbhTW]]),FALSE)=0,"",TEXT(IFERROR(VLOOKUP(T_BilanSocial[[#This Row],[NumL]],T_TraitDi[#Data],COLUMN(T_TraitDi[[#This Row],[NbhTW]]),FALSE),""),"[hh]:mm"))</f>
        <v>#VALUE!</v>
      </c>
      <c r="BS140" s="174" t="e">
        <f>IF(VLOOKUP(T_BilanSocial[[#This Row],[NumL]],T_TraitDi[#Data],COLUMN(T_TraitDi[[#This Row],[Nbhheb]]),FALSE)=0,"",TEXT(IFERROR(VLOOKUP($A140,T_TraitDi[#Data],COLUMN(T_TraitDi[[#This Row],[Nbhheb]]),FALSE),""),"[hh]:mm"))</f>
        <v>#VALUE!</v>
      </c>
      <c r="BT140" s="182" t="str">
        <f>IFERROR(VLOOKUP(VLOOKUP($A140,T_TraitDi[#Data],COLUMN(T_TraitDi[[#This Row],[Type1]]),FALSE),TypeTW,2,FALSE),"")</f>
        <v/>
      </c>
      <c r="BU140" s="182" t="str">
        <f>IFERROR(VLOOKUP($A140,T_TraitDi[#Data],COLUMN(T_TraitDi[[#This Row],[Rue1]]),FALSE),"")</f>
        <v/>
      </c>
      <c r="BV140" s="173" t="str">
        <f>IFERROR(VLOOKUP($A140,T_TraitDi[#Data],COLUMN(T_TraitDi[[#This Row],[CP1]]),FALSE),"")</f>
        <v/>
      </c>
      <c r="BW140" s="173" t="str">
        <f>IFERROR(VLOOKUP($A140,T_TraitDi[#Data],COLUMN(T_TraitDi[[#This Row],[VILLE1]]),FALSE),"")</f>
        <v/>
      </c>
      <c r="BX140" s="182" t="str">
        <f>IFERROR(VLOOKUP(VLOOKUP($A140,T_TraitDi[#Data],COLUMN(T_TraitDi[[#This Row],[Type2]]),FALSE),TypeTW,2,FALSE),"")</f>
        <v/>
      </c>
      <c r="BY140" s="182" t="str">
        <f>IFERROR(VLOOKUP($A140,T_TraitDi[#Data],COLUMN(T_TraitDi[[#This Row],[Rue2]]),FALSE),"")</f>
        <v/>
      </c>
      <c r="BZ140" s="173" t="str">
        <f>IFERROR(VLOOKUP($A140,T_TraitDi[#Data],COLUMN(T_TraitDi[[#This Row],[CP2]]),FALSE),"")</f>
        <v/>
      </c>
      <c r="CA140" s="173" t="str">
        <f>IFERROR(VLOOKUP($A140,T_TraitDi[#Data],COLUMN(T_TraitDi[[#This Row],[VILLE2]]),FALSE),"")</f>
        <v/>
      </c>
      <c r="CB140" s="182" t="str">
        <f>IF(VLOOKUP(T_BilanSocial[[#This Row],[NumL]],T_Equipement[#Data],COLUMN(T_Equipement[[#This Row],[PC]]),FALSE)="","Aucun équipement spécifique directement lié au télétravail",VLOOKUP(T_BilanSocial[[#This Row],[NumL]],T_Equipement[#Data],COLUMN(T_Equipement[[#This Row],[PC]]),FALSE))</f>
        <v>20-425</v>
      </c>
      <c r="CC140" s="166" t="str">
        <f>IFERROR(IF(VLOOKUP(T_BilanSocial[[#This Row],[NumL]],T_TraitDi[#Data],COLUMN(T_TraitDi[[#This Row],[Plan]]),FALSE)="OK","Un planning spécifique de télétravail est annexé à la présente convention.",""),"")</f>
        <v/>
      </c>
      <c r="CD140" s="185"/>
      <c r="CE140" s="164" t="e">
        <f>IF(VLOOKUP(T_BilanSocial[[#This Row],[NumL]],T_suiviDi[#Data],COLUMN(T_suiviDi[[#This Row],[Entité]]),FALSE)="","",VLOOKUP(T_BilanSocial[[#This Row],[NumL]],T_suiviDi[#Data],COLUMN(T_suiviDi[[#This Row],[Entité]]),FALSE))</f>
        <v>#VALUE!</v>
      </c>
      <c r="CF140" s="164" t="str">
        <f>IF(VLOOKUP(T_BilanSocial[[#This Row],[NumL]],T_Commission[#Data],COLUMN(T_Commission[[#This Row],[envoi confirm TW]]),FALSE)="","",VLOOKUP(T_BilanSocial[[#This Row],[NumL]],T_Commission[#Data],COLUMN(T_Commission[[#This Row],[envoi confirm TW]]),FALSE))</f>
        <v>Oui</v>
      </c>
      <c r="CG14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0" s="262" t="str">
        <f>T_BilanSocial[[#This Row],[Nom]]&amp;T_BilanSocial[[#This Row],[Prenom]]</f>
        <v>ABabak</v>
      </c>
      <c r="CI140" s="262">
        <f>VLOOKUP(T_BilanSocial[[#This Row],[NumL]],T_Commission[#Data],COLUMN(T_Commission[Commentaire]),FALSE)</f>
        <v>0</v>
      </c>
      <c r="CJ140" s="262" t="str">
        <f>IF(VLOOKUP(T_BilanSocial[[#This Row],[NumL]],T_Commission[#Data],COLUMN(T_Commission[Encadrant Email]),FALSE)="","",VLOOKUP(T_BilanSocial[[#This Row],[NumL]],T_Commission[#Data],COLUMN(T_Commission[Encadrant Email]),FALSE))</f>
        <v/>
      </c>
      <c r="CK140" s="340" t="str">
        <f>IF(T_BilanSocial[[#This Row],[Final]]&lt;&gt;"",VLOOKUP(T_BilanSocial[[#This Row],[NumL]],T_suiviDi[#Data],COLUMN((T_suiviDi[Statut])),FALSE),"")</f>
        <v>RENVL</v>
      </c>
    </row>
    <row r="141" spans="1:89" s="106" customFormat="1" ht="24.75" customHeight="1" x14ac:dyDescent="0.25">
      <c r="A141" s="160">
        <v>138</v>
      </c>
      <c r="B141" s="161" t="str">
        <f t="shared" si="22"/>
        <v/>
      </c>
      <c r="C141" s="162" t="s">
        <v>173</v>
      </c>
      <c r="D141" s="95" t="e">
        <f>IF(VLOOKUP(T_BilanSocial[[#This Row],[NumL]],T_TraitDi[#Data],COLUMN(T_TraitDi[[#This Row],[WebC]]),FALSE)="","",VLOOKUP(T_BilanSocial[[#This Row],[NumL]],T_TraitDi[#Data],COLUMN(T_TraitDi[[#This Row],[WebC]]),FALSE))</f>
        <v>#VALUE!</v>
      </c>
      <c r="E141" s="163" t="str">
        <f t="shared" si="23"/>
        <v>12 janvier 2021</v>
      </c>
      <c r="F141" s="96" t="str">
        <f>IF(T_BilanSocial[[#This Row],[Final]]&lt;&gt;"",VLOOKUP(T_BilanSocial[[#This Row],[NumL]],T_suiviDi[#Data],COLUMN((T_suiviDi[Civ.])),FALSE),"")</f>
        <v/>
      </c>
      <c r="G141" s="96" t="str">
        <f>IF(T_BilanSocial[[#This Row],[Final]]&lt;&gt;"",VLOOKUP(T_BilanSocial[[#This Row],[NumL]],T_suiviDi[#Data],COLUMN((T_suiviDi[Nom])),FALSE),"")</f>
        <v/>
      </c>
      <c r="H141" s="96" t="str">
        <f>IF(T_BilanSocial[[#This Row],[Final]]&lt;&gt;"",VLOOKUP(T_BilanSocial[[#This Row],[NumL]],T_suiviDi[#Data],COLUMN((T_suiviDi[Prénom])),FALSE),"")</f>
        <v/>
      </c>
      <c r="I141" s="96" t="str">
        <f>IFERROR(VLOOKUP(T_BilanSocial[[#This Row],[Zone_Bilan]],T_P_BilanSocial[#Data],COLUMN(T_P_BilanSocial[[#This Row],[Numero_SIHAM]]),FALSE),"")</f>
        <v/>
      </c>
      <c r="J141" s="96" t="str">
        <f>IFERROR(VLOOKUP(T_BilanSocial[[#This Row],[Zone_Bilan]],T_P_BilanSocial[#Data],COLUMN(T_P_BilanSocial[[#This Row],[Sexe]]),FALSE),"")</f>
        <v/>
      </c>
      <c r="K141" s="97" t="str">
        <f>IFERROR(VLOOKUP(T_BilanSocial[[#This Row],[Zone_Bilan]],T_P_BilanSocial[#Data],COLUMN(T_P_BilanSocial[[#This Row],[Categorie]]),FALSE),"")</f>
        <v/>
      </c>
      <c r="L141" s="96" t="str">
        <f>IFERROR(VLOOKUP(T_BilanSocial[[#This Row],[Zone_Bilan]],T_P_BilanSocial[#Data],COLUMN(T_P_BilanSocial[[#This Row],[Statut]]),FALSE),"")</f>
        <v/>
      </c>
      <c r="M141" s="96" t="str">
        <f>IFERROR(VLOOKUP(T_BilanSocial[[#This Row],[Zone_Bilan]],T_P_BilanSocial[#Data],COLUMN(T_P_BilanSocial[[#This Row],[Filiere]]),FALSE),"")</f>
        <v/>
      </c>
      <c r="N141" s="96" t="e">
        <f>VLOOKUP(T_BilanSocial[[#This Row],[NumL]],T_TraitDi[#Data],COLUMN(T_TraitDi[EXP]),FALSE)</f>
        <v>#N/A</v>
      </c>
      <c r="O141" s="96" t="e">
        <f>VLOOKUP(T_BilanSocial[[#This Row],[NumL]],T_TraitDi[#Data],COLUMN(T_TraitDi[FORM]),FALSE)</f>
        <v>#N/A</v>
      </c>
      <c r="P141" s="96" t="str">
        <f>IF(T_BilanSocial[[#This Row],[Final]]&lt;&gt;"",VLOOKUP(T_BilanSocial[[#This Row],[NumL]],T_suiviDi[#Data],COLUMN((T_suiviDi[Email])),FALSE),"")</f>
        <v/>
      </c>
      <c r="Q141" s="164" t="e">
        <f t="shared" si="17"/>
        <v>#N/A</v>
      </c>
      <c r="R141" s="164" t="e">
        <f t="shared" si="18"/>
        <v>#N/A</v>
      </c>
      <c r="S141" s="164" t="e">
        <f>IF(VLOOKUP(T_BilanSocial[[#This Row],[NumL]],T_suiviDi[#Data],COLUMN(T_suiviDi[[#This Row],[Service ]]),FALSE)="","",VLOOKUP(T_BilanSocial[[#This Row],[NumL]],T_suiviDi[#Data],COLUMN(T_suiviDi[[#This Row],[Service ]]),FALSE))</f>
        <v>#VALUE!</v>
      </c>
      <c r="T141" s="164" t="str">
        <f t="shared" si="24"/>
        <v>01 septembre 2021</v>
      </c>
      <c r="U141" s="164" t="str">
        <f t="shared" si="25"/>
        <v>30 novembre 2021</v>
      </c>
      <c r="V141" s="96" t="str">
        <f>TEXT(Datebilan,"jj mmmm aaaa")</f>
        <v>30 novembre 2021</v>
      </c>
      <c r="W141" s="176" t="e">
        <f>IF(VLOOKUP(T_BilanSocial[[#This Row],[NumL]],T_TraitDi[#Data],COLUMN(T_TraitDi[[#This Row],[M1]]),FALSE)="","",VLOOKUP(T_BilanSocial[[#This Row],[NumL]],T_TraitDi[#Data],COLUMN(T_TraitDi[[#This Row],[M1]]),FALSE))</f>
        <v>#VALUE!</v>
      </c>
      <c r="X141" s="176" t="e">
        <f>IF(VLOOKUP(T_BilanSocial[[#This Row],[NumL]],T_TraitDi[#Data],COLUMN(T_TraitDi[[#This Row],[M2]]),FALSE)="","",VLOOKUP(T_BilanSocial[[#This Row],[NumL]],T_TraitDi[#Data],COLUMN(T_TraitDi[[#This Row],[M2]]),FALSE))</f>
        <v>#VALUE!</v>
      </c>
      <c r="Y141" s="176" t="e">
        <f>IF(VLOOKUP(T_BilanSocial[[#This Row],[NumL]],T_TraitDi[#Data],COLUMN(T_TraitDi[[#This Row],[M3]]),FALSE)="","",VLOOKUP(T_BilanSocial[[#This Row],[NumL]],T_TraitDi[#Data],COLUMN(T_TraitDi[[#This Row],[M3]]),FALSE))</f>
        <v>#VALUE!</v>
      </c>
      <c r="Z141" s="176" t="str">
        <f t="shared" si="27"/>
        <v/>
      </c>
      <c r="AA141" s="176" t="e">
        <f>IF(VLOOKUP(T_BilanSocial[[#This Row],[NumL]],T_TraitDi[#Data],COLUMN(T_TraitDi[[#This Row],[M5]]),FALSE)="","",VLOOKUP(T_BilanSocial[[#This Row],[NumL]],T_TraitDi[#Data],COLUMN(T_TraitDi[[#This Row],[M5]]),FALSE))</f>
        <v>#VALUE!</v>
      </c>
      <c r="AB141" s="176" t="e">
        <f>IF(VLOOKUP(T_BilanSocial[[#This Row],[NumL]],T_TraitDi[#Data],COLUMN(T_TraitDi[[#This Row],[M6]]),FALSE)="","",VLOOKUP(T_BilanSocial[[#This Row],[NumL]],T_TraitDi[#Data],COLUMN(T_TraitDi[[#This Row],[M6]]),FALSE))</f>
        <v>#VALUE!</v>
      </c>
      <c r="AC141" s="165" t="e">
        <f t="shared" si="26"/>
        <v>#VALUE!</v>
      </c>
      <c r="AD141" s="188" t="str">
        <f>IFERROR(TEXT(VLOOKUP(T_BilanSocial[[#This Row],[NumL]],T_TraitDi[#Data],COLUMN(T_TraitDi[[#This Row],[Q2]]),FALSE),"###%"),"")</f>
        <v/>
      </c>
      <c r="AE141" s="97" t="e">
        <f>VLOOKUP(T_BilanSocial[[#This Row],[NumL]],T_TraitDi[#Data],COLUMN(T_TraitDi[[#This Row],[Reg Ponct]]),FALSE)</f>
        <v>#VALUE!</v>
      </c>
      <c r="AF141" s="97" t="e">
        <f>VLOOKUP(T_BilanSocial[NumL],T_TraitDi[#Data],COLUMN(T_TraitDi[[#This Row],[Jours flottants]]),FALSE)</f>
        <v>#VALUE!</v>
      </c>
      <c r="AG141" s="97" t="str">
        <f>IFERROR(VLOOKUP(T_BilanSocial[[#This Row],[NumL]],T_TraitDi[#Data],COLUMN(T_TraitDi[[#This Row],[Lundi]]),FALSE),"")</f>
        <v/>
      </c>
      <c r="AH141" s="172" t="e">
        <f>IF(VLOOKUP(T_BilanSocial[[#This Row],[NumL]],T_TraitDi[#Data],COLUMN(T_TraitDi[[#This Row],[Colonne3]]),FALSE)=0,"",TEXT(IFERROR(VLOOKUP(T_BilanSocial[[#This Row],[NumL]],T_TraitDi[#Data],COLUMN(T_TraitDi[[#This Row],[Colonne3]]),FALSE),""),"[hh]:mm"))</f>
        <v>#VALUE!</v>
      </c>
      <c r="AI141" s="172" t="e">
        <f>IF(VLOOKUP(T_BilanSocial[[#This Row],[NumL]],T_TraitDi[#Data],COLUMN(T_TraitDi[[#This Row],[Colonne4]]),FALSE)=0,"",TEXT(IFERROR(VLOOKUP(T_BilanSocial[[#This Row],[NumL]],T_TraitDi[#Data],COLUMN(T_TraitDi[[#This Row],[Colonne4]]),FALSE),""),"[hh]:mm"))</f>
        <v>#VALUE!</v>
      </c>
      <c r="AJ141" s="172" t="e">
        <f>IF(VLOOKUP(T_BilanSocial[[#This Row],[NumL]],T_TraitDi[#Data],COLUMN(T_TraitDi[[#This Row],[Colonne5]]),FALSE)=0,"",TEXT(IFERROR(VLOOKUP(T_BilanSocial[[#This Row],[NumL]],T_TraitDi[#Data],COLUMN(T_TraitDi[[#This Row],[Colonne5]]),FALSE),""),"[hh]:mm"))</f>
        <v>#VALUE!</v>
      </c>
      <c r="AK141" s="172" t="e">
        <f>IF(VLOOKUP(T_BilanSocial[[#This Row],[NumL]],T_TraitDi[#Data],COLUMN(T_TraitDi[[#This Row],[Colonne6]]),FALSE)=0,"",TEXT(IFERROR(VLOOKUP(T_BilanSocial[[#This Row],[NumL]],T_TraitDi[#Data],COLUMN(T_TraitDi[[#This Row],[Colonne6]]),FALSE),""),"[hh]:mm"))</f>
        <v>#VALUE!</v>
      </c>
      <c r="AL141" s="172" t="e">
        <f>IF(VLOOKUP(T_BilanSocial[[#This Row],[NumL]],T_TraitDi[#Data],COLUMN(T_TraitDi[[#This Row],[Colonne7]]),FALSE)=0,"",TEXT(IFERROR(VLOOKUP(T_BilanSocial[[#This Row],[NumL]],T_TraitDi[#Data],COLUMN(T_TraitDi[[#This Row],[Colonne7]]),FALSE),""),"[hh]:mm"))</f>
        <v>#VALUE!</v>
      </c>
      <c r="AM141" s="172" t="e">
        <f>IF(VLOOKUP(T_BilanSocial[[#This Row],[NumL]],T_TraitDi[#Data],COLUMN(T_TraitDi[[#This Row],[Colonne8]]),FALSE)=0,"",TEXT(IFERROR(VLOOKUP(T_BilanSocial[[#This Row],[NumL]],T_TraitDi[#Data],COLUMN(T_TraitDi[[#This Row],[Colonne8]]),FALSE),""),"[hh]:mm"))</f>
        <v>#VALUE!</v>
      </c>
      <c r="AN141" s="172" t="str">
        <f>IFERROR(VLOOKUP(T_BilanSocial[[#This Row],[NumL]],T_TraitDi[#Data],COLUMN(T_TraitDi[[#This Row],[Mardi]]),FALSE),"")</f>
        <v/>
      </c>
      <c r="AO141" s="172" t="e">
        <f>IF(VLOOKUP(T_BilanSocial[[#This Row],[NumL]],T_TraitDi[#Data],COLUMN(T_TraitDi[[#This Row],[Colonne1]]),FALSE)=0,"",TEXT(IFERROR(VLOOKUP(T_BilanSocial[[#This Row],[NumL]],T_TraitDi[#Data],COLUMN(T_TraitDi[[#This Row],[Colonne1]]),FALSE),""),"[hh]:mm"))</f>
        <v>#VALUE!</v>
      </c>
      <c r="AP141" s="172" t="e">
        <f>IF(VLOOKUP(T_BilanSocial[[#This Row],[NumL]],T_TraitDi[#Data],COLUMN(T_TraitDi[[#This Row],[Colonne9]]),FALSE)=0,"",TEXT(IFERROR(VLOOKUP(T_BilanSocial[[#This Row],[NumL]],T_TraitDi[#Data],COLUMN(T_TraitDi[[#This Row],[Colonne9]]),FALSE),""),"[hh]:mm"))</f>
        <v>#VALUE!</v>
      </c>
      <c r="AQ141" s="172" t="str">
        <f>IFERROR(VLOOKUP(T_BilanSocial[[#This Row],[NumL]],T_TraitDi[#Data],COLUMN(T_TraitDi[[#This Row],[Colonne10]]),FALSE),"")</f>
        <v/>
      </c>
      <c r="AR141" s="172" t="e">
        <f>IF(VLOOKUP(T_BilanSocial[[#This Row],[NumL]],T_TraitDi[#Data],COLUMN(T_TraitDi[[#This Row],[Colonne11]]),FALSE)=0,"",TEXT(IFERROR(VLOOKUP(T_BilanSocial[[#This Row],[NumL]],T_TraitDi[#Data],COLUMN(T_TraitDi[[#This Row],[Colonne11]]),FALSE),""),"[hh]:mm"))</f>
        <v>#VALUE!</v>
      </c>
      <c r="AS141" s="172" t="e">
        <f>IF(VLOOKUP(T_BilanSocial[[#This Row],[NumL]],T_TraitDi[#Data],COLUMN(T_TraitDi[[#This Row],[Colonne12]]),FALSE)=0,"",TEXT(IFERROR(VLOOKUP(T_BilanSocial[[#This Row],[NumL]],T_TraitDi[#Data],COLUMN(T_TraitDi[[#This Row],[Colonne12]]),FALSE),""),"[hh]:mm"))</f>
        <v>#VALUE!</v>
      </c>
      <c r="AT141" s="172" t="e">
        <f>IF(VLOOKUP(T_BilanSocial[[#This Row],[NumL]],T_TraitDi[#Data],COLUMN(T_TraitDi[[#This Row],[Colonne14]]),FALSE)=0,"",TEXT(IFERROR(VLOOKUP(T_BilanSocial[[#This Row],[NumL]],T_TraitDi[#Data],COLUMN(T_TraitDi[[#This Row],[Colonne14]]),FALSE),""),"[hh]:mm"))</f>
        <v>#VALUE!</v>
      </c>
      <c r="AU141" s="172" t="str">
        <f>IFERROR(VLOOKUP(T_BilanSocial[[#This Row],[NumL]],T_TraitDi[#Data],COLUMN(T_TraitDi[[#This Row],[Mercredi]]),FALSE),"")</f>
        <v/>
      </c>
      <c r="AV141" s="172" t="e">
        <f>IF(VLOOKUP(T_BilanSocial[[#This Row],[NumL]],T_TraitDi[#Data],COLUMN(T_TraitDi[[#This Row],[Colonne15]]),FALSE)=0,"",TEXT(IFERROR(VLOOKUP(T_BilanSocial[[#This Row],[NumL]],T_TraitDi[#Data],COLUMN(T_TraitDi[[#This Row],[Colonne15]]),FALSE),""),"[hh]:mm"))</f>
        <v>#VALUE!</v>
      </c>
      <c r="AW141" s="172" t="e">
        <f>IF(VLOOKUP(T_BilanSocial[[#This Row],[NumL]],T_TraitDi[#Data],COLUMN(T_TraitDi[[#This Row],[Colonne16]]),FALSE)=0,"",TEXT(IFERROR(VLOOKUP(T_BilanSocial[[#This Row],[NumL]],T_TraitDi[#Data],COLUMN(T_TraitDi[[#This Row],[Colonne16]]),FALSE),""),"[hh]:mm"))</f>
        <v>#VALUE!</v>
      </c>
      <c r="AX141" s="172" t="str">
        <f>IFERROR(VLOOKUP(T_BilanSocial[[#This Row],[NumL]],T_TraitDi[#Data],COLUMN(T_TraitDi[[#This Row],[Colonne17]]),FALSE),"")</f>
        <v/>
      </c>
      <c r="AY141" s="172" t="e">
        <f>IF(VLOOKUP(T_BilanSocial[[#This Row],[NumL]],T_TraitDi[#Data],COLUMN(T_TraitDi[[#This Row],[Colonne18]]),FALSE)=0,"",TEXT(IFERROR(VLOOKUP(T_BilanSocial[[#This Row],[NumL]],T_TraitDi[#Data],COLUMN(T_TraitDi[[#This Row],[Colonne18]]),FALSE),""),"[hh]:mm"))</f>
        <v>#VALUE!</v>
      </c>
      <c r="AZ141" s="172" t="e">
        <f>IF(VLOOKUP(T_BilanSocial[[#This Row],[NumL]],T_TraitDi[#Data],COLUMN(T_TraitDi[[#This Row],[Colonne19]]),FALSE)=0,"",TEXT(IFERROR(VLOOKUP(T_BilanSocial[[#This Row],[NumL]],T_TraitDi[#Data],COLUMN(T_TraitDi[[#This Row],[Colonne19]]),FALSE),""),"[hh]:mm"))</f>
        <v>#VALUE!</v>
      </c>
      <c r="BA141" s="172" t="e">
        <f>IF(VLOOKUP(T_BilanSocial[[#This Row],[NumL]],T_TraitDi[#Data],COLUMN(T_TraitDi[[#This Row],[Colonne20]]),FALSE)=0,"",TEXT(IFERROR(VLOOKUP(T_BilanSocial[[#This Row],[NumL]],T_TraitDi[#Data],COLUMN(T_TraitDi[[#This Row],[Colonne20]]),FALSE),""),"[hh]:mm"))</f>
        <v>#VALUE!</v>
      </c>
      <c r="BB141" s="178" t="str">
        <f>IFERROR(VLOOKUP(T_BilanSocial[[#This Row],[NumL]],T_TraitDi[#Data],COLUMN(T_TraitDi[[#This Row],[Jeudi]]),FALSE),"")</f>
        <v/>
      </c>
      <c r="BC141" s="178" t="e">
        <f>IF(VLOOKUP(T_BilanSocial[[#This Row],[NumL]],T_TraitDi[#Data],COLUMN(T_TraitDi[[#This Row],[Colonne21]]),FALSE)=0,"",TEXT(IFERROR(VLOOKUP(T_BilanSocial[[#This Row],[NumL]],T_TraitDi[#Data],COLUMN(T_TraitDi[[#This Row],[Colonne21]]),FALSE),""),"[hh]:mm"))</f>
        <v>#VALUE!</v>
      </c>
      <c r="BD141" s="178" t="e">
        <f>IF(VLOOKUP(T_BilanSocial[[#This Row],[NumL]],T_TraitDi[#Data],COLUMN(T_TraitDi[[#This Row],[Colonne22]]),FALSE)=0,"",TEXT(IFERROR(VLOOKUP(T_BilanSocial[[#This Row],[NumL]],T_TraitDi[#Data],COLUMN(T_TraitDi[[#This Row],[Colonne22]]),FALSE),""),"[hh]:mm"))</f>
        <v>#VALUE!</v>
      </c>
      <c r="BE141" s="178" t="str">
        <f>IFERROR(VLOOKUP(T_BilanSocial[[#This Row],[NumL]],T_TraitDi[#Data],COLUMN(T_TraitDi[[#This Row],[Colonne23]]),FALSE),"")</f>
        <v/>
      </c>
      <c r="BF141" s="178" t="e">
        <f>IF(VLOOKUP(T_BilanSocial[[#This Row],[NumL]],T_TraitDi[#Data],COLUMN(T_TraitDi[[#This Row],[Colonne24]]),FALSE)=0,"",TEXT(IFERROR(VLOOKUP(T_BilanSocial[[#This Row],[NumL]],T_TraitDi[#Data],COLUMN(T_TraitDi[[#This Row],[Colonne24]]),FALSE),""),"[hh]:mm"))</f>
        <v>#VALUE!</v>
      </c>
      <c r="BG141" s="178" t="e">
        <f>IF(VLOOKUP(T_BilanSocial[[#This Row],[NumL]],T_TraitDi[#Data],COLUMN(T_TraitDi[[#This Row],[Colonne25]]),FALSE)=0,"",TEXT(IFERROR(VLOOKUP(T_BilanSocial[[#This Row],[NumL]],T_TraitDi[#Data],COLUMN(T_TraitDi[[#This Row],[Colonne25]]),FALSE),""),"[hh]:mm"))</f>
        <v>#VALUE!</v>
      </c>
      <c r="BH141" s="178" t="e">
        <f>IF(VLOOKUP(T_BilanSocial[[#This Row],[NumL]],T_TraitDi[#Data],COLUMN(T_TraitDi[[#This Row],[Colonne26]]),FALSE)=0,"",TEXT(IFERROR(VLOOKUP(T_BilanSocial[[#This Row],[NumL]],T_TraitDi[#Data],COLUMN(T_TraitDi[[#This Row],[Colonne26]]),FALSE),""),"[hh]:mm"))</f>
        <v>#VALUE!</v>
      </c>
      <c r="BI141" s="172" t="str">
        <f>IFERROR(VLOOKUP(T_BilanSocial[[#This Row],[NumL]],T_TraitDi[#Data],COLUMN(T_TraitDi[[#This Row],[Vendredi]]),FALSE),"")</f>
        <v/>
      </c>
      <c r="BJ141" s="172" t="e">
        <f>IF(VLOOKUP(T_BilanSocial[[#This Row],[NumL]],T_TraitDi[#Data],COLUMN(T_TraitDi[[#This Row],[Colonne27]]),FALSE)=0,"",TEXT(IFERROR(VLOOKUP(T_BilanSocial[[#This Row],[NumL]],T_TraitDi[#Data],COLUMN(T_TraitDi[[#This Row],[Colonne27]]),FALSE),""),"[hh]:mm"))</f>
        <v>#VALUE!</v>
      </c>
      <c r="BK141" s="172" t="e">
        <f>IF(VLOOKUP(T_BilanSocial[[#This Row],[NumL]],T_TraitDi[#Data],COLUMN(T_TraitDi[[#This Row],[Colonne28]]),FALSE)=0,"",TEXT(IFERROR(VLOOKUP(T_BilanSocial[[#This Row],[NumL]],T_TraitDi[#Data],COLUMN(T_TraitDi[[#This Row],[Colonne28]]),FALSE),""),"[hh]:mm"))</f>
        <v>#VALUE!</v>
      </c>
      <c r="BL141" s="172" t="str">
        <f>IFERROR(VLOOKUP(T_BilanSocial[[#This Row],[NumL]],T_TraitDi[#Data],COLUMN(T_TraitDi[[#This Row],[Colonne29]]),FALSE),"")</f>
        <v/>
      </c>
      <c r="BM141" s="172" t="e">
        <f>IF(VLOOKUP(T_BilanSocial[[#This Row],[NumL]],T_TraitDi[#Data],COLUMN(T_TraitDi[[#This Row],[Colonne30]]),FALSE)=0,"",TEXT(IFERROR(VLOOKUP(T_BilanSocial[[#This Row],[NumL]],T_TraitDi[#Data],COLUMN(T_TraitDi[[#This Row],[Colonne30]]),FALSE),""),"[hh]:mm"))</f>
        <v>#VALUE!</v>
      </c>
      <c r="BN141" s="172" t="e">
        <f>IF(VLOOKUP(T_BilanSocial[[#This Row],[NumL]],T_TraitDi[#Data],COLUMN(T_TraitDi[[#This Row],[Colonne31]]),FALSE)=0,"",TEXT(IFERROR(VLOOKUP(T_BilanSocial[[#This Row],[NumL]],T_TraitDi[#Data],COLUMN(T_TraitDi[[#This Row],[Colonne31]]),FALSE),""),"[hh]:mm"))</f>
        <v>#VALUE!</v>
      </c>
      <c r="BO141" s="172" t="e">
        <f>IF(VLOOKUP(T_BilanSocial[[#This Row],[NumL]],T_TraitDi[#Data],COLUMN(T_TraitDi[[#This Row],[Colonne32]]),FALSE)=0,"",TEXT(IFERROR(VLOOKUP(T_BilanSocial[[#This Row],[NumL]],T_TraitDi[#Data],COLUMN(T_TraitDi[[#This Row],[Colonne32]]),FALSE),""),"[hh]:mm"))</f>
        <v>#VALUE!</v>
      </c>
      <c r="BP141" s="172" t="e">
        <f>VLOOKUP(T_BilanSocial[[#This Row],[NumL]],T_TraitDi[#Data],COLUMN(T_TraitDi[NbJTot]),FALSE)</f>
        <v>#N/A</v>
      </c>
      <c r="BQ141" s="174" t="str">
        <f>IFERROR(VLOOKUP(T_BilanSocial[[#This Row],[NumL]],T_TraitDi[#Data],COLUMN(T_TraitDi[[#This Row],[NbJTW]]),FALSE),"")</f>
        <v/>
      </c>
      <c r="BR141" s="174" t="e">
        <f>IF(VLOOKUP(T_BilanSocial[[#This Row],[NumL]],T_TraitDi[#Data],COLUMN(T_TraitDi[[#This Row],[NbhTW]]),FALSE)=0,"",TEXT(IFERROR(VLOOKUP(T_BilanSocial[[#This Row],[NumL]],T_TraitDi[#Data],COLUMN(T_TraitDi[[#This Row],[NbhTW]]),FALSE),""),"[hh]:mm"))</f>
        <v>#VALUE!</v>
      </c>
      <c r="BS141" s="174" t="e">
        <f>IF(VLOOKUP(T_BilanSocial[[#This Row],[NumL]],T_TraitDi[#Data],COLUMN(T_TraitDi[[#This Row],[Nbhheb]]),FALSE)=0,"",TEXT(IFERROR(VLOOKUP($A141,T_TraitDi[#Data],COLUMN(T_TraitDi[[#This Row],[Nbhheb]]),FALSE),""),"[hh]:mm"))</f>
        <v>#VALUE!</v>
      </c>
      <c r="BT141" s="182" t="str">
        <f>IFERROR(VLOOKUP(VLOOKUP($A141,T_TraitDi[#Data],COLUMN(T_TraitDi[[#This Row],[Type1]]),FALSE),TypeTW,2,FALSE),"")</f>
        <v/>
      </c>
      <c r="BU141" s="182" t="str">
        <f>IFERROR(VLOOKUP($A141,T_TraitDi[#Data],COLUMN(T_TraitDi[[#This Row],[Rue1]]),FALSE),"")</f>
        <v/>
      </c>
      <c r="BV141" s="173" t="str">
        <f>IFERROR(VLOOKUP($A141,T_TraitDi[#Data],COLUMN(T_TraitDi[[#This Row],[CP1]]),FALSE),"")</f>
        <v/>
      </c>
      <c r="BW141" s="173" t="str">
        <f>IFERROR(VLOOKUP($A141,T_TraitDi[#Data],COLUMN(T_TraitDi[[#This Row],[VILLE1]]),FALSE),"")</f>
        <v/>
      </c>
      <c r="BX141" s="182" t="str">
        <f>IFERROR(VLOOKUP(VLOOKUP($A141,T_TraitDi[#Data],COLUMN(T_TraitDi[[#This Row],[Type2]]),FALSE),TypeTW,2,FALSE),"")</f>
        <v/>
      </c>
      <c r="BY141" s="182" t="str">
        <f>IFERROR(VLOOKUP($A141,T_TraitDi[#Data],COLUMN(T_TraitDi[[#This Row],[Rue2]]),FALSE),"")</f>
        <v/>
      </c>
      <c r="BZ141" s="173" t="str">
        <f>IFERROR(VLOOKUP($A141,T_TraitDi[#Data],COLUMN(T_TraitDi[[#This Row],[CP2]]),FALSE),"")</f>
        <v/>
      </c>
      <c r="CA141" s="173" t="str">
        <f>IFERROR(VLOOKUP($A141,T_TraitDi[#Data],COLUMN(T_TraitDi[[#This Row],[VILLE2]]),FALSE),"")</f>
        <v/>
      </c>
      <c r="CB141" s="182" t="str">
        <f>IF(VLOOKUP(T_BilanSocial[[#This Row],[NumL]],T_Equipement[#Data],COLUMN(T_Equipement[[#This Row],[PC]]),FALSE)="","Aucun équipement spécifique directement lié au télétravail",VLOOKUP(T_BilanSocial[[#This Row],[NumL]],T_Equipement[#Data],COLUMN(T_Equipement[[#This Row],[PC]]),FALSE))</f>
        <v>16-902 mac</v>
      </c>
      <c r="CC141" s="166" t="str">
        <f>IFERROR(IF(VLOOKUP(T_BilanSocial[[#This Row],[NumL]],T_TraitDi[#Data],COLUMN(T_TraitDi[[#This Row],[Plan]]),FALSE)="OK","Un planning spécifique de télétravail est annexé à la présente convention.",""),"")</f>
        <v/>
      </c>
      <c r="CD141" s="258" t="s">
        <v>3462</v>
      </c>
      <c r="CE141" s="164" t="e">
        <f>IF(VLOOKUP(T_BilanSocial[[#This Row],[NumL]],T_suiviDi[#Data],COLUMN(T_suiviDi[[#This Row],[Entité]]),FALSE)="","",VLOOKUP(T_BilanSocial[[#This Row],[NumL]],T_suiviDi[#Data],COLUMN(T_suiviDi[[#This Row],[Entité]]),FALSE))</f>
        <v>#VALUE!</v>
      </c>
      <c r="CF141" s="164" t="str">
        <f>IF(VLOOKUP(T_BilanSocial[[#This Row],[NumL]],T_Commission[#Data],COLUMN(T_Commission[[#This Row],[envoi confirm TW]]),FALSE)="","",VLOOKUP(T_BilanSocial[[#This Row],[NumL]],T_Commission[#Data],COLUMN(T_Commission[[#This Row],[envoi confirm TW]]),FALSE))</f>
        <v>Oui</v>
      </c>
      <c r="CG14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1" s="262" t="str">
        <f>T_BilanSocial[[#This Row],[Nom]]&amp;T_BilanSocial[[#This Row],[Prenom]]</f>
        <v/>
      </c>
      <c r="CI141" s="262">
        <f>VLOOKUP(T_BilanSocial[[#This Row],[NumL]],T_Commission[#Data],COLUMN(T_Commission[Commentaire]),FALSE)</f>
        <v>0</v>
      </c>
      <c r="CJ141" s="262" t="str">
        <f>IF(VLOOKUP(T_BilanSocial[[#This Row],[NumL]],T_Commission[#Data],COLUMN(T_Commission[Encadrant Email]),FALSE)="","",VLOOKUP(T_BilanSocial[[#This Row],[NumL]],T_Commission[#Data],COLUMN(T_Commission[Encadrant Email]),FALSE))</f>
        <v/>
      </c>
      <c r="CK141" s="340" t="str">
        <f>IF(T_BilanSocial[[#This Row],[Final]]&lt;&gt;"",VLOOKUP(T_BilanSocial[[#This Row],[NumL]],T_suiviDi[#Data],COLUMN((T_suiviDi[Statut])),FALSE),"")</f>
        <v/>
      </c>
    </row>
    <row r="142" spans="1:89" s="106" customFormat="1" ht="24.75" customHeight="1" x14ac:dyDescent="0.25">
      <c r="A142" s="160">
        <v>139</v>
      </c>
      <c r="B142" s="161" t="str">
        <f t="shared" si="22"/>
        <v/>
      </c>
      <c r="C142" s="162" t="s">
        <v>173</v>
      </c>
      <c r="D142" s="95" t="e">
        <f>IF(VLOOKUP(T_BilanSocial[[#This Row],[NumL]],T_TraitDi[#Data],COLUMN(T_TraitDi[[#This Row],[WebC]]),FALSE)="","",VLOOKUP(T_BilanSocial[[#This Row],[NumL]],T_TraitDi[#Data],COLUMN(T_TraitDi[[#This Row],[WebC]]),FALSE))</f>
        <v>#VALUE!</v>
      </c>
      <c r="E142" s="163" t="str">
        <f t="shared" si="23"/>
        <v>12 janvier 2021</v>
      </c>
      <c r="F142" s="96" t="str">
        <f>IF(T_BilanSocial[[#This Row],[Final]]&lt;&gt;"",VLOOKUP(T_BilanSocial[[#This Row],[NumL]],T_suiviDi[#Data],COLUMN((T_suiviDi[Civ.])),FALSE),"")</f>
        <v/>
      </c>
      <c r="G142" s="96" t="str">
        <f>IF(T_BilanSocial[[#This Row],[Final]]&lt;&gt;"",VLOOKUP(T_BilanSocial[[#This Row],[NumL]],T_suiviDi[#Data],COLUMN((T_suiviDi[Nom])),FALSE),"")</f>
        <v/>
      </c>
      <c r="H142" s="96" t="str">
        <f>IF(T_BilanSocial[[#This Row],[Final]]&lt;&gt;"",VLOOKUP(T_BilanSocial[[#This Row],[NumL]],T_suiviDi[#Data],COLUMN((T_suiviDi[Prénom])),FALSE),"")</f>
        <v/>
      </c>
      <c r="I142" s="96" t="str">
        <f>IFERROR(VLOOKUP(T_BilanSocial[[#This Row],[Zone_Bilan]],T_P_BilanSocial[#Data],COLUMN(T_P_BilanSocial[[#This Row],[Numero_SIHAM]]),FALSE),"")</f>
        <v/>
      </c>
      <c r="J142" s="96" t="str">
        <f>IFERROR(VLOOKUP(T_BilanSocial[[#This Row],[Zone_Bilan]],T_P_BilanSocial[#Data],COLUMN(T_P_BilanSocial[[#This Row],[Sexe]]),FALSE),"")</f>
        <v/>
      </c>
      <c r="K142" s="97" t="str">
        <f>IFERROR(VLOOKUP(T_BilanSocial[[#This Row],[Zone_Bilan]],T_P_BilanSocial[#Data],COLUMN(T_P_BilanSocial[[#This Row],[Categorie]]),FALSE),"")</f>
        <v/>
      </c>
      <c r="L142" s="96" t="str">
        <f>IFERROR(VLOOKUP(T_BilanSocial[[#This Row],[Zone_Bilan]],T_P_BilanSocial[#Data],COLUMN(T_P_BilanSocial[[#This Row],[Statut]]),FALSE),"")</f>
        <v/>
      </c>
      <c r="M142" s="96" t="str">
        <f>IFERROR(VLOOKUP(T_BilanSocial[[#This Row],[Zone_Bilan]],T_P_BilanSocial[#Data],COLUMN(T_P_BilanSocial[[#This Row],[Filiere]]),FALSE),"")</f>
        <v/>
      </c>
      <c r="N142" s="96" t="e">
        <f>VLOOKUP(T_BilanSocial[[#This Row],[NumL]],T_TraitDi[#Data],COLUMN(T_TraitDi[EXP]),FALSE)</f>
        <v>#N/A</v>
      </c>
      <c r="O142" s="96" t="e">
        <f>VLOOKUP(T_BilanSocial[[#This Row],[NumL]],T_TraitDi[#Data],COLUMN(T_TraitDi[FORM]),FALSE)</f>
        <v>#N/A</v>
      </c>
      <c r="P142" s="96" t="str">
        <f>IF(T_BilanSocial[[#This Row],[Final]]&lt;&gt;"",VLOOKUP(T_BilanSocial[[#This Row],[NumL]],T_suiviDi[#Data],COLUMN((T_suiviDi[Email])),FALSE),"")</f>
        <v/>
      </c>
      <c r="Q142" s="164" t="e">
        <f t="shared" si="17"/>
        <v>#N/A</v>
      </c>
      <c r="R142" s="164" t="e">
        <f t="shared" si="18"/>
        <v>#N/A</v>
      </c>
      <c r="S142" s="164" t="e">
        <f>IF(VLOOKUP(T_BilanSocial[[#This Row],[NumL]],T_suiviDi[#Data],COLUMN(T_suiviDi[[#This Row],[Service ]]),FALSE)="","",VLOOKUP(T_BilanSocial[[#This Row],[NumL]],T_suiviDi[#Data],COLUMN(T_suiviDi[[#This Row],[Service ]]),FALSE))</f>
        <v>#VALUE!</v>
      </c>
      <c r="T142" s="164" t="str">
        <f t="shared" si="24"/>
        <v>01 septembre 2021</v>
      </c>
      <c r="U142" s="164" t="str">
        <f t="shared" si="25"/>
        <v>30 novembre 2021</v>
      </c>
      <c r="V142" s="164" t="str">
        <f>TEXT(Datebilan,"jj mmmm aaaa")</f>
        <v>30 novembre 2021</v>
      </c>
      <c r="W142" s="176" t="e">
        <f>IF(VLOOKUP(T_BilanSocial[[#This Row],[NumL]],T_TraitDi[#Data],COLUMN(T_TraitDi[[#This Row],[M1]]),FALSE)="","",VLOOKUP(T_BilanSocial[[#This Row],[NumL]],T_TraitDi[#Data],COLUMN(T_TraitDi[[#This Row],[M1]]),FALSE))</f>
        <v>#VALUE!</v>
      </c>
      <c r="X142" s="176" t="e">
        <f>IF(VLOOKUP(T_BilanSocial[[#This Row],[NumL]],T_TraitDi[#Data],COLUMN(T_TraitDi[[#This Row],[M2]]),FALSE)="","",VLOOKUP(T_BilanSocial[[#This Row],[NumL]],T_TraitDi[#Data],COLUMN(T_TraitDi[[#This Row],[M2]]),FALSE))</f>
        <v>#VALUE!</v>
      </c>
      <c r="Y142" s="176" t="e">
        <f>IF(VLOOKUP(T_BilanSocial[[#This Row],[NumL]],T_TraitDi[#Data],COLUMN(T_TraitDi[[#This Row],[M3]]),FALSE)="","",VLOOKUP(T_BilanSocial[[#This Row],[NumL]],T_TraitDi[#Data],COLUMN(T_TraitDi[[#This Row],[M3]]),FALSE))</f>
        <v>#VALUE!</v>
      </c>
      <c r="Z142" s="176" t="str">
        <f t="shared" si="27"/>
        <v/>
      </c>
      <c r="AA142" s="176" t="e">
        <f>IF(VLOOKUP(T_BilanSocial[[#This Row],[NumL]],T_TraitDi[#Data],COLUMN(T_TraitDi[[#This Row],[M5]]),FALSE)="","",VLOOKUP(T_BilanSocial[[#This Row],[NumL]],T_TraitDi[#Data],COLUMN(T_TraitDi[[#This Row],[M5]]),FALSE))</f>
        <v>#VALUE!</v>
      </c>
      <c r="AB142" s="176" t="e">
        <f>IF(VLOOKUP(T_BilanSocial[[#This Row],[NumL]],T_TraitDi[#Data],COLUMN(T_TraitDi[[#This Row],[M6]]),FALSE)="","",VLOOKUP(T_BilanSocial[[#This Row],[NumL]],T_TraitDi[#Data],COLUMN(T_TraitDi[[#This Row],[M6]]),FALSE))</f>
        <v>#VALUE!</v>
      </c>
      <c r="AC142" s="165" t="e">
        <f t="shared" si="26"/>
        <v>#VALUE!</v>
      </c>
      <c r="AD142" s="188" t="str">
        <f>IFERROR(TEXT(VLOOKUP(T_BilanSocial[[#This Row],[NumL]],T_TraitDi[#Data],COLUMN(T_TraitDi[[#This Row],[Q2]]),FALSE),"###%"),"")</f>
        <v/>
      </c>
      <c r="AE142" s="97" t="e">
        <f>VLOOKUP(T_BilanSocial[[#This Row],[NumL]],T_TraitDi[#Data],COLUMN(T_TraitDi[[#This Row],[Reg Ponct]]),FALSE)</f>
        <v>#VALUE!</v>
      </c>
      <c r="AF142" s="97" t="e">
        <f>VLOOKUP(T_BilanSocial[NumL],T_TraitDi[#Data],COLUMN(T_TraitDi[[#This Row],[Jours flottants]]),FALSE)</f>
        <v>#VALUE!</v>
      </c>
      <c r="AG142" s="97" t="str">
        <f>IFERROR(VLOOKUP(T_BilanSocial[[#This Row],[NumL]],T_TraitDi[#Data],COLUMN(T_TraitDi[[#This Row],[Lundi]]),FALSE),"")</f>
        <v/>
      </c>
      <c r="AH142" s="172" t="e">
        <f>IF(VLOOKUP(T_BilanSocial[[#This Row],[NumL]],T_TraitDi[#Data],COLUMN(T_TraitDi[[#This Row],[Colonne3]]),FALSE)=0,"",TEXT(IFERROR(VLOOKUP(T_BilanSocial[[#This Row],[NumL]],T_TraitDi[#Data],COLUMN(T_TraitDi[[#This Row],[Colonne3]]),FALSE),""),"[hh]:mm"))</f>
        <v>#VALUE!</v>
      </c>
      <c r="AI142" s="172" t="e">
        <f>IF(VLOOKUP(T_BilanSocial[[#This Row],[NumL]],T_TraitDi[#Data],COLUMN(T_TraitDi[[#This Row],[Colonne4]]),FALSE)=0,"",TEXT(IFERROR(VLOOKUP(T_BilanSocial[[#This Row],[NumL]],T_TraitDi[#Data],COLUMN(T_TraitDi[[#This Row],[Colonne4]]),FALSE),""),"[hh]:mm"))</f>
        <v>#VALUE!</v>
      </c>
      <c r="AJ142" s="172" t="e">
        <f>IF(VLOOKUP(T_BilanSocial[[#This Row],[NumL]],T_TraitDi[#Data],COLUMN(T_TraitDi[[#This Row],[Colonne5]]),FALSE)=0,"",TEXT(IFERROR(VLOOKUP(T_BilanSocial[[#This Row],[NumL]],T_TraitDi[#Data],COLUMN(T_TraitDi[[#This Row],[Colonne5]]),FALSE),""),"[hh]:mm"))</f>
        <v>#VALUE!</v>
      </c>
      <c r="AK142" s="172" t="e">
        <f>IF(VLOOKUP(T_BilanSocial[[#This Row],[NumL]],T_TraitDi[#Data],COLUMN(T_TraitDi[[#This Row],[Colonne6]]),FALSE)=0,"",TEXT(IFERROR(VLOOKUP(T_BilanSocial[[#This Row],[NumL]],T_TraitDi[#Data],COLUMN(T_TraitDi[[#This Row],[Colonne6]]),FALSE),""),"[hh]:mm"))</f>
        <v>#VALUE!</v>
      </c>
      <c r="AL142" s="172" t="e">
        <f>IF(VLOOKUP(T_BilanSocial[[#This Row],[NumL]],T_TraitDi[#Data],COLUMN(T_TraitDi[[#This Row],[Colonne7]]),FALSE)=0,"",TEXT(IFERROR(VLOOKUP(T_BilanSocial[[#This Row],[NumL]],T_TraitDi[#Data],COLUMN(T_TraitDi[[#This Row],[Colonne7]]),FALSE),""),"[hh]:mm"))</f>
        <v>#VALUE!</v>
      </c>
      <c r="AM142" s="172" t="e">
        <f>IF(VLOOKUP(T_BilanSocial[[#This Row],[NumL]],T_TraitDi[#Data],COLUMN(T_TraitDi[[#This Row],[Colonne8]]),FALSE)=0,"",TEXT(IFERROR(VLOOKUP(T_BilanSocial[[#This Row],[NumL]],T_TraitDi[#Data],COLUMN(T_TraitDi[[#This Row],[Colonne8]]),FALSE),""),"[hh]:mm"))</f>
        <v>#VALUE!</v>
      </c>
      <c r="AN142" s="172" t="str">
        <f>IFERROR(VLOOKUP(T_BilanSocial[[#This Row],[NumL]],T_TraitDi[#Data],COLUMN(T_TraitDi[[#This Row],[Mardi]]),FALSE),"")</f>
        <v/>
      </c>
      <c r="AO142" s="172" t="e">
        <f>IF(VLOOKUP(T_BilanSocial[[#This Row],[NumL]],T_TraitDi[#Data],COLUMN(T_TraitDi[[#This Row],[Colonne1]]),FALSE)=0,"",TEXT(IFERROR(VLOOKUP(T_BilanSocial[[#This Row],[NumL]],T_TraitDi[#Data],COLUMN(T_TraitDi[[#This Row],[Colonne1]]),FALSE),""),"[hh]:mm"))</f>
        <v>#VALUE!</v>
      </c>
      <c r="AP142" s="172" t="e">
        <f>IF(VLOOKUP(T_BilanSocial[[#This Row],[NumL]],T_TraitDi[#Data],COLUMN(T_TraitDi[[#This Row],[Colonne9]]),FALSE)=0,"",TEXT(IFERROR(VLOOKUP(T_BilanSocial[[#This Row],[NumL]],T_TraitDi[#Data],COLUMN(T_TraitDi[[#This Row],[Colonne9]]),FALSE),""),"[hh]:mm"))</f>
        <v>#VALUE!</v>
      </c>
      <c r="AQ142" s="172" t="str">
        <f>IFERROR(VLOOKUP(T_BilanSocial[[#This Row],[NumL]],T_TraitDi[#Data],COLUMN(T_TraitDi[[#This Row],[Colonne10]]),FALSE),"")</f>
        <v/>
      </c>
      <c r="AR142" s="172" t="e">
        <f>IF(VLOOKUP(T_BilanSocial[[#This Row],[NumL]],T_TraitDi[#Data],COLUMN(T_TraitDi[[#This Row],[Colonne11]]),FALSE)=0,"",TEXT(IFERROR(VLOOKUP(T_BilanSocial[[#This Row],[NumL]],T_TraitDi[#Data],COLUMN(T_TraitDi[[#This Row],[Colonne11]]),FALSE),""),"[hh]:mm"))</f>
        <v>#VALUE!</v>
      </c>
      <c r="AS142" s="172" t="e">
        <f>IF(VLOOKUP(T_BilanSocial[[#This Row],[NumL]],T_TraitDi[#Data],COLUMN(T_TraitDi[[#This Row],[Colonne12]]),FALSE)=0,"",TEXT(IFERROR(VLOOKUP(T_BilanSocial[[#This Row],[NumL]],T_TraitDi[#Data],COLUMN(T_TraitDi[[#This Row],[Colonne12]]),FALSE),""),"[hh]:mm"))</f>
        <v>#VALUE!</v>
      </c>
      <c r="AT142" s="172" t="e">
        <f>IF(VLOOKUP(T_BilanSocial[[#This Row],[NumL]],T_TraitDi[#Data],COLUMN(T_TraitDi[[#This Row],[Colonne14]]),FALSE)=0,"",TEXT(IFERROR(VLOOKUP(T_BilanSocial[[#This Row],[NumL]],T_TraitDi[#Data],COLUMN(T_TraitDi[[#This Row],[Colonne14]]),FALSE),""),"[hh]:mm"))</f>
        <v>#VALUE!</v>
      </c>
      <c r="AU142" s="172" t="str">
        <f>IFERROR(VLOOKUP(T_BilanSocial[[#This Row],[NumL]],T_TraitDi[#Data],COLUMN(T_TraitDi[[#This Row],[Mercredi]]),FALSE),"")</f>
        <v/>
      </c>
      <c r="AV142" s="172" t="e">
        <f>IF(VLOOKUP(T_BilanSocial[[#This Row],[NumL]],T_TraitDi[#Data],COLUMN(T_TraitDi[[#This Row],[Colonne15]]),FALSE)=0,"",TEXT(IFERROR(VLOOKUP(T_BilanSocial[[#This Row],[NumL]],T_TraitDi[#Data],COLUMN(T_TraitDi[[#This Row],[Colonne15]]),FALSE),""),"[hh]:mm"))</f>
        <v>#VALUE!</v>
      </c>
      <c r="AW142" s="172" t="e">
        <f>IF(VLOOKUP(T_BilanSocial[[#This Row],[NumL]],T_TraitDi[#Data],COLUMN(T_TraitDi[[#This Row],[Colonne16]]),FALSE)=0,"",TEXT(IFERROR(VLOOKUP(T_BilanSocial[[#This Row],[NumL]],T_TraitDi[#Data],COLUMN(T_TraitDi[[#This Row],[Colonne16]]),FALSE),""),"[hh]:mm"))</f>
        <v>#VALUE!</v>
      </c>
      <c r="AX142" s="172" t="str">
        <f>IFERROR(VLOOKUP(T_BilanSocial[[#This Row],[NumL]],T_TraitDi[#Data],COLUMN(T_TraitDi[[#This Row],[Colonne17]]),FALSE),"")</f>
        <v/>
      </c>
      <c r="AY142" s="172" t="e">
        <f>IF(VLOOKUP(T_BilanSocial[[#This Row],[NumL]],T_TraitDi[#Data],COLUMN(T_TraitDi[[#This Row],[Colonne18]]),FALSE)=0,"",TEXT(IFERROR(VLOOKUP(T_BilanSocial[[#This Row],[NumL]],T_TraitDi[#Data],COLUMN(T_TraitDi[[#This Row],[Colonne18]]),FALSE),""),"[hh]:mm"))</f>
        <v>#VALUE!</v>
      </c>
      <c r="AZ142" s="172" t="e">
        <f>IF(VLOOKUP(T_BilanSocial[[#This Row],[NumL]],T_TraitDi[#Data],COLUMN(T_TraitDi[[#This Row],[Colonne19]]),FALSE)=0,"",TEXT(IFERROR(VLOOKUP(T_BilanSocial[[#This Row],[NumL]],T_TraitDi[#Data],COLUMN(T_TraitDi[[#This Row],[Colonne19]]),FALSE),""),"[hh]:mm"))</f>
        <v>#VALUE!</v>
      </c>
      <c r="BA142" s="172" t="e">
        <f>IF(VLOOKUP(T_BilanSocial[[#This Row],[NumL]],T_TraitDi[#Data],COLUMN(T_TraitDi[[#This Row],[Colonne20]]),FALSE)=0,"",TEXT(IFERROR(VLOOKUP(T_BilanSocial[[#This Row],[NumL]],T_TraitDi[#Data],COLUMN(T_TraitDi[[#This Row],[Colonne20]]),FALSE),""),"[hh]:mm"))</f>
        <v>#VALUE!</v>
      </c>
      <c r="BB142" s="178" t="str">
        <f>IFERROR(VLOOKUP(T_BilanSocial[[#This Row],[NumL]],T_TraitDi[#Data],COLUMN(T_TraitDi[[#This Row],[Jeudi]]),FALSE),"")</f>
        <v/>
      </c>
      <c r="BC142" s="178" t="e">
        <f>IF(VLOOKUP(T_BilanSocial[[#This Row],[NumL]],T_TraitDi[#Data],COLUMN(T_TraitDi[[#This Row],[Colonne21]]),FALSE)=0,"",TEXT(IFERROR(VLOOKUP(T_BilanSocial[[#This Row],[NumL]],T_TraitDi[#Data],COLUMN(T_TraitDi[[#This Row],[Colonne21]]),FALSE),""),"[hh]:mm"))</f>
        <v>#VALUE!</v>
      </c>
      <c r="BD142" s="178" t="e">
        <f>IF(VLOOKUP(T_BilanSocial[[#This Row],[NumL]],T_TraitDi[#Data],COLUMN(T_TraitDi[[#This Row],[Colonne22]]),FALSE)=0,"",TEXT(IFERROR(VLOOKUP(T_BilanSocial[[#This Row],[NumL]],T_TraitDi[#Data],COLUMN(T_TraitDi[[#This Row],[Colonne22]]),FALSE),""),"[hh]:mm"))</f>
        <v>#VALUE!</v>
      </c>
      <c r="BE142" s="178" t="str">
        <f>IFERROR(VLOOKUP(T_BilanSocial[[#This Row],[NumL]],T_TraitDi[#Data],COLUMN(T_TraitDi[[#This Row],[Colonne23]]),FALSE),"")</f>
        <v/>
      </c>
      <c r="BF142" s="178" t="e">
        <f>IF(VLOOKUP(T_BilanSocial[[#This Row],[NumL]],T_TraitDi[#Data],COLUMN(T_TraitDi[[#This Row],[Colonne24]]),FALSE)=0,"",TEXT(IFERROR(VLOOKUP(T_BilanSocial[[#This Row],[NumL]],T_TraitDi[#Data],COLUMN(T_TraitDi[[#This Row],[Colonne24]]),FALSE),""),"[hh]:mm"))</f>
        <v>#VALUE!</v>
      </c>
      <c r="BG142" s="178" t="e">
        <f>IF(VLOOKUP(T_BilanSocial[[#This Row],[NumL]],T_TraitDi[#Data],COLUMN(T_TraitDi[[#This Row],[Colonne25]]),FALSE)=0,"",TEXT(IFERROR(VLOOKUP(T_BilanSocial[[#This Row],[NumL]],T_TraitDi[#Data],COLUMN(T_TraitDi[[#This Row],[Colonne25]]),FALSE),""),"[hh]:mm"))</f>
        <v>#VALUE!</v>
      </c>
      <c r="BH142" s="178" t="e">
        <f>IF(VLOOKUP(T_BilanSocial[[#This Row],[NumL]],T_TraitDi[#Data],COLUMN(T_TraitDi[[#This Row],[Colonne26]]),FALSE)=0,"",TEXT(IFERROR(VLOOKUP(T_BilanSocial[[#This Row],[NumL]],T_TraitDi[#Data],COLUMN(T_TraitDi[[#This Row],[Colonne26]]),FALSE),""),"[hh]:mm"))</f>
        <v>#VALUE!</v>
      </c>
      <c r="BI142" s="172" t="str">
        <f>IFERROR(VLOOKUP(T_BilanSocial[[#This Row],[NumL]],T_TraitDi[#Data],COLUMN(T_TraitDi[[#This Row],[Vendredi]]),FALSE),"")</f>
        <v/>
      </c>
      <c r="BJ142" s="172" t="e">
        <f>IF(VLOOKUP(T_BilanSocial[[#This Row],[NumL]],T_TraitDi[#Data],COLUMN(T_TraitDi[[#This Row],[Colonne27]]),FALSE)=0,"",TEXT(IFERROR(VLOOKUP(T_BilanSocial[[#This Row],[NumL]],T_TraitDi[#Data],COLUMN(T_TraitDi[[#This Row],[Colonne27]]),FALSE),""),"[hh]:mm"))</f>
        <v>#VALUE!</v>
      </c>
      <c r="BK142" s="172" t="e">
        <f>IF(VLOOKUP(T_BilanSocial[[#This Row],[NumL]],T_TraitDi[#Data],COLUMN(T_TraitDi[[#This Row],[Colonne28]]),FALSE)=0,"",TEXT(IFERROR(VLOOKUP(T_BilanSocial[[#This Row],[NumL]],T_TraitDi[#Data],COLUMN(T_TraitDi[[#This Row],[Colonne28]]),FALSE),""),"[hh]:mm"))</f>
        <v>#VALUE!</v>
      </c>
      <c r="BL142" s="172" t="str">
        <f>IFERROR(VLOOKUP(T_BilanSocial[[#This Row],[NumL]],T_TraitDi[#Data],COLUMN(T_TraitDi[[#This Row],[Colonne29]]),FALSE),"")</f>
        <v/>
      </c>
      <c r="BM142" s="172" t="e">
        <f>IF(VLOOKUP(T_BilanSocial[[#This Row],[NumL]],T_TraitDi[#Data],COLUMN(T_TraitDi[[#This Row],[Colonne30]]),FALSE)=0,"",TEXT(IFERROR(VLOOKUP(T_BilanSocial[[#This Row],[NumL]],T_TraitDi[#Data],COLUMN(T_TraitDi[[#This Row],[Colonne30]]),FALSE),""),"[hh]:mm"))</f>
        <v>#VALUE!</v>
      </c>
      <c r="BN142" s="172" t="e">
        <f>IF(VLOOKUP(T_BilanSocial[[#This Row],[NumL]],T_TraitDi[#Data],COLUMN(T_TraitDi[[#This Row],[Colonne31]]),FALSE)=0,"",TEXT(IFERROR(VLOOKUP(T_BilanSocial[[#This Row],[NumL]],T_TraitDi[#Data],COLUMN(T_TraitDi[[#This Row],[Colonne31]]),FALSE),""),"[hh]:mm"))</f>
        <v>#VALUE!</v>
      </c>
      <c r="BO142" s="172" t="e">
        <f>IF(VLOOKUP(T_BilanSocial[[#This Row],[NumL]],T_TraitDi[#Data],COLUMN(T_TraitDi[[#This Row],[Colonne32]]),FALSE)=0,"",TEXT(IFERROR(VLOOKUP(T_BilanSocial[[#This Row],[NumL]],T_TraitDi[#Data],COLUMN(T_TraitDi[[#This Row],[Colonne32]]),FALSE),""),"[hh]:mm"))</f>
        <v>#VALUE!</v>
      </c>
      <c r="BP142" s="172" t="e">
        <f>VLOOKUP(T_BilanSocial[[#This Row],[NumL]],T_TraitDi[#Data],COLUMN(T_TraitDi[NbJTot]),FALSE)</f>
        <v>#N/A</v>
      </c>
      <c r="BQ142" s="174" t="str">
        <f>IFERROR(VLOOKUP(T_BilanSocial[[#This Row],[NumL]],T_TraitDi[#Data],COLUMN(T_TraitDi[[#This Row],[NbJTW]]),FALSE),"")</f>
        <v/>
      </c>
      <c r="BR142" s="174" t="e">
        <f>IF(VLOOKUP(T_BilanSocial[[#This Row],[NumL]],T_TraitDi[#Data],COLUMN(T_TraitDi[[#This Row],[NbhTW]]),FALSE)=0,"",TEXT(IFERROR(VLOOKUP(T_BilanSocial[[#This Row],[NumL]],T_TraitDi[#Data],COLUMN(T_TraitDi[[#This Row],[NbhTW]]),FALSE),""),"[hh]:mm"))</f>
        <v>#VALUE!</v>
      </c>
      <c r="BS142" s="174" t="e">
        <f>IF(VLOOKUP(T_BilanSocial[[#This Row],[NumL]],T_TraitDi[#Data],COLUMN(T_TraitDi[[#This Row],[Nbhheb]]),FALSE)=0,"",TEXT(IFERROR(VLOOKUP($A142,T_TraitDi[#Data],COLUMN(T_TraitDi[[#This Row],[Nbhheb]]),FALSE),""),"[hh]:mm"))</f>
        <v>#VALUE!</v>
      </c>
      <c r="BT142" s="182" t="str">
        <f>IFERROR(VLOOKUP(VLOOKUP($A142,T_TraitDi[#Data],COLUMN(T_TraitDi[[#This Row],[Type1]]),FALSE),TypeTW,2,FALSE),"")</f>
        <v/>
      </c>
      <c r="BU142" s="182" t="str">
        <f>IFERROR(VLOOKUP($A142,T_TraitDi[#Data],COLUMN(T_TraitDi[[#This Row],[Rue1]]),FALSE),"")</f>
        <v/>
      </c>
      <c r="BV142" s="173" t="str">
        <f>IFERROR(VLOOKUP($A142,T_TraitDi[#Data],COLUMN(T_TraitDi[[#This Row],[CP1]]),FALSE),"")</f>
        <v/>
      </c>
      <c r="BW142" s="173" t="str">
        <f>IFERROR(VLOOKUP($A142,T_TraitDi[#Data],COLUMN(T_TraitDi[[#This Row],[VILLE1]]),FALSE),"")</f>
        <v/>
      </c>
      <c r="BX142" s="182" t="str">
        <f>IFERROR(VLOOKUP(VLOOKUP($A142,T_TraitDi[#Data],COLUMN(T_TraitDi[[#This Row],[Type2]]),FALSE),TypeTW,2,FALSE),"")</f>
        <v/>
      </c>
      <c r="BY142" s="182" t="str">
        <f>IFERROR(VLOOKUP($A142,T_TraitDi[#Data],COLUMN(T_TraitDi[[#This Row],[Rue2]]),FALSE),"")</f>
        <v/>
      </c>
      <c r="BZ142" s="173" t="str">
        <f>IFERROR(VLOOKUP($A142,T_TraitDi[#Data],COLUMN(T_TraitDi[[#This Row],[CP2]]),FALSE),"")</f>
        <v/>
      </c>
      <c r="CA142" s="173" t="str">
        <f>IFERROR(VLOOKUP($A142,T_TraitDi[#Data],COLUMN(T_TraitDi[[#This Row],[VILLE2]]),FALSE),"")</f>
        <v/>
      </c>
      <c r="CB142" s="182" t="str">
        <f>IF(VLOOKUP(T_BilanSocial[[#This Row],[NumL]],T_Equipement[#Data],COLUMN(T_Equipement[[#This Row],[PC]]),FALSE)="","Aucun équipement spécifique directement lié au télétravail",VLOOKUP(T_BilanSocial[[#This Row],[NumL]],T_Equipement[#Data],COLUMN(T_Equipement[[#This Row],[PC]]),FALSE))</f>
        <v xml:space="preserve">20-642	</v>
      </c>
      <c r="CC142" s="166" t="str">
        <f>IFERROR(IF(VLOOKUP(T_BilanSocial[[#This Row],[NumL]],T_TraitDi[#Data],COLUMN(T_TraitDi[[#This Row],[Plan]]),FALSE)="OK","Un planning spécifique de télétravail est annexé à la présente convention.",""),"")</f>
        <v/>
      </c>
      <c r="CD142" s="258" t="s">
        <v>3347</v>
      </c>
      <c r="CE142" s="164" t="e">
        <f>IF(VLOOKUP(T_BilanSocial[[#This Row],[NumL]],T_suiviDi[#Data],COLUMN(T_suiviDi[[#This Row],[Entité]]),FALSE)="","",VLOOKUP(T_BilanSocial[[#This Row],[NumL]],T_suiviDi[#Data],COLUMN(T_suiviDi[[#This Row],[Entité]]),FALSE))</f>
        <v>#VALUE!</v>
      </c>
      <c r="CF142" s="164" t="str">
        <f>IF(VLOOKUP(T_BilanSocial[[#This Row],[NumL]],T_Commission[#Data],COLUMN(T_Commission[[#This Row],[envoi confirm TW]]),FALSE)="","",VLOOKUP(T_BilanSocial[[#This Row],[NumL]],T_Commission[#Data],COLUMN(T_Commission[[#This Row],[envoi confirm TW]]),FALSE))</f>
        <v>Oui</v>
      </c>
      <c r="CG14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2" s="262" t="str">
        <f>T_BilanSocial[[#This Row],[Nom]]&amp;T_BilanSocial[[#This Row],[Prenom]]</f>
        <v/>
      </c>
      <c r="CI142" s="262">
        <f>VLOOKUP(T_BilanSocial[[#This Row],[NumL]],T_Commission[#Data],COLUMN(T_Commission[Commentaire]),FALSE)</f>
        <v>0</v>
      </c>
      <c r="CJ142" s="262" t="str">
        <f>IF(VLOOKUP(T_BilanSocial[[#This Row],[NumL]],T_Commission[#Data],COLUMN(T_Commission[Encadrant Email]),FALSE)="","",VLOOKUP(T_BilanSocial[[#This Row],[NumL]],T_Commission[#Data],COLUMN(T_Commission[Encadrant Email]),FALSE))</f>
        <v/>
      </c>
      <c r="CK142" s="340" t="str">
        <f>IF(T_BilanSocial[[#This Row],[Final]]&lt;&gt;"",VLOOKUP(T_BilanSocial[[#This Row],[NumL]],T_suiviDi[#Data],COLUMN((T_suiviDi[Statut])),FALSE),"")</f>
        <v/>
      </c>
    </row>
    <row r="143" spans="1:89" s="106" customFormat="1" ht="24.75" customHeight="1" x14ac:dyDescent="0.25">
      <c r="A143" s="160">
        <v>140</v>
      </c>
      <c r="B143" s="161" t="str">
        <f t="shared" si="22"/>
        <v/>
      </c>
      <c r="C143" s="162" t="s">
        <v>139</v>
      </c>
      <c r="D143" s="95" t="e">
        <f>IF(VLOOKUP(T_BilanSocial[[#This Row],[NumL]],T_TraitDi[#Data],COLUMN(T_TraitDi[[#This Row],[WebC]]),FALSE)="","",VLOOKUP(T_BilanSocial[[#This Row],[NumL]],T_TraitDi[#Data],COLUMN(T_TraitDi[[#This Row],[WebC]]),FALSE))</f>
        <v>#VALUE!</v>
      </c>
      <c r="E143" s="163" t="str">
        <f t="shared" si="23"/>
        <v>12 janvier 2021</v>
      </c>
      <c r="F143" s="96" t="str">
        <f>IF(T_BilanSocial[[#This Row],[Final]]&lt;&gt;"",VLOOKUP(T_BilanSocial[[#This Row],[NumL]],T_suiviDi[#Data],COLUMN((T_suiviDi[Civ.])),FALSE),"")</f>
        <v/>
      </c>
      <c r="G143" s="96" t="str">
        <f>IF(T_BilanSocial[[#This Row],[Final]]&lt;&gt;"",VLOOKUP(T_BilanSocial[[#This Row],[NumL]],T_suiviDi[#Data],COLUMN((T_suiviDi[Nom])),FALSE),"")</f>
        <v/>
      </c>
      <c r="H143" s="96" t="str">
        <f>IF(T_BilanSocial[[#This Row],[Final]]&lt;&gt;"",VLOOKUP(T_BilanSocial[[#This Row],[NumL]],T_suiviDi[#Data],COLUMN((T_suiviDi[Prénom])),FALSE),"")</f>
        <v/>
      </c>
      <c r="I143" s="96" t="str">
        <f>IFERROR(VLOOKUP(T_BilanSocial[[#This Row],[Zone_Bilan]],T_P_BilanSocial[#Data],COLUMN(T_P_BilanSocial[[#This Row],[Numero_SIHAM]]),FALSE),"")</f>
        <v/>
      </c>
      <c r="J143" s="96" t="str">
        <f>IFERROR(VLOOKUP(T_BilanSocial[[#This Row],[Zone_Bilan]],T_P_BilanSocial[#Data],COLUMN(T_P_BilanSocial[[#This Row],[Sexe]]),FALSE),"")</f>
        <v/>
      </c>
      <c r="K143" s="97" t="str">
        <f>IFERROR(VLOOKUP(T_BilanSocial[[#This Row],[Zone_Bilan]],T_P_BilanSocial[#Data],COLUMN(T_P_BilanSocial[[#This Row],[Categorie]]),FALSE),"")</f>
        <v/>
      </c>
      <c r="L143" s="96" t="str">
        <f>IFERROR(VLOOKUP(T_BilanSocial[[#This Row],[Zone_Bilan]],T_P_BilanSocial[#Data],COLUMN(T_P_BilanSocial[[#This Row],[Statut]]),FALSE),"")</f>
        <v/>
      </c>
      <c r="M143" s="96" t="str">
        <f>IFERROR(VLOOKUP(T_BilanSocial[[#This Row],[Zone_Bilan]],T_P_BilanSocial[#Data],COLUMN(T_P_BilanSocial[[#This Row],[Filiere]]),FALSE),"")</f>
        <v/>
      </c>
      <c r="N143" s="96" t="e">
        <f>VLOOKUP(T_BilanSocial[[#This Row],[NumL]],T_TraitDi[#Data],COLUMN(T_TraitDi[EXP]),FALSE)</f>
        <v>#N/A</v>
      </c>
      <c r="O143" s="96" t="e">
        <f>VLOOKUP(T_BilanSocial[[#This Row],[NumL]],T_TraitDi[#Data],COLUMN(T_TraitDi[FORM]),FALSE)</f>
        <v>#N/A</v>
      </c>
      <c r="P143" s="96" t="str">
        <f>IF(T_BilanSocial[[#This Row],[Final]]&lt;&gt;"",VLOOKUP(T_BilanSocial[[#This Row],[NumL]],T_suiviDi[#Data],COLUMN((T_suiviDi[Email])),FALSE),"")</f>
        <v/>
      </c>
      <c r="Q143" s="164" t="e">
        <f t="shared" si="17"/>
        <v>#N/A</v>
      </c>
      <c r="R143" s="164" t="e">
        <f t="shared" si="18"/>
        <v>#N/A</v>
      </c>
      <c r="S143" s="164" t="e">
        <f>IF(VLOOKUP(T_BilanSocial[[#This Row],[NumL]],T_suiviDi[#Data],COLUMN(T_suiviDi[[#This Row],[Service ]]),FALSE)="","",VLOOKUP(T_BilanSocial[[#This Row],[NumL]],T_suiviDi[#Data],COLUMN(T_suiviDi[[#This Row],[Service ]]),FALSE))</f>
        <v>#VALUE!</v>
      </c>
      <c r="T143" s="164" t="str">
        <f t="shared" si="24"/>
        <v>01 septembre 2021</v>
      </c>
      <c r="U143" s="164" t="str">
        <f t="shared" si="25"/>
        <v>30 novembre 2021</v>
      </c>
      <c r="V143" s="256">
        <f>Datebilan</f>
        <v>44530</v>
      </c>
      <c r="W143" s="176" t="e">
        <f>IF(VLOOKUP(T_BilanSocial[[#This Row],[NumL]],T_TraitDi[#Data],COLUMN(T_TraitDi[[#This Row],[M1]]),FALSE)="","",VLOOKUP(T_BilanSocial[[#This Row],[NumL]],T_TraitDi[#Data],COLUMN(T_TraitDi[[#This Row],[M1]]),FALSE))</f>
        <v>#VALUE!</v>
      </c>
      <c r="X143" s="176" t="e">
        <f>IF(VLOOKUP(T_BilanSocial[[#This Row],[NumL]],T_TraitDi[#Data],COLUMN(T_TraitDi[[#This Row],[M2]]),FALSE)="","",VLOOKUP(T_BilanSocial[[#This Row],[NumL]],T_TraitDi[#Data],COLUMN(T_TraitDi[[#This Row],[M2]]),FALSE))</f>
        <v>#VALUE!</v>
      </c>
      <c r="Y143" s="176" t="e">
        <f>IF(VLOOKUP(T_BilanSocial[[#This Row],[NumL]],T_TraitDi[#Data],COLUMN(T_TraitDi[[#This Row],[M3]]),FALSE)="","",VLOOKUP(T_BilanSocial[[#This Row],[NumL]],T_TraitDi[#Data],COLUMN(T_TraitDi[[#This Row],[M3]]),FALSE))</f>
        <v>#VALUE!</v>
      </c>
      <c r="Z143" s="176" t="str">
        <f t="shared" si="27"/>
        <v/>
      </c>
      <c r="AA143" s="176" t="e">
        <f>IF(VLOOKUP(T_BilanSocial[[#This Row],[NumL]],T_TraitDi[#Data],COLUMN(T_TraitDi[[#This Row],[M5]]),FALSE)="","",VLOOKUP(T_BilanSocial[[#This Row],[NumL]],T_TraitDi[#Data],COLUMN(T_TraitDi[[#This Row],[M5]]),FALSE))</f>
        <v>#VALUE!</v>
      </c>
      <c r="AB143" s="176" t="e">
        <f>IF(VLOOKUP(T_BilanSocial[[#This Row],[NumL]],T_TraitDi[#Data],COLUMN(T_TraitDi[[#This Row],[M6]]),FALSE)="","",VLOOKUP(T_BilanSocial[[#This Row],[NumL]],T_TraitDi[#Data],COLUMN(T_TraitDi[[#This Row],[M6]]),FALSE))</f>
        <v>#VALUE!</v>
      </c>
      <c r="AC143" s="165" t="e">
        <f t="shared" si="26"/>
        <v>#VALUE!</v>
      </c>
      <c r="AD143" s="188" t="str">
        <f>IFERROR(TEXT(VLOOKUP(T_BilanSocial[[#This Row],[NumL]],T_TraitDi[#Data],COLUMN(T_TraitDi[[#This Row],[Q2]]),FALSE),"###%"),"")</f>
        <v/>
      </c>
      <c r="AE143" s="97" t="e">
        <f>VLOOKUP(T_BilanSocial[[#This Row],[NumL]],T_TraitDi[#Data],COLUMN(T_TraitDi[[#This Row],[Reg Ponct]]),FALSE)</f>
        <v>#VALUE!</v>
      </c>
      <c r="AF143" s="97" t="e">
        <f>VLOOKUP(T_BilanSocial[NumL],T_TraitDi[#Data],COLUMN(T_TraitDi[[#This Row],[Jours flottants]]),FALSE)</f>
        <v>#VALUE!</v>
      </c>
      <c r="AG143" s="97" t="str">
        <f>IFERROR(VLOOKUP(T_BilanSocial[[#This Row],[NumL]],T_TraitDi[#Data],COLUMN(T_TraitDi[[#This Row],[Lundi]]),FALSE),"")</f>
        <v/>
      </c>
      <c r="AH143" s="172" t="e">
        <f>IF(VLOOKUP(T_BilanSocial[[#This Row],[NumL]],T_TraitDi[#Data],COLUMN(T_TraitDi[[#This Row],[Colonne3]]),FALSE)=0,"",TEXT(IFERROR(VLOOKUP(T_BilanSocial[[#This Row],[NumL]],T_TraitDi[#Data],COLUMN(T_TraitDi[[#This Row],[Colonne3]]),FALSE),""),"[hh]:mm"))</f>
        <v>#VALUE!</v>
      </c>
      <c r="AI143" s="172" t="e">
        <f>IF(VLOOKUP(T_BilanSocial[[#This Row],[NumL]],T_TraitDi[#Data],COLUMN(T_TraitDi[[#This Row],[Colonne4]]),FALSE)=0,"",TEXT(IFERROR(VLOOKUP(T_BilanSocial[[#This Row],[NumL]],T_TraitDi[#Data],COLUMN(T_TraitDi[[#This Row],[Colonne4]]),FALSE),""),"[hh]:mm"))</f>
        <v>#VALUE!</v>
      </c>
      <c r="AJ143" s="172" t="e">
        <f>IF(VLOOKUP(T_BilanSocial[[#This Row],[NumL]],T_TraitDi[#Data],COLUMN(T_TraitDi[[#This Row],[Colonne5]]),FALSE)=0,"",TEXT(IFERROR(VLOOKUP(T_BilanSocial[[#This Row],[NumL]],T_TraitDi[#Data],COLUMN(T_TraitDi[[#This Row],[Colonne5]]),FALSE),""),"[hh]:mm"))</f>
        <v>#VALUE!</v>
      </c>
      <c r="AK143" s="172" t="e">
        <f>IF(VLOOKUP(T_BilanSocial[[#This Row],[NumL]],T_TraitDi[#Data],COLUMN(T_TraitDi[[#This Row],[Colonne6]]),FALSE)=0,"",TEXT(IFERROR(VLOOKUP(T_BilanSocial[[#This Row],[NumL]],T_TraitDi[#Data],COLUMN(T_TraitDi[[#This Row],[Colonne6]]),FALSE),""),"[hh]:mm"))</f>
        <v>#VALUE!</v>
      </c>
      <c r="AL143" s="172" t="e">
        <f>IF(VLOOKUP(T_BilanSocial[[#This Row],[NumL]],T_TraitDi[#Data],COLUMN(T_TraitDi[[#This Row],[Colonne7]]),FALSE)=0,"",TEXT(IFERROR(VLOOKUP(T_BilanSocial[[#This Row],[NumL]],T_TraitDi[#Data],COLUMN(T_TraitDi[[#This Row],[Colonne7]]),FALSE),""),"[hh]:mm"))</f>
        <v>#VALUE!</v>
      </c>
      <c r="AM143" s="172" t="e">
        <f>IF(VLOOKUP(T_BilanSocial[[#This Row],[NumL]],T_TraitDi[#Data],COLUMN(T_TraitDi[[#This Row],[Colonne8]]),FALSE)=0,"",TEXT(IFERROR(VLOOKUP(T_BilanSocial[[#This Row],[NumL]],T_TraitDi[#Data],COLUMN(T_TraitDi[[#This Row],[Colonne8]]),FALSE),""),"[hh]:mm"))</f>
        <v>#VALUE!</v>
      </c>
      <c r="AN143" s="172" t="str">
        <f>IFERROR(VLOOKUP(T_BilanSocial[[#This Row],[NumL]],T_TraitDi[#Data],COLUMN(T_TraitDi[[#This Row],[Mardi]]),FALSE),"")</f>
        <v/>
      </c>
      <c r="AO143" s="172" t="e">
        <f>IF(VLOOKUP(T_BilanSocial[[#This Row],[NumL]],T_TraitDi[#Data],COLUMN(T_TraitDi[[#This Row],[Colonne1]]),FALSE)=0,"",TEXT(IFERROR(VLOOKUP(T_BilanSocial[[#This Row],[NumL]],T_TraitDi[#Data],COLUMN(T_TraitDi[[#This Row],[Colonne1]]),FALSE),""),"[hh]:mm"))</f>
        <v>#VALUE!</v>
      </c>
      <c r="AP143" s="172" t="e">
        <f>IF(VLOOKUP(T_BilanSocial[[#This Row],[NumL]],T_TraitDi[#Data],COLUMN(T_TraitDi[[#This Row],[Colonne9]]),FALSE)=0,"",TEXT(IFERROR(VLOOKUP(T_BilanSocial[[#This Row],[NumL]],T_TraitDi[#Data],COLUMN(T_TraitDi[[#This Row],[Colonne9]]),FALSE),""),"[hh]:mm"))</f>
        <v>#VALUE!</v>
      </c>
      <c r="AQ143" s="172" t="str">
        <f>IFERROR(VLOOKUP(T_BilanSocial[[#This Row],[NumL]],T_TraitDi[#Data],COLUMN(T_TraitDi[[#This Row],[Colonne10]]),FALSE),"")</f>
        <v/>
      </c>
      <c r="AR143" s="172" t="e">
        <f>IF(VLOOKUP(T_BilanSocial[[#This Row],[NumL]],T_TraitDi[#Data],COLUMN(T_TraitDi[[#This Row],[Colonne11]]),FALSE)=0,"",TEXT(IFERROR(VLOOKUP(T_BilanSocial[[#This Row],[NumL]],T_TraitDi[#Data],COLUMN(T_TraitDi[[#This Row],[Colonne11]]),FALSE),""),"[hh]:mm"))</f>
        <v>#VALUE!</v>
      </c>
      <c r="AS143" s="172" t="e">
        <f>IF(VLOOKUP(T_BilanSocial[[#This Row],[NumL]],T_TraitDi[#Data],COLUMN(T_TraitDi[[#This Row],[Colonne12]]),FALSE)=0,"",TEXT(IFERROR(VLOOKUP(T_BilanSocial[[#This Row],[NumL]],T_TraitDi[#Data],COLUMN(T_TraitDi[[#This Row],[Colonne12]]),FALSE),""),"[hh]:mm"))</f>
        <v>#VALUE!</v>
      </c>
      <c r="AT143" s="172" t="e">
        <f>IF(VLOOKUP(T_BilanSocial[[#This Row],[NumL]],T_TraitDi[#Data],COLUMN(T_TraitDi[[#This Row],[Colonne14]]),FALSE)=0,"",TEXT(IFERROR(VLOOKUP(T_BilanSocial[[#This Row],[NumL]],T_TraitDi[#Data],COLUMN(T_TraitDi[[#This Row],[Colonne14]]),FALSE),""),"[hh]:mm"))</f>
        <v>#VALUE!</v>
      </c>
      <c r="AU143" s="172" t="str">
        <f>IFERROR(VLOOKUP(T_BilanSocial[[#This Row],[NumL]],T_TraitDi[#Data],COLUMN(T_TraitDi[[#This Row],[Mercredi]]),FALSE),"")</f>
        <v/>
      </c>
      <c r="AV143" s="172" t="e">
        <f>IF(VLOOKUP(T_BilanSocial[[#This Row],[NumL]],T_TraitDi[#Data],COLUMN(T_TraitDi[[#This Row],[Colonne15]]),FALSE)=0,"",TEXT(IFERROR(VLOOKUP(T_BilanSocial[[#This Row],[NumL]],T_TraitDi[#Data],COLUMN(T_TraitDi[[#This Row],[Colonne15]]),FALSE),""),"[hh]:mm"))</f>
        <v>#VALUE!</v>
      </c>
      <c r="AW143" s="172" t="e">
        <f>IF(VLOOKUP(T_BilanSocial[[#This Row],[NumL]],T_TraitDi[#Data],COLUMN(T_TraitDi[[#This Row],[Colonne16]]),FALSE)=0,"",TEXT(IFERROR(VLOOKUP(T_BilanSocial[[#This Row],[NumL]],T_TraitDi[#Data],COLUMN(T_TraitDi[[#This Row],[Colonne16]]),FALSE),""),"[hh]:mm"))</f>
        <v>#VALUE!</v>
      </c>
      <c r="AX143" s="172" t="str">
        <f>IFERROR(VLOOKUP(T_BilanSocial[[#This Row],[NumL]],T_TraitDi[#Data],COLUMN(T_TraitDi[[#This Row],[Colonne17]]),FALSE),"")</f>
        <v/>
      </c>
      <c r="AY143" s="172" t="e">
        <f>IF(VLOOKUP(T_BilanSocial[[#This Row],[NumL]],T_TraitDi[#Data],COLUMN(T_TraitDi[[#This Row],[Colonne18]]),FALSE)=0,"",TEXT(IFERROR(VLOOKUP(T_BilanSocial[[#This Row],[NumL]],T_TraitDi[#Data],COLUMN(T_TraitDi[[#This Row],[Colonne18]]),FALSE),""),"[hh]:mm"))</f>
        <v>#VALUE!</v>
      </c>
      <c r="AZ143" s="172" t="e">
        <f>IF(VLOOKUP(T_BilanSocial[[#This Row],[NumL]],T_TraitDi[#Data],COLUMN(T_TraitDi[[#This Row],[Colonne19]]),FALSE)=0,"",TEXT(IFERROR(VLOOKUP(T_BilanSocial[[#This Row],[NumL]],T_TraitDi[#Data],COLUMN(T_TraitDi[[#This Row],[Colonne19]]),FALSE),""),"[hh]:mm"))</f>
        <v>#VALUE!</v>
      </c>
      <c r="BA143" s="172" t="e">
        <f>IF(VLOOKUP(T_BilanSocial[[#This Row],[NumL]],T_TraitDi[#Data],COLUMN(T_TraitDi[[#This Row],[Colonne20]]),FALSE)=0,"",TEXT(IFERROR(VLOOKUP(T_BilanSocial[[#This Row],[NumL]],T_TraitDi[#Data],COLUMN(T_TraitDi[[#This Row],[Colonne20]]),FALSE),""),"[hh]:mm"))</f>
        <v>#VALUE!</v>
      </c>
      <c r="BB143" s="178" t="str">
        <f>IFERROR(VLOOKUP(T_BilanSocial[[#This Row],[NumL]],T_TraitDi[#Data],COLUMN(T_TraitDi[[#This Row],[Jeudi]]),FALSE),"")</f>
        <v/>
      </c>
      <c r="BC143" s="178" t="e">
        <f>IF(VLOOKUP(T_BilanSocial[[#This Row],[NumL]],T_TraitDi[#Data],COLUMN(T_TraitDi[[#This Row],[Colonne21]]),FALSE)=0,"",TEXT(IFERROR(VLOOKUP(T_BilanSocial[[#This Row],[NumL]],T_TraitDi[#Data],COLUMN(T_TraitDi[[#This Row],[Colonne21]]),FALSE),""),"[hh]:mm"))</f>
        <v>#VALUE!</v>
      </c>
      <c r="BD143" s="178" t="e">
        <f>IF(VLOOKUP(T_BilanSocial[[#This Row],[NumL]],T_TraitDi[#Data],COLUMN(T_TraitDi[[#This Row],[Colonne22]]),FALSE)=0,"",TEXT(IFERROR(VLOOKUP(T_BilanSocial[[#This Row],[NumL]],T_TraitDi[#Data],COLUMN(T_TraitDi[[#This Row],[Colonne22]]),FALSE),""),"[hh]:mm"))</f>
        <v>#VALUE!</v>
      </c>
      <c r="BE143" s="178" t="str">
        <f>IFERROR(VLOOKUP(T_BilanSocial[[#This Row],[NumL]],T_TraitDi[#Data],COLUMN(T_TraitDi[[#This Row],[Colonne23]]),FALSE),"")</f>
        <v/>
      </c>
      <c r="BF143" s="178" t="e">
        <f>IF(VLOOKUP(T_BilanSocial[[#This Row],[NumL]],T_TraitDi[#Data],COLUMN(T_TraitDi[[#This Row],[Colonne24]]),FALSE)=0,"",TEXT(IFERROR(VLOOKUP(T_BilanSocial[[#This Row],[NumL]],T_TraitDi[#Data],COLUMN(T_TraitDi[[#This Row],[Colonne24]]),FALSE),""),"[hh]:mm"))</f>
        <v>#VALUE!</v>
      </c>
      <c r="BG143" s="178" t="e">
        <f>IF(VLOOKUP(T_BilanSocial[[#This Row],[NumL]],T_TraitDi[#Data],COLUMN(T_TraitDi[[#This Row],[Colonne25]]),FALSE)=0,"",TEXT(IFERROR(VLOOKUP(T_BilanSocial[[#This Row],[NumL]],T_TraitDi[#Data],COLUMN(T_TraitDi[[#This Row],[Colonne25]]),FALSE),""),"[hh]:mm"))</f>
        <v>#VALUE!</v>
      </c>
      <c r="BH143" s="178" t="e">
        <f>IF(VLOOKUP(T_BilanSocial[[#This Row],[NumL]],T_TraitDi[#Data],COLUMN(T_TraitDi[[#This Row],[Colonne26]]),FALSE)=0,"",TEXT(IFERROR(VLOOKUP(T_BilanSocial[[#This Row],[NumL]],T_TraitDi[#Data],COLUMN(T_TraitDi[[#This Row],[Colonne26]]),FALSE),""),"[hh]:mm"))</f>
        <v>#VALUE!</v>
      </c>
      <c r="BI143" s="172" t="str">
        <f>IFERROR(VLOOKUP(T_BilanSocial[[#This Row],[NumL]],T_TraitDi[#Data],COLUMN(T_TraitDi[[#This Row],[Vendredi]]),FALSE),"")</f>
        <v/>
      </c>
      <c r="BJ143" s="172" t="e">
        <f>IF(VLOOKUP(T_BilanSocial[[#This Row],[NumL]],T_TraitDi[#Data],COLUMN(T_TraitDi[[#This Row],[Colonne27]]),FALSE)=0,"",TEXT(IFERROR(VLOOKUP(T_BilanSocial[[#This Row],[NumL]],T_TraitDi[#Data],COLUMN(T_TraitDi[[#This Row],[Colonne27]]),FALSE),""),"[hh]:mm"))</f>
        <v>#VALUE!</v>
      </c>
      <c r="BK143" s="172" t="e">
        <f>IF(VLOOKUP(T_BilanSocial[[#This Row],[NumL]],T_TraitDi[#Data],COLUMN(T_TraitDi[[#This Row],[Colonne28]]),FALSE)=0,"",TEXT(IFERROR(VLOOKUP(T_BilanSocial[[#This Row],[NumL]],T_TraitDi[#Data],COLUMN(T_TraitDi[[#This Row],[Colonne28]]),FALSE),""),"[hh]:mm"))</f>
        <v>#VALUE!</v>
      </c>
      <c r="BL143" s="172" t="str">
        <f>IFERROR(VLOOKUP(T_BilanSocial[[#This Row],[NumL]],T_TraitDi[#Data],COLUMN(T_TraitDi[[#This Row],[Colonne29]]),FALSE),"")</f>
        <v/>
      </c>
      <c r="BM143" s="172" t="e">
        <f>IF(VLOOKUP(T_BilanSocial[[#This Row],[NumL]],T_TraitDi[#Data],COLUMN(T_TraitDi[[#This Row],[Colonne30]]),FALSE)=0,"",TEXT(IFERROR(VLOOKUP(T_BilanSocial[[#This Row],[NumL]],T_TraitDi[#Data],COLUMN(T_TraitDi[[#This Row],[Colonne30]]),FALSE),""),"[hh]:mm"))</f>
        <v>#VALUE!</v>
      </c>
      <c r="BN143" s="172" t="e">
        <f>IF(VLOOKUP(T_BilanSocial[[#This Row],[NumL]],T_TraitDi[#Data],COLUMN(T_TraitDi[[#This Row],[Colonne31]]),FALSE)=0,"",TEXT(IFERROR(VLOOKUP(T_BilanSocial[[#This Row],[NumL]],T_TraitDi[#Data],COLUMN(T_TraitDi[[#This Row],[Colonne31]]),FALSE),""),"[hh]:mm"))</f>
        <v>#VALUE!</v>
      </c>
      <c r="BO143" s="172" t="e">
        <f>IF(VLOOKUP(T_BilanSocial[[#This Row],[NumL]],T_TraitDi[#Data],COLUMN(T_TraitDi[[#This Row],[Colonne32]]),FALSE)=0,"",TEXT(IFERROR(VLOOKUP(T_BilanSocial[[#This Row],[NumL]],T_TraitDi[#Data],COLUMN(T_TraitDi[[#This Row],[Colonne32]]),FALSE),""),"[hh]:mm"))</f>
        <v>#VALUE!</v>
      </c>
      <c r="BP143" s="172" t="e">
        <f>VLOOKUP(T_BilanSocial[[#This Row],[NumL]],T_TraitDi[#Data],COLUMN(T_TraitDi[NbJTot]),FALSE)</f>
        <v>#N/A</v>
      </c>
      <c r="BQ143" s="174" t="str">
        <f>IFERROR(VLOOKUP(T_BilanSocial[[#This Row],[NumL]],T_TraitDi[#Data],COLUMN(T_TraitDi[[#This Row],[NbJTW]]),FALSE),"")</f>
        <v/>
      </c>
      <c r="BR143" s="174" t="e">
        <f>IF(VLOOKUP(T_BilanSocial[[#This Row],[NumL]],T_TraitDi[#Data],COLUMN(T_TraitDi[[#This Row],[NbhTW]]),FALSE)=0,"",TEXT(IFERROR(VLOOKUP(T_BilanSocial[[#This Row],[NumL]],T_TraitDi[#Data],COLUMN(T_TraitDi[[#This Row],[NbhTW]]),FALSE),""),"[hh]:mm"))</f>
        <v>#VALUE!</v>
      </c>
      <c r="BS143" s="174" t="e">
        <f>IF(VLOOKUP(T_BilanSocial[[#This Row],[NumL]],T_TraitDi[#Data],COLUMN(T_TraitDi[[#This Row],[Nbhheb]]),FALSE)=0,"",TEXT(IFERROR(VLOOKUP($A143,T_TraitDi[#Data],COLUMN(T_TraitDi[[#This Row],[Nbhheb]]),FALSE),""),"[hh]:mm"))</f>
        <v>#VALUE!</v>
      </c>
      <c r="BT143" s="182" t="str">
        <f>IFERROR(VLOOKUP(VLOOKUP($A143,T_TraitDi[#Data],COLUMN(T_TraitDi[[#This Row],[Type1]]),FALSE),TypeTW,2,FALSE),"")</f>
        <v/>
      </c>
      <c r="BU143" s="182" t="str">
        <f>IFERROR(VLOOKUP($A143,T_TraitDi[#Data],COLUMN(T_TraitDi[[#This Row],[Rue1]]),FALSE),"")</f>
        <v/>
      </c>
      <c r="BV143" s="173" t="str">
        <f>IFERROR(VLOOKUP($A143,T_TraitDi[#Data],COLUMN(T_TraitDi[[#This Row],[CP1]]),FALSE),"")</f>
        <v/>
      </c>
      <c r="BW143" s="173" t="str">
        <f>IFERROR(VLOOKUP($A143,T_TraitDi[#Data],COLUMN(T_TraitDi[[#This Row],[VILLE1]]),FALSE),"")</f>
        <v/>
      </c>
      <c r="BX143" s="182" t="str">
        <f>IFERROR(VLOOKUP(VLOOKUP($A143,T_TraitDi[#Data],COLUMN(T_TraitDi[[#This Row],[Type2]]),FALSE),TypeTW,2,FALSE),"")</f>
        <v/>
      </c>
      <c r="BY143" s="182" t="str">
        <f>IFERROR(VLOOKUP($A143,T_TraitDi[#Data],COLUMN(T_TraitDi[[#This Row],[Rue2]]),FALSE),"")</f>
        <v/>
      </c>
      <c r="BZ143" s="173" t="str">
        <f>IFERROR(VLOOKUP($A143,T_TraitDi[#Data],COLUMN(T_TraitDi[[#This Row],[CP2]]),FALSE),"")</f>
        <v/>
      </c>
      <c r="CA143" s="173" t="str">
        <f>IFERROR(VLOOKUP($A143,T_TraitDi[#Data],COLUMN(T_TraitDi[[#This Row],[VILLE2]]),FALSE),"")</f>
        <v/>
      </c>
      <c r="CB143" s="182" t="str">
        <f>IF(VLOOKUP(T_BilanSocial[[#This Row],[NumL]],T_Equipement[#Data],COLUMN(T_Equipement[[#This Row],[PC]]),FALSE)="","Aucun équipement spécifique directement lié au télétravail",VLOOKUP(T_BilanSocial[[#This Row],[NumL]],T_Equipement[#Data],COLUMN(T_Equipement[[#This Row],[PC]]),FALSE))</f>
        <v xml:space="preserve">20-374	</v>
      </c>
      <c r="CC143" s="166" t="str">
        <f>IFERROR(IF(VLOOKUP(T_BilanSocial[[#This Row],[NumL]],T_TraitDi[#Data],COLUMN(T_TraitDi[[#This Row],[Plan]]),FALSE)="OK","Un planning spécifique de télétravail est annexé à la présente convention.",""),"")</f>
        <v/>
      </c>
      <c r="CD143" s="185"/>
      <c r="CE143" s="164" t="e">
        <f>IF(VLOOKUP(T_BilanSocial[[#This Row],[NumL]],T_suiviDi[#Data],COLUMN(T_suiviDi[[#This Row],[Entité]]),FALSE)="","",VLOOKUP(T_BilanSocial[[#This Row],[NumL]],T_suiviDi[#Data],COLUMN(T_suiviDi[[#This Row],[Entité]]),FALSE))</f>
        <v>#VALUE!</v>
      </c>
      <c r="CF143" s="164" t="str">
        <f>IF(VLOOKUP(T_BilanSocial[[#This Row],[NumL]],T_Commission[#Data],COLUMN(T_Commission[[#This Row],[envoi confirm TW]]),FALSE)="","",VLOOKUP(T_BilanSocial[[#This Row],[NumL]],T_Commission[#Data],COLUMN(T_Commission[[#This Row],[envoi confirm TW]]),FALSE))</f>
        <v>Oui</v>
      </c>
      <c r="CG14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3" s="262" t="str">
        <f>T_BilanSocial[[#This Row],[Nom]]&amp;T_BilanSocial[[#This Row],[Prenom]]</f>
        <v/>
      </c>
      <c r="CI143" s="262">
        <f>VLOOKUP(T_BilanSocial[[#This Row],[NumL]],T_Commission[#Data],COLUMN(T_Commission[Commentaire]),FALSE)</f>
        <v>0</v>
      </c>
      <c r="CJ143" s="262" t="str">
        <f>IF(VLOOKUP(T_BilanSocial[[#This Row],[NumL]],T_Commission[#Data],COLUMN(T_Commission[Encadrant Email]),FALSE)="","",VLOOKUP(T_BilanSocial[[#This Row],[NumL]],T_Commission[#Data],COLUMN(T_Commission[Encadrant Email]),FALSE))</f>
        <v/>
      </c>
      <c r="CK143" s="340" t="str">
        <f>IF(T_BilanSocial[[#This Row],[Final]]&lt;&gt;"",VLOOKUP(T_BilanSocial[[#This Row],[NumL]],T_suiviDi[#Data],COLUMN((T_suiviDi[Statut])),FALSE),"")</f>
        <v/>
      </c>
    </row>
    <row r="144" spans="1:89" s="106" customFormat="1" ht="24.75" customHeight="1" x14ac:dyDescent="0.25">
      <c r="A144" s="160">
        <v>141</v>
      </c>
      <c r="B144" s="161" t="e">
        <f t="shared" si="22"/>
        <v>#N/A</v>
      </c>
      <c r="C144" s="162" t="s">
        <v>173</v>
      </c>
      <c r="D144" s="95" t="e">
        <f>IF(VLOOKUP(T_BilanSocial[[#This Row],[NumL]],T_TraitDi[#Data],COLUMN(T_TraitDi[[#This Row],[WebC]]),FALSE)="","",VLOOKUP(T_BilanSocial[[#This Row],[NumL]],T_TraitDi[#Data],COLUMN(T_TraitDi[[#This Row],[WebC]]),FALSE))</f>
        <v>#VALUE!</v>
      </c>
      <c r="E144" s="163" t="str">
        <f t="shared" si="23"/>
        <v>12 janvier 2021</v>
      </c>
      <c r="F144" s="96" t="e">
        <f>IF(T_BilanSocial[[#This Row],[Final]]&lt;&gt;"",VLOOKUP(T_BilanSocial[[#This Row],[NumL]],T_suiviDi[#Data],COLUMN((T_suiviDi[Civ.])),FALSE),"")</f>
        <v>#N/A</v>
      </c>
      <c r="G144" s="96" t="e">
        <f>IF(T_BilanSocial[[#This Row],[Final]]&lt;&gt;"",VLOOKUP(T_BilanSocial[[#This Row],[NumL]],T_suiviDi[#Data],COLUMN((T_suiviDi[Nom])),FALSE),"")</f>
        <v>#N/A</v>
      </c>
      <c r="H144" s="96" t="e">
        <f>IF(T_BilanSocial[[#This Row],[Final]]&lt;&gt;"",VLOOKUP(T_BilanSocial[[#This Row],[NumL]],T_suiviDi[#Data],COLUMN((T_suiviDi[Prénom])),FALSE),"")</f>
        <v>#N/A</v>
      </c>
      <c r="I144" s="96" t="str">
        <f>IFERROR(VLOOKUP(T_BilanSocial[[#This Row],[Zone_Bilan]],T_P_BilanSocial[#Data],COLUMN(T_P_BilanSocial[[#This Row],[Numero_SIHAM]]),FALSE),"")</f>
        <v/>
      </c>
      <c r="J144" s="96" t="str">
        <f>IFERROR(VLOOKUP(T_BilanSocial[[#This Row],[Zone_Bilan]],T_P_BilanSocial[#Data],COLUMN(T_P_BilanSocial[[#This Row],[Sexe]]),FALSE),"")</f>
        <v/>
      </c>
      <c r="K144" s="97" t="str">
        <f>IFERROR(VLOOKUP(T_BilanSocial[[#This Row],[Zone_Bilan]],T_P_BilanSocial[#Data],COLUMN(T_P_BilanSocial[[#This Row],[Categorie]]),FALSE),"")</f>
        <v/>
      </c>
      <c r="L144" s="96" t="str">
        <f>IFERROR(VLOOKUP(T_BilanSocial[[#This Row],[Zone_Bilan]],T_P_BilanSocial[#Data],COLUMN(T_P_BilanSocial[[#This Row],[Statut]]),FALSE),"")</f>
        <v/>
      </c>
      <c r="M144" s="96" t="str">
        <f>IFERROR(VLOOKUP(T_BilanSocial[[#This Row],[Zone_Bilan]],T_P_BilanSocial[#Data],COLUMN(T_P_BilanSocial[[#This Row],[Filiere]]),FALSE),"")</f>
        <v/>
      </c>
      <c r="N144" s="96" t="e">
        <f>VLOOKUP(T_BilanSocial[[#This Row],[NumL]],T_TraitDi[#Data],COLUMN(T_TraitDi[EXP]),FALSE)</f>
        <v>#N/A</v>
      </c>
      <c r="O144" s="96" t="e">
        <f>VLOOKUP(T_BilanSocial[[#This Row],[NumL]],T_TraitDi[#Data],COLUMN(T_TraitDi[FORM]),FALSE)</f>
        <v>#N/A</v>
      </c>
      <c r="P144" s="96" t="e">
        <f>IF(T_BilanSocial[[#This Row],[Final]]&lt;&gt;"",VLOOKUP(T_BilanSocial[[#This Row],[NumL]],T_suiviDi[#Data],COLUMN((T_suiviDi[Email])),FALSE),"")</f>
        <v>#N/A</v>
      </c>
      <c r="Q144" s="164" t="e">
        <f t="shared" ref="Q144:Q207" si="28">IF(VLOOKUP($A144,ListeDI,8,FALSE)="","",VLOOKUP($A144,ListeDI,8,FALSE))</f>
        <v>#N/A</v>
      </c>
      <c r="R144" s="164" t="e">
        <f t="shared" ref="R144:R207" si="29">IF(VLOOKUP($A144,ListeDI,9,FALSE)="","",VLOOKUP($A144,ListeDI,9,FALSE))</f>
        <v>#N/A</v>
      </c>
      <c r="S144" s="164" t="e">
        <f>IF(VLOOKUP(T_BilanSocial[[#This Row],[NumL]],T_suiviDi[#Data],COLUMN(T_suiviDi[[#This Row],[Service ]]),FALSE)="","",VLOOKUP(T_BilanSocial[[#This Row],[NumL]],T_suiviDi[#Data],COLUMN(T_suiviDi[[#This Row],[Service ]]),FALSE))</f>
        <v>#VALUE!</v>
      </c>
      <c r="T144" s="164" t="str">
        <f t="shared" si="24"/>
        <v>01 septembre 2021</v>
      </c>
      <c r="U144" s="164" t="str">
        <f t="shared" si="25"/>
        <v>30 novembre 2021</v>
      </c>
      <c r="V144" s="164" t="str">
        <f>TEXT(Datebilan,"jj mmmm aaaa")</f>
        <v>30 novembre 2021</v>
      </c>
      <c r="W144" s="176" t="e">
        <f>IF(VLOOKUP(T_BilanSocial[[#This Row],[NumL]],T_TraitDi[#Data],COLUMN(T_TraitDi[[#This Row],[M1]]),FALSE)="","",VLOOKUP(T_BilanSocial[[#This Row],[NumL]],T_TraitDi[#Data],COLUMN(T_TraitDi[[#This Row],[M1]]),FALSE))</f>
        <v>#VALUE!</v>
      </c>
      <c r="X144" s="176" t="e">
        <f>IF(VLOOKUP(T_BilanSocial[[#This Row],[NumL]],T_TraitDi[#Data],COLUMN(T_TraitDi[[#This Row],[M2]]),FALSE)="","",VLOOKUP(T_BilanSocial[[#This Row],[NumL]],T_TraitDi[#Data],COLUMN(T_TraitDi[[#This Row],[M2]]),FALSE))</f>
        <v>#VALUE!</v>
      </c>
      <c r="Y144" s="176" t="e">
        <f>IF(VLOOKUP(T_BilanSocial[[#This Row],[NumL]],T_TraitDi[#Data],COLUMN(T_TraitDi[[#This Row],[M3]]),FALSE)="","",VLOOKUP(T_BilanSocial[[#This Row],[NumL]],T_TraitDi[#Data],COLUMN(T_TraitDi[[#This Row],[M3]]),FALSE))</f>
        <v>#VALUE!</v>
      </c>
      <c r="Z144" s="176" t="str">
        <f t="shared" si="27"/>
        <v/>
      </c>
      <c r="AA144" s="176" t="e">
        <f>IF(VLOOKUP(T_BilanSocial[[#This Row],[NumL]],T_TraitDi[#Data],COLUMN(T_TraitDi[[#This Row],[M5]]),FALSE)="","",VLOOKUP(T_BilanSocial[[#This Row],[NumL]],T_TraitDi[#Data],COLUMN(T_TraitDi[[#This Row],[M5]]),FALSE))</f>
        <v>#VALUE!</v>
      </c>
      <c r="AB144" s="176" t="e">
        <f>IF(VLOOKUP(T_BilanSocial[[#This Row],[NumL]],T_TraitDi[#Data],COLUMN(T_TraitDi[[#This Row],[M6]]),FALSE)="","",VLOOKUP(T_BilanSocial[[#This Row],[NumL]],T_TraitDi[#Data],COLUMN(T_TraitDi[[#This Row],[M6]]),FALSE))</f>
        <v>#VALUE!</v>
      </c>
      <c r="AC144" s="165" t="e">
        <f t="shared" si="26"/>
        <v>#VALUE!</v>
      </c>
      <c r="AD144" s="188" t="str">
        <f>IFERROR(TEXT(VLOOKUP(T_BilanSocial[[#This Row],[NumL]],T_TraitDi[#Data],COLUMN(T_TraitDi[[#This Row],[Q2]]),FALSE),"###%"),"")</f>
        <v/>
      </c>
      <c r="AE144" s="97" t="e">
        <f>VLOOKUP(T_BilanSocial[[#This Row],[NumL]],T_TraitDi[#Data],COLUMN(T_TraitDi[[#This Row],[Reg Ponct]]),FALSE)</f>
        <v>#VALUE!</v>
      </c>
      <c r="AF144" s="97" t="e">
        <f>VLOOKUP(T_BilanSocial[NumL],T_TraitDi[#Data],COLUMN(T_TraitDi[[#This Row],[Jours flottants]]),FALSE)</f>
        <v>#VALUE!</v>
      </c>
      <c r="AG144" s="97" t="str">
        <f>IFERROR(VLOOKUP(T_BilanSocial[[#This Row],[NumL]],T_TraitDi[#Data],COLUMN(T_TraitDi[[#This Row],[Lundi]]),FALSE),"")</f>
        <v/>
      </c>
      <c r="AH144" s="172" t="e">
        <f>IF(VLOOKUP(T_BilanSocial[[#This Row],[NumL]],T_TraitDi[#Data],COLUMN(T_TraitDi[[#This Row],[Colonne3]]),FALSE)=0,"",TEXT(IFERROR(VLOOKUP(T_BilanSocial[[#This Row],[NumL]],T_TraitDi[#Data],COLUMN(T_TraitDi[[#This Row],[Colonne3]]),FALSE),""),"[hh]:mm"))</f>
        <v>#VALUE!</v>
      </c>
      <c r="AI144" s="172" t="e">
        <f>IF(VLOOKUP(T_BilanSocial[[#This Row],[NumL]],T_TraitDi[#Data],COLUMN(T_TraitDi[[#This Row],[Colonne4]]),FALSE)=0,"",TEXT(IFERROR(VLOOKUP(T_BilanSocial[[#This Row],[NumL]],T_TraitDi[#Data],COLUMN(T_TraitDi[[#This Row],[Colonne4]]),FALSE),""),"[hh]:mm"))</f>
        <v>#VALUE!</v>
      </c>
      <c r="AJ144" s="172" t="e">
        <f>IF(VLOOKUP(T_BilanSocial[[#This Row],[NumL]],T_TraitDi[#Data],COLUMN(T_TraitDi[[#This Row],[Colonne5]]),FALSE)=0,"",TEXT(IFERROR(VLOOKUP(T_BilanSocial[[#This Row],[NumL]],T_TraitDi[#Data],COLUMN(T_TraitDi[[#This Row],[Colonne5]]),FALSE),""),"[hh]:mm"))</f>
        <v>#VALUE!</v>
      </c>
      <c r="AK144" s="172" t="e">
        <f>IF(VLOOKUP(T_BilanSocial[[#This Row],[NumL]],T_TraitDi[#Data],COLUMN(T_TraitDi[[#This Row],[Colonne6]]),FALSE)=0,"",TEXT(IFERROR(VLOOKUP(T_BilanSocial[[#This Row],[NumL]],T_TraitDi[#Data],COLUMN(T_TraitDi[[#This Row],[Colonne6]]),FALSE),""),"[hh]:mm"))</f>
        <v>#VALUE!</v>
      </c>
      <c r="AL144" s="172" t="e">
        <f>IF(VLOOKUP(T_BilanSocial[[#This Row],[NumL]],T_TraitDi[#Data],COLUMN(T_TraitDi[[#This Row],[Colonne7]]),FALSE)=0,"",TEXT(IFERROR(VLOOKUP(T_BilanSocial[[#This Row],[NumL]],T_TraitDi[#Data],COLUMN(T_TraitDi[[#This Row],[Colonne7]]),FALSE),""),"[hh]:mm"))</f>
        <v>#VALUE!</v>
      </c>
      <c r="AM144" s="172" t="e">
        <f>IF(VLOOKUP(T_BilanSocial[[#This Row],[NumL]],T_TraitDi[#Data],COLUMN(T_TraitDi[[#This Row],[Colonne8]]),FALSE)=0,"",TEXT(IFERROR(VLOOKUP(T_BilanSocial[[#This Row],[NumL]],T_TraitDi[#Data],COLUMN(T_TraitDi[[#This Row],[Colonne8]]),FALSE),""),"[hh]:mm"))</f>
        <v>#VALUE!</v>
      </c>
      <c r="AN144" s="172" t="str">
        <f>IFERROR(VLOOKUP(T_BilanSocial[[#This Row],[NumL]],T_TraitDi[#Data],COLUMN(T_TraitDi[[#This Row],[Mardi]]),FALSE),"")</f>
        <v/>
      </c>
      <c r="AO144" s="172" t="e">
        <f>IF(VLOOKUP(T_BilanSocial[[#This Row],[NumL]],T_TraitDi[#Data],COLUMN(T_TraitDi[[#This Row],[Colonne1]]),FALSE)=0,"",TEXT(IFERROR(VLOOKUP(T_BilanSocial[[#This Row],[NumL]],T_TraitDi[#Data],COLUMN(T_TraitDi[[#This Row],[Colonne1]]),FALSE),""),"[hh]:mm"))</f>
        <v>#VALUE!</v>
      </c>
      <c r="AP144" s="172" t="e">
        <f>IF(VLOOKUP(T_BilanSocial[[#This Row],[NumL]],T_TraitDi[#Data],COLUMN(T_TraitDi[[#This Row],[Colonne9]]),FALSE)=0,"",TEXT(IFERROR(VLOOKUP(T_BilanSocial[[#This Row],[NumL]],T_TraitDi[#Data],COLUMN(T_TraitDi[[#This Row],[Colonne9]]),FALSE),""),"[hh]:mm"))</f>
        <v>#VALUE!</v>
      </c>
      <c r="AQ144" s="172" t="str">
        <f>IFERROR(VLOOKUP(T_BilanSocial[[#This Row],[NumL]],T_TraitDi[#Data],COLUMN(T_TraitDi[[#This Row],[Colonne10]]),FALSE),"")</f>
        <v/>
      </c>
      <c r="AR144" s="172" t="e">
        <f>IF(VLOOKUP(T_BilanSocial[[#This Row],[NumL]],T_TraitDi[#Data],COLUMN(T_TraitDi[[#This Row],[Colonne11]]),FALSE)=0,"",TEXT(IFERROR(VLOOKUP(T_BilanSocial[[#This Row],[NumL]],T_TraitDi[#Data],COLUMN(T_TraitDi[[#This Row],[Colonne11]]),FALSE),""),"[hh]:mm"))</f>
        <v>#VALUE!</v>
      </c>
      <c r="AS144" s="172" t="e">
        <f>IF(VLOOKUP(T_BilanSocial[[#This Row],[NumL]],T_TraitDi[#Data],COLUMN(T_TraitDi[[#This Row],[Colonne12]]),FALSE)=0,"",TEXT(IFERROR(VLOOKUP(T_BilanSocial[[#This Row],[NumL]],T_TraitDi[#Data],COLUMN(T_TraitDi[[#This Row],[Colonne12]]),FALSE),""),"[hh]:mm"))</f>
        <v>#VALUE!</v>
      </c>
      <c r="AT144" s="172" t="e">
        <f>IF(VLOOKUP(T_BilanSocial[[#This Row],[NumL]],T_TraitDi[#Data],COLUMN(T_TraitDi[[#This Row],[Colonne14]]),FALSE)=0,"",TEXT(IFERROR(VLOOKUP(T_BilanSocial[[#This Row],[NumL]],T_TraitDi[#Data],COLUMN(T_TraitDi[[#This Row],[Colonne14]]),FALSE),""),"[hh]:mm"))</f>
        <v>#VALUE!</v>
      </c>
      <c r="AU144" s="172" t="str">
        <f>IFERROR(VLOOKUP(T_BilanSocial[[#This Row],[NumL]],T_TraitDi[#Data],COLUMN(T_TraitDi[[#This Row],[Mercredi]]),FALSE),"")</f>
        <v/>
      </c>
      <c r="AV144" s="172" t="e">
        <f>IF(VLOOKUP(T_BilanSocial[[#This Row],[NumL]],T_TraitDi[#Data],COLUMN(T_TraitDi[[#This Row],[Colonne15]]),FALSE)=0,"",TEXT(IFERROR(VLOOKUP(T_BilanSocial[[#This Row],[NumL]],T_TraitDi[#Data],COLUMN(T_TraitDi[[#This Row],[Colonne15]]),FALSE),""),"[hh]:mm"))</f>
        <v>#VALUE!</v>
      </c>
      <c r="AW144" s="172" t="e">
        <f>IF(VLOOKUP(T_BilanSocial[[#This Row],[NumL]],T_TraitDi[#Data],COLUMN(T_TraitDi[[#This Row],[Colonne16]]),FALSE)=0,"",TEXT(IFERROR(VLOOKUP(T_BilanSocial[[#This Row],[NumL]],T_TraitDi[#Data],COLUMN(T_TraitDi[[#This Row],[Colonne16]]),FALSE),""),"[hh]:mm"))</f>
        <v>#VALUE!</v>
      </c>
      <c r="AX144" s="172" t="str">
        <f>IFERROR(VLOOKUP(T_BilanSocial[[#This Row],[NumL]],T_TraitDi[#Data],COLUMN(T_TraitDi[[#This Row],[Colonne17]]),FALSE),"")</f>
        <v/>
      </c>
      <c r="AY144" s="172" t="e">
        <f>IF(VLOOKUP(T_BilanSocial[[#This Row],[NumL]],T_TraitDi[#Data],COLUMN(T_TraitDi[[#This Row],[Colonne18]]),FALSE)=0,"",TEXT(IFERROR(VLOOKUP(T_BilanSocial[[#This Row],[NumL]],T_TraitDi[#Data],COLUMN(T_TraitDi[[#This Row],[Colonne18]]),FALSE),""),"[hh]:mm"))</f>
        <v>#VALUE!</v>
      </c>
      <c r="AZ144" s="172" t="e">
        <f>IF(VLOOKUP(T_BilanSocial[[#This Row],[NumL]],T_TraitDi[#Data],COLUMN(T_TraitDi[[#This Row],[Colonne19]]),FALSE)=0,"",TEXT(IFERROR(VLOOKUP(T_BilanSocial[[#This Row],[NumL]],T_TraitDi[#Data],COLUMN(T_TraitDi[[#This Row],[Colonne19]]),FALSE),""),"[hh]:mm"))</f>
        <v>#VALUE!</v>
      </c>
      <c r="BA144" s="172" t="e">
        <f>IF(VLOOKUP(T_BilanSocial[[#This Row],[NumL]],T_TraitDi[#Data],COLUMN(T_TraitDi[[#This Row],[Colonne20]]),FALSE)=0,"",TEXT(IFERROR(VLOOKUP(T_BilanSocial[[#This Row],[NumL]],T_TraitDi[#Data],COLUMN(T_TraitDi[[#This Row],[Colonne20]]),FALSE),""),"[hh]:mm"))</f>
        <v>#VALUE!</v>
      </c>
      <c r="BB144" s="178" t="str">
        <f>IFERROR(VLOOKUP(T_BilanSocial[[#This Row],[NumL]],T_TraitDi[#Data],COLUMN(T_TraitDi[[#This Row],[Jeudi]]),FALSE),"")</f>
        <v/>
      </c>
      <c r="BC144" s="178" t="e">
        <f>IF(VLOOKUP(T_BilanSocial[[#This Row],[NumL]],T_TraitDi[#Data],COLUMN(T_TraitDi[[#This Row],[Colonne21]]),FALSE)=0,"",TEXT(IFERROR(VLOOKUP(T_BilanSocial[[#This Row],[NumL]],T_TraitDi[#Data],COLUMN(T_TraitDi[[#This Row],[Colonne21]]),FALSE),""),"[hh]:mm"))</f>
        <v>#VALUE!</v>
      </c>
      <c r="BD144" s="178" t="e">
        <f>IF(VLOOKUP(T_BilanSocial[[#This Row],[NumL]],T_TraitDi[#Data],COLUMN(T_TraitDi[[#This Row],[Colonne22]]),FALSE)=0,"",TEXT(IFERROR(VLOOKUP(T_BilanSocial[[#This Row],[NumL]],T_TraitDi[#Data],COLUMN(T_TraitDi[[#This Row],[Colonne22]]),FALSE),""),"[hh]:mm"))</f>
        <v>#VALUE!</v>
      </c>
      <c r="BE144" s="178" t="str">
        <f>IFERROR(VLOOKUP(T_BilanSocial[[#This Row],[NumL]],T_TraitDi[#Data],COLUMN(T_TraitDi[[#This Row],[Colonne23]]),FALSE),"")</f>
        <v/>
      </c>
      <c r="BF144" s="178" t="e">
        <f>IF(VLOOKUP(T_BilanSocial[[#This Row],[NumL]],T_TraitDi[#Data],COLUMN(T_TraitDi[[#This Row],[Colonne24]]),FALSE)=0,"",TEXT(IFERROR(VLOOKUP(T_BilanSocial[[#This Row],[NumL]],T_TraitDi[#Data],COLUMN(T_TraitDi[[#This Row],[Colonne24]]),FALSE),""),"[hh]:mm"))</f>
        <v>#VALUE!</v>
      </c>
      <c r="BG144" s="178" t="e">
        <f>IF(VLOOKUP(T_BilanSocial[[#This Row],[NumL]],T_TraitDi[#Data],COLUMN(T_TraitDi[[#This Row],[Colonne25]]),FALSE)=0,"",TEXT(IFERROR(VLOOKUP(T_BilanSocial[[#This Row],[NumL]],T_TraitDi[#Data],COLUMN(T_TraitDi[[#This Row],[Colonne25]]),FALSE),""),"[hh]:mm"))</f>
        <v>#VALUE!</v>
      </c>
      <c r="BH144" s="178" t="e">
        <f>IF(VLOOKUP(T_BilanSocial[[#This Row],[NumL]],T_TraitDi[#Data],COLUMN(T_TraitDi[[#This Row],[Colonne26]]),FALSE)=0,"",TEXT(IFERROR(VLOOKUP(T_BilanSocial[[#This Row],[NumL]],T_TraitDi[#Data],COLUMN(T_TraitDi[[#This Row],[Colonne26]]),FALSE),""),"[hh]:mm"))</f>
        <v>#VALUE!</v>
      </c>
      <c r="BI144" s="172" t="str">
        <f>IFERROR(VLOOKUP(T_BilanSocial[[#This Row],[NumL]],T_TraitDi[#Data],COLUMN(T_TraitDi[[#This Row],[Vendredi]]),FALSE),"")</f>
        <v/>
      </c>
      <c r="BJ144" s="172" t="e">
        <f>IF(VLOOKUP(T_BilanSocial[[#This Row],[NumL]],T_TraitDi[#Data],COLUMN(T_TraitDi[[#This Row],[Colonne27]]),FALSE)=0,"",TEXT(IFERROR(VLOOKUP(T_BilanSocial[[#This Row],[NumL]],T_TraitDi[#Data],COLUMN(T_TraitDi[[#This Row],[Colonne27]]),FALSE),""),"[hh]:mm"))</f>
        <v>#VALUE!</v>
      </c>
      <c r="BK144" s="172" t="e">
        <f>IF(VLOOKUP(T_BilanSocial[[#This Row],[NumL]],T_TraitDi[#Data],COLUMN(T_TraitDi[[#This Row],[Colonne28]]),FALSE)=0,"",TEXT(IFERROR(VLOOKUP(T_BilanSocial[[#This Row],[NumL]],T_TraitDi[#Data],COLUMN(T_TraitDi[[#This Row],[Colonne28]]),FALSE),""),"[hh]:mm"))</f>
        <v>#VALUE!</v>
      </c>
      <c r="BL144" s="172" t="str">
        <f>IFERROR(VLOOKUP(T_BilanSocial[[#This Row],[NumL]],T_TraitDi[#Data],COLUMN(T_TraitDi[[#This Row],[Colonne29]]),FALSE),"")</f>
        <v/>
      </c>
      <c r="BM144" s="172" t="e">
        <f>IF(VLOOKUP(T_BilanSocial[[#This Row],[NumL]],T_TraitDi[#Data],COLUMN(T_TraitDi[[#This Row],[Colonne30]]),FALSE)=0,"",TEXT(IFERROR(VLOOKUP(T_BilanSocial[[#This Row],[NumL]],T_TraitDi[#Data],COLUMN(T_TraitDi[[#This Row],[Colonne30]]),FALSE),""),"[hh]:mm"))</f>
        <v>#VALUE!</v>
      </c>
      <c r="BN144" s="172" t="e">
        <f>IF(VLOOKUP(T_BilanSocial[[#This Row],[NumL]],T_TraitDi[#Data],COLUMN(T_TraitDi[[#This Row],[Colonne31]]),FALSE)=0,"",TEXT(IFERROR(VLOOKUP(T_BilanSocial[[#This Row],[NumL]],T_TraitDi[#Data],COLUMN(T_TraitDi[[#This Row],[Colonne31]]),FALSE),""),"[hh]:mm"))</f>
        <v>#VALUE!</v>
      </c>
      <c r="BO144" s="172" t="e">
        <f>IF(VLOOKUP(T_BilanSocial[[#This Row],[NumL]],T_TraitDi[#Data],COLUMN(T_TraitDi[[#This Row],[Colonne32]]),FALSE)=0,"",TEXT(IFERROR(VLOOKUP(T_BilanSocial[[#This Row],[NumL]],T_TraitDi[#Data],COLUMN(T_TraitDi[[#This Row],[Colonne32]]),FALSE),""),"[hh]:mm"))</f>
        <v>#VALUE!</v>
      </c>
      <c r="BP144" s="172" t="e">
        <f>VLOOKUP(T_BilanSocial[[#This Row],[NumL]],T_TraitDi[#Data],COLUMN(T_TraitDi[NbJTot]),FALSE)</f>
        <v>#N/A</v>
      </c>
      <c r="BQ144" s="174" t="str">
        <f>IFERROR(VLOOKUP(T_BilanSocial[[#This Row],[NumL]],T_TraitDi[#Data],COLUMN(T_TraitDi[[#This Row],[NbJTW]]),FALSE),"")</f>
        <v/>
      </c>
      <c r="BR144" s="174" t="e">
        <f>IF(VLOOKUP(T_BilanSocial[[#This Row],[NumL]],T_TraitDi[#Data],COLUMN(T_TraitDi[[#This Row],[NbhTW]]),FALSE)=0,"",TEXT(IFERROR(VLOOKUP(T_BilanSocial[[#This Row],[NumL]],T_TraitDi[#Data],COLUMN(T_TraitDi[[#This Row],[NbhTW]]),FALSE),""),"[hh]:mm"))</f>
        <v>#VALUE!</v>
      </c>
      <c r="BS144" s="174" t="e">
        <f>IF(VLOOKUP(T_BilanSocial[[#This Row],[NumL]],T_TraitDi[#Data],COLUMN(T_TraitDi[[#This Row],[Nbhheb]]),FALSE)=0,"",TEXT(IFERROR(VLOOKUP($A144,T_TraitDi[#Data],COLUMN(T_TraitDi[[#This Row],[Nbhheb]]),FALSE),""),"[hh]:mm"))</f>
        <v>#VALUE!</v>
      </c>
      <c r="BT144" s="182" t="str">
        <f>IFERROR(VLOOKUP(VLOOKUP($A144,T_TraitDi[#Data],COLUMN(T_TraitDi[[#This Row],[Type1]]),FALSE),TypeTW,2,FALSE),"")</f>
        <v/>
      </c>
      <c r="BU144" s="182" t="str">
        <f>IFERROR(VLOOKUP($A144,T_TraitDi[#Data],COLUMN(T_TraitDi[[#This Row],[Rue1]]),FALSE),"")</f>
        <v/>
      </c>
      <c r="BV144" s="173" t="str">
        <f>IFERROR(VLOOKUP($A144,T_TraitDi[#Data],COLUMN(T_TraitDi[[#This Row],[CP1]]),FALSE),"")</f>
        <v/>
      </c>
      <c r="BW144" s="173" t="str">
        <f>IFERROR(VLOOKUP($A144,T_TraitDi[#Data],COLUMN(T_TraitDi[[#This Row],[VILLE1]]),FALSE),"")</f>
        <v/>
      </c>
      <c r="BX144" s="182" t="str">
        <f>IFERROR(VLOOKUP(VLOOKUP($A144,T_TraitDi[#Data],COLUMN(T_TraitDi[[#This Row],[Type2]]),FALSE),TypeTW,2,FALSE),"")</f>
        <v/>
      </c>
      <c r="BY144" s="182" t="str">
        <f>IFERROR(VLOOKUP($A144,T_TraitDi[#Data],COLUMN(T_TraitDi[[#This Row],[Rue2]]),FALSE),"")</f>
        <v/>
      </c>
      <c r="BZ144" s="173" t="str">
        <f>IFERROR(VLOOKUP($A144,T_TraitDi[#Data],COLUMN(T_TraitDi[[#This Row],[CP2]]),FALSE),"")</f>
        <v/>
      </c>
      <c r="CA144" s="173" t="str">
        <f>IFERROR(VLOOKUP($A144,T_TraitDi[#Data],COLUMN(T_TraitDi[[#This Row],[VILLE2]]),FALSE),"")</f>
        <v/>
      </c>
      <c r="CB144" s="182" t="e">
        <f>IF(VLOOKUP(T_BilanSocial[[#This Row],[NumL]],T_Equipement[#Data],COLUMN(T_Equipement[[#This Row],[PC]]),FALSE)="","Aucun équipement spécifique directement lié au télétravail",VLOOKUP(T_BilanSocial[[#This Row],[NumL]],T_Equipement[#Data],COLUMN(T_Equipement[[#This Row],[PC]]),FALSE))</f>
        <v>#N/A</v>
      </c>
      <c r="CC144" s="166" t="str">
        <f>IFERROR(IF(VLOOKUP(T_BilanSocial[[#This Row],[NumL]],T_TraitDi[#Data],COLUMN(T_TraitDi[[#This Row],[Plan]]),FALSE)="OK","Un planning spécifique de télétravail est annexé à la présente convention.",""),"")</f>
        <v/>
      </c>
      <c r="CD144" s="258" t="s">
        <v>3348</v>
      </c>
      <c r="CE144" s="164" t="e">
        <f>IF(VLOOKUP(T_BilanSocial[[#This Row],[NumL]],T_suiviDi[#Data],COLUMN(T_suiviDi[[#This Row],[Entité]]),FALSE)="","",VLOOKUP(T_BilanSocial[[#This Row],[NumL]],T_suiviDi[#Data],COLUMN(T_suiviDi[[#This Row],[Entité]]),FALSE))</f>
        <v>#VALUE!</v>
      </c>
      <c r="CF144" s="164" t="e">
        <f>IF(VLOOKUP(T_BilanSocial[[#This Row],[NumL]],T_Commission[#Data],COLUMN(T_Commission[[#This Row],[envoi confirm TW]]),FALSE)="","",VLOOKUP(T_BilanSocial[[#This Row],[NumL]],T_Commission[#Data],COLUMN(T_Commission[[#This Row],[envoi confirm TW]]),FALSE))</f>
        <v>#N/A</v>
      </c>
      <c r="CG14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4" s="262" t="e">
        <f>T_BilanSocial[[#This Row],[Nom]]&amp;T_BilanSocial[[#This Row],[Prenom]]</f>
        <v>#N/A</v>
      </c>
      <c r="CI144" s="262" t="e">
        <f>VLOOKUP(T_BilanSocial[[#This Row],[NumL]],T_Commission[#Data],COLUMN(T_Commission[Commentaire]),FALSE)</f>
        <v>#N/A</v>
      </c>
      <c r="CJ144" s="262" t="e">
        <f>IF(VLOOKUP(T_BilanSocial[[#This Row],[NumL]],T_Commission[#Data],COLUMN(T_Commission[Encadrant Email]),FALSE)="","",VLOOKUP(T_BilanSocial[[#This Row],[NumL]],T_Commission[#Data],COLUMN(T_Commission[Encadrant Email]),FALSE))</f>
        <v>#N/A</v>
      </c>
      <c r="CK144" s="340" t="e">
        <f>IF(T_BilanSocial[[#This Row],[Final]]&lt;&gt;"",VLOOKUP(T_BilanSocial[[#This Row],[NumL]],T_suiviDi[#Data],COLUMN((T_suiviDi[Statut])),FALSE),"")</f>
        <v>#N/A</v>
      </c>
    </row>
    <row r="145" spans="1:89" s="106" customFormat="1" ht="24.75" customHeight="1" x14ac:dyDescent="0.25">
      <c r="A145" s="160">
        <v>142</v>
      </c>
      <c r="B145" s="161" t="str">
        <f t="shared" si="22"/>
        <v/>
      </c>
      <c r="C145" s="162" t="s">
        <v>139</v>
      </c>
      <c r="D145" s="95" t="e">
        <f>IF(VLOOKUP(T_BilanSocial[[#This Row],[NumL]],T_TraitDi[#Data],COLUMN(T_TraitDi[[#This Row],[WebC]]),FALSE)="","",VLOOKUP(T_BilanSocial[[#This Row],[NumL]],T_TraitDi[#Data],COLUMN(T_TraitDi[[#This Row],[WebC]]),FALSE))</f>
        <v>#VALUE!</v>
      </c>
      <c r="E145" s="163" t="str">
        <f t="shared" si="23"/>
        <v>12 janvier 2021</v>
      </c>
      <c r="F145" s="96" t="str">
        <f>IF(T_BilanSocial[[#This Row],[Final]]&lt;&gt;"",VLOOKUP(T_BilanSocial[[#This Row],[NumL]],T_suiviDi[#Data],COLUMN((T_suiviDi[Civ.])),FALSE),"")</f>
        <v/>
      </c>
      <c r="G145" s="96" t="str">
        <f>IF(T_BilanSocial[[#This Row],[Final]]&lt;&gt;"",VLOOKUP(T_BilanSocial[[#This Row],[NumL]],T_suiviDi[#Data],COLUMN((T_suiviDi[Nom])),FALSE),"")</f>
        <v/>
      </c>
      <c r="H145" s="96" t="str">
        <f>IF(T_BilanSocial[[#This Row],[Final]]&lt;&gt;"",VLOOKUP(T_BilanSocial[[#This Row],[NumL]],T_suiviDi[#Data],COLUMN((T_suiviDi[Prénom])),FALSE),"")</f>
        <v/>
      </c>
      <c r="I145" s="96" t="str">
        <f>IFERROR(VLOOKUP(T_BilanSocial[[#This Row],[Zone_Bilan]],T_P_BilanSocial[#Data],COLUMN(T_P_BilanSocial[[#This Row],[Numero_SIHAM]]),FALSE),"")</f>
        <v/>
      </c>
      <c r="J145" s="96" t="str">
        <f>IFERROR(VLOOKUP(T_BilanSocial[[#This Row],[Zone_Bilan]],T_P_BilanSocial[#Data],COLUMN(T_P_BilanSocial[[#This Row],[Sexe]]),FALSE),"")</f>
        <v/>
      </c>
      <c r="K145" s="97" t="str">
        <f>IFERROR(VLOOKUP(T_BilanSocial[[#This Row],[Zone_Bilan]],T_P_BilanSocial[#Data],COLUMN(T_P_BilanSocial[[#This Row],[Categorie]]),FALSE),"")</f>
        <v/>
      </c>
      <c r="L145" s="96" t="str">
        <f>IFERROR(VLOOKUP(T_BilanSocial[[#This Row],[Zone_Bilan]],T_P_BilanSocial[#Data],COLUMN(T_P_BilanSocial[[#This Row],[Statut]]),FALSE),"")</f>
        <v/>
      </c>
      <c r="M145" s="96" t="str">
        <f>IFERROR(VLOOKUP(T_BilanSocial[[#This Row],[Zone_Bilan]],T_P_BilanSocial[#Data],COLUMN(T_P_BilanSocial[[#This Row],[Filiere]]),FALSE),"")</f>
        <v/>
      </c>
      <c r="N145" s="96" t="e">
        <f>VLOOKUP(T_BilanSocial[[#This Row],[NumL]],T_TraitDi[#Data],COLUMN(T_TraitDi[EXP]),FALSE)</f>
        <v>#N/A</v>
      </c>
      <c r="O145" s="96" t="e">
        <f>VLOOKUP(T_BilanSocial[[#This Row],[NumL]],T_TraitDi[#Data],COLUMN(T_TraitDi[FORM]),FALSE)</f>
        <v>#N/A</v>
      </c>
      <c r="P145" s="96" t="str">
        <f>IF(T_BilanSocial[[#This Row],[Final]]&lt;&gt;"",VLOOKUP(T_BilanSocial[[#This Row],[NumL]],T_suiviDi[#Data],COLUMN((T_suiviDi[Email])),FALSE),"")</f>
        <v/>
      </c>
      <c r="Q145" s="164" t="e">
        <f t="shared" si="28"/>
        <v>#N/A</v>
      </c>
      <c r="R145" s="164" t="e">
        <f t="shared" si="29"/>
        <v>#N/A</v>
      </c>
      <c r="S145" s="164" t="e">
        <f>IF(VLOOKUP(T_BilanSocial[[#This Row],[NumL]],T_suiviDi[#Data],COLUMN(T_suiviDi[[#This Row],[Service ]]),FALSE)="","",VLOOKUP(T_BilanSocial[[#This Row],[NumL]],T_suiviDi[#Data],COLUMN(T_suiviDi[[#This Row],[Service ]]),FALSE))</f>
        <v>#VALUE!</v>
      </c>
      <c r="T145" s="164" t="str">
        <f t="shared" si="24"/>
        <v>01 septembre 2021</v>
      </c>
      <c r="U145" s="164" t="str">
        <f t="shared" si="25"/>
        <v>30 novembre 2021</v>
      </c>
      <c r="V145" s="256">
        <f>Datebilan</f>
        <v>44530</v>
      </c>
      <c r="W145" s="176" t="e">
        <f>IF(VLOOKUP(T_BilanSocial[[#This Row],[NumL]],T_TraitDi[#Data],COLUMN(T_TraitDi[[#This Row],[M1]]),FALSE)="","",VLOOKUP(T_BilanSocial[[#This Row],[NumL]],T_TraitDi[#Data],COLUMN(T_TraitDi[[#This Row],[M1]]),FALSE))</f>
        <v>#VALUE!</v>
      </c>
      <c r="X145" s="176" t="e">
        <f>IF(VLOOKUP(T_BilanSocial[[#This Row],[NumL]],T_TraitDi[#Data],COLUMN(T_TraitDi[[#This Row],[M2]]),FALSE)="","",VLOOKUP(T_BilanSocial[[#This Row],[NumL]],T_TraitDi[#Data],COLUMN(T_TraitDi[[#This Row],[M2]]),FALSE))</f>
        <v>#VALUE!</v>
      </c>
      <c r="Y145" s="176" t="e">
        <f>IF(VLOOKUP(T_BilanSocial[[#This Row],[NumL]],T_TraitDi[#Data],COLUMN(T_TraitDi[[#This Row],[M3]]),FALSE)="","",VLOOKUP(T_BilanSocial[[#This Row],[NumL]],T_TraitDi[#Data],COLUMN(T_TraitDi[[#This Row],[M3]]),FALSE))</f>
        <v>#VALUE!</v>
      </c>
      <c r="Z145" s="176" t="str">
        <f t="shared" si="27"/>
        <v/>
      </c>
      <c r="AA145" s="176" t="e">
        <f>IF(VLOOKUP(T_BilanSocial[[#This Row],[NumL]],T_TraitDi[#Data],COLUMN(T_TraitDi[[#This Row],[M5]]),FALSE)="","",VLOOKUP(T_BilanSocial[[#This Row],[NumL]],T_TraitDi[#Data],COLUMN(T_TraitDi[[#This Row],[M5]]),FALSE))</f>
        <v>#VALUE!</v>
      </c>
      <c r="AB145" s="176" t="e">
        <f>IF(VLOOKUP(T_BilanSocial[[#This Row],[NumL]],T_TraitDi[#Data],COLUMN(T_TraitDi[[#This Row],[M6]]),FALSE)="","",VLOOKUP(T_BilanSocial[[#This Row],[NumL]],T_TraitDi[#Data],COLUMN(T_TraitDi[[#This Row],[M6]]),FALSE))</f>
        <v>#VALUE!</v>
      </c>
      <c r="AC145" s="165" t="e">
        <f t="shared" si="26"/>
        <v>#VALUE!</v>
      </c>
      <c r="AD145" s="188" t="str">
        <f>IFERROR(TEXT(VLOOKUP(T_BilanSocial[[#This Row],[NumL]],T_TraitDi[#Data],COLUMN(T_TraitDi[[#This Row],[Q2]]),FALSE),"###%"),"")</f>
        <v/>
      </c>
      <c r="AE145" s="97" t="e">
        <f>VLOOKUP(T_BilanSocial[[#This Row],[NumL]],T_TraitDi[#Data],COLUMN(T_TraitDi[[#This Row],[Reg Ponct]]),FALSE)</f>
        <v>#VALUE!</v>
      </c>
      <c r="AF145" s="97" t="e">
        <f>VLOOKUP(T_BilanSocial[NumL],T_TraitDi[#Data],COLUMN(T_TraitDi[[#This Row],[Jours flottants]]),FALSE)</f>
        <v>#VALUE!</v>
      </c>
      <c r="AG145" s="97" t="str">
        <f>IFERROR(VLOOKUP(T_BilanSocial[[#This Row],[NumL]],T_TraitDi[#Data],COLUMN(T_TraitDi[[#This Row],[Lundi]]),FALSE),"")</f>
        <v/>
      </c>
      <c r="AH145" s="172" t="e">
        <f>IF(VLOOKUP(T_BilanSocial[[#This Row],[NumL]],T_TraitDi[#Data],COLUMN(T_TraitDi[[#This Row],[Colonne3]]),FALSE)=0,"",TEXT(IFERROR(VLOOKUP(T_BilanSocial[[#This Row],[NumL]],T_TraitDi[#Data],COLUMN(T_TraitDi[[#This Row],[Colonne3]]),FALSE),""),"[hh]:mm"))</f>
        <v>#VALUE!</v>
      </c>
      <c r="AI145" s="172" t="e">
        <f>IF(VLOOKUP(T_BilanSocial[[#This Row],[NumL]],T_TraitDi[#Data],COLUMN(T_TraitDi[[#This Row],[Colonne4]]),FALSE)=0,"",TEXT(IFERROR(VLOOKUP(T_BilanSocial[[#This Row],[NumL]],T_TraitDi[#Data],COLUMN(T_TraitDi[[#This Row],[Colonne4]]),FALSE),""),"[hh]:mm"))</f>
        <v>#VALUE!</v>
      </c>
      <c r="AJ145" s="172" t="e">
        <f>IF(VLOOKUP(T_BilanSocial[[#This Row],[NumL]],T_TraitDi[#Data],COLUMN(T_TraitDi[[#This Row],[Colonne5]]),FALSE)=0,"",TEXT(IFERROR(VLOOKUP(T_BilanSocial[[#This Row],[NumL]],T_TraitDi[#Data],COLUMN(T_TraitDi[[#This Row],[Colonne5]]),FALSE),""),"[hh]:mm"))</f>
        <v>#VALUE!</v>
      </c>
      <c r="AK145" s="172" t="e">
        <f>IF(VLOOKUP(T_BilanSocial[[#This Row],[NumL]],T_TraitDi[#Data],COLUMN(T_TraitDi[[#This Row],[Colonne6]]),FALSE)=0,"",TEXT(IFERROR(VLOOKUP(T_BilanSocial[[#This Row],[NumL]],T_TraitDi[#Data],COLUMN(T_TraitDi[[#This Row],[Colonne6]]),FALSE),""),"[hh]:mm"))</f>
        <v>#VALUE!</v>
      </c>
      <c r="AL145" s="172" t="e">
        <f>IF(VLOOKUP(T_BilanSocial[[#This Row],[NumL]],T_TraitDi[#Data],COLUMN(T_TraitDi[[#This Row],[Colonne7]]),FALSE)=0,"",TEXT(IFERROR(VLOOKUP(T_BilanSocial[[#This Row],[NumL]],T_TraitDi[#Data],COLUMN(T_TraitDi[[#This Row],[Colonne7]]),FALSE),""),"[hh]:mm"))</f>
        <v>#VALUE!</v>
      </c>
      <c r="AM145" s="172" t="e">
        <f>IF(VLOOKUP(T_BilanSocial[[#This Row],[NumL]],T_TraitDi[#Data],COLUMN(T_TraitDi[[#This Row],[Colonne8]]),FALSE)=0,"",TEXT(IFERROR(VLOOKUP(T_BilanSocial[[#This Row],[NumL]],T_TraitDi[#Data],COLUMN(T_TraitDi[[#This Row],[Colonne8]]),FALSE),""),"[hh]:mm"))</f>
        <v>#VALUE!</v>
      </c>
      <c r="AN145" s="172" t="str">
        <f>IFERROR(VLOOKUP(T_BilanSocial[[#This Row],[NumL]],T_TraitDi[#Data],COLUMN(T_TraitDi[[#This Row],[Mardi]]),FALSE),"")</f>
        <v/>
      </c>
      <c r="AO145" s="172" t="e">
        <f>IF(VLOOKUP(T_BilanSocial[[#This Row],[NumL]],T_TraitDi[#Data],COLUMN(T_TraitDi[[#This Row],[Colonne1]]),FALSE)=0,"",TEXT(IFERROR(VLOOKUP(T_BilanSocial[[#This Row],[NumL]],T_TraitDi[#Data],COLUMN(T_TraitDi[[#This Row],[Colonne1]]),FALSE),""),"[hh]:mm"))</f>
        <v>#VALUE!</v>
      </c>
      <c r="AP145" s="172" t="e">
        <f>IF(VLOOKUP(T_BilanSocial[[#This Row],[NumL]],T_TraitDi[#Data],COLUMN(T_TraitDi[[#This Row],[Colonne9]]),FALSE)=0,"",TEXT(IFERROR(VLOOKUP(T_BilanSocial[[#This Row],[NumL]],T_TraitDi[#Data],COLUMN(T_TraitDi[[#This Row],[Colonne9]]),FALSE),""),"[hh]:mm"))</f>
        <v>#VALUE!</v>
      </c>
      <c r="AQ145" s="172" t="str">
        <f>IFERROR(VLOOKUP(T_BilanSocial[[#This Row],[NumL]],T_TraitDi[#Data],COLUMN(T_TraitDi[[#This Row],[Colonne10]]),FALSE),"")</f>
        <v/>
      </c>
      <c r="AR145" s="172" t="e">
        <f>IF(VLOOKUP(T_BilanSocial[[#This Row],[NumL]],T_TraitDi[#Data],COLUMN(T_TraitDi[[#This Row],[Colonne11]]),FALSE)=0,"",TEXT(IFERROR(VLOOKUP(T_BilanSocial[[#This Row],[NumL]],T_TraitDi[#Data],COLUMN(T_TraitDi[[#This Row],[Colonne11]]),FALSE),""),"[hh]:mm"))</f>
        <v>#VALUE!</v>
      </c>
      <c r="AS145" s="172" t="e">
        <f>IF(VLOOKUP(T_BilanSocial[[#This Row],[NumL]],T_TraitDi[#Data],COLUMN(T_TraitDi[[#This Row],[Colonne12]]),FALSE)=0,"",TEXT(IFERROR(VLOOKUP(T_BilanSocial[[#This Row],[NumL]],T_TraitDi[#Data],COLUMN(T_TraitDi[[#This Row],[Colonne12]]),FALSE),""),"[hh]:mm"))</f>
        <v>#VALUE!</v>
      </c>
      <c r="AT145" s="172" t="e">
        <f>IF(VLOOKUP(T_BilanSocial[[#This Row],[NumL]],T_TraitDi[#Data],COLUMN(T_TraitDi[[#This Row],[Colonne14]]),FALSE)=0,"",TEXT(IFERROR(VLOOKUP(T_BilanSocial[[#This Row],[NumL]],T_TraitDi[#Data],COLUMN(T_TraitDi[[#This Row],[Colonne14]]),FALSE),""),"[hh]:mm"))</f>
        <v>#VALUE!</v>
      </c>
      <c r="AU145" s="172" t="str">
        <f>IFERROR(VLOOKUP(T_BilanSocial[[#This Row],[NumL]],T_TraitDi[#Data],COLUMN(T_TraitDi[[#This Row],[Mercredi]]),FALSE),"")</f>
        <v/>
      </c>
      <c r="AV145" s="172" t="e">
        <f>IF(VLOOKUP(T_BilanSocial[[#This Row],[NumL]],T_TraitDi[#Data],COLUMN(T_TraitDi[[#This Row],[Colonne15]]),FALSE)=0,"",TEXT(IFERROR(VLOOKUP(T_BilanSocial[[#This Row],[NumL]],T_TraitDi[#Data],COLUMN(T_TraitDi[[#This Row],[Colonne15]]),FALSE),""),"[hh]:mm"))</f>
        <v>#VALUE!</v>
      </c>
      <c r="AW145" s="172" t="e">
        <f>IF(VLOOKUP(T_BilanSocial[[#This Row],[NumL]],T_TraitDi[#Data],COLUMN(T_TraitDi[[#This Row],[Colonne16]]),FALSE)=0,"",TEXT(IFERROR(VLOOKUP(T_BilanSocial[[#This Row],[NumL]],T_TraitDi[#Data],COLUMN(T_TraitDi[[#This Row],[Colonne16]]),FALSE),""),"[hh]:mm"))</f>
        <v>#VALUE!</v>
      </c>
      <c r="AX145" s="172" t="str">
        <f>IFERROR(VLOOKUP(T_BilanSocial[[#This Row],[NumL]],T_TraitDi[#Data],COLUMN(T_TraitDi[[#This Row],[Colonne17]]),FALSE),"")</f>
        <v/>
      </c>
      <c r="AY145" s="172" t="e">
        <f>IF(VLOOKUP(T_BilanSocial[[#This Row],[NumL]],T_TraitDi[#Data],COLUMN(T_TraitDi[[#This Row],[Colonne18]]),FALSE)=0,"",TEXT(IFERROR(VLOOKUP(T_BilanSocial[[#This Row],[NumL]],T_TraitDi[#Data],COLUMN(T_TraitDi[[#This Row],[Colonne18]]),FALSE),""),"[hh]:mm"))</f>
        <v>#VALUE!</v>
      </c>
      <c r="AZ145" s="172" t="e">
        <f>IF(VLOOKUP(T_BilanSocial[[#This Row],[NumL]],T_TraitDi[#Data],COLUMN(T_TraitDi[[#This Row],[Colonne19]]),FALSE)=0,"",TEXT(IFERROR(VLOOKUP(T_BilanSocial[[#This Row],[NumL]],T_TraitDi[#Data],COLUMN(T_TraitDi[[#This Row],[Colonne19]]),FALSE),""),"[hh]:mm"))</f>
        <v>#VALUE!</v>
      </c>
      <c r="BA145" s="172" t="e">
        <f>IF(VLOOKUP(T_BilanSocial[[#This Row],[NumL]],T_TraitDi[#Data],COLUMN(T_TraitDi[[#This Row],[Colonne20]]),FALSE)=0,"",TEXT(IFERROR(VLOOKUP(T_BilanSocial[[#This Row],[NumL]],T_TraitDi[#Data],COLUMN(T_TraitDi[[#This Row],[Colonne20]]),FALSE),""),"[hh]:mm"))</f>
        <v>#VALUE!</v>
      </c>
      <c r="BB145" s="178" t="str">
        <f>IFERROR(VLOOKUP(T_BilanSocial[[#This Row],[NumL]],T_TraitDi[#Data],COLUMN(T_TraitDi[[#This Row],[Jeudi]]),FALSE),"")</f>
        <v/>
      </c>
      <c r="BC145" s="178" t="e">
        <f>IF(VLOOKUP(T_BilanSocial[[#This Row],[NumL]],T_TraitDi[#Data],COLUMN(T_TraitDi[[#This Row],[Colonne21]]),FALSE)=0,"",TEXT(IFERROR(VLOOKUP(T_BilanSocial[[#This Row],[NumL]],T_TraitDi[#Data],COLUMN(T_TraitDi[[#This Row],[Colonne21]]),FALSE),""),"[hh]:mm"))</f>
        <v>#VALUE!</v>
      </c>
      <c r="BD145" s="178" t="e">
        <f>IF(VLOOKUP(T_BilanSocial[[#This Row],[NumL]],T_TraitDi[#Data],COLUMN(T_TraitDi[[#This Row],[Colonne22]]),FALSE)=0,"",TEXT(IFERROR(VLOOKUP(T_BilanSocial[[#This Row],[NumL]],T_TraitDi[#Data],COLUMN(T_TraitDi[[#This Row],[Colonne22]]),FALSE),""),"[hh]:mm"))</f>
        <v>#VALUE!</v>
      </c>
      <c r="BE145" s="178" t="str">
        <f>IFERROR(VLOOKUP(T_BilanSocial[[#This Row],[NumL]],T_TraitDi[#Data],COLUMN(T_TraitDi[[#This Row],[Colonne23]]),FALSE),"")</f>
        <v/>
      </c>
      <c r="BF145" s="178" t="e">
        <f>IF(VLOOKUP(T_BilanSocial[[#This Row],[NumL]],T_TraitDi[#Data],COLUMN(T_TraitDi[[#This Row],[Colonne24]]),FALSE)=0,"",TEXT(IFERROR(VLOOKUP(T_BilanSocial[[#This Row],[NumL]],T_TraitDi[#Data],COLUMN(T_TraitDi[[#This Row],[Colonne24]]),FALSE),""),"[hh]:mm"))</f>
        <v>#VALUE!</v>
      </c>
      <c r="BG145" s="178" t="e">
        <f>IF(VLOOKUP(T_BilanSocial[[#This Row],[NumL]],T_TraitDi[#Data],COLUMN(T_TraitDi[[#This Row],[Colonne25]]),FALSE)=0,"",TEXT(IFERROR(VLOOKUP(T_BilanSocial[[#This Row],[NumL]],T_TraitDi[#Data],COLUMN(T_TraitDi[[#This Row],[Colonne25]]),FALSE),""),"[hh]:mm"))</f>
        <v>#VALUE!</v>
      </c>
      <c r="BH145" s="178" t="e">
        <f>IF(VLOOKUP(T_BilanSocial[[#This Row],[NumL]],T_TraitDi[#Data],COLUMN(T_TraitDi[[#This Row],[Colonne26]]),FALSE)=0,"",TEXT(IFERROR(VLOOKUP(T_BilanSocial[[#This Row],[NumL]],T_TraitDi[#Data],COLUMN(T_TraitDi[[#This Row],[Colonne26]]),FALSE),""),"[hh]:mm"))</f>
        <v>#VALUE!</v>
      </c>
      <c r="BI145" s="172" t="str">
        <f>IFERROR(VLOOKUP(T_BilanSocial[[#This Row],[NumL]],T_TraitDi[#Data],COLUMN(T_TraitDi[[#This Row],[Vendredi]]),FALSE),"")</f>
        <v/>
      </c>
      <c r="BJ145" s="172" t="e">
        <f>IF(VLOOKUP(T_BilanSocial[[#This Row],[NumL]],T_TraitDi[#Data],COLUMN(T_TraitDi[[#This Row],[Colonne27]]),FALSE)=0,"",TEXT(IFERROR(VLOOKUP(T_BilanSocial[[#This Row],[NumL]],T_TraitDi[#Data],COLUMN(T_TraitDi[[#This Row],[Colonne27]]),FALSE),""),"[hh]:mm"))</f>
        <v>#VALUE!</v>
      </c>
      <c r="BK145" s="172" t="e">
        <f>IF(VLOOKUP(T_BilanSocial[[#This Row],[NumL]],T_TraitDi[#Data],COLUMN(T_TraitDi[[#This Row],[Colonne28]]),FALSE)=0,"",TEXT(IFERROR(VLOOKUP(T_BilanSocial[[#This Row],[NumL]],T_TraitDi[#Data],COLUMN(T_TraitDi[[#This Row],[Colonne28]]),FALSE),""),"[hh]:mm"))</f>
        <v>#VALUE!</v>
      </c>
      <c r="BL145" s="172" t="str">
        <f>IFERROR(VLOOKUP(T_BilanSocial[[#This Row],[NumL]],T_TraitDi[#Data],COLUMN(T_TraitDi[[#This Row],[Colonne29]]),FALSE),"")</f>
        <v/>
      </c>
      <c r="BM145" s="172" t="e">
        <f>IF(VLOOKUP(T_BilanSocial[[#This Row],[NumL]],T_TraitDi[#Data],COLUMN(T_TraitDi[[#This Row],[Colonne30]]),FALSE)=0,"",TEXT(IFERROR(VLOOKUP(T_BilanSocial[[#This Row],[NumL]],T_TraitDi[#Data],COLUMN(T_TraitDi[[#This Row],[Colonne30]]),FALSE),""),"[hh]:mm"))</f>
        <v>#VALUE!</v>
      </c>
      <c r="BN145" s="172" t="e">
        <f>IF(VLOOKUP(T_BilanSocial[[#This Row],[NumL]],T_TraitDi[#Data],COLUMN(T_TraitDi[[#This Row],[Colonne31]]),FALSE)=0,"",TEXT(IFERROR(VLOOKUP(T_BilanSocial[[#This Row],[NumL]],T_TraitDi[#Data],COLUMN(T_TraitDi[[#This Row],[Colonne31]]),FALSE),""),"[hh]:mm"))</f>
        <v>#VALUE!</v>
      </c>
      <c r="BO145" s="172" t="e">
        <f>IF(VLOOKUP(T_BilanSocial[[#This Row],[NumL]],T_TraitDi[#Data],COLUMN(T_TraitDi[[#This Row],[Colonne32]]),FALSE)=0,"",TEXT(IFERROR(VLOOKUP(T_BilanSocial[[#This Row],[NumL]],T_TraitDi[#Data],COLUMN(T_TraitDi[[#This Row],[Colonne32]]),FALSE),""),"[hh]:mm"))</f>
        <v>#VALUE!</v>
      </c>
      <c r="BP145" s="172" t="e">
        <f>VLOOKUP(T_BilanSocial[[#This Row],[NumL]],T_TraitDi[#Data],COLUMN(T_TraitDi[NbJTot]),FALSE)</f>
        <v>#N/A</v>
      </c>
      <c r="BQ145" s="174" t="str">
        <f>IFERROR(VLOOKUP(T_BilanSocial[[#This Row],[NumL]],T_TraitDi[#Data],COLUMN(T_TraitDi[[#This Row],[NbJTW]]),FALSE),"")</f>
        <v/>
      </c>
      <c r="BR145" s="174" t="e">
        <f>IF(VLOOKUP(T_BilanSocial[[#This Row],[NumL]],T_TraitDi[#Data],COLUMN(T_TraitDi[[#This Row],[NbhTW]]),FALSE)=0,"",TEXT(IFERROR(VLOOKUP(T_BilanSocial[[#This Row],[NumL]],T_TraitDi[#Data],COLUMN(T_TraitDi[[#This Row],[NbhTW]]),FALSE),""),"[hh]:mm"))</f>
        <v>#VALUE!</v>
      </c>
      <c r="BS145" s="174" t="e">
        <f>IF(VLOOKUP(T_BilanSocial[[#This Row],[NumL]],T_TraitDi[#Data],COLUMN(T_TraitDi[[#This Row],[Nbhheb]]),FALSE)=0,"",TEXT(IFERROR(VLOOKUP($A145,T_TraitDi[#Data],COLUMN(T_TraitDi[[#This Row],[Nbhheb]]),FALSE),""),"[hh]:mm"))</f>
        <v>#VALUE!</v>
      </c>
      <c r="BT145" s="182" t="str">
        <f>IFERROR(VLOOKUP(VLOOKUP($A145,T_TraitDi[#Data],COLUMN(T_TraitDi[[#This Row],[Type1]]),FALSE),TypeTW,2,FALSE),"")</f>
        <v/>
      </c>
      <c r="BU145" s="182" t="str">
        <f>IFERROR(VLOOKUP($A145,T_TraitDi[#Data],COLUMN(T_TraitDi[[#This Row],[Rue1]]),FALSE),"")</f>
        <v/>
      </c>
      <c r="BV145" s="173" t="str">
        <f>IFERROR(VLOOKUP($A145,T_TraitDi[#Data],COLUMN(T_TraitDi[[#This Row],[CP1]]),FALSE),"")</f>
        <v/>
      </c>
      <c r="BW145" s="173" t="str">
        <f>IFERROR(VLOOKUP($A145,T_TraitDi[#Data],COLUMN(T_TraitDi[[#This Row],[VILLE1]]),FALSE),"")</f>
        <v/>
      </c>
      <c r="BX145" s="182" t="str">
        <f>IFERROR(VLOOKUP(VLOOKUP($A145,T_TraitDi[#Data],COLUMN(T_TraitDi[[#This Row],[Type2]]),FALSE),TypeTW,2,FALSE),"")</f>
        <v/>
      </c>
      <c r="BY145" s="182" t="str">
        <f>IFERROR(VLOOKUP($A145,T_TraitDi[#Data],COLUMN(T_TraitDi[[#This Row],[Rue2]]),FALSE),"")</f>
        <v/>
      </c>
      <c r="BZ145" s="173" t="str">
        <f>IFERROR(VLOOKUP($A145,T_TraitDi[#Data],COLUMN(T_TraitDi[[#This Row],[CP2]]),FALSE),"")</f>
        <v/>
      </c>
      <c r="CA145" s="173" t="str">
        <f>IFERROR(VLOOKUP($A145,T_TraitDi[#Data],COLUMN(T_TraitDi[[#This Row],[VILLE2]]),FALSE),"")</f>
        <v/>
      </c>
      <c r="CB145" s="182" t="str">
        <f>IF(VLOOKUP(T_BilanSocial[[#This Row],[NumL]],T_Equipement[#Data],COLUMN(T_Equipement[[#This Row],[PC]]),FALSE)="","Aucun équipement spécifique directement lié au télétravail",VLOOKUP(T_BilanSocial[[#This Row],[NumL]],T_Equipement[#Data],COLUMN(T_Equipement[[#This Row],[PC]]),FALSE))</f>
        <v>20-370</v>
      </c>
      <c r="CC145" s="166" t="str">
        <f>IFERROR(IF(VLOOKUP(T_BilanSocial[[#This Row],[NumL]],T_TraitDi[#Data],COLUMN(T_TraitDi[[#This Row],[Plan]]),FALSE)="OK","Un planning spécifique de télétravail est annexé à la présente convention.",""),"")</f>
        <v/>
      </c>
      <c r="CD145" s="185"/>
      <c r="CE145" s="164" t="e">
        <f>IF(VLOOKUP(T_BilanSocial[[#This Row],[NumL]],T_suiviDi[#Data],COLUMN(T_suiviDi[[#This Row],[Entité]]),FALSE)="","",VLOOKUP(T_BilanSocial[[#This Row],[NumL]],T_suiviDi[#Data],COLUMN(T_suiviDi[[#This Row],[Entité]]),FALSE))</f>
        <v>#VALUE!</v>
      </c>
      <c r="CF145" s="164" t="str">
        <f>IF(VLOOKUP(T_BilanSocial[[#This Row],[NumL]],T_Commission[#Data],COLUMN(T_Commission[[#This Row],[envoi confirm TW]]),FALSE)="","",VLOOKUP(T_BilanSocial[[#This Row],[NumL]],T_Commission[#Data],COLUMN(T_Commission[[#This Row],[envoi confirm TW]]),FALSE))</f>
        <v>Oui</v>
      </c>
      <c r="CG14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5" s="262" t="str">
        <f>T_BilanSocial[[#This Row],[Nom]]&amp;T_BilanSocial[[#This Row],[Prenom]]</f>
        <v/>
      </c>
      <c r="CI145" s="262">
        <f>VLOOKUP(T_BilanSocial[[#This Row],[NumL]],T_Commission[#Data],COLUMN(T_Commission[Commentaire]),FALSE)</f>
        <v>0</v>
      </c>
      <c r="CJ145" s="262" t="str">
        <f>IF(VLOOKUP(T_BilanSocial[[#This Row],[NumL]],T_Commission[#Data],COLUMN(T_Commission[Encadrant Email]),FALSE)="","",VLOOKUP(T_BilanSocial[[#This Row],[NumL]],T_Commission[#Data],COLUMN(T_Commission[Encadrant Email]),FALSE))</f>
        <v/>
      </c>
      <c r="CK145" s="340" t="str">
        <f>IF(T_BilanSocial[[#This Row],[Final]]&lt;&gt;"",VLOOKUP(T_BilanSocial[[#This Row],[NumL]],T_suiviDi[#Data],COLUMN((T_suiviDi[Statut])),FALSE),"")</f>
        <v/>
      </c>
    </row>
    <row r="146" spans="1:89" s="106" customFormat="1" ht="24.75" customHeight="1" x14ac:dyDescent="0.25">
      <c r="A146" s="160">
        <v>143</v>
      </c>
      <c r="B146" s="161" t="str">
        <f t="shared" si="22"/>
        <v/>
      </c>
      <c r="C146" s="162" t="s">
        <v>139</v>
      </c>
      <c r="D146" s="95" t="e">
        <f>IF(VLOOKUP(T_BilanSocial[[#This Row],[NumL]],T_TraitDi[#Data],COLUMN(T_TraitDi[[#This Row],[WebC]]),FALSE)="","",VLOOKUP(T_BilanSocial[[#This Row],[NumL]],T_TraitDi[#Data],COLUMN(T_TraitDi[[#This Row],[WebC]]),FALSE))</f>
        <v>#VALUE!</v>
      </c>
      <c r="E146" s="163" t="str">
        <f t="shared" si="23"/>
        <v>12 janvier 2021</v>
      </c>
      <c r="F146" s="96" t="str">
        <f>IF(T_BilanSocial[[#This Row],[Final]]&lt;&gt;"",VLOOKUP(T_BilanSocial[[#This Row],[NumL]],T_suiviDi[#Data],COLUMN((T_suiviDi[Civ.])),FALSE),"")</f>
        <v/>
      </c>
      <c r="G146" s="96" t="str">
        <f>IF(T_BilanSocial[[#This Row],[Final]]&lt;&gt;"",VLOOKUP(T_BilanSocial[[#This Row],[NumL]],T_suiviDi[#Data],COLUMN((T_suiviDi[Nom])),FALSE),"")</f>
        <v/>
      </c>
      <c r="H146" s="96" t="str">
        <f>IF(T_BilanSocial[[#This Row],[Final]]&lt;&gt;"",VLOOKUP(T_BilanSocial[[#This Row],[NumL]],T_suiviDi[#Data],COLUMN((T_suiviDi[Prénom])),FALSE),"")</f>
        <v/>
      </c>
      <c r="I146" s="96" t="str">
        <f>IFERROR(VLOOKUP(T_BilanSocial[[#This Row],[Zone_Bilan]],T_P_BilanSocial[#Data],COLUMN(T_P_BilanSocial[[#This Row],[Numero_SIHAM]]),FALSE),"")</f>
        <v/>
      </c>
      <c r="J146" s="96" t="str">
        <f>IFERROR(VLOOKUP(T_BilanSocial[[#This Row],[Zone_Bilan]],T_P_BilanSocial[#Data],COLUMN(T_P_BilanSocial[[#This Row],[Sexe]]),FALSE),"")</f>
        <v/>
      </c>
      <c r="K146" s="97" t="str">
        <f>IFERROR(VLOOKUP(T_BilanSocial[[#This Row],[Zone_Bilan]],T_P_BilanSocial[#Data],COLUMN(T_P_BilanSocial[[#This Row],[Categorie]]),FALSE),"")</f>
        <v/>
      </c>
      <c r="L146" s="96" t="str">
        <f>IFERROR(VLOOKUP(T_BilanSocial[[#This Row],[Zone_Bilan]],T_P_BilanSocial[#Data],COLUMN(T_P_BilanSocial[[#This Row],[Statut]]),FALSE),"")</f>
        <v/>
      </c>
      <c r="M146" s="96" t="str">
        <f>IFERROR(VLOOKUP(T_BilanSocial[[#This Row],[Zone_Bilan]],T_P_BilanSocial[#Data],COLUMN(T_P_BilanSocial[[#This Row],[Filiere]]),FALSE),"")</f>
        <v/>
      </c>
      <c r="N146" s="96" t="e">
        <f>VLOOKUP(T_BilanSocial[[#This Row],[NumL]],T_TraitDi[#Data],COLUMN(T_TraitDi[EXP]),FALSE)</f>
        <v>#N/A</v>
      </c>
      <c r="O146" s="96" t="e">
        <f>VLOOKUP(T_BilanSocial[[#This Row],[NumL]],T_TraitDi[#Data],COLUMN(T_TraitDi[FORM]),FALSE)</f>
        <v>#N/A</v>
      </c>
      <c r="P146" s="96" t="str">
        <f>IF(T_BilanSocial[[#This Row],[Final]]&lt;&gt;"",VLOOKUP(T_BilanSocial[[#This Row],[NumL]],T_suiviDi[#Data],COLUMN((T_suiviDi[Email])),FALSE),"")</f>
        <v/>
      </c>
      <c r="Q146" s="164" t="e">
        <f t="shared" si="28"/>
        <v>#N/A</v>
      </c>
      <c r="R146" s="164" t="e">
        <f t="shared" si="29"/>
        <v>#N/A</v>
      </c>
      <c r="S146" s="164" t="e">
        <f>IF(VLOOKUP(T_BilanSocial[[#This Row],[NumL]],T_suiviDi[#Data],COLUMN(T_suiviDi[[#This Row],[Service ]]),FALSE)="","",VLOOKUP(T_BilanSocial[[#This Row],[NumL]],T_suiviDi[#Data],COLUMN(T_suiviDi[[#This Row],[Service ]]),FALSE))</f>
        <v>#VALUE!</v>
      </c>
      <c r="T146" s="164" t="str">
        <f t="shared" si="24"/>
        <v>01 septembre 2021</v>
      </c>
      <c r="U146" s="164" t="str">
        <f t="shared" si="25"/>
        <v>30 novembre 2021</v>
      </c>
      <c r="V146" s="192">
        <f>Datebilan</f>
        <v>44530</v>
      </c>
      <c r="W146" s="176" t="e">
        <f>IF(VLOOKUP(T_BilanSocial[[#This Row],[NumL]],T_TraitDi[#Data],COLUMN(T_TraitDi[[#This Row],[M1]]),FALSE)="","",VLOOKUP(T_BilanSocial[[#This Row],[NumL]],T_TraitDi[#Data],COLUMN(T_TraitDi[[#This Row],[M1]]),FALSE))</f>
        <v>#VALUE!</v>
      </c>
      <c r="X146" s="176" t="e">
        <f>IF(VLOOKUP(T_BilanSocial[[#This Row],[NumL]],T_TraitDi[#Data],COLUMN(T_TraitDi[[#This Row],[M2]]),FALSE)="","",VLOOKUP(T_BilanSocial[[#This Row],[NumL]],T_TraitDi[#Data],COLUMN(T_TraitDi[[#This Row],[M2]]),FALSE))</f>
        <v>#VALUE!</v>
      </c>
      <c r="Y146" s="176" t="e">
        <f>IF(VLOOKUP(T_BilanSocial[[#This Row],[NumL]],T_TraitDi[#Data],COLUMN(T_TraitDi[[#This Row],[M3]]),FALSE)="","",VLOOKUP(T_BilanSocial[[#This Row],[NumL]],T_TraitDi[#Data],COLUMN(T_TraitDi[[#This Row],[M3]]),FALSE))</f>
        <v>#VALUE!</v>
      </c>
      <c r="Z146" s="176" t="str">
        <f t="shared" si="27"/>
        <v/>
      </c>
      <c r="AA146" s="176" t="e">
        <f>IF(VLOOKUP(T_BilanSocial[[#This Row],[NumL]],T_TraitDi[#Data],COLUMN(T_TraitDi[[#This Row],[M5]]),FALSE)="","",VLOOKUP(T_BilanSocial[[#This Row],[NumL]],T_TraitDi[#Data],COLUMN(T_TraitDi[[#This Row],[M5]]),FALSE))</f>
        <v>#VALUE!</v>
      </c>
      <c r="AB146" s="176" t="e">
        <f>IF(VLOOKUP(T_BilanSocial[[#This Row],[NumL]],T_TraitDi[#Data],COLUMN(T_TraitDi[[#This Row],[M6]]),FALSE)="","",VLOOKUP(T_BilanSocial[[#This Row],[NumL]],T_TraitDi[#Data],COLUMN(T_TraitDi[[#This Row],[M6]]),FALSE))</f>
        <v>#VALUE!</v>
      </c>
      <c r="AC146" s="165" t="e">
        <f t="shared" si="26"/>
        <v>#VALUE!</v>
      </c>
      <c r="AD146" s="188" t="str">
        <f>IFERROR(TEXT(VLOOKUP(T_BilanSocial[[#This Row],[NumL]],T_TraitDi[#Data],COLUMN(T_TraitDi[[#This Row],[Q2]]),FALSE),"###%"),"")</f>
        <v/>
      </c>
      <c r="AE146" s="97" t="e">
        <f>VLOOKUP(T_BilanSocial[[#This Row],[NumL]],T_TraitDi[#Data],COLUMN(T_TraitDi[[#This Row],[Reg Ponct]]),FALSE)</f>
        <v>#VALUE!</v>
      </c>
      <c r="AF146" s="97" t="e">
        <f>VLOOKUP(T_BilanSocial[NumL],T_TraitDi[#Data],COLUMN(T_TraitDi[[#This Row],[Jours flottants]]),FALSE)</f>
        <v>#VALUE!</v>
      </c>
      <c r="AG146" s="97" t="str">
        <f>IFERROR(VLOOKUP(T_BilanSocial[[#This Row],[NumL]],T_TraitDi[#Data],COLUMN(T_TraitDi[[#This Row],[Lundi]]),FALSE),"")</f>
        <v/>
      </c>
      <c r="AH146" s="172" t="e">
        <f>IF(VLOOKUP(T_BilanSocial[[#This Row],[NumL]],T_TraitDi[#Data],COLUMN(T_TraitDi[[#This Row],[Colonne3]]),FALSE)=0,"",TEXT(IFERROR(VLOOKUP(T_BilanSocial[[#This Row],[NumL]],T_TraitDi[#Data],COLUMN(T_TraitDi[[#This Row],[Colonne3]]),FALSE),""),"[hh]:mm"))</f>
        <v>#VALUE!</v>
      </c>
      <c r="AI146" s="172" t="e">
        <f>IF(VLOOKUP(T_BilanSocial[[#This Row],[NumL]],T_TraitDi[#Data],COLUMN(T_TraitDi[[#This Row],[Colonne4]]),FALSE)=0,"",TEXT(IFERROR(VLOOKUP(T_BilanSocial[[#This Row],[NumL]],T_TraitDi[#Data],COLUMN(T_TraitDi[[#This Row],[Colonne4]]),FALSE),""),"[hh]:mm"))</f>
        <v>#VALUE!</v>
      </c>
      <c r="AJ146" s="172" t="e">
        <f>IF(VLOOKUP(T_BilanSocial[[#This Row],[NumL]],T_TraitDi[#Data],COLUMN(T_TraitDi[[#This Row],[Colonne5]]),FALSE)=0,"",TEXT(IFERROR(VLOOKUP(T_BilanSocial[[#This Row],[NumL]],T_TraitDi[#Data],COLUMN(T_TraitDi[[#This Row],[Colonne5]]),FALSE),""),"[hh]:mm"))</f>
        <v>#VALUE!</v>
      </c>
      <c r="AK146" s="172" t="e">
        <f>IF(VLOOKUP(T_BilanSocial[[#This Row],[NumL]],T_TraitDi[#Data],COLUMN(T_TraitDi[[#This Row],[Colonne6]]),FALSE)=0,"",TEXT(IFERROR(VLOOKUP(T_BilanSocial[[#This Row],[NumL]],T_TraitDi[#Data],COLUMN(T_TraitDi[[#This Row],[Colonne6]]),FALSE),""),"[hh]:mm"))</f>
        <v>#VALUE!</v>
      </c>
      <c r="AL146" s="172" t="e">
        <f>IF(VLOOKUP(T_BilanSocial[[#This Row],[NumL]],T_TraitDi[#Data],COLUMN(T_TraitDi[[#This Row],[Colonne7]]),FALSE)=0,"",TEXT(IFERROR(VLOOKUP(T_BilanSocial[[#This Row],[NumL]],T_TraitDi[#Data],COLUMN(T_TraitDi[[#This Row],[Colonne7]]),FALSE),""),"[hh]:mm"))</f>
        <v>#VALUE!</v>
      </c>
      <c r="AM146" s="172" t="e">
        <f>IF(VLOOKUP(T_BilanSocial[[#This Row],[NumL]],T_TraitDi[#Data],COLUMN(T_TraitDi[[#This Row],[Colonne8]]),FALSE)=0,"",TEXT(IFERROR(VLOOKUP(T_BilanSocial[[#This Row],[NumL]],T_TraitDi[#Data],COLUMN(T_TraitDi[[#This Row],[Colonne8]]),FALSE),""),"[hh]:mm"))</f>
        <v>#VALUE!</v>
      </c>
      <c r="AN146" s="172" t="str">
        <f>IFERROR(VLOOKUP(T_BilanSocial[[#This Row],[NumL]],T_TraitDi[#Data],COLUMN(T_TraitDi[[#This Row],[Mardi]]),FALSE),"")</f>
        <v/>
      </c>
      <c r="AO146" s="172" t="e">
        <f>IF(VLOOKUP(T_BilanSocial[[#This Row],[NumL]],T_TraitDi[#Data],COLUMN(T_TraitDi[[#This Row],[Colonne1]]),FALSE)=0,"",TEXT(IFERROR(VLOOKUP(T_BilanSocial[[#This Row],[NumL]],T_TraitDi[#Data],COLUMN(T_TraitDi[[#This Row],[Colonne1]]),FALSE),""),"[hh]:mm"))</f>
        <v>#VALUE!</v>
      </c>
      <c r="AP146" s="172" t="e">
        <f>IF(VLOOKUP(T_BilanSocial[[#This Row],[NumL]],T_TraitDi[#Data],COLUMN(T_TraitDi[[#This Row],[Colonne9]]),FALSE)=0,"",TEXT(IFERROR(VLOOKUP(T_BilanSocial[[#This Row],[NumL]],T_TraitDi[#Data],COLUMN(T_TraitDi[[#This Row],[Colonne9]]),FALSE),""),"[hh]:mm"))</f>
        <v>#VALUE!</v>
      </c>
      <c r="AQ146" s="172" t="str">
        <f>IFERROR(VLOOKUP(T_BilanSocial[[#This Row],[NumL]],T_TraitDi[#Data],COLUMN(T_TraitDi[[#This Row],[Colonne10]]),FALSE),"")</f>
        <v/>
      </c>
      <c r="AR146" s="172" t="e">
        <f>IF(VLOOKUP(T_BilanSocial[[#This Row],[NumL]],T_TraitDi[#Data],COLUMN(T_TraitDi[[#This Row],[Colonne11]]),FALSE)=0,"",TEXT(IFERROR(VLOOKUP(T_BilanSocial[[#This Row],[NumL]],T_TraitDi[#Data],COLUMN(T_TraitDi[[#This Row],[Colonne11]]),FALSE),""),"[hh]:mm"))</f>
        <v>#VALUE!</v>
      </c>
      <c r="AS146" s="172" t="e">
        <f>IF(VLOOKUP(T_BilanSocial[[#This Row],[NumL]],T_TraitDi[#Data],COLUMN(T_TraitDi[[#This Row],[Colonne12]]),FALSE)=0,"",TEXT(IFERROR(VLOOKUP(T_BilanSocial[[#This Row],[NumL]],T_TraitDi[#Data],COLUMN(T_TraitDi[[#This Row],[Colonne12]]),FALSE),""),"[hh]:mm"))</f>
        <v>#VALUE!</v>
      </c>
      <c r="AT146" s="172" t="e">
        <f>IF(VLOOKUP(T_BilanSocial[[#This Row],[NumL]],T_TraitDi[#Data],COLUMN(T_TraitDi[[#This Row],[Colonne14]]),FALSE)=0,"",TEXT(IFERROR(VLOOKUP(T_BilanSocial[[#This Row],[NumL]],T_TraitDi[#Data],COLUMN(T_TraitDi[[#This Row],[Colonne14]]),FALSE),""),"[hh]:mm"))</f>
        <v>#VALUE!</v>
      </c>
      <c r="AU146" s="172" t="str">
        <f>IFERROR(VLOOKUP(T_BilanSocial[[#This Row],[NumL]],T_TraitDi[#Data],COLUMN(T_TraitDi[[#This Row],[Mercredi]]),FALSE),"")</f>
        <v/>
      </c>
      <c r="AV146" s="172" t="e">
        <f>IF(VLOOKUP(T_BilanSocial[[#This Row],[NumL]],T_TraitDi[#Data],COLUMN(T_TraitDi[[#This Row],[Colonne15]]),FALSE)=0,"",TEXT(IFERROR(VLOOKUP(T_BilanSocial[[#This Row],[NumL]],T_TraitDi[#Data],COLUMN(T_TraitDi[[#This Row],[Colonne15]]),FALSE),""),"[hh]:mm"))</f>
        <v>#VALUE!</v>
      </c>
      <c r="AW146" s="172" t="e">
        <f>IF(VLOOKUP(T_BilanSocial[[#This Row],[NumL]],T_TraitDi[#Data],COLUMN(T_TraitDi[[#This Row],[Colonne16]]),FALSE)=0,"",TEXT(IFERROR(VLOOKUP(T_BilanSocial[[#This Row],[NumL]],T_TraitDi[#Data],COLUMN(T_TraitDi[[#This Row],[Colonne16]]),FALSE),""),"[hh]:mm"))</f>
        <v>#VALUE!</v>
      </c>
      <c r="AX146" s="172" t="str">
        <f>IFERROR(VLOOKUP(T_BilanSocial[[#This Row],[NumL]],T_TraitDi[#Data],COLUMN(T_TraitDi[[#This Row],[Colonne17]]),FALSE),"")</f>
        <v/>
      </c>
      <c r="AY146" s="172" t="e">
        <f>IF(VLOOKUP(T_BilanSocial[[#This Row],[NumL]],T_TraitDi[#Data],COLUMN(T_TraitDi[[#This Row],[Colonne18]]),FALSE)=0,"",TEXT(IFERROR(VLOOKUP(T_BilanSocial[[#This Row],[NumL]],T_TraitDi[#Data],COLUMN(T_TraitDi[[#This Row],[Colonne18]]),FALSE),""),"[hh]:mm"))</f>
        <v>#VALUE!</v>
      </c>
      <c r="AZ146" s="172" t="e">
        <f>IF(VLOOKUP(T_BilanSocial[[#This Row],[NumL]],T_TraitDi[#Data],COLUMN(T_TraitDi[[#This Row],[Colonne19]]),FALSE)=0,"",TEXT(IFERROR(VLOOKUP(T_BilanSocial[[#This Row],[NumL]],T_TraitDi[#Data],COLUMN(T_TraitDi[[#This Row],[Colonne19]]),FALSE),""),"[hh]:mm"))</f>
        <v>#VALUE!</v>
      </c>
      <c r="BA146" s="172" t="e">
        <f>IF(VLOOKUP(T_BilanSocial[[#This Row],[NumL]],T_TraitDi[#Data],COLUMN(T_TraitDi[[#This Row],[Colonne20]]),FALSE)=0,"",TEXT(IFERROR(VLOOKUP(T_BilanSocial[[#This Row],[NumL]],T_TraitDi[#Data],COLUMN(T_TraitDi[[#This Row],[Colonne20]]),FALSE),""),"[hh]:mm"))</f>
        <v>#VALUE!</v>
      </c>
      <c r="BB146" s="178" t="str">
        <f>IFERROR(VLOOKUP(T_BilanSocial[[#This Row],[NumL]],T_TraitDi[#Data],COLUMN(T_TraitDi[[#This Row],[Jeudi]]),FALSE),"")</f>
        <v/>
      </c>
      <c r="BC146" s="178" t="e">
        <f>IF(VLOOKUP(T_BilanSocial[[#This Row],[NumL]],T_TraitDi[#Data],COLUMN(T_TraitDi[[#This Row],[Colonne21]]),FALSE)=0,"",TEXT(IFERROR(VLOOKUP(T_BilanSocial[[#This Row],[NumL]],T_TraitDi[#Data],COLUMN(T_TraitDi[[#This Row],[Colonne21]]),FALSE),""),"[hh]:mm"))</f>
        <v>#VALUE!</v>
      </c>
      <c r="BD146" s="178" t="e">
        <f>IF(VLOOKUP(T_BilanSocial[[#This Row],[NumL]],T_TraitDi[#Data],COLUMN(T_TraitDi[[#This Row],[Colonne22]]),FALSE)=0,"",TEXT(IFERROR(VLOOKUP(T_BilanSocial[[#This Row],[NumL]],T_TraitDi[#Data],COLUMN(T_TraitDi[[#This Row],[Colonne22]]),FALSE),""),"[hh]:mm"))</f>
        <v>#VALUE!</v>
      </c>
      <c r="BE146" s="178" t="str">
        <f>IFERROR(VLOOKUP(T_BilanSocial[[#This Row],[NumL]],T_TraitDi[#Data],COLUMN(T_TraitDi[[#This Row],[Colonne23]]),FALSE),"")</f>
        <v/>
      </c>
      <c r="BF146" s="178" t="e">
        <f>IF(VLOOKUP(T_BilanSocial[[#This Row],[NumL]],T_TraitDi[#Data],COLUMN(T_TraitDi[[#This Row],[Colonne24]]),FALSE)=0,"",TEXT(IFERROR(VLOOKUP(T_BilanSocial[[#This Row],[NumL]],T_TraitDi[#Data],COLUMN(T_TraitDi[[#This Row],[Colonne24]]),FALSE),""),"[hh]:mm"))</f>
        <v>#VALUE!</v>
      </c>
      <c r="BG146" s="178" t="e">
        <f>IF(VLOOKUP(T_BilanSocial[[#This Row],[NumL]],T_TraitDi[#Data],COLUMN(T_TraitDi[[#This Row],[Colonne25]]),FALSE)=0,"",TEXT(IFERROR(VLOOKUP(T_BilanSocial[[#This Row],[NumL]],T_TraitDi[#Data],COLUMN(T_TraitDi[[#This Row],[Colonne25]]),FALSE),""),"[hh]:mm"))</f>
        <v>#VALUE!</v>
      </c>
      <c r="BH146" s="178" t="e">
        <f>IF(VLOOKUP(T_BilanSocial[[#This Row],[NumL]],T_TraitDi[#Data],COLUMN(T_TraitDi[[#This Row],[Colonne26]]),FALSE)=0,"",TEXT(IFERROR(VLOOKUP(T_BilanSocial[[#This Row],[NumL]],T_TraitDi[#Data],COLUMN(T_TraitDi[[#This Row],[Colonne26]]),FALSE),""),"[hh]:mm"))</f>
        <v>#VALUE!</v>
      </c>
      <c r="BI146" s="172" t="str">
        <f>IFERROR(VLOOKUP(T_BilanSocial[[#This Row],[NumL]],T_TraitDi[#Data],COLUMN(T_TraitDi[[#This Row],[Vendredi]]),FALSE),"")</f>
        <v/>
      </c>
      <c r="BJ146" s="172" t="e">
        <f>IF(VLOOKUP(T_BilanSocial[[#This Row],[NumL]],T_TraitDi[#Data],COLUMN(T_TraitDi[[#This Row],[Colonne27]]),FALSE)=0,"",TEXT(IFERROR(VLOOKUP(T_BilanSocial[[#This Row],[NumL]],T_TraitDi[#Data],COLUMN(T_TraitDi[[#This Row],[Colonne27]]),FALSE),""),"[hh]:mm"))</f>
        <v>#VALUE!</v>
      </c>
      <c r="BK146" s="172" t="e">
        <f>IF(VLOOKUP(T_BilanSocial[[#This Row],[NumL]],T_TraitDi[#Data],COLUMN(T_TraitDi[[#This Row],[Colonne28]]),FALSE)=0,"",TEXT(IFERROR(VLOOKUP(T_BilanSocial[[#This Row],[NumL]],T_TraitDi[#Data],COLUMN(T_TraitDi[[#This Row],[Colonne28]]),FALSE),""),"[hh]:mm"))</f>
        <v>#VALUE!</v>
      </c>
      <c r="BL146" s="172" t="str">
        <f>IFERROR(VLOOKUP(T_BilanSocial[[#This Row],[NumL]],T_TraitDi[#Data],COLUMN(T_TraitDi[[#This Row],[Colonne29]]),FALSE),"")</f>
        <v/>
      </c>
      <c r="BM146" s="172" t="e">
        <f>IF(VLOOKUP(T_BilanSocial[[#This Row],[NumL]],T_TraitDi[#Data],COLUMN(T_TraitDi[[#This Row],[Colonne30]]),FALSE)=0,"",TEXT(IFERROR(VLOOKUP(T_BilanSocial[[#This Row],[NumL]],T_TraitDi[#Data],COLUMN(T_TraitDi[[#This Row],[Colonne30]]),FALSE),""),"[hh]:mm"))</f>
        <v>#VALUE!</v>
      </c>
      <c r="BN146" s="172" t="e">
        <f>IF(VLOOKUP(T_BilanSocial[[#This Row],[NumL]],T_TraitDi[#Data],COLUMN(T_TraitDi[[#This Row],[Colonne31]]),FALSE)=0,"",TEXT(IFERROR(VLOOKUP(T_BilanSocial[[#This Row],[NumL]],T_TraitDi[#Data],COLUMN(T_TraitDi[[#This Row],[Colonne31]]),FALSE),""),"[hh]:mm"))</f>
        <v>#VALUE!</v>
      </c>
      <c r="BO146" s="172" t="e">
        <f>IF(VLOOKUP(T_BilanSocial[[#This Row],[NumL]],T_TraitDi[#Data],COLUMN(T_TraitDi[[#This Row],[Colonne32]]),FALSE)=0,"",TEXT(IFERROR(VLOOKUP(T_BilanSocial[[#This Row],[NumL]],T_TraitDi[#Data],COLUMN(T_TraitDi[[#This Row],[Colonne32]]),FALSE),""),"[hh]:mm"))</f>
        <v>#VALUE!</v>
      </c>
      <c r="BP146" s="172" t="e">
        <f>VLOOKUP(T_BilanSocial[[#This Row],[NumL]],T_TraitDi[#Data],COLUMN(T_TraitDi[NbJTot]),FALSE)</f>
        <v>#N/A</v>
      </c>
      <c r="BQ146" s="174" t="str">
        <f>IFERROR(VLOOKUP(T_BilanSocial[[#This Row],[NumL]],T_TraitDi[#Data],COLUMN(T_TraitDi[[#This Row],[NbJTW]]),FALSE),"")</f>
        <v/>
      </c>
      <c r="BR146" s="174" t="e">
        <f>IF(VLOOKUP(T_BilanSocial[[#This Row],[NumL]],T_TraitDi[#Data],COLUMN(T_TraitDi[[#This Row],[NbhTW]]),FALSE)=0,"",TEXT(IFERROR(VLOOKUP(T_BilanSocial[[#This Row],[NumL]],T_TraitDi[#Data],COLUMN(T_TraitDi[[#This Row],[NbhTW]]),FALSE),""),"[hh]:mm"))</f>
        <v>#VALUE!</v>
      </c>
      <c r="BS146" s="174" t="e">
        <f>IF(VLOOKUP(T_BilanSocial[[#This Row],[NumL]],T_TraitDi[#Data],COLUMN(T_TraitDi[[#This Row],[Nbhheb]]),FALSE)=0,"",TEXT(IFERROR(VLOOKUP($A146,T_TraitDi[#Data],COLUMN(T_TraitDi[[#This Row],[Nbhheb]]),FALSE),""),"[hh]:mm"))</f>
        <v>#VALUE!</v>
      </c>
      <c r="BT146" s="182" t="str">
        <f>IFERROR(VLOOKUP(VLOOKUP($A146,T_TraitDi[#Data],COLUMN(T_TraitDi[[#This Row],[Type1]]),FALSE),TypeTW,2,FALSE),"")</f>
        <v/>
      </c>
      <c r="BU146" s="182" t="str">
        <f>IFERROR(VLOOKUP($A146,T_TraitDi[#Data],COLUMN(T_TraitDi[[#This Row],[Rue1]]),FALSE),"")</f>
        <v/>
      </c>
      <c r="BV146" s="173" t="str">
        <f>IFERROR(VLOOKUP($A146,T_TraitDi[#Data],COLUMN(T_TraitDi[[#This Row],[CP1]]),FALSE),"")</f>
        <v/>
      </c>
      <c r="BW146" s="173" t="str">
        <f>IFERROR(VLOOKUP($A146,T_TraitDi[#Data],COLUMN(T_TraitDi[[#This Row],[VILLE1]]),FALSE),"")</f>
        <v/>
      </c>
      <c r="BX146" s="182" t="str">
        <f>IFERROR(VLOOKUP(VLOOKUP($A146,T_TraitDi[#Data],COLUMN(T_TraitDi[[#This Row],[Type2]]),FALSE),TypeTW,2,FALSE),"")</f>
        <v/>
      </c>
      <c r="BY146" s="182" t="str">
        <f>IFERROR(VLOOKUP($A146,T_TraitDi[#Data],COLUMN(T_TraitDi[[#This Row],[Rue2]]),FALSE),"")</f>
        <v/>
      </c>
      <c r="BZ146" s="173" t="str">
        <f>IFERROR(VLOOKUP($A146,T_TraitDi[#Data],COLUMN(T_TraitDi[[#This Row],[CP2]]),FALSE),"")</f>
        <v/>
      </c>
      <c r="CA146" s="173" t="str">
        <f>IFERROR(VLOOKUP($A146,T_TraitDi[#Data],COLUMN(T_TraitDi[[#This Row],[VILLE2]]),FALSE),"")</f>
        <v/>
      </c>
      <c r="CB146" s="182" t="str">
        <f>IF(VLOOKUP(T_BilanSocial[[#This Row],[NumL]],T_Equipement[#Data],COLUMN(T_Equipement[[#This Row],[PC]]),FALSE)="","Aucun équipement spécifique directement lié au télétravail",VLOOKUP(T_BilanSocial[[#This Row],[NumL]],T_Equipement[#Data],COLUMN(T_Equipement[[#This Row],[PC]]),FALSE))</f>
        <v xml:space="preserve">20-075	</v>
      </c>
      <c r="CC146" s="166" t="str">
        <f>IFERROR(IF(VLOOKUP(T_BilanSocial[[#This Row],[NumL]],T_TraitDi[#Data],COLUMN(T_TraitDi[[#This Row],[Plan]]),FALSE)="OK","Un planning spécifique de télétravail est annexé à la présente convention.",""),"")</f>
        <v/>
      </c>
      <c r="CD146" s="185"/>
      <c r="CE146" s="164" t="e">
        <f>IF(VLOOKUP(T_BilanSocial[[#This Row],[NumL]],T_suiviDi[#Data],COLUMN(T_suiviDi[[#This Row],[Entité]]),FALSE)="","",VLOOKUP(T_BilanSocial[[#This Row],[NumL]],T_suiviDi[#Data],COLUMN(T_suiviDi[[#This Row],[Entité]]),FALSE))</f>
        <v>#VALUE!</v>
      </c>
      <c r="CF146" s="164" t="str">
        <f>IF(VLOOKUP(T_BilanSocial[[#This Row],[NumL]],T_Commission[#Data],COLUMN(T_Commission[[#This Row],[envoi confirm TW]]),FALSE)="","",VLOOKUP(T_BilanSocial[[#This Row],[NumL]],T_Commission[#Data],COLUMN(T_Commission[[#This Row],[envoi confirm TW]]),FALSE))</f>
        <v>Oui</v>
      </c>
      <c r="CG14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6" s="262" t="str">
        <f>T_BilanSocial[[#This Row],[Nom]]&amp;T_BilanSocial[[#This Row],[Prenom]]</f>
        <v/>
      </c>
      <c r="CI146" s="262">
        <f>VLOOKUP(T_BilanSocial[[#This Row],[NumL]],T_Commission[#Data],COLUMN(T_Commission[Commentaire]),FALSE)</f>
        <v>0</v>
      </c>
      <c r="CJ146" s="262" t="str">
        <f>IF(VLOOKUP(T_BilanSocial[[#This Row],[NumL]],T_Commission[#Data],COLUMN(T_Commission[Encadrant Email]),FALSE)="","",VLOOKUP(T_BilanSocial[[#This Row],[NumL]],T_Commission[#Data],COLUMN(T_Commission[Encadrant Email]),FALSE))</f>
        <v/>
      </c>
      <c r="CK146" s="340" t="str">
        <f>IF(T_BilanSocial[[#This Row],[Final]]&lt;&gt;"",VLOOKUP(T_BilanSocial[[#This Row],[NumL]],T_suiviDi[#Data],COLUMN((T_suiviDi[Statut])),FALSE),"")</f>
        <v/>
      </c>
    </row>
    <row r="147" spans="1:89" s="106" customFormat="1" ht="24.75" customHeight="1" x14ac:dyDescent="0.25">
      <c r="A147" s="160">
        <v>144</v>
      </c>
      <c r="B147" s="161" t="str">
        <f t="shared" si="22"/>
        <v/>
      </c>
      <c r="C147" s="162" t="s">
        <v>139</v>
      </c>
      <c r="D147" s="95" t="e">
        <f>IF(VLOOKUP(T_BilanSocial[[#This Row],[NumL]],T_TraitDi[#Data],COLUMN(T_TraitDi[[#This Row],[WebC]]),FALSE)="","",VLOOKUP(T_BilanSocial[[#This Row],[NumL]],T_TraitDi[#Data],COLUMN(T_TraitDi[[#This Row],[WebC]]),FALSE))</f>
        <v>#VALUE!</v>
      </c>
      <c r="E147" s="163" t="str">
        <f t="shared" si="23"/>
        <v>12 janvier 2021</v>
      </c>
      <c r="F147" s="96" t="str">
        <f>IF(T_BilanSocial[[#This Row],[Final]]&lt;&gt;"",VLOOKUP(T_BilanSocial[[#This Row],[NumL]],T_suiviDi[#Data],COLUMN((T_suiviDi[Civ.])),FALSE),"")</f>
        <v/>
      </c>
      <c r="G147" s="96" t="str">
        <f>IF(T_BilanSocial[[#This Row],[Final]]&lt;&gt;"",VLOOKUP(T_BilanSocial[[#This Row],[NumL]],T_suiviDi[#Data],COLUMN((T_suiviDi[Nom])),FALSE),"")</f>
        <v/>
      </c>
      <c r="H147" s="96" t="str">
        <f>IF(T_BilanSocial[[#This Row],[Final]]&lt;&gt;"",VLOOKUP(T_BilanSocial[[#This Row],[NumL]],T_suiviDi[#Data],COLUMN((T_suiviDi[Prénom])),FALSE),"")</f>
        <v/>
      </c>
      <c r="I147" s="96" t="str">
        <f>IFERROR(VLOOKUP(T_BilanSocial[[#This Row],[Zone_Bilan]],T_P_BilanSocial[#Data],COLUMN(T_P_BilanSocial[[#This Row],[Numero_SIHAM]]),FALSE),"")</f>
        <v/>
      </c>
      <c r="J147" s="96" t="str">
        <f>IFERROR(VLOOKUP(T_BilanSocial[[#This Row],[Zone_Bilan]],T_P_BilanSocial[#Data],COLUMN(T_P_BilanSocial[[#This Row],[Sexe]]),FALSE),"")</f>
        <v/>
      </c>
      <c r="K147" s="97" t="str">
        <f>IFERROR(VLOOKUP(T_BilanSocial[[#This Row],[Zone_Bilan]],T_P_BilanSocial[#Data],COLUMN(T_P_BilanSocial[[#This Row],[Categorie]]),FALSE),"")</f>
        <v/>
      </c>
      <c r="L147" s="96" t="str">
        <f>IFERROR(VLOOKUP(T_BilanSocial[[#This Row],[Zone_Bilan]],T_P_BilanSocial[#Data],COLUMN(T_P_BilanSocial[[#This Row],[Statut]]),FALSE),"")</f>
        <v/>
      </c>
      <c r="M147" s="96" t="str">
        <f>IFERROR(VLOOKUP(T_BilanSocial[[#This Row],[Zone_Bilan]],T_P_BilanSocial[#Data],COLUMN(T_P_BilanSocial[[#This Row],[Filiere]]),FALSE),"")</f>
        <v/>
      </c>
      <c r="N147" s="96" t="e">
        <f>VLOOKUP(T_BilanSocial[[#This Row],[NumL]],T_TraitDi[#Data],COLUMN(T_TraitDi[EXP]),FALSE)</f>
        <v>#N/A</v>
      </c>
      <c r="O147" s="96" t="e">
        <f>VLOOKUP(T_BilanSocial[[#This Row],[NumL]],T_TraitDi[#Data],COLUMN(T_TraitDi[FORM]),FALSE)</f>
        <v>#N/A</v>
      </c>
      <c r="P147" s="96" t="str">
        <f>IF(T_BilanSocial[[#This Row],[Final]]&lt;&gt;"",VLOOKUP(T_BilanSocial[[#This Row],[NumL]],T_suiviDi[#Data],COLUMN((T_suiviDi[Email])),FALSE),"")</f>
        <v/>
      </c>
      <c r="Q147" s="164" t="e">
        <f t="shared" si="28"/>
        <v>#N/A</v>
      </c>
      <c r="R147" s="164" t="e">
        <f t="shared" si="29"/>
        <v>#N/A</v>
      </c>
      <c r="S147" s="164" t="e">
        <f>IF(VLOOKUP(T_BilanSocial[[#This Row],[NumL]],T_suiviDi[#Data],COLUMN(T_suiviDi[[#This Row],[Service ]]),FALSE)="","",VLOOKUP(T_BilanSocial[[#This Row],[NumL]],T_suiviDi[#Data],COLUMN(T_suiviDi[[#This Row],[Service ]]),FALSE))</f>
        <v>#VALUE!</v>
      </c>
      <c r="T147" s="164" t="str">
        <f t="shared" si="24"/>
        <v>01 septembre 2021</v>
      </c>
      <c r="U147" s="164" t="str">
        <f t="shared" si="25"/>
        <v>30 novembre 2021</v>
      </c>
      <c r="V147" s="256">
        <f>Datebilan</f>
        <v>44530</v>
      </c>
      <c r="W147" s="176" t="e">
        <f>IF(VLOOKUP(T_BilanSocial[[#This Row],[NumL]],T_TraitDi[#Data],COLUMN(T_TraitDi[[#This Row],[M1]]),FALSE)="","",VLOOKUP(T_BilanSocial[[#This Row],[NumL]],T_TraitDi[#Data],COLUMN(T_TraitDi[[#This Row],[M1]]),FALSE))</f>
        <v>#VALUE!</v>
      </c>
      <c r="X147" s="176" t="e">
        <f>IF(VLOOKUP(T_BilanSocial[[#This Row],[NumL]],T_TraitDi[#Data],COLUMN(T_TraitDi[[#This Row],[M2]]),FALSE)="","",VLOOKUP(T_BilanSocial[[#This Row],[NumL]],T_TraitDi[#Data],COLUMN(T_TraitDi[[#This Row],[M2]]),FALSE))</f>
        <v>#VALUE!</v>
      </c>
      <c r="Y147" s="176" t="e">
        <f>IF(VLOOKUP(T_BilanSocial[[#This Row],[NumL]],T_TraitDi[#Data],COLUMN(T_TraitDi[[#This Row],[M3]]),FALSE)="","",VLOOKUP(T_BilanSocial[[#This Row],[NumL]],T_TraitDi[#Data],COLUMN(T_TraitDi[[#This Row],[M3]]),FALSE))</f>
        <v>#VALUE!</v>
      </c>
      <c r="Z147" s="176" t="str">
        <f t="shared" si="27"/>
        <v/>
      </c>
      <c r="AA147" s="176" t="e">
        <f>IF(VLOOKUP(T_BilanSocial[[#This Row],[NumL]],T_TraitDi[#Data],COLUMN(T_TraitDi[[#This Row],[M5]]),FALSE)="","",VLOOKUP(T_BilanSocial[[#This Row],[NumL]],T_TraitDi[#Data],COLUMN(T_TraitDi[[#This Row],[M5]]),FALSE))</f>
        <v>#VALUE!</v>
      </c>
      <c r="AB147" s="176" t="e">
        <f>IF(VLOOKUP(T_BilanSocial[[#This Row],[NumL]],T_TraitDi[#Data],COLUMN(T_TraitDi[[#This Row],[M6]]),FALSE)="","",VLOOKUP(T_BilanSocial[[#This Row],[NumL]],T_TraitDi[#Data],COLUMN(T_TraitDi[[#This Row],[M6]]),FALSE))</f>
        <v>#VALUE!</v>
      </c>
      <c r="AC147" s="165" t="e">
        <f t="shared" si="26"/>
        <v>#VALUE!</v>
      </c>
      <c r="AD147" s="188" t="str">
        <f>IFERROR(TEXT(VLOOKUP(T_BilanSocial[[#This Row],[NumL]],T_TraitDi[#Data],COLUMN(T_TraitDi[[#This Row],[Q2]]),FALSE),"###%"),"")</f>
        <v/>
      </c>
      <c r="AE147" s="97" t="e">
        <f>VLOOKUP(T_BilanSocial[[#This Row],[NumL]],T_TraitDi[#Data],COLUMN(T_TraitDi[[#This Row],[Reg Ponct]]),FALSE)</f>
        <v>#VALUE!</v>
      </c>
      <c r="AF147" s="97" t="e">
        <f>VLOOKUP(T_BilanSocial[NumL],T_TraitDi[#Data],COLUMN(T_TraitDi[[#This Row],[Jours flottants]]),FALSE)</f>
        <v>#VALUE!</v>
      </c>
      <c r="AG147" s="97" t="str">
        <f>IFERROR(VLOOKUP(T_BilanSocial[[#This Row],[NumL]],T_TraitDi[#Data],COLUMN(T_TraitDi[[#This Row],[Lundi]]),FALSE),"")</f>
        <v/>
      </c>
      <c r="AH147" s="172" t="e">
        <f>IF(VLOOKUP(T_BilanSocial[[#This Row],[NumL]],T_TraitDi[#Data],COLUMN(T_TraitDi[[#This Row],[Colonne3]]),FALSE)=0,"",TEXT(IFERROR(VLOOKUP(T_BilanSocial[[#This Row],[NumL]],T_TraitDi[#Data],COLUMN(T_TraitDi[[#This Row],[Colonne3]]),FALSE),""),"[hh]:mm"))</f>
        <v>#VALUE!</v>
      </c>
      <c r="AI147" s="172" t="e">
        <f>IF(VLOOKUP(T_BilanSocial[[#This Row],[NumL]],T_TraitDi[#Data],COLUMN(T_TraitDi[[#This Row],[Colonne4]]),FALSE)=0,"",TEXT(IFERROR(VLOOKUP(T_BilanSocial[[#This Row],[NumL]],T_TraitDi[#Data],COLUMN(T_TraitDi[[#This Row],[Colonne4]]),FALSE),""),"[hh]:mm"))</f>
        <v>#VALUE!</v>
      </c>
      <c r="AJ147" s="172" t="e">
        <f>IF(VLOOKUP(T_BilanSocial[[#This Row],[NumL]],T_TraitDi[#Data],COLUMN(T_TraitDi[[#This Row],[Colonne5]]),FALSE)=0,"",TEXT(IFERROR(VLOOKUP(T_BilanSocial[[#This Row],[NumL]],T_TraitDi[#Data],COLUMN(T_TraitDi[[#This Row],[Colonne5]]),FALSE),""),"[hh]:mm"))</f>
        <v>#VALUE!</v>
      </c>
      <c r="AK147" s="172" t="e">
        <f>IF(VLOOKUP(T_BilanSocial[[#This Row],[NumL]],T_TraitDi[#Data],COLUMN(T_TraitDi[[#This Row],[Colonne6]]),FALSE)=0,"",TEXT(IFERROR(VLOOKUP(T_BilanSocial[[#This Row],[NumL]],T_TraitDi[#Data],COLUMN(T_TraitDi[[#This Row],[Colonne6]]),FALSE),""),"[hh]:mm"))</f>
        <v>#VALUE!</v>
      </c>
      <c r="AL147" s="172" t="e">
        <f>IF(VLOOKUP(T_BilanSocial[[#This Row],[NumL]],T_TraitDi[#Data],COLUMN(T_TraitDi[[#This Row],[Colonne7]]),FALSE)=0,"",TEXT(IFERROR(VLOOKUP(T_BilanSocial[[#This Row],[NumL]],T_TraitDi[#Data],COLUMN(T_TraitDi[[#This Row],[Colonne7]]),FALSE),""),"[hh]:mm"))</f>
        <v>#VALUE!</v>
      </c>
      <c r="AM147" s="172" t="e">
        <f>IF(VLOOKUP(T_BilanSocial[[#This Row],[NumL]],T_TraitDi[#Data],COLUMN(T_TraitDi[[#This Row],[Colonne8]]),FALSE)=0,"",TEXT(IFERROR(VLOOKUP(T_BilanSocial[[#This Row],[NumL]],T_TraitDi[#Data],COLUMN(T_TraitDi[[#This Row],[Colonne8]]),FALSE),""),"[hh]:mm"))</f>
        <v>#VALUE!</v>
      </c>
      <c r="AN147" s="172" t="str">
        <f>IFERROR(VLOOKUP(T_BilanSocial[[#This Row],[NumL]],T_TraitDi[#Data],COLUMN(T_TraitDi[[#This Row],[Mardi]]),FALSE),"")</f>
        <v/>
      </c>
      <c r="AO147" s="172" t="e">
        <f>IF(VLOOKUP(T_BilanSocial[[#This Row],[NumL]],T_TraitDi[#Data],COLUMN(T_TraitDi[[#This Row],[Colonne1]]),FALSE)=0,"",TEXT(IFERROR(VLOOKUP(T_BilanSocial[[#This Row],[NumL]],T_TraitDi[#Data],COLUMN(T_TraitDi[[#This Row],[Colonne1]]),FALSE),""),"[hh]:mm"))</f>
        <v>#VALUE!</v>
      </c>
      <c r="AP147" s="172" t="e">
        <f>IF(VLOOKUP(T_BilanSocial[[#This Row],[NumL]],T_TraitDi[#Data],COLUMN(T_TraitDi[[#This Row],[Colonne9]]),FALSE)=0,"",TEXT(IFERROR(VLOOKUP(T_BilanSocial[[#This Row],[NumL]],T_TraitDi[#Data],COLUMN(T_TraitDi[[#This Row],[Colonne9]]),FALSE),""),"[hh]:mm"))</f>
        <v>#VALUE!</v>
      </c>
      <c r="AQ147" s="172" t="str">
        <f>IFERROR(VLOOKUP(T_BilanSocial[[#This Row],[NumL]],T_TraitDi[#Data],COLUMN(T_TraitDi[[#This Row],[Colonne10]]),FALSE),"")</f>
        <v/>
      </c>
      <c r="AR147" s="172" t="e">
        <f>IF(VLOOKUP(T_BilanSocial[[#This Row],[NumL]],T_TraitDi[#Data],COLUMN(T_TraitDi[[#This Row],[Colonne11]]),FALSE)=0,"",TEXT(IFERROR(VLOOKUP(T_BilanSocial[[#This Row],[NumL]],T_TraitDi[#Data],COLUMN(T_TraitDi[[#This Row],[Colonne11]]),FALSE),""),"[hh]:mm"))</f>
        <v>#VALUE!</v>
      </c>
      <c r="AS147" s="172" t="e">
        <f>IF(VLOOKUP(T_BilanSocial[[#This Row],[NumL]],T_TraitDi[#Data],COLUMN(T_TraitDi[[#This Row],[Colonne12]]),FALSE)=0,"",TEXT(IFERROR(VLOOKUP(T_BilanSocial[[#This Row],[NumL]],T_TraitDi[#Data],COLUMN(T_TraitDi[[#This Row],[Colonne12]]),FALSE),""),"[hh]:mm"))</f>
        <v>#VALUE!</v>
      </c>
      <c r="AT147" s="172" t="e">
        <f>IF(VLOOKUP(T_BilanSocial[[#This Row],[NumL]],T_TraitDi[#Data],COLUMN(T_TraitDi[[#This Row],[Colonne14]]),FALSE)=0,"",TEXT(IFERROR(VLOOKUP(T_BilanSocial[[#This Row],[NumL]],T_TraitDi[#Data],COLUMN(T_TraitDi[[#This Row],[Colonne14]]),FALSE),""),"[hh]:mm"))</f>
        <v>#VALUE!</v>
      </c>
      <c r="AU147" s="172" t="str">
        <f>IFERROR(VLOOKUP(T_BilanSocial[[#This Row],[NumL]],T_TraitDi[#Data],COLUMN(T_TraitDi[[#This Row],[Mercredi]]),FALSE),"")</f>
        <v/>
      </c>
      <c r="AV147" s="172" t="e">
        <f>IF(VLOOKUP(T_BilanSocial[[#This Row],[NumL]],T_TraitDi[#Data],COLUMN(T_TraitDi[[#This Row],[Colonne15]]),FALSE)=0,"",TEXT(IFERROR(VLOOKUP(T_BilanSocial[[#This Row],[NumL]],T_TraitDi[#Data],COLUMN(T_TraitDi[[#This Row],[Colonne15]]),FALSE),""),"[hh]:mm"))</f>
        <v>#VALUE!</v>
      </c>
      <c r="AW147" s="172" t="e">
        <f>IF(VLOOKUP(T_BilanSocial[[#This Row],[NumL]],T_TraitDi[#Data],COLUMN(T_TraitDi[[#This Row],[Colonne16]]),FALSE)=0,"",TEXT(IFERROR(VLOOKUP(T_BilanSocial[[#This Row],[NumL]],T_TraitDi[#Data],COLUMN(T_TraitDi[[#This Row],[Colonne16]]),FALSE),""),"[hh]:mm"))</f>
        <v>#VALUE!</v>
      </c>
      <c r="AX147" s="172" t="str">
        <f>IFERROR(VLOOKUP(T_BilanSocial[[#This Row],[NumL]],T_TraitDi[#Data],COLUMN(T_TraitDi[[#This Row],[Colonne17]]),FALSE),"")</f>
        <v/>
      </c>
      <c r="AY147" s="172" t="e">
        <f>IF(VLOOKUP(T_BilanSocial[[#This Row],[NumL]],T_TraitDi[#Data],COLUMN(T_TraitDi[[#This Row],[Colonne18]]),FALSE)=0,"",TEXT(IFERROR(VLOOKUP(T_BilanSocial[[#This Row],[NumL]],T_TraitDi[#Data],COLUMN(T_TraitDi[[#This Row],[Colonne18]]),FALSE),""),"[hh]:mm"))</f>
        <v>#VALUE!</v>
      </c>
      <c r="AZ147" s="172" t="e">
        <f>IF(VLOOKUP(T_BilanSocial[[#This Row],[NumL]],T_TraitDi[#Data],COLUMN(T_TraitDi[[#This Row],[Colonne19]]),FALSE)=0,"",TEXT(IFERROR(VLOOKUP(T_BilanSocial[[#This Row],[NumL]],T_TraitDi[#Data],COLUMN(T_TraitDi[[#This Row],[Colonne19]]),FALSE),""),"[hh]:mm"))</f>
        <v>#VALUE!</v>
      </c>
      <c r="BA147" s="172" t="e">
        <f>IF(VLOOKUP(T_BilanSocial[[#This Row],[NumL]],T_TraitDi[#Data],COLUMN(T_TraitDi[[#This Row],[Colonne20]]),FALSE)=0,"",TEXT(IFERROR(VLOOKUP(T_BilanSocial[[#This Row],[NumL]],T_TraitDi[#Data],COLUMN(T_TraitDi[[#This Row],[Colonne20]]),FALSE),""),"[hh]:mm"))</f>
        <v>#VALUE!</v>
      </c>
      <c r="BB147" s="178" t="str">
        <f>IFERROR(VLOOKUP(T_BilanSocial[[#This Row],[NumL]],T_TraitDi[#Data],COLUMN(T_TraitDi[[#This Row],[Jeudi]]),FALSE),"")</f>
        <v/>
      </c>
      <c r="BC147" s="178" t="e">
        <f>IF(VLOOKUP(T_BilanSocial[[#This Row],[NumL]],T_TraitDi[#Data],COLUMN(T_TraitDi[[#This Row],[Colonne21]]),FALSE)=0,"",TEXT(IFERROR(VLOOKUP(T_BilanSocial[[#This Row],[NumL]],T_TraitDi[#Data],COLUMN(T_TraitDi[[#This Row],[Colonne21]]),FALSE),""),"[hh]:mm"))</f>
        <v>#VALUE!</v>
      </c>
      <c r="BD147" s="178" t="e">
        <f>IF(VLOOKUP(T_BilanSocial[[#This Row],[NumL]],T_TraitDi[#Data],COLUMN(T_TraitDi[[#This Row],[Colonne22]]),FALSE)=0,"",TEXT(IFERROR(VLOOKUP(T_BilanSocial[[#This Row],[NumL]],T_TraitDi[#Data],COLUMN(T_TraitDi[[#This Row],[Colonne22]]),FALSE),""),"[hh]:mm"))</f>
        <v>#VALUE!</v>
      </c>
      <c r="BE147" s="178" t="str">
        <f>IFERROR(VLOOKUP(T_BilanSocial[[#This Row],[NumL]],T_TraitDi[#Data],COLUMN(T_TraitDi[[#This Row],[Colonne23]]),FALSE),"")</f>
        <v/>
      </c>
      <c r="BF147" s="178" t="e">
        <f>IF(VLOOKUP(T_BilanSocial[[#This Row],[NumL]],T_TraitDi[#Data],COLUMN(T_TraitDi[[#This Row],[Colonne24]]),FALSE)=0,"",TEXT(IFERROR(VLOOKUP(T_BilanSocial[[#This Row],[NumL]],T_TraitDi[#Data],COLUMN(T_TraitDi[[#This Row],[Colonne24]]),FALSE),""),"[hh]:mm"))</f>
        <v>#VALUE!</v>
      </c>
      <c r="BG147" s="178" t="e">
        <f>IF(VLOOKUP(T_BilanSocial[[#This Row],[NumL]],T_TraitDi[#Data],COLUMN(T_TraitDi[[#This Row],[Colonne25]]),FALSE)=0,"",TEXT(IFERROR(VLOOKUP(T_BilanSocial[[#This Row],[NumL]],T_TraitDi[#Data],COLUMN(T_TraitDi[[#This Row],[Colonne25]]),FALSE),""),"[hh]:mm"))</f>
        <v>#VALUE!</v>
      </c>
      <c r="BH147" s="178" t="e">
        <f>IF(VLOOKUP(T_BilanSocial[[#This Row],[NumL]],T_TraitDi[#Data],COLUMN(T_TraitDi[[#This Row],[Colonne26]]),FALSE)=0,"",TEXT(IFERROR(VLOOKUP(T_BilanSocial[[#This Row],[NumL]],T_TraitDi[#Data],COLUMN(T_TraitDi[[#This Row],[Colonne26]]),FALSE),""),"[hh]:mm"))</f>
        <v>#VALUE!</v>
      </c>
      <c r="BI147" s="172" t="str">
        <f>IFERROR(VLOOKUP(T_BilanSocial[[#This Row],[NumL]],T_TraitDi[#Data],COLUMN(T_TraitDi[[#This Row],[Vendredi]]),FALSE),"")</f>
        <v/>
      </c>
      <c r="BJ147" s="172" t="e">
        <f>IF(VLOOKUP(T_BilanSocial[[#This Row],[NumL]],T_TraitDi[#Data],COLUMN(T_TraitDi[[#This Row],[Colonne27]]),FALSE)=0,"",TEXT(IFERROR(VLOOKUP(T_BilanSocial[[#This Row],[NumL]],T_TraitDi[#Data],COLUMN(T_TraitDi[[#This Row],[Colonne27]]),FALSE),""),"[hh]:mm"))</f>
        <v>#VALUE!</v>
      </c>
      <c r="BK147" s="172" t="e">
        <f>IF(VLOOKUP(T_BilanSocial[[#This Row],[NumL]],T_TraitDi[#Data],COLUMN(T_TraitDi[[#This Row],[Colonne28]]),FALSE)=0,"",TEXT(IFERROR(VLOOKUP(T_BilanSocial[[#This Row],[NumL]],T_TraitDi[#Data],COLUMN(T_TraitDi[[#This Row],[Colonne28]]),FALSE),""),"[hh]:mm"))</f>
        <v>#VALUE!</v>
      </c>
      <c r="BL147" s="172" t="str">
        <f>IFERROR(VLOOKUP(T_BilanSocial[[#This Row],[NumL]],T_TraitDi[#Data],COLUMN(T_TraitDi[[#This Row],[Colonne29]]),FALSE),"")</f>
        <v/>
      </c>
      <c r="BM147" s="172" t="e">
        <f>IF(VLOOKUP(T_BilanSocial[[#This Row],[NumL]],T_TraitDi[#Data],COLUMN(T_TraitDi[[#This Row],[Colonne30]]),FALSE)=0,"",TEXT(IFERROR(VLOOKUP(T_BilanSocial[[#This Row],[NumL]],T_TraitDi[#Data],COLUMN(T_TraitDi[[#This Row],[Colonne30]]),FALSE),""),"[hh]:mm"))</f>
        <v>#VALUE!</v>
      </c>
      <c r="BN147" s="172" t="e">
        <f>IF(VLOOKUP(T_BilanSocial[[#This Row],[NumL]],T_TraitDi[#Data],COLUMN(T_TraitDi[[#This Row],[Colonne31]]),FALSE)=0,"",TEXT(IFERROR(VLOOKUP(T_BilanSocial[[#This Row],[NumL]],T_TraitDi[#Data],COLUMN(T_TraitDi[[#This Row],[Colonne31]]),FALSE),""),"[hh]:mm"))</f>
        <v>#VALUE!</v>
      </c>
      <c r="BO147" s="172" t="e">
        <f>IF(VLOOKUP(T_BilanSocial[[#This Row],[NumL]],T_TraitDi[#Data],COLUMN(T_TraitDi[[#This Row],[Colonne32]]),FALSE)=0,"",TEXT(IFERROR(VLOOKUP(T_BilanSocial[[#This Row],[NumL]],T_TraitDi[#Data],COLUMN(T_TraitDi[[#This Row],[Colonne32]]),FALSE),""),"[hh]:mm"))</f>
        <v>#VALUE!</v>
      </c>
      <c r="BP147" s="172" t="e">
        <f>VLOOKUP(T_BilanSocial[[#This Row],[NumL]],T_TraitDi[#Data],COLUMN(T_TraitDi[NbJTot]),FALSE)</f>
        <v>#N/A</v>
      </c>
      <c r="BQ147" s="174" t="str">
        <f>IFERROR(VLOOKUP(T_BilanSocial[[#This Row],[NumL]],T_TraitDi[#Data],COLUMN(T_TraitDi[[#This Row],[NbJTW]]),FALSE),"")</f>
        <v/>
      </c>
      <c r="BR147" s="174" t="e">
        <f>IF(VLOOKUP(T_BilanSocial[[#This Row],[NumL]],T_TraitDi[#Data],COLUMN(T_TraitDi[[#This Row],[NbhTW]]),FALSE)=0,"",TEXT(IFERROR(VLOOKUP(T_BilanSocial[[#This Row],[NumL]],T_TraitDi[#Data],COLUMN(T_TraitDi[[#This Row],[NbhTW]]),FALSE),""),"[hh]:mm"))</f>
        <v>#VALUE!</v>
      </c>
      <c r="BS147" s="174" t="e">
        <f>IF(VLOOKUP(T_BilanSocial[[#This Row],[NumL]],T_TraitDi[#Data],COLUMN(T_TraitDi[[#This Row],[Nbhheb]]),FALSE)=0,"",TEXT(IFERROR(VLOOKUP($A147,T_TraitDi[#Data],COLUMN(T_TraitDi[[#This Row],[Nbhheb]]),FALSE),""),"[hh]:mm"))</f>
        <v>#VALUE!</v>
      </c>
      <c r="BT147" s="182" t="str">
        <f>IFERROR(VLOOKUP(VLOOKUP($A147,T_TraitDi[#Data],COLUMN(T_TraitDi[[#This Row],[Type1]]),FALSE),TypeTW,2,FALSE),"")</f>
        <v/>
      </c>
      <c r="BU147" s="182" t="str">
        <f>IFERROR(VLOOKUP($A147,T_TraitDi[#Data],COLUMN(T_TraitDi[[#This Row],[Rue1]]),FALSE),"")</f>
        <v/>
      </c>
      <c r="BV147" s="173" t="str">
        <f>IFERROR(VLOOKUP($A147,T_TraitDi[#Data],COLUMN(T_TraitDi[[#This Row],[CP1]]),FALSE),"")</f>
        <v/>
      </c>
      <c r="BW147" s="173" t="str">
        <f>IFERROR(VLOOKUP($A147,T_TraitDi[#Data],COLUMN(T_TraitDi[[#This Row],[VILLE1]]),FALSE),"")</f>
        <v/>
      </c>
      <c r="BX147" s="182" t="str">
        <f>IFERROR(VLOOKUP(VLOOKUP($A147,T_TraitDi[#Data],COLUMN(T_TraitDi[[#This Row],[Type2]]),FALSE),TypeTW,2,FALSE),"")</f>
        <v/>
      </c>
      <c r="BY147" s="182" t="str">
        <f>IFERROR(VLOOKUP($A147,T_TraitDi[#Data],COLUMN(T_TraitDi[[#This Row],[Rue2]]),FALSE),"")</f>
        <v/>
      </c>
      <c r="BZ147" s="173" t="str">
        <f>IFERROR(VLOOKUP($A147,T_TraitDi[#Data],COLUMN(T_TraitDi[[#This Row],[CP2]]),FALSE),"")</f>
        <v/>
      </c>
      <c r="CA147" s="173" t="str">
        <f>IFERROR(VLOOKUP($A147,T_TraitDi[#Data],COLUMN(T_TraitDi[[#This Row],[VILLE2]]),FALSE),"")</f>
        <v/>
      </c>
      <c r="CB147" s="182" t="str">
        <f>IF(VLOOKUP(T_BilanSocial[[#This Row],[NumL]],T_Equipement[#Data],COLUMN(T_Equipement[[#This Row],[PC]]),FALSE)="","Aucun équipement spécifique directement lié au télétravail",VLOOKUP(T_BilanSocial[[#This Row],[NumL]],T_Equipement[#Data],COLUMN(T_Equipement[[#This Row],[PC]]),FALSE))</f>
        <v>20-404</v>
      </c>
      <c r="CC147" s="166" t="str">
        <f>IFERROR(IF(VLOOKUP(T_BilanSocial[[#This Row],[NumL]],T_TraitDi[#Data],COLUMN(T_TraitDi[[#This Row],[Plan]]),FALSE)="OK","Un planning spécifique de télétravail est annexé à la présente convention.",""),"")</f>
        <v/>
      </c>
      <c r="CD147" s="185"/>
      <c r="CE147" s="164" t="e">
        <f>IF(VLOOKUP(T_BilanSocial[[#This Row],[NumL]],T_suiviDi[#Data],COLUMN(T_suiviDi[[#This Row],[Entité]]),FALSE)="","",VLOOKUP(T_BilanSocial[[#This Row],[NumL]],T_suiviDi[#Data],COLUMN(T_suiviDi[[#This Row],[Entité]]),FALSE))</f>
        <v>#VALUE!</v>
      </c>
      <c r="CF147" s="164" t="str">
        <f>IF(VLOOKUP(T_BilanSocial[[#This Row],[NumL]],T_Commission[#Data],COLUMN(T_Commission[[#This Row],[envoi confirm TW]]),FALSE)="","",VLOOKUP(T_BilanSocial[[#This Row],[NumL]],T_Commission[#Data],COLUMN(T_Commission[[#This Row],[envoi confirm TW]]),FALSE))</f>
        <v>Oui</v>
      </c>
      <c r="CG14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7" s="262" t="str">
        <f>T_BilanSocial[[#This Row],[Nom]]&amp;T_BilanSocial[[#This Row],[Prenom]]</f>
        <v/>
      </c>
      <c r="CI147" s="262">
        <f>VLOOKUP(T_BilanSocial[[#This Row],[NumL]],T_Commission[#Data],COLUMN(T_Commission[Commentaire]),FALSE)</f>
        <v>0</v>
      </c>
      <c r="CJ147" s="262" t="str">
        <f>IF(VLOOKUP(T_BilanSocial[[#This Row],[NumL]],T_Commission[#Data],COLUMN(T_Commission[Encadrant Email]),FALSE)="","",VLOOKUP(T_BilanSocial[[#This Row],[NumL]],T_Commission[#Data],COLUMN(T_Commission[Encadrant Email]),FALSE))</f>
        <v/>
      </c>
      <c r="CK147" s="340" t="str">
        <f>IF(T_BilanSocial[[#This Row],[Final]]&lt;&gt;"",VLOOKUP(T_BilanSocial[[#This Row],[NumL]],T_suiviDi[#Data],COLUMN((T_suiviDi[Statut])),FALSE),"")</f>
        <v/>
      </c>
    </row>
    <row r="148" spans="1:89" s="106" customFormat="1" ht="24.75" customHeight="1" x14ac:dyDescent="0.25">
      <c r="A148" s="160">
        <v>145</v>
      </c>
      <c r="B148" s="161" t="str">
        <f t="shared" si="22"/>
        <v/>
      </c>
      <c r="C148" s="162" t="s">
        <v>139</v>
      </c>
      <c r="D148" s="95" t="e">
        <f>IF(VLOOKUP(T_BilanSocial[[#This Row],[NumL]],T_TraitDi[#Data],COLUMN(T_TraitDi[[#This Row],[WebC]]),FALSE)="","",VLOOKUP(T_BilanSocial[[#This Row],[NumL]],T_TraitDi[#Data],COLUMN(T_TraitDi[[#This Row],[WebC]]),FALSE))</f>
        <v>#VALUE!</v>
      </c>
      <c r="E148" s="163" t="str">
        <f t="shared" si="23"/>
        <v>12 janvier 2021</v>
      </c>
      <c r="F148" s="96" t="str">
        <f>IF(T_BilanSocial[[#This Row],[Final]]&lt;&gt;"",VLOOKUP(T_BilanSocial[[#This Row],[NumL]],T_suiviDi[#Data],COLUMN((T_suiviDi[Civ.])),FALSE),"")</f>
        <v/>
      </c>
      <c r="G148" s="96" t="str">
        <f>IF(T_BilanSocial[[#This Row],[Final]]&lt;&gt;"",VLOOKUP(T_BilanSocial[[#This Row],[NumL]],T_suiviDi[#Data],COLUMN((T_suiviDi[Nom])),FALSE),"")</f>
        <v/>
      </c>
      <c r="H148" s="96" t="str">
        <f>IF(T_BilanSocial[[#This Row],[Final]]&lt;&gt;"",VLOOKUP(T_BilanSocial[[#This Row],[NumL]],T_suiviDi[#Data],COLUMN((T_suiviDi[Prénom])),FALSE),"")</f>
        <v/>
      </c>
      <c r="I148" s="96" t="str">
        <f>IFERROR(VLOOKUP(T_BilanSocial[[#This Row],[Zone_Bilan]],T_P_BilanSocial[#Data],COLUMN(T_P_BilanSocial[[#This Row],[Numero_SIHAM]]),FALSE),"")</f>
        <v/>
      </c>
      <c r="J148" s="96" t="str">
        <f>IFERROR(VLOOKUP(T_BilanSocial[[#This Row],[Zone_Bilan]],T_P_BilanSocial[#Data],COLUMN(T_P_BilanSocial[[#This Row],[Sexe]]),FALSE),"")</f>
        <v/>
      </c>
      <c r="K148" s="97" t="str">
        <f>IFERROR(VLOOKUP(T_BilanSocial[[#This Row],[Zone_Bilan]],T_P_BilanSocial[#Data],COLUMN(T_P_BilanSocial[[#This Row],[Categorie]]),FALSE),"")</f>
        <v/>
      </c>
      <c r="L148" s="96" t="str">
        <f>IFERROR(VLOOKUP(T_BilanSocial[[#This Row],[Zone_Bilan]],T_P_BilanSocial[#Data],COLUMN(T_P_BilanSocial[[#This Row],[Statut]]),FALSE),"")</f>
        <v/>
      </c>
      <c r="M148" s="96" t="str">
        <f>IFERROR(VLOOKUP(T_BilanSocial[[#This Row],[Zone_Bilan]],T_P_BilanSocial[#Data],COLUMN(T_P_BilanSocial[[#This Row],[Filiere]]),FALSE),"")</f>
        <v/>
      </c>
      <c r="N148" s="96" t="e">
        <f>VLOOKUP(T_BilanSocial[[#This Row],[NumL]],T_TraitDi[#Data],COLUMN(T_TraitDi[EXP]),FALSE)</f>
        <v>#N/A</v>
      </c>
      <c r="O148" s="96" t="e">
        <f>VLOOKUP(T_BilanSocial[[#This Row],[NumL]],T_TraitDi[#Data],COLUMN(T_TraitDi[FORM]),FALSE)</f>
        <v>#N/A</v>
      </c>
      <c r="P148" s="96" t="str">
        <f>IF(T_BilanSocial[[#This Row],[Final]]&lt;&gt;"",VLOOKUP(T_BilanSocial[[#This Row],[NumL]],T_suiviDi[#Data],COLUMN((T_suiviDi[Email])),FALSE),"")</f>
        <v/>
      </c>
      <c r="Q148" s="164" t="e">
        <f t="shared" si="28"/>
        <v>#N/A</v>
      </c>
      <c r="R148" s="164" t="e">
        <f t="shared" si="29"/>
        <v>#N/A</v>
      </c>
      <c r="S148" s="164" t="e">
        <f>IF(VLOOKUP(T_BilanSocial[[#This Row],[NumL]],T_suiviDi[#Data],COLUMN(T_suiviDi[[#This Row],[Service ]]),FALSE)="","",VLOOKUP(T_BilanSocial[[#This Row],[NumL]],T_suiviDi[#Data],COLUMN(T_suiviDi[[#This Row],[Service ]]),FALSE))</f>
        <v>#VALUE!</v>
      </c>
      <c r="T148" s="164" t="str">
        <f t="shared" si="24"/>
        <v>01 septembre 2021</v>
      </c>
      <c r="U148" s="164" t="str">
        <f t="shared" si="25"/>
        <v>30 novembre 2021</v>
      </c>
      <c r="V148" s="192">
        <f>Datebilan</f>
        <v>44530</v>
      </c>
      <c r="W148" s="176" t="e">
        <f>IF(VLOOKUP(T_BilanSocial[[#This Row],[NumL]],T_TraitDi[#Data],COLUMN(T_TraitDi[[#This Row],[M1]]),FALSE)="","",VLOOKUP(T_BilanSocial[[#This Row],[NumL]],T_TraitDi[#Data],COLUMN(T_TraitDi[[#This Row],[M1]]),FALSE))</f>
        <v>#VALUE!</v>
      </c>
      <c r="X148" s="176" t="e">
        <f>IF(VLOOKUP(T_BilanSocial[[#This Row],[NumL]],T_TraitDi[#Data],COLUMN(T_TraitDi[[#This Row],[M2]]),FALSE)="","",VLOOKUP(T_BilanSocial[[#This Row],[NumL]],T_TraitDi[#Data],COLUMN(T_TraitDi[[#This Row],[M2]]),FALSE))</f>
        <v>#VALUE!</v>
      </c>
      <c r="Y148" s="176" t="e">
        <f>IF(VLOOKUP(T_BilanSocial[[#This Row],[NumL]],T_TraitDi[#Data],COLUMN(T_TraitDi[[#This Row],[M3]]),FALSE)="","",VLOOKUP(T_BilanSocial[[#This Row],[NumL]],T_TraitDi[#Data],COLUMN(T_TraitDi[[#This Row],[M3]]),FALSE))</f>
        <v>#VALUE!</v>
      </c>
      <c r="Z148" s="176" t="str">
        <f t="shared" si="27"/>
        <v/>
      </c>
      <c r="AA148" s="176" t="e">
        <f>IF(VLOOKUP(T_BilanSocial[[#This Row],[NumL]],T_TraitDi[#Data],COLUMN(T_TraitDi[[#This Row],[M5]]),FALSE)="","",VLOOKUP(T_BilanSocial[[#This Row],[NumL]],T_TraitDi[#Data],COLUMN(T_TraitDi[[#This Row],[M5]]),FALSE))</f>
        <v>#VALUE!</v>
      </c>
      <c r="AB148" s="176" t="e">
        <f>IF(VLOOKUP(T_BilanSocial[[#This Row],[NumL]],T_TraitDi[#Data],COLUMN(T_TraitDi[[#This Row],[M6]]),FALSE)="","",VLOOKUP(T_BilanSocial[[#This Row],[NumL]],T_TraitDi[#Data],COLUMN(T_TraitDi[[#This Row],[M6]]),FALSE))</f>
        <v>#VALUE!</v>
      </c>
      <c r="AC148" s="165" t="e">
        <f t="shared" si="26"/>
        <v>#VALUE!</v>
      </c>
      <c r="AD148" s="188" t="str">
        <f>IFERROR(TEXT(VLOOKUP(T_BilanSocial[[#This Row],[NumL]],T_TraitDi[#Data],COLUMN(T_TraitDi[[#This Row],[Q2]]),FALSE),"###%"),"")</f>
        <v/>
      </c>
      <c r="AE148" s="97" t="e">
        <f>VLOOKUP(T_BilanSocial[[#This Row],[NumL]],T_TraitDi[#Data],COLUMN(T_TraitDi[[#This Row],[Reg Ponct]]),FALSE)</f>
        <v>#VALUE!</v>
      </c>
      <c r="AF148" s="97" t="e">
        <f>VLOOKUP(T_BilanSocial[NumL],T_TraitDi[#Data],COLUMN(T_TraitDi[[#This Row],[Jours flottants]]),FALSE)</f>
        <v>#VALUE!</v>
      </c>
      <c r="AG148" s="97" t="str">
        <f>IFERROR(VLOOKUP(T_BilanSocial[[#This Row],[NumL]],T_TraitDi[#Data],COLUMN(T_TraitDi[[#This Row],[Lundi]]),FALSE),"")</f>
        <v/>
      </c>
      <c r="AH148" s="172" t="e">
        <f>IF(VLOOKUP(T_BilanSocial[[#This Row],[NumL]],T_TraitDi[#Data],COLUMN(T_TraitDi[[#This Row],[Colonne3]]),FALSE)=0,"",TEXT(IFERROR(VLOOKUP(T_BilanSocial[[#This Row],[NumL]],T_TraitDi[#Data],COLUMN(T_TraitDi[[#This Row],[Colonne3]]),FALSE),""),"[hh]:mm"))</f>
        <v>#VALUE!</v>
      </c>
      <c r="AI148" s="172" t="e">
        <f>IF(VLOOKUP(T_BilanSocial[[#This Row],[NumL]],T_TraitDi[#Data],COLUMN(T_TraitDi[[#This Row],[Colonne4]]),FALSE)=0,"",TEXT(IFERROR(VLOOKUP(T_BilanSocial[[#This Row],[NumL]],T_TraitDi[#Data],COLUMN(T_TraitDi[[#This Row],[Colonne4]]),FALSE),""),"[hh]:mm"))</f>
        <v>#VALUE!</v>
      </c>
      <c r="AJ148" s="172" t="e">
        <f>IF(VLOOKUP(T_BilanSocial[[#This Row],[NumL]],T_TraitDi[#Data],COLUMN(T_TraitDi[[#This Row],[Colonne5]]),FALSE)=0,"",TEXT(IFERROR(VLOOKUP(T_BilanSocial[[#This Row],[NumL]],T_TraitDi[#Data],COLUMN(T_TraitDi[[#This Row],[Colonne5]]),FALSE),""),"[hh]:mm"))</f>
        <v>#VALUE!</v>
      </c>
      <c r="AK148" s="172" t="e">
        <f>IF(VLOOKUP(T_BilanSocial[[#This Row],[NumL]],T_TraitDi[#Data],COLUMN(T_TraitDi[[#This Row],[Colonne6]]),FALSE)=0,"",TEXT(IFERROR(VLOOKUP(T_BilanSocial[[#This Row],[NumL]],T_TraitDi[#Data],COLUMN(T_TraitDi[[#This Row],[Colonne6]]),FALSE),""),"[hh]:mm"))</f>
        <v>#VALUE!</v>
      </c>
      <c r="AL148" s="172" t="e">
        <f>IF(VLOOKUP(T_BilanSocial[[#This Row],[NumL]],T_TraitDi[#Data],COLUMN(T_TraitDi[[#This Row],[Colonne7]]),FALSE)=0,"",TEXT(IFERROR(VLOOKUP(T_BilanSocial[[#This Row],[NumL]],T_TraitDi[#Data],COLUMN(T_TraitDi[[#This Row],[Colonne7]]),FALSE),""),"[hh]:mm"))</f>
        <v>#VALUE!</v>
      </c>
      <c r="AM148" s="172" t="e">
        <f>IF(VLOOKUP(T_BilanSocial[[#This Row],[NumL]],T_TraitDi[#Data],COLUMN(T_TraitDi[[#This Row],[Colonne8]]),FALSE)=0,"",TEXT(IFERROR(VLOOKUP(T_BilanSocial[[#This Row],[NumL]],T_TraitDi[#Data],COLUMN(T_TraitDi[[#This Row],[Colonne8]]),FALSE),""),"[hh]:mm"))</f>
        <v>#VALUE!</v>
      </c>
      <c r="AN148" s="172" t="str">
        <f>IFERROR(VLOOKUP(T_BilanSocial[[#This Row],[NumL]],T_TraitDi[#Data],COLUMN(T_TraitDi[[#This Row],[Mardi]]),FALSE),"")</f>
        <v/>
      </c>
      <c r="AO148" s="172" t="e">
        <f>IF(VLOOKUP(T_BilanSocial[[#This Row],[NumL]],T_TraitDi[#Data],COLUMN(T_TraitDi[[#This Row],[Colonne1]]),FALSE)=0,"",TEXT(IFERROR(VLOOKUP(T_BilanSocial[[#This Row],[NumL]],T_TraitDi[#Data],COLUMN(T_TraitDi[[#This Row],[Colonne1]]),FALSE),""),"[hh]:mm"))</f>
        <v>#VALUE!</v>
      </c>
      <c r="AP148" s="172" t="e">
        <f>IF(VLOOKUP(T_BilanSocial[[#This Row],[NumL]],T_TraitDi[#Data],COLUMN(T_TraitDi[[#This Row],[Colonne9]]),FALSE)=0,"",TEXT(IFERROR(VLOOKUP(T_BilanSocial[[#This Row],[NumL]],T_TraitDi[#Data],COLUMN(T_TraitDi[[#This Row],[Colonne9]]),FALSE),""),"[hh]:mm"))</f>
        <v>#VALUE!</v>
      </c>
      <c r="AQ148" s="172" t="str">
        <f>IFERROR(VLOOKUP(T_BilanSocial[[#This Row],[NumL]],T_TraitDi[#Data],COLUMN(T_TraitDi[[#This Row],[Colonne10]]),FALSE),"")</f>
        <v/>
      </c>
      <c r="AR148" s="172" t="e">
        <f>IF(VLOOKUP(T_BilanSocial[[#This Row],[NumL]],T_TraitDi[#Data],COLUMN(T_TraitDi[[#This Row],[Colonne11]]),FALSE)=0,"",TEXT(IFERROR(VLOOKUP(T_BilanSocial[[#This Row],[NumL]],T_TraitDi[#Data],COLUMN(T_TraitDi[[#This Row],[Colonne11]]),FALSE),""),"[hh]:mm"))</f>
        <v>#VALUE!</v>
      </c>
      <c r="AS148" s="172" t="e">
        <f>IF(VLOOKUP(T_BilanSocial[[#This Row],[NumL]],T_TraitDi[#Data],COLUMN(T_TraitDi[[#This Row],[Colonne12]]),FALSE)=0,"",TEXT(IFERROR(VLOOKUP(T_BilanSocial[[#This Row],[NumL]],T_TraitDi[#Data],COLUMN(T_TraitDi[[#This Row],[Colonne12]]),FALSE),""),"[hh]:mm"))</f>
        <v>#VALUE!</v>
      </c>
      <c r="AT148" s="172" t="e">
        <f>IF(VLOOKUP(T_BilanSocial[[#This Row],[NumL]],T_TraitDi[#Data],COLUMN(T_TraitDi[[#This Row],[Colonne14]]),FALSE)=0,"",TEXT(IFERROR(VLOOKUP(T_BilanSocial[[#This Row],[NumL]],T_TraitDi[#Data],COLUMN(T_TraitDi[[#This Row],[Colonne14]]),FALSE),""),"[hh]:mm"))</f>
        <v>#VALUE!</v>
      </c>
      <c r="AU148" s="172" t="str">
        <f>IFERROR(VLOOKUP(T_BilanSocial[[#This Row],[NumL]],T_TraitDi[#Data],COLUMN(T_TraitDi[[#This Row],[Mercredi]]),FALSE),"")</f>
        <v/>
      </c>
      <c r="AV148" s="172" t="e">
        <f>IF(VLOOKUP(T_BilanSocial[[#This Row],[NumL]],T_TraitDi[#Data],COLUMN(T_TraitDi[[#This Row],[Colonne15]]),FALSE)=0,"",TEXT(IFERROR(VLOOKUP(T_BilanSocial[[#This Row],[NumL]],T_TraitDi[#Data],COLUMN(T_TraitDi[[#This Row],[Colonne15]]),FALSE),""),"[hh]:mm"))</f>
        <v>#VALUE!</v>
      </c>
      <c r="AW148" s="172" t="e">
        <f>IF(VLOOKUP(T_BilanSocial[[#This Row],[NumL]],T_TraitDi[#Data],COLUMN(T_TraitDi[[#This Row],[Colonne16]]),FALSE)=0,"",TEXT(IFERROR(VLOOKUP(T_BilanSocial[[#This Row],[NumL]],T_TraitDi[#Data],COLUMN(T_TraitDi[[#This Row],[Colonne16]]),FALSE),""),"[hh]:mm"))</f>
        <v>#VALUE!</v>
      </c>
      <c r="AX148" s="172" t="str">
        <f>IFERROR(VLOOKUP(T_BilanSocial[[#This Row],[NumL]],T_TraitDi[#Data],COLUMN(T_TraitDi[[#This Row],[Colonne17]]),FALSE),"")</f>
        <v/>
      </c>
      <c r="AY148" s="172" t="e">
        <f>IF(VLOOKUP(T_BilanSocial[[#This Row],[NumL]],T_TraitDi[#Data],COLUMN(T_TraitDi[[#This Row],[Colonne18]]),FALSE)=0,"",TEXT(IFERROR(VLOOKUP(T_BilanSocial[[#This Row],[NumL]],T_TraitDi[#Data],COLUMN(T_TraitDi[[#This Row],[Colonne18]]),FALSE),""),"[hh]:mm"))</f>
        <v>#VALUE!</v>
      </c>
      <c r="AZ148" s="172" t="e">
        <f>IF(VLOOKUP(T_BilanSocial[[#This Row],[NumL]],T_TraitDi[#Data],COLUMN(T_TraitDi[[#This Row],[Colonne19]]),FALSE)=0,"",TEXT(IFERROR(VLOOKUP(T_BilanSocial[[#This Row],[NumL]],T_TraitDi[#Data],COLUMN(T_TraitDi[[#This Row],[Colonne19]]),FALSE),""),"[hh]:mm"))</f>
        <v>#VALUE!</v>
      </c>
      <c r="BA148" s="172" t="e">
        <f>IF(VLOOKUP(T_BilanSocial[[#This Row],[NumL]],T_TraitDi[#Data],COLUMN(T_TraitDi[[#This Row],[Colonne20]]),FALSE)=0,"",TEXT(IFERROR(VLOOKUP(T_BilanSocial[[#This Row],[NumL]],T_TraitDi[#Data],COLUMN(T_TraitDi[[#This Row],[Colonne20]]),FALSE),""),"[hh]:mm"))</f>
        <v>#VALUE!</v>
      </c>
      <c r="BB148" s="178" t="str">
        <f>IFERROR(VLOOKUP(T_BilanSocial[[#This Row],[NumL]],T_TraitDi[#Data],COLUMN(T_TraitDi[[#This Row],[Jeudi]]),FALSE),"")</f>
        <v/>
      </c>
      <c r="BC148" s="178" t="e">
        <f>IF(VLOOKUP(T_BilanSocial[[#This Row],[NumL]],T_TraitDi[#Data],COLUMN(T_TraitDi[[#This Row],[Colonne21]]),FALSE)=0,"",TEXT(IFERROR(VLOOKUP(T_BilanSocial[[#This Row],[NumL]],T_TraitDi[#Data],COLUMN(T_TraitDi[[#This Row],[Colonne21]]),FALSE),""),"[hh]:mm"))</f>
        <v>#VALUE!</v>
      </c>
      <c r="BD148" s="178" t="e">
        <f>IF(VLOOKUP(T_BilanSocial[[#This Row],[NumL]],T_TraitDi[#Data],COLUMN(T_TraitDi[[#This Row],[Colonne22]]),FALSE)=0,"",TEXT(IFERROR(VLOOKUP(T_BilanSocial[[#This Row],[NumL]],T_TraitDi[#Data],COLUMN(T_TraitDi[[#This Row],[Colonne22]]),FALSE),""),"[hh]:mm"))</f>
        <v>#VALUE!</v>
      </c>
      <c r="BE148" s="178" t="str">
        <f>IFERROR(VLOOKUP(T_BilanSocial[[#This Row],[NumL]],T_TraitDi[#Data],COLUMN(T_TraitDi[[#This Row],[Colonne23]]),FALSE),"")</f>
        <v/>
      </c>
      <c r="BF148" s="178" t="e">
        <f>IF(VLOOKUP(T_BilanSocial[[#This Row],[NumL]],T_TraitDi[#Data],COLUMN(T_TraitDi[[#This Row],[Colonne24]]),FALSE)=0,"",TEXT(IFERROR(VLOOKUP(T_BilanSocial[[#This Row],[NumL]],T_TraitDi[#Data],COLUMN(T_TraitDi[[#This Row],[Colonne24]]),FALSE),""),"[hh]:mm"))</f>
        <v>#VALUE!</v>
      </c>
      <c r="BG148" s="178" t="e">
        <f>IF(VLOOKUP(T_BilanSocial[[#This Row],[NumL]],T_TraitDi[#Data],COLUMN(T_TraitDi[[#This Row],[Colonne25]]),FALSE)=0,"",TEXT(IFERROR(VLOOKUP(T_BilanSocial[[#This Row],[NumL]],T_TraitDi[#Data],COLUMN(T_TraitDi[[#This Row],[Colonne25]]),FALSE),""),"[hh]:mm"))</f>
        <v>#VALUE!</v>
      </c>
      <c r="BH148" s="178" t="e">
        <f>IF(VLOOKUP(T_BilanSocial[[#This Row],[NumL]],T_TraitDi[#Data],COLUMN(T_TraitDi[[#This Row],[Colonne26]]),FALSE)=0,"",TEXT(IFERROR(VLOOKUP(T_BilanSocial[[#This Row],[NumL]],T_TraitDi[#Data],COLUMN(T_TraitDi[[#This Row],[Colonne26]]),FALSE),""),"[hh]:mm"))</f>
        <v>#VALUE!</v>
      </c>
      <c r="BI148" s="172" t="str">
        <f>IFERROR(VLOOKUP(T_BilanSocial[[#This Row],[NumL]],T_TraitDi[#Data],COLUMN(T_TraitDi[[#This Row],[Vendredi]]),FALSE),"")</f>
        <v/>
      </c>
      <c r="BJ148" s="172" t="e">
        <f>IF(VLOOKUP(T_BilanSocial[[#This Row],[NumL]],T_TraitDi[#Data],COLUMN(T_TraitDi[[#This Row],[Colonne27]]),FALSE)=0,"",TEXT(IFERROR(VLOOKUP(T_BilanSocial[[#This Row],[NumL]],T_TraitDi[#Data],COLUMN(T_TraitDi[[#This Row],[Colonne27]]),FALSE),""),"[hh]:mm"))</f>
        <v>#VALUE!</v>
      </c>
      <c r="BK148" s="172" t="e">
        <f>IF(VLOOKUP(T_BilanSocial[[#This Row],[NumL]],T_TraitDi[#Data],COLUMN(T_TraitDi[[#This Row],[Colonne28]]),FALSE)=0,"",TEXT(IFERROR(VLOOKUP(T_BilanSocial[[#This Row],[NumL]],T_TraitDi[#Data],COLUMN(T_TraitDi[[#This Row],[Colonne28]]),FALSE),""),"[hh]:mm"))</f>
        <v>#VALUE!</v>
      </c>
      <c r="BL148" s="172" t="str">
        <f>IFERROR(VLOOKUP(T_BilanSocial[[#This Row],[NumL]],T_TraitDi[#Data],COLUMN(T_TraitDi[[#This Row],[Colonne29]]),FALSE),"")</f>
        <v/>
      </c>
      <c r="BM148" s="172" t="e">
        <f>IF(VLOOKUP(T_BilanSocial[[#This Row],[NumL]],T_TraitDi[#Data],COLUMN(T_TraitDi[[#This Row],[Colonne30]]),FALSE)=0,"",TEXT(IFERROR(VLOOKUP(T_BilanSocial[[#This Row],[NumL]],T_TraitDi[#Data],COLUMN(T_TraitDi[[#This Row],[Colonne30]]),FALSE),""),"[hh]:mm"))</f>
        <v>#VALUE!</v>
      </c>
      <c r="BN148" s="172" t="e">
        <f>IF(VLOOKUP(T_BilanSocial[[#This Row],[NumL]],T_TraitDi[#Data],COLUMN(T_TraitDi[[#This Row],[Colonne31]]),FALSE)=0,"",TEXT(IFERROR(VLOOKUP(T_BilanSocial[[#This Row],[NumL]],T_TraitDi[#Data],COLUMN(T_TraitDi[[#This Row],[Colonne31]]),FALSE),""),"[hh]:mm"))</f>
        <v>#VALUE!</v>
      </c>
      <c r="BO148" s="172" t="e">
        <f>IF(VLOOKUP(T_BilanSocial[[#This Row],[NumL]],T_TraitDi[#Data],COLUMN(T_TraitDi[[#This Row],[Colonne32]]),FALSE)=0,"",TEXT(IFERROR(VLOOKUP(T_BilanSocial[[#This Row],[NumL]],T_TraitDi[#Data],COLUMN(T_TraitDi[[#This Row],[Colonne32]]),FALSE),""),"[hh]:mm"))</f>
        <v>#VALUE!</v>
      </c>
      <c r="BP148" s="172" t="e">
        <f>VLOOKUP(T_BilanSocial[[#This Row],[NumL]],T_TraitDi[#Data],COLUMN(T_TraitDi[NbJTot]),FALSE)</f>
        <v>#N/A</v>
      </c>
      <c r="BQ148" s="174" t="str">
        <f>IFERROR(VLOOKUP(T_BilanSocial[[#This Row],[NumL]],T_TraitDi[#Data],COLUMN(T_TraitDi[[#This Row],[NbJTW]]),FALSE),"")</f>
        <v/>
      </c>
      <c r="BR148" s="174" t="e">
        <f>IF(VLOOKUP(T_BilanSocial[[#This Row],[NumL]],T_TraitDi[#Data],COLUMN(T_TraitDi[[#This Row],[NbhTW]]),FALSE)=0,"",TEXT(IFERROR(VLOOKUP(T_BilanSocial[[#This Row],[NumL]],T_TraitDi[#Data],COLUMN(T_TraitDi[[#This Row],[NbhTW]]),FALSE),""),"[hh]:mm"))</f>
        <v>#VALUE!</v>
      </c>
      <c r="BS148" s="174" t="e">
        <f>IF(VLOOKUP(T_BilanSocial[[#This Row],[NumL]],T_TraitDi[#Data],COLUMN(T_TraitDi[[#This Row],[Nbhheb]]),FALSE)=0,"",TEXT(IFERROR(VLOOKUP($A148,T_TraitDi[#Data],COLUMN(T_TraitDi[[#This Row],[Nbhheb]]),FALSE),""),"[hh]:mm"))</f>
        <v>#VALUE!</v>
      </c>
      <c r="BT148" s="182" t="str">
        <f>IFERROR(VLOOKUP(VLOOKUP($A148,T_TraitDi[#Data],COLUMN(T_TraitDi[[#This Row],[Type1]]),FALSE),TypeTW,2,FALSE),"")</f>
        <v/>
      </c>
      <c r="BU148" s="182" t="str">
        <f>IFERROR(VLOOKUP($A148,T_TraitDi[#Data],COLUMN(T_TraitDi[[#This Row],[Rue1]]),FALSE),"")</f>
        <v/>
      </c>
      <c r="BV148" s="173" t="str">
        <f>IFERROR(VLOOKUP($A148,T_TraitDi[#Data],COLUMN(T_TraitDi[[#This Row],[CP1]]),FALSE),"")</f>
        <v/>
      </c>
      <c r="BW148" s="173" t="str">
        <f>IFERROR(VLOOKUP($A148,T_TraitDi[#Data],COLUMN(T_TraitDi[[#This Row],[VILLE1]]),FALSE),"")</f>
        <v/>
      </c>
      <c r="BX148" s="182" t="str">
        <f>IFERROR(VLOOKUP(VLOOKUP($A148,T_TraitDi[#Data],COLUMN(T_TraitDi[[#This Row],[Type2]]),FALSE),TypeTW,2,FALSE),"")</f>
        <v/>
      </c>
      <c r="BY148" s="182" t="str">
        <f>IFERROR(VLOOKUP($A148,T_TraitDi[#Data],COLUMN(T_TraitDi[[#This Row],[Rue2]]),FALSE),"")</f>
        <v/>
      </c>
      <c r="BZ148" s="173" t="str">
        <f>IFERROR(VLOOKUP($A148,T_TraitDi[#Data],COLUMN(T_TraitDi[[#This Row],[CP2]]),FALSE),"")</f>
        <v/>
      </c>
      <c r="CA148" s="173" t="str">
        <f>IFERROR(VLOOKUP($A148,T_TraitDi[#Data],COLUMN(T_TraitDi[[#This Row],[VILLE2]]),FALSE),"")</f>
        <v/>
      </c>
      <c r="CB148" s="182" t="str">
        <f>IF(VLOOKUP(T_BilanSocial[[#This Row],[NumL]],T_Equipement[#Data],COLUMN(T_Equipement[[#This Row],[PC]]),FALSE)="","Aucun équipement spécifique directement lié au télétravail",VLOOKUP(T_BilanSocial[[#This Row],[NumL]],T_Equipement[#Data],COLUMN(T_Equipement[[#This Row],[PC]]),FALSE))</f>
        <v xml:space="preserve">13-324	</v>
      </c>
      <c r="CC148" s="166" t="str">
        <f>IFERROR(IF(VLOOKUP(T_BilanSocial[[#This Row],[NumL]],T_TraitDi[#Data],COLUMN(T_TraitDi[[#This Row],[Plan]]),FALSE)="OK","Un planning spécifique de télétravail est annexé à la présente convention.",""),"")</f>
        <v/>
      </c>
      <c r="CD148" s="185"/>
      <c r="CE148" s="164" t="e">
        <f>IF(VLOOKUP(T_BilanSocial[[#This Row],[NumL]],T_suiviDi[#Data],COLUMN(T_suiviDi[[#This Row],[Entité]]),FALSE)="","",VLOOKUP(T_BilanSocial[[#This Row],[NumL]],T_suiviDi[#Data],COLUMN(T_suiviDi[[#This Row],[Entité]]),FALSE))</f>
        <v>#VALUE!</v>
      </c>
      <c r="CF148" s="164" t="str">
        <f>IF(VLOOKUP(T_BilanSocial[[#This Row],[NumL]],T_Commission[#Data],COLUMN(T_Commission[[#This Row],[envoi confirm TW]]),FALSE)="","",VLOOKUP(T_BilanSocial[[#This Row],[NumL]],T_Commission[#Data],COLUMN(T_Commission[[#This Row],[envoi confirm TW]]),FALSE))</f>
        <v>Oui</v>
      </c>
      <c r="CG14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8" s="262" t="str">
        <f>T_BilanSocial[[#This Row],[Nom]]&amp;T_BilanSocial[[#This Row],[Prenom]]</f>
        <v/>
      </c>
      <c r="CI148" s="262">
        <f>VLOOKUP(T_BilanSocial[[#This Row],[NumL]],T_Commission[#Data],COLUMN(T_Commission[Commentaire]),FALSE)</f>
        <v>0</v>
      </c>
      <c r="CJ148" s="262" t="str">
        <f>IF(VLOOKUP(T_BilanSocial[[#This Row],[NumL]],T_Commission[#Data],COLUMN(T_Commission[Encadrant Email]),FALSE)="","",VLOOKUP(T_BilanSocial[[#This Row],[NumL]],T_Commission[#Data],COLUMN(T_Commission[Encadrant Email]),FALSE))</f>
        <v/>
      </c>
      <c r="CK148" s="340" t="str">
        <f>IF(T_BilanSocial[[#This Row],[Final]]&lt;&gt;"",VLOOKUP(T_BilanSocial[[#This Row],[NumL]],T_suiviDi[#Data],COLUMN((T_suiviDi[Statut])),FALSE),"")</f>
        <v/>
      </c>
    </row>
    <row r="149" spans="1:89" s="106" customFormat="1" ht="24.75" customHeight="1" x14ac:dyDescent="0.25">
      <c r="A149" s="160">
        <v>146</v>
      </c>
      <c r="B149" s="161" t="e">
        <f t="shared" si="22"/>
        <v>#N/A</v>
      </c>
      <c r="C149" s="162" t="s">
        <v>173</v>
      </c>
      <c r="D149" s="95" t="e">
        <f>IF(VLOOKUP(T_BilanSocial[[#This Row],[NumL]],T_TraitDi[#Data],COLUMN(T_TraitDi[[#This Row],[WebC]]),FALSE)="","",VLOOKUP(T_BilanSocial[[#This Row],[NumL]],T_TraitDi[#Data],COLUMN(T_TraitDi[[#This Row],[WebC]]),FALSE))</f>
        <v>#VALUE!</v>
      </c>
      <c r="E149" s="163" t="str">
        <f t="shared" si="23"/>
        <v>12 janvier 2021</v>
      </c>
      <c r="F149" s="96" t="e">
        <f>IF(T_BilanSocial[[#This Row],[Final]]&lt;&gt;"",VLOOKUP(T_BilanSocial[[#This Row],[NumL]],T_suiviDi[#Data],COLUMN((T_suiviDi[Civ.])),FALSE),"")</f>
        <v>#N/A</v>
      </c>
      <c r="G149" s="96" t="e">
        <f>IF(T_BilanSocial[[#This Row],[Final]]&lt;&gt;"",VLOOKUP(T_BilanSocial[[#This Row],[NumL]],T_suiviDi[#Data],COLUMN((T_suiviDi[Nom])),FALSE),"")</f>
        <v>#N/A</v>
      </c>
      <c r="H149" s="96" t="e">
        <f>IF(T_BilanSocial[[#This Row],[Final]]&lt;&gt;"",VLOOKUP(T_BilanSocial[[#This Row],[NumL]],T_suiviDi[#Data],COLUMN((T_suiviDi[Prénom])),FALSE),"")</f>
        <v>#N/A</v>
      </c>
      <c r="I149" s="96" t="str">
        <f>IFERROR(VLOOKUP(T_BilanSocial[[#This Row],[Zone_Bilan]],T_P_BilanSocial[#Data],COLUMN(T_P_BilanSocial[[#This Row],[Numero_SIHAM]]),FALSE),"")</f>
        <v/>
      </c>
      <c r="J149" s="96" t="str">
        <f>IFERROR(VLOOKUP(T_BilanSocial[[#This Row],[Zone_Bilan]],T_P_BilanSocial[#Data],COLUMN(T_P_BilanSocial[[#This Row],[Sexe]]),FALSE),"")</f>
        <v/>
      </c>
      <c r="K149" s="97" t="str">
        <f>IFERROR(VLOOKUP(T_BilanSocial[[#This Row],[Zone_Bilan]],T_P_BilanSocial[#Data],COLUMN(T_P_BilanSocial[[#This Row],[Categorie]]),FALSE),"")</f>
        <v/>
      </c>
      <c r="L149" s="96" t="str">
        <f>IFERROR(VLOOKUP(T_BilanSocial[[#This Row],[Zone_Bilan]],T_P_BilanSocial[#Data],COLUMN(T_P_BilanSocial[[#This Row],[Statut]]),FALSE),"")</f>
        <v/>
      </c>
      <c r="M149" s="96" t="str">
        <f>IFERROR(VLOOKUP(T_BilanSocial[[#This Row],[Zone_Bilan]],T_P_BilanSocial[#Data],COLUMN(T_P_BilanSocial[[#This Row],[Filiere]]),FALSE),"")</f>
        <v/>
      </c>
      <c r="N149" s="96" t="e">
        <f>VLOOKUP(T_BilanSocial[[#This Row],[NumL]],T_TraitDi[#Data],COLUMN(T_TraitDi[EXP]),FALSE)</f>
        <v>#N/A</v>
      </c>
      <c r="O149" s="96" t="e">
        <f>VLOOKUP(T_BilanSocial[[#This Row],[NumL]],T_TraitDi[#Data],COLUMN(T_TraitDi[FORM]),FALSE)</f>
        <v>#N/A</v>
      </c>
      <c r="P149" s="96" t="e">
        <f>IF(T_BilanSocial[[#This Row],[Final]]&lt;&gt;"",VLOOKUP(T_BilanSocial[[#This Row],[NumL]],T_suiviDi[#Data],COLUMN((T_suiviDi[Email])),FALSE),"")</f>
        <v>#N/A</v>
      </c>
      <c r="Q149" s="164" t="e">
        <f t="shared" si="28"/>
        <v>#N/A</v>
      </c>
      <c r="R149" s="164" t="e">
        <f t="shared" si="29"/>
        <v>#N/A</v>
      </c>
      <c r="S149" s="164" t="e">
        <f>IF(VLOOKUP(T_BilanSocial[[#This Row],[NumL]],T_suiviDi[#Data],COLUMN(T_suiviDi[[#This Row],[Service ]]),FALSE)="","",VLOOKUP(T_BilanSocial[[#This Row],[NumL]],T_suiviDi[#Data],COLUMN(T_suiviDi[[#This Row],[Service ]]),FALSE))</f>
        <v>#VALUE!</v>
      </c>
      <c r="T149" s="164" t="str">
        <f t="shared" si="24"/>
        <v>01 septembre 2021</v>
      </c>
      <c r="U149" s="164" t="str">
        <f t="shared" si="25"/>
        <v>30 novembre 2021</v>
      </c>
      <c r="V149" s="96" t="str">
        <f t="shared" ref="V149:V158" si="30">TEXT(Datebilan,"jj mmmm aaaa")</f>
        <v>30 novembre 2021</v>
      </c>
      <c r="W149" s="176" t="e">
        <f>IF(VLOOKUP(T_BilanSocial[[#This Row],[NumL]],T_TraitDi[#Data],COLUMN(T_TraitDi[[#This Row],[M1]]),FALSE)="","",VLOOKUP(T_BilanSocial[[#This Row],[NumL]],T_TraitDi[#Data],COLUMN(T_TraitDi[[#This Row],[M1]]),FALSE))</f>
        <v>#VALUE!</v>
      </c>
      <c r="X149" s="176" t="e">
        <f>IF(VLOOKUP(T_BilanSocial[[#This Row],[NumL]],T_TraitDi[#Data],COLUMN(T_TraitDi[[#This Row],[M2]]),FALSE)="","",VLOOKUP(T_BilanSocial[[#This Row],[NumL]],T_TraitDi[#Data],COLUMN(T_TraitDi[[#This Row],[M2]]),FALSE))</f>
        <v>#VALUE!</v>
      </c>
      <c r="Y149" s="176" t="e">
        <f>IF(VLOOKUP(T_BilanSocial[[#This Row],[NumL]],T_TraitDi[#Data],COLUMN(T_TraitDi[[#This Row],[M3]]),FALSE)="","",VLOOKUP(T_BilanSocial[[#This Row],[NumL]],T_TraitDi[#Data],COLUMN(T_TraitDi[[#This Row],[M3]]),FALSE))</f>
        <v>#VALUE!</v>
      </c>
      <c r="Z149" s="176" t="str">
        <f t="shared" si="27"/>
        <v/>
      </c>
      <c r="AA149" s="176" t="e">
        <f>IF(VLOOKUP(T_BilanSocial[[#This Row],[NumL]],T_TraitDi[#Data],COLUMN(T_TraitDi[[#This Row],[M5]]),FALSE)="","",VLOOKUP(T_BilanSocial[[#This Row],[NumL]],T_TraitDi[#Data],COLUMN(T_TraitDi[[#This Row],[M5]]),FALSE))</f>
        <v>#VALUE!</v>
      </c>
      <c r="AB149" s="176" t="e">
        <f>IF(VLOOKUP(T_BilanSocial[[#This Row],[NumL]],T_TraitDi[#Data],COLUMN(T_TraitDi[[#This Row],[M6]]),FALSE)="","",VLOOKUP(T_BilanSocial[[#This Row],[NumL]],T_TraitDi[#Data],COLUMN(T_TraitDi[[#This Row],[M6]]),FALSE))</f>
        <v>#VALUE!</v>
      </c>
      <c r="AC149" s="165" t="e">
        <f t="shared" si="26"/>
        <v>#VALUE!</v>
      </c>
      <c r="AD149" s="188" t="str">
        <f>IFERROR(TEXT(VLOOKUP(T_BilanSocial[[#This Row],[NumL]],T_TraitDi[#Data],COLUMN(T_TraitDi[[#This Row],[Q2]]),FALSE),"###%"),"")</f>
        <v/>
      </c>
      <c r="AE149" s="97" t="e">
        <f>VLOOKUP(T_BilanSocial[[#This Row],[NumL]],T_TraitDi[#Data],COLUMN(T_TraitDi[[#This Row],[Reg Ponct]]),FALSE)</f>
        <v>#VALUE!</v>
      </c>
      <c r="AF149" s="97" t="e">
        <f>VLOOKUP(T_BilanSocial[NumL],T_TraitDi[#Data],COLUMN(T_TraitDi[[#This Row],[Jours flottants]]),FALSE)</f>
        <v>#VALUE!</v>
      </c>
      <c r="AG149" s="97" t="str">
        <f>IFERROR(VLOOKUP(T_BilanSocial[[#This Row],[NumL]],T_TraitDi[#Data],COLUMN(T_TraitDi[[#This Row],[Lundi]]),FALSE),"")</f>
        <v/>
      </c>
      <c r="AH149" s="172" t="e">
        <f>IF(VLOOKUP(T_BilanSocial[[#This Row],[NumL]],T_TraitDi[#Data],COLUMN(T_TraitDi[[#This Row],[Colonne3]]),FALSE)=0,"",TEXT(IFERROR(VLOOKUP(T_BilanSocial[[#This Row],[NumL]],T_TraitDi[#Data],COLUMN(T_TraitDi[[#This Row],[Colonne3]]),FALSE),""),"[hh]:mm"))</f>
        <v>#VALUE!</v>
      </c>
      <c r="AI149" s="172" t="e">
        <f>IF(VLOOKUP(T_BilanSocial[[#This Row],[NumL]],T_TraitDi[#Data],COLUMN(T_TraitDi[[#This Row],[Colonne4]]),FALSE)=0,"",TEXT(IFERROR(VLOOKUP(T_BilanSocial[[#This Row],[NumL]],T_TraitDi[#Data],COLUMN(T_TraitDi[[#This Row],[Colonne4]]),FALSE),""),"[hh]:mm"))</f>
        <v>#VALUE!</v>
      </c>
      <c r="AJ149" s="172" t="e">
        <f>IF(VLOOKUP(T_BilanSocial[[#This Row],[NumL]],T_TraitDi[#Data],COLUMN(T_TraitDi[[#This Row],[Colonne5]]),FALSE)=0,"",TEXT(IFERROR(VLOOKUP(T_BilanSocial[[#This Row],[NumL]],T_TraitDi[#Data],COLUMN(T_TraitDi[[#This Row],[Colonne5]]),FALSE),""),"[hh]:mm"))</f>
        <v>#VALUE!</v>
      </c>
      <c r="AK149" s="172" t="e">
        <f>IF(VLOOKUP(T_BilanSocial[[#This Row],[NumL]],T_TraitDi[#Data],COLUMN(T_TraitDi[[#This Row],[Colonne6]]),FALSE)=0,"",TEXT(IFERROR(VLOOKUP(T_BilanSocial[[#This Row],[NumL]],T_TraitDi[#Data],COLUMN(T_TraitDi[[#This Row],[Colonne6]]),FALSE),""),"[hh]:mm"))</f>
        <v>#VALUE!</v>
      </c>
      <c r="AL149" s="172" t="e">
        <f>IF(VLOOKUP(T_BilanSocial[[#This Row],[NumL]],T_TraitDi[#Data],COLUMN(T_TraitDi[[#This Row],[Colonne7]]),FALSE)=0,"",TEXT(IFERROR(VLOOKUP(T_BilanSocial[[#This Row],[NumL]],T_TraitDi[#Data],COLUMN(T_TraitDi[[#This Row],[Colonne7]]),FALSE),""),"[hh]:mm"))</f>
        <v>#VALUE!</v>
      </c>
      <c r="AM149" s="172" t="e">
        <f>IF(VLOOKUP(T_BilanSocial[[#This Row],[NumL]],T_TraitDi[#Data],COLUMN(T_TraitDi[[#This Row],[Colonne8]]),FALSE)=0,"",TEXT(IFERROR(VLOOKUP(T_BilanSocial[[#This Row],[NumL]],T_TraitDi[#Data],COLUMN(T_TraitDi[[#This Row],[Colonne8]]),FALSE),""),"[hh]:mm"))</f>
        <v>#VALUE!</v>
      </c>
      <c r="AN149" s="172" t="str">
        <f>IFERROR(VLOOKUP(T_BilanSocial[[#This Row],[NumL]],T_TraitDi[#Data],COLUMN(T_TraitDi[[#This Row],[Mardi]]),FALSE),"")</f>
        <v/>
      </c>
      <c r="AO149" s="172" t="e">
        <f>IF(VLOOKUP(T_BilanSocial[[#This Row],[NumL]],T_TraitDi[#Data],COLUMN(T_TraitDi[[#This Row],[Colonne1]]),FALSE)=0,"",TEXT(IFERROR(VLOOKUP(T_BilanSocial[[#This Row],[NumL]],T_TraitDi[#Data],COLUMN(T_TraitDi[[#This Row],[Colonne1]]),FALSE),""),"[hh]:mm"))</f>
        <v>#VALUE!</v>
      </c>
      <c r="AP149" s="172" t="e">
        <f>IF(VLOOKUP(T_BilanSocial[[#This Row],[NumL]],T_TraitDi[#Data],COLUMN(T_TraitDi[[#This Row],[Colonne9]]),FALSE)=0,"",TEXT(IFERROR(VLOOKUP(T_BilanSocial[[#This Row],[NumL]],T_TraitDi[#Data],COLUMN(T_TraitDi[[#This Row],[Colonne9]]),FALSE),""),"[hh]:mm"))</f>
        <v>#VALUE!</v>
      </c>
      <c r="AQ149" s="172" t="str">
        <f>IFERROR(VLOOKUP(T_BilanSocial[[#This Row],[NumL]],T_TraitDi[#Data],COLUMN(T_TraitDi[[#This Row],[Colonne10]]),FALSE),"")</f>
        <v/>
      </c>
      <c r="AR149" s="172" t="e">
        <f>IF(VLOOKUP(T_BilanSocial[[#This Row],[NumL]],T_TraitDi[#Data],COLUMN(T_TraitDi[[#This Row],[Colonne11]]),FALSE)=0,"",TEXT(IFERROR(VLOOKUP(T_BilanSocial[[#This Row],[NumL]],T_TraitDi[#Data],COLUMN(T_TraitDi[[#This Row],[Colonne11]]),FALSE),""),"[hh]:mm"))</f>
        <v>#VALUE!</v>
      </c>
      <c r="AS149" s="172" t="e">
        <f>IF(VLOOKUP(T_BilanSocial[[#This Row],[NumL]],T_TraitDi[#Data],COLUMN(T_TraitDi[[#This Row],[Colonne12]]),FALSE)=0,"",TEXT(IFERROR(VLOOKUP(T_BilanSocial[[#This Row],[NumL]],T_TraitDi[#Data],COLUMN(T_TraitDi[[#This Row],[Colonne12]]),FALSE),""),"[hh]:mm"))</f>
        <v>#VALUE!</v>
      </c>
      <c r="AT149" s="172" t="e">
        <f>IF(VLOOKUP(T_BilanSocial[[#This Row],[NumL]],T_TraitDi[#Data],COLUMN(T_TraitDi[[#This Row],[Colonne14]]),FALSE)=0,"",TEXT(IFERROR(VLOOKUP(T_BilanSocial[[#This Row],[NumL]],T_TraitDi[#Data],COLUMN(T_TraitDi[[#This Row],[Colonne14]]),FALSE),""),"[hh]:mm"))</f>
        <v>#VALUE!</v>
      </c>
      <c r="AU149" s="172" t="str">
        <f>IFERROR(VLOOKUP(T_BilanSocial[[#This Row],[NumL]],T_TraitDi[#Data],COLUMN(T_TraitDi[[#This Row],[Mercredi]]),FALSE),"")</f>
        <v/>
      </c>
      <c r="AV149" s="172" t="e">
        <f>IF(VLOOKUP(T_BilanSocial[[#This Row],[NumL]],T_TraitDi[#Data],COLUMN(T_TraitDi[[#This Row],[Colonne15]]),FALSE)=0,"",TEXT(IFERROR(VLOOKUP(T_BilanSocial[[#This Row],[NumL]],T_TraitDi[#Data],COLUMN(T_TraitDi[[#This Row],[Colonne15]]),FALSE),""),"[hh]:mm"))</f>
        <v>#VALUE!</v>
      </c>
      <c r="AW149" s="172" t="e">
        <f>IF(VLOOKUP(T_BilanSocial[[#This Row],[NumL]],T_TraitDi[#Data],COLUMN(T_TraitDi[[#This Row],[Colonne16]]),FALSE)=0,"",TEXT(IFERROR(VLOOKUP(T_BilanSocial[[#This Row],[NumL]],T_TraitDi[#Data],COLUMN(T_TraitDi[[#This Row],[Colonne16]]),FALSE),""),"[hh]:mm"))</f>
        <v>#VALUE!</v>
      </c>
      <c r="AX149" s="172" t="str">
        <f>IFERROR(VLOOKUP(T_BilanSocial[[#This Row],[NumL]],T_TraitDi[#Data],COLUMN(T_TraitDi[[#This Row],[Colonne17]]),FALSE),"")</f>
        <v/>
      </c>
      <c r="AY149" s="172" t="e">
        <f>IF(VLOOKUP(T_BilanSocial[[#This Row],[NumL]],T_TraitDi[#Data],COLUMN(T_TraitDi[[#This Row],[Colonne18]]),FALSE)=0,"",TEXT(IFERROR(VLOOKUP(T_BilanSocial[[#This Row],[NumL]],T_TraitDi[#Data],COLUMN(T_TraitDi[[#This Row],[Colonne18]]),FALSE),""),"[hh]:mm"))</f>
        <v>#VALUE!</v>
      </c>
      <c r="AZ149" s="172" t="e">
        <f>IF(VLOOKUP(T_BilanSocial[[#This Row],[NumL]],T_TraitDi[#Data],COLUMN(T_TraitDi[[#This Row],[Colonne19]]),FALSE)=0,"",TEXT(IFERROR(VLOOKUP(T_BilanSocial[[#This Row],[NumL]],T_TraitDi[#Data],COLUMN(T_TraitDi[[#This Row],[Colonne19]]),FALSE),""),"[hh]:mm"))</f>
        <v>#VALUE!</v>
      </c>
      <c r="BA149" s="172" t="e">
        <f>IF(VLOOKUP(T_BilanSocial[[#This Row],[NumL]],T_TraitDi[#Data],COLUMN(T_TraitDi[[#This Row],[Colonne20]]),FALSE)=0,"",TEXT(IFERROR(VLOOKUP(T_BilanSocial[[#This Row],[NumL]],T_TraitDi[#Data],COLUMN(T_TraitDi[[#This Row],[Colonne20]]),FALSE),""),"[hh]:mm"))</f>
        <v>#VALUE!</v>
      </c>
      <c r="BB149" s="178" t="str">
        <f>IFERROR(VLOOKUP(T_BilanSocial[[#This Row],[NumL]],T_TraitDi[#Data],COLUMN(T_TraitDi[[#This Row],[Jeudi]]),FALSE),"")</f>
        <v/>
      </c>
      <c r="BC149" s="178" t="e">
        <f>IF(VLOOKUP(T_BilanSocial[[#This Row],[NumL]],T_TraitDi[#Data],COLUMN(T_TraitDi[[#This Row],[Colonne21]]),FALSE)=0,"",TEXT(IFERROR(VLOOKUP(T_BilanSocial[[#This Row],[NumL]],T_TraitDi[#Data],COLUMN(T_TraitDi[[#This Row],[Colonne21]]),FALSE),""),"[hh]:mm"))</f>
        <v>#VALUE!</v>
      </c>
      <c r="BD149" s="178" t="e">
        <f>IF(VLOOKUP(T_BilanSocial[[#This Row],[NumL]],T_TraitDi[#Data],COLUMN(T_TraitDi[[#This Row],[Colonne22]]),FALSE)=0,"",TEXT(IFERROR(VLOOKUP(T_BilanSocial[[#This Row],[NumL]],T_TraitDi[#Data],COLUMN(T_TraitDi[[#This Row],[Colonne22]]),FALSE),""),"[hh]:mm"))</f>
        <v>#VALUE!</v>
      </c>
      <c r="BE149" s="178" t="str">
        <f>IFERROR(VLOOKUP(T_BilanSocial[[#This Row],[NumL]],T_TraitDi[#Data],COLUMN(T_TraitDi[[#This Row],[Colonne23]]),FALSE),"")</f>
        <v/>
      </c>
      <c r="BF149" s="178" t="e">
        <f>IF(VLOOKUP(T_BilanSocial[[#This Row],[NumL]],T_TraitDi[#Data],COLUMN(T_TraitDi[[#This Row],[Colonne24]]),FALSE)=0,"",TEXT(IFERROR(VLOOKUP(T_BilanSocial[[#This Row],[NumL]],T_TraitDi[#Data],COLUMN(T_TraitDi[[#This Row],[Colonne24]]),FALSE),""),"[hh]:mm"))</f>
        <v>#VALUE!</v>
      </c>
      <c r="BG149" s="178" t="e">
        <f>IF(VLOOKUP(T_BilanSocial[[#This Row],[NumL]],T_TraitDi[#Data],COLUMN(T_TraitDi[[#This Row],[Colonne25]]),FALSE)=0,"",TEXT(IFERROR(VLOOKUP(T_BilanSocial[[#This Row],[NumL]],T_TraitDi[#Data],COLUMN(T_TraitDi[[#This Row],[Colonne25]]),FALSE),""),"[hh]:mm"))</f>
        <v>#VALUE!</v>
      </c>
      <c r="BH149" s="178" t="e">
        <f>IF(VLOOKUP(T_BilanSocial[[#This Row],[NumL]],T_TraitDi[#Data],COLUMN(T_TraitDi[[#This Row],[Colonne26]]),FALSE)=0,"",TEXT(IFERROR(VLOOKUP(T_BilanSocial[[#This Row],[NumL]],T_TraitDi[#Data],COLUMN(T_TraitDi[[#This Row],[Colonne26]]),FALSE),""),"[hh]:mm"))</f>
        <v>#VALUE!</v>
      </c>
      <c r="BI149" s="172" t="str">
        <f>IFERROR(VLOOKUP(T_BilanSocial[[#This Row],[NumL]],T_TraitDi[#Data],COLUMN(T_TraitDi[[#This Row],[Vendredi]]),FALSE),"")</f>
        <v/>
      </c>
      <c r="BJ149" s="172" t="e">
        <f>IF(VLOOKUP(T_BilanSocial[[#This Row],[NumL]],T_TraitDi[#Data],COLUMN(T_TraitDi[[#This Row],[Colonne27]]),FALSE)=0,"",TEXT(IFERROR(VLOOKUP(T_BilanSocial[[#This Row],[NumL]],T_TraitDi[#Data],COLUMN(T_TraitDi[[#This Row],[Colonne27]]),FALSE),""),"[hh]:mm"))</f>
        <v>#VALUE!</v>
      </c>
      <c r="BK149" s="172" t="e">
        <f>IF(VLOOKUP(T_BilanSocial[[#This Row],[NumL]],T_TraitDi[#Data],COLUMN(T_TraitDi[[#This Row],[Colonne28]]),FALSE)=0,"",TEXT(IFERROR(VLOOKUP(T_BilanSocial[[#This Row],[NumL]],T_TraitDi[#Data],COLUMN(T_TraitDi[[#This Row],[Colonne28]]),FALSE),""),"[hh]:mm"))</f>
        <v>#VALUE!</v>
      </c>
      <c r="BL149" s="172" t="str">
        <f>IFERROR(VLOOKUP(T_BilanSocial[[#This Row],[NumL]],T_TraitDi[#Data],COLUMN(T_TraitDi[[#This Row],[Colonne29]]),FALSE),"")</f>
        <v/>
      </c>
      <c r="BM149" s="172" t="e">
        <f>IF(VLOOKUP(T_BilanSocial[[#This Row],[NumL]],T_TraitDi[#Data],COLUMN(T_TraitDi[[#This Row],[Colonne30]]),FALSE)=0,"",TEXT(IFERROR(VLOOKUP(T_BilanSocial[[#This Row],[NumL]],T_TraitDi[#Data],COLUMN(T_TraitDi[[#This Row],[Colonne30]]),FALSE),""),"[hh]:mm"))</f>
        <v>#VALUE!</v>
      </c>
      <c r="BN149" s="172" t="e">
        <f>IF(VLOOKUP(T_BilanSocial[[#This Row],[NumL]],T_TraitDi[#Data],COLUMN(T_TraitDi[[#This Row],[Colonne31]]),FALSE)=0,"",TEXT(IFERROR(VLOOKUP(T_BilanSocial[[#This Row],[NumL]],T_TraitDi[#Data],COLUMN(T_TraitDi[[#This Row],[Colonne31]]),FALSE),""),"[hh]:mm"))</f>
        <v>#VALUE!</v>
      </c>
      <c r="BO149" s="172" t="e">
        <f>IF(VLOOKUP(T_BilanSocial[[#This Row],[NumL]],T_TraitDi[#Data],COLUMN(T_TraitDi[[#This Row],[Colonne32]]),FALSE)=0,"",TEXT(IFERROR(VLOOKUP(T_BilanSocial[[#This Row],[NumL]],T_TraitDi[#Data],COLUMN(T_TraitDi[[#This Row],[Colonne32]]),FALSE),""),"[hh]:mm"))</f>
        <v>#VALUE!</v>
      </c>
      <c r="BP149" s="172" t="e">
        <f>VLOOKUP(T_BilanSocial[[#This Row],[NumL]],T_TraitDi[#Data],COLUMN(T_TraitDi[NbJTot]),FALSE)</f>
        <v>#N/A</v>
      </c>
      <c r="BQ149" s="174" t="str">
        <f>IFERROR(VLOOKUP(T_BilanSocial[[#This Row],[NumL]],T_TraitDi[#Data],COLUMN(T_TraitDi[[#This Row],[NbJTW]]),FALSE),"")</f>
        <v/>
      </c>
      <c r="BR149" s="174" t="e">
        <f>IF(VLOOKUP(T_BilanSocial[[#This Row],[NumL]],T_TraitDi[#Data],COLUMN(T_TraitDi[[#This Row],[NbhTW]]),FALSE)=0,"",TEXT(IFERROR(VLOOKUP(T_BilanSocial[[#This Row],[NumL]],T_TraitDi[#Data],COLUMN(T_TraitDi[[#This Row],[NbhTW]]),FALSE),""),"[hh]:mm"))</f>
        <v>#VALUE!</v>
      </c>
      <c r="BS149" s="174" t="e">
        <f>IF(VLOOKUP(T_BilanSocial[[#This Row],[NumL]],T_TraitDi[#Data],COLUMN(T_TraitDi[[#This Row],[Nbhheb]]),FALSE)=0,"",TEXT(IFERROR(VLOOKUP($A149,T_TraitDi[#Data],COLUMN(T_TraitDi[[#This Row],[Nbhheb]]),FALSE),""),"[hh]:mm"))</f>
        <v>#VALUE!</v>
      </c>
      <c r="BT149" s="182" t="str">
        <f>IFERROR(VLOOKUP(VLOOKUP($A149,T_TraitDi[#Data],COLUMN(T_TraitDi[[#This Row],[Type1]]),FALSE),TypeTW,2,FALSE),"")</f>
        <v/>
      </c>
      <c r="BU149" s="182" t="str">
        <f>IFERROR(VLOOKUP($A149,T_TraitDi[#Data],COLUMN(T_TraitDi[[#This Row],[Rue1]]),FALSE),"")</f>
        <v/>
      </c>
      <c r="BV149" s="173" t="str">
        <f>IFERROR(VLOOKUP($A149,T_TraitDi[#Data],COLUMN(T_TraitDi[[#This Row],[CP1]]),FALSE),"")</f>
        <v/>
      </c>
      <c r="BW149" s="173" t="str">
        <f>IFERROR(VLOOKUP($A149,T_TraitDi[#Data],COLUMN(T_TraitDi[[#This Row],[VILLE1]]),FALSE),"")</f>
        <v/>
      </c>
      <c r="BX149" s="182" t="str">
        <f>IFERROR(VLOOKUP(VLOOKUP($A149,T_TraitDi[#Data],COLUMN(T_TraitDi[[#This Row],[Type2]]),FALSE),TypeTW,2,FALSE),"")</f>
        <v/>
      </c>
      <c r="BY149" s="182" t="str">
        <f>IFERROR(VLOOKUP($A149,T_TraitDi[#Data],COLUMN(T_TraitDi[[#This Row],[Rue2]]),FALSE),"")</f>
        <v/>
      </c>
      <c r="BZ149" s="173" t="str">
        <f>IFERROR(VLOOKUP($A149,T_TraitDi[#Data],COLUMN(T_TraitDi[[#This Row],[CP2]]),FALSE),"")</f>
        <v/>
      </c>
      <c r="CA149" s="173" t="str">
        <f>IFERROR(VLOOKUP($A149,T_TraitDi[#Data],COLUMN(T_TraitDi[[#This Row],[VILLE2]]),FALSE),"")</f>
        <v/>
      </c>
      <c r="CB149" s="182" t="e">
        <f>IF(VLOOKUP(T_BilanSocial[[#This Row],[NumL]],T_Equipement[#Data],COLUMN(T_Equipement[[#This Row],[PC]]),FALSE)="","Aucun équipement spécifique directement lié au télétravail",VLOOKUP(T_BilanSocial[[#This Row],[NumL]],T_Equipement[#Data],COLUMN(T_Equipement[[#This Row],[PC]]),FALSE))</f>
        <v>#N/A</v>
      </c>
      <c r="CC149" s="166" t="str">
        <f>IFERROR(IF(VLOOKUP(T_BilanSocial[[#This Row],[NumL]],T_TraitDi[#Data],COLUMN(T_TraitDi[[#This Row],[Plan]]),FALSE)="OK","Un planning spécifique de télétravail est annexé à la présente convention.",""),"")</f>
        <v/>
      </c>
      <c r="CD149" s="258" t="s">
        <v>3452</v>
      </c>
      <c r="CE149" s="164" t="e">
        <f>IF(VLOOKUP(T_BilanSocial[[#This Row],[NumL]],T_suiviDi[#Data],COLUMN(T_suiviDi[[#This Row],[Entité]]),FALSE)="","",VLOOKUP(T_BilanSocial[[#This Row],[NumL]],T_suiviDi[#Data],COLUMN(T_suiviDi[[#This Row],[Entité]]),FALSE))</f>
        <v>#VALUE!</v>
      </c>
      <c r="CF149" s="164" t="e">
        <f>IF(VLOOKUP(T_BilanSocial[[#This Row],[NumL]],T_Commission[#Data],COLUMN(T_Commission[[#This Row],[envoi confirm TW]]),FALSE)="","",VLOOKUP(T_BilanSocial[[#This Row],[NumL]],T_Commission[#Data],COLUMN(T_Commission[[#This Row],[envoi confirm TW]]),FALSE))</f>
        <v>#N/A</v>
      </c>
      <c r="CG14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49" s="262" t="e">
        <f>T_BilanSocial[[#This Row],[Nom]]&amp;T_BilanSocial[[#This Row],[Prenom]]</f>
        <v>#N/A</v>
      </c>
      <c r="CI149" s="262" t="e">
        <f>VLOOKUP(T_BilanSocial[[#This Row],[NumL]],T_Commission[#Data],COLUMN(T_Commission[Commentaire]),FALSE)</f>
        <v>#N/A</v>
      </c>
      <c r="CJ149" s="262" t="e">
        <f>IF(VLOOKUP(T_BilanSocial[[#This Row],[NumL]],T_Commission[#Data],COLUMN(T_Commission[Encadrant Email]),FALSE)="","",VLOOKUP(T_BilanSocial[[#This Row],[NumL]],T_Commission[#Data],COLUMN(T_Commission[Encadrant Email]),FALSE))</f>
        <v>#N/A</v>
      </c>
      <c r="CK149" s="340" t="e">
        <f>IF(T_BilanSocial[[#This Row],[Final]]&lt;&gt;"",VLOOKUP(T_BilanSocial[[#This Row],[NumL]],T_suiviDi[#Data],COLUMN((T_suiviDi[Statut])),FALSE),"")</f>
        <v>#N/A</v>
      </c>
    </row>
    <row r="150" spans="1:89" s="106" customFormat="1" ht="24.75" customHeight="1" x14ac:dyDescent="0.25">
      <c r="A150" s="160">
        <v>147</v>
      </c>
      <c r="B150" s="161" t="str">
        <f t="shared" si="22"/>
        <v/>
      </c>
      <c r="C150" s="162" t="s">
        <v>173</v>
      </c>
      <c r="D150" s="95" t="e">
        <f>IF(VLOOKUP(T_BilanSocial[[#This Row],[NumL]],T_TraitDi[#Data],COLUMN(T_TraitDi[[#This Row],[WebC]]),FALSE)="","",VLOOKUP(T_BilanSocial[[#This Row],[NumL]],T_TraitDi[#Data],COLUMN(T_TraitDi[[#This Row],[WebC]]),FALSE))</f>
        <v>#VALUE!</v>
      </c>
      <c r="E150" s="163" t="str">
        <f t="shared" si="23"/>
        <v>12 janvier 2021</v>
      </c>
      <c r="F150" s="96" t="str">
        <f>IF(T_BilanSocial[[#This Row],[Final]]&lt;&gt;"",VLOOKUP(T_BilanSocial[[#This Row],[NumL]],T_suiviDi[#Data],COLUMN((T_suiviDi[Civ.])),FALSE),"")</f>
        <v/>
      </c>
      <c r="G150" s="96" t="str">
        <f>IF(T_BilanSocial[[#This Row],[Final]]&lt;&gt;"",VLOOKUP(T_BilanSocial[[#This Row],[NumL]],T_suiviDi[#Data],COLUMN((T_suiviDi[Nom])),FALSE),"")</f>
        <v/>
      </c>
      <c r="H150" s="96" t="str">
        <f>IF(T_BilanSocial[[#This Row],[Final]]&lt;&gt;"",VLOOKUP(T_BilanSocial[[#This Row],[NumL]],T_suiviDi[#Data],COLUMN((T_suiviDi[Prénom])),FALSE),"")</f>
        <v/>
      </c>
      <c r="I150" s="96" t="str">
        <f>IFERROR(VLOOKUP(T_BilanSocial[[#This Row],[Zone_Bilan]],T_P_BilanSocial[#Data],COLUMN(T_P_BilanSocial[[#This Row],[Numero_SIHAM]]),FALSE),"")</f>
        <v/>
      </c>
      <c r="J150" s="96" t="str">
        <f>IFERROR(VLOOKUP(T_BilanSocial[[#This Row],[Zone_Bilan]],T_P_BilanSocial[#Data],COLUMN(T_P_BilanSocial[[#This Row],[Sexe]]),FALSE),"")</f>
        <v/>
      </c>
      <c r="K150" s="97" t="str">
        <f>IFERROR(VLOOKUP(T_BilanSocial[[#This Row],[Zone_Bilan]],T_P_BilanSocial[#Data],COLUMN(T_P_BilanSocial[[#This Row],[Categorie]]),FALSE),"")</f>
        <v/>
      </c>
      <c r="L150" s="96" t="str">
        <f>IFERROR(VLOOKUP(T_BilanSocial[[#This Row],[Zone_Bilan]],T_P_BilanSocial[#Data],COLUMN(T_P_BilanSocial[[#This Row],[Statut]]),FALSE),"")</f>
        <v/>
      </c>
      <c r="M150" s="96" t="str">
        <f>IFERROR(VLOOKUP(T_BilanSocial[[#This Row],[Zone_Bilan]],T_P_BilanSocial[#Data],COLUMN(T_P_BilanSocial[[#This Row],[Filiere]]),FALSE),"")</f>
        <v/>
      </c>
      <c r="N150" s="96" t="e">
        <f>VLOOKUP(T_BilanSocial[[#This Row],[NumL]],T_TraitDi[#Data],COLUMN(T_TraitDi[EXP]),FALSE)</f>
        <v>#N/A</v>
      </c>
      <c r="O150" s="96" t="e">
        <f>VLOOKUP(T_BilanSocial[[#This Row],[NumL]],T_TraitDi[#Data],COLUMN(T_TraitDi[FORM]),FALSE)</f>
        <v>#N/A</v>
      </c>
      <c r="P150" s="96" t="str">
        <f>IF(T_BilanSocial[[#This Row],[Final]]&lt;&gt;"",VLOOKUP(T_BilanSocial[[#This Row],[NumL]],T_suiviDi[#Data],COLUMN((T_suiviDi[Email])),FALSE),"")</f>
        <v/>
      </c>
      <c r="Q150" s="164" t="e">
        <f t="shared" si="28"/>
        <v>#N/A</v>
      </c>
      <c r="R150" s="164" t="e">
        <f t="shared" si="29"/>
        <v>#N/A</v>
      </c>
      <c r="S150" s="164" t="e">
        <f>IF(VLOOKUP(T_BilanSocial[[#This Row],[NumL]],T_suiviDi[#Data],COLUMN(T_suiviDi[[#This Row],[Service ]]),FALSE)="","",VLOOKUP(T_BilanSocial[[#This Row],[NumL]],T_suiviDi[#Data],COLUMN(T_suiviDi[[#This Row],[Service ]]),FALSE))</f>
        <v>#VALUE!</v>
      </c>
      <c r="T150" s="164" t="str">
        <f t="shared" si="24"/>
        <v>01 septembre 2021</v>
      </c>
      <c r="U150" s="164" t="str">
        <f t="shared" si="25"/>
        <v>30 novembre 2021</v>
      </c>
      <c r="V150" s="96" t="str">
        <f t="shared" si="30"/>
        <v>30 novembre 2021</v>
      </c>
      <c r="W150" s="176" t="e">
        <f>IF(VLOOKUP(T_BilanSocial[[#This Row],[NumL]],T_TraitDi[#Data],COLUMN(T_TraitDi[[#This Row],[M1]]),FALSE)="","",VLOOKUP(T_BilanSocial[[#This Row],[NumL]],T_TraitDi[#Data],COLUMN(T_TraitDi[[#This Row],[M1]]),FALSE))</f>
        <v>#VALUE!</v>
      </c>
      <c r="X150" s="176" t="e">
        <f>IF(VLOOKUP(T_BilanSocial[[#This Row],[NumL]],T_TraitDi[#Data],COLUMN(T_TraitDi[[#This Row],[M2]]),FALSE)="","",VLOOKUP(T_BilanSocial[[#This Row],[NumL]],T_TraitDi[#Data],COLUMN(T_TraitDi[[#This Row],[M2]]),FALSE))</f>
        <v>#VALUE!</v>
      </c>
      <c r="Y150" s="176" t="e">
        <f>IF(VLOOKUP(T_BilanSocial[[#This Row],[NumL]],T_TraitDi[#Data],COLUMN(T_TraitDi[[#This Row],[M3]]),FALSE)="","",VLOOKUP(T_BilanSocial[[#This Row],[NumL]],T_TraitDi[#Data],COLUMN(T_TraitDi[[#This Row],[M3]]),FALSE))</f>
        <v>#VALUE!</v>
      </c>
      <c r="Z150" s="176" t="str">
        <f t="shared" si="27"/>
        <v/>
      </c>
      <c r="AA150" s="176" t="e">
        <f>IF(VLOOKUP(T_BilanSocial[[#This Row],[NumL]],T_TraitDi[#Data],COLUMN(T_TraitDi[[#This Row],[M5]]),FALSE)="","",VLOOKUP(T_BilanSocial[[#This Row],[NumL]],T_TraitDi[#Data],COLUMN(T_TraitDi[[#This Row],[M5]]),FALSE))</f>
        <v>#VALUE!</v>
      </c>
      <c r="AB150" s="176" t="e">
        <f>IF(VLOOKUP(T_BilanSocial[[#This Row],[NumL]],T_TraitDi[#Data],COLUMN(T_TraitDi[[#This Row],[M6]]),FALSE)="","",VLOOKUP(T_BilanSocial[[#This Row],[NumL]],T_TraitDi[#Data],COLUMN(T_TraitDi[[#This Row],[M6]]),FALSE))</f>
        <v>#VALUE!</v>
      </c>
      <c r="AC150" s="165" t="e">
        <f t="shared" si="26"/>
        <v>#VALUE!</v>
      </c>
      <c r="AD150" s="188" t="str">
        <f>IFERROR(TEXT(VLOOKUP(T_BilanSocial[[#This Row],[NumL]],T_TraitDi[#Data],COLUMN(T_TraitDi[[#This Row],[Q2]]),FALSE),"###%"),"")</f>
        <v/>
      </c>
      <c r="AE150" s="97" t="e">
        <f>VLOOKUP(T_BilanSocial[[#This Row],[NumL]],T_TraitDi[#Data],COLUMN(T_TraitDi[[#This Row],[Reg Ponct]]),FALSE)</f>
        <v>#VALUE!</v>
      </c>
      <c r="AF150" s="97" t="e">
        <f>VLOOKUP(T_BilanSocial[NumL],T_TraitDi[#Data],COLUMN(T_TraitDi[[#This Row],[Jours flottants]]),FALSE)</f>
        <v>#VALUE!</v>
      </c>
      <c r="AG150" s="97" t="str">
        <f>IFERROR(VLOOKUP(T_BilanSocial[[#This Row],[NumL]],T_TraitDi[#Data],COLUMN(T_TraitDi[[#This Row],[Lundi]]),FALSE),"")</f>
        <v/>
      </c>
      <c r="AH150" s="172" t="e">
        <f>IF(VLOOKUP(T_BilanSocial[[#This Row],[NumL]],T_TraitDi[#Data],COLUMN(T_TraitDi[[#This Row],[Colonne3]]),FALSE)=0,"",TEXT(IFERROR(VLOOKUP(T_BilanSocial[[#This Row],[NumL]],T_TraitDi[#Data],COLUMN(T_TraitDi[[#This Row],[Colonne3]]),FALSE),""),"[hh]:mm"))</f>
        <v>#VALUE!</v>
      </c>
      <c r="AI150" s="172" t="e">
        <f>IF(VLOOKUP(T_BilanSocial[[#This Row],[NumL]],T_TraitDi[#Data],COLUMN(T_TraitDi[[#This Row],[Colonne4]]),FALSE)=0,"",TEXT(IFERROR(VLOOKUP(T_BilanSocial[[#This Row],[NumL]],T_TraitDi[#Data],COLUMN(T_TraitDi[[#This Row],[Colonne4]]),FALSE),""),"[hh]:mm"))</f>
        <v>#VALUE!</v>
      </c>
      <c r="AJ150" s="172" t="e">
        <f>IF(VLOOKUP(T_BilanSocial[[#This Row],[NumL]],T_TraitDi[#Data],COLUMN(T_TraitDi[[#This Row],[Colonne5]]),FALSE)=0,"",TEXT(IFERROR(VLOOKUP(T_BilanSocial[[#This Row],[NumL]],T_TraitDi[#Data],COLUMN(T_TraitDi[[#This Row],[Colonne5]]),FALSE),""),"[hh]:mm"))</f>
        <v>#VALUE!</v>
      </c>
      <c r="AK150" s="172" t="e">
        <f>IF(VLOOKUP(T_BilanSocial[[#This Row],[NumL]],T_TraitDi[#Data],COLUMN(T_TraitDi[[#This Row],[Colonne6]]),FALSE)=0,"",TEXT(IFERROR(VLOOKUP(T_BilanSocial[[#This Row],[NumL]],T_TraitDi[#Data],COLUMN(T_TraitDi[[#This Row],[Colonne6]]),FALSE),""),"[hh]:mm"))</f>
        <v>#VALUE!</v>
      </c>
      <c r="AL150" s="172" t="e">
        <f>IF(VLOOKUP(T_BilanSocial[[#This Row],[NumL]],T_TraitDi[#Data],COLUMN(T_TraitDi[[#This Row],[Colonne7]]),FALSE)=0,"",TEXT(IFERROR(VLOOKUP(T_BilanSocial[[#This Row],[NumL]],T_TraitDi[#Data],COLUMN(T_TraitDi[[#This Row],[Colonne7]]),FALSE),""),"[hh]:mm"))</f>
        <v>#VALUE!</v>
      </c>
      <c r="AM150" s="172" t="e">
        <f>IF(VLOOKUP(T_BilanSocial[[#This Row],[NumL]],T_TraitDi[#Data],COLUMN(T_TraitDi[[#This Row],[Colonne8]]),FALSE)=0,"",TEXT(IFERROR(VLOOKUP(T_BilanSocial[[#This Row],[NumL]],T_TraitDi[#Data],COLUMN(T_TraitDi[[#This Row],[Colonne8]]),FALSE),""),"[hh]:mm"))</f>
        <v>#VALUE!</v>
      </c>
      <c r="AN150" s="172" t="str">
        <f>IFERROR(VLOOKUP(T_BilanSocial[[#This Row],[NumL]],T_TraitDi[#Data],COLUMN(T_TraitDi[[#This Row],[Mardi]]),FALSE),"")</f>
        <v/>
      </c>
      <c r="AO150" s="172" t="e">
        <f>IF(VLOOKUP(T_BilanSocial[[#This Row],[NumL]],T_TraitDi[#Data],COLUMN(T_TraitDi[[#This Row],[Colonne1]]),FALSE)=0,"",TEXT(IFERROR(VLOOKUP(T_BilanSocial[[#This Row],[NumL]],T_TraitDi[#Data],COLUMN(T_TraitDi[[#This Row],[Colonne1]]),FALSE),""),"[hh]:mm"))</f>
        <v>#VALUE!</v>
      </c>
      <c r="AP150" s="172" t="e">
        <f>IF(VLOOKUP(T_BilanSocial[[#This Row],[NumL]],T_TraitDi[#Data],COLUMN(T_TraitDi[[#This Row],[Colonne9]]),FALSE)=0,"",TEXT(IFERROR(VLOOKUP(T_BilanSocial[[#This Row],[NumL]],T_TraitDi[#Data],COLUMN(T_TraitDi[[#This Row],[Colonne9]]),FALSE),""),"[hh]:mm"))</f>
        <v>#VALUE!</v>
      </c>
      <c r="AQ150" s="172" t="str">
        <f>IFERROR(VLOOKUP(T_BilanSocial[[#This Row],[NumL]],T_TraitDi[#Data],COLUMN(T_TraitDi[[#This Row],[Colonne10]]),FALSE),"")</f>
        <v/>
      </c>
      <c r="AR150" s="172" t="e">
        <f>IF(VLOOKUP(T_BilanSocial[[#This Row],[NumL]],T_TraitDi[#Data],COLUMN(T_TraitDi[[#This Row],[Colonne11]]),FALSE)=0,"",TEXT(IFERROR(VLOOKUP(T_BilanSocial[[#This Row],[NumL]],T_TraitDi[#Data],COLUMN(T_TraitDi[[#This Row],[Colonne11]]),FALSE),""),"[hh]:mm"))</f>
        <v>#VALUE!</v>
      </c>
      <c r="AS150" s="172" t="e">
        <f>IF(VLOOKUP(T_BilanSocial[[#This Row],[NumL]],T_TraitDi[#Data],COLUMN(T_TraitDi[[#This Row],[Colonne12]]),FALSE)=0,"",TEXT(IFERROR(VLOOKUP(T_BilanSocial[[#This Row],[NumL]],T_TraitDi[#Data],COLUMN(T_TraitDi[[#This Row],[Colonne12]]),FALSE),""),"[hh]:mm"))</f>
        <v>#VALUE!</v>
      </c>
      <c r="AT150" s="172" t="e">
        <f>IF(VLOOKUP(T_BilanSocial[[#This Row],[NumL]],T_TraitDi[#Data],COLUMN(T_TraitDi[[#This Row],[Colonne14]]),FALSE)=0,"",TEXT(IFERROR(VLOOKUP(T_BilanSocial[[#This Row],[NumL]],T_TraitDi[#Data],COLUMN(T_TraitDi[[#This Row],[Colonne14]]),FALSE),""),"[hh]:mm"))</f>
        <v>#VALUE!</v>
      </c>
      <c r="AU150" s="172" t="str">
        <f>IFERROR(VLOOKUP(T_BilanSocial[[#This Row],[NumL]],T_TraitDi[#Data],COLUMN(T_TraitDi[[#This Row],[Mercredi]]),FALSE),"")</f>
        <v/>
      </c>
      <c r="AV150" s="172" t="e">
        <f>IF(VLOOKUP(T_BilanSocial[[#This Row],[NumL]],T_TraitDi[#Data],COLUMN(T_TraitDi[[#This Row],[Colonne15]]),FALSE)=0,"",TEXT(IFERROR(VLOOKUP(T_BilanSocial[[#This Row],[NumL]],T_TraitDi[#Data],COLUMN(T_TraitDi[[#This Row],[Colonne15]]),FALSE),""),"[hh]:mm"))</f>
        <v>#VALUE!</v>
      </c>
      <c r="AW150" s="172" t="e">
        <f>IF(VLOOKUP(T_BilanSocial[[#This Row],[NumL]],T_TraitDi[#Data],COLUMN(T_TraitDi[[#This Row],[Colonne16]]),FALSE)=0,"",TEXT(IFERROR(VLOOKUP(T_BilanSocial[[#This Row],[NumL]],T_TraitDi[#Data],COLUMN(T_TraitDi[[#This Row],[Colonne16]]),FALSE),""),"[hh]:mm"))</f>
        <v>#VALUE!</v>
      </c>
      <c r="AX150" s="172" t="str">
        <f>IFERROR(VLOOKUP(T_BilanSocial[[#This Row],[NumL]],T_TraitDi[#Data],COLUMN(T_TraitDi[[#This Row],[Colonne17]]),FALSE),"")</f>
        <v/>
      </c>
      <c r="AY150" s="172" t="e">
        <f>IF(VLOOKUP(T_BilanSocial[[#This Row],[NumL]],T_TraitDi[#Data],COLUMN(T_TraitDi[[#This Row],[Colonne18]]),FALSE)=0,"",TEXT(IFERROR(VLOOKUP(T_BilanSocial[[#This Row],[NumL]],T_TraitDi[#Data],COLUMN(T_TraitDi[[#This Row],[Colonne18]]),FALSE),""),"[hh]:mm"))</f>
        <v>#VALUE!</v>
      </c>
      <c r="AZ150" s="172" t="e">
        <f>IF(VLOOKUP(T_BilanSocial[[#This Row],[NumL]],T_TraitDi[#Data],COLUMN(T_TraitDi[[#This Row],[Colonne19]]),FALSE)=0,"",TEXT(IFERROR(VLOOKUP(T_BilanSocial[[#This Row],[NumL]],T_TraitDi[#Data],COLUMN(T_TraitDi[[#This Row],[Colonne19]]),FALSE),""),"[hh]:mm"))</f>
        <v>#VALUE!</v>
      </c>
      <c r="BA150" s="172" t="e">
        <f>IF(VLOOKUP(T_BilanSocial[[#This Row],[NumL]],T_TraitDi[#Data],COLUMN(T_TraitDi[[#This Row],[Colonne20]]),FALSE)=0,"",TEXT(IFERROR(VLOOKUP(T_BilanSocial[[#This Row],[NumL]],T_TraitDi[#Data],COLUMN(T_TraitDi[[#This Row],[Colonne20]]),FALSE),""),"[hh]:mm"))</f>
        <v>#VALUE!</v>
      </c>
      <c r="BB150" s="178" t="str">
        <f>IFERROR(VLOOKUP(T_BilanSocial[[#This Row],[NumL]],T_TraitDi[#Data],COLUMN(T_TraitDi[[#This Row],[Jeudi]]),FALSE),"")</f>
        <v/>
      </c>
      <c r="BC150" s="178" t="e">
        <f>IF(VLOOKUP(T_BilanSocial[[#This Row],[NumL]],T_TraitDi[#Data],COLUMN(T_TraitDi[[#This Row],[Colonne21]]),FALSE)=0,"",TEXT(IFERROR(VLOOKUP(T_BilanSocial[[#This Row],[NumL]],T_TraitDi[#Data],COLUMN(T_TraitDi[[#This Row],[Colonne21]]),FALSE),""),"[hh]:mm"))</f>
        <v>#VALUE!</v>
      </c>
      <c r="BD150" s="178" t="e">
        <f>IF(VLOOKUP(T_BilanSocial[[#This Row],[NumL]],T_TraitDi[#Data],COLUMN(T_TraitDi[[#This Row],[Colonne22]]),FALSE)=0,"",TEXT(IFERROR(VLOOKUP(T_BilanSocial[[#This Row],[NumL]],T_TraitDi[#Data],COLUMN(T_TraitDi[[#This Row],[Colonne22]]),FALSE),""),"[hh]:mm"))</f>
        <v>#VALUE!</v>
      </c>
      <c r="BE150" s="178" t="str">
        <f>IFERROR(VLOOKUP(T_BilanSocial[[#This Row],[NumL]],T_TraitDi[#Data],COLUMN(T_TraitDi[[#This Row],[Colonne23]]),FALSE),"")</f>
        <v/>
      </c>
      <c r="BF150" s="178" t="e">
        <f>IF(VLOOKUP(T_BilanSocial[[#This Row],[NumL]],T_TraitDi[#Data],COLUMN(T_TraitDi[[#This Row],[Colonne24]]),FALSE)=0,"",TEXT(IFERROR(VLOOKUP(T_BilanSocial[[#This Row],[NumL]],T_TraitDi[#Data],COLUMN(T_TraitDi[[#This Row],[Colonne24]]),FALSE),""),"[hh]:mm"))</f>
        <v>#VALUE!</v>
      </c>
      <c r="BG150" s="178" t="e">
        <f>IF(VLOOKUP(T_BilanSocial[[#This Row],[NumL]],T_TraitDi[#Data],COLUMN(T_TraitDi[[#This Row],[Colonne25]]),FALSE)=0,"",TEXT(IFERROR(VLOOKUP(T_BilanSocial[[#This Row],[NumL]],T_TraitDi[#Data],COLUMN(T_TraitDi[[#This Row],[Colonne25]]),FALSE),""),"[hh]:mm"))</f>
        <v>#VALUE!</v>
      </c>
      <c r="BH150" s="178" t="e">
        <f>IF(VLOOKUP(T_BilanSocial[[#This Row],[NumL]],T_TraitDi[#Data],COLUMN(T_TraitDi[[#This Row],[Colonne26]]),FALSE)=0,"",TEXT(IFERROR(VLOOKUP(T_BilanSocial[[#This Row],[NumL]],T_TraitDi[#Data],COLUMN(T_TraitDi[[#This Row],[Colonne26]]),FALSE),""),"[hh]:mm"))</f>
        <v>#VALUE!</v>
      </c>
      <c r="BI150" s="172" t="str">
        <f>IFERROR(VLOOKUP(T_BilanSocial[[#This Row],[NumL]],T_TraitDi[#Data],COLUMN(T_TraitDi[[#This Row],[Vendredi]]),FALSE),"")</f>
        <v/>
      </c>
      <c r="BJ150" s="172" t="e">
        <f>IF(VLOOKUP(T_BilanSocial[[#This Row],[NumL]],T_TraitDi[#Data],COLUMN(T_TraitDi[[#This Row],[Colonne27]]),FALSE)=0,"",TEXT(IFERROR(VLOOKUP(T_BilanSocial[[#This Row],[NumL]],T_TraitDi[#Data],COLUMN(T_TraitDi[[#This Row],[Colonne27]]),FALSE),""),"[hh]:mm"))</f>
        <v>#VALUE!</v>
      </c>
      <c r="BK150" s="172" t="e">
        <f>IF(VLOOKUP(T_BilanSocial[[#This Row],[NumL]],T_TraitDi[#Data],COLUMN(T_TraitDi[[#This Row],[Colonne28]]),FALSE)=0,"",TEXT(IFERROR(VLOOKUP(T_BilanSocial[[#This Row],[NumL]],T_TraitDi[#Data],COLUMN(T_TraitDi[[#This Row],[Colonne28]]),FALSE),""),"[hh]:mm"))</f>
        <v>#VALUE!</v>
      </c>
      <c r="BL150" s="172" t="str">
        <f>IFERROR(VLOOKUP(T_BilanSocial[[#This Row],[NumL]],T_TraitDi[#Data],COLUMN(T_TraitDi[[#This Row],[Colonne29]]),FALSE),"")</f>
        <v/>
      </c>
      <c r="BM150" s="172" t="e">
        <f>IF(VLOOKUP(T_BilanSocial[[#This Row],[NumL]],T_TraitDi[#Data],COLUMN(T_TraitDi[[#This Row],[Colonne30]]),FALSE)=0,"",TEXT(IFERROR(VLOOKUP(T_BilanSocial[[#This Row],[NumL]],T_TraitDi[#Data],COLUMN(T_TraitDi[[#This Row],[Colonne30]]),FALSE),""),"[hh]:mm"))</f>
        <v>#VALUE!</v>
      </c>
      <c r="BN150" s="172" t="e">
        <f>IF(VLOOKUP(T_BilanSocial[[#This Row],[NumL]],T_TraitDi[#Data],COLUMN(T_TraitDi[[#This Row],[Colonne31]]),FALSE)=0,"",TEXT(IFERROR(VLOOKUP(T_BilanSocial[[#This Row],[NumL]],T_TraitDi[#Data],COLUMN(T_TraitDi[[#This Row],[Colonne31]]),FALSE),""),"[hh]:mm"))</f>
        <v>#VALUE!</v>
      </c>
      <c r="BO150" s="172" t="e">
        <f>IF(VLOOKUP(T_BilanSocial[[#This Row],[NumL]],T_TraitDi[#Data],COLUMN(T_TraitDi[[#This Row],[Colonne32]]),FALSE)=0,"",TEXT(IFERROR(VLOOKUP(T_BilanSocial[[#This Row],[NumL]],T_TraitDi[#Data],COLUMN(T_TraitDi[[#This Row],[Colonne32]]),FALSE),""),"[hh]:mm"))</f>
        <v>#VALUE!</v>
      </c>
      <c r="BP150" s="172" t="e">
        <f>VLOOKUP(T_BilanSocial[[#This Row],[NumL]],T_TraitDi[#Data],COLUMN(T_TraitDi[NbJTot]),FALSE)</f>
        <v>#N/A</v>
      </c>
      <c r="BQ150" s="174" t="str">
        <f>IFERROR(VLOOKUP(T_BilanSocial[[#This Row],[NumL]],T_TraitDi[#Data],COLUMN(T_TraitDi[[#This Row],[NbJTW]]),FALSE),"")</f>
        <v/>
      </c>
      <c r="BR150" s="174" t="e">
        <f>IF(VLOOKUP(T_BilanSocial[[#This Row],[NumL]],T_TraitDi[#Data],COLUMN(T_TraitDi[[#This Row],[NbhTW]]),FALSE)=0,"",TEXT(IFERROR(VLOOKUP(T_BilanSocial[[#This Row],[NumL]],T_TraitDi[#Data],COLUMN(T_TraitDi[[#This Row],[NbhTW]]),FALSE),""),"[hh]:mm"))</f>
        <v>#VALUE!</v>
      </c>
      <c r="BS150" s="174" t="e">
        <f>IF(VLOOKUP(T_BilanSocial[[#This Row],[NumL]],T_TraitDi[#Data],COLUMN(T_TraitDi[[#This Row],[Nbhheb]]),FALSE)=0,"",TEXT(IFERROR(VLOOKUP($A150,T_TraitDi[#Data],COLUMN(T_TraitDi[[#This Row],[Nbhheb]]),FALSE),""),"[hh]:mm"))</f>
        <v>#VALUE!</v>
      </c>
      <c r="BT150" s="182" t="str">
        <f>IFERROR(VLOOKUP(VLOOKUP($A150,T_TraitDi[#Data],COLUMN(T_TraitDi[[#This Row],[Type1]]),FALSE),TypeTW,2,FALSE),"")</f>
        <v/>
      </c>
      <c r="BU150" s="182" t="str">
        <f>IFERROR(VLOOKUP($A150,T_TraitDi[#Data],COLUMN(T_TraitDi[[#This Row],[Rue1]]),FALSE),"")</f>
        <v/>
      </c>
      <c r="BV150" s="173" t="str">
        <f>IFERROR(VLOOKUP($A150,T_TraitDi[#Data],COLUMN(T_TraitDi[[#This Row],[CP1]]),FALSE),"")</f>
        <v/>
      </c>
      <c r="BW150" s="173" t="str">
        <f>IFERROR(VLOOKUP($A150,T_TraitDi[#Data],COLUMN(T_TraitDi[[#This Row],[VILLE1]]),FALSE),"")</f>
        <v/>
      </c>
      <c r="BX150" s="182" t="str">
        <f>IFERROR(VLOOKUP(VLOOKUP($A150,T_TraitDi[#Data],COLUMN(T_TraitDi[[#This Row],[Type2]]),FALSE),TypeTW,2,FALSE),"")</f>
        <v/>
      </c>
      <c r="BY150" s="182" t="str">
        <f>IFERROR(VLOOKUP($A150,T_TraitDi[#Data],COLUMN(T_TraitDi[[#This Row],[Rue2]]),FALSE),"")</f>
        <v/>
      </c>
      <c r="BZ150" s="173" t="str">
        <f>IFERROR(VLOOKUP($A150,T_TraitDi[#Data],COLUMN(T_TraitDi[[#This Row],[CP2]]),FALSE),"")</f>
        <v/>
      </c>
      <c r="CA150" s="173" t="str">
        <f>IFERROR(VLOOKUP($A150,T_TraitDi[#Data],COLUMN(T_TraitDi[[#This Row],[VILLE2]]),FALSE),"")</f>
        <v/>
      </c>
      <c r="CB150" s="182" t="str">
        <f>IF(VLOOKUP(T_BilanSocial[[#This Row],[NumL]],T_Equipement[#Data],COLUMN(T_Equipement[[#This Row],[PC]]),FALSE)="","Aucun équipement spécifique directement lié au télétravail",VLOOKUP(T_BilanSocial[[#This Row],[NumL]],T_Equipement[#Data],COLUMN(T_Equipement[[#This Row],[PC]]),FALSE))</f>
        <v xml:space="preserve">19-582	</v>
      </c>
      <c r="CC150" s="166" t="str">
        <f>IFERROR(IF(VLOOKUP(T_BilanSocial[[#This Row],[NumL]],T_TraitDi[#Data],COLUMN(T_TraitDi[[#This Row],[Plan]]),FALSE)="OK","Un planning spécifique de télétravail est annexé à la présente convention.",""),"")</f>
        <v/>
      </c>
      <c r="CD150" s="258" t="s">
        <v>3384</v>
      </c>
      <c r="CE150" s="164" t="e">
        <f>IF(VLOOKUP(T_BilanSocial[[#This Row],[NumL]],T_suiviDi[#Data],COLUMN(T_suiviDi[[#This Row],[Entité]]),FALSE)="","",VLOOKUP(T_BilanSocial[[#This Row],[NumL]],T_suiviDi[#Data],COLUMN(T_suiviDi[[#This Row],[Entité]]),FALSE))</f>
        <v>#VALUE!</v>
      </c>
      <c r="CF150" s="164" t="str">
        <f>IF(VLOOKUP(T_BilanSocial[[#This Row],[NumL]],T_Commission[#Data],COLUMN(T_Commission[[#This Row],[envoi confirm TW]]),FALSE)="","",VLOOKUP(T_BilanSocial[[#This Row],[NumL]],T_Commission[#Data],COLUMN(T_Commission[[#This Row],[envoi confirm TW]]),FALSE))</f>
        <v>Oui</v>
      </c>
      <c r="CG15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0" s="262" t="str">
        <f>T_BilanSocial[[#This Row],[Nom]]&amp;T_BilanSocial[[#This Row],[Prenom]]</f>
        <v/>
      </c>
      <c r="CI150" s="262">
        <f>VLOOKUP(T_BilanSocial[[#This Row],[NumL]],T_Commission[#Data],COLUMN(T_Commission[Commentaire]),FALSE)</f>
        <v>0</v>
      </c>
      <c r="CJ150" s="262" t="str">
        <f>IF(VLOOKUP(T_BilanSocial[[#This Row],[NumL]],T_Commission[#Data],COLUMN(T_Commission[Encadrant Email]),FALSE)="","",VLOOKUP(T_BilanSocial[[#This Row],[NumL]],T_Commission[#Data],COLUMN(T_Commission[Encadrant Email]),FALSE))</f>
        <v/>
      </c>
      <c r="CK150" s="340" t="str">
        <f>IF(T_BilanSocial[[#This Row],[Final]]&lt;&gt;"",VLOOKUP(T_BilanSocial[[#This Row],[NumL]],T_suiviDi[#Data],COLUMN((T_suiviDi[Statut])),FALSE),"")</f>
        <v/>
      </c>
    </row>
    <row r="151" spans="1:89" s="106" customFormat="1" ht="24.75" customHeight="1" x14ac:dyDescent="0.25">
      <c r="A151" s="160">
        <v>148</v>
      </c>
      <c r="B151" s="161" t="str">
        <f t="shared" si="22"/>
        <v/>
      </c>
      <c r="C151" s="162" t="s">
        <v>173</v>
      </c>
      <c r="D151" s="95" t="e">
        <f>IF(VLOOKUP(T_BilanSocial[[#This Row],[NumL]],T_TraitDi[#Data],COLUMN(T_TraitDi[[#This Row],[WebC]]),FALSE)="","",VLOOKUP(T_BilanSocial[[#This Row],[NumL]],T_TraitDi[#Data],COLUMN(T_TraitDi[[#This Row],[WebC]]),FALSE))</f>
        <v>#VALUE!</v>
      </c>
      <c r="E151" s="163" t="str">
        <f t="shared" si="23"/>
        <v>12 janvier 2021</v>
      </c>
      <c r="F151" s="96" t="str">
        <f>IF(T_BilanSocial[[#This Row],[Final]]&lt;&gt;"",VLOOKUP(T_BilanSocial[[#This Row],[NumL]],T_suiviDi[#Data],COLUMN((T_suiviDi[Civ.])),FALSE),"")</f>
        <v/>
      </c>
      <c r="G151" s="96" t="str">
        <f>IF(T_BilanSocial[[#This Row],[Final]]&lt;&gt;"",VLOOKUP(T_BilanSocial[[#This Row],[NumL]],T_suiviDi[#Data],COLUMN((T_suiviDi[Nom])),FALSE),"")</f>
        <v/>
      </c>
      <c r="H151" s="96" t="str">
        <f>IF(T_BilanSocial[[#This Row],[Final]]&lt;&gt;"",VLOOKUP(T_BilanSocial[[#This Row],[NumL]],T_suiviDi[#Data],COLUMN((T_suiviDi[Prénom])),FALSE),"")</f>
        <v/>
      </c>
      <c r="I151" s="96" t="str">
        <f>IFERROR(VLOOKUP(T_BilanSocial[[#This Row],[Zone_Bilan]],T_P_BilanSocial[#Data],COLUMN(T_P_BilanSocial[[#This Row],[Numero_SIHAM]]),FALSE),"")</f>
        <v/>
      </c>
      <c r="J151" s="96" t="str">
        <f>IFERROR(VLOOKUP(T_BilanSocial[[#This Row],[Zone_Bilan]],T_P_BilanSocial[#Data],COLUMN(T_P_BilanSocial[[#This Row],[Sexe]]),FALSE),"")</f>
        <v/>
      </c>
      <c r="K151" s="97" t="str">
        <f>IFERROR(VLOOKUP(T_BilanSocial[[#This Row],[Zone_Bilan]],T_P_BilanSocial[#Data],COLUMN(T_P_BilanSocial[[#This Row],[Categorie]]),FALSE),"")</f>
        <v/>
      </c>
      <c r="L151" s="96" t="str">
        <f>IFERROR(VLOOKUP(T_BilanSocial[[#This Row],[Zone_Bilan]],T_P_BilanSocial[#Data],COLUMN(T_P_BilanSocial[[#This Row],[Statut]]),FALSE),"")</f>
        <v/>
      </c>
      <c r="M151" s="96" t="str">
        <f>IFERROR(VLOOKUP(T_BilanSocial[[#This Row],[Zone_Bilan]],T_P_BilanSocial[#Data],COLUMN(T_P_BilanSocial[[#This Row],[Filiere]]),FALSE),"")</f>
        <v/>
      </c>
      <c r="N151" s="96" t="e">
        <f>VLOOKUP(T_BilanSocial[[#This Row],[NumL]],T_TraitDi[#Data],COLUMN(T_TraitDi[EXP]),FALSE)</f>
        <v>#N/A</v>
      </c>
      <c r="O151" s="96" t="e">
        <f>VLOOKUP(T_BilanSocial[[#This Row],[NumL]],T_TraitDi[#Data],COLUMN(T_TraitDi[FORM]),FALSE)</f>
        <v>#N/A</v>
      </c>
      <c r="P151" s="96" t="str">
        <f>IF(T_BilanSocial[[#This Row],[Final]]&lt;&gt;"",VLOOKUP(T_BilanSocial[[#This Row],[NumL]],T_suiviDi[#Data],COLUMN((T_suiviDi[Email])),FALSE),"")</f>
        <v/>
      </c>
      <c r="Q151" s="164" t="e">
        <f t="shared" si="28"/>
        <v>#N/A</v>
      </c>
      <c r="R151" s="164" t="e">
        <f t="shared" si="29"/>
        <v>#N/A</v>
      </c>
      <c r="S151" s="164" t="e">
        <f>IF(VLOOKUP(T_BilanSocial[[#This Row],[NumL]],T_suiviDi[#Data],COLUMN(T_suiviDi[[#This Row],[Service ]]),FALSE)="","",VLOOKUP(T_BilanSocial[[#This Row],[NumL]],T_suiviDi[#Data],COLUMN(T_suiviDi[[#This Row],[Service ]]),FALSE))</f>
        <v>#VALUE!</v>
      </c>
      <c r="T151" s="164" t="str">
        <f t="shared" si="24"/>
        <v>01 septembre 2021</v>
      </c>
      <c r="U151" s="164" t="str">
        <f t="shared" si="25"/>
        <v>30 novembre 2021</v>
      </c>
      <c r="V151" s="96" t="str">
        <f t="shared" si="30"/>
        <v>30 novembre 2021</v>
      </c>
      <c r="W151" s="176" t="e">
        <f>IF(VLOOKUP(T_BilanSocial[[#This Row],[NumL]],T_TraitDi[#Data],COLUMN(T_TraitDi[[#This Row],[M1]]),FALSE)="","",VLOOKUP(T_BilanSocial[[#This Row],[NumL]],T_TraitDi[#Data],COLUMN(T_TraitDi[[#This Row],[M1]]),FALSE))</f>
        <v>#VALUE!</v>
      </c>
      <c r="X151" s="176" t="e">
        <f>IF(VLOOKUP(T_BilanSocial[[#This Row],[NumL]],T_TraitDi[#Data],COLUMN(T_TraitDi[[#This Row],[M2]]),FALSE)="","",VLOOKUP(T_BilanSocial[[#This Row],[NumL]],T_TraitDi[#Data],COLUMN(T_TraitDi[[#This Row],[M2]]),FALSE))</f>
        <v>#VALUE!</v>
      </c>
      <c r="Y151" s="176" t="e">
        <f>IF(VLOOKUP(T_BilanSocial[[#This Row],[NumL]],T_TraitDi[#Data],COLUMN(T_TraitDi[[#This Row],[M3]]),FALSE)="","",VLOOKUP(T_BilanSocial[[#This Row],[NumL]],T_TraitDi[#Data],COLUMN(T_TraitDi[[#This Row],[M3]]),FALSE))</f>
        <v>#VALUE!</v>
      </c>
      <c r="Z151" s="176" t="str">
        <f t="shared" si="27"/>
        <v/>
      </c>
      <c r="AA151" s="176" t="e">
        <f>IF(VLOOKUP(T_BilanSocial[[#This Row],[NumL]],T_TraitDi[#Data],COLUMN(T_TraitDi[[#This Row],[M5]]),FALSE)="","",VLOOKUP(T_BilanSocial[[#This Row],[NumL]],T_TraitDi[#Data],COLUMN(T_TraitDi[[#This Row],[M5]]),FALSE))</f>
        <v>#VALUE!</v>
      </c>
      <c r="AB151" s="176" t="e">
        <f>IF(VLOOKUP(T_BilanSocial[[#This Row],[NumL]],T_TraitDi[#Data],COLUMN(T_TraitDi[[#This Row],[M6]]),FALSE)="","",VLOOKUP(T_BilanSocial[[#This Row],[NumL]],T_TraitDi[#Data],COLUMN(T_TraitDi[[#This Row],[M6]]),FALSE))</f>
        <v>#VALUE!</v>
      </c>
      <c r="AC151" s="165" t="e">
        <f t="shared" si="26"/>
        <v>#VALUE!</v>
      </c>
      <c r="AD151" s="188" t="str">
        <f>IFERROR(TEXT(VLOOKUP(T_BilanSocial[[#This Row],[NumL]],T_TraitDi[#Data],COLUMN(T_TraitDi[[#This Row],[Q2]]),FALSE),"###%"),"")</f>
        <v/>
      </c>
      <c r="AE151" s="97" t="e">
        <f>VLOOKUP(T_BilanSocial[[#This Row],[NumL]],T_TraitDi[#Data],COLUMN(T_TraitDi[[#This Row],[Reg Ponct]]),FALSE)</f>
        <v>#VALUE!</v>
      </c>
      <c r="AF151" s="97" t="e">
        <f>VLOOKUP(T_BilanSocial[NumL],T_TraitDi[#Data],COLUMN(T_TraitDi[[#This Row],[Jours flottants]]),FALSE)</f>
        <v>#VALUE!</v>
      </c>
      <c r="AG151" s="97" t="str">
        <f>IFERROR(VLOOKUP(T_BilanSocial[[#This Row],[NumL]],T_TraitDi[#Data],COLUMN(T_TraitDi[[#This Row],[Lundi]]),FALSE),"")</f>
        <v/>
      </c>
      <c r="AH151" s="172" t="e">
        <f>IF(VLOOKUP(T_BilanSocial[[#This Row],[NumL]],T_TraitDi[#Data],COLUMN(T_TraitDi[[#This Row],[Colonne3]]),FALSE)=0,"",TEXT(IFERROR(VLOOKUP(T_BilanSocial[[#This Row],[NumL]],T_TraitDi[#Data],COLUMN(T_TraitDi[[#This Row],[Colonne3]]),FALSE),""),"[hh]:mm"))</f>
        <v>#VALUE!</v>
      </c>
      <c r="AI151" s="172" t="e">
        <f>IF(VLOOKUP(T_BilanSocial[[#This Row],[NumL]],T_TraitDi[#Data],COLUMN(T_TraitDi[[#This Row],[Colonne4]]),FALSE)=0,"",TEXT(IFERROR(VLOOKUP(T_BilanSocial[[#This Row],[NumL]],T_TraitDi[#Data],COLUMN(T_TraitDi[[#This Row],[Colonne4]]),FALSE),""),"[hh]:mm"))</f>
        <v>#VALUE!</v>
      </c>
      <c r="AJ151" s="172" t="e">
        <f>IF(VLOOKUP(T_BilanSocial[[#This Row],[NumL]],T_TraitDi[#Data],COLUMN(T_TraitDi[[#This Row],[Colonne5]]),FALSE)=0,"",TEXT(IFERROR(VLOOKUP(T_BilanSocial[[#This Row],[NumL]],T_TraitDi[#Data],COLUMN(T_TraitDi[[#This Row],[Colonne5]]),FALSE),""),"[hh]:mm"))</f>
        <v>#VALUE!</v>
      </c>
      <c r="AK151" s="172" t="e">
        <f>IF(VLOOKUP(T_BilanSocial[[#This Row],[NumL]],T_TraitDi[#Data],COLUMN(T_TraitDi[[#This Row],[Colonne6]]),FALSE)=0,"",TEXT(IFERROR(VLOOKUP(T_BilanSocial[[#This Row],[NumL]],T_TraitDi[#Data],COLUMN(T_TraitDi[[#This Row],[Colonne6]]),FALSE),""),"[hh]:mm"))</f>
        <v>#VALUE!</v>
      </c>
      <c r="AL151" s="172" t="e">
        <f>IF(VLOOKUP(T_BilanSocial[[#This Row],[NumL]],T_TraitDi[#Data],COLUMN(T_TraitDi[[#This Row],[Colonne7]]),FALSE)=0,"",TEXT(IFERROR(VLOOKUP(T_BilanSocial[[#This Row],[NumL]],T_TraitDi[#Data],COLUMN(T_TraitDi[[#This Row],[Colonne7]]),FALSE),""),"[hh]:mm"))</f>
        <v>#VALUE!</v>
      </c>
      <c r="AM151" s="172" t="e">
        <f>IF(VLOOKUP(T_BilanSocial[[#This Row],[NumL]],T_TraitDi[#Data],COLUMN(T_TraitDi[[#This Row],[Colonne8]]),FALSE)=0,"",TEXT(IFERROR(VLOOKUP(T_BilanSocial[[#This Row],[NumL]],T_TraitDi[#Data],COLUMN(T_TraitDi[[#This Row],[Colonne8]]),FALSE),""),"[hh]:mm"))</f>
        <v>#VALUE!</v>
      </c>
      <c r="AN151" s="172" t="str">
        <f>IFERROR(VLOOKUP(T_BilanSocial[[#This Row],[NumL]],T_TraitDi[#Data],COLUMN(T_TraitDi[[#This Row],[Mardi]]),FALSE),"")</f>
        <v/>
      </c>
      <c r="AO151" s="172" t="e">
        <f>IF(VLOOKUP(T_BilanSocial[[#This Row],[NumL]],T_TraitDi[#Data],COLUMN(T_TraitDi[[#This Row],[Colonne1]]),FALSE)=0,"",TEXT(IFERROR(VLOOKUP(T_BilanSocial[[#This Row],[NumL]],T_TraitDi[#Data],COLUMN(T_TraitDi[[#This Row],[Colonne1]]),FALSE),""),"[hh]:mm"))</f>
        <v>#VALUE!</v>
      </c>
      <c r="AP151" s="172" t="e">
        <f>IF(VLOOKUP(T_BilanSocial[[#This Row],[NumL]],T_TraitDi[#Data],COLUMN(T_TraitDi[[#This Row],[Colonne9]]),FALSE)=0,"",TEXT(IFERROR(VLOOKUP(T_BilanSocial[[#This Row],[NumL]],T_TraitDi[#Data],COLUMN(T_TraitDi[[#This Row],[Colonne9]]),FALSE),""),"[hh]:mm"))</f>
        <v>#VALUE!</v>
      </c>
      <c r="AQ151" s="172" t="str">
        <f>IFERROR(VLOOKUP(T_BilanSocial[[#This Row],[NumL]],T_TraitDi[#Data],COLUMN(T_TraitDi[[#This Row],[Colonne10]]),FALSE),"")</f>
        <v/>
      </c>
      <c r="AR151" s="172" t="e">
        <f>IF(VLOOKUP(T_BilanSocial[[#This Row],[NumL]],T_TraitDi[#Data],COLUMN(T_TraitDi[[#This Row],[Colonne11]]),FALSE)=0,"",TEXT(IFERROR(VLOOKUP(T_BilanSocial[[#This Row],[NumL]],T_TraitDi[#Data],COLUMN(T_TraitDi[[#This Row],[Colonne11]]),FALSE),""),"[hh]:mm"))</f>
        <v>#VALUE!</v>
      </c>
      <c r="AS151" s="172" t="e">
        <f>IF(VLOOKUP(T_BilanSocial[[#This Row],[NumL]],T_TraitDi[#Data],COLUMN(T_TraitDi[[#This Row],[Colonne12]]),FALSE)=0,"",TEXT(IFERROR(VLOOKUP(T_BilanSocial[[#This Row],[NumL]],T_TraitDi[#Data],COLUMN(T_TraitDi[[#This Row],[Colonne12]]),FALSE),""),"[hh]:mm"))</f>
        <v>#VALUE!</v>
      </c>
      <c r="AT151" s="172" t="e">
        <f>IF(VLOOKUP(T_BilanSocial[[#This Row],[NumL]],T_TraitDi[#Data],COLUMN(T_TraitDi[[#This Row],[Colonne14]]),FALSE)=0,"",TEXT(IFERROR(VLOOKUP(T_BilanSocial[[#This Row],[NumL]],T_TraitDi[#Data],COLUMN(T_TraitDi[[#This Row],[Colonne14]]),FALSE),""),"[hh]:mm"))</f>
        <v>#VALUE!</v>
      </c>
      <c r="AU151" s="172" t="str">
        <f>IFERROR(VLOOKUP(T_BilanSocial[[#This Row],[NumL]],T_TraitDi[#Data],COLUMN(T_TraitDi[[#This Row],[Mercredi]]),FALSE),"")</f>
        <v/>
      </c>
      <c r="AV151" s="172" t="e">
        <f>IF(VLOOKUP(T_BilanSocial[[#This Row],[NumL]],T_TraitDi[#Data],COLUMN(T_TraitDi[[#This Row],[Colonne15]]),FALSE)=0,"",TEXT(IFERROR(VLOOKUP(T_BilanSocial[[#This Row],[NumL]],T_TraitDi[#Data],COLUMN(T_TraitDi[[#This Row],[Colonne15]]),FALSE),""),"[hh]:mm"))</f>
        <v>#VALUE!</v>
      </c>
      <c r="AW151" s="172" t="e">
        <f>IF(VLOOKUP(T_BilanSocial[[#This Row],[NumL]],T_TraitDi[#Data],COLUMN(T_TraitDi[[#This Row],[Colonne16]]),FALSE)=0,"",TEXT(IFERROR(VLOOKUP(T_BilanSocial[[#This Row],[NumL]],T_TraitDi[#Data],COLUMN(T_TraitDi[[#This Row],[Colonne16]]),FALSE),""),"[hh]:mm"))</f>
        <v>#VALUE!</v>
      </c>
      <c r="AX151" s="172" t="str">
        <f>IFERROR(VLOOKUP(T_BilanSocial[[#This Row],[NumL]],T_TraitDi[#Data],COLUMN(T_TraitDi[[#This Row],[Colonne17]]),FALSE),"")</f>
        <v/>
      </c>
      <c r="AY151" s="172" t="e">
        <f>IF(VLOOKUP(T_BilanSocial[[#This Row],[NumL]],T_TraitDi[#Data],COLUMN(T_TraitDi[[#This Row],[Colonne18]]),FALSE)=0,"",TEXT(IFERROR(VLOOKUP(T_BilanSocial[[#This Row],[NumL]],T_TraitDi[#Data],COLUMN(T_TraitDi[[#This Row],[Colonne18]]),FALSE),""),"[hh]:mm"))</f>
        <v>#VALUE!</v>
      </c>
      <c r="AZ151" s="172" t="e">
        <f>IF(VLOOKUP(T_BilanSocial[[#This Row],[NumL]],T_TraitDi[#Data],COLUMN(T_TraitDi[[#This Row],[Colonne19]]),FALSE)=0,"",TEXT(IFERROR(VLOOKUP(T_BilanSocial[[#This Row],[NumL]],T_TraitDi[#Data],COLUMN(T_TraitDi[[#This Row],[Colonne19]]),FALSE),""),"[hh]:mm"))</f>
        <v>#VALUE!</v>
      </c>
      <c r="BA151" s="172" t="e">
        <f>IF(VLOOKUP(T_BilanSocial[[#This Row],[NumL]],T_TraitDi[#Data],COLUMN(T_TraitDi[[#This Row],[Colonne20]]),FALSE)=0,"",TEXT(IFERROR(VLOOKUP(T_BilanSocial[[#This Row],[NumL]],T_TraitDi[#Data],COLUMN(T_TraitDi[[#This Row],[Colonne20]]),FALSE),""),"[hh]:mm"))</f>
        <v>#VALUE!</v>
      </c>
      <c r="BB151" s="178" t="str">
        <f>IFERROR(VLOOKUP(T_BilanSocial[[#This Row],[NumL]],T_TraitDi[#Data],COLUMN(T_TraitDi[[#This Row],[Jeudi]]),FALSE),"")</f>
        <v/>
      </c>
      <c r="BC151" s="178" t="e">
        <f>IF(VLOOKUP(T_BilanSocial[[#This Row],[NumL]],T_TraitDi[#Data],COLUMN(T_TraitDi[[#This Row],[Colonne21]]),FALSE)=0,"",TEXT(IFERROR(VLOOKUP(T_BilanSocial[[#This Row],[NumL]],T_TraitDi[#Data],COLUMN(T_TraitDi[[#This Row],[Colonne21]]),FALSE),""),"[hh]:mm"))</f>
        <v>#VALUE!</v>
      </c>
      <c r="BD151" s="178" t="e">
        <f>IF(VLOOKUP(T_BilanSocial[[#This Row],[NumL]],T_TraitDi[#Data],COLUMN(T_TraitDi[[#This Row],[Colonne22]]),FALSE)=0,"",TEXT(IFERROR(VLOOKUP(T_BilanSocial[[#This Row],[NumL]],T_TraitDi[#Data],COLUMN(T_TraitDi[[#This Row],[Colonne22]]),FALSE),""),"[hh]:mm"))</f>
        <v>#VALUE!</v>
      </c>
      <c r="BE151" s="178" t="str">
        <f>IFERROR(VLOOKUP(T_BilanSocial[[#This Row],[NumL]],T_TraitDi[#Data],COLUMN(T_TraitDi[[#This Row],[Colonne23]]),FALSE),"")</f>
        <v/>
      </c>
      <c r="BF151" s="178" t="e">
        <f>IF(VLOOKUP(T_BilanSocial[[#This Row],[NumL]],T_TraitDi[#Data],COLUMN(T_TraitDi[[#This Row],[Colonne24]]),FALSE)=0,"",TEXT(IFERROR(VLOOKUP(T_BilanSocial[[#This Row],[NumL]],T_TraitDi[#Data],COLUMN(T_TraitDi[[#This Row],[Colonne24]]),FALSE),""),"[hh]:mm"))</f>
        <v>#VALUE!</v>
      </c>
      <c r="BG151" s="178" t="e">
        <f>IF(VLOOKUP(T_BilanSocial[[#This Row],[NumL]],T_TraitDi[#Data],COLUMN(T_TraitDi[[#This Row],[Colonne25]]),FALSE)=0,"",TEXT(IFERROR(VLOOKUP(T_BilanSocial[[#This Row],[NumL]],T_TraitDi[#Data],COLUMN(T_TraitDi[[#This Row],[Colonne25]]),FALSE),""),"[hh]:mm"))</f>
        <v>#VALUE!</v>
      </c>
      <c r="BH151" s="178" t="e">
        <f>IF(VLOOKUP(T_BilanSocial[[#This Row],[NumL]],T_TraitDi[#Data],COLUMN(T_TraitDi[[#This Row],[Colonne26]]),FALSE)=0,"",TEXT(IFERROR(VLOOKUP(T_BilanSocial[[#This Row],[NumL]],T_TraitDi[#Data],COLUMN(T_TraitDi[[#This Row],[Colonne26]]),FALSE),""),"[hh]:mm"))</f>
        <v>#VALUE!</v>
      </c>
      <c r="BI151" s="172" t="str">
        <f>IFERROR(VLOOKUP(T_BilanSocial[[#This Row],[NumL]],T_TraitDi[#Data],COLUMN(T_TraitDi[[#This Row],[Vendredi]]),FALSE),"")</f>
        <v/>
      </c>
      <c r="BJ151" s="172" t="e">
        <f>IF(VLOOKUP(T_BilanSocial[[#This Row],[NumL]],T_TraitDi[#Data],COLUMN(T_TraitDi[[#This Row],[Colonne27]]),FALSE)=0,"",TEXT(IFERROR(VLOOKUP(T_BilanSocial[[#This Row],[NumL]],T_TraitDi[#Data],COLUMN(T_TraitDi[[#This Row],[Colonne27]]),FALSE),""),"[hh]:mm"))</f>
        <v>#VALUE!</v>
      </c>
      <c r="BK151" s="172" t="e">
        <f>IF(VLOOKUP(T_BilanSocial[[#This Row],[NumL]],T_TraitDi[#Data],COLUMN(T_TraitDi[[#This Row],[Colonne28]]),FALSE)=0,"",TEXT(IFERROR(VLOOKUP(T_BilanSocial[[#This Row],[NumL]],T_TraitDi[#Data],COLUMN(T_TraitDi[[#This Row],[Colonne28]]),FALSE),""),"[hh]:mm"))</f>
        <v>#VALUE!</v>
      </c>
      <c r="BL151" s="172" t="str">
        <f>IFERROR(VLOOKUP(T_BilanSocial[[#This Row],[NumL]],T_TraitDi[#Data],COLUMN(T_TraitDi[[#This Row],[Colonne29]]),FALSE),"")</f>
        <v/>
      </c>
      <c r="BM151" s="172" t="e">
        <f>IF(VLOOKUP(T_BilanSocial[[#This Row],[NumL]],T_TraitDi[#Data],COLUMN(T_TraitDi[[#This Row],[Colonne30]]),FALSE)=0,"",TEXT(IFERROR(VLOOKUP(T_BilanSocial[[#This Row],[NumL]],T_TraitDi[#Data],COLUMN(T_TraitDi[[#This Row],[Colonne30]]),FALSE),""),"[hh]:mm"))</f>
        <v>#VALUE!</v>
      </c>
      <c r="BN151" s="172" t="e">
        <f>IF(VLOOKUP(T_BilanSocial[[#This Row],[NumL]],T_TraitDi[#Data],COLUMN(T_TraitDi[[#This Row],[Colonne31]]),FALSE)=0,"",TEXT(IFERROR(VLOOKUP(T_BilanSocial[[#This Row],[NumL]],T_TraitDi[#Data],COLUMN(T_TraitDi[[#This Row],[Colonne31]]),FALSE),""),"[hh]:mm"))</f>
        <v>#VALUE!</v>
      </c>
      <c r="BO151" s="172" t="e">
        <f>IF(VLOOKUP(T_BilanSocial[[#This Row],[NumL]],T_TraitDi[#Data],COLUMN(T_TraitDi[[#This Row],[Colonne32]]),FALSE)=0,"",TEXT(IFERROR(VLOOKUP(T_BilanSocial[[#This Row],[NumL]],T_TraitDi[#Data],COLUMN(T_TraitDi[[#This Row],[Colonne32]]),FALSE),""),"[hh]:mm"))</f>
        <v>#VALUE!</v>
      </c>
      <c r="BP151" s="172" t="e">
        <f>VLOOKUP(T_BilanSocial[[#This Row],[NumL]],T_TraitDi[#Data],COLUMN(T_TraitDi[NbJTot]),FALSE)</f>
        <v>#N/A</v>
      </c>
      <c r="BQ151" s="174" t="str">
        <f>IFERROR(VLOOKUP(T_BilanSocial[[#This Row],[NumL]],T_TraitDi[#Data],COLUMN(T_TraitDi[[#This Row],[NbJTW]]),FALSE),"")</f>
        <v/>
      </c>
      <c r="BR151" s="174" t="e">
        <f>IF(VLOOKUP(T_BilanSocial[[#This Row],[NumL]],T_TraitDi[#Data],COLUMN(T_TraitDi[[#This Row],[NbhTW]]),FALSE)=0,"",TEXT(IFERROR(VLOOKUP(T_BilanSocial[[#This Row],[NumL]],T_TraitDi[#Data],COLUMN(T_TraitDi[[#This Row],[NbhTW]]),FALSE),""),"[hh]:mm"))</f>
        <v>#VALUE!</v>
      </c>
      <c r="BS151" s="174" t="e">
        <f>IF(VLOOKUP(T_BilanSocial[[#This Row],[NumL]],T_TraitDi[#Data],COLUMN(T_TraitDi[[#This Row],[Nbhheb]]),FALSE)=0,"",TEXT(IFERROR(VLOOKUP($A151,T_TraitDi[#Data],COLUMN(T_TraitDi[[#This Row],[Nbhheb]]),FALSE),""),"[hh]:mm"))</f>
        <v>#VALUE!</v>
      </c>
      <c r="BT151" s="182" t="str">
        <f>IFERROR(VLOOKUP(VLOOKUP($A151,T_TraitDi[#Data],COLUMN(T_TraitDi[[#This Row],[Type1]]),FALSE),TypeTW,2,FALSE),"")</f>
        <v/>
      </c>
      <c r="BU151" s="182" t="str">
        <f>IFERROR(VLOOKUP($A151,T_TraitDi[#Data],COLUMN(T_TraitDi[[#This Row],[Rue1]]),FALSE),"")</f>
        <v/>
      </c>
      <c r="BV151" s="173" t="str">
        <f>IFERROR(VLOOKUP($A151,T_TraitDi[#Data],COLUMN(T_TraitDi[[#This Row],[CP1]]),FALSE),"")</f>
        <v/>
      </c>
      <c r="BW151" s="173" t="str">
        <f>IFERROR(VLOOKUP($A151,T_TraitDi[#Data],COLUMN(T_TraitDi[[#This Row],[VILLE1]]),FALSE),"")</f>
        <v/>
      </c>
      <c r="BX151" s="182" t="str">
        <f>IFERROR(VLOOKUP(VLOOKUP($A151,T_TraitDi[#Data],COLUMN(T_TraitDi[[#This Row],[Type2]]),FALSE),TypeTW,2,FALSE),"")</f>
        <v/>
      </c>
      <c r="BY151" s="182" t="str">
        <f>IFERROR(VLOOKUP($A151,T_TraitDi[#Data],COLUMN(T_TraitDi[[#This Row],[Rue2]]),FALSE),"")</f>
        <v/>
      </c>
      <c r="BZ151" s="173" t="str">
        <f>IFERROR(VLOOKUP($A151,T_TraitDi[#Data],COLUMN(T_TraitDi[[#This Row],[CP2]]),FALSE),"")</f>
        <v/>
      </c>
      <c r="CA151" s="173" t="str">
        <f>IFERROR(VLOOKUP($A151,T_TraitDi[#Data],COLUMN(T_TraitDi[[#This Row],[VILLE2]]),FALSE),"")</f>
        <v/>
      </c>
      <c r="CB151" s="182" t="str">
        <f>IF(VLOOKUP(T_BilanSocial[[#This Row],[NumL]],T_Equipement[#Data],COLUMN(T_Equipement[[#This Row],[PC]]),FALSE)="","Aucun équipement spécifique directement lié au télétravail",VLOOKUP(T_BilanSocial[[#This Row],[NumL]],T_Equipement[#Data],COLUMN(T_Equipement[[#This Row],[PC]]),FALSE))</f>
        <v xml:space="preserve">20-016	</v>
      </c>
      <c r="CC151" s="166" t="str">
        <f>IFERROR(IF(VLOOKUP(T_BilanSocial[[#This Row],[NumL]],T_TraitDi[#Data],COLUMN(T_TraitDi[[#This Row],[Plan]]),FALSE)="OK","Un planning spécifique de télétravail est annexé à la présente convention.",""),"")</f>
        <v/>
      </c>
      <c r="CD151" s="258" t="s">
        <v>3349</v>
      </c>
      <c r="CE151" s="164" t="e">
        <f>IF(VLOOKUP(T_BilanSocial[[#This Row],[NumL]],T_suiviDi[#Data],COLUMN(T_suiviDi[[#This Row],[Entité]]),FALSE)="","",VLOOKUP(T_BilanSocial[[#This Row],[NumL]],T_suiviDi[#Data],COLUMN(T_suiviDi[[#This Row],[Entité]]),FALSE))</f>
        <v>#VALUE!</v>
      </c>
      <c r="CF151" s="164" t="str">
        <f>IF(VLOOKUP(T_BilanSocial[[#This Row],[NumL]],T_Commission[#Data],COLUMN(T_Commission[[#This Row],[envoi confirm TW]]),FALSE)="","",VLOOKUP(T_BilanSocial[[#This Row],[NumL]],T_Commission[#Data],COLUMN(T_Commission[[#This Row],[envoi confirm TW]]),FALSE))</f>
        <v>Oui</v>
      </c>
      <c r="CG15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1" s="262" t="str">
        <f>T_BilanSocial[[#This Row],[Nom]]&amp;T_BilanSocial[[#This Row],[Prenom]]</f>
        <v/>
      </c>
      <c r="CI151" s="262">
        <f>VLOOKUP(T_BilanSocial[[#This Row],[NumL]],T_Commission[#Data],COLUMN(T_Commission[Commentaire]),FALSE)</f>
        <v>0</v>
      </c>
      <c r="CJ151" s="262" t="str">
        <f>IF(VLOOKUP(T_BilanSocial[[#This Row],[NumL]],T_Commission[#Data],COLUMN(T_Commission[Encadrant Email]),FALSE)="","",VLOOKUP(T_BilanSocial[[#This Row],[NumL]],T_Commission[#Data],COLUMN(T_Commission[Encadrant Email]),FALSE))</f>
        <v/>
      </c>
      <c r="CK151" s="340" t="str">
        <f>IF(T_BilanSocial[[#This Row],[Final]]&lt;&gt;"",VLOOKUP(T_BilanSocial[[#This Row],[NumL]],T_suiviDi[#Data],COLUMN((T_suiviDi[Statut])),FALSE),"")</f>
        <v/>
      </c>
    </row>
    <row r="152" spans="1:89" s="106" customFormat="1" ht="24.75" customHeight="1" x14ac:dyDescent="0.25">
      <c r="A152" s="160">
        <v>149</v>
      </c>
      <c r="B152" s="161" t="str">
        <f t="shared" si="22"/>
        <v/>
      </c>
      <c r="C152" s="162" t="s">
        <v>173</v>
      </c>
      <c r="D152" s="95" t="e">
        <f>IF(VLOOKUP(T_BilanSocial[[#This Row],[NumL]],T_TraitDi[#Data],COLUMN(T_TraitDi[[#This Row],[WebC]]),FALSE)="","",VLOOKUP(T_BilanSocial[[#This Row],[NumL]],T_TraitDi[#Data],COLUMN(T_TraitDi[[#This Row],[WebC]]),FALSE))</f>
        <v>#VALUE!</v>
      </c>
      <c r="E152" s="163" t="str">
        <f t="shared" si="23"/>
        <v>12 janvier 2021</v>
      </c>
      <c r="F152" s="96" t="str">
        <f>IF(T_BilanSocial[[#This Row],[Final]]&lt;&gt;"",VLOOKUP(T_BilanSocial[[#This Row],[NumL]],T_suiviDi[#Data],COLUMN((T_suiviDi[Civ.])),FALSE),"")</f>
        <v/>
      </c>
      <c r="G152" s="96" t="str">
        <f>IF(T_BilanSocial[[#This Row],[Final]]&lt;&gt;"",VLOOKUP(T_BilanSocial[[#This Row],[NumL]],T_suiviDi[#Data],COLUMN((T_suiviDi[Nom])),FALSE),"")</f>
        <v/>
      </c>
      <c r="H152" s="96" t="str">
        <f>IF(T_BilanSocial[[#This Row],[Final]]&lt;&gt;"",VLOOKUP(T_BilanSocial[[#This Row],[NumL]],T_suiviDi[#Data],COLUMN((T_suiviDi[Prénom])),FALSE),"")</f>
        <v/>
      </c>
      <c r="I152" s="96" t="str">
        <f>IFERROR(VLOOKUP(T_BilanSocial[[#This Row],[Zone_Bilan]],T_P_BilanSocial[#Data],COLUMN(T_P_BilanSocial[[#This Row],[Numero_SIHAM]]),FALSE),"")</f>
        <v/>
      </c>
      <c r="J152" s="96" t="str">
        <f>IFERROR(VLOOKUP(T_BilanSocial[[#This Row],[Zone_Bilan]],T_P_BilanSocial[#Data],COLUMN(T_P_BilanSocial[[#This Row],[Sexe]]),FALSE),"")</f>
        <v/>
      </c>
      <c r="K152" s="97" t="str">
        <f>IFERROR(VLOOKUP(T_BilanSocial[[#This Row],[Zone_Bilan]],T_P_BilanSocial[#Data],COLUMN(T_P_BilanSocial[[#This Row],[Categorie]]),FALSE),"")</f>
        <v/>
      </c>
      <c r="L152" s="96" t="str">
        <f>IFERROR(VLOOKUP(T_BilanSocial[[#This Row],[Zone_Bilan]],T_P_BilanSocial[#Data],COLUMN(T_P_BilanSocial[[#This Row],[Statut]]),FALSE),"")</f>
        <v/>
      </c>
      <c r="M152" s="96" t="str">
        <f>IFERROR(VLOOKUP(T_BilanSocial[[#This Row],[Zone_Bilan]],T_P_BilanSocial[#Data],COLUMN(T_P_BilanSocial[[#This Row],[Filiere]]),FALSE),"")</f>
        <v/>
      </c>
      <c r="N152" s="96" t="e">
        <f>VLOOKUP(T_BilanSocial[[#This Row],[NumL]],T_TraitDi[#Data],COLUMN(T_TraitDi[EXP]),FALSE)</f>
        <v>#N/A</v>
      </c>
      <c r="O152" s="96" t="e">
        <f>VLOOKUP(T_BilanSocial[[#This Row],[NumL]],T_TraitDi[#Data],COLUMN(T_TraitDi[FORM]),FALSE)</f>
        <v>#N/A</v>
      </c>
      <c r="P152" s="96" t="str">
        <f>IF(T_BilanSocial[[#This Row],[Final]]&lt;&gt;"",VLOOKUP(T_BilanSocial[[#This Row],[NumL]],T_suiviDi[#Data],COLUMN((T_suiviDi[Email])),FALSE),"")</f>
        <v/>
      </c>
      <c r="Q152" s="164" t="e">
        <f t="shared" si="28"/>
        <v>#N/A</v>
      </c>
      <c r="R152" s="164" t="e">
        <f t="shared" si="29"/>
        <v>#N/A</v>
      </c>
      <c r="S152" s="164" t="e">
        <f>IF(VLOOKUP(T_BilanSocial[[#This Row],[NumL]],T_suiviDi[#Data],COLUMN(T_suiviDi[[#This Row],[Service ]]),FALSE)="","",VLOOKUP(T_BilanSocial[[#This Row],[NumL]],T_suiviDi[#Data],COLUMN(T_suiviDi[[#This Row],[Service ]]),FALSE))</f>
        <v>#VALUE!</v>
      </c>
      <c r="T152" s="164" t="str">
        <f t="shared" si="24"/>
        <v>01 septembre 2021</v>
      </c>
      <c r="U152" s="164" t="str">
        <f t="shared" si="25"/>
        <v>30 novembre 2021</v>
      </c>
      <c r="V152" s="164" t="str">
        <f t="shared" si="30"/>
        <v>30 novembre 2021</v>
      </c>
      <c r="W152" s="176" t="e">
        <f>IF(VLOOKUP(T_BilanSocial[[#This Row],[NumL]],T_TraitDi[#Data],COLUMN(T_TraitDi[[#This Row],[M1]]),FALSE)="","",VLOOKUP(T_BilanSocial[[#This Row],[NumL]],T_TraitDi[#Data],COLUMN(T_TraitDi[[#This Row],[M1]]),FALSE))</f>
        <v>#VALUE!</v>
      </c>
      <c r="X152" s="176" t="e">
        <f>IF(VLOOKUP(T_BilanSocial[[#This Row],[NumL]],T_TraitDi[#Data],COLUMN(T_TraitDi[[#This Row],[M2]]),FALSE)="","",VLOOKUP(T_BilanSocial[[#This Row],[NumL]],T_TraitDi[#Data],COLUMN(T_TraitDi[[#This Row],[M2]]),FALSE))</f>
        <v>#VALUE!</v>
      </c>
      <c r="Y152" s="176" t="e">
        <f>IF(VLOOKUP(T_BilanSocial[[#This Row],[NumL]],T_TraitDi[#Data],COLUMN(T_TraitDi[[#This Row],[M3]]),FALSE)="","",VLOOKUP(T_BilanSocial[[#This Row],[NumL]],T_TraitDi[#Data],COLUMN(T_TraitDi[[#This Row],[M3]]),FALSE))</f>
        <v>#VALUE!</v>
      </c>
      <c r="Z152" s="176" t="str">
        <f t="shared" si="27"/>
        <v/>
      </c>
      <c r="AA152" s="176" t="e">
        <f>IF(VLOOKUP(T_BilanSocial[[#This Row],[NumL]],T_TraitDi[#Data],COLUMN(T_TraitDi[[#This Row],[M5]]),FALSE)="","",VLOOKUP(T_BilanSocial[[#This Row],[NumL]],T_TraitDi[#Data],COLUMN(T_TraitDi[[#This Row],[M5]]),FALSE))</f>
        <v>#VALUE!</v>
      </c>
      <c r="AB152" s="176" t="e">
        <f>IF(VLOOKUP(T_BilanSocial[[#This Row],[NumL]],T_TraitDi[#Data],COLUMN(T_TraitDi[[#This Row],[M6]]),FALSE)="","",VLOOKUP(T_BilanSocial[[#This Row],[NumL]],T_TraitDi[#Data],COLUMN(T_TraitDi[[#This Row],[M6]]),FALSE))</f>
        <v>#VALUE!</v>
      </c>
      <c r="AC152" s="165" t="e">
        <f t="shared" si="26"/>
        <v>#VALUE!</v>
      </c>
      <c r="AD152" s="188" t="str">
        <f>IFERROR(TEXT(VLOOKUP(T_BilanSocial[[#This Row],[NumL]],T_TraitDi[#Data],COLUMN(T_TraitDi[[#This Row],[Q2]]),FALSE),"###%"),"")</f>
        <v/>
      </c>
      <c r="AE152" s="97" t="e">
        <f>VLOOKUP(T_BilanSocial[[#This Row],[NumL]],T_TraitDi[#Data],COLUMN(T_TraitDi[[#This Row],[Reg Ponct]]),FALSE)</f>
        <v>#VALUE!</v>
      </c>
      <c r="AF152" s="97" t="e">
        <f>VLOOKUP(T_BilanSocial[NumL],T_TraitDi[#Data],COLUMN(T_TraitDi[[#This Row],[Jours flottants]]),FALSE)</f>
        <v>#VALUE!</v>
      </c>
      <c r="AG152" s="97" t="str">
        <f>IFERROR(VLOOKUP(T_BilanSocial[[#This Row],[NumL]],T_TraitDi[#Data],COLUMN(T_TraitDi[[#This Row],[Lundi]]),FALSE),"")</f>
        <v/>
      </c>
      <c r="AH152" s="172" t="e">
        <f>IF(VLOOKUP(T_BilanSocial[[#This Row],[NumL]],T_TraitDi[#Data],COLUMN(T_TraitDi[[#This Row],[Colonne3]]),FALSE)=0,"",TEXT(IFERROR(VLOOKUP(T_BilanSocial[[#This Row],[NumL]],T_TraitDi[#Data],COLUMN(T_TraitDi[[#This Row],[Colonne3]]),FALSE),""),"[hh]:mm"))</f>
        <v>#VALUE!</v>
      </c>
      <c r="AI152" s="172" t="e">
        <f>IF(VLOOKUP(T_BilanSocial[[#This Row],[NumL]],T_TraitDi[#Data],COLUMN(T_TraitDi[[#This Row],[Colonne4]]),FALSE)=0,"",TEXT(IFERROR(VLOOKUP(T_BilanSocial[[#This Row],[NumL]],T_TraitDi[#Data],COLUMN(T_TraitDi[[#This Row],[Colonne4]]),FALSE),""),"[hh]:mm"))</f>
        <v>#VALUE!</v>
      </c>
      <c r="AJ152" s="172" t="e">
        <f>IF(VLOOKUP(T_BilanSocial[[#This Row],[NumL]],T_TraitDi[#Data],COLUMN(T_TraitDi[[#This Row],[Colonne5]]),FALSE)=0,"",TEXT(IFERROR(VLOOKUP(T_BilanSocial[[#This Row],[NumL]],T_TraitDi[#Data],COLUMN(T_TraitDi[[#This Row],[Colonne5]]),FALSE),""),"[hh]:mm"))</f>
        <v>#VALUE!</v>
      </c>
      <c r="AK152" s="172" t="e">
        <f>IF(VLOOKUP(T_BilanSocial[[#This Row],[NumL]],T_TraitDi[#Data],COLUMN(T_TraitDi[[#This Row],[Colonne6]]),FALSE)=0,"",TEXT(IFERROR(VLOOKUP(T_BilanSocial[[#This Row],[NumL]],T_TraitDi[#Data],COLUMN(T_TraitDi[[#This Row],[Colonne6]]),FALSE),""),"[hh]:mm"))</f>
        <v>#VALUE!</v>
      </c>
      <c r="AL152" s="172" t="e">
        <f>IF(VLOOKUP(T_BilanSocial[[#This Row],[NumL]],T_TraitDi[#Data],COLUMN(T_TraitDi[[#This Row],[Colonne7]]),FALSE)=0,"",TEXT(IFERROR(VLOOKUP(T_BilanSocial[[#This Row],[NumL]],T_TraitDi[#Data],COLUMN(T_TraitDi[[#This Row],[Colonne7]]),FALSE),""),"[hh]:mm"))</f>
        <v>#VALUE!</v>
      </c>
      <c r="AM152" s="172" t="e">
        <f>IF(VLOOKUP(T_BilanSocial[[#This Row],[NumL]],T_TraitDi[#Data],COLUMN(T_TraitDi[[#This Row],[Colonne8]]),FALSE)=0,"",TEXT(IFERROR(VLOOKUP(T_BilanSocial[[#This Row],[NumL]],T_TraitDi[#Data],COLUMN(T_TraitDi[[#This Row],[Colonne8]]),FALSE),""),"[hh]:mm"))</f>
        <v>#VALUE!</v>
      </c>
      <c r="AN152" s="172" t="str">
        <f>IFERROR(VLOOKUP(T_BilanSocial[[#This Row],[NumL]],T_TraitDi[#Data],COLUMN(T_TraitDi[[#This Row],[Mardi]]),FALSE),"")</f>
        <v/>
      </c>
      <c r="AO152" s="172" t="e">
        <f>IF(VLOOKUP(T_BilanSocial[[#This Row],[NumL]],T_TraitDi[#Data],COLUMN(T_TraitDi[[#This Row],[Colonne1]]),FALSE)=0,"",TEXT(IFERROR(VLOOKUP(T_BilanSocial[[#This Row],[NumL]],T_TraitDi[#Data],COLUMN(T_TraitDi[[#This Row],[Colonne1]]),FALSE),""),"[hh]:mm"))</f>
        <v>#VALUE!</v>
      </c>
      <c r="AP152" s="172" t="e">
        <f>IF(VLOOKUP(T_BilanSocial[[#This Row],[NumL]],T_TraitDi[#Data],COLUMN(T_TraitDi[[#This Row],[Colonne9]]),FALSE)=0,"",TEXT(IFERROR(VLOOKUP(T_BilanSocial[[#This Row],[NumL]],T_TraitDi[#Data],COLUMN(T_TraitDi[[#This Row],[Colonne9]]),FALSE),""),"[hh]:mm"))</f>
        <v>#VALUE!</v>
      </c>
      <c r="AQ152" s="172" t="str">
        <f>IFERROR(VLOOKUP(T_BilanSocial[[#This Row],[NumL]],T_TraitDi[#Data],COLUMN(T_TraitDi[[#This Row],[Colonne10]]),FALSE),"")</f>
        <v/>
      </c>
      <c r="AR152" s="172" t="e">
        <f>IF(VLOOKUP(T_BilanSocial[[#This Row],[NumL]],T_TraitDi[#Data],COLUMN(T_TraitDi[[#This Row],[Colonne11]]),FALSE)=0,"",TEXT(IFERROR(VLOOKUP(T_BilanSocial[[#This Row],[NumL]],T_TraitDi[#Data],COLUMN(T_TraitDi[[#This Row],[Colonne11]]),FALSE),""),"[hh]:mm"))</f>
        <v>#VALUE!</v>
      </c>
      <c r="AS152" s="172" t="e">
        <f>IF(VLOOKUP(T_BilanSocial[[#This Row],[NumL]],T_TraitDi[#Data],COLUMN(T_TraitDi[[#This Row],[Colonne12]]),FALSE)=0,"",TEXT(IFERROR(VLOOKUP(T_BilanSocial[[#This Row],[NumL]],T_TraitDi[#Data],COLUMN(T_TraitDi[[#This Row],[Colonne12]]),FALSE),""),"[hh]:mm"))</f>
        <v>#VALUE!</v>
      </c>
      <c r="AT152" s="172" t="e">
        <f>IF(VLOOKUP(T_BilanSocial[[#This Row],[NumL]],T_TraitDi[#Data],COLUMN(T_TraitDi[[#This Row],[Colonne14]]),FALSE)=0,"",TEXT(IFERROR(VLOOKUP(T_BilanSocial[[#This Row],[NumL]],T_TraitDi[#Data],COLUMN(T_TraitDi[[#This Row],[Colonne14]]),FALSE),""),"[hh]:mm"))</f>
        <v>#VALUE!</v>
      </c>
      <c r="AU152" s="172" t="str">
        <f>IFERROR(VLOOKUP(T_BilanSocial[[#This Row],[NumL]],T_TraitDi[#Data],COLUMN(T_TraitDi[[#This Row],[Mercredi]]),FALSE),"")</f>
        <v/>
      </c>
      <c r="AV152" s="172" t="e">
        <f>IF(VLOOKUP(T_BilanSocial[[#This Row],[NumL]],T_TraitDi[#Data],COLUMN(T_TraitDi[[#This Row],[Colonne15]]),FALSE)=0,"",TEXT(IFERROR(VLOOKUP(T_BilanSocial[[#This Row],[NumL]],T_TraitDi[#Data],COLUMN(T_TraitDi[[#This Row],[Colonne15]]),FALSE),""),"[hh]:mm"))</f>
        <v>#VALUE!</v>
      </c>
      <c r="AW152" s="172" t="e">
        <f>IF(VLOOKUP(T_BilanSocial[[#This Row],[NumL]],T_TraitDi[#Data],COLUMN(T_TraitDi[[#This Row],[Colonne16]]),FALSE)=0,"",TEXT(IFERROR(VLOOKUP(T_BilanSocial[[#This Row],[NumL]],T_TraitDi[#Data],COLUMN(T_TraitDi[[#This Row],[Colonne16]]),FALSE),""),"[hh]:mm"))</f>
        <v>#VALUE!</v>
      </c>
      <c r="AX152" s="172" t="str">
        <f>IFERROR(VLOOKUP(T_BilanSocial[[#This Row],[NumL]],T_TraitDi[#Data],COLUMN(T_TraitDi[[#This Row],[Colonne17]]),FALSE),"")</f>
        <v/>
      </c>
      <c r="AY152" s="172" t="e">
        <f>IF(VLOOKUP(T_BilanSocial[[#This Row],[NumL]],T_TraitDi[#Data],COLUMN(T_TraitDi[[#This Row],[Colonne18]]),FALSE)=0,"",TEXT(IFERROR(VLOOKUP(T_BilanSocial[[#This Row],[NumL]],T_TraitDi[#Data],COLUMN(T_TraitDi[[#This Row],[Colonne18]]),FALSE),""),"[hh]:mm"))</f>
        <v>#VALUE!</v>
      </c>
      <c r="AZ152" s="172" t="e">
        <f>IF(VLOOKUP(T_BilanSocial[[#This Row],[NumL]],T_TraitDi[#Data],COLUMN(T_TraitDi[[#This Row],[Colonne19]]),FALSE)=0,"",TEXT(IFERROR(VLOOKUP(T_BilanSocial[[#This Row],[NumL]],T_TraitDi[#Data],COLUMN(T_TraitDi[[#This Row],[Colonne19]]),FALSE),""),"[hh]:mm"))</f>
        <v>#VALUE!</v>
      </c>
      <c r="BA152" s="172" t="e">
        <f>IF(VLOOKUP(T_BilanSocial[[#This Row],[NumL]],T_TraitDi[#Data],COLUMN(T_TraitDi[[#This Row],[Colonne20]]),FALSE)=0,"",TEXT(IFERROR(VLOOKUP(T_BilanSocial[[#This Row],[NumL]],T_TraitDi[#Data],COLUMN(T_TraitDi[[#This Row],[Colonne20]]),FALSE),""),"[hh]:mm"))</f>
        <v>#VALUE!</v>
      </c>
      <c r="BB152" s="178" t="str">
        <f>IFERROR(VLOOKUP(T_BilanSocial[[#This Row],[NumL]],T_TraitDi[#Data],COLUMN(T_TraitDi[[#This Row],[Jeudi]]),FALSE),"")</f>
        <v/>
      </c>
      <c r="BC152" s="178" t="e">
        <f>IF(VLOOKUP(T_BilanSocial[[#This Row],[NumL]],T_TraitDi[#Data],COLUMN(T_TraitDi[[#This Row],[Colonne21]]),FALSE)=0,"",TEXT(IFERROR(VLOOKUP(T_BilanSocial[[#This Row],[NumL]],T_TraitDi[#Data],COLUMN(T_TraitDi[[#This Row],[Colonne21]]),FALSE),""),"[hh]:mm"))</f>
        <v>#VALUE!</v>
      </c>
      <c r="BD152" s="178" t="e">
        <f>IF(VLOOKUP(T_BilanSocial[[#This Row],[NumL]],T_TraitDi[#Data],COLUMN(T_TraitDi[[#This Row],[Colonne22]]),FALSE)=0,"",TEXT(IFERROR(VLOOKUP(T_BilanSocial[[#This Row],[NumL]],T_TraitDi[#Data],COLUMN(T_TraitDi[[#This Row],[Colonne22]]),FALSE),""),"[hh]:mm"))</f>
        <v>#VALUE!</v>
      </c>
      <c r="BE152" s="178" t="str">
        <f>IFERROR(VLOOKUP(T_BilanSocial[[#This Row],[NumL]],T_TraitDi[#Data],COLUMN(T_TraitDi[[#This Row],[Colonne23]]),FALSE),"")</f>
        <v/>
      </c>
      <c r="BF152" s="178" t="e">
        <f>IF(VLOOKUP(T_BilanSocial[[#This Row],[NumL]],T_TraitDi[#Data],COLUMN(T_TraitDi[[#This Row],[Colonne24]]),FALSE)=0,"",TEXT(IFERROR(VLOOKUP(T_BilanSocial[[#This Row],[NumL]],T_TraitDi[#Data],COLUMN(T_TraitDi[[#This Row],[Colonne24]]),FALSE),""),"[hh]:mm"))</f>
        <v>#VALUE!</v>
      </c>
      <c r="BG152" s="178" t="e">
        <f>IF(VLOOKUP(T_BilanSocial[[#This Row],[NumL]],T_TraitDi[#Data],COLUMN(T_TraitDi[[#This Row],[Colonne25]]),FALSE)=0,"",TEXT(IFERROR(VLOOKUP(T_BilanSocial[[#This Row],[NumL]],T_TraitDi[#Data],COLUMN(T_TraitDi[[#This Row],[Colonne25]]),FALSE),""),"[hh]:mm"))</f>
        <v>#VALUE!</v>
      </c>
      <c r="BH152" s="178" t="e">
        <f>IF(VLOOKUP(T_BilanSocial[[#This Row],[NumL]],T_TraitDi[#Data],COLUMN(T_TraitDi[[#This Row],[Colonne26]]),FALSE)=0,"",TEXT(IFERROR(VLOOKUP(T_BilanSocial[[#This Row],[NumL]],T_TraitDi[#Data],COLUMN(T_TraitDi[[#This Row],[Colonne26]]),FALSE),""),"[hh]:mm"))</f>
        <v>#VALUE!</v>
      </c>
      <c r="BI152" s="172" t="str">
        <f>IFERROR(VLOOKUP(T_BilanSocial[[#This Row],[NumL]],T_TraitDi[#Data],COLUMN(T_TraitDi[[#This Row],[Vendredi]]),FALSE),"")</f>
        <v/>
      </c>
      <c r="BJ152" s="172" t="e">
        <f>IF(VLOOKUP(T_BilanSocial[[#This Row],[NumL]],T_TraitDi[#Data],COLUMN(T_TraitDi[[#This Row],[Colonne27]]),FALSE)=0,"",TEXT(IFERROR(VLOOKUP(T_BilanSocial[[#This Row],[NumL]],T_TraitDi[#Data],COLUMN(T_TraitDi[[#This Row],[Colonne27]]),FALSE),""),"[hh]:mm"))</f>
        <v>#VALUE!</v>
      </c>
      <c r="BK152" s="172" t="e">
        <f>IF(VLOOKUP(T_BilanSocial[[#This Row],[NumL]],T_TraitDi[#Data],COLUMN(T_TraitDi[[#This Row],[Colonne28]]),FALSE)=0,"",TEXT(IFERROR(VLOOKUP(T_BilanSocial[[#This Row],[NumL]],T_TraitDi[#Data],COLUMN(T_TraitDi[[#This Row],[Colonne28]]),FALSE),""),"[hh]:mm"))</f>
        <v>#VALUE!</v>
      </c>
      <c r="BL152" s="172" t="str">
        <f>IFERROR(VLOOKUP(T_BilanSocial[[#This Row],[NumL]],T_TraitDi[#Data],COLUMN(T_TraitDi[[#This Row],[Colonne29]]),FALSE),"")</f>
        <v/>
      </c>
      <c r="BM152" s="172" t="e">
        <f>IF(VLOOKUP(T_BilanSocial[[#This Row],[NumL]],T_TraitDi[#Data],COLUMN(T_TraitDi[[#This Row],[Colonne30]]),FALSE)=0,"",TEXT(IFERROR(VLOOKUP(T_BilanSocial[[#This Row],[NumL]],T_TraitDi[#Data],COLUMN(T_TraitDi[[#This Row],[Colonne30]]),FALSE),""),"[hh]:mm"))</f>
        <v>#VALUE!</v>
      </c>
      <c r="BN152" s="172" t="e">
        <f>IF(VLOOKUP(T_BilanSocial[[#This Row],[NumL]],T_TraitDi[#Data],COLUMN(T_TraitDi[[#This Row],[Colonne31]]),FALSE)=0,"",TEXT(IFERROR(VLOOKUP(T_BilanSocial[[#This Row],[NumL]],T_TraitDi[#Data],COLUMN(T_TraitDi[[#This Row],[Colonne31]]),FALSE),""),"[hh]:mm"))</f>
        <v>#VALUE!</v>
      </c>
      <c r="BO152" s="172" t="e">
        <f>IF(VLOOKUP(T_BilanSocial[[#This Row],[NumL]],T_TraitDi[#Data],COLUMN(T_TraitDi[[#This Row],[Colonne32]]),FALSE)=0,"",TEXT(IFERROR(VLOOKUP(T_BilanSocial[[#This Row],[NumL]],T_TraitDi[#Data],COLUMN(T_TraitDi[[#This Row],[Colonne32]]),FALSE),""),"[hh]:mm"))</f>
        <v>#VALUE!</v>
      </c>
      <c r="BP152" s="172" t="e">
        <f>VLOOKUP(T_BilanSocial[[#This Row],[NumL]],T_TraitDi[#Data],COLUMN(T_TraitDi[NbJTot]),FALSE)</f>
        <v>#N/A</v>
      </c>
      <c r="BQ152" s="174" t="str">
        <f>IFERROR(VLOOKUP(T_BilanSocial[[#This Row],[NumL]],T_TraitDi[#Data],COLUMN(T_TraitDi[[#This Row],[NbJTW]]),FALSE),"")</f>
        <v/>
      </c>
      <c r="BR152" s="174" t="e">
        <f>IF(VLOOKUP(T_BilanSocial[[#This Row],[NumL]],T_TraitDi[#Data],COLUMN(T_TraitDi[[#This Row],[NbhTW]]),FALSE)=0,"",TEXT(IFERROR(VLOOKUP(T_BilanSocial[[#This Row],[NumL]],T_TraitDi[#Data],COLUMN(T_TraitDi[[#This Row],[NbhTW]]),FALSE),""),"[hh]:mm"))</f>
        <v>#VALUE!</v>
      </c>
      <c r="BS152" s="174" t="e">
        <f>IF(VLOOKUP(T_BilanSocial[[#This Row],[NumL]],T_TraitDi[#Data],COLUMN(T_TraitDi[[#This Row],[Nbhheb]]),FALSE)=0,"",TEXT(IFERROR(VLOOKUP($A152,T_TraitDi[#Data],COLUMN(T_TraitDi[[#This Row],[Nbhheb]]),FALSE),""),"[hh]:mm"))</f>
        <v>#VALUE!</v>
      </c>
      <c r="BT152" s="182" t="str">
        <f>IFERROR(VLOOKUP(VLOOKUP($A152,T_TraitDi[#Data],COLUMN(T_TraitDi[[#This Row],[Type1]]),FALSE),TypeTW,2,FALSE),"")</f>
        <v/>
      </c>
      <c r="BU152" s="182" t="str">
        <f>IFERROR(VLOOKUP($A152,T_TraitDi[#Data],COLUMN(T_TraitDi[[#This Row],[Rue1]]),FALSE),"")</f>
        <v/>
      </c>
      <c r="BV152" s="173" t="str">
        <f>IFERROR(VLOOKUP($A152,T_TraitDi[#Data],COLUMN(T_TraitDi[[#This Row],[CP1]]),FALSE),"")</f>
        <v/>
      </c>
      <c r="BW152" s="173" t="str">
        <f>IFERROR(VLOOKUP($A152,T_TraitDi[#Data],COLUMN(T_TraitDi[[#This Row],[VILLE1]]),FALSE),"")</f>
        <v/>
      </c>
      <c r="BX152" s="182" t="str">
        <f>IFERROR(VLOOKUP(VLOOKUP($A152,T_TraitDi[#Data],COLUMN(T_TraitDi[[#This Row],[Type2]]),FALSE),TypeTW,2,FALSE),"")</f>
        <v/>
      </c>
      <c r="BY152" s="182" t="str">
        <f>IFERROR(VLOOKUP($A152,T_TraitDi[#Data],COLUMN(T_TraitDi[[#This Row],[Rue2]]),FALSE),"")</f>
        <v/>
      </c>
      <c r="BZ152" s="173" t="str">
        <f>IFERROR(VLOOKUP($A152,T_TraitDi[#Data],COLUMN(T_TraitDi[[#This Row],[CP2]]),FALSE),"")</f>
        <v/>
      </c>
      <c r="CA152" s="173" t="str">
        <f>IFERROR(VLOOKUP($A152,T_TraitDi[#Data],COLUMN(T_TraitDi[[#This Row],[VILLE2]]),FALSE),"")</f>
        <v/>
      </c>
      <c r="CB152" s="182" t="str">
        <f>IF(VLOOKUP(T_BilanSocial[[#This Row],[NumL]],T_Equipement[#Data],COLUMN(T_Equipement[[#This Row],[PC]]),FALSE)="","Aucun équipement spécifique directement lié au télétravail",VLOOKUP(T_BilanSocial[[#This Row],[NumL]],T_Equipement[#Data],COLUMN(T_Equipement[[#This Row],[PC]]),FALSE))</f>
        <v xml:space="preserve">	12-181</v>
      </c>
      <c r="CC152" s="166" t="str">
        <f>IFERROR(IF(VLOOKUP(T_BilanSocial[[#This Row],[NumL]],T_TraitDi[#Data],COLUMN(T_TraitDi[[#This Row],[Plan]]),FALSE)="OK","Un planning spécifique de télétravail est annexé à la présente convention.",""),"")</f>
        <v/>
      </c>
      <c r="CD152" s="185"/>
      <c r="CE152" s="164" t="e">
        <f>IF(VLOOKUP(T_BilanSocial[[#This Row],[NumL]],T_suiviDi[#Data],COLUMN(T_suiviDi[[#This Row],[Entité]]),FALSE)="","",VLOOKUP(T_BilanSocial[[#This Row],[NumL]],T_suiviDi[#Data],COLUMN(T_suiviDi[[#This Row],[Entité]]),FALSE))</f>
        <v>#VALUE!</v>
      </c>
      <c r="CF152" s="164" t="str">
        <f>IF(VLOOKUP(T_BilanSocial[[#This Row],[NumL]],T_Commission[#Data],COLUMN(T_Commission[[#This Row],[envoi confirm TW]]),FALSE)="","",VLOOKUP(T_BilanSocial[[#This Row],[NumL]],T_Commission[#Data],COLUMN(T_Commission[[#This Row],[envoi confirm TW]]),FALSE))</f>
        <v>Oui</v>
      </c>
      <c r="CG15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2" s="262" t="str">
        <f>T_BilanSocial[[#This Row],[Nom]]&amp;T_BilanSocial[[#This Row],[Prenom]]</f>
        <v/>
      </c>
      <c r="CI152" s="262">
        <f>VLOOKUP(T_BilanSocial[[#This Row],[NumL]],T_Commission[#Data],COLUMN(T_Commission[Commentaire]),FALSE)</f>
        <v>0</v>
      </c>
      <c r="CJ152" s="262" t="str">
        <f>IF(VLOOKUP(T_BilanSocial[[#This Row],[NumL]],T_Commission[#Data],COLUMN(T_Commission[Encadrant Email]),FALSE)="","",VLOOKUP(T_BilanSocial[[#This Row],[NumL]],T_Commission[#Data],COLUMN(T_Commission[Encadrant Email]),FALSE))</f>
        <v/>
      </c>
      <c r="CK152" s="340" t="str">
        <f>IF(T_BilanSocial[[#This Row],[Final]]&lt;&gt;"",VLOOKUP(T_BilanSocial[[#This Row],[NumL]],T_suiviDi[#Data],COLUMN((T_suiviDi[Statut])),FALSE),"")</f>
        <v/>
      </c>
    </row>
    <row r="153" spans="1:89" s="106" customFormat="1" ht="24.75" customHeight="1" x14ac:dyDescent="0.25">
      <c r="A153" s="160">
        <v>150</v>
      </c>
      <c r="B153" s="161" t="str">
        <f t="shared" si="22"/>
        <v/>
      </c>
      <c r="C153" s="162" t="s">
        <v>3287</v>
      </c>
      <c r="D153" s="95" t="e">
        <f>IF(VLOOKUP(T_BilanSocial[[#This Row],[NumL]],T_TraitDi[#Data],COLUMN(T_TraitDi[[#This Row],[WebC]]),FALSE)="","",VLOOKUP(T_BilanSocial[[#This Row],[NumL]],T_TraitDi[#Data],COLUMN(T_TraitDi[[#This Row],[WebC]]),FALSE))</f>
        <v>#VALUE!</v>
      </c>
      <c r="E153" s="163" t="str">
        <f t="shared" si="23"/>
        <v>12 janvier 2021</v>
      </c>
      <c r="F153" s="96" t="str">
        <f>IF(T_BilanSocial[[#This Row],[Final]]&lt;&gt;"",VLOOKUP(T_BilanSocial[[#This Row],[NumL]],T_suiviDi[#Data],COLUMN((T_suiviDi[Civ.])),FALSE),"")</f>
        <v/>
      </c>
      <c r="G153" s="96" t="str">
        <f>IF(T_BilanSocial[[#This Row],[Final]]&lt;&gt;"",VLOOKUP(T_BilanSocial[[#This Row],[NumL]],T_suiviDi[#Data],COLUMN((T_suiviDi[Nom])),FALSE),"")</f>
        <v/>
      </c>
      <c r="H153" s="96" t="str">
        <f>IF(T_BilanSocial[[#This Row],[Final]]&lt;&gt;"",VLOOKUP(T_BilanSocial[[#This Row],[NumL]],T_suiviDi[#Data],COLUMN((T_suiviDi[Prénom])),FALSE),"")</f>
        <v/>
      </c>
      <c r="I153" s="96" t="str">
        <f>IFERROR(VLOOKUP(T_BilanSocial[[#This Row],[Zone_Bilan]],T_P_BilanSocial[#Data],COLUMN(T_P_BilanSocial[[#This Row],[Numero_SIHAM]]),FALSE),"")</f>
        <v/>
      </c>
      <c r="J153" s="96" t="str">
        <f>IFERROR(VLOOKUP(T_BilanSocial[[#This Row],[Zone_Bilan]],T_P_BilanSocial[#Data],COLUMN(T_P_BilanSocial[[#This Row],[Sexe]]),FALSE),"")</f>
        <v/>
      </c>
      <c r="K153" s="97" t="str">
        <f>IFERROR(VLOOKUP(T_BilanSocial[[#This Row],[Zone_Bilan]],T_P_BilanSocial[#Data],COLUMN(T_P_BilanSocial[[#This Row],[Categorie]]),FALSE),"")</f>
        <v/>
      </c>
      <c r="L153" s="96" t="str">
        <f>IFERROR(VLOOKUP(T_BilanSocial[[#This Row],[Zone_Bilan]],T_P_BilanSocial[#Data],COLUMN(T_P_BilanSocial[[#This Row],[Statut]]),FALSE),"")</f>
        <v/>
      </c>
      <c r="M153" s="96" t="str">
        <f>IFERROR(VLOOKUP(T_BilanSocial[[#This Row],[Zone_Bilan]],T_P_BilanSocial[#Data],COLUMN(T_P_BilanSocial[[#This Row],[Filiere]]),FALSE),"")</f>
        <v/>
      </c>
      <c r="N153" s="96" t="e">
        <f>VLOOKUP(T_BilanSocial[[#This Row],[NumL]],T_TraitDi[#Data],COLUMN(T_TraitDi[EXP]),FALSE)</f>
        <v>#N/A</v>
      </c>
      <c r="O153" s="96" t="e">
        <f>VLOOKUP(T_BilanSocial[[#This Row],[NumL]],T_TraitDi[#Data],COLUMN(T_TraitDi[FORM]),FALSE)</f>
        <v>#N/A</v>
      </c>
      <c r="P153" s="96" t="str">
        <f>IF(T_BilanSocial[[#This Row],[Final]]&lt;&gt;"",VLOOKUP(T_BilanSocial[[#This Row],[NumL]],T_suiviDi[#Data],COLUMN((T_suiviDi[Email])),FALSE),"")</f>
        <v/>
      </c>
      <c r="Q153" s="164" t="e">
        <f t="shared" si="28"/>
        <v>#N/A</v>
      </c>
      <c r="R153" s="164" t="e">
        <f t="shared" si="29"/>
        <v>#N/A</v>
      </c>
      <c r="S153" s="164" t="e">
        <f>IF(VLOOKUP(T_BilanSocial[[#This Row],[NumL]],T_suiviDi[#Data],COLUMN(T_suiviDi[[#This Row],[Service ]]),FALSE)="","",VLOOKUP(T_BilanSocial[[#This Row],[NumL]],T_suiviDi[#Data],COLUMN(T_suiviDi[[#This Row],[Service ]]),FALSE))</f>
        <v>#VALUE!</v>
      </c>
      <c r="T153" s="164" t="str">
        <f t="shared" si="24"/>
        <v>01 septembre 2021</v>
      </c>
      <c r="U153" s="164" t="str">
        <f t="shared" si="25"/>
        <v>30 novembre 2021</v>
      </c>
      <c r="V153" s="164" t="str">
        <f t="shared" si="30"/>
        <v>30 novembre 2021</v>
      </c>
      <c r="W153" s="176" t="e">
        <f>IF(VLOOKUP(T_BilanSocial[[#This Row],[NumL]],T_TraitDi[#Data],COLUMN(T_TraitDi[[#This Row],[M1]]),FALSE)="","",VLOOKUP(T_BilanSocial[[#This Row],[NumL]],T_TraitDi[#Data],COLUMN(T_TraitDi[[#This Row],[M1]]),FALSE))</f>
        <v>#VALUE!</v>
      </c>
      <c r="X153" s="176" t="e">
        <f>IF(VLOOKUP(T_BilanSocial[[#This Row],[NumL]],T_TraitDi[#Data],COLUMN(T_TraitDi[[#This Row],[M2]]),FALSE)="","",VLOOKUP(T_BilanSocial[[#This Row],[NumL]],T_TraitDi[#Data],COLUMN(T_TraitDi[[#This Row],[M2]]),FALSE))</f>
        <v>#VALUE!</v>
      </c>
      <c r="Y153" s="176" t="e">
        <f>IF(VLOOKUP(T_BilanSocial[[#This Row],[NumL]],T_TraitDi[#Data],COLUMN(T_TraitDi[[#This Row],[M3]]),FALSE)="","",VLOOKUP(T_BilanSocial[[#This Row],[NumL]],T_TraitDi[#Data],COLUMN(T_TraitDi[[#This Row],[M3]]),FALSE))</f>
        <v>#VALUE!</v>
      </c>
      <c r="Z153" s="176" t="str">
        <f t="shared" si="27"/>
        <v/>
      </c>
      <c r="AA153" s="176" t="e">
        <f>IF(VLOOKUP(T_BilanSocial[[#This Row],[NumL]],T_TraitDi[#Data],COLUMN(T_TraitDi[[#This Row],[M5]]),FALSE)="","",VLOOKUP(T_BilanSocial[[#This Row],[NumL]],T_TraitDi[#Data],COLUMN(T_TraitDi[[#This Row],[M5]]),FALSE))</f>
        <v>#VALUE!</v>
      </c>
      <c r="AB153" s="176" t="e">
        <f>IF(VLOOKUP(T_BilanSocial[[#This Row],[NumL]],T_TraitDi[#Data],COLUMN(T_TraitDi[[#This Row],[M6]]),FALSE)="","",VLOOKUP(T_BilanSocial[[#This Row],[NumL]],T_TraitDi[#Data],COLUMN(T_TraitDi[[#This Row],[M6]]),FALSE))</f>
        <v>#VALUE!</v>
      </c>
      <c r="AC153" s="165" t="e">
        <f t="shared" si="26"/>
        <v>#VALUE!</v>
      </c>
      <c r="AD153" s="188" t="str">
        <f>IFERROR(TEXT(VLOOKUP(T_BilanSocial[[#This Row],[NumL]],T_TraitDi[#Data],COLUMN(T_TraitDi[[#This Row],[Q2]]),FALSE),"###%"),"")</f>
        <v/>
      </c>
      <c r="AE153" s="97" t="e">
        <f>VLOOKUP(T_BilanSocial[[#This Row],[NumL]],T_TraitDi[#Data],COLUMN(T_TraitDi[[#This Row],[Reg Ponct]]),FALSE)</f>
        <v>#VALUE!</v>
      </c>
      <c r="AF153" s="97" t="e">
        <f>VLOOKUP(T_BilanSocial[NumL],T_TraitDi[#Data],COLUMN(T_TraitDi[[#This Row],[Jours flottants]]),FALSE)</f>
        <v>#VALUE!</v>
      </c>
      <c r="AG153" s="97" t="str">
        <f>IFERROR(VLOOKUP(T_BilanSocial[[#This Row],[NumL]],T_TraitDi[#Data],COLUMN(T_TraitDi[[#This Row],[Lundi]]),FALSE),"")</f>
        <v/>
      </c>
      <c r="AH153" s="172" t="e">
        <f>IF(VLOOKUP(T_BilanSocial[[#This Row],[NumL]],T_TraitDi[#Data],COLUMN(T_TraitDi[[#This Row],[Colonne3]]),FALSE)=0,"",TEXT(IFERROR(VLOOKUP(T_BilanSocial[[#This Row],[NumL]],T_TraitDi[#Data],COLUMN(T_TraitDi[[#This Row],[Colonne3]]),FALSE),""),"[hh]:mm"))</f>
        <v>#VALUE!</v>
      </c>
      <c r="AI153" s="172" t="e">
        <f>IF(VLOOKUP(T_BilanSocial[[#This Row],[NumL]],T_TraitDi[#Data],COLUMN(T_TraitDi[[#This Row],[Colonne4]]),FALSE)=0,"",TEXT(IFERROR(VLOOKUP(T_BilanSocial[[#This Row],[NumL]],T_TraitDi[#Data],COLUMN(T_TraitDi[[#This Row],[Colonne4]]),FALSE),""),"[hh]:mm"))</f>
        <v>#VALUE!</v>
      </c>
      <c r="AJ153" s="172" t="e">
        <f>IF(VLOOKUP(T_BilanSocial[[#This Row],[NumL]],T_TraitDi[#Data],COLUMN(T_TraitDi[[#This Row],[Colonne5]]),FALSE)=0,"",TEXT(IFERROR(VLOOKUP(T_BilanSocial[[#This Row],[NumL]],T_TraitDi[#Data],COLUMN(T_TraitDi[[#This Row],[Colonne5]]),FALSE),""),"[hh]:mm"))</f>
        <v>#VALUE!</v>
      </c>
      <c r="AK153" s="172" t="e">
        <f>IF(VLOOKUP(T_BilanSocial[[#This Row],[NumL]],T_TraitDi[#Data],COLUMN(T_TraitDi[[#This Row],[Colonne6]]),FALSE)=0,"",TEXT(IFERROR(VLOOKUP(T_BilanSocial[[#This Row],[NumL]],T_TraitDi[#Data],COLUMN(T_TraitDi[[#This Row],[Colonne6]]),FALSE),""),"[hh]:mm"))</f>
        <v>#VALUE!</v>
      </c>
      <c r="AL153" s="172" t="e">
        <f>IF(VLOOKUP(T_BilanSocial[[#This Row],[NumL]],T_TraitDi[#Data],COLUMN(T_TraitDi[[#This Row],[Colonne7]]),FALSE)=0,"",TEXT(IFERROR(VLOOKUP(T_BilanSocial[[#This Row],[NumL]],T_TraitDi[#Data],COLUMN(T_TraitDi[[#This Row],[Colonne7]]),FALSE),""),"[hh]:mm"))</f>
        <v>#VALUE!</v>
      </c>
      <c r="AM153" s="172" t="e">
        <f>IF(VLOOKUP(T_BilanSocial[[#This Row],[NumL]],T_TraitDi[#Data],COLUMN(T_TraitDi[[#This Row],[Colonne8]]),FALSE)=0,"",TEXT(IFERROR(VLOOKUP(T_BilanSocial[[#This Row],[NumL]],T_TraitDi[#Data],COLUMN(T_TraitDi[[#This Row],[Colonne8]]),FALSE),""),"[hh]:mm"))</f>
        <v>#VALUE!</v>
      </c>
      <c r="AN153" s="172" t="str">
        <f>IFERROR(VLOOKUP(T_BilanSocial[[#This Row],[NumL]],T_TraitDi[#Data],COLUMN(T_TraitDi[[#This Row],[Mardi]]),FALSE),"")</f>
        <v/>
      </c>
      <c r="AO153" s="172" t="e">
        <f>IF(VLOOKUP(T_BilanSocial[[#This Row],[NumL]],T_TraitDi[#Data],COLUMN(T_TraitDi[[#This Row],[Colonne1]]),FALSE)=0,"",TEXT(IFERROR(VLOOKUP(T_BilanSocial[[#This Row],[NumL]],T_TraitDi[#Data],COLUMN(T_TraitDi[[#This Row],[Colonne1]]),FALSE),""),"[hh]:mm"))</f>
        <v>#VALUE!</v>
      </c>
      <c r="AP153" s="172" t="e">
        <f>IF(VLOOKUP(T_BilanSocial[[#This Row],[NumL]],T_TraitDi[#Data],COLUMN(T_TraitDi[[#This Row],[Colonne9]]),FALSE)=0,"",TEXT(IFERROR(VLOOKUP(T_BilanSocial[[#This Row],[NumL]],T_TraitDi[#Data],COLUMN(T_TraitDi[[#This Row],[Colonne9]]),FALSE),""),"[hh]:mm"))</f>
        <v>#VALUE!</v>
      </c>
      <c r="AQ153" s="172" t="str">
        <f>IFERROR(VLOOKUP(T_BilanSocial[[#This Row],[NumL]],T_TraitDi[#Data],COLUMN(T_TraitDi[[#This Row],[Colonne10]]),FALSE),"")</f>
        <v/>
      </c>
      <c r="AR153" s="172" t="e">
        <f>IF(VLOOKUP(T_BilanSocial[[#This Row],[NumL]],T_TraitDi[#Data],COLUMN(T_TraitDi[[#This Row],[Colonne11]]),FALSE)=0,"",TEXT(IFERROR(VLOOKUP(T_BilanSocial[[#This Row],[NumL]],T_TraitDi[#Data],COLUMN(T_TraitDi[[#This Row],[Colonne11]]),FALSE),""),"[hh]:mm"))</f>
        <v>#VALUE!</v>
      </c>
      <c r="AS153" s="172" t="e">
        <f>IF(VLOOKUP(T_BilanSocial[[#This Row],[NumL]],T_TraitDi[#Data],COLUMN(T_TraitDi[[#This Row],[Colonne12]]),FALSE)=0,"",TEXT(IFERROR(VLOOKUP(T_BilanSocial[[#This Row],[NumL]],T_TraitDi[#Data],COLUMN(T_TraitDi[[#This Row],[Colonne12]]),FALSE),""),"[hh]:mm"))</f>
        <v>#VALUE!</v>
      </c>
      <c r="AT153" s="172" t="e">
        <f>IF(VLOOKUP(T_BilanSocial[[#This Row],[NumL]],T_TraitDi[#Data],COLUMN(T_TraitDi[[#This Row],[Colonne14]]),FALSE)=0,"",TEXT(IFERROR(VLOOKUP(T_BilanSocial[[#This Row],[NumL]],T_TraitDi[#Data],COLUMN(T_TraitDi[[#This Row],[Colonne14]]),FALSE),""),"[hh]:mm"))</f>
        <v>#VALUE!</v>
      </c>
      <c r="AU153" s="172" t="str">
        <f>IFERROR(VLOOKUP(T_BilanSocial[[#This Row],[NumL]],T_TraitDi[#Data],COLUMN(T_TraitDi[[#This Row],[Mercredi]]),FALSE),"")</f>
        <v/>
      </c>
      <c r="AV153" s="172" t="e">
        <f>IF(VLOOKUP(T_BilanSocial[[#This Row],[NumL]],T_TraitDi[#Data],COLUMN(T_TraitDi[[#This Row],[Colonne15]]),FALSE)=0,"",TEXT(IFERROR(VLOOKUP(T_BilanSocial[[#This Row],[NumL]],T_TraitDi[#Data],COLUMN(T_TraitDi[[#This Row],[Colonne15]]),FALSE),""),"[hh]:mm"))</f>
        <v>#VALUE!</v>
      </c>
      <c r="AW153" s="172" t="e">
        <f>IF(VLOOKUP(T_BilanSocial[[#This Row],[NumL]],T_TraitDi[#Data],COLUMN(T_TraitDi[[#This Row],[Colonne16]]),FALSE)=0,"",TEXT(IFERROR(VLOOKUP(T_BilanSocial[[#This Row],[NumL]],T_TraitDi[#Data],COLUMN(T_TraitDi[[#This Row],[Colonne16]]),FALSE),""),"[hh]:mm"))</f>
        <v>#VALUE!</v>
      </c>
      <c r="AX153" s="172" t="str">
        <f>IFERROR(VLOOKUP(T_BilanSocial[[#This Row],[NumL]],T_TraitDi[#Data],COLUMN(T_TraitDi[[#This Row],[Colonne17]]),FALSE),"")</f>
        <v/>
      </c>
      <c r="AY153" s="172" t="e">
        <f>IF(VLOOKUP(T_BilanSocial[[#This Row],[NumL]],T_TraitDi[#Data],COLUMN(T_TraitDi[[#This Row],[Colonne18]]),FALSE)=0,"",TEXT(IFERROR(VLOOKUP(T_BilanSocial[[#This Row],[NumL]],T_TraitDi[#Data],COLUMN(T_TraitDi[[#This Row],[Colonne18]]),FALSE),""),"[hh]:mm"))</f>
        <v>#VALUE!</v>
      </c>
      <c r="AZ153" s="172" t="e">
        <f>IF(VLOOKUP(T_BilanSocial[[#This Row],[NumL]],T_TraitDi[#Data],COLUMN(T_TraitDi[[#This Row],[Colonne19]]),FALSE)=0,"",TEXT(IFERROR(VLOOKUP(T_BilanSocial[[#This Row],[NumL]],T_TraitDi[#Data],COLUMN(T_TraitDi[[#This Row],[Colonne19]]),FALSE),""),"[hh]:mm"))</f>
        <v>#VALUE!</v>
      </c>
      <c r="BA153" s="172" t="e">
        <f>IF(VLOOKUP(T_BilanSocial[[#This Row],[NumL]],T_TraitDi[#Data],COLUMN(T_TraitDi[[#This Row],[Colonne20]]),FALSE)=0,"",TEXT(IFERROR(VLOOKUP(T_BilanSocial[[#This Row],[NumL]],T_TraitDi[#Data],COLUMN(T_TraitDi[[#This Row],[Colonne20]]),FALSE),""),"[hh]:mm"))</f>
        <v>#VALUE!</v>
      </c>
      <c r="BB153" s="178" t="str">
        <f>IFERROR(VLOOKUP(T_BilanSocial[[#This Row],[NumL]],T_TraitDi[#Data],COLUMN(T_TraitDi[[#This Row],[Jeudi]]),FALSE),"")</f>
        <v/>
      </c>
      <c r="BC153" s="178" t="e">
        <f>IF(VLOOKUP(T_BilanSocial[[#This Row],[NumL]],T_TraitDi[#Data],COLUMN(T_TraitDi[[#This Row],[Colonne21]]),FALSE)=0,"",TEXT(IFERROR(VLOOKUP(T_BilanSocial[[#This Row],[NumL]],T_TraitDi[#Data],COLUMN(T_TraitDi[[#This Row],[Colonne21]]),FALSE),""),"[hh]:mm"))</f>
        <v>#VALUE!</v>
      </c>
      <c r="BD153" s="178" t="e">
        <f>IF(VLOOKUP(T_BilanSocial[[#This Row],[NumL]],T_TraitDi[#Data],COLUMN(T_TraitDi[[#This Row],[Colonne22]]),FALSE)=0,"",TEXT(IFERROR(VLOOKUP(T_BilanSocial[[#This Row],[NumL]],T_TraitDi[#Data],COLUMN(T_TraitDi[[#This Row],[Colonne22]]),FALSE),""),"[hh]:mm"))</f>
        <v>#VALUE!</v>
      </c>
      <c r="BE153" s="178" t="str">
        <f>IFERROR(VLOOKUP(T_BilanSocial[[#This Row],[NumL]],T_TraitDi[#Data],COLUMN(T_TraitDi[[#This Row],[Colonne23]]),FALSE),"")</f>
        <v/>
      </c>
      <c r="BF153" s="178" t="e">
        <f>IF(VLOOKUP(T_BilanSocial[[#This Row],[NumL]],T_TraitDi[#Data],COLUMN(T_TraitDi[[#This Row],[Colonne24]]),FALSE)=0,"",TEXT(IFERROR(VLOOKUP(T_BilanSocial[[#This Row],[NumL]],T_TraitDi[#Data],COLUMN(T_TraitDi[[#This Row],[Colonne24]]),FALSE),""),"[hh]:mm"))</f>
        <v>#VALUE!</v>
      </c>
      <c r="BG153" s="178" t="e">
        <f>IF(VLOOKUP(T_BilanSocial[[#This Row],[NumL]],T_TraitDi[#Data],COLUMN(T_TraitDi[[#This Row],[Colonne25]]),FALSE)=0,"",TEXT(IFERROR(VLOOKUP(T_BilanSocial[[#This Row],[NumL]],T_TraitDi[#Data],COLUMN(T_TraitDi[[#This Row],[Colonne25]]),FALSE),""),"[hh]:mm"))</f>
        <v>#VALUE!</v>
      </c>
      <c r="BH153" s="178" t="e">
        <f>IF(VLOOKUP(T_BilanSocial[[#This Row],[NumL]],T_TraitDi[#Data],COLUMN(T_TraitDi[[#This Row],[Colonne26]]),FALSE)=0,"",TEXT(IFERROR(VLOOKUP(T_BilanSocial[[#This Row],[NumL]],T_TraitDi[#Data],COLUMN(T_TraitDi[[#This Row],[Colonne26]]),FALSE),""),"[hh]:mm"))</f>
        <v>#VALUE!</v>
      </c>
      <c r="BI153" s="172" t="str">
        <f>IFERROR(VLOOKUP(T_BilanSocial[[#This Row],[NumL]],T_TraitDi[#Data],COLUMN(T_TraitDi[[#This Row],[Vendredi]]),FALSE),"")</f>
        <v/>
      </c>
      <c r="BJ153" s="172" t="e">
        <f>IF(VLOOKUP(T_BilanSocial[[#This Row],[NumL]],T_TraitDi[#Data],COLUMN(T_TraitDi[[#This Row],[Colonne27]]),FALSE)=0,"",TEXT(IFERROR(VLOOKUP(T_BilanSocial[[#This Row],[NumL]],T_TraitDi[#Data],COLUMN(T_TraitDi[[#This Row],[Colonne27]]),FALSE),""),"[hh]:mm"))</f>
        <v>#VALUE!</v>
      </c>
      <c r="BK153" s="172" t="e">
        <f>IF(VLOOKUP(T_BilanSocial[[#This Row],[NumL]],T_TraitDi[#Data],COLUMN(T_TraitDi[[#This Row],[Colonne28]]),FALSE)=0,"",TEXT(IFERROR(VLOOKUP(T_BilanSocial[[#This Row],[NumL]],T_TraitDi[#Data],COLUMN(T_TraitDi[[#This Row],[Colonne28]]),FALSE),""),"[hh]:mm"))</f>
        <v>#VALUE!</v>
      </c>
      <c r="BL153" s="172" t="str">
        <f>IFERROR(VLOOKUP(T_BilanSocial[[#This Row],[NumL]],T_TraitDi[#Data],COLUMN(T_TraitDi[[#This Row],[Colonne29]]),FALSE),"")</f>
        <v/>
      </c>
      <c r="BM153" s="172" t="e">
        <f>IF(VLOOKUP(T_BilanSocial[[#This Row],[NumL]],T_TraitDi[#Data],COLUMN(T_TraitDi[[#This Row],[Colonne30]]),FALSE)=0,"",TEXT(IFERROR(VLOOKUP(T_BilanSocial[[#This Row],[NumL]],T_TraitDi[#Data],COLUMN(T_TraitDi[[#This Row],[Colonne30]]),FALSE),""),"[hh]:mm"))</f>
        <v>#VALUE!</v>
      </c>
      <c r="BN153" s="172" t="e">
        <f>IF(VLOOKUP(T_BilanSocial[[#This Row],[NumL]],T_TraitDi[#Data],COLUMN(T_TraitDi[[#This Row],[Colonne31]]),FALSE)=0,"",TEXT(IFERROR(VLOOKUP(T_BilanSocial[[#This Row],[NumL]],T_TraitDi[#Data],COLUMN(T_TraitDi[[#This Row],[Colonne31]]),FALSE),""),"[hh]:mm"))</f>
        <v>#VALUE!</v>
      </c>
      <c r="BO153" s="172" t="e">
        <f>IF(VLOOKUP(T_BilanSocial[[#This Row],[NumL]],T_TraitDi[#Data],COLUMN(T_TraitDi[[#This Row],[Colonne32]]),FALSE)=0,"",TEXT(IFERROR(VLOOKUP(T_BilanSocial[[#This Row],[NumL]],T_TraitDi[#Data],COLUMN(T_TraitDi[[#This Row],[Colonne32]]),FALSE),""),"[hh]:mm"))</f>
        <v>#VALUE!</v>
      </c>
      <c r="BP153" s="172" t="e">
        <f>VLOOKUP(T_BilanSocial[[#This Row],[NumL]],T_TraitDi[#Data],COLUMN(T_TraitDi[NbJTot]),FALSE)</f>
        <v>#N/A</v>
      </c>
      <c r="BQ153" s="174" t="str">
        <f>IFERROR(VLOOKUP(T_BilanSocial[[#This Row],[NumL]],T_TraitDi[#Data],COLUMN(T_TraitDi[[#This Row],[NbJTW]]),FALSE),"")</f>
        <v/>
      </c>
      <c r="BR153" s="174" t="e">
        <f>IF(VLOOKUP(T_BilanSocial[[#This Row],[NumL]],T_TraitDi[#Data],COLUMN(T_TraitDi[[#This Row],[NbhTW]]),FALSE)=0,"",TEXT(IFERROR(VLOOKUP(T_BilanSocial[[#This Row],[NumL]],T_TraitDi[#Data],COLUMN(T_TraitDi[[#This Row],[NbhTW]]),FALSE),""),"[hh]:mm"))</f>
        <v>#VALUE!</v>
      </c>
      <c r="BS153" s="174" t="e">
        <f>IF(VLOOKUP(T_BilanSocial[[#This Row],[NumL]],T_TraitDi[#Data],COLUMN(T_TraitDi[[#This Row],[Nbhheb]]),FALSE)=0,"",TEXT(IFERROR(VLOOKUP($A153,T_TraitDi[#Data],COLUMN(T_TraitDi[[#This Row],[Nbhheb]]),FALSE),""),"[hh]:mm"))</f>
        <v>#VALUE!</v>
      </c>
      <c r="BT153" s="182" t="str">
        <f>IFERROR(VLOOKUP(VLOOKUP($A153,T_TraitDi[#Data],COLUMN(T_TraitDi[[#This Row],[Type1]]),FALSE),TypeTW,2,FALSE),"")</f>
        <v/>
      </c>
      <c r="BU153" s="182" t="str">
        <f>IFERROR(VLOOKUP($A153,T_TraitDi[#Data],COLUMN(T_TraitDi[[#This Row],[Rue1]]),FALSE),"")</f>
        <v/>
      </c>
      <c r="BV153" s="173" t="str">
        <f>IFERROR(VLOOKUP($A153,T_TraitDi[#Data],COLUMN(T_TraitDi[[#This Row],[CP1]]),FALSE),"")</f>
        <v/>
      </c>
      <c r="BW153" s="173" t="str">
        <f>IFERROR(VLOOKUP($A153,T_TraitDi[#Data],COLUMN(T_TraitDi[[#This Row],[VILLE1]]),FALSE),"")</f>
        <v/>
      </c>
      <c r="BX153" s="182" t="str">
        <f>IFERROR(VLOOKUP(VLOOKUP($A153,T_TraitDi[#Data],COLUMN(T_TraitDi[[#This Row],[Type2]]),FALSE),TypeTW,2,FALSE),"")</f>
        <v/>
      </c>
      <c r="BY153" s="182" t="str">
        <f>IFERROR(VLOOKUP($A153,T_TraitDi[#Data],COLUMN(T_TraitDi[[#This Row],[Rue2]]),FALSE),"")</f>
        <v/>
      </c>
      <c r="BZ153" s="173" t="str">
        <f>IFERROR(VLOOKUP($A153,T_TraitDi[#Data],COLUMN(T_TraitDi[[#This Row],[CP2]]),FALSE),"")</f>
        <v/>
      </c>
      <c r="CA153" s="173" t="str">
        <f>IFERROR(VLOOKUP($A153,T_TraitDi[#Data],COLUMN(T_TraitDi[[#This Row],[VILLE2]]),FALSE),"")</f>
        <v/>
      </c>
      <c r="CB153" s="182" t="str">
        <f>IF(VLOOKUP(T_BilanSocial[[#This Row],[NumL]],T_Equipement[#Data],COLUMN(T_Equipement[[#This Row],[PC]]),FALSE)="","Aucun équipement spécifique directement lié au télétravail",VLOOKUP(T_BilanSocial[[#This Row],[NumL]],T_Equipement[#Data],COLUMN(T_Equipement[[#This Row],[PC]]),FALSE))</f>
        <v xml:space="preserve">17-015	</v>
      </c>
      <c r="CC153" s="166" t="str">
        <f>IFERROR(IF(VLOOKUP(T_BilanSocial[[#This Row],[NumL]],T_TraitDi[#Data],COLUMN(T_TraitDi[[#This Row],[Plan]]),FALSE)="OK","Un planning spécifique de télétravail est annexé à la présente convention.",""),"")</f>
        <v/>
      </c>
      <c r="CD153" s="185"/>
      <c r="CE153" s="164" t="e">
        <f>IF(VLOOKUP(T_BilanSocial[[#This Row],[NumL]],T_suiviDi[#Data],COLUMN(T_suiviDi[[#This Row],[Entité]]),FALSE)="","",VLOOKUP(T_BilanSocial[[#This Row],[NumL]],T_suiviDi[#Data],COLUMN(T_suiviDi[[#This Row],[Entité]]),FALSE))</f>
        <v>#VALUE!</v>
      </c>
      <c r="CF153" s="164" t="str">
        <f>IF(VLOOKUP(T_BilanSocial[[#This Row],[NumL]],T_Commission[#Data],COLUMN(T_Commission[[#This Row],[envoi confirm TW]]),FALSE)="","",VLOOKUP(T_BilanSocial[[#This Row],[NumL]],T_Commission[#Data],COLUMN(T_Commission[[#This Row],[envoi confirm TW]]),FALSE))</f>
        <v>Oui</v>
      </c>
      <c r="CG15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3" s="262" t="str">
        <f>T_BilanSocial[[#This Row],[Nom]]&amp;T_BilanSocial[[#This Row],[Prenom]]</f>
        <v/>
      </c>
      <c r="CI153" s="262">
        <f>VLOOKUP(T_BilanSocial[[#This Row],[NumL]],T_Commission[#Data],COLUMN(T_Commission[Commentaire]),FALSE)</f>
        <v>0</v>
      </c>
      <c r="CJ153" s="262" t="str">
        <f>IF(VLOOKUP(T_BilanSocial[[#This Row],[NumL]],T_Commission[#Data],COLUMN(T_Commission[Encadrant Email]),FALSE)="","",VLOOKUP(T_BilanSocial[[#This Row],[NumL]],T_Commission[#Data],COLUMN(T_Commission[Encadrant Email]),FALSE))</f>
        <v/>
      </c>
      <c r="CK153" s="340" t="str">
        <f>IF(T_BilanSocial[[#This Row],[Final]]&lt;&gt;"",VLOOKUP(T_BilanSocial[[#This Row],[NumL]],T_suiviDi[#Data],COLUMN((T_suiviDi[Statut])),FALSE),"")</f>
        <v/>
      </c>
    </row>
    <row r="154" spans="1:89" s="106" customFormat="1" ht="24.75" customHeight="1" x14ac:dyDescent="0.25">
      <c r="A154" s="160">
        <v>151</v>
      </c>
      <c r="B154" s="161" t="str">
        <f t="shared" si="22"/>
        <v/>
      </c>
      <c r="C154" s="162" t="s">
        <v>173</v>
      </c>
      <c r="D154" s="95" t="e">
        <f>IF(VLOOKUP(T_BilanSocial[[#This Row],[NumL]],T_TraitDi[#Data],COLUMN(T_TraitDi[[#This Row],[WebC]]),FALSE)="","",VLOOKUP(T_BilanSocial[[#This Row],[NumL]],T_TraitDi[#Data],COLUMN(T_TraitDi[[#This Row],[WebC]]),FALSE))</f>
        <v>#VALUE!</v>
      </c>
      <c r="E154" s="163" t="str">
        <f t="shared" si="23"/>
        <v>12 janvier 2021</v>
      </c>
      <c r="F154" s="96" t="str">
        <f>IF(T_BilanSocial[[#This Row],[Final]]&lt;&gt;"",VLOOKUP(T_BilanSocial[[#This Row],[NumL]],T_suiviDi[#Data],COLUMN((T_suiviDi[Civ.])),FALSE),"")</f>
        <v/>
      </c>
      <c r="G154" s="96" t="str">
        <f>IF(T_BilanSocial[[#This Row],[Final]]&lt;&gt;"",VLOOKUP(T_BilanSocial[[#This Row],[NumL]],T_suiviDi[#Data],COLUMN((T_suiviDi[Nom])),FALSE),"")</f>
        <v/>
      </c>
      <c r="H154" s="96" t="str">
        <f>IF(T_BilanSocial[[#This Row],[Final]]&lt;&gt;"",VLOOKUP(T_BilanSocial[[#This Row],[NumL]],T_suiviDi[#Data],COLUMN((T_suiviDi[Prénom])),FALSE),"")</f>
        <v/>
      </c>
      <c r="I154" s="96" t="str">
        <f>IFERROR(VLOOKUP(T_BilanSocial[[#This Row],[Zone_Bilan]],T_P_BilanSocial[#Data],COLUMN(T_P_BilanSocial[[#This Row],[Numero_SIHAM]]),FALSE),"")</f>
        <v/>
      </c>
      <c r="J154" s="96" t="str">
        <f>IFERROR(VLOOKUP(T_BilanSocial[[#This Row],[Zone_Bilan]],T_P_BilanSocial[#Data],COLUMN(T_P_BilanSocial[[#This Row],[Sexe]]),FALSE),"")</f>
        <v/>
      </c>
      <c r="K154" s="97" t="str">
        <f>IFERROR(VLOOKUP(T_BilanSocial[[#This Row],[Zone_Bilan]],T_P_BilanSocial[#Data],COLUMN(T_P_BilanSocial[[#This Row],[Categorie]]),FALSE),"")</f>
        <v/>
      </c>
      <c r="L154" s="96" t="str">
        <f>IFERROR(VLOOKUP(T_BilanSocial[[#This Row],[Zone_Bilan]],T_P_BilanSocial[#Data],COLUMN(T_P_BilanSocial[[#This Row],[Statut]]),FALSE),"")</f>
        <v/>
      </c>
      <c r="M154" s="96" t="str">
        <f>IFERROR(VLOOKUP(T_BilanSocial[[#This Row],[Zone_Bilan]],T_P_BilanSocial[#Data],COLUMN(T_P_BilanSocial[[#This Row],[Filiere]]),FALSE),"")</f>
        <v/>
      </c>
      <c r="N154" s="96" t="e">
        <f>VLOOKUP(T_BilanSocial[[#This Row],[NumL]],T_TraitDi[#Data],COLUMN(T_TraitDi[EXP]),FALSE)</f>
        <v>#N/A</v>
      </c>
      <c r="O154" s="96" t="e">
        <f>VLOOKUP(T_BilanSocial[[#This Row],[NumL]],T_TraitDi[#Data],COLUMN(T_TraitDi[FORM]),FALSE)</f>
        <v>#N/A</v>
      </c>
      <c r="P154" s="96" t="str">
        <f>IF(T_BilanSocial[[#This Row],[Final]]&lt;&gt;"",VLOOKUP(T_BilanSocial[[#This Row],[NumL]],T_suiviDi[#Data],COLUMN((T_suiviDi[Email])),FALSE),"")</f>
        <v/>
      </c>
      <c r="Q154" s="164" t="e">
        <f t="shared" si="28"/>
        <v>#N/A</v>
      </c>
      <c r="R154" s="164" t="e">
        <f t="shared" si="29"/>
        <v>#N/A</v>
      </c>
      <c r="S154" s="164" t="e">
        <f>IF(VLOOKUP(T_BilanSocial[[#This Row],[NumL]],T_suiviDi[#Data],COLUMN(T_suiviDi[[#This Row],[Service ]]),FALSE)="","",VLOOKUP(T_BilanSocial[[#This Row],[NumL]],T_suiviDi[#Data],COLUMN(T_suiviDi[[#This Row],[Service ]]),FALSE))</f>
        <v>#VALUE!</v>
      </c>
      <c r="T154" s="164" t="str">
        <f t="shared" si="24"/>
        <v>01 septembre 2021</v>
      </c>
      <c r="U154" s="164" t="str">
        <f t="shared" si="25"/>
        <v>30 novembre 2021</v>
      </c>
      <c r="V154" s="164" t="str">
        <f t="shared" si="30"/>
        <v>30 novembre 2021</v>
      </c>
      <c r="W154" s="176" t="e">
        <f>IF(VLOOKUP(T_BilanSocial[[#This Row],[NumL]],T_TraitDi[#Data],COLUMN(T_TraitDi[[#This Row],[M1]]),FALSE)="","",VLOOKUP(T_BilanSocial[[#This Row],[NumL]],T_TraitDi[#Data],COLUMN(T_TraitDi[[#This Row],[M1]]),FALSE))</f>
        <v>#VALUE!</v>
      </c>
      <c r="X154" s="176" t="e">
        <f>IF(VLOOKUP(T_BilanSocial[[#This Row],[NumL]],T_TraitDi[#Data],COLUMN(T_TraitDi[[#This Row],[M2]]),FALSE)="","",VLOOKUP(T_BilanSocial[[#This Row],[NumL]],T_TraitDi[#Data],COLUMN(T_TraitDi[[#This Row],[M2]]),FALSE))</f>
        <v>#VALUE!</v>
      </c>
      <c r="Y154" s="176" t="e">
        <f>IF(VLOOKUP(T_BilanSocial[[#This Row],[NumL]],T_TraitDi[#Data],COLUMN(T_TraitDi[[#This Row],[M3]]),FALSE)="","",VLOOKUP(T_BilanSocial[[#This Row],[NumL]],T_TraitDi[#Data],COLUMN(T_TraitDi[[#This Row],[M3]]),FALSE))</f>
        <v>#VALUE!</v>
      </c>
      <c r="Z154" s="176" t="str">
        <f t="shared" si="27"/>
        <v/>
      </c>
      <c r="AA154" s="176" t="e">
        <f>IF(VLOOKUP(T_BilanSocial[[#This Row],[NumL]],T_TraitDi[#Data],COLUMN(T_TraitDi[[#This Row],[M5]]),FALSE)="","",VLOOKUP(T_BilanSocial[[#This Row],[NumL]],T_TraitDi[#Data],COLUMN(T_TraitDi[[#This Row],[M5]]),FALSE))</f>
        <v>#VALUE!</v>
      </c>
      <c r="AB154" s="176" t="e">
        <f>IF(VLOOKUP(T_BilanSocial[[#This Row],[NumL]],T_TraitDi[#Data],COLUMN(T_TraitDi[[#This Row],[M6]]),FALSE)="","",VLOOKUP(T_BilanSocial[[#This Row],[NumL]],T_TraitDi[#Data],COLUMN(T_TraitDi[[#This Row],[M6]]),FALSE))</f>
        <v>#VALUE!</v>
      </c>
      <c r="AC154" s="165" t="e">
        <f t="shared" si="26"/>
        <v>#VALUE!</v>
      </c>
      <c r="AD154" s="188" t="str">
        <f>IFERROR(TEXT(VLOOKUP(T_BilanSocial[[#This Row],[NumL]],T_TraitDi[#Data],COLUMN(T_TraitDi[[#This Row],[Q2]]),FALSE),"###%"),"")</f>
        <v/>
      </c>
      <c r="AE154" s="97" t="e">
        <f>VLOOKUP(T_BilanSocial[[#This Row],[NumL]],T_TraitDi[#Data],COLUMN(T_TraitDi[[#This Row],[Reg Ponct]]),FALSE)</f>
        <v>#VALUE!</v>
      </c>
      <c r="AF154" s="97" t="e">
        <f>VLOOKUP(T_BilanSocial[NumL],T_TraitDi[#Data],COLUMN(T_TraitDi[[#This Row],[Jours flottants]]),FALSE)</f>
        <v>#VALUE!</v>
      </c>
      <c r="AG154" s="97" t="str">
        <f>IFERROR(VLOOKUP(T_BilanSocial[[#This Row],[NumL]],T_TraitDi[#Data],COLUMN(T_TraitDi[[#This Row],[Lundi]]),FALSE),"")</f>
        <v/>
      </c>
      <c r="AH154" s="172" t="e">
        <f>IF(VLOOKUP(T_BilanSocial[[#This Row],[NumL]],T_TraitDi[#Data],COLUMN(T_TraitDi[[#This Row],[Colonne3]]),FALSE)=0,"",TEXT(IFERROR(VLOOKUP(T_BilanSocial[[#This Row],[NumL]],T_TraitDi[#Data],COLUMN(T_TraitDi[[#This Row],[Colonne3]]),FALSE),""),"[hh]:mm"))</f>
        <v>#VALUE!</v>
      </c>
      <c r="AI154" s="172" t="e">
        <f>IF(VLOOKUP(T_BilanSocial[[#This Row],[NumL]],T_TraitDi[#Data],COLUMN(T_TraitDi[[#This Row],[Colonne4]]),FALSE)=0,"",TEXT(IFERROR(VLOOKUP(T_BilanSocial[[#This Row],[NumL]],T_TraitDi[#Data],COLUMN(T_TraitDi[[#This Row],[Colonne4]]),FALSE),""),"[hh]:mm"))</f>
        <v>#VALUE!</v>
      </c>
      <c r="AJ154" s="172" t="e">
        <f>IF(VLOOKUP(T_BilanSocial[[#This Row],[NumL]],T_TraitDi[#Data],COLUMN(T_TraitDi[[#This Row],[Colonne5]]),FALSE)=0,"",TEXT(IFERROR(VLOOKUP(T_BilanSocial[[#This Row],[NumL]],T_TraitDi[#Data],COLUMN(T_TraitDi[[#This Row],[Colonne5]]),FALSE),""),"[hh]:mm"))</f>
        <v>#VALUE!</v>
      </c>
      <c r="AK154" s="172" t="e">
        <f>IF(VLOOKUP(T_BilanSocial[[#This Row],[NumL]],T_TraitDi[#Data],COLUMN(T_TraitDi[[#This Row],[Colonne6]]),FALSE)=0,"",TEXT(IFERROR(VLOOKUP(T_BilanSocial[[#This Row],[NumL]],T_TraitDi[#Data],COLUMN(T_TraitDi[[#This Row],[Colonne6]]),FALSE),""),"[hh]:mm"))</f>
        <v>#VALUE!</v>
      </c>
      <c r="AL154" s="172" t="e">
        <f>IF(VLOOKUP(T_BilanSocial[[#This Row],[NumL]],T_TraitDi[#Data],COLUMN(T_TraitDi[[#This Row],[Colonne7]]),FALSE)=0,"",TEXT(IFERROR(VLOOKUP(T_BilanSocial[[#This Row],[NumL]],T_TraitDi[#Data],COLUMN(T_TraitDi[[#This Row],[Colonne7]]),FALSE),""),"[hh]:mm"))</f>
        <v>#VALUE!</v>
      </c>
      <c r="AM154" s="172" t="e">
        <f>IF(VLOOKUP(T_BilanSocial[[#This Row],[NumL]],T_TraitDi[#Data],COLUMN(T_TraitDi[[#This Row],[Colonne8]]),FALSE)=0,"",TEXT(IFERROR(VLOOKUP(T_BilanSocial[[#This Row],[NumL]],T_TraitDi[#Data],COLUMN(T_TraitDi[[#This Row],[Colonne8]]),FALSE),""),"[hh]:mm"))</f>
        <v>#VALUE!</v>
      </c>
      <c r="AN154" s="172" t="str">
        <f>IFERROR(VLOOKUP(T_BilanSocial[[#This Row],[NumL]],T_TraitDi[#Data],COLUMN(T_TraitDi[[#This Row],[Mardi]]),FALSE),"")</f>
        <v/>
      </c>
      <c r="AO154" s="172" t="e">
        <f>IF(VLOOKUP(T_BilanSocial[[#This Row],[NumL]],T_TraitDi[#Data],COLUMN(T_TraitDi[[#This Row],[Colonne1]]),FALSE)=0,"",TEXT(IFERROR(VLOOKUP(T_BilanSocial[[#This Row],[NumL]],T_TraitDi[#Data],COLUMN(T_TraitDi[[#This Row],[Colonne1]]),FALSE),""),"[hh]:mm"))</f>
        <v>#VALUE!</v>
      </c>
      <c r="AP154" s="172" t="e">
        <f>IF(VLOOKUP(T_BilanSocial[[#This Row],[NumL]],T_TraitDi[#Data],COLUMN(T_TraitDi[[#This Row],[Colonne9]]),FALSE)=0,"",TEXT(IFERROR(VLOOKUP(T_BilanSocial[[#This Row],[NumL]],T_TraitDi[#Data],COLUMN(T_TraitDi[[#This Row],[Colonne9]]),FALSE),""),"[hh]:mm"))</f>
        <v>#VALUE!</v>
      </c>
      <c r="AQ154" s="172" t="str">
        <f>IFERROR(VLOOKUP(T_BilanSocial[[#This Row],[NumL]],T_TraitDi[#Data],COLUMN(T_TraitDi[[#This Row],[Colonne10]]),FALSE),"")</f>
        <v/>
      </c>
      <c r="AR154" s="172" t="e">
        <f>IF(VLOOKUP(T_BilanSocial[[#This Row],[NumL]],T_TraitDi[#Data],COLUMN(T_TraitDi[[#This Row],[Colonne11]]),FALSE)=0,"",TEXT(IFERROR(VLOOKUP(T_BilanSocial[[#This Row],[NumL]],T_TraitDi[#Data],COLUMN(T_TraitDi[[#This Row],[Colonne11]]),FALSE),""),"[hh]:mm"))</f>
        <v>#VALUE!</v>
      </c>
      <c r="AS154" s="172" t="e">
        <f>IF(VLOOKUP(T_BilanSocial[[#This Row],[NumL]],T_TraitDi[#Data],COLUMN(T_TraitDi[[#This Row],[Colonne12]]),FALSE)=0,"",TEXT(IFERROR(VLOOKUP(T_BilanSocial[[#This Row],[NumL]],T_TraitDi[#Data],COLUMN(T_TraitDi[[#This Row],[Colonne12]]),FALSE),""),"[hh]:mm"))</f>
        <v>#VALUE!</v>
      </c>
      <c r="AT154" s="172" t="e">
        <f>IF(VLOOKUP(T_BilanSocial[[#This Row],[NumL]],T_TraitDi[#Data],COLUMN(T_TraitDi[[#This Row],[Colonne14]]),FALSE)=0,"",TEXT(IFERROR(VLOOKUP(T_BilanSocial[[#This Row],[NumL]],T_TraitDi[#Data],COLUMN(T_TraitDi[[#This Row],[Colonne14]]),FALSE),""),"[hh]:mm"))</f>
        <v>#VALUE!</v>
      </c>
      <c r="AU154" s="172" t="str">
        <f>IFERROR(VLOOKUP(T_BilanSocial[[#This Row],[NumL]],T_TraitDi[#Data],COLUMN(T_TraitDi[[#This Row],[Mercredi]]),FALSE),"")</f>
        <v/>
      </c>
      <c r="AV154" s="172" t="e">
        <f>IF(VLOOKUP(T_BilanSocial[[#This Row],[NumL]],T_TraitDi[#Data],COLUMN(T_TraitDi[[#This Row],[Colonne15]]),FALSE)=0,"",TEXT(IFERROR(VLOOKUP(T_BilanSocial[[#This Row],[NumL]],T_TraitDi[#Data],COLUMN(T_TraitDi[[#This Row],[Colonne15]]),FALSE),""),"[hh]:mm"))</f>
        <v>#VALUE!</v>
      </c>
      <c r="AW154" s="172" t="e">
        <f>IF(VLOOKUP(T_BilanSocial[[#This Row],[NumL]],T_TraitDi[#Data],COLUMN(T_TraitDi[[#This Row],[Colonne16]]),FALSE)=0,"",TEXT(IFERROR(VLOOKUP(T_BilanSocial[[#This Row],[NumL]],T_TraitDi[#Data],COLUMN(T_TraitDi[[#This Row],[Colonne16]]),FALSE),""),"[hh]:mm"))</f>
        <v>#VALUE!</v>
      </c>
      <c r="AX154" s="172" t="str">
        <f>IFERROR(VLOOKUP(T_BilanSocial[[#This Row],[NumL]],T_TraitDi[#Data],COLUMN(T_TraitDi[[#This Row],[Colonne17]]),FALSE),"")</f>
        <v/>
      </c>
      <c r="AY154" s="172" t="e">
        <f>IF(VLOOKUP(T_BilanSocial[[#This Row],[NumL]],T_TraitDi[#Data],COLUMN(T_TraitDi[[#This Row],[Colonne18]]),FALSE)=0,"",TEXT(IFERROR(VLOOKUP(T_BilanSocial[[#This Row],[NumL]],T_TraitDi[#Data],COLUMN(T_TraitDi[[#This Row],[Colonne18]]),FALSE),""),"[hh]:mm"))</f>
        <v>#VALUE!</v>
      </c>
      <c r="AZ154" s="172" t="e">
        <f>IF(VLOOKUP(T_BilanSocial[[#This Row],[NumL]],T_TraitDi[#Data],COLUMN(T_TraitDi[[#This Row],[Colonne19]]),FALSE)=0,"",TEXT(IFERROR(VLOOKUP(T_BilanSocial[[#This Row],[NumL]],T_TraitDi[#Data],COLUMN(T_TraitDi[[#This Row],[Colonne19]]),FALSE),""),"[hh]:mm"))</f>
        <v>#VALUE!</v>
      </c>
      <c r="BA154" s="172" t="e">
        <f>IF(VLOOKUP(T_BilanSocial[[#This Row],[NumL]],T_TraitDi[#Data],COLUMN(T_TraitDi[[#This Row],[Colonne20]]),FALSE)=0,"",TEXT(IFERROR(VLOOKUP(T_BilanSocial[[#This Row],[NumL]],T_TraitDi[#Data],COLUMN(T_TraitDi[[#This Row],[Colonne20]]),FALSE),""),"[hh]:mm"))</f>
        <v>#VALUE!</v>
      </c>
      <c r="BB154" s="178" t="str">
        <f>IFERROR(VLOOKUP(T_BilanSocial[[#This Row],[NumL]],T_TraitDi[#Data],COLUMN(T_TraitDi[[#This Row],[Jeudi]]),FALSE),"")</f>
        <v/>
      </c>
      <c r="BC154" s="178" t="e">
        <f>IF(VLOOKUP(T_BilanSocial[[#This Row],[NumL]],T_TraitDi[#Data],COLUMN(T_TraitDi[[#This Row],[Colonne21]]),FALSE)=0,"",TEXT(IFERROR(VLOOKUP(T_BilanSocial[[#This Row],[NumL]],T_TraitDi[#Data],COLUMN(T_TraitDi[[#This Row],[Colonne21]]),FALSE),""),"[hh]:mm"))</f>
        <v>#VALUE!</v>
      </c>
      <c r="BD154" s="178" t="e">
        <f>IF(VLOOKUP(T_BilanSocial[[#This Row],[NumL]],T_TraitDi[#Data],COLUMN(T_TraitDi[[#This Row],[Colonne22]]),FALSE)=0,"",TEXT(IFERROR(VLOOKUP(T_BilanSocial[[#This Row],[NumL]],T_TraitDi[#Data],COLUMN(T_TraitDi[[#This Row],[Colonne22]]),FALSE),""),"[hh]:mm"))</f>
        <v>#VALUE!</v>
      </c>
      <c r="BE154" s="178" t="str">
        <f>IFERROR(VLOOKUP(T_BilanSocial[[#This Row],[NumL]],T_TraitDi[#Data],COLUMN(T_TraitDi[[#This Row],[Colonne23]]),FALSE),"")</f>
        <v/>
      </c>
      <c r="BF154" s="178" t="e">
        <f>IF(VLOOKUP(T_BilanSocial[[#This Row],[NumL]],T_TraitDi[#Data],COLUMN(T_TraitDi[[#This Row],[Colonne24]]),FALSE)=0,"",TEXT(IFERROR(VLOOKUP(T_BilanSocial[[#This Row],[NumL]],T_TraitDi[#Data],COLUMN(T_TraitDi[[#This Row],[Colonne24]]),FALSE),""),"[hh]:mm"))</f>
        <v>#VALUE!</v>
      </c>
      <c r="BG154" s="178" t="e">
        <f>IF(VLOOKUP(T_BilanSocial[[#This Row],[NumL]],T_TraitDi[#Data],COLUMN(T_TraitDi[[#This Row],[Colonne25]]),FALSE)=0,"",TEXT(IFERROR(VLOOKUP(T_BilanSocial[[#This Row],[NumL]],T_TraitDi[#Data],COLUMN(T_TraitDi[[#This Row],[Colonne25]]),FALSE),""),"[hh]:mm"))</f>
        <v>#VALUE!</v>
      </c>
      <c r="BH154" s="178" t="e">
        <f>IF(VLOOKUP(T_BilanSocial[[#This Row],[NumL]],T_TraitDi[#Data],COLUMN(T_TraitDi[[#This Row],[Colonne26]]),FALSE)=0,"",TEXT(IFERROR(VLOOKUP(T_BilanSocial[[#This Row],[NumL]],T_TraitDi[#Data],COLUMN(T_TraitDi[[#This Row],[Colonne26]]),FALSE),""),"[hh]:mm"))</f>
        <v>#VALUE!</v>
      </c>
      <c r="BI154" s="172" t="str">
        <f>IFERROR(VLOOKUP(T_BilanSocial[[#This Row],[NumL]],T_TraitDi[#Data],COLUMN(T_TraitDi[[#This Row],[Vendredi]]),FALSE),"")</f>
        <v/>
      </c>
      <c r="BJ154" s="172" t="e">
        <f>IF(VLOOKUP(T_BilanSocial[[#This Row],[NumL]],T_TraitDi[#Data],COLUMN(T_TraitDi[[#This Row],[Colonne27]]),FALSE)=0,"",TEXT(IFERROR(VLOOKUP(T_BilanSocial[[#This Row],[NumL]],T_TraitDi[#Data],COLUMN(T_TraitDi[[#This Row],[Colonne27]]),FALSE),""),"[hh]:mm"))</f>
        <v>#VALUE!</v>
      </c>
      <c r="BK154" s="172" t="e">
        <f>IF(VLOOKUP(T_BilanSocial[[#This Row],[NumL]],T_TraitDi[#Data],COLUMN(T_TraitDi[[#This Row],[Colonne28]]),FALSE)=0,"",TEXT(IFERROR(VLOOKUP(T_BilanSocial[[#This Row],[NumL]],T_TraitDi[#Data],COLUMN(T_TraitDi[[#This Row],[Colonne28]]),FALSE),""),"[hh]:mm"))</f>
        <v>#VALUE!</v>
      </c>
      <c r="BL154" s="172" t="str">
        <f>IFERROR(VLOOKUP(T_BilanSocial[[#This Row],[NumL]],T_TraitDi[#Data],COLUMN(T_TraitDi[[#This Row],[Colonne29]]),FALSE),"")</f>
        <v/>
      </c>
      <c r="BM154" s="172" t="e">
        <f>IF(VLOOKUP(T_BilanSocial[[#This Row],[NumL]],T_TraitDi[#Data],COLUMN(T_TraitDi[[#This Row],[Colonne30]]),FALSE)=0,"",TEXT(IFERROR(VLOOKUP(T_BilanSocial[[#This Row],[NumL]],T_TraitDi[#Data],COLUMN(T_TraitDi[[#This Row],[Colonne30]]),FALSE),""),"[hh]:mm"))</f>
        <v>#VALUE!</v>
      </c>
      <c r="BN154" s="172" t="e">
        <f>IF(VLOOKUP(T_BilanSocial[[#This Row],[NumL]],T_TraitDi[#Data],COLUMN(T_TraitDi[[#This Row],[Colonne31]]),FALSE)=0,"",TEXT(IFERROR(VLOOKUP(T_BilanSocial[[#This Row],[NumL]],T_TraitDi[#Data],COLUMN(T_TraitDi[[#This Row],[Colonne31]]),FALSE),""),"[hh]:mm"))</f>
        <v>#VALUE!</v>
      </c>
      <c r="BO154" s="172" t="e">
        <f>IF(VLOOKUP(T_BilanSocial[[#This Row],[NumL]],T_TraitDi[#Data],COLUMN(T_TraitDi[[#This Row],[Colonne32]]),FALSE)=0,"",TEXT(IFERROR(VLOOKUP(T_BilanSocial[[#This Row],[NumL]],T_TraitDi[#Data],COLUMN(T_TraitDi[[#This Row],[Colonne32]]),FALSE),""),"[hh]:mm"))</f>
        <v>#VALUE!</v>
      </c>
      <c r="BP154" s="172" t="e">
        <f>VLOOKUP(T_BilanSocial[[#This Row],[NumL]],T_TraitDi[#Data],COLUMN(T_TraitDi[NbJTot]),FALSE)</f>
        <v>#N/A</v>
      </c>
      <c r="BQ154" s="174" t="str">
        <f>IFERROR(VLOOKUP(T_BilanSocial[[#This Row],[NumL]],T_TraitDi[#Data],COLUMN(T_TraitDi[[#This Row],[NbJTW]]),FALSE),"")</f>
        <v/>
      </c>
      <c r="BR154" s="174" t="e">
        <f>IF(VLOOKUP(T_BilanSocial[[#This Row],[NumL]],T_TraitDi[#Data],COLUMN(T_TraitDi[[#This Row],[NbhTW]]),FALSE)=0,"",TEXT(IFERROR(VLOOKUP(T_BilanSocial[[#This Row],[NumL]],T_TraitDi[#Data],COLUMN(T_TraitDi[[#This Row],[NbhTW]]),FALSE),""),"[hh]:mm"))</f>
        <v>#VALUE!</v>
      </c>
      <c r="BS154" s="174" t="e">
        <f>IF(VLOOKUP(T_BilanSocial[[#This Row],[NumL]],T_TraitDi[#Data],COLUMN(T_TraitDi[[#This Row],[Nbhheb]]),FALSE)=0,"",TEXT(IFERROR(VLOOKUP($A154,T_TraitDi[#Data],COLUMN(T_TraitDi[[#This Row],[Nbhheb]]),FALSE),""),"[hh]:mm"))</f>
        <v>#VALUE!</v>
      </c>
      <c r="BT154" s="182" t="str">
        <f>IFERROR(VLOOKUP(VLOOKUP($A154,T_TraitDi[#Data],COLUMN(T_TraitDi[[#This Row],[Type1]]),FALSE),TypeTW,2,FALSE),"")</f>
        <v/>
      </c>
      <c r="BU154" s="182" t="str">
        <f>IFERROR(VLOOKUP($A154,T_TraitDi[#Data],COLUMN(T_TraitDi[[#This Row],[Rue1]]),FALSE),"")</f>
        <v/>
      </c>
      <c r="BV154" s="173" t="str">
        <f>IFERROR(VLOOKUP($A154,T_TraitDi[#Data],COLUMN(T_TraitDi[[#This Row],[CP1]]),FALSE),"")</f>
        <v/>
      </c>
      <c r="BW154" s="173" t="str">
        <f>IFERROR(VLOOKUP($A154,T_TraitDi[#Data],COLUMN(T_TraitDi[[#This Row],[VILLE1]]),FALSE),"")</f>
        <v/>
      </c>
      <c r="BX154" s="182" t="str">
        <f>IFERROR(VLOOKUP(VLOOKUP($A154,T_TraitDi[#Data],COLUMN(T_TraitDi[[#This Row],[Type2]]),FALSE),TypeTW,2,FALSE),"")</f>
        <v/>
      </c>
      <c r="BY154" s="182" t="str">
        <f>IFERROR(VLOOKUP($A154,T_TraitDi[#Data],COLUMN(T_TraitDi[[#This Row],[Rue2]]),FALSE),"")</f>
        <v/>
      </c>
      <c r="BZ154" s="173" t="str">
        <f>IFERROR(VLOOKUP($A154,T_TraitDi[#Data],COLUMN(T_TraitDi[[#This Row],[CP2]]),FALSE),"")</f>
        <v/>
      </c>
      <c r="CA154" s="173" t="str">
        <f>IFERROR(VLOOKUP($A154,T_TraitDi[#Data],COLUMN(T_TraitDi[[#This Row],[VILLE2]]),FALSE),"")</f>
        <v/>
      </c>
      <c r="CB154" s="182" t="str">
        <f>IF(VLOOKUP(T_BilanSocial[[#This Row],[NumL]],T_Equipement[#Data],COLUMN(T_Equipement[[#This Row],[PC]]),FALSE)="","Aucun équipement spécifique directement lié au télétravail",VLOOKUP(T_BilanSocial[[#This Row],[NumL]],T_Equipement[#Data],COLUMN(T_Equipement[[#This Row],[PC]]),FALSE))</f>
        <v>14-049	 mac</v>
      </c>
      <c r="CC154" s="166" t="str">
        <f>IFERROR(IF(VLOOKUP(T_BilanSocial[[#This Row],[NumL]],T_TraitDi[#Data],COLUMN(T_TraitDi[[#This Row],[Plan]]),FALSE)="OK","Un planning spécifique de télétravail est annexé à la présente convention.",""),"")</f>
        <v/>
      </c>
      <c r="CD154" s="258" t="s">
        <v>3350</v>
      </c>
      <c r="CE154" s="164" t="e">
        <f>IF(VLOOKUP(T_BilanSocial[[#This Row],[NumL]],T_suiviDi[#Data],COLUMN(T_suiviDi[[#This Row],[Entité]]),FALSE)="","",VLOOKUP(T_BilanSocial[[#This Row],[NumL]],T_suiviDi[#Data],COLUMN(T_suiviDi[[#This Row],[Entité]]),FALSE))</f>
        <v>#VALUE!</v>
      </c>
      <c r="CF154" s="164" t="str">
        <f>IF(VLOOKUP(T_BilanSocial[[#This Row],[NumL]],T_Commission[#Data],COLUMN(T_Commission[[#This Row],[envoi confirm TW]]),FALSE)="","",VLOOKUP(T_BilanSocial[[#This Row],[NumL]],T_Commission[#Data],COLUMN(T_Commission[[#This Row],[envoi confirm TW]]),FALSE))</f>
        <v>Oui</v>
      </c>
      <c r="CG15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4" s="262" t="str">
        <f>T_BilanSocial[[#This Row],[Nom]]&amp;T_BilanSocial[[#This Row],[Prenom]]</f>
        <v/>
      </c>
      <c r="CI154" s="262">
        <f>VLOOKUP(T_BilanSocial[[#This Row],[NumL]],T_Commission[#Data],COLUMN(T_Commission[Commentaire]),FALSE)</f>
        <v>0</v>
      </c>
      <c r="CJ154" s="262" t="str">
        <f>IF(VLOOKUP(T_BilanSocial[[#This Row],[NumL]],T_Commission[#Data],COLUMN(T_Commission[Encadrant Email]),FALSE)="","",VLOOKUP(T_BilanSocial[[#This Row],[NumL]],T_Commission[#Data],COLUMN(T_Commission[Encadrant Email]),FALSE))</f>
        <v/>
      </c>
      <c r="CK154" s="340" t="str">
        <f>IF(T_BilanSocial[[#This Row],[Final]]&lt;&gt;"",VLOOKUP(T_BilanSocial[[#This Row],[NumL]],T_suiviDi[#Data],COLUMN((T_suiviDi[Statut])),FALSE),"")</f>
        <v/>
      </c>
    </row>
    <row r="155" spans="1:89" s="106" customFormat="1" ht="24.75" customHeight="1" x14ac:dyDescent="0.25">
      <c r="A155" s="160">
        <v>152</v>
      </c>
      <c r="B155" s="161">
        <f t="shared" si="22"/>
        <v>1</v>
      </c>
      <c r="C155" s="162" t="s">
        <v>173</v>
      </c>
      <c r="D155" s="95" t="e">
        <f>IF(VLOOKUP(T_BilanSocial[[#This Row],[NumL]],T_TraitDi[#Data],COLUMN(T_TraitDi[[#This Row],[WebC]]),FALSE)="","",VLOOKUP(T_BilanSocial[[#This Row],[NumL]],T_TraitDi[#Data],COLUMN(T_TraitDi[[#This Row],[WebC]]),FALSE))</f>
        <v>#VALUE!</v>
      </c>
      <c r="E155" s="163" t="str">
        <f t="shared" si="23"/>
        <v>12 janvier 2021</v>
      </c>
      <c r="F155" s="96" t="str">
        <f>IF(T_BilanSocial[[#This Row],[Final]]&lt;&gt;"",VLOOKUP(T_BilanSocial[[#This Row],[NumL]],T_suiviDi[#Data],COLUMN((T_suiviDi[Civ.])),FALSE),"")</f>
        <v>Mme</v>
      </c>
      <c r="G155" s="96" t="str">
        <f>IF(T_BilanSocial[[#This Row],[Final]]&lt;&gt;"",VLOOKUP(T_BilanSocial[[#This Row],[NumL]],T_suiviDi[#Data],COLUMN((T_suiviDi[Nom])),FALSE),"")</f>
        <v>A</v>
      </c>
      <c r="H155" s="96" t="str">
        <f>IF(T_BilanSocial[[#This Row],[Final]]&lt;&gt;"",VLOOKUP(T_BilanSocial[[#This Row],[NumL]],T_suiviDi[#Data],COLUMN((T_suiviDi[Prénom])),FALSE),"")</f>
        <v>Elodie</v>
      </c>
      <c r="I155" s="96" t="str">
        <f>IFERROR(VLOOKUP(T_BilanSocial[[#This Row],[Zone_Bilan]],T_P_BilanSocial[#Data],COLUMN(T_P_BilanSocial[[#This Row],[Numero_SIHAM]]),FALSE),"")</f>
        <v/>
      </c>
      <c r="J155" s="96" t="str">
        <f>IFERROR(VLOOKUP(T_BilanSocial[[#This Row],[Zone_Bilan]],T_P_BilanSocial[#Data],COLUMN(T_P_BilanSocial[[#This Row],[Sexe]]),FALSE),"")</f>
        <v/>
      </c>
      <c r="K155" s="97" t="str">
        <f>IFERROR(VLOOKUP(T_BilanSocial[[#This Row],[Zone_Bilan]],T_P_BilanSocial[#Data],COLUMN(T_P_BilanSocial[[#This Row],[Categorie]]),FALSE),"")</f>
        <v/>
      </c>
      <c r="L155" s="96" t="str">
        <f>IFERROR(VLOOKUP(T_BilanSocial[[#This Row],[Zone_Bilan]],T_P_BilanSocial[#Data],COLUMN(T_P_BilanSocial[[#This Row],[Statut]]),FALSE),"")</f>
        <v/>
      </c>
      <c r="M155" s="96" t="str">
        <f>IFERROR(VLOOKUP(T_BilanSocial[[#This Row],[Zone_Bilan]],T_P_BilanSocial[#Data],COLUMN(T_P_BilanSocial[[#This Row],[Filiere]]),FALSE),"")</f>
        <v/>
      </c>
      <c r="N155" s="96" t="str">
        <f>VLOOKUP(T_BilanSocial[[#This Row],[NumL]],T_TraitDi[#Data],COLUMN(T_TraitDi[EXP]),FALSE)</f>
        <v>O</v>
      </c>
      <c r="O155" s="96" t="str">
        <f>VLOOKUP(T_BilanSocial[[#This Row],[NumL]],T_TraitDi[#Data],COLUMN(T_TraitDi[FORM]),FALSE)</f>
        <v>O</v>
      </c>
      <c r="P155" s="96">
        <f>IF(T_BilanSocial[[#This Row],[Final]]&lt;&gt;"",VLOOKUP(T_BilanSocial[[#This Row],[NumL]],T_suiviDi[#Data],COLUMN((T_suiviDi[Email])),FALSE),"")</f>
        <v>0</v>
      </c>
      <c r="Q155" s="164" t="str">
        <f t="shared" si="28"/>
        <v>Pôle Vie Etudiante</v>
      </c>
      <c r="R155" s="164" t="str">
        <f t="shared" si="29"/>
        <v>Responsable du Pôle Vie Etudiante</v>
      </c>
      <c r="S155" s="164" t="e">
        <f>IF(VLOOKUP(T_BilanSocial[[#This Row],[NumL]],T_suiviDi[#Data],COLUMN(T_suiviDi[[#This Row],[Service ]]),FALSE)="","",VLOOKUP(T_BilanSocial[[#This Row],[NumL]],T_suiviDi[#Data],COLUMN(T_suiviDi[[#This Row],[Service ]]),FALSE))</f>
        <v>#VALUE!</v>
      </c>
      <c r="T155" s="164" t="str">
        <f t="shared" si="24"/>
        <v>01 septembre 2021</v>
      </c>
      <c r="U155" s="164" t="str">
        <f t="shared" si="25"/>
        <v>30 novembre 2021</v>
      </c>
      <c r="V155" s="164" t="str">
        <f t="shared" si="30"/>
        <v>30 novembre 2021</v>
      </c>
      <c r="W155" s="176" t="e">
        <f>IF(VLOOKUP(T_BilanSocial[[#This Row],[NumL]],T_TraitDi[#Data],COLUMN(T_TraitDi[[#This Row],[M1]]),FALSE)="","",VLOOKUP(T_BilanSocial[[#This Row],[NumL]],T_TraitDi[#Data],COLUMN(T_TraitDi[[#This Row],[M1]]),FALSE))</f>
        <v>#VALUE!</v>
      </c>
      <c r="X155" s="176" t="e">
        <f>IF(VLOOKUP(T_BilanSocial[[#This Row],[NumL]],T_TraitDi[#Data],COLUMN(T_TraitDi[[#This Row],[M2]]),FALSE)="","",VLOOKUP(T_BilanSocial[[#This Row],[NumL]],T_TraitDi[#Data],COLUMN(T_TraitDi[[#This Row],[M2]]),FALSE))</f>
        <v>#VALUE!</v>
      </c>
      <c r="Y155" s="176" t="e">
        <f>IF(VLOOKUP(T_BilanSocial[[#This Row],[NumL]],T_TraitDi[#Data],COLUMN(T_TraitDi[[#This Row],[M3]]),FALSE)="","",VLOOKUP(T_BilanSocial[[#This Row],[NumL]],T_TraitDi[#Data],COLUMN(T_TraitDi[[#This Row],[M3]]),FALSE))</f>
        <v>#VALUE!</v>
      </c>
      <c r="Z155" s="176" t="str">
        <f t="shared" si="27"/>
        <v/>
      </c>
      <c r="AA155" s="176" t="e">
        <f>IF(VLOOKUP(T_BilanSocial[[#This Row],[NumL]],T_TraitDi[#Data],COLUMN(T_TraitDi[[#This Row],[M5]]),FALSE)="","",VLOOKUP(T_BilanSocial[[#This Row],[NumL]],T_TraitDi[#Data],COLUMN(T_TraitDi[[#This Row],[M5]]),FALSE))</f>
        <v>#VALUE!</v>
      </c>
      <c r="AB155" s="176" t="e">
        <f>IF(VLOOKUP(T_BilanSocial[[#This Row],[NumL]],T_TraitDi[#Data],COLUMN(T_TraitDi[[#This Row],[M6]]),FALSE)="","",VLOOKUP(T_BilanSocial[[#This Row],[NumL]],T_TraitDi[#Data],COLUMN(T_TraitDi[[#This Row],[M6]]),FALSE))</f>
        <v>#VALUE!</v>
      </c>
      <c r="AC155" s="165" t="e">
        <f t="shared" si="26"/>
        <v>#VALUE!</v>
      </c>
      <c r="AD155" s="188" t="str">
        <f>IFERROR(TEXT(VLOOKUP(T_BilanSocial[[#This Row],[NumL]],T_TraitDi[#Data],COLUMN(T_TraitDi[[#This Row],[Q2]]),FALSE),"###%"),"")</f>
        <v/>
      </c>
      <c r="AE155" s="97" t="e">
        <f>VLOOKUP(T_BilanSocial[[#This Row],[NumL]],T_TraitDi[#Data],COLUMN(T_TraitDi[[#This Row],[Reg Ponct]]),FALSE)</f>
        <v>#VALUE!</v>
      </c>
      <c r="AF155" s="97" t="e">
        <f>VLOOKUP(T_BilanSocial[NumL],T_TraitDi[#Data],COLUMN(T_TraitDi[[#This Row],[Jours flottants]]),FALSE)</f>
        <v>#VALUE!</v>
      </c>
      <c r="AG155" s="97" t="str">
        <f>IFERROR(VLOOKUP(T_BilanSocial[[#This Row],[NumL]],T_TraitDi[#Data],COLUMN(T_TraitDi[[#This Row],[Lundi]]),FALSE),"")</f>
        <v/>
      </c>
      <c r="AH155" s="172" t="e">
        <f>IF(VLOOKUP(T_BilanSocial[[#This Row],[NumL]],T_TraitDi[#Data],COLUMN(T_TraitDi[[#This Row],[Colonne3]]),FALSE)=0,"",TEXT(IFERROR(VLOOKUP(T_BilanSocial[[#This Row],[NumL]],T_TraitDi[#Data],COLUMN(T_TraitDi[[#This Row],[Colonne3]]),FALSE),""),"[hh]:mm"))</f>
        <v>#VALUE!</v>
      </c>
      <c r="AI155" s="172" t="e">
        <f>IF(VLOOKUP(T_BilanSocial[[#This Row],[NumL]],T_TraitDi[#Data],COLUMN(T_TraitDi[[#This Row],[Colonne4]]),FALSE)=0,"",TEXT(IFERROR(VLOOKUP(T_BilanSocial[[#This Row],[NumL]],T_TraitDi[#Data],COLUMN(T_TraitDi[[#This Row],[Colonne4]]),FALSE),""),"[hh]:mm"))</f>
        <v>#VALUE!</v>
      </c>
      <c r="AJ155" s="172" t="e">
        <f>IF(VLOOKUP(T_BilanSocial[[#This Row],[NumL]],T_TraitDi[#Data],COLUMN(T_TraitDi[[#This Row],[Colonne5]]),FALSE)=0,"",TEXT(IFERROR(VLOOKUP(T_BilanSocial[[#This Row],[NumL]],T_TraitDi[#Data],COLUMN(T_TraitDi[[#This Row],[Colonne5]]),FALSE),""),"[hh]:mm"))</f>
        <v>#VALUE!</v>
      </c>
      <c r="AK155" s="172" t="e">
        <f>IF(VLOOKUP(T_BilanSocial[[#This Row],[NumL]],T_TraitDi[#Data],COLUMN(T_TraitDi[[#This Row],[Colonne6]]),FALSE)=0,"",TEXT(IFERROR(VLOOKUP(T_BilanSocial[[#This Row],[NumL]],T_TraitDi[#Data],COLUMN(T_TraitDi[[#This Row],[Colonne6]]),FALSE),""),"[hh]:mm"))</f>
        <v>#VALUE!</v>
      </c>
      <c r="AL155" s="172" t="e">
        <f>IF(VLOOKUP(T_BilanSocial[[#This Row],[NumL]],T_TraitDi[#Data],COLUMN(T_TraitDi[[#This Row],[Colonne7]]),FALSE)=0,"",TEXT(IFERROR(VLOOKUP(T_BilanSocial[[#This Row],[NumL]],T_TraitDi[#Data],COLUMN(T_TraitDi[[#This Row],[Colonne7]]),FALSE),""),"[hh]:mm"))</f>
        <v>#VALUE!</v>
      </c>
      <c r="AM155" s="172" t="e">
        <f>IF(VLOOKUP(T_BilanSocial[[#This Row],[NumL]],T_TraitDi[#Data],COLUMN(T_TraitDi[[#This Row],[Colonne8]]),FALSE)=0,"",TEXT(IFERROR(VLOOKUP(T_BilanSocial[[#This Row],[NumL]],T_TraitDi[#Data],COLUMN(T_TraitDi[[#This Row],[Colonne8]]),FALSE),""),"[hh]:mm"))</f>
        <v>#VALUE!</v>
      </c>
      <c r="AN155" s="172" t="str">
        <f>IFERROR(VLOOKUP(T_BilanSocial[[#This Row],[NumL]],T_TraitDi[#Data],COLUMN(T_TraitDi[[#This Row],[Mardi]]),FALSE),"")</f>
        <v/>
      </c>
      <c r="AO155" s="172" t="e">
        <f>IF(VLOOKUP(T_BilanSocial[[#This Row],[NumL]],T_TraitDi[#Data],COLUMN(T_TraitDi[[#This Row],[Colonne1]]),FALSE)=0,"",TEXT(IFERROR(VLOOKUP(T_BilanSocial[[#This Row],[NumL]],T_TraitDi[#Data],COLUMN(T_TraitDi[[#This Row],[Colonne1]]),FALSE),""),"[hh]:mm"))</f>
        <v>#VALUE!</v>
      </c>
      <c r="AP155" s="172" t="e">
        <f>IF(VLOOKUP(T_BilanSocial[[#This Row],[NumL]],T_TraitDi[#Data],COLUMN(T_TraitDi[[#This Row],[Colonne9]]),FALSE)=0,"",TEXT(IFERROR(VLOOKUP(T_BilanSocial[[#This Row],[NumL]],T_TraitDi[#Data],COLUMN(T_TraitDi[[#This Row],[Colonne9]]),FALSE),""),"[hh]:mm"))</f>
        <v>#VALUE!</v>
      </c>
      <c r="AQ155" s="172" t="str">
        <f>IFERROR(VLOOKUP(T_BilanSocial[[#This Row],[NumL]],T_TraitDi[#Data],COLUMN(T_TraitDi[[#This Row],[Colonne10]]),FALSE),"")</f>
        <v/>
      </c>
      <c r="AR155" s="172" t="e">
        <f>IF(VLOOKUP(T_BilanSocial[[#This Row],[NumL]],T_TraitDi[#Data],COLUMN(T_TraitDi[[#This Row],[Colonne11]]),FALSE)=0,"",TEXT(IFERROR(VLOOKUP(T_BilanSocial[[#This Row],[NumL]],T_TraitDi[#Data],COLUMN(T_TraitDi[[#This Row],[Colonne11]]),FALSE),""),"[hh]:mm"))</f>
        <v>#VALUE!</v>
      </c>
      <c r="AS155" s="172" t="e">
        <f>IF(VLOOKUP(T_BilanSocial[[#This Row],[NumL]],T_TraitDi[#Data],COLUMN(T_TraitDi[[#This Row],[Colonne12]]),FALSE)=0,"",TEXT(IFERROR(VLOOKUP(T_BilanSocial[[#This Row],[NumL]],T_TraitDi[#Data],COLUMN(T_TraitDi[[#This Row],[Colonne12]]),FALSE),""),"[hh]:mm"))</f>
        <v>#VALUE!</v>
      </c>
      <c r="AT155" s="172" t="e">
        <f>IF(VLOOKUP(T_BilanSocial[[#This Row],[NumL]],T_TraitDi[#Data],COLUMN(T_TraitDi[[#This Row],[Colonne14]]),FALSE)=0,"",TEXT(IFERROR(VLOOKUP(T_BilanSocial[[#This Row],[NumL]],T_TraitDi[#Data],COLUMN(T_TraitDi[[#This Row],[Colonne14]]),FALSE),""),"[hh]:mm"))</f>
        <v>#VALUE!</v>
      </c>
      <c r="AU155" s="172" t="str">
        <f>IFERROR(VLOOKUP(T_BilanSocial[[#This Row],[NumL]],T_TraitDi[#Data],COLUMN(T_TraitDi[[#This Row],[Mercredi]]),FALSE),"")</f>
        <v/>
      </c>
      <c r="AV155" s="172" t="e">
        <f>IF(VLOOKUP(T_BilanSocial[[#This Row],[NumL]],T_TraitDi[#Data],COLUMN(T_TraitDi[[#This Row],[Colonne15]]),FALSE)=0,"",TEXT(IFERROR(VLOOKUP(T_BilanSocial[[#This Row],[NumL]],T_TraitDi[#Data],COLUMN(T_TraitDi[[#This Row],[Colonne15]]),FALSE),""),"[hh]:mm"))</f>
        <v>#VALUE!</v>
      </c>
      <c r="AW155" s="172" t="e">
        <f>IF(VLOOKUP(T_BilanSocial[[#This Row],[NumL]],T_TraitDi[#Data],COLUMN(T_TraitDi[[#This Row],[Colonne16]]),FALSE)=0,"",TEXT(IFERROR(VLOOKUP(T_BilanSocial[[#This Row],[NumL]],T_TraitDi[#Data],COLUMN(T_TraitDi[[#This Row],[Colonne16]]),FALSE),""),"[hh]:mm"))</f>
        <v>#VALUE!</v>
      </c>
      <c r="AX155" s="172" t="str">
        <f>IFERROR(VLOOKUP(T_BilanSocial[[#This Row],[NumL]],T_TraitDi[#Data],COLUMN(T_TraitDi[[#This Row],[Colonne17]]),FALSE),"")</f>
        <v/>
      </c>
      <c r="AY155" s="172" t="e">
        <f>IF(VLOOKUP(T_BilanSocial[[#This Row],[NumL]],T_TraitDi[#Data],COLUMN(T_TraitDi[[#This Row],[Colonne18]]),FALSE)=0,"",TEXT(IFERROR(VLOOKUP(T_BilanSocial[[#This Row],[NumL]],T_TraitDi[#Data],COLUMN(T_TraitDi[[#This Row],[Colonne18]]),FALSE),""),"[hh]:mm"))</f>
        <v>#VALUE!</v>
      </c>
      <c r="AZ155" s="172" t="e">
        <f>IF(VLOOKUP(T_BilanSocial[[#This Row],[NumL]],T_TraitDi[#Data],COLUMN(T_TraitDi[[#This Row],[Colonne19]]),FALSE)=0,"",TEXT(IFERROR(VLOOKUP(T_BilanSocial[[#This Row],[NumL]],T_TraitDi[#Data],COLUMN(T_TraitDi[[#This Row],[Colonne19]]),FALSE),""),"[hh]:mm"))</f>
        <v>#VALUE!</v>
      </c>
      <c r="BA155" s="172" t="e">
        <f>IF(VLOOKUP(T_BilanSocial[[#This Row],[NumL]],T_TraitDi[#Data],COLUMN(T_TraitDi[[#This Row],[Colonne20]]),FALSE)=0,"",TEXT(IFERROR(VLOOKUP(T_BilanSocial[[#This Row],[NumL]],T_TraitDi[#Data],COLUMN(T_TraitDi[[#This Row],[Colonne20]]),FALSE),""),"[hh]:mm"))</f>
        <v>#VALUE!</v>
      </c>
      <c r="BB155" s="178" t="str">
        <f>IFERROR(VLOOKUP(T_BilanSocial[[#This Row],[NumL]],T_TraitDi[#Data],COLUMN(T_TraitDi[[#This Row],[Jeudi]]),FALSE),"")</f>
        <v/>
      </c>
      <c r="BC155" s="178" t="e">
        <f>IF(VLOOKUP(T_BilanSocial[[#This Row],[NumL]],T_TraitDi[#Data],COLUMN(T_TraitDi[[#This Row],[Colonne21]]),FALSE)=0,"",TEXT(IFERROR(VLOOKUP(T_BilanSocial[[#This Row],[NumL]],T_TraitDi[#Data],COLUMN(T_TraitDi[[#This Row],[Colonne21]]),FALSE),""),"[hh]:mm"))</f>
        <v>#VALUE!</v>
      </c>
      <c r="BD155" s="178" t="e">
        <f>IF(VLOOKUP(T_BilanSocial[[#This Row],[NumL]],T_TraitDi[#Data],COLUMN(T_TraitDi[[#This Row],[Colonne22]]),FALSE)=0,"",TEXT(IFERROR(VLOOKUP(T_BilanSocial[[#This Row],[NumL]],T_TraitDi[#Data],COLUMN(T_TraitDi[[#This Row],[Colonne22]]),FALSE),""),"[hh]:mm"))</f>
        <v>#VALUE!</v>
      </c>
      <c r="BE155" s="178" t="str">
        <f>IFERROR(VLOOKUP(T_BilanSocial[[#This Row],[NumL]],T_TraitDi[#Data],COLUMN(T_TraitDi[[#This Row],[Colonne23]]),FALSE),"")</f>
        <v/>
      </c>
      <c r="BF155" s="178" t="e">
        <f>IF(VLOOKUP(T_BilanSocial[[#This Row],[NumL]],T_TraitDi[#Data],COLUMN(T_TraitDi[[#This Row],[Colonne24]]),FALSE)=0,"",TEXT(IFERROR(VLOOKUP(T_BilanSocial[[#This Row],[NumL]],T_TraitDi[#Data],COLUMN(T_TraitDi[[#This Row],[Colonne24]]),FALSE),""),"[hh]:mm"))</f>
        <v>#VALUE!</v>
      </c>
      <c r="BG155" s="178" t="e">
        <f>IF(VLOOKUP(T_BilanSocial[[#This Row],[NumL]],T_TraitDi[#Data],COLUMN(T_TraitDi[[#This Row],[Colonne25]]),FALSE)=0,"",TEXT(IFERROR(VLOOKUP(T_BilanSocial[[#This Row],[NumL]],T_TraitDi[#Data],COLUMN(T_TraitDi[[#This Row],[Colonne25]]),FALSE),""),"[hh]:mm"))</f>
        <v>#VALUE!</v>
      </c>
      <c r="BH155" s="178" t="e">
        <f>IF(VLOOKUP(T_BilanSocial[[#This Row],[NumL]],T_TraitDi[#Data],COLUMN(T_TraitDi[[#This Row],[Colonne26]]),FALSE)=0,"",TEXT(IFERROR(VLOOKUP(T_BilanSocial[[#This Row],[NumL]],T_TraitDi[#Data],COLUMN(T_TraitDi[[#This Row],[Colonne26]]),FALSE),""),"[hh]:mm"))</f>
        <v>#VALUE!</v>
      </c>
      <c r="BI155" s="172" t="str">
        <f>IFERROR(VLOOKUP(T_BilanSocial[[#This Row],[NumL]],T_TraitDi[#Data],COLUMN(T_TraitDi[[#This Row],[Vendredi]]),FALSE),"")</f>
        <v/>
      </c>
      <c r="BJ155" s="172" t="e">
        <f>IF(VLOOKUP(T_BilanSocial[[#This Row],[NumL]],T_TraitDi[#Data],COLUMN(T_TraitDi[[#This Row],[Colonne27]]),FALSE)=0,"",TEXT(IFERROR(VLOOKUP(T_BilanSocial[[#This Row],[NumL]],T_TraitDi[#Data],COLUMN(T_TraitDi[[#This Row],[Colonne27]]),FALSE),""),"[hh]:mm"))</f>
        <v>#VALUE!</v>
      </c>
      <c r="BK155" s="172" t="e">
        <f>IF(VLOOKUP(T_BilanSocial[[#This Row],[NumL]],T_TraitDi[#Data],COLUMN(T_TraitDi[[#This Row],[Colonne28]]),FALSE)=0,"",TEXT(IFERROR(VLOOKUP(T_BilanSocial[[#This Row],[NumL]],T_TraitDi[#Data],COLUMN(T_TraitDi[[#This Row],[Colonne28]]),FALSE),""),"[hh]:mm"))</f>
        <v>#VALUE!</v>
      </c>
      <c r="BL155" s="172" t="str">
        <f>IFERROR(VLOOKUP(T_BilanSocial[[#This Row],[NumL]],T_TraitDi[#Data],COLUMN(T_TraitDi[[#This Row],[Colonne29]]),FALSE),"")</f>
        <v/>
      </c>
      <c r="BM155" s="172" t="e">
        <f>IF(VLOOKUP(T_BilanSocial[[#This Row],[NumL]],T_TraitDi[#Data],COLUMN(T_TraitDi[[#This Row],[Colonne30]]),FALSE)=0,"",TEXT(IFERROR(VLOOKUP(T_BilanSocial[[#This Row],[NumL]],T_TraitDi[#Data],COLUMN(T_TraitDi[[#This Row],[Colonne30]]),FALSE),""),"[hh]:mm"))</f>
        <v>#VALUE!</v>
      </c>
      <c r="BN155" s="172" t="e">
        <f>IF(VLOOKUP(T_BilanSocial[[#This Row],[NumL]],T_TraitDi[#Data],COLUMN(T_TraitDi[[#This Row],[Colonne31]]),FALSE)=0,"",TEXT(IFERROR(VLOOKUP(T_BilanSocial[[#This Row],[NumL]],T_TraitDi[#Data],COLUMN(T_TraitDi[[#This Row],[Colonne31]]),FALSE),""),"[hh]:mm"))</f>
        <v>#VALUE!</v>
      </c>
      <c r="BO155" s="172" t="e">
        <f>IF(VLOOKUP(T_BilanSocial[[#This Row],[NumL]],T_TraitDi[#Data],COLUMN(T_TraitDi[[#This Row],[Colonne32]]),FALSE)=0,"",TEXT(IFERROR(VLOOKUP(T_BilanSocial[[#This Row],[NumL]],T_TraitDi[#Data],COLUMN(T_TraitDi[[#This Row],[Colonne32]]),FALSE),""),"[hh]:mm"))</f>
        <v>#VALUE!</v>
      </c>
      <c r="BP155" s="172">
        <f>VLOOKUP(T_BilanSocial[[#This Row],[NumL]],T_TraitDi[#Data],COLUMN(T_TraitDi[NbJTot]),FALSE)</f>
        <v>5</v>
      </c>
      <c r="BQ155" s="174" t="str">
        <f>IFERROR(VLOOKUP(T_BilanSocial[[#This Row],[NumL]],T_TraitDi[#Data],COLUMN(T_TraitDi[[#This Row],[NbJTW]]),FALSE),"")</f>
        <v/>
      </c>
      <c r="BR155" s="174" t="e">
        <f>IF(VLOOKUP(T_BilanSocial[[#This Row],[NumL]],T_TraitDi[#Data],COLUMN(T_TraitDi[[#This Row],[NbhTW]]),FALSE)=0,"",TEXT(IFERROR(VLOOKUP(T_BilanSocial[[#This Row],[NumL]],T_TraitDi[#Data],COLUMN(T_TraitDi[[#This Row],[NbhTW]]),FALSE),""),"[hh]:mm"))</f>
        <v>#VALUE!</v>
      </c>
      <c r="BS155" s="174" t="e">
        <f>IF(VLOOKUP(T_BilanSocial[[#This Row],[NumL]],T_TraitDi[#Data],COLUMN(T_TraitDi[[#This Row],[Nbhheb]]),FALSE)=0,"",TEXT(IFERROR(VLOOKUP($A155,T_TraitDi[#Data],COLUMN(T_TraitDi[[#This Row],[Nbhheb]]),FALSE),""),"[hh]:mm"))</f>
        <v>#VALUE!</v>
      </c>
      <c r="BT155" s="182" t="str">
        <f>IFERROR(VLOOKUP(VLOOKUP($A155,T_TraitDi[#Data],COLUMN(T_TraitDi[[#This Row],[Type1]]),FALSE),TypeTW,2,FALSE),"")</f>
        <v/>
      </c>
      <c r="BU155" s="182" t="str">
        <f>IFERROR(VLOOKUP($A155,T_TraitDi[#Data],COLUMN(T_TraitDi[[#This Row],[Rue1]]),FALSE),"")</f>
        <v/>
      </c>
      <c r="BV155" s="173" t="str">
        <f>IFERROR(VLOOKUP($A155,T_TraitDi[#Data],COLUMN(T_TraitDi[[#This Row],[CP1]]),FALSE),"")</f>
        <v/>
      </c>
      <c r="BW155" s="173" t="str">
        <f>IFERROR(VLOOKUP($A155,T_TraitDi[#Data],COLUMN(T_TraitDi[[#This Row],[VILLE1]]),FALSE),"")</f>
        <v/>
      </c>
      <c r="BX155" s="182" t="str">
        <f>IFERROR(VLOOKUP(VLOOKUP($A155,T_TraitDi[#Data],COLUMN(T_TraitDi[[#This Row],[Type2]]),FALSE),TypeTW,2,FALSE),"")</f>
        <v/>
      </c>
      <c r="BY155" s="182" t="str">
        <f>IFERROR(VLOOKUP($A155,T_TraitDi[#Data],COLUMN(T_TraitDi[[#This Row],[Rue2]]),FALSE),"")</f>
        <v/>
      </c>
      <c r="BZ155" s="173" t="str">
        <f>IFERROR(VLOOKUP($A155,T_TraitDi[#Data],COLUMN(T_TraitDi[[#This Row],[CP2]]),FALSE),"")</f>
        <v/>
      </c>
      <c r="CA155" s="173" t="str">
        <f>IFERROR(VLOOKUP($A155,T_TraitDi[#Data],COLUMN(T_TraitDi[[#This Row],[VILLE2]]),FALSE),"")</f>
        <v/>
      </c>
      <c r="CB155" s="182" t="str">
        <f>IF(VLOOKUP(T_BilanSocial[[#This Row],[NumL]],T_Equipement[#Data],COLUMN(T_Equipement[[#This Row],[PC]]),FALSE)="","Aucun équipement spécifique directement lié au télétravail",VLOOKUP(T_BilanSocial[[#This Row],[NumL]],T_Equipement[#Data],COLUMN(T_Equipement[[#This Row],[PC]]),FALSE))</f>
        <v xml:space="preserve">17-031	</v>
      </c>
      <c r="CC155" s="166" t="str">
        <f>IFERROR(IF(VLOOKUP(T_BilanSocial[[#This Row],[NumL]],T_TraitDi[#Data],COLUMN(T_TraitDi[[#This Row],[Plan]]),FALSE)="OK","Un planning spécifique de télétravail est annexé à la présente convention.",""),"")</f>
        <v/>
      </c>
      <c r="CD155" s="258" t="s">
        <v>3299</v>
      </c>
      <c r="CE155" s="164" t="e">
        <f>IF(VLOOKUP(T_BilanSocial[[#This Row],[NumL]],T_suiviDi[#Data],COLUMN(T_suiviDi[[#This Row],[Entité]]),FALSE)="","",VLOOKUP(T_BilanSocial[[#This Row],[NumL]],T_suiviDi[#Data],COLUMN(T_suiviDi[[#This Row],[Entité]]),FALSE))</f>
        <v>#VALUE!</v>
      </c>
      <c r="CF155" s="164" t="str">
        <f>IF(VLOOKUP(T_BilanSocial[[#This Row],[NumL]],T_Commission[#Data],COLUMN(T_Commission[[#This Row],[envoi confirm TW]]),FALSE)="","",VLOOKUP(T_BilanSocial[[#This Row],[NumL]],T_Commission[#Data],COLUMN(T_Commission[[#This Row],[envoi confirm TW]]),FALSE))</f>
        <v>Oui</v>
      </c>
      <c r="CG15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5" s="262" t="str">
        <f>T_BilanSocial[[#This Row],[Nom]]&amp;T_BilanSocial[[#This Row],[Prenom]]</f>
        <v>AElodie</v>
      </c>
      <c r="CI155" s="262">
        <f>VLOOKUP(T_BilanSocial[[#This Row],[NumL]],T_Commission[#Data],COLUMN(T_Commission[Commentaire]),FALSE)</f>
        <v>0</v>
      </c>
      <c r="CJ155" s="262" t="str">
        <f>IF(VLOOKUP(T_BilanSocial[[#This Row],[NumL]],T_Commission[#Data],COLUMN(T_Commission[Encadrant Email]),FALSE)="","",VLOOKUP(T_BilanSocial[[#This Row],[NumL]],T_Commission[#Data],COLUMN(T_Commission[Encadrant Email]),FALSE))</f>
        <v/>
      </c>
      <c r="CK155" s="340" t="str">
        <f>IF(T_BilanSocial[[#This Row],[Final]]&lt;&gt;"",VLOOKUP(T_BilanSocial[[#This Row],[NumL]],T_suiviDi[#Data],COLUMN((T_suiviDi[Statut])),FALSE),"")</f>
        <v>RENVL</v>
      </c>
    </row>
    <row r="156" spans="1:89" s="106" customFormat="1" ht="24.75" customHeight="1" x14ac:dyDescent="0.25">
      <c r="A156" s="160">
        <v>153</v>
      </c>
      <c r="B156" s="161" t="e">
        <f t="shared" si="22"/>
        <v>#N/A</v>
      </c>
      <c r="C156" s="162" t="s">
        <v>173</v>
      </c>
      <c r="D156" s="95" t="e">
        <f>IF(VLOOKUP(T_BilanSocial[[#This Row],[NumL]],T_TraitDi[#Data],COLUMN(T_TraitDi[[#This Row],[WebC]]),FALSE)="","",VLOOKUP(T_BilanSocial[[#This Row],[NumL]],T_TraitDi[#Data],COLUMN(T_TraitDi[[#This Row],[WebC]]),FALSE))</f>
        <v>#VALUE!</v>
      </c>
      <c r="E156" s="163" t="str">
        <f t="shared" si="23"/>
        <v>12 janvier 2021</v>
      </c>
      <c r="F156" s="96" t="e">
        <f>IF(T_BilanSocial[[#This Row],[Final]]&lt;&gt;"",VLOOKUP(T_BilanSocial[[#This Row],[NumL]],T_suiviDi[#Data],COLUMN((T_suiviDi[Civ.])),FALSE),"")</f>
        <v>#N/A</v>
      </c>
      <c r="G156" s="96" t="e">
        <f>IF(T_BilanSocial[[#This Row],[Final]]&lt;&gt;"",VLOOKUP(T_BilanSocial[[#This Row],[NumL]],T_suiviDi[#Data],COLUMN((T_suiviDi[Nom])),FALSE),"")</f>
        <v>#N/A</v>
      </c>
      <c r="H156" s="96" t="e">
        <f>IF(T_BilanSocial[[#This Row],[Final]]&lt;&gt;"",VLOOKUP(T_BilanSocial[[#This Row],[NumL]],T_suiviDi[#Data],COLUMN((T_suiviDi[Prénom])),FALSE),"")</f>
        <v>#N/A</v>
      </c>
      <c r="I156" s="96" t="str">
        <f>IFERROR(VLOOKUP(T_BilanSocial[[#This Row],[Zone_Bilan]],T_P_BilanSocial[#Data],COLUMN(T_P_BilanSocial[[#This Row],[Numero_SIHAM]]),FALSE),"")</f>
        <v/>
      </c>
      <c r="J156" s="96" t="str">
        <f>IFERROR(VLOOKUP(T_BilanSocial[[#This Row],[Zone_Bilan]],T_P_BilanSocial[#Data],COLUMN(T_P_BilanSocial[[#This Row],[Sexe]]),FALSE),"")</f>
        <v/>
      </c>
      <c r="K156" s="97" t="str">
        <f>IFERROR(VLOOKUP(T_BilanSocial[[#This Row],[Zone_Bilan]],T_P_BilanSocial[#Data],COLUMN(T_P_BilanSocial[[#This Row],[Categorie]]),FALSE),"")</f>
        <v/>
      </c>
      <c r="L156" s="96" t="str">
        <f>IFERROR(VLOOKUP(T_BilanSocial[[#This Row],[Zone_Bilan]],T_P_BilanSocial[#Data],COLUMN(T_P_BilanSocial[[#This Row],[Statut]]),FALSE),"")</f>
        <v/>
      </c>
      <c r="M156" s="96" t="str">
        <f>IFERROR(VLOOKUP(T_BilanSocial[[#This Row],[Zone_Bilan]],T_P_BilanSocial[#Data],COLUMN(T_P_BilanSocial[[#This Row],[Filiere]]),FALSE),"")</f>
        <v/>
      </c>
      <c r="N156" s="96" t="e">
        <f>VLOOKUP(T_BilanSocial[[#This Row],[NumL]],T_TraitDi[#Data],COLUMN(T_TraitDi[EXP]),FALSE)</f>
        <v>#N/A</v>
      </c>
      <c r="O156" s="96" t="e">
        <f>VLOOKUP(T_BilanSocial[[#This Row],[NumL]],T_TraitDi[#Data],COLUMN(T_TraitDi[FORM]),FALSE)</f>
        <v>#N/A</v>
      </c>
      <c r="P156" s="96" t="e">
        <f>IF(T_BilanSocial[[#This Row],[Final]]&lt;&gt;"",VLOOKUP(T_BilanSocial[[#This Row],[NumL]],T_suiviDi[#Data],COLUMN((T_suiviDi[Email])),FALSE),"")</f>
        <v>#N/A</v>
      </c>
      <c r="Q156" s="164" t="e">
        <f t="shared" si="28"/>
        <v>#N/A</v>
      </c>
      <c r="R156" s="164" t="e">
        <f t="shared" si="29"/>
        <v>#N/A</v>
      </c>
      <c r="S156" s="164" t="e">
        <f>IF(VLOOKUP(T_BilanSocial[[#This Row],[NumL]],T_suiviDi[#Data],COLUMN(T_suiviDi[[#This Row],[Service ]]),FALSE)="","",VLOOKUP(T_BilanSocial[[#This Row],[NumL]],T_suiviDi[#Data],COLUMN(T_suiviDi[[#This Row],[Service ]]),FALSE))</f>
        <v>#VALUE!</v>
      </c>
      <c r="T156" s="164" t="str">
        <f t="shared" si="24"/>
        <v>01 septembre 2021</v>
      </c>
      <c r="U156" s="164" t="str">
        <f t="shared" si="25"/>
        <v>30 novembre 2021</v>
      </c>
      <c r="V156" s="164" t="str">
        <f t="shared" si="30"/>
        <v>30 novembre 2021</v>
      </c>
      <c r="W156" s="176" t="e">
        <f>IF(VLOOKUP(T_BilanSocial[[#This Row],[NumL]],T_TraitDi[#Data],COLUMN(T_TraitDi[[#This Row],[M1]]),FALSE)="","",VLOOKUP(T_BilanSocial[[#This Row],[NumL]],T_TraitDi[#Data],COLUMN(T_TraitDi[[#This Row],[M1]]),FALSE))</f>
        <v>#VALUE!</v>
      </c>
      <c r="X156" s="176" t="e">
        <f>IF(VLOOKUP(T_BilanSocial[[#This Row],[NumL]],T_TraitDi[#Data],COLUMN(T_TraitDi[[#This Row],[M2]]),FALSE)="","",VLOOKUP(T_BilanSocial[[#This Row],[NumL]],T_TraitDi[#Data],COLUMN(T_TraitDi[[#This Row],[M2]]),FALSE))</f>
        <v>#VALUE!</v>
      </c>
      <c r="Y156" s="176" t="e">
        <f>IF(VLOOKUP(T_BilanSocial[[#This Row],[NumL]],T_TraitDi[#Data],COLUMN(T_TraitDi[[#This Row],[M3]]),FALSE)="","",VLOOKUP(T_BilanSocial[[#This Row],[NumL]],T_TraitDi[#Data],COLUMN(T_TraitDi[[#This Row],[M3]]),FALSE))</f>
        <v>#VALUE!</v>
      </c>
      <c r="Z156" s="176" t="str">
        <f t="shared" si="27"/>
        <v/>
      </c>
      <c r="AA156" s="176" t="e">
        <f>IF(VLOOKUP(T_BilanSocial[[#This Row],[NumL]],T_TraitDi[#Data],COLUMN(T_TraitDi[[#This Row],[M5]]),FALSE)="","",VLOOKUP(T_BilanSocial[[#This Row],[NumL]],T_TraitDi[#Data],COLUMN(T_TraitDi[[#This Row],[M5]]),FALSE))</f>
        <v>#VALUE!</v>
      </c>
      <c r="AB156" s="176" t="e">
        <f>IF(VLOOKUP(T_BilanSocial[[#This Row],[NumL]],T_TraitDi[#Data],COLUMN(T_TraitDi[[#This Row],[M6]]),FALSE)="","",VLOOKUP(T_BilanSocial[[#This Row],[NumL]],T_TraitDi[#Data],COLUMN(T_TraitDi[[#This Row],[M6]]),FALSE))</f>
        <v>#VALUE!</v>
      </c>
      <c r="AC156" s="165" t="e">
        <f t="shared" si="26"/>
        <v>#VALUE!</v>
      </c>
      <c r="AD156" s="188" t="str">
        <f>IFERROR(TEXT(VLOOKUP(T_BilanSocial[[#This Row],[NumL]],T_TraitDi[#Data],COLUMN(T_TraitDi[[#This Row],[Q2]]),FALSE),"###%"),"")</f>
        <v/>
      </c>
      <c r="AE156" s="97" t="e">
        <f>VLOOKUP(T_BilanSocial[[#This Row],[NumL]],T_TraitDi[#Data],COLUMN(T_TraitDi[[#This Row],[Reg Ponct]]),FALSE)</f>
        <v>#VALUE!</v>
      </c>
      <c r="AF156" s="97" t="e">
        <f>VLOOKUP(T_BilanSocial[NumL],T_TraitDi[#Data],COLUMN(T_TraitDi[[#This Row],[Jours flottants]]),FALSE)</f>
        <v>#VALUE!</v>
      </c>
      <c r="AG156" s="97" t="str">
        <f>IFERROR(VLOOKUP(T_BilanSocial[[#This Row],[NumL]],T_TraitDi[#Data],COLUMN(T_TraitDi[[#This Row],[Lundi]]),FALSE),"")</f>
        <v/>
      </c>
      <c r="AH156" s="172" t="e">
        <f>IF(VLOOKUP(T_BilanSocial[[#This Row],[NumL]],T_TraitDi[#Data],COLUMN(T_TraitDi[[#This Row],[Colonne3]]),FALSE)=0,"",TEXT(IFERROR(VLOOKUP(T_BilanSocial[[#This Row],[NumL]],T_TraitDi[#Data],COLUMN(T_TraitDi[[#This Row],[Colonne3]]),FALSE),""),"[hh]:mm"))</f>
        <v>#VALUE!</v>
      </c>
      <c r="AI156" s="172" t="e">
        <f>IF(VLOOKUP(T_BilanSocial[[#This Row],[NumL]],T_TraitDi[#Data],COLUMN(T_TraitDi[[#This Row],[Colonne4]]),FALSE)=0,"",TEXT(IFERROR(VLOOKUP(T_BilanSocial[[#This Row],[NumL]],T_TraitDi[#Data],COLUMN(T_TraitDi[[#This Row],[Colonne4]]),FALSE),""),"[hh]:mm"))</f>
        <v>#VALUE!</v>
      </c>
      <c r="AJ156" s="172" t="e">
        <f>IF(VLOOKUP(T_BilanSocial[[#This Row],[NumL]],T_TraitDi[#Data],COLUMN(T_TraitDi[[#This Row],[Colonne5]]),FALSE)=0,"",TEXT(IFERROR(VLOOKUP(T_BilanSocial[[#This Row],[NumL]],T_TraitDi[#Data],COLUMN(T_TraitDi[[#This Row],[Colonne5]]),FALSE),""),"[hh]:mm"))</f>
        <v>#VALUE!</v>
      </c>
      <c r="AK156" s="172" t="e">
        <f>IF(VLOOKUP(T_BilanSocial[[#This Row],[NumL]],T_TraitDi[#Data],COLUMN(T_TraitDi[[#This Row],[Colonne6]]),FALSE)=0,"",TEXT(IFERROR(VLOOKUP(T_BilanSocial[[#This Row],[NumL]],T_TraitDi[#Data],COLUMN(T_TraitDi[[#This Row],[Colonne6]]),FALSE),""),"[hh]:mm"))</f>
        <v>#VALUE!</v>
      </c>
      <c r="AL156" s="172" t="e">
        <f>IF(VLOOKUP(T_BilanSocial[[#This Row],[NumL]],T_TraitDi[#Data],COLUMN(T_TraitDi[[#This Row],[Colonne7]]),FALSE)=0,"",TEXT(IFERROR(VLOOKUP(T_BilanSocial[[#This Row],[NumL]],T_TraitDi[#Data],COLUMN(T_TraitDi[[#This Row],[Colonne7]]),FALSE),""),"[hh]:mm"))</f>
        <v>#VALUE!</v>
      </c>
      <c r="AM156" s="172" t="e">
        <f>IF(VLOOKUP(T_BilanSocial[[#This Row],[NumL]],T_TraitDi[#Data],COLUMN(T_TraitDi[[#This Row],[Colonne8]]),FALSE)=0,"",TEXT(IFERROR(VLOOKUP(T_BilanSocial[[#This Row],[NumL]],T_TraitDi[#Data],COLUMN(T_TraitDi[[#This Row],[Colonne8]]),FALSE),""),"[hh]:mm"))</f>
        <v>#VALUE!</v>
      </c>
      <c r="AN156" s="172" t="str">
        <f>IFERROR(VLOOKUP(T_BilanSocial[[#This Row],[NumL]],T_TraitDi[#Data],COLUMN(T_TraitDi[[#This Row],[Mardi]]),FALSE),"")</f>
        <v/>
      </c>
      <c r="AO156" s="172" t="e">
        <f>IF(VLOOKUP(T_BilanSocial[[#This Row],[NumL]],T_TraitDi[#Data],COLUMN(T_TraitDi[[#This Row],[Colonne1]]),FALSE)=0,"",TEXT(IFERROR(VLOOKUP(T_BilanSocial[[#This Row],[NumL]],T_TraitDi[#Data],COLUMN(T_TraitDi[[#This Row],[Colonne1]]),FALSE),""),"[hh]:mm"))</f>
        <v>#VALUE!</v>
      </c>
      <c r="AP156" s="172" t="e">
        <f>IF(VLOOKUP(T_BilanSocial[[#This Row],[NumL]],T_TraitDi[#Data],COLUMN(T_TraitDi[[#This Row],[Colonne9]]),FALSE)=0,"",TEXT(IFERROR(VLOOKUP(T_BilanSocial[[#This Row],[NumL]],T_TraitDi[#Data],COLUMN(T_TraitDi[[#This Row],[Colonne9]]),FALSE),""),"[hh]:mm"))</f>
        <v>#VALUE!</v>
      </c>
      <c r="AQ156" s="172" t="str">
        <f>IFERROR(VLOOKUP(T_BilanSocial[[#This Row],[NumL]],T_TraitDi[#Data],COLUMN(T_TraitDi[[#This Row],[Colonne10]]),FALSE),"")</f>
        <v/>
      </c>
      <c r="AR156" s="172" t="e">
        <f>IF(VLOOKUP(T_BilanSocial[[#This Row],[NumL]],T_TraitDi[#Data],COLUMN(T_TraitDi[[#This Row],[Colonne11]]),FALSE)=0,"",TEXT(IFERROR(VLOOKUP(T_BilanSocial[[#This Row],[NumL]],T_TraitDi[#Data],COLUMN(T_TraitDi[[#This Row],[Colonne11]]),FALSE),""),"[hh]:mm"))</f>
        <v>#VALUE!</v>
      </c>
      <c r="AS156" s="172" t="e">
        <f>IF(VLOOKUP(T_BilanSocial[[#This Row],[NumL]],T_TraitDi[#Data],COLUMN(T_TraitDi[[#This Row],[Colonne12]]),FALSE)=0,"",TEXT(IFERROR(VLOOKUP(T_BilanSocial[[#This Row],[NumL]],T_TraitDi[#Data],COLUMN(T_TraitDi[[#This Row],[Colonne12]]),FALSE),""),"[hh]:mm"))</f>
        <v>#VALUE!</v>
      </c>
      <c r="AT156" s="172" t="e">
        <f>IF(VLOOKUP(T_BilanSocial[[#This Row],[NumL]],T_TraitDi[#Data],COLUMN(T_TraitDi[[#This Row],[Colonne14]]),FALSE)=0,"",TEXT(IFERROR(VLOOKUP(T_BilanSocial[[#This Row],[NumL]],T_TraitDi[#Data],COLUMN(T_TraitDi[[#This Row],[Colonne14]]),FALSE),""),"[hh]:mm"))</f>
        <v>#VALUE!</v>
      </c>
      <c r="AU156" s="172" t="str">
        <f>IFERROR(VLOOKUP(T_BilanSocial[[#This Row],[NumL]],T_TraitDi[#Data],COLUMN(T_TraitDi[[#This Row],[Mercredi]]),FALSE),"")</f>
        <v/>
      </c>
      <c r="AV156" s="172" t="e">
        <f>IF(VLOOKUP(T_BilanSocial[[#This Row],[NumL]],T_TraitDi[#Data],COLUMN(T_TraitDi[[#This Row],[Colonne15]]),FALSE)=0,"",TEXT(IFERROR(VLOOKUP(T_BilanSocial[[#This Row],[NumL]],T_TraitDi[#Data],COLUMN(T_TraitDi[[#This Row],[Colonne15]]),FALSE),""),"[hh]:mm"))</f>
        <v>#VALUE!</v>
      </c>
      <c r="AW156" s="172" t="e">
        <f>IF(VLOOKUP(T_BilanSocial[[#This Row],[NumL]],T_TraitDi[#Data],COLUMN(T_TraitDi[[#This Row],[Colonne16]]),FALSE)=0,"",TEXT(IFERROR(VLOOKUP(T_BilanSocial[[#This Row],[NumL]],T_TraitDi[#Data],COLUMN(T_TraitDi[[#This Row],[Colonne16]]),FALSE),""),"[hh]:mm"))</f>
        <v>#VALUE!</v>
      </c>
      <c r="AX156" s="172" t="str">
        <f>IFERROR(VLOOKUP(T_BilanSocial[[#This Row],[NumL]],T_TraitDi[#Data],COLUMN(T_TraitDi[[#This Row],[Colonne17]]),FALSE),"")</f>
        <v/>
      </c>
      <c r="AY156" s="172" t="e">
        <f>IF(VLOOKUP(T_BilanSocial[[#This Row],[NumL]],T_TraitDi[#Data],COLUMN(T_TraitDi[[#This Row],[Colonne18]]),FALSE)=0,"",TEXT(IFERROR(VLOOKUP(T_BilanSocial[[#This Row],[NumL]],T_TraitDi[#Data],COLUMN(T_TraitDi[[#This Row],[Colonne18]]),FALSE),""),"[hh]:mm"))</f>
        <v>#VALUE!</v>
      </c>
      <c r="AZ156" s="172" t="e">
        <f>IF(VLOOKUP(T_BilanSocial[[#This Row],[NumL]],T_TraitDi[#Data],COLUMN(T_TraitDi[[#This Row],[Colonne19]]),FALSE)=0,"",TEXT(IFERROR(VLOOKUP(T_BilanSocial[[#This Row],[NumL]],T_TraitDi[#Data],COLUMN(T_TraitDi[[#This Row],[Colonne19]]),FALSE),""),"[hh]:mm"))</f>
        <v>#VALUE!</v>
      </c>
      <c r="BA156" s="172" t="e">
        <f>IF(VLOOKUP(T_BilanSocial[[#This Row],[NumL]],T_TraitDi[#Data],COLUMN(T_TraitDi[[#This Row],[Colonne20]]),FALSE)=0,"",TEXT(IFERROR(VLOOKUP(T_BilanSocial[[#This Row],[NumL]],T_TraitDi[#Data],COLUMN(T_TraitDi[[#This Row],[Colonne20]]),FALSE),""),"[hh]:mm"))</f>
        <v>#VALUE!</v>
      </c>
      <c r="BB156" s="178" t="str">
        <f>IFERROR(VLOOKUP(T_BilanSocial[[#This Row],[NumL]],T_TraitDi[#Data],COLUMN(T_TraitDi[[#This Row],[Jeudi]]),FALSE),"")</f>
        <v/>
      </c>
      <c r="BC156" s="178" t="e">
        <f>IF(VLOOKUP(T_BilanSocial[[#This Row],[NumL]],T_TraitDi[#Data],COLUMN(T_TraitDi[[#This Row],[Colonne21]]),FALSE)=0,"",TEXT(IFERROR(VLOOKUP(T_BilanSocial[[#This Row],[NumL]],T_TraitDi[#Data],COLUMN(T_TraitDi[[#This Row],[Colonne21]]),FALSE),""),"[hh]:mm"))</f>
        <v>#VALUE!</v>
      </c>
      <c r="BD156" s="178" t="e">
        <f>IF(VLOOKUP(T_BilanSocial[[#This Row],[NumL]],T_TraitDi[#Data],COLUMN(T_TraitDi[[#This Row],[Colonne22]]),FALSE)=0,"",TEXT(IFERROR(VLOOKUP(T_BilanSocial[[#This Row],[NumL]],T_TraitDi[#Data],COLUMN(T_TraitDi[[#This Row],[Colonne22]]),FALSE),""),"[hh]:mm"))</f>
        <v>#VALUE!</v>
      </c>
      <c r="BE156" s="178" t="str">
        <f>IFERROR(VLOOKUP(T_BilanSocial[[#This Row],[NumL]],T_TraitDi[#Data],COLUMN(T_TraitDi[[#This Row],[Colonne23]]),FALSE),"")</f>
        <v/>
      </c>
      <c r="BF156" s="178" t="e">
        <f>IF(VLOOKUP(T_BilanSocial[[#This Row],[NumL]],T_TraitDi[#Data],COLUMN(T_TraitDi[[#This Row],[Colonne24]]),FALSE)=0,"",TEXT(IFERROR(VLOOKUP(T_BilanSocial[[#This Row],[NumL]],T_TraitDi[#Data],COLUMN(T_TraitDi[[#This Row],[Colonne24]]),FALSE),""),"[hh]:mm"))</f>
        <v>#VALUE!</v>
      </c>
      <c r="BG156" s="178" t="e">
        <f>IF(VLOOKUP(T_BilanSocial[[#This Row],[NumL]],T_TraitDi[#Data],COLUMN(T_TraitDi[[#This Row],[Colonne25]]),FALSE)=0,"",TEXT(IFERROR(VLOOKUP(T_BilanSocial[[#This Row],[NumL]],T_TraitDi[#Data],COLUMN(T_TraitDi[[#This Row],[Colonne25]]),FALSE),""),"[hh]:mm"))</f>
        <v>#VALUE!</v>
      </c>
      <c r="BH156" s="178" t="e">
        <f>IF(VLOOKUP(T_BilanSocial[[#This Row],[NumL]],T_TraitDi[#Data],COLUMN(T_TraitDi[[#This Row],[Colonne26]]),FALSE)=0,"",TEXT(IFERROR(VLOOKUP(T_BilanSocial[[#This Row],[NumL]],T_TraitDi[#Data],COLUMN(T_TraitDi[[#This Row],[Colonne26]]),FALSE),""),"[hh]:mm"))</f>
        <v>#VALUE!</v>
      </c>
      <c r="BI156" s="172" t="str">
        <f>IFERROR(VLOOKUP(T_BilanSocial[[#This Row],[NumL]],T_TraitDi[#Data],COLUMN(T_TraitDi[[#This Row],[Vendredi]]),FALSE),"")</f>
        <v/>
      </c>
      <c r="BJ156" s="172" t="e">
        <f>IF(VLOOKUP(T_BilanSocial[[#This Row],[NumL]],T_TraitDi[#Data],COLUMN(T_TraitDi[[#This Row],[Colonne27]]),FALSE)=0,"",TEXT(IFERROR(VLOOKUP(T_BilanSocial[[#This Row],[NumL]],T_TraitDi[#Data],COLUMN(T_TraitDi[[#This Row],[Colonne27]]),FALSE),""),"[hh]:mm"))</f>
        <v>#VALUE!</v>
      </c>
      <c r="BK156" s="172" t="e">
        <f>IF(VLOOKUP(T_BilanSocial[[#This Row],[NumL]],T_TraitDi[#Data],COLUMN(T_TraitDi[[#This Row],[Colonne28]]),FALSE)=0,"",TEXT(IFERROR(VLOOKUP(T_BilanSocial[[#This Row],[NumL]],T_TraitDi[#Data],COLUMN(T_TraitDi[[#This Row],[Colonne28]]),FALSE),""),"[hh]:mm"))</f>
        <v>#VALUE!</v>
      </c>
      <c r="BL156" s="172" t="str">
        <f>IFERROR(VLOOKUP(T_BilanSocial[[#This Row],[NumL]],T_TraitDi[#Data],COLUMN(T_TraitDi[[#This Row],[Colonne29]]),FALSE),"")</f>
        <v/>
      </c>
      <c r="BM156" s="172" t="e">
        <f>IF(VLOOKUP(T_BilanSocial[[#This Row],[NumL]],T_TraitDi[#Data],COLUMN(T_TraitDi[[#This Row],[Colonne30]]),FALSE)=0,"",TEXT(IFERROR(VLOOKUP(T_BilanSocial[[#This Row],[NumL]],T_TraitDi[#Data],COLUMN(T_TraitDi[[#This Row],[Colonne30]]),FALSE),""),"[hh]:mm"))</f>
        <v>#VALUE!</v>
      </c>
      <c r="BN156" s="172" t="e">
        <f>IF(VLOOKUP(T_BilanSocial[[#This Row],[NumL]],T_TraitDi[#Data],COLUMN(T_TraitDi[[#This Row],[Colonne31]]),FALSE)=0,"",TEXT(IFERROR(VLOOKUP(T_BilanSocial[[#This Row],[NumL]],T_TraitDi[#Data],COLUMN(T_TraitDi[[#This Row],[Colonne31]]),FALSE),""),"[hh]:mm"))</f>
        <v>#VALUE!</v>
      </c>
      <c r="BO156" s="172" t="e">
        <f>IF(VLOOKUP(T_BilanSocial[[#This Row],[NumL]],T_TraitDi[#Data],COLUMN(T_TraitDi[[#This Row],[Colonne32]]),FALSE)=0,"",TEXT(IFERROR(VLOOKUP(T_BilanSocial[[#This Row],[NumL]],T_TraitDi[#Data],COLUMN(T_TraitDi[[#This Row],[Colonne32]]),FALSE),""),"[hh]:mm"))</f>
        <v>#VALUE!</v>
      </c>
      <c r="BP156" s="172" t="e">
        <f>VLOOKUP(T_BilanSocial[[#This Row],[NumL]],T_TraitDi[#Data],COLUMN(T_TraitDi[NbJTot]),FALSE)</f>
        <v>#N/A</v>
      </c>
      <c r="BQ156" s="174" t="str">
        <f>IFERROR(VLOOKUP(T_BilanSocial[[#This Row],[NumL]],T_TraitDi[#Data],COLUMN(T_TraitDi[[#This Row],[NbJTW]]),FALSE),"")</f>
        <v/>
      </c>
      <c r="BR156" s="174" t="e">
        <f>IF(VLOOKUP(T_BilanSocial[[#This Row],[NumL]],T_TraitDi[#Data],COLUMN(T_TraitDi[[#This Row],[NbhTW]]),FALSE)=0,"",TEXT(IFERROR(VLOOKUP(T_BilanSocial[[#This Row],[NumL]],T_TraitDi[#Data],COLUMN(T_TraitDi[[#This Row],[NbhTW]]),FALSE),""),"[hh]:mm"))</f>
        <v>#VALUE!</v>
      </c>
      <c r="BS156" s="174" t="e">
        <f>IF(VLOOKUP(T_BilanSocial[[#This Row],[NumL]],T_TraitDi[#Data],COLUMN(T_TraitDi[[#This Row],[Nbhheb]]),FALSE)=0,"",TEXT(IFERROR(VLOOKUP($A156,T_TraitDi[#Data],COLUMN(T_TraitDi[[#This Row],[Nbhheb]]),FALSE),""),"[hh]:mm"))</f>
        <v>#VALUE!</v>
      </c>
      <c r="BT156" s="182" t="str">
        <f>IFERROR(VLOOKUP(VLOOKUP($A156,T_TraitDi[#Data],COLUMN(T_TraitDi[[#This Row],[Type1]]),FALSE),TypeTW,2,FALSE),"")</f>
        <v/>
      </c>
      <c r="BU156" s="182" t="str">
        <f>IFERROR(VLOOKUP($A156,T_TraitDi[#Data],COLUMN(T_TraitDi[[#This Row],[Rue1]]),FALSE),"")</f>
        <v/>
      </c>
      <c r="BV156" s="173" t="str">
        <f>IFERROR(VLOOKUP($A156,T_TraitDi[#Data],COLUMN(T_TraitDi[[#This Row],[CP1]]),FALSE),"")</f>
        <v/>
      </c>
      <c r="BW156" s="173" t="str">
        <f>IFERROR(VLOOKUP($A156,T_TraitDi[#Data],COLUMN(T_TraitDi[[#This Row],[VILLE1]]),FALSE),"")</f>
        <v/>
      </c>
      <c r="BX156" s="182" t="str">
        <f>IFERROR(VLOOKUP(VLOOKUP($A156,T_TraitDi[#Data],COLUMN(T_TraitDi[[#This Row],[Type2]]),FALSE),TypeTW,2,FALSE),"")</f>
        <v/>
      </c>
      <c r="BY156" s="182" t="str">
        <f>IFERROR(VLOOKUP($A156,T_TraitDi[#Data],COLUMN(T_TraitDi[[#This Row],[Rue2]]),FALSE),"")</f>
        <v/>
      </c>
      <c r="BZ156" s="173" t="str">
        <f>IFERROR(VLOOKUP($A156,T_TraitDi[#Data],COLUMN(T_TraitDi[[#This Row],[CP2]]),FALSE),"")</f>
        <v/>
      </c>
      <c r="CA156" s="173" t="str">
        <f>IFERROR(VLOOKUP($A156,T_TraitDi[#Data],COLUMN(T_TraitDi[[#This Row],[VILLE2]]),FALSE),"")</f>
        <v/>
      </c>
      <c r="CB156" s="182" t="e">
        <f>IF(VLOOKUP(T_BilanSocial[[#This Row],[NumL]],T_Equipement[#Data],COLUMN(T_Equipement[[#This Row],[PC]]),FALSE)="","Aucun équipement spécifique directement lié au télétravail",VLOOKUP(T_BilanSocial[[#This Row],[NumL]],T_Equipement[#Data],COLUMN(T_Equipement[[#This Row],[PC]]),FALSE))</f>
        <v>#N/A</v>
      </c>
      <c r="CC156" s="166" t="str">
        <f>IFERROR(IF(VLOOKUP(T_BilanSocial[[#This Row],[NumL]],T_TraitDi[#Data],COLUMN(T_TraitDi[[#This Row],[Plan]]),FALSE)="OK","Un planning spécifique de télétravail est annexé à la présente convention.",""),"")</f>
        <v/>
      </c>
      <c r="CD156" s="185"/>
      <c r="CE156" s="164" t="e">
        <f>IF(VLOOKUP(T_BilanSocial[[#This Row],[NumL]],T_suiviDi[#Data],COLUMN(T_suiviDi[[#This Row],[Entité]]),FALSE)="","",VLOOKUP(T_BilanSocial[[#This Row],[NumL]],T_suiviDi[#Data],COLUMN(T_suiviDi[[#This Row],[Entité]]),FALSE))</f>
        <v>#VALUE!</v>
      </c>
      <c r="CF156" s="164" t="e">
        <f>IF(VLOOKUP(T_BilanSocial[[#This Row],[NumL]],T_Commission[#Data],COLUMN(T_Commission[[#This Row],[envoi confirm TW]]),FALSE)="","",VLOOKUP(T_BilanSocial[[#This Row],[NumL]],T_Commission[#Data],COLUMN(T_Commission[[#This Row],[envoi confirm TW]]),FALSE))</f>
        <v>#N/A</v>
      </c>
      <c r="CG15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6" s="262" t="e">
        <f>T_BilanSocial[[#This Row],[Nom]]&amp;T_BilanSocial[[#This Row],[Prenom]]</f>
        <v>#N/A</v>
      </c>
      <c r="CI156" s="262" t="e">
        <f>VLOOKUP(T_BilanSocial[[#This Row],[NumL]],T_Commission[#Data],COLUMN(T_Commission[Commentaire]),FALSE)</f>
        <v>#N/A</v>
      </c>
      <c r="CJ156" s="262" t="e">
        <f>IF(VLOOKUP(T_BilanSocial[[#This Row],[NumL]],T_Commission[#Data],COLUMN(T_Commission[Encadrant Email]),FALSE)="","",VLOOKUP(T_BilanSocial[[#This Row],[NumL]],T_Commission[#Data],COLUMN(T_Commission[Encadrant Email]),FALSE))</f>
        <v>#N/A</v>
      </c>
      <c r="CK156" s="340" t="e">
        <f>IF(T_BilanSocial[[#This Row],[Final]]&lt;&gt;"",VLOOKUP(T_BilanSocial[[#This Row],[NumL]],T_suiviDi[#Data],COLUMN((T_suiviDi[Statut])),FALSE),"")</f>
        <v>#N/A</v>
      </c>
    </row>
    <row r="157" spans="1:89" s="106" customFormat="1" ht="24.75" customHeight="1" x14ac:dyDescent="0.25">
      <c r="A157" s="160">
        <v>154</v>
      </c>
      <c r="B157" s="161" t="str">
        <f t="shared" si="22"/>
        <v/>
      </c>
      <c r="C157" s="162" t="s">
        <v>173</v>
      </c>
      <c r="D157" s="95" t="e">
        <f>IF(VLOOKUP(T_BilanSocial[[#This Row],[NumL]],T_TraitDi[#Data],COLUMN(T_TraitDi[[#This Row],[WebC]]),FALSE)="","",VLOOKUP(T_BilanSocial[[#This Row],[NumL]],T_TraitDi[#Data],COLUMN(T_TraitDi[[#This Row],[WebC]]),FALSE))</f>
        <v>#VALUE!</v>
      </c>
      <c r="E157" s="163" t="str">
        <f t="shared" si="23"/>
        <v>12 janvier 2021</v>
      </c>
      <c r="F157" s="96" t="str">
        <f>IF(T_BilanSocial[[#This Row],[Final]]&lt;&gt;"",VLOOKUP(T_BilanSocial[[#This Row],[NumL]],T_suiviDi[#Data],COLUMN((T_suiviDi[Civ.])),FALSE),"")</f>
        <v/>
      </c>
      <c r="G157" s="96" t="str">
        <f>IF(T_BilanSocial[[#This Row],[Final]]&lt;&gt;"",VLOOKUP(T_BilanSocial[[#This Row],[NumL]],T_suiviDi[#Data],COLUMN((T_suiviDi[Nom])),FALSE),"")</f>
        <v/>
      </c>
      <c r="H157" s="96" t="str">
        <f>IF(T_BilanSocial[[#This Row],[Final]]&lt;&gt;"",VLOOKUP(T_BilanSocial[[#This Row],[NumL]],T_suiviDi[#Data],COLUMN((T_suiviDi[Prénom])),FALSE),"")</f>
        <v/>
      </c>
      <c r="I157" s="96" t="str">
        <f>IFERROR(VLOOKUP(T_BilanSocial[[#This Row],[Zone_Bilan]],T_P_BilanSocial[#Data],COLUMN(T_P_BilanSocial[[#This Row],[Numero_SIHAM]]),FALSE),"")</f>
        <v/>
      </c>
      <c r="J157" s="96" t="str">
        <f>IFERROR(VLOOKUP(T_BilanSocial[[#This Row],[Zone_Bilan]],T_P_BilanSocial[#Data],COLUMN(T_P_BilanSocial[[#This Row],[Sexe]]),FALSE),"")</f>
        <v/>
      </c>
      <c r="K157" s="97" t="str">
        <f>IFERROR(VLOOKUP(T_BilanSocial[[#This Row],[Zone_Bilan]],T_P_BilanSocial[#Data],COLUMN(T_P_BilanSocial[[#This Row],[Categorie]]),FALSE),"")</f>
        <v/>
      </c>
      <c r="L157" s="96" t="str">
        <f>IFERROR(VLOOKUP(T_BilanSocial[[#This Row],[Zone_Bilan]],T_P_BilanSocial[#Data],COLUMN(T_P_BilanSocial[[#This Row],[Statut]]),FALSE),"")</f>
        <v/>
      </c>
      <c r="M157" s="96" t="str">
        <f>IFERROR(VLOOKUP(T_BilanSocial[[#This Row],[Zone_Bilan]],T_P_BilanSocial[#Data],COLUMN(T_P_BilanSocial[[#This Row],[Filiere]]),FALSE),"")</f>
        <v/>
      </c>
      <c r="N157" s="96" t="e">
        <f>VLOOKUP(T_BilanSocial[[#This Row],[NumL]],T_TraitDi[#Data],COLUMN(T_TraitDi[EXP]),FALSE)</f>
        <v>#N/A</v>
      </c>
      <c r="O157" s="96" t="e">
        <f>VLOOKUP(T_BilanSocial[[#This Row],[NumL]],T_TraitDi[#Data],COLUMN(T_TraitDi[FORM]),FALSE)</f>
        <v>#N/A</v>
      </c>
      <c r="P157" s="96" t="str">
        <f>IF(T_BilanSocial[[#This Row],[Final]]&lt;&gt;"",VLOOKUP(T_BilanSocial[[#This Row],[NumL]],T_suiviDi[#Data],COLUMN((T_suiviDi[Email])),FALSE),"")</f>
        <v/>
      </c>
      <c r="Q157" s="164" t="e">
        <f t="shared" si="28"/>
        <v>#N/A</v>
      </c>
      <c r="R157" s="164" t="e">
        <f t="shared" si="29"/>
        <v>#N/A</v>
      </c>
      <c r="S157" s="164" t="e">
        <f>IF(VLOOKUP(T_BilanSocial[[#This Row],[NumL]],T_suiviDi[#Data],COLUMN(T_suiviDi[[#This Row],[Service ]]),FALSE)="","",VLOOKUP(T_BilanSocial[[#This Row],[NumL]],T_suiviDi[#Data],COLUMN(T_suiviDi[[#This Row],[Service ]]),FALSE))</f>
        <v>#VALUE!</v>
      </c>
      <c r="T157" s="164" t="str">
        <f t="shared" si="24"/>
        <v>01 septembre 2021</v>
      </c>
      <c r="U157" s="164" t="str">
        <f t="shared" si="25"/>
        <v>30 novembre 2021</v>
      </c>
      <c r="V157" s="164" t="str">
        <f t="shared" si="30"/>
        <v>30 novembre 2021</v>
      </c>
      <c r="W157" s="176" t="e">
        <f>IF(VLOOKUP(T_BilanSocial[[#This Row],[NumL]],T_TraitDi[#Data],COLUMN(T_TraitDi[[#This Row],[M1]]),FALSE)="","",VLOOKUP(T_BilanSocial[[#This Row],[NumL]],T_TraitDi[#Data],COLUMN(T_TraitDi[[#This Row],[M1]]),FALSE))</f>
        <v>#VALUE!</v>
      </c>
      <c r="X157" s="176" t="e">
        <f>IF(VLOOKUP(T_BilanSocial[[#This Row],[NumL]],T_TraitDi[#Data],COLUMN(T_TraitDi[[#This Row],[M2]]),FALSE)="","",VLOOKUP(T_BilanSocial[[#This Row],[NumL]],T_TraitDi[#Data],COLUMN(T_TraitDi[[#This Row],[M2]]),FALSE))</f>
        <v>#VALUE!</v>
      </c>
      <c r="Y157" s="176" t="e">
        <f>IF(VLOOKUP(T_BilanSocial[[#This Row],[NumL]],T_TraitDi[#Data],COLUMN(T_TraitDi[[#This Row],[M3]]),FALSE)="","",VLOOKUP(T_BilanSocial[[#This Row],[NumL]],T_TraitDi[#Data],COLUMN(T_TraitDi[[#This Row],[M3]]),FALSE))</f>
        <v>#VALUE!</v>
      </c>
      <c r="Z157" s="176" t="str">
        <f t="shared" si="27"/>
        <v/>
      </c>
      <c r="AA157" s="176" t="e">
        <f>IF(VLOOKUP(T_BilanSocial[[#This Row],[NumL]],T_TraitDi[#Data],COLUMN(T_TraitDi[[#This Row],[M5]]),FALSE)="","",VLOOKUP(T_BilanSocial[[#This Row],[NumL]],T_TraitDi[#Data],COLUMN(T_TraitDi[[#This Row],[M5]]),FALSE))</f>
        <v>#VALUE!</v>
      </c>
      <c r="AB157" s="176" t="e">
        <f>IF(VLOOKUP(T_BilanSocial[[#This Row],[NumL]],T_TraitDi[#Data],COLUMN(T_TraitDi[[#This Row],[M6]]),FALSE)="","",VLOOKUP(T_BilanSocial[[#This Row],[NumL]],T_TraitDi[#Data],COLUMN(T_TraitDi[[#This Row],[M6]]),FALSE))</f>
        <v>#VALUE!</v>
      </c>
      <c r="AC157" s="165" t="e">
        <f t="shared" si="26"/>
        <v>#VALUE!</v>
      </c>
      <c r="AD157" s="188" t="str">
        <f>IFERROR(TEXT(VLOOKUP(T_BilanSocial[[#This Row],[NumL]],T_TraitDi[#Data],COLUMN(T_TraitDi[[#This Row],[Q2]]),FALSE),"###%"),"")</f>
        <v/>
      </c>
      <c r="AE157" s="97" t="e">
        <f>VLOOKUP(T_BilanSocial[[#This Row],[NumL]],T_TraitDi[#Data],COLUMN(T_TraitDi[[#This Row],[Reg Ponct]]),FALSE)</f>
        <v>#VALUE!</v>
      </c>
      <c r="AF157" s="97" t="e">
        <f>VLOOKUP(T_BilanSocial[NumL],T_TraitDi[#Data],COLUMN(T_TraitDi[[#This Row],[Jours flottants]]),FALSE)</f>
        <v>#VALUE!</v>
      </c>
      <c r="AG157" s="97" t="str">
        <f>IFERROR(VLOOKUP(T_BilanSocial[[#This Row],[NumL]],T_TraitDi[#Data],COLUMN(T_TraitDi[[#This Row],[Lundi]]),FALSE),"")</f>
        <v/>
      </c>
      <c r="AH157" s="172" t="e">
        <f>IF(VLOOKUP(T_BilanSocial[[#This Row],[NumL]],T_TraitDi[#Data],COLUMN(T_TraitDi[[#This Row],[Colonne3]]),FALSE)=0,"",TEXT(IFERROR(VLOOKUP(T_BilanSocial[[#This Row],[NumL]],T_TraitDi[#Data],COLUMN(T_TraitDi[[#This Row],[Colonne3]]),FALSE),""),"[hh]:mm"))</f>
        <v>#VALUE!</v>
      </c>
      <c r="AI157" s="172" t="e">
        <f>IF(VLOOKUP(T_BilanSocial[[#This Row],[NumL]],T_TraitDi[#Data],COLUMN(T_TraitDi[[#This Row],[Colonne4]]),FALSE)=0,"",TEXT(IFERROR(VLOOKUP(T_BilanSocial[[#This Row],[NumL]],T_TraitDi[#Data],COLUMN(T_TraitDi[[#This Row],[Colonne4]]),FALSE),""),"[hh]:mm"))</f>
        <v>#VALUE!</v>
      </c>
      <c r="AJ157" s="172" t="e">
        <f>IF(VLOOKUP(T_BilanSocial[[#This Row],[NumL]],T_TraitDi[#Data],COLUMN(T_TraitDi[[#This Row],[Colonne5]]),FALSE)=0,"",TEXT(IFERROR(VLOOKUP(T_BilanSocial[[#This Row],[NumL]],T_TraitDi[#Data],COLUMN(T_TraitDi[[#This Row],[Colonne5]]),FALSE),""),"[hh]:mm"))</f>
        <v>#VALUE!</v>
      </c>
      <c r="AK157" s="172" t="e">
        <f>IF(VLOOKUP(T_BilanSocial[[#This Row],[NumL]],T_TraitDi[#Data],COLUMN(T_TraitDi[[#This Row],[Colonne6]]),FALSE)=0,"",TEXT(IFERROR(VLOOKUP(T_BilanSocial[[#This Row],[NumL]],T_TraitDi[#Data],COLUMN(T_TraitDi[[#This Row],[Colonne6]]),FALSE),""),"[hh]:mm"))</f>
        <v>#VALUE!</v>
      </c>
      <c r="AL157" s="172" t="e">
        <f>IF(VLOOKUP(T_BilanSocial[[#This Row],[NumL]],T_TraitDi[#Data],COLUMN(T_TraitDi[[#This Row],[Colonne7]]),FALSE)=0,"",TEXT(IFERROR(VLOOKUP(T_BilanSocial[[#This Row],[NumL]],T_TraitDi[#Data],COLUMN(T_TraitDi[[#This Row],[Colonne7]]),FALSE),""),"[hh]:mm"))</f>
        <v>#VALUE!</v>
      </c>
      <c r="AM157" s="172" t="e">
        <f>IF(VLOOKUP(T_BilanSocial[[#This Row],[NumL]],T_TraitDi[#Data],COLUMN(T_TraitDi[[#This Row],[Colonne8]]),FALSE)=0,"",TEXT(IFERROR(VLOOKUP(T_BilanSocial[[#This Row],[NumL]],T_TraitDi[#Data],COLUMN(T_TraitDi[[#This Row],[Colonne8]]),FALSE),""),"[hh]:mm"))</f>
        <v>#VALUE!</v>
      </c>
      <c r="AN157" s="172" t="str">
        <f>IFERROR(VLOOKUP(T_BilanSocial[[#This Row],[NumL]],T_TraitDi[#Data],COLUMN(T_TraitDi[[#This Row],[Mardi]]),FALSE),"")</f>
        <v/>
      </c>
      <c r="AO157" s="172" t="e">
        <f>IF(VLOOKUP(T_BilanSocial[[#This Row],[NumL]],T_TraitDi[#Data],COLUMN(T_TraitDi[[#This Row],[Colonne1]]),FALSE)=0,"",TEXT(IFERROR(VLOOKUP(T_BilanSocial[[#This Row],[NumL]],T_TraitDi[#Data],COLUMN(T_TraitDi[[#This Row],[Colonne1]]),FALSE),""),"[hh]:mm"))</f>
        <v>#VALUE!</v>
      </c>
      <c r="AP157" s="172" t="e">
        <f>IF(VLOOKUP(T_BilanSocial[[#This Row],[NumL]],T_TraitDi[#Data],COLUMN(T_TraitDi[[#This Row],[Colonne9]]),FALSE)=0,"",TEXT(IFERROR(VLOOKUP(T_BilanSocial[[#This Row],[NumL]],T_TraitDi[#Data],COLUMN(T_TraitDi[[#This Row],[Colonne9]]),FALSE),""),"[hh]:mm"))</f>
        <v>#VALUE!</v>
      </c>
      <c r="AQ157" s="172" t="str">
        <f>IFERROR(VLOOKUP(T_BilanSocial[[#This Row],[NumL]],T_TraitDi[#Data],COLUMN(T_TraitDi[[#This Row],[Colonne10]]),FALSE),"")</f>
        <v/>
      </c>
      <c r="AR157" s="172" t="e">
        <f>IF(VLOOKUP(T_BilanSocial[[#This Row],[NumL]],T_TraitDi[#Data],COLUMN(T_TraitDi[[#This Row],[Colonne11]]),FALSE)=0,"",TEXT(IFERROR(VLOOKUP(T_BilanSocial[[#This Row],[NumL]],T_TraitDi[#Data],COLUMN(T_TraitDi[[#This Row],[Colonne11]]),FALSE),""),"[hh]:mm"))</f>
        <v>#VALUE!</v>
      </c>
      <c r="AS157" s="172" t="e">
        <f>IF(VLOOKUP(T_BilanSocial[[#This Row],[NumL]],T_TraitDi[#Data],COLUMN(T_TraitDi[[#This Row],[Colonne12]]),FALSE)=0,"",TEXT(IFERROR(VLOOKUP(T_BilanSocial[[#This Row],[NumL]],T_TraitDi[#Data],COLUMN(T_TraitDi[[#This Row],[Colonne12]]),FALSE),""),"[hh]:mm"))</f>
        <v>#VALUE!</v>
      </c>
      <c r="AT157" s="172" t="e">
        <f>IF(VLOOKUP(T_BilanSocial[[#This Row],[NumL]],T_TraitDi[#Data],COLUMN(T_TraitDi[[#This Row],[Colonne14]]),FALSE)=0,"",TEXT(IFERROR(VLOOKUP(T_BilanSocial[[#This Row],[NumL]],T_TraitDi[#Data],COLUMN(T_TraitDi[[#This Row],[Colonne14]]),FALSE),""),"[hh]:mm"))</f>
        <v>#VALUE!</v>
      </c>
      <c r="AU157" s="172" t="str">
        <f>IFERROR(VLOOKUP(T_BilanSocial[[#This Row],[NumL]],T_TraitDi[#Data],COLUMN(T_TraitDi[[#This Row],[Mercredi]]),FALSE),"")</f>
        <v/>
      </c>
      <c r="AV157" s="172" t="e">
        <f>IF(VLOOKUP(T_BilanSocial[[#This Row],[NumL]],T_TraitDi[#Data],COLUMN(T_TraitDi[[#This Row],[Colonne15]]),FALSE)=0,"",TEXT(IFERROR(VLOOKUP(T_BilanSocial[[#This Row],[NumL]],T_TraitDi[#Data],COLUMN(T_TraitDi[[#This Row],[Colonne15]]),FALSE),""),"[hh]:mm"))</f>
        <v>#VALUE!</v>
      </c>
      <c r="AW157" s="172" t="e">
        <f>IF(VLOOKUP(T_BilanSocial[[#This Row],[NumL]],T_TraitDi[#Data],COLUMN(T_TraitDi[[#This Row],[Colonne16]]),FALSE)=0,"",TEXT(IFERROR(VLOOKUP(T_BilanSocial[[#This Row],[NumL]],T_TraitDi[#Data],COLUMN(T_TraitDi[[#This Row],[Colonne16]]),FALSE),""),"[hh]:mm"))</f>
        <v>#VALUE!</v>
      </c>
      <c r="AX157" s="172" t="str">
        <f>IFERROR(VLOOKUP(T_BilanSocial[[#This Row],[NumL]],T_TraitDi[#Data],COLUMN(T_TraitDi[[#This Row],[Colonne17]]),FALSE),"")</f>
        <v/>
      </c>
      <c r="AY157" s="172" t="e">
        <f>IF(VLOOKUP(T_BilanSocial[[#This Row],[NumL]],T_TraitDi[#Data],COLUMN(T_TraitDi[[#This Row],[Colonne18]]),FALSE)=0,"",TEXT(IFERROR(VLOOKUP(T_BilanSocial[[#This Row],[NumL]],T_TraitDi[#Data],COLUMN(T_TraitDi[[#This Row],[Colonne18]]),FALSE),""),"[hh]:mm"))</f>
        <v>#VALUE!</v>
      </c>
      <c r="AZ157" s="172" t="e">
        <f>IF(VLOOKUP(T_BilanSocial[[#This Row],[NumL]],T_TraitDi[#Data],COLUMN(T_TraitDi[[#This Row],[Colonne19]]),FALSE)=0,"",TEXT(IFERROR(VLOOKUP(T_BilanSocial[[#This Row],[NumL]],T_TraitDi[#Data],COLUMN(T_TraitDi[[#This Row],[Colonne19]]),FALSE),""),"[hh]:mm"))</f>
        <v>#VALUE!</v>
      </c>
      <c r="BA157" s="172" t="e">
        <f>IF(VLOOKUP(T_BilanSocial[[#This Row],[NumL]],T_TraitDi[#Data],COLUMN(T_TraitDi[[#This Row],[Colonne20]]),FALSE)=0,"",TEXT(IFERROR(VLOOKUP(T_BilanSocial[[#This Row],[NumL]],T_TraitDi[#Data],COLUMN(T_TraitDi[[#This Row],[Colonne20]]),FALSE),""),"[hh]:mm"))</f>
        <v>#VALUE!</v>
      </c>
      <c r="BB157" s="178" t="str">
        <f>IFERROR(VLOOKUP(T_BilanSocial[[#This Row],[NumL]],T_TraitDi[#Data],COLUMN(T_TraitDi[[#This Row],[Jeudi]]),FALSE),"")</f>
        <v/>
      </c>
      <c r="BC157" s="178" t="e">
        <f>IF(VLOOKUP(T_BilanSocial[[#This Row],[NumL]],T_TraitDi[#Data],COLUMN(T_TraitDi[[#This Row],[Colonne21]]),FALSE)=0,"",TEXT(IFERROR(VLOOKUP(T_BilanSocial[[#This Row],[NumL]],T_TraitDi[#Data],COLUMN(T_TraitDi[[#This Row],[Colonne21]]),FALSE),""),"[hh]:mm"))</f>
        <v>#VALUE!</v>
      </c>
      <c r="BD157" s="178" t="e">
        <f>IF(VLOOKUP(T_BilanSocial[[#This Row],[NumL]],T_TraitDi[#Data],COLUMN(T_TraitDi[[#This Row],[Colonne22]]),FALSE)=0,"",TEXT(IFERROR(VLOOKUP(T_BilanSocial[[#This Row],[NumL]],T_TraitDi[#Data],COLUMN(T_TraitDi[[#This Row],[Colonne22]]),FALSE),""),"[hh]:mm"))</f>
        <v>#VALUE!</v>
      </c>
      <c r="BE157" s="178" t="str">
        <f>IFERROR(VLOOKUP(T_BilanSocial[[#This Row],[NumL]],T_TraitDi[#Data],COLUMN(T_TraitDi[[#This Row],[Colonne23]]),FALSE),"")</f>
        <v/>
      </c>
      <c r="BF157" s="178" t="e">
        <f>IF(VLOOKUP(T_BilanSocial[[#This Row],[NumL]],T_TraitDi[#Data],COLUMN(T_TraitDi[[#This Row],[Colonne24]]),FALSE)=0,"",TEXT(IFERROR(VLOOKUP(T_BilanSocial[[#This Row],[NumL]],T_TraitDi[#Data],COLUMN(T_TraitDi[[#This Row],[Colonne24]]),FALSE),""),"[hh]:mm"))</f>
        <v>#VALUE!</v>
      </c>
      <c r="BG157" s="178" t="e">
        <f>IF(VLOOKUP(T_BilanSocial[[#This Row],[NumL]],T_TraitDi[#Data],COLUMN(T_TraitDi[[#This Row],[Colonne25]]),FALSE)=0,"",TEXT(IFERROR(VLOOKUP(T_BilanSocial[[#This Row],[NumL]],T_TraitDi[#Data],COLUMN(T_TraitDi[[#This Row],[Colonne25]]),FALSE),""),"[hh]:mm"))</f>
        <v>#VALUE!</v>
      </c>
      <c r="BH157" s="178" t="e">
        <f>IF(VLOOKUP(T_BilanSocial[[#This Row],[NumL]],T_TraitDi[#Data],COLUMN(T_TraitDi[[#This Row],[Colonne26]]),FALSE)=0,"",TEXT(IFERROR(VLOOKUP(T_BilanSocial[[#This Row],[NumL]],T_TraitDi[#Data],COLUMN(T_TraitDi[[#This Row],[Colonne26]]),FALSE),""),"[hh]:mm"))</f>
        <v>#VALUE!</v>
      </c>
      <c r="BI157" s="172" t="str">
        <f>IFERROR(VLOOKUP(T_BilanSocial[[#This Row],[NumL]],T_TraitDi[#Data],COLUMN(T_TraitDi[[#This Row],[Vendredi]]),FALSE),"")</f>
        <v/>
      </c>
      <c r="BJ157" s="172" t="e">
        <f>IF(VLOOKUP(T_BilanSocial[[#This Row],[NumL]],T_TraitDi[#Data],COLUMN(T_TraitDi[[#This Row],[Colonne27]]),FALSE)=0,"",TEXT(IFERROR(VLOOKUP(T_BilanSocial[[#This Row],[NumL]],T_TraitDi[#Data],COLUMN(T_TraitDi[[#This Row],[Colonne27]]),FALSE),""),"[hh]:mm"))</f>
        <v>#VALUE!</v>
      </c>
      <c r="BK157" s="172" t="e">
        <f>IF(VLOOKUP(T_BilanSocial[[#This Row],[NumL]],T_TraitDi[#Data],COLUMN(T_TraitDi[[#This Row],[Colonne28]]),FALSE)=0,"",TEXT(IFERROR(VLOOKUP(T_BilanSocial[[#This Row],[NumL]],T_TraitDi[#Data],COLUMN(T_TraitDi[[#This Row],[Colonne28]]),FALSE),""),"[hh]:mm"))</f>
        <v>#VALUE!</v>
      </c>
      <c r="BL157" s="172" t="str">
        <f>IFERROR(VLOOKUP(T_BilanSocial[[#This Row],[NumL]],T_TraitDi[#Data],COLUMN(T_TraitDi[[#This Row],[Colonne29]]),FALSE),"")</f>
        <v/>
      </c>
      <c r="BM157" s="172" t="e">
        <f>IF(VLOOKUP(T_BilanSocial[[#This Row],[NumL]],T_TraitDi[#Data],COLUMN(T_TraitDi[[#This Row],[Colonne30]]),FALSE)=0,"",TEXT(IFERROR(VLOOKUP(T_BilanSocial[[#This Row],[NumL]],T_TraitDi[#Data],COLUMN(T_TraitDi[[#This Row],[Colonne30]]),FALSE),""),"[hh]:mm"))</f>
        <v>#VALUE!</v>
      </c>
      <c r="BN157" s="172" t="e">
        <f>IF(VLOOKUP(T_BilanSocial[[#This Row],[NumL]],T_TraitDi[#Data],COLUMN(T_TraitDi[[#This Row],[Colonne31]]),FALSE)=0,"",TEXT(IFERROR(VLOOKUP(T_BilanSocial[[#This Row],[NumL]],T_TraitDi[#Data],COLUMN(T_TraitDi[[#This Row],[Colonne31]]),FALSE),""),"[hh]:mm"))</f>
        <v>#VALUE!</v>
      </c>
      <c r="BO157" s="172" t="e">
        <f>IF(VLOOKUP(T_BilanSocial[[#This Row],[NumL]],T_TraitDi[#Data],COLUMN(T_TraitDi[[#This Row],[Colonne32]]),FALSE)=0,"",TEXT(IFERROR(VLOOKUP(T_BilanSocial[[#This Row],[NumL]],T_TraitDi[#Data],COLUMN(T_TraitDi[[#This Row],[Colonne32]]),FALSE),""),"[hh]:mm"))</f>
        <v>#VALUE!</v>
      </c>
      <c r="BP157" s="172" t="e">
        <f>VLOOKUP(T_BilanSocial[[#This Row],[NumL]],T_TraitDi[#Data],COLUMN(T_TraitDi[NbJTot]),FALSE)</f>
        <v>#N/A</v>
      </c>
      <c r="BQ157" s="174" t="str">
        <f>IFERROR(VLOOKUP(T_BilanSocial[[#This Row],[NumL]],T_TraitDi[#Data],COLUMN(T_TraitDi[[#This Row],[NbJTW]]),FALSE),"")</f>
        <v/>
      </c>
      <c r="BR157" s="174" t="e">
        <f>IF(VLOOKUP(T_BilanSocial[[#This Row],[NumL]],T_TraitDi[#Data],COLUMN(T_TraitDi[[#This Row],[NbhTW]]),FALSE)=0,"",TEXT(IFERROR(VLOOKUP(T_BilanSocial[[#This Row],[NumL]],T_TraitDi[#Data],COLUMN(T_TraitDi[[#This Row],[NbhTW]]),FALSE),""),"[hh]:mm"))</f>
        <v>#VALUE!</v>
      </c>
      <c r="BS157" s="174" t="e">
        <f>IF(VLOOKUP(T_BilanSocial[[#This Row],[NumL]],T_TraitDi[#Data],COLUMN(T_TraitDi[[#This Row],[Nbhheb]]),FALSE)=0,"",TEXT(IFERROR(VLOOKUP($A157,T_TraitDi[#Data],COLUMN(T_TraitDi[[#This Row],[Nbhheb]]),FALSE),""),"[hh]:mm"))</f>
        <v>#VALUE!</v>
      </c>
      <c r="BT157" s="182" t="str">
        <f>IFERROR(VLOOKUP(VLOOKUP($A157,T_TraitDi[#Data],COLUMN(T_TraitDi[[#This Row],[Type1]]),FALSE),TypeTW,2,FALSE),"")</f>
        <v/>
      </c>
      <c r="BU157" s="182" t="str">
        <f>IFERROR(VLOOKUP($A157,T_TraitDi[#Data],COLUMN(T_TraitDi[[#This Row],[Rue1]]),FALSE),"")</f>
        <v/>
      </c>
      <c r="BV157" s="173" t="str">
        <f>IFERROR(VLOOKUP($A157,T_TraitDi[#Data],COLUMN(T_TraitDi[[#This Row],[CP1]]),FALSE),"")</f>
        <v/>
      </c>
      <c r="BW157" s="173" t="str">
        <f>IFERROR(VLOOKUP($A157,T_TraitDi[#Data],COLUMN(T_TraitDi[[#This Row],[VILLE1]]),FALSE),"")</f>
        <v/>
      </c>
      <c r="BX157" s="182" t="str">
        <f>IFERROR(VLOOKUP(VLOOKUP($A157,T_TraitDi[#Data],COLUMN(T_TraitDi[[#This Row],[Type2]]),FALSE),TypeTW,2,FALSE),"")</f>
        <v/>
      </c>
      <c r="BY157" s="182" t="str">
        <f>IFERROR(VLOOKUP($A157,T_TraitDi[#Data],COLUMN(T_TraitDi[[#This Row],[Rue2]]),FALSE),"")</f>
        <v/>
      </c>
      <c r="BZ157" s="173" t="str">
        <f>IFERROR(VLOOKUP($A157,T_TraitDi[#Data],COLUMN(T_TraitDi[[#This Row],[CP2]]),FALSE),"")</f>
        <v/>
      </c>
      <c r="CA157" s="173" t="str">
        <f>IFERROR(VLOOKUP($A157,T_TraitDi[#Data],COLUMN(T_TraitDi[[#This Row],[VILLE2]]),FALSE),"")</f>
        <v/>
      </c>
      <c r="CB157" s="182" t="str">
        <f>IF(VLOOKUP(T_BilanSocial[[#This Row],[NumL]],T_Equipement[#Data],COLUMN(T_Equipement[[#This Row],[PC]]),FALSE)="","Aucun équipement spécifique directement lié au télétravail",VLOOKUP(T_BilanSocial[[#This Row],[NumL]],T_Equipement[#Data],COLUMN(T_Equipement[[#This Row],[PC]]),FALSE))</f>
        <v xml:space="preserve">20-127	</v>
      </c>
      <c r="CC157" s="166" t="str">
        <f>IFERROR(IF(VLOOKUP(T_BilanSocial[[#This Row],[NumL]],T_TraitDi[#Data],COLUMN(T_TraitDi[[#This Row],[Plan]]),FALSE)="OK","Un planning spécifique de télétravail est annexé à la présente convention.",""),"")</f>
        <v/>
      </c>
      <c r="CD157" s="258" t="s">
        <v>3300</v>
      </c>
      <c r="CE157" s="164" t="e">
        <f>IF(VLOOKUP(T_BilanSocial[[#This Row],[NumL]],T_suiviDi[#Data],COLUMN(T_suiviDi[[#This Row],[Entité]]),FALSE)="","",VLOOKUP(T_BilanSocial[[#This Row],[NumL]],T_suiviDi[#Data],COLUMN(T_suiviDi[[#This Row],[Entité]]),FALSE))</f>
        <v>#VALUE!</v>
      </c>
      <c r="CF157" s="164" t="str">
        <f>IF(VLOOKUP(T_BilanSocial[[#This Row],[NumL]],T_Commission[#Data],COLUMN(T_Commission[[#This Row],[envoi confirm TW]]),FALSE)="","",VLOOKUP(T_BilanSocial[[#This Row],[NumL]],T_Commission[#Data],COLUMN(T_Commission[[#This Row],[envoi confirm TW]]),FALSE))</f>
        <v>Oui</v>
      </c>
      <c r="CG15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7" s="262" t="str">
        <f>T_BilanSocial[[#This Row],[Nom]]&amp;T_BilanSocial[[#This Row],[Prenom]]</f>
        <v/>
      </c>
      <c r="CI157" s="262">
        <f>VLOOKUP(T_BilanSocial[[#This Row],[NumL]],T_Commission[#Data],COLUMN(T_Commission[Commentaire]),FALSE)</f>
        <v>0</v>
      </c>
      <c r="CJ157" s="262" t="str">
        <f>IF(VLOOKUP(T_BilanSocial[[#This Row],[NumL]],T_Commission[#Data],COLUMN(T_Commission[Encadrant Email]),FALSE)="","",VLOOKUP(T_BilanSocial[[#This Row],[NumL]],T_Commission[#Data],COLUMN(T_Commission[Encadrant Email]),FALSE))</f>
        <v/>
      </c>
      <c r="CK157" s="340" t="str">
        <f>IF(T_BilanSocial[[#This Row],[Final]]&lt;&gt;"",VLOOKUP(T_BilanSocial[[#This Row],[NumL]],T_suiviDi[#Data],COLUMN((T_suiviDi[Statut])),FALSE),"")</f>
        <v/>
      </c>
    </row>
    <row r="158" spans="1:89" s="106" customFormat="1" ht="24.75" customHeight="1" x14ac:dyDescent="0.25">
      <c r="A158" s="160">
        <v>155</v>
      </c>
      <c r="B158" s="161" t="str">
        <f t="shared" si="22"/>
        <v/>
      </c>
      <c r="C158" s="162" t="s">
        <v>3287</v>
      </c>
      <c r="D158" s="95" t="e">
        <f>IF(VLOOKUP(T_BilanSocial[[#This Row],[NumL]],T_TraitDi[#Data],COLUMN(T_TraitDi[[#This Row],[WebC]]),FALSE)="","",VLOOKUP(T_BilanSocial[[#This Row],[NumL]],T_TraitDi[#Data],COLUMN(T_TraitDi[[#This Row],[WebC]]),FALSE))</f>
        <v>#VALUE!</v>
      </c>
      <c r="E158" s="163" t="str">
        <f t="shared" si="23"/>
        <v>12 janvier 2021</v>
      </c>
      <c r="F158" s="96" t="str">
        <f>IF(T_BilanSocial[[#This Row],[Final]]&lt;&gt;"",VLOOKUP(T_BilanSocial[[#This Row],[NumL]],T_suiviDi[#Data],COLUMN((T_suiviDi[Civ.])),FALSE),"")</f>
        <v/>
      </c>
      <c r="G158" s="96" t="str">
        <f>IF(T_BilanSocial[[#This Row],[Final]]&lt;&gt;"",VLOOKUP(T_BilanSocial[[#This Row],[NumL]],T_suiviDi[#Data],COLUMN((T_suiviDi[Nom])),FALSE),"")</f>
        <v/>
      </c>
      <c r="H158" s="96" t="str">
        <f>IF(T_BilanSocial[[#This Row],[Final]]&lt;&gt;"",VLOOKUP(T_BilanSocial[[#This Row],[NumL]],T_suiviDi[#Data],COLUMN((T_suiviDi[Prénom])),FALSE),"")</f>
        <v/>
      </c>
      <c r="I158" s="96" t="str">
        <f>IFERROR(VLOOKUP(T_BilanSocial[[#This Row],[Zone_Bilan]],T_P_BilanSocial[#Data],COLUMN(T_P_BilanSocial[[#This Row],[Numero_SIHAM]]),FALSE),"")</f>
        <v/>
      </c>
      <c r="J158" s="96" t="str">
        <f>IFERROR(VLOOKUP(T_BilanSocial[[#This Row],[Zone_Bilan]],T_P_BilanSocial[#Data],COLUMN(T_P_BilanSocial[[#This Row],[Sexe]]),FALSE),"")</f>
        <v/>
      </c>
      <c r="K158" s="97" t="str">
        <f>IFERROR(VLOOKUP(T_BilanSocial[[#This Row],[Zone_Bilan]],T_P_BilanSocial[#Data],COLUMN(T_P_BilanSocial[[#This Row],[Categorie]]),FALSE),"")</f>
        <v/>
      </c>
      <c r="L158" s="96" t="str">
        <f>IFERROR(VLOOKUP(T_BilanSocial[[#This Row],[Zone_Bilan]],T_P_BilanSocial[#Data],COLUMN(T_P_BilanSocial[[#This Row],[Statut]]),FALSE),"")</f>
        <v/>
      </c>
      <c r="M158" s="96" t="str">
        <f>IFERROR(VLOOKUP(T_BilanSocial[[#This Row],[Zone_Bilan]],T_P_BilanSocial[#Data],COLUMN(T_P_BilanSocial[[#This Row],[Filiere]]),FALSE),"")</f>
        <v/>
      </c>
      <c r="N158" s="96" t="e">
        <f>VLOOKUP(T_BilanSocial[[#This Row],[NumL]],T_TraitDi[#Data],COLUMN(T_TraitDi[EXP]),FALSE)</f>
        <v>#N/A</v>
      </c>
      <c r="O158" s="96" t="e">
        <f>VLOOKUP(T_BilanSocial[[#This Row],[NumL]],T_TraitDi[#Data],COLUMN(T_TraitDi[FORM]),FALSE)</f>
        <v>#N/A</v>
      </c>
      <c r="P158" s="96" t="str">
        <f>IF(T_BilanSocial[[#This Row],[Final]]&lt;&gt;"",VLOOKUP(T_BilanSocial[[#This Row],[NumL]],T_suiviDi[#Data],COLUMN((T_suiviDi[Email])),FALSE),"")</f>
        <v/>
      </c>
      <c r="Q158" s="164" t="e">
        <f t="shared" si="28"/>
        <v>#N/A</v>
      </c>
      <c r="R158" s="164" t="e">
        <f t="shared" si="29"/>
        <v>#N/A</v>
      </c>
      <c r="S158" s="164" t="e">
        <f>IF(VLOOKUP(T_BilanSocial[[#This Row],[NumL]],T_suiviDi[#Data],COLUMN(T_suiviDi[[#This Row],[Service ]]),FALSE)="","",VLOOKUP(T_BilanSocial[[#This Row],[NumL]],T_suiviDi[#Data],COLUMN(T_suiviDi[[#This Row],[Service ]]),FALSE))</f>
        <v>#VALUE!</v>
      </c>
      <c r="T158" s="164" t="str">
        <f t="shared" si="24"/>
        <v>01 septembre 2021</v>
      </c>
      <c r="U158" s="164" t="str">
        <f t="shared" si="25"/>
        <v>30 novembre 2021</v>
      </c>
      <c r="V158" s="164" t="str">
        <f t="shared" si="30"/>
        <v>30 novembre 2021</v>
      </c>
      <c r="W158" s="176" t="e">
        <f>IF(VLOOKUP(T_BilanSocial[[#This Row],[NumL]],T_TraitDi[#Data],COLUMN(T_TraitDi[[#This Row],[M1]]),FALSE)="","",VLOOKUP(T_BilanSocial[[#This Row],[NumL]],T_TraitDi[#Data],COLUMN(T_TraitDi[[#This Row],[M1]]),FALSE))</f>
        <v>#VALUE!</v>
      </c>
      <c r="X158" s="176" t="e">
        <f>IF(VLOOKUP(T_BilanSocial[[#This Row],[NumL]],T_TraitDi[#Data],COLUMN(T_TraitDi[[#This Row],[M2]]),FALSE)="","",VLOOKUP(T_BilanSocial[[#This Row],[NumL]],T_TraitDi[#Data],COLUMN(T_TraitDi[[#This Row],[M2]]),FALSE))</f>
        <v>#VALUE!</v>
      </c>
      <c r="Y158" s="176" t="e">
        <f>IF(VLOOKUP(T_BilanSocial[[#This Row],[NumL]],T_TraitDi[#Data],COLUMN(T_TraitDi[[#This Row],[M3]]),FALSE)="","",VLOOKUP(T_BilanSocial[[#This Row],[NumL]],T_TraitDi[#Data],COLUMN(T_TraitDi[[#This Row],[M3]]),FALSE))</f>
        <v>#VALUE!</v>
      </c>
      <c r="Z158" s="176" t="str">
        <f t="shared" si="27"/>
        <v/>
      </c>
      <c r="AA158" s="176" t="e">
        <f>IF(VLOOKUP(T_BilanSocial[[#This Row],[NumL]],T_TraitDi[#Data],COLUMN(T_TraitDi[[#This Row],[M5]]),FALSE)="","",VLOOKUP(T_BilanSocial[[#This Row],[NumL]],T_TraitDi[#Data],COLUMN(T_TraitDi[[#This Row],[M5]]),FALSE))</f>
        <v>#VALUE!</v>
      </c>
      <c r="AB158" s="176" t="e">
        <f>IF(VLOOKUP(T_BilanSocial[[#This Row],[NumL]],T_TraitDi[#Data],COLUMN(T_TraitDi[[#This Row],[M6]]),FALSE)="","",VLOOKUP(T_BilanSocial[[#This Row],[NumL]],T_TraitDi[#Data],COLUMN(T_TraitDi[[#This Row],[M6]]),FALSE))</f>
        <v>#VALUE!</v>
      </c>
      <c r="AC158" s="165" t="e">
        <f t="shared" si="26"/>
        <v>#VALUE!</v>
      </c>
      <c r="AD158" s="188" t="str">
        <f>IFERROR(TEXT(VLOOKUP(T_BilanSocial[[#This Row],[NumL]],T_TraitDi[#Data],COLUMN(T_TraitDi[[#This Row],[Q2]]),FALSE),"###%"),"")</f>
        <v/>
      </c>
      <c r="AE158" s="97" t="e">
        <f>VLOOKUP(T_BilanSocial[[#This Row],[NumL]],T_TraitDi[#Data],COLUMN(T_TraitDi[[#This Row],[Reg Ponct]]),FALSE)</f>
        <v>#VALUE!</v>
      </c>
      <c r="AF158" s="97" t="e">
        <f>VLOOKUP(T_BilanSocial[NumL],T_TraitDi[#Data],COLUMN(T_TraitDi[[#This Row],[Jours flottants]]),FALSE)</f>
        <v>#VALUE!</v>
      </c>
      <c r="AG158" s="97" t="str">
        <f>IFERROR(VLOOKUP(T_BilanSocial[[#This Row],[NumL]],T_TraitDi[#Data],COLUMN(T_TraitDi[[#This Row],[Lundi]]),FALSE),"")</f>
        <v/>
      </c>
      <c r="AH158" s="172" t="e">
        <f>IF(VLOOKUP(T_BilanSocial[[#This Row],[NumL]],T_TraitDi[#Data],COLUMN(T_TraitDi[[#This Row],[Colonne3]]),FALSE)=0,"",TEXT(IFERROR(VLOOKUP(T_BilanSocial[[#This Row],[NumL]],T_TraitDi[#Data],COLUMN(T_TraitDi[[#This Row],[Colonne3]]),FALSE),""),"[hh]:mm"))</f>
        <v>#VALUE!</v>
      </c>
      <c r="AI158" s="172" t="e">
        <f>IF(VLOOKUP(T_BilanSocial[[#This Row],[NumL]],T_TraitDi[#Data],COLUMN(T_TraitDi[[#This Row],[Colonne4]]),FALSE)=0,"",TEXT(IFERROR(VLOOKUP(T_BilanSocial[[#This Row],[NumL]],T_TraitDi[#Data],COLUMN(T_TraitDi[[#This Row],[Colonne4]]),FALSE),""),"[hh]:mm"))</f>
        <v>#VALUE!</v>
      </c>
      <c r="AJ158" s="172" t="e">
        <f>IF(VLOOKUP(T_BilanSocial[[#This Row],[NumL]],T_TraitDi[#Data],COLUMN(T_TraitDi[[#This Row],[Colonne5]]),FALSE)=0,"",TEXT(IFERROR(VLOOKUP(T_BilanSocial[[#This Row],[NumL]],T_TraitDi[#Data],COLUMN(T_TraitDi[[#This Row],[Colonne5]]),FALSE),""),"[hh]:mm"))</f>
        <v>#VALUE!</v>
      </c>
      <c r="AK158" s="172" t="e">
        <f>IF(VLOOKUP(T_BilanSocial[[#This Row],[NumL]],T_TraitDi[#Data],COLUMN(T_TraitDi[[#This Row],[Colonne6]]),FALSE)=0,"",TEXT(IFERROR(VLOOKUP(T_BilanSocial[[#This Row],[NumL]],T_TraitDi[#Data],COLUMN(T_TraitDi[[#This Row],[Colonne6]]),FALSE),""),"[hh]:mm"))</f>
        <v>#VALUE!</v>
      </c>
      <c r="AL158" s="172" t="e">
        <f>IF(VLOOKUP(T_BilanSocial[[#This Row],[NumL]],T_TraitDi[#Data],COLUMN(T_TraitDi[[#This Row],[Colonne7]]),FALSE)=0,"",TEXT(IFERROR(VLOOKUP(T_BilanSocial[[#This Row],[NumL]],T_TraitDi[#Data],COLUMN(T_TraitDi[[#This Row],[Colonne7]]),FALSE),""),"[hh]:mm"))</f>
        <v>#VALUE!</v>
      </c>
      <c r="AM158" s="172" t="e">
        <f>IF(VLOOKUP(T_BilanSocial[[#This Row],[NumL]],T_TraitDi[#Data],COLUMN(T_TraitDi[[#This Row],[Colonne8]]),FALSE)=0,"",TEXT(IFERROR(VLOOKUP(T_BilanSocial[[#This Row],[NumL]],T_TraitDi[#Data],COLUMN(T_TraitDi[[#This Row],[Colonne8]]),FALSE),""),"[hh]:mm"))</f>
        <v>#VALUE!</v>
      </c>
      <c r="AN158" s="172" t="str">
        <f>IFERROR(VLOOKUP(T_BilanSocial[[#This Row],[NumL]],T_TraitDi[#Data],COLUMN(T_TraitDi[[#This Row],[Mardi]]),FALSE),"")</f>
        <v/>
      </c>
      <c r="AO158" s="172" t="e">
        <f>IF(VLOOKUP(T_BilanSocial[[#This Row],[NumL]],T_TraitDi[#Data],COLUMN(T_TraitDi[[#This Row],[Colonne1]]),FALSE)=0,"",TEXT(IFERROR(VLOOKUP(T_BilanSocial[[#This Row],[NumL]],T_TraitDi[#Data],COLUMN(T_TraitDi[[#This Row],[Colonne1]]),FALSE),""),"[hh]:mm"))</f>
        <v>#VALUE!</v>
      </c>
      <c r="AP158" s="172" t="e">
        <f>IF(VLOOKUP(T_BilanSocial[[#This Row],[NumL]],T_TraitDi[#Data],COLUMN(T_TraitDi[[#This Row],[Colonne9]]),FALSE)=0,"",TEXT(IFERROR(VLOOKUP(T_BilanSocial[[#This Row],[NumL]],T_TraitDi[#Data],COLUMN(T_TraitDi[[#This Row],[Colonne9]]),FALSE),""),"[hh]:mm"))</f>
        <v>#VALUE!</v>
      </c>
      <c r="AQ158" s="172" t="str">
        <f>IFERROR(VLOOKUP(T_BilanSocial[[#This Row],[NumL]],T_TraitDi[#Data],COLUMN(T_TraitDi[[#This Row],[Colonne10]]),FALSE),"")</f>
        <v/>
      </c>
      <c r="AR158" s="172" t="e">
        <f>IF(VLOOKUP(T_BilanSocial[[#This Row],[NumL]],T_TraitDi[#Data],COLUMN(T_TraitDi[[#This Row],[Colonne11]]),FALSE)=0,"",TEXT(IFERROR(VLOOKUP(T_BilanSocial[[#This Row],[NumL]],T_TraitDi[#Data],COLUMN(T_TraitDi[[#This Row],[Colonne11]]),FALSE),""),"[hh]:mm"))</f>
        <v>#VALUE!</v>
      </c>
      <c r="AS158" s="172" t="e">
        <f>IF(VLOOKUP(T_BilanSocial[[#This Row],[NumL]],T_TraitDi[#Data],COLUMN(T_TraitDi[[#This Row],[Colonne12]]),FALSE)=0,"",TEXT(IFERROR(VLOOKUP(T_BilanSocial[[#This Row],[NumL]],T_TraitDi[#Data],COLUMN(T_TraitDi[[#This Row],[Colonne12]]),FALSE),""),"[hh]:mm"))</f>
        <v>#VALUE!</v>
      </c>
      <c r="AT158" s="172" t="e">
        <f>IF(VLOOKUP(T_BilanSocial[[#This Row],[NumL]],T_TraitDi[#Data],COLUMN(T_TraitDi[[#This Row],[Colonne14]]),FALSE)=0,"",TEXT(IFERROR(VLOOKUP(T_BilanSocial[[#This Row],[NumL]],T_TraitDi[#Data],COLUMN(T_TraitDi[[#This Row],[Colonne14]]),FALSE),""),"[hh]:mm"))</f>
        <v>#VALUE!</v>
      </c>
      <c r="AU158" s="172" t="str">
        <f>IFERROR(VLOOKUP(T_BilanSocial[[#This Row],[NumL]],T_TraitDi[#Data],COLUMN(T_TraitDi[[#This Row],[Mercredi]]),FALSE),"")</f>
        <v/>
      </c>
      <c r="AV158" s="172" t="e">
        <f>IF(VLOOKUP(T_BilanSocial[[#This Row],[NumL]],T_TraitDi[#Data],COLUMN(T_TraitDi[[#This Row],[Colonne15]]),FALSE)=0,"",TEXT(IFERROR(VLOOKUP(T_BilanSocial[[#This Row],[NumL]],T_TraitDi[#Data],COLUMN(T_TraitDi[[#This Row],[Colonne15]]),FALSE),""),"[hh]:mm"))</f>
        <v>#VALUE!</v>
      </c>
      <c r="AW158" s="172" t="e">
        <f>IF(VLOOKUP(T_BilanSocial[[#This Row],[NumL]],T_TraitDi[#Data],COLUMN(T_TraitDi[[#This Row],[Colonne16]]),FALSE)=0,"",TEXT(IFERROR(VLOOKUP(T_BilanSocial[[#This Row],[NumL]],T_TraitDi[#Data],COLUMN(T_TraitDi[[#This Row],[Colonne16]]),FALSE),""),"[hh]:mm"))</f>
        <v>#VALUE!</v>
      </c>
      <c r="AX158" s="172" t="str">
        <f>IFERROR(VLOOKUP(T_BilanSocial[[#This Row],[NumL]],T_TraitDi[#Data],COLUMN(T_TraitDi[[#This Row],[Colonne17]]),FALSE),"")</f>
        <v/>
      </c>
      <c r="AY158" s="172" t="e">
        <f>IF(VLOOKUP(T_BilanSocial[[#This Row],[NumL]],T_TraitDi[#Data],COLUMN(T_TraitDi[[#This Row],[Colonne18]]),FALSE)=0,"",TEXT(IFERROR(VLOOKUP(T_BilanSocial[[#This Row],[NumL]],T_TraitDi[#Data],COLUMN(T_TraitDi[[#This Row],[Colonne18]]),FALSE),""),"[hh]:mm"))</f>
        <v>#VALUE!</v>
      </c>
      <c r="AZ158" s="172" t="e">
        <f>IF(VLOOKUP(T_BilanSocial[[#This Row],[NumL]],T_TraitDi[#Data],COLUMN(T_TraitDi[[#This Row],[Colonne19]]),FALSE)=0,"",TEXT(IFERROR(VLOOKUP(T_BilanSocial[[#This Row],[NumL]],T_TraitDi[#Data],COLUMN(T_TraitDi[[#This Row],[Colonne19]]),FALSE),""),"[hh]:mm"))</f>
        <v>#VALUE!</v>
      </c>
      <c r="BA158" s="172" t="e">
        <f>IF(VLOOKUP(T_BilanSocial[[#This Row],[NumL]],T_TraitDi[#Data],COLUMN(T_TraitDi[[#This Row],[Colonne20]]),FALSE)=0,"",TEXT(IFERROR(VLOOKUP(T_BilanSocial[[#This Row],[NumL]],T_TraitDi[#Data],COLUMN(T_TraitDi[[#This Row],[Colonne20]]),FALSE),""),"[hh]:mm"))</f>
        <v>#VALUE!</v>
      </c>
      <c r="BB158" s="178" t="str">
        <f>IFERROR(VLOOKUP(T_BilanSocial[[#This Row],[NumL]],T_TraitDi[#Data],COLUMN(T_TraitDi[[#This Row],[Jeudi]]),FALSE),"")</f>
        <v/>
      </c>
      <c r="BC158" s="178" t="e">
        <f>IF(VLOOKUP(T_BilanSocial[[#This Row],[NumL]],T_TraitDi[#Data],COLUMN(T_TraitDi[[#This Row],[Colonne21]]),FALSE)=0,"",TEXT(IFERROR(VLOOKUP(T_BilanSocial[[#This Row],[NumL]],T_TraitDi[#Data],COLUMN(T_TraitDi[[#This Row],[Colonne21]]),FALSE),""),"[hh]:mm"))</f>
        <v>#VALUE!</v>
      </c>
      <c r="BD158" s="178" t="e">
        <f>IF(VLOOKUP(T_BilanSocial[[#This Row],[NumL]],T_TraitDi[#Data],COLUMN(T_TraitDi[[#This Row],[Colonne22]]),FALSE)=0,"",TEXT(IFERROR(VLOOKUP(T_BilanSocial[[#This Row],[NumL]],T_TraitDi[#Data],COLUMN(T_TraitDi[[#This Row],[Colonne22]]),FALSE),""),"[hh]:mm"))</f>
        <v>#VALUE!</v>
      </c>
      <c r="BE158" s="178" t="str">
        <f>IFERROR(VLOOKUP(T_BilanSocial[[#This Row],[NumL]],T_TraitDi[#Data],COLUMN(T_TraitDi[[#This Row],[Colonne23]]),FALSE),"")</f>
        <v/>
      </c>
      <c r="BF158" s="178" t="e">
        <f>IF(VLOOKUP(T_BilanSocial[[#This Row],[NumL]],T_TraitDi[#Data],COLUMN(T_TraitDi[[#This Row],[Colonne24]]),FALSE)=0,"",TEXT(IFERROR(VLOOKUP(T_BilanSocial[[#This Row],[NumL]],T_TraitDi[#Data],COLUMN(T_TraitDi[[#This Row],[Colonne24]]),FALSE),""),"[hh]:mm"))</f>
        <v>#VALUE!</v>
      </c>
      <c r="BG158" s="178" t="e">
        <f>IF(VLOOKUP(T_BilanSocial[[#This Row],[NumL]],T_TraitDi[#Data],COLUMN(T_TraitDi[[#This Row],[Colonne25]]),FALSE)=0,"",TEXT(IFERROR(VLOOKUP(T_BilanSocial[[#This Row],[NumL]],T_TraitDi[#Data],COLUMN(T_TraitDi[[#This Row],[Colonne25]]),FALSE),""),"[hh]:mm"))</f>
        <v>#VALUE!</v>
      </c>
      <c r="BH158" s="178" t="e">
        <f>IF(VLOOKUP(T_BilanSocial[[#This Row],[NumL]],T_TraitDi[#Data],COLUMN(T_TraitDi[[#This Row],[Colonne26]]),FALSE)=0,"",TEXT(IFERROR(VLOOKUP(T_BilanSocial[[#This Row],[NumL]],T_TraitDi[#Data],COLUMN(T_TraitDi[[#This Row],[Colonne26]]),FALSE),""),"[hh]:mm"))</f>
        <v>#VALUE!</v>
      </c>
      <c r="BI158" s="172" t="str">
        <f>IFERROR(VLOOKUP(T_BilanSocial[[#This Row],[NumL]],T_TraitDi[#Data],COLUMN(T_TraitDi[[#This Row],[Vendredi]]),FALSE),"")</f>
        <v/>
      </c>
      <c r="BJ158" s="172" t="e">
        <f>IF(VLOOKUP(T_BilanSocial[[#This Row],[NumL]],T_TraitDi[#Data],COLUMN(T_TraitDi[[#This Row],[Colonne27]]),FALSE)=0,"",TEXT(IFERROR(VLOOKUP(T_BilanSocial[[#This Row],[NumL]],T_TraitDi[#Data],COLUMN(T_TraitDi[[#This Row],[Colonne27]]),FALSE),""),"[hh]:mm"))</f>
        <v>#VALUE!</v>
      </c>
      <c r="BK158" s="172" t="e">
        <f>IF(VLOOKUP(T_BilanSocial[[#This Row],[NumL]],T_TraitDi[#Data],COLUMN(T_TraitDi[[#This Row],[Colonne28]]),FALSE)=0,"",TEXT(IFERROR(VLOOKUP(T_BilanSocial[[#This Row],[NumL]],T_TraitDi[#Data],COLUMN(T_TraitDi[[#This Row],[Colonne28]]),FALSE),""),"[hh]:mm"))</f>
        <v>#VALUE!</v>
      </c>
      <c r="BL158" s="172" t="str">
        <f>IFERROR(VLOOKUP(T_BilanSocial[[#This Row],[NumL]],T_TraitDi[#Data],COLUMN(T_TraitDi[[#This Row],[Colonne29]]),FALSE),"")</f>
        <v/>
      </c>
      <c r="BM158" s="172" t="e">
        <f>IF(VLOOKUP(T_BilanSocial[[#This Row],[NumL]],T_TraitDi[#Data],COLUMN(T_TraitDi[[#This Row],[Colonne30]]),FALSE)=0,"",TEXT(IFERROR(VLOOKUP(T_BilanSocial[[#This Row],[NumL]],T_TraitDi[#Data],COLUMN(T_TraitDi[[#This Row],[Colonne30]]),FALSE),""),"[hh]:mm"))</f>
        <v>#VALUE!</v>
      </c>
      <c r="BN158" s="172" t="e">
        <f>IF(VLOOKUP(T_BilanSocial[[#This Row],[NumL]],T_TraitDi[#Data],COLUMN(T_TraitDi[[#This Row],[Colonne31]]),FALSE)=0,"",TEXT(IFERROR(VLOOKUP(T_BilanSocial[[#This Row],[NumL]],T_TraitDi[#Data],COLUMN(T_TraitDi[[#This Row],[Colonne31]]),FALSE),""),"[hh]:mm"))</f>
        <v>#VALUE!</v>
      </c>
      <c r="BO158" s="172" t="e">
        <f>IF(VLOOKUP(T_BilanSocial[[#This Row],[NumL]],T_TraitDi[#Data],COLUMN(T_TraitDi[[#This Row],[Colonne32]]),FALSE)=0,"",TEXT(IFERROR(VLOOKUP(T_BilanSocial[[#This Row],[NumL]],T_TraitDi[#Data],COLUMN(T_TraitDi[[#This Row],[Colonne32]]),FALSE),""),"[hh]:mm"))</f>
        <v>#VALUE!</v>
      </c>
      <c r="BP158" s="172" t="e">
        <f>VLOOKUP(T_BilanSocial[[#This Row],[NumL]],T_TraitDi[#Data],COLUMN(T_TraitDi[NbJTot]),FALSE)</f>
        <v>#N/A</v>
      </c>
      <c r="BQ158" s="174" t="str">
        <f>IFERROR(VLOOKUP(T_BilanSocial[[#This Row],[NumL]],T_TraitDi[#Data],COLUMN(T_TraitDi[[#This Row],[NbJTW]]),FALSE),"")</f>
        <v/>
      </c>
      <c r="BR158" s="174" t="e">
        <f>IF(VLOOKUP(T_BilanSocial[[#This Row],[NumL]],T_TraitDi[#Data],COLUMN(T_TraitDi[[#This Row],[NbhTW]]),FALSE)=0,"",TEXT(IFERROR(VLOOKUP(T_BilanSocial[[#This Row],[NumL]],T_TraitDi[#Data],COLUMN(T_TraitDi[[#This Row],[NbhTW]]),FALSE),""),"[hh]:mm"))</f>
        <v>#VALUE!</v>
      </c>
      <c r="BS158" s="174" t="e">
        <f>IF(VLOOKUP(T_BilanSocial[[#This Row],[NumL]],T_TraitDi[#Data],COLUMN(T_TraitDi[[#This Row],[Nbhheb]]),FALSE)=0,"",TEXT(IFERROR(VLOOKUP($A158,T_TraitDi[#Data],COLUMN(T_TraitDi[[#This Row],[Nbhheb]]),FALSE),""),"[hh]:mm"))</f>
        <v>#VALUE!</v>
      </c>
      <c r="BT158" s="182" t="str">
        <f>IFERROR(VLOOKUP(VLOOKUP($A158,T_TraitDi[#Data],COLUMN(T_TraitDi[[#This Row],[Type1]]),FALSE),TypeTW,2,FALSE),"")</f>
        <v/>
      </c>
      <c r="BU158" s="182" t="str">
        <f>IFERROR(VLOOKUP($A158,T_TraitDi[#Data],COLUMN(T_TraitDi[[#This Row],[Rue1]]),FALSE),"")</f>
        <v/>
      </c>
      <c r="BV158" s="173" t="str">
        <f>IFERROR(VLOOKUP($A158,T_TraitDi[#Data],COLUMN(T_TraitDi[[#This Row],[CP1]]),FALSE),"")</f>
        <v/>
      </c>
      <c r="BW158" s="173" t="str">
        <f>IFERROR(VLOOKUP($A158,T_TraitDi[#Data],COLUMN(T_TraitDi[[#This Row],[VILLE1]]),FALSE),"")</f>
        <v/>
      </c>
      <c r="BX158" s="182" t="str">
        <f>IFERROR(VLOOKUP(VLOOKUP($A158,T_TraitDi[#Data],COLUMN(T_TraitDi[[#This Row],[Type2]]),FALSE),TypeTW,2,FALSE),"")</f>
        <v/>
      </c>
      <c r="BY158" s="182" t="str">
        <f>IFERROR(VLOOKUP($A158,T_TraitDi[#Data],COLUMN(T_TraitDi[[#This Row],[Rue2]]),FALSE),"")</f>
        <v/>
      </c>
      <c r="BZ158" s="173" t="str">
        <f>IFERROR(VLOOKUP($A158,T_TraitDi[#Data],COLUMN(T_TraitDi[[#This Row],[CP2]]),FALSE),"")</f>
        <v/>
      </c>
      <c r="CA158" s="173" t="str">
        <f>IFERROR(VLOOKUP($A158,T_TraitDi[#Data],COLUMN(T_TraitDi[[#This Row],[VILLE2]]),FALSE),"")</f>
        <v/>
      </c>
      <c r="CB158" s="182" t="str">
        <f>IF(VLOOKUP(T_BilanSocial[[#This Row],[NumL]],T_Equipement[#Data],COLUMN(T_Equipement[[#This Row],[PC]]),FALSE)="","Aucun équipement spécifique directement lié au télétravail",VLOOKUP(T_BilanSocial[[#This Row],[NumL]],T_Equipement[#Data],COLUMN(T_Equipement[[#This Row],[PC]]),FALSE))</f>
        <v>14-565</v>
      </c>
      <c r="CC158" s="166" t="str">
        <f>IFERROR(IF(VLOOKUP(T_BilanSocial[[#This Row],[NumL]],T_TraitDi[#Data],COLUMN(T_TraitDi[[#This Row],[Plan]]),FALSE)="OK","Un planning spécifique de télétravail est annexé à la présente convention.",""),"")</f>
        <v/>
      </c>
      <c r="CD158" s="185"/>
      <c r="CE158" s="164" t="e">
        <f>IF(VLOOKUP(T_BilanSocial[[#This Row],[NumL]],T_suiviDi[#Data],COLUMN(T_suiviDi[[#This Row],[Entité]]),FALSE)="","",VLOOKUP(T_BilanSocial[[#This Row],[NumL]],T_suiviDi[#Data],COLUMN(T_suiviDi[[#This Row],[Entité]]),FALSE))</f>
        <v>#VALUE!</v>
      </c>
      <c r="CF158" s="164" t="str">
        <f>IF(VLOOKUP(T_BilanSocial[[#This Row],[NumL]],T_Commission[#Data],COLUMN(T_Commission[[#This Row],[envoi confirm TW]]),FALSE)="","",VLOOKUP(T_BilanSocial[[#This Row],[NumL]],T_Commission[#Data],COLUMN(T_Commission[[#This Row],[envoi confirm TW]]),FALSE))</f>
        <v>Oui</v>
      </c>
      <c r="CG15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8" s="262" t="str">
        <f>T_BilanSocial[[#This Row],[Nom]]&amp;T_BilanSocial[[#This Row],[Prenom]]</f>
        <v/>
      </c>
      <c r="CI158" s="262">
        <f>VLOOKUP(T_BilanSocial[[#This Row],[NumL]],T_Commission[#Data],COLUMN(T_Commission[Commentaire]),FALSE)</f>
        <v>0</v>
      </c>
      <c r="CJ158" s="262" t="str">
        <f>IF(VLOOKUP(T_BilanSocial[[#This Row],[NumL]],T_Commission[#Data],COLUMN(T_Commission[Encadrant Email]),FALSE)="","",VLOOKUP(T_BilanSocial[[#This Row],[NumL]],T_Commission[#Data],COLUMN(T_Commission[Encadrant Email]),FALSE))</f>
        <v/>
      </c>
      <c r="CK158" s="340" t="str">
        <f>IF(T_BilanSocial[[#This Row],[Final]]&lt;&gt;"",VLOOKUP(T_BilanSocial[[#This Row],[NumL]],T_suiviDi[#Data],COLUMN((T_suiviDi[Statut])),FALSE),"")</f>
        <v/>
      </c>
    </row>
    <row r="159" spans="1:89" s="106" customFormat="1" ht="24.75" customHeight="1" x14ac:dyDescent="0.25">
      <c r="A159" s="160">
        <v>156</v>
      </c>
      <c r="B159" s="161" t="e">
        <f t="shared" si="22"/>
        <v>#N/A</v>
      </c>
      <c r="C159" s="162" t="s">
        <v>141</v>
      </c>
      <c r="D159" s="95" t="e">
        <f>IF(VLOOKUP(T_BilanSocial[[#This Row],[NumL]],T_TraitDi[#Data],COLUMN(T_TraitDi[[#This Row],[WebC]]),FALSE)="","",VLOOKUP(T_BilanSocial[[#This Row],[NumL]],T_TraitDi[#Data],COLUMN(T_TraitDi[[#This Row],[WebC]]),FALSE))</f>
        <v>#VALUE!</v>
      </c>
      <c r="E159" s="163" t="str">
        <f t="shared" si="23"/>
        <v>12 janvier 2021</v>
      </c>
      <c r="F159" s="96" t="e">
        <f>IF(T_BilanSocial[[#This Row],[Final]]&lt;&gt;"",VLOOKUP(T_BilanSocial[[#This Row],[NumL]],T_suiviDi[#Data],COLUMN((T_suiviDi[Civ.])),FALSE),"")</f>
        <v>#N/A</v>
      </c>
      <c r="G159" s="96" t="e">
        <f>IF(T_BilanSocial[[#This Row],[Final]]&lt;&gt;"",VLOOKUP(T_BilanSocial[[#This Row],[NumL]],T_suiviDi[#Data],COLUMN((T_suiviDi[Nom])),FALSE),"")</f>
        <v>#N/A</v>
      </c>
      <c r="H159" s="96" t="e">
        <f>IF(T_BilanSocial[[#This Row],[Final]]&lt;&gt;"",VLOOKUP(T_BilanSocial[[#This Row],[NumL]],T_suiviDi[#Data],COLUMN((T_suiviDi[Prénom])),FALSE),"")</f>
        <v>#N/A</v>
      </c>
      <c r="I159" s="96" t="str">
        <f>IFERROR(VLOOKUP(T_BilanSocial[[#This Row],[Zone_Bilan]],T_P_BilanSocial[#Data],COLUMN(T_P_BilanSocial[[#This Row],[Numero_SIHAM]]),FALSE),"")</f>
        <v/>
      </c>
      <c r="J159" s="96" t="str">
        <f>IFERROR(VLOOKUP(T_BilanSocial[[#This Row],[Zone_Bilan]],T_P_BilanSocial[#Data],COLUMN(T_P_BilanSocial[[#This Row],[Sexe]]),FALSE),"")</f>
        <v/>
      </c>
      <c r="K159" s="97" t="str">
        <f>IFERROR(VLOOKUP(T_BilanSocial[[#This Row],[Zone_Bilan]],T_P_BilanSocial[#Data],COLUMN(T_P_BilanSocial[[#This Row],[Categorie]]),FALSE),"")</f>
        <v/>
      </c>
      <c r="L159" s="96" t="str">
        <f>IFERROR(VLOOKUP(T_BilanSocial[[#This Row],[Zone_Bilan]],T_P_BilanSocial[#Data],COLUMN(T_P_BilanSocial[[#This Row],[Statut]]),FALSE),"")</f>
        <v/>
      </c>
      <c r="M159" s="96" t="str">
        <f>IFERROR(VLOOKUP(T_BilanSocial[[#This Row],[Zone_Bilan]],T_P_BilanSocial[#Data],COLUMN(T_P_BilanSocial[[#This Row],[Filiere]]),FALSE),"")</f>
        <v/>
      </c>
      <c r="N159" s="96" t="e">
        <f>VLOOKUP(T_BilanSocial[[#This Row],[NumL]],T_TraitDi[#Data],COLUMN(T_TraitDi[EXP]),FALSE)</f>
        <v>#N/A</v>
      </c>
      <c r="O159" s="96" t="e">
        <f>VLOOKUP(T_BilanSocial[[#This Row],[NumL]],T_TraitDi[#Data],COLUMN(T_TraitDi[FORM]),FALSE)</f>
        <v>#N/A</v>
      </c>
      <c r="P159" s="96" t="e">
        <f>IF(T_BilanSocial[[#This Row],[Final]]&lt;&gt;"",VLOOKUP(T_BilanSocial[[#This Row],[NumL]],T_suiviDi[#Data],COLUMN((T_suiviDi[Email])),FALSE),"")</f>
        <v>#N/A</v>
      </c>
      <c r="Q159" s="164" t="e">
        <f t="shared" si="28"/>
        <v>#N/A</v>
      </c>
      <c r="R159" s="164" t="e">
        <f t="shared" si="29"/>
        <v>#N/A</v>
      </c>
      <c r="S159" s="164" t="e">
        <f>IF(VLOOKUP(T_BilanSocial[[#This Row],[NumL]],T_suiviDi[#Data],COLUMN(T_suiviDi[[#This Row],[Service ]]),FALSE)="","",VLOOKUP(T_BilanSocial[[#This Row],[NumL]],T_suiviDi[#Data],COLUMN(T_suiviDi[[#This Row],[Service ]]),FALSE))</f>
        <v>#VALUE!</v>
      </c>
      <c r="T159" s="164" t="str">
        <f t="shared" si="24"/>
        <v>01 septembre 2021</v>
      </c>
      <c r="U159" s="164" t="str">
        <f t="shared" si="25"/>
        <v>30 novembre 2021</v>
      </c>
      <c r="V159" s="256">
        <f>Datebilan</f>
        <v>44530</v>
      </c>
      <c r="W159" s="176" t="e">
        <f>IF(VLOOKUP(T_BilanSocial[[#This Row],[NumL]],T_TraitDi[#Data],COLUMN(T_TraitDi[[#This Row],[M1]]),FALSE)="","",VLOOKUP(T_BilanSocial[[#This Row],[NumL]],T_TraitDi[#Data],COLUMN(T_TraitDi[[#This Row],[M1]]),FALSE))</f>
        <v>#VALUE!</v>
      </c>
      <c r="X159" s="176" t="e">
        <f>IF(VLOOKUP(T_BilanSocial[[#This Row],[NumL]],T_TraitDi[#Data],COLUMN(T_TraitDi[[#This Row],[M2]]),FALSE)="","",VLOOKUP(T_BilanSocial[[#This Row],[NumL]],T_TraitDi[#Data],COLUMN(T_TraitDi[[#This Row],[M2]]),FALSE))</f>
        <v>#VALUE!</v>
      </c>
      <c r="Y159" s="176" t="e">
        <f>IF(VLOOKUP(T_BilanSocial[[#This Row],[NumL]],T_TraitDi[#Data],COLUMN(T_TraitDi[[#This Row],[M3]]),FALSE)="","",VLOOKUP(T_BilanSocial[[#This Row],[NumL]],T_TraitDi[#Data],COLUMN(T_TraitDi[[#This Row],[M3]]),FALSE))</f>
        <v>#VALUE!</v>
      </c>
      <c r="Z159" s="176" t="str">
        <f t="shared" si="27"/>
        <v/>
      </c>
      <c r="AA159" s="176" t="e">
        <f>IF(VLOOKUP(T_BilanSocial[[#This Row],[NumL]],T_TraitDi[#Data],COLUMN(T_TraitDi[[#This Row],[M5]]),FALSE)="","",VLOOKUP(T_BilanSocial[[#This Row],[NumL]],T_TraitDi[#Data],COLUMN(T_TraitDi[[#This Row],[M5]]),FALSE))</f>
        <v>#VALUE!</v>
      </c>
      <c r="AB159" s="176" t="e">
        <f>IF(VLOOKUP(T_BilanSocial[[#This Row],[NumL]],T_TraitDi[#Data],COLUMN(T_TraitDi[[#This Row],[M6]]),FALSE)="","",VLOOKUP(T_BilanSocial[[#This Row],[NumL]],T_TraitDi[#Data],COLUMN(T_TraitDi[[#This Row],[M6]]),FALSE))</f>
        <v>#VALUE!</v>
      </c>
      <c r="AC159" s="165" t="e">
        <f t="shared" si="26"/>
        <v>#VALUE!</v>
      </c>
      <c r="AD159" s="188" t="str">
        <f>IFERROR(TEXT(VLOOKUP(T_BilanSocial[[#This Row],[NumL]],T_TraitDi[#Data],COLUMN(T_TraitDi[[#This Row],[Q2]]),FALSE),"###%"),"")</f>
        <v/>
      </c>
      <c r="AE159" s="97" t="e">
        <f>VLOOKUP(T_BilanSocial[[#This Row],[NumL]],T_TraitDi[#Data],COLUMN(T_TraitDi[[#This Row],[Reg Ponct]]),FALSE)</f>
        <v>#VALUE!</v>
      </c>
      <c r="AF159" s="97" t="e">
        <f>VLOOKUP(T_BilanSocial[NumL],T_TraitDi[#Data],COLUMN(T_TraitDi[[#This Row],[Jours flottants]]),FALSE)</f>
        <v>#VALUE!</v>
      </c>
      <c r="AG159" s="97" t="str">
        <f>IFERROR(VLOOKUP(T_BilanSocial[[#This Row],[NumL]],T_TraitDi[#Data],COLUMN(T_TraitDi[[#This Row],[Lundi]]),FALSE),"")</f>
        <v/>
      </c>
      <c r="AH159" s="172" t="e">
        <f>IF(VLOOKUP(T_BilanSocial[[#This Row],[NumL]],T_TraitDi[#Data],COLUMN(T_TraitDi[[#This Row],[Colonne3]]),FALSE)=0,"",TEXT(IFERROR(VLOOKUP(T_BilanSocial[[#This Row],[NumL]],T_TraitDi[#Data],COLUMN(T_TraitDi[[#This Row],[Colonne3]]),FALSE),""),"[hh]:mm"))</f>
        <v>#VALUE!</v>
      </c>
      <c r="AI159" s="172" t="e">
        <f>IF(VLOOKUP(T_BilanSocial[[#This Row],[NumL]],T_TraitDi[#Data],COLUMN(T_TraitDi[[#This Row],[Colonne4]]),FALSE)=0,"",TEXT(IFERROR(VLOOKUP(T_BilanSocial[[#This Row],[NumL]],T_TraitDi[#Data],COLUMN(T_TraitDi[[#This Row],[Colonne4]]),FALSE),""),"[hh]:mm"))</f>
        <v>#VALUE!</v>
      </c>
      <c r="AJ159" s="172" t="e">
        <f>IF(VLOOKUP(T_BilanSocial[[#This Row],[NumL]],T_TraitDi[#Data],COLUMN(T_TraitDi[[#This Row],[Colonne5]]),FALSE)=0,"",TEXT(IFERROR(VLOOKUP(T_BilanSocial[[#This Row],[NumL]],T_TraitDi[#Data],COLUMN(T_TraitDi[[#This Row],[Colonne5]]),FALSE),""),"[hh]:mm"))</f>
        <v>#VALUE!</v>
      </c>
      <c r="AK159" s="172" t="e">
        <f>IF(VLOOKUP(T_BilanSocial[[#This Row],[NumL]],T_TraitDi[#Data],COLUMN(T_TraitDi[[#This Row],[Colonne6]]),FALSE)=0,"",TEXT(IFERROR(VLOOKUP(T_BilanSocial[[#This Row],[NumL]],T_TraitDi[#Data],COLUMN(T_TraitDi[[#This Row],[Colonne6]]),FALSE),""),"[hh]:mm"))</f>
        <v>#VALUE!</v>
      </c>
      <c r="AL159" s="172" t="e">
        <f>IF(VLOOKUP(T_BilanSocial[[#This Row],[NumL]],T_TraitDi[#Data],COLUMN(T_TraitDi[[#This Row],[Colonne7]]),FALSE)=0,"",TEXT(IFERROR(VLOOKUP(T_BilanSocial[[#This Row],[NumL]],T_TraitDi[#Data],COLUMN(T_TraitDi[[#This Row],[Colonne7]]),FALSE),""),"[hh]:mm"))</f>
        <v>#VALUE!</v>
      </c>
      <c r="AM159" s="172" t="e">
        <f>IF(VLOOKUP(T_BilanSocial[[#This Row],[NumL]],T_TraitDi[#Data],COLUMN(T_TraitDi[[#This Row],[Colonne8]]),FALSE)=0,"",TEXT(IFERROR(VLOOKUP(T_BilanSocial[[#This Row],[NumL]],T_TraitDi[#Data],COLUMN(T_TraitDi[[#This Row],[Colonne8]]),FALSE),""),"[hh]:mm"))</f>
        <v>#VALUE!</v>
      </c>
      <c r="AN159" s="172" t="str">
        <f>IFERROR(VLOOKUP(T_BilanSocial[[#This Row],[NumL]],T_TraitDi[#Data],COLUMN(T_TraitDi[[#This Row],[Mardi]]),FALSE),"")</f>
        <v/>
      </c>
      <c r="AO159" s="172" t="e">
        <f>IF(VLOOKUP(T_BilanSocial[[#This Row],[NumL]],T_TraitDi[#Data],COLUMN(T_TraitDi[[#This Row],[Colonne1]]),FALSE)=0,"",TEXT(IFERROR(VLOOKUP(T_BilanSocial[[#This Row],[NumL]],T_TraitDi[#Data],COLUMN(T_TraitDi[[#This Row],[Colonne1]]),FALSE),""),"[hh]:mm"))</f>
        <v>#VALUE!</v>
      </c>
      <c r="AP159" s="172" t="e">
        <f>IF(VLOOKUP(T_BilanSocial[[#This Row],[NumL]],T_TraitDi[#Data],COLUMN(T_TraitDi[[#This Row],[Colonne9]]),FALSE)=0,"",TEXT(IFERROR(VLOOKUP(T_BilanSocial[[#This Row],[NumL]],T_TraitDi[#Data],COLUMN(T_TraitDi[[#This Row],[Colonne9]]),FALSE),""),"[hh]:mm"))</f>
        <v>#VALUE!</v>
      </c>
      <c r="AQ159" s="172" t="str">
        <f>IFERROR(VLOOKUP(T_BilanSocial[[#This Row],[NumL]],T_TraitDi[#Data],COLUMN(T_TraitDi[[#This Row],[Colonne10]]),FALSE),"")</f>
        <v/>
      </c>
      <c r="AR159" s="172" t="e">
        <f>IF(VLOOKUP(T_BilanSocial[[#This Row],[NumL]],T_TraitDi[#Data],COLUMN(T_TraitDi[[#This Row],[Colonne11]]),FALSE)=0,"",TEXT(IFERROR(VLOOKUP(T_BilanSocial[[#This Row],[NumL]],T_TraitDi[#Data],COLUMN(T_TraitDi[[#This Row],[Colonne11]]),FALSE),""),"[hh]:mm"))</f>
        <v>#VALUE!</v>
      </c>
      <c r="AS159" s="172" t="e">
        <f>IF(VLOOKUP(T_BilanSocial[[#This Row],[NumL]],T_TraitDi[#Data],COLUMN(T_TraitDi[[#This Row],[Colonne12]]),FALSE)=0,"",TEXT(IFERROR(VLOOKUP(T_BilanSocial[[#This Row],[NumL]],T_TraitDi[#Data],COLUMN(T_TraitDi[[#This Row],[Colonne12]]),FALSE),""),"[hh]:mm"))</f>
        <v>#VALUE!</v>
      </c>
      <c r="AT159" s="172" t="e">
        <f>IF(VLOOKUP(T_BilanSocial[[#This Row],[NumL]],T_TraitDi[#Data],COLUMN(T_TraitDi[[#This Row],[Colonne14]]),FALSE)=0,"",TEXT(IFERROR(VLOOKUP(T_BilanSocial[[#This Row],[NumL]],T_TraitDi[#Data],COLUMN(T_TraitDi[[#This Row],[Colonne14]]),FALSE),""),"[hh]:mm"))</f>
        <v>#VALUE!</v>
      </c>
      <c r="AU159" s="172" t="str">
        <f>IFERROR(VLOOKUP(T_BilanSocial[[#This Row],[NumL]],T_TraitDi[#Data],COLUMN(T_TraitDi[[#This Row],[Mercredi]]),FALSE),"")</f>
        <v/>
      </c>
      <c r="AV159" s="172" t="e">
        <f>IF(VLOOKUP(T_BilanSocial[[#This Row],[NumL]],T_TraitDi[#Data],COLUMN(T_TraitDi[[#This Row],[Colonne15]]),FALSE)=0,"",TEXT(IFERROR(VLOOKUP(T_BilanSocial[[#This Row],[NumL]],T_TraitDi[#Data],COLUMN(T_TraitDi[[#This Row],[Colonne15]]),FALSE),""),"[hh]:mm"))</f>
        <v>#VALUE!</v>
      </c>
      <c r="AW159" s="172" t="e">
        <f>IF(VLOOKUP(T_BilanSocial[[#This Row],[NumL]],T_TraitDi[#Data],COLUMN(T_TraitDi[[#This Row],[Colonne16]]),FALSE)=0,"",TEXT(IFERROR(VLOOKUP(T_BilanSocial[[#This Row],[NumL]],T_TraitDi[#Data],COLUMN(T_TraitDi[[#This Row],[Colonne16]]),FALSE),""),"[hh]:mm"))</f>
        <v>#VALUE!</v>
      </c>
      <c r="AX159" s="172" t="str">
        <f>IFERROR(VLOOKUP(T_BilanSocial[[#This Row],[NumL]],T_TraitDi[#Data],COLUMN(T_TraitDi[[#This Row],[Colonne17]]),FALSE),"")</f>
        <v/>
      </c>
      <c r="AY159" s="172" t="e">
        <f>IF(VLOOKUP(T_BilanSocial[[#This Row],[NumL]],T_TraitDi[#Data],COLUMN(T_TraitDi[[#This Row],[Colonne18]]),FALSE)=0,"",TEXT(IFERROR(VLOOKUP(T_BilanSocial[[#This Row],[NumL]],T_TraitDi[#Data],COLUMN(T_TraitDi[[#This Row],[Colonne18]]),FALSE),""),"[hh]:mm"))</f>
        <v>#VALUE!</v>
      </c>
      <c r="AZ159" s="172" t="e">
        <f>IF(VLOOKUP(T_BilanSocial[[#This Row],[NumL]],T_TraitDi[#Data],COLUMN(T_TraitDi[[#This Row],[Colonne19]]),FALSE)=0,"",TEXT(IFERROR(VLOOKUP(T_BilanSocial[[#This Row],[NumL]],T_TraitDi[#Data],COLUMN(T_TraitDi[[#This Row],[Colonne19]]),FALSE),""),"[hh]:mm"))</f>
        <v>#VALUE!</v>
      </c>
      <c r="BA159" s="172" t="e">
        <f>IF(VLOOKUP(T_BilanSocial[[#This Row],[NumL]],T_TraitDi[#Data],COLUMN(T_TraitDi[[#This Row],[Colonne20]]),FALSE)=0,"",TEXT(IFERROR(VLOOKUP(T_BilanSocial[[#This Row],[NumL]],T_TraitDi[#Data],COLUMN(T_TraitDi[[#This Row],[Colonne20]]),FALSE),""),"[hh]:mm"))</f>
        <v>#VALUE!</v>
      </c>
      <c r="BB159" s="178" t="str">
        <f>IFERROR(VLOOKUP(T_BilanSocial[[#This Row],[NumL]],T_TraitDi[#Data],COLUMN(T_TraitDi[[#This Row],[Jeudi]]),FALSE),"")</f>
        <v/>
      </c>
      <c r="BC159" s="178" t="e">
        <f>IF(VLOOKUP(T_BilanSocial[[#This Row],[NumL]],T_TraitDi[#Data],COLUMN(T_TraitDi[[#This Row],[Colonne21]]),FALSE)=0,"",TEXT(IFERROR(VLOOKUP(T_BilanSocial[[#This Row],[NumL]],T_TraitDi[#Data],COLUMN(T_TraitDi[[#This Row],[Colonne21]]),FALSE),""),"[hh]:mm"))</f>
        <v>#VALUE!</v>
      </c>
      <c r="BD159" s="178" t="e">
        <f>IF(VLOOKUP(T_BilanSocial[[#This Row],[NumL]],T_TraitDi[#Data],COLUMN(T_TraitDi[[#This Row],[Colonne22]]),FALSE)=0,"",TEXT(IFERROR(VLOOKUP(T_BilanSocial[[#This Row],[NumL]],T_TraitDi[#Data],COLUMN(T_TraitDi[[#This Row],[Colonne22]]),FALSE),""),"[hh]:mm"))</f>
        <v>#VALUE!</v>
      </c>
      <c r="BE159" s="178" t="str">
        <f>IFERROR(VLOOKUP(T_BilanSocial[[#This Row],[NumL]],T_TraitDi[#Data],COLUMN(T_TraitDi[[#This Row],[Colonne23]]),FALSE),"")</f>
        <v/>
      </c>
      <c r="BF159" s="178" t="e">
        <f>IF(VLOOKUP(T_BilanSocial[[#This Row],[NumL]],T_TraitDi[#Data],COLUMN(T_TraitDi[[#This Row],[Colonne24]]),FALSE)=0,"",TEXT(IFERROR(VLOOKUP(T_BilanSocial[[#This Row],[NumL]],T_TraitDi[#Data],COLUMN(T_TraitDi[[#This Row],[Colonne24]]),FALSE),""),"[hh]:mm"))</f>
        <v>#VALUE!</v>
      </c>
      <c r="BG159" s="178" t="e">
        <f>IF(VLOOKUP(T_BilanSocial[[#This Row],[NumL]],T_TraitDi[#Data],COLUMN(T_TraitDi[[#This Row],[Colonne25]]),FALSE)=0,"",TEXT(IFERROR(VLOOKUP(T_BilanSocial[[#This Row],[NumL]],T_TraitDi[#Data],COLUMN(T_TraitDi[[#This Row],[Colonne25]]),FALSE),""),"[hh]:mm"))</f>
        <v>#VALUE!</v>
      </c>
      <c r="BH159" s="178" t="e">
        <f>IF(VLOOKUP(T_BilanSocial[[#This Row],[NumL]],T_TraitDi[#Data],COLUMN(T_TraitDi[[#This Row],[Colonne26]]),FALSE)=0,"",TEXT(IFERROR(VLOOKUP(T_BilanSocial[[#This Row],[NumL]],T_TraitDi[#Data],COLUMN(T_TraitDi[[#This Row],[Colonne26]]),FALSE),""),"[hh]:mm"))</f>
        <v>#VALUE!</v>
      </c>
      <c r="BI159" s="172" t="str">
        <f>IFERROR(VLOOKUP(T_BilanSocial[[#This Row],[NumL]],T_TraitDi[#Data],COLUMN(T_TraitDi[[#This Row],[Vendredi]]),FALSE),"")</f>
        <v/>
      </c>
      <c r="BJ159" s="172" t="e">
        <f>IF(VLOOKUP(T_BilanSocial[[#This Row],[NumL]],T_TraitDi[#Data],COLUMN(T_TraitDi[[#This Row],[Colonne27]]),FALSE)=0,"",TEXT(IFERROR(VLOOKUP(T_BilanSocial[[#This Row],[NumL]],T_TraitDi[#Data],COLUMN(T_TraitDi[[#This Row],[Colonne27]]),FALSE),""),"[hh]:mm"))</f>
        <v>#VALUE!</v>
      </c>
      <c r="BK159" s="172" t="e">
        <f>IF(VLOOKUP(T_BilanSocial[[#This Row],[NumL]],T_TraitDi[#Data],COLUMN(T_TraitDi[[#This Row],[Colonne28]]),FALSE)=0,"",TEXT(IFERROR(VLOOKUP(T_BilanSocial[[#This Row],[NumL]],T_TraitDi[#Data],COLUMN(T_TraitDi[[#This Row],[Colonne28]]),FALSE),""),"[hh]:mm"))</f>
        <v>#VALUE!</v>
      </c>
      <c r="BL159" s="172" t="str">
        <f>IFERROR(VLOOKUP(T_BilanSocial[[#This Row],[NumL]],T_TraitDi[#Data],COLUMN(T_TraitDi[[#This Row],[Colonne29]]),FALSE),"")</f>
        <v/>
      </c>
      <c r="BM159" s="172" t="e">
        <f>IF(VLOOKUP(T_BilanSocial[[#This Row],[NumL]],T_TraitDi[#Data],COLUMN(T_TraitDi[[#This Row],[Colonne30]]),FALSE)=0,"",TEXT(IFERROR(VLOOKUP(T_BilanSocial[[#This Row],[NumL]],T_TraitDi[#Data],COLUMN(T_TraitDi[[#This Row],[Colonne30]]),FALSE),""),"[hh]:mm"))</f>
        <v>#VALUE!</v>
      </c>
      <c r="BN159" s="172" t="e">
        <f>IF(VLOOKUP(T_BilanSocial[[#This Row],[NumL]],T_TraitDi[#Data],COLUMN(T_TraitDi[[#This Row],[Colonne31]]),FALSE)=0,"",TEXT(IFERROR(VLOOKUP(T_BilanSocial[[#This Row],[NumL]],T_TraitDi[#Data],COLUMN(T_TraitDi[[#This Row],[Colonne31]]),FALSE),""),"[hh]:mm"))</f>
        <v>#VALUE!</v>
      </c>
      <c r="BO159" s="172" t="e">
        <f>IF(VLOOKUP(T_BilanSocial[[#This Row],[NumL]],T_TraitDi[#Data],COLUMN(T_TraitDi[[#This Row],[Colonne32]]),FALSE)=0,"",TEXT(IFERROR(VLOOKUP(T_BilanSocial[[#This Row],[NumL]],T_TraitDi[#Data],COLUMN(T_TraitDi[[#This Row],[Colonne32]]),FALSE),""),"[hh]:mm"))</f>
        <v>#VALUE!</v>
      </c>
      <c r="BP159" s="172" t="e">
        <f>VLOOKUP(T_BilanSocial[[#This Row],[NumL]],T_TraitDi[#Data],COLUMN(T_TraitDi[NbJTot]),FALSE)</f>
        <v>#N/A</v>
      </c>
      <c r="BQ159" s="174" t="str">
        <f>IFERROR(VLOOKUP(T_BilanSocial[[#This Row],[NumL]],T_TraitDi[#Data],COLUMN(T_TraitDi[[#This Row],[NbJTW]]),FALSE),"")</f>
        <v/>
      </c>
      <c r="BR159" s="174" t="e">
        <f>IF(VLOOKUP(T_BilanSocial[[#This Row],[NumL]],T_TraitDi[#Data],COLUMN(T_TraitDi[[#This Row],[NbhTW]]),FALSE)=0,"",TEXT(IFERROR(VLOOKUP(T_BilanSocial[[#This Row],[NumL]],T_TraitDi[#Data],COLUMN(T_TraitDi[[#This Row],[NbhTW]]),FALSE),""),"[hh]:mm"))</f>
        <v>#VALUE!</v>
      </c>
      <c r="BS159" s="174" t="e">
        <f>IF(VLOOKUP(T_BilanSocial[[#This Row],[NumL]],T_TraitDi[#Data],COLUMN(T_TraitDi[[#This Row],[Nbhheb]]),FALSE)=0,"",TEXT(IFERROR(VLOOKUP($A159,T_TraitDi[#Data],COLUMN(T_TraitDi[[#This Row],[Nbhheb]]),FALSE),""),"[hh]:mm"))</f>
        <v>#VALUE!</v>
      </c>
      <c r="BT159" s="182" t="str">
        <f>IFERROR(VLOOKUP(VLOOKUP($A159,T_TraitDi[#Data],COLUMN(T_TraitDi[[#This Row],[Type1]]),FALSE),TypeTW,2,FALSE),"")</f>
        <v/>
      </c>
      <c r="BU159" s="182" t="str">
        <f>IFERROR(VLOOKUP($A159,T_TraitDi[#Data],COLUMN(T_TraitDi[[#This Row],[Rue1]]),FALSE),"")</f>
        <v/>
      </c>
      <c r="BV159" s="173" t="str">
        <f>IFERROR(VLOOKUP($A159,T_TraitDi[#Data],COLUMN(T_TraitDi[[#This Row],[CP1]]),FALSE),"")</f>
        <v/>
      </c>
      <c r="BW159" s="173" t="str">
        <f>IFERROR(VLOOKUP($A159,T_TraitDi[#Data],COLUMN(T_TraitDi[[#This Row],[VILLE1]]),FALSE),"")</f>
        <v/>
      </c>
      <c r="BX159" s="182" t="str">
        <f>IFERROR(VLOOKUP(VLOOKUP($A159,T_TraitDi[#Data],COLUMN(T_TraitDi[[#This Row],[Type2]]),FALSE),TypeTW,2,FALSE),"")</f>
        <v/>
      </c>
      <c r="BY159" s="182" t="str">
        <f>IFERROR(VLOOKUP($A159,T_TraitDi[#Data],COLUMN(T_TraitDi[[#This Row],[Rue2]]),FALSE),"")</f>
        <v/>
      </c>
      <c r="BZ159" s="173" t="str">
        <f>IFERROR(VLOOKUP($A159,T_TraitDi[#Data],COLUMN(T_TraitDi[[#This Row],[CP2]]),FALSE),"")</f>
        <v/>
      </c>
      <c r="CA159" s="173" t="str">
        <f>IFERROR(VLOOKUP($A159,T_TraitDi[#Data],COLUMN(T_TraitDi[[#This Row],[VILLE2]]),FALSE),"")</f>
        <v/>
      </c>
      <c r="CB159" s="182" t="e">
        <f>IF(VLOOKUP(T_BilanSocial[[#This Row],[NumL]],T_Equipement[#Data],COLUMN(T_Equipement[[#This Row],[PC]]),FALSE)="","Aucun équipement spécifique directement lié au télétravail",VLOOKUP(T_BilanSocial[[#This Row],[NumL]],T_Equipement[#Data],COLUMN(T_Equipement[[#This Row],[PC]]),FALSE))</f>
        <v>#N/A</v>
      </c>
      <c r="CC159" s="166" t="str">
        <f>IFERROR(IF(VLOOKUP(T_BilanSocial[[#This Row],[NumL]],T_TraitDi[#Data],COLUMN(T_TraitDi[[#This Row],[Plan]]),FALSE)="OK","Un planning spécifique de télétravail est annexé à la présente convention.",""),"")</f>
        <v/>
      </c>
      <c r="CD159" s="185"/>
      <c r="CE159" s="164" t="e">
        <f>IF(VLOOKUP(T_BilanSocial[[#This Row],[NumL]],T_suiviDi[#Data],COLUMN(T_suiviDi[[#This Row],[Entité]]),FALSE)="","",VLOOKUP(T_BilanSocial[[#This Row],[NumL]],T_suiviDi[#Data],COLUMN(T_suiviDi[[#This Row],[Entité]]),FALSE))</f>
        <v>#VALUE!</v>
      </c>
      <c r="CF159" s="164" t="e">
        <f>IF(VLOOKUP(T_BilanSocial[[#This Row],[NumL]],T_Commission[#Data],COLUMN(T_Commission[[#This Row],[envoi confirm TW]]),FALSE)="","",VLOOKUP(T_BilanSocial[[#This Row],[NumL]],T_Commission[#Data],COLUMN(T_Commission[[#This Row],[envoi confirm TW]]),FALSE))</f>
        <v>#N/A</v>
      </c>
      <c r="CG15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59" s="262" t="e">
        <f>T_BilanSocial[[#This Row],[Nom]]&amp;T_BilanSocial[[#This Row],[Prenom]]</f>
        <v>#N/A</v>
      </c>
      <c r="CI159" s="262" t="e">
        <f>VLOOKUP(T_BilanSocial[[#This Row],[NumL]],T_Commission[#Data],COLUMN(T_Commission[Commentaire]),FALSE)</f>
        <v>#N/A</v>
      </c>
      <c r="CJ159" s="262" t="e">
        <f>IF(VLOOKUP(T_BilanSocial[[#This Row],[NumL]],T_Commission[#Data],COLUMN(T_Commission[Encadrant Email]),FALSE)="","",VLOOKUP(T_BilanSocial[[#This Row],[NumL]],T_Commission[#Data],COLUMN(T_Commission[Encadrant Email]),FALSE))</f>
        <v>#N/A</v>
      </c>
      <c r="CK159" s="340" t="e">
        <f>IF(T_BilanSocial[[#This Row],[Final]]&lt;&gt;"",VLOOKUP(T_BilanSocial[[#This Row],[NumL]],T_suiviDi[#Data],COLUMN((T_suiviDi[Statut])),FALSE),"")</f>
        <v>#N/A</v>
      </c>
    </row>
    <row r="160" spans="1:89" s="106" customFormat="1" ht="24.75" customHeight="1" x14ac:dyDescent="0.25">
      <c r="A160" s="160">
        <v>157</v>
      </c>
      <c r="B160" s="161" t="str">
        <f t="shared" si="22"/>
        <v/>
      </c>
      <c r="C160" s="162" t="s">
        <v>3287</v>
      </c>
      <c r="D160" s="95" t="e">
        <f>IF(VLOOKUP(T_BilanSocial[[#This Row],[NumL]],T_TraitDi[#Data],COLUMN(T_TraitDi[[#This Row],[WebC]]),FALSE)="","",VLOOKUP(T_BilanSocial[[#This Row],[NumL]],T_TraitDi[#Data],COLUMN(T_TraitDi[[#This Row],[WebC]]),FALSE))</f>
        <v>#VALUE!</v>
      </c>
      <c r="E160" s="163" t="str">
        <f t="shared" si="23"/>
        <v>12 janvier 2021</v>
      </c>
      <c r="F160" s="96" t="str">
        <f>IF(T_BilanSocial[[#This Row],[Final]]&lt;&gt;"",VLOOKUP(T_BilanSocial[[#This Row],[NumL]],T_suiviDi[#Data],COLUMN((T_suiviDi[Civ.])),FALSE),"")</f>
        <v/>
      </c>
      <c r="G160" s="96" t="str">
        <f>IF(T_BilanSocial[[#This Row],[Final]]&lt;&gt;"",VLOOKUP(T_BilanSocial[[#This Row],[NumL]],T_suiviDi[#Data],COLUMN((T_suiviDi[Nom])),FALSE),"")</f>
        <v/>
      </c>
      <c r="H160" s="96" t="str">
        <f>IF(T_BilanSocial[[#This Row],[Final]]&lt;&gt;"",VLOOKUP(T_BilanSocial[[#This Row],[NumL]],T_suiviDi[#Data],COLUMN((T_suiviDi[Prénom])),FALSE),"")</f>
        <v/>
      </c>
      <c r="I160" s="96" t="str">
        <f>IFERROR(VLOOKUP(T_BilanSocial[[#This Row],[Zone_Bilan]],T_P_BilanSocial[#Data],COLUMN(T_P_BilanSocial[[#This Row],[Numero_SIHAM]]),FALSE),"")</f>
        <v/>
      </c>
      <c r="J160" s="96" t="str">
        <f>IFERROR(VLOOKUP(T_BilanSocial[[#This Row],[Zone_Bilan]],T_P_BilanSocial[#Data],COLUMN(T_P_BilanSocial[[#This Row],[Sexe]]),FALSE),"")</f>
        <v/>
      </c>
      <c r="K160" s="97" t="str">
        <f>IFERROR(VLOOKUP(T_BilanSocial[[#This Row],[Zone_Bilan]],T_P_BilanSocial[#Data],COLUMN(T_P_BilanSocial[[#This Row],[Categorie]]),FALSE),"")</f>
        <v/>
      </c>
      <c r="L160" s="96" t="str">
        <f>IFERROR(VLOOKUP(T_BilanSocial[[#This Row],[Zone_Bilan]],T_P_BilanSocial[#Data],COLUMN(T_P_BilanSocial[[#This Row],[Statut]]),FALSE),"")</f>
        <v/>
      </c>
      <c r="M160" s="96" t="str">
        <f>IFERROR(VLOOKUP(T_BilanSocial[[#This Row],[Zone_Bilan]],T_P_BilanSocial[#Data],COLUMN(T_P_BilanSocial[[#This Row],[Filiere]]),FALSE),"")</f>
        <v/>
      </c>
      <c r="N160" s="96" t="e">
        <f>VLOOKUP(T_BilanSocial[[#This Row],[NumL]],T_TraitDi[#Data],COLUMN(T_TraitDi[EXP]),FALSE)</f>
        <v>#N/A</v>
      </c>
      <c r="O160" s="96" t="e">
        <f>VLOOKUP(T_BilanSocial[[#This Row],[NumL]],T_TraitDi[#Data],COLUMN(T_TraitDi[FORM]),FALSE)</f>
        <v>#N/A</v>
      </c>
      <c r="P160" s="96" t="str">
        <f>IF(T_BilanSocial[[#This Row],[Final]]&lt;&gt;"",VLOOKUP(T_BilanSocial[[#This Row],[NumL]],T_suiviDi[#Data],COLUMN((T_suiviDi[Email])),FALSE),"")</f>
        <v/>
      </c>
      <c r="Q160" s="164" t="e">
        <f t="shared" si="28"/>
        <v>#N/A</v>
      </c>
      <c r="R160" s="164" t="e">
        <f t="shared" si="29"/>
        <v>#N/A</v>
      </c>
      <c r="S160" s="164" t="e">
        <f>IF(VLOOKUP(T_BilanSocial[[#This Row],[NumL]],T_suiviDi[#Data],COLUMN(T_suiviDi[[#This Row],[Service ]]),FALSE)="","",VLOOKUP(T_BilanSocial[[#This Row],[NumL]],T_suiviDi[#Data],COLUMN(T_suiviDi[[#This Row],[Service ]]),FALSE))</f>
        <v>#VALUE!</v>
      </c>
      <c r="T160" s="164" t="str">
        <f t="shared" si="24"/>
        <v>01 septembre 2021</v>
      </c>
      <c r="U160" s="164" t="str">
        <f t="shared" si="25"/>
        <v>30 novembre 2021</v>
      </c>
      <c r="V160" s="164" t="str">
        <f>TEXT(Datebilan,"jj mmmm aaaa")</f>
        <v>30 novembre 2021</v>
      </c>
      <c r="W160" s="176" t="e">
        <f>IF(VLOOKUP(T_BilanSocial[[#This Row],[NumL]],T_TraitDi[#Data],COLUMN(T_TraitDi[[#This Row],[M1]]),FALSE)="","",VLOOKUP(T_BilanSocial[[#This Row],[NumL]],T_TraitDi[#Data],COLUMN(T_TraitDi[[#This Row],[M1]]),FALSE))</f>
        <v>#VALUE!</v>
      </c>
      <c r="X160" s="176" t="e">
        <f>IF(VLOOKUP(T_BilanSocial[[#This Row],[NumL]],T_TraitDi[#Data],COLUMN(T_TraitDi[[#This Row],[M2]]),FALSE)="","",VLOOKUP(T_BilanSocial[[#This Row],[NumL]],T_TraitDi[#Data],COLUMN(T_TraitDi[[#This Row],[M2]]),FALSE))</f>
        <v>#VALUE!</v>
      </c>
      <c r="Y160" s="176" t="e">
        <f>IF(VLOOKUP(T_BilanSocial[[#This Row],[NumL]],T_TraitDi[#Data],COLUMN(T_TraitDi[[#This Row],[M3]]),FALSE)="","",VLOOKUP(T_BilanSocial[[#This Row],[NumL]],T_TraitDi[#Data],COLUMN(T_TraitDi[[#This Row],[M3]]),FALSE))</f>
        <v>#VALUE!</v>
      </c>
      <c r="Z160" s="176" t="str">
        <f t="shared" si="27"/>
        <v/>
      </c>
      <c r="AA160" s="176" t="e">
        <f>IF(VLOOKUP(T_BilanSocial[[#This Row],[NumL]],T_TraitDi[#Data],COLUMN(T_TraitDi[[#This Row],[M5]]),FALSE)="","",VLOOKUP(T_BilanSocial[[#This Row],[NumL]],T_TraitDi[#Data],COLUMN(T_TraitDi[[#This Row],[M5]]),FALSE))</f>
        <v>#VALUE!</v>
      </c>
      <c r="AB160" s="176" t="e">
        <f>IF(VLOOKUP(T_BilanSocial[[#This Row],[NumL]],T_TraitDi[#Data],COLUMN(T_TraitDi[[#This Row],[M6]]),FALSE)="","",VLOOKUP(T_BilanSocial[[#This Row],[NumL]],T_TraitDi[#Data],COLUMN(T_TraitDi[[#This Row],[M6]]),FALSE))</f>
        <v>#VALUE!</v>
      </c>
      <c r="AC160" s="165" t="e">
        <f t="shared" si="26"/>
        <v>#VALUE!</v>
      </c>
      <c r="AD160" s="188" t="str">
        <f>IFERROR(TEXT(VLOOKUP(T_BilanSocial[[#This Row],[NumL]],T_TraitDi[#Data],COLUMN(T_TraitDi[[#This Row],[Q2]]),FALSE),"###%"),"")</f>
        <v/>
      </c>
      <c r="AE160" s="97" t="e">
        <f>VLOOKUP(T_BilanSocial[[#This Row],[NumL]],T_TraitDi[#Data],COLUMN(T_TraitDi[[#This Row],[Reg Ponct]]),FALSE)</f>
        <v>#VALUE!</v>
      </c>
      <c r="AF160" s="97" t="e">
        <f>VLOOKUP(T_BilanSocial[NumL],T_TraitDi[#Data],COLUMN(T_TraitDi[[#This Row],[Jours flottants]]),FALSE)</f>
        <v>#VALUE!</v>
      </c>
      <c r="AG160" s="97" t="str">
        <f>IFERROR(VLOOKUP(T_BilanSocial[[#This Row],[NumL]],T_TraitDi[#Data],COLUMN(T_TraitDi[[#This Row],[Lundi]]),FALSE),"")</f>
        <v/>
      </c>
      <c r="AH160" s="172" t="e">
        <f>IF(VLOOKUP(T_BilanSocial[[#This Row],[NumL]],T_TraitDi[#Data],COLUMN(T_TraitDi[[#This Row],[Colonne3]]),FALSE)=0,"",TEXT(IFERROR(VLOOKUP(T_BilanSocial[[#This Row],[NumL]],T_TraitDi[#Data],COLUMN(T_TraitDi[[#This Row],[Colonne3]]),FALSE),""),"[hh]:mm"))</f>
        <v>#VALUE!</v>
      </c>
      <c r="AI160" s="172" t="e">
        <f>IF(VLOOKUP(T_BilanSocial[[#This Row],[NumL]],T_TraitDi[#Data],COLUMN(T_TraitDi[[#This Row],[Colonne4]]),FALSE)=0,"",TEXT(IFERROR(VLOOKUP(T_BilanSocial[[#This Row],[NumL]],T_TraitDi[#Data],COLUMN(T_TraitDi[[#This Row],[Colonne4]]),FALSE),""),"[hh]:mm"))</f>
        <v>#VALUE!</v>
      </c>
      <c r="AJ160" s="172" t="e">
        <f>IF(VLOOKUP(T_BilanSocial[[#This Row],[NumL]],T_TraitDi[#Data],COLUMN(T_TraitDi[[#This Row],[Colonne5]]),FALSE)=0,"",TEXT(IFERROR(VLOOKUP(T_BilanSocial[[#This Row],[NumL]],T_TraitDi[#Data],COLUMN(T_TraitDi[[#This Row],[Colonne5]]),FALSE),""),"[hh]:mm"))</f>
        <v>#VALUE!</v>
      </c>
      <c r="AK160" s="172" t="e">
        <f>IF(VLOOKUP(T_BilanSocial[[#This Row],[NumL]],T_TraitDi[#Data],COLUMN(T_TraitDi[[#This Row],[Colonne6]]),FALSE)=0,"",TEXT(IFERROR(VLOOKUP(T_BilanSocial[[#This Row],[NumL]],T_TraitDi[#Data],COLUMN(T_TraitDi[[#This Row],[Colonne6]]),FALSE),""),"[hh]:mm"))</f>
        <v>#VALUE!</v>
      </c>
      <c r="AL160" s="172" t="e">
        <f>IF(VLOOKUP(T_BilanSocial[[#This Row],[NumL]],T_TraitDi[#Data],COLUMN(T_TraitDi[[#This Row],[Colonne7]]),FALSE)=0,"",TEXT(IFERROR(VLOOKUP(T_BilanSocial[[#This Row],[NumL]],T_TraitDi[#Data],COLUMN(T_TraitDi[[#This Row],[Colonne7]]),FALSE),""),"[hh]:mm"))</f>
        <v>#VALUE!</v>
      </c>
      <c r="AM160" s="172" t="e">
        <f>IF(VLOOKUP(T_BilanSocial[[#This Row],[NumL]],T_TraitDi[#Data],COLUMN(T_TraitDi[[#This Row],[Colonne8]]),FALSE)=0,"",TEXT(IFERROR(VLOOKUP(T_BilanSocial[[#This Row],[NumL]],T_TraitDi[#Data],COLUMN(T_TraitDi[[#This Row],[Colonne8]]),FALSE),""),"[hh]:mm"))</f>
        <v>#VALUE!</v>
      </c>
      <c r="AN160" s="172" t="str">
        <f>IFERROR(VLOOKUP(T_BilanSocial[[#This Row],[NumL]],T_TraitDi[#Data],COLUMN(T_TraitDi[[#This Row],[Mardi]]),FALSE),"")</f>
        <v/>
      </c>
      <c r="AO160" s="172" t="e">
        <f>IF(VLOOKUP(T_BilanSocial[[#This Row],[NumL]],T_TraitDi[#Data],COLUMN(T_TraitDi[[#This Row],[Colonne1]]),FALSE)=0,"",TEXT(IFERROR(VLOOKUP(T_BilanSocial[[#This Row],[NumL]],T_TraitDi[#Data],COLUMN(T_TraitDi[[#This Row],[Colonne1]]),FALSE),""),"[hh]:mm"))</f>
        <v>#VALUE!</v>
      </c>
      <c r="AP160" s="172" t="e">
        <f>IF(VLOOKUP(T_BilanSocial[[#This Row],[NumL]],T_TraitDi[#Data],COLUMN(T_TraitDi[[#This Row],[Colonne9]]),FALSE)=0,"",TEXT(IFERROR(VLOOKUP(T_BilanSocial[[#This Row],[NumL]],T_TraitDi[#Data],COLUMN(T_TraitDi[[#This Row],[Colonne9]]),FALSE),""),"[hh]:mm"))</f>
        <v>#VALUE!</v>
      </c>
      <c r="AQ160" s="172" t="str">
        <f>IFERROR(VLOOKUP(T_BilanSocial[[#This Row],[NumL]],T_TraitDi[#Data],COLUMN(T_TraitDi[[#This Row],[Colonne10]]),FALSE),"")</f>
        <v/>
      </c>
      <c r="AR160" s="172" t="e">
        <f>IF(VLOOKUP(T_BilanSocial[[#This Row],[NumL]],T_TraitDi[#Data],COLUMN(T_TraitDi[[#This Row],[Colonne11]]),FALSE)=0,"",TEXT(IFERROR(VLOOKUP(T_BilanSocial[[#This Row],[NumL]],T_TraitDi[#Data],COLUMN(T_TraitDi[[#This Row],[Colonne11]]),FALSE),""),"[hh]:mm"))</f>
        <v>#VALUE!</v>
      </c>
      <c r="AS160" s="172" t="e">
        <f>IF(VLOOKUP(T_BilanSocial[[#This Row],[NumL]],T_TraitDi[#Data],COLUMN(T_TraitDi[[#This Row],[Colonne12]]),FALSE)=0,"",TEXT(IFERROR(VLOOKUP(T_BilanSocial[[#This Row],[NumL]],T_TraitDi[#Data],COLUMN(T_TraitDi[[#This Row],[Colonne12]]),FALSE),""),"[hh]:mm"))</f>
        <v>#VALUE!</v>
      </c>
      <c r="AT160" s="172" t="e">
        <f>IF(VLOOKUP(T_BilanSocial[[#This Row],[NumL]],T_TraitDi[#Data],COLUMN(T_TraitDi[[#This Row],[Colonne14]]),FALSE)=0,"",TEXT(IFERROR(VLOOKUP(T_BilanSocial[[#This Row],[NumL]],T_TraitDi[#Data],COLUMN(T_TraitDi[[#This Row],[Colonne14]]),FALSE),""),"[hh]:mm"))</f>
        <v>#VALUE!</v>
      </c>
      <c r="AU160" s="172" t="str">
        <f>IFERROR(VLOOKUP(T_BilanSocial[[#This Row],[NumL]],T_TraitDi[#Data],COLUMN(T_TraitDi[[#This Row],[Mercredi]]),FALSE),"")</f>
        <v/>
      </c>
      <c r="AV160" s="172" t="e">
        <f>IF(VLOOKUP(T_BilanSocial[[#This Row],[NumL]],T_TraitDi[#Data],COLUMN(T_TraitDi[[#This Row],[Colonne15]]),FALSE)=0,"",TEXT(IFERROR(VLOOKUP(T_BilanSocial[[#This Row],[NumL]],T_TraitDi[#Data],COLUMN(T_TraitDi[[#This Row],[Colonne15]]),FALSE),""),"[hh]:mm"))</f>
        <v>#VALUE!</v>
      </c>
      <c r="AW160" s="172" t="e">
        <f>IF(VLOOKUP(T_BilanSocial[[#This Row],[NumL]],T_TraitDi[#Data],COLUMN(T_TraitDi[[#This Row],[Colonne16]]),FALSE)=0,"",TEXT(IFERROR(VLOOKUP(T_BilanSocial[[#This Row],[NumL]],T_TraitDi[#Data],COLUMN(T_TraitDi[[#This Row],[Colonne16]]),FALSE),""),"[hh]:mm"))</f>
        <v>#VALUE!</v>
      </c>
      <c r="AX160" s="172" t="str">
        <f>IFERROR(VLOOKUP(T_BilanSocial[[#This Row],[NumL]],T_TraitDi[#Data],COLUMN(T_TraitDi[[#This Row],[Colonne17]]),FALSE),"")</f>
        <v/>
      </c>
      <c r="AY160" s="172" t="e">
        <f>IF(VLOOKUP(T_BilanSocial[[#This Row],[NumL]],T_TraitDi[#Data],COLUMN(T_TraitDi[[#This Row],[Colonne18]]),FALSE)=0,"",TEXT(IFERROR(VLOOKUP(T_BilanSocial[[#This Row],[NumL]],T_TraitDi[#Data],COLUMN(T_TraitDi[[#This Row],[Colonne18]]),FALSE),""),"[hh]:mm"))</f>
        <v>#VALUE!</v>
      </c>
      <c r="AZ160" s="172" t="e">
        <f>IF(VLOOKUP(T_BilanSocial[[#This Row],[NumL]],T_TraitDi[#Data],COLUMN(T_TraitDi[[#This Row],[Colonne19]]),FALSE)=0,"",TEXT(IFERROR(VLOOKUP(T_BilanSocial[[#This Row],[NumL]],T_TraitDi[#Data],COLUMN(T_TraitDi[[#This Row],[Colonne19]]),FALSE),""),"[hh]:mm"))</f>
        <v>#VALUE!</v>
      </c>
      <c r="BA160" s="172" t="e">
        <f>IF(VLOOKUP(T_BilanSocial[[#This Row],[NumL]],T_TraitDi[#Data],COLUMN(T_TraitDi[[#This Row],[Colonne20]]),FALSE)=0,"",TEXT(IFERROR(VLOOKUP(T_BilanSocial[[#This Row],[NumL]],T_TraitDi[#Data],COLUMN(T_TraitDi[[#This Row],[Colonne20]]),FALSE),""),"[hh]:mm"))</f>
        <v>#VALUE!</v>
      </c>
      <c r="BB160" s="178" t="str">
        <f>IFERROR(VLOOKUP(T_BilanSocial[[#This Row],[NumL]],T_TraitDi[#Data],COLUMN(T_TraitDi[[#This Row],[Jeudi]]),FALSE),"")</f>
        <v/>
      </c>
      <c r="BC160" s="178" t="e">
        <f>IF(VLOOKUP(T_BilanSocial[[#This Row],[NumL]],T_TraitDi[#Data],COLUMN(T_TraitDi[[#This Row],[Colonne21]]),FALSE)=0,"",TEXT(IFERROR(VLOOKUP(T_BilanSocial[[#This Row],[NumL]],T_TraitDi[#Data],COLUMN(T_TraitDi[[#This Row],[Colonne21]]),FALSE),""),"[hh]:mm"))</f>
        <v>#VALUE!</v>
      </c>
      <c r="BD160" s="178" t="e">
        <f>IF(VLOOKUP(T_BilanSocial[[#This Row],[NumL]],T_TraitDi[#Data],COLUMN(T_TraitDi[[#This Row],[Colonne22]]),FALSE)=0,"",TEXT(IFERROR(VLOOKUP(T_BilanSocial[[#This Row],[NumL]],T_TraitDi[#Data],COLUMN(T_TraitDi[[#This Row],[Colonne22]]),FALSE),""),"[hh]:mm"))</f>
        <v>#VALUE!</v>
      </c>
      <c r="BE160" s="178" t="str">
        <f>IFERROR(VLOOKUP(T_BilanSocial[[#This Row],[NumL]],T_TraitDi[#Data],COLUMN(T_TraitDi[[#This Row],[Colonne23]]),FALSE),"")</f>
        <v/>
      </c>
      <c r="BF160" s="178" t="e">
        <f>IF(VLOOKUP(T_BilanSocial[[#This Row],[NumL]],T_TraitDi[#Data],COLUMN(T_TraitDi[[#This Row],[Colonne24]]),FALSE)=0,"",TEXT(IFERROR(VLOOKUP(T_BilanSocial[[#This Row],[NumL]],T_TraitDi[#Data],COLUMN(T_TraitDi[[#This Row],[Colonne24]]),FALSE),""),"[hh]:mm"))</f>
        <v>#VALUE!</v>
      </c>
      <c r="BG160" s="178" t="e">
        <f>IF(VLOOKUP(T_BilanSocial[[#This Row],[NumL]],T_TraitDi[#Data],COLUMN(T_TraitDi[[#This Row],[Colonne25]]),FALSE)=0,"",TEXT(IFERROR(VLOOKUP(T_BilanSocial[[#This Row],[NumL]],T_TraitDi[#Data],COLUMN(T_TraitDi[[#This Row],[Colonne25]]),FALSE),""),"[hh]:mm"))</f>
        <v>#VALUE!</v>
      </c>
      <c r="BH160" s="178" t="e">
        <f>IF(VLOOKUP(T_BilanSocial[[#This Row],[NumL]],T_TraitDi[#Data],COLUMN(T_TraitDi[[#This Row],[Colonne26]]),FALSE)=0,"",TEXT(IFERROR(VLOOKUP(T_BilanSocial[[#This Row],[NumL]],T_TraitDi[#Data],COLUMN(T_TraitDi[[#This Row],[Colonne26]]),FALSE),""),"[hh]:mm"))</f>
        <v>#VALUE!</v>
      </c>
      <c r="BI160" s="172" t="str">
        <f>IFERROR(VLOOKUP(T_BilanSocial[[#This Row],[NumL]],T_TraitDi[#Data],COLUMN(T_TraitDi[[#This Row],[Vendredi]]),FALSE),"")</f>
        <v/>
      </c>
      <c r="BJ160" s="172" t="e">
        <f>IF(VLOOKUP(T_BilanSocial[[#This Row],[NumL]],T_TraitDi[#Data],COLUMN(T_TraitDi[[#This Row],[Colonne27]]),FALSE)=0,"",TEXT(IFERROR(VLOOKUP(T_BilanSocial[[#This Row],[NumL]],T_TraitDi[#Data],COLUMN(T_TraitDi[[#This Row],[Colonne27]]),FALSE),""),"[hh]:mm"))</f>
        <v>#VALUE!</v>
      </c>
      <c r="BK160" s="172" t="e">
        <f>IF(VLOOKUP(T_BilanSocial[[#This Row],[NumL]],T_TraitDi[#Data],COLUMN(T_TraitDi[[#This Row],[Colonne28]]),FALSE)=0,"",TEXT(IFERROR(VLOOKUP(T_BilanSocial[[#This Row],[NumL]],T_TraitDi[#Data],COLUMN(T_TraitDi[[#This Row],[Colonne28]]),FALSE),""),"[hh]:mm"))</f>
        <v>#VALUE!</v>
      </c>
      <c r="BL160" s="172" t="str">
        <f>IFERROR(VLOOKUP(T_BilanSocial[[#This Row],[NumL]],T_TraitDi[#Data],COLUMN(T_TraitDi[[#This Row],[Colonne29]]),FALSE),"")</f>
        <v/>
      </c>
      <c r="BM160" s="172" t="e">
        <f>IF(VLOOKUP(T_BilanSocial[[#This Row],[NumL]],T_TraitDi[#Data],COLUMN(T_TraitDi[[#This Row],[Colonne30]]),FALSE)=0,"",TEXT(IFERROR(VLOOKUP(T_BilanSocial[[#This Row],[NumL]],T_TraitDi[#Data],COLUMN(T_TraitDi[[#This Row],[Colonne30]]),FALSE),""),"[hh]:mm"))</f>
        <v>#VALUE!</v>
      </c>
      <c r="BN160" s="172" t="e">
        <f>IF(VLOOKUP(T_BilanSocial[[#This Row],[NumL]],T_TraitDi[#Data],COLUMN(T_TraitDi[[#This Row],[Colonne31]]),FALSE)=0,"",TEXT(IFERROR(VLOOKUP(T_BilanSocial[[#This Row],[NumL]],T_TraitDi[#Data],COLUMN(T_TraitDi[[#This Row],[Colonne31]]),FALSE),""),"[hh]:mm"))</f>
        <v>#VALUE!</v>
      </c>
      <c r="BO160" s="172" t="e">
        <f>IF(VLOOKUP(T_BilanSocial[[#This Row],[NumL]],T_TraitDi[#Data],COLUMN(T_TraitDi[[#This Row],[Colonne32]]),FALSE)=0,"",TEXT(IFERROR(VLOOKUP(T_BilanSocial[[#This Row],[NumL]],T_TraitDi[#Data],COLUMN(T_TraitDi[[#This Row],[Colonne32]]),FALSE),""),"[hh]:mm"))</f>
        <v>#VALUE!</v>
      </c>
      <c r="BP160" s="172" t="e">
        <f>VLOOKUP(T_BilanSocial[[#This Row],[NumL]],T_TraitDi[#Data],COLUMN(T_TraitDi[NbJTot]),FALSE)</f>
        <v>#N/A</v>
      </c>
      <c r="BQ160" s="174" t="str">
        <f>IFERROR(VLOOKUP(T_BilanSocial[[#This Row],[NumL]],T_TraitDi[#Data],COLUMN(T_TraitDi[[#This Row],[NbJTW]]),FALSE),"")</f>
        <v/>
      </c>
      <c r="BR160" s="174" t="e">
        <f>IF(VLOOKUP(T_BilanSocial[[#This Row],[NumL]],T_TraitDi[#Data],COLUMN(T_TraitDi[[#This Row],[NbhTW]]),FALSE)=0,"",TEXT(IFERROR(VLOOKUP(T_BilanSocial[[#This Row],[NumL]],T_TraitDi[#Data],COLUMN(T_TraitDi[[#This Row],[NbhTW]]),FALSE),""),"[hh]:mm"))</f>
        <v>#VALUE!</v>
      </c>
      <c r="BS160" s="174" t="e">
        <f>IF(VLOOKUP(T_BilanSocial[[#This Row],[NumL]],T_TraitDi[#Data],COLUMN(T_TraitDi[[#This Row],[Nbhheb]]),FALSE)=0,"",TEXT(IFERROR(VLOOKUP($A160,T_TraitDi[#Data],COLUMN(T_TraitDi[[#This Row],[Nbhheb]]),FALSE),""),"[hh]:mm"))</f>
        <v>#VALUE!</v>
      </c>
      <c r="BT160" s="182" t="str">
        <f>IFERROR(VLOOKUP(VLOOKUP($A160,T_TraitDi[#Data],COLUMN(T_TraitDi[[#This Row],[Type1]]),FALSE),TypeTW,2,FALSE),"")</f>
        <v/>
      </c>
      <c r="BU160" s="182" t="str">
        <f>IFERROR(VLOOKUP($A160,T_TraitDi[#Data],COLUMN(T_TraitDi[[#This Row],[Rue1]]),FALSE),"")</f>
        <v/>
      </c>
      <c r="BV160" s="173" t="str">
        <f>IFERROR(VLOOKUP($A160,T_TraitDi[#Data],COLUMN(T_TraitDi[[#This Row],[CP1]]),FALSE),"")</f>
        <v/>
      </c>
      <c r="BW160" s="173" t="str">
        <f>IFERROR(VLOOKUP($A160,T_TraitDi[#Data],COLUMN(T_TraitDi[[#This Row],[VILLE1]]),FALSE),"")</f>
        <v/>
      </c>
      <c r="BX160" s="182" t="str">
        <f>IFERROR(VLOOKUP(VLOOKUP($A160,T_TraitDi[#Data],COLUMN(T_TraitDi[[#This Row],[Type2]]),FALSE),TypeTW,2,FALSE),"")</f>
        <v/>
      </c>
      <c r="BY160" s="182" t="str">
        <f>IFERROR(VLOOKUP($A160,T_TraitDi[#Data],COLUMN(T_TraitDi[[#This Row],[Rue2]]),FALSE),"")</f>
        <v/>
      </c>
      <c r="BZ160" s="173" t="str">
        <f>IFERROR(VLOOKUP($A160,T_TraitDi[#Data],COLUMN(T_TraitDi[[#This Row],[CP2]]),FALSE),"")</f>
        <v/>
      </c>
      <c r="CA160" s="173" t="str">
        <f>IFERROR(VLOOKUP($A160,T_TraitDi[#Data],COLUMN(T_TraitDi[[#This Row],[VILLE2]]),FALSE),"")</f>
        <v/>
      </c>
      <c r="CB160" s="182" t="str">
        <f>IF(VLOOKUP(T_BilanSocial[[#This Row],[NumL]],T_Equipement[#Data],COLUMN(T_Equipement[[#This Row],[PC]]),FALSE)="","Aucun équipement spécifique directement lié au télétravail",VLOOKUP(T_BilanSocial[[#This Row],[NumL]],T_Equipement[#Data],COLUMN(T_Equipement[[#This Row],[PC]]),FALSE))</f>
        <v xml:space="preserve">18-197	</v>
      </c>
      <c r="CC160" s="166" t="str">
        <f>IFERROR(IF(VLOOKUP(T_BilanSocial[[#This Row],[NumL]],T_TraitDi[#Data],COLUMN(T_TraitDi[[#This Row],[Plan]]),FALSE)="OK","Un planning spécifique de télétravail est annexé à la présente convention.",""),"")</f>
        <v/>
      </c>
      <c r="CD160" s="185"/>
      <c r="CE160" s="164" t="e">
        <f>IF(VLOOKUP(T_BilanSocial[[#This Row],[NumL]],T_suiviDi[#Data],COLUMN(T_suiviDi[[#This Row],[Entité]]),FALSE)="","",VLOOKUP(T_BilanSocial[[#This Row],[NumL]],T_suiviDi[#Data],COLUMN(T_suiviDi[[#This Row],[Entité]]),FALSE))</f>
        <v>#VALUE!</v>
      </c>
      <c r="CF160" s="164" t="str">
        <f>IF(VLOOKUP(T_BilanSocial[[#This Row],[NumL]],T_Commission[#Data],COLUMN(T_Commission[[#This Row],[envoi confirm TW]]),FALSE)="","",VLOOKUP(T_BilanSocial[[#This Row],[NumL]],T_Commission[#Data],COLUMN(T_Commission[[#This Row],[envoi confirm TW]]),FALSE))</f>
        <v>Oui</v>
      </c>
      <c r="CG16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0" s="262" t="str">
        <f>T_BilanSocial[[#This Row],[Nom]]&amp;T_BilanSocial[[#This Row],[Prenom]]</f>
        <v/>
      </c>
      <c r="CI160" s="262">
        <f>VLOOKUP(T_BilanSocial[[#This Row],[NumL]],T_Commission[#Data],COLUMN(T_Commission[Commentaire]),FALSE)</f>
        <v>0</v>
      </c>
      <c r="CJ160" s="262" t="str">
        <f>IF(VLOOKUP(T_BilanSocial[[#This Row],[NumL]],T_Commission[#Data],COLUMN(T_Commission[Encadrant Email]),FALSE)="","",VLOOKUP(T_BilanSocial[[#This Row],[NumL]],T_Commission[#Data],COLUMN(T_Commission[Encadrant Email]),FALSE))</f>
        <v/>
      </c>
      <c r="CK160" s="340" t="str">
        <f>IF(T_BilanSocial[[#This Row],[Final]]&lt;&gt;"",VLOOKUP(T_BilanSocial[[#This Row],[NumL]],T_suiviDi[#Data],COLUMN((T_suiviDi[Statut])),FALSE),"")</f>
        <v/>
      </c>
    </row>
    <row r="161" spans="1:89" s="106" customFormat="1" ht="24.75" customHeight="1" x14ac:dyDescent="0.25">
      <c r="A161" s="160">
        <v>158</v>
      </c>
      <c r="B161" s="161" t="str">
        <f t="shared" si="22"/>
        <v/>
      </c>
      <c r="C161" s="162" t="s">
        <v>173</v>
      </c>
      <c r="D161" s="95" t="e">
        <f>IF(VLOOKUP(T_BilanSocial[[#This Row],[NumL]],T_TraitDi[#Data],COLUMN(T_TraitDi[[#This Row],[WebC]]),FALSE)="","",VLOOKUP(T_BilanSocial[[#This Row],[NumL]],T_TraitDi[#Data],COLUMN(T_TraitDi[[#This Row],[WebC]]),FALSE))</f>
        <v>#VALUE!</v>
      </c>
      <c r="E161" s="163" t="str">
        <f t="shared" si="23"/>
        <v>12 janvier 2021</v>
      </c>
      <c r="F161" s="96" t="str">
        <f>IF(T_BilanSocial[[#This Row],[Final]]&lt;&gt;"",VLOOKUP(T_BilanSocial[[#This Row],[NumL]],T_suiviDi[#Data],COLUMN((T_suiviDi[Civ.])),FALSE),"")</f>
        <v/>
      </c>
      <c r="G161" s="96" t="str">
        <f>IF(T_BilanSocial[[#This Row],[Final]]&lt;&gt;"",VLOOKUP(T_BilanSocial[[#This Row],[NumL]],T_suiviDi[#Data],COLUMN((T_suiviDi[Nom])),FALSE),"")</f>
        <v/>
      </c>
      <c r="H161" s="96" t="str">
        <f>IF(T_BilanSocial[[#This Row],[Final]]&lt;&gt;"",VLOOKUP(T_BilanSocial[[#This Row],[NumL]],T_suiviDi[#Data],COLUMN((T_suiviDi[Prénom])),FALSE),"")</f>
        <v/>
      </c>
      <c r="I161" s="96" t="str">
        <f>IFERROR(VLOOKUP(T_BilanSocial[[#This Row],[Zone_Bilan]],T_P_BilanSocial[#Data],COLUMN(T_P_BilanSocial[[#This Row],[Numero_SIHAM]]),FALSE),"")</f>
        <v/>
      </c>
      <c r="J161" s="96" t="str">
        <f>IFERROR(VLOOKUP(T_BilanSocial[[#This Row],[Zone_Bilan]],T_P_BilanSocial[#Data],COLUMN(T_P_BilanSocial[[#This Row],[Sexe]]),FALSE),"")</f>
        <v/>
      </c>
      <c r="K161" s="97" t="str">
        <f>IFERROR(VLOOKUP(T_BilanSocial[[#This Row],[Zone_Bilan]],T_P_BilanSocial[#Data],COLUMN(T_P_BilanSocial[[#This Row],[Categorie]]),FALSE),"")</f>
        <v/>
      </c>
      <c r="L161" s="96" t="str">
        <f>IFERROR(VLOOKUP(T_BilanSocial[[#This Row],[Zone_Bilan]],T_P_BilanSocial[#Data],COLUMN(T_P_BilanSocial[[#This Row],[Statut]]),FALSE),"")</f>
        <v/>
      </c>
      <c r="M161" s="96" t="str">
        <f>IFERROR(VLOOKUP(T_BilanSocial[[#This Row],[Zone_Bilan]],T_P_BilanSocial[#Data],COLUMN(T_P_BilanSocial[[#This Row],[Filiere]]),FALSE),"")</f>
        <v/>
      </c>
      <c r="N161" s="96" t="e">
        <f>VLOOKUP(T_BilanSocial[[#This Row],[NumL]],T_TraitDi[#Data],COLUMN(T_TraitDi[EXP]),FALSE)</f>
        <v>#N/A</v>
      </c>
      <c r="O161" s="96" t="e">
        <f>VLOOKUP(T_BilanSocial[[#This Row],[NumL]],T_TraitDi[#Data],COLUMN(T_TraitDi[FORM]),FALSE)</f>
        <v>#N/A</v>
      </c>
      <c r="P161" s="96" t="str">
        <f>IF(T_BilanSocial[[#This Row],[Final]]&lt;&gt;"",VLOOKUP(T_BilanSocial[[#This Row],[NumL]],T_suiviDi[#Data],COLUMN((T_suiviDi[Email])),FALSE),"")</f>
        <v/>
      </c>
      <c r="Q161" s="164" t="e">
        <f t="shared" si="28"/>
        <v>#N/A</v>
      </c>
      <c r="R161" s="164" t="e">
        <f t="shared" si="29"/>
        <v>#N/A</v>
      </c>
      <c r="S161" s="164" t="e">
        <f>IF(VLOOKUP(T_BilanSocial[[#This Row],[NumL]],T_suiviDi[#Data],COLUMN(T_suiviDi[[#This Row],[Service ]]),FALSE)="","",VLOOKUP(T_BilanSocial[[#This Row],[NumL]],T_suiviDi[#Data],COLUMN(T_suiviDi[[#This Row],[Service ]]),FALSE))</f>
        <v>#VALUE!</v>
      </c>
      <c r="T161" s="164" t="str">
        <f t="shared" si="24"/>
        <v>01 septembre 2021</v>
      </c>
      <c r="U161" s="164" t="str">
        <f t="shared" si="25"/>
        <v>30 novembre 2021</v>
      </c>
      <c r="V161" s="164" t="str">
        <f>TEXT(Datebilan,"jj mmmm aaaa")</f>
        <v>30 novembre 2021</v>
      </c>
      <c r="W161" s="176" t="e">
        <f>IF(VLOOKUP(T_BilanSocial[[#This Row],[NumL]],T_TraitDi[#Data],COLUMN(T_TraitDi[[#This Row],[M1]]),FALSE)="","",VLOOKUP(T_BilanSocial[[#This Row],[NumL]],T_TraitDi[#Data],COLUMN(T_TraitDi[[#This Row],[M1]]),FALSE))</f>
        <v>#VALUE!</v>
      </c>
      <c r="X161" s="176" t="e">
        <f>IF(VLOOKUP(T_BilanSocial[[#This Row],[NumL]],T_TraitDi[#Data],COLUMN(T_TraitDi[[#This Row],[M2]]),FALSE)="","",VLOOKUP(T_BilanSocial[[#This Row],[NumL]],T_TraitDi[#Data],COLUMN(T_TraitDi[[#This Row],[M2]]),FALSE))</f>
        <v>#VALUE!</v>
      </c>
      <c r="Y161" s="176" t="e">
        <f>IF(VLOOKUP(T_BilanSocial[[#This Row],[NumL]],T_TraitDi[#Data],COLUMN(T_TraitDi[[#This Row],[M3]]),FALSE)="","",VLOOKUP(T_BilanSocial[[#This Row],[NumL]],T_TraitDi[#Data],COLUMN(T_TraitDi[[#This Row],[M3]]),FALSE))</f>
        <v>#VALUE!</v>
      </c>
      <c r="Z161" s="176" t="str">
        <f t="shared" si="27"/>
        <v/>
      </c>
      <c r="AA161" s="176" t="e">
        <f>IF(VLOOKUP(T_BilanSocial[[#This Row],[NumL]],T_TraitDi[#Data],COLUMN(T_TraitDi[[#This Row],[M5]]),FALSE)="","",VLOOKUP(T_BilanSocial[[#This Row],[NumL]],T_TraitDi[#Data],COLUMN(T_TraitDi[[#This Row],[M5]]),FALSE))</f>
        <v>#VALUE!</v>
      </c>
      <c r="AB161" s="176" t="e">
        <f>IF(VLOOKUP(T_BilanSocial[[#This Row],[NumL]],T_TraitDi[#Data],COLUMN(T_TraitDi[[#This Row],[M6]]),FALSE)="","",VLOOKUP(T_BilanSocial[[#This Row],[NumL]],T_TraitDi[#Data],COLUMN(T_TraitDi[[#This Row],[M6]]),FALSE))</f>
        <v>#VALUE!</v>
      </c>
      <c r="AC161" s="165" t="e">
        <f t="shared" si="26"/>
        <v>#VALUE!</v>
      </c>
      <c r="AD161" s="188" t="str">
        <f>IFERROR(TEXT(VLOOKUP(T_BilanSocial[[#This Row],[NumL]],T_TraitDi[#Data],COLUMN(T_TraitDi[[#This Row],[Q2]]),FALSE),"###%"),"")</f>
        <v/>
      </c>
      <c r="AE161" s="97" t="e">
        <f>VLOOKUP(T_BilanSocial[[#This Row],[NumL]],T_TraitDi[#Data],COLUMN(T_TraitDi[[#This Row],[Reg Ponct]]),FALSE)</f>
        <v>#VALUE!</v>
      </c>
      <c r="AF161" s="97" t="e">
        <f>VLOOKUP(T_BilanSocial[NumL],T_TraitDi[#Data],COLUMN(T_TraitDi[[#This Row],[Jours flottants]]),FALSE)</f>
        <v>#VALUE!</v>
      </c>
      <c r="AG161" s="97" t="str">
        <f>IFERROR(VLOOKUP(T_BilanSocial[[#This Row],[NumL]],T_TraitDi[#Data],COLUMN(T_TraitDi[[#This Row],[Lundi]]),FALSE),"")</f>
        <v/>
      </c>
      <c r="AH161" s="172" t="e">
        <f>IF(VLOOKUP(T_BilanSocial[[#This Row],[NumL]],T_TraitDi[#Data],COLUMN(T_TraitDi[[#This Row],[Colonne3]]),FALSE)=0,"",TEXT(IFERROR(VLOOKUP(T_BilanSocial[[#This Row],[NumL]],T_TraitDi[#Data],COLUMN(T_TraitDi[[#This Row],[Colonne3]]),FALSE),""),"[hh]:mm"))</f>
        <v>#VALUE!</v>
      </c>
      <c r="AI161" s="172" t="e">
        <f>IF(VLOOKUP(T_BilanSocial[[#This Row],[NumL]],T_TraitDi[#Data],COLUMN(T_TraitDi[[#This Row],[Colonne4]]),FALSE)=0,"",TEXT(IFERROR(VLOOKUP(T_BilanSocial[[#This Row],[NumL]],T_TraitDi[#Data],COLUMN(T_TraitDi[[#This Row],[Colonne4]]),FALSE),""),"[hh]:mm"))</f>
        <v>#VALUE!</v>
      </c>
      <c r="AJ161" s="172" t="e">
        <f>IF(VLOOKUP(T_BilanSocial[[#This Row],[NumL]],T_TraitDi[#Data],COLUMN(T_TraitDi[[#This Row],[Colonne5]]),FALSE)=0,"",TEXT(IFERROR(VLOOKUP(T_BilanSocial[[#This Row],[NumL]],T_TraitDi[#Data],COLUMN(T_TraitDi[[#This Row],[Colonne5]]),FALSE),""),"[hh]:mm"))</f>
        <v>#VALUE!</v>
      </c>
      <c r="AK161" s="172" t="e">
        <f>IF(VLOOKUP(T_BilanSocial[[#This Row],[NumL]],T_TraitDi[#Data],COLUMN(T_TraitDi[[#This Row],[Colonne6]]),FALSE)=0,"",TEXT(IFERROR(VLOOKUP(T_BilanSocial[[#This Row],[NumL]],T_TraitDi[#Data],COLUMN(T_TraitDi[[#This Row],[Colonne6]]),FALSE),""),"[hh]:mm"))</f>
        <v>#VALUE!</v>
      </c>
      <c r="AL161" s="172" t="e">
        <f>IF(VLOOKUP(T_BilanSocial[[#This Row],[NumL]],T_TraitDi[#Data],COLUMN(T_TraitDi[[#This Row],[Colonne7]]),FALSE)=0,"",TEXT(IFERROR(VLOOKUP(T_BilanSocial[[#This Row],[NumL]],T_TraitDi[#Data],COLUMN(T_TraitDi[[#This Row],[Colonne7]]),FALSE),""),"[hh]:mm"))</f>
        <v>#VALUE!</v>
      </c>
      <c r="AM161" s="172" t="e">
        <f>IF(VLOOKUP(T_BilanSocial[[#This Row],[NumL]],T_TraitDi[#Data],COLUMN(T_TraitDi[[#This Row],[Colonne8]]),FALSE)=0,"",TEXT(IFERROR(VLOOKUP(T_BilanSocial[[#This Row],[NumL]],T_TraitDi[#Data],COLUMN(T_TraitDi[[#This Row],[Colonne8]]),FALSE),""),"[hh]:mm"))</f>
        <v>#VALUE!</v>
      </c>
      <c r="AN161" s="172" t="str">
        <f>IFERROR(VLOOKUP(T_BilanSocial[[#This Row],[NumL]],T_TraitDi[#Data],COLUMN(T_TraitDi[[#This Row],[Mardi]]),FALSE),"")</f>
        <v/>
      </c>
      <c r="AO161" s="172" t="e">
        <f>IF(VLOOKUP(T_BilanSocial[[#This Row],[NumL]],T_TraitDi[#Data],COLUMN(T_TraitDi[[#This Row],[Colonne1]]),FALSE)=0,"",TEXT(IFERROR(VLOOKUP(T_BilanSocial[[#This Row],[NumL]],T_TraitDi[#Data],COLUMN(T_TraitDi[[#This Row],[Colonne1]]),FALSE),""),"[hh]:mm"))</f>
        <v>#VALUE!</v>
      </c>
      <c r="AP161" s="172" t="e">
        <f>IF(VLOOKUP(T_BilanSocial[[#This Row],[NumL]],T_TraitDi[#Data],COLUMN(T_TraitDi[[#This Row],[Colonne9]]),FALSE)=0,"",TEXT(IFERROR(VLOOKUP(T_BilanSocial[[#This Row],[NumL]],T_TraitDi[#Data],COLUMN(T_TraitDi[[#This Row],[Colonne9]]),FALSE),""),"[hh]:mm"))</f>
        <v>#VALUE!</v>
      </c>
      <c r="AQ161" s="172" t="str">
        <f>IFERROR(VLOOKUP(T_BilanSocial[[#This Row],[NumL]],T_TraitDi[#Data],COLUMN(T_TraitDi[[#This Row],[Colonne10]]),FALSE),"")</f>
        <v/>
      </c>
      <c r="AR161" s="172" t="e">
        <f>IF(VLOOKUP(T_BilanSocial[[#This Row],[NumL]],T_TraitDi[#Data],COLUMN(T_TraitDi[[#This Row],[Colonne11]]),FALSE)=0,"",TEXT(IFERROR(VLOOKUP(T_BilanSocial[[#This Row],[NumL]],T_TraitDi[#Data],COLUMN(T_TraitDi[[#This Row],[Colonne11]]),FALSE),""),"[hh]:mm"))</f>
        <v>#VALUE!</v>
      </c>
      <c r="AS161" s="172" t="e">
        <f>IF(VLOOKUP(T_BilanSocial[[#This Row],[NumL]],T_TraitDi[#Data],COLUMN(T_TraitDi[[#This Row],[Colonne12]]),FALSE)=0,"",TEXT(IFERROR(VLOOKUP(T_BilanSocial[[#This Row],[NumL]],T_TraitDi[#Data],COLUMN(T_TraitDi[[#This Row],[Colonne12]]),FALSE),""),"[hh]:mm"))</f>
        <v>#VALUE!</v>
      </c>
      <c r="AT161" s="172" t="e">
        <f>IF(VLOOKUP(T_BilanSocial[[#This Row],[NumL]],T_TraitDi[#Data],COLUMN(T_TraitDi[[#This Row],[Colonne14]]),FALSE)=0,"",TEXT(IFERROR(VLOOKUP(T_BilanSocial[[#This Row],[NumL]],T_TraitDi[#Data],COLUMN(T_TraitDi[[#This Row],[Colonne14]]),FALSE),""),"[hh]:mm"))</f>
        <v>#VALUE!</v>
      </c>
      <c r="AU161" s="172" t="str">
        <f>IFERROR(VLOOKUP(T_BilanSocial[[#This Row],[NumL]],T_TraitDi[#Data],COLUMN(T_TraitDi[[#This Row],[Mercredi]]),FALSE),"")</f>
        <v/>
      </c>
      <c r="AV161" s="172" t="e">
        <f>IF(VLOOKUP(T_BilanSocial[[#This Row],[NumL]],T_TraitDi[#Data],COLUMN(T_TraitDi[[#This Row],[Colonne15]]),FALSE)=0,"",TEXT(IFERROR(VLOOKUP(T_BilanSocial[[#This Row],[NumL]],T_TraitDi[#Data],COLUMN(T_TraitDi[[#This Row],[Colonne15]]),FALSE),""),"[hh]:mm"))</f>
        <v>#VALUE!</v>
      </c>
      <c r="AW161" s="172" t="e">
        <f>IF(VLOOKUP(T_BilanSocial[[#This Row],[NumL]],T_TraitDi[#Data],COLUMN(T_TraitDi[[#This Row],[Colonne16]]),FALSE)=0,"",TEXT(IFERROR(VLOOKUP(T_BilanSocial[[#This Row],[NumL]],T_TraitDi[#Data],COLUMN(T_TraitDi[[#This Row],[Colonne16]]),FALSE),""),"[hh]:mm"))</f>
        <v>#VALUE!</v>
      </c>
      <c r="AX161" s="172" t="str">
        <f>IFERROR(VLOOKUP(T_BilanSocial[[#This Row],[NumL]],T_TraitDi[#Data],COLUMN(T_TraitDi[[#This Row],[Colonne17]]),FALSE),"")</f>
        <v/>
      </c>
      <c r="AY161" s="172" t="e">
        <f>IF(VLOOKUP(T_BilanSocial[[#This Row],[NumL]],T_TraitDi[#Data],COLUMN(T_TraitDi[[#This Row],[Colonne18]]),FALSE)=0,"",TEXT(IFERROR(VLOOKUP(T_BilanSocial[[#This Row],[NumL]],T_TraitDi[#Data],COLUMN(T_TraitDi[[#This Row],[Colonne18]]),FALSE),""),"[hh]:mm"))</f>
        <v>#VALUE!</v>
      </c>
      <c r="AZ161" s="172" t="e">
        <f>IF(VLOOKUP(T_BilanSocial[[#This Row],[NumL]],T_TraitDi[#Data],COLUMN(T_TraitDi[[#This Row],[Colonne19]]),FALSE)=0,"",TEXT(IFERROR(VLOOKUP(T_BilanSocial[[#This Row],[NumL]],T_TraitDi[#Data],COLUMN(T_TraitDi[[#This Row],[Colonne19]]),FALSE),""),"[hh]:mm"))</f>
        <v>#VALUE!</v>
      </c>
      <c r="BA161" s="172" t="e">
        <f>IF(VLOOKUP(T_BilanSocial[[#This Row],[NumL]],T_TraitDi[#Data],COLUMN(T_TraitDi[[#This Row],[Colonne20]]),FALSE)=0,"",TEXT(IFERROR(VLOOKUP(T_BilanSocial[[#This Row],[NumL]],T_TraitDi[#Data],COLUMN(T_TraitDi[[#This Row],[Colonne20]]),FALSE),""),"[hh]:mm"))</f>
        <v>#VALUE!</v>
      </c>
      <c r="BB161" s="178" t="str">
        <f>IFERROR(VLOOKUP(T_BilanSocial[[#This Row],[NumL]],T_TraitDi[#Data],COLUMN(T_TraitDi[[#This Row],[Jeudi]]),FALSE),"")</f>
        <v/>
      </c>
      <c r="BC161" s="178" t="e">
        <f>IF(VLOOKUP(T_BilanSocial[[#This Row],[NumL]],T_TraitDi[#Data],COLUMN(T_TraitDi[[#This Row],[Colonne21]]),FALSE)=0,"",TEXT(IFERROR(VLOOKUP(T_BilanSocial[[#This Row],[NumL]],T_TraitDi[#Data],COLUMN(T_TraitDi[[#This Row],[Colonne21]]),FALSE),""),"[hh]:mm"))</f>
        <v>#VALUE!</v>
      </c>
      <c r="BD161" s="178" t="e">
        <f>IF(VLOOKUP(T_BilanSocial[[#This Row],[NumL]],T_TraitDi[#Data],COLUMN(T_TraitDi[[#This Row],[Colonne22]]),FALSE)=0,"",TEXT(IFERROR(VLOOKUP(T_BilanSocial[[#This Row],[NumL]],T_TraitDi[#Data],COLUMN(T_TraitDi[[#This Row],[Colonne22]]),FALSE),""),"[hh]:mm"))</f>
        <v>#VALUE!</v>
      </c>
      <c r="BE161" s="178" t="str">
        <f>IFERROR(VLOOKUP(T_BilanSocial[[#This Row],[NumL]],T_TraitDi[#Data],COLUMN(T_TraitDi[[#This Row],[Colonne23]]),FALSE),"")</f>
        <v/>
      </c>
      <c r="BF161" s="178" t="e">
        <f>IF(VLOOKUP(T_BilanSocial[[#This Row],[NumL]],T_TraitDi[#Data],COLUMN(T_TraitDi[[#This Row],[Colonne24]]),FALSE)=0,"",TEXT(IFERROR(VLOOKUP(T_BilanSocial[[#This Row],[NumL]],T_TraitDi[#Data],COLUMN(T_TraitDi[[#This Row],[Colonne24]]),FALSE),""),"[hh]:mm"))</f>
        <v>#VALUE!</v>
      </c>
      <c r="BG161" s="178" t="e">
        <f>IF(VLOOKUP(T_BilanSocial[[#This Row],[NumL]],T_TraitDi[#Data],COLUMN(T_TraitDi[[#This Row],[Colonne25]]),FALSE)=0,"",TEXT(IFERROR(VLOOKUP(T_BilanSocial[[#This Row],[NumL]],T_TraitDi[#Data],COLUMN(T_TraitDi[[#This Row],[Colonne25]]),FALSE),""),"[hh]:mm"))</f>
        <v>#VALUE!</v>
      </c>
      <c r="BH161" s="178" t="e">
        <f>IF(VLOOKUP(T_BilanSocial[[#This Row],[NumL]],T_TraitDi[#Data],COLUMN(T_TraitDi[[#This Row],[Colonne26]]),FALSE)=0,"",TEXT(IFERROR(VLOOKUP(T_BilanSocial[[#This Row],[NumL]],T_TraitDi[#Data],COLUMN(T_TraitDi[[#This Row],[Colonne26]]),FALSE),""),"[hh]:mm"))</f>
        <v>#VALUE!</v>
      </c>
      <c r="BI161" s="172" t="str">
        <f>IFERROR(VLOOKUP(T_BilanSocial[[#This Row],[NumL]],T_TraitDi[#Data],COLUMN(T_TraitDi[[#This Row],[Vendredi]]),FALSE),"")</f>
        <v/>
      </c>
      <c r="BJ161" s="172" t="e">
        <f>IF(VLOOKUP(T_BilanSocial[[#This Row],[NumL]],T_TraitDi[#Data],COLUMN(T_TraitDi[[#This Row],[Colonne27]]),FALSE)=0,"",TEXT(IFERROR(VLOOKUP(T_BilanSocial[[#This Row],[NumL]],T_TraitDi[#Data],COLUMN(T_TraitDi[[#This Row],[Colonne27]]),FALSE),""),"[hh]:mm"))</f>
        <v>#VALUE!</v>
      </c>
      <c r="BK161" s="172" t="e">
        <f>IF(VLOOKUP(T_BilanSocial[[#This Row],[NumL]],T_TraitDi[#Data],COLUMN(T_TraitDi[[#This Row],[Colonne28]]),FALSE)=0,"",TEXT(IFERROR(VLOOKUP(T_BilanSocial[[#This Row],[NumL]],T_TraitDi[#Data],COLUMN(T_TraitDi[[#This Row],[Colonne28]]),FALSE),""),"[hh]:mm"))</f>
        <v>#VALUE!</v>
      </c>
      <c r="BL161" s="172" t="str">
        <f>IFERROR(VLOOKUP(T_BilanSocial[[#This Row],[NumL]],T_TraitDi[#Data],COLUMN(T_TraitDi[[#This Row],[Colonne29]]),FALSE),"")</f>
        <v/>
      </c>
      <c r="BM161" s="172" t="e">
        <f>IF(VLOOKUP(T_BilanSocial[[#This Row],[NumL]],T_TraitDi[#Data],COLUMN(T_TraitDi[[#This Row],[Colonne30]]),FALSE)=0,"",TEXT(IFERROR(VLOOKUP(T_BilanSocial[[#This Row],[NumL]],T_TraitDi[#Data],COLUMN(T_TraitDi[[#This Row],[Colonne30]]),FALSE),""),"[hh]:mm"))</f>
        <v>#VALUE!</v>
      </c>
      <c r="BN161" s="172" t="e">
        <f>IF(VLOOKUP(T_BilanSocial[[#This Row],[NumL]],T_TraitDi[#Data],COLUMN(T_TraitDi[[#This Row],[Colonne31]]),FALSE)=0,"",TEXT(IFERROR(VLOOKUP(T_BilanSocial[[#This Row],[NumL]],T_TraitDi[#Data],COLUMN(T_TraitDi[[#This Row],[Colonne31]]),FALSE),""),"[hh]:mm"))</f>
        <v>#VALUE!</v>
      </c>
      <c r="BO161" s="172" t="e">
        <f>IF(VLOOKUP(T_BilanSocial[[#This Row],[NumL]],T_TraitDi[#Data],COLUMN(T_TraitDi[[#This Row],[Colonne32]]),FALSE)=0,"",TEXT(IFERROR(VLOOKUP(T_BilanSocial[[#This Row],[NumL]],T_TraitDi[#Data],COLUMN(T_TraitDi[[#This Row],[Colonne32]]),FALSE),""),"[hh]:mm"))</f>
        <v>#VALUE!</v>
      </c>
      <c r="BP161" s="172" t="e">
        <f>VLOOKUP(T_BilanSocial[[#This Row],[NumL]],T_TraitDi[#Data],COLUMN(T_TraitDi[NbJTot]),FALSE)</f>
        <v>#N/A</v>
      </c>
      <c r="BQ161" s="174" t="str">
        <f>IFERROR(VLOOKUP(T_BilanSocial[[#This Row],[NumL]],T_TraitDi[#Data],COLUMN(T_TraitDi[[#This Row],[NbJTW]]),FALSE),"")</f>
        <v/>
      </c>
      <c r="BR161" s="174" t="e">
        <f>IF(VLOOKUP(T_BilanSocial[[#This Row],[NumL]],T_TraitDi[#Data],COLUMN(T_TraitDi[[#This Row],[NbhTW]]),FALSE)=0,"",TEXT(IFERROR(VLOOKUP(T_BilanSocial[[#This Row],[NumL]],T_TraitDi[#Data],COLUMN(T_TraitDi[[#This Row],[NbhTW]]),FALSE),""),"[hh]:mm"))</f>
        <v>#VALUE!</v>
      </c>
      <c r="BS161" s="174" t="e">
        <f>IF(VLOOKUP(T_BilanSocial[[#This Row],[NumL]],T_TraitDi[#Data],COLUMN(T_TraitDi[[#This Row],[Nbhheb]]),FALSE)=0,"",TEXT(IFERROR(VLOOKUP($A161,T_TraitDi[#Data],COLUMN(T_TraitDi[[#This Row],[Nbhheb]]),FALSE),""),"[hh]:mm"))</f>
        <v>#VALUE!</v>
      </c>
      <c r="BT161" s="182" t="str">
        <f>IFERROR(VLOOKUP(VLOOKUP($A161,T_TraitDi[#Data],COLUMN(T_TraitDi[[#This Row],[Type1]]),FALSE),TypeTW,2,FALSE),"")</f>
        <v/>
      </c>
      <c r="BU161" s="182" t="str">
        <f>IFERROR(VLOOKUP($A161,T_TraitDi[#Data],COLUMN(T_TraitDi[[#This Row],[Rue1]]),FALSE),"")</f>
        <v/>
      </c>
      <c r="BV161" s="173" t="str">
        <f>IFERROR(VLOOKUP($A161,T_TraitDi[#Data],COLUMN(T_TraitDi[[#This Row],[CP1]]),FALSE),"")</f>
        <v/>
      </c>
      <c r="BW161" s="173" t="str">
        <f>IFERROR(VLOOKUP($A161,T_TraitDi[#Data],COLUMN(T_TraitDi[[#This Row],[VILLE1]]),FALSE),"")</f>
        <v/>
      </c>
      <c r="BX161" s="182" t="str">
        <f>IFERROR(VLOOKUP(VLOOKUP($A161,T_TraitDi[#Data],COLUMN(T_TraitDi[[#This Row],[Type2]]),FALSE),TypeTW,2,FALSE),"")</f>
        <v/>
      </c>
      <c r="BY161" s="182" t="str">
        <f>IFERROR(VLOOKUP($A161,T_TraitDi[#Data],COLUMN(T_TraitDi[[#This Row],[Rue2]]),FALSE),"")</f>
        <v/>
      </c>
      <c r="BZ161" s="173" t="str">
        <f>IFERROR(VLOOKUP($A161,T_TraitDi[#Data],COLUMN(T_TraitDi[[#This Row],[CP2]]),FALSE),"")</f>
        <v/>
      </c>
      <c r="CA161" s="173" t="str">
        <f>IFERROR(VLOOKUP($A161,T_TraitDi[#Data],COLUMN(T_TraitDi[[#This Row],[VILLE2]]),FALSE),"")</f>
        <v/>
      </c>
      <c r="CB161" s="182" t="str">
        <f>IF(VLOOKUP(T_BilanSocial[[#This Row],[NumL]],T_Equipement[#Data],COLUMN(T_Equipement[[#This Row],[PC]]),FALSE)="","Aucun équipement spécifique directement lié au télétravail",VLOOKUP(T_BilanSocial[[#This Row],[NumL]],T_Equipement[#Data],COLUMN(T_Equipement[[#This Row],[PC]]),FALSE))</f>
        <v>13-807	 mac</v>
      </c>
      <c r="CC161" s="166" t="str">
        <f>IFERROR(IF(VLOOKUP(T_BilanSocial[[#This Row],[NumL]],T_TraitDi[#Data],COLUMN(T_TraitDi[[#This Row],[Plan]]),FALSE)="OK","Un planning spécifique de télétravail est annexé à la présente convention.",""),"")</f>
        <v/>
      </c>
      <c r="CD161" s="258" t="s">
        <v>3385</v>
      </c>
      <c r="CE161" s="164" t="e">
        <f>IF(VLOOKUP(T_BilanSocial[[#This Row],[NumL]],T_suiviDi[#Data],COLUMN(T_suiviDi[[#This Row],[Entité]]),FALSE)="","",VLOOKUP(T_BilanSocial[[#This Row],[NumL]],T_suiviDi[#Data],COLUMN(T_suiviDi[[#This Row],[Entité]]),FALSE))</f>
        <v>#VALUE!</v>
      </c>
      <c r="CF161" s="164" t="str">
        <f>IF(VLOOKUP(T_BilanSocial[[#This Row],[NumL]],T_Commission[#Data],COLUMN(T_Commission[[#This Row],[envoi confirm TW]]),FALSE)="","",VLOOKUP(T_BilanSocial[[#This Row],[NumL]],T_Commission[#Data],COLUMN(T_Commission[[#This Row],[envoi confirm TW]]),FALSE))</f>
        <v>Oui</v>
      </c>
      <c r="CG16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1" s="262" t="str">
        <f>T_BilanSocial[[#This Row],[Nom]]&amp;T_BilanSocial[[#This Row],[Prenom]]</f>
        <v/>
      </c>
      <c r="CI161" s="262">
        <f>VLOOKUP(T_BilanSocial[[#This Row],[NumL]],T_Commission[#Data],COLUMN(T_Commission[Commentaire]),FALSE)</f>
        <v>0</v>
      </c>
      <c r="CJ161" s="262" t="str">
        <f>IF(VLOOKUP(T_BilanSocial[[#This Row],[NumL]],T_Commission[#Data],COLUMN(T_Commission[Encadrant Email]),FALSE)="","",VLOOKUP(T_BilanSocial[[#This Row],[NumL]],T_Commission[#Data],COLUMN(T_Commission[Encadrant Email]),FALSE))</f>
        <v/>
      </c>
      <c r="CK161" s="340" t="str">
        <f>IF(T_BilanSocial[[#This Row],[Final]]&lt;&gt;"",VLOOKUP(T_BilanSocial[[#This Row],[NumL]],T_suiviDi[#Data],COLUMN((T_suiviDi[Statut])),FALSE),"")</f>
        <v/>
      </c>
    </row>
    <row r="162" spans="1:89" s="106" customFormat="1" ht="24.75" customHeight="1" x14ac:dyDescent="0.25">
      <c r="A162" s="160">
        <v>159</v>
      </c>
      <c r="B162" s="161" t="e">
        <f t="shared" si="22"/>
        <v>#N/A</v>
      </c>
      <c r="C162" s="162" t="s">
        <v>173</v>
      </c>
      <c r="D162" s="95" t="e">
        <f>IF(VLOOKUP(T_BilanSocial[[#This Row],[NumL]],T_TraitDi[#Data],COLUMN(T_TraitDi[[#This Row],[WebC]]),FALSE)="","",VLOOKUP(T_BilanSocial[[#This Row],[NumL]],T_TraitDi[#Data],COLUMN(T_TraitDi[[#This Row],[WebC]]),FALSE))</f>
        <v>#VALUE!</v>
      </c>
      <c r="E162" s="163" t="str">
        <f t="shared" si="23"/>
        <v>12 janvier 2021</v>
      </c>
      <c r="F162" s="96" t="e">
        <f>IF(T_BilanSocial[[#This Row],[Final]]&lt;&gt;"",VLOOKUP(T_BilanSocial[[#This Row],[NumL]],T_suiviDi[#Data],COLUMN((T_suiviDi[Civ.])),FALSE),"")</f>
        <v>#N/A</v>
      </c>
      <c r="G162" s="96" t="e">
        <f>IF(T_BilanSocial[[#This Row],[Final]]&lt;&gt;"",VLOOKUP(T_BilanSocial[[#This Row],[NumL]],T_suiviDi[#Data],COLUMN((T_suiviDi[Nom])),FALSE),"")</f>
        <v>#N/A</v>
      </c>
      <c r="H162" s="96" t="e">
        <f>IF(T_BilanSocial[[#This Row],[Final]]&lt;&gt;"",VLOOKUP(T_BilanSocial[[#This Row],[NumL]],T_suiviDi[#Data],COLUMN((T_suiviDi[Prénom])),FALSE),"")</f>
        <v>#N/A</v>
      </c>
      <c r="I162" s="96" t="str">
        <f>IFERROR(VLOOKUP(T_BilanSocial[[#This Row],[Zone_Bilan]],T_P_BilanSocial[#Data],COLUMN(T_P_BilanSocial[[#This Row],[Numero_SIHAM]]),FALSE),"")</f>
        <v/>
      </c>
      <c r="J162" s="96" t="str">
        <f>IFERROR(VLOOKUP(T_BilanSocial[[#This Row],[Zone_Bilan]],T_P_BilanSocial[#Data],COLUMN(T_P_BilanSocial[[#This Row],[Sexe]]),FALSE),"")</f>
        <v/>
      </c>
      <c r="K162" s="97" t="str">
        <f>IFERROR(VLOOKUP(T_BilanSocial[[#This Row],[Zone_Bilan]],T_P_BilanSocial[#Data],COLUMN(T_P_BilanSocial[[#This Row],[Categorie]]),FALSE),"")</f>
        <v/>
      </c>
      <c r="L162" s="96" t="str">
        <f>IFERROR(VLOOKUP(T_BilanSocial[[#This Row],[Zone_Bilan]],T_P_BilanSocial[#Data],COLUMN(T_P_BilanSocial[[#This Row],[Statut]]),FALSE),"")</f>
        <v/>
      </c>
      <c r="M162" s="96" t="str">
        <f>IFERROR(VLOOKUP(T_BilanSocial[[#This Row],[Zone_Bilan]],T_P_BilanSocial[#Data],COLUMN(T_P_BilanSocial[[#This Row],[Filiere]]),FALSE),"")</f>
        <v/>
      </c>
      <c r="N162" s="96" t="e">
        <f>VLOOKUP(T_BilanSocial[[#This Row],[NumL]],T_TraitDi[#Data],COLUMN(T_TraitDi[EXP]),FALSE)</f>
        <v>#N/A</v>
      </c>
      <c r="O162" s="96" t="e">
        <f>VLOOKUP(T_BilanSocial[[#This Row],[NumL]],T_TraitDi[#Data],COLUMN(T_TraitDi[FORM]),FALSE)</f>
        <v>#N/A</v>
      </c>
      <c r="P162" s="96" t="e">
        <f>IF(T_BilanSocial[[#This Row],[Final]]&lt;&gt;"",VLOOKUP(T_BilanSocial[[#This Row],[NumL]],T_suiviDi[#Data],COLUMN((T_suiviDi[Email])),FALSE),"")</f>
        <v>#N/A</v>
      </c>
      <c r="Q162" s="164" t="str">
        <f t="shared" si="28"/>
        <v/>
      </c>
      <c r="R162" s="164" t="str">
        <f t="shared" si="29"/>
        <v>Chargée des réseaux sociaux des BU Lyon 3</v>
      </c>
      <c r="S162" s="164" t="e">
        <f>IF(VLOOKUP(T_BilanSocial[[#This Row],[NumL]],T_suiviDi[#Data],COLUMN(T_suiviDi[[#This Row],[Service ]]),FALSE)="","",VLOOKUP(T_BilanSocial[[#This Row],[NumL]],T_suiviDi[#Data],COLUMN(T_suiviDi[[#This Row],[Service ]]),FALSE))</f>
        <v>#VALUE!</v>
      </c>
      <c r="T162" s="164" t="str">
        <f t="shared" si="24"/>
        <v>01 septembre 2021</v>
      </c>
      <c r="U162" s="164" t="str">
        <f t="shared" si="25"/>
        <v>30 novembre 2021</v>
      </c>
      <c r="V162" s="96" t="str">
        <f>TEXT(Datebilan,"jj mmmm aaaa")</f>
        <v>30 novembre 2021</v>
      </c>
      <c r="W162" s="176" t="e">
        <f>IF(VLOOKUP(T_BilanSocial[[#This Row],[NumL]],T_TraitDi[#Data],COLUMN(T_TraitDi[[#This Row],[M1]]),FALSE)="","",VLOOKUP(T_BilanSocial[[#This Row],[NumL]],T_TraitDi[#Data],COLUMN(T_TraitDi[[#This Row],[M1]]),FALSE))</f>
        <v>#VALUE!</v>
      </c>
      <c r="X162" s="176" t="e">
        <f>IF(VLOOKUP(T_BilanSocial[[#This Row],[NumL]],T_TraitDi[#Data],COLUMN(T_TraitDi[[#This Row],[M2]]),FALSE)="","",VLOOKUP(T_BilanSocial[[#This Row],[NumL]],T_TraitDi[#Data],COLUMN(T_TraitDi[[#This Row],[M2]]),FALSE))</f>
        <v>#VALUE!</v>
      </c>
      <c r="Y162" s="176" t="e">
        <f>IF(VLOOKUP(T_BilanSocial[[#This Row],[NumL]],T_TraitDi[#Data],COLUMN(T_TraitDi[[#This Row],[M3]]),FALSE)="","",VLOOKUP(T_BilanSocial[[#This Row],[NumL]],T_TraitDi[#Data],COLUMN(T_TraitDi[[#This Row],[M3]]),FALSE))</f>
        <v>#VALUE!</v>
      </c>
      <c r="Z162" s="176" t="str">
        <f t="shared" si="27"/>
        <v/>
      </c>
      <c r="AA162" s="176" t="e">
        <f>IF(VLOOKUP(T_BilanSocial[[#This Row],[NumL]],T_TraitDi[#Data],COLUMN(T_TraitDi[[#This Row],[M5]]),FALSE)="","",VLOOKUP(T_BilanSocial[[#This Row],[NumL]],T_TraitDi[#Data],COLUMN(T_TraitDi[[#This Row],[M5]]),FALSE))</f>
        <v>#VALUE!</v>
      </c>
      <c r="AB162" s="176" t="e">
        <f>IF(VLOOKUP(T_BilanSocial[[#This Row],[NumL]],T_TraitDi[#Data],COLUMN(T_TraitDi[[#This Row],[M6]]),FALSE)="","",VLOOKUP(T_BilanSocial[[#This Row],[NumL]],T_TraitDi[#Data],COLUMN(T_TraitDi[[#This Row],[M6]]),FALSE))</f>
        <v>#VALUE!</v>
      </c>
      <c r="AC162" s="165" t="e">
        <f t="shared" si="26"/>
        <v>#VALUE!</v>
      </c>
      <c r="AD162" s="188" t="str">
        <f>IFERROR(TEXT(VLOOKUP(T_BilanSocial[[#This Row],[NumL]],T_TraitDi[#Data],COLUMN(T_TraitDi[[#This Row],[Q2]]),FALSE),"###%"),"")</f>
        <v/>
      </c>
      <c r="AE162" s="97" t="e">
        <f>VLOOKUP(T_BilanSocial[[#This Row],[NumL]],T_TraitDi[#Data],COLUMN(T_TraitDi[[#This Row],[Reg Ponct]]),FALSE)</f>
        <v>#VALUE!</v>
      </c>
      <c r="AF162" s="97" t="e">
        <f>VLOOKUP(T_BilanSocial[NumL],T_TraitDi[#Data],COLUMN(T_TraitDi[[#This Row],[Jours flottants]]),FALSE)</f>
        <v>#VALUE!</v>
      </c>
      <c r="AG162" s="97" t="str">
        <f>IFERROR(VLOOKUP(T_BilanSocial[[#This Row],[NumL]],T_TraitDi[#Data],COLUMN(T_TraitDi[[#This Row],[Lundi]]),FALSE),"")</f>
        <v/>
      </c>
      <c r="AH162" s="172" t="e">
        <f>IF(VLOOKUP(T_BilanSocial[[#This Row],[NumL]],T_TraitDi[#Data],COLUMN(T_TraitDi[[#This Row],[Colonne3]]),FALSE)=0,"",TEXT(IFERROR(VLOOKUP(T_BilanSocial[[#This Row],[NumL]],T_TraitDi[#Data],COLUMN(T_TraitDi[[#This Row],[Colonne3]]),FALSE),""),"[hh]:mm"))</f>
        <v>#VALUE!</v>
      </c>
      <c r="AI162" s="172" t="e">
        <f>IF(VLOOKUP(T_BilanSocial[[#This Row],[NumL]],T_TraitDi[#Data],COLUMN(T_TraitDi[[#This Row],[Colonne4]]),FALSE)=0,"",TEXT(IFERROR(VLOOKUP(T_BilanSocial[[#This Row],[NumL]],T_TraitDi[#Data],COLUMN(T_TraitDi[[#This Row],[Colonne4]]),FALSE),""),"[hh]:mm"))</f>
        <v>#VALUE!</v>
      </c>
      <c r="AJ162" s="172" t="e">
        <f>IF(VLOOKUP(T_BilanSocial[[#This Row],[NumL]],T_TraitDi[#Data],COLUMN(T_TraitDi[[#This Row],[Colonne5]]),FALSE)=0,"",TEXT(IFERROR(VLOOKUP(T_BilanSocial[[#This Row],[NumL]],T_TraitDi[#Data],COLUMN(T_TraitDi[[#This Row],[Colonne5]]),FALSE),""),"[hh]:mm"))</f>
        <v>#VALUE!</v>
      </c>
      <c r="AK162" s="172" t="e">
        <f>IF(VLOOKUP(T_BilanSocial[[#This Row],[NumL]],T_TraitDi[#Data],COLUMN(T_TraitDi[[#This Row],[Colonne6]]),FALSE)=0,"",TEXT(IFERROR(VLOOKUP(T_BilanSocial[[#This Row],[NumL]],T_TraitDi[#Data],COLUMN(T_TraitDi[[#This Row],[Colonne6]]),FALSE),""),"[hh]:mm"))</f>
        <v>#VALUE!</v>
      </c>
      <c r="AL162" s="172" t="e">
        <f>IF(VLOOKUP(T_BilanSocial[[#This Row],[NumL]],T_TraitDi[#Data],COLUMN(T_TraitDi[[#This Row],[Colonne7]]),FALSE)=0,"",TEXT(IFERROR(VLOOKUP(T_BilanSocial[[#This Row],[NumL]],T_TraitDi[#Data],COLUMN(T_TraitDi[[#This Row],[Colonne7]]),FALSE),""),"[hh]:mm"))</f>
        <v>#VALUE!</v>
      </c>
      <c r="AM162" s="172" t="e">
        <f>IF(VLOOKUP(T_BilanSocial[[#This Row],[NumL]],T_TraitDi[#Data],COLUMN(T_TraitDi[[#This Row],[Colonne8]]),FALSE)=0,"",TEXT(IFERROR(VLOOKUP(T_BilanSocial[[#This Row],[NumL]],T_TraitDi[#Data],COLUMN(T_TraitDi[[#This Row],[Colonne8]]),FALSE),""),"[hh]:mm"))</f>
        <v>#VALUE!</v>
      </c>
      <c r="AN162" s="172" t="str">
        <f>IFERROR(VLOOKUP(T_BilanSocial[[#This Row],[NumL]],T_TraitDi[#Data],COLUMN(T_TraitDi[[#This Row],[Mardi]]),FALSE),"")</f>
        <v/>
      </c>
      <c r="AO162" s="172" t="e">
        <f>IF(VLOOKUP(T_BilanSocial[[#This Row],[NumL]],T_TraitDi[#Data],COLUMN(T_TraitDi[[#This Row],[Colonne1]]),FALSE)=0,"",TEXT(IFERROR(VLOOKUP(T_BilanSocial[[#This Row],[NumL]],T_TraitDi[#Data],COLUMN(T_TraitDi[[#This Row],[Colonne1]]),FALSE),""),"[hh]:mm"))</f>
        <v>#VALUE!</v>
      </c>
      <c r="AP162" s="172" t="e">
        <f>IF(VLOOKUP(T_BilanSocial[[#This Row],[NumL]],T_TraitDi[#Data],COLUMN(T_TraitDi[[#This Row],[Colonne9]]),FALSE)=0,"",TEXT(IFERROR(VLOOKUP(T_BilanSocial[[#This Row],[NumL]],T_TraitDi[#Data],COLUMN(T_TraitDi[[#This Row],[Colonne9]]),FALSE),""),"[hh]:mm"))</f>
        <v>#VALUE!</v>
      </c>
      <c r="AQ162" s="172" t="str">
        <f>IFERROR(VLOOKUP(T_BilanSocial[[#This Row],[NumL]],T_TraitDi[#Data],COLUMN(T_TraitDi[[#This Row],[Colonne10]]),FALSE),"")</f>
        <v/>
      </c>
      <c r="AR162" s="172" t="e">
        <f>IF(VLOOKUP(T_BilanSocial[[#This Row],[NumL]],T_TraitDi[#Data],COLUMN(T_TraitDi[[#This Row],[Colonne11]]),FALSE)=0,"",TEXT(IFERROR(VLOOKUP(T_BilanSocial[[#This Row],[NumL]],T_TraitDi[#Data],COLUMN(T_TraitDi[[#This Row],[Colonne11]]),FALSE),""),"[hh]:mm"))</f>
        <v>#VALUE!</v>
      </c>
      <c r="AS162" s="172" t="e">
        <f>IF(VLOOKUP(T_BilanSocial[[#This Row],[NumL]],T_TraitDi[#Data],COLUMN(T_TraitDi[[#This Row],[Colonne12]]),FALSE)=0,"",TEXT(IFERROR(VLOOKUP(T_BilanSocial[[#This Row],[NumL]],T_TraitDi[#Data],COLUMN(T_TraitDi[[#This Row],[Colonne12]]),FALSE),""),"[hh]:mm"))</f>
        <v>#VALUE!</v>
      </c>
      <c r="AT162" s="172" t="e">
        <f>IF(VLOOKUP(T_BilanSocial[[#This Row],[NumL]],T_TraitDi[#Data],COLUMN(T_TraitDi[[#This Row],[Colonne14]]),FALSE)=0,"",TEXT(IFERROR(VLOOKUP(T_BilanSocial[[#This Row],[NumL]],T_TraitDi[#Data],COLUMN(T_TraitDi[[#This Row],[Colonne14]]),FALSE),""),"[hh]:mm"))</f>
        <v>#VALUE!</v>
      </c>
      <c r="AU162" s="172" t="str">
        <f>IFERROR(VLOOKUP(T_BilanSocial[[#This Row],[NumL]],T_TraitDi[#Data],COLUMN(T_TraitDi[[#This Row],[Mercredi]]),FALSE),"")</f>
        <v/>
      </c>
      <c r="AV162" s="172" t="e">
        <f>IF(VLOOKUP(T_BilanSocial[[#This Row],[NumL]],T_TraitDi[#Data],COLUMN(T_TraitDi[[#This Row],[Colonne15]]),FALSE)=0,"",TEXT(IFERROR(VLOOKUP(T_BilanSocial[[#This Row],[NumL]],T_TraitDi[#Data],COLUMN(T_TraitDi[[#This Row],[Colonne15]]),FALSE),""),"[hh]:mm"))</f>
        <v>#VALUE!</v>
      </c>
      <c r="AW162" s="172" t="e">
        <f>IF(VLOOKUP(T_BilanSocial[[#This Row],[NumL]],T_TraitDi[#Data],COLUMN(T_TraitDi[[#This Row],[Colonne16]]),FALSE)=0,"",TEXT(IFERROR(VLOOKUP(T_BilanSocial[[#This Row],[NumL]],T_TraitDi[#Data],COLUMN(T_TraitDi[[#This Row],[Colonne16]]),FALSE),""),"[hh]:mm"))</f>
        <v>#VALUE!</v>
      </c>
      <c r="AX162" s="172" t="str">
        <f>IFERROR(VLOOKUP(T_BilanSocial[[#This Row],[NumL]],T_TraitDi[#Data],COLUMN(T_TraitDi[[#This Row],[Colonne17]]),FALSE),"")</f>
        <v/>
      </c>
      <c r="AY162" s="172" t="e">
        <f>IF(VLOOKUP(T_BilanSocial[[#This Row],[NumL]],T_TraitDi[#Data],COLUMN(T_TraitDi[[#This Row],[Colonne18]]),FALSE)=0,"",TEXT(IFERROR(VLOOKUP(T_BilanSocial[[#This Row],[NumL]],T_TraitDi[#Data],COLUMN(T_TraitDi[[#This Row],[Colonne18]]),FALSE),""),"[hh]:mm"))</f>
        <v>#VALUE!</v>
      </c>
      <c r="AZ162" s="172" t="e">
        <f>IF(VLOOKUP(T_BilanSocial[[#This Row],[NumL]],T_TraitDi[#Data],COLUMN(T_TraitDi[[#This Row],[Colonne19]]),FALSE)=0,"",TEXT(IFERROR(VLOOKUP(T_BilanSocial[[#This Row],[NumL]],T_TraitDi[#Data],COLUMN(T_TraitDi[[#This Row],[Colonne19]]),FALSE),""),"[hh]:mm"))</f>
        <v>#VALUE!</v>
      </c>
      <c r="BA162" s="172" t="e">
        <f>IF(VLOOKUP(T_BilanSocial[[#This Row],[NumL]],T_TraitDi[#Data],COLUMN(T_TraitDi[[#This Row],[Colonne20]]),FALSE)=0,"",TEXT(IFERROR(VLOOKUP(T_BilanSocial[[#This Row],[NumL]],T_TraitDi[#Data],COLUMN(T_TraitDi[[#This Row],[Colonne20]]),FALSE),""),"[hh]:mm"))</f>
        <v>#VALUE!</v>
      </c>
      <c r="BB162" s="178" t="str">
        <f>IFERROR(VLOOKUP(T_BilanSocial[[#This Row],[NumL]],T_TraitDi[#Data],COLUMN(T_TraitDi[[#This Row],[Jeudi]]),FALSE),"")</f>
        <v/>
      </c>
      <c r="BC162" s="178" t="e">
        <f>IF(VLOOKUP(T_BilanSocial[[#This Row],[NumL]],T_TraitDi[#Data],COLUMN(T_TraitDi[[#This Row],[Colonne21]]),FALSE)=0,"",TEXT(IFERROR(VLOOKUP(T_BilanSocial[[#This Row],[NumL]],T_TraitDi[#Data],COLUMN(T_TraitDi[[#This Row],[Colonne21]]),FALSE),""),"[hh]:mm"))</f>
        <v>#VALUE!</v>
      </c>
      <c r="BD162" s="178" t="e">
        <f>IF(VLOOKUP(T_BilanSocial[[#This Row],[NumL]],T_TraitDi[#Data],COLUMN(T_TraitDi[[#This Row],[Colonne22]]),FALSE)=0,"",TEXT(IFERROR(VLOOKUP(T_BilanSocial[[#This Row],[NumL]],T_TraitDi[#Data],COLUMN(T_TraitDi[[#This Row],[Colonne22]]),FALSE),""),"[hh]:mm"))</f>
        <v>#VALUE!</v>
      </c>
      <c r="BE162" s="178" t="str">
        <f>IFERROR(VLOOKUP(T_BilanSocial[[#This Row],[NumL]],T_TraitDi[#Data],COLUMN(T_TraitDi[[#This Row],[Colonne23]]),FALSE),"")</f>
        <v/>
      </c>
      <c r="BF162" s="178" t="e">
        <f>IF(VLOOKUP(T_BilanSocial[[#This Row],[NumL]],T_TraitDi[#Data],COLUMN(T_TraitDi[[#This Row],[Colonne24]]),FALSE)=0,"",TEXT(IFERROR(VLOOKUP(T_BilanSocial[[#This Row],[NumL]],T_TraitDi[#Data],COLUMN(T_TraitDi[[#This Row],[Colonne24]]),FALSE),""),"[hh]:mm"))</f>
        <v>#VALUE!</v>
      </c>
      <c r="BG162" s="178" t="e">
        <f>IF(VLOOKUP(T_BilanSocial[[#This Row],[NumL]],T_TraitDi[#Data],COLUMN(T_TraitDi[[#This Row],[Colonne25]]),FALSE)=0,"",TEXT(IFERROR(VLOOKUP(T_BilanSocial[[#This Row],[NumL]],T_TraitDi[#Data],COLUMN(T_TraitDi[[#This Row],[Colonne25]]),FALSE),""),"[hh]:mm"))</f>
        <v>#VALUE!</v>
      </c>
      <c r="BH162" s="178" t="e">
        <f>IF(VLOOKUP(T_BilanSocial[[#This Row],[NumL]],T_TraitDi[#Data],COLUMN(T_TraitDi[[#This Row],[Colonne26]]),FALSE)=0,"",TEXT(IFERROR(VLOOKUP(T_BilanSocial[[#This Row],[NumL]],T_TraitDi[#Data],COLUMN(T_TraitDi[[#This Row],[Colonne26]]),FALSE),""),"[hh]:mm"))</f>
        <v>#VALUE!</v>
      </c>
      <c r="BI162" s="172" t="str">
        <f>IFERROR(VLOOKUP(T_BilanSocial[[#This Row],[NumL]],T_TraitDi[#Data],COLUMN(T_TraitDi[[#This Row],[Vendredi]]),FALSE),"")</f>
        <v/>
      </c>
      <c r="BJ162" s="172" t="e">
        <f>IF(VLOOKUP(T_BilanSocial[[#This Row],[NumL]],T_TraitDi[#Data],COLUMN(T_TraitDi[[#This Row],[Colonne27]]),FALSE)=0,"",TEXT(IFERROR(VLOOKUP(T_BilanSocial[[#This Row],[NumL]],T_TraitDi[#Data],COLUMN(T_TraitDi[[#This Row],[Colonne27]]),FALSE),""),"[hh]:mm"))</f>
        <v>#VALUE!</v>
      </c>
      <c r="BK162" s="172" t="e">
        <f>IF(VLOOKUP(T_BilanSocial[[#This Row],[NumL]],T_TraitDi[#Data],COLUMN(T_TraitDi[[#This Row],[Colonne28]]),FALSE)=0,"",TEXT(IFERROR(VLOOKUP(T_BilanSocial[[#This Row],[NumL]],T_TraitDi[#Data],COLUMN(T_TraitDi[[#This Row],[Colonne28]]),FALSE),""),"[hh]:mm"))</f>
        <v>#VALUE!</v>
      </c>
      <c r="BL162" s="172" t="str">
        <f>IFERROR(VLOOKUP(T_BilanSocial[[#This Row],[NumL]],T_TraitDi[#Data],COLUMN(T_TraitDi[[#This Row],[Colonne29]]),FALSE),"")</f>
        <v/>
      </c>
      <c r="BM162" s="172" t="e">
        <f>IF(VLOOKUP(T_BilanSocial[[#This Row],[NumL]],T_TraitDi[#Data],COLUMN(T_TraitDi[[#This Row],[Colonne30]]),FALSE)=0,"",TEXT(IFERROR(VLOOKUP(T_BilanSocial[[#This Row],[NumL]],T_TraitDi[#Data],COLUMN(T_TraitDi[[#This Row],[Colonne30]]),FALSE),""),"[hh]:mm"))</f>
        <v>#VALUE!</v>
      </c>
      <c r="BN162" s="172" t="e">
        <f>IF(VLOOKUP(T_BilanSocial[[#This Row],[NumL]],T_TraitDi[#Data],COLUMN(T_TraitDi[[#This Row],[Colonne31]]),FALSE)=0,"",TEXT(IFERROR(VLOOKUP(T_BilanSocial[[#This Row],[NumL]],T_TraitDi[#Data],COLUMN(T_TraitDi[[#This Row],[Colonne31]]),FALSE),""),"[hh]:mm"))</f>
        <v>#VALUE!</v>
      </c>
      <c r="BO162" s="172" t="e">
        <f>IF(VLOOKUP(T_BilanSocial[[#This Row],[NumL]],T_TraitDi[#Data],COLUMN(T_TraitDi[[#This Row],[Colonne32]]),FALSE)=0,"",TEXT(IFERROR(VLOOKUP(T_BilanSocial[[#This Row],[NumL]],T_TraitDi[#Data],COLUMN(T_TraitDi[[#This Row],[Colonne32]]),FALSE),""),"[hh]:mm"))</f>
        <v>#VALUE!</v>
      </c>
      <c r="BP162" s="172" t="e">
        <f>VLOOKUP(T_BilanSocial[[#This Row],[NumL]],T_TraitDi[#Data],COLUMN(T_TraitDi[NbJTot]),FALSE)</f>
        <v>#N/A</v>
      </c>
      <c r="BQ162" s="174" t="str">
        <f>IFERROR(VLOOKUP(T_BilanSocial[[#This Row],[NumL]],T_TraitDi[#Data],COLUMN(T_TraitDi[[#This Row],[NbJTW]]),FALSE),"")</f>
        <v/>
      </c>
      <c r="BR162" s="174" t="e">
        <f>IF(VLOOKUP(T_BilanSocial[[#This Row],[NumL]],T_TraitDi[#Data],COLUMN(T_TraitDi[[#This Row],[NbhTW]]),FALSE)=0,"",TEXT(IFERROR(VLOOKUP(T_BilanSocial[[#This Row],[NumL]],T_TraitDi[#Data],COLUMN(T_TraitDi[[#This Row],[NbhTW]]),FALSE),""),"[hh]:mm"))</f>
        <v>#VALUE!</v>
      </c>
      <c r="BS162" s="174" t="e">
        <f>IF(VLOOKUP(T_BilanSocial[[#This Row],[NumL]],T_TraitDi[#Data],COLUMN(T_TraitDi[[#This Row],[Nbhheb]]),FALSE)=0,"",TEXT(IFERROR(VLOOKUP($A162,T_TraitDi[#Data],COLUMN(T_TraitDi[[#This Row],[Nbhheb]]),FALSE),""),"[hh]:mm"))</f>
        <v>#VALUE!</v>
      </c>
      <c r="BT162" s="182" t="str">
        <f>IFERROR(VLOOKUP(VLOOKUP($A162,T_TraitDi[#Data],COLUMN(T_TraitDi[[#This Row],[Type1]]),FALSE),TypeTW,2,FALSE),"")</f>
        <v/>
      </c>
      <c r="BU162" s="182" t="str">
        <f>IFERROR(VLOOKUP($A162,T_TraitDi[#Data],COLUMN(T_TraitDi[[#This Row],[Rue1]]),FALSE),"")</f>
        <v/>
      </c>
      <c r="BV162" s="173" t="str">
        <f>IFERROR(VLOOKUP($A162,T_TraitDi[#Data],COLUMN(T_TraitDi[[#This Row],[CP1]]),FALSE),"")</f>
        <v/>
      </c>
      <c r="BW162" s="173" t="str">
        <f>IFERROR(VLOOKUP($A162,T_TraitDi[#Data],COLUMN(T_TraitDi[[#This Row],[VILLE1]]),FALSE),"")</f>
        <v/>
      </c>
      <c r="BX162" s="182" t="str">
        <f>IFERROR(VLOOKUP(VLOOKUP($A162,T_TraitDi[#Data],COLUMN(T_TraitDi[[#This Row],[Type2]]),FALSE),TypeTW,2,FALSE),"")</f>
        <v/>
      </c>
      <c r="BY162" s="182" t="str">
        <f>IFERROR(VLOOKUP($A162,T_TraitDi[#Data],COLUMN(T_TraitDi[[#This Row],[Rue2]]),FALSE),"")</f>
        <v/>
      </c>
      <c r="BZ162" s="173" t="str">
        <f>IFERROR(VLOOKUP($A162,T_TraitDi[#Data],COLUMN(T_TraitDi[[#This Row],[CP2]]),FALSE),"")</f>
        <v/>
      </c>
      <c r="CA162" s="173" t="str">
        <f>IFERROR(VLOOKUP($A162,T_TraitDi[#Data],COLUMN(T_TraitDi[[#This Row],[VILLE2]]),FALSE),"")</f>
        <v/>
      </c>
      <c r="CB162" s="182" t="e">
        <f>IF(VLOOKUP(T_BilanSocial[[#This Row],[NumL]],T_Equipement[#Data],COLUMN(T_Equipement[[#This Row],[PC]]),FALSE)="","Aucun équipement spécifique directement lié au télétravail",VLOOKUP(T_BilanSocial[[#This Row],[NumL]],T_Equipement[#Data],COLUMN(T_Equipement[[#This Row],[PC]]),FALSE))</f>
        <v>#N/A</v>
      </c>
      <c r="CC162" s="166" t="str">
        <f>IFERROR(IF(VLOOKUP(T_BilanSocial[[#This Row],[NumL]],T_TraitDi[#Data],COLUMN(T_TraitDi[[#This Row],[Plan]]),FALSE)="OK","Un planning spécifique de télétravail est annexé à la présente convention.",""),"")</f>
        <v/>
      </c>
      <c r="CD162" s="258" t="s">
        <v>3395</v>
      </c>
      <c r="CE162" s="164" t="e">
        <f>IF(VLOOKUP(T_BilanSocial[[#This Row],[NumL]],T_suiviDi[#Data],COLUMN(T_suiviDi[[#This Row],[Entité]]),FALSE)="","",VLOOKUP(T_BilanSocial[[#This Row],[NumL]],T_suiviDi[#Data],COLUMN(T_suiviDi[[#This Row],[Entité]]),FALSE))</f>
        <v>#VALUE!</v>
      </c>
      <c r="CF162" s="164" t="e">
        <f>IF(VLOOKUP(T_BilanSocial[[#This Row],[NumL]],T_Commission[#Data],COLUMN(T_Commission[[#This Row],[envoi confirm TW]]),FALSE)="","",VLOOKUP(T_BilanSocial[[#This Row],[NumL]],T_Commission[#Data],COLUMN(T_Commission[[#This Row],[envoi confirm TW]]),FALSE))</f>
        <v>#N/A</v>
      </c>
      <c r="CG16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2" s="262" t="e">
        <f>T_BilanSocial[[#This Row],[Nom]]&amp;T_BilanSocial[[#This Row],[Prenom]]</f>
        <v>#N/A</v>
      </c>
      <c r="CI162" s="262" t="e">
        <f>VLOOKUP(T_BilanSocial[[#This Row],[NumL]],T_Commission[#Data],COLUMN(T_Commission[Commentaire]),FALSE)</f>
        <v>#N/A</v>
      </c>
      <c r="CJ162" s="262" t="e">
        <f>IF(VLOOKUP(T_BilanSocial[[#This Row],[NumL]],T_Commission[#Data],COLUMN(T_Commission[Encadrant Email]),FALSE)="","",VLOOKUP(T_BilanSocial[[#This Row],[NumL]],T_Commission[#Data],COLUMN(T_Commission[Encadrant Email]),FALSE))</f>
        <v>#N/A</v>
      </c>
      <c r="CK162" s="340" t="e">
        <f>IF(T_BilanSocial[[#This Row],[Final]]&lt;&gt;"",VLOOKUP(T_BilanSocial[[#This Row],[NumL]],T_suiviDi[#Data],COLUMN((T_suiviDi[Statut])),FALSE),"")</f>
        <v>#N/A</v>
      </c>
    </row>
    <row r="163" spans="1:89" s="106" customFormat="1" ht="24.75" customHeight="1" x14ac:dyDescent="0.25">
      <c r="A163" s="160">
        <v>160</v>
      </c>
      <c r="B163" s="161" t="str">
        <f t="shared" si="22"/>
        <v/>
      </c>
      <c r="C163" s="162" t="s">
        <v>173</v>
      </c>
      <c r="D163" s="95" t="e">
        <f>IF(VLOOKUP(T_BilanSocial[[#This Row],[NumL]],T_TraitDi[#Data],COLUMN(T_TraitDi[[#This Row],[WebC]]),FALSE)="","",VLOOKUP(T_BilanSocial[[#This Row],[NumL]],T_TraitDi[#Data],COLUMN(T_TraitDi[[#This Row],[WebC]]),FALSE))</f>
        <v>#VALUE!</v>
      </c>
      <c r="E163" s="163" t="str">
        <f t="shared" si="23"/>
        <v>12 janvier 2021</v>
      </c>
      <c r="F163" s="96" t="str">
        <f>IF(T_BilanSocial[[#This Row],[Final]]&lt;&gt;"",VLOOKUP(T_BilanSocial[[#This Row],[NumL]],T_suiviDi[#Data],COLUMN((T_suiviDi[Civ.])),FALSE),"")</f>
        <v/>
      </c>
      <c r="G163" s="96" t="str">
        <f>IF(T_BilanSocial[[#This Row],[Final]]&lt;&gt;"",VLOOKUP(T_BilanSocial[[#This Row],[NumL]],T_suiviDi[#Data],COLUMN((T_suiviDi[Nom])),FALSE),"")</f>
        <v/>
      </c>
      <c r="H163" s="96" t="str">
        <f>IF(T_BilanSocial[[#This Row],[Final]]&lt;&gt;"",VLOOKUP(T_BilanSocial[[#This Row],[NumL]],T_suiviDi[#Data],COLUMN((T_suiviDi[Prénom])),FALSE),"")</f>
        <v/>
      </c>
      <c r="I163" s="96" t="str">
        <f>IFERROR(VLOOKUP(T_BilanSocial[[#This Row],[Zone_Bilan]],T_P_BilanSocial[#Data],COLUMN(T_P_BilanSocial[[#This Row],[Numero_SIHAM]]),FALSE),"")</f>
        <v/>
      </c>
      <c r="J163" s="96" t="str">
        <f>IFERROR(VLOOKUP(T_BilanSocial[[#This Row],[Zone_Bilan]],T_P_BilanSocial[#Data],COLUMN(T_P_BilanSocial[[#This Row],[Sexe]]),FALSE),"")</f>
        <v/>
      </c>
      <c r="K163" s="97" t="str">
        <f>IFERROR(VLOOKUP(T_BilanSocial[[#This Row],[Zone_Bilan]],T_P_BilanSocial[#Data],COLUMN(T_P_BilanSocial[[#This Row],[Categorie]]),FALSE),"")</f>
        <v/>
      </c>
      <c r="L163" s="96" t="str">
        <f>IFERROR(VLOOKUP(T_BilanSocial[[#This Row],[Zone_Bilan]],T_P_BilanSocial[#Data],COLUMN(T_P_BilanSocial[[#This Row],[Statut]]),FALSE),"")</f>
        <v/>
      </c>
      <c r="M163" s="96" t="str">
        <f>IFERROR(VLOOKUP(T_BilanSocial[[#This Row],[Zone_Bilan]],T_P_BilanSocial[#Data],COLUMN(T_P_BilanSocial[[#This Row],[Filiere]]),FALSE),"")</f>
        <v/>
      </c>
      <c r="N163" s="96" t="e">
        <f>VLOOKUP(T_BilanSocial[[#This Row],[NumL]],T_TraitDi[#Data],COLUMN(T_TraitDi[EXP]),FALSE)</f>
        <v>#N/A</v>
      </c>
      <c r="O163" s="96" t="e">
        <f>VLOOKUP(T_BilanSocial[[#This Row],[NumL]],T_TraitDi[#Data],COLUMN(T_TraitDi[FORM]),FALSE)</f>
        <v>#N/A</v>
      </c>
      <c r="P163" s="96" t="str">
        <f>IF(T_BilanSocial[[#This Row],[Final]]&lt;&gt;"",VLOOKUP(T_BilanSocial[[#This Row],[NumL]],T_suiviDi[#Data],COLUMN((T_suiviDi[Email])),FALSE),"")</f>
        <v/>
      </c>
      <c r="Q163" s="164" t="e">
        <f t="shared" si="28"/>
        <v>#N/A</v>
      </c>
      <c r="R163" s="164" t="e">
        <f t="shared" si="29"/>
        <v>#N/A</v>
      </c>
      <c r="S163" s="164" t="e">
        <f>IF(VLOOKUP(T_BilanSocial[[#This Row],[NumL]],T_suiviDi[#Data],COLUMN(T_suiviDi[[#This Row],[Service ]]),FALSE)="","",VLOOKUP(T_BilanSocial[[#This Row],[NumL]],T_suiviDi[#Data],COLUMN(T_suiviDi[[#This Row],[Service ]]),FALSE))</f>
        <v>#VALUE!</v>
      </c>
      <c r="T163" s="164" t="str">
        <f t="shared" si="24"/>
        <v>01 septembre 2021</v>
      </c>
      <c r="U163" s="164" t="str">
        <f t="shared" si="25"/>
        <v>30 novembre 2021</v>
      </c>
      <c r="V163" s="164" t="str">
        <f>TEXT(Datebilan,"jj mmmm aaaa")</f>
        <v>30 novembre 2021</v>
      </c>
      <c r="W163" s="176" t="e">
        <f>IF(VLOOKUP(T_BilanSocial[[#This Row],[NumL]],T_TraitDi[#Data],COLUMN(T_TraitDi[[#This Row],[M1]]),FALSE)="","",VLOOKUP(T_BilanSocial[[#This Row],[NumL]],T_TraitDi[#Data],COLUMN(T_TraitDi[[#This Row],[M1]]),FALSE))</f>
        <v>#VALUE!</v>
      </c>
      <c r="X163" s="176" t="e">
        <f>IF(VLOOKUP(T_BilanSocial[[#This Row],[NumL]],T_TraitDi[#Data],COLUMN(T_TraitDi[[#This Row],[M2]]),FALSE)="","",VLOOKUP(T_BilanSocial[[#This Row],[NumL]],T_TraitDi[#Data],COLUMN(T_TraitDi[[#This Row],[M2]]),FALSE))</f>
        <v>#VALUE!</v>
      </c>
      <c r="Y163" s="176" t="e">
        <f>IF(VLOOKUP(T_BilanSocial[[#This Row],[NumL]],T_TraitDi[#Data],COLUMN(T_TraitDi[[#This Row],[M3]]),FALSE)="","",VLOOKUP(T_BilanSocial[[#This Row],[NumL]],T_TraitDi[#Data],COLUMN(T_TraitDi[[#This Row],[M3]]),FALSE))</f>
        <v>#VALUE!</v>
      </c>
      <c r="Z163" s="176" t="str">
        <f t="shared" si="27"/>
        <v/>
      </c>
      <c r="AA163" s="176" t="e">
        <f>IF(VLOOKUP(T_BilanSocial[[#This Row],[NumL]],T_TraitDi[#Data],COLUMN(T_TraitDi[[#This Row],[M5]]),FALSE)="","",VLOOKUP(T_BilanSocial[[#This Row],[NumL]],T_TraitDi[#Data],COLUMN(T_TraitDi[[#This Row],[M5]]),FALSE))</f>
        <v>#VALUE!</v>
      </c>
      <c r="AB163" s="176" t="e">
        <f>IF(VLOOKUP(T_BilanSocial[[#This Row],[NumL]],T_TraitDi[#Data],COLUMN(T_TraitDi[[#This Row],[M6]]),FALSE)="","",VLOOKUP(T_BilanSocial[[#This Row],[NumL]],T_TraitDi[#Data],COLUMN(T_TraitDi[[#This Row],[M6]]),FALSE))</f>
        <v>#VALUE!</v>
      </c>
      <c r="AC163" s="165" t="e">
        <f t="shared" si="26"/>
        <v>#VALUE!</v>
      </c>
      <c r="AD163" s="188" t="str">
        <f>IFERROR(TEXT(VLOOKUP(T_BilanSocial[[#This Row],[NumL]],T_TraitDi[#Data],COLUMN(T_TraitDi[[#This Row],[Q2]]),FALSE),"###%"),"")</f>
        <v/>
      </c>
      <c r="AE163" s="97" t="e">
        <f>VLOOKUP(T_BilanSocial[[#This Row],[NumL]],T_TraitDi[#Data],COLUMN(T_TraitDi[[#This Row],[Reg Ponct]]),FALSE)</f>
        <v>#VALUE!</v>
      </c>
      <c r="AF163" s="97" t="e">
        <f>VLOOKUP(T_BilanSocial[NumL],T_TraitDi[#Data],COLUMN(T_TraitDi[[#This Row],[Jours flottants]]),FALSE)</f>
        <v>#VALUE!</v>
      </c>
      <c r="AG163" s="97" t="str">
        <f>IFERROR(VLOOKUP(T_BilanSocial[[#This Row],[NumL]],T_TraitDi[#Data],COLUMN(T_TraitDi[[#This Row],[Lundi]]),FALSE),"")</f>
        <v/>
      </c>
      <c r="AH163" s="172" t="e">
        <f>IF(VLOOKUP(T_BilanSocial[[#This Row],[NumL]],T_TraitDi[#Data],COLUMN(T_TraitDi[[#This Row],[Colonne3]]),FALSE)=0,"",TEXT(IFERROR(VLOOKUP(T_BilanSocial[[#This Row],[NumL]],T_TraitDi[#Data],COLUMN(T_TraitDi[[#This Row],[Colonne3]]),FALSE),""),"[hh]:mm"))</f>
        <v>#VALUE!</v>
      </c>
      <c r="AI163" s="172" t="e">
        <f>IF(VLOOKUP(T_BilanSocial[[#This Row],[NumL]],T_TraitDi[#Data],COLUMN(T_TraitDi[[#This Row],[Colonne4]]),FALSE)=0,"",TEXT(IFERROR(VLOOKUP(T_BilanSocial[[#This Row],[NumL]],T_TraitDi[#Data],COLUMN(T_TraitDi[[#This Row],[Colonne4]]),FALSE),""),"[hh]:mm"))</f>
        <v>#VALUE!</v>
      </c>
      <c r="AJ163" s="172" t="e">
        <f>IF(VLOOKUP(T_BilanSocial[[#This Row],[NumL]],T_TraitDi[#Data],COLUMN(T_TraitDi[[#This Row],[Colonne5]]),FALSE)=0,"",TEXT(IFERROR(VLOOKUP(T_BilanSocial[[#This Row],[NumL]],T_TraitDi[#Data],COLUMN(T_TraitDi[[#This Row],[Colonne5]]),FALSE),""),"[hh]:mm"))</f>
        <v>#VALUE!</v>
      </c>
      <c r="AK163" s="172" t="e">
        <f>IF(VLOOKUP(T_BilanSocial[[#This Row],[NumL]],T_TraitDi[#Data],COLUMN(T_TraitDi[[#This Row],[Colonne6]]),FALSE)=0,"",TEXT(IFERROR(VLOOKUP(T_BilanSocial[[#This Row],[NumL]],T_TraitDi[#Data],COLUMN(T_TraitDi[[#This Row],[Colonne6]]),FALSE),""),"[hh]:mm"))</f>
        <v>#VALUE!</v>
      </c>
      <c r="AL163" s="172" t="e">
        <f>IF(VLOOKUP(T_BilanSocial[[#This Row],[NumL]],T_TraitDi[#Data],COLUMN(T_TraitDi[[#This Row],[Colonne7]]),FALSE)=0,"",TEXT(IFERROR(VLOOKUP(T_BilanSocial[[#This Row],[NumL]],T_TraitDi[#Data],COLUMN(T_TraitDi[[#This Row],[Colonne7]]),FALSE),""),"[hh]:mm"))</f>
        <v>#VALUE!</v>
      </c>
      <c r="AM163" s="172" t="e">
        <f>IF(VLOOKUP(T_BilanSocial[[#This Row],[NumL]],T_TraitDi[#Data],COLUMN(T_TraitDi[[#This Row],[Colonne8]]),FALSE)=0,"",TEXT(IFERROR(VLOOKUP(T_BilanSocial[[#This Row],[NumL]],T_TraitDi[#Data],COLUMN(T_TraitDi[[#This Row],[Colonne8]]),FALSE),""),"[hh]:mm"))</f>
        <v>#VALUE!</v>
      </c>
      <c r="AN163" s="172" t="str">
        <f>IFERROR(VLOOKUP(T_BilanSocial[[#This Row],[NumL]],T_TraitDi[#Data],COLUMN(T_TraitDi[[#This Row],[Mardi]]),FALSE),"")</f>
        <v/>
      </c>
      <c r="AO163" s="172" t="e">
        <f>IF(VLOOKUP(T_BilanSocial[[#This Row],[NumL]],T_TraitDi[#Data],COLUMN(T_TraitDi[[#This Row],[Colonne1]]),FALSE)=0,"",TEXT(IFERROR(VLOOKUP(T_BilanSocial[[#This Row],[NumL]],T_TraitDi[#Data],COLUMN(T_TraitDi[[#This Row],[Colonne1]]),FALSE),""),"[hh]:mm"))</f>
        <v>#VALUE!</v>
      </c>
      <c r="AP163" s="172" t="e">
        <f>IF(VLOOKUP(T_BilanSocial[[#This Row],[NumL]],T_TraitDi[#Data],COLUMN(T_TraitDi[[#This Row],[Colonne9]]),FALSE)=0,"",TEXT(IFERROR(VLOOKUP(T_BilanSocial[[#This Row],[NumL]],T_TraitDi[#Data],COLUMN(T_TraitDi[[#This Row],[Colonne9]]),FALSE),""),"[hh]:mm"))</f>
        <v>#VALUE!</v>
      </c>
      <c r="AQ163" s="172" t="str">
        <f>IFERROR(VLOOKUP(T_BilanSocial[[#This Row],[NumL]],T_TraitDi[#Data],COLUMN(T_TraitDi[[#This Row],[Colonne10]]),FALSE),"")</f>
        <v/>
      </c>
      <c r="AR163" s="172" t="e">
        <f>IF(VLOOKUP(T_BilanSocial[[#This Row],[NumL]],T_TraitDi[#Data],COLUMN(T_TraitDi[[#This Row],[Colonne11]]),FALSE)=0,"",TEXT(IFERROR(VLOOKUP(T_BilanSocial[[#This Row],[NumL]],T_TraitDi[#Data],COLUMN(T_TraitDi[[#This Row],[Colonne11]]),FALSE),""),"[hh]:mm"))</f>
        <v>#VALUE!</v>
      </c>
      <c r="AS163" s="172" t="e">
        <f>IF(VLOOKUP(T_BilanSocial[[#This Row],[NumL]],T_TraitDi[#Data],COLUMN(T_TraitDi[[#This Row],[Colonne12]]),FALSE)=0,"",TEXT(IFERROR(VLOOKUP(T_BilanSocial[[#This Row],[NumL]],T_TraitDi[#Data],COLUMN(T_TraitDi[[#This Row],[Colonne12]]),FALSE),""),"[hh]:mm"))</f>
        <v>#VALUE!</v>
      </c>
      <c r="AT163" s="172" t="e">
        <f>IF(VLOOKUP(T_BilanSocial[[#This Row],[NumL]],T_TraitDi[#Data],COLUMN(T_TraitDi[[#This Row],[Colonne14]]),FALSE)=0,"",TEXT(IFERROR(VLOOKUP(T_BilanSocial[[#This Row],[NumL]],T_TraitDi[#Data],COLUMN(T_TraitDi[[#This Row],[Colonne14]]),FALSE),""),"[hh]:mm"))</f>
        <v>#VALUE!</v>
      </c>
      <c r="AU163" s="172" t="str">
        <f>IFERROR(VLOOKUP(T_BilanSocial[[#This Row],[NumL]],T_TraitDi[#Data],COLUMN(T_TraitDi[[#This Row],[Mercredi]]),FALSE),"")</f>
        <v/>
      </c>
      <c r="AV163" s="172" t="e">
        <f>IF(VLOOKUP(T_BilanSocial[[#This Row],[NumL]],T_TraitDi[#Data],COLUMN(T_TraitDi[[#This Row],[Colonne15]]),FALSE)=0,"",TEXT(IFERROR(VLOOKUP(T_BilanSocial[[#This Row],[NumL]],T_TraitDi[#Data],COLUMN(T_TraitDi[[#This Row],[Colonne15]]),FALSE),""),"[hh]:mm"))</f>
        <v>#VALUE!</v>
      </c>
      <c r="AW163" s="172" t="e">
        <f>IF(VLOOKUP(T_BilanSocial[[#This Row],[NumL]],T_TraitDi[#Data],COLUMN(T_TraitDi[[#This Row],[Colonne16]]),FALSE)=0,"",TEXT(IFERROR(VLOOKUP(T_BilanSocial[[#This Row],[NumL]],T_TraitDi[#Data],COLUMN(T_TraitDi[[#This Row],[Colonne16]]),FALSE),""),"[hh]:mm"))</f>
        <v>#VALUE!</v>
      </c>
      <c r="AX163" s="172" t="str">
        <f>IFERROR(VLOOKUP(T_BilanSocial[[#This Row],[NumL]],T_TraitDi[#Data],COLUMN(T_TraitDi[[#This Row],[Colonne17]]),FALSE),"")</f>
        <v/>
      </c>
      <c r="AY163" s="172" t="e">
        <f>IF(VLOOKUP(T_BilanSocial[[#This Row],[NumL]],T_TraitDi[#Data],COLUMN(T_TraitDi[[#This Row],[Colonne18]]),FALSE)=0,"",TEXT(IFERROR(VLOOKUP(T_BilanSocial[[#This Row],[NumL]],T_TraitDi[#Data],COLUMN(T_TraitDi[[#This Row],[Colonne18]]),FALSE),""),"[hh]:mm"))</f>
        <v>#VALUE!</v>
      </c>
      <c r="AZ163" s="172" t="e">
        <f>IF(VLOOKUP(T_BilanSocial[[#This Row],[NumL]],T_TraitDi[#Data],COLUMN(T_TraitDi[[#This Row],[Colonne19]]),FALSE)=0,"",TEXT(IFERROR(VLOOKUP(T_BilanSocial[[#This Row],[NumL]],T_TraitDi[#Data],COLUMN(T_TraitDi[[#This Row],[Colonne19]]),FALSE),""),"[hh]:mm"))</f>
        <v>#VALUE!</v>
      </c>
      <c r="BA163" s="172" t="e">
        <f>IF(VLOOKUP(T_BilanSocial[[#This Row],[NumL]],T_TraitDi[#Data],COLUMN(T_TraitDi[[#This Row],[Colonne20]]),FALSE)=0,"",TEXT(IFERROR(VLOOKUP(T_BilanSocial[[#This Row],[NumL]],T_TraitDi[#Data],COLUMN(T_TraitDi[[#This Row],[Colonne20]]),FALSE),""),"[hh]:mm"))</f>
        <v>#VALUE!</v>
      </c>
      <c r="BB163" s="178" t="str">
        <f>IFERROR(VLOOKUP(T_BilanSocial[[#This Row],[NumL]],T_TraitDi[#Data],COLUMN(T_TraitDi[[#This Row],[Jeudi]]),FALSE),"")</f>
        <v/>
      </c>
      <c r="BC163" s="178" t="e">
        <f>IF(VLOOKUP(T_BilanSocial[[#This Row],[NumL]],T_TraitDi[#Data],COLUMN(T_TraitDi[[#This Row],[Colonne21]]),FALSE)=0,"",TEXT(IFERROR(VLOOKUP(T_BilanSocial[[#This Row],[NumL]],T_TraitDi[#Data],COLUMN(T_TraitDi[[#This Row],[Colonne21]]),FALSE),""),"[hh]:mm"))</f>
        <v>#VALUE!</v>
      </c>
      <c r="BD163" s="178" t="e">
        <f>IF(VLOOKUP(T_BilanSocial[[#This Row],[NumL]],T_TraitDi[#Data],COLUMN(T_TraitDi[[#This Row],[Colonne22]]),FALSE)=0,"",TEXT(IFERROR(VLOOKUP(T_BilanSocial[[#This Row],[NumL]],T_TraitDi[#Data],COLUMN(T_TraitDi[[#This Row],[Colonne22]]),FALSE),""),"[hh]:mm"))</f>
        <v>#VALUE!</v>
      </c>
      <c r="BE163" s="178" t="str">
        <f>IFERROR(VLOOKUP(T_BilanSocial[[#This Row],[NumL]],T_TraitDi[#Data],COLUMN(T_TraitDi[[#This Row],[Colonne23]]),FALSE),"")</f>
        <v/>
      </c>
      <c r="BF163" s="178" t="e">
        <f>IF(VLOOKUP(T_BilanSocial[[#This Row],[NumL]],T_TraitDi[#Data],COLUMN(T_TraitDi[[#This Row],[Colonne24]]),FALSE)=0,"",TEXT(IFERROR(VLOOKUP(T_BilanSocial[[#This Row],[NumL]],T_TraitDi[#Data],COLUMN(T_TraitDi[[#This Row],[Colonne24]]),FALSE),""),"[hh]:mm"))</f>
        <v>#VALUE!</v>
      </c>
      <c r="BG163" s="178" t="e">
        <f>IF(VLOOKUP(T_BilanSocial[[#This Row],[NumL]],T_TraitDi[#Data],COLUMN(T_TraitDi[[#This Row],[Colonne25]]),FALSE)=0,"",TEXT(IFERROR(VLOOKUP(T_BilanSocial[[#This Row],[NumL]],T_TraitDi[#Data],COLUMN(T_TraitDi[[#This Row],[Colonne25]]),FALSE),""),"[hh]:mm"))</f>
        <v>#VALUE!</v>
      </c>
      <c r="BH163" s="178" t="e">
        <f>IF(VLOOKUP(T_BilanSocial[[#This Row],[NumL]],T_TraitDi[#Data],COLUMN(T_TraitDi[[#This Row],[Colonne26]]),FALSE)=0,"",TEXT(IFERROR(VLOOKUP(T_BilanSocial[[#This Row],[NumL]],T_TraitDi[#Data],COLUMN(T_TraitDi[[#This Row],[Colonne26]]),FALSE),""),"[hh]:mm"))</f>
        <v>#VALUE!</v>
      </c>
      <c r="BI163" s="172" t="str">
        <f>IFERROR(VLOOKUP(T_BilanSocial[[#This Row],[NumL]],T_TraitDi[#Data],COLUMN(T_TraitDi[[#This Row],[Vendredi]]),FALSE),"")</f>
        <v/>
      </c>
      <c r="BJ163" s="172" t="e">
        <f>IF(VLOOKUP(T_BilanSocial[[#This Row],[NumL]],T_TraitDi[#Data],COLUMN(T_TraitDi[[#This Row],[Colonne27]]),FALSE)=0,"",TEXT(IFERROR(VLOOKUP(T_BilanSocial[[#This Row],[NumL]],T_TraitDi[#Data],COLUMN(T_TraitDi[[#This Row],[Colonne27]]),FALSE),""),"[hh]:mm"))</f>
        <v>#VALUE!</v>
      </c>
      <c r="BK163" s="172" t="e">
        <f>IF(VLOOKUP(T_BilanSocial[[#This Row],[NumL]],T_TraitDi[#Data],COLUMN(T_TraitDi[[#This Row],[Colonne28]]),FALSE)=0,"",TEXT(IFERROR(VLOOKUP(T_BilanSocial[[#This Row],[NumL]],T_TraitDi[#Data],COLUMN(T_TraitDi[[#This Row],[Colonne28]]),FALSE),""),"[hh]:mm"))</f>
        <v>#VALUE!</v>
      </c>
      <c r="BL163" s="172" t="str">
        <f>IFERROR(VLOOKUP(T_BilanSocial[[#This Row],[NumL]],T_TraitDi[#Data],COLUMN(T_TraitDi[[#This Row],[Colonne29]]),FALSE),"")</f>
        <v/>
      </c>
      <c r="BM163" s="172" t="e">
        <f>IF(VLOOKUP(T_BilanSocial[[#This Row],[NumL]],T_TraitDi[#Data],COLUMN(T_TraitDi[[#This Row],[Colonne30]]),FALSE)=0,"",TEXT(IFERROR(VLOOKUP(T_BilanSocial[[#This Row],[NumL]],T_TraitDi[#Data],COLUMN(T_TraitDi[[#This Row],[Colonne30]]),FALSE),""),"[hh]:mm"))</f>
        <v>#VALUE!</v>
      </c>
      <c r="BN163" s="172" t="e">
        <f>IF(VLOOKUP(T_BilanSocial[[#This Row],[NumL]],T_TraitDi[#Data],COLUMN(T_TraitDi[[#This Row],[Colonne31]]),FALSE)=0,"",TEXT(IFERROR(VLOOKUP(T_BilanSocial[[#This Row],[NumL]],T_TraitDi[#Data],COLUMN(T_TraitDi[[#This Row],[Colonne31]]),FALSE),""),"[hh]:mm"))</f>
        <v>#VALUE!</v>
      </c>
      <c r="BO163" s="172" t="e">
        <f>IF(VLOOKUP(T_BilanSocial[[#This Row],[NumL]],T_TraitDi[#Data],COLUMN(T_TraitDi[[#This Row],[Colonne32]]),FALSE)=0,"",TEXT(IFERROR(VLOOKUP(T_BilanSocial[[#This Row],[NumL]],T_TraitDi[#Data],COLUMN(T_TraitDi[[#This Row],[Colonne32]]),FALSE),""),"[hh]:mm"))</f>
        <v>#VALUE!</v>
      </c>
      <c r="BP163" s="172" t="e">
        <f>VLOOKUP(T_BilanSocial[[#This Row],[NumL]],T_TraitDi[#Data],COLUMN(T_TraitDi[NbJTot]),FALSE)</f>
        <v>#N/A</v>
      </c>
      <c r="BQ163" s="174" t="str">
        <f>IFERROR(VLOOKUP(T_BilanSocial[[#This Row],[NumL]],T_TraitDi[#Data],COLUMN(T_TraitDi[[#This Row],[NbJTW]]),FALSE),"")</f>
        <v/>
      </c>
      <c r="BR163" s="174" t="e">
        <f>IF(VLOOKUP(T_BilanSocial[[#This Row],[NumL]],T_TraitDi[#Data],COLUMN(T_TraitDi[[#This Row],[NbhTW]]),FALSE)=0,"",TEXT(IFERROR(VLOOKUP(T_BilanSocial[[#This Row],[NumL]],T_TraitDi[#Data],COLUMN(T_TraitDi[[#This Row],[NbhTW]]),FALSE),""),"[hh]:mm"))</f>
        <v>#VALUE!</v>
      </c>
      <c r="BS163" s="174" t="e">
        <f>IF(VLOOKUP(T_BilanSocial[[#This Row],[NumL]],T_TraitDi[#Data],COLUMN(T_TraitDi[[#This Row],[Nbhheb]]),FALSE)=0,"",TEXT(IFERROR(VLOOKUP($A163,T_TraitDi[#Data],COLUMN(T_TraitDi[[#This Row],[Nbhheb]]),FALSE),""),"[hh]:mm"))</f>
        <v>#VALUE!</v>
      </c>
      <c r="BT163" s="182" t="str">
        <f>IFERROR(VLOOKUP(VLOOKUP($A163,T_TraitDi[#Data],COLUMN(T_TraitDi[[#This Row],[Type1]]),FALSE),TypeTW,2,FALSE),"")</f>
        <v/>
      </c>
      <c r="BU163" s="182" t="str">
        <f>IFERROR(VLOOKUP($A163,T_TraitDi[#Data],COLUMN(T_TraitDi[[#This Row],[Rue1]]),FALSE),"")</f>
        <v/>
      </c>
      <c r="BV163" s="173" t="str">
        <f>IFERROR(VLOOKUP($A163,T_TraitDi[#Data],COLUMN(T_TraitDi[[#This Row],[CP1]]),FALSE),"")</f>
        <v/>
      </c>
      <c r="BW163" s="173" t="str">
        <f>IFERROR(VLOOKUP($A163,T_TraitDi[#Data],COLUMN(T_TraitDi[[#This Row],[VILLE1]]),FALSE),"")</f>
        <v/>
      </c>
      <c r="BX163" s="182" t="str">
        <f>IFERROR(VLOOKUP(VLOOKUP($A163,T_TraitDi[#Data],COLUMN(T_TraitDi[[#This Row],[Type2]]),FALSE),TypeTW,2,FALSE),"")</f>
        <v/>
      </c>
      <c r="BY163" s="182" t="str">
        <f>IFERROR(VLOOKUP($A163,T_TraitDi[#Data],COLUMN(T_TraitDi[[#This Row],[Rue2]]),FALSE),"")</f>
        <v/>
      </c>
      <c r="BZ163" s="173" t="str">
        <f>IFERROR(VLOOKUP($A163,T_TraitDi[#Data],COLUMN(T_TraitDi[[#This Row],[CP2]]),FALSE),"")</f>
        <v/>
      </c>
      <c r="CA163" s="173" t="str">
        <f>IFERROR(VLOOKUP($A163,T_TraitDi[#Data],COLUMN(T_TraitDi[[#This Row],[VILLE2]]),FALSE),"")</f>
        <v/>
      </c>
      <c r="CB163" s="182" t="str">
        <f>IF(VLOOKUP(T_BilanSocial[[#This Row],[NumL]],T_Equipement[#Data],COLUMN(T_Equipement[[#This Row],[PC]]),FALSE)="","Aucun équipement spécifique directement lié au télétravail",VLOOKUP(T_BilanSocial[[#This Row],[NumL]],T_Equipement[#Data],COLUMN(T_Equipement[[#This Row],[PC]]),FALSE))</f>
        <v xml:space="preserve">18-017	</v>
      </c>
      <c r="CC163" s="166" t="str">
        <f>IFERROR(IF(VLOOKUP(T_BilanSocial[[#This Row],[NumL]],T_TraitDi[#Data],COLUMN(T_TraitDi[[#This Row],[Plan]]),FALSE)="OK","Un planning spécifique de télétravail est annexé à la présente convention.",""),"")</f>
        <v/>
      </c>
      <c r="CD163" s="258" t="s">
        <v>3453</v>
      </c>
      <c r="CE163" s="164" t="e">
        <f>IF(VLOOKUP(T_BilanSocial[[#This Row],[NumL]],T_suiviDi[#Data],COLUMN(T_suiviDi[[#This Row],[Entité]]),FALSE)="","",VLOOKUP(T_BilanSocial[[#This Row],[NumL]],T_suiviDi[#Data],COLUMN(T_suiviDi[[#This Row],[Entité]]),FALSE))</f>
        <v>#VALUE!</v>
      </c>
      <c r="CF163" s="164" t="str">
        <f>IF(VLOOKUP(T_BilanSocial[[#This Row],[NumL]],T_Commission[#Data],COLUMN(T_Commission[[#This Row],[envoi confirm TW]]),FALSE)="","",VLOOKUP(T_BilanSocial[[#This Row],[NumL]],T_Commission[#Data],COLUMN(T_Commission[[#This Row],[envoi confirm TW]]),FALSE))</f>
        <v>Oui</v>
      </c>
      <c r="CG16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3" s="262" t="str">
        <f>T_BilanSocial[[#This Row],[Nom]]&amp;T_BilanSocial[[#This Row],[Prenom]]</f>
        <v/>
      </c>
      <c r="CI163" s="262">
        <f>VLOOKUP(T_BilanSocial[[#This Row],[NumL]],T_Commission[#Data],COLUMN(T_Commission[Commentaire]),FALSE)</f>
        <v>0</v>
      </c>
      <c r="CJ163" s="262" t="str">
        <f>IF(VLOOKUP(T_BilanSocial[[#This Row],[NumL]],T_Commission[#Data],COLUMN(T_Commission[Encadrant Email]),FALSE)="","",VLOOKUP(T_BilanSocial[[#This Row],[NumL]],T_Commission[#Data],COLUMN(T_Commission[Encadrant Email]),FALSE))</f>
        <v/>
      </c>
      <c r="CK163" s="340" t="str">
        <f>IF(T_BilanSocial[[#This Row],[Final]]&lt;&gt;"",VLOOKUP(T_BilanSocial[[#This Row],[NumL]],T_suiviDi[#Data],COLUMN((T_suiviDi[Statut])),FALSE),"")</f>
        <v/>
      </c>
    </row>
    <row r="164" spans="1:89" s="106" customFormat="1" ht="24.75" customHeight="1" x14ac:dyDescent="0.25">
      <c r="A164" s="160">
        <v>161</v>
      </c>
      <c r="B164" s="161" t="str">
        <f t="shared" si="22"/>
        <v/>
      </c>
      <c r="C164" s="162" t="s">
        <v>139</v>
      </c>
      <c r="D164" s="95" t="e">
        <f>IF(VLOOKUP(T_BilanSocial[[#This Row],[NumL]],T_TraitDi[#Data],COLUMN(T_TraitDi[[#This Row],[WebC]]),FALSE)="","",VLOOKUP(T_BilanSocial[[#This Row],[NumL]],T_TraitDi[#Data],COLUMN(T_TraitDi[[#This Row],[WebC]]),FALSE))</f>
        <v>#VALUE!</v>
      </c>
      <c r="E164" s="163" t="str">
        <f t="shared" si="23"/>
        <v>12 janvier 2021</v>
      </c>
      <c r="F164" s="96" t="str">
        <f>IF(T_BilanSocial[[#This Row],[Final]]&lt;&gt;"",VLOOKUP(T_BilanSocial[[#This Row],[NumL]],T_suiviDi[#Data],COLUMN((T_suiviDi[Civ.])),FALSE),"")</f>
        <v/>
      </c>
      <c r="G164" s="96" t="str">
        <f>IF(T_BilanSocial[[#This Row],[Final]]&lt;&gt;"",VLOOKUP(T_BilanSocial[[#This Row],[NumL]],T_suiviDi[#Data],COLUMN((T_suiviDi[Nom])),FALSE),"")</f>
        <v/>
      </c>
      <c r="H164" s="96" t="str">
        <f>IF(T_BilanSocial[[#This Row],[Final]]&lt;&gt;"",VLOOKUP(T_BilanSocial[[#This Row],[NumL]],T_suiviDi[#Data],COLUMN((T_suiviDi[Prénom])),FALSE),"")</f>
        <v/>
      </c>
      <c r="I164" s="96" t="str">
        <f>IFERROR(VLOOKUP(T_BilanSocial[[#This Row],[Zone_Bilan]],T_P_BilanSocial[#Data],COLUMN(T_P_BilanSocial[[#This Row],[Numero_SIHAM]]),FALSE),"")</f>
        <v/>
      </c>
      <c r="J164" s="96" t="str">
        <f>IFERROR(VLOOKUP(T_BilanSocial[[#This Row],[Zone_Bilan]],T_P_BilanSocial[#Data],COLUMN(T_P_BilanSocial[[#This Row],[Sexe]]),FALSE),"")</f>
        <v/>
      </c>
      <c r="K164" s="97" t="str">
        <f>IFERROR(VLOOKUP(T_BilanSocial[[#This Row],[Zone_Bilan]],T_P_BilanSocial[#Data],COLUMN(T_P_BilanSocial[[#This Row],[Categorie]]),FALSE),"")</f>
        <v/>
      </c>
      <c r="L164" s="96" t="str">
        <f>IFERROR(VLOOKUP(T_BilanSocial[[#This Row],[Zone_Bilan]],T_P_BilanSocial[#Data],COLUMN(T_P_BilanSocial[[#This Row],[Statut]]),FALSE),"")</f>
        <v/>
      </c>
      <c r="M164" s="96" t="str">
        <f>IFERROR(VLOOKUP(T_BilanSocial[[#This Row],[Zone_Bilan]],T_P_BilanSocial[#Data],COLUMN(T_P_BilanSocial[[#This Row],[Filiere]]),FALSE),"")</f>
        <v/>
      </c>
      <c r="N164" s="96" t="e">
        <f>VLOOKUP(T_BilanSocial[[#This Row],[NumL]],T_TraitDi[#Data],COLUMN(T_TraitDi[EXP]),FALSE)</f>
        <v>#N/A</v>
      </c>
      <c r="O164" s="96" t="e">
        <f>VLOOKUP(T_BilanSocial[[#This Row],[NumL]],T_TraitDi[#Data],COLUMN(T_TraitDi[FORM]),FALSE)</f>
        <v>#N/A</v>
      </c>
      <c r="P164" s="96" t="str">
        <f>IF(T_BilanSocial[[#This Row],[Final]]&lt;&gt;"",VLOOKUP(T_BilanSocial[[#This Row],[NumL]],T_suiviDi[#Data],COLUMN((T_suiviDi[Email])),FALSE),"")</f>
        <v/>
      </c>
      <c r="Q164" s="164" t="e">
        <f t="shared" si="28"/>
        <v>#N/A</v>
      </c>
      <c r="R164" s="164" t="e">
        <f t="shared" si="29"/>
        <v>#N/A</v>
      </c>
      <c r="S164" s="164" t="e">
        <f>IF(VLOOKUP(T_BilanSocial[[#This Row],[NumL]],T_suiviDi[#Data],COLUMN(T_suiviDi[[#This Row],[Service ]]),FALSE)="","",VLOOKUP(T_BilanSocial[[#This Row],[NumL]],T_suiviDi[#Data],COLUMN(T_suiviDi[[#This Row],[Service ]]),FALSE))</f>
        <v>#VALUE!</v>
      </c>
      <c r="T164" s="164" t="str">
        <f t="shared" si="24"/>
        <v>01 septembre 2021</v>
      </c>
      <c r="U164" s="164" t="str">
        <f t="shared" si="25"/>
        <v>30 novembre 2021</v>
      </c>
      <c r="V164" s="256">
        <f>Datebilan</f>
        <v>44530</v>
      </c>
      <c r="W164" s="176" t="e">
        <f>IF(VLOOKUP(T_BilanSocial[[#This Row],[NumL]],T_TraitDi[#Data],COLUMN(T_TraitDi[[#This Row],[M1]]),FALSE)="","",VLOOKUP(T_BilanSocial[[#This Row],[NumL]],T_TraitDi[#Data],COLUMN(T_TraitDi[[#This Row],[M1]]),FALSE))</f>
        <v>#VALUE!</v>
      </c>
      <c r="X164" s="176" t="e">
        <f>IF(VLOOKUP(T_BilanSocial[[#This Row],[NumL]],T_TraitDi[#Data],COLUMN(T_TraitDi[[#This Row],[M2]]),FALSE)="","",VLOOKUP(T_BilanSocial[[#This Row],[NumL]],T_TraitDi[#Data],COLUMN(T_TraitDi[[#This Row],[M2]]),FALSE))</f>
        <v>#VALUE!</v>
      </c>
      <c r="Y164" s="176" t="e">
        <f>IF(VLOOKUP(T_BilanSocial[[#This Row],[NumL]],T_TraitDi[#Data],COLUMN(T_TraitDi[[#This Row],[M3]]),FALSE)="","",VLOOKUP(T_BilanSocial[[#This Row],[NumL]],T_TraitDi[#Data],COLUMN(T_TraitDi[[#This Row],[M3]]),FALSE))</f>
        <v>#VALUE!</v>
      </c>
      <c r="Z164" s="176" t="str">
        <f t="shared" si="27"/>
        <v/>
      </c>
      <c r="AA164" s="176" t="e">
        <f>IF(VLOOKUP(T_BilanSocial[[#This Row],[NumL]],T_TraitDi[#Data],COLUMN(T_TraitDi[[#This Row],[M5]]),FALSE)="","",VLOOKUP(T_BilanSocial[[#This Row],[NumL]],T_TraitDi[#Data],COLUMN(T_TraitDi[[#This Row],[M5]]),FALSE))</f>
        <v>#VALUE!</v>
      </c>
      <c r="AB164" s="176" t="e">
        <f>IF(VLOOKUP(T_BilanSocial[[#This Row],[NumL]],T_TraitDi[#Data],COLUMN(T_TraitDi[[#This Row],[M6]]),FALSE)="","",VLOOKUP(T_BilanSocial[[#This Row],[NumL]],T_TraitDi[#Data],COLUMN(T_TraitDi[[#This Row],[M6]]),FALSE))</f>
        <v>#VALUE!</v>
      </c>
      <c r="AC164" s="165" t="e">
        <f t="shared" si="26"/>
        <v>#VALUE!</v>
      </c>
      <c r="AD164" s="188" t="str">
        <f>IFERROR(TEXT(VLOOKUP(T_BilanSocial[[#This Row],[NumL]],T_TraitDi[#Data],COLUMN(T_TraitDi[[#This Row],[Q2]]),FALSE),"###%"),"")</f>
        <v/>
      </c>
      <c r="AE164" s="97" t="e">
        <f>VLOOKUP(T_BilanSocial[[#This Row],[NumL]],T_TraitDi[#Data],COLUMN(T_TraitDi[[#This Row],[Reg Ponct]]),FALSE)</f>
        <v>#VALUE!</v>
      </c>
      <c r="AF164" s="97" t="e">
        <f>VLOOKUP(T_BilanSocial[NumL],T_TraitDi[#Data],COLUMN(T_TraitDi[[#This Row],[Jours flottants]]),FALSE)</f>
        <v>#VALUE!</v>
      </c>
      <c r="AG164" s="97" t="str">
        <f>IFERROR(VLOOKUP(T_BilanSocial[[#This Row],[NumL]],T_TraitDi[#Data],COLUMN(T_TraitDi[[#This Row],[Lundi]]),FALSE),"")</f>
        <v/>
      </c>
      <c r="AH164" s="172" t="e">
        <f>IF(VLOOKUP(T_BilanSocial[[#This Row],[NumL]],T_TraitDi[#Data],COLUMN(T_TraitDi[[#This Row],[Colonne3]]),FALSE)=0,"",TEXT(IFERROR(VLOOKUP(T_BilanSocial[[#This Row],[NumL]],T_TraitDi[#Data],COLUMN(T_TraitDi[[#This Row],[Colonne3]]),FALSE),""),"[hh]:mm"))</f>
        <v>#VALUE!</v>
      </c>
      <c r="AI164" s="172" t="e">
        <f>IF(VLOOKUP(T_BilanSocial[[#This Row],[NumL]],T_TraitDi[#Data],COLUMN(T_TraitDi[[#This Row],[Colonne4]]),FALSE)=0,"",TEXT(IFERROR(VLOOKUP(T_BilanSocial[[#This Row],[NumL]],T_TraitDi[#Data],COLUMN(T_TraitDi[[#This Row],[Colonne4]]),FALSE),""),"[hh]:mm"))</f>
        <v>#VALUE!</v>
      </c>
      <c r="AJ164" s="172" t="e">
        <f>IF(VLOOKUP(T_BilanSocial[[#This Row],[NumL]],T_TraitDi[#Data],COLUMN(T_TraitDi[[#This Row],[Colonne5]]),FALSE)=0,"",TEXT(IFERROR(VLOOKUP(T_BilanSocial[[#This Row],[NumL]],T_TraitDi[#Data],COLUMN(T_TraitDi[[#This Row],[Colonne5]]),FALSE),""),"[hh]:mm"))</f>
        <v>#VALUE!</v>
      </c>
      <c r="AK164" s="172" t="e">
        <f>IF(VLOOKUP(T_BilanSocial[[#This Row],[NumL]],T_TraitDi[#Data],COLUMN(T_TraitDi[[#This Row],[Colonne6]]),FALSE)=0,"",TEXT(IFERROR(VLOOKUP(T_BilanSocial[[#This Row],[NumL]],T_TraitDi[#Data],COLUMN(T_TraitDi[[#This Row],[Colonne6]]),FALSE),""),"[hh]:mm"))</f>
        <v>#VALUE!</v>
      </c>
      <c r="AL164" s="172" t="e">
        <f>IF(VLOOKUP(T_BilanSocial[[#This Row],[NumL]],T_TraitDi[#Data],COLUMN(T_TraitDi[[#This Row],[Colonne7]]),FALSE)=0,"",TEXT(IFERROR(VLOOKUP(T_BilanSocial[[#This Row],[NumL]],T_TraitDi[#Data],COLUMN(T_TraitDi[[#This Row],[Colonne7]]),FALSE),""),"[hh]:mm"))</f>
        <v>#VALUE!</v>
      </c>
      <c r="AM164" s="172" t="e">
        <f>IF(VLOOKUP(T_BilanSocial[[#This Row],[NumL]],T_TraitDi[#Data],COLUMN(T_TraitDi[[#This Row],[Colonne8]]),FALSE)=0,"",TEXT(IFERROR(VLOOKUP(T_BilanSocial[[#This Row],[NumL]],T_TraitDi[#Data],COLUMN(T_TraitDi[[#This Row],[Colonne8]]),FALSE),""),"[hh]:mm"))</f>
        <v>#VALUE!</v>
      </c>
      <c r="AN164" s="172" t="str">
        <f>IFERROR(VLOOKUP(T_BilanSocial[[#This Row],[NumL]],T_TraitDi[#Data],COLUMN(T_TraitDi[[#This Row],[Mardi]]),FALSE),"")</f>
        <v/>
      </c>
      <c r="AO164" s="172" t="e">
        <f>IF(VLOOKUP(T_BilanSocial[[#This Row],[NumL]],T_TraitDi[#Data],COLUMN(T_TraitDi[[#This Row],[Colonne1]]),FALSE)=0,"",TEXT(IFERROR(VLOOKUP(T_BilanSocial[[#This Row],[NumL]],T_TraitDi[#Data],COLUMN(T_TraitDi[[#This Row],[Colonne1]]),FALSE),""),"[hh]:mm"))</f>
        <v>#VALUE!</v>
      </c>
      <c r="AP164" s="172" t="e">
        <f>IF(VLOOKUP(T_BilanSocial[[#This Row],[NumL]],T_TraitDi[#Data],COLUMN(T_TraitDi[[#This Row],[Colonne9]]),FALSE)=0,"",TEXT(IFERROR(VLOOKUP(T_BilanSocial[[#This Row],[NumL]],T_TraitDi[#Data],COLUMN(T_TraitDi[[#This Row],[Colonne9]]),FALSE),""),"[hh]:mm"))</f>
        <v>#VALUE!</v>
      </c>
      <c r="AQ164" s="172" t="str">
        <f>IFERROR(VLOOKUP(T_BilanSocial[[#This Row],[NumL]],T_TraitDi[#Data],COLUMN(T_TraitDi[[#This Row],[Colonne10]]),FALSE),"")</f>
        <v/>
      </c>
      <c r="AR164" s="172" t="e">
        <f>IF(VLOOKUP(T_BilanSocial[[#This Row],[NumL]],T_TraitDi[#Data],COLUMN(T_TraitDi[[#This Row],[Colonne11]]),FALSE)=0,"",TEXT(IFERROR(VLOOKUP(T_BilanSocial[[#This Row],[NumL]],T_TraitDi[#Data],COLUMN(T_TraitDi[[#This Row],[Colonne11]]),FALSE),""),"[hh]:mm"))</f>
        <v>#VALUE!</v>
      </c>
      <c r="AS164" s="172" t="e">
        <f>IF(VLOOKUP(T_BilanSocial[[#This Row],[NumL]],T_TraitDi[#Data],COLUMN(T_TraitDi[[#This Row],[Colonne12]]),FALSE)=0,"",TEXT(IFERROR(VLOOKUP(T_BilanSocial[[#This Row],[NumL]],T_TraitDi[#Data],COLUMN(T_TraitDi[[#This Row],[Colonne12]]),FALSE),""),"[hh]:mm"))</f>
        <v>#VALUE!</v>
      </c>
      <c r="AT164" s="172" t="e">
        <f>IF(VLOOKUP(T_BilanSocial[[#This Row],[NumL]],T_TraitDi[#Data],COLUMN(T_TraitDi[[#This Row],[Colonne14]]),FALSE)=0,"",TEXT(IFERROR(VLOOKUP(T_BilanSocial[[#This Row],[NumL]],T_TraitDi[#Data],COLUMN(T_TraitDi[[#This Row],[Colonne14]]),FALSE),""),"[hh]:mm"))</f>
        <v>#VALUE!</v>
      </c>
      <c r="AU164" s="172" t="str">
        <f>IFERROR(VLOOKUP(T_BilanSocial[[#This Row],[NumL]],T_TraitDi[#Data],COLUMN(T_TraitDi[[#This Row],[Mercredi]]),FALSE),"")</f>
        <v/>
      </c>
      <c r="AV164" s="172" t="e">
        <f>IF(VLOOKUP(T_BilanSocial[[#This Row],[NumL]],T_TraitDi[#Data],COLUMN(T_TraitDi[[#This Row],[Colonne15]]),FALSE)=0,"",TEXT(IFERROR(VLOOKUP(T_BilanSocial[[#This Row],[NumL]],T_TraitDi[#Data],COLUMN(T_TraitDi[[#This Row],[Colonne15]]),FALSE),""),"[hh]:mm"))</f>
        <v>#VALUE!</v>
      </c>
      <c r="AW164" s="172" t="e">
        <f>IF(VLOOKUP(T_BilanSocial[[#This Row],[NumL]],T_TraitDi[#Data],COLUMN(T_TraitDi[[#This Row],[Colonne16]]),FALSE)=0,"",TEXT(IFERROR(VLOOKUP(T_BilanSocial[[#This Row],[NumL]],T_TraitDi[#Data],COLUMN(T_TraitDi[[#This Row],[Colonne16]]),FALSE),""),"[hh]:mm"))</f>
        <v>#VALUE!</v>
      </c>
      <c r="AX164" s="172" t="str">
        <f>IFERROR(VLOOKUP(T_BilanSocial[[#This Row],[NumL]],T_TraitDi[#Data],COLUMN(T_TraitDi[[#This Row],[Colonne17]]),FALSE),"")</f>
        <v/>
      </c>
      <c r="AY164" s="172" t="e">
        <f>IF(VLOOKUP(T_BilanSocial[[#This Row],[NumL]],T_TraitDi[#Data],COLUMN(T_TraitDi[[#This Row],[Colonne18]]),FALSE)=0,"",TEXT(IFERROR(VLOOKUP(T_BilanSocial[[#This Row],[NumL]],T_TraitDi[#Data],COLUMN(T_TraitDi[[#This Row],[Colonne18]]),FALSE),""),"[hh]:mm"))</f>
        <v>#VALUE!</v>
      </c>
      <c r="AZ164" s="172" t="e">
        <f>IF(VLOOKUP(T_BilanSocial[[#This Row],[NumL]],T_TraitDi[#Data],COLUMN(T_TraitDi[[#This Row],[Colonne19]]),FALSE)=0,"",TEXT(IFERROR(VLOOKUP(T_BilanSocial[[#This Row],[NumL]],T_TraitDi[#Data],COLUMN(T_TraitDi[[#This Row],[Colonne19]]),FALSE),""),"[hh]:mm"))</f>
        <v>#VALUE!</v>
      </c>
      <c r="BA164" s="172" t="e">
        <f>IF(VLOOKUP(T_BilanSocial[[#This Row],[NumL]],T_TraitDi[#Data],COLUMN(T_TraitDi[[#This Row],[Colonne20]]),FALSE)=0,"",TEXT(IFERROR(VLOOKUP(T_BilanSocial[[#This Row],[NumL]],T_TraitDi[#Data],COLUMN(T_TraitDi[[#This Row],[Colonne20]]),FALSE),""),"[hh]:mm"))</f>
        <v>#VALUE!</v>
      </c>
      <c r="BB164" s="178" t="str">
        <f>IFERROR(VLOOKUP(T_BilanSocial[[#This Row],[NumL]],T_TraitDi[#Data],COLUMN(T_TraitDi[[#This Row],[Jeudi]]),FALSE),"")</f>
        <v/>
      </c>
      <c r="BC164" s="178" t="e">
        <f>IF(VLOOKUP(T_BilanSocial[[#This Row],[NumL]],T_TraitDi[#Data],COLUMN(T_TraitDi[[#This Row],[Colonne21]]),FALSE)=0,"",TEXT(IFERROR(VLOOKUP(T_BilanSocial[[#This Row],[NumL]],T_TraitDi[#Data],COLUMN(T_TraitDi[[#This Row],[Colonne21]]),FALSE),""),"[hh]:mm"))</f>
        <v>#VALUE!</v>
      </c>
      <c r="BD164" s="178" t="e">
        <f>IF(VLOOKUP(T_BilanSocial[[#This Row],[NumL]],T_TraitDi[#Data],COLUMN(T_TraitDi[[#This Row],[Colonne22]]),FALSE)=0,"",TEXT(IFERROR(VLOOKUP(T_BilanSocial[[#This Row],[NumL]],T_TraitDi[#Data],COLUMN(T_TraitDi[[#This Row],[Colonne22]]),FALSE),""),"[hh]:mm"))</f>
        <v>#VALUE!</v>
      </c>
      <c r="BE164" s="178" t="str">
        <f>IFERROR(VLOOKUP(T_BilanSocial[[#This Row],[NumL]],T_TraitDi[#Data],COLUMN(T_TraitDi[[#This Row],[Colonne23]]),FALSE),"")</f>
        <v/>
      </c>
      <c r="BF164" s="178" t="e">
        <f>IF(VLOOKUP(T_BilanSocial[[#This Row],[NumL]],T_TraitDi[#Data],COLUMN(T_TraitDi[[#This Row],[Colonne24]]),FALSE)=0,"",TEXT(IFERROR(VLOOKUP(T_BilanSocial[[#This Row],[NumL]],T_TraitDi[#Data],COLUMN(T_TraitDi[[#This Row],[Colonne24]]),FALSE),""),"[hh]:mm"))</f>
        <v>#VALUE!</v>
      </c>
      <c r="BG164" s="178" t="e">
        <f>IF(VLOOKUP(T_BilanSocial[[#This Row],[NumL]],T_TraitDi[#Data],COLUMN(T_TraitDi[[#This Row],[Colonne25]]),FALSE)=0,"",TEXT(IFERROR(VLOOKUP(T_BilanSocial[[#This Row],[NumL]],T_TraitDi[#Data],COLUMN(T_TraitDi[[#This Row],[Colonne25]]),FALSE),""),"[hh]:mm"))</f>
        <v>#VALUE!</v>
      </c>
      <c r="BH164" s="178" t="e">
        <f>IF(VLOOKUP(T_BilanSocial[[#This Row],[NumL]],T_TraitDi[#Data],COLUMN(T_TraitDi[[#This Row],[Colonne26]]),FALSE)=0,"",TEXT(IFERROR(VLOOKUP(T_BilanSocial[[#This Row],[NumL]],T_TraitDi[#Data],COLUMN(T_TraitDi[[#This Row],[Colonne26]]),FALSE),""),"[hh]:mm"))</f>
        <v>#VALUE!</v>
      </c>
      <c r="BI164" s="172" t="str">
        <f>IFERROR(VLOOKUP(T_BilanSocial[[#This Row],[NumL]],T_TraitDi[#Data],COLUMN(T_TraitDi[[#This Row],[Vendredi]]),FALSE),"")</f>
        <v/>
      </c>
      <c r="BJ164" s="172" t="e">
        <f>IF(VLOOKUP(T_BilanSocial[[#This Row],[NumL]],T_TraitDi[#Data],COLUMN(T_TraitDi[[#This Row],[Colonne27]]),FALSE)=0,"",TEXT(IFERROR(VLOOKUP(T_BilanSocial[[#This Row],[NumL]],T_TraitDi[#Data],COLUMN(T_TraitDi[[#This Row],[Colonne27]]),FALSE),""),"[hh]:mm"))</f>
        <v>#VALUE!</v>
      </c>
      <c r="BK164" s="172" t="e">
        <f>IF(VLOOKUP(T_BilanSocial[[#This Row],[NumL]],T_TraitDi[#Data],COLUMN(T_TraitDi[[#This Row],[Colonne28]]),FALSE)=0,"",TEXT(IFERROR(VLOOKUP(T_BilanSocial[[#This Row],[NumL]],T_TraitDi[#Data],COLUMN(T_TraitDi[[#This Row],[Colonne28]]),FALSE),""),"[hh]:mm"))</f>
        <v>#VALUE!</v>
      </c>
      <c r="BL164" s="172" t="str">
        <f>IFERROR(VLOOKUP(T_BilanSocial[[#This Row],[NumL]],T_TraitDi[#Data],COLUMN(T_TraitDi[[#This Row],[Colonne29]]),FALSE),"")</f>
        <v/>
      </c>
      <c r="BM164" s="172" t="e">
        <f>IF(VLOOKUP(T_BilanSocial[[#This Row],[NumL]],T_TraitDi[#Data],COLUMN(T_TraitDi[[#This Row],[Colonne30]]),FALSE)=0,"",TEXT(IFERROR(VLOOKUP(T_BilanSocial[[#This Row],[NumL]],T_TraitDi[#Data],COLUMN(T_TraitDi[[#This Row],[Colonne30]]),FALSE),""),"[hh]:mm"))</f>
        <v>#VALUE!</v>
      </c>
      <c r="BN164" s="172" t="e">
        <f>IF(VLOOKUP(T_BilanSocial[[#This Row],[NumL]],T_TraitDi[#Data],COLUMN(T_TraitDi[[#This Row],[Colonne31]]),FALSE)=0,"",TEXT(IFERROR(VLOOKUP(T_BilanSocial[[#This Row],[NumL]],T_TraitDi[#Data],COLUMN(T_TraitDi[[#This Row],[Colonne31]]),FALSE),""),"[hh]:mm"))</f>
        <v>#VALUE!</v>
      </c>
      <c r="BO164" s="172" t="e">
        <f>IF(VLOOKUP(T_BilanSocial[[#This Row],[NumL]],T_TraitDi[#Data],COLUMN(T_TraitDi[[#This Row],[Colonne32]]),FALSE)=0,"",TEXT(IFERROR(VLOOKUP(T_BilanSocial[[#This Row],[NumL]],T_TraitDi[#Data],COLUMN(T_TraitDi[[#This Row],[Colonne32]]),FALSE),""),"[hh]:mm"))</f>
        <v>#VALUE!</v>
      </c>
      <c r="BP164" s="172" t="e">
        <f>VLOOKUP(T_BilanSocial[[#This Row],[NumL]],T_TraitDi[#Data],COLUMN(T_TraitDi[NbJTot]),FALSE)</f>
        <v>#N/A</v>
      </c>
      <c r="BQ164" s="174" t="str">
        <f>IFERROR(VLOOKUP(T_BilanSocial[[#This Row],[NumL]],T_TraitDi[#Data],COLUMN(T_TraitDi[[#This Row],[NbJTW]]),FALSE),"")</f>
        <v/>
      </c>
      <c r="BR164" s="174" t="e">
        <f>IF(VLOOKUP(T_BilanSocial[[#This Row],[NumL]],T_TraitDi[#Data],COLUMN(T_TraitDi[[#This Row],[NbhTW]]),FALSE)=0,"",TEXT(IFERROR(VLOOKUP(T_BilanSocial[[#This Row],[NumL]],T_TraitDi[#Data],COLUMN(T_TraitDi[[#This Row],[NbhTW]]),FALSE),""),"[hh]:mm"))</f>
        <v>#VALUE!</v>
      </c>
      <c r="BS164" s="174" t="e">
        <f>IF(VLOOKUP(T_BilanSocial[[#This Row],[NumL]],T_TraitDi[#Data],COLUMN(T_TraitDi[[#This Row],[Nbhheb]]),FALSE)=0,"",TEXT(IFERROR(VLOOKUP($A164,T_TraitDi[#Data],COLUMN(T_TraitDi[[#This Row],[Nbhheb]]),FALSE),""),"[hh]:mm"))</f>
        <v>#VALUE!</v>
      </c>
      <c r="BT164" s="182" t="str">
        <f>IFERROR(VLOOKUP(VLOOKUP($A164,T_TraitDi[#Data],COLUMN(T_TraitDi[[#This Row],[Type1]]),FALSE),TypeTW,2,FALSE),"")</f>
        <v/>
      </c>
      <c r="BU164" s="182" t="str">
        <f>IFERROR(VLOOKUP($A164,T_TraitDi[#Data],COLUMN(T_TraitDi[[#This Row],[Rue1]]),FALSE),"")</f>
        <v/>
      </c>
      <c r="BV164" s="173" t="str">
        <f>IFERROR(VLOOKUP($A164,T_TraitDi[#Data],COLUMN(T_TraitDi[[#This Row],[CP1]]),FALSE),"")</f>
        <v/>
      </c>
      <c r="BW164" s="173" t="str">
        <f>IFERROR(VLOOKUP($A164,T_TraitDi[#Data],COLUMN(T_TraitDi[[#This Row],[VILLE1]]),FALSE),"")</f>
        <v/>
      </c>
      <c r="BX164" s="182" t="str">
        <f>IFERROR(VLOOKUP(VLOOKUP($A164,T_TraitDi[#Data],COLUMN(T_TraitDi[[#This Row],[Type2]]),FALSE),TypeTW,2,FALSE),"")</f>
        <v/>
      </c>
      <c r="BY164" s="182" t="str">
        <f>IFERROR(VLOOKUP($A164,T_TraitDi[#Data],COLUMN(T_TraitDi[[#This Row],[Rue2]]),FALSE),"")</f>
        <v/>
      </c>
      <c r="BZ164" s="173" t="str">
        <f>IFERROR(VLOOKUP($A164,T_TraitDi[#Data],COLUMN(T_TraitDi[[#This Row],[CP2]]),FALSE),"")</f>
        <v/>
      </c>
      <c r="CA164" s="173" t="str">
        <f>IFERROR(VLOOKUP($A164,T_TraitDi[#Data],COLUMN(T_TraitDi[[#This Row],[VILLE2]]),FALSE),"")</f>
        <v/>
      </c>
      <c r="CB164" s="182" t="str">
        <f>IF(VLOOKUP(T_BilanSocial[[#This Row],[NumL]],T_Equipement[#Data],COLUMN(T_Equipement[[#This Row],[PC]]),FALSE)="","Aucun équipement spécifique directement lié au télétravail",VLOOKUP(T_BilanSocial[[#This Row],[NumL]],T_Equipement[#Data],COLUMN(T_Equipement[[#This Row],[PC]]),FALSE))</f>
        <v xml:space="preserve">16-412	</v>
      </c>
      <c r="CC164" s="166" t="str">
        <f>IFERROR(IF(VLOOKUP(T_BilanSocial[[#This Row],[NumL]],T_TraitDi[#Data],COLUMN(T_TraitDi[[#This Row],[Plan]]),FALSE)="OK","Un planning spécifique de télétravail est annexé à la présente convention.",""),"")</f>
        <v/>
      </c>
      <c r="CD164" s="185"/>
      <c r="CE164" s="164" t="e">
        <f>IF(VLOOKUP(T_BilanSocial[[#This Row],[NumL]],T_suiviDi[#Data],COLUMN(T_suiviDi[[#This Row],[Entité]]),FALSE)="","",VLOOKUP(T_BilanSocial[[#This Row],[NumL]],T_suiviDi[#Data],COLUMN(T_suiviDi[[#This Row],[Entité]]),FALSE))</f>
        <v>#VALUE!</v>
      </c>
      <c r="CF164" s="164" t="str">
        <f>IF(VLOOKUP(T_BilanSocial[[#This Row],[NumL]],T_Commission[#Data],COLUMN(T_Commission[[#This Row],[envoi confirm TW]]),FALSE)="","",VLOOKUP(T_BilanSocial[[#This Row],[NumL]],T_Commission[#Data],COLUMN(T_Commission[[#This Row],[envoi confirm TW]]),FALSE))</f>
        <v>Oui</v>
      </c>
      <c r="CG16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4" s="262" t="str">
        <f>T_BilanSocial[[#This Row],[Nom]]&amp;T_BilanSocial[[#This Row],[Prenom]]</f>
        <v/>
      </c>
      <c r="CI164" s="262">
        <f>VLOOKUP(T_BilanSocial[[#This Row],[NumL]],T_Commission[#Data],COLUMN(T_Commission[Commentaire]),FALSE)</f>
        <v>0</v>
      </c>
      <c r="CJ164" s="262" t="str">
        <f>IF(VLOOKUP(T_BilanSocial[[#This Row],[NumL]],T_Commission[#Data],COLUMN(T_Commission[Encadrant Email]),FALSE)="","",VLOOKUP(T_BilanSocial[[#This Row],[NumL]],T_Commission[#Data],COLUMN(T_Commission[Encadrant Email]),FALSE))</f>
        <v/>
      </c>
      <c r="CK164" s="340" t="str">
        <f>IF(T_BilanSocial[[#This Row],[Final]]&lt;&gt;"",VLOOKUP(T_BilanSocial[[#This Row],[NumL]],T_suiviDi[#Data],COLUMN((T_suiviDi[Statut])),FALSE),"")</f>
        <v/>
      </c>
    </row>
    <row r="165" spans="1:89" s="106" customFormat="1" ht="24.75" customHeight="1" x14ac:dyDescent="0.25">
      <c r="A165" s="160">
        <v>162</v>
      </c>
      <c r="B165" s="161" t="str">
        <f t="shared" si="22"/>
        <v/>
      </c>
      <c r="C165" s="162" t="s">
        <v>3287</v>
      </c>
      <c r="D165" s="95" t="e">
        <f>IF(VLOOKUP(T_BilanSocial[[#This Row],[NumL]],T_TraitDi[#Data],COLUMN(T_TraitDi[[#This Row],[WebC]]),FALSE)="","",VLOOKUP(T_BilanSocial[[#This Row],[NumL]],T_TraitDi[#Data],COLUMN(T_TraitDi[[#This Row],[WebC]]),FALSE))</f>
        <v>#VALUE!</v>
      </c>
      <c r="E165" s="163" t="str">
        <f t="shared" si="23"/>
        <v>12 janvier 2021</v>
      </c>
      <c r="F165" s="96" t="str">
        <f>IF(T_BilanSocial[[#This Row],[Final]]&lt;&gt;"",VLOOKUP(T_BilanSocial[[#This Row],[NumL]],T_suiviDi[#Data],COLUMN((T_suiviDi[Civ.])),FALSE),"")</f>
        <v/>
      </c>
      <c r="G165" s="96" t="str">
        <f>IF(T_BilanSocial[[#This Row],[Final]]&lt;&gt;"",VLOOKUP(T_BilanSocial[[#This Row],[NumL]],T_suiviDi[#Data],COLUMN((T_suiviDi[Nom])),FALSE),"")</f>
        <v/>
      </c>
      <c r="H165" s="96" t="str">
        <f>IF(T_BilanSocial[[#This Row],[Final]]&lt;&gt;"",VLOOKUP(T_BilanSocial[[#This Row],[NumL]],T_suiviDi[#Data],COLUMN((T_suiviDi[Prénom])),FALSE),"")</f>
        <v/>
      </c>
      <c r="I165" s="96" t="str">
        <f>IFERROR(VLOOKUP(T_BilanSocial[[#This Row],[Zone_Bilan]],T_P_BilanSocial[#Data],COLUMN(T_P_BilanSocial[[#This Row],[Numero_SIHAM]]),FALSE),"")</f>
        <v/>
      </c>
      <c r="J165" s="96" t="str">
        <f>IFERROR(VLOOKUP(T_BilanSocial[[#This Row],[Zone_Bilan]],T_P_BilanSocial[#Data],COLUMN(T_P_BilanSocial[[#This Row],[Sexe]]),FALSE),"")</f>
        <v/>
      </c>
      <c r="K165" s="97" t="str">
        <f>IFERROR(VLOOKUP(T_BilanSocial[[#This Row],[Zone_Bilan]],T_P_BilanSocial[#Data],COLUMN(T_P_BilanSocial[[#This Row],[Categorie]]),FALSE),"")</f>
        <v/>
      </c>
      <c r="L165" s="96" t="str">
        <f>IFERROR(VLOOKUP(T_BilanSocial[[#This Row],[Zone_Bilan]],T_P_BilanSocial[#Data],COLUMN(T_P_BilanSocial[[#This Row],[Statut]]),FALSE),"")</f>
        <v/>
      </c>
      <c r="M165" s="96" t="str">
        <f>IFERROR(VLOOKUP(T_BilanSocial[[#This Row],[Zone_Bilan]],T_P_BilanSocial[#Data],COLUMN(T_P_BilanSocial[[#This Row],[Filiere]]),FALSE),"")</f>
        <v/>
      </c>
      <c r="N165" s="96" t="e">
        <f>VLOOKUP(T_BilanSocial[[#This Row],[NumL]],T_TraitDi[#Data],COLUMN(T_TraitDi[EXP]),FALSE)</f>
        <v>#N/A</v>
      </c>
      <c r="O165" s="96" t="e">
        <f>VLOOKUP(T_BilanSocial[[#This Row],[NumL]],T_TraitDi[#Data],COLUMN(T_TraitDi[FORM]),FALSE)</f>
        <v>#N/A</v>
      </c>
      <c r="P165" s="96" t="str">
        <f>IF(T_BilanSocial[[#This Row],[Final]]&lt;&gt;"",VLOOKUP(T_BilanSocial[[#This Row],[NumL]],T_suiviDi[#Data],COLUMN((T_suiviDi[Email])),FALSE),"")</f>
        <v/>
      </c>
      <c r="Q165" s="164" t="e">
        <f t="shared" si="28"/>
        <v>#N/A</v>
      </c>
      <c r="R165" s="164" t="e">
        <f t="shared" si="29"/>
        <v>#N/A</v>
      </c>
      <c r="S165" s="164" t="e">
        <f>IF(VLOOKUP(T_BilanSocial[[#This Row],[NumL]],T_suiviDi[#Data],COLUMN(T_suiviDi[[#This Row],[Service ]]),FALSE)="","",VLOOKUP(T_BilanSocial[[#This Row],[NumL]],T_suiviDi[#Data],COLUMN(T_suiviDi[[#This Row],[Service ]]),FALSE))</f>
        <v>#VALUE!</v>
      </c>
      <c r="T165" s="164" t="str">
        <f t="shared" si="24"/>
        <v>01 septembre 2021</v>
      </c>
      <c r="U165" s="164" t="str">
        <f t="shared" si="25"/>
        <v>30 novembre 2021</v>
      </c>
      <c r="V165" s="164" t="str">
        <f>TEXT(Datebilan,"jj mmmm aaaa")</f>
        <v>30 novembre 2021</v>
      </c>
      <c r="W165" s="176" t="e">
        <f>IF(VLOOKUP(T_BilanSocial[[#This Row],[NumL]],T_TraitDi[#Data],COLUMN(T_TraitDi[[#This Row],[M1]]),FALSE)="","",VLOOKUP(T_BilanSocial[[#This Row],[NumL]],T_TraitDi[#Data],COLUMN(T_TraitDi[[#This Row],[M1]]),FALSE))</f>
        <v>#VALUE!</v>
      </c>
      <c r="X165" s="176" t="e">
        <f>IF(VLOOKUP(T_BilanSocial[[#This Row],[NumL]],T_TraitDi[#Data],COLUMN(T_TraitDi[[#This Row],[M2]]),FALSE)="","",VLOOKUP(T_BilanSocial[[#This Row],[NumL]],T_TraitDi[#Data],COLUMN(T_TraitDi[[#This Row],[M2]]),FALSE))</f>
        <v>#VALUE!</v>
      </c>
      <c r="Y165" s="176" t="e">
        <f>IF(VLOOKUP(T_BilanSocial[[#This Row],[NumL]],T_TraitDi[#Data],COLUMN(T_TraitDi[[#This Row],[M3]]),FALSE)="","",VLOOKUP(T_BilanSocial[[#This Row],[NumL]],T_TraitDi[#Data],COLUMN(T_TraitDi[[#This Row],[M3]]),FALSE))</f>
        <v>#VALUE!</v>
      </c>
      <c r="Z165" s="176" t="str">
        <f t="shared" si="27"/>
        <v/>
      </c>
      <c r="AA165" s="176" t="e">
        <f>IF(VLOOKUP(T_BilanSocial[[#This Row],[NumL]],T_TraitDi[#Data],COLUMN(T_TraitDi[[#This Row],[M5]]),FALSE)="","",VLOOKUP(T_BilanSocial[[#This Row],[NumL]],T_TraitDi[#Data],COLUMN(T_TraitDi[[#This Row],[M5]]),FALSE))</f>
        <v>#VALUE!</v>
      </c>
      <c r="AB165" s="176" t="e">
        <f>IF(VLOOKUP(T_BilanSocial[[#This Row],[NumL]],T_TraitDi[#Data],COLUMN(T_TraitDi[[#This Row],[M6]]),FALSE)="","",VLOOKUP(T_BilanSocial[[#This Row],[NumL]],T_TraitDi[#Data],COLUMN(T_TraitDi[[#This Row],[M6]]),FALSE))</f>
        <v>#VALUE!</v>
      </c>
      <c r="AC165" s="165" t="e">
        <f t="shared" si="26"/>
        <v>#VALUE!</v>
      </c>
      <c r="AD165" s="188" t="str">
        <f>IFERROR(TEXT(VLOOKUP(T_BilanSocial[[#This Row],[NumL]],T_TraitDi[#Data],COLUMN(T_TraitDi[[#This Row],[Q2]]),FALSE),"###%"),"")</f>
        <v/>
      </c>
      <c r="AE165" s="97" t="e">
        <f>VLOOKUP(T_BilanSocial[[#This Row],[NumL]],T_TraitDi[#Data],COLUMN(T_TraitDi[[#This Row],[Reg Ponct]]),FALSE)</f>
        <v>#VALUE!</v>
      </c>
      <c r="AF165" s="97" t="e">
        <f>VLOOKUP(T_BilanSocial[NumL],T_TraitDi[#Data],COLUMN(T_TraitDi[[#This Row],[Jours flottants]]),FALSE)</f>
        <v>#VALUE!</v>
      </c>
      <c r="AG165" s="97" t="str">
        <f>IFERROR(VLOOKUP(T_BilanSocial[[#This Row],[NumL]],T_TraitDi[#Data],COLUMN(T_TraitDi[[#This Row],[Lundi]]),FALSE),"")</f>
        <v/>
      </c>
      <c r="AH165" s="172" t="e">
        <f>IF(VLOOKUP(T_BilanSocial[[#This Row],[NumL]],T_TraitDi[#Data],COLUMN(T_TraitDi[[#This Row],[Colonne3]]),FALSE)=0,"",TEXT(IFERROR(VLOOKUP(T_BilanSocial[[#This Row],[NumL]],T_TraitDi[#Data],COLUMN(T_TraitDi[[#This Row],[Colonne3]]),FALSE),""),"[hh]:mm"))</f>
        <v>#VALUE!</v>
      </c>
      <c r="AI165" s="172" t="e">
        <f>IF(VLOOKUP(T_BilanSocial[[#This Row],[NumL]],T_TraitDi[#Data],COLUMN(T_TraitDi[[#This Row],[Colonne4]]),FALSE)=0,"",TEXT(IFERROR(VLOOKUP(T_BilanSocial[[#This Row],[NumL]],T_TraitDi[#Data],COLUMN(T_TraitDi[[#This Row],[Colonne4]]),FALSE),""),"[hh]:mm"))</f>
        <v>#VALUE!</v>
      </c>
      <c r="AJ165" s="172" t="e">
        <f>IF(VLOOKUP(T_BilanSocial[[#This Row],[NumL]],T_TraitDi[#Data],COLUMN(T_TraitDi[[#This Row],[Colonne5]]),FALSE)=0,"",TEXT(IFERROR(VLOOKUP(T_BilanSocial[[#This Row],[NumL]],T_TraitDi[#Data],COLUMN(T_TraitDi[[#This Row],[Colonne5]]),FALSE),""),"[hh]:mm"))</f>
        <v>#VALUE!</v>
      </c>
      <c r="AK165" s="172" t="e">
        <f>IF(VLOOKUP(T_BilanSocial[[#This Row],[NumL]],T_TraitDi[#Data],COLUMN(T_TraitDi[[#This Row],[Colonne6]]),FALSE)=0,"",TEXT(IFERROR(VLOOKUP(T_BilanSocial[[#This Row],[NumL]],T_TraitDi[#Data],COLUMN(T_TraitDi[[#This Row],[Colonne6]]),FALSE),""),"[hh]:mm"))</f>
        <v>#VALUE!</v>
      </c>
      <c r="AL165" s="172" t="e">
        <f>IF(VLOOKUP(T_BilanSocial[[#This Row],[NumL]],T_TraitDi[#Data],COLUMN(T_TraitDi[[#This Row],[Colonne7]]),FALSE)=0,"",TEXT(IFERROR(VLOOKUP(T_BilanSocial[[#This Row],[NumL]],T_TraitDi[#Data],COLUMN(T_TraitDi[[#This Row],[Colonne7]]),FALSE),""),"[hh]:mm"))</f>
        <v>#VALUE!</v>
      </c>
      <c r="AM165" s="172" t="e">
        <f>IF(VLOOKUP(T_BilanSocial[[#This Row],[NumL]],T_TraitDi[#Data],COLUMN(T_TraitDi[[#This Row],[Colonne8]]),FALSE)=0,"",TEXT(IFERROR(VLOOKUP(T_BilanSocial[[#This Row],[NumL]],T_TraitDi[#Data],COLUMN(T_TraitDi[[#This Row],[Colonne8]]),FALSE),""),"[hh]:mm"))</f>
        <v>#VALUE!</v>
      </c>
      <c r="AN165" s="172" t="str">
        <f>IFERROR(VLOOKUP(T_BilanSocial[[#This Row],[NumL]],T_TraitDi[#Data],COLUMN(T_TraitDi[[#This Row],[Mardi]]),FALSE),"")</f>
        <v/>
      </c>
      <c r="AO165" s="172" t="e">
        <f>IF(VLOOKUP(T_BilanSocial[[#This Row],[NumL]],T_TraitDi[#Data],COLUMN(T_TraitDi[[#This Row],[Colonne1]]),FALSE)=0,"",TEXT(IFERROR(VLOOKUP(T_BilanSocial[[#This Row],[NumL]],T_TraitDi[#Data],COLUMN(T_TraitDi[[#This Row],[Colonne1]]),FALSE),""),"[hh]:mm"))</f>
        <v>#VALUE!</v>
      </c>
      <c r="AP165" s="172" t="e">
        <f>IF(VLOOKUP(T_BilanSocial[[#This Row],[NumL]],T_TraitDi[#Data],COLUMN(T_TraitDi[[#This Row],[Colonne9]]),FALSE)=0,"",TEXT(IFERROR(VLOOKUP(T_BilanSocial[[#This Row],[NumL]],T_TraitDi[#Data],COLUMN(T_TraitDi[[#This Row],[Colonne9]]),FALSE),""),"[hh]:mm"))</f>
        <v>#VALUE!</v>
      </c>
      <c r="AQ165" s="172" t="str">
        <f>IFERROR(VLOOKUP(T_BilanSocial[[#This Row],[NumL]],T_TraitDi[#Data],COLUMN(T_TraitDi[[#This Row],[Colonne10]]),FALSE),"")</f>
        <v/>
      </c>
      <c r="AR165" s="172" t="e">
        <f>IF(VLOOKUP(T_BilanSocial[[#This Row],[NumL]],T_TraitDi[#Data],COLUMN(T_TraitDi[[#This Row],[Colonne11]]),FALSE)=0,"",TEXT(IFERROR(VLOOKUP(T_BilanSocial[[#This Row],[NumL]],T_TraitDi[#Data],COLUMN(T_TraitDi[[#This Row],[Colonne11]]),FALSE),""),"[hh]:mm"))</f>
        <v>#VALUE!</v>
      </c>
      <c r="AS165" s="172" t="e">
        <f>IF(VLOOKUP(T_BilanSocial[[#This Row],[NumL]],T_TraitDi[#Data],COLUMN(T_TraitDi[[#This Row],[Colonne12]]),FALSE)=0,"",TEXT(IFERROR(VLOOKUP(T_BilanSocial[[#This Row],[NumL]],T_TraitDi[#Data],COLUMN(T_TraitDi[[#This Row],[Colonne12]]),FALSE),""),"[hh]:mm"))</f>
        <v>#VALUE!</v>
      </c>
      <c r="AT165" s="172" t="e">
        <f>IF(VLOOKUP(T_BilanSocial[[#This Row],[NumL]],T_TraitDi[#Data],COLUMN(T_TraitDi[[#This Row],[Colonne14]]),FALSE)=0,"",TEXT(IFERROR(VLOOKUP(T_BilanSocial[[#This Row],[NumL]],T_TraitDi[#Data],COLUMN(T_TraitDi[[#This Row],[Colonne14]]),FALSE),""),"[hh]:mm"))</f>
        <v>#VALUE!</v>
      </c>
      <c r="AU165" s="172" t="str">
        <f>IFERROR(VLOOKUP(T_BilanSocial[[#This Row],[NumL]],T_TraitDi[#Data],COLUMN(T_TraitDi[[#This Row],[Mercredi]]),FALSE),"")</f>
        <v/>
      </c>
      <c r="AV165" s="172" t="e">
        <f>IF(VLOOKUP(T_BilanSocial[[#This Row],[NumL]],T_TraitDi[#Data],COLUMN(T_TraitDi[[#This Row],[Colonne15]]),FALSE)=0,"",TEXT(IFERROR(VLOOKUP(T_BilanSocial[[#This Row],[NumL]],T_TraitDi[#Data],COLUMN(T_TraitDi[[#This Row],[Colonne15]]),FALSE),""),"[hh]:mm"))</f>
        <v>#VALUE!</v>
      </c>
      <c r="AW165" s="172" t="e">
        <f>IF(VLOOKUP(T_BilanSocial[[#This Row],[NumL]],T_TraitDi[#Data],COLUMN(T_TraitDi[[#This Row],[Colonne16]]),FALSE)=0,"",TEXT(IFERROR(VLOOKUP(T_BilanSocial[[#This Row],[NumL]],T_TraitDi[#Data],COLUMN(T_TraitDi[[#This Row],[Colonne16]]),FALSE),""),"[hh]:mm"))</f>
        <v>#VALUE!</v>
      </c>
      <c r="AX165" s="172" t="str">
        <f>IFERROR(VLOOKUP(T_BilanSocial[[#This Row],[NumL]],T_TraitDi[#Data],COLUMN(T_TraitDi[[#This Row],[Colonne17]]),FALSE),"")</f>
        <v/>
      </c>
      <c r="AY165" s="172" t="e">
        <f>IF(VLOOKUP(T_BilanSocial[[#This Row],[NumL]],T_TraitDi[#Data],COLUMN(T_TraitDi[[#This Row],[Colonne18]]),FALSE)=0,"",TEXT(IFERROR(VLOOKUP(T_BilanSocial[[#This Row],[NumL]],T_TraitDi[#Data],COLUMN(T_TraitDi[[#This Row],[Colonne18]]),FALSE),""),"[hh]:mm"))</f>
        <v>#VALUE!</v>
      </c>
      <c r="AZ165" s="172" t="e">
        <f>IF(VLOOKUP(T_BilanSocial[[#This Row],[NumL]],T_TraitDi[#Data],COLUMN(T_TraitDi[[#This Row],[Colonne19]]),FALSE)=0,"",TEXT(IFERROR(VLOOKUP(T_BilanSocial[[#This Row],[NumL]],T_TraitDi[#Data],COLUMN(T_TraitDi[[#This Row],[Colonne19]]),FALSE),""),"[hh]:mm"))</f>
        <v>#VALUE!</v>
      </c>
      <c r="BA165" s="172" t="e">
        <f>IF(VLOOKUP(T_BilanSocial[[#This Row],[NumL]],T_TraitDi[#Data],COLUMN(T_TraitDi[[#This Row],[Colonne20]]),FALSE)=0,"",TEXT(IFERROR(VLOOKUP(T_BilanSocial[[#This Row],[NumL]],T_TraitDi[#Data],COLUMN(T_TraitDi[[#This Row],[Colonne20]]),FALSE),""),"[hh]:mm"))</f>
        <v>#VALUE!</v>
      </c>
      <c r="BB165" s="178" t="str">
        <f>IFERROR(VLOOKUP(T_BilanSocial[[#This Row],[NumL]],T_TraitDi[#Data],COLUMN(T_TraitDi[[#This Row],[Jeudi]]),FALSE),"")</f>
        <v/>
      </c>
      <c r="BC165" s="178" t="e">
        <f>IF(VLOOKUP(T_BilanSocial[[#This Row],[NumL]],T_TraitDi[#Data],COLUMN(T_TraitDi[[#This Row],[Colonne21]]),FALSE)=0,"",TEXT(IFERROR(VLOOKUP(T_BilanSocial[[#This Row],[NumL]],T_TraitDi[#Data],COLUMN(T_TraitDi[[#This Row],[Colonne21]]),FALSE),""),"[hh]:mm"))</f>
        <v>#VALUE!</v>
      </c>
      <c r="BD165" s="178" t="e">
        <f>IF(VLOOKUP(T_BilanSocial[[#This Row],[NumL]],T_TraitDi[#Data],COLUMN(T_TraitDi[[#This Row],[Colonne22]]),FALSE)=0,"",TEXT(IFERROR(VLOOKUP(T_BilanSocial[[#This Row],[NumL]],T_TraitDi[#Data],COLUMN(T_TraitDi[[#This Row],[Colonne22]]),FALSE),""),"[hh]:mm"))</f>
        <v>#VALUE!</v>
      </c>
      <c r="BE165" s="178" t="str">
        <f>IFERROR(VLOOKUP(T_BilanSocial[[#This Row],[NumL]],T_TraitDi[#Data],COLUMN(T_TraitDi[[#This Row],[Colonne23]]),FALSE),"")</f>
        <v/>
      </c>
      <c r="BF165" s="178" t="e">
        <f>IF(VLOOKUP(T_BilanSocial[[#This Row],[NumL]],T_TraitDi[#Data],COLUMN(T_TraitDi[[#This Row],[Colonne24]]),FALSE)=0,"",TEXT(IFERROR(VLOOKUP(T_BilanSocial[[#This Row],[NumL]],T_TraitDi[#Data],COLUMN(T_TraitDi[[#This Row],[Colonne24]]),FALSE),""),"[hh]:mm"))</f>
        <v>#VALUE!</v>
      </c>
      <c r="BG165" s="178" t="e">
        <f>IF(VLOOKUP(T_BilanSocial[[#This Row],[NumL]],T_TraitDi[#Data],COLUMN(T_TraitDi[[#This Row],[Colonne25]]),FALSE)=0,"",TEXT(IFERROR(VLOOKUP(T_BilanSocial[[#This Row],[NumL]],T_TraitDi[#Data],COLUMN(T_TraitDi[[#This Row],[Colonne25]]),FALSE),""),"[hh]:mm"))</f>
        <v>#VALUE!</v>
      </c>
      <c r="BH165" s="178" t="e">
        <f>IF(VLOOKUP(T_BilanSocial[[#This Row],[NumL]],T_TraitDi[#Data],COLUMN(T_TraitDi[[#This Row],[Colonne26]]),FALSE)=0,"",TEXT(IFERROR(VLOOKUP(T_BilanSocial[[#This Row],[NumL]],T_TraitDi[#Data],COLUMN(T_TraitDi[[#This Row],[Colonne26]]),FALSE),""),"[hh]:mm"))</f>
        <v>#VALUE!</v>
      </c>
      <c r="BI165" s="172" t="str">
        <f>IFERROR(VLOOKUP(T_BilanSocial[[#This Row],[NumL]],T_TraitDi[#Data],COLUMN(T_TraitDi[[#This Row],[Vendredi]]),FALSE),"")</f>
        <v/>
      </c>
      <c r="BJ165" s="172" t="e">
        <f>IF(VLOOKUP(T_BilanSocial[[#This Row],[NumL]],T_TraitDi[#Data],COLUMN(T_TraitDi[[#This Row],[Colonne27]]),FALSE)=0,"",TEXT(IFERROR(VLOOKUP(T_BilanSocial[[#This Row],[NumL]],T_TraitDi[#Data],COLUMN(T_TraitDi[[#This Row],[Colonne27]]),FALSE),""),"[hh]:mm"))</f>
        <v>#VALUE!</v>
      </c>
      <c r="BK165" s="172" t="e">
        <f>IF(VLOOKUP(T_BilanSocial[[#This Row],[NumL]],T_TraitDi[#Data],COLUMN(T_TraitDi[[#This Row],[Colonne28]]),FALSE)=0,"",TEXT(IFERROR(VLOOKUP(T_BilanSocial[[#This Row],[NumL]],T_TraitDi[#Data],COLUMN(T_TraitDi[[#This Row],[Colonne28]]),FALSE),""),"[hh]:mm"))</f>
        <v>#VALUE!</v>
      </c>
      <c r="BL165" s="172" t="str">
        <f>IFERROR(VLOOKUP(T_BilanSocial[[#This Row],[NumL]],T_TraitDi[#Data],COLUMN(T_TraitDi[[#This Row],[Colonne29]]),FALSE),"")</f>
        <v/>
      </c>
      <c r="BM165" s="172" t="e">
        <f>IF(VLOOKUP(T_BilanSocial[[#This Row],[NumL]],T_TraitDi[#Data],COLUMN(T_TraitDi[[#This Row],[Colonne30]]),FALSE)=0,"",TEXT(IFERROR(VLOOKUP(T_BilanSocial[[#This Row],[NumL]],T_TraitDi[#Data],COLUMN(T_TraitDi[[#This Row],[Colonne30]]),FALSE),""),"[hh]:mm"))</f>
        <v>#VALUE!</v>
      </c>
      <c r="BN165" s="172" t="e">
        <f>IF(VLOOKUP(T_BilanSocial[[#This Row],[NumL]],T_TraitDi[#Data],COLUMN(T_TraitDi[[#This Row],[Colonne31]]),FALSE)=0,"",TEXT(IFERROR(VLOOKUP(T_BilanSocial[[#This Row],[NumL]],T_TraitDi[#Data],COLUMN(T_TraitDi[[#This Row],[Colonne31]]),FALSE),""),"[hh]:mm"))</f>
        <v>#VALUE!</v>
      </c>
      <c r="BO165" s="172" t="e">
        <f>IF(VLOOKUP(T_BilanSocial[[#This Row],[NumL]],T_TraitDi[#Data],COLUMN(T_TraitDi[[#This Row],[Colonne32]]),FALSE)=0,"",TEXT(IFERROR(VLOOKUP(T_BilanSocial[[#This Row],[NumL]],T_TraitDi[#Data],COLUMN(T_TraitDi[[#This Row],[Colonne32]]),FALSE),""),"[hh]:mm"))</f>
        <v>#VALUE!</v>
      </c>
      <c r="BP165" s="172" t="e">
        <f>VLOOKUP(T_BilanSocial[[#This Row],[NumL]],T_TraitDi[#Data],COLUMN(T_TraitDi[NbJTot]),FALSE)</f>
        <v>#N/A</v>
      </c>
      <c r="BQ165" s="174" t="str">
        <f>IFERROR(VLOOKUP(T_BilanSocial[[#This Row],[NumL]],T_TraitDi[#Data],COLUMN(T_TraitDi[[#This Row],[NbJTW]]),FALSE),"")</f>
        <v/>
      </c>
      <c r="BR165" s="174" t="e">
        <f>IF(VLOOKUP(T_BilanSocial[[#This Row],[NumL]],T_TraitDi[#Data],COLUMN(T_TraitDi[[#This Row],[NbhTW]]),FALSE)=0,"",TEXT(IFERROR(VLOOKUP(T_BilanSocial[[#This Row],[NumL]],T_TraitDi[#Data],COLUMN(T_TraitDi[[#This Row],[NbhTW]]),FALSE),""),"[hh]:mm"))</f>
        <v>#VALUE!</v>
      </c>
      <c r="BS165" s="174" t="e">
        <f>IF(VLOOKUP(T_BilanSocial[[#This Row],[NumL]],T_TraitDi[#Data],COLUMN(T_TraitDi[[#This Row],[Nbhheb]]),FALSE)=0,"",TEXT(IFERROR(VLOOKUP($A165,T_TraitDi[#Data],COLUMN(T_TraitDi[[#This Row],[Nbhheb]]),FALSE),""),"[hh]:mm"))</f>
        <v>#VALUE!</v>
      </c>
      <c r="BT165" s="182" t="str">
        <f>IFERROR(VLOOKUP(VLOOKUP($A165,T_TraitDi[#Data],COLUMN(T_TraitDi[[#This Row],[Type1]]),FALSE),TypeTW,2,FALSE),"")</f>
        <v/>
      </c>
      <c r="BU165" s="182" t="str">
        <f>IFERROR(VLOOKUP($A165,T_TraitDi[#Data],COLUMN(T_TraitDi[[#This Row],[Rue1]]),FALSE),"")</f>
        <v/>
      </c>
      <c r="BV165" s="173" t="str">
        <f>IFERROR(VLOOKUP($A165,T_TraitDi[#Data],COLUMN(T_TraitDi[[#This Row],[CP1]]),FALSE),"")</f>
        <v/>
      </c>
      <c r="BW165" s="173" t="str">
        <f>IFERROR(VLOOKUP($A165,T_TraitDi[#Data],COLUMN(T_TraitDi[[#This Row],[VILLE1]]),FALSE),"")</f>
        <v/>
      </c>
      <c r="BX165" s="182" t="str">
        <f>IFERROR(VLOOKUP(VLOOKUP($A165,T_TraitDi[#Data],COLUMN(T_TraitDi[[#This Row],[Type2]]),FALSE),TypeTW,2,FALSE),"")</f>
        <v/>
      </c>
      <c r="BY165" s="182" t="str">
        <f>IFERROR(VLOOKUP($A165,T_TraitDi[#Data],COLUMN(T_TraitDi[[#This Row],[Rue2]]),FALSE),"")</f>
        <v/>
      </c>
      <c r="BZ165" s="173" t="str">
        <f>IFERROR(VLOOKUP($A165,T_TraitDi[#Data],COLUMN(T_TraitDi[[#This Row],[CP2]]),FALSE),"")</f>
        <v/>
      </c>
      <c r="CA165" s="173" t="str">
        <f>IFERROR(VLOOKUP($A165,T_TraitDi[#Data],COLUMN(T_TraitDi[[#This Row],[VILLE2]]),FALSE),"")</f>
        <v/>
      </c>
      <c r="CB165" s="182" t="str">
        <f>IF(VLOOKUP(T_BilanSocial[[#This Row],[NumL]],T_Equipement[#Data],COLUMN(T_Equipement[[#This Row],[PC]]),FALSE)="","Aucun équipement spécifique directement lié au télétravail",VLOOKUP(T_BilanSocial[[#This Row],[NumL]],T_Equipement[#Data],COLUMN(T_Equipement[[#This Row],[PC]]),FALSE))</f>
        <v xml:space="preserve">16-359	</v>
      </c>
      <c r="CC165" s="166" t="str">
        <f>IFERROR(IF(VLOOKUP(T_BilanSocial[[#This Row],[NumL]],T_TraitDi[#Data],COLUMN(T_TraitDi[[#This Row],[Plan]]),FALSE)="OK","Un planning spécifique de télétravail est annexé à la présente convention.",""),"")</f>
        <v/>
      </c>
      <c r="CD165" s="185"/>
      <c r="CE165" s="164" t="e">
        <f>IF(VLOOKUP(T_BilanSocial[[#This Row],[NumL]],T_suiviDi[#Data],COLUMN(T_suiviDi[[#This Row],[Entité]]),FALSE)="","",VLOOKUP(T_BilanSocial[[#This Row],[NumL]],T_suiviDi[#Data],COLUMN(T_suiviDi[[#This Row],[Entité]]),FALSE))</f>
        <v>#VALUE!</v>
      </c>
      <c r="CF165" s="164" t="str">
        <f>IF(VLOOKUP(T_BilanSocial[[#This Row],[NumL]],T_Commission[#Data],COLUMN(T_Commission[[#This Row],[envoi confirm TW]]),FALSE)="","",VLOOKUP(T_BilanSocial[[#This Row],[NumL]],T_Commission[#Data],COLUMN(T_Commission[[#This Row],[envoi confirm TW]]),FALSE))</f>
        <v>Oui</v>
      </c>
      <c r="CG16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5" s="262" t="str">
        <f>T_BilanSocial[[#This Row],[Nom]]&amp;T_BilanSocial[[#This Row],[Prenom]]</f>
        <v/>
      </c>
      <c r="CI165" s="262">
        <f>VLOOKUP(T_BilanSocial[[#This Row],[NumL]],T_Commission[#Data],COLUMN(T_Commission[Commentaire]),FALSE)</f>
        <v>0</v>
      </c>
      <c r="CJ165" s="262" t="str">
        <f>IF(VLOOKUP(T_BilanSocial[[#This Row],[NumL]],T_Commission[#Data],COLUMN(T_Commission[Encadrant Email]),FALSE)="","",VLOOKUP(T_BilanSocial[[#This Row],[NumL]],T_Commission[#Data],COLUMN(T_Commission[Encadrant Email]),FALSE))</f>
        <v/>
      </c>
      <c r="CK165" s="340" t="str">
        <f>IF(T_BilanSocial[[#This Row],[Final]]&lt;&gt;"",VLOOKUP(T_BilanSocial[[#This Row],[NumL]],T_suiviDi[#Data],COLUMN((T_suiviDi[Statut])),FALSE),"")</f>
        <v/>
      </c>
    </row>
    <row r="166" spans="1:89" s="106" customFormat="1" ht="24.75" customHeight="1" x14ac:dyDescent="0.25">
      <c r="A166" s="160">
        <v>163</v>
      </c>
      <c r="B166" s="161" t="str">
        <f t="shared" si="22"/>
        <v/>
      </c>
      <c r="C166" s="162" t="s">
        <v>3287</v>
      </c>
      <c r="D166" s="95" t="e">
        <f>IF(VLOOKUP(T_BilanSocial[[#This Row],[NumL]],T_TraitDi[#Data],COLUMN(T_TraitDi[[#This Row],[WebC]]),FALSE)="","",VLOOKUP(T_BilanSocial[[#This Row],[NumL]],T_TraitDi[#Data],COLUMN(T_TraitDi[[#This Row],[WebC]]),FALSE))</f>
        <v>#VALUE!</v>
      </c>
      <c r="E166" s="163" t="str">
        <f t="shared" si="23"/>
        <v>12 janvier 2021</v>
      </c>
      <c r="F166" s="96" t="str">
        <f>IF(T_BilanSocial[[#This Row],[Final]]&lt;&gt;"",VLOOKUP(T_BilanSocial[[#This Row],[NumL]],T_suiviDi[#Data],COLUMN((T_suiviDi[Civ.])),FALSE),"")</f>
        <v/>
      </c>
      <c r="G166" s="96" t="str">
        <f>IF(T_BilanSocial[[#This Row],[Final]]&lt;&gt;"",VLOOKUP(T_BilanSocial[[#This Row],[NumL]],T_suiviDi[#Data],COLUMN((T_suiviDi[Nom])),FALSE),"")</f>
        <v/>
      </c>
      <c r="H166" s="96" t="str">
        <f>IF(T_BilanSocial[[#This Row],[Final]]&lt;&gt;"",VLOOKUP(T_BilanSocial[[#This Row],[NumL]],T_suiviDi[#Data],COLUMN((T_suiviDi[Prénom])),FALSE),"")</f>
        <v/>
      </c>
      <c r="I166" s="96" t="str">
        <f>IFERROR(VLOOKUP(T_BilanSocial[[#This Row],[Zone_Bilan]],T_P_BilanSocial[#Data],COLUMN(T_P_BilanSocial[[#This Row],[Numero_SIHAM]]),FALSE),"")</f>
        <v/>
      </c>
      <c r="J166" s="96" t="str">
        <f>IFERROR(VLOOKUP(T_BilanSocial[[#This Row],[Zone_Bilan]],T_P_BilanSocial[#Data],COLUMN(T_P_BilanSocial[[#This Row],[Sexe]]),FALSE),"")</f>
        <v/>
      </c>
      <c r="K166" s="97" t="str">
        <f>IFERROR(VLOOKUP(T_BilanSocial[[#This Row],[Zone_Bilan]],T_P_BilanSocial[#Data],COLUMN(T_P_BilanSocial[[#This Row],[Categorie]]),FALSE),"")</f>
        <v/>
      </c>
      <c r="L166" s="96" t="str">
        <f>IFERROR(VLOOKUP(T_BilanSocial[[#This Row],[Zone_Bilan]],T_P_BilanSocial[#Data],COLUMN(T_P_BilanSocial[[#This Row],[Statut]]),FALSE),"")</f>
        <v/>
      </c>
      <c r="M166" s="96" t="str">
        <f>IFERROR(VLOOKUP(T_BilanSocial[[#This Row],[Zone_Bilan]],T_P_BilanSocial[#Data],COLUMN(T_P_BilanSocial[[#This Row],[Filiere]]),FALSE),"")</f>
        <v/>
      </c>
      <c r="N166" s="96" t="e">
        <f>VLOOKUP(T_BilanSocial[[#This Row],[NumL]],T_TraitDi[#Data],COLUMN(T_TraitDi[EXP]),FALSE)</f>
        <v>#N/A</v>
      </c>
      <c r="O166" s="96" t="e">
        <f>VLOOKUP(T_BilanSocial[[#This Row],[NumL]],T_TraitDi[#Data],COLUMN(T_TraitDi[FORM]),FALSE)</f>
        <v>#N/A</v>
      </c>
      <c r="P166" s="96" t="str">
        <f>IF(T_BilanSocial[[#This Row],[Final]]&lt;&gt;"",VLOOKUP(T_BilanSocial[[#This Row],[NumL]],T_suiviDi[#Data],COLUMN((T_suiviDi[Email])),FALSE),"")</f>
        <v/>
      </c>
      <c r="Q166" s="164" t="e">
        <f t="shared" si="28"/>
        <v>#N/A</v>
      </c>
      <c r="R166" s="164" t="e">
        <f t="shared" si="29"/>
        <v>#N/A</v>
      </c>
      <c r="S166" s="164" t="e">
        <f>IF(VLOOKUP(T_BilanSocial[[#This Row],[NumL]],T_suiviDi[#Data],COLUMN(T_suiviDi[[#This Row],[Service ]]),FALSE)="","",VLOOKUP(T_BilanSocial[[#This Row],[NumL]],T_suiviDi[#Data],COLUMN(T_suiviDi[[#This Row],[Service ]]),FALSE))</f>
        <v>#VALUE!</v>
      </c>
      <c r="T166" s="164" t="str">
        <f t="shared" si="24"/>
        <v>01 septembre 2021</v>
      </c>
      <c r="U166" s="164" t="str">
        <f t="shared" si="25"/>
        <v>30 novembre 2021</v>
      </c>
      <c r="V166" s="164" t="str">
        <f>TEXT(Datebilan,"jj mmmm aaaa")</f>
        <v>30 novembre 2021</v>
      </c>
      <c r="W166" s="176" t="e">
        <f>IF(VLOOKUP(T_BilanSocial[[#This Row],[NumL]],T_TraitDi[#Data],COLUMN(T_TraitDi[[#This Row],[M1]]),FALSE)="","",VLOOKUP(T_BilanSocial[[#This Row],[NumL]],T_TraitDi[#Data],COLUMN(T_TraitDi[[#This Row],[M1]]),FALSE))</f>
        <v>#VALUE!</v>
      </c>
      <c r="X166" s="176" t="e">
        <f>IF(VLOOKUP(T_BilanSocial[[#This Row],[NumL]],T_TraitDi[#Data],COLUMN(T_TraitDi[[#This Row],[M2]]),FALSE)="","",VLOOKUP(T_BilanSocial[[#This Row],[NumL]],T_TraitDi[#Data],COLUMN(T_TraitDi[[#This Row],[M2]]),FALSE))</f>
        <v>#VALUE!</v>
      </c>
      <c r="Y166" s="176" t="e">
        <f>IF(VLOOKUP(T_BilanSocial[[#This Row],[NumL]],T_TraitDi[#Data],COLUMN(T_TraitDi[[#This Row],[M3]]),FALSE)="","",VLOOKUP(T_BilanSocial[[#This Row],[NumL]],T_TraitDi[#Data],COLUMN(T_TraitDi[[#This Row],[M3]]),FALSE))</f>
        <v>#VALUE!</v>
      </c>
      <c r="Z166" s="176" t="str">
        <f t="shared" si="27"/>
        <v/>
      </c>
      <c r="AA166" s="176" t="e">
        <f>IF(VLOOKUP(T_BilanSocial[[#This Row],[NumL]],T_TraitDi[#Data],COLUMN(T_TraitDi[[#This Row],[M5]]),FALSE)="","",VLOOKUP(T_BilanSocial[[#This Row],[NumL]],T_TraitDi[#Data],COLUMN(T_TraitDi[[#This Row],[M5]]),FALSE))</f>
        <v>#VALUE!</v>
      </c>
      <c r="AB166" s="176" t="e">
        <f>IF(VLOOKUP(T_BilanSocial[[#This Row],[NumL]],T_TraitDi[#Data],COLUMN(T_TraitDi[[#This Row],[M6]]),FALSE)="","",VLOOKUP(T_BilanSocial[[#This Row],[NumL]],T_TraitDi[#Data],COLUMN(T_TraitDi[[#This Row],[M6]]),FALSE))</f>
        <v>#VALUE!</v>
      </c>
      <c r="AC166" s="165" t="e">
        <f t="shared" si="26"/>
        <v>#VALUE!</v>
      </c>
      <c r="AD166" s="188" t="str">
        <f>IFERROR(TEXT(VLOOKUP(T_BilanSocial[[#This Row],[NumL]],T_TraitDi[#Data],COLUMN(T_TraitDi[[#This Row],[Q2]]),FALSE),"###%"),"")</f>
        <v/>
      </c>
      <c r="AE166" s="97" t="e">
        <f>VLOOKUP(T_BilanSocial[[#This Row],[NumL]],T_TraitDi[#Data],COLUMN(T_TraitDi[[#This Row],[Reg Ponct]]),FALSE)</f>
        <v>#VALUE!</v>
      </c>
      <c r="AF166" s="97" t="e">
        <f>VLOOKUP(T_BilanSocial[NumL],T_TraitDi[#Data],COLUMN(T_TraitDi[[#This Row],[Jours flottants]]),FALSE)</f>
        <v>#VALUE!</v>
      </c>
      <c r="AG166" s="97" t="str">
        <f>IFERROR(VLOOKUP(T_BilanSocial[[#This Row],[NumL]],T_TraitDi[#Data],COLUMN(T_TraitDi[[#This Row],[Lundi]]),FALSE),"")</f>
        <v/>
      </c>
      <c r="AH166" s="172" t="e">
        <f>IF(VLOOKUP(T_BilanSocial[[#This Row],[NumL]],T_TraitDi[#Data],COLUMN(T_TraitDi[[#This Row],[Colonne3]]),FALSE)=0,"",TEXT(IFERROR(VLOOKUP(T_BilanSocial[[#This Row],[NumL]],T_TraitDi[#Data],COLUMN(T_TraitDi[[#This Row],[Colonne3]]),FALSE),""),"[hh]:mm"))</f>
        <v>#VALUE!</v>
      </c>
      <c r="AI166" s="172" t="e">
        <f>IF(VLOOKUP(T_BilanSocial[[#This Row],[NumL]],T_TraitDi[#Data],COLUMN(T_TraitDi[[#This Row],[Colonne4]]),FALSE)=0,"",TEXT(IFERROR(VLOOKUP(T_BilanSocial[[#This Row],[NumL]],T_TraitDi[#Data],COLUMN(T_TraitDi[[#This Row],[Colonne4]]),FALSE),""),"[hh]:mm"))</f>
        <v>#VALUE!</v>
      </c>
      <c r="AJ166" s="172" t="e">
        <f>IF(VLOOKUP(T_BilanSocial[[#This Row],[NumL]],T_TraitDi[#Data],COLUMN(T_TraitDi[[#This Row],[Colonne5]]),FALSE)=0,"",TEXT(IFERROR(VLOOKUP(T_BilanSocial[[#This Row],[NumL]],T_TraitDi[#Data],COLUMN(T_TraitDi[[#This Row],[Colonne5]]),FALSE),""),"[hh]:mm"))</f>
        <v>#VALUE!</v>
      </c>
      <c r="AK166" s="172" t="e">
        <f>IF(VLOOKUP(T_BilanSocial[[#This Row],[NumL]],T_TraitDi[#Data],COLUMN(T_TraitDi[[#This Row],[Colonne6]]),FALSE)=0,"",TEXT(IFERROR(VLOOKUP(T_BilanSocial[[#This Row],[NumL]],T_TraitDi[#Data],COLUMN(T_TraitDi[[#This Row],[Colonne6]]),FALSE),""),"[hh]:mm"))</f>
        <v>#VALUE!</v>
      </c>
      <c r="AL166" s="172" t="e">
        <f>IF(VLOOKUP(T_BilanSocial[[#This Row],[NumL]],T_TraitDi[#Data],COLUMN(T_TraitDi[[#This Row],[Colonne7]]),FALSE)=0,"",TEXT(IFERROR(VLOOKUP(T_BilanSocial[[#This Row],[NumL]],T_TraitDi[#Data],COLUMN(T_TraitDi[[#This Row],[Colonne7]]),FALSE),""),"[hh]:mm"))</f>
        <v>#VALUE!</v>
      </c>
      <c r="AM166" s="172" t="e">
        <f>IF(VLOOKUP(T_BilanSocial[[#This Row],[NumL]],T_TraitDi[#Data],COLUMN(T_TraitDi[[#This Row],[Colonne8]]),FALSE)=0,"",TEXT(IFERROR(VLOOKUP(T_BilanSocial[[#This Row],[NumL]],T_TraitDi[#Data],COLUMN(T_TraitDi[[#This Row],[Colonne8]]),FALSE),""),"[hh]:mm"))</f>
        <v>#VALUE!</v>
      </c>
      <c r="AN166" s="172" t="str">
        <f>IFERROR(VLOOKUP(T_BilanSocial[[#This Row],[NumL]],T_TraitDi[#Data],COLUMN(T_TraitDi[[#This Row],[Mardi]]),FALSE),"")</f>
        <v/>
      </c>
      <c r="AO166" s="172" t="e">
        <f>IF(VLOOKUP(T_BilanSocial[[#This Row],[NumL]],T_TraitDi[#Data],COLUMN(T_TraitDi[[#This Row],[Colonne1]]),FALSE)=0,"",TEXT(IFERROR(VLOOKUP(T_BilanSocial[[#This Row],[NumL]],T_TraitDi[#Data],COLUMN(T_TraitDi[[#This Row],[Colonne1]]),FALSE),""),"[hh]:mm"))</f>
        <v>#VALUE!</v>
      </c>
      <c r="AP166" s="172" t="e">
        <f>IF(VLOOKUP(T_BilanSocial[[#This Row],[NumL]],T_TraitDi[#Data],COLUMN(T_TraitDi[[#This Row],[Colonne9]]),FALSE)=0,"",TEXT(IFERROR(VLOOKUP(T_BilanSocial[[#This Row],[NumL]],T_TraitDi[#Data],COLUMN(T_TraitDi[[#This Row],[Colonne9]]),FALSE),""),"[hh]:mm"))</f>
        <v>#VALUE!</v>
      </c>
      <c r="AQ166" s="172" t="str">
        <f>IFERROR(VLOOKUP(T_BilanSocial[[#This Row],[NumL]],T_TraitDi[#Data],COLUMN(T_TraitDi[[#This Row],[Colonne10]]),FALSE),"")</f>
        <v/>
      </c>
      <c r="AR166" s="172" t="e">
        <f>IF(VLOOKUP(T_BilanSocial[[#This Row],[NumL]],T_TraitDi[#Data],COLUMN(T_TraitDi[[#This Row],[Colonne11]]),FALSE)=0,"",TEXT(IFERROR(VLOOKUP(T_BilanSocial[[#This Row],[NumL]],T_TraitDi[#Data],COLUMN(T_TraitDi[[#This Row],[Colonne11]]),FALSE),""),"[hh]:mm"))</f>
        <v>#VALUE!</v>
      </c>
      <c r="AS166" s="172" t="e">
        <f>IF(VLOOKUP(T_BilanSocial[[#This Row],[NumL]],T_TraitDi[#Data],COLUMN(T_TraitDi[[#This Row],[Colonne12]]),FALSE)=0,"",TEXT(IFERROR(VLOOKUP(T_BilanSocial[[#This Row],[NumL]],T_TraitDi[#Data],COLUMN(T_TraitDi[[#This Row],[Colonne12]]),FALSE),""),"[hh]:mm"))</f>
        <v>#VALUE!</v>
      </c>
      <c r="AT166" s="172" t="e">
        <f>IF(VLOOKUP(T_BilanSocial[[#This Row],[NumL]],T_TraitDi[#Data],COLUMN(T_TraitDi[[#This Row],[Colonne14]]),FALSE)=0,"",TEXT(IFERROR(VLOOKUP(T_BilanSocial[[#This Row],[NumL]],T_TraitDi[#Data],COLUMN(T_TraitDi[[#This Row],[Colonne14]]),FALSE),""),"[hh]:mm"))</f>
        <v>#VALUE!</v>
      </c>
      <c r="AU166" s="172" t="str">
        <f>IFERROR(VLOOKUP(T_BilanSocial[[#This Row],[NumL]],T_TraitDi[#Data],COLUMN(T_TraitDi[[#This Row],[Mercredi]]),FALSE),"")</f>
        <v/>
      </c>
      <c r="AV166" s="172" t="e">
        <f>IF(VLOOKUP(T_BilanSocial[[#This Row],[NumL]],T_TraitDi[#Data],COLUMN(T_TraitDi[[#This Row],[Colonne15]]),FALSE)=0,"",TEXT(IFERROR(VLOOKUP(T_BilanSocial[[#This Row],[NumL]],T_TraitDi[#Data],COLUMN(T_TraitDi[[#This Row],[Colonne15]]),FALSE),""),"[hh]:mm"))</f>
        <v>#VALUE!</v>
      </c>
      <c r="AW166" s="172" t="e">
        <f>IF(VLOOKUP(T_BilanSocial[[#This Row],[NumL]],T_TraitDi[#Data],COLUMN(T_TraitDi[[#This Row],[Colonne16]]),FALSE)=0,"",TEXT(IFERROR(VLOOKUP(T_BilanSocial[[#This Row],[NumL]],T_TraitDi[#Data],COLUMN(T_TraitDi[[#This Row],[Colonne16]]),FALSE),""),"[hh]:mm"))</f>
        <v>#VALUE!</v>
      </c>
      <c r="AX166" s="172" t="str">
        <f>IFERROR(VLOOKUP(T_BilanSocial[[#This Row],[NumL]],T_TraitDi[#Data],COLUMN(T_TraitDi[[#This Row],[Colonne17]]),FALSE),"")</f>
        <v/>
      </c>
      <c r="AY166" s="172" t="e">
        <f>IF(VLOOKUP(T_BilanSocial[[#This Row],[NumL]],T_TraitDi[#Data],COLUMN(T_TraitDi[[#This Row],[Colonne18]]),FALSE)=0,"",TEXT(IFERROR(VLOOKUP(T_BilanSocial[[#This Row],[NumL]],T_TraitDi[#Data],COLUMN(T_TraitDi[[#This Row],[Colonne18]]),FALSE),""),"[hh]:mm"))</f>
        <v>#VALUE!</v>
      </c>
      <c r="AZ166" s="172" t="e">
        <f>IF(VLOOKUP(T_BilanSocial[[#This Row],[NumL]],T_TraitDi[#Data],COLUMN(T_TraitDi[[#This Row],[Colonne19]]),FALSE)=0,"",TEXT(IFERROR(VLOOKUP(T_BilanSocial[[#This Row],[NumL]],T_TraitDi[#Data],COLUMN(T_TraitDi[[#This Row],[Colonne19]]),FALSE),""),"[hh]:mm"))</f>
        <v>#VALUE!</v>
      </c>
      <c r="BA166" s="172" t="e">
        <f>IF(VLOOKUP(T_BilanSocial[[#This Row],[NumL]],T_TraitDi[#Data],COLUMN(T_TraitDi[[#This Row],[Colonne20]]),FALSE)=0,"",TEXT(IFERROR(VLOOKUP(T_BilanSocial[[#This Row],[NumL]],T_TraitDi[#Data],COLUMN(T_TraitDi[[#This Row],[Colonne20]]),FALSE),""),"[hh]:mm"))</f>
        <v>#VALUE!</v>
      </c>
      <c r="BB166" s="178" t="str">
        <f>IFERROR(VLOOKUP(T_BilanSocial[[#This Row],[NumL]],T_TraitDi[#Data],COLUMN(T_TraitDi[[#This Row],[Jeudi]]),FALSE),"")</f>
        <v/>
      </c>
      <c r="BC166" s="178" t="e">
        <f>IF(VLOOKUP(T_BilanSocial[[#This Row],[NumL]],T_TraitDi[#Data],COLUMN(T_TraitDi[[#This Row],[Colonne21]]),FALSE)=0,"",TEXT(IFERROR(VLOOKUP(T_BilanSocial[[#This Row],[NumL]],T_TraitDi[#Data],COLUMN(T_TraitDi[[#This Row],[Colonne21]]),FALSE),""),"[hh]:mm"))</f>
        <v>#VALUE!</v>
      </c>
      <c r="BD166" s="178" t="e">
        <f>IF(VLOOKUP(T_BilanSocial[[#This Row],[NumL]],T_TraitDi[#Data],COLUMN(T_TraitDi[[#This Row],[Colonne22]]),FALSE)=0,"",TEXT(IFERROR(VLOOKUP(T_BilanSocial[[#This Row],[NumL]],T_TraitDi[#Data],COLUMN(T_TraitDi[[#This Row],[Colonne22]]),FALSE),""),"[hh]:mm"))</f>
        <v>#VALUE!</v>
      </c>
      <c r="BE166" s="178" t="str">
        <f>IFERROR(VLOOKUP(T_BilanSocial[[#This Row],[NumL]],T_TraitDi[#Data],COLUMN(T_TraitDi[[#This Row],[Colonne23]]),FALSE),"")</f>
        <v/>
      </c>
      <c r="BF166" s="178" t="e">
        <f>IF(VLOOKUP(T_BilanSocial[[#This Row],[NumL]],T_TraitDi[#Data],COLUMN(T_TraitDi[[#This Row],[Colonne24]]),FALSE)=0,"",TEXT(IFERROR(VLOOKUP(T_BilanSocial[[#This Row],[NumL]],T_TraitDi[#Data],COLUMN(T_TraitDi[[#This Row],[Colonne24]]),FALSE),""),"[hh]:mm"))</f>
        <v>#VALUE!</v>
      </c>
      <c r="BG166" s="178" t="e">
        <f>IF(VLOOKUP(T_BilanSocial[[#This Row],[NumL]],T_TraitDi[#Data],COLUMN(T_TraitDi[[#This Row],[Colonne25]]),FALSE)=0,"",TEXT(IFERROR(VLOOKUP(T_BilanSocial[[#This Row],[NumL]],T_TraitDi[#Data],COLUMN(T_TraitDi[[#This Row],[Colonne25]]),FALSE),""),"[hh]:mm"))</f>
        <v>#VALUE!</v>
      </c>
      <c r="BH166" s="178" t="e">
        <f>IF(VLOOKUP(T_BilanSocial[[#This Row],[NumL]],T_TraitDi[#Data],COLUMN(T_TraitDi[[#This Row],[Colonne26]]),FALSE)=0,"",TEXT(IFERROR(VLOOKUP(T_BilanSocial[[#This Row],[NumL]],T_TraitDi[#Data],COLUMN(T_TraitDi[[#This Row],[Colonne26]]),FALSE),""),"[hh]:mm"))</f>
        <v>#VALUE!</v>
      </c>
      <c r="BI166" s="172" t="str">
        <f>IFERROR(VLOOKUP(T_BilanSocial[[#This Row],[NumL]],T_TraitDi[#Data],COLUMN(T_TraitDi[[#This Row],[Vendredi]]),FALSE),"")</f>
        <v/>
      </c>
      <c r="BJ166" s="172" t="e">
        <f>IF(VLOOKUP(T_BilanSocial[[#This Row],[NumL]],T_TraitDi[#Data],COLUMN(T_TraitDi[[#This Row],[Colonne27]]),FALSE)=0,"",TEXT(IFERROR(VLOOKUP(T_BilanSocial[[#This Row],[NumL]],T_TraitDi[#Data],COLUMN(T_TraitDi[[#This Row],[Colonne27]]),FALSE),""),"[hh]:mm"))</f>
        <v>#VALUE!</v>
      </c>
      <c r="BK166" s="172" t="e">
        <f>IF(VLOOKUP(T_BilanSocial[[#This Row],[NumL]],T_TraitDi[#Data],COLUMN(T_TraitDi[[#This Row],[Colonne28]]),FALSE)=0,"",TEXT(IFERROR(VLOOKUP(T_BilanSocial[[#This Row],[NumL]],T_TraitDi[#Data],COLUMN(T_TraitDi[[#This Row],[Colonne28]]),FALSE),""),"[hh]:mm"))</f>
        <v>#VALUE!</v>
      </c>
      <c r="BL166" s="172" t="str">
        <f>IFERROR(VLOOKUP(T_BilanSocial[[#This Row],[NumL]],T_TraitDi[#Data],COLUMN(T_TraitDi[[#This Row],[Colonne29]]),FALSE),"")</f>
        <v/>
      </c>
      <c r="BM166" s="172" t="e">
        <f>IF(VLOOKUP(T_BilanSocial[[#This Row],[NumL]],T_TraitDi[#Data],COLUMN(T_TraitDi[[#This Row],[Colonne30]]),FALSE)=0,"",TEXT(IFERROR(VLOOKUP(T_BilanSocial[[#This Row],[NumL]],T_TraitDi[#Data],COLUMN(T_TraitDi[[#This Row],[Colonne30]]),FALSE),""),"[hh]:mm"))</f>
        <v>#VALUE!</v>
      </c>
      <c r="BN166" s="172" t="e">
        <f>IF(VLOOKUP(T_BilanSocial[[#This Row],[NumL]],T_TraitDi[#Data],COLUMN(T_TraitDi[[#This Row],[Colonne31]]),FALSE)=0,"",TEXT(IFERROR(VLOOKUP(T_BilanSocial[[#This Row],[NumL]],T_TraitDi[#Data],COLUMN(T_TraitDi[[#This Row],[Colonne31]]),FALSE),""),"[hh]:mm"))</f>
        <v>#VALUE!</v>
      </c>
      <c r="BO166" s="172" t="e">
        <f>IF(VLOOKUP(T_BilanSocial[[#This Row],[NumL]],T_TraitDi[#Data],COLUMN(T_TraitDi[[#This Row],[Colonne32]]),FALSE)=0,"",TEXT(IFERROR(VLOOKUP(T_BilanSocial[[#This Row],[NumL]],T_TraitDi[#Data],COLUMN(T_TraitDi[[#This Row],[Colonne32]]),FALSE),""),"[hh]:mm"))</f>
        <v>#VALUE!</v>
      </c>
      <c r="BP166" s="172" t="e">
        <f>VLOOKUP(T_BilanSocial[[#This Row],[NumL]],T_TraitDi[#Data],COLUMN(T_TraitDi[NbJTot]),FALSE)</f>
        <v>#N/A</v>
      </c>
      <c r="BQ166" s="174" t="str">
        <f>IFERROR(VLOOKUP(T_BilanSocial[[#This Row],[NumL]],T_TraitDi[#Data],COLUMN(T_TraitDi[[#This Row],[NbJTW]]),FALSE),"")</f>
        <v/>
      </c>
      <c r="BR166" s="174" t="e">
        <f>IF(VLOOKUP(T_BilanSocial[[#This Row],[NumL]],T_TraitDi[#Data],COLUMN(T_TraitDi[[#This Row],[NbhTW]]),FALSE)=0,"",TEXT(IFERROR(VLOOKUP(T_BilanSocial[[#This Row],[NumL]],T_TraitDi[#Data],COLUMN(T_TraitDi[[#This Row],[NbhTW]]),FALSE),""),"[hh]:mm"))</f>
        <v>#VALUE!</v>
      </c>
      <c r="BS166" s="174" t="e">
        <f>IF(VLOOKUP(T_BilanSocial[[#This Row],[NumL]],T_TraitDi[#Data],COLUMN(T_TraitDi[[#This Row],[Nbhheb]]),FALSE)=0,"",TEXT(IFERROR(VLOOKUP($A166,T_TraitDi[#Data],COLUMN(T_TraitDi[[#This Row],[Nbhheb]]),FALSE),""),"[hh]:mm"))</f>
        <v>#VALUE!</v>
      </c>
      <c r="BT166" s="182" t="str">
        <f>IFERROR(VLOOKUP(VLOOKUP($A166,T_TraitDi[#Data],COLUMN(T_TraitDi[[#This Row],[Type1]]),FALSE),TypeTW,2,FALSE),"")</f>
        <v/>
      </c>
      <c r="BU166" s="182" t="str">
        <f>IFERROR(VLOOKUP($A166,T_TraitDi[#Data],COLUMN(T_TraitDi[[#This Row],[Rue1]]),FALSE),"")</f>
        <v/>
      </c>
      <c r="BV166" s="173" t="str">
        <f>IFERROR(VLOOKUP($A166,T_TraitDi[#Data],COLUMN(T_TraitDi[[#This Row],[CP1]]),FALSE),"")</f>
        <v/>
      </c>
      <c r="BW166" s="173" t="str">
        <f>IFERROR(VLOOKUP($A166,T_TraitDi[#Data],COLUMN(T_TraitDi[[#This Row],[VILLE1]]),FALSE),"")</f>
        <v/>
      </c>
      <c r="BX166" s="182" t="str">
        <f>IFERROR(VLOOKUP(VLOOKUP($A166,T_TraitDi[#Data],COLUMN(T_TraitDi[[#This Row],[Type2]]),FALSE),TypeTW,2,FALSE),"")</f>
        <v/>
      </c>
      <c r="BY166" s="182" t="str">
        <f>IFERROR(VLOOKUP($A166,T_TraitDi[#Data],COLUMN(T_TraitDi[[#This Row],[Rue2]]),FALSE),"")</f>
        <v/>
      </c>
      <c r="BZ166" s="173" t="str">
        <f>IFERROR(VLOOKUP($A166,T_TraitDi[#Data],COLUMN(T_TraitDi[[#This Row],[CP2]]),FALSE),"")</f>
        <v/>
      </c>
      <c r="CA166" s="173" t="str">
        <f>IFERROR(VLOOKUP($A166,T_TraitDi[#Data],COLUMN(T_TraitDi[[#This Row],[VILLE2]]),FALSE),"")</f>
        <v/>
      </c>
      <c r="CB166" s="182" t="str">
        <f>IF(VLOOKUP(T_BilanSocial[[#This Row],[NumL]],T_Equipement[#Data],COLUMN(T_Equipement[[#This Row],[PC]]),FALSE)="","Aucun équipement spécifique directement lié au télétravail",VLOOKUP(T_BilanSocial[[#This Row],[NumL]],T_Equipement[#Data],COLUMN(T_Equipement[[#This Row],[PC]]),FALSE))</f>
        <v xml:space="preserve">16-405	</v>
      </c>
      <c r="CC166" s="166" t="str">
        <f>IFERROR(IF(VLOOKUP(T_BilanSocial[[#This Row],[NumL]],T_TraitDi[#Data],COLUMN(T_TraitDi[[#This Row],[Plan]]),FALSE)="OK","Un planning spécifique de télétravail est annexé à la présente convention.",""),"")</f>
        <v/>
      </c>
      <c r="CD166" s="185"/>
      <c r="CE166" s="164" t="e">
        <f>IF(VLOOKUP(T_BilanSocial[[#This Row],[NumL]],T_suiviDi[#Data],COLUMN(T_suiviDi[[#This Row],[Entité]]),FALSE)="","",VLOOKUP(T_BilanSocial[[#This Row],[NumL]],T_suiviDi[#Data],COLUMN(T_suiviDi[[#This Row],[Entité]]),FALSE))</f>
        <v>#VALUE!</v>
      </c>
      <c r="CF166" s="164" t="str">
        <f>IF(VLOOKUP(T_BilanSocial[[#This Row],[NumL]],T_Commission[#Data],COLUMN(T_Commission[[#This Row],[envoi confirm TW]]),FALSE)="","",VLOOKUP(T_BilanSocial[[#This Row],[NumL]],T_Commission[#Data],COLUMN(T_Commission[[#This Row],[envoi confirm TW]]),FALSE))</f>
        <v>Oui</v>
      </c>
      <c r="CG16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6" s="262" t="str">
        <f>T_BilanSocial[[#This Row],[Nom]]&amp;T_BilanSocial[[#This Row],[Prenom]]</f>
        <v/>
      </c>
      <c r="CI166" s="262">
        <f>VLOOKUP(T_BilanSocial[[#This Row],[NumL]],T_Commission[#Data],COLUMN(T_Commission[Commentaire]),FALSE)</f>
        <v>0</v>
      </c>
      <c r="CJ166" s="262" t="str">
        <f>IF(VLOOKUP(T_BilanSocial[[#This Row],[NumL]],T_Commission[#Data],COLUMN(T_Commission[Encadrant Email]),FALSE)="","",VLOOKUP(T_BilanSocial[[#This Row],[NumL]],T_Commission[#Data],COLUMN(T_Commission[Encadrant Email]),FALSE))</f>
        <v/>
      </c>
      <c r="CK166" s="340" t="str">
        <f>IF(T_BilanSocial[[#This Row],[Final]]&lt;&gt;"",VLOOKUP(T_BilanSocial[[#This Row],[NumL]],T_suiviDi[#Data],COLUMN((T_suiviDi[Statut])),FALSE),"")</f>
        <v/>
      </c>
    </row>
    <row r="167" spans="1:89" s="106" customFormat="1" ht="24.75" customHeight="1" x14ac:dyDescent="0.25">
      <c r="A167" s="160">
        <v>164</v>
      </c>
      <c r="B167" s="161" t="str">
        <f t="shared" si="22"/>
        <v/>
      </c>
      <c r="C167" s="162" t="s">
        <v>139</v>
      </c>
      <c r="D167" s="95" t="e">
        <f>IF(VLOOKUP(T_BilanSocial[[#This Row],[NumL]],T_TraitDi[#Data],COLUMN(T_TraitDi[[#This Row],[WebC]]),FALSE)="","",VLOOKUP(T_BilanSocial[[#This Row],[NumL]],T_TraitDi[#Data],COLUMN(T_TraitDi[[#This Row],[WebC]]),FALSE))</f>
        <v>#VALUE!</v>
      </c>
      <c r="E167" s="163" t="str">
        <f t="shared" si="23"/>
        <v>12 janvier 2021</v>
      </c>
      <c r="F167" s="96" t="str">
        <f>IF(T_BilanSocial[[#This Row],[Final]]&lt;&gt;"",VLOOKUP(T_BilanSocial[[#This Row],[NumL]],T_suiviDi[#Data],COLUMN((T_suiviDi[Civ.])),FALSE),"")</f>
        <v/>
      </c>
      <c r="G167" s="96" t="str">
        <f>IF(T_BilanSocial[[#This Row],[Final]]&lt;&gt;"",VLOOKUP(T_BilanSocial[[#This Row],[NumL]],T_suiviDi[#Data],COLUMN((T_suiviDi[Nom])),FALSE),"")</f>
        <v/>
      </c>
      <c r="H167" s="96" t="str">
        <f>IF(T_BilanSocial[[#This Row],[Final]]&lt;&gt;"",VLOOKUP(T_BilanSocial[[#This Row],[NumL]],T_suiviDi[#Data],COLUMN((T_suiviDi[Prénom])),FALSE),"")</f>
        <v/>
      </c>
      <c r="I167" s="96" t="str">
        <f>IFERROR(VLOOKUP(T_BilanSocial[[#This Row],[Zone_Bilan]],T_P_BilanSocial[#Data],COLUMN(T_P_BilanSocial[[#This Row],[Numero_SIHAM]]),FALSE),"")</f>
        <v/>
      </c>
      <c r="J167" s="96" t="str">
        <f>IFERROR(VLOOKUP(T_BilanSocial[[#This Row],[Zone_Bilan]],T_P_BilanSocial[#Data],COLUMN(T_P_BilanSocial[[#This Row],[Sexe]]),FALSE),"")</f>
        <v/>
      </c>
      <c r="K167" s="97" t="str">
        <f>IFERROR(VLOOKUP(T_BilanSocial[[#This Row],[Zone_Bilan]],T_P_BilanSocial[#Data],COLUMN(T_P_BilanSocial[[#This Row],[Categorie]]),FALSE),"")</f>
        <v/>
      </c>
      <c r="L167" s="96" t="str">
        <f>IFERROR(VLOOKUP(T_BilanSocial[[#This Row],[Zone_Bilan]],T_P_BilanSocial[#Data],COLUMN(T_P_BilanSocial[[#This Row],[Statut]]),FALSE),"")</f>
        <v/>
      </c>
      <c r="M167" s="96" t="str">
        <f>IFERROR(VLOOKUP(T_BilanSocial[[#This Row],[Zone_Bilan]],T_P_BilanSocial[#Data],COLUMN(T_P_BilanSocial[[#This Row],[Filiere]]),FALSE),"")</f>
        <v/>
      </c>
      <c r="N167" s="96" t="e">
        <f>VLOOKUP(T_BilanSocial[[#This Row],[NumL]],T_TraitDi[#Data],COLUMN(T_TraitDi[EXP]),FALSE)</f>
        <v>#N/A</v>
      </c>
      <c r="O167" s="96" t="e">
        <f>VLOOKUP(T_BilanSocial[[#This Row],[NumL]],T_TraitDi[#Data],COLUMN(T_TraitDi[FORM]),FALSE)</f>
        <v>#N/A</v>
      </c>
      <c r="P167" s="96" t="str">
        <f>IF(T_BilanSocial[[#This Row],[Final]]&lt;&gt;"",VLOOKUP(T_BilanSocial[[#This Row],[NumL]],T_suiviDi[#Data],COLUMN((T_suiviDi[Email])),FALSE),"")</f>
        <v/>
      </c>
      <c r="Q167" s="164" t="e">
        <f t="shared" si="28"/>
        <v>#N/A</v>
      </c>
      <c r="R167" s="164" t="e">
        <f t="shared" si="29"/>
        <v>#N/A</v>
      </c>
      <c r="S167" s="164" t="e">
        <f>IF(VLOOKUP(T_BilanSocial[[#This Row],[NumL]],T_suiviDi[#Data],COLUMN(T_suiviDi[[#This Row],[Service ]]),FALSE)="","",VLOOKUP(T_BilanSocial[[#This Row],[NumL]],T_suiviDi[#Data],COLUMN(T_suiviDi[[#This Row],[Service ]]),FALSE))</f>
        <v>#VALUE!</v>
      </c>
      <c r="T167" s="164" t="str">
        <f t="shared" si="24"/>
        <v>01 septembre 2021</v>
      </c>
      <c r="U167" s="164" t="str">
        <f t="shared" si="25"/>
        <v>30 novembre 2021</v>
      </c>
      <c r="V167" s="192">
        <f>Datebilan</f>
        <v>44530</v>
      </c>
      <c r="W167" s="176" t="e">
        <f>IF(VLOOKUP(T_BilanSocial[[#This Row],[NumL]],T_TraitDi[#Data],COLUMN(T_TraitDi[[#This Row],[M1]]),FALSE)="","",VLOOKUP(T_BilanSocial[[#This Row],[NumL]],T_TraitDi[#Data],COLUMN(T_TraitDi[[#This Row],[M1]]),FALSE))</f>
        <v>#VALUE!</v>
      </c>
      <c r="X167" s="176" t="e">
        <f>IF(VLOOKUP(T_BilanSocial[[#This Row],[NumL]],T_TraitDi[#Data],COLUMN(T_TraitDi[[#This Row],[M2]]),FALSE)="","",VLOOKUP(T_BilanSocial[[#This Row],[NumL]],T_TraitDi[#Data],COLUMN(T_TraitDi[[#This Row],[M2]]),FALSE))</f>
        <v>#VALUE!</v>
      </c>
      <c r="Y167" s="176" t="e">
        <f>IF(VLOOKUP(T_BilanSocial[[#This Row],[NumL]],T_TraitDi[#Data],COLUMN(T_TraitDi[[#This Row],[M3]]),FALSE)="","",VLOOKUP(T_BilanSocial[[#This Row],[NumL]],T_TraitDi[#Data],COLUMN(T_TraitDi[[#This Row],[M3]]),FALSE))</f>
        <v>#VALUE!</v>
      </c>
      <c r="Z167" s="176" t="str">
        <f t="shared" si="27"/>
        <v/>
      </c>
      <c r="AA167" s="176" t="e">
        <f>IF(VLOOKUP(T_BilanSocial[[#This Row],[NumL]],T_TraitDi[#Data],COLUMN(T_TraitDi[[#This Row],[M5]]),FALSE)="","",VLOOKUP(T_BilanSocial[[#This Row],[NumL]],T_TraitDi[#Data],COLUMN(T_TraitDi[[#This Row],[M5]]),FALSE))</f>
        <v>#VALUE!</v>
      </c>
      <c r="AB167" s="176" t="e">
        <f>IF(VLOOKUP(T_BilanSocial[[#This Row],[NumL]],T_TraitDi[#Data],COLUMN(T_TraitDi[[#This Row],[M6]]),FALSE)="","",VLOOKUP(T_BilanSocial[[#This Row],[NumL]],T_TraitDi[#Data],COLUMN(T_TraitDi[[#This Row],[M6]]),FALSE))</f>
        <v>#VALUE!</v>
      </c>
      <c r="AC167" s="165" t="e">
        <f t="shared" si="26"/>
        <v>#VALUE!</v>
      </c>
      <c r="AD167" s="188" t="str">
        <f>IFERROR(TEXT(VLOOKUP(T_BilanSocial[[#This Row],[NumL]],T_TraitDi[#Data],COLUMN(T_TraitDi[[#This Row],[Q2]]),FALSE),"###%"),"")</f>
        <v/>
      </c>
      <c r="AE167" s="97" t="e">
        <f>VLOOKUP(T_BilanSocial[[#This Row],[NumL]],T_TraitDi[#Data],COLUMN(T_TraitDi[[#This Row],[Reg Ponct]]),FALSE)</f>
        <v>#VALUE!</v>
      </c>
      <c r="AF167" s="97" t="e">
        <f>VLOOKUP(T_BilanSocial[NumL],T_TraitDi[#Data],COLUMN(T_TraitDi[[#This Row],[Jours flottants]]),FALSE)</f>
        <v>#VALUE!</v>
      </c>
      <c r="AG167" s="97" t="str">
        <f>IFERROR(VLOOKUP(T_BilanSocial[[#This Row],[NumL]],T_TraitDi[#Data],COLUMN(T_TraitDi[[#This Row],[Lundi]]),FALSE),"")</f>
        <v/>
      </c>
      <c r="AH167" s="172" t="e">
        <f>IF(VLOOKUP(T_BilanSocial[[#This Row],[NumL]],T_TraitDi[#Data],COLUMN(T_TraitDi[[#This Row],[Colonne3]]),FALSE)=0,"",TEXT(IFERROR(VLOOKUP(T_BilanSocial[[#This Row],[NumL]],T_TraitDi[#Data],COLUMN(T_TraitDi[[#This Row],[Colonne3]]),FALSE),""),"[hh]:mm"))</f>
        <v>#VALUE!</v>
      </c>
      <c r="AI167" s="172" t="e">
        <f>IF(VLOOKUP(T_BilanSocial[[#This Row],[NumL]],T_TraitDi[#Data],COLUMN(T_TraitDi[[#This Row],[Colonne4]]),FALSE)=0,"",TEXT(IFERROR(VLOOKUP(T_BilanSocial[[#This Row],[NumL]],T_TraitDi[#Data],COLUMN(T_TraitDi[[#This Row],[Colonne4]]),FALSE),""),"[hh]:mm"))</f>
        <v>#VALUE!</v>
      </c>
      <c r="AJ167" s="172" t="e">
        <f>IF(VLOOKUP(T_BilanSocial[[#This Row],[NumL]],T_TraitDi[#Data],COLUMN(T_TraitDi[[#This Row],[Colonne5]]),FALSE)=0,"",TEXT(IFERROR(VLOOKUP(T_BilanSocial[[#This Row],[NumL]],T_TraitDi[#Data],COLUMN(T_TraitDi[[#This Row],[Colonne5]]),FALSE),""),"[hh]:mm"))</f>
        <v>#VALUE!</v>
      </c>
      <c r="AK167" s="172" t="e">
        <f>IF(VLOOKUP(T_BilanSocial[[#This Row],[NumL]],T_TraitDi[#Data],COLUMN(T_TraitDi[[#This Row],[Colonne6]]),FALSE)=0,"",TEXT(IFERROR(VLOOKUP(T_BilanSocial[[#This Row],[NumL]],T_TraitDi[#Data],COLUMN(T_TraitDi[[#This Row],[Colonne6]]),FALSE),""),"[hh]:mm"))</f>
        <v>#VALUE!</v>
      </c>
      <c r="AL167" s="172" t="e">
        <f>IF(VLOOKUP(T_BilanSocial[[#This Row],[NumL]],T_TraitDi[#Data],COLUMN(T_TraitDi[[#This Row],[Colonne7]]),FALSE)=0,"",TEXT(IFERROR(VLOOKUP(T_BilanSocial[[#This Row],[NumL]],T_TraitDi[#Data],COLUMN(T_TraitDi[[#This Row],[Colonne7]]),FALSE),""),"[hh]:mm"))</f>
        <v>#VALUE!</v>
      </c>
      <c r="AM167" s="172" t="e">
        <f>IF(VLOOKUP(T_BilanSocial[[#This Row],[NumL]],T_TraitDi[#Data],COLUMN(T_TraitDi[[#This Row],[Colonne8]]),FALSE)=0,"",TEXT(IFERROR(VLOOKUP(T_BilanSocial[[#This Row],[NumL]],T_TraitDi[#Data],COLUMN(T_TraitDi[[#This Row],[Colonne8]]),FALSE),""),"[hh]:mm"))</f>
        <v>#VALUE!</v>
      </c>
      <c r="AN167" s="172" t="str">
        <f>IFERROR(VLOOKUP(T_BilanSocial[[#This Row],[NumL]],T_TraitDi[#Data],COLUMN(T_TraitDi[[#This Row],[Mardi]]),FALSE),"")</f>
        <v/>
      </c>
      <c r="AO167" s="172" t="e">
        <f>IF(VLOOKUP(T_BilanSocial[[#This Row],[NumL]],T_TraitDi[#Data],COLUMN(T_TraitDi[[#This Row],[Colonne1]]),FALSE)=0,"",TEXT(IFERROR(VLOOKUP(T_BilanSocial[[#This Row],[NumL]],T_TraitDi[#Data],COLUMN(T_TraitDi[[#This Row],[Colonne1]]),FALSE),""),"[hh]:mm"))</f>
        <v>#VALUE!</v>
      </c>
      <c r="AP167" s="172" t="e">
        <f>IF(VLOOKUP(T_BilanSocial[[#This Row],[NumL]],T_TraitDi[#Data],COLUMN(T_TraitDi[[#This Row],[Colonne9]]),FALSE)=0,"",TEXT(IFERROR(VLOOKUP(T_BilanSocial[[#This Row],[NumL]],T_TraitDi[#Data],COLUMN(T_TraitDi[[#This Row],[Colonne9]]),FALSE),""),"[hh]:mm"))</f>
        <v>#VALUE!</v>
      </c>
      <c r="AQ167" s="172" t="str">
        <f>IFERROR(VLOOKUP(T_BilanSocial[[#This Row],[NumL]],T_TraitDi[#Data],COLUMN(T_TraitDi[[#This Row],[Colonne10]]),FALSE),"")</f>
        <v/>
      </c>
      <c r="AR167" s="172" t="e">
        <f>IF(VLOOKUP(T_BilanSocial[[#This Row],[NumL]],T_TraitDi[#Data],COLUMN(T_TraitDi[[#This Row],[Colonne11]]),FALSE)=0,"",TEXT(IFERROR(VLOOKUP(T_BilanSocial[[#This Row],[NumL]],T_TraitDi[#Data],COLUMN(T_TraitDi[[#This Row],[Colonne11]]),FALSE),""),"[hh]:mm"))</f>
        <v>#VALUE!</v>
      </c>
      <c r="AS167" s="172" t="e">
        <f>IF(VLOOKUP(T_BilanSocial[[#This Row],[NumL]],T_TraitDi[#Data],COLUMN(T_TraitDi[[#This Row],[Colonne12]]),FALSE)=0,"",TEXT(IFERROR(VLOOKUP(T_BilanSocial[[#This Row],[NumL]],T_TraitDi[#Data],COLUMN(T_TraitDi[[#This Row],[Colonne12]]),FALSE),""),"[hh]:mm"))</f>
        <v>#VALUE!</v>
      </c>
      <c r="AT167" s="172" t="e">
        <f>IF(VLOOKUP(T_BilanSocial[[#This Row],[NumL]],T_TraitDi[#Data],COLUMN(T_TraitDi[[#This Row],[Colonne14]]),FALSE)=0,"",TEXT(IFERROR(VLOOKUP(T_BilanSocial[[#This Row],[NumL]],T_TraitDi[#Data],COLUMN(T_TraitDi[[#This Row],[Colonne14]]),FALSE),""),"[hh]:mm"))</f>
        <v>#VALUE!</v>
      </c>
      <c r="AU167" s="172" t="str">
        <f>IFERROR(VLOOKUP(T_BilanSocial[[#This Row],[NumL]],T_TraitDi[#Data],COLUMN(T_TraitDi[[#This Row],[Mercredi]]),FALSE),"")</f>
        <v/>
      </c>
      <c r="AV167" s="172" t="e">
        <f>IF(VLOOKUP(T_BilanSocial[[#This Row],[NumL]],T_TraitDi[#Data],COLUMN(T_TraitDi[[#This Row],[Colonne15]]),FALSE)=0,"",TEXT(IFERROR(VLOOKUP(T_BilanSocial[[#This Row],[NumL]],T_TraitDi[#Data],COLUMN(T_TraitDi[[#This Row],[Colonne15]]),FALSE),""),"[hh]:mm"))</f>
        <v>#VALUE!</v>
      </c>
      <c r="AW167" s="172" t="e">
        <f>IF(VLOOKUP(T_BilanSocial[[#This Row],[NumL]],T_TraitDi[#Data],COLUMN(T_TraitDi[[#This Row],[Colonne16]]),FALSE)=0,"",TEXT(IFERROR(VLOOKUP(T_BilanSocial[[#This Row],[NumL]],T_TraitDi[#Data],COLUMN(T_TraitDi[[#This Row],[Colonne16]]),FALSE),""),"[hh]:mm"))</f>
        <v>#VALUE!</v>
      </c>
      <c r="AX167" s="172" t="str">
        <f>IFERROR(VLOOKUP(T_BilanSocial[[#This Row],[NumL]],T_TraitDi[#Data],COLUMN(T_TraitDi[[#This Row],[Colonne17]]),FALSE),"")</f>
        <v/>
      </c>
      <c r="AY167" s="172" t="e">
        <f>IF(VLOOKUP(T_BilanSocial[[#This Row],[NumL]],T_TraitDi[#Data],COLUMN(T_TraitDi[[#This Row],[Colonne18]]),FALSE)=0,"",TEXT(IFERROR(VLOOKUP(T_BilanSocial[[#This Row],[NumL]],T_TraitDi[#Data],COLUMN(T_TraitDi[[#This Row],[Colonne18]]),FALSE),""),"[hh]:mm"))</f>
        <v>#VALUE!</v>
      </c>
      <c r="AZ167" s="172" t="e">
        <f>IF(VLOOKUP(T_BilanSocial[[#This Row],[NumL]],T_TraitDi[#Data],COLUMN(T_TraitDi[[#This Row],[Colonne19]]),FALSE)=0,"",TEXT(IFERROR(VLOOKUP(T_BilanSocial[[#This Row],[NumL]],T_TraitDi[#Data],COLUMN(T_TraitDi[[#This Row],[Colonne19]]),FALSE),""),"[hh]:mm"))</f>
        <v>#VALUE!</v>
      </c>
      <c r="BA167" s="172" t="e">
        <f>IF(VLOOKUP(T_BilanSocial[[#This Row],[NumL]],T_TraitDi[#Data],COLUMN(T_TraitDi[[#This Row],[Colonne20]]),FALSE)=0,"",TEXT(IFERROR(VLOOKUP(T_BilanSocial[[#This Row],[NumL]],T_TraitDi[#Data],COLUMN(T_TraitDi[[#This Row],[Colonne20]]),FALSE),""),"[hh]:mm"))</f>
        <v>#VALUE!</v>
      </c>
      <c r="BB167" s="178" t="str">
        <f>IFERROR(VLOOKUP(T_BilanSocial[[#This Row],[NumL]],T_TraitDi[#Data],COLUMN(T_TraitDi[[#This Row],[Jeudi]]),FALSE),"")</f>
        <v/>
      </c>
      <c r="BC167" s="178" t="e">
        <f>IF(VLOOKUP(T_BilanSocial[[#This Row],[NumL]],T_TraitDi[#Data],COLUMN(T_TraitDi[[#This Row],[Colonne21]]),FALSE)=0,"",TEXT(IFERROR(VLOOKUP(T_BilanSocial[[#This Row],[NumL]],T_TraitDi[#Data],COLUMN(T_TraitDi[[#This Row],[Colonne21]]),FALSE),""),"[hh]:mm"))</f>
        <v>#VALUE!</v>
      </c>
      <c r="BD167" s="178" t="e">
        <f>IF(VLOOKUP(T_BilanSocial[[#This Row],[NumL]],T_TraitDi[#Data],COLUMN(T_TraitDi[[#This Row],[Colonne22]]),FALSE)=0,"",TEXT(IFERROR(VLOOKUP(T_BilanSocial[[#This Row],[NumL]],T_TraitDi[#Data],COLUMN(T_TraitDi[[#This Row],[Colonne22]]),FALSE),""),"[hh]:mm"))</f>
        <v>#VALUE!</v>
      </c>
      <c r="BE167" s="178" t="str">
        <f>IFERROR(VLOOKUP(T_BilanSocial[[#This Row],[NumL]],T_TraitDi[#Data],COLUMN(T_TraitDi[[#This Row],[Colonne23]]),FALSE),"")</f>
        <v/>
      </c>
      <c r="BF167" s="178" t="e">
        <f>IF(VLOOKUP(T_BilanSocial[[#This Row],[NumL]],T_TraitDi[#Data],COLUMN(T_TraitDi[[#This Row],[Colonne24]]),FALSE)=0,"",TEXT(IFERROR(VLOOKUP(T_BilanSocial[[#This Row],[NumL]],T_TraitDi[#Data],COLUMN(T_TraitDi[[#This Row],[Colonne24]]),FALSE),""),"[hh]:mm"))</f>
        <v>#VALUE!</v>
      </c>
      <c r="BG167" s="178" t="e">
        <f>IF(VLOOKUP(T_BilanSocial[[#This Row],[NumL]],T_TraitDi[#Data],COLUMN(T_TraitDi[[#This Row],[Colonne25]]),FALSE)=0,"",TEXT(IFERROR(VLOOKUP(T_BilanSocial[[#This Row],[NumL]],T_TraitDi[#Data],COLUMN(T_TraitDi[[#This Row],[Colonne25]]),FALSE),""),"[hh]:mm"))</f>
        <v>#VALUE!</v>
      </c>
      <c r="BH167" s="178" t="e">
        <f>IF(VLOOKUP(T_BilanSocial[[#This Row],[NumL]],T_TraitDi[#Data],COLUMN(T_TraitDi[[#This Row],[Colonne26]]),FALSE)=0,"",TEXT(IFERROR(VLOOKUP(T_BilanSocial[[#This Row],[NumL]],T_TraitDi[#Data],COLUMN(T_TraitDi[[#This Row],[Colonne26]]),FALSE),""),"[hh]:mm"))</f>
        <v>#VALUE!</v>
      </c>
      <c r="BI167" s="172" t="str">
        <f>IFERROR(VLOOKUP(T_BilanSocial[[#This Row],[NumL]],T_TraitDi[#Data],COLUMN(T_TraitDi[[#This Row],[Vendredi]]),FALSE),"")</f>
        <v/>
      </c>
      <c r="BJ167" s="172" t="e">
        <f>IF(VLOOKUP(T_BilanSocial[[#This Row],[NumL]],T_TraitDi[#Data],COLUMN(T_TraitDi[[#This Row],[Colonne27]]),FALSE)=0,"",TEXT(IFERROR(VLOOKUP(T_BilanSocial[[#This Row],[NumL]],T_TraitDi[#Data],COLUMN(T_TraitDi[[#This Row],[Colonne27]]),FALSE),""),"[hh]:mm"))</f>
        <v>#VALUE!</v>
      </c>
      <c r="BK167" s="172" t="e">
        <f>IF(VLOOKUP(T_BilanSocial[[#This Row],[NumL]],T_TraitDi[#Data],COLUMN(T_TraitDi[[#This Row],[Colonne28]]),FALSE)=0,"",TEXT(IFERROR(VLOOKUP(T_BilanSocial[[#This Row],[NumL]],T_TraitDi[#Data],COLUMN(T_TraitDi[[#This Row],[Colonne28]]),FALSE),""),"[hh]:mm"))</f>
        <v>#VALUE!</v>
      </c>
      <c r="BL167" s="172" t="str">
        <f>IFERROR(VLOOKUP(T_BilanSocial[[#This Row],[NumL]],T_TraitDi[#Data],COLUMN(T_TraitDi[[#This Row],[Colonne29]]),FALSE),"")</f>
        <v/>
      </c>
      <c r="BM167" s="172" t="e">
        <f>IF(VLOOKUP(T_BilanSocial[[#This Row],[NumL]],T_TraitDi[#Data],COLUMN(T_TraitDi[[#This Row],[Colonne30]]),FALSE)=0,"",TEXT(IFERROR(VLOOKUP(T_BilanSocial[[#This Row],[NumL]],T_TraitDi[#Data],COLUMN(T_TraitDi[[#This Row],[Colonne30]]),FALSE),""),"[hh]:mm"))</f>
        <v>#VALUE!</v>
      </c>
      <c r="BN167" s="172" t="e">
        <f>IF(VLOOKUP(T_BilanSocial[[#This Row],[NumL]],T_TraitDi[#Data],COLUMN(T_TraitDi[[#This Row],[Colonne31]]),FALSE)=0,"",TEXT(IFERROR(VLOOKUP(T_BilanSocial[[#This Row],[NumL]],T_TraitDi[#Data],COLUMN(T_TraitDi[[#This Row],[Colonne31]]),FALSE),""),"[hh]:mm"))</f>
        <v>#VALUE!</v>
      </c>
      <c r="BO167" s="172" t="e">
        <f>IF(VLOOKUP(T_BilanSocial[[#This Row],[NumL]],T_TraitDi[#Data],COLUMN(T_TraitDi[[#This Row],[Colonne32]]),FALSE)=0,"",TEXT(IFERROR(VLOOKUP(T_BilanSocial[[#This Row],[NumL]],T_TraitDi[#Data],COLUMN(T_TraitDi[[#This Row],[Colonne32]]),FALSE),""),"[hh]:mm"))</f>
        <v>#VALUE!</v>
      </c>
      <c r="BP167" s="172" t="e">
        <f>VLOOKUP(T_BilanSocial[[#This Row],[NumL]],T_TraitDi[#Data],COLUMN(T_TraitDi[NbJTot]),FALSE)</f>
        <v>#N/A</v>
      </c>
      <c r="BQ167" s="174" t="str">
        <f>IFERROR(VLOOKUP(T_BilanSocial[[#This Row],[NumL]],T_TraitDi[#Data],COLUMN(T_TraitDi[[#This Row],[NbJTW]]),FALSE),"")</f>
        <v/>
      </c>
      <c r="BR167" s="174" t="e">
        <f>IF(VLOOKUP(T_BilanSocial[[#This Row],[NumL]],T_TraitDi[#Data],COLUMN(T_TraitDi[[#This Row],[NbhTW]]),FALSE)=0,"",TEXT(IFERROR(VLOOKUP(T_BilanSocial[[#This Row],[NumL]],T_TraitDi[#Data],COLUMN(T_TraitDi[[#This Row],[NbhTW]]),FALSE),""),"[hh]:mm"))</f>
        <v>#VALUE!</v>
      </c>
      <c r="BS167" s="174" t="e">
        <f>IF(VLOOKUP(T_BilanSocial[[#This Row],[NumL]],T_TraitDi[#Data],COLUMN(T_TraitDi[[#This Row],[Nbhheb]]),FALSE)=0,"",TEXT(IFERROR(VLOOKUP($A167,T_TraitDi[#Data],COLUMN(T_TraitDi[[#This Row],[Nbhheb]]),FALSE),""),"[hh]:mm"))</f>
        <v>#VALUE!</v>
      </c>
      <c r="BT167" s="182" t="str">
        <f>IFERROR(VLOOKUP(VLOOKUP($A167,T_TraitDi[#Data],COLUMN(T_TraitDi[[#This Row],[Type1]]),FALSE),TypeTW,2,FALSE),"")</f>
        <v/>
      </c>
      <c r="BU167" s="182" t="str">
        <f>IFERROR(VLOOKUP($A167,T_TraitDi[#Data],COLUMN(T_TraitDi[[#This Row],[Rue1]]),FALSE),"")</f>
        <v/>
      </c>
      <c r="BV167" s="173" t="str">
        <f>IFERROR(VLOOKUP($A167,T_TraitDi[#Data],COLUMN(T_TraitDi[[#This Row],[CP1]]),FALSE),"")</f>
        <v/>
      </c>
      <c r="BW167" s="173" t="str">
        <f>IFERROR(VLOOKUP($A167,T_TraitDi[#Data],COLUMN(T_TraitDi[[#This Row],[VILLE1]]),FALSE),"")</f>
        <v/>
      </c>
      <c r="BX167" s="182" t="str">
        <f>IFERROR(VLOOKUP(VLOOKUP($A167,T_TraitDi[#Data],COLUMN(T_TraitDi[[#This Row],[Type2]]),FALSE),TypeTW,2,FALSE),"")</f>
        <v/>
      </c>
      <c r="BY167" s="182" t="str">
        <f>IFERROR(VLOOKUP($A167,T_TraitDi[#Data],COLUMN(T_TraitDi[[#This Row],[Rue2]]),FALSE),"")</f>
        <v/>
      </c>
      <c r="BZ167" s="173" t="str">
        <f>IFERROR(VLOOKUP($A167,T_TraitDi[#Data],COLUMN(T_TraitDi[[#This Row],[CP2]]),FALSE),"")</f>
        <v/>
      </c>
      <c r="CA167" s="173" t="str">
        <f>IFERROR(VLOOKUP($A167,T_TraitDi[#Data],COLUMN(T_TraitDi[[#This Row],[VILLE2]]),FALSE),"")</f>
        <v/>
      </c>
      <c r="CB167" s="182" t="str">
        <f>IF(VLOOKUP(T_BilanSocial[[#This Row],[NumL]],T_Equipement[#Data],COLUMN(T_Equipement[[#This Row],[PC]]),FALSE)="","Aucun équipement spécifique directement lié au télétravail",VLOOKUP(T_BilanSocial[[#This Row],[NumL]],T_Equipement[#Data],COLUMN(T_Equipement[[#This Row],[PC]]),FALSE))</f>
        <v xml:space="preserve">19-209	</v>
      </c>
      <c r="CC167" s="166" t="str">
        <f>IFERROR(IF(VLOOKUP(T_BilanSocial[[#This Row],[NumL]],T_TraitDi[#Data],COLUMN(T_TraitDi[[#This Row],[Plan]]),FALSE)="OK","Un planning spécifique de télétravail est annexé à la présente convention.",""),"")</f>
        <v/>
      </c>
      <c r="CD167" s="185"/>
      <c r="CE167" s="164" t="e">
        <f>IF(VLOOKUP(T_BilanSocial[[#This Row],[NumL]],T_suiviDi[#Data],COLUMN(T_suiviDi[[#This Row],[Entité]]),FALSE)="","",VLOOKUP(T_BilanSocial[[#This Row],[NumL]],T_suiviDi[#Data],COLUMN(T_suiviDi[[#This Row],[Entité]]),FALSE))</f>
        <v>#VALUE!</v>
      </c>
      <c r="CF167" s="164" t="str">
        <f>IF(VLOOKUP(T_BilanSocial[[#This Row],[NumL]],T_Commission[#Data],COLUMN(T_Commission[[#This Row],[envoi confirm TW]]),FALSE)="","",VLOOKUP(T_BilanSocial[[#This Row],[NumL]],T_Commission[#Data],COLUMN(T_Commission[[#This Row],[envoi confirm TW]]),FALSE))</f>
        <v>Oui</v>
      </c>
      <c r="CG16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7" s="262" t="str">
        <f>T_BilanSocial[[#This Row],[Nom]]&amp;T_BilanSocial[[#This Row],[Prenom]]</f>
        <v/>
      </c>
      <c r="CI167" s="262">
        <f>VLOOKUP(T_BilanSocial[[#This Row],[NumL]],T_Commission[#Data],COLUMN(T_Commission[Commentaire]),FALSE)</f>
        <v>0</v>
      </c>
      <c r="CJ167" s="262" t="str">
        <f>IF(VLOOKUP(T_BilanSocial[[#This Row],[NumL]],T_Commission[#Data],COLUMN(T_Commission[Encadrant Email]),FALSE)="","",VLOOKUP(T_BilanSocial[[#This Row],[NumL]],T_Commission[#Data],COLUMN(T_Commission[Encadrant Email]),FALSE))</f>
        <v/>
      </c>
      <c r="CK167" s="340" t="str">
        <f>IF(T_BilanSocial[[#This Row],[Final]]&lt;&gt;"",VLOOKUP(T_BilanSocial[[#This Row],[NumL]],T_suiviDi[#Data],COLUMN((T_suiviDi[Statut])),FALSE),"")</f>
        <v/>
      </c>
    </row>
    <row r="168" spans="1:89" s="106" customFormat="1" ht="24.75" customHeight="1" x14ac:dyDescent="0.25">
      <c r="A168" s="160">
        <v>165</v>
      </c>
      <c r="B168" s="161" t="str">
        <f t="shared" si="22"/>
        <v/>
      </c>
      <c r="C168" s="162" t="s">
        <v>3287</v>
      </c>
      <c r="D168" s="95" t="e">
        <f>IF(VLOOKUP(T_BilanSocial[[#This Row],[NumL]],T_TraitDi[#Data],COLUMN(T_TraitDi[[#This Row],[WebC]]),FALSE)="","",VLOOKUP(T_BilanSocial[[#This Row],[NumL]],T_TraitDi[#Data],COLUMN(T_TraitDi[[#This Row],[WebC]]),FALSE))</f>
        <v>#VALUE!</v>
      </c>
      <c r="E168" s="163" t="str">
        <f t="shared" si="23"/>
        <v>12 janvier 2021</v>
      </c>
      <c r="F168" s="96" t="str">
        <f>IF(T_BilanSocial[[#This Row],[Final]]&lt;&gt;"",VLOOKUP(T_BilanSocial[[#This Row],[NumL]],T_suiviDi[#Data],COLUMN((T_suiviDi[Civ.])),FALSE),"")</f>
        <v/>
      </c>
      <c r="G168" s="96" t="str">
        <f>IF(T_BilanSocial[[#This Row],[Final]]&lt;&gt;"",VLOOKUP(T_BilanSocial[[#This Row],[NumL]],T_suiviDi[#Data],COLUMN((T_suiviDi[Nom])),FALSE),"")</f>
        <v/>
      </c>
      <c r="H168" s="96" t="str">
        <f>IF(T_BilanSocial[[#This Row],[Final]]&lt;&gt;"",VLOOKUP(T_BilanSocial[[#This Row],[NumL]],T_suiviDi[#Data],COLUMN((T_suiviDi[Prénom])),FALSE),"")</f>
        <v/>
      </c>
      <c r="I168" s="96" t="str">
        <f>IFERROR(VLOOKUP(T_BilanSocial[[#This Row],[Zone_Bilan]],T_P_BilanSocial[#Data],COLUMN(T_P_BilanSocial[[#This Row],[Numero_SIHAM]]),FALSE),"")</f>
        <v/>
      </c>
      <c r="J168" s="96" t="str">
        <f>IFERROR(VLOOKUP(T_BilanSocial[[#This Row],[Zone_Bilan]],T_P_BilanSocial[#Data],COLUMN(T_P_BilanSocial[[#This Row],[Sexe]]),FALSE),"")</f>
        <v/>
      </c>
      <c r="K168" s="97" t="str">
        <f>IFERROR(VLOOKUP(T_BilanSocial[[#This Row],[Zone_Bilan]],T_P_BilanSocial[#Data],COLUMN(T_P_BilanSocial[[#This Row],[Categorie]]),FALSE),"")</f>
        <v/>
      </c>
      <c r="L168" s="96" t="str">
        <f>IFERROR(VLOOKUP(T_BilanSocial[[#This Row],[Zone_Bilan]],T_P_BilanSocial[#Data],COLUMN(T_P_BilanSocial[[#This Row],[Statut]]),FALSE),"")</f>
        <v/>
      </c>
      <c r="M168" s="96" t="str">
        <f>IFERROR(VLOOKUP(T_BilanSocial[[#This Row],[Zone_Bilan]],T_P_BilanSocial[#Data],COLUMN(T_P_BilanSocial[[#This Row],[Filiere]]),FALSE),"")</f>
        <v/>
      </c>
      <c r="N168" s="96" t="e">
        <f>VLOOKUP(T_BilanSocial[[#This Row],[NumL]],T_TraitDi[#Data],COLUMN(T_TraitDi[EXP]),FALSE)</f>
        <v>#N/A</v>
      </c>
      <c r="O168" s="96" t="e">
        <f>VLOOKUP(T_BilanSocial[[#This Row],[NumL]],T_TraitDi[#Data],COLUMN(T_TraitDi[FORM]),FALSE)</f>
        <v>#N/A</v>
      </c>
      <c r="P168" s="96" t="str">
        <f>IF(T_BilanSocial[[#This Row],[Final]]&lt;&gt;"",VLOOKUP(T_BilanSocial[[#This Row],[NumL]],T_suiviDi[#Data],COLUMN((T_suiviDi[Email])),FALSE),"")</f>
        <v/>
      </c>
      <c r="Q168" s="164" t="e">
        <f t="shared" si="28"/>
        <v>#N/A</v>
      </c>
      <c r="R168" s="164" t="e">
        <f t="shared" si="29"/>
        <v>#N/A</v>
      </c>
      <c r="S168" s="164" t="e">
        <f>IF(VLOOKUP(T_BilanSocial[[#This Row],[NumL]],T_suiviDi[#Data],COLUMN(T_suiviDi[[#This Row],[Service ]]),FALSE)="","",VLOOKUP(T_BilanSocial[[#This Row],[NumL]],T_suiviDi[#Data],COLUMN(T_suiviDi[[#This Row],[Service ]]),FALSE))</f>
        <v>#VALUE!</v>
      </c>
      <c r="T168" s="164" t="str">
        <f t="shared" si="24"/>
        <v>01 septembre 2021</v>
      </c>
      <c r="U168" s="164" t="str">
        <f t="shared" si="25"/>
        <v>30 novembre 2021</v>
      </c>
      <c r="V168" s="164" t="str">
        <f t="shared" ref="V168:V177" si="31">TEXT(Datebilan,"jj mmmm aaaa")</f>
        <v>30 novembre 2021</v>
      </c>
      <c r="W168" s="176" t="e">
        <f>IF(VLOOKUP(T_BilanSocial[[#This Row],[NumL]],T_TraitDi[#Data],COLUMN(T_TraitDi[[#This Row],[M1]]),FALSE)="","",VLOOKUP(T_BilanSocial[[#This Row],[NumL]],T_TraitDi[#Data],COLUMN(T_TraitDi[[#This Row],[M1]]),FALSE))</f>
        <v>#VALUE!</v>
      </c>
      <c r="X168" s="176" t="e">
        <f>IF(VLOOKUP(T_BilanSocial[[#This Row],[NumL]],T_TraitDi[#Data],COLUMN(T_TraitDi[[#This Row],[M2]]),FALSE)="","",VLOOKUP(T_BilanSocial[[#This Row],[NumL]],T_TraitDi[#Data],COLUMN(T_TraitDi[[#This Row],[M2]]),FALSE))</f>
        <v>#VALUE!</v>
      </c>
      <c r="Y168" s="176" t="e">
        <f>IF(VLOOKUP(T_BilanSocial[[#This Row],[NumL]],T_TraitDi[#Data],COLUMN(T_TraitDi[[#This Row],[M3]]),FALSE)="","",VLOOKUP(T_BilanSocial[[#This Row],[NumL]],T_TraitDi[#Data],COLUMN(T_TraitDi[[#This Row],[M3]]),FALSE))</f>
        <v>#VALUE!</v>
      </c>
      <c r="Z168" s="176" t="str">
        <f t="shared" si="27"/>
        <v/>
      </c>
      <c r="AA168" s="176" t="e">
        <f>IF(VLOOKUP(T_BilanSocial[[#This Row],[NumL]],T_TraitDi[#Data],COLUMN(T_TraitDi[[#This Row],[M5]]),FALSE)="","",VLOOKUP(T_BilanSocial[[#This Row],[NumL]],T_TraitDi[#Data],COLUMN(T_TraitDi[[#This Row],[M5]]),FALSE))</f>
        <v>#VALUE!</v>
      </c>
      <c r="AB168" s="176" t="e">
        <f>IF(VLOOKUP(T_BilanSocial[[#This Row],[NumL]],T_TraitDi[#Data],COLUMN(T_TraitDi[[#This Row],[M6]]),FALSE)="","",VLOOKUP(T_BilanSocial[[#This Row],[NumL]],T_TraitDi[#Data],COLUMN(T_TraitDi[[#This Row],[M6]]),FALSE))</f>
        <v>#VALUE!</v>
      </c>
      <c r="AC168" s="165" t="e">
        <f t="shared" si="26"/>
        <v>#VALUE!</v>
      </c>
      <c r="AD168" s="188" t="str">
        <f>IFERROR(TEXT(VLOOKUP(T_BilanSocial[[#This Row],[NumL]],T_TraitDi[#Data],COLUMN(T_TraitDi[[#This Row],[Q2]]),FALSE),"###%"),"")</f>
        <v/>
      </c>
      <c r="AE168" s="97" t="e">
        <f>VLOOKUP(T_BilanSocial[[#This Row],[NumL]],T_TraitDi[#Data],COLUMN(T_TraitDi[[#This Row],[Reg Ponct]]),FALSE)</f>
        <v>#VALUE!</v>
      </c>
      <c r="AF168" s="97" t="e">
        <f>VLOOKUP(T_BilanSocial[NumL],T_TraitDi[#Data],COLUMN(T_TraitDi[[#This Row],[Jours flottants]]),FALSE)</f>
        <v>#VALUE!</v>
      </c>
      <c r="AG168" s="97" t="str">
        <f>IFERROR(VLOOKUP(T_BilanSocial[[#This Row],[NumL]],T_TraitDi[#Data],COLUMN(T_TraitDi[[#This Row],[Lundi]]),FALSE),"")</f>
        <v/>
      </c>
      <c r="AH168" s="172" t="e">
        <f>IF(VLOOKUP(T_BilanSocial[[#This Row],[NumL]],T_TraitDi[#Data],COLUMN(T_TraitDi[[#This Row],[Colonne3]]),FALSE)=0,"",TEXT(IFERROR(VLOOKUP(T_BilanSocial[[#This Row],[NumL]],T_TraitDi[#Data],COLUMN(T_TraitDi[[#This Row],[Colonne3]]),FALSE),""),"[hh]:mm"))</f>
        <v>#VALUE!</v>
      </c>
      <c r="AI168" s="172" t="e">
        <f>IF(VLOOKUP(T_BilanSocial[[#This Row],[NumL]],T_TraitDi[#Data],COLUMN(T_TraitDi[[#This Row],[Colonne4]]),FALSE)=0,"",TEXT(IFERROR(VLOOKUP(T_BilanSocial[[#This Row],[NumL]],T_TraitDi[#Data],COLUMN(T_TraitDi[[#This Row],[Colonne4]]),FALSE),""),"[hh]:mm"))</f>
        <v>#VALUE!</v>
      </c>
      <c r="AJ168" s="172" t="e">
        <f>IF(VLOOKUP(T_BilanSocial[[#This Row],[NumL]],T_TraitDi[#Data],COLUMN(T_TraitDi[[#This Row],[Colonne5]]),FALSE)=0,"",TEXT(IFERROR(VLOOKUP(T_BilanSocial[[#This Row],[NumL]],T_TraitDi[#Data],COLUMN(T_TraitDi[[#This Row],[Colonne5]]),FALSE),""),"[hh]:mm"))</f>
        <v>#VALUE!</v>
      </c>
      <c r="AK168" s="172" t="e">
        <f>IF(VLOOKUP(T_BilanSocial[[#This Row],[NumL]],T_TraitDi[#Data],COLUMN(T_TraitDi[[#This Row],[Colonne6]]),FALSE)=0,"",TEXT(IFERROR(VLOOKUP(T_BilanSocial[[#This Row],[NumL]],T_TraitDi[#Data],COLUMN(T_TraitDi[[#This Row],[Colonne6]]),FALSE),""),"[hh]:mm"))</f>
        <v>#VALUE!</v>
      </c>
      <c r="AL168" s="172" t="e">
        <f>IF(VLOOKUP(T_BilanSocial[[#This Row],[NumL]],T_TraitDi[#Data],COLUMN(T_TraitDi[[#This Row],[Colonne7]]),FALSE)=0,"",TEXT(IFERROR(VLOOKUP(T_BilanSocial[[#This Row],[NumL]],T_TraitDi[#Data],COLUMN(T_TraitDi[[#This Row],[Colonne7]]),FALSE),""),"[hh]:mm"))</f>
        <v>#VALUE!</v>
      </c>
      <c r="AM168" s="172" t="e">
        <f>IF(VLOOKUP(T_BilanSocial[[#This Row],[NumL]],T_TraitDi[#Data],COLUMN(T_TraitDi[[#This Row],[Colonne8]]),FALSE)=0,"",TEXT(IFERROR(VLOOKUP(T_BilanSocial[[#This Row],[NumL]],T_TraitDi[#Data],COLUMN(T_TraitDi[[#This Row],[Colonne8]]),FALSE),""),"[hh]:mm"))</f>
        <v>#VALUE!</v>
      </c>
      <c r="AN168" s="172" t="str">
        <f>IFERROR(VLOOKUP(T_BilanSocial[[#This Row],[NumL]],T_TraitDi[#Data],COLUMN(T_TraitDi[[#This Row],[Mardi]]),FALSE),"")</f>
        <v/>
      </c>
      <c r="AO168" s="172" t="e">
        <f>IF(VLOOKUP(T_BilanSocial[[#This Row],[NumL]],T_TraitDi[#Data],COLUMN(T_TraitDi[[#This Row],[Colonne1]]),FALSE)=0,"",TEXT(IFERROR(VLOOKUP(T_BilanSocial[[#This Row],[NumL]],T_TraitDi[#Data],COLUMN(T_TraitDi[[#This Row],[Colonne1]]),FALSE),""),"[hh]:mm"))</f>
        <v>#VALUE!</v>
      </c>
      <c r="AP168" s="172" t="e">
        <f>IF(VLOOKUP(T_BilanSocial[[#This Row],[NumL]],T_TraitDi[#Data],COLUMN(T_TraitDi[[#This Row],[Colonne9]]),FALSE)=0,"",TEXT(IFERROR(VLOOKUP(T_BilanSocial[[#This Row],[NumL]],T_TraitDi[#Data],COLUMN(T_TraitDi[[#This Row],[Colonne9]]),FALSE),""),"[hh]:mm"))</f>
        <v>#VALUE!</v>
      </c>
      <c r="AQ168" s="172" t="str">
        <f>IFERROR(VLOOKUP(T_BilanSocial[[#This Row],[NumL]],T_TraitDi[#Data],COLUMN(T_TraitDi[[#This Row],[Colonne10]]),FALSE),"")</f>
        <v/>
      </c>
      <c r="AR168" s="172" t="e">
        <f>IF(VLOOKUP(T_BilanSocial[[#This Row],[NumL]],T_TraitDi[#Data],COLUMN(T_TraitDi[[#This Row],[Colonne11]]),FALSE)=0,"",TEXT(IFERROR(VLOOKUP(T_BilanSocial[[#This Row],[NumL]],T_TraitDi[#Data],COLUMN(T_TraitDi[[#This Row],[Colonne11]]),FALSE),""),"[hh]:mm"))</f>
        <v>#VALUE!</v>
      </c>
      <c r="AS168" s="172" t="e">
        <f>IF(VLOOKUP(T_BilanSocial[[#This Row],[NumL]],T_TraitDi[#Data],COLUMN(T_TraitDi[[#This Row],[Colonne12]]),FALSE)=0,"",TEXT(IFERROR(VLOOKUP(T_BilanSocial[[#This Row],[NumL]],T_TraitDi[#Data],COLUMN(T_TraitDi[[#This Row],[Colonne12]]),FALSE),""),"[hh]:mm"))</f>
        <v>#VALUE!</v>
      </c>
      <c r="AT168" s="172" t="e">
        <f>IF(VLOOKUP(T_BilanSocial[[#This Row],[NumL]],T_TraitDi[#Data],COLUMN(T_TraitDi[[#This Row],[Colonne14]]),FALSE)=0,"",TEXT(IFERROR(VLOOKUP(T_BilanSocial[[#This Row],[NumL]],T_TraitDi[#Data],COLUMN(T_TraitDi[[#This Row],[Colonne14]]),FALSE),""),"[hh]:mm"))</f>
        <v>#VALUE!</v>
      </c>
      <c r="AU168" s="172" t="str">
        <f>IFERROR(VLOOKUP(T_BilanSocial[[#This Row],[NumL]],T_TraitDi[#Data],COLUMN(T_TraitDi[[#This Row],[Mercredi]]),FALSE),"")</f>
        <v/>
      </c>
      <c r="AV168" s="172" t="e">
        <f>IF(VLOOKUP(T_BilanSocial[[#This Row],[NumL]],T_TraitDi[#Data],COLUMN(T_TraitDi[[#This Row],[Colonne15]]),FALSE)=0,"",TEXT(IFERROR(VLOOKUP(T_BilanSocial[[#This Row],[NumL]],T_TraitDi[#Data],COLUMN(T_TraitDi[[#This Row],[Colonne15]]),FALSE),""),"[hh]:mm"))</f>
        <v>#VALUE!</v>
      </c>
      <c r="AW168" s="172" t="e">
        <f>IF(VLOOKUP(T_BilanSocial[[#This Row],[NumL]],T_TraitDi[#Data],COLUMN(T_TraitDi[[#This Row],[Colonne16]]),FALSE)=0,"",TEXT(IFERROR(VLOOKUP(T_BilanSocial[[#This Row],[NumL]],T_TraitDi[#Data],COLUMN(T_TraitDi[[#This Row],[Colonne16]]),FALSE),""),"[hh]:mm"))</f>
        <v>#VALUE!</v>
      </c>
      <c r="AX168" s="172" t="str">
        <f>IFERROR(VLOOKUP(T_BilanSocial[[#This Row],[NumL]],T_TraitDi[#Data],COLUMN(T_TraitDi[[#This Row],[Colonne17]]),FALSE),"")</f>
        <v/>
      </c>
      <c r="AY168" s="172" t="e">
        <f>IF(VLOOKUP(T_BilanSocial[[#This Row],[NumL]],T_TraitDi[#Data],COLUMN(T_TraitDi[[#This Row],[Colonne18]]),FALSE)=0,"",TEXT(IFERROR(VLOOKUP(T_BilanSocial[[#This Row],[NumL]],T_TraitDi[#Data],COLUMN(T_TraitDi[[#This Row],[Colonne18]]),FALSE),""),"[hh]:mm"))</f>
        <v>#VALUE!</v>
      </c>
      <c r="AZ168" s="172" t="e">
        <f>IF(VLOOKUP(T_BilanSocial[[#This Row],[NumL]],T_TraitDi[#Data],COLUMN(T_TraitDi[[#This Row],[Colonne19]]),FALSE)=0,"",TEXT(IFERROR(VLOOKUP(T_BilanSocial[[#This Row],[NumL]],T_TraitDi[#Data],COLUMN(T_TraitDi[[#This Row],[Colonne19]]),FALSE),""),"[hh]:mm"))</f>
        <v>#VALUE!</v>
      </c>
      <c r="BA168" s="172" t="e">
        <f>IF(VLOOKUP(T_BilanSocial[[#This Row],[NumL]],T_TraitDi[#Data],COLUMN(T_TraitDi[[#This Row],[Colonne20]]),FALSE)=0,"",TEXT(IFERROR(VLOOKUP(T_BilanSocial[[#This Row],[NumL]],T_TraitDi[#Data],COLUMN(T_TraitDi[[#This Row],[Colonne20]]),FALSE),""),"[hh]:mm"))</f>
        <v>#VALUE!</v>
      </c>
      <c r="BB168" s="178" t="str">
        <f>IFERROR(VLOOKUP(T_BilanSocial[[#This Row],[NumL]],T_TraitDi[#Data],COLUMN(T_TraitDi[[#This Row],[Jeudi]]),FALSE),"")</f>
        <v/>
      </c>
      <c r="BC168" s="178" t="e">
        <f>IF(VLOOKUP(T_BilanSocial[[#This Row],[NumL]],T_TraitDi[#Data],COLUMN(T_TraitDi[[#This Row],[Colonne21]]),FALSE)=0,"",TEXT(IFERROR(VLOOKUP(T_BilanSocial[[#This Row],[NumL]],T_TraitDi[#Data],COLUMN(T_TraitDi[[#This Row],[Colonne21]]),FALSE),""),"[hh]:mm"))</f>
        <v>#VALUE!</v>
      </c>
      <c r="BD168" s="178" t="e">
        <f>IF(VLOOKUP(T_BilanSocial[[#This Row],[NumL]],T_TraitDi[#Data],COLUMN(T_TraitDi[[#This Row],[Colonne22]]),FALSE)=0,"",TEXT(IFERROR(VLOOKUP(T_BilanSocial[[#This Row],[NumL]],T_TraitDi[#Data],COLUMN(T_TraitDi[[#This Row],[Colonne22]]),FALSE),""),"[hh]:mm"))</f>
        <v>#VALUE!</v>
      </c>
      <c r="BE168" s="178" t="str">
        <f>IFERROR(VLOOKUP(T_BilanSocial[[#This Row],[NumL]],T_TraitDi[#Data],COLUMN(T_TraitDi[[#This Row],[Colonne23]]),FALSE),"")</f>
        <v/>
      </c>
      <c r="BF168" s="178" t="e">
        <f>IF(VLOOKUP(T_BilanSocial[[#This Row],[NumL]],T_TraitDi[#Data],COLUMN(T_TraitDi[[#This Row],[Colonne24]]),FALSE)=0,"",TEXT(IFERROR(VLOOKUP(T_BilanSocial[[#This Row],[NumL]],T_TraitDi[#Data],COLUMN(T_TraitDi[[#This Row],[Colonne24]]),FALSE),""),"[hh]:mm"))</f>
        <v>#VALUE!</v>
      </c>
      <c r="BG168" s="178" t="e">
        <f>IF(VLOOKUP(T_BilanSocial[[#This Row],[NumL]],T_TraitDi[#Data],COLUMN(T_TraitDi[[#This Row],[Colonne25]]),FALSE)=0,"",TEXT(IFERROR(VLOOKUP(T_BilanSocial[[#This Row],[NumL]],T_TraitDi[#Data],COLUMN(T_TraitDi[[#This Row],[Colonne25]]),FALSE),""),"[hh]:mm"))</f>
        <v>#VALUE!</v>
      </c>
      <c r="BH168" s="178" t="e">
        <f>IF(VLOOKUP(T_BilanSocial[[#This Row],[NumL]],T_TraitDi[#Data],COLUMN(T_TraitDi[[#This Row],[Colonne26]]),FALSE)=0,"",TEXT(IFERROR(VLOOKUP(T_BilanSocial[[#This Row],[NumL]],T_TraitDi[#Data],COLUMN(T_TraitDi[[#This Row],[Colonne26]]),FALSE),""),"[hh]:mm"))</f>
        <v>#VALUE!</v>
      </c>
      <c r="BI168" s="172" t="str">
        <f>IFERROR(VLOOKUP(T_BilanSocial[[#This Row],[NumL]],T_TraitDi[#Data],COLUMN(T_TraitDi[[#This Row],[Vendredi]]),FALSE),"")</f>
        <v/>
      </c>
      <c r="BJ168" s="172" t="e">
        <f>IF(VLOOKUP(T_BilanSocial[[#This Row],[NumL]],T_TraitDi[#Data],COLUMN(T_TraitDi[[#This Row],[Colonne27]]),FALSE)=0,"",TEXT(IFERROR(VLOOKUP(T_BilanSocial[[#This Row],[NumL]],T_TraitDi[#Data],COLUMN(T_TraitDi[[#This Row],[Colonne27]]),FALSE),""),"[hh]:mm"))</f>
        <v>#VALUE!</v>
      </c>
      <c r="BK168" s="172" t="e">
        <f>IF(VLOOKUP(T_BilanSocial[[#This Row],[NumL]],T_TraitDi[#Data],COLUMN(T_TraitDi[[#This Row],[Colonne28]]),FALSE)=0,"",TEXT(IFERROR(VLOOKUP(T_BilanSocial[[#This Row],[NumL]],T_TraitDi[#Data],COLUMN(T_TraitDi[[#This Row],[Colonne28]]),FALSE),""),"[hh]:mm"))</f>
        <v>#VALUE!</v>
      </c>
      <c r="BL168" s="172" t="str">
        <f>IFERROR(VLOOKUP(T_BilanSocial[[#This Row],[NumL]],T_TraitDi[#Data],COLUMN(T_TraitDi[[#This Row],[Colonne29]]),FALSE),"")</f>
        <v/>
      </c>
      <c r="BM168" s="172" t="e">
        <f>IF(VLOOKUP(T_BilanSocial[[#This Row],[NumL]],T_TraitDi[#Data],COLUMN(T_TraitDi[[#This Row],[Colonne30]]),FALSE)=0,"",TEXT(IFERROR(VLOOKUP(T_BilanSocial[[#This Row],[NumL]],T_TraitDi[#Data],COLUMN(T_TraitDi[[#This Row],[Colonne30]]),FALSE),""),"[hh]:mm"))</f>
        <v>#VALUE!</v>
      </c>
      <c r="BN168" s="172" t="e">
        <f>IF(VLOOKUP(T_BilanSocial[[#This Row],[NumL]],T_TraitDi[#Data],COLUMN(T_TraitDi[[#This Row],[Colonne31]]),FALSE)=0,"",TEXT(IFERROR(VLOOKUP(T_BilanSocial[[#This Row],[NumL]],T_TraitDi[#Data],COLUMN(T_TraitDi[[#This Row],[Colonne31]]),FALSE),""),"[hh]:mm"))</f>
        <v>#VALUE!</v>
      </c>
      <c r="BO168" s="172" t="e">
        <f>IF(VLOOKUP(T_BilanSocial[[#This Row],[NumL]],T_TraitDi[#Data],COLUMN(T_TraitDi[[#This Row],[Colonne32]]),FALSE)=0,"",TEXT(IFERROR(VLOOKUP(T_BilanSocial[[#This Row],[NumL]],T_TraitDi[#Data],COLUMN(T_TraitDi[[#This Row],[Colonne32]]),FALSE),""),"[hh]:mm"))</f>
        <v>#VALUE!</v>
      </c>
      <c r="BP168" s="172" t="e">
        <f>VLOOKUP(T_BilanSocial[[#This Row],[NumL]],T_TraitDi[#Data],COLUMN(T_TraitDi[NbJTot]),FALSE)</f>
        <v>#N/A</v>
      </c>
      <c r="BQ168" s="174" t="str">
        <f>IFERROR(VLOOKUP(T_BilanSocial[[#This Row],[NumL]],T_TraitDi[#Data],COLUMN(T_TraitDi[[#This Row],[NbJTW]]),FALSE),"")</f>
        <v/>
      </c>
      <c r="BR168" s="174" t="e">
        <f>IF(VLOOKUP(T_BilanSocial[[#This Row],[NumL]],T_TraitDi[#Data],COLUMN(T_TraitDi[[#This Row],[NbhTW]]),FALSE)=0,"",TEXT(IFERROR(VLOOKUP(T_BilanSocial[[#This Row],[NumL]],T_TraitDi[#Data],COLUMN(T_TraitDi[[#This Row],[NbhTW]]),FALSE),""),"[hh]:mm"))</f>
        <v>#VALUE!</v>
      </c>
      <c r="BS168" s="174" t="e">
        <f>IF(VLOOKUP(T_BilanSocial[[#This Row],[NumL]],T_TraitDi[#Data],COLUMN(T_TraitDi[[#This Row],[Nbhheb]]),FALSE)=0,"",TEXT(IFERROR(VLOOKUP($A168,T_TraitDi[#Data],COLUMN(T_TraitDi[[#This Row],[Nbhheb]]),FALSE),""),"[hh]:mm"))</f>
        <v>#VALUE!</v>
      </c>
      <c r="BT168" s="182" t="str">
        <f>IFERROR(VLOOKUP(VLOOKUP($A168,T_TraitDi[#Data],COLUMN(T_TraitDi[[#This Row],[Type1]]),FALSE),TypeTW,2,FALSE),"")</f>
        <v/>
      </c>
      <c r="BU168" s="182" t="str">
        <f>IFERROR(VLOOKUP($A168,T_TraitDi[#Data],COLUMN(T_TraitDi[[#This Row],[Rue1]]),FALSE),"")</f>
        <v/>
      </c>
      <c r="BV168" s="173" t="str">
        <f>IFERROR(VLOOKUP($A168,T_TraitDi[#Data],COLUMN(T_TraitDi[[#This Row],[CP1]]),FALSE),"")</f>
        <v/>
      </c>
      <c r="BW168" s="173" t="str">
        <f>IFERROR(VLOOKUP($A168,T_TraitDi[#Data],COLUMN(T_TraitDi[[#This Row],[VILLE1]]),FALSE),"")</f>
        <v/>
      </c>
      <c r="BX168" s="182" t="str">
        <f>IFERROR(VLOOKUP(VLOOKUP($A168,T_TraitDi[#Data],COLUMN(T_TraitDi[[#This Row],[Type2]]),FALSE),TypeTW,2,FALSE),"")</f>
        <v/>
      </c>
      <c r="BY168" s="182" t="str">
        <f>IFERROR(VLOOKUP($A168,T_TraitDi[#Data],COLUMN(T_TraitDi[[#This Row],[Rue2]]),FALSE),"")</f>
        <v/>
      </c>
      <c r="BZ168" s="173" t="str">
        <f>IFERROR(VLOOKUP($A168,T_TraitDi[#Data],COLUMN(T_TraitDi[[#This Row],[CP2]]),FALSE),"")</f>
        <v/>
      </c>
      <c r="CA168" s="173" t="str">
        <f>IFERROR(VLOOKUP($A168,T_TraitDi[#Data],COLUMN(T_TraitDi[[#This Row],[VILLE2]]),FALSE),"")</f>
        <v/>
      </c>
      <c r="CB168" s="182" t="str">
        <f>IF(VLOOKUP(T_BilanSocial[[#This Row],[NumL]],T_Equipement[#Data],COLUMN(T_Equipement[[#This Row],[PC]]),FALSE)="","Aucun équipement spécifique directement lié au télétravail",VLOOKUP(T_BilanSocial[[#This Row],[NumL]],T_Equipement[#Data],COLUMN(T_Equipement[[#This Row],[PC]]),FALSE))</f>
        <v xml:space="preserve">19-586	</v>
      </c>
      <c r="CC168" s="166" t="str">
        <f>IFERROR(IF(VLOOKUP(T_BilanSocial[[#This Row],[NumL]],T_TraitDi[#Data],COLUMN(T_TraitDi[[#This Row],[Plan]]),FALSE)="OK","Un planning spécifique de télétravail est annexé à la présente convention.",""),"")</f>
        <v/>
      </c>
      <c r="CD168" s="185"/>
      <c r="CE168" s="164" t="e">
        <f>IF(VLOOKUP(T_BilanSocial[[#This Row],[NumL]],T_suiviDi[#Data],COLUMN(T_suiviDi[[#This Row],[Entité]]),FALSE)="","",VLOOKUP(T_BilanSocial[[#This Row],[NumL]],T_suiviDi[#Data],COLUMN(T_suiviDi[[#This Row],[Entité]]),FALSE))</f>
        <v>#VALUE!</v>
      </c>
      <c r="CF168" s="164" t="str">
        <f>IF(VLOOKUP(T_BilanSocial[[#This Row],[NumL]],T_Commission[#Data],COLUMN(T_Commission[[#This Row],[envoi confirm TW]]),FALSE)="","",VLOOKUP(T_BilanSocial[[#This Row],[NumL]],T_Commission[#Data],COLUMN(T_Commission[[#This Row],[envoi confirm TW]]),FALSE))</f>
        <v>Oui</v>
      </c>
      <c r="CG16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8" s="262" t="str">
        <f>T_BilanSocial[[#This Row],[Nom]]&amp;T_BilanSocial[[#This Row],[Prenom]]</f>
        <v/>
      </c>
      <c r="CI168" s="262">
        <f>VLOOKUP(T_BilanSocial[[#This Row],[NumL]],T_Commission[#Data],COLUMN(T_Commission[Commentaire]),FALSE)</f>
        <v>0</v>
      </c>
      <c r="CJ168" s="262" t="str">
        <f>IF(VLOOKUP(T_BilanSocial[[#This Row],[NumL]],T_Commission[#Data],COLUMN(T_Commission[Encadrant Email]),FALSE)="","",VLOOKUP(T_BilanSocial[[#This Row],[NumL]],T_Commission[#Data],COLUMN(T_Commission[Encadrant Email]),FALSE))</f>
        <v/>
      </c>
      <c r="CK168" s="340" t="str">
        <f>IF(T_BilanSocial[[#This Row],[Final]]&lt;&gt;"",VLOOKUP(T_BilanSocial[[#This Row],[NumL]],T_suiviDi[#Data],COLUMN((T_suiviDi[Statut])),FALSE),"")</f>
        <v/>
      </c>
    </row>
    <row r="169" spans="1:89" s="106" customFormat="1" ht="24.75" customHeight="1" x14ac:dyDescent="0.25">
      <c r="A169" s="160">
        <v>166</v>
      </c>
      <c r="B169" s="161" t="str">
        <f t="shared" si="22"/>
        <v/>
      </c>
      <c r="C169" s="162" t="s">
        <v>173</v>
      </c>
      <c r="D169" s="95" t="e">
        <f>IF(VLOOKUP(T_BilanSocial[[#This Row],[NumL]],T_TraitDi[#Data],COLUMN(T_TraitDi[[#This Row],[WebC]]),FALSE)="","",VLOOKUP(T_BilanSocial[[#This Row],[NumL]],T_TraitDi[#Data],COLUMN(T_TraitDi[[#This Row],[WebC]]),FALSE))</f>
        <v>#VALUE!</v>
      </c>
      <c r="E169" s="163" t="str">
        <f t="shared" si="23"/>
        <v>12 janvier 2021</v>
      </c>
      <c r="F169" s="96" t="str">
        <f>IF(T_BilanSocial[[#This Row],[Final]]&lt;&gt;"",VLOOKUP(T_BilanSocial[[#This Row],[NumL]],T_suiviDi[#Data],COLUMN((T_suiviDi[Civ.])),FALSE),"")</f>
        <v/>
      </c>
      <c r="G169" s="96" t="str">
        <f>IF(T_BilanSocial[[#This Row],[Final]]&lt;&gt;"",VLOOKUP(T_BilanSocial[[#This Row],[NumL]],T_suiviDi[#Data],COLUMN((T_suiviDi[Nom])),FALSE),"")</f>
        <v/>
      </c>
      <c r="H169" s="96" t="str">
        <f>IF(T_BilanSocial[[#This Row],[Final]]&lt;&gt;"",VLOOKUP(T_BilanSocial[[#This Row],[NumL]],T_suiviDi[#Data],COLUMN((T_suiviDi[Prénom])),FALSE),"")</f>
        <v/>
      </c>
      <c r="I169" s="96" t="str">
        <f>IFERROR(VLOOKUP(T_BilanSocial[[#This Row],[Zone_Bilan]],T_P_BilanSocial[#Data],COLUMN(T_P_BilanSocial[[#This Row],[Numero_SIHAM]]),FALSE),"")</f>
        <v/>
      </c>
      <c r="J169" s="96" t="str">
        <f>IFERROR(VLOOKUP(T_BilanSocial[[#This Row],[Zone_Bilan]],T_P_BilanSocial[#Data],COLUMN(T_P_BilanSocial[[#This Row],[Sexe]]),FALSE),"")</f>
        <v/>
      </c>
      <c r="K169" s="97" t="str">
        <f>IFERROR(VLOOKUP(T_BilanSocial[[#This Row],[Zone_Bilan]],T_P_BilanSocial[#Data],COLUMN(T_P_BilanSocial[[#This Row],[Categorie]]),FALSE),"")</f>
        <v/>
      </c>
      <c r="L169" s="96" t="str">
        <f>IFERROR(VLOOKUP(T_BilanSocial[[#This Row],[Zone_Bilan]],T_P_BilanSocial[#Data],COLUMN(T_P_BilanSocial[[#This Row],[Statut]]),FALSE),"")</f>
        <v/>
      </c>
      <c r="M169" s="96" t="str">
        <f>IFERROR(VLOOKUP(T_BilanSocial[[#This Row],[Zone_Bilan]],T_P_BilanSocial[#Data],COLUMN(T_P_BilanSocial[[#This Row],[Filiere]]),FALSE),"")</f>
        <v/>
      </c>
      <c r="N169" s="96" t="e">
        <f>VLOOKUP(T_BilanSocial[[#This Row],[NumL]],T_TraitDi[#Data],COLUMN(T_TraitDi[EXP]),FALSE)</f>
        <v>#N/A</v>
      </c>
      <c r="O169" s="96" t="e">
        <f>VLOOKUP(T_BilanSocial[[#This Row],[NumL]],T_TraitDi[#Data],COLUMN(T_TraitDi[FORM]),FALSE)</f>
        <v>#N/A</v>
      </c>
      <c r="P169" s="96" t="str">
        <f>IF(T_BilanSocial[[#This Row],[Final]]&lt;&gt;"",VLOOKUP(T_BilanSocial[[#This Row],[NumL]],T_suiviDi[#Data],COLUMN((T_suiviDi[Email])),FALSE),"")</f>
        <v/>
      </c>
      <c r="Q169" s="164" t="e">
        <f t="shared" si="28"/>
        <v>#N/A</v>
      </c>
      <c r="R169" s="164" t="e">
        <f t="shared" si="29"/>
        <v>#N/A</v>
      </c>
      <c r="S169" s="164" t="e">
        <f>IF(VLOOKUP(T_BilanSocial[[#This Row],[NumL]],T_suiviDi[#Data],COLUMN(T_suiviDi[[#This Row],[Service ]]),FALSE)="","",VLOOKUP(T_BilanSocial[[#This Row],[NumL]],T_suiviDi[#Data],COLUMN(T_suiviDi[[#This Row],[Service ]]),FALSE))</f>
        <v>#VALUE!</v>
      </c>
      <c r="T169" s="164" t="str">
        <f t="shared" si="24"/>
        <v>01 septembre 2021</v>
      </c>
      <c r="U169" s="164" t="str">
        <f t="shared" si="25"/>
        <v>30 novembre 2021</v>
      </c>
      <c r="V169" s="164" t="str">
        <f t="shared" si="31"/>
        <v>30 novembre 2021</v>
      </c>
      <c r="W169" s="176" t="e">
        <f>IF(VLOOKUP(T_BilanSocial[[#This Row],[NumL]],T_TraitDi[#Data],COLUMN(T_TraitDi[[#This Row],[M1]]),FALSE)="","",VLOOKUP(T_BilanSocial[[#This Row],[NumL]],T_TraitDi[#Data],COLUMN(T_TraitDi[[#This Row],[M1]]),FALSE))</f>
        <v>#VALUE!</v>
      </c>
      <c r="X169" s="176" t="e">
        <f>IF(VLOOKUP(T_BilanSocial[[#This Row],[NumL]],T_TraitDi[#Data],COLUMN(T_TraitDi[[#This Row],[M2]]),FALSE)="","",VLOOKUP(T_BilanSocial[[#This Row],[NumL]],T_TraitDi[#Data],COLUMN(T_TraitDi[[#This Row],[M2]]),FALSE))</f>
        <v>#VALUE!</v>
      </c>
      <c r="Y169" s="176" t="e">
        <f>IF(VLOOKUP(T_BilanSocial[[#This Row],[NumL]],T_TraitDi[#Data],COLUMN(T_TraitDi[[#This Row],[M3]]),FALSE)="","",VLOOKUP(T_BilanSocial[[#This Row],[NumL]],T_TraitDi[#Data],COLUMN(T_TraitDi[[#This Row],[M3]]),FALSE))</f>
        <v>#VALUE!</v>
      </c>
      <c r="Z169" s="176" t="str">
        <f t="shared" si="27"/>
        <v/>
      </c>
      <c r="AA169" s="176" t="e">
        <f>IF(VLOOKUP(T_BilanSocial[[#This Row],[NumL]],T_TraitDi[#Data],COLUMN(T_TraitDi[[#This Row],[M5]]),FALSE)="","",VLOOKUP(T_BilanSocial[[#This Row],[NumL]],T_TraitDi[#Data],COLUMN(T_TraitDi[[#This Row],[M5]]),FALSE))</f>
        <v>#VALUE!</v>
      </c>
      <c r="AB169" s="176" t="e">
        <f>IF(VLOOKUP(T_BilanSocial[[#This Row],[NumL]],T_TraitDi[#Data],COLUMN(T_TraitDi[[#This Row],[M6]]),FALSE)="","",VLOOKUP(T_BilanSocial[[#This Row],[NumL]],T_TraitDi[#Data],COLUMN(T_TraitDi[[#This Row],[M6]]),FALSE))</f>
        <v>#VALUE!</v>
      </c>
      <c r="AC169" s="165" t="e">
        <f t="shared" si="26"/>
        <v>#VALUE!</v>
      </c>
      <c r="AD169" s="188" t="str">
        <f>IFERROR(TEXT(VLOOKUP(T_BilanSocial[[#This Row],[NumL]],T_TraitDi[#Data],COLUMN(T_TraitDi[[#This Row],[Q2]]),FALSE),"###%"),"")</f>
        <v/>
      </c>
      <c r="AE169" s="97" t="e">
        <f>VLOOKUP(T_BilanSocial[[#This Row],[NumL]],T_TraitDi[#Data],COLUMN(T_TraitDi[[#This Row],[Reg Ponct]]),FALSE)</f>
        <v>#VALUE!</v>
      </c>
      <c r="AF169" s="97" t="e">
        <f>VLOOKUP(T_BilanSocial[NumL],T_TraitDi[#Data],COLUMN(T_TraitDi[[#This Row],[Jours flottants]]),FALSE)</f>
        <v>#VALUE!</v>
      </c>
      <c r="AG169" s="97" t="str">
        <f>IFERROR(VLOOKUP(T_BilanSocial[[#This Row],[NumL]],T_TraitDi[#Data],COLUMN(T_TraitDi[[#This Row],[Lundi]]),FALSE),"")</f>
        <v/>
      </c>
      <c r="AH169" s="172" t="e">
        <f>IF(VLOOKUP(T_BilanSocial[[#This Row],[NumL]],T_TraitDi[#Data],COLUMN(T_TraitDi[[#This Row],[Colonne3]]),FALSE)=0,"",TEXT(IFERROR(VLOOKUP(T_BilanSocial[[#This Row],[NumL]],T_TraitDi[#Data],COLUMN(T_TraitDi[[#This Row],[Colonne3]]),FALSE),""),"[hh]:mm"))</f>
        <v>#VALUE!</v>
      </c>
      <c r="AI169" s="172" t="e">
        <f>IF(VLOOKUP(T_BilanSocial[[#This Row],[NumL]],T_TraitDi[#Data],COLUMN(T_TraitDi[[#This Row],[Colonne4]]),FALSE)=0,"",TEXT(IFERROR(VLOOKUP(T_BilanSocial[[#This Row],[NumL]],T_TraitDi[#Data],COLUMN(T_TraitDi[[#This Row],[Colonne4]]),FALSE),""),"[hh]:mm"))</f>
        <v>#VALUE!</v>
      </c>
      <c r="AJ169" s="172" t="e">
        <f>IF(VLOOKUP(T_BilanSocial[[#This Row],[NumL]],T_TraitDi[#Data],COLUMN(T_TraitDi[[#This Row],[Colonne5]]),FALSE)=0,"",TEXT(IFERROR(VLOOKUP(T_BilanSocial[[#This Row],[NumL]],T_TraitDi[#Data],COLUMN(T_TraitDi[[#This Row],[Colonne5]]),FALSE),""),"[hh]:mm"))</f>
        <v>#VALUE!</v>
      </c>
      <c r="AK169" s="172" t="e">
        <f>IF(VLOOKUP(T_BilanSocial[[#This Row],[NumL]],T_TraitDi[#Data],COLUMN(T_TraitDi[[#This Row],[Colonne6]]),FALSE)=0,"",TEXT(IFERROR(VLOOKUP(T_BilanSocial[[#This Row],[NumL]],T_TraitDi[#Data],COLUMN(T_TraitDi[[#This Row],[Colonne6]]),FALSE),""),"[hh]:mm"))</f>
        <v>#VALUE!</v>
      </c>
      <c r="AL169" s="172" t="e">
        <f>IF(VLOOKUP(T_BilanSocial[[#This Row],[NumL]],T_TraitDi[#Data],COLUMN(T_TraitDi[[#This Row],[Colonne7]]),FALSE)=0,"",TEXT(IFERROR(VLOOKUP(T_BilanSocial[[#This Row],[NumL]],T_TraitDi[#Data],COLUMN(T_TraitDi[[#This Row],[Colonne7]]),FALSE),""),"[hh]:mm"))</f>
        <v>#VALUE!</v>
      </c>
      <c r="AM169" s="172" t="e">
        <f>IF(VLOOKUP(T_BilanSocial[[#This Row],[NumL]],T_TraitDi[#Data],COLUMN(T_TraitDi[[#This Row],[Colonne8]]),FALSE)=0,"",TEXT(IFERROR(VLOOKUP(T_BilanSocial[[#This Row],[NumL]],T_TraitDi[#Data],COLUMN(T_TraitDi[[#This Row],[Colonne8]]),FALSE),""),"[hh]:mm"))</f>
        <v>#VALUE!</v>
      </c>
      <c r="AN169" s="172" t="str">
        <f>IFERROR(VLOOKUP(T_BilanSocial[[#This Row],[NumL]],T_TraitDi[#Data],COLUMN(T_TraitDi[[#This Row],[Mardi]]),FALSE),"")</f>
        <v/>
      </c>
      <c r="AO169" s="172" t="e">
        <f>IF(VLOOKUP(T_BilanSocial[[#This Row],[NumL]],T_TraitDi[#Data],COLUMN(T_TraitDi[[#This Row],[Colonne1]]),FALSE)=0,"",TEXT(IFERROR(VLOOKUP(T_BilanSocial[[#This Row],[NumL]],T_TraitDi[#Data],COLUMN(T_TraitDi[[#This Row],[Colonne1]]),FALSE),""),"[hh]:mm"))</f>
        <v>#VALUE!</v>
      </c>
      <c r="AP169" s="172" t="e">
        <f>IF(VLOOKUP(T_BilanSocial[[#This Row],[NumL]],T_TraitDi[#Data],COLUMN(T_TraitDi[[#This Row],[Colonne9]]),FALSE)=0,"",TEXT(IFERROR(VLOOKUP(T_BilanSocial[[#This Row],[NumL]],T_TraitDi[#Data],COLUMN(T_TraitDi[[#This Row],[Colonne9]]),FALSE),""),"[hh]:mm"))</f>
        <v>#VALUE!</v>
      </c>
      <c r="AQ169" s="172" t="str">
        <f>IFERROR(VLOOKUP(T_BilanSocial[[#This Row],[NumL]],T_TraitDi[#Data],COLUMN(T_TraitDi[[#This Row],[Colonne10]]),FALSE),"")</f>
        <v/>
      </c>
      <c r="AR169" s="172" t="e">
        <f>IF(VLOOKUP(T_BilanSocial[[#This Row],[NumL]],T_TraitDi[#Data],COLUMN(T_TraitDi[[#This Row],[Colonne11]]),FALSE)=0,"",TEXT(IFERROR(VLOOKUP(T_BilanSocial[[#This Row],[NumL]],T_TraitDi[#Data],COLUMN(T_TraitDi[[#This Row],[Colonne11]]),FALSE),""),"[hh]:mm"))</f>
        <v>#VALUE!</v>
      </c>
      <c r="AS169" s="172" t="e">
        <f>IF(VLOOKUP(T_BilanSocial[[#This Row],[NumL]],T_TraitDi[#Data],COLUMN(T_TraitDi[[#This Row],[Colonne12]]),FALSE)=0,"",TEXT(IFERROR(VLOOKUP(T_BilanSocial[[#This Row],[NumL]],T_TraitDi[#Data],COLUMN(T_TraitDi[[#This Row],[Colonne12]]),FALSE),""),"[hh]:mm"))</f>
        <v>#VALUE!</v>
      </c>
      <c r="AT169" s="172" t="e">
        <f>IF(VLOOKUP(T_BilanSocial[[#This Row],[NumL]],T_TraitDi[#Data],COLUMN(T_TraitDi[[#This Row],[Colonne14]]),FALSE)=0,"",TEXT(IFERROR(VLOOKUP(T_BilanSocial[[#This Row],[NumL]],T_TraitDi[#Data],COLUMN(T_TraitDi[[#This Row],[Colonne14]]),FALSE),""),"[hh]:mm"))</f>
        <v>#VALUE!</v>
      </c>
      <c r="AU169" s="172" t="str">
        <f>IFERROR(VLOOKUP(T_BilanSocial[[#This Row],[NumL]],T_TraitDi[#Data],COLUMN(T_TraitDi[[#This Row],[Mercredi]]),FALSE),"")</f>
        <v/>
      </c>
      <c r="AV169" s="172" t="e">
        <f>IF(VLOOKUP(T_BilanSocial[[#This Row],[NumL]],T_TraitDi[#Data],COLUMN(T_TraitDi[[#This Row],[Colonne15]]),FALSE)=0,"",TEXT(IFERROR(VLOOKUP(T_BilanSocial[[#This Row],[NumL]],T_TraitDi[#Data],COLUMN(T_TraitDi[[#This Row],[Colonne15]]),FALSE),""),"[hh]:mm"))</f>
        <v>#VALUE!</v>
      </c>
      <c r="AW169" s="172" t="e">
        <f>IF(VLOOKUP(T_BilanSocial[[#This Row],[NumL]],T_TraitDi[#Data],COLUMN(T_TraitDi[[#This Row],[Colonne16]]),FALSE)=0,"",TEXT(IFERROR(VLOOKUP(T_BilanSocial[[#This Row],[NumL]],T_TraitDi[#Data],COLUMN(T_TraitDi[[#This Row],[Colonne16]]),FALSE),""),"[hh]:mm"))</f>
        <v>#VALUE!</v>
      </c>
      <c r="AX169" s="172" t="str">
        <f>IFERROR(VLOOKUP(T_BilanSocial[[#This Row],[NumL]],T_TraitDi[#Data],COLUMN(T_TraitDi[[#This Row],[Colonne17]]),FALSE),"")</f>
        <v/>
      </c>
      <c r="AY169" s="172" t="e">
        <f>IF(VLOOKUP(T_BilanSocial[[#This Row],[NumL]],T_TraitDi[#Data],COLUMN(T_TraitDi[[#This Row],[Colonne18]]),FALSE)=0,"",TEXT(IFERROR(VLOOKUP(T_BilanSocial[[#This Row],[NumL]],T_TraitDi[#Data],COLUMN(T_TraitDi[[#This Row],[Colonne18]]),FALSE),""),"[hh]:mm"))</f>
        <v>#VALUE!</v>
      </c>
      <c r="AZ169" s="172" t="e">
        <f>IF(VLOOKUP(T_BilanSocial[[#This Row],[NumL]],T_TraitDi[#Data],COLUMN(T_TraitDi[[#This Row],[Colonne19]]),FALSE)=0,"",TEXT(IFERROR(VLOOKUP(T_BilanSocial[[#This Row],[NumL]],T_TraitDi[#Data],COLUMN(T_TraitDi[[#This Row],[Colonne19]]),FALSE),""),"[hh]:mm"))</f>
        <v>#VALUE!</v>
      </c>
      <c r="BA169" s="172" t="e">
        <f>IF(VLOOKUP(T_BilanSocial[[#This Row],[NumL]],T_TraitDi[#Data],COLUMN(T_TraitDi[[#This Row],[Colonne20]]),FALSE)=0,"",TEXT(IFERROR(VLOOKUP(T_BilanSocial[[#This Row],[NumL]],T_TraitDi[#Data],COLUMN(T_TraitDi[[#This Row],[Colonne20]]),FALSE),""),"[hh]:mm"))</f>
        <v>#VALUE!</v>
      </c>
      <c r="BB169" s="178" t="str">
        <f>IFERROR(VLOOKUP(T_BilanSocial[[#This Row],[NumL]],T_TraitDi[#Data],COLUMN(T_TraitDi[[#This Row],[Jeudi]]),FALSE),"")</f>
        <v/>
      </c>
      <c r="BC169" s="178" t="e">
        <f>IF(VLOOKUP(T_BilanSocial[[#This Row],[NumL]],T_TraitDi[#Data],COLUMN(T_TraitDi[[#This Row],[Colonne21]]),FALSE)=0,"",TEXT(IFERROR(VLOOKUP(T_BilanSocial[[#This Row],[NumL]],T_TraitDi[#Data],COLUMN(T_TraitDi[[#This Row],[Colonne21]]),FALSE),""),"[hh]:mm"))</f>
        <v>#VALUE!</v>
      </c>
      <c r="BD169" s="178" t="e">
        <f>IF(VLOOKUP(T_BilanSocial[[#This Row],[NumL]],T_TraitDi[#Data],COLUMN(T_TraitDi[[#This Row],[Colonne22]]),FALSE)=0,"",TEXT(IFERROR(VLOOKUP(T_BilanSocial[[#This Row],[NumL]],T_TraitDi[#Data],COLUMN(T_TraitDi[[#This Row],[Colonne22]]),FALSE),""),"[hh]:mm"))</f>
        <v>#VALUE!</v>
      </c>
      <c r="BE169" s="178" t="str">
        <f>IFERROR(VLOOKUP(T_BilanSocial[[#This Row],[NumL]],T_TraitDi[#Data],COLUMN(T_TraitDi[[#This Row],[Colonne23]]),FALSE),"")</f>
        <v/>
      </c>
      <c r="BF169" s="178" t="e">
        <f>IF(VLOOKUP(T_BilanSocial[[#This Row],[NumL]],T_TraitDi[#Data],COLUMN(T_TraitDi[[#This Row],[Colonne24]]),FALSE)=0,"",TEXT(IFERROR(VLOOKUP(T_BilanSocial[[#This Row],[NumL]],T_TraitDi[#Data],COLUMN(T_TraitDi[[#This Row],[Colonne24]]),FALSE),""),"[hh]:mm"))</f>
        <v>#VALUE!</v>
      </c>
      <c r="BG169" s="178" t="e">
        <f>IF(VLOOKUP(T_BilanSocial[[#This Row],[NumL]],T_TraitDi[#Data],COLUMN(T_TraitDi[[#This Row],[Colonne25]]),FALSE)=0,"",TEXT(IFERROR(VLOOKUP(T_BilanSocial[[#This Row],[NumL]],T_TraitDi[#Data],COLUMN(T_TraitDi[[#This Row],[Colonne25]]),FALSE),""),"[hh]:mm"))</f>
        <v>#VALUE!</v>
      </c>
      <c r="BH169" s="178" t="e">
        <f>IF(VLOOKUP(T_BilanSocial[[#This Row],[NumL]],T_TraitDi[#Data],COLUMN(T_TraitDi[[#This Row],[Colonne26]]),FALSE)=0,"",TEXT(IFERROR(VLOOKUP(T_BilanSocial[[#This Row],[NumL]],T_TraitDi[#Data],COLUMN(T_TraitDi[[#This Row],[Colonne26]]),FALSE),""),"[hh]:mm"))</f>
        <v>#VALUE!</v>
      </c>
      <c r="BI169" s="172" t="str">
        <f>IFERROR(VLOOKUP(T_BilanSocial[[#This Row],[NumL]],T_TraitDi[#Data],COLUMN(T_TraitDi[[#This Row],[Vendredi]]),FALSE),"")</f>
        <v/>
      </c>
      <c r="BJ169" s="172" t="e">
        <f>IF(VLOOKUP(T_BilanSocial[[#This Row],[NumL]],T_TraitDi[#Data],COLUMN(T_TraitDi[[#This Row],[Colonne27]]),FALSE)=0,"",TEXT(IFERROR(VLOOKUP(T_BilanSocial[[#This Row],[NumL]],T_TraitDi[#Data],COLUMN(T_TraitDi[[#This Row],[Colonne27]]),FALSE),""),"[hh]:mm"))</f>
        <v>#VALUE!</v>
      </c>
      <c r="BK169" s="172" t="e">
        <f>IF(VLOOKUP(T_BilanSocial[[#This Row],[NumL]],T_TraitDi[#Data],COLUMN(T_TraitDi[[#This Row],[Colonne28]]),FALSE)=0,"",TEXT(IFERROR(VLOOKUP(T_BilanSocial[[#This Row],[NumL]],T_TraitDi[#Data],COLUMN(T_TraitDi[[#This Row],[Colonne28]]),FALSE),""),"[hh]:mm"))</f>
        <v>#VALUE!</v>
      </c>
      <c r="BL169" s="172" t="str">
        <f>IFERROR(VLOOKUP(T_BilanSocial[[#This Row],[NumL]],T_TraitDi[#Data],COLUMN(T_TraitDi[[#This Row],[Colonne29]]),FALSE),"")</f>
        <v/>
      </c>
      <c r="BM169" s="172" t="e">
        <f>IF(VLOOKUP(T_BilanSocial[[#This Row],[NumL]],T_TraitDi[#Data],COLUMN(T_TraitDi[[#This Row],[Colonne30]]),FALSE)=0,"",TEXT(IFERROR(VLOOKUP(T_BilanSocial[[#This Row],[NumL]],T_TraitDi[#Data],COLUMN(T_TraitDi[[#This Row],[Colonne30]]),FALSE),""),"[hh]:mm"))</f>
        <v>#VALUE!</v>
      </c>
      <c r="BN169" s="172" t="e">
        <f>IF(VLOOKUP(T_BilanSocial[[#This Row],[NumL]],T_TraitDi[#Data],COLUMN(T_TraitDi[[#This Row],[Colonne31]]),FALSE)=0,"",TEXT(IFERROR(VLOOKUP(T_BilanSocial[[#This Row],[NumL]],T_TraitDi[#Data],COLUMN(T_TraitDi[[#This Row],[Colonne31]]),FALSE),""),"[hh]:mm"))</f>
        <v>#VALUE!</v>
      </c>
      <c r="BO169" s="172" t="e">
        <f>IF(VLOOKUP(T_BilanSocial[[#This Row],[NumL]],T_TraitDi[#Data],COLUMN(T_TraitDi[[#This Row],[Colonne32]]),FALSE)=0,"",TEXT(IFERROR(VLOOKUP(T_BilanSocial[[#This Row],[NumL]],T_TraitDi[#Data],COLUMN(T_TraitDi[[#This Row],[Colonne32]]),FALSE),""),"[hh]:mm"))</f>
        <v>#VALUE!</v>
      </c>
      <c r="BP169" s="172" t="e">
        <f>VLOOKUP(T_BilanSocial[[#This Row],[NumL]],T_TraitDi[#Data],COLUMN(T_TraitDi[NbJTot]),FALSE)</f>
        <v>#N/A</v>
      </c>
      <c r="BQ169" s="174" t="str">
        <f>IFERROR(VLOOKUP(T_BilanSocial[[#This Row],[NumL]],T_TraitDi[#Data],COLUMN(T_TraitDi[[#This Row],[NbJTW]]),FALSE),"")</f>
        <v/>
      </c>
      <c r="BR169" s="174" t="e">
        <f>IF(VLOOKUP(T_BilanSocial[[#This Row],[NumL]],T_TraitDi[#Data],COLUMN(T_TraitDi[[#This Row],[NbhTW]]),FALSE)=0,"",TEXT(IFERROR(VLOOKUP(T_BilanSocial[[#This Row],[NumL]],T_TraitDi[#Data],COLUMN(T_TraitDi[[#This Row],[NbhTW]]),FALSE),""),"[hh]:mm"))</f>
        <v>#VALUE!</v>
      </c>
      <c r="BS169" s="174" t="e">
        <f>IF(VLOOKUP(T_BilanSocial[[#This Row],[NumL]],T_TraitDi[#Data],COLUMN(T_TraitDi[[#This Row],[Nbhheb]]),FALSE)=0,"",TEXT(IFERROR(VLOOKUP($A169,T_TraitDi[#Data],COLUMN(T_TraitDi[[#This Row],[Nbhheb]]),FALSE),""),"[hh]:mm"))</f>
        <v>#VALUE!</v>
      </c>
      <c r="BT169" s="182" t="str">
        <f>IFERROR(VLOOKUP(VLOOKUP($A169,T_TraitDi[#Data],COLUMN(T_TraitDi[[#This Row],[Type1]]),FALSE),TypeTW,2,FALSE),"")</f>
        <v/>
      </c>
      <c r="BU169" s="182" t="str">
        <f>IFERROR(VLOOKUP($A169,T_TraitDi[#Data],COLUMN(T_TraitDi[[#This Row],[Rue1]]),FALSE),"")</f>
        <v/>
      </c>
      <c r="BV169" s="173" t="str">
        <f>IFERROR(VLOOKUP($A169,T_TraitDi[#Data],COLUMN(T_TraitDi[[#This Row],[CP1]]),FALSE),"")</f>
        <v/>
      </c>
      <c r="BW169" s="173" t="str">
        <f>IFERROR(VLOOKUP($A169,T_TraitDi[#Data],COLUMN(T_TraitDi[[#This Row],[VILLE1]]),FALSE),"")</f>
        <v/>
      </c>
      <c r="BX169" s="182" t="str">
        <f>IFERROR(VLOOKUP(VLOOKUP($A169,T_TraitDi[#Data],COLUMN(T_TraitDi[[#This Row],[Type2]]),FALSE),TypeTW,2,FALSE),"")</f>
        <v/>
      </c>
      <c r="BY169" s="182" t="str">
        <f>IFERROR(VLOOKUP($A169,T_TraitDi[#Data],COLUMN(T_TraitDi[[#This Row],[Rue2]]),FALSE),"")</f>
        <v/>
      </c>
      <c r="BZ169" s="173" t="str">
        <f>IFERROR(VLOOKUP($A169,T_TraitDi[#Data],COLUMN(T_TraitDi[[#This Row],[CP2]]),FALSE),"")</f>
        <v/>
      </c>
      <c r="CA169" s="173" t="str">
        <f>IFERROR(VLOOKUP($A169,T_TraitDi[#Data],COLUMN(T_TraitDi[[#This Row],[VILLE2]]),FALSE),"")</f>
        <v/>
      </c>
      <c r="CB169" s="182" t="str">
        <f>IF(VLOOKUP(T_BilanSocial[[#This Row],[NumL]],T_Equipement[#Data],COLUMN(T_Equipement[[#This Row],[PC]]),FALSE)="","Aucun équipement spécifique directement lié au télétravail",VLOOKUP(T_BilanSocial[[#This Row],[NumL]],T_Equipement[#Data],COLUMN(T_Equipement[[#This Row],[PC]]),FALSE))</f>
        <v xml:space="preserve">18-033	</v>
      </c>
      <c r="CC169" s="166" t="str">
        <f>IFERROR(IF(VLOOKUP(T_BilanSocial[[#This Row],[NumL]],T_TraitDi[#Data],COLUMN(T_TraitDi[[#This Row],[Plan]]),FALSE)="OK","Un planning spécifique de télétravail est annexé à la présente convention.",""),"")</f>
        <v/>
      </c>
      <c r="CD169" s="258" t="s">
        <v>3422</v>
      </c>
      <c r="CE169" s="164" t="e">
        <f>IF(VLOOKUP(T_BilanSocial[[#This Row],[NumL]],T_suiviDi[#Data],COLUMN(T_suiviDi[[#This Row],[Entité]]),FALSE)="","",VLOOKUP(T_BilanSocial[[#This Row],[NumL]],T_suiviDi[#Data],COLUMN(T_suiviDi[[#This Row],[Entité]]),FALSE))</f>
        <v>#VALUE!</v>
      </c>
      <c r="CF169" s="164" t="str">
        <f>IF(VLOOKUP(T_BilanSocial[[#This Row],[NumL]],T_Commission[#Data],COLUMN(T_Commission[[#This Row],[envoi confirm TW]]),FALSE)="","",VLOOKUP(T_BilanSocial[[#This Row],[NumL]],T_Commission[#Data],COLUMN(T_Commission[[#This Row],[envoi confirm TW]]),FALSE))</f>
        <v>Oui</v>
      </c>
      <c r="CG16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69" s="262" t="str">
        <f>T_BilanSocial[[#This Row],[Nom]]&amp;T_BilanSocial[[#This Row],[Prenom]]</f>
        <v/>
      </c>
      <c r="CI169" s="262">
        <f>VLOOKUP(T_BilanSocial[[#This Row],[NumL]],T_Commission[#Data],COLUMN(T_Commission[Commentaire]),FALSE)</f>
        <v>0</v>
      </c>
      <c r="CJ169" s="262" t="str">
        <f>IF(VLOOKUP(T_BilanSocial[[#This Row],[NumL]],T_Commission[#Data],COLUMN(T_Commission[Encadrant Email]),FALSE)="","",VLOOKUP(T_BilanSocial[[#This Row],[NumL]],T_Commission[#Data],COLUMN(T_Commission[Encadrant Email]),FALSE))</f>
        <v/>
      </c>
      <c r="CK169" s="340" t="str">
        <f>IF(T_BilanSocial[[#This Row],[Final]]&lt;&gt;"",VLOOKUP(T_BilanSocial[[#This Row],[NumL]],T_suiviDi[#Data],COLUMN((T_suiviDi[Statut])),FALSE),"")</f>
        <v/>
      </c>
    </row>
    <row r="170" spans="1:89" s="106" customFormat="1" ht="24.75" customHeight="1" x14ac:dyDescent="0.25">
      <c r="A170" s="160">
        <v>167</v>
      </c>
      <c r="B170" s="161" t="str">
        <f t="shared" si="22"/>
        <v/>
      </c>
      <c r="C170" s="162" t="s">
        <v>142</v>
      </c>
      <c r="D170" s="95" t="e">
        <f>IF(VLOOKUP(T_BilanSocial[[#This Row],[NumL]],T_TraitDi[#Data],COLUMN(T_TraitDi[[#This Row],[WebC]]),FALSE)="","",VLOOKUP(T_BilanSocial[[#This Row],[NumL]],T_TraitDi[#Data],COLUMN(T_TraitDi[[#This Row],[WebC]]),FALSE))</f>
        <v>#VALUE!</v>
      </c>
      <c r="E170" s="163" t="str">
        <f t="shared" si="23"/>
        <v>12 janvier 2021</v>
      </c>
      <c r="F170" s="96" t="str">
        <f>IF(T_BilanSocial[[#This Row],[Final]]&lt;&gt;"",VLOOKUP(T_BilanSocial[[#This Row],[NumL]],T_suiviDi[#Data],COLUMN((T_suiviDi[Civ.])),FALSE),"")</f>
        <v/>
      </c>
      <c r="G170" s="96" t="str">
        <f>IF(T_BilanSocial[[#This Row],[Final]]&lt;&gt;"",VLOOKUP(T_BilanSocial[[#This Row],[NumL]],T_suiviDi[#Data],COLUMN((T_suiviDi[Nom])),FALSE),"")</f>
        <v/>
      </c>
      <c r="H170" s="96" t="str">
        <f>IF(T_BilanSocial[[#This Row],[Final]]&lt;&gt;"",VLOOKUP(T_BilanSocial[[#This Row],[NumL]],T_suiviDi[#Data],COLUMN((T_suiviDi[Prénom])),FALSE),"")</f>
        <v/>
      </c>
      <c r="I170" s="96" t="str">
        <f>IFERROR(VLOOKUP(T_BilanSocial[[#This Row],[Zone_Bilan]],T_P_BilanSocial[#Data],COLUMN(T_P_BilanSocial[[#This Row],[Numero_SIHAM]]),FALSE),"")</f>
        <v/>
      </c>
      <c r="J170" s="96" t="str">
        <f>IFERROR(VLOOKUP(T_BilanSocial[[#This Row],[Zone_Bilan]],T_P_BilanSocial[#Data],COLUMN(T_P_BilanSocial[[#This Row],[Sexe]]),FALSE),"")</f>
        <v/>
      </c>
      <c r="K170" s="97" t="str">
        <f>IFERROR(VLOOKUP(T_BilanSocial[[#This Row],[Zone_Bilan]],T_P_BilanSocial[#Data],COLUMN(T_P_BilanSocial[[#This Row],[Categorie]]),FALSE),"")</f>
        <v/>
      </c>
      <c r="L170" s="96" t="str">
        <f>IFERROR(VLOOKUP(T_BilanSocial[[#This Row],[Zone_Bilan]],T_P_BilanSocial[#Data],COLUMN(T_P_BilanSocial[[#This Row],[Statut]]),FALSE),"")</f>
        <v/>
      </c>
      <c r="M170" s="96" t="str">
        <f>IFERROR(VLOOKUP(T_BilanSocial[[#This Row],[Zone_Bilan]],T_P_BilanSocial[#Data],COLUMN(T_P_BilanSocial[[#This Row],[Filiere]]),FALSE),"")</f>
        <v/>
      </c>
      <c r="N170" s="96" t="e">
        <f>VLOOKUP(T_BilanSocial[[#This Row],[NumL]],T_TraitDi[#Data],COLUMN(T_TraitDi[EXP]),FALSE)</f>
        <v>#N/A</v>
      </c>
      <c r="O170" s="96" t="e">
        <f>VLOOKUP(T_BilanSocial[[#This Row],[NumL]],T_TraitDi[#Data],COLUMN(T_TraitDi[FORM]),FALSE)</f>
        <v>#N/A</v>
      </c>
      <c r="P170" s="96" t="str">
        <f>IF(T_BilanSocial[[#This Row],[Final]]&lt;&gt;"",VLOOKUP(T_BilanSocial[[#This Row],[NumL]],T_suiviDi[#Data],COLUMN((T_suiviDi[Email])),FALSE),"")</f>
        <v/>
      </c>
      <c r="Q170" s="164" t="e">
        <f t="shared" si="28"/>
        <v>#N/A</v>
      </c>
      <c r="R170" s="164" t="e">
        <f t="shared" si="29"/>
        <v>#N/A</v>
      </c>
      <c r="S170" s="164" t="e">
        <f>IF(VLOOKUP(T_BilanSocial[[#This Row],[NumL]],T_suiviDi[#Data],COLUMN(T_suiviDi[[#This Row],[Service ]]),FALSE)="","",VLOOKUP(T_BilanSocial[[#This Row],[NumL]],T_suiviDi[#Data],COLUMN(T_suiviDi[[#This Row],[Service ]]),FALSE))</f>
        <v>#VALUE!</v>
      </c>
      <c r="T170" s="164" t="str">
        <f t="shared" si="24"/>
        <v>01 septembre 2021</v>
      </c>
      <c r="U170" s="164" t="str">
        <f t="shared" si="25"/>
        <v>30 novembre 2021</v>
      </c>
      <c r="V170" s="96" t="str">
        <f t="shared" si="31"/>
        <v>30 novembre 2021</v>
      </c>
      <c r="W170" s="176" t="e">
        <f>IF(VLOOKUP(T_BilanSocial[[#This Row],[NumL]],T_TraitDi[#Data],COLUMN(T_TraitDi[[#This Row],[M1]]),FALSE)="","",VLOOKUP(T_BilanSocial[[#This Row],[NumL]],T_TraitDi[#Data],COLUMN(T_TraitDi[[#This Row],[M1]]),FALSE))</f>
        <v>#VALUE!</v>
      </c>
      <c r="X170" s="176" t="e">
        <f>IF(VLOOKUP(T_BilanSocial[[#This Row],[NumL]],T_TraitDi[#Data],COLUMN(T_TraitDi[[#This Row],[M2]]),FALSE)="","",VLOOKUP(T_BilanSocial[[#This Row],[NumL]],T_TraitDi[#Data],COLUMN(T_TraitDi[[#This Row],[M2]]),FALSE))</f>
        <v>#VALUE!</v>
      </c>
      <c r="Y170" s="176" t="e">
        <f>IF(VLOOKUP(T_BilanSocial[[#This Row],[NumL]],T_TraitDi[#Data],COLUMN(T_TraitDi[[#This Row],[M3]]),FALSE)="","",VLOOKUP(T_BilanSocial[[#This Row],[NumL]],T_TraitDi[#Data],COLUMN(T_TraitDi[[#This Row],[M3]]),FALSE))</f>
        <v>#VALUE!</v>
      </c>
      <c r="Z170" s="176" t="str">
        <f t="shared" si="27"/>
        <v/>
      </c>
      <c r="AA170" s="176" t="e">
        <f>IF(VLOOKUP(T_BilanSocial[[#This Row],[NumL]],T_TraitDi[#Data],COLUMN(T_TraitDi[[#This Row],[M5]]),FALSE)="","",VLOOKUP(T_BilanSocial[[#This Row],[NumL]],T_TraitDi[#Data],COLUMN(T_TraitDi[[#This Row],[M5]]),FALSE))</f>
        <v>#VALUE!</v>
      </c>
      <c r="AB170" s="176" t="e">
        <f>IF(VLOOKUP(T_BilanSocial[[#This Row],[NumL]],T_TraitDi[#Data],COLUMN(T_TraitDi[[#This Row],[M6]]),FALSE)="","",VLOOKUP(T_BilanSocial[[#This Row],[NumL]],T_TraitDi[#Data],COLUMN(T_TraitDi[[#This Row],[M6]]),FALSE))</f>
        <v>#VALUE!</v>
      </c>
      <c r="AC170" s="165" t="e">
        <f t="shared" si="26"/>
        <v>#VALUE!</v>
      </c>
      <c r="AD170" s="188" t="str">
        <f>IFERROR(TEXT(VLOOKUP(T_BilanSocial[[#This Row],[NumL]],T_TraitDi[#Data],COLUMN(T_TraitDi[[#This Row],[Q2]]),FALSE),"###%"),"")</f>
        <v/>
      </c>
      <c r="AE170" s="97" t="e">
        <f>VLOOKUP(T_BilanSocial[[#This Row],[NumL]],T_TraitDi[#Data],COLUMN(T_TraitDi[[#This Row],[Reg Ponct]]),FALSE)</f>
        <v>#VALUE!</v>
      </c>
      <c r="AF170" s="97" t="e">
        <f>VLOOKUP(T_BilanSocial[NumL],T_TraitDi[#Data],COLUMN(T_TraitDi[[#This Row],[Jours flottants]]),FALSE)</f>
        <v>#VALUE!</v>
      </c>
      <c r="AG170" s="97" t="str">
        <f>IFERROR(VLOOKUP(T_BilanSocial[[#This Row],[NumL]],T_TraitDi[#Data],COLUMN(T_TraitDi[[#This Row],[Lundi]]),FALSE),"")</f>
        <v/>
      </c>
      <c r="AH170" s="172" t="e">
        <f>IF(VLOOKUP(T_BilanSocial[[#This Row],[NumL]],T_TraitDi[#Data],COLUMN(T_TraitDi[[#This Row],[Colonne3]]),FALSE)=0,"",TEXT(IFERROR(VLOOKUP(T_BilanSocial[[#This Row],[NumL]],T_TraitDi[#Data],COLUMN(T_TraitDi[[#This Row],[Colonne3]]),FALSE),""),"[hh]:mm"))</f>
        <v>#VALUE!</v>
      </c>
      <c r="AI170" s="172" t="e">
        <f>IF(VLOOKUP(T_BilanSocial[[#This Row],[NumL]],T_TraitDi[#Data],COLUMN(T_TraitDi[[#This Row],[Colonne4]]),FALSE)=0,"",TEXT(IFERROR(VLOOKUP(T_BilanSocial[[#This Row],[NumL]],T_TraitDi[#Data],COLUMN(T_TraitDi[[#This Row],[Colonne4]]),FALSE),""),"[hh]:mm"))</f>
        <v>#VALUE!</v>
      </c>
      <c r="AJ170" s="172" t="e">
        <f>IF(VLOOKUP(T_BilanSocial[[#This Row],[NumL]],T_TraitDi[#Data],COLUMN(T_TraitDi[[#This Row],[Colonne5]]),FALSE)=0,"",TEXT(IFERROR(VLOOKUP(T_BilanSocial[[#This Row],[NumL]],T_TraitDi[#Data],COLUMN(T_TraitDi[[#This Row],[Colonne5]]),FALSE),""),"[hh]:mm"))</f>
        <v>#VALUE!</v>
      </c>
      <c r="AK170" s="172" t="e">
        <f>IF(VLOOKUP(T_BilanSocial[[#This Row],[NumL]],T_TraitDi[#Data],COLUMN(T_TraitDi[[#This Row],[Colonne6]]),FALSE)=0,"",TEXT(IFERROR(VLOOKUP(T_BilanSocial[[#This Row],[NumL]],T_TraitDi[#Data],COLUMN(T_TraitDi[[#This Row],[Colonne6]]),FALSE),""),"[hh]:mm"))</f>
        <v>#VALUE!</v>
      </c>
      <c r="AL170" s="172" t="e">
        <f>IF(VLOOKUP(T_BilanSocial[[#This Row],[NumL]],T_TraitDi[#Data],COLUMN(T_TraitDi[[#This Row],[Colonne7]]),FALSE)=0,"",TEXT(IFERROR(VLOOKUP(T_BilanSocial[[#This Row],[NumL]],T_TraitDi[#Data],COLUMN(T_TraitDi[[#This Row],[Colonne7]]),FALSE),""),"[hh]:mm"))</f>
        <v>#VALUE!</v>
      </c>
      <c r="AM170" s="172" t="e">
        <f>IF(VLOOKUP(T_BilanSocial[[#This Row],[NumL]],T_TraitDi[#Data],COLUMN(T_TraitDi[[#This Row],[Colonne8]]),FALSE)=0,"",TEXT(IFERROR(VLOOKUP(T_BilanSocial[[#This Row],[NumL]],T_TraitDi[#Data],COLUMN(T_TraitDi[[#This Row],[Colonne8]]),FALSE),""),"[hh]:mm"))</f>
        <v>#VALUE!</v>
      </c>
      <c r="AN170" s="172" t="str">
        <f>IFERROR(VLOOKUP(T_BilanSocial[[#This Row],[NumL]],T_TraitDi[#Data],COLUMN(T_TraitDi[[#This Row],[Mardi]]),FALSE),"")</f>
        <v/>
      </c>
      <c r="AO170" s="172" t="e">
        <f>IF(VLOOKUP(T_BilanSocial[[#This Row],[NumL]],T_TraitDi[#Data],COLUMN(T_TraitDi[[#This Row],[Colonne1]]),FALSE)=0,"",TEXT(IFERROR(VLOOKUP(T_BilanSocial[[#This Row],[NumL]],T_TraitDi[#Data],COLUMN(T_TraitDi[[#This Row],[Colonne1]]),FALSE),""),"[hh]:mm"))</f>
        <v>#VALUE!</v>
      </c>
      <c r="AP170" s="172" t="e">
        <f>IF(VLOOKUP(T_BilanSocial[[#This Row],[NumL]],T_TraitDi[#Data],COLUMN(T_TraitDi[[#This Row],[Colonne9]]),FALSE)=0,"",TEXT(IFERROR(VLOOKUP(T_BilanSocial[[#This Row],[NumL]],T_TraitDi[#Data],COLUMN(T_TraitDi[[#This Row],[Colonne9]]),FALSE),""),"[hh]:mm"))</f>
        <v>#VALUE!</v>
      </c>
      <c r="AQ170" s="172" t="str">
        <f>IFERROR(VLOOKUP(T_BilanSocial[[#This Row],[NumL]],T_TraitDi[#Data],COLUMN(T_TraitDi[[#This Row],[Colonne10]]),FALSE),"")</f>
        <v/>
      </c>
      <c r="AR170" s="172" t="e">
        <f>IF(VLOOKUP(T_BilanSocial[[#This Row],[NumL]],T_TraitDi[#Data],COLUMN(T_TraitDi[[#This Row],[Colonne11]]),FALSE)=0,"",TEXT(IFERROR(VLOOKUP(T_BilanSocial[[#This Row],[NumL]],T_TraitDi[#Data],COLUMN(T_TraitDi[[#This Row],[Colonne11]]),FALSE),""),"[hh]:mm"))</f>
        <v>#VALUE!</v>
      </c>
      <c r="AS170" s="172" t="e">
        <f>IF(VLOOKUP(T_BilanSocial[[#This Row],[NumL]],T_TraitDi[#Data],COLUMN(T_TraitDi[[#This Row],[Colonne12]]),FALSE)=0,"",TEXT(IFERROR(VLOOKUP(T_BilanSocial[[#This Row],[NumL]],T_TraitDi[#Data],COLUMN(T_TraitDi[[#This Row],[Colonne12]]),FALSE),""),"[hh]:mm"))</f>
        <v>#VALUE!</v>
      </c>
      <c r="AT170" s="172" t="e">
        <f>IF(VLOOKUP(T_BilanSocial[[#This Row],[NumL]],T_TraitDi[#Data],COLUMN(T_TraitDi[[#This Row],[Colonne14]]),FALSE)=0,"",TEXT(IFERROR(VLOOKUP(T_BilanSocial[[#This Row],[NumL]],T_TraitDi[#Data],COLUMN(T_TraitDi[[#This Row],[Colonne14]]),FALSE),""),"[hh]:mm"))</f>
        <v>#VALUE!</v>
      </c>
      <c r="AU170" s="172" t="str">
        <f>IFERROR(VLOOKUP(T_BilanSocial[[#This Row],[NumL]],T_TraitDi[#Data],COLUMN(T_TraitDi[[#This Row],[Mercredi]]),FALSE),"")</f>
        <v/>
      </c>
      <c r="AV170" s="172" t="e">
        <f>IF(VLOOKUP(T_BilanSocial[[#This Row],[NumL]],T_TraitDi[#Data],COLUMN(T_TraitDi[[#This Row],[Colonne15]]),FALSE)=0,"",TEXT(IFERROR(VLOOKUP(T_BilanSocial[[#This Row],[NumL]],T_TraitDi[#Data],COLUMN(T_TraitDi[[#This Row],[Colonne15]]),FALSE),""),"[hh]:mm"))</f>
        <v>#VALUE!</v>
      </c>
      <c r="AW170" s="172" t="e">
        <f>IF(VLOOKUP(T_BilanSocial[[#This Row],[NumL]],T_TraitDi[#Data],COLUMN(T_TraitDi[[#This Row],[Colonne16]]),FALSE)=0,"",TEXT(IFERROR(VLOOKUP(T_BilanSocial[[#This Row],[NumL]],T_TraitDi[#Data],COLUMN(T_TraitDi[[#This Row],[Colonne16]]),FALSE),""),"[hh]:mm"))</f>
        <v>#VALUE!</v>
      </c>
      <c r="AX170" s="172" t="str">
        <f>IFERROR(VLOOKUP(T_BilanSocial[[#This Row],[NumL]],T_TraitDi[#Data],COLUMN(T_TraitDi[[#This Row],[Colonne17]]),FALSE),"")</f>
        <v/>
      </c>
      <c r="AY170" s="172" t="e">
        <f>IF(VLOOKUP(T_BilanSocial[[#This Row],[NumL]],T_TraitDi[#Data],COLUMN(T_TraitDi[[#This Row],[Colonne18]]),FALSE)=0,"",TEXT(IFERROR(VLOOKUP(T_BilanSocial[[#This Row],[NumL]],T_TraitDi[#Data],COLUMN(T_TraitDi[[#This Row],[Colonne18]]),FALSE),""),"[hh]:mm"))</f>
        <v>#VALUE!</v>
      </c>
      <c r="AZ170" s="172" t="e">
        <f>IF(VLOOKUP(T_BilanSocial[[#This Row],[NumL]],T_TraitDi[#Data],COLUMN(T_TraitDi[[#This Row],[Colonne19]]),FALSE)=0,"",TEXT(IFERROR(VLOOKUP(T_BilanSocial[[#This Row],[NumL]],T_TraitDi[#Data],COLUMN(T_TraitDi[[#This Row],[Colonne19]]),FALSE),""),"[hh]:mm"))</f>
        <v>#VALUE!</v>
      </c>
      <c r="BA170" s="172" t="e">
        <f>IF(VLOOKUP(T_BilanSocial[[#This Row],[NumL]],T_TraitDi[#Data],COLUMN(T_TraitDi[[#This Row],[Colonne20]]),FALSE)=0,"",TEXT(IFERROR(VLOOKUP(T_BilanSocial[[#This Row],[NumL]],T_TraitDi[#Data],COLUMN(T_TraitDi[[#This Row],[Colonne20]]),FALSE),""),"[hh]:mm"))</f>
        <v>#VALUE!</v>
      </c>
      <c r="BB170" s="178" t="str">
        <f>IFERROR(VLOOKUP(T_BilanSocial[[#This Row],[NumL]],T_TraitDi[#Data],COLUMN(T_TraitDi[[#This Row],[Jeudi]]),FALSE),"")</f>
        <v/>
      </c>
      <c r="BC170" s="178" t="e">
        <f>IF(VLOOKUP(T_BilanSocial[[#This Row],[NumL]],T_TraitDi[#Data],COLUMN(T_TraitDi[[#This Row],[Colonne21]]),FALSE)=0,"",TEXT(IFERROR(VLOOKUP(T_BilanSocial[[#This Row],[NumL]],T_TraitDi[#Data],COLUMN(T_TraitDi[[#This Row],[Colonne21]]),FALSE),""),"[hh]:mm"))</f>
        <v>#VALUE!</v>
      </c>
      <c r="BD170" s="178" t="e">
        <f>IF(VLOOKUP(T_BilanSocial[[#This Row],[NumL]],T_TraitDi[#Data],COLUMN(T_TraitDi[[#This Row],[Colonne22]]),FALSE)=0,"",TEXT(IFERROR(VLOOKUP(T_BilanSocial[[#This Row],[NumL]],T_TraitDi[#Data],COLUMN(T_TraitDi[[#This Row],[Colonne22]]),FALSE),""),"[hh]:mm"))</f>
        <v>#VALUE!</v>
      </c>
      <c r="BE170" s="178" t="str">
        <f>IFERROR(VLOOKUP(T_BilanSocial[[#This Row],[NumL]],T_TraitDi[#Data],COLUMN(T_TraitDi[[#This Row],[Colonne23]]),FALSE),"")</f>
        <v/>
      </c>
      <c r="BF170" s="178" t="e">
        <f>IF(VLOOKUP(T_BilanSocial[[#This Row],[NumL]],T_TraitDi[#Data],COLUMN(T_TraitDi[[#This Row],[Colonne24]]),FALSE)=0,"",TEXT(IFERROR(VLOOKUP(T_BilanSocial[[#This Row],[NumL]],T_TraitDi[#Data],COLUMN(T_TraitDi[[#This Row],[Colonne24]]),FALSE),""),"[hh]:mm"))</f>
        <v>#VALUE!</v>
      </c>
      <c r="BG170" s="178" t="e">
        <f>IF(VLOOKUP(T_BilanSocial[[#This Row],[NumL]],T_TraitDi[#Data],COLUMN(T_TraitDi[[#This Row],[Colonne25]]),FALSE)=0,"",TEXT(IFERROR(VLOOKUP(T_BilanSocial[[#This Row],[NumL]],T_TraitDi[#Data],COLUMN(T_TraitDi[[#This Row],[Colonne25]]),FALSE),""),"[hh]:mm"))</f>
        <v>#VALUE!</v>
      </c>
      <c r="BH170" s="178" t="e">
        <f>IF(VLOOKUP(T_BilanSocial[[#This Row],[NumL]],T_TraitDi[#Data],COLUMN(T_TraitDi[[#This Row],[Colonne26]]),FALSE)=0,"",TEXT(IFERROR(VLOOKUP(T_BilanSocial[[#This Row],[NumL]],T_TraitDi[#Data],COLUMN(T_TraitDi[[#This Row],[Colonne26]]),FALSE),""),"[hh]:mm"))</f>
        <v>#VALUE!</v>
      </c>
      <c r="BI170" s="172" t="str">
        <f>IFERROR(VLOOKUP(T_BilanSocial[[#This Row],[NumL]],T_TraitDi[#Data],COLUMN(T_TraitDi[[#This Row],[Vendredi]]),FALSE),"")</f>
        <v/>
      </c>
      <c r="BJ170" s="172" t="e">
        <f>IF(VLOOKUP(T_BilanSocial[[#This Row],[NumL]],T_TraitDi[#Data],COLUMN(T_TraitDi[[#This Row],[Colonne27]]),FALSE)=0,"",TEXT(IFERROR(VLOOKUP(T_BilanSocial[[#This Row],[NumL]],T_TraitDi[#Data],COLUMN(T_TraitDi[[#This Row],[Colonne27]]),FALSE),""),"[hh]:mm"))</f>
        <v>#VALUE!</v>
      </c>
      <c r="BK170" s="172" t="e">
        <f>IF(VLOOKUP(T_BilanSocial[[#This Row],[NumL]],T_TraitDi[#Data],COLUMN(T_TraitDi[[#This Row],[Colonne28]]),FALSE)=0,"",TEXT(IFERROR(VLOOKUP(T_BilanSocial[[#This Row],[NumL]],T_TraitDi[#Data],COLUMN(T_TraitDi[[#This Row],[Colonne28]]),FALSE),""),"[hh]:mm"))</f>
        <v>#VALUE!</v>
      </c>
      <c r="BL170" s="172" t="str">
        <f>IFERROR(VLOOKUP(T_BilanSocial[[#This Row],[NumL]],T_TraitDi[#Data],COLUMN(T_TraitDi[[#This Row],[Colonne29]]),FALSE),"")</f>
        <v/>
      </c>
      <c r="BM170" s="172" t="e">
        <f>IF(VLOOKUP(T_BilanSocial[[#This Row],[NumL]],T_TraitDi[#Data],COLUMN(T_TraitDi[[#This Row],[Colonne30]]),FALSE)=0,"",TEXT(IFERROR(VLOOKUP(T_BilanSocial[[#This Row],[NumL]],T_TraitDi[#Data],COLUMN(T_TraitDi[[#This Row],[Colonne30]]),FALSE),""),"[hh]:mm"))</f>
        <v>#VALUE!</v>
      </c>
      <c r="BN170" s="172" t="e">
        <f>IF(VLOOKUP(T_BilanSocial[[#This Row],[NumL]],T_TraitDi[#Data],COLUMN(T_TraitDi[[#This Row],[Colonne31]]),FALSE)=0,"",TEXT(IFERROR(VLOOKUP(T_BilanSocial[[#This Row],[NumL]],T_TraitDi[#Data],COLUMN(T_TraitDi[[#This Row],[Colonne31]]),FALSE),""),"[hh]:mm"))</f>
        <v>#VALUE!</v>
      </c>
      <c r="BO170" s="172" t="e">
        <f>IF(VLOOKUP(T_BilanSocial[[#This Row],[NumL]],T_TraitDi[#Data],COLUMN(T_TraitDi[[#This Row],[Colonne32]]),FALSE)=0,"",TEXT(IFERROR(VLOOKUP(T_BilanSocial[[#This Row],[NumL]],T_TraitDi[#Data],COLUMN(T_TraitDi[[#This Row],[Colonne32]]),FALSE),""),"[hh]:mm"))</f>
        <v>#VALUE!</v>
      </c>
      <c r="BP170" s="172" t="e">
        <f>VLOOKUP(T_BilanSocial[[#This Row],[NumL]],T_TraitDi[#Data],COLUMN(T_TraitDi[NbJTot]),FALSE)</f>
        <v>#N/A</v>
      </c>
      <c r="BQ170" s="174" t="str">
        <f>IFERROR(VLOOKUP(T_BilanSocial[[#This Row],[NumL]],T_TraitDi[#Data],COLUMN(T_TraitDi[[#This Row],[NbJTW]]),FALSE),"")</f>
        <v/>
      </c>
      <c r="BR170" s="174" t="e">
        <f>IF(VLOOKUP(T_BilanSocial[[#This Row],[NumL]],T_TraitDi[#Data],COLUMN(T_TraitDi[[#This Row],[NbhTW]]),FALSE)=0,"",TEXT(IFERROR(VLOOKUP(T_BilanSocial[[#This Row],[NumL]],T_TraitDi[#Data],COLUMN(T_TraitDi[[#This Row],[NbhTW]]),FALSE),""),"[hh]:mm"))</f>
        <v>#VALUE!</v>
      </c>
      <c r="BS170" s="174" t="e">
        <f>IF(VLOOKUP(T_BilanSocial[[#This Row],[NumL]],T_TraitDi[#Data],COLUMN(T_TraitDi[[#This Row],[Nbhheb]]),FALSE)=0,"",TEXT(IFERROR(VLOOKUP($A170,T_TraitDi[#Data],COLUMN(T_TraitDi[[#This Row],[Nbhheb]]),FALSE),""),"[hh]:mm"))</f>
        <v>#VALUE!</v>
      </c>
      <c r="BT170" s="182" t="str">
        <f>IFERROR(VLOOKUP(VLOOKUP($A170,T_TraitDi[#Data],COLUMN(T_TraitDi[[#This Row],[Type1]]),FALSE),TypeTW,2,FALSE),"")</f>
        <v/>
      </c>
      <c r="BU170" s="182" t="str">
        <f>IFERROR(VLOOKUP($A170,T_TraitDi[#Data],COLUMN(T_TraitDi[[#This Row],[Rue1]]),FALSE),"")</f>
        <v/>
      </c>
      <c r="BV170" s="173" t="str">
        <f>IFERROR(VLOOKUP($A170,T_TraitDi[#Data],COLUMN(T_TraitDi[[#This Row],[CP1]]),FALSE),"")</f>
        <v/>
      </c>
      <c r="BW170" s="173" t="str">
        <f>IFERROR(VLOOKUP($A170,T_TraitDi[#Data],COLUMN(T_TraitDi[[#This Row],[VILLE1]]),FALSE),"")</f>
        <v/>
      </c>
      <c r="BX170" s="182" t="str">
        <f>IFERROR(VLOOKUP(VLOOKUP($A170,T_TraitDi[#Data],COLUMN(T_TraitDi[[#This Row],[Type2]]),FALSE),TypeTW,2,FALSE),"")</f>
        <v/>
      </c>
      <c r="BY170" s="182" t="str">
        <f>IFERROR(VLOOKUP($A170,T_TraitDi[#Data],COLUMN(T_TraitDi[[#This Row],[Rue2]]),FALSE),"")</f>
        <v/>
      </c>
      <c r="BZ170" s="173" t="str">
        <f>IFERROR(VLOOKUP($A170,T_TraitDi[#Data],COLUMN(T_TraitDi[[#This Row],[CP2]]),FALSE),"")</f>
        <v/>
      </c>
      <c r="CA170" s="173" t="str">
        <f>IFERROR(VLOOKUP($A170,T_TraitDi[#Data],COLUMN(T_TraitDi[[#This Row],[VILLE2]]),FALSE),"")</f>
        <v/>
      </c>
      <c r="CB170" s="182" t="str">
        <f>IF(VLOOKUP(T_BilanSocial[[#This Row],[NumL]],T_Equipement[#Data],COLUMN(T_Equipement[[#This Row],[PC]]),FALSE)="","Aucun équipement spécifique directement lié au télétravail",VLOOKUP(T_BilanSocial[[#This Row],[NumL]],T_Equipement[#Data],COLUMN(T_Equipement[[#This Row],[PC]]),FALSE))</f>
        <v xml:space="preserve">18-198	</v>
      </c>
      <c r="CC170" s="166" t="str">
        <f>IFERROR(IF(VLOOKUP(T_BilanSocial[[#This Row],[NumL]],T_TraitDi[#Data],COLUMN(T_TraitDi[[#This Row],[Plan]]),FALSE)="OK","Un planning spécifique de télétravail est annexé à la présente convention.",""),"")</f>
        <v/>
      </c>
      <c r="CD170" s="185"/>
      <c r="CE170" s="164" t="e">
        <f>IF(VLOOKUP(T_BilanSocial[[#This Row],[NumL]],T_suiviDi[#Data],COLUMN(T_suiviDi[[#This Row],[Entité]]),FALSE)="","",VLOOKUP(T_BilanSocial[[#This Row],[NumL]],T_suiviDi[#Data],COLUMN(T_suiviDi[[#This Row],[Entité]]),FALSE))</f>
        <v>#VALUE!</v>
      </c>
      <c r="CF170" s="164" t="str">
        <f>IF(VLOOKUP(T_BilanSocial[[#This Row],[NumL]],T_Commission[#Data],COLUMN(T_Commission[[#This Row],[envoi confirm TW]]),FALSE)="","",VLOOKUP(T_BilanSocial[[#This Row],[NumL]],T_Commission[#Data],COLUMN(T_Commission[[#This Row],[envoi confirm TW]]),FALSE))</f>
        <v>Oui</v>
      </c>
      <c r="CG17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0" s="262" t="str">
        <f>T_BilanSocial[[#This Row],[Nom]]&amp;T_BilanSocial[[#This Row],[Prenom]]</f>
        <v/>
      </c>
      <c r="CI170" s="262">
        <f>VLOOKUP(T_BilanSocial[[#This Row],[NumL]],T_Commission[#Data],COLUMN(T_Commission[Commentaire]),FALSE)</f>
        <v>0</v>
      </c>
      <c r="CJ170" s="262" t="str">
        <f>IF(VLOOKUP(T_BilanSocial[[#This Row],[NumL]],T_Commission[#Data],COLUMN(T_Commission[Encadrant Email]),FALSE)="","",VLOOKUP(T_BilanSocial[[#This Row],[NumL]],T_Commission[#Data],COLUMN(T_Commission[Encadrant Email]),FALSE))</f>
        <v/>
      </c>
      <c r="CK170" s="340" t="str">
        <f>IF(T_BilanSocial[[#This Row],[Final]]&lt;&gt;"",VLOOKUP(T_BilanSocial[[#This Row],[NumL]],T_suiviDi[#Data],COLUMN((T_suiviDi[Statut])),FALSE),"")</f>
        <v/>
      </c>
    </row>
    <row r="171" spans="1:89" s="106" customFormat="1" ht="24.75" customHeight="1" x14ac:dyDescent="0.25">
      <c r="A171" s="160">
        <v>168</v>
      </c>
      <c r="B171" s="161" t="str">
        <f t="shared" si="22"/>
        <v/>
      </c>
      <c r="C171" s="162" t="s">
        <v>173</v>
      </c>
      <c r="D171" s="95" t="e">
        <f>IF(VLOOKUP(T_BilanSocial[[#This Row],[NumL]],T_TraitDi[#Data],COLUMN(T_TraitDi[[#This Row],[WebC]]),FALSE)="","",VLOOKUP(T_BilanSocial[[#This Row],[NumL]],T_TraitDi[#Data],COLUMN(T_TraitDi[[#This Row],[WebC]]),FALSE))</f>
        <v>#VALUE!</v>
      </c>
      <c r="E171" s="163" t="str">
        <f t="shared" si="23"/>
        <v>12 janvier 2021</v>
      </c>
      <c r="F171" s="96" t="str">
        <f>IF(T_BilanSocial[[#This Row],[Final]]&lt;&gt;"",VLOOKUP(T_BilanSocial[[#This Row],[NumL]],T_suiviDi[#Data],COLUMN((T_suiviDi[Civ.])),FALSE),"")</f>
        <v/>
      </c>
      <c r="G171" s="96" t="str">
        <f>IF(T_BilanSocial[[#This Row],[Final]]&lt;&gt;"",VLOOKUP(T_BilanSocial[[#This Row],[NumL]],T_suiviDi[#Data],COLUMN((T_suiviDi[Nom])),FALSE),"")</f>
        <v/>
      </c>
      <c r="H171" s="96" t="str">
        <f>IF(T_BilanSocial[[#This Row],[Final]]&lt;&gt;"",VLOOKUP(T_BilanSocial[[#This Row],[NumL]],T_suiviDi[#Data],COLUMN((T_suiviDi[Prénom])),FALSE),"")</f>
        <v/>
      </c>
      <c r="I171" s="96" t="str">
        <f>IFERROR(VLOOKUP(T_BilanSocial[[#This Row],[Zone_Bilan]],T_P_BilanSocial[#Data],COLUMN(T_P_BilanSocial[[#This Row],[Numero_SIHAM]]),FALSE),"")</f>
        <v/>
      </c>
      <c r="J171" s="96" t="str">
        <f>IFERROR(VLOOKUP(T_BilanSocial[[#This Row],[Zone_Bilan]],T_P_BilanSocial[#Data],COLUMN(T_P_BilanSocial[[#This Row],[Sexe]]),FALSE),"")</f>
        <v/>
      </c>
      <c r="K171" s="97" t="str">
        <f>IFERROR(VLOOKUP(T_BilanSocial[[#This Row],[Zone_Bilan]],T_P_BilanSocial[#Data],COLUMN(T_P_BilanSocial[[#This Row],[Categorie]]),FALSE),"")</f>
        <v/>
      </c>
      <c r="L171" s="96" t="str">
        <f>IFERROR(VLOOKUP(T_BilanSocial[[#This Row],[Zone_Bilan]],T_P_BilanSocial[#Data],COLUMN(T_P_BilanSocial[[#This Row],[Statut]]),FALSE),"")</f>
        <v/>
      </c>
      <c r="M171" s="96" t="str">
        <f>IFERROR(VLOOKUP(T_BilanSocial[[#This Row],[Zone_Bilan]],T_P_BilanSocial[#Data],COLUMN(T_P_BilanSocial[[#This Row],[Filiere]]),FALSE),"")</f>
        <v/>
      </c>
      <c r="N171" s="96" t="e">
        <f>VLOOKUP(T_BilanSocial[[#This Row],[NumL]],T_TraitDi[#Data],COLUMN(T_TraitDi[EXP]),FALSE)</f>
        <v>#N/A</v>
      </c>
      <c r="O171" s="96" t="e">
        <f>VLOOKUP(T_BilanSocial[[#This Row],[NumL]],T_TraitDi[#Data],COLUMN(T_TraitDi[FORM]),FALSE)</f>
        <v>#N/A</v>
      </c>
      <c r="P171" s="96" t="str">
        <f>IF(T_BilanSocial[[#This Row],[Final]]&lt;&gt;"",VLOOKUP(T_BilanSocial[[#This Row],[NumL]],T_suiviDi[#Data],COLUMN((T_suiviDi[Email])),FALSE),"")</f>
        <v/>
      </c>
      <c r="Q171" s="164" t="e">
        <f t="shared" si="28"/>
        <v>#N/A</v>
      </c>
      <c r="R171" s="164" t="e">
        <f t="shared" si="29"/>
        <v>#N/A</v>
      </c>
      <c r="S171" s="164" t="e">
        <f>IF(VLOOKUP(T_BilanSocial[[#This Row],[NumL]],T_suiviDi[#Data],COLUMN(T_suiviDi[[#This Row],[Service ]]),FALSE)="","",VLOOKUP(T_BilanSocial[[#This Row],[NumL]],T_suiviDi[#Data],COLUMN(T_suiviDi[[#This Row],[Service ]]),FALSE))</f>
        <v>#VALUE!</v>
      </c>
      <c r="T171" s="164" t="str">
        <f t="shared" si="24"/>
        <v>01 septembre 2021</v>
      </c>
      <c r="U171" s="164" t="str">
        <f t="shared" si="25"/>
        <v>30 novembre 2021</v>
      </c>
      <c r="V171" s="164" t="str">
        <f t="shared" si="31"/>
        <v>30 novembre 2021</v>
      </c>
      <c r="W171" s="176" t="e">
        <f>IF(VLOOKUP(T_BilanSocial[[#This Row],[NumL]],T_TraitDi[#Data],COLUMN(T_TraitDi[[#This Row],[M1]]),FALSE)="","",VLOOKUP(T_BilanSocial[[#This Row],[NumL]],T_TraitDi[#Data],COLUMN(T_TraitDi[[#This Row],[M1]]),FALSE))</f>
        <v>#VALUE!</v>
      </c>
      <c r="X171" s="176" t="e">
        <f>IF(VLOOKUP(T_BilanSocial[[#This Row],[NumL]],T_TraitDi[#Data],COLUMN(T_TraitDi[[#This Row],[M2]]),FALSE)="","",VLOOKUP(T_BilanSocial[[#This Row],[NumL]],T_TraitDi[#Data],COLUMN(T_TraitDi[[#This Row],[M2]]),FALSE))</f>
        <v>#VALUE!</v>
      </c>
      <c r="Y171" s="176" t="e">
        <f>IF(VLOOKUP(T_BilanSocial[[#This Row],[NumL]],T_TraitDi[#Data],COLUMN(T_TraitDi[[#This Row],[M3]]),FALSE)="","",VLOOKUP(T_BilanSocial[[#This Row],[NumL]],T_TraitDi[#Data],COLUMN(T_TraitDi[[#This Row],[M3]]),FALSE))</f>
        <v>#VALUE!</v>
      </c>
      <c r="Z171" s="176" t="str">
        <f t="shared" si="27"/>
        <v/>
      </c>
      <c r="AA171" s="176" t="e">
        <f>IF(VLOOKUP(T_BilanSocial[[#This Row],[NumL]],T_TraitDi[#Data],COLUMN(T_TraitDi[[#This Row],[M5]]),FALSE)="","",VLOOKUP(T_BilanSocial[[#This Row],[NumL]],T_TraitDi[#Data],COLUMN(T_TraitDi[[#This Row],[M5]]),FALSE))</f>
        <v>#VALUE!</v>
      </c>
      <c r="AB171" s="176" t="e">
        <f>IF(VLOOKUP(T_BilanSocial[[#This Row],[NumL]],T_TraitDi[#Data],COLUMN(T_TraitDi[[#This Row],[M6]]),FALSE)="","",VLOOKUP(T_BilanSocial[[#This Row],[NumL]],T_TraitDi[#Data],COLUMN(T_TraitDi[[#This Row],[M6]]),FALSE))</f>
        <v>#VALUE!</v>
      </c>
      <c r="AC171" s="165" t="e">
        <f t="shared" si="26"/>
        <v>#VALUE!</v>
      </c>
      <c r="AD171" s="188" t="str">
        <f>IFERROR(TEXT(VLOOKUP(T_BilanSocial[[#This Row],[NumL]],T_TraitDi[#Data],COLUMN(T_TraitDi[[#This Row],[Q2]]),FALSE),"###%"),"")</f>
        <v/>
      </c>
      <c r="AE171" s="97" t="e">
        <f>VLOOKUP(T_BilanSocial[[#This Row],[NumL]],T_TraitDi[#Data],COLUMN(T_TraitDi[[#This Row],[Reg Ponct]]),FALSE)</f>
        <v>#VALUE!</v>
      </c>
      <c r="AF171" s="97" t="e">
        <f>VLOOKUP(T_BilanSocial[NumL],T_TraitDi[#Data],COLUMN(T_TraitDi[[#This Row],[Jours flottants]]),FALSE)</f>
        <v>#VALUE!</v>
      </c>
      <c r="AG171" s="97" t="str">
        <f>IFERROR(VLOOKUP(T_BilanSocial[[#This Row],[NumL]],T_TraitDi[#Data],COLUMN(T_TraitDi[[#This Row],[Lundi]]),FALSE),"")</f>
        <v/>
      </c>
      <c r="AH171" s="172" t="e">
        <f>IF(VLOOKUP(T_BilanSocial[[#This Row],[NumL]],T_TraitDi[#Data],COLUMN(T_TraitDi[[#This Row],[Colonne3]]),FALSE)=0,"",TEXT(IFERROR(VLOOKUP(T_BilanSocial[[#This Row],[NumL]],T_TraitDi[#Data],COLUMN(T_TraitDi[[#This Row],[Colonne3]]),FALSE),""),"[hh]:mm"))</f>
        <v>#VALUE!</v>
      </c>
      <c r="AI171" s="172" t="e">
        <f>IF(VLOOKUP(T_BilanSocial[[#This Row],[NumL]],T_TraitDi[#Data],COLUMN(T_TraitDi[[#This Row],[Colonne4]]),FALSE)=0,"",TEXT(IFERROR(VLOOKUP(T_BilanSocial[[#This Row],[NumL]],T_TraitDi[#Data],COLUMN(T_TraitDi[[#This Row],[Colonne4]]),FALSE),""),"[hh]:mm"))</f>
        <v>#VALUE!</v>
      </c>
      <c r="AJ171" s="172" t="e">
        <f>IF(VLOOKUP(T_BilanSocial[[#This Row],[NumL]],T_TraitDi[#Data],COLUMN(T_TraitDi[[#This Row],[Colonne5]]),FALSE)=0,"",TEXT(IFERROR(VLOOKUP(T_BilanSocial[[#This Row],[NumL]],T_TraitDi[#Data],COLUMN(T_TraitDi[[#This Row],[Colonne5]]),FALSE),""),"[hh]:mm"))</f>
        <v>#VALUE!</v>
      </c>
      <c r="AK171" s="172" t="e">
        <f>IF(VLOOKUP(T_BilanSocial[[#This Row],[NumL]],T_TraitDi[#Data],COLUMN(T_TraitDi[[#This Row],[Colonne6]]),FALSE)=0,"",TEXT(IFERROR(VLOOKUP(T_BilanSocial[[#This Row],[NumL]],T_TraitDi[#Data],COLUMN(T_TraitDi[[#This Row],[Colonne6]]),FALSE),""),"[hh]:mm"))</f>
        <v>#VALUE!</v>
      </c>
      <c r="AL171" s="172" t="e">
        <f>IF(VLOOKUP(T_BilanSocial[[#This Row],[NumL]],T_TraitDi[#Data],COLUMN(T_TraitDi[[#This Row],[Colonne7]]),FALSE)=0,"",TEXT(IFERROR(VLOOKUP(T_BilanSocial[[#This Row],[NumL]],T_TraitDi[#Data],COLUMN(T_TraitDi[[#This Row],[Colonne7]]),FALSE),""),"[hh]:mm"))</f>
        <v>#VALUE!</v>
      </c>
      <c r="AM171" s="172" t="e">
        <f>IF(VLOOKUP(T_BilanSocial[[#This Row],[NumL]],T_TraitDi[#Data],COLUMN(T_TraitDi[[#This Row],[Colonne8]]),FALSE)=0,"",TEXT(IFERROR(VLOOKUP(T_BilanSocial[[#This Row],[NumL]],T_TraitDi[#Data],COLUMN(T_TraitDi[[#This Row],[Colonne8]]),FALSE),""),"[hh]:mm"))</f>
        <v>#VALUE!</v>
      </c>
      <c r="AN171" s="172" t="str">
        <f>IFERROR(VLOOKUP(T_BilanSocial[[#This Row],[NumL]],T_TraitDi[#Data],COLUMN(T_TraitDi[[#This Row],[Mardi]]),FALSE),"")</f>
        <v/>
      </c>
      <c r="AO171" s="172" t="e">
        <f>IF(VLOOKUP(T_BilanSocial[[#This Row],[NumL]],T_TraitDi[#Data],COLUMN(T_TraitDi[[#This Row],[Colonne1]]),FALSE)=0,"",TEXT(IFERROR(VLOOKUP(T_BilanSocial[[#This Row],[NumL]],T_TraitDi[#Data],COLUMN(T_TraitDi[[#This Row],[Colonne1]]),FALSE),""),"[hh]:mm"))</f>
        <v>#VALUE!</v>
      </c>
      <c r="AP171" s="172" t="e">
        <f>IF(VLOOKUP(T_BilanSocial[[#This Row],[NumL]],T_TraitDi[#Data],COLUMN(T_TraitDi[[#This Row],[Colonne9]]),FALSE)=0,"",TEXT(IFERROR(VLOOKUP(T_BilanSocial[[#This Row],[NumL]],T_TraitDi[#Data],COLUMN(T_TraitDi[[#This Row],[Colonne9]]),FALSE),""),"[hh]:mm"))</f>
        <v>#VALUE!</v>
      </c>
      <c r="AQ171" s="172" t="str">
        <f>IFERROR(VLOOKUP(T_BilanSocial[[#This Row],[NumL]],T_TraitDi[#Data],COLUMN(T_TraitDi[[#This Row],[Colonne10]]),FALSE),"")</f>
        <v/>
      </c>
      <c r="AR171" s="172" t="e">
        <f>IF(VLOOKUP(T_BilanSocial[[#This Row],[NumL]],T_TraitDi[#Data],COLUMN(T_TraitDi[[#This Row],[Colonne11]]),FALSE)=0,"",TEXT(IFERROR(VLOOKUP(T_BilanSocial[[#This Row],[NumL]],T_TraitDi[#Data],COLUMN(T_TraitDi[[#This Row],[Colonne11]]),FALSE),""),"[hh]:mm"))</f>
        <v>#VALUE!</v>
      </c>
      <c r="AS171" s="172" t="e">
        <f>IF(VLOOKUP(T_BilanSocial[[#This Row],[NumL]],T_TraitDi[#Data],COLUMN(T_TraitDi[[#This Row],[Colonne12]]),FALSE)=0,"",TEXT(IFERROR(VLOOKUP(T_BilanSocial[[#This Row],[NumL]],T_TraitDi[#Data],COLUMN(T_TraitDi[[#This Row],[Colonne12]]),FALSE),""),"[hh]:mm"))</f>
        <v>#VALUE!</v>
      </c>
      <c r="AT171" s="172" t="e">
        <f>IF(VLOOKUP(T_BilanSocial[[#This Row],[NumL]],T_TraitDi[#Data],COLUMN(T_TraitDi[[#This Row],[Colonne14]]),FALSE)=0,"",TEXT(IFERROR(VLOOKUP(T_BilanSocial[[#This Row],[NumL]],T_TraitDi[#Data],COLUMN(T_TraitDi[[#This Row],[Colonne14]]),FALSE),""),"[hh]:mm"))</f>
        <v>#VALUE!</v>
      </c>
      <c r="AU171" s="172" t="str">
        <f>IFERROR(VLOOKUP(T_BilanSocial[[#This Row],[NumL]],T_TraitDi[#Data],COLUMN(T_TraitDi[[#This Row],[Mercredi]]),FALSE),"")</f>
        <v/>
      </c>
      <c r="AV171" s="172" t="e">
        <f>IF(VLOOKUP(T_BilanSocial[[#This Row],[NumL]],T_TraitDi[#Data],COLUMN(T_TraitDi[[#This Row],[Colonne15]]),FALSE)=0,"",TEXT(IFERROR(VLOOKUP(T_BilanSocial[[#This Row],[NumL]],T_TraitDi[#Data],COLUMN(T_TraitDi[[#This Row],[Colonne15]]),FALSE),""),"[hh]:mm"))</f>
        <v>#VALUE!</v>
      </c>
      <c r="AW171" s="172" t="e">
        <f>IF(VLOOKUP(T_BilanSocial[[#This Row],[NumL]],T_TraitDi[#Data],COLUMN(T_TraitDi[[#This Row],[Colonne16]]),FALSE)=0,"",TEXT(IFERROR(VLOOKUP(T_BilanSocial[[#This Row],[NumL]],T_TraitDi[#Data],COLUMN(T_TraitDi[[#This Row],[Colonne16]]),FALSE),""),"[hh]:mm"))</f>
        <v>#VALUE!</v>
      </c>
      <c r="AX171" s="172" t="str">
        <f>IFERROR(VLOOKUP(T_BilanSocial[[#This Row],[NumL]],T_TraitDi[#Data],COLUMN(T_TraitDi[[#This Row],[Colonne17]]),FALSE),"")</f>
        <v/>
      </c>
      <c r="AY171" s="172" t="e">
        <f>IF(VLOOKUP(T_BilanSocial[[#This Row],[NumL]],T_TraitDi[#Data],COLUMN(T_TraitDi[[#This Row],[Colonne18]]),FALSE)=0,"",TEXT(IFERROR(VLOOKUP(T_BilanSocial[[#This Row],[NumL]],T_TraitDi[#Data],COLUMN(T_TraitDi[[#This Row],[Colonne18]]),FALSE),""),"[hh]:mm"))</f>
        <v>#VALUE!</v>
      </c>
      <c r="AZ171" s="172" t="e">
        <f>IF(VLOOKUP(T_BilanSocial[[#This Row],[NumL]],T_TraitDi[#Data],COLUMN(T_TraitDi[[#This Row],[Colonne19]]),FALSE)=0,"",TEXT(IFERROR(VLOOKUP(T_BilanSocial[[#This Row],[NumL]],T_TraitDi[#Data],COLUMN(T_TraitDi[[#This Row],[Colonne19]]),FALSE),""),"[hh]:mm"))</f>
        <v>#VALUE!</v>
      </c>
      <c r="BA171" s="172" t="e">
        <f>IF(VLOOKUP(T_BilanSocial[[#This Row],[NumL]],T_TraitDi[#Data],COLUMN(T_TraitDi[[#This Row],[Colonne20]]),FALSE)=0,"",TEXT(IFERROR(VLOOKUP(T_BilanSocial[[#This Row],[NumL]],T_TraitDi[#Data],COLUMN(T_TraitDi[[#This Row],[Colonne20]]),FALSE),""),"[hh]:mm"))</f>
        <v>#VALUE!</v>
      </c>
      <c r="BB171" s="178" t="str">
        <f>IFERROR(VLOOKUP(T_BilanSocial[[#This Row],[NumL]],T_TraitDi[#Data],COLUMN(T_TraitDi[[#This Row],[Jeudi]]),FALSE),"")</f>
        <v/>
      </c>
      <c r="BC171" s="178" t="e">
        <f>IF(VLOOKUP(T_BilanSocial[[#This Row],[NumL]],T_TraitDi[#Data],COLUMN(T_TraitDi[[#This Row],[Colonne21]]),FALSE)=0,"",TEXT(IFERROR(VLOOKUP(T_BilanSocial[[#This Row],[NumL]],T_TraitDi[#Data],COLUMN(T_TraitDi[[#This Row],[Colonne21]]),FALSE),""),"[hh]:mm"))</f>
        <v>#VALUE!</v>
      </c>
      <c r="BD171" s="178" t="e">
        <f>IF(VLOOKUP(T_BilanSocial[[#This Row],[NumL]],T_TraitDi[#Data],COLUMN(T_TraitDi[[#This Row],[Colonne22]]),FALSE)=0,"",TEXT(IFERROR(VLOOKUP(T_BilanSocial[[#This Row],[NumL]],T_TraitDi[#Data],COLUMN(T_TraitDi[[#This Row],[Colonne22]]),FALSE),""),"[hh]:mm"))</f>
        <v>#VALUE!</v>
      </c>
      <c r="BE171" s="178" t="str">
        <f>IFERROR(VLOOKUP(T_BilanSocial[[#This Row],[NumL]],T_TraitDi[#Data],COLUMN(T_TraitDi[[#This Row],[Colonne23]]),FALSE),"")</f>
        <v/>
      </c>
      <c r="BF171" s="178" t="e">
        <f>IF(VLOOKUP(T_BilanSocial[[#This Row],[NumL]],T_TraitDi[#Data],COLUMN(T_TraitDi[[#This Row],[Colonne24]]),FALSE)=0,"",TEXT(IFERROR(VLOOKUP(T_BilanSocial[[#This Row],[NumL]],T_TraitDi[#Data],COLUMN(T_TraitDi[[#This Row],[Colonne24]]),FALSE),""),"[hh]:mm"))</f>
        <v>#VALUE!</v>
      </c>
      <c r="BG171" s="178" t="e">
        <f>IF(VLOOKUP(T_BilanSocial[[#This Row],[NumL]],T_TraitDi[#Data],COLUMN(T_TraitDi[[#This Row],[Colonne25]]),FALSE)=0,"",TEXT(IFERROR(VLOOKUP(T_BilanSocial[[#This Row],[NumL]],T_TraitDi[#Data],COLUMN(T_TraitDi[[#This Row],[Colonne25]]),FALSE),""),"[hh]:mm"))</f>
        <v>#VALUE!</v>
      </c>
      <c r="BH171" s="178" t="e">
        <f>IF(VLOOKUP(T_BilanSocial[[#This Row],[NumL]],T_TraitDi[#Data],COLUMN(T_TraitDi[[#This Row],[Colonne26]]),FALSE)=0,"",TEXT(IFERROR(VLOOKUP(T_BilanSocial[[#This Row],[NumL]],T_TraitDi[#Data],COLUMN(T_TraitDi[[#This Row],[Colonne26]]),FALSE),""),"[hh]:mm"))</f>
        <v>#VALUE!</v>
      </c>
      <c r="BI171" s="172" t="str">
        <f>IFERROR(VLOOKUP(T_BilanSocial[[#This Row],[NumL]],T_TraitDi[#Data],COLUMN(T_TraitDi[[#This Row],[Vendredi]]),FALSE),"")</f>
        <v/>
      </c>
      <c r="BJ171" s="172" t="e">
        <f>IF(VLOOKUP(T_BilanSocial[[#This Row],[NumL]],T_TraitDi[#Data],COLUMN(T_TraitDi[[#This Row],[Colonne27]]),FALSE)=0,"",TEXT(IFERROR(VLOOKUP(T_BilanSocial[[#This Row],[NumL]],T_TraitDi[#Data],COLUMN(T_TraitDi[[#This Row],[Colonne27]]),FALSE),""),"[hh]:mm"))</f>
        <v>#VALUE!</v>
      </c>
      <c r="BK171" s="172" t="e">
        <f>IF(VLOOKUP(T_BilanSocial[[#This Row],[NumL]],T_TraitDi[#Data],COLUMN(T_TraitDi[[#This Row],[Colonne28]]),FALSE)=0,"",TEXT(IFERROR(VLOOKUP(T_BilanSocial[[#This Row],[NumL]],T_TraitDi[#Data],COLUMN(T_TraitDi[[#This Row],[Colonne28]]),FALSE),""),"[hh]:mm"))</f>
        <v>#VALUE!</v>
      </c>
      <c r="BL171" s="172" t="str">
        <f>IFERROR(VLOOKUP(T_BilanSocial[[#This Row],[NumL]],T_TraitDi[#Data],COLUMN(T_TraitDi[[#This Row],[Colonne29]]),FALSE),"")</f>
        <v/>
      </c>
      <c r="BM171" s="172" t="e">
        <f>IF(VLOOKUP(T_BilanSocial[[#This Row],[NumL]],T_TraitDi[#Data],COLUMN(T_TraitDi[[#This Row],[Colonne30]]),FALSE)=0,"",TEXT(IFERROR(VLOOKUP(T_BilanSocial[[#This Row],[NumL]],T_TraitDi[#Data],COLUMN(T_TraitDi[[#This Row],[Colonne30]]),FALSE),""),"[hh]:mm"))</f>
        <v>#VALUE!</v>
      </c>
      <c r="BN171" s="172" t="e">
        <f>IF(VLOOKUP(T_BilanSocial[[#This Row],[NumL]],T_TraitDi[#Data],COLUMN(T_TraitDi[[#This Row],[Colonne31]]),FALSE)=0,"",TEXT(IFERROR(VLOOKUP(T_BilanSocial[[#This Row],[NumL]],T_TraitDi[#Data],COLUMN(T_TraitDi[[#This Row],[Colonne31]]),FALSE),""),"[hh]:mm"))</f>
        <v>#VALUE!</v>
      </c>
      <c r="BO171" s="172" t="e">
        <f>IF(VLOOKUP(T_BilanSocial[[#This Row],[NumL]],T_TraitDi[#Data],COLUMN(T_TraitDi[[#This Row],[Colonne32]]),FALSE)=0,"",TEXT(IFERROR(VLOOKUP(T_BilanSocial[[#This Row],[NumL]],T_TraitDi[#Data],COLUMN(T_TraitDi[[#This Row],[Colonne32]]),FALSE),""),"[hh]:mm"))</f>
        <v>#VALUE!</v>
      </c>
      <c r="BP171" s="172" t="e">
        <f>VLOOKUP(T_BilanSocial[[#This Row],[NumL]],T_TraitDi[#Data],COLUMN(T_TraitDi[NbJTot]),FALSE)</f>
        <v>#N/A</v>
      </c>
      <c r="BQ171" s="174" t="str">
        <f>IFERROR(VLOOKUP(T_BilanSocial[[#This Row],[NumL]],T_TraitDi[#Data],COLUMN(T_TraitDi[[#This Row],[NbJTW]]),FALSE),"")</f>
        <v/>
      </c>
      <c r="BR171" s="174" t="e">
        <f>IF(VLOOKUP(T_BilanSocial[[#This Row],[NumL]],T_TraitDi[#Data],COLUMN(T_TraitDi[[#This Row],[NbhTW]]),FALSE)=0,"",TEXT(IFERROR(VLOOKUP(T_BilanSocial[[#This Row],[NumL]],T_TraitDi[#Data],COLUMN(T_TraitDi[[#This Row],[NbhTW]]),FALSE),""),"[hh]:mm"))</f>
        <v>#VALUE!</v>
      </c>
      <c r="BS171" s="174" t="e">
        <f>IF(VLOOKUP(T_BilanSocial[[#This Row],[NumL]],T_TraitDi[#Data],COLUMN(T_TraitDi[[#This Row],[Nbhheb]]),FALSE)=0,"",TEXT(IFERROR(VLOOKUP($A171,T_TraitDi[#Data],COLUMN(T_TraitDi[[#This Row],[Nbhheb]]),FALSE),""),"[hh]:mm"))</f>
        <v>#VALUE!</v>
      </c>
      <c r="BT171" s="182" t="str">
        <f>IFERROR(VLOOKUP(VLOOKUP($A171,T_TraitDi[#Data],COLUMN(T_TraitDi[[#This Row],[Type1]]),FALSE),TypeTW,2,FALSE),"")</f>
        <v/>
      </c>
      <c r="BU171" s="182" t="str">
        <f>IFERROR(VLOOKUP($A171,T_TraitDi[#Data],COLUMN(T_TraitDi[[#This Row],[Rue1]]),FALSE),"")</f>
        <v/>
      </c>
      <c r="BV171" s="173" t="str">
        <f>IFERROR(VLOOKUP($A171,T_TraitDi[#Data],COLUMN(T_TraitDi[[#This Row],[CP1]]),FALSE),"")</f>
        <v/>
      </c>
      <c r="BW171" s="173" t="str">
        <f>IFERROR(VLOOKUP($A171,T_TraitDi[#Data],COLUMN(T_TraitDi[[#This Row],[VILLE1]]),FALSE),"")</f>
        <v/>
      </c>
      <c r="BX171" s="182" t="str">
        <f>IFERROR(VLOOKUP(VLOOKUP($A171,T_TraitDi[#Data],COLUMN(T_TraitDi[[#This Row],[Type2]]),FALSE),TypeTW,2,FALSE),"")</f>
        <v/>
      </c>
      <c r="BY171" s="182" t="str">
        <f>IFERROR(VLOOKUP($A171,T_TraitDi[#Data],COLUMN(T_TraitDi[[#This Row],[Rue2]]),FALSE),"")</f>
        <v/>
      </c>
      <c r="BZ171" s="173" t="str">
        <f>IFERROR(VLOOKUP($A171,T_TraitDi[#Data],COLUMN(T_TraitDi[[#This Row],[CP2]]),FALSE),"")</f>
        <v/>
      </c>
      <c r="CA171" s="173" t="str">
        <f>IFERROR(VLOOKUP($A171,T_TraitDi[#Data],COLUMN(T_TraitDi[[#This Row],[VILLE2]]),FALSE),"")</f>
        <v/>
      </c>
      <c r="CB171" s="182" t="str">
        <f>IF(VLOOKUP(T_BilanSocial[[#This Row],[NumL]],T_Equipement[#Data],COLUMN(T_Equipement[[#This Row],[PC]]),FALSE)="","Aucun équipement spécifique directement lié au télétravail",VLOOKUP(T_BilanSocial[[#This Row],[NumL]],T_Equipement[#Data],COLUMN(T_Equipement[[#This Row],[PC]]),FALSE))</f>
        <v xml:space="preserve">16-416	</v>
      </c>
      <c r="CC171" s="166" t="str">
        <f>IFERROR(IF(VLOOKUP(T_BilanSocial[[#This Row],[NumL]],T_TraitDi[#Data],COLUMN(T_TraitDi[[#This Row],[Plan]]),FALSE)="OK","Un planning spécifique de télétravail est annexé à la présente convention.",""),"")</f>
        <v/>
      </c>
      <c r="CD171" s="258" t="s">
        <v>3442</v>
      </c>
      <c r="CE171" s="164" t="e">
        <f>IF(VLOOKUP(T_BilanSocial[[#This Row],[NumL]],T_suiviDi[#Data],COLUMN(T_suiviDi[[#This Row],[Entité]]),FALSE)="","",VLOOKUP(T_BilanSocial[[#This Row],[NumL]],T_suiviDi[#Data],COLUMN(T_suiviDi[[#This Row],[Entité]]),FALSE))</f>
        <v>#VALUE!</v>
      </c>
      <c r="CF171" s="164" t="str">
        <f>IF(VLOOKUP(T_BilanSocial[[#This Row],[NumL]],T_Commission[#Data],COLUMN(T_Commission[[#This Row],[envoi confirm TW]]),FALSE)="","",VLOOKUP(T_BilanSocial[[#This Row],[NumL]],T_Commission[#Data],COLUMN(T_Commission[[#This Row],[envoi confirm TW]]),FALSE))</f>
        <v>Oui</v>
      </c>
      <c r="CG17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1" s="262" t="str">
        <f>T_BilanSocial[[#This Row],[Nom]]&amp;T_BilanSocial[[#This Row],[Prenom]]</f>
        <v/>
      </c>
      <c r="CI171" s="262">
        <f>VLOOKUP(T_BilanSocial[[#This Row],[NumL]],T_Commission[#Data],COLUMN(T_Commission[Commentaire]),FALSE)</f>
        <v>0</v>
      </c>
      <c r="CJ171" s="262" t="str">
        <f>IF(VLOOKUP(T_BilanSocial[[#This Row],[NumL]],T_Commission[#Data],COLUMN(T_Commission[Encadrant Email]),FALSE)="","",VLOOKUP(T_BilanSocial[[#This Row],[NumL]],T_Commission[#Data],COLUMN(T_Commission[Encadrant Email]),FALSE))</f>
        <v/>
      </c>
      <c r="CK171" s="340" t="str">
        <f>IF(T_BilanSocial[[#This Row],[Final]]&lt;&gt;"",VLOOKUP(T_BilanSocial[[#This Row],[NumL]],T_suiviDi[#Data],COLUMN((T_suiviDi[Statut])),FALSE),"")</f>
        <v/>
      </c>
    </row>
    <row r="172" spans="1:89" s="106" customFormat="1" ht="24.75" customHeight="1" x14ac:dyDescent="0.25">
      <c r="A172" s="160">
        <v>169</v>
      </c>
      <c r="B172" s="161" t="str">
        <f t="shared" si="22"/>
        <v/>
      </c>
      <c r="C172" s="162" t="s">
        <v>173</v>
      </c>
      <c r="D172" s="95" t="e">
        <f>IF(VLOOKUP(T_BilanSocial[[#This Row],[NumL]],T_TraitDi[#Data],COLUMN(T_TraitDi[[#This Row],[WebC]]),FALSE)="","",VLOOKUP(T_BilanSocial[[#This Row],[NumL]],T_TraitDi[#Data],COLUMN(T_TraitDi[[#This Row],[WebC]]),FALSE))</f>
        <v>#VALUE!</v>
      </c>
      <c r="E172" s="163" t="str">
        <f t="shared" si="23"/>
        <v>12 janvier 2021</v>
      </c>
      <c r="F172" s="96" t="str">
        <f>IF(T_BilanSocial[[#This Row],[Final]]&lt;&gt;"",VLOOKUP(T_BilanSocial[[#This Row],[NumL]],T_suiviDi[#Data],COLUMN((T_suiviDi[Civ.])),FALSE),"")</f>
        <v/>
      </c>
      <c r="G172" s="96" t="str">
        <f>IF(T_BilanSocial[[#This Row],[Final]]&lt;&gt;"",VLOOKUP(T_BilanSocial[[#This Row],[NumL]],T_suiviDi[#Data],COLUMN((T_suiviDi[Nom])),FALSE),"")</f>
        <v/>
      </c>
      <c r="H172" s="96" t="str">
        <f>IF(T_BilanSocial[[#This Row],[Final]]&lt;&gt;"",VLOOKUP(T_BilanSocial[[#This Row],[NumL]],T_suiviDi[#Data],COLUMN((T_suiviDi[Prénom])),FALSE),"")</f>
        <v/>
      </c>
      <c r="I172" s="96" t="str">
        <f>IFERROR(VLOOKUP(T_BilanSocial[[#This Row],[Zone_Bilan]],T_P_BilanSocial[#Data],COLUMN(T_P_BilanSocial[[#This Row],[Numero_SIHAM]]),FALSE),"")</f>
        <v/>
      </c>
      <c r="J172" s="96" t="str">
        <f>IFERROR(VLOOKUP(T_BilanSocial[[#This Row],[Zone_Bilan]],T_P_BilanSocial[#Data],COLUMN(T_P_BilanSocial[[#This Row],[Sexe]]),FALSE),"")</f>
        <v/>
      </c>
      <c r="K172" s="97" t="str">
        <f>IFERROR(VLOOKUP(T_BilanSocial[[#This Row],[Zone_Bilan]],T_P_BilanSocial[#Data],COLUMN(T_P_BilanSocial[[#This Row],[Categorie]]),FALSE),"")</f>
        <v/>
      </c>
      <c r="L172" s="96" t="str">
        <f>IFERROR(VLOOKUP(T_BilanSocial[[#This Row],[Zone_Bilan]],T_P_BilanSocial[#Data],COLUMN(T_P_BilanSocial[[#This Row],[Statut]]),FALSE),"")</f>
        <v/>
      </c>
      <c r="M172" s="96" t="str">
        <f>IFERROR(VLOOKUP(T_BilanSocial[[#This Row],[Zone_Bilan]],T_P_BilanSocial[#Data],COLUMN(T_P_BilanSocial[[#This Row],[Filiere]]),FALSE),"")</f>
        <v/>
      </c>
      <c r="N172" s="96" t="e">
        <f>VLOOKUP(T_BilanSocial[[#This Row],[NumL]],T_TraitDi[#Data],COLUMN(T_TraitDi[EXP]),FALSE)</f>
        <v>#N/A</v>
      </c>
      <c r="O172" s="96" t="e">
        <f>VLOOKUP(T_BilanSocial[[#This Row],[NumL]],T_TraitDi[#Data],COLUMN(T_TraitDi[FORM]),FALSE)</f>
        <v>#N/A</v>
      </c>
      <c r="P172" s="96" t="str">
        <f>IF(T_BilanSocial[[#This Row],[Final]]&lt;&gt;"",VLOOKUP(T_BilanSocial[[#This Row],[NumL]],T_suiviDi[#Data],COLUMN((T_suiviDi[Email])),FALSE),"")</f>
        <v/>
      </c>
      <c r="Q172" s="164" t="e">
        <f t="shared" si="28"/>
        <v>#N/A</v>
      </c>
      <c r="R172" s="164" t="e">
        <f t="shared" si="29"/>
        <v>#N/A</v>
      </c>
      <c r="S172" s="164" t="e">
        <f>IF(VLOOKUP(T_BilanSocial[[#This Row],[NumL]],T_suiviDi[#Data],COLUMN(T_suiviDi[[#This Row],[Service ]]),FALSE)="","",VLOOKUP(T_BilanSocial[[#This Row],[NumL]],T_suiviDi[#Data],COLUMN(T_suiviDi[[#This Row],[Service ]]),FALSE))</f>
        <v>#VALUE!</v>
      </c>
      <c r="T172" s="164" t="str">
        <f t="shared" si="24"/>
        <v>01 septembre 2021</v>
      </c>
      <c r="U172" s="164" t="str">
        <f t="shared" si="25"/>
        <v>30 novembre 2021</v>
      </c>
      <c r="V172" s="164" t="str">
        <f t="shared" si="31"/>
        <v>30 novembre 2021</v>
      </c>
      <c r="W172" s="176" t="e">
        <f>IF(VLOOKUP(T_BilanSocial[[#This Row],[NumL]],T_TraitDi[#Data],COLUMN(T_TraitDi[[#This Row],[M1]]),FALSE)="","",VLOOKUP(T_BilanSocial[[#This Row],[NumL]],T_TraitDi[#Data],COLUMN(T_TraitDi[[#This Row],[M1]]),FALSE))</f>
        <v>#VALUE!</v>
      </c>
      <c r="X172" s="176" t="e">
        <f>IF(VLOOKUP(T_BilanSocial[[#This Row],[NumL]],T_TraitDi[#Data],COLUMN(T_TraitDi[[#This Row],[M2]]),FALSE)="","",VLOOKUP(T_BilanSocial[[#This Row],[NumL]],T_TraitDi[#Data],COLUMN(T_TraitDi[[#This Row],[M2]]),FALSE))</f>
        <v>#VALUE!</v>
      </c>
      <c r="Y172" s="176" t="e">
        <f>IF(VLOOKUP(T_BilanSocial[[#This Row],[NumL]],T_TraitDi[#Data],COLUMN(T_TraitDi[[#This Row],[M3]]),FALSE)="","",VLOOKUP(T_BilanSocial[[#This Row],[NumL]],T_TraitDi[#Data],COLUMN(T_TraitDi[[#This Row],[M3]]),FALSE))</f>
        <v>#VALUE!</v>
      </c>
      <c r="Z172" s="176" t="str">
        <f t="shared" si="27"/>
        <v/>
      </c>
      <c r="AA172" s="176" t="e">
        <f>IF(VLOOKUP(T_BilanSocial[[#This Row],[NumL]],T_TraitDi[#Data],COLUMN(T_TraitDi[[#This Row],[M5]]),FALSE)="","",VLOOKUP(T_BilanSocial[[#This Row],[NumL]],T_TraitDi[#Data],COLUMN(T_TraitDi[[#This Row],[M5]]),FALSE))</f>
        <v>#VALUE!</v>
      </c>
      <c r="AB172" s="176" t="e">
        <f>IF(VLOOKUP(T_BilanSocial[[#This Row],[NumL]],T_TraitDi[#Data],COLUMN(T_TraitDi[[#This Row],[M6]]),FALSE)="","",VLOOKUP(T_BilanSocial[[#This Row],[NumL]],T_TraitDi[#Data],COLUMN(T_TraitDi[[#This Row],[M6]]),FALSE))</f>
        <v>#VALUE!</v>
      </c>
      <c r="AC172" s="165" t="e">
        <f t="shared" si="26"/>
        <v>#VALUE!</v>
      </c>
      <c r="AD172" s="188" t="str">
        <f>IFERROR(TEXT(VLOOKUP(T_BilanSocial[[#This Row],[NumL]],T_TraitDi[#Data],COLUMN(T_TraitDi[[#This Row],[Q2]]),FALSE),"###%"),"")</f>
        <v/>
      </c>
      <c r="AE172" s="97" t="e">
        <f>VLOOKUP(T_BilanSocial[[#This Row],[NumL]],T_TraitDi[#Data],COLUMN(T_TraitDi[[#This Row],[Reg Ponct]]),FALSE)</f>
        <v>#VALUE!</v>
      </c>
      <c r="AF172" s="97" t="e">
        <f>VLOOKUP(T_BilanSocial[NumL],T_TraitDi[#Data],COLUMN(T_TraitDi[[#This Row],[Jours flottants]]),FALSE)</f>
        <v>#VALUE!</v>
      </c>
      <c r="AG172" s="97" t="str">
        <f>IFERROR(VLOOKUP(T_BilanSocial[[#This Row],[NumL]],T_TraitDi[#Data],COLUMN(T_TraitDi[[#This Row],[Lundi]]),FALSE),"")</f>
        <v/>
      </c>
      <c r="AH172" s="172" t="e">
        <f>IF(VLOOKUP(T_BilanSocial[[#This Row],[NumL]],T_TraitDi[#Data],COLUMN(T_TraitDi[[#This Row],[Colonne3]]),FALSE)=0,"",TEXT(IFERROR(VLOOKUP(T_BilanSocial[[#This Row],[NumL]],T_TraitDi[#Data],COLUMN(T_TraitDi[[#This Row],[Colonne3]]),FALSE),""),"[hh]:mm"))</f>
        <v>#VALUE!</v>
      </c>
      <c r="AI172" s="172" t="e">
        <f>IF(VLOOKUP(T_BilanSocial[[#This Row],[NumL]],T_TraitDi[#Data],COLUMN(T_TraitDi[[#This Row],[Colonne4]]),FALSE)=0,"",TEXT(IFERROR(VLOOKUP(T_BilanSocial[[#This Row],[NumL]],T_TraitDi[#Data],COLUMN(T_TraitDi[[#This Row],[Colonne4]]),FALSE),""),"[hh]:mm"))</f>
        <v>#VALUE!</v>
      </c>
      <c r="AJ172" s="172" t="e">
        <f>IF(VLOOKUP(T_BilanSocial[[#This Row],[NumL]],T_TraitDi[#Data],COLUMN(T_TraitDi[[#This Row],[Colonne5]]),FALSE)=0,"",TEXT(IFERROR(VLOOKUP(T_BilanSocial[[#This Row],[NumL]],T_TraitDi[#Data],COLUMN(T_TraitDi[[#This Row],[Colonne5]]),FALSE),""),"[hh]:mm"))</f>
        <v>#VALUE!</v>
      </c>
      <c r="AK172" s="172" t="e">
        <f>IF(VLOOKUP(T_BilanSocial[[#This Row],[NumL]],T_TraitDi[#Data],COLUMN(T_TraitDi[[#This Row],[Colonne6]]),FALSE)=0,"",TEXT(IFERROR(VLOOKUP(T_BilanSocial[[#This Row],[NumL]],T_TraitDi[#Data],COLUMN(T_TraitDi[[#This Row],[Colonne6]]),FALSE),""),"[hh]:mm"))</f>
        <v>#VALUE!</v>
      </c>
      <c r="AL172" s="172" t="e">
        <f>IF(VLOOKUP(T_BilanSocial[[#This Row],[NumL]],T_TraitDi[#Data],COLUMN(T_TraitDi[[#This Row],[Colonne7]]),FALSE)=0,"",TEXT(IFERROR(VLOOKUP(T_BilanSocial[[#This Row],[NumL]],T_TraitDi[#Data],COLUMN(T_TraitDi[[#This Row],[Colonne7]]),FALSE),""),"[hh]:mm"))</f>
        <v>#VALUE!</v>
      </c>
      <c r="AM172" s="172" t="e">
        <f>IF(VLOOKUP(T_BilanSocial[[#This Row],[NumL]],T_TraitDi[#Data],COLUMN(T_TraitDi[[#This Row],[Colonne8]]),FALSE)=0,"",TEXT(IFERROR(VLOOKUP(T_BilanSocial[[#This Row],[NumL]],T_TraitDi[#Data],COLUMN(T_TraitDi[[#This Row],[Colonne8]]),FALSE),""),"[hh]:mm"))</f>
        <v>#VALUE!</v>
      </c>
      <c r="AN172" s="172" t="str">
        <f>IFERROR(VLOOKUP(T_BilanSocial[[#This Row],[NumL]],T_TraitDi[#Data],COLUMN(T_TraitDi[[#This Row],[Mardi]]),FALSE),"")</f>
        <v/>
      </c>
      <c r="AO172" s="172" t="e">
        <f>IF(VLOOKUP(T_BilanSocial[[#This Row],[NumL]],T_TraitDi[#Data],COLUMN(T_TraitDi[[#This Row],[Colonne1]]),FALSE)=0,"",TEXT(IFERROR(VLOOKUP(T_BilanSocial[[#This Row],[NumL]],T_TraitDi[#Data],COLUMN(T_TraitDi[[#This Row],[Colonne1]]),FALSE),""),"[hh]:mm"))</f>
        <v>#VALUE!</v>
      </c>
      <c r="AP172" s="172" t="e">
        <f>IF(VLOOKUP(T_BilanSocial[[#This Row],[NumL]],T_TraitDi[#Data],COLUMN(T_TraitDi[[#This Row],[Colonne9]]),FALSE)=0,"",TEXT(IFERROR(VLOOKUP(T_BilanSocial[[#This Row],[NumL]],T_TraitDi[#Data],COLUMN(T_TraitDi[[#This Row],[Colonne9]]),FALSE),""),"[hh]:mm"))</f>
        <v>#VALUE!</v>
      </c>
      <c r="AQ172" s="172" t="str">
        <f>IFERROR(VLOOKUP(T_BilanSocial[[#This Row],[NumL]],T_TraitDi[#Data],COLUMN(T_TraitDi[[#This Row],[Colonne10]]),FALSE),"")</f>
        <v/>
      </c>
      <c r="AR172" s="172" t="e">
        <f>IF(VLOOKUP(T_BilanSocial[[#This Row],[NumL]],T_TraitDi[#Data],COLUMN(T_TraitDi[[#This Row],[Colonne11]]),FALSE)=0,"",TEXT(IFERROR(VLOOKUP(T_BilanSocial[[#This Row],[NumL]],T_TraitDi[#Data],COLUMN(T_TraitDi[[#This Row],[Colonne11]]),FALSE),""),"[hh]:mm"))</f>
        <v>#VALUE!</v>
      </c>
      <c r="AS172" s="172" t="e">
        <f>IF(VLOOKUP(T_BilanSocial[[#This Row],[NumL]],T_TraitDi[#Data],COLUMN(T_TraitDi[[#This Row],[Colonne12]]),FALSE)=0,"",TEXT(IFERROR(VLOOKUP(T_BilanSocial[[#This Row],[NumL]],T_TraitDi[#Data],COLUMN(T_TraitDi[[#This Row],[Colonne12]]),FALSE),""),"[hh]:mm"))</f>
        <v>#VALUE!</v>
      </c>
      <c r="AT172" s="172" t="e">
        <f>IF(VLOOKUP(T_BilanSocial[[#This Row],[NumL]],T_TraitDi[#Data],COLUMN(T_TraitDi[[#This Row],[Colonne14]]),FALSE)=0,"",TEXT(IFERROR(VLOOKUP(T_BilanSocial[[#This Row],[NumL]],T_TraitDi[#Data],COLUMN(T_TraitDi[[#This Row],[Colonne14]]),FALSE),""),"[hh]:mm"))</f>
        <v>#VALUE!</v>
      </c>
      <c r="AU172" s="172" t="str">
        <f>IFERROR(VLOOKUP(T_BilanSocial[[#This Row],[NumL]],T_TraitDi[#Data],COLUMN(T_TraitDi[[#This Row],[Mercredi]]),FALSE),"")</f>
        <v/>
      </c>
      <c r="AV172" s="172" t="e">
        <f>IF(VLOOKUP(T_BilanSocial[[#This Row],[NumL]],T_TraitDi[#Data],COLUMN(T_TraitDi[[#This Row],[Colonne15]]),FALSE)=0,"",TEXT(IFERROR(VLOOKUP(T_BilanSocial[[#This Row],[NumL]],T_TraitDi[#Data],COLUMN(T_TraitDi[[#This Row],[Colonne15]]),FALSE),""),"[hh]:mm"))</f>
        <v>#VALUE!</v>
      </c>
      <c r="AW172" s="172" t="e">
        <f>IF(VLOOKUP(T_BilanSocial[[#This Row],[NumL]],T_TraitDi[#Data],COLUMN(T_TraitDi[[#This Row],[Colonne16]]),FALSE)=0,"",TEXT(IFERROR(VLOOKUP(T_BilanSocial[[#This Row],[NumL]],T_TraitDi[#Data],COLUMN(T_TraitDi[[#This Row],[Colonne16]]),FALSE),""),"[hh]:mm"))</f>
        <v>#VALUE!</v>
      </c>
      <c r="AX172" s="172" t="str">
        <f>IFERROR(VLOOKUP(T_BilanSocial[[#This Row],[NumL]],T_TraitDi[#Data],COLUMN(T_TraitDi[[#This Row],[Colonne17]]),FALSE),"")</f>
        <v/>
      </c>
      <c r="AY172" s="172" t="e">
        <f>IF(VLOOKUP(T_BilanSocial[[#This Row],[NumL]],T_TraitDi[#Data],COLUMN(T_TraitDi[[#This Row],[Colonne18]]),FALSE)=0,"",TEXT(IFERROR(VLOOKUP(T_BilanSocial[[#This Row],[NumL]],T_TraitDi[#Data],COLUMN(T_TraitDi[[#This Row],[Colonne18]]),FALSE),""),"[hh]:mm"))</f>
        <v>#VALUE!</v>
      </c>
      <c r="AZ172" s="172" t="e">
        <f>IF(VLOOKUP(T_BilanSocial[[#This Row],[NumL]],T_TraitDi[#Data],COLUMN(T_TraitDi[[#This Row],[Colonne19]]),FALSE)=0,"",TEXT(IFERROR(VLOOKUP(T_BilanSocial[[#This Row],[NumL]],T_TraitDi[#Data],COLUMN(T_TraitDi[[#This Row],[Colonne19]]),FALSE),""),"[hh]:mm"))</f>
        <v>#VALUE!</v>
      </c>
      <c r="BA172" s="172" t="e">
        <f>IF(VLOOKUP(T_BilanSocial[[#This Row],[NumL]],T_TraitDi[#Data],COLUMN(T_TraitDi[[#This Row],[Colonne20]]),FALSE)=0,"",TEXT(IFERROR(VLOOKUP(T_BilanSocial[[#This Row],[NumL]],T_TraitDi[#Data],COLUMN(T_TraitDi[[#This Row],[Colonne20]]),FALSE),""),"[hh]:mm"))</f>
        <v>#VALUE!</v>
      </c>
      <c r="BB172" s="178" t="str">
        <f>IFERROR(VLOOKUP(T_BilanSocial[[#This Row],[NumL]],T_TraitDi[#Data],COLUMN(T_TraitDi[[#This Row],[Jeudi]]),FALSE),"")</f>
        <v/>
      </c>
      <c r="BC172" s="178" t="e">
        <f>IF(VLOOKUP(T_BilanSocial[[#This Row],[NumL]],T_TraitDi[#Data],COLUMN(T_TraitDi[[#This Row],[Colonne21]]),FALSE)=0,"",TEXT(IFERROR(VLOOKUP(T_BilanSocial[[#This Row],[NumL]],T_TraitDi[#Data],COLUMN(T_TraitDi[[#This Row],[Colonne21]]),FALSE),""),"[hh]:mm"))</f>
        <v>#VALUE!</v>
      </c>
      <c r="BD172" s="178" t="e">
        <f>IF(VLOOKUP(T_BilanSocial[[#This Row],[NumL]],T_TraitDi[#Data],COLUMN(T_TraitDi[[#This Row],[Colonne22]]),FALSE)=0,"",TEXT(IFERROR(VLOOKUP(T_BilanSocial[[#This Row],[NumL]],T_TraitDi[#Data],COLUMN(T_TraitDi[[#This Row],[Colonne22]]),FALSE),""),"[hh]:mm"))</f>
        <v>#VALUE!</v>
      </c>
      <c r="BE172" s="178" t="str">
        <f>IFERROR(VLOOKUP(T_BilanSocial[[#This Row],[NumL]],T_TraitDi[#Data],COLUMN(T_TraitDi[[#This Row],[Colonne23]]),FALSE),"")</f>
        <v/>
      </c>
      <c r="BF172" s="178" t="e">
        <f>IF(VLOOKUP(T_BilanSocial[[#This Row],[NumL]],T_TraitDi[#Data],COLUMN(T_TraitDi[[#This Row],[Colonne24]]),FALSE)=0,"",TEXT(IFERROR(VLOOKUP(T_BilanSocial[[#This Row],[NumL]],T_TraitDi[#Data],COLUMN(T_TraitDi[[#This Row],[Colonne24]]),FALSE),""),"[hh]:mm"))</f>
        <v>#VALUE!</v>
      </c>
      <c r="BG172" s="178" t="e">
        <f>IF(VLOOKUP(T_BilanSocial[[#This Row],[NumL]],T_TraitDi[#Data],COLUMN(T_TraitDi[[#This Row],[Colonne25]]),FALSE)=0,"",TEXT(IFERROR(VLOOKUP(T_BilanSocial[[#This Row],[NumL]],T_TraitDi[#Data],COLUMN(T_TraitDi[[#This Row],[Colonne25]]),FALSE),""),"[hh]:mm"))</f>
        <v>#VALUE!</v>
      </c>
      <c r="BH172" s="178" t="e">
        <f>IF(VLOOKUP(T_BilanSocial[[#This Row],[NumL]],T_TraitDi[#Data],COLUMN(T_TraitDi[[#This Row],[Colonne26]]),FALSE)=0,"",TEXT(IFERROR(VLOOKUP(T_BilanSocial[[#This Row],[NumL]],T_TraitDi[#Data],COLUMN(T_TraitDi[[#This Row],[Colonne26]]),FALSE),""),"[hh]:mm"))</f>
        <v>#VALUE!</v>
      </c>
      <c r="BI172" s="172" t="str">
        <f>IFERROR(VLOOKUP(T_BilanSocial[[#This Row],[NumL]],T_TraitDi[#Data],COLUMN(T_TraitDi[[#This Row],[Vendredi]]),FALSE),"")</f>
        <v/>
      </c>
      <c r="BJ172" s="172" t="e">
        <f>IF(VLOOKUP(T_BilanSocial[[#This Row],[NumL]],T_TraitDi[#Data],COLUMN(T_TraitDi[[#This Row],[Colonne27]]),FALSE)=0,"",TEXT(IFERROR(VLOOKUP(T_BilanSocial[[#This Row],[NumL]],T_TraitDi[#Data],COLUMN(T_TraitDi[[#This Row],[Colonne27]]),FALSE),""),"[hh]:mm"))</f>
        <v>#VALUE!</v>
      </c>
      <c r="BK172" s="172" t="e">
        <f>IF(VLOOKUP(T_BilanSocial[[#This Row],[NumL]],T_TraitDi[#Data],COLUMN(T_TraitDi[[#This Row],[Colonne28]]),FALSE)=0,"",TEXT(IFERROR(VLOOKUP(T_BilanSocial[[#This Row],[NumL]],T_TraitDi[#Data],COLUMN(T_TraitDi[[#This Row],[Colonne28]]),FALSE),""),"[hh]:mm"))</f>
        <v>#VALUE!</v>
      </c>
      <c r="BL172" s="172" t="str">
        <f>IFERROR(VLOOKUP(T_BilanSocial[[#This Row],[NumL]],T_TraitDi[#Data],COLUMN(T_TraitDi[[#This Row],[Colonne29]]),FALSE),"")</f>
        <v/>
      </c>
      <c r="BM172" s="172" t="e">
        <f>IF(VLOOKUP(T_BilanSocial[[#This Row],[NumL]],T_TraitDi[#Data],COLUMN(T_TraitDi[[#This Row],[Colonne30]]),FALSE)=0,"",TEXT(IFERROR(VLOOKUP(T_BilanSocial[[#This Row],[NumL]],T_TraitDi[#Data],COLUMN(T_TraitDi[[#This Row],[Colonne30]]),FALSE),""),"[hh]:mm"))</f>
        <v>#VALUE!</v>
      </c>
      <c r="BN172" s="172" t="e">
        <f>IF(VLOOKUP(T_BilanSocial[[#This Row],[NumL]],T_TraitDi[#Data],COLUMN(T_TraitDi[[#This Row],[Colonne31]]),FALSE)=0,"",TEXT(IFERROR(VLOOKUP(T_BilanSocial[[#This Row],[NumL]],T_TraitDi[#Data],COLUMN(T_TraitDi[[#This Row],[Colonne31]]),FALSE),""),"[hh]:mm"))</f>
        <v>#VALUE!</v>
      </c>
      <c r="BO172" s="172" t="e">
        <f>IF(VLOOKUP(T_BilanSocial[[#This Row],[NumL]],T_TraitDi[#Data],COLUMN(T_TraitDi[[#This Row],[Colonne32]]),FALSE)=0,"",TEXT(IFERROR(VLOOKUP(T_BilanSocial[[#This Row],[NumL]],T_TraitDi[#Data],COLUMN(T_TraitDi[[#This Row],[Colonne32]]),FALSE),""),"[hh]:mm"))</f>
        <v>#VALUE!</v>
      </c>
      <c r="BP172" s="172" t="e">
        <f>VLOOKUP(T_BilanSocial[[#This Row],[NumL]],T_TraitDi[#Data],COLUMN(T_TraitDi[NbJTot]),FALSE)</f>
        <v>#N/A</v>
      </c>
      <c r="BQ172" s="174" t="str">
        <f>IFERROR(VLOOKUP(T_BilanSocial[[#This Row],[NumL]],T_TraitDi[#Data],COLUMN(T_TraitDi[[#This Row],[NbJTW]]),FALSE),"")</f>
        <v/>
      </c>
      <c r="BR172" s="174" t="e">
        <f>IF(VLOOKUP(T_BilanSocial[[#This Row],[NumL]],T_TraitDi[#Data],COLUMN(T_TraitDi[[#This Row],[NbhTW]]),FALSE)=0,"",TEXT(IFERROR(VLOOKUP(T_BilanSocial[[#This Row],[NumL]],T_TraitDi[#Data],COLUMN(T_TraitDi[[#This Row],[NbhTW]]),FALSE),""),"[hh]:mm"))</f>
        <v>#VALUE!</v>
      </c>
      <c r="BS172" s="174" t="e">
        <f>IF(VLOOKUP(T_BilanSocial[[#This Row],[NumL]],T_TraitDi[#Data],COLUMN(T_TraitDi[[#This Row],[Nbhheb]]),FALSE)=0,"",TEXT(IFERROR(VLOOKUP($A172,T_TraitDi[#Data],COLUMN(T_TraitDi[[#This Row],[Nbhheb]]),FALSE),""),"[hh]:mm"))</f>
        <v>#VALUE!</v>
      </c>
      <c r="BT172" s="182" t="str">
        <f>IFERROR(VLOOKUP(VLOOKUP($A172,T_TraitDi[#Data],COLUMN(T_TraitDi[[#This Row],[Type1]]),FALSE),TypeTW,2,FALSE),"")</f>
        <v/>
      </c>
      <c r="BU172" s="182" t="str">
        <f>IFERROR(VLOOKUP($A172,T_TraitDi[#Data],COLUMN(T_TraitDi[[#This Row],[Rue1]]),FALSE),"")</f>
        <v/>
      </c>
      <c r="BV172" s="173" t="str">
        <f>IFERROR(VLOOKUP($A172,T_TraitDi[#Data],COLUMN(T_TraitDi[[#This Row],[CP1]]),FALSE),"")</f>
        <v/>
      </c>
      <c r="BW172" s="173" t="str">
        <f>IFERROR(VLOOKUP($A172,T_TraitDi[#Data],COLUMN(T_TraitDi[[#This Row],[VILLE1]]),FALSE),"")</f>
        <v/>
      </c>
      <c r="BX172" s="182" t="str">
        <f>IFERROR(VLOOKUP(VLOOKUP($A172,T_TraitDi[#Data],COLUMN(T_TraitDi[[#This Row],[Type2]]),FALSE),TypeTW,2,FALSE),"")</f>
        <v/>
      </c>
      <c r="BY172" s="182" t="str">
        <f>IFERROR(VLOOKUP($A172,T_TraitDi[#Data],COLUMN(T_TraitDi[[#This Row],[Rue2]]),FALSE),"")</f>
        <v/>
      </c>
      <c r="BZ172" s="173" t="str">
        <f>IFERROR(VLOOKUP($A172,T_TraitDi[#Data],COLUMN(T_TraitDi[[#This Row],[CP2]]),FALSE),"")</f>
        <v/>
      </c>
      <c r="CA172" s="173" t="str">
        <f>IFERROR(VLOOKUP($A172,T_TraitDi[#Data],COLUMN(T_TraitDi[[#This Row],[VILLE2]]),FALSE),"")</f>
        <v/>
      </c>
      <c r="CB172" s="182" t="str">
        <f>IF(VLOOKUP(T_BilanSocial[[#This Row],[NumL]],T_Equipement[#Data],COLUMN(T_Equipement[[#This Row],[PC]]),FALSE)="","Aucun équipement spécifique directement lié au télétravail",VLOOKUP(T_BilanSocial[[#This Row],[NumL]],T_Equipement[#Data],COLUMN(T_Equipement[[#This Row],[PC]]),FALSE))</f>
        <v xml:space="preserve">20-603	</v>
      </c>
      <c r="CC172" s="166" t="str">
        <f>IFERROR(IF(VLOOKUP(T_BilanSocial[[#This Row],[NumL]],T_TraitDi[#Data],COLUMN(T_TraitDi[[#This Row],[Plan]]),FALSE)="OK","Un planning spécifique de télétravail est annexé à la présente convention.",""),"")</f>
        <v/>
      </c>
      <c r="CD172" s="258" t="s">
        <v>3316</v>
      </c>
      <c r="CE172" s="164" t="e">
        <f>IF(VLOOKUP(T_BilanSocial[[#This Row],[NumL]],T_suiviDi[#Data],COLUMN(T_suiviDi[[#This Row],[Entité]]),FALSE)="","",VLOOKUP(T_BilanSocial[[#This Row],[NumL]],T_suiviDi[#Data],COLUMN(T_suiviDi[[#This Row],[Entité]]),FALSE))</f>
        <v>#VALUE!</v>
      </c>
      <c r="CF172" s="164" t="str">
        <f>IF(VLOOKUP(T_BilanSocial[[#This Row],[NumL]],T_Commission[#Data],COLUMN(T_Commission[[#This Row],[envoi confirm TW]]),FALSE)="","",VLOOKUP(T_BilanSocial[[#This Row],[NumL]],T_Commission[#Data],COLUMN(T_Commission[[#This Row],[envoi confirm TW]]),FALSE))</f>
        <v>Oui</v>
      </c>
      <c r="CG17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2" s="262" t="str">
        <f>T_BilanSocial[[#This Row],[Nom]]&amp;T_BilanSocial[[#This Row],[Prenom]]</f>
        <v/>
      </c>
      <c r="CI172" s="262">
        <f>VLOOKUP(T_BilanSocial[[#This Row],[NumL]],T_Commission[#Data],COLUMN(T_Commission[Commentaire]),FALSE)</f>
        <v>0</v>
      </c>
      <c r="CJ172" s="262" t="str">
        <f>IF(VLOOKUP(T_BilanSocial[[#This Row],[NumL]],T_Commission[#Data],COLUMN(T_Commission[Encadrant Email]),FALSE)="","",VLOOKUP(T_BilanSocial[[#This Row],[NumL]],T_Commission[#Data],COLUMN(T_Commission[Encadrant Email]),FALSE))</f>
        <v/>
      </c>
      <c r="CK172" s="340" t="str">
        <f>IF(T_BilanSocial[[#This Row],[Final]]&lt;&gt;"",VLOOKUP(T_BilanSocial[[#This Row],[NumL]],T_suiviDi[#Data],COLUMN((T_suiviDi[Statut])),FALSE),"")</f>
        <v/>
      </c>
    </row>
    <row r="173" spans="1:89" s="106" customFormat="1" ht="24.75" customHeight="1" x14ac:dyDescent="0.25">
      <c r="A173" s="160">
        <v>170</v>
      </c>
      <c r="B173" s="161" t="str">
        <f t="shared" si="22"/>
        <v/>
      </c>
      <c r="C173" s="162" t="s">
        <v>173</v>
      </c>
      <c r="D173" s="95" t="e">
        <f>IF(VLOOKUP(T_BilanSocial[[#This Row],[NumL]],T_TraitDi[#Data],COLUMN(T_TraitDi[[#This Row],[WebC]]),FALSE)="","",VLOOKUP(T_BilanSocial[[#This Row],[NumL]],T_TraitDi[#Data],COLUMN(T_TraitDi[[#This Row],[WebC]]),FALSE))</f>
        <v>#VALUE!</v>
      </c>
      <c r="E173" s="163" t="str">
        <f t="shared" si="23"/>
        <v>12 janvier 2021</v>
      </c>
      <c r="F173" s="96" t="str">
        <f>IF(T_BilanSocial[[#This Row],[Final]]&lt;&gt;"",VLOOKUP(T_BilanSocial[[#This Row],[NumL]],T_suiviDi[#Data],COLUMN((T_suiviDi[Civ.])),FALSE),"")</f>
        <v/>
      </c>
      <c r="G173" s="96" t="str">
        <f>IF(T_BilanSocial[[#This Row],[Final]]&lt;&gt;"",VLOOKUP(T_BilanSocial[[#This Row],[NumL]],T_suiviDi[#Data],COLUMN((T_suiviDi[Nom])),FALSE),"")</f>
        <v/>
      </c>
      <c r="H173" s="96" t="str">
        <f>IF(T_BilanSocial[[#This Row],[Final]]&lt;&gt;"",VLOOKUP(T_BilanSocial[[#This Row],[NumL]],T_suiviDi[#Data],COLUMN((T_suiviDi[Prénom])),FALSE),"")</f>
        <v/>
      </c>
      <c r="I173" s="96" t="str">
        <f>IFERROR(VLOOKUP(T_BilanSocial[[#This Row],[Zone_Bilan]],T_P_BilanSocial[#Data],COLUMN(T_P_BilanSocial[[#This Row],[Numero_SIHAM]]),FALSE),"")</f>
        <v/>
      </c>
      <c r="J173" s="96" t="str">
        <f>IFERROR(VLOOKUP(T_BilanSocial[[#This Row],[Zone_Bilan]],T_P_BilanSocial[#Data],COLUMN(T_P_BilanSocial[[#This Row],[Sexe]]),FALSE),"")</f>
        <v/>
      </c>
      <c r="K173" s="97" t="str">
        <f>IFERROR(VLOOKUP(T_BilanSocial[[#This Row],[Zone_Bilan]],T_P_BilanSocial[#Data],COLUMN(T_P_BilanSocial[[#This Row],[Categorie]]),FALSE),"")</f>
        <v/>
      </c>
      <c r="L173" s="96" t="str">
        <f>IFERROR(VLOOKUP(T_BilanSocial[[#This Row],[Zone_Bilan]],T_P_BilanSocial[#Data],COLUMN(T_P_BilanSocial[[#This Row],[Statut]]),FALSE),"")</f>
        <v/>
      </c>
      <c r="M173" s="96" t="str">
        <f>IFERROR(VLOOKUP(T_BilanSocial[[#This Row],[Zone_Bilan]],T_P_BilanSocial[#Data],COLUMN(T_P_BilanSocial[[#This Row],[Filiere]]),FALSE),"")</f>
        <v/>
      </c>
      <c r="N173" s="96" t="e">
        <f>VLOOKUP(T_BilanSocial[[#This Row],[NumL]],T_TraitDi[#Data],COLUMN(T_TraitDi[EXP]),FALSE)</f>
        <v>#N/A</v>
      </c>
      <c r="O173" s="96" t="e">
        <f>VLOOKUP(T_BilanSocial[[#This Row],[NumL]],T_TraitDi[#Data],COLUMN(T_TraitDi[FORM]),FALSE)</f>
        <v>#N/A</v>
      </c>
      <c r="P173" s="96" t="str">
        <f>IF(T_BilanSocial[[#This Row],[Final]]&lt;&gt;"",VLOOKUP(T_BilanSocial[[#This Row],[NumL]],T_suiviDi[#Data],COLUMN((T_suiviDi[Email])),FALSE),"")</f>
        <v/>
      </c>
      <c r="Q173" s="164" t="e">
        <f t="shared" si="28"/>
        <v>#N/A</v>
      </c>
      <c r="R173" s="164" t="e">
        <f t="shared" si="29"/>
        <v>#N/A</v>
      </c>
      <c r="S173" s="164" t="e">
        <f>IF(VLOOKUP(T_BilanSocial[[#This Row],[NumL]],T_suiviDi[#Data],COLUMN(T_suiviDi[[#This Row],[Service ]]),FALSE)="","",VLOOKUP(T_BilanSocial[[#This Row],[NumL]],T_suiviDi[#Data],COLUMN(T_suiviDi[[#This Row],[Service ]]),FALSE))</f>
        <v>#VALUE!</v>
      </c>
      <c r="T173" s="164" t="str">
        <f t="shared" si="24"/>
        <v>01 septembre 2021</v>
      </c>
      <c r="U173" s="164" t="str">
        <f t="shared" si="25"/>
        <v>30 novembre 2021</v>
      </c>
      <c r="V173" s="164" t="str">
        <f t="shared" si="31"/>
        <v>30 novembre 2021</v>
      </c>
      <c r="W173" s="176" t="e">
        <f>IF(VLOOKUP(T_BilanSocial[[#This Row],[NumL]],T_TraitDi[#Data],COLUMN(T_TraitDi[[#This Row],[M1]]),FALSE)="","",VLOOKUP(T_BilanSocial[[#This Row],[NumL]],T_TraitDi[#Data],COLUMN(T_TraitDi[[#This Row],[M1]]),FALSE))</f>
        <v>#VALUE!</v>
      </c>
      <c r="X173" s="176" t="e">
        <f>IF(VLOOKUP(T_BilanSocial[[#This Row],[NumL]],T_TraitDi[#Data],COLUMN(T_TraitDi[[#This Row],[M2]]),FALSE)="","",VLOOKUP(T_BilanSocial[[#This Row],[NumL]],T_TraitDi[#Data],COLUMN(T_TraitDi[[#This Row],[M2]]),FALSE))</f>
        <v>#VALUE!</v>
      </c>
      <c r="Y173" s="176" t="e">
        <f>IF(VLOOKUP(T_BilanSocial[[#This Row],[NumL]],T_TraitDi[#Data],COLUMN(T_TraitDi[[#This Row],[M3]]),FALSE)="","",VLOOKUP(T_BilanSocial[[#This Row],[NumL]],T_TraitDi[#Data],COLUMN(T_TraitDi[[#This Row],[M3]]),FALSE))</f>
        <v>#VALUE!</v>
      </c>
      <c r="Z173" s="176" t="str">
        <f t="shared" si="27"/>
        <v/>
      </c>
      <c r="AA173" s="176" t="e">
        <f>IF(VLOOKUP(T_BilanSocial[[#This Row],[NumL]],T_TraitDi[#Data],COLUMN(T_TraitDi[[#This Row],[M5]]),FALSE)="","",VLOOKUP(T_BilanSocial[[#This Row],[NumL]],T_TraitDi[#Data],COLUMN(T_TraitDi[[#This Row],[M5]]),FALSE))</f>
        <v>#VALUE!</v>
      </c>
      <c r="AB173" s="176" t="e">
        <f>IF(VLOOKUP(T_BilanSocial[[#This Row],[NumL]],T_TraitDi[#Data],COLUMN(T_TraitDi[[#This Row],[M6]]),FALSE)="","",VLOOKUP(T_BilanSocial[[#This Row],[NumL]],T_TraitDi[#Data],COLUMN(T_TraitDi[[#This Row],[M6]]),FALSE))</f>
        <v>#VALUE!</v>
      </c>
      <c r="AC173" s="165" t="e">
        <f t="shared" si="26"/>
        <v>#VALUE!</v>
      </c>
      <c r="AD173" s="188" t="str">
        <f>IFERROR(TEXT(VLOOKUP(T_BilanSocial[[#This Row],[NumL]],T_TraitDi[#Data],COLUMN(T_TraitDi[[#This Row],[Q2]]),FALSE),"###%"),"")</f>
        <v/>
      </c>
      <c r="AE173" s="97" t="e">
        <f>VLOOKUP(T_BilanSocial[[#This Row],[NumL]],T_TraitDi[#Data],COLUMN(T_TraitDi[[#This Row],[Reg Ponct]]),FALSE)</f>
        <v>#VALUE!</v>
      </c>
      <c r="AF173" s="97" t="e">
        <f>VLOOKUP(T_BilanSocial[NumL],T_TraitDi[#Data],COLUMN(T_TraitDi[[#This Row],[Jours flottants]]),FALSE)</f>
        <v>#VALUE!</v>
      </c>
      <c r="AG173" s="97" t="str">
        <f>IFERROR(VLOOKUP(T_BilanSocial[[#This Row],[NumL]],T_TraitDi[#Data],COLUMN(T_TraitDi[[#This Row],[Lundi]]),FALSE),"")</f>
        <v/>
      </c>
      <c r="AH173" s="172" t="e">
        <f>IF(VLOOKUP(T_BilanSocial[[#This Row],[NumL]],T_TraitDi[#Data],COLUMN(T_TraitDi[[#This Row],[Colonne3]]),FALSE)=0,"",TEXT(IFERROR(VLOOKUP(T_BilanSocial[[#This Row],[NumL]],T_TraitDi[#Data],COLUMN(T_TraitDi[[#This Row],[Colonne3]]),FALSE),""),"[hh]:mm"))</f>
        <v>#VALUE!</v>
      </c>
      <c r="AI173" s="172" t="e">
        <f>IF(VLOOKUP(T_BilanSocial[[#This Row],[NumL]],T_TraitDi[#Data],COLUMN(T_TraitDi[[#This Row],[Colonne4]]),FALSE)=0,"",TEXT(IFERROR(VLOOKUP(T_BilanSocial[[#This Row],[NumL]],T_TraitDi[#Data],COLUMN(T_TraitDi[[#This Row],[Colonne4]]),FALSE),""),"[hh]:mm"))</f>
        <v>#VALUE!</v>
      </c>
      <c r="AJ173" s="172" t="e">
        <f>IF(VLOOKUP(T_BilanSocial[[#This Row],[NumL]],T_TraitDi[#Data],COLUMN(T_TraitDi[[#This Row],[Colonne5]]),FALSE)=0,"",TEXT(IFERROR(VLOOKUP(T_BilanSocial[[#This Row],[NumL]],T_TraitDi[#Data],COLUMN(T_TraitDi[[#This Row],[Colonne5]]),FALSE),""),"[hh]:mm"))</f>
        <v>#VALUE!</v>
      </c>
      <c r="AK173" s="172" t="e">
        <f>IF(VLOOKUP(T_BilanSocial[[#This Row],[NumL]],T_TraitDi[#Data],COLUMN(T_TraitDi[[#This Row],[Colonne6]]),FALSE)=0,"",TEXT(IFERROR(VLOOKUP(T_BilanSocial[[#This Row],[NumL]],T_TraitDi[#Data],COLUMN(T_TraitDi[[#This Row],[Colonne6]]),FALSE),""),"[hh]:mm"))</f>
        <v>#VALUE!</v>
      </c>
      <c r="AL173" s="172" t="e">
        <f>IF(VLOOKUP(T_BilanSocial[[#This Row],[NumL]],T_TraitDi[#Data],COLUMN(T_TraitDi[[#This Row],[Colonne7]]),FALSE)=0,"",TEXT(IFERROR(VLOOKUP(T_BilanSocial[[#This Row],[NumL]],T_TraitDi[#Data],COLUMN(T_TraitDi[[#This Row],[Colonne7]]),FALSE),""),"[hh]:mm"))</f>
        <v>#VALUE!</v>
      </c>
      <c r="AM173" s="172" t="e">
        <f>IF(VLOOKUP(T_BilanSocial[[#This Row],[NumL]],T_TraitDi[#Data],COLUMN(T_TraitDi[[#This Row],[Colonne8]]),FALSE)=0,"",TEXT(IFERROR(VLOOKUP(T_BilanSocial[[#This Row],[NumL]],T_TraitDi[#Data],COLUMN(T_TraitDi[[#This Row],[Colonne8]]),FALSE),""),"[hh]:mm"))</f>
        <v>#VALUE!</v>
      </c>
      <c r="AN173" s="172" t="str">
        <f>IFERROR(VLOOKUP(T_BilanSocial[[#This Row],[NumL]],T_TraitDi[#Data],COLUMN(T_TraitDi[[#This Row],[Mardi]]),FALSE),"")</f>
        <v/>
      </c>
      <c r="AO173" s="172" t="e">
        <f>IF(VLOOKUP(T_BilanSocial[[#This Row],[NumL]],T_TraitDi[#Data],COLUMN(T_TraitDi[[#This Row],[Colonne1]]),FALSE)=0,"",TEXT(IFERROR(VLOOKUP(T_BilanSocial[[#This Row],[NumL]],T_TraitDi[#Data],COLUMN(T_TraitDi[[#This Row],[Colonne1]]),FALSE),""),"[hh]:mm"))</f>
        <v>#VALUE!</v>
      </c>
      <c r="AP173" s="172" t="e">
        <f>IF(VLOOKUP(T_BilanSocial[[#This Row],[NumL]],T_TraitDi[#Data],COLUMN(T_TraitDi[[#This Row],[Colonne9]]),FALSE)=0,"",TEXT(IFERROR(VLOOKUP(T_BilanSocial[[#This Row],[NumL]],T_TraitDi[#Data],COLUMN(T_TraitDi[[#This Row],[Colonne9]]),FALSE),""),"[hh]:mm"))</f>
        <v>#VALUE!</v>
      </c>
      <c r="AQ173" s="172" t="str">
        <f>IFERROR(VLOOKUP(T_BilanSocial[[#This Row],[NumL]],T_TraitDi[#Data],COLUMN(T_TraitDi[[#This Row],[Colonne10]]),FALSE),"")</f>
        <v/>
      </c>
      <c r="AR173" s="172" t="e">
        <f>IF(VLOOKUP(T_BilanSocial[[#This Row],[NumL]],T_TraitDi[#Data],COLUMN(T_TraitDi[[#This Row],[Colonne11]]),FALSE)=0,"",TEXT(IFERROR(VLOOKUP(T_BilanSocial[[#This Row],[NumL]],T_TraitDi[#Data],COLUMN(T_TraitDi[[#This Row],[Colonne11]]),FALSE),""),"[hh]:mm"))</f>
        <v>#VALUE!</v>
      </c>
      <c r="AS173" s="172" t="e">
        <f>IF(VLOOKUP(T_BilanSocial[[#This Row],[NumL]],T_TraitDi[#Data],COLUMN(T_TraitDi[[#This Row],[Colonne12]]),FALSE)=0,"",TEXT(IFERROR(VLOOKUP(T_BilanSocial[[#This Row],[NumL]],T_TraitDi[#Data],COLUMN(T_TraitDi[[#This Row],[Colonne12]]),FALSE),""),"[hh]:mm"))</f>
        <v>#VALUE!</v>
      </c>
      <c r="AT173" s="172" t="e">
        <f>IF(VLOOKUP(T_BilanSocial[[#This Row],[NumL]],T_TraitDi[#Data],COLUMN(T_TraitDi[[#This Row],[Colonne14]]),FALSE)=0,"",TEXT(IFERROR(VLOOKUP(T_BilanSocial[[#This Row],[NumL]],T_TraitDi[#Data],COLUMN(T_TraitDi[[#This Row],[Colonne14]]),FALSE),""),"[hh]:mm"))</f>
        <v>#VALUE!</v>
      </c>
      <c r="AU173" s="172" t="str">
        <f>IFERROR(VLOOKUP(T_BilanSocial[[#This Row],[NumL]],T_TraitDi[#Data],COLUMN(T_TraitDi[[#This Row],[Mercredi]]),FALSE),"")</f>
        <v/>
      </c>
      <c r="AV173" s="172" t="e">
        <f>IF(VLOOKUP(T_BilanSocial[[#This Row],[NumL]],T_TraitDi[#Data],COLUMN(T_TraitDi[[#This Row],[Colonne15]]),FALSE)=0,"",TEXT(IFERROR(VLOOKUP(T_BilanSocial[[#This Row],[NumL]],T_TraitDi[#Data],COLUMN(T_TraitDi[[#This Row],[Colonne15]]),FALSE),""),"[hh]:mm"))</f>
        <v>#VALUE!</v>
      </c>
      <c r="AW173" s="172" t="e">
        <f>IF(VLOOKUP(T_BilanSocial[[#This Row],[NumL]],T_TraitDi[#Data],COLUMN(T_TraitDi[[#This Row],[Colonne16]]),FALSE)=0,"",TEXT(IFERROR(VLOOKUP(T_BilanSocial[[#This Row],[NumL]],T_TraitDi[#Data],COLUMN(T_TraitDi[[#This Row],[Colonne16]]),FALSE),""),"[hh]:mm"))</f>
        <v>#VALUE!</v>
      </c>
      <c r="AX173" s="172" t="str">
        <f>IFERROR(VLOOKUP(T_BilanSocial[[#This Row],[NumL]],T_TraitDi[#Data],COLUMN(T_TraitDi[[#This Row],[Colonne17]]),FALSE),"")</f>
        <v/>
      </c>
      <c r="AY173" s="172" t="e">
        <f>IF(VLOOKUP(T_BilanSocial[[#This Row],[NumL]],T_TraitDi[#Data],COLUMN(T_TraitDi[[#This Row],[Colonne18]]),FALSE)=0,"",TEXT(IFERROR(VLOOKUP(T_BilanSocial[[#This Row],[NumL]],T_TraitDi[#Data],COLUMN(T_TraitDi[[#This Row],[Colonne18]]),FALSE),""),"[hh]:mm"))</f>
        <v>#VALUE!</v>
      </c>
      <c r="AZ173" s="172" t="e">
        <f>IF(VLOOKUP(T_BilanSocial[[#This Row],[NumL]],T_TraitDi[#Data],COLUMN(T_TraitDi[[#This Row],[Colonne19]]),FALSE)=0,"",TEXT(IFERROR(VLOOKUP(T_BilanSocial[[#This Row],[NumL]],T_TraitDi[#Data],COLUMN(T_TraitDi[[#This Row],[Colonne19]]),FALSE),""),"[hh]:mm"))</f>
        <v>#VALUE!</v>
      </c>
      <c r="BA173" s="172" t="e">
        <f>IF(VLOOKUP(T_BilanSocial[[#This Row],[NumL]],T_TraitDi[#Data],COLUMN(T_TraitDi[[#This Row],[Colonne20]]),FALSE)=0,"",TEXT(IFERROR(VLOOKUP(T_BilanSocial[[#This Row],[NumL]],T_TraitDi[#Data],COLUMN(T_TraitDi[[#This Row],[Colonne20]]),FALSE),""),"[hh]:mm"))</f>
        <v>#VALUE!</v>
      </c>
      <c r="BB173" s="178" t="str">
        <f>IFERROR(VLOOKUP(T_BilanSocial[[#This Row],[NumL]],T_TraitDi[#Data],COLUMN(T_TraitDi[[#This Row],[Jeudi]]),FALSE),"")</f>
        <v/>
      </c>
      <c r="BC173" s="178" t="e">
        <f>IF(VLOOKUP(T_BilanSocial[[#This Row],[NumL]],T_TraitDi[#Data],COLUMN(T_TraitDi[[#This Row],[Colonne21]]),FALSE)=0,"",TEXT(IFERROR(VLOOKUP(T_BilanSocial[[#This Row],[NumL]],T_TraitDi[#Data],COLUMN(T_TraitDi[[#This Row],[Colonne21]]),FALSE),""),"[hh]:mm"))</f>
        <v>#VALUE!</v>
      </c>
      <c r="BD173" s="178" t="e">
        <f>IF(VLOOKUP(T_BilanSocial[[#This Row],[NumL]],T_TraitDi[#Data],COLUMN(T_TraitDi[[#This Row],[Colonne22]]),FALSE)=0,"",TEXT(IFERROR(VLOOKUP(T_BilanSocial[[#This Row],[NumL]],T_TraitDi[#Data],COLUMN(T_TraitDi[[#This Row],[Colonne22]]),FALSE),""),"[hh]:mm"))</f>
        <v>#VALUE!</v>
      </c>
      <c r="BE173" s="178" t="str">
        <f>IFERROR(VLOOKUP(T_BilanSocial[[#This Row],[NumL]],T_TraitDi[#Data],COLUMN(T_TraitDi[[#This Row],[Colonne23]]),FALSE),"")</f>
        <v/>
      </c>
      <c r="BF173" s="178" t="e">
        <f>IF(VLOOKUP(T_BilanSocial[[#This Row],[NumL]],T_TraitDi[#Data],COLUMN(T_TraitDi[[#This Row],[Colonne24]]),FALSE)=0,"",TEXT(IFERROR(VLOOKUP(T_BilanSocial[[#This Row],[NumL]],T_TraitDi[#Data],COLUMN(T_TraitDi[[#This Row],[Colonne24]]),FALSE),""),"[hh]:mm"))</f>
        <v>#VALUE!</v>
      </c>
      <c r="BG173" s="178" t="e">
        <f>IF(VLOOKUP(T_BilanSocial[[#This Row],[NumL]],T_TraitDi[#Data],COLUMN(T_TraitDi[[#This Row],[Colonne25]]),FALSE)=0,"",TEXT(IFERROR(VLOOKUP(T_BilanSocial[[#This Row],[NumL]],T_TraitDi[#Data],COLUMN(T_TraitDi[[#This Row],[Colonne25]]),FALSE),""),"[hh]:mm"))</f>
        <v>#VALUE!</v>
      </c>
      <c r="BH173" s="178" t="e">
        <f>IF(VLOOKUP(T_BilanSocial[[#This Row],[NumL]],T_TraitDi[#Data],COLUMN(T_TraitDi[[#This Row],[Colonne26]]),FALSE)=0,"",TEXT(IFERROR(VLOOKUP(T_BilanSocial[[#This Row],[NumL]],T_TraitDi[#Data],COLUMN(T_TraitDi[[#This Row],[Colonne26]]),FALSE),""),"[hh]:mm"))</f>
        <v>#VALUE!</v>
      </c>
      <c r="BI173" s="172" t="str">
        <f>IFERROR(VLOOKUP(T_BilanSocial[[#This Row],[NumL]],T_TraitDi[#Data],COLUMN(T_TraitDi[[#This Row],[Vendredi]]),FALSE),"")</f>
        <v/>
      </c>
      <c r="BJ173" s="172" t="e">
        <f>IF(VLOOKUP(T_BilanSocial[[#This Row],[NumL]],T_TraitDi[#Data],COLUMN(T_TraitDi[[#This Row],[Colonne27]]),FALSE)=0,"",TEXT(IFERROR(VLOOKUP(T_BilanSocial[[#This Row],[NumL]],T_TraitDi[#Data],COLUMN(T_TraitDi[[#This Row],[Colonne27]]),FALSE),""),"[hh]:mm"))</f>
        <v>#VALUE!</v>
      </c>
      <c r="BK173" s="172" t="e">
        <f>IF(VLOOKUP(T_BilanSocial[[#This Row],[NumL]],T_TraitDi[#Data],COLUMN(T_TraitDi[[#This Row],[Colonne28]]),FALSE)=0,"",TEXT(IFERROR(VLOOKUP(T_BilanSocial[[#This Row],[NumL]],T_TraitDi[#Data],COLUMN(T_TraitDi[[#This Row],[Colonne28]]),FALSE),""),"[hh]:mm"))</f>
        <v>#VALUE!</v>
      </c>
      <c r="BL173" s="172" t="str">
        <f>IFERROR(VLOOKUP(T_BilanSocial[[#This Row],[NumL]],T_TraitDi[#Data],COLUMN(T_TraitDi[[#This Row],[Colonne29]]),FALSE),"")</f>
        <v/>
      </c>
      <c r="BM173" s="172" t="e">
        <f>IF(VLOOKUP(T_BilanSocial[[#This Row],[NumL]],T_TraitDi[#Data],COLUMN(T_TraitDi[[#This Row],[Colonne30]]),FALSE)=0,"",TEXT(IFERROR(VLOOKUP(T_BilanSocial[[#This Row],[NumL]],T_TraitDi[#Data],COLUMN(T_TraitDi[[#This Row],[Colonne30]]),FALSE),""),"[hh]:mm"))</f>
        <v>#VALUE!</v>
      </c>
      <c r="BN173" s="172" t="e">
        <f>IF(VLOOKUP(T_BilanSocial[[#This Row],[NumL]],T_TraitDi[#Data],COLUMN(T_TraitDi[[#This Row],[Colonne31]]),FALSE)=0,"",TEXT(IFERROR(VLOOKUP(T_BilanSocial[[#This Row],[NumL]],T_TraitDi[#Data],COLUMN(T_TraitDi[[#This Row],[Colonne31]]),FALSE),""),"[hh]:mm"))</f>
        <v>#VALUE!</v>
      </c>
      <c r="BO173" s="172" t="e">
        <f>IF(VLOOKUP(T_BilanSocial[[#This Row],[NumL]],T_TraitDi[#Data],COLUMN(T_TraitDi[[#This Row],[Colonne32]]),FALSE)=0,"",TEXT(IFERROR(VLOOKUP(T_BilanSocial[[#This Row],[NumL]],T_TraitDi[#Data],COLUMN(T_TraitDi[[#This Row],[Colonne32]]),FALSE),""),"[hh]:mm"))</f>
        <v>#VALUE!</v>
      </c>
      <c r="BP173" s="172" t="e">
        <f>VLOOKUP(T_BilanSocial[[#This Row],[NumL]],T_TraitDi[#Data],COLUMN(T_TraitDi[NbJTot]),FALSE)</f>
        <v>#N/A</v>
      </c>
      <c r="BQ173" s="174" t="str">
        <f>IFERROR(VLOOKUP(T_BilanSocial[[#This Row],[NumL]],T_TraitDi[#Data],COLUMN(T_TraitDi[[#This Row],[NbJTW]]),FALSE),"")</f>
        <v/>
      </c>
      <c r="BR173" s="174" t="e">
        <f>IF(VLOOKUP(T_BilanSocial[[#This Row],[NumL]],T_TraitDi[#Data],COLUMN(T_TraitDi[[#This Row],[NbhTW]]),FALSE)=0,"",TEXT(IFERROR(VLOOKUP(T_BilanSocial[[#This Row],[NumL]],T_TraitDi[#Data],COLUMN(T_TraitDi[[#This Row],[NbhTW]]),FALSE),""),"[hh]:mm"))</f>
        <v>#VALUE!</v>
      </c>
      <c r="BS173" s="174" t="e">
        <f>IF(VLOOKUP(T_BilanSocial[[#This Row],[NumL]],T_TraitDi[#Data],COLUMN(T_TraitDi[[#This Row],[Nbhheb]]),FALSE)=0,"",TEXT(IFERROR(VLOOKUP($A173,T_TraitDi[#Data],COLUMN(T_TraitDi[[#This Row],[Nbhheb]]),FALSE),""),"[hh]:mm"))</f>
        <v>#VALUE!</v>
      </c>
      <c r="BT173" s="182" t="str">
        <f>IFERROR(VLOOKUP(VLOOKUP($A173,T_TraitDi[#Data],COLUMN(T_TraitDi[[#This Row],[Type1]]),FALSE),TypeTW,2,FALSE),"")</f>
        <v/>
      </c>
      <c r="BU173" s="182" t="str">
        <f>IFERROR(VLOOKUP($A173,T_TraitDi[#Data],COLUMN(T_TraitDi[[#This Row],[Rue1]]),FALSE),"")</f>
        <v/>
      </c>
      <c r="BV173" s="173" t="str">
        <f>IFERROR(VLOOKUP($A173,T_TraitDi[#Data],COLUMN(T_TraitDi[[#This Row],[CP1]]),FALSE),"")</f>
        <v/>
      </c>
      <c r="BW173" s="173" t="str">
        <f>IFERROR(VLOOKUP($A173,T_TraitDi[#Data],COLUMN(T_TraitDi[[#This Row],[VILLE1]]),FALSE),"")</f>
        <v/>
      </c>
      <c r="BX173" s="182" t="str">
        <f>IFERROR(VLOOKUP(VLOOKUP($A173,T_TraitDi[#Data],COLUMN(T_TraitDi[[#This Row],[Type2]]),FALSE),TypeTW,2,FALSE),"")</f>
        <v/>
      </c>
      <c r="BY173" s="182" t="str">
        <f>IFERROR(VLOOKUP($A173,T_TraitDi[#Data],COLUMN(T_TraitDi[[#This Row],[Rue2]]),FALSE),"")</f>
        <v/>
      </c>
      <c r="BZ173" s="173" t="str">
        <f>IFERROR(VLOOKUP($A173,T_TraitDi[#Data],COLUMN(T_TraitDi[[#This Row],[CP2]]),FALSE),"")</f>
        <v/>
      </c>
      <c r="CA173" s="173" t="str">
        <f>IFERROR(VLOOKUP($A173,T_TraitDi[#Data],COLUMN(T_TraitDi[[#This Row],[VILLE2]]),FALSE),"")</f>
        <v/>
      </c>
      <c r="CB173" s="182" t="str">
        <f>IF(VLOOKUP(T_BilanSocial[[#This Row],[NumL]],T_Equipement[#Data],COLUMN(T_Equipement[[#This Row],[PC]]),FALSE)="","Aucun équipement spécifique directement lié au télétravail",VLOOKUP(T_BilanSocial[[#This Row],[NumL]],T_Equipement[#Data],COLUMN(T_Equipement[[#This Row],[PC]]),FALSE))</f>
        <v xml:space="preserve">15-550	</v>
      </c>
      <c r="CC173" s="166" t="str">
        <f>IFERROR(IF(VLOOKUP(T_BilanSocial[[#This Row],[NumL]],T_TraitDi[#Data],COLUMN(T_TraitDi[[#This Row],[Plan]]),FALSE)="OK","Un planning spécifique de télétravail est annexé à la présente convention.",""),"")</f>
        <v/>
      </c>
      <c r="CD173" s="258" t="s">
        <v>3436</v>
      </c>
      <c r="CE173" s="164" t="e">
        <f>IF(VLOOKUP(T_BilanSocial[[#This Row],[NumL]],T_suiviDi[#Data],COLUMN(T_suiviDi[[#This Row],[Entité]]),FALSE)="","",VLOOKUP(T_BilanSocial[[#This Row],[NumL]],T_suiviDi[#Data],COLUMN(T_suiviDi[[#This Row],[Entité]]),FALSE))</f>
        <v>#VALUE!</v>
      </c>
      <c r="CF173" s="164" t="str">
        <f>IF(VLOOKUP(T_BilanSocial[[#This Row],[NumL]],T_Commission[#Data],COLUMN(T_Commission[[#This Row],[envoi confirm TW]]),FALSE)="","",VLOOKUP(T_BilanSocial[[#This Row],[NumL]],T_Commission[#Data],COLUMN(T_Commission[[#This Row],[envoi confirm TW]]),FALSE))</f>
        <v>Oui</v>
      </c>
      <c r="CG17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3" s="262" t="str">
        <f>T_BilanSocial[[#This Row],[Nom]]&amp;T_BilanSocial[[#This Row],[Prenom]]</f>
        <v/>
      </c>
      <c r="CI173" s="262">
        <f>VLOOKUP(T_BilanSocial[[#This Row],[NumL]],T_Commission[#Data],COLUMN(T_Commission[Commentaire]),FALSE)</f>
        <v>0</v>
      </c>
      <c r="CJ173" s="262" t="str">
        <f>IF(VLOOKUP(T_BilanSocial[[#This Row],[NumL]],T_Commission[#Data],COLUMN(T_Commission[Encadrant Email]),FALSE)="","",VLOOKUP(T_BilanSocial[[#This Row],[NumL]],T_Commission[#Data],COLUMN(T_Commission[Encadrant Email]),FALSE))</f>
        <v/>
      </c>
      <c r="CK173" s="340" t="str">
        <f>IF(T_BilanSocial[[#This Row],[Final]]&lt;&gt;"",VLOOKUP(T_BilanSocial[[#This Row],[NumL]],T_suiviDi[#Data],COLUMN((T_suiviDi[Statut])),FALSE),"")</f>
        <v/>
      </c>
    </row>
    <row r="174" spans="1:89" s="106" customFormat="1" ht="24.75" customHeight="1" x14ac:dyDescent="0.25">
      <c r="A174" s="160">
        <v>171</v>
      </c>
      <c r="B174" s="161" t="str">
        <f t="shared" si="22"/>
        <v/>
      </c>
      <c r="C174" s="162" t="s">
        <v>173</v>
      </c>
      <c r="D174" s="95" t="e">
        <f>IF(VLOOKUP(T_BilanSocial[[#This Row],[NumL]],T_TraitDi[#Data],COLUMN(T_TraitDi[[#This Row],[WebC]]),FALSE)="","",VLOOKUP(T_BilanSocial[[#This Row],[NumL]],T_TraitDi[#Data],COLUMN(T_TraitDi[[#This Row],[WebC]]),FALSE))</f>
        <v>#VALUE!</v>
      </c>
      <c r="E174" s="163" t="str">
        <f t="shared" si="23"/>
        <v>12 janvier 2021</v>
      </c>
      <c r="F174" s="96" t="str">
        <f>IF(T_BilanSocial[[#This Row],[Final]]&lt;&gt;"",VLOOKUP(T_BilanSocial[[#This Row],[NumL]],T_suiviDi[#Data],COLUMN((T_suiviDi[Civ.])),FALSE),"")</f>
        <v/>
      </c>
      <c r="G174" s="96" t="str">
        <f>IF(T_BilanSocial[[#This Row],[Final]]&lt;&gt;"",VLOOKUP(T_BilanSocial[[#This Row],[NumL]],T_suiviDi[#Data],COLUMN((T_suiviDi[Nom])),FALSE),"")</f>
        <v/>
      </c>
      <c r="H174" s="96" t="str">
        <f>IF(T_BilanSocial[[#This Row],[Final]]&lt;&gt;"",VLOOKUP(T_BilanSocial[[#This Row],[NumL]],T_suiviDi[#Data],COLUMN((T_suiviDi[Prénom])),FALSE),"")</f>
        <v/>
      </c>
      <c r="I174" s="96" t="str">
        <f>IFERROR(VLOOKUP(T_BilanSocial[[#This Row],[Zone_Bilan]],T_P_BilanSocial[#Data],COLUMN(T_P_BilanSocial[[#This Row],[Numero_SIHAM]]),FALSE),"")</f>
        <v/>
      </c>
      <c r="J174" s="96" t="str">
        <f>IFERROR(VLOOKUP(T_BilanSocial[[#This Row],[Zone_Bilan]],T_P_BilanSocial[#Data],COLUMN(T_P_BilanSocial[[#This Row],[Sexe]]),FALSE),"")</f>
        <v/>
      </c>
      <c r="K174" s="97" t="str">
        <f>IFERROR(VLOOKUP(T_BilanSocial[[#This Row],[Zone_Bilan]],T_P_BilanSocial[#Data],COLUMN(T_P_BilanSocial[[#This Row],[Categorie]]),FALSE),"")</f>
        <v/>
      </c>
      <c r="L174" s="96" t="str">
        <f>IFERROR(VLOOKUP(T_BilanSocial[[#This Row],[Zone_Bilan]],T_P_BilanSocial[#Data],COLUMN(T_P_BilanSocial[[#This Row],[Statut]]),FALSE),"")</f>
        <v/>
      </c>
      <c r="M174" s="96" t="str">
        <f>IFERROR(VLOOKUP(T_BilanSocial[[#This Row],[Zone_Bilan]],T_P_BilanSocial[#Data],COLUMN(T_P_BilanSocial[[#This Row],[Filiere]]),FALSE),"")</f>
        <v/>
      </c>
      <c r="N174" s="96" t="e">
        <f>VLOOKUP(T_BilanSocial[[#This Row],[NumL]],T_TraitDi[#Data],COLUMN(T_TraitDi[EXP]),FALSE)</f>
        <v>#N/A</v>
      </c>
      <c r="O174" s="96" t="e">
        <f>VLOOKUP(T_BilanSocial[[#This Row],[NumL]],T_TraitDi[#Data],COLUMN(T_TraitDi[FORM]),FALSE)</f>
        <v>#N/A</v>
      </c>
      <c r="P174" s="96" t="str">
        <f>IF(T_BilanSocial[[#This Row],[Final]]&lt;&gt;"",VLOOKUP(T_BilanSocial[[#This Row],[NumL]],T_suiviDi[#Data],COLUMN((T_suiviDi[Email])),FALSE),"")</f>
        <v/>
      </c>
      <c r="Q174" s="164" t="e">
        <f t="shared" si="28"/>
        <v>#N/A</v>
      </c>
      <c r="R174" s="164" t="e">
        <f t="shared" si="29"/>
        <v>#N/A</v>
      </c>
      <c r="S174" s="164" t="e">
        <f>IF(VLOOKUP(T_BilanSocial[[#This Row],[NumL]],T_suiviDi[#Data],COLUMN(T_suiviDi[[#This Row],[Service ]]),FALSE)="","",VLOOKUP(T_BilanSocial[[#This Row],[NumL]],T_suiviDi[#Data],COLUMN(T_suiviDi[[#This Row],[Service ]]),FALSE))</f>
        <v>#VALUE!</v>
      </c>
      <c r="T174" s="164" t="str">
        <f t="shared" si="24"/>
        <v>01 septembre 2021</v>
      </c>
      <c r="U174" s="164" t="str">
        <f t="shared" si="25"/>
        <v>30 novembre 2021</v>
      </c>
      <c r="V174" s="164" t="str">
        <f t="shared" si="31"/>
        <v>30 novembre 2021</v>
      </c>
      <c r="W174" s="176" t="e">
        <f>IF(VLOOKUP(T_BilanSocial[[#This Row],[NumL]],T_TraitDi[#Data],COLUMN(T_TraitDi[[#This Row],[M1]]),FALSE)="","",VLOOKUP(T_BilanSocial[[#This Row],[NumL]],T_TraitDi[#Data],COLUMN(T_TraitDi[[#This Row],[M1]]),FALSE))</f>
        <v>#VALUE!</v>
      </c>
      <c r="X174" s="176" t="e">
        <f>IF(VLOOKUP(T_BilanSocial[[#This Row],[NumL]],T_TraitDi[#Data],COLUMN(T_TraitDi[[#This Row],[M2]]),FALSE)="","",VLOOKUP(T_BilanSocial[[#This Row],[NumL]],T_TraitDi[#Data],COLUMN(T_TraitDi[[#This Row],[M2]]),FALSE))</f>
        <v>#VALUE!</v>
      </c>
      <c r="Y174" s="176" t="e">
        <f>IF(VLOOKUP(T_BilanSocial[[#This Row],[NumL]],T_TraitDi[#Data],COLUMN(T_TraitDi[[#This Row],[M3]]),FALSE)="","",VLOOKUP(T_BilanSocial[[#This Row],[NumL]],T_TraitDi[#Data],COLUMN(T_TraitDi[[#This Row],[M3]]),FALSE))</f>
        <v>#VALUE!</v>
      </c>
      <c r="Z174" s="176" t="str">
        <f t="shared" si="27"/>
        <v/>
      </c>
      <c r="AA174" s="176" t="e">
        <f>IF(VLOOKUP(T_BilanSocial[[#This Row],[NumL]],T_TraitDi[#Data],COLUMN(T_TraitDi[[#This Row],[M5]]),FALSE)="","",VLOOKUP(T_BilanSocial[[#This Row],[NumL]],T_TraitDi[#Data],COLUMN(T_TraitDi[[#This Row],[M5]]),FALSE))</f>
        <v>#VALUE!</v>
      </c>
      <c r="AB174" s="176" t="e">
        <f>IF(VLOOKUP(T_BilanSocial[[#This Row],[NumL]],T_TraitDi[#Data],COLUMN(T_TraitDi[[#This Row],[M6]]),FALSE)="","",VLOOKUP(T_BilanSocial[[#This Row],[NumL]],T_TraitDi[#Data],COLUMN(T_TraitDi[[#This Row],[M6]]),FALSE))</f>
        <v>#VALUE!</v>
      </c>
      <c r="AC174" s="165" t="e">
        <f t="shared" si="26"/>
        <v>#VALUE!</v>
      </c>
      <c r="AD174" s="188" t="str">
        <f>IFERROR(TEXT(VLOOKUP(T_BilanSocial[[#This Row],[NumL]],T_TraitDi[#Data],COLUMN(T_TraitDi[[#This Row],[Q2]]),FALSE),"###%"),"")</f>
        <v/>
      </c>
      <c r="AE174" s="97" t="e">
        <f>VLOOKUP(T_BilanSocial[[#This Row],[NumL]],T_TraitDi[#Data],COLUMN(T_TraitDi[[#This Row],[Reg Ponct]]),FALSE)</f>
        <v>#VALUE!</v>
      </c>
      <c r="AF174" s="97" t="e">
        <f>VLOOKUP(T_BilanSocial[NumL],T_TraitDi[#Data],COLUMN(T_TraitDi[[#This Row],[Jours flottants]]),FALSE)</f>
        <v>#VALUE!</v>
      </c>
      <c r="AG174" s="97" t="str">
        <f>IFERROR(VLOOKUP(T_BilanSocial[[#This Row],[NumL]],T_TraitDi[#Data],COLUMN(T_TraitDi[[#This Row],[Lundi]]),FALSE),"")</f>
        <v/>
      </c>
      <c r="AH174" s="172" t="e">
        <f>IF(VLOOKUP(T_BilanSocial[[#This Row],[NumL]],T_TraitDi[#Data],COLUMN(T_TraitDi[[#This Row],[Colonne3]]),FALSE)=0,"",TEXT(IFERROR(VLOOKUP(T_BilanSocial[[#This Row],[NumL]],T_TraitDi[#Data],COLUMN(T_TraitDi[[#This Row],[Colonne3]]),FALSE),""),"[hh]:mm"))</f>
        <v>#VALUE!</v>
      </c>
      <c r="AI174" s="172" t="e">
        <f>IF(VLOOKUP(T_BilanSocial[[#This Row],[NumL]],T_TraitDi[#Data],COLUMN(T_TraitDi[[#This Row],[Colonne4]]),FALSE)=0,"",TEXT(IFERROR(VLOOKUP(T_BilanSocial[[#This Row],[NumL]],T_TraitDi[#Data],COLUMN(T_TraitDi[[#This Row],[Colonne4]]),FALSE),""),"[hh]:mm"))</f>
        <v>#VALUE!</v>
      </c>
      <c r="AJ174" s="172" t="e">
        <f>IF(VLOOKUP(T_BilanSocial[[#This Row],[NumL]],T_TraitDi[#Data],COLUMN(T_TraitDi[[#This Row],[Colonne5]]),FALSE)=0,"",TEXT(IFERROR(VLOOKUP(T_BilanSocial[[#This Row],[NumL]],T_TraitDi[#Data],COLUMN(T_TraitDi[[#This Row],[Colonne5]]),FALSE),""),"[hh]:mm"))</f>
        <v>#VALUE!</v>
      </c>
      <c r="AK174" s="172" t="e">
        <f>IF(VLOOKUP(T_BilanSocial[[#This Row],[NumL]],T_TraitDi[#Data],COLUMN(T_TraitDi[[#This Row],[Colonne6]]),FALSE)=0,"",TEXT(IFERROR(VLOOKUP(T_BilanSocial[[#This Row],[NumL]],T_TraitDi[#Data],COLUMN(T_TraitDi[[#This Row],[Colonne6]]),FALSE),""),"[hh]:mm"))</f>
        <v>#VALUE!</v>
      </c>
      <c r="AL174" s="172" t="e">
        <f>IF(VLOOKUP(T_BilanSocial[[#This Row],[NumL]],T_TraitDi[#Data],COLUMN(T_TraitDi[[#This Row],[Colonne7]]),FALSE)=0,"",TEXT(IFERROR(VLOOKUP(T_BilanSocial[[#This Row],[NumL]],T_TraitDi[#Data],COLUMN(T_TraitDi[[#This Row],[Colonne7]]),FALSE),""),"[hh]:mm"))</f>
        <v>#VALUE!</v>
      </c>
      <c r="AM174" s="172" t="e">
        <f>IF(VLOOKUP(T_BilanSocial[[#This Row],[NumL]],T_TraitDi[#Data],COLUMN(T_TraitDi[[#This Row],[Colonne8]]),FALSE)=0,"",TEXT(IFERROR(VLOOKUP(T_BilanSocial[[#This Row],[NumL]],T_TraitDi[#Data],COLUMN(T_TraitDi[[#This Row],[Colonne8]]),FALSE),""),"[hh]:mm"))</f>
        <v>#VALUE!</v>
      </c>
      <c r="AN174" s="172" t="str">
        <f>IFERROR(VLOOKUP(T_BilanSocial[[#This Row],[NumL]],T_TraitDi[#Data],COLUMN(T_TraitDi[[#This Row],[Mardi]]),FALSE),"")</f>
        <v/>
      </c>
      <c r="AO174" s="172" t="e">
        <f>IF(VLOOKUP(T_BilanSocial[[#This Row],[NumL]],T_TraitDi[#Data],COLUMN(T_TraitDi[[#This Row],[Colonne1]]),FALSE)=0,"",TEXT(IFERROR(VLOOKUP(T_BilanSocial[[#This Row],[NumL]],T_TraitDi[#Data],COLUMN(T_TraitDi[[#This Row],[Colonne1]]),FALSE),""),"[hh]:mm"))</f>
        <v>#VALUE!</v>
      </c>
      <c r="AP174" s="172" t="e">
        <f>IF(VLOOKUP(T_BilanSocial[[#This Row],[NumL]],T_TraitDi[#Data],COLUMN(T_TraitDi[[#This Row],[Colonne9]]),FALSE)=0,"",TEXT(IFERROR(VLOOKUP(T_BilanSocial[[#This Row],[NumL]],T_TraitDi[#Data],COLUMN(T_TraitDi[[#This Row],[Colonne9]]),FALSE),""),"[hh]:mm"))</f>
        <v>#VALUE!</v>
      </c>
      <c r="AQ174" s="172" t="str">
        <f>IFERROR(VLOOKUP(T_BilanSocial[[#This Row],[NumL]],T_TraitDi[#Data],COLUMN(T_TraitDi[[#This Row],[Colonne10]]),FALSE),"")</f>
        <v/>
      </c>
      <c r="AR174" s="172" t="e">
        <f>IF(VLOOKUP(T_BilanSocial[[#This Row],[NumL]],T_TraitDi[#Data],COLUMN(T_TraitDi[[#This Row],[Colonne11]]),FALSE)=0,"",TEXT(IFERROR(VLOOKUP(T_BilanSocial[[#This Row],[NumL]],T_TraitDi[#Data],COLUMN(T_TraitDi[[#This Row],[Colonne11]]),FALSE),""),"[hh]:mm"))</f>
        <v>#VALUE!</v>
      </c>
      <c r="AS174" s="172" t="e">
        <f>IF(VLOOKUP(T_BilanSocial[[#This Row],[NumL]],T_TraitDi[#Data],COLUMN(T_TraitDi[[#This Row],[Colonne12]]),FALSE)=0,"",TEXT(IFERROR(VLOOKUP(T_BilanSocial[[#This Row],[NumL]],T_TraitDi[#Data],COLUMN(T_TraitDi[[#This Row],[Colonne12]]),FALSE),""),"[hh]:mm"))</f>
        <v>#VALUE!</v>
      </c>
      <c r="AT174" s="172" t="e">
        <f>IF(VLOOKUP(T_BilanSocial[[#This Row],[NumL]],T_TraitDi[#Data],COLUMN(T_TraitDi[[#This Row],[Colonne14]]),FALSE)=0,"",TEXT(IFERROR(VLOOKUP(T_BilanSocial[[#This Row],[NumL]],T_TraitDi[#Data],COLUMN(T_TraitDi[[#This Row],[Colonne14]]),FALSE),""),"[hh]:mm"))</f>
        <v>#VALUE!</v>
      </c>
      <c r="AU174" s="172" t="str">
        <f>IFERROR(VLOOKUP(T_BilanSocial[[#This Row],[NumL]],T_TraitDi[#Data],COLUMN(T_TraitDi[[#This Row],[Mercredi]]),FALSE),"")</f>
        <v/>
      </c>
      <c r="AV174" s="172" t="e">
        <f>IF(VLOOKUP(T_BilanSocial[[#This Row],[NumL]],T_TraitDi[#Data],COLUMN(T_TraitDi[[#This Row],[Colonne15]]),FALSE)=0,"",TEXT(IFERROR(VLOOKUP(T_BilanSocial[[#This Row],[NumL]],T_TraitDi[#Data],COLUMN(T_TraitDi[[#This Row],[Colonne15]]),FALSE),""),"[hh]:mm"))</f>
        <v>#VALUE!</v>
      </c>
      <c r="AW174" s="172" t="e">
        <f>IF(VLOOKUP(T_BilanSocial[[#This Row],[NumL]],T_TraitDi[#Data],COLUMN(T_TraitDi[[#This Row],[Colonne16]]),FALSE)=0,"",TEXT(IFERROR(VLOOKUP(T_BilanSocial[[#This Row],[NumL]],T_TraitDi[#Data],COLUMN(T_TraitDi[[#This Row],[Colonne16]]),FALSE),""),"[hh]:mm"))</f>
        <v>#VALUE!</v>
      </c>
      <c r="AX174" s="172" t="str">
        <f>IFERROR(VLOOKUP(T_BilanSocial[[#This Row],[NumL]],T_TraitDi[#Data],COLUMN(T_TraitDi[[#This Row],[Colonne17]]),FALSE),"")</f>
        <v/>
      </c>
      <c r="AY174" s="172" t="e">
        <f>IF(VLOOKUP(T_BilanSocial[[#This Row],[NumL]],T_TraitDi[#Data],COLUMN(T_TraitDi[[#This Row],[Colonne18]]),FALSE)=0,"",TEXT(IFERROR(VLOOKUP(T_BilanSocial[[#This Row],[NumL]],T_TraitDi[#Data],COLUMN(T_TraitDi[[#This Row],[Colonne18]]),FALSE),""),"[hh]:mm"))</f>
        <v>#VALUE!</v>
      </c>
      <c r="AZ174" s="172" t="e">
        <f>IF(VLOOKUP(T_BilanSocial[[#This Row],[NumL]],T_TraitDi[#Data],COLUMN(T_TraitDi[[#This Row],[Colonne19]]),FALSE)=0,"",TEXT(IFERROR(VLOOKUP(T_BilanSocial[[#This Row],[NumL]],T_TraitDi[#Data],COLUMN(T_TraitDi[[#This Row],[Colonne19]]),FALSE),""),"[hh]:mm"))</f>
        <v>#VALUE!</v>
      </c>
      <c r="BA174" s="172" t="e">
        <f>IF(VLOOKUP(T_BilanSocial[[#This Row],[NumL]],T_TraitDi[#Data],COLUMN(T_TraitDi[[#This Row],[Colonne20]]),FALSE)=0,"",TEXT(IFERROR(VLOOKUP(T_BilanSocial[[#This Row],[NumL]],T_TraitDi[#Data],COLUMN(T_TraitDi[[#This Row],[Colonne20]]),FALSE),""),"[hh]:mm"))</f>
        <v>#VALUE!</v>
      </c>
      <c r="BB174" s="178" t="str">
        <f>IFERROR(VLOOKUP(T_BilanSocial[[#This Row],[NumL]],T_TraitDi[#Data],COLUMN(T_TraitDi[[#This Row],[Jeudi]]),FALSE),"")</f>
        <v/>
      </c>
      <c r="BC174" s="178" t="e">
        <f>IF(VLOOKUP(T_BilanSocial[[#This Row],[NumL]],T_TraitDi[#Data],COLUMN(T_TraitDi[[#This Row],[Colonne21]]),FALSE)=0,"",TEXT(IFERROR(VLOOKUP(T_BilanSocial[[#This Row],[NumL]],T_TraitDi[#Data],COLUMN(T_TraitDi[[#This Row],[Colonne21]]),FALSE),""),"[hh]:mm"))</f>
        <v>#VALUE!</v>
      </c>
      <c r="BD174" s="178" t="e">
        <f>IF(VLOOKUP(T_BilanSocial[[#This Row],[NumL]],T_TraitDi[#Data],COLUMN(T_TraitDi[[#This Row],[Colonne22]]),FALSE)=0,"",TEXT(IFERROR(VLOOKUP(T_BilanSocial[[#This Row],[NumL]],T_TraitDi[#Data],COLUMN(T_TraitDi[[#This Row],[Colonne22]]),FALSE),""),"[hh]:mm"))</f>
        <v>#VALUE!</v>
      </c>
      <c r="BE174" s="178" t="str">
        <f>IFERROR(VLOOKUP(T_BilanSocial[[#This Row],[NumL]],T_TraitDi[#Data],COLUMN(T_TraitDi[[#This Row],[Colonne23]]),FALSE),"")</f>
        <v/>
      </c>
      <c r="BF174" s="178" t="e">
        <f>IF(VLOOKUP(T_BilanSocial[[#This Row],[NumL]],T_TraitDi[#Data],COLUMN(T_TraitDi[[#This Row],[Colonne24]]),FALSE)=0,"",TEXT(IFERROR(VLOOKUP(T_BilanSocial[[#This Row],[NumL]],T_TraitDi[#Data],COLUMN(T_TraitDi[[#This Row],[Colonne24]]),FALSE),""),"[hh]:mm"))</f>
        <v>#VALUE!</v>
      </c>
      <c r="BG174" s="178" t="e">
        <f>IF(VLOOKUP(T_BilanSocial[[#This Row],[NumL]],T_TraitDi[#Data],COLUMN(T_TraitDi[[#This Row],[Colonne25]]),FALSE)=0,"",TEXT(IFERROR(VLOOKUP(T_BilanSocial[[#This Row],[NumL]],T_TraitDi[#Data],COLUMN(T_TraitDi[[#This Row],[Colonne25]]),FALSE),""),"[hh]:mm"))</f>
        <v>#VALUE!</v>
      </c>
      <c r="BH174" s="178" t="e">
        <f>IF(VLOOKUP(T_BilanSocial[[#This Row],[NumL]],T_TraitDi[#Data],COLUMN(T_TraitDi[[#This Row],[Colonne26]]),FALSE)=0,"",TEXT(IFERROR(VLOOKUP(T_BilanSocial[[#This Row],[NumL]],T_TraitDi[#Data],COLUMN(T_TraitDi[[#This Row],[Colonne26]]),FALSE),""),"[hh]:mm"))</f>
        <v>#VALUE!</v>
      </c>
      <c r="BI174" s="172" t="str">
        <f>IFERROR(VLOOKUP(T_BilanSocial[[#This Row],[NumL]],T_TraitDi[#Data],COLUMN(T_TraitDi[[#This Row],[Vendredi]]),FALSE),"")</f>
        <v/>
      </c>
      <c r="BJ174" s="172" t="e">
        <f>IF(VLOOKUP(T_BilanSocial[[#This Row],[NumL]],T_TraitDi[#Data],COLUMN(T_TraitDi[[#This Row],[Colonne27]]),FALSE)=0,"",TEXT(IFERROR(VLOOKUP(T_BilanSocial[[#This Row],[NumL]],T_TraitDi[#Data],COLUMN(T_TraitDi[[#This Row],[Colonne27]]),FALSE),""),"[hh]:mm"))</f>
        <v>#VALUE!</v>
      </c>
      <c r="BK174" s="172" t="e">
        <f>IF(VLOOKUP(T_BilanSocial[[#This Row],[NumL]],T_TraitDi[#Data],COLUMN(T_TraitDi[[#This Row],[Colonne28]]),FALSE)=0,"",TEXT(IFERROR(VLOOKUP(T_BilanSocial[[#This Row],[NumL]],T_TraitDi[#Data],COLUMN(T_TraitDi[[#This Row],[Colonne28]]),FALSE),""),"[hh]:mm"))</f>
        <v>#VALUE!</v>
      </c>
      <c r="BL174" s="172" t="str">
        <f>IFERROR(VLOOKUP(T_BilanSocial[[#This Row],[NumL]],T_TraitDi[#Data],COLUMN(T_TraitDi[[#This Row],[Colonne29]]),FALSE),"")</f>
        <v/>
      </c>
      <c r="BM174" s="172" t="e">
        <f>IF(VLOOKUP(T_BilanSocial[[#This Row],[NumL]],T_TraitDi[#Data],COLUMN(T_TraitDi[[#This Row],[Colonne30]]),FALSE)=0,"",TEXT(IFERROR(VLOOKUP(T_BilanSocial[[#This Row],[NumL]],T_TraitDi[#Data],COLUMN(T_TraitDi[[#This Row],[Colonne30]]),FALSE),""),"[hh]:mm"))</f>
        <v>#VALUE!</v>
      </c>
      <c r="BN174" s="172" t="e">
        <f>IF(VLOOKUP(T_BilanSocial[[#This Row],[NumL]],T_TraitDi[#Data],COLUMN(T_TraitDi[[#This Row],[Colonne31]]),FALSE)=0,"",TEXT(IFERROR(VLOOKUP(T_BilanSocial[[#This Row],[NumL]],T_TraitDi[#Data],COLUMN(T_TraitDi[[#This Row],[Colonne31]]),FALSE),""),"[hh]:mm"))</f>
        <v>#VALUE!</v>
      </c>
      <c r="BO174" s="172" t="e">
        <f>IF(VLOOKUP(T_BilanSocial[[#This Row],[NumL]],T_TraitDi[#Data],COLUMN(T_TraitDi[[#This Row],[Colonne32]]),FALSE)=0,"",TEXT(IFERROR(VLOOKUP(T_BilanSocial[[#This Row],[NumL]],T_TraitDi[#Data],COLUMN(T_TraitDi[[#This Row],[Colonne32]]),FALSE),""),"[hh]:mm"))</f>
        <v>#VALUE!</v>
      </c>
      <c r="BP174" s="172" t="e">
        <f>VLOOKUP(T_BilanSocial[[#This Row],[NumL]],T_TraitDi[#Data],COLUMN(T_TraitDi[NbJTot]),FALSE)</f>
        <v>#N/A</v>
      </c>
      <c r="BQ174" s="174" t="str">
        <f>IFERROR(VLOOKUP(T_BilanSocial[[#This Row],[NumL]],T_TraitDi[#Data],COLUMN(T_TraitDi[[#This Row],[NbJTW]]),FALSE),"")</f>
        <v/>
      </c>
      <c r="BR174" s="174" t="e">
        <f>IF(VLOOKUP(T_BilanSocial[[#This Row],[NumL]],T_TraitDi[#Data],COLUMN(T_TraitDi[[#This Row],[NbhTW]]),FALSE)=0,"",TEXT(IFERROR(VLOOKUP(T_BilanSocial[[#This Row],[NumL]],T_TraitDi[#Data],COLUMN(T_TraitDi[[#This Row],[NbhTW]]),FALSE),""),"[hh]:mm"))</f>
        <v>#VALUE!</v>
      </c>
      <c r="BS174" s="174" t="e">
        <f>IF(VLOOKUP(T_BilanSocial[[#This Row],[NumL]],T_TraitDi[#Data],COLUMN(T_TraitDi[[#This Row],[Nbhheb]]),FALSE)=0,"",TEXT(IFERROR(VLOOKUP($A174,T_TraitDi[#Data],COLUMN(T_TraitDi[[#This Row],[Nbhheb]]),FALSE),""),"[hh]:mm"))</f>
        <v>#VALUE!</v>
      </c>
      <c r="BT174" s="182" t="str">
        <f>IFERROR(VLOOKUP(VLOOKUP($A174,T_TraitDi[#Data],COLUMN(T_TraitDi[[#This Row],[Type1]]),FALSE),TypeTW,2,FALSE),"")</f>
        <v/>
      </c>
      <c r="BU174" s="182" t="str">
        <f>IFERROR(VLOOKUP($A174,T_TraitDi[#Data],COLUMN(T_TraitDi[[#This Row],[Rue1]]),FALSE),"")</f>
        <v/>
      </c>
      <c r="BV174" s="173" t="str">
        <f>IFERROR(VLOOKUP($A174,T_TraitDi[#Data],COLUMN(T_TraitDi[[#This Row],[CP1]]),FALSE),"")</f>
        <v/>
      </c>
      <c r="BW174" s="173" t="str">
        <f>IFERROR(VLOOKUP($A174,T_TraitDi[#Data],COLUMN(T_TraitDi[[#This Row],[VILLE1]]),FALSE),"")</f>
        <v/>
      </c>
      <c r="BX174" s="182" t="str">
        <f>IFERROR(VLOOKUP(VLOOKUP($A174,T_TraitDi[#Data],COLUMN(T_TraitDi[[#This Row],[Type2]]),FALSE),TypeTW,2,FALSE),"")</f>
        <v/>
      </c>
      <c r="BY174" s="182" t="str">
        <f>IFERROR(VLOOKUP($A174,T_TraitDi[#Data],COLUMN(T_TraitDi[[#This Row],[Rue2]]),FALSE),"")</f>
        <v/>
      </c>
      <c r="BZ174" s="173" t="str">
        <f>IFERROR(VLOOKUP($A174,T_TraitDi[#Data],COLUMN(T_TraitDi[[#This Row],[CP2]]),FALSE),"")</f>
        <v/>
      </c>
      <c r="CA174" s="173" t="str">
        <f>IFERROR(VLOOKUP($A174,T_TraitDi[#Data],COLUMN(T_TraitDi[[#This Row],[VILLE2]]),FALSE),"")</f>
        <v/>
      </c>
      <c r="CB174" s="182" t="str">
        <f>IF(VLOOKUP(T_BilanSocial[[#This Row],[NumL]],T_Equipement[#Data],COLUMN(T_Equipement[[#This Row],[PC]]),FALSE)="","Aucun équipement spécifique directement lié au télétravail",VLOOKUP(T_BilanSocial[[#This Row],[NumL]],T_Equipement[#Data],COLUMN(T_Equipement[[#This Row],[PC]]),FALSE))</f>
        <v xml:space="preserve">	20-372</v>
      </c>
      <c r="CC174" s="166" t="str">
        <f>IFERROR(IF(VLOOKUP(T_BilanSocial[[#This Row],[NumL]],T_TraitDi[#Data],COLUMN(T_TraitDi[[#This Row],[Plan]]),FALSE)="OK","Un planning spécifique de télétravail est annexé à la présente convention.",""),"")</f>
        <v/>
      </c>
      <c r="CD174" s="258" t="s">
        <v>3463</v>
      </c>
      <c r="CE174" s="164" t="e">
        <f>IF(VLOOKUP(T_BilanSocial[[#This Row],[NumL]],T_suiviDi[#Data],COLUMN(T_suiviDi[[#This Row],[Entité]]),FALSE)="","",VLOOKUP(T_BilanSocial[[#This Row],[NumL]],T_suiviDi[#Data],COLUMN(T_suiviDi[[#This Row],[Entité]]),FALSE))</f>
        <v>#VALUE!</v>
      </c>
      <c r="CF174" s="164" t="str">
        <f>IF(VLOOKUP(T_BilanSocial[[#This Row],[NumL]],T_Commission[#Data],COLUMN(T_Commission[[#This Row],[envoi confirm TW]]),FALSE)="","",VLOOKUP(T_BilanSocial[[#This Row],[NumL]],T_Commission[#Data],COLUMN(T_Commission[[#This Row],[envoi confirm TW]]),FALSE))</f>
        <v>Oui</v>
      </c>
      <c r="CG17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4" s="262" t="str">
        <f>T_BilanSocial[[#This Row],[Nom]]&amp;T_BilanSocial[[#This Row],[Prenom]]</f>
        <v/>
      </c>
      <c r="CI174" s="262">
        <f>VLOOKUP(T_BilanSocial[[#This Row],[NumL]],T_Commission[#Data],COLUMN(T_Commission[Commentaire]),FALSE)</f>
        <v>0</v>
      </c>
      <c r="CJ174" s="262" t="str">
        <f>IF(VLOOKUP(T_BilanSocial[[#This Row],[NumL]],T_Commission[#Data],COLUMN(T_Commission[Encadrant Email]),FALSE)="","",VLOOKUP(T_BilanSocial[[#This Row],[NumL]],T_Commission[#Data],COLUMN(T_Commission[Encadrant Email]),FALSE))</f>
        <v/>
      </c>
      <c r="CK174" s="340" t="str">
        <f>IF(T_BilanSocial[[#This Row],[Final]]&lt;&gt;"",VLOOKUP(T_BilanSocial[[#This Row],[NumL]],T_suiviDi[#Data],COLUMN((T_suiviDi[Statut])),FALSE),"")</f>
        <v/>
      </c>
    </row>
    <row r="175" spans="1:89" s="106" customFormat="1" ht="24.75" customHeight="1" x14ac:dyDescent="0.25">
      <c r="A175" s="160">
        <v>172</v>
      </c>
      <c r="B175" s="161" t="str">
        <f t="shared" si="22"/>
        <v/>
      </c>
      <c r="C175" s="162" t="s">
        <v>141</v>
      </c>
      <c r="D175" s="95" t="e">
        <f>IF(VLOOKUP(T_BilanSocial[[#This Row],[NumL]],T_TraitDi[#Data],COLUMN(T_TraitDi[[#This Row],[WebC]]),FALSE)="","",VLOOKUP(T_BilanSocial[[#This Row],[NumL]],T_TraitDi[#Data],COLUMN(T_TraitDi[[#This Row],[WebC]]),FALSE))</f>
        <v>#VALUE!</v>
      </c>
      <c r="E175" s="163" t="str">
        <f t="shared" si="23"/>
        <v>12 janvier 2021</v>
      </c>
      <c r="F175" s="96" t="str">
        <f>IF(T_BilanSocial[[#This Row],[Final]]&lt;&gt;"",VLOOKUP(T_BilanSocial[[#This Row],[NumL]],T_suiviDi[#Data],COLUMN((T_suiviDi[Civ.])),FALSE),"")</f>
        <v/>
      </c>
      <c r="G175" s="96" t="str">
        <f>IF(T_BilanSocial[[#This Row],[Final]]&lt;&gt;"",VLOOKUP(T_BilanSocial[[#This Row],[NumL]],T_suiviDi[#Data],COLUMN((T_suiviDi[Nom])),FALSE),"")</f>
        <v/>
      </c>
      <c r="H175" s="96" t="str">
        <f>IF(T_BilanSocial[[#This Row],[Final]]&lt;&gt;"",VLOOKUP(T_BilanSocial[[#This Row],[NumL]],T_suiviDi[#Data],COLUMN((T_suiviDi[Prénom])),FALSE),"")</f>
        <v/>
      </c>
      <c r="I175" s="96" t="str">
        <f>IFERROR(VLOOKUP(T_BilanSocial[[#This Row],[Zone_Bilan]],T_P_BilanSocial[#Data],COLUMN(T_P_BilanSocial[[#This Row],[Numero_SIHAM]]),FALSE),"")</f>
        <v/>
      </c>
      <c r="J175" s="96" t="str">
        <f>IFERROR(VLOOKUP(T_BilanSocial[[#This Row],[Zone_Bilan]],T_P_BilanSocial[#Data],COLUMN(T_P_BilanSocial[[#This Row],[Sexe]]),FALSE),"")</f>
        <v/>
      </c>
      <c r="K175" s="97" t="str">
        <f>IFERROR(VLOOKUP(T_BilanSocial[[#This Row],[Zone_Bilan]],T_P_BilanSocial[#Data],COLUMN(T_P_BilanSocial[[#This Row],[Categorie]]),FALSE),"")</f>
        <v/>
      </c>
      <c r="L175" s="96" t="str">
        <f>IFERROR(VLOOKUP(T_BilanSocial[[#This Row],[Zone_Bilan]],T_P_BilanSocial[#Data],COLUMN(T_P_BilanSocial[[#This Row],[Statut]]),FALSE),"")</f>
        <v/>
      </c>
      <c r="M175" s="96" t="str">
        <f>IFERROR(VLOOKUP(T_BilanSocial[[#This Row],[Zone_Bilan]],T_P_BilanSocial[#Data],COLUMN(T_P_BilanSocial[[#This Row],[Filiere]]),FALSE),"")</f>
        <v/>
      </c>
      <c r="N175" s="96" t="e">
        <f>VLOOKUP(T_BilanSocial[[#This Row],[NumL]],T_TraitDi[#Data],COLUMN(T_TraitDi[EXP]),FALSE)</f>
        <v>#N/A</v>
      </c>
      <c r="O175" s="96" t="e">
        <f>VLOOKUP(T_BilanSocial[[#This Row],[NumL]],T_TraitDi[#Data],COLUMN(T_TraitDi[FORM]),FALSE)</f>
        <v>#N/A</v>
      </c>
      <c r="P175" s="96" t="str">
        <f>IF(T_BilanSocial[[#This Row],[Final]]&lt;&gt;"",VLOOKUP(T_BilanSocial[[#This Row],[NumL]],T_suiviDi[#Data],COLUMN((T_suiviDi[Email])),FALSE),"")</f>
        <v/>
      </c>
      <c r="Q175" s="164" t="e">
        <f t="shared" si="28"/>
        <v>#N/A</v>
      </c>
      <c r="R175" s="164" t="e">
        <f t="shared" si="29"/>
        <v>#N/A</v>
      </c>
      <c r="S175" s="164" t="e">
        <f>IF(VLOOKUP(T_BilanSocial[[#This Row],[NumL]],T_suiviDi[#Data],COLUMN(T_suiviDi[[#This Row],[Service ]]),FALSE)="","",VLOOKUP(T_BilanSocial[[#This Row],[NumL]],T_suiviDi[#Data],COLUMN(T_suiviDi[[#This Row],[Service ]]),FALSE))</f>
        <v>#VALUE!</v>
      </c>
      <c r="T175" s="164" t="str">
        <f t="shared" si="24"/>
        <v>01 septembre 2021</v>
      </c>
      <c r="U175" s="164" t="str">
        <f t="shared" si="25"/>
        <v>30 novembre 2021</v>
      </c>
      <c r="V175" s="164" t="str">
        <f t="shared" si="31"/>
        <v>30 novembre 2021</v>
      </c>
      <c r="W175" s="176" t="e">
        <f>IF(VLOOKUP(T_BilanSocial[[#This Row],[NumL]],T_TraitDi[#Data],COLUMN(T_TraitDi[[#This Row],[M1]]),FALSE)="","",VLOOKUP(T_BilanSocial[[#This Row],[NumL]],T_TraitDi[#Data],COLUMN(T_TraitDi[[#This Row],[M1]]),FALSE))</f>
        <v>#VALUE!</v>
      </c>
      <c r="X175" s="176" t="e">
        <f>IF(VLOOKUP(T_BilanSocial[[#This Row],[NumL]],T_TraitDi[#Data],COLUMN(T_TraitDi[[#This Row],[M2]]),FALSE)="","",VLOOKUP(T_BilanSocial[[#This Row],[NumL]],T_TraitDi[#Data],COLUMN(T_TraitDi[[#This Row],[M2]]),FALSE))</f>
        <v>#VALUE!</v>
      </c>
      <c r="Y175" s="176" t="e">
        <f>IF(VLOOKUP(T_BilanSocial[[#This Row],[NumL]],T_TraitDi[#Data],COLUMN(T_TraitDi[[#This Row],[M3]]),FALSE)="","",VLOOKUP(T_BilanSocial[[#This Row],[NumL]],T_TraitDi[#Data],COLUMN(T_TraitDi[[#This Row],[M3]]),FALSE))</f>
        <v>#VALUE!</v>
      </c>
      <c r="Z175" s="176" t="str">
        <f t="shared" si="27"/>
        <v/>
      </c>
      <c r="AA175" s="176" t="e">
        <f>IF(VLOOKUP(T_BilanSocial[[#This Row],[NumL]],T_TraitDi[#Data],COLUMN(T_TraitDi[[#This Row],[M5]]),FALSE)="","",VLOOKUP(T_BilanSocial[[#This Row],[NumL]],T_TraitDi[#Data],COLUMN(T_TraitDi[[#This Row],[M5]]),FALSE))</f>
        <v>#VALUE!</v>
      </c>
      <c r="AB175" s="176" t="e">
        <f>IF(VLOOKUP(T_BilanSocial[[#This Row],[NumL]],T_TraitDi[#Data],COLUMN(T_TraitDi[[#This Row],[M6]]),FALSE)="","",VLOOKUP(T_BilanSocial[[#This Row],[NumL]],T_TraitDi[#Data],COLUMN(T_TraitDi[[#This Row],[M6]]),FALSE))</f>
        <v>#VALUE!</v>
      </c>
      <c r="AC175" s="165" t="e">
        <f t="shared" si="26"/>
        <v>#VALUE!</v>
      </c>
      <c r="AD175" s="188" t="str">
        <f>IFERROR(TEXT(VLOOKUP(T_BilanSocial[[#This Row],[NumL]],T_TraitDi[#Data],COLUMN(T_TraitDi[[#This Row],[Q2]]),FALSE),"###%"),"")</f>
        <v/>
      </c>
      <c r="AE175" s="97" t="e">
        <f>VLOOKUP(T_BilanSocial[[#This Row],[NumL]],T_TraitDi[#Data],COLUMN(T_TraitDi[[#This Row],[Reg Ponct]]),FALSE)</f>
        <v>#VALUE!</v>
      </c>
      <c r="AF175" s="97" t="e">
        <f>VLOOKUP(T_BilanSocial[NumL],T_TraitDi[#Data],COLUMN(T_TraitDi[[#This Row],[Jours flottants]]),FALSE)</f>
        <v>#VALUE!</v>
      </c>
      <c r="AG175" s="97" t="str">
        <f>IFERROR(VLOOKUP(T_BilanSocial[[#This Row],[NumL]],T_TraitDi[#Data],COLUMN(T_TraitDi[[#This Row],[Lundi]]),FALSE),"")</f>
        <v/>
      </c>
      <c r="AH175" s="172" t="e">
        <f>IF(VLOOKUP(T_BilanSocial[[#This Row],[NumL]],T_TraitDi[#Data],COLUMN(T_TraitDi[[#This Row],[Colonne3]]),FALSE)=0,"",TEXT(IFERROR(VLOOKUP(T_BilanSocial[[#This Row],[NumL]],T_TraitDi[#Data],COLUMN(T_TraitDi[[#This Row],[Colonne3]]),FALSE),""),"[hh]:mm"))</f>
        <v>#VALUE!</v>
      </c>
      <c r="AI175" s="172" t="e">
        <f>IF(VLOOKUP(T_BilanSocial[[#This Row],[NumL]],T_TraitDi[#Data],COLUMN(T_TraitDi[[#This Row],[Colonne4]]),FALSE)=0,"",TEXT(IFERROR(VLOOKUP(T_BilanSocial[[#This Row],[NumL]],T_TraitDi[#Data],COLUMN(T_TraitDi[[#This Row],[Colonne4]]),FALSE),""),"[hh]:mm"))</f>
        <v>#VALUE!</v>
      </c>
      <c r="AJ175" s="172" t="e">
        <f>IF(VLOOKUP(T_BilanSocial[[#This Row],[NumL]],T_TraitDi[#Data],COLUMN(T_TraitDi[[#This Row],[Colonne5]]),FALSE)=0,"",TEXT(IFERROR(VLOOKUP(T_BilanSocial[[#This Row],[NumL]],T_TraitDi[#Data],COLUMN(T_TraitDi[[#This Row],[Colonne5]]),FALSE),""),"[hh]:mm"))</f>
        <v>#VALUE!</v>
      </c>
      <c r="AK175" s="172" t="e">
        <f>IF(VLOOKUP(T_BilanSocial[[#This Row],[NumL]],T_TraitDi[#Data],COLUMN(T_TraitDi[[#This Row],[Colonne6]]),FALSE)=0,"",TEXT(IFERROR(VLOOKUP(T_BilanSocial[[#This Row],[NumL]],T_TraitDi[#Data],COLUMN(T_TraitDi[[#This Row],[Colonne6]]),FALSE),""),"[hh]:mm"))</f>
        <v>#VALUE!</v>
      </c>
      <c r="AL175" s="172" t="e">
        <f>IF(VLOOKUP(T_BilanSocial[[#This Row],[NumL]],T_TraitDi[#Data],COLUMN(T_TraitDi[[#This Row],[Colonne7]]),FALSE)=0,"",TEXT(IFERROR(VLOOKUP(T_BilanSocial[[#This Row],[NumL]],T_TraitDi[#Data],COLUMN(T_TraitDi[[#This Row],[Colonne7]]),FALSE),""),"[hh]:mm"))</f>
        <v>#VALUE!</v>
      </c>
      <c r="AM175" s="172" t="e">
        <f>IF(VLOOKUP(T_BilanSocial[[#This Row],[NumL]],T_TraitDi[#Data],COLUMN(T_TraitDi[[#This Row],[Colonne8]]),FALSE)=0,"",TEXT(IFERROR(VLOOKUP(T_BilanSocial[[#This Row],[NumL]],T_TraitDi[#Data],COLUMN(T_TraitDi[[#This Row],[Colonne8]]),FALSE),""),"[hh]:mm"))</f>
        <v>#VALUE!</v>
      </c>
      <c r="AN175" s="172" t="str">
        <f>IFERROR(VLOOKUP(T_BilanSocial[[#This Row],[NumL]],T_TraitDi[#Data],COLUMN(T_TraitDi[[#This Row],[Mardi]]),FALSE),"")</f>
        <v/>
      </c>
      <c r="AO175" s="172" t="e">
        <f>IF(VLOOKUP(T_BilanSocial[[#This Row],[NumL]],T_TraitDi[#Data],COLUMN(T_TraitDi[[#This Row],[Colonne1]]),FALSE)=0,"",TEXT(IFERROR(VLOOKUP(T_BilanSocial[[#This Row],[NumL]],T_TraitDi[#Data],COLUMN(T_TraitDi[[#This Row],[Colonne1]]),FALSE),""),"[hh]:mm"))</f>
        <v>#VALUE!</v>
      </c>
      <c r="AP175" s="172" t="e">
        <f>IF(VLOOKUP(T_BilanSocial[[#This Row],[NumL]],T_TraitDi[#Data],COLUMN(T_TraitDi[[#This Row],[Colonne9]]),FALSE)=0,"",TEXT(IFERROR(VLOOKUP(T_BilanSocial[[#This Row],[NumL]],T_TraitDi[#Data],COLUMN(T_TraitDi[[#This Row],[Colonne9]]),FALSE),""),"[hh]:mm"))</f>
        <v>#VALUE!</v>
      </c>
      <c r="AQ175" s="172" t="str">
        <f>IFERROR(VLOOKUP(T_BilanSocial[[#This Row],[NumL]],T_TraitDi[#Data],COLUMN(T_TraitDi[[#This Row],[Colonne10]]),FALSE),"")</f>
        <v/>
      </c>
      <c r="AR175" s="172" t="e">
        <f>IF(VLOOKUP(T_BilanSocial[[#This Row],[NumL]],T_TraitDi[#Data],COLUMN(T_TraitDi[[#This Row],[Colonne11]]),FALSE)=0,"",TEXT(IFERROR(VLOOKUP(T_BilanSocial[[#This Row],[NumL]],T_TraitDi[#Data],COLUMN(T_TraitDi[[#This Row],[Colonne11]]),FALSE),""),"[hh]:mm"))</f>
        <v>#VALUE!</v>
      </c>
      <c r="AS175" s="172" t="e">
        <f>IF(VLOOKUP(T_BilanSocial[[#This Row],[NumL]],T_TraitDi[#Data],COLUMN(T_TraitDi[[#This Row],[Colonne12]]),FALSE)=0,"",TEXT(IFERROR(VLOOKUP(T_BilanSocial[[#This Row],[NumL]],T_TraitDi[#Data],COLUMN(T_TraitDi[[#This Row],[Colonne12]]),FALSE),""),"[hh]:mm"))</f>
        <v>#VALUE!</v>
      </c>
      <c r="AT175" s="172" t="e">
        <f>IF(VLOOKUP(T_BilanSocial[[#This Row],[NumL]],T_TraitDi[#Data],COLUMN(T_TraitDi[[#This Row],[Colonne14]]),FALSE)=0,"",TEXT(IFERROR(VLOOKUP(T_BilanSocial[[#This Row],[NumL]],T_TraitDi[#Data],COLUMN(T_TraitDi[[#This Row],[Colonne14]]),FALSE),""),"[hh]:mm"))</f>
        <v>#VALUE!</v>
      </c>
      <c r="AU175" s="172" t="str">
        <f>IFERROR(VLOOKUP(T_BilanSocial[[#This Row],[NumL]],T_TraitDi[#Data],COLUMN(T_TraitDi[[#This Row],[Mercredi]]),FALSE),"")</f>
        <v/>
      </c>
      <c r="AV175" s="172" t="e">
        <f>IF(VLOOKUP(T_BilanSocial[[#This Row],[NumL]],T_TraitDi[#Data],COLUMN(T_TraitDi[[#This Row],[Colonne15]]),FALSE)=0,"",TEXT(IFERROR(VLOOKUP(T_BilanSocial[[#This Row],[NumL]],T_TraitDi[#Data],COLUMN(T_TraitDi[[#This Row],[Colonne15]]),FALSE),""),"[hh]:mm"))</f>
        <v>#VALUE!</v>
      </c>
      <c r="AW175" s="172" t="e">
        <f>IF(VLOOKUP(T_BilanSocial[[#This Row],[NumL]],T_TraitDi[#Data],COLUMN(T_TraitDi[[#This Row],[Colonne16]]),FALSE)=0,"",TEXT(IFERROR(VLOOKUP(T_BilanSocial[[#This Row],[NumL]],T_TraitDi[#Data],COLUMN(T_TraitDi[[#This Row],[Colonne16]]),FALSE),""),"[hh]:mm"))</f>
        <v>#VALUE!</v>
      </c>
      <c r="AX175" s="172" t="str">
        <f>IFERROR(VLOOKUP(T_BilanSocial[[#This Row],[NumL]],T_TraitDi[#Data],COLUMN(T_TraitDi[[#This Row],[Colonne17]]),FALSE),"")</f>
        <v/>
      </c>
      <c r="AY175" s="172" t="e">
        <f>IF(VLOOKUP(T_BilanSocial[[#This Row],[NumL]],T_TraitDi[#Data],COLUMN(T_TraitDi[[#This Row],[Colonne18]]),FALSE)=0,"",TEXT(IFERROR(VLOOKUP(T_BilanSocial[[#This Row],[NumL]],T_TraitDi[#Data],COLUMN(T_TraitDi[[#This Row],[Colonne18]]),FALSE),""),"[hh]:mm"))</f>
        <v>#VALUE!</v>
      </c>
      <c r="AZ175" s="172" t="e">
        <f>IF(VLOOKUP(T_BilanSocial[[#This Row],[NumL]],T_TraitDi[#Data],COLUMN(T_TraitDi[[#This Row],[Colonne19]]),FALSE)=0,"",TEXT(IFERROR(VLOOKUP(T_BilanSocial[[#This Row],[NumL]],T_TraitDi[#Data],COLUMN(T_TraitDi[[#This Row],[Colonne19]]),FALSE),""),"[hh]:mm"))</f>
        <v>#VALUE!</v>
      </c>
      <c r="BA175" s="172" t="e">
        <f>IF(VLOOKUP(T_BilanSocial[[#This Row],[NumL]],T_TraitDi[#Data],COLUMN(T_TraitDi[[#This Row],[Colonne20]]),FALSE)=0,"",TEXT(IFERROR(VLOOKUP(T_BilanSocial[[#This Row],[NumL]],T_TraitDi[#Data],COLUMN(T_TraitDi[[#This Row],[Colonne20]]),FALSE),""),"[hh]:mm"))</f>
        <v>#VALUE!</v>
      </c>
      <c r="BB175" s="178" t="str">
        <f>IFERROR(VLOOKUP(T_BilanSocial[[#This Row],[NumL]],T_TraitDi[#Data],COLUMN(T_TraitDi[[#This Row],[Jeudi]]),FALSE),"")</f>
        <v/>
      </c>
      <c r="BC175" s="178" t="e">
        <f>IF(VLOOKUP(T_BilanSocial[[#This Row],[NumL]],T_TraitDi[#Data],COLUMN(T_TraitDi[[#This Row],[Colonne21]]),FALSE)=0,"",TEXT(IFERROR(VLOOKUP(T_BilanSocial[[#This Row],[NumL]],T_TraitDi[#Data],COLUMN(T_TraitDi[[#This Row],[Colonne21]]),FALSE),""),"[hh]:mm"))</f>
        <v>#VALUE!</v>
      </c>
      <c r="BD175" s="178" t="e">
        <f>IF(VLOOKUP(T_BilanSocial[[#This Row],[NumL]],T_TraitDi[#Data],COLUMN(T_TraitDi[[#This Row],[Colonne22]]),FALSE)=0,"",TEXT(IFERROR(VLOOKUP(T_BilanSocial[[#This Row],[NumL]],T_TraitDi[#Data],COLUMN(T_TraitDi[[#This Row],[Colonne22]]),FALSE),""),"[hh]:mm"))</f>
        <v>#VALUE!</v>
      </c>
      <c r="BE175" s="178" t="str">
        <f>IFERROR(VLOOKUP(T_BilanSocial[[#This Row],[NumL]],T_TraitDi[#Data],COLUMN(T_TraitDi[[#This Row],[Colonne23]]),FALSE),"")</f>
        <v/>
      </c>
      <c r="BF175" s="178" t="e">
        <f>IF(VLOOKUP(T_BilanSocial[[#This Row],[NumL]],T_TraitDi[#Data],COLUMN(T_TraitDi[[#This Row],[Colonne24]]),FALSE)=0,"",TEXT(IFERROR(VLOOKUP(T_BilanSocial[[#This Row],[NumL]],T_TraitDi[#Data],COLUMN(T_TraitDi[[#This Row],[Colonne24]]),FALSE),""),"[hh]:mm"))</f>
        <v>#VALUE!</v>
      </c>
      <c r="BG175" s="178" t="e">
        <f>IF(VLOOKUP(T_BilanSocial[[#This Row],[NumL]],T_TraitDi[#Data],COLUMN(T_TraitDi[[#This Row],[Colonne25]]),FALSE)=0,"",TEXT(IFERROR(VLOOKUP(T_BilanSocial[[#This Row],[NumL]],T_TraitDi[#Data],COLUMN(T_TraitDi[[#This Row],[Colonne25]]),FALSE),""),"[hh]:mm"))</f>
        <v>#VALUE!</v>
      </c>
      <c r="BH175" s="178" t="e">
        <f>IF(VLOOKUP(T_BilanSocial[[#This Row],[NumL]],T_TraitDi[#Data],COLUMN(T_TraitDi[[#This Row],[Colonne26]]),FALSE)=0,"",TEXT(IFERROR(VLOOKUP(T_BilanSocial[[#This Row],[NumL]],T_TraitDi[#Data],COLUMN(T_TraitDi[[#This Row],[Colonne26]]),FALSE),""),"[hh]:mm"))</f>
        <v>#VALUE!</v>
      </c>
      <c r="BI175" s="172" t="str">
        <f>IFERROR(VLOOKUP(T_BilanSocial[[#This Row],[NumL]],T_TraitDi[#Data],COLUMN(T_TraitDi[[#This Row],[Vendredi]]),FALSE),"")</f>
        <v/>
      </c>
      <c r="BJ175" s="172" t="e">
        <f>IF(VLOOKUP(T_BilanSocial[[#This Row],[NumL]],T_TraitDi[#Data],COLUMN(T_TraitDi[[#This Row],[Colonne27]]),FALSE)=0,"",TEXT(IFERROR(VLOOKUP(T_BilanSocial[[#This Row],[NumL]],T_TraitDi[#Data],COLUMN(T_TraitDi[[#This Row],[Colonne27]]),FALSE),""),"[hh]:mm"))</f>
        <v>#VALUE!</v>
      </c>
      <c r="BK175" s="172" t="e">
        <f>IF(VLOOKUP(T_BilanSocial[[#This Row],[NumL]],T_TraitDi[#Data],COLUMN(T_TraitDi[[#This Row],[Colonne28]]),FALSE)=0,"",TEXT(IFERROR(VLOOKUP(T_BilanSocial[[#This Row],[NumL]],T_TraitDi[#Data],COLUMN(T_TraitDi[[#This Row],[Colonne28]]),FALSE),""),"[hh]:mm"))</f>
        <v>#VALUE!</v>
      </c>
      <c r="BL175" s="172" t="str">
        <f>IFERROR(VLOOKUP(T_BilanSocial[[#This Row],[NumL]],T_TraitDi[#Data],COLUMN(T_TraitDi[[#This Row],[Colonne29]]),FALSE),"")</f>
        <v/>
      </c>
      <c r="BM175" s="172" t="e">
        <f>IF(VLOOKUP(T_BilanSocial[[#This Row],[NumL]],T_TraitDi[#Data],COLUMN(T_TraitDi[[#This Row],[Colonne30]]),FALSE)=0,"",TEXT(IFERROR(VLOOKUP(T_BilanSocial[[#This Row],[NumL]],T_TraitDi[#Data],COLUMN(T_TraitDi[[#This Row],[Colonne30]]),FALSE),""),"[hh]:mm"))</f>
        <v>#VALUE!</v>
      </c>
      <c r="BN175" s="172" t="e">
        <f>IF(VLOOKUP(T_BilanSocial[[#This Row],[NumL]],T_TraitDi[#Data],COLUMN(T_TraitDi[[#This Row],[Colonne31]]),FALSE)=0,"",TEXT(IFERROR(VLOOKUP(T_BilanSocial[[#This Row],[NumL]],T_TraitDi[#Data],COLUMN(T_TraitDi[[#This Row],[Colonne31]]),FALSE),""),"[hh]:mm"))</f>
        <v>#VALUE!</v>
      </c>
      <c r="BO175" s="172" t="e">
        <f>IF(VLOOKUP(T_BilanSocial[[#This Row],[NumL]],T_TraitDi[#Data],COLUMN(T_TraitDi[[#This Row],[Colonne32]]),FALSE)=0,"",TEXT(IFERROR(VLOOKUP(T_BilanSocial[[#This Row],[NumL]],T_TraitDi[#Data],COLUMN(T_TraitDi[[#This Row],[Colonne32]]),FALSE),""),"[hh]:mm"))</f>
        <v>#VALUE!</v>
      </c>
      <c r="BP175" s="172" t="e">
        <f>VLOOKUP(T_BilanSocial[[#This Row],[NumL]],T_TraitDi[#Data],COLUMN(T_TraitDi[NbJTot]),FALSE)</f>
        <v>#N/A</v>
      </c>
      <c r="BQ175" s="174" t="str">
        <f>IFERROR(VLOOKUP(T_BilanSocial[[#This Row],[NumL]],T_TraitDi[#Data],COLUMN(T_TraitDi[[#This Row],[NbJTW]]),FALSE),"")</f>
        <v/>
      </c>
      <c r="BR175" s="174" t="e">
        <f>IF(VLOOKUP(T_BilanSocial[[#This Row],[NumL]],T_TraitDi[#Data],COLUMN(T_TraitDi[[#This Row],[NbhTW]]),FALSE)=0,"",TEXT(IFERROR(VLOOKUP(T_BilanSocial[[#This Row],[NumL]],T_TraitDi[#Data],COLUMN(T_TraitDi[[#This Row],[NbhTW]]),FALSE),""),"[hh]:mm"))</f>
        <v>#VALUE!</v>
      </c>
      <c r="BS175" s="174" t="e">
        <f>IF(VLOOKUP(T_BilanSocial[[#This Row],[NumL]],T_TraitDi[#Data],COLUMN(T_TraitDi[[#This Row],[Nbhheb]]),FALSE)=0,"",TEXT(IFERROR(VLOOKUP($A175,T_TraitDi[#Data],COLUMN(T_TraitDi[[#This Row],[Nbhheb]]),FALSE),""),"[hh]:mm"))</f>
        <v>#VALUE!</v>
      </c>
      <c r="BT175" s="182" t="str">
        <f>IFERROR(VLOOKUP(VLOOKUP($A175,T_TraitDi[#Data],COLUMN(T_TraitDi[[#This Row],[Type1]]),FALSE),TypeTW,2,FALSE),"")</f>
        <v/>
      </c>
      <c r="BU175" s="182" t="str">
        <f>IFERROR(VLOOKUP($A175,T_TraitDi[#Data],COLUMN(T_TraitDi[[#This Row],[Rue1]]),FALSE),"")</f>
        <v/>
      </c>
      <c r="BV175" s="173" t="str">
        <f>IFERROR(VLOOKUP($A175,T_TraitDi[#Data],COLUMN(T_TraitDi[[#This Row],[CP1]]),FALSE),"")</f>
        <v/>
      </c>
      <c r="BW175" s="173" t="str">
        <f>IFERROR(VLOOKUP($A175,T_TraitDi[#Data],COLUMN(T_TraitDi[[#This Row],[VILLE1]]),FALSE),"")</f>
        <v/>
      </c>
      <c r="BX175" s="182" t="str">
        <f>IFERROR(VLOOKUP(VLOOKUP($A175,T_TraitDi[#Data],COLUMN(T_TraitDi[[#This Row],[Type2]]),FALSE),TypeTW,2,FALSE),"")</f>
        <v/>
      </c>
      <c r="BY175" s="182" t="str">
        <f>IFERROR(VLOOKUP($A175,T_TraitDi[#Data],COLUMN(T_TraitDi[[#This Row],[Rue2]]),FALSE),"")</f>
        <v/>
      </c>
      <c r="BZ175" s="173" t="str">
        <f>IFERROR(VLOOKUP($A175,T_TraitDi[#Data],COLUMN(T_TraitDi[[#This Row],[CP2]]),FALSE),"")</f>
        <v/>
      </c>
      <c r="CA175" s="173" t="str">
        <f>IFERROR(VLOOKUP($A175,T_TraitDi[#Data],COLUMN(T_TraitDi[[#This Row],[VILLE2]]),FALSE),"")</f>
        <v/>
      </c>
      <c r="CB175" s="182" t="str">
        <f>IF(VLOOKUP(T_BilanSocial[[#This Row],[NumL]],T_Equipement[#Data],COLUMN(T_Equipement[[#This Row],[PC]]),FALSE)="","Aucun équipement spécifique directement lié au télétravail",VLOOKUP(T_BilanSocial[[#This Row],[NumL]],T_Equipement[#Data],COLUMN(T_Equipement[[#This Row],[PC]]),FALSE))</f>
        <v xml:space="preserve">20-333	</v>
      </c>
      <c r="CC175" s="166" t="str">
        <f>IFERROR(IF(VLOOKUP(T_BilanSocial[[#This Row],[NumL]],T_TraitDi[#Data],COLUMN(T_TraitDi[[#This Row],[Plan]]),FALSE)="OK","Un planning spécifique de télétravail est annexé à la présente convention.",""),"")</f>
        <v/>
      </c>
      <c r="CD175" s="185"/>
      <c r="CE175" s="164" t="e">
        <f>IF(VLOOKUP(T_BilanSocial[[#This Row],[NumL]],T_suiviDi[#Data],COLUMN(T_suiviDi[[#This Row],[Entité]]),FALSE)="","",VLOOKUP(T_BilanSocial[[#This Row],[NumL]],T_suiviDi[#Data],COLUMN(T_suiviDi[[#This Row],[Entité]]),FALSE))</f>
        <v>#VALUE!</v>
      </c>
      <c r="CF175" s="164" t="str">
        <f>IF(VLOOKUP(T_BilanSocial[[#This Row],[NumL]],T_Commission[#Data],COLUMN(T_Commission[[#This Row],[envoi confirm TW]]),FALSE)="","",VLOOKUP(T_BilanSocial[[#This Row],[NumL]],T_Commission[#Data],COLUMN(T_Commission[[#This Row],[envoi confirm TW]]),FALSE))</f>
        <v>Oui</v>
      </c>
      <c r="CG17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5" s="262" t="str">
        <f>T_BilanSocial[[#This Row],[Nom]]&amp;T_BilanSocial[[#This Row],[Prenom]]</f>
        <v/>
      </c>
      <c r="CI175" s="262">
        <f>VLOOKUP(T_BilanSocial[[#This Row],[NumL]],T_Commission[#Data],COLUMN(T_Commission[Commentaire]),FALSE)</f>
        <v>0</v>
      </c>
      <c r="CJ175" s="262" t="str">
        <f>IF(VLOOKUP(T_BilanSocial[[#This Row],[NumL]],T_Commission[#Data],COLUMN(T_Commission[Encadrant Email]),FALSE)="","",VLOOKUP(T_BilanSocial[[#This Row],[NumL]],T_Commission[#Data],COLUMN(T_Commission[Encadrant Email]),FALSE))</f>
        <v/>
      </c>
      <c r="CK175" s="340" t="str">
        <f>IF(T_BilanSocial[[#This Row],[Final]]&lt;&gt;"",VLOOKUP(T_BilanSocial[[#This Row],[NumL]],T_suiviDi[#Data],COLUMN((T_suiviDi[Statut])),FALSE),"")</f>
        <v/>
      </c>
    </row>
    <row r="176" spans="1:89" s="106" customFormat="1" ht="29.25" customHeight="1" x14ac:dyDescent="0.25">
      <c r="A176" s="160">
        <v>173</v>
      </c>
      <c r="B176" s="161" t="str">
        <f t="shared" si="22"/>
        <v/>
      </c>
      <c r="C176" s="162" t="s">
        <v>3287</v>
      </c>
      <c r="D176" s="95" t="e">
        <f>IF(VLOOKUP(T_BilanSocial[[#This Row],[NumL]],T_TraitDi[#Data],COLUMN(T_TraitDi[[#This Row],[WebC]]),FALSE)="","",VLOOKUP(T_BilanSocial[[#This Row],[NumL]],T_TraitDi[#Data],COLUMN(T_TraitDi[[#This Row],[WebC]]),FALSE))</f>
        <v>#VALUE!</v>
      </c>
      <c r="E176" s="163" t="str">
        <f t="shared" si="23"/>
        <v>12 janvier 2021</v>
      </c>
      <c r="F176" s="96" t="str">
        <f>IF(T_BilanSocial[[#This Row],[Final]]&lt;&gt;"",VLOOKUP(T_BilanSocial[[#This Row],[NumL]],T_suiviDi[#Data],COLUMN((T_suiviDi[Civ.])),FALSE),"")</f>
        <v/>
      </c>
      <c r="G176" s="96" t="str">
        <f>IF(T_BilanSocial[[#This Row],[Final]]&lt;&gt;"",VLOOKUP(T_BilanSocial[[#This Row],[NumL]],T_suiviDi[#Data],COLUMN((T_suiviDi[Nom])),FALSE),"")</f>
        <v/>
      </c>
      <c r="H176" s="96" t="str">
        <f>IF(T_BilanSocial[[#This Row],[Final]]&lt;&gt;"",VLOOKUP(T_BilanSocial[[#This Row],[NumL]],T_suiviDi[#Data],COLUMN((T_suiviDi[Prénom])),FALSE),"")</f>
        <v/>
      </c>
      <c r="I176" s="96" t="str">
        <f>IFERROR(VLOOKUP(T_BilanSocial[[#This Row],[Zone_Bilan]],T_P_BilanSocial[#Data],COLUMN(T_P_BilanSocial[[#This Row],[Numero_SIHAM]]),FALSE),"")</f>
        <v/>
      </c>
      <c r="J176" s="96" t="str">
        <f>IFERROR(VLOOKUP(T_BilanSocial[[#This Row],[Zone_Bilan]],T_P_BilanSocial[#Data],COLUMN(T_P_BilanSocial[[#This Row],[Sexe]]),FALSE),"")</f>
        <v/>
      </c>
      <c r="K176" s="97" t="str">
        <f>IFERROR(VLOOKUP(T_BilanSocial[[#This Row],[Zone_Bilan]],T_P_BilanSocial[#Data],COLUMN(T_P_BilanSocial[[#This Row],[Categorie]]),FALSE),"")</f>
        <v/>
      </c>
      <c r="L176" s="96" t="str">
        <f>IFERROR(VLOOKUP(T_BilanSocial[[#This Row],[Zone_Bilan]],T_P_BilanSocial[#Data],COLUMN(T_P_BilanSocial[[#This Row],[Statut]]),FALSE),"")</f>
        <v/>
      </c>
      <c r="M176" s="96" t="str">
        <f>IFERROR(VLOOKUP(T_BilanSocial[[#This Row],[Zone_Bilan]],T_P_BilanSocial[#Data],COLUMN(T_P_BilanSocial[[#This Row],[Filiere]]),FALSE),"")</f>
        <v/>
      </c>
      <c r="N176" s="96" t="e">
        <f>VLOOKUP(T_BilanSocial[[#This Row],[NumL]],T_TraitDi[#Data],COLUMN(T_TraitDi[EXP]),FALSE)</f>
        <v>#N/A</v>
      </c>
      <c r="O176" s="96" t="e">
        <f>VLOOKUP(T_BilanSocial[[#This Row],[NumL]],T_TraitDi[#Data],COLUMN(T_TraitDi[FORM]),FALSE)</f>
        <v>#N/A</v>
      </c>
      <c r="P176" s="96" t="str">
        <f>IF(T_BilanSocial[[#This Row],[Final]]&lt;&gt;"",VLOOKUP(T_BilanSocial[[#This Row],[NumL]],T_suiviDi[#Data],COLUMN((T_suiviDi[Email])),FALSE),"")</f>
        <v/>
      </c>
      <c r="Q176" s="164" t="e">
        <f t="shared" si="28"/>
        <v>#N/A</v>
      </c>
      <c r="R176" s="164" t="e">
        <f t="shared" si="29"/>
        <v>#N/A</v>
      </c>
      <c r="S176" s="164" t="e">
        <f>IF(VLOOKUP(T_BilanSocial[[#This Row],[NumL]],T_suiviDi[#Data],COLUMN(T_suiviDi[[#This Row],[Service ]]),FALSE)="","",VLOOKUP(T_BilanSocial[[#This Row],[NumL]],T_suiviDi[#Data],COLUMN(T_suiviDi[[#This Row],[Service ]]),FALSE))</f>
        <v>#VALUE!</v>
      </c>
      <c r="T176" s="164" t="str">
        <f t="shared" si="24"/>
        <v>01 septembre 2021</v>
      </c>
      <c r="U176" s="164" t="str">
        <f t="shared" si="25"/>
        <v>30 novembre 2021</v>
      </c>
      <c r="V176" s="164" t="str">
        <f t="shared" si="31"/>
        <v>30 novembre 2021</v>
      </c>
      <c r="W176" s="176" t="e">
        <f>IF(VLOOKUP(T_BilanSocial[[#This Row],[NumL]],T_TraitDi[#Data],COLUMN(T_TraitDi[[#This Row],[M1]]),FALSE)="","",VLOOKUP(T_BilanSocial[[#This Row],[NumL]],T_TraitDi[#Data],COLUMN(T_TraitDi[[#This Row],[M1]]),FALSE))</f>
        <v>#VALUE!</v>
      </c>
      <c r="X176" s="176" t="e">
        <f>IF(VLOOKUP(T_BilanSocial[[#This Row],[NumL]],T_TraitDi[#Data],COLUMN(T_TraitDi[[#This Row],[M2]]),FALSE)="","",VLOOKUP(T_BilanSocial[[#This Row],[NumL]],T_TraitDi[#Data],COLUMN(T_TraitDi[[#This Row],[M2]]),FALSE))</f>
        <v>#VALUE!</v>
      </c>
      <c r="Y176" s="176" t="e">
        <f>IF(VLOOKUP(T_BilanSocial[[#This Row],[NumL]],T_TraitDi[#Data],COLUMN(T_TraitDi[[#This Row],[M3]]),FALSE)="","",VLOOKUP(T_BilanSocial[[#This Row],[NumL]],T_TraitDi[#Data],COLUMN(T_TraitDi[[#This Row],[M3]]),FALSE))</f>
        <v>#VALUE!</v>
      </c>
      <c r="Z176" s="176" t="str">
        <f t="shared" si="27"/>
        <v/>
      </c>
      <c r="AA176" s="176" t="e">
        <f>IF(VLOOKUP(T_BilanSocial[[#This Row],[NumL]],T_TraitDi[#Data],COLUMN(T_TraitDi[[#This Row],[M5]]),FALSE)="","",VLOOKUP(T_BilanSocial[[#This Row],[NumL]],T_TraitDi[#Data],COLUMN(T_TraitDi[[#This Row],[M5]]),FALSE))</f>
        <v>#VALUE!</v>
      </c>
      <c r="AB176" s="176" t="e">
        <f>IF(VLOOKUP(T_BilanSocial[[#This Row],[NumL]],T_TraitDi[#Data],COLUMN(T_TraitDi[[#This Row],[M6]]),FALSE)="","",VLOOKUP(T_BilanSocial[[#This Row],[NumL]],T_TraitDi[#Data],COLUMN(T_TraitDi[[#This Row],[M6]]),FALSE))</f>
        <v>#VALUE!</v>
      </c>
      <c r="AC176" s="165" t="e">
        <f t="shared" si="26"/>
        <v>#VALUE!</v>
      </c>
      <c r="AD176" s="188" t="str">
        <f>IFERROR(TEXT(VLOOKUP(T_BilanSocial[[#This Row],[NumL]],T_TraitDi[#Data],COLUMN(T_TraitDi[[#This Row],[Q2]]),FALSE),"###%"),"")</f>
        <v/>
      </c>
      <c r="AE176" s="97" t="e">
        <f>VLOOKUP(T_BilanSocial[[#This Row],[NumL]],T_TraitDi[#Data],COLUMN(T_TraitDi[[#This Row],[Reg Ponct]]),FALSE)</f>
        <v>#VALUE!</v>
      </c>
      <c r="AF176" s="97" t="e">
        <f>VLOOKUP(T_BilanSocial[NumL],T_TraitDi[#Data],COLUMN(T_TraitDi[[#This Row],[Jours flottants]]),FALSE)</f>
        <v>#VALUE!</v>
      </c>
      <c r="AG176" s="97" t="str">
        <f>IFERROR(VLOOKUP(T_BilanSocial[[#This Row],[NumL]],T_TraitDi[#Data],COLUMN(T_TraitDi[[#This Row],[Lundi]]),FALSE),"")</f>
        <v/>
      </c>
      <c r="AH176" s="172" t="e">
        <f>IF(VLOOKUP(T_BilanSocial[[#This Row],[NumL]],T_TraitDi[#Data],COLUMN(T_TraitDi[[#This Row],[Colonne3]]),FALSE)=0,"",TEXT(IFERROR(VLOOKUP(T_BilanSocial[[#This Row],[NumL]],T_TraitDi[#Data],COLUMN(T_TraitDi[[#This Row],[Colonne3]]),FALSE),""),"[hh]:mm"))</f>
        <v>#VALUE!</v>
      </c>
      <c r="AI176" s="172" t="e">
        <f>IF(VLOOKUP(T_BilanSocial[[#This Row],[NumL]],T_TraitDi[#Data],COLUMN(T_TraitDi[[#This Row],[Colonne4]]),FALSE)=0,"",TEXT(IFERROR(VLOOKUP(T_BilanSocial[[#This Row],[NumL]],T_TraitDi[#Data],COLUMN(T_TraitDi[[#This Row],[Colonne4]]),FALSE),""),"[hh]:mm"))</f>
        <v>#VALUE!</v>
      </c>
      <c r="AJ176" s="172" t="e">
        <f>IF(VLOOKUP(T_BilanSocial[[#This Row],[NumL]],T_TraitDi[#Data],COLUMN(T_TraitDi[[#This Row],[Colonne5]]),FALSE)=0,"",TEXT(IFERROR(VLOOKUP(T_BilanSocial[[#This Row],[NumL]],T_TraitDi[#Data],COLUMN(T_TraitDi[[#This Row],[Colonne5]]),FALSE),""),"[hh]:mm"))</f>
        <v>#VALUE!</v>
      </c>
      <c r="AK176" s="172" t="e">
        <f>IF(VLOOKUP(T_BilanSocial[[#This Row],[NumL]],T_TraitDi[#Data],COLUMN(T_TraitDi[[#This Row],[Colonne6]]),FALSE)=0,"",TEXT(IFERROR(VLOOKUP(T_BilanSocial[[#This Row],[NumL]],T_TraitDi[#Data],COLUMN(T_TraitDi[[#This Row],[Colonne6]]),FALSE),""),"[hh]:mm"))</f>
        <v>#VALUE!</v>
      </c>
      <c r="AL176" s="172" t="e">
        <f>IF(VLOOKUP(T_BilanSocial[[#This Row],[NumL]],T_TraitDi[#Data],COLUMN(T_TraitDi[[#This Row],[Colonne7]]),FALSE)=0,"",TEXT(IFERROR(VLOOKUP(T_BilanSocial[[#This Row],[NumL]],T_TraitDi[#Data],COLUMN(T_TraitDi[[#This Row],[Colonne7]]),FALSE),""),"[hh]:mm"))</f>
        <v>#VALUE!</v>
      </c>
      <c r="AM176" s="172" t="e">
        <f>IF(VLOOKUP(T_BilanSocial[[#This Row],[NumL]],T_TraitDi[#Data],COLUMN(T_TraitDi[[#This Row],[Colonne8]]),FALSE)=0,"",TEXT(IFERROR(VLOOKUP(T_BilanSocial[[#This Row],[NumL]],T_TraitDi[#Data],COLUMN(T_TraitDi[[#This Row],[Colonne8]]),FALSE),""),"[hh]:mm"))</f>
        <v>#VALUE!</v>
      </c>
      <c r="AN176" s="172" t="str">
        <f>IFERROR(VLOOKUP(T_BilanSocial[[#This Row],[NumL]],T_TraitDi[#Data],COLUMN(T_TraitDi[[#This Row],[Mardi]]),FALSE),"")</f>
        <v/>
      </c>
      <c r="AO176" s="172" t="e">
        <f>IF(VLOOKUP(T_BilanSocial[[#This Row],[NumL]],T_TraitDi[#Data],COLUMN(T_TraitDi[[#This Row],[Colonne1]]),FALSE)=0,"",TEXT(IFERROR(VLOOKUP(T_BilanSocial[[#This Row],[NumL]],T_TraitDi[#Data],COLUMN(T_TraitDi[[#This Row],[Colonne1]]),FALSE),""),"[hh]:mm"))</f>
        <v>#VALUE!</v>
      </c>
      <c r="AP176" s="172" t="e">
        <f>IF(VLOOKUP(T_BilanSocial[[#This Row],[NumL]],T_TraitDi[#Data],COLUMN(T_TraitDi[[#This Row],[Colonne9]]),FALSE)=0,"",TEXT(IFERROR(VLOOKUP(T_BilanSocial[[#This Row],[NumL]],T_TraitDi[#Data],COLUMN(T_TraitDi[[#This Row],[Colonne9]]),FALSE),""),"[hh]:mm"))</f>
        <v>#VALUE!</v>
      </c>
      <c r="AQ176" s="172" t="str">
        <f>IFERROR(VLOOKUP(T_BilanSocial[[#This Row],[NumL]],T_TraitDi[#Data],COLUMN(T_TraitDi[[#This Row],[Colonne10]]),FALSE),"")</f>
        <v/>
      </c>
      <c r="AR176" s="172" t="e">
        <f>IF(VLOOKUP(T_BilanSocial[[#This Row],[NumL]],T_TraitDi[#Data],COLUMN(T_TraitDi[[#This Row],[Colonne11]]),FALSE)=0,"",TEXT(IFERROR(VLOOKUP(T_BilanSocial[[#This Row],[NumL]],T_TraitDi[#Data],COLUMN(T_TraitDi[[#This Row],[Colonne11]]),FALSE),""),"[hh]:mm"))</f>
        <v>#VALUE!</v>
      </c>
      <c r="AS176" s="172" t="e">
        <f>IF(VLOOKUP(T_BilanSocial[[#This Row],[NumL]],T_TraitDi[#Data],COLUMN(T_TraitDi[[#This Row],[Colonne12]]),FALSE)=0,"",TEXT(IFERROR(VLOOKUP(T_BilanSocial[[#This Row],[NumL]],T_TraitDi[#Data],COLUMN(T_TraitDi[[#This Row],[Colonne12]]),FALSE),""),"[hh]:mm"))</f>
        <v>#VALUE!</v>
      </c>
      <c r="AT176" s="172" t="e">
        <f>IF(VLOOKUP(T_BilanSocial[[#This Row],[NumL]],T_TraitDi[#Data],COLUMN(T_TraitDi[[#This Row],[Colonne14]]),FALSE)=0,"",TEXT(IFERROR(VLOOKUP(T_BilanSocial[[#This Row],[NumL]],T_TraitDi[#Data],COLUMN(T_TraitDi[[#This Row],[Colonne14]]),FALSE),""),"[hh]:mm"))</f>
        <v>#VALUE!</v>
      </c>
      <c r="AU176" s="172" t="str">
        <f>IFERROR(VLOOKUP(T_BilanSocial[[#This Row],[NumL]],T_TraitDi[#Data],COLUMN(T_TraitDi[[#This Row],[Mercredi]]),FALSE),"")</f>
        <v/>
      </c>
      <c r="AV176" s="172" t="e">
        <f>IF(VLOOKUP(T_BilanSocial[[#This Row],[NumL]],T_TraitDi[#Data],COLUMN(T_TraitDi[[#This Row],[Colonne15]]),FALSE)=0,"",TEXT(IFERROR(VLOOKUP(T_BilanSocial[[#This Row],[NumL]],T_TraitDi[#Data],COLUMN(T_TraitDi[[#This Row],[Colonne15]]),FALSE),""),"[hh]:mm"))</f>
        <v>#VALUE!</v>
      </c>
      <c r="AW176" s="172" t="e">
        <f>IF(VLOOKUP(T_BilanSocial[[#This Row],[NumL]],T_TraitDi[#Data],COLUMN(T_TraitDi[[#This Row],[Colonne16]]),FALSE)=0,"",TEXT(IFERROR(VLOOKUP(T_BilanSocial[[#This Row],[NumL]],T_TraitDi[#Data],COLUMN(T_TraitDi[[#This Row],[Colonne16]]),FALSE),""),"[hh]:mm"))</f>
        <v>#VALUE!</v>
      </c>
      <c r="AX176" s="172" t="str">
        <f>IFERROR(VLOOKUP(T_BilanSocial[[#This Row],[NumL]],T_TraitDi[#Data],COLUMN(T_TraitDi[[#This Row],[Colonne17]]),FALSE),"")</f>
        <v/>
      </c>
      <c r="AY176" s="172" t="e">
        <f>IF(VLOOKUP(T_BilanSocial[[#This Row],[NumL]],T_TraitDi[#Data],COLUMN(T_TraitDi[[#This Row],[Colonne18]]),FALSE)=0,"",TEXT(IFERROR(VLOOKUP(T_BilanSocial[[#This Row],[NumL]],T_TraitDi[#Data],COLUMN(T_TraitDi[[#This Row],[Colonne18]]),FALSE),""),"[hh]:mm"))</f>
        <v>#VALUE!</v>
      </c>
      <c r="AZ176" s="172" t="e">
        <f>IF(VLOOKUP(T_BilanSocial[[#This Row],[NumL]],T_TraitDi[#Data],COLUMN(T_TraitDi[[#This Row],[Colonne19]]),FALSE)=0,"",TEXT(IFERROR(VLOOKUP(T_BilanSocial[[#This Row],[NumL]],T_TraitDi[#Data],COLUMN(T_TraitDi[[#This Row],[Colonne19]]),FALSE),""),"[hh]:mm"))</f>
        <v>#VALUE!</v>
      </c>
      <c r="BA176" s="172" t="e">
        <f>IF(VLOOKUP(T_BilanSocial[[#This Row],[NumL]],T_TraitDi[#Data],COLUMN(T_TraitDi[[#This Row],[Colonne20]]),FALSE)=0,"",TEXT(IFERROR(VLOOKUP(T_BilanSocial[[#This Row],[NumL]],T_TraitDi[#Data],COLUMN(T_TraitDi[[#This Row],[Colonne20]]),FALSE),""),"[hh]:mm"))</f>
        <v>#VALUE!</v>
      </c>
      <c r="BB176" s="178" t="str">
        <f>IFERROR(VLOOKUP(T_BilanSocial[[#This Row],[NumL]],T_TraitDi[#Data],COLUMN(T_TraitDi[[#This Row],[Jeudi]]),FALSE),"")</f>
        <v/>
      </c>
      <c r="BC176" s="178" t="e">
        <f>IF(VLOOKUP(T_BilanSocial[[#This Row],[NumL]],T_TraitDi[#Data],COLUMN(T_TraitDi[[#This Row],[Colonne21]]),FALSE)=0,"",TEXT(IFERROR(VLOOKUP(T_BilanSocial[[#This Row],[NumL]],T_TraitDi[#Data],COLUMN(T_TraitDi[[#This Row],[Colonne21]]),FALSE),""),"[hh]:mm"))</f>
        <v>#VALUE!</v>
      </c>
      <c r="BD176" s="178" t="e">
        <f>IF(VLOOKUP(T_BilanSocial[[#This Row],[NumL]],T_TraitDi[#Data],COLUMN(T_TraitDi[[#This Row],[Colonne22]]),FALSE)=0,"",TEXT(IFERROR(VLOOKUP(T_BilanSocial[[#This Row],[NumL]],T_TraitDi[#Data],COLUMN(T_TraitDi[[#This Row],[Colonne22]]),FALSE),""),"[hh]:mm"))</f>
        <v>#VALUE!</v>
      </c>
      <c r="BE176" s="178" t="str">
        <f>IFERROR(VLOOKUP(T_BilanSocial[[#This Row],[NumL]],T_TraitDi[#Data],COLUMN(T_TraitDi[[#This Row],[Colonne23]]),FALSE),"")</f>
        <v/>
      </c>
      <c r="BF176" s="178" t="e">
        <f>IF(VLOOKUP(T_BilanSocial[[#This Row],[NumL]],T_TraitDi[#Data],COLUMN(T_TraitDi[[#This Row],[Colonne24]]),FALSE)=0,"",TEXT(IFERROR(VLOOKUP(T_BilanSocial[[#This Row],[NumL]],T_TraitDi[#Data],COLUMN(T_TraitDi[[#This Row],[Colonne24]]),FALSE),""),"[hh]:mm"))</f>
        <v>#VALUE!</v>
      </c>
      <c r="BG176" s="178" t="e">
        <f>IF(VLOOKUP(T_BilanSocial[[#This Row],[NumL]],T_TraitDi[#Data],COLUMN(T_TraitDi[[#This Row],[Colonne25]]),FALSE)=0,"",TEXT(IFERROR(VLOOKUP(T_BilanSocial[[#This Row],[NumL]],T_TraitDi[#Data],COLUMN(T_TraitDi[[#This Row],[Colonne25]]),FALSE),""),"[hh]:mm"))</f>
        <v>#VALUE!</v>
      </c>
      <c r="BH176" s="178" t="e">
        <f>IF(VLOOKUP(T_BilanSocial[[#This Row],[NumL]],T_TraitDi[#Data],COLUMN(T_TraitDi[[#This Row],[Colonne26]]),FALSE)=0,"",TEXT(IFERROR(VLOOKUP(T_BilanSocial[[#This Row],[NumL]],T_TraitDi[#Data],COLUMN(T_TraitDi[[#This Row],[Colonne26]]),FALSE),""),"[hh]:mm"))</f>
        <v>#VALUE!</v>
      </c>
      <c r="BI176" s="172" t="str">
        <f>IFERROR(VLOOKUP(T_BilanSocial[[#This Row],[NumL]],T_TraitDi[#Data],COLUMN(T_TraitDi[[#This Row],[Vendredi]]),FALSE),"")</f>
        <v/>
      </c>
      <c r="BJ176" s="172" t="e">
        <f>IF(VLOOKUP(T_BilanSocial[[#This Row],[NumL]],T_TraitDi[#Data],COLUMN(T_TraitDi[[#This Row],[Colonne27]]),FALSE)=0,"",TEXT(IFERROR(VLOOKUP(T_BilanSocial[[#This Row],[NumL]],T_TraitDi[#Data],COLUMN(T_TraitDi[[#This Row],[Colonne27]]),FALSE),""),"[hh]:mm"))</f>
        <v>#VALUE!</v>
      </c>
      <c r="BK176" s="172" t="e">
        <f>IF(VLOOKUP(T_BilanSocial[[#This Row],[NumL]],T_TraitDi[#Data],COLUMN(T_TraitDi[[#This Row],[Colonne28]]),FALSE)=0,"",TEXT(IFERROR(VLOOKUP(T_BilanSocial[[#This Row],[NumL]],T_TraitDi[#Data],COLUMN(T_TraitDi[[#This Row],[Colonne28]]),FALSE),""),"[hh]:mm"))</f>
        <v>#VALUE!</v>
      </c>
      <c r="BL176" s="172" t="str">
        <f>IFERROR(VLOOKUP(T_BilanSocial[[#This Row],[NumL]],T_TraitDi[#Data],COLUMN(T_TraitDi[[#This Row],[Colonne29]]),FALSE),"")</f>
        <v/>
      </c>
      <c r="BM176" s="172" t="e">
        <f>IF(VLOOKUP(T_BilanSocial[[#This Row],[NumL]],T_TraitDi[#Data],COLUMN(T_TraitDi[[#This Row],[Colonne30]]),FALSE)=0,"",TEXT(IFERROR(VLOOKUP(T_BilanSocial[[#This Row],[NumL]],T_TraitDi[#Data],COLUMN(T_TraitDi[[#This Row],[Colonne30]]),FALSE),""),"[hh]:mm"))</f>
        <v>#VALUE!</v>
      </c>
      <c r="BN176" s="172" t="e">
        <f>IF(VLOOKUP(T_BilanSocial[[#This Row],[NumL]],T_TraitDi[#Data],COLUMN(T_TraitDi[[#This Row],[Colonne31]]),FALSE)=0,"",TEXT(IFERROR(VLOOKUP(T_BilanSocial[[#This Row],[NumL]],T_TraitDi[#Data],COLUMN(T_TraitDi[[#This Row],[Colonne31]]),FALSE),""),"[hh]:mm"))</f>
        <v>#VALUE!</v>
      </c>
      <c r="BO176" s="172" t="e">
        <f>IF(VLOOKUP(T_BilanSocial[[#This Row],[NumL]],T_TraitDi[#Data],COLUMN(T_TraitDi[[#This Row],[Colonne32]]),FALSE)=0,"",TEXT(IFERROR(VLOOKUP(T_BilanSocial[[#This Row],[NumL]],T_TraitDi[#Data],COLUMN(T_TraitDi[[#This Row],[Colonne32]]),FALSE),""),"[hh]:mm"))</f>
        <v>#VALUE!</v>
      </c>
      <c r="BP176" s="172" t="e">
        <f>VLOOKUP(T_BilanSocial[[#This Row],[NumL]],T_TraitDi[#Data],COLUMN(T_TraitDi[NbJTot]),FALSE)</f>
        <v>#N/A</v>
      </c>
      <c r="BQ176" s="174" t="str">
        <f>IFERROR(VLOOKUP(T_BilanSocial[[#This Row],[NumL]],T_TraitDi[#Data],COLUMN(T_TraitDi[[#This Row],[NbJTW]]),FALSE),"")</f>
        <v/>
      </c>
      <c r="BR176" s="174" t="e">
        <f>IF(VLOOKUP(T_BilanSocial[[#This Row],[NumL]],T_TraitDi[#Data],COLUMN(T_TraitDi[[#This Row],[NbhTW]]),FALSE)=0,"",TEXT(IFERROR(VLOOKUP(T_BilanSocial[[#This Row],[NumL]],T_TraitDi[#Data],COLUMN(T_TraitDi[[#This Row],[NbhTW]]),FALSE),""),"[hh]:mm"))</f>
        <v>#VALUE!</v>
      </c>
      <c r="BS176" s="174" t="e">
        <f>IF(VLOOKUP(T_BilanSocial[[#This Row],[NumL]],T_TraitDi[#Data],COLUMN(T_TraitDi[[#This Row],[Nbhheb]]),FALSE)=0,"",TEXT(IFERROR(VLOOKUP($A176,T_TraitDi[#Data],COLUMN(T_TraitDi[[#This Row],[Nbhheb]]),FALSE),""),"[hh]:mm"))</f>
        <v>#VALUE!</v>
      </c>
      <c r="BT176" s="182" t="str">
        <f>IFERROR(VLOOKUP(VLOOKUP($A176,T_TraitDi[#Data],COLUMN(T_TraitDi[[#This Row],[Type1]]),FALSE),TypeTW,2,FALSE),"")</f>
        <v/>
      </c>
      <c r="BU176" s="182" t="str">
        <f>IFERROR(VLOOKUP($A176,T_TraitDi[#Data],COLUMN(T_TraitDi[[#This Row],[Rue1]]),FALSE),"")</f>
        <v/>
      </c>
      <c r="BV176" s="173" t="str">
        <f>IFERROR(VLOOKUP($A176,T_TraitDi[#Data],COLUMN(T_TraitDi[[#This Row],[CP1]]),FALSE),"")</f>
        <v/>
      </c>
      <c r="BW176" s="173" t="str">
        <f>IFERROR(VLOOKUP($A176,T_TraitDi[#Data],COLUMN(T_TraitDi[[#This Row],[VILLE1]]),FALSE),"")</f>
        <v/>
      </c>
      <c r="BX176" s="182" t="str">
        <f>IFERROR(VLOOKUP(VLOOKUP($A176,T_TraitDi[#Data],COLUMN(T_TraitDi[[#This Row],[Type2]]),FALSE),TypeTW,2,FALSE),"")</f>
        <v/>
      </c>
      <c r="BY176" s="182" t="str">
        <f>IFERROR(VLOOKUP($A176,T_TraitDi[#Data],COLUMN(T_TraitDi[[#This Row],[Rue2]]),FALSE),"")</f>
        <v/>
      </c>
      <c r="BZ176" s="173" t="str">
        <f>IFERROR(VLOOKUP($A176,T_TraitDi[#Data],COLUMN(T_TraitDi[[#This Row],[CP2]]),FALSE),"")</f>
        <v/>
      </c>
      <c r="CA176" s="173" t="str">
        <f>IFERROR(VLOOKUP($A176,T_TraitDi[#Data],COLUMN(T_TraitDi[[#This Row],[VILLE2]]),FALSE),"")</f>
        <v/>
      </c>
      <c r="CB176" s="182" t="str">
        <f>IF(VLOOKUP(T_BilanSocial[[#This Row],[NumL]],T_Equipement[#Data],COLUMN(T_Equipement[[#This Row],[PC]]),FALSE)="","Aucun équipement spécifique directement lié au télétravail",VLOOKUP(T_BilanSocial[[#This Row],[NumL]],T_Equipement[#Data],COLUMN(T_Equipement[[#This Row],[PC]]),FALSE))</f>
        <v xml:space="preserve">20-245	</v>
      </c>
      <c r="CC176" s="166" t="str">
        <f>IFERROR(IF(VLOOKUP(T_BilanSocial[[#This Row],[NumL]],T_TraitDi[#Data],COLUMN(T_TraitDi[[#This Row],[Plan]]),FALSE)="OK","Un planning spécifique de télétravail est annexé à la présente convention.",""),"")</f>
        <v/>
      </c>
      <c r="CD176" s="185"/>
      <c r="CE176" s="164" t="e">
        <f>IF(VLOOKUP(T_BilanSocial[[#This Row],[NumL]],T_suiviDi[#Data],COLUMN(T_suiviDi[[#This Row],[Entité]]),FALSE)="","",VLOOKUP(T_BilanSocial[[#This Row],[NumL]],T_suiviDi[#Data],COLUMN(T_suiviDi[[#This Row],[Entité]]),FALSE))</f>
        <v>#VALUE!</v>
      </c>
      <c r="CF176" s="164" t="str">
        <f>IF(VLOOKUP(T_BilanSocial[[#This Row],[NumL]],T_Commission[#Data],COLUMN(T_Commission[[#This Row],[envoi confirm TW]]),FALSE)="","",VLOOKUP(T_BilanSocial[[#This Row],[NumL]],T_Commission[#Data],COLUMN(T_Commission[[#This Row],[envoi confirm TW]]),FALSE))</f>
        <v>Oui</v>
      </c>
      <c r="CG17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6" s="262" t="str">
        <f>T_BilanSocial[[#This Row],[Nom]]&amp;T_BilanSocial[[#This Row],[Prenom]]</f>
        <v/>
      </c>
      <c r="CI176" s="262" t="str">
        <f>VLOOKUP(T_BilanSocial[[#This Row],[NumL]],T_Commission[#Data],COLUMN(T_Commission[Commentaire]),FALSE)</f>
        <v>Renouvellement à l'identique de la demande de télétravail sur 2 jours mais conditionné à un retour à 100 % après un mi-temps thérapeutique.</v>
      </c>
      <c r="CJ176" s="262" t="str">
        <f>IF(VLOOKUP(T_BilanSocial[[#This Row],[NumL]],T_Commission[#Data],COLUMN(T_Commission[Encadrant Email]),FALSE)="","",VLOOKUP(T_BilanSocial[[#This Row],[NumL]],T_Commission[#Data],COLUMN(T_Commission[Encadrant Email]),FALSE))</f>
        <v/>
      </c>
      <c r="CK176" s="340" t="str">
        <f>IF(T_BilanSocial[[#This Row],[Final]]&lt;&gt;"",VLOOKUP(T_BilanSocial[[#This Row],[NumL]],T_suiviDi[#Data],COLUMN((T_suiviDi[Statut])),FALSE),"")</f>
        <v/>
      </c>
    </row>
    <row r="177" spans="1:89" s="106" customFormat="1" ht="29.25" customHeight="1" x14ac:dyDescent="0.25">
      <c r="A177" s="160">
        <v>174</v>
      </c>
      <c r="B177" s="161" t="str">
        <f t="shared" si="22"/>
        <v/>
      </c>
      <c r="C177" s="162"/>
      <c r="D177" s="95" t="e">
        <f>IF(VLOOKUP(T_BilanSocial[[#This Row],[NumL]],T_TraitDi[#Data],COLUMN(T_TraitDi[[#This Row],[WebC]]),FALSE)="","",VLOOKUP(T_BilanSocial[[#This Row],[NumL]],T_TraitDi[#Data],COLUMN(T_TraitDi[[#This Row],[WebC]]),FALSE))</f>
        <v>#VALUE!</v>
      </c>
      <c r="E177" s="163" t="str">
        <f t="shared" si="23"/>
        <v>12 janvier 2021</v>
      </c>
      <c r="F177" s="96" t="str">
        <f>IF(T_BilanSocial[[#This Row],[Final]]&lt;&gt;"",VLOOKUP(T_BilanSocial[[#This Row],[NumL]],T_suiviDi[#Data],COLUMN((T_suiviDi[Civ.])),FALSE),"")</f>
        <v/>
      </c>
      <c r="G177" s="96" t="str">
        <f>IF(T_BilanSocial[[#This Row],[Final]]&lt;&gt;"",VLOOKUP(T_BilanSocial[[#This Row],[NumL]],T_suiviDi[#Data],COLUMN((T_suiviDi[Nom])),FALSE),"")</f>
        <v/>
      </c>
      <c r="H177" s="96" t="str">
        <f>IF(T_BilanSocial[[#This Row],[Final]]&lt;&gt;"",VLOOKUP(T_BilanSocial[[#This Row],[NumL]],T_suiviDi[#Data],COLUMN((T_suiviDi[Prénom])),FALSE),"")</f>
        <v/>
      </c>
      <c r="I177" s="96" t="str">
        <f>IFERROR(VLOOKUP(T_BilanSocial[[#This Row],[Zone_Bilan]],T_P_BilanSocial[#Data],COLUMN(T_P_BilanSocial[[#This Row],[Numero_SIHAM]]),FALSE),"")</f>
        <v/>
      </c>
      <c r="J177" s="96" t="str">
        <f>IFERROR(VLOOKUP(T_BilanSocial[[#This Row],[Zone_Bilan]],T_P_BilanSocial[#Data],COLUMN(T_P_BilanSocial[[#This Row],[Sexe]]),FALSE),"")</f>
        <v/>
      </c>
      <c r="K177" s="97" t="str">
        <f>IFERROR(VLOOKUP(T_BilanSocial[[#This Row],[Zone_Bilan]],T_P_BilanSocial[#Data],COLUMN(T_P_BilanSocial[[#This Row],[Categorie]]),FALSE),"")</f>
        <v/>
      </c>
      <c r="L177" s="96" t="str">
        <f>IFERROR(VLOOKUP(T_BilanSocial[[#This Row],[Zone_Bilan]],T_P_BilanSocial[#Data],COLUMN(T_P_BilanSocial[[#This Row],[Statut]]),FALSE),"")</f>
        <v/>
      </c>
      <c r="M177" s="96" t="str">
        <f>IFERROR(VLOOKUP(T_BilanSocial[[#This Row],[Zone_Bilan]],T_P_BilanSocial[#Data],COLUMN(T_P_BilanSocial[[#This Row],[Filiere]]),FALSE),"")</f>
        <v/>
      </c>
      <c r="N177" s="96" t="e">
        <f>VLOOKUP(T_BilanSocial[[#This Row],[NumL]],T_TraitDi[#Data],COLUMN(T_TraitDi[EXP]),FALSE)</f>
        <v>#N/A</v>
      </c>
      <c r="O177" s="96" t="e">
        <f>VLOOKUP(T_BilanSocial[[#This Row],[NumL]],T_TraitDi[#Data],COLUMN(T_TraitDi[FORM]),FALSE)</f>
        <v>#N/A</v>
      </c>
      <c r="P177" s="96" t="str">
        <f>IF(T_BilanSocial[[#This Row],[Final]]&lt;&gt;"",VLOOKUP(T_BilanSocial[[#This Row],[NumL]],T_suiviDi[#Data],COLUMN((T_suiviDi[Email])),FALSE),"")</f>
        <v/>
      </c>
      <c r="Q177" s="164" t="e">
        <f t="shared" si="28"/>
        <v>#N/A</v>
      </c>
      <c r="R177" s="164" t="e">
        <f t="shared" si="29"/>
        <v>#N/A</v>
      </c>
      <c r="S177" s="164" t="e">
        <f>IF(VLOOKUP(T_BilanSocial[[#This Row],[NumL]],T_suiviDi[#Data],COLUMN(T_suiviDi[[#This Row],[Service ]]),FALSE)="","",VLOOKUP(T_BilanSocial[[#This Row],[NumL]],T_suiviDi[#Data],COLUMN(T_suiviDi[[#This Row],[Service ]]),FALSE))</f>
        <v>#VALUE!</v>
      </c>
      <c r="T177" s="164" t="str">
        <f t="shared" si="24"/>
        <v>01 septembre 2021</v>
      </c>
      <c r="U177" s="164" t="str">
        <f t="shared" si="25"/>
        <v>30 novembre 2021</v>
      </c>
      <c r="V177" s="164" t="str">
        <f t="shared" si="31"/>
        <v>30 novembre 2021</v>
      </c>
      <c r="W177" s="176" t="e">
        <f>IF(VLOOKUP(T_BilanSocial[[#This Row],[NumL]],T_TraitDi[#Data],COLUMN(T_TraitDi[[#This Row],[M1]]),FALSE)="","",VLOOKUP(T_BilanSocial[[#This Row],[NumL]],T_TraitDi[#Data],COLUMN(T_TraitDi[[#This Row],[M1]]),FALSE))</f>
        <v>#VALUE!</v>
      </c>
      <c r="X177" s="176" t="e">
        <f>IF(VLOOKUP(T_BilanSocial[[#This Row],[NumL]],T_TraitDi[#Data],COLUMN(T_TraitDi[[#This Row],[M2]]),FALSE)="","",VLOOKUP(T_BilanSocial[[#This Row],[NumL]],T_TraitDi[#Data],COLUMN(T_TraitDi[[#This Row],[M2]]),FALSE))</f>
        <v>#VALUE!</v>
      </c>
      <c r="Y177" s="176" t="e">
        <f>IF(VLOOKUP(T_BilanSocial[[#This Row],[NumL]],T_TraitDi[#Data],COLUMN(T_TraitDi[[#This Row],[M3]]),FALSE)="","",VLOOKUP(T_BilanSocial[[#This Row],[NumL]],T_TraitDi[#Data],COLUMN(T_TraitDi[[#This Row],[M3]]),FALSE))</f>
        <v>#VALUE!</v>
      </c>
      <c r="Z177" s="176" t="str">
        <f t="shared" si="27"/>
        <v/>
      </c>
      <c r="AA177" s="176" t="e">
        <f>IF(VLOOKUP(T_BilanSocial[[#This Row],[NumL]],T_TraitDi[#Data],COLUMN(T_TraitDi[[#This Row],[M5]]),FALSE)="","",VLOOKUP(T_BilanSocial[[#This Row],[NumL]],T_TraitDi[#Data],COLUMN(T_TraitDi[[#This Row],[M5]]),FALSE))</f>
        <v>#VALUE!</v>
      </c>
      <c r="AB177" s="176" t="e">
        <f>IF(VLOOKUP(T_BilanSocial[[#This Row],[NumL]],T_TraitDi[#Data],COLUMN(T_TraitDi[[#This Row],[M6]]),FALSE)="","",VLOOKUP(T_BilanSocial[[#This Row],[NumL]],T_TraitDi[#Data],COLUMN(T_TraitDi[[#This Row],[M6]]),FALSE))</f>
        <v>#VALUE!</v>
      </c>
      <c r="AC177" s="165" t="e">
        <f t="shared" si="26"/>
        <v>#VALUE!</v>
      </c>
      <c r="AD177" s="188" t="str">
        <f>IFERROR(TEXT(VLOOKUP(T_BilanSocial[[#This Row],[NumL]],T_TraitDi[#Data],COLUMN(T_TraitDi[[#This Row],[Q2]]),FALSE),"###%"),"")</f>
        <v/>
      </c>
      <c r="AE177" s="97" t="e">
        <f>VLOOKUP(T_BilanSocial[[#This Row],[NumL]],T_TraitDi[#Data],COLUMN(T_TraitDi[[#This Row],[Reg Ponct]]),FALSE)</f>
        <v>#VALUE!</v>
      </c>
      <c r="AF177" s="97" t="e">
        <f>VLOOKUP(T_BilanSocial[NumL],T_TraitDi[#Data],COLUMN(T_TraitDi[[#This Row],[Jours flottants]]),FALSE)</f>
        <v>#VALUE!</v>
      </c>
      <c r="AG177" s="97" t="str">
        <f>IFERROR(VLOOKUP(T_BilanSocial[[#This Row],[NumL]],T_TraitDi[#Data],COLUMN(T_TraitDi[[#This Row],[Lundi]]),FALSE),"")</f>
        <v/>
      </c>
      <c r="AH177" s="172" t="e">
        <f>IF(VLOOKUP(T_BilanSocial[[#This Row],[NumL]],T_TraitDi[#Data],COLUMN(T_TraitDi[[#This Row],[Colonne3]]),FALSE)=0,"",TEXT(IFERROR(VLOOKUP(T_BilanSocial[[#This Row],[NumL]],T_TraitDi[#Data],COLUMN(T_TraitDi[[#This Row],[Colonne3]]),FALSE),""),"[hh]:mm"))</f>
        <v>#VALUE!</v>
      </c>
      <c r="AI177" s="172" t="e">
        <f>IF(VLOOKUP(T_BilanSocial[[#This Row],[NumL]],T_TraitDi[#Data],COLUMN(T_TraitDi[[#This Row],[Colonne4]]),FALSE)=0,"",TEXT(IFERROR(VLOOKUP(T_BilanSocial[[#This Row],[NumL]],T_TraitDi[#Data],COLUMN(T_TraitDi[[#This Row],[Colonne4]]),FALSE),""),"[hh]:mm"))</f>
        <v>#VALUE!</v>
      </c>
      <c r="AJ177" s="172" t="e">
        <f>IF(VLOOKUP(T_BilanSocial[[#This Row],[NumL]],T_TraitDi[#Data],COLUMN(T_TraitDi[[#This Row],[Colonne5]]),FALSE)=0,"",TEXT(IFERROR(VLOOKUP(T_BilanSocial[[#This Row],[NumL]],T_TraitDi[#Data],COLUMN(T_TraitDi[[#This Row],[Colonne5]]),FALSE),""),"[hh]:mm"))</f>
        <v>#VALUE!</v>
      </c>
      <c r="AK177" s="172" t="e">
        <f>IF(VLOOKUP(T_BilanSocial[[#This Row],[NumL]],T_TraitDi[#Data],COLUMN(T_TraitDi[[#This Row],[Colonne6]]),FALSE)=0,"",TEXT(IFERROR(VLOOKUP(T_BilanSocial[[#This Row],[NumL]],T_TraitDi[#Data],COLUMN(T_TraitDi[[#This Row],[Colonne6]]),FALSE),""),"[hh]:mm"))</f>
        <v>#VALUE!</v>
      </c>
      <c r="AL177" s="172" t="e">
        <f>IF(VLOOKUP(T_BilanSocial[[#This Row],[NumL]],T_TraitDi[#Data],COLUMN(T_TraitDi[[#This Row],[Colonne7]]),FALSE)=0,"",TEXT(IFERROR(VLOOKUP(T_BilanSocial[[#This Row],[NumL]],T_TraitDi[#Data],COLUMN(T_TraitDi[[#This Row],[Colonne7]]),FALSE),""),"[hh]:mm"))</f>
        <v>#VALUE!</v>
      </c>
      <c r="AM177" s="172" t="e">
        <f>IF(VLOOKUP(T_BilanSocial[[#This Row],[NumL]],T_TraitDi[#Data],COLUMN(T_TraitDi[[#This Row],[Colonne8]]),FALSE)=0,"",TEXT(IFERROR(VLOOKUP(T_BilanSocial[[#This Row],[NumL]],T_TraitDi[#Data],COLUMN(T_TraitDi[[#This Row],[Colonne8]]),FALSE),""),"[hh]:mm"))</f>
        <v>#VALUE!</v>
      </c>
      <c r="AN177" s="172" t="str">
        <f>IFERROR(VLOOKUP(T_BilanSocial[[#This Row],[NumL]],T_TraitDi[#Data],COLUMN(T_TraitDi[[#This Row],[Mardi]]),FALSE),"")</f>
        <v/>
      </c>
      <c r="AO177" s="172" t="e">
        <f>IF(VLOOKUP(T_BilanSocial[[#This Row],[NumL]],T_TraitDi[#Data],COLUMN(T_TraitDi[[#This Row],[Colonne1]]),FALSE)=0,"",TEXT(IFERROR(VLOOKUP(T_BilanSocial[[#This Row],[NumL]],T_TraitDi[#Data],COLUMN(T_TraitDi[[#This Row],[Colonne1]]),FALSE),""),"[hh]:mm"))</f>
        <v>#VALUE!</v>
      </c>
      <c r="AP177" s="172" t="e">
        <f>IF(VLOOKUP(T_BilanSocial[[#This Row],[NumL]],T_TraitDi[#Data],COLUMN(T_TraitDi[[#This Row],[Colonne9]]),FALSE)=0,"",TEXT(IFERROR(VLOOKUP(T_BilanSocial[[#This Row],[NumL]],T_TraitDi[#Data],COLUMN(T_TraitDi[[#This Row],[Colonne9]]),FALSE),""),"[hh]:mm"))</f>
        <v>#VALUE!</v>
      </c>
      <c r="AQ177" s="172" t="str">
        <f>IFERROR(VLOOKUP(T_BilanSocial[[#This Row],[NumL]],T_TraitDi[#Data],COLUMN(T_TraitDi[[#This Row],[Colonne10]]),FALSE),"")</f>
        <v/>
      </c>
      <c r="AR177" s="172" t="e">
        <f>IF(VLOOKUP(T_BilanSocial[[#This Row],[NumL]],T_TraitDi[#Data],COLUMN(T_TraitDi[[#This Row],[Colonne11]]),FALSE)=0,"",TEXT(IFERROR(VLOOKUP(T_BilanSocial[[#This Row],[NumL]],T_TraitDi[#Data],COLUMN(T_TraitDi[[#This Row],[Colonne11]]),FALSE),""),"[hh]:mm"))</f>
        <v>#VALUE!</v>
      </c>
      <c r="AS177" s="172" t="e">
        <f>IF(VLOOKUP(T_BilanSocial[[#This Row],[NumL]],T_TraitDi[#Data],COLUMN(T_TraitDi[[#This Row],[Colonne12]]),FALSE)=0,"",TEXT(IFERROR(VLOOKUP(T_BilanSocial[[#This Row],[NumL]],T_TraitDi[#Data],COLUMN(T_TraitDi[[#This Row],[Colonne12]]),FALSE),""),"[hh]:mm"))</f>
        <v>#VALUE!</v>
      </c>
      <c r="AT177" s="172" t="e">
        <f>IF(VLOOKUP(T_BilanSocial[[#This Row],[NumL]],T_TraitDi[#Data],COLUMN(T_TraitDi[[#This Row],[Colonne14]]),FALSE)=0,"",TEXT(IFERROR(VLOOKUP(T_BilanSocial[[#This Row],[NumL]],T_TraitDi[#Data],COLUMN(T_TraitDi[[#This Row],[Colonne14]]),FALSE),""),"[hh]:mm"))</f>
        <v>#VALUE!</v>
      </c>
      <c r="AU177" s="172" t="str">
        <f>IFERROR(VLOOKUP(T_BilanSocial[[#This Row],[NumL]],T_TraitDi[#Data],COLUMN(T_TraitDi[[#This Row],[Mercredi]]),FALSE),"")</f>
        <v/>
      </c>
      <c r="AV177" s="172" t="e">
        <f>IF(VLOOKUP(T_BilanSocial[[#This Row],[NumL]],T_TraitDi[#Data],COLUMN(T_TraitDi[[#This Row],[Colonne15]]),FALSE)=0,"",TEXT(IFERROR(VLOOKUP(T_BilanSocial[[#This Row],[NumL]],T_TraitDi[#Data],COLUMN(T_TraitDi[[#This Row],[Colonne15]]),FALSE),""),"[hh]:mm"))</f>
        <v>#VALUE!</v>
      </c>
      <c r="AW177" s="172" t="e">
        <f>IF(VLOOKUP(T_BilanSocial[[#This Row],[NumL]],T_TraitDi[#Data],COLUMN(T_TraitDi[[#This Row],[Colonne16]]),FALSE)=0,"",TEXT(IFERROR(VLOOKUP(T_BilanSocial[[#This Row],[NumL]],T_TraitDi[#Data],COLUMN(T_TraitDi[[#This Row],[Colonne16]]),FALSE),""),"[hh]:mm"))</f>
        <v>#VALUE!</v>
      </c>
      <c r="AX177" s="172" t="str">
        <f>IFERROR(VLOOKUP(T_BilanSocial[[#This Row],[NumL]],T_TraitDi[#Data],COLUMN(T_TraitDi[[#This Row],[Colonne17]]),FALSE),"")</f>
        <v/>
      </c>
      <c r="AY177" s="172" t="e">
        <f>IF(VLOOKUP(T_BilanSocial[[#This Row],[NumL]],T_TraitDi[#Data],COLUMN(T_TraitDi[[#This Row],[Colonne18]]),FALSE)=0,"",TEXT(IFERROR(VLOOKUP(T_BilanSocial[[#This Row],[NumL]],T_TraitDi[#Data],COLUMN(T_TraitDi[[#This Row],[Colonne18]]),FALSE),""),"[hh]:mm"))</f>
        <v>#VALUE!</v>
      </c>
      <c r="AZ177" s="172" t="e">
        <f>IF(VLOOKUP(T_BilanSocial[[#This Row],[NumL]],T_TraitDi[#Data],COLUMN(T_TraitDi[[#This Row],[Colonne19]]),FALSE)=0,"",TEXT(IFERROR(VLOOKUP(T_BilanSocial[[#This Row],[NumL]],T_TraitDi[#Data],COLUMN(T_TraitDi[[#This Row],[Colonne19]]),FALSE),""),"[hh]:mm"))</f>
        <v>#VALUE!</v>
      </c>
      <c r="BA177" s="172" t="e">
        <f>IF(VLOOKUP(T_BilanSocial[[#This Row],[NumL]],T_TraitDi[#Data],COLUMN(T_TraitDi[[#This Row],[Colonne20]]),FALSE)=0,"",TEXT(IFERROR(VLOOKUP(T_BilanSocial[[#This Row],[NumL]],T_TraitDi[#Data],COLUMN(T_TraitDi[[#This Row],[Colonne20]]),FALSE),""),"[hh]:mm"))</f>
        <v>#VALUE!</v>
      </c>
      <c r="BB177" s="178" t="str">
        <f>IFERROR(VLOOKUP(T_BilanSocial[[#This Row],[NumL]],T_TraitDi[#Data],COLUMN(T_TraitDi[[#This Row],[Jeudi]]),FALSE),"")</f>
        <v/>
      </c>
      <c r="BC177" s="178" t="e">
        <f>IF(VLOOKUP(T_BilanSocial[[#This Row],[NumL]],T_TraitDi[#Data],COLUMN(T_TraitDi[[#This Row],[Colonne21]]),FALSE)=0,"",TEXT(IFERROR(VLOOKUP(T_BilanSocial[[#This Row],[NumL]],T_TraitDi[#Data],COLUMN(T_TraitDi[[#This Row],[Colonne21]]),FALSE),""),"[hh]:mm"))</f>
        <v>#VALUE!</v>
      </c>
      <c r="BD177" s="178" t="e">
        <f>IF(VLOOKUP(T_BilanSocial[[#This Row],[NumL]],T_TraitDi[#Data],COLUMN(T_TraitDi[[#This Row],[Colonne22]]),FALSE)=0,"",TEXT(IFERROR(VLOOKUP(T_BilanSocial[[#This Row],[NumL]],T_TraitDi[#Data],COLUMN(T_TraitDi[[#This Row],[Colonne22]]),FALSE),""),"[hh]:mm"))</f>
        <v>#VALUE!</v>
      </c>
      <c r="BE177" s="178" t="str">
        <f>IFERROR(VLOOKUP(T_BilanSocial[[#This Row],[NumL]],T_TraitDi[#Data],COLUMN(T_TraitDi[[#This Row],[Colonne23]]),FALSE),"")</f>
        <v/>
      </c>
      <c r="BF177" s="178" t="e">
        <f>IF(VLOOKUP(T_BilanSocial[[#This Row],[NumL]],T_TraitDi[#Data],COLUMN(T_TraitDi[[#This Row],[Colonne24]]),FALSE)=0,"",TEXT(IFERROR(VLOOKUP(T_BilanSocial[[#This Row],[NumL]],T_TraitDi[#Data],COLUMN(T_TraitDi[[#This Row],[Colonne24]]),FALSE),""),"[hh]:mm"))</f>
        <v>#VALUE!</v>
      </c>
      <c r="BG177" s="178" t="e">
        <f>IF(VLOOKUP(T_BilanSocial[[#This Row],[NumL]],T_TraitDi[#Data],COLUMN(T_TraitDi[[#This Row],[Colonne25]]),FALSE)=0,"",TEXT(IFERROR(VLOOKUP(T_BilanSocial[[#This Row],[NumL]],T_TraitDi[#Data],COLUMN(T_TraitDi[[#This Row],[Colonne25]]),FALSE),""),"[hh]:mm"))</f>
        <v>#VALUE!</v>
      </c>
      <c r="BH177" s="178" t="e">
        <f>IF(VLOOKUP(T_BilanSocial[[#This Row],[NumL]],T_TraitDi[#Data],COLUMN(T_TraitDi[[#This Row],[Colonne26]]),FALSE)=0,"",TEXT(IFERROR(VLOOKUP(T_BilanSocial[[#This Row],[NumL]],T_TraitDi[#Data],COLUMN(T_TraitDi[[#This Row],[Colonne26]]),FALSE),""),"[hh]:mm"))</f>
        <v>#VALUE!</v>
      </c>
      <c r="BI177" s="172" t="str">
        <f>IFERROR(VLOOKUP(T_BilanSocial[[#This Row],[NumL]],T_TraitDi[#Data],COLUMN(T_TraitDi[[#This Row],[Vendredi]]),FALSE),"")</f>
        <v/>
      </c>
      <c r="BJ177" s="172" t="e">
        <f>IF(VLOOKUP(T_BilanSocial[[#This Row],[NumL]],T_TraitDi[#Data],COLUMN(T_TraitDi[[#This Row],[Colonne27]]),FALSE)=0,"",TEXT(IFERROR(VLOOKUP(T_BilanSocial[[#This Row],[NumL]],T_TraitDi[#Data],COLUMN(T_TraitDi[[#This Row],[Colonne27]]),FALSE),""),"[hh]:mm"))</f>
        <v>#VALUE!</v>
      </c>
      <c r="BK177" s="172" t="e">
        <f>IF(VLOOKUP(T_BilanSocial[[#This Row],[NumL]],T_TraitDi[#Data],COLUMN(T_TraitDi[[#This Row],[Colonne28]]),FALSE)=0,"",TEXT(IFERROR(VLOOKUP(T_BilanSocial[[#This Row],[NumL]],T_TraitDi[#Data],COLUMN(T_TraitDi[[#This Row],[Colonne28]]),FALSE),""),"[hh]:mm"))</f>
        <v>#VALUE!</v>
      </c>
      <c r="BL177" s="172" t="str">
        <f>IFERROR(VLOOKUP(T_BilanSocial[[#This Row],[NumL]],T_TraitDi[#Data],COLUMN(T_TraitDi[[#This Row],[Colonne29]]),FALSE),"")</f>
        <v/>
      </c>
      <c r="BM177" s="172" t="e">
        <f>IF(VLOOKUP(T_BilanSocial[[#This Row],[NumL]],T_TraitDi[#Data],COLUMN(T_TraitDi[[#This Row],[Colonne30]]),FALSE)=0,"",TEXT(IFERROR(VLOOKUP(T_BilanSocial[[#This Row],[NumL]],T_TraitDi[#Data],COLUMN(T_TraitDi[[#This Row],[Colonne30]]),FALSE),""),"[hh]:mm"))</f>
        <v>#VALUE!</v>
      </c>
      <c r="BN177" s="172" t="e">
        <f>IF(VLOOKUP(T_BilanSocial[[#This Row],[NumL]],T_TraitDi[#Data],COLUMN(T_TraitDi[[#This Row],[Colonne31]]),FALSE)=0,"",TEXT(IFERROR(VLOOKUP(T_BilanSocial[[#This Row],[NumL]],T_TraitDi[#Data],COLUMN(T_TraitDi[[#This Row],[Colonne31]]),FALSE),""),"[hh]:mm"))</f>
        <v>#VALUE!</v>
      </c>
      <c r="BO177" s="172" t="e">
        <f>IF(VLOOKUP(T_BilanSocial[[#This Row],[NumL]],T_TraitDi[#Data],COLUMN(T_TraitDi[[#This Row],[Colonne32]]),FALSE)=0,"",TEXT(IFERROR(VLOOKUP(T_BilanSocial[[#This Row],[NumL]],T_TraitDi[#Data],COLUMN(T_TraitDi[[#This Row],[Colonne32]]),FALSE),""),"[hh]:mm"))</f>
        <v>#VALUE!</v>
      </c>
      <c r="BP177" s="172" t="e">
        <f>VLOOKUP(T_BilanSocial[[#This Row],[NumL]],T_TraitDi[#Data],COLUMN(T_TraitDi[NbJTot]),FALSE)</f>
        <v>#N/A</v>
      </c>
      <c r="BQ177" s="174" t="str">
        <f>IFERROR(VLOOKUP(T_BilanSocial[[#This Row],[NumL]],T_TraitDi[#Data],COLUMN(T_TraitDi[[#This Row],[NbJTW]]),FALSE),"")</f>
        <v/>
      </c>
      <c r="BR177" s="174" t="e">
        <f>IF(VLOOKUP(T_BilanSocial[[#This Row],[NumL]],T_TraitDi[#Data],COLUMN(T_TraitDi[[#This Row],[NbhTW]]),FALSE)=0,"",TEXT(IFERROR(VLOOKUP(T_BilanSocial[[#This Row],[NumL]],T_TraitDi[#Data],COLUMN(T_TraitDi[[#This Row],[NbhTW]]),FALSE),""),"[hh]:mm"))</f>
        <v>#VALUE!</v>
      </c>
      <c r="BS177" s="174" t="e">
        <f>IF(VLOOKUP(T_BilanSocial[[#This Row],[NumL]],T_TraitDi[#Data],COLUMN(T_TraitDi[[#This Row],[Nbhheb]]),FALSE)=0,"",TEXT(IFERROR(VLOOKUP($A177,T_TraitDi[#Data],COLUMN(T_TraitDi[[#This Row],[Nbhheb]]),FALSE),""),"[hh]:mm"))</f>
        <v>#VALUE!</v>
      </c>
      <c r="BT177" s="182" t="str">
        <f>IFERROR(VLOOKUP(VLOOKUP($A177,T_TraitDi[#Data],COLUMN(T_TraitDi[[#This Row],[Type1]]),FALSE),TypeTW,2,FALSE),"")</f>
        <v/>
      </c>
      <c r="BU177" s="182" t="str">
        <f>IFERROR(VLOOKUP($A177,T_TraitDi[#Data],COLUMN(T_TraitDi[[#This Row],[Rue1]]),FALSE),"")</f>
        <v/>
      </c>
      <c r="BV177" s="173" t="str">
        <f>IFERROR(VLOOKUP($A177,T_TraitDi[#Data],COLUMN(T_TraitDi[[#This Row],[CP1]]),FALSE),"")</f>
        <v/>
      </c>
      <c r="BW177" s="173" t="str">
        <f>IFERROR(VLOOKUP($A177,T_TraitDi[#Data],COLUMN(T_TraitDi[[#This Row],[VILLE1]]),FALSE),"")</f>
        <v/>
      </c>
      <c r="BX177" s="182" t="str">
        <f>IFERROR(VLOOKUP(VLOOKUP($A177,T_TraitDi[#Data],COLUMN(T_TraitDi[[#This Row],[Type2]]),FALSE),TypeTW,2,FALSE),"")</f>
        <v/>
      </c>
      <c r="BY177" s="182" t="str">
        <f>IFERROR(VLOOKUP($A177,T_TraitDi[#Data],COLUMN(T_TraitDi[[#This Row],[Rue2]]),FALSE),"")</f>
        <v/>
      </c>
      <c r="BZ177" s="173" t="str">
        <f>IFERROR(VLOOKUP($A177,T_TraitDi[#Data],COLUMN(T_TraitDi[[#This Row],[CP2]]),FALSE),"")</f>
        <v/>
      </c>
      <c r="CA177" s="173" t="str">
        <f>IFERROR(VLOOKUP($A177,T_TraitDi[#Data],COLUMN(T_TraitDi[[#This Row],[VILLE2]]),FALSE),"")</f>
        <v/>
      </c>
      <c r="CB177" s="182" t="str">
        <f>IF(VLOOKUP(T_BilanSocial[[#This Row],[NumL]],T_Equipement[#Data],COLUMN(T_Equipement[[#This Row],[PC]]),FALSE)="","Aucun équipement spécifique directement lié au télétravail",VLOOKUP(T_BilanSocial[[#This Row],[NumL]],T_Equipement[#Data],COLUMN(T_Equipement[[#This Row],[PC]]),FALSE))</f>
        <v xml:space="preserve">20-643	</v>
      </c>
      <c r="CC177" s="166" t="str">
        <f>IFERROR(IF(VLOOKUP(T_BilanSocial[[#This Row],[NumL]],T_TraitDi[#Data],COLUMN(T_TraitDi[[#This Row],[Plan]]),FALSE)="OK","Un planning spécifique de télétravail est annexé à la présente convention.",""),"")</f>
        <v/>
      </c>
      <c r="CD177" s="258" t="s">
        <v>3423</v>
      </c>
      <c r="CE177" s="164" t="e">
        <f>IF(VLOOKUP(T_BilanSocial[[#This Row],[NumL]],T_suiviDi[#Data],COLUMN(T_suiviDi[[#This Row],[Entité]]),FALSE)="","",VLOOKUP(T_BilanSocial[[#This Row],[NumL]],T_suiviDi[#Data],COLUMN(T_suiviDi[[#This Row],[Entité]]),FALSE))</f>
        <v>#VALUE!</v>
      </c>
      <c r="CF177" s="164" t="str">
        <f>IF(VLOOKUP(T_BilanSocial[[#This Row],[NumL]],T_Commission[#Data],COLUMN(T_Commission[[#This Row],[envoi confirm TW]]),FALSE)="","",VLOOKUP(T_BilanSocial[[#This Row],[NumL]],T_Commission[#Data],COLUMN(T_Commission[[#This Row],[envoi confirm TW]]),FALSE))</f>
        <v>Oui</v>
      </c>
      <c r="CG17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7" s="262" t="str">
        <f>T_BilanSocial[[#This Row],[Nom]]&amp;T_BilanSocial[[#This Row],[Prenom]]</f>
        <v/>
      </c>
      <c r="CI177" s="262">
        <f>VLOOKUP(T_BilanSocial[[#This Row],[NumL]],T_Commission[#Data],COLUMN(T_Commission[Commentaire]),FALSE)</f>
        <v>0</v>
      </c>
      <c r="CJ177" s="262" t="str">
        <f>IF(VLOOKUP(T_BilanSocial[[#This Row],[NumL]],T_Commission[#Data],COLUMN(T_Commission[Encadrant Email]),FALSE)="","",VLOOKUP(T_BilanSocial[[#This Row],[NumL]],T_Commission[#Data],COLUMN(T_Commission[Encadrant Email]),FALSE))</f>
        <v/>
      </c>
      <c r="CK177" s="340" t="str">
        <f>IF(T_BilanSocial[[#This Row],[Final]]&lt;&gt;"",VLOOKUP(T_BilanSocial[[#This Row],[NumL]],T_suiviDi[#Data],COLUMN((T_suiviDi[Statut])),FALSE),"")</f>
        <v/>
      </c>
    </row>
    <row r="178" spans="1:89" s="106" customFormat="1" ht="24.75" customHeight="1" x14ac:dyDescent="0.25">
      <c r="A178" s="160">
        <v>175</v>
      </c>
      <c r="B178" s="161" t="str">
        <f t="shared" si="22"/>
        <v/>
      </c>
      <c r="C178" s="162" t="s">
        <v>139</v>
      </c>
      <c r="D178" s="95" t="e">
        <f>IF(VLOOKUP(T_BilanSocial[[#This Row],[NumL]],T_TraitDi[#Data],COLUMN(T_TraitDi[[#This Row],[WebC]]),FALSE)="","",VLOOKUP(T_BilanSocial[[#This Row],[NumL]],T_TraitDi[#Data],COLUMN(T_TraitDi[[#This Row],[WebC]]),FALSE))</f>
        <v>#VALUE!</v>
      </c>
      <c r="E178" s="163" t="str">
        <f t="shared" si="23"/>
        <v>12 janvier 2021</v>
      </c>
      <c r="F178" s="96" t="str">
        <f>IF(T_BilanSocial[[#This Row],[Final]]&lt;&gt;"",VLOOKUP(T_BilanSocial[[#This Row],[NumL]],T_suiviDi[#Data],COLUMN((T_suiviDi[Civ.])),FALSE),"")</f>
        <v/>
      </c>
      <c r="G178" s="96" t="str">
        <f>IF(T_BilanSocial[[#This Row],[Final]]&lt;&gt;"",VLOOKUP(T_BilanSocial[[#This Row],[NumL]],T_suiviDi[#Data],COLUMN((T_suiviDi[Nom])),FALSE),"")</f>
        <v/>
      </c>
      <c r="H178" s="96" t="str">
        <f>IF(T_BilanSocial[[#This Row],[Final]]&lt;&gt;"",VLOOKUP(T_BilanSocial[[#This Row],[NumL]],T_suiviDi[#Data],COLUMN((T_suiviDi[Prénom])),FALSE),"")</f>
        <v/>
      </c>
      <c r="I178" s="96" t="str">
        <f>IFERROR(VLOOKUP(T_BilanSocial[[#This Row],[Zone_Bilan]],T_P_BilanSocial[#Data],COLUMN(T_P_BilanSocial[[#This Row],[Numero_SIHAM]]),FALSE),"")</f>
        <v/>
      </c>
      <c r="J178" s="96" t="str">
        <f>IFERROR(VLOOKUP(T_BilanSocial[[#This Row],[Zone_Bilan]],T_P_BilanSocial[#Data],COLUMN(T_P_BilanSocial[[#This Row],[Sexe]]),FALSE),"")</f>
        <v/>
      </c>
      <c r="K178" s="97" t="str">
        <f>IFERROR(VLOOKUP(T_BilanSocial[[#This Row],[Zone_Bilan]],T_P_BilanSocial[#Data],COLUMN(T_P_BilanSocial[[#This Row],[Categorie]]),FALSE),"")</f>
        <v/>
      </c>
      <c r="L178" s="96" t="str">
        <f>IFERROR(VLOOKUP(T_BilanSocial[[#This Row],[Zone_Bilan]],T_P_BilanSocial[#Data],COLUMN(T_P_BilanSocial[[#This Row],[Statut]]),FALSE),"")</f>
        <v/>
      </c>
      <c r="M178" s="96" t="str">
        <f>IFERROR(VLOOKUP(T_BilanSocial[[#This Row],[Zone_Bilan]],T_P_BilanSocial[#Data],COLUMN(T_P_BilanSocial[[#This Row],[Filiere]]),FALSE),"")</f>
        <v/>
      </c>
      <c r="N178" s="96" t="e">
        <f>VLOOKUP(T_BilanSocial[[#This Row],[NumL]],T_TraitDi[#Data],COLUMN(T_TraitDi[EXP]),FALSE)</f>
        <v>#N/A</v>
      </c>
      <c r="O178" s="96" t="e">
        <f>VLOOKUP(T_BilanSocial[[#This Row],[NumL]],T_TraitDi[#Data],COLUMN(T_TraitDi[FORM]),FALSE)</f>
        <v>#N/A</v>
      </c>
      <c r="P178" s="96" t="str">
        <f>IF(T_BilanSocial[[#This Row],[Final]]&lt;&gt;"",VLOOKUP(T_BilanSocial[[#This Row],[NumL]],T_suiviDi[#Data],COLUMN((T_suiviDi[Email])),FALSE),"")</f>
        <v/>
      </c>
      <c r="Q178" s="164" t="e">
        <f t="shared" si="28"/>
        <v>#N/A</v>
      </c>
      <c r="R178" s="164" t="e">
        <f t="shared" si="29"/>
        <v>#N/A</v>
      </c>
      <c r="S178" s="164" t="e">
        <f>IF(VLOOKUP(T_BilanSocial[[#This Row],[NumL]],T_suiviDi[#Data],COLUMN(T_suiviDi[[#This Row],[Service ]]),FALSE)="","",VLOOKUP(T_BilanSocial[[#This Row],[NumL]],T_suiviDi[#Data],COLUMN(T_suiviDi[[#This Row],[Service ]]),FALSE))</f>
        <v>#VALUE!</v>
      </c>
      <c r="T178" s="164" t="str">
        <f t="shared" si="24"/>
        <v>01 septembre 2021</v>
      </c>
      <c r="U178" s="164" t="str">
        <f t="shared" si="25"/>
        <v>30 novembre 2021</v>
      </c>
      <c r="V178" s="256">
        <f>Datebilan</f>
        <v>44530</v>
      </c>
      <c r="W178" s="176" t="e">
        <f>IF(VLOOKUP(T_BilanSocial[[#This Row],[NumL]],T_TraitDi[#Data],COLUMN(T_TraitDi[[#This Row],[M1]]),FALSE)="","",VLOOKUP(T_BilanSocial[[#This Row],[NumL]],T_TraitDi[#Data],COLUMN(T_TraitDi[[#This Row],[M1]]),FALSE))</f>
        <v>#VALUE!</v>
      </c>
      <c r="X178" s="176" t="e">
        <f>IF(VLOOKUP(T_BilanSocial[[#This Row],[NumL]],T_TraitDi[#Data],COLUMN(T_TraitDi[[#This Row],[M2]]),FALSE)="","",VLOOKUP(T_BilanSocial[[#This Row],[NumL]],T_TraitDi[#Data],COLUMN(T_TraitDi[[#This Row],[M2]]),FALSE))</f>
        <v>#VALUE!</v>
      </c>
      <c r="Y178" s="176" t="e">
        <f>IF(VLOOKUP(T_BilanSocial[[#This Row],[NumL]],T_TraitDi[#Data],COLUMN(T_TraitDi[[#This Row],[M3]]),FALSE)="","",VLOOKUP(T_BilanSocial[[#This Row],[NumL]],T_TraitDi[#Data],COLUMN(T_TraitDi[[#This Row],[M3]]),FALSE))</f>
        <v>#VALUE!</v>
      </c>
      <c r="Z178" s="176" t="str">
        <f t="shared" si="27"/>
        <v/>
      </c>
      <c r="AA178" s="176" t="e">
        <f>IF(VLOOKUP(T_BilanSocial[[#This Row],[NumL]],T_TraitDi[#Data],COLUMN(T_TraitDi[[#This Row],[M5]]),FALSE)="","",VLOOKUP(T_BilanSocial[[#This Row],[NumL]],T_TraitDi[#Data],COLUMN(T_TraitDi[[#This Row],[M5]]),FALSE))</f>
        <v>#VALUE!</v>
      </c>
      <c r="AB178" s="176" t="e">
        <f>IF(VLOOKUP(T_BilanSocial[[#This Row],[NumL]],T_TraitDi[#Data],COLUMN(T_TraitDi[[#This Row],[M6]]),FALSE)="","",VLOOKUP(T_BilanSocial[[#This Row],[NumL]],T_TraitDi[#Data],COLUMN(T_TraitDi[[#This Row],[M6]]),FALSE))</f>
        <v>#VALUE!</v>
      </c>
      <c r="AC178" s="165" t="e">
        <f t="shared" si="26"/>
        <v>#VALUE!</v>
      </c>
      <c r="AD178" s="188" t="str">
        <f>IFERROR(TEXT(VLOOKUP(T_BilanSocial[[#This Row],[NumL]],T_TraitDi[#Data],COLUMN(T_TraitDi[[#This Row],[Q2]]),FALSE),"###%"),"")</f>
        <v/>
      </c>
      <c r="AE178" s="97" t="e">
        <f>VLOOKUP(T_BilanSocial[[#This Row],[NumL]],T_TraitDi[#Data],COLUMN(T_TraitDi[[#This Row],[Reg Ponct]]),FALSE)</f>
        <v>#VALUE!</v>
      </c>
      <c r="AF178" s="97" t="e">
        <f>VLOOKUP(T_BilanSocial[NumL],T_TraitDi[#Data],COLUMN(T_TraitDi[[#This Row],[Jours flottants]]),FALSE)</f>
        <v>#VALUE!</v>
      </c>
      <c r="AG178" s="97" t="str">
        <f>IFERROR(VLOOKUP(T_BilanSocial[[#This Row],[NumL]],T_TraitDi[#Data],COLUMN(T_TraitDi[[#This Row],[Lundi]]),FALSE),"")</f>
        <v/>
      </c>
      <c r="AH178" s="172" t="e">
        <f>IF(VLOOKUP(T_BilanSocial[[#This Row],[NumL]],T_TraitDi[#Data],COLUMN(T_TraitDi[[#This Row],[Colonne3]]),FALSE)=0,"",TEXT(IFERROR(VLOOKUP(T_BilanSocial[[#This Row],[NumL]],T_TraitDi[#Data],COLUMN(T_TraitDi[[#This Row],[Colonne3]]),FALSE),""),"[hh]:mm"))</f>
        <v>#VALUE!</v>
      </c>
      <c r="AI178" s="172" t="e">
        <f>IF(VLOOKUP(T_BilanSocial[[#This Row],[NumL]],T_TraitDi[#Data],COLUMN(T_TraitDi[[#This Row],[Colonne4]]),FALSE)=0,"",TEXT(IFERROR(VLOOKUP(T_BilanSocial[[#This Row],[NumL]],T_TraitDi[#Data],COLUMN(T_TraitDi[[#This Row],[Colonne4]]),FALSE),""),"[hh]:mm"))</f>
        <v>#VALUE!</v>
      </c>
      <c r="AJ178" s="172" t="e">
        <f>IF(VLOOKUP(T_BilanSocial[[#This Row],[NumL]],T_TraitDi[#Data],COLUMN(T_TraitDi[[#This Row],[Colonne5]]),FALSE)=0,"",TEXT(IFERROR(VLOOKUP(T_BilanSocial[[#This Row],[NumL]],T_TraitDi[#Data],COLUMN(T_TraitDi[[#This Row],[Colonne5]]),FALSE),""),"[hh]:mm"))</f>
        <v>#VALUE!</v>
      </c>
      <c r="AK178" s="172" t="e">
        <f>IF(VLOOKUP(T_BilanSocial[[#This Row],[NumL]],T_TraitDi[#Data],COLUMN(T_TraitDi[[#This Row],[Colonne6]]),FALSE)=0,"",TEXT(IFERROR(VLOOKUP(T_BilanSocial[[#This Row],[NumL]],T_TraitDi[#Data],COLUMN(T_TraitDi[[#This Row],[Colonne6]]),FALSE),""),"[hh]:mm"))</f>
        <v>#VALUE!</v>
      </c>
      <c r="AL178" s="172" t="e">
        <f>IF(VLOOKUP(T_BilanSocial[[#This Row],[NumL]],T_TraitDi[#Data],COLUMN(T_TraitDi[[#This Row],[Colonne7]]),FALSE)=0,"",TEXT(IFERROR(VLOOKUP(T_BilanSocial[[#This Row],[NumL]],T_TraitDi[#Data],COLUMN(T_TraitDi[[#This Row],[Colonne7]]),FALSE),""),"[hh]:mm"))</f>
        <v>#VALUE!</v>
      </c>
      <c r="AM178" s="172" t="e">
        <f>IF(VLOOKUP(T_BilanSocial[[#This Row],[NumL]],T_TraitDi[#Data],COLUMN(T_TraitDi[[#This Row],[Colonne8]]),FALSE)=0,"",TEXT(IFERROR(VLOOKUP(T_BilanSocial[[#This Row],[NumL]],T_TraitDi[#Data],COLUMN(T_TraitDi[[#This Row],[Colonne8]]),FALSE),""),"[hh]:mm"))</f>
        <v>#VALUE!</v>
      </c>
      <c r="AN178" s="172" t="str">
        <f>IFERROR(VLOOKUP(T_BilanSocial[[#This Row],[NumL]],T_TraitDi[#Data],COLUMN(T_TraitDi[[#This Row],[Mardi]]),FALSE),"")</f>
        <v/>
      </c>
      <c r="AO178" s="172" t="e">
        <f>IF(VLOOKUP(T_BilanSocial[[#This Row],[NumL]],T_TraitDi[#Data],COLUMN(T_TraitDi[[#This Row],[Colonne1]]),FALSE)=0,"",TEXT(IFERROR(VLOOKUP(T_BilanSocial[[#This Row],[NumL]],T_TraitDi[#Data],COLUMN(T_TraitDi[[#This Row],[Colonne1]]),FALSE),""),"[hh]:mm"))</f>
        <v>#VALUE!</v>
      </c>
      <c r="AP178" s="172" t="e">
        <f>IF(VLOOKUP(T_BilanSocial[[#This Row],[NumL]],T_TraitDi[#Data],COLUMN(T_TraitDi[[#This Row],[Colonne9]]),FALSE)=0,"",TEXT(IFERROR(VLOOKUP(T_BilanSocial[[#This Row],[NumL]],T_TraitDi[#Data],COLUMN(T_TraitDi[[#This Row],[Colonne9]]),FALSE),""),"[hh]:mm"))</f>
        <v>#VALUE!</v>
      </c>
      <c r="AQ178" s="172" t="str">
        <f>IFERROR(VLOOKUP(T_BilanSocial[[#This Row],[NumL]],T_TraitDi[#Data],COLUMN(T_TraitDi[[#This Row],[Colonne10]]),FALSE),"")</f>
        <v/>
      </c>
      <c r="AR178" s="172" t="e">
        <f>IF(VLOOKUP(T_BilanSocial[[#This Row],[NumL]],T_TraitDi[#Data],COLUMN(T_TraitDi[[#This Row],[Colonne11]]),FALSE)=0,"",TEXT(IFERROR(VLOOKUP(T_BilanSocial[[#This Row],[NumL]],T_TraitDi[#Data],COLUMN(T_TraitDi[[#This Row],[Colonne11]]),FALSE),""),"[hh]:mm"))</f>
        <v>#VALUE!</v>
      </c>
      <c r="AS178" s="172" t="e">
        <f>IF(VLOOKUP(T_BilanSocial[[#This Row],[NumL]],T_TraitDi[#Data],COLUMN(T_TraitDi[[#This Row],[Colonne12]]),FALSE)=0,"",TEXT(IFERROR(VLOOKUP(T_BilanSocial[[#This Row],[NumL]],T_TraitDi[#Data],COLUMN(T_TraitDi[[#This Row],[Colonne12]]),FALSE),""),"[hh]:mm"))</f>
        <v>#VALUE!</v>
      </c>
      <c r="AT178" s="172" t="e">
        <f>IF(VLOOKUP(T_BilanSocial[[#This Row],[NumL]],T_TraitDi[#Data],COLUMN(T_TraitDi[[#This Row],[Colonne14]]),FALSE)=0,"",TEXT(IFERROR(VLOOKUP(T_BilanSocial[[#This Row],[NumL]],T_TraitDi[#Data],COLUMN(T_TraitDi[[#This Row],[Colonne14]]),FALSE),""),"[hh]:mm"))</f>
        <v>#VALUE!</v>
      </c>
      <c r="AU178" s="172" t="str">
        <f>IFERROR(VLOOKUP(T_BilanSocial[[#This Row],[NumL]],T_TraitDi[#Data],COLUMN(T_TraitDi[[#This Row],[Mercredi]]),FALSE),"")</f>
        <v/>
      </c>
      <c r="AV178" s="172" t="e">
        <f>IF(VLOOKUP(T_BilanSocial[[#This Row],[NumL]],T_TraitDi[#Data],COLUMN(T_TraitDi[[#This Row],[Colonne15]]),FALSE)=0,"",TEXT(IFERROR(VLOOKUP(T_BilanSocial[[#This Row],[NumL]],T_TraitDi[#Data],COLUMN(T_TraitDi[[#This Row],[Colonne15]]),FALSE),""),"[hh]:mm"))</f>
        <v>#VALUE!</v>
      </c>
      <c r="AW178" s="172" t="e">
        <f>IF(VLOOKUP(T_BilanSocial[[#This Row],[NumL]],T_TraitDi[#Data],COLUMN(T_TraitDi[[#This Row],[Colonne16]]),FALSE)=0,"",TEXT(IFERROR(VLOOKUP(T_BilanSocial[[#This Row],[NumL]],T_TraitDi[#Data],COLUMN(T_TraitDi[[#This Row],[Colonne16]]),FALSE),""),"[hh]:mm"))</f>
        <v>#VALUE!</v>
      </c>
      <c r="AX178" s="172" t="str">
        <f>IFERROR(VLOOKUP(T_BilanSocial[[#This Row],[NumL]],T_TraitDi[#Data],COLUMN(T_TraitDi[[#This Row],[Colonne17]]),FALSE),"")</f>
        <v/>
      </c>
      <c r="AY178" s="172" t="e">
        <f>IF(VLOOKUP(T_BilanSocial[[#This Row],[NumL]],T_TraitDi[#Data],COLUMN(T_TraitDi[[#This Row],[Colonne18]]),FALSE)=0,"",TEXT(IFERROR(VLOOKUP(T_BilanSocial[[#This Row],[NumL]],T_TraitDi[#Data],COLUMN(T_TraitDi[[#This Row],[Colonne18]]),FALSE),""),"[hh]:mm"))</f>
        <v>#VALUE!</v>
      </c>
      <c r="AZ178" s="172" t="e">
        <f>IF(VLOOKUP(T_BilanSocial[[#This Row],[NumL]],T_TraitDi[#Data],COLUMN(T_TraitDi[[#This Row],[Colonne19]]),FALSE)=0,"",TEXT(IFERROR(VLOOKUP(T_BilanSocial[[#This Row],[NumL]],T_TraitDi[#Data],COLUMN(T_TraitDi[[#This Row],[Colonne19]]),FALSE),""),"[hh]:mm"))</f>
        <v>#VALUE!</v>
      </c>
      <c r="BA178" s="172" t="e">
        <f>IF(VLOOKUP(T_BilanSocial[[#This Row],[NumL]],T_TraitDi[#Data],COLUMN(T_TraitDi[[#This Row],[Colonne20]]),FALSE)=0,"",TEXT(IFERROR(VLOOKUP(T_BilanSocial[[#This Row],[NumL]],T_TraitDi[#Data],COLUMN(T_TraitDi[[#This Row],[Colonne20]]),FALSE),""),"[hh]:mm"))</f>
        <v>#VALUE!</v>
      </c>
      <c r="BB178" s="178" t="str">
        <f>IFERROR(VLOOKUP(T_BilanSocial[[#This Row],[NumL]],T_TraitDi[#Data],COLUMN(T_TraitDi[[#This Row],[Jeudi]]),FALSE),"")</f>
        <v/>
      </c>
      <c r="BC178" s="178" t="e">
        <f>IF(VLOOKUP(T_BilanSocial[[#This Row],[NumL]],T_TraitDi[#Data],COLUMN(T_TraitDi[[#This Row],[Colonne21]]),FALSE)=0,"",TEXT(IFERROR(VLOOKUP(T_BilanSocial[[#This Row],[NumL]],T_TraitDi[#Data],COLUMN(T_TraitDi[[#This Row],[Colonne21]]),FALSE),""),"[hh]:mm"))</f>
        <v>#VALUE!</v>
      </c>
      <c r="BD178" s="178" t="e">
        <f>IF(VLOOKUP(T_BilanSocial[[#This Row],[NumL]],T_TraitDi[#Data],COLUMN(T_TraitDi[[#This Row],[Colonne22]]),FALSE)=0,"",TEXT(IFERROR(VLOOKUP(T_BilanSocial[[#This Row],[NumL]],T_TraitDi[#Data],COLUMN(T_TraitDi[[#This Row],[Colonne22]]),FALSE),""),"[hh]:mm"))</f>
        <v>#VALUE!</v>
      </c>
      <c r="BE178" s="178" t="str">
        <f>IFERROR(VLOOKUP(T_BilanSocial[[#This Row],[NumL]],T_TraitDi[#Data],COLUMN(T_TraitDi[[#This Row],[Colonne23]]),FALSE),"")</f>
        <v/>
      </c>
      <c r="BF178" s="178" t="e">
        <f>IF(VLOOKUP(T_BilanSocial[[#This Row],[NumL]],T_TraitDi[#Data],COLUMN(T_TraitDi[[#This Row],[Colonne24]]),FALSE)=0,"",TEXT(IFERROR(VLOOKUP(T_BilanSocial[[#This Row],[NumL]],T_TraitDi[#Data],COLUMN(T_TraitDi[[#This Row],[Colonne24]]),FALSE),""),"[hh]:mm"))</f>
        <v>#VALUE!</v>
      </c>
      <c r="BG178" s="178" t="e">
        <f>IF(VLOOKUP(T_BilanSocial[[#This Row],[NumL]],T_TraitDi[#Data],COLUMN(T_TraitDi[[#This Row],[Colonne25]]),FALSE)=0,"",TEXT(IFERROR(VLOOKUP(T_BilanSocial[[#This Row],[NumL]],T_TraitDi[#Data],COLUMN(T_TraitDi[[#This Row],[Colonne25]]),FALSE),""),"[hh]:mm"))</f>
        <v>#VALUE!</v>
      </c>
      <c r="BH178" s="178" t="e">
        <f>IF(VLOOKUP(T_BilanSocial[[#This Row],[NumL]],T_TraitDi[#Data],COLUMN(T_TraitDi[[#This Row],[Colonne26]]),FALSE)=0,"",TEXT(IFERROR(VLOOKUP(T_BilanSocial[[#This Row],[NumL]],T_TraitDi[#Data],COLUMN(T_TraitDi[[#This Row],[Colonne26]]),FALSE),""),"[hh]:mm"))</f>
        <v>#VALUE!</v>
      </c>
      <c r="BI178" s="172" t="str">
        <f>IFERROR(VLOOKUP(T_BilanSocial[[#This Row],[NumL]],T_TraitDi[#Data],COLUMN(T_TraitDi[[#This Row],[Vendredi]]),FALSE),"")</f>
        <v/>
      </c>
      <c r="BJ178" s="172" t="e">
        <f>IF(VLOOKUP(T_BilanSocial[[#This Row],[NumL]],T_TraitDi[#Data],COLUMN(T_TraitDi[[#This Row],[Colonne27]]),FALSE)=0,"",TEXT(IFERROR(VLOOKUP(T_BilanSocial[[#This Row],[NumL]],T_TraitDi[#Data],COLUMN(T_TraitDi[[#This Row],[Colonne27]]),FALSE),""),"[hh]:mm"))</f>
        <v>#VALUE!</v>
      </c>
      <c r="BK178" s="172" t="e">
        <f>IF(VLOOKUP(T_BilanSocial[[#This Row],[NumL]],T_TraitDi[#Data],COLUMN(T_TraitDi[[#This Row],[Colonne28]]),FALSE)=0,"",TEXT(IFERROR(VLOOKUP(T_BilanSocial[[#This Row],[NumL]],T_TraitDi[#Data],COLUMN(T_TraitDi[[#This Row],[Colonne28]]),FALSE),""),"[hh]:mm"))</f>
        <v>#VALUE!</v>
      </c>
      <c r="BL178" s="172" t="str">
        <f>IFERROR(VLOOKUP(T_BilanSocial[[#This Row],[NumL]],T_TraitDi[#Data],COLUMN(T_TraitDi[[#This Row],[Colonne29]]),FALSE),"")</f>
        <v/>
      </c>
      <c r="BM178" s="172" t="e">
        <f>IF(VLOOKUP(T_BilanSocial[[#This Row],[NumL]],T_TraitDi[#Data],COLUMN(T_TraitDi[[#This Row],[Colonne30]]),FALSE)=0,"",TEXT(IFERROR(VLOOKUP(T_BilanSocial[[#This Row],[NumL]],T_TraitDi[#Data],COLUMN(T_TraitDi[[#This Row],[Colonne30]]),FALSE),""),"[hh]:mm"))</f>
        <v>#VALUE!</v>
      </c>
      <c r="BN178" s="172" t="e">
        <f>IF(VLOOKUP(T_BilanSocial[[#This Row],[NumL]],T_TraitDi[#Data],COLUMN(T_TraitDi[[#This Row],[Colonne31]]),FALSE)=0,"",TEXT(IFERROR(VLOOKUP(T_BilanSocial[[#This Row],[NumL]],T_TraitDi[#Data],COLUMN(T_TraitDi[[#This Row],[Colonne31]]),FALSE),""),"[hh]:mm"))</f>
        <v>#VALUE!</v>
      </c>
      <c r="BO178" s="172" t="e">
        <f>IF(VLOOKUP(T_BilanSocial[[#This Row],[NumL]],T_TraitDi[#Data],COLUMN(T_TraitDi[[#This Row],[Colonne32]]),FALSE)=0,"",TEXT(IFERROR(VLOOKUP(T_BilanSocial[[#This Row],[NumL]],T_TraitDi[#Data],COLUMN(T_TraitDi[[#This Row],[Colonne32]]),FALSE),""),"[hh]:mm"))</f>
        <v>#VALUE!</v>
      </c>
      <c r="BP178" s="172" t="e">
        <f>VLOOKUP(T_BilanSocial[[#This Row],[NumL]],T_TraitDi[#Data],COLUMN(T_TraitDi[NbJTot]),FALSE)</f>
        <v>#N/A</v>
      </c>
      <c r="BQ178" s="174" t="str">
        <f>IFERROR(VLOOKUP(T_BilanSocial[[#This Row],[NumL]],T_TraitDi[#Data],COLUMN(T_TraitDi[[#This Row],[NbJTW]]),FALSE),"")</f>
        <v/>
      </c>
      <c r="BR178" s="174" t="e">
        <f>IF(VLOOKUP(T_BilanSocial[[#This Row],[NumL]],T_TraitDi[#Data],COLUMN(T_TraitDi[[#This Row],[NbhTW]]),FALSE)=0,"",TEXT(IFERROR(VLOOKUP(T_BilanSocial[[#This Row],[NumL]],T_TraitDi[#Data],COLUMN(T_TraitDi[[#This Row],[NbhTW]]),FALSE),""),"[hh]:mm"))</f>
        <v>#VALUE!</v>
      </c>
      <c r="BS178" s="174" t="e">
        <f>IF(VLOOKUP(T_BilanSocial[[#This Row],[NumL]],T_TraitDi[#Data],COLUMN(T_TraitDi[[#This Row],[Nbhheb]]),FALSE)=0,"",TEXT(IFERROR(VLOOKUP($A178,T_TraitDi[#Data],COLUMN(T_TraitDi[[#This Row],[Nbhheb]]),FALSE),""),"[hh]:mm"))</f>
        <v>#VALUE!</v>
      </c>
      <c r="BT178" s="182" t="str">
        <f>IFERROR(VLOOKUP(VLOOKUP($A178,T_TraitDi[#Data],COLUMN(T_TraitDi[[#This Row],[Type1]]),FALSE),TypeTW,2,FALSE),"")</f>
        <v/>
      </c>
      <c r="BU178" s="182" t="str">
        <f>IFERROR(VLOOKUP($A178,T_TraitDi[#Data],COLUMN(T_TraitDi[[#This Row],[Rue1]]),FALSE),"")</f>
        <v/>
      </c>
      <c r="BV178" s="173" t="str">
        <f>IFERROR(VLOOKUP($A178,T_TraitDi[#Data],COLUMN(T_TraitDi[[#This Row],[CP1]]),FALSE),"")</f>
        <v/>
      </c>
      <c r="BW178" s="173" t="str">
        <f>IFERROR(VLOOKUP($A178,T_TraitDi[#Data],COLUMN(T_TraitDi[[#This Row],[VILLE1]]),FALSE),"")</f>
        <v/>
      </c>
      <c r="BX178" s="182" t="str">
        <f>IFERROR(VLOOKUP(VLOOKUP($A178,T_TraitDi[#Data],COLUMN(T_TraitDi[[#This Row],[Type2]]),FALSE),TypeTW,2,FALSE),"")</f>
        <v/>
      </c>
      <c r="BY178" s="182" t="str">
        <f>IFERROR(VLOOKUP($A178,T_TraitDi[#Data],COLUMN(T_TraitDi[[#This Row],[Rue2]]),FALSE),"")</f>
        <v/>
      </c>
      <c r="BZ178" s="173" t="str">
        <f>IFERROR(VLOOKUP($A178,T_TraitDi[#Data],COLUMN(T_TraitDi[[#This Row],[CP2]]),FALSE),"")</f>
        <v/>
      </c>
      <c r="CA178" s="173" t="str">
        <f>IFERROR(VLOOKUP($A178,T_TraitDi[#Data],COLUMN(T_TraitDi[[#This Row],[VILLE2]]),FALSE),"")</f>
        <v/>
      </c>
      <c r="CB178" s="182" t="str">
        <f>IF(VLOOKUP(T_BilanSocial[[#This Row],[NumL]],T_Equipement[#Data],COLUMN(T_Equipement[[#This Row],[PC]]),FALSE)="","Aucun équipement spécifique directement lié au télétravail",VLOOKUP(T_BilanSocial[[#This Row],[NumL]],T_Equipement[#Data],COLUMN(T_Equipement[[#This Row],[PC]]),FALSE))</f>
        <v xml:space="preserve">20-510	</v>
      </c>
      <c r="CC178" s="166" t="str">
        <f>IFERROR(IF(VLOOKUP(T_BilanSocial[[#This Row],[NumL]],T_TraitDi[#Data],COLUMN(T_TraitDi[[#This Row],[Plan]]),FALSE)="OK","Un planning spécifique de télétravail est annexé à la présente convention.",""),"")</f>
        <v/>
      </c>
      <c r="CD178" s="185"/>
      <c r="CE178" s="164" t="e">
        <f>IF(VLOOKUP(T_BilanSocial[[#This Row],[NumL]],T_suiviDi[#Data],COLUMN(T_suiviDi[[#This Row],[Entité]]),FALSE)="","",VLOOKUP(T_BilanSocial[[#This Row],[NumL]],T_suiviDi[#Data],COLUMN(T_suiviDi[[#This Row],[Entité]]),FALSE))</f>
        <v>#VALUE!</v>
      </c>
      <c r="CF178" s="164" t="str">
        <f>IF(VLOOKUP(T_BilanSocial[[#This Row],[NumL]],T_Commission[#Data],COLUMN(T_Commission[[#This Row],[envoi confirm TW]]),FALSE)="","",VLOOKUP(T_BilanSocial[[#This Row],[NumL]],T_Commission[#Data],COLUMN(T_Commission[[#This Row],[envoi confirm TW]]),FALSE))</f>
        <v>Oui</v>
      </c>
      <c r="CG17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8" s="262" t="str">
        <f>T_BilanSocial[[#This Row],[Nom]]&amp;T_BilanSocial[[#This Row],[Prenom]]</f>
        <v/>
      </c>
      <c r="CI178" s="262">
        <f>VLOOKUP(T_BilanSocial[[#This Row],[NumL]],T_Commission[#Data],COLUMN(T_Commission[Commentaire]),FALSE)</f>
        <v>0</v>
      </c>
      <c r="CJ178" s="262" t="str">
        <f>IF(VLOOKUP(T_BilanSocial[[#This Row],[NumL]],T_Commission[#Data],COLUMN(T_Commission[Encadrant Email]),FALSE)="","",VLOOKUP(T_BilanSocial[[#This Row],[NumL]],T_Commission[#Data],COLUMN(T_Commission[Encadrant Email]),FALSE))</f>
        <v/>
      </c>
      <c r="CK178" s="340" t="str">
        <f>IF(T_BilanSocial[[#This Row],[Final]]&lt;&gt;"",VLOOKUP(T_BilanSocial[[#This Row],[NumL]],T_suiviDi[#Data],COLUMN((T_suiviDi[Statut])),FALSE),"")</f>
        <v/>
      </c>
    </row>
    <row r="179" spans="1:89" s="106" customFormat="1" ht="24.75" customHeight="1" x14ac:dyDescent="0.25">
      <c r="A179" s="160">
        <v>176</v>
      </c>
      <c r="B179" s="161">
        <f t="shared" si="22"/>
        <v>1</v>
      </c>
      <c r="C179" s="162" t="s">
        <v>173</v>
      </c>
      <c r="D179" s="95" t="e">
        <f>IF(VLOOKUP(T_BilanSocial[[#This Row],[NumL]],T_TraitDi[#Data],COLUMN(T_TraitDi[[#This Row],[WebC]]),FALSE)="","",VLOOKUP(T_BilanSocial[[#This Row],[NumL]],T_TraitDi[#Data],COLUMN(T_TraitDi[[#This Row],[WebC]]),FALSE))</f>
        <v>#VALUE!</v>
      </c>
      <c r="E179" s="163" t="str">
        <f t="shared" si="23"/>
        <v>12 janvier 2021</v>
      </c>
      <c r="F179" s="96" t="str">
        <f>IF(T_BilanSocial[[#This Row],[Final]]&lt;&gt;"",VLOOKUP(T_BilanSocial[[#This Row],[NumL]],T_suiviDi[#Data],COLUMN((T_suiviDi[Civ.])),FALSE),"")</f>
        <v>Mme</v>
      </c>
      <c r="G179" s="96" t="str">
        <f>IF(T_BilanSocial[[#This Row],[Final]]&lt;&gt;"",VLOOKUP(T_BilanSocial[[#This Row],[NumL]],T_suiviDi[#Data],COLUMN((T_suiviDi[Nom])),FALSE),"")</f>
        <v>A</v>
      </c>
      <c r="H179" s="96" t="str">
        <f>IF(T_BilanSocial[[#This Row],[Final]]&lt;&gt;"",VLOOKUP(T_BilanSocial[[#This Row],[NumL]],T_suiviDi[#Data],COLUMN((T_suiviDi[Prénom])),FALSE),"")</f>
        <v>Annie</v>
      </c>
      <c r="I179" s="96" t="str">
        <f>IFERROR(VLOOKUP(T_BilanSocial[[#This Row],[Zone_Bilan]],T_P_BilanSocial[#Data],COLUMN(T_P_BilanSocial[[#This Row],[Numero_SIHAM]]),FALSE),"")</f>
        <v/>
      </c>
      <c r="J179" s="96" t="str">
        <f>IFERROR(VLOOKUP(T_BilanSocial[[#This Row],[Zone_Bilan]],T_P_BilanSocial[#Data],COLUMN(T_P_BilanSocial[[#This Row],[Sexe]]),FALSE),"")</f>
        <v/>
      </c>
      <c r="K179" s="97" t="str">
        <f>IFERROR(VLOOKUP(T_BilanSocial[[#This Row],[Zone_Bilan]],T_P_BilanSocial[#Data],COLUMN(T_P_BilanSocial[[#This Row],[Categorie]]),FALSE),"")</f>
        <v/>
      </c>
      <c r="L179" s="96" t="str">
        <f>IFERROR(VLOOKUP(T_BilanSocial[[#This Row],[Zone_Bilan]],T_P_BilanSocial[#Data],COLUMN(T_P_BilanSocial[[#This Row],[Statut]]),FALSE),"")</f>
        <v/>
      </c>
      <c r="M179" s="96" t="str">
        <f>IFERROR(VLOOKUP(T_BilanSocial[[#This Row],[Zone_Bilan]],T_P_BilanSocial[#Data],COLUMN(T_P_BilanSocial[[#This Row],[Filiere]]),FALSE),"")</f>
        <v/>
      </c>
      <c r="N179" s="96" t="str">
        <f>VLOOKUP(T_BilanSocial[[#This Row],[NumL]],T_TraitDi[#Data],COLUMN(T_TraitDi[EXP]),FALSE)</f>
        <v>N</v>
      </c>
      <c r="O179" s="96" t="str">
        <f>VLOOKUP(T_BilanSocial[[#This Row],[NumL]],T_TraitDi[#Data],COLUMN(T_TraitDi[FORM]),FALSE)</f>
        <v>N</v>
      </c>
      <c r="P179" s="96">
        <f>IF(T_BilanSocial[[#This Row],[Final]]&lt;&gt;"",VLOOKUP(T_BilanSocial[[#This Row],[NumL]],T_suiviDi[#Data],COLUMN((T_suiviDi[Email])),FALSE),"")</f>
        <v>0</v>
      </c>
      <c r="Q179" s="164" t="str">
        <f t="shared" si="28"/>
        <v/>
      </c>
      <c r="R179" s="164" t="str">
        <f t="shared" si="29"/>
        <v>Responsable de scolarité de la licence LEA</v>
      </c>
      <c r="S179" s="164" t="e">
        <f>IF(VLOOKUP(T_BilanSocial[[#This Row],[NumL]],T_suiviDi[#Data],COLUMN(T_suiviDi[[#This Row],[Service ]]),FALSE)="","",VLOOKUP(T_BilanSocial[[#This Row],[NumL]],T_suiviDi[#Data],COLUMN(T_suiviDi[[#This Row],[Service ]]),FALSE))</f>
        <v>#VALUE!</v>
      </c>
      <c r="T179" s="164" t="str">
        <f t="shared" si="24"/>
        <v>01 septembre 2021</v>
      </c>
      <c r="U179" s="164" t="str">
        <f t="shared" si="25"/>
        <v>30 novembre 2021</v>
      </c>
      <c r="V179" s="164" t="str">
        <f>TEXT(Datebilan,"jj mmmm aaaa")</f>
        <v>30 novembre 2021</v>
      </c>
      <c r="W179" s="176" t="e">
        <f>IF(VLOOKUP(T_BilanSocial[[#This Row],[NumL]],T_TraitDi[#Data],COLUMN(T_TraitDi[[#This Row],[M1]]),FALSE)="","",VLOOKUP(T_BilanSocial[[#This Row],[NumL]],T_TraitDi[#Data],COLUMN(T_TraitDi[[#This Row],[M1]]),FALSE))</f>
        <v>#VALUE!</v>
      </c>
      <c r="X179" s="176" t="e">
        <f>IF(VLOOKUP(T_BilanSocial[[#This Row],[NumL]],T_TraitDi[#Data],COLUMN(T_TraitDi[[#This Row],[M2]]),FALSE)="","",VLOOKUP(T_BilanSocial[[#This Row],[NumL]],T_TraitDi[#Data],COLUMN(T_TraitDi[[#This Row],[M2]]),FALSE))</f>
        <v>#VALUE!</v>
      </c>
      <c r="Y179" s="176" t="e">
        <f>IF(VLOOKUP(T_BilanSocial[[#This Row],[NumL]],T_TraitDi[#Data],COLUMN(T_TraitDi[[#This Row],[M3]]),FALSE)="","",VLOOKUP(T_BilanSocial[[#This Row],[NumL]],T_TraitDi[#Data],COLUMN(T_TraitDi[[#This Row],[M3]]),FALSE))</f>
        <v>#VALUE!</v>
      </c>
      <c r="Z179" s="176" t="str">
        <f t="shared" si="27"/>
        <v xml:space="preserve"> -Planning des examens</v>
      </c>
      <c r="AA179" s="176" t="e">
        <f>IF(VLOOKUP(T_BilanSocial[[#This Row],[NumL]],T_TraitDi[#Data],COLUMN(T_TraitDi[[#This Row],[M5]]),FALSE)="","",VLOOKUP(T_BilanSocial[[#This Row],[NumL]],T_TraitDi[#Data],COLUMN(T_TraitDi[[#This Row],[M5]]),FALSE))</f>
        <v>#VALUE!</v>
      </c>
      <c r="AB179" s="176" t="e">
        <f>IF(VLOOKUP(T_BilanSocial[[#This Row],[NumL]],T_TraitDi[#Data],COLUMN(T_TraitDi[[#This Row],[M6]]),FALSE)="","",VLOOKUP(T_BilanSocial[[#This Row],[NumL]],T_TraitDi[#Data],COLUMN(T_TraitDi[[#This Row],[M6]]),FALSE))</f>
        <v>#VALUE!</v>
      </c>
      <c r="AC179" s="165" t="e">
        <f t="shared" si="26"/>
        <v>#VALUE!</v>
      </c>
      <c r="AD179" s="188" t="str">
        <f>IFERROR(TEXT(VLOOKUP(T_BilanSocial[[#This Row],[NumL]],T_TraitDi[#Data],COLUMN(T_TraitDi[[#This Row],[Q2]]),FALSE),"###%"),"")</f>
        <v/>
      </c>
      <c r="AE179" s="97" t="e">
        <f>VLOOKUP(T_BilanSocial[[#This Row],[NumL]],T_TraitDi[#Data],COLUMN(T_TraitDi[[#This Row],[Reg Ponct]]),FALSE)</f>
        <v>#VALUE!</v>
      </c>
      <c r="AF179" s="97" t="e">
        <f>VLOOKUP(T_BilanSocial[NumL],T_TraitDi[#Data],COLUMN(T_TraitDi[[#This Row],[Jours flottants]]),FALSE)</f>
        <v>#VALUE!</v>
      </c>
      <c r="AG179" s="97" t="str">
        <f>IFERROR(VLOOKUP(T_BilanSocial[[#This Row],[NumL]],T_TraitDi[#Data],COLUMN(T_TraitDi[[#This Row],[Lundi]]),FALSE),"")</f>
        <v/>
      </c>
      <c r="AH179" s="172" t="e">
        <f>IF(VLOOKUP(T_BilanSocial[[#This Row],[NumL]],T_TraitDi[#Data],COLUMN(T_TraitDi[[#This Row],[Colonne3]]),FALSE)=0,"",TEXT(IFERROR(VLOOKUP(T_BilanSocial[[#This Row],[NumL]],T_TraitDi[#Data],COLUMN(T_TraitDi[[#This Row],[Colonne3]]),FALSE),""),"[hh]:mm"))</f>
        <v>#VALUE!</v>
      </c>
      <c r="AI179" s="172" t="e">
        <f>IF(VLOOKUP(T_BilanSocial[[#This Row],[NumL]],T_TraitDi[#Data],COLUMN(T_TraitDi[[#This Row],[Colonne4]]),FALSE)=0,"",TEXT(IFERROR(VLOOKUP(T_BilanSocial[[#This Row],[NumL]],T_TraitDi[#Data],COLUMN(T_TraitDi[[#This Row],[Colonne4]]),FALSE),""),"[hh]:mm"))</f>
        <v>#VALUE!</v>
      </c>
      <c r="AJ179" s="172" t="e">
        <f>IF(VLOOKUP(T_BilanSocial[[#This Row],[NumL]],T_TraitDi[#Data],COLUMN(T_TraitDi[[#This Row],[Colonne5]]),FALSE)=0,"",TEXT(IFERROR(VLOOKUP(T_BilanSocial[[#This Row],[NumL]],T_TraitDi[#Data],COLUMN(T_TraitDi[[#This Row],[Colonne5]]),FALSE),""),"[hh]:mm"))</f>
        <v>#VALUE!</v>
      </c>
      <c r="AK179" s="172" t="e">
        <f>IF(VLOOKUP(T_BilanSocial[[#This Row],[NumL]],T_TraitDi[#Data],COLUMN(T_TraitDi[[#This Row],[Colonne6]]),FALSE)=0,"",TEXT(IFERROR(VLOOKUP(T_BilanSocial[[#This Row],[NumL]],T_TraitDi[#Data],COLUMN(T_TraitDi[[#This Row],[Colonne6]]),FALSE),""),"[hh]:mm"))</f>
        <v>#VALUE!</v>
      </c>
      <c r="AL179" s="172" t="e">
        <f>IF(VLOOKUP(T_BilanSocial[[#This Row],[NumL]],T_TraitDi[#Data],COLUMN(T_TraitDi[[#This Row],[Colonne7]]),FALSE)=0,"",TEXT(IFERROR(VLOOKUP(T_BilanSocial[[#This Row],[NumL]],T_TraitDi[#Data],COLUMN(T_TraitDi[[#This Row],[Colonne7]]),FALSE),""),"[hh]:mm"))</f>
        <v>#VALUE!</v>
      </c>
      <c r="AM179" s="172" t="e">
        <f>IF(VLOOKUP(T_BilanSocial[[#This Row],[NumL]],T_TraitDi[#Data],COLUMN(T_TraitDi[[#This Row],[Colonne8]]),FALSE)=0,"",TEXT(IFERROR(VLOOKUP(T_BilanSocial[[#This Row],[NumL]],T_TraitDi[#Data],COLUMN(T_TraitDi[[#This Row],[Colonne8]]),FALSE),""),"[hh]:mm"))</f>
        <v>#VALUE!</v>
      </c>
      <c r="AN179" s="172" t="str">
        <f>IFERROR(VLOOKUP(T_BilanSocial[[#This Row],[NumL]],T_TraitDi[#Data],COLUMN(T_TraitDi[[#This Row],[Mardi]]),FALSE),"")</f>
        <v/>
      </c>
      <c r="AO179" s="172" t="e">
        <f>IF(VLOOKUP(T_BilanSocial[[#This Row],[NumL]],T_TraitDi[#Data],COLUMN(T_TraitDi[[#This Row],[Colonne1]]),FALSE)=0,"",TEXT(IFERROR(VLOOKUP(T_BilanSocial[[#This Row],[NumL]],T_TraitDi[#Data],COLUMN(T_TraitDi[[#This Row],[Colonne1]]),FALSE),""),"[hh]:mm"))</f>
        <v>#VALUE!</v>
      </c>
      <c r="AP179" s="172" t="e">
        <f>IF(VLOOKUP(T_BilanSocial[[#This Row],[NumL]],T_TraitDi[#Data],COLUMN(T_TraitDi[[#This Row],[Colonne9]]),FALSE)=0,"",TEXT(IFERROR(VLOOKUP(T_BilanSocial[[#This Row],[NumL]],T_TraitDi[#Data],COLUMN(T_TraitDi[[#This Row],[Colonne9]]),FALSE),""),"[hh]:mm"))</f>
        <v>#VALUE!</v>
      </c>
      <c r="AQ179" s="172" t="str">
        <f>IFERROR(VLOOKUP(T_BilanSocial[[#This Row],[NumL]],T_TraitDi[#Data],COLUMN(T_TraitDi[[#This Row],[Colonne10]]),FALSE),"")</f>
        <v/>
      </c>
      <c r="AR179" s="172" t="e">
        <f>IF(VLOOKUP(T_BilanSocial[[#This Row],[NumL]],T_TraitDi[#Data],COLUMN(T_TraitDi[[#This Row],[Colonne11]]),FALSE)=0,"",TEXT(IFERROR(VLOOKUP(T_BilanSocial[[#This Row],[NumL]],T_TraitDi[#Data],COLUMN(T_TraitDi[[#This Row],[Colonne11]]),FALSE),""),"[hh]:mm"))</f>
        <v>#VALUE!</v>
      </c>
      <c r="AS179" s="172" t="e">
        <f>IF(VLOOKUP(T_BilanSocial[[#This Row],[NumL]],T_TraitDi[#Data],COLUMN(T_TraitDi[[#This Row],[Colonne12]]),FALSE)=0,"",TEXT(IFERROR(VLOOKUP(T_BilanSocial[[#This Row],[NumL]],T_TraitDi[#Data],COLUMN(T_TraitDi[[#This Row],[Colonne12]]),FALSE),""),"[hh]:mm"))</f>
        <v>#VALUE!</v>
      </c>
      <c r="AT179" s="172" t="e">
        <f>IF(VLOOKUP(T_BilanSocial[[#This Row],[NumL]],T_TraitDi[#Data],COLUMN(T_TraitDi[[#This Row],[Colonne14]]),FALSE)=0,"",TEXT(IFERROR(VLOOKUP(T_BilanSocial[[#This Row],[NumL]],T_TraitDi[#Data],COLUMN(T_TraitDi[[#This Row],[Colonne14]]),FALSE),""),"[hh]:mm"))</f>
        <v>#VALUE!</v>
      </c>
      <c r="AU179" s="172" t="str">
        <f>IFERROR(VLOOKUP(T_BilanSocial[[#This Row],[NumL]],T_TraitDi[#Data],COLUMN(T_TraitDi[[#This Row],[Mercredi]]),FALSE),"")</f>
        <v/>
      </c>
      <c r="AV179" s="172" t="e">
        <f>IF(VLOOKUP(T_BilanSocial[[#This Row],[NumL]],T_TraitDi[#Data],COLUMN(T_TraitDi[[#This Row],[Colonne15]]),FALSE)=0,"",TEXT(IFERROR(VLOOKUP(T_BilanSocial[[#This Row],[NumL]],T_TraitDi[#Data],COLUMN(T_TraitDi[[#This Row],[Colonne15]]),FALSE),""),"[hh]:mm"))</f>
        <v>#VALUE!</v>
      </c>
      <c r="AW179" s="172" t="e">
        <f>IF(VLOOKUP(T_BilanSocial[[#This Row],[NumL]],T_TraitDi[#Data],COLUMN(T_TraitDi[[#This Row],[Colonne16]]),FALSE)=0,"",TEXT(IFERROR(VLOOKUP(T_BilanSocial[[#This Row],[NumL]],T_TraitDi[#Data],COLUMN(T_TraitDi[[#This Row],[Colonne16]]),FALSE),""),"[hh]:mm"))</f>
        <v>#VALUE!</v>
      </c>
      <c r="AX179" s="172" t="str">
        <f>IFERROR(VLOOKUP(T_BilanSocial[[#This Row],[NumL]],T_TraitDi[#Data],COLUMN(T_TraitDi[[#This Row],[Colonne17]]),FALSE),"")</f>
        <v/>
      </c>
      <c r="AY179" s="172" t="e">
        <f>IF(VLOOKUP(T_BilanSocial[[#This Row],[NumL]],T_TraitDi[#Data],COLUMN(T_TraitDi[[#This Row],[Colonne18]]),FALSE)=0,"",TEXT(IFERROR(VLOOKUP(T_BilanSocial[[#This Row],[NumL]],T_TraitDi[#Data],COLUMN(T_TraitDi[[#This Row],[Colonne18]]),FALSE),""),"[hh]:mm"))</f>
        <v>#VALUE!</v>
      </c>
      <c r="AZ179" s="172" t="e">
        <f>IF(VLOOKUP(T_BilanSocial[[#This Row],[NumL]],T_TraitDi[#Data],COLUMN(T_TraitDi[[#This Row],[Colonne19]]),FALSE)=0,"",TEXT(IFERROR(VLOOKUP(T_BilanSocial[[#This Row],[NumL]],T_TraitDi[#Data],COLUMN(T_TraitDi[[#This Row],[Colonne19]]),FALSE),""),"[hh]:mm"))</f>
        <v>#VALUE!</v>
      </c>
      <c r="BA179" s="172" t="e">
        <f>IF(VLOOKUP(T_BilanSocial[[#This Row],[NumL]],T_TraitDi[#Data],COLUMN(T_TraitDi[[#This Row],[Colonne20]]),FALSE)=0,"",TEXT(IFERROR(VLOOKUP(T_BilanSocial[[#This Row],[NumL]],T_TraitDi[#Data],COLUMN(T_TraitDi[[#This Row],[Colonne20]]),FALSE),""),"[hh]:mm"))</f>
        <v>#VALUE!</v>
      </c>
      <c r="BB179" s="178" t="str">
        <f>IFERROR(VLOOKUP(T_BilanSocial[[#This Row],[NumL]],T_TraitDi[#Data],COLUMN(T_TraitDi[[#This Row],[Jeudi]]),FALSE),"")</f>
        <v/>
      </c>
      <c r="BC179" s="178" t="e">
        <f>IF(VLOOKUP(T_BilanSocial[[#This Row],[NumL]],T_TraitDi[#Data],COLUMN(T_TraitDi[[#This Row],[Colonne21]]),FALSE)=0,"",TEXT(IFERROR(VLOOKUP(T_BilanSocial[[#This Row],[NumL]],T_TraitDi[#Data],COLUMN(T_TraitDi[[#This Row],[Colonne21]]),FALSE),""),"[hh]:mm"))</f>
        <v>#VALUE!</v>
      </c>
      <c r="BD179" s="178" t="e">
        <f>IF(VLOOKUP(T_BilanSocial[[#This Row],[NumL]],T_TraitDi[#Data],COLUMN(T_TraitDi[[#This Row],[Colonne22]]),FALSE)=0,"",TEXT(IFERROR(VLOOKUP(T_BilanSocial[[#This Row],[NumL]],T_TraitDi[#Data],COLUMN(T_TraitDi[[#This Row],[Colonne22]]),FALSE),""),"[hh]:mm"))</f>
        <v>#VALUE!</v>
      </c>
      <c r="BE179" s="178" t="str">
        <f>IFERROR(VLOOKUP(T_BilanSocial[[#This Row],[NumL]],T_TraitDi[#Data],COLUMN(T_TraitDi[[#This Row],[Colonne23]]),FALSE),"")</f>
        <v/>
      </c>
      <c r="BF179" s="178" t="e">
        <f>IF(VLOOKUP(T_BilanSocial[[#This Row],[NumL]],T_TraitDi[#Data],COLUMN(T_TraitDi[[#This Row],[Colonne24]]),FALSE)=0,"",TEXT(IFERROR(VLOOKUP(T_BilanSocial[[#This Row],[NumL]],T_TraitDi[#Data],COLUMN(T_TraitDi[[#This Row],[Colonne24]]),FALSE),""),"[hh]:mm"))</f>
        <v>#VALUE!</v>
      </c>
      <c r="BG179" s="178" t="e">
        <f>IF(VLOOKUP(T_BilanSocial[[#This Row],[NumL]],T_TraitDi[#Data],COLUMN(T_TraitDi[[#This Row],[Colonne25]]),FALSE)=0,"",TEXT(IFERROR(VLOOKUP(T_BilanSocial[[#This Row],[NumL]],T_TraitDi[#Data],COLUMN(T_TraitDi[[#This Row],[Colonne25]]),FALSE),""),"[hh]:mm"))</f>
        <v>#VALUE!</v>
      </c>
      <c r="BH179" s="178" t="e">
        <f>IF(VLOOKUP(T_BilanSocial[[#This Row],[NumL]],T_TraitDi[#Data],COLUMN(T_TraitDi[[#This Row],[Colonne26]]),FALSE)=0,"",TEXT(IFERROR(VLOOKUP(T_BilanSocial[[#This Row],[NumL]],T_TraitDi[#Data],COLUMN(T_TraitDi[[#This Row],[Colonne26]]),FALSE),""),"[hh]:mm"))</f>
        <v>#VALUE!</v>
      </c>
      <c r="BI179" s="172" t="str">
        <f>IFERROR(VLOOKUP(T_BilanSocial[[#This Row],[NumL]],T_TraitDi[#Data],COLUMN(T_TraitDi[[#This Row],[Vendredi]]),FALSE),"")</f>
        <v/>
      </c>
      <c r="BJ179" s="172" t="e">
        <f>IF(VLOOKUP(T_BilanSocial[[#This Row],[NumL]],T_TraitDi[#Data],COLUMN(T_TraitDi[[#This Row],[Colonne27]]),FALSE)=0,"",TEXT(IFERROR(VLOOKUP(T_BilanSocial[[#This Row],[NumL]],T_TraitDi[#Data],COLUMN(T_TraitDi[[#This Row],[Colonne27]]),FALSE),""),"[hh]:mm"))</f>
        <v>#VALUE!</v>
      </c>
      <c r="BK179" s="172" t="e">
        <f>IF(VLOOKUP(T_BilanSocial[[#This Row],[NumL]],T_TraitDi[#Data],COLUMN(T_TraitDi[[#This Row],[Colonne28]]),FALSE)=0,"",TEXT(IFERROR(VLOOKUP(T_BilanSocial[[#This Row],[NumL]],T_TraitDi[#Data],COLUMN(T_TraitDi[[#This Row],[Colonne28]]),FALSE),""),"[hh]:mm"))</f>
        <v>#VALUE!</v>
      </c>
      <c r="BL179" s="172" t="str">
        <f>IFERROR(VLOOKUP(T_BilanSocial[[#This Row],[NumL]],T_TraitDi[#Data],COLUMN(T_TraitDi[[#This Row],[Colonne29]]),FALSE),"")</f>
        <v/>
      </c>
      <c r="BM179" s="172" t="e">
        <f>IF(VLOOKUP(T_BilanSocial[[#This Row],[NumL]],T_TraitDi[#Data],COLUMN(T_TraitDi[[#This Row],[Colonne30]]),FALSE)=0,"",TEXT(IFERROR(VLOOKUP(T_BilanSocial[[#This Row],[NumL]],T_TraitDi[#Data],COLUMN(T_TraitDi[[#This Row],[Colonne30]]),FALSE),""),"[hh]:mm"))</f>
        <v>#VALUE!</v>
      </c>
      <c r="BN179" s="172" t="e">
        <f>IF(VLOOKUP(T_BilanSocial[[#This Row],[NumL]],T_TraitDi[#Data],COLUMN(T_TraitDi[[#This Row],[Colonne31]]),FALSE)=0,"",TEXT(IFERROR(VLOOKUP(T_BilanSocial[[#This Row],[NumL]],T_TraitDi[#Data],COLUMN(T_TraitDi[[#This Row],[Colonne31]]),FALSE),""),"[hh]:mm"))</f>
        <v>#VALUE!</v>
      </c>
      <c r="BO179" s="172" t="e">
        <f>IF(VLOOKUP(T_BilanSocial[[#This Row],[NumL]],T_TraitDi[#Data],COLUMN(T_TraitDi[[#This Row],[Colonne32]]),FALSE)=0,"",TEXT(IFERROR(VLOOKUP(T_BilanSocial[[#This Row],[NumL]],T_TraitDi[#Data],COLUMN(T_TraitDi[[#This Row],[Colonne32]]),FALSE),""),"[hh]:mm"))</f>
        <v>#VALUE!</v>
      </c>
      <c r="BP179" s="172">
        <f>VLOOKUP(T_BilanSocial[[#This Row],[NumL]],T_TraitDi[#Data],COLUMN(T_TraitDi[NbJTot]),FALSE)</f>
        <v>4.5</v>
      </c>
      <c r="BQ179" s="174" t="str">
        <f>IFERROR(VLOOKUP(T_BilanSocial[[#This Row],[NumL]],T_TraitDi[#Data],COLUMN(T_TraitDi[[#This Row],[NbJTW]]),FALSE),"")</f>
        <v/>
      </c>
      <c r="BR179" s="174" t="e">
        <f>IF(VLOOKUP(T_BilanSocial[[#This Row],[NumL]],T_TraitDi[#Data],COLUMN(T_TraitDi[[#This Row],[NbhTW]]),FALSE)=0,"",TEXT(IFERROR(VLOOKUP(T_BilanSocial[[#This Row],[NumL]],T_TraitDi[#Data],COLUMN(T_TraitDi[[#This Row],[NbhTW]]),FALSE),""),"[hh]:mm"))</f>
        <v>#VALUE!</v>
      </c>
      <c r="BS179" s="174" t="e">
        <f>IF(VLOOKUP(T_BilanSocial[[#This Row],[NumL]],T_TraitDi[#Data],COLUMN(T_TraitDi[[#This Row],[Nbhheb]]),FALSE)=0,"",TEXT(IFERROR(VLOOKUP($A179,T_TraitDi[#Data],COLUMN(T_TraitDi[[#This Row],[Nbhheb]]),FALSE),""),"[hh]:mm"))</f>
        <v>#VALUE!</v>
      </c>
      <c r="BT179" s="182" t="str">
        <f>IFERROR(VLOOKUP(VLOOKUP($A179,T_TraitDi[#Data],COLUMN(T_TraitDi[[#This Row],[Type1]]),FALSE),TypeTW,2,FALSE),"")</f>
        <v/>
      </c>
      <c r="BU179" s="182" t="str">
        <f>IFERROR(VLOOKUP($A179,T_TraitDi[#Data],COLUMN(T_TraitDi[[#This Row],[Rue1]]),FALSE),"")</f>
        <v/>
      </c>
      <c r="BV179" s="173" t="str">
        <f>IFERROR(VLOOKUP($A179,T_TraitDi[#Data],COLUMN(T_TraitDi[[#This Row],[CP1]]),FALSE),"")</f>
        <v/>
      </c>
      <c r="BW179" s="173" t="str">
        <f>IFERROR(VLOOKUP($A179,T_TraitDi[#Data],COLUMN(T_TraitDi[[#This Row],[VILLE1]]),FALSE),"")</f>
        <v/>
      </c>
      <c r="BX179" s="182" t="str">
        <f>IFERROR(VLOOKUP(VLOOKUP($A179,T_TraitDi[#Data],COLUMN(T_TraitDi[[#This Row],[Type2]]),FALSE),TypeTW,2,FALSE),"")</f>
        <v/>
      </c>
      <c r="BY179" s="182" t="str">
        <f>IFERROR(VLOOKUP($A179,T_TraitDi[#Data],COLUMN(T_TraitDi[[#This Row],[Rue2]]),FALSE),"")</f>
        <v/>
      </c>
      <c r="BZ179" s="173" t="str">
        <f>IFERROR(VLOOKUP($A179,T_TraitDi[#Data],COLUMN(T_TraitDi[[#This Row],[CP2]]),FALSE),"")</f>
        <v/>
      </c>
      <c r="CA179" s="173" t="str">
        <f>IFERROR(VLOOKUP($A179,T_TraitDi[#Data],COLUMN(T_TraitDi[[#This Row],[VILLE2]]),FALSE),"")</f>
        <v/>
      </c>
      <c r="CB179" s="182" t="str">
        <f>IF(VLOOKUP(T_BilanSocial[[#This Row],[NumL]],T_Equipement[#Data],COLUMN(T_Equipement[[#This Row],[PC]]),FALSE)="","Aucun équipement spécifique directement lié au télétravail",VLOOKUP(T_BilanSocial[[#This Row],[NumL]],T_Equipement[#Data],COLUMN(T_Equipement[[#This Row],[PC]]),FALSE))</f>
        <v>20-606</v>
      </c>
      <c r="CC179" s="166" t="str">
        <f>IFERROR(IF(VLOOKUP(T_BilanSocial[[#This Row],[NumL]],T_TraitDi[#Data],COLUMN(T_TraitDi[[#This Row],[Plan]]),FALSE)="OK","Un planning spécifique de télétravail est annexé à la présente convention.",""),"")</f>
        <v/>
      </c>
      <c r="CD179" s="258" t="s">
        <v>3317</v>
      </c>
      <c r="CE179" s="164" t="e">
        <f>IF(VLOOKUP(T_BilanSocial[[#This Row],[NumL]],T_suiviDi[#Data],COLUMN(T_suiviDi[[#This Row],[Entité]]),FALSE)="","",VLOOKUP(T_BilanSocial[[#This Row],[NumL]],T_suiviDi[#Data],COLUMN(T_suiviDi[[#This Row],[Entité]]),FALSE))</f>
        <v>#VALUE!</v>
      </c>
      <c r="CF179" s="164" t="str">
        <f>IF(VLOOKUP(T_BilanSocial[[#This Row],[NumL]],T_Commission[#Data],COLUMN(T_Commission[[#This Row],[envoi confirm TW]]),FALSE)="","",VLOOKUP(T_BilanSocial[[#This Row],[NumL]],T_Commission[#Data],COLUMN(T_Commission[[#This Row],[envoi confirm TW]]),FALSE))</f>
        <v>Oui</v>
      </c>
      <c r="CG17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79" s="262" t="str">
        <f>T_BilanSocial[[#This Row],[Nom]]&amp;T_BilanSocial[[#This Row],[Prenom]]</f>
        <v>AAnnie</v>
      </c>
      <c r="CI179" s="262">
        <f>VLOOKUP(T_BilanSocial[[#This Row],[NumL]],T_Commission[#Data],COLUMN(T_Commission[Commentaire]),FALSE)</f>
        <v>0</v>
      </c>
      <c r="CJ179" s="262" t="str">
        <f>IF(VLOOKUP(T_BilanSocial[[#This Row],[NumL]],T_Commission[#Data],COLUMN(T_Commission[Encadrant Email]),FALSE)="","",VLOOKUP(T_BilanSocial[[#This Row],[NumL]],T_Commission[#Data],COLUMN(T_Commission[Encadrant Email]),FALSE))</f>
        <v/>
      </c>
      <c r="CK179" s="340" t="str">
        <f>IF(T_BilanSocial[[#This Row],[Final]]&lt;&gt;"",VLOOKUP(T_BilanSocial[[#This Row],[NumL]],T_suiviDi[#Data],COLUMN((T_suiviDi[Statut])),FALSE),"")</f>
        <v>RENVL</v>
      </c>
    </row>
    <row r="180" spans="1:89" s="106" customFormat="1" ht="24.75" customHeight="1" x14ac:dyDescent="0.25">
      <c r="A180" s="160">
        <v>177</v>
      </c>
      <c r="B180" s="161" t="str">
        <f t="shared" si="22"/>
        <v/>
      </c>
      <c r="C180" s="162" t="s">
        <v>139</v>
      </c>
      <c r="D180" s="95" t="e">
        <f>IF(VLOOKUP(T_BilanSocial[[#This Row],[NumL]],T_TraitDi[#Data],COLUMN(T_TraitDi[[#This Row],[WebC]]),FALSE)="","",VLOOKUP(T_BilanSocial[[#This Row],[NumL]],T_TraitDi[#Data],COLUMN(T_TraitDi[[#This Row],[WebC]]),FALSE))</f>
        <v>#VALUE!</v>
      </c>
      <c r="E180" s="163" t="str">
        <f t="shared" si="23"/>
        <v>12 janvier 2021</v>
      </c>
      <c r="F180" s="96" t="str">
        <f>IF(T_BilanSocial[[#This Row],[Final]]&lt;&gt;"",VLOOKUP(T_BilanSocial[[#This Row],[NumL]],T_suiviDi[#Data],COLUMN((T_suiviDi[Civ.])),FALSE),"")</f>
        <v/>
      </c>
      <c r="G180" s="96" t="str">
        <f>IF(T_BilanSocial[[#This Row],[Final]]&lt;&gt;"",VLOOKUP(T_BilanSocial[[#This Row],[NumL]],T_suiviDi[#Data],COLUMN((T_suiviDi[Nom])),FALSE),"")</f>
        <v/>
      </c>
      <c r="H180" s="96" t="str">
        <f>IF(T_BilanSocial[[#This Row],[Final]]&lt;&gt;"",VLOOKUP(T_BilanSocial[[#This Row],[NumL]],T_suiviDi[#Data],COLUMN((T_suiviDi[Prénom])),FALSE),"")</f>
        <v/>
      </c>
      <c r="I180" s="96" t="str">
        <f>IFERROR(VLOOKUP(T_BilanSocial[[#This Row],[Zone_Bilan]],T_P_BilanSocial[#Data],COLUMN(T_P_BilanSocial[[#This Row],[Numero_SIHAM]]),FALSE),"")</f>
        <v/>
      </c>
      <c r="J180" s="96" t="str">
        <f>IFERROR(VLOOKUP(T_BilanSocial[[#This Row],[Zone_Bilan]],T_P_BilanSocial[#Data],COLUMN(T_P_BilanSocial[[#This Row],[Sexe]]),FALSE),"")</f>
        <v/>
      </c>
      <c r="K180" s="97" t="str">
        <f>IFERROR(VLOOKUP(T_BilanSocial[[#This Row],[Zone_Bilan]],T_P_BilanSocial[#Data],COLUMN(T_P_BilanSocial[[#This Row],[Categorie]]),FALSE),"")</f>
        <v/>
      </c>
      <c r="L180" s="96" t="str">
        <f>IFERROR(VLOOKUP(T_BilanSocial[[#This Row],[Zone_Bilan]],T_P_BilanSocial[#Data],COLUMN(T_P_BilanSocial[[#This Row],[Statut]]),FALSE),"")</f>
        <v/>
      </c>
      <c r="M180" s="96" t="str">
        <f>IFERROR(VLOOKUP(T_BilanSocial[[#This Row],[Zone_Bilan]],T_P_BilanSocial[#Data],COLUMN(T_P_BilanSocial[[#This Row],[Filiere]]),FALSE),"")</f>
        <v/>
      </c>
      <c r="N180" s="96" t="e">
        <f>VLOOKUP(T_BilanSocial[[#This Row],[NumL]],T_TraitDi[#Data],COLUMN(T_TraitDi[EXP]),FALSE)</f>
        <v>#N/A</v>
      </c>
      <c r="O180" s="96" t="e">
        <f>VLOOKUP(T_BilanSocial[[#This Row],[NumL]],T_TraitDi[#Data],COLUMN(T_TraitDi[FORM]),FALSE)</f>
        <v>#N/A</v>
      </c>
      <c r="P180" s="96" t="str">
        <f>IF(T_BilanSocial[[#This Row],[Final]]&lt;&gt;"",VLOOKUP(T_BilanSocial[[#This Row],[NumL]],T_suiviDi[#Data],COLUMN((T_suiviDi[Email])),FALSE),"")</f>
        <v/>
      </c>
      <c r="Q180" s="164" t="e">
        <f t="shared" si="28"/>
        <v>#N/A</v>
      </c>
      <c r="R180" s="164" t="e">
        <f t="shared" si="29"/>
        <v>#N/A</v>
      </c>
      <c r="S180" s="164" t="e">
        <f>IF(VLOOKUP(T_BilanSocial[[#This Row],[NumL]],T_suiviDi[#Data],COLUMN(T_suiviDi[[#This Row],[Service ]]),FALSE)="","",VLOOKUP(T_BilanSocial[[#This Row],[NumL]],T_suiviDi[#Data],COLUMN(T_suiviDi[[#This Row],[Service ]]),FALSE))</f>
        <v>#VALUE!</v>
      </c>
      <c r="T180" s="164" t="str">
        <f t="shared" si="24"/>
        <v>01 septembre 2021</v>
      </c>
      <c r="U180" s="164" t="str">
        <f t="shared" si="25"/>
        <v>30 novembre 2021</v>
      </c>
      <c r="V180" s="256">
        <f>Datebilan</f>
        <v>44530</v>
      </c>
      <c r="W180" s="176" t="e">
        <f>IF(VLOOKUP(T_BilanSocial[[#This Row],[NumL]],T_TraitDi[#Data],COLUMN(T_TraitDi[[#This Row],[M1]]),FALSE)="","",VLOOKUP(T_BilanSocial[[#This Row],[NumL]],T_TraitDi[#Data],COLUMN(T_TraitDi[[#This Row],[M1]]),FALSE))</f>
        <v>#VALUE!</v>
      </c>
      <c r="X180" s="176" t="e">
        <f>IF(VLOOKUP(T_BilanSocial[[#This Row],[NumL]],T_TraitDi[#Data],COLUMN(T_TraitDi[[#This Row],[M2]]),FALSE)="","",VLOOKUP(T_BilanSocial[[#This Row],[NumL]],T_TraitDi[#Data],COLUMN(T_TraitDi[[#This Row],[M2]]),FALSE))</f>
        <v>#VALUE!</v>
      </c>
      <c r="Y180" s="176" t="e">
        <f>IF(VLOOKUP(T_BilanSocial[[#This Row],[NumL]],T_TraitDi[#Data],COLUMN(T_TraitDi[[#This Row],[M3]]),FALSE)="","",VLOOKUP(T_BilanSocial[[#This Row],[NumL]],T_TraitDi[#Data],COLUMN(T_TraitDi[[#This Row],[M3]]),FALSE))</f>
        <v>#VALUE!</v>
      </c>
      <c r="Z180" s="176" t="str">
        <f t="shared" si="27"/>
        <v/>
      </c>
      <c r="AA180" s="176" t="e">
        <f>IF(VLOOKUP(T_BilanSocial[[#This Row],[NumL]],T_TraitDi[#Data],COLUMN(T_TraitDi[[#This Row],[M5]]),FALSE)="","",VLOOKUP(T_BilanSocial[[#This Row],[NumL]],T_TraitDi[#Data],COLUMN(T_TraitDi[[#This Row],[M5]]),FALSE))</f>
        <v>#VALUE!</v>
      </c>
      <c r="AB180" s="176" t="e">
        <f>IF(VLOOKUP(T_BilanSocial[[#This Row],[NumL]],T_TraitDi[#Data],COLUMN(T_TraitDi[[#This Row],[M6]]),FALSE)="","",VLOOKUP(T_BilanSocial[[#This Row],[NumL]],T_TraitDi[#Data],COLUMN(T_TraitDi[[#This Row],[M6]]),FALSE))</f>
        <v>#VALUE!</v>
      </c>
      <c r="AC180" s="165" t="e">
        <f t="shared" si="26"/>
        <v>#VALUE!</v>
      </c>
      <c r="AD180" s="188" t="str">
        <f>IFERROR(TEXT(VLOOKUP(T_BilanSocial[[#This Row],[NumL]],T_TraitDi[#Data],COLUMN(T_TraitDi[[#This Row],[Q2]]),FALSE),"###%"),"")</f>
        <v/>
      </c>
      <c r="AE180" s="97" t="e">
        <f>VLOOKUP(T_BilanSocial[[#This Row],[NumL]],T_TraitDi[#Data],COLUMN(T_TraitDi[[#This Row],[Reg Ponct]]),FALSE)</f>
        <v>#VALUE!</v>
      </c>
      <c r="AF180" s="97" t="e">
        <f>VLOOKUP(T_BilanSocial[NumL],T_TraitDi[#Data],COLUMN(T_TraitDi[[#This Row],[Jours flottants]]),FALSE)</f>
        <v>#VALUE!</v>
      </c>
      <c r="AG180" s="97" t="str">
        <f>IFERROR(VLOOKUP(T_BilanSocial[[#This Row],[NumL]],T_TraitDi[#Data],COLUMN(T_TraitDi[[#This Row],[Lundi]]),FALSE),"")</f>
        <v/>
      </c>
      <c r="AH180" s="172" t="e">
        <f>IF(VLOOKUP(T_BilanSocial[[#This Row],[NumL]],T_TraitDi[#Data],COLUMN(T_TraitDi[[#This Row],[Colonne3]]),FALSE)=0,"",TEXT(IFERROR(VLOOKUP(T_BilanSocial[[#This Row],[NumL]],T_TraitDi[#Data],COLUMN(T_TraitDi[[#This Row],[Colonne3]]),FALSE),""),"[hh]:mm"))</f>
        <v>#VALUE!</v>
      </c>
      <c r="AI180" s="172" t="e">
        <f>IF(VLOOKUP(T_BilanSocial[[#This Row],[NumL]],T_TraitDi[#Data],COLUMN(T_TraitDi[[#This Row],[Colonne4]]),FALSE)=0,"",TEXT(IFERROR(VLOOKUP(T_BilanSocial[[#This Row],[NumL]],T_TraitDi[#Data],COLUMN(T_TraitDi[[#This Row],[Colonne4]]),FALSE),""),"[hh]:mm"))</f>
        <v>#VALUE!</v>
      </c>
      <c r="AJ180" s="172" t="e">
        <f>IF(VLOOKUP(T_BilanSocial[[#This Row],[NumL]],T_TraitDi[#Data],COLUMN(T_TraitDi[[#This Row],[Colonne5]]),FALSE)=0,"",TEXT(IFERROR(VLOOKUP(T_BilanSocial[[#This Row],[NumL]],T_TraitDi[#Data],COLUMN(T_TraitDi[[#This Row],[Colonne5]]),FALSE),""),"[hh]:mm"))</f>
        <v>#VALUE!</v>
      </c>
      <c r="AK180" s="172" t="e">
        <f>IF(VLOOKUP(T_BilanSocial[[#This Row],[NumL]],T_TraitDi[#Data],COLUMN(T_TraitDi[[#This Row],[Colonne6]]),FALSE)=0,"",TEXT(IFERROR(VLOOKUP(T_BilanSocial[[#This Row],[NumL]],T_TraitDi[#Data],COLUMN(T_TraitDi[[#This Row],[Colonne6]]),FALSE),""),"[hh]:mm"))</f>
        <v>#VALUE!</v>
      </c>
      <c r="AL180" s="172" t="e">
        <f>IF(VLOOKUP(T_BilanSocial[[#This Row],[NumL]],T_TraitDi[#Data],COLUMN(T_TraitDi[[#This Row],[Colonne7]]),FALSE)=0,"",TEXT(IFERROR(VLOOKUP(T_BilanSocial[[#This Row],[NumL]],T_TraitDi[#Data],COLUMN(T_TraitDi[[#This Row],[Colonne7]]),FALSE),""),"[hh]:mm"))</f>
        <v>#VALUE!</v>
      </c>
      <c r="AM180" s="172" t="e">
        <f>IF(VLOOKUP(T_BilanSocial[[#This Row],[NumL]],T_TraitDi[#Data],COLUMN(T_TraitDi[[#This Row],[Colonne8]]),FALSE)=0,"",TEXT(IFERROR(VLOOKUP(T_BilanSocial[[#This Row],[NumL]],T_TraitDi[#Data],COLUMN(T_TraitDi[[#This Row],[Colonne8]]),FALSE),""),"[hh]:mm"))</f>
        <v>#VALUE!</v>
      </c>
      <c r="AN180" s="172" t="str">
        <f>IFERROR(VLOOKUP(T_BilanSocial[[#This Row],[NumL]],T_TraitDi[#Data],COLUMN(T_TraitDi[[#This Row],[Mardi]]),FALSE),"")</f>
        <v/>
      </c>
      <c r="AO180" s="172" t="e">
        <f>IF(VLOOKUP(T_BilanSocial[[#This Row],[NumL]],T_TraitDi[#Data],COLUMN(T_TraitDi[[#This Row],[Colonne1]]),FALSE)=0,"",TEXT(IFERROR(VLOOKUP(T_BilanSocial[[#This Row],[NumL]],T_TraitDi[#Data],COLUMN(T_TraitDi[[#This Row],[Colonne1]]),FALSE),""),"[hh]:mm"))</f>
        <v>#VALUE!</v>
      </c>
      <c r="AP180" s="172" t="e">
        <f>IF(VLOOKUP(T_BilanSocial[[#This Row],[NumL]],T_TraitDi[#Data],COLUMN(T_TraitDi[[#This Row],[Colonne9]]),FALSE)=0,"",TEXT(IFERROR(VLOOKUP(T_BilanSocial[[#This Row],[NumL]],T_TraitDi[#Data],COLUMN(T_TraitDi[[#This Row],[Colonne9]]),FALSE),""),"[hh]:mm"))</f>
        <v>#VALUE!</v>
      </c>
      <c r="AQ180" s="172" t="str">
        <f>IFERROR(VLOOKUP(T_BilanSocial[[#This Row],[NumL]],T_TraitDi[#Data],COLUMN(T_TraitDi[[#This Row],[Colonne10]]),FALSE),"")</f>
        <v/>
      </c>
      <c r="AR180" s="172" t="e">
        <f>IF(VLOOKUP(T_BilanSocial[[#This Row],[NumL]],T_TraitDi[#Data],COLUMN(T_TraitDi[[#This Row],[Colonne11]]),FALSE)=0,"",TEXT(IFERROR(VLOOKUP(T_BilanSocial[[#This Row],[NumL]],T_TraitDi[#Data],COLUMN(T_TraitDi[[#This Row],[Colonne11]]),FALSE),""),"[hh]:mm"))</f>
        <v>#VALUE!</v>
      </c>
      <c r="AS180" s="172" t="e">
        <f>IF(VLOOKUP(T_BilanSocial[[#This Row],[NumL]],T_TraitDi[#Data],COLUMN(T_TraitDi[[#This Row],[Colonne12]]),FALSE)=0,"",TEXT(IFERROR(VLOOKUP(T_BilanSocial[[#This Row],[NumL]],T_TraitDi[#Data],COLUMN(T_TraitDi[[#This Row],[Colonne12]]),FALSE),""),"[hh]:mm"))</f>
        <v>#VALUE!</v>
      </c>
      <c r="AT180" s="172" t="e">
        <f>IF(VLOOKUP(T_BilanSocial[[#This Row],[NumL]],T_TraitDi[#Data],COLUMN(T_TraitDi[[#This Row],[Colonne14]]),FALSE)=0,"",TEXT(IFERROR(VLOOKUP(T_BilanSocial[[#This Row],[NumL]],T_TraitDi[#Data],COLUMN(T_TraitDi[[#This Row],[Colonne14]]),FALSE),""),"[hh]:mm"))</f>
        <v>#VALUE!</v>
      </c>
      <c r="AU180" s="172" t="str">
        <f>IFERROR(VLOOKUP(T_BilanSocial[[#This Row],[NumL]],T_TraitDi[#Data],COLUMN(T_TraitDi[[#This Row],[Mercredi]]),FALSE),"")</f>
        <v/>
      </c>
      <c r="AV180" s="172" t="e">
        <f>IF(VLOOKUP(T_BilanSocial[[#This Row],[NumL]],T_TraitDi[#Data],COLUMN(T_TraitDi[[#This Row],[Colonne15]]),FALSE)=0,"",TEXT(IFERROR(VLOOKUP(T_BilanSocial[[#This Row],[NumL]],T_TraitDi[#Data],COLUMN(T_TraitDi[[#This Row],[Colonne15]]),FALSE),""),"[hh]:mm"))</f>
        <v>#VALUE!</v>
      </c>
      <c r="AW180" s="172" t="e">
        <f>IF(VLOOKUP(T_BilanSocial[[#This Row],[NumL]],T_TraitDi[#Data],COLUMN(T_TraitDi[[#This Row],[Colonne16]]),FALSE)=0,"",TEXT(IFERROR(VLOOKUP(T_BilanSocial[[#This Row],[NumL]],T_TraitDi[#Data],COLUMN(T_TraitDi[[#This Row],[Colonne16]]),FALSE),""),"[hh]:mm"))</f>
        <v>#VALUE!</v>
      </c>
      <c r="AX180" s="172" t="str">
        <f>IFERROR(VLOOKUP(T_BilanSocial[[#This Row],[NumL]],T_TraitDi[#Data],COLUMN(T_TraitDi[[#This Row],[Colonne17]]),FALSE),"")</f>
        <v/>
      </c>
      <c r="AY180" s="172" t="e">
        <f>IF(VLOOKUP(T_BilanSocial[[#This Row],[NumL]],T_TraitDi[#Data],COLUMN(T_TraitDi[[#This Row],[Colonne18]]),FALSE)=0,"",TEXT(IFERROR(VLOOKUP(T_BilanSocial[[#This Row],[NumL]],T_TraitDi[#Data],COLUMN(T_TraitDi[[#This Row],[Colonne18]]),FALSE),""),"[hh]:mm"))</f>
        <v>#VALUE!</v>
      </c>
      <c r="AZ180" s="172" t="e">
        <f>IF(VLOOKUP(T_BilanSocial[[#This Row],[NumL]],T_TraitDi[#Data],COLUMN(T_TraitDi[[#This Row],[Colonne19]]),FALSE)=0,"",TEXT(IFERROR(VLOOKUP(T_BilanSocial[[#This Row],[NumL]],T_TraitDi[#Data],COLUMN(T_TraitDi[[#This Row],[Colonne19]]),FALSE),""),"[hh]:mm"))</f>
        <v>#VALUE!</v>
      </c>
      <c r="BA180" s="172" t="e">
        <f>IF(VLOOKUP(T_BilanSocial[[#This Row],[NumL]],T_TraitDi[#Data],COLUMN(T_TraitDi[[#This Row],[Colonne20]]),FALSE)=0,"",TEXT(IFERROR(VLOOKUP(T_BilanSocial[[#This Row],[NumL]],T_TraitDi[#Data],COLUMN(T_TraitDi[[#This Row],[Colonne20]]),FALSE),""),"[hh]:mm"))</f>
        <v>#VALUE!</v>
      </c>
      <c r="BB180" s="178" t="str">
        <f>IFERROR(VLOOKUP(T_BilanSocial[[#This Row],[NumL]],T_TraitDi[#Data],COLUMN(T_TraitDi[[#This Row],[Jeudi]]),FALSE),"")</f>
        <v/>
      </c>
      <c r="BC180" s="178" t="e">
        <f>IF(VLOOKUP(T_BilanSocial[[#This Row],[NumL]],T_TraitDi[#Data],COLUMN(T_TraitDi[[#This Row],[Colonne21]]),FALSE)=0,"",TEXT(IFERROR(VLOOKUP(T_BilanSocial[[#This Row],[NumL]],T_TraitDi[#Data],COLUMN(T_TraitDi[[#This Row],[Colonne21]]),FALSE),""),"[hh]:mm"))</f>
        <v>#VALUE!</v>
      </c>
      <c r="BD180" s="178" t="e">
        <f>IF(VLOOKUP(T_BilanSocial[[#This Row],[NumL]],T_TraitDi[#Data],COLUMN(T_TraitDi[[#This Row],[Colonne22]]),FALSE)=0,"",TEXT(IFERROR(VLOOKUP(T_BilanSocial[[#This Row],[NumL]],T_TraitDi[#Data],COLUMN(T_TraitDi[[#This Row],[Colonne22]]),FALSE),""),"[hh]:mm"))</f>
        <v>#VALUE!</v>
      </c>
      <c r="BE180" s="178" t="str">
        <f>IFERROR(VLOOKUP(T_BilanSocial[[#This Row],[NumL]],T_TraitDi[#Data],COLUMN(T_TraitDi[[#This Row],[Colonne23]]),FALSE),"")</f>
        <v/>
      </c>
      <c r="BF180" s="178" t="e">
        <f>IF(VLOOKUP(T_BilanSocial[[#This Row],[NumL]],T_TraitDi[#Data],COLUMN(T_TraitDi[[#This Row],[Colonne24]]),FALSE)=0,"",TEXT(IFERROR(VLOOKUP(T_BilanSocial[[#This Row],[NumL]],T_TraitDi[#Data],COLUMN(T_TraitDi[[#This Row],[Colonne24]]),FALSE),""),"[hh]:mm"))</f>
        <v>#VALUE!</v>
      </c>
      <c r="BG180" s="178" t="e">
        <f>IF(VLOOKUP(T_BilanSocial[[#This Row],[NumL]],T_TraitDi[#Data],COLUMN(T_TraitDi[[#This Row],[Colonne25]]),FALSE)=0,"",TEXT(IFERROR(VLOOKUP(T_BilanSocial[[#This Row],[NumL]],T_TraitDi[#Data],COLUMN(T_TraitDi[[#This Row],[Colonne25]]),FALSE),""),"[hh]:mm"))</f>
        <v>#VALUE!</v>
      </c>
      <c r="BH180" s="178" t="e">
        <f>IF(VLOOKUP(T_BilanSocial[[#This Row],[NumL]],T_TraitDi[#Data],COLUMN(T_TraitDi[[#This Row],[Colonne26]]),FALSE)=0,"",TEXT(IFERROR(VLOOKUP(T_BilanSocial[[#This Row],[NumL]],T_TraitDi[#Data],COLUMN(T_TraitDi[[#This Row],[Colonne26]]),FALSE),""),"[hh]:mm"))</f>
        <v>#VALUE!</v>
      </c>
      <c r="BI180" s="172" t="str">
        <f>IFERROR(VLOOKUP(T_BilanSocial[[#This Row],[NumL]],T_TraitDi[#Data],COLUMN(T_TraitDi[[#This Row],[Vendredi]]),FALSE),"")</f>
        <v/>
      </c>
      <c r="BJ180" s="172" t="e">
        <f>IF(VLOOKUP(T_BilanSocial[[#This Row],[NumL]],T_TraitDi[#Data],COLUMN(T_TraitDi[[#This Row],[Colonne27]]),FALSE)=0,"",TEXT(IFERROR(VLOOKUP(T_BilanSocial[[#This Row],[NumL]],T_TraitDi[#Data],COLUMN(T_TraitDi[[#This Row],[Colonne27]]),FALSE),""),"[hh]:mm"))</f>
        <v>#VALUE!</v>
      </c>
      <c r="BK180" s="172" t="e">
        <f>IF(VLOOKUP(T_BilanSocial[[#This Row],[NumL]],T_TraitDi[#Data],COLUMN(T_TraitDi[[#This Row],[Colonne28]]),FALSE)=0,"",TEXT(IFERROR(VLOOKUP(T_BilanSocial[[#This Row],[NumL]],T_TraitDi[#Data],COLUMN(T_TraitDi[[#This Row],[Colonne28]]),FALSE),""),"[hh]:mm"))</f>
        <v>#VALUE!</v>
      </c>
      <c r="BL180" s="172" t="str">
        <f>IFERROR(VLOOKUP(T_BilanSocial[[#This Row],[NumL]],T_TraitDi[#Data],COLUMN(T_TraitDi[[#This Row],[Colonne29]]),FALSE),"")</f>
        <v/>
      </c>
      <c r="BM180" s="172" t="e">
        <f>IF(VLOOKUP(T_BilanSocial[[#This Row],[NumL]],T_TraitDi[#Data],COLUMN(T_TraitDi[[#This Row],[Colonne30]]),FALSE)=0,"",TEXT(IFERROR(VLOOKUP(T_BilanSocial[[#This Row],[NumL]],T_TraitDi[#Data],COLUMN(T_TraitDi[[#This Row],[Colonne30]]),FALSE),""),"[hh]:mm"))</f>
        <v>#VALUE!</v>
      </c>
      <c r="BN180" s="172" t="e">
        <f>IF(VLOOKUP(T_BilanSocial[[#This Row],[NumL]],T_TraitDi[#Data],COLUMN(T_TraitDi[[#This Row],[Colonne31]]),FALSE)=0,"",TEXT(IFERROR(VLOOKUP(T_BilanSocial[[#This Row],[NumL]],T_TraitDi[#Data],COLUMN(T_TraitDi[[#This Row],[Colonne31]]),FALSE),""),"[hh]:mm"))</f>
        <v>#VALUE!</v>
      </c>
      <c r="BO180" s="172" t="e">
        <f>IF(VLOOKUP(T_BilanSocial[[#This Row],[NumL]],T_TraitDi[#Data],COLUMN(T_TraitDi[[#This Row],[Colonne32]]),FALSE)=0,"",TEXT(IFERROR(VLOOKUP(T_BilanSocial[[#This Row],[NumL]],T_TraitDi[#Data],COLUMN(T_TraitDi[[#This Row],[Colonne32]]),FALSE),""),"[hh]:mm"))</f>
        <v>#VALUE!</v>
      </c>
      <c r="BP180" s="172" t="e">
        <f>VLOOKUP(T_BilanSocial[[#This Row],[NumL]],T_TraitDi[#Data],COLUMN(T_TraitDi[NbJTot]),FALSE)</f>
        <v>#N/A</v>
      </c>
      <c r="BQ180" s="174" t="str">
        <f>IFERROR(VLOOKUP(T_BilanSocial[[#This Row],[NumL]],T_TraitDi[#Data],COLUMN(T_TraitDi[[#This Row],[NbJTW]]),FALSE),"")</f>
        <v/>
      </c>
      <c r="BR180" s="174" t="e">
        <f>IF(VLOOKUP(T_BilanSocial[[#This Row],[NumL]],T_TraitDi[#Data],COLUMN(T_TraitDi[[#This Row],[NbhTW]]),FALSE)=0,"",TEXT(IFERROR(VLOOKUP(T_BilanSocial[[#This Row],[NumL]],T_TraitDi[#Data],COLUMN(T_TraitDi[[#This Row],[NbhTW]]),FALSE),""),"[hh]:mm"))</f>
        <v>#VALUE!</v>
      </c>
      <c r="BS180" s="174" t="e">
        <f>IF(VLOOKUP(T_BilanSocial[[#This Row],[NumL]],T_TraitDi[#Data],COLUMN(T_TraitDi[[#This Row],[Nbhheb]]),FALSE)=0,"",TEXT(IFERROR(VLOOKUP($A180,T_TraitDi[#Data],COLUMN(T_TraitDi[[#This Row],[Nbhheb]]),FALSE),""),"[hh]:mm"))</f>
        <v>#VALUE!</v>
      </c>
      <c r="BT180" s="182" t="str">
        <f>IFERROR(VLOOKUP(VLOOKUP($A180,T_TraitDi[#Data],COLUMN(T_TraitDi[[#This Row],[Type1]]),FALSE),TypeTW,2,FALSE),"")</f>
        <v/>
      </c>
      <c r="BU180" s="182" t="str">
        <f>IFERROR(VLOOKUP($A180,T_TraitDi[#Data],COLUMN(T_TraitDi[[#This Row],[Rue1]]),FALSE),"")</f>
        <v/>
      </c>
      <c r="BV180" s="173" t="str">
        <f>IFERROR(VLOOKUP($A180,T_TraitDi[#Data],COLUMN(T_TraitDi[[#This Row],[CP1]]),FALSE),"")</f>
        <v/>
      </c>
      <c r="BW180" s="173" t="str">
        <f>IFERROR(VLOOKUP($A180,T_TraitDi[#Data],COLUMN(T_TraitDi[[#This Row],[VILLE1]]),FALSE),"")</f>
        <v/>
      </c>
      <c r="BX180" s="182" t="str">
        <f>IFERROR(VLOOKUP(VLOOKUP($A180,T_TraitDi[#Data],COLUMN(T_TraitDi[[#This Row],[Type2]]),FALSE),TypeTW,2,FALSE),"")</f>
        <v/>
      </c>
      <c r="BY180" s="182" t="str">
        <f>IFERROR(VLOOKUP($A180,T_TraitDi[#Data],COLUMN(T_TraitDi[[#This Row],[Rue2]]),FALSE),"")</f>
        <v/>
      </c>
      <c r="BZ180" s="173" t="str">
        <f>IFERROR(VLOOKUP($A180,T_TraitDi[#Data],COLUMN(T_TraitDi[[#This Row],[CP2]]),FALSE),"")</f>
        <v/>
      </c>
      <c r="CA180" s="173" t="str">
        <f>IFERROR(VLOOKUP($A180,T_TraitDi[#Data],COLUMN(T_TraitDi[[#This Row],[VILLE2]]),FALSE),"")</f>
        <v/>
      </c>
      <c r="CB180" s="182" t="str">
        <f>IF(VLOOKUP(T_BilanSocial[[#This Row],[NumL]],T_Equipement[#Data],COLUMN(T_Equipement[[#This Row],[PC]]),FALSE)="","Aucun équipement spécifique directement lié au télétravail",VLOOKUP(T_BilanSocial[[#This Row],[NumL]],T_Equipement[#Data],COLUMN(T_Equipement[[#This Row],[PC]]),FALSE))</f>
        <v xml:space="preserve">20-134	</v>
      </c>
      <c r="CC180" s="166" t="str">
        <f>IFERROR(IF(VLOOKUP(T_BilanSocial[[#This Row],[NumL]],T_TraitDi[#Data],COLUMN(T_TraitDi[[#This Row],[Plan]]),FALSE)="OK","Un planning spécifique de télétravail est annexé à la présente convention.",""),"")</f>
        <v/>
      </c>
      <c r="CD180" s="185"/>
      <c r="CE180" s="164" t="e">
        <f>IF(VLOOKUP(T_BilanSocial[[#This Row],[NumL]],T_suiviDi[#Data],COLUMN(T_suiviDi[[#This Row],[Entité]]),FALSE)="","",VLOOKUP(T_BilanSocial[[#This Row],[NumL]],T_suiviDi[#Data],COLUMN(T_suiviDi[[#This Row],[Entité]]),FALSE))</f>
        <v>#VALUE!</v>
      </c>
      <c r="CF180" s="164" t="str">
        <f>IF(VLOOKUP(T_BilanSocial[[#This Row],[NumL]],T_Commission[#Data],COLUMN(T_Commission[[#This Row],[envoi confirm TW]]),FALSE)="","",VLOOKUP(T_BilanSocial[[#This Row],[NumL]],T_Commission[#Data],COLUMN(T_Commission[[#This Row],[envoi confirm TW]]),FALSE))</f>
        <v>Oui</v>
      </c>
      <c r="CG18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0" s="262" t="str">
        <f>T_BilanSocial[[#This Row],[Nom]]&amp;T_BilanSocial[[#This Row],[Prenom]]</f>
        <v/>
      </c>
      <c r="CI180" s="262">
        <f>VLOOKUP(T_BilanSocial[[#This Row],[NumL]],T_Commission[#Data],COLUMN(T_Commission[Commentaire]),FALSE)</f>
        <v>0</v>
      </c>
      <c r="CJ180" s="262" t="str">
        <f>IF(VLOOKUP(T_BilanSocial[[#This Row],[NumL]],T_Commission[#Data],COLUMN(T_Commission[Encadrant Email]),FALSE)="","",VLOOKUP(T_BilanSocial[[#This Row],[NumL]],T_Commission[#Data],COLUMN(T_Commission[Encadrant Email]),FALSE))</f>
        <v/>
      </c>
      <c r="CK180" s="340" t="str">
        <f>IF(T_BilanSocial[[#This Row],[Final]]&lt;&gt;"",VLOOKUP(T_BilanSocial[[#This Row],[NumL]],T_suiviDi[#Data],COLUMN((T_suiviDi[Statut])),FALSE),"")</f>
        <v/>
      </c>
    </row>
    <row r="181" spans="1:89" s="106" customFormat="1" ht="24.75" customHeight="1" x14ac:dyDescent="0.25">
      <c r="A181" s="160">
        <v>178</v>
      </c>
      <c r="B181" s="161">
        <f t="shared" si="22"/>
        <v>1</v>
      </c>
      <c r="C181" s="162" t="s">
        <v>173</v>
      </c>
      <c r="D181" s="95" t="e">
        <f>IF(VLOOKUP(T_BilanSocial[[#This Row],[NumL]],T_TraitDi[#Data],COLUMN(T_TraitDi[[#This Row],[WebC]]),FALSE)="","",VLOOKUP(T_BilanSocial[[#This Row],[NumL]],T_TraitDi[#Data],COLUMN(T_TraitDi[[#This Row],[WebC]]),FALSE))</f>
        <v>#VALUE!</v>
      </c>
      <c r="E181" s="163" t="str">
        <f t="shared" si="23"/>
        <v>12 janvier 2021</v>
      </c>
      <c r="F181" s="96" t="str">
        <f>IF(T_BilanSocial[[#This Row],[Final]]&lt;&gt;"",VLOOKUP(T_BilanSocial[[#This Row],[NumL]],T_suiviDi[#Data],COLUMN((T_suiviDi[Civ.])),FALSE),"")</f>
        <v>Mme</v>
      </c>
      <c r="G181" s="96" t="str">
        <f>IF(T_BilanSocial[[#This Row],[Final]]&lt;&gt;"",VLOOKUP(T_BilanSocial[[#This Row],[NumL]],T_suiviDi[#Data],COLUMN((T_suiviDi[Nom])),FALSE),"")</f>
        <v>A</v>
      </c>
      <c r="H181" s="96" t="str">
        <f>IF(T_BilanSocial[[#This Row],[Final]]&lt;&gt;"",VLOOKUP(T_BilanSocial[[#This Row],[NumL]],T_suiviDi[#Data],COLUMN((T_suiviDi[Prénom])),FALSE),"")</f>
        <v>Cécile</v>
      </c>
      <c r="I181" s="96" t="str">
        <f>IFERROR(VLOOKUP(T_BilanSocial[[#This Row],[Zone_Bilan]],T_P_BilanSocial[#Data],COLUMN(T_P_BilanSocial[[#This Row],[Numero_SIHAM]]),FALSE),"")</f>
        <v/>
      </c>
      <c r="J181" s="96" t="str">
        <f>IFERROR(VLOOKUP(T_BilanSocial[[#This Row],[Zone_Bilan]],T_P_BilanSocial[#Data],COLUMN(T_P_BilanSocial[[#This Row],[Sexe]]),FALSE),"")</f>
        <v/>
      </c>
      <c r="K181" s="97" t="str">
        <f>IFERROR(VLOOKUP(T_BilanSocial[[#This Row],[Zone_Bilan]],T_P_BilanSocial[#Data],COLUMN(T_P_BilanSocial[[#This Row],[Categorie]]),FALSE),"")</f>
        <v/>
      </c>
      <c r="L181" s="96" t="str">
        <f>IFERROR(VLOOKUP(T_BilanSocial[[#This Row],[Zone_Bilan]],T_P_BilanSocial[#Data],COLUMN(T_P_BilanSocial[[#This Row],[Statut]]),FALSE),"")</f>
        <v/>
      </c>
      <c r="M181" s="96" t="str">
        <f>IFERROR(VLOOKUP(T_BilanSocial[[#This Row],[Zone_Bilan]],T_P_BilanSocial[#Data],COLUMN(T_P_BilanSocial[[#This Row],[Filiere]]),FALSE),"")</f>
        <v/>
      </c>
      <c r="N181" s="96" t="str">
        <f>VLOOKUP(T_BilanSocial[[#This Row],[NumL]],T_TraitDi[#Data],COLUMN(T_TraitDi[EXP]),FALSE)</f>
        <v>N</v>
      </c>
      <c r="O181" s="96" t="str">
        <f>VLOOKUP(T_BilanSocial[[#This Row],[NumL]],T_TraitDi[#Data],COLUMN(T_TraitDi[FORM]),FALSE)</f>
        <v>N</v>
      </c>
      <c r="P181" s="96">
        <f>IF(T_BilanSocial[[#This Row],[Final]]&lt;&gt;"",VLOOKUP(T_BilanSocial[[#This Row],[NumL]],T_suiviDi[#Data],COLUMN((T_suiviDi[Email])),FALSE),"")</f>
        <v>0</v>
      </c>
      <c r="Q181" s="164" t="str">
        <f t="shared" si="28"/>
        <v>Licences FI</v>
      </c>
      <c r="R181" s="164" t="str">
        <f t="shared" si="29"/>
        <v>Coordinatrice du pôle emploi du temps / adjointe à la chef de service</v>
      </c>
      <c r="S181" s="164" t="e">
        <f>IF(VLOOKUP(T_BilanSocial[[#This Row],[NumL]],T_suiviDi[#Data],COLUMN(T_suiviDi[[#This Row],[Service ]]),FALSE)="","",VLOOKUP(T_BilanSocial[[#This Row],[NumL]],T_suiviDi[#Data],COLUMN(T_suiviDi[[#This Row],[Service ]]),FALSE))</f>
        <v>#VALUE!</v>
      </c>
      <c r="T181" s="164" t="str">
        <f t="shared" si="24"/>
        <v>01 septembre 2021</v>
      </c>
      <c r="U181" s="164" t="str">
        <f t="shared" si="25"/>
        <v>30 novembre 2021</v>
      </c>
      <c r="V181" s="96" t="str">
        <f t="shared" ref="V181:V191" si="32">TEXT(Datebilan,"jj mmmm aaaa")</f>
        <v>30 novembre 2021</v>
      </c>
      <c r="W181" s="176" t="e">
        <f>IF(VLOOKUP(T_BilanSocial[[#This Row],[NumL]],T_TraitDi[#Data],COLUMN(T_TraitDi[[#This Row],[M1]]),FALSE)="","",VLOOKUP(T_BilanSocial[[#This Row],[NumL]],T_TraitDi[#Data],COLUMN(T_TraitDi[[#This Row],[M1]]),FALSE))</f>
        <v>#VALUE!</v>
      </c>
      <c r="X181" s="176" t="e">
        <f>IF(VLOOKUP(T_BilanSocial[[#This Row],[NumL]],T_TraitDi[#Data],COLUMN(T_TraitDi[[#This Row],[M2]]),FALSE)="","",VLOOKUP(T_BilanSocial[[#This Row],[NumL]],T_TraitDi[#Data],COLUMN(T_TraitDi[[#This Row],[M2]]),FALSE))</f>
        <v>#VALUE!</v>
      </c>
      <c r="Y181" s="176" t="e">
        <f>IF(VLOOKUP(T_BilanSocial[[#This Row],[NumL]],T_TraitDi[#Data],COLUMN(T_TraitDi[[#This Row],[M3]]),FALSE)="","",VLOOKUP(T_BilanSocial[[#This Row],[NumL]],T_TraitDi[#Data],COLUMN(T_TraitDi[[#This Row],[M3]]),FALSE))</f>
        <v>#VALUE!</v>
      </c>
      <c r="Z181" s="176" t="str">
        <f t="shared" si="27"/>
        <v xml:space="preserve"> -Gestion nouveaux vacataires</v>
      </c>
      <c r="AA181" s="176" t="e">
        <f>IF(VLOOKUP(T_BilanSocial[[#This Row],[NumL]],T_TraitDi[#Data],COLUMN(T_TraitDi[[#This Row],[M5]]),FALSE)="","",VLOOKUP(T_BilanSocial[[#This Row],[NumL]],T_TraitDi[#Data],COLUMN(T_TraitDi[[#This Row],[M5]]),FALSE))</f>
        <v>#VALUE!</v>
      </c>
      <c r="AB181" s="176" t="e">
        <f>IF(VLOOKUP(T_BilanSocial[[#This Row],[NumL]],T_TraitDi[#Data],COLUMN(T_TraitDi[[#This Row],[M6]]),FALSE)="","",VLOOKUP(T_BilanSocial[[#This Row],[NumL]],T_TraitDi[#Data],COLUMN(T_TraitDi[[#This Row],[M6]]),FALSE))</f>
        <v>#VALUE!</v>
      </c>
      <c r="AC181" s="165" t="e">
        <f t="shared" si="26"/>
        <v>#VALUE!</v>
      </c>
      <c r="AD181" s="188" t="str">
        <f>IFERROR(TEXT(VLOOKUP(T_BilanSocial[[#This Row],[NumL]],T_TraitDi[#Data],COLUMN(T_TraitDi[[#This Row],[Q2]]),FALSE),"###%"),"")</f>
        <v/>
      </c>
      <c r="AE181" s="97" t="e">
        <f>VLOOKUP(T_BilanSocial[[#This Row],[NumL]],T_TraitDi[#Data],COLUMN(T_TraitDi[[#This Row],[Reg Ponct]]),FALSE)</f>
        <v>#VALUE!</v>
      </c>
      <c r="AF181" s="97" t="e">
        <f>VLOOKUP(T_BilanSocial[NumL],T_TraitDi[#Data],COLUMN(T_TraitDi[[#This Row],[Jours flottants]]),FALSE)</f>
        <v>#VALUE!</v>
      </c>
      <c r="AG181" s="97" t="str">
        <f>IFERROR(VLOOKUP(T_BilanSocial[[#This Row],[NumL]],T_TraitDi[#Data],COLUMN(T_TraitDi[[#This Row],[Lundi]]),FALSE),"")</f>
        <v/>
      </c>
      <c r="AH181" s="172" t="e">
        <f>IF(VLOOKUP(T_BilanSocial[[#This Row],[NumL]],T_TraitDi[#Data],COLUMN(T_TraitDi[[#This Row],[Colonne3]]),FALSE)=0,"",TEXT(IFERROR(VLOOKUP(T_BilanSocial[[#This Row],[NumL]],T_TraitDi[#Data],COLUMN(T_TraitDi[[#This Row],[Colonne3]]),FALSE),""),"[hh]:mm"))</f>
        <v>#VALUE!</v>
      </c>
      <c r="AI181" s="172" t="e">
        <f>IF(VLOOKUP(T_BilanSocial[[#This Row],[NumL]],T_TraitDi[#Data],COLUMN(T_TraitDi[[#This Row],[Colonne4]]),FALSE)=0,"",TEXT(IFERROR(VLOOKUP(T_BilanSocial[[#This Row],[NumL]],T_TraitDi[#Data],COLUMN(T_TraitDi[[#This Row],[Colonne4]]),FALSE),""),"[hh]:mm"))</f>
        <v>#VALUE!</v>
      </c>
      <c r="AJ181" s="172" t="e">
        <f>IF(VLOOKUP(T_BilanSocial[[#This Row],[NumL]],T_TraitDi[#Data],COLUMN(T_TraitDi[[#This Row],[Colonne5]]),FALSE)=0,"",TEXT(IFERROR(VLOOKUP(T_BilanSocial[[#This Row],[NumL]],T_TraitDi[#Data],COLUMN(T_TraitDi[[#This Row],[Colonne5]]),FALSE),""),"[hh]:mm"))</f>
        <v>#VALUE!</v>
      </c>
      <c r="AK181" s="172" t="e">
        <f>IF(VLOOKUP(T_BilanSocial[[#This Row],[NumL]],T_TraitDi[#Data],COLUMN(T_TraitDi[[#This Row],[Colonne6]]),FALSE)=0,"",TEXT(IFERROR(VLOOKUP(T_BilanSocial[[#This Row],[NumL]],T_TraitDi[#Data],COLUMN(T_TraitDi[[#This Row],[Colonne6]]),FALSE),""),"[hh]:mm"))</f>
        <v>#VALUE!</v>
      </c>
      <c r="AL181" s="172" t="e">
        <f>IF(VLOOKUP(T_BilanSocial[[#This Row],[NumL]],T_TraitDi[#Data],COLUMN(T_TraitDi[[#This Row],[Colonne7]]),FALSE)=0,"",TEXT(IFERROR(VLOOKUP(T_BilanSocial[[#This Row],[NumL]],T_TraitDi[#Data],COLUMN(T_TraitDi[[#This Row],[Colonne7]]),FALSE),""),"[hh]:mm"))</f>
        <v>#VALUE!</v>
      </c>
      <c r="AM181" s="172" t="e">
        <f>IF(VLOOKUP(T_BilanSocial[[#This Row],[NumL]],T_TraitDi[#Data],COLUMN(T_TraitDi[[#This Row],[Colonne8]]),FALSE)=0,"",TEXT(IFERROR(VLOOKUP(T_BilanSocial[[#This Row],[NumL]],T_TraitDi[#Data],COLUMN(T_TraitDi[[#This Row],[Colonne8]]),FALSE),""),"[hh]:mm"))</f>
        <v>#VALUE!</v>
      </c>
      <c r="AN181" s="172" t="str">
        <f>IFERROR(VLOOKUP(T_BilanSocial[[#This Row],[NumL]],T_TraitDi[#Data],COLUMN(T_TraitDi[[#This Row],[Mardi]]),FALSE),"")</f>
        <v/>
      </c>
      <c r="AO181" s="172" t="e">
        <f>IF(VLOOKUP(T_BilanSocial[[#This Row],[NumL]],T_TraitDi[#Data],COLUMN(T_TraitDi[[#This Row],[Colonne1]]),FALSE)=0,"",TEXT(IFERROR(VLOOKUP(T_BilanSocial[[#This Row],[NumL]],T_TraitDi[#Data],COLUMN(T_TraitDi[[#This Row],[Colonne1]]),FALSE),""),"[hh]:mm"))</f>
        <v>#VALUE!</v>
      </c>
      <c r="AP181" s="172" t="e">
        <f>IF(VLOOKUP(T_BilanSocial[[#This Row],[NumL]],T_TraitDi[#Data],COLUMN(T_TraitDi[[#This Row],[Colonne9]]),FALSE)=0,"",TEXT(IFERROR(VLOOKUP(T_BilanSocial[[#This Row],[NumL]],T_TraitDi[#Data],COLUMN(T_TraitDi[[#This Row],[Colonne9]]),FALSE),""),"[hh]:mm"))</f>
        <v>#VALUE!</v>
      </c>
      <c r="AQ181" s="172" t="str">
        <f>IFERROR(VLOOKUP(T_BilanSocial[[#This Row],[NumL]],T_TraitDi[#Data],COLUMN(T_TraitDi[[#This Row],[Colonne10]]),FALSE),"")</f>
        <v/>
      </c>
      <c r="AR181" s="172" t="e">
        <f>IF(VLOOKUP(T_BilanSocial[[#This Row],[NumL]],T_TraitDi[#Data],COLUMN(T_TraitDi[[#This Row],[Colonne11]]),FALSE)=0,"",TEXT(IFERROR(VLOOKUP(T_BilanSocial[[#This Row],[NumL]],T_TraitDi[#Data],COLUMN(T_TraitDi[[#This Row],[Colonne11]]),FALSE),""),"[hh]:mm"))</f>
        <v>#VALUE!</v>
      </c>
      <c r="AS181" s="172" t="e">
        <f>IF(VLOOKUP(T_BilanSocial[[#This Row],[NumL]],T_TraitDi[#Data],COLUMN(T_TraitDi[[#This Row],[Colonne12]]),FALSE)=0,"",TEXT(IFERROR(VLOOKUP(T_BilanSocial[[#This Row],[NumL]],T_TraitDi[#Data],COLUMN(T_TraitDi[[#This Row],[Colonne12]]),FALSE),""),"[hh]:mm"))</f>
        <v>#VALUE!</v>
      </c>
      <c r="AT181" s="172" t="e">
        <f>IF(VLOOKUP(T_BilanSocial[[#This Row],[NumL]],T_TraitDi[#Data],COLUMN(T_TraitDi[[#This Row],[Colonne14]]),FALSE)=0,"",TEXT(IFERROR(VLOOKUP(T_BilanSocial[[#This Row],[NumL]],T_TraitDi[#Data],COLUMN(T_TraitDi[[#This Row],[Colonne14]]),FALSE),""),"[hh]:mm"))</f>
        <v>#VALUE!</v>
      </c>
      <c r="AU181" s="172" t="str">
        <f>IFERROR(VLOOKUP(T_BilanSocial[[#This Row],[NumL]],T_TraitDi[#Data],COLUMN(T_TraitDi[[#This Row],[Mercredi]]),FALSE),"")</f>
        <v/>
      </c>
      <c r="AV181" s="172" t="e">
        <f>IF(VLOOKUP(T_BilanSocial[[#This Row],[NumL]],T_TraitDi[#Data],COLUMN(T_TraitDi[[#This Row],[Colonne15]]),FALSE)=0,"",TEXT(IFERROR(VLOOKUP(T_BilanSocial[[#This Row],[NumL]],T_TraitDi[#Data],COLUMN(T_TraitDi[[#This Row],[Colonne15]]),FALSE),""),"[hh]:mm"))</f>
        <v>#VALUE!</v>
      </c>
      <c r="AW181" s="172" t="e">
        <f>IF(VLOOKUP(T_BilanSocial[[#This Row],[NumL]],T_TraitDi[#Data],COLUMN(T_TraitDi[[#This Row],[Colonne16]]),FALSE)=0,"",TEXT(IFERROR(VLOOKUP(T_BilanSocial[[#This Row],[NumL]],T_TraitDi[#Data],COLUMN(T_TraitDi[[#This Row],[Colonne16]]),FALSE),""),"[hh]:mm"))</f>
        <v>#VALUE!</v>
      </c>
      <c r="AX181" s="172" t="str">
        <f>IFERROR(VLOOKUP(T_BilanSocial[[#This Row],[NumL]],T_TraitDi[#Data],COLUMN(T_TraitDi[[#This Row],[Colonne17]]),FALSE),"")</f>
        <v/>
      </c>
      <c r="AY181" s="172" t="e">
        <f>IF(VLOOKUP(T_BilanSocial[[#This Row],[NumL]],T_TraitDi[#Data],COLUMN(T_TraitDi[[#This Row],[Colonne18]]),FALSE)=0,"",TEXT(IFERROR(VLOOKUP(T_BilanSocial[[#This Row],[NumL]],T_TraitDi[#Data],COLUMN(T_TraitDi[[#This Row],[Colonne18]]),FALSE),""),"[hh]:mm"))</f>
        <v>#VALUE!</v>
      </c>
      <c r="AZ181" s="172" t="e">
        <f>IF(VLOOKUP(T_BilanSocial[[#This Row],[NumL]],T_TraitDi[#Data],COLUMN(T_TraitDi[[#This Row],[Colonne19]]),FALSE)=0,"",TEXT(IFERROR(VLOOKUP(T_BilanSocial[[#This Row],[NumL]],T_TraitDi[#Data],COLUMN(T_TraitDi[[#This Row],[Colonne19]]),FALSE),""),"[hh]:mm"))</f>
        <v>#VALUE!</v>
      </c>
      <c r="BA181" s="172" t="e">
        <f>IF(VLOOKUP(T_BilanSocial[[#This Row],[NumL]],T_TraitDi[#Data],COLUMN(T_TraitDi[[#This Row],[Colonne20]]),FALSE)=0,"",TEXT(IFERROR(VLOOKUP(T_BilanSocial[[#This Row],[NumL]],T_TraitDi[#Data],COLUMN(T_TraitDi[[#This Row],[Colonne20]]),FALSE),""),"[hh]:mm"))</f>
        <v>#VALUE!</v>
      </c>
      <c r="BB181" s="178" t="str">
        <f>IFERROR(VLOOKUP(T_BilanSocial[[#This Row],[NumL]],T_TraitDi[#Data],COLUMN(T_TraitDi[[#This Row],[Jeudi]]),FALSE),"")</f>
        <v/>
      </c>
      <c r="BC181" s="178" t="e">
        <f>IF(VLOOKUP(T_BilanSocial[[#This Row],[NumL]],T_TraitDi[#Data],COLUMN(T_TraitDi[[#This Row],[Colonne21]]),FALSE)=0,"",TEXT(IFERROR(VLOOKUP(T_BilanSocial[[#This Row],[NumL]],T_TraitDi[#Data],COLUMN(T_TraitDi[[#This Row],[Colonne21]]),FALSE),""),"[hh]:mm"))</f>
        <v>#VALUE!</v>
      </c>
      <c r="BD181" s="178" t="e">
        <f>IF(VLOOKUP(T_BilanSocial[[#This Row],[NumL]],T_TraitDi[#Data],COLUMN(T_TraitDi[[#This Row],[Colonne22]]),FALSE)=0,"",TEXT(IFERROR(VLOOKUP(T_BilanSocial[[#This Row],[NumL]],T_TraitDi[#Data],COLUMN(T_TraitDi[[#This Row],[Colonne22]]),FALSE),""),"[hh]:mm"))</f>
        <v>#VALUE!</v>
      </c>
      <c r="BE181" s="178" t="str">
        <f>IFERROR(VLOOKUP(T_BilanSocial[[#This Row],[NumL]],T_TraitDi[#Data],COLUMN(T_TraitDi[[#This Row],[Colonne23]]),FALSE),"")</f>
        <v/>
      </c>
      <c r="BF181" s="178" t="e">
        <f>IF(VLOOKUP(T_BilanSocial[[#This Row],[NumL]],T_TraitDi[#Data],COLUMN(T_TraitDi[[#This Row],[Colonne24]]),FALSE)=0,"",TEXT(IFERROR(VLOOKUP(T_BilanSocial[[#This Row],[NumL]],T_TraitDi[#Data],COLUMN(T_TraitDi[[#This Row],[Colonne24]]),FALSE),""),"[hh]:mm"))</f>
        <v>#VALUE!</v>
      </c>
      <c r="BG181" s="178" t="e">
        <f>IF(VLOOKUP(T_BilanSocial[[#This Row],[NumL]],T_TraitDi[#Data],COLUMN(T_TraitDi[[#This Row],[Colonne25]]),FALSE)=0,"",TEXT(IFERROR(VLOOKUP(T_BilanSocial[[#This Row],[NumL]],T_TraitDi[#Data],COLUMN(T_TraitDi[[#This Row],[Colonne25]]),FALSE),""),"[hh]:mm"))</f>
        <v>#VALUE!</v>
      </c>
      <c r="BH181" s="178" t="e">
        <f>IF(VLOOKUP(T_BilanSocial[[#This Row],[NumL]],T_TraitDi[#Data],COLUMN(T_TraitDi[[#This Row],[Colonne26]]),FALSE)=0,"",TEXT(IFERROR(VLOOKUP(T_BilanSocial[[#This Row],[NumL]],T_TraitDi[#Data],COLUMN(T_TraitDi[[#This Row],[Colonne26]]),FALSE),""),"[hh]:mm"))</f>
        <v>#VALUE!</v>
      </c>
      <c r="BI181" s="172" t="str">
        <f>IFERROR(VLOOKUP(T_BilanSocial[[#This Row],[NumL]],T_TraitDi[#Data],COLUMN(T_TraitDi[[#This Row],[Vendredi]]),FALSE),"")</f>
        <v/>
      </c>
      <c r="BJ181" s="172" t="e">
        <f>IF(VLOOKUP(T_BilanSocial[[#This Row],[NumL]],T_TraitDi[#Data],COLUMN(T_TraitDi[[#This Row],[Colonne27]]),FALSE)=0,"",TEXT(IFERROR(VLOOKUP(T_BilanSocial[[#This Row],[NumL]],T_TraitDi[#Data],COLUMN(T_TraitDi[[#This Row],[Colonne27]]),FALSE),""),"[hh]:mm"))</f>
        <v>#VALUE!</v>
      </c>
      <c r="BK181" s="172" t="e">
        <f>IF(VLOOKUP(T_BilanSocial[[#This Row],[NumL]],T_TraitDi[#Data],COLUMN(T_TraitDi[[#This Row],[Colonne28]]),FALSE)=0,"",TEXT(IFERROR(VLOOKUP(T_BilanSocial[[#This Row],[NumL]],T_TraitDi[#Data],COLUMN(T_TraitDi[[#This Row],[Colonne28]]),FALSE),""),"[hh]:mm"))</f>
        <v>#VALUE!</v>
      </c>
      <c r="BL181" s="172" t="str">
        <f>IFERROR(VLOOKUP(T_BilanSocial[[#This Row],[NumL]],T_TraitDi[#Data],COLUMN(T_TraitDi[[#This Row],[Colonne29]]),FALSE),"")</f>
        <v/>
      </c>
      <c r="BM181" s="172" t="e">
        <f>IF(VLOOKUP(T_BilanSocial[[#This Row],[NumL]],T_TraitDi[#Data],COLUMN(T_TraitDi[[#This Row],[Colonne30]]),FALSE)=0,"",TEXT(IFERROR(VLOOKUP(T_BilanSocial[[#This Row],[NumL]],T_TraitDi[#Data],COLUMN(T_TraitDi[[#This Row],[Colonne30]]),FALSE),""),"[hh]:mm"))</f>
        <v>#VALUE!</v>
      </c>
      <c r="BN181" s="172" t="e">
        <f>IF(VLOOKUP(T_BilanSocial[[#This Row],[NumL]],T_TraitDi[#Data],COLUMN(T_TraitDi[[#This Row],[Colonne31]]),FALSE)=0,"",TEXT(IFERROR(VLOOKUP(T_BilanSocial[[#This Row],[NumL]],T_TraitDi[#Data],COLUMN(T_TraitDi[[#This Row],[Colonne31]]),FALSE),""),"[hh]:mm"))</f>
        <v>#VALUE!</v>
      </c>
      <c r="BO181" s="172" t="e">
        <f>IF(VLOOKUP(T_BilanSocial[[#This Row],[NumL]],T_TraitDi[#Data],COLUMN(T_TraitDi[[#This Row],[Colonne32]]),FALSE)=0,"",TEXT(IFERROR(VLOOKUP(T_BilanSocial[[#This Row],[NumL]],T_TraitDi[#Data],COLUMN(T_TraitDi[[#This Row],[Colonne32]]),FALSE),""),"[hh]:mm"))</f>
        <v>#VALUE!</v>
      </c>
      <c r="BP181" s="172">
        <f>VLOOKUP(T_BilanSocial[[#This Row],[NumL]],T_TraitDi[#Data],COLUMN(T_TraitDi[NbJTot]),FALSE)</f>
        <v>4.5</v>
      </c>
      <c r="BQ181" s="174" t="str">
        <f>IFERROR(VLOOKUP(T_BilanSocial[[#This Row],[NumL]],T_TraitDi[#Data],COLUMN(T_TraitDi[[#This Row],[NbJTW]]),FALSE),"")</f>
        <v/>
      </c>
      <c r="BR181" s="174" t="e">
        <f>IF(VLOOKUP(T_BilanSocial[[#This Row],[NumL]],T_TraitDi[#Data],COLUMN(T_TraitDi[[#This Row],[NbhTW]]),FALSE)=0,"",TEXT(IFERROR(VLOOKUP(T_BilanSocial[[#This Row],[NumL]],T_TraitDi[#Data],COLUMN(T_TraitDi[[#This Row],[NbhTW]]),FALSE),""),"[hh]:mm"))</f>
        <v>#VALUE!</v>
      </c>
      <c r="BS181" s="174" t="e">
        <f>IF(VLOOKUP(T_BilanSocial[[#This Row],[NumL]],T_TraitDi[#Data],COLUMN(T_TraitDi[[#This Row],[Nbhheb]]),FALSE)=0,"",TEXT(IFERROR(VLOOKUP($A181,T_TraitDi[#Data],COLUMN(T_TraitDi[[#This Row],[Nbhheb]]),FALSE),""),"[hh]:mm"))</f>
        <v>#VALUE!</v>
      </c>
      <c r="BT181" s="182" t="str">
        <f>IFERROR(VLOOKUP(VLOOKUP($A181,T_TraitDi[#Data],COLUMN(T_TraitDi[[#This Row],[Type1]]),FALSE),TypeTW,2,FALSE),"")</f>
        <v/>
      </c>
      <c r="BU181" s="182" t="str">
        <f>IFERROR(VLOOKUP($A181,T_TraitDi[#Data],COLUMN(T_TraitDi[[#This Row],[Rue1]]),FALSE),"")</f>
        <v/>
      </c>
      <c r="BV181" s="173" t="str">
        <f>IFERROR(VLOOKUP($A181,T_TraitDi[#Data],COLUMN(T_TraitDi[[#This Row],[CP1]]),FALSE),"")</f>
        <v/>
      </c>
      <c r="BW181" s="173" t="str">
        <f>IFERROR(VLOOKUP($A181,T_TraitDi[#Data],COLUMN(T_TraitDi[[#This Row],[VILLE1]]),FALSE),"")</f>
        <v/>
      </c>
      <c r="BX181" s="182" t="str">
        <f>IFERROR(VLOOKUP(VLOOKUP($A181,T_TraitDi[#Data],COLUMN(T_TraitDi[[#This Row],[Type2]]),FALSE),TypeTW,2,FALSE),"")</f>
        <v/>
      </c>
      <c r="BY181" s="182" t="str">
        <f>IFERROR(VLOOKUP($A181,T_TraitDi[#Data],COLUMN(T_TraitDi[[#This Row],[Rue2]]),FALSE),"")</f>
        <v/>
      </c>
      <c r="BZ181" s="173" t="str">
        <f>IFERROR(VLOOKUP($A181,T_TraitDi[#Data],COLUMN(T_TraitDi[[#This Row],[CP2]]),FALSE),"")</f>
        <v/>
      </c>
      <c r="CA181" s="173" t="str">
        <f>IFERROR(VLOOKUP($A181,T_TraitDi[#Data],COLUMN(T_TraitDi[[#This Row],[VILLE2]]),FALSE),"")</f>
        <v/>
      </c>
      <c r="CB181" s="182" t="str">
        <f>IF(VLOOKUP(T_BilanSocial[[#This Row],[NumL]],T_Equipement[#Data],COLUMN(T_Equipement[[#This Row],[PC]]),FALSE)="","Aucun équipement spécifique directement lié au télétravail",VLOOKUP(T_BilanSocial[[#This Row],[NumL]],T_Equipement[#Data],COLUMN(T_Equipement[[#This Row],[PC]]),FALSE))</f>
        <v xml:space="preserve">20-648	</v>
      </c>
      <c r="CC181" s="166" t="str">
        <f>IFERROR(IF(VLOOKUP(T_BilanSocial[[#This Row],[NumL]],T_TraitDi[#Data],COLUMN(T_TraitDi[[#This Row],[Plan]]),FALSE)="OK","Un planning spécifique de télétravail est annexé à la présente convention.",""),"")</f>
        <v/>
      </c>
      <c r="CD181" s="258" t="s">
        <v>3424</v>
      </c>
      <c r="CE181" s="164" t="e">
        <f>IF(VLOOKUP(T_BilanSocial[[#This Row],[NumL]],T_suiviDi[#Data],COLUMN(T_suiviDi[[#This Row],[Entité]]),FALSE)="","",VLOOKUP(T_BilanSocial[[#This Row],[NumL]],T_suiviDi[#Data],COLUMN(T_suiviDi[[#This Row],[Entité]]),FALSE))</f>
        <v>#VALUE!</v>
      </c>
      <c r="CF181" s="164" t="str">
        <f>IF(VLOOKUP(T_BilanSocial[[#This Row],[NumL]],T_Commission[#Data],COLUMN(T_Commission[[#This Row],[envoi confirm TW]]),FALSE)="","",VLOOKUP(T_BilanSocial[[#This Row],[NumL]],T_Commission[#Data],COLUMN(T_Commission[[#This Row],[envoi confirm TW]]),FALSE))</f>
        <v>Oui</v>
      </c>
      <c r="CG18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1" s="262" t="str">
        <f>T_BilanSocial[[#This Row],[Nom]]&amp;T_BilanSocial[[#This Row],[Prenom]]</f>
        <v>ACécile</v>
      </c>
      <c r="CI181" s="262">
        <f>VLOOKUP(T_BilanSocial[[#This Row],[NumL]],T_Commission[#Data],COLUMN(T_Commission[Commentaire]),FALSE)</f>
        <v>0</v>
      </c>
      <c r="CJ181" s="262" t="str">
        <f>IF(VLOOKUP(T_BilanSocial[[#This Row],[NumL]],T_Commission[#Data],COLUMN(T_Commission[Encadrant Email]),FALSE)="","",VLOOKUP(T_BilanSocial[[#This Row],[NumL]],T_Commission[#Data],COLUMN(T_Commission[Encadrant Email]),FALSE))</f>
        <v/>
      </c>
      <c r="CK181" s="340" t="str">
        <f>IF(T_BilanSocial[[#This Row],[Final]]&lt;&gt;"",VLOOKUP(T_BilanSocial[[#This Row],[NumL]],T_suiviDi[#Data],COLUMN((T_suiviDi[Statut])),FALSE),"")</f>
        <v>RENVL</v>
      </c>
    </row>
    <row r="182" spans="1:89" s="106" customFormat="1" ht="24.75" customHeight="1" x14ac:dyDescent="0.25">
      <c r="A182" s="160">
        <v>179</v>
      </c>
      <c r="B182" s="161" t="str">
        <f t="shared" si="22"/>
        <v/>
      </c>
      <c r="C182" s="162" t="s">
        <v>173</v>
      </c>
      <c r="D182" s="95" t="e">
        <f>IF(VLOOKUP(T_BilanSocial[[#This Row],[NumL]],T_TraitDi[#Data],COLUMN(T_TraitDi[[#This Row],[WebC]]),FALSE)="","",VLOOKUP(T_BilanSocial[[#This Row],[NumL]],T_TraitDi[#Data],COLUMN(T_TraitDi[[#This Row],[WebC]]),FALSE))</f>
        <v>#VALUE!</v>
      </c>
      <c r="E182" s="163" t="str">
        <f t="shared" si="23"/>
        <v>12 janvier 2021</v>
      </c>
      <c r="F182" s="96" t="str">
        <f>IF(T_BilanSocial[[#This Row],[Final]]&lt;&gt;"",VLOOKUP(T_BilanSocial[[#This Row],[NumL]],T_suiviDi[#Data],COLUMN((T_suiviDi[Civ.])),FALSE),"")</f>
        <v/>
      </c>
      <c r="G182" s="96" t="str">
        <f>IF(T_BilanSocial[[#This Row],[Final]]&lt;&gt;"",VLOOKUP(T_BilanSocial[[#This Row],[NumL]],T_suiviDi[#Data],COLUMN((T_suiviDi[Nom])),FALSE),"")</f>
        <v/>
      </c>
      <c r="H182" s="96" t="str">
        <f>IF(T_BilanSocial[[#This Row],[Final]]&lt;&gt;"",VLOOKUP(T_BilanSocial[[#This Row],[NumL]],T_suiviDi[#Data],COLUMN((T_suiviDi[Prénom])),FALSE),"")</f>
        <v/>
      </c>
      <c r="I182" s="96" t="str">
        <f>IFERROR(VLOOKUP(T_BilanSocial[[#This Row],[Zone_Bilan]],T_P_BilanSocial[#Data],COLUMN(T_P_BilanSocial[[#This Row],[Numero_SIHAM]]),FALSE),"")</f>
        <v/>
      </c>
      <c r="J182" s="96" t="str">
        <f>IFERROR(VLOOKUP(T_BilanSocial[[#This Row],[Zone_Bilan]],T_P_BilanSocial[#Data],COLUMN(T_P_BilanSocial[[#This Row],[Sexe]]),FALSE),"")</f>
        <v/>
      </c>
      <c r="K182" s="97" t="str">
        <f>IFERROR(VLOOKUP(T_BilanSocial[[#This Row],[Zone_Bilan]],T_P_BilanSocial[#Data],COLUMN(T_P_BilanSocial[[#This Row],[Categorie]]),FALSE),"")</f>
        <v/>
      </c>
      <c r="L182" s="96" t="str">
        <f>IFERROR(VLOOKUP(T_BilanSocial[[#This Row],[Zone_Bilan]],T_P_BilanSocial[#Data],COLUMN(T_P_BilanSocial[[#This Row],[Statut]]),FALSE),"")</f>
        <v/>
      </c>
      <c r="M182" s="96" t="str">
        <f>IFERROR(VLOOKUP(T_BilanSocial[[#This Row],[Zone_Bilan]],T_P_BilanSocial[#Data],COLUMN(T_P_BilanSocial[[#This Row],[Filiere]]),FALSE),"")</f>
        <v/>
      </c>
      <c r="N182" s="96" t="e">
        <f>VLOOKUP(T_BilanSocial[[#This Row],[NumL]],T_TraitDi[#Data],COLUMN(T_TraitDi[EXP]),FALSE)</f>
        <v>#N/A</v>
      </c>
      <c r="O182" s="96" t="e">
        <f>VLOOKUP(T_BilanSocial[[#This Row],[NumL]],T_TraitDi[#Data],COLUMN(T_TraitDi[FORM]),FALSE)</f>
        <v>#N/A</v>
      </c>
      <c r="P182" s="96" t="str">
        <f>IF(T_BilanSocial[[#This Row],[Final]]&lt;&gt;"",VLOOKUP(T_BilanSocial[[#This Row],[NumL]],T_suiviDi[#Data],COLUMN((T_suiviDi[Email])),FALSE),"")</f>
        <v/>
      </c>
      <c r="Q182" s="164" t="e">
        <f t="shared" si="28"/>
        <v>#N/A</v>
      </c>
      <c r="R182" s="164" t="e">
        <f t="shared" si="29"/>
        <v>#N/A</v>
      </c>
      <c r="S182" s="164" t="e">
        <f>IF(VLOOKUP(T_BilanSocial[[#This Row],[NumL]],T_suiviDi[#Data],COLUMN(T_suiviDi[[#This Row],[Service ]]),FALSE)="","",VLOOKUP(T_BilanSocial[[#This Row],[NumL]],T_suiviDi[#Data],COLUMN(T_suiviDi[[#This Row],[Service ]]),FALSE))</f>
        <v>#VALUE!</v>
      </c>
      <c r="T182" s="164" t="str">
        <f t="shared" si="24"/>
        <v>01 septembre 2021</v>
      </c>
      <c r="U182" s="164" t="str">
        <f t="shared" si="25"/>
        <v>30 novembre 2021</v>
      </c>
      <c r="V182" s="164" t="str">
        <f t="shared" si="32"/>
        <v>30 novembre 2021</v>
      </c>
      <c r="W182" s="176" t="e">
        <f>IF(VLOOKUP(T_BilanSocial[[#This Row],[NumL]],T_TraitDi[#Data],COLUMN(T_TraitDi[[#This Row],[M1]]),FALSE)="","",VLOOKUP(T_BilanSocial[[#This Row],[NumL]],T_TraitDi[#Data],COLUMN(T_TraitDi[[#This Row],[M1]]),FALSE))</f>
        <v>#VALUE!</v>
      </c>
      <c r="X182" s="176" t="e">
        <f>IF(VLOOKUP(T_BilanSocial[[#This Row],[NumL]],T_TraitDi[#Data],COLUMN(T_TraitDi[[#This Row],[M2]]),FALSE)="","",VLOOKUP(T_BilanSocial[[#This Row],[NumL]],T_TraitDi[#Data],COLUMN(T_TraitDi[[#This Row],[M2]]),FALSE))</f>
        <v>#VALUE!</v>
      </c>
      <c r="Y182" s="176" t="e">
        <f>IF(VLOOKUP(T_BilanSocial[[#This Row],[NumL]],T_TraitDi[#Data],COLUMN(T_TraitDi[[#This Row],[M3]]),FALSE)="","",VLOOKUP(T_BilanSocial[[#This Row],[NumL]],T_TraitDi[#Data],COLUMN(T_TraitDi[[#This Row],[M3]]),FALSE))</f>
        <v>#VALUE!</v>
      </c>
      <c r="Z182" s="176" t="str">
        <f t="shared" si="27"/>
        <v/>
      </c>
      <c r="AA182" s="176" t="e">
        <f>IF(VLOOKUP(T_BilanSocial[[#This Row],[NumL]],T_TraitDi[#Data],COLUMN(T_TraitDi[[#This Row],[M5]]),FALSE)="","",VLOOKUP(T_BilanSocial[[#This Row],[NumL]],T_TraitDi[#Data],COLUMN(T_TraitDi[[#This Row],[M5]]),FALSE))</f>
        <v>#VALUE!</v>
      </c>
      <c r="AB182" s="176" t="e">
        <f>IF(VLOOKUP(T_BilanSocial[[#This Row],[NumL]],T_TraitDi[#Data],COLUMN(T_TraitDi[[#This Row],[M6]]),FALSE)="","",VLOOKUP(T_BilanSocial[[#This Row],[NumL]],T_TraitDi[#Data],COLUMN(T_TraitDi[[#This Row],[M6]]),FALSE))</f>
        <v>#VALUE!</v>
      </c>
      <c r="AC182" s="165" t="e">
        <f t="shared" si="26"/>
        <v>#VALUE!</v>
      </c>
      <c r="AD182" s="188" t="str">
        <f>IFERROR(TEXT(VLOOKUP(T_BilanSocial[[#This Row],[NumL]],T_TraitDi[#Data],COLUMN(T_TraitDi[[#This Row],[Q2]]),FALSE),"###%"),"")</f>
        <v/>
      </c>
      <c r="AE182" s="97" t="e">
        <f>VLOOKUP(T_BilanSocial[[#This Row],[NumL]],T_TraitDi[#Data],COLUMN(T_TraitDi[[#This Row],[Reg Ponct]]),FALSE)</f>
        <v>#VALUE!</v>
      </c>
      <c r="AF182" s="97" t="e">
        <f>VLOOKUP(T_BilanSocial[NumL],T_TraitDi[#Data],COLUMN(T_TraitDi[[#This Row],[Jours flottants]]),FALSE)</f>
        <v>#VALUE!</v>
      </c>
      <c r="AG182" s="97" t="str">
        <f>IFERROR(VLOOKUP(T_BilanSocial[[#This Row],[NumL]],T_TraitDi[#Data],COLUMN(T_TraitDi[[#This Row],[Lundi]]),FALSE),"")</f>
        <v/>
      </c>
      <c r="AH182" s="172" t="e">
        <f>IF(VLOOKUP(T_BilanSocial[[#This Row],[NumL]],T_TraitDi[#Data],COLUMN(T_TraitDi[[#This Row],[Colonne3]]),FALSE)=0,"",TEXT(IFERROR(VLOOKUP(T_BilanSocial[[#This Row],[NumL]],T_TraitDi[#Data],COLUMN(T_TraitDi[[#This Row],[Colonne3]]),FALSE),""),"[hh]:mm"))</f>
        <v>#VALUE!</v>
      </c>
      <c r="AI182" s="172" t="e">
        <f>IF(VLOOKUP(T_BilanSocial[[#This Row],[NumL]],T_TraitDi[#Data],COLUMN(T_TraitDi[[#This Row],[Colonne4]]),FALSE)=0,"",TEXT(IFERROR(VLOOKUP(T_BilanSocial[[#This Row],[NumL]],T_TraitDi[#Data],COLUMN(T_TraitDi[[#This Row],[Colonne4]]),FALSE),""),"[hh]:mm"))</f>
        <v>#VALUE!</v>
      </c>
      <c r="AJ182" s="172" t="e">
        <f>IF(VLOOKUP(T_BilanSocial[[#This Row],[NumL]],T_TraitDi[#Data],COLUMN(T_TraitDi[[#This Row],[Colonne5]]),FALSE)=0,"",TEXT(IFERROR(VLOOKUP(T_BilanSocial[[#This Row],[NumL]],T_TraitDi[#Data],COLUMN(T_TraitDi[[#This Row],[Colonne5]]),FALSE),""),"[hh]:mm"))</f>
        <v>#VALUE!</v>
      </c>
      <c r="AK182" s="172" t="e">
        <f>IF(VLOOKUP(T_BilanSocial[[#This Row],[NumL]],T_TraitDi[#Data],COLUMN(T_TraitDi[[#This Row],[Colonne6]]),FALSE)=0,"",TEXT(IFERROR(VLOOKUP(T_BilanSocial[[#This Row],[NumL]],T_TraitDi[#Data],COLUMN(T_TraitDi[[#This Row],[Colonne6]]),FALSE),""),"[hh]:mm"))</f>
        <v>#VALUE!</v>
      </c>
      <c r="AL182" s="172" t="e">
        <f>IF(VLOOKUP(T_BilanSocial[[#This Row],[NumL]],T_TraitDi[#Data],COLUMN(T_TraitDi[[#This Row],[Colonne7]]),FALSE)=0,"",TEXT(IFERROR(VLOOKUP(T_BilanSocial[[#This Row],[NumL]],T_TraitDi[#Data],COLUMN(T_TraitDi[[#This Row],[Colonne7]]),FALSE),""),"[hh]:mm"))</f>
        <v>#VALUE!</v>
      </c>
      <c r="AM182" s="172" t="e">
        <f>IF(VLOOKUP(T_BilanSocial[[#This Row],[NumL]],T_TraitDi[#Data],COLUMN(T_TraitDi[[#This Row],[Colonne8]]),FALSE)=0,"",TEXT(IFERROR(VLOOKUP(T_BilanSocial[[#This Row],[NumL]],T_TraitDi[#Data],COLUMN(T_TraitDi[[#This Row],[Colonne8]]),FALSE),""),"[hh]:mm"))</f>
        <v>#VALUE!</v>
      </c>
      <c r="AN182" s="172" t="str">
        <f>IFERROR(VLOOKUP(T_BilanSocial[[#This Row],[NumL]],T_TraitDi[#Data],COLUMN(T_TraitDi[[#This Row],[Mardi]]),FALSE),"")</f>
        <v/>
      </c>
      <c r="AO182" s="172" t="e">
        <f>IF(VLOOKUP(T_BilanSocial[[#This Row],[NumL]],T_TraitDi[#Data],COLUMN(T_TraitDi[[#This Row],[Colonne1]]),FALSE)=0,"",TEXT(IFERROR(VLOOKUP(T_BilanSocial[[#This Row],[NumL]],T_TraitDi[#Data],COLUMN(T_TraitDi[[#This Row],[Colonne1]]),FALSE),""),"[hh]:mm"))</f>
        <v>#VALUE!</v>
      </c>
      <c r="AP182" s="172" t="e">
        <f>IF(VLOOKUP(T_BilanSocial[[#This Row],[NumL]],T_TraitDi[#Data],COLUMN(T_TraitDi[[#This Row],[Colonne9]]),FALSE)=0,"",TEXT(IFERROR(VLOOKUP(T_BilanSocial[[#This Row],[NumL]],T_TraitDi[#Data],COLUMN(T_TraitDi[[#This Row],[Colonne9]]),FALSE),""),"[hh]:mm"))</f>
        <v>#VALUE!</v>
      </c>
      <c r="AQ182" s="172" t="str">
        <f>IFERROR(VLOOKUP(T_BilanSocial[[#This Row],[NumL]],T_TraitDi[#Data],COLUMN(T_TraitDi[[#This Row],[Colonne10]]),FALSE),"")</f>
        <v/>
      </c>
      <c r="AR182" s="172" t="e">
        <f>IF(VLOOKUP(T_BilanSocial[[#This Row],[NumL]],T_TraitDi[#Data],COLUMN(T_TraitDi[[#This Row],[Colonne11]]),FALSE)=0,"",TEXT(IFERROR(VLOOKUP(T_BilanSocial[[#This Row],[NumL]],T_TraitDi[#Data],COLUMN(T_TraitDi[[#This Row],[Colonne11]]),FALSE),""),"[hh]:mm"))</f>
        <v>#VALUE!</v>
      </c>
      <c r="AS182" s="172" t="e">
        <f>IF(VLOOKUP(T_BilanSocial[[#This Row],[NumL]],T_TraitDi[#Data],COLUMN(T_TraitDi[[#This Row],[Colonne12]]),FALSE)=0,"",TEXT(IFERROR(VLOOKUP(T_BilanSocial[[#This Row],[NumL]],T_TraitDi[#Data],COLUMN(T_TraitDi[[#This Row],[Colonne12]]),FALSE),""),"[hh]:mm"))</f>
        <v>#VALUE!</v>
      </c>
      <c r="AT182" s="172" t="e">
        <f>IF(VLOOKUP(T_BilanSocial[[#This Row],[NumL]],T_TraitDi[#Data],COLUMN(T_TraitDi[[#This Row],[Colonne14]]),FALSE)=0,"",TEXT(IFERROR(VLOOKUP(T_BilanSocial[[#This Row],[NumL]],T_TraitDi[#Data],COLUMN(T_TraitDi[[#This Row],[Colonne14]]),FALSE),""),"[hh]:mm"))</f>
        <v>#VALUE!</v>
      </c>
      <c r="AU182" s="172" t="str">
        <f>IFERROR(VLOOKUP(T_BilanSocial[[#This Row],[NumL]],T_TraitDi[#Data],COLUMN(T_TraitDi[[#This Row],[Mercredi]]),FALSE),"")</f>
        <v/>
      </c>
      <c r="AV182" s="172" t="e">
        <f>IF(VLOOKUP(T_BilanSocial[[#This Row],[NumL]],T_TraitDi[#Data],COLUMN(T_TraitDi[[#This Row],[Colonne15]]),FALSE)=0,"",TEXT(IFERROR(VLOOKUP(T_BilanSocial[[#This Row],[NumL]],T_TraitDi[#Data],COLUMN(T_TraitDi[[#This Row],[Colonne15]]),FALSE),""),"[hh]:mm"))</f>
        <v>#VALUE!</v>
      </c>
      <c r="AW182" s="172" t="e">
        <f>IF(VLOOKUP(T_BilanSocial[[#This Row],[NumL]],T_TraitDi[#Data],COLUMN(T_TraitDi[[#This Row],[Colonne16]]),FALSE)=0,"",TEXT(IFERROR(VLOOKUP(T_BilanSocial[[#This Row],[NumL]],T_TraitDi[#Data],COLUMN(T_TraitDi[[#This Row],[Colonne16]]),FALSE),""),"[hh]:mm"))</f>
        <v>#VALUE!</v>
      </c>
      <c r="AX182" s="172" t="str">
        <f>IFERROR(VLOOKUP(T_BilanSocial[[#This Row],[NumL]],T_TraitDi[#Data],COLUMN(T_TraitDi[[#This Row],[Colonne17]]),FALSE),"")</f>
        <v/>
      </c>
      <c r="AY182" s="172" t="e">
        <f>IF(VLOOKUP(T_BilanSocial[[#This Row],[NumL]],T_TraitDi[#Data],COLUMN(T_TraitDi[[#This Row],[Colonne18]]),FALSE)=0,"",TEXT(IFERROR(VLOOKUP(T_BilanSocial[[#This Row],[NumL]],T_TraitDi[#Data],COLUMN(T_TraitDi[[#This Row],[Colonne18]]),FALSE),""),"[hh]:mm"))</f>
        <v>#VALUE!</v>
      </c>
      <c r="AZ182" s="172" t="e">
        <f>IF(VLOOKUP(T_BilanSocial[[#This Row],[NumL]],T_TraitDi[#Data],COLUMN(T_TraitDi[[#This Row],[Colonne19]]),FALSE)=0,"",TEXT(IFERROR(VLOOKUP(T_BilanSocial[[#This Row],[NumL]],T_TraitDi[#Data],COLUMN(T_TraitDi[[#This Row],[Colonne19]]),FALSE),""),"[hh]:mm"))</f>
        <v>#VALUE!</v>
      </c>
      <c r="BA182" s="172" t="e">
        <f>IF(VLOOKUP(T_BilanSocial[[#This Row],[NumL]],T_TraitDi[#Data],COLUMN(T_TraitDi[[#This Row],[Colonne20]]),FALSE)=0,"",TEXT(IFERROR(VLOOKUP(T_BilanSocial[[#This Row],[NumL]],T_TraitDi[#Data],COLUMN(T_TraitDi[[#This Row],[Colonne20]]),FALSE),""),"[hh]:mm"))</f>
        <v>#VALUE!</v>
      </c>
      <c r="BB182" s="178" t="str">
        <f>IFERROR(VLOOKUP(T_BilanSocial[[#This Row],[NumL]],T_TraitDi[#Data],COLUMN(T_TraitDi[[#This Row],[Jeudi]]),FALSE),"")</f>
        <v/>
      </c>
      <c r="BC182" s="178" t="e">
        <f>IF(VLOOKUP(T_BilanSocial[[#This Row],[NumL]],T_TraitDi[#Data],COLUMN(T_TraitDi[[#This Row],[Colonne21]]),FALSE)=0,"",TEXT(IFERROR(VLOOKUP(T_BilanSocial[[#This Row],[NumL]],T_TraitDi[#Data],COLUMN(T_TraitDi[[#This Row],[Colonne21]]),FALSE),""),"[hh]:mm"))</f>
        <v>#VALUE!</v>
      </c>
      <c r="BD182" s="178" t="e">
        <f>IF(VLOOKUP(T_BilanSocial[[#This Row],[NumL]],T_TraitDi[#Data],COLUMN(T_TraitDi[[#This Row],[Colonne22]]),FALSE)=0,"",TEXT(IFERROR(VLOOKUP(T_BilanSocial[[#This Row],[NumL]],T_TraitDi[#Data],COLUMN(T_TraitDi[[#This Row],[Colonne22]]),FALSE),""),"[hh]:mm"))</f>
        <v>#VALUE!</v>
      </c>
      <c r="BE182" s="178" t="str">
        <f>IFERROR(VLOOKUP(T_BilanSocial[[#This Row],[NumL]],T_TraitDi[#Data],COLUMN(T_TraitDi[[#This Row],[Colonne23]]),FALSE),"")</f>
        <v/>
      </c>
      <c r="BF182" s="178" t="e">
        <f>IF(VLOOKUP(T_BilanSocial[[#This Row],[NumL]],T_TraitDi[#Data],COLUMN(T_TraitDi[[#This Row],[Colonne24]]),FALSE)=0,"",TEXT(IFERROR(VLOOKUP(T_BilanSocial[[#This Row],[NumL]],T_TraitDi[#Data],COLUMN(T_TraitDi[[#This Row],[Colonne24]]),FALSE),""),"[hh]:mm"))</f>
        <v>#VALUE!</v>
      </c>
      <c r="BG182" s="178" t="e">
        <f>IF(VLOOKUP(T_BilanSocial[[#This Row],[NumL]],T_TraitDi[#Data],COLUMN(T_TraitDi[[#This Row],[Colonne25]]),FALSE)=0,"",TEXT(IFERROR(VLOOKUP(T_BilanSocial[[#This Row],[NumL]],T_TraitDi[#Data],COLUMN(T_TraitDi[[#This Row],[Colonne25]]),FALSE),""),"[hh]:mm"))</f>
        <v>#VALUE!</v>
      </c>
      <c r="BH182" s="178" t="e">
        <f>IF(VLOOKUP(T_BilanSocial[[#This Row],[NumL]],T_TraitDi[#Data],COLUMN(T_TraitDi[[#This Row],[Colonne26]]),FALSE)=0,"",TEXT(IFERROR(VLOOKUP(T_BilanSocial[[#This Row],[NumL]],T_TraitDi[#Data],COLUMN(T_TraitDi[[#This Row],[Colonne26]]),FALSE),""),"[hh]:mm"))</f>
        <v>#VALUE!</v>
      </c>
      <c r="BI182" s="172" t="str">
        <f>IFERROR(VLOOKUP(T_BilanSocial[[#This Row],[NumL]],T_TraitDi[#Data],COLUMN(T_TraitDi[[#This Row],[Vendredi]]),FALSE),"")</f>
        <v/>
      </c>
      <c r="BJ182" s="172" t="e">
        <f>IF(VLOOKUP(T_BilanSocial[[#This Row],[NumL]],T_TraitDi[#Data],COLUMN(T_TraitDi[[#This Row],[Colonne27]]),FALSE)=0,"",TEXT(IFERROR(VLOOKUP(T_BilanSocial[[#This Row],[NumL]],T_TraitDi[#Data],COLUMN(T_TraitDi[[#This Row],[Colonne27]]),FALSE),""),"[hh]:mm"))</f>
        <v>#VALUE!</v>
      </c>
      <c r="BK182" s="172" t="e">
        <f>IF(VLOOKUP(T_BilanSocial[[#This Row],[NumL]],T_TraitDi[#Data],COLUMN(T_TraitDi[[#This Row],[Colonne28]]),FALSE)=0,"",TEXT(IFERROR(VLOOKUP(T_BilanSocial[[#This Row],[NumL]],T_TraitDi[#Data],COLUMN(T_TraitDi[[#This Row],[Colonne28]]),FALSE),""),"[hh]:mm"))</f>
        <v>#VALUE!</v>
      </c>
      <c r="BL182" s="172" t="str">
        <f>IFERROR(VLOOKUP(T_BilanSocial[[#This Row],[NumL]],T_TraitDi[#Data],COLUMN(T_TraitDi[[#This Row],[Colonne29]]),FALSE),"")</f>
        <v/>
      </c>
      <c r="BM182" s="172" t="e">
        <f>IF(VLOOKUP(T_BilanSocial[[#This Row],[NumL]],T_TraitDi[#Data],COLUMN(T_TraitDi[[#This Row],[Colonne30]]),FALSE)=0,"",TEXT(IFERROR(VLOOKUP(T_BilanSocial[[#This Row],[NumL]],T_TraitDi[#Data],COLUMN(T_TraitDi[[#This Row],[Colonne30]]),FALSE),""),"[hh]:mm"))</f>
        <v>#VALUE!</v>
      </c>
      <c r="BN182" s="172" t="e">
        <f>IF(VLOOKUP(T_BilanSocial[[#This Row],[NumL]],T_TraitDi[#Data],COLUMN(T_TraitDi[[#This Row],[Colonne31]]),FALSE)=0,"",TEXT(IFERROR(VLOOKUP(T_BilanSocial[[#This Row],[NumL]],T_TraitDi[#Data],COLUMN(T_TraitDi[[#This Row],[Colonne31]]),FALSE),""),"[hh]:mm"))</f>
        <v>#VALUE!</v>
      </c>
      <c r="BO182" s="172" t="e">
        <f>IF(VLOOKUP(T_BilanSocial[[#This Row],[NumL]],T_TraitDi[#Data],COLUMN(T_TraitDi[[#This Row],[Colonne32]]),FALSE)=0,"",TEXT(IFERROR(VLOOKUP(T_BilanSocial[[#This Row],[NumL]],T_TraitDi[#Data],COLUMN(T_TraitDi[[#This Row],[Colonne32]]),FALSE),""),"[hh]:mm"))</f>
        <v>#VALUE!</v>
      </c>
      <c r="BP182" s="172" t="e">
        <f>VLOOKUP(T_BilanSocial[[#This Row],[NumL]],T_TraitDi[#Data],COLUMN(T_TraitDi[NbJTot]),FALSE)</f>
        <v>#N/A</v>
      </c>
      <c r="BQ182" s="174" t="str">
        <f>IFERROR(VLOOKUP(T_BilanSocial[[#This Row],[NumL]],T_TraitDi[#Data],COLUMN(T_TraitDi[[#This Row],[NbJTW]]),FALSE),"")</f>
        <v/>
      </c>
      <c r="BR182" s="174" t="e">
        <f>IF(VLOOKUP(T_BilanSocial[[#This Row],[NumL]],T_TraitDi[#Data],COLUMN(T_TraitDi[[#This Row],[NbhTW]]),FALSE)=0,"",TEXT(IFERROR(VLOOKUP(T_BilanSocial[[#This Row],[NumL]],T_TraitDi[#Data],COLUMN(T_TraitDi[[#This Row],[NbhTW]]),FALSE),""),"[hh]:mm"))</f>
        <v>#VALUE!</v>
      </c>
      <c r="BS182" s="174" t="e">
        <f>IF(VLOOKUP(T_BilanSocial[[#This Row],[NumL]],T_TraitDi[#Data],COLUMN(T_TraitDi[[#This Row],[Nbhheb]]),FALSE)=0,"",TEXT(IFERROR(VLOOKUP($A182,T_TraitDi[#Data],COLUMN(T_TraitDi[[#This Row],[Nbhheb]]),FALSE),""),"[hh]:mm"))</f>
        <v>#VALUE!</v>
      </c>
      <c r="BT182" s="182" t="str">
        <f>IFERROR(VLOOKUP(VLOOKUP($A182,T_TraitDi[#Data],COLUMN(T_TraitDi[[#This Row],[Type1]]),FALSE),TypeTW,2,FALSE),"")</f>
        <v/>
      </c>
      <c r="BU182" s="182" t="str">
        <f>IFERROR(VLOOKUP($A182,T_TraitDi[#Data],COLUMN(T_TraitDi[[#This Row],[Rue1]]),FALSE),"")</f>
        <v/>
      </c>
      <c r="BV182" s="173" t="str">
        <f>IFERROR(VLOOKUP($A182,T_TraitDi[#Data],COLUMN(T_TraitDi[[#This Row],[CP1]]),FALSE),"")</f>
        <v/>
      </c>
      <c r="BW182" s="173" t="str">
        <f>IFERROR(VLOOKUP($A182,T_TraitDi[#Data],COLUMN(T_TraitDi[[#This Row],[VILLE1]]),FALSE),"")</f>
        <v/>
      </c>
      <c r="BX182" s="182" t="str">
        <f>IFERROR(VLOOKUP(VLOOKUP($A182,T_TraitDi[#Data],COLUMN(T_TraitDi[[#This Row],[Type2]]),FALSE),TypeTW,2,FALSE),"")</f>
        <v/>
      </c>
      <c r="BY182" s="182" t="str">
        <f>IFERROR(VLOOKUP($A182,T_TraitDi[#Data],COLUMN(T_TraitDi[[#This Row],[Rue2]]),FALSE),"")</f>
        <v/>
      </c>
      <c r="BZ182" s="173" t="str">
        <f>IFERROR(VLOOKUP($A182,T_TraitDi[#Data],COLUMN(T_TraitDi[[#This Row],[CP2]]),FALSE),"")</f>
        <v/>
      </c>
      <c r="CA182" s="173" t="str">
        <f>IFERROR(VLOOKUP($A182,T_TraitDi[#Data],COLUMN(T_TraitDi[[#This Row],[VILLE2]]),FALSE),"")</f>
        <v/>
      </c>
      <c r="CB182" s="182" t="str">
        <f>IF(VLOOKUP(T_BilanSocial[[#This Row],[NumL]],T_Equipement[#Data],COLUMN(T_Equipement[[#This Row],[PC]]),FALSE)="","Aucun équipement spécifique directement lié au télétravail",VLOOKUP(T_BilanSocial[[#This Row],[NumL]],T_Equipement[#Data],COLUMN(T_Equipement[[#This Row],[PC]]),FALSE))</f>
        <v xml:space="preserve">	20-3002</v>
      </c>
      <c r="CC182" s="166" t="str">
        <f>IFERROR(IF(VLOOKUP(T_BilanSocial[[#This Row],[NumL]],T_TraitDi[#Data],COLUMN(T_TraitDi[[#This Row],[Plan]]),FALSE)="OK","Un planning spécifique de télétravail est annexé à la présente convention.",""),"")</f>
        <v/>
      </c>
      <c r="CD182" s="258" t="s">
        <v>3386</v>
      </c>
      <c r="CE182" s="164" t="e">
        <f>IF(VLOOKUP(T_BilanSocial[[#This Row],[NumL]],T_suiviDi[#Data],COLUMN(T_suiviDi[[#This Row],[Entité]]),FALSE)="","",VLOOKUP(T_BilanSocial[[#This Row],[NumL]],T_suiviDi[#Data],COLUMN(T_suiviDi[[#This Row],[Entité]]),FALSE))</f>
        <v>#VALUE!</v>
      </c>
      <c r="CF182" s="164" t="str">
        <f>IF(VLOOKUP(T_BilanSocial[[#This Row],[NumL]],T_Commission[#Data],COLUMN(T_Commission[[#This Row],[envoi confirm TW]]),FALSE)="","",VLOOKUP(T_BilanSocial[[#This Row],[NumL]],T_Commission[#Data],COLUMN(T_Commission[[#This Row],[envoi confirm TW]]),FALSE))</f>
        <v>Oui</v>
      </c>
      <c r="CG18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2" s="262" t="str">
        <f>T_BilanSocial[[#This Row],[Nom]]&amp;T_BilanSocial[[#This Row],[Prenom]]</f>
        <v/>
      </c>
      <c r="CI182" s="262">
        <f>VLOOKUP(T_BilanSocial[[#This Row],[NumL]],T_Commission[#Data],COLUMN(T_Commission[Commentaire]),FALSE)</f>
        <v>0</v>
      </c>
      <c r="CJ182" s="262" t="str">
        <f>IF(VLOOKUP(T_BilanSocial[[#This Row],[NumL]],T_Commission[#Data],COLUMN(T_Commission[Encadrant Email]),FALSE)="","",VLOOKUP(T_BilanSocial[[#This Row],[NumL]],T_Commission[#Data],COLUMN(T_Commission[Encadrant Email]),FALSE))</f>
        <v/>
      </c>
      <c r="CK182" s="340" t="str">
        <f>IF(T_BilanSocial[[#This Row],[Final]]&lt;&gt;"",VLOOKUP(T_BilanSocial[[#This Row],[NumL]],T_suiviDi[#Data],COLUMN((T_suiviDi[Statut])),FALSE),"")</f>
        <v/>
      </c>
    </row>
    <row r="183" spans="1:89" s="106" customFormat="1" ht="24.75" customHeight="1" x14ac:dyDescent="0.25">
      <c r="A183" s="160">
        <v>180</v>
      </c>
      <c r="B183" s="161" t="str">
        <f t="shared" si="22"/>
        <v/>
      </c>
      <c r="C183" s="162" t="s">
        <v>173</v>
      </c>
      <c r="D183" s="95" t="e">
        <f>IF(VLOOKUP(T_BilanSocial[[#This Row],[NumL]],T_TraitDi[#Data],COLUMN(T_TraitDi[[#This Row],[WebC]]),FALSE)="","",VLOOKUP(T_BilanSocial[[#This Row],[NumL]],T_TraitDi[#Data],COLUMN(T_TraitDi[[#This Row],[WebC]]),FALSE))</f>
        <v>#VALUE!</v>
      </c>
      <c r="E183" s="163" t="str">
        <f t="shared" si="23"/>
        <v>12 janvier 2021</v>
      </c>
      <c r="F183" s="96" t="str">
        <f>IF(T_BilanSocial[[#This Row],[Final]]&lt;&gt;"",VLOOKUP(T_BilanSocial[[#This Row],[NumL]],T_suiviDi[#Data],COLUMN((T_suiviDi[Civ.])),FALSE),"")</f>
        <v/>
      </c>
      <c r="G183" s="96" t="str">
        <f>IF(T_BilanSocial[[#This Row],[Final]]&lt;&gt;"",VLOOKUP(T_BilanSocial[[#This Row],[NumL]],T_suiviDi[#Data],COLUMN((T_suiviDi[Nom])),FALSE),"")</f>
        <v/>
      </c>
      <c r="H183" s="96" t="str">
        <f>IF(T_BilanSocial[[#This Row],[Final]]&lt;&gt;"",VLOOKUP(T_BilanSocial[[#This Row],[NumL]],T_suiviDi[#Data],COLUMN((T_suiviDi[Prénom])),FALSE),"")</f>
        <v/>
      </c>
      <c r="I183" s="96" t="str">
        <f>IFERROR(VLOOKUP(T_BilanSocial[[#This Row],[Zone_Bilan]],T_P_BilanSocial[#Data],COLUMN(T_P_BilanSocial[[#This Row],[Numero_SIHAM]]),FALSE),"")</f>
        <v/>
      </c>
      <c r="J183" s="96" t="str">
        <f>IFERROR(VLOOKUP(T_BilanSocial[[#This Row],[Zone_Bilan]],T_P_BilanSocial[#Data],COLUMN(T_P_BilanSocial[[#This Row],[Sexe]]),FALSE),"")</f>
        <v/>
      </c>
      <c r="K183" s="97" t="str">
        <f>IFERROR(VLOOKUP(T_BilanSocial[[#This Row],[Zone_Bilan]],T_P_BilanSocial[#Data],COLUMN(T_P_BilanSocial[[#This Row],[Categorie]]),FALSE),"")</f>
        <v/>
      </c>
      <c r="L183" s="96" t="str">
        <f>IFERROR(VLOOKUP(T_BilanSocial[[#This Row],[Zone_Bilan]],T_P_BilanSocial[#Data],COLUMN(T_P_BilanSocial[[#This Row],[Statut]]),FALSE),"")</f>
        <v/>
      </c>
      <c r="M183" s="96" t="str">
        <f>IFERROR(VLOOKUP(T_BilanSocial[[#This Row],[Zone_Bilan]],T_P_BilanSocial[#Data],COLUMN(T_P_BilanSocial[[#This Row],[Filiere]]),FALSE),"")</f>
        <v/>
      </c>
      <c r="N183" s="96" t="e">
        <f>VLOOKUP(T_BilanSocial[[#This Row],[NumL]],T_TraitDi[#Data],COLUMN(T_TraitDi[EXP]),FALSE)</f>
        <v>#N/A</v>
      </c>
      <c r="O183" s="96" t="e">
        <f>VLOOKUP(T_BilanSocial[[#This Row],[NumL]],T_TraitDi[#Data],COLUMN(T_TraitDi[FORM]),FALSE)</f>
        <v>#N/A</v>
      </c>
      <c r="P183" s="96" t="str">
        <f>IF(T_BilanSocial[[#This Row],[Final]]&lt;&gt;"",VLOOKUP(T_BilanSocial[[#This Row],[NumL]],T_suiviDi[#Data],COLUMN((T_suiviDi[Email])),FALSE),"")</f>
        <v/>
      </c>
      <c r="Q183" s="164" t="e">
        <f t="shared" si="28"/>
        <v>#N/A</v>
      </c>
      <c r="R183" s="164" t="e">
        <f t="shared" si="29"/>
        <v>#N/A</v>
      </c>
      <c r="S183" s="164" t="e">
        <f>IF(VLOOKUP(T_BilanSocial[[#This Row],[NumL]],T_suiviDi[#Data],COLUMN(T_suiviDi[[#This Row],[Service ]]),FALSE)="","",VLOOKUP(T_BilanSocial[[#This Row],[NumL]],T_suiviDi[#Data],COLUMN(T_suiviDi[[#This Row],[Service ]]),FALSE))</f>
        <v>#VALUE!</v>
      </c>
      <c r="T183" s="164" t="str">
        <f t="shared" si="24"/>
        <v>01 septembre 2021</v>
      </c>
      <c r="U183" s="164" t="str">
        <f t="shared" si="25"/>
        <v>30 novembre 2021</v>
      </c>
      <c r="V183" s="96" t="str">
        <f t="shared" si="32"/>
        <v>30 novembre 2021</v>
      </c>
      <c r="W183" s="176" t="e">
        <f>IF(VLOOKUP(T_BilanSocial[[#This Row],[NumL]],T_TraitDi[#Data],COLUMN(T_TraitDi[[#This Row],[M1]]),FALSE)="","",VLOOKUP(T_BilanSocial[[#This Row],[NumL]],T_TraitDi[#Data],COLUMN(T_TraitDi[[#This Row],[M1]]),FALSE))</f>
        <v>#VALUE!</v>
      </c>
      <c r="X183" s="176" t="e">
        <f>IF(VLOOKUP(T_BilanSocial[[#This Row],[NumL]],T_TraitDi[#Data],COLUMN(T_TraitDi[[#This Row],[M2]]),FALSE)="","",VLOOKUP(T_BilanSocial[[#This Row],[NumL]],T_TraitDi[#Data],COLUMN(T_TraitDi[[#This Row],[M2]]),FALSE))</f>
        <v>#VALUE!</v>
      </c>
      <c r="Y183" s="176" t="e">
        <f>IF(VLOOKUP(T_BilanSocial[[#This Row],[NumL]],T_TraitDi[#Data],COLUMN(T_TraitDi[[#This Row],[M3]]),FALSE)="","",VLOOKUP(T_BilanSocial[[#This Row],[NumL]],T_TraitDi[#Data],COLUMN(T_TraitDi[[#This Row],[M3]]),FALSE))</f>
        <v>#VALUE!</v>
      </c>
      <c r="Z183" s="176" t="str">
        <f t="shared" si="27"/>
        <v/>
      </c>
      <c r="AA183" s="176" t="e">
        <f>IF(VLOOKUP(T_BilanSocial[[#This Row],[NumL]],T_TraitDi[#Data],COLUMN(T_TraitDi[[#This Row],[M5]]),FALSE)="","",VLOOKUP(T_BilanSocial[[#This Row],[NumL]],T_TraitDi[#Data],COLUMN(T_TraitDi[[#This Row],[M5]]),FALSE))</f>
        <v>#VALUE!</v>
      </c>
      <c r="AB183" s="176" t="e">
        <f>IF(VLOOKUP(T_BilanSocial[[#This Row],[NumL]],T_TraitDi[#Data],COLUMN(T_TraitDi[[#This Row],[M6]]),FALSE)="","",VLOOKUP(T_BilanSocial[[#This Row],[NumL]],T_TraitDi[#Data],COLUMN(T_TraitDi[[#This Row],[M6]]),FALSE))</f>
        <v>#VALUE!</v>
      </c>
      <c r="AC183" s="165" t="e">
        <f t="shared" si="26"/>
        <v>#VALUE!</v>
      </c>
      <c r="AD183" s="188" t="str">
        <f>IFERROR(TEXT(VLOOKUP(T_BilanSocial[[#This Row],[NumL]],T_TraitDi[#Data],COLUMN(T_TraitDi[[#This Row],[Q2]]),FALSE),"###%"),"")</f>
        <v/>
      </c>
      <c r="AE183" s="97" t="e">
        <f>VLOOKUP(T_BilanSocial[[#This Row],[NumL]],T_TraitDi[#Data],COLUMN(T_TraitDi[[#This Row],[Reg Ponct]]),FALSE)</f>
        <v>#VALUE!</v>
      </c>
      <c r="AF183" s="97" t="e">
        <f>VLOOKUP(T_BilanSocial[NumL],T_TraitDi[#Data],COLUMN(T_TraitDi[[#This Row],[Jours flottants]]),FALSE)</f>
        <v>#VALUE!</v>
      </c>
      <c r="AG183" s="97" t="str">
        <f>IFERROR(VLOOKUP(T_BilanSocial[[#This Row],[NumL]],T_TraitDi[#Data],COLUMN(T_TraitDi[[#This Row],[Lundi]]),FALSE),"")</f>
        <v/>
      </c>
      <c r="AH183" s="172" t="e">
        <f>IF(VLOOKUP(T_BilanSocial[[#This Row],[NumL]],T_TraitDi[#Data],COLUMN(T_TraitDi[[#This Row],[Colonne3]]),FALSE)=0,"",TEXT(IFERROR(VLOOKUP(T_BilanSocial[[#This Row],[NumL]],T_TraitDi[#Data],COLUMN(T_TraitDi[[#This Row],[Colonne3]]),FALSE),""),"[hh]:mm"))</f>
        <v>#VALUE!</v>
      </c>
      <c r="AI183" s="172" t="e">
        <f>IF(VLOOKUP(T_BilanSocial[[#This Row],[NumL]],T_TraitDi[#Data],COLUMN(T_TraitDi[[#This Row],[Colonne4]]),FALSE)=0,"",TEXT(IFERROR(VLOOKUP(T_BilanSocial[[#This Row],[NumL]],T_TraitDi[#Data],COLUMN(T_TraitDi[[#This Row],[Colonne4]]),FALSE),""),"[hh]:mm"))</f>
        <v>#VALUE!</v>
      </c>
      <c r="AJ183" s="172" t="e">
        <f>IF(VLOOKUP(T_BilanSocial[[#This Row],[NumL]],T_TraitDi[#Data],COLUMN(T_TraitDi[[#This Row],[Colonne5]]),FALSE)=0,"",TEXT(IFERROR(VLOOKUP(T_BilanSocial[[#This Row],[NumL]],T_TraitDi[#Data],COLUMN(T_TraitDi[[#This Row],[Colonne5]]),FALSE),""),"[hh]:mm"))</f>
        <v>#VALUE!</v>
      </c>
      <c r="AK183" s="172" t="e">
        <f>IF(VLOOKUP(T_BilanSocial[[#This Row],[NumL]],T_TraitDi[#Data],COLUMN(T_TraitDi[[#This Row],[Colonne6]]),FALSE)=0,"",TEXT(IFERROR(VLOOKUP(T_BilanSocial[[#This Row],[NumL]],T_TraitDi[#Data],COLUMN(T_TraitDi[[#This Row],[Colonne6]]),FALSE),""),"[hh]:mm"))</f>
        <v>#VALUE!</v>
      </c>
      <c r="AL183" s="172" t="e">
        <f>IF(VLOOKUP(T_BilanSocial[[#This Row],[NumL]],T_TraitDi[#Data],COLUMN(T_TraitDi[[#This Row],[Colonne7]]),FALSE)=0,"",TEXT(IFERROR(VLOOKUP(T_BilanSocial[[#This Row],[NumL]],T_TraitDi[#Data],COLUMN(T_TraitDi[[#This Row],[Colonne7]]),FALSE),""),"[hh]:mm"))</f>
        <v>#VALUE!</v>
      </c>
      <c r="AM183" s="172" t="e">
        <f>IF(VLOOKUP(T_BilanSocial[[#This Row],[NumL]],T_TraitDi[#Data],COLUMN(T_TraitDi[[#This Row],[Colonne8]]),FALSE)=0,"",TEXT(IFERROR(VLOOKUP(T_BilanSocial[[#This Row],[NumL]],T_TraitDi[#Data],COLUMN(T_TraitDi[[#This Row],[Colonne8]]),FALSE),""),"[hh]:mm"))</f>
        <v>#VALUE!</v>
      </c>
      <c r="AN183" s="172" t="str">
        <f>IFERROR(VLOOKUP(T_BilanSocial[[#This Row],[NumL]],T_TraitDi[#Data],COLUMN(T_TraitDi[[#This Row],[Mardi]]),FALSE),"")</f>
        <v/>
      </c>
      <c r="AO183" s="172" t="e">
        <f>IF(VLOOKUP(T_BilanSocial[[#This Row],[NumL]],T_TraitDi[#Data],COLUMN(T_TraitDi[[#This Row],[Colonne1]]),FALSE)=0,"",TEXT(IFERROR(VLOOKUP(T_BilanSocial[[#This Row],[NumL]],T_TraitDi[#Data],COLUMN(T_TraitDi[[#This Row],[Colonne1]]),FALSE),""),"[hh]:mm"))</f>
        <v>#VALUE!</v>
      </c>
      <c r="AP183" s="172" t="e">
        <f>IF(VLOOKUP(T_BilanSocial[[#This Row],[NumL]],T_TraitDi[#Data],COLUMN(T_TraitDi[[#This Row],[Colonne9]]),FALSE)=0,"",TEXT(IFERROR(VLOOKUP(T_BilanSocial[[#This Row],[NumL]],T_TraitDi[#Data],COLUMN(T_TraitDi[[#This Row],[Colonne9]]),FALSE),""),"[hh]:mm"))</f>
        <v>#VALUE!</v>
      </c>
      <c r="AQ183" s="172" t="str">
        <f>IFERROR(VLOOKUP(T_BilanSocial[[#This Row],[NumL]],T_TraitDi[#Data],COLUMN(T_TraitDi[[#This Row],[Colonne10]]),FALSE),"")</f>
        <v/>
      </c>
      <c r="AR183" s="172" t="e">
        <f>IF(VLOOKUP(T_BilanSocial[[#This Row],[NumL]],T_TraitDi[#Data],COLUMN(T_TraitDi[[#This Row],[Colonne11]]),FALSE)=0,"",TEXT(IFERROR(VLOOKUP(T_BilanSocial[[#This Row],[NumL]],T_TraitDi[#Data],COLUMN(T_TraitDi[[#This Row],[Colonne11]]),FALSE),""),"[hh]:mm"))</f>
        <v>#VALUE!</v>
      </c>
      <c r="AS183" s="172" t="e">
        <f>IF(VLOOKUP(T_BilanSocial[[#This Row],[NumL]],T_TraitDi[#Data],COLUMN(T_TraitDi[[#This Row],[Colonne12]]),FALSE)=0,"",TEXT(IFERROR(VLOOKUP(T_BilanSocial[[#This Row],[NumL]],T_TraitDi[#Data],COLUMN(T_TraitDi[[#This Row],[Colonne12]]),FALSE),""),"[hh]:mm"))</f>
        <v>#VALUE!</v>
      </c>
      <c r="AT183" s="172" t="e">
        <f>IF(VLOOKUP(T_BilanSocial[[#This Row],[NumL]],T_TraitDi[#Data],COLUMN(T_TraitDi[[#This Row],[Colonne14]]),FALSE)=0,"",TEXT(IFERROR(VLOOKUP(T_BilanSocial[[#This Row],[NumL]],T_TraitDi[#Data],COLUMN(T_TraitDi[[#This Row],[Colonne14]]),FALSE),""),"[hh]:mm"))</f>
        <v>#VALUE!</v>
      </c>
      <c r="AU183" s="172" t="str">
        <f>IFERROR(VLOOKUP(T_BilanSocial[[#This Row],[NumL]],T_TraitDi[#Data],COLUMN(T_TraitDi[[#This Row],[Mercredi]]),FALSE),"")</f>
        <v/>
      </c>
      <c r="AV183" s="172" t="e">
        <f>IF(VLOOKUP(T_BilanSocial[[#This Row],[NumL]],T_TraitDi[#Data],COLUMN(T_TraitDi[[#This Row],[Colonne15]]),FALSE)=0,"",TEXT(IFERROR(VLOOKUP(T_BilanSocial[[#This Row],[NumL]],T_TraitDi[#Data],COLUMN(T_TraitDi[[#This Row],[Colonne15]]),FALSE),""),"[hh]:mm"))</f>
        <v>#VALUE!</v>
      </c>
      <c r="AW183" s="172" t="e">
        <f>IF(VLOOKUP(T_BilanSocial[[#This Row],[NumL]],T_TraitDi[#Data],COLUMN(T_TraitDi[[#This Row],[Colonne16]]),FALSE)=0,"",TEXT(IFERROR(VLOOKUP(T_BilanSocial[[#This Row],[NumL]],T_TraitDi[#Data],COLUMN(T_TraitDi[[#This Row],[Colonne16]]),FALSE),""),"[hh]:mm"))</f>
        <v>#VALUE!</v>
      </c>
      <c r="AX183" s="172" t="str">
        <f>IFERROR(VLOOKUP(T_BilanSocial[[#This Row],[NumL]],T_TraitDi[#Data],COLUMN(T_TraitDi[[#This Row],[Colonne17]]),FALSE),"")</f>
        <v/>
      </c>
      <c r="AY183" s="172" t="e">
        <f>IF(VLOOKUP(T_BilanSocial[[#This Row],[NumL]],T_TraitDi[#Data],COLUMN(T_TraitDi[[#This Row],[Colonne18]]),FALSE)=0,"",TEXT(IFERROR(VLOOKUP(T_BilanSocial[[#This Row],[NumL]],T_TraitDi[#Data],COLUMN(T_TraitDi[[#This Row],[Colonne18]]),FALSE),""),"[hh]:mm"))</f>
        <v>#VALUE!</v>
      </c>
      <c r="AZ183" s="172" t="e">
        <f>IF(VLOOKUP(T_BilanSocial[[#This Row],[NumL]],T_TraitDi[#Data],COLUMN(T_TraitDi[[#This Row],[Colonne19]]),FALSE)=0,"",TEXT(IFERROR(VLOOKUP(T_BilanSocial[[#This Row],[NumL]],T_TraitDi[#Data],COLUMN(T_TraitDi[[#This Row],[Colonne19]]),FALSE),""),"[hh]:mm"))</f>
        <v>#VALUE!</v>
      </c>
      <c r="BA183" s="172" t="e">
        <f>IF(VLOOKUP(T_BilanSocial[[#This Row],[NumL]],T_TraitDi[#Data],COLUMN(T_TraitDi[[#This Row],[Colonne20]]),FALSE)=0,"",TEXT(IFERROR(VLOOKUP(T_BilanSocial[[#This Row],[NumL]],T_TraitDi[#Data],COLUMN(T_TraitDi[[#This Row],[Colonne20]]),FALSE),""),"[hh]:mm"))</f>
        <v>#VALUE!</v>
      </c>
      <c r="BB183" s="178" t="str">
        <f>IFERROR(VLOOKUP(T_BilanSocial[[#This Row],[NumL]],T_TraitDi[#Data],COLUMN(T_TraitDi[[#This Row],[Jeudi]]),FALSE),"")</f>
        <v/>
      </c>
      <c r="BC183" s="178" t="e">
        <f>IF(VLOOKUP(T_BilanSocial[[#This Row],[NumL]],T_TraitDi[#Data],COLUMN(T_TraitDi[[#This Row],[Colonne21]]),FALSE)=0,"",TEXT(IFERROR(VLOOKUP(T_BilanSocial[[#This Row],[NumL]],T_TraitDi[#Data],COLUMN(T_TraitDi[[#This Row],[Colonne21]]),FALSE),""),"[hh]:mm"))</f>
        <v>#VALUE!</v>
      </c>
      <c r="BD183" s="178" t="e">
        <f>IF(VLOOKUP(T_BilanSocial[[#This Row],[NumL]],T_TraitDi[#Data],COLUMN(T_TraitDi[[#This Row],[Colonne22]]),FALSE)=0,"",TEXT(IFERROR(VLOOKUP(T_BilanSocial[[#This Row],[NumL]],T_TraitDi[#Data],COLUMN(T_TraitDi[[#This Row],[Colonne22]]),FALSE),""),"[hh]:mm"))</f>
        <v>#VALUE!</v>
      </c>
      <c r="BE183" s="178" t="str">
        <f>IFERROR(VLOOKUP(T_BilanSocial[[#This Row],[NumL]],T_TraitDi[#Data],COLUMN(T_TraitDi[[#This Row],[Colonne23]]),FALSE),"")</f>
        <v/>
      </c>
      <c r="BF183" s="178" t="e">
        <f>IF(VLOOKUP(T_BilanSocial[[#This Row],[NumL]],T_TraitDi[#Data],COLUMN(T_TraitDi[[#This Row],[Colonne24]]),FALSE)=0,"",TEXT(IFERROR(VLOOKUP(T_BilanSocial[[#This Row],[NumL]],T_TraitDi[#Data],COLUMN(T_TraitDi[[#This Row],[Colonne24]]),FALSE),""),"[hh]:mm"))</f>
        <v>#VALUE!</v>
      </c>
      <c r="BG183" s="178" t="e">
        <f>IF(VLOOKUP(T_BilanSocial[[#This Row],[NumL]],T_TraitDi[#Data],COLUMN(T_TraitDi[[#This Row],[Colonne25]]),FALSE)=0,"",TEXT(IFERROR(VLOOKUP(T_BilanSocial[[#This Row],[NumL]],T_TraitDi[#Data],COLUMN(T_TraitDi[[#This Row],[Colonne25]]),FALSE),""),"[hh]:mm"))</f>
        <v>#VALUE!</v>
      </c>
      <c r="BH183" s="178" t="e">
        <f>IF(VLOOKUP(T_BilanSocial[[#This Row],[NumL]],T_TraitDi[#Data],COLUMN(T_TraitDi[[#This Row],[Colonne26]]),FALSE)=0,"",TEXT(IFERROR(VLOOKUP(T_BilanSocial[[#This Row],[NumL]],T_TraitDi[#Data],COLUMN(T_TraitDi[[#This Row],[Colonne26]]),FALSE),""),"[hh]:mm"))</f>
        <v>#VALUE!</v>
      </c>
      <c r="BI183" s="172" t="str">
        <f>IFERROR(VLOOKUP(T_BilanSocial[[#This Row],[NumL]],T_TraitDi[#Data],COLUMN(T_TraitDi[[#This Row],[Vendredi]]),FALSE),"")</f>
        <v/>
      </c>
      <c r="BJ183" s="172" t="e">
        <f>IF(VLOOKUP(T_BilanSocial[[#This Row],[NumL]],T_TraitDi[#Data],COLUMN(T_TraitDi[[#This Row],[Colonne27]]),FALSE)=0,"",TEXT(IFERROR(VLOOKUP(T_BilanSocial[[#This Row],[NumL]],T_TraitDi[#Data],COLUMN(T_TraitDi[[#This Row],[Colonne27]]),FALSE),""),"[hh]:mm"))</f>
        <v>#VALUE!</v>
      </c>
      <c r="BK183" s="172" t="e">
        <f>IF(VLOOKUP(T_BilanSocial[[#This Row],[NumL]],T_TraitDi[#Data],COLUMN(T_TraitDi[[#This Row],[Colonne28]]),FALSE)=0,"",TEXT(IFERROR(VLOOKUP(T_BilanSocial[[#This Row],[NumL]],T_TraitDi[#Data],COLUMN(T_TraitDi[[#This Row],[Colonne28]]),FALSE),""),"[hh]:mm"))</f>
        <v>#VALUE!</v>
      </c>
      <c r="BL183" s="172" t="str">
        <f>IFERROR(VLOOKUP(T_BilanSocial[[#This Row],[NumL]],T_TraitDi[#Data],COLUMN(T_TraitDi[[#This Row],[Colonne29]]),FALSE),"")</f>
        <v/>
      </c>
      <c r="BM183" s="172" t="e">
        <f>IF(VLOOKUP(T_BilanSocial[[#This Row],[NumL]],T_TraitDi[#Data],COLUMN(T_TraitDi[[#This Row],[Colonne30]]),FALSE)=0,"",TEXT(IFERROR(VLOOKUP(T_BilanSocial[[#This Row],[NumL]],T_TraitDi[#Data],COLUMN(T_TraitDi[[#This Row],[Colonne30]]),FALSE),""),"[hh]:mm"))</f>
        <v>#VALUE!</v>
      </c>
      <c r="BN183" s="172" t="e">
        <f>IF(VLOOKUP(T_BilanSocial[[#This Row],[NumL]],T_TraitDi[#Data],COLUMN(T_TraitDi[[#This Row],[Colonne31]]),FALSE)=0,"",TEXT(IFERROR(VLOOKUP(T_BilanSocial[[#This Row],[NumL]],T_TraitDi[#Data],COLUMN(T_TraitDi[[#This Row],[Colonne31]]),FALSE),""),"[hh]:mm"))</f>
        <v>#VALUE!</v>
      </c>
      <c r="BO183" s="172" t="e">
        <f>IF(VLOOKUP(T_BilanSocial[[#This Row],[NumL]],T_TraitDi[#Data],COLUMN(T_TraitDi[[#This Row],[Colonne32]]),FALSE)=0,"",TEXT(IFERROR(VLOOKUP(T_BilanSocial[[#This Row],[NumL]],T_TraitDi[#Data],COLUMN(T_TraitDi[[#This Row],[Colonne32]]),FALSE),""),"[hh]:mm"))</f>
        <v>#VALUE!</v>
      </c>
      <c r="BP183" s="172" t="e">
        <f>VLOOKUP(T_BilanSocial[[#This Row],[NumL]],T_TraitDi[#Data],COLUMN(T_TraitDi[NbJTot]),FALSE)</f>
        <v>#N/A</v>
      </c>
      <c r="BQ183" s="174" t="str">
        <f>IFERROR(VLOOKUP(T_BilanSocial[[#This Row],[NumL]],T_TraitDi[#Data],COLUMN(T_TraitDi[[#This Row],[NbJTW]]),FALSE),"")</f>
        <v/>
      </c>
      <c r="BR183" s="174" t="e">
        <f>IF(VLOOKUP(T_BilanSocial[[#This Row],[NumL]],T_TraitDi[#Data],COLUMN(T_TraitDi[[#This Row],[NbhTW]]),FALSE)=0,"",TEXT(IFERROR(VLOOKUP(T_BilanSocial[[#This Row],[NumL]],T_TraitDi[#Data],COLUMN(T_TraitDi[[#This Row],[NbhTW]]),FALSE),""),"[hh]:mm"))</f>
        <v>#VALUE!</v>
      </c>
      <c r="BS183" s="174" t="e">
        <f>IF(VLOOKUP(T_BilanSocial[[#This Row],[NumL]],T_TraitDi[#Data],COLUMN(T_TraitDi[[#This Row],[Nbhheb]]),FALSE)=0,"",TEXT(IFERROR(VLOOKUP($A183,T_TraitDi[#Data],COLUMN(T_TraitDi[[#This Row],[Nbhheb]]),FALSE),""),"[hh]:mm"))</f>
        <v>#VALUE!</v>
      </c>
      <c r="BT183" s="182" t="str">
        <f>IFERROR(VLOOKUP(VLOOKUP($A183,T_TraitDi[#Data],COLUMN(T_TraitDi[[#This Row],[Type1]]),FALSE),TypeTW,2,FALSE),"")</f>
        <v/>
      </c>
      <c r="BU183" s="182" t="str">
        <f>IFERROR(VLOOKUP($A183,T_TraitDi[#Data],COLUMN(T_TraitDi[[#This Row],[Rue1]]),FALSE),"")</f>
        <v/>
      </c>
      <c r="BV183" s="173" t="str">
        <f>IFERROR(VLOOKUP($A183,T_TraitDi[#Data],COLUMN(T_TraitDi[[#This Row],[CP1]]),FALSE),"")</f>
        <v/>
      </c>
      <c r="BW183" s="173" t="str">
        <f>IFERROR(VLOOKUP($A183,T_TraitDi[#Data],COLUMN(T_TraitDi[[#This Row],[VILLE1]]),FALSE),"")</f>
        <v/>
      </c>
      <c r="BX183" s="182" t="str">
        <f>IFERROR(VLOOKUP(VLOOKUP($A183,T_TraitDi[#Data],COLUMN(T_TraitDi[[#This Row],[Type2]]),FALSE),TypeTW,2,FALSE),"")</f>
        <v/>
      </c>
      <c r="BY183" s="182" t="str">
        <f>IFERROR(VLOOKUP($A183,T_TraitDi[#Data],COLUMN(T_TraitDi[[#This Row],[Rue2]]),FALSE),"")</f>
        <v/>
      </c>
      <c r="BZ183" s="173" t="str">
        <f>IFERROR(VLOOKUP($A183,T_TraitDi[#Data],COLUMN(T_TraitDi[[#This Row],[CP2]]),FALSE),"")</f>
        <v/>
      </c>
      <c r="CA183" s="173" t="str">
        <f>IFERROR(VLOOKUP($A183,T_TraitDi[#Data],COLUMN(T_TraitDi[[#This Row],[VILLE2]]),FALSE),"")</f>
        <v/>
      </c>
      <c r="CB183" s="182" t="str">
        <f>IF(VLOOKUP(T_BilanSocial[[#This Row],[NumL]],T_Equipement[#Data],COLUMN(T_Equipement[[#This Row],[PC]]),FALSE)="","Aucun équipement spécifique directement lié au télétravail",VLOOKUP(T_BilanSocial[[#This Row],[NumL]],T_Equipement[#Data],COLUMN(T_Equipement[[#This Row],[PC]]),FALSE))</f>
        <v>20-256</v>
      </c>
      <c r="CC183" s="166" t="str">
        <f>IFERROR(IF(VLOOKUP(T_BilanSocial[[#This Row],[NumL]],T_TraitDi[#Data],COLUMN(T_TraitDi[[#This Row],[Plan]]),FALSE)="OK","Un planning spécifique de télétravail est annexé à la présente convention.",""),"")</f>
        <v/>
      </c>
      <c r="CD183" s="258" t="s">
        <v>3387</v>
      </c>
      <c r="CE183" s="164" t="e">
        <f>IF(VLOOKUP(T_BilanSocial[[#This Row],[NumL]],T_suiviDi[#Data],COLUMN(T_suiviDi[[#This Row],[Entité]]),FALSE)="","",VLOOKUP(T_BilanSocial[[#This Row],[NumL]],T_suiviDi[#Data],COLUMN(T_suiviDi[[#This Row],[Entité]]),FALSE))</f>
        <v>#VALUE!</v>
      </c>
      <c r="CF183" s="164" t="str">
        <f>IF(VLOOKUP(T_BilanSocial[[#This Row],[NumL]],T_Commission[#Data],COLUMN(T_Commission[[#This Row],[envoi confirm TW]]),FALSE)="","",VLOOKUP(T_BilanSocial[[#This Row],[NumL]],T_Commission[#Data],COLUMN(T_Commission[[#This Row],[envoi confirm TW]]),FALSE))</f>
        <v>Oui</v>
      </c>
      <c r="CG18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3" s="262" t="str">
        <f>T_BilanSocial[[#This Row],[Nom]]&amp;T_BilanSocial[[#This Row],[Prenom]]</f>
        <v/>
      </c>
      <c r="CI183" s="262">
        <f>VLOOKUP(T_BilanSocial[[#This Row],[NumL]],T_Commission[#Data],COLUMN(T_Commission[Commentaire]),FALSE)</f>
        <v>0</v>
      </c>
      <c r="CJ183" s="262" t="str">
        <f>IF(VLOOKUP(T_BilanSocial[[#This Row],[NumL]],T_Commission[#Data],COLUMN(T_Commission[Encadrant Email]),FALSE)="","",VLOOKUP(T_BilanSocial[[#This Row],[NumL]],T_Commission[#Data],COLUMN(T_Commission[Encadrant Email]),FALSE))</f>
        <v/>
      </c>
      <c r="CK183" s="340" t="str">
        <f>IF(T_BilanSocial[[#This Row],[Final]]&lt;&gt;"",VLOOKUP(T_BilanSocial[[#This Row],[NumL]],T_suiviDi[#Data],COLUMN((T_suiviDi[Statut])),FALSE),"")</f>
        <v/>
      </c>
    </row>
    <row r="184" spans="1:89" s="106" customFormat="1" ht="24.75" customHeight="1" x14ac:dyDescent="0.25">
      <c r="A184" s="160">
        <v>181</v>
      </c>
      <c r="B184" s="161" t="str">
        <f t="shared" si="22"/>
        <v/>
      </c>
      <c r="C184" s="162" t="s">
        <v>173</v>
      </c>
      <c r="D184" s="95" t="e">
        <f>IF(VLOOKUP(T_BilanSocial[[#This Row],[NumL]],T_TraitDi[#Data],COLUMN(T_TraitDi[[#This Row],[WebC]]),FALSE)="","",VLOOKUP(T_BilanSocial[[#This Row],[NumL]],T_TraitDi[#Data],COLUMN(T_TraitDi[[#This Row],[WebC]]),FALSE))</f>
        <v>#VALUE!</v>
      </c>
      <c r="E184" s="163" t="str">
        <f t="shared" si="23"/>
        <v>12 janvier 2021</v>
      </c>
      <c r="F184" s="96" t="str">
        <f>IF(T_BilanSocial[[#This Row],[Final]]&lt;&gt;"",VLOOKUP(T_BilanSocial[[#This Row],[NumL]],T_suiviDi[#Data],COLUMN((T_suiviDi[Civ.])),FALSE),"")</f>
        <v/>
      </c>
      <c r="G184" s="96" t="str">
        <f>IF(T_BilanSocial[[#This Row],[Final]]&lt;&gt;"",VLOOKUP(T_BilanSocial[[#This Row],[NumL]],T_suiviDi[#Data],COLUMN((T_suiviDi[Nom])),FALSE),"")</f>
        <v/>
      </c>
      <c r="H184" s="96" t="str">
        <f>IF(T_BilanSocial[[#This Row],[Final]]&lt;&gt;"",VLOOKUP(T_BilanSocial[[#This Row],[NumL]],T_suiviDi[#Data],COLUMN((T_suiviDi[Prénom])),FALSE),"")</f>
        <v/>
      </c>
      <c r="I184" s="96" t="str">
        <f>IFERROR(VLOOKUP(T_BilanSocial[[#This Row],[Zone_Bilan]],T_P_BilanSocial[#Data],COLUMN(T_P_BilanSocial[[#This Row],[Numero_SIHAM]]),FALSE),"")</f>
        <v/>
      </c>
      <c r="J184" s="96" t="str">
        <f>IFERROR(VLOOKUP(T_BilanSocial[[#This Row],[Zone_Bilan]],T_P_BilanSocial[#Data],COLUMN(T_P_BilanSocial[[#This Row],[Sexe]]),FALSE),"")</f>
        <v/>
      </c>
      <c r="K184" s="97" t="str">
        <f>IFERROR(VLOOKUP(T_BilanSocial[[#This Row],[Zone_Bilan]],T_P_BilanSocial[#Data],COLUMN(T_P_BilanSocial[[#This Row],[Categorie]]),FALSE),"")</f>
        <v/>
      </c>
      <c r="L184" s="96" t="str">
        <f>IFERROR(VLOOKUP(T_BilanSocial[[#This Row],[Zone_Bilan]],T_P_BilanSocial[#Data],COLUMN(T_P_BilanSocial[[#This Row],[Statut]]),FALSE),"")</f>
        <v/>
      </c>
      <c r="M184" s="96" t="str">
        <f>IFERROR(VLOOKUP(T_BilanSocial[[#This Row],[Zone_Bilan]],T_P_BilanSocial[#Data],COLUMN(T_P_BilanSocial[[#This Row],[Filiere]]),FALSE),"")</f>
        <v/>
      </c>
      <c r="N184" s="96" t="e">
        <f>VLOOKUP(T_BilanSocial[[#This Row],[NumL]],T_TraitDi[#Data],COLUMN(T_TraitDi[EXP]),FALSE)</f>
        <v>#N/A</v>
      </c>
      <c r="O184" s="96" t="e">
        <f>VLOOKUP(T_BilanSocial[[#This Row],[NumL]],T_TraitDi[#Data],COLUMN(T_TraitDi[FORM]),FALSE)</f>
        <v>#N/A</v>
      </c>
      <c r="P184" s="96" t="str">
        <f>IF(T_BilanSocial[[#This Row],[Final]]&lt;&gt;"",VLOOKUP(T_BilanSocial[[#This Row],[NumL]],T_suiviDi[#Data],COLUMN((T_suiviDi[Email])),FALSE),"")</f>
        <v/>
      </c>
      <c r="Q184" s="164" t="e">
        <f t="shared" si="28"/>
        <v>#N/A</v>
      </c>
      <c r="R184" s="164" t="e">
        <f t="shared" si="29"/>
        <v>#N/A</v>
      </c>
      <c r="S184" s="164" t="e">
        <f>IF(VLOOKUP(T_BilanSocial[[#This Row],[NumL]],T_suiviDi[#Data],COLUMN(T_suiviDi[[#This Row],[Service ]]),FALSE)="","",VLOOKUP(T_BilanSocial[[#This Row],[NumL]],T_suiviDi[#Data],COLUMN(T_suiviDi[[#This Row],[Service ]]),FALSE))</f>
        <v>#VALUE!</v>
      </c>
      <c r="T184" s="164" t="str">
        <f t="shared" si="24"/>
        <v>01 septembre 2021</v>
      </c>
      <c r="U184" s="164" t="str">
        <f t="shared" si="25"/>
        <v>30 novembre 2021</v>
      </c>
      <c r="V184" s="164" t="str">
        <f t="shared" si="32"/>
        <v>30 novembre 2021</v>
      </c>
      <c r="W184" s="176" t="e">
        <f>IF(VLOOKUP(T_BilanSocial[[#This Row],[NumL]],T_TraitDi[#Data],COLUMN(T_TraitDi[[#This Row],[M1]]),FALSE)="","",VLOOKUP(T_BilanSocial[[#This Row],[NumL]],T_TraitDi[#Data],COLUMN(T_TraitDi[[#This Row],[M1]]),FALSE))</f>
        <v>#VALUE!</v>
      </c>
      <c r="X184" s="176" t="e">
        <f>IF(VLOOKUP(T_BilanSocial[[#This Row],[NumL]],T_TraitDi[#Data],COLUMN(T_TraitDi[[#This Row],[M2]]),FALSE)="","",VLOOKUP(T_BilanSocial[[#This Row],[NumL]],T_TraitDi[#Data],COLUMN(T_TraitDi[[#This Row],[M2]]),FALSE))</f>
        <v>#VALUE!</v>
      </c>
      <c r="Y184" s="176" t="e">
        <f>IF(VLOOKUP(T_BilanSocial[[#This Row],[NumL]],T_TraitDi[#Data],COLUMN(T_TraitDi[[#This Row],[M3]]),FALSE)="","",VLOOKUP(T_BilanSocial[[#This Row],[NumL]],T_TraitDi[#Data],COLUMN(T_TraitDi[[#This Row],[M3]]),FALSE))</f>
        <v>#VALUE!</v>
      </c>
      <c r="Z184" s="176" t="str">
        <f t="shared" si="27"/>
        <v/>
      </c>
      <c r="AA184" s="176" t="e">
        <f>IF(VLOOKUP(T_BilanSocial[[#This Row],[NumL]],T_TraitDi[#Data],COLUMN(T_TraitDi[[#This Row],[M5]]),FALSE)="","",VLOOKUP(T_BilanSocial[[#This Row],[NumL]],T_TraitDi[#Data],COLUMN(T_TraitDi[[#This Row],[M5]]),FALSE))</f>
        <v>#VALUE!</v>
      </c>
      <c r="AB184" s="176" t="e">
        <f>IF(VLOOKUP(T_BilanSocial[[#This Row],[NumL]],T_TraitDi[#Data],COLUMN(T_TraitDi[[#This Row],[M6]]),FALSE)="","",VLOOKUP(T_BilanSocial[[#This Row],[NumL]],T_TraitDi[#Data],COLUMN(T_TraitDi[[#This Row],[M6]]),FALSE))</f>
        <v>#VALUE!</v>
      </c>
      <c r="AC184" s="165" t="e">
        <f t="shared" si="26"/>
        <v>#VALUE!</v>
      </c>
      <c r="AD184" s="188" t="str">
        <f>IFERROR(TEXT(VLOOKUP(T_BilanSocial[[#This Row],[NumL]],T_TraitDi[#Data],COLUMN(T_TraitDi[[#This Row],[Q2]]),FALSE),"###%"),"")</f>
        <v/>
      </c>
      <c r="AE184" s="97" t="e">
        <f>VLOOKUP(T_BilanSocial[[#This Row],[NumL]],T_TraitDi[#Data],COLUMN(T_TraitDi[[#This Row],[Reg Ponct]]),FALSE)</f>
        <v>#VALUE!</v>
      </c>
      <c r="AF184" s="97" t="e">
        <f>VLOOKUP(T_BilanSocial[NumL],T_TraitDi[#Data],COLUMN(T_TraitDi[[#This Row],[Jours flottants]]),FALSE)</f>
        <v>#VALUE!</v>
      </c>
      <c r="AG184" s="97" t="str">
        <f>IFERROR(VLOOKUP(T_BilanSocial[[#This Row],[NumL]],T_TraitDi[#Data],COLUMN(T_TraitDi[[#This Row],[Lundi]]),FALSE),"")</f>
        <v/>
      </c>
      <c r="AH184" s="172" t="e">
        <f>IF(VLOOKUP(T_BilanSocial[[#This Row],[NumL]],T_TraitDi[#Data],COLUMN(T_TraitDi[[#This Row],[Colonne3]]),FALSE)=0,"",TEXT(IFERROR(VLOOKUP(T_BilanSocial[[#This Row],[NumL]],T_TraitDi[#Data],COLUMN(T_TraitDi[[#This Row],[Colonne3]]),FALSE),""),"[hh]:mm"))</f>
        <v>#VALUE!</v>
      </c>
      <c r="AI184" s="172" t="e">
        <f>IF(VLOOKUP(T_BilanSocial[[#This Row],[NumL]],T_TraitDi[#Data],COLUMN(T_TraitDi[[#This Row],[Colonne4]]),FALSE)=0,"",TEXT(IFERROR(VLOOKUP(T_BilanSocial[[#This Row],[NumL]],T_TraitDi[#Data],COLUMN(T_TraitDi[[#This Row],[Colonne4]]),FALSE),""),"[hh]:mm"))</f>
        <v>#VALUE!</v>
      </c>
      <c r="AJ184" s="172" t="e">
        <f>IF(VLOOKUP(T_BilanSocial[[#This Row],[NumL]],T_TraitDi[#Data],COLUMN(T_TraitDi[[#This Row],[Colonne5]]),FALSE)=0,"",TEXT(IFERROR(VLOOKUP(T_BilanSocial[[#This Row],[NumL]],T_TraitDi[#Data],COLUMN(T_TraitDi[[#This Row],[Colonne5]]),FALSE),""),"[hh]:mm"))</f>
        <v>#VALUE!</v>
      </c>
      <c r="AK184" s="172" t="e">
        <f>IF(VLOOKUP(T_BilanSocial[[#This Row],[NumL]],T_TraitDi[#Data],COLUMN(T_TraitDi[[#This Row],[Colonne6]]),FALSE)=0,"",TEXT(IFERROR(VLOOKUP(T_BilanSocial[[#This Row],[NumL]],T_TraitDi[#Data],COLUMN(T_TraitDi[[#This Row],[Colonne6]]),FALSE),""),"[hh]:mm"))</f>
        <v>#VALUE!</v>
      </c>
      <c r="AL184" s="172" t="e">
        <f>IF(VLOOKUP(T_BilanSocial[[#This Row],[NumL]],T_TraitDi[#Data],COLUMN(T_TraitDi[[#This Row],[Colonne7]]),FALSE)=0,"",TEXT(IFERROR(VLOOKUP(T_BilanSocial[[#This Row],[NumL]],T_TraitDi[#Data],COLUMN(T_TraitDi[[#This Row],[Colonne7]]),FALSE),""),"[hh]:mm"))</f>
        <v>#VALUE!</v>
      </c>
      <c r="AM184" s="172" t="e">
        <f>IF(VLOOKUP(T_BilanSocial[[#This Row],[NumL]],T_TraitDi[#Data],COLUMN(T_TraitDi[[#This Row],[Colonne8]]),FALSE)=0,"",TEXT(IFERROR(VLOOKUP(T_BilanSocial[[#This Row],[NumL]],T_TraitDi[#Data],COLUMN(T_TraitDi[[#This Row],[Colonne8]]),FALSE),""),"[hh]:mm"))</f>
        <v>#VALUE!</v>
      </c>
      <c r="AN184" s="172" t="str">
        <f>IFERROR(VLOOKUP(T_BilanSocial[[#This Row],[NumL]],T_TraitDi[#Data],COLUMN(T_TraitDi[[#This Row],[Mardi]]),FALSE),"")</f>
        <v/>
      </c>
      <c r="AO184" s="172" t="e">
        <f>IF(VLOOKUP(T_BilanSocial[[#This Row],[NumL]],T_TraitDi[#Data],COLUMN(T_TraitDi[[#This Row],[Colonne1]]),FALSE)=0,"",TEXT(IFERROR(VLOOKUP(T_BilanSocial[[#This Row],[NumL]],T_TraitDi[#Data],COLUMN(T_TraitDi[[#This Row],[Colonne1]]),FALSE),""),"[hh]:mm"))</f>
        <v>#VALUE!</v>
      </c>
      <c r="AP184" s="172" t="e">
        <f>IF(VLOOKUP(T_BilanSocial[[#This Row],[NumL]],T_TraitDi[#Data],COLUMN(T_TraitDi[[#This Row],[Colonne9]]),FALSE)=0,"",TEXT(IFERROR(VLOOKUP(T_BilanSocial[[#This Row],[NumL]],T_TraitDi[#Data],COLUMN(T_TraitDi[[#This Row],[Colonne9]]),FALSE),""),"[hh]:mm"))</f>
        <v>#VALUE!</v>
      </c>
      <c r="AQ184" s="172" t="str">
        <f>IFERROR(VLOOKUP(T_BilanSocial[[#This Row],[NumL]],T_TraitDi[#Data],COLUMN(T_TraitDi[[#This Row],[Colonne10]]),FALSE),"")</f>
        <v/>
      </c>
      <c r="AR184" s="172" t="e">
        <f>IF(VLOOKUP(T_BilanSocial[[#This Row],[NumL]],T_TraitDi[#Data],COLUMN(T_TraitDi[[#This Row],[Colonne11]]),FALSE)=0,"",TEXT(IFERROR(VLOOKUP(T_BilanSocial[[#This Row],[NumL]],T_TraitDi[#Data],COLUMN(T_TraitDi[[#This Row],[Colonne11]]),FALSE),""),"[hh]:mm"))</f>
        <v>#VALUE!</v>
      </c>
      <c r="AS184" s="172" t="e">
        <f>IF(VLOOKUP(T_BilanSocial[[#This Row],[NumL]],T_TraitDi[#Data],COLUMN(T_TraitDi[[#This Row],[Colonne12]]),FALSE)=0,"",TEXT(IFERROR(VLOOKUP(T_BilanSocial[[#This Row],[NumL]],T_TraitDi[#Data],COLUMN(T_TraitDi[[#This Row],[Colonne12]]),FALSE),""),"[hh]:mm"))</f>
        <v>#VALUE!</v>
      </c>
      <c r="AT184" s="172" t="e">
        <f>IF(VLOOKUP(T_BilanSocial[[#This Row],[NumL]],T_TraitDi[#Data],COLUMN(T_TraitDi[[#This Row],[Colonne14]]),FALSE)=0,"",TEXT(IFERROR(VLOOKUP(T_BilanSocial[[#This Row],[NumL]],T_TraitDi[#Data],COLUMN(T_TraitDi[[#This Row],[Colonne14]]),FALSE),""),"[hh]:mm"))</f>
        <v>#VALUE!</v>
      </c>
      <c r="AU184" s="172" t="str">
        <f>IFERROR(VLOOKUP(T_BilanSocial[[#This Row],[NumL]],T_TraitDi[#Data],COLUMN(T_TraitDi[[#This Row],[Mercredi]]),FALSE),"")</f>
        <v/>
      </c>
      <c r="AV184" s="172" t="e">
        <f>IF(VLOOKUP(T_BilanSocial[[#This Row],[NumL]],T_TraitDi[#Data],COLUMN(T_TraitDi[[#This Row],[Colonne15]]),FALSE)=0,"",TEXT(IFERROR(VLOOKUP(T_BilanSocial[[#This Row],[NumL]],T_TraitDi[#Data],COLUMN(T_TraitDi[[#This Row],[Colonne15]]),FALSE),""),"[hh]:mm"))</f>
        <v>#VALUE!</v>
      </c>
      <c r="AW184" s="172" t="e">
        <f>IF(VLOOKUP(T_BilanSocial[[#This Row],[NumL]],T_TraitDi[#Data],COLUMN(T_TraitDi[[#This Row],[Colonne16]]),FALSE)=0,"",TEXT(IFERROR(VLOOKUP(T_BilanSocial[[#This Row],[NumL]],T_TraitDi[#Data],COLUMN(T_TraitDi[[#This Row],[Colonne16]]),FALSE),""),"[hh]:mm"))</f>
        <v>#VALUE!</v>
      </c>
      <c r="AX184" s="172" t="str">
        <f>IFERROR(VLOOKUP(T_BilanSocial[[#This Row],[NumL]],T_TraitDi[#Data],COLUMN(T_TraitDi[[#This Row],[Colonne17]]),FALSE),"")</f>
        <v/>
      </c>
      <c r="AY184" s="172" t="e">
        <f>IF(VLOOKUP(T_BilanSocial[[#This Row],[NumL]],T_TraitDi[#Data],COLUMN(T_TraitDi[[#This Row],[Colonne18]]),FALSE)=0,"",TEXT(IFERROR(VLOOKUP(T_BilanSocial[[#This Row],[NumL]],T_TraitDi[#Data],COLUMN(T_TraitDi[[#This Row],[Colonne18]]),FALSE),""),"[hh]:mm"))</f>
        <v>#VALUE!</v>
      </c>
      <c r="AZ184" s="172" t="e">
        <f>IF(VLOOKUP(T_BilanSocial[[#This Row],[NumL]],T_TraitDi[#Data],COLUMN(T_TraitDi[[#This Row],[Colonne19]]),FALSE)=0,"",TEXT(IFERROR(VLOOKUP(T_BilanSocial[[#This Row],[NumL]],T_TraitDi[#Data],COLUMN(T_TraitDi[[#This Row],[Colonne19]]),FALSE),""),"[hh]:mm"))</f>
        <v>#VALUE!</v>
      </c>
      <c r="BA184" s="172" t="e">
        <f>IF(VLOOKUP(T_BilanSocial[[#This Row],[NumL]],T_TraitDi[#Data],COLUMN(T_TraitDi[[#This Row],[Colonne20]]),FALSE)=0,"",TEXT(IFERROR(VLOOKUP(T_BilanSocial[[#This Row],[NumL]],T_TraitDi[#Data],COLUMN(T_TraitDi[[#This Row],[Colonne20]]),FALSE),""),"[hh]:mm"))</f>
        <v>#VALUE!</v>
      </c>
      <c r="BB184" s="178" t="str">
        <f>IFERROR(VLOOKUP(T_BilanSocial[[#This Row],[NumL]],T_TraitDi[#Data],COLUMN(T_TraitDi[[#This Row],[Jeudi]]),FALSE),"")</f>
        <v/>
      </c>
      <c r="BC184" s="178" t="e">
        <f>IF(VLOOKUP(T_BilanSocial[[#This Row],[NumL]],T_TraitDi[#Data],COLUMN(T_TraitDi[[#This Row],[Colonne21]]),FALSE)=0,"",TEXT(IFERROR(VLOOKUP(T_BilanSocial[[#This Row],[NumL]],T_TraitDi[#Data],COLUMN(T_TraitDi[[#This Row],[Colonne21]]),FALSE),""),"[hh]:mm"))</f>
        <v>#VALUE!</v>
      </c>
      <c r="BD184" s="178" t="e">
        <f>IF(VLOOKUP(T_BilanSocial[[#This Row],[NumL]],T_TraitDi[#Data],COLUMN(T_TraitDi[[#This Row],[Colonne22]]),FALSE)=0,"",TEXT(IFERROR(VLOOKUP(T_BilanSocial[[#This Row],[NumL]],T_TraitDi[#Data],COLUMN(T_TraitDi[[#This Row],[Colonne22]]),FALSE),""),"[hh]:mm"))</f>
        <v>#VALUE!</v>
      </c>
      <c r="BE184" s="178" t="str">
        <f>IFERROR(VLOOKUP(T_BilanSocial[[#This Row],[NumL]],T_TraitDi[#Data],COLUMN(T_TraitDi[[#This Row],[Colonne23]]),FALSE),"")</f>
        <v/>
      </c>
      <c r="BF184" s="178" t="e">
        <f>IF(VLOOKUP(T_BilanSocial[[#This Row],[NumL]],T_TraitDi[#Data],COLUMN(T_TraitDi[[#This Row],[Colonne24]]),FALSE)=0,"",TEXT(IFERROR(VLOOKUP(T_BilanSocial[[#This Row],[NumL]],T_TraitDi[#Data],COLUMN(T_TraitDi[[#This Row],[Colonne24]]),FALSE),""),"[hh]:mm"))</f>
        <v>#VALUE!</v>
      </c>
      <c r="BG184" s="178" t="e">
        <f>IF(VLOOKUP(T_BilanSocial[[#This Row],[NumL]],T_TraitDi[#Data],COLUMN(T_TraitDi[[#This Row],[Colonne25]]),FALSE)=0,"",TEXT(IFERROR(VLOOKUP(T_BilanSocial[[#This Row],[NumL]],T_TraitDi[#Data],COLUMN(T_TraitDi[[#This Row],[Colonne25]]),FALSE),""),"[hh]:mm"))</f>
        <v>#VALUE!</v>
      </c>
      <c r="BH184" s="178" t="e">
        <f>IF(VLOOKUP(T_BilanSocial[[#This Row],[NumL]],T_TraitDi[#Data],COLUMN(T_TraitDi[[#This Row],[Colonne26]]),FALSE)=0,"",TEXT(IFERROR(VLOOKUP(T_BilanSocial[[#This Row],[NumL]],T_TraitDi[#Data],COLUMN(T_TraitDi[[#This Row],[Colonne26]]),FALSE),""),"[hh]:mm"))</f>
        <v>#VALUE!</v>
      </c>
      <c r="BI184" s="172" t="str">
        <f>IFERROR(VLOOKUP(T_BilanSocial[[#This Row],[NumL]],T_TraitDi[#Data],COLUMN(T_TraitDi[[#This Row],[Vendredi]]),FALSE),"")</f>
        <v/>
      </c>
      <c r="BJ184" s="172" t="e">
        <f>IF(VLOOKUP(T_BilanSocial[[#This Row],[NumL]],T_TraitDi[#Data],COLUMN(T_TraitDi[[#This Row],[Colonne27]]),FALSE)=0,"",TEXT(IFERROR(VLOOKUP(T_BilanSocial[[#This Row],[NumL]],T_TraitDi[#Data],COLUMN(T_TraitDi[[#This Row],[Colonne27]]),FALSE),""),"[hh]:mm"))</f>
        <v>#VALUE!</v>
      </c>
      <c r="BK184" s="172" t="e">
        <f>IF(VLOOKUP(T_BilanSocial[[#This Row],[NumL]],T_TraitDi[#Data],COLUMN(T_TraitDi[[#This Row],[Colonne28]]),FALSE)=0,"",TEXT(IFERROR(VLOOKUP(T_BilanSocial[[#This Row],[NumL]],T_TraitDi[#Data],COLUMN(T_TraitDi[[#This Row],[Colonne28]]),FALSE),""),"[hh]:mm"))</f>
        <v>#VALUE!</v>
      </c>
      <c r="BL184" s="172" t="str">
        <f>IFERROR(VLOOKUP(T_BilanSocial[[#This Row],[NumL]],T_TraitDi[#Data],COLUMN(T_TraitDi[[#This Row],[Colonne29]]),FALSE),"")</f>
        <v/>
      </c>
      <c r="BM184" s="172" t="e">
        <f>IF(VLOOKUP(T_BilanSocial[[#This Row],[NumL]],T_TraitDi[#Data],COLUMN(T_TraitDi[[#This Row],[Colonne30]]),FALSE)=0,"",TEXT(IFERROR(VLOOKUP(T_BilanSocial[[#This Row],[NumL]],T_TraitDi[#Data],COLUMN(T_TraitDi[[#This Row],[Colonne30]]),FALSE),""),"[hh]:mm"))</f>
        <v>#VALUE!</v>
      </c>
      <c r="BN184" s="172" t="e">
        <f>IF(VLOOKUP(T_BilanSocial[[#This Row],[NumL]],T_TraitDi[#Data],COLUMN(T_TraitDi[[#This Row],[Colonne31]]),FALSE)=0,"",TEXT(IFERROR(VLOOKUP(T_BilanSocial[[#This Row],[NumL]],T_TraitDi[#Data],COLUMN(T_TraitDi[[#This Row],[Colonne31]]),FALSE),""),"[hh]:mm"))</f>
        <v>#VALUE!</v>
      </c>
      <c r="BO184" s="172" t="e">
        <f>IF(VLOOKUP(T_BilanSocial[[#This Row],[NumL]],T_TraitDi[#Data],COLUMN(T_TraitDi[[#This Row],[Colonne32]]),FALSE)=0,"",TEXT(IFERROR(VLOOKUP(T_BilanSocial[[#This Row],[NumL]],T_TraitDi[#Data],COLUMN(T_TraitDi[[#This Row],[Colonne32]]),FALSE),""),"[hh]:mm"))</f>
        <v>#VALUE!</v>
      </c>
      <c r="BP184" s="172" t="e">
        <f>VLOOKUP(T_BilanSocial[[#This Row],[NumL]],T_TraitDi[#Data],COLUMN(T_TraitDi[NbJTot]),FALSE)</f>
        <v>#N/A</v>
      </c>
      <c r="BQ184" s="174" t="str">
        <f>IFERROR(VLOOKUP(T_BilanSocial[[#This Row],[NumL]],T_TraitDi[#Data],COLUMN(T_TraitDi[[#This Row],[NbJTW]]),FALSE),"")</f>
        <v/>
      </c>
      <c r="BR184" s="174" t="e">
        <f>IF(VLOOKUP(T_BilanSocial[[#This Row],[NumL]],T_TraitDi[#Data],COLUMN(T_TraitDi[[#This Row],[NbhTW]]),FALSE)=0,"",TEXT(IFERROR(VLOOKUP(T_BilanSocial[[#This Row],[NumL]],T_TraitDi[#Data],COLUMN(T_TraitDi[[#This Row],[NbhTW]]),FALSE),""),"[hh]:mm"))</f>
        <v>#VALUE!</v>
      </c>
      <c r="BS184" s="174" t="e">
        <f>IF(VLOOKUP(T_BilanSocial[[#This Row],[NumL]],T_TraitDi[#Data],COLUMN(T_TraitDi[[#This Row],[Nbhheb]]),FALSE)=0,"",TEXT(IFERROR(VLOOKUP($A184,T_TraitDi[#Data],COLUMN(T_TraitDi[[#This Row],[Nbhheb]]),FALSE),""),"[hh]:mm"))</f>
        <v>#VALUE!</v>
      </c>
      <c r="BT184" s="182" t="str">
        <f>IFERROR(VLOOKUP(VLOOKUP($A184,T_TraitDi[#Data],COLUMN(T_TraitDi[[#This Row],[Type1]]),FALSE),TypeTW,2,FALSE),"")</f>
        <v/>
      </c>
      <c r="BU184" s="182" t="str">
        <f>IFERROR(VLOOKUP($A184,T_TraitDi[#Data],COLUMN(T_TraitDi[[#This Row],[Rue1]]),FALSE),"")</f>
        <v/>
      </c>
      <c r="BV184" s="173" t="str">
        <f>IFERROR(VLOOKUP($A184,T_TraitDi[#Data],COLUMN(T_TraitDi[[#This Row],[CP1]]),FALSE),"")</f>
        <v/>
      </c>
      <c r="BW184" s="173" t="str">
        <f>IFERROR(VLOOKUP($A184,T_TraitDi[#Data],COLUMN(T_TraitDi[[#This Row],[VILLE1]]),FALSE),"")</f>
        <v/>
      </c>
      <c r="BX184" s="182" t="str">
        <f>IFERROR(VLOOKUP(VLOOKUP($A184,T_TraitDi[#Data],COLUMN(T_TraitDi[[#This Row],[Type2]]),FALSE),TypeTW,2,FALSE),"")</f>
        <v/>
      </c>
      <c r="BY184" s="182" t="str">
        <f>IFERROR(VLOOKUP($A184,T_TraitDi[#Data],COLUMN(T_TraitDi[[#This Row],[Rue2]]),FALSE),"")</f>
        <v/>
      </c>
      <c r="BZ184" s="173" t="str">
        <f>IFERROR(VLOOKUP($A184,T_TraitDi[#Data],COLUMN(T_TraitDi[[#This Row],[CP2]]),FALSE),"")</f>
        <v/>
      </c>
      <c r="CA184" s="173" t="str">
        <f>IFERROR(VLOOKUP($A184,T_TraitDi[#Data],COLUMN(T_TraitDi[[#This Row],[VILLE2]]),FALSE),"")</f>
        <v/>
      </c>
      <c r="CB184" s="182" t="str">
        <f>IF(VLOOKUP(T_BilanSocial[[#This Row],[NumL]],T_Equipement[#Data],COLUMN(T_Equipement[[#This Row],[PC]]),FALSE)="","Aucun équipement spécifique directement lié au télétravail",VLOOKUP(T_BilanSocial[[#This Row],[NumL]],T_Equipement[#Data],COLUMN(T_Equipement[[#This Row],[PC]]),FALSE))</f>
        <v xml:space="preserve">20-455	</v>
      </c>
      <c r="CC184" s="166" t="str">
        <f>IFERROR(IF(VLOOKUP(T_BilanSocial[[#This Row],[NumL]],T_TraitDi[#Data],COLUMN(T_TraitDi[[#This Row],[Plan]]),FALSE)="OK","Un planning spécifique de télétravail est annexé à la présente convention.",""),"")</f>
        <v/>
      </c>
      <c r="CD184" s="258" t="s">
        <v>3425</v>
      </c>
      <c r="CE184" s="164" t="e">
        <f>IF(VLOOKUP(T_BilanSocial[[#This Row],[NumL]],T_suiviDi[#Data],COLUMN(T_suiviDi[[#This Row],[Entité]]),FALSE)="","",VLOOKUP(T_BilanSocial[[#This Row],[NumL]],T_suiviDi[#Data],COLUMN(T_suiviDi[[#This Row],[Entité]]),FALSE))</f>
        <v>#VALUE!</v>
      </c>
      <c r="CF184" s="164" t="str">
        <f>IF(VLOOKUP(T_BilanSocial[[#This Row],[NumL]],T_Commission[#Data],COLUMN(T_Commission[[#This Row],[envoi confirm TW]]),FALSE)="","",VLOOKUP(T_BilanSocial[[#This Row],[NumL]],T_Commission[#Data],COLUMN(T_Commission[[#This Row],[envoi confirm TW]]),FALSE))</f>
        <v>Oui</v>
      </c>
      <c r="CG18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4" s="262" t="str">
        <f>T_BilanSocial[[#This Row],[Nom]]&amp;T_BilanSocial[[#This Row],[Prenom]]</f>
        <v/>
      </c>
      <c r="CI184" s="262">
        <f>VLOOKUP(T_BilanSocial[[#This Row],[NumL]],T_Commission[#Data],COLUMN(T_Commission[Commentaire]),FALSE)</f>
        <v>0</v>
      </c>
      <c r="CJ184" s="262" t="str">
        <f>IF(VLOOKUP(T_BilanSocial[[#This Row],[NumL]],T_Commission[#Data],COLUMN(T_Commission[Encadrant Email]),FALSE)="","",VLOOKUP(T_BilanSocial[[#This Row],[NumL]],T_Commission[#Data],COLUMN(T_Commission[Encadrant Email]),FALSE))</f>
        <v/>
      </c>
      <c r="CK184" s="340" t="str">
        <f>IF(T_BilanSocial[[#This Row],[Final]]&lt;&gt;"",VLOOKUP(T_BilanSocial[[#This Row],[NumL]],T_suiviDi[#Data],COLUMN((T_suiviDi[Statut])),FALSE),"")</f>
        <v/>
      </c>
    </row>
    <row r="185" spans="1:89" s="106" customFormat="1" ht="24.75" customHeight="1" x14ac:dyDescent="0.25">
      <c r="A185" s="160">
        <v>182</v>
      </c>
      <c r="B185" s="161" t="str">
        <f t="shared" si="22"/>
        <v/>
      </c>
      <c r="C185" s="162" t="s">
        <v>173</v>
      </c>
      <c r="D185" s="95" t="e">
        <f>IF(VLOOKUP(T_BilanSocial[[#This Row],[NumL]],T_TraitDi[#Data],COLUMN(T_TraitDi[[#This Row],[WebC]]),FALSE)="","",VLOOKUP(T_BilanSocial[[#This Row],[NumL]],T_TraitDi[#Data],COLUMN(T_TraitDi[[#This Row],[WebC]]),FALSE))</f>
        <v>#VALUE!</v>
      </c>
      <c r="E185" s="163" t="str">
        <f t="shared" si="23"/>
        <v>12 janvier 2021</v>
      </c>
      <c r="F185" s="96" t="str">
        <f>IF(T_BilanSocial[[#This Row],[Final]]&lt;&gt;"",VLOOKUP(T_BilanSocial[[#This Row],[NumL]],T_suiviDi[#Data],COLUMN((T_suiviDi[Civ.])),FALSE),"")</f>
        <v/>
      </c>
      <c r="G185" s="96" t="str">
        <f>IF(T_BilanSocial[[#This Row],[Final]]&lt;&gt;"",VLOOKUP(T_BilanSocial[[#This Row],[NumL]],T_suiviDi[#Data],COLUMN((T_suiviDi[Nom])),FALSE),"")</f>
        <v/>
      </c>
      <c r="H185" s="96" t="str">
        <f>IF(T_BilanSocial[[#This Row],[Final]]&lt;&gt;"",VLOOKUP(T_BilanSocial[[#This Row],[NumL]],T_suiviDi[#Data],COLUMN((T_suiviDi[Prénom])),FALSE),"")</f>
        <v/>
      </c>
      <c r="I185" s="96" t="str">
        <f>IFERROR(VLOOKUP(T_BilanSocial[[#This Row],[Zone_Bilan]],T_P_BilanSocial[#Data],COLUMN(T_P_BilanSocial[[#This Row],[Numero_SIHAM]]),FALSE),"")</f>
        <v/>
      </c>
      <c r="J185" s="96" t="str">
        <f>IFERROR(VLOOKUP(T_BilanSocial[[#This Row],[Zone_Bilan]],T_P_BilanSocial[#Data],COLUMN(T_P_BilanSocial[[#This Row],[Sexe]]),FALSE),"")</f>
        <v/>
      </c>
      <c r="K185" s="97" t="str">
        <f>IFERROR(VLOOKUP(T_BilanSocial[[#This Row],[Zone_Bilan]],T_P_BilanSocial[#Data],COLUMN(T_P_BilanSocial[[#This Row],[Categorie]]),FALSE),"")</f>
        <v/>
      </c>
      <c r="L185" s="96" t="str">
        <f>IFERROR(VLOOKUP(T_BilanSocial[[#This Row],[Zone_Bilan]],T_P_BilanSocial[#Data],COLUMN(T_P_BilanSocial[[#This Row],[Statut]]),FALSE),"")</f>
        <v/>
      </c>
      <c r="M185" s="96" t="str">
        <f>IFERROR(VLOOKUP(T_BilanSocial[[#This Row],[Zone_Bilan]],T_P_BilanSocial[#Data],COLUMN(T_P_BilanSocial[[#This Row],[Filiere]]),FALSE),"")</f>
        <v/>
      </c>
      <c r="N185" s="96" t="e">
        <f>VLOOKUP(T_BilanSocial[[#This Row],[NumL]],T_TraitDi[#Data],COLUMN(T_TraitDi[EXP]),FALSE)</f>
        <v>#N/A</v>
      </c>
      <c r="O185" s="96" t="e">
        <f>VLOOKUP(T_BilanSocial[[#This Row],[NumL]],T_TraitDi[#Data],COLUMN(T_TraitDi[FORM]),FALSE)</f>
        <v>#N/A</v>
      </c>
      <c r="P185" s="96" t="str">
        <f>IF(T_BilanSocial[[#This Row],[Final]]&lt;&gt;"",VLOOKUP(T_BilanSocial[[#This Row],[NumL]],T_suiviDi[#Data],COLUMN((T_suiviDi[Email])),FALSE),"")</f>
        <v/>
      </c>
      <c r="Q185" s="164" t="e">
        <f t="shared" si="28"/>
        <v>#N/A</v>
      </c>
      <c r="R185" s="164" t="e">
        <f t="shared" si="29"/>
        <v>#N/A</v>
      </c>
      <c r="S185" s="164" t="e">
        <f>IF(VLOOKUP(T_BilanSocial[[#This Row],[NumL]],T_suiviDi[#Data],COLUMN(T_suiviDi[[#This Row],[Service ]]),FALSE)="","",VLOOKUP(T_BilanSocial[[#This Row],[NumL]],T_suiviDi[#Data],COLUMN(T_suiviDi[[#This Row],[Service ]]),FALSE))</f>
        <v>#VALUE!</v>
      </c>
      <c r="T185" s="164" t="str">
        <f t="shared" si="24"/>
        <v>01 septembre 2021</v>
      </c>
      <c r="U185" s="164" t="str">
        <f t="shared" si="25"/>
        <v>30 novembre 2021</v>
      </c>
      <c r="V185" s="164" t="str">
        <f t="shared" si="32"/>
        <v>30 novembre 2021</v>
      </c>
      <c r="W185" s="176" t="e">
        <f>IF(VLOOKUP(T_BilanSocial[[#This Row],[NumL]],T_TraitDi[#Data],COLUMN(T_TraitDi[[#This Row],[M1]]),FALSE)="","",VLOOKUP(T_BilanSocial[[#This Row],[NumL]],T_TraitDi[#Data],COLUMN(T_TraitDi[[#This Row],[M1]]),FALSE))</f>
        <v>#VALUE!</v>
      </c>
      <c r="X185" s="176" t="e">
        <f>IF(VLOOKUP(T_BilanSocial[[#This Row],[NumL]],T_TraitDi[#Data],COLUMN(T_TraitDi[[#This Row],[M2]]),FALSE)="","",VLOOKUP(T_BilanSocial[[#This Row],[NumL]],T_TraitDi[#Data],COLUMN(T_TraitDi[[#This Row],[M2]]),FALSE))</f>
        <v>#VALUE!</v>
      </c>
      <c r="Y185" s="176" t="e">
        <f>IF(VLOOKUP(T_BilanSocial[[#This Row],[NumL]],T_TraitDi[#Data],COLUMN(T_TraitDi[[#This Row],[M3]]),FALSE)="","",VLOOKUP(T_BilanSocial[[#This Row],[NumL]],T_TraitDi[#Data],COLUMN(T_TraitDi[[#This Row],[M3]]),FALSE))</f>
        <v>#VALUE!</v>
      </c>
      <c r="Z185" s="176" t="str">
        <f t="shared" si="27"/>
        <v/>
      </c>
      <c r="AA185" s="176" t="e">
        <f>IF(VLOOKUP(T_BilanSocial[[#This Row],[NumL]],T_TraitDi[#Data],COLUMN(T_TraitDi[[#This Row],[M5]]),FALSE)="","",VLOOKUP(T_BilanSocial[[#This Row],[NumL]],T_TraitDi[#Data],COLUMN(T_TraitDi[[#This Row],[M5]]),FALSE))</f>
        <v>#VALUE!</v>
      </c>
      <c r="AB185" s="176" t="e">
        <f>IF(VLOOKUP(T_BilanSocial[[#This Row],[NumL]],T_TraitDi[#Data],COLUMN(T_TraitDi[[#This Row],[M6]]),FALSE)="","",VLOOKUP(T_BilanSocial[[#This Row],[NumL]],T_TraitDi[#Data],COLUMN(T_TraitDi[[#This Row],[M6]]),FALSE))</f>
        <v>#VALUE!</v>
      </c>
      <c r="AC185" s="165" t="e">
        <f t="shared" si="26"/>
        <v>#VALUE!</v>
      </c>
      <c r="AD185" s="188" t="str">
        <f>IFERROR(TEXT(VLOOKUP(T_BilanSocial[[#This Row],[NumL]],T_TraitDi[#Data],COLUMN(T_TraitDi[[#This Row],[Q2]]),FALSE),"###%"),"")</f>
        <v/>
      </c>
      <c r="AE185" s="97" t="e">
        <f>VLOOKUP(T_BilanSocial[[#This Row],[NumL]],T_TraitDi[#Data],COLUMN(T_TraitDi[[#This Row],[Reg Ponct]]),FALSE)</f>
        <v>#VALUE!</v>
      </c>
      <c r="AF185" s="97" t="e">
        <f>VLOOKUP(T_BilanSocial[NumL],T_TraitDi[#Data],COLUMN(T_TraitDi[[#This Row],[Jours flottants]]),FALSE)</f>
        <v>#VALUE!</v>
      </c>
      <c r="AG185" s="97" t="str">
        <f>IFERROR(VLOOKUP(T_BilanSocial[[#This Row],[NumL]],T_TraitDi[#Data],COLUMN(T_TraitDi[[#This Row],[Lundi]]),FALSE),"")</f>
        <v/>
      </c>
      <c r="AH185" s="172" t="e">
        <f>IF(VLOOKUP(T_BilanSocial[[#This Row],[NumL]],T_TraitDi[#Data],COLUMN(T_TraitDi[[#This Row],[Colonne3]]),FALSE)=0,"",TEXT(IFERROR(VLOOKUP(T_BilanSocial[[#This Row],[NumL]],T_TraitDi[#Data],COLUMN(T_TraitDi[[#This Row],[Colonne3]]),FALSE),""),"[hh]:mm"))</f>
        <v>#VALUE!</v>
      </c>
      <c r="AI185" s="172" t="e">
        <f>IF(VLOOKUP(T_BilanSocial[[#This Row],[NumL]],T_TraitDi[#Data],COLUMN(T_TraitDi[[#This Row],[Colonne4]]),FALSE)=0,"",TEXT(IFERROR(VLOOKUP(T_BilanSocial[[#This Row],[NumL]],T_TraitDi[#Data],COLUMN(T_TraitDi[[#This Row],[Colonne4]]),FALSE),""),"[hh]:mm"))</f>
        <v>#VALUE!</v>
      </c>
      <c r="AJ185" s="172" t="e">
        <f>IF(VLOOKUP(T_BilanSocial[[#This Row],[NumL]],T_TraitDi[#Data],COLUMN(T_TraitDi[[#This Row],[Colonne5]]),FALSE)=0,"",TEXT(IFERROR(VLOOKUP(T_BilanSocial[[#This Row],[NumL]],T_TraitDi[#Data],COLUMN(T_TraitDi[[#This Row],[Colonne5]]),FALSE),""),"[hh]:mm"))</f>
        <v>#VALUE!</v>
      </c>
      <c r="AK185" s="172" t="e">
        <f>IF(VLOOKUP(T_BilanSocial[[#This Row],[NumL]],T_TraitDi[#Data],COLUMN(T_TraitDi[[#This Row],[Colonne6]]),FALSE)=0,"",TEXT(IFERROR(VLOOKUP(T_BilanSocial[[#This Row],[NumL]],T_TraitDi[#Data],COLUMN(T_TraitDi[[#This Row],[Colonne6]]),FALSE),""),"[hh]:mm"))</f>
        <v>#VALUE!</v>
      </c>
      <c r="AL185" s="172" t="e">
        <f>IF(VLOOKUP(T_BilanSocial[[#This Row],[NumL]],T_TraitDi[#Data],COLUMN(T_TraitDi[[#This Row],[Colonne7]]),FALSE)=0,"",TEXT(IFERROR(VLOOKUP(T_BilanSocial[[#This Row],[NumL]],T_TraitDi[#Data],COLUMN(T_TraitDi[[#This Row],[Colonne7]]),FALSE),""),"[hh]:mm"))</f>
        <v>#VALUE!</v>
      </c>
      <c r="AM185" s="172" t="e">
        <f>IF(VLOOKUP(T_BilanSocial[[#This Row],[NumL]],T_TraitDi[#Data],COLUMN(T_TraitDi[[#This Row],[Colonne8]]),FALSE)=0,"",TEXT(IFERROR(VLOOKUP(T_BilanSocial[[#This Row],[NumL]],T_TraitDi[#Data],COLUMN(T_TraitDi[[#This Row],[Colonne8]]),FALSE),""),"[hh]:mm"))</f>
        <v>#VALUE!</v>
      </c>
      <c r="AN185" s="172" t="str">
        <f>IFERROR(VLOOKUP(T_BilanSocial[[#This Row],[NumL]],T_TraitDi[#Data],COLUMN(T_TraitDi[[#This Row],[Mardi]]),FALSE),"")</f>
        <v/>
      </c>
      <c r="AO185" s="172" t="e">
        <f>IF(VLOOKUP(T_BilanSocial[[#This Row],[NumL]],T_TraitDi[#Data],COLUMN(T_TraitDi[[#This Row],[Colonne1]]),FALSE)=0,"",TEXT(IFERROR(VLOOKUP(T_BilanSocial[[#This Row],[NumL]],T_TraitDi[#Data],COLUMN(T_TraitDi[[#This Row],[Colonne1]]),FALSE),""),"[hh]:mm"))</f>
        <v>#VALUE!</v>
      </c>
      <c r="AP185" s="172" t="e">
        <f>IF(VLOOKUP(T_BilanSocial[[#This Row],[NumL]],T_TraitDi[#Data],COLUMN(T_TraitDi[[#This Row],[Colonne9]]),FALSE)=0,"",TEXT(IFERROR(VLOOKUP(T_BilanSocial[[#This Row],[NumL]],T_TraitDi[#Data],COLUMN(T_TraitDi[[#This Row],[Colonne9]]),FALSE),""),"[hh]:mm"))</f>
        <v>#VALUE!</v>
      </c>
      <c r="AQ185" s="172" t="str">
        <f>IFERROR(VLOOKUP(T_BilanSocial[[#This Row],[NumL]],T_TraitDi[#Data],COLUMN(T_TraitDi[[#This Row],[Colonne10]]),FALSE),"")</f>
        <v/>
      </c>
      <c r="AR185" s="172" t="e">
        <f>IF(VLOOKUP(T_BilanSocial[[#This Row],[NumL]],T_TraitDi[#Data],COLUMN(T_TraitDi[[#This Row],[Colonne11]]),FALSE)=0,"",TEXT(IFERROR(VLOOKUP(T_BilanSocial[[#This Row],[NumL]],T_TraitDi[#Data],COLUMN(T_TraitDi[[#This Row],[Colonne11]]),FALSE),""),"[hh]:mm"))</f>
        <v>#VALUE!</v>
      </c>
      <c r="AS185" s="172" t="e">
        <f>IF(VLOOKUP(T_BilanSocial[[#This Row],[NumL]],T_TraitDi[#Data],COLUMN(T_TraitDi[[#This Row],[Colonne12]]),FALSE)=0,"",TEXT(IFERROR(VLOOKUP(T_BilanSocial[[#This Row],[NumL]],T_TraitDi[#Data],COLUMN(T_TraitDi[[#This Row],[Colonne12]]),FALSE),""),"[hh]:mm"))</f>
        <v>#VALUE!</v>
      </c>
      <c r="AT185" s="172" t="e">
        <f>IF(VLOOKUP(T_BilanSocial[[#This Row],[NumL]],T_TraitDi[#Data],COLUMN(T_TraitDi[[#This Row],[Colonne14]]),FALSE)=0,"",TEXT(IFERROR(VLOOKUP(T_BilanSocial[[#This Row],[NumL]],T_TraitDi[#Data],COLUMN(T_TraitDi[[#This Row],[Colonne14]]),FALSE),""),"[hh]:mm"))</f>
        <v>#VALUE!</v>
      </c>
      <c r="AU185" s="172" t="str">
        <f>IFERROR(VLOOKUP(T_BilanSocial[[#This Row],[NumL]],T_TraitDi[#Data],COLUMN(T_TraitDi[[#This Row],[Mercredi]]),FALSE),"")</f>
        <v/>
      </c>
      <c r="AV185" s="172" t="e">
        <f>IF(VLOOKUP(T_BilanSocial[[#This Row],[NumL]],T_TraitDi[#Data],COLUMN(T_TraitDi[[#This Row],[Colonne15]]),FALSE)=0,"",TEXT(IFERROR(VLOOKUP(T_BilanSocial[[#This Row],[NumL]],T_TraitDi[#Data],COLUMN(T_TraitDi[[#This Row],[Colonne15]]),FALSE),""),"[hh]:mm"))</f>
        <v>#VALUE!</v>
      </c>
      <c r="AW185" s="172" t="e">
        <f>IF(VLOOKUP(T_BilanSocial[[#This Row],[NumL]],T_TraitDi[#Data],COLUMN(T_TraitDi[[#This Row],[Colonne16]]),FALSE)=0,"",TEXT(IFERROR(VLOOKUP(T_BilanSocial[[#This Row],[NumL]],T_TraitDi[#Data],COLUMN(T_TraitDi[[#This Row],[Colonne16]]),FALSE),""),"[hh]:mm"))</f>
        <v>#VALUE!</v>
      </c>
      <c r="AX185" s="172" t="str">
        <f>IFERROR(VLOOKUP(T_BilanSocial[[#This Row],[NumL]],T_TraitDi[#Data],COLUMN(T_TraitDi[[#This Row],[Colonne17]]),FALSE),"")</f>
        <v/>
      </c>
      <c r="AY185" s="172" t="e">
        <f>IF(VLOOKUP(T_BilanSocial[[#This Row],[NumL]],T_TraitDi[#Data],COLUMN(T_TraitDi[[#This Row],[Colonne18]]),FALSE)=0,"",TEXT(IFERROR(VLOOKUP(T_BilanSocial[[#This Row],[NumL]],T_TraitDi[#Data],COLUMN(T_TraitDi[[#This Row],[Colonne18]]),FALSE),""),"[hh]:mm"))</f>
        <v>#VALUE!</v>
      </c>
      <c r="AZ185" s="172" t="e">
        <f>IF(VLOOKUP(T_BilanSocial[[#This Row],[NumL]],T_TraitDi[#Data],COLUMN(T_TraitDi[[#This Row],[Colonne19]]),FALSE)=0,"",TEXT(IFERROR(VLOOKUP(T_BilanSocial[[#This Row],[NumL]],T_TraitDi[#Data],COLUMN(T_TraitDi[[#This Row],[Colonne19]]),FALSE),""),"[hh]:mm"))</f>
        <v>#VALUE!</v>
      </c>
      <c r="BA185" s="172" t="e">
        <f>IF(VLOOKUP(T_BilanSocial[[#This Row],[NumL]],T_TraitDi[#Data],COLUMN(T_TraitDi[[#This Row],[Colonne20]]),FALSE)=0,"",TEXT(IFERROR(VLOOKUP(T_BilanSocial[[#This Row],[NumL]],T_TraitDi[#Data],COLUMN(T_TraitDi[[#This Row],[Colonne20]]),FALSE),""),"[hh]:mm"))</f>
        <v>#VALUE!</v>
      </c>
      <c r="BB185" s="178" t="str">
        <f>IFERROR(VLOOKUP(T_BilanSocial[[#This Row],[NumL]],T_TraitDi[#Data],COLUMN(T_TraitDi[[#This Row],[Jeudi]]),FALSE),"")</f>
        <v/>
      </c>
      <c r="BC185" s="178" t="e">
        <f>IF(VLOOKUP(T_BilanSocial[[#This Row],[NumL]],T_TraitDi[#Data],COLUMN(T_TraitDi[[#This Row],[Colonne21]]),FALSE)=0,"",TEXT(IFERROR(VLOOKUP(T_BilanSocial[[#This Row],[NumL]],T_TraitDi[#Data],COLUMN(T_TraitDi[[#This Row],[Colonne21]]),FALSE),""),"[hh]:mm"))</f>
        <v>#VALUE!</v>
      </c>
      <c r="BD185" s="178" t="e">
        <f>IF(VLOOKUP(T_BilanSocial[[#This Row],[NumL]],T_TraitDi[#Data],COLUMN(T_TraitDi[[#This Row],[Colonne22]]),FALSE)=0,"",TEXT(IFERROR(VLOOKUP(T_BilanSocial[[#This Row],[NumL]],T_TraitDi[#Data],COLUMN(T_TraitDi[[#This Row],[Colonne22]]),FALSE),""),"[hh]:mm"))</f>
        <v>#VALUE!</v>
      </c>
      <c r="BE185" s="178" t="str">
        <f>IFERROR(VLOOKUP(T_BilanSocial[[#This Row],[NumL]],T_TraitDi[#Data],COLUMN(T_TraitDi[[#This Row],[Colonne23]]),FALSE),"")</f>
        <v/>
      </c>
      <c r="BF185" s="178" t="e">
        <f>IF(VLOOKUP(T_BilanSocial[[#This Row],[NumL]],T_TraitDi[#Data],COLUMN(T_TraitDi[[#This Row],[Colonne24]]),FALSE)=0,"",TEXT(IFERROR(VLOOKUP(T_BilanSocial[[#This Row],[NumL]],T_TraitDi[#Data],COLUMN(T_TraitDi[[#This Row],[Colonne24]]),FALSE),""),"[hh]:mm"))</f>
        <v>#VALUE!</v>
      </c>
      <c r="BG185" s="178" t="e">
        <f>IF(VLOOKUP(T_BilanSocial[[#This Row],[NumL]],T_TraitDi[#Data],COLUMN(T_TraitDi[[#This Row],[Colonne25]]),FALSE)=0,"",TEXT(IFERROR(VLOOKUP(T_BilanSocial[[#This Row],[NumL]],T_TraitDi[#Data],COLUMN(T_TraitDi[[#This Row],[Colonne25]]),FALSE),""),"[hh]:mm"))</f>
        <v>#VALUE!</v>
      </c>
      <c r="BH185" s="178" t="e">
        <f>IF(VLOOKUP(T_BilanSocial[[#This Row],[NumL]],T_TraitDi[#Data],COLUMN(T_TraitDi[[#This Row],[Colonne26]]),FALSE)=0,"",TEXT(IFERROR(VLOOKUP(T_BilanSocial[[#This Row],[NumL]],T_TraitDi[#Data],COLUMN(T_TraitDi[[#This Row],[Colonne26]]),FALSE),""),"[hh]:mm"))</f>
        <v>#VALUE!</v>
      </c>
      <c r="BI185" s="172" t="str">
        <f>IFERROR(VLOOKUP(T_BilanSocial[[#This Row],[NumL]],T_TraitDi[#Data],COLUMN(T_TraitDi[[#This Row],[Vendredi]]),FALSE),"")</f>
        <v/>
      </c>
      <c r="BJ185" s="172" t="e">
        <f>IF(VLOOKUP(T_BilanSocial[[#This Row],[NumL]],T_TraitDi[#Data],COLUMN(T_TraitDi[[#This Row],[Colonne27]]),FALSE)=0,"",TEXT(IFERROR(VLOOKUP(T_BilanSocial[[#This Row],[NumL]],T_TraitDi[#Data],COLUMN(T_TraitDi[[#This Row],[Colonne27]]),FALSE),""),"[hh]:mm"))</f>
        <v>#VALUE!</v>
      </c>
      <c r="BK185" s="172" t="e">
        <f>IF(VLOOKUP(T_BilanSocial[[#This Row],[NumL]],T_TraitDi[#Data],COLUMN(T_TraitDi[[#This Row],[Colonne28]]),FALSE)=0,"",TEXT(IFERROR(VLOOKUP(T_BilanSocial[[#This Row],[NumL]],T_TraitDi[#Data],COLUMN(T_TraitDi[[#This Row],[Colonne28]]),FALSE),""),"[hh]:mm"))</f>
        <v>#VALUE!</v>
      </c>
      <c r="BL185" s="172" t="str">
        <f>IFERROR(VLOOKUP(T_BilanSocial[[#This Row],[NumL]],T_TraitDi[#Data],COLUMN(T_TraitDi[[#This Row],[Colonne29]]),FALSE),"")</f>
        <v/>
      </c>
      <c r="BM185" s="172" t="e">
        <f>IF(VLOOKUP(T_BilanSocial[[#This Row],[NumL]],T_TraitDi[#Data],COLUMN(T_TraitDi[[#This Row],[Colonne30]]),FALSE)=0,"",TEXT(IFERROR(VLOOKUP(T_BilanSocial[[#This Row],[NumL]],T_TraitDi[#Data],COLUMN(T_TraitDi[[#This Row],[Colonne30]]),FALSE),""),"[hh]:mm"))</f>
        <v>#VALUE!</v>
      </c>
      <c r="BN185" s="172" t="e">
        <f>IF(VLOOKUP(T_BilanSocial[[#This Row],[NumL]],T_TraitDi[#Data],COLUMN(T_TraitDi[[#This Row],[Colonne31]]),FALSE)=0,"",TEXT(IFERROR(VLOOKUP(T_BilanSocial[[#This Row],[NumL]],T_TraitDi[#Data],COLUMN(T_TraitDi[[#This Row],[Colonne31]]),FALSE),""),"[hh]:mm"))</f>
        <v>#VALUE!</v>
      </c>
      <c r="BO185" s="172" t="e">
        <f>IF(VLOOKUP(T_BilanSocial[[#This Row],[NumL]],T_TraitDi[#Data],COLUMN(T_TraitDi[[#This Row],[Colonne32]]),FALSE)=0,"",TEXT(IFERROR(VLOOKUP(T_BilanSocial[[#This Row],[NumL]],T_TraitDi[#Data],COLUMN(T_TraitDi[[#This Row],[Colonne32]]),FALSE),""),"[hh]:mm"))</f>
        <v>#VALUE!</v>
      </c>
      <c r="BP185" s="172" t="e">
        <f>VLOOKUP(T_BilanSocial[[#This Row],[NumL]],T_TraitDi[#Data],COLUMN(T_TraitDi[NbJTot]),FALSE)</f>
        <v>#N/A</v>
      </c>
      <c r="BQ185" s="174" t="str">
        <f>IFERROR(VLOOKUP(T_BilanSocial[[#This Row],[NumL]],T_TraitDi[#Data],COLUMN(T_TraitDi[[#This Row],[NbJTW]]),FALSE),"")</f>
        <v/>
      </c>
      <c r="BR185" s="174" t="e">
        <f>IF(VLOOKUP(T_BilanSocial[[#This Row],[NumL]],T_TraitDi[#Data],COLUMN(T_TraitDi[[#This Row],[NbhTW]]),FALSE)=0,"",TEXT(IFERROR(VLOOKUP(T_BilanSocial[[#This Row],[NumL]],T_TraitDi[#Data],COLUMN(T_TraitDi[[#This Row],[NbhTW]]),FALSE),""),"[hh]:mm"))</f>
        <v>#VALUE!</v>
      </c>
      <c r="BS185" s="174" t="e">
        <f>IF(VLOOKUP(T_BilanSocial[[#This Row],[NumL]],T_TraitDi[#Data],COLUMN(T_TraitDi[[#This Row],[Nbhheb]]),FALSE)=0,"",TEXT(IFERROR(VLOOKUP($A185,T_TraitDi[#Data],COLUMN(T_TraitDi[[#This Row],[Nbhheb]]),FALSE),""),"[hh]:mm"))</f>
        <v>#VALUE!</v>
      </c>
      <c r="BT185" s="182" t="str">
        <f>IFERROR(VLOOKUP(VLOOKUP($A185,T_TraitDi[#Data],COLUMN(T_TraitDi[[#This Row],[Type1]]),FALSE),TypeTW,2,FALSE),"")</f>
        <v/>
      </c>
      <c r="BU185" s="182" t="str">
        <f>IFERROR(VLOOKUP($A185,T_TraitDi[#Data],COLUMN(T_TraitDi[[#This Row],[Rue1]]),FALSE),"")</f>
        <v/>
      </c>
      <c r="BV185" s="173" t="str">
        <f>IFERROR(VLOOKUP($A185,T_TraitDi[#Data],COLUMN(T_TraitDi[[#This Row],[CP1]]),FALSE),"")</f>
        <v/>
      </c>
      <c r="BW185" s="173" t="str">
        <f>IFERROR(VLOOKUP($A185,T_TraitDi[#Data],COLUMN(T_TraitDi[[#This Row],[VILLE1]]),FALSE),"")</f>
        <v/>
      </c>
      <c r="BX185" s="182" t="str">
        <f>IFERROR(VLOOKUP(VLOOKUP($A185,T_TraitDi[#Data],COLUMN(T_TraitDi[[#This Row],[Type2]]),FALSE),TypeTW,2,FALSE),"")</f>
        <v/>
      </c>
      <c r="BY185" s="182" t="str">
        <f>IFERROR(VLOOKUP($A185,T_TraitDi[#Data],COLUMN(T_TraitDi[[#This Row],[Rue2]]),FALSE),"")</f>
        <v/>
      </c>
      <c r="BZ185" s="173" t="str">
        <f>IFERROR(VLOOKUP($A185,T_TraitDi[#Data],COLUMN(T_TraitDi[[#This Row],[CP2]]),FALSE),"")</f>
        <v/>
      </c>
      <c r="CA185" s="173" t="str">
        <f>IFERROR(VLOOKUP($A185,T_TraitDi[#Data],COLUMN(T_TraitDi[[#This Row],[VILLE2]]),FALSE),"")</f>
        <v/>
      </c>
      <c r="CB185" s="182" t="str">
        <f>IF(VLOOKUP(T_BilanSocial[[#This Row],[NumL]],T_Equipement[#Data],COLUMN(T_Equipement[[#This Row],[PC]]),FALSE)="","Aucun équipement spécifique directement lié au télétravail",VLOOKUP(T_BilanSocial[[#This Row],[NumL]],T_Equipement[#Data],COLUMN(T_Equipement[[#This Row],[PC]]),FALSE))</f>
        <v xml:space="preserve">20-345	</v>
      </c>
      <c r="CC185" s="166" t="str">
        <f>IFERROR(IF(VLOOKUP(T_BilanSocial[[#This Row],[NumL]],T_TraitDi[#Data],COLUMN(T_TraitDi[[#This Row],[Plan]]),FALSE)="OK","Un planning spécifique de télétravail est annexé à la présente convention.",""),"")</f>
        <v/>
      </c>
      <c r="CD185" s="258" t="s">
        <v>3396</v>
      </c>
      <c r="CE185" s="164" t="e">
        <f>IF(VLOOKUP(T_BilanSocial[[#This Row],[NumL]],T_suiviDi[#Data],COLUMN(T_suiviDi[[#This Row],[Entité]]),FALSE)="","",VLOOKUP(T_BilanSocial[[#This Row],[NumL]],T_suiviDi[#Data],COLUMN(T_suiviDi[[#This Row],[Entité]]),FALSE))</f>
        <v>#VALUE!</v>
      </c>
      <c r="CF185" s="164" t="str">
        <f>IF(VLOOKUP(T_BilanSocial[[#This Row],[NumL]],T_Commission[#Data],COLUMN(T_Commission[[#This Row],[envoi confirm TW]]),FALSE)="","",VLOOKUP(T_BilanSocial[[#This Row],[NumL]],T_Commission[#Data],COLUMN(T_Commission[[#This Row],[envoi confirm TW]]),FALSE))</f>
        <v>Oui</v>
      </c>
      <c r="CG18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5" s="262" t="str">
        <f>T_BilanSocial[[#This Row],[Nom]]&amp;T_BilanSocial[[#This Row],[Prenom]]</f>
        <v/>
      </c>
      <c r="CI185" s="262">
        <f>VLOOKUP(T_BilanSocial[[#This Row],[NumL]],T_Commission[#Data],COLUMN(T_Commission[Commentaire]),FALSE)</f>
        <v>0</v>
      </c>
      <c r="CJ185" s="262" t="str">
        <f>IF(VLOOKUP(T_BilanSocial[[#This Row],[NumL]],T_Commission[#Data],COLUMN(T_Commission[Encadrant Email]),FALSE)="","",VLOOKUP(T_BilanSocial[[#This Row],[NumL]],T_Commission[#Data],COLUMN(T_Commission[Encadrant Email]),FALSE))</f>
        <v/>
      </c>
      <c r="CK185" s="340" t="str">
        <f>IF(T_BilanSocial[[#This Row],[Final]]&lt;&gt;"",VLOOKUP(T_BilanSocial[[#This Row],[NumL]],T_suiviDi[#Data],COLUMN((T_suiviDi[Statut])),FALSE),"")</f>
        <v/>
      </c>
    </row>
    <row r="186" spans="1:89" s="106" customFormat="1" ht="24.75" customHeight="1" x14ac:dyDescent="0.25">
      <c r="A186" s="160">
        <v>183</v>
      </c>
      <c r="B186" s="161" t="str">
        <f t="shared" si="22"/>
        <v/>
      </c>
      <c r="C186" s="162" t="s">
        <v>173</v>
      </c>
      <c r="D186" s="95" t="e">
        <f>IF(VLOOKUP(T_BilanSocial[[#This Row],[NumL]],T_TraitDi[#Data],COLUMN(T_TraitDi[[#This Row],[WebC]]),FALSE)="","",VLOOKUP(T_BilanSocial[[#This Row],[NumL]],T_TraitDi[#Data],COLUMN(T_TraitDi[[#This Row],[WebC]]),FALSE))</f>
        <v>#VALUE!</v>
      </c>
      <c r="E186" s="163" t="str">
        <f t="shared" si="23"/>
        <v>12 janvier 2021</v>
      </c>
      <c r="F186" s="96" t="str">
        <f>IF(T_BilanSocial[[#This Row],[Final]]&lt;&gt;"",VLOOKUP(T_BilanSocial[[#This Row],[NumL]],T_suiviDi[#Data],COLUMN((T_suiviDi[Civ.])),FALSE),"")</f>
        <v/>
      </c>
      <c r="G186" s="96" t="str">
        <f>IF(T_BilanSocial[[#This Row],[Final]]&lt;&gt;"",VLOOKUP(T_BilanSocial[[#This Row],[NumL]],T_suiviDi[#Data],COLUMN((T_suiviDi[Nom])),FALSE),"")</f>
        <v/>
      </c>
      <c r="H186" s="96" t="str">
        <f>IF(T_BilanSocial[[#This Row],[Final]]&lt;&gt;"",VLOOKUP(T_BilanSocial[[#This Row],[NumL]],T_suiviDi[#Data],COLUMN((T_suiviDi[Prénom])),FALSE),"")</f>
        <v/>
      </c>
      <c r="I186" s="96" t="str">
        <f>IFERROR(VLOOKUP(T_BilanSocial[[#This Row],[Zone_Bilan]],T_P_BilanSocial[#Data],COLUMN(T_P_BilanSocial[[#This Row],[Numero_SIHAM]]),FALSE),"")</f>
        <v/>
      </c>
      <c r="J186" s="96" t="str">
        <f>IFERROR(VLOOKUP(T_BilanSocial[[#This Row],[Zone_Bilan]],T_P_BilanSocial[#Data],COLUMN(T_P_BilanSocial[[#This Row],[Sexe]]),FALSE),"")</f>
        <v/>
      </c>
      <c r="K186" s="97" t="str">
        <f>IFERROR(VLOOKUP(T_BilanSocial[[#This Row],[Zone_Bilan]],T_P_BilanSocial[#Data],COLUMN(T_P_BilanSocial[[#This Row],[Categorie]]),FALSE),"")</f>
        <v/>
      </c>
      <c r="L186" s="96" t="str">
        <f>IFERROR(VLOOKUP(T_BilanSocial[[#This Row],[Zone_Bilan]],T_P_BilanSocial[#Data],COLUMN(T_P_BilanSocial[[#This Row],[Statut]]),FALSE),"")</f>
        <v/>
      </c>
      <c r="M186" s="96" t="str">
        <f>IFERROR(VLOOKUP(T_BilanSocial[[#This Row],[Zone_Bilan]],T_P_BilanSocial[#Data],COLUMN(T_P_BilanSocial[[#This Row],[Filiere]]),FALSE),"")</f>
        <v/>
      </c>
      <c r="N186" s="96" t="e">
        <f>VLOOKUP(T_BilanSocial[[#This Row],[NumL]],T_TraitDi[#Data],COLUMN(T_TraitDi[EXP]),FALSE)</f>
        <v>#N/A</v>
      </c>
      <c r="O186" s="96" t="e">
        <f>VLOOKUP(T_BilanSocial[[#This Row],[NumL]],T_TraitDi[#Data],COLUMN(T_TraitDi[FORM]),FALSE)</f>
        <v>#N/A</v>
      </c>
      <c r="P186" s="96" t="str">
        <f>IF(T_BilanSocial[[#This Row],[Final]]&lt;&gt;"",VLOOKUP(T_BilanSocial[[#This Row],[NumL]],T_suiviDi[#Data],COLUMN((T_suiviDi[Email])),FALSE),"")</f>
        <v/>
      </c>
      <c r="Q186" s="164" t="e">
        <f t="shared" si="28"/>
        <v>#N/A</v>
      </c>
      <c r="R186" s="164" t="e">
        <f t="shared" si="29"/>
        <v>#N/A</v>
      </c>
      <c r="S186" s="164" t="e">
        <f>IF(VLOOKUP(T_BilanSocial[[#This Row],[NumL]],T_suiviDi[#Data],COLUMN(T_suiviDi[[#This Row],[Service ]]),FALSE)="","",VLOOKUP(T_BilanSocial[[#This Row],[NumL]],T_suiviDi[#Data],COLUMN(T_suiviDi[[#This Row],[Service ]]),FALSE))</f>
        <v>#VALUE!</v>
      </c>
      <c r="T186" s="164" t="str">
        <f t="shared" si="24"/>
        <v>01 septembre 2021</v>
      </c>
      <c r="U186" s="164" t="str">
        <f t="shared" si="25"/>
        <v>30 novembre 2021</v>
      </c>
      <c r="V186" s="164" t="str">
        <f t="shared" si="32"/>
        <v>30 novembre 2021</v>
      </c>
      <c r="W186" s="176" t="e">
        <f>IF(VLOOKUP(T_BilanSocial[[#This Row],[NumL]],T_TraitDi[#Data],COLUMN(T_TraitDi[[#This Row],[M1]]),FALSE)="","",VLOOKUP(T_BilanSocial[[#This Row],[NumL]],T_TraitDi[#Data],COLUMN(T_TraitDi[[#This Row],[M1]]),FALSE))</f>
        <v>#VALUE!</v>
      </c>
      <c r="X186" s="176" t="e">
        <f>IF(VLOOKUP(T_BilanSocial[[#This Row],[NumL]],T_TraitDi[#Data],COLUMN(T_TraitDi[[#This Row],[M2]]),FALSE)="","",VLOOKUP(T_BilanSocial[[#This Row],[NumL]],T_TraitDi[#Data],COLUMN(T_TraitDi[[#This Row],[M2]]),FALSE))</f>
        <v>#VALUE!</v>
      </c>
      <c r="Y186" s="176" t="e">
        <f>IF(VLOOKUP(T_BilanSocial[[#This Row],[NumL]],T_TraitDi[#Data],COLUMN(T_TraitDi[[#This Row],[M3]]),FALSE)="","",VLOOKUP(T_BilanSocial[[#This Row],[NumL]],T_TraitDi[#Data],COLUMN(T_TraitDi[[#This Row],[M3]]),FALSE))</f>
        <v>#VALUE!</v>
      </c>
      <c r="Z186" s="176" t="str">
        <f t="shared" si="27"/>
        <v/>
      </c>
      <c r="AA186" s="176" t="e">
        <f>IF(VLOOKUP(T_BilanSocial[[#This Row],[NumL]],T_TraitDi[#Data],COLUMN(T_TraitDi[[#This Row],[M5]]),FALSE)="","",VLOOKUP(T_BilanSocial[[#This Row],[NumL]],T_TraitDi[#Data],COLUMN(T_TraitDi[[#This Row],[M5]]),FALSE))</f>
        <v>#VALUE!</v>
      </c>
      <c r="AB186" s="176" t="e">
        <f>IF(VLOOKUP(T_BilanSocial[[#This Row],[NumL]],T_TraitDi[#Data],COLUMN(T_TraitDi[[#This Row],[M6]]),FALSE)="","",VLOOKUP(T_BilanSocial[[#This Row],[NumL]],T_TraitDi[#Data],COLUMN(T_TraitDi[[#This Row],[M6]]),FALSE))</f>
        <v>#VALUE!</v>
      </c>
      <c r="AC186" s="165" t="e">
        <f t="shared" si="26"/>
        <v>#VALUE!</v>
      </c>
      <c r="AD186" s="188" t="str">
        <f>IFERROR(TEXT(VLOOKUP(T_BilanSocial[[#This Row],[NumL]],T_TraitDi[#Data],COLUMN(T_TraitDi[[#This Row],[Q2]]),FALSE),"###%"),"")</f>
        <v/>
      </c>
      <c r="AE186" s="97" t="e">
        <f>VLOOKUP(T_BilanSocial[[#This Row],[NumL]],T_TraitDi[#Data],COLUMN(T_TraitDi[[#This Row],[Reg Ponct]]),FALSE)</f>
        <v>#VALUE!</v>
      </c>
      <c r="AF186" s="97" t="e">
        <f>VLOOKUP(T_BilanSocial[NumL],T_TraitDi[#Data],COLUMN(T_TraitDi[[#This Row],[Jours flottants]]),FALSE)</f>
        <v>#VALUE!</v>
      </c>
      <c r="AG186" s="97" t="str">
        <f>IFERROR(VLOOKUP(T_BilanSocial[[#This Row],[NumL]],T_TraitDi[#Data],COLUMN(T_TraitDi[[#This Row],[Lundi]]),FALSE),"")</f>
        <v/>
      </c>
      <c r="AH186" s="172" t="e">
        <f>IF(VLOOKUP(T_BilanSocial[[#This Row],[NumL]],T_TraitDi[#Data],COLUMN(T_TraitDi[[#This Row],[Colonne3]]),FALSE)=0,"",TEXT(IFERROR(VLOOKUP(T_BilanSocial[[#This Row],[NumL]],T_TraitDi[#Data],COLUMN(T_TraitDi[[#This Row],[Colonne3]]),FALSE),""),"[hh]:mm"))</f>
        <v>#VALUE!</v>
      </c>
      <c r="AI186" s="172" t="e">
        <f>IF(VLOOKUP(T_BilanSocial[[#This Row],[NumL]],T_TraitDi[#Data],COLUMN(T_TraitDi[[#This Row],[Colonne4]]),FALSE)=0,"",TEXT(IFERROR(VLOOKUP(T_BilanSocial[[#This Row],[NumL]],T_TraitDi[#Data],COLUMN(T_TraitDi[[#This Row],[Colonne4]]),FALSE),""),"[hh]:mm"))</f>
        <v>#VALUE!</v>
      </c>
      <c r="AJ186" s="172" t="e">
        <f>IF(VLOOKUP(T_BilanSocial[[#This Row],[NumL]],T_TraitDi[#Data],COLUMN(T_TraitDi[[#This Row],[Colonne5]]),FALSE)=0,"",TEXT(IFERROR(VLOOKUP(T_BilanSocial[[#This Row],[NumL]],T_TraitDi[#Data],COLUMN(T_TraitDi[[#This Row],[Colonne5]]),FALSE),""),"[hh]:mm"))</f>
        <v>#VALUE!</v>
      </c>
      <c r="AK186" s="172" t="e">
        <f>IF(VLOOKUP(T_BilanSocial[[#This Row],[NumL]],T_TraitDi[#Data],COLUMN(T_TraitDi[[#This Row],[Colonne6]]),FALSE)=0,"",TEXT(IFERROR(VLOOKUP(T_BilanSocial[[#This Row],[NumL]],T_TraitDi[#Data],COLUMN(T_TraitDi[[#This Row],[Colonne6]]),FALSE),""),"[hh]:mm"))</f>
        <v>#VALUE!</v>
      </c>
      <c r="AL186" s="172" t="e">
        <f>IF(VLOOKUP(T_BilanSocial[[#This Row],[NumL]],T_TraitDi[#Data],COLUMN(T_TraitDi[[#This Row],[Colonne7]]),FALSE)=0,"",TEXT(IFERROR(VLOOKUP(T_BilanSocial[[#This Row],[NumL]],T_TraitDi[#Data],COLUMN(T_TraitDi[[#This Row],[Colonne7]]),FALSE),""),"[hh]:mm"))</f>
        <v>#VALUE!</v>
      </c>
      <c r="AM186" s="172" t="e">
        <f>IF(VLOOKUP(T_BilanSocial[[#This Row],[NumL]],T_TraitDi[#Data],COLUMN(T_TraitDi[[#This Row],[Colonne8]]),FALSE)=0,"",TEXT(IFERROR(VLOOKUP(T_BilanSocial[[#This Row],[NumL]],T_TraitDi[#Data],COLUMN(T_TraitDi[[#This Row],[Colonne8]]),FALSE),""),"[hh]:mm"))</f>
        <v>#VALUE!</v>
      </c>
      <c r="AN186" s="172" t="str">
        <f>IFERROR(VLOOKUP(T_BilanSocial[[#This Row],[NumL]],T_TraitDi[#Data],COLUMN(T_TraitDi[[#This Row],[Mardi]]),FALSE),"")</f>
        <v/>
      </c>
      <c r="AO186" s="172" t="e">
        <f>IF(VLOOKUP(T_BilanSocial[[#This Row],[NumL]],T_TraitDi[#Data],COLUMN(T_TraitDi[[#This Row],[Colonne1]]),FALSE)=0,"",TEXT(IFERROR(VLOOKUP(T_BilanSocial[[#This Row],[NumL]],T_TraitDi[#Data],COLUMN(T_TraitDi[[#This Row],[Colonne1]]),FALSE),""),"[hh]:mm"))</f>
        <v>#VALUE!</v>
      </c>
      <c r="AP186" s="172" t="e">
        <f>IF(VLOOKUP(T_BilanSocial[[#This Row],[NumL]],T_TraitDi[#Data],COLUMN(T_TraitDi[[#This Row],[Colonne9]]),FALSE)=0,"",TEXT(IFERROR(VLOOKUP(T_BilanSocial[[#This Row],[NumL]],T_TraitDi[#Data],COLUMN(T_TraitDi[[#This Row],[Colonne9]]),FALSE),""),"[hh]:mm"))</f>
        <v>#VALUE!</v>
      </c>
      <c r="AQ186" s="172" t="str">
        <f>IFERROR(VLOOKUP(T_BilanSocial[[#This Row],[NumL]],T_TraitDi[#Data],COLUMN(T_TraitDi[[#This Row],[Colonne10]]),FALSE),"")</f>
        <v/>
      </c>
      <c r="AR186" s="172" t="e">
        <f>IF(VLOOKUP(T_BilanSocial[[#This Row],[NumL]],T_TraitDi[#Data],COLUMN(T_TraitDi[[#This Row],[Colonne11]]),FALSE)=0,"",TEXT(IFERROR(VLOOKUP(T_BilanSocial[[#This Row],[NumL]],T_TraitDi[#Data],COLUMN(T_TraitDi[[#This Row],[Colonne11]]),FALSE),""),"[hh]:mm"))</f>
        <v>#VALUE!</v>
      </c>
      <c r="AS186" s="172" t="e">
        <f>IF(VLOOKUP(T_BilanSocial[[#This Row],[NumL]],T_TraitDi[#Data],COLUMN(T_TraitDi[[#This Row],[Colonne12]]),FALSE)=0,"",TEXT(IFERROR(VLOOKUP(T_BilanSocial[[#This Row],[NumL]],T_TraitDi[#Data],COLUMN(T_TraitDi[[#This Row],[Colonne12]]),FALSE),""),"[hh]:mm"))</f>
        <v>#VALUE!</v>
      </c>
      <c r="AT186" s="172" t="e">
        <f>IF(VLOOKUP(T_BilanSocial[[#This Row],[NumL]],T_TraitDi[#Data],COLUMN(T_TraitDi[[#This Row],[Colonne14]]),FALSE)=0,"",TEXT(IFERROR(VLOOKUP(T_BilanSocial[[#This Row],[NumL]],T_TraitDi[#Data],COLUMN(T_TraitDi[[#This Row],[Colonne14]]),FALSE),""),"[hh]:mm"))</f>
        <v>#VALUE!</v>
      </c>
      <c r="AU186" s="172" t="str">
        <f>IFERROR(VLOOKUP(T_BilanSocial[[#This Row],[NumL]],T_TraitDi[#Data],COLUMN(T_TraitDi[[#This Row],[Mercredi]]),FALSE),"")</f>
        <v/>
      </c>
      <c r="AV186" s="172" t="e">
        <f>IF(VLOOKUP(T_BilanSocial[[#This Row],[NumL]],T_TraitDi[#Data],COLUMN(T_TraitDi[[#This Row],[Colonne15]]),FALSE)=0,"",TEXT(IFERROR(VLOOKUP(T_BilanSocial[[#This Row],[NumL]],T_TraitDi[#Data],COLUMN(T_TraitDi[[#This Row],[Colonne15]]),FALSE),""),"[hh]:mm"))</f>
        <v>#VALUE!</v>
      </c>
      <c r="AW186" s="172" t="e">
        <f>IF(VLOOKUP(T_BilanSocial[[#This Row],[NumL]],T_TraitDi[#Data],COLUMN(T_TraitDi[[#This Row],[Colonne16]]),FALSE)=0,"",TEXT(IFERROR(VLOOKUP(T_BilanSocial[[#This Row],[NumL]],T_TraitDi[#Data],COLUMN(T_TraitDi[[#This Row],[Colonne16]]),FALSE),""),"[hh]:mm"))</f>
        <v>#VALUE!</v>
      </c>
      <c r="AX186" s="172" t="str">
        <f>IFERROR(VLOOKUP(T_BilanSocial[[#This Row],[NumL]],T_TraitDi[#Data],COLUMN(T_TraitDi[[#This Row],[Colonne17]]),FALSE),"")</f>
        <v/>
      </c>
      <c r="AY186" s="172" t="e">
        <f>IF(VLOOKUP(T_BilanSocial[[#This Row],[NumL]],T_TraitDi[#Data],COLUMN(T_TraitDi[[#This Row],[Colonne18]]),FALSE)=0,"",TEXT(IFERROR(VLOOKUP(T_BilanSocial[[#This Row],[NumL]],T_TraitDi[#Data],COLUMN(T_TraitDi[[#This Row],[Colonne18]]),FALSE),""),"[hh]:mm"))</f>
        <v>#VALUE!</v>
      </c>
      <c r="AZ186" s="172" t="e">
        <f>IF(VLOOKUP(T_BilanSocial[[#This Row],[NumL]],T_TraitDi[#Data],COLUMN(T_TraitDi[[#This Row],[Colonne19]]),FALSE)=0,"",TEXT(IFERROR(VLOOKUP(T_BilanSocial[[#This Row],[NumL]],T_TraitDi[#Data],COLUMN(T_TraitDi[[#This Row],[Colonne19]]),FALSE),""),"[hh]:mm"))</f>
        <v>#VALUE!</v>
      </c>
      <c r="BA186" s="172" t="e">
        <f>IF(VLOOKUP(T_BilanSocial[[#This Row],[NumL]],T_TraitDi[#Data],COLUMN(T_TraitDi[[#This Row],[Colonne20]]),FALSE)=0,"",TEXT(IFERROR(VLOOKUP(T_BilanSocial[[#This Row],[NumL]],T_TraitDi[#Data],COLUMN(T_TraitDi[[#This Row],[Colonne20]]),FALSE),""),"[hh]:mm"))</f>
        <v>#VALUE!</v>
      </c>
      <c r="BB186" s="178" t="str">
        <f>IFERROR(VLOOKUP(T_BilanSocial[[#This Row],[NumL]],T_TraitDi[#Data],COLUMN(T_TraitDi[[#This Row],[Jeudi]]),FALSE),"")</f>
        <v/>
      </c>
      <c r="BC186" s="178" t="e">
        <f>IF(VLOOKUP(T_BilanSocial[[#This Row],[NumL]],T_TraitDi[#Data],COLUMN(T_TraitDi[[#This Row],[Colonne21]]),FALSE)=0,"",TEXT(IFERROR(VLOOKUP(T_BilanSocial[[#This Row],[NumL]],T_TraitDi[#Data],COLUMN(T_TraitDi[[#This Row],[Colonne21]]),FALSE),""),"[hh]:mm"))</f>
        <v>#VALUE!</v>
      </c>
      <c r="BD186" s="178" t="e">
        <f>IF(VLOOKUP(T_BilanSocial[[#This Row],[NumL]],T_TraitDi[#Data],COLUMN(T_TraitDi[[#This Row],[Colonne22]]),FALSE)=0,"",TEXT(IFERROR(VLOOKUP(T_BilanSocial[[#This Row],[NumL]],T_TraitDi[#Data],COLUMN(T_TraitDi[[#This Row],[Colonne22]]),FALSE),""),"[hh]:mm"))</f>
        <v>#VALUE!</v>
      </c>
      <c r="BE186" s="178" t="str">
        <f>IFERROR(VLOOKUP(T_BilanSocial[[#This Row],[NumL]],T_TraitDi[#Data],COLUMN(T_TraitDi[[#This Row],[Colonne23]]),FALSE),"")</f>
        <v/>
      </c>
      <c r="BF186" s="178" t="e">
        <f>IF(VLOOKUP(T_BilanSocial[[#This Row],[NumL]],T_TraitDi[#Data],COLUMN(T_TraitDi[[#This Row],[Colonne24]]),FALSE)=0,"",TEXT(IFERROR(VLOOKUP(T_BilanSocial[[#This Row],[NumL]],T_TraitDi[#Data],COLUMN(T_TraitDi[[#This Row],[Colonne24]]),FALSE),""),"[hh]:mm"))</f>
        <v>#VALUE!</v>
      </c>
      <c r="BG186" s="178" t="e">
        <f>IF(VLOOKUP(T_BilanSocial[[#This Row],[NumL]],T_TraitDi[#Data],COLUMN(T_TraitDi[[#This Row],[Colonne25]]),FALSE)=0,"",TEXT(IFERROR(VLOOKUP(T_BilanSocial[[#This Row],[NumL]],T_TraitDi[#Data],COLUMN(T_TraitDi[[#This Row],[Colonne25]]),FALSE),""),"[hh]:mm"))</f>
        <v>#VALUE!</v>
      </c>
      <c r="BH186" s="178" t="e">
        <f>IF(VLOOKUP(T_BilanSocial[[#This Row],[NumL]],T_TraitDi[#Data],COLUMN(T_TraitDi[[#This Row],[Colonne26]]),FALSE)=0,"",TEXT(IFERROR(VLOOKUP(T_BilanSocial[[#This Row],[NumL]],T_TraitDi[#Data],COLUMN(T_TraitDi[[#This Row],[Colonne26]]),FALSE),""),"[hh]:mm"))</f>
        <v>#VALUE!</v>
      </c>
      <c r="BI186" s="172" t="str">
        <f>IFERROR(VLOOKUP(T_BilanSocial[[#This Row],[NumL]],T_TraitDi[#Data],COLUMN(T_TraitDi[[#This Row],[Vendredi]]),FALSE),"")</f>
        <v/>
      </c>
      <c r="BJ186" s="172" t="e">
        <f>IF(VLOOKUP(T_BilanSocial[[#This Row],[NumL]],T_TraitDi[#Data],COLUMN(T_TraitDi[[#This Row],[Colonne27]]),FALSE)=0,"",TEXT(IFERROR(VLOOKUP(T_BilanSocial[[#This Row],[NumL]],T_TraitDi[#Data],COLUMN(T_TraitDi[[#This Row],[Colonne27]]),FALSE),""),"[hh]:mm"))</f>
        <v>#VALUE!</v>
      </c>
      <c r="BK186" s="172" t="e">
        <f>IF(VLOOKUP(T_BilanSocial[[#This Row],[NumL]],T_TraitDi[#Data],COLUMN(T_TraitDi[[#This Row],[Colonne28]]),FALSE)=0,"",TEXT(IFERROR(VLOOKUP(T_BilanSocial[[#This Row],[NumL]],T_TraitDi[#Data],COLUMN(T_TraitDi[[#This Row],[Colonne28]]),FALSE),""),"[hh]:mm"))</f>
        <v>#VALUE!</v>
      </c>
      <c r="BL186" s="172" t="str">
        <f>IFERROR(VLOOKUP(T_BilanSocial[[#This Row],[NumL]],T_TraitDi[#Data],COLUMN(T_TraitDi[[#This Row],[Colonne29]]),FALSE),"")</f>
        <v/>
      </c>
      <c r="BM186" s="172" t="e">
        <f>IF(VLOOKUP(T_BilanSocial[[#This Row],[NumL]],T_TraitDi[#Data],COLUMN(T_TraitDi[[#This Row],[Colonne30]]),FALSE)=0,"",TEXT(IFERROR(VLOOKUP(T_BilanSocial[[#This Row],[NumL]],T_TraitDi[#Data],COLUMN(T_TraitDi[[#This Row],[Colonne30]]),FALSE),""),"[hh]:mm"))</f>
        <v>#VALUE!</v>
      </c>
      <c r="BN186" s="172" t="e">
        <f>IF(VLOOKUP(T_BilanSocial[[#This Row],[NumL]],T_TraitDi[#Data],COLUMN(T_TraitDi[[#This Row],[Colonne31]]),FALSE)=0,"",TEXT(IFERROR(VLOOKUP(T_BilanSocial[[#This Row],[NumL]],T_TraitDi[#Data],COLUMN(T_TraitDi[[#This Row],[Colonne31]]),FALSE),""),"[hh]:mm"))</f>
        <v>#VALUE!</v>
      </c>
      <c r="BO186" s="172" t="e">
        <f>IF(VLOOKUP(T_BilanSocial[[#This Row],[NumL]],T_TraitDi[#Data],COLUMN(T_TraitDi[[#This Row],[Colonne32]]),FALSE)=0,"",TEXT(IFERROR(VLOOKUP(T_BilanSocial[[#This Row],[NumL]],T_TraitDi[#Data],COLUMN(T_TraitDi[[#This Row],[Colonne32]]),FALSE),""),"[hh]:mm"))</f>
        <v>#VALUE!</v>
      </c>
      <c r="BP186" s="172" t="e">
        <f>VLOOKUP(T_BilanSocial[[#This Row],[NumL]],T_TraitDi[#Data],COLUMN(T_TraitDi[NbJTot]),FALSE)</f>
        <v>#N/A</v>
      </c>
      <c r="BQ186" s="174" t="str">
        <f>IFERROR(VLOOKUP(T_BilanSocial[[#This Row],[NumL]],T_TraitDi[#Data],COLUMN(T_TraitDi[[#This Row],[NbJTW]]),FALSE),"")</f>
        <v/>
      </c>
      <c r="BR186" s="174" t="e">
        <f>IF(VLOOKUP(T_BilanSocial[[#This Row],[NumL]],T_TraitDi[#Data],COLUMN(T_TraitDi[[#This Row],[NbhTW]]),FALSE)=0,"",TEXT(IFERROR(VLOOKUP(T_BilanSocial[[#This Row],[NumL]],T_TraitDi[#Data],COLUMN(T_TraitDi[[#This Row],[NbhTW]]),FALSE),""),"[hh]:mm"))</f>
        <v>#VALUE!</v>
      </c>
      <c r="BS186" s="174" t="e">
        <f>IF(VLOOKUP(T_BilanSocial[[#This Row],[NumL]],T_TraitDi[#Data],COLUMN(T_TraitDi[[#This Row],[Nbhheb]]),FALSE)=0,"",TEXT(IFERROR(VLOOKUP($A186,T_TraitDi[#Data],COLUMN(T_TraitDi[[#This Row],[Nbhheb]]),FALSE),""),"[hh]:mm"))</f>
        <v>#VALUE!</v>
      </c>
      <c r="BT186" s="182" t="str">
        <f>IFERROR(VLOOKUP(VLOOKUP($A186,T_TraitDi[#Data],COLUMN(T_TraitDi[[#This Row],[Type1]]),FALSE),TypeTW,2,FALSE),"")</f>
        <v/>
      </c>
      <c r="BU186" s="182" t="str">
        <f>IFERROR(VLOOKUP($A186,T_TraitDi[#Data],COLUMN(T_TraitDi[[#This Row],[Rue1]]),FALSE),"")</f>
        <v/>
      </c>
      <c r="BV186" s="173" t="str">
        <f>IFERROR(VLOOKUP($A186,T_TraitDi[#Data],COLUMN(T_TraitDi[[#This Row],[CP1]]),FALSE),"")</f>
        <v/>
      </c>
      <c r="BW186" s="173" t="str">
        <f>IFERROR(VLOOKUP($A186,T_TraitDi[#Data],COLUMN(T_TraitDi[[#This Row],[VILLE1]]),FALSE),"")</f>
        <v/>
      </c>
      <c r="BX186" s="182" t="str">
        <f>IFERROR(VLOOKUP(VLOOKUP($A186,T_TraitDi[#Data],COLUMN(T_TraitDi[[#This Row],[Type2]]),FALSE),TypeTW,2,FALSE),"")</f>
        <v/>
      </c>
      <c r="BY186" s="182" t="str">
        <f>IFERROR(VLOOKUP($A186,T_TraitDi[#Data],COLUMN(T_TraitDi[[#This Row],[Rue2]]),FALSE),"")</f>
        <v/>
      </c>
      <c r="BZ186" s="173" t="str">
        <f>IFERROR(VLOOKUP($A186,T_TraitDi[#Data],COLUMN(T_TraitDi[[#This Row],[CP2]]),FALSE),"")</f>
        <v/>
      </c>
      <c r="CA186" s="173" t="str">
        <f>IFERROR(VLOOKUP($A186,T_TraitDi[#Data],COLUMN(T_TraitDi[[#This Row],[VILLE2]]),FALSE),"")</f>
        <v/>
      </c>
      <c r="CB186" s="182" t="str">
        <f>IF(VLOOKUP(T_BilanSocial[[#This Row],[NumL]],T_Equipement[#Data],COLUMN(T_Equipement[[#This Row],[PC]]),FALSE)="","Aucun équipement spécifique directement lié au télétravail",VLOOKUP(T_BilanSocial[[#This Row],[NumL]],T_Equipement[#Data],COLUMN(T_Equipement[[#This Row],[PC]]),FALSE))</f>
        <v xml:space="preserve">20-342	</v>
      </c>
      <c r="CC186" s="166" t="str">
        <f>IFERROR(IF(VLOOKUP(T_BilanSocial[[#This Row],[NumL]],T_TraitDi[#Data],COLUMN(T_TraitDi[[#This Row],[Plan]]),FALSE)="OK","Un planning spécifique de télétravail est annexé à la présente convention.",""),"")</f>
        <v/>
      </c>
      <c r="CD186" s="258" t="s">
        <v>3397</v>
      </c>
      <c r="CE186" s="164" t="e">
        <f>IF(VLOOKUP(T_BilanSocial[[#This Row],[NumL]],T_suiviDi[#Data],COLUMN(T_suiviDi[[#This Row],[Entité]]),FALSE)="","",VLOOKUP(T_BilanSocial[[#This Row],[NumL]],T_suiviDi[#Data],COLUMN(T_suiviDi[[#This Row],[Entité]]),FALSE))</f>
        <v>#VALUE!</v>
      </c>
      <c r="CF186" s="164" t="str">
        <f>IF(VLOOKUP(T_BilanSocial[[#This Row],[NumL]],T_Commission[#Data],COLUMN(T_Commission[[#This Row],[envoi confirm TW]]),FALSE)="","",VLOOKUP(T_BilanSocial[[#This Row],[NumL]],T_Commission[#Data],COLUMN(T_Commission[[#This Row],[envoi confirm TW]]),FALSE))</f>
        <v>Oui</v>
      </c>
      <c r="CG18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6" s="262" t="str">
        <f>T_BilanSocial[[#This Row],[Nom]]&amp;T_BilanSocial[[#This Row],[Prenom]]</f>
        <v/>
      </c>
      <c r="CI186" s="262">
        <f>VLOOKUP(T_BilanSocial[[#This Row],[NumL]],T_Commission[#Data],COLUMN(T_Commission[Commentaire]),FALSE)</f>
        <v>0</v>
      </c>
      <c r="CJ186" s="262" t="str">
        <f>IF(VLOOKUP(T_BilanSocial[[#This Row],[NumL]],T_Commission[#Data],COLUMN(T_Commission[Encadrant Email]),FALSE)="","",VLOOKUP(T_BilanSocial[[#This Row],[NumL]],T_Commission[#Data],COLUMN(T_Commission[Encadrant Email]),FALSE))</f>
        <v/>
      </c>
      <c r="CK186" s="340" t="str">
        <f>IF(T_BilanSocial[[#This Row],[Final]]&lt;&gt;"",VLOOKUP(T_BilanSocial[[#This Row],[NumL]],T_suiviDi[#Data],COLUMN((T_suiviDi[Statut])),FALSE),"")</f>
        <v/>
      </c>
    </row>
    <row r="187" spans="1:89" s="106" customFormat="1" ht="24.75" customHeight="1" x14ac:dyDescent="0.25">
      <c r="A187" s="160">
        <v>184</v>
      </c>
      <c r="B187" s="161" t="str">
        <f t="shared" si="22"/>
        <v/>
      </c>
      <c r="C187" s="162" t="s">
        <v>173</v>
      </c>
      <c r="D187" s="95" t="e">
        <f>IF(VLOOKUP(T_BilanSocial[[#This Row],[NumL]],T_TraitDi[#Data],COLUMN(T_TraitDi[[#This Row],[WebC]]),FALSE)="","",VLOOKUP(T_BilanSocial[[#This Row],[NumL]],T_TraitDi[#Data],COLUMN(T_TraitDi[[#This Row],[WebC]]),FALSE))</f>
        <v>#VALUE!</v>
      </c>
      <c r="E187" s="163" t="str">
        <f t="shared" si="23"/>
        <v>12 janvier 2021</v>
      </c>
      <c r="F187" s="96" t="str">
        <f>IF(T_BilanSocial[[#This Row],[Final]]&lt;&gt;"",VLOOKUP(T_BilanSocial[[#This Row],[NumL]],T_suiviDi[#Data],COLUMN((T_suiviDi[Civ.])),FALSE),"")</f>
        <v/>
      </c>
      <c r="G187" s="96" t="str">
        <f>IF(T_BilanSocial[[#This Row],[Final]]&lt;&gt;"",VLOOKUP(T_BilanSocial[[#This Row],[NumL]],T_suiviDi[#Data],COLUMN((T_suiviDi[Nom])),FALSE),"")</f>
        <v/>
      </c>
      <c r="H187" s="96" t="str">
        <f>IF(T_BilanSocial[[#This Row],[Final]]&lt;&gt;"",VLOOKUP(T_BilanSocial[[#This Row],[NumL]],T_suiviDi[#Data],COLUMN((T_suiviDi[Prénom])),FALSE),"")</f>
        <v/>
      </c>
      <c r="I187" s="96" t="str">
        <f>IFERROR(VLOOKUP(T_BilanSocial[[#This Row],[Zone_Bilan]],T_P_BilanSocial[#Data],COLUMN(T_P_BilanSocial[[#This Row],[Numero_SIHAM]]),FALSE),"")</f>
        <v/>
      </c>
      <c r="J187" s="96" t="str">
        <f>IFERROR(VLOOKUP(T_BilanSocial[[#This Row],[Zone_Bilan]],T_P_BilanSocial[#Data],COLUMN(T_P_BilanSocial[[#This Row],[Sexe]]),FALSE),"")</f>
        <v/>
      </c>
      <c r="K187" s="97" t="str">
        <f>IFERROR(VLOOKUP(T_BilanSocial[[#This Row],[Zone_Bilan]],T_P_BilanSocial[#Data],COLUMN(T_P_BilanSocial[[#This Row],[Categorie]]),FALSE),"")</f>
        <v/>
      </c>
      <c r="L187" s="96" t="str">
        <f>IFERROR(VLOOKUP(T_BilanSocial[[#This Row],[Zone_Bilan]],T_P_BilanSocial[#Data],COLUMN(T_P_BilanSocial[[#This Row],[Statut]]),FALSE),"")</f>
        <v/>
      </c>
      <c r="M187" s="96" t="str">
        <f>IFERROR(VLOOKUP(T_BilanSocial[[#This Row],[Zone_Bilan]],T_P_BilanSocial[#Data],COLUMN(T_P_BilanSocial[[#This Row],[Filiere]]),FALSE),"")</f>
        <v/>
      </c>
      <c r="N187" s="96" t="e">
        <f>VLOOKUP(T_BilanSocial[[#This Row],[NumL]],T_TraitDi[#Data],COLUMN(T_TraitDi[EXP]),FALSE)</f>
        <v>#N/A</v>
      </c>
      <c r="O187" s="96" t="e">
        <f>VLOOKUP(T_BilanSocial[[#This Row],[NumL]],T_TraitDi[#Data],COLUMN(T_TraitDi[FORM]),FALSE)</f>
        <v>#N/A</v>
      </c>
      <c r="P187" s="96" t="str">
        <f>IF(T_BilanSocial[[#This Row],[Final]]&lt;&gt;"",VLOOKUP(T_BilanSocial[[#This Row],[NumL]],T_suiviDi[#Data],COLUMN((T_suiviDi[Email])),FALSE),"")</f>
        <v/>
      </c>
      <c r="Q187" s="164" t="e">
        <f t="shared" si="28"/>
        <v>#N/A</v>
      </c>
      <c r="R187" s="164" t="e">
        <f t="shared" si="29"/>
        <v>#N/A</v>
      </c>
      <c r="S187" s="164" t="e">
        <f>IF(VLOOKUP(T_BilanSocial[[#This Row],[NumL]],T_suiviDi[#Data],COLUMN(T_suiviDi[[#This Row],[Service ]]),FALSE)="","",VLOOKUP(T_BilanSocial[[#This Row],[NumL]],T_suiviDi[#Data],COLUMN(T_suiviDi[[#This Row],[Service ]]),FALSE))</f>
        <v>#VALUE!</v>
      </c>
      <c r="T187" s="164" t="str">
        <f t="shared" si="24"/>
        <v>01 septembre 2021</v>
      </c>
      <c r="U187" s="164" t="str">
        <f t="shared" si="25"/>
        <v>30 novembre 2021</v>
      </c>
      <c r="V187" s="164" t="str">
        <f t="shared" si="32"/>
        <v>30 novembre 2021</v>
      </c>
      <c r="W187" s="176" t="e">
        <f>IF(VLOOKUP(T_BilanSocial[[#This Row],[NumL]],T_TraitDi[#Data],COLUMN(T_TraitDi[[#This Row],[M1]]),FALSE)="","",VLOOKUP(T_BilanSocial[[#This Row],[NumL]],T_TraitDi[#Data],COLUMN(T_TraitDi[[#This Row],[M1]]),FALSE))</f>
        <v>#VALUE!</v>
      </c>
      <c r="X187" s="176" t="e">
        <f>IF(VLOOKUP(T_BilanSocial[[#This Row],[NumL]],T_TraitDi[#Data],COLUMN(T_TraitDi[[#This Row],[M2]]),FALSE)="","",VLOOKUP(T_BilanSocial[[#This Row],[NumL]],T_TraitDi[#Data],COLUMN(T_TraitDi[[#This Row],[M2]]),FALSE))</f>
        <v>#VALUE!</v>
      </c>
      <c r="Y187" s="176" t="e">
        <f>IF(VLOOKUP(T_BilanSocial[[#This Row],[NumL]],T_TraitDi[#Data],COLUMN(T_TraitDi[[#This Row],[M3]]),FALSE)="","",VLOOKUP(T_BilanSocial[[#This Row],[NumL]],T_TraitDi[#Data],COLUMN(T_TraitDi[[#This Row],[M3]]),FALSE))</f>
        <v>#VALUE!</v>
      </c>
      <c r="Z187" s="176" t="str">
        <f t="shared" si="27"/>
        <v/>
      </c>
      <c r="AA187" s="176" t="e">
        <f>IF(VLOOKUP(T_BilanSocial[[#This Row],[NumL]],T_TraitDi[#Data],COLUMN(T_TraitDi[[#This Row],[M5]]),FALSE)="","",VLOOKUP(T_BilanSocial[[#This Row],[NumL]],T_TraitDi[#Data],COLUMN(T_TraitDi[[#This Row],[M5]]),FALSE))</f>
        <v>#VALUE!</v>
      </c>
      <c r="AB187" s="176" t="e">
        <f>IF(VLOOKUP(T_BilanSocial[[#This Row],[NumL]],T_TraitDi[#Data],COLUMN(T_TraitDi[[#This Row],[M6]]),FALSE)="","",VLOOKUP(T_BilanSocial[[#This Row],[NumL]],T_TraitDi[#Data],COLUMN(T_TraitDi[[#This Row],[M6]]),FALSE))</f>
        <v>#VALUE!</v>
      </c>
      <c r="AC187" s="165" t="e">
        <f t="shared" si="26"/>
        <v>#VALUE!</v>
      </c>
      <c r="AD187" s="188" t="str">
        <f>IFERROR(TEXT(VLOOKUP(T_BilanSocial[[#This Row],[NumL]],T_TraitDi[#Data],COLUMN(T_TraitDi[[#This Row],[Q2]]),FALSE),"###%"),"")</f>
        <v/>
      </c>
      <c r="AE187" s="97" t="e">
        <f>VLOOKUP(T_BilanSocial[[#This Row],[NumL]],T_TraitDi[#Data],COLUMN(T_TraitDi[[#This Row],[Reg Ponct]]),FALSE)</f>
        <v>#VALUE!</v>
      </c>
      <c r="AF187" s="97" t="e">
        <f>VLOOKUP(T_BilanSocial[NumL],T_TraitDi[#Data],COLUMN(T_TraitDi[[#This Row],[Jours flottants]]),FALSE)</f>
        <v>#VALUE!</v>
      </c>
      <c r="AG187" s="97" t="str">
        <f>IFERROR(VLOOKUP(T_BilanSocial[[#This Row],[NumL]],T_TraitDi[#Data],COLUMN(T_TraitDi[[#This Row],[Lundi]]),FALSE),"")</f>
        <v/>
      </c>
      <c r="AH187" s="172" t="e">
        <f>IF(VLOOKUP(T_BilanSocial[[#This Row],[NumL]],T_TraitDi[#Data],COLUMN(T_TraitDi[[#This Row],[Colonne3]]),FALSE)=0,"",TEXT(IFERROR(VLOOKUP(T_BilanSocial[[#This Row],[NumL]],T_TraitDi[#Data],COLUMN(T_TraitDi[[#This Row],[Colonne3]]),FALSE),""),"[hh]:mm"))</f>
        <v>#VALUE!</v>
      </c>
      <c r="AI187" s="172" t="e">
        <f>IF(VLOOKUP(T_BilanSocial[[#This Row],[NumL]],T_TraitDi[#Data],COLUMN(T_TraitDi[[#This Row],[Colonne4]]),FALSE)=0,"",TEXT(IFERROR(VLOOKUP(T_BilanSocial[[#This Row],[NumL]],T_TraitDi[#Data],COLUMN(T_TraitDi[[#This Row],[Colonne4]]),FALSE),""),"[hh]:mm"))</f>
        <v>#VALUE!</v>
      </c>
      <c r="AJ187" s="172" t="e">
        <f>IF(VLOOKUP(T_BilanSocial[[#This Row],[NumL]],T_TraitDi[#Data],COLUMN(T_TraitDi[[#This Row],[Colonne5]]),FALSE)=0,"",TEXT(IFERROR(VLOOKUP(T_BilanSocial[[#This Row],[NumL]],T_TraitDi[#Data],COLUMN(T_TraitDi[[#This Row],[Colonne5]]),FALSE),""),"[hh]:mm"))</f>
        <v>#VALUE!</v>
      </c>
      <c r="AK187" s="172" t="e">
        <f>IF(VLOOKUP(T_BilanSocial[[#This Row],[NumL]],T_TraitDi[#Data],COLUMN(T_TraitDi[[#This Row],[Colonne6]]),FALSE)=0,"",TEXT(IFERROR(VLOOKUP(T_BilanSocial[[#This Row],[NumL]],T_TraitDi[#Data],COLUMN(T_TraitDi[[#This Row],[Colonne6]]),FALSE),""),"[hh]:mm"))</f>
        <v>#VALUE!</v>
      </c>
      <c r="AL187" s="172" t="e">
        <f>IF(VLOOKUP(T_BilanSocial[[#This Row],[NumL]],T_TraitDi[#Data],COLUMN(T_TraitDi[[#This Row],[Colonne7]]),FALSE)=0,"",TEXT(IFERROR(VLOOKUP(T_BilanSocial[[#This Row],[NumL]],T_TraitDi[#Data],COLUMN(T_TraitDi[[#This Row],[Colonne7]]),FALSE),""),"[hh]:mm"))</f>
        <v>#VALUE!</v>
      </c>
      <c r="AM187" s="172" t="e">
        <f>IF(VLOOKUP(T_BilanSocial[[#This Row],[NumL]],T_TraitDi[#Data],COLUMN(T_TraitDi[[#This Row],[Colonne8]]),FALSE)=0,"",TEXT(IFERROR(VLOOKUP(T_BilanSocial[[#This Row],[NumL]],T_TraitDi[#Data],COLUMN(T_TraitDi[[#This Row],[Colonne8]]),FALSE),""),"[hh]:mm"))</f>
        <v>#VALUE!</v>
      </c>
      <c r="AN187" s="172" t="str">
        <f>IFERROR(VLOOKUP(T_BilanSocial[[#This Row],[NumL]],T_TraitDi[#Data],COLUMN(T_TraitDi[[#This Row],[Mardi]]),FALSE),"")</f>
        <v/>
      </c>
      <c r="AO187" s="172" t="e">
        <f>IF(VLOOKUP(T_BilanSocial[[#This Row],[NumL]],T_TraitDi[#Data],COLUMN(T_TraitDi[[#This Row],[Colonne1]]),FALSE)=0,"",TEXT(IFERROR(VLOOKUP(T_BilanSocial[[#This Row],[NumL]],T_TraitDi[#Data],COLUMN(T_TraitDi[[#This Row],[Colonne1]]),FALSE),""),"[hh]:mm"))</f>
        <v>#VALUE!</v>
      </c>
      <c r="AP187" s="172" t="e">
        <f>IF(VLOOKUP(T_BilanSocial[[#This Row],[NumL]],T_TraitDi[#Data],COLUMN(T_TraitDi[[#This Row],[Colonne9]]),FALSE)=0,"",TEXT(IFERROR(VLOOKUP(T_BilanSocial[[#This Row],[NumL]],T_TraitDi[#Data],COLUMN(T_TraitDi[[#This Row],[Colonne9]]),FALSE),""),"[hh]:mm"))</f>
        <v>#VALUE!</v>
      </c>
      <c r="AQ187" s="172" t="str">
        <f>IFERROR(VLOOKUP(T_BilanSocial[[#This Row],[NumL]],T_TraitDi[#Data],COLUMN(T_TraitDi[[#This Row],[Colonne10]]),FALSE),"")</f>
        <v/>
      </c>
      <c r="AR187" s="172" t="e">
        <f>IF(VLOOKUP(T_BilanSocial[[#This Row],[NumL]],T_TraitDi[#Data],COLUMN(T_TraitDi[[#This Row],[Colonne11]]),FALSE)=0,"",TEXT(IFERROR(VLOOKUP(T_BilanSocial[[#This Row],[NumL]],T_TraitDi[#Data],COLUMN(T_TraitDi[[#This Row],[Colonne11]]),FALSE),""),"[hh]:mm"))</f>
        <v>#VALUE!</v>
      </c>
      <c r="AS187" s="172" t="e">
        <f>IF(VLOOKUP(T_BilanSocial[[#This Row],[NumL]],T_TraitDi[#Data],COLUMN(T_TraitDi[[#This Row],[Colonne12]]),FALSE)=0,"",TEXT(IFERROR(VLOOKUP(T_BilanSocial[[#This Row],[NumL]],T_TraitDi[#Data],COLUMN(T_TraitDi[[#This Row],[Colonne12]]),FALSE),""),"[hh]:mm"))</f>
        <v>#VALUE!</v>
      </c>
      <c r="AT187" s="172" t="e">
        <f>IF(VLOOKUP(T_BilanSocial[[#This Row],[NumL]],T_TraitDi[#Data],COLUMN(T_TraitDi[[#This Row],[Colonne14]]),FALSE)=0,"",TEXT(IFERROR(VLOOKUP(T_BilanSocial[[#This Row],[NumL]],T_TraitDi[#Data],COLUMN(T_TraitDi[[#This Row],[Colonne14]]),FALSE),""),"[hh]:mm"))</f>
        <v>#VALUE!</v>
      </c>
      <c r="AU187" s="172" t="str">
        <f>IFERROR(VLOOKUP(T_BilanSocial[[#This Row],[NumL]],T_TraitDi[#Data],COLUMN(T_TraitDi[[#This Row],[Mercredi]]),FALSE),"")</f>
        <v/>
      </c>
      <c r="AV187" s="172" t="e">
        <f>IF(VLOOKUP(T_BilanSocial[[#This Row],[NumL]],T_TraitDi[#Data],COLUMN(T_TraitDi[[#This Row],[Colonne15]]),FALSE)=0,"",TEXT(IFERROR(VLOOKUP(T_BilanSocial[[#This Row],[NumL]],T_TraitDi[#Data],COLUMN(T_TraitDi[[#This Row],[Colonne15]]),FALSE),""),"[hh]:mm"))</f>
        <v>#VALUE!</v>
      </c>
      <c r="AW187" s="172" t="e">
        <f>IF(VLOOKUP(T_BilanSocial[[#This Row],[NumL]],T_TraitDi[#Data],COLUMN(T_TraitDi[[#This Row],[Colonne16]]),FALSE)=0,"",TEXT(IFERROR(VLOOKUP(T_BilanSocial[[#This Row],[NumL]],T_TraitDi[#Data],COLUMN(T_TraitDi[[#This Row],[Colonne16]]),FALSE),""),"[hh]:mm"))</f>
        <v>#VALUE!</v>
      </c>
      <c r="AX187" s="172" t="str">
        <f>IFERROR(VLOOKUP(T_BilanSocial[[#This Row],[NumL]],T_TraitDi[#Data],COLUMN(T_TraitDi[[#This Row],[Colonne17]]),FALSE),"")</f>
        <v/>
      </c>
      <c r="AY187" s="172" t="e">
        <f>IF(VLOOKUP(T_BilanSocial[[#This Row],[NumL]],T_TraitDi[#Data],COLUMN(T_TraitDi[[#This Row],[Colonne18]]),FALSE)=0,"",TEXT(IFERROR(VLOOKUP(T_BilanSocial[[#This Row],[NumL]],T_TraitDi[#Data],COLUMN(T_TraitDi[[#This Row],[Colonne18]]),FALSE),""),"[hh]:mm"))</f>
        <v>#VALUE!</v>
      </c>
      <c r="AZ187" s="172" t="e">
        <f>IF(VLOOKUP(T_BilanSocial[[#This Row],[NumL]],T_TraitDi[#Data],COLUMN(T_TraitDi[[#This Row],[Colonne19]]),FALSE)=0,"",TEXT(IFERROR(VLOOKUP(T_BilanSocial[[#This Row],[NumL]],T_TraitDi[#Data],COLUMN(T_TraitDi[[#This Row],[Colonne19]]),FALSE),""),"[hh]:mm"))</f>
        <v>#VALUE!</v>
      </c>
      <c r="BA187" s="172" t="e">
        <f>IF(VLOOKUP(T_BilanSocial[[#This Row],[NumL]],T_TraitDi[#Data],COLUMN(T_TraitDi[[#This Row],[Colonne20]]),FALSE)=0,"",TEXT(IFERROR(VLOOKUP(T_BilanSocial[[#This Row],[NumL]],T_TraitDi[#Data],COLUMN(T_TraitDi[[#This Row],[Colonne20]]),FALSE),""),"[hh]:mm"))</f>
        <v>#VALUE!</v>
      </c>
      <c r="BB187" s="178" t="str">
        <f>IFERROR(VLOOKUP(T_BilanSocial[[#This Row],[NumL]],T_TraitDi[#Data],COLUMN(T_TraitDi[[#This Row],[Jeudi]]),FALSE),"")</f>
        <v/>
      </c>
      <c r="BC187" s="178" t="e">
        <f>IF(VLOOKUP(T_BilanSocial[[#This Row],[NumL]],T_TraitDi[#Data],COLUMN(T_TraitDi[[#This Row],[Colonne21]]),FALSE)=0,"",TEXT(IFERROR(VLOOKUP(T_BilanSocial[[#This Row],[NumL]],T_TraitDi[#Data],COLUMN(T_TraitDi[[#This Row],[Colonne21]]),FALSE),""),"[hh]:mm"))</f>
        <v>#VALUE!</v>
      </c>
      <c r="BD187" s="178" t="e">
        <f>IF(VLOOKUP(T_BilanSocial[[#This Row],[NumL]],T_TraitDi[#Data],COLUMN(T_TraitDi[[#This Row],[Colonne22]]),FALSE)=0,"",TEXT(IFERROR(VLOOKUP(T_BilanSocial[[#This Row],[NumL]],T_TraitDi[#Data],COLUMN(T_TraitDi[[#This Row],[Colonne22]]),FALSE),""),"[hh]:mm"))</f>
        <v>#VALUE!</v>
      </c>
      <c r="BE187" s="178" t="str">
        <f>IFERROR(VLOOKUP(T_BilanSocial[[#This Row],[NumL]],T_TraitDi[#Data],COLUMN(T_TraitDi[[#This Row],[Colonne23]]),FALSE),"")</f>
        <v/>
      </c>
      <c r="BF187" s="178" t="e">
        <f>IF(VLOOKUP(T_BilanSocial[[#This Row],[NumL]],T_TraitDi[#Data],COLUMN(T_TraitDi[[#This Row],[Colonne24]]),FALSE)=0,"",TEXT(IFERROR(VLOOKUP(T_BilanSocial[[#This Row],[NumL]],T_TraitDi[#Data],COLUMN(T_TraitDi[[#This Row],[Colonne24]]),FALSE),""),"[hh]:mm"))</f>
        <v>#VALUE!</v>
      </c>
      <c r="BG187" s="178" t="e">
        <f>IF(VLOOKUP(T_BilanSocial[[#This Row],[NumL]],T_TraitDi[#Data],COLUMN(T_TraitDi[[#This Row],[Colonne25]]),FALSE)=0,"",TEXT(IFERROR(VLOOKUP(T_BilanSocial[[#This Row],[NumL]],T_TraitDi[#Data],COLUMN(T_TraitDi[[#This Row],[Colonne25]]),FALSE),""),"[hh]:mm"))</f>
        <v>#VALUE!</v>
      </c>
      <c r="BH187" s="178" t="e">
        <f>IF(VLOOKUP(T_BilanSocial[[#This Row],[NumL]],T_TraitDi[#Data],COLUMN(T_TraitDi[[#This Row],[Colonne26]]),FALSE)=0,"",TEXT(IFERROR(VLOOKUP(T_BilanSocial[[#This Row],[NumL]],T_TraitDi[#Data],COLUMN(T_TraitDi[[#This Row],[Colonne26]]),FALSE),""),"[hh]:mm"))</f>
        <v>#VALUE!</v>
      </c>
      <c r="BI187" s="172" t="str">
        <f>IFERROR(VLOOKUP(T_BilanSocial[[#This Row],[NumL]],T_TraitDi[#Data],COLUMN(T_TraitDi[[#This Row],[Vendredi]]),FALSE),"")</f>
        <v/>
      </c>
      <c r="BJ187" s="172" t="e">
        <f>IF(VLOOKUP(T_BilanSocial[[#This Row],[NumL]],T_TraitDi[#Data],COLUMN(T_TraitDi[[#This Row],[Colonne27]]),FALSE)=0,"",TEXT(IFERROR(VLOOKUP(T_BilanSocial[[#This Row],[NumL]],T_TraitDi[#Data],COLUMN(T_TraitDi[[#This Row],[Colonne27]]),FALSE),""),"[hh]:mm"))</f>
        <v>#VALUE!</v>
      </c>
      <c r="BK187" s="172" t="e">
        <f>IF(VLOOKUP(T_BilanSocial[[#This Row],[NumL]],T_TraitDi[#Data],COLUMN(T_TraitDi[[#This Row],[Colonne28]]),FALSE)=0,"",TEXT(IFERROR(VLOOKUP(T_BilanSocial[[#This Row],[NumL]],T_TraitDi[#Data],COLUMN(T_TraitDi[[#This Row],[Colonne28]]),FALSE),""),"[hh]:mm"))</f>
        <v>#VALUE!</v>
      </c>
      <c r="BL187" s="172" t="str">
        <f>IFERROR(VLOOKUP(T_BilanSocial[[#This Row],[NumL]],T_TraitDi[#Data],COLUMN(T_TraitDi[[#This Row],[Colonne29]]),FALSE),"")</f>
        <v/>
      </c>
      <c r="BM187" s="172" t="e">
        <f>IF(VLOOKUP(T_BilanSocial[[#This Row],[NumL]],T_TraitDi[#Data],COLUMN(T_TraitDi[[#This Row],[Colonne30]]),FALSE)=0,"",TEXT(IFERROR(VLOOKUP(T_BilanSocial[[#This Row],[NumL]],T_TraitDi[#Data],COLUMN(T_TraitDi[[#This Row],[Colonne30]]),FALSE),""),"[hh]:mm"))</f>
        <v>#VALUE!</v>
      </c>
      <c r="BN187" s="172" t="e">
        <f>IF(VLOOKUP(T_BilanSocial[[#This Row],[NumL]],T_TraitDi[#Data],COLUMN(T_TraitDi[[#This Row],[Colonne31]]),FALSE)=0,"",TEXT(IFERROR(VLOOKUP(T_BilanSocial[[#This Row],[NumL]],T_TraitDi[#Data],COLUMN(T_TraitDi[[#This Row],[Colonne31]]),FALSE),""),"[hh]:mm"))</f>
        <v>#VALUE!</v>
      </c>
      <c r="BO187" s="172" t="e">
        <f>IF(VLOOKUP(T_BilanSocial[[#This Row],[NumL]],T_TraitDi[#Data],COLUMN(T_TraitDi[[#This Row],[Colonne32]]),FALSE)=0,"",TEXT(IFERROR(VLOOKUP(T_BilanSocial[[#This Row],[NumL]],T_TraitDi[#Data],COLUMN(T_TraitDi[[#This Row],[Colonne32]]),FALSE),""),"[hh]:mm"))</f>
        <v>#VALUE!</v>
      </c>
      <c r="BP187" s="172" t="e">
        <f>VLOOKUP(T_BilanSocial[[#This Row],[NumL]],T_TraitDi[#Data],COLUMN(T_TraitDi[NbJTot]),FALSE)</f>
        <v>#N/A</v>
      </c>
      <c r="BQ187" s="174" t="str">
        <f>IFERROR(VLOOKUP(T_BilanSocial[[#This Row],[NumL]],T_TraitDi[#Data],COLUMN(T_TraitDi[[#This Row],[NbJTW]]),FALSE),"")</f>
        <v/>
      </c>
      <c r="BR187" s="174" t="e">
        <f>IF(VLOOKUP(T_BilanSocial[[#This Row],[NumL]],T_TraitDi[#Data],COLUMN(T_TraitDi[[#This Row],[NbhTW]]),FALSE)=0,"",TEXT(IFERROR(VLOOKUP(T_BilanSocial[[#This Row],[NumL]],T_TraitDi[#Data],COLUMN(T_TraitDi[[#This Row],[NbhTW]]),FALSE),""),"[hh]:mm"))</f>
        <v>#VALUE!</v>
      </c>
      <c r="BS187" s="174" t="e">
        <f>IF(VLOOKUP(T_BilanSocial[[#This Row],[NumL]],T_TraitDi[#Data],COLUMN(T_TraitDi[[#This Row],[Nbhheb]]),FALSE)=0,"",TEXT(IFERROR(VLOOKUP($A187,T_TraitDi[#Data],COLUMN(T_TraitDi[[#This Row],[Nbhheb]]),FALSE),""),"[hh]:mm"))</f>
        <v>#VALUE!</v>
      </c>
      <c r="BT187" s="182" t="str">
        <f>IFERROR(VLOOKUP(VLOOKUP($A187,T_TraitDi[#Data],COLUMN(T_TraitDi[[#This Row],[Type1]]),FALSE),TypeTW,2,FALSE),"")</f>
        <v/>
      </c>
      <c r="BU187" s="182" t="str">
        <f>IFERROR(VLOOKUP($A187,T_TraitDi[#Data],COLUMN(T_TraitDi[[#This Row],[Rue1]]),FALSE),"")</f>
        <v/>
      </c>
      <c r="BV187" s="173" t="str">
        <f>IFERROR(VLOOKUP($A187,T_TraitDi[#Data],COLUMN(T_TraitDi[[#This Row],[CP1]]),FALSE),"")</f>
        <v/>
      </c>
      <c r="BW187" s="173" t="str">
        <f>IFERROR(VLOOKUP($A187,T_TraitDi[#Data],COLUMN(T_TraitDi[[#This Row],[VILLE1]]),FALSE),"")</f>
        <v/>
      </c>
      <c r="BX187" s="182" t="str">
        <f>IFERROR(VLOOKUP(VLOOKUP($A187,T_TraitDi[#Data],COLUMN(T_TraitDi[[#This Row],[Type2]]),FALSE),TypeTW,2,FALSE),"")</f>
        <v/>
      </c>
      <c r="BY187" s="182" t="str">
        <f>IFERROR(VLOOKUP($A187,T_TraitDi[#Data],COLUMN(T_TraitDi[[#This Row],[Rue2]]),FALSE),"")</f>
        <v/>
      </c>
      <c r="BZ187" s="173" t="str">
        <f>IFERROR(VLOOKUP($A187,T_TraitDi[#Data],COLUMN(T_TraitDi[[#This Row],[CP2]]),FALSE),"")</f>
        <v/>
      </c>
      <c r="CA187" s="173" t="str">
        <f>IFERROR(VLOOKUP($A187,T_TraitDi[#Data],COLUMN(T_TraitDi[[#This Row],[VILLE2]]),FALSE),"")</f>
        <v/>
      </c>
      <c r="CB187" s="182" t="str">
        <f>IF(VLOOKUP(T_BilanSocial[[#This Row],[NumL]],T_Equipement[#Data],COLUMN(T_Equipement[[#This Row],[PC]]),FALSE)="","Aucun équipement spécifique directement lié au télétravail",VLOOKUP(T_BilanSocial[[#This Row],[NumL]],T_Equipement[#Data],COLUMN(T_Equipement[[#This Row],[PC]]),FALSE))</f>
        <v xml:space="preserve">20-328	</v>
      </c>
      <c r="CC187" s="166" t="str">
        <f>IFERROR(IF(VLOOKUP(T_BilanSocial[[#This Row],[NumL]],T_TraitDi[#Data],COLUMN(T_TraitDi[[#This Row],[Plan]]),FALSE)="OK","Un planning spécifique de télétravail est annexé à la présente convention.",""),"")</f>
        <v/>
      </c>
      <c r="CD187" s="258" t="s">
        <v>3388</v>
      </c>
      <c r="CE187" s="164" t="e">
        <f>IF(VLOOKUP(T_BilanSocial[[#This Row],[NumL]],T_suiviDi[#Data],COLUMN(T_suiviDi[[#This Row],[Entité]]),FALSE)="","",VLOOKUP(T_BilanSocial[[#This Row],[NumL]],T_suiviDi[#Data],COLUMN(T_suiviDi[[#This Row],[Entité]]),FALSE))</f>
        <v>#VALUE!</v>
      </c>
      <c r="CF187" s="164" t="str">
        <f>IF(VLOOKUP(T_BilanSocial[[#This Row],[NumL]],T_Commission[#Data],COLUMN(T_Commission[[#This Row],[envoi confirm TW]]),FALSE)="","",VLOOKUP(T_BilanSocial[[#This Row],[NumL]],T_Commission[#Data],COLUMN(T_Commission[[#This Row],[envoi confirm TW]]),FALSE))</f>
        <v>Oui</v>
      </c>
      <c r="CG18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7" s="262" t="str">
        <f>T_BilanSocial[[#This Row],[Nom]]&amp;T_BilanSocial[[#This Row],[Prenom]]</f>
        <v/>
      </c>
      <c r="CI187" s="262">
        <f>VLOOKUP(T_BilanSocial[[#This Row],[NumL]],T_Commission[#Data],COLUMN(T_Commission[Commentaire]),FALSE)</f>
        <v>0</v>
      </c>
      <c r="CJ187" s="262" t="str">
        <f>IF(VLOOKUP(T_BilanSocial[[#This Row],[NumL]],T_Commission[#Data],COLUMN(T_Commission[Encadrant Email]),FALSE)="","",VLOOKUP(T_BilanSocial[[#This Row],[NumL]],T_Commission[#Data],COLUMN(T_Commission[Encadrant Email]),FALSE))</f>
        <v/>
      </c>
      <c r="CK187" s="340" t="str">
        <f>IF(T_BilanSocial[[#This Row],[Final]]&lt;&gt;"",VLOOKUP(T_BilanSocial[[#This Row],[NumL]],T_suiviDi[#Data],COLUMN((T_suiviDi[Statut])),FALSE),"")</f>
        <v/>
      </c>
    </row>
    <row r="188" spans="1:89" s="106" customFormat="1" ht="24.75" customHeight="1" x14ac:dyDescent="0.25">
      <c r="A188" s="160">
        <v>185</v>
      </c>
      <c r="B188" s="161" t="str">
        <f t="shared" si="22"/>
        <v/>
      </c>
      <c r="C188" s="162" t="s">
        <v>141</v>
      </c>
      <c r="D188" s="95" t="e">
        <f>IF(VLOOKUP(T_BilanSocial[[#This Row],[NumL]],T_TraitDi[#Data],COLUMN(T_TraitDi[[#This Row],[WebC]]),FALSE)="","",VLOOKUP(T_BilanSocial[[#This Row],[NumL]],T_TraitDi[#Data],COLUMN(T_TraitDi[[#This Row],[WebC]]),FALSE))</f>
        <v>#VALUE!</v>
      </c>
      <c r="E188" s="163" t="str">
        <f t="shared" si="23"/>
        <v>12 janvier 2021</v>
      </c>
      <c r="F188" s="96" t="str">
        <f>IF(T_BilanSocial[[#This Row],[Final]]&lt;&gt;"",VLOOKUP(T_BilanSocial[[#This Row],[NumL]],T_suiviDi[#Data],COLUMN((T_suiviDi[Civ.])),FALSE),"")</f>
        <v/>
      </c>
      <c r="G188" s="96" t="str">
        <f>IF(T_BilanSocial[[#This Row],[Final]]&lt;&gt;"",VLOOKUP(T_BilanSocial[[#This Row],[NumL]],T_suiviDi[#Data],COLUMN((T_suiviDi[Nom])),FALSE),"")</f>
        <v/>
      </c>
      <c r="H188" s="96" t="str">
        <f>IF(T_BilanSocial[[#This Row],[Final]]&lt;&gt;"",VLOOKUP(T_BilanSocial[[#This Row],[NumL]],T_suiviDi[#Data],COLUMN((T_suiviDi[Prénom])),FALSE),"")</f>
        <v/>
      </c>
      <c r="I188" s="96" t="str">
        <f>IFERROR(VLOOKUP(T_BilanSocial[[#This Row],[Zone_Bilan]],T_P_BilanSocial[#Data],COLUMN(T_P_BilanSocial[[#This Row],[Numero_SIHAM]]),FALSE),"")</f>
        <v/>
      </c>
      <c r="J188" s="96" t="str">
        <f>IFERROR(VLOOKUP(T_BilanSocial[[#This Row],[Zone_Bilan]],T_P_BilanSocial[#Data],COLUMN(T_P_BilanSocial[[#This Row],[Sexe]]),FALSE),"")</f>
        <v/>
      </c>
      <c r="K188" s="97" t="str">
        <f>IFERROR(VLOOKUP(T_BilanSocial[[#This Row],[Zone_Bilan]],T_P_BilanSocial[#Data],COLUMN(T_P_BilanSocial[[#This Row],[Categorie]]),FALSE),"")</f>
        <v/>
      </c>
      <c r="L188" s="96" t="str">
        <f>IFERROR(VLOOKUP(T_BilanSocial[[#This Row],[Zone_Bilan]],T_P_BilanSocial[#Data],COLUMN(T_P_BilanSocial[[#This Row],[Statut]]),FALSE),"")</f>
        <v/>
      </c>
      <c r="M188" s="96" t="str">
        <f>IFERROR(VLOOKUP(T_BilanSocial[[#This Row],[Zone_Bilan]],T_P_BilanSocial[#Data],COLUMN(T_P_BilanSocial[[#This Row],[Filiere]]),FALSE),"")</f>
        <v/>
      </c>
      <c r="N188" s="96" t="e">
        <f>VLOOKUP(T_BilanSocial[[#This Row],[NumL]],T_TraitDi[#Data],COLUMN(T_TraitDi[EXP]),FALSE)</f>
        <v>#N/A</v>
      </c>
      <c r="O188" s="96" t="e">
        <f>VLOOKUP(T_BilanSocial[[#This Row],[NumL]],T_TraitDi[#Data],COLUMN(T_TraitDi[FORM]),FALSE)</f>
        <v>#N/A</v>
      </c>
      <c r="P188" s="96" t="str">
        <f>IF(T_BilanSocial[[#This Row],[Final]]&lt;&gt;"",VLOOKUP(T_BilanSocial[[#This Row],[NumL]],T_suiviDi[#Data],COLUMN((T_suiviDi[Email])),FALSE),"")</f>
        <v/>
      </c>
      <c r="Q188" s="164" t="e">
        <f t="shared" si="28"/>
        <v>#N/A</v>
      </c>
      <c r="R188" s="164" t="e">
        <f t="shared" si="29"/>
        <v>#N/A</v>
      </c>
      <c r="S188" s="164" t="e">
        <f>IF(VLOOKUP(T_BilanSocial[[#This Row],[NumL]],T_suiviDi[#Data],COLUMN(T_suiviDi[[#This Row],[Service ]]),FALSE)="","",VLOOKUP(T_BilanSocial[[#This Row],[NumL]],T_suiviDi[#Data],COLUMN(T_suiviDi[[#This Row],[Service ]]),FALSE))</f>
        <v>#VALUE!</v>
      </c>
      <c r="T188" s="164" t="str">
        <f t="shared" si="24"/>
        <v>01 septembre 2021</v>
      </c>
      <c r="U188" s="164" t="str">
        <f t="shared" si="25"/>
        <v>30 novembre 2021</v>
      </c>
      <c r="V188" s="164" t="str">
        <f t="shared" si="32"/>
        <v>30 novembre 2021</v>
      </c>
      <c r="W188" s="176" t="e">
        <f>IF(VLOOKUP(T_BilanSocial[[#This Row],[NumL]],T_TraitDi[#Data],COLUMN(T_TraitDi[[#This Row],[M1]]),FALSE)="","",VLOOKUP(T_BilanSocial[[#This Row],[NumL]],T_TraitDi[#Data],COLUMN(T_TraitDi[[#This Row],[M1]]),FALSE))</f>
        <v>#VALUE!</v>
      </c>
      <c r="X188" s="176" t="e">
        <f>IF(VLOOKUP(T_BilanSocial[[#This Row],[NumL]],T_TraitDi[#Data],COLUMN(T_TraitDi[[#This Row],[M2]]),FALSE)="","",VLOOKUP(T_BilanSocial[[#This Row],[NumL]],T_TraitDi[#Data],COLUMN(T_TraitDi[[#This Row],[M2]]),FALSE))</f>
        <v>#VALUE!</v>
      </c>
      <c r="Y188" s="176" t="e">
        <f>IF(VLOOKUP(T_BilanSocial[[#This Row],[NumL]],T_TraitDi[#Data],COLUMN(T_TraitDi[[#This Row],[M3]]),FALSE)="","",VLOOKUP(T_BilanSocial[[#This Row],[NumL]],T_TraitDi[#Data],COLUMN(T_TraitDi[[#This Row],[M3]]),FALSE))</f>
        <v>#VALUE!</v>
      </c>
      <c r="Z188" s="176" t="str">
        <f t="shared" si="27"/>
        <v/>
      </c>
      <c r="AA188" s="176" t="e">
        <f>IF(VLOOKUP(T_BilanSocial[[#This Row],[NumL]],T_TraitDi[#Data],COLUMN(T_TraitDi[[#This Row],[M5]]),FALSE)="","",VLOOKUP(T_BilanSocial[[#This Row],[NumL]],T_TraitDi[#Data],COLUMN(T_TraitDi[[#This Row],[M5]]),FALSE))</f>
        <v>#VALUE!</v>
      </c>
      <c r="AB188" s="176" t="e">
        <f>IF(VLOOKUP(T_BilanSocial[[#This Row],[NumL]],T_TraitDi[#Data],COLUMN(T_TraitDi[[#This Row],[M6]]),FALSE)="","",VLOOKUP(T_BilanSocial[[#This Row],[NumL]],T_TraitDi[#Data],COLUMN(T_TraitDi[[#This Row],[M6]]),FALSE))</f>
        <v>#VALUE!</v>
      </c>
      <c r="AC188" s="165" t="e">
        <f t="shared" si="26"/>
        <v>#VALUE!</v>
      </c>
      <c r="AD188" s="188" t="str">
        <f>IFERROR(TEXT(VLOOKUP(T_BilanSocial[[#This Row],[NumL]],T_TraitDi[#Data],COLUMN(T_TraitDi[[#This Row],[Q2]]),FALSE),"###%"),"")</f>
        <v/>
      </c>
      <c r="AE188" s="97" t="e">
        <f>VLOOKUP(T_BilanSocial[[#This Row],[NumL]],T_TraitDi[#Data],COLUMN(T_TraitDi[[#This Row],[Reg Ponct]]),FALSE)</f>
        <v>#VALUE!</v>
      </c>
      <c r="AF188" s="97" t="e">
        <f>VLOOKUP(T_BilanSocial[NumL],T_TraitDi[#Data],COLUMN(T_TraitDi[[#This Row],[Jours flottants]]),FALSE)</f>
        <v>#VALUE!</v>
      </c>
      <c r="AG188" s="97" t="str">
        <f>IFERROR(VLOOKUP(T_BilanSocial[[#This Row],[NumL]],T_TraitDi[#Data],COLUMN(T_TraitDi[[#This Row],[Lundi]]),FALSE),"")</f>
        <v/>
      </c>
      <c r="AH188" s="172" t="e">
        <f>IF(VLOOKUP(T_BilanSocial[[#This Row],[NumL]],T_TraitDi[#Data],COLUMN(T_TraitDi[[#This Row],[Colonne3]]),FALSE)=0,"",TEXT(IFERROR(VLOOKUP(T_BilanSocial[[#This Row],[NumL]],T_TraitDi[#Data],COLUMN(T_TraitDi[[#This Row],[Colonne3]]),FALSE),""),"[hh]:mm"))</f>
        <v>#VALUE!</v>
      </c>
      <c r="AI188" s="172" t="e">
        <f>IF(VLOOKUP(T_BilanSocial[[#This Row],[NumL]],T_TraitDi[#Data],COLUMN(T_TraitDi[[#This Row],[Colonne4]]),FALSE)=0,"",TEXT(IFERROR(VLOOKUP(T_BilanSocial[[#This Row],[NumL]],T_TraitDi[#Data],COLUMN(T_TraitDi[[#This Row],[Colonne4]]),FALSE),""),"[hh]:mm"))</f>
        <v>#VALUE!</v>
      </c>
      <c r="AJ188" s="172" t="e">
        <f>IF(VLOOKUP(T_BilanSocial[[#This Row],[NumL]],T_TraitDi[#Data],COLUMN(T_TraitDi[[#This Row],[Colonne5]]),FALSE)=0,"",TEXT(IFERROR(VLOOKUP(T_BilanSocial[[#This Row],[NumL]],T_TraitDi[#Data],COLUMN(T_TraitDi[[#This Row],[Colonne5]]),FALSE),""),"[hh]:mm"))</f>
        <v>#VALUE!</v>
      </c>
      <c r="AK188" s="172" t="e">
        <f>IF(VLOOKUP(T_BilanSocial[[#This Row],[NumL]],T_TraitDi[#Data],COLUMN(T_TraitDi[[#This Row],[Colonne6]]),FALSE)=0,"",TEXT(IFERROR(VLOOKUP(T_BilanSocial[[#This Row],[NumL]],T_TraitDi[#Data],COLUMN(T_TraitDi[[#This Row],[Colonne6]]),FALSE),""),"[hh]:mm"))</f>
        <v>#VALUE!</v>
      </c>
      <c r="AL188" s="172" t="e">
        <f>IF(VLOOKUP(T_BilanSocial[[#This Row],[NumL]],T_TraitDi[#Data],COLUMN(T_TraitDi[[#This Row],[Colonne7]]),FALSE)=0,"",TEXT(IFERROR(VLOOKUP(T_BilanSocial[[#This Row],[NumL]],T_TraitDi[#Data],COLUMN(T_TraitDi[[#This Row],[Colonne7]]),FALSE),""),"[hh]:mm"))</f>
        <v>#VALUE!</v>
      </c>
      <c r="AM188" s="172" t="e">
        <f>IF(VLOOKUP(T_BilanSocial[[#This Row],[NumL]],T_TraitDi[#Data],COLUMN(T_TraitDi[[#This Row],[Colonne8]]),FALSE)=0,"",TEXT(IFERROR(VLOOKUP(T_BilanSocial[[#This Row],[NumL]],T_TraitDi[#Data],COLUMN(T_TraitDi[[#This Row],[Colonne8]]),FALSE),""),"[hh]:mm"))</f>
        <v>#VALUE!</v>
      </c>
      <c r="AN188" s="172" t="str">
        <f>IFERROR(VLOOKUP(T_BilanSocial[[#This Row],[NumL]],T_TraitDi[#Data],COLUMN(T_TraitDi[[#This Row],[Mardi]]),FALSE),"")</f>
        <v/>
      </c>
      <c r="AO188" s="172" t="e">
        <f>IF(VLOOKUP(T_BilanSocial[[#This Row],[NumL]],T_TraitDi[#Data],COLUMN(T_TraitDi[[#This Row],[Colonne1]]),FALSE)=0,"",TEXT(IFERROR(VLOOKUP(T_BilanSocial[[#This Row],[NumL]],T_TraitDi[#Data],COLUMN(T_TraitDi[[#This Row],[Colonne1]]),FALSE),""),"[hh]:mm"))</f>
        <v>#VALUE!</v>
      </c>
      <c r="AP188" s="172" t="e">
        <f>IF(VLOOKUP(T_BilanSocial[[#This Row],[NumL]],T_TraitDi[#Data],COLUMN(T_TraitDi[[#This Row],[Colonne9]]),FALSE)=0,"",TEXT(IFERROR(VLOOKUP(T_BilanSocial[[#This Row],[NumL]],T_TraitDi[#Data],COLUMN(T_TraitDi[[#This Row],[Colonne9]]),FALSE),""),"[hh]:mm"))</f>
        <v>#VALUE!</v>
      </c>
      <c r="AQ188" s="172" t="str">
        <f>IFERROR(VLOOKUP(T_BilanSocial[[#This Row],[NumL]],T_TraitDi[#Data],COLUMN(T_TraitDi[[#This Row],[Colonne10]]),FALSE),"")</f>
        <v/>
      </c>
      <c r="AR188" s="172" t="e">
        <f>IF(VLOOKUP(T_BilanSocial[[#This Row],[NumL]],T_TraitDi[#Data],COLUMN(T_TraitDi[[#This Row],[Colonne11]]),FALSE)=0,"",TEXT(IFERROR(VLOOKUP(T_BilanSocial[[#This Row],[NumL]],T_TraitDi[#Data],COLUMN(T_TraitDi[[#This Row],[Colonne11]]),FALSE),""),"[hh]:mm"))</f>
        <v>#VALUE!</v>
      </c>
      <c r="AS188" s="172" t="e">
        <f>IF(VLOOKUP(T_BilanSocial[[#This Row],[NumL]],T_TraitDi[#Data],COLUMN(T_TraitDi[[#This Row],[Colonne12]]),FALSE)=0,"",TEXT(IFERROR(VLOOKUP(T_BilanSocial[[#This Row],[NumL]],T_TraitDi[#Data],COLUMN(T_TraitDi[[#This Row],[Colonne12]]),FALSE),""),"[hh]:mm"))</f>
        <v>#VALUE!</v>
      </c>
      <c r="AT188" s="172" t="e">
        <f>IF(VLOOKUP(T_BilanSocial[[#This Row],[NumL]],T_TraitDi[#Data],COLUMN(T_TraitDi[[#This Row],[Colonne14]]),FALSE)=0,"",TEXT(IFERROR(VLOOKUP(T_BilanSocial[[#This Row],[NumL]],T_TraitDi[#Data],COLUMN(T_TraitDi[[#This Row],[Colonne14]]),FALSE),""),"[hh]:mm"))</f>
        <v>#VALUE!</v>
      </c>
      <c r="AU188" s="172" t="str">
        <f>IFERROR(VLOOKUP(T_BilanSocial[[#This Row],[NumL]],T_TraitDi[#Data],COLUMN(T_TraitDi[[#This Row],[Mercredi]]),FALSE),"")</f>
        <v/>
      </c>
      <c r="AV188" s="172" t="e">
        <f>IF(VLOOKUP(T_BilanSocial[[#This Row],[NumL]],T_TraitDi[#Data],COLUMN(T_TraitDi[[#This Row],[Colonne15]]),FALSE)=0,"",TEXT(IFERROR(VLOOKUP(T_BilanSocial[[#This Row],[NumL]],T_TraitDi[#Data],COLUMN(T_TraitDi[[#This Row],[Colonne15]]),FALSE),""),"[hh]:mm"))</f>
        <v>#VALUE!</v>
      </c>
      <c r="AW188" s="172" t="e">
        <f>IF(VLOOKUP(T_BilanSocial[[#This Row],[NumL]],T_TraitDi[#Data],COLUMN(T_TraitDi[[#This Row],[Colonne16]]),FALSE)=0,"",TEXT(IFERROR(VLOOKUP(T_BilanSocial[[#This Row],[NumL]],T_TraitDi[#Data],COLUMN(T_TraitDi[[#This Row],[Colonne16]]),FALSE),""),"[hh]:mm"))</f>
        <v>#VALUE!</v>
      </c>
      <c r="AX188" s="172" t="str">
        <f>IFERROR(VLOOKUP(T_BilanSocial[[#This Row],[NumL]],T_TraitDi[#Data],COLUMN(T_TraitDi[[#This Row],[Colonne17]]),FALSE),"")</f>
        <v/>
      </c>
      <c r="AY188" s="172" t="e">
        <f>IF(VLOOKUP(T_BilanSocial[[#This Row],[NumL]],T_TraitDi[#Data],COLUMN(T_TraitDi[[#This Row],[Colonne18]]),FALSE)=0,"",TEXT(IFERROR(VLOOKUP(T_BilanSocial[[#This Row],[NumL]],T_TraitDi[#Data],COLUMN(T_TraitDi[[#This Row],[Colonne18]]),FALSE),""),"[hh]:mm"))</f>
        <v>#VALUE!</v>
      </c>
      <c r="AZ188" s="172" t="e">
        <f>IF(VLOOKUP(T_BilanSocial[[#This Row],[NumL]],T_TraitDi[#Data],COLUMN(T_TraitDi[[#This Row],[Colonne19]]),FALSE)=0,"",TEXT(IFERROR(VLOOKUP(T_BilanSocial[[#This Row],[NumL]],T_TraitDi[#Data],COLUMN(T_TraitDi[[#This Row],[Colonne19]]),FALSE),""),"[hh]:mm"))</f>
        <v>#VALUE!</v>
      </c>
      <c r="BA188" s="172" t="e">
        <f>IF(VLOOKUP(T_BilanSocial[[#This Row],[NumL]],T_TraitDi[#Data],COLUMN(T_TraitDi[[#This Row],[Colonne20]]),FALSE)=0,"",TEXT(IFERROR(VLOOKUP(T_BilanSocial[[#This Row],[NumL]],T_TraitDi[#Data],COLUMN(T_TraitDi[[#This Row],[Colonne20]]),FALSE),""),"[hh]:mm"))</f>
        <v>#VALUE!</v>
      </c>
      <c r="BB188" s="178" t="str">
        <f>IFERROR(VLOOKUP(T_BilanSocial[[#This Row],[NumL]],T_TraitDi[#Data],COLUMN(T_TraitDi[[#This Row],[Jeudi]]),FALSE),"")</f>
        <v/>
      </c>
      <c r="BC188" s="178" t="e">
        <f>IF(VLOOKUP(T_BilanSocial[[#This Row],[NumL]],T_TraitDi[#Data],COLUMN(T_TraitDi[[#This Row],[Colonne21]]),FALSE)=0,"",TEXT(IFERROR(VLOOKUP(T_BilanSocial[[#This Row],[NumL]],T_TraitDi[#Data],COLUMN(T_TraitDi[[#This Row],[Colonne21]]),FALSE),""),"[hh]:mm"))</f>
        <v>#VALUE!</v>
      </c>
      <c r="BD188" s="178" t="e">
        <f>IF(VLOOKUP(T_BilanSocial[[#This Row],[NumL]],T_TraitDi[#Data],COLUMN(T_TraitDi[[#This Row],[Colonne22]]),FALSE)=0,"",TEXT(IFERROR(VLOOKUP(T_BilanSocial[[#This Row],[NumL]],T_TraitDi[#Data],COLUMN(T_TraitDi[[#This Row],[Colonne22]]),FALSE),""),"[hh]:mm"))</f>
        <v>#VALUE!</v>
      </c>
      <c r="BE188" s="178" t="str">
        <f>IFERROR(VLOOKUP(T_BilanSocial[[#This Row],[NumL]],T_TraitDi[#Data],COLUMN(T_TraitDi[[#This Row],[Colonne23]]),FALSE),"")</f>
        <v/>
      </c>
      <c r="BF188" s="178" t="e">
        <f>IF(VLOOKUP(T_BilanSocial[[#This Row],[NumL]],T_TraitDi[#Data],COLUMN(T_TraitDi[[#This Row],[Colonne24]]),FALSE)=0,"",TEXT(IFERROR(VLOOKUP(T_BilanSocial[[#This Row],[NumL]],T_TraitDi[#Data],COLUMN(T_TraitDi[[#This Row],[Colonne24]]),FALSE),""),"[hh]:mm"))</f>
        <v>#VALUE!</v>
      </c>
      <c r="BG188" s="178" t="e">
        <f>IF(VLOOKUP(T_BilanSocial[[#This Row],[NumL]],T_TraitDi[#Data],COLUMN(T_TraitDi[[#This Row],[Colonne25]]),FALSE)=0,"",TEXT(IFERROR(VLOOKUP(T_BilanSocial[[#This Row],[NumL]],T_TraitDi[#Data],COLUMN(T_TraitDi[[#This Row],[Colonne25]]),FALSE),""),"[hh]:mm"))</f>
        <v>#VALUE!</v>
      </c>
      <c r="BH188" s="178" t="e">
        <f>IF(VLOOKUP(T_BilanSocial[[#This Row],[NumL]],T_TraitDi[#Data],COLUMN(T_TraitDi[[#This Row],[Colonne26]]),FALSE)=0,"",TEXT(IFERROR(VLOOKUP(T_BilanSocial[[#This Row],[NumL]],T_TraitDi[#Data],COLUMN(T_TraitDi[[#This Row],[Colonne26]]),FALSE),""),"[hh]:mm"))</f>
        <v>#VALUE!</v>
      </c>
      <c r="BI188" s="172" t="str">
        <f>IFERROR(VLOOKUP(T_BilanSocial[[#This Row],[NumL]],T_TraitDi[#Data],COLUMN(T_TraitDi[[#This Row],[Vendredi]]),FALSE),"")</f>
        <v/>
      </c>
      <c r="BJ188" s="172" t="e">
        <f>IF(VLOOKUP(T_BilanSocial[[#This Row],[NumL]],T_TraitDi[#Data],COLUMN(T_TraitDi[[#This Row],[Colonne27]]),FALSE)=0,"",TEXT(IFERROR(VLOOKUP(T_BilanSocial[[#This Row],[NumL]],T_TraitDi[#Data],COLUMN(T_TraitDi[[#This Row],[Colonne27]]),FALSE),""),"[hh]:mm"))</f>
        <v>#VALUE!</v>
      </c>
      <c r="BK188" s="172" t="e">
        <f>IF(VLOOKUP(T_BilanSocial[[#This Row],[NumL]],T_TraitDi[#Data],COLUMN(T_TraitDi[[#This Row],[Colonne28]]),FALSE)=0,"",TEXT(IFERROR(VLOOKUP(T_BilanSocial[[#This Row],[NumL]],T_TraitDi[#Data],COLUMN(T_TraitDi[[#This Row],[Colonne28]]),FALSE),""),"[hh]:mm"))</f>
        <v>#VALUE!</v>
      </c>
      <c r="BL188" s="172" t="str">
        <f>IFERROR(VLOOKUP(T_BilanSocial[[#This Row],[NumL]],T_TraitDi[#Data],COLUMN(T_TraitDi[[#This Row],[Colonne29]]),FALSE),"")</f>
        <v/>
      </c>
      <c r="BM188" s="172" t="e">
        <f>IF(VLOOKUP(T_BilanSocial[[#This Row],[NumL]],T_TraitDi[#Data],COLUMN(T_TraitDi[[#This Row],[Colonne30]]),FALSE)=0,"",TEXT(IFERROR(VLOOKUP(T_BilanSocial[[#This Row],[NumL]],T_TraitDi[#Data],COLUMN(T_TraitDi[[#This Row],[Colonne30]]),FALSE),""),"[hh]:mm"))</f>
        <v>#VALUE!</v>
      </c>
      <c r="BN188" s="172" t="e">
        <f>IF(VLOOKUP(T_BilanSocial[[#This Row],[NumL]],T_TraitDi[#Data],COLUMN(T_TraitDi[[#This Row],[Colonne31]]),FALSE)=0,"",TEXT(IFERROR(VLOOKUP(T_BilanSocial[[#This Row],[NumL]],T_TraitDi[#Data],COLUMN(T_TraitDi[[#This Row],[Colonne31]]),FALSE),""),"[hh]:mm"))</f>
        <v>#VALUE!</v>
      </c>
      <c r="BO188" s="172" t="e">
        <f>IF(VLOOKUP(T_BilanSocial[[#This Row],[NumL]],T_TraitDi[#Data],COLUMN(T_TraitDi[[#This Row],[Colonne32]]),FALSE)=0,"",TEXT(IFERROR(VLOOKUP(T_BilanSocial[[#This Row],[NumL]],T_TraitDi[#Data],COLUMN(T_TraitDi[[#This Row],[Colonne32]]),FALSE),""),"[hh]:mm"))</f>
        <v>#VALUE!</v>
      </c>
      <c r="BP188" s="172" t="e">
        <f>VLOOKUP(T_BilanSocial[[#This Row],[NumL]],T_TraitDi[#Data],COLUMN(T_TraitDi[NbJTot]),FALSE)</f>
        <v>#N/A</v>
      </c>
      <c r="BQ188" s="174" t="str">
        <f>IFERROR(VLOOKUP(T_BilanSocial[[#This Row],[NumL]],T_TraitDi[#Data],COLUMN(T_TraitDi[[#This Row],[NbJTW]]),FALSE),"")</f>
        <v/>
      </c>
      <c r="BR188" s="174" t="e">
        <f>IF(VLOOKUP(T_BilanSocial[[#This Row],[NumL]],T_TraitDi[#Data],COLUMN(T_TraitDi[[#This Row],[NbhTW]]),FALSE)=0,"",TEXT(IFERROR(VLOOKUP(T_BilanSocial[[#This Row],[NumL]],T_TraitDi[#Data],COLUMN(T_TraitDi[[#This Row],[NbhTW]]),FALSE),""),"[hh]:mm"))</f>
        <v>#VALUE!</v>
      </c>
      <c r="BS188" s="174" t="e">
        <f>IF(VLOOKUP(T_BilanSocial[[#This Row],[NumL]],T_TraitDi[#Data],COLUMN(T_TraitDi[[#This Row],[Nbhheb]]),FALSE)=0,"",TEXT(IFERROR(VLOOKUP($A188,T_TraitDi[#Data],COLUMN(T_TraitDi[[#This Row],[Nbhheb]]),FALSE),""),"[hh]:mm"))</f>
        <v>#VALUE!</v>
      </c>
      <c r="BT188" s="182" t="str">
        <f>IFERROR(VLOOKUP(VLOOKUP($A188,T_TraitDi[#Data],COLUMN(T_TraitDi[[#This Row],[Type1]]),FALSE),TypeTW,2,FALSE),"")</f>
        <v/>
      </c>
      <c r="BU188" s="182" t="str">
        <f>IFERROR(VLOOKUP($A188,T_TraitDi[#Data],COLUMN(T_TraitDi[[#This Row],[Rue1]]),FALSE),"")</f>
        <v/>
      </c>
      <c r="BV188" s="173" t="str">
        <f>IFERROR(VLOOKUP($A188,T_TraitDi[#Data],COLUMN(T_TraitDi[[#This Row],[CP1]]),FALSE),"")</f>
        <v/>
      </c>
      <c r="BW188" s="173" t="str">
        <f>IFERROR(VLOOKUP($A188,T_TraitDi[#Data],COLUMN(T_TraitDi[[#This Row],[VILLE1]]),FALSE),"")</f>
        <v/>
      </c>
      <c r="BX188" s="182" t="str">
        <f>IFERROR(VLOOKUP(VLOOKUP($A188,T_TraitDi[#Data],COLUMN(T_TraitDi[[#This Row],[Type2]]),FALSE),TypeTW,2,FALSE),"")</f>
        <v/>
      </c>
      <c r="BY188" s="182" t="str">
        <f>IFERROR(VLOOKUP($A188,T_TraitDi[#Data],COLUMN(T_TraitDi[[#This Row],[Rue2]]),FALSE),"")</f>
        <v/>
      </c>
      <c r="BZ188" s="173" t="str">
        <f>IFERROR(VLOOKUP($A188,T_TraitDi[#Data],COLUMN(T_TraitDi[[#This Row],[CP2]]),FALSE),"")</f>
        <v/>
      </c>
      <c r="CA188" s="173" t="str">
        <f>IFERROR(VLOOKUP($A188,T_TraitDi[#Data],COLUMN(T_TraitDi[[#This Row],[VILLE2]]),FALSE),"")</f>
        <v/>
      </c>
      <c r="CB188" s="182" t="str">
        <f>IF(VLOOKUP(T_BilanSocial[[#This Row],[NumL]],T_Equipement[#Data],COLUMN(T_Equipement[[#This Row],[PC]]),FALSE)="","Aucun équipement spécifique directement lié au télétravail",VLOOKUP(T_BilanSocial[[#This Row],[NumL]],T_Equipement[#Data],COLUMN(T_Equipement[[#This Row],[PC]]),FALSE))</f>
        <v xml:space="preserve">20-326	</v>
      </c>
      <c r="CC188" s="166" t="str">
        <f>IFERROR(IF(VLOOKUP(T_BilanSocial[[#This Row],[NumL]],T_TraitDi[#Data],COLUMN(T_TraitDi[[#This Row],[Plan]]),FALSE)="OK","Un planning spécifique de télétravail est annexé à la présente convention.",""),"")</f>
        <v/>
      </c>
      <c r="CD188" s="185"/>
      <c r="CE188" s="164" t="e">
        <f>IF(VLOOKUP(T_BilanSocial[[#This Row],[NumL]],T_suiviDi[#Data],COLUMN(T_suiviDi[[#This Row],[Entité]]),FALSE)="","",VLOOKUP(T_BilanSocial[[#This Row],[NumL]],T_suiviDi[#Data],COLUMN(T_suiviDi[[#This Row],[Entité]]),FALSE))</f>
        <v>#VALUE!</v>
      </c>
      <c r="CF188" s="164" t="str">
        <f>IF(VLOOKUP(T_BilanSocial[[#This Row],[NumL]],T_Commission[#Data],COLUMN(T_Commission[[#This Row],[envoi confirm TW]]),FALSE)="","",VLOOKUP(T_BilanSocial[[#This Row],[NumL]],T_Commission[#Data],COLUMN(T_Commission[[#This Row],[envoi confirm TW]]),FALSE))</f>
        <v>Oui</v>
      </c>
      <c r="CG18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8" s="262" t="str">
        <f>T_BilanSocial[[#This Row],[Nom]]&amp;T_BilanSocial[[#This Row],[Prenom]]</f>
        <v/>
      </c>
      <c r="CI188" s="262">
        <f>VLOOKUP(T_BilanSocial[[#This Row],[NumL]],T_Commission[#Data],COLUMN(T_Commission[Commentaire]),FALSE)</f>
        <v>0</v>
      </c>
      <c r="CJ188" s="262" t="str">
        <f>IF(VLOOKUP(T_BilanSocial[[#This Row],[NumL]],T_Commission[#Data],COLUMN(T_Commission[Encadrant Email]),FALSE)="","",VLOOKUP(T_BilanSocial[[#This Row],[NumL]],T_Commission[#Data],COLUMN(T_Commission[Encadrant Email]),FALSE))</f>
        <v/>
      </c>
      <c r="CK188" s="340" t="str">
        <f>IF(T_BilanSocial[[#This Row],[Final]]&lt;&gt;"",VLOOKUP(T_BilanSocial[[#This Row],[NumL]],T_suiviDi[#Data],COLUMN((T_suiviDi[Statut])),FALSE),"")</f>
        <v/>
      </c>
    </row>
    <row r="189" spans="1:89" s="106" customFormat="1" ht="24.75" customHeight="1" x14ac:dyDescent="0.25">
      <c r="A189" s="160">
        <v>186</v>
      </c>
      <c r="B189" s="161" t="str">
        <f t="shared" si="22"/>
        <v/>
      </c>
      <c r="C189" s="162" t="s">
        <v>3287</v>
      </c>
      <c r="D189" s="95" t="e">
        <f>IF(VLOOKUP(T_BilanSocial[[#This Row],[NumL]],T_TraitDi[#Data],COLUMN(T_TraitDi[[#This Row],[WebC]]),FALSE)="","",VLOOKUP(T_BilanSocial[[#This Row],[NumL]],T_TraitDi[#Data],COLUMN(T_TraitDi[[#This Row],[WebC]]),FALSE))</f>
        <v>#VALUE!</v>
      </c>
      <c r="E189" s="163" t="str">
        <f t="shared" si="23"/>
        <v>12 janvier 2021</v>
      </c>
      <c r="F189" s="96" t="str">
        <f>IF(T_BilanSocial[[#This Row],[Final]]&lt;&gt;"",VLOOKUP(T_BilanSocial[[#This Row],[NumL]],T_suiviDi[#Data],COLUMN((T_suiviDi[Civ.])),FALSE),"")</f>
        <v/>
      </c>
      <c r="G189" s="96" t="str">
        <f>IF(T_BilanSocial[[#This Row],[Final]]&lt;&gt;"",VLOOKUP(T_BilanSocial[[#This Row],[NumL]],T_suiviDi[#Data],COLUMN((T_suiviDi[Nom])),FALSE),"")</f>
        <v/>
      </c>
      <c r="H189" s="96" t="str">
        <f>IF(T_BilanSocial[[#This Row],[Final]]&lt;&gt;"",VLOOKUP(T_BilanSocial[[#This Row],[NumL]],T_suiviDi[#Data],COLUMN((T_suiviDi[Prénom])),FALSE),"")</f>
        <v/>
      </c>
      <c r="I189" s="96" t="str">
        <f>IFERROR(VLOOKUP(T_BilanSocial[[#This Row],[Zone_Bilan]],T_P_BilanSocial[#Data],COLUMN(T_P_BilanSocial[[#This Row],[Numero_SIHAM]]),FALSE),"")</f>
        <v/>
      </c>
      <c r="J189" s="96" t="str">
        <f>IFERROR(VLOOKUP(T_BilanSocial[[#This Row],[Zone_Bilan]],T_P_BilanSocial[#Data],COLUMN(T_P_BilanSocial[[#This Row],[Sexe]]),FALSE),"")</f>
        <v/>
      </c>
      <c r="K189" s="97" t="str">
        <f>IFERROR(VLOOKUP(T_BilanSocial[[#This Row],[Zone_Bilan]],T_P_BilanSocial[#Data],COLUMN(T_P_BilanSocial[[#This Row],[Categorie]]),FALSE),"")</f>
        <v/>
      </c>
      <c r="L189" s="96" t="str">
        <f>IFERROR(VLOOKUP(T_BilanSocial[[#This Row],[Zone_Bilan]],T_P_BilanSocial[#Data],COLUMN(T_P_BilanSocial[[#This Row],[Statut]]),FALSE),"")</f>
        <v/>
      </c>
      <c r="M189" s="96" t="str">
        <f>IFERROR(VLOOKUP(T_BilanSocial[[#This Row],[Zone_Bilan]],T_P_BilanSocial[#Data],COLUMN(T_P_BilanSocial[[#This Row],[Filiere]]),FALSE),"")</f>
        <v/>
      </c>
      <c r="N189" s="96" t="e">
        <f>VLOOKUP(T_BilanSocial[[#This Row],[NumL]],T_TraitDi[#Data],COLUMN(T_TraitDi[EXP]),FALSE)</f>
        <v>#N/A</v>
      </c>
      <c r="O189" s="96" t="e">
        <f>VLOOKUP(T_BilanSocial[[#This Row],[NumL]],T_TraitDi[#Data],COLUMN(T_TraitDi[FORM]),FALSE)</f>
        <v>#N/A</v>
      </c>
      <c r="P189" s="96" t="str">
        <f>IF(T_BilanSocial[[#This Row],[Final]]&lt;&gt;"",VLOOKUP(T_BilanSocial[[#This Row],[NumL]],T_suiviDi[#Data],COLUMN((T_suiviDi[Email])),FALSE),"")</f>
        <v/>
      </c>
      <c r="Q189" s="164" t="e">
        <f t="shared" si="28"/>
        <v>#N/A</v>
      </c>
      <c r="R189" s="164" t="e">
        <f t="shared" si="29"/>
        <v>#N/A</v>
      </c>
      <c r="S189" s="164" t="e">
        <f>IF(VLOOKUP(T_BilanSocial[[#This Row],[NumL]],T_suiviDi[#Data],COLUMN(T_suiviDi[[#This Row],[Service ]]),FALSE)="","",VLOOKUP(T_BilanSocial[[#This Row],[NumL]],T_suiviDi[#Data],COLUMN(T_suiviDi[[#This Row],[Service ]]),FALSE))</f>
        <v>#VALUE!</v>
      </c>
      <c r="T189" s="164" t="str">
        <f t="shared" si="24"/>
        <v>01 septembre 2021</v>
      </c>
      <c r="U189" s="164" t="str">
        <f t="shared" si="25"/>
        <v>30 novembre 2021</v>
      </c>
      <c r="V189" s="164" t="str">
        <f t="shared" si="32"/>
        <v>30 novembre 2021</v>
      </c>
      <c r="W189" s="176" t="e">
        <f>IF(VLOOKUP(T_BilanSocial[[#This Row],[NumL]],T_TraitDi[#Data],COLUMN(T_TraitDi[[#This Row],[M1]]),FALSE)="","",VLOOKUP(T_BilanSocial[[#This Row],[NumL]],T_TraitDi[#Data],COLUMN(T_TraitDi[[#This Row],[M1]]),FALSE))</f>
        <v>#VALUE!</v>
      </c>
      <c r="X189" s="176" t="e">
        <f>IF(VLOOKUP(T_BilanSocial[[#This Row],[NumL]],T_TraitDi[#Data],COLUMN(T_TraitDi[[#This Row],[M2]]),FALSE)="","",VLOOKUP(T_BilanSocial[[#This Row],[NumL]],T_TraitDi[#Data],COLUMN(T_TraitDi[[#This Row],[M2]]),FALSE))</f>
        <v>#VALUE!</v>
      </c>
      <c r="Y189" s="176" t="e">
        <f>IF(VLOOKUP(T_BilanSocial[[#This Row],[NumL]],T_TraitDi[#Data],COLUMN(T_TraitDi[[#This Row],[M3]]),FALSE)="","",VLOOKUP(T_BilanSocial[[#This Row],[NumL]],T_TraitDi[#Data],COLUMN(T_TraitDi[[#This Row],[M3]]),FALSE))</f>
        <v>#VALUE!</v>
      </c>
      <c r="Z189" s="176" t="str">
        <f t="shared" si="27"/>
        <v/>
      </c>
      <c r="AA189" s="176" t="e">
        <f>IF(VLOOKUP(T_BilanSocial[[#This Row],[NumL]],T_TraitDi[#Data],COLUMN(T_TraitDi[[#This Row],[M5]]),FALSE)="","",VLOOKUP(T_BilanSocial[[#This Row],[NumL]],T_TraitDi[#Data],COLUMN(T_TraitDi[[#This Row],[M5]]),FALSE))</f>
        <v>#VALUE!</v>
      </c>
      <c r="AB189" s="176" t="e">
        <f>IF(VLOOKUP(T_BilanSocial[[#This Row],[NumL]],T_TraitDi[#Data],COLUMN(T_TraitDi[[#This Row],[M6]]),FALSE)="","",VLOOKUP(T_BilanSocial[[#This Row],[NumL]],T_TraitDi[#Data],COLUMN(T_TraitDi[[#This Row],[M6]]),FALSE))</f>
        <v>#VALUE!</v>
      </c>
      <c r="AC189" s="165" t="e">
        <f t="shared" si="26"/>
        <v>#VALUE!</v>
      </c>
      <c r="AD189" s="188" t="str">
        <f>IFERROR(TEXT(VLOOKUP(T_BilanSocial[[#This Row],[NumL]],T_TraitDi[#Data],COLUMN(T_TraitDi[[#This Row],[Q2]]),FALSE),"###%"),"")</f>
        <v/>
      </c>
      <c r="AE189" s="97" t="e">
        <f>VLOOKUP(T_BilanSocial[[#This Row],[NumL]],T_TraitDi[#Data],COLUMN(T_TraitDi[[#This Row],[Reg Ponct]]),FALSE)</f>
        <v>#VALUE!</v>
      </c>
      <c r="AF189" s="97" t="e">
        <f>VLOOKUP(T_BilanSocial[NumL],T_TraitDi[#Data],COLUMN(T_TraitDi[[#This Row],[Jours flottants]]),FALSE)</f>
        <v>#VALUE!</v>
      </c>
      <c r="AG189" s="97" t="str">
        <f>IFERROR(VLOOKUP(T_BilanSocial[[#This Row],[NumL]],T_TraitDi[#Data],COLUMN(T_TraitDi[[#This Row],[Lundi]]),FALSE),"")</f>
        <v/>
      </c>
      <c r="AH189" s="172" t="e">
        <f>IF(VLOOKUP(T_BilanSocial[[#This Row],[NumL]],T_TraitDi[#Data],COLUMN(T_TraitDi[[#This Row],[Colonne3]]),FALSE)=0,"",TEXT(IFERROR(VLOOKUP(T_BilanSocial[[#This Row],[NumL]],T_TraitDi[#Data],COLUMN(T_TraitDi[[#This Row],[Colonne3]]),FALSE),""),"[hh]:mm"))</f>
        <v>#VALUE!</v>
      </c>
      <c r="AI189" s="172" t="e">
        <f>IF(VLOOKUP(T_BilanSocial[[#This Row],[NumL]],T_TraitDi[#Data],COLUMN(T_TraitDi[[#This Row],[Colonne4]]),FALSE)=0,"",TEXT(IFERROR(VLOOKUP(T_BilanSocial[[#This Row],[NumL]],T_TraitDi[#Data],COLUMN(T_TraitDi[[#This Row],[Colonne4]]),FALSE),""),"[hh]:mm"))</f>
        <v>#VALUE!</v>
      </c>
      <c r="AJ189" s="172" t="e">
        <f>IF(VLOOKUP(T_BilanSocial[[#This Row],[NumL]],T_TraitDi[#Data],COLUMN(T_TraitDi[[#This Row],[Colonne5]]),FALSE)=0,"",TEXT(IFERROR(VLOOKUP(T_BilanSocial[[#This Row],[NumL]],T_TraitDi[#Data],COLUMN(T_TraitDi[[#This Row],[Colonne5]]),FALSE),""),"[hh]:mm"))</f>
        <v>#VALUE!</v>
      </c>
      <c r="AK189" s="172" t="e">
        <f>IF(VLOOKUP(T_BilanSocial[[#This Row],[NumL]],T_TraitDi[#Data],COLUMN(T_TraitDi[[#This Row],[Colonne6]]),FALSE)=0,"",TEXT(IFERROR(VLOOKUP(T_BilanSocial[[#This Row],[NumL]],T_TraitDi[#Data],COLUMN(T_TraitDi[[#This Row],[Colonne6]]),FALSE),""),"[hh]:mm"))</f>
        <v>#VALUE!</v>
      </c>
      <c r="AL189" s="172" t="e">
        <f>IF(VLOOKUP(T_BilanSocial[[#This Row],[NumL]],T_TraitDi[#Data],COLUMN(T_TraitDi[[#This Row],[Colonne7]]),FALSE)=0,"",TEXT(IFERROR(VLOOKUP(T_BilanSocial[[#This Row],[NumL]],T_TraitDi[#Data],COLUMN(T_TraitDi[[#This Row],[Colonne7]]),FALSE),""),"[hh]:mm"))</f>
        <v>#VALUE!</v>
      </c>
      <c r="AM189" s="172" t="e">
        <f>IF(VLOOKUP(T_BilanSocial[[#This Row],[NumL]],T_TraitDi[#Data],COLUMN(T_TraitDi[[#This Row],[Colonne8]]),FALSE)=0,"",TEXT(IFERROR(VLOOKUP(T_BilanSocial[[#This Row],[NumL]],T_TraitDi[#Data],COLUMN(T_TraitDi[[#This Row],[Colonne8]]),FALSE),""),"[hh]:mm"))</f>
        <v>#VALUE!</v>
      </c>
      <c r="AN189" s="172" t="str">
        <f>IFERROR(VLOOKUP(T_BilanSocial[[#This Row],[NumL]],T_TraitDi[#Data],COLUMN(T_TraitDi[[#This Row],[Mardi]]),FALSE),"")</f>
        <v/>
      </c>
      <c r="AO189" s="172" t="e">
        <f>IF(VLOOKUP(T_BilanSocial[[#This Row],[NumL]],T_TraitDi[#Data],COLUMN(T_TraitDi[[#This Row],[Colonne1]]),FALSE)=0,"",TEXT(IFERROR(VLOOKUP(T_BilanSocial[[#This Row],[NumL]],T_TraitDi[#Data],COLUMN(T_TraitDi[[#This Row],[Colonne1]]),FALSE),""),"[hh]:mm"))</f>
        <v>#VALUE!</v>
      </c>
      <c r="AP189" s="172" t="e">
        <f>IF(VLOOKUP(T_BilanSocial[[#This Row],[NumL]],T_TraitDi[#Data],COLUMN(T_TraitDi[[#This Row],[Colonne9]]),FALSE)=0,"",TEXT(IFERROR(VLOOKUP(T_BilanSocial[[#This Row],[NumL]],T_TraitDi[#Data],COLUMN(T_TraitDi[[#This Row],[Colonne9]]),FALSE),""),"[hh]:mm"))</f>
        <v>#VALUE!</v>
      </c>
      <c r="AQ189" s="172" t="str">
        <f>IFERROR(VLOOKUP(T_BilanSocial[[#This Row],[NumL]],T_TraitDi[#Data],COLUMN(T_TraitDi[[#This Row],[Colonne10]]),FALSE),"")</f>
        <v/>
      </c>
      <c r="AR189" s="172" t="e">
        <f>IF(VLOOKUP(T_BilanSocial[[#This Row],[NumL]],T_TraitDi[#Data],COLUMN(T_TraitDi[[#This Row],[Colonne11]]),FALSE)=0,"",TEXT(IFERROR(VLOOKUP(T_BilanSocial[[#This Row],[NumL]],T_TraitDi[#Data],COLUMN(T_TraitDi[[#This Row],[Colonne11]]),FALSE),""),"[hh]:mm"))</f>
        <v>#VALUE!</v>
      </c>
      <c r="AS189" s="172" t="e">
        <f>IF(VLOOKUP(T_BilanSocial[[#This Row],[NumL]],T_TraitDi[#Data],COLUMN(T_TraitDi[[#This Row],[Colonne12]]),FALSE)=0,"",TEXT(IFERROR(VLOOKUP(T_BilanSocial[[#This Row],[NumL]],T_TraitDi[#Data],COLUMN(T_TraitDi[[#This Row],[Colonne12]]),FALSE),""),"[hh]:mm"))</f>
        <v>#VALUE!</v>
      </c>
      <c r="AT189" s="172" t="e">
        <f>IF(VLOOKUP(T_BilanSocial[[#This Row],[NumL]],T_TraitDi[#Data],COLUMN(T_TraitDi[[#This Row],[Colonne14]]),FALSE)=0,"",TEXT(IFERROR(VLOOKUP(T_BilanSocial[[#This Row],[NumL]],T_TraitDi[#Data],COLUMN(T_TraitDi[[#This Row],[Colonne14]]),FALSE),""),"[hh]:mm"))</f>
        <v>#VALUE!</v>
      </c>
      <c r="AU189" s="172" t="str">
        <f>IFERROR(VLOOKUP(T_BilanSocial[[#This Row],[NumL]],T_TraitDi[#Data],COLUMN(T_TraitDi[[#This Row],[Mercredi]]),FALSE),"")</f>
        <v/>
      </c>
      <c r="AV189" s="172" t="e">
        <f>IF(VLOOKUP(T_BilanSocial[[#This Row],[NumL]],T_TraitDi[#Data],COLUMN(T_TraitDi[[#This Row],[Colonne15]]),FALSE)=0,"",TEXT(IFERROR(VLOOKUP(T_BilanSocial[[#This Row],[NumL]],T_TraitDi[#Data],COLUMN(T_TraitDi[[#This Row],[Colonne15]]),FALSE),""),"[hh]:mm"))</f>
        <v>#VALUE!</v>
      </c>
      <c r="AW189" s="172" t="e">
        <f>IF(VLOOKUP(T_BilanSocial[[#This Row],[NumL]],T_TraitDi[#Data],COLUMN(T_TraitDi[[#This Row],[Colonne16]]),FALSE)=0,"",TEXT(IFERROR(VLOOKUP(T_BilanSocial[[#This Row],[NumL]],T_TraitDi[#Data],COLUMN(T_TraitDi[[#This Row],[Colonne16]]),FALSE),""),"[hh]:mm"))</f>
        <v>#VALUE!</v>
      </c>
      <c r="AX189" s="172" t="str">
        <f>IFERROR(VLOOKUP(T_BilanSocial[[#This Row],[NumL]],T_TraitDi[#Data],COLUMN(T_TraitDi[[#This Row],[Colonne17]]),FALSE),"")</f>
        <v/>
      </c>
      <c r="AY189" s="172" t="e">
        <f>IF(VLOOKUP(T_BilanSocial[[#This Row],[NumL]],T_TraitDi[#Data],COLUMN(T_TraitDi[[#This Row],[Colonne18]]),FALSE)=0,"",TEXT(IFERROR(VLOOKUP(T_BilanSocial[[#This Row],[NumL]],T_TraitDi[#Data],COLUMN(T_TraitDi[[#This Row],[Colonne18]]),FALSE),""),"[hh]:mm"))</f>
        <v>#VALUE!</v>
      </c>
      <c r="AZ189" s="172" t="e">
        <f>IF(VLOOKUP(T_BilanSocial[[#This Row],[NumL]],T_TraitDi[#Data],COLUMN(T_TraitDi[[#This Row],[Colonne19]]),FALSE)=0,"",TEXT(IFERROR(VLOOKUP(T_BilanSocial[[#This Row],[NumL]],T_TraitDi[#Data],COLUMN(T_TraitDi[[#This Row],[Colonne19]]),FALSE),""),"[hh]:mm"))</f>
        <v>#VALUE!</v>
      </c>
      <c r="BA189" s="172" t="e">
        <f>IF(VLOOKUP(T_BilanSocial[[#This Row],[NumL]],T_TraitDi[#Data],COLUMN(T_TraitDi[[#This Row],[Colonne20]]),FALSE)=0,"",TEXT(IFERROR(VLOOKUP(T_BilanSocial[[#This Row],[NumL]],T_TraitDi[#Data],COLUMN(T_TraitDi[[#This Row],[Colonne20]]),FALSE),""),"[hh]:mm"))</f>
        <v>#VALUE!</v>
      </c>
      <c r="BB189" s="178" t="str">
        <f>IFERROR(VLOOKUP(T_BilanSocial[[#This Row],[NumL]],T_TraitDi[#Data],COLUMN(T_TraitDi[[#This Row],[Jeudi]]),FALSE),"")</f>
        <v/>
      </c>
      <c r="BC189" s="178" t="e">
        <f>IF(VLOOKUP(T_BilanSocial[[#This Row],[NumL]],T_TraitDi[#Data],COLUMN(T_TraitDi[[#This Row],[Colonne21]]),FALSE)=0,"",TEXT(IFERROR(VLOOKUP(T_BilanSocial[[#This Row],[NumL]],T_TraitDi[#Data],COLUMN(T_TraitDi[[#This Row],[Colonne21]]),FALSE),""),"[hh]:mm"))</f>
        <v>#VALUE!</v>
      </c>
      <c r="BD189" s="178" t="e">
        <f>IF(VLOOKUP(T_BilanSocial[[#This Row],[NumL]],T_TraitDi[#Data],COLUMN(T_TraitDi[[#This Row],[Colonne22]]),FALSE)=0,"",TEXT(IFERROR(VLOOKUP(T_BilanSocial[[#This Row],[NumL]],T_TraitDi[#Data],COLUMN(T_TraitDi[[#This Row],[Colonne22]]),FALSE),""),"[hh]:mm"))</f>
        <v>#VALUE!</v>
      </c>
      <c r="BE189" s="178" t="str">
        <f>IFERROR(VLOOKUP(T_BilanSocial[[#This Row],[NumL]],T_TraitDi[#Data],COLUMN(T_TraitDi[[#This Row],[Colonne23]]),FALSE),"")</f>
        <v/>
      </c>
      <c r="BF189" s="178" t="e">
        <f>IF(VLOOKUP(T_BilanSocial[[#This Row],[NumL]],T_TraitDi[#Data],COLUMN(T_TraitDi[[#This Row],[Colonne24]]),FALSE)=0,"",TEXT(IFERROR(VLOOKUP(T_BilanSocial[[#This Row],[NumL]],T_TraitDi[#Data],COLUMN(T_TraitDi[[#This Row],[Colonne24]]),FALSE),""),"[hh]:mm"))</f>
        <v>#VALUE!</v>
      </c>
      <c r="BG189" s="178" t="e">
        <f>IF(VLOOKUP(T_BilanSocial[[#This Row],[NumL]],T_TraitDi[#Data],COLUMN(T_TraitDi[[#This Row],[Colonne25]]),FALSE)=0,"",TEXT(IFERROR(VLOOKUP(T_BilanSocial[[#This Row],[NumL]],T_TraitDi[#Data],COLUMN(T_TraitDi[[#This Row],[Colonne25]]),FALSE),""),"[hh]:mm"))</f>
        <v>#VALUE!</v>
      </c>
      <c r="BH189" s="178" t="e">
        <f>IF(VLOOKUP(T_BilanSocial[[#This Row],[NumL]],T_TraitDi[#Data],COLUMN(T_TraitDi[[#This Row],[Colonne26]]),FALSE)=0,"",TEXT(IFERROR(VLOOKUP(T_BilanSocial[[#This Row],[NumL]],T_TraitDi[#Data],COLUMN(T_TraitDi[[#This Row],[Colonne26]]),FALSE),""),"[hh]:mm"))</f>
        <v>#VALUE!</v>
      </c>
      <c r="BI189" s="172" t="str">
        <f>IFERROR(VLOOKUP(T_BilanSocial[[#This Row],[NumL]],T_TraitDi[#Data],COLUMN(T_TraitDi[[#This Row],[Vendredi]]),FALSE),"")</f>
        <v/>
      </c>
      <c r="BJ189" s="172" t="e">
        <f>IF(VLOOKUP(T_BilanSocial[[#This Row],[NumL]],T_TraitDi[#Data],COLUMN(T_TraitDi[[#This Row],[Colonne27]]),FALSE)=0,"",TEXT(IFERROR(VLOOKUP(T_BilanSocial[[#This Row],[NumL]],T_TraitDi[#Data],COLUMN(T_TraitDi[[#This Row],[Colonne27]]),FALSE),""),"[hh]:mm"))</f>
        <v>#VALUE!</v>
      </c>
      <c r="BK189" s="172" t="e">
        <f>IF(VLOOKUP(T_BilanSocial[[#This Row],[NumL]],T_TraitDi[#Data],COLUMN(T_TraitDi[[#This Row],[Colonne28]]),FALSE)=0,"",TEXT(IFERROR(VLOOKUP(T_BilanSocial[[#This Row],[NumL]],T_TraitDi[#Data],COLUMN(T_TraitDi[[#This Row],[Colonne28]]),FALSE),""),"[hh]:mm"))</f>
        <v>#VALUE!</v>
      </c>
      <c r="BL189" s="172" t="str">
        <f>IFERROR(VLOOKUP(T_BilanSocial[[#This Row],[NumL]],T_TraitDi[#Data],COLUMN(T_TraitDi[[#This Row],[Colonne29]]),FALSE),"")</f>
        <v/>
      </c>
      <c r="BM189" s="172" t="e">
        <f>IF(VLOOKUP(T_BilanSocial[[#This Row],[NumL]],T_TraitDi[#Data],COLUMN(T_TraitDi[[#This Row],[Colonne30]]),FALSE)=0,"",TEXT(IFERROR(VLOOKUP(T_BilanSocial[[#This Row],[NumL]],T_TraitDi[#Data],COLUMN(T_TraitDi[[#This Row],[Colonne30]]),FALSE),""),"[hh]:mm"))</f>
        <v>#VALUE!</v>
      </c>
      <c r="BN189" s="172" t="e">
        <f>IF(VLOOKUP(T_BilanSocial[[#This Row],[NumL]],T_TraitDi[#Data],COLUMN(T_TraitDi[[#This Row],[Colonne31]]),FALSE)=0,"",TEXT(IFERROR(VLOOKUP(T_BilanSocial[[#This Row],[NumL]],T_TraitDi[#Data],COLUMN(T_TraitDi[[#This Row],[Colonne31]]),FALSE),""),"[hh]:mm"))</f>
        <v>#VALUE!</v>
      </c>
      <c r="BO189" s="172" t="e">
        <f>IF(VLOOKUP(T_BilanSocial[[#This Row],[NumL]],T_TraitDi[#Data],COLUMN(T_TraitDi[[#This Row],[Colonne32]]),FALSE)=0,"",TEXT(IFERROR(VLOOKUP(T_BilanSocial[[#This Row],[NumL]],T_TraitDi[#Data],COLUMN(T_TraitDi[[#This Row],[Colonne32]]),FALSE),""),"[hh]:mm"))</f>
        <v>#VALUE!</v>
      </c>
      <c r="BP189" s="172" t="e">
        <f>VLOOKUP(T_BilanSocial[[#This Row],[NumL]],T_TraitDi[#Data],COLUMN(T_TraitDi[NbJTot]),FALSE)</f>
        <v>#N/A</v>
      </c>
      <c r="BQ189" s="174" t="str">
        <f>IFERROR(VLOOKUP(T_BilanSocial[[#This Row],[NumL]],T_TraitDi[#Data],COLUMN(T_TraitDi[[#This Row],[NbJTW]]),FALSE),"")</f>
        <v/>
      </c>
      <c r="BR189" s="174" t="e">
        <f>IF(VLOOKUP(T_BilanSocial[[#This Row],[NumL]],T_TraitDi[#Data],COLUMN(T_TraitDi[[#This Row],[NbhTW]]),FALSE)=0,"",TEXT(IFERROR(VLOOKUP(T_BilanSocial[[#This Row],[NumL]],T_TraitDi[#Data],COLUMN(T_TraitDi[[#This Row],[NbhTW]]),FALSE),""),"[hh]:mm"))</f>
        <v>#VALUE!</v>
      </c>
      <c r="BS189" s="174" t="e">
        <f>IF(VLOOKUP(T_BilanSocial[[#This Row],[NumL]],T_TraitDi[#Data],COLUMN(T_TraitDi[[#This Row],[Nbhheb]]),FALSE)=0,"",TEXT(IFERROR(VLOOKUP($A189,T_TraitDi[#Data],COLUMN(T_TraitDi[[#This Row],[Nbhheb]]),FALSE),""),"[hh]:mm"))</f>
        <v>#VALUE!</v>
      </c>
      <c r="BT189" s="182" t="str">
        <f>IFERROR(VLOOKUP(VLOOKUP($A189,T_TraitDi[#Data],COLUMN(T_TraitDi[[#This Row],[Type1]]),FALSE),TypeTW,2,FALSE),"")</f>
        <v/>
      </c>
      <c r="BU189" s="182" t="str">
        <f>IFERROR(VLOOKUP($A189,T_TraitDi[#Data],COLUMN(T_TraitDi[[#This Row],[Rue1]]),FALSE),"")</f>
        <v/>
      </c>
      <c r="BV189" s="173" t="str">
        <f>IFERROR(VLOOKUP($A189,T_TraitDi[#Data],COLUMN(T_TraitDi[[#This Row],[CP1]]),FALSE),"")</f>
        <v/>
      </c>
      <c r="BW189" s="173" t="str">
        <f>IFERROR(VLOOKUP($A189,T_TraitDi[#Data],COLUMN(T_TraitDi[[#This Row],[VILLE1]]),FALSE),"")</f>
        <v/>
      </c>
      <c r="BX189" s="182" t="str">
        <f>IFERROR(VLOOKUP(VLOOKUP($A189,T_TraitDi[#Data],COLUMN(T_TraitDi[[#This Row],[Type2]]),FALSE),TypeTW,2,FALSE),"")</f>
        <v/>
      </c>
      <c r="BY189" s="182" t="str">
        <f>IFERROR(VLOOKUP($A189,T_TraitDi[#Data],COLUMN(T_TraitDi[[#This Row],[Rue2]]),FALSE),"")</f>
        <v/>
      </c>
      <c r="BZ189" s="173" t="str">
        <f>IFERROR(VLOOKUP($A189,T_TraitDi[#Data],COLUMN(T_TraitDi[[#This Row],[CP2]]),FALSE),"")</f>
        <v/>
      </c>
      <c r="CA189" s="173" t="str">
        <f>IFERROR(VLOOKUP($A189,T_TraitDi[#Data],COLUMN(T_TraitDi[[#This Row],[VILLE2]]),FALSE),"")</f>
        <v/>
      </c>
      <c r="CB189" s="182" t="str">
        <f>IF(VLOOKUP(T_BilanSocial[[#This Row],[NumL]],T_Equipement[#Data],COLUMN(T_Equipement[[#This Row],[PC]]),FALSE)="","Aucun équipement spécifique directement lié au télétravail",VLOOKUP(T_BilanSocial[[#This Row],[NumL]],T_Equipement[#Data],COLUMN(T_Equipement[[#This Row],[PC]]),FALSE))</f>
        <v xml:space="preserve">16-410	</v>
      </c>
      <c r="CC189" s="166" t="str">
        <f>IFERROR(IF(VLOOKUP(T_BilanSocial[[#This Row],[NumL]],T_TraitDi[#Data],COLUMN(T_TraitDi[[#This Row],[Plan]]),FALSE)="OK","Un planning spécifique de télétravail est annexé à la présente convention.",""),"")</f>
        <v/>
      </c>
      <c r="CD189" s="185"/>
      <c r="CE189" s="164" t="e">
        <f>IF(VLOOKUP(T_BilanSocial[[#This Row],[NumL]],T_suiviDi[#Data],COLUMN(T_suiviDi[[#This Row],[Entité]]),FALSE)="","",VLOOKUP(T_BilanSocial[[#This Row],[NumL]],T_suiviDi[#Data],COLUMN(T_suiviDi[[#This Row],[Entité]]),FALSE))</f>
        <v>#VALUE!</v>
      </c>
      <c r="CF189" s="164" t="str">
        <f>IF(VLOOKUP(T_BilanSocial[[#This Row],[NumL]],T_Commission[#Data],COLUMN(T_Commission[[#This Row],[envoi confirm TW]]),FALSE)="","",VLOOKUP(T_BilanSocial[[#This Row],[NumL]],T_Commission[#Data],COLUMN(T_Commission[[#This Row],[envoi confirm TW]]),FALSE))</f>
        <v>Oui</v>
      </c>
      <c r="CG18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89" s="262" t="str">
        <f>T_BilanSocial[[#This Row],[Nom]]&amp;T_BilanSocial[[#This Row],[Prenom]]</f>
        <v/>
      </c>
      <c r="CI189" s="262">
        <f>VLOOKUP(T_BilanSocial[[#This Row],[NumL]],T_Commission[#Data],COLUMN(T_Commission[Commentaire]),FALSE)</f>
        <v>0</v>
      </c>
      <c r="CJ189" s="262" t="str">
        <f>IF(VLOOKUP(T_BilanSocial[[#This Row],[NumL]],T_Commission[#Data],COLUMN(T_Commission[Encadrant Email]),FALSE)="","",VLOOKUP(T_BilanSocial[[#This Row],[NumL]],T_Commission[#Data],COLUMN(T_Commission[Encadrant Email]),FALSE))</f>
        <v/>
      </c>
      <c r="CK189" s="340" t="str">
        <f>IF(T_BilanSocial[[#This Row],[Final]]&lt;&gt;"",VLOOKUP(T_BilanSocial[[#This Row],[NumL]],T_suiviDi[#Data],COLUMN((T_suiviDi[Statut])),FALSE),"")</f>
        <v/>
      </c>
    </row>
    <row r="190" spans="1:89" s="106" customFormat="1" ht="24.75" customHeight="1" x14ac:dyDescent="0.25">
      <c r="A190" s="160">
        <v>187</v>
      </c>
      <c r="B190" s="161" t="str">
        <f t="shared" si="22"/>
        <v/>
      </c>
      <c r="C190" s="162" t="s">
        <v>173</v>
      </c>
      <c r="D190" s="95" t="e">
        <f>IF(VLOOKUP(T_BilanSocial[[#This Row],[NumL]],T_TraitDi[#Data],COLUMN(T_TraitDi[[#This Row],[WebC]]),FALSE)="","",VLOOKUP(T_BilanSocial[[#This Row],[NumL]],T_TraitDi[#Data],COLUMN(T_TraitDi[[#This Row],[WebC]]),FALSE))</f>
        <v>#VALUE!</v>
      </c>
      <c r="E190" s="163" t="str">
        <f t="shared" si="23"/>
        <v>12 janvier 2021</v>
      </c>
      <c r="F190" s="96" t="str">
        <f>IF(T_BilanSocial[[#This Row],[Final]]&lt;&gt;"",VLOOKUP(T_BilanSocial[[#This Row],[NumL]],T_suiviDi[#Data],COLUMN((T_suiviDi[Civ.])),FALSE),"")</f>
        <v/>
      </c>
      <c r="G190" s="96" t="str">
        <f>IF(T_BilanSocial[[#This Row],[Final]]&lt;&gt;"",VLOOKUP(T_BilanSocial[[#This Row],[NumL]],T_suiviDi[#Data],COLUMN((T_suiviDi[Nom])),FALSE),"")</f>
        <v/>
      </c>
      <c r="H190" s="96" t="str">
        <f>IF(T_BilanSocial[[#This Row],[Final]]&lt;&gt;"",VLOOKUP(T_BilanSocial[[#This Row],[NumL]],T_suiviDi[#Data],COLUMN((T_suiviDi[Prénom])),FALSE),"")</f>
        <v/>
      </c>
      <c r="I190" s="96" t="str">
        <f>IFERROR(VLOOKUP(T_BilanSocial[[#This Row],[Zone_Bilan]],T_P_BilanSocial[#Data],COLUMN(T_P_BilanSocial[[#This Row],[Numero_SIHAM]]),FALSE),"")</f>
        <v/>
      </c>
      <c r="J190" s="96" t="str">
        <f>IFERROR(VLOOKUP(T_BilanSocial[[#This Row],[Zone_Bilan]],T_P_BilanSocial[#Data],COLUMN(T_P_BilanSocial[[#This Row],[Sexe]]),FALSE),"")</f>
        <v/>
      </c>
      <c r="K190" s="97" t="str">
        <f>IFERROR(VLOOKUP(T_BilanSocial[[#This Row],[Zone_Bilan]],T_P_BilanSocial[#Data],COLUMN(T_P_BilanSocial[[#This Row],[Categorie]]),FALSE),"")</f>
        <v/>
      </c>
      <c r="L190" s="96" t="str">
        <f>IFERROR(VLOOKUP(T_BilanSocial[[#This Row],[Zone_Bilan]],T_P_BilanSocial[#Data],COLUMN(T_P_BilanSocial[[#This Row],[Statut]]),FALSE),"")</f>
        <v/>
      </c>
      <c r="M190" s="96" t="str">
        <f>IFERROR(VLOOKUP(T_BilanSocial[[#This Row],[Zone_Bilan]],T_P_BilanSocial[#Data],COLUMN(T_P_BilanSocial[[#This Row],[Filiere]]),FALSE),"")</f>
        <v/>
      </c>
      <c r="N190" s="96" t="e">
        <f>VLOOKUP(T_BilanSocial[[#This Row],[NumL]],T_TraitDi[#Data],COLUMN(T_TraitDi[EXP]),FALSE)</f>
        <v>#N/A</v>
      </c>
      <c r="O190" s="96" t="e">
        <f>VLOOKUP(T_BilanSocial[[#This Row],[NumL]],T_TraitDi[#Data],COLUMN(T_TraitDi[FORM]),FALSE)</f>
        <v>#N/A</v>
      </c>
      <c r="P190" s="96" t="str">
        <f>IF(T_BilanSocial[[#This Row],[Final]]&lt;&gt;"",VLOOKUP(T_BilanSocial[[#This Row],[NumL]],T_suiviDi[#Data],COLUMN((T_suiviDi[Email])),FALSE),"")</f>
        <v/>
      </c>
      <c r="Q190" s="164" t="e">
        <f t="shared" si="28"/>
        <v>#N/A</v>
      </c>
      <c r="R190" s="164" t="e">
        <f t="shared" si="29"/>
        <v>#N/A</v>
      </c>
      <c r="S190" s="164" t="e">
        <f>IF(VLOOKUP(T_BilanSocial[[#This Row],[NumL]],T_suiviDi[#Data],COLUMN(T_suiviDi[[#This Row],[Service ]]),FALSE)="","",VLOOKUP(T_BilanSocial[[#This Row],[NumL]],T_suiviDi[#Data],COLUMN(T_suiviDi[[#This Row],[Service ]]),FALSE))</f>
        <v>#VALUE!</v>
      </c>
      <c r="T190" s="164" t="str">
        <f t="shared" si="24"/>
        <v>01 septembre 2021</v>
      </c>
      <c r="U190" s="164" t="str">
        <f t="shared" si="25"/>
        <v>30 novembre 2021</v>
      </c>
      <c r="V190" s="164" t="str">
        <f t="shared" si="32"/>
        <v>30 novembre 2021</v>
      </c>
      <c r="W190" s="176" t="e">
        <f>IF(VLOOKUP(T_BilanSocial[[#This Row],[NumL]],T_TraitDi[#Data],COLUMN(T_TraitDi[[#This Row],[M1]]),FALSE)="","",VLOOKUP(T_BilanSocial[[#This Row],[NumL]],T_TraitDi[#Data],COLUMN(T_TraitDi[[#This Row],[M1]]),FALSE))</f>
        <v>#VALUE!</v>
      </c>
      <c r="X190" s="176" t="e">
        <f>IF(VLOOKUP(T_BilanSocial[[#This Row],[NumL]],T_TraitDi[#Data],COLUMN(T_TraitDi[[#This Row],[M2]]),FALSE)="","",VLOOKUP(T_BilanSocial[[#This Row],[NumL]],T_TraitDi[#Data],COLUMN(T_TraitDi[[#This Row],[M2]]),FALSE))</f>
        <v>#VALUE!</v>
      </c>
      <c r="Y190" s="176" t="e">
        <f>IF(VLOOKUP(T_BilanSocial[[#This Row],[NumL]],T_TraitDi[#Data],COLUMN(T_TraitDi[[#This Row],[M3]]),FALSE)="","",VLOOKUP(T_BilanSocial[[#This Row],[NumL]],T_TraitDi[#Data],COLUMN(T_TraitDi[[#This Row],[M3]]),FALSE))</f>
        <v>#VALUE!</v>
      </c>
      <c r="Z190" s="176" t="str">
        <f t="shared" si="27"/>
        <v/>
      </c>
      <c r="AA190" s="176" t="e">
        <f>IF(VLOOKUP(T_BilanSocial[[#This Row],[NumL]],T_TraitDi[#Data],COLUMN(T_TraitDi[[#This Row],[M5]]),FALSE)="","",VLOOKUP(T_BilanSocial[[#This Row],[NumL]],T_TraitDi[#Data],COLUMN(T_TraitDi[[#This Row],[M5]]),FALSE))</f>
        <v>#VALUE!</v>
      </c>
      <c r="AB190" s="176" t="e">
        <f>IF(VLOOKUP(T_BilanSocial[[#This Row],[NumL]],T_TraitDi[#Data],COLUMN(T_TraitDi[[#This Row],[M6]]),FALSE)="","",VLOOKUP(T_BilanSocial[[#This Row],[NumL]],T_TraitDi[#Data],COLUMN(T_TraitDi[[#This Row],[M6]]),FALSE))</f>
        <v>#VALUE!</v>
      </c>
      <c r="AC190" s="165" t="e">
        <f t="shared" si="26"/>
        <v>#VALUE!</v>
      </c>
      <c r="AD190" s="188" t="str">
        <f>IFERROR(TEXT(VLOOKUP(T_BilanSocial[[#This Row],[NumL]],T_TraitDi[#Data],COLUMN(T_TraitDi[[#This Row],[Q2]]),FALSE),"###%"),"")</f>
        <v/>
      </c>
      <c r="AE190" s="97" t="e">
        <f>VLOOKUP(T_BilanSocial[[#This Row],[NumL]],T_TraitDi[#Data],COLUMN(T_TraitDi[[#This Row],[Reg Ponct]]),FALSE)</f>
        <v>#VALUE!</v>
      </c>
      <c r="AF190" s="97" t="e">
        <f>VLOOKUP(T_BilanSocial[NumL],T_TraitDi[#Data],COLUMN(T_TraitDi[[#This Row],[Jours flottants]]),FALSE)</f>
        <v>#VALUE!</v>
      </c>
      <c r="AG190" s="97" t="str">
        <f>IFERROR(VLOOKUP(T_BilanSocial[[#This Row],[NumL]],T_TraitDi[#Data],COLUMN(T_TraitDi[[#This Row],[Lundi]]),FALSE),"")</f>
        <v/>
      </c>
      <c r="AH190" s="172" t="e">
        <f>IF(VLOOKUP(T_BilanSocial[[#This Row],[NumL]],T_TraitDi[#Data],COLUMN(T_TraitDi[[#This Row],[Colonne3]]),FALSE)=0,"",TEXT(IFERROR(VLOOKUP(T_BilanSocial[[#This Row],[NumL]],T_TraitDi[#Data],COLUMN(T_TraitDi[[#This Row],[Colonne3]]),FALSE),""),"[hh]:mm"))</f>
        <v>#VALUE!</v>
      </c>
      <c r="AI190" s="172" t="e">
        <f>IF(VLOOKUP(T_BilanSocial[[#This Row],[NumL]],T_TraitDi[#Data],COLUMN(T_TraitDi[[#This Row],[Colonne4]]),FALSE)=0,"",TEXT(IFERROR(VLOOKUP(T_BilanSocial[[#This Row],[NumL]],T_TraitDi[#Data],COLUMN(T_TraitDi[[#This Row],[Colonne4]]),FALSE),""),"[hh]:mm"))</f>
        <v>#VALUE!</v>
      </c>
      <c r="AJ190" s="172" t="e">
        <f>IF(VLOOKUP(T_BilanSocial[[#This Row],[NumL]],T_TraitDi[#Data],COLUMN(T_TraitDi[[#This Row],[Colonne5]]),FALSE)=0,"",TEXT(IFERROR(VLOOKUP(T_BilanSocial[[#This Row],[NumL]],T_TraitDi[#Data],COLUMN(T_TraitDi[[#This Row],[Colonne5]]),FALSE),""),"[hh]:mm"))</f>
        <v>#VALUE!</v>
      </c>
      <c r="AK190" s="172" t="e">
        <f>IF(VLOOKUP(T_BilanSocial[[#This Row],[NumL]],T_TraitDi[#Data],COLUMN(T_TraitDi[[#This Row],[Colonne6]]),FALSE)=0,"",TEXT(IFERROR(VLOOKUP(T_BilanSocial[[#This Row],[NumL]],T_TraitDi[#Data],COLUMN(T_TraitDi[[#This Row],[Colonne6]]),FALSE),""),"[hh]:mm"))</f>
        <v>#VALUE!</v>
      </c>
      <c r="AL190" s="172" t="e">
        <f>IF(VLOOKUP(T_BilanSocial[[#This Row],[NumL]],T_TraitDi[#Data],COLUMN(T_TraitDi[[#This Row],[Colonne7]]),FALSE)=0,"",TEXT(IFERROR(VLOOKUP(T_BilanSocial[[#This Row],[NumL]],T_TraitDi[#Data],COLUMN(T_TraitDi[[#This Row],[Colonne7]]),FALSE),""),"[hh]:mm"))</f>
        <v>#VALUE!</v>
      </c>
      <c r="AM190" s="172" t="e">
        <f>IF(VLOOKUP(T_BilanSocial[[#This Row],[NumL]],T_TraitDi[#Data],COLUMN(T_TraitDi[[#This Row],[Colonne8]]),FALSE)=0,"",TEXT(IFERROR(VLOOKUP(T_BilanSocial[[#This Row],[NumL]],T_TraitDi[#Data],COLUMN(T_TraitDi[[#This Row],[Colonne8]]),FALSE),""),"[hh]:mm"))</f>
        <v>#VALUE!</v>
      </c>
      <c r="AN190" s="172" t="str">
        <f>IFERROR(VLOOKUP(T_BilanSocial[[#This Row],[NumL]],T_TraitDi[#Data],COLUMN(T_TraitDi[[#This Row],[Mardi]]),FALSE),"")</f>
        <v/>
      </c>
      <c r="AO190" s="172" t="e">
        <f>IF(VLOOKUP(T_BilanSocial[[#This Row],[NumL]],T_TraitDi[#Data],COLUMN(T_TraitDi[[#This Row],[Colonne1]]),FALSE)=0,"",TEXT(IFERROR(VLOOKUP(T_BilanSocial[[#This Row],[NumL]],T_TraitDi[#Data],COLUMN(T_TraitDi[[#This Row],[Colonne1]]),FALSE),""),"[hh]:mm"))</f>
        <v>#VALUE!</v>
      </c>
      <c r="AP190" s="172" t="e">
        <f>IF(VLOOKUP(T_BilanSocial[[#This Row],[NumL]],T_TraitDi[#Data],COLUMN(T_TraitDi[[#This Row],[Colonne9]]),FALSE)=0,"",TEXT(IFERROR(VLOOKUP(T_BilanSocial[[#This Row],[NumL]],T_TraitDi[#Data],COLUMN(T_TraitDi[[#This Row],[Colonne9]]),FALSE),""),"[hh]:mm"))</f>
        <v>#VALUE!</v>
      </c>
      <c r="AQ190" s="172" t="str">
        <f>IFERROR(VLOOKUP(T_BilanSocial[[#This Row],[NumL]],T_TraitDi[#Data],COLUMN(T_TraitDi[[#This Row],[Colonne10]]),FALSE),"")</f>
        <v/>
      </c>
      <c r="AR190" s="172" t="e">
        <f>IF(VLOOKUP(T_BilanSocial[[#This Row],[NumL]],T_TraitDi[#Data],COLUMN(T_TraitDi[[#This Row],[Colonne11]]),FALSE)=0,"",TEXT(IFERROR(VLOOKUP(T_BilanSocial[[#This Row],[NumL]],T_TraitDi[#Data],COLUMN(T_TraitDi[[#This Row],[Colonne11]]),FALSE),""),"[hh]:mm"))</f>
        <v>#VALUE!</v>
      </c>
      <c r="AS190" s="172" t="e">
        <f>IF(VLOOKUP(T_BilanSocial[[#This Row],[NumL]],T_TraitDi[#Data],COLUMN(T_TraitDi[[#This Row],[Colonne12]]),FALSE)=0,"",TEXT(IFERROR(VLOOKUP(T_BilanSocial[[#This Row],[NumL]],T_TraitDi[#Data],COLUMN(T_TraitDi[[#This Row],[Colonne12]]),FALSE),""),"[hh]:mm"))</f>
        <v>#VALUE!</v>
      </c>
      <c r="AT190" s="172" t="e">
        <f>IF(VLOOKUP(T_BilanSocial[[#This Row],[NumL]],T_TraitDi[#Data],COLUMN(T_TraitDi[[#This Row],[Colonne14]]),FALSE)=0,"",TEXT(IFERROR(VLOOKUP(T_BilanSocial[[#This Row],[NumL]],T_TraitDi[#Data],COLUMN(T_TraitDi[[#This Row],[Colonne14]]),FALSE),""),"[hh]:mm"))</f>
        <v>#VALUE!</v>
      </c>
      <c r="AU190" s="172" t="str">
        <f>IFERROR(VLOOKUP(T_BilanSocial[[#This Row],[NumL]],T_TraitDi[#Data],COLUMN(T_TraitDi[[#This Row],[Mercredi]]),FALSE),"")</f>
        <v/>
      </c>
      <c r="AV190" s="172" t="e">
        <f>IF(VLOOKUP(T_BilanSocial[[#This Row],[NumL]],T_TraitDi[#Data],COLUMN(T_TraitDi[[#This Row],[Colonne15]]),FALSE)=0,"",TEXT(IFERROR(VLOOKUP(T_BilanSocial[[#This Row],[NumL]],T_TraitDi[#Data],COLUMN(T_TraitDi[[#This Row],[Colonne15]]),FALSE),""),"[hh]:mm"))</f>
        <v>#VALUE!</v>
      </c>
      <c r="AW190" s="172" t="e">
        <f>IF(VLOOKUP(T_BilanSocial[[#This Row],[NumL]],T_TraitDi[#Data],COLUMN(T_TraitDi[[#This Row],[Colonne16]]),FALSE)=0,"",TEXT(IFERROR(VLOOKUP(T_BilanSocial[[#This Row],[NumL]],T_TraitDi[#Data],COLUMN(T_TraitDi[[#This Row],[Colonne16]]),FALSE),""),"[hh]:mm"))</f>
        <v>#VALUE!</v>
      </c>
      <c r="AX190" s="172" t="str">
        <f>IFERROR(VLOOKUP(T_BilanSocial[[#This Row],[NumL]],T_TraitDi[#Data],COLUMN(T_TraitDi[[#This Row],[Colonne17]]),FALSE),"")</f>
        <v/>
      </c>
      <c r="AY190" s="172" t="e">
        <f>IF(VLOOKUP(T_BilanSocial[[#This Row],[NumL]],T_TraitDi[#Data],COLUMN(T_TraitDi[[#This Row],[Colonne18]]),FALSE)=0,"",TEXT(IFERROR(VLOOKUP(T_BilanSocial[[#This Row],[NumL]],T_TraitDi[#Data],COLUMN(T_TraitDi[[#This Row],[Colonne18]]),FALSE),""),"[hh]:mm"))</f>
        <v>#VALUE!</v>
      </c>
      <c r="AZ190" s="172" t="e">
        <f>IF(VLOOKUP(T_BilanSocial[[#This Row],[NumL]],T_TraitDi[#Data],COLUMN(T_TraitDi[[#This Row],[Colonne19]]),FALSE)=0,"",TEXT(IFERROR(VLOOKUP(T_BilanSocial[[#This Row],[NumL]],T_TraitDi[#Data],COLUMN(T_TraitDi[[#This Row],[Colonne19]]),FALSE),""),"[hh]:mm"))</f>
        <v>#VALUE!</v>
      </c>
      <c r="BA190" s="172" t="e">
        <f>IF(VLOOKUP(T_BilanSocial[[#This Row],[NumL]],T_TraitDi[#Data],COLUMN(T_TraitDi[[#This Row],[Colonne20]]),FALSE)=0,"",TEXT(IFERROR(VLOOKUP(T_BilanSocial[[#This Row],[NumL]],T_TraitDi[#Data],COLUMN(T_TraitDi[[#This Row],[Colonne20]]),FALSE),""),"[hh]:mm"))</f>
        <v>#VALUE!</v>
      </c>
      <c r="BB190" s="178" t="str">
        <f>IFERROR(VLOOKUP(T_BilanSocial[[#This Row],[NumL]],T_TraitDi[#Data],COLUMN(T_TraitDi[[#This Row],[Jeudi]]),FALSE),"")</f>
        <v/>
      </c>
      <c r="BC190" s="178" t="e">
        <f>IF(VLOOKUP(T_BilanSocial[[#This Row],[NumL]],T_TraitDi[#Data],COLUMN(T_TraitDi[[#This Row],[Colonne21]]),FALSE)=0,"",TEXT(IFERROR(VLOOKUP(T_BilanSocial[[#This Row],[NumL]],T_TraitDi[#Data],COLUMN(T_TraitDi[[#This Row],[Colonne21]]),FALSE),""),"[hh]:mm"))</f>
        <v>#VALUE!</v>
      </c>
      <c r="BD190" s="178" t="e">
        <f>IF(VLOOKUP(T_BilanSocial[[#This Row],[NumL]],T_TraitDi[#Data],COLUMN(T_TraitDi[[#This Row],[Colonne22]]),FALSE)=0,"",TEXT(IFERROR(VLOOKUP(T_BilanSocial[[#This Row],[NumL]],T_TraitDi[#Data],COLUMN(T_TraitDi[[#This Row],[Colonne22]]),FALSE),""),"[hh]:mm"))</f>
        <v>#VALUE!</v>
      </c>
      <c r="BE190" s="178" t="str">
        <f>IFERROR(VLOOKUP(T_BilanSocial[[#This Row],[NumL]],T_TraitDi[#Data],COLUMN(T_TraitDi[[#This Row],[Colonne23]]),FALSE),"")</f>
        <v/>
      </c>
      <c r="BF190" s="178" t="e">
        <f>IF(VLOOKUP(T_BilanSocial[[#This Row],[NumL]],T_TraitDi[#Data],COLUMN(T_TraitDi[[#This Row],[Colonne24]]),FALSE)=0,"",TEXT(IFERROR(VLOOKUP(T_BilanSocial[[#This Row],[NumL]],T_TraitDi[#Data],COLUMN(T_TraitDi[[#This Row],[Colonne24]]),FALSE),""),"[hh]:mm"))</f>
        <v>#VALUE!</v>
      </c>
      <c r="BG190" s="178" t="e">
        <f>IF(VLOOKUP(T_BilanSocial[[#This Row],[NumL]],T_TraitDi[#Data],COLUMN(T_TraitDi[[#This Row],[Colonne25]]),FALSE)=0,"",TEXT(IFERROR(VLOOKUP(T_BilanSocial[[#This Row],[NumL]],T_TraitDi[#Data],COLUMN(T_TraitDi[[#This Row],[Colonne25]]),FALSE),""),"[hh]:mm"))</f>
        <v>#VALUE!</v>
      </c>
      <c r="BH190" s="178" t="e">
        <f>IF(VLOOKUP(T_BilanSocial[[#This Row],[NumL]],T_TraitDi[#Data],COLUMN(T_TraitDi[[#This Row],[Colonne26]]),FALSE)=0,"",TEXT(IFERROR(VLOOKUP(T_BilanSocial[[#This Row],[NumL]],T_TraitDi[#Data],COLUMN(T_TraitDi[[#This Row],[Colonne26]]),FALSE),""),"[hh]:mm"))</f>
        <v>#VALUE!</v>
      </c>
      <c r="BI190" s="172" t="str">
        <f>IFERROR(VLOOKUP(T_BilanSocial[[#This Row],[NumL]],T_TraitDi[#Data],COLUMN(T_TraitDi[[#This Row],[Vendredi]]),FALSE),"")</f>
        <v/>
      </c>
      <c r="BJ190" s="172" t="e">
        <f>IF(VLOOKUP(T_BilanSocial[[#This Row],[NumL]],T_TraitDi[#Data],COLUMN(T_TraitDi[[#This Row],[Colonne27]]),FALSE)=0,"",TEXT(IFERROR(VLOOKUP(T_BilanSocial[[#This Row],[NumL]],T_TraitDi[#Data],COLUMN(T_TraitDi[[#This Row],[Colonne27]]),FALSE),""),"[hh]:mm"))</f>
        <v>#VALUE!</v>
      </c>
      <c r="BK190" s="172" t="e">
        <f>IF(VLOOKUP(T_BilanSocial[[#This Row],[NumL]],T_TraitDi[#Data],COLUMN(T_TraitDi[[#This Row],[Colonne28]]),FALSE)=0,"",TEXT(IFERROR(VLOOKUP(T_BilanSocial[[#This Row],[NumL]],T_TraitDi[#Data],COLUMN(T_TraitDi[[#This Row],[Colonne28]]),FALSE),""),"[hh]:mm"))</f>
        <v>#VALUE!</v>
      </c>
      <c r="BL190" s="172" t="str">
        <f>IFERROR(VLOOKUP(T_BilanSocial[[#This Row],[NumL]],T_TraitDi[#Data],COLUMN(T_TraitDi[[#This Row],[Colonne29]]),FALSE),"")</f>
        <v/>
      </c>
      <c r="BM190" s="172" t="e">
        <f>IF(VLOOKUP(T_BilanSocial[[#This Row],[NumL]],T_TraitDi[#Data],COLUMN(T_TraitDi[[#This Row],[Colonne30]]),FALSE)=0,"",TEXT(IFERROR(VLOOKUP(T_BilanSocial[[#This Row],[NumL]],T_TraitDi[#Data],COLUMN(T_TraitDi[[#This Row],[Colonne30]]),FALSE),""),"[hh]:mm"))</f>
        <v>#VALUE!</v>
      </c>
      <c r="BN190" s="172" t="e">
        <f>IF(VLOOKUP(T_BilanSocial[[#This Row],[NumL]],T_TraitDi[#Data],COLUMN(T_TraitDi[[#This Row],[Colonne31]]),FALSE)=0,"",TEXT(IFERROR(VLOOKUP(T_BilanSocial[[#This Row],[NumL]],T_TraitDi[#Data],COLUMN(T_TraitDi[[#This Row],[Colonne31]]),FALSE),""),"[hh]:mm"))</f>
        <v>#VALUE!</v>
      </c>
      <c r="BO190" s="172" t="e">
        <f>IF(VLOOKUP(T_BilanSocial[[#This Row],[NumL]],T_TraitDi[#Data],COLUMN(T_TraitDi[[#This Row],[Colonne32]]),FALSE)=0,"",TEXT(IFERROR(VLOOKUP(T_BilanSocial[[#This Row],[NumL]],T_TraitDi[#Data],COLUMN(T_TraitDi[[#This Row],[Colonne32]]),FALSE),""),"[hh]:mm"))</f>
        <v>#VALUE!</v>
      </c>
      <c r="BP190" s="172" t="e">
        <f>VLOOKUP(T_BilanSocial[[#This Row],[NumL]],T_TraitDi[#Data],COLUMN(T_TraitDi[NbJTot]),FALSE)</f>
        <v>#N/A</v>
      </c>
      <c r="BQ190" s="174" t="str">
        <f>IFERROR(VLOOKUP(T_BilanSocial[[#This Row],[NumL]],T_TraitDi[#Data],COLUMN(T_TraitDi[[#This Row],[NbJTW]]),FALSE),"")</f>
        <v/>
      </c>
      <c r="BR190" s="174" t="e">
        <f>IF(VLOOKUP(T_BilanSocial[[#This Row],[NumL]],T_TraitDi[#Data],COLUMN(T_TraitDi[[#This Row],[NbhTW]]),FALSE)=0,"",TEXT(IFERROR(VLOOKUP(T_BilanSocial[[#This Row],[NumL]],T_TraitDi[#Data],COLUMN(T_TraitDi[[#This Row],[NbhTW]]),FALSE),""),"[hh]:mm"))</f>
        <v>#VALUE!</v>
      </c>
      <c r="BS190" s="174" t="e">
        <f>IF(VLOOKUP(T_BilanSocial[[#This Row],[NumL]],T_TraitDi[#Data],COLUMN(T_TraitDi[[#This Row],[Nbhheb]]),FALSE)=0,"",TEXT(IFERROR(VLOOKUP($A190,T_TraitDi[#Data],COLUMN(T_TraitDi[[#This Row],[Nbhheb]]),FALSE),""),"[hh]:mm"))</f>
        <v>#VALUE!</v>
      </c>
      <c r="BT190" s="182" t="str">
        <f>IFERROR(VLOOKUP(VLOOKUP($A190,T_TraitDi[#Data],COLUMN(T_TraitDi[[#This Row],[Type1]]),FALSE),TypeTW,2,FALSE),"")</f>
        <v/>
      </c>
      <c r="BU190" s="182" t="str">
        <f>IFERROR(VLOOKUP($A190,T_TraitDi[#Data],COLUMN(T_TraitDi[[#This Row],[Rue1]]),FALSE),"")</f>
        <v/>
      </c>
      <c r="BV190" s="173" t="str">
        <f>IFERROR(VLOOKUP($A190,T_TraitDi[#Data],COLUMN(T_TraitDi[[#This Row],[CP1]]),FALSE),"")</f>
        <v/>
      </c>
      <c r="BW190" s="173" t="str">
        <f>IFERROR(VLOOKUP($A190,T_TraitDi[#Data],COLUMN(T_TraitDi[[#This Row],[VILLE1]]),FALSE),"")</f>
        <v/>
      </c>
      <c r="BX190" s="182" t="str">
        <f>IFERROR(VLOOKUP(VLOOKUP($A190,T_TraitDi[#Data],COLUMN(T_TraitDi[[#This Row],[Type2]]),FALSE),TypeTW,2,FALSE),"")</f>
        <v/>
      </c>
      <c r="BY190" s="182" t="str">
        <f>IFERROR(VLOOKUP($A190,T_TraitDi[#Data],COLUMN(T_TraitDi[[#This Row],[Rue2]]),FALSE),"")</f>
        <v/>
      </c>
      <c r="BZ190" s="173" t="str">
        <f>IFERROR(VLOOKUP($A190,T_TraitDi[#Data],COLUMN(T_TraitDi[[#This Row],[CP2]]),FALSE),"")</f>
        <v/>
      </c>
      <c r="CA190" s="173" t="str">
        <f>IFERROR(VLOOKUP($A190,T_TraitDi[#Data],COLUMN(T_TraitDi[[#This Row],[VILLE2]]),FALSE),"")</f>
        <v/>
      </c>
      <c r="CB190" s="182" t="str">
        <f>IF(VLOOKUP(T_BilanSocial[[#This Row],[NumL]],T_Equipement[#Data],COLUMN(T_Equipement[[#This Row],[PC]]),FALSE)="","Aucun équipement spécifique directement lié au télétravail",VLOOKUP(T_BilanSocial[[#This Row],[NumL]],T_Equipement[#Data],COLUMN(T_Equipement[[#This Row],[PC]]),FALSE))</f>
        <v xml:space="preserve">17-027	</v>
      </c>
      <c r="CC190" s="166" t="str">
        <f>IFERROR(IF(VLOOKUP(T_BilanSocial[[#This Row],[NumL]],T_TraitDi[#Data],COLUMN(T_TraitDi[[#This Row],[Plan]]),FALSE)="OK","Un planning spécifique de télétravail est annexé à la présente convention.",""),"")</f>
        <v/>
      </c>
      <c r="CD190" s="258" t="s">
        <v>3304</v>
      </c>
      <c r="CE190" s="164" t="e">
        <f>IF(VLOOKUP(T_BilanSocial[[#This Row],[NumL]],T_suiviDi[#Data],COLUMN(T_suiviDi[[#This Row],[Entité]]),FALSE)="","",VLOOKUP(T_BilanSocial[[#This Row],[NumL]],T_suiviDi[#Data],COLUMN(T_suiviDi[[#This Row],[Entité]]),FALSE))</f>
        <v>#VALUE!</v>
      </c>
      <c r="CF190" s="164" t="str">
        <f>IF(VLOOKUP(T_BilanSocial[[#This Row],[NumL]],T_Commission[#Data],COLUMN(T_Commission[[#This Row],[envoi confirm TW]]),FALSE)="","",VLOOKUP(T_BilanSocial[[#This Row],[NumL]],T_Commission[#Data],COLUMN(T_Commission[[#This Row],[envoi confirm TW]]),FALSE))</f>
        <v>Oui</v>
      </c>
      <c r="CG19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0" s="262" t="str">
        <f>T_BilanSocial[[#This Row],[Nom]]&amp;T_BilanSocial[[#This Row],[Prenom]]</f>
        <v/>
      </c>
      <c r="CI190" s="262">
        <f>VLOOKUP(T_BilanSocial[[#This Row],[NumL]],T_Commission[#Data],COLUMN(T_Commission[Commentaire]),FALSE)</f>
        <v>0</v>
      </c>
      <c r="CJ190" s="262" t="str">
        <f>IF(VLOOKUP(T_BilanSocial[[#This Row],[NumL]],T_Commission[#Data],COLUMN(T_Commission[Encadrant Email]),FALSE)="","",VLOOKUP(T_BilanSocial[[#This Row],[NumL]],T_Commission[#Data],COLUMN(T_Commission[Encadrant Email]),FALSE))</f>
        <v/>
      </c>
      <c r="CK190" s="340" t="str">
        <f>IF(T_BilanSocial[[#This Row],[Final]]&lt;&gt;"",VLOOKUP(T_BilanSocial[[#This Row],[NumL]],T_suiviDi[#Data],COLUMN((T_suiviDi[Statut])),FALSE),"")</f>
        <v/>
      </c>
    </row>
    <row r="191" spans="1:89" s="106" customFormat="1" ht="24.75" customHeight="1" x14ac:dyDescent="0.25">
      <c r="A191" s="160">
        <v>188</v>
      </c>
      <c r="B191" s="161" t="str">
        <f t="shared" si="22"/>
        <v/>
      </c>
      <c r="C191" s="162" t="s">
        <v>173</v>
      </c>
      <c r="D191" s="95" t="e">
        <f>IF(VLOOKUP(T_BilanSocial[[#This Row],[NumL]],T_TraitDi[#Data],COLUMN(T_TraitDi[[#This Row],[WebC]]),FALSE)="","",VLOOKUP(T_BilanSocial[[#This Row],[NumL]],T_TraitDi[#Data],COLUMN(T_TraitDi[[#This Row],[WebC]]),FALSE))</f>
        <v>#VALUE!</v>
      </c>
      <c r="E191" s="163" t="str">
        <f t="shared" si="23"/>
        <v>12 janvier 2021</v>
      </c>
      <c r="F191" s="96" t="str">
        <f>IF(T_BilanSocial[[#This Row],[Final]]&lt;&gt;"",VLOOKUP(T_BilanSocial[[#This Row],[NumL]],T_suiviDi[#Data],COLUMN((T_suiviDi[Civ.])),FALSE),"")</f>
        <v/>
      </c>
      <c r="G191" s="96" t="str">
        <f>IF(T_BilanSocial[[#This Row],[Final]]&lt;&gt;"",VLOOKUP(T_BilanSocial[[#This Row],[NumL]],T_suiviDi[#Data],COLUMN((T_suiviDi[Nom])),FALSE),"")</f>
        <v/>
      </c>
      <c r="H191" s="96" t="str">
        <f>IF(T_BilanSocial[[#This Row],[Final]]&lt;&gt;"",VLOOKUP(T_BilanSocial[[#This Row],[NumL]],T_suiviDi[#Data],COLUMN((T_suiviDi[Prénom])),FALSE),"")</f>
        <v/>
      </c>
      <c r="I191" s="96" t="str">
        <f>IFERROR(VLOOKUP(T_BilanSocial[[#This Row],[Zone_Bilan]],T_P_BilanSocial[#Data],COLUMN(T_P_BilanSocial[[#This Row],[Numero_SIHAM]]),FALSE),"")</f>
        <v/>
      </c>
      <c r="J191" s="96" t="str">
        <f>IFERROR(VLOOKUP(T_BilanSocial[[#This Row],[Zone_Bilan]],T_P_BilanSocial[#Data],COLUMN(T_P_BilanSocial[[#This Row],[Sexe]]),FALSE),"")</f>
        <v/>
      </c>
      <c r="K191" s="97" t="str">
        <f>IFERROR(VLOOKUP(T_BilanSocial[[#This Row],[Zone_Bilan]],T_P_BilanSocial[#Data],COLUMN(T_P_BilanSocial[[#This Row],[Categorie]]),FALSE),"")</f>
        <v/>
      </c>
      <c r="L191" s="96" t="str">
        <f>IFERROR(VLOOKUP(T_BilanSocial[[#This Row],[Zone_Bilan]],T_P_BilanSocial[#Data],COLUMN(T_P_BilanSocial[[#This Row],[Statut]]),FALSE),"")</f>
        <v/>
      </c>
      <c r="M191" s="96" t="str">
        <f>IFERROR(VLOOKUP(T_BilanSocial[[#This Row],[Zone_Bilan]],T_P_BilanSocial[#Data],COLUMN(T_P_BilanSocial[[#This Row],[Filiere]]),FALSE),"")</f>
        <v/>
      </c>
      <c r="N191" s="96" t="e">
        <f>VLOOKUP(T_BilanSocial[[#This Row],[NumL]],T_TraitDi[#Data],COLUMN(T_TraitDi[EXP]),FALSE)</f>
        <v>#N/A</v>
      </c>
      <c r="O191" s="96" t="e">
        <f>VLOOKUP(T_BilanSocial[[#This Row],[NumL]],T_TraitDi[#Data],COLUMN(T_TraitDi[FORM]),FALSE)</f>
        <v>#N/A</v>
      </c>
      <c r="P191" s="96" t="str">
        <f>IF(T_BilanSocial[[#This Row],[Final]]&lt;&gt;"",VLOOKUP(T_BilanSocial[[#This Row],[NumL]],T_suiviDi[#Data],COLUMN((T_suiviDi[Email])),FALSE),"")</f>
        <v/>
      </c>
      <c r="Q191" s="164" t="e">
        <f t="shared" si="28"/>
        <v>#N/A</v>
      </c>
      <c r="R191" s="164" t="e">
        <f t="shared" si="29"/>
        <v>#N/A</v>
      </c>
      <c r="S191" s="164" t="e">
        <f>IF(VLOOKUP(T_BilanSocial[[#This Row],[NumL]],T_suiviDi[#Data],COLUMN(T_suiviDi[[#This Row],[Service ]]),FALSE)="","",VLOOKUP(T_BilanSocial[[#This Row],[NumL]],T_suiviDi[#Data],COLUMN(T_suiviDi[[#This Row],[Service ]]),FALSE))</f>
        <v>#VALUE!</v>
      </c>
      <c r="T191" s="164" t="str">
        <f t="shared" si="24"/>
        <v>01 septembre 2021</v>
      </c>
      <c r="U191" s="164" t="str">
        <f t="shared" si="25"/>
        <v>30 novembre 2021</v>
      </c>
      <c r="V191" s="164" t="str">
        <f t="shared" si="32"/>
        <v>30 novembre 2021</v>
      </c>
      <c r="W191" s="176" t="e">
        <f>IF(VLOOKUP(T_BilanSocial[[#This Row],[NumL]],T_TraitDi[#Data],COLUMN(T_TraitDi[[#This Row],[M1]]),FALSE)="","",VLOOKUP(T_BilanSocial[[#This Row],[NumL]],T_TraitDi[#Data],COLUMN(T_TraitDi[[#This Row],[M1]]),FALSE))</f>
        <v>#VALUE!</v>
      </c>
      <c r="X191" s="176" t="e">
        <f>IF(VLOOKUP(T_BilanSocial[[#This Row],[NumL]],T_TraitDi[#Data],COLUMN(T_TraitDi[[#This Row],[M2]]),FALSE)="","",VLOOKUP(T_BilanSocial[[#This Row],[NumL]],T_TraitDi[#Data],COLUMN(T_TraitDi[[#This Row],[M2]]),FALSE))</f>
        <v>#VALUE!</v>
      </c>
      <c r="Y191" s="176" t="e">
        <f>IF(VLOOKUP(T_BilanSocial[[#This Row],[NumL]],T_TraitDi[#Data],COLUMN(T_TraitDi[[#This Row],[M3]]),FALSE)="","",VLOOKUP(T_BilanSocial[[#This Row],[NumL]],T_TraitDi[#Data],COLUMN(T_TraitDi[[#This Row],[M3]]),FALSE))</f>
        <v>#VALUE!</v>
      </c>
      <c r="Z191" s="176" t="str">
        <f t="shared" si="27"/>
        <v/>
      </c>
      <c r="AA191" s="176" t="e">
        <f>IF(VLOOKUP(T_BilanSocial[[#This Row],[NumL]],T_TraitDi[#Data],COLUMN(T_TraitDi[[#This Row],[M5]]),FALSE)="","",VLOOKUP(T_BilanSocial[[#This Row],[NumL]],T_TraitDi[#Data],COLUMN(T_TraitDi[[#This Row],[M5]]),FALSE))</f>
        <v>#VALUE!</v>
      </c>
      <c r="AB191" s="176" t="e">
        <f>IF(VLOOKUP(T_BilanSocial[[#This Row],[NumL]],T_TraitDi[#Data],COLUMN(T_TraitDi[[#This Row],[M6]]),FALSE)="","",VLOOKUP(T_BilanSocial[[#This Row],[NumL]],T_TraitDi[#Data],COLUMN(T_TraitDi[[#This Row],[M6]]),FALSE))</f>
        <v>#VALUE!</v>
      </c>
      <c r="AC191" s="165" t="e">
        <f t="shared" si="26"/>
        <v>#VALUE!</v>
      </c>
      <c r="AD191" s="188" t="str">
        <f>IFERROR(TEXT(VLOOKUP(T_BilanSocial[[#This Row],[NumL]],T_TraitDi[#Data],COLUMN(T_TraitDi[[#This Row],[Q2]]),FALSE),"###%"),"")</f>
        <v/>
      </c>
      <c r="AE191" s="97" t="e">
        <f>VLOOKUP(T_BilanSocial[[#This Row],[NumL]],T_TraitDi[#Data],COLUMN(T_TraitDi[[#This Row],[Reg Ponct]]),FALSE)</f>
        <v>#VALUE!</v>
      </c>
      <c r="AF191" s="97" t="e">
        <f>VLOOKUP(T_BilanSocial[NumL],T_TraitDi[#Data],COLUMN(T_TraitDi[[#This Row],[Jours flottants]]),FALSE)</f>
        <v>#VALUE!</v>
      </c>
      <c r="AG191" s="97" t="str">
        <f>IFERROR(VLOOKUP(T_BilanSocial[[#This Row],[NumL]],T_TraitDi[#Data],COLUMN(T_TraitDi[[#This Row],[Lundi]]),FALSE),"")</f>
        <v/>
      </c>
      <c r="AH191" s="172" t="e">
        <f>IF(VLOOKUP(T_BilanSocial[[#This Row],[NumL]],T_TraitDi[#Data],COLUMN(T_TraitDi[[#This Row],[Colonne3]]),FALSE)=0,"",TEXT(IFERROR(VLOOKUP(T_BilanSocial[[#This Row],[NumL]],T_TraitDi[#Data],COLUMN(T_TraitDi[[#This Row],[Colonne3]]),FALSE),""),"[hh]:mm"))</f>
        <v>#VALUE!</v>
      </c>
      <c r="AI191" s="172" t="e">
        <f>IF(VLOOKUP(T_BilanSocial[[#This Row],[NumL]],T_TraitDi[#Data],COLUMN(T_TraitDi[[#This Row],[Colonne4]]),FALSE)=0,"",TEXT(IFERROR(VLOOKUP(T_BilanSocial[[#This Row],[NumL]],T_TraitDi[#Data],COLUMN(T_TraitDi[[#This Row],[Colonne4]]),FALSE),""),"[hh]:mm"))</f>
        <v>#VALUE!</v>
      </c>
      <c r="AJ191" s="172" t="e">
        <f>IF(VLOOKUP(T_BilanSocial[[#This Row],[NumL]],T_TraitDi[#Data],COLUMN(T_TraitDi[[#This Row],[Colonne5]]),FALSE)=0,"",TEXT(IFERROR(VLOOKUP(T_BilanSocial[[#This Row],[NumL]],T_TraitDi[#Data],COLUMN(T_TraitDi[[#This Row],[Colonne5]]),FALSE),""),"[hh]:mm"))</f>
        <v>#VALUE!</v>
      </c>
      <c r="AK191" s="172" t="e">
        <f>IF(VLOOKUP(T_BilanSocial[[#This Row],[NumL]],T_TraitDi[#Data],COLUMN(T_TraitDi[[#This Row],[Colonne6]]),FALSE)=0,"",TEXT(IFERROR(VLOOKUP(T_BilanSocial[[#This Row],[NumL]],T_TraitDi[#Data],COLUMN(T_TraitDi[[#This Row],[Colonne6]]),FALSE),""),"[hh]:mm"))</f>
        <v>#VALUE!</v>
      </c>
      <c r="AL191" s="172" t="e">
        <f>IF(VLOOKUP(T_BilanSocial[[#This Row],[NumL]],T_TraitDi[#Data],COLUMN(T_TraitDi[[#This Row],[Colonne7]]),FALSE)=0,"",TEXT(IFERROR(VLOOKUP(T_BilanSocial[[#This Row],[NumL]],T_TraitDi[#Data],COLUMN(T_TraitDi[[#This Row],[Colonne7]]),FALSE),""),"[hh]:mm"))</f>
        <v>#VALUE!</v>
      </c>
      <c r="AM191" s="172" t="e">
        <f>IF(VLOOKUP(T_BilanSocial[[#This Row],[NumL]],T_TraitDi[#Data],COLUMN(T_TraitDi[[#This Row],[Colonne8]]),FALSE)=0,"",TEXT(IFERROR(VLOOKUP(T_BilanSocial[[#This Row],[NumL]],T_TraitDi[#Data],COLUMN(T_TraitDi[[#This Row],[Colonne8]]),FALSE),""),"[hh]:mm"))</f>
        <v>#VALUE!</v>
      </c>
      <c r="AN191" s="172" t="str">
        <f>IFERROR(VLOOKUP(T_BilanSocial[[#This Row],[NumL]],T_TraitDi[#Data],COLUMN(T_TraitDi[[#This Row],[Mardi]]),FALSE),"")</f>
        <v/>
      </c>
      <c r="AO191" s="172" t="e">
        <f>IF(VLOOKUP(T_BilanSocial[[#This Row],[NumL]],T_TraitDi[#Data],COLUMN(T_TraitDi[[#This Row],[Colonne1]]),FALSE)=0,"",TEXT(IFERROR(VLOOKUP(T_BilanSocial[[#This Row],[NumL]],T_TraitDi[#Data],COLUMN(T_TraitDi[[#This Row],[Colonne1]]),FALSE),""),"[hh]:mm"))</f>
        <v>#VALUE!</v>
      </c>
      <c r="AP191" s="172" t="e">
        <f>IF(VLOOKUP(T_BilanSocial[[#This Row],[NumL]],T_TraitDi[#Data],COLUMN(T_TraitDi[[#This Row],[Colonne9]]),FALSE)=0,"",TEXT(IFERROR(VLOOKUP(T_BilanSocial[[#This Row],[NumL]],T_TraitDi[#Data],COLUMN(T_TraitDi[[#This Row],[Colonne9]]),FALSE),""),"[hh]:mm"))</f>
        <v>#VALUE!</v>
      </c>
      <c r="AQ191" s="172" t="str">
        <f>IFERROR(VLOOKUP(T_BilanSocial[[#This Row],[NumL]],T_TraitDi[#Data],COLUMN(T_TraitDi[[#This Row],[Colonne10]]),FALSE),"")</f>
        <v/>
      </c>
      <c r="AR191" s="172" t="e">
        <f>IF(VLOOKUP(T_BilanSocial[[#This Row],[NumL]],T_TraitDi[#Data],COLUMN(T_TraitDi[[#This Row],[Colonne11]]),FALSE)=0,"",TEXT(IFERROR(VLOOKUP(T_BilanSocial[[#This Row],[NumL]],T_TraitDi[#Data],COLUMN(T_TraitDi[[#This Row],[Colonne11]]),FALSE),""),"[hh]:mm"))</f>
        <v>#VALUE!</v>
      </c>
      <c r="AS191" s="172" t="e">
        <f>IF(VLOOKUP(T_BilanSocial[[#This Row],[NumL]],T_TraitDi[#Data],COLUMN(T_TraitDi[[#This Row],[Colonne12]]),FALSE)=0,"",TEXT(IFERROR(VLOOKUP(T_BilanSocial[[#This Row],[NumL]],T_TraitDi[#Data],COLUMN(T_TraitDi[[#This Row],[Colonne12]]),FALSE),""),"[hh]:mm"))</f>
        <v>#VALUE!</v>
      </c>
      <c r="AT191" s="172" t="e">
        <f>IF(VLOOKUP(T_BilanSocial[[#This Row],[NumL]],T_TraitDi[#Data],COLUMN(T_TraitDi[[#This Row],[Colonne14]]),FALSE)=0,"",TEXT(IFERROR(VLOOKUP(T_BilanSocial[[#This Row],[NumL]],T_TraitDi[#Data],COLUMN(T_TraitDi[[#This Row],[Colonne14]]),FALSE),""),"[hh]:mm"))</f>
        <v>#VALUE!</v>
      </c>
      <c r="AU191" s="172" t="str">
        <f>IFERROR(VLOOKUP(T_BilanSocial[[#This Row],[NumL]],T_TraitDi[#Data],COLUMN(T_TraitDi[[#This Row],[Mercredi]]),FALSE),"")</f>
        <v/>
      </c>
      <c r="AV191" s="172" t="e">
        <f>IF(VLOOKUP(T_BilanSocial[[#This Row],[NumL]],T_TraitDi[#Data],COLUMN(T_TraitDi[[#This Row],[Colonne15]]),FALSE)=0,"",TEXT(IFERROR(VLOOKUP(T_BilanSocial[[#This Row],[NumL]],T_TraitDi[#Data],COLUMN(T_TraitDi[[#This Row],[Colonne15]]),FALSE),""),"[hh]:mm"))</f>
        <v>#VALUE!</v>
      </c>
      <c r="AW191" s="172" t="e">
        <f>IF(VLOOKUP(T_BilanSocial[[#This Row],[NumL]],T_TraitDi[#Data],COLUMN(T_TraitDi[[#This Row],[Colonne16]]),FALSE)=0,"",TEXT(IFERROR(VLOOKUP(T_BilanSocial[[#This Row],[NumL]],T_TraitDi[#Data],COLUMN(T_TraitDi[[#This Row],[Colonne16]]),FALSE),""),"[hh]:mm"))</f>
        <v>#VALUE!</v>
      </c>
      <c r="AX191" s="172" t="str">
        <f>IFERROR(VLOOKUP(T_BilanSocial[[#This Row],[NumL]],T_TraitDi[#Data],COLUMN(T_TraitDi[[#This Row],[Colonne17]]),FALSE),"")</f>
        <v/>
      </c>
      <c r="AY191" s="172" t="e">
        <f>IF(VLOOKUP(T_BilanSocial[[#This Row],[NumL]],T_TraitDi[#Data],COLUMN(T_TraitDi[[#This Row],[Colonne18]]),FALSE)=0,"",TEXT(IFERROR(VLOOKUP(T_BilanSocial[[#This Row],[NumL]],T_TraitDi[#Data],COLUMN(T_TraitDi[[#This Row],[Colonne18]]),FALSE),""),"[hh]:mm"))</f>
        <v>#VALUE!</v>
      </c>
      <c r="AZ191" s="172" t="e">
        <f>IF(VLOOKUP(T_BilanSocial[[#This Row],[NumL]],T_TraitDi[#Data],COLUMN(T_TraitDi[[#This Row],[Colonne19]]),FALSE)=0,"",TEXT(IFERROR(VLOOKUP(T_BilanSocial[[#This Row],[NumL]],T_TraitDi[#Data],COLUMN(T_TraitDi[[#This Row],[Colonne19]]),FALSE),""),"[hh]:mm"))</f>
        <v>#VALUE!</v>
      </c>
      <c r="BA191" s="172" t="e">
        <f>IF(VLOOKUP(T_BilanSocial[[#This Row],[NumL]],T_TraitDi[#Data],COLUMN(T_TraitDi[[#This Row],[Colonne20]]),FALSE)=0,"",TEXT(IFERROR(VLOOKUP(T_BilanSocial[[#This Row],[NumL]],T_TraitDi[#Data],COLUMN(T_TraitDi[[#This Row],[Colonne20]]),FALSE),""),"[hh]:mm"))</f>
        <v>#VALUE!</v>
      </c>
      <c r="BB191" s="178" t="str">
        <f>IFERROR(VLOOKUP(T_BilanSocial[[#This Row],[NumL]],T_TraitDi[#Data],COLUMN(T_TraitDi[[#This Row],[Jeudi]]),FALSE),"")</f>
        <v/>
      </c>
      <c r="BC191" s="178" t="e">
        <f>IF(VLOOKUP(T_BilanSocial[[#This Row],[NumL]],T_TraitDi[#Data],COLUMN(T_TraitDi[[#This Row],[Colonne21]]),FALSE)=0,"",TEXT(IFERROR(VLOOKUP(T_BilanSocial[[#This Row],[NumL]],T_TraitDi[#Data],COLUMN(T_TraitDi[[#This Row],[Colonne21]]),FALSE),""),"[hh]:mm"))</f>
        <v>#VALUE!</v>
      </c>
      <c r="BD191" s="178" t="e">
        <f>IF(VLOOKUP(T_BilanSocial[[#This Row],[NumL]],T_TraitDi[#Data],COLUMN(T_TraitDi[[#This Row],[Colonne22]]),FALSE)=0,"",TEXT(IFERROR(VLOOKUP(T_BilanSocial[[#This Row],[NumL]],T_TraitDi[#Data],COLUMN(T_TraitDi[[#This Row],[Colonne22]]),FALSE),""),"[hh]:mm"))</f>
        <v>#VALUE!</v>
      </c>
      <c r="BE191" s="178" t="str">
        <f>IFERROR(VLOOKUP(T_BilanSocial[[#This Row],[NumL]],T_TraitDi[#Data],COLUMN(T_TraitDi[[#This Row],[Colonne23]]),FALSE),"")</f>
        <v/>
      </c>
      <c r="BF191" s="178" t="e">
        <f>IF(VLOOKUP(T_BilanSocial[[#This Row],[NumL]],T_TraitDi[#Data],COLUMN(T_TraitDi[[#This Row],[Colonne24]]),FALSE)=0,"",TEXT(IFERROR(VLOOKUP(T_BilanSocial[[#This Row],[NumL]],T_TraitDi[#Data],COLUMN(T_TraitDi[[#This Row],[Colonne24]]),FALSE),""),"[hh]:mm"))</f>
        <v>#VALUE!</v>
      </c>
      <c r="BG191" s="178" t="e">
        <f>IF(VLOOKUP(T_BilanSocial[[#This Row],[NumL]],T_TraitDi[#Data],COLUMN(T_TraitDi[[#This Row],[Colonne25]]),FALSE)=0,"",TEXT(IFERROR(VLOOKUP(T_BilanSocial[[#This Row],[NumL]],T_TraitDi[#Data],COLUMN(T_TraitDi[[#This Row],[Colonne25]]),FALSE),""),"[hh]:mm"))</f>
        <v>#VALUE!</v>
      </c>
      <c r="BH191" s="178" t="e">
        <f>IF(VLOOKUP(T_BilanSocial[[#This Row],[NumL]],T_TraitDi[#Data],COLUMN(T_TraitDi[[#This Row],[Colonne26]]),FALSE)=0,"",TEXT(IFERROR(VLOOKUP(T_BilanSocial[[#This Row],[NumL]],T_TraitDi[#Data],COLUMN(T_TraitDi[[#This Row],[Colonne26]]),FALSE),""),"[hh]:mm"))</f>
        <v>#VALUE!</v>
      </c>
      <c r="BI191" s="172" t="str">
        <f>IFERROR(VLOOKUP(T_BilanSocial[[#This Row],[NumL]],T_TraitDi[#Data],COLUMN(T_TraitDi[[#This Row],[Vendredi]]),FALSE),"")</f>
        <v/>
      </c>
      <c r="BJ191" s="172" t="e">
        <f>IF(VLOOKUP(T_BilanSocial[[#This Row],[NumL]],T_TraitDi[#Data],COLUMN(T_TraitDi[[#This Row],[Colonne27]]),FALSE)=0,"",TEXT(IFERROR(VLOOKUP(T_BilanSocial[[#This Row],[NumL]],T_TraitDi[#Data],COLUMN(T_TraitDi[[#This Row],[Colonne27]]),FALSE),""),"[hh]:mm"))</f>
        <v>#VALUE!</v>
      </c>
      <c r="BK191" s="172" t="e">
        <f>IF(VLOOKUP(T_BilanSocial[[#This Row],[NumL]],T_TraitDi[#Data],COLUMN(T_TraitDi[[#This Row],[Colonne28]]),FALSE)=0,"",TEXT(IFERROR(VLOOKUP(T_BilanSocial[[#This Row],[NumL]],T_TraitDi[#Data],COLUMN(T_TraitDi[[#This Row],[Colonne28]]),FALSE),""),"[hh]:mm"))</f>
        <v>#VALUE!</v>
      </c>
      <c r="BL191" s="172" t="str">
        <f>IFERROR(VLOOKUP(T_BilanSocial[[#This Row],[NumL]],T_TraitDi[#Data],COLUMN(T_TraitDi[[#This Row],[Colonne29]]),FALSE),"")</f>
        <v/>
      </c>
      <c r="BM191" s="172" t="e">
        <f>IF(VLOOKUP(T_BilanSocial[[#This Row],[NumL]],T_TraitDi[#Data],COLUMN(T_TraitDi[[#This Row],[Colonne30]]),FALSE)=0,"",TEXT(IFERROR(VLOOKUP(T_BilanSocial[[#This Row],[NumL]],T_TraitDi[#Data],COLUMN(T_TraitDi[[#This Row],[Colonne30]]),FALSE),""),"[hh]:mm"))</f>
        <v>#VALUE!</v>
      </c>
      <c r="BN191" s="172" t="e">
        <f>IF(VLOOKUP(T_BilanSocial[[#This Row],[NumL]],T_TraitDi[#Data],COLUMN(T_TraitDi[[#This Row],[Colonne31]]),FALSE)=0,"",TEXT(IFERROR(VLOOKUP(T_BilanSocial[[#This Row],[NumL]],T_TraitDi[#Data],COLUMN(T_TraitDi[[#This Row],[Colonne31]]),FALSE),""),"[hh]:mm"))</f>
        <v>#VALUE!</v>
      </c>
      <c r="BO191" s="172" t="e">
        <f>IF(VLOOKUP(T_BilanSocial[[#This Row],[NumL]],T_TraitDi[#Data],COLUMN(T_TraitDi[[#This Row],[Colonne32]]),FALSE)=0,"",TEXT(IFERROR(VLOOKUP(T_BilanSocial[[#This Row],[NumL]],T_TraitDi[#Data],COLUMN(T_TraitDi[[#This Row],[Colonne32]]),FALSE),""),"[hh]:mm"))</f>
        <v>#VALUE!</v>
      </c>
      <c r="BP191" s="172" t="e">
        <f>VLOOKUP(T_BilanSocial[[#This Row],[NumL]],T_TraitDi[#Data],COLUMN(T_TraitDi[NbJTot]),FALSE)</f>
        <v>#N/A</v>
      </c>
      <c r="BQ191" s="174" t="str">
        <f>IFERROR(VLOOKUP(T_BilanSocial[[#This Row],[NumL]],T_TraitDi[#Data],COLUMN(T_TraitDi[[#This Row],[NbJTW]]),FALSE),"")</f>
        <v/>
      </c>
      <c r="BR191" s="174" t="e">
        <f>IF(VLOOKUP(T_BilanSocial[[#This Row],[NumL]],T_TraitDi[#Data],COLUMN(T_TraitDi[[#This Row],[NbhTW]]),FALSE)=0,"",TEXT(IFERROR(VLOOKUP(T_BilanSocial[[#This Row],[NumL]],T_TraitDi[#Data],COLUMN(T_TraitDi[[#This Row],[NbhTW]]),FALSE),""),"[hh]:mm"))</f>
        <v>#VALUE!</v>
      </c>
      <c r="BS191" s="174" t="e">
        <f>IF(VLOOKUP(T_BilanSocial[[#This Row],[NumL]],T_TraitDi[#Data],COLUMN(T_TraitDi[[#This Row],[Nbhheb]]),FALSE)=0,"",TEXT(IFERROR(VLOOKUP($A191,T_TraitDi[#Data],COLUMN(T_TraitDi[[#This Row],[Nbhheb]]),FALSE),""),"[hh]:mm"))</f>
        <v>#VALUE!</v>
      </c>
      <c r="BT191" s="182" t="str">
        <f>IFERROR(VLOOKUP(VLOOKUP($A191,T_TraitDi[#Data],COLUMN(T_TraitDi[[#This Row],[Type1]]),FALSE),TypeTW,2,FALSE),"")</f>
        <v/>
      </c>
      <c r="BU191" s="182" t="str">
        <f>IFERROR(VLOOKUP($A191,T_TraitDi[#Data],COLUMN(T_TraitDi[[#This Row],[Rue1]]),FALSE),"")</f>
        <v/>
      </c>
      <c r="BV191" s="173" t="str">
        <f>IFERROR(VLOOKUP($A191,T_TraitDi[#Data],COLUMN(T_TraitDi[[#This Row],[CP1]]),FALSE),"")</f>
        <v/>
      </c>
      <c r="BW191" s="173" t="str">
        <f>IFERROR(VLOOKUP($A191,T_TraitDi[#Data],COLUMN(T_TraitDi[[#This Row],[VILLE1]]),FALSE),"")</f>
        <v/>
      </c>
      <c r="BX191" s="182" t="str">
        <f>IFERROR(VLOOKUP(VLOOKUP($A191,T_TraitDi[#Data],COLUMN(T_TraitDi[[#This Row],[Type2]]),FALSE),TypeTW,2,FALSE),"")</f>
        <v/>
      </c>
      <c r="BY191" s="182" t="str">
        <f>IFERROR(VLOOKUP($A191,T_TraitDi[#Data],COLUMN(T_TraitDi[[#This Row],[Rue2]]),FALSE),"")</f>
        <v/>
      </c>
      <c r="BZ191" s="173" t="str">
        <f>IFERROR(VLOOKUP($A191,T_TraitDi[#Data],COLUMN(T_TraitDi[[#This Row],[CP2]]),FALSE),"")</f>
        <v/>
      </c>
      <c r="CA191" s="173" t="str">
        <f>IFERROR(VLOOKUP($A191,T_TraitDi[#Data],COLUMN(T_TraitDi[[#This Row],[VILLE2]]),FALSE),"")</f>
        <v/>
      </c>
      <c r="CB191" s="182" t="str">
        <f>IF(VLOOKUP(T_BilanSocial[[#This Row],[NumL]],T_Equipement[#Data],COLUMN(T_Equipement[[#This Row],[PC]]),FALSE)="","Aucun équipement spécifique directement lié au télétravail",VLOOKUP(T_BilanSocial[[#This Row],[NumL]],T_Equipement[#Data],COLUMN(T_Equipement[[#This Row],[PC]]),FALSE))</f>
        <v xml:space="preserve">18-918	</v>
      </c>
      <c r="CC191" s="166" t="str">
        <f>IFERROR(IF(VLOOKUP(T_BilanSocial[[#This Row],[NumL]],T_TraitDi[#Data],COLUMN(T_TraitDi[[#This Row],[Plan]]),FALSE)="OK","Un planning spécifique de télétravail est annexé à la présente convention.",""),"")</f>
        <v/>
      </c>
      <c r="CD191" s="258" t="s">
        <v>3305</v>
      </c>
      <c r="CE191" s="164" t="e">
        <f>IF(VLOOKUP(T_BilanSocial[[#This Row],[NumL]],T_suiviDi[#Data],COLUMN(T_suiviDi[[#This Row],[Entité]]),FALSE)="","",VLOOKUP(T_BilanSocial[[#This Row],[NumL]],T_suiviDi[#Data],COLUMN(T_suiviDi[[#This Row],[Entité]]),FALSE))</f>
        <v>#VALUE!</v>
      </c>
      <c r="CF191" s="164" t="str">
        <f>IF(VLOOKUP(T_BilanSocial[[#This Row],[NumL]],T_Commission[#Data],COLUMN(T_Commission[[#This Row],[envoi confirm TW]]),FALSE)="","",VLOOKUP(T_BilanSocial[[#This Row],[NumL]],T_Commission[#Data],COLUMN(T_Commission[[#This Row],[envoi confirm TW]]),FALSE))</f>
        <v>Oui</v>
      </c>
      <c r="CG19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1" s="262" t="str">
        <f>T_BilanSocial[[#This Row],[Nom]]&amp;T_BilanSocial[[#This Row],[Prenom]]</f>
        <v/>
      </c>
      <c r="CI191" s="262">
        <f>VLOOKUP(T_BilanSocial[[#This Row],[NumL]],T_Commission[#Data],COLUMN(T_Commission[Commentaire]),FALSE)</f>
        <v>0</v>
      </c>
      <c r="CJ191" s="262" t="str">
        <f>IF(VLOOKUP(T_BilanSocial[[#This Row],[NumL]],T_Commission[#Data],COLUMN(T_Commission[Encadrant Email]),FALSE)="","",VLOOKUP(T_BilanSocial[[#This Row],[NumL]],T_Commission[#Data],COLUMN(T_Commission[Encadrant Email]),FALSE))</f>
        <v/>
      </c>
      <c r="CK191" s="340" t="str">
        <f>IF(T_BilanSocial[[#This Row],[Final]]&lt;&gt;"",VLOOKUP(T_BilanSocial[[#This Row],[NumL]],T_suiviDi[#Data],COLUMN((T_suiviDi[Statut])),FALSE),"")</f>
        <v/>
      </c>
    </row>
    <row r="192" spans="1:89" s="106" customFormat="1" ht="24.75" customHeight="1" x14ac:dyDescent="0.25">
      <c r="A192" s="160">
        <v>189</v>
      </c>
      <c r="B192" s="161" t="str">
        <f t="shared" si="22"/>
        <v/>
      </c>
      <c r="C192" s="162" t="s">
        <v>139</v>
      </c>
      <c r="D192" s="95" t="e">
        <f>IF(VLOOKUP(T_BilanSocial[[#This Row],[NumL]],T_TraitDi[#Data],COLUMN(T_TraitDi[[#This Row],[WebC]]),FALSE)="","",VLOOKUP(T_BilanSocial[[#This Row],[NumL]],T_TraitDi[#Data],COLUMN(T_TraitDi[[#This Row],[WebC]]),FALSE))</f>
        <v>#VALUE!</v>
      </c>
      <c r="E192" s="163" t="str">
        <f t="shared" si="23"/>
        <v>12 janvier 2021</v>
      </c>
      <c r="F192" s="96" t="str">
        <f>IF(T_BilanSocial[[#This Row],[Final]]&lt;&gt;"",VLOOKUP(T_BilanSocial[[#This Row],[NumL]],T_suiviDi[#Data],COLUMN((T_suiviDi[Civ.])),FALSE),"")</f>
        <v/>
      </c>
      <c r="G192" s="96" t="str">
        <f>IF(T_BilanSocial[[#This Row],[Final]]&lt;&gt;"",VLOOKUP(T_BilanSocial[[#This Row],[NumL]],T_suiviDi[#Data],COLUMN((T_suiviDi[Nom])),FALSE),"")</f>
        <v/>
      </c>
      <c r="H192" s="96" t="str">
        <f>IF(T_BilanSocial[[#This Row],[Final]]&lt;&gt;"",VLOOKUP(T_BilanSocial[[#This Row],[NumL]],T_suiviDi[#Data],COLUMN((T_suiviDi[Prénom])),FALSE),"")</f>
        <v/>
      </c>
      <c r="I192" s="96" t="str">
        <f>IFERROR(VLOOKUP(T_BilanSocial[[#This Row],[Zone_Bilan]],T_P_BilanSocial[#Data],COLUMN(T_P_BilanSocial[[#This Row],[Numero_SIHAM]]),FALSE),"")</f>
        <v/>
      </c>
      <c r="J192" s="96" t="str">
        <f>IFERROR(VLOOKUP(T_BilanSocial[[#This Row],[Zone_Bilan]],T_P_BilanSocial[#Data],COLUMN(T_P_BilanSocial[[#This Row],[Sexe]]),FALSE),"")</f>
        <v/>
      </c>
      <c r="K192" s="97" t="str">
        <f>IFERROR(VLOOKUP(T_BilanSocial[[#This Row],[Zone_Bilan]],T_P_BilanSocial[#Data],COLUMN(T_P_BilanSocial[[#This Row],[Categorie]]),FALSE),"")</f>
        <v/>
      </c>
      <c r="L192" s="96" t="str">
        <f>IFERROR(VLOOKUP(T_BilanSocial[[#This Row],[Zone_Bilan]],T_P_BilanSocial[#Data],COLUMN(T_P_BilanSocial[[#This Row],[Statut]]),FALSE),"")</f>
        <v/>
      </c>
      <c r="M192" s="96" t="str">
        <f>IFERROR(VLOOKUP(T_BilanSocial[[#This Row],[Zone_Bilan]],T_P_BilanSocial[#Data],COLUMN(T_P_BilanSocial[[#This Row],[Filiere]]),FALSE),"")</f>
        <v/>
      </c>
      <c r="N192" s="96" t="e">
        <f>VLOOKUP(T_BilanSocial[[#This Row],[NumL]],T_TraitDi[#Data],COLUMN(T_TraitDi[EXP]),FALSE)</f>
        <v>#N/A</v>
      </c>
      <c r="O192" s="96" t="e">
        <f>VLOOKUP(T_BilanSocial[[#This Row],[NumL]],T_TraitDi[#Data],COLUMN(T_TraitDi[FORM]),FALSE)</f>
        <v>#N/A</v>
      </c>
      <c r="P192" s="96" t="str">
        <f>IF(T_BilanSocial[[#This Row],[Final]]&lt;&gt;"",VLOOKUP(T_BilanSocial[[#This Row],[NumL]],T_suiviDi[#Data],COLUMN((T_suiviDi[Email])),FALSE),"")</f>
        <v/>
      </c>
      <c r="Q192" s="164" t="e">
        <f t="shared" si="28"/>
        <v>#N/A</v>
      </c>
      <c r="R192" s="164" t="e">
        <f t="shared" si="29"/>
        <v>#N/A</v>
      </c>
      <c r="S192" s="164" t="e">
        <f>IF(VLOOKUP(T_BilanSocial[[#This Row],[NumL]],T_suiviDi[#Data],COLUMN(T_suiviDi[[#This Row],[Service ]]),FALSE)="","",VLOOKUP(T_BilanSocial[[#This Row],[NumL]],T_suiviDi[#Data],COLUMN(T_suiviDi[[#This Row],[Service ]]),FALSE))</f>
        <v>#VALUE!</v>
      </c>
      <c r="T192" s="164" t="str">
        <f t="shared" si="24"/>
        <v>01 septembre 2021</v>
      </c>
      <c r="U192" s="164" t="str">
        <f t="shared" si="25"/>
        <v>30 novembre 2021</v>
      </c>
      <c r="V192" s="256">
        <f>Datebilan</f>
        <v>44530</v>
      </c>
      <c r="W192" s="176" t="e">
        <f>IF(VLOOKUP(T_BilanSocial[[#This Row],[NumL]],T_TraitDi[#Data],COLUMN(T_TraitDi[[#This Row],[M1]]),FALSE)="","",VLOOKUP(T_BilanSocial[[#This Row],[NumL]],T_TraitDi[#Data],COLUMN(T_TraitDi[[#This Row],[M1]]),FALSE))</f>
        <v>#VALUE!</v>
      </c>
      <c r="X192" s="176" t="e">
        <f>IF(VLOOKUP(T_BilanSocial[[#This Row],[NumL]],T_TraitDi[#Data],COLUMN(T_TraitDi[[#This Row],[M2]]),FALSE)="","",VLOOKUP(T_BilanSocial[[#This Row],[NumL]],T_TraitDi[#Data],COLUMN(T_TraitDi[[#This Row],[M2]]),FALSE))</f>
        <v>#VALUE!</v>
      </c>
      <c r="Y192" s="176" t="e">
        <f>IF(VLOOKUP(T_BilanSocial[[#This Row],[NumL]],T_TraitDi[#Data],COLUMN(T_TraitDi[[#This Row],[M3]]),FALSE)="","",VLOOKUP(T_BilanSocial[[#This Row],[NumL]],T_TraitDi[#Data],COLUMN(T_TraitDi[[#This Row],[M3]]),FALSE))</f>
        <v>#VALUE!</v>
      </c>
      <c r="Z192" s="176" t="str">
        <f t="shared" si="27"/>
        <v/>
      </c>
      <c r="AA192" s="176" t="e">
        <f>IF(VLOOKUP(T_BilanSocial[[#This Row],[NumL]],T_TraitDi[#Data],COLUMN(T_TraitDi[[#This Row],[M5]]),FALSE)="","",VLOOKUP(T_BilanSocial[[#This Row],[NumL]],T_TraitDi[#Data],COLUMN(T_TraitDi[[#This Row],[M5]]),FALSE))</f>
        <v>#VALUE!</v>
      </c>
      <c r="AB192" s="176" t="e">
        <f>IF(VLOOKUP(T_BilanSocial[[#This Row],[NumL]],T_TraitDi[#Data],COLUMN(T_TraitDi[[#This Row],[M6]]),FALSE)="","",VLOOKUP(T_BilanSocial[[#This Row],[NumL]],T_TraitDi[#Data],COLUMN(T_TraitDi[[#This Row],[M6]]),FALSE))</f>
        <v>#VALUE!</v>
      </c>
      <c r="AC192" s="165" t="e">
        <f t="shared" si="26"/>
        <v>#VALUE!</v>
      </c>
      <c r="AD192" s="188" t="str">
        <f>IFERROR(TEXT(VLOOKUP(T_BilanSocial[[#This Row],[NumL]],T_TraitDi[#Data],COLUMN(T_TraitDi[[#This Row],[Q2]]),FALSE),"###%"),"")</f>
        <v/>
      </c>
      <c r="AE192" s="97" t="e">
        <f>VLOOKUP(T_BilanSocial[[#This Row],[NumL]],T_TraitDi[#Data],COLUMN(T_TraitDi[[#This Row],[Reg Ponct]]),FALSE)</f>
        <v>#VALUE!</v>
      </c>
      <c r="AF192" s="97" t="e">
        <f>VLOOKUP(T_BilanSocial[NumL],T_TraitDi[#Data],COLUMN(T_TraitDi[[#This Row],[Jours flottants]]),FALSE)</f>
        <v>#VALUE!</v>
      </c>
      <c r="AG192" s="97" t="str">
        <f>IFERROR(VLOOKUP(T_BilanSocial[[#This Row],[NumL]],T_TraitDi[#Data],COLUMN(T_TraitDi[[#This Row],[Lundi]]),FALSE),"")</f>
        <v/>
      </c>
      <c r="AH192" s="172" t="e">
        <f>IF(VLOOKUP(T_BilanSocial[[#This Row],[NumL]],T_TraitDi[#Data],COLUMN(T_TraitDi[[#This Row],[Colonne3]]),FALSE)=0,"",TEXT(IFERROR(VLOOKUP(T_BilanSocial[[#This Row],[NumL]],T_TraitDi[#Data],COLUMN(T_TraitDi[[#This Row],[Colonne3]]),FALSE),""),"[hh]:mm"))</f>
        <v>#VALUE!</v>
      </c>
      <c r="AI192" s="172" t="e">
        <f>IF(VLOOKUP(T_BilanSocial[[#This Row],[NumL]],T_TraitDi[#Data],COLUMN(T_TraitDi[[#This Row],[Colonne4]]),FALSE)=0,"",TEXT(IFERROR(VLOOKUP(T_BilanSocial[[#This Row],[NumL]],T_TraitDi[#Data],COLUMN(T_TraitDi[[#This Row],[Colonne4]]),FALSE),""),"[hh]:mm"))</f>
        <v>#VALUE!</v>
      </c>
      <c r="AJ192" s="172" t="e">
        <f>IF(VLOOKUP(T_BilanSocial[[#This Row],[NumL]],T_TraitDi[#Data],COLUMN(T_TraitDi[[#This Row],[Colonne5]]),FALSE)=0,"",TEXT(IFERROR(VLOOKUP(T_BilanSocial[[#This Row],[NumL]],T_TraitDi[#Data],COLUMN(T_TraitDi[[#This Row],[Colonne5]]),FALSE),""),"[hh]:mm"))</f>
        <v>#VALUE!</v>
      </c>
      <c r="AK192" s="172" t="e">
        <f>IF(VLOOKUP(T_BilanSocial[[#This Row],[NumL]],T_TraitDi[#Data],COLUMN(T_TraitDi[[#This Row],[Colonne6]]),FALSE)=0,"",TEXT(IFERROR(VLOOKUP(T_BilanSocial[[#This Row],[NumL]],T_TraitDi[#Data],COLUMN(T_TraitDi[[#This Row],[Colonne6]]),FALSE),""),"[hh]:mm"))</f>
        <v>#VALUE!</v>
      </c>
      <c r="AL192" s="172" t="e">
        <f>IF(VLOOKUP(T_BilanSocial[[#This Row],[NumL]],T_TraitDi[#Data],COLUMN(T_TraitDi[[#This Row],[Colonne7]]),FALSE)=0,"",TEXT(IFERROR(VLOOKUP(T_BilanSocial[[#This Row],[NumL]],T_TraitDi[#Data],COLUMN(T_TraitDi[[#This Row],[Colonne7]]),FALSE),""),"[hh]:mm"))</f>
        <v>#VALUE!</v>
      </c>
      <c r="AM192" s="172" t="e">
        <f>IF(VLOOKUP(T_BilanSocial[[#This Row],[NumL]],T_TraitDi[#Data],COLUMN(T_TraitDi[[#This Row],[Colonne8]]),FALSE)=0,"",TEXT(IFERROR(VLOOKUP(T_BilanSocial[[#This Row],[NumL]],T_TraitDi[#Data],COLUMN(T_TraitDi[[#This Row],[Colonne8]]),FALSE),""),"[hh]:mm"))</f>
        <v>#VALUE!</v>
      </c>
      <c r="AN192" s="172" t="str">
        <f>IFERROR(VLOOKUP(T_BilanSocial[[#This Row],[NumL]],T_TraitDi[#Data],COLUMN(T_TraitDi[[#This Row],[Mardi]]),FALSE),"")</f>
        <v/>
      </c>
      <c r="AO192" s="172" t="e">
        <f>IF(VLOOKUP(T_BilanSocial[[#This Row],[NumL]],T_TraitDi[#Data],COLUMN(T_TraitDi[[#This Row],[Colonne1]]),FALSE)=0,"",TEXT(IFERROR(VLOOKUP(T_BilanSocial[[#This Row],[NumL]],T_TraitDi[#Data],COLUMN(T_TraitDi[[#This Row],[Colonne1]]),FALSE),""),"[hh]:mm"))</f>
        <v>#VALUE!</v>
      </c>
      <c r="AP192" s="172" t="e">
        <f>IF(VLOOKUP(T_BilanSocial[[#This Row],[NumL]],T_TraitDi[#Data],COLUMN(T_TraitDi[[#This Row],[Colonne9]]),FALSE)=0,"",TEXT(IFERROR(VLOOKUP(T_BilanSocial[[#This Row],[NumL]],T_TraitDi[#Data],COLUMN(T_TraitDi[[#This Row],[Colonne9]]),FALSE),""),"[hh]:mm"))</f>
        <v>#VALUE!</v>
      </c>
      <c r="AQ192" s="172" t="str">
        <f>IFERROR(VLOOKUP(T_BilanSocial[[#This Row],[NumL]],T_TraitDi[#Data],COLUMN(T_TraitDi[[#This Row],[Colonne10]]),FALSE),"")</f>
        <v/>
      </c>
      <c r="AR192" s="172" t="e">
        <f>IF(VLOOKUP(T_BilanSocial[[#This Row],[NumL]],T_TraitDi[#Data],COLUMN(T_TraitDi[[#This Row],[Colonne11]]),FALSE)=0,"",TEXT(IFERROR(VLOOKUP(T_BilanSocial[[#This Row],[NumL]],T_TraitDi[#Data],COLUMN(T_TraitDi[[#This Row],[Colonne11]]),FALSE),""),"[hh]:mm"))</f>
        <v>#VALUE!</v>
      </c>
      <c r="AS192" s="172" t="e">
        <f>IF(VLOOKUP(T_BilanSocial[[#This Row],[NumL]],T_TraitDi[#Data],COLUMN(T_TraitDi[[#This Row],[Colonne12]]),FALSE)=0,"",TEXT(IFERROR(VLOOKUP(T_BilanSocial[[#This Row],[NumL]],T_TraitDi[#Data],COLUMN(T_TraitDi[[#This Row],[Colonne12]]),FALSE),""),"[hh]:mm"))</f>
        <v>#VALUE!</v>
      </c>
      <c r="AT192" s="172" t="e">
        <f>IF(VLOOKUP(T_BilanSocial[[#This Row],[NumL]],T_TraitDi[#Data],COLUMN(T_TraitDi[[#This Row],[Colonne14]]),FALSE)=0,"",TEXT(IFERROR(VLOOKUP(T_BilanSocial[[#This Row],[NumL]],T_TraitDi[#Data],COLUMN(T_TraitDi[[#This Row],[Colonne14]]),FALSE),""),"[hh]:mm"))</f>
        <v>#VALUE!</v>
      </c>
      <c r="AU192" s="172" t="str">
        <f>IFERROR(VLOOKUP(T_BilanSocial[[#This Row],[NumL]],T_TraitDi[#Data],COLUMN(T_TraitDi[[#This Row],[Mercredi]]),FALSE),"")</f>
        <v/>
      </c>
      <c r="AV192" s="172" t="e">
        <f>IF(VLOOKUP(T_BilanSocial[[#This Row],[NumL]],T_TraitDi[#Data],COLUMN(T_TraitDi[[#This Row],[Colonne15]]),FALSE)=0,"",TEXT(IFERROR(VLOOKUP(T_BilanSocial[[#This Row],[NumL]],T_TraitDi[#Data],COLUMN(T_TraitDi[[#This Row],[Colonne15]]),FALSE),""),"[hh]:mm"))</f>
        <v>#VALUE!</v>
      </c>
      <c r="AW192" s="172" t="e">
        <f>IF(VLOOKUP(T_BilanSocial[[#This Row],[NumL]],T_TraitDi[#Data],COLUMN(T_TraitDi[[#This Row],[Colonne16]]),FALSE)=0,"",TEXT(IFERROR(VLOOKUP(T_BilanSocial[[#This Row],[NumL]],T_TraitDi[#Data],COLUMN(T_TraitDi[[#This Row],[Colonne16]]),FALSE),""),"[hh]:mm"))</f>
        <v>#VALUE!</v>
      </c>
      <c r="AX192" s="172" t="str">
        <f>IFERROR(VLOOKUP(T_BilanSocial[[#This Row],[NumL]],T_TraitDi[#Data],COLUMN(T_TraitDi[[#This Row],[Colonne17]]),FALSE),"")</f>
        <v/>
      </c>
      <c r="AY192" s="172" t="e">
        <f>IF(VLOOKUP(T_BilanSocial[[#This Row],[NumL]],T_TraitDi[#Data],COLUMN(T_TraitDi[[#This Row],[Colonne18]]),FALSE)=0,"",TEXT(IFERROR(VLOOKUP(T_BilanSocial[[#This Row],[NumL]],T_TraitDi[#Data],COLUMN(T_TraitDi[[#This Row],[Colonne18]]),FALSE),""),"[hh]:mm"))</f>
        <v>#VALUE!</v>
      </c>
      <c r="AZ192" s="172" t="e">
        <f>IF(VLOOKUP(T_BilanSocial[[#This Row],[NumL]],T_TraitDi[#Data],COLUMN(T_TraitDi[[#This Row],[Colonne19]]),FALSE)=0,"",TEXT(IFERROR(VLOOKUP(T_BilanSocial[[#This Row],[NumL]],T_TraitDi[#Data],COLUMN(T_TraitDi[[#This Row],[Colonne19]]),FALSE),""),"[hh]:mm"))</f>
        <v>#VALUE!</v>
      </c>
      <c r="BA192" s="172" t="e">
        <f>IF(VLOOKUP(T_BilanSocial[[#This Row],[NumL]],T_TraitDi[#Data],COLUMN(T_TraitDi[[#This Row],[Colonne20]]),FALSE)=0,"",TEXT(IFERROR(VLOOKUP(T_BilanSocial[[#This Row],[NumL]],T_TraitDi[#Data],COLUMN(T_TraitDi[[#This Row],[Colonne20]]),FALSE),""),"[hh]:mm"))</f>
        <v>#VALUE!</v>
      </c>
      <c r="BB192" s="178" t="str">
        <f>IFERROR(VLOOKUP(T_BilanSocial[[#This Row],[NumL]],T_TraitDi[#Data],COLUMN(T_TraitDi[[#This Row],[Jeudi]]),FALSE),"")</f>
        <v/>
      </c>
      <c r="BC192" s="178" t="e">
        <f>IF(VLOOKUP(T_BilanSocial[[#This Row],[NumL]],T_TraitDi[#Data],COLUMN(T_TraitDi[[#This Row],[Colonne21]]),FALSE)=0,"",TEXT(IFERROR(VLOOKUP(T_BilanSocial[[#This Row],[NumL]],T_TraitDi[#Data],COLUMN(T_TraitDi[[#This Row],[Colonne21]]),FALSE),""),"[hh]:mm"))</f>
        <v>#VALUE!</v>
      </c>
      <c r="BD192" s="178" t="e">
        <f>IF(VLOOKUP(T_BilanSocial[[#This Row],[NumL]],T_TraitDi[#Data],COLUMN(T_TraitDi[[#This Row],[Colonne22]]),FALSE)=0,"",TEXT(IFERROR(VLOOKUP(T_BilanSocial[[#This Row],[NumL]],T_TraitDi[#Data],COLUMN(T_TraitDi[[#This Row],[Colonne22]]),FALSE),""),"[hh]:mm"))</f>
        <v>#VALUE!</v>
      </c>
      <c r="BE192" s="178" t="str">
        <f>IFERROR(VLOOKUP(T_BilanSocial[[#This Row],[NumL]],T_TraitDi[#Data],COLUMN(T_TraitDi[[#This Row],[Colonne23]]),FALSE),"")</f>
        <v/>
      </c>
      <c r="BF192" s="178" t="e">
        <f>IF(VLOOKUP(T_BilanSocial[[#This Row],[NumL]],T_TraitDi[#Data],COLUMN(T_TraitDi[[#This Row],[Colonne24]]),FALSE)=0,"",TEXT(IFERROR(VLOOKUP(T_BilanSocial[[#This Row],[NumL]],T_TraitDi[#Data],COLUMN(T_TraitDi[[#This Row],[Colonne24]]),FALSE),""),"[hh]:mm"))</f>
        <v>#VALUE!</v>
      </c>
      <c r="BG192" s="178" t="e">
        <f>IF(VLOOKUP(T_BilanSocial[[#This Row],[NumL]],T_TraitDi[#Data],COLUMN(T_TraitDi[[#This Row],[Colonne25]]),FALSE)=0,"",TEXT(IFERROR(VLOOKUP(T_BilanSocial[[#This Row],[NumL]],T_TraitDi[#Data],COLUMN(T_TraitDi[[#This Row],[Colonne25]]),FALSE),""),"[hh]:mm"))</f>
        <v>#VALUE!</v>
      </c>
      <c r="BH192" s="178" t="e">
        <f>IF(VLOOKUP(T_BilanSocial[[#This Row],[NumL]],T_TraitDi[#Data],COLUMN(T_TraitDi[[#This Row],[Colonne26]]),FALSE)=0,"",TEXT(IFERROR(VLOOKUP(T_BilanSocial[[#This Row],[NumL]],T_TraitDi[#Data],COLUMN(T_TraitDi[[#This Row],[Colonne26]]),FALSE),""),"[hh]:mm"))</f>
        <v>#VALUE!</v>
      </c>
      <c r="BI192" s="172" t="str">
        <f>IFERROR(VLOOKUP(T_BilanSocial[[#This Row],[NumL]],T_TraitDi[#Data],COLUMN(T_TraitDi[[#This Row],[Vendredi]]),FALSE),"")</f>
        <v/>
      </c>
      <c r="BJ192" s="172" t="e">
        <f>IF(VLOOKUP(T_BilanSocial[[#This Row],[NumL]],T_TraitDi[#Data],COLUMN(T_TraitDi[[#This Row],[Colonne27]]),FALSE)=0,"",TEXT(IFERROR(VLOOKUP(T_BilanSocial[[#This Row],[NumL]],T_TraitDi[#Data],COLUMN(T_TraitDi[[#This Row],[Colonne27]]),FALSE),""),"[hh]:mm"))</f>
        <v>#VALUE!</v>
      </c>
      <c r="BK192" s="172" t="e">
        <f>IF(VLOOKUP(T_BilanSocial[[#This Row],[NumL]],T_TraitDi[#Data],COLUMN(T_TraitDi[[#This Row],[Colonne28]]),FALSE)=0,"",TEXT(IFERROR(VLOOKUP(T_BilanSocial[[#This Row],[NumL]],T_TraitDi[#Data],COLUMN(T_TraitDi[[#This Row],[Colonne28]]),FALSE),""),"[hh]:mm"))</f>
        <v>#VALUE!</v>
      </c>
      <c r="BL192" s="172" t="str">
        <f>IFERROR(VLOOKUP(T_BilanSocial[[#This Row],[NumL]],T_TraitDi[#Data],COLUMN(T_TraitDi[[#This Row],[Colonne29]]),FALSE),"")</f>
        <v/>
      </c>
      <c r="BM192" s="172" t="e">
        <f>IF(VLOOKUP(T_BilanSocial[[#This Row],[NumL]],T_TraitDi[#Data],COLUMN(T_TraitDi[[#This Row],[Colonne30]]),FALSE)=0,"",TEXT(IFERROR(VLOOKUP(T_BilanSocial[[#This Row],[NumL]],T_TraitDi[#Data],COLUMN(T_TraitDi[[#This Row],[Colonne30]]),FALSE),""),"[hh]:mm"))</f>
        <v>#VALUE!</v>
      </c>
      <c r="BN192" s="172" t="e">
        <f>IF(VLOOKUP(T_BilanSocial[[#This Row],[NumL]],T_TraitDi[#Data],COLUMN(T_TraitDi[[#This Row],[Colonne31]]),FALSE)=0,"",TEXT(IFERROR(VLOOKUP(T_BilanSocial[[#This Row],[NumL]],T_TraitDi[#Data],COLUMN(T_TraitDi[[#This Row],[Colonne31]]),FALSE),""),"[hh]:mm"))</f>
        <v>#VALUE!</v>
      </c>
      <c r="BO192" s="172" t="e">
        <f>IF(VLOOKUP(T_BilanSocial[[#This Row],[NumL]],T_TraitDi[#Data],COLUMN(T_TraitDi[[#This Row],[Colonne32]]),FALSE)=0,"",TEXT(IFERROR(VLOOKUP(T_BilanSocial[[#This Row],[NumL]],T_TraitDi[#Data],COLUMN(T_TraitDi[[#This Row],[Colonne32]]),FALSE),""),"[hh]:mm"))</f>
        <v>#VALUE!</v>
      </c>
      <c r="BP192" s="172" t="e">
        <f>VLOOKUP(T_BilanSocial[[#This Row],[NumL]],T_TraitDi[#Data],COLUMN(T_TraitDi[NbJTot]),FALSE)</f>
        <v>#N/A</v>
      </c>
      <c r="BQ192" s="174" t="str">
        <f>IFERROR(VLOOKUP(T_BilanSocial[[#This Row],[NumL]],T_TraitDi[#Data],COLUMN(T_TraitDi[[#This Row],[NbJTW]]),FALSE),"")</f>
        <v/>
      </c>
      <c r="BR192" s="174" t="e">
        <f>IF(VLOOKUP(T_BilanSocial[[#This Row],[NumL]],T_TraitDi[#Data],COLUMN(T_TraitDi[[#This Row],[NbhTW]]),FALSE)=0,"",TEXT(IFERROR(VLOOKUP(T_BilanSocial[[#This Row],[NumL]],T_TraitDi[#Data],COLUMN(T_TraitDi[[#This Row],[NbhTW]]),FALSE),""),"[hh]:mm"))</f>
        <v>#VALUE!</v>
      </c>
      <c r="BS192" s="174" t="e">
        <f>IF(VLOOKUP(T_BilanSocial[[#This Row],[NumL]],T_TraitDi[#Data],COLUMN(T_TraitDi[[#This Row],[Nbhheb]]),FALSE)=0,"",TEXT(IFERROR(VLOOKUP($A192,T_TraitDi[#Data],COLUMN(T_TraitDi[[#This Row],[Nbhheb]]),FALSE),""),"[hh]:mm"))</f>
        <v>#VALUE!</v>
      </c>
      <c r="BT192" s="182" t="str">
        <f>IFERROR(VLOOKUP(VLOOKUP($A192,T_TraitDi[#Data],COLUMN(T_TraitDi[[#This Row],[Type1]]),FALSE),TypeTW,2,FALSE),"")</f>
        <v/>
      </c>
      <c r="BU192" s="182" t="str">
        <f>IFERROR(VLOOKUP($A192,T_TraitDi[#Data],COLUMN(T_TraitDi[[#This Row],[Rue1]]),FALSE),"")</f>
        <v/>
      </c>
      <c r="BV192" s="173" t="str">
        <f>IFERROR(VLOOKUP($A192,T_TraitDi[#Data],COLUMN(T_TraitDi[[#This Row],[CP1]]),FALSE),"")</f>
        <v/>
      </c>
      <c r="BW192" s="173" t="str">
        <f>IFERROR(VLOOKUP($A192,T_TraitDi[#Data],COLUMN(T_TraitDi[[#This Row],[VILLE1]]),FALSE),"")</f>
        <v/>
      </c>
      <c r="BX192" s="182" t="str">
        <f>IFERROR(VLOOKUP(VLOOKUP($A192,T_TraitDi[#Data],COLUMN(T_TraitDi[[#This Row],[Type2]]),FALSE),TypeTW,2,FALSE),"")</f>
        <v/>
      </c>
      <c r="BY192" s="182" t="str">
        <f>IFERROR(VLOOKUP($A192,T_TraitDi[#Data],COLUMN(T_TraitDi[[#This Row],[Rue2]]),FALSE),"")</f>
        <v/>
      </c>
      <c r="BZ192" s="173" t="str">
        <f>IFERROR(VLOOKUP($A192,T_TraitDi[#Data],COLUMN(T_TraitDi[[#This Row],[CP2]]),FALSE),"")</f>
        <v/>
      </c>
      <c r="CA192" s="173" t="str">
        <f>IFERROR(VLOOKUP($A192,T_TraitDi[#Data],COLUMN(T_TraitDi[[#This Row],[VILLE2]]),FALSE),"")</f>
        <v/>
      </c>
      <c r="CB192" s="182" t="str">
        <f>IF(VLOOKUP(T_BilanSocial[[#This Row],[NumL]],T_Equipement[#Data],COLUMN(T_Equipement[[#This Row],[PC]]),FALSE)="","Aucun équipement spécifique directement lié au télétravail",VLOOKUP(T_BilanSocial[[#This Row],[NumL]],T_Equipement[#Data],COLUMN(T_Equipement[[#This Row],[PC]]),FALSE))</f>
        <v xml:space="preserve">SCD2018DID01	</v>
      </c>
      <c r="CC192" s="166" t="str">
        <f>IFERROR(IF(VLOOKUP(T_BilanSocial[[#This Row],[NumL]],T_TraitDi[#Data],COLUMN(T_TraitDi[[#This Row],[Plan]]),FALSE)="OK","Un planning spécifique de télétravail est annexé à la présente convention.",""),"")</f>
        <v/>
      </c>
      <c r="CD192" s="185"/>
      <c r="CE192" s="164" t="e">
        <f>IF(VLOOKUP(T_BilanSocial[[#This Row],[NumL]],T_suiviDi[#Data],COLUMN(T_suiviDi[[#This Row],[Entité]]),FALSE)="","",VLOOKUP(T_BilanSocial[[#This Row],[NumL]],T_suiviDi[#Data],COLUMN(T_suiviDi[[#This Row],[Entité]]),FALSE))</f>
        <v>#VALUE!</v>
      </c>
      <c r="CF192" s="164" t="str">
        <f>IF(VLOOKUP(T_BilanSocial[[#This Row],[NumL]],T_Commission[#Data],COLUMN(T_Commission[[#This Row],[envoi confirm TW]]),FALSE)="","",VLOOKUP(T_BilanSocial[[#This Row],[NumL]],T_Commission[#Data],COLUMN(T_Commission[[#This Row],[envoi confirm TW]]),FALSE))</f>
        <v>Oui</v>
      </c>
      <c r="CG19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2" s="262" t="str">
        <f>T_BilanSocial[[#This Row],[Nom]]&amp;T_BilanSocial[[#This Row],[Prenom]]</f>
        <v/>
      </c>
      <c r="CI192" s="262">
        <f>VLOOKUP(T_BilanSocial[[#This Row],[NumL]],T_Commission[#Data],COLUMN(T_Commission[Commentaire]),FALSE)</f>
        <v>0</v>
      </c>
      <c r="CJ192" s="262" t="str">
        <f>IF(VLOOKUP(T_BilanSocial[[#This Row],[NumL]],T_Commission[#Data],COLUMN(T_Commission[Encadrant Email]),FALSE)="","",VLOOKUP(T_BilanSocial[[#This Row],[NumL]],T_Commission[#Data],COLUMN(T_Commission[Encadrant Email]),FALSE))</f>
        <v/>
      </c>
      <c r="CK192" s="340" t="str">
        <f>IF(T_BilanSocial[[#This Row],[Final]]&lt;&gt;"",VLOOKUP(T_BilanSocial[[#This Row],[NumL]],T_suiviDi[#Data],COLUMN((T_suiviDi[Statut])),FALSE),"")</f>
        <v/>
      </c>
    </row>
    <row r="193" spans="1:89" s="106" customFormat="1" ht="24.75" customHeight="1" x14ac:dyDescent="0.25">
      <c r="A193" s="160">
        <v>190</v>
      </c>
      <c r="B193" s="161" t="str">
        <f t="shared" si="22"/>
        <v/>
      </c>
      <c r="C193" s="162" t="s">
        <v>173</v>
      </c>
      <c r="D193" s="95" t="e">
        <f>IF(VLOOKUP(T_BilanSocial[[#This Row],[NumL]],T_TraitDi[#Data],COLUMN(T_TraitDi[[#This Row],[WebC]]),FALSE)="","",VLOOKUP(T_BilanSocial[[#This Row],[NumL]],T_TraitDi[#Data],COLUMN(T_TraitDi[[#This Row],[WebC]]),FALSE))</f>
        <v>#VALUE!</v>
      </c>
      <c r="E193" s="163" t="str">
        <f t="shared" si="23"/>
        <v>12 janvier 2021</v>
      </c>
      <c r="F193" s="96" t="str">
        <f>IF(T_BilanSocial[[#This Row],[Final]]&lt;&gt;"",VLOOKUP(T_BilanSocial[[#This Row],[NumL]],T_suiviDi[#Data],COLUMN((T_suiviDi[Civ.])),FALSE),"")</f>
        <v/>
      </c>
      <c r="G193" s="96" t="str">
        <f>IF(T_BilanSocial[[#This Row],[Final]]&lt;&gt;"",VLOOKUP(T_BilanSocial[[#This Row],[NumL]],T_suiviDi[#Data],COLUMN((T_suiviDi[Nom])),FALSE),"")</f>
        <v/>
      </c>
      <c r="H193" s="96" t="str">
        <f>IF(T_BilanSocial[[#This Row],[Final]]&lt;&gt;"",VLOOKUP(T_BilanSocial[[#This Row],[NumL]],T_suiviDi[#Data],COLUMN((T_suiviDi[Prénom])),FALSE),"")</f>
        <v/>
      </c>
      <c r="I193" s="96" t="str">
        <f>IFERROR(VLOOKUP(T_BilanSocial[[#This Row],[Zone_Bilan]],T_P_BilanSocial[#Data],COLUMN(T_P_BilanSocial[[#This Row],[Numero_SIHAM]]),FALSE),"")</f>
        <v/>
      </c>
      <c r="J193" s="96" t="str">
        <f>IFERROR(VLOOKUP(T_BilanSocial[[#This Row],[Zone_Bilan]],T_P_BilanSocial[#Data],COLUMN(T_P_BilanSocial[[#This Row],[Sexe]]),FALSE),"")</f>
        <v/>
      </c>
      <c r="K193" s="97" t="str">
        <f>IFERROR(VLOOKUP(T_BilanSocial[[#This Row],[Zone_Bilan]],T_P_BilanSocial[#Data],COLUMN(T_P_BilanSocial[[#This Row],[Categorie]]),FALSE),"")</f>
        <v/>
      </c>
      <c r="L193" s="96" t="str">
        <f>IFERROR(VLOOKUP(T_BilanSocial[[#This Row],[Zone_Bilan]],T_P_BilanSocial[#Data],COLUMN(T_P_BilanSocial[[#This Row],[Statut]]),FALSE),"")</f>
        <v/>
      </c>
      <c r="M193" s="96" t="str">
        <f>IFERROR(VLOOKUP(T_BilanSocial[[#This Row],[Zone_Bilan]],T_P_BilanSocial[#Data],COLUMN(T_P_BilanSocial[[#This Row],[Filiere]]),FALSE),"")</f>
        <v/>
      </c>
      <c r="N193" s="96" t="e">
        <f>VLOOKUP(T_BilanSocial[[#This Row],[NumL]],T_TraitDi[#Data],COLUMN(T_TraitDi[EXP]),FALSE)</f>
        <v>#N/A</v>
      </c>
      <c r="O193" s="96" t="e">
        <f>VLOOKUP(T_BilanSocial[[#This Row],[NumL]],T_TraitDi[#Data],COLUMN(T_TraitDi[FORM]),FALSE)</f>
        <v>#N/A</v>
      </c>
      <c r="P193" s="96" t="str">
        <f>IF(T_BilanSocial[[#This Row],[Final]]&lt;&gt;"",VLOOKUP(T_BilanSocial[[#This Row],[NumL]],T_suiviDi[#Data],COLUMN((T_suiviDi[Email])),FALSE),"")</f>
        <v/>
      </c>
      <c r="Q193" s="164" t="e">
        <f t="shared" si="28"/>
        <v>#N/A</v>
      </c>
      <c r="R193" s="164" t="e">
        <f t="shared" si="29"/>
        <v>#N/A</v>
      </c>
      <c r="S193" s="164" t="e">
        <f>IF(VLOOKUP(T_BilanSocial[[#This Row],[NumL]],T_suiviDi[#Data],COLUMN(T_suiviDi[[#This Row],[Service ]]),FALSE)="","",VLOOKUP(T_BilanSocial[[#This Row],[NumL]],T_suiviDi[#Data],COLUMN(T_suiviDi[[#This Row],[Service ]]),FALSE))</f>
        <v>#VALUE!</v>
      </c>
      <c r="T193" s="164" t="str">
        <f t="shared" si="24"/>
        <v>01 septembre 2021</v>
      </c>
      <c r="U193" s="164" t="str">
        <f t="shared" si="25"/>
        <v>30 novembre 2021</v>
      </c>
      <c r="V193" s="164" t="str">
        <f t="shared" ref="V193:V202" si="33">TEXT(Datebilan,"jj mmmm aaaa")</f>
        <v>30 novembre 2021</v>
      </c>
      <c r="W193" s="176" t="e">
        <f>IF(VLOOKUP(T_BilanSocial[[#This Row],[NumL]],T_TraitDi[#Data],COLUMN(T_TraitDi[[#This Row],[M1]]),FALSE)="","",VLOOKUP(T_BilanSocial[[#This Row],[NumL]],T_TraitDi[#Data],COLUMN(T_TraitDi[[#This Row],[M1]]),FALSE))</f>
        <v>#VALUE!</v>
      </c>
      <c r="X193" s="176" t="e">
        <f>IF(VLOOKUP(T_BilanSocial[[#This Row],[NumL]],T_TraitDi[#Data],COLUMN(T_TraitDi[[#This Row],[M2]]),FALSE)="","",VLOOKUP(T_BilanSocial[[#This Row],[NumL]],T_TraitDi[#Data],COLUMN(T_TraitDi[[#This Row],[M2]]),FALSE))</f>
        <v>#VALUE!</v>
      </c>
      <c r="Y193" s="176" t="e">
        <f>IF(VLOOKUP(T_BilanSocial[[#This Row],[NumL]],T_TraitDi[#Data],COLUMN(T_TraitDi[[#This Row],[M3]]),FALSE)="","",VLOOKUP(T_BilanSocial[[#This Row],[NumL]],T_TraitDi[#Data],COLUMN(T_TraitDi[[#This Row],[M3]]),FALSE))</f>
        <v>#VALUE!</v>
      </c>
      <c r="Z193" s="176" t="str">
        <f t="shared" si="27"/>
        <v/>
      </c>
      <c r="AA193" s="176" t="e">
        <f>IF(VLOOKUP(T_BilanSocial[[#This Row],[NumL]],T_TraitDi[#Data],COLUMN(T_TraitDi[[#This Row],[M5]]),FALSE)="","",VLOOKUP(T_BilanSocial[[#This Row],[NumL]],T_TraitDi[#Data],COLUMN(T_TraitDi[[#This Row],[M5]]),FALSE))</f>
        <v>#VALUE!</v>
      </c>
      <c r="AB193" s="176" t="e">
        <f>IF(VLOOKUP(T_BilanSocial[[#This Row],[NumL]],T_TraitDi[#Data],COLUMN(T_TraitDi[[#This Row],[M6]]),FALSE)="","",VLOOKUP(T_BilanSocial[[#This Row],[NumL]],T_TraitDi[#Data],COLUMN(T_TraitDi[[#This Row],[M6]]),FALSE))</f>
        <v>#VALUE!</v>
      </c>
      <c r="AC193" s="165" t="e">
        <f t="shared" si="26"/>
        <v>#VALUE!</v>
      </c>
      <c r="AD193" s="188" t="str">
        <f>IFERROR(TEXT(VLOOKUP(T_BilanSocial[[#This Row],[NumL]],T_TraitDi[#Data],COLUMN(T_TraitDi[[#This Row],[Q2]]),FALSE),"###%"),"")</f>
        <v/>
      </c>
      <c r="AE193" s="97" t="e">
        <f>VLOOKUP(T_BilanSocial[[#This Row],[NumL]],T_TraitDi[#Data],COLUMN(T_TraitDi[[#This Row],[Reg Ponct]]),FALSE)</f>
        <v>#VALUE!</v>
      </c>
      <c r="AF193" s="97" t="e">
        <f>VLOOKUP(T_BilanSocial[NumL],T_TraitDi[#Data],COLUMN(T_TraitDi[[#This Row],[Jours flottants]]),FALSE)</f>
        <v>#VALUE!</v>
      </c>
      <c r="AG193" s="97" t="str">
        <f>IFERROR(VLOOKUP(T_BilanSocial[[#This Row],[NumL]],T_TraitDi[#Data],COLUMN(T_TraitDi[[#This Row],[Lundi]]),FALSE),"")</f>
        <v/>
      </c>
      <c r="AH193" s="172" t="e">
        <f>IF(VLOOKUP(T_BilanSocial[[#This Row],[NumL]],T_TraitDi[#Data],COLUMN(T_TraitDi[[#This Row],[Colonne3]]),FALSE)=0,"",TEXT(IFERROR(VLOOKUP(T_BilanSocial[[#This Row],[NumL]],T_TraitDi[#Data],COLUMN(T_TraitDi[[#This Row],[Colonne3]]),FALSE),""),"[hh]:mm"))</f>
        <v>#VALUE!</v>
      </c>
      <c r="AI193" s="172" t="e">
        <f>IF(VLOOKUP(T_BilanSocial[[#This Row],[NumL]],T_TraitDi[#Data],COLUMN(T_TraitDi[[#This Row],[Colonne4]]),FALSE)=0,"",TEXT(IFERROR(VLOOKUP(T_BilanSocial[[#This Row],[NumL]],T_TraitDi[#Data],COLUMN(T_TraitDi[[#This Row],[Colonne4]]),FALSE),""),"[hh]:mm"))</f>
        <v>#VALUE!</v>
      </c>
      <c r="AJ193" s="172" t="e">
        <f>IF(VLOOKUP(T_BilanSocial[[#This Row],[NumL]],T_TraitDi[#Data],COLUMN(T_TraitDi[[#This Row],[Colonne5]]),FALSE)=0,"",TEXT(IFERROR(VLOOKUP(T_BilanSocial[[#This Row],[NumL]],T_TraitDi[#Data],COLUMN(T_TraitDi[[#This Row],[Colonne5]]),FALSE),""),"[hh]:mm"))</f>
        <v>#VALUE!</v>
      </c>
      <c r="AK193" s="172" t="e">
        <f>IF(VLOOKUP(T_BilanSocial[[#This Row],[NumL]],T_TraitDi[#Data],COLUMN(T_TraitDi[[#This Row],[Colonne6]]),FALSE)=0,"",TEXT(IFERROR(VLOOKUP(T_BilanSocial[[#This Row],[NumL]],T_TraitDi[#Data],COLUMN(T_TraitDi[[#This Row],[Colonne6]]),FALSE),""),"[hh]:mm"))</f>
        <v>#VALUE!</v>
      </c>
      <c r="AL193" s="172" t="e">
        <f>IF(VLOOKUP(T_BilanSocial[[#This Row],[NumL]],T_TraitDi[#Data],COLUMN(T_TraitDi[[#This Row],[Colonne7]]),FALSE)=0,"",TEXT(IFERROR(VLOOKUP(T_BilanSocial[[#This Row],[NumL]],T_TraitDi[#Data],COLUMN(T_TraitDi[[#This Row],[Colonne7]]),FALSE),""),"[hh]:mm"))</f>
        <v>#VALUE!</v>
      </c>
      <c r="AM193" s="172" t="e">
        <f>IF(VLOOKUP(T_BilanSocial[[#This Row],[NumL]],T_TraitDi[#Data],COLUMN(T_TraitDi[[#This Row],[Colonne8]]),FALSE)=0,"",TEXT(IFERROR(VLOOKUP(T_BilanSocial[[#This Row],[NumL]],T_TraitDi[#Data],COLUMN(T_TraitDi[[#This Row],[Colonne8]]),FALSE),""),"[hh]:mm"))</f>
        <v>#VALUE!</v>
      </c>
      <c r="AN193" s="172" t="str">
        <f>IFERROR(VLOOKUP(T_BilanSocial[[#This Row],[NumL]],T_TraitDi[#Data],COLUMN(T_TraitDi[[#This Row],[Mardi]]),FALSE),"")</f>
        <v/>
      </c>
      <c r="AO193" s="172" t="e">
        <f>IF(VLOOKUP(T_BilanSocial[[#This Row],[NumL]],T_TraitDi[#Data],COLUMN(T_TraitDi[[#This Row],[Colonne1]]),FALSE)=0,"",TEXT(IFERROR(VLOOKUP(T_BilanSocial[[#This Row],[NumL]],T_TraitDi[#Data],COLUMN(T_TraitDi[[#This Row],[Colonne1]]),FALSE),""),"[hh]:mm"))</f>
        <v>#VALUE!</v>
      </c>
      <c r="AP193" s="172" t="e">
        <f>IF(VLOOKUP(T_BilanSocial[[#This Row],[NumL]],T_TraitDi[#Data],COLUMN(T_TraitDi[[#This Row],[Colonne9]]),FALSE)=0,"",TEXT(IFERROR(VLOOKUP(T_BilanSocial[[#This Row],[NumL]],T_TraitDi[#Data],COLUMN(T_TraitDi[[#This Row],[Colonne9]]),FALSE),""),"[hh]:mm"))</f>
        <v>#VALUE!</v>
      </c>
      <c r="AQ193" s="172" t="str">
        <f>IFERROR(VLOOKUP(T_BilanSocial[[#This Row],[NumL]],T_TraitDi[#Data],COLUMN(T_TraitDi[[#This Row],[Colonne10]]),FALSE),"")</f>
        <v/>
      </c>
      <c r="AR193" s="172" t="e">
        <f>IF(VLOOKUP(T_BilanSocial[[#This Row],[NumL]],T_TraitDi[#Data],COLUMN(T_TraitDi[[#This Row],[Colonne11]]),FALSE)=0,"",TEXT(IFERROR(VLOOKUP(T_BilanSocial[[#This Row],[NumL]],T_TraitDi[#Data],COLUMN(T_TraitDi[[#This Row],[Colonne11]]),FALSE),""),"[hh]:mm"))</f>
        <v>#VALUE!</v>
      </c>
      <c r="AS193" s="172" t="e">
        <f>IF(VLOOKUP(T_BilanSocial[[#This Row],[NumL]],T_TraitDi[#Data],COLUMN(T_TraitDi[[#This Row],[Colonne12]]),FALSE)=0,"",TEXT(IFERROR(VLOOKUP(T_BilanSocial[[#This Row],[NumL]],T_TraitDi[#Data],COLUMN(T_TraitDi[[#This Row],[Colonne12]]),FALSE),""),"[hh]:mm"))</f>
        <v>#VALUE!</v>
      </c>
      <c r="AT193" s="172" t="e">
        <f>IF(VLOOKUP(T_BilanSocial[[#This Row],[NumL]],T_TraitDi[#Data],COLUMN(T_TraitDi[[#This Row],[Colonne14]]),FALSE)=0,"",TEXT(IFERROR(VLOOKUP(T_BilanSocial[[#This Row],[NumL]],T_TraitDi[#Data],COLUMN(T_TraitDi[[#This Row],[Colonne14]]),FALSE),""),"[hh]:mm"))</f>
        <v>#VALUE!</v>
      </c>
      <c r="AU193" s="172" t="str">
        <f>IFERROR(VLOOKUP(T_BilanSocial[[#This Row],[NumL]],T_TraitDi[#Data],COLUMN(T_TraitDi[[#This Row],[Mercredi]]),FALSE),"")</f>
        <v/>
      </c>
      <c r="AV193" s="172" t="e">
        <f>IF(VLOOKUP(T_BilanSocial[[#This Row],[NumL]],T_TraitDi[#Data],COLUMN(T_TraitDi[[#This Row],[Colonne15]]),FALSE)=0,"",TEXT(IFERROR(VLOOKUP(T_BilanSocial[[#This Row],[NumL]],T_TraitDi[#Data],COLUMN(T_TraitDi[[#This Row],[Colonne15]]),FALSE),""),"[hh]:mm"))</f>
        <v>#VALUE!</v>
      </c>
      <c r="AW193" s="172" t="e">
        <f>IF(VLOOKUP(T_BilanSocial[[#This Row],[NumL]],T_TraitDi[#Data],COLUMN(T_TraitDi[[#This Row],[Colonne16]]),FALSE)=0,"",TEXT(IFERROR(VLOOKUP(T_BilanSocial[[#This Row],[NumL]],T_TraitDi[#Data],COLUMN(T_TraitDi[[#This Row],[Colonne16]]),FALSE),""),"[hh]:mm"))</f>
        <v>#VALUE!</v>
      </c>
      <c r="AX193" s="172" t="str">
        <f>IFERROR(VLOOKUP(T_BilanSocial[[#This Row],[NumL]],T_TraitDi[#Data],COLUMN(T_TraitDi[[#This Row],[Colonne17]]),FALSE),"")</f>
        <v/>
      </c>
      <c r="AY193" s="172" t="e">
        <f>IF(VLOOKUP(T_BilanSocial[[#This Row],[NumL]],T_TraitDi[#Data],COLUMN(T_TraitDi[[#This Row],[Colonne18]]),FALSE)=0,"",TEXT(IFERROR(VLOOKUP(T_BilanSocial[[#This Row],[NumL]],T_TraitDi[#Data],COLUMN(T_TraitDi[[#This Row],[Colonne18]]),FALSE),""),"[hh]:mm"))</f>
        <v>#VALUE!</v>
      </c>
      <c r="AZ193" s="172" t="e">
        <f>IF(VLOOKUP(T_BilanSocial[[#This Row],[NumL]],T_TraitDi[#Data],COLUMN(T_TraitDi[[#This Row],[Colonne19]]),FALSE)=0,"",TEXT(IFERROR(VLOOKUP(T_BilanSocial[[#This Row],[NumL]],T_TraitDi[#Data],COLUMN(T_TraitDi[[#This Row],[Colonne19]]),FALSE),""),"[hh]:mm"))</f>
        <v>#VALUE!</v>
      </c>
      <c r="BA193" s="172" t="e">
        <f>IF(VLOOKUP(T_BilanSocial[[#This Row],[NumL]],T_TraitDi[#Data],COLUMN(T_TraitDi[[#This Row],[Colonne20]]),FALSE)=0,"",TEXT(IFERROR(VLOOKUP(T_BilanSocial[[#This Row],[NumL]],T_TraitDi[#Data],COLUMN(T_TraitDi[[#This Row],[Colonne20]]),FALSE),""),"[hh]:mm"))</f>
        <v>#VALUE!</v>
      </c>
      <c r="BB193" s="178" t="str">
        <f>IFERROR(VLOOKUP(T_BilanSocial[[#This Row],[NumL]],T_TraitDi[#Data],COLUMN(T_TraitDi[[#This Row],[Jeudi]]),FALSE),"")</f>
        <v/>
      </c>
      <c r="BC193" s="178" t="e">
        <f>IF(VLOOKUP(T_BilanSocial[[#This Row],[NumL]],T_TraitDi[#Data],COLUMN(T_TraitDi[[#This Row],[Colonne21]]),FALSE)=0,"",TEXT(IFERROR(VLOOKUP(T_BilanSocial[[#This Row],[NumL]],T_TraitDi[#Data],COLUMN(T_TraitDi[[#This Row],[Colonne21]]),FALSE),""),"[hh]:mm"))</f>
        <v>#VALUE!</v>
      </c>
      <c r="BD193" s="178" t="e">
        <f>IF(VLOOKUP(T_BilanSocial[[#This Row],[NumL]],T_TraitDi[#Data],COLUMN(T_TraitDi[[#This Row],[Colonne22]]),FALSE)=0,"",TEXT(IFERROR(VLOOKUP(T_BilanSocial[[#This Row],[NumL]],T_TraitDi[#Data],COLUMN(T_TraitDi[[#This Row],[Colonne22]]),FALSE),""),"[hh]:mm"))</f>
        <v>#VALUE!</v>
      </c>
      <c r="BE193" s="178" t="str">
        <f>IFERROR(VLOOKUP(T_BilanSocial[[#This Row],[NumL]],T_TraitDi[#Data],COLUMN(T_TraitDi[[#This Row],[Colonne23]]),FALSE),"")</f>
        <v/>
      </c>
      <c r="BF193" s="178" t="e">
        <f>IF(VLOOKUP(T_BilanSocial[[#This Row],[NumL]],T_TraitDi[#Data],COLUMN(T_TraitDi[[#This Row],[Colonne24]]),FALSE)=0,"",TEXT(IFERROR(VLOOKUP(T_BilanSocial[[#This Row],[NumL]],T_TraitDi[#Data],COLUMN(T_TraitDi[[#This Row],[Colonne24]]),FALSE),""),"[hh]:mm"))</f>
        <v>#VALUE!</v>
      </c>
      <c r="BG193" s="178" t="e">
        <f>IF(VLOOKUP(T_BilanSocial[[#This Row],[NumL]],T_TraitDi[#Data],COLUMN(T_TraitDi[[#This Row],[Colonne25]]),FALSE)=0,"",TEXT(IFERROR(VLOOKUP(T_BilanSocial[[#This Row],[NumL]],T_TraitDi[#Data],COLUMN(T_TraitDi[[#This Row],[Colonne25]]),FALSE),""),"[hh]:mm"))</f>
        <v>#VALUE!</v>
      </c>
      <c r="BH193" s="178" t="e">
        <f>IF(VLOOKUP(T_BilanSocial[[#This Row],[NumL]],T_TraitDi[#Data],COLUMN(T_TraitDi[[#This Row],[Colonne26]]),FALSE)=0,"",TEXT(IFERROR(VLOOKUP(T_BilanSocial[[#This Row],[NumL]],T_TraitDi[#Data],COLUMN(T_TraitDi[[#This Row],[Colonne26]]),FALSE),""),"[hh]:mm"))</f>
        <v>#VALUE!</v>
      </c>
      <c r="BI193" s="172" t="str">
        <f>IFERROR(VLOOKUP(T_BilanSocial[[#This Row],[NumL]],T_TraitDi[#Data],COLUMN(T_TraitDi[[#This Row],[Vendredi]]),FALSE),"")</f>
        <v/>
      </c>
      <c r="BJ193" s="172" t="e">
        <f>IF(VLOOKUP(T_BilanSocial[[#This Row],[NumL]],T_TraitDi[#Data],COLUMN(T_TraitDi[[#This Row],[Colonne27]]),FALSE)=0,"",TEXT(IFERROR(VLOOKUP(T_BilanSocial[[#This Row],[NumL]],T_TraitDi[#Data],COLUMN(T_TraitDi[[#This Row],[Colonne27]]),FALSE),""),"[hh]:mm"))</f>
        <v>#VALUE!</v>
      </c>
      <c r="BK193" s="172" t="e">
        <f>IF(VLOOKUP(T_BilanSocial[[#This Row],[NumL]],T_TraitDi[#Data],COLUMN(T_TraitDi[[#This Row],[Colonne28]]),FALSE)=0,"",TEXT(IFERROR(VLOOKUP(T_BilanSocial[[#This Row],[NumL]],T_TraitDi[#Data],COLUMN(T_TraitDi[[#This Row],[Colonne28]]),FALSE),""),"[hh]:mm"))</f>
        <v>#VALUE!</v>
      </c>
      <c r="BL193" s="172" t="str">
        <f>IFERROR(VLOOKUP(T_BilanSocial[[#This Row],[NumL]],T_TraitDi[#Data],COLUMN(T_TraitDi[[#This Row],[Colonne29]]),FALSE),"")</f>
        <v/>
      </c>
      <c r="BM193" s="172" t="e">
        <f>IF(VLOOKUP(T_BilanSocial[[#This Row],[NumL]],T_TraitDi[#Data],COLUMN(T_TraitDi[[#This Row],[Colonne30]]),FALSE)=0,"",TEXT(IFERROR(VLOOKUP(T_BilanSocial[[#This Row],[NumL]],T_TraitDi[#Data],COLUMN(T_TraitDi[[#This Row],[Colonne30]]),FALSE),""),"[hh]:mm"))</f>
        <v>#VALUE!</v>
      </c>
      <c r="BN193" s="172" t="e">
        <f>IF(VLOOKUP(T_BilanSocial[[#This Row],[NumL]],T_TraitDi[#Data],COLUMN(T_TraitDi[[#This Row],[Colonne31]]),FALSE)=0,"",TEXT(IFERROR(VLOOKUP(T_BilanSocial[[#This Row],[NumL]],T_TraitDi[#Data],COLUMN(T_TraitDi[[#This Row],[Colonne31]]),FALSE),""),"[hh]:mm"))</f>
        <v>#VALUE!</v>
      </c>
      <c r="BO193" s="172" t="e">
        <f>IF(VLOOKUP(T_BilanSocial[[#This Row],[NumL]],T_TraitDi[#Data],COLUMN(T_TraitDi[[#This Row],[Colonne32]]),FALSE)=0,"",TEXT(IFERROR(VLOOKUP(T_BilanSocial[[#This Row],[NumL]],T_TraitDi[#Data],COLUMN(T_TraitDi[[#This Row],[Colonne32]]),FALSE),""),"[hh]:mm"))</f>
        <v>#VALUE!</v>
      </c>
      <c r="BP193" s="172" t="e">
        <f>VLOOKUP(T_BilanSocial[[#This Row],[NumL]],T_TraitDi[#Data],COLUMN(T_TraitDi[NbJTot]),FALSE)</f>
        <v>#N/A</v>
      </c>
      <c r="BQ193" s="174" t="str">
        <f>IFERROR(VLOOKUP(T_BilanSocial[[#This Row],[NumL]],T_TraitDi[#Data],COLUMN(T_TraitDi[[#This Row],[NbJTW]]),FALSE),"")</f>
        <v/>
      </c>
      <c r="BR193" s="174" t="e">
        <f>IF(VLOOKUP(T_BilanSocial[[#This Row],[NumL]],T_TraitDi[#Data],COLUMN(T_TraitDi[[#This Row],[NbhTW]]),FALSE)=0,"",TEXT(IFERROR(VLOOKUP(T_BilanSocial[[#This Row],[NumL]],T_TraitDi[#Data],COLUMN(T_TraitDi[[#This Row],[NbhTW]]),FALSE),""),"[hh]:mm"))</f>
        <v>#VALUE!</v>
      </c>
      <c r="BS193" s="174" t="e">
        <f>IF(VLOOKUP(T_BilanSocial[[#This Row],[NumL]],T_TraitDi[#Data],COLUMN(T_TraitDi[[#This Row],[Nbhheb]]),FALSE)=0,"",TEXT(IFERROR(VLOOKUP($A193,T_TraitDi[#Data],COLUMN(T_TraitDi[[#This Row],[Nbhheb]]),FALSE),""),"[hh]:mm"))</f>
        <v>#VALUE!</v>
      </c>
      <c r="BT193" s="182" t="str">
        <f>IFERROR(VLOOKUP(VLOOKUP($A193,T_TraitDi[#Data],COLUMN(T_TraitDi[[#This Row],[Type1]]),FALSE),TypeTW,2,FALSE),"")</f>
        <v/>
      </c>
      <c r="BU193" s="182" t="str">
        <f>IFERROR(VLOOKUP($A193,T_TraitDi[#Data],COLUMN(T_TraitDi[[#This Row],[Rue1]]),FALSE),"")</f>
        <v/>
      </c>
      <c r="BV193" s="173" t="str">
        <f>IFERROR(VLOOKUP($A193,T_TraitDi[#Data],COLUMN(T_TraitDi[[#This Row],[CP1]]),FALSE),"")</f>
        <v/>
      </c>
      <c r="BW193" s="173" t="str">
        <f>IFERROR(VLOOKUP($A193,T_TraitDi[#Data],COLUMN(T_TraitDi[[#This Row],[VILLE1]]),FALSE),"")</f>
        <v/>
      </c>
      <c r="BX193" s="182" t="str">
        <f>IFERROR(VLOOKUP(VLOOKUP($A193,T_TraitDi[#Data],COLUMN(T_TraitDi[[#This Row],[Type2]]),FALSE),TypeTW,2,FALSE),"")</f>
        <v/>
      </c>
      <c r="BY193" s="182" t="str">
        <f>IFERROR(VLOOKUP($A193,T_TraitDi[#Data],COLUMN(T_TraitDi[[#This Row],[Rue2]]),FALSE),"")</f>
        <v/>
      </c>
      <c r="BZ193" s="173" t="str">
        <f>IFERROR(VLOOKUP($A193,T_TraitDi[#Data],COLUMN(T_TraitDi[[#This Row],[CP2]]),FALSE),"")</f>
        <v/>
      </c>
      <c r="CA193" s="173" t="str">
        <f>IFERROR(VLOOKUP($A193,T_TraitDi[#Data],COLUMN(T_TraitDi[[#This Row],[VILLE2]]),FALSE),"")</f>
        <v/>
      </c>
      <c r="CB193" s="182" t="str">
        <f>IF(VLOOKUP(T_BilanSocial[[#This Row],[NumL]],T_Equipement[#Data],COLUMN(T_Equipement[[#This Row],[PC]]),FALSE)="","Aucun équipement spécifique directement lié au télétravail",VLOOKUP(T_BilanSocial[[#This Row],[NumL]],T_Equipement[#Data],COLUMN(T_Equipement[[#This Row],[PC]]),FALSE))</f>
        <v>18-226</v>
      </c>
      <c r="CC193" s="166" t="str">
        <f>IFERROR(IF(VLOOKUP(T_BilanSocial[[#This Row],[NumL]],T_TraitDi[#Data],COLUMN(T_TraitDi[[#This Row],[Plan]]),FALSE)="OK","Un planning spécifique de télétravail est annexé à la présente convention.",""),"")</f>
        <v/>
      </c>
      <c r="CD193" s="258" t="s">
        <v>3306</v>
      </c>
      <c r="CE193" s="164" t="e">
        <f>IF(VLOOKUP(T_BilanSocial[[#This Row],[NumL]],T_suiviDi[#Data],COLUMN(T_suiviDi[[#This Row],[Entité]]),FALSE)="","",VLOOKUP(T_BilanSocial[[#This Row],[NumL]],T_suiviDi[#Data],COLUMN(T_suiviDi[[#This Row],[Entité]]),FALSE))</f>
        <v>#VALUE!</v>
      </c>
      <c r="CF193" s="164" t="str">
        <f>IF(VLOOKUP(T_BilanSocial[[#This Row],[NumL]],T_Commission[#Data],COLUMN(T_Commission[[#This Row],[envoi confirm TW]]),FALSE)="","",VLOOKUP(T_BilanSocial[[#This Row],[NumL]],T_Commission[#Data],COLUMN(T_Commission[[#This Row],[envoi confirm TW]]),FALSE))</f>
        <v>Oui</v>
      </c>
      <c r="CG19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3" s="262" t="str">
        <f>T_BilanSocial[[#This Row],[Nom]]&amp;T_BilanSocial[[#This Row],[Prenom]]</f>
        <v/>
      </c>
      <c r="CI193" s="262">
        <f>VLOOKUP(T_BilanSocial[[#This Row],[NumL]],T_Commission[#Data],COLUMN(T_Commission[Commentaire]),FALSE)</f>
        <v>0</v>
      </c>
      <c r="CJ193" s="262" t="str">
        <f>IF(VLOOKUP(T_BilanSocial[[#This Row],[NumL]],T_Commission[#Data],COLUMN(T_Commission[Encadrant Email]),FALSE)="","",VLOOKUP(T_BilanSocial[[#This Row],[NumL]],T_Commission[#Data],COLUMN(T_Commission[Encadrant Email]),FALSE))</f>
        <v/>
      </c>
      <c r="CK193" s="340" t="str">
        <f>IF(T_BilanSocial[[#This Row],[Final]]&lt;&gt;"",VLOOKUP(T_BilanSocial[[#This Row],[NumL]],T_suiviDi[#Data],COLUMN((T_suiviDi[Statut])),FALSE),"")</f>
        <v/>
      </c>
    </row>
    <row r="194" spans="1:89" s="106" customFormat="1" ht="24.75" customHeight="1" x14ac:dyDescent="0.25">
      <c r="A194" s="160">
        <v>191</v>
      </c>
      <c r="B194" s="161" t="e">
        <f t="shared" si="22"/>
        <v>#N/A</v>
      </c>
      <c r="C194" s="162" t="s">
        <v>141</v>
      </c>
      <c r="D194" s="95" t="e">
        <f>IF(VLOOKUP(T_BilanSocial[[#This Row],[NumL]],T_TraitDi[#Data],COLUMN(T_TraitDi[[#This Row],[WebC]]),FALSE)="","",VLOOKUP(T_BilanSocial[[#This Row],[NumL]],T_TraitDi[#Data],COLUMN(T_TraitDi[[#This Row],[WebC]]),FALSE))</f>
        <v>#VALUE!</v>
      </c>
      <c r="E194" s="163" t="str">
        <f t="shared" si="23"/>
        <v>12 janvier 2021</v>
      </c>
      <c r="F194" s="96" t="e">
        <f>IF(T_BilanSocial[[#This Row],[Final]]&lt;&gt;"",VLOOKUP(T_BilanSocial[[#This Row],[NumL]],T_suiviDi[#Data],COLUMN((T_suiviDi[Civ.])),FALSE),"")</f>
        <v>#N/A</v>
      </c>
      <c r="G194" s="96" t="e">
        <f>IF(T_BilanSocial[[#This Row],[Final]]&lt;&gt;"",VLOOKUP(T_BilanSocial[[#This Row],[NumL]],T_suiviDi[#Data],COLUMN((T_suiviDi[Nom])),FALSE),"")</f>
        <v>#N/A</v>
      </c>
      <c r="H194" s="96" t="e">
        <f>IF(T_BilanSocial[[#This Row],[Final]]&lt;&gt;"",VLOOKUP(T_BilanSocial[[#This Row],[NumL]],T_suiviDi[#Data],COLUMN((T_suiviDi[Prénom])),FALSE),"")</f>
        <v>#N/A</v>
      </c>
      <c r="I194" s="96" t="str">
        <f>IFERROR(VLOOKUP(T_BilanSocial[[#This Row],[Zone_Bilan]],T_P_BilanSocial[#Data],COLUMN(T_P_BilanSocial[[#This Row],[Numero_SIHAM]]),FALSE),"")</f>
        <v/>
      </c>
      <c r="J194" s="96" t="str">
        <f>IFERROR(VLOOKUP(T_BilanSocial[[#This Row],[Zone_Bilan]],T_P_BilanSocial[#Data],COLUMN(T_P_BilanSocial[[#This Row],[Sexe]]),FALSE),"")</f>
        <v/>
      </c>
      <c r="K194" s="97" t="str">
        <f>IFERROR(VLOOKUP(T_BilanSocial[[#This Row],[Zone_Bilan]],T_P_BilanSocial[#Data],COLUMN(T_P_BilanSocial[[#This Row],[Categorie]]),FALSE),"")</f>
        <v/>
      </c>
      <c r="L194" s="96" t="str">
        <f>IFERROR(VLOOKUP(T_BilanSocial[[#This Row],[Zone_Bilan]],T_P_BilanSocial[#Data],COLUMN(T_P_BilanSocial[[#This Row],[Statut]]),FALSE),"")</f>
        <v/>
      </c>
      <c r="M194" s="96" t="str">
        <f>IFERROR(VLOOKUP(T_BilanSocial[[#This Row],[Zone_Bilan]],T_P_BilanSocial[#Data],COLUMN(T_P_BilanSocial[[#This Row],[Filiere]]),FALSE),"")</f>
        <v/>
      </c>
      <c r="N194" s="96" t="e">
        <f>VLOOKUP(T_BilanSocial[[#This Row],[NumL]],T_TraitDi[#Data],COLUMN(T_TraitDi[EXP]),FALSE)</f>
        <v>#N/A</v>
      </c>
      <c r="O194" s="96" t="e">
        <f>VLOOKUP(T_BilanSocial[[#This Row],[NumL]],T_TraitDi[#Data],COLUMN(T_TraitDi[FORM]),FALSE)</f>
        <v>#N/A</v>
      </c>
      <c r="P194" s="96" t="e">
        <f>IF(T_BilanSocial[[#This Row],[Final]]&lt;&gt;"",VLOOKUP(T_BilanSocial[[#This Row],[NumL]],T_suiviDi[#Data],COLUMN((T_suiviDi[Email])),FALSE),"")</f>
        <v>#N/A</v>
      </c>
      <c r="Q194" s="164" t="e">
        <f t="shared" si="28"/>
        <v>#N/A</v>
      </c>
      <c r="R194" s="164" t="e">
        <f t="shared" si="29"/>
        <v>#N/A</v>
      </c>
      <c r="S194" s="164" t="e">
        <f>IF(VLOOKUP(T_BilanSocial[[#This Row],[NumL]],T_suiviDi[#Data],COLUMN(T_suiviDi[[#This Row],[Service ]]),FALSE)="","",VLOOKUP(T_BilanSocial[[#This Row],[NumL]],T_suiviDi[#Data],COLUMN(T_suiviDi[[#This Row],[Service ]]),FALSE))</f>
        <v>#VALUE!</v>
      </c>
      <c r="T194" s="164" t="str">
        <f t="shared" si="24"/>
        <v>01 septembre 2021</v>
      </c>
      <c r="U194" s="164" t="str">
        <f t="shared" si="25"/>
        <v>30 novembre 2021</v>
      </c>
      <c r="V194" s="164" t="str">
        <f t="shared" si="33"/>
        <v>30 novembre 2021</v>
      </c>
      <c r="W194" s="176" t="e">
        <f>IF(VLOOKUP(T_BilanSocial[[#This Row],[NumL]],T_TraitDi[#Data],COLUMN(T_TraitDi[[#This Row],[M1]]),FALSE)="","",VLOOKUP(T_BilanSocial[[#This Row],[NumL]],T_TraitDi[#Data],COLUMN(T_TraitDi[[#This Row],[M1]]),FALSE))</f>
        <v>#VALUE!</v>
      </c>
      <c r="X194" s="176" t="e">
        <f>IF(VLOOKUP(T_BilanSocial[[#This Row],[NumL]],T_TraitDi[#Data],COLUMN(T_TraitDi[[#This Row],[M2]]),FALSE)="","",VLOOKUP(T_BilanSocial[[#This Row],[NumL]],T_TraitDi[#Data],COLUMN(T_TraitDi[[#This Row],[M2]]),FALSE))</f>
        <v>#VALUE!</v>
      </c>
      <c r="Y194" s="176" t="e">
        <f>IF(VLOOKUP(T_BilanSocial[[#This Row],[NumL]],T_TraitDi[#Data],COLUMN(T_TraitDi[[#This Row],[M3]]),FALSE)="","",VLOOKUP(T_BilanSocial[[#This Row],[NumL]],T_TraitDi[#Data],COLUMN(T_TraitDi[[#This Row],[M3]]),FALSE))</f>
        <v>#VALUE!</v>
      </c>
      <c r="Z194" s="176" t="str">
        <f t="shared" si="27"/>
        <v/>
      </c>
      <c r="AA194" s="176" t="e">
        <f>IF(VLOOKUP(T_BilanSocial[[#This Row],[NumL]],T_TraitDi[#Data],COLUMN(T_TraitDi[[#This Row],[M5]]),FALSE)="","",VLOOKUP(T_BilanSocial[[#This Row],[NumL]],T_TraitDi[#Data],COLUMN(T_TraitDi[[#This Row],[M5]]),FALSE))</f>
        <v>#VALUE!</v>
      </c>
      <c r="AB194" s="176" t="e">
        <f>IF(VLOOKUP(T_BilanSocial[[#This Row],[NumL]],T_TraitDi[#Data],COLUMN(T_TraitDi[[#This Row],[M6]]),FALSE)="","",VLOOKUP(T_BilanSocial[[#This Row],[NumL]],T_TraitDi[#Data],COLUMN(T_TraitDi[[#This Row],[M6]]),FALSE))</f>
        <v>#VALUE!</v>
      </c>
      <c r="AC194" s="165" t="e">
        <f t="shared" si="26"/>
        <v>#VALUE!</v>
      </c>
      <c r="AD194" s="188" t="str">
        <f>IFERROR(TEXT(VLOOKUP(T_BilanSocial[[#This Row],[NumL]],T_TraitDi[#Data],COLUMN(T_TraitDi[[#This Row],[Q2]]),FALSE),"###%"),"")</f>
        <v/>
      </c>
      <c r="AE194" s="97" t="e">
        <f>VLOOKUP(T_BilanSocial[[#This Row],[NumL]],T_TraitDi[#Data],COLUMN(T_TraitDi[[#This Row],[Reg Ponct]]),FALSE)</f>
        <v>#VALUE!</v>
      </c>
      <c r="AF194" s="97" t="e">
        <f>VLOOKUP(T_BilanSocial[NumL],T_TraitDi[#Data],COLUMN(T_TraitDi[[#This Row],[Jours flottants]]),FALSE)</f>
        <v>#VALUE!</v>
      </c>
      <c r="AG194" s="97" t="str">
        <f>IFERROR(VLOOKUP(T_BilanSocial[[#This Row],[NumL]],T_TraitDi[#Data],COLUMN(T_TraitDi[[#This Row],[Lundi]]),FALSE),"")</f>
        <v/>
      </c>
      <c r="AH194" s="172" t="e">
        <f>IF(VLOOKUP(T_BilanSocial[[#This Row],[NumL]],T_TraitDi[#Data],COLUMN(T_TraitDi[[#This Row],[Colonne3]]),FALSE)=0,"",TEXT(IFERROR(VLOOKUP(T_BilanSocial[[#This Row],[NumL]],T_TraitDi[#Data],COLUMN(T_TraitDi[[#This Row],[Colonne3]]),FALSE),""),"[hh]:mm"))</f>
        <v>#VALUE!</v>
      </c>
      <c r="AI194" s="172" t="e">
        <f>IF(VLOOKUP(T_BilanSocial[[#This Row],[NumL]],T_TraitDi[#Data],COLUMN(T_TraitDi[[#This Row],[Colonne4]]),FALSE)=0,"",TEXT(IFERROR(VLOOKUP(T_BilanSocial[[#This Row],[NumL]],T_TraitDi[#Data],COLUMN(T_TraitDi[[#This Row],[Colonne4]]),FALSE),""),"[hh]:mm"))</f>
        <v>#VALUE!</v>
      </c>
      <c r="AJ194" s="172" t="e">
        <f>IF(VLOOKUP(T_BilanSocial[[#This Row],[NumL]],T_TraitDi[#Data],COLUMN(T_TraitDi[[#This Row],[Colonne5]]),FALSE)=0,"",TEXT(IFERROR(VLOOKUP(T_BilanSocial[[#This Row],[NumL]],T_TraitDi[#Data],COLUMN(T_TraitDi[[#This Row],[Colonne5]]),FALSE),""),"[hh]:mm"))</f>
        <v>#VALUE!</v>
      </c>
      <c r="AK194" s="172" t="e">
        <f>IF(VLOOKUP(T_BilanSocial[[#This Row],[NumL]],T_TraitDi[#Data],COLUMN(T_TraitDi[[#This Row],[Colonne6]]),FALSE)=0,"",TEXT(IFERROR(VLOOKUP(T_BilanSocial[[#This Row],[NumL]],T_TraitDi[#Data],COLUMN(T_TraitDi[[#This Row],[Colonne6]]),FALSE),""),"[hh]:mm"))</f>
        <v>#VALUE!</v>
      </c>
      <c r="AL194" s="172" t="e">
        <f>IF(VLOOKUP(T_BilanSocial[[#This Row],[NumL]],T_TraitDi[#Data],COLUMN(T_TraitDi[[#This Row],[Colonne7]]),FALSE)=0,"",TEXT(IFERROR(VLOOKUP(T_BilanSocial[[#This Row],[NumL]],T_TraitDi[#Data],COLUMN(T_TraitDi[[#This Row],[Colonne7]]),FALSE),""),"[hh]:mm"))</f>
        <v>#VALUE!</v>
      </c>
      <c r="AM194" s="172" t="e">
        <f>IF(VLOOKUP(T_BilanSocial[[#This Row],[NumL]],T_TraitDi[#Data],COLUMN(T_TraitDi[[#This Row],[Colonne8]]),FALSE)=0,"",TEXT(IFERROR(VLOOKUP(T_BilanSocial[[#This Row],[NumL]],T_TraitDi[#Data],COLUMN(T_TraitDi[[#This Row],[Colonne8]]),FALSE),""),"[hh]:mm"))</f>
        <v>#VALUE!</v>
      </c>
      <c r="AN194" s="172" t="str">
        <f>IFERROR(VLOOKUP(T_BilanSocial[[#This Row],[NumL]],T_TraitDi[#Data],COLUMN(T_TraitDi[[#This Row],[Mardi]]),FALSE),"")</f>
        <v/>
      </c>
      <c r="AO194" s="172" t="e">
        <f>IF(VLOOKUP(T_BilanSocial[[#This Row],[NumL]],T_TraitDi[#Data],COLUMN(T_TraitDi[[#This Row],[Colonne1]]),FALSE)=0,"",TEXT(IFERROR(VLOOKUP(T_BilanSocial[[#This Row],[NumL]],T_TraitDi[#Data],COLUMN(T_TraitDi[[#This Row],[Colonne1]]),FALSE),""),"[hh]:mm"))</f>
        <v>#VALUE!</v>
      </c>
      <c r="AP194" s="172" t="e">
        <f>IF(VLOOKUP(T_BilanSocial[[#This Row],[NumL]],T_TraitDi[#Data],COLUMN(T_TraitDi[[#This Row],[Colonne9]]),FALSE)=0,"",TEXT(IFERROR(VLOOKUP(T_BilanSocial[[#This Row],[NumL]],T_TraitDi[#Data],COLUMN(T_TraitDi[[#This Row],[Colonne9]]),FALSE),""),"[hh]:mm"))</f>
        <v>#VALUE!</v>
      </c>
      <c r="AQ194" s="172" t="str">
        <f>IFERROR(VLOOKUP(T_BilanSocial[[#This Row],[NumL]],T_TraitDi[#Data],COLUMN(T_TraitDi[[#This Row],[Colonne10]]),FALSE),"")</f>
        <v/>
      </c>
      <c r="AR194" s="172" t="e">
        <f>IF(VLOOKUP(T_BilanSocial[[#This Row],[NumL]],T_TraitDi[#Data],COLUMN(T_TraitDi[[#This Row],[Colonne11]]),FALSE)=0,"",TEXT(IFERROR(VLOOKUP(T_BilanSocial[[#This Row],[NumL]],T_TraitDi[#Data],COLUMN(T_TraitDi[[#This Row],[Colonne11]]),FALSE),""),"[hh]:mm"))</f>
        <v>#VALUE!</v>
      </c>
      <c r="AS194" s="172" t="e">
        <f>IF(VLOOKUP(T_BilanSocial[[#This Row],[NumL]],T_TraitDi[#Data],COLUMN(T_TraitDi[[#This Row],[Colonne12]]),FALSE)=0,"",TEXT(IFERROR(VLOOKUP(T_BilanSocial[[#This Row],[NumL]],T_TraitDi[#Data],COLUMN(T_TraitDi[[#This Row],[Colonne12]]),FALSE),""),"[hh]:mm"))</f>
        <v>#VALUE!</v>
      </c>
      <c r="AT194" s="172" t="e">
        <f>IF(VLOOKUP(T_BilanSocial[[#This Row],[NumL]],T_TraitDi[#Data],COLUMN(T_TraitDi[[#This Row],[Colonne14]]),FALSE)=0,"",TEXT(IFERROR(VLOOKUP(T_BilanSocial[[#This Row],[NumL]],T_TraitDi[#Data],COLUMN(T_TraitDi[[#This Row],[Colonne14]]),FALSE),""),"[hh]:mm"))</f>
        <v>#VALUE!</v>
      </c>
      <c r="AU194" s="172" t="str">
        <f>IFERROR(VLOOKUP(T_BilanSocial[[#This Row],[NumL]],T_TraitDi[#Data],COLUMN(T_TraitDi[[#This Row],[Mercredi]]),FALSE),"")</f>
        <v/>
      </c>
      <c r="AV194" s="172" t="e">
        <f>IF(VLOOKUP(T_BilanSocial[[#This Row],[NumL]],T_TraitDi[#Data],COLUMN(T_TraitDi[[#This Row],[Colonne15]]),FALSE)=0,"",TEXT(IFERROR(VLOOKUP(T_BilanSocial[[#This Row],[NumL]],T_TraitDi[#Data],COLUMN(T_TraitDi[[#This Row],[Colonne15]]),FALSE),""),"[hh]:mm"))</f>
        <v>#VALUE!</v>
      </c>
      <c r="AW194" s="172" t="e">
        <f>IF(VLOOKUP(T_BilanSocial[[#This Row],[NumL]],T_TraitDi[#Data],COLUMN(T_TraitDi[[#This Row],[Colonne16]]),FALSE)=0,"",TEXT(IFERROR(VLOOKUP(T_BilanSocial[[#This Row],[NumL]],T_TraitDi[#Data],COLUMN(T_TraitDi[[#This Row],[Colonne16]]),FALSE),""),"[hh]:mm"))</f>
        <v>#VALUE!</v>
      </c>
      <c r="AX194" s="172" t="str">
        <f>IFERROR(VLOOKUP(T_BilanSocial[[#This Row],[NumL]],T_TraitDi[#Data],COLUMN(T_TraitDi[[#This Row],[Colonne17]]),FALSE),"")</f>
        <v/>
      </c>
      <c r="AY194" s="172" t="e">
        <f>IF(VLOOKUP(T_BilanSocial[[#This Row],[NumL]],T_TraitDi[#Data],COLUMN(T_TraitDi[[#This Row],[Colonne18]]),FALSE)=0,"",TEXT(IFERROR(VLOOKUP(T_BilanSocial[[#This Row],[NumL]],T_TraitDi[#Data],COLUMN(T_TraitDi[[#This Row],[Colonne18]]),FALSE),""),"[hh]:mm"))</f>
        <v>#VALUE!</v>
      </c>
      <c r="AZ194" s="172" t="e">
        <f>IF(VLOOKUP(T_BilanSocial[[#This Row],[NumL]],T_TraitDi[#Data],COLUMN(T_TraitDi[[#This Row],[Colonne19]]),FALSE)=0,"",TEXT(IFERROR(VLOOKUP(T_BilanSocial[[#This Row],[NumL]],T_TraitDi[#Data],COLUMN(T_TraitDi[[#This Row],[Colonne19]]),FALSE),""),"[hh]:mm"))</f>
        <v>#VALUE!</v>
      </c>
      <c r="BA194" s="172" t="e">
        <f>IF(VLOOKUP(T_BilanSocial[[#This Row],[NumL]],T_TraitDi[#Data],COLUMN(T_TraitDi[[#This Row],[Colonne20]]),FALSE)=0,"",TEXT(IFERROR(VLOOKUP(T_BilanSocial[[#This Row],[NumL]],T_TraitDi[#Data],COLUMN(T_TraitDi[[#This Row],[Colonne20]]),FALSE),""),"[hh]:mm"))</f>
        <v>#VALUE!</v>
      </c>
      <c r="BB194" s="178" t="str">
        <f>IFERROR(VLOOKUP(T_BilanSocial[[#This Row],[NumL]],T_TraitDi[#Data],COLUMN(T_TraitDi[[#This Row],[Jeudi]]),FALSE),"")</f>
        <v/>
      </c>
      <c r="BC194" s="178" t="e">
        <f>IF(VLOOKUP(T_BilanSocial[[#This Row],[NumL]],T_TraitDi[#Data],COLUMN(T_TraitDi[[#This Row],[Colonne21]]),FALSE)=0,"",TEXT(IFERROR(VLOOKUP(T_BilanSocial[[#This Row],[NumL]],T_TraitDi[#Data],COLUMN(T_TraitDi[[#This Row],[Colonne21]]),FALSE),""),"[hh]:mm"))</f>
        <v>#VALUE!</v>
      </c>
      <c r="BD194" s="178" t="e">
        <f>IF(VLOOKUP(T_BilanSocial[[#This Row],[NumL]],T_TraitDi[#Data],COLUMN(T_TraitDi[[#This Row],[Colonne22]]),FALSE)=0,"",TEXT(IFERROR(VLOOKUP(T_BilanSocial[[#This Row],[NumL]],T_TraitDi[#Data],COLUMN(T_TraitDi[[#This Row],[Colonne22]]),FALSE),""),"[hh]:mm"))</f>
        <v>#VALUE!</v>
      </c>
      <c r="BE194" s="178" t="str">
        <f>IFERROR(VLOOKUP(T_BilanSocial[[#This Row],[NumL]],T_TraitDi[#Data],COLUMN(T_TraitDi[[#This Row],[Colonne23]]),FALSE),"")</f>
        <v/>
      </c>
      <c r="BF194" s="178" t="e">
        <f>IF(VLOOKUP(T_BilanSocial[[#This Row],[NumL]],T_TraitDi[#Data],COLUMN(T_TraitDi[[#This Row],[Colonne24]]),FALSE)=0,"",TEXT(IFERROR(VLOOKUP(T_BilanSocial[[#This Row],[NumL]],T_TraitDi[#Data],COLUMN(T_TraitDi[[#This Row],[Colonne24]]),FALSE),""),"[hh]:mm"))</f>
        <v>#VALUE!</v>
      </c>
      <c r="BG194" s="178" t="e">
        <f>IF(VLOOKUP(T_BilanSocial[[#This Row],[NumL]],T_TraitDi[#Data],COLUMN(T_TraitDi[[#This Row],[Colonne25]]),FALSE)=0,"",TEXT(IFERROR(VLOOKUP(T_BilanSocial[[#This Row],[NumL]],T_TraitDi[#Data],COLUMN(T_TraitDi[[#This Row],[Colonne25]]),FALSE),""),"[hh]:mm"))</f>
        <v>#VALUE!</v>
      </c>
      <c r="BH194" s="178" t="e">
        <f>IF(VLOOKUP(T_BilanSocial[[#This Row],[NumL]],T_TraitDi[#Data],COLUMN(T_TraitDi[[#This Row],[Colonne26]]),FALSE)=0,"",TEXT(IFERROR(VLOOKUP(T_BilanSocial[[#This Row],[NumL]],T_TraitDi[#Data],COLUMN(T_TraitDi[[#This Row],[Colonne26]]),FALSE),""),"[hh]:mm"))</f>
        <v>#VALUE!</v>
      </c>
      <c r="BI194" s="172" t="str">
        <f>IFERROR(VLOOKUP(T_BilanSocial[[#This Row],[NumL]],T_TraitDi[#Data],COLUMN(T_TraitDi[[#This Row],[Vendredi]]),FALSE),"")</f>
        <v/>
      </c>
      <c r="BJ194" s="172" t="e">
        <f>IF(VLOOKUP(T_BilanSocial[[#This Row],[NumL]],T_TraitDi[#Data],COLUMN(T_TraitDi[[#This Row],[Colonne27]]),FALSE)=0,"",TEXT(IFERROR(VLOOKUP(T_BilanSocial[[#This Row],[NumL]],T_TraitDi[#Data],COLUMN(T_TraitDi[[#This Row],[Colonne27]]),FALSE),""),"[hh]:mm"))</f>
        <v>#VALUE!</v>
      </c>
      <c r="BK194" s="172" t="e">
        <f>IF(VLOOKUP(T_BilanSocial[[#This Row],[NumL]],T_TraitDi[#Data],COLUMN(T_TraitDi[[#This Row],[Colonne28]]),FALSE)=0,"",TEXT(IFERROR(VLOOKUP(T_BilanSocial[[#This Row],[NumL]],T_TraitDi[#Data],COLUMN(T_TraitDi[[#This Row],[Colonne28]]),FALSE),""),"[hh]:mm"))</f>
        <v>#VALUE!</v>
      </c>
      <c r="BL194" s="172" t="str">
        <f>IFERROR(VLOOKUP(T_BilanSocial[[#This Row],[NumL]],T_TraitDi[#Data],COLUMN(T_TraitDi[[#This Row],[Colonne29]]),FALSE),"")</f>
        <v/>
      </c>
      <c r="BM194" s="172" t="e">
        <f>IF(VLOOKUP(T_BilanSocial[[#This Row],[NumL]],T_TraitDi[#Data],COLUMN(T_TraitDi[[#This Row],[Colonne30]]),FALSE)=0,"",TEXT(IFERROR(VLOOKUP(T_BilanSocial[[#This Row],[NumL]],T_TraitDi[#Data],COLUMN(T_TraitDi[[#This Row],[Colonne30]]),FALSE),""),"[hh]:mm"))</f>
        <v>#VALUE!</v>
      </c>
      <c r="BN194" s="172" t="e">
        <f>IF(VLOOKUP(T_BilanSocial[[#This Row],[NumL]],T_TraitDi[#Data],COLUMN(T_TraitDi[[#This Row],[Colonne31]]),FALSE)=0,"",TEXT(IFERROR(VLOOKUP(T_BilanSocial[[#This Row],[NumL]],T_TraitDi[#Data],COLUMN(T_TraitDi[[#This Row],[Colonne31]]),FALSE),""),"[hh]:mm"))</f>
        <v>#VALUE!</v>
      </c>
      <c r="BO194" s="172" t="e">
        <f>IF(VLOOKUP(T_BilanSocial[[#This Row],[NumL]],T_TraitDi[#Data],COLUMN(T_TraitDi[[#This Row],[Colonne32]]),FALSE)=0,"",TEXT(IFERROR(VLOOKUP(T_BilanSocial[[#This Row],[NumL]],T_TraitDi[#Data],COLUMN(T_TraitDi[[#This Row],[Colonne32]]),FALSE),""),"[hh]:mm"))</f>
        <v>#VALUE!</v>
      </c>
      <c r="BP194" s="172" t="e">
        <f>VLOOKUP(T_BilanSocial[[#This Row],[NumL]],T_TraitDi[#Data],COLUMN(T_TraitDi[NbJTot]),FALSE)</f>
        <v>#N/A</v>
      </c>
      <c r="BQ194" s="174" t="str">
        <f>IFERROR(VLOOKUP(T_BilanSocial[[#This Row],[NumL]],T_TraitDi[#Data],COLUMN(T_TraitDi[[#This Row],[NbJTW]]),FALSE),"")</f>
        <v/>
      </c>
      <c r="BR194" s="174" t="e">
        <f>IF(VLOOKUP(T_BilanSocial[[#This Row],[NumL]],T_TraitDi[#Data],COLUMN(T_TraitDi[[#This Row],[NbhTW]]),FALSE)=0,"",TEXT(IFERROR(VLOOKUP(T_BilanSocial[[#This Row],[NumL]],T_TraitDi[#Data],COLUMN(T_TraitDi[[#This Row],[NbhTW]]),FALSE),""),"[hh]:mm"))</f>
        <v>#VALUE!</v>
      </c>
      <c r="BS194" s="174" t="e">
        <f>IF(VLOOKUP(T_BilanSocial[[#This Row],[NumL]],T_TraitDi[#Data],COLUMN(T_TraitDi[[#This Row],[Nbhheb]]),FALSE)=0,"",TEXT(IFERROR(VLOOKUP($A194,T_TraitDi[#Data],COLUMN(T_TraitDi[[#This Row],[Nbhheb]]),FALSE),""),"[hh]:mm"))</f>
        <v>#VALUE!</v>
      </c>
      <c r="BT194" s="182" t="str">
        <f>IFERROR(VLOOKUP(VLOOKUP($A194,T_TraitDi[#Data],COLUMN(T_TraitDi[[#This Row],[Type1]]),FALSE),TypeTW,2,FALSE),"")</f>
        <v/>
      </c>
      <c r="BU194" s="182" t="str">
        <f>IFERROR(VLOOKUP($A194,T_TraitDi[#Data],COLUMN(T_TraitDi[[#This Row],[Rue1]]),FALSE),"")</f>
        <v/>
      </c>
      <c r="BV194" s="173" t="str">
        <f>IFERROR(VLOOKUP($A194,T_TraitDi[#Data],COLUMN(T_TraitDi[[#This Row],[CP1]]),FALSE),"")</f>
        <v/>
      </c>
      <c r="BW194" s="173" t="str">
        <f>IFERROR(VLOOKUP($A194,T_TraitDi[#Data],COLUMN(T_TraitDi[[#This Row],[VILLE1]]),FALSE),"")</f>
        <v/>
      </c>
      <c r="BX194" s="182" t="str">
        <f>IFERROR(VLOOKUP(VLOOKUP($A194,T_TraitDi[#Data],COLUMN(T_TraitDi[[#This Row],[Type2]]),FALSE),TypeTW,2,FALSE),"")</f>
        <v/>
      </c>
      <c r="BY194" s="182" t="str">
        <f>IFERROR(VLOOKUP($A194,T_TraitDi[#Data],COLUMN(T_TraitDi[[#This Row],[Rue2]]),FALSE),"")</f>
        <v/>
      </c>
      <c r="BZ194" s="173" t="str">
        <f>IFERROR(VLOOKUP($A194,T_TraitDi[#Data],COLUMN(T_TraitDi[[#This Row],[CP2]]),FALSE),"")</f>
        <v/>
      </c>
      <c r="CA194" s="173" t="str">
        <f>IFERROR(VLOOKUP($A194,T_TraitDi[#Data],COLUMN(T_TraitDi[[#This Row],[VILLE2]]),FALSE),"")</f>
        <v/>
      </c>
      <c r="CB194" s="182" t="e">
        <f>IF(VLOOKUP(T_BilanSocial[[#This Row],[NumL]],T_Equipement[#Data],COLUMN(T_Equipement[[#This Row],[PC]]),FALSE)="","Aucun équipement spécifique directement lié au télétravail",VLOOKUP(T_BilanSocial[[#This Row],[NumL]],T_Equipement[#Data],COLUMN(T_Equipement[[#This Row],[PC]]),FALSE))</f>
        <v>#N/A</v>
      </c>
      <c r="CC194" s="166" t="str">
        <f>IFERROR(IF(VLOOKUP(T_BilanSocial[[#This Row],[NumL]],T_TraitDi[#Data],COLUMN(T_TraitDi[[#This Row],[Plan]]),FALSE)="OK","Un planning spécifique de télétravail est annexé à la présente convention.",""),"")</f>
        <v/>
      </c>
      <c r="CD194" s="185"/>
      <c r="CE194" s="164" t="e">
        <f>IF(VLOOKUP(T_BilanSocial[[#This Row],[NumL]],T_suiviDi[#Data],COLUMN(T_suiviDi[[#This Row],[Entité]]),FALSE)="","",VLOOKUP(T_BilanSocial[[#This Row],[NumL]],T_suiviDi[#Data],COLUMN(T_suiviDi[[#This Row],[Entité]]),FALSE))</f>
        <v>#VALUE!</v>
      </c>
      <c r="CF194" s="164" t="e">
        <f>IF(VLOOKUP(T_BilanSocial[[#This Row],[NumL]],T_Commission[#Data],COLUMN(T_Commission[[#This Row],[envoi confirm TW]]),FALSE)="","",VLOOKUP(T_BilanSocial[[#This Row],[NumL]],T_Commission[#Data],COLUMN(T_Commission[[#This Row],[envoi confirm TW]]),FALSE))</f>
        <v>#N/A</v>
      </c>
      <c r="CG19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4" s="262" t="e">
        <f>T_BilanSocial[[#This Row],[Nom]]&amp;T_BilanSocial[[#This Row],[Prenom]]</f>
        <v>#N/A</v>
      </c>
      <c r="CI194" s="262" t="e">
        <f>VLOOKUP(T_BilanSocial[[#This Row],[NumL]],T_Commission[#Data],COLUMN(T_Commission[Commentaire]),FALSE)</f>
        <v>#N/A</v>
      </c>
      <c r="CJ194" s="262" t="e">
        <f>IF(VLOOKUP(T_BilanSocial[[#This Row],[NumL]],T_Commission[#Data],COLUMN(T_Commission[Encadrant Email]),FALSE)="","",VLOOKUP(T_BilanSocial[[#This Row],[NumL]],T_Commission[#Data],COLUMN(T_Commission[Encadrant Email]),FALSE))</f>
        <v>#N/A</v>
      </c>
      <c r="CK194" s="340" t="e">
        <f>IF(T_BilanSocial[[#This Row],[Final]]&lt;&gt;"",VLOOKUP(T_BilanSocial[[#This Row],[NumL]],T_suiviDi[#Data],COLUMN((T_suiviDi[Statut])),FALSE),"")</f>
        <v>#N/A</v>
      </c>
    </row>
    <row r="195" spans="1:89" s="106" customFormat="1" ht="24.75" customHeight="1" x14ac:dyDescent="0.25">
      <c r="A195" s="160">
        <v>192</v>
      </c>
      <c r="B195" s="161" t="str">
        <f t="shared" si="22"/>
        <v/>
      </c>
      <c r="C195" s="162" t="s">
        <v>173</v>
      </c>
      <c r="D195" s="95" t="e">
        <f>IF(VLOOKUP(T_BilanSocial[[#This Row],[NumL]],T_TraitDi[#Data],COLUMN(T_TraitDi[[#This Row],[WebC]]),FALSE)="","",VLOOKUP(T_BilanSocial[[#This Row],[NumL]],T_TraitDi[#Data],COLUMN(T_TraitDi[[#This Row],[WebC]]),FALSE))</f>
        <v>#VALUE!</v>
      </c>
      <c r="E195" s="163" t="str">
        <f t="shared" si="23"/>
        <v>12 janvier 2021</v>
      </c>
      <c r="F195" s="96" t="str">
        <f>IF(T_BilanSocial[[#This Row],[Final]]&lt;&gt;"",VLOOKUP(T_BilanSocial[[#This Row],[NumL]],T_suiviDi[#Data],COLUMN((T_suiviDi[Civ.])),FALSE),"")</f>
        <v/>
      </c>
      <c r="G195" s="96" t="str">
        <f>IF(T_BilanSocial[[#This Row],[Final]]&lt;&gt;"",VLOOKUP(T_BilanSocial[[#This Row],[NumL]],T_suiviDi[#Data],COLUMN((T_suiviDi[Nom])),FALSE),"")</f>
        <v/>
      </c>
      <c r="H195" s="96" t="str">
        <f>IF(T_BilanSocial[[#This Row],[Final]]&lt;&gt;"",VLOOKUP(T_BilanSocial[[#This Row],[NumL]],T_suiviDi[#Data],COLUMN((T_suiviDi[Prénom])),FALSE),"")</f>
        <v/>
      </c>
      <c r="I195" s="96" t="str">
        <f>IFERROR(VLOOKUP(T_BilanSocial[[#This Row],[Zone_Bilan]],T_P_BilanSocial[#Data],COLUMN(T_P_BilanSocial[[#This Row],[Numero_SIHAM]]),FALSE),"")</f>
        <v/>
      </c>
      <c r="J195" s="96" t="str">
        <f>IFERROR(VLOOKUP(T_BilanSocial[[#This Row],[Zone_Bilan]],T_P_BilanSocial[#Data],COLUMN(T_P_BilanSocial[[#This Row],[Sexe]]),FALSE),"")</f>
        <v/>
      </c>
      <c r="K195" s="97" t="str">
        <f>IFERROR(VLOOKUP(T_BilanSocial[[#This Row],[Zone_Bilan]],T_P_BilanSocial[#Data],COLUMN(T_P_BilanSocial[[#This Row],[Categorie]]),FALSE),"")</f>
        <v/>
      </c>
      <c r="L195" s="96" t="str">
        <f>IFERROR(VLOOKUP(T_BilanSocial[[#This Row],[Zone_Bilan]],T_P_BilanSocial[#Data],COLUMN(T_P_BilanSocial[[#This Row],[Statut]]),FALSE),"")</f>
        <v/>
      </c>
      <c r="M195" s="96" t="str">
        <f>IFERROR(VLOOKUP(T_BilanSocial[[#This Row],[Zone_Bilan]],T_P_BilanSocial[#Data],COLUMN(T_P_BilanSocial[[#This Row],[Filiere]]),FALSE),"")</f>
        <v/>
      </c>
      <c r="N195" s="96" t="e">
        <f>VLOOKUP(T_BilanSocial[[#This Row],[NumL]],T_TraitDi[#Data],COLUMN(T_TraitDi[EXP]),FALSE)</f>
        <v>#N/A</v>
      </c>
      <c r="O195" s="96" t="e">
        <f>VLOOKUP(T_BilanSocial[[#This Row],[NumL]],T_TraitDi[#Data],COLUMN(T_TraitDi[FORM]),FALSE)</f>
        <v>#N/A</v>
      </c>
      <c r="P195" s="96" t="str">
        <f>IF(T_BilanSocial[[#This Row],[Final]]&lt;&gt;"",VLOOKUP(T_BilanSocial[[#This Row],[NumL]],T_suiviDi[#Data],COLUMN((T_suiviDi[Email])),FALSE),"")</f>
        <v/>
      </c>
      <c r="Q195" s="164" t="e">
        <f t="shared" si="28"/>
        <v>#N/A</v>
      </c>
      <c r="R195" s="164" t="e">
        <f t="shared" si="29"/>
        <v>#N/A</v>
      </c>
      <c r="S195" s="164" t="e">
        <f>IF(VLOOKUP(T_BilanSocial[[#This Row],[NumL]],T_suiviDi[#Data],COLUMN(T_suiviDi[[#This Row],[Service ]]),FALSE)="","",VLOOKUP(T_BilanSocial[[#This Row],[NumL]],T_suiviDi[#Data],COLUMN(T_suiviDi[[#This Row],[Service ]]),FALSE))</f>
        <v>#VALUE!</v>
      </c>
      <c r="T195" s="164" t="str">
        <f t="shared" si="24"/>
        <v>01 septembre 2021</v>
      </c>
      <c r="U195" s="164" t="str">
        <f t="shared" si="25"/>
        <v>30 novembre 2021</v>
      </c>
      <c r="V195" s="96" t="str">
        <f t="shared" si="33"/>
        <v>30 novembre 2021</v>
      </c>
      <c r="W195" s="176" t="e">
        <f>IF(VLOOKUP(T_BilanSocial[[#This Row],[NumL]],T_TraitDi[#Data],COLUMN(T_TraitDi[[#This Row],[M1]]),FALSE)="","",VLOOKUP(T_BilanSocial[[#This Row],[NumL]],T_TraitDi[#Data],COLUMN(T_TraitDi[[#This Row],[M1]]),FALSE))</f>
        <v>#VALUE!</v>
      </c>
      <c r="X195" s="176" t="e">
        <f>IF(VLOOKUP(T_BilanSocial[[#This Row],[NumL]],T_TraitDi[#Data],COLUMN(T_TraitDi[[#This Row],[M2]]),FALSE)="","",VLOOKUP(T_BilanSocial[[#This Row],[NumL]],T_TraitDi[#Data],COLUMN(T_TraitDi[[#This Row],[M2]]),FALSE))</f>
        <v>#VALUE!</v>
      </c>
      <c r="Y195" s="176" t="e">
        <f>IF(VLOOKUP(T_BilanSocial[[#This Row],[NumL]],T_TraitDi[#Data],COLUMN(T_TraitDi[[#This Row],[M3]]),FALSE)="","",VLOOKUP(T_BilanSocial[[#This Row],[NumL]],T_TraitDi[#Data],COLUMN(T_TraitDi[[#This Row],[M3]]),FALSE))</f>
        <v>#VALUE!</v>
      </c>
      <c r="Z195" s="176" t="str">
        <f t="shared" si="27"/>
        <v/>
      </c>
      <c r="AA195" s="176" t="e">
        <f>IF(VLOOKUP(T_BilanSocial[[#This Row],[NumL]],T_TraitDi[#Data],COLUMN(T_TraitDi[[#This Row],[M5]]),FALSE)="","",VLOOKUP(T_BilanSocial[[#This Row],[NumL]],T_TraitDi[#Data],COLUMN(T_TraitDi[[#This Row],[M5]]),FALSE))</f>
        <v>#VALUE!</v>
      </c>
      <c r="AB195" s="176" t="e">
        <f>IF(VLOOKUP(T_BilanSocial[[#This Row],[NumL]],T_TraitDi[#Data],COLUMN(T_TraitDi[[#This Row],[M6]]),FALSE)="","",VLOOKUP(T_BilanSocial[[#This Row],[NumL]],T_TraitDi[#Data],COLUMN(T_TraitDi[[#This Row],[M6]]),FALSE))</f>
        <v>#VALUE!</v>
      </c>
      <c r="AC195" s="165" t="e">
        <f t="shared" si="26"/>
        <v>#VALUE!</v>
      </c>
      <c r="AD195" s="188" t="str">
        <f>IFERROR(TEXT(VLOOKUP(T_BilanSocial[[#This Row],[NumL]],T_TraitDi[#Data],COLUMN(T_TraitDi[[#This Row],[Q2]]),FALSE),"###%"),"")</f>
        <v/>
      </c>
      <c r="AE195" s="97" t="e">
        <f>VLOOKUP(T_BilanSocial[[#This Row],[NumL]],T_TraitDi[#Data],COLUMN(T_TraitDi[[#This Row],[Reg Ponct]]),FALSE)</f>
        <v>#VALUE!</v>
      </c>
      <c r="AF195" s="97" t="e">
        <f>VLOOKUP(T_BilanSocial[NumL],T_TraitDi[#Data],COLUMN(T_TraitDi[[#This Row],[Jours flottants]]),FALSE)</f>
        <v>#VALUE!</v>
      </c>
      <c r="AG195" s="97" t="str">
        <f>IFERROR(VLOOKUP(T_BilanSocial[[#This Row],[NumL]],T_TraitDi[#Data],COLUMN(T_TraitDi[[#This Row],[Lundi]]),FALSE),"")</f>
        <v/>
      </c>
      <c r="AH195" s="172" t="e">
        <f>IF(VLOOKUP(T_BilanSocial[[#This Row],[NumL]],T_TraitDi[#Data],COLUMN(T_TraitDi[[#This Row],[Colonne3]]),FALSE)=0,"",TEXT(IFERROR(VLOOKUP(T_BilanSocial[[#This Row],[NumL]],T_TraitDi[#Data],COLUMN(T_TraitDi[[#This Row],[Colonne3]]),FALSE),""),"[hh]:mm"))</f>
        <v>#VALUE!</v>
      </c>
      <c r="AI195" s="172" t="e">
        <f>IF(VLOOKUP(T_BilanSocial[[#This Row],[NumL]],T_TraitDi[#Data],COLUMN(T_TraitDi[[#This Row],[Colonne4]]),FALSE)=0,"",TEXT(IFERROR(VLOOKUP(T_BilanSocial[[#This Row],[NumL]],T_TraitDi[#Data],COLUMN(T_TraitDi[[#This Row],[Colonne4]]),FALSE),""),"[hh]:mm"))</f>
        <v>#VALUE!</v>
      </c>
      <c r="AJ195" s="172" t="e">
        <f>IF(VLOOKUP(T_BilanSocial[[#This Row],[NumL]],T_TraitDi[#Data],COLUMN(T_TraitDi[[#This Row],[Colonne5]]),FALSE)=0,"",TEXT(IFERROR(VLOOKUP(T_BilanSocial[[#This Row],[NumL]],T_TraitDi[#Data],COLUMN(T_TraitDi[[#This Row],[Colonne5]]),FALSE),""),"[hh]:mm"))</f>
        <v>#VALUE!</v>
      </c>
      <c r="AK195" s="172" t="e">
        <f>IF(VLOOKUP(T_BilanSocial[[#This Row],[NumL]],T_TraitDi[#Data],COLUMN(T_TraitDi[[#This Row],[Colonne6]]),FALSE)=0,"",TEXT(IFERROR(VLOOKUP(T_BilanSocial[[#This Row],[NumL]],T_TraitDi[#Data],COLUMN(T_TraitDi[[#This Row],[Colonne6]]),FALSE),""),"[hh]:mm"))</f>
        <v>#VALUE!</v>
      </c>
      <c r="AL195" s="172" t="e">
        <f>IF(VLOOKUP(T_BilanSocial[[#This Row],[NumL]],T_TraitDi[#Data],COLUMN(T_TraitDi[[#This Row],[Colonne7]]),FALSE)=0,"",TEXT(IFERROR(VLOOKUP(T_BilanSocial[[#This Row],[NumL]],T_TraitDi[#Data],COLUMN(T_TraitDi[[#This Row],[Colonne7]]),FALSE),""),"[hh]:mm"))</f>
        <v>#VALUE!</v>
      </c>
      <c r="AM195" s="172" t="e">
        <f>IF(VLOOKUP(T_BilanSocial[[#This Row],[NumL]],T_TraitDi[#Data],COLUMN(T_TraitDi[[#This Row],[Colonne8]]),FALSE)=0,"",TEXT(IFERROR(VLOOKUP(T_BilanSocial[[#This Row],[NumL]],T_TraitDi[#Data],COLUMN(T_TraitDi[[#This Row],[Colonne8]]),FALSE),""),"[hh]:mm"))</f>
        <v>#VALUE!</v>
      </c>
      <c r="AN195" s="172" t="str">
        <f>IFERROR(VLOOKUP(T_BilanSocial[[#This Row],[NumL]],T_TraitDi[#Data],COLUMN(T_TraitDi[[#This Row],[Mardi]]),FALSE),"")</f>
        <v/>
      </c>
      <c r="AO195" s="172" t="e">
        <f>IF(VLOOKUP(T_BilanSocial[[#This Row],[NumL]],T_TraitDi[#Data],COLUMN(T_TraitDi[[#This Row],[Colonne1]]),FALSE)=0,"",TEXT(IFERROR(VLOOKUP(T_BilanSocial[[#This Row],[NumL]],T_TraitDi[#Data],COLUMN(T_TraitDi[[#This Row],[Colonne1]]),FALSE),""),"[hh]:mm"))</f>
        <v>#VALUE!</v>
      </c>
      <c r="AP195" s="172" t="e">
        <f>IF(VLOOKUP(T_BilanSocial[[#This Row],[NumL]],T_TraitDi[#Data],COLUMN(T_TraitDi[[#This Row],[Colonne9]]),FALSE)=0,"",TEXT(IFERROR(VLOOKUP(T_BilanSocial[[#This Row],[NumL]],T_TraitDi[#Data],COLUMN(T_TraitDi[[#This Row],[Colonne9]]),FALSE),""),"[hh]:mm"))</f>
        <v>#VALUE!</v>
      </c>
      <c r="AQ195" s="172" t="str">
        <f>IFERROR(VLOOKUP(T_BilanSocial[[#This Row],[NumL]],T_TraitDi[#Data],COLUMN(T_TraitDi[[#This Row],[Colonne10]]),FALSE),"")</f>
        <v/>
      </c>
      <c r="AR195" s="172" t="e">
        <f>IF(VLOOKUP(T_BilanSocial[[#This Row],[NumL]],T_TraitDi[#Data],COLUMN(T_TraitDi[[#This Row],[Colonne11]]),FALSE)=0,"",TEXT(IFERROR(VLOOKUP(T_BilanSocial[[#This Row],[NumL]],T_TraitDi[#Data],COLUMN(T_TraitDi[[#This Row],[Colonne11]]),FALSE),""),"[hh]:mm"))</f>
        <v>#VALUE!</v>
      </c>
      <c r="AS195" s="172" t="e">
        <f>IF(VLOOKUP(T_BilanSocial[[#This Row],[NumL]],T_TraitDi[#Data],COLUMN(T_TraitDi[[#This Row],[Colonne12]]),FALSE)=0,"",TEXT(IFERROR(VLOOKUP(T_BilanSocial[[#This Row],[NumL]],T_TraitDi[#Data],COLUMN(T_TraitDi[[#This Row],[Colonne12]]),FALSE),""),"[hh]:mm"))</f>
        <v>#VALUE!</v>
      </c>
      <c r="AT195" s="172" t="e">
        <f>IF(VLOOKUP(T_BilanSocial[[#This Row],[NumL]],T_TraitDi[#Data],COLUMN(T_TraitDi[[#This Row],[Colonne14]]),FALSE)=0,"",TEXT(IFERROR(VLOOKUP(T_BilanSocial[[#This Row],[NumL]],T_TraitDi[#Data],COLUMN(T_TraitDi[[#This Row],[Colonne14]]),FALSE),""),"[hh]:mm"))</f>
        <v>#VALUE!</v>
      </c>
      <c r="AU195" s="172" t="str">
        <f>IFERROR(VLOOKUP(T_BilanSocial[[#This Row],[NumL]],T_TraitDi[#Data],COLUMN(T_TraitDi[[#This Row],[Mercredi]]),FALSE),"")</f>
        <v/>
      </c>
      <c r="AV195" s="172" t="e">
        <f>IF(VLOOKUP(T_BilanSocial[[#This Row],[NumL]],T_TraitDi[#Data],COLUMN(T_TraitDi[[#This Row],[Colonne15]]),FALSE)=0,"",TEXT(IFERROR(VLOOKUP(T_BilanSocial[[#This Row],[NumL]],T_TraitDi[#Data],COLUMN(T_TraitDi[[#This Row],[Colonne15]]),FALSE),""),"[hh]:mm"))</f>
        <v>#VALUE!</v>
      </c>
      <c r="AW195" s="172" t="e">
        <f>IF(VLOOKUP(T_BilanSocial[[#This Row],[NumL]],T_TraitDi[#Data],COLUMN(T_TraitDi[[#This Row],[Colonne16]]),FALSE)=0,"",TEXT(IFERROR(VLOOKUP(T_BilanSocial[[#This Row],[NumL]],T_TraitDi[#Data],COLUMN(T_TraitDi[[#This Row],[Colonne16]]),FALSE),""),"[hh]:mm"))</f>
        <v>#VALUE!</v>
      </c>
      <c r="AX195" s="172" t="str">
        <f>IFERROR(VLOOKUP(T_BilanSocial[[#This Row],[NumL]],T_TraitDi[#Data],COLUMN(T_TraitDi[[#This Row],[Colonne17]]),FALSE),"")</f>
        <v/>
      </c>
      <c r="AY195" s="172" t="e">
        <f>IF(VLOOKUP(T_BilanSocial[[#This Row],[NumL]],T_TraitDi[#Data],COLUMN(T_TraitDi[[#This Row],[Colonne18]]),FALSE)=0,"",TEXT(IFERROR(VLOOKUP(T_BilanSocial[[#This Row],[NumL]],T_TraitDi[#Data],COLUMN(T_TraitDi[[#This Row],[Colonne18]]),FALSE),""),"[hh]:mm"))</f>
        <v>#VALUE!</v>
      </c>
      <c r="AZ195" s="172" t="e">
        <f>IF(VLOOKUP(T_BilanSocial[[#This Row],[NumL]],T_TraitDi[#Data],COLUMN(T_TraitDi[[#This Row],[Colonne19]]),FALSE)=0,"",TEXT(IFERROR(VLOOKUP(T_BilanSocial[[#This Row],[NumL]],T_TraitDi[#Data],COLUMN(T_TraitDi[[#This Row],[Colonne19]]),FALSE),""),"[hh]:mm"))</f>
        <v>#VALUE!</v>
      </c>
      <c r="BA195" s="172" t="e">
        <f>IF(VLOOKUP(T_BilanSocial[[#This Row],[NumL]],T_TraitDi[#Data],COLUMN(T_TraitDi[[#This Row],[Colonne20]]),FALSE)=0,"",TEXT(IFERROR(VLOOKUP(T_BilanSocial[[#This Row],[NumL]],T_TraitDi[#Data],COLUMN(T_TraitDi[[#This Row],[Colonne20]]),FALSE),""),"[hh]:mm"))</f>
        <v>#VALUE!</v>
      </c>
      <c r="BB195" s="178" t="str">
        <f>IFERROR(VLOOKUP(T_BilanSocial[[#This Row],[NumL]],T_TraitDi[#Data],COLUMN(T_TraitDi[[#This Row],[Jeudi]]),FALSE),"")</f>
        <v/>
      </c>
      <c r="BC195" s="178" t="e">
        <f>IF(VLOOKUP(T_BilanSocial[[#This Row],[NumL]],T_TraitDi[#Data],COLUMN(T_TraitDi[[#This Row],[Colonne21]]),FALSE)=0,"",TEXT(IFERROR(VLOOKUP(T_BilanSocial[[#This Row],[NumL]],T_TraitDi[#Data],COLUMN(T_TraitDi[[#This Row],[Colonne21]]),FALSE),""),"[hh]:mm"))</f>
        <v>#VALUE!</v>
      </c>
      <c r="BD195" s="178" t="e">
        <f>IF(VLOOKUP(T_BilanSocial[[#This Row],[NumL]],T_TraitDi[#Data],COLUMN(T_TraitDi[[#This Row],[Colonne22]]),FALSE)=0,"",TEXT(IFERROR(VLOOKUP(T_BilanSocial[[#This Row],[NumL]],T_TraitDi[#Data],COLUMN(T_TraitDi[[#This Row],[Colonne22]]),FALSE),""),"[hh]:mm"))</f>
        <v>#VALUE!</v>
      </c>
      <c r="BE195" s="178" t="str">
        <f>IFERROR(VLOOKUP(T_BilanSocial[[#This Row],[NumL]],T_TraitDi[#Data],COLUMN(T_TraitDi[[#This Row],[Colonne23]]),FALSE),"")</f>
        <v/>
      </c>
      <c r="BF195" s="178" t="e">
        <f>IF(VLOOKUP(T_BilanSocial[[#This Row],[NumL]],T_TraitDi[#Data],COLUMN(T_TraitDi[[#This Row],[Colonne24]]),FALSE)=0,"",TEXT(IFERROR(VLOOKUP(T_BilanSocial[[#This Row],[NumL]],T_TraitDi[#Data],COLUMN(T_TraitDi[[#This Row],[Colonne24]]),FALSE),""),"[hh]:mm"))</f>
        <v>#VALUE!</v>
      </c>
      <c r="BG195" s="178" t="e">
        <f>IF(VLOOKUP(T_BilanSocial[[#This Row],[NumL]],T_TraitDi[#Data],COLUMN(T_TraitDi[[#This Row],[Colonne25]]),FALSE)=0,"",TEXT(IFERROR(VLOOKUP(T_BilanSocial[[#This Row],[NumL]],T_TraitDi[#Data],COLUMN(T_TraitDi[[#This Row],[Colonne25]]),FALSE),""),"[hh]:mm"))</f>
        <v>#VALUE!</v>
      </c>
      <c r="BH195" s="178" t="e">
        <f>IF(VLOOKUP(T_BilanSocial[[#This Row],[NumL]],T_TraitDi[#Data],COLUMN(T_TraitDi[[#This Row],[Colonne26]]),FALSE)=0,"",TEXT(IFERROR(VLOOKUP(T_BilanSocial[[#This Row],[NumL]],T_TraitDi[#Data],COLUMN(T_TraitDi[[#This Row],[Colonne26]]),FALSE),""),"[hh]:mm"))</f>
        <v>#VALUE!</v>
      </c>
      <c r="BI195" s="172" t="str">
        <f>IFERROR(VLOOKUP(T_BilanSocial[[#This Row],[NumL]],T_TraitDi[#Data],COLUMN(T_TraitDi[[#This Row],[Vendredi]]),FALSE),"")</f>
        <v/>
      </c>
      <c r="BJ195" s="172" t="e">
        <f>IF(VLOOKUP(T_BilanSocial[[#This Row],[NumL]],T_TraitDi[#Data],COLUMN(T_TraitDi[[#This Row],[Colonne27]]),FALSE)=0,"",TEXT(IFERROR(VLOOKUP(T_BilanSocial[[#This Row],[NumL]],T_TraitDi[#Data],COLUMN(T_TraitDi[[#This Row],[Colonne27]]),FALSE),""),"[hh]:mm"))</f>
        <v>#VALUE!</v>
      </c>
      <c r="BK195" s="172" t="e">
        <f>IF(VLOOKUP(T_BilanSocial[[#This Row],[NumL]],T_TraitDi[#Data],COLUMN(T_TraitDi[[#This Row],[Colonne28]]),FALSE)=0,"",TEXT(IFERROR(VLOOKUP(T_BilanSocial[[#This Row],[NumL]],T_TraitDi[#Data],COLUMN(T_TraitDi[[#This Row],[Colonne28]]),FALSE),""),"[hh]:mm"))</f>
        <v>#VALUE!</v>
      </c>
      <c r="BL195" s="172" t="str">
        <f>IFERROR(VLOOKUP(T_BilanSocial[[#This Row],[NumL]],T_TraitDi[#Data],COLUMN(T_TraitDi[[#This Row],[Colonne29]]),FALSE),"")</f>
        <v/>
      </c>
      <c r="BM195" s="172" t="e">
        <f>IF(VLOOKUP(T_BilanSocial[[#This Row],[NumL]],T_TraitDi[#Data],COLUMN(T_TraitDi[[#This Row],[Colonne30]]),FALSE)=0,"",TEXT(IFERROR(VLOOKUP(T_BilanSocial[[#This Row],[NumL]],T_TraitDi[#Data],COLUMN(T_TraitDi[[#This Row],[Colonne30]]),FALSE),""),"[hh]:mm"))</f>
        <v>#VALUE!</v>
      </c>
      <c r="BN195" s="172" t="e">
        <f>IF(VLOOKUP(T_BilanSocial[[#This Row],[NumL]],T_TraitDi[#Data],COLUMN(T_TraitDi[[#This Row],[Colonne31]]),FALSE)=0,"",TEXT(IFERROR(VLOOKUP(T_BilanSocial[[#This Row],[NumL]],T_TraitDi[#Data],COLUMN(T_TraitDi[[#This Row],[Colonne31]]),FALSE),""),"[hh]:mm"))</f>
        <v>#VALUE!</v>
      </c>
      <c r="BO195" s="172" t="e">
        <f>IF(VLOOKUP(T_BilanSocial[[#This Row],[NumL]],T_TraitDi[#Data],COLUMN(T_TraitDi[[#This Row],[Colonne32]]),FALSE)=0,"",TEXT(IFERROR(VLOOKUP(T_BilanSocial[[#This Row],[NumL]],T_TraitDi[#Data],COLUMN(T_TraitDi[[#This Row],[Colonne32]]),FALSE),""),"[hh]:mm"))</f>
        <v>#VALUE!</v>
      </c>
      <c r="BP195" s="172" t="e">
        <f>VLOOKUP(T_BilanSocial[[#This Row],[NumL]],T_TraitDi[#Data],COLUMN(T_TraitDi[NbJTot]),FALSE)</f>
        <v>#N/A</v>
      </c>
      <c r="BQ195" s="174" t="str">
        <f>IFERROR(VLOOKUP(T_BilanSocial[[#This Row],[NumL]],T_TraitDi[#Data],COLUMN(T_TraitDi[[#This Row],[NbJTW]]),FALSE),"")</f>
        <v/>
      </c>
      <c r="BR195" s="174" t="e">
        <f>IF(VLOOKUP(T_BilanSocial[[#This Row],[NumL]],T_TraitDi[#Data],COLUMN(T_TraitDi[[#This Row],[NbhTW]]),FALSE)=0,"",TEXT(IFERROR(VLOOKUP(T_BilanSocial[[#This Row],[NumL]],T_TraitDi[#Data],COLUMN(T_TraitDi[[#This Row],[NbhTW]]),FALSE),""),"[hh]:mm"))</f>
        <v>#VALUE!</v>
      </c>
      <c r="BS195" s="174" t="e">
        <f>IF(VLOOKUP(T_BilanSocial[[#This Row],[NumL]],T_TraitDi[#Data],COLUMN(T_TraitDi[[#This Row],[Nbhheb]]),FALSE)=0,"",TEXT(IFERROR(VLOOKUP($A195,T_TraitDi[#Data],COLUMN(T_TraitDi[[#This Row],[Nbhheb]]),FALSE),""),"[hh]:mm"))</f>
        <v>#VALUE!</v>
      </c>
      <c r="BT195" s="182" t="str">
        <f>IFERROR(VLOOKUP(VLOOKUP($A195,T_TraitDi[#Data],COLUMN(T_TraitDi[[#This Row],[Type1]]),FALSE),TypeTW,2,FALSE),"")</f>
        <v/>
      </c>
      <c r="BU195" s="182" t="str">
        <f>IFERROR(VLOOKUP($A195,T_TraitDi[#Data],COLUMN(T_TraitDi[[#This Row],[Rue1]]),FALSE),"")</f>
        <v/>
      </c>
      <c r="BV195" s="173" t="str">
        <f>IFERROR(VLOOKUP($A195,T_TraitDi[#Data],COLUMN(T_TraitDi[[#This Row],[CP1]]),FALSE),"")</f>
        <v/>
      </c>
      <c r="BW195" s="173" t="str">
        <f>IFERROR(VLOOKUP($A195,T_TraitDi[#Data],COLUMN(T_TraitDi[[#This Row],[VILLE1]]),FALSE),"")</f>
        <v/>
      </c>
      <c r="BX195" s="182" t="str">
        <f>IFERROR(VLOOKUP(VLOOKUP($A195,T_TraitDi[#Data],COLUMN(T_TraitDi[[#This Row],[Type2]]),FALSE),TypeTW,2,FALSE),"")</f>
        <v/>
      </c>
      <c r="BY195" s="182" t="str">
        <f>IFERROR(VLOOKUP($A195,T_TraitDi[#Data],COLUMN(T_TraitDi[[#This Row],[Rue2]]),FALSE),"")</f>
        <v/>
      </c>
      <c r="BZ195" s="173" t="str">
        <f>IFERROR(VLOOKUP($A195,T_TraitDi[#Data],COLUMN(T_TraitDi[[#This Row],[CP2]]),FALSE),"")</f>
        <v/>
      </c>
      <c r="CA195" s="173" t="str">
        <f>IFERROR(VLOOKUP($A195,T_TraitDi[#Data],COLUMN(T_TraitDi[[#This Row],[VILLE2]]),FALSE),"")</f>
        <v/>
      </c>
      <c r="CB195" s="182" t="str">
        <f>IF(VLOOKUP(T_BilanSocial[[#This Row],[NumL]],T_Equipement[#Data],COLUMN(T_Equipement[[#This Row],[PC]]),FALSE)="","Aucun équipement spécifique directement lié au télétravail",VLOOKUP(T_BilanSocial[[#This Row],[NumL]],T_Equipement[#Data],COLUMN(T_Equipement[[#This Row],[PC]]),FALSE))</f>
        <v xml:space="preserve">SCD2014PORT03	</v>
      </c>
      <c r="CC195" s="166" t="str">
        <f>IFERROR(IF(VLOOKUP(T_BilanSocial[[#This Row],[NumL]],T_TraitDi[#Data],COLUMN(T_TraitDi[[#This Row],[Plan]]),FALSE)="OK","Un planning spécifique de télétravail est annexé à la présente convention.",""),"")</f>
        <v/>
      </c>
      <c r="CD195" s="258" t="s">
        <v>3307</v>
      </c>
      <c r="CE195" s="164" t="e">
        <f>IF(VLOOKUP(T_BilanSocial[[#This Row],[NumL]],T_suiviDi[#Data],COLUMN(T_suiviDi[[#This Row],[Entité]]),FALSE)="","",VLOOKUP(T_BilanSocial[[#This Row],[NumL]],T_suiviDi[#Data],COLUMN(T_suiviDi[[#This Row],[Entité]]),FALSE))</f>
        <v>#VALUE!</v>
      </c>
      <c r="CF195" s="164" t="str">
        <f>IF(VLOOKUP(T_BilanSocial[[#This Row],[NumL]],T_Commission[#Data],COLUMN(T_Commission[[#This Row],[envoi confirm TW]]),FALSE)="","",VLOOKUP(T_BilanSocial[[#This Row],[NumL]],T_Commission[#Data],COLUMN(T_Commission[[#This Row],[envoi confirm TW]]),FALSE))</f>
        <v>Oui</v>
      </c>
      <c r="CG19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5" s="262" t="str">
        <f>T_BilanSocial[[#This Row],[Nom]]&amp;T_BilanSocial[[#This Row],[Prenom]]</f>
        <v/>
      </c>
      <c r="CI195" s="262">
        <f>VLOOKUP(T_BilanSocial[[#This Row],[NumL]],T_Commission[#Data],COLUMN(T_Commission[Commentaire]),FALSE)</f>
        <v>0</v>
      </c>
      <c r="CJ195" s="262" t="str">
        <f>IF(VLOOKUP(T_BilanSocial[[#This Row],[NumL]],T_Commission[#Data],COLUMN(T_Commission[Encadrant Email]),FALSE)="","",VLOOKUP(T_BilanSocial[[#This Row],[NumL]],T_Commission[#Data],COLUMN(T_Commission[Encadrant Email]),FALSE))</f>
        <v/>
      </c>
      <c r="CK195" s="340" t="str">
        <f>IF(T_BilanSocial[[#This Row],[Final]]&lt;&gt;"",VLOOKUP(T_BilanSocial[[#This Row],[NumL]],T_suiviDi[#Data],COLUMN((T_suiviDi[Statut])),FALSE),"")</f>
        <v/>
      </c>
    </row>
    <row r="196" spans="1:89" s="106" customFormat="1" ht="24.75" customHeight="1" x14ac:dyDescent="0.25">
      <c r="A196" s="160">
        <v>193</v>
      </c>
      <c r="B196" s="161" t="e">
        <f t="shared" ref="B196:B259" si="34">VLOOKUP(A196,ComDI,15,FALSE)</f>
        <v>#N/A</v>
      </c>
      <c r="C196" s="162" t="s">
        <v>139</v>
      </c>
      <c r="D196" s="95" t="e">
        <f>IF(VLOOKUP(T_BilanSocial[[#This Row],[NumL]],T_TraitDi[#Data],COLUMN(T_TraitDi[[#This Row],[WebC]]),FALSE)="","",VLOOKUP(T_BilanSocial[[#This Row],[NumL]],T_TraitDi[#Data],COLUMN(T_TraitDi[[#This Row],[WebC]]),FALSE))</f>
        <v>#VALUE!</v>
      </c>
      <c r="E196" s="163" t="str">
        <f t="shared" ref="E196:E259" si="35">TEXT(DateEdition,"jj mmmm aaaa")</f>
        <v>12 janvier 2021</v>
      </c>
      <c r="F196" s="96" t="e">
        <f>IF(T_BilanSocial[[#This Row],[Final]]&lt;&gt;"",VLOOKUP(T_BilanSocial[[#This Row],[NumL]],T_suiviDi[#Data],COLUMN((T_suiviDi[Civ.])),FALSE),"")</f>
        <v>#N/A</v>
      </c>
      <c r="G196" s="96" t="e">
        <f>IF(T_BilanSocial[[#This Row],[Final]]&lt;&gt;"",VLOOKUP(T_BilanSocial[[#This Row],[NumL]],T_suiviDi[#Data],COLUMN((T_suiviDi[Nom])),FALSE),"")</f>
        <v>#N/A</v>
      </c>
      <c r="H196" s="96" t="e">
        <f>IF(T_BilanSocial[[#This Row],[Final]]&lt;&gt;"",VLOOKUP(T_BilanSocial[[#This Row],[NumL]],T_suiviDi[#Data],COLUMN((T_suiviDi[Prénom])),FALSE),"")</f>
        <v>#N/A</v>
      </c>
      <c r="I196" s="96" t="str">
        <f>IFERROR(VLOOKUP(T_BilanSocial[[#This Row],[Zone_Bilan]],T_P_BilanSocial[#Data],COLUMN(T_P_BilanSocial[[#This Row],[Numero_SIHAM]]),FALSE),"")</f>
        <v/>
      </c>
      <c r="J196" s="96" t="str">
        <f>IFERROR(VLOOKUP(T_BilanSocial[[#This Row],[Zone_Bilan]],T_P_BilanSocial[#Data],COLUMN(T_P_BilanSocial[[#This Row],[Sexe]]),FALSE),"")</f>
        <v/>
      </c>
      <c r="K196" s="97" t="str">
        <f>IFERROR(VLOOKUP(T_BilanSocial[[#This Row],[Zone_Bilan]],T_P_BilanSocial[#Data],COLUMN(T_P_BilanSocial[[#This Row],[Categorie]]),FALSE),"")</f>
        <v/>
      </c>
      <c r="L196" s="96" t="str">
        <f>IFERROR(VLOOKUP(T_BilanSocial[[#This Row],[Zone_Bilan]],T_P_BilanSocial[#Data],COLUMN(T_P_BilanSocial[[#This Row],[Statut]]),FALSE),"")</f>
        <v/>
      </c>
      <c r="M196" s="96" t="str">
        <f>IFERROR(VLOOKUP(T_BilanSocial[[#This Row],[Zone_Bilan]],T_P_BilanSocial[#Data],COLUMN(T_P_BilanSocial[[#This Row],[Filiere]]),FALSE),"")</f>
        <v/>
      </c>
      <c r="N196" s="96" t="e">
        <f>VLOOKUP(T_BilanSocial[[#This Row],[NumL]],T_TraitDi[#Data],COLUMN(T_TraitDi[EXP]),FALSE)</f>
        <v>#N/A</v>
      </c>
      <c r="O196" s="96" t="e">
        <f>VLOOKUP(T_BilanSocial[[#This Row],[NumL]],T_TraitDi[#Data],COLUMN(T_TraitDi[FORM]),FALSE)</f>
        <v>#N/A</v>
      </c>
      <c r="P196" s="96" t="e">
        <f>IF(T_BilanSocial[[#This Row],[Final]]&lt;&gt;"",VLOOKUP(T_BilanSocial[[#This Row],[NumL]],T_suiviDi[#Data],COLUMN((T_suiviDi[Email])),FALSE),"")</f>
        <v>#N/A</v>
      </c>
      <c r="Q196" s="164" t="e">
        <f t="shared" si="28"/>
        <v>#N/A</v>
      </c>
      <c r="R196" s="164" t="e">
        <f t="shared" si="29"/>
        <v>#N/A</v>
      </c>
      <c r="S196" s="164" t="e">
        <f>IF(VLOOKUP(T_BilanSocial[[#This Row],[NumL]],T_suiviDi[#Data],COLUMN(T_suiviDi[[#This Row],[Service ]]),FALSE)="","",VLOOKUP(T_BilanSocial[[#This Row],[NumL]],T_suiviDi[#Data],COLUMN(T_suiviDi[[#This Row],[Service ]]),FALSE))</f>
        <v>#VALUE!</v>
      </c>
      <c r="T196" s="164" t="str">
        <f t="shared" ref="T196:T259" si="36">TEXT(Dateeffet,"jj mmmm aaaa")</f>
        <v>01 septembre 2021</v>
      </c>
      <c r="U196" s="164" t="str">
        <f t="shared" ref="U196:U259" si="37">TEXT(DateFinadapt,"jj mmmm aaaa")</f>
        <v>30 novembre 2021</v>
      </c>
      <c r="V196" s="164" t="str">
        <f t="shared" si="33"/>
        <v>30 novembre 2021</v>
      </c>
      <c r="W196" s="176" t="e">
        <f>IF(VLOOKUP(T_BilanSocial[[#This Row],[NumL]],T_TraitDi[#Data],COLUMN(T_TraitDi[[#This Row],[M1]]),FALSE)="","",VLOOKUP(T_BilanSocial[[#This Row],[NumL]],T_TraitDi[#Data],COLUMN(T_TraitDi[[#This Row],[M1]]),FALSE))</f>
        <v>#VALUE!</v>
      </c>
      <c r="X196" s="176" t="e">
        <f>IF(VLOOKUP(T_BilanSocial[[#This Row],[NumL]],T_TraitDi[#Data],COLUMN(T_TraitDi[[#This Row],[M2]]),FALSE)="","",VLOOKUP(T_BilanSocial[[#This Row],[NumL]],T_TraitDi[#Data],COLUMN(T_TraitDi[[#This Row],[M2]]),FALSE))</f>
        <v>#VALUE!</v>
      </c>
      <c r="Y196" s="176" t="e">
        <f>IF(VLOOKUP(T_BilanSocial[[#This Row],[NumL]],T_TraitDi[#Data],COLUMN(T_TraitDi[[#This Row],[M3]]),FALSE)="","",VLOOKUP(T_BilanSocial[[#This Row],[NumL]],T_TraitDi[#Data],COLUMN(T_TraitDi[[#This Row],[M3]]),FALSE))</f>
        <v>#VALUE!</v>
      </c>
      <c r="Z196" s="176" t="str">
        <f t="shared" si="27"/>
        <v/>
      </c>
      <c r="AA196" s="176" t="e">
        <f>IF(VLOOKUP(T_BilanSocial[[#This Row],[NumL]],T_TraitDi[#Data],COLUMN(T_TraitDi[[#This Row],[M5]]),FALSE)="","",VLOOKUP(T_BilanSocial[[#This Row],[NumL]],T_TraitDi[#Data],COLUMN(T_TraitDi[[#This Row],[M5]]),FALSE))</f>
        <v>#VALUE!</v>
      </c>
      <c r="AB196" s="176" t="e">
        <f>IF(VLOOKUP(T_BilanSocial[[#This Row],[NumL]],T_TraitDi[#Data],COLUMN(T_TraitDi[[#This Row],[M6]]),FALSE)="","",VLOOKUP(T_BilanSocial[[#This Row],[NumL]],T_TraitDi[#Data],COLUMN(T_TraitDi[[#This Row],[M6]]),FALSE))</f>
        <v>#VALUE!</v>
      </c>
      <c r="AC196" s="165" t="e">
        <f t="shared" ref="AC196:AC259" si="38">W196&amp;X196&amp;Y196&amp;Z196&amp;AA196&amp;AB196</f>
        <v>#VALUE!</v>
      </c>
      <c r="AD196" s="188" t="str">
        <f>IFERROR(TEXT(VLOOKUP(T_BilanSocial[[#This Row],[NumL]],T_TraitDi[#Data],COLUMN(T_TraitDi[[#This Row],[Q2]]),FALSE),"###%"),"")</f>
        <v/>
      </c>
      <c r="AE196" s="97" t="e">
        <f>VLOOKUP(T_BilanSocial[[#This Row],[NumL]],T_TraitDi[#Data],COLUMN(T_TraitDi[[#This Row],[Reg Ponct]]),FALSE)</f>
        <v>#VALUE!</v>
      </c>
      <c r="AF196" s="97" t="e">
        <f>VLOOKUP(T_BilanSocial[NumL],T_TraitDi[#Data],COLUMN(T_TraitDi[[#This Row],[Jours flottants]]),FALSE)</f>
        <v>#VALUE!</v>
      </c>
      <c r="AG196" s="97" t="str">
        <f>IFERROR(VLOOKUP(T_BilanSocial[[#This Row],[NumL]],T_TraitDi[#Data],COLUMN(T_TraitDi[[#This Row],[Lundi]]),FALSE),"")</f>
        <v/>
      </c>
      <c r="AH196" s="172" t="e">
        <f>IF(VLOOKUP(T_BilanSocial[[#This Row],[NumL]],T_TraitDi[#Data],COLUMN(T_TraitDi[[#This Row],[Colonne3]]),FALSE)=0,"",TEXT(IFERROR(VLOOKUP(T_BilanSocial[[#This Row],[NumL]],T_TraitDi[#Data],COLUMN(T_TraitDi[[#This Row],[Colonne3]]),FALSE),""),"[hh]:mm"))</f>
        <v>#VALUE!</v>
      </c>
      <c r="AI196" s="172" t="e">
        <f>IF(VLOOKUP(T_BilanSocial[[#This Row],[NumL]],T_TraitDi[#Data],COLUMN(T_TraitDi[[#This Row],[Colonne4]]),FALSE)=0,"",TEXT(IFERROR(VLOOKUP(T_BilanSocial[[#This Row],[NumL]],T_TraitDi[#Data],COLUMN(T_TraitDi[[#This Row],[Colonne4]]),FALSE),""),"[hh]:mm"))</f>
        <v>#VALUE!</v>
      </c>
      <c r="AJ196" s="172" t="e">
        <f>IF(VLOOKUP(T_BilanSocial[[#This Row],[NumL]],T_TraitDi[#Data],COLUMN(T_TraitDi[[#This Row],[Colonne5]]),FALSE)=0,"",TEXT(IFERROR(VLOOKUP(T_BilanSocial[[#This Row],[NumL]],T_TraitDi[#Data],COLUMN(T_TraitDi[[#This Row],[Colonne5]]),FALSE),""),"[hh]:mm"))</f>
        <v>#VALUE!</v>
      </c>
      <c r="AK196" s="172" t="e">
        <f>IF(VLOOKUP(T_BilanSocial[[#This Row],[NumL]],T_TraitDi[#Data],COLUMN(T_TraitDi[[#This Row],[Colonne6]]),FALSE)=0,"",TEXT(IFERROR(VLOOKUP(T_BilanSocial[[#This Row],[NumL]],T_TraitDi[#Data],COLUMN(T_TraitDi[[#This Row],[Colonne6]]),FALSE),""),"[hh]:mm"))</f>
        <v>#VALUE!</v>
      </c>
      <c r="AL196" s="172" t="e">
        <f>IF(VLOOKUP(T_BilanSocial[[#This Row],[NumL]],T_TraitDi[#Data],COLUMN(T_TraitDi[[#This Row],[Colonne7]]),FALSE)=0,"",TEXT(IFERROR(VLOOKUP(T_BilanSocial[[#This Row],[NumL]],T_TraitDi[#Data],COLUMN(T_TraitDi[[#This Row],[Colonne7]]),FALSE),""),"[hh]:mm"))</f>
        <v>#VALUE!</v>
      </c>
      <c r="AM196" s="172" t="e">
        <f>IF(VLOOKUP(T_BilanSocial[[#This Row],[NumL]],T_TraitDi[#Data],COLUMN(T_TraitDi[[#This Row],[Colonne8]]),FALSE)=0,"",TEXT(IFERROR(VLOOKUP(T_BilanSocial[[#This Row],[NumL]],T_TraitDi[#Data],COLUMN(T_TraitDi[[#This Row],[Colonne8]]),FALSE),""),"[hh]:mm"))</f>
        <v>#VALUE!</v>
      </c>
      <c r="AN196" s="172" t="str">
        <f>IFERROR(VLOOKUP(T_BilanSocial[[#This Row],[NumL]],T_TraitDi[#Data],COLUMN(T_TraitDi[[#This Row],[Mardi]]),FALSE),"")</f>
        <v/>
      </c>
      <c r="AO196" s="172" t="e">
        <f>IF(VLOOKUP(T_BilanSocial[[#This Row],[NumL]],T_TraitDi[#Data],COLUMN(T_TraitDi[[#This Row],[Colonne1]]),FALSE)=0,"",TEXT(IFERROR(VLOOKUP(T_BilanSocial[[#This Row],[NumL]],T_TraitDi[#Data],COLUMN(T_TraitDi[[#This Row],[Colonne1]]),FALSE),""),"[hh]:mm"))</f>
        <v>#VALUE!</v>
      </c>
      <c r="AP196" s="172" t="e">
        <f>IF(VLOOKUP(T_BilanSocial[[#This Row],[NumL]],T_TraitDi[#Data],COLUMN(T_TraitDi[[#This Row],[Colonne9]]),FALSE)=0,"",TEXT(IFERROR(VLOOKUP(T_BilanSocial[[#This Row],[NumL]],T_TraitDi[#Data],COLUMN(T_TraitDi[[#This Row],[Colonne9]]),FALSE),""),"[hh]:mm"))</f>
        <v>#VALUE!</v>
      </c>
      <c r="AQ196" s="172" t="str">
        <f>IFERROR(VLOOKUP(T_BilanSocial[[#This Row],[NumL]],T_TraitDi[#Data],COLUMN(T_TraitDi[[#This Row],[Colonne10]]),FALSE),"")</f>
        <v/>
      </c>
      <c r="AR196" s="172" t="e">
        <f>IF(VLOOKUP(T_BilanSocial[[#This Row],[NumL]],T_TraitDi[#Data],COLUMN(T_TraitDi[[#This Row],[Colonne11]]),FALSE)=0,"",TEXT(IFERROR(VLOOKUP(T_BilanSocial[[#This Row],[NumL]],T_TraitDi[#Data],COLUMN(T_TraitDi[[#This Row],[Colonne11]]),FALSE),""),"[hh]:mm"))</f>
        <v>#VALUE!</v>
      </c>
      <c r="AS196" s="172" t="e">
        <f>IF(VLOOKUP(T_BilanSocial[[#This Row],[NumL]],T_TraitDi[#Data],COLUMN(T_TraitDi[[#This Row],[Colonne12]]),FALSE)=0,"",TEXT(IFERROR(VLOOKUP(T_BilanSocial[[#This Row],[NumL]],T_TraitDi[#Data],COLUMN(T_TraitDi[[#This Row],[Colonne12]]),FALSE),""),"[hh]:mm"))</f>
        <v>#VALUE!</v>
      </c>
      <c r="AT196" s="172" t="e">
        <f>IF(VLOOKUP(T_BilanSocial[[#This Row],[NumL]],T_TraitDi[#Data],COLUMN(T_TraitDi[[#This Row],[Colonne14]]),FALSE)=0,"",TEXT(IFERROR(VLOOKUP(T_BilanSocial[[#This Row],[NumL]],T_TraitDi[#Data],COLUMN(T_TraitDi[[#This Row],[Colonne14]]),FALSE),""),"[hh]:mm"))</f>
        <v>#VALUE!</v>
      </c>
      <c r="AU196" s="172" t="str">
        <f>IFERROR(VLOOKUP(T_BilanSocial[[#This Row],[NumL]],T_TraitDi[#Data],COLUMN(T_TraitDi[[#This Row],[Mercredi]]),FALSE),"")</f>
        <v/>
      </c>
      <c r="AV196" s="172" t="e">
        <f>IF(VLOOKUP(T_BilanSocial[[#This Row],[NumL]],T_TraitDi[#Data],COLUMN(T_TraitDi[[#This Row],[Colonne15]]),FALSE)=0,"",TEXT(IFERROR(VLOOKUP(T_BilanSocial[[#This Row],[NumL]],T_TraitDi[#Data],COLUMN(T_TraitDi[[#This Row],[Colonne15]]),FALSE),""),"[hh]:mm"))</f>
        <v>#VALUE!</v>
      </c>
      <c r="AW196" s="172" t="e">
        <f>IF(VLOOKUP(T_BilanSocial[[#This Row],[NumL]],T_TraitDi[#Data],COLUMN(T_TraitDi[[#This Row],[Colonne16]]),FALSE)=0,"",TEXT(IFERROR(VLOOKUP(T_BilanSocial[[#This Row],[NumL]],T_TraitDi[#Data],COLUMN(T_TraitDi[[#This Row],[Colonne16]]),FALSE),""),"[hh]:mm"))</f>
        <v>#VALUE!</v>
      </c>
      <c r="AX196" s="172" t="str">
        <f>IFERROR(VLOOKUP(T_BilanSocial[[#This Row],[NumL]],T_TraitDi[#Data],COLUMN(T_TraitDi[[#This Row],[Colonne17]]),FALSE),"")</f>
        <v/>
      </c>
      <c r="AY196" s="172" t="e">
        <f>IF(VLOOKUP(T_BilanSocial[[#This Row],[NumL]],T_TraitDi[#Data],COLUMN(T_TraitDi[[#This Row],[Colonne18]]),FALSE)=0,"",TEXT(IFERROR(VLOOKUP(T_BilanSocial[[#This Row],[NumL]],T_TraitDi[#Data],COLUMN(T_TraitDi[[#This Row],[Colonne18]]),FALSE),""),"[hh]:mm"))</f>
        <v>#VALUE!</v>
      </c>
      <c r="AZ196" s="172" t="e">
        <f>IF(VLOOKUP(T_BilanSocial[[#This Row],[NumL]],T_TraitDi[#Data],COLUMN(T_TraitDi[[#This Row],[Colonne19]]),FALSE)=0,"",TEXT(IFERROR(VLOOKUP(T_BilanSocial[[#This Row],[NumL]],T_TraitDi[#Data],COLUMN(T_TraitDi[[#This Row],[Colonne19]]),FALSE),""),"[hh]:mm"))</f>
        <v>#VALUE!</v>
      </c>
      <c r="BA196" s="172" t="e">
        <f>IF(VLOOKUP(T_BilanSocial[[#This Row],[NumL]],T_TraitDi[#Data],COLUMN(T_TraitDi[[#This Row],[Colonne20]]),FALSE)=0,"",TEXT(IFERROR(VLOOKUP(T_BilanSocial[[#This Row],[NumL]],T_TraitDi[#Data],COLUMN(T_TraitDi[[#This Row],[Colonne20]]),FALSE),""),"[hh]:mm"))</f>
        <v>#VALUE!</v>
      </c>
      <c r="BB196" s="178" t="str">
        <f>IFERROR(VLOOKUP(T_BilanSocial[[#This Row],[NumL]],T_TraitDi[#Data],COLUMN(T_TraitDi[[#This Row],[Jeudi]]),FALSE),"")</f>
        <v/>
      </c>
      <c r="BC196" s="178" t="e">
        <f>IF(VLOOKUP(T_BilanSocial[[#This Row],[NumL]],T_TraitDi[#Data],COLUMN(T_TraitDi[[#This Row],[Colonne21]]),FALSE)=0,"",TEXT(IFERROR(VLOOKUP(T_BilanSocial[[#This Row],[NumL]],T_TraitDi[#Data],COLUMN(T_TraitDi[[#This Row],[Colonne21]]),FALSE),""),"[hh]:mm"))</f>
        <v>#VALUE!</v>
      </c>
      <c r="BD196" s="178" t="e">
        <f>IF(VLOOKUP(T_BilanSocial[[#This Row],[NumL]],T_TraitDi[#Data],COLUMN(T_TraitDi[[#This Row],[Colonne22]]),FALSE)=0,"",TEXT(IFERROR(VLOOKUP(T_BilanSocial[[#This Row],[NumL]],T_TraitDi[#Data],COLUMN(T_TraitDi[[#This Row],[Colonne22]]),FALSE),""),"[hh]:mm"))</f>
        <v>#VALUE!</v>
      </c>
      <c r="BE196" s="178" t="str">
        <f>IFERROR(VLOOKUP(T_BilanSocial[[#This Row],[NumL]],T_TraitDi[#Data],COLUMN(T_TraitDi[[#This Row],[Colonne23]]),FALSE),"")</f>
        <v/>
      </c>
      <c r="BF196" s="178" t="e">
        <f>IF(VLOOKUP(T_BilanSocial[[#This Row],[NumL]],T_TraitDi[#Data],COLUMN(T_TraitDi[[#This Row],[Colonne24]]),FALSE)=0,"",TEXT(IFERROR(VLOOKUP(T_BilanSocial[[#This Row],[NumL]],T_TraitDi[#Data],COLUMN(T_TraitDi[[#This Row],[Colonne24]]),FALSE),""),"[hh]:mm"))</f>
        <v>#VALUE!</v>
      </c>
      <c r="BG196" s="178" t="e">
        <f>IF(VLOOKUP(T_BilanSocial[[#This Row],[NumL]],T_TraitDi[#Data],COLUMN(T_TraitDi[[#This Row],[Colonne25]]),FALSE)=0,"",TEXT(IFERROR(VLOOKUP(T_BilanSocial[[#This Row],[NumL]],T_TraitDi[#Data],COLUMN(T_TraitDi[[#This Row],[Colonne25]]),FALSE),""),"[hh]:mm"))</f>
        <v>#VALUE!</v>
      </c>
      <c r="BH196" s="178" t="e">
        <f>IF(VLOOKUP(T_BilanSocial[[#This Row],[NumL]],T_TraitDi[#Data],COLUMN(T_TraitDi[[#This Row],[Colonne26]]),FALSE)=0,"",TEXT(IFERROR(VLOOKUP(T_BilanSocial[[#This Row],[NumL]],T_TraitDi[#Data],COLUMN(T_TraitDi[[#This Row],[Colonne26]]),FALSE),""),"[hh]:mm"))</f>
        <v>#VALUE!</v>
      </c>
      <c r="BI196" s="172" t="str">
        <f>IFERROR(VLOOKUP(T_BilanSocial[[#This Row],[NumL]],T_TraitDi[#Data],COLUMN(T_TraitDi[[#This Row],[Vendredi]]),FALSE),"")</f>
        <v/>
      </c>
      <c r="BJ196" s="172" t="e">
        <f>IF(VLOOKUP(T_BilanSocial[[#This Row],[NumL]],T_TraitDi[#Data],COLUMN(T_TraitDi[[#This Row],[Colonne27]]),FALSE)=0,"",TEXT(IFERROR(VLOOKUP(T_BilanSocial[[#This Row],[NumL]],T_TraitDi[#Data],COLUMN(T_TraitDi[[#This Row],[Colonne27]]),FALSE),""),"[hh]:mm"))</f>
        <v>#VALUE!</v>
      </c>
      <c r="BK196" s="172" t="e">
        <f>IF(VLOOKUP(T_BilanSocial[[#This Row],[NumL]],T_TraitDi[#Data],COLUMN(T_TraitDi[[#This Row],[Colonne28]]),FALSE)=0,"",TEXT(IFERROR(VLOOKUP(T_BilanSocial[[#This Row],[NumL]],T_TraitDi[#Data],COLUMN(T_TraitDi[[#This Row],[Colonne28]]),FALSE),""),"[hh]:mm"))</f>
        <v>#VALUE!</v>
      </c>
      <c r="BL196" s="172" t="str">
        <f>IFERROR(VLOOKUP(T_BilanSocial[[#This Row],[NumL]],T_TraitDi[#Data],COLUMN(T_TraitDi[[#This Row],[Colonne29]]),FALSE),"")</f>
        <v/>
      </c>
      <c r="BM196" s="172" t="e">
        <f>IF(VLOOKUP(T_BilanSocial[[#This Row],[NumL]],T_TraitDi[#Data],COLUMN(T_TraitDi[[#This Row],[Colonne30]]),FALSE)=0,"",TEXT(IFERROR(VLOOKUP(T_BilanSocial[[#This Row],[NumL]],T_TraitDi[#Data],COLUMN(T_TraitDi[[#This Row],[Colonne30]]),FALSE),""),"[hh]:mm"))</f>
        <v>#VALUE!</v>
      </c>
      <c r="BN196" s="172" t="e">
        <f>IF(VLOOKUP(T_BilanSocial[[#This Row],[NumL]],T_TraitDi[#Data],COLUMN(T_TraitDi[[#This Row],[Colonne31]]),FALSE)=0,"",TEXT(IFERROR(VLOOKUP(T_BilanSocial[[#This Row],[NumL]],T_TraitDi[#Data],COLUMN(T_TraitDi[[#This Row],[Colonne31]]),FALSE),""),"[hh]:mm"))</f>
        <v>#VALUE!</v>
      </c>
      <c r="BO196" s="172" t="e">
        <f>IF(VLOOKUP(T_BilanSocial[[#This Row],[NumL]],T_TraitDi[#Data],COLUMN(T_TraitDi[[#This Row],[Colonne32]]),FALSE)=0,"",TEXT(IFERROR(VLOOKUP(T_BilanSocial[[#This Row],[NumL]],T_TraitDi[#Data],COLUMN(T_TraitDi[[#This Row],[Colonne32]]),FALSE),""),"[hh]:mm"))</f>
        <v>#VALUE!</v>
      </c>
      <c r="BP196" s="172" t="e">
        <f>VLOOKUP(T_BilanSocial[[#This Row],[NumL]],T_TraitDi[#Data],COLUMN(T_TraitDi[NbJTot]),FALSE)</f>
        <v>#N/A</v>
      </c>
      <c r="BQ196" s="174" t="str">
        <f>IFERROR(VLOOKUP(T_BilanSocial[[#This Row],[NumL]],T_TraitDi[#Data],COLUMN(T_TraitDi[[#This Row],[NbJTW]]),FALSE),"")</f>
        <v/>
      </c>
      <c r="BR196" s="174" t="e">
        <f>IF(VLOOKUP(T_BilanSocial[[#This Row],[NumL]],T_TraitDi[#Data],COLUMN(T_TraitDi[[#This Row],[NbhTW]]),FALSE)=0,"",TEXT(IFERROR(VLOOKUP(T_BilanSocial[[#This Row],[NumL]],T_TraitDi[#Data],COLUMN(T_TraitDi[[#This Row],[NbhTW]]),FALSE),""),"[hh]:mm"))</f>
        <v>#VALUE!</v>
      </c>
      <c r="BS196" s="174" t="e">
        <f>IF(VLOOKUP(T_BilanSocial[[#This Row],[NumL]],T_TraitDi[#Data],COLUMN(T_TraitDi[[#This Row],[Nbhheb]]),FALSE)=0,"",TEXT(IFERROR(VLOOKUP($A196,T_TraitDi[#Data],COLUMN(T_TraitDi[[#This Row],[Nbhheb]]),FALSE),""),"[hh]:mm"))</f>
        <v>#VALUE!</v>
      </c>
      <c r="BT196" s="182" t="str">
        <f>IFERROR(VLOOKUP(VLOOKUP($A196,T_TraitDi[#Data],COLUMN(T_TraitDi[[#This Row],[Type1]]),FALSE),TypeTW,2,FALSE),"")</f>
        <v/>
      </c>
      <c r="BU196" s="182" t="str">
        <f>IFERROR(VLOOKUP($A196,T_TraitDi[#Data],COLUMN(T_TraitDi[[#This Row],[Rue1]]),FALSE),"")</f>
        <v/>
      </c>
      <c r="BV196" s="173" t="str">
        <f>IFERROR(VLOOKUP($A196,T_TraitDi[#Data],COLUMN(T_TraitDi[[#This Row],[CP1]]),FALSE),"")</f>
        <v/>
      </c>
      <c r="BW196" s="173" t="str">
        <f>IFERROR(VLOOKUP($A196,T_TraitDi[#Data],COLUMN(T_TraitDi[[#This Row],[VILLE1]]),FALSE),"")</f>
        <v/>
      </c>
      <c r="BX196" s="182" t="str">
        <f>IFERROR(VLOOKUP(VLOOKUP($A196,T_TraitDi[#Data],COLUMN(T_TraitDi[[#This Row],[Type2]]),FALSE),TypeTW,2,FALSE),"")</f>
        <v/>
      </c>
      <c r="BY196" s="182" t="str">
        <f>IFERROR(VLOOKUP($A196,T_TraitDi[#Data],COLUMN(T_TraitDi[[#This Row],[Rue2]]),FALSE),"")</f>
        <v/>
      </c>
      <c r="BZ196" s="173" t="str">
        <f>IFERROR(VLOOKUP($A196,T_TraitDi[#Data],COLUMN(T_TraitDi[[#This Row],[CP2]]),FALSE),"")</f>
        <v/>
      </c>
      <c r="CA196" s="173" t="str">
        <f>IFERROR(VLOOKUP($A196,T_TraitDi[#Data],COLUMN(T_TraitDi[[#This Row],[VILLE2]]),FALSE),"")</f>
        <v/>
      </c>
      <c r="CB196" s="182" t="e">
        <f>IF(VLOOKUP(T_BilanSocial[[#This Row],[NumL]],T_Equipement[#Data],COLUMN(T_Equipement[[#This Row],[PC]]),FALSE)="","Aucun équipement spécifique directement lié au télétravail",VLOOKUP(T_BilanSocial[[#This Row],[NumL]],T_Equipement[#Data],COLUMN(T_Equipement[[#This Row],[PC]]),FALSE))</f>
        <v>#N/A</v>
      </c>
      <c r="CC196" s="166" t="str">
        <f>IFERROR(IF(VLOOKUP(T_BilanSocial[[#This Row],[NumL]],T_TraitDi[#Data],COLUMN(T_TraitDi[[#This Row],[Plan]]),FALSE)="OK","Un planning spécifique de télétravail est annexé à la présente convention.",""),"")</f>
        <v/>
      </c>
      <c r="CD196" s="185"/>
      <c r="CE196" s="164" t="e">
        <f>IF(VLOOKUP(T_BilanSocial[[#This Row],[NumL]],T_suiviDi[#Data],COLUMN(T_suiviDi[[#This Row],[Entité]]),FALSE)="","",VLOOKUP(T_BilanSocial[[#This Row],[NumL]],T_suiviDi[#Data],COLUMN(T_suiviDi[[#This Row],[Entité]]),FALSE))</f>
        <v>#VALUE!</v>
      </c>
      <c r="CF196" s="164" t="e">
        <f>IF(VLOOKUP(T_BilanSocial[[#This Row],[NumL]],T_Commission[#Data],COLUMN(T_Commission[[#This Row],[envoi confirm TW]]),FALSE)="","",VLOOKUP(T_BilanSocial[[#This Row],[NumL]],T_Commission[#Data],COLUMN(T_Commission[[#This Row],[envoi confirm TW]]),FALSE))</f>
        <v>#N/A</v>
      </c>
      <c r="CG19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6" s="262" t="e">
        <f>T_BilanSocial[[#This Row],[Nom]]&amp;T_BilanSocial[[#This Row],[Prenom]]</f>
        <v>#N/A</v>
      </c>
      <c r="CI196" s="262" t="e">
        <f>VLOOKUP(T_BilanSocial[[#This Row],[NumL]],T_Commission[#Data],COLUMN(T_Commission[Commentaire]),FALSE)</f>
        <v>#N/A</v>
      </c>
      <c r="CJ196" s="262" t="e">
        <f>IF(VLOOKUP(T_BilanSocial[[#This Row],[NumL]],T_Commission[#Data],COLUMN(T_Commission[Encadrant Email]),FALSE)="","",VLOOKUP(T_BilanSocial[[#This Row],[NumL]],T_Commission[#Data],COLUMN(T_Commission[Encadrant Email]),FALSE))</f>
        <v>#N/A</v>
      </c>
      <c r="CK196" s="340" t="e">
        <f>IF(T_BilanSocial[[#This Row],[Final]]&lt;&gt;"",VLOOKUP(T_BilanSocial[[#This Row],[NumL]],T_suiviDi[#Data],COLUMN((T_suiviDi[Statut])),FALSE),"")</f>
        <v>#N/A</v>
      </c>
    </row>
    <row r="197" spans="1:89" s="106" customFormat="1" ht="24.75" customHeight="1" x14ac:dyDescent="0.25">
      <c r="A197" s="160">
        <v>194</v>
      </c>
      <c r="B197" s="161" t="str">
        <f t="shared" si="34"/>
        <v/>
      </c>
      <c r="C197" s="162" t="s">
        <v>173</v>
      </c>
      <c r="D197" s="95" t="e">
        <f>IF(VLOOKUP(T_BilanSocial[[#This Row],[NumL]],T_TraitDi[#Data],COLUMN(T_TraitDi[[#This Row],[WebC]]),FALSE)="","",VLOOKUP(T_BilanSocial[[#This Row],[NumL]],T_TraitDi[#Data],COLUMN(T_TraitDi[[#This Row],[WebC]]),FALSE))</f>
        <v>#VALUE!</v>
      </c>
      <c r="E197" s="163" t="str">
        <f t="shared" si="35"/>
        <v>12 janvier 2021</v>
      </c>
      <c r="F197" s="96" t="str">
        <f>IF(T_BilanSocial[[#This Row],[Final]]&lt;&gt;"",VLOOKUP(T_BilanSocial[[#This Row],[NumL]],T_suiviDi[#Data],COLUMN((T_suiviDi[Civ.])),FALSE),"")</f>
        <v/>
      </c>
      <c r="G197" s="96" t="str">
        <f>IF(T_BilanSocial[[#This Row],[Final]]&lt;&gt;"",VLOOKUP(T_BilanSocial[[#This Row],[NumL]],T_suiviDi[#Data],COLUMN((T_suiviDi[Nom])),FALSE),"")</f>
        <v/>
      </c>
      <c r="H197" s="96" t="str">
        <f>IF(T_BilanSocial[[#This Row],[Final]]&lt;&gt;"",VLOOKUP(T_BilanSocial[[#This Row],[NumL]],T_suiviDi[#Data],COLUMN((T_suiviDi[Prénom])),FALSE),"")</f>
        <v/>
      </c>
      <c r="I197" s="96" t="str">
        <f>IFERROR(VLOOKUP(T_BilanSocial[[#This Row],[Zone_Bilan]],T_P_BilanSocial[#Data],COLUMN(T_P_BilanSocial[[#This Row],[Numero_SIHAM]]),FALSE),"")</f>
        <v/>
      </c>
      <c r="J197" s="96" t="str">
        <f>IFERROR(VLOOKUP(T_BilanSocial[[#This Row],[Zone_Bilan]],T_P_BilanSocial[#Data],COLUMN(T_P_BilanSocial[[#This Row],[Sexe]]),FALSE),"")</f>
        <v/>
      </c>
      <c r="K197" s="97" t="str">
        <f>IFERROR(VLOOKUP(T_BilanSocial[[#This Row],[Zone_Bilan]],T_P_BilanSocial[#Data],COLUMN(T_P_BilanSocial[[#This Row],[Categorie]]),FALSE),"")</f>
        <v/>
      </c>
      <c r="L197" s="96" t="str">
        <f>IFERROR(VLOOKUP(T_BilanSocial[[#This Row],[Zone_Bilan]],T_P_BilanSocial[#Data],COLUMN(T_P_BilanSocial[[#This Row],[Statut]]),FALSE),"")</f>
        <v/>
      </c>
      <c r="M197" s="96" t="str">
        <f>IFERROR(VLOOKUP(T_BilanSocial[[#This Row],[Zone_Bilan]],T_P_BilanSocial[#Data],COLUMN(T_P_BilanSocial[[#This Row],[Filiere]]),FALSE),"")</f>
        <v/>
      </c>
      <c r="N197" s="96" t="e">
        <f>VLOOKUP(T_BilanSocial[[#This Row],[NumL]],T_TraitDi[#Data],COLUMN(T_TraitDi[EXP]),FALSE)</f>
        <v>#N/A</v>
      </c>
      <c r="O197" s="96" t="e">
        <f>VLOOKUP(T_BilanSocial[[#This Row],[NumL]],T_TraitDi[#Data],COLUMN(T_TraitDi[FORM]),FALSE)</f>
        <v>#N/A</v>
      </c>
      <c r="P197" s="96" t="str">
        <f>IF(T_BilanSocial[[#This Row],[Final]]&lt;&gt;"",VLOOKUP(T_BilanSocial[[#This Row],[NumL]],T_suiviDi[#Data],COLUMN((T_suiviDi[Email])),FALSE),"")</f>
        <v/>
      </c>
      <c r="Q197" s="164" t="e">
        <f t="shared" si="28"/>
        <v>#N/A</v>
      </c>
      <c r="R197" s="164" t="e">
        <f t="shared" si="29"/>
        <v>#N/A</v>
      </c>
      <c r="S197" s="164" t="e">
        <f>IF(VLOOKUP(T_BilanSocial[[#This Row],[NumL]],T_suiviDi[#Data],COLUMN(T_suiviDi[[#This Row],[Service ]]),FALSE)="","",VLOOKUP(T_BilanSocial[[#This Row],[NumL]],T_suiviDi[#Data],COLUMN(T_suiviDi[[#This Row],[Service ]]),FALSE))</f>
        <v>#VALUE!</v>
      </c>
      <c r="T197" s="164" t="str">
        <f t="shared" si="36"/>
        <v>01 septembre 2021</v>
      </c>
      <c r="U197" s="164" t="str">
        <f t="shared" si="37"/>
        <v>30 novembre 2021</v>
      </c>
      <c r="V197" s="164" t="str">
        <f t="shared" si="33"/>
        <v>30 novembre 2021</v>
      </c>
      <c r="W197" s="176" t="e">
        <f>IF(VLOOKUP(T_BilanSocial[[#This Row],[NumL]],T_TraitDi[#Data],COLUMN(T_TraitDi[[#This Row],[M1]]),FALSE)="","",VLOOKUP(T_BilanSocial[[#This Row],[NumL]],T_TraitDi[#Data],COLUMN(T_TraitDi[[#This Row],[M1]]),FALSE))</f>
        <v>#VALUE!</v>
      </c>
      <c r="X197" s="176" t="e">
        <f>IF(VLOOKUP(T_BilanSocial[[#This Row],[NumL]],T_TraitDi[#Data],COLUMN(T_TraitDi[[#This Row],[M2]]),FALSE)="","",VLOOKUP(T_BilanSocial[[#This Row],[NumL]],T_TraitDi[#Data],COLUMN(T_TraitDi[[#This Row],[M2]]),FALSE))</f>
        <v>#VALUE!</v>
      </c>
      <c r="Y197" s="176" t="e">
        <f>IF(VLOOKUP(T_BilanSocial[[#This Row],[NumL]],T_TraitDi[#Data],COLUMN(T_TraitDi[[#This Row],[M3]]),FALSE)="","",VLOOKUP(T_BilanSocial[[#This Row],[NumL]],T_TraitDi[#Data],COLUMN(T_TraitDi[[#This Row],[M3]]),FALSE))</f>
        <v>#VALUE!</v>
      </c>
      <c r="Z197" s="176" t="str">
        <f t="shared" ref="Z197:Z260" si="39">IFERROR(IF(VLOOKUP($A197,TraitementDI,Z$3,FALSE)="",""," -"&amp;VLOOKUP($A197,TraitementDI,Z$3,FALSE)),"")</f>
        <v/>
      </c>
      <c r="AA197" s="176" t="e">
        <f>IF(VLOOKUP(T_BilanSocial[[#This Row],[NumL]],T_TraitDi[#Data],COLUMN(T_TraitDi[[#This Row],[M5]]),FALSE)="","",VLOOKUP(T_BilanSocial[[#This Row],[NumL]],T_TraitDi[#Data],COLUMN(T_TraitDi[[#This Row],[M5]]),FALSE))</f>
        <v>#VALUE!</v>
      </c>
      <c r="AB197" s="176" t="e">
        <f>IF(VLOOKUP(T_BilanSocial[[#This Row],[NumL]],T_TraitDi[#Data],COLUMN(T_TraitDi[[#This Row],[M6]]),FALSE)="","",VLOOKUP(T_BilanSocial[[#This Row],[NumL]],T_TraitDi[#Data],COLUMN(T_TraitDi[[#This Row],[M6]]),FALSE))</f>
        <v>#VALUE!</v>
      </c>
      <c r="AC197" s="165" t="e">
        <f t="shared" si="38"/>
        <v>#VALUE!</v>
      </c>
      <c r="AD197" s="188" t="str">
        <f>IFERROR(TEXT(VLOOKUP(T_BilanSocial[[#This Row],[NumL]],T_TraitDi[#Data],COLUMN(T_TraitDi[[#This Row],[Q2]]),FALSE),"###%"),"")</f>
        <v/>
      </c>
      <c r="AE197" s="97" t="e">
        <f>VLOOKUP(T_BilanSocial[[#This Row],[NumL]],T_TraitDi[#Data],COLUMN(T_TraitDi[[#This Row],[Reg Ponct]]),FALSE)</f>
        <v>#VALUE!</v>
      </c>
      <c r="AF197" s="97" t="e">
        <f>VLOOKUP(T_BilanSocial[NumL],T_TraitDi[#Data],COLUMN(T_TraitDi[[#This Row],[Jours flottants]]),FALSE)</f>
        <v>#VALUE!</v>
      </c>
      <c r="AG197" s="97" t="str">
        <f>IFERROR(VLOOKUP(T_BilanSocial[[#This Row],[NumL]],T_TraitDi[#Data],COLUMN(T_TraitDi[[#This Row],[Lundi]]),FALSE),"")</f>
        <v/>
      </c>
      <c r="AH197" s="172" t="e">
        <f>IF(VLOOKUP(T_BilanSocial[[#This Row],[NumL]],T_TraitDi[#Data],COLUMN(T_TraitDi[[#This Row],[Colonne3]]),FALSE)=0,"",TEXT(IFERROR(VLOOKUP(T_BilanSocial[[#This Row],[NumL]],T_TraitDi[#Data],COLUMN(T_TraitDi[[#This Row],[Colonne3]]),FALSE),""),"[hh]:mm"))</f>
        <v>#VALUE!</v>
      </c>
      <c r="AI197" s="172" t="e">
        <f>IF(VLOOKUP(T_BilanSocial[[#This Row],[NumL]],T_TraitDi[#Data],COLUMN(T_TraitDi[[#This Row],[Colonne4]]),FALSE)=0,"",TEXT(IFERROR(VLOOKUP(T_BilanSocial[[#This Row],[NumL]],T_TraitDi[#Data],COLUMN(T_TraitDi[[#This Row],[Colonne4]]),FALSE),""),"[hh]:mm"))</f>
        <v>#VALUE!</v>
      </c>
      <c r="AJ197" s="172" t="e">
        <f>IF(VLOOKUP(T_BilanSocial[[#This Row],[NumL]],T_TraitDi[#Data],COLUMN(T_TraitDi[[#This Row],[Colonne5]]),FALSE)=0,"",TEXT(IFERROR(VLOOKUP(T_BilanSocial[[#This Row],[NumL]],T_TraitDi[#Data],COLUMN(T_TraitDi[[#This Row],[Colonne5]]),FALSE),""),"[hh]:mm"))</f>
        <v>#VALUE!</v>
      </c>
      <c r="AK197" s="172" t="e">
        <f>IF(VLOOKUP(T_BilanSocial[[#This Row],[NumL]],T_TraitDi[#Data],COLUMN(T_TraitDi[[#This Row],[Colonne6]]),FALSE)=0,"",TEXT(IFERROR(VLOOKUP(T_BilanSocial[[#This Row],[NumL]],T_TraitDi[#Data],COLUMN(T_TraitDi[[#This Row],[Colonne6]]),FALSE),""),"[hh]:mm"))</f>
        <v>#VALUE!</v>
      </c>
      <c r="AL197" s="172" t="e">
        <f>IF(VLOOKUP(T_BilanSocial[[#This Row],[NumL]],T_TraitDi[#Data],COLUMN(T_TraitDi[[#This Row],[Colonne7]]),FALSE)=0,"",TEXT(IFERROR(VLOOKUP(T_BilanSocial[[#This Row],[NumL]],T_TraitDi[#Data],COLUMN(T_TraitDi[[#This Row],[Colonne7]]),FALSE),""),"[hh]:mm"))</f>
        <v>#VALUE!</v>
      </c>
      <c r="AM197" s="172" t="e">
        <f>IF(VLOOKUP(T_BilanSocial[[#This Row],[NumL]],T_TraitDi[#Data],COLUMN(T_TraitDi[[#This Row],[Colonne8]]),FALSE)=0,"",TEXT(IFERROR(VLOOKUP(T_BilanSocial[[#This Row],[NumL]],T_TraitDi[#Data],COLUMN(T_TraitDi[[#This Row],[Colonne8]]),FALSE),""),"[hh]:mm"))</f>
        <v>#VALUE!</v>
      </c>
      <c r="AN197" s="172" t="str">
        <f>IFERROR(VLOOKUP(T_BilanSocial[[#This Row],[NumL]],T_TraitDi[#Data],COLUMN(T_TraitDi[[#This Row],[Mardi]]),FALSE),"")</f>
        <v/>
      </c>
      <c r="AO197" s="172" t="e">
        <f>IF(VLOOKUP(T_BilanSocial[[#This Row],[NumL]],T_TraitDi[#Data],COLUMN(T_TraitDi[[#This Row],[Colonne1]]),FALSE)=0,"",TEXT(IFERROR(VLOOKUP(T_BilanSocial[[#This Row],[NumL]],T_TraitDi[#Data],COLUMN(T_TraitDi[[#This Row],[Colonne1]]),FALSE),""),"[hh]:mm"))</f>
        <v>#VALUE!</v>
      </c>
      <c r="AP197" s="172" t="e">
        <f>IF(VLOOKUP(T_BilanSocial[[#This Row],[NumL]],T_TraitDi[#Data],COLUMN(T_TraitDi[[#This Row],[Colonne9]]),FALSE)=0,"",TEXT(IFERROR(VLOOKUP(T_BilanSocial[[#This Row],[NumL]],T_TraitDi[#Data],COLUMN(T_TraitDi[[#This Row],[Colonne9]]),FALSE),""),"[hh]:mm"))</f>
        <v>#VALUE!</v>
      </c>
      <c r="AQ197" s="172" t="str">
        <f>IFERROR(VLOOKUP(T_BilanSocial[[#This Row],[NumL]],T_TraitDi[#Data],COLUMN(T_TraitDi[[#This Row],[Colonne10]]),FALSE),"")</f>
        <v/>
      </c>
      <c r="AR197" s="172" t="e">
        <f>IF(VLOOKUP(T_BilanSocial[[#This Row],[NumL]],T_TraitDi[#Data],COLUMN(T_TraitDi[[#This Row],[Colonne11]]),FALSE)=0,"",TEXT(IFERROR(VLOOKUP(T_BilanSocial[[#This Row],[NumL]],T_TraitDi[#Data],COLUMN(T_TraitDi[[#This Row],[Colonne11]]),FALSE),""),"[hh]:mm"))</f>
        <v>#VALUE!</v>
      </c>
      <c r="AS197" s="172" t="e">
        <f>IF(VLOOKUP(T_BilanSocial[[#This Row],[NumL]],T_TraitDi[#Data],COLUMN(T_TraitDi[[#This Row],[Colonne12]]),FALSE)=0,"",TEXT(IFERROR(VLOOKUP(T_BilanSocial[[#This Row],[NumL]],T_TraitDi[#Data],COLUMN(T_TraitDi[[#This Row],[Colonne12]]),FALSE),""),"[hh]:mm"))</f>
        <v>#VALUE!</v>
      </c>
      <c r="AT197" s="172" t="e">
        <f>IF(VLOOKUP(T_BilanSocial[[#This Row],[NumL]],T_TraitDi[#Data],COLUMN(T_TraitDi[[#This Row],[Colonne14]]),FALSE)=0,"",TEXT(IFERROR(VLOOKUP(T_BilanSocial[[#This Row],[NumL]],T_TraitDi[#Data],COLUMN(T_TraitDi[[#This Row],[Colonne14]]),FALSE),""),"[hh]:mm"))</f>
        <v>#VALUE!</v>
      </c>
      <c r="AU197" s="172" t="str">
        <f>IFERROR(VLOOKUP(T_BilanSocial[[#This Row],[NumL]],T_TraitDi[#Data],COLUMN(T_TraitDi[[#This Row],[Mercredi]]),FALSE),"")</f>
        <v/>
      </c>
      <c r="AV197" s="172" t="e">
        <f>IF(VLOOKUP(T_BilanSocial[[#This Row],[NumL]],T_TraitDi[#Data],COLUMN(T_TraitDi[[#This Row],[Colonne15]]),FALSE)=0,"",TEXT(IFERROR(VLOOKUP(T_BilanSocial[[#This Row],[NumL]],T_TraitDi[#Data],COLUMN(T_TraitDi[[#This Row],[Colonne15]]),FALSE),""),"[hh]:mm"))</f>
        <v>#VALUE!</v>
      </c>
      <c r="AW197" s="172" t="e">
        <f>IF(VLOOKUP(T_BilanSocial[[#This Row],[NumL]],T_TraitDi[#Data],COLUMN(T_TraitDi[[#This Row],[Colonne16]]),FALSE)=0,"",TEXT(IFERROR(VLOOKUP(T_BilanSocial[[#This Row],[NumL]],T_TraitDi[#Data],COLUMN(T_TraitDi[[#This Row],[Colonne16]]),FALSE),""),"[hh]:mm"))</f>
        <v>#VALUE!</v>
      </c>
      <c r="AX197" s="172" t="str">
        <f>IFERROR(VLOOKUP(T_BilanSocial[[#This Row],[NumL]],T_TraitDi[#Data],COLUMN(T_TraitDi[[#This Row],[Colonne17]]),FALSE),"")</f>
        <v/>
      </c>
      <c r="AY197" s="172" t="e">
        <f>IF(VLOOKUP(T_BilanSocial[[#This Row],[NumL]],T_TraitDi[#Data],COLUMN(T_TraitDi[[#This Row],[Colonne18]]),FALSE)=0,"",TEXT(IFERROR(VLOOKUP(T_BilanSocial[[#This Row],[NumL]],T_TraitDi[#Data],COLUMN(T_TraitDi[[#This Row],[Colonne18]]),FALSE),""),"[hh]:mm"))</f>
        <v>#VALUE!</v>
      </c>
      <c r="AZ197" s="172" t="e">
        <f>IF(VLOOKUP(T_BilanSocial[[#This Row],[NumL]],T_TraitDi[#Data],COLUMN(T_TraitDi[[#This Row],[Colonne19]]),FALSE)=0,"",TEXT(IFERROR(VLOOKUP(T_BilanSocial[[#This Row],[NumL]],T_TraitDi[#Data],COLUMN(T_TraitDi[[#This Row],[Colonne19]]),FALSE),""),"[hh]:mm"))</f>
        <v>#VALUE!</v>
      </c>
      <c r="BA197" s="172" t="e">
        <f>IF(VLOOKUP(T_BilanSocial[[#This Row],[NumL]],T_TraitDi[#Data],COLUMN(T_TraitDi[[#This Row],[Colonne20]]),FALSE)=0,"",TEXT(IFERROR(VLOOKUP(T_BilanSocial[[#This Row],[NumL]],T_TraitDi[#Data],COLUMN(T_TraitDi[[#This Row],[Colonne20]]),FALSE),""),"[hh]:mm"))</f>
        <v>#VALUE!</v>
      </c>
      <c r="BB197" s="178" t="str">
        <f>IFERROR(VLOOKUP(T_BilanSocial[[#This Row],[NumL]],T_TraitDi[#Data],COLUMN(T_TraitDi[[#This Row],[Jeudi]]),FALSE),"")</f>
        <v/>
      </c>
      <c r="BC197" s="178" t="e">
        <f>IF(VLOOKUP(T_BilanSocial[[#This Row],[NumL]],T_TraitDi[#Data],COLUMN(T_TraitDi[[#This Row],[Colonne21]]),FALSE)=0,"",TEXT(IFERROR(VLOOKUP(T_BilanSocial[[#This Row],[NumL]],T_TraitDi[#Data],COLUMN(T_TraitDi[[#This Row],[Colonne21]]),FALSE),""),"[hh]:mm"))</f>
        <v>#VALUE!</v>
      </c>
      <c r="BD197" s="178" t="e">
        <f>IF(VLOOKUP(T_BilanSocial[[#This Row],[NumL]],T_TraitDi[#Data],COLUMN(T_TraitDi[[#This Row],[Colonne22]]),FALSE)=0,"",TEXT(IFERROR(VLOOKUP(T_BilanSocial[[#This Row],[NumL]],T_TraitDi[#Data],COLUMN(T_TraitDi[[#This Row],[Colonne22]]),FALSE),""),"[hh]:mm"))</f>
        <v>#VALUE!</v>
      </c>
      <c r="BE197" s="178" t="str">
        <f>IFERROR(VLOOKUP(T_BilanSocial[[#This Row],[NumL]],T_TraitDi[#Data],COLUMN(T_TraitDi[[#This Row],[Colonne23]]),FALSE),"")</f>
        <v/>
      </c>
      <c r="BF197" s="178" t="e">
        <f>IF(VLOOKUP(T_BilanSocial[[#This Row],[NumL]],T_TraitDi[#Data],COLUMN(T_TraitDi[[#This Row],[Colonne24]]),FALSE)=0,"",TEXT(IFERROR(VLOOKUP(T_BilanSocial[[#This Row],[NumL]],T_TraitDi[#Data],COLUMN(T_TraitDi[[#This Row],[Colonne24]]),FALSE),""),"[hh]:mm"))</f>
        <v>#VALUE!</v>
      </c>
      <c r="BG197" s="178" t="e">
        <f>IF(VLOOKUP(T_BilanSocial[[#This Row],[NumL]],T_TraitDi[#Data],COLUMN(T_TraitDi[[#This Row],[Colonne25]]),FALSE)=0,"",TEXT(IFERROR(VLOOKUP(T_BilanSocial[[#This Row],[NumL]],T_TraitDi[#Data],COLUMN(T_TraitDi[[#This Row],[Colonne25]]),FALSE),""),"[hh]:mm"))</f>
        <v>#VALUE!</v>
      </c>
      <c r="BH197" s="178" t="e">
        <f>IF(VLOOKUP(T_BilanSocial[[#This Row],[NumL]],T_TraitDi[#Data],COLUMN(T_TraitDi[[#This Row],[Colonne26]]),FALSE)=0,"",TEXT(IFERROR(VLOOKUP(T_BilanSocial[[#This Row],[NumL]],T_TraitDi[#Data],COLUMN(T_TraitDi[[#This Row],[Colonne26]]),FALSE),""),"[hh]:mm"))</f>
        <v>#VALUE!</v>
      </c>
      <c r="BI197" s="172" t="str">
        <f>IFERROR(VLOOKUP(T_BilanSocial[[#This Row],[NumL]],T_TraitDi[#Data],COLUMN(T_TraitDi[[#This Row],[Vendredi]]),FALSE),"")</f>
        <v/>
      </c>
      <c r="BJ197" s="172" t="e">
        <f>IF(VLOOKUP(T_BilanSocial[[#This Row],[NumL]],T_TraitDi[#Data],COLUMN(T_TraitDi[[#This Row],[Colonne27]]),FALSE)=0,"",TEXT(IFERROR(VLOOKUP(T_BilanSocial[[#This Row],[NumL]],T_TraitDi[#Data],COLUMN(T_TraitDi[[#This Row],[Colonne27]]),FALSE),""),"[hh]:mm"))</f>
        <v>#VALUE!</v>
      </c>
      <c r="BK197" s="172" t="e">
        <f>IF(VLOOKUP(T_BilanSocial[[#This Row],[NumL]],T_TraitDi[#Data],COLUMN(T_TraitDi[[#This Row],[Colonne28]]),FALSE)=0,"",TEXT(IFERROR(VLOOKUP(T_BilanSocial[[#This Row],[NumL]],T_TraitDi[#Data],COLUMN(T_TraitDi[[#This Row],[Colonne28]]),FALSE),""),"[hh]:mm"))</f>
        <v>#VALUE!</v>
      </c>
      <c r="BL197" s="172" t="str">
        <f>IFERROR(VLOOKUP(T_BilanSocial[[#This Row],[NumL]],T_TraitDi[#Data],COLUMN(T_TraitDi[[#This Row],[Colonne29]]),FALSE),"")</f>
        <v/>
      </c>
      <c r="BM197" s="172" t="e">
        <f>IF(VLOOKUP(T_BilanSocial[[#This Row],[NumL]],T_TraitDi[#Data],COLUMN(T_TraitDi[[#This Row],[Colonne30]]),FALSE)=0,"",TEXT(IFERROR(VLOOKUP(T_BilanSocial[[#This Row],[NumL]],T_TraitDi[#Data],COLUMN(T_TraitDi[[#This Row],[Colonne30]]),FALSE),""),"[hh]:mm"))</f>
        <v>#VALUE!</v>
      </c>
      <c r="BN197" s="172" t="e">
        <f>IF(VLOOKUP(T_BilanSocial[[#This Row],[NumL]],T_TraitDi[#Data],COLUMN(T_TraitDi[[#This Row],[Colonne31]]),FALSE)=0,"",TEXT(IFERROR(VLOOKUP(T_BilanSocial[[#This Row],[NumL]],T_TraitDi[#Data],COLUMN(T_TraitDi[[#This Row],[Colonne31]]),FALSE),""),"[hh]:mm"))</f>
        <v>#VALUE!</v>
      </c>
      <c r="BO197" s="172" t="e">
        <f>IF(VLOOKUP(T_BilanSocial[[#This Row],[NumL]],T_TraitDi[#Data],COLUMN(T_TraitDi[[#This Row],[Colonne32]]),FALSE)=0,"",TEXT(IFERROR(VLOOKUP(T_BilanSocial[[#This Row],[NumL]],T_TraitDi[#Data],COLUMN(T_TraitDi[[#This Row],[Colonne32]]),FALSE),""),"[hh]:mm"))</f>
        <v>#VALUE!</v>
      </c>
      <c r="BP197" s="172" t="e">
        <f>VLOOKUP(T_BilanSocial[[#This Row],[NumL]],T_TraitDi[#Data],COLUMN(T_TraitDi[NbJTot]),FALSE)</f>
        <v>#N/A</v>
      </c>
      <c r="BQ197" s="174" t="str">
        <f>IFERROR(VLOOKUP(T_BilanSocial[[#This Row],[NumL]],T_TraitDi[#Data],COLUMN(T_TraitDi[[#This Row],[NbJTW]]),FALSE),"")</f>
        <v/>
      </c>
      <c r="BR197" s="174" t="e">
        <f>IF(VLOOKUP(T_BilanSocial[[#This Row],[NumL]],T_TraitDi[#Data],COLUMN(T_TraitDi[[#This Row],[NbhTW]]),FALSE)=0,"",TEXT(IFERROR(VLOOKUP(T_BilanSocial[[#This Row],[NumL]],T_TraitDi[#Data],COLUMN(T_TraitDi[[#This Row],[NbhTW]]),FALSE),""),"[hh]:mm"))</f>
        <v>#VALUE!</v>
      </c>
      <c r="BS197" s="174" t="e">
        <f>IF(VLOOKUP(T_BilanSocial[[#This Row],[NumL]],T_TraitDi[#Data],COLUMN(T_TraitDi[[#This Row],[Nbhheb]]),FALSE)=0,"",TEXT(IFERROR(VLOOKUP($A197,T_TraitDi[#Data],COLUMN(T_TraitDi[[#This Row],[Nbhheb]]),FALSE),""),"[hh]:mm"))</f>
        <v>#VALUE!</v>
      </c>
      <c r="BT197" s="182" t="str">
        <f>IFERROR(VLOOKUP(VLOOKUP($A197,T_TraitDi[#Data],COLUMN(T_TraitDi[[#This Row],[Type1]]),FALSE),TypeTW,2,FALSE),"")</f>
        <v/>
      </c>
      <c r="BU197" s="182" t="str">
        <f>IFERROR(VLOOKUP($A197,T_TraitDi[#Data],COLUMN(T_TraitDi[[#This Row],[Rue1]]),FALSE),"")</f>
        <v/>
      </c>
      <c r="BV197" s="173" t="str">
        <f>IFERROR(VLOOKUP($A197,T_TraitDi[#Data],COLUMN(T_TraitDi[[#This Row],[CP1]]),FALSE),"")</f>
        <v/>
      </c>
      <c r="BW197" s="173" t="str">
        <f>IFERROR(VLOOKUP($A197,T_TraitDi[#Data],COLUMN(T_TraitDi[[#This Row],[VILLE1]]),FALSE),"")</f>
        <v/>
      </c>
      <c r="BX197" s="182" t="str">
        <f>IFERROR(VLOOKUP(VLOOKUP($A197,T_TraitDi[#Data],COLUMN(T_TraitDi[[#This Row],[Type2]]),FALSE),TypeTW,2,FALSE),"")</f>
        <v/>
      </c>
      <c r="BY197" s="182" t="str">
        <f>IFERROR(VLOOKUP($A197,T_TraitDi[#Data],COLUMN(T_TraitDi[[#This Row],[Rue2]]),FALSE),"")</f>
        <v/>
      </c>
      <c r="BZ197" s="173" t="str">
        <f>IFERROR(VLOOKUP($A197,T_TraitDi[#Data],COLUMN(T_TraitDi[[#This Row],[CP2]]),FALSE),"")</f>
        <v/>
      </c>
      <c r="CA197" s="173" t="str">
        <f>IFERROR(VLOOKUP($A197,T_TraitDi[#Data],COLUMN(T_TraitDi[[#This Row],[VILLE2]]),FALSE),"")</f>
        <v/>
      </c>
      <c r="CB197" s="182" t="str">
        <f>IF(VLOOKUP(T_BilanSocial[[#This Row],[NumL]],T_Equipement[#Data],COLUMN(T_Equipement[[#This Row],[PC]]),FALSE)="","Aucun équipement spécifique directement lié au télétravail",VLOOKUP(T_BilanSocial[[#This Row],[NumL]],T_Equipement[#Data],COLUMN(T_Equipement[[#This Row],[PC]]),FALSE))</f>
        <v xml:space="preserve">20-235	</v>
      </c>
      <c r="CC197" s="166" t="str">
        <f>IFERROR(IF(VLOOKUP(T_BilanSocial[[#This Row],[NumL]],T_TraitDi[#Data],COLUMN(T_TraitDi[[#This Row],[Plan]]),FALSE)="OK","Un planning spécifique de télétravail est annexé à la présente convention.",""),"")</f>
        <v/>
      </c>
      <c r="CD197" s="258" t="s">
        <v>3318</v>
      </c>
      <c r="CE197" s="164" t="e">
        <f>IF(VLOOKUP(T_BilanSocial[[#This Row],[NumL]],T_suiviDi[#Data],COLUMN(T_suiviDi[[#This Row],[Entité]]),FALSE)="","",VLOOKUP(T_BilanSocial[[#This Row],[NumL]],T_suiviDi[#Data],COLUMN(T_suiviDi[[#This Row],[Entité]]),FALSE))</f>
        <v>#VALUE!</v>
      </c>
      <c r="CF197" s="164" t="str">
        <f>IF(VLOOKUP(T_BilanSocial[[#This Row],[NumL]],T_Commission[#Data],COLUMN(T_Commission[[#This Row],[envoi confirm TW]]),FALSE)="","",VLOOKUP(T_BilanSocial[[#This Row],[NumL]],T_Commission[#Data],COLUMN(T_Commission[[#This Row],[envoi confirm TW]]),FALSE))</f>
        <v>Oui</v>
      </c>
      <c r="CG19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7" s="262" t="str">
        <f>T_BilanSocial[[#This Row],[Nom]]&amp;T_BilanSocial[[#This Row],[Prenom]]</f>
        <v/>
      </c>
      <c r="CI197" s="262">
        <f>VLOOKUP(T_BilanSocial[[#This Row],[NumL]],T_Commission[#Data],COLUMN(T_Commission[Commentaire]),FALSE)</f>
        <v>0</v>
      </c>
      <c r="CJ197" s="262" t="str">
        <f>IF(VLOOKUP(T_BilanSocial[[#This Row],[NumL]],T_Commission[#Data],COLUMN(T_Commission[Encadrant Email]),FALSE)="","",VLOOKUP(T_BilanSocial[[#This Row],[NumL]],T_Commission[#Data],COLUMN(T_Commission[Encadrant Email]),FALSE))</f>
        <v/>
      </c>
      <c r="CK197" s="340" t="str">
        <f>IF(T_BilanSocial[[#This Row],[Final]]&lt;&gt;"",VLOOKUP(T_BilanSocial[[#This Row],[NumL]],T_suiviDi[#Data],COLUMN((T_suiviDi[Statut])),FALSE),"")</f>
        <v/>
      </c>
    </row>
    <row r="198" spans="1:89" s="106" customFormat="1" ht="24.75" customHeight="1" x14ac:dyDescent="0.25">
      <c r="A198" s="160">
        <v>195</v>
      </c>
      <c r="B198" s="161" t="str">
        <f t="shared" si="34"/>
        <v/>
      </c>
      <c r="C198" s="162" t="s">
        <v>3287</v>
      </c>
      <c r="D198" s="95" t="e">
        <f>IF(VLOOKUP(T_BilanSocial[[#This Row],[NumL]],T_TraitDi[#Data],COLUMN(T_TraitDi[[#This Row],[WebC]]),FALSE)="","",VLOOKUP(T_BilanSocial[[#This Row],[NumL]],T_TraitDi[#Data],COLUMN(T_TraitDi[[#This Row],[WebC]]),FALSE))</f>
        <v>#VALUE!</v>
      </c>
      <c r="E198" s="163" t="str">
        <f t="shared" si="35"/>
        <v>12 janvier 2021</v>
      </c>
      <c r="F198" s="96" t="str">
        <f>IF(T_BilanSocial[[#This Row],[Final]]&lt;&gt;"",VLOOKUP(T_BilanSocial[[#This Row],[NumL]],T_suiviDi[#Data],COLUMN((T_suiviDi[Civ.])),FALSE),"")</f>
        <v/>
      </c>
      <c r="G198" s="96" t="str">
        <f>IF(T_BilanSocial[[#This Row],[Final]]&lt;&gt;"",VLOOKUP(T_BilanSocial[[#This Row],[NumL]],T_suiviDi[#Data],COLUMN((T_suiviDi[Nom])),FALSE),"")</f>
        <v/>
      </c>
      <c r="H198" s="96" t="str">
        <f>IF(T_BilanSocial[[#This Row],[Final]]&lt;&gt;"",VLOOKUP(T_BilanSocial[[#This Row],[NumL]],T_suiviDi[#Data],COLUMN((T_suiviDi[Prénom])),FALSE),"")</f>
        <v/>
      </c>
      <c r="I198" s="96" t="str">
        <f>IFERROR(VLOOKUP(T_BilanSocial[[#This Row],[Zone_Bilan]],T_P_BilanSocial[#Data],COLUMN(T_P_BilanSocial[[#This Row],[Numero_SIHAM]]),FALSE),"")</f>
        <v/>
      </c>
      <c r="J198" s="96" t="str">
        <f>IFERROR(VLOOKUP(T_BilanSocial[[#This Row],[Zone_Bilan]],T_P_BilanSocial[#Data],COLUMN(T_P_BilanSocial[[#This Row],[Sexe]]),FALSE),"")</f>
        <v/>
      </c>
      <c r="K198" s="97" t="str">
        <f>IFERROR(VLOOKUP(T_BilanSocial[[#This Row],[Zone_Bilan]],T_P_BilanSocial[#Data],COLUMN(T_P_BilanSocial[[#This Row],[Categorie]]),FALSE),"")</f>
        <v/>
      </c>
      <c r="L198" s="96" t="str">
        <f>IFERROR(VLOOKUP(T_BilanSocial[[#This Row],[Zone_Bilan]],T_P_BilanSocial[#Data],COLUMN(T_P_BilanSocial[[#This Row],[Statut]]),FALSE),"")</f>
        <v/>
      </c>
      <c r="M198" s="96" t="str">
        <f>IFERROR(VLOOKUP(T_BilanSocial[[#This Row],[Zone_Bilan]],T_P_BilanSocial[#Data],COLUMN(T_P_BilanSocial[[#This Row],[Filiere]]),FALSE),"")</f>
        <v/>
      </c>
      <c r="N198" s="96" t="e">
        <f>VLOOKUP(T_BilanSocial[[#This Row],[NumL]],T_TraitDi[#Data],COLUMN(T_TraitDi[EXP]),FALSE)</f>
        <v>#N/A</v>
      </c>
      <c r="O198" s="96" t="e">
        <f>VLOOKUP(T_BilanSocial[[#This Row],[NumL]],T_TraitDi[#Data],COLUMN(T_TraitDi[FORM]),FALSE)</f>
        <v>#N/A</v>
      </c>
      <c r="P198" s="96" t="str">
        <f>IF(T_BilanSocial[[#This Row],[Final]]&lt;&gt;"",VLOOKUP(T_BilanSocial[[#This Row],[NumL]],T_suiviDi[#Data],COLUMN((T_suiviDi[Email])),FALSE),"")</f>
        <v/>
      </c>
      <c r="Q198" s="164" t="e">
        <f t="shared" si="28"/>
        <v>#N/A</v>
      </c>
      <c r="R198" s="164" t="e">
        <f t="shared" si="29"/>
        <v>#N/A</v>
      </c>
      <c r="S198" s="164" t="e">
        <f>IF(VLOOKUP(T_BilanSocial[[#This Row],[NumL]],T_suiviDi[#Data],COLUMN(T_suiviDi[[#This Row],[Service ]]),FALSE)="","",VLOOKUP(T_BilanSocial[[#This Row],[NumL]],T_suiviDi[#Data],COLUMN(T_suiviDi[[#This Row],[Service ]]),FALSE))</f>
        <v>#VALUE!</v>
      </c>
      <c r="T198" s="164" t="str">
        <f t="shared" si="36"/>
        <v>01 septembre 2021</v>
      </c>
      <c r="U198" s="164" t="str">
        <f t="shared" si="37"/>
        <v>30 novembre 2021</v>
      </c>
      <c r="V198" s="164" t="str">
        <f t="shared" si="33"/>
        <v>30 novembre 2021</v>
      </c>
      <c r="W198" s="176" t="e">
        <f>IF(VLOOKUP(T_BilanSocial[[#This Row],[NumL]],T_TraitDi[#Data],COLUMN(T_TraitDi[[#This Row],[M1]]),FALSE)="","",VLOOKUP(T_BilanSocial[[#This Row],[NumL]],T_TraitDi[#Data],COLUMN(T_TraitDi[[#This Row],[M1]]),FALSE))</f>
        <v>#VALUE!</v>
      </c>
      <c r="X198" s="176" t="e">
        <f>IF(VLOOKUP(T_BilanSocial[[#This Row],[NumL]],T_TraitDi[#Data],COLUMN(T_TraitDi[[#This Row],[M2]]),FALSE)="","",VLOOKUP(T_BilanSocial[[#This Row],[NumL]],T_TraitDi[#Data],COLUMN(T_TraitDi[[#This Row],[M2]]),FALSE))</f>
        <v>#VALUE!</v>
      </c>
      <c r="Y198" s="176" t="e">
        <f>IF(VLOOKUP(T_BilanSocial[[#This Row],[NumL]],T_TraitDi[#Data],COLUMN(T_TraitDi[[#This Row],[M3]]),FALSE)="","",VLOOKUP(T_BilanSocial[[#This Row],[NumL]],T_TraitDi[#Data],COLUMN(T_TraitDi[[#This Row],[M3]]),FALSE))</f>
        <v>#VALUE!</v>
      </c>
      <c r="Z198" s="176" t="str">
        <f t="shared" si="39"/>
        <v/>
      </c>
      <c r="AA198" s="176" t="e">
        <f>IF(VLOOKUP(T_BilanSocial[[#This Row],[NumL]],T_TraitDi[#Data],COLUMN(T_TraitDi[[#This Row],[M5]]),FALSE)="","",VLOOKUP(T_BilanSocial[[#This Row],[NumL]],T_TraitDi[#Data],COLUMN(T_TraitDi[[#This Row],[M5]]),FALSE))</f>
        <v>#VALUE!</v>
      </c>
      <c r="AB198" s="176" t="e">
        <f>IF(VLOOKUP(T_BilanSocial[[#This Row],[NumL]],T_TraitDi[#Data],COLUMN(T_TraitDi[[#This Row],[M6]]),FALSE)="","",VLOOKUP(T_BilanSocial[[#This Row],[NumL]],T_TraitDi[#Data],COLUMN(T_TraitDi[[#This Row],[M6]]),FALSE))</f>
        <v>#VALUE!</v>
      </c>
      <c r="AC198" s="165" t="e">
        <f t="shared" si="38"/>
        <v>#VALUE!</v>
      </c>
      <c r="AD198" s="188" t="str">
        <f>IFERROR(TEXT(VLOOKUP(T_BilanSocial[[#This Row],[NumL]],T_TraitDi[#Data],COLUMN(T_TraitDi[[#This Row],[Q2]]),FALSE),"###%"),"")</f>
        <v/>
      </c>
      <c r="AE198" s="97" t="e">
        <f>VLOOKUP(T_BilanSocial[[#This Row],[NumL]],T_TraitDi[#Data],COLUMN(T_TraitDi[[#This Row],[Reg Ponct]]),FALSE)</f>
        <v>#VALUE!</v>
      </c>
      <c r="AF198" s="97" t="e">
        <f>VLOOKUP(T_BilanSocial[NumL],T_TraitDi[#Data],COLUMN(T_TraitDi[[#This Row],[Jours flottants]]),FALSE)</f>
        <v>#VALUE!</v>
      </c>
      <c r="AG198" s="97" t="str">
        <f>IFERROR(VLOOKUP(T_BilanSocial[[#This Row],[NumL]],T_TraitDi[#Data],COLUMN(T_TraitDi[[#This Row],[Lundi]]),FALSE),"")</f>
        <v/>
      </c>
      <c r="AH198" s="172" t="e">
        <f>IF(VLOOKUP(T_BilanSocial[[#This Row],[NumL]],T_TraitDi[#Data],COLUMN(T_TraitDi[[#This Row],[Colonne3]]),FALSE)=0,"",TEXT(IFERROR(VLOOKUP(T_BilanSocial[[#This Row],[NumL]],T_TraitDi[#Data],COLUMN(T_TraitDi[[#This Row],[Colonne3]]),FALSE),""),"[hh]:mm"))</f>
        <v>#VALUE!</v>
      </c>
      <c r="AI198" s="172" t="e">
        <f>IF(VLOOKUP(T_BilanSocial[[#This Row],[NumL]],T_TraitDi[#Data],COLUMN(T_TraitDi[[#This Row],[Colonne4]]),FALSE)=0,"",TEXT(IFERROR(VLOOKUP(T_BilanSocial[[#This Row],[NumL]],T_TraitDi[#Data],COLUMN(T_TraitDi[[#This Row],[Colonne4]]),FALSE),""),"[hh]:mm"))</f>
        <v>#VALUE!</v>
      </c>
      <c r="AJ198" s="172" t="e">
        <f>IF(VLOOKUP(T_BilanSocial[[#This Row],[NumL]],T_TraitDi[#Data],COLUMN(T_TraitDi[[#This Row],[Colonne5]]),FALSE)=0,"",TEXT(IFERROR(VLOOKUP(T_BilanSocial[[#This Row],[NumL]],T_TraitDi[#Data],COLUMN(T_TraitDi[[#This Row],[Colonne5]]),FALSE),""),"[hh]:mm"))</f>
        <v>#VALUE!</v>
      </c>
      <c r="AK198" s="172" t="e">
        <f>IF(VLOOKUP(T_BilanSocial[[#This Row],[NumL]],T_TraitDi[#Data],COLUMN(T_TraitDi[[#This Row],[Colonne6]]),FALSE)=0,"",TEXT(IFERROR(VLOOKUP(T_BilanSocial[[#This Row],[NumL]],T_TraitDi[#Data],COLUMN(T_TraitDi[[#This Row],[Colonne6]]),FALSE),""),"[hh]:mm"))</f>
        <v>#VALUE!</v>
      </c>
      <c r="AL198" s="172" t="e">
        <f>IF(VLOOKUP(T_BilanSocial[[#This Row],[NumL]],T_TraitDi[#Data],COLUMN(T_TraitDi[[#This Row],[Colonne7]]),FALSE)=0,"",TEXT(IFERROR(VLOOKUP(T_BilanSocial[[#This Row],[NumL]],T_TraitDi[#Data],COLUMN(T_TraitDi[[#This Row],[Colonne7]]),FALSE),""),"[hh]:mm"))</f>
        <v>#VALUE!</v>
      </c>
      <c r="AM198" s="172" t="e">
        <f>IF(VLOOKUP(T_BilanSocial[[#This Row],[NumL]],T_TraitDi[#Data],COLUMN(T_TraitDi[[#This Row],[Colonne8]]),FALSE)=0,"",TEXT(IFERROR(VLOOKUP(T_BilanSocial[[#This Row],[NumL]],T_TraitDi[#Data],COLUMN(T_TraitDi[[#This Row],[Colonne8]]),FALSE),""),"[hh]:mm"))</f>
        <v>#VALUE!</v>
      </c>
      <c r="AN198" s="172" t="str">
        <f>IFERROR(VLOOKUP(T_BilanSocial[[#This Row],[NumL]],T_TraitDi[#Data],COLUMN(T_TraitDi[[#This Row],[Mardi]]),FALSE),"")</f>
        <v/>
      </c>
      <c r="AO198" s="172" t="e">
        <f>IF(VLOOKUP(T_BilanSocial[[#This Row],[NumL]],T_TraitDi[#Data],COLUMN(T_TraitDi[[#This Row],[Colonne1]]),FALSE)=0,"",TEXT(IFERROR(VLOOKUP(T_BilanSocial[[#This Row],[NumL]],T_TraitDi[#Data],COLUMN(T_TraitDi[[#This Row],[Colonne1]]),FALSE),""),"[hh]:mm"))</f>
        <v>#VALUE!</v>
      </c>
      <c r="AP198" s="172" t="e">
        <f>IF(VLOOKUP(T_BilanSocial[[#This Row],[NumL]],T_TraitDi[#Data],COLUMN(T_TraitDi[[#This Row],[Colonne9]]),FALSE)=0,"",TEXT(IFERROR(VLOOKUP(T_BilanSocial[[#This Row],[NumL]],T_TraitDi[#Data],COLUMN(T_TraitDi[[#This Row],[Colonne9]]),FALSE),""),"[hh]:mm"))</f>
        <v>#VALUE!</v>
      </c>
      <c r="AQ198" s="172" t="str">
        <f>IFERROR(VLOOKUP(T_BilanSocial[[#This Row],[NumL]],T_TraitDi[#Data],COLUMN(T_TraitDi[[#This Row],[Colonne10]]),FALSE),"")</f>
        <v/>
      </c>
      <c r="AR198" s="172" t="e">
        <f>IF(VLOOKUP(T_BilanSocial[[#This Row],[NumL]],T_TraitDi[#Data],COLUMN(T_TraitDi[[#This Row],[Colonne11]]),FALSE)=0,"",TEXT(IFERROR(VLOOKUP(T_BilanSocial[[#This Row],[NumL]],T_TraitDi[#Data],COLUMN(T_TraitDi[[#This Row],[Colonne11]]),FALSE),""),"[hh]:mm"))</f>
        <v>#VALUE!</v>
      </c>
      <c r="AS198" s="172" t="e">
        <f>IF(VLOOKUP(T_BilanSocial[[#This Row],[NumL]],T_TraitDi[#Data],COLUMN(T_TraitDi[[#This Row],[Colonne12]]),FALSE)=0,"",TEXT(IFERROR(VLOOKUP(T_BilanSocial[[#This Row],[NumL]],T_TraitDi[#Data],COLUMN(T_TraitDi[[#This Row],[Colonne12]]),FALSE),""),"[hh]:mm"))</f>
        <v>#VALUE!</v>
      </c>
      <c r="AT198" s="172" t="e">
        <f>IF(VLOOKUP(T_BilanSocial[[#This Row],[NumL]],T_TraitDi[#Data],COLUMN(T_TraitDi[[#This Row],[Colonne14]]),FALSE)=0,"",TEXT(IFERROR(VLOOKUP(T_BilanSocial[[#This Row],[NumL]],T_TraitDi[#Data],COLUMN(T_TraitDi[[#This Row],[Colonne14]]),FALSE),""),"[hh]:mm"))</f>
        <v>#VALUE!</v>
      </c>
      <c r="AU198" s="172" t="str">
        <f>IFERROR(VLOOKUP(T_BilanSocial[[#This Row],[NumL]],T_TraitDi[#Data],COLUMN(T_TraitDi[[#This Row],[Mercredi]]),FALSE),"")</f>
        <v/>
      </c>
      <c r="AV198" s="172" t="e">
        <f>IF(VLOOKUP(T_BilanSocial[[#This Row],[NumL]],T_TraitDi[#Data],COLUMN(T_TraitDi[[#This Row],[Colonne15]]),FALSE)=0,"",TEXT(IFERROR(VLOOKUP(T_BilanSocial[[#This Row],[NumL]],T_TraitDi[#Data],COLUMN(T_TraitDi[[#This Row],[Colonne15]]),FALSE),""),"[hh]:mm"))</f>
        <v>#VALUE!</v>
      </c>
      <c r="AW198" s="172" t="e">
        <f>IF(VLOOKUP(T_BilanSocial[[#This Row],[NumL]],T_TraitDi[#Data],COLUMN(T_TraitDi[[#This Row],[Colonne16]]),FALSE)=0,"",TEXT(IFERROR(VLOOKUP(T_BilanSocial[[#This Row],[NumL]],T_TraitDi[#Data],COLUMN(T_TraitDi[[#This Row],[Colonne16]]),FALSE),""),"[hh]:mm"))</f>
        <v>#VALUE!</v>
      </c>
      <c r="AX198" s="172" t="str">
        <f>IFERROR(VLOOKUP(T_BilanSocial[[#This Row],[NumL]],T_TraitDi[#Data],COLUMN(T_TraitDi[[#This Row],[Colonne17]]),FALSE),"")</f>
        <v/>
      </c>
      <c r="AY198" s="172" t="e">
        <f>IF(VLOOKUP(T_BilanSocial[[#This Row],[NumL]],T_TraitDi[#Data],COLUMN(T_TraitDi[[#This Row],[Colonne18]]),FALSE)=0,"",TEXT(IFERROR(VLOOKUP(T_BilanSocial[[#This Row],[NumL]],T_TraitDi[#Data],COLUMN(T_TraitDi[[#This Row],[Colonne18]]),FALSE),""),"[hh]:mm"))</f>
        <v>#VALUE!</v>
      </c>
      <c r="AZ198" s="172" t="e">
        <f>IF(VLOOKUP(T_BilanSocial[[#This Row],[NumL]],T_TraitDi[#Data],COLUMN(T_TraitDi[[#This Row],[Colonne19]]),FALSE)=0,"",TEXT(IFERROR(VLOOKUP(T_BilanSocial[[#This Row],[NumL]],T_TraitDi[#Data],COLUMN(T_TraitDi[[#This Row],[Colonne19]]),FALSE),""),"[hh]:mm"))</f>
        <v>#VALUE!</v>
      </c>
      <c r="BA198" s="172" t="e">
        <f>IF(VLOOKUP(T_BilanSocial[[#This Row],[NumL]],T_TraitDi[#Data],COLUMN(T_TraitDi[[#This Row],[Colonne20]]),FALSE)=0,"",TEXT(IFERROR(VLOOKUP(T_BilanSocial[[#This Row],[NumL]],T_TraitDi[#Data],COLUMN(T_TraitDi[[#This Row],[Colonne20]]),FALSE),""),"[hh]:mm"))</f>
        <v>#VALUE!</v>
      </c>
      <c r="BB198" s="178" t="str">
        <f>IFERROR(VLOOKUP(T_BilanSocial[[#This Row],[NumL]],T_TraitDi[#Data],COLUMN(T_TraitDi[[#This Row],[Jeudi]]),FALSE),"")</f>
        <v/>
      </c>
      <c r="BC198" s="178" t="e">
        <f>IF(VLOOKUP(T_BilanSocial[[#This Row],[NumL]],T_TraitDi[#Data],COLUMN(T_TraitDi[[#This Row],[Colonne21]]),FALSE)=0,"",TEXT(IFERROR(VLOOKUP(T_BilanSocial[[#This Row],[NumL]],T_TraitDi[#Data],COLUMN(T_TraitDi[[#This Row],[Colonne21]]),FALSE),""),"[hh]:mm"))</f>
        <v>#VALUE!</v>
      </c>
      <c r="BD198" s="178" t="e">
        <f>IF(VLOOKUP(T_BilanSocial[[#This Row],[NumL]],T_TraitDi[#Data],COLUMN(T_TraitDi[[#This Row],[Colonne22]]),FALSE)=0,"",TEXT(IFERROR(VLOOKUP(T_BilanSocial[[#This Row],[NumL]],T_TraitDi[#Data],COLUMN(T_TraitDi[[#This Row],[Colonne22]]),FALSE),""),"[hh]:mm"))</f>
        <v>#VALUE!</v>
      </c>
      <c r="BE198" s="178" t="str">
        <f>IFERROR(VLOOKUP(T_BilanSocial[[#This Row],[NumL]],T_TraitDi[#Data],COLUMN(T_TraitDi[[#This Row],[Colonne23]]),FALSE),"")</f>
        <v/>
      </c>
      <c r="BF198" s="178" t="e">
        <f>IF(VLOOKUP(T_BilanSocial[[#This Row],[NumL]],T_TraitDi[#Data],COLUMN(T_TraitDi[[#This Row],[Colonne24]]),FALSE)=0,"",TEXT(IFERROR(VLOOKUP(T_BilanSocial[[#This Row],[NumL]],T_TraitDi[#Data],COLUMN(T_TraitDi[[#This Row],[Colonne24]]),FALSE),""),"[hh]:mm"))</f>
        <v>#VALUE!</v>
      </c>
      <c r="BG198" s="178" t="e">
        <f>IF(VLOOKUP(T_BilanSocial[[#This Row],[NumL]],T_TraitDi[#Data],COLUMN(T_TraitDi[[#This Row],[Colonne25]]),FALSE)=0,"",TEXT(IFERROR(VLOOKUP(T_BilanSocial[[#This Row],[NumL]],T_TraitDi[#Data],COLUMN(T_TraitDi[[#This Row],[Colonne25]]),FALSE),""),"[hh]:mm"))</f>
        <v>#VALUE!</v>
      </c>
      <c r="BH198" s="178" t="e">
        <f>IF(VLOOKUP(T_BilanSocial[[#This Row],[NumL]],T_TraitDi[#Data],COLUMN(T_TraitDi[[#This Row],[Colonne26]]),FALSE)=0,"",TEXT(IFERROR(VLOOKUP(T_BilanSocial[[#This Row],[NumL]],T_TraitDi[#Data],COLUMN(T_TraitDi[[#This Row],[Colonne26]]),FALSE),""),"[hh]:mm"))</f>
        <v>#VALUE!</v>
      </c>
      <c r="BI198" s="172" t="str">
        <f>IFERROR(VLOOKUP(T_BilanSocial[[#This Row],[NumL]],T_TraitDi[#Data],COLUMN(T_TraitDi[[#This Row],[Vendredi]]),FALSE),"")</f>
        <v/>
      </c>
      <c r="BJ198" s="172" t="e">
        <f>IF(VLOOKUP(T_BilanSocial[[#This Row],[NumL]],T_TraitDi[#Data],COLUMN(T_TraitDi[[#This Row],[Colonne27]]),FALSE)=0,"",TEXT(IFERROR(VLOOKUP(T_BilanSocial[[#This Row],[NumL]],T_TraitDi[#Data],COLUMN(T_TraitDi[[#This Row],[Colonne27]]),FALSE),""),"[hh]:mm"))</f>
        <v>#VALUE!</v>
      </c>
      <c r="BK198" s="172" t="e">
        <f>IF(VLOOKUP(T_BilanSocial[[#This Row],[NumL]],T_TraitDi[#Data],COLUMN(T_TraitDi[[#This Row],[Colonne28]]),FALSE)=0,"",TEXT(IFERROR(VLOOKUP(T_BilanSocial[[#This Row],[NumL]],T_TraitDi[#Data],COLUMN(T_TraitDi[[#This Row],[Colonne28]]),FALSE),""),"[hh]:mm"))</f>
        <v>#VALUE!</v>
      </c>
      <c r="BL198" s="172" t="str">
        <f>IFERROR(VLOOKUP(T_BilanSocial[[#This Row],[NumL]],T_TraitDi[#Data],COLUMN(T_TraitDi[[#This Row],[Colonne29]]),FALSE),"")</f>
        <v/>
      </c>
      <c r="BM198" s="172" t="e">
        <f>IF(VLOOKUP(T_BilanSocial[[#This Row],[NumL]],T_TraitDi[#Data],COLUMN(T_TraitDi[[#This Row],[Colonne30]]),FALSE)=0,"",TEXT(IFERROR(VLOOKUP(T_BilanSocial[[#This Row],[NumL]],T_TraitDi[#Data],COLUMN(T_TraitDi[[#This Row],[Colonne30]]),FALSE),""),"[hh]:mm"))</f>
        <v>#VALUE!</v>
      </c>
      <c r="BN198" s="172" t="e">
        <f>IF(VLOOKUP(T_BilanSocial[[#This Row],[NumL]],T_TraitDi[#Data],COLUMN(T_TraitDi[[#This Row],[Colonne31]]),FALSE)=0,"",TEXT(IFERROR(VLOOKUP(T_BilanSocial[[#This Row],[NumL]],T_TraitDi[#Data],COLUMN(T_TraitDi[[#This Row],[Colonne31]]),FALSE),""),"[hh]:mm"))</f>
        <v>#VALUE!</v>
      </c>
      <c r="BO198" s="172" t="e">
        <f>IF(VLOOKUP(T_BilanSocial[[#This Row],[NumL]],T_TraitDi[#Data],COLUMN(T_TraitDi[[#This Row],[Colonne32]]),FALSE)=0,"",TEXT(IFERROR(VLOOKUP(T_BilanSocial[[#This Row],[NumL]],T_TraitDi[#Data],COLUMN(T_TraitDi[[#This Row],[Colonne32]]),FALSE),""),"[hh]:mm"))</f>
        <v>#VALUE!</v>
      </c>
      <c r="BP198" s="172" t="e">
        <f>VLOOKUP(T_BilanSocial[[#This Row],[NumL]],T_TraitDi[#Data],COLUMN(T_TraitDi[NbJTot]),FALSE)</f>
        <v>#N/A</v>
      </c>
      <c r="BQ198" s="174" t="str">
        <f>IFERROR(VLOOKUP(T_BilanSocial[[#This Row],[NumL]],T_TraitDi[#Data],COLUMN(T_TraitDi[[#This Row],[NbJTW]]),FALSE),"")</f>
        <v/>
      </c>
      <c r="BR198" s="174" t="e">
        <f>IF(VLOOKUP(T_BilanSocial[[#This Row],[NumL]],T_TraitDi[#Data],COLUMN(T_TraitDi[[#This Row],[NbhTW]]),FALSE)=0,"",TEXT(IFERROR(VLOOKUP(T_BilanSocial[[#This Row],[NumL]],T_TraitDi[#Data],COLUMN(T_TraitDi[[#This Row],[NbhTW]]),FALSE),""),"[hh]:mm"))</f>
        <v>#VALUE!</v>
      </c>
      <c r="BS198" s="174" t="e">
        <f>IF(VLOOKUP(T_BilanSocial[[#This Row],[NumL]],T_TraitDi[#Data],COLUMN(T_TraitDi[[#This Row],[Nbhheb]]),FALSE)=0,"",TEXT(IFERROR(VLOOKUP($A198,T_TraitDi[#Data],COLUMN(T_TraitDi[[#This Row],[Nbhheb]]),FALSE),""),"[hh]:mm"))</f>
        <v>#VALUE!</v>
      </c>
      <c r="BT198" s="182" t="str">
        <f>IFERROR(VLOOKUP(VLOOKUP($A198,T_TraitDi[#Data],COLUMN(T_TraitDi[[#This Row],[Type1]]),FALSE),TypeTW,2,FALSE),"")</f>
        <v/>
      </c>
      <c r="BU198" s="182" t="str">
        <f>IFERROR(VLOOKUP($A198,T_TraitDi[#Data],COLUMN(T_TraitDi[[#This Row],[Rue1]]),FALSE),"")</f>
        <v/>
      </c>
      <c r="BV198" s="173" t="str">
        <f>IFERROR(VLOOKUP($A198,T_TraitDi[#Data],COLUMN(T_TraitDi[[#This Row],[CP1]]),FALSE),"")</f>
        <v/>
      </c>
      <c r="BW198" s="173" t="str">
        <f>IFERROR(VLOOKUP($A198,T_TraitDi[#Data],COLUMN(T_TraitDi[[#This Row],[VILLE1]]),FALSE),"")</f>
        <v/>
      </c>
      <c r="BX198" s="182" t="str">
        <f>IFERROR(VLOOKUP(VLOOKUP($A198,T_TraitDi[#Data],COLUMN(T_TraitDi[[#This Row],[Type2]]),FALSE),TypeTW,2,FALSE),"")</f>
        <v/>
      </c>
      <c r="BY198" s="182" t="str">
        <f>IFERROR(VLOOKUP($A198,T_TraitDi[#Data],COLUMN(T_TraitDi[[#This Row],[Rue2]]),FALSE),"")</f>
        <v/>
      </c>
      <c r="BZ198" s="173" t="str">
        <f>IFERROR(VLOOKUP($A198,T_TraitDi[#Data],COLUMN(T_TraitDi[[#This Row],[CP2]]),FALSE),"")</f>
        <v/>
      </c>
      <c r="CA198" s="173" t="str">
        <f>IFERROR(VLOOKUP($A198,T_TraitDi[#Data],COLUMN(T_TraitDi[[#This Row],[VILLE2]]),FALSE),"")</f>
        <v/>
      </c>
      <c r="CB198" s="182" t="str">
        <f>IF(VLOOKUP(T_BilanSocial[[#This Row],[NumL]],T_Equipement[#Data],COLUMN(T_Equipement[[#This Row],[PC]]),FALSE)="","Aucun équipement spécifique directement lié au télétravail",VLOOKUP(T_BilanSocial[[#This Row],[NumL]],T_Equipement[#Data],COLUMN(T_Equipement[[#This Row],[PC]]),FALSE))</f>
        <v xml:space="preserve">20-375	</v>
      </c>
      <c r="CC198" s="166" t="str">
        <f>IFERROR(IF(VLOOKUP(T_BilanSocial[[#This Row],[NumL]],T_TraitDi[#Data],COLUMN(T_TraitDi[[#This Row],[Plan]]),FALSE)="OK","Un planning spécifique de télétravail est annexé à la présente convention.",""),"")</f>
        <v/>
      </c>
      <c r="CD198" s="185"/>
      <c r="CE198" s="164" t="e">
        <f>IF(VLOOKUP(T_BilanSocial[[#This Row],[NumL]],T_suiviDi[#Data],COLUMN(T_suiviDi[[#This Row],[Entité]]),FALSE)="","",VLOOKUP(T_BilanSocial[[#This Row],[NumL]],T_suiviDi[#Data],COLUMN(T_suiviDi[[#This Row],[Entité]]),FALSE))</f>
        <v>#VALUE!</v>
      </c>
      <c r="CF198" s="164" t="str">
        <f>IF(VLOOKUP(T_BilanSocial[[#This Row],[NumL]],T_Commission[#Data],COLUMN(T_Commission[[#This Row],[envoi confirm TW]]),FALSE)="","",VLOOKUP(T_BilanSocial[[#This Row],[NumL]],T_Commission[#Data],COLUMN(T_Commission[[#This Row],[envoi confirm TW]]),FALSE))</f>
        <v>Oui</v>
      </c>
      <c r="CG19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8" s="262" t="str">
        <f>T_BilanSocial[[#This Row],[Nom]]&amp;T_BilanSocial[[#This Row],[Prenom]]</f>
        <v/>
      </c>
      <c r="CI198" s="262">
        <f>VLOOKUP(T_BilanSocial[[#This Row],[NumL]],T_Commission[#Data],COLUMN(T_Commission[Commentaire]),FALSE)</f>
        <v>0</v>
      </c>
      <c r="CJ198" s="262" t="str">
        <f>IF(VLOOKUP(T_BilanSocial[[#This Row],[NumL]],T_Commission[#Data],COLUMN(T_Commission[Encadrant Email]),FALSE)="","",VLOOKUP(T_BilanSocial[[#This Row],[NumL]],T_Commission[#Data],COLUMN(T_Commission[Encadrant Email]),FALSE))</f>
        <v/>
      </c>
      <c r="CK198" s="340" t="str">
        <f>IF(T_BilanSocial[[#This Row],[Final]]&lt;&gt;"",VLOOKUP(T_BilanSocial[[#This Row],[NumL]],T_suiviDi[#Data],COLUMN((T_suiviDi[Statut])),FALSE),"")</f>
        <v/>
      </c>
    </row>
    <row r="199" spans="1:89" s="106" customFormat="1" ht="24.75" customHeight="1" x14ac:dyDescent="0.25">
      <c r="A199" s="160">
        <v>196</v>
      </c>
      <c r="B199" s="161" t="str">
        <f t="shared" si="34"/>
        <v/>
      </c>
      <c r="C199" s="162" t="s">
        <v>173</v>
      </c>
      <c r="D199" s="95" t="e">
        <f>IF(VLOOKUP(T_BilanSocial[[#This Row],[NumL]],T_TraitDi[#Data],COLUMN(T_TraitDi[[#This Row],[WebC]]),FALSE)="","",VLOOKUP(T_BilanSocial[[#This Row],[NumL]],T_TraitDi[#Data],COLUMN(T_TraitDi[[#This Row],[WebC]]),FALSE))</f>
        <v>#VALUE!</v>
      </c>
      <c r="E199" s="163" t="str">
        <f t="shared" si="35"/>
        <v>12 janvier 2021</v>
      </c>
      <c r="F199" s="96" t="str">
        <f>IF(T_BilanSocial[[#This Row],[Final]]&lt;&gt;"",VLOOKUP(T_BilanSocial[[#This Row],[NumL]],T_suiviDi[#Data],COLUMN((T_suiviDi[Civ.])),FALSE),"")</f>
        <v/>
      </c>
      <c r="G199" s="96" t="str">
        <f>IF(T_BilanSocial[[#This Row],[Final]]&lt;&gt;"",VLOOKUP(T_BilanSocial[[#This Row],[NumL]],T_suiviDi[#Data],COLUMN((T_suiviDi[Nom])),FALSE),"")</f>
        <v/>
      </c>
      <c r="H199" s="96" t="str">
        <f>IF(T_BilanSocial[[#This Row],[Final]]&lt;&gt;"",VLOOKUP(T_BilanSocial[[#This Row],[NumL]],T_suiviDi[#Data],COLUMN((T_suiviDi[Prénom])),FALSE),"")</f>
        <v/>
      </c>
      <c r="I199" s="96" t="str">
        <f>IFERROR(VLOOKUP(T_BilanSocial[[#This Row],[Zone_Bilan]],T_P_BilanSocial[#Data],COLUMN(T_P_BilanSocial[[#This Row],[Numero_SIHAM]]),FALSE),"")</f>
        <v/>
      </c>
      <c r="J199" s="96" t="str">
        <f>IFERROR(VLOOKUP(T_BilanSocial[[#This Row],[Zone_Bilan]],T_P_BilanSocial[#Data],COLUMN(T_P_BilanSocial[[#This Row],[Sexe]]),FALSE),"")</f>
        <v/>
      </c>
      <c r="K199" s="97" t="str">
        <f>IFERROR(VLOOKUP(T_BilanSocial[[#This Row],[Zone_Bilan]],T_P_BilanSocial[#Data],COLUMN(T_P_BilanSocial[[#This Row],[Categorie]]),FALSE),"")</f>
        <v/>
      </c>
      <c r="L199" s="96" t="str">
        <f>IFERROR(VLOOKUP(T_BilanSocial[[#This Row],[Zone_Bilan]],T_P_BilanSocial[#Data],COLUMN(T_P_BilanSocial[[#This Row],[Statut]]),FALSE),"")</f>
        <v/>
      </c>
      <c r="M199" s="96" t="str">
        <f>IFERROR(VLOOKUP(T_BilanSocial[[#This Row],[Zone_Bilan]],T_P_BilanSocial[#Data],COLUMN(T_P_BilanSocial[[#This Row],[Filiere]]),FALSE),"")</f>
        <v/>
      </c>
      <c r="N199" s="96" t="e">
        <f>VLOOKUP(T_BilanSocial[[#This Row],[NumL]],T_TraitDi[#Data],COLUMN(T_TraitDi[EXP]),FALSE)</f>
        <v>#N/A</v>
      </c>
      <c r="O199" s="96" t="e">
        <f>VLOOKUP(T_BilanSocial[[#This Row],[NumL]],T_TraitDi[#Data],COLUMN(T_TraitDi[FORM]),FALSE)</f>
        <v>#N/A</v>
      </c>
      <c r="P199" s="96" t="str">
        <f>IF(T_BilanSocial[[#This Row],[Final]]&lt;&gt;"",VLOOKUP(T_BilanSocial[[#This Row],[NumL]],T_suiviDi[#Data],COLUMN((T_suiviDi[Email])),FALSE),"")</f>
        <v/>
      </c>
      <c r="Q199" s="164" t="e">
        <f t="shared" si="28"/>
        <v>#N/A</v>
      </c>
      <c r="R199" s="164" t="e">
        <f t="shared" si="29"/>
        <v>#N/A</v>
      </c>
      <c r="S199" s="164" t="e">
        <f>IF(VLOOKUP(T_BilanSocial[[#This Row],[NumL]],T_suiviDi[#Data],COLUMN(T_suiviDi[[#This Row],[Service ]]),FALSE)="","",VLOOKUP(T_BilanSocial[[#This Row],[NumL]],T_suiviDi[#Data],COLUMN(T_suiviDi[[#This Row],[Service ]]),FALSE))</f>
        <v>#VALUE!</v>
      </c>
      <c r="T199" s="164" t="str">
        <f t="shared" si="36"/>
        <v>01 septembre 2021</v>
      </c>
      <c r="U199" s="164" t="str">
        <f t="shared" si="37"/>
        <v>30 novembre 2021</v>
      </c>
      <c r="V199" s="164" t="str">
        <f t="shared" si="33"/>
        <v>30 novembre 2021</v>
      </c>
      <c r="W199" s="176" t="e">
        <f>IF(VLOOKUP(T_BilanSocial[[#This Row],[NumL]],T_TraitDi[#Data],COLUMN(T_TraitDi[[#This Row],[M1]]),FALSE)="","",VLOOKUP(T_BilanSocial[[#This Row],[NumL]],T_TraitDi[#Data],COLUMN(T_TraitDi[[#This Row],[M1]]),FALSE))</f>
        <v>#VALUE!</v>
      </c>
      <c r="X199" s="176" t="e">
        <f>IF(VLOOKUP(T_BilanSocial[[#This Row],[NumL]],T_TraitDi[#Data],COLUMN(T_TraitDi[[#This Row],[M2]]),FALSE)="","",VLOOKUP(T_BilanSocial[[#This Row],[NumL]],T_TraitDi[#Data],COLUMN(T_TraitDi[[#This Row],[M2]]),FALSE))</f>
        <v>#VALUE!</v>
      </c>
      <c r="Y199" s="176" t="e">
        <f>IF(VLOOKUP(T_BilanSocial[[#This Row],[NumL]],T_TraitDi[#Data],COLUMN(T_TraitDi[[#This Row],[M3]]),FALSE)="","",VLOOKUP(T_BilanSocial[[#This Row],[NumL]],T_TraitDi[#Data],COLUMN(T_TraitDi[[#This Row],[M3]]),FALSE))</f>
        <v>#VALUE!</v>
      </c>
      <c r="Z199" s="176" t="str">
        <f t="shared" si="39"/>
        <v/>
      </c>
      <c r="AA199" s="176" t="e">
        <f>IF(VLOOKUP(T_BilanSocial[[#This Row],[NumL]],T_TraitDi[#Data],COLUMN(T_TraitDi[[#This Row],[M5]]),FALSE)="","",VLOOKUP(T_BilanSocial[[#This Row],[NumL]],T_TraitDi[#Data],COLUMN(T_TraitDi[[#This Row],[M5]]),FALSE))</f>
        <v>#VALUE!</v>
      </c>
      <c r="AB199" s="176" t="e">
        <f>IF(VLOOKUP(T_BilanSocial[[#This Row],[NumL]],T_TraitDi[#Data],COLUMN(T_TraitDi[[#This Row],[M6]]),FALSE)="","",VLOOKUP(T_BilanSocial[[#This Row],[NumL]],T_TraitDi[#Data],COLUMN(T_TraitDi[[#This Row],[M6]]),FALSE))</f>
        <v>#VALUE!</v>
      </c>
      <c r="AC199" s="165" t="e">
        <f t="shared" si="38"/>
        <v>#VALUE!</v>
      </c>
      <c r="AD199" s="188" t="str">
        <f>IFERROR(TEXT(VLOOKUP(T_BilanSocial[[#This Row],[NumL]],T_TraitDi[#Data],COLUMN(T_TraitDi[[#This Row],[Q2]]),FALSE),"###%"),"")</f>
        <v/>
      </c>
      <c r="AE199" s="97" t="e">
        <f>VLOOKUP(T_BilanSocial[[#This Row],[NumL]],T_TraitDi[#Data],COLUMN(T_TraitDi[[#This Row],[Reg Ponct]]),FALSE)</f>
        <v>#VALUE!</v>
      </c>
      <c r="AF199" s="97" t="e">
        <f>VLOOKUP(T_BilanSocial[NumL],T_TraitDi[#Data],COLUMN(T_TraitDi[[#This Row],[Jours flottants]]),FALSE)</f>
        <v>#VALUE!</v>
      </c>
      <c r="AG199" s="97" t="str">
        <f>IFERROR(VLOOKUP(T_BilanSocial[[#This Row],[NumL]],T_TraitDi[#Data],COLUMN(T_TraitDi[[#This Row],[Lundi]]),FALSE),"")</f>
        <v/>
      </c>
      <c r="AH199" s="172" t="e">
        <f>IF(VLOOKUP(T_BilanSocial[[#This Row],[NumL]],T_TraitDi[#Data],COLUMN(T_TraitDi[[#This Row],[Colonne3]]),FALSE)=0,"",TEXT(IFERROR(VLOOKUP(T_BilanSocial[[#This Row],[NumL]],T_TraitDi[#Data],COLUMN(T_TraitDi[[#This Row],[Colonne3]]),FALSE),""),"[hh]:mm"))</f>
        <v>#VALUE!</v>
      </c>
      <c r="AI199" s="172" t="e">
        <f>IF(VLOOKUP(T_BilanSocial[[#This Row],[NumL]],T_TraitDi[#Data],COLUMN(T_TraitDi[[#This Row],[Colonne4]]),FALSE)=0,"",TEXT(IFERROR(VLOOKUP(T_BilanSocial[[#This Row],[NumL]],T_TraitDi[#Data],COLUMN(T_TraitDi[[#This Row],[Colonne4]]),FALSE),""),"[hh]:mm"))</f>
        <v>#VALUE!</v>
      </c>
      <c r="AJ199" s="172" t="e">
        <f>IF(VLOOKUP(T_BilanSocial[[#This Row],[NumL]],T_TraitDi[#Data],COLUMN(T_TraitDi[[#This Row],[Colonne5]]),FALSE)=0,"",TEXT(IFERROR(VLOOKUP(T_BilanSocial[[#This Row],[NumL]],T_TraitDi[#Data],COLUMN(T_TraitDi[[#This Row],[Colonne5]]),FALSE),""),"[hh]:mm"))</f>
        <v>#VALUE!</v>
      </c>
      <c r="AK199" s="172" t="e">
        <f>IF(VLOOKUP(T_BilanSocial[[#This Row],[NumL]],T_TraitDi[#Data],COLUMN(T_TraitDi[[#This Row],[Colonne6]]),FALSE)=0,"",TEXT(IFERROR(VLOOKUP(T_BilanSocial[[#This Row],[NumL]],T_TraitDi[#Data],COLUMN(T_TraitDi[[#This Row],[Colonne6]]),FALSE),""),"[hh]:mm"))</f>
        <v>#VALUE!</v>
      </c>
      <c r="AL199" s="172" t="e">
        <f>IF(VLOOKUP(T_BilanSocial[[#This Row],[NumL]],T_TraitDi[#Data],COLUMN(T_TraitDi[[#This Row],[Colonne7]]),FALSE)=0,"",TEXT(IFERROR(VLOOKUP(T_BilanSocial[[#This Row],[NumL]],T_TraitDi[#Data],COLUMN(T_TraitDi[[#This Row],[Colonne7]]),FALSE),""),"[hh]:mm"))</f>
        <v>#VALUE!</v>
      </c>
      <c r="AM199" s="172" t="e">
        <f>IF(VLOOKUP(T_BilanSocial[[#This Row],[NumL]],T_TraitDi[#Data],COLUMN(T_TraitDi[[#This Row],[Colonne8]]),FALSE)=0,"",TEXT(IFERROR(VLOOKUP(T_BilanSocial[[#This Row],[NumL]],T_TraitDi[#Data],COLUMN(T_TraitDi[[#This Row],[Colonne8]]),FALSE),""),"[hh]:mm"))</f>
        <v>#VALUE!</v>
      </c>
      <c r="AN199" s="172" t="str">
        <f>IFERROR(VLOOKUP(T_BilanSocial[[#This Row],[NumL]],T_TraitDi[#Data],COLUMN(T_TraitDi[[#This Row],[Mardi]]),FALSE),"")</f>
        <v/>
      </c>
      <c r="AO199" s="172" t="e">
        <f>IF(VLOOKUP(T_BilanSocial[[#This Row],[NumL]],T_TraitDi[#Data],COLUMN(T_TraitDi[[#This Row],[Colonne1]]),FALSE)=0,"",TEXT(IFERROR(VLOOKUP(T_BilanSocial[[#This Row],[NumL]],T_TraitDi[#Data],COLUMN(T_TraitDi[[#This Row],[Colonne1]]),FALSE),""),"[hh]:mm"))</f>
        <v>#VALUE!</v>
      </c>
      <c r="AP199" s="172" t="e">
        <f>IF(VLOOKUP(T_BilanSocial[[#This Row],[NumL]],T_TraitDi[#Data],COLUMN(T_TraitDi[[#This Row],[Colonne9]]),FALSE)=0,"",TEXT(IFERROR(VLOOKUP(T_BilanSocial[[#This Row],[NumL]],T_TraitDi[#Data],COLUMN(T_TraitDi[[#This Row],[Colonne9]]),FALSE),""),"[hh]:mm"))</f>
        <v>#VALUE!</v>
      </c>
      <c r="AQ199" s="172" t="str">
        <f>IFERROR(VLOOKUP(T_BilanSocial[[#This Row],[NumL]],T_TraitDi[#Data],COLUMN(T_TraitDi[[#This Row],[Colonne10]]),FALSE),"")</f>
        <v/>
      </c>
      <c r="AR199" s="172" t="e">
        <f>IF(VLOOKUP(T_BilanSocial[[#This Row],[NumL]],T_TraitDi[#Data],COLUMN(T_TraitDi[[#This Row],[Colonne11]]),FALSE)=0,"",TEXT(IFERROR(VLOOKUP(T_BilanSocial[[#This Row],[NumL]],T_TraitDi[#Data],COLUMN(T_TraitDi[[#This Row],[Colonne11]]),FALSE),""),"[hh]:mm"))</f>
        <v>#VALUE!</v>
      </c>
      <c r="AS199" s="172" t="e">
        <f>IF(VLOOKUP(T_BilanSocial[[#This Row],[NumL]],T_TraitDi[#Data],COLUMN(T_TraitDi[[#This Row],[Colonne12]]),FALSE)=0,"",TEXT(IFERROR(VLOOKUP(T_BilanSocial[[#This Row],[NumL]],T_TraitDi[#Data],COLUMN(T_TraitDi[[#This Row],[Colonne12]]),FALSE),""),"[hh]:mm"))</f>
        <v>#VALUE!</v>
      </c>
      <c r="AT199" s="172" t="e">
        <f>IF(VLOOKUP(T_BilanSocial[[#This Row],[NumL]],T_TraitDi[#Data],COLUMN(T_TraitDi[[#This Row],[Colonne14]]),FALSE)=0,"",TEXT(IFERROR(VLOOKUP(T_BilanSocial[[#This Row],[NumL]],T_TraitDi[#Data],COLUMN(T_TraitDi[[#This Row],[Colonne14]]),FALSE),""),"[hh]:mm"))</f>
        <v>#VALUE!</v>
      </c>
      <c r="AU199" s="172" t="str">
        <f>IFERROR(VLOOKUP(T_BilanSocial[[#This Row],[NumL]],T_TraitDi[#Data],COLUMN(T_TraitDi[[#This Row],[Mercredi]]),FALSE),"")</f>
        <v/>
      </c>
      <c r="AV199" s="172" t="e">
        <f>IF(VLOOKUP(T_BilanSocial[[#This Row],[NumL]],T_TraitDi[#Data],COLUMN(T_TraitDi[[#This Row],[Colonne15]]),FALSE)=0,"",TEXT(IFERROR(VLOOKUP(T_BilanSocial[[#This Row],[NumL]],T_TraitDi[#Data],COLUMN(T_TraitDi[[#This Row],[Colonne15]]),FALSE),""),"[hh]:mm"))</f>
        <v>#VALUE!</v>
      </c>
      <c r="AW199" s="172" t="e">
        <f>IF(VLOOKUP(T_BilanSocial[[#This Row],[NumL]],T_TraitDi[#Data],COLUMN(T_TraitDi[[#This Row],[Colonne16]]),FALSE)=0,"",TEXT(IFERROR(VLOOKUP(T_BilanSocial[[#This Row],[NumL]],T_TraitDi[#Data],COLUMN(T_TraitDi[[#This Row],[Colonne16]]),FALSE),""),"[hh]:mm"))</f>
        <v>#VALUE!</v>
      </c>
      <c r="AX199" s="172" t="str">
        <f>IFERROR(VLOOKUP(T_BilanSocial[[#This Row],[NumL]],T_TraitDi[#Data],COLUMN(T_TraitDi[[#This Row],[Colonne17]]),FALSE),"")</f>
        <v/>
      </c>
      <c r="AY199" s="172" t="e">
        <f>IF(VLOOKUP(T_BilanSocial[[#This Row],[NumL]],T_TraitDi[#Data],COLUMN(T_TraitDi[[#This Row],[Colonne18]]),FALSE)=0,"",TEXT(IFERROR(VLOOKUP(T_BilanSocial[[#This Row],[NumL]],T_TraitDi[#Data],COLUMN(T_TraitDi[[#This Row],[Colonne18]]),FALSE),""),"[hh]:mm"))</f>
        <v>#VALUE!</v>
      </c>
      <c r="AZ199" s="172" t="e">
        <f>IF(VLOOKUP(T_BilanSocial[[#This Row],[NumL]],T_TraitDi[#Data],COLUMN(T_TraitDi[[#This Row],[Colonne19]]),FALSE)=0,"",TEXT(IFERROR(VLOOKUP(T_BilanSocial[[#This Row],[NumL]],T_TraitDi[#Data],COLUMN(T_TraitDi[[#This Row],[Colonne19]]),FALSE),""),"[hh]:mm"))</f>
        <v>#VALUE!</v>
      </c>
      <c r="BA199" s="172" t="e">
        <f>IF(VLOOKUP(T_BilanSocial[[#This Row],[NumL]],T_TraitDi[#Data],COLUMN(T_TraitDi[[#This Row],[Colonne20]]),FALSE)=0,"",TEXT(IFERROR(VLOOKUP(T_BilanSocial[[#This Row],[NumL]],T_TraitDi[#Data],COLUMN(T_TraitDi[[#This Row],[Colonne20]]),FALSE),""),"[hh]:mm"))</f>
        <v>#VALUE!</v>
      </c>
      <c r="BB199" s="178" t="str">
        <f>IFERROR(VLOOKUP(T_BilanSocial[[#This Row],[NumL]],T_TraitDi[#Data],COLUMN(T_TraitDi[[#This Row],[Jeudi]]),FALSE),"")</f>
        <v/>
      </c>
      <c r="BC199" s="178" t="e">
        <f>IF(VLOOKUP(T_BilanSocial[[#This Row],[NumL]],T_TraitDi[#Data],COLUMN(T_TraitDi[[#This Row],[Colonne21]]),FALSE)=0,"",TEXT(IFERROR(VLOOKUP(T_BilanSocial[[#This Row],[NumL]],T_TraitDi[#Data],COLUMN(T_TraitDi[[#This Row],[Colonne21]]),FALSE),""),"[hh]:mm"))</f>
        <v>#VALUE!</v>
      </c>
      <c r="BD199" s="178" t="e">
        <f>IF(VLOOKUP(T_BilanSocial[[#This Row],[NumL]],T_TraitDi[#Data],COLUMN(T_TraitDi[[#This Row],[Colonne22]]),FALSE)=0,"",TEXT(IFERROR(VLOOKUP(T_BilanSocial[[#This Row],[NumL]],T_TraitDi[#Data],COLUMN(T_TraitDi[[#This Row],[Colonne22]]),FALSE),""),"[hh]:mm"))</f>
        <v>#VALUE!</v>
      </c>
      <c r="BE199" s="178" t="str">
        <f>IFERROR(VLOOKUP(T_BilanSocial[[#This Row],[NumL]],T_TraitDi[#Data],COLUMN(T_TraitDi[[#This Row],[Colonne23]]),FALSE),"")</f>
        <v/>
      </c>
      <c r="BF199" s="178" t="e">
        <f>IF(VLOOKUP(T_BilanSocial[[#This Row],[NumL]],T_TraitDi[#Data],COLUMN(T_TraitDi[[#This Row],[Colonne24]]),FALSE)=0,"",TEXT(IFERROR(VLOOKUP(T_BilanSocial[[#This Row],[NumL]],T_TraitDi[#Data],COLUMN(T_TraitDi[[#This Row],[Colonne24]]),FALSE),""),"[hh]:mm"))</f>
        <v>#VALUE!</v>
      </c>
      <c r="BG199" s="178" t="e">
        <f>IF(VLOOKUP(T_BilanSocial[[#This Row],[NumL]],T_TraitDi[#Data],COLUMN(T_TraitDi[[#This Row],[Colonne25]]),FALSE)=0,"",TEXT(IFERROR(VLOOKUP(T_BilanSocial[[#This Row],[NumL]],T_TraitDi[#Data],COLUMN(T_TraitDi[[#This Row],[Colonne25]]),FALSE),""),"[hh]:mm"))</f>
        <v>#VALUE!</v>
      </c>
      <c r="BH199" s="178" t="e">
        <f>IF(VLOOKUP(T_BilanSocial[[#This Row],[NumL]],T_TraitDi[#Data],COLUMN(T_TraitDi[[#This Row],[Colonne26]]),FALSE)=0,"",TEXT(IFERROR(VLOOKUP(T_BilanSocial[[#This Row],[NumL]],T_TraitDi[#Data],COLUMN(T_TraitDi[[#This Row],[Colonne26]]),FALSE),""),"[hh]:mm"))</f>
        <v>#VALUE!</v>
      </c>
      <c r="BI199" s="172" t="str">
        <f>IFERROR(VLOOKUP(T_BilanSocial[[#This Row],[NumL]],T_TraitDi[#Data],COLUMN(T_TraitDi[[#This Row],[Vendredi]]),FALSE),"")</f>
        <v/>
      </c>
      <c r="BJ199" s="172" t="e">
        <f>IF(VLOOKUP(T_BilanSocial[[#This Row],[NumL]],T_TraitDi[#Data],COLUMN(T_TraitDi[[#This Row],[Colonne27]]),FALSE)=0,"",TEXT(IFERROR(VLOOKUP(T_BilanSocial[[#This Row],[NumL]],T_TraitDi[#Data],COLUMN(T_TraitDi[[#This Row],[Colonne27]]),FALSE),""),"[hh]:mm"))</f>
        <v>#VALUE!</v>
      </c>
      <c r="BK199" s="172" t="e">
        <f>IF(VLOOKUP(T_BilanSocial[[#This Row],[NumL]],T_TraitDi[#Data],COLUMN(T_TraitDi[[#This Row],[Colonne28]]),FALSE)=0,"",TEXT(IFERROR(VLOOKUP(T_BilanSocial[[#This Row],[NumL]],T_TraitDi[#Data],COLUMN(T_TraitDi[[#This Row],[Colonne28]]),FALSE),""),"[hh]:mm"))</f>
        <v>#VALUE!</v>
      </c>
      <c r="BL199" s="172" t="str">
        <f>IFERROR(VLOOKUP(T_BilanSocial[[#This Row],[NumL]],T_TraitDi[#Data],COLUMN(T_TraitDi[[#This Row],[Colonne29]]),FALSE),"")</f>
        <v/>
      </c>
      <c r="BM199" s="172" t="e">
        <f>IF(VLOOKUP(T_BilanSocial[[#This Row],[NumL]],T_TraitDi[#Data],COLUMN(T_TraitDi[[#This Row],[Colonne30]]),FALSE)=0,"",TEXT(IFERROR(VLOOKUP(T_BilanSocial[[#This Row],[NumL]],T_TraitDi[#Data],COLUMN(T_TraitDi[[#This Row],[Colonne30]]),FALSE),""),"[hh]:mm"))</f>
        <v>#VALUE!</v>
      </c>
      <c r="BN199" s="172" t="e">
        <f>IF(VLOOKUP(T_BilanSocial[[#This Row],[NumL]],T_TraitDi[#Data],COLUMN(T_TraitDi[[#This Row],[Colonne31]]),FALSE)=0,"",TEXT(IFERROR(VLOOKUP(T_BilanSocial[[#This Row],[NumL]],T_TraitDi[#Data],COLUMN(T_TraitDi[[#This Row],[Colonne31]]),FALSE),""),"[hh]:mm"))</f>
        <v>#VALUE!</v>
      </c>
      <c r="BO199" s="172" t="e">
        <f>IF(VLOOKUP(T_BilanSocial[[#This Row],[NumL]],T_TraitDi[#Data],COLUMN(T_TraitDi[[#This Row],[Colonne32]]),FALSE)=0,"",TEXT(IFERROR(VLOOKUP(T_BilanSocial[[#This Row],[NumL]],T_TraitDi[#Data],COLUMN(T_TraitDi[[#This Row],[Colonne32]]),FALSE),""),"[hh]:mm"))</f>
        <v>#VALUE!</v>
      </c>
      <c r="BP199" s="172" t="e">
        <f>VLOOKUP(T_BilanSocial[[#This Row],[NumL]],T_TraitDi[#Data],COLUMN(T_TraitDi[NbJTot]),FALSE)</f>
        <v>#N/A</v>
      </c>
      <c r="BQ199" s="174" t="str">
        <f>IFERROR(VLOOKUP(T_BilanSocial[[#This Row],[NumL]],T_TraitDi[#Data],COLUMN(T_TraitDi[[#This Row],[NbJTW]]),FALSE),"")</f>
        <v/>
      </c>
      <c r="BR199" s="174" t="e">
        <f>IF(VLOOKUP(T_BilanSocial[[#This Row],[NumL]],T_TraitDi[#Data],COLUMN(T_TraitDi[[#This Row],[NbhTW]]),FALSE)=0,"",TEXT(IFERROR(VLOOKUP(T_BilanSocial[[#This Row],[NumL]],T_TraitDi[#Data],COLUMN(T_TraitDi[[#This Row],[NbhTW]]),FALSE),""),"[hh]:mm"))</f>
        <v>#VALUE!</v>
      </c>
      <c r="BS199" s="174" t="e">
        <f>IF(VLOOKUP(T_BilanSocial[[#This Row],[NumL]],T_TraitDi[#Data],COLUMN(T_TraitDi[[#This Row],[Nbhheb]]),FALSE)=0,"",TEXT(IFERROR(VLOOKUP($A199,T_TraitDi[#Data],COLUMN(T_TraitDi[[#This Row],[Nbhheb]]),FALSE),""),"[hh]:mm"))</f>
        <v>#VALUE!</v>
      </c>
      <c r="BT199" s="182" t="str">
        <f>IFERROR(VLOOKUP(VLOOKUP($A199,T_TraitDi[#Data],COLUMN(T_TraitDi[[#This Row],[Type1]]),FALSE),TypeTW,2,FALSE),"")</f>
        <v/>
      </c>
      <c r="BU199" s="182" t="str">
        <f>IFERROR(VLOOKUP($A199,T_TraitDi[#Data],COLUMN(T_TraitDi[[#This Row],[Rue1]]),FALSE),"")</f>
        <v/>
      </c>
      <c r="BV199" s="173" t="str">
        <f>IFERROR(VLOOKUP($A199,T_TraitDi[#Data],COLUMN(T_TraitDi[[#This Row],[CP1]]),FALSE),"")</f>
        <v/>
      </c>
      <c r="BW199" s="173" t="str">
        <f>IFERROR(VLOOKUP($A199,T_TraitDi[#Data],COLUMN(T_TraitDi[[#This Row],[VILLE1]]),FALSE),"")</f>
        <v/>
      </c>
      <c r="BX199" s="182" t="str">
        <f>IFERROR(VLOOKUP(VLOOKUP($A199,T_TraitDi[#Data],COLUMN(T_TraitDi[[#This Row],[Type2]]),FALSE),TypeTW,2,FALSE),"")</f>
        <v/>
      </c>
      <c r="BY199" s="182" t="str">
        <f>IFERROR(VLOOKUP($A199,T_TraitDi[#Data],COLUMN(T_TraitDi[[#This Row],[Rue2]]),FALSE),"")</f>
        <v/>
      </c>
      <c r="BZ199" s="173" t="str">
        <f>IFERROR(VLOOKUP($A199,T_TraitDi[#Data],COLUMN(T_TraitDi[[#This Row],[CP2]]),FALSE),"")</f>
        <v/>
      </c>
      <c r="CA199" s="173" t="str">
        <f>IFERROR(VLOOKUP($A199,T_TraitDi[#Data],COLUMN(T_TraitDi[[#This Row],[VILLE2]]),FALSE),"")</f>
        <v/>
      </c>
      <c r="CB199" s="182" t="str">
        <f>IF(VLOOKUP(T_BilanSocial[[#This Row],[NumL]],T_Equipement[#Data],COLUMN(T_Equipement[[#This Row],[PC]]),FALSE)="","Aucun équipement spécifique directement lié au télétravail",VLOOKUP(T_BilanSocial[[#This Row],[NumL]],T_Equipement[#Data],COLUMN(T_Equipement[[#This Row],[PC]]),FALSE))</f>
        <v xml:space="preserve">20-651	</v>
      </c>
      <c r="CC199" s="166" t="str">
        <f>IFERROR(IF(VLOOKUP(T_BilanSocial[[#This Row],[NumL]],T_TraitDi[#Data],COLUMN(T_TraitDi[[#This Row],[Plan]]),FALSE)="OK","Un planning spécifique de télétravail est annexé à la présente convention.",""),"")</f>
        <v/>
      </c>
      <c r="CD199" s="258" t="s">
        <v>3351</v>
      </c>
      <c r="CE199" s="164" t="e">
        <f>IF(VLOOKUP(T_BilanSocial[[#This Row],[NumL]],T_suiviDi[#Data],COLUMN(T_suiviDi[[#This Row],[Entité]]),FALSE)="","",VLOOKUP(T_BilanSocial[[#This Row],[NumL]],T_suiviDi[#Data],COLUMN(T_suiviDi[[#This Row],[Entité]]),FALSE))</f>
        <v>#VALUE!</v>
      </c>
      <c r="CF199" s="164" t="str">
        <f>IF(VLOOKUP(T_BilanSocial[[#This Row],[NumL]],T_Commission[#Data],COLUMN(T_Commission[[#This Row],[envoi confirm TW]]),FALSE)="","",VLOOKUP(T_BilanSocial[[#This Row],[NumL]],T_Commission[#Data],COLUMN(T_Commission[[#This Row],[envoi confirm TW]]),FALSE))</f>
        <v>Oui</v>
      </c>
      <c r="CG19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199" s="262" t="str">
        <f>T_BilanSocial[[#This Row],[Nom]]&amp;T_BilanSocial[[#This Row],[Prenom]]</f>
        <v/>
      </c>
      <c r="CI199" s="262">
        <f>VLOOKUP(T_BilanSocial[[#This Row],[NumL]],T_Commission[#Data],COLUMN(T_Commission[Commentaire]),FALSE)</f>
        <v>0</v>
      </c>
      <c r="CJ199" s="262" t="str">
        <f>IF(VLOOKUP(T_BilanSocial[[#This Row],[NumL]],T_Commission[#Data],COLUMN(T_Commission[Encadrant Email]),FALSE)="","",VLOOKUP(T_BilanSocial[[#This Row],[NumL]],T_Commission[#Data],COLUMN(T_Commission[Encadrant Email]),FALSE))</f>
        <v/>
      </c>
      <c r="CK199" s="340" t="str">
        <f>IF(T_BilanSocial[[#This Row],[Final]]&lt;&gt;"",VLOOKUP(T_BilanSocial[[#This Row],[NumL]],T_suiviDi[#Data],COLUMN((T_suiviDi[Statut])),FALSE),"")</f>
        <v/>
      </c>
    </row>
    <row r="200" spans="1:89" s="106" customFormat="1" ht="24.75" customHeight="1" x14ac:dyDescent="0.25">
      <c r="A200" s="160">
        <v>197</v>
      </c>
      <c r="B200" s="161" t="e">
        <f t="shared" si="34"/>
        <v>#N/A</v>
      </c>
      <c r="C200" s="162" t="s">
        <v>173</v>
      </c>
      <c r="D200" s="95" t="e">
        <f>IF(VLOOKUP(T_BilanSocial[[#This Row],[NumL]],T_TraitDi[#Data],COLUMN(T_TraitDi[[#This Row],[WebC]]),FALSE)="","",VLOOKUP(T_BilanSocial[[#This Row],[NumL]],T_TraitDi[#Data],COLUMN(T_TraitDi[[#This Row],[WebC]]),FALSE))</f>
        <v>#VALUE!</v>
      </c>
      <c r="E200" s="163" t="str">
        <f t="shared" si="35"/>
        <v>12 janvier 2021</v>
      </c>
      <c r="F200" s="96" t="e">
        <f>IF(T_BilanSocial[[#This Row],[Final]]&lt;&gt;"",VLOOKUP(T_BilanSocial[[#This Row],[NumL]],T_suiviDi[#Data],COLUMN((T_suiviDi[Civ.])),FALSE),"")</f>
        <v>#N/A</v>
      </c>
      <c r="G200" s="96" t="e">
        <f>IF(T_BilanSocial[[#This Row],[Final]]&lt;&gt;"",VLOOKUP(T_BilanSocial[[#This Row],[NumL]],T_suiviDi[#Data],COLUMN((T_suiviDi[Nom])),FALSE),"")</f>
        <v>#N/A</v>
      </c>
      <c r="H200" s="96" t="e">
        <f>IF(T_BilanSocial[[#This Row],[Final]]&lt;&gt;"",VLOOKUP(T_BilanSocial[[#This Row],[NumL]],T_suiviDi[#Data],COLUMN((T_suiviDi[Prénom])),FALSE),"")</f>
        <v>#N/A</v>
      </c>
      <c r="I200" s="96" t="str">
        <f>IFERROR(VLOOKUP(T_BilanSocial[[#This Row],[Zone_Bilan]],T_P_BilanSocial[#Data],COLUMN(T_P_BilanSocial[[#This Row],[Numero_SIHAM]]),FALSE),"")</f>
        <v/>
      </c>
      <c r="J200" s="96" t="str">
        <f>IFERROR(VLOOKUP(T_BilanSocial[[#This Row],[Zone_Bilan]],T_P_BilanSocial[#Data],COLUMN(T_P_BilanSocial[[#This Row],[Sexe]]),FALSE),"")</f>
        <v/>
      </c>
      <c r="K200" s="97" t="str">
        <f>IFERROR(VLOOKUP(T_BilanSocial[[#This Row],[Zone_Bilan]],T_P_BilanSocial[#Data],COLUMN(T_P_BilanSocial[[#This Row],[Categorie]]),FALSE),"")</f>
        <v/>
      </c>
      <c r="L200" s="96" t="str">
        <f>IFERROR(VLOOKUP(T_BilanSocial[[#This Row],[Zone_Bilan]],T_P_BilanSocial[#Data],COLUMN(T_P_BilanSocial[[#This Row],[Statut]]),FALSE),"")</f>
        <v/>
      </c>
      <c r="M200" s="96" t="str">
        <f>IFERROR(VLOOKUP(T_BilanSocial[[#This Row],[Zone_Bilan]],T_P_BilanSocial[#Data],COLUMN(T_P_BilanSocial[[#This Row],[Filiere]]),FALSE),"")</f>
        <v/>
      </c>
      <c r="N200" s="96" t="e">
        <f>VLOOKUP(T_BilanSocial[[#This Row],[NumL]],T_TraitDi[#Data],COLUMN(T_TraitDi[EXP]),FALSE)</f>
        <v>#N/A</v>
      </c>
      <c r="O200" s="96" t="e">
        <f>VLOOKUP(T_BilanSocial[[#This Row],[NumL]],T_TraitDi[#Data],COLUMN(T_TraitDi[FORM]),FALSE)</f>
        <v>#N/A</v>
      </c>
      <c r="P200" s="96" t="e">
        <f>IF(T_BilanSocial[[#This Row],[Final]]&lt;&gt;"",VLOOKUP(T_BilanSocial[[#This Row],[NumL]],T_suiviDi[#Data],COLUMN((T_suiviDi[Email])),FALSE),"")</f>
        <v>#N/A</v>
      </c>
      <c r="Q200" s="164" t="e">
        <f t="shared" si="28"/>
        <v>#N/A</v>
      </c>
      <c r="R200" s="164" t="e">
        <f t="shared" si="29"/>
        <v>#N/A</v>
      </c>
      <c r="S200" s="164" t="e">
        <f>IF(VLOOKUP(T_BilanSocial[[#This Row],[NumL]],T_suiviDi[#Data],COLUMN(T_suiviDi[[#This Row],[Service ]]),FALSE)="","",VLOOKUP(T_BilanSocial[[#This Row],[NumL]],T_suiviDi[#Data],COLUMN(T_suiviDi[[#This Row],[Service ]]),FALSE))</f>
        <v>#VALUE!</v>
      </c>
      <c r="T200" s="164" t="str">
        <f t="shared" si="36"/>
        <v>01 septembre 2021</v>
      </c>
      <c r="U200" s="164" t="str">
        <f t="shared" si="37"/>
        <v>30 novembre 2021</v>
      </c>
      <c r="V200" s="164" t="str">
        <f t="shared" si="33"/>
        <v>30 novembre 2021</v>
      </c>
      <c r="W200" s="176" t="e">
        <f>IF(VLOOKUP(T_BilanSocial[[#This Row],[NumL]],T_TraitDi[#Data],COLUMN(T_TraitDi[[#This Row],[M1]]),FALSE)="","",VLOOKUP(T_BilanSocial[[#This Row],[NumL]],T_TraitDi[#Data],COLUMN(T_TraitDi[[#This Row],[M1]]),FALSE))</f>
        <v>#VALUE!</v>
      </c>
      <c r="X200" s="176" t="e">
        <f>IF(VLOOKUP(T_BilanSocial[[#This Row],[NumL]],T_TraitDi[#Data],COLUMN(T_TraitDi[[#This Row],[M2]]),FALSE)="","",VLOOKUP(T_BilanSocial[[#This Row],[NumL]],T_TraitDi[#Data],COLUMN(T_TraitDi[[#This Row],[M2]]),FALSE))</f>
        <v>#VALUE!</v>
      </c>
      <c r="Y200" s="176" t="e">
        <f>IF(VLOOKUP(T_BilanSocial[[#This Row],[NumL]],T_TraitDi[#Data],COLUMN(T_TraitDi[[#This Row],[M3]]),FALSE)="","",VLOOKUP(T_BilanSocial[[#This Row],[NumL]],T_TraitDi[#Data],COLUMN(T_TraitDi[[#This Row],[M3]]),FALSE))</f>
        <v>#VALUE!</v>
      </c>
      <c r="Z200" s="176" t="str">
        <f t="shared" si="39"/>
        <v/>
      </c>
      <c r="AA200" s="176" t="e">
        <f>IF(VLOOKUP(T_BilanSocial[[#This Row],[NumL]],T_TraitDi[#Data],COLUMN(T_TraitDi[[#This Row],[M5]]),FALSE)="","",VLOOKUP(T_BilanSocial[[#This Row],[NumL]],T_TraitDi[#Data],COLUMN(T_TraitDi[[#This Row],[M5]]),FALSE))</f>
        <v>#VALUE!</v>
      </c>
      <c r="AB200" s="176" t="e">
        <f>IF(VLOOKUP(T_BilanSocial[[#This Row],[NumL]],T_TraitDi[#Data],COLUMN(T_TraitDi[[#This Row],[M6]]),FALSE)="","",VLOOKUP(T_BilanSocial[[#This Row],[NumL]],T_TraitDi[#Data],COLUMN(T_TraitDi[[#This Row],[M6]]),FALSE))</f>
        <v>#VALUE!</v>
      </c>
      <c r="AC200" s="165" t="e">
        <f t="shared" si="38"/>
        <v>#VALUE!</v>
      </c>
      <c r="AD200" s="188" t="str">
        <f>IFERROR(TEXT(VLOOKUP(T_BilanSocial[[#This Row],[NumL]],T_TraitDi[#Data],COLUMN(T_TraitDi[[#This Row],[Q2]]),FALSE),"###%"),"")</f>
        <v/>
      </c>
      <c r="AE200" s="97" t="e">
        <f>VLOOKUP(T_BilanSocial[[#This Row],[NumL]],T_TraitDi[#Data],COLUMN(T_TraitDi[[#This Row],[Reg Ponct]]),FALSE)</f>
        <v>#VALUE!</v>
      </c>
      <c r="AF200" s="97" t="e">
        <f>VLOOKUP(T_BilanSocial[NumL],T_TraitDi[#Data],COLUMN(T_TraitDi[[#This Row],[Jours flottants]]),FALSE)</f>
        <v>#VALUE!</v>
      </c>
      <c r="AG200" s="97" t="str">
        <f>IFERROR(VLOOKUP(T_BilanSocial[[#This Row],[NumL]],T_TraitDi[#Data],COLUMN(T_TraitDi[[#This Row],[Lundi]]),FALSE),"")</f>
        <v/>
      </c>
      <c r="AH200" s="172" t="e">
        <f>IF(VLOOKUP(T_BilanSocial[[#This Row],[NumL]],T_TraitDi[#Data],COLUMN(T_TraitDi[[#This Row],[Colonne3]]),FALSE)=0,"",TEXT(IFERROR(VLOOKUP(T_BilanSocial[[#This Row],[NumL]],T_TraitDi[#Data],COLUMN(T_TraitDi[[#This Row],[Colonne3]]),FALSE),""),"[hh]:mm"))</f>
        <v>#VALUE!</v>
      </c>
      <c r="AI200" s="172" t="e">
        <f>IF(VLOOKUP(T_BilanSocial[[#This Row],[NumL]],T_TraitDi[#Data],COLUMN(T_TraitDi[[#This Row],[Colonne4]]),FALSE)=0,"",TEXT(IFERROR(VLOOKUP(T_BilanSocial[[#This Row],[NumL]],T_TraitDi[#Data],COLUMN(T_TraitDi[[#This Row],[Colonne4]]),FALSE),""),"[hh]:mm"))</f>
        <v>#VALUE!</v>
      </c>
      <c r="AJ200" s="172" t="e">
        <f>IF(VLOOKUP(T_BilanSocial[[#This Row],[NumL]],T_TraitDi[#Data],COLUMN(T_TraitDi[[#This Row],[Colonne5]]),FALSE)=0,"",TEXT(IFERROR(VLOOKUP(T_BilanSocial[[#This Row],[NumL]],T_TraitDi[#Data],COLUMN(T_TraitDi[[#This Row],[Colonne5]]),FALSE),""),"[hh]:mm"))</f>
        <v>#VALUE!</v>
      </c>
      <c r="AK200" s="172" t="e">
        <f>IF(VLOOKUP(T_BilanSocial[[#This Row],[NumL]],T_TraitDi[#Data],COLUMN(T_TraitDi[[#This Row],[Colonne6]]),FALSE)=0,"",TEXT(IFERROR(VLOOKUP(T_BilanSocial[[#This Row],[NumL]],T_TraitDi[#Data],COLUMN(T_TraitDi[[#This Row],[Colonne6]]),FALSE),""),"[hh]:mm"))</f>
        <v>#VALUE!</v>
      </c>
      <c r="AL200" s="172" t="e">
        <f>IF(VLOOKUP(T_BilanSocial[[#This Row],[NumL]],T_TraitDi[#Data],COLUMN(T_TraitDi[[#This Row],[Colonne7]]),FALSE)=0,"",TEXT(IFERROR(VLOOKUP(T_BilanSocial[[#This Row],[NumL]],T_TraitDi[#Data],COLUMN(T_TraitDi[[#This Row],[Colonne7]]),FALSE),""),"[hh]:mm"))</f>
        <v>#VALUE!</v>
      </c>
      <c r="AM200" s="172" t="e">
        <f>IF(VLOOKUP(T_BilanSocial[[#This Row],[NumL]],T_TraitDi[#Data],COLUMN(T_TraitDi[[#This Row],[Colonne8]]),FALSE)=0,"",TEXT(IFERROR(VLOOKUP(T_BilanSocial[[#This Row],[NumL]],T_TraitDi[#Data],COLUMN(T_TraitDi[[#This Row],[Colonne8]]),FALSE),""),"[hh]:mm"))</f>
        <v>#VALUE!</v>
      </c>
      <c r="AN200" s="172" t="str">
        <f>IFERROR(VLOOKUP(T_BilanSocial[[#This Row],[NumL]],T_TraitDi[#Data],COLUMN(T_TraitDi[[#This Row],[Mardi]]),FALSE),"")</f>
        <v/>
      </c>
      <c r="AO200" s="172" t="e">
        <f>IF(VLOOKUP(T_BilanSocial[[#This Row],[NumL]],T_TraitDi[#Data],COLUMN(T_TraitDi[[#This Row],[Colonne1]]),FALSE)=0,"",TEXT(IFERROR(VLOOKUP(T_BilanSocial[[#This Row],[NumL]],T_TraitDi[#Data],COLUMN(T_TraitDi[[#This Row],[Colonne1]]),FALSE),""),"[hh]:mm"))</f>
        <v>#VALUE!</v>
      </c>
      <c r="AP200" s="172" t="e">
        <f>IF(VLOOKUP(T_BilanSocial[[#This Row],[NumL]],T_TraitDi[#Data],COLUMN(T_TraitDi[[#This Row],[Colonne9]]),FALSE)=0,"",TEXT(IFERROR(VLOOKUP(T_BilanSocial[[#This Row],[NumL]],T_TraitDi[#Data],COLUMN(T_TraitDi[[#This Row],[Colonne9]]),FALSE),""),"[hh]:mm"))</f>
        <v>#VALUE!</v>
      </c>
      <c r="AQ200" s="172" t="str">
        <f>IFERROR(VLOOKUP(T_BilanSocial[[#This Row],[NumL]],T_TraitDi[#Data],COLUMN(T_TraitDi[[#This Row],[Colonne10]]),FALSE),"")</f>
        <v/>
      </c>
      <c r="AR200" s="172" t="e">
        <f>IF(VLOOKUP(T_BilanSocial[[#This Row],[NumL]],T_TraitDi[#Data],COLUMN(T_TraitDi[[#This Row],[Colonne11]]),FALSE)=0,"",TEXT(IFERROR(VLOOKUP(T_BilanSocial[[#This Row],[NumL]],T_TraitDi[#Data],COLUMN(T_TraitDi[[#This Row],[Colonne11]]),FALSE),""),"[hh]:mm"))</f>
        <v>#VALUE!</v>
      </c>
      <c r="AS200" s="172" t="e">
        <f>IF(VLOOKUP(T_BilanSocial[[#This Row],[NumL]],T_TraitDi[#Data],COLUMN(T_TraitDi[[#This Row],[Colonne12]]),FALSE)=0,"",TEXT(IFERROR(VLOOKUP(T_BilanSocial[[#This Row],[NumL]],T_TraitDi[#Data],COLUMN(T_TraitDi[[#This Row],[Colonne12]]),FALSE),""),"[hh]:mm"))</f>
        <v>#VALUE!</v>
      </c>
      <c r="AT200" s="172" t="e">
        <f>IF(VLOOKUP(T_BilanSocial[[#This Row],[NumL]],T_TraitDi[#Data],COLUMN(T_TraitDi[[#This Row],[Colonne14]]),FALSE)=0,"",TEXT(IFERROR(VLOOKUP(T_BilanSocial[[#This Row],[NumL]],T_TraitDi[#Data],COLUMN(T_TraitDi[[#This Row],[Colonne14]]),FALSE),""),"[hh]:mm"))</f>
        <v>#VALUE!</v>
      </c>
      <c r="AU200" s="172" t="str">
        <f>IFERROR(VLOOKUP(T_BilanSocial[[#This Row],[NumL]],T_TraitDi[#Data],COLUMN(T_TraitDi[[#This Row],[Mercredi]]),FALSE),"")</f>
        <v/>
      </c>
      <c r="AV200" s="172" t="e">
        <f>IF(VLOOKUP(T_BilanSocial[[#This Row],[NumL]],T_TraitDi[#Data],COLUMN(T_TraitDi[[#This Row],[Colonne15]]),FALSE)=0,"",TEXT(IFERROR(VLOOKUP(T_BilanSocial[[#This Row],[NumL]],T_TraitDi[#Data],COLUMN(T_TraitDi[[#This Row],[Colonne15]]),FALSE),""),"[hh]:mm"))</f>
        <v>#VALUE!</v>
      </c>
      <c r="AW200" s="172" t="e">
        <f>IF(VLOOKUP(T_BilanSocial[[#This Row],[NumL]],T_TraitDi[#Data],COLUMN(T_TraitDi[[#This Row],[Colonne16]]),FALSE)=0,"",TEXT(IFERROR(VLOOKUP(T_BilanSocial[[#This Row],[NumL]],T_TraitDi[#Data],COLUMN(T_TraitDi[[#This Row],[Colonne16]]),FALSE),""),"[hh]:mm"))</f>
        <v>#VALUE!</v>
      </c>
      <c r="AX200" s="172" t="str">
        <f>IFERROR(VLOOKUP(T_BilanSocial[[#This Row],[NumL]],T_TraitDi[#Data],COLUMN(T_TraitDi[[#This Row],[Colonne17]]),FALSE),"")</f>
        <v/>
      </c>
      <c r="AY200" s="172" t="e">
        <f>IF(VLOOKUP(T_BilanSocial[[#This Row],[NumL]],T_TraitDi[#Data],COLUMN(T_TraitDi[[#This Row],[Colonne18]]),FALSE)=0,"",TEXT(IFERROR(VLOOKUP(T_BilanSocial[[#This Row],[NumL]],T_TraitDi[#Data],COLUMN(T_TraitDi[[#This Row],[Colonne18]]),FALSE),""),"[hh]:mm"))</f>
        <v>#VALUE!</v>
      </c>
      <c r="AZ200" s="172" t="e">
        <f>IF(VLOOKUP(T_BilanSocial[[#This Row],[NumL]],T_TraitDi[#Data],COLUMN(T_TraitDi[[#This Row],[Colonne19]]),FALSE)=0,"",TEXT(IFERROR(VLOOKUP(T_BilanSocial[[#This Row],[NumL]],T_TraitDi[#Data],COLUMN(T_TraitDi[[#This Row],[Colonne19]]),FALSE),""),"[hh]:mm"))</f>
        <v>#VALUE!</v>
      </c>
      <c r="BA200" s="172" t="e">
        <f>IF(VLOOKUP(T_BilanSocial[[#This Row],[NumL]],T_TraitDi[#Data],COLUMN(T_TraitDi[[#This Row],[Colonne20]]),FALSE)=0,"",TEXT(IFERROR(VLOOKUP(T_BilanSocial[[#This Row],[NumL]],T_TraitDi[#Data],COLUMN(T_TraitDi[[#This Row],[Colonne20]]),FALSE),""),"[hh]:mm"))</f>
        <v>#VALUE!</v>
      </c>
      <c r="BB200" s="178" t="str">
        <f>IFERROR(VLOOKUP(T_BilanSocial[[#This Row],[NumL]],T_TraitDi[#Data],COLUMN(T_TraitDi[[#This Row],[Jeudi]]),FALSE),"")</f>
        <v/>
      </c>
      <c r="BC200" s="178" t="e">
        <f>IF(VLOOKUP(T_BilanSocial[[#This Row],[NumL]],T_TraitDi[#Data],COLUMN(T_TraitDi[[#This Row],[Colonne21]]),FALSE)=0,"",TEXT(IFERROR(VLOOKUP(T_BilanSocial[[#This Row],[NumL]],T_TraitDi[#Data],COLUMN(T_TraitDi[[#This Row],[Colonne21]]),FALSE),""),"[hh]:mm"))</f>
        <v>#VALUE!</v>
      </c>
      <c r="BD200" s="178" t="e">
        <f>IF(VLOOKUP(T_BilanSocial[[#This Row],[NumL]],T_TraitDi[#Data],COLUMN(T_TraitDi[[#This Row],[Colonne22]]),FALSE)=0,"",TEXT(IFERROR(VLOOKUP(T_BilanSocial[[#This Row],[NumL]],T_TraitDi[#Data],COLUMN(T_TraitDi[[#This Row],[Colonne22]]),FALSE),""),"[hh]:mm"))</f>
        <v>#VALUE!</v>
      </c>
      <c r="BE200" s="178" t="str">
        <f>IFERROR(VLOOKUP(T_BilanSocial[[#This Row],[NumL]],T_TraitDi[#Data],COLUMN(T_TraitDi[[#This Row],[Colonne23]]),FALSE),"")</f>
        <v/>
      </c>
      <c r="BF200" s="178" t="e">
        <f>IF(VLOOKUP(T_BilanSocial[[#This Row],[NumL]],T_TraitDi[#Data],COLUMN(T_TraitDi[[#This Row],[Colonne24]]),FALSE)=0,"",TEXT(IFERROR(VLOOKUP(T_BilanSocial[[#This Row],[NumL]],T_TraitDi[#Data],COLUMN(T_TraitDi[[#This Row],[Colonne24]]),FALSE),""),"[hh]:mm"))</f>
        <v>#VALUE!</v>
      </c>
      <c r="BG200" s="178" t="e">
        <f>IF(VLOOKUP(T_BilanSocial[[#This Row],[NumL]],T_TraitDi[#Data],COLUMN(T_TraitDi[[#This Row],[Colonne25]]),FALSE)=0,"",TEXT(IFERROR(VLOOKUP(T_BilanSocial[[#This Row],[NumL]],T_TraitDi[#Data],COLUMN(T_TraitDi[[#This Row],[Colonne25]]),FALSE),""),"[hh]:mm"))</f>
        <v>#VALUE!</v>
      </c>
      <c r="BH200" s="178" t="e">
        <f>IF(VLOOKUP(T_BilanSocial[[#This Row],[NumL]],T_TraitDi[#Data],COLUMN(T_TraitDi[[#This Row],[Colonne26]]),FALSE)=0,"",TEXT(IFERROR(VLOOKUP(T_BilanSocial[[#This Row],[NumL]],T_TraitDi[#Data],COLUMN(T_TraitDi[[#This Row],[Colonne26]]),FALSE),""),"[hh]:mm"))</f>
        <v>#VALUE!</v>
      </c>
      <c r="BI200" s="172" t="str">
        <f>IFERROR(VLOOKUP(T_BilanSocial[[#This Row],[NumL]],T_TraitDi[#Data],COLUMN(T_TraitDi[[#This Row],[Vendredi]]),FALSE),"")</f>
        <v/>
      </c>
      <c r="BJ200" s="172" t="e">
        <f>IF(VLOOKUP(T_BilanSocial[[#This Row],[NumL]],T_TraitDi[#Data],COLUMN(T_TraitDi[[#This Row],[Colonne27]]),FALSE)=0,"",TEXT(IFERROR(VLOOKUP(T_BilanSocial[[#This Row],[NumL]],T_TraitDi[#Data],COLUMN(T_TraitDi[[#This Row],[Colonne27]]),FALSE),""),"[hh]:mm"))</f>
        <v>#VALUE!</v>
      </c>
      <c r="BK200" s="172" t="e">
        <f>IF(VLOOKUP(T_BilanSocial[[#This Row],[NumL]],T_TraitDi[#Data],COLUMN(T_TraitDi[[#This Row],[Colonne28]]),FALSE)=0,"",TEXT(IFERROR(VLOOKUP(T_BilanSocial[[#This Row],[NumL]],T_TraitDi[#Data],COLUMN(T_TraitDi[[#This Row],[Colonne28]]),FALSE),""),"[hh]:mm"))</f>
        <v>#VALUE!</v>
      </c>
      <c r="BL200" s="172" t="str">
        <f>IFERROR(VLOOKUP(T_BilanSocial[[#This Row],[NumL]],T_TraitDi[#Data],COLUMN(T_TraitDi[[#This Row],[Colonne29]]),FALSE),"")</f>
        <v/>
      </c>
      <c r="BM200" s="172" t="e">
        <f>IF(VLOOKUP(T_BilanSocial[[#This Row],[NumL]],T_TraitDi[#Data],COLUMN(T_TraitDi[[#This Row],[Colonne30]]),FALSE)=0,"",TEXT(IFERROR(VLOOKUP(T_BilanSocial[[#This Row],[NumL]],T_TraitDi[#Data],COLUMN(T_TraitDi[[#This Row],[Colonne30]]),FALSE),""),"[hh]:mm"))</f>
        <v>#VALUE!</v>
      </c>
      <c r="BN200" s="172" t="e">
        <f>IF(VLOOKUP(T_BilanSocial[[#This Row],[NumL]],T_TraitDi[#Data],COLUMN(T_TraitDi[[#This Row],[Colonne31]]),FALSE)=0,"",TEXT(IFERROR(VLOOKUP(T_BilanSocial[[#This Row],[NumL]],T_TraitDi[#Data],COLUMN(T_TraitDi[[#This Row],[Colonne31]]),FALSE),""),"[hh]:mm"))</f>
        <v>#VALUE!</v>
      </c>
      <c r="BO200" s="172" t="e">
        <f>IF(VLOOKUP(T_BilanSocial[[#This Row],[NumL]],T_TraitDi[#Data],COLUMN(T_TraitDi[[#This Row],[Colonne32]]),FALSE)=0,"",TEXT(IFERROR(VLOOKUP(T_BilanSocial[[#This Row],[NumL]],T_TraitDi[#Data],COLUMN(T_TraitDi[[#This Row],[Colonne32]]),FALSE),""),"[hh]:mm"))</f>
        <v>#VALUE!</v>
      </c>
      <c r="BP200" s="172" t="e">
        <f>VLOOKUP(T_BilanSocial[[#This Row],[NumL]],T_TraitDi[#Data],COLUMN(T_TraitDi[NbJTot]),FALSE)</f>
        <v>#N/A</v>
      </c>
      <c r="BQ200" s="174" t="str">
        <f>IFERROR(VLOOKUP(T_BilanSocial[[#This Row],[NumL]],T_TraitDi[#Data],COLUMN(T_TraitDi[[#This Row],[NbJTW]]),FALSE),"")</f>
        <v/>
      </c>
      <c r="BR200" s="174" t="e">
        <f>IF(VLOOKUP(T_BilanSocial[[#This Row],[NumL]],T_TraitDi[#Data],COLUMN(T_TraitDi[[#This Row],[NbhTW]]),FALSE)=0,"",TEXT(IFERROR(VLOOKUP(T_BilanSocial[[#This Row],[NumL]],T_TraitDi[#Data],COLUMN(T_TraitDi[[#This Row],[NbhTW]]),FALSE),""),"[hh]:mm"))</f>
        <v>#VALUE!</v>
      </c>
      <c r="BS200" s="174" t="e">
        <f>IF(VLOOKUP(T_BilanSocial[[#This Row],[NumL]],T_TraitDi[#Data],COLUMN(T_TraitDi[[#This Row],[Nbhheb]]),FALSE)=0,"",TEXT(IFERROR(VLOOKUP($A200,T_TraitDi[#Data],COLUMN(T_TraitDi[[#This Row],[Nbhheb]]),FALSE),""),"[hh]:mm"))</f>
        <v>#VALUE!</v>
      </c>
      <c r="BT200" s="182" t="str">
        <f>IFERROR(VLOOKUP(VLOOKUP($A200,T_TraitDi[#Data],COLUMN(T_TraitDi[[#This Row],[Type1]]),FALSE),TypeTW,2,FALSE),"")</f>
        <v/>
      </c>
      <c r="BU200" s="182" t="str">
        <f>IFERROR(VLOOKUP($A200,T_TraitDi[#Data],COLUMN(T_TraitDi[[#This Row],[Rue1]]),FALSE),"")</f>
        <v/>
      </c>
      <c r="BV200" s="173" t="str">
        <f>IFERROR(VLOOKUP($A200,T_TraitDi[#Data],COLUMN(T_TraitDi[[#This Row],[CP1]]),FALSE),"")</f>
        <v/>
      </c>
      <c r="BW200" s="173" t="str">
        <f>IFERROR(VLOOKUP($A200,T_TraitDi[#Data],COLUMN(T_TraitDi[[#This Row],[VILLE1]]),FALSE),"")</f>
        <v/>
      </c>
      <c r="BX200" s="182" t="str">
        <f>IFERROR(VLOOKUP(VLOOKUP($A200,T_TraitDi[#Data],COLUMN(T_TraitDi[[#This Row],[Type2]]),FALSE),TypeTW,2,FALSE),"")</f>
        <v/>
      </c>
      <c r="BY200" s="182" t="str">
        <f>IFERROR(VLOOKUP($A200,T_TraitDi[#Data],COLUMN(T_TraitDi[[#This Row],[Rue2]]),FALSE),"")</f>
        <v/>
      </c>
      <c r="BZ200" s="173" t="str">
        <f>IFERROR(VLOOKUP($A200,T_TraitDi[#Data],COLUMN(T_TraitDi[[#This Row],[CP2]]),FALSE),"")</f>
        <v/>
      </c>
      <c r="CA200" s="173" t="str">
        <f>IFERROR(VLOOKUP($A200,T_TraitDi[#Data],COLUMN(T_TraitDi[[#This Row],[VILLE2]]),FALSE),"")</f>
        <v/>
      </c>
      <c r="CB200" s="182" t="e">
        <f>IF(VLOOKUP(T_BilanSocial[[#This Row],[NumL]],T_Equipement[#Data],COLUMN(T_Equipement[[#This Row],[PC]]),FALSE)="","Aucun équipement spécifique directement lié au télétravail",VLOOKUP(T_BilanSocial[[#This Row],[NumL]],T_Equipement[#Data],COLUMN(T_Equipement[[#This Row],[PC]]),FALSE))</f>
        <v>#N/A</v>
      </c>
      <c r="CC200" s="166" t="str">
        <f>IFERROR(IF(VLOOKUP(T_BilanSocial[[#This Row],[NumL]],T_TraitDi[#Data],COLUMN(T_TraitDi[[#This Row],[Plan]]),FALSE)="OK","Un planning spécifique de télétravail est annexé à la présente convention.",""),"")</f>
        <v/>
      </c>
      <c r="CD200" s="258" t="s">
        <v>3352</v>
      </c>
      <c r="CE200" s="164" t="e">
        <f>IF(VLOOKUP(T_BilanSocial[[#This Row],[NumL]],T_suiviDi[#Data],COLUMN(T_suiviDi[[#This Row],[Entité]]),FALSE)="","",VLOOKUP(T_BilanSocial[[#This Row],[NumL]],T_suiviDi[#Data],COLUMN(T_suiviDi[[#This Row],[Entité]]),FALSE))</f>
        <v>#VALUE!</v>
      </c>
      <c r="CF200" s="164" t="e">
        <f>IF(VLOOKUP(T_BilanSocial[[#This Row],[NumL]],T_Commission[#Data],COLUMN(T_Commission[[#This Row],[envoi confirm TW]]),FALSE)="","",VLOOKUP(T_BilanSocial[[#This Row],[NumL]],T_Commission[#Data],COLUMN(T_Commission[[#This Row],[envoi confirm TW]]),FALSE))</f>
        <v>#N/A</v>
      </c>
      <c r="CG20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0" s="262" t="e">
        <f>T_BilanSocial[[#This Row],[Nom]]&amp;T_BilanSocial[[#This Row],[Prenom]]</f>
        <v>#N/A</v>
      </c>
      <c r="CI200" s="262" t="e">
        <f>VLOOKUP(T_BilanSocial[[#This Row],[NumL]],T_Commission[#Data],COLUMN(T_Commission[Commentaire]),FALSE)</f>
        <v>#N/A</v>
      </c>
      <c r="CJ200" s="262" t="e">
        <f>IF(VLOOKUP(T_BilanSocial[[#This Row],[NumL]],T_Commission[#Data],COLUMN(T_Commission[Encadrant Email]),FALSE)="","",VLOOKUP(T_BilanSocial[[#This Row],[NumL]],T_Commission[#Data],COLUMN(T_Commission[Encadrant Email]),FALSE))</f>
        <v>#N/A</v>
      </c>
      <c r="CK200" s="340" t="e">
        <f>IF(T_BilanSocial[[#This Row],[Final]]&lt;&gt;"",VLOOKUP(T_BilanSocial[[#This Row],[NumL]],T_suiviDi[#Data],COLUMN((T_suiviDi[Statut])),FALSE),"")</f>
        <v>#N/A</v>
      </c>
    </row>
    <row r="201" spans="1:89" s="106" customFormat="1" ht="24.75" customHeight="1" x14ac:dyDescent="0.25">
      <c r="A201" s="160">
        <v>198</v>
      </c>
      <c r="B201" s="161" t="str">
        <f t="shared" si="34"/>
        <v/>
      </c>
      <c r="C201" s="162" t="s">
        <v>173</v>
      </c>
      <c r="D201" s="95" t="e">
        <f>IF(VLOOKUP(T_BilanSocial[[#This Row],[NumL]],T_TraitDi[#Data],COLUMN(T_TraitDi[[#This Row],[WebC]]),FALSE)="","",VLOOKUP(T_BilanSocial[[#This Row],[NumL]],T_TraitDi[#Data],COLUMN(T_TraitDi[[#This Row],[WebC]]),FALSE))</f>
        <v>#VALUE!</v>
      </c>
      <c r="E201" s="163" t="str">
        <f t="shared" si="35"/>
        <v>12 janvier 2021</v>
      </c>
      <c r="F201" s="96" t="str">
        <f>IF(T_BilanSocial[[#This Row],[Final]]&lt;&gt;"",VLOOKUP(T_BilanSocial[[#This Row],[NumL]],T_suiviDi[#Data],COLUMN((T_suiviDi[Civ.])),FALSE),"")</f>
        <v/>
      </c>
      <c r="G201" s="96" t="str">
        <f>IF(T_BilanSocial[[#This Row],[Final]]&lt;&gt;"",VLOOKUP(T_BilanSocial[[#This Row],[NumL]],T_suiviDi[#Data],COLUMN((T_suiviDi[Nom])),FALSE),"")</f>
        <v/>
      </c>
      <c r="H201" s="96" t="str">
        <f>IF(T_BilanSocial[[#This Row],[Final]]&lt;&gt;"",VLOOKUP(T_BilanSocial[[#This Row],[NumL]],T_suiviDi[#Data],COLUMN((T_suiviDi[Prénom])),FALSE),"")</f>
        <v/>
      </c>
      <c r="I201" s="96" t="str">
        <f>IFERROR(VLOOKUP(T_BilanSocial[[#This Row],[Zone_Bilan]],T_P_BilanSocial[#Data],COLUMN(T_P_BilanSocial[[#This Row],[Numero_SIHAM]]),FALSE),"")</f>
        <v/>
      </c>
      <c r="J201" s="96" t="str">
        <f>IFERROR(VLOOKUP(T_BilanSocial[[#This Row],[Zone_Bilan]],T_P_BilanSocial[#Data],COLUMN(T_P_BilanSocial[[#This Row],[Sexe]]),FALSE),"")</f>
        <v/>
      </c>
      <c r="K201" s="97" t="str">
        <f>IFERROR(VLOOKUP(T_BilanSocial[[#This Row],[Zone_Bilan]],T_P_BilanSocial[#Data],COLUMN(T_P_BilanSocial[[#This Row],[Categorie]]),FALSE),"")</f>
        <v/>
      </c>
      <c r="L201" s="96" t="str">
        <f>IFERROR(VLOOKUP(T_BilanSocial[[#This Row],[Zone_Bilan]],T_P_BilanSocial[#Data],COLUMN(T_P_BilanSocial[[#This Row],[Statut]]),FALSE),"")</f>
        <v/>
      </c>
      <c r="M201" s="96" t="str">
        <f>IFERROR(VLOOKUP(T_BilanSocial[[#This Row],[Zone_Bilan]],T_P_BilanSocial[#Data],COLUMN(T_P_BilanSocial[[#This Row],[Filiere]]),FALSE),"")</f>
        <v/>
      </c>
      <c r="N201" s="96" t="e">
        <f>VLOOKUP(T_BilanSocial[[#This Row],[NumL]],T_TraitDi[#Data],COLUMN(T_TraitDi[EXP]),FALSE)</f>
        <v>#N/A</v>
      </c>
      <c r="O201" s="96" t="e">
        <f>VLOOKUP(T_BilanSocial[[#This Row],[NumL]],T_TraitDi[#Data],COLUMN(T_TraitDi[FORM]),FALSE)</f>
        <v>#N/A</v>
      </c>
      <c r="P201" s="96" t="str">
        <f>IF(T_BilanSocial[[#This Row],[Final]]&lt;&gt;"",VLOOKUP(T_BilanSocial[[#This Row],[NumL]],T_suiviDi[#Data],COLUMN((T_suiviDi[Email])),FALSE),"")</f>
        <v/>
      </c>
      <c r="Q201" s="164" t="e">
        <f t="shared" si="28"/>
        <v>#N/A</v>
      </c>
      <c r="R201" s="164" t="e">
        <f t="shared" si="29"/>
        <v>#N/A</v>
      </c>
      <c r="S201" s="164" t="e">
        <f>IF(VLOOKUP(T_BilanSocial[[#This Row],[NumL]],T_suiviDi[#Data],COLUMN(T_suiviDi[[#This Row],[Service ]]),FALSE)="","",VLOOKUP(T_BilanSocial[[#This Row],[NumL]],T_suiviDi[#Data],COLUMN(T_suiviDi[[#This Row],[Service ]]),FALSE))</f>
        <v>#VALUE!</v>
      </c>
      <c r="T201" s="164" t="str">
        <f t="shared" si="36"/>
        <v>01 septembre 2021</v>
      </c>
      <c r="U201" s="164" t="str">
        <f t="shared" si="37"/>
        <v>30 novembre 2021</v>
      </c>
      <c r="V201" s="164" t="str">
        <f t="shared" si="33"/>
        <v>30 novembre 2021</v>
      </c>
      <c r="W201" s="176" t="e">
        <f>IF(VLOOKUP(T_BilanSocial[[#This Row],[NumL]],T_TraitDi[#Data],COLUMN(T_TraitDi[[#This Row],[M1]]),FALSE)="","",VLOOKUP(T_BilanSocial[[#This Row],[NumL]],T_TraitDi[#Data],COLUMN(T_TraitDi[[#This Row],[M1]]),FALSE))</f>
        <v>#VALUE!</v>
      </c>
      <c r="X201" s="176" t="e">
        <f>IF(VLOOKUP(T_BilanSocial[[#This Row],[NumL]],T_TraitDi[#Data],COLUMN(T_TraitDi[[#This Row],[M2]]),FALSE)="","",VLOOKUP(T_BilanSocial[[#This Row],[NumL]],T_TraitDi[#Data],COLUMN(T_TraitDi[[#This Row],[M2]]),FALSE))</f>
        <v>#VALUE!</v>
      </c>
      <c r="Y201" s="176" t="e">
        <f>IF(VLOOKUP(T_BilanSocial[[#This Row],[NumL]],T_TraitDi[#Data],COLUMN(T_TraitDi[[#This Row],[M3]]),FALSE)="","",VLOOKUP(T_BilanSocial[[#This Row],[NumL]],T_TraitDi[#Data],COLUMN(T_TraitDi[[#This Row],[M3]]),FALSE))</f>
        <v>#VALUE!</v>
      </c>
      <c r="Z201" s="176" t="str">
        <f t="shared" si="39"/>
        <v/>
      </c>
      <c r="AA201" s="176" t="e">
        <f>IF(VLOOKUP(T_BilanSocial[[#This Row],[NumL]],T_TraitDi[#Data],COLUMN(T_TraitDi[[#This Row],[M5]]),FALSE)="","",VLOOKUP(T_BilanSocial[[#This Row],[NumL]],T_TraitDi[#Data],COLUMN(T_TraitDi[[#This Row],[M5]]),FALSE))</f>
        <v>#VALUE!</v>
      </c>
      <c r="AB201" s="176" t="e">
        <f>IF(VLOOKUP(T_BilanSocial[[#This Row],[NumL]],T_TraitDi[#Data],COLUMN(T_TraitDi[[#This Row],[M6]]),FALSE)="","",VLOOKUP(T_BilanSocial[[#This Row],[NumL]],T_TraitDi[#Data],COLUMN(T_TraitDi[[#This Row],[M6]]),FALSE))</f>
        <v>#VALUE!</v>
      </c>
      <c r="AC201" s="165" t="e">
        <f t="shared" si="38"/>
        <v>#VALUE!</v>
      </c>
      <c r="AD201" s="188" t="str">
        <f>IFERROR(TEXT(VLOOKUP(T_BilanSocial[[#This Row],[NumL]],T_TraitDi[#Data],COLUMN(T_TraitDi[[#This Row],[Q2]]),FALSE),"###%"),"")</f>
        <v/>
      </c>
      <c r="AE201" s="97" t="e">
        <f>VLOOKUP(T_BilanSocial[[#This Row],[NumL]],T_TraitDi[#Data],COLUMN(T_TraitDi[[#This Row],[Reg Ponct]]),FALSE)</f>
        <v>#VALUE!</v>
      </c>
      <c r="AF201" s="97" t="e">
        <f>VLOOKUP(T_BilanSocial[NumL],T_TraitDi[#Data],COLUMN(T_TraitDi[[#This Row],[Jours flottants]]),FALSE)</f>
        <v>#VALUE!</v>
      </c>
      <c r="AG201" s="97" t="str">
        <f>IFERROR(VLOOKUP(T_BilanSocial[[#This Row],[NumL]],T_TraitDi[#Data],COLUMN(T_TraitDi[[#This Row],[Lundi]]),FALSE),"")</f>
        <v/>
      </c>
      <c r="AH201" s="172" t="e">
        <f>IF(VLOOKUP(T_BilanSocial[[#This Row],[NumL]],T_TraitDi[#Data],COLUMN(T_TraitDi[[#This Row],[Colonne3]]),FALSE)=0,"",TEXT(IFERROR(VLOOKUP(T_BilanSocial[[#This Row],[NumL]],T_TraitDi[#Data],COLUMN(T_TraitDi[[#This Row],[Colonne3]]),FALSE),""),"[hh]:mm"))</f>
        <v>#VALUE!</v>
      </c>
      <c r="AI201" s="172" t="e">
        <f>IF(VLOOKUP(T_BilanSocial[[#This Row],[NumL]],T_TraitDi[#Data],COLUMN(T_TraitDi[[#This Row],[Colonne4]]),FALSE)=0,"",TEXT(IFERROR(VLOOKUP(T_BilanSocial[[#This Row],[NumL]],T_TraitDi[#Data],COLUMN(T_TraitDi[[#This Row],[Colonne4]]),FALSE),""),"[hh]:mm"))</f>
        <v>#VALUE!</v>
      </c>
      <c r="AJ201" s="172" t="e">
        <f>IF(VLOOKUP(T_BilanSocial[[#This Row],[NumL]],T_TraitDi[#Data],COLUMN(T_TraitDi[[#This Row],[Colonne5]]),FALSE)=0,"",TEXT(IFERROR(VLOOKUP(T_BilanSocial[[#This Row],[NumL]],T_TraitDi[#Data],COLUMN(T_TraitDi[[#This Row],[Colonne5]]),FALSE),""),"[hh]:mm"))</f>
        <v>#VALUE!</v>
      </c>
      <c r="AK201" s="172" t="e">
        <f>IF(VLOOKUP(T_BilanSocial[[#This Row],[NumL]],T_TraitDi[#Data],COLUMN(T_TraitDi[[#This Row],[Colonne6]]),FALSE)=0,"",TEXT(IFERROR(VLOOKUP(T_BilanSocial[[#This Row],[NumL]],T_TraitDi[#Data],COLUMN(T_TraitDi[[#This Row],[Colonne6]]),FALSE),""),"[hh]:mm"))</f>
        <v>#VALUE!</v>
      </c>
      <c r="AL201" s="172" t="e">
        <f>IF(VLOOKUP(T_BilanSocial[[#This Row],[NumL]],T_TraitDi[#Data],COLUMN(T_TraitDi[[#This Row],[Colonne7]]),FALSE)=0,"",TEXT(IFERROR(VLOOKUP(T_BilanSocial[[#This Row],[NumL]],T_TraitDi[#Data],COLUMN(T_TraitDi[[#This Row],[Colonne7]]),FALSE),""),"[hh]:mm"))</f>
        <v>#VALUE!</v>
      </c>
      <c r="AM201" s="172" t="e">
        <f>IF(VLOOKUP(T_BilanSocial[[#This Row],[NumL]],T_TraitDi[#Data],COLUMN(T_TraitDi[[#This Row],[Colonne8]]),FALSE)=0,"",TEXT(IFERROR(VLOOKUP(T_BilanSocial[[#This Row],[NumL]],T_TraitDi[#Data],COLUMN(T_TraitDi[[#This Row],[Colonne8]]),FALSE),""),"[hh]:mm"))</f>
        <v>#VALUE!</v>
      </c>
      <c r="AN201" s="172" t="str">
        <f>IFERROR(VLOOKUP(T_BilanSocial[[#This Row],[NumL]],T_TraitDi[#Data],COLUMN(T_TraitDi[[#This Row],[Mardi]]),FALSE),"")</f>
        <v/>
      </c>
      <c r="AO201" s="172" t="e">
        <f>IF(VLOOKUP(T_BilanSocial[[#This Row],[NumL]],T_TraitDi[#Data],COLUMN(T_TraitDi[[#This Row],[Colonne1]]),FALSE)=0,"",TEXT(IFERROR(VLOOKUP(T_BilanSocial[[#This Row],[NumL]],T_TraitDi[#Data],COLUMN(T_TraitDi[[#This Row],[Colonne1]]),FALSE),""),"[hh]:mm"))</f>
        <v>#VALUE!</v>
      </c>
      <c r="AP201" s="172" t="e">
        <f>IF(VLOOKUP(T_BilanSocial[[#This Row],[NumL]],T_TraitDi[#Data],COLUMN(T_TraitDi[[#This Row],[Colonne9]]),FALSE)=0,"",TEXT(IFERROR(VLOOKUP(T_BilanSocial[[#This Row],[NumL]],T_TraitDi[#Data],COLUMN(T_TraitDi[[#This Row],[Colonne9]]),FALSE),""),"[hh]:mm"))</f>
        <v>#VALUE!</v>
      </c>
      <c r="AQ201" s="172" t="str">
        <f>IFERROR(VLOOKUP(T_BilanSocial[[#This Row],[NumL]],T_TraitDi[#Data],COLUMN(T_TraitDi[[#This Row],[Colonne10]]),FALSE),"")</f>
        <v/>
      </c>
      <c r="AR201" s="172" t="e">
        <f>IF(VLOOKUP(T_BilanSocial[[#This Row],[NumL]],T_TraitDi[#Data],COLUMN(T_TraitDi[[#This Row],[Colonne11]]),FALSE)=0,"",TEXT(IFERROR(VLOOKUP(T_BilanSocial[[#This Row],[NumL]],T_TraitDi[#Data],COLUMN(T_TraitDi[[#This Row],[Colonne11]]),FALSE),""),"[hh]:mm"))</f>
        <v>#VALUE!</v>
      </c>
      <c r="AS201" s="172" t="e">
        <f>IF(VLOOKUP(T_BilanSocial[[#This Row],[NumL]],T_TraitDi[#Data],COLUMN(T_TraitDi[[#This Row],[Colonne12]]),FALSE)=0,"",TEXT(IFERROR(VLOOKUP(T_BilanSocial[[#This Row],[NumL]],T_TraitDi[#Data],COLUMN(T_TraitDi[[#This Row],[Colonne12]]),FALSE),""),"[hh]:mm"))</f>
        <v>#VALUE!</v>
      </c>
      <c r="AT201" s="172" t="e">
        <f>IF(VLOOKUP(T_BilanSocial[[#This Row],[NumL]],T_TraitDi[#Data],COLUMN(T_TraitDi[[#This Row],[Colonne14]]),FALSE)=0,"",TEXT(IFERROR(VLOOKUP(T_BilanSocial[[#This Row],[NumL]],T_TraitDi[#Data],COLUMN(T_TraitDi[[#This Row],[Colonne14]]),FALSE),""),"[hh]:mm"))</f>
        <v>#VALUE!</v>
      </c>
      <c r="AU201" s="172" t="str">
        <f>IFERROR(VLOOKUP(T_BilanSocial[[#This Row],[NumL]],T_TraitDi[#Data],COLUMN(T_TraitDi[[#This Row],[Mercredi]]),FALSE),"")</f>
        <v/>
      </c>
      <c r="AV201" s="172" t="e">
        <f>IF(VLOOKUP(T_BilanSocial[[#This Row],[NumL]],T_TraitDi[#Data],COLUMN(T_TraitDi[[#This Row],[Colonne15]]),FALSE)=0,"",TEXT(IFERROR(VLOOKUP(T_BilanSocial[[#This Row],[NumL]],T_TraitDi[#Data],COLUMN(T_TraitDi[[#This Row],[Colonne15]]),FALSE),""),"[hh]:mm"))</f>
        <v>#VALUE!</v>
      </c>
      <c r="AW201" s="172" t="e">
        <f>IF(VLOOKUP(T_BilanSocial[[#This Row],[NumL]],T_TraitDi[#Data],COLUMN(T_TraitDi[[#This Row],[Colonne16]]),FALSE)=0,"",TEXT(IFERROR(VLOOKUP(T_BilanSocial[[#This Row],[NumL]],T_TraitDi[#Data],COLUMN(T_TraitDi[[#This Row],[Colonne16]]),FALSE),""),"[hh]:mm"))</f>
        <v>#VALUE!</v>
      </c>
      <c r="AX201" s="172" t="str">
        <f>IFERROR(VLOOKUP(T_BilanSocial[[#This Row],[NumL]],T_TraitDi[#Data],COLUMN(T_TraitDi[[#This Row],[Colonne17]]),FALSE),"")</f>
        <v/>
      </c>
      <c r="AY201" s="172" t="e">
        <f>IF(VLOOKUP(T_BilanSocial[[#This Row],[NumL]],T_TraitDi[#Data],COLUMN(T_TraitDi[[#This Row],[Colonne18]]),FALSE)=0,"",TEXT(IFERROR(VLOOKUP(T_BilanSocial[[#This Row],[NumL]],T_TraitDi[#Data],COLUMN(T_TraitDi[[#This Row],[Colonne18]]),FALSE),""),"[hh]:mm"))</f>
        <v>#VALUE!</v>
      </c>
      <c r="AZ201" s="172" t="e">
        <f>IF(VLOOKUP(T_BilanSocial[[#This Row],[NumL]],T_TraitDi[#Data],COLUMN(T_TraitDi[[#This Row],[Colonne19]]),FALSE)=0,"",TEXT(IFERROR(VLOOKUP(T_BilanSocial[[#This Row],[NumL]],T_TraitDi[#Data],COLUMN(T_TraitDi[[#This Row],[Colonne19]]),FALSE),""),"[hh]:mm"))</f>
        <v>#VALUE!</v>
      </c>
      <c r="BA201" s="172" t="e">
        <f>IF(VLOOKUP(T_BilanSocial[[#This Row],[NumL]],T_TraitDi[#Data],COLUMN(T_TraitDi[[#This Row],[Colonne20]]),FALSE)=0,"",TEXT(IFERROR(VLOOKUP(T_BilanSocial[[#This Row],[NumL]],T_TraitDi[#Data],COLUMN(T_TraitDi[[#This Row],[Colonne20]]),FALSE),""),"[hh]:mm"))</f>
        <v>#VALUE!</v>
      </c>
      <c r="BB201" s="178" t="str">
        <f>IFERROR(VLOOKUP(T_BilanSocial[[#This Row],[NumL]],T_TraitDi[#Data],COLUMN(T_TraitDi[[#This Row],[Jeudi]]),FALSE),"")</f>
        <v/>
      </c>
      <c r="BC201" s="178" t="e">
        <f>IF(VLOOKUP(T_BilanSocial[[#This Row],[NumL]],T_TraitDi[#Data],COLUMN(T_TraitDi[[#This Row],[Colonne21]]),FALSE)=0,"",TEXT(IFERROR(VLOOKUP(T_BilanSocial[[#This Row],[NumL]],T_TraitDi[#Data],COLUMN(T_TraitDi[[#This Row],[Colonne21]]),FALSE),""),"[hh]:mm"))</f>
        <v>#VALUE!</v>
      </c>
      <c r="BD201" s="178" t="e">
        <f>IF(VLOOKUP(T_BilanSocial[[#This Row],[NumL]],T_TraitDi[#Data],COLUMN(T_TraitDi[[#This Row],[Colonne22]]),FALSE)=0,"",TEXT(IFERROR(VLOOKUP(T_BilanSocial[[#This Row],[NumL]],T_TraitDi[#Data],COLUMN(T_TraitDi[[#This Row],[Colonne22]]),FALSE),""),"[hh]:mm"))</f>
        <v>#VALUE!</v>
      </c>
      <c r="BE201" s="178" t="str">
        <f>IFERROR(VLOOKUP(T_BilanSocial[[#This Row],[NumL]],T_TraitDi[#Data],COLUMN(T_TraitDi[[#This Row],[Colonne23]]),FALSE),"")</f>
        <v/>
      </c>
      <c r="BF201" s="178" t="e">
        <f>IF(VLOOKUP(T_BilanSocial[[#This Row],[NumL]],T_TraitDi[#Data],COLUMN(T_TraitDi[[#This Row],[Colonne24]]),FALSE)=0,"",TEXT(IFERROR(VLOOKUP(T_BilanSocial[[#This Row],[NumL]],T_TraitDi[#Data],COLUMN(T_TraitDi[[#This Row],[Colonne24]]),FALSE),""),"[hh]:mm"))</f>
        <v>#VALUE!</v>
      </c>
      <c r="BG201" s="178" t="e">
        <f>IF(VLOOKUP(T_BilanSocial[[#This Row],[NumL]],T_TraitDi[#Data],COLUMN(T_TraitDi[[#This Row],[Colonne25]]),FALSE)=0,"",TEXT(IFERROR(VLOOKUP(T_BilanSocial[[#This Row],[NumL]],T_TraitDi[#Data],COLUMN(T_TraitDi[[#This Row],[Colonne25]]),FALSE),""),"[hh]:mm"))</f>
        <v>#VALUE!</v>
      </c>
      <c r="BH201" s="178" t="e">
        <f>IF(VLOOKUP(T_BilanSocial[[#This Row],[NumL]],T_TraitDi[#Data],COLUMN(T_TraitDi[[#This Row],[Colonne26]]),FALSE)=0,"",TEXT(IFERROR(VLOOKUP(T_BilanSocial[[#This Row],[NumL]],T_TraitDi[#Data],COLUMN(T_TraitDi[[#This Row],[Colonne26]]),FALSE),""),"[hh]:mm"))</f>
        <v>#VALUE!</v>
      </c>
      <c r="BI201" s="172" t="str">
        <f>IFERROR(VLOOKUP(T_BilanSocial[[#This Row],[NumL]],T_TraitDi[#Data],COLUMN(T_TraitDi[[#This Row],[Vendredi]]),FALSE),"")</f>
        <v/>
      </c>
      <c r="BJ201" s="172" t="e">
        <f>IF(VLOOKUP(T_BilanSocial[[#This Row],[NumL]],T_TraitDi[#Data],COLUMN(T_TraitDi[[#This Row],[Colonne27]]),FALSE)=0,"",TEXT(IFERROR(VLOOKUP(T_BilanSocial[[#This Row],[NumL]],T_TraitDi[#Data],COLUMN(T_TraitDi[[#This Row],[Colonne27]]),FALSE),""),"[hh]:mm"))</f>
        <v>#VALUE!</v>
      </c>
      <c r="BK201" s="172" t="e">
        <f>IF(VLOOKUP(T_BilanSocial[[#This Row],[NumL]],T_TraitDi[#Data],COLUMN(T_TraitDi[[#This Row],[Colonne28]]),FALSE)=0,"",TEXT(IFERROR(VLOOKUP(T_BilanSocial[[#This Row],[NumL]],T_TraitDi[#Data],COLUMN(T_TraitDi[[#This Row],[Colonne28]]),FALSE),""),"[hh]:mm"))</f>
        <v>#VALUE!</v>
      </c>
      <c r="BL201" s="172" t="str">
        <f>IFERROR(VLOOKUP(T_BilanSocial[[#This Row],[NumL]],T_TraitDi[#Data],COLUMN(T_TraitDi[[#This Row],[Colonne29]]),FALSE),"")</f>
        <v/>
      </c>
      <c r="BM201" s="172" t="e">
        <f>IF(VLOOKUP(T_BilanSocial[[#This Row],[NumL]],T_TraitDi[#Data],COLUMN(T_TraitDi[[#This Row],[Colonne30]]),FALSE)=0,"",TEXT(IFERROR(VLOOKUP(T_BilanSocial[[#This Row],[NumL]],T_TraitDi[#Data],COLUMN(T_TraitDi[[#This Row],[Colonne30]]),FALSE),""),"[hh]:mm"))</f>
        <v>#VALUE!</v>
      </c>
      <c r="BN201" s="172" t="e">
        <f>IF(VLOOKUP(T_BilanSocial[[#This Row],[NumL]],T_TraitDi[#Data],COLUMN(T_TraitDi[[#This Row],[Colonne31]]),FALSE)=0,"",TEXT(IFERROR(VLOOKUP(T_BilanSocial[[#This Row],[NumL]],T_TraitDi[#Data],COLUMN(T_TraitDi[[#This Row],[Colonne31]]),FALSE),""),"[hh]:mm"))</f>
        <v>#VALUE!</v>
      </c>
      <c r="BO201" s="172" t="e">
        <f>IF(VLOOKUP(T_BilanSocial[[#This Row],[NumL]],T_TraitDi[#Data],COLUMN(T_TraitDi[[#This Row],[Colonne32]]),FALSE)=0,"",TEXT(IFERROR(VLOOKUP(T_BilanSocial[[#This Row],[NumL]],T_TraitDi[#Data],COLUMN(T_TraitDi[[#This Row],[Colonne32]]),FALSE),""),"[hh]:mm"))</f>
        <v>#VALUE!</v>
      </c>
      <c r="BP201" s="172" t="e">
        <f>VLOOKUP(T_BilanSocial[[#This Row],[NumL]],T_TraitDi[#Data],COLUMN(T_TraitDi[NbJTot]),FALSE)</f>
        <v>#N/A</v>
      </c>
      <c r="BQ201" s="174" t="str">
        <f>IFERROR(VLOOKUP(T_BilanSocial[[#This Row],[NumL]],T_TraitDi[#Data],COLUMN(T_TraitDi[[#This Row],[NbJTW]]),FALSE),"")</f>
        <v/>
      </c>
      <c r="BR201" s="174" t="e">
        <f>IF(VLOOKUP(T_BilanSocial[[#This Row],[NumL]],T_TraitDi[#Data],COLUMN(T_TraitDi[[#This Row],[NbhTW]]),FALSE)=0,"",TEXT(IFERROR(VLOOKUP(T_BilanSocial[[#This Row],[NumL]],T_TraitDi[#Data],COLUMN(T_TraitDi[[#This Row],[NbhTW]]),FALSE),""),"[hh]:mm"))</f>
        <v>#VALUE!</v>
      </c>
      <c r="BS201" s="174" t="e">
        <f>IF(VLOOKUP(T_BilanSocial[[#This Row],[NumL]],T_TraitDi[#Data],COLUMN(T_TraitDi[[#This Row],[Nbhheb]]),FALSE)=0,"",TEXT(IFERROR(VLOOKUP($A201,T_TraitDi[#Data],COLUMN(T_TraitDi[[#This Row],[Nbhheb]]),FALSE),""),"[hh]:mm"))</f>
        <v>#VALUE!</v>
      </c>
      <c r="BT201" s="182" t="str">
        <f>IFERROR(VLOOKUP(VLOOKUP($A201,T_TraitDi[#Data],COLUMN(T_TraitDi[[#This Row],[Type1]]),FALSE),TypeTW,2,FALSE),"")</f>
        <v/>
      </c>
      <c r="BU201" s="182" t="str">
        <f>IFERROR(VLOOKUP($A201,T_TraitDi[#Data],COLUMN(T_TraitDi[[#This Row],[Rue1]]),FALSE),"")</f>
        <v/>
      </c>
      <c r="BV201" s="173" t="str">
        <f>IFERROR(VLOOKUP($A201,T_TraitDi[#Data],COLUMN(T_TraitDi[[#This Row],[CP1]]),FALSE),"")</f>
        <v/>
      </c>
      <c r="BW201" s="173" t="str">
        <f>IFERROR(VLOOKUP($A201,T_TraitDi[#Data],COLUMN(T_TraitDi[[#This Row],[VILLE1]]),FALSE),"")</f>
        <v/>
      </c>
      <c r="BX201" s="182" t="str">
        <f>IFERROR(VLOOKUP(VLOOKUP($A201,T_TraitDi[#Data],COLUMN(T_TraitDi[[#This Row],[Type2]]),FALSE),TypeTW,2,FALSE),"")</f>
        <v/>
      </c>
      <c r="BY201" s="182" t="str">
        <f>IFERROR(VLOOKUP($A201,T_TraitDi[#Data],COLUMN(T_TraitDi[[#This Row],[Rue2]]),FALSE),"")</f>
        <v/>
      </c>
      <c r="BZ201" s="173" t="str">
        <f>IFERROR(VLOOKUP($A201,T_TraitDi[#Data],COLUMN(T_TraitDi[[#This Row],[CP2]]),FALSE),"")</f>
        <v/>
      </c>
      <c r="CA201" s="173" t="str">
        <f>IFERROR(VLOOKUP($A201,T_TraitDi[#Data],COLUMN(T_TraitDi[[#This Row],[VILLE2]]),FALSE),"")</f>
        <v/>
      </c>
      <c r="CB201" s="182" t="str">
        <f>IF(VLOOKUP(T_BilanSocial[[#This Row],[NumL]],T_Equipement[#Data],COLUMN(T_Equipement[[#This Row],[PC]]),FALSE)="","Aucun équipement spécifique directement lié au télétravail",VLOOKUP(T_BilanSocial[[#This Row],[NumL]],T_Equipement[#Data],COLUMN(T_Equipement[[#This Row],[PC]]),FALSE))</f>
        <v xml:space="preserve">16-368	</v>
      </c>
      <c r="CC201" s="166" t="str">
        <f>IFERROR(IF(VLOOKUP(T_BilanSocial[[#This Row],[NumL]],T_TraitDi[#Data],COLUMN(T_TraitDi[[#This Row],[Plan]]),FALSE)="OK","Un planning spécifique de télétravail est annexé à la présente convention.",""),"")</f>
        <v/>
      </c>
      <c r="CD201" s="258" t="s">
        <v>3353</v>
      </c>
      <c r="CE201" s="164" t="e">
        <f>IF(VLOOKUP(T_BilanSocial[[#This Row],[NumL]],T_suiviDi[#Data],COLUMN(T_suiviDi[[#This Row],[Entité]]),FALSE)="","",VLOOKUP(T_BilanSocial[[#This Row],[NumL]],T_suiviDi[#Data],COLUMN(T_suiviDi[[#This Row],[Entité]]),FALSE))</f>
        <v>#VALUE!</v>
      </c>
      <c r="CF201" s="164" t="str">
        <f>IF(VLOOKUP(T_BilanSocial[[#This Row],[NumL]],T_Commission[#Data],COLUMN(T_Commission[[#This Row],[envoi confirm TW]]),FALSE)="","",VLOOKUP(T_BilanSocial[[#This Row],[NumL]],T_Commission[#Data],COLUMN(T_Commission[[#This Row],[envoi confirm TW]]),FALSE))</f>
        <v>Oui</v>
      </c>
      <c r="CG20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1" s="262" t="str">
        <f>T_BilanSocial[[#This Row],[Nom]]&amp;T_BilanSocial[[#This Row],[Prenom]]</f>
        <v/>
      </c>
      <c r="CI201" s="262">
        <f>VLOOKUP(T_BilanSocial[[#This Row],[NumL]],T_Commission[#Data],COLUMN(T_Commission[Commentaire]),FALSE)</f>
        <v>0</v>
      </c>
      <c r="CJ201" s="262" t="str">
        <f>IF(VLOOKUP(T_BilanSocial[[#This Row],[NumL]],T_Commission[#Data],COLUMN(T_Commission[Encadrant Email]),FALSE)="","",VLOOKUP(T_BilanSocial[[#This Row],[NumL]],T_Commission[#Data],COLUMN(T_Commission[Encadrant Email]),FALSE))</f>
        <v/>
      </c>
      <c r="CK201" s="340" t="str">
        <f>IF(T_BilanSocial[[#This Row],[Final]]&lt;&gt;"",VLOOKUP(T_BilanSocial[[#This Row],[NumL]],T_suiviDi[#Data],COLUMN((T_suiviDi[Statut])),FALSE),"")</f>
        <v/>
      </c>
    </row>
    <row r="202" spans="1:89" s="106" customFormat="1" ht="24.75" customHeight="1" x14ac:dyDescent="0.25">
      <c r="A202" s="160">
        <v>199</v>
      </c>
      <c r="B202" s="161" t="e">
        <f t="shared" si="34"/>
        <v>#N/A</v>
      </c>
      <c r="C202" s="162" t="s">
        <v>173</v>
      </c>
      <c r="D202" s="95" t="e">
        <f>IF(VLOOKUP(T_BilanSocial[[#This Row],[NumL]],T_TraitDi[#Data],COLUMN(T_TraitDi[[#This Row],[WebC]]),FALSE)="","",VLOOKUP(T_BilanSocial[[#This Row],[NumL]],T_TraitDi[#Data],COLUMN(T_TraitDi[[#This Row],[WebC]]),FALSE))</f>
        <v>#VALUE!</v>
      </c>
      <c r="E202" s="163" t="str">
        <f t="shared" si="35"/>
        <v>12 janvier 2021</v>
      </c>
      <c r="F202" s="96" t="e">
        <f>IF(T_BilanSocial[[#This Row],[Final]]&lt;&gt;"",VLOOKUP(T_BilanSocial[[#This Row],[NumL]],T_suiviDi[#Data],COLUMN((T_suiviDi[Civ.])),FALSE),"")</f>
        <v>#N/A</v>
      </c>
      <c r="G202" s="96" t="e">
        <f>IF(T_BilanSocial[[#This Row],[Final]]&lt;&gt;"",VLOOKUP(T_BilanSocial[[#This Row],[NumL]],T_suiviDi[#Data],COLUMN((T_suiviDi[Nom])),FALSE),"")</f>
        <v>#N/A</v>
      </c>
      <c r="H202" s="96" t="e">
        <f>IF(T_BilanSocial[[#This Row],[Final]]&lt;&gt;"",VLOOKUP(T_BilanSocial[[#This Row],[NumL]],T_suiviDi[#Data],COLUMN((T_suiviDi[Prénom])),FALSE),"")</f>
        <v>#N/A</v>
      </c>
      <c r="I202" s="96" t="str">
        <f>IFERROR(VLOOKUP(T_BilanSocial[[#This Row],[Zone_Bilan]],T_P_BilanSocial[#Data],COLUMN(T_P_BilanSocial[[#This Row],[Numero_SIHAM]]),FALSE),"")</f>
        <v/>
      </c>
      <c r="J202" s="96" t="str">
        <f>IFERROR(VLOOKUP(T_BilanSocial[[#This Row],[Zone_Bilan]],T_P_BilanSocial[#Data],COLUMN(T_P_BilanSocial[[#This Row],[Sexe]]),FALSE),"")</f>
        <v/>
      </c>
      <c r="K202" s="97" t="str">
        <f>IFERROR(VLOOKUP(T_BilanSocial[[#This Row],[Zone_Bilan]],T_P_BilanSocial[#Data],COLUMN(T_P_BilanSocial[[#This Row],[Categorie]]),FALSE),"")</f>
        <v/>
      </c>
      <c r="L202" s="96" t="str">
        <f>IFERROR(VLOOKUP(T_BilanSocial[[#This Row],[Zone_Bilan]],T_P_BilanSocial[#Data],COLUMN(T_P_BilanSocial[[#This Row],[Statut]]),FALSE),"")</f>
        <v/>
      </c>
      <c r="M202" s="96" t="str">
        <f>IFERROR(VLOOKUP(T_BilanSocial[[#This Row],[Zone_Bilan]],T_P_BilanSocial[#Data],COLUMN(T_P_BilanSocial[[#This Row],[Filiere]]),FALSE),"")</f>
        <v/>
      </c>
      <c r="N202" s="96" t="e">
        <f>VLOOKUP(T_BilanSocial[[#This Row],[NumL]],T_TraitDi[#Data],COLUMN(T_TraitDi[EXP]),FALSE)</f>
        <v>#N/A</v>
      </c>
      <c r="O202" s="96" t="e">
        <f>VLOOKUP(T_BilanSocial[[#This Row],[NumL]],T_TraitDi[#Data],COLUMN(T_TraitDi[FORM]),FALSE)</f>
        <v>#N/A</v>
      </c>
      <c r="P202" s="96" t="e">
        <f>IF(T_BilanSocial[[#This Row],[Final]]&lt;&gt;"",VLOOKUP(T_BilanSocial[[#This Row],[NumL]],T_suiviDi[#Data],COLUMN((T_suiviDi[Email])),FALSE),"")</f>
        <v>#N/A</v>
      </c>
      <c r="Q202" s="164" t="e">
        <f t="shared" si="28"/>
        <v>#N/A</v>
      </c>
      <c r="R202" s="164" t="e">
        <f t="shared" si="29"/>
        <v>#N/A</v>
      </c>
      <c r="S202" s="164" t="e">
        <f>IF(VLOOKUP(T_BilanSocial[[#This Row],[NumL]],T_suiviDi[#Data],COLUMN(T_suiviDi[[#This Row],[Service ]]),FALSE)="","",VLOOKUP(T_BilanSocial[[#This Row],[NumL]],T_suiviDi[#Data],COLUMN(T_suiviDi[[#This Row],[Service ]]),FALSE))</f>
        <v>#VALUE!</v>
      </c>
      <c r="T202" s="164" t="str">
        <f t="shared" si="36"/>
        <v>01 septembre 2021</v>
      </c>
      <c r="U202" s="164" t="str">
        <f t="shared" si="37"/>
        <v>30 novembre 2021</v>
      </c>
      <c r="V202" s="164" t="str">
        <f t="shared" si="33"/>
        <v>30 novembre 2021</v>
      </c>
      <c r="W202" s="176" t="e">
        <f>IF(VLOOKUP(T_BilanSocial[[#This Row],[NumL]],T_TraitDi[#Data],COLUMN(T_TraitDi[[#This Row],[M1]]),FALSE)="","",VLOOKUP(T_BilanSocial[[#This Row],[NumL]],T_TraitDi[#Data],COLUMN(T_TraitDi[[#This Row],[M1]]),FALSE))</f>
        <v>#VALUE!</v>
      </c>
      <c r="X202" s="176" t="e">
        <f>IF(VLOOKUP(T_BilanSocial[[#This Row],[NumL]],T_TraitDi[#Data],COLUMN(T_TraitDi[[#This Row],[M2]]),FALSE)="","",VLOOKUP(T_BilanSocial[[#This Row],[NumL]],T_TraitDi[#Data],COLUMN(T_TraitDi[[#This Row],[M2]]),FALSE))</f>
        <v>#VALUE!</v>
      </c>
      <c r="Y202" s="176" t="e">
        <f>IF(VLOOKUP(T_BilanSocial[[#This Row],[NumL]],T_TraitDi[#Data],COLUMN(T_TraitDi[[#This Row],[M3]]),FALSE)="","",VLOOKUP(T_BilanSocial[[#This Row],[NumL]],T_TraitDi[#Data],COLUMN(T_TraitDi[[#This Row],[M3]]),FALSE))</f>
        <v>#VALUE!</v>
      </c>
      <c r="Z202" s="176" t="str">
        <f t="shared" si="39"/>
        <v/>
      </c>
      <c r="AA202" s="176" t="e">
        <f>IF(VLOOKUP(T_BilanSocial[[#This Row],[NumL]],T_TraitDi[#Data],COLUMN(T_TraitDi[[#This Row],[M5]]),FALSE)="","",VLOOKUP(T_BilanSocial[[#This Row],[NumL]],T_TraitDi[#Data],COLUMN(T_TraitDi[[#This Row],[M5]]),FALSE))</f>
        <v>#VALUE!</v>
      </c>
      <c r="AB202" s="176" t="e">
        <f>IF(VLOOKUP(T_BilanSocial[[#This Row],[NumL]],T_TraitDi[#Data],COLUMN(T_TraitDi[[#This Row],[M6]]),FALSE)="","",VLOOKUP(T_BilanSocial[[#This Row],[NumL]],T_TraitDi[#Data],COLUMN(T_TraitDi[[#This Row],[M6]]),FALSE))</f>
        <v>#VALUE!</v>
      </c>
      <c r="AC202" s="165" t="e">
        <f t="shared" si="38"/>
        <v>#VALUE!</v>
      </c>
      <c r="AD202" s="188" t="str">
        <f>IFERROR(TEXT(VLOOKUP(T_BilanSocial[[#This Row],[NumL]],T_TraitDi[#Data],COLUMN(T_TraitDi[[#This Row],[Q2]]),FALSE),"###%"),"")</f>
        <v/>
      </c>
      <c r="AE202" s="97" t="e">
        <f>VLOOKUP(T_BilanSocial[[#This Row],[NumL]],T_TraitDi[#Data],COLUMN(T_TraitDi[[#This Row],[Reg Ponct]]),FALSE)</f>
        <v>#VALUE!</v>
      </c>
      <c r="AF202" s="97" t="e">
        <f>VLOOKUP(T_BilanSocial[NumL],T_TraitDi[#Data],COLUMN(T_TraitDi[[#This Row],[Jours flottants]]),FALSE)</f>
        <v>#VALUE!</v>
      </c>
      <c r="AG202" s="97" t="str">
        <f>IFERROR(VLOOKUP(T_BilanSocial[[#This Row],[NumL]],T_TraitDi[#Data],COLUMN(T_TraitDi[[#This Row],[Lundi]]),FALSE),"")</f>
        <v/>
      </c>
      <c r="AH202" s="172" t="e">
        <f>IF(VLOOKUP(T_BilanSocial[[#This Row],[NumL]],T_TraitDi[#Data],COLUMN(T_TraitDi[[#This Row],[Colonne3]]),FALSE)=0,"",TEXT(IFERROR(VLOOKUP(T_BilanSocial[[#This Row],[NumL]],T_TraitDi[#Data],COLUMN(T_TraitDi[[#This Row],[Colonne3]]),FALSE),""),"[hh]:mm"))</f>
        <v>#VALUE!</v>
      </c>
      <c r="AI202" s="172" t="e">
        <f>IF(VLOOKUP(T_BilanSocial[[#This Row],[NumL]],T_TraitDi[#Data],COLUMN(T_TraitDi[[#This Row],[Colonne4]]),FALSE)=0,"",TEXT(IFERROR(VLOOKUP(T_BilanSocial[[#This Row],[NumL]],T_TraitDi[#Data],COLUMN(T_TraitDi[[#This Row],[Colonne4]]),FALSE),""),"[hh]:mm"))</f>
        <v>#VALUE!</v>
      </c>
      <c r="AJ202" s="172" t="e">
        <f>IF(VLOOKUP(T_BilanSocial[[#This Row],[NumL]],T_TraitDi[#Data],COLUMN(T_TraitDi[[#This Row],[Colonne5]]),FALSE)=0,"",TEXT(IFERROR(VLOOKUP(T_BilanSocial[[#This Row],[NumL]],T_TraitDi[#Data],COLUMN(T_TraitDi[[#This Row],[Colonne5]]),FALSE),""),"[hh]:mm"))</f>
        <v>#VALUE!</v>
      </c>
      <c r="AK202" s="172" t="e">
        <f>IF(VLOOKUP(T_BilanSocial[[#This Row],[NumL]],T_TraitDi[#Data],COLUMN(T_TraitDi[[#This Row],[Colonne6]]),FALSE)=0,"",TEXT(IFERROR(VLOOKUP(T_BilanSocial[[#This Row],[NumL]],T_TraitDi[#Data],COLUMN(T_TraitDi[[#This Row],[Colonne6]]),FALSE),""),"[hh]:mm"))</f>
        <v>#VALUE!</v>
      </c>
      <c r="AL202" s="172" t="e">
        <f>IF(VLOOKUP(T_BilanSocial[[#This Row],[NumL]],T_TraitDi[#Data],COLUMN(T_TraitDi[[#This Row],[Colonne7]]),FALSE)=0,"",TEXT(IFERROR(VLOOKUP(T_BilanSocial[[#This Row],[NumL]],T_TraitDi[#Data],COLUMN(T_TraitDi[[#This Row],[Colonne7]]),FALSE),""),"[hh]:mm"))</f>
        <v>#VALUE!</v>
      </c>
      <c r="AM202" s="172" t="e">
        <f>IF(VLOOKUP(T_BilanSocial[[#This Row],[NumL]],T_TraitDi[#Data],COLUMN(T_TraitDi[[#This Row],[Colonne8]]),FALSE)=0,"",TEXT(IFERROR(VLOOKUP(T_BilanSocial[[#This Row],[NumL]],T_TraitDi[#Data],COLUMN(T_TraitDi[[#This Row],[Colonne8]]),FALSE),""),"[hh]:mm"))</f>
        <v>#VALUE!</v>
      </c>
      <c r="AN202" s="172" t="str">
        <f>IFERROR(VLOOKUP(T_BilanSocial[[#This Row],[NumL]],T_TraitDi[#Data],COLUMN(T_TraitDi[[#This Row],[Mardi]]),FALSE),"")</f>
        <v/>
      </c>
      <c r="AO202" s="172" t="e">
        <f>IF(VLOOKUP(T_BilanSocial[[#This Row],[NumL]],T_TraitDi[#Data],COLUMN(T_TraitDi[[#This Row],[Colonne1]]),FALSE)=0,"",TEXT(IFERROR(VLOOKUP(T_BilanSocial[[#This Row],[NumL]],T_TraitDi[#Data],COLUMN(T_TraitDi[[#This Row],[Colonne1]]),FALSE),""),"[hh]:mm"))</f>
        <v>#VALUE!</v>
      </c>
      <c r="AP202" s="172" t="e">
        <f>IF(VLOOKUP(T_BilanSocial[[#This Row],[NumL]],T_TraitDi[#Data],COLUMN(T_TraitDi[[#This Row],[Colonne9]]),FALSE)=0,"",TEXT(IFERROR(VLOOKUP(T_BilanSocial[[#This Row],[NumL]],T_TraitDi[#Data],COLUMN(T_TraitDi[[#This Row],[Colonne9]]),FALSE),""),"[hh]:mm"))</f>
        <v>#VALUE!</v>
      </c>
      <c r="AQ202" s="172" t="str">
        <f>IFERROR(VLOOKUP(T_BilanSocial[[#This Row],[NumL]],T_TraitDi[#Data],COLUMN(T_TraitDi[[#This Row],[Colonne10]]),FALSE),"")</f>
        <v/>
      </c>
      <c r="AR202" s="172" t="e">
        <f>IF(VLOOKUP(T_BilanSocial[[#This Row],[NumL]],T_TraitDi[#Data],COLUMN(T_TraitDi[[#This Row],[Colonne11]]),FALSE)=0,"",TEXT(IFERROR(VLOOKUP(T_BilanSocial[[#This Row],[NumL]],T_TraitDi[#Data],COLUMN(T_TraitDi[[#This Row],[Colonne11]]),FALSE),""),"[hh]:mm"))</f>
        <v>#VALUE!</v>
      </c>
      <c r="AS202" s="172" t="e">
        <f>IF(VLOOKUP(T_BilanSocial[[#This Row],[NumL]],T_TraitDi[#Data],COLUMN(T_TraitDi[[#This Row],[Colonne12]]),FALSE)=0,"",TEXT(IFERROR(VLOOKUP(T_BilanSocial[[#This Row],[NumL]],T_TraitDi[#Data],COLUMN(T_TraitDi[[#This Row],[Colonne12]]),FALSE),""),"[hh]:mm"))</f>
        <v>#VALUE!</v>
      </c>
      <c r="AT202" s="172" t="e">
        <f>IF(VLOOKUP(T_BilanSocial[[#This Row],[NumL]],T_TraitDi[#Data],COLUMN(T_TraitDi[[#This Row],[Colonne14]]),FALSE)=0,"",TEXT(IFERROR(VLOOKUP(T_BilanSocial[[#This Row],[NumL]],T_TraitDi[#Data],COLUMN(T_TraitDi[[#This Row],[Colonne14]]),FALSE),""),"[hh]:mm"))</f>
        <v>#VALUE!</v>
      </c>
      <c r="AU202" s="172" t="str">
        <f>IFERROR(VLOOKUP(T_BilanSocial[[#This Row],[NumL]],T_TraitDi[#Data],COLUMN(T_TraitDi[[#This Row],[Mercredi]]),FALSE),"")</f>
        <v/>
      </c>
      <c r="AV202" s="172" t="e">
        <f>IF(VLOOKUP(T_BilanSocial[[#This Row],[NumL]],T_TraitDi[#Data],COLUMN(T_TraitDi[[#This Row],[Colonne15]]),FALSE)=0,"",TEXT(IFERROR(VLOOKUP(T_BilanSocial[[#This Row],[NumL]],T_TraitDi[#Data],COLUMN(T_TraitDi[[#This Row],[Colonne15]]),FALSE),""),"[hh]:mm"))</f>
        <v>#VALUE!</v>
      </c>
      <c r="AW202" s="172" t="e">
        <f>IF(VLOOKUP(T_BilanSocial[[#This Row],[NumL]],T_TraitDi[#Data],COLUMN(T_TraitDi[[#This Row],[Colonne16]]),FALSE)=0,"",TEXT(IFERROR(VLOOKUP(T_BilanSocial[[#This Row],[NumL]],T_TraitDi[#Data],COLUMN(T_TraitDi[[#This Row],[Colonne16]]),FALSE),""),"[hh]:mm"))</f>
        <v>#VALUE!</v>
      </c>
      <c r="AX202" s="172" t="str">
        <f>IFERROR(VLOOKUP(T_BilanSocial[[#This Row],[NumL]],T_TraitDi[#Data],COLUMN(T_TraitDi[[#This Row],[Colonne17]]),FALSE),"")</f>
        <v/>
      </c>
      <c r="AY202" s="172" t="e">
        <f>IF(VLOOKUP(T_BilanSocial[[#This Row],[NumL]],T_TraitDi[#Data],COLUMN(T_TraitDi[[#This Row],[Colonne18]]),FALSE)=0,"",TEXT(IFERROR(VLOOKUP(T_BilanSocial[[#This Row],[NumL]],T_TraitDi[#Data],COLUMN(T_TraitDi[[#This Row],[Colonne18]]),FALSE),""),"[hh]:mm"))</f>
        <v>#VALUE!</v>
      </c>
      <c r="AZ202" s="172" t="e">
        <f>IF(VLOOKUP(T_BilanSocial[[#This Row],[NumL]],T_TraitDi[#Data],COLUMN(T_TraitDi[[#This Row],[Colonne19]]),FALSE)=0,"",TEXT(IFERROR(VLOOKUP(T_BilanSocial[[#This Row],[NumL]],T_TraitDi[#Data],COLUMN(T_TraitDi[[#This Row],[Colonne19]]),FALSE),""),"[hh]:mm"))</f>
        <v>#VALUE!</v>
      </c>
      <c r="BA202" s="172" t="e">
        <f>IF(VLOOKUP(T_BilanSocial[[#This Row],[NumL]],T_TraitDi[#Data],COLUMN(T_TraitDi[[#This Row],[Colonne20]]),FALSE)=0,"",TEXT(IFERROR(VLOOKUP(T_BilanSocial[[#This Row],[NumL]],T_TraitDi[#Data],COLUMN(T_TraitDi[[#This Row],[Colonne20]]),FALSE),""),"[hh]:mm"))</f>
        <v>#VALUE!</v>
      </c>
      <c r="BB202" s="178" t="str">
        <f>IFERROR(VLOOKUP(T_BilanSocial[[#This Row],[NumL]],T_TraitDi[#Data],COLUMN(T_TraitDi[[#This Row],[Jeudi]]),FALSE),"")</f>
        <v/>
      </c>
      <c r="BC202" s="178" t="e">
        <f>IF(VLOOKUP(T_BilanSocial[[#This Row],[NumL]],T_TraitDi[#Data],COLUMN(T_TraitDi[[#This Row],[Colonne21]]),FALSE)=0,"",TEXT(IFERROR(VLOOKUP(T_BilanSocial[[#This Row],[NumL]],T_TraitDi[#Data],COLUMN(T_TraitDi[[#This Row],[Colonne21]]),FALSE),""),"[hh]:mm"))</f>
        <v>#VALUE!</v>
      </c>
      <c r="BD202" s="178" t="e">
        <f>IF(VLOOKUP(T_BilanSocial[[#This Row],[NumL]],T_TraitDi[#Data],COLUMN(T_TraitDi[[#This Row],[Colonne22]]),FALSE)=0,"",TEXT(IFERROR(VLOOKUP(T_BilanSocial[[#This Row],[NumL]],T_TraitDi[#Data],COLUMN(T_TraitDi[[#This Row],[Colonne22]]),FALSE),""),"[hh]:mm"))</f>
        <v>#VALUE!</v>
      </c>
      <c r="BE202" s="178" t="str">
        <f>IFERROR(VLOOKUP(T_BilanSocial[[#This Row],[NumL]],T_TraitDi[#Data],COLUMN(T_TraitDi[[#This Row],[Colonne23]]),FALSE),"")</f>
        <v/>
      </c>
      <c r="BF202" s="178" t="e">
        <f>IF(VLOOKUP(T_BilanSocial[[#This Row],[NumL]],T_TraitDi[#Data],COLUMN(T_TraitDi[[#This Row],[Colonne24]]),FALSE)=0,"",TEXT(IFERROR(VLOOKUP(T_BilanSocial[[#This Row],[NumL]],T_TraitDi[#Data],COLUMN(T_TraitDi[[#This Row],[Colonne24]]),FALSE),""),"[hh]:mm"))</f>
        <v>#VALUE!</v>
      </c>
      <c r="BG202" s="178" t="e">
        <f>IF(VLOOKUP(T_BilanSocial[[#This Row],[NumL]],T_TraitDi[#Data],COLUMN(T_TraitDi[[#This Row],[Colonne25]]),FALSE)=0,"",TEXT(IFERROR(VLOOKUP(T_BilanSocial[[#This Row],[NumL]],T_TraitDi[#Data],COLUMN(T_TraitDi[[#This Row],[Colonne25]]),FALSE),""),"[hh]:mm"))</f>
        <v>#VALUE!</v>
      </c>
      <c r="BH202" s="178" t="e">
        <f>IF(VLOOKUP(T_BilanSocial[[#This Row],[NumL]],T_TraitDi[#Data],COLUMN(T_TraitDi[[#This Row],[Colonne26]]),FALSE)=0,"",TEXT(IFERROR(VLOOKUP(T_BilanSocial[[#This Row],[NumL]],T_TraitDi[#Data],COLUMN(T_TraitDi[[#This Row],[Colonne26]]),FALSE),""),"[hh]:mm"))</f>
        <v>#VALUE!</v>
      </c>
      <c r="BI202" s="172" t="str">
        <f>IFERROR(VLOOKUP(T_BilanSocial[[#This Row],[NumL]],T_TraitDi[#Data],COLUMN(T_TraitDi[[#This Row],[Vendredi]]),FALSE),"")</f>
        <v/>
      </c>
      <c r="BJ202" s="172" t="e">
        <f>IF(VLOOKUP(T_BilanSocial[[#This Row],[NumL]],T_TraitDi[#Data],COLUMN(T_TraitDi[[#This Row],[Colonne27]]),FALSE)=0,"",TEXT(IFERROR(VLOOKUP(T_BilanSocial[[#This Row],[NumL]],T_TraitDi[#Data],COLUMN(T_TraitDi[[#This Row],[Colonne27]]),FALSE),""),"[hh]:mm"))</f>
        <v>#VALUE!</v>
      </c>
      <c r="BK202" s="172" t="e">
        <f>IF(VLOOKUP(T_BilanSocial[[#This Row],[NumL]],T_TraitDi[#Data],COLUMN(T_TraitDi[[#This Row],[Colonne28]]),FALSE)=0,"",TEXT(IFERROR(VLOOKUP(T_BilanSocial[[#This Row],[NumL]],T_TraitDi[#Data],COLUMN(T_TraitDi[[#This Row],[Colonne28]]),FALSE),""),"[hh]:mm"))</f>
        <v>#VALUE!</v>
      </c>
      <c r="BL202" s="172" t="str">
        <f>IFERROR(VLOOKUP(T_BilanSocial[[#This Row],[NumL]],T_TraitDi[#Data],COLUMN(T_TraitDi[[#This Row],[Colonne29]]),FALSE),"")</f>
        <v/>
      </c>
      <c r="BM202" s="172" t="e">
        <f>IF(VLOOKUP(T_BilanSocial[[#This Row],[NumL]],T_TraitDi[#Data],COLUMN(T_TraitDi[[#This Row],[Colonne30]]),FALSE)=0,"",TEXT(IFERROR(VLOOKUP(T_BilanSocial[[#This Row],[NumL]],T_TraitDi[#Data],COLUMN(T_TraitDi[[#This Row],[Colonne30]]),FALSE),""),"[hh]:mm"))</f>
        <v>#VALUE!</v>
      </c>
      <c r="BN202" s="172" t="e">
        <f>IF(VLOOKUP(T_BilanSocial[[#This Row],[NumL]],T_TraitDi[#Data],COLUMN(T_TraitDi[[#This Row],[Colonne31]]),FALSE)=0,"",TEXT(IFERROR(VLOOKUP(T_BilanSocial[[#This Row],[NumL]],T_TraitDi[#Data],COLUMN(T_TraitDi[[#This Row],[Colonne31]]),FALSE),""),"[hh]:mm"))</f>
        <v>#VALUE!</v>
      </c>
      <c r="BO202" s="172" t="e">
        <f>IF(VLOOKUP(T_BilanSocial[[#This Row],[NumL]],T_TraitDi[#Data],COLUMN(T_TraitDi[[#This Row],[Colonne32]]),FALSE)=0,"",TEXT(IFERROR(VLOOKUP(T_BilanSocial[[#This Row],[NumL]],T_TraitDi[#Data],COLUMN(T_TraitDi[[#This Row],[Colonne32]]),FALSE),""),"[hh]:mm"))</f>
        <v>#VALUE!</v>
      </c>
      <c r="BP202" s="172" t="e">
        <f>VLOOKUP(T_BilanSocial[[#This Row],[NumL]],T_TraitDi[#Data],COLUMN(T_TraitDi[NbJTot]),FALSE)</f>
        <v>#N/A</v>
      </c>
      <c r="BQ202" s="174" t="str">
        <f>IFERROR(VLOOKUP(T_BilanSocial[[#This Row],[NumL]],T_TraitDi[#Data],COLUMN(T_TraitDi[[#This Row],[NbJTW]]),FALSE),"")</f>
        <v/>
      </c>
      <c r="BR202" s="174" t="e">
        <f>IF(VLOOKUP(T_BilanSocial[[#This Row],[NumL]],T_TraitDi[#Data],COLUMN(T_TraitDi[[#This Row],[NbhTW]]),FALSE)=0,"",TEXT(IFERROR(VLOOKUP(T_BilanSocial[[#This Row],[NumL]],T_TraitDi[#Data],COLUMN(T_TraitDi[[#This Row],[NbhTW]]),FALSE),""),"[hh]:mm"))</f>
        <v>#VALUE!</v>
      </c>
      <c r="BS202" s="174" t="e">
        <f>IF(VLOOKUP(T_BilanSocial[[#This Row],[NumL]],T_TraitDi[#Data],COLUMN(T_TraitDi[[#This Row],[Nbhheb]]),FALSE)=0,"",TEXT(IFERROR(VLOOKUP($A202,T_TraitDi[#Data],COLUMN(T_TraitDi[[#This Row],[Nbhheb]]),FALSE),""),"[hh]:mm"))</f>
        <v>#VALUE!</v>
      </c>
      <c r="BT202" s="182" t="str">
        <f>IFERROR(VLOOKUP(VLOOKUP($A202,T_TraitDi[#Data],COLUMN(T_TraitDi[[#This Row],[Type1]]),FALSE),TypeTW,2,FALSE),"")</f>
        <v/>
      </c>
      <c r="BU202" s="182" t="str">
        <f>IFERROR(VLOOKUP($A202,T_TraitDi[#Data],COLUMN(T_TraitDi[[#This Row],[Rue1]]),FALSE),"")</f>
        <v/>
      </c>
      <c r="BV202" s="173" t="str">
        <f>IFERROR(VLOOKUP($A202,T_TraitDi[#Data],COLUMN(T_TraitDi[[#This Row],[CP1]]),FALSE),"")</f>
        <v/>
      </c>
      <c r="BW202" s="173" t="str">
        <f>IFERROR(VLOOKUP($A202,T_TraitDi[#Data],COLUMN(T_TraitDi[[#This Row],[VILLE1]]),FALSE),"")</f>
        <v/>
      </c>
      <c r="BX202" s="182" t="str">
        <f>IFERROR(VLOOKUP(VLOOKUP($A202,T_TraitDi[#Data],COLUMN(T_TraitDi[[#This Row],[Type2]]),FALSE),TypeTW,2,FALSE),"")</f>
        <v/>
      </c>
      <c r="BY202" s="182" t="str">
        <f>IFERROR(VLOOKUP($A202,T_TraitDi[#Data],COLUMN(T_TraitDi[[#This Row],[Rue2]]),FALSE),"")</f>
        <v/>
      </c>
      <c r="BZ202" s="173" t="str">
        <f>IFERROR(VLOOKUP($A202,T_TraitDi[#Data],COLUMN(T_TraitDi[[#This Row],[CP2]]),FALSE),"")</f>
        <v/>
      </c>
      <c r="CA202" s="173" t="str">
        <f>IFERROR(VLOOKUP($A202,T_TraitDi[#Data],COLUMN(T_TraitDi[[#This Row],[VILLE2]]),FALSE),"")</f>
        <v/>
      </c>
      <c r="CB202" s="182" t="e">
        <f>IF(VLOOKUP(T_BilanSocial[[#This Row],[NumL]],T_Equipement[#Data],COLUMN(T_Equipement[[#This Row],[PC]]),FALSE)="","Aucun équipement spécifique directement lié au télétravail",VLOOKUP(T_BilanSocial[[#This Row],[NumL]],T_Equipement[#Data],COLUMN(T_Equipement[[#This Row],[PC]]),FALSE))</f>
        <v>#N/A</v>
      </c>
      <c r="CC202" s="166" t="str">
        <f>IFERROR(IF(VLOOKUP(T_BilanSocial[[#This Row],[NumL]],T_TraitDi[#Data],COLUMN(T_TraitDi[[#This Row],[Plan]]),FALSE)="OK","Un planning spécifique de télétravail est annexé à la présente convention.",""),"")</f>
        <v/>
      </c>
      <c r="CD202" s="258" t="s">
        <v>3354</v>
      </c>
      <c r="CE202" s="164" t="e">
        <f>IF(VLOOKUP(T_BilanSocial[[#This Row],[NumL]],T_suiviDi[#Data],COLUMN(T_suiviDi[[#This Row],[Entité]]),FALSE)="","",VLOOKUP(T_BilanSocial[[#This Row],[NumL]],T_suiviDi[#Data],COLUMN(T_suiviDi[[#This Row],[Entité]]),FALSE))</f>
        <v>#VALUE!</v>
      </c>
      <c r="CF202" s="164" t="e">
        <f>IF(VLOOKUP(T_BilanSocial[[#This Row],[NumL]],T_Commission[#Data],COLUMN(T_Commission[[#This Row],[envoi confirm TW]]),FALSE)="","",VLOOKUP(T_BilanSocial[[#This Row],[NumL]],T_Commission[#Data],COLUMN(T_Commission[[#This Row],[envoi confirm TW]]),FALSE))</f>
        <v>#N/A</v>
      </c>
      <c r="CG20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2" s="262" t="e">
        <f>T_BilanSocial[[#This Row],[Nom]]&amp;T_BilanSocial[[#This Row],[Prenom]]</f>
        <v>#N/A</v>
      </c>
      <c r="CI202" s="262" t="e">
        <f>VLOOKUP(T_BilanSocial[[#This Row],[NumL]],T_Commission[#Data],COLUMN(T_Commission[Commentaire]),FALSE)</f>
        <v>#N/A</v>
      </c>
      <c r="CJ202" s="262" t="e">
        <f>IF(VLOOKUP(T_BilanSocial[[#This Row],[NumL]],T_Commission[#Data],COLUMN(T_Commission[Encadrant Email]),FALSE)="","",VLOOKUP(T_BilanSocial[[#This Row],[NumL]],T_Commission[#Data],COLUMN(T_Commission[Encadrant Email]),FALSE))</f>
        <v>#N/A</v>
      </c>
      <c r="CK202" s="340" t="e">
        <f>IF(T_BilanSocial[[#This Row],[Final]]&lt;&gt;"",VLOOKUP(T_BilanSocial[[#This Row],[NumL]],T_suiviDi[#Data],COLUMN((T_suiviDi[Statut])),FALSE),"")</f>
        <v>#N/A</v>
      </c>
    </row>
    <row r="203" spans="1:89" s="106" customFormat="1" ht="24.75" customHeight="1" x14ac:dyDescent="0.25">
      <c r="A203" s="160">
        <v>200</v>
      </c>
      <c r="B203" s="161" t="str">
        <f t="shared" si="34"/>
        <v/>
      </c>
      <c r="C203" s="162" t="s">
        <v>139</v>
      </c>
      <c r="D203" s="95" t="e">
        <f>IF(VLOOKUP(T_BilanSocial[[#This Row],[NumL]],T_TraitDi[#Data],COLUMN(T_TraitDi[[#This Row],[WebC]]),FALSE)="","",VLOOKUP(T_BilanSocial[[#This Row],[NumL]],T_TraitDi[#Data],COLUMN(T_TraitDi[[#This Row],[WebC]]),FALSE))</f>
        <v>#VALUE!</v>
      </c>
      <c r="E203" s="163" t="str">
        <f t="shared" si="35"/>
        <v>12 janvier 2021</v>
      </c>
      <c r="F203" s="96" t="str">
        <f>IF(T_BilanSocial[[#This Row],[Final]]&lt;&gt;"",VLOOKUP(T_BilanSocial[[#This Row],[NumL]],T_suiviDi[#Data],COLUMN((T_suiviDi[Civ.])),FALSE),"")</f>
        <v/>
      </c>
      <c r="G203" s="96" t="str">
        <f>IF(T_BilanSocial[[#This Row],[Final]]&lt;&gt;"",VLOOKUP(T_BilanSocial[[#This Row],[NumL]],T_suiviDi[#Data],COLUMN((T_suiviDi[Nom])),FALSE),"")</f>
        <v/>
      </c>
      <c r="H203" s="96" t="str">
        <f>IF(T_BilanSocial[[#This Row],[Final]]&lt;&gt;"",VLOOKUP(T_BilanSocial[[#This Row],[NumL]],T_suiviDi[#Data],COLUMN((T_suiviDi[Prénom])),FALSE),"")</f>
        <v/>
      </c>
      <c r="I203" s="96" t="str">
        <f>IFERROR(VLOOKUP(T_BilanSocial[[#This Row],[Zone_Bilan]],T_P_BilanSocial[#Data],COLUMN(T_P_BilanSocial[[#This Row],[Numero_SIHAM]]),FALSE),"")</f>
        <v/>
      </c>
      <c r="J203" s="96" t="str">
        <f>IFERROR(VLOOKUP(T_BilanSocial[[#This Row],[Zone_Bilan]],T_P_BilanSocial[#Data],COLUMN(T_P_BilanSocial[[#This Row],[Sexe]]),FALSE),"")</f>
        <v/>
      </c>
      <c r="K203" s="97" t="str">
        <f>IFERROR(VLOOKUP(T_BilanSocial[[#This Row],[Zone_Bilan]],T_P_BilanSocial[#Data],COLUMN(T_P_BilanSocial[[#This Row],[Categorie]]),FALSE),"")</f>
        <v/>
      </c>
      <c r="L203" s="96" t="str">
        <f>IFERROR(VLOOKUP(T_BilanSocial[[#This Row],[Zone_Bilan]],T_P_BilanSocial[#Data],COLUMN(T_P_BilanSocial[[#This Row],[Statut]]),FALSE),"")</f>
        <v/>
      </c>
      <c r="M203" s="96" t="str">
        <f>IFERROR(VLOOKUP(T_BilanSocial[[#This Row],[Zone_Bilan]],T_P_BilanSocial[#Data],COLUMN(T_P_BilanSocial[[#This Row],[Filiere]]),FALSE),"")</f>
        <v/>
      </c>
      <c r="N203" s="96" t="e">
        <f>VLOOKUP(T_BilanSocial[[#This Row],[NumL]],T_TraitDi[#Data],COLUMN(T_TraitDi[EXP]),FALSE)</f>
        <v>#N/A</v>
      </c>
      <c r="O203" s="96" t="e">
        <f>VLOOKUP(T_BilanSocial[[#This Row],[NumL]],T_TraitDi[#Data],COLUMN(T_TraitDi[FORM]),FALSE)</f>
        <v>#N/A</v>
      </c>
      <c r="P203" s="96" t="str">
        <f>IF(T_BilanSocial[[#This Row],[Final]]&lt;&gt;"",VLOOKUP(T_BilanSocial[[#This Row],[NumL]],T_suiviDi[#Data],COLUMN((T_suiviDi[Email])),FALSE),"")</f>
        <v/>
      </c>
      <c r="Q203" s="164" t="e">
        <f t="shared" si="28"/>
        <v>#N/A</v>
      </c>
      <c r="R203" s="164" t="e">
        <f t="shared" si="29"/>
        <v>#N/A</v>
      </c>
      <c r="S203" s="164" t="e">
        <f>IF(VLOOKUP(T_BilanSocial[[#This Row],[NumL]],T_suiviDi[#Data],COLUMN(T_suiviDi[[#This Row],[Service ]]),FALSE)="","",VLOOKUP(T_BilanSocial[[#This Row],[NumL]],T_suiviDi[#Data],COLUMN(T_suiviDi[[#This Row],[Service ]]),FALSE))</f>
        <v>#VALUE!</v>
      </c>
      <c r="T203" s="164" t="str">
        <f t="shared" si="36"/>
        <v>01 septembre 2021</v>
      </c>
      <c r="U203" s="164" t="str">
        <f t="shared" si="37"/>
        <v>30 novembre 2021</v>
      </c>
      <c r="V203" s="256">
        <f>Datebilan</f>
        <v>44530</v>
      </c>
      <c r="W203" s="176" t="e">
        <f>IF(VLOOKUP(T_BilanSocial[[#This Row],[NumL]],T_TraitDi[#Data],COLUMN(T_TraitDi[[#This Row],[M1]]),FALSE)="","",VLOOKUP(T_BilanSocial[[#This Row],[NumL]],T_TraitDi[#Data],COLUMN(T_TraitDi[[#This Row],[M1]]),FALSE))</f>
        <v>#VALUE!</v>
      </c>
      <c r="X203" s="176" t="e">
        <f>IF(VLOOKUP(T_BilanSocial[[#This Row],[NumL]],T_TraitDi[#Data],COLUMN(T_TraitDi[[#This Row],[M2]]),FALSE)="","",VLOOKUP(T_BilanSocial[[#This Row],[NumL]],T_TraitDi[#Data],COLUMN(T_TraitDi[[#This Row],[M2]]),FALSE))</f>
        <v>#VALUE!</v>
      </c>
      <c r="Y203" s="176" t="e">
        <f>IF(VLOOKUP(T_BilanSocial[[#This Row],[NumL]],T_TraitDi[#Data],COLUMN(T_TraitDi[[#This Row],[M3]]),FALSE)="","",VLOOKUP(T_BilanSocial[[#This Row],[NumL]],T_TraitDi[#Data],COLUMN(T_TraitDi[[#This Row],[M3]]),FALSE))</f>
        <v>#VALUE!</v>
      </c>
      <c r="Z203" s="176" t="str">
        <f t="shared" si="39"/>
        <v/>
      </c>
      <c r="AA203" s="176" t="e">
        <f>IF(VLOOKUP(T_BilanSocial[[#This Row],[NumL]],T_TraitDi[#Data],COLUMN(T_TraitDi[[#This Row],[M5]]),FALSE)="","",VLOOKUP(T_BilanSocial[[#This Row],[NumL]],T_TraitDi[#Data],COLUMN(T_TraitDi[[#This Row],[M5]]),FALSE))</f>
        <v>#VALUE!</v>
      </c>
      <c r="AB203" s="176" t="e">
        <f>IF(VLOOKUP(T_BilanSocial[[#This Row],[NumL]],T_TraitDi[#Data],COLUMN(T_TraitDi[[#This Row],[M6]]),FALSE)="","",VLOOKUP(T_BilanSocial[[#This Row],[NumL]],T_TraitDi[#Data],COLUMN(T_TraitDi[[#This Row],[M6]]),FALSE))</f>
        <v>#VALUE!</v>
      </c>
      <c r="AC203" s="165" t="e">
        <f t="shared" si="38"/>
        <v>#VALUE!</v>
      </c>
      <c r="AD203" s="188" t="str">
        <f>IFERROR(TEXT(VLOOKUP(T_BilanSocial[[#This Row],[NumL]],T_TraitDi[#Data],COLUMN(T_TraitDi[[#This Row],[Q2]]),FALSE),"###%"),"")</f>
        <v/>
      </c>
      <c r="AE203" s="97" t="e">
        <f>VLOOKUP(T_BilanSocial[[#This Row],[NumL]],T_TraitDi[#Data],COLUMN(T_TraitDi[[#This Row],[Reg Ponct]]),FALSE)</f>
        <v>#VALUE!</v>
      </c>
      <c r="AF203" s="97" t="e">
        <f>VLOOKUP(T_BilanSocial[NumL],T_TraitDi[#Data],COLUMN(T_TraitDi[[#This Row],[Jours flottants]]),FALSE)</f>
        <v>#VALUE!</v>
      </c>
      <c r="AG203" s="97" t="str">
        <f>IFERROR(VLOOKUP(T_BilanSocial[[#This Row],[NumL]],T_TraitDi[#Data],COLUMN(T_TraitDi[[#This Row],[Lundi]]),FALSE),"")</f>
        <v/>
      </c>
      <c r="AH203" s="172" t="e">
        <f>IF(VLOOKUP(T_BilanSocial[[#This Row],[NumL]],T_TraitDi[#Data],COLUMN(T_TraitDi[[#This Row],[Colonne3]]),FALSE)=0,"",TEXT(IFERROR(VLOOKUP(T_BilanSocial[[#This Row],[NumL]],T_TraitDi[#Data],COLUMN(T_TraitDi[[#This Row],[Colonne3]]),FALSE),""),"[hh]:mm"))</f>
        <v>#VALUE!</v>
      </c>
      <c r="AI203" s="172" t="e">
        <f>IF(VLOOKUP(T_BilanSocial[[#This Row],[NumL]],T_TraitDi[#Data],COLUMN(T_TraitDi[[#This Row],[Colonne4]]),FALSE)=0,"",TEXT(IFERROR(VLOOKUP(T_BilanSocial[[#This Row],[NumL]],T_TraitDi[#Data],COLUMN(T_TraitDi[[#This Row],[Colonne4]]),FALSE),""),"[hh]:mm"))</f>
        <v>#VALUE!</v>
      </c>
      <c r="AJ203" s="172" t="e">
        <f>IF(VLOOKUP(T_BilanSocial[[#This Row],[NumL]],T_TraitDi[#Data],COLUMN(T_TraitDi[[#This Row],[Colonne5]]),FALSE)=0,"",TEXT(IFERROR(VLOOKUP(T_BilanSocial[[#This Row],[NumL]],T_TraitDi[#Data],COLUMN(T_TraitDi[[#This Row],[Colonne5]]),FALSE),""),"[hh]:mm"))</f>
        <v>#VALUE!</v>
      </c>
      <c r="AK203" s="172" t="e">
        <f>IF(VLOOKUP(T_BilanSocial[[#This Row],[NumL]],T_TraitDi[#Data],COLUMN(T_TraitDi[[#This Row],[Colonne6]]),FALSE)=0,"",TEXT(IFERROR(VLOOKUP(T_BilanSocial[[#This Row],[NumL]],T_TraitDi[#Data],COLUMN(T_TraitDi[[#This Row],[Colonne6]]),FALSE),""),"[hh]:mm"))</f>
        <v>#VALUE!</v>
      </c>
      <c r="AL203" s="172" t="e">
        <f>IF(VLOOKUP(T_BilanSocial[[#This Row],[NumL]],T_TraitDi[#Data],COLUMN(T_TraitDi[[#This Row],[Colonne7]]),FALSE)=0,"",TEXT(IFERROR(VLOOKUP(T_BilanSocial[[#This Row],[NumL]],T_TraitDi[#Data],COLUMN(T_TraitDi[[#This Row],[Colonne7]]),FALSE),""),"[hh]:mm"))</f>
        <v>#VALUE!</v>
      </c>
      <c r="AM203" s="172" t="e">
        <f>IF(VLOOKUP(T_BilanSocial[[#This Row],[NumL]],T_TraitDi[#Data],COLUMN(T_TraitDi[[#This Row],[Colonne8]]),FALSE)=0,"",TEXT(IFERROR(VLOOKUP(T_BilanSocial[[#This Row],[NumL]],T_TraitDi[#Data],COLUMN(T_TraitDi[[#This Row],[Colonne8]]),FALSE),""),"[hh]:mm"))</f>
        <v>#VALUE!</v>
      </c>
      <c r="AN203" s="172" t="str">
        <f>IFERROR(VLOOKUP(T_BilanSocial[[#This Row],[NumL]],T_TraitDi[#Data],COLUMN(T_TraitDi[[#This Row],[Mardi]]),FALSE),"")</f>
        <v/>
      </c>
      <c r="AO203" s="172" t="e">
        <f>IF(VLOOKUP(T_BilanSocial[[#This Row],[NumL]],T_TraitDi[#Data],COLUMN(T_TraitDi[[#This Row],[Colonne1]]),FALSE)=0,"",TEXT(IFERROR(VLOOKUP(T_BilanSocial[[#This Row],[NumL]],T_TraitDi[#Data],COLUMN(T_TraitDi[[#This Row],[Colonne1]]),FALSE),""),"[hh]:mm"))</f>
        <v>#VALUE!</v>
      </c>
      <c r="AP203" s="172" t="e">
        <f>IF(VLOOKUP(T_BilanSocial[[#This Row],[NumL]],T_TraitDi[#Data],COLUMN(T_TraitDi[[#This Row],[Colonne9]]),FALSE)=0,"",TEXT(IFERROR(VLOOKUP(T_BilanSocial[[#This Row],[NumL]],T_TraitDi[#Data],COLUMN(T_TraitDi[[#This Row],[Colonne9]]),FALSE),""),"[hh]:mm"))</f>
        <v>#VALUE!</v>
      </c>
      <c r="AQ203" s="172" t="str">
        <f>IFERROR(VLOOKUP(T_BilanSocial[[#This Row],[NumL]],T_TraitDi[#Data],COLUMN(T_TraitDi[[#This Row],[Colonne10]]),FALSE),"")</f>
        <v/>
      </c>
      <c r="AR203" s="172" t="e">
        <f>IF(VLOOKUP(T_BilanSocial[[#This Row],[NumL]],T_TraitDi[#Data],COLUMN(T_TraitDi[[#This Row],[Colonne11]]),FALSE)=0,"",TEXT(IFERROR(VLOOKUP(T_BilanSocial[[#This Row],[NumL]],T_TraitDi[#Data],COLUMN(T_TraitDi[[#This Row],[Colonne11]]),FALSE),""),"[hh]:mm"))</f>
        <v>#VALUE!</v>
      </c>
      <c r="AS203" s="172" t="e">
        <f>IF(VLOOKUP(T_BilanSocial[[#This Row],[NumL]],T_TraitDi[#Data],COLUMN(T_TraitDi[[#This Row],[Colonne12]]),FALSE)=0,"",TEXT(IFERROR(VLOOKUP(T_BilanSocial[[#This Row],[NumL]],T_TraitDi[#Data],COLUMN(T_TraitDi[[#This Row],[Colonne12]]),FALSE),""),"[hh]:mm"))</f>
        <v>#VALUE!</v>
      </c>
      <c r="AT203" s="172" t="e">
        <f>IF(VLOOKUP(T_BilanSocial[[#This Row],[NumL]],T_TraitDi[#Data],COLUMN(T_TraitDi[[#This Row],[Colonne14]]),FALSE)=0,"",TEXT(IFERROR(VLOOKUP(T_BilanSocial[[#This Row],[NumL]],T_TraitDi[#Data],COLUMN(T_TraitDi[[#This Row],[Colonne14]]),FALSE),""),"[hh]:mm"))</f>
        <v>#VALUE!</v>
      </c>
      <c r="AU203" s="172" t="str">
        <f>IFERROR(VLOOKUP(T_BilanSocial[[#This Row],[NumL]],T_TraitDi[#Data],COLUMN(T_TraitDi[[#This Row],[Mercredi]]),FALSE),"")</f>
        <v/>
      </c>
      <c r="AV203" s="172" t="e">
        <f>IF(VLOOKUP(T_BilanSocial[[#This Row],[NumL]],T_TraitDi[#Data],COLUMN(T_TraitDi[[#This Row],[Colonne15]]),FALSE)=0,"",TEXT(IFERROR(VLOOKUP(T_BilanSocial[[#This Row],[NumL]],T_TraitDi[#Data],COLUMN(T_TraitDi[[#This Row],[Colonne15]]),FALSE),""),"[hh]:mm"))</f>
        <v>#VALUE!</v>
      </c>
      <c r="AW203" s="172" t="e">
        <f>IF(VLOOKUP(T_BilanSocial[[#This Row],[NumL]],T_TraitDi[#Data],COLUMN(T_TraitDi[[#This Row],[Colonne16]]),FALSE)=0,"",TEXT(IFERROR(VLOOKUP(T_BilanSocial[[#This Row],[NumL]],T_TraitDi[#Data],COLUMN(T_TraitDi[[#This Row],[Colonne16]]),FALSE),""),"[hh]:mm"))</f>
        <v>#VALUE!</v>
      </c>
      <c r="AX203" s="172" t="str">
        <f>IFERROR(VLOOKUP(T_BilanSocial[[#This Row],[NumL]],T_TraitDi[#Data],COLUMN(T_TraitDi[[#This Row],[Colonne17]]),FALSE),"")</f>
        <v/>
      </c>
      <c r="AY203" s="172" t="e">
        <f>IF(VLOOKUP(T_BilanSocial[[#This Row],[NumL]],T_TraitDi[#Data],COLUMN(T_TraitDi[[#This Row],[Colonne18]]),FALSE)=0,"",TEXT(IFERROR(VLOOKUP(T_BilanSocial[[#This Row],[NumL]],T_TraitDi[#Data],COLUMN(T_TraitDi[[#This Row],[Colonne18]]),FALSE),""),"[hh]:mm"))</f>
        <v>#VALUE!</v>
      </c>
      <c r="AZ203" s="172" t="e">
        <f>IF(VLOOKUP(T_BilanSocial[[#This Row],[NumL]],T_TraitDi[#Data],COLUMN(T_TraitDi[[#This Row],[Colonne19]]),FALSE)=0,"",TEXT(IFERROR(VLOOKUP(T_BilanSocial[[#This Row],[NumL]],T_TraitDi[#Data],COLUMN(T_TraitDi[[#This Row],[Colonne19]]),FALSE),""),"[hh]:mm"))</f>
        <v>#VALUE!</v>
      </c>
      <c r="BA203" s="172" t="e">
        <f>IF(VLOOKUP(T_BilanSocial[[#This Row],[NumL]],T_TraitDi[#Data],COLUMN(T_TraitDi[[#This Row],[Colonne20]]),FALSE)=0,"",TEXT(IFERROR(VLOOKUP(T_BilanSocial[[#This Row],[NumL]],T_TraitDi[#Data],COLUMN(T_TraitDi[[#This Row],[Colonne20]]),FALSE),""),"[hh]:mm"))</f>
        <v>#VALUE!</v>
      </c>
      <c r="BB203" s="178" t="str">
        <f>IFERROR(VLOOKUP(T_BilanSocial[[#This Row],[NumL]],T_TraitDi[#Data],COLUMN(T_TraitDi[[#This Row],[Jeudi]]),FALSE),"")</f>
        <v/>
      </c>
      <c r="BC203" s="178" t="e">
        <f>IF(VLOOKUP(T_BilanSocial[[#This Row],[NumL]],T_TraitDi[#Data],COLUMN(T_TraitDi[[#This Row],[Colonne21]]),FALSE)=0,"",TEXT(IFERROR(VLOOKUP(T_BilanSocial[[#This Row],[NumL]],T_TraitDi[#Data],COLUMN(T_TraitDi[[#This Row],[Colonne21]]),FALSE),""),"[hh]:mm"))</f>
        <v>#VALUE!</v>
      </c>
      <c r="BD203" s="178" t="e">
        <f>IF(VLOOKUP(T_BilanSocial[[#This Row],[NumL]],T_TraitDi[#Data],COLUMN(T_TraitDi[[#This Row],[Colonne22]]),FALSE)=0,"",TEXT(IFERROR(VLOOKUP(T_BilanSocial[[#This Row],[NumL]],T_TraitDi[#Data],COLUMN(T_TraitDi[[#This Row],[Colonne22]]),FALSE),""),"[hh]:mm"))</f>
        <v>#VALUE!</v>
      </c>
      <c r="BE203" s="178" t="str">
        <f>IFERROR(VLOOKUP(T_BilanSocial[[#This Row],[NumL]],T_TraitDi[#Data],COLUMN(T_TraitDi[[#This Row],[Colonne23]]),FALSE),"")</f>
        <v/>
      </c>
      <c r="BF203" s="178" t="e">
        <f>IF(VLOOKUP(T_BilanSocial[[#This Row],[NumL]],T_TraitDi[#Data],COLUMN(T_TraitDi[[#This Row],[Colonne24]]),FALSE)=0,"",TEXT(IFERROR(VLOOKUP(T_BilanSocial[[#This Row],[NumL]],T_TraitDi[#Data],COLUMN(T_TraitDi[[#This Row],[Colonne24]]),FALSE),""),"[hh]:mm"))</f>
        <v>#VALUE!</v>
      </c>
      <c r="BG203" s="178" t="e">
        <f>IF(VLOOKUP(T_BilanSocial[[#This Row],[NumL]],T_TraitDi[#Data],COLUMN(T_TraitDi[[#This Row],[Colonne25]]),FALSE)=0,"",TEXT(IFERROR(VLOOKUP(T_BilanSocial[[#This Row],[NumL]],T_TraitDi[#Data],COLUMN(T_TraitDi[[#This Row],[Colonne25]]),FALSE),""),"[hh]:mm"))</f>
        <v>#VALUE!</v>
      </c>
      <c r="BH203" s="178" t="e">
        <f>IF(VLOOKUP(T_BilanSocial[[#This Row],[NumL]],T_TraitDi[#Data],COLUMN(T_TraitDi[[#This Row],[Colonne26]]),FALSE)=0,"",TEXT(IFERROR(VLOOKUP(T_BilanSocial[[#This Row],[NumL]],T_TraitDi[#Data],COLUMN(T_TraitDi[[#This Row],[Colonne26]]),FALSE),""),"[hh]:mm"))</f>
        <v>#VALUE!</v>
      </c>
      <c r="BI203" s="172" t="str">
        <f>IFERROR(VLOOKUP(T_BilanSocial[[#This Row],[NumL]],T_TraitDi[#Data],COLUMN(T_TraitDi[[#This Row],[Vendredi]]),FALSE),"")</f>
        <v/>
      </c>
      <c r="BJ203" s="172" t="e">
        <f>IF(VLOOKUP(T_BilanSocial[[#This Row],[NumL]],T_TraitDi[#Data],COLUMN(T_TraitDi[[#This Row],[Colonne27]]),FALSE)=0,"",TEXT(IFERROR(VLOOKUP(T_BilanSocial[[#This Row],[NumL]],T_TraitDi[#Data],COLUMN(T_TraitDi[[#This Row],[Colonne27]]),FALSE),""),"[hh]:mm"))</f>
        <v>#VALUE!</v>
      </c>
      <c r="BK203" s="172" t="e">
        <f>IF(VLOOKUP(T_BilanSocial[[#This Row],[NumL]],T_TraitDi[#Data],COLUMN(T_TraitDi[[#This Row],[Colonne28]]),FALSE)=0,"",TEXT(IFERROR(VLOOKUP(T_BilanSocial[[#This Row],[NumL]],T_TraitDi[#Data],COLUMN(T_TraitDi[[#This Row],[Colonne28]]),FALSE),""),"[hh]:mm"))</f>
        <v>#VALUE!</v>
      </c>
      <c r="BL203" s="172" t="str">
        <f>IFERROR(VLOOKUP(T_BilanSocial[[#This Row],[NumL]],T_TraitDi[#Data],COLUMN(T_TraitDi[[#This Row],[Colonne29]]),FALSE),"")</f>
        <v/>
      </c>
      <c r="BM203" s="172" t="e">
        <f>IF(VLOOKUP(T_BilanSocial[[#This Row],[NumL]],T_TraitDi[#Data],COLUMN(T_TraitDi[[#This Row],[Colonne30]]),FALSE)=0,"",TEXT(IFERROR(VLOOKUP(T_BilanSocial[[#This Row],[NumL]],T_TraitDi[#Data],COLUMN(T_TraitDi[[#This Row],[Colonne30]]),FALSE),""),"[hh]:mm"))</f>
        <v>#VALUE!</v>
      </c>
      <c r="BN203" s="172" t="e">
        <f>IF(VLOOKUP(T_BilanSocial[[#This Row],[NumL]],T_TraitDi[#Data],COLUMN(T_TraitDi[[#This Row],[Colonne31]]),FALSE)=0,"",TEXT(IFERROR(VLOOKUP(T_BilanSocial[[#This Row],[NumL]],T_TraitDi[#Data],COLUMN(T_TraitDi[[#This Row],[Colonne31]]),FALSE),""),"[hh]:mm"))</f>
        <v>#VALUE!</v>
      </c>
      <c r="BO203" s="172" t="e">
        <f>IF(VLOOKUP(T_BilanSocial[[#This Row],[NumL]],T_TraitDi[#Data],COLUMN(T_TraitDi[[#This Row],[Colonne32]]),FALSE)=0,"",TEXT(IFERROR(VLOOKUP(T_BilanSocial[[#This Row],[NumL]],T_TraitDi[#Data],COLUMN(T_TraitDi[[#This Row],[Colonne32]]),FALSE),""),"[hh]:mm"))</f>
        <v>#VALUE!</v>
      </c>
      <c r="BP203" s="172" t="e">
        <f>VLOOKUP(T_BilanSocial[[#This Row],[NumL]],T_TraitDi[#Data],COLUMN(T_TraitDi[NbJTot]),FALSE)</f>
        <v>#N/A</v>
      </c>
      <c r="BQ203" s="174" t="str">
        <f>IFERROR(VLOOKUP(T_BilanSocial[[#This Row],[NumL]],T_TraitDi[#Data],COLUMN(T_TraitDi[[#This Row],[NbJTW]]),FALSE),"")</f>
        <v/>
      </c>
      <c r="BR203" s="174" t="e">
        <f>IF(VLOOKUP(T_BilanSocial[[#This Row],[NumL]],T_TraitDi[#Data],COLUMN(T_TraitDi[[#This Row],[NbhTW]]),FALSE)=0,"",TEXT(IFERROR(VLOOKUP(T_BilanSocial[[#This Row],[NumL]],T_TraitDi[#Data],COLUMN(T_TraitDi[[#This Row],[NbhTW]]),FALSE),""),"[hh]:mm"))</f>
        <v>#VALUE!</v>
      </c>
      <c r="BS203" s="174" t="e">
        <f>IF(VLOOKUP(T_BilanSocial[[#This Row],[NumL]],T_TraitDi[#Data],COLUMN(T_TraitDi[[#This Row],[Nbhheb]]),FALSE)=0,"",TEXT(IFERROR(VLOOKUP($A203,T_TraitDi[#Data],COLUMN(T_TraitDi[[#This Row],[Nbhheb]]),FALSE),""),"[hh]:mm"))</f>
        <v>#VALUE!</v>
      </c>
      <c r="BT203" s="182" t="str">
        <f>IFERROR(VLOOKUP(VLOOKUP($A203,T_TraitDi[#Data],COLUMN(T_TraitDi[[#This Row],[Type1]]),FALSE),TypeTW,2,FALSE),"")</f>
        <v/>
      </c>
      <c r="BU203" s="182" t="str">
        <f>IFERROR(VLOOKUP($A203,T_TraitDi[#Data],COLUMN(T_TraitDi[[#This Row],[Rue1]]),FALSE),"")</f>
        <v/>
      </c>
      <c r="BV203" s="173" t="str">
        <f>IFERROR(VLOOKUP($A203,T_TraitDi[#Data],COLUMN(T_TraitDi[[#This Row],[CP1]]),FALSE),"")</f>
        <v/>
      </c>
      <c r="BW203" s="173" t="str">
        <f>IFERROR(VLOOKUP($A203,T_TraitDi[#Data],COLUMN(T_TraitDi[[#This Row],[VILLE1]]),FALSE),"")</f>
        <v/>
      </c>
      <c r="BX203" s="182" t="str">
        <f>IFERROR(VLOOKUP(VLOOKUP($A203,T_TraitDi[#Data],COLUMN(T_TraitDi[[#This Row],[Type2]]),FALSE),TypeTW,2,FALSE),"")</f>
        <v/>
      </c>
      <c r="BY203" s="182" t="str">
        <f>IFERROR(VLOOKUP($A203,T_TraitDi[#Data],COLUMN(T_TraitDi[[#This Row],[Rue2]]),FALSE),"")</f>
        <v/>
      </c>
      <c r="BZ203" s="173" t="str">
        <f>IFERROR(VLOOKUP($A203,T_TraitDi[#Data],COLUMN(T_TraitDi[[#This Row],[CP2]]),FALSE),"")</f>
        <v/>
      </c>
      <c r="CA203" s="173" t="str">
        <f>IFERROR(VLOOKUP($A203,T_TraitDi[#Data],COLUMN(T_TraitDi[[#This Row],[VILLE2]]),FALSE),"")</f>
        <v/>
      </c>
      <c r="CB203" s="182" t="str">
        <f>IF(VLOOKUP(T_BilanSocial[[#This Row],[NumL]],T_Equipement[#Data],COLUMN(T_Equipement[[#This Row],[PC]]),FALSE)="","Aucun équipement spécifique directement lié au télétravail",VLOOKUP(T_BilanSocial[[#This Row],[NumL]],T_Equipement[#Data],COLUMN(T_Equipement[[#This Row],[PC]]),FALSE))</f>
        <v>20-3085</v>
      </c>
      <c r="CC203" s="166" t="str">
        <f>IFERROR(IF(VLOOKUP(T_BilanSocial[[#This Row],[NumL]],T_TraitDi[#Data],COLUMN(T_TraitDi[[#This Row],[Plan]]),FALSE)="OK","Un planning spécifique de télétravail est annexé à la présente convention.",""),"")</f>
        <v/>
      </c>
      <c r="CD203" s="185"/>
      <c r="CE203" s="164" t="e">
        <f>IF(VLOOKUP(T_BilanSocial[[#This Row],[NumL]],T_suiviDi[#Data],COLUMN(T_suiviDi[[#This Row],[Entité]]),FALSE)="","",VLOOKUP(T_BilanSocial[[#This Row],[NumL]],T_suiviDi[#Data],COLUMN(T_suiviDi[[#This Row],[Entité]]),FALSE))</f>
        <v>#VALUE!</v>
      </c>
      <c r="CF203" s="164" t="str">
        <f>IF(VLOOKUP(T_BilanSocial[[#This Row],[NumL]],T_Commission[#Data],COLUMN(T_Commission[[#This Row],[envoi confirm TW]]),FALSE)="","",VLOOKUP(T_BilanSocial[[#This Row],[NumL]],T_Commission[#Data],COLUMN(T_Commission[[#This Row],[envoi confirm TW]]),FALSE))</f>
        <v>Oui</v>
      </c>
      <c r="CG20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3" s="262" t="str">
        <f>T_BilanSocial[[#This Row],[Nom]]&amp;T_BilanSocial[[#This Row],[Prenom]]</f>
        <v/>
      </c>
      <c r="CI203" s="262">
        <f>VLOOKUP(T_BilanSocial[[#This Row],[NumL]],T_Commission[#Data],COLUMN(T_Commission[Commentaire]),FALSE)</f>
        <v>0</v>
      </c>
      <c r="CJ203" s="262" t="str">
        <f>IF(VLOOKUP(T_BilanSocial[[#This Row],[NumL]],T_Commission[#Data],COLUMN(T_Commission[Encadrant Email]),FALSE)="","",VLOOKUP(T_BilanSocial[[#This Row],[NumL]],T_Commission[#Data],COLUMN(T_Commission[Encadrant Email]),FALSE))</f>
        <v/>
      </c>
      <c r="CK203" s="340" t="str">
        <f>IF(T_BilanSocial[[#This Row],[Final]]&lt;&gt;"",VLOOKUP(T_BilanSocial[[#This Row],[NumL]],T_suiviDi[#Data],COLUMN((T_suiviDi[Statut])),FALSE),"")</f>
        <v/>
      </c>
    </row>
    <row r="204" spans="1:89" s="106" customFormat="1" ht="24.75" customHeight="1" x14ac:dyDescent="0.25">
      <c r="A204" s="160">
        <v>201</v>
      </c>
      <c r="B204" s="161" t="str">
        <f t="shared" si="34"/>
        <v/>
      </c>
      <c r="C204" s="162" t="s">
        <v>141</v>
      </c>
      <c r="D204" s="95" t="e">
        <f>IF(VLOOKUP(T_BilanSocial[[#This Row],[NumL]],T_TraitDi[#Data],COLUMN(T_TraitDi[[#This Row],[WebC]]),FALSE)="","",VLOOKUP(T_BilanSocial[[#This Row],[NumL]],T_TraitDi[#Data],COLUMN(T_TraitDi[[#This Row],[WebC]]),FALSE))</f>
        <v>#VALUE!</v>
      </c>
      <c r="E204" s="163" t="str">
        <f t="shared" si="35"/>
        <v>12 janvier 2021</v>
      </c>
      <c r="F204" s="96" t="str">
        <f>IF(T_BilanSocial[[#This Row],[Final]]&lt;&gt;"",VLOOKUP(T_BilanSocial[[#This Row],[NumL]],T_suiviDi[#Data],COLUMN((T_suiviDi[Civ.])),FALSE),"")</f>
        <v/>
      </c>
      <c r="G204" s="96" t="str">
        <f>IF(T_BilanSocial[[#This Row],[Final]]&lt;&gt;"",VLOOKUP(T_BilanSocial[[#This Row],[NumL]],T_suiviDi[#Data],COLUMN((T_suiviDi[Nom])),FALSE),"")</f>
        <v/>
      </c>
      <c r="H204" s="96" t="str">
        <f>IF(T_BilanSocial[[#This Row],[Final]]&lt;&gt;"",VLOOKUP(T_BilanSocial[[#This Row],[NumL]],T_suiviDi[#Data],COLUMN((T_suiviDi[Prénom])),FALSE),"")</f>
        <v/>
      </c>
      <c r="I204" s="96" t="str">
        <f>IFERROR(VLOOKUP(T_BilanSocial[[#This Row],[Zone_Bilan]],T_P_BilanSocial[#Data],COLUMN(T_P_BilanSocial[[#This Row],[Numero_SIHAM]]),FALSE),"")</f>
        <v/>
      </c>
      <c r="J204" s="96" t="str">
        <f>IFERROR(VLOOKUP(T_BilanSocial[[#This Row],[Zone_Bilan]],T_P_BilanSocial[#Data],COLUMN(T_P_BilanSocial[[#This Row],[Sexe]]),FALSE),"")</f>
        <v/>
      </c>
      <c r="K204" s="97" t="str">
        <f>IFERROR(VLOOKUP(T_BilanSocial[[#This Row],[Zone_Bilan]],T_P_BilanSocial[#Data],COLUMN(T_P_BilanSocial[[#This Row],[Categorie]]),FALSE),"")</f>
        <v/>
      </c>
      <c r="L204" s="96" t="str">
        <f>IFERROR(VLOOKUP(T_BilanSocial[[#This Row],[Zone_Bilan]],T_P_BilanSocial[#Data],COLUMN(T_P_BilanSocial[[#This Row],[Statut]]),FALSE),"")</f>
        <v/>
      </c>
      <c r="M204" s="96" t="str">
        <f>IFERROR(VLOOKUP(T_BilanSocial[[#This Row],[Zone_Bilan]],T_P_BilanSocial[#Data],COLUMN(T_P_BilanSocial[[#This Row],[Filiere]]),FALSE),"")</f>
        <v/>
      </c>
      <c r="N204" s="96" t="e">
        <f>VLOOKUP(T_BilanSocial[[#This Row],[NumL]],T_TraitDi[#Data],COLUMN(T_TraitDi[EXP]),FALSE)</f>
        <v>#N/A</v>
      </c>
      <c r="O204" s="96" t="e">
        <f>VLOOKUP(T_BilanSocial[[#This Row],[NumL]],T_TraitDi[#Data],COLUMN(T_TraitDi[FORM]),FALSE)</f>
        <v>#N/A</v>
      </c>
      <c r="P204" s="96" t="str">
        <f>IF(T_BilanSocial[[#This Row],[Final]]&lt;&gt;"",VLOOKUP(T_BilanSocial[[#This Row],[NumL]],T_suiviDi[#Data],COLUMN((T_suiviDi[Email])),FALSE),"")</f>
        <v/>
      </c>
      <c r="Q204" s="164" t="e">
        <f t="shared" si="28"/>
        <v>#N/A</v>
      </c>
      <c r="R204" s="164" t="e">
        <f t="shared" si="29"/>
        <v>#N/A</v>
      </c>
      <c r="S204" s="164" t="e">
        <f>IF(VLOOKUP(T_BilanSocial[[#This Row],[NumL]],T_suiviDi[#Data],COLUMN(T_suiviDi[[#This Row],[Service ]]),FALSE)="","",VLOOKUP(T_BilanSocial[[#This Row],[NumL]],T_suiviDi[#Data],COLUMN(T_suiviDi[[#This Row],[Service ]]),FALSE))</f>
        <v>#VALUE!</v>
      </c>
      <c r="T204" s="164" t="str">
        <f t="shared" si="36"/>
        <v>01 septembre 2021</v>
      </c>
      <c r="U204" s="164" t="str">
        <f t="shared" si="37"/>
        <v>30 novembre 2021</v>
      </c>
      <c r="V204" s="164" t="str">
        <f>TEXT(Datebilan,"jj mmmm aaaa")</f>
        <v>30 novembre 2021</v>
      </c>
      <c r="W204" s="176" t="e">
        <f>IF(VLOOKUP(T_BilanSocial[[#This Row],[NumL]],T_TraitDi[#Data],COLUMN(T_TraitDi[[#This Row],[M1]]),FALSE)="","",VLOOKUP(T_BilanSocial[[#This Row],[NumL]],T_TraitDi[#Data],COLUMN(T_TraitDi[[#This Row],[M1]]),FALSE))</f>
        <v>#VALUE!</v>
      </c>
      <c r="X204" s="176" t="e">
        <f>IF(VLOOKUP(T_BilanSocial[[#This Row],[NumL]],T_TraitDi[#Data],COLUMN(T_TraitDi[[#This Row],[M2]]),FALSE)="","",VLOOKUP(T_BilanSocial[[#This Row],[NumL]],T_TraitDi[#Data],COLUMN(T_TraitDi[[#This Row],[M2]]),FALSE))</f>
        <v>#VALUE!</v>
      </c>
      <c r="Y204" s="176" t="e">
        <f>IF(VLOOKUP(T_BilanSocial[[#This Row],[NumL]],T_TraitDi[#Data],COLUMN(T_TraitDi[[#This Row],[M3]]),FALSE)="","",VLOOKUP(T_BilanSocial[[#This Row],[NumL]],T_TraitDi[#Data],COLUMN(T_TraitDi[[#This Row],[M3]]),FALSE))</f>
        <v>#VALUE!</v>
      </c>
      <c r="Z204" s="176" t="str">
        <f t="shared" si="39"/>
        <v/>
      </c>
      <c r="AA204" s="176" t="e">
        <f>IF(VLOOKUP(T_BilanSocial[[#This Row],[NumL]],T_TraitDi[#Data],COLUMN(T_TraitDi[[#This Row],[M5]]),FALSE)="","",VLOOKUP(T_BilanSocial[[#This Row],[NumL]],T_TraitDi[#Data],COLUMN(T_TraitDi[[#This Row],[M5]]),FALSE))</f>
        <v>#VALUE!</v>
      </c>
      <c r="AB204" s="176" t="e">
        <f>IF(VLOOKUP(T_BilanSocial[[#This Row],[NumL]],T_TraitDi[#Data],COLUMN(T_TraitDi[[#This Row],[M6]]),FALSE)="","",VLOOKUP(T_BilanSocial[[#This Row],[NumL]],T_TraitDi[#Data],COLUMN(T_TraitDi[[#This Row],[M6]]),FALSE))</f>
        <v>#VALUE!</v>
      </c>
      <c r="AC204" s="165" t="e">
        <f t="shared" si="38"/>
        <v>#VALUE!</v>
      </c>
      <c r="AD204" s="188" t="str">
        <f>IFERROR(TEXT(VLOOKUP(T_BilanSocial[[#This Row],[NumL]],T_TraitDi[#Data],COLUMN(T_TraitDi[[#This Row],[Q2]]),FALSE),"###%"),"")</f>
        <v/>
      </c>
      <c r="AE204" s="97" t="e">
        <f>VLOOKUP(T_BilanSocial[[#This Row],[NumL]],T_TraitDi[#Data],COLUMN(T_TraitDi[[#This Row],[Reg Ponct]]),FALSE)</f>
        <v>#VALUE!</v>
      </c>
      <c r="AF204" s="97" t="e">
        <f>VLOOKUP(T_BilanSocial[NumL],T_TraitDi[#Data],COLUMN(T_TraitDi[[#This Row],[Jours flottants]]),FALSE)</f>
        <v>#VALUE!</v>
      </c>
      <c r="AG204" s="97" t="str">
        <f>IFERROR(VLOOKUP(T_BilanSocial[[#This Row],[NumL]],T_TraitDi[#Data],COLUMN(T_TraitDi[[#This Row],[Lundi]]),FALSE),"")</f>
        <v/>
      </c>
      <c r="AH204" s="172" t="e">
        <f>IF(VLOOKUP(T_BilanSocial[[#This Row],[NumL]],T_TraitDi[#Data],COLUMN(T_TraitDi[[#This Row],[Colonne3]]),FALSE)=0,"",TEXT(IFERROR(VLOOKUP(T_BilanSocial[[#This Row],[NumL]],T_TraitDi[#Data],COLUMN(T_TraitDi[[#This Row],[Colonne3]]),FALSE),""),"[hh]:mm"))</f>
        <v>#VALUE!</v>
      </c>
      <c r="AI204" s="172" t="e">
        <f>IF(VLOOKUP(T_BilanSocial[[#This Row],[NumL]],T_TraitDi[#Data],COLUMN(T_TraitDi[[#This Row],[Colonne4]]),FALSE)=0,"",TEXT(IFERROR(VLOOKUP(T_BilanSocial[[#This Row],[NumL]],T_TraitDi[#Data],COLUMN(T_TraitDi[[#This Row],[Colonne4]]),FALSE),""),"[hh]:mm"))</f>
        <v>#VALUE!</v>
      </c>
      <c r="AJ204" s="172" t="e">
        <f>IF(VLOOKUP(T_BilanSocial[[#This Row],[NumL]],T_TraitDi[#Data],COLUMN(T_TraitDi[[#This Row],[Colonne5]]),FALSE)=0,"",TEXT(IFERROR(VLOOKUP(T_BilanSocial[[#This Row],[NumL]],T_TraitDi[#Data],COLUMN(T_TraitDi[[#This Row],[Colonne5]]),FALSE),""),"[hh]:mm"))</f>
        <v>#VALUE!</v>
      </c>
      <c r="AK204" s="172" t="e">
        <f>IF(VLOOKUP(T_BilanSocial[[#This Row],[NumL]],T_TraitDi[#Data],COLUMN(T_TraitDi[[#This Row],[Colonne6]]),FALSE)=0,"",TEXT(IFERROR(VLOOKUP(T_BilanSocial[[#This Row],[NumL]],T_TraitDi[#Data],COLUMN(T_TraitDi[[#This Row],[Colonne6]]),FALSE),""),"[hh]:mm"))</f>
        <v>#VALUE!</v>
      </c>
      <c r="AL204" s="172" t="e">
        <f>IF(VLOOKUP(T_BilanSocial[[#This Row],[NumL]],T_TraitDi[#Data],COLUMN(T_TraitDi[[#This Row],[Colonne7]]),FALSE)=0,"",TEXT(IFERROR(VLOOKUP(T_BilanSocial[[#This Row],[NumL]],T_TraitDi[#Data],COLUMN(T_TraitDi[[#This Row],[Colonne7]]),FALSE),""),"[hh]:mm"))</f>
        <v>#VALUE!</v>
      </c>
      <c r="AM204" s="172" t="e">
        <f>IF(VLOOKUP(T_BilanSocial[[#This Row],[NumL]],T_TraitDi[#Data],COLUMN(T_TraitDi[[#This Row],[Colonne8]]),FALSE)=0,"",TEXT(IFERROR(VLOOKUP(T_BilanSocial[[#This Row],[NumL]],T_TraitDi[#Data],COLUMN(T_TraitDi[[#This Row],[Colonne8]]),FALSE),""),"[hh]:mm"))</f>
        <v>#VALUE!</v>
      </c>
      <c r="AN204" s="172" t="str">
        <f>IFERROR(VLOOKUP(T_BilanSocial[[#This Row],[NumL]],T_TraitDi[#Data],COLUMN(T_TraitDi[[#This Row],[Mardi]]),FALSE),"")</f>
        <v/>
      </c>
      <c r="AO204" s="172" t="e">
        <f>IF(VLOOKUP(T_BilanSocial[[#This Row],[NumL]],T_TraitDi[#Data],COLUMN(T_TraitDi[[#This Row],[Colonne1]]),FALSE)=0,"",TEXT(IFERROR(VLOOKUP(T_BilanSocial[[#This Row],[NumL]],T_TraitDi[#Data],COLUMN(T_TraitDi[[#This Row],[Colonne1]]),FALSE),""),"[hh]:mm"))</f>
        <v>#VALUE!</v>
      </c>
      <c r="AP204" s="172" t="e">
        <f>IF(VLOOKUP(T_BilanSocial[[#This Row],[NumL]],T_TraitDi[#Data],COLUMN(T_TraitDi[[#This Row],[Colonne9]]),FALSE)=0,"",TEXT(IFERROR(VLOOKUP(T_BilanSocial[[#This Row],[NumL]],T_TraitDi[#Data],COLUMN(T_TraitDi[[#This Row],[Colonne9]]),FALSE),""),"[hh]:mm"))</f>
        <v>#VALUE!</v>
      </c>
      <c r="AQ204" s="172" t="str">
        <f>IFERROR(VLOOKUP(T_BilanSocial[[#This Row],[NumL]],T_TraitDi[#Data],COLUMN(T_TraitDi[[#This Row],[Colonne10]]),FALSE),"")</f>
        <v/>
      </c>
      <c r="AR204" s="172" t="e">
        <f>IF(VLOOKUP(T_BilanSocial[[#This Row],[NumL]],T_TraitDi[#Data],COLUMN(T_TraitDi[[#This Row],[Colonne11]]),FALSE)=0,"",TEXT(IFERROR(VLOOKUP(T_BilanSocial[[#This Row],[NumL]],T_TraitDi[#Data],COLUMN(T_TraitDi[[#This Row],[Colonne11]]),FALSE),""),"[hh]:mm"))</f>
        <v>#VALUE!</v>
      </c>
      <c r="AS204" s="172" t="e">
        <f>IF(VLOOKUP(T_BilanSocial[[#This Row],[NumL]],T_TraitDi[#Data],COLUMN(T_TraitDi[[#This Row],[Colonne12]]),FALSE)=0,"",TEXT(IFERROR(VLOOKUP(T_BilanSocial[[#This Row],[NumL]],T_TraitDi[#Data],COLUMN(T_TraitDi[[#This Row],[Colonne12]]),FALSE),""),"[hh]:mm"))</f>
        <v>#VALUE!</v>
      </c>
      <c r="AT204" s="172" t="e">
        <f>IF(VLOOKUP(T_BilanSocial[[#This Row],[NumL]],T_TraitDi[#Data],COLUMN(T_TraitDi[[#This Row],[Colonne14]]),FALSE)=0,"",TEXT(IFERROR(VLOOKUP(T_BilanSocial[[#This Row],[NumL]],T_TraitDi[#Data],COLUMN(T_TraitDi[[#This Row],[Colonne14]]),FALSE),""),"[hh]:mm"))</f>
        <v>#VALUE!</v>
      </c>
      <c r="AU204" s="172" t="str">
        <f>IFERROR(VLOOKUP(T_BilanSocial[[#This Row],[NumL]],T_TraitDi[#Data],COLUMN(T_TraitDi[[#This Row],[Mercredi]]),FALSE),"")</f>
        <v/>
      </c>
      <c r="AV204" s="172" t="e">
        <f>IF(VLOOKUP(T_BilanSocial[[#This Row],[NumL]],T_TraitDi[#Data],COLUMN(T_TraitDi[[#This Row],[Colonne15]]),FALSE)=0,"",TEXT(IFERROR(VLOOKUP(T_BilanSocial[[#This Row],[NumL]],T_TraitDi[#Data],COLUMN(T_TraitDi[[#This Row],[Colonne15]]),FALSE),""),"[hh]:mm"))</f>
        <v>#VALUE!</v>
      </c>
      <c r="AW204" s="172" t="e">
        <f>IF(VLOOKUP(T_BilanSocial[[#This Row],[NumL]],T_TraitDi[#Data],COLUMN(T_TraitDi[[#This Row],[Colonne16]]),FALSE)=0,"",TEXT(IFERROR(VLOOKUP(T_BilanSocial[[#This Row],[NumL]],T_TraitDi[#Data],COLUMN(T_TraitDi[[#This Row],[Colonne16]]),FALSE),""),"[hh]:mm"))</f>
        <v>#VALUE!</v>
      </c>
      <c r="AX204" s="172" t="str">
        <f>IFERROR(VLOOKUP(T_BilanSocial[[#This Row],[NumL]],T_TraitDi[#Data],COLUMN(T_TraitDi[[#This Row],[Colonne17]]),FALSE),"")</f>
        <v/>
      </c>
      <c r="AY204" s="172" t="e">
        <f>IF(VLOOKUP(T_BilanSocial[[#This Row],[NumL]],T_TraitDi[#Data],COLUMN(T_TraitDi[[#This Row],[Colonne18]]),FALSE)=0,"",TEXT(IFERROR(VLOOKUP(T_BilanSocial[[#This Row],[NumL]],T_TraitDi[#Data],COLUMN(T_TraitDi[[#This Row],[Colonne18]]),FALSE),""),"[hh]:mm"))</f>
        <v>#VALUE!</v>
      </c>
      <c r="AZ204" s="172" t="e">
        <f>IF(VLOOKUP(T_BilanSocial[[#This Row],[NumL]],T_TraitDi[#Data],COLUMN(T_TraitDi[[#This Row],[Colonne19]]),FALSE)=0,"",TEXT(IFERROR(VLOOKUP(T_BilanSocial[[#This Row],[NumL]],T_TraitDi[#Data],COLUMN(T_TraitDi[[#This Row],[Colonne19]]),FALSE),""),"[hh]:mm"))</f>
        <v>#VALUE!</v>
      </c>
      <c r="BA204" s="172" t="e">
        <f>IF(VLOOKUP(T_BilanSocial[[#This Row],[NumL]],T_TraitDi[#Data],COLUMN(T_TraitDi[[#This Row],[Colonne20]]),FALSE)=0,"",TEXT(IFERROR(VLOOKUP(T_BilanSocial[[#This Row],[NumL]],T_TraitDi[#Data],COLUMN(T_TraitDi[[#This Row],[Colonne20]]),FALSE),""),"[hh]:mm"))</f>
        <v>#VALUE!</v>
      </c>
      <c r="BB204" s="178" t="str">
        <f>IFERROR(VLOOKUP(T_BilanSocial[[#This Row],[NumL]],T_TraitDi[#Data],COLUMN(T_TraitDi[[#This Row],[Jeudi]]),FALSE),"")</f>
        <v/>
      </c>
      <c r="BC204" s="178" t="e">
        <f>IF(VLOOKUP(T_BilanSocial[[#This Row],[NumL]],T_TraitDi[#Data],COLUMN(T_TraitDi[[#This Row],[Colonne21]]),FALSE)=0,"",TEXT(IFERROR(VLOOKUP(T_BilanSocial[[#This Row],[NumL]],T_TraitDi[#Data],COLUMN(T_TraitDi[[#This Row],[Colonne21]]),FALSE),""),"[hh]:mm"))</f>
        <v>#VALUE!</v>
      </c>
      <c r="BD204" s="178" t="e">
        <f>IF(VLOOKUP(T_BilanSocial[[#This Row],[NumL]],T_TraitDi[#Data],COLUMN(T_TraitDi[[#This Row],[Colonne22]]),FALSE)=0,"",TEXT(IFERROR(VLOOKUP(T_BilanSocial[[#This Row],[NumL]],T_TraitDi[#Data],COLUMN(T_TraitDi[[#This Row],[Colonne22]]),FALSE),""),"[hh]:mm"))</f>
        <v>#VALUE!</v>
      </c>
      <c r="BE204" s="178" t="str">
        <f>IFERROR(VLOOKUP(T_BilanSocial[[#This Row],[NumL]],T_TraitDi[#Data],COLUMN(T_TraitDi[[#This Row],[Colonne23]]),FALSE),"")</f>
        <v/>
      </c>
      <c r="BF204" s="178" t="e">
        <f>IF(VLOOKUP(T_BilanSocial[[#This Row],[NumL]],T_TraitDi[#Data],COLUMN(T_TraitDi[[#This Row],[Colonne24]]),FALSE)=0,"",TEXT(IFERROR(VLOOKUP(T_BilanSocial[[#This Row],[NumL]],T_TraitDi[#Data],COLUMN(T_TraitDi[[#This Row],[Colonne24]]),FALSE),""),"[hh]:mm"))</f>
        <v>#VALUE!</v>
      </c>
      <c r="BG204" s="178" t="e">
        <f>IF(VLOOKUP(T_BilanSocial[[#This Row],[NumL]],T_TraitDi[#Data],COLUMN(T_TraitDi[[#This Row],[Colonne25]]),FALSE)=0,"",TEXT(IFERROR(VLOOKUP(T_BilanSocial[[#This Row],[NumL]],T_TraitDi[#Data],COLUMN(T_TraitDi[[#This Row],[Colonne25]]),FALSE),""),"[hh]:mm"))</f>
        <v>#VALUE!</v>
      </c>
      <c r="BH204" s="178" t="e">
        <f>IF(VLOOKUP(T_BilanSocial[[#This Row],[NumL]],T_TraitDi[#Data],COLUMN(T_TraitDi[[#This Row],[Colonne26]]),FALSE)=0,"",TEXT(IFERROR(VLOOKUP(T_BilanSocial[[#This Row],[NumL]],T_TraitDi[#Data],COLUMN(T_TraitDi[[#This Row],[Colonne26]]),FALSE),""),"[hh]:mm"))</f>
        <v>#VALUE!</v>
      </c>
      <c r="BI204" s="172" t="str">
        <f>IFERROR(VLOOKUP(T_BilanSocial[[#This Row],[NumL]],T_TraitDi[#Data],COLUMN(T_TraitDi[[#This Row],[Vendredi]]),FALSE),"")</f>
        <v/>
      </c>
      <c r="BJ204" s="172" t="e">
        <f>IF(VLOOKUP(T_BilanSocial[[#This Row],[NumL]],T_TraitDi[#Data],COLUMN(T_TraitDi[[#This Row],[Colonne27]]),FALSE)=0,"",TEXT(IFERROR(VLOOKUP(T_BilanSocial[[#This Row],[NumL]],T_TraitDi[#Data],COLUMN(T_TraitDi[[#This Row],[Colonne27]]),FALSE),""),"[hh]:mm"))</f>
        <v>#VALUE!</v>
      </c>
      <c r="BK204" s="172" t="e">
        <f>IF(VLOOKUP(T_BilanSocial[[#This Row],[NumL]],T_TraitDi[#Data],COLUMN(T_TraitDi[[#This Row],[Colonne28]]),FALSE)=0,"",TEXT(IFERROR(VLOOKUP(T_BilanSocial[[#This Row],[NumL]],T_TraitDi[#Data],COLUMN(T_TraitDi[[#This Row],[Colonne28]]),FALSE),""),"[hh]:mm"))</f>
        <v>#VALUE!</v>
      </c>
      <c r="BL204" s="172" t="str">
        <f>IFERROR(VLOOKUP(T_BilanSocial[[#This Row],[NumL]],T_TraitDi[#Data],COLUMN(T_TraitDi[[#This Row],[Colonne29]]),FALSE),"")</f>
        <v/>
      </c>
      <c r="BM204" s="172" t="e">
        <f>IF(VLOOKUP(T_BilanSocial[[#This Row],[NumL]],T_TraitDi[#Data],COLUMN(T_TraitDi[[#This Row],[Colonne30]]),FALSE)=0,"",TEXT(IFERROR(VLOOKUP(T_BilanSocial[[#This Row],[NumL]],T_TraitDi[#Data],COLUMN(T_TraitDi[[#This Row],[Colonne30]]),FALSE),""),"[hh]:mm"))</f>
        <v>#VALUE!</v>
      </c>
      <c r="BN204" s="172" t="e">
        <f>IF(VLOOKUP(T_BilanSocial[[#This Row],[NumL]],T_TraitDi[#Data],COLUMN(T_TraitDi[[#This Row],[Colonne31]]),FALSE)=0,"",TEXT(IFERROR(VLOOKUP(T_BilanSocial[[#This Row],[NumL]],T_TraitDi[#Data],COLUMN(T_TraitDi[[#This Row],[Colonne31]]),FALSE),""),"[hh]:mm"))</f>
        <v>#VALUE!</v>
      </c>
      <c r="BO204" s="172" t="e">
        <f>IF(VLOOKUP(T_BilanSocial[[#This Row],[NumL]],T_TraitDi[#Data],COLUMN(T_TraitDi[[#This Row],[Colonne32]]),FALSE)=0,"",TEXT(IFERROR(VLOOKUP(T_BilanSocial[[#This Row],[NumL]],T_TraitDi[#Data],COLUMN(T_TraitDi[[#This Row],[Colonne32]]),FALSE),""),"[hh]:mm"))</f>
        <v>#VALUE!</v>
      </c>
      <c r="BP204" s="172" t="e">
        <f>VLOOKUP(T_BilanSocial[[#This Row],[NumL]],T_TraitDi[#Data],COLUMN(T_TraitDi[NbJTot]),FALSE)</f>
        <v>#N/A</v>
      </c>
      <c r="BQ204" s="174" t="str">
        <f>IFERROR(VLOOKUP(T_BilanSocial[[#This Row],[NumL]],T_TraitDi[#Data],COLUMN(T_TraitDi[[#This Row],[NbJTW]]),FALSE),"")</f>
        <v/>
      </c>
      <c r="BR204" s="174" t="e">
        <f>IF(VLOOKUP(T_BilanSocial[[#This Row],[NumL]],T_TraitDi[#Data],COLUMN(T_TraitDi[[#This Row],[NbhTW]]),FALSE)=0,"",TEXT(IFERROR(VLOOKUP(T_BilanSocial[[#This Row],[NumL]],T_TraitDi[#Data],COLUMN(T_TraitDi[[#This Row],[NbhTW]]),FALSE),""),"[hh]:mm"))</f>
        <v>#VALUE!</v>
      </c>
      <c r="BS204" s="174" t="e">
        <f>IF(VLOOKUP(T_BilanSocial[[#This Row],[NumL]],T_TraitDi[#Data],COLUMN(T_TraitDi[[#This Row],[Nbhheb]]),FALSE)=0,"",TEXT(IFERROR(VLOOKUP($A204,T_TraitDi[#Data],COLUMN(T_TraitDi[[#This Row],[Nbhheb]]),FALSE),""),"[hh]:mm"))</f>
        <v>#VALUE!</v>
      </c>
      <c r="BT204" s="182" t="str">
        <f>IFERROR(VLOOKUP(VLOOKUP($A204,T_TraitDi[#Data],COLUMN(T_TraitDi[[#This Row],[Type1]]),FALSE),TypeTW,2,FALSE),"")</f>
        <v/>
      </c>
      <c r="BU204" s="182" t="str">
        <f>IFERROR(VLOOKUP($A204,T_TraitDi[#Data],COLUMN(T_TraitDi[[#This Row],[Rue1]]),FALSE),"")</f>
        <v/>
      </c>
      <c r="BV204" s="173" t="str">
        <f>IFERROR(VLOOKUP($A204,T_TraitDi[#Data],COLUMN(T_TraitDi[[#This Row],[CP1]]),FALSE),"")</f>
        <v/>
      </c>
      <c r="BW204" s="173" t="str">
        <f>IFERROR(VLOOKUP($A204,T_TraitDi[#Data],COLUMN(T_TraitDi[[#This Row],[VILLE1]]),FALSE),"")</f>
        <v/>
      </c>
      <c r="BX204" s="182" t="str">
        <f>IFERROR(VLOOKUP(VLOOKUP($A204,T_TraitDi[#Data],COLUMN(T_TraitDi[[#This Row],[Type2]]),FALSE),TypeTW,2,FALSE),"")</f>
        <v/>
      </c>
      <c r="BY204" s="182" t="str">
        <f>IFERROR(VLOOKUP($A204,T_TraitDi[#Data],COLUMN(T_TraitDi[[#This Row],[Rue2]]),FALSE),"")</f>
        <v/>
      </c>
      <c r="BZ204" s="173" t="str">
        <f>IFERROR(VLOOKUP($A204,T_TraitDi[#Data],COLUMN(T_TraitDi[[#This Row],[CP2]]),FALSE),"")</f>
        <v/>
      </c>
      <c r="CA204" s="173" t="str">
        <f>IFERROR(VLOOKUP($A204,T_TraitDi[#Data],COLUMN(T_TraitDi[[#This Row],[VILLE2]]),FALSE),"")</f>
        <v/>
      </c>
      <c r="CB204" s="182" t="str">
        <f>IF(VLOOKUP(T_BilanSocial[[#This Row],[NumL]],T_Equipement[#Data],COLUMN(T_Equipement[[#This Row],[PC]]),FALSE)="","Aucun équipement spécifique directement lié au télétravail",VLOOKUP(T_BilanSocial[[#This Row],[NumL]],T_Equipement[#Data],COLUMN(T_Equipement[[#This Row],[PC]]),FALSE))</f>
        <v xml:space="preserve">20-273	</v>
      </c>
      <c r="CC204" s="166" t="str">
        <f>IFERROR(IF(VLOOKUP(T_BilanSocial[[#This Row],[NumL]],T_TraitDi[#Data],COLUMN(T_TraitDi[[#This Row],[Plan]]),FALSE)="OK","Un planning spécifique de télétravail est annexé à la présente convention.",""),"")</f>
        <v/>
      </c>
      <c r="CD204" s="185"/>
      <c r="CE204" s="164" t="e">
        <f>IF(VLOOKUP(T_BilanSocial[[#This Row],[NumL]],T_suiviDi[#Data],COLUMN(T_suiviDi[[#This Row],[Entité]]),FALSE)="","",VLOOKUP(T_BilanSocial[[#This Row],[NumL]],T_suiviDi[#Data],COLUMN(T_suiviDi[[#This Row],[Entité]]),FALSE))</f>
        <v>#VALUE!</v>
      </c>
      <c r="CF204" s="164" t="str">
        <f>IF(VLOOKUP(T_BilanSocial[[#This Row],[NumL]],T_Commission[#Data],COLUMN(T_Commission[[#This Row],[envoi confirm TW]]),FALSE)="","",VLOOKUP(T_BilanSocial[[#This Row],[NumL]],T_Commission[#Data],COLUMN(T_Commission[[#This Row],[envoi confirm TW]]),FALSE))</f>
        <v/>
      </c>
      <c r="CG20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4" s="262" t="str">
        <f>T_BilanSocial[[#This Row],[Nom]]&amp;T_BilanSocial[[#This Row],[Prenom]]</f>
        <v/>
      </c>
      <c r="CI204" s="262">
        <f>VLOOKUP(T_BilanSocial[[#This Row],[NumL]],T_Commission[#Data],COLUMN(T_Commission[Commentaire]),FALSE)</f>
        <v>0</v>
      </c>
      <c r="CJ204" s="262" t="str">
        <f>IF(VLOOKUP(T_BilanSocial[[#This Row],[NumL]],T_Commission[#Data],COLUMN(T_Commission[Encadrant Email]),FALSE)="","",VLOOKUP(T_BilanSocial[[#This Row],[NumL]],T_Commission[#Data],COLUMN(T_Commission[Encadrant Email]),FALSE))</f>
        <v/>
      </c>
      <c r="CK204" s="340" t="str">
        <f>IF(T_BilanSocial[[#This Row],[Final]]&lt;&gt;"",VLOOKUP(T_BilanSocial[[#This Row],[NumL]],T_suiviDi[#Data],COLUMN((T_suiviDi[Statut])),FALSE),"")</f>
        <v/>
      </c>
    </row>
    <row r="205" spans="1:89" s="106" customFormat="1" ht="24.75" customHeight="1" x14ac:dyDescent="0.25">
      <c r="A205" s="160">
        <v>202</v>
      </c>
      <c r="B205" s="161" t="str">
        <f t="shared" si="34"/>
        <v/>
      </c>
      <c r="C205" s="162" t="s">
        <v>173</v>
      </c>
      <c r="D205" s="95" t="e">
        <f>IF(VLOOKUP(T_BilanSocial[[#This Row],[NumL]],T_TraitDi[#Data],COLUMN(T_TraitDi[[#This Row],[WebC]]),FALSE)="","",VLOOKUP(T_BilanSocial[[#This Row],[NumL]],T_TraitDi[#Data],COLUMN(T_TraitDi[[#This Row],[WebC]]),FALSE))</f>
        <v>#VALUE!</v>
      </c>
      <c r="E205" s="163" t="str">
        <f t="shared" si="35"/>
        <v>12 janvier 2021</v>
      </c>
      <c r="F205" s="96" t="str">
        <f>IF(T_BilanSocial[[#This Row],[Final]]&lt;&gt;"",VLOOKUP(T_BilanSocial[[#This Row],[NumL]],T_suiviDi[#Data],COLUMN((T_suiviDi[Civ.])),FALSE),"")</f>
        <v/>
      </c>
      <c r="G205" s="96" t="str">
        <f>IF(T_BilanSocial[[#This Row],[Final]]&lt;&gt;"",VLOOKUP(T_BilanSocial[[#This Row],[NumL]],T_suiviDi[#Data],COLUMN((T_suiviDi[Nom])),FALSE),"")</f>
        <v/>
      </c>
      <c r="H205" s="96" t="str">
        <f>IF(T_BilanSocial[[#This Row],[Final]]&lt;&gt;"",VLOOKUP(T_BilanSocial[[#This Row],[NumL]],T_suiviDi[#Data],COLUMN((T_suiviDi[Prénom])),FALSE),"")</f>
        <v/>
      </c>
      <c r="I205" s="96" t="str">
        <f>IFERROR(VLOOKUP(T_BilanSocial[[#This Row],[Zone_Bilan]],T_P_BilanSocial[#Data],COLUMN(T_P_BilanSocial[[#This Row],[Numero_SIHAM]]),FALSE),"")</f>
        <v/>
      </c>
      <c r="J205" s="96" t="str">
        <f>IFERROR(VLOOKUP(T_BilanSocial[[#This Row],[Zone_Bilan]],T_P_BilanSocial[#Data],COLUMN(T_P_BilanSocial[[#This Row],[Sexe]]),FALSE),"")</f>
        <v/>
      </c>
      <c r="K205" s="97" t="str">
        <f>IFERROR(VLOOKUP(T_BilanSocial[[#This Row],[Zone_Bilan]],T_P_BilanSocial[#Data],COLUMN(T_P_BilanSocial[[#This Row],[Categorie]]),FALSE),"")</f>
        <v/>
      </c>
      <c r="L205" s="96" t="str">
        <f>IFERROR(VLOOKUP(T_BilanSocial[[#This Row],[Zone_Bilan]],T_P_BilanSocial[#Data],COLUMN(T_P_BilanSocial[[#This Row],[Statut]]),FALSE),"")</f>
        <v/>
      </c>
      <c r="M205" s="96" t="str">
        <f>IFERROR(VLOOKUP(T_BilanSocial[[#This Row],[Zone_Bilan]],T_P_BilanSocial[#Data],COLUMN(T_P_BilanSocial[[#This Row],[Filiere]]),FALSE),"")</f>
        <v/>
      </c>
      <c r="N205" s="96" t="e">
        <f>VLOOKUP(T_BilanSocial[[#This Row],[NumL]],T_TraitDi[#Data],COLUMN(T_TraitDi[EXP]),FALSE)</f>
        <v>#N/A</v>
      </c>
      <c r="O205" s="96" t="e">
        <f>VLOOKUP(T_BilanSocial[[#This Row],[NumL]],T_TraitDi[#Data],COLUMN(T_TraitDi[FORM]),FALSE)</f>
        <v>#N/A</v>
      </c>
      <c r="P205" s="96" t="str">
        <f>IF(T_BilanSocial[[#This Row],[Final]]&lt;&gt;"",VLOOKUP(T_BilanSocial[[#This Row],[NumL]],T_suiviDi[#Data],COLUMN((T_suiviDi[Email])),FALSE),"")</f>
        <v/>
      </c>
      <c r="Q205" s="164" t="e">
        <f t="shared" si="28"/>
        <v>#N/A</v>
      </c>
      <c r="R205" s="164" t="e">
        <f t="shared" si="29"/>
        <v>#N/A</v>
      </c>
      <c r="S205" s="164" t="e">
        <f>IF(VLOOKUP(T_BilanSocial[[#This Row],[NumL]],T_suiviDi[#Data],COLUMN(T_suiviDi[[#This Row],[Service ]]),FALSE)="","",VLOOKUP(T_BilanSocial[[#This Row],[NumL]],T_suiviDi[#Data],COLUMN(T_suiviDi[[#This Row],[Service ]]),FALSE))</f>
        <v>#VALUE!</v>
      </c>
      <c r="T205" s="164" t="str">
        <f t="shared" si="36"/>
        <v>01 septembre 2021</v>
      </c>
      <c r="U205" s="164" t="str">
        <f t="shared" si="37"/>
        <v>30 novembre 2021</v>
      </c>
      <c r="V205" s="164" t="str">
        <f>TEXT(Datebilan,"jj mmmm aaaa")</f>
        <v>30 novembre 2021</v>
      </c>
      <c r="W205" s="176" t="e">
        <f>IF(VLOOKUP(T_BilanSocial[[#This Row],[NumL]],T_TraitDi[#Data],COLUMN(T_TraitDi[[#This Row],[M1]]),FALSE)="","",VLOOKUP(T_BilanSocial[[#This Row],[NumL]],T_TraitDi[#Data],COLUMN(T_TraitDi[[#This Row],[M1]]),FALSE))</f>
        <v>#VALUE!</v>
      </c>
      <c r="X205" s="176" t="e">
        <f>IF(VLOOKUP(T_BilanSocial[[#This Row],[NumL]],T_TraitDi[#Data],COLUMN(T_TraitDi[[#This Row],[M2]]),FALSE)="","",VLOOKUP(T_BilanSocial[[#This Row],[NumL]],T_TraitDi[#Data],COLUMN(T_TraitDi[[#This Row],[M2]]),FALSE))</f>
        <v>#VALUE!</v>
      </c>
      <c r="Y205" s="176" t="e">
        <f>IF(VLOOKUP(T_BilanSocial[[#This Row],[NumL]],T_TraitDi[#Data],COLUMN(T_TraitDi[[#This Row],[M3]]),FALSE)="","",VLOOKUP(T_BilanSocial[[#This Row],[NumL]],T_TraitDi[#Data],COLUMN(T_TraitDi[[#This Row],[M3]]),FALSE))</f>
        <v>#VALUE!</v>
      </c>
      <c r="Z205" s="176" t="str">
        <f t="shared" si="39"/>
        <v/>
      </c>
      <c r="AA205" s="176" t="e">
        <f>IF(VLOOKUP(T_BilanSocial[[#This Row],[NumL]],T_TraitDi[#Data],COLUMN(T_TraitDi[[#This Row],[M5]]),FALSE)="","",VLOOKUP(T_BilanSocial[[#This Row],[NumL]],T_TraitDi[#Data],COLUMN(T_TraitDi[[#This Row],[M5]]),FALSE))</f>
        <v>#VALUE!</v>
      </c>
      <c r="AB205" s="176" t="e">
        <f>IF(VLOOKUP(T_BilanSocial[[#This Row],[NumL]],T_TraitDi[#Data],COLUMN(T_TraitDi[[#This Row],[M6]]),FALSE)="","",VLOOKUP(T_BilanSocial[[#This Row],[NumL]],T_TraitDi[#Data],COLUMN(T_TraitDi[[#This Row],[M6]]),FALSE))</f>
        <v>#VALUE!</v>
      </c>
      <c r="AC205" s="165" t="e">
        <f t="shared" si="38"/>
        <v>#VALUE!</v>
      </c>
      <c r="AD205" s="188" t="str">
        <f>IFERROR(TEXT(VLOOKUP(T_BilanSocial[[#This Row],[NumL]],T_TraitDi[#Data],COLUMN(T_TraitDi[[#This Row],[Q2]]),FALSE),"###%"),"")</f>
        <v/>
      </c>
      <c r="AE205" s="97" t="e">
        <f>VLOOKUP(T_BilanSocial[[#This Row],[NumL]],T_TraitDi[#Data],COLUMN(T_TraitDi[[#This Row],[Reg Ponct]]),FALSE)</f>
        <v>#VALUE!</v>
      </c>
      <c r="AF205" s="97" t="e">
        <f>VLOOKUP(T_BilanSocial[NumL],T_TraitDi[#Data],COLUMN(T_TraitDi[[#This Row],[Jours flottants]]),FALSE)</f>
        <v>#VALUE!</v>
      </c>
      <c r="AG205" s="97" t="str">
        <f>IFERROR(VLOOKUP(T_BilanSocial[[#This Row],[NumL]],T_TraitDi[#Data],COLUMN(T_TraitDi[[#This Row],[Lundi]]),FALSE),"")</f>
        <v/>
      </c>
      <c r="AH205" s="172" t="e">
        <f>IF(VLOOKUP(T_BilanSocial[[#This Row],[NumL]],T_TraitDi[#Data],COLUMN(T_TraitDi[[#This Row],[Colonne3]]),FALSE)=0,"",TEXT(IFERROR(VLOOKUP(T_BilanSocial[[#This Row],[NumL]],T_TraitDi[#Data],COLUMN(T_TraitDi[[#This Row],[Colonne3]]),FALSE),""),"[hh]:mm"))</f>
        <v>#VALUE!</v>
      </c>
      <c r="AI205" s="172" t="e">
        <f>IF(VLOOKUP(T_BilanSocial[[#This Row],[NumL]],T_TraitDi[#Data],COLUMN(T_TraitDi[[#This Row],[Colonne4]]),FALSE)=0,"",TEXT(IFERROR(VLOOKUP(T_BilanSocial[[#This Row],[NumL]],T_TraitDi[#Data],COLUMN(T_TraitDi[[#This Row],[Colonne4]]),FALSE),""),"[hh]:mm"))</f>
        <v>#VALUE!</v>
      </c>
      <c r="AJ205" s="172" t="e">
        <f>IF(VLOOKUP(T_BilanSocial[[#This Row],[NumL]],T_TraitDi[#Data],COLUMN(T_TraitDi[[#This Row],[Colonne5]]),FALSE)=0,"",TEXT(IFERROR(VLOOKUP(T_BilanSocial[[#This Row],[NumL]],T_TraitDi[#Data],COLUMN(T_TraitDi[[#This Row],[Colonne5]]),FALSE),""),"[hh]:mm"))</f>
        <v>#VALUE!</v>
      </c>
      <c r="AK205" s="172" t="e">
        <f>IF(VLOOKUP(T_BilanSocial[[#This Row],[NumL]],T_TraitDi[#Data],COLUMN(T_TraitDi[[#This Row],[Colonne6]]),FALSE)=0,"",TEXT(IFERROR(VLOOKUP(T_BilanSocial[[#This Row],[NumL]],T_TraitDi[#Data],COLUMN(T_TraitDi[[#This Row],[Colonne6]]),FALSE),""),"[hh]:mm"))</f>
        <v>#VALUE!</v>
      </c>
      <c r="AL205" s="172" t="e">
        <f>IF(VLOOKUP(T_BilanSocial[[#This Row],[NumL]],T_TraitDi[#Data],COLUMN(T_TraitDi[[#This Row],[Colonne7]]),FALSE)=0,"",TEXT(IFERROR(VLOOKUP(T_BilanSocial[[#This Row],[NumL]],T_TraitDi[#Data],COLUMN(T_TraitDi[[#This Row],[Colonne7]]),FALSE),""),"[hh]:mm"))</f>
        <v>#VALUE!</v>
      </c>
      <c r="AM205" s="172" t="e">
        <f>IF(VLOOKUP(T_BilanSocial[[#This Row],[NumL]],T_TraitDi[#Data],COLUMN(T_TraitDi[[#This Row],[Colonne8]]),FALSE)=0,"",TEXT(IFERROR(VLOOKUP(T_BilanSocial[[#This Row],[NumL]],T_TraitDi[#Data],COLUMN(T_TraitDi[[#This Row],[Colonne8]]),FALSE),""),"[hh]:mm"))</f>
        <v>#VALUE!</v>
      </c>
      <c r="AN205" s="172" t="str">
        <f>IFERROR(VLOOKUP(T_BilanSocial[[#This Row],[NumL]],T_TraitDi[#Data],COLUMN(T_TraitDi[[#This Row],[Mardi]]),FALSE),"")</f>
        <v/>
      </c>
      <c r="AO205" s="172" t="e">
        <f>IF(VLOOKUP(T_BilanSocial[[#This Row],[NumL]],T_TraitDi[#Data],COLUMN(T_TraitDi[[#This Row],[Colonne1]]),FALSE)=0,"",TEXT(IFERROR(VLOOKUP(T_BilanSocial[[#This Row],[NumL]],T_TraitDi[#Data],COLUMN(T_TraitDi[[#This Row],[Colonne1]]),FALSE),""),"[hh]:mm"))</f>
        <v>#VALUE!</v>
      </c>
      <c r="AP205" s="172" t="e">
        <f>IF(VLOOKUP(T_BilanSocial[[#This Row],[NumL]],T_TraitDi[#Data],COLUMN(T_TraitDi[[#This Row],[Colonne9]]),FALSE)=0,"",TEXT(IFERROR(VLOOKUP(T_BilanSocial[[#This Row],[NumL]],T_TraitDi[#Data],COLUMN(T_TraitDi[[#This Row],[Colonne9]]),FALSE),""),"[hh]:mm"))</f>
        <v>#VALUE!</v>
      </c>
      <c r="AQ205" s="172" t="str">
        <f>IFERROR(VLOOKUP(T_BilanSocial[[#This Row],[NumL]],T_TraitDi[#Data],COLUMN(T_TraitDi[[#This Row],[Colonne10]]),FALSE),"")</f>
        <v/>
      </c>
      <c r="AR205" s="172" t="e">
        <f>IF(VLOOKUP(T_BilanSocial[[#This Row],[NumL]],T_TraitDi[#Data],COLUMN(T_TraitDi[[#This Row],[Colonne11]]),FALSE)=0,"",TEXT(IFERROR(VLOOKUP(T_BilanSocial[[#This Row],[NumL]],T_TraitDi[#Data],COLUMN(T_TraitDi[[#This Row],[Colonne11]]),FALSE),""),"[hh]:mm"))</f>
        <v>#VALUE!</v>
      </c>
      <c r="AS205" s="172" t="e">
        <f>IF(VLOOKUP(T_BilanSocial[[#This Row],[NumL]],T_TraitDi[#Data],COLUMN(T_TraitDi[[#This Row],[Colonne12]]),FALSE)=0,"",TEXT(IFERROR(VLOOKUP(T_BilanSocial[[#This Row],[NumL]],T_TraitDi[#Data],COLUMN(T_TraitDi[[#This Row],[Colonne12]]),FALSE),""),"[hh]:mm"))</f>
        <v>#VALUE!</v>
      </c>
      <c r="AT205" s="172" t="e">
        <f>IF(VLOOKUP(T_BilanSocial[[#This Row],[NumL]],T_TraitDi[#Data],COLUMN(T_TraitDi[[#This Row],[Colonne14]]),FALSE)=0,"",TEXT(IFERROR(VLOOKUP(T_BilanSocial[[#This Row],[NumL]],T_TraitDi[#Data],COLUMN(T_TraitDi[[#This Row],[Colonne14]]),FALSE),""),"[hh]:mm"))</f>
        <v>#VALUE!</v>
      </c>
      <c r="AU205" s="172" t="str">
        <f>IFERROR(VLOOKUP(T_BilanSocial[[#This Row],[NumL]],T_TraitDi[#Data],COLUMN(T_TraitDi[[#This Row],[Mercredi]]),FALSE),"")</f>
        <v/>
      </c>
      <c r="AV205" s="172" t="e">
        <f>IF(VLOOKUP(T_BilanSocial[[#This Row],[NumL]],T_TraitDi[#Data],COLUMN(T_TraitDi[[#This Row],[Colonne15]]),FALSE)=0,"",TEXT(IFERROR(VLOOKUP(T_BilanSocial[[#This Row],[NumL]],T_TraitDi[#Data],COLUMN(T_TraitDi[[#This Row],[Colonne15]]),FALSE),""),"[hh]:mm"))</f>
        <v>#VALUE!</v>
      </c>
      <c r="AW205" s="172" t="e">
        <f>IF(VLOOKUP(T_BilanSocial[[#This Row],[NumL]],T_TraitDi[#Data],COLUMN(T_TraitDi[[#This Row],[Colonne16]]),FALSE)=0,"",TEXT(IFERROR(VLOOKUP(T_BilanSocial[[#This Row],[NumL]],T_TraitDi[#Data],COLUMN(T_TraitDi[[#This Row],[Colonne16]]),FALSE),""),"[hh]:mm"))</f>
        <v>#VALUE!</v>
      </c>
      <c r="AX205" s="172" t="str">
        <f>IFERROR(VLOOKUP(T_BilanSocial[[#This Row],[NumL]],T_TraitDi[#Data],COLUMN(T_TraitDi[[#This Row],[Colonne17]]),FALSE),"")</f>
        <v/>
      </c>
      <c r="AY205" s="172" t="e">
        <f>IF(VLOOKUP(T_BilanSocial[[#This Row],[NumL]],T_TraitDi[#Data],COLUMN(T_TraitDi[[#This Row],[Colonne18]]),FALSE)=0,"",TEXT(IFERROR(VLOOKUP(T_BilanSocial[[#This Row],[NumL]],T_TraitDi[#Data],COLUMN(T_TraitDi[[#This Row],[Colonne18]]),FALSE),""),"[hh]:mm"))</f>
        <v>#VALUE!</v>
      </c>
      <c r="AZ205" s="172" t="e">
        <f>IF(VLOOKUP(T_BilanSocial[[#This Row],[NumL]],T_TraitDi[#Data],COLUMN(T_TraitDi[[#This Row],[Colonne19]]),FALSE)=0,"",TEXT(IFERROR(VLOOKUP(T_BilanSocial[[#This Row],[NumL]],T_TraitDi[#Data],COLUMN(T_TraitDi[[#This Row],[Colonne19]]),FALSE),""),"[hh]:mm"))</f>
        <v>#VALUE!</v>
      </c>
      <c r="BA205" s="172" t="e">
        <f>IF(VLOOKUP(T_BilanSocial[[#This Row],[NumL]],T_TraitDi[#Data],COLUMN(T_TraitDi[[#This Row],[Colonne20]]),FALSE)=0,"",TEXT(IFERROR(VLOOKUP(T_BilanSocial[[#This Row],[NumL]],T_TraitDi[#Data],COLUMN(T_TraitDi[[#This Row],[Colonne20]]),FALSE),""),"[hh]:mm"))</f>
        <v>#VALUE!</v>
      </c>
      <c r="BB205" s="178" t="str">
        <f>IFERROR(VLOOKUP(T_BilanSocial[[#This Row],[NumL]],T_TraitDi[#Data],COLUMN(T_TraitDi[[#This Row],[Jeudi]]),FALSE),"")</f>
        <v/>
      </c>
      <c r="BC205" s="178" t="e">
        <f>IF(VLOOKUP(T_BilanSocial[[#This Row],[NumL]],T_TraitDi[#Data],COLUMN(T_TraitDi[[#This Row],[Colonne21]]),FALSE)=0,"",TEXT(IFERROR(VLOOKUP(T_BilanSocial[[#This Row],[NumL]],T_TraitDi[#Data],COLUMN(T_TraitDi[[#This Row],[Colonne21]]),FALSE),""),"[hh]:mm"))</f>
        <v>#VALUE!</v>
      </c>
      <c r="BD205" s="178" t="e">
        <f>IF(VLOOKUP(T_BilanSocial[[#This Row],[NumL]],T_TraitDi[#Data],COLUMN(T_TraitDi[[#This Row],[Colonne22]]),FALSE)=0,"",TEXT(IFERROR(VLOOKUP(T_BilanSocial[[#This Row],[NumL]],T_TraitDi[#Data],COLUMN(T_TraitDi[[#This Row],[Colonne22]]),FALSE),""),"[hh]:mm"))</f>
        <v>#VALUE!</v>
      </c>
      <c r="BE205" s="178" t="str">
        <f>IFERROR(VLOOKUP(T_BilanSocial[[#This Row],[NumL]],T_TraitDi[#Data],COLUMN(T_TraitDi[[#This Row],[Colonne23]]),FALSE),"")</f>
        <v/>
      </c>
      <c r="BF205" s="178" t="e">
        <f>IF(VLOOKUP(T_BilanSocial[[#This Row],[NumL]],T_TraitDi[#Data],COLUMN(T_TraitDi[[#This Row],[Colonne24]]),FALSE)=0,"",TEXT(IFERROR(VLOOKUP(T_BilanSocial[[#This Row],[NumL]],T_TraitDi[#Data],COLUMN(T_TraitDi[[#This Row],[Colonne24]]),FALSE),""),"[hh]:mm"))</f>
        <v>#VALUE!</v>
      </c>
      <c r="BG205" s="178" t="e">
        <f>IF(VLOOKUP(T_BilanSocial[[#This Row],[NumL]],T_TraitDi[#Data],COLUMN(T_TraitDi[[#This Row],[Colonne25]]),FALSE)=0,"",TEXT(IFERROR(VLOOKUP(T_BilanSocial[[#This Row],[NumL]],T_TraitDi[#Data],COLUMN(T_TraitDi[[#This Row],[Colonne25]]),FALSE),""),"[hh]:mm"))</f>
        <v>#VALUE!</v>
      </c>
      <c r="BH205" s="178" t="e">
        <f>IF(VLOOKUP(T_BilanSocial[[#This Row],[NumL]],T_TraitDi[#Data],COLUMN(T_TraitDi[[#This Row],[Colonne26]]),FALSE)=0,"",TEXT(IFERROR(VLOOKUP(T_BilanSocial[[#This Row],[NumL]],T_TraitDi[#Data],COLUMN(T_TraitDi[[#This Row],[Colonne26]]),FALSE),""),"[hh]:mm"))</f>
        <v>#VALUE!</v>
      </c>
      <c r="BI205" s="172" t="str">
        <f>IFERROR(VLOOKUP(T_BilanSocial[[#This Row],[NumL]],T_TraitDi[#Data],COLUMN(T_TraitDi[[#This Row],[Vendredi]]),FALSE),"")</f>
        <v/>
      </c>
      <c r="BJ205" s="172" t="e">
        <f>IF(VLOOKUP(T_BilanSocial[[#This Row],[NumL]],T_TraitDi[#Data],COLUMN(T_TraitDi[[#This Row],[Colonne27]]),FALSE)=0,"",TEXT(IFERROR(VLOOKUP(T_BilanSocial[[#This Row],[NumL]],T_TraitDi[#Data],COLUMN(T_TraitDi[[#This Row],[Colonne27]]),FALSE),""),"[hh]:mm"))</f>
        <v>#VALUE!</v>
      </c>
      <c r="BK205" s="172" t="e">
        <f>IF(VLOOKUP(T_BilanSocial[[#This Row],[NumL]],T_TraitDi[#Data],COLUMN(T_TraitDi[[#This Row],[Colonne28]]),FALSE)=0,"",TEXT(IFERROR(VLOOKUP(T_BilanSocial[[#This Row],[NumL]],T_TraitDi[#Data],COLUMN(T_TraitDi[[#This Row],[Colonne28]]),FALSE),""),"[hh]:mm"))</f>
        <v>#VALUE!</v>
      </c>
      <c r="BL205" s="172" t="str">
        <f>IFERROR(VLOOKUP(T_BilanSocial[[#This Row],[NumL]],T_TraitDi[#Data],COLUMN(T_TraitDi[[#This Row],[Colonne29]]),FALSE),"")</f>
        <v/>
      </c>
      <c r="BM205" s="172" t="e">
        <f>IF(VLOOKUP(T_BilanSocial[[#This Row],[NumL]],T_TraitDi[#Data],COLUMN(T_TraitDi[[#This Row],[Colonne30]]),FALSE)=0,"",TEXT(IFERROR(VLOOKUP(T_BilanSocial[[#This Row],[NumL]],T_TraitDi[#Data],COLUMN(T_TraitDi[[#This Row],[Colonne30]]),FALSE),""),"[hh]:mm"))</f>
        <v>#VALUE!</v>
      </c>
      <c r="BN205" s="172" t="e">
        <f>IF(VLOOKUP(T_BilanSocial[[#This Row],[NumL]],T_TraitDi[#Data],COLUMN(T_TraitDi[[#This Row],[Colonne31]]),FALSE)=0,"",TEXT(IFERROR(VLOOKUP(T_BilanSocial[[#This Row],[NumL]],T_TraitDi[#Data],COLUMN(T_TraitDi[[#This Row],[Colonne31]]),FALSE),""),"[hh]:mm"))</f>
        <v>#VALUE!</v>
      </c>
      <c r="BO205" s="172" t="e">
        <f>IF(VLOOKUP(T_BilanSocial[[#This Row],[NumL]],T_TraitDi[#Data],COLUMN(T_TraitDi[[#This Row],[Colonne32]]),FALSE)=0,"",TEXT(IFERROR(VLOOKUP(T_BilanSocial[[#This Row],[NumL]],T_TraitDi[#Data],COLUMN(T_TraitDi[[#This Row],[Colonne32]]),FALSE),""),"[hh]:mm"))</f>
        <v>#VALUE!</v>
      </c>
      <c r="BP205" s="172" t="e">
        <f>VLOOKUP(T_BilanSocial[[#This Row],[NumL]],T_TraitDi[#Data],COLUMN(T_TraitDi[NbJTot]),FALSE)</f>
        <v>#N/A</v>
      </c>
      <c r="BQ205" s="174" t="str">
        <f>IFERROR(VLOOKUP(T_BilanSocial[[#This Row],[NumL]],T_TraitDi[#Data],COLUMN(T_TraitDi[[#This Row],[NbJTW]]),FALSE),"")</f>
        <v/>
      </c>
      <c r="BR205" s="174" t="e">
        <f>IF(VLOOKUP(T_BilanSocial[[#This Row],[NumL]],T_TraitDi[#Data],COLUMN(T_TraitDi[[#This Row],[NbhTW]]),FALSE)=0,"",TEXT(IFERROR(VLOOKUP(T_BilanSocial[[#This Row],[NumL]],T_TraitDi[#Data],COLUMN(T_TraitDi[[#This Row],[NbhTW]]),FALSE),""),"[hh]:mm"))</f>
        <v>#VALUE!</v>
      </c>
      <c r="BS205" s="174" t="e">
        <f>IF(VLOOKUP(T_BilanSocial[[#This Row],[NumL]],T_TraitDi[#Data],COLUMN(T_TraitDi[[#This Row],[Nbhheb]]),FALSE)=0,"",TEXT(IFERROR(VLOOKUP($A205,T_TraitDi[#Data],COLUMN(T_TraitDi[[#This Row],[Nbhheb]]),FALSE),""),"[hh]:mm"))</f>
        <v>#VALUE!</v>
      </c>
      <c r="BT205" s="182" t="str">
        <f>IFERROR(VLOOKUP(VLOOKUP($A205,T_TraitDi[#Data],COLUMN(T_TraitDi[[#This Row],[Type1]]),FALSE),TypeTW,2,FALSE),"")</f>
        <v/>
      </c>
      <c r="BU205" s="182" t="str">
        <f>IFERROR(VLOOKUP($A205,T_TraitDi[#Data],COLUMN(T_TraitDi[[#This Row],[Rue1]]),FALSE),"")</f>
        <v/>
      </c>
      <c r="BV205" s="173" t="str">
        <f>IFERROR(VLOOKUP($A205,T_TraitDi[#Data],COLUMN(T_TraitDi[[#This Row],[CP1]]),FALSE),"")</f>
        <v/>
      </c>
      <c r="BW205" s="173" t="str">
        <f>IFERROR(VLOOKUP($A205,T_TraitDi[#Data],COLUMN(T_TraitDi[[#This Row],[VILLE1]]),FALSE),"")</f>
        <v/>
      </c>
      <c r="BX205" s="182" t="str">
        <f>IFERROR(VLOOKUP(VLOOKUP($A205,T_TraitDi[#Data],COLUMN(T_TraitDi[[#This Row],[Type2]]),FALSE),TypeTW,2,FALSE),"")</f>
        <v/>
      </c>
      <c r="BY205" s="182" t="str">
        <f>IFERROR(VLOOKUP($A205,T_TraitDi[#Data],COLUMN(T_TraitDi[[#This Row],[Rue2]]),FALSE),"")</f>
        <v/>
      </c>
      <c r="BZ205" s="173" t="str">
        <f>IFERROR(VLOOKUP($A205,T_TraitDi[#Data],COLUMN(T_TraitDi[[#This Row],[CP2]]),FALSE),"")</f>
        <v/>
      </c>
      <c r="CA205" s="173" t="str">
        <f>IFERROR(VLOOKUP($A205,T_TraitDi[#Data],COLUMN(T_TraitDi[[#This Row],[VILLE2]]),FALSE),"")</f>
        <v/>
      </c>
      <c r="CB205" s="182" t="str">
        <f>IF(VLOOKUP(T_BilanSocial[[#This Row],[NumL]],T_Equipement[#Data],COLUMN(T_Equipement[[#This Row],[PC]]),FALSE)="","Aucun équipement spécifique directement lié au télétravail",VLOOKUP(T_BilanSocial[[#This Row],[NumL]],T_Equipement[#Data],COLUMN(T_Equipement[[#This Row],[PC]]),FALSE))</f>
        <v xml:space="preserve">20-271	</v>
      </c>
      <c r="CC205" s="166" t="str">
        <f>IFERROR(IF(VLOOKUP(T_BilanSocial[[#This Row],[NumL]],T_TraitDi[#Data],COLUMN(T_TraitDi[[#This Row],[Plan]]),FALSE)="OK","Un planning spécifique de télétravail est annexé à la présente convention.",""),"")</f>
        <v/>
      </c>
      <c r="CD205" s="258" t="s">
        <v>3426</v>
      </c>
      <c r="CE205" s="164" t="e">
        <f>IF(VLOOKUP(T_BilanSocial[[#This Row],[NumL]],T_suiviDi[#Data],COLUMN(T_suiviDi[[#This Row],[Entité]]),FALSE)="","",VLOOKUP(T_BilanSocial[[#This Row],[NumL]],T_suiviDi[#Data],COLUMN(T_suiviDi[[#This Row],[Entité]]),FALSE))</f>
        <v>#VALUE!</v>
      </c>
      <c r="CF205" s="164" t="str">
        <f>IF(VLOOKUP(T_BilanSocial[[#This Row],[NumL]],T_Commission[#Data],COLUMN(T_Commission[[#This Row],[envoi confirm TW]]),FALSE)="","",VLOOKUP(T_BilanSocial[[#This Row],[NumL]],T_Commission[#Data],COLUMN(T_Commission[[#This Row],[envoi confirm TW]]),FALSE))</f>
        <v>Oui</v>
      </c>
      <c r="CG20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5" s="262" t="str">
        <f>T_BilanSocial[[#This Row],[Nom]]&amp;T_BilanSocial[[#This Row],[Prenom]]</f>
        <v/>
      </c>
      <c r="CI205" s="262">
        <f>VLOOKUP(T_BilanSocial[[#This Row],[NumL]],T_Commission[#Data],COLUMN(T_Commission[Commentaire]),FALSE)</f>
        <v>0</v>
      </c>
      <c r="CJ205" s="262" t="str">
        <f>IF(VLOOKUP(T_BilanSocial[[#This Row],[NumL]],T_Commission[#Data],COLUMN(T_Commission[Encadrant Email]),FALSE)="","",VLOOKUP(T_BilanSocial[[#This Row],[NumL]],T_Commission[#Data],COLUMN(T_Commission[Encadrant Email]),FALSE))</f>
        <v/>
      </c>
      <c r="CK205" s="340" t="str">
        <f>IF(T_BilanSocial[[#This Row],[Final]]&lt;&gt;"",VLOOKUP(T_BilanSocial[[#This Row],[NumL]],T_suiviDi[#Data],COLUMN((T_suiviDi[Statut])),FALSE),"")</f>
        <v/>
      </c>
    </row>
    <row r="206" spans="1:89" s="106" customFormat="1" ht="24.75" customHeight="1" x14ac:dyDescent="0.25">
      <c r="A206" s="160">
        <v>203</v>
      </c>
      <c r="B206" s="161" t="str">
        <f t="shared" si="34"/>
        <v/>
      </c>
      <c r="C206" s="162" t="s">
        <v>173</v>
      </c>
      <c r="D206" s="95" t="e">
        <f>IF(VLOOKUP(T_BilanSocial[[#This Row],[NumL]],T_TraitDi[#Data],COLUMN(T_TraitDi[[#This Row],[WebC]]),FALSE)="","",VLOOKUP(T_BilanSocial[[#This Row],[NumL]],T_TraitDi[#Data],COLUMN(T_TraitDi[[#This Row],[WebC]]),FALSE))</f>
        <v>#VALUE!</v>
      </c>
      <c r="E206" s="163" t="str">
        <f t="shared" si="35"/>
        <v>12 janvier 2021</v>
      </c>
      <c r="F206" s="96" t="str">
        <f>IF(T_BilanSocial[[#This Row],[Final]]&lt;&gt;"",VLOOKUP(T_BilanSocial[[#This Row],[NumL]],T_suiviDi[#Data],COLUMN((T_suiviDi[Civ.])),FALSE),"")</f>
        <v/>
      </c>
      <c r="G206" s="96" t="str">
        <f>IF(T_BilanSocial[[#This Row],[Final]]&lt;&gt;"",VLOOKUP(T_BilanSocial[[#This Row],[NumL]],T_suiviDi[#Data],COLUMN((T_suiviDi[Nom])),FALSE),"")</f>
        <v/>
      </c>
      <c r="H206" s="96" t="str">
        <f>IF(T_BilanSocial[[#This Row],[Final]]&lt;&gt;"",VLOOKUP(T_BilanSocial[[#This Row],[NumL]],T_suiviDi[#Data],COLUMN((T_suiviDi[Prénom])),FALSE),"")</f>
        <v/>
      </c>
      <c r="I206" s="96" t="str">
        <f>IFERROR(VLOOKUP(T_BilanSocial[[#This Row],[Zone_Bilan]],T_P_BilanSocial[#Data],COLUMN(T_P_BilanSocial[[#This Row],[Numero_SIHAM]]),FALSE),"")</f>
        <v/>
      </c>
      <c r="J206" s="96" t="str">
        <f>IFERROR(VLOOKUP(T_BilanSocial[[#This Row],[Zone_Bilan]],T_P_BilanSocial[#Data],COLUMN(T_P_BilanSocial[[#This Row],[Sexe]]),FALSE),"")</f>
        <v/>
      </c>
      <c r="K206" s="97" t="str">
        <f>IFERROR(VLOOKUP(T_BilanSocial[[#This Row],[Zone_Bilan]],T_P_BilanSocial[#Data],COLUMN(T_P_BilanSocial[[#This Row],[Categorie]]),FALSE),"")</f>
        <v/>
      </c>
      <c r="L206" s="96" t="str">
        <f>IFERROR(VLOOKUP(T_BilanSocial[[#This Row],[Zone_Bilan]],T_P_BilanSocial[#Data],COLUMN(T_P_BilanSocial[[#This Row],[Statut]]),FALSE),"")</f>
        <v/>
      </c>
      <c r="M206" s="96" t="str">
        <f>IFERROR(VLOOKUP(T_BilanSocial[[#This Row],[Zone_Bilan]],T_P_BilanSocial[#Data],COLUMN(T_P_BilanSocial[[#This Row],[Filiere]]),FALSE),"")</f>
        <v/>
      </c>
      <c r="N206" s="96" t="e">
        <f>VLOOKUP(T_BilanSocial[[#This Row],[NumL]],T_TraitDi[#Data],COLUMN(T_TraitDi[EXP]),FALSE)</f>
        <v>#N/A</v>
      </c>
      <c r="O206" s="96" t="e">
        <f>VLOOKUP(T_BilanSocial[[#This Row],[NumL]],T_TraitDi[#Data],COLUMN(T_TraitDi[FORM]),FALSE)</f>
        <v>#N/A</v>
      </c>
      <c r="P206" s="96" t="str">
        <f>IF(T_BilanSocial[[#This Row],[Final]]&lt;&gt;"",VLOOKUP(T_BilanSocial[[#This Row],[NumL]],T_suiviDi[#Data],COLUMN((T_suiviDi[Email])),FALSE),"")</f>
        <v/>
      </c>
      <c r="Q206" s="164" t="e">
        <f t="shared" si="28"/>
        <v>#N/A</v>
      </c>
      <c r="R206" s="164" t="e">
        <f t="shared" si="29"/>
        <v>#N/A</v>
      </c>
      <c r="S206" s="164" t="e">
        <f>IF(VLOOKUP(T_BilanSocial[[#This Row],[NumL]],T_suiviDi[#Data],COLUMN(T_suiviDi[[#This Row],[Service ]]),FALSE)="","",VLOOKUP(T_BilanSocial[[#This Row],[NumL]],T_suiviDi[#Data],COLUMN(T_suiviDi[[#This Row],[Service ]]),FALSE))</f>
        <v>#VALUE!</v>
      </c>
      <c r="T206" s="164" t="str">
        <f t="shared" si="36"/>
        <v>01 septembre 2021</v>
      </c>
      <c r="U206" s="164" t="str">
        <f t="shared" si="37"/>
        <v>30 novembre 2021</v>
      </c>
      <c r="V206" s="96" t="str">
        <f>TEXT(Datebilan,"jj mmmm aaaa")</f>
        <v>30 novembre 2021</v>
      </c>
      <c r="W206" s="176" t="e">
        <f>IF(VLOOKUP(T_BilanSocial[[#This Row],[NumL]],T_TraitDi[#Data],COLUMN(T_TraitDi[[#This Row],[M1]]),FALSE)="","",VLOOKUP(T_BilanSocial[[#This Row],[NumL]],T_TraitDi[#Data],COLUMN(T_TraitDi[[#This Row],[M1]]),FALSE))</f>
        <v>#VALUE!</v>
      </c>
      <c r="X206" s="176" t="e">
        <f>IF(VLOOKUP(T_BilanSocial[[#This Row],[NumL]],T_TraitDi[#Data],COLUMN(T_TraitDi[[#This Row],[M2]]),FALSE)="","",VLOOKUP(T_BilanSocial[[#This Row],[NumL]],T_TraitDi[#Data],COLUMN(T_TraitDi[[#This Row],[M2]]),FALSE))</f>
        <v>#VALUE!</v>
      </c>
      <c r="Y206" s="176" t="e">
        <f>IF(VLOOKUP(T_BilanSocial[[#This Row],[NumL]],T_TraitDi[#Data],COLUMN(T_TraitDi[[#This Row],[M3]]),FALSE)="","",VLOOKUP(T_BilanSocial[[#This Row],[NumL]],T_TraitDi[#Data],COLUMN(T_TraitDi[[#This Row],[M3]]),FALSE))</f>
        <v>#VALUE!</v>
      </c>
      <c r="Z206" s="176" t="str">
        <f t="shared" si="39"/>
        <v/>
      </c>
      <c r="AA206" s="176" t="e">
        <f>IF(VLOOKUP(T_BilanSocial[[#This Row],[NumL]],T_TraitDi[#Data],COLUMN(T_TraitDi[[#This Row],[M5]]),FALSE)="","",VLOOKUP(T_BilanSocial[[#This Row],[NumL]],T_TraitDi[#Data],COLUMN(T_TraitDi[[#This Row],[M5]]),FALSE))</f>
        <v>#VALUE!</v>
      </c>
      <c r="AB206" s="176" t="e">
        <f>IF(VLOOKUP(T_BilanSocial[[#This Row],[NumL]],T_TraitDi[#Data],COLUMN(T_TraitDi[[#This Row],[M6]]),FALSE)="","",VLOOKUP(T_BilanSocial[[#This Row],[NumL]],T_TraitDi[#Data],COLUMN(T_TraitDi[[#This Row],[M6]]),FALSE))</f>
        <v>#VALUE!</v>
      </c>
      <c r="AC206" s="165" t="e">
        <f t="shared" si="38"/>
        <v>#VALUE!</v>
      </c>
      <c r="AD206" s="188" t="str">
        <f>IFERROR(TEXT(VLOOKUP(T_BilanSocial[[#This Row],[NumL]],T_TraitDi[#Data],COLUMN(T_TraitDi[[#This Row],[Q2]]),FALSE),"###%"),"")</f>
        <v/>
      </c>
      <c r="AE206" s="97" t="e">
        <f>VLOOKUP(T_BilanSocial[[#This Row],[NumL]],T_TraitDi[#Data],COLUMN(T_TraitDi[[#This Row],[Reg Ponct]]),FALSE)</f>
        <v>#VALUE!</v>
      </c>
      <c r="AF206" s="97" t="e">
        <f>VLOOKUP(T_BilanSocial[NumL],T_TraitDi[#Data],COLUMN(T_TraitDi[[#This Row],[Jours flottants]]),FALSE)</f>
        <v>#VALUE!</v>
      </c>
      <c r="AG206" s="97" t="str">
        <f>IFERROR(VLOOKUP(T_BilanSocial[[#This Row],[NumL]],T_TraitDi[#Data],COLUMN(T_TraitDi[[#This Row],[Lundi]]),FALSE),"")</f>
        <v/>
      </c>
      <c r="AH206" s="172" t="e">
        <f>IF(VLOOKUP(T_BilanSocial[[#This Row],[NumL]],T_TraitDi[#Data],COLUMN(T_TraitDi[[#This Row],[Colonne3]]),FALSE)=0,"",TEXT(IFERROR(VLOOKUP(T_BilanSocial[[#This Row],[NumL]],T_TraitDi[#Data],COLUMN(T_TraitDi[[#This Row],[Colonne3]]),FALSE),""),"[hh]:mm"))</f>
        <v>#VALUE!</v>
      </c>
      <c r="AI206" s="172" t="e">
        <f>IF(VLOOKUP(T_BilanSocial[[#This Row],[NumL]],T_TraitDi[#Data],COLUMN(T_TraitDi[[#This Row],[Colonne4]]),FALSE)=0,"",TEXT(IFERROR(VLOOKUP(T_BilanSocial[[#This Row],[NumL]],T_TraitDi[#Data],COLUMN(T_TraitDi[[#This Row],[Colonne4]]),FALSE),""),"[hh]:mm"))</f>
        <v>#VALUE!</v>
      </c>
      <c r="AJ206" s="172" t="e">
        <f>IF(VLOOKUP(T_BilanSocial[[#This Row],[NumL]],T_TraitDi[#Data],COLUMN(T_TraitDi[[#This Row],[Colonne5]]),FALSE)=0,"",TEXT(IFERROR(VLOOKUP(T_BilanSocial[[#This Row],[NumL]],T_TraitDi[#Data],COLUMN(T_TraitDi[[#This Row],[Colonne5]]),FALSE),""),"[hh]:mm"))</f>
        <v>#VALUE!</v>
      </c>
      <c r="AK206" s="172" t="e">
        <f>IF(VLOOKUP(T_BilanSocial[[#This Row],[NumL]],T_TraitDi[#Data],COLUMN(T_TraitDi[[#This Row],[Colonne6]]),FALSE)=0,"",TEXT(IFERROR(VLOOKUP(T_BilanSocial[[#This Row],[NumL]],T_TraitDi[#Data],COLUMN(T_TraitDi[[#This Row],[Colonne6]]),FALSE),""),"[hh]:mm"))</f>
        <v>#VALUE!</v>
      </c>
      <c r="AL206" s="172" t="e">
        <f>IF(VLOOKUP(T_BilanSocial[[#This Row],[NumL]],T_TraitDi[#Data],COLUMN(T_TraitDi[[#This Row],[Colonne7]]),FALSE)=0,"",TEXT(IFERROR(VLOOKUP(T_BilanSocial[[#This Row],[NumL]],T_TraitDi[#Data],COLUMN(T_TraitDi[[#This Row],[Colonne7]]),FALSE),""),"[hh]:mm"))</f>
        <v>#VALUE!</v>
      </c>
      <c r="AM206" s="172" t="e">
        <f>IF(VLOOKUP(T_BilanSocial[[#This Row],[NumL]],T_TraitDi[#Data],COLUMN(T_TraitDi[[#This Row],[Colonne8]]),FALSE)=0,"",TEXT(IFERROR(VLOOKUP(T_BilanSocial[[#This Row],[NumL]],T_TraitDi[#Data],COLUMN(T_TraitDi[[#This Row],[Colonne8]]),FALSE),""),"[hh]:mm"))</f>
        <v>#VALUE!</v>
      </c>
      <c r="AN206" s="172" t="str">
        <f>IFERROR(VLOOKUP(T_BilanSocial[[#This Row],[NumL]],T_TraitDi[#Data],COLUMN(T_TraitDi[[#This Row],[Mardi]]),FALSE),"")</f>
        <v/>
      </c>
      <c r="AO206" s="172" t="e">
        <f>IF(VLOOKUP(T_BilanSocial[[#This Row],[NumL]],T_TraitDi[#Data],COLUMN(T_TraitDi[[#This Row],[Colonne1]]),FALSE)=0,"",TEXT(IFERROR(VLOOKUP(T_BilanSocial[[#This Row],[NumL]],T_TraitDi[#Data],COLUMN(T_TraitDi[[#This Row],[Colonne1]]),FALSE),""),"[hh]:mm"))</f>
        <v>#VALUE!</v>
      </c>
      <c r="AP206" s="172" t="e">
        <f>IF(VLOOKUP(T_BilanSocial[[#This Row],[NumL]],T_TraitDi[#Data],COLUMN(T_TraitDi[[#This Row],[Colonne9]]),FALSE)=0,"",TEXT(IFERROR(VLOOKUP(T_BilanSocial[[#This Row],[NumL]],T_TraitDi[#Data],COLUMN(T_TraitDi[[#This Row],[Colonne9]]),FALSE),""),"[hh]:mm"))</f>
        <v>#VALUE!</v>
      </c>
      <c r="AQ206" s="172" t="str">
        <f>IFERROR(VLOOKUP(T_BilanSocial[[#This Row],[NumL]],T_TraitDi[#Data],COLUMN(T_TraitDi[[#This Row],[Colonne10]]),FALSE),"")</f>
        <v/>
      </c>
      <c r="AR206" s="172" t="e">
        <f>IF(VLOOKUP(T_BilanSocial[[#This Row],[NumL]],T_TraitDi[#Data],COLUMN(T_TraitDi[[#This Row],[Colonne11]]),FALSE)=0,"",TEXT(IFERROR(VLOOKUP(T_BilanSocial[[#This Row],[NumL]],T_TraitDi[#Data],COLUMN(T_TraitDi[[#This Row],[Colonne11]]),FALSE),""),"[hh]:mm"))</f>
        <v>#VALUE!</v>
      </c>
      <c r="AS206" s="172" t="e">
        <f>IF(VLOOKUP(T_BilanSocial[[#This Row],[NumL]],T_TraitDi[#Data],COLUMN(T_TraitDi[[#This Row],[Colonne12]]),FALSE)=0,"",TEXT(IFERROR(VLOOKUP(T_BilanSocial[[#This Row],[NumL]],T_TraitDi[#Data],COLUMN(T_TraitDi[[#This Row],[Colonne12]]),FALSE),""),"[hh]:mm"))</f>
        <v>#VALUE!</v>
      </c>
      <c r="AT206" s="172" t="e">
        <f>IF(VLOOKUP(T_BilanSocial[[#This Row],[NumL]],T_TraitDi[#Data],COLUMN(T_TraitDi[[#This Row],[Colonne14]]),FALSE)=0,"",TEXT(IFERROR(VLOOKUP(T_BilanSocial[[#This Row],[NumL]],T_TraitDi[#Data],COLUMN(T_TraitDi[[#This Row],[Colonne14]]),FALSE),""),"[hh]:mm"))</f>
        <v>#VALUE!</v>
      </c>
      <c r="AU206" s="172" t="str">
        <f>IFERROR(VLOOKUP(T_BilanSocial[[#This Row],[NumL]],T_TraitDi[#Data],COLUMN(T_TraitDi[[#This Row],[Mercredi]]),FALSE),"")</f>
        <v/>
      </c>
      <c r="AV206" s="172" t="e">
        <f>IF(VLOOKUP(T_BilanSocial[[#This Row],[NumL]],T_TraitDi[#Data],COLUMN(T_TraitDi[[#This Row],[Colonne15]]),FALSE)=0,"",TEXT(IFERROR(VLOOKUP(T_BilanSocial[[#This Row],[NumL]],T_TraitDi[#Data],COLUMN(T_TraitDi[[#This Row],[Colonne15]]),FALSE),""),"[hh]:mm"))</f>
        <v>#VALUE!</v>
      </c>
      <c r="AW206" s="172" t="e">
        <f>IF(VLOOKUP(T_BilanSocial[[#This Row],[NumL]],T_TraitDi[#Data],COLUMN(T_TraitDi[[#This Row],[Colonne16]]),FALSE)=0,"",TEXT(IFERROR(VLOOKUP(T_BilanSocial[[#This Row],[NumL]],T_TraitDi[#Data],COLUMN(T_TraitDi[[#This Row],[Colonne16]]),FALSE),""),"[hh]:mm"))</f>
        <v>#VALUE!</v>
      </c>
      <c r="AX206" s="172" t="str">
        <f>IFERROR(VLOOKUP(T_BilanSocial[[#This Row],[NumL]],T_TraitDi[#Data],COLUMN(T_TraitDi[[#This Row],[Colonne17]]),FALSE),"")</f>
        <v/>
      </c>
      <c r="AY206" s="172" t="e">
        <f>IF(VLOOKUP(T_BilanSocial[[#This Row],[NumL]],T_TraitDi[#Data],COLUMN(T_TraitDi[[#This Row],[Colonne18]]),FALSE)=0,"",TEXT(IFERROR(VLOOKUP(T_BilanSocial[[#This Row],[NumL]],T_TraitDi[#Data],COLUMN(T_TraitDi[[#This Row],[Colonne18]]),FALSE),""),"[hh]:mm"))</f>
        <v>#VALUE!</v>
      </c>
      <c r="AZ206" s="172" t="e">
        <f>IF(VLOOKUP(T_BilanSocial[[#This Row],[NumL]],T_TraitDi[#Data],COLUMN(T_TraitDi[[#This Row],[Colonne19]]),FALSE)=0,"",TEXT(IFERROR(VLOOKUP(T_BilanSocial[[#This Row],[NumL]],T_TraitDi[#Data],COLUMN(T_TraitDi[[#This Row],[Colonne19]]),FALSE),""),"[hh]:mm"))</f>
        <v>#VALUE!</v>
      </c>
      <c r="BA206" s="172" t="e">
        <f>IF(VLOOKUP(T_BilanSocial[[#This Row],[NumL]],T_TraitDi[#Data],COLUMN(T_TraitDi[[#This Row],[Colonne20]]),FALSE)=0,"",TEXT(IFERROR(VLOOKUP(T_BilanSocial[[#This Row],[NumL]],T_TraitDi[#Data],COLUMN(T_TraitDi[[#This Row],[Colonne20]]),FALSE),""),"[hh]:mm"))</f>
        <v>#VALUE!</v>
      </c>
      <c r="BB206" s="178" t="str">
        <f>IFERROR(VLOOKUP(T_BilanSocial[[#This Row],[NumL]],T_TraitDi[#Data],COLUMN(T_TraitDi[[#This Row],[Jeudi]]),FALSE),"")</f>
        <v/>
      </c>
      <c r="BC206" s="178" t="e">
        <f>IF(VLOOKUP(T_BilanSocial[[#This Row],[NumL]],T_TraitDi[#Data],COLUMN(T_TraitDi[[#This Row],[Colonne21]]),FALSE)=0,"",TEXT(IFERROR(VLOOKUP(T_BilanSocial[[#This Row],[NumL]],T_TraitDi[#Data],COLUMN(T_TraitDi[[#This Row],[Colonne21]]),FALSE),""),"[hh]:mm"))</f>
        <v>#VALUE!</v>
      </c>
      <c r="BD206" s="178" t="e">
        <f>IF(VLOOKUP(T_BilanSocial[[#This Row],[NumL]],T_TraitDi[#Data],COLUMN(T_TraitDi[[#This Row],[Colonne22]]),FALSE)=0,"",TEXT(IFERROR(VLOOKUP(T_BilanSocial[[#This Row],[NumL]],T_TraitDi[#Data],COLUMN(T_TraitDi[[#This Row],[Colonne22]]),FALSE),""),"[hh]:mm"))</f>
        <v>#VALUE!</v>
      </c>
      <c r="BE206" s="178" t="str">
        <f>IFERROR(VLOOKUP(T_BilanSocial[[#This Row],[NumL]],T_TraitDi[#Data],COLUMN(T_TraitDi[[#This Row],[Colonne23]]),FALSE),"")</f>
        <v/>
      </c>
      <c r="BF206" s="178" t="e">
        <f>IF(VLOOKUP(T_BilanSocial[[#This Row],[NumL]],T_TraitDi[#Data],COLUMN(T_TraitDi[[#This Row],[Colonne24]]),FALSE)=0,"",TEXT(IFERROR(VLOOKUP(T_BilanSocial[[#This Row],[NumL]],T_TraitDi[#Data],COLUMN(T_TraitDi[[#This Row],[Colonne24]]),FALSE),""),"[hh]:mm"))</f>
        <v>#VALUE!</v>
      </c>
      <c r="BG206" s="178" t="e">
        <f>IF(VLOOKUP(T_BilanSocial[[#This Row],[NumL]],T_TraitDi[#Data],COLUMN(T_TraitDi[[#This Row],[Colonne25]]),FALSE)=0,"",TEXT(IFERROR(VLOOKUP(T_BilanSocial[[#This Row],[NumL]],T_TraitDi[#Data],COLUMN(T_TraitDi[[#This Row],[Colonne25]]),FALSE),""),"[hh]:mm"))</f>
        <v>#VALUE!</v>
      </c>
      <c r="BH206" s="178" t="e">
        <f>IF(VLOOKUP(T_BilanSocial[[#This Row],[NumL]],T_TraitDi[#Data],COLUMN(T_TraitDi[[#This Row],[Colonne26]]),FALSE)=0,"",TEXT(IFERROR(VLOOKUP(T_BilanSocial[[#This Row],[NumL]],T_TraitDi[#Data],COLUMN(T_TraitDi[[#This Row],[Colonne26]]),FALSE),""),"[hh]:mm"))</f>
        <v>#VALUE!</v>
      </c>
      <c r="BI206" s="172" t="str">
        <f>IFERROR(VLOOKUP(T_BilanSocial[[#This Row],[NumL]],T_TraitDi[#Data],COLUMN(T_TraitDi[[#This Row],[Vendredi]]),FALSE),"")</f>
        <v/>
      </c>
      <c r="BJ206" s="172" t="e">
        <f>IF(VLOOKUP(T_BilanSocial[[#This Row],[NumL]],T_TraitDi[#Data],COLUMN(T_TraitDi[[#This Row],[Colonne27]]),FALSE)=0,"",TEXT(IFERROR(VLOOKUP(T_BilanSocial[[#This Row],[NumL]],T_TraitDi[#Data],COLUMN(T_TraitDi[[#This Row],[Colonne27]]),FALSE),""),"[hh]:mm"))</f>
        <v>#VALUE!</v>
      </c>
      <c r="BK206" s="172" t="e">
        <f>IF(VLOOKUP(T_BilanSocial[[#This Row],[NumL]],T_TraitDi[#Data],COLUMN(T_TraitDi[[#This Row],[Colonne28]]),FALSE)=0,"",TEXT(IFERROR(VLOOKUP(T_BilanSocial[[#This Row],[NumL]],T_TraitDi[#Data],COLUMN(T_TraitDi[[#This Row],[Colonne28]]),FALSE),""),"[hh]:mm"))</f>
        <v>#VALUE!</v>
      </c>
      <c r="BL206" s="172" t="str">
        <f>IFERROR(VLOOKUP(T_BilanSocial[[#This Row],[NumL]],T_TraitDi[#Data],COLUMN(T_TraitDi[[#This Row],[Colonne29]]),FALSE),"")</f>
        <v/>
      </c>
      <c r="BM206" s="172" t="e">
        <f>IF(VLOOKUP(T_BilanSocial[[#This Row],[NumL]],T_TraitDi[#Data],COLUMN(T_TraitDi[[#This Row],[Colonne30]]),FALSE)=0,"",TEXT(IFERROR(VLOOKUP(T_BilanSocial[[#This Row],[NumL]],T_TraitDi[#Data],COLUMN(T_TraitDi[[#This Row],[Colonne30]]),FALSE),""),"[hh]:mm"))</f>
        <v>#VALUE!</v>
      </c>
      <c r="BN206" s="172" t="e">
        <f>IF(VLOOKUP(T_BilanSocial[[#This Row],[NumL]],T_TraitDi[#Data],COLUMN(T_TraitDi[[#This Row],[Colonne31]]),FALSE)=0,"",TEXT(IFERROR(VLOOKUP(T_BilanSocial[[#This Row],[NumL]],T_TraitDi[#Data],COLUMN(T_TraitDi[[#This Row],[Colonne31]]),FALSE),""),"[hh]:mm"))</f>
        <v>#VALUE!</v>
      </c>
      <c r="BO206" s="172" t="e">
        <f>IF(VLOOKUP(T_BilanSocial[[#This Row],[NumL]],T_TraitDi[#Data],COLUMN(T_TraitDi[[#This Row],[Colonne32]]),FALSE)=0,"",TEXT(IFERROR(VLOOKUP(T_BilanSocial[[#This Row],[NumL]],T_TraitDi[#Data],COLUMN(T_TraitDi[[#This Row],[Colonne32]]),FALSE),""),"[hh]:mm"))</f>
        <v>#VALUE!</v>
      </c>
      <c r="BP206" s="172" t="e">
        <f>VLOOKUP(T_BilanSocial[[#This Row],[NumL]],T_TraitDi[#Data],COLUMN(T_TraitDi[NbJTot]),FALSE)</f>
        <v>#N/A</v>
      </c>
      <c r="BQ206" s="174" t="str">
        <f>IFERROR(VLOOKUP(T_BilanSocial[[#This Row],[NumL]],T_TraitDi[#Data],COLUMN(T_TraitDi[[#This Row],[NbJTW]]),FALSE),"")</f>
        <v/>
      </c>
      <c r="BR206" s="174" t="e">
        <f>IF(VLOOKUP(T_BilanSocial[[#This Row],[NumL]],T_TraitDi[#Data],COLUMN(T_TraitDi[[#This Row],[NbhTW]]),FALSE)=0,"",TEXT(IFERROR(VLOOKUP(T_BilanSocial[[#This Row],[NumL]],T_TraitDi[#Data],COLUMN(T_TraitDi[[#This Row],[NbhTW]]),FALSE),""),"[hh]:mm"))</f>
        <v>#VALUE!</v>
      </c>
      <c r="BS206" s="174" t="e">
        <f>IF(VLOOKUP(T_BilanSocial[[#This Row],[NumL]],T_TraitDi[#Data],COLUMN(T_TraitDi[[#This Row],[Nbhheb]]),FALSE)=0,"",TEXT(IFERROR(VLOOKUP($A206,T_TraitDi[#Data],COLUMN(T_TraitDi[[#This Row],[Nbhheb]]),FALSE),""),"[hh]:mm"))</f>
        <v>#VALUE!</v>
      </c>
      <c r="BT206" s="182" t="str">
        <f>IFERROR(VLOOKUP(VLOOKUP($A206,T_TraitDi[#Data],COLUMN(T_TraitDi[[#This Row],[Type1]]),FALSE),TypeTW,2,FALSE),"")</f>
        <v/>
      </c>
      <c r="BU206" s="182" t="str">
        <f>IFERROR(VLOOKUP($A206,T_TraitDi[#Data],COLUMN(T_TraitDi[[#This Row],[Rue1]]),FALSE),"")</f>
        <v/>
      </c>
      <c r="BV206" s="173" t="str">
        <f>IFERROR(VLOOKUP($A206,T_TraitDi[#Data],COLUMN(T_TraitDi[[#This Row],[CP1]]),FALSE),"")</f>
        <v/>
      </c>
      <c r="BW206" s="173" t="str">
        <f>IFERROR(VLOOKUP($A206,T_TraitDi[#Data],COLUMN(T_TraitDi[[#This Row],[VILLE1]]),FALSE),"")</f>
        <v/>
      </c>
      <c r="BX206" s="182" t="str">
        <f>IFERROR(VLOOKUP(VLOOKUP($A206,T_TraitDi[#Data],COLUMN(T_TraitDi[[#This Row],[Type2]]),FALSE),TypeTW,2,FALSE),"")</f>
        <v/>
      </c>
      <c r="BY206" s="182" t="str">
        <f>IFERROR(VLOOKUP($A206,T_TraitDi[#Data],COLUMN(T_TraitDi[[#This Row],[Rue2]]),FALSE),"")</f>
        <v/>
      </c>
      <c r="BZ206" s="173" t="str">
        <f>IFERROR(VLOOKUP($A206,T_TraitDi[#Data],COLUMN(T_TraitDi[[#This Row],[CP2]]),FALSE),"")</f>
        <v/>
      </c>
      <c r="CA206" s="173" t="str">
        <f>IFERROR(VLOOKUP($A206,T_TraitDi[#Data],COLUMN(T_TraitDi[[#This Row],[VILLE2]]),FALSE),"")</f>
        <v/>
      </c>
      <c r="CB206" s="182" t="str">
        <f>IF(VLOOKUP(T_BilanSocial[[#This Row],[NumL]],T_Equipement[#Data],COLUMN(T_Equipement[[#This Row],[PC]]),FALSE)="","Aucun équipement spécifique directement lié au télétravail",VLOOKUP(T_BilanSocial[[#This Row],[NumL]],T_Equipement[#Data],COLUMN(T_Equipement[[#This Row],[PC]]),FALSE))</f>
        <v xml:space="preserve">20-655	</v>
      </c>
      <c r="CC206" s="166" t="str">
        <f>IFERROR(IF(VLOOKUP(T_BilanSocial[[#This Row],[NumL]],T_TraitDi[#Data],COLUMN(T_TraitDi[[#This Row],[Plan]]),FALSE)="OK","Un planning spécifique de télétravail est annexé à la présente convention.",""),"")</f>
        <v/>
      </c>
      <c r="CD206" s="258" t="s">
        <v>3355</v>
      </c>
      <c r="CE206" s="164" t="e">
        <f>IF(VLOOKUP(T_BilanSocial[[#This Row],[NumL]],T_suiviDi[#Data],COLUMN(T_suiviDi[[#This Row],[Entité]]),FALSE)="","",VLOOKUP(T_BilanSocial[[#This Row],[NumL]],T_suiviDi[#Data],COLUMN(T_suiviDi[[#This Row],[Entité]]),FALSE))</f>
        <v>#VALUE!</v>
      </c>
      <c r="CF206" s="164" t="str">
        <f>IF(VLOOKUP(T_BilanSocial[[#This Row],[NumL]],T_Commission[#Data],COLUMN(T_Commission[[#This Row],[envoi confirm TW]]),FALSE)="","",VLOOKUP(T_BilanSocial[[#This Row],[NumL]],T_Commission[#Data],COLUMN(T_Commission[[#This Row],[envoi confirm TW]]),FALSE))</f>
        <v>Oui</v>
      </c>
      <c r="CG20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6" s="262" t="str">
        <f>T_BilanSocial[[#This Row],[Nom]]&amp;T_BilanSocial[[#This Row],[Prenom]]</f>
        <v/>
      </c>
      <c r="CI206" s="262">
        <f>VLOOKUP(T_BilanSocial[[#This Row],[NumL]],T_Commission[#Data],COLUMN(T_Commission[Commentaire]),FALSE)</f>
        <v>0</v>
      </c>
      <c r="CJ206" s="262" t="str">
        <f>IF(VLOOKUP(T_BilanSocial[[#This Row],[NumL]],T_Commission[#Data],COLUMN(T_Commission[Encadrant Email]),FALSE)="","",VLOOKUP(T_BilanSocial[[#This Row],[NumL]],T_Commission[#Data],COLUMN(T_Commission[Encadrant Email]),FALSE))</f>
        <v/>
      </c>
      <c r="CK206" s="340" t="str">
        <f>IF(T_BilanSocial[[#This Row],[Final]]&lt;&gt;"",VLOOKUP(T_BilanSocial[[#This Row],[NumL]],T_suiviDi[#Data],COLUMN((T_suiviDi[Statut])),FALSE),"")</f>
        <v/>
      </c>
    </row>
    <row r="207" spans="1:89" s="106" customFormat="1" ht="24.75" customHeight="1" x14ac:dyDescent="0.25">
      <c r="A207" s="160">
        <v>204</v>
      </c>
      <c r="B207" s="161" t="str">
        <f t="shared" si="34"/>
        <v/>
      </c>
      <c r="C207" s="162" t="s">
        <v>173</v>
      </c>
      <c r="D207" s="95" t="e">
        <f>IF(VLOOKUP(T_BilanSocial[[#This Row],[NumL]],T_TraitDi[#Data],COLUMN(T_TraitDi[[#This Row],[WebC]]),FALSE)="","",VLOOKUP(T_BilanSocial[[#This Row],[NumL]],T_TraitDi[#Data],COLUMN(T_TraitDi[[#This Row],[WebC]]),FALSE))</f>
        <v>#VALUE!</v>
      </c>
      <c r="E207" s="163" t="str">
        <f t="shared" si="35"/>
        <v>12 janvier 2021</v>
      </c>
      <c r="F207" s="96" t="str">
        <f>IF(T_BilanSocial[[#This Row],[Final]]&lt;&gt;"",VLOOKUP(T_BilanSocial[[#This Row],[NumL]],T_suiviDi[#Data],COLUMN((T_suiviDi[Civ.])),FALSE),"")</f>
        <v/>
      </c>
      <c r="G207" s="96" t="str">
        <f>IF(T_BilanSocial[[#This Row],[Final]]&lt;&gt;"",VLOOKUP(T_BilanSocial[[#This Row],[NumL]],T_suiviDi[#Data],COLUMN((T_suiviDi[Nom])),FALSE),"")</f>
        <v/>
      </c>
      <c r="H207" s="96" t="str">
        <f>IF(T_BilanSocial[[#This Row],[Final]]&lt;&gt;"",VLOOKUP(T_BilanSocial[[#This Row],[NumL]],T_suiviDi[#Data],COLUMN((T_suiviDi[Prénom])),FALSE),"")</f>
        <v/>
      </c>
      <c r="I207" s="96" t="str">
        <f>IFERROR(VLOOKUP(T_BilanSocial[[#This Row],[Zone_Bilan]],T_P_BilanSocial[#Data],COLUMN(T_P_BilanSocial[[#This Row],[Numero_SIHAM]]),FALSE),"")</f>
        <v/>
      </c>
      <c r="J207" s="96" t="str">
        <f>IFERROR(VLOOKUP(T_BilanSocial[[#This Row],[Zone_Bilan]],T_P_BilanSocial[#Data],COLUMN(T_P_BilanSocial[[#This Row],[Sexe]]),FALSE),"")</f>
        <v/>
      </c>
      <c r="K207" s="97" t="str">
        <f>IFERROR(VLOOKUP(T_BilanSocial[[#This Row],[Zone_Bilan]],T_P_BilanSocial[#Data],COLUMN(T_P_BilanSocial[[#This Row],[Categorie]]),FALSE),"")</f>
        <v/>
      </c>
      <c r="L207" s="96" t="str">
        <f>IFERROR(VLOOKUP(T_BilanSocial[[#This Row],[Zone_Bilan]],T_P_BilanSocial[#Data],COLUMN(T_P_BilanSocial[[#This Row],[Statut]]),FALSE),"")</f>
        <v/>
      </c>
      <c r="M207" s="96" t="str">
        <f>IFERROR(VLOOKUP(T_BilanSocial[[#This Row],[Zone_Bilan]],T_P_BilanSocial[#Data],COLUMN(T_P_BilanSocial[[#This Row],[Filiere]]),FALSE),"")</f>
        <v/>
      </c>
      <c r="N207" s="96" t="e">
        <f>VLOOKUP(T_BilanSocial[[#This Row],[NumL]],T_TraitDi[#Data],COLUMN(T_TraitDi[EXP]),FALSE)</f>
        <v>#N/A</v>
      </c>
      <c r="O207" s="96" t="e">
        <f>VLOOKUP(T_BilanSocial[[#This Row],[NumL]],T_TraitDi[#Data],COLUMN(T_TraitDi[FORM]),FALSE)</f>
        <v>#N/A</v>
      </c>
      <c r="P207" s="96" t="str">
        <f>IF(T_BilanSocial[[#This Row],[Final]]&lt;&gt;"",VLOOKUP(T_BilanSocial[[#This Row],[NumL]],T_suiviDi[#Data],COLUMN((T_suiviDi[Email])),FALSE),"")</f>
        <v/>
      </c>
      <c r="Q207" s="164" t="e">
        <f t="shared" si="28"/>
        <v>#N/A</v>
      </c>
      <c r="R207" s="164" t="e">
        <f t="shared" si="29"/>
        <v>#N/A</v>
      </c>
      <c r="S207" s="164" t="e">
        <f>IF(VLOOKUP(T_BilanSocial[[#This Row],[NumL]],T_suiviDi[#Data],COLUMN(T_suiviDi[[#This Row],[Service ]]),FALSE)="","",VLOOKUP(T_BilanSocial[[#This Row],[NumL]],T_suiviDi[#Data],COLUMN(T_suiviDi[[#This Row],[Service ]]),FALSE))</f>
        <v>#VALUE!</v>
      </c>
      <c r="T207" s="164" t="str">
        <f t="shared" si="36"/>
        <v>01 septembre 2021</v>
      </c>
      <c r="U207" s="164" t="str">
        <f t="shared" si="37"/>
        <v>30 novembre 2021</v>
      </c>
      <c r="V207" s="164" t="str">
        <f>TEXT(Datebilan,"jj mmmm aaaa")</f>
        <v>30 novembre 2021</v>
      </c>
      <c r="W207" s="176" t="e">
        <f>IF(VLOOKUP(T_BilanSocial[[#This Row],[NumL]],T_TraitDi[#Data],COLUMN(T_TraitDi[[#This Row],[M1]]),FALSE)="","",VLOOKUP(T_BilanSocial[[#This Row],[NumL]],T_TraitDi[#Data],COLUMN(T_TraitDi[[#This Row],[M1]]),FALSE))</f>
        <v>#VALUE!</v>
      </c>
      <c r="X207" s="176" t="e">
        <f>IF(VLOOKUP(T_BilanSocial[[#This Row],[NumL]],T_TraitDi[#Data],COLUMN(T_TraitDi[[#This Row],[M2]]),FALSE)="","",VLOOKUP(T_BilanSocial[[#This Row],[NumL]],T_TraitDi[#Data],COLUMN(T_TraitDi[[#This Row],[M2]]),FALSE))</f>
        <v>#VALUE!</v>
      </c>
      <c r="Y207" s="176" t="e">
        <f>IF(VLOOKUP(T_BilanSocial[[#This Row],[NumL]],T_TraitDi[#Data],COLUMN(T_TraitDi[[#This Row],[M3]]),FALSE)="","",VLOOKUP(T_BilanSocial[[#This Row],[NumL]],T_TraitDi[#Data],COLUMN(T_TraitDi[[#This Row],[M3]]),FALSE))</f>
        <v>#VALUE!</v>
      </c>
      <c r="Z207" s="176" t="str">
        <f t="shared" si="39"/>
        <v/>
      </c>
      <c r="AA207" s="176" t="e">
        <f>IF(VLOOKUP(T_BilanSocial[[#This Row],[NumL]],T_TraitDi[#Data],COLUMN(T_TraitDi[[#This Row],[M5]]),FALSE)="","",VLOOKUP(T_BilanSocial[[#This Row],[NumL]],T_TraitDi[#Data],COLUMN(T_TraitDi[[#This Row],[M5]]),FALSE))</f>
        <v>#VALUE!</v>
      </c>
      <c r="AB207" s="176" t="e">
        <f>IF(VLOOKUP(T_BilanSocial[[#This Row],[NumL]],T_TraitDi[#Data],COLUMN(T_TraitDi[[#This Row],[M6]]),FALSE)="","",VLOOKUP(T_BilanSocial[[#This Row],[NumL]],T_TraitDi[#Data],COLUMN(T_TraitDi[[#This Row],[M6]]),FALSE))</f>
        <v>#VALUE!</v>
      </c>
      <c r="AC207" s="165" t="e">
        <f t="shared" si="38"/>
        <v>#VALUE!</v>
      </c>
      <c r="AD207" s="188" t="str">
        <f>IFERROR(TEXT(VLOOKUP(T_BilanSocial[[#This Row],[NumL]],T_TraitDi[#Data],COLUMN(T_TraitDi[[#This Row],[Q2]]),FALSE),"###%"),"")</f>
        <v/>
      </c>
      <c r="AE207" s="97" t="e">
        <f>VLOOKUP(T_BilanSocial[[#This Row],[NumL]],T_TraitDi[#Data],COLUMN(T_TraitDi[[#This Row],[Reg Ponct]]),FALSE)</f>
        <v>#VALUE!</v>
      </c>
      <c r="AF207" s="97" t="e">
        <f>VLOOKUP(T_BilanSocial[NumL],T_TraitDi[#Data],COLUMN(T_TraitDi[[#This Row],[Jours flottants]]),FALSE)</f>
        <v>#VALUE!</v>
      </c>
      <c r="AG207" s="97" t="str">
        <f>IFERROR(VLOOKUP(T_BilanSocial[[#This Row],[NumL]],T_TraitDi[#Data],COLUMN(T_TraitDi[[#This Row],[Lundi]]),FALSE),"")</f>
        <v/>
      </c>
      <c r="AH207" s="172" t="e">
        <f>IF(VLOOKUP(T_BilanSocial[[#This Row],[NumL]],T_TraitDi[#Data],COLUMN(T_TraitDi[[#This Row],[Colonne3]]),FALSE)=0,"",TEXT(IFERROR(VLOOKUP(T_BilanSocial[[#This Row],[NumL]],T_TraitDi[#Data],COLUMN(T_TraitDi[[#This Row],[Colonne3]]),FALSE),""),"[hh]:mm"))</f>
        <v>#VALUE!</v>
      </c>
      <c r="AI207" s="172" t="e">
        <f>IF(VLOOKUP(T_BilanSocial[[#This Row],[NumL]],T_TraitDi[#Data],COLUMN(T_TraitDi[[#This Row],[Colonne4]]),FALSE)=0,"",TEXT(IFERROR(VLOOKUP(T_BilanSocial[[#This Row],[NumL]],T_TraitDi[#Data],COLUMN(T_TraitDi[[#This Row],[Colonne4]]),FALSE),""),"[hh]:mm"))</f>
        <v>#VALUE!</v>
      </c>
      <c r="AJ207" s="172" t="e">
        <f>IF(VLOOKUP(T_BilanSocial[[#This Row],[NumL]],T_TraitDi[#Data],COLUMN(T_TraitDi[[#This Row],[Colonne5]]),FALSE)=0,"",TEXT(IFERROR(VLOOKUP(T_BilanSocial[[#This Row],[NumL]],T_TraitDi[#Data],COLUMN(T_TraitDi[[#This Row],[Colonne5]]),FALSE),""),"[hh]:mm"))</f>
        <v>#VALUE!</v>
      </c>
      <c r="AK207" s="172" t="e">
        <f>IF(VLOOKUP(T_BilanSocial[[#This Row],[NumL]],T_TraitDi[#Data],COLUMN(T_TraitDi[[#This Row],[Colonne6]]),FALSE)=0,"",TEXT(IFERROR(VLOOKUP(T_BilanSocial[[#This Row],[NumL]],T_TraitDi[#Data],COLUMN(T_TraitDi[[#This Row],[Colonne6]]),FALSE),""),"[hh]:mm"))</f>
        <v>#VALUE!</v>
      </c>
      <c r="AL207" s="172" t="e">
        <f>IF(VLOOKUP(T_BilanSocial[[#This Row],[NumL]],T_TraitDi[#Data],COLUMN(T_TraitDi[[#This Row],[Colonne7]]),FALSE)=0,"",TEXT(IFERROR(VLOOKUP(T_BilanSocial[[#This Row],[NumL]],T_TraitDi[#Data],COLUMN(T_TraitDi[[#This Row],[Colonne7]]),FALSE),""),"[hh]:mm"))</f>
        <v>#VALUE!</v>
      </c>
      <c r="AM207" s="172" t="e">
        <f>IF(VLOOKUP(T_BilanSocial[[#This Row],[NumL]],T_TraitDi[#Data],COLUMN(T_TraitDi[[#This Row],[Colonne8]]),FALSE)=0,"",TEXT(IFERROR(VLOOKUP(T_BilanSocial[[#This Row],[NumL]],T_TraitDi[#Data],COLUMN(T_TraitDi[[#This Row],[Colonne8]]),FALSE),""),"[hh]:mm"))</f>
        <v>#VALUE!</v>
      </c>
      <c r="AN207" s="172" t="str">
        <f>IFERROR(VLOOKUP(T_BilanSocial[[#This Row],[NumL]],T_TraitDi[#Data],COLUMN(T_TraitDi[[#This Row],[Mardi]]),FALSE),"")</f>
        <v/>
      </c>
      <c r="AO207" s="172" t="e">
        <f>IF(VLOOKUP(T_BilanSocial[[#This Row],[NumL]],T_TraitDi[#Data],COLUMN(T_TraitDi[[#This Row],[Colonne1]]),FALSE)=0,"",TEXT(IFERROR(VLOOKUP(T_BilanSocial[[#This Row],[NumL]],T_TraitDi[#Data],COLUMN(T_TraitDi[[#This Row],[Colonne1]]),FALSE),""),"[hh]:mm"))</f>
        <v>#VALUE!</v>
      </c>
      <c r="AP207" s="172" t="e">
        <f>IF(VLOOKUP(T_BilanSocial[[#This Row],[NumL]],T_TraitDi[#Data],COLUMN(T_TraitDi[[#This Row],[Colonne9]]),FALSE)=0,"",TEXT(IFERROR(VLOOKUP(T_BilanSocial[[#This Row],[NumL]],T_TraitDi[#Data],COLUMN(T_TraitDi[[#This Row],[Colonne9]]),FALSE),""),"[hh]:mm"))</f>
        <v>#VALUE!</v>
      </c>
      <c r="AQ207" s="172" t="str">
        <f>IFERROR(VLOOKUP(T_BilanSocial[[#This Row],[NumL]],T_TraitDi[#Data],COLUMN(T_TraitDi[[#This Row],[Colonne10]]),FALSE),"")</f>
        <v/>
      </c>
      <c r="AR207" s="172" t="e">
        <f>IF(VLOOKUP(T_BilanSocial[[#This Row],[NumL]],T_TraitDi[#Data],COLUMN(T_TraitDi[[#This Row],[Colonne11]]),FALSE)=0,"",TEXT(IFERROR(VLOOKUP(T_BilanSocial[[#This Row],[NumL]],T_TraitDi[#Data],COLUMN(T_TraitDi[[#This Row],[Colonne11]]),FALSE),""),"[hh]:mm"))</f>
        <v>#VALUE!</v>
      </c>
      <c r="AS207" s="172" t="e">
        <f>IF(VLOOKUP(T_BilanSocial[[#This Row],[NumL]],T_TraitDi[#Data],COLUMN(T_TraitDi[[#This Row],[Colonne12]]),FALSE)=0,"",TEXT(IFERROR(VLOOKUP(T_BilanSocial[[#This Row],[NumL]],T_TraitDi[#Data],COLUMN(T_TraitDi[[#This Row],[Colonne12]]),FALSE),""),"[hh]:mm"))</f>
        <v>#VALUE!</v>
      </c>
      <c r="AT207" s="172" t="e">
        <f>IF(VLOOKUP(T_BilanSocial[[#This Row],[NumL]],T_TraitDi[#Data],COLUMN(T_TraitDi[[#This Row],[Colonne14]]),FALSE)=0,"",TEXT(IFERROR(VLOOKUP(T_BilanSocial[[#This Row],[NumL]],T_TraitDi[#Data],COLUMN(T_TraitDi[[#This Row],[Colonne14]]),FALSE),""),"[hh]:mm"))</f>
        <v>#VALUE!</v>
      </c>
      <c r="AU207" s="172" t="str">
        <f>IFERROR(VLOOKUP(T_BilanSocial[[#This Row],[NumL]],T_TraitDi[#Data],COLUMN(T_TraitDi[[#This Row],[Mercredi]]),FALSE),"")</f>
        <v/>
      </c>
      <c r="AV207" s="172" t="e">
        <f>IF(VLOOKUP(T_BilanSocial[[#This Row],[NumL]],T_TraitDi[#Data],COLUMN(T_TraitDi[[#This Row],[Colonne15]]),FALSE)=0,"",TEXT(IFERROR(VLOOKUP(T_BilanSocial[[#This Row],[NumL]],T_TraitDi[#Data],COLUMN(T_TraitDi[[#This Row],[Colonne15]]),FALSE),""),"[hh]:mm"))</f>
        <v>#VALUE!</v>
      </c>
      <c r="AW207" s="172" t="e">
        <f>IF(VLOOKUP(T_BilanSocial[[#This Row],[NumL]],T_TraitDi[#Data],COLUMN(T_TraitDi[[#This Row],[Colonne16]]),FALSE)=0,"",TEXT(IFERROR(VLOOKUP(T_BilanSocial[[#This Row],[NumL]],T_TraitDi[#Data],COLUMN(T_TraitDi[[#This Row],[Colonne16]]),FALSE),""),"[hh]:mm"))</f>
        <v>#VALUE!</v>
      </c>
      <c r="AX207" s="172" t="str">
        <f>IFERROR(VLOOKUP(T_BilanSocial[[#This Row],[NumL]],T_TraitDi[#Data],COLUMN(T_TraitDi[[#This Row],[Colonne17]]),FALSE),"")</f>
        <v/>
      </c>
      <c r="AY207" s="172" t="e">
        <f>IF(VLOOKUP(T_BilanSocial[[#This Row],[NumL]],T_TraitDi[#Data],COLUMN(T_TraitDi[[#This Row],[Colonne18]]),FALSE)=0,"",TEXT(IFERROR(VLOOKUP(T_BilanSocial[[#This Row],[NumL]],T_TraitDi[#Data],COLUMN(T_TraitDi[[#This Row],[Colonne18]]),FALSE),""),"[hh]:mm"))</f>
        <v>#VALUE!</v>
      </c>
      <c r="AZ207" s="172" t="e">
        <f>IF(VLOOKUP(T_BilanSocial[[#This Row],[NumL]],T_TraitDi[#Data],COLUMN(T_TraitDi[[#This Row],[Colonne19]]),FALSE)=0,"",TEXT(IFERROR(VLOOKUP(T_BilanSocial[[#This Row],[NumL]],T_TraitDi[#Data],COLUMN(T_TraitDi[[#This Row],[Colonne19]]),FALSE),""),"[hh]:mm"))</f>
        <v>#VALUE!</v>
      </c>
      <c r="BA207" s="172" t="e">
        <f>IF(VLOOKUP(T_BilanSocial[[#This Row],[NumL]],T_TraitDi[#Data],COLUMN(T_TraitDi[[#This Row],[Colonne20]]),FALSE)=0,"",TEXT(IFERROR(VLOOKUP(T_BilanSocial[[#This Row],[NumL]],T_TraitDi[#Data],COLUMN(T_TraitDi[[#This Row],[Colonne20]]),FALSE),""),"[hh]:mm"))</f>
        <v>#VALUE!</v>
      </c>
      <c r="BB207" s="178" t="str">
        <f>IFERROR(VLOOKUP(T_BilanSocial[[#This Row],[NumL]],T_TraitDi[#Data],COLUMN(T_TraitDi[[#This Row],[Jeudi]]),FALSE),"")</f>
        <v/>
      </c>
      <c r="BC207" s="178" t="e">
        <f>IF(VLOOKUP(T_BilanSocial[[#This Row],[NumL]],T_TraitDi[#Data],COLUMN(T_TraitDi[[#This Row],[Colonne21]]),FALSE)=0,"",TEXT(IFERROR(VLOOKUP(T_BilanSocial[[#This Row],[NumL]],T_TraitDi[#Data],COLUMN(T_TraitDi[[#This Row],[Colonne21]]),FALSE),""),"[hh]:mm"))</f>
        <v>#VALUE!</v>
      </c>
      <c r="BD207" s="178" t="e">
        <f>IF(VLOOKUP(T_BilanSocial[[#This Row],[NumL]],T_TraitDi[#Data],COLUMN(T_TraitDi[[#This Row],[Colonne22]]),FALSE)=0,"",TEXT(IFERROR(VLOOKUP(T_BilanSocial[[#This Row],[NumL]],T_TraitDi[#Data],COLUMN(T_TraitDi[[#This Row],[Colonne22]]),FALSE),""),"[hh]:mm"))</f>
        <v>#VALUE!</v>
      </c>
      <c r="BE207" s="178" t="str">
        <f>IFERROR(VLOOKUP(T_BilanSocial[[#This Row],[NumL]],T_TraitDi[#Data],COLUMN(T_TraitDi[[#This Row],[Colonne23]]),FALSE),"")</f>
        <v/>
      </c>
      <c r="BF207" s="178" t="e">
        <f>IF(VLOOKUP(T_BilanSocial[[#This Row],[NumL]],T_TraitDi[#Data],COLUMN(T_TraitDi[[#This Row],[Colonne24]]),FALSE)=0,"",TEXT(IFERROR(VLOOKUP(T_BilanSocial[[#This Row],[NumL]],T_TraitDi[#Data],COLUMN(T_TraitDi[[#This Row],[Colonne24]]),FALSE),""),"[hh]:mm"))</f>
        <v>#VALUE!</v>
      </c>
      <c r="BG207" s="178" t="e">
        <f>IF(VLOOKUP(T_BilanSocial[[#This Row],[NumL]],T_TraitDi[#Data],COLUMN(T_TraitDi[[#This Row],[Colonne25]]),FALSE)=0,"",TEXT(IFERROR(VLOOKUP(T_BilanSocial[[#This Row],[NumL]],T_TraitDi[#Data],COLUMN(T_TraitDi[[#This Row],[Colonne25]]),FALSE),""),"[hh]:mm"))</f>
        <v>#VALUE!</v>
      </c>
      <c r="BH207" s="178" t="e">
        <f>IF(VLOOKUP(T_BilanSocial[[#This Row],[NumL]],T_TraitDi[#Data],COLUMN(T_TraitDi[[#This Row],[Colonne26]]),FALSE)=0,"",TEXT(IFERROR(VLOOKUP(T_BilanSocial[[#This Row],[NumL]],T_TraitDi[#Data],COLUMN(T_TraitDi[[#This Row],[Colonne26]]),FALSE),""),"[hh]:mm"))</f>
        <v>#VALUE!</v>
      </c>
      <c r="BI207" s="172" t="str">
        <f>IFERROR(VLOOKUP(T_BilanSocial[[#This Row],[NumL]],T_TraitDi[#Data],COLUMN(T_TraitDi[[#This Row],[Vendredi]]),FALSE),"")</f>
        <v/>
      </c>
      <c r="BJ207" s="172" t="e">
        <f>IF(VLOOKUP(T_BilanSocial[[#This Row],[NumL]],T_TraitDi[#Data],COLUMN(T_TraitDi[[#This Row],[Colonne27]]),FALSE)=0,"",TEXT(IFERROR(VLOOKUP(T_BilanSocial[[#This Row],[NumL]],T_TraitDi[#Data],COLUMN(T_TraitDi[[#This Row],[Colonne27]]),FALSE),""),"[hh]:mm"))</f>
        <v>#VALUE!</v>
      </c>
      <c r="BK207" s="172" t="e">
        <f>IF(VLOOKUP(T_BilanSocial[[#This Row],[NumL]],T_TraitDi[#Data],COLUMN(T_TraitDi[[#This Row],[Colonne28]]),FALSE)=0,"",TEXT(IFERROR(VLOOKUP(T_BilanSocial[[#This Row],[NumL]],T_TraitDi[#Data],COLUMN(T_TraitDi[[#This Row],[Colonne28]]),FALSE),""),"[hh]:mm"))</f>
        <v>#VALUE!</v>
      </c>
      <c r="BL207" s="172" t="str">
        <f>IFERROR(VLOOKUP(T_BilanSocial[[#This Row],[NumL]],T_TraitDi[#Data],COLUMN(T_TraitDi[[#This Row],[Colonne29]]),FALSE),"")</f>
        <v/>
      </c>
      <c r="BM207" s="172" t="e">
        <f>IF(VLOOKUP(T_BilanSocial[[#This Row],[NumL]],T_TraitDi[#Data],COLUMN(T_TraitDi[[#This Row],[Colonne30]]),FALSE)=0,"",TEXT(IFERROR(VLOOKUP(T_BilanSocial[[#This Row],[NumL]],T_TraitDi[#Data],COLUMN(T_TraitDi[[#This Row],[Colonne30]]),FALSE),""),"[hh]:mm"))</f>
        <v>#VALUE!</v>
      </c>
      <c r="BN207" s="172" t="e">
        <f>IF(VLOOKUP(T_BilanSocial[[#This Row],[NumL]],T_TraitDi[#Data],COLUMN(T_TraitDi[[#This Row],[Colonne31]]),FALSE)=0,"",TEXT(IFERROR(VLOOKUP(T_BilanSocial[[#This Row],[NumL]],T_TraitDi[#Data],COLUMN(T_TraitDi[[#This Row],[Colonne31]]),FALSE),""),"[hh]:mm"))</f>
        <v>#VALUE!</v>
      </c>
      <c r="BO207" s="172" t="e">
        <f>IF(VLOOKUP(T_BilanSocial[[#This Row],[NumL]],T_TraitDi[#Data],COLUMN(T_TraitDi[[#This Row],[Colonne32]]),FALSE)=0,"",TEXT(IFERROR(VLOOKUP(T_BilanSocial[[#This Row],[NumL]],T_TraitDi[#Data],COLUMN(T_TraitDi[[#This Row],[Colonne32]]),FALSE),""),"[hh]:mm"))</f>
        <v>#VALUE!</v>
      </c>
      <c r="BP207" s="172" t="e">
        <f>VLOOKUP(T_BilanSocial[[#This Row],[NumL]],T_TraitDi[#Data],COLUMN(T_TraitDi[NbJTot]),FALSE)</f>
        <v>#N/A</v>
      </c>
      <c r="BQ207" s="174" t="str">
        <f>IFERROR(VLOOKUP(T_BilanSocial[[#This Row],[NumL]],T_TraitDi[#Data],COLUMN(T_TraitDi[[#This Row],[NbJTW]]),FALSE),"")</f>
        <v/>
      </c>
      <c r="BR207" s="174" t="e">
        <f>IF(VLOOKUP(T_BilanSocial[[#This Row],[NumL]],T_TraitDi[#Data],COLUMN(T_TraitDi[[#This Row],[NbhTW]]),FALSE)=0,"",TEXT(IFERROR(VLOOKUP(T_BilanSocial[[#This Row],[NumL]],T_TraitDi[#Data],COLUMN(T_TraitDi[[#This Row],[NbhTW]]),FALSE),""),"[hh]:mm"))</f>
        <v>#VALUE!</v>
      </c>
      <c r="BS207" s="174" t="e">
        <f>IF(VLOOKUP(T_BilanSocial[[#This Row],[NumL]],T_TraitDi[#Data],COLUMN(T_TraitDi[[#This Row],[Nbhheb]]),FALSE)=0,"",TEXT(IFERROR(VLOOKUP($A207,T_TraitDi[#Data],COLUMN(T_TraitDi[[#This Row],[Nbhheb]]),FALSE),""),"[hh]:mm"))</f>
        <v>#VALUE!</v>
      </c>
      <c r="BT207" s="182" t="str">
        <f>IFERROR(VLOOKUP(VLOOKUP($A207,T_TraitDi[#Data],COLUMN(T_TraitDi[[#This Row],[Type1]]),FALSE),TypeTW,2,FALSE),"")</f>
        <v/>
      </c>
      <c r="BU207" s="182" t="str">
        <f>IFERROR(VLOOKUP($A207,T_TraitDi[#Data],COLUMN(T_TraitDi[[#This Row],[Rue1]]),FALSE),"")</f>
        <v/>
      </c>
      <c r="BV207" s="173" t="str">
        <f>IFERROR(VLOOKUP($A207,T_TraitDi[#Data],COLUMN(T_TraitDi[[#This Row],[CP1]]),FALSE),"")</f>
        <v/>
      </c>
      <c r="BW207" s="173" t="str">
        <f>IFERROR(VLOOKUP($A207,T_TraitDi[#Data],COLUMN(T_TraitDi[[#This Row],[VILLE1]]),FALSE),"")</f>
        <v/>
      </c>
      <c r="BX207" s="182" t="str">
        <f>IFERROR(VLOOKUP(VLOOKUP($A207,T_TraitDi[#Data],COLUMN(T_TraitDi[[#This Row],[Type2]]),FALSE),TypeTW,2,FALSE),"")</f>
        <v/>
      </c>
      <c r="BY207" s="182" t="str">
        <f>IFERROR(VLOOKUP($A207,T_TraitDi[#Data],COLUMN(T_TraitDi[[#This Row],[Rue2]]),FALSE),"")</f>
        <v/>
      </c>
      <c r="BZ207" s="173" t="str">
        <f>IFERROR(VLOOKUP($A207,T_TraitDi[#Data],COLUMN(T_TraitDi[[#This Row],[CP2]]),FALSE),"")</f>
        <v/>
      </c>
      <c r="CA207" s="173" t="str">
        <f>IFERROR(VLOOKUP($A207,T_TraitDi[#Data],COLUMN(T_TraitDi[[#This Row],[VILLE2]]),FALSE),"")</f>
        <v/>
      </c>
      <c r="CB207" s="182" t="str">
        <f>IF(VLOOKUP(T_BilanSocial[[#This Row],[NumL]],T_Equipement[#Data],COLUMN(T_Equipement[[#This Row],[PC]]),FALSE)="","Aucun équipement spécifique directement lié au télétravail",VLOOKUP(T_BilanSocial[[#This Row],[NumL]],T_Equipement[#Data],COLUMN(T_Equipement[[#This Row],[PC]]),FALSE))</f>
        <v xml:space="preserve">20-243	</v>
      </c>
      <c r="CC207" s="166" t="str">
        <f>IFERROR(IF(VLOOKUP(T_BilanSocial[[#This Row],[NumL]],T_TraitDi[#Data],COLUMN(T_TraitDi[[#This Row],[Plan]]),FALSE)="OK","Un planning spécifique de télétravail est annexé à la présente convention.",""),"")</f>
        <v/>
      </c>
      <c r="CD207" s="258" t="s">
        <v>3389</v>
      </c>
      <c r="CE207" s="164" t="e">
        <f>IF(VLOOKUP(T_BilanSocial[[#This Row],[NumL]],T_suiviDi[#Data],COLUMN(T_suiviDi[[#This Row],[Entité]]),FALSE)="","",VLOOKUP(T_BilanSocial[[#This Row],[NumL]],T_suiviDi[#Data],COLUMN(T_suiviDi[[#This Row],[Entité]]),FALSE))</f>
        <v>#VALUE!</v>
      </c>
      <c r="CF207" s="164" t="str">
        <f>IF(VLOOKUP(T_BilanSocial[[#This Row],[NumL]],T_Commission[#Data],COLUMN(T_Commission[[#This Row],[envoi confirm TW]]),FALSE)="","",VLOOKUP(T_BilanSocial[[#This Row],[NumL]],T_Commission[#Data],COLUMN(T_Commission[[#This Row],[envoi confirm TW]]),FALSE))</f>
        <v>Oui</v>
      </c>
      <c r="CG20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7" s="262" t="str">
        <f>T_BilanSocial[[#This Row],[Nom]]&amp;T_BilanSocial[[#This Row],[Prenom]]</f>
        <v/>
      </c>
      <c r="CI207" s="262">
        <f>VLOOKUP(T_BilanSocial[[#This Row],[NumL]],T_Commission[#Data],COLUMN(T_Commission[Commentaire]),FALSE)</f>
        <v>0</v>
      </c>
      <c r="CJ207" s="262" t="str">
        <f>IF(VLOOKUP(T_BilanSocial[[#This Row],[NumL]],T_Commission[#Data],COLUMN(T_Commission[Encadrant Email]),FALSE)="","",VLOOKUP(T_BilanSocial[[#This Row],[NumL]],T_Commission[#Data],COLUMN(T_Commission[Encadrant Email]),FALSE))</f>
        <v/>
      </c>
      <c r="CK207" s="340" t="str">
        <f>IF(T_BilanSocial[[#This Row],[Final]]&lt;&gt;"",VLOOKUP(T_BilanSocial[[#This Row],[NumL]],T_suiviDi[#Data],COLUMN((T_suiviDi[Statut])),FALSE),"")</f>
        <v/>
      </c>
    </row>
    <row r="208" spans="1:89" s="106" customFormat="1" ht="24.75" customHeight="1" x14ac:dyDescent="0.25">
      <c r="A208" s="160">
        <v>205</v>
      </c>
      <c r="B208" s="161" t="str">
        <f t="shared" si="34"/>
        <v/>
      </c>
      <c r="C208" s="162" t="s">
        <v>139</v>
      </c>
      <c r="D208" s="95" t="e">
        <f>IF(VLOOKUP(T_BilanSocial[[#This Row],[NumL]],T_TraitDi[#Data],COLUMN(T_TraitDi[[#This Row],[WebC]]),FALSE)="","",VLOOKUP(T_BilanSocial[[#This Row],[NumL]],T_TraitDi[#Data],COLUMN(T_TraitDi[[#This Row],[WebC]]),FALSE))</f>
        <v>#VALUE!</v>
      </c>
      <c r="E208" s="163" t="str">
        <f t="shared" si="35"/>
        <v>12 janvier 2021</v>
      </c>
      <c r="F208" s="96" t="str">
        <f>IF(T_BilanSocial[[#This Row],[Final]]&lt;&gt;"",VLOOKUP(T_BilanSocial[[#This Row],[NumL]],T_suiviDi[#Data],COLUMN((T_suiviDi[Civ.])),FALSE),"")</f>
        <v/>
      </c>
      <c r="G208" s="96" t="str">
        <f>IF(T_BilanSocial[[#This Row],[Final]]&lt;&gt;"",VLOOKUP(T_BilanSocial[[#This Row],[NumL]],T_suiviDi[#Data],COLUMN((T_suiviDi[Nom])),FALSE),"")</f>
        <v/>
      </c>
      <c r="H208" s="96" t="str">
        <f>IF(T_BilanSocial[[#This Row],[Final]]&lt;&gt;"",VLOOKUP(T_BilanSocial[[#This Row],[NumL]],T_suiviDi[#Data],COLUMN((T_suiviDi[Prénom])),FALSE),"")</f>
        <v/>
      </c>
      <c r="I208" s="96" t="str">
        <f>IFERROR(VLOOKUP(T_BilanSocial[[#This Row],[Zone_Bilan]],T_P_BilanSocial[#Data],COLUMN(T_P_BilanSocial[[#This Row],[Numero_SIHAM]]),FALSE),"")</f>
        <v/>
      </c>
      <c r="J208" s="96" t="str">
        <f>IFERROR(VLOOKUP(T_BilanSocial[[#This Row],[Zone_Bilan]],T_P_BilanSocial[#Data],COLUMN(T_P_BilanSocial[[#This Row],[Sexe]]),FALSE),"")</f>
        <v/>
      </c>
      <c r="K208" s="97" t="str">
        <f>IFERROR(VLOOKUP(T_BilanSocial[[#This Row],[Zone_Bilan]],T_P_BilanSocial[#Data],COLUMN(T_P_BilanSocial[[#This Row],[Categorie]]),FALSE),"")</f>
        <v/>
      </c>
      <c r="L208" s="96" t="str">
        <f>IFERROR(VLOOKUP(T_BilanSocial[[#This Row],[Zone_Bilan]],T_P_BilanSocial[#Data],COLUMN(T_P_BilanSocial[[#This Row],[Statut]]),FALSE),"")</f>
        <v/>
      </c>
      <c r="M208" s="96" t="str">
        <f>IFERROR(VLOOKUP(T_BilanSocial[[#This Row],[Zone_Bilan]],T_P_BilanSocial[#Data],COLUMN(T_P_BilanSocial[[#This Row],[Filiere]]),FALSE),"")</f>
        <v/>
      </c>
      <c r="N208" s="96" t="e">
        <f>VLOOKUP(T_BilanSocial[[#This Row],[NumL]],T_TraitDi[#Data],COLUMN(T_TraitDi[EXP]),FALSE)</f>
        <v>#N/A</v>
      </c>
      <c r="O208" s="96" t="e">
        <f>VLOOKUP(T_BilanSocial[[#This Row],[NumL]],T_TraitDi[#Data],COLUMN(T_TraitDi[FORM]),FALSE)</f>
        <v>#N/A</v>
      </c>
      <c r="P208" s="96" t="str">
        <f>IF(T_BilanSocial[[#This Row],[Final]]&lt;&gt;"",VLOOKUP(T_BilanSocial[[#This Row],[NumL]],T_suiviDi[#Data],COLUMN((T_suiviDi[Email])),FALSE),"")</f>
        <v/>
      </c>
      <c r="Q208" s="164" t="e">
        <f t="shared" ref="Q208:Q271" si="40">IF(VLOOKUP($A208,ListeDI,8,FALSE)="","",VLOOKUP($A208,ListeDI,8,FALSE))</f>
        <v>#N/A</v>
      </c>
      <c r="R208" s="164" t="e">
        <f t="shared" ref="R208:R271" si="41">IF(VLOOKUP($A208,ListeDI,9,FALSE)="","",VLOOKUP($A208,ListeDI,9,FALSE))</f>
        <v>#N/A</v>
      </c>
      <c r="S208" s="164" t="e">
        <f>IF(VLOOKUP(T_BilanSocial[[#This Row],[NumL]],T_suiviDi[#Data],COLUMN(T_suiviDi[[#This Row],[Service ]]),FALSE)="","",VLOOKUP(T_BilanSocial[[#This Row],[NumL]],T_suiviDi[#Data],COLUMN(T_suiviDi[[#This Row],[Service ]]),FALSE))</f>
        <v>#VALUE!</v>
      </c>
      <c r="T208" s="164" t="str">
        <f t="shared" si="36"/>
        <v>01 septembre 2021</v>
      </c>
      <c r="U208" s="164" t="str">
        <f t="shared" si="37"/>
        <v>30 novembre 2021</v>
      </c>
      <c r="V208" s="256">
        <f>Datebilan</f>
        <v>44530</v>
      </c>
      <c r="W208" s="176" t="e">
        <f>IF(VLOOKUP(T_BilanSocial[[#This Row],[NumL]],T_TraitDi[#Data],COLUMN(T_TraitDi[[#This Row],[M1]]),FALSE)="","",VLOOKUP(T_BilanSocial[[#This Row],[NumL]],T_TraitDi[#Data],COLUMN(T_TraitDi[[#This Row],[M1]]),FALSE))</f>
        <v>#VALUE!</v>
      </c>
      <c r="X208" s="176" t="e">
        <f>IF(VLOOKUP(T_BilanSocial[[#This Row],[NumL]],T_TraitDi[#Data],COLUMN(T_TraitDi[[#This Row],[M2]]),FALSE)="","",VLOOKUP(T_BilanSocial[[#This Row],[NumL]],T_TraitDi[#Data],COLUMN(T_TraitDi[[#This Row],[M2]]),FALSE))</f>
        <v>#VALUE!</v>
      </c>
      <c r="Y208" s="176" t="e">
        <f>IF(VLOOKUP(T_BilanSocial[[#This Row],[NumL]],T_TraitDi[#Data],COLUMN(T_TraitDi[[#This Row],[M3]]),FALSE)="","",VLOOKUP(T_BilanSocial[[#This Row],[NumL]],T_TraitDi[#Data],COLUMN(T_TraitDi[[#This Row],[M3]]),FALSE))</f>
        <v>#VALUE!</v>
      </c>
      <c r="Z208" s="176" t="str">
        <f t="shared" si="39"/>
        <v/>
      </c>
      <c r="AA208" s="176" t="e">
        <f>IF(VLOOKUP(T_BilanSocial[[#This Row],[NumL]],T_TraitDi[#Data],COLUMN(T_TraitDi[[#This Row],[M5]]),FALSE)="","",VLOOKUP(T_BilanSocial[[#This Row],[NumL]],T_TraitDi[#Data],COLUMN(T_TraitDi[[#This Row],[M5]]),FALSE))</f>
        <v>#VALUE!</v>
      </c>
      <c r="AB208" s="176" t="e">
        <f>IF(VLOOKUP(T_BilanSocial[[#This Row],[NumL]],T_TraitDi[#Data],COLUMN(T_TraitDi[[#This Row],[M6]]),FALSE)="","",VLOOKUP(T_BilanSocial[[#This Row],[NumL]],T_TraitDi[#Data],COLUMN(T_TraitDi[[#This Row],[M6]]),FALSE))</f>
        <v>#VALUE!</v>
      </c>
      <c r="AC208" s="165" t="e">
        <f t="shared" si="38"/>
        <v>#VALUE!</v>
      </c>
      <c r="AD208" s="188" t="str">
        <f>IFERROR(TEXT(VLOOKUP(T_BilanSocial[[#This Row],[NumL]],T_TraitDi[#Data],COLUMN(T_TraitDi[[#This Row],[Q2]]),FALSE),"###%"),"")</f>
        <v/>
      </c>
      <c r="AE208" s="97" t="e">
        <f>VLOOKUP(T_BilanSocial[[#This Row],[NumL]],T_TraitDi[#Data],COLUMN(T_TraitDi[[#This Row],[Reg Ponct]]),FALSE)</f>
        <v>#VALUE!</v>
      </c>
      <c r="AF208" s="97" t="e">
        <f>VLOOKUP(T_BilanSocial[NumL],T_TraitDi[#Data],COLUMN(T_TraitDi[[#This Row],[Jours flottants]]),FALSE)</f>
        <v>#VALUE!</v>
      </c>
      <c r="AG208" s="97" t="str">
        <f>IFERROR(VLOOKUP(T_BilanSocial[[#This Row],[NumL]],T_TraitDi[#Data],COLUMN(T_TraitDi[[#This Row],[Lundi]]),FALSE),"")</f>
        <v/>
      </c>
      <c r="AH208" s="172" t="e">
        <f>IF(VLOOKUP(T_BilanSocial[[#This Row],[NumL]],T_TraitDi[#Data],COLUMN(T_TraitDi[[#This Row],[Colonne3]]),FALSE)=0,"",TEXT(IFERROR(VLOOKUP(T_BilanSocial[[#This Row],[NumL]],T_TraitDi[#Data],COLUMN(T_TraitDi[[#This Row],[Colonne3]]),FALSE),""),"[hh]:mm"))</f>
        <v>#VALUE!</v>
      </c>
      <c r="AI208" s="172" t="e">
        <f>IF(VLOOKUP(T_BilanSocial[[#This Row],[NumL]],T_TraitDi[#Data],COLUMN(T_TraitDi[[#This Row],[Colonne4]]),FALSE)=0,"",TEXT(IFERROR(VLOOKUP(T_BilanSocial[[#This Row],[NumL]],T_TraitDi[#Data],COLUMN(T_TraitDi[[#This Row],[Colonne4]]),FALSE),""),"[hh]:mm"))</f>
        <v>#VALUE!</v>
      </c>
      <c r="AJ208" s="172" t="e">
        <f>IF(VLOOKUP(T_BilanSocial[[#This Row],[NumL]],T_TraitDi[#Data],COLUMN(T_TraitDi[[#This Row],[Colonne5]]),FALSE)=0,"",TEXT(IFERROR(VLOOKUP(T_BilanSocial[[#This Row],[NumL]],T_TraitDi[#Data],COLUMN(T_TraitDi[[#This Row],[Colonne5]]),FALSE),""),"[hh]:mm"))</f>
        <v>#VALUE!</v>
      </c>
      <c r="AK208" s="172" t="e">
        <f>IF(VLOOKUP(T_BilanSocial[[#This Row],[NumL]],T_TraitDi[#Data],COLUMN(T_TraitDi[[#This Row],[Colonne6]]),FALSE)=0,"",TEXT(IFERROR(VLOOKUP(T_BilanSocial[[#This Row],[NumL]],T_TraitDi[#Data],COLUMN(T_TraitDi[[#This Row],[Colonne6]]),FALSE),""),"[hh]:mm"))</f>
        <v>#VALUE!</v>
      </c>
      <c r="AL208" s="172" t="e">
        <f>IF(VLOOKUP(T_BilanSocial[[#This Row],[NumL]],T_TraitDi[#Data],COLUMN(T_TraitDi[[#This Row],[Colonne7]]),FALSE)=0,"",TEXT(IFERROR(VLOOKUP(T_BilanSocial[[#This Row],[NumL]],T_TraitDi[#Data],COLUMN(T_TraitDi[[#This Row],[Colonne7]]),FALSE),""),"[hh]:mm"))</f>
        <v>#VALUE!</v>
      </c>
      <c r="AM208" s="172" t="e">
        <f>IF(VLOOKUP(T_BilanSocial[[#This Row],[NumL]],T_TraitDi[#Data],COLUMN(T_TraitDi[[#This Row],[Colonne8]]),FALSE)=0,"",TEXT(IFERROR(VLOOKUP(T_BilanSocial[[#This Row],[NumL]],T_TraitDi[#Data],COLUMN(T_TraitDi[[#This Row],[Colonne8]]),FALSE),""),"[hh]:mm"))</f>
        <v>#VALUE!</v>
      </c>
      <c r="AN208" s="172" t="str">
        <f>IFERROR(VLOOKUP(T_BilanSocial[[#This Row],[NumL]],T_TraitDi[#Data],COLUMN(T_TraitDi[[#This Row],[Mardi]]),FALSE),"")</f>
        <v/>
      </c>
      <c r="AO208" s="172" t="e">
        <f>IF(VLOOKUP(T_BilanSocial[[#This Row],[NumL]],T_TraitDi[#Data],COLUMN(T_TraitDi[[#This Row],[Colonne1]]),FALSE)=0,"",TEXT(IFERROR(VLOOKUP(T_BilanSocial[[#This Row],[NumL]],T_TraitDi[#Data],COLUMN(T_TraitDi[[#This Row],[Colonne1]]),FALSE),""),"[hh]:mm"))</f>
        <v>#VALUE!</v>
      </c>
      <c r="AP208" s="172" t="e">
        <f>IF(VLOOKUP(T_BilanSocial[[#This Row],[NumL]],T_TraitDi[#Data],COLUMN(T_TraitDi[[#This Row],[Colonne9]]),FALSE)=0,"",TEXT(IFERROR(VLOOKUP(T_BilanSocial[[#This Row],[NumL]],T_TraitDi[#Data],COLUMN(T_TraitDi[[#This Row],[Colonne9]]),FALSE),""),"[hh]:mm"))</f>
        <v>#VALUE!</v>
      </c>
      <c r="AQ208" s="172" t="str">
        <f>IFERROR(VLOOKUP(T_BilanSocial[[#This Row],[NumL]],T_TraitDi[#Data],COLUMN(T_TraitDi[[#This Row],[Colonne10]]),FALSE),"")</f>
        <v/>
      </c>
      <c r="AR208" s="172" t="e">
        <f>IF(VLOOKUP(T_BilanSocial[[#This Row],[NumL]],T_TraitDi[#Data],COLUMN(T_TraitDi[[#This Row],[Colonne11]]),FALSE)=0,"",TEXT(IFERROR(VLOOKUP(T_BilanSocial[[#This Row],[NumL]],T_TraitDi[#Data],COLUMN(T_TraitDi[[#This Row],[Colonne11]]),FALSE),""),"[hh]:mm"))</f>
        <v>#VALUE!</v>
      </c>
      <c r="AS208" s="172" t="e">
        <f>IF(VLOOKUP(T_BilanSocial[[#This Row],[NumL]],T_TraitDi[#Data],COLUMN(T_TraitDi[[#This Row],[Colonne12]]),FALSE)=0,"",TEXT(IFERROR(VLOOKUP(T_BilanSocial[[#This Row],[NumL]],T_TraitDi[#Data],COLUMN(T_TraitDi[[#This Row],[Colonne12]]),FALSE),""),"[hh]:mm"))</f>
        <v>#VALUE!</v>
      </c>
      <c r="AT208" s="172" t="e">
        <f>IF(VLOOKUP(T_BilanSocial[[#This Row],[NumL]],T_TraitDi[#Data],COLUMN(T_TraitDi[[#This Row],[Colonne14]]),FALSE)=0,"",TEXT(IFERROR(VLOOKUP(T_BilanSocial[[#This Row],[NumL]],T_TraitDi[#Data],COLUMN(T_TraitDi[[#This Row],[Colonne14]]),FALSE),""),"[hh]:mm"))</f>
        <v>#VALUE!</v>
      </c>
      <c r="AU208" s="172" t="str">
        <f>IFERROR(VLOOKUP(T_BilanSocial[[#This Row],[NumL]],T_TraitDi[#Data],COLUMN(T_TraitDi[[#This Row],[Mercredi]]),FALSE),"")</f>
        <v/>
      </c>
      <c r="AV208" s="172" t="e">
        <f>IF(VLOOKUP(T_BilanSocial[[#This Row],[NumL]],T_TraitDi[#Data],COLUMN(T_TraitDi[[#This Row],[Colonne15]]),FALSE)=0,"",TEXT(IFERROR(VLOOKUP(T_BilanSocial[[#This Row],[NumL]],T_TraitDi[#Data],COLUMN(T_TraitDi[[#This Row],[Colonne15]]),FALSE),""),"[hh]:mm"))</f>
        <v>#VALUE!</v>
      </c>
      <c r="AW208" s="172" t="e">
        <f>IF(VLOOKUP(T_BilanSocial[[#This Row],[NumL]],T_TraitDi[#Data],COLUMN(T_TraitDi[[#This Row],[Colonne16]]),FALSE)=0,"",TEXT(IFERROR(VLOOKUP(T_BilanSocial[[#This Row],[NumL]],T_TraitDi[#Data],COLUMN(T_TraitDi[[#This Row],[Colonne16]]),FALSE),""),"[hh]:mm"))</f>
        <v>#VALUE!</v>
      </c>
      <c r="AX208" s="172" t="str">
        <f>IFERROR(VLOOKUP(T_BilanSocial[[#This Row],[NumL]],T_TraitDi[#Data],COLUMN(T_TraitDi[[#This Row],[Colonne17]]),FALSE),"")</f>
        <v/>
      </c>
      <c r="AY208" s="172" t="e">
        <f>IF(VLOOKUP(T_BilanSocial[[#This Row],[NumL]],T_TraitDi[#Data],COLUMN(T_TraitDi[[#This Row],[Colonne18]]),FALSE)=0,"",TEXT(IFERROR(VLOOKUP(T_BilanSocial[[#This Row],[NumL]],T_TraitDi[#Data],COLUMN(T_TraitDi[[#This Row],[Colonne18]]),FALSE),""),"[hh]:mm"))</f>
        <v>#VALUE!</v>
      </c>
      <c r="AZ208" s="172" t="e">
        <f>IF(VLOOKUP(T_BilanSocial[[#This Row],[NumL]],T_TraitDi[#Data],COLUMN(T_TraitDi[[#This Row],[Colonne19]]),FALSE)=0,"",TEXT(IFERROR(VLOOKUP(T_BilanSocial[[#This Row],[NumL]],T_TraitDi[#Data],COLUMN(T_TraitDi[[#This Row],[Colonne19]]),FALSE),""),"[hh]:mm"))</f>
        <v>#VALUE!</v>
      </c>
      <c r="BA208" s="172" t="e">
        <f>IF(VLOOKUP(T_BilanSocial[[#This Row],[NumL]],T_TraitDi[#Data],COLUMN(T_TraitDi[[#This Row],[Colonne20]]),FALSE)=0,"",TEXT(IFERROR(VLOOKUP(T_BilanSocial[[#This Row],[NumL]],T_TraitDi[#Data],COLUMN(T_TraitDi[[#This Row],[Colonne20]]),FALSE),""),"[hh]:mm"))</f>
        <v>#VALUE!</v>
      </c>
      <c r="BB208" s="178" t="str">
        <f>IFERROR(VLOOKUP(T_BilanSocial[[#This Row],[NumL]],T_TraitDi[#Data],COLUMN(T_TraitDi[[#This Row],[Jeudi]]),FALSE),"")</f>
        <v/>
      </c>
      <c r="BC208" s="178" t="e">
        <f>IF(VLOOKUP(T_BilanSocial[[#This Row],[NumL]],T_TraitDi[#Data],COLUMN(T_TraitDi[[#This Row],[Colonne21]]),FALSE)=0,"",TEXT(IFERROR(VLOOKUP(T_BilanSocial[[#This Row],[NumL]],T_TraitDi[#Data],COLUMN(T_TraitDi[[#This Row],[Colonne21]]),FALSE),""),"[hh]:mm"))</f>
        <v>#VALUE!</v>
      </c>
      <c r="BD208" s="178" t="e">
        <f>IF(VLOOKUP(T_BilanSocial[[#This Row],[NumL]],T_TraitDi[#Data],COLUMN(T_TraitDi[[#This Row],[Colonne22]]),FALSE)=0,"",TEXT(IFERROR(VLOOKUP(T_BilanSocial[[#This Row],[NumL]],T_TraitDi[#Data],COLUMN(T_TraitDi[[#This Row],[Colonne22]]),FALSE),""),"[hh]:mm"))</f>
        <v>#VALUE!</v>
      </c>
      <c r="BE208" s="178" t="str">
        <f>IFERROR(VLOOKUP(T_BilanSocial[[#This Row],[NumL]],T_TraitDi[#Data],COLUMN(T_TraitDi[[#This Row],[Colonne23]]),FALSE),"")</f>
        <v/>
      </c>
      <c r="BF208" s="178" t="e">
        <f>IF(VLOOKUP(T_BilanSocial[[#This Row],[NumL]],T_TraitDi[#Data],COLUMN(T_TraitDi[[#This Row],[Colonne24]]),FALSE)=0,"",TEXT(IFERROR(VLOOKUP(T_BilanSocial[[#This Row],[NumL]],T_TraitDi[#Data],COLUMN(T_TraitDi[[#This Row],[Colonne24]]),FALSE),""),"[hh]:mm"))</f>
        <v>#VALUE!</v>
      </c>
      <c r="BG208" s="178" t="e">
        <f>IF(VLOOKUP(T_BilanSocial[[#This Row],[NumL]],T_TraitDi[#Data],COLUMN(T_TraitDi[[#This Row],[Colonne25]]),FALSE)=0,"",TEXT(IFERROR(VLOOKUP(T_BilanSocial[[#This Row],[NumL]],T_TraitDi[#Data],COLUMN(T_TraitDi[[#This Row],[Colonne25]]),FALSE),""),"[hh]:mm"))</f>
        <v>#VALUE!</v>
      </c>
      <c r="BH208" s="178" t="e">
        <f>IF(VLOOKUP(T_BilanSocial[[#This Row],[NumL]],T_TraitDi[#Data],COLUMN(T_TraitDi[[#This Row],[Colonne26]]),FALSE)=0,"",TEXT(IFERROR(VLOOKUP(T_BilanSocial[[#This Row],[NumL]],T_TraitDi[#Data],COLUMN(T_TraitDi[[#This Row],[Colonne26]]),FALSE),""),"[hh]:mm"))</f>
        <v>#VALUE!</v>
      </c>
      <c r="BI208" s="172" t="str">
        <f>IFERROR(VLOOKUP(T_BilanSocial[[#This Row],[NumL]],T_TraitDi[#Data],COLUMN(T_TraitDi[[#This Row],[Vendredi]]),FALSE),"")</f>
        <v/>
      </c>
      <c r="BJ208" s="172" t="e">
        <f>IF(VLOOKUP(T_BilanSocial[[#This Row],[NumL]],T_TraitDi[#Data],COLUMN(T_TraitDi[[#This Row],[Colonne27]]),FALSE)=0,"",TEXT(IFERROR(VLOOKUP(T_BilanSocial[[#This Row],[NumL]],T_TraitDi[#Data],COLUMN(T_TraitDi[[#This Row],[Colonne27]]),FALSE),""),"[hh]:mm"))</f>
        <v>#VALUE!</v>
      </c>
      <c r="BK208" s="172" t="e">
        <f>IF(VLOOKUP(T_BilanSocial[[#This Row],[NumL]],T_TraitDi[#Data],COLUMN(T_TraitDi[[#This Row],[Colonne28]]),FALSE)=0,"",TEXT(IFERROR(VLOOKUP(T_BilanSocial[[#This Row],[NumL]],T_TraitDi[#Data],COLUMN(T_TraitDi[[#This Row],[Colonne28]]),FALSE),""),"[hh]:mm"))</f>
        <v>#VALUE!</v>
      </c>
      <c r="BL208" s="172" t="str">
        <f>IFERROR(VLOOKUP(T_BilanSocial[[#This Row],[NumL]],T_TraitDi[#Data],COLUMN(T_TraitDi[[#This Row],[Colonne29]]),FALSE),"")</f>
        <v/>
      </c>
      <c r="BM208" s="172" t="e">
        <f>IF(VLOOKUP(T_BilanSocial[[#This Row],[NumL]],T_TraitDi[#Data],COLUMN(T_TraitDi[[#This Row],[Colonne30]]),FALSE)=0,"",TEXT(IFERROR(VLOOKUP(T_BilanSocial[[#This Row],[NumL]],T_TraitDi[#Data],COLUMN(T_TraitDi[[#This Row],[Colonne30]]),FALSE),""),"[hh]:mm"))</f>
        <v>#VALUE!</v>
      </c>
      <c r="BN208" s="172" t="e">
        <f>IF(VLOOKUP(T_BilanSocial[[#This Row],[NumL]],T_TraitDi[#Data],COLUMN(T_TraitDi[[#This Row],[Colonne31]]),FALSE)=0,"",TEXT(IFERROR(VLOOKUP(T_BilanSocial[[#This Row],[NumL]],T_TraitDi[#Data],COLUMN(T_TraitDi[[#This Row],[Colonne31]]),FALSE),""),"[hh]:mm"))</f>
        <v>#VALUE!</v>
      </c>
      <c r="BO208" s="172" t="e">
        <f>IF(VLOOKUP(T_BilanSocial[[#This Row],[NumL]],T_TraitDi[#Data],COLUMN(T_TraitDi[[#This Row],[Colonne32]]),FALSE)=0,"",TEXT(IFERROR(VLOOKUP(T_BilanSocial[[#This Row],[NumL]],T_TraitDi[#Data],COLUMN(T_TraitDi[[#This Row],[Colonne32]]),FALSE),""),"[hh]:mm"))</f>
        <v>#VALUE!</v>
      </c>
      <c r="BP208" s="172" t="e">
        <f>VLOOKUP(T_BilanSocial[[#This Row],[NumL]],T_TraitDi[#Data],COLUMN(T_TraitDi[NbJTot]),FALSE)</f>
        <v>#N/A</v>
      </c>
      <c r="BQ208" s="174" t="str">
        <f>IFERROR(VLOOKUP(T_BilanSocial[[#This Row],[NumL]],T_TraitDi[#Data],COLUMN(T_TraitDi[[#This Row],[NbJTW]]),FALSE),"")</f>
        <v/>
      </c>
      <c r="BR208" s="174" t="e">
        <f>IF(VLOOKUP(T_BilanSocial[[#This Row],[NumL]],T_TraitDi[#Data],COLUMN(T_TraitDi[[#This Row],[NbhTW]]),FALSE)=0,"",TEXT(IFERROR(VLOOKUP(T_BilanSocial[[#This Row],[NumL]],T_TraitDi[#Data],COLUMN(T_TraitDi[[#This Row],[NbhTW]]),FALSE),""),"[hh]:mm"))</f>
        <v>#VALUE!</v>
      </c>
      <c r="BS208" s="174" t="e">
        <f>IF(VLOOKUP(T_BilanSocial[[#This Row],[NumL]],T_TraitDi[#Data],COLUMN(T_TraitDi[[#This Row],[Nbhheb]]),FALSE)=0,"",TEXT(IFERROR(VLOOKUP($A208,T_TraitDi[#Data],COLUMN(T_TraitDi[[#This Row],[Nbhheb]]),FALSE),""),"[hh]:mm"))</f>
        <v>#VALUE!</v>
      </c>
      <c r="BT208" s="182" t="str">
        <f>IFERROR(VLOOKUP(VLOOKUP($A208,T_TraitDi[#Data],COLUMN(T_TraitDi[[#This Row],[Type1]]),FALSE),TypeTW,2,FALSE),"")</f>
        <v/>
      </c>
      <c r="BU208" s="182" t="str">
        <f>IFERROR(VLOOKUP($A208,T_TraitDi[#Data],COLUMN(T_TraitDi[[#This Row],[Rue1]]),FALSE),"")</f>
        <v/>
      </c>
      <c r="BV208" s="173" t="str">
        <f>IFERROR(VLOOKUP($A208,T_TraitDi[#Data],COLUMN(T_TraitDi[[#This Row],[CP1]]),FALSE),"")</f>
        <v/>
      </c>
      <c r="BW208" s="173" t="str">
        <f>IFERROR(VLOOKUP($A208,T_TraitDi[#Data],COLUMN(T_TraitDi[[#This Row],[VILLE1]]),FALSE),"")</f>
        <v/>
      </c>
      <c r="BX208" s="182" t="str">
        <f>IFERROR(VLOOKUP(VLOOKUP($A208,T_TraitDi[#Data],COLUMN(T_TraitDi[[#This Row],[Type2]]),FALSE),TypeTW,2,FALSE),"")</f>
        <v/>
      </c>
      <c r="BY208" s="182" t="str">
        <f>IFERROR(VLOOKUP($A208,T_TraitDi[#Data],COLUMN(T_TraitDi[[#This Row],[Rue2]]),FALSE),"")</f>
        <v/>
      </c>
      <c r="BZ208" s="173" t="str">
        <f>IFERROR(VLOOKUP($A208,T_TraitDi[#Data],COLUMN(T_TraitDi[[#This Row],[CP2]]),FALSE),"")</f>
        <v/>
      </c>
      <c r="CA208" s="173" t="str">
        <f>IFERROR(VLOOKUP($A208,T_TraitDi[#Data],COLUMN(T_TraitDi[[#This Row],[VILLE2]]),FALSE),"")</f>
        <v/>
      </c>
      <c r="CB208" s="182" t="str">
        <f>IF(VLOOKUP(T_BilanSocial[[#This Row],[NumL]],T_Equipement[#Data],COLUMN(T_Equipement[[#This Row],[PC]]),FALSE)="","Aucun équipement spécifique directement lié au télétravail",VLOOKUP(T_BilanSocial[[#This Row],[NumL]],T_Equipement[#Data],COLUMN(T_Equipement[[#This Row],[PC]]),FALSE))</f>
        <v xml:space="preserve">20-274	</v>
      </c>
      <c r="CC208" s="166" t="str">
        <f>IFERROR(IF(VLOOKUP(T_BilanSocial[[#This Row],[NumL]],T_TraitDi[#Data],COLUMN(T_TraitDi[[#This Row],[Plan]]),FALSE)="OK","Un planning spécifique de télétravail est annexé à la présente convention.",""),"")</f>
        <v/>
      </c>
      <c r="CD208" s="185"/>
      <c r="CE208" s="164" t="e">
        <f>IF(VLOOKUP(T_BilanSocial[[#This Row],[NumL]],T_suiviDi[#Data],COLUMN(T_suiviDi[[#This Row],[Entité]]),FALSE)="","",VLOOKUP(T_BilanSocial[[#This Row],[NumL]],T_suiviDi[#Data],COLUMN(T_suiviDi[[#This Row],[Entité]]),FALSE))</f>
        <v>#VALUE!</v>
      </c>
      <c r="CF208" s="164" t="str">
        <f>IF(VLOOKUP(T_BilanSocial[[#This Row],[NumL]],T_Commission[#Data],COLUMN(T_Commission[[#This Row],[envoi confirm TW]]),FALSE)="","",VLOOKUP(T_BilanSocial[[#This Row],[NumL]],T_Commission[#Data],COLUMN(T_Commission[[#This Row],[envoi confirm TW]]),FALSE))</f>
        <v>Oui</v>
      </c>
      <c r="CG20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8" s="262" t="str">
        <f>T_BilanSocial[[#This Row],[Nom]]&amp;T_BilanSocial[[#This Row],[Prenom]]</f>
        <v/>
      </c>
      <c r="CI208" s="262">
        <f>VLOOKUP(T_BilanSocial[[#This Row],[NumL]],T_Commission[#Data],COLUMN(T_Commission[Commentaire]),FALSE)</f>
        <v>0</v>
      </c>
      <c r="CJ208" s="262" t="str">
        <f>IF(VLOOKUP(T_BilanSocial[[#This Row],[NumL]],T_Commission[#Data],COLUMN(T_Commission[Encadrant Email]),FALSE)="","",VLOOKUP(T_BilanSocial[[#This Row],[NumL]],T_Commission[#Data],COLUMN(T_Commission[Encadrant Email]),FALSE))</f>
        <v/>
      </c>
      <c r="CK208" s="340" t="str">
        <f>IF(T_BilanSocial[[#This Row],[Final]]&lt;&gt;"",VLOOKUP(T_BilanSocial[[#This Row],[NumL]],T_suiviDi[#Data],COLUMN((T_suiviDi[Statut])),FALSE),"")</f>
        <v/>
      </c>
    </row>
    <row r="209" spans="1:89" s="106" customFormat="1" ht="24.75" customHeight="1" x14ac:dyDescent="0.25">
      <c r="A209" s="160">
        <v>206</v>
      </c>
      <c r="B209" s="161" t="str">
        <f t="shared" si="34"/>
        <v/>
      </c>
      <c r="C209" s="162" t="s">
        <v>173</v>
      </c>
      <c r="D209" s="95" t="e">
        <f>IF(VLOOKUP(T_BilanSocial[[#This Row],[NumL]],T_TraitDi[#Data],COLUMN(T_TraitDi[[#This Row],[WebC]]),FALSE)="","",VLOOKUP(T_BilanSocial[[#This Row],[NumL]],T_TraitDi[#Data],COLUMN(T_TraitDi[[#This Row],[WebC]]),FALSE))</f>
        <v>#VALUE!</v>
      </c>
      <c r="E209" s="163" t="str">
        <f t="shared" si="35"/>
        <v>12 janvier 2021</v>
      </c>
      <c r="F209" s="96" t="str">
        <f>IF(T_BilanSocial[[#This Row],[Final]]&lt;&gt;"",VLOOKUP(T_BilanSocial[[#This Row],[NumL]],T_suiviDi[#Data],COLUMN((T_suiviDi[Civ.])),FALSE),"")</f>
        <v/>
      </c>
      <c r="G209" s="96" t="str">
        <f>IF(T_BilanSocial[[#This Row],[Final]]&lt;&gt;"",VLOOKUP(T_BilanSocial[[#This Row],[NumL]],T_suiviDi[#Data],COLUMN((T_suiviDi[Nom])),FALSE),"")</f>
        <v/>
      </c>
      <c r="H209" s="96" t="str">
        <f>IF(T_BilanSocial[[#This Row],[Final]]&lt;&gt;"",VLOOKUP(T_BilanSocial[[#This Row],[NumL]],T_suiviDi[#Data],COLUMN((T_suiviDi[Prénom])),FALSE),"")</f>
        <v/>
      </c>
      <c r="I209" s="96" t="str">
        <f>IFERROR(VLOOKUP(T_BilanSocial[[#This Row],[Zone_Bilan]],T_P_BilanSocial[#Data],COLUMN(T_P_BilanSocial[[#This Row],[Numero_SIHAM]]),FALSE),"")</f>
        <v/>
      </c>
      <c r="J209" s="96" t="str">
        <f>IFERROR(VLOOKUP(T_BilanSocial[[#This Row],[Zone_Bilan]],T_P_BilanSocial[#Data],COLUMN(T_P_BilanSocial[[#This Row],[Sexe]]),FALSE),"")</f>
        <v/>
      </c>
      <c r="K209" s="97" t="str">
        <f>IFERROR(VLOOKUP(T_BilanSocial[[#This Row],[Zone_Bilan]],T_P_BilanSocial[#Data],COLUMN(T_P_BilanSocial[[#This Row],[Categorie]]),FALSE),"")</f>
        <v/>
      </c>
      <c r="L209" s="96" t="str">
        <f>IFERROR(VLOOKUP(T_BilanSocial[[#This Row],[Zone_Bilan]],T_P_BilanSocial[#Data],COLUMN(T_P_BilanSocial[[#This Row],[Statut]]),FALSE),"")</f>
        <v/>
      </c>
      <c r="M209" s="96" t="str">
        <f>IFERROR(VLOOKUP(T_BilanSocial[[#This Row],[Zone_Bilan]],T_P_BilanSocial[#Data],COLUMN(T_P_BilanSocial[[#This Row],[Filiere]]),FALSE),"")</f>
        <v/>
      </c>
      <c r="N209" s="96" t="e">
        <f>VLOOKUP(T_BilanSocial[[#This Row],[NumL]],T_TraitDi[#Data],COLUMN(T_TraitDi[EXP]),FALSE)</f>
        <v>#N/A</v>
      </c>
      <c r="O209" s="96" t="e">
        <f>VLOOKUP(T_BilanSocial[[#This Row],[NumL]],T_TraitDi[#Data],COLUMN(T_TraitDi[FORM]),FALSE)</f>
        <v>#N/A</v>
      </c>
      <c r="P209" s="96" t="str">
        <f>IF(T_BilanSocial[[#This Row],[Final]]&lt;&gt;"",VLOOKUP(T_BilanSocial[[#This Row],[NumL]],T_suiviDi[#Data],COLUMN((T_suiviDi[Email])),FALSE),"")</f>
        <v/>
      </c>
      <c r="Q209" s="164" t="e">
        <f t="shared" si="40"/>
        <v>#N/A</v>
      </c>
      <c r="R209" s="164" t="e">
        <f t="shared" si="41"/>
        <v>#N/A</v>
      </c>
      <c r="S209" s="164" t="e">
        <f>IF(VLOOKUP(T_BilanSocial[[#This Row],[NumL]],T_suiviDi[#Data],COLUMN(T_suiviDi[[#This Row],[Service ]]),FALSE)="","",VLOOKUP(T_BilanSocial[[#This Row],[NumL]],T_suiviDi[#Data],COLUMN(T_suiviDi[[#This Row],[Service ]]),FALSE))</f>
        <v>#VALUE!</v>
      </c>
      <c r="T209" s="164" t="str">
        <f t="shared" si="36"/>
        <v>01 septembre 2021</v>
      </c>
      <c r="U209" s="164" t="str">
        <f t="shared" si="37"/>
        <v>30 novembre 2021</v>
      </c>
      <c r="V209" s="164" t="str">
        <f t="shared" ref="V209:V218" si="42">TEXT(Datebilan,"jj mmmm aaaa")</f>
        <v>30 novembre 2021</v>
      </c>
      <c r="W209" s="176" t="e">
        <f>IF(VLOOKUP(T_BilanSocial[[#This Row],[NumL]],T_TraitDi[#Data],COLUMN(T_TraitDi[[#This Row],[M1]]),FALSE)="","",VLOOKUP(T_BilanSocial[[#This Row],[NumL]],T_TraitDi[#Data],COLUMN(T_TraitDi[[#This Row],[M1]]),FALSE))</f>
        <v>#VALUE!</v>
      </c>
      <c r="X209" s="176" t="e">
        <f>IF(VLOOKUP(T_BilanSocial[[#This Row],[NumL]],T_TraitDi[#Data],COLUMN(T_TraitDi[[#This Row],[M2]]),FALSE)="","",VLOOKUP(T_BilanSocial[[#This Row],[NumL]],T_TraitDi[#Data],COLUMN(T_TraitDi[[#This Row],[M2]]),FALSE))</f>
        <v>#VALUE!</v>
      </c>
      <c r="Y209" s="176" t="e">
        <f>IF(VLOOKUP(T_BilanSocial[[#This Row],[NumL]],T_TraitDi[#Data],COLUMN(T_TraitDi[[#This Row],[M3]]),FALSE)="","",VLOOKUP(T_BilanSocial[[#This Row],[NumL]],T_TraitDi[#Data],COLUMN(T_TraitDi[[#This Row],[M3]]),FALSE))</f>
        <v>#VALUE!</v>
      </c>
      <c r="Z209" s="176" t="str">
        <f t="shared" si="39"/>
        <v/>
      </c>
      <c r="AA209" s="176" t="e">
        <f>IF(VLOOKUP(T_BilanSocial[[#This Row],[NumL]],T_TraitDi[#Data],COLUMN(T_TraitDi[[#This Row],[M5]]),FALSE)="","",VLOOKUP(T_BilanSocial[[#This Row],[NumL]],T_TraitDi[#Data],COLUMN(T_TraitDi[[#This Row],[M5]]),FALSE))</f>
        <v>#VALUE!</v>
      </c>
      <c r="AB209" s="176" t="e">
        <f>IF(VLOOKUP(T_BilanSocial[[#This Row],[NumL]],T_TraitDi[#Data],COLUMN(T_TraitDi[[#This Row],[M6]]),FALSE)="","",VLOOKUP(T_BilanSocial[[#This Row],[NumL]],T_TraitDi[#Data],COLUMN(T_TraitDi[[#This Row],[M6]]),FALSE))</f>
        <v>#VALUE!</v>
      </c>
      <c r="AC209" s="165" t="e">
        <f t="shared" si="38"/>
        <v>#VALUE!</v>
      </c>
      <c r="AD209" s="188" t="str">
        <f>IFERROR(TEXT(VLOOKUP(T_BilanSocial[[#This Row],[NumL]],T_TraitDi[#Data],COLUMN(T_TraitDi[[#This Row],[Q2]]),FALSE),"###%"),"")</f>
        <v/>
      </c>
      <c r="AE209" s="97" t="e">
        <f>VLOOKUP(T_BilanSocial[[#This Row],[NumL]],T_TraitDi[#Data],COLUMN(T_TraitDi[[#This Row],[Reg Ponct]]),FALSE)</f>
        <v>#VALUE!</v>
      </c>
      <c r="AF209" s="97" t="e">
        <f>VLOOKUP(T_BilanSocial[NumL],T_TraitDi[#Data],COLUMN(T_TraitDi[[#This Row],[Jours flottants]]),FALSE)</f>
        <v>#VALUE!</v>
      </c>
      <c r="AG209" s="97" t="str">
        <f>IFERROR(VLOOKUP(T_BilanSocial[[#This Row],[NumL]],T_TraitDi[#Data],COLUMN(T_TraitDi[[#This Row],[Lundi]]),FALSE),"")</f>
        <v/>
      </c>
      <c r="AH209" s="172" t="e">
        <f>IF(VLOOKUP(T_BilanSocial[[#This Row],[NumL]],T_TraitDi[#Data],COLUMN(T_TraitDi[[#This Row],[Colonne3]]),FALSE)=0,"",TEXT(IFERROR(VLOOKUP(T_BilanSocial[[#This Row],[NumL]],T_TraitDi[#Data],COLUMN(T_TraitDi[[#This Row],[Colonne3]]),FALSE),""),"[hh]:mm"))</f>
        <v>#VALUE!</v>
      </c>
      <c r="AI209" s="172" t="e">
        <f>IF(VLOOKUP(T_BilanSocial[[#This Row],[NumL]],T_TraitDi[#Data],COLUMN(T_TraitDi[[#This Row],[Colonne4]]),FALSE)=0,"",TEXT(IFERROR(VLOOKUP(T_BilanSocial[[#This Row],[NumL]],T_TraitDi[#Data],COLUMN(T_TraitDi[[#This Row],[Colonne4]]),FALSE),""),"[hh]:mm"))</f>
        <v>#VALUE!</v>
      </c>
      <c r="AJ209" s="172" t="e">
        <f>IF(VLOOKUP(T_BilanSocial[[#This Row],[NumL]],T_TraitDi[#Data],COLUMN(T_TraitDi[[#This Row],[Colonne5]]),FALSE)=0,"",TEXT(IFERROR(VLOOKUP(T_BilanSocial[[#This Row],[NumL]],T_TraitDi[#Data],COLUMN(T_TraitDi[[#This Row],[Colonne5]]),FALSE),""),"[hh]:mm"))</f>
        <v>#VALUE!</v>
      </c>
      <c r="AK209" s="172" t="e">
        <f>IF(VLOOKUP(T_BilanSocial[[#This Row],[NumL]],T_TraitDi[#Data],COLUMN(T_TraitDi[[#This Row],[Colonne6]]),FALSE)=0,"",TEXT(IFERROR(VLOOKUP(T_BilanSocial[[#This Row],[NumL]],T_TraitDi[#Data],COLUMN(T_TraitDi[[#This Row],[Colonne6]]),FALSE),""),"[hh]:mm"))</f>
        <v>#VALUE!</v>
      </c>
      <c r="AL209" s="172" t="e">
        <f>IF(VLOOKUP(T_BilanSocial[[#This Row],[NumL]],T_TraitDi[#Data],COLUMN(T_TraitDi[[#This Row],[Colonne7]]),FALSE)=0,"",TEXT(IFERROR(VLOOKUP(T_BilanSocial[[#This Row],[NumL]],T_TraitDi[#Data],COLUMN(T_TraitDi[[#This Row],[Colonne7]]),FALSE),""),"[hh]:mm"))</f>
        <v>#VALUE!</v>
      </c>
      <c r="AM209" s="172" t="e">
        <f>IF(VLOOKUP(T_BilanSocial[[#This Row],[NumL]],T_TraitDi[#Data],COLUMN(T_TraitDi[[#This Row],[Colonne8]]),FALSE)=0,"",TEXT(IFERROR(VLOOKUP(T_BilanSocial[[#This Row],[NumL]],T_TraitDi[#Data],COLUMN(T_TraitDi[[#This Row],[Colonne8]]),FALSE),""),"[hh]:mm"))</f>
        <v>#VALUE!</v>
      </c>
      <c r="AN209" s="172" t="str">
        <f>IFERROR(VLOOKUP(T_BilanSocial[[#This Row],[NumL]],T_TraitDi[#Data],COLUMN(T_TraitDi[[#This Row],[Mardi]]),FALSE),"")</f>
        <v/>
      </c>
      <c r="AO209" s="172" t="e">
        <f>IF(VLOOKUP(T_BilanSocial[[#This Row],[NumL]],T_TraitDi[#Data],COLUMN(T_TraitDi[[#This Row],[Colonne1]]),FALSE)=0,"",TEXT(IFERROR(VLOOKUP(T_BilanSocial[[#This Row],[NumL]],T_TraitDi[#Data],COLUMN(T_TraitDi[[#This Row],[Colonne1]]),FALSE),""),"[hh]:mm"))</f>
        <v>#VALUE!</v>
      </c>
      <c r="AP209" s="172" t="e">
        <f>IF(VLOOKUP(T_BilanSocial[[#This Row],[NumL]],T_TraitDi[#Data],COLUMN(T_TraitDi[[#This Row],[Colonne9]]),FALSE)=0,"",TEXT(IFERROR(VLOOKUP(T_BilanSocial[[#This Row],[NumL]],T_TraitDi[#Data],COLUMN(T_TraitDi[[#This Row],[Colonne9]]),FALSE),""),"[hh]:mm"))</f>
        <v>#VALUE!</v>
      </c>
      <c r="AQ209" s="172" t="str">
        <f>IFERROR(VLOOKUP(T_BilanSocial[[#This Row],[NumL]],T_TraitDi[#Data],COLUMN(T_TraitDi[[#This Row],[Colonne10]]),FALSE),"")</f>
        <v/>
      </c>
      <c r="AR209" s="172" t="e">
        <f>IF(VLOOKUP(T_BilanSocial[[#This Row],[NumL]],T_TraitDi[#Data],COLUMN(T_TraitDi[[#This Row],[Colonne11]]),FALSE)=0,"",TEXT(IFERROR(VLOOKUP(T_BilanSocial[[#This Row],[NumL]],T_TraitDi[#Data],COLUMN(T_TraitDi[[#This Row],[Colonne11]]),FALSE),""),"[hh]:mm"))</f>
        <v>#VALUE!</v>
      </c>
      <c r="AS209" s="172" t="e">
        <f>IF(VLOOKUP(T_BilanSocial[[#This Row],[NumL]],T_TraitDi[#Data],COLUMN(T_TraitDi[[#This Row],[Colonne12]]),FALSE)=0,"",TEXT(IFERROR(VLOOKUP(T_BilanSocial[[#This Row],[NumL]],T_TraitDi[#Data],COLUMN(T_TraitDi[[#This Row],[Colonne12]]),FALSE),""),"[hh]:mm"))</f>
        <v>#VALUE!</v>
      </c>
      <c r="AT209" s="172" t="e">
        <f>IF(VLOOKUP(T_BilanSocial[[#This Row],[NumL]],T_TraitDi[#Data],COLUMN(T_TraitDi[[#This Row],[Colonne14]]),FALSE)=0,"",TEXT(IFERROR(VLOOKUP(T_BilanSocial[[#This Row],[NumL]],T_TraitDi[#Data],COLUMN(T_TraitDi[[#This Row],[Colonne14]]),FALSE),""),"[hh]:mm"))</f>
        <v>#VALUE!</v>
      </c>
      <c r="AU209" s="172" t="str">
        <f>IFERROR(VLOOKUP(T_BilanSocial[[#This Row],[NumL]],T_TraitDi[#Data],COLUMN(T_TraitDi[[#This Row],[Mercredi]]),FALSE),"")</f>
        <v/>
      </c>
      <c r="AV209" s="172" t="e">
        <f>IF(VLOOKUP(T_BilanSocial[[#This Row],[NumL]],T_TraitDi[#Data],COLUMN(T_TraitDi[[#This Row],[Colonne15]]),FALSE)=0,"",TEXT(IFERROR(VLOOKUP(T_BilanSocial[[#This Row],[NumL]],T_TraitDi[#Data],COLUMN(T_TraitDi[[#This Row],[Colonne15]]),FALSE),""),"[hh]:mm"))</f>
        <v>#VALUE!</v>
      </c>
      <c r="AW209" s="172" t="e">
        <f>IF(VLOOKUP(T_BilanSocial[[#This Row],[NumL]],T_TraitDi[#Data],COLUMN(T_TraitDi[[#This Row],[Colonne16]]),FALSE)=0,"",TEXT(IFERROR(VLOOKUP(T_BilanSocial[[#This Row],[NumL]],T_TraitDi[#Data],COLUMN(T_TraitDi[[#This Row],[Colonne16]]),FALSE),""),"[hh]:mm"))</f>
        <v>#VALUE!</v>
      </c>
      <c r="AX209" s="172" t="str">
        <f>IFERROR(VLOOKUP(T_BilanSocial[[#This Row],[NumL]],T_TraitDi[#Data],COLUMN(T_TraitDi[[#This Row],[Colonne17]]),FALSE),"")</f>
        <v/>
      </c>
      <c r="AY209" s="172" t="e">
        <f>IF(VLOOKUP(T_BilanSocial[[#This Row],[NumL]],T_TraitDi[#Data],COLUMN(T_TraitDi[[#This Row],[Colonne18]]),FALSE)=0,"",TEXT(IFERROR(VLOOKUP(T_BilanSocial[[#This Row],[NumL]],T_TraitDi[#Data],COLUMN(T_TraitDi[[#This Row],[Colonne18]]),FALSE),""),"[hh]:mm"))</f>
        <v>#VALUE!</v>
      </c>
      <c r="AZ209" s="172" t="e">
        <f>IF(VLOOKUP(T_BilanSocial[[#This Row],[NumL]],T_TraitDi[#Data],COLUMN(T_TraitDi[[#This Row],[Colonne19]]),FALSE)=0,"",TEXT(IFERROR(VLOOKUP(T_BilanSocial[[#This Row],[NumL]],T_TraitDi[#Data],COLUMN(T_TraitDi[[#This Row],[Colonne19]]),FALSE),""),"[hh]:mm"))</f>
        <v>#VALUE!</v>
      </c>
      <c r="BA209" s="172" t="e">
        <f>IF(VLOOKUP(T_BilanSocial[[#This Row],[NumL]],T_TraitDi[#Data],COLUMN(T_TraitDi[[#This Row],[Colonne20]]),FALSE)=0,"",TEXT(IFERROR(VLOOKUP(T_BilanSocial[[#This Row],[NumL]],T_TraitDi[#Data],COLUMN(T_TraitDi[[#This Row],[Colonne20]]),FALSE),""),"[hh]:mm"))</f>
        <v>#VALUE!</v>
      </c>
      <c r="BB209" s="178" t="str">
        <f>IFERROR(VLOOKUP(T_BilanSocial[[#This Row],[NumL]],T_TraitDi[#Data],COLUMN(T_TraitDi[[#This Row],[Jeudi]]),FALSE),"")</f>
        <v/>
      </c>
      <c r="BC209" s="178" t="e">
        <f>IF(VLOOKUP(T_BilanSocial[[#This Row],[NumL]],T_TraitDi[#Data],COLUMN(T_TraitDi[[#This Row],[Colonne21]]),FALSE)=0,"",TEXT(IFERROR(VLOOKUP(T_BilanSocial[[#This Row],[NumL]],T_TraitDi[#Data],COLUMN(T_TraitDi[[#This Row],[Colonne21]]),FALSE),""),"[hh]:mm"))</f>
        <v>#VALUE!</v>
      </c>
      <c r="BD209" s="178" t="e">
        <f>IF(VLOOKUP(T_BilanSocial[[#This Row],[NumL]],T_TraitDi[#Data],COLUMN(T_TraitDi[[#This Row],[Colonne22]]),FALSE)=0,"",TEXT(IFERROR(VLOOKUP(T_BilanSocial[[#This Row],[NumL]],T_TraitDi[#Data],COLUMN(T_TraitDi[[#This Row],[Colonne22]]),FALSE),""),"[hh]:mm"))</f>
        <v>#VALUE!</v>
      </c>
      <c r="BE209" s="178" t="str">
        <f>IFERROR(VLOOKUP(T_BilanSocial[[#This Row],[NumL]],T_TraitDi[#Data],COLUMN(T_TraitDi[[#This Row],[Colonne23]]),FALSE),"")</f>
        <v/>
      </c>
      <c r="BF209" s="178" t="e">
        <f>IF(VLOOKUP(T_BilanSocial[[#This Row],[NumL]],T_TraitDi[#Data],COLUMN(T_TraitDi[[#This Row],[Colonne24]]),FALSE)=0,"",TEXT(IFERROR(VLOOKUP(T_BilanSocial[[#This Row],[NumL]],T_TraitDi[#Data],COLUMN(T_TraitDi[[#This Row],[Colonne24]]),FALSE),""),"[hh]:mm"))</f>
        <v>#VALUE!</v>
      </c>
      <c r="BG209" s="178" t="e">
        <f>IF(VLOOKUP(T_BilanSocial[[#This Row],[NumL]],T_TraitDi[#Data],COLUMN(T_TraitDi[[#This Row],[Colonne25]]),FALSE)=0,"",TEXT(IFERROR(VLOOKUP(T_BilanSocial[[#This Row],[NumL]],T_TraitDi[#Data],COLUMN(T_TraitDi[[#This Row],[Colonne25]]),FALSE),""),"[hh]:mm"))</f>
        <v>#VALUE!</v>
      </c>
      <c r="BH209" s="178" t="e">
        <f>IF(VLOOKUP(T_BilanSocial[[#This Row],[NumL]],T_TraitDi[#Data],COLUMN(T_TraitDi[[#This Row],[Colonne26]]),FALSE)=0,"",TEXT(IFERROR(VLOOKUP(T_BilanSocial[[#This Row],[NumL]],T_TraitDi[#Data],COLUMN(T_TraitDi[[#This Row],[Colonne26]]),FALSE),""),"[hh]:mm"))</f>
        <v>#VALUE!</v>
      </c>
      <c r="BI209" s="172" t="str">
        <f>IFERROR(VLOOKUP(T_BilanSocial[[#This Row],[NumL]],T_TraitDi[#Data],COLUMN(T_TraitDi[[#This Row],[Vendredi]]),FALSE),"")</f>
        <v/>
      </c>
      <c r="BJ209" s="172" t="e">
        <f>IF(VLOOKUP(T_BilanSocial[[#This Row],[NumL]],T_TraitDi[#Data],COLUMN(T_TraitDi[[#This Row],[Colonne27]]),FALSE)=0,"",TEXT(IFERROR(VLOOKUP(T_BilanSocial[[#This Row],[NumL]],T_TraitDi[#Data],COLUMN(T_TraitDi[[#This Row],[Colonne27]]),FALSE),""),"[hh]:mm"))</f>
        <v>#VALUE!</v>
      </c>
      <c r="BK209" s="172" t="e">
        <f>IF(VLOOKUP(T_BilanSocial[[#This Row],[NumL]],T_TraitDi[#Data],COLUMN(T_TraitDi[[#This Row],[Colonne28]]),FALSE)=0,"",TEXT(IFERROR(VLOOKUP(T_BilanSocial[[#This Row],[NumL]],T_TraitDi[#Data],COLUMN(T_TraitDi[[#This Row],[Colonne28]]),FALSE),""),"[hh]:mm"))</f>
        <v>#VALUE!</v>
      </c>
      <c r="BL209" s="172" t="str">
        <f>IFERROR(VLOOKUP(T_BilanSocial[[#This Row],[NumL]],T_TraitDi[#Data],COLUMN(T_TraitDi[[#This Row],[Colonne29]]),FALSE),"")</f>
        <v/>
      </c>
      <c r="BM209" s="172" t="e">
        <f>IF(VLOOKUP(T_BilanSocial[[#This Row],[NumL]],T_TraitDi[#Data],COLUMN(T_TraitDi[[#This Row],[Colonne30]]),FALSE)=0,"",TEXT(IFERROR(VLOOKUP(T_BilanSocial[[#This Row],[NumL]],T_TraitDi[#Data],COLUMN(T_TraitDi[[#This Row],[Colonne30]]),FALSE),""),"[hh]:mm"))</f>
        <v>#VALUE!</v>
      </c>
      <c r="BN209" s="172" t="e">
        <f>IF(VLOOKUP(T_BilanSocial[[#This Row],[NumL]],T_TraitDi[#Data],COLUMN(T_TraitDi[[#This Row],[Colonne31]]),FALSE)=0,"",TEXT(IFERROR(VLOOKUP(T_BilanSocial[[#This Row],[NumL]],T_TraitDi[#Data],COLUMN(T_TraitDi[[#This Row],[Colonne31]]),FALSE),""),"[hh]:mm"))</f>
        <v>#VALUE!</v>
      </c>
      <c r="BO209" s="172" t="e">
        <f>IF(VLOOKUP(T_BilanSocial[[#This Row],[NumL]],T_TraitDi[#Data],COLUMN(T_TraitDi[[#This Row],[Colonne32]]),FALSE)=0,"",TEXT(IFERROR(VLOOKUP(T_BilanSocial[[#This Row],[NumL]],T_TraitDi[#Data],COLUMN(T_TraitDi[[#This Row],[Colonne32]]),FALSE),""),"[hh]:mm"))</f>
        <v>#VALUE!</v>
      </c>
      <c r="BP209" s="172" t="e">
        <f>VLOOKUP(T_BilanSocial[[#This Row],[NumL]],T_TraitDi[#Data],COLUMN(T_TraitDi[NbJTot]),FALSE)</f>
        <v>#N/A</v>
      </c>
      <c r="BQ209" s="174" t="str">
        <f>IFERROR(VLOOKUP(T_BilanSocial[[#This Row],[NumL]],T_TraitDi[#Data],COLUMN(T_TraitDi[[#This Row],[NbJTW]]),FALSE),"")</f>
        <v/>
      </c>
      <c r="BR209" s="174" t="e">
        <f>IF(VLOOKUP(T_BilanSocial[[#This Row],[NumL]],T_TraitDi[#Data],COLUMN(T_TraitDi[[#This Row],[NbhTW]]),FALSE)=0,"",TEXT(IFERROR(VLOOKUP(T_BilanSocial[[#This Row],[NumL]],T_TraitDi[#Data],COLUMN(T_TraitDi[[#This Row],[NbhTW]]),FALSE),""),"[hh]:mm"))</f>
        <v>#VALUE!</v>
      </c>
      <c r="BS209" s="174" t="e">
        <f>IF(VLOOKUP(T_BilanSocial[[#This Row],[NumL]],T_TraitDi[#Data],COLUMN(T_TraitDi[[#This Row],[Nbhheb]]),FALSE)=0,"",TEXT(IFERROR(VLOOKUP($A209,T_TraitDi[#Data],COLUMN(T_TraitDi[[#This Row],[Nbhheb]]),FALSE),""),"[hh]:mm"))</f>
        <v>#VALUE!</v>
      </c>
      <c r="BT209" s="182" t="str">
        <f>IFERROR(VLOOKUP(VLOOKUP($A209,T_TraitDi[#Data],COLUMN(T_TraitDi[[#This Row],[Type1]]),FALSE),TypeTW,2,FALSE),"")</f>
        <v/>
      </c>
      <c r="BU209" s="182" t="str">
        <f>IFERROR(VLOOKUP($A209,T_TraitDi[#Data],COLUMN(T_TraitDi[[#This Row],[Rue1]]),FALSE),"")</f>
        <v/>
      </c>
      <c r="BV209" s="173" t="str">
        <f>IFERROR(VLOOKUP($A209,T_TraitDi[#Data],COLUMN(T_TraitDi[[#This Row],[CP1]]),FALSE),"")</f>
        <v/>
      </c>
      <c r="BW209" s="173" t="str">
        <f>IFERROR(VLOOKUP($A209,T_TraitDi[#Data],COLUMN(T_TraitDi[[#This Row],[VILLE1]]),FALSE),"")</f>
        <v/>
      </c>
      <c r="BX209" s="182" t="str">
        <f>IFERROR(VLOOKUP(VLOOKUP($A209,T_TraitDi[#Data],COLUMN(T_TraitDi[[#This Row],[Type2]]),FALSE),TypeTW,2,FALSE),"")</f>
        <v/>
      </c>
      <c r="BY209" s="182" t="str">
        <f>IFERROR(VLOOKUP($A209,T_TraitDi[#Data],COLUMN(T_TraitDi[[#This Row],[Rue2]]),FALSE),"")</f>
        <v/>
      </c>
      <c r="BZ209" s="173" t="str">
        <f>IFERROR(VLOOKUP($A209,T_TraitDi[#Data],COLUMN(T_TraitDi[[#This Row],[CP2]]),FALSE),"")</f>
        <v/>
      </c>
      <c r="CA209" s="173" t="str">
        <f>IFERROR(VLOOKUP($A209,T_TraitDi[#Data],COLUMN(T_TraitDi[[#This Row],[VILLE2]]),FALSE),"")</f>
        <v/>
      </c>
      <c r="CB209" s="182" t="str">
        <f>IF(VLOOKUP(T_BilanSocial[[#This Row],[NumL]],T_Equipement[#Data],COLUMN(T_Equipement[[#This Row],[PC]]),FALSE)="","Aucun équipement spécifique directement lié au télétravail",VLOOKUP(T_BilanSocial[[#This Row],[NumL]],T_Equipement[#Data],COLUMN(T_Equipement[[#This Row],[PC]]),FALSE))</f>
        <v xml:space="preserve">20-082	</v>
      </c>
      <c r="CC209" s="166" t="str">
        <f>IFERROR(IF(VLOOKUP(T_BilanSocial[[#This Row],[NumL]],T_TraitDi[#Data],COLUMN(T_TraitDi[[#This Row],[Plan]]),FALSE)="OK","Un planning spécifique de télétravail est annexé à la présente convention.",""),"")</f>
        <v/>
      </c>
      <c r="CD209" s="258" t="s">
        <v>3427</v>
      </c>
      <c r="CE209" s="164" t="e">
        <f>IF(VLOOKUP(T_BilanSocial[[#This Row],[NumL]],T_suiviDi[#Data],COLUMN(T_suiviDi[[#This Row],[Entité]]),FALSE)="","",VLOOKUP(T_BilanSocial[[#This Row],[NumL]],T_suiviDi[#Data],COLUMN(T_suiviDi[[#This Row],[Entité]]),FALSE))</f>
        <v>#VALUE!</v>
      </c>
      <c r="CF209" s="164" t="str">
        <f>IF(VLOOKUP(T_BilanSocial[[#This Row],[NumL]],T_Commission[#Data],COLUMN(T_Commission[[#This Row],[envoi confirm TW]]),FALSE)="","",VLOOKUP(T_BilanSocial[[#This Row],[NumL]],T_Commission[#Data],COLUMN(T_Commission[[#This Row],[envoi confirm TW]]),FALSE))</f>
        <v>Oui</v>
      </c>
      <c r="CG20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09" s="262" t="str">
        <f>T_BilanSocial[[#This Row],[Nom]]&amp;T_BilanSocial[[#This Row],[Prenom]]</f>
        <v/>
      </c>
      <c r="CI209" s="262">
        <f>VLOOKUP(T_BilanSocial[[#This Row],[NumL]],T_Commission[#Data],COLUMN(T_Commission[Commentaire]),FALSE)</f>
        <v>0</v>
      </c>
      <c r="CJ209" s="262" t="str">
        <f>IF(VLOOKUP(T_BilanSocial[[#This Row],[NumL]],T_Commission[#Data],COLUMN(T_Commission[Encadrant Email]),FALSE)="","",VLOOKUP(T_BilanSocial[[#This Row],[NumL]],T_Commission[#Data],COLUMN(T_Commission[Encadrant Email]),FALSE))</f>
        <v/>
      </c>
      <c r="CK209" s="340" t="str">
        <f>IF(T_BilanSocial[[#This Row],[Final]]&lt;&gt;"",VLOOKUP(T_BilanSocial[[#This Row],[NumL]],T_suiviDi[#Data],COLUMN((T_suiviDi[Statut])),FALSE),"")</f>
        <v/>
      </c>
    </row>
    <row r="210" spans="1:89" s="106" customFormat="1" ht="24.75" customHeight="1" x14ac:dyDescent="0.25">
      <c r="A210" s="160">
        <v>207</v>
      </c>
      <c r="B210" s="161" t="str">
        <f t="shared" si="34"/>
        <v/>
      </c>
      <c r="C210" s="162" t="s">
        <v>173</v>
      </c>
      <c r="D210" s="95" t="e">
        <f>IF(VLOOKUP(T_BilanSocial[[#This Row],[NumL]],T_TraitDi[#Data],COLUMN(T_TraitDi[[#This Row],[WebC]]),FALSE)="","",VLOOKUP(T_BilanSocial[[#This Row],[NumL]],T_TraitDi[#Data],COLUMN(T_TraitDi[[#This Row],[WebC]]),FALSE))</f>
        <v>#VALUE!</v>
      </c>
      <c r="E210" s="163" t="str">
        <f t="shared" si="35"/>
        <v>12 janvier 2021</v>
      </c>
      <c r="F210" s="96" t="str">
        <f>IF(T_BilanSocial[[#This Row],[Final]]&lt;&gt;"",VLOOKUP(T_BilanSocial[[#This Row],[NumL]],T_suiviDi[#Data],COLUMN((T_suiviDi[Civ.])),FALSE),"")</f>
        <v/>
      </c>
      <c r="G210" s="96" t="str">
        <f>IF(T_BilanSocial[[#This Row],[Final]]&lt;&gt;"",VLOOKUP(T_BilanSocial[[#This Row],[NumL]],T_suiviDi[#Data],COLUMN((T_suiviDi[Nom])),FALSE),"")</f>
        <v/>
      </c>
      <c r="H210" s="96" t="str">
        <f>IF(T_BilanSocial[[#This Row],[Final]]&lt;&gt;"",VLOOKUP(T_BilanSocial[[#This Row],[NumL]],T_suiviDi[#Data],COLUMN((T_suiviDi[Prénom])),FALSE),"")</f>
        <v/>
      </c>
      <c r="I210" s="96" t="str">
        <f>IFERROR(VLOOKUP(T_BilanSocial[[#This Row],[Zone_Bilan]],T_P_BilanSocial[#Data],COLUMN(T_P_BilanSocial[[#This Row],[Numero_SIHAM]]),FALSE),"")</f>
        <v/>
      </c>
      <c r="J210" s="96" t="str">
        <f>IFERROR(VLOOKUP(T_BilanSocial[[#This Row],[Zone_Bilan]],T_P_BilanSocial[#Data],COLUMN(T_P_BilanSocial[[#This Row],[Sexe]]),FALSE),"")</f>
        <v/>
      </c>
      <c r="K210" s="97" t="str">
        <f>IFERROR(VLOOKUP(T_BilanSocial[[#This Row],[Zone_Bilan]],T_P_BilanSocial[#Data],COLUMN(T_P_BilanSocial[[#This Row],[Categorie]]),FALSE),"")</f>
        <v/>
      </c>
      <c r="L210" s="96" t="str">
        <f>IFERROR(VLOOKUP(T_BilanSocial[[#This Row],[Zone_Bilan]],T_P_BilanSocial[#Data],COLUMN(T_P_BilanSocial[[#This Row],[Statut]]),FALSE),"")</f>
        <v/>
      </c>
      <c r="M210" s="96" t="str">
        <f>IFERROR(VLOOKUP(T_BilanSocial[[#This Row],[Zone_Bilan]],T_P_BilanSocial[#Data],COLUMN(T_P_BilanSocial[[#This Row],[Filiere]]),FALSE),"")</f>
        <v/>
      </c>
      <c r="N210" s="96" t="e">
        <f>VLOOKUP(T_BilanSocial[[#This Row],[NumL]],T_TraitDi[#Data],COLUMN(T_TraitDi[EXP]),FALSE)</f>
        <v>#N/A</v>
      </c>
      <c r="O210" s="96" t="e">
        <f>VLOOKUP(T_BilanSocial[[#This Row],[NumL]],T_TraitDi[#Data],COLUMN(T_TraitDi[FORM]),FALSE)</f>
        <v>#N/A</v>
      </c>
      <c r="P210" s="96" t="str">
        <f>IF(T_BilanSocial[[#This Row],[Final]]&lt;&gt;"",VLOOKUP(T_BilanSocial[[#This Row],[NumL]],T_suiviDi[#Data],COLUMN((T_suiviDi[Email])),FALSE),"")</f>
        <v/>
      </c>
      <c r="Q210" s="164" t="e">
        <f t="shared" si="40"/>
        <v>#N/A</v>
      </c>
      <c r="R210" s="164" t="e">
        <f t="shared" si="41"/>
        <v>#N/A</v>
      </c>
      <c r="S210" s="164" t="e">
        <f>IF(VLOOKUP(T_BilanSocial[[#This Row],[NumL]],T_suiviDi[#Data],COLUMN(T_suiviDi[[#This Row],[Service ]]),FALSE)="","",VLOOKUP(T_BilanSocial[[#This Row],[NumL]],T_suiviDi[#Data],COLUMN(T_suiviDi[[#This Row],[Service ]]),FALSE))</f>
        <v>#VALUE!</v>
      </c>
      <c r="T210" s="164" t="str">
        <f t="shared" si="36"/>
        <v>01 septembre 2021</v>
      </c>
      <c r="U210" s="164" t="str">
        <f t="shared" si="37"/>
        <v>30 novembre 2021</v>
      </c>
      <c r="V210" s="164" t="str">
        <f t="shared" si="42"/>
        <v>30 novembre 2021</v>
      </c>
      <c r="W210" s="176" t="e">
        <f>IF(VLOOKUP(T_BilanSocial[[#This Row],[NumL]],T_TraitDi[#Data],COLUMN(T_TraitDi[[#This Row],[M1]]),FALSE)="","",VLOOKUP(T_BilanSocial[[#This Row],[NumL]],T_TraitDi[#Data],COLUMN(T_TraitDi[[#This Row],[M1]]),FALSE))</f>
        <v>#VALUE!</v>
      </c>
      <c r="X210" s="176" t="e">
        <f>IF(VLOOKUP(T_BilanSocial[[#This Row],[NumL]],T_TraitDi[#Data],COLUMN(T_TraitDi[[#This Row],[M2]]),FALSE)="","",VLOOKUP(T_BilanSocial[[#This Row],[NumL]],T_TraitDi[#Data],COLUMN(T_TraitDi[[#This Row],[M2]]),FALSE))</f>
        <v>#VALUE!</v>
      </c>
      <c r="Y210" s="176" t="e">
        <f>IF(VLOOKUP(T_BilanSocial[[#This Row],[NumL]],T_TraitDi[#Data],COLUMN(T_TraitDi[[#This Row],[M3]]),FALSE)="","",VLOOKUP(T_BilanSocial[[#This Row],[NumL]],T_TraitDi[#Data],COLUMN(T_TraitDi[[#This Row],[M3]]),FALSE))</f>
        <v>#VALUE!</v>
      </c>
      <c r="Z210" s="176" t="str">
        <f t="shared" si="39"/>
        <v/>
      </c>
      <c r="AA210" s="176" t="e">
        <f>IF(VLOOKUP(T_BilanSocial[[#This Row],[NumL]],T_TraitDi[#Data],COLUMN(T_TraitDi[[#This Row],[M5]]),FALSE)="","",VLOOKUP(T_BilanSocial[[#This Row],[NumL]],T_TraitDi[#Data],COLUMN(T_TraitDi[[#This Row],[M5]]),FALSE))</f>
        <v>#VALUE!</v>
      </c>
      <c r="AB210" s="176" t="e">
        <f>IF(VLOOKUP(T_BilanSocial[[#This Row],[NumL]],T_TraitDi[#Data],COLUMN(T_TraitDi[[#This Row],[M6]]),FALSE)="","",VLOOKUP(T_BilanSocial[[#This Row],[NumL]],T_TraitDi[#Data],COLUMN(T_TraitDi[[#This Row],[M6]]),FALSE))</f>
        <v>#VALUE!</v>
      </c>
      <c r="AC210" s="165" t="e">
        <f t="shared" si="38"/>
        <v>#VALUE!</v>
      </c>
      <c r="AD210" s="188" t="str">
        <f>IFERROR(TEXT(VLOOKUP(T_BilanSocial[[#This Row],[NumL]],T_TraitDi[#Data],COLUMN(T_TraitDi[[#This Row],[Q2]]),FALSE),"###%"),"")</f>
        <v/>
      </c>
      <c r="AE210" s="97" t="e">
        <f>VLOOKUP(T_BilanSocial[[#This Row],[NumL]],T_TraitDi[#Data],COLUMN(T_TraitDi[[#This Row],[Reg Ponct]]),FALSE)</f>
        <v>#VALUE!</v>
      </c>
      <c r="AF210" s="97" t="e">
        <f>VLOOKUP(T_BilanSocial[NumL],T_TraitDi[#Data],COLUMN(T_TraitDi[[#This Row],[Jours flottants]]),FALSE)</f>
        <v>#VALUE!</v>
      </c>
      <c r="AG210" s="97" t="str">
        <f>IFERROR(VLOOKUP(T_BilanSocial[[#This Row],[NumL]],T_TraitDi[#Data],COLUMN(T_TraitDi[[#This Row],[Lundi]]),FALSE),"")</f>
        <v/>
      </c>
      <c r="AH210" s="172" t="e">
        <f>IF(VLOOKUP(T_BilanSocial[[#This Row],[NumL]],T_TraitDi[#Data],COLUMN(T_TraitDi[[#This Row],[Colonne3]]),FALSE)=0,"",TEXT(IFERROR(VLOOKUP(T_BilanSocial[[#This Row],[NumL]],T_TraitDi[#Data],COLUMN(T_TraitDi[[#This Row],[Colonne3]]),FALSE),""),"[hh]:mm"))</f>
        <v>#VALUE!</v>
      </c>
      <c r="AI210" s="172" t="e">
        <f>IF(VLOOKUP(T_BilanSocial[[#This Row],[NumL]],T_TraitDi[#Data],COLUMN(T_TraitDi[[#This Row],[Colonne4]]),FALSE)=0,"",TEXT(IFERROR(VLOOKUP(T_BilanSocial[[#This Row],[NumL]],T_TraitDi[#Data],COLUMN(T_TraitDi[[#This Row],[Colonne4]]),FALSE),""),"[hh]:mm"))</f>
        <v>#VALUE!</v>
      </c>
      <c r="AJ210" s="172" t="e">
        <f>IF(VLOOKUP(T_BilanSocial[[#This Row],[NumL]],T_TraitDi[#Data],COLUMN(T_TraitDi[[#This Row],[Colonne5]]),FALSE)=0,"",TEXT(IFERROR(VLOOKUP(T_BilanSocial[[#This Row],[NumL]],T_TraitDi[#Data],COLUMN(T_TraitDi[[#This Row],[Colonne5]]),FALSE),""),"[hh]:mm"))</f>
        <v>#VALUE!</v>
      </c>
      <c r="AK210" s="172" t="e">
        <f>IF(VLOOKUP(T_BilanSocial[[#This Row],[NumL]],T_TraitDi[#Data],COLUMN(T_TraitDi[[#This Row],[Colonne6]]),FALSE)=0,"",TEXT(IFERROR(VLOOKUP(T_BilanSocial[[#This Row],[NumL]],T_TraitDi[#Data],COLUMN(T_TraitDi[[#This Row],[Colonne6]]),FALSE),""),"[hh]:mm"))</f>
        <v>#VALUE!</v>
      </c>
      <c r="AL210" s="172" t="e">
        <f>IF(VLOOKUP(T_BilanSocial[[#This Row],[NumL]],T_TraitDi[#Data],COLUMN(T_TraitDi[[#This Row],[Colonne7]]),FALSE)=0,"",TEXT(IFERROR(VLOOKUP(T_BilanSocial[[#This Row],[NumL]],T_TraitDi[#Data],COLUMN(T_TraitDi[[#This Row],[Colonne7]]),FALSE),""),"[hh]:mm"))</f>
        <v>#VALUE!</v>
      </c>
      <c r="AM210" s="172" t="e">
        <f>IF(VLOOKUP(T_BilanSocial[[#This Row],[NumL]],T_TraitDi[#Data],COLUMN(T_TraitDi[[#This Row],[Colonne8]]),FALSE)=0,"",TEXT(IFERROR(VLOOKUP(T_BilanSocial[[#This Row],[NumL]],T_TraitDi[#Data],COLUMN(T_TraitDi[[#This Row],[Colonne8]]),FALSE),""),"[hh]:mm"))</f>
        <v>#VALUE!</v>
      </c>
      <c r="AN210" s="172" t="str">
        <f>IFERROR(VLOOKUP(T_BilanSocial[[#This Row],[NumL]],T_TraitDi[#Data],COLUMN(T_TraitDi[[#This Row],[Mardi]]),FALSE),"")</f>
        <v/>
      </c>
      <c r="AO210" s="172" t="e">
        <f>IF(VLOOKUP(T_BilanSocial[[#This Row],[NumL]],T_TraitDi[#Data],COLUMN(T_TraitDi[[#This Row],[Colonne1]]),FALSE)=0,"",TEXT(IFERROR(VLOOKUP(T_BilanSocial[[#This Row],[NumL]],T_TraitDi[#Data],COLUMN(T_TraitDi[[#This Row],[Colonne1]]),FALSE),""),"[hh]:mm"))</f>
        <v>#VALUE!</v>
      </c>
      <c r="AP210" s="172" t="e">
        <f>IF(VLOOKUP(T_BilanSocial[[#This Row],[NumL]],T_TraitDi[#Data],COLUMN(T_TraitDi[[#This Row],[Colonne9]]),FALSE)=0,"",TEXT(IFERROR(VLOOKUP(T_BilanSocial[[#This Row],[NumL]],T_TraitDi[#Data],COLUMN(T_TraitDi[[#This Row],[Colonne9]]),FALSE),""),"[hh]:mm"))</f>
        <v>#VALUE!</v>
      </c>
      <c r="AQ210" s="172" t="str">
        <f>IFERROR(VLOOKUP(T_BilanSocial[[#This Row],[NumL]],T_TraitDi[#Data],COLUMN(T_TraitDi[[#This Row],[Colonne10]]),FALSE),"")</f>
        <v/>
      </c>
      <c r="AR210" s="172" t="e">
        <f>IF(VLOOKUP(T_BilanSocial[[#This Row],[NumL]],T_TraitDi[#Data],COLUMN(T_TraitDi[[#This Row],[Colonne11]]),FALSE)=0,"",TEXT(IFERROR(VLOOKUP(T_BilanSocial[[#This Row],[NumL]],T_TraitDi[#Data],COLUMN(T_TraitDi[[#This Row],[Colonne11]]),FALSE),""),"[hh]:mm"))</f>
        <v>#VALUE!</v>
      </c>
      <c r="AS210" s="172" t="e">
        <f>IF(VLOOKUP(T_BilanSocial[[#This Row],[NumL]],T_TraitDi[#Data],COLUMN(T_TraitDi[[#This Row],[Colonne12]]),FALSE)=0,"",TEXT(IFERROR(VLOOKUP(T_BilanSocial[[#This Row],[NumL]],T_TraitDi[#Data],COLUMN(T_TraitDi[[#This Row],[Colonne12]]),FALSE),""),"[hh]:mm"))</f>
        <v>#VALUE!</v>
      </c>
      <c r="AT210" s="172" t="e">
        <f>IF(VLOOKUP(T_BilanSocial[[#This Row],[NumL]],T_TraitDi[#Data],COLUMN(T_TraitDi[[#This Row],[Colonne14]]),FALSE)=0,"",TEXT(IFERROR(VLOOKUP(T_BilanSocial[[#This Row],[NumL]],T_TraitDi[#Data],COLUMN(T_TraitDi[[#This Row],[Colonne14]]),FALSE),""),"[hh]:mm"))</f>
        <v>#VALUE!</v>
      </c>
      <c r="AU210" s="172" t="str">
        <f>IFERROR(VLOOKUP(T_BilanSocial[[#This Row],[NumL]],T_TraitDi[#Data],COLUMN(T_TraitDi[[#This Row],[Mercredi]]),FALSE),"")</f>
        <v/>
      </c>
      <c r="AV210" s="172" t="e">
        <f>IF(VLOOKUP(T_BilanSocial[[#This Row],[NumL]],T_TraitDi[#Data],COLUMN(T_TraitDi[[#This Row],[Colonne15]]),FALSE)=0,"",TEXT(IFERROR(VLOOKUP(T_BilanSocial[[#This Row],[NumL]],T_TraitDi[#Data],COLUMN(T_TraitDi[[#This Row],[Colonne15]]),FALSE),""),"[hh]:mm"))</f>
        <v>#VALUE!</v>
      </c>
      <c r="AW210" s="172" t="e">
        <f>IF(VLOOKUP(T_BilanSocial[[#This Row],[NumL]],T_TraitDi[#Data],COLUMN(T_TraitDi[[#This Row],[Colonne16]]),FALSE)=0,"",TEXT(IFERROR(VLOOKUP(T_BilanSocial[[#This Row],[NumL]],T_TraitDi[#Data],COLUMN(T_TraitDi[[#This Row],[Colonne16]]),FALSE),""),"[hh]:mm"))</f>
        <v>#VALUE!</v>
      </c>
      <c r="AX210" s="172" t="str">
        <f>IFERROR(VLOOKUP(T_BilanSocial[[#This Row],[NumL]],T_TraitDi[#Data],COLUMN(T_TraitDi[[#This Row],[Colonne17]]),FALSE),"")</f>
        <v/>
      </c>
      <c r="AY210" s="172" t="e">
        <f>IF(VLOOKUP(T_BilanSocial[[#This Row],[NumL]],T_TraitDi[#Data],COLUMN(T_TraitDi[[#This Row],[Colonne18]]),FALSE)=0,"",TEXT(IFERROR(VLOOKUP(T_BilanSocial[[#This Row],[NumL]],T_TraitDi[#Data],COLUMN(T_TraitDi[[#This Row],[Colonne18]]),FALSE),""),"[hh]:mm"))</f>
        <v>#VALUE!</v>
      </c>
      <c r="AZ210" s="172" t="e">
        <f>IF(VLOOKUP(T_BilanSocial[[#This Row],[NumL]],T_TraitDi[#Data],COLUMN(T_TraitDi[[#This Row],[Colonne19]]),FALSE)=0,"",TEXT(IFERROR(VLOOKUP(T_BilanSocial[[#This Row],[NumL]],T_TraitDi[#Data],COLUMN(T_TraitDi[[#This Row],[Colonne19]]),FALSE),""),"[hh]:mm"))</f>
        <v>#VALUE!</v>
      </c>
      <c r="BA210" s="172" t="e">
        <f>IF(VLOOKUP(T_BilanSocial[[#This Row],[NumL]],T_TraitDi[#Data],COLUMN(T_TraitDi[[#This Row],[Colonne20]]),FALSE)=0,"",TEXT(IFERROR(VLOOKUP(T_BilanSocial[[#This Row],[NumL]],T_TraitDi[#Data],COLUMN(T_TraitDi[[#This Row],[Colonne20]]),FALSE),""),"[hh]:mm"))</f>
        <v>#VALUE!</v>
      </c>
      <c r="BB210" s="178" t="str">
        <f>IFERROR(VLOOKUP(T_BilanSocial[[#This Row],[NumL]],T_TraitDi[#Data],COLUMN(T_TraitDi[[#This Row],[Jeudi]]),FALSE),"")</f>
        <v/>
      </c>
      <c r="BC210" s="178" t="e">
        <f>IF(VLOOKUP(T_BilanSocial[[#This Row],[NumL]],T_TraitDi[#Data],COLUMN(T_TraitDi[[#This Row],[Colonne21]]),FALSE)=0,"",TEXT(IFERROR(VLOOKUP(T_BilanSocial[[#This Row],[NumL]],T_TraitDi[#Data],COLUMN(T_TraitDi[[#This Row],[Colonne21]]),FALSE),""),"[hh]:mm"))</f>
        <v>#VALUE!</v>
      </c>
      <c r="BD210" s="178" t="e">
        <f>IF(VLOOKUP(T_BilanSocial[[#This Row],[NumL]],T_TraitDi[#Data],COLUMN(T_TraitDi[[#This Row],[Colonne22]]),FALSE)=0,"",TEXT(IFERROR(VLOOKUP(T_BilanSocial[[#This Row],[NumL]],T_TraitDi[#Data],COLUMN(T_TraitDi[[#This Row],[Colonne22]]),FALSE),""),"[hh]:mm"))</f>
        <v>#VALUE!</v>
      </c>
      <c r="BE210" s="178" t="str">
        <f>IFERROR(VLOOKUP(T_BilanSocial[[#This Row],[NumL]],T_TraitDi[#Data],COLUMN(T_TraitDi[[#This Row],[Colonne23]]),FALSE),"")</f>
        <v/>
      </c>
      <c r="BF210" s="178" t="e">
        <f>IF(VLOOKUP(T_BilanSocial[[#This Row],[NumL]],T_TraitDi[#Data],COLUMN(T_TraitDi[[#This Row],[Colonne24]]),FALSE)=0,"",TEXT(IFERROR(VLOOKUP(T_BilanSocial[[#This Row],[NumL]],T_TraitDi[#Data],COLUMN(T_TraitDi[[#This Row],[Colonne24]]),FALSE),""),"[hh]:mm"))</f>
        <v>#VALUE!</v>
      </c>
      <c r="BG210" s="178" t="e">
        <f>IF(VLOOKUP(T_BilanSocial[[#This Row],[NumL]],T_TraitDi[#Data],COLUMN(T_TraitDi[[#This Row],[Colonne25]]),FALSE)=0,"",TEXT(IFERROR(VLOOKUP(T_BilanSocial[[#This Row],[NumL]],T_TraitDi[#Data],COLUMN(T_TraitDi[[#This Row],[Colonne25]]),FALSE),""),"[hh]:mm"))</f>
        <v>#VALUE!</v>
      </c>
      <c r="BH210" s="178" t="e">
        <f>IF(VLOOKUP(T_BilanSocial[[#This Row],[NumL]],T_TraitDi[#Data],COLUMN(T_TraitDi[[#This Row],[Colonne26]]),FALSE)=0,"",TEXT(IFERROR(VLOOKUP(T_BilanSocial[[#This Row],[NumL]],T_TraitDi[#Data],COLUMN(T_TraitDi[[#This Row],[Colonne26]]),FALSE),""),"[hh]:mm"))</f>
        <v>#VALUE!</v>
      </c>
      <c r="BI210" s="172" t="str">
        <f>IFERROR(VLOOKUP(T_BilanSocial[[#This Row],[NumL]],T_TraitDi[#Data],COLUMN(T_TraitDi[[#This Row],[Vendredi]]),FALSE),"")</f>
        <v/>
      </c>
      <c r="BJ210" s="172" t="e">
        <f>IF(VLOOKUP(T_BilanSocial[[#This Row],[NumL]],T_TraitDi[#Data],COLUMN(T_TraitDi[[#This Row],[Colonne27]]),FALSE)=0,"",TEXT(IFERROR(VLOOKUP(T_BilanSocial[[#This Row],[NumL]],T_TraitDi[#Data],COLUMN(T_TraitDi[[#This Row],[Colonne27]]),FALSE),""),"[hh]:mm"))</f>
        <v>#VALUE!</v>
      </c>
      <c r="BK210" s="172" t="e">
        <f>IF(VLOOKUP(T_BilanSocial[[#This Row],[NumL]],T_TraitDi[#Data],COLUMN(T_TraitDi[[#This Row],[Colonne28]]),FALSE)=0,"",TEXT(IFERROR(VLOOKUP(T_BilanSocial[[#This Row],[NumL]],T_TraitDi[#Data],COLUMN(T_TraitDi[[#This Row],[Colonne28]]),FALSE),""),"[hh]:mm"))</f>
        <v>#VALUE!</v>
      </c>
      <c r="BL210" s="172" t="str">
        <f>IFERROR(VLOOKUP(T_BilanSocial[[#This Row],[NumL]],T_TraitDi[#Data],COLUMN(T_TraitDi[[#This Row],[Colonne29]]),FALSE),"")</f>
        <v/>
      </c>
      <c r="BM210" s="172" t="e">
        <f>IF(VLOOKUP(T_BilanSocial[[#This Row],[NumL]],T_TraitDi[#Data],COLUMN(T_TraitDi[[#This Row],[Colonne30]]),FALSE)=0,"",TEXT(IFERROR(VLOOKUP(T_BilanSocial[[#This Row],[NumL]],T_TraitDi[#Data],COLUMN(T_TraitDi[[#This Row],[Colonne30]]),FALSE),""),"[hh]:mm"))</f>
        <v>#VALUE!</v>
      </c>
      <c r="BN210" s="172" t="e">
        <f>IF(VLOOKUP(T_BilanSocial[[#This Row],[NumL]],T_TraitDi[#Data],COLUMN(T_TraitDi[[#This Row],[Colonne31]]),FALSE)=0,"",TEXT(IFERROR(VLOOKUP(T_BilanSocial[[#This Row],[NumL]],T_TraitDi[#Data],COLUMN(T_TraitDi[[#This Row],[Colonne31]]),FALSE),""),"[hh]:mm"))</f>
        <v>#VALUE!</v>
      </c>
      <c r="BO210" s="172" t="e">
        <f>IF(VLOOKUP(T_BilanSocial[[#This Row],[NumL]],T_TraitDi[#Data],COLUMN(T_TraitDi[[#This Row],[Colonne32]]),FALSE)=0,"",TEXT(IFERROR(VLOOKUP(T_BilanSocial[[#This Row],[NumL]],T_TraitDi[#Data],COLUMN(T_TraitDi[[#This Row],[Colonne32]]),FALSE),""),"[hh]:mm"))</f>
        <v>#VALUE!</v>
      </c>
      <c r="BP210" s="172" t="e">
        <f>VLOOKUP(T_BilanSocial[[#This Row],[NumL]],T_TraitDi[#Data],COLUMN(T_TraitDi[NbJTot]),FALSE)</f>
        <v>#N/A</v>
      </c>
      <c r="BQ210" s="174" t="str">
        <f>IFERROR(VLOOKUP(T_BilanSocial[[#This Row],[NumL]],T_TraitDi[#Data],COLUMN(T_TraitDi[[#This Row],[NbJTW]]),FALSE),"")</f>
        <v/>
      </c>
      <c r="BR210" s="174" t="e">
        <f>IF(VLOOKUP(T_BilanSocial[[#This Row],[NumL]],T_TraitDi[#Data],COLUMN(T_TraitDi[[#This Row],[NbhTW]]),FALSE)=0,"",TEXT(IFERROR(VLOOKUP(T_BilanSocial[[#This Row],[NumL]],T_TraitDi[#Data],COLUMN(T_TraitDi[[#This Row],[NbhTW]]),FALSE),""),"[hh]:mm"))</f>
        <v>#VALUE!</v>
      </c>
      <c r="BS210" s="174" t="e">
        <f>IF(VLOOKUP(T_BilanSocial[[#This Row],[NumL]],T_TraitDi[#Data],COLUMN(T_TraitDi[[#This Row],[Nbhheb]]),FALSE)=0,"",TEXT(IFERROR(VLOOKUP($A210,T_TraitDi[#Data],COLUMN(T_TraitDi[[#This Row],[Nbhheb]]),FALSE),""),"[hh]:mm"))</f>
        <v>#VALUE!</v>
      </c>
      <c r="BT210" s="182" t="str">
        <f>IFERROR(VLOOKUP(VLOOKUP($A210,T_TraitDi[#Data],COLUMN(T_TraitDi[[#This Row],[Type1]]),FALSE),TypeTW,2,FALSE),"")</f>
        <v/>
      </c>
      <c r="BU210" s="182" t="str">
        <f>IFERROR(VLOOKUP($A210,T_TraitDi[#Data],COLUMN(T_TraitDi[[#This Row],[Rue1]]),FALSE),"")</f>
        <v/>
      </c>
      <c r="BV210" s="173" t="str">
        <f>IFERROR(VLOOKUP($A210,T_TraitDi[#Data],COLUMN(T_TraitDi[[#This Row],[CP1]]),FALSE),"")</f>
        <v/>
      </c>
      <c r="BW210" s="173" t="str">
        <f>IFERROR(VLOOKUP($A210,T_TraitDi[#Data],COLUMN(T_TraitDi[[#This Row],[VILLE1]]),FALSE),"")</f>
        <v/>
      </c>
      <c r="BX210" s="182" t="str">
        <f>IFERROR(VLOOKUP(VLOOKUP($A210,T_TraitDi[#Data],COLUMN(T_TraitDi[[#This Row],[Type2]]),FALSE),TypeTW,2,FALSE),"")</f>
        <v/>
      </c>
      <c r="BY210" s="182" t="str">
        <f>IFERROR(VLOOKUP($A210,T_TraitDi[#Data],COLUMN(T_TraitDi[[#This Row],[Rue2]]),FALSE),"")</f>
        <v/>
      </c>
      <c r="BZ210" s="173" t="str">
        <f>IFERROR(VLOOKUP($A210,T_TraitDi[#Data],COLUMN(T_TraitDi[[#This Row],[CP2]]),FALSE),"")</f>
        <v/>
      </c>
      <c r="CA210" s="173" t="str">
        <f>IFERROR(VLOOKUP($A210,T_TraitDi[#Data],COLUMN(T_TraitDi[[#This Row],[VILLE2]]),FALSE),"")</f>
        <v/>
      </c>
      <c r="CB210" s="182" t="str">
        <f>IF(VLOOKUP(T_BilanSocial[[#This Row],[NumL]],T_Equipement[#Data],COLUMN(T_Equipement[[#This Row],[PC]]),FALSE)="","Aucun équipement spécifique directement lié au télétravail",VLOOKUP(T_BilanSocial[[#This Row],[NumL]],T_Equipement[#Data],COLUMN(T_Equipement[[#This Row],[PC]]),FALSE))</f>
        <v xml:space="preserve">17-030	</v>
      </c>
      <c r="CC210" s="166" t="str">
        <f>IFERROR(IF(VLOOKUP(T_BilanSocial[[#This Row],[NumL]],T_TraitDi[#Data],COLUMN(T_TraitDi[[#This Row],[Plan]]),FALSE)="OK","Un planning spécifique de télétravail est annexé à la présente convention.",""),"")</f>
        <v/>
      </c>
      <c r="CD210" s="258" t="s">
        <v>3390</v>
      </c>
      <c r="CE210" s="164" t="e">
        <f>IF(VLOOKUP(T_BilanSocial[[#This Row],[NumL]],T_suiviDi[#Data],COLUMN(T_suiviDi[[#This Row],[Entité]]),FALSE)="","",VLOOKUP(T_BilanSocial[[#This Row],[NumL]],T_suiviDi[#Data],COLUMN(T_suiviDi[[#This Row],[Entité]]),FALSE))</f>
        <v>#VALUE!</v>
      </c>
      <c r="CF210" s="164" t="str">
        <f>IF(VLOOKUP(T_BilanSocial[[#This Row],[NumL]],T_Commission[#Data],COLUMN(T_Commission[[#This Row],[envoi confirm TW]]),FALSE)="","",VLOOKUP(T_BilanSocial[[#This Row],[NumL]],T_Commission[#Data],COLUMN(T_Commission[[#This Row],[envoi confirm TW]]),FALSE))</f>
        <v>Oui</v>
      </c>
      <c r="CG21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0" s="262" t="str">
        <f>T_BilanSocial[[#This Row],[Nom]]&amp;T_BilanSocial[[#This Row],[Prenom]]</f>
        <v/>
      </c>
      <c r="CI210" s="262">
        <f>VLOOKUP(T_BilanSocial[[#This Row],[NumL]],T_Commission[#Data],COLUMN(T_Commission[Commentaire]),FALSE)</f>
        <v>0</v>
      </c>
      <c r="CJ210" s="262" t="str">
        <f>IF(VLOOKUP(T_BilanSocial[[#This Row],[NumL]],T_Commission[#Data],COLUMN(T_Commission[Encadrant Email]),FALSE)="","",VLOOKUP(T_BilanSocial[[#This Row],[NumL]],T_Commission[#Data],COLUMN(T_Commission[Encadrant Email]),FALSE))</f>
        <v/>
      </c>
      <c r="CK210" s="340" t="str">
        <f>IF(T_BilanSocial[[#This Row],[Final]]&lt;&gt;"",VLOOKUP(T_BilanSocial[[#This Row],[NumL]],T_suiviDi[#Data],COLUMN((T_suiviDi[Statut])),FALSE),"")</f>
        <v/>
      </c>
    </row>
    <row r="211" spans="1:89" s="106" customFormat="1" ht="24.75" customHeight="1" x14ac:dyDescent="0.25">
      <c r="A211" s="160">
        <v>208</v>
      </c>
      <c r="B211" s="161" t="str">
        <f t="shared" si="34"/>
        <v/>
      </c>
      <c r="C211" s="162" t="s">
        <v>173</v>
      </c>
      <c r="D211" s="95" t="e">
        <f>IF(VLOOKUP(T_BilanSocial[[#This Row],[NumL]],T_TraitDi[#Data],COLUMN(T_TraitDi[[#This Row],[WebC]]),FALSE)="","",VLOOKUP(T_BilanSocial[[#This Row],[NumL]],T_TraitDi[#Data],COLUMN(T_TraitDi[[#This Row],[WebC]]),FALSE))</f>
        <v>#VALUE!</v>
      </c>
      <c r="E211" s="163" t="str">
        <f t="shared" si="35"/>
        <v>12 janvier 2021</v>
      </c>
      <c r="F211" s="96" t="str">
        <f>IF(T_BilanSocial[[#This Row],[Final]]&lt;&gt;"",VLOOKUP(T_BilanSocial[[#This Row],[NumL]],T_suiviDi[#Data],COLUMN((T_suiviDi[Civ.])),FALSE),"")</f>
        <v/>
      </c>
      <c r="G211" s="96" t="str">
        <f>IF(T_BilanSocial[[#This Row],[Final]]&lt;&gt;"",VLOOKUP(T_BilanSocial[[#This Row],[NumL]],T_suiviDi[#Data],COLUMN((T_suiviDi[Nom])),FALSE),"")</f>
        <v/>
      </c>
      <c r="H211" s="96" t="str">
        <f>IF(T_BilanSocial[[#This Row],[Final]]&lt;&gt;"",VLOOKUP(T_BilanSocial[[#This Row],[NumL]],T_suiviDi[#Data],COLUMN((T_suiviDi[Prénom])),FALSE),"")</f>
        <v/>
      </c>
      <c r="I211" s="96" t="str">
        <f>IFERROR(VLOOKUP(T_BilanSocial[[#This Row],[Zone_Bilan]],T_P_BilanSocial[#Data],COLUMN(T_P_BilanSocial[[#This Row],[Numero_SIHAM]]),FALSE),"")</f>
        <v/>
      </c>
      <c r="J211" s="96" t="str">
        <f>IFERROR(VLOOKUP(T_BilanSocial[[#This Row],[Zone_Bilan]],T_P_BilanSocial[#Data],COLUMN(T_P_BilanSocial[[#This Row],[Sexe]]),FALSE),"")</f>
        <v/>
      </c>
      <c r="K211" s="97" t="str">
        <f>IFERROR(VLOOKUP(T_BilanSocial[[#This Row],[Zone_Bilan]],T_P_BilanSocial[#Data],COLUMN(T_P_BilanSocial[[#This Row],[Categorie]]),FALSE),"")</f>
        <v/>
      </c>
      <c r="L211" s="96" t="str">
        <f>IFERROR(VLOOKUP(T_BilanSocial[[#This Row],[Zone_Bilan]],T_P_BilanSocial[#Data],COLUMN(T_P_BilanSocial[[#This Row],[Statut]]),FALSE),"")</f>
        <v/>
      </c>
      <c r="M211" s="96" t="str">
        <f>IFERROR(VLOOKUP(T_BilanSocial[[#This Row],[Zone_Bilan]],T_P_BilanSocial[#Data],COLUMN(T_P_BilanSocial[[#This Row],[Filiere]]),FALSE),"")</f>
        <v/>
      </c>
      <c r="N211" s="96" t="e">
        <f>VLOOKUP(T_BilanSocial[[#This Row],[NumL]],T_TraitDi[#Data],COLUMN(T_TraitDi[EXP]),FALSE)</f>
        <v>#N/A</v>
      </c>
      <c r="O211" s="96" t="e">
        <f>VLOOKUP(T_BilanSocial[[#This Row],[NumL]],T_TraitDi[#Data],COLUMN(T_TraitDi[FORM]),FALSE)</f>
        <v>#N/A</v>
      </c>
      <c r="P211" s="96" t="str">
        <f>IF(T_BilanSocial[[#This Row],[Final]]&lt;&gt;"",VLOOKUP(T_BilanSocial[[#This Row],[NumL]],T_suiviDi[#Data],COLUMN((T_suiviDi[Email])),FALSE),"")</f>
        <v/>
      </c>
      <c r="Q211" s="164" t="e">
        <f t="shared" si="40"/>
        <v>#N/A</v>
      </c>
      <c r="R211" s="164" t="e">
        <f t="shared" si="41"/>
        <v>#N/A</v>
      </c>
      <c r="S211" s="164" t="e">
        <f>IF(VLOOKUP(T_BilanSocial[[#This Row],[NumL]],T_suiviDi[#Data],COLUMN(T_suiviDi[[#This Row],[Service ]]),FALSE)="","",VLOOKUP(T_BilanSocial[[#This Row],[NumL]],T_suiviDi[#Data],COLUMN(T_suiviDi[[#This Row],[Service ]]),FALSE))</f>
        <v>#VALUE!</v>
      </c>
      <c r="T211" s="164" t="str">
        <f t="shared" si="36"/>
        <v>01 septembre 2021</v>
      </c>
      <c r="U211" s="164" t="str">
        <f t="shared" si="37"/>
        <v>30 novembre 2021</v>
      </c>
      <c r="V211" s="96" t="str">
        <f t="shared" si="42"/>
        <v>30 novembre 2021</v>
      </c>
      <c r="W211" s="176" t="e">
        <f>IF(VLOOKUP(T_BilanSocial[[#This Row],[NumL]],T_TraitDi[#Data],COLUMN(T_TraitDi[[#This Row],[M1]]),FALSE)="","",VLOOKUP(T_BilanSocial[[#This Row],[NumL]],T_TraitDi[#Data],COLUMN(T_TraitDi[[#This Row],[M1]]),FALSE))</f>
        <v>#VALUE!</v>
      </c>
      <c r="X211" s="176" t="e">
        <f>IF(VLOOKUP(T_BilanSocial[[#This Row],[NumL]],T_TraitDi[#Data],COLUMN(T_TraitDi[[#This Row],[M2]]),FALSE)="","",VLOOKUP(T_BilanSocial[[#This Row],[NumL]],T_TraitDi[#Data],COLUMN(T_TraitDi[[#This Row],[M2]]),FALSE))</f>
        <v>#VALUE!</v>
      </c>
      <c r="Y211" s="176" t="e">
        <f>IF(VLOOKUP(T_BilanSocial[[#This Row],[NumL]],T_TraitDi[#Data],COLUMN(T_TraitDi[[#This Row],[M3]]),FALSE)="","",VLOOKUP(T_BilanSocial[[#This Row],[NumL]],T_TraitDi[#Data],COLUMN(T_TraitDi[[#This Row],[M3]]),FALSE))</f>
        <v>#VALUE!</v>
      </c>
      <c r="Z211" s="176" t="str">
        <f t="shared" si="39"/>
        <v/>
      </c>
      <c r="AA211" s="176" t="e">
        <f>IF(VLOOKUP(T_BilanSocial[[#This Row],[NumL]],T_TraitDi[#Data],COLUMN(T_TraitDi[[#This Row],[M5]]),FALSE)="","",VLOOKUP(T_BilanSocial[[#This Row],[NumL]],T_TraitDi[#Data],COLUMN(T_TraitDi[[#This Row],[M5]]),FALSE))</f>
        <v>#VALUE!</v>
      </c>
      <c r="AB211" s="176" t="e">
        <f>IF(VLOOKUP(T_BilanSocial[[#This Row],[NumL]],T_TraitDi[#Data],COLUMN(T_TraitDi[[#This Row],[M6]]),FALSE)="","",VLOOKUP(T_BilanSocial[[#This Row],[NumL]],T_TraitDi[#Data],COLUMN(T_TraitDi[[#This Row],[M6]]),FALSE))</f>
        <v>#VALUE!</v>
      </c>
      <c r="AC211" s="165" t="e">
        <f t="shared" si="38"/>
        <v>#VALUE!</v>
      </c>
      <c r="AD211" s="188" t="str">
        <f>IFERROR(TEXT(VLOOKUP(T_BilanSocial[[#This Row],[NumL]],T_TraitDi[#Data],COLUMN(T_TraitDi[[#This Row],[Q2]]),FALSE),"###%"),"")</f>
        <v/>
      </c>
      <c r="AE211" s="97" t="e">
        <f>VLOOKUP(T_BilanSocial[[#This Row],[NumL]],T_TraitDi[#Data],COLUMN(T_TraitDi[[#This Row],[Reg Ponct]]),FALSE)</f>
        <v>#VALUE!</v>
      </c>
      <c r="AF211" s="97" t="e">
        <f>VLOOKUP(T_BilanSocial[NumL],T_TraitDi[#Data],COLUMN(T_TraitDi[[#This Row],[Jours flottants]]),FALSE)</f>
        <v>#VALUE!</v>
      </c>
      <c r="AG211" s="97" t="str">
        <f>IFERROR(VLOOKUP(T_BilanSocial[[#This Row],[NumL]],T_TraitDi[#Data],COLUMN(T_TraitDi[[#This Row],[Lundi]]),FALSE),"")</f>
        <v/>
      </c>
      <c r="AH211" s="172" t="e">
        <f>IF(VLOOKUP(T_BilanSocial[[#This Row],[NumL]],T_TraitDi[#Data],COLUMN(T_TraitDi[[#This Row],[Colonne3]]),FALSE)=0,"",TEXT(IFERROR(VLOOKUP(T_BilanSocial[[#This Row],[NumL]],T_TraitDi[#Data],COLUMN(T_TraitDi[[#This Row],[Colonne3]]),FALSE),""),"[hh]:mm"))</f>
        <v>#VALUE!</v>
      </c>
      <c r="AI211" s="172" t="e">
        <f>IF(VLOOKUP(T_BilanSocial[[#This Row],[NumL]],T_TraitDi[#Data],COLUMN(T_TraitDi[[#This Row],[Colonne4]]),FALSE)=0,"",TEXT(IFERROR(VLOOKUP(T_BilanSocial[[#This Row],[NumL]],T_TraitDi[#Data],COLUMN(T_TraitDi[[#This Row],[Colonne4]]),FALSE),""),"[hh]:mm"))</f>
        <v>#VALUE!</v>
      </c>
      <c r="AJ211" s="172" t="e">
        <f>IF(VLOOKUP(T_BilanSocial[[#This Row],[NumL]],T_TraitDi[#Data],COLUMN(T_TraitDi[[#This Row],[Colonne5]]),FALSE)=0,"",TEXT(IFERROR(VLOOKUP(T_BilanSocial[[#This Row],[NumL]],T_TraitDi[#Data],COLUMN(T_TraitDi[[#This Row],[Colonne5]]),FALSE),""),"[hh]:mm"))</f>
        <v>#VALUE!</v>
      </c>
      <c r="AK211" s="172" t="e">
        <f>IF(VLOOKUP(T_BilanSocial[[#This Row],[NumL]],T_TraitDi[#Data],COLUMN(T_TraitDi[[#This Row],[Colonne6]]),FALSE)=0,"",TEXT(IFERROR(VLOOKUP(T_BilanSocial[[#This Row],[NumL]],T_TraitDi[#Data],COLUMN(T_TraitDi[[#This Row],[Colonne6]]),FALSE),""),"[hh]:mm"))</f>
        <v>#VALUE!</v>
      </c>
      <c r="AL211" s="172" t="e">
        <f>IF(VLOOKUP(T_BilanSocial[[#This Row],[NumL]],T_TraitDi[#Data],COLUMN(T_TraitDi[[#This Row],[Colonne7]]),FALSE)=0,"",TEXT(IFERROR(VLOOKUP(T_BilanSocial[[#This Row],[NumL]],T_TraitDi[#Data],COLUMN(T_TraitDi[[#This Row],[Colonne7]]),FALSE),""),"[hh]:mm"))</f>
        <v>#VALUE!</v>
      </c>
      <c r="AM211" s="172" t="e">
        <f>IF(VLOOKUP(T_BilanSocial[[#This Row],[NumL]],T_TraitDi[#Data],COLUMN(T_TraitDi[[#This Row],[Colonne8]]),FALSE)=0,"",TEXT(IFERROR(VLOOKUP(T_BilanSocial[[#This Row],[NumL]],T_TraitDi[#Data],COLUMN(T_TraitDi[[#This Row],[Colonne8]]),FALSE),""),"[hh]:mm"))</f>
        <v>#VALUE!</v>
      </c>
      <c r="AN211" s="172" t="str">
        <f>IFERROR(VLOOKUP(T_BilanSocial[[#This Row],[NumL]],T_TraitDi[#Data],COLUMN(T_TraitDi[[#This Row],[Mardi]]),FALSE),"")</f>
        <v/>
      </c>
      <c r="AO211" s="172" t="e">
        <f>IF(VLOOKUP(T_BilanSocial[[#This Row],[NumL]],T_TraitDi[#Data],COLUMN(T_TraitDi[[#This Row],[Colonne1]]),FALSE)=0,"",TEXT(IFERROR(VLOOKUP(T_BilanSocial[[#This Row],[NumL]],T_TraitDi[#Data],COLUMN(T_TraitDi[[#This Row],[Colonne1]]),FALSE),""),"[hh]:mm"))</f>
        <v>#VALUE!</v>
      </c>
      <c r="AP211" s="172" t="e">
        <f>IF(VLOOKUP(T_BilanSocial[[#This Row],[NumL]],T_TraitDi[#Data],COLUMN(T_TraitDi[[#This Row],[Colonne9]]),FALSE)=0,"",TEXT(IFERROR(VLOOKUP(T_BilanSocial[[#This Row],[NumL]],T_TraitDi[#Data],COLUMN(T_TraitDi[[#This Row],[Colonne9]]),FALSE),""),"[hh]:mm"))</f>
        <v>#VALUE!</v>
      </c>
      <c r="AQ211" s="172" t="str">
        <f>IFERROR(VLOOKUP(T_BilanSocial[[#This Row],[NumL]],T_TraitDi[#Data],COLUMN(T_TraitDi[[#This Row],[Colonne10]]),FALSE),"")</f>
        <v/>
      </c>
      <c r="AR211" s="172" t="e">
        <f>IF(VLOOKUP(T_BilanSocial[[#This Row],[NumL]],T_TraitDi[#Data],COLUMN(T_TraitDi[[#This Row],[Colonne11]]),FALSE)=0,"",TEXT(IFERROR(VLOOKUP(T_BilanSocial[[#This Row],[NumL]],T_TraitDi[#Data],COLUMN(T_TraitDi[[#This Row],[Colonne11]]),FALSE),""),"[hh]:mm"))</f>
        <v>#VALUE!</v>
      </c>
      <c r="AS211" s="172" t="e">
        <f>IF(VLOOKUP(T_BilanSocial[[#This Row],[NumL]],T_TraitDi[#Data],COLUMN(T_TraitDi[[#This Row],[Colonne12]]),FALSE)=0,"",TEXT(IFERROR(VLOOKUP(T_BilanSocial[[#This Row],[NumL]],T_TraitDi[#Data],COLUMN(T_TraitDi[[#This Row],[Colonne12]]),FALSE),""),"[hh]:mm"))</f>
        <v>#VALUE!</v>
      </c>
      <c r="AT211" s="172" t="e">
        <f>IF(VLOOKUP(T_BilanSocial[[#This Row],[NumL]],T_TraitDi[#Data],COLUMN(T_TraitDi[[#This Row],[Colonne14]]),FALSE)=0,"",TEXT(IFERROR(VLOOKUP(T_BilanSocial[[#This Row],[NumL]],T_TraitDi[#Data],COLUMN(T_TraitDi[[#This Row],[Colonne14]]),FALSE),""),"[hh]:mm"))</f>
        <v>#VALUE!</v>
      </c>
      <c r="AU211" s="172" t="str">
        <f>IFERROR(VLOOKUP(T_BilanSocial[[#This Row],[NumL]],T_TraitDi[#Data],COLUMN(T_TraitDi[[#This Row],[Mercredi]]),FALSE),"")</f>
        <v/>
      </c>
      <c r="AV211" s="172" t="e">
        <f>IF(VLOOKUP(T_BilanSocial[[#This Row],[NumL]],T_TraitDi[#Data],COLUMN(T_TraitDi[[#This Row],[Colonne15]]),FALSE)=0,"",TEXT(IFERROR(VLOOKUP(T_BilanSocial[[#This Row],[NumL]],T_TraitDi[#Data],COLUMN(T_TraitDi[[#This Row],[Colonne15]]),FALSE),""),"[hh]:mm"))</f>
        <v>#VALUE!</v>
      </c>
      <c r="AW211" s="172" t="e">
        <f>IF(VLOOKUP(T_BilanSocial[[#This Row],[NumL]],T_TraitDi[#Data],COLUMN(T_TraitDi[[#This Row],[Colonne16]]),FALSE)=0,"",TEXT(IFERROR(VLOOKUP(T_BilanSocial[[#This Row],[NumL]],T_TraitDi[#Data],COLUMN(T_TraitDi[[#This Row],[Colonne16]]),FALSE),""),"[hh]:mm"))</f>
        <v>#VALUE!</v>
      </c>
      <c r="AX211" s="172" t="str">
        <f>IFERROR(VLOOKUP(T_BilanSocial[[#This Row],[NumL]],T_TraitDi[#Data],COLUMN(T_TraitDi[[#This Row],[Colonne17]]),FALSE),"")</f>
        <v/>
      </c>
      <c r="AY211" s="172" t="e">
        <f>IF(VLOOKUP(T_BilanSocial[[#This Row],[NumL]],T_TraitDi[#Data],COLUMN(T_TraitDi[[#This Row],[Colonne18]]),FALSE)=0,"",TEXT(IFERROR(VLOOKUP(T_BilanSocial[[#This Row],[NumL]],T_TraitDi[#Data],COLUMN(T_TraitDi[[#This Row],[Colonne18]]),FALSE),""),"[hh]:mm"))</f>
        <v>#VALUE!</v>
      </c>
      <c r="AZ211" s="172" t="e">
        <f>IF(VLOOKUP(T_BilanSocial[[#This Row],[NumL]],T_TraitDi[#Data],COLUMN(T_TraitDi[[#This Row],[Colonne19]]),FALSE)=0,"",TEXT(IFERROR(VLOOKUP(T_BilanSocial[[#This Row],[NumL]],T_TraitDi[#Data],COLUMN(T_TraitDi[[#This Row],[Colonne19]]),FALSE),""),"[hh]:mm"))</f>
        <v>#VALUE!</v>
      </c>
      <c r="BA211" s="172" t="e">
        <f>IF(VLOOKUP(T_BilanSocial[[#This Row],[NumL]],T_TraitDi[#Data],COLUMN(T_TraitDi[[#This Row],[Colonne20]]),FALSE)=0,"",TEXT(IFERROR(VLOOKUP(T_BilanSocial[[#This Row],[NumL]],T_TraitDi[#Data],COLUMN(T_TraitDi[[#This Row],[Colonne20]]),FALSE),""),"[hh]:mm"))</f>
        <v>#VALUE!</v>
      </c>
      <c r="BB211" s="178" t="str">
        <f>IFERROR(VLOOKUP(T_BilanSocial[[#This Row],[NumL]],T_TraitDi[#Data],COLUMN(T_TraitDi[[#This Row],[Jeudi]]),FALSE),"")</f>
        <v/>
      </c>
      <c r="BC211" s="178" t="e">
        <f>IF(VLOOKUP(T_BilanSocial[[#This Row],[NumL]],T_TraitDi[#Data],COLUMN(T_TraitDi[[#This Row],[Colonne21]]),FALSE)=0,"",TEXT(IFERROR(VLOOKUP(T_BilanSocial[[#This Row],[NumL]],T_TraitDi[#Data],COLUMN(T_TraitDi[[#This Row],[Colonne21]]),FALSE),""),"[hh]:mm"))</f>
        <v>#VALUE!</v>
      </c>
      <c r="BD211" s="178" t="e">
        <f>IF(VLOOKUP(T_BilanSocial[[#This Row],[NumL]],T_TraitDi[#Data],COLUMN(T_TraitDi[[#This Row],[Colonne22]]),FALSE)=0,"",TEXT(IFERROR(VLOOKUP(T_BilanSocial[[#This Row],[NumL]],T_TraitDi[#Data],COLUMN(T_TraitDi[[#This Row],[Colonne22]]),FALSE),""),"[hh]:mm"))</f>
        <v>#VALUE!</v>
      </c>
      <c r="BE211" s="178" t="str">
        <f>IFERROR(VLOOKUP(T_BilanSocial[[#This Row],[NumL]],T_TraitDi[#Data],COLUMN(T_TraitDi[[#This Row],[Colonne23]]),FALSE),"")</f>
        <v/>
      </c>
      <c r="BF211" s="178" t="e">
        <f>IF(VLOOKUP(T_BilanSocial[[#This Row],[NumL]],T_TraitDi[#Data],COLUMN(T_TraitDi[[#This Row],[Colonne24]]),FALSE)=0,"",TEXT(IFERROR(VLOOKUP(T_BilanSocial[[#This Row],[NumL]],T_TraitDi[#Data],COLUMN(T_TraitDi[[#This Row],[Colonne24]]),FALSE),""),"[hh]:mm"))</f>
        <v>#VALUE!</v>
      </c>
      <c r="BG211" s="178" t="e">
        <f>IF(VLOOKUP(T_BilanSocial[[#This Row],[NumL]],T_TraitDi[#Data],COLUMN(T_TraitDi[[#This Row],[Colonne25]]),FALSE)=0,"",TEXT(IFERROR(VLOOKUP(T_BilanSocial[[#This Row],[NumL]],T_TraitDi[#Data],COLUMN(T_TraitDi[[#This Row],[Colonne25]]),FALSE),""),"[hh]:mm"))</f>
        <v>#VALUE!</v>
      </c>
      <c r="BH211" s="178" t="e">
        <f>IF(VLOOKUP(T_BilanSocial[[#This Row],[NumL]],T_TraitDi[#Data],COLUMN(T_TraitDi[[#This Row],[Colonne26]]),FALSE)=0,"",TEXT(IFERROR(VLOOKUP(T_BilanSocial[[#This Row],[NumL]],T_TraitDi[#Data],COLUMN(T_TraitDi[[#This Row],[Colonne26]]),FALSE),""),"[hh]:mm"))</f>
        <v>#VALUE!</v>
      </c>
      <c r="BI211" s="172" t="str">
        <f>IFERROR(VLOOKUP(T_BilanSocial[[#This Row],[NumL]],T_TraitDi[#Data],COLUMN(T_TraitDi[[#This Row],[Vendredi]]),FALSE),"")</f>
        <v/>
      </c>
      <c r="BJ211" s="172" t="e">
        <f>IF(VLOOKUP(T_BilanSocial[[#This Row],[NumL]],T_TraitDi[#Data],COLUMN(T_TraitDi[[#This Row],[Colonne27]]),FALSE)=0,"",TEXT(IFERROR(VLOOKUP(T_BilanSocial[[#This Row],[NumL]],T_TraitDi[#Data],COLUMN(T_TraitDi[[#This Row],[Colonne27]]),FALSE),""),"[hh]:mm"))</f>
        <v>#VALUE!</v>
      </c>
      <c r="BK211" s="172" t="e">
        <f>IF(VLOOKUP(T_BilanSocial[[#This Row],[NumL]],T_TraitDi[#Data],COLUMN(T_TraitDi[[#This Row],[Colonne28]]),FALSE)=0,"",TEXT(IFERROR(VLOOKUP(T_BilanSocial[[#This Row],[NumL]],T_TraitDi[#Data],COLUMN(T_TraitDi[[#This Row],[Colonne28]]),FALSE),""),"[hh]:mm"))</f>
        <v>#VALUE!</v>
      </c>
      <c r="BL211" s="172" t="str">
        <f>IFERROR(VLOOKUP(T_BilanSocial[[#This Row],[NumL]],T_TraitDi[#Data],COLUMN(T_TraitDi[[#This Row],[Colonne29]]),FALSE),"")</f>
        <v/>
      </c>
      <c r="BM211" s="172" t="e">
        <f>IF(VLOOKUP(T_BilanSocial[[#This Row],[NumL]],T_TraitDi[#Data],COLUMN(T_TraitDi[[#This Row],[Colonne30]]),FALSE)=0,"",TEXT(IFERROR(VLOOKUP(T_BilanSocial[[#This Row],[NumL]],T_TraitDi[#Data],COLUMN(T_TraitDi[[#This Row],[Colonne30]]),FALSE),""),"[hh]:mm"))</f>
        <v>#VALUE!</v>
      </c>
      <c r="BN211" s="172" t="e">
        <f>IF(VLOOKUP(T_BilanSocial[[#This Row],[NumL]],T_TraitDi[#Data],COLUMN(T_TraitDi[[#This Row],[Colonne31]]),FALSE)=0,"",TEXT(IFERROR(VLOOKUP(T_BilanSocial[[#This Row],[NumL]],T_TraitDi[#Data],COLUMN(T_TraitDi[[#This Row],[Colonne31]]),FALSE),""),"[hh]:mm"))</f>
        <v>#VALUE!</v>
      </c>
      <c r="BO211" s="172" t="e">
        <f>IF(VLOOKUP(T_BilanSocial[[#This Row],[NumL]],T_TraitDi[#Data],COLUMN(T_TraitDi[[#This Row],[Colonne32]]),FALSE)=0,"",TEXT(IFERROR(VLOOKUP(T_BilanSocial[[#This Row],[NumL]],T_TraitDi[#Data],COLUMN(T_TraitDi[[#This Row],[Colonne32]]),FALSE),""),"[hh]:mm"))</f>
        <v>#VALUE!</v>
      </c>
      <c r="BP211" s="172" t="e">
        <f>VLOOKUP(T_BilanSocial[[#This Row],[NumL]],T_TraitDi[#Data],COLUMN(T_TraitDi[NbJTot]),FALSE)</f>
        <v>#N/A</v>
      </c>
      <c r="BQ211" s="174" t="str">
        <f>IFERROR(VLOOKUP(T_BilanSocial[[#This Row],[NumL]],T_TraitDi[#Data],COLUMN(T_TraitDi[[#This Row],[NbJTW]]),FALSE),"")</f>
        <v/>
      </c>
      <c r="BR211" s="174" t="e">
        <f>IF(VLOOKUP(T_BilanSocial[[#This Row],[NumL]],T_TraitDi[#Data],COLUMN(T_TraitDi[[#This Row],[NbhTW]]),FALSE)=0,"",TEXT(IFERROR(VLOOKUP(T_BilanSocial[[#This Row],[NumL]],T_TraitDi[#Data],COLUMN(T_TraitDi[[#This Row],[NbhTW]]),FALSE),""),"[hh]:mm"))</f>
        <v>#VALUE!</v>
      </c>
      <c r="BS211" s="174" t="e">
        <f>IF(VLOOKUP(T_BilanSocial[[#This Row],[NumL]],T_TraitDi[#Data],COLUMN(T_TraitDi[[#This Row],[Nbhheb]]),FALSE)=0,"",TEXT(IFERROR(VLOOKUP($A211,T_TraitDi[#Data],COLUMN(T_TraitDi[[#This Row],[Nbhheb]]),FALSE),""),"[hh]:mm"))</f>
        <v>#VALUE!</v>
      </c>
      <c r="BT211" s="182" t="str">
        <f>IFERROR(VLOOKUP(VLOOKUP($A211,T_TraitDi[#Data],COLUMN(T_TraitDi[[#This Row],[Type1]]),FALSE),TypeTW,2,FALSE),"")</f>
        <v/>
      </c>
      <c r="BU211" s="182" t="str">
        <f>IFERROR(VLOOKUP($A211,T_TraitDi[#Data],COLUMN(T_TraitDi[[#This Row],[Rue1]]),FALSE),"")</f>
        <v/>
      </c>
      <c r="BV211" s="173" t="str">
        <f>IFERROR(VLOOKUP($A211,T_TraitDi[#Data],COLUMN(T_TraitDi[[#This Row],[CP1]]),FALSE),"")</f>
        <v/>
      </c>
      <c r="BW211" s="173" t="str">
        <f>IFERROR(VLOOKUP($A211,T_TraitDi[#Data],COLUMN(T_TraitDi[[#This Row],[VILLE1]]),FALSE),"")</f>
        <v/>
      </c>
      <c r="BX211" s="182" t="str">
        <f>IFERROR(VLOOKUP(VLOOKUP($A211,T_TraitDi[#Data],COLUMN(T_TraitDi[[#This Row],[Type2]]),FALSE),TypeTW,2,FALSE),"")</f>
        <v/>
      </c>
      <c r="BY211" s="182" t="str">
        <f>IFERROR(VLOOKUP($A211,T_TraitDi[#Data],COLUMN(T_TraitDi[[#This Row],[Rue2]]),FALSE),"")</f>
        <v/>
      </c>
      <c r="BZ211" s="173" t="str">
        <f>IFERROR(VLOOKUP($A211,T_TraitDi[#Data],COLUMN(T_TraitDi[[#This Row],[CP2]]),FALSE),"")</f>
        <v/>
      </c>
      <c r="CA211" s="173" t="str">
        <f>IFERROR(VLOOKUP($A211,T_TraitDi[#Data],COLUMN(T_TraitDi[[#This Row],[VILLE2]]),FALSE),"")</f>
        <v/>
      </c>
      <c r="CB211" s="182" t="str">
        <f>IF(VLOOKUP(T_BilanSocial[[#This Row],[NumL]],T_Equipement[#Data],COLUMN(T_Equipement[[#This Row],[PC]]),FALSE)="","Aucun équipement spécifique directement lié au télétravail",VLOOKUP(T_BilanSocial[[#This Row],[NumL]],T_Equipement[#Data],COLUMN(T_Equipement[[#This Row],[PC]]),FALSE))</f>
        <v xml:space="preserve">19-154	</v>
      </c>
      <c r="CC211" s="166" t="str">
        <f>IFERROR(IF(VLOOKUP(T_BilanSocial[[#This Row],[NumL]],T_TraitDi[#Data],COLUMN(T_TraitDi[[#This Row],[Plan]]),FALSE)="OK","Un planning spécifique de télétravail est annexé à la présente convention.",""),"")</f>
        <v/>
      </c>
      <c r="CD211" s="258" t="s">
        <v>3356</v>
      </c>
      <c r="CE211" s="164" t="e">
        <f>IF(VLOOKUP(T_BilanSocial[[#This Row],[NumL]],T_suiviDi[#Data],COLUMN(T_suiviDi[[#This Row],[Entité]]),FALSE)="","",VLOOKUP(T_BilanSocial[[#This Row],[NumL]],T_suiviDi[#Data],COLUMN(T_suiviDi[[#This Row],[Entité]]),FALSE))</f>
        <v>#VALUE!</v>
      </c>
      <c r="CF211" s="164" t="str">
        <f>IF(VLOOKUP(T_BilanSocial[[#This Row],[NumL]],T_Commission[#Data],COLUMN(T_Commission[[#This Row],[envoi confirm TW]]),FALSE)="","",VLOOKUP(T_BilanSocial[[#This Row],[NumL]],T_Commission[#Data],COLUMN(T_Commission[[#This Row],[envoi confirm TW]]),FALSE))</f>
        <v>Oui</v>
      </c>
      <c r="CG21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1" s="262" t="str">
        <f>T_BilanSocial[[#This Row],[Nom]]&amp;T_BilanSocial[[#This Row],[Prenom]]</f>
        <v/>
      </c>
      <c r="CI211" s="262">
        <f>VLOOKUP(T_BilanSocial[[#This Row],[NumL]],T_Commission[#Data],COLUMN(T_Commission[Commentaire]),FALSE)</f>
        <v>0</v>
      </c>
      <c r="CJ211" s="262" t="str">
        <f>IF(VLOOKUP(T_BilanSocial[[#This Row],[NumL]],T_Commission[#Data],COLUMN(T_Commission[Encadrant Email]),FALSE)="","",VLOOKUP(T_BilanSocial[[#This Row],[NumL]],T_Commission[#Data],COLUMN(T_Commission[Encadrant Email]),FALSE))</f>
        <v/>
      </c>
      <c r="CK211" s="340" t="str">
        <f>IF(T_BilanSocial[[#This Row],[Final]]&lt;&gt;"",VLOOKUP(T_BilanSocial[[#This Row],[NumL]],T_suiviDi[#Data],COLUMN((T_suiviDi[Statut])),FALSE),"")</f>
        <v/>
      </c>
    </row>
    <row r="212" spans="1:89" s="106" customFormat="1" ht="24.75" customHeight="1" x14ac:dyDescent="0.25">
      <c r="A212" s="160">
        <v>209</v>
      </c>
      <c r="B212" s="161" t="str">
        <f t="shared" si="34"/>
        <v/>
      </c>
      <c r="C212" s="162" t="s">
        <v>173</v>
      </c>
      <c r="D212" s="95" t="e">
        <f>IF(VLOOKUP(T_BilanSocial[[#This Row],[NumL]],T_TraitDi[#Data],COLUMN(T_TraitDi[[#This Row],[WebC]]),FALSE)="","",VLOOKUP(T_BilanSocial[[#This Row],[NumL]],T_TraitDi[#Data],COLUMN(T_TraitDi[[#This Row],[WebC]]),FALSE))</f>
        <v>#VALUE!</v>
      </c>
      <c r="E212" s="163" t="str">
        <f t="shared" si="35"/>
        <v>12 janvier 2021</v>
      </c>
      <c r="F212" s="96" t="str">
        <f>IF(T_BilanSocial[[#This Row],[Final]]&lt;&gt;"",VLOOKUP(T_BilanSocial[[#This Row],[NumL]],T_suiviDi[#Data],COLUMN((T_suiviDi[Civ.])),FALSE),"")</f>
        <v/>
      </c>
      <c r="G212" s="96" t="str">
        <f>IF(T_BilanSocial[[#This Row],[Final]]&lt;&gt;"",VLOOKUP(T_BilanSocial[[#This Row],[NumL]],T_suiviDi[#Data],COLUMN((T_suiviDi[Nom])),FALSE),"")</f>
        <v/>
      </c>
      <c r="H212" s="96" t="str">
        <f>IF(T_BilanSocial[[#This Row],[Final]]&lt;&gt;"",VLOOKUP(T_BilanSocial[[#This Row],[NumL]],T_suiviDi[#Data],COLUMN((T_suiviDi[Prénom])),FALSE),"")</f>
        <v/>
      </c>
      <c r="I212" s="96" t="str">
        <f>IFERROR(VLOOKUP(T_BilanSocial[[#This Row],[Zone_Bilan]],T_P_BilanSocial[#Data],COLUMN(T_P_BilanSocial[[#This Row],[Numero_SIHAM]]),FALSE),"")</f>
        <v/>
      </c>
      <c r="J212" s="96" t="str">
        <f>IFERROR(VLOOKUP(T_BilanSocial[[#This Row],[Zone_Bilan]],T_P_BilanSocial[#Data],COLUMN(T_P_BilanSocial[[#This Row],[Sexe]]),FALSE),"")</f>
        <v/>
      </c>
      <c r="K212" s="97" t="str">
        <f>IFERROR(VLOOKUP(T_BilanSocial[[#This Row],[Zone_Bilan]],T_P_BilanSocial[#Data],COLUMN(T_P_BilanSocial[[#This Row],[Categorie]]),FALSE),"")</f>
        <v/>
      </c>
      <c r="L212" s="96" t="str">
        <f>IFERROR(VLOOKUP(T_BilanSocial[[#This Row],[Zone_Bilan]],T_P_BilanSocial[#Data],COLUMN(T_P_BilanSocial[[#This Row],[Statut]]),FALSE),"")</f>
        <v/>
      </c>
      <c r="M212" s="96" t="str">
        <f>IFERROR(VLOOKUP(T_BilanSocial[[#This Row],[Zone_Bilan]],T_P_BilanSocial[#Data],COLUMN(T_P_BilanSocial[[#This Row],[Filiere]]),FALSE),"")</f>
        <v/>
      </c>
      <c r="N212" s="96" t="e">
        <f>VLOOKUP(T_BilanSocial[[#This Row],[NumL]],T_TraitDi[#Data],COLUMN(T_TraitDi[EXP]),FALSE)</f>
        <v>#N/A</v>
      </c>
      <c r="O212" s="96" t="e">
        <f>VLOOKUP(T_BilanSocial[[#This Row],[NumL]],T_TraitDi[#Data],COLUMN(T_TraitDi[FORM]),FALSE)</f>
        <v>#N/A</v>
      </c>
      <c r="P212" s="96" t="str">
        <f>IF(T_BilanSocial[[#This Row],[Final]]&lt;&gt;"",VLOOKUP(T_BilanSocial[[#This Row],[NumL]],T_suiviDi[#Data],COLUMN((T_suiviDi[Email])),FALSE),"")</f>
        <v/>
      </c>
      <c r="Q212" s="164" t="e">
        <f t="shared" si="40"/>
        <v>#N/A</v>
      </c>
      <c r="R212" s="164" t="e">
        <f t="shared" si="41"/>
        <v>#N/A</v>
      </c>
      <c r="S212" s="164" t="e">
        <f>IF(VLOOKUP(T_BilanSocial[[#This Row],[NumL]],T_suiviDi[#Data],COLUMN(T_suiviDi[[#This Row],[Service ]]),FALSE)="","",VLOOKUP(T_BilanSocial[[#This Row],[NumL]],T_suiviDi[#Data],COLUMN(T_suiviDi[[#This Row],[Service ]]),FALSE))</f>
        <v>#VALUE!</v>
      </c>
      <c r="T212" s="164" t="str">
        <f t="shared" si="36"/>
        <v>01 septembre 2021</v>
      </c>
      <c r="U212" s="164" t="str">
        <f t="shared" si="37"/>
        <v>30 novembre 2021</v>
      </c>
      <c r="V212" s="164" t="str">
        <f t="shared" si="42"/>
        <v>30 novembre 2021</v>
      </c>
      <c r="W212" s="176" t="e">
        <f>IF(VLOOKUP(T_BilanSocial[[#This Row],[NumL]],T_TraitDi[#Data],COLUMN(T_TraitDi[[#This Row],[M1]]),FALSE)="","",VLOOKUP(T_BilanSocial[[#This Row],[NumL]],T_TraitDi[#Data],COLUMN(T_TraitDi[[#This Row],[M1]]),FALSE))</f>
        <v>#VALUE!</v>
      </c>
      <c r="X212" s="176" t="e">
        <f>IF(VLOOKUP(T_BilanSocial[[#This Row],[NumL]],T_TraitDi[#Data],COLUMN(T_TraitDi[[#This Row],[M2]]),FALSE)="","",VLOOKUP(T_BilanSocial[[#This Row],[NumL]],T_TraitDi[#Data],COLUMN(T_TraitDi[[#This Row],[M2]]),FALSE))</f>
        <v>#VALUE!</v>
      </c>
      <c r="Y212" s="176" t="e">
        <f>IF(VLOOKUP(T_BilanSocial[[#This Row],[NumL]],T_TraitDi[#Data],COLUMN(T_TraitDi[[#This Row],[M3]]),FALSE)="","",VLOOKUP(T_BilanSocial[[#This Row],[NumL]],T_TraitDi[#Data],COLUMN(T_TraitDi[[#This Row],[M3]]),FALSE))</f>
        <v>#VALUE!</v>
      </c>
      <c r="Z212" s="176" t="str">
        <f t="shared" si="39"/>
        <v/>
      </c>
      <c r="AA212" s="176" t="e">
        <f>IF(VLOOKUP(T_BilanSocial[[#This Row],[NumL]],T_TraitDi[#Data],COLUMN(T_TraitDi[[#This Row],[M5]]),FALSE)="","",VLOOKUP(T_BilanSocial[[#This Row],[NumL]],T_TraitDi[#Data],COLUMN(T_TraitDi[[#This Row],[M5]]),FALSE))</f>
        <v>#VALUE!</v>
      </c>
      <c r="AB212" s="176" t="e">
        <f>IF(VLOOKUP(T_BilanSocial[[#This Row],[NumL]],T_TraitDi[#Data],COLUMN(T_TraitDi[[#This Row],[M6]]),FALSE)="","",VLOOKUP(T_BilanSocial[[#This Row],[NumL]],T_TraitDi[#Data],COLUMN(T_TraitDi[[#This Row],[M6]]),FALSE))</f>
        <v>#VALUE!</v>
      </c>
      <c r="AC212" s="165" t="e">
        <f t="shared" si="38"/>
        <v>#VALUE!</v>
      </c>
      <c r="AD212" s="188" t="str">
        <f>IFERROR(TEXT(VLOOKUP(T_BilanSocial[[#This Row],[NumL]],T_TraitDi[#Data],COLUMN(T_TraitDi[[#This Row],[Q2]]),FALSE),"###%"),"")</f>
        <v/>
      </c>
      <c r="AE212" s="97" t="e">
        <f>VLOOKUP(T_BilanSocial[[#This Row],[NumL]],T_TraitDi[#Data],COLUMN(T_TraitDi[[#This Row],[Reg Ponct]]),FALSE)</f>
        <v>#VALUE!</v>
      </c>
      <c r="AF212" s="97" t="e">
        <f>VLOOKUP(T_BilanSocial[NumL],T_TraitDi[#Data],COLUMN(T_TraitDi[[#This Row],[Jours flottants]]),FALSE)</f>
        <v>#VALUE!</v>
      </c>
      <c r="AG212" s="97" t="str">
        <f>IFERROR(VLOOKUP(T_BilanSocial[[#This Row],[NumL]],T_TraitDi[#Data],COLUMN(T_TraitDi[[#This Row],[Lundi]]),FALSE),"")</f>
        <v/>
      </c>
      <c r="AH212" s="172" t="e">
        <f>IF(VLOOKUP(T_BilanSocial[[#This Row],[NumL]],T_TraitDi[#Data],COLUMN(T_TraitDi[[#This Row],[Colonne3]]),FALSE)=0,"",TEXT(IFERROR(VLOOKUP(T_BilanSocial[[#This Row],[NumL]],T_TraitDi[#Data],COLUMN(T_TraitDi[[#This Row],[Colonne3]]),FALSE),""),"[hh]:mm"))</f>
        <v>#VALUE!</v>
      </c>
      <c r="AI212" s="172" t="e">
        <f>IF(VLOOKUP(T_BilanSocial[[#This Row],[NumL]],T_TraitDi[#Data],COLUMN(T_TraitDi[[#This Row],[Colonne4]]),FALSE)=0,"",TEXT(IFERROR(VLOOKUP(T_BilanSocial[[#This Row],[NumL]],T_TraitDi[#Data],COLUMN(T_TraitDi[[#This Row],[Colonne4]]),FALSE),""),"[hh]:mm"))</f>
        <v>#VALUE!</v>
      </c>
      <c r="AJ212" s="172" t="e">
        <f>IF(VLOOKUP(T_BilanSocial[[#This Row],[NumL]],T_TraitDi[#Data],COLUMN(T_TraitDi[[#This Row],[Colonne5]]),FALSE)=0,"",TEXT(IFERROR(VLOOKUP(T_BilanSocial[[#This Row],[NumL]],T_TraitDi[#Data],COLUMN(T_TraitDi[[#This Row],[Colonne5]]),FALSE),""),"[hh]:mm"))</f>
        <v>#VALUE!</v>
      </c>
      <c r="AK212" s="172" t="e">
        <f>IF(VLOOKUP(T_BilanSocial[[#This Row],[NumL]],T_TraitDi[#Data],COLUMN(T_TraitDi[[#This Row],[Colonne6]]),FALSE)=0,"",TEXT(IFERROR(VLOOKUP(T_BilanSocial[[#This Row],[NumL]],T_TraitDi[#Data],COLUMN(T_TraitDi[[#This Row],[Colonne6]]),FALSE),""),"[hh]:mm"))</f>
        <v>#VALUE!</v>
      </c>
      <c r="AL212" s="172" t="e">
        <f>IF(VLOOKUP(T_BilanSocial[[#This Row],[NumL]],T_TraitDi[#Data],COLUMN(T_TraitDi[[#This Row],[Colonne7]]),FALSE)=0,"",TEXT(IFERROR(VLOOKUP(T_BilanSocial[[#This Row],[NumL]],T_TraitDi[#Data],COLUMN(T_TraitDi[[#This Row],[Colonne7]]),FALSE),""),"[hh]:mm"))</f>
        <v>#VALUE!</v>
      </c>
      <c r="AM212" s="172" t="e">
        <f>IF(VLOOKUP(T_BilanSocial[[#This Row],[NumL]],T_TraitDi[#Data],COLUMN(T_TraitDi[[#This Row],[Colonne8]]),FALSE)=0,"",TEXT(IFERROR(VLOOKUP(T_BilanSocial[[#This Row],[NumL]],T_TraitDi[#Data],COLUMN(T_TraitDi[[#This Row],[Colonne8]]),FALSE),""),"[hh]:mm"))</f>
        <v>#VALUE!</v>
      </c>
      <c r="AN212" s="172" t="str">
        <f>IFERROR(VLOOKUP(T_BilanSocial[[#This Row],[NumL]],T_TraitDi[#Data],COLUMN(T_TraitDi[[#This Row],[Mardi]]),FALSE),"")</f>
        <v/>
      </c>
      <c r="AO212" s="172" t="e">
        <f>IF(VLOOKUP(T_BilanSocial[[#This Row],[NumL]],T_TraitDi[#Data],COLUMN(T_TraitDi[[#This Row],[Colonne1]]),FALSE)=0,"",TEXT(IFERROR(VLOOKUP(T_BilanSocial[[#This Row],[NumL]],T_TraitDi[#Data],COLUMN(T_TraitDi[[#This Row],[Colonne1]]),FALSE),""),"[hh]:mm"))</f>
        <v>#VALUE!</v>
      </c>
      <c r="AP212" s="172" t="e">
        <f>IF(VLOOKUP(T_BilanSocial[[#This Row],[NumL]],T_TraitDi[#Data],COLUMN(T_TraitDi[[#This Row],[Colonne9]]),FALSE)=0,"",TEXT(IFERROR(VLOOKUP(T_BilanSocial[[#This Row],[NumL]],T_TraitDi[#Data],COLUMN(T_TraitDi[[#This Row],[Colonne9]]),FALSE),""),"[hh]:mm"))</f>
        <v>#VALUE!</v>
      </c>
      <c r="AQ212" s="172" t="str">
        <f>IFERROR(VLOOKUP(T_BilanSocial[[#This Row],[NumL]],T_TraitDi[#Data],COLUMN(T_TraitDi[[#This Row],[Colonne10]]),FALSE),"")</f>
        <v/>
      </c>
      <c r="AR212" s="172" t="e">
        <f>IF(VLOOKUP(T_BilanSocial[[#This Row],[NumL]],T_TraitDi[#Data],COLUMN(T_TraitDi[[#This Row],[Colonne11]]),FALSE)=0,"",TEXT(IFERROR(VLOOKUP(T_BilanSocial[[#This Row],[NumL]],T_TraitDi[#Data],COLUMN(T_TraitDi[[#This Row],[Colonne11]]),FALSE),""),"[hh]:mm"))</f>
        <v>#VALUE!</v>
      </c>
      <c r="AS212" s="172" t="e">
        <f>IF(VLOOKUP(T_BilanSocial[[#This Row],[NumL]],T_TraitDi[#Data],COLUMN(T_TraitDi[[#This Row],[Colonne12]]),FALSE)=0,"",TEXT(IFERROR(VLOOKUP(T_BilanSocial[[#This Row],[NumL]],T_TraitDi[#Data],COLUMN(T_TraitDi[[#This Row],[Colonne12]]),FALSE),""),"[hh]:mm"))</f>
        <v>#VALUE!</v>
      </c>
      <c r="AT212" s="172" t="e">
        <f>IF(VLOOKUP(T_BilanSocial[[#This Row],[NumL]],T_TraitDi[#Data],COLUMN(T_TraitDi[[#This Row],[Colonne14]]),FALSE)=0,"",TEXT(IFERROR(VLOOKUP(T_BilanSocial[[#This Row],[NumL]],T_TraitDi[#Data],COLUMN(T_TraitDi[[#This Row],[Colonne14]]),FALSE),""),"[hh]:mm"))</f>
        <v>#VALUE!</v>
      </c>
      <c r="AU212" s="172" t="str">
        <f>IFERROR(VLOOKUP(T_BilanSocial[[#This Row],[NumL]],T_TraitDi[#Data],COLUMN(T_TraitDi[[#This Row],[Mercredi]]),FALSE),"")</f>
        <v/>
      </c>
      <c r="AV212" s="172" t="e">
        <f>IF(VLOOKUP(T_BilanSocial[[#This Row],[NumL]],T_TraitDi[#Data],COLUMN(T_TraitDi[[#This Row],[Colonne15]]),FALSE)=0,"",TEXT(IFERROR(VLOOKUP(T_BilanSocial[[#This Row],[NumL]],T_TraitDi[#Data],COLUMN(T_TraitDi[[#This Row],[Colonne15]]),FALSE),""),"[hh]:mm"))</f>
        <v>#VALUE!</v>
      </c>
      <c r="AW212" s="172" t="e">
        <f>IF(VLOOKUP(T_BilanSocial[[#This Row],[NumL]],T_TraitDi[#Data],COLUMN(T_TraitDi[[#This Row],[Colonne16]]),FALSE)=0,"",TEXT(IFERROR(VLOOKUP(T_BilanSocial[[#This Row],[NumL]],T_TraitDi[#Data],COLUMN(T_TraitDi[[#This Row],[Colonne16]]),FALSE),""),"[hh]:mm"))</f>
        <v>#VALUE!</v>
      </c>
      <c r="AX212" s="172" t="str">
        <f>IFERROR(VLOOKUP(T_BilanSocial[[#This Row],[NumL]],T_TraitDi[#Data],COLUMN(T_TraitDi[[#This Row],[Colonne17]]),FALSE),"")</f>
        <v/>
      </c>
      <c r="AY212" s="172" t="e">
        <f>IF(VLOOKUP(T_BilanSocial[[#This Row],[NumL]],T_TraitDi[#Data],COLUMN(T_TraitDi[[#This Row],[Colonne18]]),FALSE)=0,"",TEXT(IFERROR(VLOOKUP(T_BilanSocial[[#This Row],[NumL]],T_TraitDi[#Data],COLUMN(T_TraitDi[[#This Row],[Colonne18]]),FALSE),""),"[hh]:mm"))</f>
        <v>#VALUE!</v>
      </c>
      <c r="AZ212" s="172" t="e">
        <f>IF(VLOOKUP(T_BilanSocial[[#This Row],[NumL]],T_TraitDi[#Data],COLUMN(T_TraitDi[[#This Row],[Colonne19]]),FALSE)=0,"",TEXT(IFERROR(VLOOKUP(T_BilanSocial[[#This Row],[NumL]],T_TraitDi[#Data],COLUMN(T_TraitDi[[#This Row],[Colonne19]]),FALSE),""),"[hh]:mm"))</f>
        <v>#VALUE!</v>
      </c>
      <c r="BA212" s="172" t="e">
        <f>IF(VLOOKUP(T_BilanSocial[[#This Row],[NumL]],T_TraitDi[#Data],COLUMN(T_TraitDi[[#This Row],[Colonne20]]),FALSE)=0,"",TEXT(IFERROR(VLOOKUP(T_BilanSocial[[#This Row],[NumL]],T_TraitDi[#Data],COLUMN(T_TraitDi[[#This Row],[Colonne20]]),FALSE),""),"[hh]:mm"))</f>
        <v>#VALUE!</v>
      </c>
      <c r="BB212" s="178" t="str">
        <f>IFERROR(VLOOKUP(T_BilanSocial[[#This Row],[NumL]],T_TraitDi[#Data],COLUMN(T_TraitDi[[#This Row],[Jeudi]]),FALSE),"")</f>
        <v/>
      </c>
      <c r="BC212" s="178" t="e">
        <f>IF(VLOOKUP(T_BilanSocial[[#This Row],[NumL]],T_TraitDi[#Data],COLUMN(T_TraitDi[[#This Row],[Colonne21]]),FALSE)=0,"",TEXT(IFERROR(VLOOKUP(T_BilanSocial[[#This Row],[NumL]],T_TraitDi[#Data],COLUMN(T_TraitDi[[#This Row],[Colonne21]]),FALSE),""),"[hh]:mm"))</f>
        <v>#VALUE!</v>
      </c>
      <c r="BD212" s="178" t="e">
        <f>IF(VLOOKUP(T_BilanSocial[[#This Row],[NumL]],T_TraitDi[#Data],COLUMN(T_TraitDi[[#This Row],[Colonne22]]),FALSE)=0,"",TEXT(IFERROR(VLOOKUP(T_BilanSocial[[#This Row],[NumL]],T_TraitDi[#Data],COLUMN(T_TraitDi[[#This Row],[Colonne22]]),FALSE),""),"[hh]:mm"))</f>
        <v>#VALUE!</v>
      </c>
      <c r="BE212" s="178" t="str">
        <f>IFERROR(VLOOKUP(T_BilanSocial[[#This Row],[NumL]],T_TraitDi[#Data],COLUMN(T_TraitDi[[#This Row],[Colonne23]]),FALSE),"")</f>
        <v/>
      </c>
      <c r="BF212" s="178" t="e">
        <f>IF(VLOOKUP(T_BilanSocial[[#This Row],[NumL]],T_TraitDi[#Data],COLUMN(T_TraitDi[[#This Row],[Colonne24]]),FALSE)=0,"",TEXT(IFERROR(VLOOKUP(T_BilanSocial[[#This Row],[NumL]],T_TraitDi[#Data],COLUMN(T_TraitDi[[#This Row],[Colonne24]]),FALSE),""),"[hh]:mm"))</f>
        <v>#VALUE!</v>
      </c>
      <c r="BG212" s="178" t="e">
        <f>IF(VLOOKUP(T_BilanSocial[[#This Row],[NumL]],T_TraitDi[#Data],COLUMN(T_TraitDi[[#This Row],[Colonne25]]),FALSE)=0,"",TEXT(IFERROR(VLOOKUP(T_BilanSocial[[#This Row],[NumL]],T_TraitDi[#Data],COLUMN(T_TraitDi[[#This Row],[Colonne25]]),FALSE),""),"[hh]:mm"))</f>
        <v>#VALUE!</v>
      </c>
      <c r="BH212" s="178" t="e">
        <f>IF(VLOOKUP(T_BilanSocial[[#This Row],[NumL]],T_TraitDi[#Data],COLUMN(T_TraitDi[[#This Row],[Colonne26]]),FALSE)=0,"",TEXT(IFERROR(VLOOKUP(T_BilanSocial[[#This Row],[NumL]],T_TraitDi[#Data],COLUMN(T_TraitDi[[#This Row],[Colonne26]]),FALSE),""),"[hh]:mm"))</f>
        <v>#VALUE!</v>
      </c>
      <c r="BI212" s="172" t="str">
        <f>IFERROR(VLOOKUP(T_BilanSocial[[#This Row],[NumL]],T_TraitDi[#Data],COLUMN(T_TraitDi[[#This Row],[Vendredi]]),FALSE),"")</f>
        <v/>
      </c>
      <c r="BJ212" s="172" t="e">
        <f>IF(VLOOKUP(T_BilanSocial[[#This Row],[NumL]],T_TraitDi[#Data],COLUMN(T_TraitDi[[#This Row],[Colonne27]]),FALSE)=0,"",TEXT(IFERROR(VLOOKUP(T_BilanSocial[[#This Row],[NumL]],T_TraitDi[#Data],COLUMN(T_TraitDi[[#This Row],[Colonne27]]),FALSE),""),"[hh]:mm"))</f>
        <v>#VALUE!</v>
      </c>
      <c r="BK212" s="172" t="e">
        <f>IF(VLOOKUP(T_BilanSocial[[#This Row],[NumL]],T_TraitDi[#Data],COLUMN(T_TraitDi[[#This Row],[Colonne28]]),FALSE)=0,"",TEXT(IFERROR(VLOOKUP(T_BilanSocial[[#This Row],[NumL]],T_TraitDi[#Data],COLUMN(T_TraitDi[[#This Row],[Colonne28]]),FALSE),""),"[hh]:mm"))</f>
        <v>#VALUE!</v>
      </c>
      <c r="BL212" s="172" t="str">
        <f>IFERROR(VLOOKUP(T_BilanSocial[[#This Row],[NumL]],T_TraitDi[#Data],COLUMN(T_TraitDi[[#This Row],[Colonne29]]),FALSE),"")</f>
        <v/>
      </c>
      <c r="BM212" s="172" t="e">
        <f>IF(VLOOKUP(T_BilanSocial[[#This Row],[NumL]],T_TraitDi[#Data],COLUMN(T_TraitDi[[#This Row],[Colonne30]]),FALSE)=0,"",TEXT(IFERROR(VLOOKUP(T_BilanSocial[[#This Row],[NumL]],T_TraitDi[#Data],COLUMN(T_TraitDi[[#This Row],[Colonne30]]),FALSE),""),"[hh]:mm"))</f>
        <v>#VALUE!</v>
      </c>
      <c r="BN212" s="172" t="e">
        <f>IF(VLOOKUP(T_BilanSocial[[#This Row],[NumL]],T_TraitDi[#Data],COLUMN(T_TraitDi[[#This Row],[Colonne31]]),FALSE)=0,"",TEXT(IFERROR(VLOOKUP(T_BilanSocial[[#This Row],[NumL]],T_TraitDi[#Data],COLUMN(T_TraitDi[[#This Row],[Colonne31]]),FALSE),""),"[hh]:mm"))</f>
        <v>#VALUE!</v>
      </c>
      <c r="BO212" s="172" t="e">
        <f>IF(VLOOKUP(T_BilanSocial[[#This Row],[NumL]],T_TraitDi[#Data],COLUMN(T_TraitDi[[#This Row],[Colonne32]]),FALSE)=0,"",TEXT(IFERROR(VLOOKUP(T_BilanSocial[[#This Row],[NumL]],T_TraitDi[#Data],COLUMN(T_TraitDi[[#This Row],[Colonne32]]),FALSE),""),"[hh]:mm"))</f>
        <v>#VALUE!</v>
      </c>
      <c r="BP212" s="172" t="e">
        <f>VLOOKUP(T_BilanSocial[[#This Row],[NumL]],T_TraitDi[#Data],COLUMN(T_TraitDi[NbJTot]),FALSE)</f>
        <v>#N/A</v>
      </c>
      <c r="BQ212" s="174" t="str">
        <f>IFERROR(VLOOKUP(T_BilanSocial[[#This Row],[NumL]],T_TraitDi[#Data],COLUMN(T_TraitDi[[#This Row],[NbJTW]]),FALSE),"")</f>
        <v/>
      </c>
      <c r="BR212" s="174" t="e">
        <f>IF(VLOOKUP(T_BilanSocial[[#This Row],[NumL]],T_TraitDi[#Data],COLUMN(T_TraitDi[[#This Row],[NbhTW]]),FALSE)=0,"",TEXT(IFERROR(VLOOKUP(T_BilanSocial[[#This Row],[NumL]],T_TraitDi[#Data],COLUMN(T_TraitDi[[#This Row],[NbhTW]]),FALSE),""),"[hh]:mm"))</f>
        <v>#VALUE!</v>
      </c>
      <c r="BS212" s="174" t="e">
        <f>IF(VLOOKUP(T_BilanSocial[[#This Row],[NumL]],T_TraitDi[#Data],COLUMN(T_TraitDi[[#This Row],[Nbhheb]]),FALSE)=0,"",TEXT(IFERROR(VLOOKUP($A212,T_TraitDi[#Data],COLUMN(T_TraitDi[[#This Row],[Nbhheb]]),FALSE),""),"[hh]:mm"))</f>
        <v>#VALUE!</v>
      </c>
      <c r="BT212" s="182" t="str">
        <f>IFERROR(VLOOKUP(VLOOKUP($A212,T_TraitDi[#Data],COLUMN(T_TraitDi[[#This Row],[Type1]]),FALSE),TypeTW,2,FALSE),"")</f>
        <v/>
      </c>
      <c r="BU212" s="182" t="str">
        <f>IFERROR(VLOOKUP($A212,T_TraitDi[#Data],COLUMN(T_TraitDi[[#This Row],[Rue1]]),FALSE),"")</f>
        <v/>
      </c>
      <c r="BV212" s="173" t="str">
        <f>IFERROR(VLOOKUP($A212,T_TraitDi[#Data],COLUMN(T_TraitDi[[#This Row],[CP1]]),FALSE),"")</f>
        <v/>
      </c>
      <c r="BW212" s="173" t="str">
        <f>IFERROR(VLOOKUP($A212,T_TraitDi[#Data],COLUMN(T_TraitDi[[#This Row],[VILLE1]]),FALSE),"")</f>
        <v/>
      </c>
      <c r="BX212" s="182" t="str">
        <f>IFERROR(VLOOKUP(VLOOKUP($A212,T_TraitDi[#Data],COLUMN(T_TraitDi[[#This Row],[Type2]]),FALSE),TypeTW,2,FALSE),"")</f>
        <v/>
      </c>
      <c r="BY212" s="182" t="str">
        <f>IFERROR(VLOOKUP($A212,T_TraitDi[#Data],COLUMN(T_TraitDi[[#This Row],[Rue2]]),FALSE),"")</f>
        <v/>
      </c>
      <c r="BZ212" s="173" t="str">
        <f>IFERROR(VLOOKUP($A212,T_TraitDi[#Data],COLUMN(T_TraitDi[[#This Row],[CP2]]),FALSE),"")</f>
        <v/>
      </c>
      <c r="CA212" s="173" t="str">
        <f>IFERROR(VLOOKUP($A212,T_TraitDi[#Data],COLUMN(T_TraitDi[[#This Row],[VILLE2]]),FALSE),"")</f>
        <v/>
      </c>
      <c r="CB212" s="182" t="str">
        <f>IF(VLOOKUP(T_BilanSocial[[#This Row],[NumL]],T_Equipement[#Data],COLUMN(T_Equipement[[#This Row],[PC]]),FALSE)="","Aucun équipement spécifique directement lié au télétravail",VLOOKUP(T_BilanSocial[[#This Row],[NumL]],T_Equipement[#Data],COLUMN(T_Equipement[[#This Row],[PC]]),FALSE))</f>
        <v xml:space="preserve">17-275	</v>
      </c>
      <c r="CC212" s="166" t="str">
        <f>IFERROR(IF(VLOOKUP(T_BilanSocial[[#This Row],[NumL]],T_TraitDi[#Data],COLUMN(T_TraitDi[[#This Row],[Plan]]),FALSE)="OK","Un planning spécifique de télétravail est annexé à la présente convention.",""),"")</f>
        <v/>
      </c>
      <c r="CD212" s="258" t="s">
        <v>3319</v>
      </c>
      <c r="CE212" s="164" t="e">
        <f>IF(VLOOKUP(T_BilanSocial[[#This Row],[NumL]],T_suiviDi[#Data],COLUMN(T_suiviDi[[#This Row],[Entité]]),FALSE)="","",VLOOKUP(T_BilanSocial[[#This Row],[NumL]],T_suiviDi[#Data],COLUMN(T_suiviDi[[#This Row],[Entité]]),FALSE))</f>
        <v>#VALUE!</v>
      </c>
      <c r="CF212" s="164" t="str">
        <f>IF(VLOOKUP(T_BilanSocial[[#This Row],[NumL]],T_Commission[#Data],COLUMN(T_Commission[[#This Row],[envoi confirm TW]]),FALSE)="","",VLOOKUP(T_BilanSocial[[#This Row],[NumL]],T_Commission[#Data],COLUMN(T_Commission[[#This Row],[envoi confirm TW]]),FALSE))</f>
        <v>Oui</v>
      </c>
      <c r="CG21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2" s="262" t="str">
        <f>T_BilanSocial[[#This Row],[Nom]]&amp;T_BilanSocial[[#This Row],[Prenom]]</f>
        <v/>
      </c>
      <c r="CI212" s="262">
        <f>VLOOKUP(T_BilanSocial[[#This Row],[NumL]],T_Commission[#Data],COLUMN(T_Commission[Commentaire]),FALSE)</f>
        <v>0</v>
      </c>
      <c r="CJ212" s="262" t="str">
        <f>IF(VLOOKUP(T_BilanSocial[[#This Row],[NumL]],T_Commission[#Data],COLUMN(T_Commission[Encadrant Email]),FALSE)="","",VLOOKUP(T_BilanSocial[[#This Row],[NumL]],T_Commission[#Data],COLUMN(T_Commission[Encadrant Email]),FALSE))</f>
        <v/>
      </c>
      <c r="CK212" s="340" t="str">
        <f>IF(T_BilanSocial[[#This Row],[Final]]&lt;&gt;"",VLOOKUP(T_BilanSocial[[#This Row],[NumL]],T_suiviDi[#Data],COLUMN((T_suiviDi[Statut])),FALSE),"")</f>
        <v/>
      </c>
    </row>
    <row r="213" spans="1:89" s="106" customFormat="1" ht="24.75" customHeight="1" x14ac:dyDescent="0.25">
      <c r="A213" s="160">
        <v>210</v>
      </c>
      <c r="B213" s="161" t="str">
        <f t="shared" si="34"/>
        <v/>
      </c>
      <c r="C213" s="162" t="s">
        <v>173</v>
      </c>
      <c r="D213" s="95" t="e">
        <f>IF(VLOOKUP(T_BilanSocial[[#This Row],[NumL]],T_TraitDi[#Data],COLUMN(T_TraitDi[[#This Row],[WebC]]),FALSE)="","",VLOOKUP(T_BilanSocial[[#This Row],[NumL]],T_TraitDi[#Data],COLUMN(T_TraitDi[[#This Row],[WebC]]),FALSE))</f>
        <v>#VALUE!</v>
      </c>
      <c r="E213" s="163" t="str">
        <f t="shared" si="35"/>
        <v>12 janvier 2021</v>
      </c>
      <c r="F213" s="96" t="str">
        <f>IF(T_BilanSocial[[#This Row],[Final]]&lt;&gt;"",VLOOKUP(T_BilanSocial[[#This Row],[NumL]],T_suiviDi[#Data],COLUMN((T_suiviDi[Civ.])),FALSE),"")</f>
        <v/>
      </c>
      <c r="G213" s="96" t="str">
        <f>IF(T_BilanSocial[[#This Row],[Final]]&lt;&gt;"",VLOOKUP(T_BilanSocial[[#This Row],[NumL]],T_suiviDi[#Data],COLUMN((T_suiviDi[Nom])),FALSE),"")</f>
        <v/>
      </c>
      <c r="H213" s="96" t="str">
        <f>IF(T_BilanSocial[[#This Row],[Final]]&lt;&gt;"",VLOOKUP(T_BilanSocial[[#This Row],[NumL]],T_suiviDi[#Data],COLUMN((T_suiviDi[Prénom])),FALSE),"")</f>
        <v/>
      </c>
      <c r="I213" s="96" t="str">
        <f>IFERROR(VLOOKUP(T_BilanSocial[[#This Row],[Zone_Bilan]],T_P_BilanSocial[#Data],COLUMN(T_P_BilanSocial[[#This Row],[Numero_SIHAM]]),FALSE),"")</f>
        <v/>
      </c>
      <c r="J213" s="96" t="str">
        <f>IFERROR(VLOOKUP(T_BilanSocial[[#This Row],[Zone_Bilan]],T_P_BilanSocial[#Data],COLUMN(T_P_BilanSocial[[#This Row],[Sexe]]),FALSE),"")</f>
        <v/>
      </c>
      <c r="K213" s="97" t="str">
        <f>IFERROR(VLOOKUP(T_BilanSocial[[#This Row],[Zone_Bilan]],T_P_BilanSocial[#Data],COLUMN(T_P_BilanSocial[[#This Row],[Categorie]]),FALSE),"")</f>
        <v/>
      </c>
      <c r="L213" s="96" t="str">
        <f>IFERROR(VLOOKUP(T_BilanSocial[[#This Row],[Zone_Bilan]],T_P_BilanSocial[#Data],COLUMN(T_P_BilanSocial[[#This Row],[Statut]]),FALSE),"")</f>
        <v/>
      </c>
      <c r="M213" s="96" t="str">
        <f>IFERROR(VLOOKUP(T_BilanSocial[[#This Row],[Zone_Bilan]],T_P_BilanSocial[#Data],COLUMN(T_P_BilanSocial[[#This Row],[Filiere]]),FALSE),"")</f>
        <v/>
      </c>
      <c r="N213" s="96" t="e">
        <f>VLOOKUP(T_BilanSocial[[#This Row],[NumL]],T_TraitDi[#Data],COLUMN(T_TraitDi[EXP]),FALSE)</f>
        <v>#N/A</v>
      </c>
      <c r="O213" s="96" t="e">
        <f>VLOOKUP(T_BilanSocial[[#This Row],[NumL]],T_TraitDi[#Data],COLUMN(T_TraitDi[FORM]),FALSE)</f>
        <v>#N/A</v>
      </c>
      <c r="P213" s="96" t="str">
        <f>IF(T_BilanSocial[[#This Row],[Final]]&lt;&gt;"",VLOOKUP(T_BilanSocial[[#This Row],[NumL]],T_suiviDi[#Data],COLUMN((T_suiviDi[Email])),FALSE),"")</f>
        <v/>
      </c>
      <c r="Q213" s="164" t="e">
        <f t="shared" si="40"/>
        <v>#N/A</v>
      </c>
      <c r="R213" s="164" t="e">
        <f t="shared" si="41"/>
        <v>#N/A</v>
      </c>
      <c r="S213" s="164" t="e">
        <f>IF(VLOOKUP(T_BilanSocial[[#This Row],[NumL]],T_suiviDi[#Data],COLUMN(T_suiviDi[[#This Row],[Service ]]),FALSE)="","",VLOOKUP(T_BilanSocial[[#This Row],[NumL]],T_suiviDi[#Data],COLUMN(T_suiviDi[[#This Row],[Service ]]),FALSE))</f>
        <v>#VALUE!</v>
      </c>
      <c r="T213" s="164" t="str">
        <f t="shared" si="36"/>
        <v>01 septembre 2021</v>
      </c>
      <c r="U213" s="164" t="str">
        <f t="shared" si="37"/>
        <v>30 novembre 2021</v>
      </c>
      <c r="V213" s="164" t="str">
        <f t="shared" si="42"/>
        <v>30 novembre 2021</v>
      </c>
      <c r="W213" s="176" t="e">
        <f>IF(VLOOKUP(T_BilanSocial[[#This Row],[NumL]],T_TraitDi[#Data],COLUMN(T_TraitDi[[#This Row],[M1]]),FALSE)="","",VLOOKUP(T_BilanSocial[[#This Row],[NumL]],T_TraitDi[#Data],COLUMN(T_TraitDi[[#This Row],[M1]]),FALSE))</f>
        <v>#VALUE!</v>
      </c>
      <c r="X213" s="176" t="e">
        <f>IF(VLOOKUP(T_BilanSocial[[#This Row],[NumL]],T_TraitDi[#Data],COLUMN(T_TraitDi[[#This Row],[M2]]),FALSE)="","",VLOOKUP(T_BilanSocial[[#This Row],[NumL]],T_TraitDi[#Data],COLUMN(T_TraitDi[[#This Row],[M2]]),FALSE))</f>
        <v>#VALUE!</v>
      </c>
      <c r="Y213" s="176" t="e">
        <f>IF(VLOOKUP(T_BilanSocial[[#This Row],[NumL]],T_TraitDi[#Data],COLUMN(T_TraitDi[[#This Row],[M3]]),FALSE)="","",VLOOKUP(T_BilanSocial[[#This Row],[NumL]],T_TraitDi[#Data],COLUMN(T_TraitDi[[#This Row],[M3]]),FALSE))</f>
        <v>#VALUE!</v>
      </c>
      <c r="Z213" s="176" t="str">
        <f t="shared" si="39"/>
        <v/>
      </c>
      <c r="AA213" s="176" t="e">
        <f>IF(VLOOKUP(T_BilanSocial[[#This Row],[NumL]],T_TraitDi[#Data],COLUMN(T_TraitDi[[#This Row],[M5]]),FALSE)="","",VLOOKUP(T_BilanSocial[[#This Row],[NumL]],T_TraitDi[#Data],COLUMN(T_TraitDi[[#This Row],[M5]]),FALSE))</f>
        <v>#VALUE!</v>
      </c>
      <c r="AB213" s="176" t="e">
        <f>IF(VLOOKUP(T_BilanSocial[[#This Row],[NumL]],T_TraitDi[#Data],COLUMN(T_TraitDi[[#This Row],[M6]]),FALSE)="","",VLOOKUP(T_BilanSocial[[#This Row],[NumL]],T_TraitDi[#Data],COLUMN(T_TraitDi[[#This Row],[M6]]),FALSE))</f>
        <v>#VALUE!</v>
      </c>
      <c r="AC213" s="165" t="e">
        <f t="shared" si="38"/>
        <v>#VALUE!</v>
      </c>
      <c r="AD213" s="188" t="str">
        <f>IFERROR(TEXT(VLOOKUP(T_BilanSocial[[#This Row],[NumL]],T_TraitDi[#Data],COLUMN(T_TraitDi[[#This Row],[Q2]]),FALSE),"###%"),"")</f>
        <v/>
      </c>
      <c r="AE213" s="97" t="e">
        <f>VLOOKUP(T_BilanSocial[[#This Row],[NumL]],T_TraitDi[#Data],COLUMN(T_TraitDi[[#This Row],[Reg Ponct]]),FALSE)</f>
        <v>#VALUE!</v>
      </c>
      <c r="AF213" s="97" t="e">
        <f>VLOOKUP(T_BilanSocial[NumL],T_TraitDi[#Data],COLUMN(T_TraitDi[[#This Row],[Jours flottants]]),FALSE)</f>
        <v>#VALUE!</v>
      </c>
      <c r="AG213" s="97" t="str">
        <f>IFERROR(VLOOKUP(T_BilanSocial[[#This Row],[NumL]],T_TraitDi[#Data],COLUMN(T_TraitDi[[#This Row],[Lundi]]),FALSE),"")</f>
        <v/>
      </c>
      <c r="AH213" s="172" t="e">
        <f>IF(VLOOKUP(T_BilanSocial[[#This Row],[NumL]],T_TraitDi[#Data],COLUMN(T_TraitDi[[#This Row],[Colonne3]]),FALSE)=0,"",TEXT(IFERROR(VLOOKUP(T_BilanSocial[[#This Row],[NumL]],T_TraitDi[#Data],COLUMN(T_TraitDi[[#This Row],[Colonne3]]),FALSE),""),"[hh]:mm"))</f>
        <v>#VALUE!</v>
      </c>
      <c r="AI213" s="172" t="e">
        <f>IF(VLOOKUP(T_BilanSocial[[#This Row],[NumL]],T_TraitDi[#Data],COLUMN(T_TraitDi[[#This Row],[Colonne4]]),FALSE)=0,"",TEXT(IFERROR(VLOOKUP(T_BilanSocial[[#This Row],[NumL]],T_TraitDi[#Data],COLUMN(T_TraitDi[[#This Row],[Colonne4]]),FALSE),""),"[hh]:mm"))</f>
        <v>#VALUE!</v>
      </c>
      <c r="AJ213" s="172" t="e">
        <f>IF(VLOOKUP(T_BilanSocial[[#This Row],[NumL]],T_TraitDi[#Data],COLUMN(T_TraitDi[[#This Row],[Colonne5]]),FALSE)=0,"",TEXT(IFERROR(VLOOKUP(T_BilanSocial[[#This Row],[NumL]],T_TraitDi[#Data],COLUMN(T_TraitDi[[#This Row],[Colonne5]]),FALSE),""),"[hh]:mm"))</f>
        <v>#VALUE!</v>
      </c>
      <c r="AK213" s="172" t="e">
        <f>IF(VLOOKUP(T_BilanSocial[[#This Row],[NumL]],T_TraitDi[#Data],COLUMN(T_TraitDi[[#This Row],[Colonne6]]),FALSE)=0,"",TEXT(IFERROR(VLOOKUP(T_BilanSocial[[#This Row],[NumL]],T_TraitDi[#Data],COLUMN(T_TraitDi[[#This Row],[Colonne6]]),FALSE),""),"[hh]:mm"))</f>
        <v>#VALUE!</v>
      </c>
      <c r="AL213" s="172" t="e">
        <f>IF(VLOOKUP(T_BilanSocial[[#This Row],[NumL]],T_TraitDi[#Data],COLUMN(T_TraitDi[[#This Row],[Colonne7]]),FALSE)=0,"",TEXT(IFERROR(VLOOKUP(T_BilanSocial[[#This Row],[NumL]],T_TraitDi[#Data],COLUMN(T_TraitDi[[#This Row],[Colonne7]]),FALSE),""),"[hh]:mm"))</f>
        <v>#VALUE!</v>
      </c>
      <c r="AM213" s="172" t="e">
        <f>IF(VLOOKUP(T_BilanSocial[[#This Row],[NumL]],T_TraitDi[#Data],COLUMN(T_TraitDi[[#This Row],[Colonne8]]),FALSE)=0,"",TEXT(IFERROR(VLOOKUP(T_BilanSocial[[#This Row],[NumL]],T_TraitDi[#Data],COLUMN(T_TraitDi[[#This Row],[Colonne8]]),FALSE),""),"[hh]:mm"))</f>
        <v>#VALUE!</v>
      </c>
      <c r="AN213" s="172" t="str">
        <f>IFERROR(VLOOKUP(T_BilanSocial[[#This Row],[NumL]],T_TraitDi[#Data],COLUMN(T_TraitDi[[#This Row],[Mardi]]),FALSE),"")</f>
        <v/>
      </c>
      <c r="AO213" s="172" t="e">
        <f>IF(VLOOKUP(T_BilanSocial[[#This Row],[NumL]],T_TraitDi[#Data],COLUMN(T_TraitDi[[#This Row],[Colonne1]]),FALSE)=0,"",TEXT(IFERROR(VLOOKUP(T_BilanSocial[[#This Row],[NumL]],T_TraitDi[#Data],COLUMN(T_TraitDi[[#This Row],[Colonne1]]),FALSE),""),"[hh]:mm"))</f>
        <v>#VALUE!</v>
      </c>
      <c r="AP213" s="172" t="e">
        <f>IF(VLOOKUP(T_BilanSocial[[#This Row],[NumL]],T_TraitDi[#Data],COLUMN(T_TraitDi[[#This Row],[Colonne9]]),FALSE)=0,"",TEXT(IFERROR(VLOOKUP(T_BilanSocial[[#This Row],[NumL]],T_TraitDi[#Data],COLUMN(T_TraitDi[[#This Row],[Colonne9]]),FALSE),""),"[hh]:mm"))</f>
        <v>#VALUE!</v>
      </c>
      <c r="AQ213" s="172" t="str">
        <f>IFERROR(VLOOKUP(T_BilanSocial[[#This Row],[NumL]],T_TraitDi[#Data],COLUMN(T_TraitDi[[#This Row],[Colonne10]]),FALSE),"")</f>
        <v/>
      </c>
      <c r="AR213" s="172" t="e">
        <f>IF(VLOOKUP(T_BilanSocial[[#This Row],[NumL]],T_TraitDi[#Data],COLUMN(T_TraitDi[[#This Row],[Colonne11]]),FALSE)=0,"",TEXT(IFERROR(VLOOKUP(T_BilanSocial[[#This Row],[NumL]],T_TraitDi[#Data],COLUMN(T_TraitDi[[#This Row],[Colonne11]]),FALSE),""),"[hh]:mm"))</f>
        <v>#VALUE!</v>
      </c>
      <c r="AS213" s="172" t="e">
        <f>IF(VLOOKUP(T_BilanSocial[[#This Row],[NumL]],T_TraitDi[#Data],COLUMN(T_TraitDi[[#This Row],[Colonne12]]),FALSE)=0,"",TEXT(IFERROR(VLOOKUP(T_BilanSocial[[#This Row],[NumL]],T_TraitDi[#Data],COLUMN(T_TraitDi[[#This Row],[Colonne12]]),FALSE),""),"[hh]:mm"))</f>
        <v>#VALUE!</v>
      </c>
      <c r="AT213" s="172" t="e">
        <f>IF(VLOOKUP(T_BilanSocial[[#This Row],[NumL]],T_TraitDi[#Data],COLUMN(T_TraitDi[[#This Row],[Colonne14]]),FALSE)=0,"",TEXT(IFERROR(VLOOKUP(T_BilanSocial[[#This Row],[NumL]],T_TraitDi[#Data],COLUMN(T_TraitDi[[#This Row],[Colonne14]]),FALSE),""),"[hh]:mm"))</f>
        <v>#VALUE!</v>
      </c>
      <c r="AU213" s="172" t="str">
        <f>IFERROR(VLOOKUP(T_BilanSocial[[#This Row],[NumL]],T_TraitDi[#Data],COLUMN(T_TraitDi[[#This Row],[Mercredi]]),FALSE),"")</f>
        <v/>
      </c>
      <c r="AV213" s="172" t="e">
        <f>IF(VLOOKUP(T_BilanSocial[[#This Row],[NumL]],T_TraitDi[#Data],COLUMN(T_TraitDi[[#This Row],[Colonne15]]),FALSE)=0,"",TEXT(IFERROR(VLOOKUP(T_BilanSocial[[#This Row],[NumL]],T_TraitDi[#Data],COLUMN(T_TraitDi[[#This Row],[Colonne15]]),FALSE),""),"[hh]:mm"))</f>
        <v>#VALUE!</v>
      </c>
      <c r="AW213" s="172" t="e">
        <f>IF(VLOOKUP(T_BilanSocial[[#This Row],[NumL]],T_TraitDi[#Data],COLUMN(T_TraitDi[[#This Row],[Colonne16]]),FALSE)=0,"",TEXT(IFERROR(VLOOKUP(T_BilanSocial[[#This Row],[NumL]],T_TraitDi[#Data],COLUMN(T_TraitDi[[#This Row],[Colonne16]]),FALSE),""),"[hh]:mm"))</f>
        <v>#VALUE!</v>
      </c>
      <c r="AX213" s="172" t="str">
        <f>IFERROR(VLOOKUP(T_BilanSocial[[#This Row],[NumL]],T_TraitDi[#Data],COLUMN(T_TraitDi[[#This Row],[Colonne17]]),FALSE),"")</f>
        <v/>
      </c>
      <c r="AY213" s="172" t="e">
        <f>IF(VLOOKUP(T_BilanSocial[[#This Row],[NumL]],T_TraitDi[#Data],COLUMN(T_TraitDi[[#This Row],[Colonne18]]),FALSE)=0,"",TEXT(IFERROR(VLOOKUP(T_BilanSocial[[#This Row],[NumL]],T_TraitDi[#Data],COLUMN(T_TraitDi[[#This Row],[Colonne18]]),FALSE),""),"[hh]:mm"))</f>
        <v>#VALUE!</v>
      </c>
      <c r="AZ213" s="172" t="e">
        <f>IF(VLOOKUP(T_BilanSocial[[#This Row],[NumL]],T_TraitDi[#Data],COLUMN(T_TraitDi[[#This Row],[Colonne19]]),FALSE)=0,"",TEXT(IFERROR(VLOOKUP(T_BilanSocial[[#This Row],[NumL]],T_TraitDi[#Data],COLUMN(T_TraitDi[[#This Row],[Colonne19]]),FALSE),""),"[hh]:mm"))</f>
        <v>#VALUE!</v>
      </c>
      <c r="BA213" s="172" t="e">
        <f>IF(VLOOKUP(T_BilanSocial[[#This Row],[NumL]],T_TraitDi[#Data],COLUMN(T_TraitDi[[#This Row],[Colonne20]]),FALSE)=0,"",TEXT(IFERROR(VLOOKUP(T_BilanSocial[[#This Row],[NumL]],T_TraitDi[#Data],COLUMN(T_TraitDi[[#This Row],[Colonne20]]),FALSE),""),"[hh]:mm"))</f>
        <v>#VALUE!</v>
      </c>
      <c r="BB213" s="178" t="str">
        <f>IFERROR(VLOOKUP(T_BilanSocial[[#This Row],[NumL]],T_TraitDi[#Data],COLUMN(T_TraitDi[[#This Row],[Jeudi]]),FALSE),"")</f>
        <v/>
      </c>
      <c r="BC213" s="178" t="e">
        <f>IF(VLOOKUP(T_BilanSocial[[#This Row],[NumL]],T_TraitDi[#Data],COLUMN(T_TraitDi[[#This Row],[Colonne21]]),FALSE)=0,"",TEXT(IFERROR(VLOOKUP(T_BilanSocial[[#This Row],[NumL]],T_TraitDi[#Data],COLUMN(T_TraitDi[[#This Row],[Colonne21]]),FALSE),""),"[hh]:mm"))</f>
        <v>#VALUE!</v>
      </c>
      <c r="BD213" s="178" t="e">
        <f>IF(VLOOKUP(T_BilanSocial[[#This Row],[NumL]],T_TraitDi[#Data],COLUMN(T_TraitDi[[#This Row],[Colonne22]]),FALSE)=0,"",TEXT(IFERROR(VLOOKUP(T_BilanSocial[[#This Row],[NumL]],T_TraitDi[#Data],COLUMN(T_TraitDi[[#This Row],[Colonne22]]),FALSE),""),"[hh]:mm"))</f>
        <v>#VALUE!</v>
      </c>
      <c r="BE213" s="178" t="str">
        <f>IFERROR(VLOOKUP(T_BilanSocial[[#This Row],[NumL]],T_TraitDi[#Data],COLUMN(T_TraitDi[[#This Row],[Colonne23]]),FALSE),"")</f>
        <v/>
      </c>
      <c r="BF213" s="178" t="e">
        <f>IF(VLOOKUP(T_BilanSocial[[#This Row],[NumL]],T_TraitDi[#Data],COLUMN(T_TraitDi[[#This Row],[Colonne24]]),FALSE)=0,"",TEXT(IFERROR(VLOOKUP(T_BilanSocial[[#This Row],[NumL]],T_TraitDi[#Data],COLUMN(T_TraitDi[[#This Row],[Colonne24]]),FALSE),""),"[hh]:mm"))</f>
        <v>#VALUE!</v>
      </c>
      <c r="BG213" s="178" t="e">
        <f>IF(VLOOKUP(T_BilanSocial[[#This Row],[NumL]],T_TraitDi[#Data],COLUMN(T_TraitDi[[#This Row],[Colonne25]]),FALSE)=0,"",TEXT(IFERROR(VLOOKUP(T_BilanSocial[[#This Row],[NumL]],T_TraitDi[#Data],COLUMN(T_TraitDi[[#This Row],[Colonne25]]),FALSE),""),"[hh]:mm"))</f>
        <v>#VALUE!</v>
      </c>
      <c r="BH213" s="178" t="e">
        <f>IF(VLOOKUP(T_BilanSocial[[#This Row],[NumL]],T_TraitDi[#Data],COLUMN(T_TraitDi[[#This Row],[Colonne26]]),FALSE)=0,"",TEXT(IFERROR(VLOOKUP(T_BilanSocial[[#This Row],[NumL]],T_TraitDi[#Data],COLUMN(T_TraitDi[[#This Row],[Colonne26]]),FALSE),""),"[hh]:mm"))</f>
        <v>#VALUE!</v>
      </c>
      <c r="BI213" s="172" t="str">
        <f>IFERROR(VLOOKUP(T_BilanSocial[[#This Row],[NumL]],T_TraitDi[#Data],COLUMN(T_TraitDi[[#This Row],[Vendredi]]),FALSE),"")</f>
        <v/>
      </c>
      <c r="BJ213" s="172" t="e">
        <f>IF(VLOOKUP(T_BilanSocial[[#This Row],[NumL]],T_TraitDi[#Data],COLUMN(T_TraitDi[[#This Row],[Colonne27]]),FALSE)=0,"",TEXT(IFERROR(VLOOKUP(T_BilanSocial[[#This Row],[NumL]],T_TraitDi[#Data],COLUMN(T_TraitDi[[#This Row],[Colonne27]]),FALSE),""),"[hh]:mm"))</f>
        <v>#VALUE!</v>
      </c>
      <c r="BK213" s="172" t="e">
        <f>IF(VLOOKUP(T_BilanSocial[[#This Row],[NumL]],T_TraitDi[#Data],COLUMN(T_TraitDi[[#This Row],[Colonne28]]),FALSE)=0,"",TEXT(IFERROR(VLOOKUP(T_BilanSocial[[#This Row],[NumL]],T_TraitDi[#Data],COLUMN(T_TraitDi[[#This Row],[Colonne28]]),FALSE),""),"[hh]:mm"))</f>
        <v>#VALUE!</v>
      </c>
      <c r="BL213" s="172" t="str">
        <f>IFERROR(VLOOKUP(T_BilanSocial[[#This Row],[NumL]],T_TraitDi[#Data],COLUMN(T_TraitDi[[#This Row],[Colonne29]]),FALSE),"")</f>
        <v/>
      </c>
      <c r="BM213" s="172" t="e">
        <f>IF(VLOOKUP(T_BilanSocial[[#This Row],[NumL]],T_TraitDi[#Data],COLUMN(T_TraitDi[[#This Row],[Colonne30]]),FALSE)=0,"",TEXT(IFERROR(VLOOKUP(T_BilanSocial[[#This Row],[NumL]],T_TraitDi[#Data],COLUMN(T_TraitDi[[#This Row],[Colonne30]]),FALSE),""),"[hh]:mm"))</f>
        <v>#VALUE!</v>
      </c>
      <c r="BN213" s="172" t="e">
        <f>IF(VLOOKUP(T_BilanSocial[[#This Row],[NumL]],T_TraitDi[#Data],COLUMN(T_TraitDi[[#This Row],[Colonne31]]),FALSE)=0,"",TEXT(IFERROR(VLOOKUP(T_BilanSocial[[#This Row],[NumL]],T_TraitDi[#Data],COLUMN(T_TraitDi[[#This Row],[Colonne31]]),FALSE),""),"[hh]:mm"))</f>
        <v>#VALUE!</v>
      </c>
      <c r="BO213" s="172" t="e">
        <f>IF(VLOOKUP(T_BilanSocial[[#This Row],[NumL]],T_TraitDi[#Data],COLUMN(T_TraitDi[[#This Row],[Colonne32]]),FALSE)=0,"",TEXT(IFERROR(VLOOKUP(T_BilanSocial[[#This Row],[NumL]],T_TraitDi[#Data],COLUMN(T_TraitDi[[#This Row],[Colonne32]]),FALSE),""),"[hh]:mm"))</f>
        <v>#VALUE!</v>
      </c>
      <c r="BP213" s="172" t="e">
        <f>VLOOKUP(T_BilanSocial[[#This Row],[NumL]],T_TraitDi[#Data],COLUMN(T_TraitDi[NbJTot]),FALSE)</f>
        <v>#N/A</v>
      </c>
      <c r="BQ213" s="174" t="str">
        <f>IFERROR(VLOOKUP(T_BilanSocial[[#This Row],[NumL]],T_TraitDi[#Data],COLUMN(T_TraitDi[[#This Row],[NbJTW]]),FALSE),"")</f>
        <v/>
      </c>
      <c r="BR213" s="174" t="e">
        <f>IF(VLOOKUP(T_BilanSocial[[#This Row],[NumL]],T_TraitDi[#Data],COLUMN(T_TraitDi[[#This Row],[NbhTW]]),FALSE)=0,"",TEXT(IFERROR(VLOOKUP(T_BilanSocial[[#This Row],[NumL]],T_TraitDi[#Data],COLUMN(T_TraitDi[[#This Row],[NbhTW]]),FALSE),""),"[hh]:mm"))</f>
        <v>#VALUE!</v>
      </c>
      <c r="BS213" s="174" t="e">
        <f>IF(VLOOKUP(T_BilanSocial[[#This Row],[NumL]],T_TraitDi[#Data],COLUMN(T_TraitDi[[#This Row],[Nbhheb]]),FALSE)=0,"",TEXT(IFERROR(VLOOKUP($A213,T_TraitDi[#Data],COLUMN(T_TraitDi[[#This Row],[Nbhheb]]),FALSE),""),"[hh]:mm"))</f>
        <v>#VALUE!</v>
      </c>
      <c r="BT213" s="182" t="str">
        <f>IFERROR(VLOOKUP(VLOOKUP($A213,T_TraitDi[#Data],COLUMN(T_TraitDi[[#This Row],[Type1]]),FALSE),TypeTW,2,FALSE),"")</f>
        <v/>
      </c>
      <c r="BU213" s="182" t="str">
        <f>IFERROR(VLOOKUP($A213,T_TraitDi[#Data],COLUMN(T_TraitDi[[#This Row],[Rue1]]),FALSE),"")</f>
        <v/>
      </c>
      <c r="BV213" s="173" t="str">
        <f>IFERROR(VLOOKUP($A213,T_TraitDi[#Data],COLUMN(T_TraitDi[[#This Row],[CP1]]),FALSE),"")</f>
        <v/>
      </c>
      <c r="BW213" s="173" t="str">
        <f>IFERROR(VLOOKUP($A213,T_TraitDi[#Data],COLUMN(T_TraitDi[[#This Row],[VILLE1]]),FALSE),"")</f>
        <v/>
      </c>
      <c r="BX213" s="182" t="str">
        <f>IFERROR(VLOOKUP(VLOOKUP($A213,T_TraitDi[#Data],COLUMN(T_TraitDi[[#This Row],[Type2]]),FALSE),TypeTW,2,FALSE),"")</f>
        <v/>
      </c>
      <c r="BY213" s="182" t="str">
        <f>IFERROR(VLOOKUP($A213,T_TraitDi[#Data],COLUMN(T_TraitDi[[#This Row],[Rue2]]),FALSE),"")</f>
        <v/>
      </c>
      <c r="BZ213" s="173" t="str">
        <f>IFERROR(VLOOKUP($A213,T_TraitDi[#Data],COLUMN(T_TraitDi[[#This Row],[CP2]]),FALSE),"")</f>
        <v/>
      </c>
      <c r="CA213" s="173" t="str">
        <f>IFERROR(VLOOKUP($A213,T_TraitDi[#Data],COLUMN(T_TraitDi[[#This Row],[VILLE2]]),FALSE),"")</f>
        <v/>
      </c>
      <c r="CB213" s="182" t="str">
        <f>IF(VLOOKUP(T_BilanSocial[[#This Row],[NumL]],T_Equipement[#Data],COLUMN(T_Equipement[[#This Row],[PC]]),FALSE)="","Aucun équipement spécifique directement lié au télétravail",VLOOKUP(T_BilanSocial[[#This Row],[NumL]],T_Equipement[#Data],COLUMN(T_Equipement[[#This Row],[PC]]),FALSE))</f>
        <v>15-150</v>
      </c>
      <c r="CC213" s="166" t="str">
        <f>IFERROR(IF(VLOOKUP(T_BilanSocial[[#This Row],[NumL]],T_TraitDi[#Data],COLUMN(T_TraitDi[[#This Row],[Plan]]),FALSE)="OK","Un planning spécifique de télétravail est annexé à la présente convention.",""),"")</f>
        <v/>
      </c>
      <c r="CD213" s="258" t="s">
        <v>3323</v>
      </c>
      <c r="CE213" s="164" t="e">
        <f>IF(VLOOKUP(T_BilanSocial[[#This Row],[NumL]],T_suiviDi[#Data],COLUMN(T_suiviDi[[#This Row],[Entité]]),FALSE)="","",VLOOKUP(T_BilanSocial[[#This Row],[NumL]],T_suiviDi[#Data],COLUMN(T_suiviDi[[#This Row],[Entité]]),FALSE))</f>
        <v>#VALUE!</v>
      </c>
      <c r="CF213" s="164" t="str">
        <f>IF(VLOOKUP(T_BilanSocial[[#This Row],[NumL]],T_Commission[#Data],COLUMN(T_Commission[[#This Row],[envoi confirm TW]]),FALSE)="","",VLOOKUP(T_BilanSocial[[#This Row],[NumL]],T_Commission[#Data],COLUMN(T_Commission[[#This Row],[envoi confirm TW]]),FALSE))</f>
        <v>Oui</v>
      </c>
      <c r="CG21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3" s="262" t="str">
        <f>T_BilanSocial[[#This Row],[Nom]]&amp;T_BilanSocial[[#This Row],[Prenom]]</f>
        <v/>
      </c>
      <c r="CI213" s="262">
        <f>VLOOKUP(T_BilanSocial[[#This Row],[NumL]],T_Commission[#Data],COLUMN(T_Commission[Commentaire]),FALSE)</f>
        <v>0</v>
      </c>
      <c r="CJ213" s="262" t="str">
        <f>IF(VLOOKUP(T_BilanSocial[[#This Row],[NumL]],T_Commission[#Data],COLUMN(T_Commission[Encadrant Email]),FALSE)="","",VLOOKUP(T_BilanSocial[[#This Row],[NumL]],T_Commission[#Data],COLUMN(T_Commission[Encadrant Email]),FALSE))</f>
        <v/>
      </c>
      <c r="CK213" s="340" t="str">
        <f>IF(T_BilanSocial[[#This Row],[Final]]&lt;&gt;"",VLOOKUP(T_BilanSocial[[#This Row],[NumL]],T_suiviDi[#Data],COLUMN((T_suiviDi[Statut])),FALSE),"")</f>
        <v/>
      </c>
    </row>
    <row r="214" spans="1:89" s="106" customFormat="1" ht="24.75" customHeight="1" x14ac:dyDescent="0.25">
      <c r="A214" s="160">
        <v>211</v>
      </c>
      <c r="B214" s="161" t="str">
        <f t="shared" si="34"/>
        <v/>
      </c>
      <c r="C214" s="162" t="s">
        <v>173</v>
      </c>
      <c r="D214" s="95" t="e">
        <f>IF(VLOOKUP(T_BilanSocial[[#This Row],[NumL]],T_TraitDi[#Data],COLUMN(T_TraitDi[[#This Row],[WebC]]),FALSE)="","",VLOOKUP(T_BilanSocial[[#This Row],[NumL]],T_TraitDi[#Data],COLUMN(T_TraitDi[[#This Row],[WebC]]),FALSE))</f>
        <v>#VALUE!</v>
      </c>
      <c r="E214" s="163" t="str">
        <f t="shared" si="35"/>
        <v>12 janvier 2021</v>
      </c>
      <c r="F214" s="96" t="str">
        <f>IF(T_BilanSocial[[#This Row],[Final]]&lt;&gt;"",VLOOKUP(T_BilanSocial[[#This Row],[NumL]],T_suiviDi[#Data],COLUMN((T_suiviDi[Civ.])),FALSE),"")</f>
        <v/>
      </c>
      <c r="G214" s="96" t="str">
        <f>IF(T_BilanSocial[[#This Row],[Final]]&lt;&gt;"",VLOOKUP(T_BilanSocial[[#This Row],[NumL]],T_suiviDi[#Data],COLUMN((T_suiviDi[Nom])),FALSE),"")</f>
        <v/>
      </c>
      <c r="H214" s="96" t="str">
        <f>IF(T_BilanSocial[[#This Row],[Final]]&lt;&gt;"",VLOOKUP(T_BilanSocial[[#This Row],[NumL]],T_suiviDi[#Data],COLUMN((T_suiviDi[Prénom])),FALSE),"")</f>
        <v/>
      </c>
      <c r="I214" s="96" t="str">
        <f>IFERROR(VLOOKUP(T_BilanSocial[[#This Row],[Zone_Bilan]],T_P_BilanSocial[#Data],COLUMN(T_P_BilanSocial[[#This Row],[Numero_SIHAM]]),FALSE),"")</f>
        <v/>
      </c>
      <c r="J214" s="96" t="str">
        <f>IFERROR(VLOOKUP(T_BilanSocial[[#This Row],[Zone_Bilan]],T_P_BilanSocial[#Data],COLUMN(T_P_BilanSocial[[#This Row],[Sexe]]),FALSE),"")</f>
        <v/>
      </c>
      <c r="K214" s="97" t="str">
        <f>IFERROR(VLOOKUP(T_BilanSocial[[#This Row],[Zone_Bilan]],T_P_BilanSocial[#Data],COLUMN(T_P_BilanSocial[[#This Row],[Categorie]]),FALSE),"")</f>
        <v/>
      </c>
      <c r="L214" s="96" t="str">
        <f>IFERROR(VLOOKUP(T_BilanSocial[[#This Row],[Zone_Bilan]],T_P_BilanSocial[#Data],COLUMN(T_P_BilanSocial[[#This Row],[Statut]]),FALSE),"")</f>
        <v/>
      </c>
      <c r="M214" s="96" t="str">
        <f>IFERROR(VLOOKUP(T_BilanSocial[[#This Row],[Zone_Bilan]],T_P_BilanSocial[#Data],COLUMN(T_P_BilanSocial[[#This Row],[Filiere]]),FALSE),"")</f>
        <v/>
      </c>
      <c r="N214" s="96" t="e">
        <f>VLOOKUP(T_BilanSocial[[#This Row],[NumL]],T_TraitDi[#Data],COLUMN(T_TraitDi[EXP]),FALSE)</f>
        <v>#N/A</v>
      </c>
      <c r="O214" s="96" t="e">
        <f>VLOOKUP(T_BilanSocial[[#This Row],[NumL]],T_TraitDi[#Data],COLUMN(T_TraitDi[FORM]),FALSE)</f>
        <v>#N/A</v>
      </c>
      <c r="P214" s="96" t="str">
        <f>IF(T_BilanSocial[[#This Row],[Final]]&lt;&gt;"",VLOOKUP(T_BilanSocial[[#This Row],[NumL]],T_suiviDi[#Data],COLUMN((T_suiviDi[Email])),FALSE),"")</f>
        <v/>
      </c>
      <c r="Q214" s="164" t="e">
        <f t="shared" si="40"/>
        <v>#N/A</v>
      </c>
      <c r="R214" s="164" t="e">
        <f t="shared" si="41"/>
        <v>#N/A</v>
      </c>
      <c r="S214" s="164" t="e">
        <f>IF(VLOOKUP(T_BilanSocial[[#This Row],[NumL]],T_suiviDi[#Data],COLUMN(T_suiviDi[[#This Row],[Service ]]),FALSE)="","",VLOOKUP(T_BilanSocial[[#This Row],[NumL]],T_suiviDi[#Data],COLUMN(T_suiviDi[[#This Row],[Service ]]),FALSE))</f>
        <v>#VALUE!</v>
      </c>
      <c r="T214" s="164" t="str">
        <f t="shared" si="36"/>
        <v>01 septembre 2021</v>
      </c>
      <c r="U214" s="164" t="str">
        <f t="shared" si="37"/>
        <v>30 novembre 2021</v>
      </c>
      <c r="V214" s="164" t="str">
        <f t="shared" si="42"/>
        <v>30 novembre 2021</v>
      </c>
      <c r="W214" s="176" t="e">
        <f>IF(VLOOKUP(T_BilanSocial[[#This Row],[NumL]],T_TraitDi[#Data],COLUMN(T_TraitDi[[#This Row],[M1]]),FALSE)="","",VLOOKUP(T_BilanSocial[[#This Row],[NumL]],T_TraitDi[#Data],COLUMN(T_TraitDi[[#This Row],[M1]]),FALSE))</f>
        <v>#VALUE!</v>
      </c>
      <c r="X214" s="176" t="e">
        <f>IF(VLOOKUP(T_BilanSocial[[#This Row],[NumL]],T_TraitDi[#Data],COLUMN(T_TraitDi[[#This Row],[M2]]),FALSE)="","",VLOOKUP(T_BilanSocial[[#This Row],[NumL]],T_TraitDi[#Data],COLUMN(T_TraitDi[[#This Row],[M2]]),FALSE))</f>
        <v>#VALUE!</v>
      </c>
      <c r="Y214" s="176" t="e">
        <f>IF(VLOOKUP(T_BilanSocial[[#This Row],[NumL]],T_TraitDi[#Data],COLUMN(T_TraitDi[[#This Row],[M3]]),FALSE)="","",VLOOKUP(T_BilanSocial[[#This Row],[NumL]],T_TraitDi[#Data],COLUMN(T_TraitDi[[#This Row],[M3]]),FALSE))</f>
        <v>#VALUE!</v>
      </c>
      <c r="Z214" s="176" t="str">
        <f t="shared" si="39"/>
        <v/>
      </c>
      <c r="AA214" s="176" t="e">
        <f>IF(VLOOKUP(T_BilanSocial[[#This Row],[NumL]],T_TraitDi[#Data],COLUMN(T_TraitDi[[#This Row],[M5]]),FALSE)="","",VLOOKUP(T_BilanSocial[[#This Row],[NumL]],T_TraitDi[#Data],COLUMN(T_TraitDi[[#This Row],[M5]]),FALSE))</f>
        <v>#VALUE!</v>
      </c>
      <c r="AB214" s="176" t="e">
        <f>IF(VLOOKUP(T_BilanSocial[[#This Row],[NumL]],T_TraitDi[#Data],COLUMN(T_TraitDi[[#This Row],[M6]]),FALSE)="","",VLOOKUP(T_BilanSocial[[#This Row],[NumL]],T_TraitDi[#Data],COLUMN(T_TraitDi[[#This Row],[M6]]),FALSE))</f>
        <v>#VALUE!</v>
      </c>
      <c r="AC214" s="165" t="e">
        <f t="shared" si="38"/>
        <v>#VALUE!</v>
      </c>
      <c r="AD214" s="188" t="str">
        <f>IFERROR(TEXT(VLOOKUP(T_BilanSocial[[#This Row],[NumL]],T_TraitDi[#Data],COLUMN(T_TraitDi[[#This Row],[Q2]]),FALSE),"###%"),"")</f>
        <v/>
      </c>
      <c r="AE214" s="97" t="e">
        <f>VLOOKUP(T_BilanSocial[[#This Row],[NumL]],T_TraitDi[#Data],COLUMN(T_TraitDi[[#This Row],[Reg Ponct]]),FALSE)</f>
        <v>#VALUE!</v>
      </c>
      <c r="AF214" s="97" t="e">
        <f>VLOOKUP(T_BilanSocial[NumL],T_TraitDi[#Data],COLUMN(T_TraitDi[[#This Row],[Jours flottants]]),FALSE)</f>
        <v>#VALUE!</v>
      </c>
      <c r="AG214" s="97" t="str">
        <f>IFERROR(VLOOKUP(T_BilanSocial[[#This Row],[NumL]],T_TraitDi[#Data],COLUMN(T_TraitDi[[#This Row],[Lundi]]),FALSE),"")</f>
        <v/>
      </c>
      <c r="AH214" s="172" t="e">
        <f>IF(VLOOKUP(T_BilanSocial[[#This Row],[NumL]],T_TraitDi[#Data],COLUMN(T_TraitDi[[#This Row],[Colonne3]]),FALSE)=0,"",TEXT(IFERROR(VLOOKUP(T_BilanSocial[[#This Row],[NumL]],T_TraitDi[#Data],COLUMN(T_TraitDi[[#This Row],[Colonne3]]),FALSE),""),"[hh]:mm"))</f>
        <v>#VALUE!</v>
      </c>
      <c r="AI214" s="172" t="e">
        <f>IF(VLOOKUP(T_BilanSocial[[#This Row],[NumL]],T_TraitDi[#Data],COLUMN(T_TraitDi[[#This Row],[Colonne4]]),FALSE)=0,"",TEXT(IFERROR(VLOOKUP(T_BilanSocial[[#This Row],[NumL]],T_TraitDi[#Data],COLUMN(T_TraitDi[[#This Row],[Colonne4]]),FALSE),""),"[hh]:mm"))</f>
        <v>#VALUE!</v>
      </c>
      <c r="AJ214" s="172" t="e">
        <f>IF(VLOOKUP(T_BilanSocial[[#This Row],[NumL]],T_TraitDi[#Data],COLUMN(T_TraitDi[[#This Row],[Colonne5]]),FALSE)=0,"",TEXT(IFERROR(VLOOKUP(T_BilanSocial[[#This Row],[NumL]],T_TraitDi[#Data],COLUMN(T_TraitDi[[#This Row],[Colonne5]]),FALSE),""),"[hh]:mm"))</f>
        <v>#VALUE!</v>
      </c>
      <c r="AK214" s="172" t="e">
        <f>IF(VLOOKUP(T_BilanSocial[[#This Row],[NumL]],T_TraitDi[#Data],COLUMN(T_TraitDi[[#This Row],[Colonne6]]),FALSE)=0,"",TEXT(IFERROR(VLOOKUP(T_BilanSocial[[#This Row],[NumL]],T_TraitDi[#Data],COLUMN(T_TraitDi[[#This Row],[Colonne6]]),FALSE),""),"[hh]:mm"))</f>
        <v>#VALUE!</v>
      </c>
      <c r="AL214" s="172" t="e">
        <f>IF(VLOOKUP(T_BilanSocial[[#This Row],[NumL]],T_TraitDi[#Data],COLUMN(T_TraitDi[[#This Row],[Colonne7]]),FALSE)=0,"",TEXT(IFERROR(VLOOKUP(T_BilanSocial[[#This Row],[NumL]],T_TraitDi[#Data],COLUMN(T_TraitDi[[#This Row],[Colonne7]]),FALSE),""),"[hh]:mm"))</f>
        <v>#VALUE!</v>
      </c>
      <c r="AM214" s="172" t="e">
        <f>IF(VLOOKUP(T_BilanSocial[[#This Row],[NumL]],T_TraitDi[#Data],COLUMN(T_TraitDi[[#This Row],[Colonne8]]),FALSE)=0,"",TEXT(IFERROR(VLOOKUP(T_BilanSocial[[#This Row],[NumL]],T_TraitDi[#Data],COLUMN(T_TraitDi[[#This Row],[Colonne8]]),FALSE),""),"[hh]:mm"))</f>
        <v>#VALUE!</v>
      </c>
      <c r="AN214" s="172" t="str">
        <f>IFERROR(VLOOKUP(T_BilanSocial[[#This Row],[NumL]],T_TraitDi[#Data],COLUMN(T_TraitDi[[#This Row],[Mardi]]),FALSE),"")</f>
        <v/>
      </c>
      <c r="AO214" s="172" t="e">
        <f>IF(VLOOKUP(T_BilanSocial[[#This Row],[NumL]],T_TraitDi[#Data],COLUMN(T_TraitDi[[#This Row],[Colonne1]]),FALSE)=0,"",TEXT(IFERROR(VLOOKUP(T_BilanSocial[[#This Row],[NumL]],T_TraitDi[#Data],COLUMN(T_TraitDi[[#This Row],[Colonne1]]),FALSE),""),"[hh]:mm"))</f>
        <v>#VALUE!</v>
      </c>
      <c r="AP214" s="172" t="e">
        <f>IF(VLOOKUP(T_BilanSocial[[#This Row],[NumL]],T_TraitDi[#Data],COLUMN(T_TraitDi[[#This Row],[Colonne9]]),FALSE)=0,"",TEXT(IFERROR(VLOOKUP(T_BilanSocial[[#This Row],[NumL]],T_TraitDi[#Data],COLUMN(T_TraitDi[[#This Row],[Colonne9]]),FALSE),""),"[hh]:mm"))</f>
        <v>#VALUE!</v>
      </c>
      <c r="AQ214" s="172" t="str">
        <f>IFERROR(VLOOKUP(T_BilanSocial[[#This Row],[NumL]],T_TraitDi[#Data],COLUMN(T_TraitDi[[#This Row],[Colonne10]]),FALSE),"")</f>
        <v/>
      </c>
      <c r="AR214" s="172" t="e">
        <f>IF(VLOOKUP(T_BilanSocial[[#This Row],[NumL]],T_TraitDi[#Data],COLUMN(T_TraitDi[[#This Row],[Colonne11]]),FALSE)=0,"",TEXT(IFERROR(VLOOKUP(T_BilanSocial[[#This Row],[NumL]],T_TraitDi[#Data],COLUMN(T_TraitDi[[#This Row],[Colonne11]]),FALSE),""),"[hh]:mm"))</f>
        <v>#VALUE!</v>
      </c>
      <c r="AS214" s="172" t="e">
        <f>IF(VLOOKUP(T_BilanSocial[[#This Row],[NumL]],T_TraitDi[#Data],COLUMN(T_TraitDi[[#This Row],[Colonne12]]),FALSE)=0,"",TEXT(IFERROR(VLOOKUP(T_BilanSocial[[#This Row],[NumL]],T_TraitDi[#Data],COLUMN(T_TraitDi[[#This Row],[Colonne12]]),FALSE),""),"[hh]:mm"))</f>
        <v>#VALUE!</v>
      </c>
      <c r="AT214" s="172" t="e">
        <f>IF(VLOOKUP(T_BilanSocial[[#This Row],[NumL]],T_TraitDi[#Data],COLUMN(T_TraitDi[[#This Row],[Colonne14]]),FALSE)=0,"",TEXT(IFERROR(VLOOKUP(T_BilanSocial[[#This Row],[NumL]],T_TraitDi[#Data],COLUMN(T_TraitDi[[#This Row],[Colonne14]]),FALSE),""),"[hh]:mm"))</f>
        <v>#VALUE!</v>
      </c>
      <c r="AU214" s="172" t="str">
        <f>IFERROR(VLOOKUP(T_BilanSocial[[#This Row],[NumL]],T_TraitDi[#Data],COLUMN(T_TraitDi[[#This Row],[Mercredi]]),FALSE),"")</f>
        <v/>
      </c>
      <c r="AV214" s="172" t="e">
        <f>IF(VLOOKUP(T_BilanSocial[[#This Row],[NumL]],T_TraitDi[#Data],COLUMN(T_TraitDi[[#This Row],[Colonne15]]),FALSE)=0,"",TEXT(IFERROR(VLOOKUP(T_BilanSocial[[#This Row],[NumL]],T_TraitDi[#Data],COLUMN(T_TraitDi[[#This Row],[Colonne15]]),FALSE),""),"[hh]:mm"))</f>
        <v>#VALUE!</v>
      </c>
      <c r="AW214" s="172" t="e">
        <f>IF(VLOOKUP(T_BilanSocial[[#This Row],[NumL]],T_TraitDi[#Data],COLUMN(T_TraitDi[[#This Row],[Colonne16]]),FALSE)=0,"",TEXT(IFERROR(VLOOKUP(T_BilanSocial[[#This Row],[NumL]],T_TraitDi[#Data],COLUMN(T_TraitDi[[#This Row],[Colonne16]]),FALSE),""),"[hh]:mm"))</f>
        <v>#VALUE!</v>
      </c>
      <c r="AX214" s="172" t="str">
        <f>IFERROR(VLOOKUP(T_BilanSocial[[#This Row],[NumL]],T_TraitDi[#Data],COLUMN(T_TraitDi[[#This Row],[Colonne17]]),FALSE),"")</f>
        <v/>
      </c>
      <c r="AY214" s="172" t="e">
        <f>IF(VLOOKUP(T_BilanSocial[[#This Row],[NumL]],T_TraitDi[#Data],COLUMN(T_TraitDi[[#This Row],[Colonne18]]),FALSE)=0,"",TEXT(IFERROR(VLOOKUP(T_BilanSocial[[#This Row],[NumL]],T_TraitDi[#Data],COLUMN(T_TraitDi[[#This Row],[Colonne18]]),FALSE),""),"[hh]:mm"))</f>
        <v>#VALUE!</v>
      </c>
      <c r="AZ214" s="172" t="e">
        <f>IF(VLOOKUP(T_BilanSocial[[#This Row],[NumL]],T_TraitDi[#Data],COLUMN(T_TraitDi[[#This Row],[Colonne19]]),FALSE)=0,"",TEXT(IFERROR(VLOOKUP(T_BilanSocial[[#This Row],[NumL]],T_TraitDi[#Data],COLUMN(T_TraitDi[[#This Row],[Colonne19]]),FALSE),""),"[hh]:mm"))</f>
        <v>#VALUE!</v>
      </c>
      <c r="BA214" s="172" t="e">
        <f>IF(VLOOKUP(T_BilanSocial[[#This Row],[NumL]],T_TraitDi[#Data],COLUMN(T_TraitDi[[#This Row],[Colonne20]]),FALSE)=0,"",TEXT(IFERROR(VLOOKUP(T_BilanSocial[[#This Row],[NumL]],T_TraitDi[#Data],COLUMN(T_TraitDi[[#This Row],[Colonne20]]),FALSE),""),"[hh]:mm"))</f>
        <v>#VALUE!</v>
      </c>
      <c r="BB214" s="178" t="str">
        <f>IFERROR(VLOOKUP(T_BilanSocial[[#This Row],[NumL]],T_TraitDi[#Data],COLUMN(T_TraitDi[[#This Row],[Jeudi]]),FALSE),"")</f>
        <v/>
      </c>
      <c r="BC214" s="178" t="e">
        <f>IF(VLOOKUP(T_BilanSocial[[#This Row],[NumL]],T_TraitDi[#Data],COLUMN(T_TraitDi[[#This Row],[Colonne21]]),FALSE)=0,"",TEXT(IFERROR(VLOOKUP(T_BilanSocial[[#This Row],[NumL]],T_TraitDi[#Data],COLUMN(T_TraitDi[[#This Row],[Colonne21]]),FALSE),""),"[hh]:mm"))</f>
        <v>#VALUE!</v>
      </c>
      <c r="BD214" s="178" t="e">
        <f>IF(VLOOKUP(T_BilanSocial[[#This Row],[NumL]],T_TraitDi[#Data],COLUMN(T_TraitDi[[#This Row],[Colonne22]]),FALSE)=0,"",TEXT(IFERROR(VLOOKUP(T_BilanSocial[[#This Row],[NumL]],T_TraitDi[#Data],COLUMN(T_TraitDi[[#This Row],[Colonne22]]),FALSE),""),"[hh]:mm"))</f>
        <v>#VALUE!</v>
      </c>
      <c r="BE214" s="178" t="str">
        <f>IFERROR(VLOOKUP(T_BilanSocial[[#This Row],[NumL]],T_TraitDi[#Data],COLUMN(T_TraitDi[[#This Row],[Colonne23]]),FALSE),"")</f>
        <v/>
      </c>
      <c r="BF214" s="178" t="e">
        <f>IF(VLOOKUP(T_BilanSocial[[#This Row],[NumL]],T_TraitDi[#Data],COLUMN(T_TraitDi[[#This Row],[Colonne24]]),FALSE)=0,"",TEXT(IFERROR(VLOOKUP(T_BilanSocial[[#This Row],[NumL]],T_TraitDi[#Data],COLUMN(T_TraitDi[[#This Row],[Colonne24]]),FALSE),""),"[hh]:mm"))</f>
        <v>#VALUE!</v>
      </c>
      <c r="BG214" s="178" t="e">
        <f>IF(VLOOKUP(T_BilanSocial[[#This Row],[NumL]],T_TraitDi[#Data],COLUMN(T_TraitDi[[#This Row],[Colonne25]]),FALSE)=0,"",TEXT(IFERROR(VLOOKUP(T_BilanSocial[[#This Row],[NumL]],T_TraitDi[#Data],COLUMN(T_TraitDi[[#This Row],[Colonne25]]),FALSE),""),"[hh]:mm"))</f>
        <v>#VALUE!</v>
      </c>
      <c r="BH214" s="178" t="e">
        <f>IF(VLOOKUP(T_BilanSocial[[#This Row],[NumL]],T_TraitDi[#Data],COLUMN(T_TraitDi[[#This Row],[Colonne26]]),FALSE)=0,"",TEXT(IFERROR(VLOOKUP(T_BilanSocial[[#This Row],[NumL]],T_TraitDi[#Data],COLUMN(T_TraitDi[[#This Row],[Colonne26]]),FALSE),""),"[hh]:mm"))</f>
        <v>#VALUE!</v>
      </c>
      <c r="BI214" s="172" t="str">
        <f>IFERROR(VLOOKUP(T_BilanSocial[[#This Row],[NumL]],T_TraitDi[#Data],COLUMN(T_TraitDi[[#This Row],[Vendredi]]),FALSE),"")</f>
        <v/>
      </c>
      <c r="BJ214" s="172" t="e">
        <f>IF(VLOOKUP(T_BilanSocial[[#This Row],[NumL]],T_TraitDi[#Data],COLUMN(T_TraitDi[[#This Row],[Colonne27]]),FALSE)=0,"",TEXT(IFERROR(VLOOKUP(T_BilanSocial[[#This Row],[NumL]],T_TraitDi[#Data],COLUMN(T_TraitDi[[#This Row],[Colonne27]]),FALSE),""),"[hh]:mm"))</f>
        <v>#VALUE!</v>
      </c>
      <c r="BK214" s="172" t="e">
        <f>IF(VLOOKUP(T_BilanSocial[[#This Row],[NumL]],T_TraitDi[#Data],COLUMN(T_TraitDi[[#This Row],[Colonne28]]),FALSE)=0,"",TEXT(IFERROR(VLOOKUP(T_BilanSocial[[#This Row],[NumL]],T_TraitDi[#Data],COLUMN(T_TraitDi[[#This Row],[Colonne28]]),FALSE),""),"[hh]:mm"))</f>
        <v>#VALUE!</v>
      </c>
      <c r="BL214" s="172" t="str">
        <f>IFERROR(VLOOKUP(T_BilanSocial[[#This Row],[NumL]],T_TraitDi[#Data],COLUMN(T_TraitDi[[#This Row],[Colonne29]]),FALSE),"")</f>
        <v/>
      </c>
      <c r="BM214" s="172" t="e">
        <f>IF(VLOOKUP(T_BilanSocial[[#This Row],[NumL]],T_TraitDi[#Data],COLUMN(T_TraitDi[[#This Row],[Colonne30]]),FALSE)=0,"",TEXT(IFERROR(VLOOKUP(T_BilanSocial[[#This Row],[NumL]],T_TraitDi[#Data],COLUMN(T_TraitDi[[#This Row],[Colonne30]]),FALSE),""),"[hh]:mm"))</f>
        <v>#VALUE!</v>
      </c>
      <c r="BN214" s="172" t="e">
        <f>IF(VLOOKUP(T_BilanSocial[[#This Row],[NumL]],T_TraitDi[#Data],COLUMN(T_TraitDi[[#This Row],[Colonne31]]),FALSE)=0,"",TEXT(IFERROR(VLOOKUP(T_BilanSocial[[#This Row],[NumL]],T_TraitDi[#Data],COLUMN(T_TraitDi[[#This Row],[Colonne31]]),FALSE),""),"[hh]:mm"))</f>
        <v>#VALUE!</v>
      </c>
      <c r="BO214" s="172" t="e">
        <f>IF(VLOOKUP(T_BilanSocial[[#This Row],[NumL]],T_TraitDi[#Data],COLUMN(T_TraitDi[[#This Row],[Colonne32]]),FALSE)=0,"",TEXT(IFERROR(VLOOKUP(T_BilanSocial[[#This Row],[NumL]],T_TraitDi[#Data],COLUMN(T_TraitDi[[#This Row],[Colonne32]]),FALSE),""),"[hh]:mm"))</f>
        <v>#VALUE!</v>
      </c>
      <c r="BP214" s="172" t="e">
        <f>VLOOKUP(T_BilanSocial[[#This Row],[NumL]],T_TraitDi[#Data],COLUMN(T_TraitDi[NbJTot]),FALSE)</f>
        <v>#N/A</v>
      </c>
      <c r="BQ214" s="174" t="str">
        <f>IFERROR(VLOOKUP(T_BilanSocial[[#This Row],[NumL]],T_TraitDi[#Data],COLUMN(T_TraitDi[[#This Row],[NbJTW]]),FALSE),"")</f>
        <v/>
      </c>
      <c r="BR214" s="174" t="e">
        <f>IF(VLOOKUP(T_BilanSocial[[#This Row],[NumL]],T_TraitDi[#Data],COLUMN(T_TraitDi[[#This Row],[NbhTW]]),FALSE)=0,"",TEXT(IFERROR(VLOOKUP(T_BilanSocial[[#This Row],[NumL]],T_TraitDi[#Data],COLUMN(T_TraitDi[[#This Row],[NbhTW]]),FALSE),""),"[hh]:mm"))</f>
        <v>#VALUE!</v>
      </c>
      <c r="BS214" s="174" t="e">
        <f>IF(VLOOKUP(T_BilanSocial[[#This Row],[NumL]],T_TraitDi[#Data],COLUMN(T_TraitDi[[#This Row],[Nbhheb]]),FALSE)=0,"",TEXT(IFERROR(VLOOKUP($A214,T_TraitDi[#Data],COLUMN(T_TraitDi[[#This Row],[Nbhheb]]),FALSE),""),"[hh]:mm"))</f>
        <v>#VALUE!</v>
      </c>
      <c r="BT214" s="182" t="str">
        <f>IFERROR(VLOOKUP(VLOOKUP($A214,T_TraitDi[#Data],COLUMN(T_TraitDi[[#This Row],[Type1]]),FALSE),TypeTW,2,FALSE),"")</f>
        <v/>
      </c>
      <c r="BU214" s="182" t="str">
        <f>IFERROR(VLOOKUP($A214,T_TraitDi[#Data],COLUMN(T_TraitDi[[#This Row],[Rue1]]),FALSE),"")</f>
        <v/>
      </c>
      <c r="BV214" s="173" t="str">
        <f>IFERROR(VLOOKUP($A214,T_TraitDi[#Data],COLUMN(T_TraitDi[[#This Row],[CP1]]),FALSE),"")</f>
        <v/>
      </c>
      <c r="BW214" s="173" t="str">
        <f>IFERROR(VLOOKUP($A214,T_TraitDi[#Data],COLUMN(T_TraitDi[[#This Row],[VILLE1]]),FALSE),"")</f>
        <v/>
      </c>
      <c r="BX214" s="182" t="str">
        <f>IFERROR(VLOOKUP(VLOOKUP($A214,T_TraitDi[#Data],COLUMN(T_TraitDi[[#This Row],[Type2]]),FALSE),TypeTW,2,FALSE),"")</f>
        <v/>
      </c>
      <c r="BY214" s="182" t="str">
        <f>IFERROR(VLOOKUP($A214,T_TraitDi[#Data],COLUMN(T_TraitDi[[#This Row],[Rue2]]),FALSE),"")</f>
        <v/>
      </c>
      <c r="BZ214" s="173" t="str">
        <f>IFERROR(VLOOKUP($A214,T_TraitDi[#Data],COLUMN(T_TraitDi[[#This Row],[CP2]]),FALSE),"")</f>
        <v/>
      </c>
      <c r="CA214" s="173" t="str">
        <f>IFERROR(VLOOKUP($A214,T_TraitDi[#Data],COLUMN(T_TraitDi[[#This Row],[VILLE2]]),FALSE),"")</f>
        <v/>
      </c>
      <c r="CB214" s="182" t="str">
        <f>IF(VLOOKUP(T_BilanSocial[[#This Row],[NumL]],T_Equipement[#Data],COLUMN(T_Equipement[[#This Row],[PC]]),FALSE)="","Aucun équipement spécifique directement lié au télétravail",VLOOKUP(T_BilanSocial[[#This Row],[NumL]],T_Equipement[#Data],COLUMN(T_Equipement[[#This Row],[PC]]),FALSE))</f>
        <v xml:space="preserve">19-598	</v>
      </c>
      <c r="CC214" s="166" t="str">
        <f>IFERROR(IF(VLOOKUP(T_BilanSocial[[#This Row],[NumL]],T_TraitDi[#Data],COLUMN(T_TraitDi[[#This Row],[Plan]]),FALSE)="OK","Un planning spécifique de télétravail est annexé à la présente convention.",""),"")</f>
        <v/>
      </c>
      <c r="CD214" s="258" t="s">
        <v>3320</v>
      </c>
      <c r="CE214" s="164" t="e">
        <f>IF(VLOOKUP(T_BilanSocial[[#This Row],[NumL]],T_suiviDi[#Data],COLUMN(T_suiviDi[[#This Row],[Entité]]),FALSE)="","",VLOOKUP(T_BilanSocial[[#This Row],[NumL]],T_suiviDi[#Data],COLUMN(T_suiviDi[[#This Row],[Entité]]),FALSE))</f>
        <v>#VALUE!</v>
      </c>
      <c r="CF214" s="164" t="str">
        <f>IF(VLOOKUP(T_BilanSocial[[#This Row],[NumL]],T_Commission[#Data],COLUMN(T_Commission[[#This Row],[envoi confirm TW]]),FALSE)="","",VLOOKUP(T_BilanSocial[[#This Row],[NumL]],T_Commission[#Data],COLUMN(T_Commission[[#This Row],[envoi confirm TW]]),FALSE))</f>
        <v>Oui</v>
      </c>
      <c r="CG21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4" s="262" t="str">
        <f>T_BilanSocial[[#This Row],[Nom]]&amp;T_BilanSocial[[#This Row],[Prenom]]</f>
        <v/>
      </c>
      <c r="CI214" s="262">
        <f>VLOOKUP(T_BilanSocial[[#This Row],[NumL]],T_Commission[#Data],COLUMN(T_Commission[Commentaire]),FALSE)</f>
        <v>0</v>
      </c>
      <c r="CJ214" s="262" t="str">
        <f>IF(VLOOKUP(T_BilanSocial[[#This Row],[NumL]],T_Commission[#Data],COLUMN(T_Commission[Encadrant Email]),FALSE)="","",VLOOKUP(T_BilanSocial[[#This Row],[NumL]],T_Commission[#Data],COLUMN(T_Commission[Encadrant Email]),FALSE))</f>
        <v/>
      </c>
      <c r="CK214" s="340" t="str">
        <f>IF(T_BilanSocial[[#This Row],[Final]]&lt;&gt;"",VLOOKUP(T_BilanSocial[[#This Row],[NumL]],T_suiviDi[#Data],COLUMN((T_suiviDi[Statut])),FALSE),"")</f>
        <v/>
      </c>
    </row>
    <row r="215" spans="1:89" s="106" customFormat="1" ht="24.75" customHeight="1" x14ac:dyDescent="0.25">
      <c r="A215" s="160">
        <v>212</v>
      </c>
      <c r="B215" s="161">
        <f t="shared" si="34"/>
        <v>1</v>
      </c>
      <c r="C215" s="162" t="s">
        <v>3287</v>
      </c>
      <c r="D215" s="95" t="e">
        <f>IF(VLOOKUP(T_BilanSocial[[#This Row],[NumL]],T_TraitDi[#Data],COLUMN(T_TraitDi[[#This Row],[WebC]]),FALSE)="","",VLOOKUP(T_BilanSocial[[#This Row],[NumL]],T_TraitDi[#Data],COLUMN(T_TraitDi[[#This Row],[WebC]]),FALSE))</f>
        <v>#VALUE!</v>
      </c>
      <c r="E215" s="163" t="str">
        <f t="shared" si="35"/>
        <v>12 janvier 2021</v>
      </c>
      <c r="F215" s="96" t="str">
        <f>IF(T_BilanSocial[[#This Row],[Final]]&lt;&gt;"",VLOOKUP(T_BilanSocial[[#This Row],[NumL]],T_suiviDi[#Data],COLUMN((T_suiviDi[Civ.])),FALSE),"")</f>
        <v>Mme</v>
      </c>
      <c r="G215" s="96" t="str">
        <f>IF(T_BilanSocial[[#This Row],[Final]]&lt;&gt;"",VLOOKUP(T_BilanSocial[[#This Row],[NumL]],T_suiviDi[#Data],COLUMN((T_suiviDi[Nom])),FALSE),"")</f>
        <v>A</v>
      </c>
      <c r="H215" s="96" t="str">
        <f>IF(T_BilanSocial[[#This Row],[Final]]&lt;&gt;"",VLOOKUP(T_BilanSocial[[#This Row],[NumL]],T_suiviDi[#Data],COLUMN((T_suiviDi[Prénom])),FALSE),"")</f>
        <v>Audrey</v>
      </c>
      <c r="I215" s="96" t="str">
        <f>IFERROR(VLOOKUP(T_BilanSocial[[#This Row],[Zone_Bilan]],T_P_BilanSocial[#Data],COLUMN(T_P_BilanSocial[[#This Row],[Numero_SIHAM]]),FALSE),"")</f>
        <v/>
      </c>
      <c r="J215" s="96" t="str">
        <f>IFERROR(VLOOKUP(T_BilanSocial[[#This Row],[Zone_Bilan]],T_P_BilanSocial[#Data],COLUMN(T_P_BilanSocial[[#This Row],[Sexe]]),FALSE),"")</f>
        <v/>
      </c>
      <c r="K215" s="97" t="str">
        <f>IFERROR(VLOOKUP(T_BilanSocial[[#This Row],[Zone_Bilan]],T_P_BilanSocial[#Data],COLUMN(T_P_BilanSocial[[#This Row],[Categorie]]),FALSE),"")</f>
        <v/>
      </c>
      <c r="L215" s="96" t="str">
        <f>IFERROR(VLOOKUP(T_BilanSocial[[#This Row],[Zone_Bilan]],T_P_BilanSocial[#Data],COLUMN(T_P_BilanSocial[[#This Row],[Statut]]),FALSE),"")</f>
        <v/>
      </c>
      <c r="M215" s="96" t="str">
        <f>IFERROR(VLOOKUP(T_BilanSocial[[#This Row],[Zone_Bilan]],T_P_BilanSocial[#Data],COLUMN(T_P_BilanSocial[[#This Row],[Filiere]]),FALSE),"")</f>
        <v/>
      </c>
      <c r="N215" s="96" t="str">
        <f>VLOOKUP(T_BilanSocial[[#This Row],[NumL]],T_TraitDi[#Data],COLUMN(T_TraitDi[EXP]),FALSE)</f>
        <v>N</v>
      </c>
      <c r="O215" s="96" t="str">
        <f>VLOOKUP(T_BilanSocial[[#This Row],[NumL]],T_TraitDi[#Data],COLUMN(T_TraitDi[FORM]),FALSE)</f>
        <v>N</v>
      </c>
      <c r="P215" s="96">
        <f>IF(T_BilanSocial[[#This Row],[Final]]&lt;&gt;"",VLOOKUP(T_BilanSocial[[#This Row],[NumL]],T_suiviDi[#Data],COLUMN((T_suiviDi[Email])),FALSE),"")</f>
        <v>0</v>
      </c>
      <c r="Q215" s="164" t="str">
        <f t="shared" si="40"/>
        <v>Pôle Recettes et Comptabilité Générale</v>
      </c>
      <c r="R215" s="164" t="str">
        <f t="shared" si="41"/>
        <v>Assistant-e en gestion financière et comptable</v>
      </c>
      <c r="S215" s="164" t="e">
        <f>IF(VLOOKUP(T_BilanSocial[[#This Row],[NumL]],T_suiviDi[#Data],COLUMN(T_suiviDi[[#This Row],[Service ]]),FALSE)="","",VLOOKUP(T_BilanSocial[[#This Row],[NumL]],T_suiviDi[#Data],COLUMN(T_suiviDi[[#This Row],[Service ]]),FALSE))</f>
        <v>#VALUE!</v>
      </c>
      <c r="T215" s="164" t="str">
        <f t="shared" si="36"/>
        <v>01 septembre 2021</v>
      </c>
      <c r="U215" s="164" t="str">
        <f t="shared" si="37"/>
        <v>30 novembre 2021</v>
      </c>
      <c r="V215" s="164" t="str">
        <f t="shared" si="42"/>
        <v>30 novembre 2021</v>
      </c>
      <c r="W215" s="176" t="e">
        <f>IF(VLOOKUP(T_BilanSocial[[#This Row],[NumL]],T_TraitDi[#Data],COLUMN(T_TraitDi[[#This Row],[M1]]),FALSE)="","",VLOOKUP(T_BilanSocial[[#This Row],[NumL]],T_TraitDi[#Data],COLUMN(T_TraitDi[[#This Row],[M1]]),FALSE))</f>
        <v>#VALUE!</v>
      </c>
      <c r="X215" s="176" t="e">
        <f>IF(VLOOKUP(T_BilanSocial[[#This Row],[NumL]],T_TraitDi[#Data],COLUMN(T_TraitDi[[#This Row],[M2]]),FALSE)="","",VLOOKUP(T_BilanSocial[[#This Row],[NumL]],T_TraitDi[#Data],COLUMN(T_TraitDi[[#This Row],[M2]]),FALSE))</f>
        <v>#VALUE!</v>
      </c>
      <c r="Y215" s="176" t="e">
        <f>IF(VLOOKUP(T_BilanSocial[[#This Row],[NumL]],T_TraitDi[#Data],COLUMN(T_TraitDi[[#This Row],[M3]]),FALSE)="","",VLOOKUP(T_BilanSocial[[#This Row],[NumL]],T_TraitDi[#Data],COLUMN(T_TraitDi[[#This Row],[M3]]),FALSE))</f>
        <v>#VALUE!</v>
      </c>
      <c r="Z215" s="176" t="str">
        <f t="shared" si="39"/>
        <v/>
      </c>
      <c r="AA215" s="176" t="e">
        <f>IF(VLOOKUP(T_BilanSocial[[#This Row],[NumL]],T_TraitDi[#Data],COLUMN(T_TraitDi[[#This Row],[M5]]),FALSE)="","",VLOOKUP(T_BilanSocial[[#This Row],[NumL]],T_TraitDi[#Data],COLUMN(T_TraitDi[[#This Row],[M5]]),FALSE))</f>
        <v>#VALUE!</v>
      </c>
      <c r="AB215" s="176" t="e">
        <f>IF(VLOOKUP(T_BilanSocial[[#This Row],[NumL]],T_TraitDi[#Data],COLUMN(T_TraitDi[[#This Row],[M6]]),FALSE)="","",VLOOKUP(T_BilanSocial[[#This Row],[NumL]],T_TraitDi[#Data],COLUMN(T_TraitDi[[#This Row],[M6]]),FALSE))</f>
        <v>#VALUE!</v>
      </c>
      <c r="AC215" s="165" t="e">
        <f t="shared" si="38"/>
        <v>#VALUE!</v>
      </c>
      <c r="AD215" s="188" t="str">
        <f>IFERROR(TEXT(VLOOKUP(T_BilanSocial[[#This Row],[NumL]],T_TraitDi[#Data],COLUMN(T_TraitDi[[#This Row],[Q2]]),FALSE),"###%"),"")</f>
        <v/>
      </c>
      <c r="AE215" s="97" t="e">
        <f>VLOOKUP(T_BilanSocial[[#This Row],[NumL]],T_TraitDi[#Data],COLUMN(T_TraitDi[[#This Row],[Reg Ponct]]),FALSE)</f>
        <v>#VALUE!</v>
      </c>
      <c r="AF215" s="97" t="e">
        <f>VLOOKUP(T_BilanSocial[NumL],T_TraitDi[#Data],COLUMN(T_TraitDi[[#This Row],[Jours flottants]]),FALSE)</f>
        <v>#VALUE!</v>
      </c>
      <c r="AG215" s="97" t="str">
        <f>IFERROR(VLOOKUP(T_BilanSocial[[#This Row],[NumL]],T_TraitDi[#Data],COLUMN(T_TraitDi[[#This Row],[Lundi]]),FALSE),"")</f>
        <v/>
      </c>
      <c r="AH215" s="172" t="e">
        <f>IF(VLOOKUP(T_BilanSocial[[#This Row],[NumL]],T_TraitDi[#Data],COLUMN(T_TraitDi[[#This Row],[Colonne3]]),FALSE)=0,"",TEXT(IFERROR(VLOOKUP(T_BilanSocial[[#This Row],[NumL]],T_TraitDi[#Data],COLUMN(T_TraitDi[[#This Row],[Colonne3]]),FALSE),""),"[hh]:mm"))</f>
        <v>#VALUE!</v>
      </c>
      <c r="AI215" s="172" t="e">
        <f>IF(VLOOKUP(T_BilanSocial[[#This Row],[NumL]],T_TraitDi[#Data],COLUMN(T_TraitDi[[#This Row],[Colonne4]]),FALSE)=0,"",TEXT(IFERROR(VLOOKUP(T_BilanSocial[[#This Row],[NumL]],T_TraitDi[#Data],COLUMN(T_TraitDi[[#This Row],[Colonne4]]),FALSE),""),"[hh]:mm"))</f>
        <v>#VALUE!</v>
      </c>
      <c r="AJ215" s="172" t="e">
        <f>IF(VLOOKUP(T_BilanSocial[[#This Row],[NumL]],T_TraitDi[#Data],COLUMN(T_TraitDi[[#This Row],[Colonne5]]),FALSE)=0,"",TEXT(IFERROR(VLOOKUP(T_BilanSocial[[#This Row],[NumL]],T_TraitDi[#Data],COLUMN(T_TraitDi[[#This Row],[Colonne5]]),FALSE),""),"[hh]:mm"))</f>
        <v>#VALUE!</v>
      </c>
      <c r="AK215" s="172" t="e">
        <f>IF(VLOOKUP(T_BilanSocial[[#This Row],[NumL]],T_TraitDi[#Data],COLUMN(T_TraitDi[[#This Row],[Colonne6]]),FALSE)=0,"",TEXT(IFERROR(VLOOKUP(T_BilanSocial[[#This Row],[NumL]],T_TraitDi[#Data],COLUMN(T_TraitDi[[#This Row],[Colonne6]]),FALSE),""),"[hh]:mm"))</f>
        <v>#VALUE!</v>
      </c>
      <c r="AL215" s="172" t="e">
        <f>IF(VLOOKUP(T_BilanSocial[[#This Row],[NumL]],T_TraitDi[#Data],COLUMN(T_TraitDi[[#This Row],[Colonne7]]),FALSE)=0,"",TEXT(IFERROR(VLOOKUP(T_BilanSocial[[#This Row],[NumL]],T_TraitDi[#Data],COLUMN(T_TraitDi[[#This Row],[Colonne7]]),FALSE),""),"[hh]:mm"))</f>
        <v>#VALUE!</v>
      </c>
      <c r="AM215" s="172" t="e">
        <f>IF(VLOOKUP(T_BilanSocial[[#This Row],[NumL]],T_TraitDi[#Data],COLUMN(T_TraitDi[[#This Row],[Colonne8]]),FALSE)=0,"",TEXT(IFERROR(VLOOKUP(T_BilanSocial[[#This Row],[NumL]],T_TraitDi[#Data],COLUMN(T_TraitDi[[#This Row],[Colonne8]]),FALSE),""),"[hh]:mm"))</f>
        <v>#VALUE!</v>
      </c>
      <c r="AN215" s="172" t="str">
        <f>IFERROR(VLOOKUP(T_BilanSocial[[#This Row],[NumL]],T_TraitDi[#Data],COLUMN(T_TraitDi[[#This Row],[Mardi]]),FALSE),"")</f>
        <v/>
      </c>
      <c r="AO215" s="172" t="e">
        <f>IF(VLOOKUP(T_BilanSocial[[#This Row],[NumL]],T_TraitDi[#Data],COLUMN(T_TraitDi[[#This Row],[Colonne1]]),FALSE)=0,"",TEXT(IFERROR(VLOOKUP(T_BilanSocial[[#This Row],[NumL]],T_TraitDi[#Data],COLUMN(T_TraitDi[[#This Row],[Colonne1]]),FALSE),""),"[hh]:mm"))</f>
        <v>#VALUE!</v>
      </c>
      <c r="AP215" s="172" t="e">
        <f>IF(VLOOKUP(T_BilanSocial[[#This Row],[NumL]],T_TraitDi[#Data],COLUMN(T_TraitDi[[#This Row],[Colonne9]]),FALSE)=0,"",TEXT(IFERROR(VLOOKUP(T_BilanSocial[[#This Row],[NumL]],T_TraitDi[#Data],COLUMN(T_TraitDi[[#This Row],[Colonne9]]),FALSE),""),"[hh]:mm"))</f>
        <v>#VALUE!</v>
      </c>
      <c r="AQ215" s="172" t="str">
        <f>IFERROR(VLOOKUP(T_BilanSocial[[#This Row],[NumL]],T_TraitDi[#Data],COLUMN(T_TraitDi[[#This Row],[Colonne10]]),FALSE),"")</f>
        <v/>
      </c>
      <c r="AR215" s="172" t="e">
        <f>IF(VLOOKUP(T_BilanSocial[[#This Row],[NumL]],T_TraitDi[#Data],COLUMN(T_TraitDi[[#This Row],[Colonne11]]),FALSE)=0,"",TEXT(IFERROR(VLOOKUP(T_BilanSocial[[#This Row],[NumL]],T_TraitDi[#Data],COLUMN(T_TraitDi[[#This Row],[Colonne11]]),FALSE),""),"[hh]:mm"))</f>
        <v>#VALUE!</v>
      </c>
      <c r="AS215" s="172" t="e">
        <f>IF(VLOOKUP(T_BilanSocial[[#This Row],[NumL]],T_TraitDi[#Data],COLUMN(T_TraitDi[[#This Row],[Colonne12]]),FALSE)=0,"",TEXT(IFERROR(VLOOKUP(T_BilanSocial[[#This Row],[NumL]],T_TraitDi[#Data],COLUMN(T_TraitDi[[#This Row],[Colonne12]]),FALSE),""),"[hh]:mm"))</f>
        <v>#VALUE!</v>
      </c>
      <c r="AT215" s="172" t="e">
        <f>IF(VLOOKUP(T_BilanSocial[[#This Row],[NumL]],T_TraitDi[#Data],COLUMN(T_TraitDi[[#This Row],[Colonne14]]),FALSE)=0,"",TEXT(IFERROR(VLOOKUP(T_BilanSocial[[#This Row],[NumL]],T_TraitDi[#Data],COLUMN(T_TraitDi[[#This Row],[Colonne14]]),FALSE),""),"[hh]:mm"))</f>
        <v>#VALUE!</v>
      </c>
      <c r="AU215" s="172" t="str">
        <f>IFERROR(VLOOKUP(T_BilanSocial[[#This Row],[NumL]],T_TraitDi[#Data],COLUMN(T_TraitDi[[#This Row],[Mercredi]]),FALSE),"")</f>
        <v/>
      </c>
      <c r="AV215" s="172" t="e">
        <f>IF(VLOOKUP(T_BilanSocial[[#This Row],[NumL]],T_TraitDi[#Data],COLUMN(T_TraitDi[[#This Row],[Colonne15]]),FALSE)=0,"",TEXT(IFERROR(VLOOKUP(T_BilanSocial[[#This Row],[NumL]],T_TraitDi[#Data],COLUMN(T_TraitDi[[#This Row],[Colonne15]]),FALSE),""),"[hh]:mm"))</f>
        <v>#VALUE!</v>
      </c>
      <c r="AW215" s="172" t="e">
        <f>IF(VLOOKUP(T_BilanSocial[[#This Row],[NumL]],T_TraitDi[#Data],COLUMN(T_TraitDi[[#This Row],[Colonne16]]),FALSE)=0,"",TEXT(IFERROR(VLOOKUP(T_BilanSocial[[#This Row],[NumL]],T_TraitDi[#Data],COLUMN(T_TraitDi[[#This Row],[Colonne16]]),FALSE),""),"[hh]:mm"))</f>
        <v>#VALUE!</v>
      </c>
      <c r="AX215" s="172" t="str">
        <f>IFERROR(VLOOKUP(T_BilanSocial[[#This Row],[NumL]],T_TraitDi[#Data],COLUMN(T_TraitDi[[#This Row],[Colonne17]]),FALSE),"")</f>
        <v/>
      </c>
      <c r="AY215" s="172" t="e">
        <f>IF(VLOOKUP(T_BilanSocial[[#This Row],[NumL]],T_TraitDi[#Data],COLUMN(T_TraitDi[[#This Row],[Colonne18]]),FALSE)=0,"",TEXT(IFERROR(VLOOKUP(T_BilanSocial[[#This Row],[NumL]],T_TraitDi[#Data],COLUMN(T_TraitDi[[#This Row],[Colonne18]]),FALSE),""),"[hh]:mm"))</f>
        <v>#VALUE!</v>
      </c>
      <c r="AZ215" s="172" t="e">
        <f>IF(VLOOKUP(T_BilanSocial[[#This Row],[NumL]],T_TraitDi[#Data],COLUMN(T_TraitDi[[#This Row],[Colonne19]]),FALSE)=0,"",TEXT(IFERROR(VLOOKUP(T_BilanSocial[[#This Row],[NumL]],T_TraitDi[#Data],COLUMN(T_TraitDi[[#This Row],[Colonne19]]),FALSE),""),"[hh]:mm"))</f>
        <v>#VALUE!</v>
      </c>
      <c r="BA215" s="172" t="e">
        <f>IF(VLOOKUP(T_BilanSocial[[#This Row],[NumL]],T_TraitDi[#Data],COLUMN(T_TraitDi[[#This Row],[Colonne20]]),FALSE)=0,"",TEXT(IFERROR(VLOOKUP(T_BilanSocial[[#This Row],[NumL]],T_TraitDi[#Data],COLUMN(T_TraitDi[[#This Row],[Colonne20]]),FALSE),""),"[hh]:mm"))</f>
        <v>#VALUE!</v>
      </c>
      <c r="BB215" s="178" t="str">
        <f>IFERROR(VLOOKUP(T_BilanSocial[[#This Row],[NumL]],T_TraitDi[#Data],COLUMN(T_TraitDi[[#This Row],[Jeudi]]),FALSE),"")</f>
        <v/>
      </c>
      <c r="BC215" s="178" t="e">
        <f>IF(VLOOKUP(T_BilanSocial[[#This Row],[NumL]],T_TraitDi[#Data],COLUMN(T_TraitDi[[#This Row],[Colonne21]]),FALSE)=0,"",TEXT(IFERROR(VLOOKUP(T_BilanSocial[[#This Row],[NumL]],T_TraitDi[#Data],COLUMN(T_TraitDi[[#This Row],[Colonne21]]),FALSE),""),"[hh]:mm"))</f>
        <v>#VALUE!</v>
      </c>
      <c r="BD215" s="178" t="e">
        <f>IF(VLOOKUP(T_BilanSocial[[#This Row],[NumL]],T_TraitDi[#Data],COLUMN(T_TraitDi[[#This Row],[Colonne22]]),FALSE)=0,"",TEXT(IFERROR(VLOOKUP(T_BilanSocial[[#This Row],[NumL]],T_TraitDi[#Data],COLUMN(T_TraitDi[[#This Row],[Colonne22]]),FALSE),""),"[hh]:mm"))</f>
        <v>#VALUE!</v>
      </c>
      <c r="BE215" s="178" t="str">
        <f>IFERROR(VLOOKUP(T_BilanSocial[[#This Row],[NumL]],T_TraitDi[#Data],COLUMN(T_TraitDi[[#This Row],[Colonne23]]),FALSE),"")</f>
        <v/>
      </c>
      <c r="BF215" s="178" t="e">
        <f>IF(VLOOKUP(T_BilanSocial[[#This Row],[NumL]],T_TraitDi[#Data],COLUMN(T_TraitDi[[#This Row],[Colonne24]]),FALSE)=0,"",TEXT(IFERROR(VLOOKUP(T_BilanSocial[[#This Row],[NumL]],T_TraitDi[#Data],COLUMN(T_TraitDi[[#This Row],[Colonne24]]),FALSE),""),"[hh]:mm"))</f>
        <v>#VALUE!</v>
      </c>
      <c r="BG215" s="178" t="e">
        <f>IF(VLOOKUP(T_BilanSocial[[#This Row],[NumL]],T_TraitDi[#Data],COLUMN(T_TraitDi[[#This Row],[Colonne25]]),FALSE)=0,"",TEXT(IFERROR(VLOOKUP(T_BilanSocial[[#This Row],[NumL]],T_TraitDi[#Data],COLUMN(T_TraitDi[[#This Row],[Colonne25]]),FALSE),""),"[hh]:mm"))</f>
        <v>#VALUE!</v>
      </c>
      <c r="BH215" s="178" t="e">
        <f>IF(VLOOKUP(T_BilanSocial[[#This Row],[NumL]],T_TraitDi[#Data],COLUMN(T_TraitDi[[#This Row],[Colonne26]]),FALSE)=0,"",TEXT(IFERROR(VLOOKUP(T_BilanSocial[[#This Row],[NumL]],T_TraitDi[#Data],COLUMN(T_TraitDi[[#This Row],[Colonne26]]),FALSE),""),"[hh]:mm"))</f>
        <v>#VALUE!</v>
      </c>
      <c r="BI215" s="172" t="str">
        <f>IFERROR(VLOOKUP(T_BilanSocial[[#This Row],[NumL]],T_TraitDi[#Data],COLUMN(T_TraitDi[[#This Row],[Vendredi]]),FALSE),"")</f>
        <v/>
      </c>
      <c r="BJ215" s="172" t="e">
        <f>IF(VLOOKUP(T_BilanSocial[[#This Row],[NumL]],T_TraitDi[#Data],COLUMN(T_TraitDi[[#This Row],[Colonne27]]),FALSE)=0,"",TEXT(IFERROR(VLOOKUP(T_BilanSocial[[#This Row],[NumL]],T_TraitDi[#Data],COLUMN(T_TraitDi[[#This Row],[Colonne27]]),FALSE),""),"[hh]:mm"))</f>
        <v>#VALUE!</v>
      </c>
      <c r="BK215" s="172" t="e">
        <f>IF(VLOOKUP(T_BilanSocial[[#This Row],[NumL]],T_TraitDi[#Data],COLUMN(T_TraitDi[[#This Row],[Colonne28]]),FALSE)=0,"",TEXT(IFERROR(VLOOKUP(T_BilanSocial[[#This Row],[NumL]],T_TraitDi[#Data],COLUMN(T_TraitDi[[#This Row],[Colonne28]]),FALSE),""),"[hh]:mm"))</f>
        <v>#VALUE!</v>
      </c>
      <c r="BL215" s="172" t="str">
        <f>IFERROR(VLOOKUP(T_BilanSocial[[#This Row],[NumL]],T_TraitDi[#Data],COLUMN(T_TraitDi[[#This Row],[Colonne29]]),FALSE),"")</f>
        <v/>
      </c>
      <c r="BM215" s="172" t="e">
        <f>IF(VLOOKUP(T_BilanSocial[[#This Row],[NumL]],T_TraitDi[#Data],COLUMN(T_TraitDi[[#This Row],[Colonne30]]),FALSE)=0,"",TEXT(IFERROR(VLOOKUP(T_BilanSocial[[#This Row],[NumL]],T_TraitDi[#Data],COLUMN(T_TraitDi[[#This Row],[Colonne30]]),FALSE),""),"[hh]:mm"))</f>
        <v>#VALUE!</v>
      </c>
      <c r="BN215" s="172" t="e">
        <f>IF(VLOOKUP(T_BilanSocial[[#This Row],[NumL]],T_TraitDi[#Data],COLUMN(T_TraitDi[[#This Row],[Colonne31]]),FALSE)=0,"",TEXT(IFERROR(VLOOKUP(T_BilanSocial[[#This Row],[NumL]],T_TraitDi[#Data],COLUMN(T_TraitDi[[#This Row],[Colonne31]]),FALSE),""),"[hh]:mm"))</f>
        <v>#VALUE!</v>
      </c>
      <c r="BO215" s="172" t="e">
        <f>IF(VLOOKUP(T_BilanSocial[[#This Row],[NumL]],T_TraitDi[#Data],COLUMN(T_TraitDi[[#This Row],[Colonne32]]),FALSE)=0,"",TEXT(IFERROR(VLOOKUP(T_BilanSocial[[#This Row],[NumL]],T_TraitDi[#Data],COLUMN(T_TraitDi[[#This Row],[Colonne32]]),FALSE),""),"[hh]:mm"))</f>
        <v>#VALUE!</v>
      </c>
      <c r="BP215" s="172">
        <f>VLOOKUP(T_BilanSocial[[#This Row],[NumL]],T_TraitDi[#Data],COLUMN(T_TraitDi[NbJTot]),FALSE)</f>
        <v>5</v>
      </c>
      <c r="BQ215" s="174" t="str">
        <f>IFERROR(VLOOKUP(T_BilanSocial[[#This Row],[NumL]],T_TraitDi[#Data],COLUMN(T_TraitDi[[#This Row],[NbJTW]]),FALSE),"")</f>
        <v/>
      </c>
      <c r="BR215" s="174" t="e">
        <f>IF(VLOOKUP(T_BilanSocial[[#This Row],[NumL]],T_TraitDi[#Data],COLUMN(T_TraitDi[[#This Row],[NbhTW]]),FALSE)=0,"",TEXT(IFERROR(VLOOKUP(T_BilanSocial[[#This Row],[NumL]],T_TraitDi[#Data],COLUMN(T_TraitDi[[#This Row],[NbhTW]]),FALSE),""),"[hh]:mm"))</f>
        <v>#VALUE!</v>
      </c>
      <c r="BS215" s="174" t="e">
        <f>IF(VLOOKUP(T_BilanSocial[[#This Row],[NumL]],T_TraitDi[#Data],COLUMN(T_TraitDi[[#This Row],[Nbhheb]]),FALSE)=0,"",TEXT(IFERROR(VLOOKUP($A215,T_TraitDi[#Data],COLUMN(T_TraitDi[[#This Row],[Nbhheb]]),FALSE),""),"[hh]:mm"))</f>
        <v>#VALUE!</v>
      </c>
      <c r="BT215" s="182" t="str">
        <f>IFERROR(VLOOKUP(VLOOKUP($A215,T_TraitDi[#Data],COLUMN(T_TraitDi[[#This Row],[Type1]]),FALSE),TypeTW,2,FALSE),"")</f>
        <v/>
      </c>
      <c r="BU215" s="182" t="str">
        <f>IFERROR(VLOOKUP($A215,T_TraitDi[#Data],COLUMN(T_TraitDi[[#This Row],[Rue1]]),FALSE),"")</f>
        <v/>
      </c>
      <c r="BV215" s="173" t="str">
        <f>IFERROR(VLOOKUP($A215,T_TraitDi[#Data],COLUMN(T_TraitDi[[#This Row],[CP1]]),FALSE),"")</f>
        <v/>
      </c>
      <c r="BW215" s="173" t="str">
        <f>IFERROR(VLOOKUP($A215,T_TraitDi[#Data],COLUMN(T_TraitDi[[#This Row],[VILLE1]]),FALSE),"")</f>
        <v/>
      </c>
      <c r="BX215" s="182" t="str">
        <f>IFERROR(VLOOKUP(VLOOKUP($A215,T_TraitDi[#Data],COLUMN(T_TraitDi[[#This Row],[Type2]]),FALSE),TypeTW,2,FALSE),"")</f>
        <v/>
      </c>
      <c r="BY215" s="182" t="str">
        <f>IFERROR(VLOOKUP($A215,T_TraitDi[#Data],COLUMN(T_TraitDi[[#This Row],[Rue2]]),FALSE),"")</f>
        <v/>
      </c>
      <c r="BZ215" s="173" t="str">
        <f>IFERROR(VLOOKUP($A215,T_TraitDi[#Data],COLUMN(T_TraitDi[[#This Row],[CP2]]),FALSE),"")</f>
        <v/>
      </c>
      <c r="CA215" s="173" t="str">
        <f>IFERROR(VLOOKUP($A215,T_TraitDi[#Data],COLUMN(T_TraitDi[[#This Row],[VILLE2]]),FALSE),"")</f>
        <v/>
      </c>
      <c r="CB215" s="182" t="str">
        <f>IF(VLOOKUP(T_BilanSocial[[#This Row],[NumL]],T_Equipement[#Data],COLUMN(T_Equipement[[#This Row],[PC]]),FALSE)="","Aucun équipement spécifique directement lié au télétravail",VLOOKUP(T_BilanSocial[[#This Row],[NumL]],T_Equipement[#Data],COLUMN(T_Equipement[[#This Row],[PC]]),FALSE))</f>
        <v>20-066</v>
      </c>
      <c r="CC215" s="166" t="str">
        <f>IFERROR(IF(VLOOKUP(T_BilanSocial[[#This Row],[NumL]],T_TraitDi[#Data],COLUMN(T_TraitDi[[#This Row],[Plan]]),FALSE)="OK","Un planning spécifique de télétravail est annexé à la présente convention.",""),"")</f>
        <v/>
      </c>
      <c r="CD215" s="185"/>
      <c r="CE215" s="164" t="e">
        <f>IF(VLOOKUP(T_BilanSocial[[#This Row],[NumL]],T_suiviDi[#Data],COLUMN(T_suiviDi[[#This Row],[Entité]]),FALSE)="","",VLOOKUP(T_BilanSocial[[#This Row],[NumL]],T_suiviDi[#Data],COLUMN(T_suiviDi[[#This Row],[Entité]]),FALSE))</f>
        <v>#VALUE!</v>
      </c>
      <c r="CF215" s="164" t="str">
        <f>IF(VLOOKUP(T_BilanSocial[[#This Row],[NumL]],T_Commission[#Data],COLUMN(T_Commission[[#This Row],[envoi confirm TW]]),FALSE)="","",VLOOKUP(T_BilanSocial[[#This Row],[NumL]],T_Commission[#Data],COLUMN(T_Commission[[#This Row],[envoi confirm TW]]),FALSE))</f>
        <v>Oui</v>
      </c>
      <c r="CG21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5" s="262" t="str">
        <f>T_BilanSocial[[#This Row],[Nom]]&amp;T_BilanSocial[[#This Row],[Prenom]]</f>
        <v>AAudrey</v>
      </c>
      <c r="CI215" s="262">
        <f>VLOOKUP(T_BilanSocial[[#This Row],[NumL]],T_Commission[#Data],COLUMN(T_Commission[Commentaire]),FALSE)</f>
        <v>0</v>
      </c>
      <c r="CJ215" s="262" t="str">
        <f>IF(VLOOKUP(T_BilanSocial[[#This Row],[NumL]],T_Commission[#Data],COLUMN(T_Commission[Encadrant Email]),FALSE)="","",VLOOKUP(T_BilanSocial[[#This Row],[NumL]],T_Commission[#Data],COLUMN(T_Commission[Encadrant Email]),FALSE))</f>
        <v/>
      </c>
      <c r="CK215" s="340" t="str">
        <f>IF(T_BilanSocial[[#This Row],[Final]]&lt;&gt;"",VLOOKUP(T_BilanSocial[[#This Row],[NumL]],T_suiviDi[#Data],COLUMN((T_suiviDi[Statut])),FALSE),"")</f>
        <v>RENVL</v>
      </c>
    </row>
    <row r="216" spans="1:89" s="106" customFormat="1" ht="24.75" customHeight="1" x14ac:dyDescent="0.25">
      <c r="A216" s="160">
        <v>213</v>
      </c>
      <c r="B216" s="161" t="str">
        <f t="shared" si="34"/>
        <v/>
      </c>
      <c r="C216" s="162" t="s">
        <v>173</v>
      </c>
      <c r="D216" s="95" t="e">
        <f>IF(VLOOKUP(T_BilanSocial[[#This Row],[NumL]],T_TraitDi[#Data],COLUMN(T_TraitDi[[#This Row],[WebC]]),FALSE)="","",VLOOKUP(T_BilanSocial[[#This Row],[NumL]],T_TraitDi[#Data],COLUMN(T_TraitDi[[#This Row],[WebC]]),FALSE))</f>
        <v>#VALUE!</v>
      </c>
      <c r="E216" s="163" t="str">
        <f t="shared" si="35"/>
        <v>12 janvier 2021</v>
      </c>
      <c r="F216" s="96" t="str">
        <f>IF(T_BilanSocial[[#This Row],[Final]]&lt;&gt;"",VLOOKUP(T_BilanSocial[[#This Row],[NumL]],T_suiviDi[#Data],COLUMN((T_suiviDi[Civ.])),FALSE),"")</f>
        <v/>
      </c>
      <c r="G216" s="96" t="str">
        <f>IF(T_BilanSocial[[#This Row],[Final]]&lt;&gt;"",VLOOKUP(T_BilanSocial[[#This Row],[NumL]],T_suiviDi[#Data],COLUMN((T_suiviDi[Nom])),FALSE),"")</f>
        <v/>
      </c>
      <c r="H216" s="96" t="str">
        <f>IF(T_BilanSocial[[#This Row],[Final]]&lt;&gt;"",VLOOKUP(T_BilanSocial[[#This Row],[NumL]],T_suiviDi[#Data],COLUMN((T_suiviDi[Prénom])),FALSE),"")</f>
        <v/>
      </c>
      <c r="I216" s="96" t="str">
        <f>IFERROR(VLOOKUP(T_BilanSocial[[#This Row],[Zone_Bilan]],T_P_BilanSocial[#Data],COLUMN(T_P_BilanSocial[[#This Row],[Numero_SIHAM]]),FALSE),"")</f>
        <v/>
      </c>
      <c r="J216" s="96" t="str">
        <f>IFERROR(VLOOKUP(T_BilanSocial[[#This Row],[Zone_Bilan]],T_P_BilanSocial[#Data],COLUMN(T_P_BilanSocial[[#This Row],[Sexe]]),FALSE),"")</f>
        <v/>
      </c>
      <c r="K216" s="97" t="str">
        <f>IFERROR(VLOOKUP(T_BilanSocial[[#This Row],[Zone_Bilan]],T_P_BilanSocial[#Data],COLUMN(T_P_BilanSocial[[#This Row],[Categorie]]),FALSE),"")</f>
        <v/>
      </c>
      <c r="L216" s="96" t="str">
        <f>IFERROR(VLOOKUP(T_BilanSocial[[#This Row],[Zone_Bilan]],T_P_BilanSocial[#Data],COLUMN(T_P_BilanSocial[[#This Row],[Statut]]),FALSE),"")</f>
        <v/>
      </c>
      <c r="M216" s="96" t="str">
        <f>IFERROR(VLOOKUP(T_BilanSocial[[#This Row],[Zone_Bilan]],T_P_BilanSocial[#Data],COLUMN(T_P_BilanSocial[[#This Row],[Filiere]]),FALSE),"")</f>
        <v/>
      </c>
      <c r="N216" s="96" t="e">
        <f>VLOOKUP(T_BilanSocial[[#This Row],[NumL]],T_TraitDi[#Data],COLUMN(T_TraitDi[EXP]),FALSE)</f>
        <v>#N/A</v>
      </c>
      <c r="O216" s="96" t="e">
        <f>VLOOKUP(T_BilanSocial[[#This Row],[NumL]],T_TraitDi[#Data],COLUMN(T_TraitDi[FORM]),FALSE)</f>
        <v>#N/A</v>
      </c>
      <c r="P216" s="96" t="str">
        <f>IF(T_BilanSocial[[#This Row],[Final]]&lt;&gt;"",VLOOKUP(T_BilanSocial[[#This Row],[NumL]],T_suiviDi[#Data],COLUMN((T_suiviDi[Email])),FALSE),"")</f>
        <v/>
      </c>
      <c r="Q216" s="164" t="e">
        <f t="shared" si="40"/>
        <v>#N/A</v>
      </c>
      <c r="R216" s="164" t="e">
        <f t="shared" si="41"/>
        <v>#N/A</v>
      </c>
      <c r="S216" s="164" t="e">
        <f>IF(VLOOKUP(T_BilanSocial[[#This Row],[NumL]],T_suiviDi[#Data],COLUMN(T_suiviDi[[#This Row],[Service ]]),FALSE)="","",VLOOKUP(T_BilanSocial[[#This Row],[NumL]],T_suiviDi[#Data],COLUMN(T_suiviDi[[#This Row],[Service ]]),FALSE))</f>
        <v>#VALUE!</v>
      </c>
      <c r="T216" s="164" t="str">
        <f t="shared" si="36"/>
        <v>01 septembre 2021</v>
      </c>
      <c r="U216" s="164" t="str">
        <f t="shared" si="37"/>
        <v>30 novembre 2021</v>
      </c>
      <c r="V216" s="164" t="str">
        <f t="shared" si="42"/>
        <v>30 novembre 2021</v>
      </c>
      <c r="W216" s="176" t="e">
        <f>IF(VLOOKUP(T_BilanSocial[[#This Row],[NumL]],T_TraitDi[#Data],COLUMN(T_TraitDi[[#This Row],[M1]]),FALSE)="","",VLOOKUP(T_BilanSocial[[#This Row],[NumL]],T_TraitDi[#Data],COLUMN(T_TraitDi[[#This Row],[M1]]),FALSE))</f>
        <v>#VALUE!</v>
      </c>
      <c r="X216" s="176" t="e">
        <f>IF(VLOOKUP(T_BilanSocial[[#This Row],[NumL]],T_TraitDi[#Data],COLUMN(T_TraitDi[[#This Row],[M2]]),FALSE)="","",VLOOKUP(T_BilanSocial[[#This Row],[NumL]],T_TraitDi[#Data],COLUMN(T_TraitDi[[#This Row],[M2]]),FALSE))</f>
        <v>#VALUE!</v>
      </c>
      <c r="Y216" s="176" t="e">
        <f>IF(VLOOKUP(T_BilanSocial[[#This Row],[NumL]],T_TraitDi[#Data],COLUMN(T_TraitDi[[#This Row],[M3]]),FALSE)="","",VLOOKUP(T_BilanSocial[[#This Row],[NumL]],T_TraitDi[#Data],COLUMN(T_TraitDi[[#This Row],[M3]]),FALSE))</f>
        <v>#VALUE!</v>
      </c>
      <c r="Z216" s="176" t="str">
        <f t="shared" si="39"/>
        <v/>
      </c>
      <c r="AA216" s="176" t="e">
        <f>IF(VLOOKUP(T_BilanSocial[[#This Row],[NumL]],T_TraitDi[#Data],COLUMN(T_TraitDi[[#This Row],[M5]]),FALSE)="","",VLOOKUP(T_BilanSocial[[#This Row],[NumL]],T_TraitDi[#Data],COLUMN(T_TraitDi[[#This Row],[M5]]),FALSE))</f>
        <v>#VALUE!</v>
      </c>
      <c r="AB216" s="176" t="e">
        <f>IF(VLOOKUP(T_BilanSocial[[#This Row],[NumL]],T_TraitDi[#Data],COLUMN(T_TraitDi[[#This Row],[M6]]),FALSE)="","",VLOOKUP(T_BilanSocial[[#This Row],[NumL]],T_TraitDi[#Data],COLUMN(T_TraitDi[[#This Row],[M6]]),FALSE))</f>
        <v>#VALUE!</v>
      </c>
      <c r="AC216" s="165" t="e">
        <f t="shared" si="38"/>
        <v>#VALUE!</v>
      </c>
      <c r="AD216" s="188" t="str">
        <f>IFERROR(TEXT(VLOOKUP(T_BilanSocial[[#This Row],[NumL]],T_TraitDi[#Data],COLUMN(T_TraitDi[[#This Row],[Q2]]),FALSE),"###%"),"")</f>
        <v/>
      </c>
      <c r="AE216" s="97" t="e">
        <f>VLOOKUP(T_BilanSocial[[#This Row],[NumL]],T_TraitDi[#Data],COLUMN(T_TraitDi[[#This Row],[Reg Ponct]]),FALSE)</f>
        <v>#VALUE!</v>
      </c>
      <c r="AF216" s="97" t="e">
        <f>VLOOKUP(T_BilanSocial[NumL],T_TraitDi[#Data],COLUMN(T_TraitDi[[#This Row],[Jours flottants]]),FALSE)</f>
        <v>#VALUE!</v>
      </c>
      <c r="AG216" s="97" t="str">
        <f>IFERROR(VLOOKUP(T_BilanSocial[[#This Row],[NumL]],T_TraitDi[#Data],COLUMN(T_TraitDi[[#This Row],[Lundi]]),FALSE),"")</f>
        <v/>
      </c>
      <c r="AH216" s="172" t="e">
        <f>IF(VLOOKUP(T_BilanSocial[[#This Row],[NumL]],T_TraitDi[#Data],COLUMN(T_TraitDi[[#This Row],[Colonne3]]),FALSE)=0,"",TEXT(IFERROR(VLOOKUP(T_BilanSocial[[#This Row],[NumL]],T_TraitDi[#Data],COLUMN(T_TraitDi[[#This Row],[Colonne3]]),FALSE),""),"[hh]:mm"))</f>
        <v>#VALUE!</v>
      </c>
      <c r="AI216" s="172" t="e">
        <f>IF(VLOOKUP(T_BilanSocial[[#This Row],[NumL]],T_TraitDi[#Data],COLUMN(T_TraitDi[[#This Row],[Colonne4]]),FALSE)=0,"",TEXT(IFERROR(VLOOKUP(T_BilanSocial[[#This Row],[NumL]],T_TraitDi[#Data],COLUMN(T_TraitDi[[#This Row],[Colonne4]]),FALSE),""),"[hh]:mm"))</f>
        <v>#VALUE!</v>
      </c>
      <c r="AJ216" s="172" t="e">
        <f>IF(VLOOKUP(T_BilanSocial[[#This Row],[NumL]],T_TraitDi[#Data],COLUMN(T_TraitDi[[#This Row],[Colonne5]]),FALSE)=0,"",TEXT(IFERROR(VLOOKUP(T_BilanSocial[[#This Row],[NumL]],T_TraitDi[#Data],COLUMN(T_TraitDi[[#This Row],[Colonne5]]),FALSE),""),"[hh]:mm"))</f>
        <v>#VALUE!</v>
      </c>
      <c r="AK216" s="172" t="e">
        <f>IF(VLOOKUP(T_BilanSocial[[#This Row],[NumL]],T_TraitDi[#Data],COLUMN(T_TraitDi[[#This Row],[Colonne6]]),FALSE)=0,"",TEXT(IFERROR(VLOOKUP(T_BilanSocial[[#This Row],[NumL]],T_TraitDi[#Data],COLUMN(T_TraitDi[[#This Row],[Colonne6]]),FALSE),""),"[hh]:mm"))</f>
        <v>#VALUE!</v>
      </c>
      <c r="AL216" s="172" t="e">
        <f>IF(VLOOKUP(T_BilanSocial[[#This Row],[NumL]],T_TraitDi[#Data],COLUMN(T_TraitDi[[#This Row],[Colonne7]]),FALSE)=0,"",TEXT(IFERROR(VLOOKUP(T_BilanSocial[[#This Row],[NumL]],T_TraitDi[#Data],COLUMN(T_TraitDi[[#This Row],[Colonne7]]),FALSE),""),"[hh]:mm"))</f>
        <v>#VALUE!</v>
      </c>
      <c r="AM216" s="172" t="e">
        <f>IF(VLOOKUP(T_BilanSocial[[#This Row],[NumL]],T_TraitDi[#Data],COLUMN(T_TraitDi[[#This Row],[Colonne8]]),FALSE)=0,"",TEXT(IFERROR(VLOOKUP(T_BilanSocial[[#This Row],[NumL]],T_TraitDi[#Data],COLUMN(T_TraitDi[[#This Row],[Colonne8]]),FALSE),""),"[hh]:mm"))</f>
        <v>#VALUE!</v>
      </c>
      <c r="AN216" s="172" t="str">
        <f>IFERROR(VLOOKUP(T_BilanSocial[[#This Row],[NumL]],T_TraitDi[#Data],COLUMN(T_TraitDi[[#This Row],[Mardi]]),FALSE),"")</f>
        <v/>
      </c>
      <c r="AO216" s="172" t="e">
        <f>IF(VLOOKUP(T_BilanSocial[[#This Row],[NumL]],T_TraitDi[#Data],COLUMN(T_TraitDi[[#This Row],[Colonne1]]),FALSE)=0,"",TEXT(IFERROR(VLOOKUP(T_BilanSocial[[#This Row],[NumL]],T_TraitDi[#Data],COLUMN(T_TraitDi[[#This Row],[Colonne1]]),FALSE),""),"[hh]:mm"))</f>
        <v>#VALUE!</v>
      </c>
      <c r="AP216" s="172" t="e">
        <f>IF(VLOOKUP(T_BilanSocial[[#This Row],[NumL]],T_TraitDi[#Data],COLUMN(T_TraitDi[[#This Row],[Colonne9]]),FALSE)=0,"",TEXT(IFERROR(VLOOKUP(T_BilanSocial[[#This Row],[NumL]],T_TraitDi[#Data],COLUMN(T_TraitDi[[#This Row],[Colonne9]]),FALSE),""),"[hh]:mm"))</f>
        <v>#VALUE!</v>
      </c>
      <c r="AQ216" s="172" t="str">
        <f>IFERROR(VLOOKUP(T_BilanSocial[[#This Row],[NumL]],T_TraitDi[#Data],COLUMN(T_TraitDi[[#This Row],[Colonne10]]),FALSE),"")</f>
        <v/>
      </c>
      <c r="AR216" s="172" t="e">
        <f>IF(VLOOKUP(T_BilanSocial[[#This Row],[NumL]],T_TraitDi[#Data],COLUMN(T_TraitDi[[#This Row],[Colonne11]]),FALSE)=0,"",TEXT(IFERROR(VLOOKUP(T_BilanSocial[[#This Row],[NumL]],T_TraitDi[#Data],COLUMN(T_TraitDi[[#This Row],[Colonne11]]),FALSE),""),"[hh]:mm"))</f>
        <v>#VALUE!</v>
      </c>
      <c r="AS216" s="172" t="e">
        <f>IF(VLOOKUP(T_BilanSocial[[#This Row],[NumL]],T_TraitDi[#Data],COLUMN(T_TraitDi[[#This Row],[Colonne12]]),FALSE)=0,"",TEXT(IFERROR(VLOOKUP(T_BilanSocial[[#This Row],[NumL]],T_TraitDi[#Data],COLUMN(T_TraitDi[[#This Row],[Colonne12]]),FALSE),""),"[hh]:mm"))</f>
        <v>#VALUE!</v>
      </c>
      <c r="AT216" s="172" t="e">
        <f>IF(VLOOKUP(T_BilanSocial[[#This Row],[NumL]],T_TraitDi[#Data],COLUMN(T_TraitDi[[#This Row],[Colonne14]]),FALSE)=0,"",TEXT(IFERROR(VLOOKUP(T_BilanSocial[[#This Row],[NumL]],T_TraitDi[#Data],COLUMN(T_TraitDi[[#This Row],[Colonne14]]),FALSE),""),"[hh]:mm"))</f>
        <v>#VALUE!</v>
      </c>
      <c r="AU216" s="172" t="str">
        <f>IFERROR(VLOOKUP(T_BilanSocial[[#This Row],[NumL]],T_TraitDi[#Data],COLUMN(T_TraitDi[[#This Row],[Mercredi]]),FALSE),"")</f>
        <v/>
      </c>
      <c r="AV216" s="172" t="e">
        <f>IF(VLOOKUP(T_BilanSocial[[#This Row],[NumL]],T_TraitDi[#Data],COLUMN(T_TraitDi[[#This Row],[Colonne15]]),FALSE)=0,"",TEXT(IFERROR(VLOOKUP(T_BilanSocial[[#This Row],[NumL]],T_TraitDi[#Data],COLUMN(T_TraitDi[[#This Row],[Colonne15]]),FALSE),""),"[hh]:mm"))</f>
        <v>#VALUE!</v>
      </c>
      <c r="AW216" s="172" t="e">
        <f>IF(VLOOKUP(T_BilanSocial[[#This Row],[NumL]],T_TraitDi[#Data],COLUMN(T_TraitDi[[#This Row],[Colonne16]]),FALSE)=0,"",TEXT(IFERROR(VLOOKUP(T_BilanSocial[[#This Row],[NumL]],T_TraitDi[#Data],COLUMN(T_TraitDi[[#This Row],[Colonne16]]),FALSE),""),"[hh]:mm"))</f>
        <v>#VALUE!</v>
      </c>
      <c r="AX216" s="172" t="str">
        <f>IFERROR(VLOOKUP(T_BilanSocial[[#This Row],[NumL]],T_TraitDi[#Data],COLUMN(T_TraitDi[[#This Row],[Colonne17]]),FALSE),"")</f>
        <v/>
      </c>
      <c r="AY216" s="172" t="e">
        <f>IF(VLOOKUP(T_BilanSocial[[#This Row],[NumL]],T_TraitDi[#Data],COLUMN(T_TraitDi[[#This Row],[Colonne18]]),FALSE)=0,"",TEXT(IFERROR(VLOOKUP(T_BilanSocial[[#This Row],[NumL]],T_TraitDi[#Data],COLUMN(T_TraitDi[[#This Row],[Colonne18]]),FALSE),""),"[hh]:mm"))</f>
        <v>#VALUE!</v>
      </c>
      <c r="AZ216" s="172" t="e">
        <f>IF(VLOOKUP(T_BilanSocial[[#This Row],[NumL]],T_TraitDi[#Data],COLUMN(T_TraitDi[[#This Row],[Colonne19]]),FALSE)=0,"",TEXT(IFERROR(VLOOKUP(T_BilanSocial[[#This Row],[NumL]],T_TraitDi[#Data],COLUMN(T_TraitDi[[#This Row],[Colonne19]]),FALSE),""),"[hh]:mm"))</f>
        <v>#VALUE!</v>
      </c>
      <c r="BA216" s="172" t="e">
        <f>IF(VLOOKUP(T_BilanSocial[[#This Row],[NumL]],T_TraitDi[#Data],COLUMN(T_TraitDi[[#This Row],[Colonne20]]),FALSE)=0,"",TEXT(IFERROR(VLOOKUP(T_BilanSocial[[#This Row],[NumL]],T_TraitDi[#Data],COLUMN(T_TraitDi[[#This Row],[Colonne20]]),FALSE),""),"[hh]:mm"))</f>
        <v>#VALUE!</v>
      </c>
      <c r="BB216" s="178" t="str">
        <f>IFERROR(VLOOKUP(T_BilanSocial[[#This Row],[NumL]],T_TraitDi[#Data],COLUMN(T_TraitDi[[#This Row],[Jeudi]]),FALSE),"")</f>
        <v/>
      </c>
      <c r="BC216" s="178" t="e">
        <f>IF(VLOOKUP(T_BilanSocial[[#This Row],[NumL]],T_TraitDi[#Data],COLUMN(T_TraitDi[[#This Row],[Colonne21]]),FALSE)=0,"",TEXT(IFERROR(VLOOKUP(T_BilanSocial[[#This Row],[NumL]],T_TraitDi[#Data],COLUMN(T_TraitDi[[#This Row],[Colonne21]]),FALSE),""),"[hh]:mm"))</f>
        <v>#VALUE!</v>
      </c>
      <c r="BD216" s="178" t="e">
        <f>IF(VLOOKUP(T_BilanSocial[[#This Row],[NumL]],T_TraitDi[#Data],COLUMN(T_TraitDi[[#This Row],[Colonne22]]),FALSE)=0,"",TEXT(IFERROR(VLOOKUP(T_BilanSocial[[#This Row],[NumL]],T_TraitDi[#Data],COLUMN(T_TraitDi[[#This Row],[Colonne22]]),FALSE),""),"[hh]:mm"))</f>
        <v>#VALUE!</v>
      </c>
      <c r="BE216" s="178" t="str">
        <f>IFERROR(VLOOKUP(T_BilanSocial[[#This Row],[NumL]],T_TraitDi[#Data],COLUMN(T_TraitDi[[#This Row],[Colonne23]]),FALSE),"")</f>
        <v/>
      </c>
      <c r="BF216" s="178" t="e">
        <f>IF(VLOOKUP(T_BilanSocial[[#This Row],[NumL]],T_TraitDi[#Data],COLUMN(T_TraitDi[[#This Row],[Colonne24]]),FALSE)=0,"",TEXT(IFERROR(VLOOKUP(T_BilanSocial[[#This Row],[NumL]],T_TraitDi[#Data],COLUMN(T_TraitDi[[#This Row],[Colonne24]]),FALSE),""),"[hh]:mm"))</f>
        <v>#VALUE!</v>
      </c>
      <c r="BG216" s="178" t="e">
        <f>IF(VLOOKUP(T_BilanSocial[[#This Row],[NumL]],T_TraitDi[#Data],COLUMN(T_TraitDi[[#This Row],[Colonne25]]),FALSE)=0,"",TEXT(IFERROR(VLOOKUP(T_BilanSocial[[#This Row],[NumL]],T_TraitDi[#Data],COLUMN(T_TraitDi[[#This Row],[Colonne25]]),FALSE),""),"[hh]:mm"))</f>
        <v>#VALUE!</v>
      </c>
      <c r="BH216" s="178" t="e">
        <f>IF(VLOOKUP(T_BilanSocial[[#This Row],[NumL]],T_TraitDi[#Data],COLUMN(T_TraitDi[[#This Row],[Colonne26]]),FALSE)=0,"",TEXT(IFERROR(VLOOKUP(T_BilanSocial[[#This Row],[NumL]],T_TraitDi[#Data],COLUMN(T_TraitDi[[#This Row],[Colonne26]]),FALSE),""),"[hh]:mm"))</f>
        <v>#VALUE!</v>
      </c>
      <c r="BI216" s="172" t="str">
        <f>IFERROR(VLOOKUP(T_BilanSocial[[#This Row],[NumL]],T_TraitDi[#Data],COLUMN(T_TraitDi[[#This Row],[Vendredi]]),FALSE),"")</f>
        <v/>
      </c>
      <c r="BJ216" s="172" t="e">
        <f>IF(VLOOKUP(T_BilanSocial[[#This Row],[NumL]],T_TraitDi[#Data],COLUMN(T_TraitDi[[#This Row],[Colonne27]]),FALSE)=0,"",TEXT(IFERROR(VLOOKUP(T_BilanSocial[[#This Row],[NumL]],T_TraitDi[#Data],COLUMN(T_TraitDi[[#This Row],[Colonne27]]),FALSE),""),"[hh]:mm"))</f>
        <v>#VALUE!</v>
      </c>
      <c r="BK216" s="172" t="e">
        <f>IF(VLOOKUP(T_BilanSocial[[#This Row],[NumL]],T_TraitDi[#Data],COLUMN(T_TraitDi[[#This Row],[Colonne28]]),FALSE)=0,"",TEXT(IFERROR(VLOOKUP(T_BilanSocial[[#This Row],[NumL]],T_TraitDi[#Data],COLUMN(T_TraitDi[[#This Row],[Colonne28]]),FALSE),""),"[hh]:mm"))</f>
        <v>#VALUE!</v>
      </c>
      <c r="BL216" s="172" t="str">
        <f>IFERROR(VLOOKUP(T_BilanSocial[[#This Row],[NumL]],T_TraitDi[#Data],COLUMN(T_TraitDi[[#This Row],[Colonne29]]),FALSE),"")</f>
        <v/>
      </c>
      <c r="BM216" s="172" t="e">
        <f>IF(VLOOKUP(T_BilanSocial[[#This Row],[NumL]],T_TraitDi[#Data],COLUMN(T_TraitDi[[#This Row],[Colonne30]]),FALSE)=0,"",TEXT(IFERROR(VLOOKUP(T_BilanSocial[[#This Row],[NumL]],T_TraitDi[#Data],COLUMN(T_TraitDi[[#This Row],[Colonne30]]),FALSE),""),"[hh]:mm"))</f>
        <v>#VALUE!</v>
      </c>
      <c r="BN216" s="172" t="e">
        <f>IF(VLOOKUP(T_BilanSocial[[#This Row],[NumL]],T_TraitDi[#Data],COLUMN(T_TraitDi[[#This Row],[Colonne31]]),FALSE)=0,"",TEXT(IFERROR(VLOOKUP(T_BilanSocial[[#This Row],[NumL]],T_TraitDi[#Data],COLUMN(T_TraitDi[[#This Row],[Colonne31]]),FALSE),""),"[hh]:mm"))</f>
        <v>#VALUE!</v>
      </c>
      <c r="BO216" s="172" t="e">
        <f>IF(VLOOKUP(T_BilanSocial[[#This Row],[NumL]],T_TraitDi[#Data],COLUMN(T_TraitDi[[#This Row],[Colonne32]]),FALSE)=0,"",TEXT(IFERROR(VLOOKUP(T_BilanSocial[[#This Row],[NumL]],T_TraitDi[#Data],COLUMN(T_TraitDi[[#This Row],[Colonne32]]),FALSE),""),"[hh]:mm"))</f>
        <v>#VALUE!</v>
      </c>
      <c r="BP216" s="172" t="e">
        <f>VLOOKUP(T_BilanSocial[[#This Row],[NumL]],T_TraitDi[#Data],COLUMN(T_TraitDi[NbJTot]),FALSE)</f>
        <v>#N/A</v>
      </c>
      <c r="BQ216" s="174" t="str">
        <f>IFERROR(VLOOKUP(T_BilanSocial[[#This Row],[NumL]],T_TraitDi[#Data],COLUMN(T_TraitDi[[#This Row],[NbJTW]]),FALSE),"")</f>
        <v/>
      </c>
      <c r="BR216" s="174" t="e">
        <f>IF(VLOOKUP(T_BilanSocial[[#This Row],[NumL]],T_TraitDi[#Data],COLUMN(T_TraitDi[[#This Row],[NbhTW]]),FALSE)=0,"",TEXT(IFERROR(VLOOKUP(T_BilanSocial[[#This Row],[NumL]],T_TraitDi[#Data],COLUMN(T_TraitDi[[#This Row],[NbhTW]]),FALSE),""),"[hh]:mm"))</f>
        <v>#VALUE!</v>
      </c>
      <c r="BS216" s="174" t="e">
        <f>IF(VLOOKUP(T_BilanSocial[[#This Row],[NumL]],T_TraitDi[#Data],COLUMN(T_TraitDi[[#This Row],[Nbhheb]]),FALSE)=0,"",TEXT(IFERROR(VLOOKUP($A216,T_TraitDi[#Data],COLUMN(T_TraitDi[[#This Row],[Nbhheb]]),FALSE),""),"[hh]:mm"))</f>
        <v>#VALUE!</v>
      </c>
      <c r="BT216" s="182" t="str">
        <f>IFERROR(VLOOKUP(VLOOKUP($A216,T_TraitDi[#Data],COLUMN(T_TraitDi[[#This Row],[Type1]]),FALSE),TypeTW,2,FALSE),"")</f>
        <v/>
      </c>
      <c r="BU216" s="182" t="str">
        <f>IFERROR(VLOOKUP($A216,T_TraitDi[#Data],COLUMN(T_TraitDi[[#This Row],[Rue1]]),FALSE),"")</f>
        <v/>
      </c>
      <c r="BV216" s="173" t="str">
        <f>IFERROR(VLOOKUP($A216,T_TraitDi[#Data],COLUMN(T_TraitDi[[#This Row],[CP1]]),FALSE),"")</f>
        <v/>
      </c>
      <c r="BW216" s="173" t="str">
        <f>IFERROR(VLOOKUP($A216,T_TraitDi[#Data],COLUMN(T_TraitDi[[#This Row],[VILLE1]]),FALSE),"")</f>
        <v/>
      </c>
      <c r="BX216" s="182" t="str">
        <f>IFERROR(VLOOKUP(VLOOKUP($A216,T_TraitDi[#Data],COLUMN(T_TraitDi[[#This Row],[Type2]]),FALSE),TypeTW,2,FALSE),"")</f>
        <v/>
      </c>
      <c r="BY216" s="182" t="str">
        <f>IFERROR(VLOOKUP($A216,T_TraitDi[#Data],COLUMN(T_TraitDi[[#This Row],[Rue2]]),FALSE),"")</f>
        <v/>
      </c>
      <c r="BZ216" s="173" t="str">
        <f>IFERROR(VLOOKUP($A216,T_TraitDi[#Data],COLUMN(T_TraitDi[[#This Row],[CP2]]),FALSE),"")</f>
        <v/>
      </c>
      <c r="CA216" s="173" t="str">
        <f>IFERROR(VLOOKUP($A216,T_TraitDi[#Data],COLUMN(T_TraitDi[[#This Row],[VILLE2]]),FALSE),"")</f>
        <v/>
      </c>
      <c r="CB216" s="182" t="str">
        <f>IF(VLOOKUP(T_BilanSocial[[#This Row],[NumL]],T_Equipement[#Data],COLUMN(T_Equipement[[#This Row],[PC]]),FALSE)="","Aucun équipement spécifique directement lié au télétravail",VLOOKUP(T_BilanSocial[[#This Row],[NumL]],T_Equipement[#Data],COLUMN(T_Equipement[[#This Row],[PC]]),FALSE))</f>
        <v>SCD2014MANU13</v>
      </c>
      <c r="CC216" s="166" t="str">
        <f>IFERROR(IF(VLOOKUP(T_BilanSocial[[#This Row],[NumL]],T_TraitDi[#Data],COLUMN(T_TraitDi[[#This Row],[Plan]]),FALSE)="OK","Un planning spécifique de télétravail est annexé à la présente convention.",""),"")</f>
        <v/>
      </c>
      <c r="CD216" s="258" t="s">
        <v>3308</v>
      </c>
      <c r="CE216" s="164" t="e">
        <f>IF(VLOOKUP(T_BilanSocial[[#This Row],[NumL]],T_suiviDi[#Data],COLUMN(T_suiviDi[[#This Row],[Entité]]),FALSE)="","",VLOOKUP(T_BilanSocial[[#This Row],[NumL]],T_suiviDi[#Data],COLUMN(T_suiviDi[[#This Row],[Entité]]),FALSE))</f>
        <v>#VALUE!</v>
      </c>
      <c r="CF216" s="164" t="str">
        <f>IF(VLOOKUP(T_BilanSocial[[#This Row],[NumL]],T_Commission[#Data],COLUMN(T_Commission[[#This Row],[envoi confirm TW]]),FALSE)="","",VLOOKUP(T_BilanSocial[[#This Row],[NumL]],T_Commission[#Data],COLUMN(T_Commission[[#This Row],[envoi confirm TW]]),FALSE))</f>
        <v>Oui</v>
      </c>
      <c r="CG21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6" s="262" t="str">
        <f>T_BilanSocial[[#This Row],[Nom]]&amp;T_BilanSocial[[#This Row],[Prenom]]</f>
        <v/>
      </c>
      <c r="CI216" s="262">
        <f>VLOOKUP(T_BilanSocial[[#This Row],[NumL]],T_Commission[#Data],COLUMN(T_Commission[Commentaire]),FALSE)</f>
        <v>0</v>
      </c>
      <c r="CJ216" s="262" t="str">
        <f>IF(VLOOKUP(T_BilanSocial[[#This Row],[NumL]],T_Commission[#Data],COLUMN(T_Commission[Encadrant Email]),FALSE)="","",VLOOKUP(T_BilanSocial[[#This Row],[NumL]],T_Commission[#Data],COLUMN(T_Commission[Encadrant Email]),FALSE))</f>
        <v/>
      </c>
      <c r="CK216" s="340" t="str">
        <f>IF(T_BilanSocial[[#This Row],[Final]]&lt;&gt;"",VLOOKUP(T_BilanSocial[[#This Row],[NumL]],T_suiviDi[#Data],COLUMN((T_suiviDi[Statut])),FALSE),"")</f>
        <v/>
      </c>
    </row>
    <row r="217" spans="1:89" s="106" customFormat="1" ht="24.75" customHeight="1" x14ac:dyDescent="0.25">
      <c r="A217" s="160">
        <v>214</v>
      </c>
      <c r="B217" s="161" t="str">
        <f t="shared" si="34"/>
        <v/>
      </c>
      <c r="C217" s="162" t="s">
        <v>173</v>
      </c>
      <c r="D217" s="95" t="e">
        <f>IF(VLOOKUP(T_BilanSocial[[#This Row],[NumL]],T_TraitDi[#Data],COLUMN(T_TraitDi[[#This Row],[WebC]]),FALSE)="","",VLOOKUP(T_BilanSocial[[#This Row],[NumL]],T_TraitDi[#Data],COLUMN(T_TraitDi[[#This Row],[WebC]]),FALSE))</f>
        <v>#VALUE!</v>
      </c>
      <c r="E217" s="163" t="str">
        <f t="shared" si="35"/>
        <v>12 janvier 2021</v>
      </c>
      <c r="F217" s="96" t="str">
        <f>IF(T_BilanSocial[[#This Row],[Final]]&lt;&gt;"",VLOOKUP(T_BilanSocial[[#This Row],[NumL]],T_suiviDi[#Data],COLUMN((T_suiviDi[Civ.])),FALSE),"")</f>
        <v/>
      </c>
      <c r="G217" s="96" t="str">
        <f>IF(T_BilanSocial[[#This Row],[Final]]&lt;&gt;"",VLOOKUP(T_BilanSocial[[#This Row],[NumL]],T_suiviDi[#Data],COLUMN((T_suiviDi[Nom])),FALSE),"")</f>
        <v/>
      </c>
      <c r="H217" s="96" t="str">
        <f>IF(T_BilanSocial[[#This Row],[Final]]&lt;&gt;"",VLOOKUP(T_BilanSocial[[#This Row],[NumL]],T_suiviDi[#Data],COLUMN((T_suiviDi[Prénom])),FALSE),"")</f>
        <v/>
      </c>
      <c r="I217" s="96" t="str">
        <f>IFERROR(VLOOKUP(T_BilanSocial[[#This Row],[Zone_Bilan]],T_P_BilanSocial[#Data],COLUMN(T_P_BilanSocial[[#This Row],[Numero_SIHAM]]),FALSE),"")</f>
        <v/>
      </c>
      <c r="J217" s="96" t="str">
        <f>IFERROR(VLOOKUP(T_BilanSocial[[#This Row],[Zone_Bilan]],T_P_BilanSocial[#Data],COLUMN(T_P_BilanSocial[[#This Row],[Sexe]]),FALSE),"")</f>
        <v/>
      </c>
      <c r="K217" s="97" t="str">
        <f>IFERROR(VLOOKUP(T_BilanSocial[[#This Row],[Zone_Bilan]],T_P_BilanSocial[#Data],COLUMN(T_P_BilanSocial[[#This Row],[Categorie]]),FALSE),"")</f>
        <v/>
      </c>
      <c r="L217" s="96" t="str">
        <f>IFERROR(VLOOKUP(T_BilanSocial[[#This Row],[Zone_Bilan]],T_P_BilanSocial[#Data],COLUMN(T_P_BilanSocial[[#This Row],[Statut]]),FALSE),"")</f>
        <v/>
      </c>
      <c r="M217" s="96" t="str">
        <f>IFERROR(VLOOKUP(T_BilanSocial[[#This Row],[Zone_Bilan]],T_P_BilanSocial[#Data],COLUMN(T_P_BilanSocial[[#This Row],[Filiere]]),FALSE),"")</f>
        <v/>
      </c>
      <c r="N217" s="96" t="e">
        <f>VLOOKUP(T_BilanSocial[[#This Row],[NumL]],T_TraitDi[#Data],COLUMN(T_TraitDi[EXP]),FALSE)</f>
        <v>#N/A</v>
      </c>
      <c r="O217" s="96" t="e">
        <f>VLOOKUP(T_BilanSocial[[#This Row],[NumL]],T_TraitDi[#Data],COLUMN(T_TraitDi[FORM]),FALSE)</f>
        <v>#N/A</v>
      </c>
      <c r="P217" s="96" t="str">
        <f>IF(T_BilanSocial[[#This Row],[Final]]&lt;&gt;"",VLOOKUP(T_BilanSocial[[#This Row],[NumL]],T_suiviDi[#Data],COLUMN((T_suiviDi[Email])),FALSE),"")</f>
        <v/>
      </c>
      <c r="Q217" s="164" t="e">
        <f t="shared" si="40"/>
        <v>#N/A</v>
      </c>
      <c r="R217" s="164" t="e">
        <f t="shared" si="41"/>
        <v>#N/A</v>
      </c>
      <c r="S217" s="164" t="e">
        <f>IF(VLOOKUP(T_BilanSocial[[#This Row],[NumL]],T_suiviDi[#Data],COLUMN(T_suiviDi[[#This Row],[Service ]]),FALSE)="","",VLOOKUP(T_BilanSocial[[#This Row],[NumL]],T_suiviDi[#Data],COLUMN(T_suiviDi[[#This Row],[Service ]]),FALSE))</f>
        <v>#VALUE!</v>
      </c>
      <c r="T217" s="164" t="str">
        <f t="shared" si="36"/>
        <v>01 septembre 2021</v>
      </c>
      <c r="U217" s="164" t="str">
        <f t="shared" si="37"/>
        <v>30 novembre 2021</v>
      </c>
      <c r="V217" s="164" t="str">
        <f t="shared" si="42"/>
        <v>30 novembre 2021</v>
      </c>
      <c r="W217" s="176" t="e">
        <f>IF(VLOOKUP(T_BilanSocial[[#This Row],[NumL]],T_TraitDi[#Data],COLUMN(T_TraitDi[[#This Row],[M1]]),FALSE)="","",VLOOKUP(T_BilanSocial[[#This Row],[NumL]],T_TraitDi[#Data],COLUMN(T_TraitDi[[#This Row],[M1]]),FALSE))</f>
        <v>#VALUE!</v>
      </c>
      <c r="X217" s="176" t="e">
        <f>IF(VLOOKUP(T_BilanSocial[[#This Row],[NumL]],T_TraitDi[#Data],COLUMN(T_TraitDi[[#This Row],[M2]]),FALSE)="","",VLOOKUP(T_BilanSocial[[#This Row],[NumL]],T_TraitDi[#Data],COLUMN(T_TraitDi[[#This Row],[M2]]),FALSE))</f>
        <v>#VALUE!</v>
      </c>
      <c r="Y217" s="176" t="e">
        <f>IF(VLOOKUP(T_BilanSocial[[#This Row],[NumL]],T_TraitDi[#Data],COLUMN(T_TraitDi[[#This Row],[M3]]),FALSE)="","",VLOOKUP(T_BilanSocial[[#This Row],[NumL]],T_TraitDi[#Data],COLUMN(T_TraitDi[[#This Row],[M3]]),FALSE))</f>
        <v>#VALUE!</v>
      </c>
      <c r="Z217" s="176" t="str">
        <f t="shared" si="39"/>
        <v/>
      </c>
      <c r="AA217" s="176" t="e">
        <f>IF(VLOOKUP(T_BilanSocial[[#This Row],[NumL]],T_TraitDi[#Data],COLUMN(T_TraitDi[[#This Row],[M5]]),FALSE)="","",VLOOKUP(T_BilanSocial[[#This Row],[NumL]],T_TraitDi[#Data],COLUMN(T_TraitDi[[#This Row],[M5]]),FALSE))</f>
        <v>#VALUE!</v>
      </c>
      <c r="AB217" s="176" t="e">
        <f>IF(VLOOKUP(T_BilanSocial[[#This Row],[NumL]],T_TraitDi[#Data],COLUMN(T_TraitDi[[#This Row],[M6]]),FALSE)="","",VLOOKUP(T_BilanSocial[[#This Row],[NumL]],T_TraitDi[#Data],COLUMN(T_TraitDi[[#This Row],[M6]]),FALSE))</f>
        <v>#VALUE!</v>
      </c>
      <c r="AC217" s="165" t="e">
        <f t="shared" si="38"/>
        <v>#VALUE!</v>
      </c>
      <c r="AD217" s="188" t="str">
        <f>IFERROR(TEXT(VLOOKUP(T_BilanSocial[[#This Row],[NumL]],T_TraitDi[#Data],COLUMN(T_TraitDi[[#This Row],[Q2]]),FALSE),"###%"),"")</f>
        <v/>
      </c>
      <c r="AE217" s="97" t="e">
        <f>VLOOKUP(T_BilanSocial[[#This Row],[NumL]],T_TraitDi[#Data],COLUMN(T_TraitDi[[#This Row],[Reg Ponct]]),FALSE)</f>
        <v>#VALUE!</v>
      </c>
      <c r="AF217" s="97" t="e">
        <f>VLOOKUP(T_BilanSocial[NumL],T_TraitDi[#Data],COLUMN(T_TraitDi[[#This Row],[Jours flottants]]),FALSE)</f>
        <v>#VALUE!</v>
      </c>
      <c r="AG217" s="97" t="str">
        <f>IFERROR(VLOOKUP(T_BilanSocial[[#This Row],[NumL]],T_TraitDi[#Data],COLUMN(T_TraitDi[[#This Row],[Lundi]]),FALSE),"")</f>
        <v/>
      </c>
      <c r="AH217" s="172" t="e">
        <f>IF(VLOOKUP(T_BilanSocial[[#This Row],[NumL]],T_TraitDi[#Data],COLUMN(T_TraitDi[[#This Row],[Colonne3]]),FALSE)=0,"",TEXT(IFERROR(VLOOKUP(T_BilanSocial[[#This Row],[NumL]],T_TraitDi[#Data],COLUMN(T_TraitDi[[#This Row],[Colonne3]]),FALSE),""),"[hh]:mm"))</f>
        <v>#VALUE!</v>
      </c>
      <c r="AI217" s="172" t="e">
        <f>IF(VLOOKUP(T_BilanSocial[[#This Row],[NumL]],T_TraitDi[#Data],COLUMN(T_TraitDi[[#This Row],[Colonne4]]),FALSE)=0,"",TEXT(IFERROR(VLOOKUP(T_BilanSocial[[#This Row],[NumL]],T_TraitDi[#Data],COLUMN(T_TraitDi[[#This Row],[Colonne4]]),FALSE),""),"[hh]:mm"))</f>
        <v>#VALUE!</v>
      </c>
      <c r="AJ217" s="172" t="e">
        <f>IF(VLOOKUP(T_BilanSocial[[#This Row],[NumL]],T_TraitDi[#Data],COLUMN(T_TraitDi[[#This Row],[Colonne5]]),FALSE)=0,"",TEXT(IFERROR(VLOOKUP(T_BilanSocial[[#This Row],[NumL]],T_TraitDi[#Data],COLUMN(T_TraitDi[[#This Row],[Colonne5]]),FALSE),""),"[hh]:mm"))</f>
        <v>#VALUE!</v>
      </c>
      <c r="AK217" s="172" t="e">
        <f>IF(VLOOKUP(T_BilanSocial[[#This Row],[NumL]],T_TraitDi[#Data],COLUMN(T_TraitDi[[#This Row],[Colonne6]]),FALSE)=0,"",TEXT(IFERROR(VLOOKUP(T_BilanSocial[[#This Row],[NumL]],T_TraitDi[#Data],COLUMN(T_TraitDi[[#This Row],[Colonne6]]),FALSE),""),"[hh]:mm"))</f>
        <v>#VALUE!</v>
      </c>
      <c r="AL217" s="172" t="e">
        <f>IF(VLOOKUP(T_BilanSocial[[#This Row],[NumL]],T_TraitDi[#Data],COLUMN(T_TraitDi[[#This Row],[Colonne7]]),FALSE)=0,"",TEXT(IFERROR(VLOOKUP(T_BilanSocial[[#This Row],[NumL]],T_TraitDi[#Data],COLUMN(T_TraitDi[[#This Row],[Colonne7]]),FALSE),""),"[hh]:mm"))</f>
        <v>#VALUE!</v>
      </c>
      <c r="AM217" s="172" t="e">
        <f>IF(VLOOKUP(T_BilanSocial[[#This Row],[NumL]],T_TraitDi[#Data],COLUMN(T_TraitDi[[#This Row],[Colonne8]]),FALSE)=0,"",TEXT(IFERROR(VLOOKUP(T_BilanSocial[[#This Row],[NumL]],T_TraitDi[#Data],COLUMN(T_TraitDi[[#This Row],[Colonne8]]),FALSE),""),"[hh]:mm"))</f>
        <v>#VALUE!</v>
      </c>
      <c r="AN217" s="172" t="str">
        <f>IFERROR(VLOOKUP(T_BilanSocial[[#This Row],[NumL]],T_TraitDi[#Data],COLUMN(T_TraitDi[[#This Row],[Mardi]]),FALSE),"")</f>
        <v/>
      </c>
      <c r="AO217" s="172" t="e">
        <f>IF(VLOOKUP(T_BilanSocial[[#This Row],[NumL]],T_TraitDi[#Data],COLUMN(T_TraitDi[[#This Row],[Colonne1]]),FALSE)=0,"",TEXT(IFERROR(VLOOKUP(T_BilanSocial[[#This Row],[NumL]],T_TraitDi[#Data],COLUMN(T_TraitDi[[#This Row],[Colonne1]]),FALSE),""),"[hh]:mm"))</f>
        <v>#VALUE!</v>
      </c>
      <c r="AP217" s="172" t="e">
        <f>IF(VLOOKUP(T_BilanSocial[[#This Row],[NumL]],T_TraitDi[#Data],COLUMN(T_TraitDi[[#This Row],[Colonne9]]),FALSE)=0,"",TEXT(IFERROR(VLOOKUP(T_BilanSocial[[#This Row],[NumL]],T_TraitDi[#Data],COLUMN(T_TraitDi[[#This Row],[Colonne9]]),FALSE),""),"[hh]:mm"))</f>
        <v>#VALUE!</v>
      </c>
      <c r="AQ217" s="172" t="str">
        <f>IFERROR(VLOOKUP(T_BilanSocial[[#This Row],[NumL]],T_TraitDi[#Data],COLUMN(T_TraitDi[[#This Row],[Colonne10]]),FALSE),"")</f>
        <v/>
      </c>
      <c r="AR217" s="172" t="e">
        <f>IF(VLOOKUP(T_BilanSocial[[#This Row],[NumL]],T_TraitDi[#Data],COLUMN(T_TraitDi[[#This Row],[Colonne11]]),FALSE)=0,"",TEXT(IFERROR(VLOOKUP(T_BilanSocial[[#This Row],[NumL]],T_TraitDi[#Data],COLUMN(T_TraitDi[[#This Row],[Colonne11]]),FALSE),""),"[hh]:mm"))</f>
        <v>#VALUE!</v>
      </c>
      <c r="AS217" s="172" t="e">
        <f>IF(VLOOKUP(T_BilanSocial[[#This Row],[NumL]],T_TraitDi[#Data],COLUMN(T_TraitDi[[#This Row],[Colonne12]]),FALSE)=0,"",TEXT(IFERROR(VLOOKUP(T_BilanSocial[[#This Row],[NumL]],T_TraitDi[#Data],COLUMN(T_TraitDi[[#This Row],[Colonne12]]),FALSE),""),"[hh]:mm"))</f>
        <v>#VALUE!</v>
      </c>
      <c r="AT217" s="172" t="e">
        <f>IF(VLOOKUP(T_BilanSocial[[#This Row],[NumL]],T_TraitDi[#Data],COLUMN(T_TraitDi[[#This Row],[Colonne14]]),FALSE)=0,"",TEXT(IFERROR(VLOOKUP(T_BilanSocial[[#This Row],[NumL]],T_TraitDi[#Data],COLUMN(T_TraitDi[[#This Row],[Colonne14]]),FALSE),""),"[hh]:mm"))</f>
        <v>#VALUE!</v>
      </c>
      <c r="AU217" s="172" t="str">
        <f>IFERROR(VLOOKUP(T_BilanSocial[[#This Row],[NumL]],T_TraitDi[#Data],COLUMN(T_TraitDi[[#This Row],[Mercredi]]),FALSE),"")</f>
        <v/>
      </c>
      <c r="AV217" s="172" t="e">
        <f>IF(VLOOKUP(T_BilanSocial[[#This Row],[NumL]],T_TraitDi[#Data],COLUMN(T_TraitDi[[#This Row],[Colonne15]]),FALSE)=0,"",TEXT(IFERROR(VLOOKUP(T_BilanSocial[[#This Row],[NumL]],T_TraitDi[#Data],COLUMN(T_TraitDi[[#This Row],[Colonne15]]),FALSE),""),"[hh]:mm"))</f>
        <v>#VALUE!</v>
      </c>
      <c r="AW217" s="172" t="e">
        <f>IF(VLOOKUP(T_BilanSocial[[#This Row],[NumL]],T_TraitDi[#Data],COLUMN(T_TraitDi[[#This Row],[Colonne16]]),FALSE)=0,"",TEXT(IFERROR(VLOOKUP(T_BilanSocial[[#This Row],[NumL]],T_TraitDi[#Data],COLUMN(T_TraitDi[[#This Row],[Colonne16]]),FALSE),""),"[hh]:mm"))</f>
        <v>#VALUE!</v>
      </c>
      <c r="AX217" s="172" t="str">
        <f>IFERROR(VLOOKUP(T_BilanSocial[[#This Row],[NumL]],T_TraitDi[#Data],COLUMN(T_TraitDi[[#This Row],[Colonne17]]),FALSE),"")</f>
        <v/>
      </c>
      <c r="AY217" s="172" t="e">
        <f>IF(VLOOKUP(T_BilanSocial[[#This Row],[NumL]],T_TraitDi[#Data],COLUMN(T_TraitDi[[#This Row],[Colonne18]]),FALSE)=0,"",TEXT(IFERROR(VLOOKUP(T_BilanSocial[[#This Row],[NumL]],T_TraitDi[#Data],COLUMN(T_TraitDi[[#This Row],[Colonne18]]),FALSE),""),"[hh]:mm"))</f>
        <v>#VALUE!</v>
      </c>
      <c r="AZ217" s="172" t="e">
        <f>IF(VLOOKUP(T_BilanSocial[[#This Row],[NumL]],T_TraitDi[#Data],COLUMN(T_TraitDi[[#This Row],[Colonne19]]),FALSE)=0,"",TEXT(IFERROR(VLOOKUP(T_BilanSocial[[#This Row],[NumL]],T_TraitDi[#Data],COLUMN(T_TraitDi[[#This Row],[Colonne19]]),FALSE),""),"[hh]:mm"))</f>
        <v>#VALUE!</v>
      </c>
      <c r="BA217" s="172" t="e">
        <f>IF(VLOOKUP(T_BilanSocial[[#This Row],[NumL]],T_TraitDi[#Data],COLUMN(T_TraitDi[[#This Row],[Colonne20]]),FALSE)=0,"",TEXT(IFERROR(VLOOKUP(T_BilanSocial[[#This Row],[NumL]],T_TraitDi[#Data],COLUMN(T_TraitDi[[#This Row],[Colonne20]]),FALSE),""),"[hh]:mm"))</f>
        <v>#VALUE!</v>
      </c>
      <c r="BB217" s="178" t="str">
        <f>IFERROR(VLOOKUP(T_BilanSocial[[#This Row],[NumL]],T_TraitDi[#Data],COLUMN(T_TraitDi[[#This Row],[Jeudi]]),FALSE),"")</f>
        <v/>
      </c>
      <c r="BC217" s="178" t="e">
        <f>IF(VLOOKUP(T_BilanSocial[[#This Row],[NumL]],T_TraitDi[#Data],COLUMN(T_TraitDi[[#This Row],[Colonne21]]),FALSE)=0,"",TEXT(IFERROR(VLOOKUP(T_BilanSocial[[#This Row],[NumL]],T_TraitDi[#Data],COLUMN(T_TraitDi[[#This Row],[Colonne21]]),FALSE),""),"[hh]:mm"))</f>
        <v>#VALUE!</v>
      </c>
      <c r="BD217" s="178" t="e">
        <f>IF(VLOOKUP(T_BilanSocial[[#This Row],[NumL]],T_TraitDi[#Data],COLUMN(T_TraitDi[[#This Row],[Colonne22]]),FALSE)=0,"",TEXT(IFERROR(VLOOKUP(T_BilanSocial[[#This Row],[NumL]],T_TraitDi[#Data],COLUMN(T_TraitDi[[#This Row],[Colonne22]]),FALSE),""),"[hh]:mm"))</f>
        <v>#VALUE!</v>
      </c>
      <c r="BE217" s="178" t="str">
        <f>IFERROR(VLOOKUP(T_BilanSocial[[#This Row],[NumL]],T_TraitDi[#Data],COLUMN(T_TraitDi[[#This Row],[Colonne23]]),FALSE),"")</f>
        <v/>
      </c>
      <c r="BF217" s="178" t="e">
        <f>IF(VLOOKUP(T_BilanSocial[[#This Row],[NumL]],T_TraitDi[#Data],COLUMN(T_TraitDi[[#This Row],[Colonne24]]),FALSE)=0,"",TEXT(IFERROR(VLOOKUP(T_BilanSocial[[#This Row],[NumL]],T_TraitDi[#Data],COLUMN(T_TraitDi[[#This Row],[Colonne24]]),FALSE),""),"[hh]:mm"))</f>
        <v>#VALUE!</v>
      </c>
      <c r="BG217" s="178" t="e">
        <f>IF(VLOOKUP(T_BilanSocial[[#This Row],[NumL]],T_TraitDi[#Data],COLUMN(T_TraitDi[[#This Row],[Colonne25]]),FALSE)=0,"",TEXT(IFERROR(VLOOKUP(T_BilanSocial[[#This Row],[NumL]],T_TraitDi[#Data],COLUMN(T_TraitDi[[#This Row],[Colonne25]]),FALSE),""),"[hh]:mm"))</f>
        <v>#VALUE!</v>
      </c>
      <c r="BH217" s="178" t="e">
        <f>IF(VLOOKUP(T_BilanSocial[[#This Row],[NumL]],T_TraitDi[#Data],COLUMN(T_TraitDi[[#This Row],[Colonne26]]),FALSE)=0,"",TEXT(IFERROR(VLOOKUP(T_BilanSocial[[#This Row],[NumL]],T_TraitDi[#Data],COLUMN(T_TraitDi[[#This Row],[Colonne26]]),FALSE),""),"[hh]:mm"))</f>
        <v>#VALUE!</v>
      </c>
      <c r="BI217" s="172" t="str">
        <f>IFERROR(VLOOKUP(T_BilanSocial[[#This Row],[NumL]],T_TraitDi[#Data],COLUMN(T_TraitDi[[#This Row],[Vendredi]]),FALSE),"")</f>
        <v/>
      </c>
      <c r="BJ217" s="172" t="e">
        <f>IF(VLOOKUP(T_BilanSocial[[#This Row],[NumL]],T_TraitDi[#Data],COLUMN(T_TraitDi[[#This Row],[Colonne27]]),FALSE)=0,"",TEXT(IFERROR(VLOOKUP(T_BilanSocial[[#This Row],[NumL]],T_TraitDi[#Data],COLUMN(T_TraitDi[[#This Row],[Colonne27]]),FALSE),""),"[hh]:mm"))</f>
        <v>#VALUE!</v>
      </c>
      <c r="BK217" s="172" t="e">
        <f>IF(VLOOKUP(T_BilanSocial[[#This Row],[NumL]],T_TraitDi[#Data],COLUMN(T_TraitDi[[#This Row],[Colonne28]]),FALSE)=0,"",TEXT(IFERROR(VLOOKUP(T_BilanSocial[[#This Row],[NumL]],T_TraitDi[#Data],COLUMN(T_TraitDi[[#This Row],[Colonne28]]),FALSE),""),"[hh]:mm"))</f>
        <v>#VALUE!</v>
      </c>
      <c r="BL217" s="172" t="str">
        <f>IFERROR(VLOOKUP(T_BilanSocial[[#This Row],[NumL]],T_TraitDi[#Data],COLUMN(T_TraitDi[[#This Row],[Colonne29]]),FALSE),"")</f>
        <v/>
      </c>
      <c r="BM217" s="172" t="e">
        <f>IF(VLOOKUP(T_BilanSocial[[#This Row],[NumL]],T_TraitDi[#Data],COLUMN(T_TraitDi[[#This Row],[Colonne30]]),FALSE)=0,"",TEXT(IFERROR(VLOOKUP(T_BilanSocial[[#This Row],[NumL]],T_TraitDi[#Data],COLUMN(T_TraitDi[[#This Row],[Colonne30]]),FALSE),""),"[hh]:mm"))</f>
        <v>#VALUE!</v>
      </c>
      <c r="BN217" s="172" t="e">
        <f>IF(VLOOKUP(T_BilanSocial[[#This Row],[NumL]],T_TraitDi[#Data],COLUMN(T_TraitDi[[#This Row],[Colonne31]]),FALSE)=0,"",TEXT(IFERROR(VLOOKUP(T_BilanSocial[[#This Row],[NumL]],T_TraitDi[#Data],COLUMN(T_TraitDi[[#This Row],[Colonne31]]),FALSE),""),"[hh]:mm"))</f>
        <v>#VALUE!</v>
      </c>
      <c r="BO217" s="172" t="e">
        <f>IF(VLOOKUP(T_BilanSocial[[#This Row],[NumL]],T_TraitDi[#Data],COLUMN(T_TraitDi[[#This Row],[Colonne32]]),FALSE)=0,"",TEXT(IFERROR(VLOOKUP(T_BilanSocial[[#This Row],[NumL]],T_TraitDi[#Data],COLUMN(T_TraitDi[[#This Row],[Colonne32]]),FALSE),""),"[hh]:mm"))</f>
        <v>#VALUE!</v>
      </c>
      <c r="BP217" s="172" t="e">
        <f>VLOOKUP(T_BilanSocial[[#This Row],[NumL]],T_TraitDi[#Data],COLUMN(T_TraitDi[NbJTot]),FALSE)</f>
        <v>#N/A</v>
      </c>
      <c r="BQ217" s="174" t="str">
        <f>IFERROR(VLOOKUP(T_BilanSocial[[#This Row],[NumL]],T_TraitDi[#Data],COLUMN(T_TraitDi[[#This Row],[NbJTW]]),FALSE),"")</f>
        <v/>
      </c>
      <c r="BR217" s="174" t="e">
        <f>IF(VLOOKUP(T_BilanSocial[[#This Row],[NumL]],T_TraitDi[#Data],COLUMN(T_TraitDi[[#This Row],[NbhTW]]),FALSE)=0,"",TEXT(IFERROR(VLOOKUP(T_BilanSocial[[#This Row],[NumL]],T_TraitDi[#Data],COLUMN(T_TraitDi[[#This Row],[NbhTW]]),FALSE),""),"[hh]:mm"))</f>
        <v>#VALUE!</v>
      </c>
      <c r="BS217" s="174" t="e">
        <f>IF(VLOOKUP(T_BilanSocial[[#This Row],[NumL]],T_TraitDi[#Data],COLUMN(T_TraitDi[[#This Row],[Nbhheb]]),FALSE)=0,"",TEXT(IFERROR(VLOOKUP($A217,T_TraitDi[#Data],COLUMN(T_TraitDi[[#This Row],[Nbhheb]]),FALSE),""),"[hh]:mm"))</f>
        <v>#VALUE!</v>
      </c>
      <c r="BT217" s="182" t="str">
        <f>IFERROR(VLOOKUP(VLOOKUP($A217,T_TraitDi[#Data],COLUMN(T_TraitDi[[#This Row],[Type1]]),FALSE),TypeTW,2,FALSE),"")</f>
        <v/>
      </c>
      <c r="BU217" s="182" t="str">
        <f>IFERROR(VLOOKUP($A217,T_TraitDi[#Data],COLUMN(T_TraitDi[[#This Row],[Rue1]]),FALSE),"")</f>
        <v/>
      </c>
      <c r="BV217" s="173" t="str">
        <f>IFERROR(VLOOKUP($A217,T_TraitDi[#Data],COLUMN(T_TraitDi[[#This Row],[CP1]]),FALSE),"")</f>
        <v/>
      </c>
      <c r="BW217" s="173" t="str">
        <f>IFERROR(VLOOKUP($A217,T_TraitDi[#Data],COLUMN(T_TraitDi[[#This Row],[VILLE1]]),FALSE),"")</f>
        <v/>
      </c>
      <c r="BX217" s="182" t="str">
        <f>IFERROR(VLOOKUP(VLOOKUP($A217,T_TraitDi[#Data],COLUMN(T_TraitDi[[#This Row],[Type2]]),FALSE),TypeTW,2,FALSE),"")</f>
        <v/>
      </c>
      <c r="BY217" s="182" t="str">
        <f>IFERROR(VLOOKUP($A217,T_TraitDi[#Data],COLUMN(T_TraitDi[[#This Row],[Rue2]]),FALSE),"")</f>
        <v/>
      </c>
      <c r="BZ217" s="173" t="str">
        <f>IFERROR(VLOOKUP($A217,T_TraitDi[#Data],COLUMN(T_TraitDi[[#This Row],[CP2]]),FALSE),"")</f>
        <v/>
      </c>
      <c r="CA217" s="173" t="str">
        <f>IFERROR(VLOOKUP($A217,T_TraitDi[#Data],COLUMN(T_TraitDi[[#This Row],[VILLE2]]),FALSE),"")</f>
        <v/>
      </c>
      <c r="CB217" s="182" t="str">
        <f>IF(VLOOKUP(T_BilanSocial[[#This Row],[NumL]],T_Equipement[#Data],COLUMN(T_Equipement[[#This Row],[PC]]),FALSE)="","Aucun équipement spécifique directement lié au télétravail",VLOOKUP(T_BilanSocial[[#This Row],[NumL]],T_Equipement[#Data],COLUMN(T_Equipement[[#This Row],[PC]]),FALSE))</f>
        <v xml:space="preserve">20-061	</v>
      </c>
      <c r="CC217" s="166" t="str">
        <f>IFERROR(IF(VLOOKUP(T_BilanSocial[[#This Row],[NumL]],T_TraitDi[#Data],COLUMN(T_TraitDi[[#This Row],[Plan]]),FALSE)="OK","Un planning spécifique de télétravail est annexé à la présente convention.",""),"")</f>
        <v/>
      </c>
      <c r="CD217" s="258" t="s">
        <v>3391</v>
      </c>
      <c r="CE217" s="164" t="e">
        <f>IF(VLOOKUP(T_BilanSocial[[#This Row],[NumL]],T_suiviDi[#Data],COLUMN(T_suiviDi[[#This Row],[Entité]]),FALSE)="","",VLOOKUP(T_BilanSocial[[#This Row],[NumL]],T_suiviDi[#Data],COLUMN(T_suiviDi[[#This Row],[Entité]]),FALSE))</f>
        <v>#VALUE!</v>
      </c>
      <c r="CF217" s="164" t="str">
        <f>IF(VLOOKUP(T_BilanSocial[[#This Row],[NumL]],T_Commission[#Data],COLUMN(T_Commission[[#This Row],[envoi confirm TW]]),FALSE)="","",VLOOKUP(T_BilanSocial[[#This Row],[NumL]],T_Commission[#Data],COLUMN(T_Commission[[#This Row],[envoi confirm TW]]),FALSE))</f>
        <v>Oui</v>
      </c>
      <c r="CG21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7" s="262" t="str">
        <f>T_BilanSocial[[#This Row],[Nom]]&amp;T_BilanSocial[[#This Row],[Prenom]]</f>
        <v/>
      </c>
      <c r="CI217" s="262">
        <f>VLOOKUP(T_BilanSocial[[#This Row],[NumL]],T_Commission[#Data],COLUMN(T_Commission[Commentaire]),FALSE)</f>
        <v>0</v>
      </c>
      <c r="CJ217" s="262" t="str">
        <f>IF(VLOOKUP(T_BilanSocial[[#This Row],[NumL]],T_Commission[#Data],COLUMN(T_Commission[Encadrant Email]),FALSE)="","",VLOOKUP(T_BilanSocial[[#This Row],[NumL]],T_Commission[#Data],COLUMN(T_Commission[Encadrant Email]),FALSE))</f>
        <v/>
      </c>
      <c r="CK217" s="340" t="str">
        <f>IF(T_BilanSocial[[#This Row],[Final]]&lt;&gt;"",VLOOKUP(T_BilanSocial[[#This Row],[NumL]],T_suiviDi[#Data],COLUMN((T_suiviDi[Statut])),FALSE),"")</f>
        <v/>
      </c>
    </row>
    <row r="218" spans="1:89" s="106" customFormat="1" ht="24.75" customHeight="1" x14ac:dyDescent="0.25">
      <c r="A218" s="160">
        <v>215</v>
      </c>
      <c r="B218" s="161" t="str">
        <f t="shared" si="34"/>
        <v/>
      </c>
      <c r="C218" s="162" t="s">
        <v>139</v>
      </c>
      <c r="D218" s="95" t="e">
        <f>IF(VLOOKUP(T_BilanSocial[[#This Row],[NumL]],T_TraitDi[#Data],COLUMN(T_TraitDi[[#This Row],[WebC]]),FALSE)="","",VLOOKUP(T_BilanSocial[[#This Row],[NumL]],T_TraitDi[#Data],COLUMN(T_TraitDi[[#This Row],[WebC]]),FALSE))</f>
        <v>#VALUE!</v>
      </c>
      <c r="E218" s="163" t="str">
        <f t="shared" si="35"/>
        <v>12 janvier 2021</v>
      </c>
      <c r="F218" s="96" t="str">
        <f>IF(T_BilanSocial[[#This Row],[Final]]&lt;&gt;"",VLOOKUP(T_BilanSocial[[#This Row],[NumL]],T_suiviDi[#Data],COLUMN((T_suiviDi[Civ.])),FALSE),"")</f>
        <v/>
      </c>
      <c r="G218" s="96" t="str">
        <f>IF(T_BilanSocial[[#This Row],[Final]]&lt;&gt;"",VLOOKUP(T_BilanSocial[[#This Row],[NumL]],T_suiviDi[#Data],COLUMN((T_suiviDi[Nom])),FALSE),"")</f>
        <v/>
      </c>
      <c r="H218" s="96" t="str">
        <f>IF(T_BilanSocial[[#This Row],[Final]]&lt;&gt;"",VLOOKUP(T_BilanSocial[[#This Row],[NumL]],T_suiviDi[#Data],COLUMN((T_suiviDi[Prénom])),FALSE),"")</f>
        <v/>
      </c>
      <c r="I218" s="96" t="str">
        <f>IFERROR(VLOOKUP(T_BilanSocial[[#This Row],[Zone_Bilan]],T_P_BilanSocial[#Data],COLUMN(T_P_BilanSocial[[#This Row],[Numero_SIHAM]]),FALSE),"")</f>
        <v/>
      </c>
      <c r="J218" s="96" t="str">
        <f>IFERROR(VLOOKUP(T_BilanSocial[[#This Row],[Zone_Bilan]],T_P_BilanSocial[#Data],COLUMN(T_P_BilanSocial[[#This Row],[Sexe]]),FALSE),"")</f>
        <v/>
      </c>
      <c r="K218" s="97" t="str">
        <f>IFERROR(VLOOKUP(T_BilanSocial[[#This Row],[Zone_Bilan]],T_P_BilanSocial[#Data],COLUMN(T_P_BilanSocial[[#This Row],[Categorie]]),FALSE),"")</f>
        <v/>
      </c>
      <c r="L218" s="96" t="str">
        <f>IFERROR(VLOOKUP(T_BilanSocial[[#This Row],[Zone_Bilan]],T_P_BilanSocial[#Data],COLUMN(T_P_BilanSocial[[#This Row],[Statut]]),FALSE),"")</f>
        <v/>
      </c>
      <c r="M218" s="96" t="str">
        <f>IFERROR(VLOOKUP(T_BilanSocial[[#This Row],[Zone_Bilan]],T_P_BilanSocial[#Data],COLUMN(T_P_BilanSocial[[#This Row],[Filiere]]),FALSE),"")</f>
        <v/>
      </c>
      <c r="N218" s="96" t="e">
        <f>VLOOKUP(T_BilanSocial[[#This Row],[NumL]],T_TraitDi[#Data],COLUMN(T_TraitDi[EXP]),FALSE)</f>
        <v>#N/A</v>
      </c>
      <c r="O218" s="96" t="e">
        <f>VLOOKUP(T_BilanSocial[[#This Row],[NumL]],T_TraitDi[#Data],COLUMN(T_TraitDi[FORM]),FALSE)</f>
        <v>#N/A</v>
      </c>
      <c r="P218" s="96" t="str">
        <f>IF(T_BilanSocial[[#This Row],[Final]]&lt;&gt;"",VLOOKUP(T_BilanSocial[[#This Row],[NumL]],T_suiviDi[#Data],COLUMN((T_suiviDi[Email])),FALSE),"")</f>
        <v/>
      </c>
      <c r="Q218" s="164" t="e">
        <f t="shared" si="40"/>
        <v>#N/A</v>
      </c>
      <c r="R218" s="164" t="e">
        <f t="shared" si="41"/>
        <v>#N/A</v>
      </c>
      <c r="S218" s="164" t="e">
        <f>IF(VLOOKUP(T_BilanSocial[[#This Row],[NumL]],T_suiviDi[#Data],COLUMN(T_suiviDi[[#This Row],[Service ]]),FALSE)="","",VLOOKUP(T_BilanSocial[[#This Row],[NumL]],T_suiviDi[#Data],COLUMN(T_suiviDi[[#This Row],[Service ]]),FALSE))</f>
        <v>#VALUE!</v>
      </c>
      <c r="T218" s="164" t="str">
        <f t="shared" si="36"/>
        <v>01 septembre 2021</v>
      </c>
      <c r="U218" s="164" t="str">
        <f t="shared" si="37"/>
        <v>30 novembre 2021</v>
      </c>
      <c r="V218" s="164" t="str">
        <f t="shared" si="42"/>
        <v>30 novembre 2021</v>
      </c>
      <c r="W218" s="176" t="e">
        <f>IF(VLOOKUP(T_BilanSocial[[#This Row],[NumL]],T_TraitDi[#Data],COLUMN(T_TraitDi[[#This Row],[M1]]),FALSE)="","",VLOOKUP(T_BilanSocial[[#This Row],[NumL]],T_TraitDi[#Data],COLUMN(T_TraitDi[[#This Row],[M1]]),FALSE))</f>
        <v>#VALUE!</v>
      </c>
      <c r="X218" s="176" t="e">
        <f>IF(VLOOKUP(T_BilanSocial[[#This Row],[NumL]],T_TraitDi[#Data],COLUMN(T_TraitDi[[#This Row],[M2]]),FALSE)="","",VLOOKUP(T_BilanSocial[[#This Row],[NumL]],T_TraitDi[#Data],COLUMN(T_TraitDi[[#This Row],[M2]]),FALSE))</f>
        <v>#VALUE!</v>
      </c>
      <c r="Y218" s="176" t="e">
        <f>IF(VLOOKUP(T_BilanSocial[[#This Row],[NumL]],T_TraitDi[#Data],COLUMN(T_TraitDi[[#This Row],[M3]]),FALSE)="","",VLOOKUP(T_BilanSocial[[#This Row],[NumL]],T_TraitDi[#Data],COLUMN(T_TraitDi[[#This Row],[M3]]),FALSE))</f>
        <v>#VALUE!</v>
      </c>
      <c r="Z218" s="176" t="str">
        <f t="shared" si="39"/>
        <v/>
      </c>
      <c r="AA218" s="176" t="e">
        <f>IF(VLOOKUP(T_BilanSocial[[#This Row],[NumL]],T_TraitDi[#Data],COLUMN(T_TraitDi[[#This Row],[M5]]),FALSE)="","",VLOOKUP(T_BilanSocial[[#This Row],[NumL]],T_TraitDi[#Data],COLUMN(T_TraitDi[[#This Row],[M5]]),FALSE))</f>
        <v>#VALUE!</v>
      </c>
      <c r="AB218" s="176" t="e">
        <f>IF(VLOOKUP(T_BilanSocial[[#This Row],[NumL]],T_TraitDi[#Data],COLUMN(T_TraitDi[[#This Row],[M6]]),FALSE)="","",VLOOKUP(T_BilanSocial[[#This Row],[NumL]],T_TraitDi[#Data],COLUMN(T_TraitDi[[#This Row],[M6]]),FALSE))</f>
        <v>#VALUE!</v>
      </c>
      <c r="AC218" s="165" t="e">
        <f t="shared" si="38"/>
        <v>#VALUE!</v>
      </c>
      <c r="AD218" s="188" t="str">
        <f>IFERROR(TEXT(VLOOKUP(T_BilanSocial[[#This Row],[NumL]],T_TraitDi[#Data],COLUMN(T_TraitDi[[#This Row],[Q2]]),FALSE),"###%"),"")</f>
        <v/>
      </c>
      <c r="AE218" s="97" t="e">
        <f>VLOOKUP(T_BilanSocial[[#This Row],[NumL]],T_TraitDi[#Data],COLUMN(T_TraitDi[[#This Row],[Reg Ponct]]),FALSE)</f>
        <v>#VALUE!</v>
      </c>
      <c r="AF218" s="97" t="e">
        <f>VLOOKUP(T_BilanSocial[NumL],T_TraitDi[#Data],COLUMN(T_TraitDi[[#This Row],[Jours flottants]]),FALSE)</f>
        <v>#VALUE!</v>
      </c>
      <c r="AG218" s="97" t="str">
        <f>IFERROR(VLOOKUP(T_BilanSocial[[#This Row],[NumL]],T_TraitDi[#Data],COLUMN(T_TraitDi[[#This Row],[Lundi]]),FALSE),"")</f>
        <v/>
      </c>
      <c r="AH218" s="172" t="e">
        <f>IF(VLOOKUP(T_BilanSocial[[#This Row],[NumL]],T_TraitDi[#Data],COLUMN(T_TraitDi[[#This Row],[Colonne3]]),FALSE)=0,"",TEXT(IFERROR(VLOOKUP(T_BilanSocial[[#This Row],[NumL]],T_TraitDi[#Data],COLUMN(T_TraitDi[[#This Row],[Colonne3]]),FALSE),""),"[hh]:mm"))</f>
        <v>#VALUE!</v>
      </c>
      <c r="AI218" s="172" t="e">
        <f>IF(VLOOKUP(T_BilanSocial[[#This Row],[NumL]],T_TraitDi[#Data],COLUMN(T_TraitDi[[#This Row],[Colonne4]]),FALSE)=0,"",TEXT(IFERROR(VLOOKUP(T_BilanSocial[[#This Row],[NumL]],T_TraitDi[#Data],COLUMN(T_TraitDi[[#This Row],[Colonne4]]),FALSE),""),"[hh]:mm"))</f>
        <v>#VALUE!</v>
      </c>
      <c r="AJ218" s="172" t="e">
        <f>IF(VLOOKUP(T_BilanSocial[[#This Row],[NumL]],T_TraitDi[#Data],COLUMN(T_TraitDi[[#This Row],[Colonne5]]),FALSE)=0,"",TEXT(IFERROR(VLOOKUP(T_BilanSocial[[#This Row],[NumL]],T_TraitDi[#Data],COLUMN(T_TraitDi[[#This Row],[Colonne5]]),FALSE),""),"[hh]:mm"))</f>
        <v>#VALUE!</v>
      </c>
      <c r="AK218" s="172" t="e">
        <f>IF(VLOOKUP(T_BilanSocial[[#This Row],[NumL]],T_TraitDi[#Data],COLUMN(T_TraitDi[[#This Row],[Colonne6]]),FALSE)=0,"",TEXT(IFERROR(VLOOKUP(T_BilanSocial[[#This Row],[NumL]],T_TraitDi[#Data],COLUMN(T_TraitDi[[#This Row],[Colonne6]]),FALSE),""),"[hh]:mm"))</f>
        <v>#VALUE!</v>
      </c>
      <c r="AL218" s="172" t="e">
        <f>IF(VLOOKUP(T_BilanSocial[[#This Row],[NumL]],T_TraitDi[#Data],COLUMN(T_TraitDi[[#This Row],[Colonne7]]),FALSE)=0,"",TEXT(IFERROR(VLOOKUP(T_BilanSocial[[#This Row],[NumL]],T_TraitDi[#Data],COLUMN(T_TraitDi[[#This Row],[Colonne7]]),FALSE),""),"[hh]:mm"))</f>
        <v>#VALUE!</v>
      </c>
      <c r="AM218" s="172" t="e">
        <f>IF(VLOOKUP(T_BilanSocial[[#This Row],[NumL]],T_TraitDi[#Data],COLUMN(T_TraitDi[[#This Row],[Colonne8]]),FALSE)=0,"",TEXT(IFERROR(VLOOKUP(T_BilanSocial[[#This Row],[NumL]],T_TraitDi[#Data],COLUMN(T_TraitDi[[#This Row],[Colonne8]]),FALSE),""),"[hh]:mm"))</f>
        <v>#VALUE!</v>
      </c>
      <c r="AN218" s="172" t="str">
        <f>IFERROR(VLOOKUP(T_BilanSocial[[#This Row],[NumL]],T_TraitDi[#Data],COLUMN(T_TraitDi[[#This Row],[Mardi]]),FALSE),"")</f>
        <v/>
      </c>
      <c r="AO218" s="172" t="e">
        <f>IF(VLOOKUP(T_BilanSocial[[#This Row],[NumL]],T_TraitDi[#Data],COLUMN(T_TraitDi[[#This Row],[Colonne1]]),FALSE)=0,"",TEXT(IFERROR(VLOOKUP(T_BilanSocial[[#This Row],[NumL]],T_TraitDi[#Data],COLUMN(T_TraitDi[[#This Row],[Colonne1]]),FALSE),""),"[hh]:mm"))</f>
        <v>#VALUE!</v>
      </c>
      <c r="AP218" s="172" t="e">
        <f>IF(VLOOKUP(T_BilanSocial[[#This Row],[NumL]],T_TraitDi[#Data],COLUMN(T_TraitDi[[#This Row],[Colonne9]]),FALSE)=0,"",TEXT(IFERROR(VLOOKUP(T_BilanSocial[[#This Row],[NumL]],T_TraitDi[#Data],COLUMN(T_TraitDi[[#This Row],[Colonne9]]),FALSE),""),"[hh]:mm"))</f>
        <v>#VALUE!</v>
      </c>
      <c r="AQ218" s="172" t="str">
        <f>IFERROR(VLOOKUP(T_BilanSocial[[#This Row],[NumL]],T_TraitDi[#Data],COLUMN(T_TraitDi[[#This Row],[Colonne10]]),FALSE),"")</f>
        <v/>
      </c>
      <c r="AR218" s="172" t="e">
        <f>IF(VLOOKUP(T_BilanSocial[[#This Row],[NumL]],T_TraitDi[#Data],COLUMN(T_TraitDi[[#This Row],[Colonne11]]),FALSE)=0,"",TEXT(IFERROR(VLOOKUP(T_BilanSocial[[#This Row],[NumL]],T_TraitDi[#Data],COLUMN(T_TraitDi[[#This Row],[Colonne11]]),FALSE),""),"[hh]:mm"))</f>
        <v>#VALUE!</v>
      </c>
      <c r="AS218" s="172" t="e">
        <f>IF(VLOOKUP(T_BilanSocial[[#This Row],[NumL]],T_TraitDi[#Data],COLUMN(T_TraitDi[[#This Row],[Colonne12]]),FALSE)=0,"",TEXT(IFERROR(VLOOKUP(T_BilanSocial[[#This Row],[NumL]],T_TraitDi[#Data],COLUMN(T_TraitDi[[#This Row],[Colonne12]]),FALSE),""),"[hh]:mm"))</f>
        <v>#VALUE!</v>
      </c>
      <c r="AT218" s="172" t="e">
        <f>IF(VLOOKUP(T_BilanSocial[[#This Row],[NumL]],T_TraitDi[#Data],COLUMN(T_TraitDi[[#This Row],[Colonne14]]),FALSE)=0,"",TEXT(IFERROR(VLOOKUP(T_BilanSocial[[#This Row],[NumL]],T_TraitDi[#Data],COLUMN(T_TraitDi[[#This Row],[Colonne14]]),FALSE),""),"[hh]:mm"))</f>
        <v>#VALUE!</v>
      </c>
      <c r="AU218" s="172" t="str">
        <f>IFERROR(VLOOKUP(T_BilanSocial[[#This Row],[NumL]],T_TraitDi[#Data],COLUMN(T_TraitDi[[#This Row],[Mercredi]]),FALSE),"")</f>
        <v/>
      </c>
      <c r="AV218" s="172" t="e">
        <f>IF(VLOOKUP(T_BilanSocial[[#This Row],[NumL]],T_TraitDi[#Data],COLUMN(T_TraitDi[[#This Row],[Colonne15]]),FALSE)=0,"",TEXT(IFERROR(VLOOKUP(T_BilanSocial[[#This Row],[NumL]],T_TraitDi[#Data],COLUMN(T_TraitDi[[#This Row],[Colonne15]]),FALSE),""),"[hh]:mm"))</f>
        <v>#VALUE!</v>
      </c>
      <c r="AW218" s="172" t="e">
        <f>IF(VLOOKUP(T_BilanSocial[[#This Row],[NumL]],T_TraitDi[#Data],COLUMN(T_TraitDi[[#This Row],[Colonne16]]),FALSE)=0,"",TEXT(IFERROR(VLOOKUP(T_BilanSocial[[#This Row],[NumL]],T_TraitDi[#Data],COLUMN(T_TraitDi[[#This Row],[Colonne16]]),FALSE),""),"[hh]:mm"))</f>
        <v>#VALUE!</v>
      </c>
      <c r="AX218" s="172" t="str">
        <f>IFERROR(VLOOKUP(T_BilanSocial[[#This Row],[NumL]],T_TraitDi[#Data],COLUMN(T_TraitDi[[#This Row],[Colonne17]]),FALSE),"")</f>
        <v/>
      </c>
      <c r="AY218" s="172" t="e">
        <f>IF(VLOOKUP(T_BilanSocial[[#This Row],[NumL]],T_TraitDi[#Data],COLUMN(T_TraitDi[[#This Row],[Colonne18]]),FALSE)=0,"",TEXT(IFERROR(VLOOKUP(T_BilanSocial[[#This Row],[NumL]],T_TraitDi[#Data],COLUMN(T_TraitDi[[#This Row],[Colonne18]]),FALSE),""),"[hh]:mm"))</f>
        <v>#VALUE!</v>
      </c>
      <c r="AZ218" s="172" t="e">
        <f>IF(VLOOKUP(T_BilanSocial[[#This Row],[NumL]],T_TraitDi[#Data],COLUMN(T_TraitDi[[#This Row],[Colonne19]]),FALSE)=0,"",TEXT(IFERROR(VLOOKUP(T_BilanSocial[[#This Row],[NumL]],T_TraitDi[#Data],COLUMN(T_TraitDi[[#This Row],[Colonne19]]),FALSE),""),"[hh]:mm"))</f>
        <v>#VALUE!</v>
      </c>
      <c r="BA218" s="172" t="e">
        <f>IF(VLOOKUP(T_BilanSocial[[#This Row],[NumL]],T_TraitDi[#Data],COLUMN(T_TraitDi[[#This Row],[Colonne20]]),FALSE)=0,"",TEXT(IFERROR(VLOOKUP(T_BilanSocial[[#This Row],[NumL]],T_TraitDi[#Data],COLUMN(T_TraitDi[[#This Row],[Colonne20]]),FALSE),""),"[hh]:mm"))</f>
        <v>#VALUE!</v>
      </c>
      <c r="BB218" s="178" t="str">
        <f>IFERROR(VLOOKUP(T_BilanSocial[[#This Row],[NumL]],T_TraitDi[#Data],COLUMN(T_TraitDi[[#This Row],[Jeudi]]),FALSE),"")</f>
        <v/>
      </c>
      <c r="BC218" s="178" t="e">
        <f>IF(VLOOKUP(T_BilanSocial[[#This Row],[NumL]],T_TraitDi[#Data],COLUMN(T_TraitDi[[#This Row],[Colonne21]]),FALSE)=0,"",TEXT(IFERROR(VLOOKUP(T_BilanSocial[[#This Row],[NumL]],T_TraitDi[#Data],COLUMN(T_TraitDi[[#This Row],[Colonne21]]),FALSE),""),"[hh]:mm"))</f>
        <v>#VALUE!</v>
      </c>
      <c r="BD218" s="178" t="e">
        <f>IF(VLOOKUP(T_BilanSocial[[#This Row],[NumL]],T_TraitDi[#Data],COLUMN(T_TraitDi[[#This Row],[Colonne22]]),FALSE)=0,"",TEXT(IFERROR(VLOOKUP(T_BilanSocial[[#This Row],[NumL]],T_TraitDi[#Data],COLUMN(T_TraitDi[[#This Row],[Colonne22]]),FALSE),""),"[hh]:mm"))</f>
        <v>#VALUE!</v>
      </c>
      <c r="BE218" s="178" t="str">
        <f>IFERROR(VLOOKUP(T_BilanSocial[[#This Row],[NumL]],T_TraitDi[#Data],COLUMN(T_TraitDi[[#This Row],[Colonne23]]),FALSE),"")</f>
        <v/>
      </c>
      <c r="BF218" s="178" t="e">
        <f>IF(VLOOKUP(T_BilanSocial[[#This Row],[NumL]],T_TraitDi[#Data],COLUMN(T_TraitDi[[#This Row],[Colonne24]]),FALSE)=0,"",TEXT(IFERROR(VLOOKUP(T_BilanSocial[[#This Row],[NumL]],T_TraitDi[#Data],COLUMN(T_TraitDi[[#This Row],[Colonne24]]),FALSE),""),"[hh]:mm"))</f>
        <v>#VALUE!</v>
      </c>
      <c r="BG218" s="178" t="e">
        <f>IF(VLOOKUP(T_BilanSocial[[#This Row],[NumL]],T_TraitDi[#Data],COLUMN(T_TraitDi[[#This Row],[Colonne25]]),FALSE)=0,"",TEXT(IFERROR(VLOOKUP(T_BilanSocial[[#This Row],[NumL]],T_TraitDi[#Data],COLUMN(T_TraitDi[[#This Row],[Colonne25]]),FALSE),""),"[hh]:mm"))</f>
        <v>#VALUE!</v>
      </c>
      <c r="BH218" s="178" t="e">
        <f>IF(VLOOKUP(T_BilanSocial[[#This Row],[NumL]],T_TraitDi[#Data],COLUMN(T_TraitDi[[#This Row],[Colonne26]]),FALSE)=0,"",TEXT(IFERROR(VLOOKUP(T_BilanSocial[[#This Row],[NumL]],T_TraitDi[#Data],COLUMN(T_TraitDi[[#This Row],[Colonne26]]),FALSE),""),"[hh]:mm"))</f>
        <v>#VALUE!</v>
      </c>
      <c r="BI218" s="172" t="str">
        <f>IFERROR(VLOOKUP(T_BilanSocial[[#This Row],[NumL]],T_TraitDi[#Data],COLUMN(T_TraitDi[[#This Row],[Vendredi]]),FALSE),"")</f>
        <v/>
      </c>
      <c r="BJ218" s="172" t="e">
        <f>IF(VLOOKUP(T_BilanSocial[[#This Row],[NumL]],T_TraitDi[#Data],COLUMN(T_TraitDi[[#This Row],[Colonne27]]),FALSE)=0,"",TEXT(IFERROR(VLOOKUP(T_BilanSocial[[#This Row],[NumL]],T_TraitDi[#Data],COLUMN(T_TraitDi[[#This Row],[Colonne27]]),FALSE),""),"[hh]:mm"))</f>
        <v>#VALUE!</v>
      </c>
      <c r="BK218" s="172" t="e">
        <f>IF(VLOOKUP(T_BilanSocial[[#This Row],[NumL]],T_TraitDi[#Data],COLUMN(T_TraitDi[[#This Row],[Colonne28]]),FALSE)=0,"",TEXT(IFERROR(VLOOKUP(T_BilanSocial[[#This Row],[NumL]],T_TraitDi[#Data],COLUMN(T_TraitDi[[#This Row],[Colonne28]]),FALSE),""),"[hh]:mm"))</f>
        <v>#VALUE!</v>
      </c>
      <c r="BL218" s="172" t="str">
        <f>IFERROR(VLOOKUP(T_BilanSocial[[#This Row],[NumL]],T_TraitDi[#Data],COLUMN(T_TraitDi[[#This Row],[Colonne29]]),FALSE),"")</f>
        <v/>
      </c>
      <c r="BM218" s="172" t="e">
        <f>IF(VLOOKUP(T_BilanSocial[[#This Row],[NumL]],T_TraitDi[#Data],COLUMN(T_TraitDi[[#This Row],[Colonne30]]),FALSE)=0,"",TEXT(IFERROR(VLOOKUP(T_BilanSocial[[#This Row],[NumL]],T_TraitDi[#Data],COLUMN(T_TraitDi[[#This Row],[Colonne30]]),FALSE),""),"[hh]:mm"))</f>
        <v>#VALUE!</v>
      </c>
      <c r="BN218" s="172" t="e">
        <f>IF(VLOOKUP(T_BilanSocial[[#This Row],[NumL]],T_TraitDi[#Data],COLUMN(T_TraitDi[[#This Row],[Colonne31]]),FALSE)=0,"",TEXT(IFERROR(VLOOKUP(T_BilanSocial[[#This Row],[NumL]],T_TraitDi[#Data],COLUMN(T_TraitDi[[#This Row],[Colonne31]]),FALSE),""),"[hh]:mm"))</f>
        <v>#VALUE!</v>
      </c>
      <c r="BO218" s="172" t="e">
        <f>IF(VLOOKUP(T_BilanSocial[[#This Row],[NumL]],T_TraitDi[#Data],COLUMN(T_TraitDi[[#This Row],[Colonne32]]),FALSE)=0,"",TEXT(IFERROR(VLOOKUP(T_BilanSocial[[#This Row],[NumL]],T_TraitDi[#Data],COLUMN(T_TraitDi[[#This Row],[Colonne32]]),FALSE),""),"[hh]:mm"))</f>
        <v>#VALUE!</v>
      </c>
      <c r="BP218" s="172" t="e">
        <f>VLOOKUP(T_BilanSocial[[#This Row],[NumL]],T_TraitDi[#Data],COLUMN(T_TraitDi[NbJTot]),FALSE)</f>
        <v>#N/A</v>
      </c>
      <c r="BQ218" s="174" t="str">
        <f>IFERROR(VLOOKUP(T_BilanSocial[[#This Row],[NumL]],T_TraitDi[#Data],COLUMN(T_TraitDi[[#This Row],[NbJTW]]),FALSE),"")</f>
        <v/>
      </c>
      <c r="BR218" s="174" t="e">
        <f>IF(VLOOKUP(T_BilanSocial[[#This Row],[NumL]],T_TraitDi[#Data],COLUMN(T_TraitDi[[#This Row],[NbhTW]]),FALSE)=0,"",TEXT(IFERROR(VLOOKUP(T_BilanSocial[[#This Row],[NumL]],T_TraitDi[#Data],COLUMN(T_TraitDi[[#This Row],[NbhTW]]),FALSE),""),"[hh]:mm"))</f>
        <v>#VALUE!</v>
      </c>
      <c r="BS218" s="174" t="e">
        <f>IF(VLOOKUP(T_BilanSocial[[#This Row],[NumL]],T_TraitDi[#Data],COLUMN(T_TraitDi[[#This Row],[Nbhheb]]),FALSE)=0,"",TEXT(IFERROR(VLOOKUP($A218,T_TraitDi[#Data],COLUMN(T_TraitDi[[#This Row],[Nbhheb]]),FALSE),""),"[hh]:mm"))</f>
        <v>#VALUE!</v>
      </c>
      <c r="BT218" s="182" t="str">
        <f>IFERROR(VLOOKUP(VLOOKUP($A218,T_TraitDi[#Data],COLUMN(T_TraitDi[[#This Row],[Type1]]),FALSE),TypeTW,2,FALSE),"")</f>
        <v/>
      </c>
      <c r="BU218" s="182" t="str">
        <f>IFERROR(VLOOKUP($A218,T_TraitDi[#Data],COLUMN(T_TraitDi[[#This Row],[Rue1]]),FALSE),"")</f>
        <v/>
      </c>
      <c r="BV218" s="173" t="str">
        <f>IFERROR(VLOOKUP($A218,T_TraitDi[#Data],COLUMN(T_TraitDi[[#This Row],[CP1]]),FALSE),"")</f>
        <v/>
      </c>
      <c r="BW218" s="173" t="str">
        <f>IFERROR(VLOOKUP($A218,T_TraitDi[#Data],COLUMN(T_TraitDi[[#This Row],[VILLE1]]),FALSE),"")</f>
        <v/>
      </c>
      <c r="BX218" s="182" t="str">
        <f>IFERROR(VLOOKUP(VLOOKUP($A218,T_TraitDi[#Data],COLUMN(T_TraitDi[[#This Row],[Type2]]),FALSE),TypeTW,2,FALSE),"")</f>
        <v/>
      </c>
      <c r="BY218" s="182" t="str">
        <f>IFERROR(VLOOKUP($A218,T_TraitDi[#Data],COLUMN(T_TraitDi[[#This Row],[Rue2]]),FALSE),"")</f>
        <v/>
      </c>
      <c r="BZ218" s="173" t="str">
        <f>IFERROR(VLOOKUP($A218,T_TraitDi[#Data],COLUMN(T_TraitDi[[#This Row],[CP2]]),FALSE),"")</f>
        <v/>
      </c>
      <c r="CA218" s="173" t="str">
        <f>IFERROR(VLOOKUP($A218,T_TraitDi[#Data],COLUMN(T_TraitDi[[#This Row],[VILLE2]]),FALSE),"")</f>
        <v/>
      </c>
      <c r="CB218" s="182" t="str">
        <f>IF(VLOOKUP(T_BilanSocial[[#This Row],[NumL]],T_Equipement[#Data],COLUMN(T_Equipement[[#This Row],[PC]]),FALSE)="","Aucun équipement spécifique directement lié au télétravail",VLOOKUP(T_BilanSocial[[#This Row],[NumL]],T_Equipement[#Data],COLUMN(T_Equipement[[#This Row],[PC]]),FALSE))</f>
        <v>20-742</v>
      </c>
      <c r="CC218" s="166" t="str">
        <f>IFERROR(IF(VLOOKUP(T_BilanSocial[[#This Row],[NumL]],T_TraitDi[#Data],COLUMN(T_TraitDi[[#This Row],[Plan]]),FALSE)="OK","Un planning spécifique de télétravail est annexé à la présente convention.",""),"")</f>
        <v/>
      </c>
      <c r="CD218" s="185"/>
      <c r="CE218" s="164" t="e">
        <f>IF(VLOOKUP(T_BilanSocial[[#This Row],[NumL]],T_suiviDi[#Data],COLUMN(T_suiviDi[[#This Row],[Entité]]),FALSE)="","",VLOOKUP(T_BilanSocial[[#This Row],[NumL]],T_suiviDi[#Data],COLUMN(T_suiviDi[[#This Row],[Entité]]),FALSE))</f>
        <v>#VALUE!</v>
      </c>
      <c r="CF218" s="164" t="str">
        <f>IF(VLOOKUP(T_BilanSocial[[#This Row],[NumL]],T_Commission[#Data],COLUMN(T_Commission[[#This Row],[envoi confirm TW]]),FALSE)="","",VLOOKUP(T_BilanSocial[[#This Row],[NumL]],T_Commission[#Data],COLUMN(T_Commission[[#This Row],[envoi confirm TW]]),FALSE))</f>
        <v>Oui</v>
      </c>
      <c r="CG21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8" s="262" t="str">
        <f>T_BilanSocial[[#This Row],[Nom]]&amp;T_BilanSocial[[#This Row],[Prenom]]</f>
        <v/>
      </c>
      <c r="CI218" s="262">
        <f>VLOOKUP(T_BilanSocial[[#This Row],[NumL]],T_Commission[#Data],COLUMN(T_Commission[Commentaire]),FALSE)</f>
        <v>0</v>
      </c>
      <c r="CJ218" s="262" t="str">
        <f>IF(VLOOKUP(T_BilanSocial[[#This Row],[NumL]],T_Commission[#Data],COLUMN(T_Commission[Encadrant Email]),FALSE)="","",VLOOKUP(T_BilanSocial[[#This Row],[NumL]],T_Commission[#Data],COLUMN(T_Commission[Encadrant Email]),FALSE))</f>
        <v/>
      </c>
      <c r="CK218" s="340" t="str">
        <f>IF(T_BilanSocial[[#This Row],[Final]]&lt;&gt;"",VLOOKUP(T_BilanSocial[[#This Row],[NumL]],T_suiviDi[#Data],COLUMN((T_suiviDi[Statut])),FALSE),"")</f>
        <v/>
      </c>
    </row>
    <row r="219" spans="1:89" s="106" customFormat="1" ht="24.75" customHeight="1" x14ac:dyDescent="0.25">
      <c r="A219" s="160">
        <v>216</v>
      </c>
      <c r="B219" s="161" t="str">
        <f t="shared" si="34"/>
        <v/>
      </c>
      <c r="C219" s="162" t="s">
        <v>139</v>
      </c>
      <c r="D219" s="95" t="e">
        <f>IF(VLOOKUP(T_BilanSocial[[#This Row],[NumL]],T_TraitDi[#Data],COLUMN(T_TraitDi[[#This Row],[WebC]]),FALSE)="","",VLOOKUP(T_BilanSocial[[#This Row],[NumL]],T_TraitDi[#Data],COLUMN(T_TraitDi[[#This Row],[WebC]]),FALSE))</f>
        <v>#VALUE!</v>
      </c>
      <c r="E219" s="163" t="str">
        <f t="shared" si="35"/>
        <v>12 janvier 2021</v>
      </c>
      <c r="F219" s="96" t="str">
        <f>IF(T_BilanSocial[[#This Row],[Final]]&lt;&gt;"",VLOOKUP(T_BilanSocial[[#This Row],[NumL]],T_suiviDi[#Data],COLUMN((T_suiviDi[Civ.])),FALSE),"")</f>
        <v/>
      </c>
      <c r="G219" s="96" t="str">
        <f>IF(T_BilanSocial[[#This Row],[Final]]&lt;&gt;"",VLOOKUP(T_BilanSocial[[#This Row],[NumL]],T_suiviDi[#Data],COLUMN((T_suiviDi[Nom])),FALSE),"")</f>
        <v/>
      </c>
      <c r="H219" s="96" t="str">
        <f>IF(T_BilanSocial[[#This Row],[Final]]&lt;&gt;"",VLOOKUP(T_BilanSocial[[#This Row],[NumL]],T_suiviDi[#Data],COLUMN((T_suiviDi[Prénom])),FALSE),"")</f>
        <v/>
      </c>
      <c r="I219" s="96" t="str">
        <f>IFERROR(VLOOKUP(T_BilanSocial[[#This Row],[Zone_Bilan]],T_P_BilanSocial[#Data],COLUMN(T_P_BilanSocial[[#This Row],[Numero_SIHAM]]),FALSE),"")</f>
        <v/>
      </c>
      <c r="J219" s="96" t="str">
        <f>IFERROR(VLOOKUP(T_BilanSocial[[#This Row],[Zone_Bilan]],T_P_BilanSocial[#Data],COLUMN(T_P_BilanSocial[[#This Row],[Sexe]]),FALSE),"")</f>
        <v/>
      </c>
      <c r="K219" s="97" t="str">
        <f>IFERROR(VLOOKUP(T_BilanSocial[[#This Row],[Zone_Bilan]],T_P_BilanSocial[#Data],COLUMN(T_P_BilanSocial[[#This Row],[Categorie]]),FALSE),"")</f>
        <v/>
      </c>
      <c r="L219" s="96" t="str">
        <f>IFERROR(VLOOKUP(T_BilanSocial[[#This Row],[Zone_Bilan]],T_P_BilanSocial[#Data],COLUMN(T_P_BilanSocial[[#This Row],[Statut]]),FALSE),"")</f>
        <v/>
      </c>
      <c r="M219" s="96" t="str">
        <f>IFERROR(VLOOKUP(T_BilanSocial[[#This Row],[Zone_Bilan]],T_P_BilanSocial[#Data],COLUMN(T_P_BilanSocial[[#This Row],[Filiere]]),FALSE),"")</f>
        <v/>
      </c>
      <c r="N219" s="96" t="e">
        <f>VLOOKUP(T_BilanSocial[[#This Row],[NumL]],T_TraitDi[#Data],COLUMN(T_TraitDi[EXP]),FALSE)</f>
        <v>#N/A</v>
      </c>
      <c r="O219" s="96" t="e">
        <f>VLOOKUP(T_BilanSocial[[#This Row],[NumL]],T_TraitDi[#Data],COLUMN(T_TraitDi[FORM]),FALSE)</f>
        <v>#N/A</v>
      </c>
      <c r="P219" s="96" t="str">
        <f>IF(T_BilanSocial[[#This Row],[Final]]&lt;&gt;"",VLOOKUP(T_BilanSocial[[#This Row],[NumL]],T_suiviDi[#Data],COLUMN((T_suiviDi[Email])),FALSE),"")</f>
        <v/>
      </c>
      <c r="Q219" s="164" t="e">
        <f t="shared" si="40"/>
        <v>#N/A</v>
      </c>
      <c r="R219" s="164" t="e">
        <f t="shared" si="41"/>
        <v>#N/A</v>
      </c>
      <c r="S219" s="164" t="e">
        <f>IF(VLOOKUP(T_BilanSocial[[#This Row],[NumL]],T_suiviDi[#Data],COLUMN(T_suiviDi[[#This Row],[Service ]]),FALSE)="","",VLOOKUP(T_BilanSocial[[#This Row],[NumL]],T_suiviDi[#Data],COLUMN(T_suiviDi[[#This Row],[Service ]]),FALSE))</f>
        <v>#VALUE!</v>
      </c>
      <c r="T219" s="164" t="str">
        <f t="shared" si="36"/>
        <v>01 septembre 2021</v>
      </c>
      <c r="U219" s="164" t="str">
        <f t="shared" si="37"/>
        <v>30 novembre 2021</v>
      </c>
      <c r="V219" s="256">
        <f>Datebilan</f>
        <v>44530</v>
      </c>
      <c r="W219" s="176" t="e">
        <f>IF(VLOOKUP(T_BilanSocial[[#This Row],[NumL]],T_TraitDi[#Data],COLUMN(T_TraitDi[[#This Row],[M1]]),FALSE)="","",VLOOKUP(T_BilanSocial[[#This Row],[NumL]],T_TraitDi[#Data],COLUMN(T_TraitDi[[#This Row],[M1]]),FALSE))</f>
        <v>#VALUE!</v>
      </c>
      <c r="X219" s="176" t="e">
        <f>IF(VLOOKUP(T_BilanSocial[[#This Row],[NumL]],T_TraitDi[#Data],COLUMN(T_TraitDi[[#This Row],[M2]]),FALSE)="","",VLOOKUP(T_BilanSocial[[#This Row],[NumL]],T_TraitDi[#Data],COLUMN(T_TraitDi[[#This Row],[M2]]),FALSE))</f>
        <v>#VALUE!</v>
      </c>
      <c r="Y219" s="176" t="e">
        <f>IF(VLOOKUP(T_BilanSocial[[#This Row],[NumL]],T_TraitDi[#Data],COLUMN(T_TraitDi[[#This Row],[M3]]),FALSE)="","",VLOOKUP(T_BilanSocial[[#This Row],[NumL]],T_TraitDi[#Data],COLUMN(T_TraitDi[[#This Row],[M3]]),FALSE))</f>
        <v>#VALUE!</v>
      </c>
      <c r="Z219" s="176" t="str">
        <f t="shared" si="39"/>
        <v/>
      </c>
      <c r="AA219" s="176" t="e">
        <f>IF(VLOOKUP(T_BilanSocial[[#This Row],[NumL]],T_TraitDi[#Data],COLUMN(T_TraitDi[[#This Row],[M5]]),FALSE)="","",VLOOKUP(T_BilanSocial[[#This Row],[NumL]],T_TraitDi[#Data],COLUMN(T_TraitDi[[#This Row],[M5]]),FALSE))</f>
        <v>#VALUE!</v>
      </c>
      <c r="AB219" s="176" t="e">
        <f>IF(VLOOKUP(T_BilanSocial[[#This Row],[NumL]],T_TraitDi[#Data],COLUMN(T_TraitDi[[#This Row],[M6]]),FALSE)="","",VLOOKUP(T_BilanSocial[[#This Row],[NumL]],T_TraitDi[#Data],COLUMN(T_TraitDi[[#This Row],[M6]]),FALSE))</f>
        <v>#VALUE!</v>
      </c>
      <c r="AC219" s="165" t="e">
        <f t="shared" si="38"/>
        <v>#VALUE!</v>
      </c>
      <c r="AD219" s="188" t="str">
        <f>IFERROR(TEXT(VLOOKUP(T_BilanSocial[[#This Row],[NumL]],T_TraitDi[#Data],COLUMN(T_TraitDi[[#This Row],[Q2]]),FALSE),"###%"),"")</f>
        <v/>
      </c>
      <c r="AE219" s="97" t="e">
        <f>VLOOKUP(T_BilanSocial[[#This Row],[NumL]],T_TraitDi[#Data],COLUMN(T_TraitDi[[#This Row],[Reg Ponct]]),FALSE)</f>
        <v>#VALUE!</v>
      </c>
      <c r="AF219" s="97" t="e">
        <f>VLOOKUP(T_BilanSocial[NumL],T_TraitDi[#Data],COLUMN(T_TraitDi[[#This Row],[Jours flottants]]),FALSE)</f>
        <v>#VALUE!</v>
      </c>
      <c r="AG219" s="97" t="str">
        <f>IFERROR(VLOOKUP(T_BilanSocial[[#This Row],[NumL]],T_TraitDi[#Data],COLUMN(T_TraitDi[[#This Row],[Lundi]]),FALSE),"")</f>
        <v/>
      </c>
      <c r="AH219" s="172" t="e">
        <f>IF(VLOOKUP(T_BilanSocial[[#This Row],[NumL]],T_TraitDi[#Data],COLUMN(T_TraitDi[[#This Row],[Colonne3]]),FALSE)=0,"",TEXT(IFERROR(VLOOKUP(T_BilanSocial[[#This Row],[NumL]],T_TraitDi[#Data],COLUMN(T_TraitDi[[#This Row],[Colonne3]]),FALSE),""),"[hh]:mm"))</f>
        <v>#VALUE!</v>
      </c>
      <c r="AI219" s="172" t="e">
        <f>IF(VLOOKUP(T_BilanSocial[[#This Row],[NumL]],T_TraitDi[#Data],COLUMN(T_TraitDi[[#This Row],[Colonne4]]),FALSE)=0,"",TEXT(IFERROR(VLOOKUP(T_BilanSocial[[#This Row],[NumL]],T_TraitDi[#Data],COLUMN(T_TraitDi[[#This Row],[Colonne4]]),FALSE),""),"[hh]:mm"))</f>
        <v>#VALUE!</v>
      </c>
      <c r="AJ219" s="172" t="e">
        <f>IF(VLOOKUP(T_BilanSocial[[#This Row],[NumL]],T_TraitDi[#Data],COLUMN(T_TraitDi[[#This Row],[Colonne5]]),FALSE)=0,"",TEXT(IFERROR(VLOOKUP(T_BilanSocial[[#This Row],[NumL]],T_TraitDi[#Data],COLUMN(T_TraitDi[[#This Row],[Colonne5]]),FALSE),""),"[hh]:mm"))</f>
        <v>#VALUE!</v>
      </c>
      <c r="AK219" s="172" t="e">
        <f>IF(VLOOKUP(T_BilanSocial[[#This Row],[NumL]],T_TraitDi[#Data],COLUMN(T_TraitDi[[#This Row],[Colonne6]]),FALSE)=0,"",TEXT(IFERROR(VLOOKUP(T_BilanSocial[[#This Row],[NumL]],T_TraitDi[#Data],COLUMN(T_TraitDi[[#This Row],[Colonne6]]),FALSE),""),"[hh]:mm"))</f>
        <v>#VALUE!</v>
      </c>
      <c r="AL219" s="172" t="e">
        <f>IF(VLOOKUP(T_BilanSocial[[#This Row],[NumL]],T_TraitDi[#Data],COLUMN(T_TraitDi[[#This Row],[Colonne7]]),FALSE)=0,"",TEXT(IFERROR(VLOOKUP(T_BilanSocial[[#This Row],[NumL]],T_TraitDi[#Data],COLUMN(T_TraitDi[[#This Row],[Colonne7]]),FALSE),""),"[hh]:mm"))</f>
        <v>#VALUE!</v>
      </c>
      <c r="AM219" s="172" t="e">
        <f>IF(VLOOKUP(T_BilanSocial[[#This Row],[NumL]],T_TraitDi[#Data],COLUMN(T_TraitDi[[#This Row],[Colonne8]]),FALSE)=0,"",TEXT(IFERROR(VLOOKUP(T_BilanSocial[[#This Row],[NumL]],T_TraitDi[#Data],COLUMN(T_TraitDi[[#This Row],[Colonne8]]),FALSE),""),"[hh]:mm"))</f>
        <v>#VALUE!</v>
      </c>
      <c r="AN219" s="172" t="str">
        <f>IFERROR(VLOOKUP(T_BilanSocial[[#This Row],[NumL]],T_TraitDi[#Data],COLUMN(T_TraitDi[[#This Row],[Mardi]]),FALSE),"")</f>
        <v/>
      </c>
      <c r="AO219" s="172" t="e">
        <f>IF(VLOOKUP(T_BilanSocial[[#This Row],[NumL]],T_TraitDi[#Data],COLUMN(T_TraitDi[[#This Row],[Colonne1]]),FALSE)=0,"",TEXT(IFERROR(VLOOKUP(T_BilanSocial[[#This Row],[NumL]],T_TraitDi[#Data],COLUMN(T_TraitDi[[#This Row],[Colonne1]]),FALSE),""),"[hh]:mm"))</f>
        <v>#VALUE!</v>
      </c>
      <c r="AP219" s="172" t="e">
        <f>IF(VLOOKUP(T_BilanSocial[[#This Row],[NumL]],T_TraitDi[#Data],COLUMN(T_TraitDi[[#This Row],[Colonne9]]),FALSE)=0,"",TEXT(IFERROR(VLOOKUP(T_BilanSocial[[#This Row],[NumL]],T_TraitDi[#Data],COLUMN(T_TraitDi[[#This Row],[Colonne9]]),FALSE),""),"[hh]:mm"))</f>
        <v>#VALUE!</v>
      </c>
      <c r="AQ219" s="172" t="str">
        <f>IFERROR(VLOOKUP(T_BilanSocial[[#This Row],[NumL]],T_TraitDi[#Data],COLUMN(T_TraitDi[[#This Row],[Colonne10]]),FALSE),"")</f>
        <v/>
      </c>
      <c r="AR219" s="172" t="e">
        <f>IF(VLOOKUP(T_BilanSocial[[#This Row],[NumL]],T_TraitDi[#Data],COLUMN(T_TraitDi[[#This Row],[Colonne11]]),FALSE)=0,"",TEXT(IFERROR(VLOOKUP(T_BilanSocial[[#This Row],[NumL]],T_TraitDi[#Data],COLUMN(T_TraitDi[[#This Row],[Colonne11]]),FALSE),""),"[hh]:mm"))</f>
        <v>#VALUE!</v>
      </c>
      <c r="AS219" s="172" t="e">
        <f>IF(VLOOKUP(T_BilanSocial[[#This Row],[NumL]],T_TraitDi[#Data],COLUMN(T_TraitDi[[#This Row],[Colonne12]]),FALSE)=0,"",TEXT(IFERROR(VLOOKUP(T_BilanSocial[[#This Row],[NumL]],T_TraitDi[#Data],COLUMN(T_TraitDi[[#This Row],[Colonne12]]),FALSE),""),"[hh]:mm"))</f>
        <v>#VALUE!</v>
      </c>
      <c r="AT219" s="172" t="e">
        <f>IF(VLOOKUP(T_BilanSocial[[#This Row],[NumL]],T_TraitDi[#Data],COLUMN(T_TraitDi[[#This Row],[Colonne14]]),FALSE)=0,"",TEXT(IFERROR(VLOOKUP(T_BilanSocial[[#This Row],[NumL]],T_TraitDi[#Data],COLUMN(T_TraitDi[[#This Row],[Colonne14]]),FALSE),""),"[hh]:mm"))</f>
        <v>#VALUE!</v>
      </c>
      <c r="AU219" s="172" t="str">
        <f>IFERROR(VLOOKUP(T_BilanSocial[[#This Row],[NumL]],T_TraitDi[#Data],COLUMN(T_TraitDi[[#This Row],[Mercredi]]),FALSE),"")</f>
        <v/>
      </c>
      <c r="AV219" s="172" t="e">
        <f>IF(VLOOKUP(T_BilanSocial[[#This Row],[NumL]],T_TraitDi[#Data],COLUMN(T_TraitDi[[#This Row],[Colonne15]]),FALSE)=0,"",TEXT(IFERROR(VLOOKUP(T_BilanSocial[[#This Row],[NumL]],T_TraitDi[#Data],COLUMN(T_TraitDi[[#This Row],[Colonne15]]),FALSE),""),"[hh]:mm"))</f>
        <v>#VALUE!</v>
      </c>
      <c r="AW219" s="172" t="e">
        <f>IF(VLOOKUP(T_BilanSocial[[#This Row],[NumL]],T_TraitDi[#Data],COLUMN(T_TraitDi[[#This Row],[Colonne16]]),FALSE)=0,"",TEXT(IFERROR(VLOOKUP(T_BilanSocial[[#This Row],[NumL]],T_TraitDi[#Data],COLUMN(T_TraitDi[[#This Row],[Colonne16]]),FALSE),""),"[hh]:mm"))</f>
        <v>#VALUE!</v>
      </c>
      <c r="AX219" s="172" t="str">
        <f>IFERROR(VLOOKUP(T_BilanSocial[[#This Row],[NumL]],T_TraitDi[#Data],COLUMN(T_TraitDi[[#This Row],[Colonne17]]),FALSE),"")</f>
        <v/>
      </c>
      <c r="AY219" s="172" t="e">
        <f>IF(VLOOKUP(T_BilanSocial[[#This Row],[NumL]],T_TraitDi[#Data],COLUMN(T_TraitDi[[#This Row],[Colonne18]]),FALSE)=0,"",TEXT(IFERROR(VLOOKUP(T_BilanSocial[[#This Row],[NumL]],T_TraitDi[#Data],COLUMN(T_TraitDi[[#This Row],[Colonne18]]),FALSE),""),"[hh]:mm"))</f>
        <v>#VALUE!</v>
      </c>
      <c r="AZ219" s="172" t="e">
        <f>IF(VLOOKUP(T_BilanSocial[[#This Row],[NumL]],T_TraitDi[#Data],COLUMN(T_TraitDi[[#This Row],[Colonne19]]),FALSE)=0,"",TEXT(IFERROR(VLOOKUP(T_BilanSocial[[#This Row],[NumL]],T_TraitDi[#Data],COLUMN(T_TraitDi[[#This Row],[Colonne19]]),FALSE),""),"[hh]:mm"))</f>
        <v>#VALUE!</v>
      </c>
      <c r="BA219" s="172" t="e">
        <f>IF(VLOOKUP(T_BilanSocial[[#This Row],[NumL]],T_TraitDi[#Data],COLUMN(T_TraitDi[[#This Row],[Colonne20]]),FALSE)=0,"",TEXT(IFERROR(VLOOKUP(T_BilanSocial[[#This Row],[NumL]],T_TraitDi[#Data],COLUMN(T_TraitDi[[#This Row],[Colonne20]]),FALSE),""),"[hh]:mm"))</f>
        <v>#VALUE!</v>
      </c>
      <c r="BB219" s="178" t="str">
        <f>IFERROR(VLOOKUP(T_BilanSocial[[#This Row],[NumL]],T_TraitDi[#Data],COLUMN(T_TraitDi[[#This Row],[Jeudi]]),FALSE),"")</f>
        <v/>
      </c>
      <c r="BC219" s="178" t="e">
        <f>IF(VLOOKUP(T_BilanSocial[[#This Row],[NumL]],T_TraitDi[#Data],COLUMN(T_TraitDi[[#This Row],[Colonne21]]),FALSE)=0,"",TEXT(IFERROR(VLOOKUP(T_BilanSocial[[#This Row],[NumL]],T_TraitDi[#Data],COLUMN(T_TraitDi[[#This Row],[Colonne21]]),FALSE),""),"[hh]:mm"))</f>
        <v>#VALUE!</v>
      </c>
      <c r="BD219" s="178" t="e">
        <f>IF(VLOOKUP(T_BilanSocial[[#This Row],[NumL]],T_TraitDi[#Data],COLUMN(T_TraitDi[[#This Row],[Colonne22]]),FALSE)=0,"",TEXT(IFERROR(VLOOKUP(T_BilanSocial[[#This Row],[NumL]],T_TraitDi[#Data],COLUMN(T_TraitDi[[#This Row],[Colonne22]]),FALSE),""),"[hh]:mm"))</f>
        <v>#VALUE!</v>
      </c>
      <c r="BE219" s="178" t="str">
        <f>IFERROR(VLOOKUP(T_BilanSocial[[#This Row],[NumL]],T_TraitDi[#Data],COLUMN(T_TraitDi[[#This Row],[Colonne23]]),FALSE),"")</f>
        <v/>
      </c>
      <c r="BF219" s="178" t="e">
        <f>IF(VLOOKUP(T_BilanSocial[[#This Row],[NumL]],T_TraitDi[#Data],COLUMN(T_TraitDi[[#This Row],[Colonne24]]),FALSE)=0,"",TEXT(IFERROR(VLOOKUP(T_BilanSocial[[#This Row],[NumL]],T_TraitDi[#Data],COLUMN(T_TraitDi[[#This Row],[Colonne24]]),FALSE),""),"[hh]:mm"))</f>
        <v>#VALUE!</v>
      </c>
      <c r="BG219" s="178" t="e">
        <f>IF(VLOOKUP(T_BilanSocial[[#This Row],[NumL]],T_TraitDi[#Data],COLUMN(T_TraitDi[[#This Row],[Colonne25]]),FALSE)=0,"",TEXT(IFERROR(VLOOKUP(T_BilanSocial[[#This Row],[NumL]],T_TraitDi[#Data],COLUMN(T_TraitDi[[#This Row],[Colonne25]]),FALSE),""),"[hh]:mm"))</f>
        <v>#VALUE!</v>
      </c>
      <c r="BH219" s="178" t="e">
        <f>IF(VLOOKUP(T_BilanSocial[[#This Row],[NumL]],T_TraitDi[#Data],COLUMN(T_TraitDi[[#This Row],[Colonne26]]),FALSE)=0,"",TEXT(IFERROR(VLOOKUP(T_BilanSocial[[#This Row],[NumL]],T_TraitDi[#Data],COLUMN(T_TraitDi[[#This Row],[Colonne26]]),FALSE),""),"[hh]:mm"))</f>
        <v>#VALUE!</v>
      </c>
      <c r="BI219" s="172" t="str">
        <f>IFERROR(VLOOKUP(T_BilanSocial[[#This Row],[NumL]],T_TraitDi[#Data],COLUMN(T_TraitDi[[#This Row],[Vendredi]]),FALSE),"")</f>
        <v/>
      </c>
      <c r="BJ219" s="172" t="e">
        <f>IF(VLOOKUP(T_BilanSocial[[#This Row],[NumL]],T_TraitDi[#Data],COLUMN(T_TraitDi[[#This Row],[Colonne27]]),FALSE)=0,"",TEXT(IFERROR(VLOOKUP(T_BilanSocial[[#This Row],[NumL]],T_TraitDi[#Data],COLUMN(T_TraitDi[[#This Row],[Colonne27]]),FALSE),""),"[hh]:mm"))</f>
        <v>#VALUE!</v>
      </c>
      <c r="BK219" s="172" t="e">
        <f>IF(VLOOKUP(T_BilanSocial[[#This Row],[NumL]],T_TraitDi[#Data],COLUMN(T_TraitDi[[#This Row],[Colonne28]]),FALSE)=0,"",TEXT(IFERROR(VLOOKUP(T_BilanSocial[[#This Row],[NumL]],T_TraitDi[#Data],COLUMN(T_TraitDi[[#This Row],[Colonne28]]),FALSE),""),"[hh]:mm"))</f>
        <v>#VALUE!</v>
      </c>
      <c r="BL219" s="172" t="str">
        <f>IFERROR(VLOOKUP(T_BilanSocial[[#This Row],[NumL]],T_TraitDi[#Data],COLUMN(T_TraitDi[[#This Row],[Colonne29]]),FALSE),"")</f>
        <v/>
      </c>
      <c r="BM219" s="172" t="e">
        <f>IF(VLOOKUP(T_BilanSocial[[#This Row],[NumL]],T_TraitDi[#Data],COLUMN(T_TraitDi[[#This Row],[Colonne30]]),FALSE)=0,"",TEXT(IFERROR(VLOOKUP(T_BilanSocial[[#This Row],[NumL]],T_TraitDi[#Data],COLUMN(T_TraitDi[[#This Row],[Colonne30]]),FALSE),""),"[hh]:mm"))</f>
        <v>#VALUE!</v>
      </c>
      <c r="BN219" s="172" t="e">
        <f>IF(VLOOKUP(T_BilanSocial[[#This Row],[NumL]],T_TraitDi[#Data],COLUMN(T_TraitDi[[#This Row],[Colonne31]]),FALSE)=0,"",TEXT(IFERROR(VLOOKUP(T_BilanSocial[[#This Row],[NumL]],T_TraitDi[#Data],COLUMN(T_TraitDi[[#This Row],[Colonne31]]),FALSE),""),"[hh]:mm"))</f>
        <v>#VALUE!</v>
      </c>
      <c r="BO219" s="172" t="e">
        <f>IF(VLOOKUP(T_BilanSocial[[#This Row],[NumL]],T_TraitDi[#Data],COLUMN(T_TraitDi[[#This Row],[Colonne32]]),FALSE)=0,"",TEXT(IFERROR(VLOOKUP(T_BilanSocial[[#This Row],[NumL]],T_TraitDi[#Data],COLUMN(T_TraitDi[[#This Row],[Colonne32]]),FALSE),""),"[hh]:mm"))</f>
        <v>#VALUE!</v>
      </c>
      <c r="BP219" s="172" t="e">
        <f>VLOOKUP(T_BilanSocial[[#This Row],[NumL]],T_TraitDi[#Data],COLUMN(T_TraitDi[NbJTot]),FALSE)</f>
        <v>#N/A</v>
      </c>
      <c r="BQ219" s="174" t="str">
        <f>IFERROR(VLOOKUP(T_BilanSocial[[#This Row],[NumL]],T_TraitDi[#Data],COLUMN(T_TraitDi[[#This Row],[NbJTW]]),FALSE),"")</f>
        <v/>
      </c>
      <c r="BR219" s="174" t="e">
        <f>IF(VLOOKUP(T_BilanSocial[[#This Row],[NumL]],T_TraitDi[#Data],COLUMN(T_TraitDi[[#This Row],[NbhTW]]),FALSE)=0,"",TEXT(IFERROR(VLOOKUP(T_BilanSocial[[#This Row],[NumL]],T_TraitDi[#Data],COLUMN(T_TraitDi[[#This Row],[NbhTW]]),FALSE),""),"[hh]:mm"))</f>
        <v>#VALUE!</v>
      </c>
      <c r="BS219" s="174" t="e">
        <f>IF(VLOOKUP(T_BilanSocial[[#This Row],[NumL]],T_TraitDi[#Data],COLUMN(T_TraitDi[[#This Row],[Nbhheb]]),FALSE)=0,"",TEXT(IFERROR(VLOOKUP($A219,T_TraitDi[#Data],COLUMN(T_TraitDi[[#This Row],[Nbhheb]]),FALSE),""),"[hh]:mm"))</f>
        <v>#VALUE!</v>
      </c>
      <c r="BT219" s="182" t="str">
        <f>IFERROR(VLOOKUP(VLOOKUP($A219,T_TraitDi[#Data],COLUMN(T_TraitDi[[#This Row],[Type1]]),FALSE),TypeTW,2,FALSE),"")</f>
        <v/>
      </c>
      <c r="BU219" s="182" t="str">
        <f>IFERROR(VLOOKUP($A219,T_TraitDi[#Data],COLUMN(T_TraitDi[[#This Row],[Rue1]]),FALSE),"")</f>
        <v/>
      </c>
      <c r="BV219" s="173" t="str">
        <f>IFERROR(VLOOKUP($A219,T_TraitDi[#Data],COLUMN(T_TraitDi[[#This Row],[CP1]]),FALSE),"")</f>
        <v/>
      </c>
      <c r="BW219" s="173" t="str">
        <f>IFERROR(VLOOKUP($A219,T_TraitDi[#Data],COLUMN(T_TraitDi[[#This Row],[VILLE1]]),FALSE),"")</f>
        <v/>
      </c>
      <c r="BX219" s="182" t="str">
        <f>IFERROR(VLOOKUP(VLOOKUP($A219,T_TraitDi[#Data],COLUMN(T_TraitDi[[#This Row],[Type2]]),FALSE),TypeTW,2,FALSE),"")</f>
        <v/>
      </c>
      <c r="BY219" s="182" t="str">
        <f>IFERROR(VLOOKUP($A219,T_TraitDi[#Data],COLUMN(T_TraitDi[[#This Row],[Rue2]]),FALSE),"")</f>
        <v/>
      </c>
      <c r="BZ219" s="173" t="str">
        <f>IFERROR(VLOOKUP($A219,T_TraitDi[#Data],COLUMN(T_TraitDi[[#This Row],[CP2]]),FALSE),"")</f>
        <v/>
      </c>
      <c r="CA219" s="173" t="str">
        <f>IFERROR(VLOOKUP($A219,T_TraitDi[#Data],COLUMN(T_TraitDi[[#This Row],[VILLE2]]),FALSE),"")</f>
        <v/>
      </c>
      <c r="CB219" s="182" t="str">
        <f>IF(VLOOKUP(T_BilanSocial[[#This Row],[NumL]],T_Equipement[#Data],COLUMN(T_Equipement[[#This Row],[PC]]),FALSE)="","Aucun équipement spécifique directement lié au télétravail",VLOOKUP(T_BilanSocial[[#This Row],[NumL]],T_Equipement[#Data],COLUMN(T_Equipement[[#This Row],[PC]]),FALSE))</f>
        <v xml:space="preserve">20-065	</v>
      </c>
      <c r="CC219" s="166" t="str">
        <f>IFERROR(IF(VLOOKUP(T_BilanSocial[[#This Row],[NumL]],T_TraitDi[#Data],COLUMN(T_TraitDi[[#This Row],[Plan]]),FALSE)="OK","Un planning spécifique de télétravail est annexé à la présente convention.",""),"")</f>
        <v/>
      </c>
      <c r="CD219" s="185"/>
      <c r="CE219" s="164" t="e">
        <f>IF(VLOOKUP(T_BilanSocial[[#This Row],[NumL]],T_suiviDi[#Data],COLUMN(T_suiviDi[[#This Row],[Entité]]),FALSE)="","",VLOOKUP(T_BilanSocial[[#This Row],[NumL]],T_suiviDi[#Data],COLUMN(T_suiviDi[[#This Row],[Entité]]),FALSE))</f>
        <v>#VALUE!</v>
      </c>
      <c r="CF219" s="164" t="str">
        <f>IF(VLOOKUP(T_BilanSocial[[#This Row],[NumL]],T_Commission[#Data],COLUMN(T_Commission[[#This Row],[envoi confirm TW]]),FALSE)="","",VLOOKUP(T_BilanSocial[[#This Row],[NumL]],T_Commission[#Data],COLUMN(T_Commission[[#This Row],[envoi confirm TW]]),FALSE))</f>
        <v>Oui</v>
      </c>
      <c r="CG21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19" s="262" t="str">
        <f>T_BilanSocial[[#This Row],[Nom]]&amp;T_BilanSocial[[#This Row],[Prenom]]</f>
        <v/>
      </c>
      <c r="CI219" s="262">
        <f>VLOOKUP(T_BilanSocial[[#This Row],[NumL]],T_Commission[#Data],COLUMN(T_Commission[Commentaire]),FALSE)</f>
        <v>0</v>
      </c>
      <c r="CJ219" s="262" t="str">
        <f>IF(VLOOKUP(T_BilanSocial[[#This Row],[NumL]],T_Commission[#Data],COLUMN(T_Commission[Encadrant Email]),FALSE)="","",VLOOKUP(T_BilanSocial[[#This Row],[NumL]],T_Commission[#Data],COLUMN(T_Commission[Encadrant Email]),FALSE))</f>
        <v/>
      </c>
      <c r="CK219" s="340" t="str">
        <f>IF(T_BilanSocial[[#This Row],[Final]]&lt;&gt;"",VLOOKUP(T_BilanSocial[[#This Row],[NumL]],T_suiviDi[#Data],COLUMN((T_suiviDi[Statut])),FALSE),"")</f>
        <v/>
      </c>
    </row>
    <row r="220" spans="1:89" s="106" customFormat="1" ht="24.75" customHeight="1" x14ac:dyDescent="0.25">
      <c r="A220" s="160">
        <v>217</v>
      </c>
      <c r="B220" s="161" t="e">
        <f t="shared" si="34"/>
        <v>#N/A</v>
      </c>
      <c r="C220" s="162" t="s">
        <v>3287</v>
      </c>
      <c r="D220" s="95" t="e">
        <f>IF(VLOOKUP(T_BilanSocial[[#This Row],[NumL]],T_TraitDi[#Data],COLUMN(T_TraitDi[[#This Row],[WebC]]),FALSE)="","",VLOOKUP(T_BilanSocial[[#This Row],[NumL]],T_TraitDi[#Data],COLUMN(T_TraitDi[[#This Row],[WebC]]),FALSE))</f>
        <v>#VALUE!</v>
      </c>
      <c r="E220" s="163" t="str">
        <f t="shared" si="35"/>
        <v>12 janvier 2021</v>
      </c>
      <c r="F220" s="96" t="e">
        <f>IF(T_BilanSocial[[#This Row],[Final]]&lt;&gt;"",VLOOKUP(T_BilanSocial[[#This Row],[NumL]],T_suiviDi[#Data],COLUMN((T_suiviDi[Civ.])),FALSE),"")</f>
        <v>#N/A</v>
      </c>
      <c r="G220" s="96" t="e">
        <f>IF(T_BilanSocial[[#This Row],[Final]]&lt;&gt;"",VLOOKUP(T_BilanSocial[[#This Row],[NumL]],T_suiviDi[#Data],COLUMN((T_suiviDi[Nom])),FALSE),"")</f>
        <v>#N/A</v>
      </c>
      <c r="H220" s="96" t="e">
        <f>IF(T_BilanSocial[[#This Row],[Final]]&lt;&gt;"",VLOOKUP(T_BilanSocial[[#This Row],[NumL]],T_suiviDi[#Data],COLUMN((T_suiviDi[Prénom])),FALSE),"")</f>
        <v>#N/A</v>
      </c>
      <c r="I220" s="96" t="str">
        <f>IFERROR(VLOOKUP(T_BilanSocial[[#This Row],[Zone_Bilan]],T_P_BilanSocial[#Data],COLUMN(T_P_BilanSocial[[#This Row],[Numero_SIHAM]]),FALSE),"")</f>
        <v/>
      </c>
      <c r="J220" s="96" t="str">
        <f>IFERROR(VLOOKUP(T_BilanSocial[[#This Row],[Zone_Bilan]],T_P_BilanSocial[#Data],COLUMN(T_P_BilanSocial[[#This Row],[Sexe]]),FALSE),"")</f>
        <v/>
      </c>
      <c r="K220" s="97" t="str">
        <f>IFERROR(VLOOKUP(T_BilanSocial[[#This Row],[Zone_Bilan]],T_P_BilanSocial[#Data],COLUMN(T_P_BilanSocial[[#This Row],[Categorie]]),FALSE),"")</f>
        <v/>
      </c>
      <c r="L220" s="96" t="str">
        <f>IFERROR(VLOOKUP(T_BilanSocial[[#This Row],[Zone_Bilan]],T_P_BilanSocial[#Data],COLUMN(T_P_BilanSocial[[#This Row],[Statut]]),FALSE),"")</f>
        <v/>
      </c>
      <c r="M220" s="96" t="str">
        <f>IFERROR(VLOOKUP(T_BilanSocial[[#This Row],[Zone_Bilan]],T_P_BilanSocial[#Data],COLUMN(T_P_BilanSocial[[#This Row],[Filiere]]),FALSE),"")</f>
        <v/>
      </c>
      <c r="N220" s="96" t="e">
        <f>VLOOKUP(T_BilanSocial[[#This Row],[NumL]],T_TraitDi[#Data],COLUMN(T_TraitDi[EXP]),FALSE)</f>
        <v>#N/A</v>
      </c>
      <c r="O220" s="96" t="e">
        <f>VLOOKUP(T_BilanSocial[[#This Row],[NumL]],T_TraitDi[#Data],COLUMN(T_TraitDi[FORM]),FALSE)</f>
        <v>#N/A</v>
      </c>
      <c r="P220" s="96" t="e">
        <f>IF(T_BilanSocial[[#This Row],[Final]]&lt;&gt;"",VLOOKUP(T_BilanSocial[[#This Row],[NumL]],T_suiviDi[#Data],COLUMN((T_suiviDi[Email])),FALSE),"")</f>
        <v>#N/A</v>
      </c>
      <c r="Q220" s="164" t="e">
        <f t="shared" si="40"/>
        <v>#N/A</v>
      </c>
      <c r="R220" s="164" t="e">
        <f t="shared" si="41"/>
        <v>#N/A</v>
      </c>
      <c r="S220" s="164" t="e">
        <f>IF(VLOOKUP(T_BilanSocial[[#This Row],[NumL]],T_suiviDi[#Data],COLUMN(T_suiviDi[[#This Row],[Service ]]),FALSE)="","",VLOOKUP(T_BilanSocial[[#This Row],[NumL]],T_suiviDi[#Data],COLUMN(T_suiviDi[[#This Row],[Service ]]),FALSE))</f>
        <v>#VALUE!</v>
      </c>
      <c r="T220" s="164" t="str">
        <f t="shared" si="36"/>
        <v>01 septembre 2021</v>
      </c>
      <c r="U220" s="164" t="str">
        <f t="shared" si="37"/>
        <v>30 novembre 2021</v>
      </c>
      <c r="V220" s="256">
        <f>Datebilan</f>
        <v>44530</v>
      </c>
      <c r="W220" s="176" t="e">
        <f>IF(VLOOKUP(T_BilanSocial[[#This Row],[NumL]],T_TraitDi[#Data],COLUMN(T_TraitDi[[#This Row],[M1]]),FALSE)="","",VLOOKUP(T_BilanSocial[[#This Row],[NumL]],T_TraitDi[#Data],COLUMN(T_TraitDi[[#This Row],[M1]]),FALSE))</f>
        <v>#VALUE!</v>
      </c>
      <c r="X220" s="176" t="e">
        <f>IF(VLOOKUP(T_BilanSocial[[#This Row],[NumL]],T_TraitDi[#Data],COLUMN(T_TraitDi[[#This Row],[M2]]),FALSE)="","",VLOOKUP(T_BilanSocial[[#This Row],[NumL]],T_TraitDi[#Data],COLUMN(T_TraitDi[[#This Row],[M2]]),FALSE))</f>
        <v>#VALUE!</v>
      </c>
      <c r="Y220" s="176" t="e">
        <f>IF(VLOOKUP(T_BilanSocial[[#This Row],[NumL]],T_TraitDi[#Data],COLUMN(T_TraitDi[[#This Row],[M3]]),FALSE)="","",VLOOKUP(T_BilanSocial[[#This Row],[NumL]],T_TraitDi[#Data],COLUMN(T_TraitDi[[#This Row],[M3]]),FALSE))</f>
        <v>#VALUE!</v>
      </c>
      <c r="Z220" s="176" t="str">
        <f t="shared" si="39"/>
        <v/>
      </c>
      <c r="AA220" s="176" t="e">
        <f>IF(VLOOKUP(T_BilanSocial[[#This Row],[NumL]],T_TraitDi[#Data],COLUMN(T_TraitDi[[#This Row],[M5]]),FALSE)="","",VLOOKUP(T_BilanSocial[[#This Row],[NumL]],T_TraitDi[#Data],COLUMN(T_TraitDi[[#This Row],[M5]]),FALSE))</f>
        <v>#VALUE!</v>
      </c>
      <c r="AB220" s="176" t="e">
        <f>IF(VLOOKUP(T_BilanSocial[[#This Row],[NumL]],T_TraitDi[#Data],COLUMN(T_TraitDi[[#This Row],[M6]]),FALSE)="","",VLOOKUP(T_BilanSocial[[#This Row],[NumL]],T_TraitDi[#Data],COLUMN(T_TraitDi[[#This Row],[M6]]),FALSE))</f>
        <v>#VALUE!</v>
      </c>
      <c r="AC220" s="165" t="e">
        <f t="shared" si="38"/>
        <v>#VALUE!</v>
      </c>
      <c r="AD220" s="188" t="str">
        <f>IFERROR(TEXT(VLOOKUP(T_BilanSocial[[#This Row],[NumL]],T_TraitDi[#Data],COLUMN(T_TraitDi[[#This Row],[Q2]]),FALSE),"###%"),"")</f>
        <v/>
      </c>
      <c r="AE220" s="97" t="e">
        <f>VLOOKUP(T_BilanSocial[[#This Row],[NumL]],T_TraitDi[#Data],COLUMN(T_TraitDi[[#This Row],[Reg Ponct]]),FALSE)</f>
        <v>#VALUE!</v>
      </c>
      <c r="AF220" s="97" t="e">
        <f>VLOOKUP(T_BilanSocial[NumL],T_TraitDi[#Data],COLUMN(T_TraitDi[[#This Row],[Jours flottants]]),FALSE)</f>
        <v>#VALUE!</v>
      </c>
      <c r="AG220" s="97" t="str">
        <f>IFERROR(VLOOKUP(T_BilanSocial[[#This Row],[NumL]],T_TraitDi[#Data],COLUMN(T_TraitDi[[#This Row],[Lundi]]),FALSE),"")</f>
        <v/>
      </c>
      <c r="AH220" s="172" t="e">
        <f>IF(VLOOKUP(T_BilanSocial[[#This Row],[NumL]],T_TraitDi[#Data],COLUMN(T_TraitDi[[#This Row],[Colonne3]]),FALSE)=0,"",TEXT(IFERROR(VLOOKUP(T_BilanSocial[[#This Row],[NumL]],T_TraitDi[#Data],COLUMN(T_TraitDi[[#This Row],[Colonne3]]),FALSE),""),"[hh]:mm"))</f>
        <v>#VALUE!</v>
      </c>
      <c r="AI220" s="172" t="e">
        <f>IF(VLOOKUP(T_BilanSocial[[#This Row],[NumL]],T_TraitDi[#Data],COLUMN(T_TraitDi[[#This Row],[Colonne4]]),FALSE)=0,"",TEXT(IFERROR(VLOOKUP(T_BilanSocial[[#This Row],[NumL]],T_TraitDi[#Data],COLUMN(T_TraitDi[[#This Row],[Colonne4]]),FALSE),""),"[hh]:mm"))</f>
        <v>#VALUE!</v>
      </c>
      <c r="AJ220" s="172" t="e">
        <f>IF(VLOOKUP(T_BilanSocial[[#This Row],[NumL]],T_TraitDi[#Data],COLUMN(T_TraitDi[[#This Row],[Colonne5]]),FALSE)=0,"",TEXT(IFERROR(VLOOKUP(T_BilanSocial[[#This Row],[NumL]],T_TraitDi[#Data],COLUMN(T_TraitDi[[#This Row],[Colonne5]]),FALSE),""),"[hh]:mm"))</f>
        <v>#VALUE!</v>
      </c>
      <c r="AK220" s="172" t="e">
        <f>IF(VLOOKUP(T_BilanSocial[[#This Row],[NumL]],T_TraitDi[#Data],COLUMN(T_TraitDi[[#This Row],[Colonne6]]),FALSE)=0,"",TEXT(IFERROR(VLOOKUP(T_BilanSocial[[#This Row],[NumL]],T_TraitDi[#Data],COLUMN(T_TraitDi[[#This Row],[Colonne6]]),FALSE),""),"[hh]:mm"))</f>
        <v>#VALUE!</v>
      </c>
      <c r="AL220" s="172" t="e">
        <f>IF(VLOOKUP(T_BilanSocial[[#This Row],[NumL]],T_TraitDi[#Data],COLUMN(T_TraitDi[[#This Row],[Colonne7]]),FALSE)=0,"",TEXT(IFERROR(VLOOKUP(T_BilanSocial[[#This Row],[NumL]],T_TraitDi[#Data],COLUMN(T_TraitDi[[#This Row],[Colonne7]]),FALSE),""),"[hh]:mm"))</f>
        <v>#VALUE!</v>
      </c>
      <c r="AM220" s="172" t="e">
        <f>IF(VLOOKUP(T_BilanSocial[[#This Row],[NumL]],T_TraitDi[#Data],COLUMN(T_TraitDi[[#This Row],[Colonne8]]),FALSE)=0,"",TEXT(IFERROR(VLOOKUP(T_BilanSocial[[#This Row],[NumL]],T_TraitDi[#Data],COLUMN(T_TraitDi[[#This Row],[Colonne8]]),FALSE),""),"[hh]:mm"))</f>
        <v>#VALUE!</v>
      </c>
      <c r="AN220" s="172" t="str">
        <f>IFERROR(VLOOKUP(T_BilanSocial[[#This Row],[NumL]],T_TraitDi[#Data],COLUMN(T_TraitDi[[#This Row],[Mardi]]),FALSE),"")</f>
        <v/>
      </c>
      <c r="AO220" s="172" t="e">
        <f>IF(VLOOKUP(T_BilanSocial[[#This Row],[NumL]],T_TraitDi[#Data],COLUMN(T_TraitDi[[#This Row],[Colonne1]]),FALSE)=0,"",TEXT(IFERROR(VLOOKUP(T_BilanSocial[[#This Row],[NumL]],T_TraitDi[#Data],COLUMN(T_TraitDi[[#This Row],[Colonne1]]),FALSE),""),"[hh]:mm"))</f>
        <v>#VALUE!</v>
      </c>
      <c r="AP220" s="172" t="e">
        <f>IF(VLOOKUP(T_BilanSocial[[#This Row],[NumL]],T_TraitDi[#Data],COLUMN(T_TraitDi[[#This Row],[Colonne9]]),FALSE)=0,"",TEXT(IFERROR(VLOOKUP(T_BilanSocial[[#This Row],[NumL]],T_TraitDi[#Data],COLUMN(T_TraitDi[[#This Row],[Colonne9]]),FALSE),""),"[hh]:mm"))</f>
        <v>#VALUE!</v>
      </c>
      <c r="AQ220" s="172" t="str">
        <f>IFERROR(VLOOKUP(T_BilanSocial[[#This Row],[NumL]],T_TraitDi[#Data],COLUMN(T_TraitDi[[#This Row],[Colonne10]]),FALSE),"")</f>
        <v/>
      </c>
      <c r="AR220" s="172" t="e">
        <f>IF(VLOOKUP(T_BilanSocial[[#This Row],[NumL]],T_TraitDi[#Data],COLUMN(T_TraitDi[[#This Row],[Colonne11]]),FALSE)=0,"",TEXT(IFERROR(VLOOKUP(T_BilanSocial[[#This Row],[NumL]],T_TraitDi[#Data],COLUMN(T_TraitDi[[#This Row],[Colonne11]]),FALSE),""),"[hh]:mm"))</f>
        <v>#VALUE!</v>
      </c>
      <c r="AS220" s="172" t="e">
        <f>IF(VLOOKUP(T_BilanSocial[[#This Row],[NumL]],T_TraitDi[#Data],COLUMN(T_TraitDi[[#This Row],[Colonne12]]),FALSE)=0,"",TEXT(IFERROR(VLOOKUP(T_BilanSocial[[#This Row],[NumL]],T_TraitDi[#Data],COLUMN(T_TraitDi[[#This Row],[Colonne12]]),FALSE),""),"[hh]:mm"))</f>
        <v>#VALUE!</v>
      </c>
      <c r="AT220" s="172" t="e">
        <f>IF(VLOOKUP(T_BilanSocial[[#This Row],[NumL]],T_TraitDi[#Data],COLUMN(T_TraitDi[[#This Row],[Colonne14]]),FALSE)=0,"",TEXT(IFERROR(VLOOKUP(T_BilanSocial[[#This Row],[NumL]],T_TraitDi[#Data],COLUMN(T_TraitDi[[#This Row],[Colonne14]]),FALSE),""),"[hh]:mm"))</f>
        <v>#VALUE!</v>
      </c>
      <c r="AU220" s="172" t="str">
        <f>IFERROR(VLOOKUP(T_BilanSocial[[#This Row],[NumL]],T_TraitDi[#Data],COLUMN(T_TraitDi[[#This Row],[Mercredi]]),FALSE),"")</f>
        <v/>
      </c>
      <c r="AV220" s="172" t="e">
        <f>IF(VLOOKUP(T_BilanSocial[[#This Row],[NumL]],T_TraitDi[#Data],COLUMN(T_TraitDi[[#This Row],[Colonne15]]),FALSE)=0,"",TEXT(IFERROR(VLOOKUP(T_BilanSocial[[#This Row],[NumL]],T_TraitDi[#Data],COLUMN(T_TraitDi[[#This Row],[Colonne15]]),FALSE),""),"[hh]:mm"))</f>
        <v>#VALUE!</v>
      </c>
      <c r="AW220" s="172" t="e">
        <f>IF(VLOOKUP(T_BilanSocial[[#This Row],[NumL]],T_TraitDi[#Data],COLUMN(T_TraitDi[[#This Row],[Colonne16]]),FALSE)=0,"",TEXT(IFERROR(VLOOKUP(T_BilanSocial[[#This Row],[NumL]],T_TraitDi[#Data],COLUMN(T_TraitDi[[#This Row],[Colonne16]]),FALSE),""),"[hh]:mm"))</f>
        <v>#VALUE!</v>
      </c>
      <c r="AX220" s="172" t="str">
        <f>IFERROR(VLOOKUP(T_BilanSocial[[#This Row],[NumL]],T_TraitDi[#Data],COLUMN(T_TraitDi[[#This Row],[Colonne17]]),FALSE),"")</f>
        <v/>
      </c>
      <c r="AY220" s="172" t="e">
        <f>IF(VLOOKUP(T_BilanSocial[[#This Row],[NumL]],T_TraitDi[#Data],COLUMN(T_TraitDi[[#This Row],[Colonne18]]),FALSE)=0,"",TEXT(IFERROR(VLOOKUP(T_BilanSocial[[#This Row],[NumL]],T_TraitDi[#Data],COLUMN(T_TraitDi[[#This Row],[Colonne18]]),FALSE),""),"[hh]:mm"))</f>
        <v>#VALUE!</v>
      </c>
      <c r="AZ220" s="172" t="e">
        <f>IF(VLOOKUP(T_BilanSocial[[#This Row],[NumL]],T_TraitDi[#Data],COLUMN(T_TraitDi[[#This Row],[Colonne19]]),FALSE)=0,"",TEXT(IFERROR(VLOOKUP(T_BilanSocial[[#This Row],[NumL]],T_TraitDi[#Data],COLUMN(T_TraitDi[[#This Row],[Colonne19]]),FALSE),""),"[hh]:mm"))</f>
        <v>#VALUE!</v>
      </c>
      <c r="BA220" s="172" t="e">
        <f>IF(VLOOKUP(T_BilanSocial[[#This Row],[NumL]],T_TraitDi[#Data],COLUMN(T_TraitDi[[#This Row],[Colonne20]]),FALSE)=0,"",TEXT(IFERROR(VLOOKUP(T_BilanSocial[[#This Row],[NumL]],T_TraitDi[#Data],COLUMN(T_TraitDi[[#This Row],[Colonne20]]),FALSE),""),"[hh]:mm"))</f>
        <v>#VALUE!</v>
      </c>
      <c r="BB220" s="178" t="str">
        <f>IFERROR(VLOOKUP(T_BilanSocial[[#This Row],[NumL]],T_TraitDi[#Data],COLUMN(T_TraitDi[[#This Row],[Jeudi]]),FALSE),"")</f>
        <v/>
      </c>
      <c r="BC220" s="178" t="e">
        <f>IF(VLOOKUP(T_BilanSocial[[#This Row],[NumL]],T_TraitDi[#Data],COLUMN(T_TraitDi[[#This Row],[Colonne21]]),FALSE)=0,"",TEXT(IFERROR(VLOOKUP(T_BilanSocial[[#This Row],[NumL]],T_TraitDi[#Data],COLUMN(T_TraitDi[[#This Row],[Colonne21]]),FALSE),""),"[hh]:mm"))</f>
        <v>#VALUE!</v>
      </c>
      <c r="BD220" s="178" t="e">
        <f>IF(VLOOKUP(T_BilanSocial[[#This Row],[NumL]],T_TraitDi[#Data],COLUMN(T_TraitDi[[#This Row],[Colonne22]]),FALSE)=0,"",TEXT(IFERROR(VLOOKUP(T_BilanSocial[[#This Row],[NumL]],T_TraitDi[#Data],COLUMN(T_TraitDi[[#This Row],[Colonne22]]),FALSE),""),"[hh]:mm"))</f>
        <v>#VALUE!</v>
      </c>
      <c r="BE220" s="178" t="str">
        <f>IFERROR(VLOOKUP(T_BilanSocial[[#This Row],[NumL]],T_TraitDi[#Data],COLUMN(T_TraitDi[[#This Row],[Colonne23]]),FALSE),"")</f>
        <v/>
      </c>
      <c r="BF220" s="178" t="e">
        <f>IF(VLOOKUP(T_BilanSocial[[#This Row],[NumL]],T_TraitDi[#Data],COLUMN(T_TraitDi[[#This Row],[Colonne24]]),FALSE)=0,"",TEXT(IFERROR(VLOOKUP(T_BilanSocial[[#This Row],[NumL]],T_TraitDi[#Data],COLUMN(T_TraitDi[[#This Row],[Colonne24]]),FALSE),""),"[hh]:mm"))</f>
        <v>#VALUE!</v>
      </c>
      <c r="BG220" s="178" t="e">
        <f>IF(VLOOKUP(T_BilanSocial[[#This Row],[NumL]],T_TraitDi[#Data],COLUMN(T_TraitDi[[#This Row],[Colonne25]]),FALSE)=0,"",TEXT(IFERROR(VLOOKUP(T_BilanSocial[[#This Row],[NumL]],T_TraitDi[#Data],COLUMN(T_TraitDi[[#This Row],[Colonne25]]),FALSE),""),"[hh]:mm"))</f>
        <v>#VALUE!</v>
      </c>
      <c r="BH220" s="178" t="e">
        <f>IF(VLOOKUP(T_BilanSocial[[#This Row],[NumL]],T_TraitDi[#Data],COLUMN(T_TraitDi[[#This Row],[Colonne26]]),FALSE)=0,"",TEXT(IFERROR(VLOOKUP(T_BilanSocial[[#This Row],[NumL]],T_TraitDi[#Data],COLUMN(T_TraitDi[[#This Row],[Colonne26]]),FALSE),""),"[hh]:mm"))</f>
        <v>#VALUE!</v>
      </c>
      <c r="BI220" s="172" t="str">
        <f>IFERROR(VLOOKUP(T_BilanSocial[[#This Row],[NumL]],T_TraitDi[#Data],COLUMN(T_TraitDi[[#This Row],[Vendredi]]),FALSE),"")</f>
        <v/>
      </c>
      <c r="BJ220" s="172" t="e">
        <f>IF(VLOOKUP(T_BilanSocial[[#This Row],[NumL]],T_TraitDi[#Data],COLUMN(T_TraitDi[[#This Row],[Colonne27]]),FALSE)=0,"",TEXT(IFERROR(VLOOKUP(T_BilanSocial[[#This Row],[NumL]],T_TraitDi[#Data],COLUMN(T_TraitDi[[#This Row],[Colonne27]]),FALSE),""),"[hh]:mm"))</f>
        <v>#VALUE!</v>
      </c>
      <c r="BK220" s="172" t="e">
        <f>IF(VLOOKUP(T_BilanSocial[[#This Row],[NumL]],T_TraitDi[#Data],COLUMN(T_TraitDi[[#This Row],[Colonne28]]),FALSE)=0,"",TEXT(IFERROR(VLOOKUP(T_BilanSocial[[#This Row],[NumL]],T_TraitDi[#Data],COLUMN(T_TraitDi[[#This Row],[Colonne28]]),FALSE),""),"[hh]:mm"))</f>
        <v>#VALUE!</v>
      </c>
      <c r="BL220" s="172" t="str">
        <f>IFERROR(VLOOKUP(T_BilanSocial[[#This Row],[NumL]],T_TraitDi[#Data],COLUMN(T_TraitDi[[#This Row],[Colonne29]]),FALSE),"")</f>
        <v/>
      </c>
      <c r="BM220" s="172" t="e">
        <f>IF(VLOOKUP(T_BilanSocial[[#This Row],[NumL]],T_TraitDi[#Data],COLUMN(T_TraitDi[[#This Row],[Colonne30]]),FALSE)=0,"",TEXT(IFERROR(VLOOKUP(T_BilanSocial[[#This Row],[NumL]],T_TraitDi[#Data],COLUMN(T_TraitDi[[#This Row],[Colonne30]]),FALSE),""),"[hh]:mm"))</f>
        <v>#VALUE!</v>
      </c>
      <c r="BN220" s="172" t="e">
        <f>IF(VLOOKUP(T_BilanSocial[[#This Row],[NumL]],T_TraitDi[#Data],COLUMN(T_TraitDi[[#This Row],[Colonne31]]),FALSE)=0,"",TEXT(IFERROR(VLOOKUP(T_BilanSocial[[#This Row],[NumL]],T_TraitDi[#Data],COLUMN(T_TraitDi[[#This Row],[Colonne31]]),FALSE),""),"[hh]:mm"))</f>
        <v>#VALUE!</v>
      </c>
      <c r="BO220" s="172" t="e">
        <f>IF(VLOOKUP(T_BilanSocial[[#This Row],[NumL]],T_TraitDi[#Data],COLUMN(T_TraitDi[[#This Row],[Colonne32]]),FALSE)=0,"",TEXT(IFERROR(VLOOKUP(T_BilanSocial[[#This Row],[NumL]],T_TraitDi[#Data],COLUMN(T_TraitDi[[#This Row],[Colonne32]]),FALSE),""),"[hh]:mm"))</f>
        <v>#VALUE!</v>
      </c>
      <c r="BP220" s="172" t="e">
        <f>VLOOKUP(T_BilanSocial[[#This Row],[NumL]],T_TraitDi[#Data],COLUMN(T_TraitDi[NbJTot]),FALSE)</f>
        <v>#N/A</v>
      </c>
      <c r="BQ220" s="174" t="str">
        <f>IFERROR(VLOOKUP(T_BilanSocial[[#This Row],[NumL]],T_TraitDi[#Data],COLUMN(T_TraitDi[[#This Row],[NbJTW]]),FALSE),"")</f>
        <v/>
      </c>
      <c r="BR220" s="174" t="e">
        <f>IF(VLOOKUP(T_BilanSocial[[#This Row],[NumL]],T_TraitDi[#Data],COLUMN(T_TraitDi[[#This Row],[NbhTW]]),FALSE)=0,"",TEXT(IFERROR(VLOOKUP(T_BilanSocial[[#This Row],[NumL]],T_TraitDi[#Data],COLUMN(T_TraitDi[[#This Row],[NbhTW]]),FALSE),""),"[hh]:mm"))</f>
        <v>#VALUE!</v>
      </c>
      <c r="BS220" s="174" t="e">
        <f>IF(VLOOKUP(T_BilanSocial[[#This Row],[NumL]],T_TraitDi[#Data],COLUMN(T_TraitDi[[#This Row],[Nbhheb]]),FALSE)=0,"",TEXT(IFERROR(VLOOKUP($A220,T_TraitDi[#Data],COLUMN(T_TraitDi[[#This Row],[Nbhheb]]),FALSE),""),"[hh]:mm"))</f>
        <v>#VALUE!</v>
      </c>
      <c r="BT220" s="182" t="str">
        <f>IFERROR(VLOOKUP(VLOOKUP($A220,T_TraitDi[#Data],COLUMN(T_TraitDi[[#This Row],[Type1]]),FALSE),TypeTW,2,FALSE),"")</f>
        <v/>
      </c>
      <c r="BU220" s="182" t="str">
        <f>IFERROR(VLOOKUP($A220,T_TraitDi[#Data],COLUMN(T_TraitDi[[#This Row],[Rue1]]),FALSE),"")</f>
        <v/>
      </c>
      <c r="BV220" s="173" t="str">
        <f>IFERROR(VLOOKUP($A220,T_TraitDi[#Data],COLUMN(T_TraitDi[[#This Row],[CP1]]),FALSE),"")</f>
        <v/>
      </c>
      <c r="BW220" s="173" t="str">
        <f>IFERROR(VLOOKUP($A220,T_TraitDi[#Data],COLUMN(T_TraitDi[[#This Row],[VILLE1]]),FALSE),"")</f>
        <v/>
      </c>
      <c r="BX220" s="182" t="str">
        <f>IFERROR(VLOOKUP(VLOOKUP($A220,T_TraitDi[#Data],COLUMN(T_TraitDi[[#This Row],[Type2]]),FALSE),TypeTW,2,FALSE),"")</f>
        <v/>
      </c>
      <c r="BY220" s="182" t="str">
        <f>IFERROR(VLOOKUP($A220,T_TraitDi[#Data],COLUMN(T_TraitDi[[#This Row],[Rue2]]),FALSE),"")</f>
        <v/>
      </c>
      <c r="BZ220" s="173" t="str">
        <f>IFERROR(VLOOKUP($A220,T_TraitDi[#Data],COLUMN(T_TraitDi[[#This Row],[CP2]]),FALSE),"")</f>
        <v/>
      </c>
      <c r="CA220" s="173" t="str">
        <f>IFERROR(VLOOKUP($A220,T_TraitDi[#Data],COLUMN(T_TraitDi[[#This Row],[VILLE2]]),FALSE),"")</f>
        <v/>
      </c>
      <c r="CB220" s="182" t="e">
        <f>IF(VLOOKUP(T_BilanSocial[[#This Row],[NumL]],T_Equipement[#Data],COLUMN(T_Equipement[[#This Row],[PC]]),FALSE)="","Aucun équipement spécifique directement lié au télétravail",VLOOKUP(T_BilanSocial[[#This Row],[NumL]],T_Equipement[#Data],COLUMN(T_Equipement[[#This Row],[PC]]),FALSE))</f>
        <v>#N/A</v>
      </c>
      <c r="CC220" s="166" t="str">
        <f>IFERROR(IF(VLOOKUP(T_BilanSocial[[#This Row],[NumL]],T_TraitDi[#Data],COLUMN(T_TraitDi[[#This Row],[Plan]]),FALSE)="OK","Un planning spécifique de télétravail est annexé à la présente convention.",""),"")</f>
        <v/>
      </c>
      <c r="CD220" s="185"/>
      <c r="CE220" s="164" t="e">
        <f>IF(VLOOKUP(T_BilanSocial[[#This Row],[NumL]],T_suiviDi[#Data],COLUMN(T_suiviDi[[#This Row],[Entité]]),FALSE)="","",VLOOKUP(T_BilanSocial[[#This Row],[NumL]],T_suiviDi[#Data],COLUMN(T_suiviDi[[#This Row],[Entité]]),FALSE))</f>
        <v>#VALUE!</v>
      </c>
      <c r="CF220" s="164" t="e">
        <f>IF(VLOOKUP(T_BilanSocial[[#This Row],[NumL]],T_Commission[#Data],COLUMN(T_Commission[[#This Row],[envoi confirm TW]]),FALSE)="","",VLOOKUP(T_BilanSocial[[#This Row],[NumL]],T_Commission[#Data],COLUMN(T_Commission[[#This Row],[envoi confirm TW]]),FALSE))</f>
        <v>#N/A</v>
      </c>
      <c r="CG22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0" s="262" t="e">
        <f>T_BilanSocial[[#This Row],[Nom]]&amp;T_BilanSocial[[#This Row],[Prenom]]</f>
        <v>#N/A</v>
      </c>
      <c r="CI220" s="262" t="e">
        <f>VLOOKUP(T_BilanSocial[[#This Row],[NumL]],T_Commission[#Data],COLUMN(T_Commission[Commentaire]),FALSE)</f>
        <v>#N/A</v>
      </c>
      <c r="CJ220" s="262" t="e">
        <f>IF(VLOOKUP(T_BilanSocial[[#This Row],[NumL]],T_Commission[#Data],COLUMN(T_Commission[Encadrant Email]),FALSE)="","",VLOOKUP(T_BilanSocial[[#This Row],[NumL]],T_Commission[#Data],COLUMN(T_Commission[Encadrant Email]),FALSE))</f>
        <v>#N/A</v>
      </c>
      <c r="CK220" s="340" t="e">
        <f>IF(T_BilanSocial[[#This Row],[Final]]&lt;&gt;"",VLOOKUP(T_BilanSocial[[#This Row],[NumL]],T_suiviDi[#Data],COLUMN((T_suiviDi[Statut])),FALSE),"")</f>
        <v>#N/A</v>
      </c>
    </row>
    <row r="221" spans="1:89" s="106" customFormat="1" ht="24.75" customHeight="1" x14ac:dyDescent="0.25">
      <c r="A221" s="160">
        <v>218</v>
      </c>
      <c r="B221" s="161" t="str">
        <f t="shared" si="34"/>
        <v/>
      </c>
      <c r="C221" s="162" t="s">
        <v>173</v>
      </c>
      <c r="D221" s="95" t="e">
        <f>IF(VLOOKUP(T_BilanSocial[[#This Row],[NumL]],T_TraitDi[#Data],COLUMN(T_TraitDi[[#This Row],[WebC]]),FALSE)="","",VLOOKUP(T_BilanSocial[[#This Row],[NumL]],T_TraitDi[#Data],COLUMN(T_TraitDi[[#This Row],[WebC]]),FALSE))</f>
        <v>#VALUE!</v>
      </c>
      <c r="E221" s="163" t="str">
        <f t="shared" si="35"/>
        <v>12 janvier 2021</v>
      </c>
      <c r="F221" s="96" t="str">
        <f>IF(T_BilanSocial[[#This Row],[Final]]&lt;&gt;"",VLOOKUP(T_BilanSocial[[#This Row],[NumL]],T_suiviDi[#Data],COLUMN((T_suiviDi[Civ.])),FALSE),"")</f>
        <v/>
      </c>
      <c r="G221" s="96" t="str">
        <f>IF(T_BilanSocial[[#This Row],[Final]]&lt;&gt;"",VLOOKUP(T_BilanSocial[[#This Row],[NumL]],T_suiviDi[#Data],COLUMN((T_suiviDi[Nom])),FALSE),"")</f>
        <v/>
      </c>
      <c r="H221" s="96" t="str">
        <f>IF(T_BilanSocial[[#This Row],[Final]]&lt;&gt;"",VLOOKUP(T_BilanSocial[[#This Row],[NumL]],T_suiviDi[#Data],COLUMN((T_suiviDi[Prénom])),FALSE),"")</f>
        <v/>
      </c>
      <c r="I221" s="96" t="str">
        <f>IFERROR(VLOOKUP(T_BilanSocial[[#This Row],[Zone_Bilan]],T_P_BilanSocial[#Data],COLUMN(T_P_BilanSocial[[#This Row],[Numero_SIHAM]]),FALSE),"")</f>
        <v/>
      </c>
      <c r="J221" s="96" t="str">
        <f>IFERROR(VLOOKUP(T_BilanSocial[[#This Row],[Zone_Bilan]],T_P_BilanSocial[#Data],COLUMN(T_P_BilanSocial[[#This Row],[Sexe]]),FALSE),"")</f>
        <v/>
      </c>
      <c r="K221" s="97" t="str">
        <f>IFERROR(VLOOKUP(T_BilanSocial[[#This Row],[Zone_Bilan]],T_P_BilanSocial[#Data],COLUMN(T_P_BilanSocial[[#This Row],[Categorie]]),FALSE),"")</f>
        <v/>
      </c>
      <c r="L221" s="96" t="str">
        <f>IFERROR(VLOOKUP(T_BilanSocial[[#This Row],[Zone_Bilan]],T_P_BilanSocial[#Data],COLUMN(T_P_BilanSocial[[#This Row],[Statut]]),FALSE),"")</f>
        <v/>
      </c>
      <c r="M221" s="96" t="str">
        <f>IFERROR(VLOOKUP(T_BilanSocial[[#This Row],[Zone_Bilan]],T_P_BilanSocial[#Data],COLUMN(T_P_BilanSocial[[#This Row],[Filiere]]),FALSE),"")</f>
        <v/>
      </c>
      <c r="N221" s="96" t="e">
        <f>VLOOKUP(T_BilanSocial[[#This Row],[NumL]],T_TraitDi[#Data],COLUMN(T_TraitDi[EXP]),FALSE)</f>
        <v>#N/A</v>
      </c>
      <c r="O221" s="96" t="e">
        <f>VLOOKUP(T_BilanSocial[[#This Row],[NumL]],T_TraitDi[#Data],COLUMN(T_TraitDi[FORM]),FALSE)</f>
        <v>#N/A</v>
      </c>
      <c r="P221" s="96" t="str">
        <f>IF(T_BilanSocial[[#This Row],[Final]]&lt;&gt;"",VLOOKUP(T_BilanSocial[[#This Row],[NumL]],T_suiviDi[#Data],COLUMN((T_suiviDi[Email])),FALSE),"")</f>
        <v/>
      </c>
      <c r="Q221" s="164" t="e">
        <f t="shared" si="40"/>
        <v>#N/A</v>
      </c>
      <c r="R221" s="164" t="e">
        <f t="shared" si="41"/>
        <v>#N/A</v>
      </c>
      <c r="S221" s="164" t="e">
        <f>IF(VLOOKUP(T_BilanSocial[[#This Row],[NumL]],T_suiviDi[#Data],COLUMN(T_suiviDi[[#This Row],[Service ]]),FALSE)="","",VLOOKUP(T_BilanSocial[[#This Row],[NumL]],T_suiviDi[#Data],COLUMN(T_suiviDi[[#This Row],[Service ]]),FALSE))</f>
        <v>#VALUE!</v>
      </c>
      <c r="T221" s="164" t="str">
        <f t="shared" si="36"/>
        <v>01 septembre 2021</v>
      </c>
      <c r="U221" s="164" t="str">
        <f t="shared" si="37"/>
        <v>30 novembre 2021</v>
      </c>
      <c r="V221" s="164" t="str">
        <f>TEXT(Datebilan,"jj mmmm aaaa")</f>
        <v>30 novembre 2021</v>
      </c>
      <c r="W221" s="176" t="e">
        <f>IF(VLOOKUP(T_BilanSocial[[#This Row],[NumL]],T_TraitDi[#Data],COLUMN(T_TraitDi[[#This Row],[M1]]),FALSE)="","",VLOOKUP(T_BilanSocial[[#This Row],[NumL]],T_TraitDi[#Data],COLUMN(T_TraitDi[[#This Row],[M1]]),FALSE))</f>
        <v>#VALUE!</v>
      </c>
      <c r="X221" s="176" t="e">
        <f>IF(VLOOKUP(T_BilanSocial[[#This Row],[NumL]],T_TraitDi[#Data],COLUMN(T_TraitDi[[#This Row],[M2]]),FALSE)="","",VLOOKUP(T_BilanSocial[[#This Row],[NumL]],T_TraitDi[#Data],COLUMN(T_TraitDi[[#This Row],[M2]]),FALSE))</f>
        <v>#VALUE!</v>
      </c>
      <c r="Y221" s="176" t="e">
        <f>IF(VLOOKUP(T_BilanSocial[[#This Row],[NumL]],T_TraitDi[#Data],COLUMN(T_TraitDi[[#This Row],[M3]]),FALSE)="","",VLOOKUP(T_BilanSocial[[#This Row],[NumL]],T_TraitDi[#Data],COLUMN(T_TraitDi[[#This Row],[M3]]),FALSE))</f>
        <v>#VALUE!</v>
      </c>
      <c r="Z221" s="176" t="str">
        <f t="shared" si="39"/>
        <v/>
      </c>
      <c r="AA221" s="176" t="e">
        <f>IF(VLOOKUP(T_BilanSocial[[#This Row],[NumL]],T_TraitDi[#Data],COLUMN(T_TraitDi[[#This Row],[M5]]),FALSE)="","",VLOOKUP(T_BilanSocial[[#This Row],[NumL]],T_TraitDi[#Data],COLUMN(T_TraitDi[[#This Row],[M5]]),FALSE))</f>
        <v>#VALUE!</v>
      </c>
      <c r="AB221" s="176" t="e">
        <f>IF(VLOOKUP(T_BilanSocial[[#This Row],[NumL]],T_TraitDi[#Data],COLUMN(T_TraitDi[[#This Row],[M6]]),FALSE)="","",VLOOKUP(T_BilanSocial[[#This Row],[NumL]],T_TraitDi[#Data],COLUMN(T_TraitDi[[#This Row],[M6]]),FALSE))</f>
        <v>#VALUE!</v>
      </c>
      <c r="AC221" s="165" t="e">
        <f t="shared" si="38"/>
        <v>#VALUE!</v>
      </c>
      <c r="AD221" s="188" t="str">
        <f>IFERROR(TEXT(VLOOKUP(T_BilanSocial[[#This Row],[NumL]],T_TraitDi[#Data],COLUMN(T_TraitDi[[#This Row],[Q2]]),FALSE),"###%"),"")</f>
        <v/>
      </c>
      <c r="AE221" s="97" t="e">
        <f>VLOOKUP(T_BilanSocial[[#This Row],[NumL]],T_TraitDi[#Data],COLUMN(T_TraitDi[[#This Row],[Reg Ponct]]),FALSE)</f>
        <v>#VALUE!</v>
      </c>
      <c r="AF221" s="97" t="e">
        <f>VLOOKUP(T_BilanSocial[NumL],T_TraitDi[#Data],COLUMN(T_TraitDi[[#This Row],[Jours flottants]]),FALSE)</f>
        <v>#VALUE!</v>
      </c>
      <c r="AG221" s="97" t="str">
        <f>IFERROR(VLOOKUP(T_BilanSocial[[#This Row],[NumL]],T_TraitDi[#Data],COLUMN(T_TraitDi[[#This Row],[Lundi]]),FALSE),"")</f>
        <v/>
      </c>
      <c r="AH221" s="172" t="e">
        <f>IF(VLOOKUP(T_BilanSocial[[#This Row],[NumL]],T_TraitDi[#Data],COLUMN(T_TraitDi[[#This Row],[Colonne3]]),FALSE)=0,"",TEXT(IFERROR(VLOOKUP(T_BilanSocial[[#This Row],[NumL]],T_TraitDi[#Data],COLUMN(T_TraitDi[[#This Row],[Colonne3]]),FALSE),""),"[hh]:mm"))</f>
        <v>#VALUE!</v>
      </c>
      <c r="AI221" s="172" t="e">
        <f>IF(VLOOKUP(T_BilanSocial[[#This Row],[NumL]],T_TraitDi[#Data],COLUMN(T_TraitDi[[#This Row],[Colonne4]]),FALSE)=0,"",TEXT(IFERROR(VLOOKUP(T_BilanSocial[[#This Row],[NumL]],T_TraitDi[#Data],COLUMN(T_TraitDi[[#This Row],[Colonne4]]),FALSE),""),"[hh]:mm"))</f>
        <v>#VALUE!</v>
      </c>
      <c r="AJ221" s="172" t="e">
        <f>IF(VLOOKUP(T_BilanSocial[[#This Row],[NumL]],T_TraitDi[#Data],COLUMN(T_TraitDi[[#This Row],[Colonne5]]),FALSE)=0,"",TEXT(IFERROR(VLOOKUP(T_BilanSocial[[#This Row],[NumL]],T_TraitDi[#Data],COLUMN(T_TraitDi[[#This Row],[Colonne5]]),FALSE),""),"[hh]:mm"))</f>
        <v>#VALUE!</v>
      </c>
      <c r="AK221" s="172" t="e">
        <f>IF(VLOOKUP(T_BilanSocial[[#This Row],[NumL]],T_TraitDi[#Data],COLUMN(T_TraitDi[[#This Row],[Colonne6]]),FALSE)=0,"",TEXT(IFERROR(VLOOKUP(T_BilanSocial[[#This Row],[NumL]],T_TraitDi[#Data],COLUMN(T_TraitDi[[#This Row],[Colonne6]]),FALSE),""),"[hh]:mm"))</f>
        <v>#VALUE!</v>
      </c>
      <c r="AL221" s="172" t="e">
        <f>IF(VLOOKUP(T_BilanSocial[[#This Row],[NumL]],T_TraitDi[#Data],COLUMN(T_TraitDi[[#This Row],[Colonne7]]),FALSE)=0,"",TEXT(IFERROR(VLOOKUP(T_BilanSocial[[#This Row],[NumL]],T_TraitDi[#Data],COLUMN(T_TraitDi[[#This Row],[Colonne7]]),FALSE),""),"[hh]:mm"))</f>
        <v>#VALUE!</v>
      </c>
      <c r="AM221" s="172" t="e">
        <f>IF(VLOOKUP(T_BilanSocial[[#This Row],[NumL]],T_TraitDi[#Data],COLUMN(T_TraitDi[[#This Row],[Colonne8]]),FALSE)=0,"",TEXT(IFERROR(VLOOKUP(T_BilanSocial[[#This Row],[NumL]],T_TraitDi[#Data],COLUMN(T_TraitDi[[#This Row],[Colonne8]]),FALSE),""),"[hh]:mm"))</f>
        <v>#VALUE!</v>
      </c>
      <c r="AN221" s="172" t="str">
        <f>IFERROR(VLOOKUP(T_BilanSocial[[#This Row],[NumL]],T_TraitDi[#Data],COLUMN(T_TraitDi[[#This Row],[Mardi]]),FALSE),"")</f>
        <v/>
      </c>
      <c r="AO221" s="172" t="e">
        <f>IF(VLOOKUP(T_BilanSocial[[#This Row],[NumL]],T_TraitDi[#Data],COLUMN(T_TraitDi[[#This Row],[Colonne1]]),FALSE)=0,"",TEXT(IFERROR(VLOOKUP(T_BilanSocial[[#This Row],[NumL]],T_TraitDi[#Data],COLUMN(T_TraitDi[[#This Row],[Colonne1]]),FALSE),""),"[hh]:mm"))</f>
        <v>#VALUE!</v>
      </c>
      <c r="AP221" s="172" t="e">
        <f>IF(VLOOKUP(T_BilanSocial[[#This Row],[NumL]],T_TraitDi[#Data],COLUMN(T_TraitDi[[#This Row],[Colonne9]]),FALSE)=0,"",TEXT(IFERROR(VLOOKUP(T_BilanSocial[[#This Row],[NumL]],T_TraitDi[#Data],COLUMN(T_TraitDi[[#This Row],[Colonne9]]),FALSE),""),"[hh]:mm"))</f>
        <v>#VALUE!</v>
      </c>
      <c r="AQ221" s="172" t="str">
        <f>IFERROR(VLOOKUP(T_BilanSocial[[#This Row],[NumL]],T_TraitDi[#Data],COLUMN(T_TraitDi[[#This Row],[Colonne10]]),FALSE),"")</f>
        <v/>
      </c>
      <c r="AR221" s="172" t="e">
        <f>IF(VLOOKUP(T_BilanSocial[[#This Row],[NumL]],T_TraitDi[#Data],COLUMN(T_TraitDi[[#This Row],[Colonne11]]),FALSE)=0,"",TEXT(IFERROR(VLOOKUP(T_BilanSocial[[#This Row],[NumL]],T_TraitDi[#Data],COLUMN(T_TraitDi[[#This Row],[Colonne11]]),FALSE),""),"[hh]:mm"))</f>
        <v>#VALUE!</v>
      </c>
      <c r="AS221" s="172" t="e">
        <f>IF(VLOOKUP(T_BilanSocial[[#This Row],[NumL]],T_TraitDi[#Data],COLUMN(T_TraitDi[[#This Row],[Colonne12]]),FALSE)=0,"",TEXT(IFERROR(VLOOKUP(T_BilanSocial[[#This Row],[NumL]],T_TraitDi[#Data],COLUMN(T_TraitDi[[#This Row],[Colonne12]]),FALSE),""),"[hh]:mm"))</f>
        <v>#VALUE!</v>
      </c>
      <c r="AT221" s="172" t="e">
        <f>IF(VLOOKUP(T_BilanSocial[[#This Row],[NumL]],T_TraitDi[#Data],COLUMN(T_TraitDi[[#This Row],[Colonne14]]),FALSE)=0,"",TEXT(IFERROR(VLOOKUP(T_BilanSocial[[#This Row],[NumL]],T_TraitDi[#Data],COLUMN(T_TraitDi[[#This Row],[Colonne14]]),FALSE),""),"[hh]:mm"))</f>
        <v>#VALUE!</v>
      </c>
      <c r="AU221" s="172" t="str">
        <f>IFERROR(VLOOKUP(T_BilanSocial[[#This Row],[NumL]],T_TraitDi[#Data],COLUMN(T_TraitDi[[#This Row],[Mercredi]]),FALSE),"")</f>
        <v/>
      </c>
      <c r="AV221" s="172" t="e">
        <f>IF(VLOOKUP(T_BilanSocial[[#This Row],[NumL]],T_TraitDi[#Data],COLUMN(T_TraitDi[[#This Row],[Colonne15]]),FALSE)=0,"",TEXT(IFERROR(VLOOKUP(T_BilanSocial[[#This Row],[NumL]],T_TraitDi[#Data],COLUMN(T_TraitDi[[#This Row],[Colonne15]]),FALSE),""),"[hh]:mm"))</f>
        <v>#VALUE!</v>
      </c>
      <c r="AW221" s="172" t="e">
        <f>IF(VLOOKUP(T_BilanSocial[[#This Row],[NumL]],T_TraitDi[#Data],COLUMN(T_TraitDi[[#This Row],[Colonne16]]),FALSE)=0,"",TEXT(IFERROR(VLOOKUP(T_BilanSocial[[#This Row],[NumL]],T_TraitDi[#Data],COLUMN(T_TraitDi[[#This Row],[Colonne16]]),FALSE),""),"[hh]:mm"))</f>
        <v>#VALUE!</v>
      </c>
      <c r="AX221" s="172" t="str">
        <f>IFERROR(VLOOKUP(T_BilanSocial[[#This Row],[NumL]],T_TraitDi[#Data],COLUMN(T_TraitDi[[#This Row],[Colonne17]]),FALSE),"")</f>
        <v/>
      </c>
      <c r="AY221" s="172" t="e">
        <f>IF(VLOOKUP(T_BilanSocial[[#This Row],[NumL]],T_TraitDi[#Data],COLUMN(T_TraitDi[[#This Row],[Colonne18]]),FALSE)=0,"",TEXT(IFERROR(VLOOKUP(T_BilanSocial[[#This Row],[NumL]],T_TraitDi[#Data],COLUMN(T_TraitDi[[#This Row],[Colonne18]]),FALSE),""),"[hh]:mm"))</f>
        <v>#VALUE!</v>
      </c>
      <c r="AZ221" s="172" t="e">
        <f>IF(VLOOKUP(T_BilanSocial[[#This Row],[NumL]],T_TraitDi[#Data],COLUMN(T_TraitDi[[#This Row],[Colonne19]]),FALSE)=0,"",TEXT(IFERROR(VLOOKUP(T_BilanSocial[[#This Row],[NumL]],T_TraitDi[#Data],COLUMN(T_TraitDi[[#This Row],[Colonne19]]),FALSE),""),"[hh]:mm"))</f>
        <v>#VALUE!</v>
      </c>
      <c r="BA221" s="172" t="e">
        <f>IF(VLOOKUP(T_BilanSocial[[#This Row],[NumL]],T_TraitDi[#Data],COLUMN(T_TraitDi[[#This Row],[Colonne20]]),FALSE)=0,"",TEXT(IFERROR(VLOOKUP(T_BilanSocial[[#This Row],[NumL]],T_TraitDi[#Data],COLUMN(T_TraitDi[[#This Row],[Colonne20]]),FALSE),""),"[hh]:mm"))</f>
        <v>#VALUE!</v>
      </c>
      <c r="BB221" s="178" t="str">
        <f>IFERROR(VLOOKUP(T_BilanSocial[[#This Row],[NumL]],T_TraitDi[#Data],COLUMN(T_TraitDi[[#This Row],[Jeudi]]),FALSE),"")</f>
        <v/>
      </c>
      <c r="BC221" s="178" t="e">
        <f>IF(VLOOKUP(T_BilanSocial[[#This Row],[NumL]],T_TraitDi[#Data],COLUMN(T_TraitDi[[#This Row],[Colonne21]]),FALSE)=0,"",TEXT(IFERROR(VLOOKUP(T_BilanSocial[[#This Row],[NumL]],T_TraitDi[#Data],COLUMN(T_TraitDi[[#This Row],[Colonne21]]),FALSE),""),"[hh]:mm"))</f>
        <v>#VALUE!</v>
      </c>
      <c r="BD221" s="178" t="e">
        <f>IF(VLOOKUP(T_BilanSocial[[#This Row],[NumL]],T_TraitDi[#Data],COLUMN(T_TraitDi[[#This Row],[Colonne22]]),FALSE)=0,"",TEXT(IFERROR(VLOOKUP(T_BilanSocial[[#This Row],[NumL]],T_TraitDi[#Data],COLUMN(T_TraitDi[[#This Row],[Colonne22]]),FALSE),""),"[hh]:mm"))</f>
        <v>#VALUE!</v>
      </c>
      <c r="BE221" s="178" t="str">
        <f>IFERROR(VLOOKUP(T_BilanSocial[[#This Row],[NumL]],T_TraitDi[#Data],COLUMN(T_TraitDi[[#This Row],[Colonne23]]),FALSE),"")</f>
        <v/>
      </c>
      <c r="BF221" s="178" t="e">
        <f>IF(VLOOKUP(T_BilanSocial[[#This Row],[NumL]],T_TraitDi[#Data],COLUMN(T_TraitDi[[#This Row],[Colonne24]]),FALSE)=0,"",TEXT(IFERROR(VLOOKUP(T_BilanSocial[[#This Row],[NumL]],T_TraitDi[#Data],COLUMN(T_TraitDi[[#This Row],[Colonne24]]),FALSE),""),"[hh]:mm"))</f>
        <v>#VALUE!</v>
      </c>
      <c r="BG221" s="178" t="e">
        <f>IF(VLOOKUP(T_BilanSocial[[#This Row],[NumL]],T_TraitDi[#Data],COLUMN(T_TraitDi[[#This Row],[Colonne25]]),FALSE)=0,"",TEXT(IFERROR(VLOOKUP(T_BilanSocial[[#This Row],[NumL]],T_TraitDi[#Data],COLUMN(T_TraitDi[[#This Row],[Colonne25]]),FALSE),""),"[hh]:mm"))</f>
        <v>#VALUE!</v>
      </c>
      <c r="BH221" s="178" t="e">
        <f>IF(VLOOKUP(T_BilanSocial[[#This Row],[NumL]],T_TraitDi[#Data],COLUMN(T_TraitDi[[#This Row],[Colonne26]]),FALSE)=0,"",TEXT(IFERROR(VLOOKUP(T_BilanSocial[[#This Row],[NumL]],T_TraitDi[#Data],COLUMN(T_TraitDi[[#This Row],[Colonne26]]),FALSE),""),"[hh]:mm"))</f>
        <v>#VALUE!</v>
      </c>
      <c r="BI221" s="172" t="str">
        <f>IFERROR(VLOOKUP(T_BilanSocial[[#This Row],[NumL]],T_TraitDi[#Data],COLUMN(T_TraitDi[[#This Row],[Vendredi]]),FALSE),"")</f>
        <v/>
      </c>
      <c r="BJ221" s="172" t="e">
        <f>IF(VLOOKUP(T_BilanSocial[[#This Row],[NumL]],T_TraitDi[#Data],COLUMN(T_TraitDi[[#This Row],[Colonne27]]),FALSE)=0,"",TEXT(IFERROR(VLOOKUP(T_BilanSocial[[#This Row],[NumL]],T_TraitDi[#Data],COLUMN(T_TraitDi[[#This Row],[Colonne27]]),FALSE),""),"[hh]:mm"))</f>
        <v>#VALUE!</v>
      </c>
      <c r="BK221" s="172" t="e">
        <f>IF(VLOOKUP(T_BilanSocial[[#This Row],[NumL]],T_TraitDi[#Data],COLUMN(T_TraitDi[[#This Row],[Colonne28]]),FALSE)=0,"",TEXT(IFERROR(VLOOKUP(T_BilanSocial[[#This Row],[NumL]],T_TraitDi[#Data],COLUMN(T_TraitDi[[#This Row],[Colonne28]]),FALSE),""),"[hh]:mm"))</f>
        <v>#VALUE!</v>
      </c>
      <c r="BL221" s="172" t="str">
        <f>IFERROR(VLOOKUP(T_BilanSocial[[#This Row],[NumL]],T_TraitDi[#Data],COLUMN(T_TraitDi[[#This Row],[Colonne29]]),FALSE),"")</f>
        <v/>
      </c>
      <c r="BM221" s="172" t="e">
        <f>IF(VLOOKUP(T_BilanSocial[[#This Row],[NumL]],T_TraitDi[#Data],COLUMN(T_TraitDi[[#This Row],[Colonne30]]),FALSE)=0,"",TEXT(IFERROR(VLOOKUP(T_BilanSocial[[#This Row],[NumL]],T_TraitDi[#Data],COLUMN(T_TraitDi[[#This Row],[Colonne30]]),FALSE),""),"[hh]:mm"))</f>
        <v>#VALUE!</v>
      </c>
      <c r="BN221" s="172" t="e">
        <f>IF(VLOOKUP(T_BilanSocial[[#This Row],[NumL]],T_TraitDi[#Data],COLUMN(T_TraitDi[[#This Row],[Colonne31]]),FALSE)=0,"",TEXT(IFERROR(VLOOKUP(T_BilanSocial[[#This Row],[NumL]],T_TraitDi[#Data],COLUMN(T_TraitDi[[#This Row],[Colonne31]]),FALSE),""),"[hh]:mm"))</f>
        <v>#VALUE!</v>
      </c>
      <c r="BO221" s="172" t="e">
        <f>IF(VLOOKUP(T_BilanSocial[[#This Row],[NumL]],T_TraitDi[#Data],COLUMN(T_TraitDi[[#This Row],[Colonne32]]),FALSE)=0,"",TEXT(IFERROR(VLOOKUP(T_BilanSocial[[#This Row],[NumL]],T_TraitDi[#Data],COLUMN(T_TraitDi[[#This Row],[Colonne32]]),FALSE),""),"[hh]:mm"))</f>
        <v>#VALUE!</v>
      </c>
      <c r="BP221" s="172" t="e">
        <f>VLOOKUP(T_BilanSocial[[#This Row],[NumL]],T_TraitDi[#Data],COLUMN(T_TraitDi[NbJTot]),FALSE)</f>
        <v>#N/A</v>
      </c>
      <c r="BQ221" s="174" t="str">
        <f>IFERROR(VLOOKUP(T_BilanSocial[[#This Row],[NumL]],T_TraitDi[#Data],COLUMN(T_TraitDi[[#This Row],[NbJTW]]),FALSE),"")</f>
        <v/>
      </c>
      <c r="BR221" s="174" t="e">
        <f>IF(VLOOKUP(T_BilanSocial[[#This Row],[NumL]],T_TraitDi[#Data],COLUMN(T_TraitDi[[#This Row],[NbhTW]]),FALSE)=0,"",TEXT(IFERROR(VLOOKUP(T_BilanSocial[[#This Row],[NumL]],T_TraitDi[#Data],COLUMN(T_TraitDi[[#This Row],[NbhTW]]),FALSE),""),"[hh]:mm"))</f>
        <v>#VALUE!</v>
      </c>
      <c r="BS221" s="174" t="e">
        <f>IF(VLOOKUP(T_BilanSocial[[#This Row],[NumL]],T_TraitDi[#Data],COLUMN(T_TraitDi[[#This Row],[Nbhheb]]),FALSE)=0,"",TEXT(IFERROR(VLOOKUP($A221,T_TraitDi[#Data],COLUMN(T_TraitDi[[#This Row],[Nbhheb]]),FALSE),""),"[hh]:mm"))</f>
        <v>#VALUE!</v>
      </c>
      <c r="BT221" s="182" t="str">
        <f>IFERROR(VLOOKUP(VLOOKUP($A221,T_TraitDi[#Data],COLUMN(T_TraitDi[[#This Row],[Type1]]),FALSE),TypeTW,2,FALSE),"")</f>
        <v/>
      </c>
      <c r="BU221" s="182" t="str">
        <f>IFERROR(VLOOKUP($A221,T_TraitDi[#Data],COLUMN(T_TraitDi[[#This Row],[Rue1]]),FALSE),"")</f>
        <v/>
      </c>
      <c r="BV221" s="173" t="str">
        <f>IFERROR(VLOOKUP($A221,T_TraitDi[#Data],COLUMN(T_TraitDi[[#This Row],[CP1]]),FALSE),"")</f>
        <v/>
      </c>
      <c r="BW221" s="173" t="str">
        <f>IFERROR(VLOOKUP($A221,T_TraitDi[#Data],COLUMN(T_TraitDi[[#This Row],[VILLE1]]),FALSE),"")</f>
        <v/>
      </c>
      <c r="BX221" s="182" t="str">
        <f>IFERROR(VLOOKUP(VLOOKUP($A221,T_TraitDi[#Data],COLUMN(T_TraitDi[[#This Row],[Type2]]),FALSE),TypeTW,2,FALSE),"")</f>
        <v/>
      </c>
      <c r="BY221" s="182" t="str">
        <f>IFERROR(VLOOKUP($A221,T_TraitDi[#Data],COLUMN(T_TraitDi[[#This Row],[Rue2]]),FALSE),"")</f>
        <v/>
      </c>
      <c r="BZ221" s="173" t="str">
        <f>IFERROR(VLOOKUP($A221,T_TraitDi[#Data],COLUMN(T_TraitDi[[#This Row],[CP2]]),FALSE),"")</f>
        <v/>
      </c>
      <c r="CA221" s="173" t="str">
        <f>IFERROR(VLOOKUP($A221,T_TraitDi[#Data],COLUMN(T_TraitDi[[#This Row],[VILLE2]]),FALSE),"")</f>
        <v/>
      </c>
      <c r="CB221" s="182" t="str">
        <f>IF(VLOOKUP(T_BilanSocial[[#This Row],[NumL]],T_Equipement[#Data],COLUMN(T_Equipement[[#This Row],[PC]]),FALSE)="","Aucun équipement spécifique directement lié au télétravail",VLOOKUP(T_BilanSocial[[#This Row],[NumL]],T_Equipement[#Data],COLUMN(T_Equipement[[#This Row],[PC]]),FALSE))</f>
        <v xml:space="preserve">20-650	</v>
      </c>
      <c r="CC221" s="166" t="str">
        <f>IFERROR(IF(VLOOKUP(T_BilanSocial[[#This Row],[NumL]],T_TraitDi[#Data],COLUMN(T_TraitDi[[#This Row],[Plan]]),FALSE)="OK","Un planning spécifique de télétravail est annexé à la présente convention.",""),"")</f>
        <v/>
      </c>
      <c r="CD221" s="258" t="s">
        <v>3357</v>
      </c>
      <c r="CE221" s="164" t="e">
        <f>IF(VLOOKUP(T_BilanSocial[[#This Row],[NumL]],T_suiviDi[#Data],COLUMN(T_suiviDi[[#This Row],[Entité]]),FALSE)="","",VLOOKUP(T_BilanSocial[[#This Row],[NumL]],T_suiviDi[#Data],COLUMN(T_suiviDi[[#This Row],[Entité]]),FALSE))</f>
        <v>#VALUE!</v>
      </c>
      <c r="CF221" s="164" t="str">
        <f>IF(VLOOKUP(T_BilanSocial[[#This Row],[NumL]],T_Commission[#Data],COLUMN(T_Commission[[#This Row],[envoi confirm TW]]),FALSE)="","",VLOOKUP(T_BilanSocial[[#This Row],[NumL]],T_Commission[#Data],COLUMN(T_Commission[[#This Row],[envoi confirm TW]]),FALSE))</f>
        <v>Oui</v>
      </c>
      <c r="CG22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1" s="262" t="str">
        <f>T_BilanSocial[[#This Row],[Nom]]&amp;T_BilanSocial[[#This Row],[Prenom]]</f>
        <v/>
      </c>
      <c r="CI221" s="262">
        <f>VLOOKUP(T_BilanSocial[[#This Row],[NumL]],T_Commission[#Data],COLUMN(T_Commission[Commentaire]),FALSE)</f>
        <v>0</v>
      </c>
      <c r="CJ221" s="262" t="str">
        <f>IF(VLOOKUP(T_BilanSocial[[#This Row],[NumL]],T_Commission[#Data],COLUMN(T_Commission[Encadrant Email]),FALSE)="","",VLOOKUP(T_BilanSocial[[#This Row],[NumL]],T_Commission[#Data],COLUMN(T_Commission[Encadrant Email]),FALSE))</f>
        <v/>
      </c>
      <c r="CK221" s="340" t="str">
        <f>IF(T_BilanSocial[[#This Row],[Final]]&lt;&gt;"",VLOOKUP(T_BilanSocial[[#This Row],[NumL]],T_suiviDi[#Data],COLUMN((T_suiviDi[Statut])),FALSE),"")</f>
        <v/>
      </c>
    </row>
    <row r="222" spans="1:89" s="106" customFormat="1" ht="24.75" customHeight="1" x14ac:dyDescent="0.25">
      <c r="A222" s="160">
        <v>219</v>
      </c>
      <c r="B222" s="161" t="str">
        <f t="shared" si="34"/>
        <v/>
      </c>
      <c r="C222" s="162" t="s">
        <v>173</v>
      </c>
      <c r="D222" s="95" t="e">
        <f>IF(VLOOKUP(T_BilanSocial[[#This Row],[NumL]],T_TraitDi[#Data],COLUMN(T_TraitDi[[#This Row],[WebC]]),FALSE)="","",VLOOKUP(T_BilanSocial[[#This Row],[NumL]],T_TraitDi[#Data],COLUMN(T_TraitDi[[#This Row],[WebC]]),FALSE))</f>
        <v>#VALUE!</v>
      </c>
      <c r="E222" s="163" t="str">
        <f t="shared" si="35"/>
        <v>12 janvier 2021</v>
      </c>
      <c r="F222" s="96" t="str">
        <f>IF(T_BilanSocial[[#This Row],[Final]]&lt;&gt;"",VLOOKUP(T_BilanSocial[[#This Row],[NumL]],T_suiviDi[#Data],COLUMN((T_suiviDi[Civ.])),FALSE),"")</f>
        <v/>
      </c>
      <c r="G222" s="96" t="str">
        <f>IF(T_BilanSocial[[#This Row],[Final]]&lt;&gt;"",VLOOKUP(T_BilanSocial[[#This Row],[NumL]],T_suiviDi[#Data],COLUMN((T_suiviDi[Nom])),FALSE),"")</f>
        <v/>
      </c>
      <c r="H222" s="96" t="str">
        <f>IF(T_BilanSocial[[#This Row],[Final]]&lt;&gt;"",VLOOKUP(T_BilanSocial[[#This Row],[NumL]],T_suiviDi[#Data],COLUMN((T_suiviDi[Prénom])),FALSE),"")</f>
        <v/>
      </c>
      <c r="I222" s="96" t="str">
        <f>IFERROR(VLOOKUP(T_BilanSocial[[#This Row],[Zone_Bilan]],T_P_BilanSocial[#Data],COLUMN(T_P_BilanSocial[[#This Row],[Numero_SIHAM]]),FALSE),"")</f>
        <v/>
      </c>
      <c r="J222" s="96" t="str">
        <f>IFERROR(VLOOKUP(T_BilanSocial[[#This Row],[Zone_Bilan]],T_P_BilanSocial[#Data],COLUMN(T_P_BilanSocial[[#This Row],[Sexe]]),FALSE),"")</f>
        <v/>
      </c>
      <c r="K222" s="97" t="str">
        <f>IFERROR(VLOOKUP(T_BilanSocial[[#This Row],[Zone_Bilan]],T_P_BilanSocial[#Data],COLUMN(T_P_BilanSocial[[#This Row],[Categorie]]),FALSE),"")</f>
        <v/>
      </c>
      <c r="L222" s="96" t="str">
        <f>IFERROR(VLOOKUP(T_BilanSocial[[#This Row],[Zone_Bilan]],T_P_BilanSocial[#Data],COLUMN(T_P_BilanSocial[[#This Row],[Statut]]),FALSE),"")</f>
        <v/>
      </c>
      <c r="M222" s="96" t="str">
        <f>IFERROR(VLOOKUP(T_BilanSocial[[#This Row],[Zone_Bilan]],T_P_BilanSocial[#Data],COLUMN(T_P_BilanSocial[[#This Row],[Filiere]]),FALSE),"")</f>
        <v/>
      </c>
      <c r="N222" s="96" t="e">
        <f>VLOOKUP(T_BilanSocial[[#This Row],[NumL]],T_TraitDi[#Data],COLUMN(T_TraitDi[EXP]),FALSE)</f>
        <v>#N/A</v>
      </c>
      <c r="O222" s="96" t="e">
        <f>VLOOKUP(T_BilanSocial[[#This Row],[NumL]],T_TraitDi[#Data],COLUMN(T_TraitDi[FORM]),FALSE)</f>
        <v>#N/A</v>
      </c>
      <c r="P222" s="96" t="str">
        <f>IF(T_BilanSocial[[#This Row],[Final]]&lt;&gt;"",VLOOKUP(T_BilanSocial[[#This Row],[NumL]],T_suiviDi[#Data],COLUMN((T_suiviDi[Email])),FALSE),"")</f>
        <v/>
      </c>
      <c r="Q222" s="164" t="e">
        <f t="shared" si="40"/>
        <v>#N/A</v>
      </c>
      <c r="R222" s="164" t="e">
        <f t="shared" si="41"/>
        <v>#N/A</v>
      </c>
      <c r="S222" s="164" t="e">
        <f>IF(VLOOKUP(T_BilanSocial[[#This Row],[NumL]],T_suiviDi[#Data],COLUMN(T_suiviDi[[#This Row],[Service ]]),FALSE)="","",VLOOKUP(T_BilanSocial[[#This Row],[NumL]],T_suiviDi[#Data],COLUMN(T_suiviDi[[#This Row],[Service ]]),FALSE))</f>
        <v>#VALUE!</v>
      </c>
      <c r="T222" s="164" t="str">
        <f t="shared" si="36"/>
        <v>01 septembre 2021</v>
      </c>
      <c r="U222" s="164" t="str">
        <f t="shared" si="37"/>
        <v>30 novembre 2021</v>
      </c>
      <c r="V222" s="96" t="str">
        <f>TEXT(Datebilan,"jj mmmm aaaa")</f>
        <v>30 novembre 2021</v>
      </c>
      <c r="W222" s="176" t="e">
        <f>IF(VLOOKUP(T_BilanSocial[[#This Row],[NumL]],T_TraitDi[#Data],COLUMN(T_TraitDi[[#This Row],[M1]]),FALSE)="","",VLOOKUP(T_BilanSocial[[#This Row],[NumL]],T_TraitDi[#Data],COLUMN(T_TraitDi[[#This Row],[M1]]),FALSE))</f>
        <v>#VALUE!</v>
      </c>
      <c r="X222" s="176" t="e">
        <f>IF(VLOOKUP(T_BilanSocial[[#This Row],[NumL]],T_TraitDi[#Data],COLUMN(T_TraitDi[[#This Row],[M2]]),FALSE)="","",VLOOKUP(T_BilanSocial[[#This Row],[NumL]],T_TraitDi[#Data],COLUMN(T_TraitDi[[#This Row],[M2]]),FALSE))</f>
        <v>#VALUE!</v>
      </c>
      <c r="Y222" s="176" t="e">
        <f>IF(VLOOKUP(T_BilanSocial[[#This Row],[NumL]],T_TraitDi[#Data],COLUMN(T_TraitDi[[#This Row],[M3]]),FALSE)="","",VLOOKUP(T_BilanSocial[[#This Row],[NumL]],T_TraitDi[#Data],COLUMN(T_TraitDi[[#This Row],[M3]]),FALSE))</f>
        <v>#VALUE!</v>
      </c>
      <c r="Z222" s="176" t="str">
        <f t="shared" si="39"/>
        <v/>
      </c>
      <c r="AA222" s="176" t="e">
        <f>IF(VLOOKUP(T_BilanSocial[[#This Row],[NumL]],T_TraitDi[#Data],COLUMN(T_TraitDi[[#This Row],[M5]]),FALSE)="","",VLOOKUP(T_BilanSocial[[#This Row],[NumL]],T_TraitDi[#Data],COLUMN(T_TraitDi[[#This Row],[M5]]),FALSE))</f>
        <v>#VALUE!</v>
      </c>
      <c r="AB222" s="176" t="e">
        <f>IF(VLOOKUP(T_BilanSocial[[#This Row],[NumL]],T_TraitDi[#Data],COLUMN(T_TraitDi[[#This Row],[M6]]),FALSE)="","",VLOOKUP(T_BilanSocial[[#This Row],[NumL]],T_TraitDi[#Data],COLUMN(T_TraitDi[[#This Row],[M6]]),FALSE))</f>
        <v>#VALUE!</v>
      </c>
      <c r="AC222" s="165" t="e">
        <f t="shared" si="38"/>
        <v>#VALUE!</v>
      </c>
      <c r="AD222" s="188" t="str">
        <f>IFERROR(TEXT(VLOOKUP(T_BilanSocial[[#This Row],[NumL]],T_TraitDi[#Data],COLUMN(T_TraitDi[[#This Row],[Q2]]),FALSE),"###%"),"")</f>
        <v/>
      </c>
      <c r="AE222" s="97" t="e">
        <f>VLOOKUP(T_BilanSocial[[#This Row],[NumL]],T_TraitDi[#Data],COLUMN(T_TraitDi[[#This Row],[Reg Ponct]]),FALSE)</f>
        <v>#VALUE!</v>
      </c>
      <c r="AF222" s="97" t="e">
        <f>VLOOKUP(T_BilanSocial[NumL],T_TraitDi[#Data],COLUMN(T_TraitDi[[#This Row],[Jours flottants]]),FALSE)</f>
        <v>#VALUE!</v>
      </c>
      <c r="AG222" s="97" t="str">
        <f>IFERROR(VLOOKUP(T_BilanSocial[[#This Row],[NumL]],T_TraitDi[#Data],COLUMN(T_TraitDi[[#This Row],[Lundi]]),FALSE),"")</f>
        <v/>
      </c>
      <c r="AH222" s="172" t="e">
        <f>IF(VLOOKUP(T_BilanSocial[[#This Row],[NumL]],T_TraitDi[#Data],COLUMN(T_TraitDi[[#This Row],[Colonne3]]),FALSE)=0,"",TEXT(IFERROR(VLOOKUP(T_BilanSocial[[#This Row],[NumL]],T_TraitDi[#Data],COLUMN(T_TraitDi[[#This Row],[Colonne3]]),FALSE),""),"[hh]:mm"))</f>
        <v>#VALUE!</v>
      </c>
      <c r="AI222" s="172" t="e">
        <f>IF(VLOOKUP(T_BilanSocial[[#This Row],[NumL]],T_TraitDi[#Data],COLUMN(T_TraitDi[[#This Row],[Colonne4]]),FALSE)=0,"",TEXT(IFERROR(VLOOKUP(T_BilanSocial[[#This Row],[NumL]],T_TraitDi[#Data],COLUMN(T_TraitDi[[#This Row],[Colonne4]]),FALSE),""),"[hh]:mm"))</f>
        <v>#VALUE!</v>
      </c>
      <c r="AJ222" s="172" t="e">
        <f>IF(VLOOKUP(T_BilanSocial[[#This Row],[NumL]],T_TraitDi[#Data],COLUMN(T_TraitDi[[#This Row],[Colonne5]]),FALSE)=0,"",TEXT(IFERROR(VLOOKUP(T_BilanSocial[[#This Row],[NumL]],T_TraitDi[#Data],COLUMN(T_TraitDi[[#This Row],[Colonne5]]),FALSE),""),"[hh]:mm"))</f>
        <v>#VALUE!</v>
      </c>
      <c r="AK222" s="172" t="e">
        <f>IF(VLOOKUP(T_BilanSocial[[#This Row],[NumL]],T_TraitDi[#Data],COLUMN(T_TraitDi[[#This Row],[Colonne6]]),FALSE)=0,"",TEXT(IFERROR(VLOOKUP(T_BilanSocial[[#This Row],[NumL]],T_TraitDi[#Data],COLUMN(T_TraitDi[[#This Row],[Colonne6]]),FALSE),""),"[hh]:mm"))</f>
        <v>#VALUE!</v>
      </c>
      <c r="AL222" s="172" t="e">
        <f>IF(VLOOKUP(T_BilanSocial[[#This Row],[NumL]],T_TraitDi[#Data],COLUMN(T_TraitDi[[#This Row],[Colonne7]]),FALSE)=0,"",TEXT(IFERROR(VLOOKUP(T_BilanSocial[[#This Row],[NumL]],T_TraitDi[#Data],COLUMN(T_TraitDi[[#This Row],[Colonne7]]),FALSE),""),"[hh]:mm"))</f>
        <v>#VALUE!</v>
      </c>
      <c r="AM222" s="172" t="e">
        <f>IF(VLOOKUP(T_BilanSocial[[#This Row],[NumL]],T_TraitDi[#Data],COLUMN(T_TraitDi[[#This Row],[Colonne8]]),FALSE)=0,"",TEXT(IFERROR(VLOOKUP(T_BilanSocial[[#This Row],[NumL]],T_TraitDi[#Data],COLUMN(T_TraitDi[[#This Row],[Colonne8]]),FALSE),""),"[hh]:mm"))</f>
        <v>#VALUE!</v>
      </c>
      <c r="AN222" s="172" t="str">
        <f>IFERROR(VLOOKUP(T_BilanSocial[[#This Row],[NumL]],T_TraitDi[#Data],COLUMN(T_TraitDi[[#This Row],[Mardi]]),FALSE),"")</f>
        <v/>
      </c>
      <c r="AO222" s="172" t="e">
        <f>IF(VLOOKUP(T_BilanSocial[[#This Row],[NumL]],T_TraitDi[#Data],COLUMN(T_TraitDi[[#This Row],[Colonne1]]),FALSE)=0,"",TEXT(IFERROR(VLOOKUP(T_BilanSocial[[#This Row],[NumL]],T_TraitDi[#Data],COLUMN(T_TraitDi[[#This Row],[Colonne1]]),FALSE),""),"[hh]:mm"))</f>
        <v>#VALUE!</v>
      </c>
      <c r="AP222" s="172" t="e">
        <f>IF(VLOOKUP(T_BilanSocial[[#This Row],[NumL]],T_TraitDi[#Data],COLUMN(T_TraitDi[[#This Row],[Colonne9]]),FALSE)=0,"",TEXT(IFERROR(VLOOKUP(T_BilanSocial[[#This Row],[NumL]],T_TraitDi[#Data],COLUMN(T_TraitDi[[#This Row],[Colonne9]]),FALSE),""),"[hh]:mm"))</f>
        <v>#VALUE!</v>
      </c>
      <c r="AQ222" s="172" t="str">
        <f>IFERROR(VLOOKUP(T_BilanSocial[[#This Row],[NumL]],T_TraitDi[#Data],COLUMN(T_TraitDi[[#This Row],[Colonne10]]),FALSE),"")</f>
        <v/>
      </c>
      <c r="AR222" s="172" t="e">
        <f>IF(VLOOKUP(T_BilanSocial[[#This Row],[NumL]],T_TraitDi[#Data],COLUMN(T_TraitDi[[#This Row],[Colonne11]]),FALSE)=0,"",TEXT(IFERROR(VLOOKUP(T_BilanSocial[[#This Row],[NumL]],T_TraitDi[#Data],COLUMN(T_TraitDi[[#This Row],[Colonne11]]),FALSE),""),"[hh]:mm"))</f>
        <v>#VALUE!</v>
      </c>
      <c r="AS222" s="172" t="e">
        <f>IF(VLOOKUP(T_BilanSocial[[#This Row],[NumL]],T_TraitDi[#Data],COLUMN(T_TraitDi[[#This Row],[Colonne12]]),FALSE)=0,"",TEXT(IFERROR(VLOOKUP(T_BilanSocial[[#This Row],[NumL]],T_TraitDi[#Data],COLUMN(T_TraitDi[[#This Row],[Colonne12]]),FALSE),""),"[hh]:mm"))</f>
        <v>#VALUE!</v>
      </c>
      <c r="AT222" s="172" t="e">
        <f>IF(VLOOKUP(T_BilanSocial[[#This Row],[NumL]],T_TraitDi[#Data],COLUMN(T_TraitDi[[#This Row],[Colonne14]]),FALSE)=0,"",TEXT(IFERROR(VLOOKUP(T_BilanSocial[[#This Row],[NumL]],T_TraitDi[#Data],COLUMN(T_TraitDi[[#This Row],[Colonne14]]),FALSE),""),"[hh]:mm"))</f>
        <v>#VALUE!</v>
      </c>
      <c r="AU222" s="172" t="str">
        <f>IFERROR(VLOOKUP(T_BilanSocial[[#This Row],[NumL]],T_TraitDi[#Data],COLUMN(T_TraitDi[[#This Row],[Mercredi]]),FALSE),"")</f>
        <v/>
      </c>
      <c r="AV222" s="172" t="e">
        <f>IF(VLOOKUP(T_BilanSocial[[#This Row],[NumL]],T_TraitDi[#Data],COLUMN(T_TraitDi[[#This Row],[Colonne15]]),FALSE)=0,"",TEXT(IFERROR(VLOOKUP(T_BilanSocial[[#This Row],[NumL]],T_TraitDi[#Data],COLUMN(T_TraitDi[[#This Row],[Colonne15]]),FALSE),""),"[hh]:mm"))</f>
        <v>#VALUE!</v>
      </c>
      <c r="AW222" s="172" t="e">
        <f>IF(VLOOKUP(T_BilanSocial[[#This Row],[NumL]],T_TraitDi[#Data],COLUMN(T_TraitDi[[#This Row],[Colonne16]]),FALSE)=0,"",TEXT(IFERROR(VLOOKUP(T_BilanSocial[[#This Row],[NumL]],T_TraitDi[#Data],COLUMN(T_TraitDi[[#This Row],[Colonne16]]),FALSE),""),"[hh]:mm"))</f>
        <v>#VALUE!</v>
      </c>
      <c r="AX222" s="172" t="str">
        <f>IFERROR(VLOOKUP(T_BilanSocial[[#This Row],[NumL]],T_TraitDi[#Data],COLUMN(T_TraitDi[[#This Row],[Colonne17]]),FALSE),"")</f>
        <v/>
      </c>
      <c r="AY222" s="172" t="e">
        <f>IF(VLOOKUP(T_BilanSocial[[#This Row],[NumL]],T_TraitDi[#Data],COLUMN(T_TraitDi[[#This Row],[Colonne18]]),FALSE)=0,"",TEXT(IFERROR(VLOOKUP(T_BilanSocial[[#This Row],[NumL]],T_TraitDi[#Data],COLUMN(T_TraitDi[[#This Row],[Colonne18]]),FALSE),""),"[hh]:mm"))</f>
        <v>#VALUE!</v>
      </c>
      <c r="AZ222" s="172" t="e">
        <f>IF(VLOOKUP(T_BilanSocial[[#This Row],[NumL]],T_TraitDi[#Data],COLUMN(T_TraitDi[[#This Row],[Colonne19]]),FALSE)=0,"",TEXT(IFERROR(VLOOKUP(T_BilanSocial[[#This Row],[NumL]],T_TraitDi[#Data],COLUMN(T_TraitDi[[#This Row],[Colonne19]]),FALSE),""),"[hh]:mm"))</f>
        <v>#VALUE!</v>
      </c>
      <c r="BA222" s="172" t="e">
        <f>IF(VLOOKUP(T_BilanSocial[[#This Row],[NumL]],T_TraitDi[#Data],COLUMN(T_TraitDi[[#This Row],[Colonne20]]),FALSE)=0,"",TEXT(IFERROR(VLOOKUP(T_BilanSocial[[#This Row],[NumL]],T_TraitDi[#Data],COLUMN(T_TraitDi[[#This Row],[Colonne20]]),FALSE),""),"[hh]:mm"))</f>
        <v>#VALUE!</v>
      </c>
      <c r="BB222" s="178" t="str">
        <f>IFERROR(VLOOKUP(T_BilanSocial[[#This Row],[NumL]],T_TraitDi[#Data],COLUMN(T_TraitDi[[#This Row],[Jeudi]]),FALSE),"")</f>
        <v/>
      </c>
      <c r="BC222" s="178" t="e">
        <f>IF(VLOOKUP(T_BilanSocial[[#This Row],[NumL]],T_TraitDi[#Data],COLUMN(T_TraitDi[[#This Row],[Colonne21]]),FALSE)=0,"",TEXT(IFERROR(VLOOKUP(T_BilanSocial[[#This Row],[NumL]],T_TraitDi[#Data],COLUMN(T_TraitDi[[#This Row],[Colonne21]]),FALSE),""),"[hh]:mm"))</f>
        <v>#VALUE!</v>
      </c>
      <c r="BD222" s="178" t="e">
        <f>IF(VLOOKUP(T_BilanSocial[[#This Row],[NumL]],T_TraitDi[#Data],COLUMN(T_TraitDi[[#This Row],[Colonne22]]),FALSE)=0,"",TEXT(IFERROR(VLOOKUP(T_BilanSocial[[#This Row],[NumL]],T_TraitDi[#Data],COLUMN(T_TraitDi[[#This Row],[Colonne22]]),FALSE),""),"[hh]:mm"))</f>
        <v>#VALUE!</v>
      </c>
      <c r="BE222" s="178" t="str">
        <f>IFERROR(VLOOKUP(T_BilanSocial[[#This Row],[NumL]],T_TraitDi[#Data],COLUMN(T_TraitDi[[#This Row],[Colonne23]]),FALSE),"")</f>
        <v/>
      </c>
      <c r="BF222" s="178" t="e">
        <f>IF(VLOOKUP(T_BilanSocial[[#This Row],[NumL]],T_TraitDi[#Data],COLUMN(T_TraitDi[[#This Row],[Colonne24]]),FALSE)=0,"",TEXT(IFERROR(VLOOKUP(T_BilanSocial[[#This Row],[NumL]],T_TraitDi[#Data],COLUMN(T_TraitDi[[#This Row],[Colonne24]]),FALSE),""),"[hh]:mm"))</f>
        <v>#VALUE!</v>
      </c>
      <c r="BG222" s="178" t="e">
        <f>IF(VLOOKUP(T_BilanSocial[[#This Row],[NumL]],T_TraitDi[#Data],COLUMN(T_TraitDi[[#This Row],[Colonne25]]),FALSE)=0,"",TEXT(IFERROR(VLOOKUP(T_BilanSocial[[#This Row],[NumL]],T_TraitDi[#Data],COLUMN(T_TraitDi[[#This Row],[Colonne25]]),FALSE),""),"[hh]:mm"))</f>
        <v>#VALUE!</v>
      </c>
      <c r="BH222" s="178" t="e">
        <f>IF(VLOOKUP(T_BilanSocial[[#This Row],[NumL]],T_TraitDi[#Data],COLUMN(T_TraitDi[[#This Row],[Colonne26]]),FALSE)=0,"",TEXT(IFERROR(VLOOKUP(T_BilanSocial[[#This Row],[NumL]],T_TraitDi[#Data],COLUMN(T_TraitDi[[#This Row],[Colonne26]]),FALSE),""),"[hh]:mm"))</f>
        <v>#VALUE!</v>
      </c>
      <c r="BI222" s="172" t="str">
        <f>IFERROR(VLOOKUP(T_BilanSocial[[#This Row],[NumL]],T_TraitDi[#Data],COLUMN(T_TraitDi[[#This Row],[Vendredi]]),FALSE),"")</f>
        <v/>
      </c>
      <c r="BJ222" s="172" t="e">
        <f>IF(VLOOKUP(T_BilanSocial[[#This Row],[NumL]],T_TraitDi[#Data],COLUMN(T_TraitDi[[#This Row],[Colonne27]]),FALSE)=0,"",TEXT(IFERROR(VLOOKUP(T_BilanSocial[[#This Row],[NumL]],T_TraitDi[#Data],COLUMN(T_TraitDi[[#This Row],[Colonne27]]),FALSE),""),"[hh]:mm"))</f>
        <v>#VALUE!</v>
      </c>
      <c r="BK222" s="172" t="e">
        <f>IF(VLOOKUP(T_BilanSocial[[#This Row],[NumL]],T_TraitDi[#Data],COLUMN(T_TraitDi[[#This Row],[Colonne28]]),FALSE)=0,"",TEXT(IFERROR(VLOOKUP(T_BilanSocial[[#This Row],[NumL]],T_TraitDi[#Data],COLUMN(T_TraitDi[[#This Row],[Colonne28]]),FALSE),""),"[hh]:mm"))</f>
        <v>#VALUE!</v>
      </c>
      <c r="BL222" s="172" t="str">
        <f>IFERROR(VLOOKUP(T_BilanSocial[[#This Row],[NumL]],T_TraitDi[#Data],COLUMN(T_TraitDi[[#This Row],[Colonne29]]),FALSE),"")</f>
        <v/>
      </c>
      <c r="BM222" s="172" t="e">
        <f>IF(VLOOKUP(T_BilanSocial[[#This Row],[NumL]],T_TraitDi[#Data],COLUMN(T_TraitDi[[#This Row],[Colonne30]]),FALSE)=0,"",TEXT(IFERROR(VLOOKUP(T_BilanSocial[[#This Row],[NumL]],T_TraitDi[#Data],COLUMN(T_TraitDi[[#This Row],[Colonne30]]),FALSE),""),"[hh]:mm"))</f>
        <v>#VALUE!</v>
      </c>
      <c r="BN222" s="172" t="e">
        <f>IF(VLOOKUP(T_BilanSocial[[#This Row],[NumL]],T_TraitDi[#Data],COLUMN(T_TraitDi[[#This Row],[Colonne31]]),FALSE)=0,"",TEXT(IFERROR(VLOOKUP(T_BilanSocial[[#This Row],[NumL]],T_TraitDi[#Data],COLUMN(T_TraitDi[[#This Row],[Colonne31]]),FALSE),""),"[hh]:mm"))</f>
        <v>#VALUE!</v>
      </c>
      <c r="BO222" s="172" t="e">
        <f>IF(VLOOKUP(T_BilanSocial[[#This Row],[NumL]],T_TraitDi[#Data],COLUMN(T_TraitDi[[#This Row],[Colonne32]]),FALSE)=0,"",TEXT(IFERROR(VLOOKUP(T_BilanSocial[[#This Row],[NumL]],T_TraitDi[#Data],COLUMN(T_TraitDi[[#This Row],[Colonne32]]),FALSE),""),"[hh]:mm"))</f>
        <v>#VALUE!</v>
      </c>
      <c r="BP222" s="172" t="e">
        <f>VLOOKUP(T_BilanSocial[[#This Row],[NumL]],T_TraitDi[#Data],COLUMN(T_TraitDi[NbJTot]),FALSE)</f>
        <v>#N/A</v>
      </c>
      <c r="BQ222" s="174" t="str">
        <f>IFERROR(VLOOKUP(T_BilanSocial[[#This Row],[NumL]],T_TraitDi[#Data],COLUMN(T_TraitDi[[#This Row],[NbJTW]]),FALSE),"")</f>
        <v/>
      </c>
      <c r="BR222" s="174" t="e">
        <f>IF(VLOOKUP(T_BilanSocial[[#This Row],[NumL]],T_TraitDi[#Data],COLUMN(T_TraitDi[[#This Row],[NbhTW]]),FALSE)=0,"",TEXT(IFERROR(VLOOKUP(T_BilanSocial[[#This Row],[NumL]],T_TraitDi[#Data],COLUMN(T_TraitDi[[#This Row],[NbhTW]]),FALSE),""),"[hh]:mm"))</f>
        <v>#VALUE!</v>
      </c>
      <c r="BS222" s="174" t="e">
        <f>IF(VLOOKUP(T_BilanSocial[[#This Row],[NumL]],T_TraitDi[#Data],COLUMN(T_TraitDi[[#This Row],[Nbhheb]]),FALSE)=0,"",TEXT(IFERROR(VLOOKUP($A222,T_TraitDi[#Data],COLUMN(T_TraitDi[[#This Row],[Nbhheb]]),FALSE),""),"[hh]:mm"))</f>
        <v>#VALUE!</v>
      </c>
      <c r="BT222" s="182" t="str">
        <f>IFERROR(VLOOKUP(VLOOKUP($A222,T_TraitDi[#Data],COLUMN(T_TraitDi[[#This Row],[Type1]]),FALSE),TypeTW,2,FALSE),"")</f>
        <v/>
      </c>
      <c r="BU222" s="182" t="str">
        <f>IFERROR(VLOOKUP($A222,T_TraitDi[#Data],COLUMN(T_TraitDi[[#This Row],[Rue1]]),FALSE),"")</f>
        <v/>
      </c>
      <c r="BV222" s="173" t="str">
        <f>IFERROR(VLOOKUP($A222,T_TraitDi[#Data],COLUMN(T_TraitDi[[#This Row],[CP1]]),FALSE),"")</f>
        <v/>
      </c>
      <c r="BW222" s="173" t="str">
        <f>IFERROR(VLOOKUP($A222,T_TraitDi[#Data],COLUMN(T_TraitDi[[#This Row],[VILLE1]]),FALSE),"")</f>
        <v/>
      </c>
      <c r="BX222" s="182" t="str">
        <f>IFERROR(VLOOKUP(VLOOKUP($A222,T_TraitDi[#Data],COLUMN(T_TraitDi[[#This Row],[Type2]]),FALSE),TypeTW,2,FALSE),"")</f>
        <v/>
      </c>
      <c r="BY222" s="182" t="str">
        <f>IFERROR(VLOOKUP($A222,T_TraitDi[#Data],COLUMN(T_TraitDi[[#This Row],[Rue2]]),FALSE),"")</f>
        <v/>
      </c>
      <c r="BZ222" s="173" t="str">
        <f>IFERROR(VLOOKUP($A222,T_TraitDi[#Data],COLUMN(T_TraitDi[[#This Row],[CP2]]),FALSE),"")</f>
        <v/>
      </c>
      <c r="CA222" s="173" t="str">
        <f>IFERROR(VLOOKUP($A222,T_TraitDi[#Data],COLUMN(T_TraitDi[[#This Row],[VILLE2]]),FALSE),"")</f>
        <v/>
      </c>
      <c r="CB222" s="182" t="str">
        <f>IF(VLOOKUP(T_BilanSocial[[#This Row],[NumL]],T_Equipement[#Data],COLUMN(T_Equipement[[#This Row],[PC]]),FALSE)="","Aucun équipement spécifique directement lié au télétravail",VLOOKUP(T_BilanSocial[[#This Row],[NumL]],T_Equipement[#Data],COLUMN(T_Equipement[[#This Row],[PC]]),FALSE))</f>
        <v xml:space="preserve">16-500	</v>
      </c>
      <c r="CC222" s="166" t="str">
        <f>IFERROR(IF(VLOOKUP(T_BilanSocial[[#This Row],[NumL]],T_TraitDi[#Data],COLUMN(T_TraitDi[[#This Row],[Plan]]),FALSE)="OK","Un planning spécifique de télétravail est annexé à la présente convention.",""),"")</f>
        <v/>
      </c>
      <c r="CD222" s="258" t="s">
        <v>3392</v>
      </c>
      <c r="CE222" s="164" t="e">
        <f>IF(VLOOKUP(T_BilanSocial[[#This Row],[NumL]],T_suiviDi[#Data],COLUMN(T_suiviDi[[#This Row],[Entité]]),FALSE)="","",VLOOKUP(T_BilanSocial[[#This Row],[NumL]],T_suiviDi[#Data],COLUMN(T_suiviDi[[#This Row],[Entité]]),FALSE))</f>
        <v>#VALUE!</v>
      </c>
      <c r="CF222" s="164" t="str">
        <f>IF(VLOOKUP(T_BilanSocial[[#This Row],[NumL]],T_Commission[#Data],COLUMN(T_Commission[[#This Row],[envoi confirm TW]]),FALSE)="","",VLOOKUP(T_BilanSocial[[#This Row],[NumL]],T_Commission[#Data],COLUMN(T_Commission[[#This Row],[envoi confirm TW]]),FALSE))</f>
        <v>Oui</v>
      </c>
      <c r="CG22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2" s="262" t="str">
        <f>T_BilanSocial[[#This Row],[Nom]]&amp;T_BilanSocial[[#This Row],[Prenom]]</f>
        <v/>
      </c>
      <c r="CI222" s="262">
        <f>VLOOKUP(T_BilanSocial[[#This Row],[NumL]],T_Commission[#Data],COLUMN(T_Commission[Commentaire]),FALSE)</f>
        <v>0</v>
      </c>
      <c r="CJ222" s="262" t="str">
        <f>IF(VLOOKUP(T_BilanSocial[[#This Row],[NumL]],T_Commission[#Data],COLUMN(T_Commission[Encadrant Email]),FALSE)="","",VLOOKUP(T_BilanSocial[[#This Row],[NumL]],T_Commission[#Data],COLUMN(T_Commission[Encadrant Email]),FALSE))</f>
        <v/>
      </c>
      <c r="CK222" s="340" t="str">
        <f>IF(T_BilanSocial[[#This Row],[Final]]&lt;&gt;"",VLOOKUP(T_BilanSocial[[#This Row],[NumL]],T_suiviDi[#Data],COLUMN((T_suiviDi[Statut])),FALSE),"")</f>
        <v/>
      </c>
    </row>
    <row r="223" spans="1:89" s="106" customFormat="1" ht="24.75" customHeight="1" x14ac:dyDescent="0.25">
      <c r="A223" s="160">
        <v>220</v>
      </c>
      <c r="B223" s="161" t="str">
        <f t="shared" si="34"/>
        <v/>
      </c>
      <c r="C223" s="162" t="s">
        <v>173</v>
      </c>
      <c r="D223" s="95" t="e">
        <f>IF(VLOOKUP(T_BilanSocial[[#This Row],[NumL]],T_TraitDi[#Data],COLUMN(T_TraitDi[[#This Row],[WebC]]),FALSE)="","",VLOOKUP(T_BilanSocial[[#This Row],[NumL]],T_TraitDi[#Data],COLUMN(T_TraitDi[[#This Row],[WebC]]),FALSE))</f>
        <v>#VALUE!</v>
      </c>
      <c r="E223" s="163" t="str">
        <f t="shared" si="35"/>
        <v>12 janvier 2021</v>
      </c>
      <c r="F223" s="96" t="str">
        <f>IF(T_BilanSocial[[#This Row],[Final]]&lt;&gt;"",VLOOKUP(T_BilanSocial[[#This Row],[NumL]],T_suiviDi[#Data],COLUMN((T_suiviDi[Civ.])),FALSE),"")</f>
        <v/>
      </c>
      <c r="G223" s="96" t="str">
        <f>IF(T_BilanSocial[[#This Row],[Final]]&lt;&gt;"",VLOOKUP(T_BilanSocial[[#This Row],[NumL]],T_suiviDi[#Data],COLUMN((T_suiviDi[Nom])),FALSE),"")</f>
        <v/>
      </c>
      <c r="H223" s="96" t="str">
        <f>IF(T_BilanSocial[[#This Row],[Final]]&lt;&gt;"",VLOOKUP(T_BilanSocial[[#This Row],[NumL]],T_suiviDi[#Data],COLUMN((T_suiviDi[Prénom])),FALSE),"")</f>
        <v/>
      </c>
      <c r="I223" s="96" t="str">
        <f>IFERROR(VLOOKUP(T_BilanSocial[[#This Row],[Zone_Bilan]],T_P_BilanSocial[#Data],COLUMN(T_P_BilanSocial[[#This Row],[Numero_SIHAM]]),FALSE),"")</f>
        <v/>
      </c>
      <c r="J223" s="96" t="str">
        <f>IFERROR(VLOOKUP(T_BilanSocial[[#This Row],[Zone_Bilan]],T_P_BilanSocial[#Data],COLUMN(T_P_BilanSocial[[#This Row],[Sexe]]),FALSE),"")</f>
        <v/>
      </c>
      <c r="K223" s="97" t="str">
        <f>IFERROR(VLOOKUP(T_BilanSocial[[#This Row],[Zone_Bilan]],T_P_BilanSocial[#Data],COLUMN(T_P_BilanSocial[[#This Row],[Categorie]]),FALSE),"")</f>
        <v/>
      </c>
      <c r="L223" s="96" t="str">
        <f>IFERROR(VLOOKUP(T_BilanSocial[[#This Row],[Zone_Bilan]],T_P_BilanSocial[#Data],COLUMN(T_P_BilanSocial[[#This Row],[Statut]]),FALSE),"")</f>
        <v/>
      </c>
      <c r="M223" s="96" t="str">
        <f>IFERROR(VLOOKUP(T_BilanSocial[[#This Row],[Zone_Bilan]],T_P_BilanSocial[#Data],COLUMN(T_P_BilanSocial[[#This Row],[Filiere]]),FALSE),"")</f>
        <v/>
      </c>
      <c r="N223" s="96" t="e">
        <f>VLOOKUP(T_BilanSocial[[#This Row],[NumL]],T_TraitDi[#Data],COLUMN(T_TraitDi[EXP]),FALSE)</f>
        <v>#N/A</v>
      </c>
      <c r="O223" s="96" t="e">
        <f>VLOOKUP(T_BilanSocial[[#This Row],[NumL]],T_TraitDi[#Data],COLUMN(T_TraitDi[FORM]),FALSE)</f>
        <v>#N/A</v>
      </c>
      <c r="P223" s="96" t="str">
        <f>IF(T_BilanSocial[[#This Row],[Final]]&lt;&gt;"",VLOOKUP(T_BilanSocial[[#This Row],[NumL]],T_suiviDi[#Data],COLUMN((T_suiviDi[Email])),FALSE),"")</f>
        <v/>
      </c>
      <c r="Q223" s="164" t="e">
        <f t="shared" si="40"/>
        <v>#N/A</v>
      </c>
      <c r="R223" s="164" t="e">
        <f t="shared" si="41"/>
        <v>#N/A</v>
      </c>
      <c r="S223" s="164" t="e">
        <f>IF(VLOOKUP(T_BilanSocial[[#This Row],[NumL]],T_suiviDi[#Data],COLUMN(T_suiviDi[[#This Row],[Service ]]),FALSE)="","",VLOOKUP(T_BilanSocial[[#This Row],[NumL]],T_suiviDi[#Data],COLUMN(T_suiviDi[[#This Row],[Service ]]),FALSE))</f>
        <v>#VALUE!</v>
      </c>
      <c r="T223" s="164" t="str">
        <f t="shared" si="36"/>
        <v>01 septembre 2021</v>
      </c>
      <c r="U223" s="164" t="str">
        <f t="shared" si="37"/>
        <v>30 novembre 2021</v>
      </c>
      <c r="V223" s="96" t="str">
        <f>TEXT(Datebilan,"jj mmmm aaaa")</f>
        <v>30 novembre 2021</v>
      </c>
      <c r="W223" s="176" t="e">
        <f>IF(VLOOKUP(T_BilanSocial[[#This Row],[NumL]],T_TraitDi[#Data],COLUMN(T_TraitDi[[#This Row],[M1]]),FALSE)="","",VLOOKUP(T_BilanSocial[[#This Row],[NumL]],T_TraitDi[#Data],COLUMN(T_TraitDi[[#This Row],[M1]]),FALSE))</f>
        <v>#VALUE!</v>
      </c>
      <c r="X223" s="176" t="e">
        <f>IF(VLOOKUP(T_BilanSocial[[#This Row],[NumL]],T_TraitDi[#Data],COLUMN(T_TraitDi[[#This Row],[M2]]),FALSE)="","",VLOOKUP(T_BilanSocial[[#This Row],[NumL]],T_TraitDi[#Data],COLUMN(T_TraitDi[[#This Row],[M2]]),FALSE))</f>
        <v>#VALUE!</v>
      </c>
      <c r="Y223" s="176" t="e">
        <f>IF(VLOOKUP(T_BilanSocial[[#This Row],[NumL]],T_TraitDi[#Data],COLUMN(T_TraitDi[[#This Row],[M3]]),FALSE)="","",VLOOKUP(T_BilanSocial[[#This Row],[NumL]],T_TraitDi[#Data],COLUMN(T_TraitDi[[#This Row],[M3]]),FALSE))</f>
        <v>#VALUE!</v>
      </c>
      <c r="Z223" s="176" t="str">
        <f t="shared" si="39"/>
        <v/>
      </c>
      <c r="AA223" s="176" t="e">
        <f>IF(VLOOKUP(T_BilanSocial[[#This Row],[NumL]],T_TraitDi[#Data],COLUMN(T_TraitDi[[#This Row],[M5]]),FALSE)="","",VLOOKUP(T_BilanSocial[[#This Row],[NumL]],T_TraitDi[#Data],COLUMN(T_TraitDi[[#This Row],[M5]]),FALSE))</f>
        <v>#VALUE!</v>
      </c>
      <c r="AB223" s="176" t="e">
        <f>IF(VLOOKUP(T_BilanSocial[[#This Row],[NumL]],T_TraitDi[#Data],COLUMN(T_TraitDi[[#This Row],[M6]]),FALSE)="","",VLOOKUP(T_BilanSocial[[#This Row],[NumL]],T_TraitDi[#Data],COLUMN(T_TraitDi[[#This Row],[M6]]),FALSE))</f>
        <v>#VALUE!</v>
      </c>
      <c r="AC223" s="165" t="e">
        <f t="shared" si="38"/>
        <v>#VALUE!</v>
      </c>
      <c r="AD223" s="188" t="str">
        <f>IFERROR(TEXT(VLOOKUP(T_BilanSocial[[#This Row],[NumL]],T_TraitDi[#Data],COLUMN(T_TraitDi[[#This Row],[Q2]]),FALSE),"###%"),"")</f>
        <v/>
      </c>
      <c r="AE223" s="97" t="e">
        <f>VLOOKUP(T_BilanSocial[[#This Row],[NumL]],T_TraitDi[#Data],COLUMN(T_TraitDi[[#This Row],[Reg Ponct]]),FALSE)</f>
        <v>#VALUE!</v>
      </c>
      <c r="AF223" s="97" t="e">
        <f>VLOOKUP(T_BilanSocial[NumL],T_TraitDi[#Data],COLUMN(T_TraitDi[[#This Row],[Jours flottants]]),FALSE)</f>
        <v>#VALUE!</v>
      </c>
      <c r="AG223" s="97" t="str">
        <f>IFERROR(VLOOKUP(T_BilanSocial[[#This Row],[NumL]],T_TraitDi[#Data],COLUMN(T_TraitDi[[#This Row],[Lundi]]),FALSE),"")</f>
        <v/>
      </c>
      <c r="AH223" s="172" t="e">
        <f>IF(VLOOKUP(T_BilanSocial[[#This Row],[NumL]],T_TraitDi[#Data],COLUMN(T_TraitDi[[#This Row],[Colonne3]]),FALSE)=0,"",TEXT(IFERROR(VLOOKUP(T_BilanSocial[[#This Row],[NumL]],T_TraitDi[#Data],COLUMN(T_TraitDi[[#This Row],[Colonne3]]),FALSE),""),"[hh]:mm"))</f>
        <v>#VALUE!</v>
      </c>
      <c r="AI223" s="172" t="e">
        <f>IF(VLOOKUP(T_BilanSocial[[#This Row],[NumL]],T_TraitDi[#Data],COLUMN(T_TraitDi[[#This Row],[Colonne4]]),FALSE)=0,"",TEXT(IFERROR(VLOOKUP(T_BilanSocial[[#This Row],[NumL]],T_TraitDi[#Data],COLUMN(T_TraitDi[[#This Row],[Colonne4]]),FALSE),""),"[hh]:mm"))</f>
        <v>#VALUE!</v>
      </c>
      <c r="AJ223" s="172" t="e">
        <f>IF(VLOOKUP(T_BilanSocial[[#This Row],[NumL]],T_TraitDi[#Data],COLUMN(T_TraitDi[[#This Row],[Colonne5]]),FALSE)=0,"",TEXT(IFERROR(VLOOKUP(T_BilanSocial[[#This Row],[NumL]],T_TraitDi[#Data],COLUMN(T_TraitDi[[#This Row],[Colonne5]]),FALSE),""),"[hh]:mm"))</f>
        <v>#VALUE!</v>
      </c>
      <c r="AK223" s="172" t="e">
        <f>IF(VLOOKUP(T_BilanSocial[[#This Row],[NumL]],T_TraitDi[#Data],COLUMN(T_TraitDi[[#This Row],[Colonne6]]),FALSE)=0,"",TEXT(IFERROR(VLOOKUP(T_BilanSocial[[#This Row],[NumL]],T_TraitDi[#Data],COLUMN(T_TraitDi[[#This Row],[Colonne6]]),FALSE),""),"[hh]:mm"))</f>
        <v>#VALUE!</v>
      </c>
      <c r="AL223" s="172" t="e">
        <f>IF(VLOOKUP(T_BilanSocial[[#This Row],[NumL]],T_TraitDi[#Data],COLUMN(T_TraitDi[[#This Row],[Colonne7]]),FALSE)=0,"",TEXT(IFERROR(VLOOKUP(T_BilanSocial[[#This Row],[NumL]],T_TraitDi[#Data],COLUMN(T_TraitDi[[#This Row],[Colonne7]]),FALSE),""),"[hh]:mm"))</f>
        <v>#VALUE!</v>
      </c>
      <c r="AM223" s="172" t="e">
        <f>IF(VLOOKUP(T_BilanSocial[[#This Row],[NumL]],T_TraitDi[#Data],COLUMN(T_TraitDi[[#This Row],[Colonne8]]),FALSE)=0,"",TEXT(IFERROR(VLOOKUP(T_BilanSocial[[#This Row],[NumL]],T_TraitDi[#Data],COLUMN(T_TraitDi[[#This Row],[Colonne8]]),FALSE),""),"[hh]:mm"))</f>
        <v>#VALUE!</v>
      </c>
      <c r="AN223" s="172" t="str">
        <f>IFERROR(VLOOKUP(T_BilanSocial[[#This Row],[NumL]],T_TraitDi[#Data],COLUMN(T_TraitDi[[#This Row],[Mardi]]),FALSE),"")</f>
        <v/>
      </c>
      <c r="AO223" s="172" t="e">
        <f>IF(VLOOKUP(T_BilanSocial[[#This Row],[NumL]],T_TraitDi[#Data],COLUMN(T_TraitDi[[#This Row],[Colonne1]]),FALSE)=0,"",TEXT(IFERROR(VLOOKUP(T_BilanSocial[[#This Row],[NumL]],T_TraitDi[#Data],COLUMN(T_TraitDi[[#This Row],[Colonne1]]),FALSE),""),"[hh]:mm"))</f>
        <v>#VALUE!</v>
      </c>
      <c r="AP223" s="172" t="e">
        <f>IF(VLOOKUP(T_BilanSocial[[#This Row],[NumL]],T_TraitDi[#Data],COLUMN(T_TraitDi[[#This Row],[Colonne9]]),FALSE)=0,"",TEXT(IFERROR(VLOOKUP(T_BilanSocial[[#This Row],[NumL]],T_TraitDi[#Data],COLUMN(T_TraitDi[[#This Row],[Colonne9]]),FALSE),""),"[hh]:mm"))</f>
        <v>#VALUE!</v>
      </c>
      <c r="AQ223" s="172" t="str">
        <f>IFERROR(VLOOKUP(T_BilanSocial[[#This Row],[NumL]],T_TraitDi[#Data],COLUMN(T_TraitDi[[#This Row],[Colonne10]]),FALSE),"")</f>
        <v/>
      </c>
      <c r="AR223" s="172" t="e">
        <f>IF(VLOOKUP(T_BilanSocial[[#This Row],[NumL]],T_TraitDi[#Data],COLUMN(T_TraitDi[[#This Row],[Colonne11]]),FALSE)=0,"",TEXT(IFERROR(VLOOKUP(T_BilanSocial[[#This Row],[NumL]],T_TraitDi[#Data],COLUMN(T_TraitDi[[#This Row],[Colonne11]]),FALSE),""),"[hh]:mm"))</f>
        <v>#VALUE!</v>
      </c>
      <c r="AS223" s="172" t="e">
        <f>IF(VLOOKUP(T_BilanSocial[[#This Row],[NumL]],T_TraitDi[#Data],COLUMN(T_TraitDi[[#This Row],[Colonne12]]),FALSE)=0,"",TEXT(IFERROR(VLOOKUP(T_BilanSocial[[#This Row],[NumL]],T_TraitDi[#Data],COLUMN(T_TraitDi[[#This Row],[Colonne12]]),FALSE),""),"[hh]:mm"))</f>
        <v>#VALUE!</v>
      </c>
      <c r="AT223" s="172" t="e">
        <f>IF(VLOOKUP(T_BilanSocial[[#This Row],[NumL]],T_TraitDi[#Data],COLUMN(T_TraitDi[[#This Row],[Colonne14]]),FALSE)=0,"",TEXT(IFERROR(VLOOKUP(T_BilanSocial[[#This Row],[NumL]],T_TraitDi[#Data],COLUMN(T_TraitDi[[#This Row],[Colonne14]]),FALSE),""),"[hh]:mm"))</f>
        <v>#VALUE!</v>
      </c>
      <c r="AU223" s="172" t="str">
        <f>IFERROR(VLOOKUP(T_BilanSocial[[#This Row],[NumL]],T_TraitDi[#Data],COLUMN(T_TraitDi[[#This Row],[Mercredi]]),FALSE),"")</f>
        <v/>
      </c>
      <c r="AV223" s="172" t="e">
        <f>IF(VLOOKUP(T_BilanSocial[[#This Row],[NumL]],T_TraitDi[#Data],COLUMN(T_TraitDi[[#This Row],[Colonne15]]),FALSE)=0,"",TEXT(IFERROR(VLOOKUP(T_BilanSocial[[#This Row],[NumL]],T_TraitDi[#Data],COLUMN(T_TraitDi[[#This Row],[Colonne15]]),FALSE),""),"[hh]:mm"))</f>
        <v>#VALUE!</v>
      </c>
      <c r="AW223" s="172" t="e">
        <f>IF(VLOOKUP(T_BilanSocial[[#This Row],[NumL]],T_TraitDi[#Data],COLUMN(T_TraitDi[[#This Row],[Colonne16]]),FALSE)=0,"",TEXT(IFERROR(VLOOKUP(T_BilanSocial[[#This Row],[NumL]],T_TraitDi[#Data],COLUMN(T_TraitDi[[#This Row],[Colonne16]]),FALSE),""),"[hh]:mm"))</f>
        <v>#VALUE!</v>
      </c>
      <c r="AX223" s="172" t="str">
        <f>IFERROR(VLOOKUP(T_BilanSocial[[#This Row],[NumL]],T_TraitDi[#Data],COLUMN(T_TraitDi[[#This Row],[Colonne17]]),FALSE),"")</f>
        <v/>
      </c>
      <c r="AY223" s="172" t="e">
        <f>IF(VLOOKUP(T_BilanSocial[[#This Row],[NumL]],T_TraitDi[#Data],COLUMN(T_TraitDi[[#This Row],[Colonne18]]),FALSE)=0,"",TEXT(IFERROR(VLOOKUP(T_BilanSocial[[#This Row],[NumL]],T_TraitDi[#Data],COLUMN(T_TraitDi[[#This Row],[Colonne18]]),FALSE),""),"[hh]:mm"))</f>
        <v>#VALUE!</v>
      </c>
      <c r="AZ223" s="172" t="e">
        <f>IF(VLOOKUP(T_BilanSocial[[#This Row],[NumL]],T_TraitDi[#Data],COLUMN(T_TraitDi[[#This Row],[Colonne19]]),FALSE)=0,"",TEXT(IFERROR(VLOOKUP(T_BilanSocial[[#This Row],[NumL]],T_TraitDi[#Data],COLUMN(T_TraitDi[[#This Row],[Colonne19]]),FALSE),""),"[hh]:mm"))</f>
        <v>#VALUE!</v>
      </c>
      <c r="BA223" s="172" t="e">
        <f>IF(VLOOKUP(T_BilanSocial[[#This Row],[NumL]],T_TraitDi[#Data],COLUMN(T_TraitDi[[#This Row],[Colonne20]]),FALSE)=0,"",TEXT(IFERROR(VLOOKUP(T_BilanSocial[[#This Row],[NumL]],T_TraitDi[#Data],COLUMN(T_TraitDi[[#This Row],[Colonne20]]),FALSE),""),"[hh]:mm"))</f>
        <v>#VALUE!</v>
      </c>
      <c r="BB223" s="178" t="str">
        <f>IFERROR(VLOOKUP(T_BilanSocial[[#This Row],[NumL]],T_TraitDi[#Data],COLUMN(T_TraitDi[[#This Row],[Jeudi]]),FALSE),"")</f>
        <v/>
      </c>
      <c r="BC223" s="178" t="e">
        <f>IF(VLOOKUP(T_BilanSocial[[#This Row],[NumL]],T_TraitDi[#Data],COLUMN(T_TraitDi[[#This Row],[Colonne21]]),FALSE)=0,"",TEXT(IFERROR(VLOOKUP(T_BilanSocial[[#This Row],[NumL]],T_TraitDi[#Data],COLUMN(T_TraitDi[[#This Row],[Colonne21]]),FALSE),""),"[hh]:mm"))</f>
        <v>#VALUE!</v>
      </c>
      <c r="BD223" s="178" t="e">
        <f>IF(VLOOKUP(T_BilanSocial[[#This Row],[NumL]],T_TraitDi[#Data],COLUMN(T_TraitDi[[#This Row],[Colonne22]]),FALSE)=0,"",TEXT(IFERROR(VLOOKUP(T_BilanSocial[[#This Row],[NumL]],T_TraitDi[#Data],COLUMN(T_TraitDi[[#This Row],[Colonne22]]),FALSE),""),"[hh]:mm"))</f>
        <v>#VALUE!</v>
      </c>
      <c r="BE223" s="178" t="str">
        <f>IFERROR(VLOOKUP(T_BilanSocial[[#This Row],[NumL]],T_TraitDi[#Data],COLUMN(T_TraitDi[[#This Row],[Colonne23]]),FALSE),"")</f>
        <v/>
      </c>
      <c r="BF223" s="178" t="e">
        <f>IF(VLOOKUP(T_BilanSocial[[#This Row],[NumL]],T_TraitDi[#Data],COLUMN(T_TraitDi[[#This Row],[Colonne24]]),FALSE)=0,"",TEXT(IFERROR(VLOOKUP(T_BilanSocial[[#This Row],[NumL]],T_TraitDi[#Data],COLUMN(T_TraitDi[[#This Row],[Colonne24]]),FALSE),""),"[hh]:mm"))</f>
        <v>#VALUE!</v>
      </c>
      <c r="BG223" s="178" t="e">
        <f>IF(VLOOKUP(T_BilanSocial[[#This Row],[NumL]],T_TraitDi[#Data],COLUMN(T_TraitDi[[#This Row],[Colonne25]]),FALSE)=0,"",TEXT(IFERROR(VLOOKUP(T_BilanSocial[[#This Row],[NumL]],T_TraitDi[#Data],COLUMN(T_TraitDi[[#This Row],[Colonne25]]),FALSE),""),"[hh]:mm"))</f>
        <v>#VALUE!</v>
      </c>
      <c r="BH223" s="178" t="e">
        <f>IF(VLOOKUP(T_BilanSocial[[#This Row],[NumL]],T_TraitDi[#Data],COLUMN(T_TraitDi[[#This Row],[Colonne26]]),FALSE)=0,"",TEXT(IFERROR(VLOOKUP(T_BilanSocial[[#This Row],[NumL]],T_TraitDi[#Data],COLUMN(T_TraitDi[[#This Row],[Colonne26]]),FALSE),""),"[hh]:mm"))</f>
        <v>#VALUE!</v>
      </c>
      <c r="BI223" s="172" t="str">
        <f>IFERROR(VLOOKUP(T_BilanSocial[[#This Row],[NumL]],T_TraitDi[#Data],COLUMN(T_TraitDi[[#This Row],[Vendredi]]),FALSE),"")</f>
        <v/>
      </c>
      <c r="BJ223" s="172" t="e">
        <f>IF(VLOOKUP(T_BilanSocial[[#This Row],[NumL]],T_TraitDi[#Data],COLUMN(T_TraitDi[[#This Row],[Colonne27]]),FALSE)=0,"",TEXT(IFERROR(VLOOKUP(T_BilanSocial[[#This Row],[NumL]],T_TraitDi[#Data],COLUMN(T_TraitDi[[#This Row],[Colonne27]]),FALSE),""),"[hh]:mm"))</f>
        <v>#VALUE!</v>
      </c>
      <c r="BK223" s="172" t="e">
        <f>IF(VLOOKUP(T_BilanSocial[[#This Row],[NumL]],T_TraitDi[#Data],COLUMN(T_TraitDi[[#This Row],[Colonne28]]),FALSE)=0,"",TEXT(IFERROR(VLOOKUP(T_BilanSocial[[#This Row],[NumL]],T_TraitDi[#Data],COLUMN(T_TraitDi[[#This Row],[Colonne28]]),FALSE),""),"[hh]:mm"))</f>
        <v>#VALUE!</v>
      </c>
      <c r="BL223" s="172" t="str">
        <f>IFERROR(VLOOKUP(T_BilanSocial[[#This Row],[NumL]],T_TraitDi[#Data],COLUMN(T_TraitDi[[#This Row],[Colonne29]]),FALSE),"")</f>
        <v/>
      </c>
      <c r="BM223" s="172" t="e">
        <f>IF(VLOOKUP(T_BilanSocial[[#This Row],[NumL]],T_TraitDi[#Data],COLUMN(T_TraitDi[[#This Row],[Colonne30]]),FALSE)=0,"",TEXT(IFERROR(VLOOKUP(T_BilanSocial[[#This Row],[NumL]],T_TraitDi[#Data],COLUMN(T_TraitDi[[#This Row],[Colonne30]]),FALSE),""),"[hh]:mm"))</f>
        <v>#VALUE!</v>
      </c>
      <c r="BN223" s="172" t="e">
        <f>IF(VLOOKUP(T_BilanSocial[[#This Row],[NumL]],T_TraitDi[#Data],COLUMN(T_TraitDi[[#This Row],[Colonne31]]),FALSE)=0,"",TEXT(IFERROR(VLOOKUP(T_BilanSocial[[#This Row],[NumL]],T_TraitDi[#Data],COLUMN(T_TraitDi[[#This Row],[Colonne31]]),FALSE),""),"[hh]:mm"))</f>
        <v>#VALUE!</v>
      </c>
      <c r="BO223" s="172" t="e">
        <f>IF(VLOOKUP(T_BilanSocial[[#This Row],[NumL]],T_TraitDi[#Data],COLUMN(T_TraitDi[[#This Row],[Colonne32]]),FALSE)=0,"",TEXT(IFERROR(VLOOKUP(T_BilanSocial[[#This Row],[NumL]],T_TraitDi[#Data],COLUMN(T_TraitDi[[#This Row],[Colonne32]]),FALSE),""),"[hh]:mm"))</f>
        <v>#VALUE!</v>
      </c>
      <c r="BP223" s="172" t="e">
        <f>VLOOKUP(T_BilanSocial[[#This Row],[NumL]],T_TraitDi[#Data],COLUMN(T_TraitDi[NbJTot]),FALSE)</f>
        <v>#N/A</v>
      </c>
      <c r="BQ223" s="174" t="str">
        <f>IFERROR(VLOOKUP(T_BilanSocial[[#This Row],[NumL]],T_TraitDi[#Data],COLUMN(T_TraitDi[[#This Row],[NbJTW]]),FALSE),"")</f>
        <v/>
      </c>
      <c r="BR223" s="174" t="e">
        <f>IF(VLOOKUP(T_BilanSocial[[#This Row],[NumL]],T_TraitDi[#Data],COLUMN(T_TraitDi[[#This Row],[NbhTW]]),FALSE)=0,"",TEXT(IFERROR(VLOOKUP(T_BilanSocial[[#This Row],[NumL]],T_TraitDi[#Data],COLUMN(T_TraitDi[[#This Row],[NbhTW]]),FALSE),""),"[hh]:mm"))</f>
        <v>#VALUE!</v>
      </c>
      <c r="BS223" s="174" t="e">
        <f>IF(VLOOKUP(T_BilanSocial[[#This Row],[NumL]],T_TraitDi[#Data],COLUMN(T_TraitDi[[#This Row],[Nbhheb]]),FALSE)=0,"",TEXT(IFERROR(VLOOKUP($A223,T_TraitDi[#Data],COLUMN(T_TraitDi[[#This Row],[Nbhheb]]),FALSE),""),"[hh]:mm"))</f>
        <v>#VALUE!</v>
      </c>
      <c r="BT223" s="182" t="str">
        <f>IFERROR(VLOOKUP(VLOOKUP($A223,T_TraitDi[#Data],COLUMN(T_TraitDi[[#This Row],[Type1]]),FALSE),TypeTW,2,FALSE),"")</f>
        <v/>
      </c>
      <c r="BU223" s="182" t="str">
        <f>IFERROR(VLOOKUP($A223,T_TraitDi[#Data],COLUMN(T_TraitDi[[#This Row],[Rue1]]),FALSE),"")</f>
        <v/>
      </c>
      <c r="BV223" s="173" t="str">
        <f>IFERROR(VLOOKUP($A223,T_TraitDi[#Data],COLUMN(T_TraitDi[[#This Row],[CP1]]),FALSE),"")</f>
        <v/>
      </c>
      <c r="BW223" s="173" t="str">
        <f>IFERROR(VLOOKUP($A223,T_TraitDi[#Data],COLUMN(T_TraitDi[[#This Row],[VILLE1]]),FALSE),"")</f>
        <v/>
      </c>
      <c r="BX223" s="182" t="str">
        <f>IFERROR(VLOOKUP(VLOOKUP($A223,T_TraitDi[#Data],COLUMN(T_TraitDi[[#This Row],[Type2]]),FALSE),TypeTW,2,FALSE),"")</f>
        <v/>
      </c>
      <c r="BY223" s="182" t="str">
        <f>IFERROR(VLOOKUP($A223,T_TraitDi[#Data],COLUMN(T_TraitDi[[#This Row],[Rue2]]),FALSE),"")</f>
        <v/>
      </c>
      <c r="BZ223" s="173" t="str">
        <f>IFERROR(VLOOKUP($A223,T_TraitDi[#Data],COLUMN(T_TraitDi[[#This Row],[CP2]]),FALSE),"")</f>
        <v/>
      </c>
      <c r="CA223" s="173" t="str">
        <f>IFERROR(VLOOKUP($A223,T_TraitDi[#Data],COLUMN(T_TraitDi[[#This Row],[VILLE2]]),FALSE),"")</f>
        <v/>
      </c>
      <c r="CB223" s="182" t="str">
        <f>IF(VLOOKUP(T_BilanSocial[[#This Row],[NumL]],T_Equipement[#Data],COLUMN(T_Equipement[[#This Row],[PC]]),FALSE)="","Aucun équipement spécifique directement lié au télétravail",VLOOKUP(T_BilanSocial[[#This Row],[NumL]],T_Equipement[#Data],COLUMN(T_Equipement[[#This Row],[PC]]),FALSE))</f>
        <v>18-011</v>
      </c>
      <c r="CC223" s="166" t="str">
        <f>IFERROR(IF(VLOOKUP(T_BilanSocial[[#This Row],[NumL]],T_TraitDi[#Data],COLUMN(T_TraitDi[[#This Row],[Plan]]),FALSE)="OK","Un planning spécifique de télétravail est annexé à la présente convention.",""),"")</f>
        <v/>
      </c>
      <c r="CD223" s="258" t="s">
        <v>3301</v>
      </c>
      <c r="CE223" s="164" t="e">
        <f>IF(VLOOKUP(T_BilanSocial[[#This Row],[NumL]],T_suiviDi[#Data],COLUMN(T_suiviDi[[#This Row],[Entité]]),FALSE)="","",VLOOKUP(T_BilanSocial[[#This Row],[NumL]],T_suiviDi[#Data],COLUMN(T_suiviDi[[#This Row],[Entité]]),FALSE))</f>
        <v>#VALUE!</v>
      </c>
      <c r="CF223" s="164" t="str">
        <f>IF(VLOOKUP(T_BilanSocial[[#This Row],[NumL]],T_Commission[#Data],COLUMN(T_Commission[[#This Row],[envoi confirm TW]]),FALSE)="","",VLOOKUP(T_BilanSocial[[#This Row],[NumL]],T_Commission[#Data],COLUMN(T_Commission[[#This Row],[envoi confirm TW]]),FALSE))</f>
        <v>Oui</v>
      </c>
      <c r="CG22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3" s="262" t="str">
        <f>T_BilanSocial[[#This Row],[Nom]]&amp;T_BilanSocial[[#This Row],[Prenom]]</f>
        <v/>
      </c>
      <c r="CI223" s="262">
        <f>VLOOKUP(T_BilanSocial[[#This Row],[NumL]],T_Commission[#Data],COLUMN(T_Commission[Commentaire]),FALSE)</f>
        <v>0</v>
      </c>
      <c r="CJ223" s="262" t="str">
        <f>IF(VLOOKUP(T_BilanSocial[[#This Row],[NumL]],T_Commission[#Data],COLUMN(T_Commission[Encadrant Email]),FALSE)="","",VLOOKUP(T_BilanSocial[[#This Row],[NumL]],T_Commission[#Data],COLUMN(T_Commission[Encadrant Email]),FALSE))</f>
        <v/>
      </c>
      <c r="CK223" s="340" t="str">
        <f>IF(T_BilanSocial[[#This Row],[Final]]&lt;&gt;"",VLOOKUP(T_BilanSocial[[#This Row],[NumL]],T_suiviDi[#Data],COLUMN((T_suiviDi[Statut])),FALSE),"")</f>
        <v/>
      </c>
    </row>
    <row r="224" spans="1:89" s="106" customFormat="1" ht="24.75" customHeight="1" x14ac:dyDescent="0.25">
      <c r="A224" s="160">
        <v>221</v>
      </c>
      <c r="B224" s="161">
        <f t="shared" si="34"/>
        <v>1</v>
      </c>
      <c r="C224" s="162" t="s">
        <v>173</v>
      </c>
      <c r="D224" s="95" t="e">
        <f>IF(VLOOKUP(T_BilanSocial[[#This Row],[NumL]],T_TraitDi[#Data],COLUMN(T_TraitDi[[#This Row],[WebC]]),FALSE)="","",VLOOKUP(T_BilanSocial[[#This Row],[NumL]],T_TraitDi[#Data],COLUMN(T_TraitDi[[#This Row],[WebC]]),FALSE))</f>
        <v>#VALUE!</v>
      </c>
      <c r="E224" s="163" t="str">
        <f t="shared" si="35"/>
        <v>12 janvier 2021</v>
      </c>
      <c r="F224" s="96" t="str">
        <f>IF(T_BilanSocial[[#This Row],[Final]]&lt;&gt;"",VLOOKUP(T_BilanSocial[[#This Row],[NumL]],T_suiviDi[#Data],COLUMN((T_suiviDi[Civ.])),FALSE),"")</f>
        <v>Mme</v>
      </c>
      <c r="G224" s="96" t="str">
        <f>IF(T_BilanSocial[[#This Row],[Final]]&lt;&gt;"",VLOOKUP(T_BilanSocial[[#This Row],[NumL]],T_suiviDi[#Data],COLUMN((T_suiviDi[Nom])),FALSE),"")</f>
        <v>A</v>
      </c>
      <c r="H224" s="96" t="str">
        <f>IF(T_BilanSocial[[#This Row],[Final]]&lt;&gt;"",VLOOKUP(T_BilanSocial[[#This Row],[NumL]],T_suiviDi[#Data],COLUMN((T_suiviDi[Prénom])),FALSE),"")</f>
        <v>Marie</v>
      </c>
      <c r="I224" s="96" t="str">
        <f>IFERROR(VLOOKUP(T_BilanSocial[[#This Row],[Zone_Bilan]],T_P_BilanSocial[#Data],COLUMN(T_P_BilanSocial[[#This Row],[Numero_SIHAM]]),FALSE),"")</f>
        <v/>
      </c>
      <c r="J224" s="96" t="str">
        <f>IFERROR(VLOOKUP(T_BilanSocial[[#This Row],[Zone_Bilan]],T_P_BilanSocial[#Data],COLUMN(T_P_BilanSocial[[#This Row],[Sexe]]),FALSE),"")</f>
        <v/>
      </c>
      <c r="K224" s="97" t="str">
        <f>IFERROR(VLOOKUP(T_BilanSocial[[#This Row],[Zone_Bilan]],T_P_BilanSocial[#Data],COLUMN(T_P_BilanSocial[[#This Row],[Categorie]]),FALSE),"")</f>
        <v/>
      </c>
      <c r="L224" s="96" t="str">
        <f>IFERROR(VLOOKUP(T_BilanSocial[[#This Row],[Zone_Bilan]],T_P_BilanSocial[#Data],COLUMN(T_P_BilanSocial[[#This Row],[Statut]]),FALSE),"")</f>
        <v/>
      </c>
      <c r="M224" s="96" t="str">
        <f>IFERROR(VLOOKUP(T_BilanSocial[[#This Row],[Zone_Bilan]],T_P_BilanSocial[#Data],COLUMN(T_P_BilanSocial[[#This Row],[Filiere]]),FALSE),"")</f>
        <v/>
      </c>
      <c r="N224" s="96" t="str">
        <f>VLOOKUP(T_BilanSocial[[#This Row],[NumL]],T_TraitDi[#Data],COLUMN(T_TraitDi[EXP]),FALSE)</f>
        <v>N</v>
      </c>
      <c r="O224" s="96" t="str">
        <f>VLOOKUP(T_BilanSocial[[#This Row],[NumL]],T_TraitDi[#Data],COLUMN(T_TraitDi[FORM]),FALSE)</f>
        <v>N</v>
      </c>
      <c r="P224" s="96">
        <f>IF(T_BilanSocial[[#This Row],[Final]]&lt;&gt;"",VLOOKUP(T_BilanSocial[[#This Row],[NumL]],T_suiviDi[#Data],COLUMN((T_suiviDi[Email])),FALSE),"")</f>
        <v>0</v>
      </c>
      <c r="Q224" s="164" t="str">
        <f t="shared" si="40"/>
        <v>Service communication</v>
      </c>
      <c r="R224" s="164" t="str">
        <f t="shared" si="41"/>
        <v>Assistante de communication</v>
      </c>
      <c r="S224" s="164" t="e">
        <f>IF(VLOOKUP(T_BilanSocial[[#This Row],[NumL]],T_suiviDi[#Data],COLUMN(T_suiviDi[[#This Row],[Service ]]),FALSE)="","",VLOOKUP(T_BilanSocial[[#This Row],[NumL]],T_suiviDi[#Data],COLUMN(T_suiviDi[[#This Row],[Service ]]),FALSE))</f>
        <v>#VALUE!</v>
      </c>
      <c r="T224" s="164" t="str">
        <f t="shared" si="36"/>
        <v>01 septembre 2021</v>
      </c>
      <c r="U224" s="164" t="str">
        <f t="shared" si="37"/>
        <v>30 novembre 2021</v>
      </c>
      <c r="V224" s="164" t="str">
        <f>TEXT(Datebilan,"jj mmmm aaaa")</f>
        <v>30 novembre 2021</v>
      </c>
      <c r="W224" s="176" t="e">
        <f>IF(VLOOKUP(T_BilanSocial[[#This Row],[NumL]],T_TraitDi[#Data],COLUMN(T_TraitDi[[#This Row],[M1]]),FALSE)="","",VLOOKUP(T_BilanSocial[[#This Row],[NumL]],T_TraitDi[#Data],COLUMN(T_TraitDi[[#This Row],[M1]]),FALSE))</f>
        <v>#VALUE!</v>
      </c>
      <c r="X224" s="176" t="e">
        <f>IF(VLOOKUP(T_BilanSocial[[#This Row],[NumL]],T_TraitDi[#Data],COLUMN(T_TraitDi[[#This Row],[M2]]),FALSE)="","",VLOOKUP(T_BilanSocial[[#This Row],[NumL]],T_TraitDi[#Data],COLUMN(T_TraitDi[[#This Row],[M2]]),FALSE))</f>
        <v>#VALUE!</v>
      </c>
      <c r="Y224" s="176" t="e">
        <f>IF(VLOOKUP(T_BilanSocial[[#This Row],[NumL]],T_TraitDi[#Data],COLUMN(T_TraitDi[[#This Row],[M3]]),FALSE)="","",VLOOKUP(T_BilanSocial[[#This Row],[NumL]],T_TraitDi[#Data],COLUMN(T_TraitDi[[#This Row],[M3]]),FALSE))</f>
        <v>#VALUE!</v>
      </c>
      <c r="Z224" s="176" t="str">
        <f t="shared" si="39"/>
        <v xml:space="preserve"> -Création graphique</v>
      </c>
      <c r="AA224" s="176" t="e">
        <f>IF(VLOOKUP(T_BilanSocial[[#This Row],[NumL]],T_TraitDi[#Data],COLUMN(T_TraitDi[[#This Row],[M5]]),FALSE)="","",VLOOKUP(T_BilanSocial[[#This Row],[NumL]],T_TraitDi[#Data],COLUMN(T_TraitDi[[#This Row],[M5]]),FALSE))</f>
        <v>#VALUE!</v>
      </c>
      <c r="AB224" s="176" t="e">
        <f>IF(VLOOKUP(T_BilanSocial[[#This Row],[NumL]],T_TraitDi[#Data],COLUMN(T_TraitDi[[#This Row],[M6]]),FALSE)="","",VLOOKUP(T_BilanSocial[[#This Row],[NumL]],T_TraitDi[#Data],COLUMN(T_TraitDi[[#This Row],[M6]]),FALSE))</f>
        <v>#VALUE!</v>
      </c>
      <c r="AC224" s="165" t="e">
        <f t="shared" si="38"/>
        <v>#VALUE!</v>
      </c>
      <c r="AD224" s="188" t="str">
        <f>IFERROR(TEXT(VLOOKUP(T_BilanSocial[[#This Row],[NumL]],T_TraitDi[#Data],COLUMN(T_TraitDi[[#This Row],[Q2]]),FALSE),"###%"),"")</f>
        <v/>
      </c>
      <c r="AE224" s="97" t="e">
        <f>VLOOKUP(T_BilanSocial[[#This Row],[NumL]],T_TraitDi[#Data],COLUMN(T_TraitDi[[#This Row],[Reg Ponct]]),FALSE)</f>
        <v>#VALUE!</v>
      </c>
      <c r="AF224" s="97" t="e">
        <f>VLOOKUP(T_BilanSocial[NumL],T_TraitDi[#Data],COLUMN(T_TraitDi[[#This Row],[Jours flottants]]),FALSE)</f>
        <v>#VALUE!</v>
      </c>
      <c r="AG224" s="97" t="str">
        <f>IFERROR(VLOOKUP(T_BilanSocial[[#This Row],[NumL]],T_TraitDi[#Data],COLUMN(T_TraitDi[[#This Row],[Lundi]]),FALSE),"")</f>
        <v/>
      </c>
      <c r="AH224" s="172" t="e">
        <f>IF(VLOOKUP(T_BilanSocial[[#This Row],[NumL]],T_TraitDi[#Data],COLUMN(T_TraitDi[[#This Row],[Colonne3]]),FALSE)=0,"",TEXT(IFERROR(VLOOKUP(T_BilanSocial[[#This Row],[NumL]],T_TraitDi[#Data],COLUMN(T_TraitDi[[#This Row],[Colonne3]]),FALSE),""),"[hh]:mm"))</f>
        <v>#VALUE!</v>
      </c>
      <c r="AI224" s="172" t="e">
        <f>IF(VLOOKUP(T_BilanSocial[[#This Row],[NumL]],T_TraitDi[#Data],COLUMN(T_TraitDi[[#This Row],[Colonne4]]),FALSE)=0,"",TEXT(IFERROR(VLOOKUP(T_BilanSocial[[#This Row],[NumL]],T_TraitDi[#Data],COLUMN(T_TraitDi[[#This Row],[Colonne4]]),FALSE),""),"[hh]:mm"))</f>
        <v>#VALUE!</v>
      </c>
      <c r="AJ224" s="172" t="e">
        <f>IF(VLOOKUP(T_BilanSocial[[#This Row],[NumL]],T_TraitDi[#Data],COLUMN(T_TraitDi[[#This Row],[Colonne5]]),FALSE)=0,"",TEXT(IFERROR(VLOOKUP(T_BilanSocial[[#This Row],[NumL]],T_TraitDi[#Data],COLUMN(T_TraitDi[[#This Row],[Colonne5]]),FALSE),""),"[hh]:mm"))</f>
        <v>#VALUE!</v>
      </c>
      <c r="AK224" s="172" t="e">
        <f>IF(VLOOKUP(T_BilanSocial[[#This Row],[NumL]],T_TraitDi[#Data],COLUMN(T_TraitDi[[#This Row],[Colonne6]]),FALSE)=0,"",TEXT(IFERROR(VLOOKUP(T_BilanSocial[[#This Row],[NumL]],T_TraitDi[#Data],COLUMN(T_TraitDi[[#This Row],[Colonne6]]),FALSE),""),"[hh]:mm"))</f>
        <v>#VALUE!</v>
      </c>
      <c r="AL224" s="172" t="e">
        <f>IF(VLOOKUP(T_BilanSocial[[#This Row],[NumL]],T_TraitDi[#Data],COLUMN(T_TraitDi[[#This Row],[Colonne7]]),FALSE)=0,"",TEXT(IFERROR(VLOOKUP(T_BilanSocial[[#This Row],[NumL]],T_TraitDi[#Data],COLUMN(T_TraitDi[[#This Row],[Colonne7]]),FALSE),""),"[hh]:mm"))</f>
        <v>#VALUE!</v>
      </c>
      <c r="AM224" s="172" t="e">
        <f>IF(VLOOKUP(T_BilanSocial[[#This Row],[NumL]],T_TraitDi[#Data],COLUMN(T_TraitDi[[#This Row],[Colonne8]]),FALSE)=0,"",TEXT(IFERROR(VLOOKUP(T_BilanSocial[[#This Row],[NumL]],T_TraitDi[#Data],COLUMN(T_TraitDi[[#This Row],[Colonne8]]),FALSE),""),"[hh]:mm"))</f>
        <v>#VALUE!</v>
      </c>
      <c r="AN224" s="172" t="str">
        <f>IFERROR(VLOOKUP(T_BilanSocial[[#This Row],[NumL]],T_TraitDi[#Data],COLUMN(T_TraitDi[[#This Row],[Mardi]]),FALSE),"")</f>
        <v/>
      </c>
      <c r="AO224" s="172" t="e">
        <f>IF(VLOOKUP(T_BilanSocial[[#This Row],[NumL]],T_TraitDi[#Data],COLUMN(T_TraitDi[[#This Row],[Colonne1]]),FALSE)=0,"",TEXT(IFERROR(VLOOKUP(T_BilanSocial[[#This Row],[NumL]],T_TraitDi[#Data],COLUMN(T_TraitDi[[#This Row],[Colonne1]]),FALSE),""),"[hh]:mm"))</f>
        <v>#VALUE!</v>
      </c>
      <c r="AP224" s="172" t="e">
        <f>IF(VLOOKUP(T_BilanSocial[[#This Row],[NumL]],T_TraitDi[#Data],COLUMN(T_TraitDi[[#This Row],[Colonne9]]),FALSE)=0,"",TEXT(IFERROR(VLOOKUP(T_BilanSocial[[#This Row],[NumL]],T_TraitDi[#Data],COLUMN(T_TraitDi[[#This Row],[Colonne9]]),FALSE),""),"[hh]:mm"))</f>
        <v>#VALUE!</v>
      </c>
      <c r="AQ224" s="172" t="str">
        <f>IFERROR(VLOOKUP(T_BilanSocial[[#This Row],[NumL]],T_TraitDi[#Data],COLUMN(T_TraitDi[[#This Row],[Colonne10]]),FALSE),"")</f>
        <v/>
      </c>
      <c r="AR224" s="172" t="e">
        <f>IF(VLOOKUP(T_BilanSocial[[#This Row],[NumL]],T_TraitDi[#Data],COLUMN(T_TraitDi[[#This Row],[Colonne11]]),FALSE)=0,"",TEXT(IFERROR(VLOOKUP(T_BilanSocial[[#This Row],[NumL]],T_TraitDi[#Data],COLUMN(T_TraitDi[[#This Row],[Colonne11]]),FALSE),""),"[hh]:mm"))</f>
        <v>#VALUE!</v>
      </c>
      <c r="AS224" s="172" t="e">
        <f>IF(VLOOKUP(T_BilanSocial[[#This Row],[NumL]],T_TraitDi[#Data],COLUMN(T_TraitDi[[#This Row],[Colonne12]]),FALSE)=0,"",TEXT(IFERROR(VLOOKUP(T_BilanSocial[[#This Row],[NumL]],T_TraitDi[#Data],COLUMN(T_TraitDi[[#This Row],[Colonne12]]),FALSE),""),"[hh]:mm"))</f>
        <v>#VALUE!</v>
      </c>
      <c r="AT224" s="172" t="e">
        <f>IF(VLOOKUP(T_BilanSocial[[#This Row],[NumL]],T_TraitDi[#Data],COLUMN(T_TraitDi[[#This Row],[Colonne14]]),FALSE)=0,"",TEXT(IFERROR(VLOOKUP(T_BilanSocial[[#This Row],[NumL]],T_TraitDi[#Data],COLUMN(T_TraitDi[[#This Row],[Colonne14]]),FALSE),""),"[hh]:mm"))</f>
        <v>#VALUE!</v>
      </c>
      <c r="AU224" s="172" t="str">
        <f>IFERROR(VLOOKUP(T_BilanSocial[[#This Row],[NumL]],T_TraitDi[#Data],COLUMN(T_TraitDi[[#This Row],[Mercredi]]),FALSE),"")</f>
        <v/>
      </c>
      <c r="AV224" s="172" t="e">
        <f>IF(VLOOKUP(T_BilanSocial[[#This Row],[NumL]],T_TraitDi[#Data],COLUMN(T_TraitDi[[#This Row],[Colonne15]]),FALSE)=0,"",TEXT(IFERROR(VLOOKUP(T_BilanSocial[[#This Row],[NumL]],T_TraitDi[#Data],COLUMN(T_TraitDi[[#This Row],[Colonne15]]),FALSE),""),"[hh]:mm"))</f>
        <v>#VALUE!</v>
      </c>
      <c r="AW224" s="172" t="e">
        <f>IF(VLOOKUP(T_BilanSocial[[#This Row],[NumL]],T_TraitDi[#Data],COLUMN(T_TraitDi[[#This Row],[Colonne16]]),FALSE)=0,"",TEXT(IFERROR(VLOOKUP(T_BilanSocial[[#This Row],[NumL]],T_TraitDi[#Data],COLUMN(T_TraitDi[[#This Row],[Colonne16]]),FALSE),""),"[hh]:mm"))</f>
        <v>#VALUE!</v>
      </c>
      <c r="AX224" s="172" t="str">
        <f>IFERROR(VLOOKUP(T_BilanSocial[[#This Row],[NumL]],T_TraitDi[#Data],COLUMN(T_TraitDi[[#This Row],[Colonne17]]),FALSE),"")</f>
        <v/>
      </c>
      <c r="AY224" s="172" t="e">
        <f>IF(VLOOKUP(T_BilanSocial[[#This Row],[NumL]],T_TraitDi[#Data],COLUMN(T_TraitDi[[#This Row],[Colonne18]]),FALSE)=0,"",TEXT(IFERROR(VLOOKUP(T_BilanSocial[[#This Row],[NumL]],T_TraitDi[#Data],COLUMN(T_TraitDi[[#This Row],[Colonne18]]),FALSE),""),"[hh]:mm"))</f>
        <v>#VALUE!</v>
      </c>
      <c r="AZ224" s="172" t="e">
        <f>IF(VLOOKUP(T_BilanSocial[[#This Row],[NumL]],T_TraitDi[#Data],COLUMN(T_TraitDi[[#This Row],[Colonne19]]),FALSE)=0,"",TEXT(IFERROR(VLOOKUP(T_BilanSocial[[#This Row],[NumL]],T_TraitDi[#Data],COLUMN(T_TraitDi[[#This Row],[Colonne19]]),FALSE),""),"[hh]:mm"))</f>
        <v>#VALUE!</v>
      </c>
      <c r="BA224" s="172" t="e">
        <f>IF(VLOOKUP(T_BilanSocial[[#This Row],[NumL]],T_TraitDi[#Data],COLUMN(T_TraitDi[[#This Row],[Colonne20]]),FALSE)=0,"",TEXT(IFERROR(VLOOKUP(T_BilanSocial[[#This Row],[NumL]],T_TraitDi[#Data],COLUMN(T_TraitDi[[#This Row],[Colonne20]]),FALSE),""),"[hh]:mm"))</f>
        <v>#VALUE!</v>
      </c>
      <c r="BB224" s="178" t="str">
        <f>IFERROR(VLOOKUP(T_BilanSocial[[#This Row],[NumL]],T_TraitDi[#Data],COLUMN(T_TraitDi[[#This Row],[Jeudi]]),FALSE),"")</f>
        <v/>
      </c>
      <c r="BC224" s="178" t="e">
        <f>IF(VLOOKUP(T_BilanSocial[[#This Row],[NumL]],T_TraitDi[#Data],COLUMN(T_TraitDi[[#This Row],[Colonne21]]),FALSE)=0,"",TEXT(IFERROR(VLOOKUP(T_BilanSocial[[#This Row],[NumL]],T_TraitDi[#Data],COLUMN(T_TraitDi[[#This Row],[Colonne21]]),FALSE),""),"[hh]:mm"))</f>
        <v>#VALUE!</v>
      </c>
      <c r="BD224" s="178" t="e">
        <f>IF(VLOOKUP(T_BilanSocial[[#This Row],[NumL]],T_TraitDi[#Data],COLUMN(T_TraitDi[[#This Row],[Colonne22]]),FALSE)=0,"",TEXT(IFERROR(VLOOKUP(T_BilanSocial[[#This Row],[NumL]],T_TraitDi[#Data],COLUMN(T_TraitDi[[#This Row],[Colonne22]]),FALSE),""),"[hh]:mm"))</f>
        <v>#VALUE!</v>
      </c>
      <c r="BE224" s="178" t="str">
        <f>IFERROR(VLOOKUP(T_BilanSocial[[#This Row],[NumL]],T_TraitDi[#Data],COLUMN(T_TraitDi[[#This Row],[Colonne23]]),FALSE),"")</f>
        <v/>
      </c>
      <c r="BF224" s="178" t="e">
        <f>IF(VLOOKUP(T_BilanSocial[[#This Row],[NumL]],T_TraitDi[#Data],COLUMN(T_TraitDi[[#This Row],[Colonne24]]),FALSE)=0,"",TEXT(IFERROR(VLOOKUP(T_BilanSocial[[#This Row],[NumL]],T_TraitDi[#Data],COLUMN(T_TraitDi[[#This Row],[Colonne24]]),FALSE),""),"[hh]:mm"))</f>
        <v>#VALUE!</v>
      </c>
      <c r="BG224" s="178" t="e">
        <f>IF(VLOOKUP(T_BilanSocial[[#This Row],[NumL]],T_TraitDi[#Data],COLUMN(T_TraitDi[[#This Row],[Colonne25]]),FALSE)=0,"",TEXT(IFERROR(VLOOKUP(T_BilanSocial[[#This Row],[NumL]],T_TraitDi[#Data],COLUMN(T_TraitDi[[#This Row],[Colonne25]]),FALSE),""),"[hh]:mm"))</f>
        <v>#VALUE!</v>
      </c>
      <c r="BH224" s="178" t="e">
        <f>IF(VLOOKUP(T_BilanSocial[[#This Row],[NumL]],T_TraitDi[#Data],COLUMN(T_TraitDi[[#This Row],[Colonne26]]),FALSE)=0,"",TEXT(IFERROR(VLOOKUP(T_BilanSocial[[#This Row],[NumL]],T_TraitDi[#Data],COLUMN(T_TraitDi[[#This Row],[Colonne26]]),FALSE),""),"[hh]:mm"))</f>
        <v>#VALUE!</v>
      </c>
      <c r="BI224" s="172" t="str">
        <f>IFERROR(VLOOKUP(T_BilanSocial[[#This Row],[NumL]],T_TraitDi[#Data],COLUMN(T_TraitDi[[#This Row],[Vendredi]]),FALSE),"")</f>
        <v/>
      </c>
      <c r="BJ224" s="172" t="e">
        <f>IF(VLOOKUP(T_BilanSocial[[#This Row],[NumL]],T_TraitDi[#Data],COLUMN(T_TraitDi[[#This Row],[Colonne27]]),FALSE)=0,"",TEXT(IFERROR(VLOOKUP(T_BilanSocial[[#This Row],[NumL]],T_TraitDi[#Data],COLUMN(T_TraitDi[[#This Row],[Colonne27]]),FALSE),""),"[hh]:mm"))</f>
        <v>#VALUE!</v>
      </c>
      <c r="BK224" s="172" t="e">
        <f>IF(VLOOKUP(T_BilanSocial[[#This Row],[NumL]],T_TraitDi[#Data],COLUMN(T_TraitDi[[#This Row],[Colonne28]]),FALSE)=0,"",TEXT(IFERROR(VLOOKUP(T_BilanSocial[[#This Row],[NumL]],T_TraitDi[#Data],COLUMN(T_TraitDi[[#This Row],[Colonne28]]),FALSE),""),"[hh]:mm"))</f>
        <v>#VALUE!</v>
      </c>
      <c r="BL224" s="172" t="str">
        <f>IFERROR(VLOOKUP(T_BilanSocial[[#This Row],[NumL]],T_TraitDi[#Data],COLUMN(T_TraitDi[[#This Row],[Colonne29]]),FALSE),"")</f>
        <v/>
      </c>
      <c r="BM224" s="172" t="e">
        <f>IF(VLOOKUP(T_BilanSocial[[#This Row],[NumL]],T_TraitDi[#Data],COLUMN(T_TraitDi[[#This Row],[Colonne30]]),FALSE)=0,"",TEXT(IFERROR(VLOOKUP(T_BilanSocial[[#This Row],[NumL]],T_TraitDi[#Data],COLUMN(T_TraitDi[[#This Row],[Colonne30]]),FALSE),""),"[hh]:mm"))</f>
        <v>#VALUE!</v>
      </c>
      <c r="BN224" s="172" t="e">
        <f>IF(VLOOKUP(T_BilanSocial[[#This Row],[NumL]],T_TraitDi[#Data],COLUMN(T_TraitDi[[#This Row],[Colonne31]]),FALSE)=0,"",TEXT(IFERROR(VLOOKUP(T_BilanSocial[[#This Row],[NumL]],T_TraitDi[#Data],COLUMN(T_TraitDi[[#This Row],[Colonne31]]),FALSE),""),"[hh]:mm"))</f>
        <v>#VALUE!</v>
      </c>
      <c r="BO224" s="172" t="e">
        <f>IF(VLOOKUP(T_BilanSocial[[#This Row],[NumL]],T_TraitDi[#Data],COLUMN(T_TraitDi[[#This Row],[Colonne32]]),FALSE)=0,"",TEXT(IFERROR(VLOOKUP(T_BilanSocial[[#This Row],[NumL]],T_TraitDi[#Data],COLUMN(T_TraitDi[[#This Row],[Colonne32]]),FALSE),""),"[hh]:mm"))</f>
        <v>#VALUE!</v>
      </c>
      <c r="BP224" s="172">
        <f>VLOOKUP(T_BilanSocial[[#This Row],[NumL]],T_TraitDi[#Data],COLUMN(T_TraitDi[NbJTot]),FALSE)</f>
        <v>4.5</v>
      </c>
      <c r="BQ224" s="174" t="str">
        <f>IFERROR(VLOOKUP(T_BilanSocial[[#This Row],[NumL]],T_TraitDi[#Data],COLUMN(T_TraitDi[[#This Row],[NbJTW]]),FALSE),"")</f>
        <v/>
      </c>
      <c r="BR224" s="174" t="e">
        <f>IF(VLOOKUP(T_BilanSocial[[#This Row],[NumL]],T_TraitDi[#Data],COLUMN(T_TraitDi[[#This Row],[NbhTW]]),FALSE)=0,"",TEXT(IFERROR(VLOOKUP(T_BilanSocial[[#This Row],[NumL]],T_TraitDi[#Data],COLUMN(T_TraitDi[[#This Row],[NbhTW]]),FALSE),""),"[hh]:mm"))</f>
        <v>#VALUE!</v>
      </c>
      <c r="BS224" s="174" t="e">
        <f>IF(VLOOKUP(T_BilanSocial[[#This Row],[NumL]],T_TraitDi[#Data],COLUMN(T_TraitDi[[#This Row],[Nbhheb]]),FALSE)=0,"",TEXT(IFERROR(VLOOKUP($A224,T_TraitDi[#Data],COLUMN(T_TraitDi[[#This Row],[Nbhheb]]),FALSE),""),"[hh]:mm"))</f>
        <v>#VALUE!</v>
      </c>
      <c r="BT224" s="182" t="str">
        <f>IFERROR(VLOOKUP(VLOOKUP($A224,T_TraitDi[#Data],COLUMN(T_TraitDi[[#This Row],[Type1]]),FALSE),TypeTW,2,FALSE),"")</f>
        <v/>
      </c>
      <c r="BU224" s="182" t="str">
        <f>IFERROR(VLOOKUP($A224,T_TraitDi[#Data],COLUMN(T_TraitDi[[#This Row],[Rue1]]),FALSE),"")</f>
        <v/>
      </c>
      <c r="BV224" s="173" t="str">
        <f>IFERROR(VLOOKUP($A224,T_TraitDi[#Data],COLUMN(T_TraitDi[[#This Row],[CP1]]),FALSE),"")</f>
        <v/>
      </c>
      <c r="BW224" s="173" t="str">
        <f>IFERROR(VLOOKUP($A224,T_TraitDi[#Data],COLUMN(T_TraitDi[[#This Row],[VILLE1]]),FALSE),"")</f>
        <v/>
      </c>
      <c r="BX224" s="182" t="str">
        <f>IFERROR(VLOOKUP(VLOOKUP($A224,T_TraitDi[#Data],COLUMN(T_TraitDi[[#This Row],[Type2]]),FALSE),TypeTW,2,FALSE),"")</f>
        <v/>
      </c>
      <c r="BY224" s="182" t="str">
        <f>IFERROR(VLOOKUP($A224,T_TraitDi[#Data],COLUMN(T_TraitDi[[#This Row],[Rue2]]),FALSE),"")</f>
        <v/>
      </c>
      <c r="BZ224" s="173" t="str">
        <f>IFERROR(VLOOKUP($A224,T_TraitDi[#Data],COLUMN(T_TraitDi[[#This Row],[CP2]]),FALSE),"")</f>
        <v/>
      </c>
      <c r="CA224" s="173" t="str">
        <f>IFERROR(VLOOKUP($A224,T_TraitDi[#Data],COLUMN(T_TraitDi[[#This Row],[VILLE2]]),FALSE),"")</f>
        <v/>
      </c>
      <c r="CB224" s="182" t="str">
        <f>IF(VLOOKUP(T_BilanSocial[[#This Row],[NumL]],T_Equipement[#Data],COLUMN(T_Equipement[[#This Row],[PC]]),FALSE)="","Aucun équipement spécifique directement lié au télétravail",VLOOKUP(T_BilanSocial[[#This Row],[NumL]],T_Equipement[#Data],COLUMN(T_Equipement[[#This Row],[PC]]),FALSE))</f>
        <v>20-484</v>
      </c>
      <c r="CC224" s="166" t="str">
        <f>IFERROR(IF(VLOOKUP(T_BilanSocial[[#This Row],[NumL]],T_TraitDi[#Data],COLUMN(T_TraitDi[[#This Row],[Plan]]),FALSE)="OK","Un planning spécifique de télétravail est annexé à la présente convention.",""),"")</f>
        <v/>
      </c>
      <c r="CD224" s="258" t="s">
        <v>3321</v>
      </c>
      <c r="CE224" s="164" t="e">
        <f>IF(VLOOKUP(T_BilanSocial[[#This Row],[NumL]],T_suiviDi[#Data],COLUMN(T_suiviDi[[#This Row],[Entité]]),FALSE)="","",VLOOKUP(T_BilanSocial[[#This Row],[NumL]],T_suiviDi[#Data],COLUMN(T_suiviDi[[#This Row],[Entité]]),FALSE))</f>
        <v>#VALUE!</v>
      </c>
      <c r="CF224" s="164" t="str">
        <f>IF(VLOOKUP(T_BilanSocial[[#This Row],[NumL]],T_Commission[#Data],COLUMN(T_Commission[[#This Row],[envoi confirm TW]]),FALSE)="","",VLOOKUP(T_BilanSocial[[#This Row],[NumL]],T_Commission[#Data],COLUMN(T_Commission[[#This Row],[envoi confirm TW]]),FALSE))</f>
        <v>Oui</v>
      </c>
      <c r="CG22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4" s="262" t="str">
        <f>T_BilanSocial[[#This Row],[Nom]]&amp;T_BilanSocial[[#This Row],[Prenom]]</f>
        <v>AMarie</v>
      </c>
      <c r="CI224" s="262">
        <f>VLOOKUP(T_BilanSocial[[#This Row],[NumL]],T_Commission[#Data],COLUMN(T_Commission[Commentaire]),FALSE)</f>
        <v>0</v>
      </c>
      <c r="CJ224" s="262" t="str">
        <f>IF(VLOOKUP(T_BilanSocial[[#This Row],[NumL]],T_Commission[#Data],COLUMN(T_Commission[Encadrant Email]),FALSE)="","",VLOOKUP(T_BilanSocial[[#This Row],[NumL]],T_Commission[#Data],COLUMN(T_Commission[Encadrant Email]),FALSE))</f>
        <v/>
      </c>
      <c r="CK224" s="340" t="str">
        <f>IF(T_BilanSocial[[#This Row],[Final]]&lt;&gt;"",VLOOKUP(T_BilanSocial[[#This Row],[NumL]],T_suiviDi[#Data],COLUMN((T_suiviDi[Statut])),FALSE),"")</f>
        <v>RENVL</v>
      </c>
    </row>
    <row r="225" spans="1:89" s="106" customFormat="1" ht="24.75" customHeight="1" x14ac:dyDescent="0.25">
      <c r="A225" s="160">
        <v>222</v>
      </c>
      <c r="B225" s="161" t="str">
        <f t="shared" si="34"/>
        <v/>
      </c>
      <c r="C225" s="162" t="s">
        <v>3287</v>
      </c>
      <c r="D225" s="95" t="e">
        <f>IF(VLOOKUP(T_BilanSocial[[#This Row],[NumL]],T_TraitDi[#Data],COLUMN(T_TraitDi[[#This Row],[WebC]]),FALSE)="","",VLOOKUP(T_BilanSocial[[#This Row],[NumL]],T_TraitDi[#Data],COLUMN(T_TraitDi[[#This Row],[WebC]]),FALSE))</f>
        <v>#VALUE!</v>
      </c>
      <c r="E225" s="163" t="str">
        <f t="shared" si="35"/>
        <v>12 janvier 2021</v>
      </c>
      <c r="F225" s="96" t="str">
        <f>IF(T_BilanSocial[[#This Row],[Final]]&lt;&gt;"",VLOOKUP(T_BilanSocial[[#This Row],[NumL]],T_suiviDi[#Data],COLUMN((T_suiviDi[Civ.])),FALSE),"")</f>
        <v/>
      </c>
      <c r="G225" s="96" t="str">
        <f>IF(T_BilanSocial[[#This Row],[Final]]&lt;&gt;"",VLOOKUP(T_BilanSocial[[#This Row],[NumL]],T_suiviDi[#Data],COLUMN((T_suiviDi[Nom])),FALSE),"")</f>
        <v/>
      </c>
      <c r="H225" s="96" t="str">
        <f>IF(T_BilanSocial[[#This Row],[Final]]&lt;&gt;"",VLOOKUP(T_BilanSocial[[#This Row],[NumL]],T_suiviDi[#Data],COLUMN((T_suiviDi[Prénom])),FALSE),"")</f>
        <v/>
      </c>
      <c r="I225" s="96" t="str">
        <f>IFERROR(VLOOKUP(T_BilanSocial[[#This Row],[Zone_Bilan]],T_P_BilanSocial[#Data],COLUMN(T_P_BilanSocial[[#This Row],[Numero_SIHAM]]),FALSE),"")</f>
        <v/>
      </c>
      <c r="J225" s="96" t="str">
        <f>IFERROR(VLOOKUP(T_BilanSocial[[#This Row],[Zone_Bilan]],T_P_BilanSocial[#Data],COLUMN(T_P_BilanSocial[[#This Row],[Sexe]]),FALSE),"")</f>
        <v/>
      </c>
      <c r="K225" s="97" t="str">
        <f>IFERROR(VLOOKUP(T_BilanSocial[[#This Row],[Zone_Bilan]],T_P_BilanSocial[#Data],COLUMN(T_P_BilanSocial[[#This Row],[Categorie]]),FALSE),"")</f>
        <v/>
      </c>
      <c r="L225" s="96" t="str">
        <f>IFERROR(VLOOKUP(T_BilanSocial[[#This Row],[Zone_Bilan]],T_P_BilanSocial[#Data],COLUMN(T_P_BilanSocial[[#This Row],[Statut]]),FALSE),"")</f>
        <v/>
      </c>
      <c r="M225" s="96" t="str">
        <f>IFERROR(VLOOKUP(T_BilanSocial[[#This Row],[Zone_Bilan]],T_P_BilanSocial[#Data],COLUMN(T_P_BilanSocial[[#This Row],[Filiere]]),FALSE),"")</f>
        <v/>
      </c>
      <c r="N225" s="96" t="e">
        <f>VLOOKUP(T_BilanSocial[[#This Row],[NumL]],T_TraitDi[#Data],COLUMN(T_TraitDi[EXP]),FALSE)</f>
        <v>#N/A</v>
      </c>
      <c r="O225" s="96" t="e">
        <f>VLOOKUP(T_BilanSocial[[#This Row],[NumL]],T_TraitDi[#Data],COLUMN(T_TraitDi[FORM]),FALSE)</f>
        <v>#N/A</v>
      </c>
      <c r="P225" s="96" t="str">
        <f>IF(T_BilanSocial[[#This Row],[Final]]&lt;&gt;"",VLOOKUP(T_BilanSocial[[#This Row],[NumL]],T_suiviDi[#Data],COLUMN((T_suiviDi[Email])),FALSE),"")</f>
        <v/>
      </c>
      <c r="Q225" s="164" t="e">
        <f t="shared" si="40"/>
        <v>#N/A</v>
      </c>
      <c r="R225" s="164" t="e">
        <f t="shared" si="41"/>
        <v>#N/A</v>
      </c>
      <c r="S225" s="164" t="e">
        <f>IF(VLOOKUP(T_BilanSocial[[#This Row],[NumL]],T_suiviDi[#Data],COLUMN(T_suiviDi[[#This Row],[Service ]]),FALSE)="","",VLOOKUP(T_BilanSocial[[#This Row],[NumL]],T_suiviDi[#Data],COLUMN(T_suiviDi[[#This Row],[Service ]]),FALSE))</f>
        <v>#VALUE!</v>
      </c>
      <c r="T225" s="164" t="str">
        <f t="shared" si="36"/>
        <v>01 septembre 2021</v>
      </c>
      <c r="U225" s="164" t="str">
        <f t="shared" si="37"/>
        <v>30 novembre 2021</v>
      </c>
      <c r="V225" s="164" t="str">
        <f>TEXT(Datebilan,"jj mmmm aaaa")</f>
        <v>30 novembre 2021</v>
      </c>
      <c r="W225" s="176" t="e">
        <f>IF(VLOOKUP(T_BilanSocial[[#This Row],[NumL]],T_TraitDi[#Data],COLUMN(T_TraitDi[[#This Row],[M1]]),FALSE)="","",VLOOKUP(T_BilanSocial[[#This Row],[NumL]],T_TraitDi[#Data],COLUMN(T_TraitDi[[#This Row],[M1]]),FALSE))</f>
        <v>#VALUE!</v>
      </c>
      <c r="X225" s="176" t="e">
        <f>IF(VLOOKUP(T_BilanSocial[[#This Row],[NumL]],T_TraitDi[#Data],COLUMN(T_TraitDi[[#This Row],[M2]]),FALSE)="","",VLOOKUP(T_BilanSocial[[#This Row],[NumL]],T_TraitDi[#Data],COLUMN(T_TraitDi[[#This Row],[M2]]),FALSE))</f>
        <v>#VALUE!</v>
      </c>
      <c r="Y225" s="176" t="e">
        <f>IF(VLOOKUP(T_BilanSocial[[#This Row],[NumL]],T_TraitDi[#Data],COLUMN(T_TraitDi[[#This Row],[M3]]),FALSE)="","",VLOOKUP(T_BilanSocial[[#This Row],[NumL]],T_TraitDi[#Data],COLUMN(T_TraitDi[[#This Row],[M3]]),FALSE))</f>
        <v>#VALUE!</v>
      </c>
      <c r="Z225" s="176" t="str">
        <f t="shared" si="39"/>
        <v/>
      </c>
      <c r="AA225" s="176" t="e">
        <f>IF(VLOOKUP(T_BilanSocial[[#This Row],[NumL]],T_TraitDi[#Data],COLUMN(T_TraitDi[[#This Row],[M5]]),FALSE)="","",VLOOKUP(T_BilanSocial[[#This Row],[NumL]],T_TraitDi[#Data],COLUMN(T_TraitDi[[#This Row],[M5]]),FALSE))</f>
        <v>#VALUE!</v>
      </c>
      <c r="AB225" s="176" t="e">
        <f>IF(VLOOKUP(T_BilanSocial[[#This Row],[NumL]],T_TraitDi[#Data],COLUMN(T_TraitDi[[#This Row],[M6]]),FALSE)="","",VLOOKUP(T_BilanSocial[[#This Row],[NumL]],T_TraitDi[#Data],COLUMN(T_TraitDi[[#This Row],[M6]]),FALSE))</f>
        <v>#VALUE!</v>
      </c>
      <c r="AC225" s="165" t="e">
        <f t="shared" si="38"/>
        <v>#VALUE!</v>
      </c>
      <c r="AD225" s="188" t="str">
        <f>IFERROR(TEXT(VLOOKUP(T_BilanSocial[[#This Row],[NumL]],T_TraitDi[#Data],COLUMN(T_TraitDi[[#This Row],[Q2]]),FALSE),"###%"),"")</f>
        <v/>
      </c>
      <c r="AE225" s="97" t="e">
        <f>VLOOKUP(T_BilanSocial[[#This Row],[NumL]],T_TraitDi[#Data],COLUMN(T_TraitDi[[#This Row],[Reg Ponct]]),FALSE)</f>
        <v>#VALUE!</v>
      </c>
      <c r="AF225" s="97" t="e">
        <f>VLOOKUP(T_BilanSocial[NumL],T_TraitDi[#Data],COLUMN(T_TraitDi[[#This Row],[Jours flottants]]),FALSE)</f>
        <v>#VALUE!</v>
      </c>
      <c r="AG225" s="97" t="str">
        <f>IFERROR(VLOOKUP(T_BilanSocial[[#This Row],[NumL]],T_TraitDi[#Data],COLUMN(T_TraitDi[[#This Row],[Lundi]]),FALSE),"")</f>
        <v/>
      </c>
      <c r="AH225" s="172" t="e">
        <f>IF(VLOOKUP(T_BilanSocial[[#This Row],[NumL]],T_TraitDi[#Data],COLUMN(T_TraitDi[[#This Row],[Colonne3]]),FALSE)=0,"",TEXT(IFERROR(VLOOKUP(T_BilanSocial[[#This Row],[NumL]],T_TraitDi[#Data],COLUMN(T_TraitDi[[#This Row],[Colonne3]]),FALSE),""),"[hh]:mm"))</f>
        <v>#VALUE!</v>
      </c>
      <c r="AI225" s="172" t="e">
        <f>IF(VLOOKUP(T_BilanSocial[[#This Row],[NumL]],T_TraitDi[#Data],COLUMN(T_TraitDi[[#This Row],[Colonne4]]),FALSE)=0,"",TEXT(IFERROR(VLOOKUP(T_BilanSocial[[#This Row],[NumL]],T_TraitDi[#Data],COLUMN(T_TraitDi[[#This Row],[Colonne4]]),FALSE),""),"[hh]:mm"))</f>
        <v>#VALUE!</v>
      </c>
      <c r="AJ225" s="172" t="e">
        <f>IF(VLOOKUP(T_BilanSocial[[#This Row],[NumL]],T_TraitDi[#Data],COLUMN(T_TraitDi[[#This Row],[Colonne5]]),FALSE)=0,"",TEXT(IFERROR(VLOOKUP(T_BilanSocial[[#This Row],[NumL]],T_TraitDi[#Data],COLUMN(T_TraitDi[[#This Row],[Colonne5]]),FALSE),""),"[hh]:mm"))</f>
        <v>#VALUE!</v>
      </c>
      <c r="AK225" s="172" t="e">
        <f>IF(VLOOKUP(T_BilanSocial[[#This Row],[NumL]],T_TraitDi[#Data],COLUMN(T_TraitDi[[#This Row],[Colonne6]]),FALSE)=0,"",TEXT(IFERROR(VLOOKUP(T_BilanSocial[[#This Row],[NumL]],T_TraitDi[#Data],COLUMN(T_TraitDi[[#This Row],[Colonne6]]),FALSE),""),"[hh]:mm"))</f>
        <v>#VALUE!</v>
      </c>
      <c r="AL225" s="172" t="e">
        <f>IF(VLOOKUP(T_BilanSocial[[#This Row],[NumL]],T_TraitDi[#Data],COLUMN(T_TraitDi[[#This Row],[Colonne7]]),FALSE)=0,"",TEXT(IFERROR(VLOOKUP(T_BilanSocial[[#This Row],[NumL]],T_TraitDi[#Data],COLUMN(T_TraitDi[[#This Row],[Colonne7]]),FALSE),""),"[hh]:mm"))</f>
        <v>#VALUE!</v>
      </c>
      <c r="AM225" s="172" t="e">
        <f>IF(VLOOKUP(T_BilanSocial[[#This Row],[NumL]],T_TraitDi[#Data],COLUMN(T_TraitDi[[#This Row],[Colonne8]]),FALSE)=0,"",TEXT(IFERROR(VLOOKUP(T_BilanSocial[[#This Row],[NumL]],T_TraitDi[#Data],COLUMN(T_TraitDi[[#This Row],[Colonne8]]),FALSE),""),"[hh]:mm"))</f>
        <v>#VALUE!</v>
      </c>
      <c r="AN225" s="172" t="str">
        <f>IFERROR(VLOOKUP(T_BilanSocial[[#This Row],[NumL]],T_TraitDi[#Data],COLUMN(T_TraitDi[[#This Row],[Mardi]]),FALSE),"")</f>
        <v/>
      </c>
      <c r="AO225" s="172" t="e">
        <f>IF(VLOOKUP(T_BilanSocial[[#This Row],[NumL]],T_TraitDi[#Data],COLUMN(T_TraitDi[[#This Row],[Colonne1]]),FALSE)=0,"",TEXT(IFERROR(VLOOKUP(T_BilanSocial[[#This Row],[NumL]],T_TraitDi[#Data],COLUMN(T_TraitDi[[#This Row],[Colonne1]]),FALSE),""),"[hh]:mm"))</f>
        <v>#VALUE!</v>
      </c>
      <c r="AP225" s="172" t="e">
        <f>IF(VLOOKUP(T_BilanSocial[[#This Row],[NumL]],T_TraitDi[#Data],COLUMN(T_TraitDi[[#This Row],[Colonne9]]),FALSE)=0,"",TEXT(IFERROR(VLOOKUP(T_BilanSocial[[#This Row],[NumL]],T_TraitDi[#Data],COLUMN(T_TraitDi[[#This Row],[Colonne9]]),FALSE),""),"[hh]:mm"))</f>
        <v>#VALUE!</v>
      </c>
      <c r="AQ225" s="172" t="str">
        <f>IFERROR(VLOOKUP(T_BilanSocial[[#This Row],[NumL]],T_TraitDi[#Data],COLUMN(T_TraitDi[[#This Row],[Colonne10]]),FALSE),"")</f>
        <v/>
      </c>
      <c r="AR225" s="172" t="e">
        <f>IF(VLOOKUP(T_BilanSocial[[#This Row],[NumL]],T_TraitDi[#Data],COLUMN(T_TraitDi[[#This Row],[Colonne11]]),FALSE)=0,"",TEXT(IFERROR(VLOOKUP(T_BilanSocial[[#This Row],[NumL]],T_TraitDi[#Data],COLUMN(T_TraitDi[[#This Row],[Colonne11]]),FALSE),""),"[hh]:mm"))</f>
        <v>#VALUE!</v>
      </c>
      <c r="AS225" s="172" t="e">
        <f>IF(VLOOKUP(T_BilanSocial[[#This Row],[NumL]],T_TraitDi[#Data],COLUMN(T_TraitDi[[#This Row],[Colonne12]]),FALSE)=0,"",TEXT(IFERROR(VLOOKUP(T_BilanSocial[[#This Row],[NumL]],T_TraitDi[#Data],COLUMN(T_TraitDi[[#This Row],[Colonne12]]),FALSE),""),"[hh]:mm"))</f>
        <v>#VALUE!</v>
      </c>
      <c r="AT225" s="172" t="e">
        <f>IF(VLOOKUP(T_BilanSocial[[#This Row],[NumL]],T_TraitDi[#Data],COLUMN(T_TraitDi[[#This Row],[Colonne14]]),FALSE)=0,"",TEXT(IFERROR(VLOOKUP(T_BilanSocial[[#This Row],[NumL]],T_TraitDi[#Data],COLUMN(T_TraitDi[[#This Row],[Colonne14]]),FALSE),""),"[hh]:mm"))</f>
        <v>#VALUE!</v>
      </c>
      <c r="AU225" s="172" t="str">
        <f>IFERROR(VLOOKUP(T_BilanSocial[[#This Row],[NumL]],T_TraitDi[#Data],COLUMN(T_TraitDi[[#This Row],[Mercredi]]),FALSE),"")</f>
        <v/>
      </c>
      <c r="AV225" s="172" t="e">
        <f>IF(VLOOKUP(T_BilanSocial[[#This Row],[NumL]],T_TraitDi[#Data],COLUMN(T_TraitDi[[#This Row],[Colonne15]]),FALSE)=0,"",TEXT(IFERROR(VLOOKUP(T_BilanSocial[[#This Row],[NumL]],T_TraitDi[#Data],COLUMN(T_TraitDi[[#This Row],[Colonne15]]),FALSE),""),"[hh]:mm"))</f>
        <v>#VALUE!</v>
      </c>
      <c r="AW225" s="172" t="e">
        <f>IF(VLOOKUP(T_BilanSocial[[#This Row],[NumL]],T_TraitDi[#Data],COLUMN(T_TraitDi[[#This Row],[Colonne16]]),FALSE)=0,"",TEXT(IFERROR(VLOOKUP(T_BilanSocial[[#This Row],[NumL]],T_TraitDi[#Data],COLUMN(T_TraitDi[[#This Row],[Colonne16]]),FALSE),""),"[hh]:mm"))</f>
        <v>#VALUE!</v>
      </c>
      <c r="AX225" s="172" t="str">
        <f>IFERROR(VLOOKUP(T_BilanSocial[[#This Row],[NumL]],T_TraitDi[#Data],COLUMN(T_TraitDi[[#This Row],[Colonne17]]),FALSE),"")</f>
        <v/>
      </c>
      <c r="AY225" s="172" t="e">
        <f>IF(VLOOKUP(T_BilanSocial[[#This Row],[NumL]],T_TraitDi[#Data],COLUMN(T_TraitDi[[#This Row],[Colonne18]]),FALSE)=0,"",TEXT(IFERROR(VLOOKUP(T_BilanSocial[[#This Row],[NumL]],T_TraitDi[#Data],COLUMN(T_TraitDi[[#This Row],[Colonne18]]),FALSE),""),"[hh]:mm"))</f>
        <v>#VALUE!</v>
      </c>
      <c r="AZ225" s="172" t="e">
        <f>IF(VLOOKUP(T_BilanSocial[[#This Row],[NumL]],T_TraitDi[#Data],COLUMN(T_TraitDi[[#This Row],[Colonne19]]),FALSE)=0,"",TEXT(IFERROR(VLOOKUP(T_BilanSocial[[#This Row],[NumL]],T_TraitDi[#Data],COLUMN(T_TraitDi[[#This Row],[Colonne19]]),FALSE),""),"[hh]:mm"))</f>
        <v>#VALUE!</v>
      </c>
      <c r="BA225" s="172" t="e">
        <f>IF(VLOOKUP(T_BilanSocial[[#This Row],[NumL]],T_TraitDi[#Data],COLUMN(T_TraitDi[[#This Row],[Colonne20]]),FALSE)=0,"",TEXT(IFERROR(VLOOKUP(T_BilanSocial[[#This Row],[NumL]],T_TraitDi[#Data],COLUMN(T_TraitDi[[#This Row],[Colonne20]]),FALSE),""),"[hh]:mm"))</f>
        <v>#VALUE!</v>
      </c>
      <c r="BB225" s="178" t="str">
        <f>IFERROR(VLOOKUP(T_BilanSocial[[#This Row],[NumL]],T_TraitDi[#Data],COLUMN(T_TraitDi[[#This Row],[Jeudi]]),FALSE),"")</f>
        <v/>
      </c>
      <c r="BC225" s="178" t="e">
        <f>IF(VLOOKUP(T_BilanSocial[[#This Row],[NumL]],T_TraitDi[#Data],COLUMN(T_TraitDi[[#This Row],[Colonne21]]),FALSE)=0,"",TEXT(IFERROR(VLOOKUP(T_BilanSocial[[#This Row],[NumL]],T_TraitDi[#Data],COLUMN(T_TraitDi[[#This Row],[Colonne21]]),FALSE),""),"[hh]:mm"))</f>
        <v>#VALUE!</v>
      </c>
      <c r="BD225" s="178" t="e">
        <f>IF(VLOOKUP(T_BilanSocial[[#This Row],[NumL]],T_TraitDi[#Data],COLUMN(T_TraitDi[[#This Row],[Colonne22]]),FALSE)=0,"",TEXT(IFERROR(VLOOKUP(T_BilanSocial[[#This Row],[NumL]],T_TraitDi[#Data],COLUMN(T_TraitDi[[#This Row],[Colonne22]]),FALSE),""),"[hh]:mm"))</f>
        <v>#VALUE!</v>
      </c>
      <c r="BE225" s="178" t="str">
        <f>IFERROR(VLOOKUP(T_BilanSocial[[#This Row],[NumL]],T_TraitDi[#Data],COLUMN(T_TraitDi[[#This Row],[Colonne23]]),FALSE),"")</f>
        <v/>
      </c>
      <c r="BF225" s="178" t="e">
        <f>IF(VLOOKUP(T_BilanSocial[[#This Row],[NumL]],T_TraitDi[#Data],COLUMN(T_TraitDi[[#This Row],[Colonne24]]),FALSE)=0,"",TEXT(IFERROR(VLOOKUP(T_BilanSocial[[#This Row],[NumL]],T_TraitDi[#Data],COLUMN(T_TraitDi[[#This Row],[Colonne24]]),FALSE),""),"[hh]:mm"))</f>
        <v>#VALUE!</v>
      </c>
      <c r="BG225" s="178" t="e">
        <f>IF(VLOOKUP(T_BilanSocial[[#This Row],[NumL]],T_TraitDi[#Data],COLUMN(T_TraitDi[[#This Row],[Colonne25]]),FALSE)=0,"",TEXT(IFERROR(VLOOKUP(T_BilanSocial[[#This Row],[NumL]],T_TraitDi[#Data],COLUMN(T_TraitDi[[#This Row],[Colonne25]]),FALSE),""),"[hh]:mm"))</f>
        <v>#VALUE!</v>
      </c>
      <c r="BH225" s="178" t="e">
        <f>IF(VLOOKUP(T_BilanSocial[[#This Row],[NumL]],T_TraitDi[#Data],COLUMN(T_TraitDi[[#This Row],[Colonne26]]),FALSE)=0,"",TEXT(IFERROR(VLOOKUP(T_BilanSocial[[#This Row],[NumL]],T_TraitDi[#Data],COLUMN(T_TraitDi[[#This Row],[Colonne26]]),FALSE),""),"[hh]:mm"))</f>
        <v>#VALUE!</v>
      </c>
      <c r="BI225" s="172" t="str">
        <f>IFERROR(VLOOKUP(T_BilanSocial[[#This Row],[NumL]],T_TraitDi[#Data],COLUMN(T_TraitDi[[#This Row],[Vendredi]]),FALSE),"")</f>
        <v/>
      </c>
      <c r="BJ225" s="172" t="e">
        <f>IF(VLOOKUP(T_BilanSocial[[#This Row],[NumL]],T_TraitDi[#Data],COLUMN(T_TraitDi[[#This Row],[Colonne27]]),FALSE)=0,"",TEXT(IFERROR(VLOOKUP(T_BilanSocial[[#This Row],[NumL]],T_TraitDi[#Data],COLUMN(T_TraitDi[[#This Row],[Colonne27]]),FALSE),""),"[hh]:mm"))</f>
        <v>#VALUE!</v>
      </c>
      <c r="BK225" s="172" t="e">
        <f>IF(VLOOKUP(T_BilanSocial[[#This Row],[NumL]],T_TraitDi[#Data],COLUMN(T_TraitDi[[#This Row],[Colonne28]]),FALSE)=0,"",TEXT(IFERROR(VLOOKUP(T_BilanSocial[[#This Row],[NumL]],T_TraitDi[#Data],COLUMN(T_TraitDi[[#This Row],[Colonne28]]),FALSE),""),"[hh]:mm"))</f>
        <v>#VALUE!</v>
      </c>
      <c r="BL225" s="172" t="str">
        <f>IFERROR(VLOOKUP(T_BilanSocial[[#This Row],[NumL]],T_TraitDi[#Data],COLUMN(T_TraitDi[[#This Row],[Colonne29]]),FALSE),"")</f>
        <v/>
      </c>
      <c r="BM225" s="172" t="e">
        <f>IF(VLOOKUP(T_BilanSocial[[#This Row],[NumL]],T_TraitDi[#Data],COLUMN(T_TraitDi[[#This Row],[Colonne30]]),FALSE)=0,"",TEXT(IFERROR(VLOOKUP(T_BilanSocial[[#This Row],[NumL]],T_TraitDi[#Data],COLUMN(T_TraitDi[[#This Row],[Colonne30]]),FALSE),""),"[hh]:mm"))</f>
        <v>#VALUE!</v>
      </c>
      <c r="BN225" s="172" t="e">
        <f>IF(VLOOKUP(T_BilanSocial[[#This Row],[NumL]],T_TraitDi[#Data],COLUMN(T_TraitDi[[#This Row],[Colonne31]]),FALSE)=0,"",TEXT(IFERROR(VLOOKUP(T_BilanSocial[[#This Row],[NumL]],T_TraitDi[#Data],COLUMN(T_TraitDi[[#This Row],[Colonne31]]),FALSE),""),"[hh]:mm"))</f>
        <v>#VALUE!</v>
      </c>
      <c r="BO225" s="172" t="e">
        <f>IF(VLOOKUP(T_BilanSocial[[#This Row],[NumL]],T_TraitDi[#Data],COLUMN(T_TraitDi[[#This Row],[Colonne32]]),FALSE)=0,"",TEXT(IFERROR(VLOOKUP(T_BilanSocial[[#This Row],[NumL]],T_TraitDi[#Data],COLUMN(T_TraitDi[[#This Row],[Colonne32]]),FALSE),""),"[hh]:mm"))</f>
        <v>#VALUE!</v>
      </c>
      <c r="BP225" s="172" t="e">
        <f>VLOOKUP(T_BilanSocial[[#This Row],[NumL]],T_TraitDi[#Data],COLUMN(T_TraitDi[NbJTot]),FALSE)</f>
        <v>#N/A</v>
      </c>
      <c r="BQ225" s="174" t="str">
        <f>IFERROR(VLOOKUP(T_BilanSocial[[#This Row],[NumL]],T_TraitDi[#Data],COLUMN(T_TraitDi[[#This Row],[NbJTW]]),FALSE),"")</f>
        <v/>
      </c>
      <c r="BR225" s="174" t="e">
        <f>IF(VLOOKUP(T_BilanSocial[[#This Row],[NumL]],T_TraitDi[#Data],COLUMN(T_TraitDi[[#This Row],[NbhTW]]),FALSE)=0,"",TEXT(IFERROR(VLOOKUP(T_BilanSocial[[#This Row],[NumL]],T_TraitDi[#Data],COLUMN(T_TraitDi[[#This Row],[NbhTW]]),FALSE),""),"[hh]:mm"))</f>
        <v>#VALUE!</v>
      </c>
      <c r="BS225" s="174" t="e">
        <f>IF(VLOOKUP(T_BilanSocial[[#This Row],[NumL]],T_TraitDi[#Data],COLUMN(T_TraitDi[[#This Row],[Nbhheb]]),FALSE)=0,"",TEXT(IFERROR(VLOOKUP($A225,T_TraitDi[#Data],COLUMN(T_TraitDi[[#This Row],[Nbhheb]]),FALSE),""),"[hh]:mm"))</f>
        <v>#VALUE!</v>
      </c>
      <c r="BT225" s="182" t="str">
        <f>IFERROR(VLOOKUP(VLOOKUP($A225,T_TraitDi[#Data],COLUMN(T_TraitDi[[#This Row],[Type1]]),FALSE),TypeTW,2,FALSE),"")</f>
        <v/>
      </c>
      <c r="BU225" s="182" t="str">
        <f>IFERROR(VLOOKUP($A225,T_TraitDi[#Data],COLUMN(T_TraitDi[[#This Row],[Rue1]]),FALSE),"")</f>
        <v/>
      </c>
      <c r="BV225" s="173" t="str">
        <f>IFERROR(VLOOKUP($A225,T_TraitDi[#Data],COLUMN(T_TraitDi[[#This Row],[CP1]]),FALSE),"")</f>
        <v/>
      </c>
      <c r="BW225" s="173" t="str">
        <f>IFERROR(VLOOKUP($A225,T_TraitDi[#Data],COLUMN(T_TraitDi[[#This Row],[VILLE1]]),FALSE),"")</f>
        <v/>
      </c>
      <c r="BX225" s="182" t="str">
        <f>IFERROR(VLOOKUP(VLOOKUP($A225,T_TraitDi[#Data],COLUMN(T_TraitDi[[#This Row],[Type2]]),FALSE),TypeTW,2,FALSE),"")</f>
        <v/>
      </c>
      <c r="BY225" s="182" t="str">
        <f>IFERROR(VLOOKUP($A225,T_TraitDi[#Data],COLUMN(T_TraitDi[[#This Row],[Rue2]]),FALSE),"")</f>
        <v/>
      </c>
      <c r="BZ225" s="173" t="str">
        <f>IFERROR(VLOOKUP($A225,T_TraitDi[#Data],COLUMN(T_TraitDi[[#This Row],[CP2]]),FALSE),"")</f>
        <v/>
      </c>
      <c r="CA225" s="173" t="str">
        <f>IFERROR(VLOOKUP($A225,T_TraitDi[#Data],COLUMN(T_TraitDi[[#This Row],[VILLE2]]),FALSE),"")</f>
        <v/>
      </c>
      <c r="CB225" s="182" t="str">
        <f>IF(VLOOKUP(T_BilanSocial[[#This Row],[NumL]],T_Equipement[#Data],COLUMN(T_Equipement[[#This Row],[PC]]),FALSE)="","Aucun équipement spécifique directement lié au télétravail",VLOOKUP(T_BilanSocial[[#This Row],[NumL]],T_Equipement[#Data],COLUMN(T_Equipement[[#This Row],[PC]]),FALSE))</f>
        <v>14-518</v>
      </c>
      <c r="CC225" s="166" t="str">
        <f>IFERROR(IF(VLOOKUP(T_BilanSocial[[#This Row],[NumL]],T_TraitDi[#Data],COLUMN(T_TraitDi[[#This Row],[Plan]]),FALSE)="OK","Un planning spécifique de télétravail est annexé à la présente convention.",""),"")</f>
        <v/>
      </c>
      <c r="CD225" s="185"/>
      <c r="CE225" s="164" t="e">
        <f>IF(VLOOKUP(T_BilanSocial[[#This Row],[NumL]],T_suiviDi[#Data],COLUMN(T_suiviDi[[#This Row],[Entité]]),FALSE)="","",VLOOKUP(T_BilanSocial[[#This Row],[NumL]],T_suiviDi[#Data],COLUMN(T_suiviDi[[#This Row],[Entité]]),FALSE))</f>
        <v>#VALUE!</v>
      </c>
      <c r="CF225" s="164" t="str">
        <f>IF(VLOOKUP(T_BilanSocial[[#This Row],[NumL]],T_Commission[#Data],COLUMN(T_Commission[[#This Row],[envoi confirm TW]]),FALSE)="","",VLOOKUP(T_BilanSocial[[#This Row],[NumL]],T_Commission[#Data],COLUMN(T_Commission[[#This Row],[envoi confirm TW]]),FALSE))</f>
        <v>Oui</v>
      </c>
      <c r="CG22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5" s="262" t="str">
        <f>T_BilanSocial[[#This Row],[Nom]]&amp;T_BilanSocial[[#This Row],[Prenom]]</f>
        <v/>
      </c>
      <c r="CI225" s="262" t="str">
        <f>VLOOKUP(T_BilanSocial[[#This Row],[NumL]],T_Commission[#Data],COLUMN(T_Commission[Commentaire]),FALSE)</f>
        <v>Sous réserve de fourniture des pièces nécessaires.</v>
      </c>
      <c r="CJ225" s="262" t="str">
        <f>IF(VLOOKUP(T_BilanSocial[[#This Row],[NumL]],T_Commission[#Data],COLUMN(T_Commission[Encadrant Email]),FALSE)="","",VLOOKUP(T_BilanSocial[[#This Row],[NumL]],T_Commission[#Data],COLUMN(T_Commission[Encadrant Email]),FALSE))</f>
        <v/>
      </c>
      <c r="CK225" s="340" t="str">
        <f>IF(T_BilanSocial[[#This Row],[Final]]&lt;&gt;"",VLOOKUP(T_BilanSocial[[#This Row],[NumL]],T_suiviDi[#Data],COLUMN((T_suiviDi[Statut])),FALSE),"")</f>
        <v/>
      </c>
    </row>
    <row r="226" spans="1:89" s="106" customFormat="1" ht="24.75" customHeight="1" x14ac:dyDescent="0.25">
      <c r="A226" s="160">
        <v>223</v>
      </c>
      <c r="B226" s="161" t="str">
        <f t="shared" si="34"/>
        <v/>
      </c>
      <c r="C226" s="162" t="s">
        <v>139</v>
      </c>
      <c r="D226" s="95" t="e">
        <f>IF(VLOOKUP(T_BilanSocial[[#This Row],[NumL]],T_TraitDi[#Data],COLUMN(T_TraitDi[[#This Row],[WebC]]),FALSE)="","",VLOOKUP(T_BilanSocial[[#This Row],[NumL]],T_TraitDi[#Data],COLUMN(T_TraitDi[[#This Row],[WebC]]),FALSE))</f>
        <v>#VALUE!</v>
      </c>
      <c r="E226" s="163" t="str">
        <f t="shared" si="35"/>
        <v>12 janvier 2021</v>
      </c>
      <c r="F226" s="96" t="str">
        <f>IF(T_BilanSocial[[#This Row],[Final]]&lt;&gt;"",VLOOKUP(T_BilanSocial[[#This Row],[NumL]],T_suiviDi[#Data],COLUMN((T_suiviDi[Civ.])),FALSE),"")</f>
        <v/>
      </c>
      <c r="G226" s="96" t="str">
        <f>IF(T_BilanSocial[[#This Row],[Final]]&lt;&gt;"",VLOOKUP(T_BilanSocial[[#This Row],[NumL]],T_suiviDi[#Data],COLUMN((T_suiviDi[Nom])),FALSE),"")</f>
        <v/>
      </c>
      <c r="H226" s="96" t="str">
        <f>IF(T_BilanSocial[[#This Row],[Final]]&lt;&gt;"",VLOOKUP(T_BilanSocial[[#This Row],[NumL]],T_suiviDi[#Data],COLUMN((T_suiviDi[Prénom])),FALSE),"")</f>
        <v/>
      </c>
      <c r="I226" s="96" t="str">
        <f>IFERROR(VLOOKUP(T_BilanSocial[[#This Row],[Zone_Bilan]],T_P_BilanSocial[#Data],COLUMN(T_P_BilanSocial[[#This Row],[Numero_SIHAM]]),FALSE),"")</f>
        <v/>
      </c>
      <c r="J226" s="96" t="str">
        <f>IFERROR(VLOOKUP(T_BilanSocial[[#This Row],[Zone_Bilan]],T_P_BilanSocial[#Data],COLUMN(T_P_BilanSocial[[#This Row],[Sexe]]),FALSE),"")</f>
        <v/>
      </c>
      <c r="K226" s="97" t="str">
        <f>IFERROR(VLOOKUP(T_BilanSocial[[#This Row],[Zone_Bilan]],T_P_BilanSocial[#Data],COLUMN(T_P_BilanSocial[[#This Row],[Categorie]]),FALSE),"")</f>
        <v/>
      </c>
      <c r="L226" s="96" t="str">
        <f>IFERROR(VLOOKUP(T_BilanSocial[[#This Row],[Zone_Bilan]],T_P_BilanSocial[#Data],COLUMN(T_P_BilanSocial[[#This Row],[Statut]]),FALSE),"")</f>
        <v/>
      </c>
      <c r="M226" s="96" t="str">
        <f>IFERROR(VLOOKUP(T_BilanSocial[[#This Row],[Zone_Bilan]],T_P_BilanSocial[#Data],COLUMN(T_P_BilanSocial[[#This Row],[Filiere]]),FALSE),"")</f>
        <v/>
      </c>
      <c r="N226" s="96" t="e">
        <f>VLOOKUP(T_BilanSocial[[#This Row],[NumL]],T_TraitDi[#Data],COLUMN(T_TraitDi[EXP]),FALSE)</f>
        <v>#N/A</v>
      </c>
      <c r="O226" s="96" t="e">
        <f>VLOOKUP(T_BilanSocial[[#This Row],[NumL]],T_TraitDi[#Data],COLUMN(T_TraitDi[FORM]),FALSE)</f>
        <v>#N/A</v>
      </c>
      <c r="P226" s="96" t="str">
        <f>IF(T_BilanSocial[[#This Row],[Final]]&lt;&gt;"",VLOOKUP(T_BilanSocial[[#This Row],[NumL]],T_suiviDi[#Data],COLUMN((T_suiviDi[Email])),FALSE),"")</f>
        <v/>
      </c>
      <c r="Q226" s="164" t="e">
        <f t="shared" si="40"/>
        <v>#N/A</v>
      </c>
      <c r="R226" s="164" t="e">
        <f t="shared" si="41"/>
        <v>#N/A</v>
      </c>
      <c r="S226" s="164" t="e">
        <f>IF(VLOOKUP(T_BilanSocial[[#This Row],[NumL]],T_suiviDi[#Data],COLUMN(T_suiviDi[[#This Row],[Service ]]),FALSE)="","",VLOOKUP(T_BilanSocial[[#This Row],[NumL]],T_suiviDi[#Data],COLUMN(T_suiviDi[[#This Row],[Service ]]),FALSE))</f>
        <v>#VALUE!</v>
      </c>
      <c r="T226" s="164" t="str">
        <f t="shared" si="36"/>
        <v>01 septembre 2021</v>
      </c>
      <c r="U226" s="164" t="str">
        <f t="shared" si="37"/>
        <v>30 novembre 2021</v>
      </c>
      <c r="V226" s="256">
        <f>Datebilan</f>
        <v>44530</v>
      </c>
      <c r="W226" s="176" t="e">
        <f>IF(VLOOKUP(T_BilanSocial[[#This Row],[NumL]],T_TraitDi[#Data],COLUMN(T_TraitDi[[#This Row],[M1]]),FALSE)="","",VLOOKUP(T_BilanSocial[[#This Row],[NumL]],T_TraitDi[#Data],COLUMN(T_TraitDi[[#This Row],[M1]]),FALSE))</f>
        <v>#VALUE!</v>
      </c>
      <c r="X226" s="176" t="e">
        <f>IF(VLOOKUP(T_BilanSocial[[#This Row],[NumL]],T_TraitDi[#Data],COLUMN(T_TraitDi[[#This Row],[M2]]),FALSE)="","",VLOOKUP(T_BilanSocial[[#This Row],[NumL]],T_TraitDi[#Data],COLUMN(T_TraitDi[[#This Row],[M2]]),FALSE))</f>
        <v>#VALUE!</v>
      </c>
      <c r="Y226" s="176" t="e">
        <f>IF(VLOOKUP(T_BilanSocial[[#This Row],[NumL]],T_TraitDi[#Data],COLUMN(T_TraitDi[[#This Row],[M3]]),FALSE)="","",VLOOKUP(T_BilanSocial[[#This Row],[NumL]],T_TraitDi[#Data],COLUMN(T_TraitDi[[#This Row],[M3]]),FALSE))</f>
        <v>#VALUE!</v>
      </c>
      <c r="Z226" s="176" t="str">
        <f t="shared" si="39"/>
        <v/>
      </c>
      <c r="AA226" s="176" t="e">
        <f>IF(VLOOKUP(T_BilanSocial[[#This Row],[NumL]],T_TraitDi[#Data],COLUMN(T_TraitDi[[#This Row],[M5]]),FALSE)="","",VLOOKUP(T_BilanSocial[[#This Row],[NumL]],T_TraitDi[#Data],COLUMN(T_TraitDi[[#This Row],[M5]]),FALSE))</f>
        <v>#VALUE!</v>
      </c>
      <c r="AB226" s="176" t="e">
        <f>IF(VLOOKUP(T_BilanSocial[[#This Row],[NumL]],T_TraitDi[#Data],COLUMN(T_TraitDi[[#This Row],[M6]]),FALSE)="","",VLOOKUP(T_BilanSocial[[#This Row],[NumL]],T_TraitDi[#Data],COLUMN(T_TraitDi[[#This Row],[M6]]),FALSE))</f>
        <v>#VALUE!</v>
      </c>
      <c r="AC226" s="165" t="e">
        <f t="shared" si="38"/>
        <v>#VALUE!</v>
      </c>
      <c r="AD226" s="188" t="str">
        <f>IFERROR(TEXT(VLOOKUP(T_BilanSocial[[#This Row],[NumL]],T_TraitDi[#Data],COLUMN(T_TraitDi[[#This Row],[Q2]]),FALSE),"###%"),"")</f>
        <v/>
      </c>
      <c r="AE226" s="97" t="e">
        <f>VLOOKUP(T_BilanSocial[[#This Row],[NumL]],T_TraitDi[#Data],COLUMN(T_TraitDi[[#This Row],[Reg Ponct]]),FALSE)</f>
        <v>#VALUE!</v>
      </c>
      <c r="AF226" s="97" t="e">
        <f>VLOOKUP(T_BilanSocial[NumL],T_TraitDi[#Data],COLUMN(T_TraitDi[[#This Row],[Jours flottants]]),FALSE)</f>
        <v>#VALUE!</v>
      </c>
      <c r="AG226" s="97" t="str">
        <f>IFERROR(VLOOKUP(T_BilanSocial[[#This Row],[NumL]],T_TraitDi[#Data],COLUMN(T_TraitDi[[#This Row],[Lundi]]),FALSE),"")</f>
        <v/>
      </c>
      <c r="AH226" s="172" t="e">
        <f>IF(VLOOKUP(T_BilanSocial[[#This Row],[NumL]],T_TraitDi[#Data],COLUMN(T_TraitDi[[#This Row],[Colonne3]]),FALSE)=0,"",TEXT(IFERROR(VLOOKUP(T_BilanSocial[[#This Row],[NumL]],T_TraitDi[#Data],COLUMN(T_TraitDi[[#This Row],[Colonne3]]),FALSE),""),"[hh]:mm"))</f>
        <v>#VALUE!</v>
      </c>
      <c r="AI226" s="172" t="e">
        <f>IF(VLOOKUP(T_BilanSocial[[#This Row],[NumL]],T_TraitDi[#Data],COLUMN(T_TraitDi[[#This Row],[Colonne4]]),FALSE)=0,"",TEXT(IFERROR(VLOOKUP(T_BilanSocial[[#This Row],[NumL]],T_TraitDi[#Data],COLUMN(T_TraitDi[[#This Row],[Colonne4]]),FALSE),""),"[hh]:mm"))</f>
        <v>#VALUE!</v>
      </c>
      <c r="AJ226" s="172" t="e">
        <f>IF(VLOOKUP(T_BilanSocial[[#This Row],[NumL]],T_TraitDi[#Data],COLUMN(T_TraitDi[[#This Row],[Colonne5]]),FALSE)=0,"",TEXT(IFERROR(VLOOKUP(T_BilanSocial[[#This Row],[NumL]],T_TraitDi[#Data],COLUMN(T_TraitDi[[#This Row],[Colonne5]]),FALSE),""),"[hh]:mm"))</f>
        <v>#VALUE!</v>
      </c>
      <c r="AK226" s="172" t="e">
        <f>IF(VLOOKUP(T_BilanSocial[[#This Row],[NumL]],T_TraitDi[#Data],COLUMN(T_TraitDi[[#This Row],[Colonne6]]),FALSE)=0,"",TEXT(IFERROR(VLOOKUP(T_BilanSocial[[#This Row],[NumL]],T_TraitDi[#Data],COLUMN(T_TraitDi[[#This Row],[Colonne6]]),FALSE),""),"[hh]:mm"))</f>
        <v>#VALUE!</v>
      </c>
      <c r="AL226" s="172" t="e">
        <f>IF(VLOOKUP(T_BilanSocial[[#This Row],[NumL]],T_TraitDi[#Data],COLUMN(T_TraitDi[[#This Row],[Colonne7]]),FALSE)=0,"",TEXT(IFERROR(VLOOKUP(T_BilanSocial[[#This Row],[NumL]],T_TraitDi[#Data],COLUMN(T_TraitDi[[#This Row],[Colonne7]]),FALSE),""),"[hh]:mm"))</f>
        <v>#VALUE!</v>
      </c>
      <c r="AM226" s="172" t="e">
        <f>IF(VLOOKUP(T_BilanSocial[[#This Row],[NumL]],T_TraitDi[#Data],COLUMN(T_TraitDi[[#This Row],[Colonne8]]),FALSE)=0,"",TEXT(IFERROR(VLOOKUP(T_BilanSocial[[#This Row],[NumL]],T_TraitDi[#Data],COLUMN(T_TraitDi[[#This Row],[Colonne8]]),FALSE),""),"[hh]:mm"))</f>
        <v>#VALUE!</v>
      </c>
      <c r="AN226" s="172" t="str">
        <f>IFERROR(VLOOKUP(T_BilanSocial[[#This Row],[NumL]],T_TraitDi[#Data],COLUMN(T_TraitDi[[#This Row],[Mardi]]),FALSE),"")</f>
        <v/>
      </c>
      <c r="AO226" s="172" t="e">
        <f>IF(VLOOKUP(T_BilanSocial[[#This Row],[NumL]],T_TraitDi[#Data],COLUMN(T_TraitDi[[#This Row],[Colonne1]]),FALSE)=0,"",TEXT(IFERROR(VLOOKUP(T_BilanSocial[[#This Row],[NumL]],T_TraitDi[#Data],COLUMN(T_TraitDi[[#This Row],[Colonne1]]),FALSE),""),"[hh]:mm"))</f>
        <v>#VALUE!</v>
      </c>
      <c r="AP226" s="172" t="e">
        <f>IF(VLOOKUP(T_BilanSocial[[#This Row],[NumL]],T_TraitDi[#Data],COLUMN(T_TraitDi[[#This Row],[Colonne9]]),FALSE)=0,"",TEXT(IFERROR(VLOOKUP(T_BilanSocial[[#This Row],[NumL]],T_TraitDi[#Data],COLUMN(T_TraitDi[[#This Row],[Colonne9]]),FALSE),""),"[hh]:mm"))</f>
        <v>#VALUE!</v>
      </c>
      <c r="AQ226" s="172" t="str">
        <f>IFERROR(VLOOKUP(T_BilanSocial[[#This Row],[NumL]],T_TraitDi[#Data],COLUMN(T_TraitDi[[#This Row],[Colonne10]]),FALSE),"")</f>
        <v/>
      </c>
      <c r="AR226" s="172" t="e">
        <f>IF(VLOOKUP(T_BilanSocial[[#This Row],[NumL]],T_TraitDi[#Data],COLUMN(T_TraitDi[[#This Row],[Colonne11]]),FALSE)=0,"",TEXT(IFERROR(VLOOKUP(T_BilanSocial[[#This Row],[NumL]],T_TraitDi[#Data],COLUMN(T_TraitDi[[#This Row],[Colonne11]]),FALSE),""),"[hh]:mm"))</f>
        <v>#VALUE!</v>
      </c>
      <c r="AS226" s="172" t="e">
        <f>IF(VLOOKUP(T_BilanSocial[[#This Row],[NumL]],T_TraitDi[#Data],COLUMN(T_TraitDi[[#This Row],[Colonne12]]),FALSE)=0,"",TEXT(IFERROR(VLOOKUP(T_BilanSocial[[#This Row],[NumL]],T_TraitDi[#Data],COLUMN(T_TraitDi[[#This Row],[Colonne12]]),FALSE),""),"[hh]:mm"))</f>
        <v>#VALUE!</v>
      </c>
      <c r="AT226" s="172" t="e">
        <f>IF(VLOOKUP(T_BilanSocial[[#This Row],[NumL]],T_TraitDi[#Data],COLUMN(T_TraitDi[[#This Row],[Colonne14]]),FALSE)=0,"",TEXT(IFERROR(VLOOKUP(T_BilanSocial[[#This Row],[NumL]],T_TraitDi[#Data],COLUMN(T_TraitDi[[#This Row],[Colonne14]]),FALSE),""),"[hh]:mm"))</f>
        <v>#VALUE!</v>
      </c>
      <c r="AU226" s="172" t="str">
        <f>IFERROR(VLOOKUP(T_BilanSocial[[#This Row],[NumL]],T_TraitDi[#Data],COLUMN(T_TraitDi[[#This Row],[Mercredi]]),FALSE),"")</f>
        <v/>
      </c>
      <c r="AV226" s="172" t="e">
        <f>IF(VLOOKUP(T_BilanSocial[[#This Row],[NumL]],T_TraitDi[#Data],COLUMN(T_TraitDi[[#This Row],[Colonne15]]),FALSE)=0,"",TEXT(IFERROR(VLOOKUP(T_BilanSocial[[#This Row],[NumL]],T_TraitDi[#Data],COLUMN(T_TraitDi[[#This Row],[Colonne15]]),FALSE),""),"[hh]:mm"))</f>
        <v>#VALUE!</v>
      </c>
      <c r="AW226" s="172" t="e">
        <f>IF(VLOOKUP(T_BilanSocial[[#This Row],[NumL]],T_TraitDi[#Data],COLUMN(T_TraitDi[[#This Row],[Colonne16]]),FALSE)=0,"",TEXT(IFERROR(VLOOKUP(T_BilanSocial[[#This Row],[NumL]],T_TraitDi[#Data],COLUMN(T_TraitDi[[#This Row],[Colonne16]]),FALSE),""),"[hh]:mm"))</f>
        <v>#VALUE!</v>
      </c>
      <c r="AX226" s="172" t="str">
        <f>IFERROR(VLOOKUP(T_BilanSocial[[#This Row],[NumL]],T_TraitDi[#Data],COLUMN(T_TraitDi[[#This Row],[Colonne17]]),FALSE),"")</f>
        <v/>
      </c>
      <c r="AY226" s="172" t="e">
        <f>IF(VLOOKUP(T_BilanSocial[[#This Row],[NumL]],T_TraitDi[#Data],COLUMN(T_TraitDi[[#This Row],[Colonne18]]),FALSE)=0,"",TEXT(IFERROR(VLOOKUP(T_BilanSocial[[#This Row],[NumL]],T_TraitDi[#Data],COLUMN(T_TraitDi[[#This Row],[Colonne18]]),FALSE),""),"[hh]:mm"))</f>
        <v>#VALUE!</v>
      </c>
      <c r="AZ226" s="172" t="e">
        <f>IF(VLOOKUP(T_BilanSocial[[#This Row],[NumL]],T_TraitDi[#Data],COLUMN(T_TraitDi[[#This Row],[Colonne19]]),FALSE)=0,"",TEXT(IFERROR(VLOOKUP(T_BilanSocial[[#This Row],[NumL]],T_TraitDi[#Data],COLUMN(T_TraitDi[[#This Row],[Colonne19]]),FALSE),""),"[hh]:mm"))</f>
        <v>#VALUE!</v>
      </c>
      <c r="BA226" s="172" t="e">
        <f>IF(VLOOKUP(T_BilanSocial[[#This Row],[NumL]],T_TraitDi[#Data],COLUMN(T_TraitDi[[#This Row],[Colonne20]]),FALSE)=0,"",TEXT(IFERROR(VLOOKUP(T_BilanSocial[[#This Row],[NumL]],T_TraitDi[#Data],COLUMN(T_TraitDi[[#This Row],[Colonne20]]),FALSE),""),"[hh]:mm"))</f>
        <v>#VALUE!</v>
      </c>
      <c r="BB226" s="178" t="str">
        <f>IFERROR(VLOOKUP(T_BilanSocial[[#This Row],[NumL]],T_TraitDi[#Data],COLUMN(T_TraitDi[[#This Row],[Jeudi]]),FALSE),"")</f>
        <v/>
      </c>
      <c r="BC226" s="178" t="e">
        <f>IF(VLOOKUP(T_BilanSocial[[#This Row],[NumL]],T_TraitDi[#Data],COLUMN(T_TraitDi[[#This Row],[Colonne21]]),FALSE)=0,"",TEXT(IFERROR(VLOOKUP(T_BilanSocial[[#This Row],[NumL]],T_TraitDi[#Data],COLUMN(T_TraitDi[[#This Row],[Colonne21]]),FALSE),""),"[hh]:mm"))</f>
        <v>#VALUE!</v>
      </c>
      <c r="BD226" s="178" t="e">
        <f>IF(VLOOKUP(T_BilanSocial[[#This Row],[NumL]],T_TraitDi[#Data],COLUMN(T_TraitDi[[#This Row],[Colonne22]]),FALSE)=0,"",TEXT(IFERROR(VLOOKUP(T_BilanSocial[[#This Row],[NumL]],T_TraitDi[#Data],COLUMN(T_TraitDi[[#This Row],[Colonne22]]),FALSE),""),"[hh]:mm"))</f>
        <v>#VALUE!</v>
      </c>
      <c r="BE226" s="178" t="str">
        <f>IFERROR(VLOOKUP(T_BilanSocial[[#This Row],[NumL]],T_TraitDi[#Data],COLUMN(T_TraitDi[[#This Row],[Colonne23]]),FALSE),"")</f>
        <v/>
      </c>
      <c r="BF226" s="178" t="e">
        <f>IF(VLOOKUP(T_BilanSocial[[#This Row],[NumL]],T_TraitDi[#Data],COLUMN(T_TraitDi[[#This Row],[Colonne24]]),FALSE)=0,"",TEXT(IFERROR(VLOOKUP(T_BilanSocial[[#This Row],[NumL]],T_TraitDi[#Data],COLUMN(T_TraitDi[[#This Row],[Colonne24]]),FALSE),""),"[hh]:mm"))</f>
        <v>#VALUE!</v>
      </c>
      <c r="BG226" s="178" t="e">
        <f>IF(VLOOKUP(T_BilanSocial[[#This Row],[NumL]],T_TraitDi[#Data],COLUMN(T_TraitDi[[#This Row],[Colonne25]]),FALSE)=0,"",TEXT(IFERROR(VLOOKUP(T_BilanSocial[[#This Row],[NumL]],T_TraitDi[#Data],COLUMN(T_TraitDi[[#This Row],[Colonne25]]),FALSE),""),"[hh]:mm"))</f>
        <v>#VALUE!</v>
      </c>
      <c r="BH226" s="178" t="e">
        <f>IF(VLOOKUP(T_BilanSocial[[#This Row],[NumL]],T_TraitDi[#Data],COLUMN(T_TraitDi[[#This Row],[Colonne26]]),FALSE)=0,"",TEXT(IFERROR(VLOOKUP(T_BilanSocial[[#This Row],[NumL]],T_TraitDi[#Data],COLUMN(T_TraitDi[[#This Row],[Colonne26]]),FALSE),""),"[hh]:mm"))</f>
        <v>#VALUE!</v>
      </c>
      <c r="BI226" s="172" t="str">
        <f>IFERROR(VLOOKUP(T_BilanSocial[[#This Row],[NumL]],T_TraitDi[#Data],COLUMN(T_TraitDi[[#This Row],[Vendredi]]),FALSE),"")</f>
        <v/>
      </c>
      <c r="BJ226" s="172" t="e">
        <f>IF(VLOOKUP(T_BilanSocial[[#This Row],[NumL]],T_TraitDi[#Data],COLUMN(T_TraitDi[[#This Row],[Colonne27]]),FALSE)=0,"",TEXT(IFERROR(VLOOKUP(T_BilanSocial[[#This Row],[NumL]],T_TraitDi[#Data],COLUMN(T_TraitDi[[#This Row],[Colonne27]]),FALSE),""),"[hh]:mm"))</f>
        <v>#VALUE!</v>
      </c>
      <c r="BK226" s="172" t="e">
        <f>IF(VLOOKUP(T_BilanSocial[[#This Row],[NumL]],T_TraitDi[#Data],COLUMN(T_TraitDi[[#This Row],[Colonne28]]),FALSE)=0,"",TEXT(IFERROR(VLOOKUP(T_BilanSocial[[#This Row],[NumL]],T_TraitDi[#Data],COLUMN(T_TraitDi[[#This Row],[Colonne28]]),FALSE),""),"[hh]:mm"))</f>
        <v>#VALUE!</v>
      </c>
      <c r="BL226" s="172" t="str">
        <f>IFERROR(VLOOKUP(T_BilanSocial[[#This Row],[NumL]],T_TraitDi[#Data],COLUMN(T_TraitDi[[#This Row],[Colonne29]]),FALSE),"")</f>
        <v/>
      </c>
      <c r="BM226" s="172" t="e">
        <f>IF(VLOOKUP(T_BilanSocial[[#This Row],[NumL]],T_TraitDi[#Data],COLUMN(T_TraitDi[[#This Row],[Colonne30]]),FALSE)=0,"",TEXT(IFERROR(VLOOKUP(T_BilanSocial[[#This Row],[NumL]],T_TraitDi[#Data],COLUMN(T_TraitDi[[#This Row],[Colonne30]]),FALSE),""),"[hh]:mm"))</f>
        <v>#VALUE!</v>
      </c>
      <c r="BN226" s="172" t="e">
        <f>IF(VLOOKUP(T_BilanSocial[[#This Row],[NumL]],T_TraitDi[#Data],COLUMN(T_TraitDi[[#This Row],[Colonne31]]),FALSE)=0,"",TEXT(IFERROR(VLOOKUP(T_BilanSocial[[#This Row],[NumL]],T_TraitDi[#Data],COLUMN(T_TraitDi[[#This Row],[Colonne31]]),FALSE),""),"[hh]:mm"))</f>
        <v>#VALUE!</v>
      </c>
      <c r="BO226" s="172" t="e">
        <f>IF(VLOOKUP(T_BilanSocial[[#This Row],[NumL]],T_TraitDi[#Data],COLUMN(T_TraitDi[[#This Row],[Colonne32]]),FALSE)=0,"",TEXT(IFERROR(VLOOKUP(T_BilanSocial[[#This Row],[NumL]],T_TraitDi[#Data],COLUMN(T_TraitDi[[#This Row],[Colonne32]]),FALSE),""),"[hh]:mm"))</f>
        <v>#VALUE!</v>
      </c>
      <c r="BP226" s="172" t="e">
        <f>VLOOKUP(T_BilanSocial[[#This Row],[NumL]],T_TraitDi[#Data],COLUMN(T_TraitDi[NbJTot]),FALSE)</f>
        <v>#N/A</v>
      </c>
      <c r="BQ226" s="174" t="str">
        <f>IFERROR(VLOOKUP(T_BilanSocial[[#This Row],[NumL]],T_TraitDi[#Data],COLUMN(T_TraitDi[[#This Row],[NbJTW]]),FALSE),"")</f>
        <v/>
      </c>
      <c r="BR226" s="174" t="e">
        <f>IF(VLOOKUP(T_BilanSocial[[#This Row],[NumL]],T_TraitDi[#Data],COLUMN(T_TraitDi[[#This Row],[NbhTW]]),FALSE)=0,"",TEXT(IFERROR(VLOOKUP(T_BilanSocial[[#This Row],[NumL]],T_TraitDi[#Data],COLUMN(T_TraitDi[[#This Row],[NbhTW]]),FALSE),""),"[hh]:mm"))</f>
        <v>#VALUE!</v>
      </c>
      <c r="BS226" s="174" t="e">
        <f>IF(VLOOKUP(T_BilanSocial[[#This Row],[NumL]],T_TraitDi[#Data],COLUMN(T_TraitDi[[#This Row],[Nbhheb]]),FALSE)=0,"",TEXT(IFERROR(VLOOKUP($A226,T_TraitDi[#Data],COLUMN(T_TraitDi[[#This Row],[Nbhheb]]),FALSE),""),"[hh]:mm"))</f>
        <v>#VALUE!</v>
      </c>
      <c r="BT226" s="182" t="str">
        <f>IFERROR(VLOOKUP(VLOOKUP($A226,T_TraitDi[#Data],COLUMN(T_TraitDi[[#This Row],[Type1]]),FALSE),TypeTW,2,FALSE),"")</f>
        <v/>
      </c>
      <c r="BU226" s="182" t="str">
        <f>IFERROR(VLOOKUP($A226,T_TraitDi[#Data],COLUMN(T_TraitDi[[#This Row],[Rue1]]),FALSE),"")</f>
        <v/>
      </c>
      <c r="BV226" s="173" t="str">
        <f>IFERROR(VLOOKUP($A226,T_TraitDi[#Data],COLUMN(T_TraitDi[[#This Row],[CP1]]),FALSE),"")</f>
        <v/>
      </c>
      <c r="BW226" s="173" t="str">
        <f>IFERROR(VLOOKUP($A226,T_TraitDi[#Data],COLUMN(T_TraitDi[[#This Row],[VILLE1]]),FALSE),"")</f>
        <v/>
      </c>
      <c r="BX226" s="182" t="str">
        <f>IFERROR(VLOOKUP(VLOOKUP($A226,T_TraitDi[#Data],COLUMN(T_TraitDi[[#This Row],[Type2]]),FALSE),TypeTW,2,FALSE),"")</f>
        <v/>
      </c>
      <c r="BY226" s="182" t="str">
        <f>IFERROR(VLOOKUP($A226,T_TraitDi[#Data],COLUMN(T_TraitDi[[#This Row],[Rue2]]),FALSE),"")</f>
        <v/>
      </c>
      <c r="BZ226" s="173" t="str">
        <f>IFERROR(VLOOKUP($A226,T_TraitDi[#Data],COLUMN(T_TraitDi[[#This Row],[CP2]]),FALSE),"")</f>
        <v/>
      </c>
      <c r="CA226" s="173" t="str">
        <f>IFERROR(VLOOKUP($A226,T_TraitDi[#Data],COLUMN(T_TraitDi[[#This Row],[VILLE2]]),FALSE),"")</f>
        <v/>
      </c>
      <c r="CB226" s="182" t="str">
        <f>IF(VLOOKUP(T_BilanSocial[[#This Row],[NumL]],T_Equipement[#Data],COLUMN(T_Equipement[[#This Row],[PC]]),FALSE)="","Aucun équipement spécifique directement lié au télétravail",VLOOKUP(T_BilanSocial[[#This Row],[NumL]],T_Equipement[#Data],COLUMN(T_Equipement[[#This Row],[PC]]),FALSE))</f>
        <v xml:space="preserve">20-296	</v>
      </c>
      <c r="CC226" s="166" t="str">
        <f>IFERROR(IF(VLOOKUP(T_BilanSocial[[#This Row],[NumL]],T_TraitDi[#Data],COLUMN(T_TraitDi[[#This Row],[Plan]]),FALSE)="OK","Un planning spécifique de télétravail est annexé à la présente convention.",""),"")</f>
        <v/>
      </c>
      <c r="CD226" s="185"/>
      <c r="CE226" s="164" t="e">
        <f>IF(VLOOKUP(T_BilanSocial[[#This Row],[NumL]],T_suiviDi[#Data],COLUMN(T_suiviDi[[#This Row],[Entité]]),FALSE)="","",VLOOKUP(T_BilanSocial[[#This Row],[NumL]],T_suiviDi[#Data],COLUMN(T_suiviDi[[#This Row],[Entité]]),FALSE))</f>
        <v>#VALUE!</v>
      </c>
      <c r="CF226" s="164" t="str">
        <f>IF(VLOOKUP(T_BilanSocial[[#This Row],[NumL]],T_Commission[#Data],COLUMN(T_Commission[[#This Row],[envoi confirm TW]]),FALSE)="","",VLOOKUP(T_BilanSocial[[#This Row],[NumL]],T_Commission[#Data],COLUMN(T_Commission[[#This Row],[envoi confirm TW]]),FALSE))</f>
        <v>Oui</v>
      </c>
      <c r="CG22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6" s="262" t="str">
        <f>T_BilanSocial[[#This Row],[Nom]]&amp;T_BilanSocial[[#This Row],[Prenom]]</f>
        <v/>
      </c>
      <c r="CI226" s="262">
        <f>VLOOKUP(T_BilanSocial[[#This Row],[NumL]],T_Commission[#Data],COLUMN(T_Commission[Commentaire]),FALSE)</f>
        <v>0</v>
      </c>
      <c r="CJ226" s="262" t="str">
        <f>IF(VLOOKUP(T_BilanSocial[[#This Row],[NumL]],T_Commission[#Data],COLUMN(T_Commission[Encadrant Email]),FALSE)="","",VLOOKUP(T_BilanSocial[[#This Row],[NumL]],T_Commission[#Data],COLUMN(T_Commission[Encadrant Email]),FALSE))</f>
        <v/>
      </c>
      <c r="CK226" s="340" t="str">
        <f>IF(T_BilanSocial[[#This Row],[Final]]&lt;&gt;"",VLOOKUP(T_BilanSocial[[#This Row],[NumL]],T_suiviDi[#Data],COLUMN((T_suiviDi[Statut])),FALSE),"")</f>
        <v/>
      </c>
    </row>
    <row r="227" spans="1:89" s="106" customFormat="1" ht="24.75" customHeight="1" x14ac:dyDescent="0.25">
      <c r="A227" s="160">
        <v>224</v>
      </c>
      <c r="B227" s="161" t="str">
        <f t="shared" si="34"/>
        <v/>
      </c>
      <c r="C227" s="162" t="s">
        <v>139</v>
      </c>
      <c r="D227" s="95" t="e">
        <f>IF(VLOOKUP(T_BilanSocial[[#This Row],[NumL]],T_TraitDi[#Data],COLUMN(T_TraitDi[[#This Row],[WebC]]),FALSE)="","",VLOOKUP(T_BilanSocial[[#This Row],[NumL]],T_TraitDi[#Data],COLUMN(T_TraitDi[[#This Row],[WebC]]),FALSE))</f>
        <v>#VALUE!</v>
      </c>
      <c r="E227" s="163" t="str">
        <f t="shared" si="35"/>
        <v>12 janvier 2021</v>
      </c>
      <c r="F227" s="96" t="str">
        <f>IF(T_BilanSocial[[#This Row],[Final]]&lt;&gt;"",VLOOKUP(T_BilanSocial[[#This Row],[NumL]],T_suiviDi[#Data],COLUMN((T_suiviDi[Civ.])),FALSE),"")</f>
        <v/>
      </c>
      <c r="G227" s="96" t="str">
        <f>IF(T_BilanSocial[[#This Row],[Final]]&lt;&gt;"",VLOOKUP(T_BilanSocial[[#This Row],[NumL]],T_suiviDi[#Data],COLUMN((T_suiviDi[Nom])),FALSE),"")</f>
        <v/>
      </c>
      <c r="H227" s="96" t="str">
        <f>IF(T_BilanSocial[[#This Row],[Final]]&lt;&gt;"",VLOOKUP(T_BilanSocial[[#This Row],[NumL]],T_suiviDi[#Data],COLUMN((T_suiviDi[Prénom])),FALSE),"")</f>
        <v/>
      </c>
      <c r="I227" s="96" t="str">
        <f>IFERROR(VLOOKUP(T_BilanSocial[[#This Row],[Zone_Bilan]],T_P_BilanSocial[#Data],COLUMN(T_P_BilanSocial[[#This Row],[Numero_SIHAM]]),FALSE),"")</f>
        <v/>
      </c>
      <c r="J227" s="96" t="str">
        <f>IFERROR(VLOOKUP(T_BilanSocial[[#This Row],[Zone_Bilan]],T_P_BilanSocial[#Data],COLUMN(T_P_BilanSocial[[#This Row],[Sexe]]),FALSE),"")</f>
        <v/>
      </c>
      <c r="K227" s="97" t="str">
        <f>IFERROR(VLOOKUP(T_BilanSocial[[#This Row],[Zone_Bilan]],T_P_BilanSocial[#Data],COLUMN(T_P_BilanSocial[[#This Row],[Categorie]]),FALSE),"")</f>
        <v/>
      </c>
      <c r="L227" s="96" t="str">
        <f>IFERROR(VLOOKUP(T_BilanSocial[[#This Row],[Zone_Bilan]],T_P_BilanSocial[#Data],COLUMN(T_P_BilanSocial[[#This Row],[Statut]]),FALSE),"")</f>
        <v/>
      </c>
      <c r="M227" s="96" t="str">
        <f>IFERROR(VLOOKUP(T_BilanSocial[[#This Row],[Zone_Bilan]],T_P_BilanSocial[#Data],COLUMN(T_P_BilanSocial[[#This Row],[Filiere]]),FALSE),"")</f>
        <v/>
      </c>
      <c r="N227" s="96" t="e">
        <f>VLOOKUP(T_BilanSocial[[#This Row],[NumL]],T_TraitDi[#Data],COLUMN(T_TraitDi[EXP]),FALSE)</f>
        <v>#N/A</v>
      </c>
      <c r="O227" s="96" t="e">
        <f>VLOOKUP(T_BilanSocial[[#This Row],[NumL]],T_TraitDi[#Data],COLUMN(T_TraitDi[FORM]),FALSE)</f>
        <v>#N/A</v>
      </c>
      <c r="P227" s="96" t="str">
        <f>IF(T_BilanSocial[[#This Row],[Final]]&lt;&gt;"",VLOOKUP(T_BilanSocial[[#This Row],[NumL]],T_suiviDi[#Data],COLUMN((T_suiviDi[Email])),FALSE),"")</f>
        <v/>
      </c>
      <c r="Q227" s="164" t="e">
        <f t="shared" si="40"/>
        <v>#N/A</v>
      </c>
      <c r="R227" s="164" t="e">
        <f t="shared" si="41"/>
        <v>#N/A</v>
      </c>
      <c r="S227" s="164" t="e">
        <f>IF(VLOOKUP(T_BilanSocial[[#This Row],[NumL]],T_suiviDi[#Data],COLUMN(T_suiviDi[[#This Row],[Service ]]),FALSE)="","",VLOOKUP(T_BilanSocial[[#This Row],[NumL]],T_suiviDi[#Data],COLUMN(T_suiviDi[[#This Row],[Service ]]),FALSE))</f>
        <v>#VALUE!</v>
      </c>
      <c r="T227" s="164" t="str">
        <f t="shared" si="36"/>
        <v>01 septembre 2021</v>
      </c>
      <c r="U227" s="164" t="str">
        <f t="shared" si="37"/>
        <v>30 novembre 2021</v>
      </c>
      <c r="V227" s="256">
        <f>Datebilan</f>
        <v>44530</v>
      </c>
      <c r="W227" s="176" t="e">
        <f>IF(VLOOKUP(T_BilanSocial[[#This Row],[NumL]],T_TraitDi[#Data],COLUMN(T_TraitDi[[#This Row],[M1]]),FALSE)="","",VLOOKUP(T_BilanSocial[[#This Row],[NumL]],T_TraitDi[#Data],COLUMN(T_TraitDi[[#This Row],[M1]]),FALSE))</f>
        <v>#VALUE!</v>
      </c>
      <c r="X227" s="176" t="e">
        <f>IF(VLOOKUP(T_BilanSocial[[#This Row],[NumL]],T_TraitDi[#Data],COLUMN(T_TraitDi[[#This Row],[M2]]),FALSE)="","",VLOOKUP(T_BilanSocial[[#This Row],[NumL]],T_TraitDi[#Data],COLUMN(T_TraitDi[[#This Row],[M2]]),FALSE))</f>
        <v>#VALUE!</v>
      </c>
      <c r="Y227" s="176" t="e">
        <f>IF(VLOOKUP(T_BilanSocial[[#This Row],[NumL]],T_TraitDi[#Data],COLUMN(T_TraitDi[[#This Row],[M3]]),FALSE)="","",VLOOKUP(T_BilanSocial[[#This Row],[NumL]],T_TraitDi[#Data],COLUMN(T_TraitDi[[#This Row],[M3]]),FALSE))</f>
        <v>#VALUE!</v>
      </c>
      <c r="Z227" s="176" t="str">
        <f t="shared" si="39"/>
        <v/>
      </c>
      <c r="AA227" s="176" t="e">
        <f>IF(VLOOKUP(T_BilanSocial[[#This Row],[NumL]],T_TraitDi[#Data],COLUMN(T_TraitDi[[#This Row],[M5]]),FALSE)="","",VLOOKUP(T_BilanSocial[[#This Row],[NumL]],T_TraitDi[#Data],COLUMN(T_TraitDi[[#This Row],[M5]]),FALSE))</f>
        <v>#VALUE!</v>
      </c>
      <c r="AB227" s="176" t="e">
        <f>IF(VLOOKUP(T_BilanSocial[[#This Row],[NumL]],T_TraitDi[#Data],COLUMN(T_TraitDi[[#This Row],[M6]]),FALSE)="","",VLOOKUP(T_BilanSocial[[#This Row],[NumL]],T_TraitDi[#Data],COLUMN(T_TraitDi[[#This Row],[M6]]),FALSE))</f>
        <v>#VALUE!</v>
      </c>
      <c r="AC227" s="165" t="e">
        <f t="shared" si="38"/>
        <v>#VALUE!</v>
      </c>
      <c r="AD227" s="188" t="str">
        <f>IFERROR(TEXT(VLOOKUP(T_BilanSocial[[#This Row],[NumL]],T_TraitDi[#Data],COLUMN(T_TraitDi[[#This Row],[Q2]]),FALSE),"###%"),"")</f>
        <v/>
      </c>
      <c r="AE227" s="97" t="e">
        <f>VLOOKUP(T_BilanSocial[[#This Row],[NumL]],T_TraitDi[#Data],COLUMN(T_TraitDi[[#This Row],[Reg Ponct]]),FALSE)</f>
        <v>#VALUE!</v>
      </c>
      <c r="AF227" s="97" t="e">
        <f>VLOOKUP(T_BilanSocial[NumL],T_TraitDi[#Data],COLUMN(T_TraitDi[[#This Row],[Jours flottants]]),FALSE)</f>
        <v>#VALUE!</v>
      </c>
      <c r="AG227" s="97" t="str">
        <f>IFERROR(VLOOKUP(T_BilanSocial[[#This Row],[NumL]],T_TraitDi[#Data],COLUMN(T_TraitDi[[#This Row],[Lundi]]),FALSE),"")</f>
        <v/>
      </c>
      <c r="AH227" s="172" t="e">
        <f>IF(VLOOKUP(T_BilanSocial[[#This Row],[NumL]],T_TraitDi[#Data],COLUMN(T_TraitDi[[#This Row],[Colonne3]]),FALSE)=0,"",TEXT(IFERROR(VLOOKUP(T_BilanSocial[[#This Row],[NumL]],T_TraitDi[#Data],COLUMN(T_TraitDi[[#This Row],[Colonne3]]),FALSE),""),"[hh]:mm"))</f>
        <v>#VALUE!</v>
      </c>
      <c r="AI227" s="172" t="e">
        <f>IF(VLOOKUP(T_BilanSocial[[#This Row],[NumL]],T_TraitDi[#Data],COLUMN(T_TraitDi[[#This Row],[Colonne4]]),FALSE)=0,"",TEXT(IFERROR(VLOOKUP(T_BilanSocial[[#This Row],[NumL]],T_TraitDi[#Data],COLUMN(T_TraitDi[[#This Row],[Colonne4]]),FALSE),""),"[hh]:mm"))</f>
        <v>#VALUE!</v>
      </c>
      <c r="AJ227" s="172" t="e">
        <f>IF(VLOOKUP(T_BilanSocial[[#This Row],[NumL]],T_TraitDi[#Data],COLUMN(T_TraitDi[[#This Row],[Colonne5]]),FALSE)=0,"",TEXT(IFERROR(VLOOKUP(T_BilanSocial[[#This Row],[NumL]],T_TraitDi[#Data],COLUMN(T_TraitDi[[#This Row],[Colonne5]]),FALSE),""),"[hh]:mm"))</f>
        <v>#VALUE!</v>
      </c>
      <c r="AK227" s="172" t="e">
        <f>IF(VLOOKUP(T_BilanSocial[[#This Row],[NumL]],T_TraitDi[#Data],COLUMN(T_TraitDi[[#This Row],[Colonne6]]),FALSE)=0,"",TEXT(IFERROR(VLOOKUP(T_BilanSocial[[#This Row],[NumL]],T_TraitDi[#Data],COLUMN(T_TraitDi[[#This Row],[Colonne6]]),FALSE),""),"[hh]:mm"))</f>
        <v>#VALUE!</v>
      </c>
      <c r="AL227" s="172" t="e">
        <f>IF(VLOOKUP(T_BilanSocial[[#This Row],[NumL]],T_TraitDi[#Data],COLUMN(T_TraitDi[[#This Row],[Colonne7]]),FALSE)=0,"",TEXT(IFERROR(VLOOKUP(T_BilanSocial[[#This Row],[NumL]],T_TraitDi[#Data],COLUMN(T_TraitDi[[#This Row],[Colonne7]]),FALSE),""),"[hh]:mm"))</f>
        <v>#VALUE!</v>
      </c>
      <c r="AM227" s="172" t="e">
        <f>IF(VLOOKUP(T_BilanSocial[[#This Row],[NumL]],T_TraitDi[#Data],COLUMN(T_TraitDi[[#This Row],[Colonne8]]),FALSE)=0,"",TEXT(IFERROR(VLOOKUP(T_BilanSocial[[#This Row],[NumL]],T_TraitDi[#Data],COLUMN(T_TraitDi[[#This Row],[Colonne8]]),FALSE),""),"[hh]:mm"))</f>
        <v>#VALUE!</v>
      </c>
      <c r="AN227" s="172" t="str">
        <f>IFERROR(VLOOKUP(T_BilanSocial[[#This Row],[NumL]],T_TraitDi[#Data],COLUMN(T_TraitDi[[#This Row],[Mardi]]),FALSE),"")</f>
        <v/>
      </c>
      <c r="AO227" s="172" t="e">
        <f>IF(VLOOKUP(T_BilanSocial[[#This Row],[NumL]],T_TraitDi[#Data],COLUMN(T_TraitDi[[#This Row],[Colonne1]]),FALSE)=0,"",TEXT(IFERROR(VLOOKUP(T_BilanSocial[[#This Row],[NumL]],T_TraitDi[#Data],COLUMN(T_TraitDi[[#This Row],[Colonne1]]),FALSE),""),"[hh]:mm"))</f>
        <v>#VALUE!</v>
      </c>
      <c r="AP227" s="172" t="e">
        <f>IF(VLOOKUP(T_BilanSocial[[#This Row],[NumL]],T_TraitDi[#Data],COLUMN(T_TraitDi[[#This Row],[Colonne9]]),FALSE)=0,"",TEXT(IFERROR(VLOOKUP(T_BilanSocial[[#This Row],[NumL]],T_TraitDi[#Data],COLUMN(T_TraitDi[[#This Row],[Colonne9]]),FALSE),""),"[hh]:mm"))</f>
        <v>#VALUE!</v>
      </c>
      <c r="AQ227" s="172" t="str">
        <f>IFERROR(VLOOKUP(T_BilanSocial[[#This Row],[NumL]],T_TraitDi[#Data],COLUMN(T_TraitDi[[#This Row],[Colonne10]]),FALSE),"")</f>
        <v/>
      </c>
      <c r="AR227" s="172" t="e">
        <f>IF(VLOOKUP(T_BilanSocial[[#This Row],[NumL]],T_TraitDi[#Data],COLUMN(T_TraitDi[[#This Row],[Colonne11]]),FALSE)=0,"",TEXT(IFERROR(VLOOKUP(T_BilanSocial[[#This Row],[NumL]],T_TraitDi[#Data],COLUMN(T_TraitDi[[#This Row],[Colonne11]]),FALSE),""),"[hh]:mm"))</f>
        <v>#VALUE!</v>
      </c>
      <c r="AS227" s="172" t="e">
        <f>IF(VLOOKUP(T_BilanSocial[[#This Row],[NumL]],T_TraitDi[#Data],COLUMN(T_TraitDi[[#This Row],[Colonne12]]),FALSE)=0,"",TEXT(IFERROR(VLOOKUP(T_BilanSocial[[#This Row],[NumL]],T_TraitDi[#Data],COLUMN(T_TraitDi[[#This Row],[Colonne12]]),FALSE),""),"[hh]:mm"))</f>
        <v>#VALUE!</v>
      </c>
      <c r="AT227" s="172" t="e">
        <f>IF(VLOOKUP(T_BilanSocial[[#This Row],[NumL]],T_TraitDi[#Data],COLUMN(T_TraitDi[[#This Row],[Colonne14]]),FALSE)=0,"",TEXT(IFERROR(VLOOKUP(T_BilanSocial[[#This Row],[NumL]],T_TraitDi[#Data],COLUMN(T_TraitDi[[#This Row],[Colonne14]]),FALSE),""),"[hh]:mm"))</f>
        <v>#VALUE!</v>
      </c>
      <c r="AU227" s="172" t="str">
        <f>IFERROR(VLOOKUP(T_BilanSocial[[#This Row],[NumL]],T_TraitDi[#Data],COLUMN(T_TraitDi[[#This Row],[Mercredi]]),FALSE),"")</f>
        <v/>
      </c>
      <c r="AV227" s="172" t="e">
        <f>IF(VLOOKUP(T_BilanSocial[[#This Row],[NumL]],T_TraitDi[#Data],COLUMN(T_TraitDi[[#This Row],[Colonne15]]),FALSE)=0,"",TEXT(IFERROR(VLOOKUP(T_BilanSocial[[#This Row],[NumL]],T_TraitDi[#Data],COLUMN(T_TraitDi[[#This Row],[Colonne15]]),FALSE),""),"[hh]:mm"))</f>
        <v>#VALUE!</v>
      </c>
      <c r="AW227" s="172" t="e">
        <f>IF(VLOOKUP(T_BilanSocial[[#This Row],[NumL]],T_TraitDi[#Data],COLUMN(T_TraitDi[[#This Row],[Colonne16]]),FALSE)=0,"",TEXT(IFERROR(VLOOKUP(T_BilanSocial[[#This Row],[NumL]],T_TraitDi[#Data],COLUMN(T_TraitDi[[#This Row],[Colonne16]]),FALSE),""),"[hh]:mm"))</f>
        <v>#VALUE!</v>
      </c>
      <c r="AX227" s="172" t="str">
        <f>IFERROR(VLOOKUP(T_BilanSocial[[#This Row],[NumL]],T_TraitDi[#Data],COLUMN(T_TraitDi[[#This Row],[Colonne17]]),FALSE),"")</f>
        <v/>
      </c>
      <c r="AY227" s="172" t="e">
        <f>IF(VLOOKUP(T_BilanSocial[[#This Row],[NumL]],T_TraitDi[#Data],COLUMN(T_TraitDi[[#This Row],[Colonne18]]),FALSE)=0,"",TEXT(IFERROR(VLOOKUP(T_BilanSocial[[#This Row],[NumL]],T_TraitDi[#Data],COLUMN(T_TraitDi[[#This Row],[Colonne18]]),FALSE),""),"[hh]:mm"))</f>
        <v>#VALUE!</v>
      </c>
      <c r="AZ227" s="172" t="e">
        <f>IF(VLOOKUP(T_BilanSocial[[#This Row],[NumL]],T_TraitDi[#Data],COLUMN(T_TraitDi[[#This Row],[Colonne19]]),FALSE)=0,"",TEXT(IFERROR(VLOOKUP(T_BilanSocial[[#This Row],[NumL]],T_TraitDi[#Data],COLUMN(T_TraitDi[[#This Row],[Colonne19]]),FALSE),""),"[hh]:mm"))</f>
        <v>#VALUE!</v>
      </c>
      <c r="BA227" s="172" t="e">
        <f>IF(VLOOKUP(T_BilanSocial[[#This Row],[NumL]],T_TraitDi[#Data],COLUMN(T_TraitDi[[#This Row],[Colonne20]]),FALSE)=0,"",TEXT(IFERROR(VLOOKUP(T_BilanSocial[[#This Row],[NumL]],T_TraitDi[#Data],COLUMN(T_TraitDi[[#This Row],[Colonne20]]),FALSE),""),"[hh]:mm"))</f>
        <v>#VALUE!</v>
      </c>
      <c r="BB227" s="178" t="str">
        <f>IFERROR(VLOOKUP(T_BilanSocial[[#This Row],[NumL]],T_TraitDi[#Data],COLUMN(T_TraitDi[[#This Row],[Jeudi]]),FALSE),"")</f>
        <v/>
      </c>
      <c r="BC227" s="178" t="e">
        <f>IF(VLOOKUP(T_BilanSocial[[#This Row],[NumL]],T_TraitDi[#Data],COLUMN(T_TraitDi[[#This Row],[Colonne21]]),FALSE)=0,"",TEXT(IFERROR(VLOOKUP(T_BilanSocial[[#This Row],[NumL]],T_TraitDi[#Data],COLUMN(T_TraitDi[[#This Row],[Colonne21]]),FALSE),""),"[hh]:mm"))</f>
        <v>#VALUE!</v>
      </c>
      <c r="BD227" s="178" t="e">
        <f>IF(VLOOKUP(T_BilanSocial[[#This Row],[NumL]],T_TraitDi[#Data],COLUMN(T_TraitDi[[#This Row],[Colonne22]]),FALSE)=0,"",TEXT(IFERROR(VLOOKUP(T_BilanSocial[[#This Row],[NumL]],T_TraitDi[#Data],COLUMN(T_TraitDi[[#This Row],[Colonne22]]),FALSE),""),"[hh]:mm"))</f>
        <v>#VALUE!</v>
      </c>
      <c r="BE227" s="178" t="str">
        <f>IFERROR(VLOOKUP(T_BilanSocial[[#This Row],[NumL]],T_TraitDi[#Data],COLUMN(T_TraitDi[[#This Row],[Colonne23]]),FALSE),"")</f>
        <v/>
      </c>
      <c r="BF227" s="178" t="e">
        <f>IF(VLOOKUP(T_BilanSocial[[#This Row],[NumL]],T_TraitDi[#Data],COLUMN(T_TraitDi[[#This Row],[Colonne24]]),FALSE)=0,"",TEXT(IFERROR(VLOOKUP(T_BilanSocial[[#This Row],[NumL]],T_TraitDi[#Data],COLUMN(T_TraitDi[[#This Row],[Colonne24]]),FALSE),""),"[hh]:mm"))</f>
        <v>#VALUE!</v>
      </c>
      <c r="BG227" s="178" t="e">
        <f>IF(VLOOKUP(T_BilanSocial[[#This Row],[NumL]],T_TraitDi[#Data],COLUMN(T_TraitDi[[#This Row],[Colonne25]]),FALSE)=0,"",TEXT(IFERROR(VLOOKUP(T_BilanSocial[[#This Row],[NumL]],T_TraitDi[#Data],COLUMN(T_TraitDi[[#This Row],[Colonne25]]),FALSE),""),"[hh]:mm"))</f>
        <v>#VALUE!</v>
      </c>
      <c r="BH227" s="178" t="e">
        <f>IF(VLOOKUP(T_BilanSocial[[#This Row],[NumL]],T_TraitDi[#Data],COLUMN(T_TraitDi[[#This Row],[Colonne26]]),FALSE)=0,"",TEXT(IFERROR(VLOOKUP(T_BilanSocial[[#This Row],[NumL]],T_TraitDi[#Data],COLUMN(T_TraitDi[[#This Row],[Colonne26]]),FALSE),""),"[hh]:mm"))</f>
        <v>#VALUE!</v>
      </c>
      <c r="BI227" s="172" t="str">
        <f>IFERROR(VLOOKUP(T_BilanSocial[[#This Row],[NumL]],T_TraitDi[#Data],COLUMN(T_TraitDi[[#This Row],[Vendredi]]),FALSE),"")</f>
        <v/>
      </c>
      <c r="BJ227" s="172" t="e">
        <f>IF(VLOOKUP(T_BilanSocial[[#This Row],[NumL]],T_TraitDi[#Data],COLUMN(T_TraitDi[[#This Row],[Colonne27]]),FALSE)=0,"",TEXT(IFERROR(VLOOKUP(T_BilanSocial[[#This Row],[NumL]],T_TraitDi[#Data],COLUMN(T_TraitDi[[#This Row],[Colonne27]]),FALSE),""),"[hh]:mm"))</f>
        <v>#VALUE!</v>
      </c>
      <c r="BK227" s="172" t="e">
        <f>IF(VLOOKUP(T_BilanSocial[[#This Row],[NumL]],T_TraitDi[#Data],COLUMN(T_TraitDi[[#This Row],[Colonne28]]),FALSE)=0,"",TEXT(IFERROR(VLOOKUP(T_BilanSocial[[#This Row],[NumL]],T_TraitDi[#Data],COLUMN(T_TraitDi[[#This Row],[Colonne28]]),FALSE),""),"[hh]:mm"))</f>
        <v>#VALUE!</v>
      </c>
      <c r="BL227" s="172" t="str">
        <f>IFERROR(VLOOKUP(T_BilanSocial[[#This Row],[NumL]],T_TraitDi[#Data],COLUMN(T_TraitDi[[#This Row],[Colonne29]]),FALSE),"")</f>
        <v/>
      </c>
      <c r="BM227" s="172" t="e">
        <f>IF(VLOOKUP(T_BilanSocial[[#This Row],[NumL]],T_TraitDi[#Data],COLUMN(T_TraitDi[[#This Row],[Colonne30]]),FALSE)=0,"",TEXT(IFERROR(VLOOKUP(T_BilanSocial[[#This Row],[NumL]],T_TraitDi[#Data],COLUMN(T_TraitDi[[#This Row],[Colonne30]]),FALSE),""),"[hh]:mm"))</f>
        <v>#VALUE!</v>
      </c>
      <c r="BN227" s="172" t="e">
        <f>IF(VLOOKUP(T_BilanSocial[[#This Row],[NumL]],T_TraitDi[#Data],COLUMN(T_TraitDi[[#This Row],[Colonne31]]),FALSE)=0,"",TEXT(IFERROR(VLOOKUP(T_BilanSocial[[#This Row],[NumL]],T_TraitDi[#Data],COLUMN(T_TraitDi[[#This Row],[Colonne31]]),FALSE),""),"[hh]:mm"))</f>
        <v>#VALUE!</v>
      </c>
      <c r="BO227" s="172" t="e">
        <f>IF(VLOOKUP(T_BilanSocial[[#This Row],[NumL]],T_TraitDi[#Data],COLUMN(T_TraitDi[[#This Row],[Colonne32]]),FALSE)=0,"",TEXT(IFERROR(VLOOKUP(T_BilanSocial[[#This Row],[NumL]],T_TraitDi[#Data],COLUMN(T_TraitDi[[#This Row],[Colonne32]]),FALSE),""),"[hh]:mm"))</f>
        <v>#VALUE!</v>
      </c>
      <c r="BP227" s="172" t="e">
        <f>VLOOKUP(T_BilanSocial[[#This Row],[NumL]],T_TraitDi[#Data],COLUMN(T_TraitDi[NbJTot]),FALSE)</f>
        <v>#N/A</v>
      </c>
      <c r="BQ227" s="174" t="str">
        <f>IFERROR(VLOOKUP(T_BilanSocial[[#This Row],[NumL]],T_TraitDi[#Data],COLUMN(T_TraitDi[[#This Row],[NbJTW]]),FALSE),"")</f>
        <v/>
      </c>
      <c r="BR227" s="174" t="e">
        <f>IF(VLOOKUP(T_BilanSocial[[#This Row],[NumL]],T_TraitDi[#Data],COLUMN(T_TraitDi[[#This Row],[NbhTW]]),FALSE)=0,"",TEXT(IFERROR(VLOOKUP(T_BilanSocial[[#This Row],[NumL]],T_TraitDi[#Data],COLUMN(T_TraitDi[[#This Row],[NbhTW]]),FALSE),""),"[hh]:mm"))</f>
        <v>#VALUE!</v>
      </c>
      <c r="BS227" s="174" t="e">
        <f>IF(VLOOKUP(T_BilanSocial[[#This Row],[NumL]],T_TraitDi[#Data],COLUMN(T_TraitDi[[#This Row],[Nbhheb]]),FALSE)=0,"",TEXT(IFERROR(VLOOKUP($A227,T_TraitDi[#Data],COLUMN(T_TraitDi[[#This Row],[Nbhheb]]),FALSE),""),"[hh]:mm"))</f>
        <v>#VALUE!</v>
      </c>
      <c r="BT227" s="182" t="str">
        <f>IFERROR(VLOOKUP(VLOOKUP($A227,T_TraitDi[#Data],COLUMN(T_TraitDi[[#This Row],[Type1]]),FALSE),TypeTW,2,FALSE),"")</f>
        <v/>
      </c>
      <c r="BU227" s="182" t="str">
        <f>IFERROR(VLOOKUP($A227,T_TraitDi[#Data],COLUMN(T_TraitDi[[#This Row],[Rue1]]),FALSE),"")</f>
        <v/>
      </c>
      <c r="BV227" s="173" t="str">
        <f>IFERROR(VLOOKUP($A227,T_TraitDi[#Data],COLUMN(T_TraitDi[[#This Row],[CP1]]),FALSE),"")</f>
        <v/>
      </c>
      <c r="BW227" s="173" t="str">
        <f>IFERROR(VLOOKUP($A227,T_TraitDi[#Data],COLUMN(T_TraitDi[[#This Row],[VILLE1]]),FALSE),"")</f>
        <v/>
      </c>
      <c r="BX227" s="182" t="str">
        <f>IFERROR(VLOOKUP(VLOOKUP($A227,T_TraitDi[#Data],COLUMN(T_TraitDi[[#This Row],[Type2]]),FALSE),TypeTW,2,FALSE),"")</f>
        <v/>
      </c>
      <c r="BY227" s="182" t="str">
        <f>IFERROR(VLOOKUP($A227,T_TraitDi[#Data],COLUMN(T_TraitDi[[#This Row],[Rue2]]),FALSE),"")</f>
        <v/>
      </c>
      <c r="BZ227" s="173" t="str">
        <f>IFERROR(VLOOKUP($A227,T_TraitDi[#Data],COLUMN(T_TraitDi[[#This Row],[CP2]]),FALSE),"")</f>
        <v/>
      </c>
      <c r="CA227" s="173" t="str">
        <f>IFERROR(VLOOKUP($A227,T_TraitDi[#Data],COLUMN(T_TraitDi[[#This Row],[VILLE2]]),FALSE),"")</f>
        <v/>
      </c>
      <c r="CB227" s="182" t="str">
        <f>IF(VLOOKUP(T_BilanSocial[[#This Row],[NumL]],T_Equipement[#Data],COLUMN(T_Equipement[[#This Row],[PC]]),FALSE)="","Aucun équipement spécifique directement lié au télétravail",VLOOKUP(T_BilanSocial[[#This Row],[NumL]],T_Equipement[#Data],COLUMN(T_Equipement[[#This Row],[PC]]),FALSE))</f>
        <v xml:space="preserve">20-373	</v>
      </c>
      <c r="CC227" s="166" t="str">
        <f>IFERROR(IF(VLOOKUP(T_BilanSocial[[#This Row],[NumL]],T_TraitDi[#Data],COLUMN(T_TraitDi[[#This Row],[Plan]]),FALSE)="OK","Un planning spécifique de télétravail est annexé à la présente convention.",""),"")</f>
        <v/>
      </c>
      <c r="CD227" s="185"/>
      <c r="CE227" s="164" t="e">
        <f>IF(VLOOKUP(T_BilanSocial[[#This Row],[NumL]],T_suiviDi[#Data],COLUMN(T_suiviDi[[#This Row],[Entité]]),FALSE)="","",VLOOKUP(T_BilanSocial[[#This Row],[NumL]],T_suiviDi[#Data],COLUMN(T_suiviDi[[#This Row],[Entité]]),FALSE))</f>
        <v>#VALUE!</v>
      </c>
      <c r="CF227" s="164" t="str">
        <f>IF(VLOOKUP(T_BilanSocial[[#This Row],[NumL]],T_Commission[#Data],COLUMN(T_Commission[[#This Row],[envoi confirm TW]]),FALSE)="","",VLOOKUP(T_BilanSocial[[#This Row],[NumL]],T_Commission[#Data],COLUMN(T_Commission[[#This Row],[envoi confirm TW]]),FALSE))</f>
        <v>Oui</v>
      </c>
      <c r="CG22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7" s="262" t="str">
        <f>T_BilanSocial[[#This Row],[Nom]]&amp;T_BilanSocial[[#This Row],[Prenom]]</f>
        <v/>
      </c>
      <c r="CI227" s="262">
        <f>VLOOKUP(T_BilanSocial[[#This Row],[NumL]],T_Commission[#Data],COLUMN(T_Commission[Commentaire]),FALSE)</f>
        <v>0</v>
      </c>
      <c r="CJ227" s="262" t="str">
        <f>IF(VLOOKUP(T_BilanSocial[[#This Row],[NumL]],T_Commission[#Data],COLUMN(T_Commission[Encadrant Email]),FALSE)="","",VLOOKUP(T_BilanSocial[[#This Row],[NumL]],T_Commission[#Data],COLUMN(T_Commission[Encadrant Email]),FALSE))</f>
        <v/>
      </c>
      <c r="CK227" s="340" t="str">
        <f>IF(T_BilanSocial[[#This Row],[Final]]&lt;&gt;"",VLOOKUP(T_BilanSocial[[#This Row],[NumL]],T_suiviDi[#Data],COLUMN((T_suiviDi[Statut])),FALSE),"")</f>
        <v/>
      </c>
    </row>
    <row r="228" spans="1:89" s="106" customFormat="1" ht="24.75" customHeight="1" x14ac:dyDescent="0.25">
      <c r="A228" s="160">
        <v>225</v>
      </c>
      <c r="B228" s="161" t="str">
        <f t="shared" si="34"/>
        <v/>
      </c>
      <c r="C228" s="162" t="s">
        <v>173</v>
      </c>
      <c r="D228" s="95" t="e">
        <f>IF(VLOOKUP(T_BilanSocial[[#This Row],[NumL]],T_TraitDi[#Data],COLUMN(T_TraitDi[[#This Row],[WebC]]),FALSE)="","",VLOOKUP(T_BilanSocial[[#This Row],[NumL]],T_TraitDi[#Data],COLUMN(T_TraitDi[[#This Row],[WebC]]),FALSE))</f>
        <v>#VALUE!</v>
      </c>
      <c r="E228" s="163" t="str">
        <f t="shared" si="35"/>
        <v>12 janvier 2021</v>
      </c>
      <c r="F228" s="96" t="str">
        <f>IF(T_BilanSocial[[#This Row],[Final]]&lt;&gt;"",VLOOKUP(T_BilanSocial[[#This Row],[NumL]],T_suiviDi[#Data],COLUMN((T_suiviDi[Civ.])),FALSE),"")</f>
        <v/>
      </c>
      <c r="G228" s="96" t="str">
        <f>IF(T_BilanSocial[[#This Row],[Final]]&lt;&gt;"",VLOOKUP(T_BilanSocial[[#This Row],[NumL]],T_suiviDi[#Data],COLUMN((T_suiviDi[Nom])),FALSE),"")</f>
        <v/>
      </c>
      <c r="H228" s="96" t="str">
        <f>IF(T_BilanSocial[[#This Row],[Final]]&lt;&gt;"",VLOOKUP(T_BilanSocial[[#This Row],[NumL]],T_suiviDi[#Data],COLUMN((T_suiviDi[Prénom])),FALSE),"")</f>
        <v/>
      </c>
      <c r="I228" s="96" t="str">
        <f>IFERROR(VLOOKUP(T_BilanSocial[[#This Row],[Zone_Bilan]],T_P_BilanSocial[#Data],COLUMN(T_P_BilanSocial[[#This Row],[Numero_SIHAM]]),FALSE),"")</f>
        <v/>
      </c>
      <c r="J228" s="96" t="str">
        <f>IFERROR(VLOOKUP(T_BilanSocial[[#This Row],[Zone_Bilan]],T_P_BilanSocial[#Data],COLUMN(T_P_BilanSocial[[#This Row],[Sexe]]),FALSE),"")</f>
        <v/>
      </c>
      <c r="K228" s="97" t="str">
        <f>IFERROR(VLOOKUP(T_BilanSocial[[#This Row],[Zone_Bilan]],T_P_BilanSocial[#Data],COLUMN(T_P_BilanSocial[[#This Row],[Categorie]]),FALSE),"")</f>
        <v/>
      </c>
      <c r="L228" s="96" t="str">
        <f>IFERROR(VLOOKUP(T_BilanSocial[[#This Row],[Zone_Bilan]],T_P_BilanSocial[#Data],COLUMN(T_P_BilanSocial[[#This Row],[Statut]]),FALSE),"")</f>
        <v/>
      </c>
      <c r="M228" s="96" t="str">
        <f>IFERROR(VLOOKUP(T_BilanSocial[[#This Row],[Zone_Bilan]],T_P_BilanSocial[#Data],COLUMN(T_P_BilanSocial[[#This Row],[Filiere]]),FALSE),"")</f>
        <v/>
      </c>
      <c r="N228" s="96" t="e">
        <f>VLOOKUP(T_BilanSocial[[#This Row],[NumL]],T_TraitDi[#Data],COLUMN(T_TraitDi[EXP]),FALSE)</f>
        <v>#N/A</v>
      </c>
      <c r="O228" s="96" t="e">
        <f>VLOOKUP(T_BilanSocial[[#This Row],[NumL]],T_TraitDi[#Data],COLUMN(T_TraitDi[FORM]),FALSE)</f>
        <v>#N/A</v>
      </c>
      <c r="P228" s="96" t="str">
        <f>IF(T_BilanSocial[[#This Row],[Final]]&lt;&gt;"",VLOOKUP(T_BilanSocial[[#This Row],[NumL]],T_suiviDi[#Data],COLUMN((T_suiviDi[Email])),FALSE),"")</f>
        <v/>
      </c>
      <c r="Q228" s="164" t="e">
        <f t="shared" si="40"/>
        <v>#N/A</v>
      </c>
      <c r="R228" s="164" t="e">
        <f t="shared" si="41"/>
        <v>#N/A</v>
      </c>
      <c r="S228" s="164" t="e">
        <f>IF(VLOOKUP(T_BilanSocial[[#This Row],[NumL]],T_suiviDi[#Data],COLUMN(T_suiviDi[[#This Row],[Service ]]),FALSE)="","",VLOOKUP(T_BilanSocial[[#This Row],[NumL]],T_suiviDi[#Data],COLUMN(T_suiviDi[[#This Row],[Service ]]),FALSE))</f>
        <v>#VALUE!</v>
      </c>
      <c r="T228" s="164" t="str">
        <f t="shared" si="36"/>
        <v>01 septembre 2021</v>
      </c>
      <c r="U228" s="164" t="str">
        <f t="shared" si="37"/>
        <v>30 novembre 2021</v>
      </c>
      <c r="V228" s="164" t="str">
        <f>TEXT(Datebilan,"jj mmmm aaaa")</f>
        <v>30 novembre 2021</v>
      </c>
      <c r="W228" s="176" t="e">
        <f>IF(VLOOKUP(T_BilanSocial[[#This Row],[NumL]],T_TraitDi[#Data],COLUMN(T_TraitDi[[#This Row],[M1]]),FALSE)="","",VLOOKUP(T_BilanSocial[[#This Row],[NumL]],T_TraitDi[#Data],COLUMN(T_TraitDi[[#This Row],[M1]]),FALSE))</f>
        <v>#VALUE!</v>
      </c>
      <c r="X228" s="176" t="e">
        <f>IF(VLOOKUP(T_BilanSocial[[#This Row],[NumL]],T_TraitDi[#Data],COLUMN(T_TraitDi[[#This Row],[M2]]),FALSE)="","",VLOOKUP(T_BilanSocial[[#This Row],[NumL]],T_TraitDi[#Data],COLUMN(T_TraitDi[[#This Row],[M2]]),FALSE))</f>
        <v>#VALUE!</v>
      </c>
      <c r="Y228" s="176" t="e">
        <f>IF(VLOOKUP(T_BilanSocial[[#This Row],[NumL]],T_TraitDi[#Data],COLUMN(T_TraitDi[[#This Row],[M3]]),FALSE)="","",VLOOKUP(T_BilanSocial[[#This Row],[NumL]],T_TraitDi[#Data],COLUMN(T_TraitDi[[#This Row],[M3]]),FALSE))</f>
        <v>#VALUE!</v>
      </c>
      <c r="Z228" s="176" t="str">
        <f t="shared" si="39"/>
        <v/>
      </c>
      <c r="AA228" s="176" t="e">
        <f>IF(VLOOKUP(T_BilanSocial[[#This Row],[NumL]],T_TraitDi[#Data],COLUMN(T_TraitDi[[#This Row],[M5]]),FALSE)="","",VLOOKUP(T_BilanSocial[[#This Row],[NumL]],T_TraitDi[#Data],COLUMN(T_TraitDi[[#This Row],[M5]]),FALSE))</f>
        <v>#VALUE!</v>
      </c>
      <c r="AB228" s="176" t="e">
        <f>IF(VLOOKUP(T_BilanSocial[[#This Row],[NumL]],T_TraitDi[#Data],COLUMN(T_TraitDi[[#This Row],[M6]]),FALSE)="","",VLOOKUP(T_BilanSocial[[#This Row],[NumL]],T_TraitDi[#Data],COLUMN(T_TraitDi[[#This Row],[M6]]),FALSE))</f>
        <v>#VALUE!</v>
      </c>
      <c r="AC228" s="165" t="e">
        <f t="shared" si="38"/>
        <v>#VALUE!</v>
      </c>
      <c r="AD228" s="188" t="str">
        <f>IFERROR(TEXT(VLOOKUP(T_BilanSocial[[#This Row],[NumL]],T_TraitDi[#Data],COLUMN(T_TraitDi[[#This Row],[Q2]]),FALSE),"###%"),"")</f>
        <v/>
      </c>
      <c r="AE228" s="97" t="e">
        <f>VLOOKUP(T_BilanSocial[[#This Row],[NumL]],T_TraitDi[#Data],COLUMN(T_TraitDi[[#This Row],[Reg Ponct]]),FALSE)</f>
        <v>#VALUE!</v>
      </c>
      <c r="AF228" s="97" t="e">
        <f>VLOOKUP(T_BilanSocial[NumL],T_TraitDi[#Data],COLUMN(T_TraitDi[[#This Row],[Jours flottants]]),FALSE)</f>
        <v>#VALUE!</v>
      </c>
      <c r="AG228" s="97" t="str">
        <f>IFERROR(VLOOKUP(T_BilanSocial[[#This Row],[NumL]],T_TraitDi[#Data],COLUMN(T_TraitDi[[#This Row],[Lundi]]),FALSE),"")</f>
        <v/>
      </c>
      <c r="AH228" s="172" t="e">
        <f>IF(VLOOKUP(T_BilanSocial[[#This Row],[NumL]],T_TraitDi[#Data],COLUMN(T_TraitDi[[#This Row],[Colonne3]]),FALSE)=0,"",TEXT(IFERROR(VLOOKUP(T_BilanSocial[[#This Row],[NumL]],T_TraitDi[#Data],COLUMN(T_TraitDi[[#This Row],[Colonne3]]),FALSE),""),"[hh]:mm"))</f>
        <v>#VALUE!</v>
      </c>
      <c r="AI228" s="172" t="e">
        <f>IF(VLOOKUP(T_BilanSocial[[#This Row],[NumL]],T_TraitDi[#Data],COLUMN(T_TraitDi[[#This Row],[Colonne4]]),FALSE)=0,"",TEXT(IFERROR(VLOOKUP(T_BilanSocial[[#This Row],[NumL]],T_TraitDi[#Data],COLUMN(T_TraitDi[[#This Row],[Colonne4]]),FALSE),""),"[hh]:mm"))</f>
        <v>#VALUE!</v>
      </c>
      <c r="AJ228" s="172" t="e">
        <f>IF(VLOOKUP(T_BilanSocial[[#This Row],[NumL]],T_TraitDi[#Data],COLUMN(T_TraitDi[[#This Row],[Colonne5]]),FALSE)=0,"",TEXT(IFERROR(VLOOKUP(T_BilanSocial[[#This Row],[NumL]],T_TraitDi[#Data],COLUMN(T_TraitDi[[#This Row],[Colonne5]]),FALSE),""),"[hh]:mm"))</f>
        <v>#VALUE!</v>
      </c>
      <c r="AK228" s="172" t="e">
        <f>IF(VLOOKUP(T_BilanSocial[[#This Row],[NumL]],T_TraitDi[#Data],COLUMN(T_TraitDi[[#This Row],[Colonne6]]),FALSE)=0,"",TEXT(IFERROR(VLOOKUP(T_BilanSocial[[#This Row],[NumL]],T_TraitDi[#Data],COLUMN(T_TraitDi[[#This Row],[Colonne6]]),FALSE),""),"[hh]:mm"))</f>
        <v>#VALUE!</v>
      </c>
      <c r="AL228" s="172" t="e">
        <f>IF(VLOOKUP(T_BilanSocial[[#This Row],[NumL]],T_TraitDi[#Data],COLUMN(T_TraitDi[[#This Row],[Colonne7]]),FALSE)=0,"",TEXT(IFERROR(VLOOKUP(T_BilanSocial[[#This Row],[NumL]],T_TraitDi[#Data],COLUMN(T_TraitDi[[#This Row],[Colonne7]]),FALSE),""),"[hh]:mm"))</f>
        <v>#VALUE!</v>
      </c>
      <c r="AM228" s="172" t="e">
        <f>IF(VLOOKUP(T_BilanSocial[[#This Row],[NumL]],T_TraitDi[#Data],COLUMN(T_TraitDi[[#This Row],[Colonne8]]),FALSE)=0,"",TEXT(IFERROR(VLOOKUP(T_BilanSocial[[#This Row],[NumL]],T_TraitDi[#Data],COLUMN(T_TraitDi[[#This Row],[Colonne8]]),FALSE),""),"[hh]:mm"))</f>
        <v>#VALUE!</v>
      </c>
      <c r="AN228" s="172" t="str">
        <f>IFERROR(VLOOKUP(T_BilanSocial[[#This Row],[NumL]],T_TraitDi[#Data],COLUMN(T_TraitDi[[#This Row],[Mardi]]),FALSE),"")</f>
        <v/>
      </c>
      <c r="AO228" s="172" t="e">
        <f>IF(VLOOKUP(T_BilanSocial[[#This Row],[NumL]],T_TraitDi[#Data],COLUMN(T_TraitDi[[#This Row],[Colonne1]]),FALSE)=0,"",TEXT(IFERROR(VLOOKUP(T_BilanSocial[[#This Row],[NumL]],T_TraitDi[#Data],COLUMN(T_TraitDi[[#This Row],[Colonne1]]),FALSE),""),"[hh]:mm"))</f>
        <v>#VALUE!</v>
      </c>
      <c r="AP228" s="172" t="e">
        <f>IF(VLOOKUP(T_BilanSocial[[#This Row],[NumL]],T_TraitDi[#Data],COLUMN(T_TraitDi[[#This Row],[Colonne9]]),FALSE)=0,"",TEXT(IFERROR(VLOOKUP(T_BilanSocial[[#This Row],[NumL]],T_TraitDi[#Data],COLUMN(T_TraitDi[[#This Row],[Colonne9]]),FALSE),""),"[hh]:mm"))</f>
        <v>#VALUE!</v>
      </c>
      <c r="AQ228" s="172" t="str">
        <f>IFERROR(VLOOKUP(T_BilanSocial[[#This Row],[NumL]],T_TraitDi[#Data],COLUMN(T_TraitDi[[#This Row],[Colonne10]]),FALSE),"")</f>
        <v/>
      </c>
      <c r="AR228" s="172" t="e">
        <f>IF(VLOOKUP(T_BilanSocial[[#This Row],[NumL]],T_TraitDi[#Data],COLUMN(T_TraitDi[[#This Row],[Colonne11]]),FALSE)=0,"",TEXT(IFERROR(VLOOKUP(T_BilanSocial[[#This Row],[NumL]],T_TraitDi[#Data],COLUMN(T_TraitDi[[#This Row],[Colonne11]]),FALSE),""),"[hh]:mm"))</f>
        <v>#VALUE!</v>
      </c>
      <c r="AS228" s="172" t="e">
        <f>IF(VLOOKUP(T_BilanSocial[[#This Row],[NumL]],T_TraitDi[#Data],COLUMN(T_TraitDi[[#This Row],[Colonne12]]),FALSE)=0,"",TEXT(IFERROR(VLOOKUP(T_BilanSocial[[#This Row],[NumL]],T_TraitDi[#Data],COLUMN(T_TraitDi[[#This Row],[Colonne12]]),FALSE),""),"[hh]:mm"))</f>
        <v>#VALUE!</v>
      </c>
      <c r="AT228" s="172" t="e">
        <f>IF(VLOOKUP(T_BilanSocial[[#This Row],[NumL]],T_TraitDi[#Data],COLUMN(T_TraitDi[[#This Row],[Colonne14]]),FALSE)=0,"",TEXT(IFERROR(VLOOKUP(T_BilanSocial[[#This Row],[NumL]],T_TraitDi[#Data],COLUMN(T_TraitDi[[#This Row],[Colonne14]]),FALSE),""),"[hh]:mm"))</f>
        <v>#VALUE!</v>
      </c>
      <c r="AU228" s="172" t="str">
        <f>IFERROR(VLOOKUP(T_BilanSocial[[#This Row],[NumL]],T_TraitDi[#Data],COLUMN(T_TraitDi[[#This Row],[Mercredi]]),FALSE),"")</f>
        <v/>
      </c>
      <c r="AV228" s="172" t="e">
        <f>IF(VLOOKUP(T_BilanSocial[[#This Row],[NumL]],T_TraitDi[#Data],COLUMN(T_TraitDi[[#This Row],[Colonne15]]),FALSE)=0,"",TEXT(IFERROR(VLOOKUP(T_BilanSocial[[#This Row],[NumL]],T_TraitDi[#Data],COLUMN(T_TraitDi[[#This Row],[Colonne15]]),FALSE),""),"[hh]:mm"))</f>
        <v>#VALUE!</v>
      </c>
      <c r="AW228" s="172" t="e">
        <f>IF(VLOOKUP(T_BilanSocial[[#This Row],[NumL]],T_TraitDi[#Data],COLUMN(T_TraitDi[[#This Row],[Colonne16]]),FALSE)=0,"",TEXT(IFERROR(VLOOKUP(T_BilanSocial[[#This Row],[NumL]],T_TraitDi[#Data],COLUMN(T_TraitDi[[#This Row],[Colonne16]]),FALSE),""),"[hh]:mm"))</f>
        <v>#VALUE!</v>
      </c>
      <c r="AX228" s="172" t="str">
        <f>IFERROR(VLOOKUP(T_BilanSocial[[#This Row],[NumL]],T_TraitDi[#Data],COLUMN(T_TraitDi[[#This Row],[Colonne17]]),FALSE),"")</f>
        <v/>
      </c>
      <c r="AY228" s="172" t="e">
        <f>IF(VLOOKUP(T_BilanSocial[[#This Row],[NumL]],T_TraitDi[#Data],COLUMN(T_TraitDi[[#This Row],[Colonne18]]),FALSE)=0,"",TEXT(IFERROR(VLOOKUP(T_BilanSocial[[#This Row],[NumL]],T_TraitDi[#Data],COLUMN(T_TraitDi[[#This Row],[Colonne18]]),FALSE),""),"[hh]:mm"))</f>
        <v>#VALUE!</v>
      </c>
      <c r="AZ228" s="172" t="e">
        <f>IF(VLOOKUP(T_BilanSocial[[#This Row],[NumL]],T_TraitDi[#Data],COLUMN(T_TraitDi[[#This Row],[Colonne19]]),FALSE)=0,"",TEXT(IFERROR(VLOOKUP(T_BilanSocial[[#This Row],[NumL]],T_TraitDi[#Data],COLUMN(T_TraitDi[[#This Row],[Colonne19]]),FALSE),""),"[hh]:mm"))</f>
        <v>#VALUE!</v>
      </c>
      <c r="BA228" s="172" t="e">
        <f>IF(VLOOKUP(T_BilanSocial[[#This Row],[NumL]],T_TraitDi[#Data],COLUMN(T_TraitDi[[#This Row],[Colonne20]]),FALSE)=0,"",TEXT(IFERROR(VLOOKUP(T_BilanSocial[[#This Row],[NumL]],T_TraitDi[#Data],COLUMN(T_TraitDi[[#This Row],[Colonne20]]),FALSE),""),"[hh]:mm"))</f>
        <v>#VALUE!</v>
      </c>
      <c r="BB228" s="178" t="str">
        <f>IFERROR(VLOOKUP(T_BilanSocial[[#This Row],[NumL]],T_TraitDi[#Data],COLUMN(T_TraitDi[[#This Row],[Jeudi]]),FALSE),"")</f>
        <v/>
      </c>
      <c r="BC228" s="178" t="e">
        <f>IF(VLOOKUP(T_BilanSocial[[#This Row],[NumL]],T_TraitDi[#Data],COLUMN(T_TraitDi[[#This Row],[Colonne21]]),FALSE)=0,"",TEXT(IFERROR(VLOOKUP(T_BilanSocial[[#This Row],[NumL]],T_TraitDi[#Data],COLUMN(T_TraitDi[[#This Row],[Colonne21]]),FALSE),""),"[hh]:mm"))</f>
        <v>#VALUE!</v>
      </c>
      <c r="BD228" s="178" t="e">
        <f>IF(VLOOKUP(T_BilanSocial[[#This Row],[NumL]],T_TraitDi[#Data],COLUMN(T_TraitDi[[#This Row],[Colonne22]]),FALSE)=0,"",TEXT(IFERROR(VLOOKUP(T_BilanSocial[[#This Row],[NumL]],T_TraitDi[#Data],COLUMN(T_TraitDi[[#This Row],[Colonne22]]),FALSE),""),"[hh]:mm"))</f>
        <v>#VALUE!</v>
      </c>
      <c r="BE228" s="178" t="str">
        <f>IFERROR(VLOOKUP(T_BilanSocial[[#This Row],[NumL]],T_TraitDi[#Data],COLUMN(T_TraitDi[[#This Row],[Colonne23]]),FALSE),"")</f>
        <v/>
      </c>
      <c r="BF228" s="178" t="e">
        <f>IF(VLOOKUP(T_BilanSocial[[#This Row],[NumL]],T_TraitDi[#Data],COLUMN(T_TraitDi[[#This Row],[Colonne24]]),FALSE)=0,"",TEXT(IFERROR(VLOOKUP(T_BilanSocial[[#This Row],[NumL]],T_TraitDi[#Data],COLUMN(T_TraitDi[[#This Row],[Colonne24]]),FALSE),""),"[hh]:mm"))</f>
        <v>#VALUE!</v>
      </c>
      <c r="BG228" s="178" t="e">
        <f>IF(VLOOKUP(T_BilanSocial[[#This Row],[NumL]],T_TraitDi[#Data],COLUMN(T_TraitDi[[#This Row],[Colonne25]]),FALSE)=0,"",TEXT(IFERROR(VLOOKUP(T_BilanSocial[[#This Row],[NumL]],T_TraitDi[#Data],COLUMN(T_TraitDi[[#This Row],[Colonne25]]),FALSE),""),"[hh]:mm"))</f>
        <v>#VALUE!</v>
      </c>
      <c r="BH228" s="178" t="e">
        <f>IF(VLOOKUP(T_BilanSocial[[#This Row],[NumL]],T_TraitDi[#Data],COLUMN(T_TraitDi[[#This Row],[Colonne26]]),FALSE)=0,"",TEXT(IFERROR(VLOOKUP(T_BilanSocial[[#This Row],[NumL]],T_TraitDi[#Data],COLUMN(T_TraitDi[[#This Row],[Colonne26]]),FALSE),""),"[hh]:mm"))</f>
        <v>#VALUE!</v>
      </c>
      <c r="BI228" s="172" t="str">
        <f>IFERROR(VLOOKUP(T_BilanSocial[[#This Row],[NumL]],T_TraitDi[#Data],COLUMN(T_TraitDi[[#This Row],[Vendredi]]),FALSE),"")</f>
        <v/>
      </c>
      <c r="BJ228" s="172" t="e">
        <f>IF(VLOOKUP(T_BilanSocial[[#This Row],[NumL]],T_TraitDi[#Data],COLUMN(T_TraitDi[[#This Row],[Colonne27]]),FALSE)=0,"",TEXT(IFERROR(VLOOKUP(T_BilanSocial[[#This Row],[NumL]],T_TraitDi[#Data],COLUMN(T_TraitDi[[#This Row],[Colonne27]]),FALSE),""),"[hh]:mm"))</f>
        <v>#VALUE!</v>
      </c>
      <c r="BK228" s="172" t="e">
        <f>IF(VLOOKUP(T_BilanSocial[[#This Row],[NumL]],T_TraitDi[#Data],COLUMN(T_TraitDi[[#This Row],[Colonne28]]),FALSE)=0,"",TEXT(IFERROR(VLOOKUP(T_BilanSocial[[#This Row],[NumL]],T_TraitDi[#Data],COLUMN(T_TraitDi[[#This Row],[Colonne28]]),FALSE),""),"[hh]:mm"))</f>
        <v>#VALUE!</v>
      </c>
      <c r="BL228" s="172" t="str">
        <f>IFERROR(VLOOKUP(T_BilanSocial[[#This Row],[NumL]],T_TraitDi[#Data],COLUMN(T_TraitDi[[#This Row],[Colonne29]]),FALSE),"")</f>
        <v/>
      </c>
      <c r="BM228" s="172" t="e">
        <f>IF(VLOOKUP(T_BilanSocial[[#This Row],[NumL]],T_TraitDi[#Data],COLUMN(T_TraitDi[[#This Row],[Colonne30]]),FALSE)=0,"",TEXT(IFERROR(VLOOKUP(T_BilanSocial[[#This Row],[NumL]],T_TraitDi[#Data],COLUMN(T_TraitDi[[#This Row],[Colonne30]]),FALSE),""),"[hh]:mm"))</f>
        <v>#VALUE!</v>
      </c>
      <c r="BN228" s="172" t="e">
        <f>IF(VLOOKUP(T_BilanSocial[[#This Row],[NumL]],T_TraitDi[#Data],COLUMN(T_TraitDi[[#This Row],[Colonne31]]),FALSE)=0,"",TEXT(IFERROR(VLOOKUP(T_BilanSocial[[#This Row],[NumL]],T_TraitDi[#Data],COLUMN(T_TraitDi[[#This Row],[Colonne31]]),FALSE),""),"[hh]:mm"))</f>
        <v>#VALUE!</v>
      </c>
      <c r="BO228" s="172" t="e">
        <f>IF(VLOOKUP(T_BilanSocial[[#This Row],[NumL]],T_TraitDi[#Data],COLUMN(T_TraitDi[[#This Row],[Colonne32]]),FALSE)=0,"",TEXT(IFERROR(VLOOKUP(T_BilanSocial[[#This Row],[NumL]],T_TraitDi[#Data],COLUMN(T_TraitDi[[#This Row],[Colonne32]]),FALSE),""),"[hh]:mm"))</f>
        <v>#VALUE!</v>
      </c>
      <c r="BP228" s="172" t="e">
        <f>VLOOKUP(T_BilanSocial[[#This Row],[NumL]],T_TraitDi[#Data],COLUMN(T_TraitDi[NbJTot]),FALSE)</f>
        <v>#N/A</v>
      </c>
      <c r="BQ228" s="174" t="str">
        <f>IFERROR(VLOOKUP(T_BilanSocial[[#This Row],[NumL]],T_TraitDi[#Data],COLUMN(T_TraitDi[[#This Row],[NbJTW]]),FALSE),"")</f>
        <v/>
      </c>
      <c r="BR228" s="174" t="e">
        <f>IF(VLOOKUP(T_BilanSocial[[#This Row],[NumL]],T_TraitDi[#Data],COLUMN(T_TraitDi[[#This Row],[NbhTW]]),FALSE)=0,"",TEXT(IFERROR(VLOOKUP(T_BilanSocial[[#This Row],[NumL]],T_TraitDi[#Data],COLUMN(T_TraitDi[[#This Row],[NbhTW]]),FALSE),""),"[hh]:mm"))</f>
        <v>#VALUE!</v>
      </c>
      <c r="BS228" s="174" t="e">
        <f>IF(VLOOKUP(T_BilanSocial[[#This Row],[NumL]],T_TraitDi[#Data],COLUMN(T_TraitDi[[#This Row],[Nbhheb]]),FALSE)=0,"",TEXT(IFERROR(VLOOKUP($A228,T_TraitDi[#Data],COLUMN(T_TraitDi[[#This Row],[Nbhheb]]),FALSE),""),"[hh]:mm"))</f>
        <v>#VALUE!</v>
      </c>
      <c r="BT228" s="182" t="str">
        <f>IFERROR(VLOOKUP(VLOOKUP($A228,T_TraitDi[#Data],COLUMN(T_TraitDi[[#This Row],[Type1]]),FALSE),TypeTW,2,FALSE),"")</f>
        <v/>
      </c>
      <c r="BU228" s="182" t="str">
        <f>IFERROR(VLOOKUP($A228,T_TraitDi[#Data],COLUMN(T_TraitDi[[#This Row],[Rue1]]),FALSE),"")</f>
        <v/>
      </c>
      <c r="BV228" s="173" t="str">
        <f>IFERROR(VLOOKUP($A228,T_TraitDi[#Data],COLUMN(T_TraitDi[[#This Row],[CP1]]),FALSE),"")</f>
        <v/>
      </c>
      <c r="BW228" s="173" t="str">
        <f>IFERROR(VLOOKUP($A228,T_TraitDi[#Data],COLUMN(T_TraitDi[[#This Row],[VILLE1]]),FALSE),"")</f>
        <v/>
      </c>
      <c r="BX228" s="182" t="str">
        <f>IFERROR(VLOOKUP(VLOOKUP($A228,T_TraitDi[#Data],COLUMN(T_TraitDi[[#This Row],[Type2]]),FALSE),TypeTW,2,FALSE),"")</f>
        <v/>
      </c>
      <c r="BY228" s="182" t="str">
        <f>IFERROR(VLOOKUP($A228,T_TraitDi[#Data],COLUMN(T_TraitDi[[#This Row],[Rue2]]),FALSE),"")</f>
        <v/>
      </c>
      <c r="BZ228" s="173" t="str">
        <f>IFERROR(VLOOKUP($A228,T_TraitDi[#Data],COLUMN(T_TraitDi[[#This Row],[CP2]]),FALSE),"")</f>
        <v/>
      </c>
      <c r="CA228" s="173" t="str">
        <f>IFERROR(VLOOKUP($A228,T_TraitDi[#Data],COLUMN(T_TraitDi[[#This Row],[VILLE2]]),FALSE),"")</f>
        <v/>
      </c>
      <c r="CB228" s="182" t="str">
        <f>IF(VLOOKUP(T_BilanSocial[[#This Row],[NumL]],T_Equipement[#Data],COLUMN(T_Equipement[[#This Row],[PC]]),FALSE)="","Aucun équipement spécifique directement lié au télétravail",VLOOKUP(T_BilanSocial[[#This Row],[NumL]],T_Equipement[#Data],COLUMN(T_Equipement[[#This Row],[PC]]),FALSE))</f>
        <v xml:space="preserve">20-421	</v>
      </c>
      <c r="CC228" s="166" t="str">
        <f>IFERROR(IF(VLOOKUP(T_BilanSocial[[#This Row],[NumL]],T_TraitDi[#Data],COLUMN(T_TraitDi[[#This Row],[Plan]]),FALSE)="OK","Un planning spécifique de télétravail est annexé à la présente convention.",""),"")</f>
        <v/>
      </c>
      <c r="CD228" s="258" t="s">
        <v>3428</v>
      </c>
      <c r="CE228" s="164" t="e">
        <f>IF(VLOOKUP(T_BilanSocial[[#This Row],[NumL]],T_suiviDi[#Data],COLUMN(T_suiviDi[[#This Row],[Entité]]),FALSE)="","",VLOOKUP(T_BilanSocial[[#This Row],[NumL]],T_suiviDi[#Data],COLUMN(T_suiviDi[[#This Row],[Entité]]),FALSE))</f>
        <v>#VALUE!</v>
      </c>
      <c r="CF228" s="164" t="str">
        <f>IF(VLOOKUP(T_BilanSocial[[#This Row],[NumL]],T_Commission[#Data],COLUMN(T_Commission[[#This Row],[envoi confirm TW]]),FALSE)="","",VLOOKUP(T_BilanSocial[[#This Row],[NumL]],T_Commission[#Data],COLUMN(T_Commission[[#This Row],[envoi confirm TW]]),FALSE))</f>
        <v>Oui</v>
      </c>
      <c r="CG22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8" s="262" t="str">
        <f>T_BilanSocial[[#This Row],[Nom]]&amp;T_BilanSocial[[#This Row],[Prenom]]</f>
        <v/>
      </c>
      <c r="CI228" s="262">
        <f>VLOOKUP(T_BilanSocial[[#This Row],[NumL]],T_Commission[#Data],COLUMN(T_Commission[Commentaire]),FALSE)</f>
        <v>0</v>
      </c>
      <c r="CJ228" s="262" t="str">
        <f>IF(VLOOKUP(T_BilanSocial[[#This Row],[NumL]],T_Commission[#Data],COLUMN(T_Commission[Encadrant Email]),FALSE)="","",VLOOKUP(T_BilanSocial[[#This Row],[NumL]],T_Commission[#Data],COLUMN(T_Commission[Encadrant Email]),FALSE))</f>
        <v/>
      </c>
      <c r="CK228" s="340" t="str">
        <f>IF(T_BilanSocial[[#This Row],[Final]]&lt;&gt;"",VLOOKUP(T_BilanSocial[[#This Row],[NumL]],T_suiviDi[#Data],COLUMN((T_suiviDi[Statut])),FALSE),"")</f>
        <v/>
      </c>
    </row>
    <row r="229" spans="1:89" s="106" customFormat="1" ht="24.75" customHeight="1" x14ac:dyDescent="0.25">
      <c r="A229" s="160">
        <v>226</v>
      </c>
      <c r="B229" s="161" t="e">
        <f t="shared" si="34"/>
        <v>#N/A</v>
      </c>
      <c r="C229" s="162" t="s">
        <v>139</v>
      </c>
      <c r="D229" s="95" t="e">
        <f>IF(VLOOKUP(T_BilanSocial[[#This Row],[NumL]],T_TraitDi[#Data],COLUMN(T_TraitDi[[#This Row],[WebC]]),FALSE)="","",VLOOKUP(T_BilanSocial[[#This Row],[NumL]],T_TraitDi[#Data],COLUMN(T_TraitDi[[#This Row],[WebC]]),FALSE))</f>
        <v>#VALUE!</v>
      </c>
      <c r="E229" s="163" t="str">
        <f t="shared" si="35"/>
        <v>12 janvier 2021</v>
      </c>
      <c r="F229" s="96" t="e">
        <f>IF(T_BilanSocial[[#This Row],[Final]]&lt;&gt;"",VLOOKUP(T_BilanSocial[[#This Row],[NumL]],T_suiviDi[#Data],COLUMN((T_suiviDi[Civ.])),FALSE),"")</f>
        <v>#N/A</v>
      </c>
      <c r="G229" s="96" t="e">
        <f>IF(T_BilanSocial[[#This Row],[Final]]&lt;&gt;"",VLOOKUP(T_BilanSocial[[#This Row],[NumL]],T_suiviDi[#Data],COLUMN((T_suiviDi[Nom])),FALSE),"")</f>
        <v>#N/A</v>
      </c>
      <c r="H229" s="96" t="e">
        <f>IF(T_BilanSocial[[#This Row],[Final]]&lt;&gt;"",VLOOKUP(T_BilanSocial[[#This Row],[NumL]],T_suiviDi[#Data],COLUMN((T_suiviDi[Prénom])),FALSE),"")</f>
        <v>#N/A</v>
      </c>
      <c r="I229" s="96" t="str">
        <f>IFERROR(VLOOKUP(T_BilanSocial[[#This Row],[Zone_Bilan]],T_P_BilanSocial[#Data],COLUMN(T_P_BilanSocial[[#This Row],[Numero_SIHAM]]),FALSE),"")</f>
        <v/>
      </c>
      <c r="J229" s="96" t="str">
        <f>IFERROR(VLOOKUP(T_BilanSocial[[#This Row],[Zone_Bilan]],T_P_BilanSocial[#Data],COLUMN(T_P_BilanSocial[[#This Row],[Sexe]]),FALSE),"")</f>
        <v/>
      </c>
      <c r="K229" s="97" t="str">
        <f>IFERROR(VLOOKUP(T_BilanSocial[[#This Row],[Zone_Bilan]],T_P_BilanSocial[#Data],COLUMN(T_P_BilanSocial[[#This Row],[Categorie]]),FALSE),"")</f>
        <v/>
      </c>
      <c r="L229" s="96" t="str">
        <f>IFERROR(VLOOKUP(T_BilanSocial[[#This Row],[Zone_Bilan]],T_P_BilanSocial[#Data],COLUMN(T_P_BilanSocial[[#This Row],[Statut]]),FALSE),"")</f>
        <v/>
      </c>
      <c r="M229" s="96" t="str">
        <f>IFERROR(VLOOKUP(T_BilanSocial[[#This Row],[Zone_Bilan]],T_P_BilanSocial[#Data],COLUMN(T_P_BilanSocial[[#This Row],[Filiere]]),FALSE),"")</f>
        <v/>
      </c>
      <c r="N229" s="96" t="e">
        <f>VLOOKUP(T_BilanSocial[[#This Row],[NumL]],T_TraitDi[#Data],COLUMN(T_TraitDi[EXP]),FALSE)</f>
        <v>#N/A</v>
      </c>
      <c r="O229" s="96" t="e">
        <f>VLOOKUP(T_BilanSocial[[#This Row],[NumL]],T_TraitDi[#Data],COLUMN(T_TraitDi[FORM]),FALSE)</f>
        <v>#N/A</v>
      </c>
      <c r="P229" s="96" t="e">
        <f>IF(T_BilanSocial[[#This Row],[Final]]&lt;&gt;"",VLOOKUP(T_BilanSocial[[#This Row],[NumL]],T_suiviDi[#Data],COLUMN((T_suiviDi[Email])),FALSE),"")</f>
        <v>#N/A</v>
      </c>
      <c r="Q229" s="164" t="e">
        <f t="shared" si="40"/>
        <v>#N/A</v>
      </c>
      <c r="R229" s="164" t="e">
        <f t="shared" si="41"/>
        <v>#N/A</v>
      </c>
      <c r="S229" s="164" t="e">
        <f>IF(VLOOKUP(T_BilanSocial[[#This Row],[NumL]],T_suiviDi[#Data],COLUMN(T_suiviDi[[#This Row],[Service ]]),FALSE)="","",VLOOKUP(T_BilanSocial[[#This Row],[NumL]],T_suiviDi[#Data],COLUMN(T_suiviDi[[#This Row],[Service ]]),FALSE))</f>
        <v>#VALUE!</v>
      </c>
      <c r="T229" s="164" t="str">
        <f t="shared" si="36"/>
        <v>01 septembre 2021</v>
      </c>
      <c r="U229" s="164" t="str">
        <f t="shared" si="37"/>
        <v>30 novembre 2021</v>
      </c>
      <c r="V229" s="192">
        <f>Datebilan</f>
        <v>44530</v>
      </c>
      <c r="W229" s="176" t="e">
        <f>IF(VLOOKUP(T_BilanSocial[[#This Row],[NumL]],T_TraitDi[#Data],COLUMN(T_TraitDi[[#This Row],[M1]]),FALSE)="","",VLOOKUP(T_BilanSocial[[#This Row],[NumL]],T_TraitDi[#Data],COLUMN(T_TraitDi[[#This Row],[M1]]),FALSE))</f>
        <v>#VALUE!</v>
      </c>
      <c r="X229" s="176" t="e">
        <f>IF(VLOOKUP(T_BilanSocial[[#This Row],[NumL]],T_TraitDi[#Data],COLUMN(T_TraitDi[[#This Row],[M2]]),FALSE)="","",VLOOKUP(T_BilanSocial[[#This Row],[NumL]],T_TraitDi[#Data],COLUMN(T_TraitDi[[#This Row],[M2]]),FALSE))</f>
        <v>#VALUE!</v>
      </c>
      <c r="Y229" s="176" t="e">
        <f>IF(VLOOKUP(T_BilanSocial[[#This Row],[NumL]],T_TraitDi[#Data],COLUMN(T_TraitDi[[#This Row],[M3]]),FALSE)="","",VLOOKUP(T_BilanSocial[[#This Row],[NumL]],T_TraitDi[#Data],COLUMN(T_TraitDi[[#This Row],[M3]]),FALSE))</f>
        <v>#VALUE!</v>
      </c>
      <c r="Z229" s="176" t="str">
        <f t="shared" si="39"/>
        <v/>
      </c>
      <c r="AA229" s="176" t="e">
        <f>IF(VLOOKUP(T_BilanSocial[[#This Row],[NumL]],T_TraitDi[#Data],COLUMN(T_TraitDi[[#This Row],[M5]]),FALSE)="","",VLOOKUP(T_BilanSocial[[#This Row],[NumL]],T_TraitDi[#Data],COLUMN(T_TraitDi[[#This Row],[M5]]),FALSE))</f>
        <v>#VALUE!</v>
      </c>
      <c r="AB229" s="176" t="e">
        <f>IF(VLOOKUP(T_BilanSocial[[#This Row],[NumL]],T_TraitDi[#Data],COLUMN(T_TraitDi[[#This Row],[M6]]),FALSE)="","",VLOOKUP(T_BilanSocial[[#This Row],[NumL]],T_TraitDi[#Data],COLUMN(T_TraitDi[[#This Row],[M6]]),FALSE))</f>
        <v>#VALUE!</v>
      </c>
      <c r="AC229" s="165" t="e">
        <f t="shared" si="38"/>
        <v>#VALUE!</v>
      </c>
      <c r="AD229" s="188" t="str">
        <f>IFERROR(TEXT(VLOOKUP(T_BilanSocial[[#This Row],[NumL]],T_TraitDi[#Data],COLUMN(T_TraitDi[[#This Row],[Q2]]),FALSE),"###%"),"")</f>
        <v/>
      </c>
      <c r="AE229" s="97" t="e">
        <f>VLOOKUP(T_BilanSocial[[#This Row],[NumL]],T_TraitDi[#Data],COLUMN(T_TraitDi[[#This Row],[Reg Ponct]]),FALSE)</f>
        <v>#VALUE!</v>
      </c>
      <c r="AF229" s="97" t="e">
        <f>VLOOKUP(T_BilanSocial[NumL],T_TraitDi[#Data],COLUMN(T_TraitDi[[#This Row],[Jours flottants]]),FALSE)</f>
        <v>#VALUE!</v>
      </c>
      <c r="AG229" s="97" t="str">
        <f>IFERROR(VLOOKUP(T_BilanSocial[[#This Row],[NumL]],T_TraitDi[#Data],COLUMN(T_TraitDi[[#This Row],[Lundi]]),FALSE),"")</f>
        <v/>
      </c>
      <c r="AH229" s="172" t="e">
        <f>IF(VLOOKUP(T_BilanSocial[[#This Row],[NumL]],T_TraitDi[#Data],COLUMN(T_TraitDi[[#This Row],[Colonne3]]),FALSE)=0,"",TEXT(IFERROR(VLOOKUP(T_BilanSocial[[#This Row],[NumL]],T_TraitDi[#Data],COLUMN(T_TraitDi[[#This Row],[Colonne3]]),FALSE),""),"[hh]:mm"))</f>
        <v>#VALUE!</v>
      </c>
      <c r="AI229" s="172" t="e">
        <f>IF(VLOOKUP(T_BilanSocial[[#This Row],[NumL]],T_TraitDi[#Data],COLUMN(T_TraitDi[[#This Row],[Colonne4]]),FALSE)=0,"",TEXT(IFERROR(VLOOKUP(T_BilanSocial[[#This Row],[NumL]],T_TraitDi[#Data],COLUMN(T_TraitDi[[#This Row],[Colonne4]]),FALSE),""),"[hh]:mm"))</f>
        <v>#VALUE!</v>
      </c>
      <c r="AJ229" s="172" t="e">
        <f>IF(VLOOKUP(T_BilanSocial[[#This Row],[NumL]],T_TraitDi[#Data],COLUMN(T_TraitDi[[#This Row],[Colonne5]]),FALSE)=0,"",TEXT(IFERROR(VLOOKUP(T_BilanSocial[[#This Row],[NumL]],T_TraitDi[#Data],COLUMN(T_TraitDi[[#This Row],[Colonne5]]),FALSE),""),"[hh]:mm"))</f>
        <v>#VALUE!</v>
      </c>
      <c r="AK229" s="172" t="e">
        <f>IF(VLOOKUP(T_BilanSocial[[#This Row],[NumL]],T_TraitDi[#Data],COLUMN(T_TraitDi[[#This Row],[Colonne6]]),FALSE)=0,"",TEXT(IFERROR(VLOOKUP(T_BilanSocial[[#This Row],[NumL]],T_TraitDi[#Data],COLUMN(T_TraitDi[[#This Row],[Colonne6]]),FALSE),""),"[hh]:mm"))</f>
        <v>#VALUE!</v>
      </c>
      <c r="AL229" s="172" t="e">
        <f>IF(VLOOKUP(T_BilanSocial[[#This Row],[NumL]],T_TraitDi[#Data],COLUMN(T_TraitDi[[#This Row],[Colonne7]]),FALSE)=0,"",TEXT(IFERROR(VLOOKUP(T_BilanSocial[[#This Row],[NumL]],T_TraitDi[#Data],COLUMN(T_TraitDi[[#This Row],[Colonne7]]),FALSE),""),"[hh]:mm"))</f>
        <v>#VALUE!</v>
      </c>
      <c r="AM229" s="172" t="e">
        <f>IF(VLOOKUP(T_BilanSocial[[#This Row],[NumL]],T_TraitDi[#Data],COLUMN(T_TraitDi[[#This Row],[Colonne8]]),FALSE)=0,"",TEXT(IFERROR(VLOOKUP(T_BilanSocial[[#This Row],[NumL]],T_TraitDi[#Data],COLUMN(T_TraitDi[[#This Row],[Colonne8]]),FALSE),""),"[hh]:mm"))</f>
        <v>#VALUE!</v>
      </c>
      <c r="AN229" s="172" t="str">
        <f>IFERROR(VLOOKUP(T_BilanSocial[[#This Row],[NumL]],T_TraitDi[#Data],COLUMN(T_TraitDi[[#This Row],[Mardi]]),FALSE),"")</f>
        <v/>
      </c>
      <c r="AO229" s="172" t="e">
        <f>IF(VLOOKUP(T_BilanSocial[[#This Row],[NumL]],T_TraitDi[#Data],COLUMN(T_TraitDi[[#This Row],[Colonne1]]),FALSE)=0,"",TEXT(IFERROR(VLOOKUP(T_BilanSocial[[#This Row],[NumL]],T_TraitDi[#Data],COLUMN(T_TraitDi[[#This Row],[Colonne1]]),FALSE),""),"[hh]:mm"))</f>
        <v>#VALUE!</v>
      </c>
      <c r="AP229" s="172" t="e">
        <f>IF(VLOOKUP(T_BilanSocial[[#This Row],[NumL]],T_TraitDi[#Data],COLUMN(T_TraitDi[[#This Row],[Colonne9]]),FALSE)=0,"",TEXT(IFERROR(VLOOKUP(T_BilanSocial[[#This Row],[NumL]],T_TraitDi[#Data],COLUMN(T_TraitDi[[#This Row],[Colonne9]]),FALSE),""),"[hh]:mm"))</f>
        <v>#VALUE!</v>
      </c>
      <c r="AQ229" s="172" t="str">
        <f>IFERROR(VLOOKUP(T_BilanSocial[[#This Row],[NumL]],T_TraitDi[#Data],COLUMN(T_TraitDi[[#This Row],[Colonne10]]),FALSE),"")</f>
        <v/>
      </c>
      <c r="AR229" s="172" t="e">
        <f>IF(VLOOKUP(T_BilanSocial[[#This Row],[NumL]],T_TraitDi[#Data],COLUMN(T_TraitDi[[#This Row],[Colonne11]]),FALSE)=0,"",TEXT(IFERROR(VLOOKUP(T_BilanSocial[[#This Row],[NumL]],T_TraitDi[#Data],COLUMN(T_TraitDi[[#This Row],[Colonne11]]),FALSE),""),"[hh]:mm"))</f>
        <v>#VALUE!</v>
      </c>
      <c r="AS229" s="172" t="e">
        <f>IF(VLOOKUP(T_BilanSocial[[#This Row],[NumL]],T_TraitDi[#Data],COLUMN(T_TraitDi[[#This Row],[Colonne12]]),FALSE)=0,"",TEXT(IFERROR(VLOOKUP(T_BilanSocial[[#This Row],[NumL]],T_TraitDi[#Data],COLUMN(T_TraitDi[[#This Row],[Colonne12]]),FALSE),""),"[hh]:mm"))</f>
        <v>#VALUE!</v>
      </c>
      <c r="AT229" s="172" t="e">
        <f>IF(VLOOKUP(T_BilanSocial[[#This Row],[NumL]],T_TraitDi[#Data],COLUMN(T_TraitDi[[#This Row],[Colonne14]]),FALSE)=0,"",TEXT(IFERROR(VLOOKUP(T_BilanSocial[[#This Row],[NumL]],T_TraitDi[#Data],COLUMN(T_TraitDi[[#This Row],[Colonne14]]),FALSE),""),"[hh]:mm"))</f>
        <v>#VALUE!</v>
      </c>
      <c r="AU229" s="172" t="str">
        <f>IFERROR(VLOOKUP(T_BilanSocial[[#This Row],[NumL]],T_TraitDi[#Data],COLUMN(T_TraitDi[[#This Row],[Mercredi]]),FALSE),"")</f>
        <v/>
      </c>
      <c r="AV229" s="172" t="e">
        <f>IF(VLOOKUP(T_BilanSocial[[#This Row],[NumL]],T_TraitDi[#Data],COLUMN(T_TraitDi[[#This Row],[Colonne15]]),FALSE)=0,"",TEXT(IFERROR(VLOOKUP(T_BilanSocial[[#This Row],[NumL]],T_TraitDi[#Data],COLUMN(T_TraitDi[[#This Row],[Colonne15]]),FALSE),""),"[hh]:mm"))</f>
        <v>#VALUE!</v>
      </c>
      <c r="AW229" s="172" t="e">
        <f>IF(VLOOKUP(T_BilanSocial[[#This Row],[NumL]],T_TraitDi[#Data],COLUMN(T_TraitDi[[#This Row],[Colonne16]]),FALSE)=0,"",TEXT(IFERROR(VLOOKUP(T_BilanSocial[[#This Row],[NumL]],T_TraitDi[#Data],COLUMN(T_TraitDi[[#This Row],[Colonne16]]),FALSE),""),"[hh]:mm"))</f>
        <v>#VALUE!</v>
      </c>
      <c r="AX229" s="172" t="str">
        <f>IFERROR(VLOOKUP(T_BilanSocial[[#This Row],[NumL]],T_TraitDi[#Data],COLUMN(T_TraitDi[[#This Row],[Colonne17]]),FALSE),"")</f>
        <v/>
      </c>
      <c r="AY229" s="172" t="e">
        <f>IF(VLOOKUP(T_BilanSocial[[#This Row],[NumL]],T_TraitDi[#Data],COLUMN(T_TraitDi[[#This Row],[Colonne18]]),FALSE)=0,"",TEXT(IFERROR(VLOOKUP(T_BilanSocial[[#This Row],[NumL]],T_TraitDi[#Data],COLUMN(T_TraitDi[[#This Row],[Colonne18]]),FALSE),""),"[hh]:mm"))</f>
        <v>#VALUE!</v>
      </c>
      <c r="AZ229" s="172" t="e">
        <f>IF(VLOOKUP(T_BilanSocial[[#This Row],[NumL]],T_TraitDi[#Data],COLUMN(T_TraitDi[[#This Row],[Colonne19]]),FALSE)=0,"",TEXT(IFERROR(VLOOKUP(T_BilanSocial[[#This Row],[NumL]],T_TraitDi[#Data],COLUMN(T_TraitDi[[#This Row],[Colonne19]]),FALSE),""),"[hh]:mm"))</f>
        <v>#VALUE!</v>
      </c>
      <c r="BA229" s="172" t="e">
        <f>IF(VLOOKUP(T_BilanSocial[[#This Row],[NumL]],T_TraitDi[#Data],COLUMN(T_TraitDi[[#This Row],[Colonne20]]),FALSE)=0,"",TEXT(IFERROR(VLOOKUP(T_BilanSocial[[#This Row],[NumL]],T_TraitDi[#Data],COLUMN(T_TraitDi[[#This Row],[Colonne20]]),FALSE),""),"[hh]:mm"))</f>
        <v>#VALUE!</v>
      </c>
      <c r="BB229" s="178" t="str">
        <f>IFERROR(VLOOKUP(T_BilanSocial[[#This Row],[NumL]],T_TraitDi[#Data],COLUMN(T_TraitDi[[#This Row],[Jeudi]]),FALSE),"")</f>
        <v/>
      </c>
      <c r="BC229" s="178" t="e">
        <f>IF(VLOOKUP(T_BilanSocial[[#This Row],[NumL]],T_TraitDi[#Data],COLUMN(T_TraitDi[[#This Row],[Colonne21]]),FALSE)=0,"",TEXT(IFERROR(VLOOKUP(T_BilanSocial[[#This Row],[NumL]],T_TraitDi[#Data],COLUMN(T_TraitDi[[#This Row],[Colonne21]]),FALSE),""),"[hh]:mm"))</f>
        <v>#VALUE!</v>
      </c>
      <c r="BD229" s="178" t="e">
        <f>IF(VLOOKUP(T_BilanSocial[[#This Row],[NumL]],T_TraitDi[#Data],COLUMN(T_TraitDi[[#This Row],[Colonne22]]),FALSE)=0,"",TEXT(IFERROR(VLOOKUP(T_BilanSocial[[#This Row],[NumL]],T_TraitDi[#Data],COLUMN(T_TraitDi[[#This Row],[Colonne22]]),FALSE),""),"[hh]:mm"))</f>
        <v>#VALUE!</v>
      </c>
      <c r="BE229" s="178" t="str">
        <f>IFERROR(VLOOKUP(T_BilanSocial[[#This Row],[NumL]],T_TraitDi[#Data],COLUMN(T_TraitDi[[#This Row],[Colonne23]]),FALSE),"")</f>
        <v/>
      </c>
      <c r="BF229" s="178" t="e">
        <f>IF(VLOOKUP(T_BilanSocial[[#This Row],[NumL]],T_TraitDi[#Data],COLUMN(T_TraitDi[[#This Row],[Colonne24]]),FALSE)=0,"",TEXT(IFERROR(VLOOKUP(T_BilanSocial[[#This Row],[NumL]],T_TraitDi[#Data],COLUMN(T_TraitDi[[#This Row],[Colonne24]]),FALSE),""),"[hh]:mm"))</f>
        <v>#VALUE!</v>
      </c>
      <c r="BG229" s="178" t="e">
        <f>IF(VLOOKUP(T_BilanSocial[[#This Row],[NumL]],T_TraitDi[#Data],COLUMN(T_TraitDi[[#This Row],[Colonne25]]),FALSE)=0,"",TEXT(IFERROR(VLOOKUP(T_BilanSocial[[#This Row],[NumL]],T_TraitDi[#Data],COLUMN(T_TraitDi[[#This Row],[Colonne25]]),FALSE),""),"[hh]:mm"))</f>
        <v>#VALUE!</v>
      </c>
      <c r="BH229" s="178" t="e">
        <f>IF(VLOOKUP(T_BilanSocial[[#This Row],[NumL]],T_TraitDi[#Data],COLUMN(T_TraitDi[[#This Row],[Colonne26]]),FALSE)=0,"",TEXT(IFERROR(VLOOKUP(T_BilanSocial[[#This Row],[NumL]],T_TraitDi[#Data],COLUMN(T_TraitDi[[#This Row],[Colonne26]]),FALSE),""),"[hh]:mm"))</f>
        <v>#VALUE!</v>
      </c>
      <c r="BI229" s="172" t="str">
        <f>IFERROR(VLOOKUP(T_BilanSocial[[#This Row],[NumL]],T_TraitDi[#Data],COLUMN(T_TraitDi[[#This Row],[Vendredi]]),FALSE),"")</f>
        <v/>
      </c>
      <c r="BJ229" s="172" t="e">
        <f>IF(VLOOKUP(T_BilanSocial[[#This Row],[NumL]],T_TraitDi[#Data],COLUMN(T_TraitDi[[#This Row],[Colonne27]]),FALSE)=0,"",TEXT(IFERROR(VLOOKUP(T_BilanSocial[[#This Row],[NumL]],T_TraitDi[#Data],COLUMN(T_TraitDi[[#This Row],[Colonne27]]),FALSE),""),"[hh]:mm"))</f>
        <v>#VALUE!</v>
      </c>
      <c r="BK229" s="172" t="e">
        <f>IF(VLOOKUP(T_BilanSocial[[#This Row],[NumL]],T_TraitDi[#Data],COLUMN(T_TraitDi[[#This Row],[Colonne28]]),FALSE)=0,"",TEXT(IFERROR(VLOOKUP(T_BilanSocial[[#This Row],[NumL]],T_TraitDi[#Data],COLUMN(T_TraitDi[[#This Row],[Colonne28]]),FALSE),""),"[hh]:mm"))</f>
        <v>#VALUE!</v>
      </c>
      <c r="BL229" s="172" t="str">
        <f>IFERROR(VLOOKUP(T_BilanSocial[[#This Row],[NumL]],T_TraitDi[#Data],COLUMN(T_TraitDi[[#This Row],[Colonne29]]),FALSE),"")</f>
        <v/>
      </c>
      <c r="BM229" s="172" t="e">
        <f>IF(VLOOKUP(T_BilanSocial[[#This Row],[NumL]],T_TraitDi[#Data],COLUMN(T_TraitDi[[#This Row],[Colonne30]]),FALSE)=0,"",TEXT(IFERROR(VLOOKUP(T_BilanSocial[[#This Row],[NumL]],T_TraitDi[#Data],COLUMN(T_TraitDi[[#This Row],[Colonne30]]),FALSE),""),"[hh]:mm"))</f>
        <v>#VALUE!</v>
      </c>
      <c r="BN229" s="172" t="e">
        <f>IF(VLOOKUP(T_BilanSocial[[#This Row],[NumL]],T_TraitDi[#Data],COLUMN(T_TraitDi[[#This Row],[Colonne31]]),FALSE)=0,"",TEXT(IFERROR(VLOOKUP(T_BilanSocial[[#This Row],[NumL]],T_TraitDi[#Data],COLUMN(T_TraitDi[[#This Row],[Colonne31]]),FALSE),""),"[hh]:mm"))</f>
        <v>#VALUE!</v>
      </c>
      <c r="BO229" s="172" t="e">
        <f>IF(VLOOKUP(T_BilanSocial[[#This Row],[NumL]],T_TraitDi[#Data],COLUMN(T_TraitDi[[#This Row],[Colonne32]]),FALSE)=0,"",TEXT(IFERROR(VLOOKUP(T_BilanSocial[[#This Row],[NumL]],T_TraitDi[#Data],COLUMN(T_TraitDi[[#This Row],[Colonne32]]),FALSE),""),"[hh]:mm"))</f>
        <v>#VALUE!</v>
      </c>
      <c r="BP229" s="172" t="e">
        <f>VLOOKUP(T_BilanSocial[[#This Row],[NumL]],T_TraitDi[#Data],COLUMN(T_TraitDi[NbJTot]),FALSE)</f>
        <v>#N/A</v>
      </c>
      <c r="BQ229" s="174" t="str">
        <f>IFERROR(VLOOKUP(T_BilanSocial[[#This Row],[NumL]],T_TraitDi[#Data],COLUMN(T_TraitDi[[#This Row],[NbJTW]]),FALSE),"")</f>
        <v/>
      </c>
      <c r="BR229" s="174" t="e">
        <f>IF(VLOOKUP(T_BilanSocial[[#This Row],[NumL]],T_TraitDi[#Data],COLUMN(T_TraitDi[[#This Row],[NbhTW]]),FALSE)=0,"",TEXT(IFERROR(VLOOKUP(T_BilanSocial[[#This Row],[NumL]],T_TraitDi[#Data],COLUMN(T_TraitDi[[#This Row],[NbhTW]]),FALSE),""),"[hh]:mm"))</f>
        <v>#VALUE!</v>
      </c>
      <c r="BS229" s="174" t="e">
        <f>IF(VLOOKUP(T_BilanSocial[[#This Row],[NumL]],T_TraitDi[#Data],COLUMN(T_TraitDi[[#This Row],[Nbhheb]]),FALSE)=0,"",TEXT(IFERROR(VLOOKUP($A229,T_TraitDi[#Data],COLUMN(T_TraitDi[[#This Row],[Nbhheb]]),FALSE),""),"[hh]:mm"))</f>
        <v>#VALUE!</v>
      </c>
      <c r="BT229" s="182" t="str">
        <f>IFERROR(VLOOKUP(VLOOKUP($A229,T_TraitDi[#Data],COLUMN(T_TraitDi[[#This Row],[Type1]]),FALSE),TypeTW,2,FALSE),"")</f>
        <v/>
      </c>
      <c r="BU229" s="182" t="str">
        <f>IFERROR(VLOOKUP($A229,T_TraitDi[#Data],COLUMN(T_TraitDi[[#This Row],[Rue1]]),FALSE),"")</f>
        <v/>
      </c>
      <c r="BV229" s="173" t="str">
        <f>IFERROR(VLOOKUP($A229,T_TraitDi[#Data],COLUMN(T_TraitDi[[#This Row],[CP1]]),FALSE),"")</f>
        <v/>
      </c>
      <c r="BW229" s="173" t="str">
        <f>IFERROR(VLOOKUP($A229,T_TraitDi[#Data],COLUMN(T_TraitDi[[#This Row],[VILLE1]]),FALSE),"")</f>
        <v/>
      </c>
      <c r="BX229" s="182" t="str">
        <f>IFERROR(VLOOKUP(VLOOKUP($A229,T_TraitDi[#Data],COLUMN(T_TraitDi[[#This Row],[Type2]]),FALSE),TypeTW,2,FALSE),"")</f>
        <v/>
      </c>
      <c r="BY229" s="182" t="str">
        <f>IFERROR(VLOOKUP($A229,T_TraitDi[#Data],COLUMN(T_TraitDi[[#This Row],[Rue2]]),FALSE),"")</f>
        <v/>
      </c>
      <c r="BZ229" s="173" t="str">
        <f>IFERROR(VLOOKUP($A229,T_TraitDi[#Data],COLUMN(T_TraitDi[[#This Row],[CP2]]),FALSE),"")</f>
        <v/>
      </c>
      <c r="CA229" s="173" t="str">
        <f>IFERROR(VLOOKUP($A229,T_TraitDi[#Data],COLUMN(T_TraitDi[[#This Row],[VILLE2]]),FALSE),"")</f>
        <v/>
      </c>
      <c r="CB229" s="182" t="e">
        <f>IF(VLOOKUP(T_BilanSocial[[#This Row],[NumL]],T_Equipement[#Data],COLUMN(T_Equipement[[#This Row],[PC]]),FALSE)="","Aucun équipement spécifique directement lié au télétravail",VLOOKUP(T_BilanSocial[[#This Row],[NumL]],T_Equipement[#Data],COLUMN(T_Equipement[[#This Row],[PC]]),FALSE))</f>
        <v>#N/A</v>
      </c>
      <c r="CC229" s="166" t="str">
        <f>IFERROR(IF(VLOOKUP(T_BilanSocial[[#This Row],[NumL]],T_TraitDi[#Data],COLUMN(T_TraitDi[[#This Row],[Plan]]),FALSE)="OK","Un planning spécifique de télétravail est annexé à la présente convention.",""),"")</f>
        <v/>
      </c>
      <c r="CD229" s="185"/>
      <c r="CE229" s="164" t="e">
        <f>IF(VLOOKUP(T_BilanSocial[[#This Row],[NumL]],T_suiviDi[#Data],COLUMN(T_suiviDi[[#This Row],[Entité]]),FALSE)="","",VLOOKUP(T_BilanSocial[[#This Row],[NumL]],T_suiviDi[#Data],COLUMN(T_suiviDi[[#This Row],[Entité]]),FALSE))</f>
        <v>#VALUE!</v>
      </c>
      <c r="CF229" s="164" t="e">
        <f>IF(VLOOKUP(T_BilanSocial[[#This Row],[NumL]],T_Commission[#Data],COLUMN(T_Commission[[#This Row],[envoi confirm TW]]),FALSE)="","",VLOOKUP(T_BilanSocial[[#This Row],[NumL]],T_Commission[#Data],COLUMN(T_Commission[[#This Row],[envoi confirm TW]]),FALSE))</f>
        <v>#N/A</v>
      </c>
      <c r="CG22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29" s="262" t="e">
        <f>T_BilanSocial[[#This Row],[Nom]]&amp;T_BilanSocial[[#This Row],[Prenom]]</f>
        <v>#N/A</v>
      </c>
      <c r="CI229" s="262" t="e">
        <f>VLOOKUP(T_BilanSocial[[#This Row],[NumL]],T_Commission[#Data],COLUMN(T_Commission[Commentaire]),FALSE)</f>
        <v>#N/A</v>
      </c>
      <c r="CJ229" s="262" t="e">
        <f>IF(VLOOKUP(T_BilanSocial[[#This Row],[NumL]],T_Commission[#Data],COLUMN(T_Commission[Encadrant Email]),FALSE)="","",VLOOKUP(T_BilanSocial[[#This Row],[NumL]],T_Commission[#Data],COLUMN(T_Commission[Encadrant Email]),FALSE))</f>
        <v>#N/A</v>
      </c>
      <c r="CK229" s="340" t="e">
        <f>IF(T_BilanSocial[[#This Row],[Final]]&lt;&gt;"",VLOOKUP(T_BilanSocial[[#This Row],[NumL]],T_suiviDi[#Data],COLUMN((T_suiviDi[Statut])),FALSE),"")</f>
        <v>#N/A</v>
      </c>
    </row>
    <row r="230" spans="1:89" s="106" customFormat="1" ht="24.75" customHeight="1" x14ac:dyDescent="0.25">
      <c r="A230" s="160">
        <v>227</v>
      </c>
      <c r="B230" s="161" t="str">
        <f t="shared" si="34"/>
        <v/>
      </c>
      <c r="C230" s="162" t="s">
        <v>3287</v>
      </c>
      <c r="D230" s="95" t="e">
        <f>IF(VLOOKUP(T_BilanSocial[[#This Row],[NumL]],T_TraitDi[#Data],COLUMN(T_TraitDi[[#This Row],[WebC]]),FALSE)="","",VLOOKUP(T_BilanSocial[[#This Row],[NumL]],T_TraitDi[#Data],COLUMN(T_TraitDi[[#This Row],[WebC]]),FALSE))</f>
        <v>#VALUE!</v>
      </c>
      <c r="E230" s="163" t="str">
        <f t="shared" si="35"/>
        <v>12 janvier 2021</v>
      </c>
      <c r="F230" s="96" t="str">
        <f>IF(T_BilanSocial[[#This Row],[Final]]&lt;&gt;"",VLOOKUP(T_BilanSocial[[#This Row],[NumL]],T_suiviDi[#Data],COLUMN((T_suiviDi[Civ.])),FALSE),"")</f>
        <v/>
      </c>
      <c r="G230" s="96" t="str">
        <f>IF(T_BilanSocial[[#This Row],[Final]]&lt;&gt;"",VLOOKUP(T_BilanSocial[[#This Row],[NumL]],T_suiviDi[#Data],COLUMN((T_suiviDi[Nom])),FALSE),"")</f>
        <v/>
      </c>
      <c r="H230" s="96" t="str">
        <f>IF(T_BilanSocial[[#This Row],[Final]]&lt;&gt;"",VLOOKUP(T_BilanSocial[[#This Row],[NumL]],T_suiviDi[#Data],COLUMN((T_suiviDi[Prénom])),FALSE),"")</f>
        <v/>
      </c>
      <c r="I230" s="96" t="str">
        <f>IFERROR(VLOOKUP(T_BilanSocial[[#This Row],[Zone_Bilan]],T_P_BilanSocial[#Data],COLUMN(T_P_BilanSocial[[#This Row],[Numero_SIHAM]]),FALSE),"")</f>
        <v/>
      </c>
      <c r="J230" s="96" t="str">
        <f>IFERROR(VLOOKUP(T_BilanSocial[[#This Row],[Zone_Bilan]],T_P_BilanSocial[#Data],COLUMN(T_P_BilanSocial[[#This Row],[Sexe]]),FALSE),"")</f>
        <v/>
      </c>
      <c r="K230" s="97" t="str">
        <f>IFERROR(VLOOKUP(T_BilanSocial[[#This Row],[Zone_Bilan]],T_P_BilanSocial[#Data],COLUMN(T_P_BilanSocial[[#This Row],[Categorie]]),FALSE),"")</f>
        <v/>
      </c>
      <c r="L230" s="96" t="str">
        <f>IFERROR(VLOOKUP(T_BilanSocial[[#This Row],[Zone_Bilan]],T_P_BilanSocial[#Data],COLUMN(T_P_BilanSocial[[#This Row],[Statut]]),FALSE),"")</f>
        <v/>
      </c>
      <c r="M230" s="96" t="str">
        <f>IFERROR(VLOOKUP(T_BilanSocial[[#This Row],[Zone_Bilan]],T_P_BilanSocial[#Data],COLUMN(T_P_BilanSocial[[#This Row],[Filiere]]),FALSE),"")</f>
        <v/>
      </c>
      <c r="N230" s="96" t="e">
        <f>VLOOKUP(T_BilanSocial[[#This Row],[NumL]],T_TraitDi[#Data],COLUMN(T_TraitDi[EXP]),FALSE)</f>
        <v>#N/A</v>
      </c>
      <c r="O230" s="96" t="e">
        <f>VLOOKUP(T_BilanSocial[[#This Row],[NumL]],T_TraitDi[#Data],COLUMN(T_TraitDi[FORM]),FALSE)</f>
        <v>#N/A</v>
      </c>
      <c r="P230" s="96" t="str">
        <f>IF(T_BilanSocial[[#This Row],[Final]]&lt;&gt;"",VLOOKUP(T_BilanSocial[[#This Row],[NumL]],T_suiviDi[#Data],COLUMN((T_suiviDi[Email])),FALSE),"")</f>
        <v/>
      </c>
      <c r="Q230" s="164" t="e">
        <f t="shared" si="40"/>
        <v>#N/A</v>
      </c>
      <c r="R230" s="164" t="e">
        <f t="shared" si="41"/>
        <v>#N/A</v>
      </c>
      <c r="S230" s="164" t="e">
        <f>IF(VLOOKUP(T_BilanSocial[[#This Row],[NumL]],T_suiviDi[#Data],COLUMN(T_suiviDi[[#This Row],[Service ]]),FALSE)="","",VLOOKUP(T_BilanSocial[[#This Row],[NumL]],T_suiviDi[#Data],COLUMN(T_suiviDi[[#This Row],[Service ]]),FALSE))</f>
        <v>#VALUE!</v>
      </c>
      <c r="T230" s="164" t="str">
        <f t="shared" si="36"/>
        <v>01 septembre 2021</v>
      </c>
      <c r="U230" s="164" t="str">
        <f t="shared" si="37"/>
        <v>30 novembre 2021</v>
      </c>
      <c r="V230" s="96" t="str">
        <f>TEXT(Datebilan,"jj mmmm aaaa")</f>
        <v>30 novembre 2021</v>
      </c>
      <c r="W230" s="176" t="e">
        <f>IF(VLOOKUP(T_BilanSocial[[#This Row],[NumL]],T_TraitDi[#Data],COLUMN(T_TraitDi[[#This Row],[M1]]),FALSE)="","",VLOOKUP(T_BilanSocial[[#This Row],[NumL]],T_TraitDi[#Data],COLUMN(T_TraitDi[[#This Row],[M1]]),FALSE))</f>
        <v>#VALUE!</v>
      </c>
      <c r="X230" s="176" t="e">
        <f>IF(VLOOKUP(T_BilanSocial[[#This Row],[NumL]],T_TraitDi[#Data],COLUMN(T_TraitDi[[#This Row],[M2]]),FALSE)="","",VLOOKUP(T_BilanSocial[[#This Row],[NumL]],T_TraitDi[#Data],COLUMN(T_TraitDi[[#This Row],[M2]]),FALSE))</f>
        <v>#VALUE!</v>
      </c>
      <c r="Y230" s="176" t="e">
        <f>IF(VLOOKUP(T_BilanSocial[[#This Row],[NumL]],T_TraitDi[#Data],COLUMN(T_TraitDi[[#This Row],[M3]]),FALSE)="","",VLOOKUP(T_BilanSocial[[#This Row],[NumL]],T_TraitDi[#Data],COLUMN(T_TraitDi[[#This Row],[M3]]),FALSE))</f>
        <v>#VALUE!</v>
      </c>
      <c r="Z230" s="176" t="str">
        <f t="shared" si="39"/>
        <v/>
      </c>
      <c r="AA230" s="176" t="e">
        <f>IF(VLOOKUP(T_BilanSocial[[#This Row],[NumL]],T_TraitDi[#Data],COLUMN(T_TraitDi[[#This Row],[M5]]),FALSE)="","",VLOOKUP(T_BilanSocial[[#This Row],[NumL]],T_TraitDi[#Data],COLUMN(T_TraitDi[[#This Row],[M5]]),FALSE))</f>
        <v>#VALUE!</v>
      </c>
      <c r="AB230" s="176" t="e">
        <f>IF(VLOOKUP(T_BilanSocial[[#This Row],[NumL]],T_TraitDi[#Data],COLUMN(T_TraitDi[[#This Row],[M6]]),FALSE)="","",VLOOKUP(T_BilanSocial[[#This Row],[NumL]],T_TraitDi[#Data],COLUMN(T_TraitDi[[#This Row],[M6]]),FALSE))</f>
        <v>#VALUE!</v>
      </c>
      <c r="AC230" s="165" t="e">
        <f t="shared" si="38"/>
        <v>#VALUE!</v>
      </c>
      <c r="AD230" s="188" t="str">
        <f>IFERROR(TEXT(VLOOKUP(T_BilanSocial[[#This Row],[NumL]],T_TraitDi[#Data],COLUMN(T_TraitDi[[#This Row],[Q2]]),FALSE),"###%"),"")</f>
        <v/>
      </c>
      <c r="AE230" s="97" t="e">
        <f>VLOOKUP(T_BilanSocial[[#This Row],[NumL]],T_TraitDi[#Data],COLUMN(T_TraitDi[[#This Row],[Reg Ponct]]),FALSE)</f>
        <v>#VALUE!</v>
      </c>
      <c r="AF230" s="97" t="e">
        <f>VLOOKUP(T_BilanSocial[NumL],T_TraitDi[#Data],COLUMN(T_TraitDi[[#This Row],[Jours flottants]]),FALSE)</f>
        <v>#VALUE!</v>
      </c>
      <c r="AG230" s="97" t="str">
        <f>IFERROR(VLOOKUP(T_BilanSocial[[#This Row],[NumL]],T_TraitDi[#Data],COLUMN(T_TraitDi[[#This Row],[Lundi]]),FALSE),"")</f>
        <v/>
      </c>
      <c r="AH230" s="172" t="e">
        <f>IF(VLOOKUP(T_BilanSocial[[#This Row],[NumL]],T_TraitDi[#Data],COLUMN(T_TraitDi[[#This Row],[Colonne3]]),FALSE)=0,"",TEXT(IFERROR(VLOOKUP(T_BilanSocial[[#This Row],[NumL]],T_TraitDi[#Data],COLUMN(T_TraitDi[[#This Row],[Colonne3]]),FALSE),""),"[hh]:mm"))</f>
        <v>#VALUE!</v>
      </c>
      <c r="AI230" s="172" t="e">
        <f>IF(VLOOKUP(T_BilanSocial[[#This Row],[NumL]],T_TraitDi[#Data],COLUMN(T_TraitDi[[#This Row],[Colonne4]]),FALSE)=0,"",TEXT(IFERROR(VLOOKUP(T_BilanSocial[[#This Row],[NumL]],T_TraitDi[#Data],COLUMN(T_TraitDi[[#This Row],[Colonne4]]),FALSE),""),"[hh]:mm"))</f>
        <v>#VALUE!</v>
      </c>
      <c r="AJ230" s="172" t="e">
        <f>IF(VLOOKUP(T_BilanSocial[[#This Row],[NumL]],T_TraitDi[#Data],COLUMN(T_TraitDi[[#This Row],[Colonne5]]),FALSE)=0,"",TEXT(IFERROR(VLOOKUP(T_BilanSocial[[#This Row],[NumL]],T_TraitDi[#Data],COLUMN(T_TraitDi[[#This Row],[Colonne5]]),FALSE),""),"[hh]:mm"))</f>
        <v>#VALUE!</v>
      </c>
      <c r="AK230" s="172" t="e">
        <f>IF(VLOOKUP(T_BilanSocial[[#This Row],[NumL]],T_TraitDi[#Data],COLUMN(T_TraitDi[[#This Row],[Colonne6]]),FALSE)=0,"",TEXT(IFERROR(VLOOKUP(T_BilanSocial[[#This Row],[NumL]],T_TraitDi[#Data],COLUMN(T_TraitDi[[#This Row],[Colonne6]]),FALSE),""),"[hh]:mm"))</f>
        <v>#VALUE!</v>
      </c>
      <c r="AL230" s="172" t="e">
        <f>IF(VLOOKUP(T_BilanSocial[[#This Row],[NumL]],T_TraitDi[#Data],COLUMN(T_TraitDi[[#This Row],[Colonne7]]),FALSE)=0,"",TEXT(IFERROR(VLOOKUP(T_BilanSocial[[#This Row],[NumL]],T_TraitDi[#Data],COLUMN(T_TraitDi[[#This Row],[Colonne7]]),FALSE),""),"[hh]:mm"))</f>
        <v>#VALUE!</v>
      </c>
      <c r="AM230" s="172" t="e">
        <f>IF(VLOOKUP(T_BilanSocial[[#This Row],[NumL]],T_TraitDi[#Data],COLUMN(T_TraitDi[[#This Row],[Colonne8]]),FALSE)=0,"",TEXT(IFERROR(VLOOKUP(T_BilanSocial[[#This Row],[NumL]],T_TraitDi[#Data],COLUMN(T_TraitDi[[#This Row],[Colonne8]]),FALSE),""),"[hh]:mm"))</f>
        <v>#VALUE!</v>
      </c>
      <c r="AN230" s="172" t="str">
        <f>IFERROR(VLOOKUP(T_BilanSocial[[#This Row],[NumL]],T_TraitDi[#Data],COLUMN(T_TraitDi[[#This Row],[Mardi]]),FALSE),"")</f>
        <v/>
      </c>
      <c r="AO230" s="172" t="e">
        <f>IF(VLOOKUP(T_BilanSocial[[#This Row],[NumL]],T_TraitDi[#Data],COLUMN(T_TraitDi[[#This Row],[Colonne1]]),FALSE)=0,"",TEXT(IFERROR(VLOOKUP(T_BilanSocial[[#This Row],[NumL]],T_TraitDi[#Data],COLUMN(T_TraitDi[[#This Row],[Colonne1]]),FALSE),""),"[hh]:mm"))</f>
        <v>#VALUE!</v>
      </c>
      <c r="AP230" s="172" t="e">
        <f>IF(VLOOKUP(T_BilanSocial[[#This Row],[NumL]],T_TraitDi[#Data],COLUMN(T_TraitDi[[#This Row],[Colonne9]]),FALSE)=0,"",TEXT(IFERROR(VLOOKUP(T_BilanSocial[[#This Row],[NumL]],T_TraitDi[#Data],COLUMN(T_TraitDi[[#This Row],[Colonne9]]),FALSE),""),"[hh]:mm"))</f>
        <v>#VALUE!</v>
      </c>
      <c r="AQ230" s="172" t="str">
        <f>IFERROR(VLOOKUP(T_BilanSocial[[#This Row],[NumL]],T_TraitDi[#Data],COLUMN(T_TraitDi[[#This Row],[Colonne10]]),FALSE),"")</f>
        <v/>
      </c>
      <c r="AR230" s="172" t="e">
        <f>IF(VLOOKUP(T_BilanSocial[[#This Row],[NumL]],T_TraitDi[#Data],COLUMN(T_TraitDi[[#This Row],[Colonne11]]),FALSE)=0,"",TEXT(IFERROR(VLOOKUP(T_BilanSocial[[#This Row],[NumL]],T_TraitDi[#Data],COLUMN(T_TraitDi[[#This Row],[Colonne11]]),FALSE),""),"[hh]:mm"))</f>
        <v>#VALUE!</v>
      </c>
      <c r="AS230" s="172" t="e">
        <f>IF(VLOOKUP(T_BilanSocial[[#This Row],[NumL]],T_TraitDi[#Data],COLUMN(T_TraitDi[[#This Row],[Colonne12]]),FALSE)=0,"",TEXT(IFERROR(VLOOKUP(T_BilanSocial[[#This Row],[NumL]],T_TraitDi[#Data],COLUMN(T_TraitDi[[#This Row],[Colonne12]]),FALSE),""),"[hh]:mm"))</f>
        <v>#VALUE!</v>
      </c>
      <c r="AT230" s="172" t="e">
        <f>IF(VLOOKUP(T_BilanSocial[[#This Row],[NumL]],T_TraitDi[#Data],COLUMN(T_TraitDi[[#This Row],[Colonne14]]),FALSE)=0,"",TEXT(IFERROR(VLOOKUP(T_BilanSocial[[#This Row],[NumL]],T_TraitDi[#Data],COLUMN(T_TraitDi[[#This Row],[Colonne14]]),FALSE),""),"[hh]:mm"))</f>
        <v>#VALUE!</v>
      </c>
      <c r="AU230" s="172" t="str">
        <f>IFERROR(VLOOKUP(T_BilanSocial[[#This Row],[NumL]],T_TraitDi[#Data],COLUMN(T_TraitDi[[#This Row],[Mercredi]]),FALSE),"")</f>
        <v/>
      </c>
      <c r="AV230" s="172" t="e">
        <f>IF(VLOOKUP(T_BilanSocial[[#This Row],[NumL]],T_TraitDi[#Data],COLUMN(T_TraitDi[[#This Row],[Colonne15]]),FALSE)=0,"",TEXT(IFERROR(VLOOKUP(T_BilanSocial[[#This Row],[NumL]],T_TraitDi[#Data],COLUMN(T_TraitDi[[#This Row],[Colonne15]]),FALSE),""),"[hh]:mm"))</f>
        <v>#VALUE!</v>
      </c>
      <c r="AW230" s="172" t="e">
        <f>IF(VLOOKUP(T_BilanSocial[[#This Row],[NumL]],T_TraitDi[#Data],COLUMN(T_TraitDi[[#This Row],[Colonne16]]),FALSE)=0,"",TEXT(IFERROR(VLOOKUP(T_BilanSocial[[#This Row],[NumL]],T_TraitDi[#Data],COLUMN(T_TraitDi[[#This Row],[Colonne16]]),FALSE),""),"[hh]:mm"))</f>
        <v>#VALUE!</v>
      </c>
      <c r="AX230" s="172" t="str">
        <f>IFERROR(VLOOKUP(T_BilanSocial[[#This Row],[NumL]],T_TraitDi[#Data],COLUMN(T_TraitDi[[#This Row],[Colonne17]]),FALSE),"")</f>
        <v/>
      </c>
      <c r="AY230" s="172" t="e">
        <f>IF(VLOOKUP(T_BilanSocial[[#This Row],[NumL]],T_TraitDi[#Data],COLUMN(T_TraitDi[[#This Row],[Colonne18]]),FALSE)=0,"",TEXT(IFERROR(VLOOKUP(T_BilanSocial[[#This Row],[NumL]],T_TraitDi[#Data],COLUMN(T_TraitDi[[#This Row],[Colonne18]]),FALSE),""),"[hh]:mm"))</f>
        <v>#VALUE!</v>
      </c>
      <c r="AZ230" s="172" t="e">
        <f>IF(VLOOKUP(T_BilanSocial[[#This Row],[NumL]],T_TraitDi[#Data],COLUMN(T_TraitDi[[#This Row],[Colonne19]]),FALSE)=0,"",TEXT(IFERROR(VLOOKUP(T_BilanSocial[[#This Row],[NumL]],T_TraitDi[#Data],COLUMN(T_TraitDi[[#This Row],[Colonne19]]),FALSE),""),"[hh]:mm"))</f>
        <v>#VALUE!</v>
      </c>
      <c r="BA230" s="172" t="e">
        <f>IF(VLOOKUP(T_BilanSocial[[#This Row],[NumL]],T_TraitDi[#Data],COLUMN(T_TraitDi[[#This Row],[Colonne20]]),FALSE)=0,"",TEXT(IFERROR(VLOOKUP(T_BilanSocial[[#This Row],[NumL]],T_TraitDi[#Data],COLUMN(T_TraitDi[[#This Row],[Colonne20]]),FALSE),""),"[hh]:mm"))</f>
        <v>#VALUE!</v>
      </c>
      <c r="BB230" s="178" t="str">
        <f>IFERROR(VLOOKUP(T_BilanSocial[[#This Row],[NumL]],T_TraitDi[#Data],COLUMN(T_TraitDi[[#This Row],[Jeudi]]),FALSE),"")</f>
        <v/>
      </c>
      <c r="BC230" s="178" t="e">
        <f>IF(VLOOKUP(T_BilanSocial[[#This Row],[NumL]],T_TraitDi[#Data],COLUMN(T_TraitDi[[#This Row],[Colonne21]]),FALSE)=0,"",TEXT(IFERROR(VLOOKUP(T_BilanSocial[[#This Row],[NumL]],T_TraitDi[#Data],COLUMN(T_TraitDi[[#This Row],[Colonne21]]),FALSE),""),"[hh]:mm"))</f>
        <v>#VALUE!</v>
      </c>
      <c r="BD230" s="178" t="e">
        <f>IF(VLOOKUP(T_BilanSocial[[#This Row],[NumL]],T_TraitDi[#Data],COLUMN(T_TraitDi[[#This Row],[Colonne22]]),FALSE)=0,"",TEXT(IFERROR(VLOOKUP(T_BilanSocial[[#This Row],[NumL]],T_TraitDi[#Data],COLUMN(T_TraitDi[[#This Row],[Colonne22]]),FALSE),""),"[hh]:mm"))</f>
        <v>#VALUE!</v>
      </c>
      <c r="BE230" s="178" t="str">
        <f>IFERROR(VLOOKUP(T_BilanSocial[[#This Row],[NumL]],T_TraitDi[#Data],COLUMN(T_TraitDi[[#This Row],[Colonne23]]),FALSE),"")</f>
        <v/>
      </c>
      <c r="BF230" s="178" t="e">
        <f>IF(VLOOKUP(T_BilanSocial[[#This Row],[NumL]],T_TraitDi[#Data],COLUMN(T_TraitDi[[#This Row],[Colonne24]]),FALSE)=0,"",TEXT(IFERROR(VLOOKUP(T_BilanSocial[[#This Row],[NumL]],T_TraitDi[#Data],COLUMN(T_TraitDi[[#This Row],[Colonne24]]),FALSE),""),"[hh]:mm"))</f>
        <v>#VALUE!</v>
      </c>
      <c r="BG230" s="178" t="e">
        <f>IF(VLOOKUP(T_BilanSocial[[#This Row],[NumL]],T_TraitDi[#Data],COLUMN(T_TraitDi[[#This Row],[Colonne25]]),FALSE)=0,"",TEXT(IFERROR(VLOOKUP(T_BilanSocial[[#This Row],[NumL]],T_TraitDi[#Data],COLUMN(T_TraitDi[[#This Row],[Colonne25]]),FALSE),""),"[hh]:mm"))</f>
        <v>#VALUE!</v>
      </c>
      <c r="BH230" s="178" t="e">
        <f>IF(VLOOKUP(T_BilanSocial[[#This Row],[NumL]],T_TraitDi[#Data],COLUMN(T_TraitDi[[#This Row],[Colonne26]]),FALSE)=0,"",TEXT(IFERROR(VLOOKUP(T_BilanSocial[[#This Row],[NumL]],T_TraitDi[#Data],COLUMN(T_TraitDi[[#This Row],[Colonne26]]),FALSE),""),"[hh]:mm"))</f>
        <v>#VALUE!</v>
      </c>
      <c r="BI230" s="172" t="str">
        <f>IFERROR(VLOOKUP(T_BilanSocial[[#This Row],[NumL]],T_TraitDi[#Data],COLUMN(T_TraitDi[[#This Row],[Vendredi]]),FALSE),"")</f>
        <v/>
      </c>
      <c r="BJ230" s="172" t="e">
        <f>IF(VLOOKUP(T_BilanSocial[[#This Row],[NumL]],T_TraitDi[#Data],COLUMN(T_TraitDi[[#This Row],[Colonne27]]),FALSE)=0,"",TEXT(IFERROR(VLOOKUP(T_BilanSocial[[#This Row],[NumL]],T_TraitDi[#Data],COLUMN(T_TraitDi[[#This Row],[Colonne27]]),FALSE),""),"[hh]:mm"))</f>
        <v>#VALUE!</v>
      </c>
      <c r="BK230" s="172" t="e">
        <f>IF(VLOOKUP(T_BilanSocial[[#This Row],[NumL]],T_TraitDi[#Data],COLUMN(T_TraitDi[[#This Row],[Colonne28]]),FALSE)=0,"",TEXT(IFERROR(VLOOKUP(T_BilanSocial[[#This Row],[NumL]],T_TraitDi[#Data],COLUMN(T_TraitDi[[#This Row],[Colonne28]]),FALSE),""),"[hh]:mm"))</f>
        <v>#VALUE!</v>
      </c>
      <c r="BL230" s="172" t="str">
        <f>IFERROR(VLOOKUP(T_BilanSocial[[#This Row],[NumL]],T_TraitDi[#Data],COLUMN(T_TraitDi[[#This Row],[Colonne29]]),FALSE),"")</f>
        <v/>
      </c>
      <c r="BM230" s="172" t="e">
        <f>IF(VLOOKUP(T_BilanSocial[[#This Row],[NumL]],T_TraitDi[#Data],COLUMN(T_TraitDi[[#This Row],[Colonne30]]),FALSE)=0,"",TEXT(IFERROR(VLOOKUP(T_BilanSocial[[#This Row],[NumL]],T_TraitDi[#Data],COLUMN(T_TraitDi[[#This Row],[Colonne30]]),FALSE),""),"[hh]:mm"))</f>
        <v>#VALUE!</v>
      </c>
      <c r="BN230" s="172" t="e">
        <f>IF(VLOOKUP(T_BilanSocial[[#This Row],[NumL]],T_TraitDi[#Data],COLUMN(T_TraitDi[[#This Row],[Colonne31]]),FALSE)=0,"",TEXT(IFERROR(VLOOKUP(T_BilanSocial[[#This Row],[NumL]],T_TraitDi[#Data],COLUMN(T_TraitDi[[#This Row],[Colonne31]]),FALSE),""),"[hh]:mm"))</f>
        <v>#VALUE!</v>
      </c>
      <c r="BO230" s="172" t="e">
        <f>IF(VLOOKUP(T_BilanSocial[[#This Row],[NumL]],T_TraitDi[#Data],COLUMN(T_TraitDi[[#This Row],[Colonne32]]),FALSE)=0,"",TEXT(IFERROR(VLOOKUP(T_BilanSocial[[#This Row],[NumL]],T_TraitDi[#Data],COLUMN(T_TraitDi[[#This Row],[Colonne32]]),FALSE),""),"[hh]:mm"))</f>
        <v>#VALUE!</v>
      </c>
      <c r="BP230" s="172" t="e">
        <f>VLOOKUP(T_BilanSocial[[#This Row],[NumL]],T_TraitDi[#Data],COLUMN(T_TraitDi[NbJTot]),FALSE)</f>
        <v>#N/A</v>
      </c>
      <c r="BQ230" s="174" t="str">
        <f>IFERROR(VLOOKUP(T_BilanSocial[[#This Row],[NumL]],T_TraitDi[#Data],COLUMN(T_TraitDi[[#This Row],[NbJTW]]),FALSE),"")</f>
        <v/>
      </c>
      <c r="BR230" s="174" t="e">
        <f>IF(VLOOKUP(T_BilanSocial[[#This Row],[NumL]],T_TraitDi[#Data],COLUMN(T_TraitDi[[#This Row],[NbhTW]]),FALSE)=0,"",TEXT(IFERROR(VLOOKUP(T_BilanSocial[[#This Row],[NumL]],T_TraitDi[#Data],COLUMN(T_TraitDi[[#This Row],[NbhTW]]),FALSE),""),"[hh]:mm"))</f>
        <v>#VALUE!</v>
      </c>
      <c r="BS230" s="174" t="e">
        <f>IF(VLOOKUP(T_BilanSocial[[#This Row],[NumL]],T_TraitDi[#Data],COLUMN(T_TraitDi[[#This Row],[Nbhheb]]),FALSE)=0,"",TEXT(IFERROR(VLOOKUP($A230,T_TraitDi[#Data],COLUMN(T_TraitDi[[#This Row],[Nbhheb]]),FALSE),""),"[hh]:mm"))</f>
        <v>#VALUE!</v>
      </c>
      <c r="BT230" s="182" t="str">
        <f>IFERROR(VLOOKUP(VLOOKUP($A230,T_TraitDi[#Data],COLUMN(T_TraitDi[[#This Row],[Type1]]),FALSE),TypeTW,2,FALSE),"")</f>
        <v/>
      </c>
      <c r="BU230" s="182" t="str">
        <f>IFERROR(VLOOKUP($A230,T_TraitDi[#Data],COLUMN(T_TraitDi[[#This Row],[Rue1]]),FALSE),"")</f>
        <v/>
      </c>
      <c r="BV230" s="173" t="str">
        <f>IFERROR(VLOOKUP($A230,T_TraitDi[#Data],COLUMN(T_TraitDi[[#This Row],[CP1]]),FALSE),"")</f>
        <v/>
      </c>
      <c r="BW230" s="173" t="str">
        <f>IFERROR(VLOOKUP($A230,T_TraitDi[#Data],COLUMN(T_TraitDi[[#This Row],[VILLE1]]),FALSE),"")</f>
        <v/>
      </c>
      <c r="BX230" s="182" t="str">
        <f>IFERROR(VLOOKUP(VLOOKUP($A230,T_TraitDi[#Data],COLUMN(T_TraitDi[[#This Row],[Type2]]),FALSE),TypeTW,2,FALSE),"")</f>
        <v/>
      </c>
      <c r="BY230" s="182" t="str">
        <f>IFERROR(VLOOKUP($A230,T_TraitDi[#Data],COLUMN(T_TraitDi[[#This Row],[Rue2]]),FALSE),"")</f>
        <v/>
      </c>
      <c r="BZ230" s="173" t="str">
        <f>IFERROR(VLOOKUP($A230,T_TraitDi[#Data],COLUMN(T_TraitDi[[#This Row],[CP2]]),FALSE),"")</f>
        <v/>
      </c>
      <c r="CA230" s="173" t="str">
        <f>IFERROR(VLOOKUP($A230,T_TraitDi[#Data],COLUMN(T_TraitDi[[#This Row],[VILLE2]]),FALSE),"")</f>
        <v/>
      </c>
      <c r="CB230" s="182" t="str">
        <f>IF(VLOOKUP(T_BilanSocial[[#This Row],[NumL]],T_Equipement[#Data],COLUMN(T_Equipement[[#This Row],[PC]]),FALSE)="","Aucun équipement spécifique directement lié au télétravail",VLOOKUP(T_BilanSocial[[#This Row],[NumL]],T_Equipement[#Data],COLUMN(T_Equipement[[#This Row],[PC]]),FALSE))</f>
        <v xml:space="preserve">18-057	</v>
      </c>
      <c r="CC230" s="166" t="str">
        <f>IFERROR(IF(VLOOKUP(T_BilanSocial[[#This Row],[NumL]],T_TraitDi[#Data],COLUMN(T_TraitDi[[#This Row],[Plan]]),FALSE)="OK","Un planning spécifique de télétravail est annexé à la présente convention.",""),"")</f>
        <v/>
      </c>
      <c r="CD230" s="185"/>
      <c r="CE230" s="164" t="e">
        <f>IF(VLOOKUP(T_BilanSocial[[#This Row],[NumL]],T_suiviDi[#Data],COLUMN(T_suiviDi[[#This Row],[Entité]]),FALSE)="","",VLOOKUP(T_BilanSocial[[#This Row],[NumL]],T_suiviDi[#Data],COLUMN(T_suiviDi[[#This Row],[Entité]]),FALSE))</f>
        <v>#VALUE!</v>
      </c>
      <c r="CF230" s="164" t="str">
        <f>IF(VLOOKUP(T_BilanSocial[[#This Row],[NumL]],T_Commission[#Data],COLUMN(T_Commission[[#This Row],[envoi confirm TW]]),FALSE)="","",VLOOKUP(T_BilanSocial[[#This Row],[NumL]],T_Commission[#Data],COLUMN(T_Commission[[#This Row],[envoi confirm TW]]),FALSE))</f>
        <v>Oui</v>
      </c>
      <c r="CG23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0" s="262" t="str">
        <f>T_BilanSocial[[#This Row],[Nom]]&amp;T_BilanSocial[[#This Row],[Prenom]]</f>
        <v/>
      </c>
      <c r="CI230" s="262">
        <f>VLOOKUP(T_BilanSocial[[#This Row],[NumL]],T_Commission[#Data],COLUMN(T_Commission[Commentaire]),FALSE)</f>
        <v>0</v>
      </c>
      <c r="CJ230" s="262" t="str">
        <f>IF(VLOOKUP(T_BilanSocial[[#This Row],[NumL]],T_Commission[#Data],COLUMN(T_Commission[Encadrant Email]),FALSE)="","",VLOOKUP(T_BilanSocial[[#This Row],[NumL]],T_Commission[#Data],COLUMN(T_Commission[Encadrant Email]),FALSE))</f>
        <v/>
      </c>
      <c r="CK230" s="340" t="str">
        <f>IF(T_BilanSocial[[#This Row],[Final]]&lt;&gt;"",VLOOKUP(T_BilanSocial[[#This Row],[NumL]],T_suiviDi[#Data],COLUMN((T_suiviDi[Statut])),FALSE),"")</f>
        <v/>
      </c>
    </row>
    <row r="231" spans="1:89" s="106" customFormat="1" ht="24.75" customHeight="1" x14ac:dyDescent="0.25">
      <c r="A231" s="160">
        <v>228</v>
      </c>
      <c r="B231" s="161" t="str">
        <f t="shared" si="34"/>
        <v/>
      </c>
      <c r="C231" s="162" t="s">
        <v>173</v>
      </c>
      <c r="D231" s="95" t="e">
        <f>IF(VLOOKUP(T_BilanSocial[[#This Row],[NumL]],T_TraitDi[#Data],COLUMN(T_TraitDi[[#This Row],[WebC]]),FALSE)="","",VLOOKUP(T_BilanSocial[[#This Row],[NumL]],T_TraitDi[#Data],COLUMN(T_TraitDi[[#This Row],[WebC]]),FALSE))</f>
        <v>#VALUE!</v>
      </c>
      <c r="E231" s="163" t="str">
        <f t="shared" si="35"/>
        <v>12 janvier 2021</v>
      </c>
      <c r="F231" s="96" t="str">
        <f>IF(T_BilanSocial[[#This Row],[Final]]&lt;&gt;"",VLOOKUP(T_BilanSocial[[#This Row],[NumL]],T_suiviDi[#Data],COLUMN((T_suiviDi[Civ.])),FALSE),"")</f>
        <v/>
      </c>
      <c r="G231" s="96" t="str">
        <f>IF(T_BilanSocial[[#This Row],[Final]]&lt;&gt;"",VLOOKUP(T_BilanSocial[[#This Row],[NumL]],T_suiviDi[#Data],COLUMN((T_suiviDi[Nom])),FALSE),"")</f>
        <v/>
      </c>
      <c r="H231" s="96" t="str">
        <f>IF(T_BilanSocial[[#This Row],[Final]]&lt;&gt;"",VLOOKUP(T_BilanSocial[[#This Row],[NumL]],T_suiviDi[#Data],COLUMN((T_suiviDi[Prénom])),FALSE),"")</f>
        <v/>
      </c>
      <c r="I231" s="96" t="str">
        <f>IFERROR(VLOOKUP(T_BilanSocial[[#This Row],[Zone_Bilan]],T_P_BilanSocial[#Data],COLUMN(T_P_BilanSocial[[#This Row],[Numero_SIHAM]]),FALSE),"")</f>
        <v/>
      </c>
      <c r="J231" s="96" t="str">
        <f>IFERROR(VLOOKUP(T_BilanSocial[[#This Row],[Zone_Bilan]],T_P_BilanSocial[#Data],COLUMN(T_P_BilanSocial[[#This Row],[Sexe]]),FALSE),"")</f>
        <v/>
      </c>
      <c r="K231" s="97" t="str">
        <f>IFERROR(VLOOKUP(T_BilanSocial[[#This Row],[Zone_Bilan]],T_P_BilanSocial[#Data],COLUMN(T_P_BilanSocial[[#This Row],[Categorie]]),FALSE),"")</f>
        <v/>
      </c>
      <c r="L231" s="96" t="str">
        <f>IFERROR(VLOOKUP(T_BilanSocial[[#This Row],[Zone_Bilan]],T_P_BilanSocial[#Data],COLUMN(T_P_BilanSocial[[#This Row],[Statut]]),FALSE),"")</f>
        <v/>
      </c>
      <c r="M231" s="96" t="str">
        <f>IFERROR(VLOOKUP(T_BilanSocial[[#This Row],[Zone_Bilan]],T_P_BilanSocial[#Data],COLUMN(T_P_BilanSocial[[#This Row],[Filiere]]),FALSE),"")</f>
        <v/>
      </c>
      <c r="N231" s="96" t="e">
        <f>VLOOKUP(T_BilanSocial[[#This Row],[NumL]],T_TraitDi[#Data],COLUMN(T_TraitDi[EXP]),FALSE)</f>
        <v>#N/A</v>
      </c>
      <c r="O231" s="96" t="e">
        <f>VLOOKUP(T_BilanSocial[[#This Row],[NumL]],T_TraitDi[#Data],COLUMN(T_TraitDi[FORM]),FALSE)</f>
        <v>#N/A</v>
      </c>
      <c r="P231" s="96" t="str">
        <f>IF(T_BilanSocial[[#This Row],[Final]]&lt;&gt;"",VLOOKUP(T_BilanSocial[[#This Row],[NumL]],T_suiviDi[#Data],COLUMN((T_suiviDi[Email])),FALSE),"")</f>
        <v/>
      </c>
      <c r="Q231" s="164" t="e">
        <f t="shared" si="40"/>
        <v>#N/A</v>
      </c>
      <c r="R231" s="164" t="e">
        <f t="shared" si="41"/>
        <v>#N/A</v>
      </c>
      <c r="S231" s="164" t="e">
        <f>IF(VLOOKUP(T_BilanSocial[[#This Row],[NumL]],T_suiviDi[#Data],COLUMN(T_suiviDi[[#This Row],[Service ]]),FALSE)="","",VLOOKUP(T_BilanSocial[[#This Row],[NumL]],T_suiviDi[#Data],COLUMN(T_suiviDi[[#This Row],[Service ]]),FALSE))</f>
        <v>#VALUE!</v>
      </c>
      <c r="T231" s="164" t="str">
        <f t="shared" si="36"/>
        <v>01 septembre 2021</v>
      </c>
      <c r="U231" s="164" t="str">
        <f t="shared" si="37"/>
        <v>30 novembre 2021</v>
      </c>
      <c r="V231" s="164" t="str">
        <f>TEXT(Datebilan,"jj mmmm aaaa")</f>
        <v>30 novembre 2021</v>
      </c>
      <c r="W231" s="176" t="e">
        <f>IF(VLOOKUP(T_BilanSocial[[#This Row],[NumL]],T_TraitDi[#Data],COLUMN(T_TraitDi[[#This Row],[M1]]),FALSE)="","",VLOOKUP(T_BilanSocial[[#This Row],[NumL]],T_TraitDi[#Data],COLUMN(T_TraitDi[[#This Row],[M1]]),FALSE))</f>
        <v>#VALUE!</v>
      </c>
      <c r="X231" s="176" t="e">
        <f>IF(VLOOKUP(T_BilanSocial[[#This Row],[NumL]],T_TraitDi[#Data],COLUMN(T_TraitDi[[#This Row],[M2]]),FALSE)="","",VLOOKUP(T_BilanSocial[[#This Row],[NumL]],T_TraitDi[#Data],COLUMN(T_TraitDi[[#This Row],[M2]]),FALSE))</f>
        <v>#VALUE!</v>
      </c>
      <c r="Y231" s="176" t="e">
        <f>IF(VLOOKUP(T_BilanSocial[[#This Row],[NumL]],T_TraitDi[#Data],COLUMN(T_TraitDi[[#This Row],[M3]]),FALSE)="","",VLOOKUP(T_BilanSocial[[#This Row],[NumL]],T_TraitDi[#Data],COLUMN(T_TraitDi[[#This Row],[M3]]),FALSE))</f>
        <v>#VALUE!</v>
      </c>
      <c r="Z231" s="176" t="str">
        <f t="shared" si="39"/>
        <v/>
      </c>
      <c r="AA231" s="176" t="e">
        <f>IF(VLOOKUP(T_BilanSocial[[#This Row],[NumL]],T_TraitDi[#Data],COLUMN(T_TraitDi[[#This Row],[M5]]),FALSE)="","",VLOOKUP(T_BilanSocial[[#This Row],[NumL]],T_TraitDi[#Data],COLUMN(T_TraitDi[[#This Row],[M5]]),FALSE))</f>
        <v>#VALUE!</v>
      </c>
      <c r="AB231" s="176" t="e">
        <f>IF(VLOOKUP(T_BilanSocial[[#This Row],[NumL]],T_TraitDi[#Data],COLUMN(T_TraitDi[[#This Row],[M6]]),FALSE)="","",VLOOKUP(T_BilanSocial[[#This Row],[NumL]],T_TraitDi[#Data],COLUMN(T_TraitDi[[#This Row],[M6]]),FALSE))</f>
        <v>#VALUE!</v>
      </c>
      <c r="AC231" s="165" t="e">
        <f t="shared" si="38"/>
        <v>#VALUE!</v>
      </c>
      <c r="AD231" s="188" t="str">
        <f>IFERROR(TEXT(VLOOKUP(T_BilanSocial[[#This Row],[NumL]],T_TraitDi[#Data],COLUMN(T_TraitDi[[#This Row],[Q2]]),FALSE),"###%"),"")</f>
        <v/>
      </c>
      <c r="AE231" s="97" t="e">
        <f>VLOOKUP(T_BilanSocial[[#This Row],[NumL]],T_TraitDi[#Data],COLUMN(T_TraitDi[[#This Row],[Reg Ponct]]),FALSE)</f>
        <v>#VALUE!</v>
      </c>
      <c r="AF231" s="97" t="e">
        <f>VLOOKUP(T_BilanSocial[NumL],T_TraitDi[#Data],COLUMN(T_TraitDi[[#This Row],[Jours flottants]]),FALSE)</f>
        <v>#VALUE!</v>
      </c>
      <c r="AG231" s="97" t="str">
        <f>IFERROR(VLOOKUP(T_BilanSocial[[#This Row],[NumL]],T_TraitDi[#Data],COLUMN(T_TraitDi[[#This Row],[Lundi]]),FALSE),"")</f>
        <v/>
      </c>
      <c r="AH231" s="172" t="e">
        <f>IF(VLOOKUP(T_BilanSocial[[#This Row],[NumL]],T_TraitDi[#Data],COLUMN(T_TraitDi[[#This Row],[Colonne3]]),FALSE)=0,"",TEXT(IFERROR(VLOOKUP(T_BilanSocial[[#This Row],[NumL]],T_TraitDi[#Data],COLUMN(T_TraitDi[[#This Row],[Colonne3]]),FALSE),""),"[hh]:mm"))</f>
        <v>#VALUE!</v>
      </c>
      <c r="AI231" s="172" t="e">
        <f>IF(VLOOKUP(T_BilanSocial[[#This Row],[NumL]],T_TraitDi[#Data],COLUMN(T_TraitDi[[#This Row],[Colonne4]]),FALSE)=0,"",TEXT(IFERROR(VLOOKUP(T_BilanSocial[[#This Row],[NumL]],T_TraitDi[#Data],COLUMN(T_TraitDi[[#This Row],[Colonne4]]),FALSE),""),"[hh]:mm"))</f>
        <v>#VALUE!</v>
      </c>
      <c r="AJ231" s="172" t="e">
        <f>IF(VLOOKUP(T_BilanSocial[[#This Row],[NumL]],T_TraitDi[#Data],COLUMN(T_TraitDi[[#This Row],[Colonne5]]),FALSE)=0,"",TEXT(IFERROR(VLOOKUP(T_BilanSocial[[#This Row],[NumL]],T_TraitDi[#Data],COLUMN(T_TraitDi[[#This Row],[Colonne5]]),FALSE),""),"[hh]:mm"))</f>
        <v>#VALUE!</v>
      </c>
      <c r="AK231" s="172" t="e">
        <f>IF(VLOOKUP(T_BilanSocial[[#This Row],[NumL]],T_TraitDi[#Data],COLUMN(T_TraitDi[[#This Row],[Colonne6]]),FALSE)=0,"",TEXT(IFERROR(VLOOKUP(T_BilanSocial[[#This Row],[NumL]],T_TraitDi[#Data],COLUMN(T_TraitDi[[#This Row],[Colonne6]]),FALSE),""),"[hh]:mm"))</f>
        <v>#VALUE!</v>
      </c>
      <c r="AL231" s="172" t="e">
        <f>IF(VLOOKUP(T_BilanSocial[[#This Row],[NumL]],T_TraitDi[#Data],COLUMN(T_TraitDi[[#This Row],[Colonne7]]),FALSE)=0,"",TEXT(IFERROR(VLOOKUP(T_BilanSocial[[#This Row],[NumL]],T_TraitDi[#Data],COLUMN(T_TraitDi[[#This Row],[Colonne7]]),FALSE),""),"[hh]:mm"))</f>
        <v>#VALUE!</v>
      </c>
      <c r="AM231" s="172" t="e">
        <f>IF(VLOOKUP(T_BilanSocial[[#This Row],[NumL]],T_TraitDi[#Data],COLUMN(T_TraitDi[[#This Row],[Colonne8]]),FALSE)=0,"",TEXT(IFERROR(VLOOKUP(T_BilanSocial[[#This Row],[NumL]],T_TraitDi[#Data],COLUMN(T_TraitDi[[#This Row],[Colonne8]]),FALSE),""),"[hh]:mm"))</f>
        <v>#VALUE!</v>
      </c>
      <c r="AN231" s="172" t="str">
        <f>IFERROR(VLOOKUP(T_BilanSocial[[#This Row],[NumL]],T_TraitDi[#Data],COLUMN(T_TraitDi[[#This Row],[Mardi]]),FALSE),"")</f>
        <v/>
      </c>
      <c r="AO231" s="172" t="e">
        <f>IF(VLOOKUP(T_BilanSocial[[#This Row],[NumL]],T_TraitDi[#Data],COLUMN(T_TraitDi[[#This Row],[Colonne1]]),FALSE)=0,"",TEXT(IFERROR(VLOOKUP(T_BilanSocial[[#This Row],[NumL]],T_TraitDi[#Data],COLUMN(T_TraitDi[[#This Row],[Colonne1]]),FALSE),""),"[hh]:mm"))</f>
        <v>#VALUE!</v>
      </c>
      <c r="AP231" s="172" t="e">
        <f>IF(VLOOKUP(T_BilanSocial[[#This Row],[NumL]],T_TraitDi[#Data],COLUMN(T_TraitDi[[#This Row],[Colonne9]]),FALSE)=0,"",TEXT(IFERROR(VLOOKUP(T_BilanSocial[[#This Row],[NumL]],T_TraitDi[#Data],COLUMN(T_TraitDi[[#This Row],[Colonne9]]),FALSE),""),"[hh]:mm"))</f>
        <v>#VALUE!</v>
      </c>
      <c r="AQ231" s="172" t="str">
        <f>IFERROR(VLOOKUP(T_BilanSocial[[#This Row],[NumL]],T_TraitDi[#Data],COLUMN(T_TraitDi[[#This Row],[Colonne10]]),FALSE),"")</f>
        <v/>
      </c>
      <c r="AR231" s="172" t="e">
        <f>IF(VLOOKUP(T_BilanSocial[[#This Row],[NumL]],T_TraitDi[#Data],COLUMN(T_TraitDi[[#This Row],[Colonne11]]),FALSE)=0,"",TEXT(IFERROR(VLOOKUP(T_BilanSocial[[#This Row],[NumL]],T_TraitDi[#Data],COLUMN(T_TraitDi[[#This Row],[Colonne11]]),FALSE),""),"[hh]:mm"))</f>
        <v>#VALUE!</v>
      </c>
      <c r="AS231" s="172" t="e">
        <f>IF(VLOOKUP(T_BilanSocial[[#This Row],[NumL]],T_TraitDi[#Data],COLUMN(T_TraitDi[[#This Row],[Colonne12]]),FALSE)=0,"",TEXT(IFERROR(VLOOKUP(T_BilanSocial[[#This Row],[NumL]],T_TraitDi[#Data],COLUMN(T_TraitDi[[#This Row],[Colonne12]]),FALSE),""),"[hh]:mm"))</f>
        <v>#VALUE!</v>
      </c>
      <c r="AT231" s="172" t="e">
        <f>IF(VLOOKUP(T_BilanSocial[[#This Row],[NumL]],T_TraitDi[#Data],COLUMN(T_TraitDi[[#This Row],[Colonne14]]),FALSE)=0,"",TEXT(IFERROR(VLOOKUP(T_BilanSocial[[#This Row],[NumL]],T_TraitDi[#Data],COLUMN(T_TraitDi[[#This Row],[Colonne14]]),FALSE),""),"[hh]:mm"))</f>
        <v>#VALUE!</v>
      </c>
      <c r="AU231" s="172" t="str">
        <f>IFERROR(VLOOKUP(T_BilanSocial[[#This Row],[NumL]],T_TraitDi[#Data],COLUMN(T_TraitDi[[#This Row],[Mercredi]]),FALSE),"")</f>
        <v/>
      </c>
      <c r="AV231" s="172" t="e">
        <f>IF(VLOOKUP(T_BilanSocial[[#This Row],[NumL]],T_TraitDi[#Data],COLUMN(T_TraitDi[[#This Row],[Colonne15]]),FALSE)=0,"",TEXT(IFERROR(VLOOKUP(T_BilanSocial[[#This Row],[NumL]],T_TraitDi[#Data],COLUMN(T_TraitDi[[#This Row],[Colonne15]]),FALSE),""),"[hh]:mm"))</f>
        <v>#VALUE!</v>
      </c>
      <c r="AW231" s="172" t="e">
        <f>IF(VLOOKUP(T_BilanSocial[[#This Row],[NumL]],T_TraitDi[#Data],COLUMN(T_TraitDi[[#This Row],[Colonne16]]),FALSE)=0,"",TEXT(IFERROR(VLOOKUP(T_BilanSocial[[#This Row],[NumL]],T_TraitDi[#Data],COLUMN(T_TraitDi[[#This Row],[Colonne16]]),FALSE),""),"[hh]:mm"))</f>
        <v>#VALUE!</v>
      </c>
      <c r="AX231" s="172" t="str">
        <f>IFERROR(VLOOKUP(T_BilanSocial[[#This Row],[NumL]],T_TraitDi[#Data],COLUMN(T_TraitDi[[#This Row],[Colonne17]]),FALSE),"")</f>
        <v/>
      </c>
      <c r="AY231" s="172" t="e">
        <f>IF(VLOOKUP(T_BilanSocial[[#This Row],[NumL]],T_TraitDi[#Data],COLUMN(T_TraitDi[[#This Row],[Colonne18]]),FALSE)=0,"",TEXT(IFERROR(VLOOKUP(T_BilanSocial[[#This Row],[NumL]],T_TraitDi[#Data],COLUMN(T_TraitDi[[#This Row],[Colonne18]]),FALSE),""),"[hh]:mm"))</f>
        <v>#VALUE!</v>
      </c>
      <c r="AZ231" s="172" t="e">
        <f>IF(VLOOKUP(T_BilanSocial[[#This Row],[NumL]],T_TraitDi[#Data],COLUMN(T_TraitDi[[#This Row],[Colonne19]]),FALSE)=0,"",TEXT(IFERROR(VLOOKUP(T_BilanSocial[[#This Row],[NumL]],T_TraitDi[#Data],COLUMN(T_TraitDi[[#This Row],[Colonne19]]),FALSE),""),"[hh]:mm"))</f>
        <v>#VALUE!</v>
      </c>
      <c r="BA231" s="172" t="e">
        <f>IF(VLOOKUP(T_BilanSocial[[#This Row],[NumL]],T_TraitDi[#Data],COLUMN(T_TraitDi[[#This Row],[Colonne20]]),FALSE)=0,"",TEXT(IFERROR(VLOOKUP(T_BilanSocial[[#This Row],[NumL]],T_TraitDi[#Data],COLUMN(T_TraitDi[[#This Row],[Colonne20]]),FALSE),""),"[hh]:mm"))</f>
        <v>#VALUE!</v>
      </c>
      <c r="BB231" s="178" t="str">
        <f>IFERROR(VLOOKUP(T_BilanSocial[[#This Row],[NumL]],T_TraitDi[#Data],COLUMN(T_TraitDi[[#This Row],[Jeudi]]),FALSE),"")</f>
        <v/>
      </c>
      <c r="BC231" s="178" t="e">
        <f>IF(VLOOKUP(T_BilanSocial[[#This Row],[NumL]],T_TraitDi[#Data],COLUMN(T_TraitDi[[#This Row],[Colonne21]]),FALSE)=0,"",TEXT(IFERROR(VLOOKUP(T_BilanSocial[[#This Row],[NumL]],T_TraitDi[#Data],COLUMN(T_TraitDi[[#This Row],[Colonne21]]),FALSE),""),"[hh]:mm"))</f>
        <v>#VALUE!</v>
      </c>
      <c r="BD231" s="178" t="e">
        <f>IF(VLOOKUP(T_BilanSocial[[#This Row],[NumL]],T_TraitDi[#Data],COLUMN(T_TraitDi[[#This Row],[Colonne22]]),FALSE)=0,"",TEXT(IFERROR(VLOOKUP(T_BilanSocial[[#This Row],[NumL]],T_TraitDi[#Data],COLUMN(T_TraitDi[[#This Row],[Colonne22]]),FALSE),""),"[hh]:mm"))</f>
        <v>#VALUE!</v>
      </c>
      <c r="BE231" s="178" t="str">
        <f>IFERROR(VLOOKUP(T_BilanSocial[[#This Row],[NumL]],T_TraitDi[#Data],COLUMN(T_TraitDi[[#This Row],[Colonne23]]),FALSE),"")</f>
        <v/>
      </c>
      <c r="BF231" s="178" t="e">
        <f>IF(VLOOKUP(T_BilanSocial[[#This Row],[NumL]],T_TraitDi[#Data],COLUMN(T_TraitDi[[#This Row],[Colonne24]]),FALSE)=0,"",TEXT(IFERROR(VLOOKUP(T_BilanSocial[[#This Row],[NumL]],T_TraitDi[#Data],COLUMN(T_TraitDi[[#This Row],[Colonne24]]),FALSE),""),"[hh]:mm"))</f>
        <v>#VALUE!</v>
      </c>
      <c r="BG231" s="178" t="e">
        <f>IF(VLOOKUP(T_BilanSocial[[#This Row],[NumL]],T_TraitDi[#Data],COLUMN(T_TraitDi[[#This Row],[Colonne25]]),FALSE)=0,"",TEXT(IFERROR(VLOOKUP(T_BilanSocial[[#This Row],[NumL]],T_TraitDi[#Data],COLUMN(T_TraitDi[[#This Row],[Colonne25]]),FALSE),""),"[hh]:mm"))</f>
        <v>#VALUE!</v>
      </c>
      <c r="BH231" s="178" t="e">
        <f>IF(VLOOKUP(T_BilanSocial[[#This Row],[NumL]],T_TraitDi[#Data],COLUMN(T_TraitDi[[#This Row],[Colonne26]]),FALSE)=0,"",TEXT(IFERROR(VLOOKUP(T_BilanSocial[[#This Row],[NumL]],T_TraitDi[#Data],COLUMN(T_TraitDi[[#This Row],[Colonne26]]),FALSE),""),"[hh]:mm"))</f>
        <v>#VALUE!</v>
      </c>
      <c r="BI231" s="172" t="str">
        <f>IFERROR(VLOOKUP(T_BilanSocial[[#This Row],[NumL]],T_TraitDi[#Data],COLUMN(T_TraitDi[[#This Row],[Vendredi]]),FALSE),"")</f>
        <v/>
      </c>
      <c r="BJ231" s="172" t="e">
        <f>IF(VLOOKUP(T_BilanSocial[[#This Row],[NumL]],T_TraitDi[#Data],COLUMN(T_TraitDi[[#This Row],[Colonne27]]),FALSE)=0,"",TEXT(IFERROR(VLOOKUP(T_BilanSocial[[#This Row],[NumL]],T_TraitDi[#Data],COLUMN(T_TraitDi[[#This Row],[Colonne27]]),FALSE),""),"[hh]:mm"))</f>
        <v>#VALUE!</v>
      </c>
      <c r="BK231" s="172" t="e">
        <f>IF(VLOOKUP(T_BilanSocial[[#This Row],[NumL]],T_TraitDi[#Data],COLUMN(T_TraitDi[[#This Row],[Colonne28]]),FALSE)=0,"",TEXT(IFERROR(VLOOKUP(T_BilanSocial[[#This Row],[NumL]],T_TraitDi[#Data],COLUMN(T_TraitDi[[#This Row],[Colonne28]]),FALSE),""),"[hh]:mm"))</f>
        <v>#VALUE!</v>
      </c>
      <c r="BL231" s="172" t="str">
        <f>IFERROR(VLOOKUP(T_BilanSocial[[#This Row],[NumL]],T_TraitDi[#Data],COLUMN(T_TraitDi[[#This Row],[Colonne29]]),FALSE),"")</f>
        <v/>
      </c>
      <c r="BM231" s="172" t="e">
        <f>IF(VLOOKUP(T_BilanSocial[[#This Row],[NumL]],T_TraitDi[#Data],COLUMN(T_TraitDi[[#This Row],[Colonne30]]),FALSE)=0,"",TEXT(IFERROR(VLOOKUP(T_BilanSocial[[#This Row],[NumL]],T_TraitDi[#Data],COLUMN(T_TraitDi[[#This Row],[Colonne30]]),FALSE),""),"[hh]:mm"))</f>
        <v>#VALUE!</v>
      </c>
      <c r="BN231" s="172" t="e">
        <f>IF(VLOOKUP(T_BilanSocial[[#This Row],[NumL]],T_TraitDi[#Data],COLUMN(T_TraitDi[[#This Row],[Colonne31]]),FALSE)=0,"",TEXT(IFERROR(VLOOKUP(T_BilanSocial[[#This Row],[NumL]],T_TraitDi[#Data],COLUMN(T_TraitDi[[#This Row],[Colonne31]]),FALSE),""),"[hh]:mm"))</f>
        <v>#VALUE!</v>
      </c>
      <c r="BO231" s="172" t="e">
        <f>IF(VLOOKUP(T_BilanSocial[[#This Row],[NumL]],T_TraitDi[#Data],COLUMN(T_TraitDi[[#This Row],[Colonne32]]),FALSE)=0,"",TEXT(IFERROR(VLOOKUP(T_BilanSocial[[#This Row],[NumL]],T_TraitDi[#Data],COLUMN(T_TraitDi[[#This Row],[Colonne32]]),FALSE),""),"[hh]:mm"))</f>
        <v>#VALUE!</v>
      </c>
      <c r="BP231" s="172" t="e">
        <f>VLOOKUP(T_BilanSocial[[#This Row],[NumL]],T_TraitDi[#Data],COLUMN(T_TraitDi[NbJTot]),FALSE)</f>
        <v>#N/A</v>
      </c>
      <c r="BQ231" s="174" t="str">
        <f>IFERROR(VLOOKUP(T_BilanSocial[[#This Row],[NumL]],T_TraitDi[#Data],COLUMN(T_TraitDi[[#This Row],[NbJTW]]),FALSE),"")</f>
        <v/>
      </c>
      <c r="BR231" s="174" t="e">
        <f>IF(VLOOKUP(T_BilanSocial[[#This Row],[NumL]],T_TraitDi[#Data],COLUMN(T_TraitDi[[#This Row],[NbhTW]]),FALSE)=0,"",TEXT(IFERROR(VLOOKUP(T_BilanSocial[[#This Row],[NumL]],T_TraitDi[#Data],COLUMN(T_TraitDi[[#This Row],[NbhTW]]),FALSE),""),"[hh]:mm"))</f>
        <v>#VALUE!</v>
      </c>
      <c r="BS231" s="174" t="e">
        <f>IF(VLOOKUP(T_BilanSocial[[#This Row],[NumL]],T_TraitDi[#Data],COLUMN(T_TraitDi[[#This Row],[Nbhheb]]),FALSE)=0,"",TEXT(IFERROR(VLOOKUP($A231,T_TraitDi[#Data],COLUMN(T_TraitDi[[#This Row],[Nbhheb]]),FALSE),""),"[hh]:mm"))</f>
        <v>#VALUE!</v>
      </c>
      <c r="BT231" s="182" t="str">
        <f>IFERROR(VLOOKUP(VLOOKUP($A231,T_TraitDi[#Data],COLUMN(T_TraitDi[[#This Row],[Type1]]),FALSE),TypeTW,2,FALSE),"")</f>
        <v/>
      </c>
      <c r="BU231" s="182" t="str">
        <f>IFERROR(VLOOKUP($A231,T_TraitDi[#Data],COLUMN(T_TraitDi[[#This Row],[Rue1]]),FALSE),"")</f>
        <v/>
      </c>
      <c r="BV231" s="173" t="str">
        <f>IFERROR(VLOOKUP($A231,T_TraitDi[#Data],COLUMN(T_TraitDi[[#This Row],[CP1]]),FALSE),"")</f>
        <v/>
      </c>
      <c r="BW231" s="173" t="str">
        <f>IFERROR(VLOOKUP($A231,T_TraitDi[#Data],COLUMN(T_TraitDi[[#This Row],[VILLE1]]),FALSE),"")</f>
        <v/>
      </c>
      <c r="BX231" s="182" t="str">
        <f>IFERROR(VLOOKUP(VLOOKUP($A231,T_TraitDi[#Data],COLUMN(T_TraitDi[[#This Row],[Type2]]),FALSE),TypeTW,2,FALSE),"")</f>
        <v/>
      </c>
      <c r="BY231" s="182" t="str">
        <f>IFERROR(VLOOKUP($A231,T_TraitDi[#Data],COLUMN(T_TraitDi[[#This Row],[Rue2]]),FALSE),"")</f>
        <v/>
      </c>
      <c r="BZ231" s="173" t="str">
        <f>IFERROR(VLOOKUP($A231,T_TraitDi[#Data],COLUMN(T_TraitDi[[#This Row],[CP2]]),FALSE),"")</f>
        <v/>
      </c>
      <c r="CA231" s="173" t="str">
        <f>IFERROR(VLOOKUP($A231,T_TraitDi[#Data],COLUMN(T_TraitDi[[#This Row],[VILLE2]]),FALSE),"")</f>
        <v/>
      </c>
      <c r="CB231" s="182" t="str">
        <f>IF(VLOOKUP(T_BilanSocial[[#This Row],[NumL]],T_Equipement[#Data],COLUMN(T_Equipement[[#This Row],[PC]]),FALSE)="","Aucun équipement spécifique directement lié au télétravail",VLOOKUP(T_BilanSocial[[#This Row],[NumL]],T_Equipement[#Data],COLUMN(T_Equipement[[#This Row],[PC]]),FALSE))</f>
        <v xml:space="preserve">15-168	</v>
      </c>
      <c r="CC231" s="166" t="str">
        <f>IFERROR(IF(VLOOKUP(T_BilanSocial[[#This Row],[NumL]],T_TraitDi[#Data],COLUMN(T_TraitDi[[#This Row],[Plan]]),FALSE)="OK","Un planning spécifique de télétravail est annexé à la présente convention.",""),"")</f>
        <v/>
      </c>
      <c r="CD231" s="258" t="s">
        <v>3302</v>
      </c>
      <c r="CE231" s="164" t="e">
        <f>IF(VLOOKUP(T_BilanSocial[[#This Row],[NumL]],T_suiviDi[#Data],COLUMN(T_suiviDi[[#This Row],[Entité]]),FALSE)="","",VLOOKUP(T_BilanSocial[[#This Row],[NumL]],T_suiviDi[#Data],COLUMN(T_suiviDi[[#This Row],[Entité]]),FALSE))</f>
        <v>#VALUE!</v>
      </c>
      <c r="CF231" s="164" t="str">
        <f>IF(VLOOKUP(T_BilanSocial[[#This Row],[NumL]],T_Commission[#Data],COLUMN(T_Commission[[#This Row],[envoi confirm TW]]),FALSE)="","",VLOOKUP(T_BilanSocial[[#This Row],[NumL]],T_Commission[#Data],COLUMN(T_Commission[[#This Row],[envoi confirm TW]]),FALSE))</f>
        <v>Oui</v>
      </c>
      <c r="CG23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1" s="262" t="str">
        <f>T_BilanSocial[[#This Row],[Nom]]&amp;T_BilanSocial[[#This Row],[Prenom]]</f>
        <v/>
      </c>
      <c r="CI231" s="262">
        <f>VLOOKUP(T_BilanSocial[[#This Row],[NumL]],T_Commission[#Data],COLUMN(T_Commission[Commentaire]),FALSE)</f>
        <v>0</v>
      </c>
      <c r="CJ231" s="262" t="str">
        <f>IF(VLOOKUP(T_BilanSocial[[#This Row],[NumL]],T_Commission[#Data],COLUMN(T_Commission[Encadrant Email]),FALSE)="","",VLOOKUP(T_BilanSocial[[#This Row],[NumL]],T_Commission[#Data],COLUMN(T_Commission[Encadrant Email]),FALSE))</f>
        <v/>
      </c>
      <c r="CK231" s="340" t="str">
        <f>IF(T_BilanSocial[[#This Row],[Final]]&lt;&gt;"",VLOOKUP(T_BilanSocial[[#This Row],[NumL]],T_suiviDi[#Data],COLUMN((T_suiviDi[Statut])),FALSE),"")</f>
        <v/>
      </c>
    </row>
    <row r="232" spans="1:89" s="106" customFormat="1" ht="24.75" customHeight="1" x14ac:dyDescent="0.25">
      <c r="A232" s="160">
        <v>229</v>
      </c>
      <c r="B232" s="161" t="str">
        <f t="shared" si="34"/>
        <v/>
      </c>
      <c r="C232" s="162" t="s">
        <v>139</v>
      </c>
      <c r="D232" s="95" t="e">
        <f>IF(VLOOKUP(T_BilanSocial[[#This Row],[NumL]],T_TraitDi[#Data],COLUMN(T_TraitDi[[#This Row],[WebC]]),FALSE)="","",VLOOKUP(T_BilanSocial[[#This Row],[NumL]],T_TraitDi[#Data],COLUMN(T_TraitDi[[#This Row],[WebC]]),FALSE))</f>
        <v>#VALUE!</v>
      </c>
      <c r="E232" s="163" t="str">
        <f t="shared" si="35"/>
        <v>12 janvier 2021</v>
      </c>
      <c r="F232" s="96" t="str">
        <f>IF(T_BilanSocial[[#This Row],[Final]]&lt;&gt;"",VLOOKUP(T_BilanSocial[[#This Row],[NumL]],T_suiviDi[#Data],COLUMN((T_suiviDi[Civ.])),FALSE),"")</f>
        <v/>
      </c>
      <c r="G232" s="96" t="str">
        <f>IF(T_BilanSocial[[#This Row],[Final]]&lt;&gt;"",VLOOKUP(T_BilanSocial[[#This Row],[NumL]],T_suiviDi[#Data],COLUMN((T_suiviDi[Nom])),FALSE),"")</f>
        <v/>
      </c>
      <c r="H232" s="96" t="str">
        <f>IF(T_BilanSocial[[#This Row],[Final]]&lt;&gt;"",VLOOKUP(T_BilanSocial[[#This Row],[NumL]],T_suiviDi[#Data],COLUMN((T_suiviDi[Prénom])),FALSE),"")</f>
        <v/>
      </c>
      <c r="I232" s="96" t="str">
        <f>IFERROR(VLOOKUP(T_BilanSocial[[#This Row],[Zone_Bilan]],T_P_BilanSocial[#Data],COLUMN(T_P_BilanSocial[[#This Row],[Numero_SIHAM]]),FALSE),"")</f>
        <v/>
      </c>
      <c r="J232" s="96" t="str">
        <f>IFERROR(VLOOKUP(T_BilanSocial[[#This Row],[Zone_Bilan]],T_P_BilanSocial[#Data],COLUMN(T_P_BilanSocial[[#This Row],[Sexe]]),FALSE),"")</f>
        <v/>
      </c>
      <c r="K232" s="97" t="str">
        <f>IFERROR(VLOOKUP(T_BilanSocial[[#This Row],[Zone_Bilan]],T_P_BilanSocial[#Data],COLUMN(T_P_BilanSocial[[#This Row],[Categorie]]),FALSE),"")</f>
        <v/>
      </c>
      <c r="L232" s="96" t="str">
        <f>IFERROR(VLOOKUP(T_BilanSocial[[#This Row],[Zone_Bilan]],T_P_BilanSocial[#Data],COLUMN(T_P_BilanSocial[[#This Row],[Statut]]),FALSE),"")</f>
        <v/>
      </c>
      <c r="M232" s="96" t="str">
        <f>IFERROR(VLOOKUP(T_BilanSocial[[#This Row],[Zone_Bilan]],T_P_BilanSocial[#Data],COLUMN(T_P_BilanSocial[[#This Row],[Filiere]]),FALSE),"")</f>
        <v/>
      </c>
      <c r="N232" s="96" t="e">
        <f>VLOOKUP(T_BilanSocial[[#This Row],[NumL]],T_TraitDi[#Data],COLUMN(T_TraitDi[EXP]),FALSE)</f>
        <v>#N/A</v>
      </c>
      <c r="O232" s="96" t="e">
        <f>VLOOKUP(T_BilanSocial[[#This Row],[NumL]],T_TraitDi[#Data],COLUMN(T_TraitDi[FORM]),FALSE)</f>
        <v>#N/A</v>
      </c>
      <c r="P232" s="96" t="str">
        <f>IF(T_BilanSocial[[#This Row],[Final]]&lt;&gt;"",VLOOKUP(T_BilanSocial[[#This Row],[NumL]],T_suiviDi[#Data],COLUMN((T_suiviDi[Email])),FALSE),"")</f>
        <v/>
      </c>
      <c r="Q232" s="164" t="e">
        <f t="shared" si="40"/>
        <v>#N/A</v>
      </c>
      <c r="R232" s="164" t="e">
        <f t="shared" si="41"/>
        <v>#N/A</v>
      </c>
      <c r="S232" s="164" t="e">
        <f>IF(VLOOKUP(T_BilanSocial[[#This Row],[NumL]],T_suiviDi[#Data],COLUMN(T_suiviDi[[#This Row],[Service ]]),FALSE)="","",VLOOKUP(T_BilanSocial[[#This Row],[NumL]],T_suiviDi[#Data],COLUMN(T_suiviDi[[#This Row],[Service ]]),FALSE))</f>
        <v>#VALUE!</v>
      </c>
      <c r="T232" s="164" t="str">
        <f t="shared" si="36"/>
        <v>01 septembre 2021</v>
      </c>
      <c r="U232" s="164" t="str">
        <f t="shared" si="37"/>
        <v>30 novembre 2021</v>
      </c>
      <c r="V232" s="192">
        <f>Datebilan</f>
        <v>44530</v>
      </c>
      <c r="W232" s="176" t="e">
        <f>IF(VLOOKUP(T_BilanSocial[[#This Row],[NumL]],T_TraitDi[#Data],COLUMN(T_TraitDi[[#This Row],[M1]]),FALSE)="","",VLOOKUP(T_BilanSocial[[#This Row],[NumL]],T_TraitDi[#Data],COLUMN(T_TraitDi[[#This Row],[M1]]),FALSE))</f>
        <v>#VALUE!</v>
      </c>
      <c r="X232" s="176" t="e">
        <f>IF(VLOOKUP(T_BilanSocial[[#This Row],[NumL]],T_TraitDi[#Data],COLUMN(T_TraitDi[[#This Row],[M2]]),FALSE)="","",VLOOKUP(T_BilanSocial[[#This Row],[NumL]],T_TraitDi[#Data],COLUMN(T_TraitDi[[#This Row],[M2]]),FALSE))</f>
        <v>#VALUE!</v>
      </c>
      <c r="Y232" s="176" t="e">
        <f>IF(VLOOKUP(T_BilanSocial[[#This Row],[NumL]],T_TraitDi[#Data],COLUMN(T_TraitDi[[#This Row],[M3]]),FALSE)="","",VLOOKUP(T_BilanSocial[[#This Row],[NumL]],T_TraitDi[#Data],COLUMN(T_TraitDi[[#This Row],[M3]]),FALSE))</f>
        <v>#VALUE!</v>
      </c>
      <c r="Z232" s="176" t="str">
        <f t="shared" si="39"/>
        <v/>
      </c>
      <c r="AA232" s="176" t="e">
        <f>IF(VLOOKUP(T_BilanSocial[[#This Row],[NumL]],T_TraitDi[#Data],COLUMN(T_TraitDi[[#This Row],[M5]]),FALSE)="","",VLOOKUP(T_BilanSocial[[#This Row],[NumL]],T_TraitDi[#Data],COLUMN(T_TraitDi[[#This Row],[M5]]),FALSE))</f>
        <v>#VALUE!</v>
      </c>
      <c r="AB232" s="176" t="e">
        <f>IF(VLOOKUP(T_BilanSocial[[#This Row],[NumL]],T_TraitDi[#Data],COLUMN(T_TraitDi[[#This Row],[M6]]),FALSE)="","",VLOOKUP(T_BilanSocial[[#This Row],[NumL]],T_TraitDi[#Data],COLUMN(T_TraitDi[[#This Row],[M6]]),FALSE))</f>
        <v>#VALUE!</v>
      </c>
      <c r="AC232" s="165" t="e">
        <f t="shared" si="38"/>
        <v>#VALUE!</v>
      </c>
      <c r="AD232" s="188" t="str">
        <f>IFERROR(TEXT(VLOOKUP(T_BilanSocial[[#This Row],[NumL]],T_TraitDi[#Data],COLUMN(T_TraitDi[[#This Row],[Q2]]),FALSE),"###%"),"")</f>
        <v/>
      </c>
      <c r="AE232" s="97" t="e">
        <f>VLOOKUP(T_BilanSocial[[#This Row],[NumL]],T_TraitDi[#Data],COLUMN(T_TraitDi[[#This Row],[Reg Ponct]]),FALSE)</f>
        <v>#VALUE!</v>
      </c>
      <c r="AF232" s="97" t="e">
        <f>VLOOKUP(T_BilanSocial[NumL],T_TraitDi[#Data],COLUMN(T_TraitDi[[#This Row],[Jours flottants]]),FALSE)</f>
        <v>#VALUE!</v>
      </c>
      <c r="AG232" s="97" t="str">
        <f>IFERROR(VLOOKUP(T_BilanSocial[[#This Row],[NumL]],T_TraitDi[#Data],COLUMN(T_TraitDi[[#This Row],[Lundi]]),FALSE),"")</f>
        <v/>
      </c>
      <c r="AH232" s="172" t="e">
        <f>IF(VLOOKUP(T_BilanSocial[[#This Row],[NumL]],T_TraitDi[#Data],COLUMN(T_TraitDi[[#This Row],[Colonne3]]),FALSE)=0,"",TEXT(IFERROR(VLOOKUP(T_BilanSocial[[#This Row],[NumL]],T_TraitDi[#Data],COLUMN(T_TraitDi[[#This Row],[Colonne3]]),FALSE),""),"[hh]:mm"))</f>
        <v>#VALUE!</v>
      </c>
      <c r="AI232" s="172" t="e">
        <f>IF(VLOOKUP(T_BilanSocial[[#This Row],[NumL]],T_TraitDi[#Data],COLUMN(T_TraitDi[[#This Row],[Colonne4]]),FALSE)=0,"",TEXT(IFERROR(VLOOKUP(T_BilanSocial[[#This Row],[NumL]],T_TraitDi[#Data],COLUMN(T_TraitDi[[#This Row],[Colonne4]]),FALSE),""),"[hh]:mm"))</f>
        <v>#VALUE!</v>
      </c>
      <c r="AJ232" s="172" t="e">
        <f>IF(VLOOKUP(T_BilanSocial[[#This Row],[NumL]],T_TraitDi[#Data],COLUMN(T_TraitDi[[#This Row],[Colonne5]]),FALSE)=0,"",TEXT(IFERROR(VLOOKUP(T_BilanSocial[[#This Row],[NumL]],T_TraitDi[#Data],COLUMN(T_TraitDi[[#This Row],[Colonne5]]),FALSE),""),"[hh]:mm"))</f>
        <v>#VALUE!</v>
      </c>
      <c r="AK232" s="172" t="e">
        <f>IF(VLOOKUP(T_BilanSocial[[#This Row],[NumL]],T_TraitDi[#Data],COLUMN(T_TraitDi[[#This Row],[Colonne6]]),FALSE)=0,"",TEXT(IFERROR(VLOOKUP(T_BilanSocial[[#This Row],[NumL]],T_TraitDi[#Data],COLUMN(T_TraitDi[[#This Row],[Colonne6]]),FALSE),""),"[hh]:mm"))</f>
        <v>#VALUE!</v>
      </c>
      <c r="AL232" s="172" t="e">
        <f>IF(VLOOKUP(T_BilanSocial[[#This Row],[NumL]],T_TraitDi[#Data],COLUMN(T_TraitDi[[#This Row],[Colonne7]]),FALSE)=0,"",TEXT(IFERROR(VLOOKUP(T_BilanSocial[[#This Row],[NumL]],T_TraitDi[#Data],COLUMN(T_TraitDi[[#This Row],[Colonne7]]),FALSE),""),"[hh]:mm"))</f>
        <v>#VALUE!</v>
      </c>
      <c r="AM232" s="172" t="e">
        <f>IF(VLOOKUP(T_BilanSocial[[#This Row],[NumL]],T_TraitDi[#Data],COLUMN(T_TraitDi[[#This Row],[Colonne8]]),FALSE)=0,"",TEXT(IFERROR(VLOOKUP(T_BilanSocial[[#This Row],[NumL]],T_TraitDi[#Data],COLUMN(T_TraitDi[[#This Row],[Colonne8]]),FALSE),""),"[hh]:mm"))</f>
        <v>#VALUE!</v>
      </c>
      <c r="AN232" s="172" t="str">
        <f>IFERROR(VLOOKUP(T_BilanSocial[[#This Row],[NumL]],T_TraitDi[#Data],COLUMN(T_TraitDi[[#This Row],[Mardi]]),FALSE),"")</f>
        <v/>
      </c>
      <c r="AO232" s="172" t="e">
        <f>IF(VLOOKUP(T_BilanSocial[[#This Row],[NumL]],T_TraitDi[#Data],COLUMN(T_TraitDi[[#This Row],[Colonne1]]),FALSE)=0,"",TEXT(IFERROR(VLOOKUP(T_BilanSocial[[#This Row],[NumL]],T_TraitDi[#Data],COLUMN(T_TraitDi[[#This Row],[Colonne1]]),FALSE),""),"[hh]:mm"))</f>
        <v>#VALUE!</v>
      </c>
      <c r="AP232" s="172" t="e">
        <f>IF(VLOOKUP(T_BilanSocial[[#This Row],[NumL]],T_TraitDi[#Data],COLUMN(T_TraitDi[[#This Row],[Colonne9]]),FALSE)=0,"",TEXT(IFERROR(VLOOKUP(T_BilanSocial[[#This Row],[NumL]],T_TraitDi[#Data],COLUMN(T_TraitDi[[#This Row],[Colonne9]]),FALSE),""),"[hh]:mm"))</f>
        <v>#VALUE!</v>
      </c>
      <c r="AQ232" s="172" t="str">
        <f>IFERROR(VLOOKUP(T_BilanSocial[[#This Row],[NumL]],T_TraitDi[#Data],COLUMN(T_TraitDi[[#This Row],[Colonne10]]),FALSE),"")</f>
        <v/>
      </c>
      <c r="AR232" s="172" t="e">
        <f>IF(VLOOKUP(T_BilanSocial[[#This Row],[NumL]],T_TraitDi[#Data],COLUMN(T_TraitDi[[#This Row],[Colonne11]]),FALSE)=0,"",TEXT(IFERROR(VLOOKUP(T_BilanSocial[[#This Row],[NumL]],T_TraitDi[#Data],COLUMN(T_TraitDi[[#This Row],[Colonne11]]),FALSE),""),"[hh]:mm"))</f>
        <v>#VALUE!</v>
      </c>
      <c r="AS232" s="172" t="e">
        <f>IF(VLOOKUP(T_BilanSocial[[#This Row],[NumL]],T_TraitDi[#Data],COLUMN(T_TraitDi[[#This Row],[Colonne12]]),FALSE)=0,"",TEXT(IFERROR(VLOOKUP(T_BilanSocial[[#This Row],[NumL]],T_TraitDi[#Data],COLUMN(T_TraitDi[[#This Row],[Colonne12]]),FALSE),""),"[hh]:mm"))</f>
        <v>#VALUE!</v>
      </c>
      <c r="AT232" s="172" t="e">
        <f>IF(VLOOKUP(T_BilanSocial[[#This Row],[NumL]],T_TraitDi[#Data],COLUMN(T_TraitDi[[#This Row],[Colonne14]]),FALSE)=0,"",TEXT(IFERROR(VLOOKUP(T_BilanSocial[[#This Row],[NumL]],T_TraitDi[#Data],COLUMN(T_TraitDi[[#This Row],[Colonne14]]),FALSE),""),"[hh]:mm"))</f>
        <v>#VALUE!</v>
      </c>
      <c r="AU232" s="172" t="str">
        <f>IFERROR(VLOOKUP(T_BilanSocial[[#This Row],[NumL]],T_TraitDi[#Data],COLUMN(T_TraitDi[[#This Row],[Mercredi]]),FALSE),"")</f>
        <v/>
      </c>
      <c r="AV232" s="172" t="e">
        <f>IF(VLOOKUP(T_BilanSocial[[#This Row],[NumL]],T_TraitDi[#Data],COLUMN(T_TraitDi[[#This Row],[Colonne15]]),FALSE)=0,"",TEXT(IFERROR(VLOOKUP(T_BilanSocial[[#This Row],[NumL]],T_TraitDi[#Data],COLUMN(T_TraitDi[[#This Row],[Colonne15]]),FALSE),""),"[hh]:mm"))</f>
        <v>#VALUE!</v>
      </c>
      <c r="AW232" s="172" t="e">
        <f>IF(VLOOKUP(T_BilanSocial[[#This Row],[NumL]],T_TraitDi[#Data],COLUMN(T_TraitDi[[#This Row],[Colonne16]]),FALSE)=0,"",TEXT(IFERROR(VLOOKUP(T_BilanSocial[[#This Row],[NumL]],T_TraitDi[#Data],COLUMN(T_TraitDi[[#This Row],[Colonne16]]),FALSE),""),"[hh]:mm"))</f>
        <v>#VALUE!</v>
      </c>
      <c r="AX232" s="172" t="str">
        <f>IFERROR(VLOOKUP(T_BilanSocial[[#This Row],[NumL]],T_TraitDi[#Data],COLUMN(T_TraitDi[[#This Row],[Colonne17]]),FALSE),"")</f>
        <v/>
      </c>
      <c r="AY232" s="172" t="e">
        <f>IF(VLOOKUP(T_BilanSocial[[#This Row],[NumL]],T_TraitDi[#Data],COLUMN(T_TraitDi[[#This Row],[Colonne18]]),FALSE)=0,"",TEXT(IFERROR(VLOOKUP(T_BilanSocial[[#This Row],[NumL]],T_TraitDi[#Data],COLUMN(T_TraitDi[[#This Row],[Colonne18]]),FALSE),""),"[hh]:mm"))</f>
        <v>#VALUE!</v>
      </c>
      <c r="AZ232" s="172" t="e">
        <f>IF(VLOOKUP(T_BilanSocial[[#This Row],[NumL]],T_TraitDi[#Data],COLUMN(T_TraitDi[[#This Row],[Colonne19]]),FALSE)=0,"",TEXT(IFERROR(VLOOKUP(T_BilanSocial[[#This Row],[NumL]],T_TraitDi[#Data],COLUMN(T_TraitDi[[#This Row],[Colonne19]]),FALSE),""),"[hh]:mm"))</f>
        <v>#VALUE!</v>
      </c>
      <c r="BA232" s="172" t="e">
        <f>IF(VLOOKUP(T_BilanSocial[[#This Row],[NumL]],T_TraitDi[#Data],COLUMN(T_TraitDi[[#This Row],[Colonne20]]),FALSE)=0,"",TEXT(IFERROR(VLOOKUP(T_BilanSocial[[#This Row],[NumL]],T_TraitDi[#Data],COLUMN(T_TraitDi[[#This Row],[Colonne20]]),FALSE),""),"[hh]:mm"))</f>
        <v>#VALUE!</v>
      </c>
      <c r="BB232" s="178" t="str">
        <f>IFERROR(VLOOKUP(T_BilanSocial[[#This Row],[NumL]],T_TraitDi[#Data],COLUMN(T_TraitDi[[#This Row],[Jeudi]]),FALSE),"")</f>
        <v/>
      </c>
      <c r="BC232" s="178" t="e">
        <f>IF(VLOOKUP(T_BilanSocial[[#This Row],[NumL]],T_TraitDi[#Data],COLUMN(T_TraitDi[[#This Row],[Colonne21]]),FALSE)=0,"",TEXT(IFERROR(VLOOKUP(T_BilanSocial[[#This Row],[NumL]],T_TraitDi[#Data],COLUMN(T_TraitDi[[#This Row],[Colonne21]]),FALSE),""),"[hh]:mm"))</f>
        <v>#VALUE!</v>
      </c>
      <c r="BD232" s="178" t="e">
        <f>IF(VLOOKUP(T_BilanSocial[[#This Row],[NumL]],T_TraitDi[#Data],COLUMN(T_TraitDi[[#This Row],[Colonne22]]),FALSE)=0,"",TEXT(IFERROR(VLOOKUP(T_BilanSocial[[#This Row],[NumL]],T_TraitDi[#Data],COLUMN(T_TraitDi[[#This Row],[Colonne22]]),FALSE),""),"[hh]:mm"))</f>
        <v>#VALUE!</v>
      </c>
      <c r="BE232" s="178" t="str">
        <f>IFERROR(VLOOKUP(T_BilanSocial[[#This Row],[NumL]],T_TraitDi[#Data],COLUMN(T_TraitDi[[#This Row],[Colonne23]]),FALSE),"")</f>
        <v/>
      </c>
      <c r="BF232" s="178" t="e">
        <f>IF(VLOOKUP(T_BilanSocial[[#This Row],[NumL]],T_TraitDi[#Data],COLUMN(T_TraitDi[[#This Row],[Colonne24]]),FALSE)=0,"",TEXT(IFERROR(VLOOKUP(T_BilanSocial[[#This Row],[NumL]],T_TraitDi[#Data],COLUMN(T_TraitDi[[#This Row],[Colonne24]]),FALSE),""),"[hh]:mm"))</f>
        <v>#VALUE!</v>
      </c>
      <c r="BG232" s="178" t="e">
        <f>IF(VLOOKUP(T_BilanSocial[[#This Row],[NumL]],T_TraitDi[#Data],COLUMN(T_TraitDi[[#This Row],[Colonne25]]),FALSE)=0,"",TEXT(IFERROR(VLOOKUP(T_BilanSocial[[#This Row],[NumL]],T_TraitDi[#Data],COLUMN(T_TraitDi[[#This Row],[Colonne25]]),FALSE),""),"[hh]:mm"))</f>
        <v>#VALUE!</v>
      </c>
      <c r="BH232" s="178" t="e">
        <f>IF(VLOOKUP(T_BilanSocial[[#This Row],[NumL]],T_TraitDi[#Data],COLUMN(T_TraitDi[[#This Row],[Colonne26]]),FALSE)=0,"",TEXT(IFERROR(VLOOKUP(T_BilanSocial[[#This Row],[NumL]],T_TraitDi[#Data],COLUMN(T_TraitDi[[#This Row],[Colonne26]]),FALSE),""),"[hh]:mm"))</f>
        <v>#VALUE!</v>
      </c>
      <c r="BI232" s="172" t="str">
        <f>IFERROR(VLOOKUP(T_BilanSocial[[#This Row],[NumL]],T_TraitDi[#Data],COLUMN(T_TraitDi[[#This Row],[Vendredi]]),FALSE),"")</f>
        <v/>
      </c>
      <c r="BJ232" s="172" t="e">
        <f>IF(VLOOKUP(T_BilanSocial[[#This Row],[NumL]],T_TraitDi[#Data],COLUMN(T_TraitDi[[#This Row],[Colonne27]]),FALSE)=0,"",TEXT(IFERROR(VLOOKUP(T_BilanSocial[[#This Row],[NumL]],T_TraitDi[#Data],COLUMN(T_TraitDi[[#This Row],[Colonne27]]),FALSE),""),"[hh]:mm"))</f>
        <v>#VALUE!</v>
      </c>
      <c r="BK232" s="172" t="e">
        <f>IF(VLOOKUP(T_BilanSocial[[#This Row],[NumL]],T_TraitDi[#Data],COLUMN(T_TraitDi[[#This Row],[Colonne28]]),FALSE)=0,"",TEXT(IFERROR(VLOOKUP(T_BilanSocial[[#This Row],[NumL]],T_TraitDi[#Data],COLUMN(T_TraitDi[[#This Row],[Colonne28]]),FALSE),""),"[hh]:mm"))</f>
        <v>#VALUE!</v>
      </c>
      <c r="BL232" s="172" t="str">
        <f>IFERROR(VLOOKUP(T_BilanSocial[[#This Row],[NumL]],T_TraitDi[#Data],COLUMN(T_TraitDi[[#This Row],[Colonne29]]),FALSE),"")</f>
        <v/>
      </c>
      <c r="BM232" s="172" t="e">
        <f>IF(VLOOKUP(T_BilanSocial[[#This Row],[NumL]],T_TraitDi[#Data],COLUMN(T_TraitDi[[#This Row],[Colonne30]]),FALSE)=0,"",TEXT(IFERROR(VLOOKUP(T_BilanSocial[[#This Row],[NumL]],T_TraitDi[#Data],COLUMN(T_TraitDi[[#This Row],[Colonne30]]),FALSE),""),"[hh]:mm"))</f>
        <v>#VALUE!</v>
      </c>
      <c r="BN232" s="172" t="e">
        <f>IF(VLOOKUP(T_BilanSocial[[#This Row],[NumL]],T_TraitDi[#Data],COLUMN(T_TraitDi[[#This Row],[Colonne31]]),FALSE)=0,"",TEXT(IFERROR(VLOOKUP(T_BilanSocial[[#This Row],[NumL]],T_TraitDi[#Data],COLUMN(T_TraitDi[[#This Row],[Colonne31]]),FALSE),""),"[hh]:mm"))</f>
        <v>#VALUE!</v>
      </c>
      <c r="BO232" s="172" t="e">
        <f>IF(VLOOKUP(T_BilanSocial[[#This Row],[NumL]],T_TraitDi[#Data],COLUMN(T_TraitDi[[#This Row],[Colonne32]]),FALSE)=0,"",TEXT(IFERROR(VLOOKUP(T_BilanSocial[[#This Row],[NumL]],T_TraitDi[#Data],COLUMN(T_TraitDi[[#This Row],[Colonne32]]),FALSE),""),"[hh]:mm"))</f>
        <v>#VALUE!</v>
      </c>
      <c r="BP232" s="172" t="e">
        <f>VLOOKUP(T_BilanSocial[[#This Row],[NumL]],T_TraitDi[#Data],COLUMN(T_TraitDi[NbJTot]),FALSE)</f>
        <v>#N/A</v>
      </c>
      <c r="BQ232" s="174" t="str">
        <f>IFERROR(VLOOKUP(T_BilanSocial[[#This Row],[NumL]],T_TraitDi[#Data],COLUMN(T_TraitDi[[#This Row],[NbJTW]]),FALSE),"")</f>
        <v/>
      </c>
      <c r="BR232" s="174" t="e">
        <f>IF(VLOOKUP(T_BilanSocial[[#This Row],[NumL]],T_TraitDi[#Data],COLUMN(T_TraitDi[[#This Row],[NbhTW]]),FALSE)=0,"",TEXT(IFERROR(VLOOKUP(T_BilanSocial[[#This Row],[NumL]],T_TraitDi[#Data],COLUMN(T_TraitDi[[#This Row],[NbhTW]]),FALSE),""),"[hh]:mm"))</f>
        <v>#VALUE!</v>
      </c>
      <c r="BS232" s="174" t="e">
        <f>IF(VLOOKUP(T_BilanSocial[[#This Row],[NumL]],T_TraitDi[#Data],COLUMN(T_TraitDi[[#This Row],[Nbhheb]]),FALSE)=0,"",TEXT(IFERROR(VLOOKUP($A232,T_TraitDi[#Data],COLUMN(T_TraitDi[[#This Row],[Nbhheb]]),FALSE),""),"[hh]:mm"))</f>
        <v>#VALUE!</v>
      </c>
      <c r="BT232" s="182" t="str">
        <f>IFERROR(VLOOKUP(VLOOKUP($A232,T_TraitDi[#Data],COLUMN(T_TraitDi[[#This Row],[Type1]]),FALSE),TypeTW,2,FALSE),"")</f>
        <v/>
      </c>
      <c r="BU232" s="182" t="str">
        <f>IFERROR(VLOOKUP($A232,T_TraitDi[#Data],COLUMN(T_TraitDi[[#This Row],[Rue1]]),FALSE),"")</f>
        <v/>
      </c>
      <c r="BV232" s="173" t="str">
        <f>IFERROR(VLOOKUP($A232,T_TraitDi[#Data],COLUMN(T_TraitDi[[#This Row],[CP1]]),FALSE),"")</f>
        <v/>
      </c>
      <c r="BW232" s="173" t="str">
        <f>IFERROR(VLOOKUP($A232,T_TraitDi[#Data],COLUMN(T_TraitDi[[#This Row],[VILLE1]]),FALSE),"")</f>
        <v/>
      </c>
      <c r="BX232" s="182" t="str">
        <f>IFERROR(VLOOKUP(VLOOKUP($A232,T_TraitDi[#Data],COLUMN(T_TraitDi[[#This Row],[Type2]]),FALSE),TypeTW,2,FALSE),"")</f>
        <v/>
      </c>
      <c r="BY232" s="182" t="str">
        <f>IFERROR(VLOOKUP($A232,T_TraitDi[#Data],COLUMN(T_TraitDi[[#This Row],[Rue2]]),FALSE),"")</f>
        <v/>
      </c>
      <c r="BZ232" s="173" t="str">
        <f>IFERROR(VLOOKUP($A232,T_TraitDi[#Data],COLUMN(T_TraitDi[[#This Row],[CP2]]),FALSE),"")</f>
        <v/>
      </c>
      <c r="CA232" s="173" t="str">
        <f>IFERROR(VLOOKUP($A232,T_TraitDi[#Data],COLUMN(T_TraitDi[[#This Row],[VILLE2]]),FALSE),"")</f>
        <v/>
      </c>
      <c r="CB232" s="182" t="str">
        <f>IF(VLOOKUP(T_BilanSocial[[#This Row],[NumL]],T_Equipement[#Data],COLUMN(T_Equipement[[#This Row],[PC]]),FALSE)="","Aucun équipement spécifique directement lié au télétravail",VLOOKUP(T_BilanSocial[[#This Row],[NumL]],T_Equipement[#Data],COLUMN(T_Equipement[[#This Row],[PC]]),FALSE))</f>
        <v xml:space="preserve">20-488	</v>
      </c>
      <c r="CC232" s="166" t="str">
        <f>IFERROR(IF(VLOOKUP(T_BilanSocial[[#This Row],[NumL]],T_TraitDi[#Data],COLUMN(T_TraitDi[[#This Row],[Plan]]),FALSE)="OK","Un planning spécifique de télétravail est annexé à la présente convention.",""),"")</f>
        <v/>
      </c>
      <c r="CD232" s="185"/>
      <c r="CE232" s="164" t="e">
        <f>IF(VLOOKUP(T_BilanSocial[[#This Row],[NumL]],T_suiviDi[#Data],COLUMN(T_suiviDi[[#This Row],[Entité]]),FALSE)="","",VLOOKUP(T_BilanSocial[[#This Row],[NumL]],T_suiviDi[#Data],COLUMN(T_suiviDi[[#This Row],[Entité]]),FALSE))</f>
        <v>#VALUE!</v>
      </c>
      <c r="CF232" s="164" t="str">
        <f>IF(VLOOKUP(T_BilanSocial[[#This Row],[NumL]],T_Commission[#Data],COLUMN(T_Commission[[#This Row],[envoi confirm TW]]),FALSE)="","",VLOOKUP(T_BilanSocial[[#This Row],[NumL]],T_Commission[#Data],COLUMN(T_Commission[[#This Row],[envoi confirm TW]]),FALSE))</f>
        <v>Oui</v>
      </c>
      <c r="CG23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2" s="262" t="str">
        <f>T_BilanSocial[[#This Row],[Nom]]&amp;T_BilanSocial[[#This Row],[Prenom]]</f>
        <v/>
      </c>
      <c r="CI232" s="262">
        <f>VLOOKUP(T_BilanSocial[[#This Row],[NumL]],T_Commission[#Data],COLUMN(T_Commission[Commentaire]),FALSE)</f>
        <v>0</v>
      </c>
      <c r="CJ232" s="262" t="str">
        <f>IF(VLOOKUP(T_BilanSocial[[#This Row],[NumL]],T_Commission[#Data],COLUMN(T_Commission[Encadrant Email]),FALSE)="","",VLOOKUP(T_BilanSocial[[#This Row],[NumL]],T_Commission[#Data],COLUMN(T_Commission[Encadrant Email]),FALSE))</f>
        <v/>
      </c>
      <c r="CK232" s="340" t="str">
        <f>IF(T_BilanSocial[[#This Row],[Final]]&lt;&gt;"",VLOOKUP(T_BilanSocial[[#This Row],[NumL]],T_suiviDi[#Data],COLUMN((T_suiviDi[Statut])),FALSE),"")</f>
        <v/>
      </c>
    </row>
    <row r="233" spans="1:89" s="106" customFormat="1" ht="24.75" customHeight="1" x14ac:dyDescent="0.25">
      <c r="A233" s="160">
        <v>230</v>
      </c>
      <c r="B233" s="161" t="str">
        <f t="shared" si="34"/>
        <v/>
      </c>
      <c r="C233" s="162" t="s">
        <v>173</v>
      </c>
      <c r="D233" s="95" t="e">
        <f>IF(VLOOKUP(T_BilanSocial[[#This Row],[NumL]],T_TraitDi[#Data],COLUMN(T_TraitDi[[#This Row],[WebC]]),FALSE)="","",VLOOKUP(T_BilanSocial[[#This Row],[NumL]],T_TraitDi[#Data],COLUMN(T_TraitDi[[#This Row],[WebC]]),FALSE))</f>
        <v>#VALUE!</v>
      </c>
      <c r="E233" s="163" t="str">
        <f t="shared" si="35"/>
        <v>12 janvier 2021</v>
      </c>
      <c r="F233" s="96" t="str">
        <f>IF(T_BilanSocial[[#This Row],[Final]]&lt;&gt;"",VLOOKUP(T_BilanSocial[[#This Row],[NumL]],T_suiviDi[#Data],COLUMN((T_suiviDi[Civ.])),FALSE),"")</f>
        <v/>
      </c>
      <c r="G233" s="96" t="str">
        <f>IF(T_BilanSocial[[#This Row],[Final]]&lt;&gt;"",VLOOKUP(T_BilanSocial[[#This Row],[NumL]],T_suiviDi[#Data],COLUMN((T_suiviDi[Nom])),FALSE),"")</f>
        <v/>
      </c>
      <c r="H233" s="96" t="str">
        <f>IF(T_BilanSocial[[#This Row],[Final]]&lt;&gt;"",VLOOKUP(T_BilanSocial[[#This Row],[NumL]],T_suiviDi[#Data],COLUMN((T_suiviDi[Prénom])),FALSE),"")</f>
        <v/>
      </c>
      <c r="I233" s="96" t="str">
        <f>IFERROR(VLOOKUP(T_BilanSocial[[#This Row],[Zone_Bilan]],T_P_BilanSocial[#Data],COLUMN(T_P_BilanSocial[[#This Row],[Numero_SIHAM]]),FALSE),"")</f>
        <v/>
      </c>
      <c r="J233" s="96" t="str">
        <f>IFERROR(VLOOKUP(T_BilanSocial[[#This Row],[Zone_Bilan]],T_P_BilanSocial[#Data],COLUMN(T_P_BilanSocial[[#This Row],[Sexe]]),FALSE),"")</f>
        <v/>
      </c>
      <c r="K233" s="97" t="str">
        <f>IFERROR(VLOOKUP(T_BilanSocial[[#This Row],[Zone_Bilan]],T_P_BilanSocial[#Data],COLUMN(T_P_BilanSocial[[#This Row],[Categorie]]),FALSE),"")</f>
        <v/>
      </c>
      <c r="L233" s="96" t="str">
        <f>IFERROR(VLOOKUP(T_BilanSocial[[#This Row],[Zone_Bilan]],T_P_BilanSocial[#Data],COLUMN(T_P_BilanSocial[[#This Row],[Statut]]),FALSE),"")</f>
        <v/>
      </c>
      <c r="M233" s="96" t="str">
        <f>IFERROR(VLOOKUP(T_BilanSocial[[#This Row],[Zone_Bilan]],T_P_BilanSocial[#Data],COLUMN(T_P_BilanSocial[[#This Row],[Filiere]]),FALSE),"")</f>
        <v/>
      </c>
      <c r="N233" s="96" t="e">
        <f>VLOOKUP(T_BilanSocial[[#This Row],[NumL]],T_TraitDi[#Data],COLUMN(T_TraitDi[EXP]),FALSE)</f>
        <v>#N/A</v>
      </c>
      <c r="O233" s="96" t="e">
        <f>VLOOKUP(T_BilanSocial[[#This Row],[NumL]],T_TraitDi[#Data],COLUMN(T_TraitDi[FORM]),FALSE)</f>
        <v>#N/A</v>
      </c>
      <c r="P233" s="96" t="str">
        <f>IF(T_BilanSocial[[#This Row],[Final]]&lt;&gt;"",VLOOKUP(T_BilanSocial[[#This Row],[NumL]],T_suiviDi[#Data],COLUMN((T_suiviDi[Email])),FALSE),"")</f>
        <v/>
      </c>
      <c r="Q233" s="164" t="e">
        <f t="shared" si="40"/>
        <v>#N/A</v>
      </c>
      <c r="R233" s="164" t="e">
        <f t="shared" si="41"/>
        <v>#N/A</v>
      </c>
      <c r="S233" s="164" t="e">
        <f>IF(VLOOKUP(T_BilanSocial[[#This Row],[NumL]],T_suiviDi[#Data],COLUMN(T_suiviDi[[#This Row],[Service ]]),FALSE)="","",VLOOKUP(T_BilanSocial[[#This Row],[NumL]],T_suiviDi[#Data],COLUMN(T_suiviDi[[#This Row],[Service ]]),FALSE))</f>
        <v>#VALUE!</v>
      </c>
      <c r="T233" s="164" t="str">
        <f t="shared" si="36"/>
        <v>01 septembre 2021</v>
      </c>
      <c r="U233" s="164" t="str">
        <f t="shared" si="37"/>
        <v>30 novembre 2021</v>
      </c>
      <c r="V233" s="164" t="str">
        <f>TEXT(Datebilan,"jj mmmm aaaa")</f>
        <v>30 novembre 2021</v>
      </c>
      <c r="W233" s="176" t="e">
        <f>IF(VLOOKUP(T_BilanSocial[[#This Row],[NumL]],T_TraitDi[#Data],COLUMN(T_TraitDi[[#This Row],[M1]]),FALSE)="","",VLOOKUP(T_BilanSocial[[#This Row],[NumL]],T_TraitDi[#Data],COLUMN(T_TraitDi[[#This Row],[M1]]),FALSE))</f>
        <v>#VALUE!</v>
      </c>
      <c r="X233" s="176" t="e">
        <f>IF(VLOOKUP(T_BilanSocial[[#This Row],[NumL]],T_TraitDi[#Data],COLUMN(T_TraitDi[[#This Row],[M2]]),FALSE)="","",VLOOKUP(T_BilanSocial[[#This Row],[NumL]],T_TraitDi[#Data],COLUMN(T_TraitDi[[#This Row],[M2]]),FALSE))</f>
        <v>#VALUE!</v>
      </c>
      <c r="Y233" s="176" t="e">
        <f>IF(VLOOKUP(T_BilanSocial[[#This Row],[NumL]],T_TraitDi[#Data],COLUMN(T_TraitDi[[#This Row],[M3]]),FALSE)="","",VLOOKUP(T_BilanSocial[[#This Row],[NumL]],T_TraitDi[#Data],COLUMN(T_TraitDi[[#This Row],[M3]]),FALSE))</f>
        <v>#VALUE!</v>
      </c>
      <c r="Z233" s="176" t="str">
        <f t="shared" si="39"/>
        <v/>
      </c>
      <c r="AA233" s="176" t="e">
        <f>IF(VLOOKUP(T_BilanSocial[[#This Row],[NumL]],T_TraitDi[#Data],COLUMN(T_TraitDi[[#This Row],[M5]]),FALSE)="","",VLOOKUP(T_BilanSocial[[#This Row],[NumL]],T_TraitDi[#Data],COLUMN(T_TraitDi[[#This Row],[M5]]),FALSE))</f>
        <v>#VALUE!</v>
      </c>
      <c r="AB233" s="176" t="e">
        <f>IF(VLOOKUP(T_BilanSocial[[#This Row],[NumL]],T_TraitDi[#Data],COLUMN(T_TraitDi[[#This Row],[M6]]),FALSE)="","",VLOOKUP(T_BilanSocial[[#This Row],[NumL]],T_TraitDi[#Data],COLUMN(T_TraitDi[[#This Row],[M6]]),FALSE))</f>
        <v>#VALUE!</v>
      </c>
      <c r="AC233" s="165" t="e">
        <f t="shared" si="38"/>
        <v>#VALUE!</v>
      </c>
      <c r="AD233" s="188" t="str">
        <f>IFERROR(TEXT(VLOOKUP(T_BilanSocial[[#This Row],[NumL]],T_TraitDi[#Data],COLUMN(T_TraitDi[[#This Row],[Q2]]),FALSE),"###%"),"")</f>
        <v/>
      </c>
      <c r="AE233" s="97" t="e">
        <f>VLOOKUP(T_BilanSocial[[#This Row],[NumL]],T_TraitDi[#Data],COLUMN(T_TraitDi[[#This Row],[Reg Ponct]]),FALSE)</f>
        <v>#VALUE!</v>
      </c>
      <c r="AF233" s="97" t="e">
        <f>VLOOKUP(T_BilanSocial[NumL],T_TraitDi[#Data],COLUMN(T_TraitDi[[#This Row],[Jours flottants]]),FALSE)</f>
        <v>#VALUE!</v>
      </c>
      <c r="AG233" s="97" t="str">
        <f>IFERROR(VLOOKUP(T_BilanSocial[[#This Row],[NumL]],T_TraitDi[#Data],COLUMN(T_TraitDi[[#This Row],[Lundi]]),FALSE),"")</f>
        <v/>
      </c>
      <c r="AH233" s="172" t="e">
        <f>IF(VLOOKUP(T_BilanSocial[[#This Row],[NumL]],T_TraitDi[#Data],COLUMN(T_TraitDi[[#This Row],[Colonne3]]),FALSE)=0,"",TEXT(IFERROR(VLOOKUP(T_BilanSocial[[#This Row],[NumL]],T_TraitDi[#Data],COLUMN(T_TraitDi[[#This Row],[Colonne3]]),FALSE),""),"[hh]:mm"))</f>
        <v>#VALUE!</v>
      </c>
      <c r="AI233" s="172" t="e">
        <f>IF(VLOOKUP(T_BilanSocial[[#This Row],[NumL]],T_TraitDi[#Data],COLUMN(T_TraitDi[[#This Row],[Colonne4]]),FALSE)=0,"",TEXT(IFERROR(VLOOKUP(T_BilanSocial[[#This Row],[NumL]],T_TraitDi[#Data],COLUMN(T_TraitDi[[#This Row],[Colonne4]]),FALSE),""),"[hh]:mm"))</f>
        <v>#VALUE!</v>
      </c>
      <c r="AJ233" s="172" t="e">
        <f>IF(VLOOKUP(T_BilanSocial[[#This Row],[NumL]],T_TraitDi[#Data],COLUMN(T_TraitDi[[#This Row],[Colonne5]]),FALSE)=0,"",TEXT(IFERROR(VLOOKUP(T_BilanSocial[[#This Row],[NumL]],T_TraitDi[#Data],COLUMN(T_TraitDi[[#This Row],[Colonne5]]),FALSE),""),"[hh]:mm"))</f>
        <v>#VALUE!</v>
      </c>
      <c r="AK233" s="172" t="e">
        <f>IF(VLOOKUP(T_BilanSocial[[#This Row],[NumL]],T_TraitDi[#Data],COLUMN(T_TraitDi[[#This Row],[Colonne6]]),FALSE)=0,"",TEXT(IFERROR(VLOOKUP(T_BilanSocial[[#This Row],[NumL]],T_TraitDi[#Data],COLUMN(T_TraitDi[[#This Row],[Colonne6]]),FALSE),""),"[hh]:mm"))</f>
        <v>#VALUE!</v>
      </c>
      <c r="AL233" s="172" t="e">
        <f>IF(VLOOKUP(T_BilanSocial[[#This Row],[NumL]],T_TraitDi[#Data],COLUMN(T_TraitDi[[#This Row],[Colonne7]]),FALSE)=0,"",TEXT(IFERROR(VLOOKUP(T_BilanSocial[[#This Row],[NumL]],T_TraitDi[#Data],COLUMN(T_TraitDi[[#This Row],[Colonne7]]),FALSE),""),"[hh]:mm"))</f>
        <v>#VALUE!</v>
      </c>
      <c r="AM233" s="172" t="e">
        <f>IF(VLOOKUP(T_BilanSocial[[#This Row],[NumL]],T_TraitDi[#Data],COLUMN(T_TraitDi[[#This Row],[Colonne8]]),FALSE)=0,"",TEXT(IFERROR(VLOOKUP(T_BilanSocial[[#This Row],[NumL]],T_TraitDi[#Data],COLUMN(T_TraitDi[[#This Row],[Colonne8]]),FALSE),""),"[hh]:mm"))</f>
        <v>#VALUE!</v>
      </c>
      <c r="AN233" s="172" t="str">
        <f>IFERROR(VLOOKUP(T_BilanSocial[[#This Row],[NumL]],T_TraitDi[#Data],COLUMN(T_TraitDi[[#This Row],[Mardi]]),FALSE),"")</f>
        <v/>
      </c>
      <c r="AO233" s="172" t="e">
        <f>IF(VLOOKUP(T_BilanSocial[[#This Row],[NumL]],T_TraitDi[#Data],COLUMN(T_TraitDi[[#This Row],[Colonne1]]),FALSE)=0,"",TEXT(IFERROR(VLOOKUP(T_BilanSocial[[#This Row],[NumL]],T_TraitDi[#Data],COLUMN(T_TraitDi[[#This Row],[Colonne1]]),FALSE),""),"[hh]:mm"))</f>
        <v>#VALUE!</v>
      </c>
      <c r="AP233" s="172" t="e">
        <f>IF(VLOOKUP(T_BilanSocial[[#This Row],[NumL]],T_TraitDi[#Data],COLUMN(T_TraitDi[[#This Row],[Colonne9]]),FALSE)=0,"",TEXT(IFERROR(VLOOKUP(T_BilanSocial[[#This Row],[NumL]],T_TraitDi[#Data],COLUMN(T_TraitDi[[#This Row],[Colonne9]]),FALSE),""),"[hh]:mm"))</f>
        <v>#VALUE!</v>
      </c>
      <c r="AQ233" s="172" t="str">
        <f>IFERROR(VLOOKUP(T_BilanSocial[[#This Row],[NumL]],T_TraitDi[#Data],COLUMN(T_TraitDi[[#This Row],[Colonne10]]),FALSE),"")</f>
        <v/>
      </c>
      <c r="AR233" s="172" t="e">
        <f>IF(VLOOKUP(T_BilanSocial[[#This Row],[NumL]],T_TraitDi[#Data],COLUMN(T_TraitDi[[#This Row],[Colonne11]]),FALSE)=0,"",TEXT(IFERROR(VLOOKUP(T_BilanSocial[[#This Row],[NumL]],T_TraitDi[#Data],COLUMN(T_TraitDi[[#This Row],[Colonne11]]),FALSE),""),"[hh]:mm"))</f>
        <v>#VALUE!</v>
      </c>
      <c r="AS233" s="172" t="e">
        <f>IF(VLOOKUP(T_BilanSocial[[#This Row],[NumL]],T_TraitDi[#Data],COLUMN(T_TraitDi[[#This Row],[Colonne12]]),FALSE)=0,"",TEXT(IFERROR(VLOOKUP(T_BilanSocial[[#This Row],[NumL]],T_TraitDi[#Data],COLUMN(T_TraitDi[[#This Row],[Colonne12]]),FALSE),""),"[hh]:mm"))</f>
        <v>#VALUE!</v>
      </c>
      <c r="AT233" s="172" t="e">
        <f>IF(VLOOKUP(T_BilanSocial[[#This Row],[NumL]],T_TraitDi[#Data],COLUMN(T_TraitDi[[#This Row],[Colonne14]]),FALSE)=0,"",TEXT(IFERROR(VLOOKUP(T_BilanSocial[[#This Row],[NumL]],T_TraitDi[#Data],COLUMN(T_TraitDi[[#This Row],[Colonne14]]),FALSE),""),"[hh]:mm"))</f>
        <v>#VALUE!</v>
      </c>
      <c r="AU233" s="172" t="str">
        <f>IFERROR(VLOOKUP(T_BilanSocial[[#This Row],[NumL]],T_TraitDi[#Data],COLUMN(T_TraitDi[[#This Row],[Mercredi]]),FALSE),"")</f>
        <v/>
      </c>
      <c r="AV233" s="172" t="e">
        <f>IF(VLOOKUP(T_BilanSocial[[#This Row],[NumL]],T_TraitDi[#Data],COLUMN(T_TraitDi[[#This Row],[Colonne15]]),FALSE)=0,"",TEXT(IFERROR(VLOOKUP(T_BilanSocial[[#This Row],[NumL]],T_TraitDi[#Data],COLUMN(T_TraitDi[[#This Row],[Colonne15]]),FALSE),""),"[hh]:mm"))</f>
        <v>#VALUE!</v>
      </c>
      <c r="AW233" s="172" t="e">
        <f>IF(VLOOKUP(T_BilanSocial[[#This Row],[NumL]],T_TraitDi[#Data],COLUMN(T_TraitDi[[#This Row],[Colonne16]]),FALSE)=0,"",TEXT(IFERROR(VLOOKUP(T_BilanSocial[[#This Row],[NumL]],T_TraitDi[#Data],COLUMN(T_TraitDi[[#This Row],[Colonne16]]),FALSE),""),"[hh]:mm"))</f>
        <v>#VALUE!</v>
      </c>
      <c r="AX233" s="172" t="str">
        <f>IFERROR(VLOOKUP(T_BilanSocial[[#This Row],[NumL]],T_TraitDi[#Data],COLUMN(T_TraitDi[[#This Row],[Colonne17]]),FALSE),"")</f>
        <v/>
      </c>
      <c r="AY233" s="172" t="e">
        <f>IF(VLOOKUP(T_BilanSocial[[#This Row],[NumL]],T_TraitDi[#Data],COLUMN(T_TraitDi[[#This Row],[Colonne18]]),FALSE)=0,"",TEXT(IFERROR(VLOOKUP(T_BilanSocial[[#This Row],[NumL]],T_TraitDi[#Data],COLUMN(T_TraitDi[[#This Row],[Colonne18]]),FALSE),""),"[hh]:mm"))</f>
        <v>#VALUE!</v>
      </c>
      <c r="AZ233" s="172" t="e">
        <f>IF(VLOOKUP(T_BilanSocial[[#This Row],[NumL]],T_TraitDi[#Data],COLUMN(T_TraitDi[[#This Row],[Colonne19]]),FALSE)=0,"",TEXT(IFERROR(VLOOKUP(T_BilanSocial[[#This Row],[NumL]],T_TraitDi[#Data],COLUMN(T_TraitDi[[#This Row],[Colonne19]]),FALSE),""),"[hh]:mm"))</f>
        <v>#VALUE!</v>
      </c>
      <c r="BA233" s="172" t="e">
        <f>IF(VLOOKUP(T_BilanSocial[[#This Row],[NumL]],T_TraitDi[#Data],COLUMN(T_TraitDi[[#This Row],[Colonne20]]),FALSE)=0,"",TEXT(IFERROR(VLOOKUP(T_BilanSocial[[#This Row],[NumL]],T_TraitDi[#Data],COLUMN(T_TraitDi[[#This Row],[Colonne20]]),FALSE),""),"[hh]:mm"))</f>
        <v>#VALUE!</v>
      </c>
      <c r="BB233" s="178" t="str">
        <f>IFERROR(VLOOKUP(T_BilanSocial[[#This Row],[NumL]],T_TraitDi[#Data],COLUMN(T_TraitDi[[#This Row],[Jeudi]]),FALSE),"")</f>
        <v/>
      </c>
      <c r="BC233" s="178" t="e">
        <f>IF(VLOOKUP(T_BilanSocial[[#This Row],[NumL]],T_TraitDi[#Data],COLUMN(T_TraitDi[[#This Row],[Colonne21]]),FALSE)=0,"",TEXT(IFERROR(VLOOKUP(T_BilanSocial[[#This Row],[NumL]],T_TraitDi[#Data],COLUMN(T_TraitDi[[#This Row],[Colonne21]]),FALSE),""),"[hh]:mm"))</f>
        <v>#VALUE!</v>
      </c>
      <c r="BD233" s="178" t="e">
        <f>IF(VLOOKUP(T_BilanSocial[[#This Row],[NumL]],T_TraitDi[#Data],COLUMN(T_TraitDi[[#This Row],[Colonne22]]),FALSE)=0,"",TEXT(IFERROR(VLOOKUP(T_BilanSocial[[#This Row],[NumL]],T_TraitDi[#Data],COLUMN(T_TraitDi[[#This Row],[Colonne22]]),FALSE),""),"[hh]:mm"))</f>
        <v>#VALUE!</v>
      </c>
      <c r="BE233" s="178" t="str">
        <f>IFERROR(VLOOKUP(T_BilanSocial[[#This Row],[NumL]],T_TraitDi[#Data],COLUMN(T_TraitDi[[#This Row],[Colonne23]]),FALSE),"")</f>
        <v/>
      </c>
      <c r="BF233" s="178" t="e">
        <f>IF(VLOOKUP(T_BilanSocial[[#This Row],[NumL]],T_TraitDi[#Data],COLUMN(T_TraitDi[[#This Row],[Colonne24]]),FALSE)=0,"",TEXT(IFERROR(VLOOKUP(T_BilanSocial[[#This Row],[NumL]],T_TraitDi[#Data],COLUMN(T_TraitDi[[#This Row],[Colonne24]]),FALSE),""),"[hh]:mm"))</f>
        <v>#VALUE!</v>
      </c>
      <c r="BG233" s="178" t="e">
        <f>IF(VLOOKUP(T_BilanSocial[[#This Row],[NumL]],T_TraitDi[#Data],COLUMN(T_TraitDi[[#This Row],[Colonne25]]),FALSE)=0,"",TEXT(IFERROR(VLOOKUP(T_BilanSocial[[#This Row],[NumL]],T_TraitDi[#Data],COLUMN(T_TraitDi[[#This Row],[Colonne25]]),FALSE),""),"[hh]:mm"))</f>
        <v>#VALUE!</v>
      </c>
      <c r="BH233" s="178" t="e">
        <f>IF(VLOOKUP(T_BilanSocial[[#This Row],[NumL]],T_TraitDi[#Data],COLUMN(T_TraitDi[[#This Row],[Colonne26]]),FALSE)=0,"",TEXT(IFERROR(VLOOKUP(T_BilanSocial[[#This Row],[NumL]],T_TraitDi[#Data],COLUMN(T_TraitDi[[#This Row],[Colonne26]]),FALSE),""),"[hh]:mm"))</f>
        <v>#VALUE!</v>
      </c>
      <c r="BI233" s="172" t="str">
        <f>IFERROR(VLOOKUP(T_BilanSocial[[#This Row],[NumL]],T_TraitDi[#Data],COLUMN(T_TraitDi[[#This Row],[Vendredi]]),FALSE),"")</f>
        <v/>
      </c>
      <c r="BJ233" s="172" t="e">
        <f>IF(VLOOKUP(T_BilanSocial[[#This Row],[NumL]],T_TraitDi[#Data],COLUMN(T_TraitDi[[#This Row],[Colonne27]]),FALSE)=0,"",TEXT(IFERROR(VLOOKUP(T_BilanSocial[[#This Row],[NumL]],T_TraitDi[#Data],COLUMN(T_TraitDi[[#This Row],[Colonne27]]),FALSE),""),"[hh]:mm"))</f>
        <v>#VALUE!</v>
      </c>
      <c r="BK233" s="172" t="e">
        <f>IF(VLOOKUP(T_BilanSocial[[#This Row],[NumL]],T_TraitDi[#Data],COLUMN(T_TraitDi[[#This Row],[Colonne28]]),FALSE)=0,"",TEXT(IFERROR(VLOOKUP(T_BilanSocial[[#This Row],[NumL]],T_TraitDi[#Data],COLUMN(T_TraitDi[[#This Row],[Colonne28]]),FALSE),""),"[hh]:mm"))</f>
        <v>#VALUE!</v>
      </c>
      <c r="BL233" s="172" t="str">
        <f>IFERROR(VLOOKUP(T_BilanSocial[[#This Row],[NumL]],T_TraitDi[#Data],COLUMN(T_TraitDi[[#This Row],[Colonne29]]),FALSE),"")</f>
        <v/>
      </c>
      <c r="BM233" s="172" t="e">
        <f>IF(VLOOKUP(T_BilanSocial[[#This Row],[NumL]],T_TraitDi[#Data],COLUMN(T_TraitDi[[#This Row],[Colonne30]]),FALSE)=0,"",TEXT(IFERROR(VLOOKUP(T_BilanSocial[[#This Row],[NumL]],T_TraitDi[#Data],COLUMN(T_TraitDi[[#This Row],[Colonne30]]),FALSE),""),"[hh]:mm"))</f>
        <v>#VALUE!</v>
      </c>
      <c r="BN233" s="172" t="e">
        <f>IF(VLOOKUP(T_BilanSocial[[#This Row],[NumL]],T_TraitDi[#Data],COLUMN(T_TraitDi[[#This Row],[Colonne31]]),FALSE)=0,"",TEXT(IFERROR(VLOOKUP(T_BilanSocial[[#This Row],[NumL]],T_TraitDi[#Data],COLUMN(T_TraitDi[[#This Row],[Colonne31]]),FALSE),""),"[hh]:mm"))</f>
        <v>#VALUE!</v>
      </c>
      <c r="BO233" s="172" t="e">
        <f>IF(VLOOKUP(T_BilanSocial[[#This Row],[NumL]],T_TraitDi[#Data],COLUMN(T_TraitDi[[#This Row],[Colonne32]]),FALSE)=0,"",TEXT(IFERROR(VLOOKUP(T_BilanSocial[[#This Row],[NumL]],T_TraitDi[#Data],COLUMN(T_TraitDi[[#This Row],[Colonne32]]),FALSE),""),"[hh]:mm"))</f>
        <v>#VALUE!</v>
      </c>
      <c r="BP233" s="172" t="e">
        <f>VLOOKUP(T_BilanSocial[[#This Row],[NumL]],T_TraitDi[#Data],COLUMN(T_TraitDi[NbJTot]),FALSE)</f>
        <v>#N/A</v>
      </c>
      <c r="BQ233" s="174" t="str">
        <f>IFERROR(VLOOKUP(T_BilanSocial[[#This Row],[NumL]],T_TraitDi[#Data],COLUMN(T_TraitDi[[#This Row],[NbJTW]]),FALSE),"")</f>
        <v/>
      </c>
      <c r="BR233" s="174" t="e">
        <f>IF(VLOOKUP(T_BilanSocial[[#This Row],[NumL]],T_TraitDi[#Data],COLUMN(T_TraitDi[[#This Row],[NbhTW]]),FALSE)=0,"",TEXT(IFERROR(VLOOKUP(T_BilanSocial[[#This Row],[NumL]],T_TraitDi[#Data],COLUMN(T_TraitDi[[#This Row],[NbhTW]]),FALSE),""),"[hh]:mm"))</f>
        <v>#VALUE!</v>
      </c>
      <c r="BS233" s="174" t="e">
        <f>IF(VLOOKUP(T_BilanSocial[[#This Row],[NumL]],T_TraitDi[#Data],COLUMN(T_TraitDi[[#This Row],[Nbhheb]]),FALSE)=0,"",TEXT(IFERROR(VLOOKUP($A233,T_TraitDi[#Data],COLUMN(T_TraitDi[[#This Row],[Nbhheb]]),FALSE),""),"[hh]:mm"))</f>
        <v>#VALUE!</v>
      </c>
      <c r="BT233" s="182" t="str">
        <f>IFERROR(VLOOKUP(VLOOKUP($A233,T_TraitDi[#Data],COLUMN(T_TraitDi[[#This Row],[Type1]]),FALSE),TypeTW,2,FALSE),"")</f>
        <v/>
      </c>
      <c r="BU233" s="182" t="str">
        <f>IFERROR(VLOOKUP($A233,T_TraitDi[#Data],COLUMN(T_TraitDi[[#This Row],[Rue1]]),FALSE),"")</f>
        <v/>
      </c>
      <c r="BV233" s="173" t="str">
        <f>IFERROR(VLOOKUP($A233,T_TraitDi[#Data],COLUMN(T_TraitDi[[#This Row],[CP1]]),FALSE),"")</f>
        <v/>
      </c>
      <c r="BW233" s="173" t="str">
        <f>IFERROR(VLOOKUP($A233,T_TraitDi[#Data],COLUMN(T_TraitDi[[#This Row],[VILLE1]]),FALSE),"")</f>
        <v/>
      </c>
      <c r="BX233" s="182" t="str">
        <f>IFERROR(VLOOKUP(VLOOKUP($A233,T_TraitDi[#Data],COLUMN(T_TraitDi[[#This Row],[Type2]]),FALSE),TypeTW,2,FALSE),"")</f>
        <v/>
      </c>
      <c r="BY233" s="182" t="str">
        <f>IFERROR(VLOOKUP($A233,T_TraitDi[#Data],COLUMN(T_TraitDi[[#This Row],[Rue2]]),FALSE),"")</f>
        <v/>
      </c>
      <c r="BZ233" s="173" t="str">
        <f>IFERROR(VLOOKUP($A233,T_TraitDi[#Data],COLUMN(T_TraitDi[[#This Row],[CP2]]),FALSE),"")</f>
        <v/>
      </c>
      <c r="CA233" s="173" t="str">
        <f>IFERROR(VLOOKUP($A233,T_TraitDi[#Data],COLUMN(T_TraitDi[[#This Row],[VILLE2]]),FALSE),"")</f>
        <v/>
      </c>
      <c r="CB233" s="182" t="str">
        <f>IF(VLOOKUP(T_BilanSocial[[#This Row],[NumL]],T_Equipement[#Data],COLUMN(T_Equipement[[#This Row],[PC]]),FALSE)="","Aucun équipement spécifique directement lié au télétravail",VLOOKUP(T_BilanSocial[[#This Row],[NumL]],T_Equipement[#Data],COLUMN(T_Equipement[[#This Row],[PC]]),FALSE))</f>
        <v xml:space="preserve">19-597	</v>
      </c>
      <c r="CC233" s="166" t="str">
        <f>IFERROR(IF(VLOOKUP(T_BilanSocial[[#This Row],[NumL]],T_TraitDi[#Data],COLUMN(T_TraitDi[[#This Row],[Plan]]),FALSE)="OK","Un planning spécifique de télétravail est annexé à la présente convention.",""),"")</f>
        <v/>
      </c>
      <c r="CD233" s="258" t="s">
        <v>3358</v>
      </c>
      <c r="CE233" s="164" t="e">
        <f>IF(VLOOKUP(T_BilanSocial[[#This Row],[NumL]],T_suiviDi[#Data],COLUMN(T_suiviDi[[#This Row],[Entité]]),FALSE)="","",VLOOKUP(T_BilanSocial[[#This Row],[NumL]],T_suiviDi[#Data],COLUMN(T_suiviDi[[#This Row],[Entité]]),FALSE))</f>
        <v>#VALUE!</v>
      </c>
      <c r="CF233" s="164" t="str">
        <f>IF(VLOOKUP(T_BilanSocial[[#This Row],[NumL]],T_Commission[#Data],COLUMN(T_Commission[[#This Row],[envoi confirm TW]]),FALSE)="","",VLOOKUP(T_BilanSocial[[#This Row],[NumL]],T_Commission[#Data],COLUMN(T_Commission[[#This Row],[envoi confirm TW]]),FALSE))</f>
        <v>Oui</v>
      </c>
      <c r="CG23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3" s="262" t="str">
        <f>T_BilanSocial[[#This Row],[Nom]]&amp;T_BilanSocial[[#This Row],[Prenom]]</f>
        <v/>
      </c>
      <c r="CI233" s="262">
        <f>VLOOKUP(T_BilanSocial[[#This Row],[NumL]],T_Commission[#Data],COLUMN(T_Commission[Commentaire]),FALSE)</f>
        <v>0</v>
      </c>
      <c r="CJ233" s="262" t="str">
        <f>IF(VLOOKUP(T_BilanSocial[[#This Row],[NumL]],T_Commission[#Data],COLUMN(T_Commission[Encadrant Email]),FALSE)="","",VLOOKUP(T_BilanSocial[[#This Row],[NumL]],T_Commission[#Data],COLUMN(T_Commission[Encadrant Email]),FALSE))</f>
        <v/>
      </c>
      <c r="CK233" s="340" t="str">
        <f>IF(T_BilanSocial[[#This Row],[Final]]&lt;&gt;"",VLOOKUP(T_BilanSocial[[#This Row],[NumL]],T_suiviDi[#Data],COLUMN((T_suiviDi[Statut])),FALSE),"")</f>
        <v/>
      </c>
    </row>
    <row r="234" spans="1:89" s="106" customFormat="1" ht="24.75" customHeight="1" x14ac:dyDescent="0.25">
      <c r="A234" s="160">
        <v>231</v>
      </c>
      <c r="B234" s="161" t="str">
        <f t="shared" si="34"/>
        <v/>
      </c>
      <c r="C234" s="162" t="s">
        <v>173</v>
      </c>
      <c r="D234" s="95" t="e">
        <f>IF(VLOOKUP(T_BilanSocial[[#This Row],[NumL]],T_TraitDi[#Data],COLUMN(T_TraitDi[[#This Row],[WebC]]),FALSE)="","",VLOOKUP(T_BilanSocial[[#This Row],[NumL]],T_TraitDi[#Data],COLUMN(T_TraitDi[[#This Row],[WebC]]),FALSE))</f>
        <v>#VALUE!</v>
      </c>
      <c r="E234" s="163" t="str">
        <f t="shared" si="35"/>
        <v>12 janvier 2021</v>
      </c>
      <c r="F234" s="96" t="str">
        <f>IF(T_BilanSocial[[#This Row],[Final]]&lt;&gt;"",VLOOKUP(T_BilanSocial[[#This Row],[NumL]],T_suiviDi[#Data],COLUMN((T_suiviDi[Civ.])),FALSE),"")</f>
        <v/>
      </c>
      <c r="G234" s="96" t="str">
        <f>IF(T_BilanSocial[[#This Row],[Final]]&lt;&gt;"",VLOOKUP(T_BilanSocial[[#This Row],[NumL]],T_suiviDi[#Data],COLUMN((T_suiviDi[Nom])),FALSE),"")</f>
        <v/>
      </c>
      <c r="H234" s="96" t="str">
        <f>IF(T_BilanSocial[[#This Row],[Final]]&lt;&gt;"",VLOOKUP(T_BilanSocial[[#This Row],[NumL]],T_suiviDi[#Data],COLUMN((T_suiviDi[Prénom])),FALSE),"")</f>
        <v/>
      </c>
      <c r="I234" s="96" t="str">
        <f>IFERROR(VLOOKUP(T_BilanSocial[[#This Row],[Zone_Bilan]],T_P_BilanSocial[#Data],COLUMN(T_P_BilanSocial[[#This Row],[Numero_SIHAM]]),FALSE),"")</f>
        <v/>
      </c>
      <c r="J234" s="96" t="str">
        <f>IFERROR(VLOOKUP(T_BilanSocial[[#This Row],[Zone_Bilan]],T_P_BilanSocial[#Data],COLUMN(T_P_BilanSocial[[#This Row],[Sexe]]),FALSE),"")</f>
        <v/>
      </c>
      <c r="K234" s="97" t="str">
        <f>IFERROR(VLOOKUP(T_BilanSocial[[#This Row],[Zone_Bilan]],T_P_BilanSocial[#Data],COLUMN(T_P_BilanSocial[[#This Row],[Categorie]]),FALSE),"")</f>
        <v/>
      </c>
      <c r="L234" s="96" t="str">
        <f>IFERROR(VLOOKUP(T_BilanSocial[[#This Row],[Zone_Bilan]],T_P_BilanSocial[#Data],COLUMN(T_P_BilanSocial[[#This Row],[Statut]]),FALSE),"")</f>
        <v/>
      </c>
      <c r="M234" s="96" t="str">
        <f>IFERROR(VLOOKUP(T_BilanSocial[[#This Row],[Zone_Bilan]],T_P_BilanSocial[#Data],COLUMN(T_P_BilanSocial[[#This Row],[Filiere]]),FALSE),"")</f>
        <v/>
      </c>
      <c r="N234" s="96" t="e">
        <f>VLOOKUP(T_BilanSocial[[#This Row],[NumL]],T_TraitDi[#Data],COLUMN(T_TraitDi[EXP]),FALSE)</f>
        <v>#N/A</v>
      </c>
      <c r="O234" s="96" t="e">
        <f>VLOOKUP(T_BilanSocial[[#This Row],[NumL]],T_TraitDi[#Data],COLUMN(T_TraitDi[FORM]),FALSE)</f>
        <v>#N/A</v>
      </c>
      <c r="P234" s="96" t="str">
        <f>IF(T_BilanSocial[[#This Row],[Final]]&lt;&gt;"",VLOOKUP(T_BilanSocial[[#This Row],[NumL]],T_suiviDi[#Data],COLUMN((T_suiviDi[Email])),FALSE),"")</f>
        <v/>
      </c>
      <c r="Q234" s="164" t="e">
        <f t="shared" si="40"/>
        <v>#N/A</v>
      </c>
      <c r="R234" s="164" t="e">
        <f t="shared" si="41"/>
        <v>#N/A</v>
      </c>
      <c r="S234" s="164" t="e">
        <f>IF(VLOOKUP(T_BilanSocial[[#This Row],[NumL]],T_suiviDi[#Data],COLUMN(T_suiviDi[[#This Row],[Service ]]),FALSE)="","",VLOOKUP(T_BilanSocial[[#This Row],[NumL]],T_suiviDi[#Data],COLUMN(T_suiviDi[[#This Row],[Service ]]),FALSE))</f>
        <v>#VALUE!</v>
      </c>
      <c r="T234" s="164" t="str">
        <f t="shared" si="36"/>
        <v>01 septembre 2021</v>
      </c>
      <c r="U234" s="164" t="str">
        <f t="shared" si="37"/>
        <v>30 novembre 2021</v>
      </c>
      <c r="V234" s="164" t="str">
        <f>TEXT(Datebilan,"jj mmmm aaaa")</f>
        <v>30 novembre 2021</v>
      </c>
      <c r="W234" s="176" t="e">
        <f>IF(VLOOKUP(T_BilanSocial[[#This Row],[NumL]],T_TraitDi[#Data],COLUMN(T_TraitDi[[#This Row],[M1]]),FALSE)="","",VLOOKUP(T_BilanSocial[[#This Row],[NumL]],T_TraitDi[#Data],COLUMN(T_TraitDi[[#This Row],[M1]]),FALSE))</f>
        <v>#VALUE!</v>
      </c>
      <c r="X234" s="176" t="e">
        <f>IF(VLOOKUP(T_BilanSocial[[#This Row],[NumL]],T_TraitDi[#Data],COLUMN(T_TraitDi[[#This Row],[M2]]),FALSE)="","",VLOOKUP(T_BilanSocial[[#This Row],[NumL]],T_TraitDi[#Data],COLUMN(T_TraitDi[[#This Row],[M2]]),FALSE))</f>
        <v>#VALUE!</v>
      </c>
      <c r="Y234" s="176" t="e">
        <f>IF(VLOOKUP(T_BilanSocial[[#This Row],[NumL]],T_TraitDi[#Data],COLUMN(T_TraitDi[[#This Row],[M3]]),FALSE)="","",VLOOKUP(T_BilanSocial[[#This Row],[NumL]],T_TraitDi[#Data],COLUMN(T_TraitDi[[#This Row],[M3]]),FALSE))</f>
        <v>#VALUE!</v>
      </c>
      <c r="Z234" s="176" t="str">
        <f t="shared" si="39"/>
        <v/>
      </c>
      <c r="AA234" s="176" t="e">
        <f>IF(VLOOKUP(T_BilanSocial[[#This Row],[NumL]],T_TraitDi[#Data],COLUMN(T_TraitDi[[#This Row],[M5]]),FALSE)="","",VLOOKUP(T_BilanSocial[[#This Row],[NumL]],T_TraitDi[#Data],COLUMN(T_TraitDi[[#This Row],[M5]]),FALSE))</f>
        <v>#VALUE!</v>
      </c>
      <c r="AB234" s="176" t="e">
        <f>IF(VLOOKUP(T_BilanSocial[[#This Row],[NumL]],T_TraitDi[#Data],COLUMN(T_TraitDi[[#This Row],[M6]]),FALSE)="","",VLOOKUP(T_BilanSocial[[#This Row],[NumL]],T_TraitDi[#Data],COLUMN(T_TraitDi[[#This Row],[M6]]),FALSE))</f>
        <v>#VALUE!</v>
      </c>
      <c r="AC234" s="165" t="e">
        <f t="shared" si="38"/>
        <v>#VALUE!</v>
      </c>
      <c r="AD234" s="188" t="str">
        <f>IFERROR(TEXT(VLOOKUP(T_BilanSocial[[#This Row],[NumL]],T_TraitDi[#Data],COLUMN(T_TraitDi[[#This Row],[Q2]]),FALSE),"###%"),"")</f>
        <v/>
      </c>
      <c r="AE234" s="97" t="e">
        <f>VLOOKUP(T_BilanSocial[[#This Row],[NumL]],T_TraitDi[#Data],COLUMN(T_TraitDi[[#This Row],[Reg Ponct]]),FALSE)</f>
        <v>#VALUE!</v>
      </c>
      <c r="AF234" s="97" t="e">
        <f>VLOOKUP(T_BilanSocial[NumL],T_TraitDi[#Data],COLUMN(T_TraitDi[[#This Row],[Jours flottants]]),FALSE)</f>
        <v>#VALUE!</v>
      </c>
      <c r="AG234" s="97" t="str">
        <f>IFERROR(VLOOKUP(T_BilanSocial[[#This Row],[NumL]],T_TraitDi[#Data],COLUMN(T_TraitDi[[#This Row],[Lundi]]),FALSE),"")</f>
        <v/>
      </c>
      <c r="AH234" s="172" t="e">
        <f>IF(VLOOKUP(T_BilanSocial[[#This Row],[NumL]],T_TraitDi[#Data],COLUMN(T_TraitDi[[#This Row],[Colonne3]]),FALSE)=0,"",TEXT(IFERROR(VLOOKUP(T_BilanSocial[[#This Row],[NumL]],T_TraitDi[#Data],COLUMN(T_TraitDi[[#This Row],[Colonne3]]),FALSE),""),"[hh]:mm"))</f>
        <v>#VALUE!</v>
      </c>
      <c r="AI234" s="172" t="e">
        <f>IF(VLOOKUP(T_BilanSocial[[#This Row],[NumL]],T_TraitDi[#Data],COLUMN(T_TraitDi[[#This Row],[Colonne4]]),FALSE)=0,"",TEXT(IFERROR(VLOOKUP(T_BilanSocial[[#This Row],[NumL]],T_TraitDi[#Data],COLUMN(T_TraitDi[[#This Row],[Colonne4]]),FALSE),""),"[hh]:mm"))</f>
        <v>#VALUE!</v>
      </c>
      <c r="AJ234" s="172" t="e">
        <f>IF(VLOOKUP(T_BilanSocial[[#This Row],[NumL]],T_TraitDi[#Data],COLUMN(T_TraitDi[[#This Row],[Colonne5]]),FALSE)=0,"",TEXT(IFERROR(VLOOKUP(T_BilanSocial[[#This Row],[NumL]],T_TraitDi[#Data],COLUMN(T_TraitDi[[#This Row],[Colonne5]]),FALSE),""),"[hh]:mm"))</f>
        <v>#VALUE!</v>
      </c>
      <c r="AK234" s="172" t="e">
        <f>IF(VLOOKUP(T_BilanSocial[[#This Row],[NumL]],T_TraitDi[#Data],COLUMN(T_TraitDi[[#This Row],[Colonne6]]),FALSE)=0,"",TEXT(IFERROR(VLOOKUP(T_BilanSocial[[#This Row],[NumL]],T_TraitDi[#Data],COLUMN(T_TraitDi[[#This Row],[Colonne6]]),FALSE),""),"[hh]:mm"))</f>
        <v>#VALUE!</v>
      </c>
      <c r="AL234" s="172" t="e">
        <f>IF(VLOOKUP(T_BilanSocial[[#This Row],[NumL]],T_TraitDi[#Data],COLUMN(T_TraitDi[[#This Row],[Colonne7]]),FALSE)=0,"",TEXT(IFERROR(VLOOKUP(T_BilanSocial[[#This Row],[NumL]],T_TraitDi[#Data],COLUMN(T_TraitDi[[#This Row],[Colonne7]]),FALSE),""),"[hh]:mm"))</f>
        <v>#VALUE!</v>
      </c>
      <c r="AM234" s="172" t="e">
        <f>IF(VLOOKUP(T_BilanSocial[[#This Row],[NumL]],T_TraitDi[#Data],COLUMN(T_TraitDi[[#This Row],[Colonne8]]),FALSE)=0,"",TEXT(IFERROR(VLOOKUP(T_BilanSocial[[#This Row],[NumL]],T_TraitDi[#Data],COLUMN(T_TraitDi[[#This Row],[Colonne8]]),FALSE),""),"[hh]:mm"))</f>
        <v>#VALUE!</v>
      </c>
      <c r="AN234" s="172" t="str">
        <f>IFERROR(VLOOKUP(T_BilanSocial[[#This Row],[NumL]],T_TraitDi[#Data],COLUMN(T_TraitDi[[#This Row],[Mardi]]),FALSE),"")</f>
        <v/>
      </c>
      <c r="AO234" s="172" t="e">
        <f>IF(VLOOKUP(T_BilanSocial[[#This Row],[NumL]],T_TraitDi[#Data],COLUMN(T_TraitDi[[#This Row],[Colonne1]]),FALSE)=0,"",TEXT(IFERROR(VLOOKUP(T_BilanSocial[[#This Row],[NumL]],T_TraitDi[#Data],COLUMN(T_TraitDi[[#This Row],[Colonne1]]),FALSE),""),"[hh]:mm"))</f>
        <v>#VALUE!</v>
      </c>
      <c r="AP234" s="172" t="e">
        <f>IF(VLOOKUP(T_BilanSocial[[#This Row],[NumL]],T_TraitDi[#Data],COLUMN(T_TraitDi[[#This Row],[Colonne9]]),FALSE)=0,"",TEXT(IFERROR(VLOOKUP(T_BilanSocial[[#This Row],[NumL]],T_TraitDi[#Data],COLUMN(T_TraitDi[[#This Row],[Colonne9]]),FALSE),""),"[hh]:mm"))</f>
        <v>#VALUE!</v>
      </c>
      <c r="AQ234" s="172" t="str">
        <f>IFERROR(VLOOKUP(T_BilanSocial[[#This Row],[NumL]],T_TraitDi[#Data],COLUMN(T_TraitDi[[#This Row],[Colonne10]]),FALSE),"")</f>
        <v/>
      </c>
      <c r="AR234" s="172" t="e">
        <f>IF(VLOOKUP(T_BilanSocial[[#This Row],[NumL]],T_TraitDi[#Data],COLUMN(T_TraitDi[[#This Row],[Colonne11]]),FALSE)=0,"",TEXT(IFERROR(VLOOKUP(T_BilanSocial[[#This Row],[NumL]],T_TraitDi[#Data],COLUMN(T_TraitDi[[#This Row],[Colonne11]]),FALSE),""),"[hh]:mm"))</f>
        <v>#VALUE!</v>
      </c>
      <c r="AS234" s="172" t="e">
        <f>IF(VLOOKUP(T_BilanSocial[[#This Row],[NumL]],T_TraitDi[#Data],COLUMN(T_TraitDi[[#This Row],[Colonne12]]),FALSE)=0,"",TEXT(IFERROR(VLOOKUP(T_BilanSocial[[#This Row],[NumL]],T_TraitDi[#Data],COLUMN(T_TraitDi[[#This Row],[Colonne12]]),FALSE),""),"[hh]:mm"))</f>
        <v>#VALUE!</v>
      </c>
      <c r="AT234" s="172" t="e">
        <f>IF(VLOOKUP(T_BilanSocial[[#This Row],[NumL]],T_TraitDi[#Data],COLUMN(T_TraitDi[[#This Row],[Colonne14]]),FALSE)=0,"",TEXT(IFERROR(VLOOKUP(T_BilanSocial[[#This Row],[NumL]],T_TraitDi[#Data],COLUMN(T_TraitDi[[#This Row],[Colonne14]]),FALSE),""),"[hh]:mm"))</f>
        <v>#VALUE!</v>
      </c>
      <c r="AU234" s="172" t="str">
        <f>IFERROR(VLOOKUP(T_BilanSocial[[#This Row],[NumL]],T_TraitDi[#Data],COLUMN(T_TraitDi[[#This Row],[Mercredi]]),FALSE),"")</f>
        <v/>
      </c>
      <c r="AV234" s="172" t="e">
        <f>IF(VLOOKUP(T_BilanSocial[[#This Row],[NumL]],T_TraitDi[#Data],COLUMN(T_TraitDi[[#This Row],[Colonne15]]),FALSE)=0,"",TEXT(IFERROR(VLOOKUP(T_BilanSocial[[#This Row],[NumL]],T_TraitDi[#Data],COLUMN(T_TraitDi[[#This Row],[Colonne15]]),FALSE),""),"[hh]:mm"))</f>
        <v>#VALUE!</v>
      </c>
      <c r="AW234" s="172" t="e">
        <f>IF(VLOOKUP(T_BilanSocial[[#This Row],[NumL]],T_TraitDi[#Data],COLUMN(T_TraitDi[[#This Row],[Colonne16]]),FALSE)=0,"",TEXT(IFERROR(VLOOKUP(T_BilanSocial[[#This Row],[NumL]],T_TraitDi[#Data],COLUMN(T_TraitDi[[#This Row],[Colonne16]]),FALSE),""),"[hh]:mm"))</f>
        <v>#VALUE!</v>
      </c>
      <c r="AX234" s="172" t="str">
        <f>IFERROR(VLOOKUP(T_BilanSocial[[#This Row],[NumL]],T_TraitDi[#Data],COLUMN(T_TraitDi[[#This Row],[Colonne17]]),FALSE),"")</f>
        <v/>
      </c>
      <c r="AY234" s="172" t="e">
        <f>IF(VLOOKUP(T_BilanSocial[[#This Row],[NumL]],T_TraitDi[#Data],COLUMN(T_TraitDi[[#This Row],[Colonne18]]),FALSE)=0,"",TEXT(IFERROR(VLOOKUP(T_BilanSocial[[#This Row],[NumL]],T_TraitDi[#Data],COLUMN(T_TraitDi[[#This Row],[Colonne18]]),FALSE),""),"[hh]:mm"))</f>
        <v>#VALUE!</v>
      </c>
      <c r="AZ234" s="172" t="e">
        <f>IF(VLOOKUP(T_BilanSocial[[#This Row],[NumL]],T_TraitDi[#Data],COLUMN(T_TraitDi[[#This Row],[Colonne19]]),FALSE)=0,"",TEXT(IFERROR(VLOOKUP(T_BilanSocial[[#This Row],[NumL]],T_TraitDi[#Data],COLUMN(T_TraitDi[[#This Row],[Colonne19]]),FALSE),""),"[hh]:mm"))</f>
        <v>#VALUE!</v>
      </c>
      <c r="BA234" s="172" t="e">
        <f>IF(VLOOKUP(T_BilanSocial[[#This Row],[NumL]],T_TraitDi[#Data],COLUMN(T_TraitDi[[#This Row],[Colonne20]]),FALSE)=0,"",TEXT(IFERROR(VLOOKUP(T_BilanSocial[[#This Row],[NumL]],T_TraitDi[#Data],COLUMN(T_TraitDi[[#This Row],[Colonne20]]),FALSE),""),"[hh]:mm"))</f>
        <v>#VALUE!</v>
      </c>
      <c r="BB234" s="178" t="str">
        <f>IFERROR(VLOOKUP(T_BilanSocial[[#This Row],[NumL]],T_TraitDi[#Data],COLUMN(T_TraitDi[[#This Row],[Jeudi]]),FALSE),"")</f>
        <v/>
      </c>
      <c r="BC234" s="178" t="e">
        <f>IF(VLOOKUP(T_BilanSocial[[#This Row],[NumL]],T_TraitDi[#Data],COLUMN(T_TraitDi[[#This Row],[Colonne21]]),FALSE)=0,"",TEXT(IFERROR(VLOOKUP(T_BilanSocial[[#This Row],[NumL]],T_TraitDi[#Data],COLUMN(T_TraitDi[[#This Row],[Colonne21]]),FALSE),""),"[hh]:mm"))</f>
        <v>#VALUE!</v>
      </c>
      <c r="BD234" s="178" t="e">
        <f>IF(VLOOKUP(T_BilanSocial[[#This Row],[NumL]],T_TraitDi[#Data],COLUMN(T_TraitDi[[#This Row],[Colonne22]]),FALSE)=0,"",TEXT(IFERROR(VLOOKUP(T_BilanSocial[[#This Row],[NumL]],T_TraitDi[#Data],COLUMN(T_TraitDi[[#This Row],[Colonne22]]),FALSE),""),"[hh]:mm"))</f>
        <v>#VALUE!</v>
      </c>
      <c r="BE234" s="178" t="str">
        <f>IFERROR(VLOOKUP(T_BilanSocial[[#This Row],[NumL]],T_TraitDi[#Data],COLUMN(T_TraitDi[[#This Row],[Colonne23]]),FALSE),"")</f>
        <v/>
      </c>
      <c r="BF234" s="178" t="e">
        <f>IF(VLOOKUP(T_BilanSocial[[#This Row],[NumL]],T_TraitDi[#Data],COLUMN(T_TraitDi[[#This Row],[Colonne24]]),FALSE)=0,"",TEXT(IFERROR(VLOOKUP(T_BilanSocial[[#This Row],[NumL]],T_TraitDi[#Data],COLUMN(T_TraitDi[[#This Row],[Colonne24]]),FALSE),""),"[hh]:mm"))</f>
        <v>#VALUE!</v>
      </c>
      <c r="BG234" s="178" t="e">
        <f>IF(VLOOKUP(T_BilanSocial[[#This Row],[NumL]],T_TraitDi[#Data],COLUMN(T_TraitDi[[#This Row],[Colonne25]]),FALSE)=0,"",TEXT(IFERROR(VLOOKUP(T_BilanSocial[[#This Row],[NumL]],T_TraitDi[#Data],COLUMN(T_TraitDi[[#This Row],[Colonne25]]),FALSE),""),"[hh]:mm"))</f>
        <v>#VALUE!</v>
      </c>
      <c r="BH234" s="178" t="e">
        <f>IF(VLOOKUP(T_BilanSocial[[#This Row],[NumL]],T_TraitDi[#Data],COLUMN(T_TraitDi[[#This Row],[Colonne26]]),FALSE)=0,"",TEXT(IFERROR(VLOOKUP(T_BilanSocial[[#This Row],[NumL]],T_TraitDi[#Data],COLUMN(T_TraitDi[[#This Row],[Colonne26]]),FALSE),""),"[hh]:mm"))</f>
        <v>#VALUE!</v>
      </c>
      <c r="BI234" s="172" t="str">
        <f>IFERROR(VLOOKUP(T_BilanSocial[[#This Row],[NumL]],T_TraitDi[#Data],COLUMN(T_TraitDi[[#This Row],[Vendredi]]),FALSE),"")</f>
        <v/>
      </c>
      <c r="BJ234" s="172" t="e">
        <f>IF(VLOOKUP(T_BilanSocial[[#This Row],[NumL]],T_TraitDi[#Data],COLUMN(T_TraitDi[[#This Row],[Colonne27]]),FALSE)=0,"",TEXT(IFERROR(VLOOKUP(T_BilanSocial[[#This Row],[NumL]],T_TraitDi[#Data],COLUMN(T_TraitDi[[#This Row],[Colonne27]]),FALSE),""),"[hh]:mm"))</f>
        <v>#VALUE!</v>
      </c>
      <c r="BK234" s="172" t="e">
        <f>IF(VLOOKUP(T_BilanSocial[[#This Row],[NumL]],T_TraitDi[#Data],COLUMN(T_TraitDi[[#This Row],[Colonne28]]),FALSE)=0,"",TEXT(IFERROR(VLOOKUP(T_BilanSocial[[#This Row],[NumL]],T_TraitDi[#Data],COLUMN(T_TraitDi[[#This Row],[Colonne28]]),FALSE),""),"[hh]:mm"))</f>
        <v>#VALUE!</v>
      </c>
      <c r="BL234" s="172" t="str">
        <f>IFERROR(VLOOKUP(T_BilanSocial[[#This Row],[NumL]],T_TraitDi[#Data],COLUMN(T_TraitDi[[#This Row],[Colonne29]]),FALSE),"")</f>
        <v/>
      </c>
      <c r="BM234" s="172" t="e">
        <f>IF(VLOOKUP(T_BilanSocial[[#This Row],[NumL]],T_TraitDi[#Data],COLUMN(T_TraitDi[[#This Row],[Colonne30]]),FALSE)=0,"",TEXT(IFERROR(VLOOKUP(T_BilanSocial[[#This Row],[NumL]],T_TraitDi[#Data],COLUMN(T_TraitDi[[#This Row],[Colonne30]]),FALSE),""),"[hh]:mm"))</f>
        <v>#VALUE!</v>
      </c>
      <c r="BN234" s="172" t="e">
        <f>IF(VLOOKUP(T_BilanSocial[[#This Row],[NumL]],T_TraitDi[#Data],COLUMN(T_TraitDi[[#This Row],[Colonne31]]),FALSE)=0,"",TEXT(IFERROR(VLOOKUP(T_BilanSocial[[#This Row],[NumL]],T_TraitDi[#Data],COLUMN(T_TraitDi[[#This Row],[Colonne31]]),FALSE),""),"[hh]:mm"))</f>
        <v>#VALUE!</v>
      </c>
      <c r="BO234" s="172" t="e">
        <f>IF(VLOOKUP(T_BilanSocial[[#This Row],[NumL]],T_TraitDi[#Data],COLUMN(T_TraitDi[[#This Row],[Colonne32]]),FALSE)=0,"",TEXT(IFERROR(VLOOKUP(T_BilanSocial[[#This Row],[NumL]],T_TraitDi[#Data],COLUMN(T_TraitDi[[#This Row],[Colonne32]]),FALSE),""),"[hh]:mm"))</f>
        <v>#VALUE!</v>
      </c>
      <c r="BP234" s="172" t="e">
        <f>VLOOKUP(T_BilanSocial[[#This Row],[NumL]],T_TraitDi[#Data],COLUMN(T_TraitDi[NbJTot]),FALSE)</f>
        <v>#N/A</v>
      </c>
      <c r="BQ234" s="174" t="str">
        <f>IFERROR(VLOOKUP(T_BilanSocial[[#This Row],[NumL]],T_TraitDi[#Data],COLUMN(T_TraitDi[[#This Row],[NbJTW]]),FALSE),"")</f>
        <v/>
      </c>
      <c r="BR234" s="174" t="e">
        <f>IF(VLOOKUP(T_BilanSocial[[#This Row],[NumL]],T_TraitDi[#Data],COLUMN(T_TraitDi[[#This Row],[NbhTW]]),FALSE)=0,"",TEXT(IFERROR(VLOOKUP(T_BilanSocial[[#This Row],[NumL]],T_TraitDi[#Data],COLUMN(T_TraitDi[[#This Row],[NbhTW]]),FALSE),""),"[hh]:mm"))</f>
        <v>#VALUE!</v>
      </c>
      <c r="BS234" s="174" t="e">
        <f>IF(VLOOKUP(T_BilanSocial[[#This Row],[NumL]],T_TraitDi[#Data],COLUMN(T_TraitDi[[#This Row],[Nbhheb]]),FALSE)=0,"",TEXT(IFERROR(VLOOKUP($A234,T_TraitDi[#Data],COLUMN(T_TraitDi[[#This Row],[Nbhheb]]),FALSE),""),"[hh]:mm"))</f>
        <v>#VALUE!</v>
      </c>
      <c r="BT234" s="182" t="str">
        <f>IFERROR(VLOOKUP(VLOOKUP($A234,T_TraitDi[#Data],COLUMN(T_TraitDi[[#This Row],[Type1]]),FALSE),TypeTW,2,FALSE),"")</f>
        <v/>
      </c>
      <c r="BU234" s="182" t="str">
        <f>IFERROR(VLOOKUP($A234,T_TraitDi[#Data],COLUMN(T_TraitDi[[#This Row],[Rue1]]),FALSE),"")</f>
        <v/>
      </c>
      <c r="BV234" s="173" t="str">
        <f>IFERROR(VLOOKUP($A234,T_TraitDi[#Data],COLUMN(T_TraitDi[[#This Row],[CP1]]),FALSE),"")</f>
        <v/>
      </c>
      <c r="BW234" s="173" t="str">
        <f>IFERROR(VLOOKUP($A234,T_TraitDi[#Data],COLUMN(T_TraitDi[[#This Row],[VILLE1]]),FALSE),"")</f>
        <v/>
      </c>
      <c r="BX234" s="182" t="str">
        <f>IFERROR(VLOOKUP(VLOOKUP($A234,T_TraitDi[#Data],COLUMN(T_TraitDi[[#This Row],[Type2]]),FALSE),TypeTW,2,FALSE),"")</f>
        <v/>
      </c>
      <c r="BY234" s="182" t="str">
        <f>IFERROR(VLOOKUP($A234,T_TraitDi[#Data],COLUMN(T_TraitDi[[#This Row],[Rue2]]),FALSE),"")</f>
        <v/>
      </c>
      <c r="BZ234" s="173" t="str">
        <f>IFERROR(VLOOKUP($A234,T_TraitDi[#Data],COLUMN(T_TraitDi[[#This Row],[CP2]]),FALSE),"")</f>
        <v/>
      </c>
      <c r="CA234" s="173" t="str">
        <f>IFERROR(VLOOKUP($A234,T_TraitDi[#Data],COLUMN(T_TraitDi[[#This Row],[VILLE2]]),FALSE),"")</f>
        <v/>
      </c>
      <c r="CB234" s="182" t="str">
        <f>IF(VLOOKUP(T_BilanSocial[[#This Row],[NumL]],T_Equipement[#Data],COLUMN(T_Equipement[[#This Row],[PC]]),FALSE)="","Aucun équipement spécifique directement lié au télétravail",VLOOKUP(T_BilanSocial[[#This Row],[NumL]],T_Equipement[#Data],COLUMN(T_Equipement[[#This Row],[PC]]),FALSE))</f>
        <v>20-050</v>
      </c>
      <c r="CC234" s="166" t="str">
        <f>IFERROR(IF(VLOOKUP(T_BilanSocial[[#This Row],[NumL]],T_TraitDi[#Data],COLUMN(T_TraitDi[[#This Row],[Plan]]),FALSE)="OK","Un planning spécifique de télétravail est annexé à la présente convention.",""),"")</f>
        <v/>
      </c>
      <c r="CD234" s="258" t="s">
        <v>3359</v>
      </c>
      <c r="CE234" s="164" t="e">
        <f>IF(VLOOKUP(T_BilanSocial[[#This Row],[NumL]],T_suiviDi[#Data],COLUMN(T_suiviDi[[#This Row],[Entité]]),FALSE)="","",VLOOKUP(T_BilanSocial[[#This Row],[NumL]],T_suiviDi[#Data],COLUMN(T_suiviDi[[#This Row],[Entité]]),FALSE))</f>
        <v>#VALUE!</v>
      </c>
      <c r="CF234" s="164" t="str">
        <f>IF(VLOOKUP(T_BilanSocial[[#This Row],[NumL]],T_Commission[#Data],COLUMN(T_Commission[[#This Row],[envoi confirm TW]]),FALSE)="","",VLOOKUP(T_BilanSocial[[#This Row],[NumL]],T_Commission[#Data],COLUMN(T_Commission[[#This Row],[envoi confirm TW]]),FALSE))</f>
        <v>Oui</v>
      </c>
      <c r="CG23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4" s="262" t="str">
        <f>T_BilanSocial[[#This Row],[Nom]]&amp;T_BilanSocial[[#This Row],[Prenom]]</f>
        <v/>
      </c>
      <c r="CI234" s="262">
        <f>VLOOKUP(T_BilanSocial[[#This Row],[NumL]],T_Commission[#Data],COLUMN(T_Commission[Commentaire]),FALSE)</f>
        <v>0</v>
      </c>
      <c r="CJ234" s="262" t="str">
        <f>IF(VLOOKUP(T_BilanSocial[[#This Row],[NumL]],T_Commission[#Data],COLUMN(T_Commission[Encadrant Email]),FALSE)="","",VLOOKUP(T_BilanSocial[[#This Row],[NumL]],T_Commission[#Data],COLUMN(T_Commission[Encadrant Email]),FALSE))</f>
        <v/>
      </c>
      <c r="CK234" s="340" t="str">
        <f>IF(T_BilanSocial[[#This Row],[Final]]&lt;&gt;"",VLOOKUP(T_BilanSocial[[#This Row],[NumL]],T_suiviDi[#Data],COLUMN((T_suiviDi[Statut])),FALSE),"")</f>
        <v/>
      </c>
    </row>
    <row r="235" spans="1:89" s="106" customFormat="1" ht="24.75" customHeight="1" x14ac:dyDescent="0.25">
      <c r="A235" s="160">
        <v>232</v>
      </c>
      <c r="B235" s="161" t="str">
        <f t="shared" si="34"/>
        <v/>
      </c>
      <c r="C235" s="162" t="s">
        <v>3287</v>
      </c>
      <c r="D235" s="95" t="e">
        <f>IF(VLOOKUP(T_BilanSocial[[#This Row],[NumL]],T_TraitDi[#Data],COLUMN(T_TraitDi[[#This Row],[WebC]]),FALSE)="","",VLOOKUP(T_BilanSocial[[#This Row],[NumL]],T_TraitDi[#Data],COLUMN(T_TraitDi[[#This Row],[WebC]]),FALSE))</f>
        <v>#VALUE!</v>
      </c>
      <c r="E235" s="163" t="str">
        <f t="shared" si="35"/>
        <v>12 janvier 2021</v>
      </c>
      <c r="F235" s="96" t="str">
        <f>IF(T_BilanSocial[[#This Row],[Final]]&lt;&gt;"",VLOOKUP(T_BilanSocial[[#This Row],[NumL]],T_suiviDi[#Data],COLUMN((T_suiviDi[Civ.])),FALSE),"")</f>
        <v/>
      </c>
      <c r="G235" s="96" t="str">
        <f>IF(T_BilanSocial[[#This Row],[Final]]&lt;&gt;"",VLOOKUP(T_BilanSocial[[#This Row],[NumL]],T_suiviDi[#Data],COLUMN((T_suiviDi[Nom])),FALSE),"")</f>
        <v/>
      </c>
      <c r="H235" s="96" t="str">
        <f>IF(T_BilanSocial[[#This Row],[Final]]&lt;&gt;"",VLOOKUP(T_BilanSocial[[#This Row],[NumL]],T_suiviDi[#Data],COLUMN((T_suiviDi[Prénom])),FALSE),"")</f>
        <v/>
      </c>
      <c r="I235" s="96" t="str">
        <f>IFERROR(VLOOKUP(T_BilanSocial[[#This Row],[Zone_Bilan]],T_P_BilanSocial[#Data],COLUMN(T_P_BilanSocial[[#This Row],[Numero_SIHAM]]),FALSE),"")</f>
        <v/>
      </c>
      <c r="J235" s="96" t="str">
        <f>IFERROR(VLOOKUP(T_BilanSocial[[#This Row],[Zone_Bilan]],T_P_BilanSocial[#Data],COLUMN(T_P_BilanSocial[[#This Row],[Sexe]]),FALSE),"")</f>
        <v/>
      </c>
      <c r="K235" s="97" t="str">
        <f>IFERROR(VLOOKUP(T_BilanSocial[[#This Row],[Zone_Bilan]],T_P_BilanSocial[#Data],COLUMN(T_P_BilanSocial[[#This Row],[Categorie]]),FALSE),"")</f>
        <v/>
      </c>
      <c r="L235" s="96" t="str">
        <f>IFERROR(VLOOKUP(T_BilanSocial[[#This Row],[Zone_Bilan]],T_P_BilanSocial[#Data],COLUMN(T_P_BilanSocial[[#This Row],[Statut]]),FALSE),"")</f>
        <v/>
      </c>
      <c r="M235" s="96" t="str">
        <f>IFERROR(VLOOKUP(T_BilanSocial[[#This Row],[Zone_Bilan]],T_P_BilanSocial[#Data],COLUMN(T_P_BilanSocial[[#This Row],[Filiere]]),FALSE),"")</f>
        <v/>
      </c>
      <c r="N235" s="96" t="e">
        <f>VLOOKUP(T_BilanSocial[[#This Row],[NumL]],T_TraitDi[#Data],COLUMN(T_TraitDi[EXP]),FALSE)</f>
        <v>#N/A</v>
      </c>
      <c r="O235" s="96" t="e">
        <f>VLOOKUP(T_BilanSocial[[#This Row],[NumL]],T_TraitDi[#Data],COLUMN(T_TraitDi[FORM]),FALSE)</f>
        <v>#N/A</v>
      </c>
      <c r="P235" s="96" t="str">
        <f>IF(T_BilanSocial[[#This Row],[Final]]&lt;&gt;"",VLOOKUP(T_BilanSocial[[#This Row],[NumL]],T_suiviDi[#Data],COLUMN((T_suiviDi[Email])),FALSE),"")</f>
        <v/>
      </c>
      <c r="Q235" s="164" t="e">
        <f t="shared" si="40"/>
        <v>#N/A</v>
      </c>
      <c r="R235" s="164" t="e">
        <f t="shared" si="41"/>
        <v>#N/A</v>
      </c>
      <c r="S235" s="164" t="e">
        <f>IF(VLOOKUP(T_BilanSocial[[#This Row],[NumL]],T_suiviDi[#Data],COLUMN(T_suiviDi[[#This Row],[Service ]]),FALSE)="","",VLOOKUP(T_BilanSocial[[#This Row],[NumL]],T_suiviDi[#Data],COLUMN(T_suiviDi[[#This Row],[Service ]]),FALSE))</f>
        <v>#VALUE!</v>
      </c>
      <c r="T235" s="164" t="str">
        <f t="shared" si="36"/>
        <v>01 septembre 2021</v>
      </c>
      <c r="U235" s="164" t="str">
        <f t="shared" si="37"/>
        <v>30 novembre 2021</v>
      </c>
      <c r="V235" s="96" t="str">
        <f>TEXT(Datebilan,"jj mmmm aaaa")</f>
        <v>30 novembre 2021</v>
      </c>
      <c r="W235" s="176" t="e">
        <f>IF(VLOOKUP(T_BilanSocial[[#This Row],[NumL]],T_TraitDi[#Data],COLUMN(T_TraitDi[[#This Row],[M1]]),FALSE)="","",VLOOKUP(T_BilanSocial[[#This Row],[NumL]],T_TraitDi[#Data],COLUMN(T_TraitDi[[#This Row],[M1]]),FALSE))</f>
        <v>#VALUE!</v>
      </c>
      <c r="X235" s="176" t="e">
        <f>IF(VLOOKUP(T_BilanSocial[[#This Row],[NumL]],T_TraitDi[#Data],COLUMN(T_TraitDi[[#This Row],[M2]]),FALSE)="","",VLOOKUP(T_BilanSocial[[#This Row],[NumL]],T_TraitDi[#Data],COLUMN(T_TraitDi[[#This Row],[M2]]),FALSE))</f>
        <v>#VALUE!</v>
      </c>
      <c r="Y235" s="176" t="e">
        <f>IF(VLOOKUP(T_BilanSocial[[#This Row],[NumL]],T_TraitDi[#Data],COLUMN(T_TraitDi[[#This Row],[M3]]),FALSE)="","",VLOOKUP(T_BilanSocial[[#This Row],[NumL]],T_TraitDi[#Data],COLUMN(T_TraitDi[[#This Row],[M3]]),FALSE))</f>
        <v>#VALUE!</v>
      </c>
      <c r="Z235" s="176" t="str">
        <f t="shared" si="39"/>
        <v/>
      </c>
      <c r="AA235" s="176" t="e">
        <f>IF(VLOOKUP(T_BilanSocial[[#This Row],[NumL]],T_TraitDi[#Data],COLUMN(T_TraitDi[[#This Row],[M5]]),FALSE)="","",VLOOKUP(T_BilanSocial[[#This Row],[NumL]],T_TraitDi[#Data],COLUMN(T_TraitDi[[#This Row],[M5]]),FALSE))</f>
        <v>#VALUE!</v>
      </c>
      <c r="AB235" s="176" t="e">
        <f>IF(VLOOKUP(T_BilanSocial[[#This Row],[NumL]],T_TraitDi[#Data],COLUMN(T_TraitDi[[#This Row],[M6]]),FALSE)="","",VLOOKUP(T_BilanSocial[[#This Row],[NumL]],T_TraitDi[#Data],COLUMN(T_TraitDi[[#This Row],[M6]]),FALSE))</f>
        <v>#VALUE!</v>
      </c>
      <c r="AC235" s="165" t="e">
        <f t="shared" si="38"/>
        <v>#VALUE!</v>
      </c>
      <c r="AD235" s="188" t="str">
        <f>IFERROR(TEXT(VLOOKUP(T_BilanSocial[[#This Row],[NumL]],T_TraitDi[#Data],COLUMN(T_TraitDi[[#This Row],[Q2]]),FALSE),"###%"),"")</f>
        <v/>
      </c>
      <c r="AE235" s="97" t="e">
        <f>VLOOKUP(T_BilanSocial[[#This Row],[NumL]],T_TraitDi[#Data],COLUMN(T_TraitDi[[#This Row],[Reg Ponct]]),FALSE)</f>
        <v>#VALUE!</v>
      </c>
      <c r="AF235" s="97" t="e">
        <f>VLOOKUP(T_BilanSocial[NumL],T_TraitDi[#Data],COLUMN(T_TraitDi[[#This Row],[Jours flottants]]),FALSE)</f>
        <v>#VALUE!</v>
      </c>
      <c r="AG235" s="97" t="str">
        <f>IFERROR(VLOOKUP(T_BilanSocial[[#This Row],[NumL]],T_TraitDi[#Data],COLUMN(T_TraitDi[[#This Row],[Lundi]]),FALSE),"")</f>
        <v/>
      </c>
      <c r="AH235" s="172" t="e">
        <f>IF(VLOOKUP(T_BilanSocial[[#This Row],[NumL]],T_TraitDi[#Data],COLUMN(T_TraitDi[[#This Row],[Colonne3]]),FALSE)=0,"",TEXT(IFERROR(VLOOKUP(T_BilanSocial[[#This Row],[NumL]],T_TraitDi[#Data],COLUMN(T_TraitDi[[#This Row],[Colonne3]]),FALSE),""),"[hh]:mm"))</f>
        <v>#VALUE!</v>
      </c>
      <c r="AI235" s="172" t="e">
        <f>IF(VLOOKUP(T_BilanSocial[[#This Row],[NumL]],T_TraitDi[#Data],COLUMN(T_TraitDi[[#This Row],[Colonne4]]),FALSE)=0,"",TEXT(IFERROR(VLOOKUP(T_BilanSocial[[#This Row],[NumL]],T_TraitDi[#Data],COLUMN(T_TraitDi[[#This Row],[Colonne4]]),FALSE),""),"[hh]:mm"))</f>
        <v>#VALUE!</v>
      </c>
      <c r="AJ235" s="172" t="e">
        <f>IF(VLOOKUP(T_BilanSocial[[#This Row],[NumL]],T_TraitDi[#Data],COLUMN(T_TraitDi[[#This Row],[Colonne5]]),FALSE)=0,"",TEXT(IFERROR(VLOOKUP(T_BilanSocial[[#This Row],[NumL]],T_TraitDi[#Data],COLUMN(T_TraitDi[[#This Row],[Colonne5]]),FALSE),""),"[hh]:mm"))</f>
        <v>#VALUE!</v>
      </c>
      <c r="AK235" s="172" t="e">
        <f>IF(VLOOKUP(T_BilanSocial[[#This Row],[NumL]],T_TraitDi[#Data],COLUMN(T_TraitDi[[#This Row],[Colonne6]]),FALSE)=0,"",TEXT(IFERROR(VLOOKUP(T_BilanSocial[[#This Row],[NumL]],T_TraitDi[#Data],COLUMN(T_TraitDi[[#This Row],[Colonne6]]),FALSE),""),"[hh]:mm"))</f>
        <v>#VALUE!</v>
      </c>
      <c r="AL235" s="172" t="e">
        <f>IF(VLOOKUP(T_BilanSocial[[#This Row],[NumL]],T_TraitDi[#Data],COLUMN(T_TraitDi[[#This Row],[Colonne7]]),FALSE)=0,"",TEXT(IFERROR(VLOOKUP(T_BilanSocial[[#This Row],[NumL]],T_TraitDi[#Data],COLUMN(T_TraitDi[[#This Row],[Colonne7]]),FALSE),""),"[hh]:mm"))</f>
        <v>#VALUE!</v>
      </c>
      <c r="AM235" s="172" t="e">
        <f>IF(VLOOKUP(T_BilanSocial[[#This Row],[NumL]],T_TraitDi[#Data],COLUMN(T_TraitDi[[#This Row],[Colonne8]]),FALSE)=0,"",TEXT(IFERROR(VLOOKUP(T_BilanSocial[[#This Row],[NumL]],T_TraitDi[#Data],COLUMN(T_TraitDi[[#This Row],[Colonne8]]),FALSE),""),"[hh]:mm"))</f>
        <v>#VALUE!</v>
      </c>
      <c r="AN235" s="172" t="str">
        <f>IFERROR(VLOOKUP(T_BilanSocial[[#This Row],[NumL]],T_TraitDi[#Data],COLUMN(T_TraitDi[[#This Row],[Mardi]]),FALSE),"")</f>
        <v/>
      </c>
      <c r="AO235" s="172" t="e">
        <f>IF(VLOOKUP(T_BilanSocial[[#This Row],[NumL]],T_TraitDi[#Data],COLUMN(T_TraitDi[[#This Row],[Colonne1]]),FALSE)=0,"",TEXT(IFERROR(VLOOKUP(T_BilanSocial[[#This Row],[NumL]],T_TraitDi[#Data],COLUMN(T_TraitDi[[#This Row],[Colonne1]]),FALSE),""),"[hh]:mm"))</f>
        <v>#VALUE!</v>
      </c>
      <c r="AP235" s="172" t="e">
        <f>IF(VLOOKUP(T_BilanSocial[[#This Row],[NumL]],T_TraitDi[#Data],COLUMN(T_TraitDi[[#This Row],[Colonne9]]),FALSE)=0,"",TEXT(IFERROR(VLOOKUP(T_BilanSocial[[#This Row],[NumL]],T_TraitDi[#Data],COLUMN(T_TraitDi[[#This Row],[Colonne9]]),FALSE),""),"[hh]:mm"))</f>
        <v>#VALUE!</v>
      </c>
      <c r="AQ235" s="172" t="str">
        <f>IFERROR(VLOOKUP(T_BilanSocial[[#This Row],[NumL]],T_TraitDi[#Data],COLUMN(T_TraitDi[[#This Row],[Colonne10]]),FALSE),"")</f>
        <v/>
      </c>
      <c r="AR235" s="172" t="e">
        <f>IF(VLOOKUP(T_BilanSocial[[#This Row],[NumL]],T_TraitDi[#Data],COLUMN(T_TraitDi[[#This Row],[Colonne11]]),FALSE)=0,"",TEXT(IFERROR(VLOOKUP(T_BilanSocial[[#This Row],[NumL]],T_TraitDi[#Data],COLUMN(T_TraitDi[[#This Row],[Colonne11]]),FALSE),""),"[hh]:mm"))</f>
        <v>#VALUE!</v>
      </c>
      <c r="AS235" s="172" t="e">
        <f>IF(VLOOKUP(T_BilanSocial[[#This Row],[NumL]],T_TraitDi[#Data],COLUMN(T_TraitDi[[#This Row],[Colonne12]]),FALSE)=0,"",TEXT(IFERROR(VLOOKUP(T_BilanSocial[[#This Row],[NumL]],T_TraitDi[#Data],COLUMN(T_TraitDi[[#This Row],[Colonne12]]),FALSE),""),"[hh]:mm"))</f>
        <v>#VALUE!</v>
      </c>
      <c r="AT235" s="172" t="e">
        <f>IF(VLOOKUP(T_BilanSocial[[#This Row],[NumL]],T_TraitDi[#Data],COLUMN(T_TraitDi[[#This Row],[Colonne14]]),FALSE)=0,"",TEXT(IFERROR(VLOOKUP(T_BilanSocial[[#This Row],[NumL]],T_TraitDi[#Data],COLUMN(T_TraitDi[[#This Row],[Colonne14]]),FALSE),""),"[hh]:mm"))</f>
        <v>#VALUE!</v>
      </c>
      <c r="AU235" s="172" t="str">
        <f>IFERROR(VLOOKUP(T_BilanSocial[[#This Row],[NumL]],T_TraitDi[#Data],COLUMN(T_TraitDi[[#This Row],[Mercredi]]),FALSE),"")</f>
        <v/>
      </c>
      <c r="AV235" s="172" t="e">
        <f>IF(VLOOKUP(T_BilanSocial[[#This Row],[NumL]],T_TraitDi[#Data],COLUMN(T_TraitDi[[#This Row],[Colonne15]]),FALSE)=0,"",TEXT(IFERROR(VLOOKUP(T_BilanSocial[[#This Row],[NumL]],T_TraitDi[#Data],COLUMN(T_TraitDi[[#This Row],[Colonne15]]),FALSE),""),"[hh]:mm"))</f>
        <v>#VALUE!</v>
      </c>
      <c r="AW235" s="172" t="e">
        <f>IF(VLOOKUP(T_BilanSocial[[#This Row],[NumL]],T_TraitDi[#Data],COLUMN(T_TraitDi[[#This Row],[Colonne16]]),FALSE)=0,"",TEXT(IFERROR(VLOOKUP(T_BilanSocial[[#This Row],[NumL]],T_TraitDi[#Data],COLUMN(T_TraitDi[[#This Row],[Colonne16]]),FALSE),""),"[hh]:mm"))</f>
        <v>#VALUE!</v>
      </c>
      <c r="AX235" s="172" t="str">
        <f>IFERROR(VLOOKUP(T_BilanSocial[[#This Row],[NumL]],T_TraitDi[#Data],COLUMN(T_TraitDi[[#This Row],[Colonne17]]),FALSE),"")</f>
        <v/>
      </c>
      <c r="AY235" s="172" t="e">
        <f>IF(VLOOKUP(T_BilanSocial[[#This Row],[NumL]],T_TraitDi[#Data],COLUMN(T_TraitDi[[#This Row],[Colonne18]]),FALSE)=0,"",TEXT(IFERROR(VLOOKUP(T_BilanSocial[[#This Row],[NumL]],T_TraitDi[#Data],COLUMN(T_TraitDi[[#This Row],[Colonne18]]),FALSE),""),"[hh]:mm"))</f>
        <v>#VALUE!</v>
      </c>
      <c r="AZ235" s="172" t="e">
        <f>IF(VLOOKUP(T_BilanSocial[[#This Row],[NumL]],T_TraitDi[#Data],COLUMN(T_TraitDi[[#This Row],[Colonne19]]),FALSE)=0,"",TEXT(IFERROR(VLOOKUP(T_BilanSocial[[#This Row],[NumL]],T_TraitDi[#Data],COLUMN(T_TraitDi[[#This Row],[Colonne19]]),FALSE),""),"[hh]:mm"))</f>
        <v>#VALUE!</v>
      </c>
      <c r="BA235" s="172" t="e">
        <f>IF(VLOOKUP(T_BilanSocial[[#This Row],[NumL]],T_TraitDi[#Data],COLUMN(T_TraitDi[[#This Row],[Colonne20]]),FALSE)=0,"",TEXT(IFERROR(VLOOKUP(T_BilanSocial[[#This Row],[NumL]],T_TraitDi[#Data],COLUMN(T_TraitDi[[#This Row],[Colonne20]]),FALSE),""),"[hh]:mm"))</f>
        <v>#VALUE!</v>
      </c>
      <c r="BB235" s="178" t="str">
        <f>IFERROR(VLOOKUP(T_BilanSocial[[#This Row],[NumL]],T_TraitDi[#Data],COLUMN(T_TraitDi[[#This Row],[Jeudi]]),FALSE),"")</f>
        <v/>
      </c>
      <c r="BC235" s="178" t="e">
        <f>IF(VLOOKUP(T_BilanSocial[[#This Row],[NumL]],T_TraitDi[#Data],COLUMN(T_TraitDi[[#This Row],[Colonne21]]),FALSE)=0,"",TEXT(IFERROR(VLOOKUP(T_BilanSocial[[#This Row],[NumL]],T_TraitDi[#Data],COLUMN(T_TraitDi[[#This Row],[Colonne21]]),FALSE),""),"[hh]:mm"))</f>
        <v>#VALUE!</v>
      </c>
      <c r="BD235" s="178" t="e">
        <f>IF(VLOOKUP(T_BilanSocial[[#This Row],[NumL]],T_TraitDi[#Data],COLUMN(T_TraitDi[[#This Row],[Colonne22]]),FALSE)=0,"",TEXT(IFERROR(VLOOKUP(T_BilanSocial[[#This Row],[NumL]],T_TraitDi[#Data],COLUMN(T_TraitDi[[#This Row],[Colonne22]]),FALSE),""),"[hh]:mm"))</f>
        <v>#VALUE!</v>
      </c>
      <c r="BE235" s="178" t="str">
        <f>IFERROR(VLOOKUP(T_BilanSocial[[#This Row],[NumL]],T_TraitDi[#Data],COLUMN(T_TraitDi[[#This Row],[Colonne23]]),FALSE),"")</f>
        <v/>
      </c>
      <c r="BF235" s="178" t="e">
        <f>IF(VLOOKUP(T_BilanSocial[[#This Row],[NumL]],T_TraitDi[#Data],COLUMN(T_TraitDi[[#This Row],[Colonne24]]),FALSE)=0,"",TEXT(IFERROR(VLOOKUP(T_BilanSocial[[#This Row],[NumL]],T_TraitDi[#Data],COLUMN(T_TraitDi[[#This Row],[Colonne24]]),FALSE),""),"[hh]:mm"))</f>
        <v>#VALUE!</v>
      </c>
      <c r="BG235" s="178" t="e">
        <f>IF(VLOOKUP(T_BilanSocial[[#This Row],[NumL]],T_TraitDi[#Data],COLUMN(T_TraitDi[[#This Row],[Colonne25]]),FALSE)=0,"",TEXT(IFERROR(VLOOKUP(T_BilanSocial[[#This Row],[NumL]],T_TraitDi[#Data],COLUMN(T_TraitDi[[#This Row],[Colonne25]]),FALSE),""),"[hh]:mm"))</f>
        <v>#VALUE!</v>
      </c>
      <c r="BH235" s="178" t="e">
        <f>IF(VLOOKUP(T_BilanSocial[[#This Row],[NumL]],T_TraitDi[#Data],COLUMN(T_TraitDi[[#This Row],[Colonne26]]),FALSE)=0,"",TEXT(IFERROR(VLOOKUP(T_BilanSocial[[#This Row],[NumL]],T_TraitDi[#Data],COLUMN(T_TraitDi[[#This Row],[Colonne26]]),FALSE),""),"[hh]:mm"))</f>
        <v>#VALUE!</v>
      </c>
      <c r="BI235" s="172" t="str">
        <f>IFERROR(VLOOKUP(T_BilanSocial[[#This Row],[NumL]],T_TraitDi[#Data],COLUMN(T_TraitDi[[#This Row],[Vendredi]]),FALSE),"")</f>
        <v/>
      </c>
      <c r="BJ235" s="172" t="e">
        <f>IF(VLOOKUP(T_BilanSocial[[#This Row],[NumL]],T_TraitDi[#Data],COLUMN(T_TraitDi[[#This Row],[Colonne27]]),FALSE)=0,"",TEXT(IFERROR(VLOOKUP(T_BilanSocial[[#This Row],[NumL]],T_TraitDi[#Data],COLUMN(T_TraitDi[[#This Row],[Colonne27]]),FALSE),""),"[hh]:mm"))</f>
        <v>#VALUE!</v>
      </c>
      <c r="BK235" s="172" t="e">
        <f>IF(VLOOKUP(T_BilanSocial[[#This Row],[NumL]],T_TraitDi[#Data],COLUMN(T_TraitDi[[#This Row],[Colonne28]]),FALSE)=0,"",TEXT(IFERROR(VLOOKUP(T_BilanSocial[[#This Row],[NumL]],T_TraitDi[#Data],COLUMN(T_TraitDi[[#This Row],[Colonne28]]),FALSE),""),"[hh]:mm"))</f>
        <v>#VALUE!</v>
      </c>
      <c r="BL235" s="172" t="str">
        <f>IFERROR(VLOOKUP(T_BilanSocial[[#This Row],[NumL]],T_TraitDi[#Data],COLUMN(T_TraitDi[[#This Row],[Colonne29]]),FALSE),"")</f>
        <v/>
      </c>
      <c r="BM235" s="172" t="e">
        <f>IF(VLOOKUP(T_BilanSocial[[#This Row],[NumL]],T_TraitDi[#Data],COLUMN(T_TraitDi[[#This Row],[Colonne30]]),FALSE)=0,"",TEXT(IFERROR(VLOOKUP(T_BilanSocial[[#This Row],[NumL]],T_TraitDi[#Data],COLUMN(T_TraitDi[[#This Row],[Colonne30]]),FALSE),""),"[hh]:mm"))</f>
        <v>#VALUE!</v>
      </c>
      <c r="BN235" s="172" t="e">
        <f>IF(VLOOKUP(T_BilanSocial[[#This Row],[NumL]],T_TraitDi[#Data],COLUMN(T_TraitDi[[#This Row],[Colonne31]]),FALSE)=0,"",TEXT(IFERROR(VLOOKUP(T_BilanSocial[[#This Row],[NumL]],T_TraitDi[#Data],COLUMN(T_TraitDi[[#This Row],[Colonne31]]),FALSE),""),"[hh]:mm"))</f>
        <v>#VALUE!</v>
      </c>
      <c r="BO235" s="172" t="e">
        <f>IF(VLOOKUP(T_BilanSocial[[#This Row],[NumL]],T_TraitDi[#Data],COLUMN(T_TraitDi[[#This Row],[Colonne32]]),FALSE)=0,"",TEXT(IFERROR(VLOOKUP(T_BilanSocial[[#This Row],[NumL]],T_TraitDi[#Data],COLUMN(T_TraitDi[[#This Row],[Colonne32]]),FALSE),""),"[hh]:mm"))</f>
        <v>#VALUE!</v>
      </c>
      <c r="BP235" s="172" t="e">
        <f>VLOOKUP(T_BilanSocial[[#This Row],[NumL]],T_TraitDi[#Data],COLUMN(T_TraitDi[NbJTot]),FALSE)</f>
        <v>#N/A</v>
      </c>
      <c r="BQ235" s="174" t="str">
        <f>IFERROR(VLOOKUP(T_BilanSocial[[#This Row],[NumL]],T_TraitDi[#Data],COLUMN(T_TraitDi[[#This Row],[NbJTW]]),FALSE),"")</f>
        <v/>
      </c>
      <c r="BR235" s="174" t="e">
        <f>IF(VLOOKUP(T_BilanSocial[[#This Row],[NumL]],T_TraitDi[#Data],COLUMN(T_TraitDi[[#This Row],[NbhTW]]),FALSE)=0,"",TEXT(IFERROR(VLOOKUP(T_BilanSocial[[#This Row],[NumL]],T_TraitDi[#Data],COLUMN(T_TraitDi[[#This Row],[NbhTW]]),FALSE),""),"[hh]:mm"))</f>
        <v>#VALUE!</v>
      </c>
      <c r="BS235" s="174" t="e">
        <f>IF(VLOOKUP(T_BilanSocial[[#This Row],[NumL]],T_TraitDi[#Data],COLUMN(T_TraitDi[[#This Row],[Nbhheb]]),FALSE)=0,"",TEXT(IFERROR(VLOOKUP($A235,T_TraitDi[#Data],COLUMN(T_TraitDi[[#This Row],[Nbhheb]]),FALSE),""),"[hh]:mm"))</f>
        <v>#VALUE!</v>
      </c>
      <c r="BT235" s="182" t="str">
        <f>IFERROR(VLOOKUP(VLOOKUP($A235,T_TraitDi[#Data],COLUMN(T_TraitDi[[#This Row],[Type1]]),FALSE),TypeTW,2,FALSE),"")</f>
        <v/>
      </c>
      <c r="BU235" s="182" t="str">
        <f>IFERROR(VLOOKUP($A235,T_TraitDi[#Data],COLUMN(T_TraitDi[[#This Row],[Rue1]]),FALSE),"")</f>
        <v/>
      </c>
      <c r="BV235" s="173" t="str">
        <f>IFERROR(VLOOKUP($A235,T_TraitDi[#Data],COLUMN(T_TraitDi[[#This Row],[CP1]]),FALSE),"")</f>
        <v/>
      </c>
      <c r="BW235" s="173" t="str">
        <f>IFERROR(VLOOKUP($A235,T_TraitDi[#Data],COLUMN(T_TraitDi[[#This Row],[VILLE1]]),FALSE),"")</f>
        <v/>
      </c>
      <c r="BX235" s="182" t="str">
        <f>IFERROR(VLOOKUP(VLOOKUP($A235,T_TraitDi[#Data],COLUMN(T_TraitDi[[#This Row],[Type2]]),FALSE),TypeTW,2,FALSE),"")</f>
        <v/>
      </c>
      <c r="BY235" s="182" t="str">
        <f>IFERROR(VLOOKUP($A235,T_TraitDi[#Data],COLUMN(T_TraitDi[[#This Row],[Rue2]]),FALSE),"")</f>
        <v/>
      </c>
      <c r="BZ235" s="173" t="str">
        <f>IFERROR(VLOOKUP($A235,T_TraitDi[#Data],COLUMN(T_TraitDi[[#This Row],[CP2]]),FALSE),"")</f>
        <v/>
      </c>
      <c r="CA235" s="173" t="str">
        <f>IFERROR(VLOOKUP($A235,T_TraitDi[#Data],COLUMN(T_TraitDi[[#This Row],[VILLE2]]),FALSE),"")</f>
        <v/>
      </c>
      <c r="CB235" s="182" t="str">
        <f>IF(VLOOKUP(T_BilanSocial[[#This Row],[NumL]],T_Equipement[#Data],COLUMN(T_Equipement[[#This Row],[PC]]),FALSE)="","Aucun équipement spécifique directement lié au télétravail",VLOOKUP(T_BilanSocial[[#This Row],[NumL]],T_Equipement[#Data],COLUMN(T_Equipement[[#This Row],[PC]]),FALSE))</f>
        <v xml:space="preserve">18-026	</v>
      </c>
      <c r="CC235" s="166" t="str">
        <f>IFERROR(IF(VLOOKUP(T_BilanSocial[[#This Row],[NumL]],T_TraitDi[#Data],COLUMN(T_TraitDi[[#This Row],[Plan]]),FALSE)="OK","Un planning spécifique de télétravail est annexé à la présente convention.",""),"")</f>
        <v/>
      </c>
      <c r="CD235" s="185"/>
      <c r="CE235" s="164" t="e">
        <f>IF(VLOOKUP(T_BilanSocial[[#This Row],[NumL]],T_suiviDi[#Data],COLUMN(T_suiviDi[[#This Row],[Entité]]),FALSE)="","",VLOOKUP(T_BilanSocial[[#This Row],[NumL]],T_suiviDi[#Data],COLUMN(T_suiviDi[[#This Row],[Entité]]),FALSE))</f>
        <v>#VALUE!</v>
      </c>
      <c r="CF235" s="164" t="str">
        <f>IF(VLOOKUP(T_BilanSocial[[#This Row],[NumL]],T_Commission[#Data],COLUMN(T_Commission[[#This Row],[envoi confirm TW]]),FALSE)="","",VLOOKUP(T_BilanSocial[[#This Row],[NumL]],T_Commission[#Data],COLUMN(T_Commission[[#This Row],[envoi confirm TW]]),FALSE))</f>
        <v>Oui</v>
      </c>
      <c r="CG23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5" s="262" t="str">
        <f>T_BilanSocial[[#This Row],[Nom]]&amp;T_BilanSocial[[#This Row],[Prenom]]</f>
        <v/>
      </c>
      <c r="CI235" s="262">
        <f>VLOOKUP(T_BilanSocial[[#This Row],[NumL]],T_Commission[#Data],COLUMN(T_Commission[Commentaire]),FALSE)</f>
        <v>0</v>
      </c>
      <c r="CJ235" s="262" t="str">
        <f>IF(VLOOKUP(T_BilanSocial[[#This Row],[NumL]],T_Commission[#Data],COLUMN(T_Commission[Encadrant Email]),FALSE)="","",VLOOKUP(T_BilanSocial[[#This Row],[NumL]],T_Commission[#Data],COLUMN(T_Commission[Encadrant Email]),FALSE))</f>
        <v/>
      </c>
      <c r="CK235" s="340" t="str">
        <f>IF(T_BilanSocial[[#This Row],[Final]]&lt;&gt;"",VLOOKUP(T_BilanSocial[[#This Row],[NumL]],T_suiviDi[#Data],COLUMN((T_suiviDi[Statut])),FALSE),"")</f>
        <v/>
      </c>
    </row>
    <row r="236" spans="1:89" s="106" customFormat="1" ht="24.75" customHeight="1" x14ac:dyDescent="0.25">
      <c r="A236" s="160">
        <v>233</v>
      </c>
      <c r="B236" s="161" t="e">
        <f t="shared" si="34"/>
        <v>#N/A</v>
      </c>
      <c r="C236" s="162" t="s">
        <v>173</v>
      </c>
      <c r="D236" s="95" t="e">
        <f>IF(VLOOKUP(T_BilanSocial[[#This Row],[NumL]],T_TraitDi[#Data],COLUMN(T_TraitDi[[#This Row],[WebC]]),FALSE)="","",VLOOKUP(T_BilanSocial[[#This Row],[NumL]],T_TraitDi[#Data],COLUMN(T_TraitDi[[#This Row],[WebC]]),FALSE))</f>
        <v>#VALUE!</v>
      </c>
      <c r="E236" s="163" t="str">
        <f t="shared" si="35"/>
        <v>12 janvier 2021</v>
      </c>
      <c r="F236" s="96" t="e">
        <f>IF(T_BilanSocial[[#This Row],[Final]]&lt;&gt;"",VLOOKUP(T_BilanSocial[[#This Row],[NumL]],T_suiviDi[#Data],COLUMN((T_suiviDi[Civ.])),FALSE),"")</f>
        <v>#N/A</v>
      </c>
      <c r="G236" s="96" t="e">
        <f>IF(T_BilanSocial[[#This Row],[Final]]&lt;&gt;"",VLOOKUP(T_BilanSocial[[#This Row],[NumL]],T_suiviDi[#Data],COLUMN((T_suiviDi[Nom])),FALSE),"")</f>
        <v>#N/A</v>
      </c>
      <c r="H236" s="96" t="e">
        <f>IF(T_BilanSocial[[#This Row],[Final]]&lt;&gt;"",VLOOKUP(T_BilanSocial[[#This Row],[NumL]],T_suiviDi[#Data],COLUMN((T_suiviDi[Prénom])),FALSE),"")</f>
        <v>#N/A</v>
      </c>
      <c r="I236" s="96" t="str">
        <f>IFERROR(VLOOKUP(T_BilanSocial[[#This Row],[Zone_Bilan]],T_P_BilanSocial[#Data],COLUMN(T_P_BilanSocial[[#This Row],[Numero_SIHAM]]),FALSE),"")</f>
        <v/>
      </c>
      <c r="J236" s="96" t="str">
        <f>IFERROR(VLOOKUP(T_BilanSocial[[#This Row],[Zone_Bilan]],T_P_BilanSocial[#Data],COLUMN(T_P_BilanSocial[[#This Row],[Sexe]]),FALSE),"")</f>
        <v/>
      </c>
      <c r="K236" s="97" t="str">
        <f>IFERROR(VLOOKUP(T_BilanSocial[[#This Row],[Zone_Bilan]],T_P_BilanSocial[#Data],COLUMN(T_P_BilanSocial[[#This Row],[Categorie]]),FALSE),"")</f>
        <v/>
      </c>
      <c r="L236" s="96" t="str">
        <f>IFERROR(VLOOKUP(T_BilanSocial[[#This Row],[Zone_Bilan]],T_P_BilanSocial[#Data],COLUMN(T_P_BilanSocial[[#This Row],[Statut]]),FALSE),"")</f>
        <v/>
      </c>
      <c r="M236" s="96" t="str">
        <f>IFERROR(VLOOKUP(T_BilanSocial[[#This Row],[Zone_Bilan]],T_P_BilanSocial[#Data],COLUMN(T_P_BilanSocial[[#This Row],[Filiere]]),FALSE),"")</f>
        <v/>
      </c>
      <c r="N236" s="96" t="e">
        <f>VLOOKUP(T_BilanSocial[[#This Row],[NumL]],T_TraitDi[#Data],COLUMN(T_TraitDi[EXP]),FALSE)</f>
        <v>#N/A</v>
      </c>
      <c r="O236" s="96" t="e">
        <f>VLOOKUP(T_BilanSocial[[#This Row],[NumL]],T_TraitDi[#Data],COLUMN(T_TraitDi[FORM]),FALSE)</f>
        <v>#N/A</v>
      </c>
      <c r="P236" s="96" t="e">
        <f>IF(T_BilanSocial[[#This Row],[Final]]&lt;&gt;"",VLOOKUP(T_BilanSocial[[#This Row],[NumL]],T_suiviDi[#Data],COLUMN((T_suiviDi[Email])),FALSE),"")</f>
        <v>#N/A</v>
      </c>
      <c r="Q236" s="164" t="e">
        <f t="shared" si="40"/>
        <v>#N/A</v>
      </c>
      <c r="R236" s="164" t="e">
        <f t="shared" si="41"/>
        <v>#N/A</v>
      </c>
      <c r="S236" s="164" t="e">
        <f>IF(VLOOKUP(T_BilanSocial[[#This Row],[NumL]],T_suiviDi[#Data],COLUMN(T_suiviDi[[#This Row],[Service ]]),FALSE)="","",VLOOKUP(T_BilanSocial[[#This Row],[NumL]],T_suiviDi[#Data],COLUMN(T_suiviDi[[#This Row],[Service ]]),FALSE))</f>
        <v>#VALUE!</v>
      </c>
      <c r="T236" s="164" t="str">
        <f t="shared" si="36"/>
        <v>01 septembre 2021</v>
      </c>
      <c r="U236" s="164" t="str">
        <f t="shared" si="37"/>
        <v>30 novembre 2021</v>
      </c>
      <c r="V236" s="164" t="str">
        <f>TEXT(Datebilan,"jj mmmm aaaa")</f>
        <v>30 novembre 2021</v>
      </c>
      <c r="W236" s="176" t="e">
        <f>IF(VLOOKUP(T_BilanSocial[[#This Row],[NumL]],T_TraitDi[#Data],COLUMN(T_TraitDi[[#This Row],[M1]]),FALSE)="","",VLOOKUP(T_BilanSocial[[#This Row],[NumL]],T_TraitDi[#Data],COLUMN(T_TraitDi[[#This Row],[M1]]),FALSE))</f>
        <v>#VALUE!</v>
      </c>
      <c r="X236" s="176" t="e">
        <f>IF(VLOOKUP(T_BilanSocial[[#This Row],[NumL]],T_TraitDi[#Data],COLUMN(T_TraitDi[[#This Row],[M2]]),FALSE)="","",VLOOKUP(T_BilanSocial[[#This Row],[NumL]],T_TraitDi[#Data],COLUMN(T_TraitDi[[#This Row],[M2]]),FALSE))</f>
        <v>#VALUE!</v>
      </c>
      <c r="Y236" s="176" t="e">
        <f>IF(VLOOKUP(T_BilanSocial[[#This Row],[NumL]],T_TraitDi[#Data],COLUMN(T_TraitDi[[#This Row],[M3]]),FALSE)="","",VLOOKUP(T_BilanSocial[[#This Row],[NumL]],T_TraitDi[#Data],COLUMN(T_TraitDi[[#This Row],[M3]]),FALSE))</f>
        <v>#VALUE!</v>
      </c>
      <c r="Z236" s="176" t="str">
        <f t="shared" si="39"/>
        <v/>
      </c>
      <c r="AA236" s="176" t="e">
        <f>IF(VLOOKUP(T_BilanSocial[[#This Row],[NumL]],T_TraitDi[#Data],COLUMN(T_TraitDi[[#This Row],[M5]]),FALSE)="","",VLOOKUP(T_BilanSocial[[#This Row],[NumL]],T_TraitDi[#Data],COLUMN(T_TraitDi[[#This Row],[M5]]),FALSE))</f>
        <v>#VALUE!</v>
      </c>
      <c r="AB236" s="176" t="e">
        <f>IF(VLOOKUP(T_BilanSocial[[#This Row],[NumL]],T_TraitDi[#Data],COLUMN(T_TraitDi[[#This Row],[M6]]),FALSE)="","",VLOOKUP(T_BilanSocial[[#This Row],[NumL]],T_TraitDi[#Data],COLUMN(T_TraitDi[[#This Row],[M6]]),FALSE))</f>
        <v>#VALUE!</v>
      </c>
      <c r="AC236" s="165" t="e">
        <f t="shared" si="38"/>
        <v>#VALUE!</v>
      </c>
      <c r="AD236" s="188" t="str">
        <f>IFERROR(TEXT(VLOOKUP(T_BilanSocial[[#This Row],[NumL]],T_TraitDi[#Data],COLUMN(T_TraitDi[[#This Row],[Q2]]),FALSE),"###%"),"")</f>
        <v/>
      </c>
      <c r="AE236" s="97" t="e">
        <f>VLOOKUP(T_BilanSocial[[#This Row],[NumL]],T_TraitDi[#Data],COLUMN(T_TraitDi[[#This Row],[Reg Ponct]]),FALSE)</f>
        <v>#VALUE!</v>
      </c>
      <c r="AF236" s="97" t="e">
        <f>VLOOKUP(T_BilanSocial[NumL],T_TraitDi[#Data],COLUMN(T_TraitDi[[#This Row],[Jours flottants]]),FALSE)</f>
        <v>#VALUE!</v>
      </c>
      <c r="AG236" s="97" t="str">
        <f>IFERROR(VLOOKUP(T_BilanSocial[[#This Row],[NumL]],T_TraitDi[#Data],COLUMN(T_TraitDi[[#This Row],[Lundi]]),FALSE),"")</f>
        <v/>
      </c>
      <c r="AH236" s="172" t="e">
        <f>IF(VLOOKUP(T_BilanSocial[[#This Row],[NumL]],T_TraitDi[#Data],COLUMN(T_TraitDi[[#This Row],[Colonne3]]),FALSE)=0,"",TEXT(IFERROR(VLOOKUP(T_BilanSocial[[#This Row],[NumL]],T_TraitDi[#Data],COLUMN(T_TraitDi[[#This Row],[Colonne3]]),FALSE),""),"[hh]:mm"))</f>
        <v>#VALUE!</v>
      </c>
      <c r="AI236" s="172" t="e">
        <f>IF(VLOOKUP(T_BilanSocial[[#This Row],[NumL]],T_TraitDi[#Data],COLUMN(T_TraitDi[[#This Row],[Colonne4]]),FALSE)=0,"",TEXT(IFERROR(VLOOKUP(T_BilanSocial[[#This Row],[NumL]],T_TraitDi[#Data],COLUMN(T_TraitDi[[#This Row],[Colonne4]]),FALSE),""),"[hh]:mm"))</f>
        <v>#VALUE!</v>
      </c>
      <c r="AJ236" s="172" t="e">
        <f>IF(VLOOKUP(T_BilanSocial[[#This Row],[NumL]],T_TraitDi[#Data],COLUMN(T_TraitDi[[#This Row],[Colonne5]]),FALSE)=0,"",TEXT(IFERROR(VLOOKUP(T_BilanSocial[[#This Row],[NumL]],T_TraitDi[#Data],COLUMN(T_TraitDi[[#This Row],[Colonne5]]),FALSE),""),"[hh]:mm"))</f>
        <v>#VALUE!</v>
      </c>
      <c r="AK236" s="172" t="e">
        <f>IF(VLOOKUP(T_BilanSocial[[#This Row],[NumL]],T_TraitDi[#Data],COLUMN(T_TraitDi[[#This Row],[Colonne6]]),FALSE)=0,"",TEXT(IFERROR(VLOOKUP(T_BilanSocial[[#This Row],[NumL]],T_TraitDi[#Data],COLUMN(T_TraitDi[[#This Row],[Colonne6]]),FALSE),""),"[hh]:mm"))</f>
        <v>#VALUE!</v>
      </c>
      <c r="AL236" s="172" t="e">
        <f>IF(VLOOKUP(T_BilanSocial[[#This Row],[NumL]],T_TraitDi[#Data],COLUMN(T_TraitDi[[#This Row],[Colonne7]]),FALSE)=0,"",TEXT(IFERROR(VLOOKUP(T_BilanSocial[[#This Row],[NumL]],T_TraitDi[#Data],COLUMN(T_TraitDi[[#This Row],[Colonne7]]),FALSE),""),"[hh]:mm"))</f>
        <v>#VALUE!</v>
      </c>
      <c r="AM236" s="172" t="e">
        <f>IF(VLOOKUP(T_BilanSocial[[#This Row],[NumL]],T_TraitDi[#Data],COLUMN(T_TraitDi[[#This Row],[Colonne8]]),FALSE)=0,"",TEXT(IFERROR(VLOOKUP(T_BilanSocial[[#This Row],[NumL]],T_TraitDi[#Data],COLUMN(T_TraitDi[[#This Row],[Colonne8]]),FALSE),""),"[hh]:mm"))</f>
        <v>#VALUE!</v>
      </c>
      <c r="AN236" s="172" t="str">
        <f>IFERROR(VLOOKUP(T_BilanSocial[[#This Row],[NumL]],T_TraitDi[#Data],COLUMN(T_TraitDi[[#This Row],[Mardi]]),FALSE),"")</f>
        <v/>
      </c>
      <c r="AO236" s="172" t="e">
        <f>IF(VLOOKUP(T_BilanSocial[[#This Row],[NumL]],T_TraitDi[#Data],COLUMN(T_TraitDi[[#This Row],[Colonne1]]),FALSE)=0,"",TEXT(IFERROR(VLOOKUP(T_BilanSocial[[#This Row],[NumL]],T_TraitDi[#Data],COLUMN(T_TraitDi[[#This Row],[Colonne1]]),FALSE),""),"[hh]:mm"))</f>
        <v>#VALUE!</v>
      </c>
      <c r="AP236" s="172" t="e">
        <f>IF(VLOOKUP(T_BilanSocial[[#This Row],[NumL]],T_TraitDi[#Data],COLUMN(T_TraitDi[[#This Row],[Colonne9]]),FALSE)=0,"",TEXT(IFERROR(VLOOKUP(T_BilanSocial[[#This Row],[NumL]],T_TraitDi[#Data],COLUMN(T_TraitDi[[#This Row],[Colonne9]]),FALSE),""),"[hh]:mm"))</f>
        <v>#VALUE!</v>
      </c>
      <c r="AQ236" s="172" t="str">
        <f>IFERROR(VLOOKUP(T_BilanSocial[[#This Row],[NumL]],T_TraitDi[#Data],COLUMN(T_TraitDi[[#This Row],[Colonne10]]),FALSE),"")</f>
        <v/>
      </c>
      <c r="AR236" s="172" t="e">
        <f>IF(VLOOKUP(T_BilanSocial[[#This Row],[NumL]],T_TraitDi[#Data],COLUMN(T_TraitDi[[#This Row],[Colonne11]]),FALSE)=0,"",TEXT(IFERROR(VLOOKUP(T_BilanSocial[[#This Row],[NumL]],T_TraitDi[#Data],COLUMN(T_TraitDi[[#This Row],[Colonne11]]),FALSE),""),"[hh]:mm"))</f>
        <v>#VALUE!</v>
      </c>
      <c r="AS236" s="172" t="e">
        <f>IF(VLOOKUP(T_BilanSocial[[#This Row],[NumL]],T_TraitDi[#Data],COLUMN(T_TraitDi[[#This Row],[Colonne12]]),FALSE)=0,"",TEXT(IFERROR(VLOOKUP(T_BilanSocial[[#This Row],[NumL]],T_TraitDi[#Data],COLUMN(T_TraitDi[[#This Row],[Colonne12]]),FALSE),""),"[hh]:mm"))</f>
        <v>#VALUE!</v>
      </c>
      <c r="AT236" s="172" t="e">
        <f>IF(VLOOKUP(T_BilanSocial[[#This Row],[NumL]],T_TraitDi[#Data],COLUMN(T_TraitDi[[#This Row],[Colonne14]]),FALSE)=0,"",TEXT(IFERROR(VLOOKUP(T_BilanSocial[[#This Row],[NumL]],T_TraitDi[#Data],COLUMN(T_TraitDi[[#This Row],[Colonne14]]),FALSE),""),"[hh]:mm"))</f>
        <v>#VALUE!</v>
      </c>
      <c r="AU236" s="172" t="str">
        <f>IFERROR(VLOOKUP(T_BilanSocial[[#This Row],[NumL]],T_TraitDi[#Data],COLUMN(T_TraitDi[[#This Row],[Mercredi]]),FALSE),"")</f>
        <v/>
      </c>
      <c r="AV236" s="172" t="e">
        <f>IF(VLOOKUP(T_BilanSocial[[#This Row],[NumL]],T_TraitDi[#Data],COLUMN(T_TraitDi[[#This Row],[Colonne15]]),FALSE)=0,"",TEXT(IFERROR(VLOOKUP(T_BilanSocial[[#This Row],[NumL]],T_TraitDi[#Data],COLUMN(T_TraitDi[[#This Row],[Colonne15]]),FALSE),""),"[hh]:mm"))</f>
        <v>#VALUE!</v>
      </c>
      <c r="AW236" s="172" t="e">
        <f>IF(VLOOKUP(T_BilanSocial[[#This Row],[NumL]],T_TraitDi[#Data],COLUMN(T_TraitDi[[#This Row],[Colonne16]]),FALSE)=0,"",TEXT(IFERROR(VLOOKUP(T_BilanSocial[[#This Row],[NumL]],T_TraitDi[#Data],COLUMN(T_TraitDi[[#This Row],[Colonne16]]),FALSE),""),"[hh]:mm"))</f>
        <v>#VALUE!</v>
      </c>
      <c r="AX236" s="172" t="str">
        <f>IFERROR(VLOOKUP(T_BilanSocial[[#This Row],[NumL]],T_TraitDi[#Data],COLUMN(T_TraitDi[[#This Row],[Colonne17]]),FALSE),"")</f>
        <v/>
      </c>
      <c r="AY236" s="172" t="e">
        <f>IF(VLOOKUP(T_BilanSocial[[#This Row],[NumL]],T_TraitDi[#Data],COLUMN(T_TraitDi[[#This Row],[Colonne18]]),FALSE)=0,"",TEXT(IFERROR(VLOOKUP(T_BilanSocial[[#This Row],[NumL]],T_TraitDi[#Data],COLUMN(T_TraitDi[[#This Row],[Colonne18]]),FALSE),""),"[hh]:mm"))</f>
        <v>#VALUE!</v>
      </c>
      <c r="AZ236" s="172" t="e">
        <f>IF(VLOOKUP(T_BilanSocial[[#This Row],[NumL]],T_TraitDi[#Data],COLUMN(T_TraitDi[[#This Row],[Colonne19]]),FALSE)=0,"",TEXT(IFERROR(VLOOKUP(T_BilanSocial[[#This Row],[NumL]],T_TraitDi[#Data],COLUMN(T_TraitDi[[#This Row],[Colonne19]]),FALSE),""),"[hh]:mm"))</f>
        <v>#VALUE!</v>
      </c>
      <c r="BA236" s="172" t="e">
        <f>IF(VLOOKUP(T_BilanSocial[[#This Row],[NumL]],T_TraitDi[#Data],COLUMN(T_TraitDi[[#This Row],[Colonne20]]),FALSE)=0,"",TEXT(IFERROR(VLOOKUP(T_BilanSocial[[#This Row],[NumL]],T_TraitDi[#Data],COLUMN(T_TraitDi[[#This Row],[Colonne20]]),FALSE),""),"[hh]:mm"))</f>
        <v>#VALUE!</v>
      </c>
      <c r="BB236" s="178" t="str">
        <f>IFERROR(VLOOKUP(T_BilanSocial[[#This Row],[NumL]],T_TraitDi[#Data],COLUMN(T_TraitDi[[#This Row],[Jeudi]]),FALSE),"")</f>
        <v/>
      </c>
      <c r="BC236" s="178" t="e">
        <f>IF(VLOOKUP(T_BilanSocial[[#This Row],[NumL]],T_TraitDi[#Data],COLUMN(T_TraitDi[[#This Row],[Colonne21]]),FALSE)=0,"",TEXT(IFERROR(VLOOKUP(T_BilanSocial[[#This Row],[NumL]],T_TraitDi[#Data],COLUMN(T_TraitDi[[#This Row],[Colonne21]]),FALSE),""),"[hh]:mm"))</f>
        <v>#VALUE!</v>
      </c>
      <c r="BD236" s="178" t="e">
        <f>IF(VLOOKUP(T_BilanSocial[[#This Row],[NumL]],T_TraitDi[#Data],COLUMN(T_TraitDi[[#This Row],[Colonne22]]),FALSE)=0,"",TEXT(IFERROR(VLOOKUP(T_BilanSocial[[#This Row],[NumL]],T_TraitDi[#Data],COLUMN(T_TraitDi[[#This Row],[Colonne22]]),FALSE),""),"[hh]:mm"))</f>
        <v>#VALUE!</v>
      </c>
      <c r="BE236" s="178" t="str">
        <f>IFERROR(VLOOKUP(T_BilanSocial[[#This Row],[NumL]],T_TraitDi[#Data],COLUMN(T_TraitDi[[#This Row],[Colonne23]]),FALSE),"")</f>
        <v/>
      </c>
      <c r="BF236" s="178" t="e">
        <f>IF(VLOOKUP(T_BilanSocial[[#This Row],[NumL]],T_TraitDi[#Data],COLUMN(T_TraitDi[[#This Row],[Colonne24]]),FALSE)=0,"",TEXT(IFERROR(VLOOKUP(T_BilanSocial[[#This Row],[NumL]],T_TraitDi[#Data],COLUMN(T_TraitDi[[#This Row],[Colonne24]]),FALSE),""),"[hh]:mm"))</f>
        <v>#VALUE!</v>
      </c>
      <c r="BG236" s="178" t="e">
        <f>IF(VLOOKUP(T_BilanSocial[[#This Row],[NumL]],T_TraitDi[#Data],COLUMN(T_TraitDi[[#This Row],[Colonne25]]),FALSE)=0,"",TEXT(IFERROR(VLOOKUP(T_BilanSocial[[#This Row],[NumL]],T_TraitDi[#Data],COLUMN(T_TraitDi[[#This Row],[Colonne25]]),FALSE),""),"[hh]:mm"))</f>
        <v>#VALUE!</v>
      </c>
      <c r="BH236" s="178" t="e">
        <f>IF(VLOOKUP(T_BilanSocial[[#This Row],[NumL]],T_TraitDi[#Data],COLUMN(T_TraitDi[[#This Row],[Colonne26]]),FALSE)=0,"",TEXT(IFERROR(VLOOKUP(T_BilanSocial[[#This Row],[NumL]],T_TraitDi[#Data],COLUMN(T_TraitDi[[#This Row],[Colonne26]]),FALSE),""),"[hh]:mm"))</f>
        <v>#VALUE!</v>
      </c>
      <c r="BI236" s="172" t="str">
        <f>IFERROR(VLOOKUP(T_BilanSocial[[#This Row],[NumL]],T_TraitDi[#Data],COLUMN(T_TraitDi[[#This Row],[Vendredi]]),FALSE),"")</f>
        <v/>
      </c>
      <c r="BJ236" s="172" t="e">
        <f>IF(VLOOKUP(T_BilanSocial[[#This Row],[NumL]],T_TraitDi[#Data],COLUMN(T_TraitDi[[#This Row],[Colonne27]]),FALSE)=0,"",TEXT(IFERROR(VLOOKUP(T_BilanSocial[[#This Row],[NumL]],T_TraitDi[#Data],COLUMN(T_TraitDi[[#This Row],[Colonne27]]),FALSE),""),"[hh]:mm"))</f>
        <v>#VALUE!</v>
      </c>
      <c r="BK236" s="172" t="e">
        <f>IF(VLOOKUP(T_BilanSocial[[#This Row],[NumL]],T_TraitDi[#Data],COLUMN(T_TraitDi[[#This Row],[Colonne28]]),FALSE)=0,"",TEXT(IFERROR(VLOOKUP(T_BilanSocial[[#This Row],[NumL]],T_TraitDi[#Data],COLUMN(T_TraitDi[[#This Row],[Colonne28]]),FALSE),""),"[hh]:mm"))</f>
        <v>#VALUE!</v>
      </c>
      <c r="BL236" s="172" t="str">
        <f>IFERROR(VLOOKUP(T_BilanSocial[[#This Row],[NumL]],T_TraitDi[#Data],COLUMN(T_TraitDi[[#This Row],[Colonne29]]),FALSE),"")</f>
        <v/>
      </c>
      <c r="BM236" s="172" t="e">
        <f>IF(VLOOKUP(T_BilanSocial[[#This Row],[NumL]],T_TraitDi[#Data],COLUMN(T_TraitDi[[#This Row],[Colonne30]]),FALSE)=0,"",TEXT(IFERROR(VLOOKUP(T_BilanSocial[[#This Row],[NumL]],T_TraitDi[#Data],COLUMN(T_TraitDi[[#This Row],[Colonne30]]),FALSE),""),"[hh]:mm"))</f>
        <v>#VALUE!</v>
      </c>
      <c r="BN236" s="172" t="e">
        <f>IF(VLOOKUP(T_BilanSocial[[#This Row],[NumL]],T_TraitDi[#Data],COLUMN(T_TraitDi[[#This Row],[Colonne31]]),FALSE)=0,"",TEXT(IFERROR(VLOOKUP(T_BilanSocial[[#This Row],[NumL]],T_TraitDi[#Data],COLUMN(T_TraitDi[[#This Row],[Colonne31]]),FALSE),""),"[hh]:mm"))</f>
        <v>#VALUE!</v>
      </c>
      <c r="BO236" s="172" t="e">
        <f>IF(VLOOKUP(T_BilanSocial[[#This Row],[NumL]],T_TraitDi[#Data],COLUMN(T_TraitDi[[#This Row],[Colonne32]]),FALSE)=0,"",TEXT(IFERROR(VLOOKUP(T_BilanSocial[[#This Row],[NumL]],T_TraitDi[#Data],COLUMN(T_TraitDi[[#This Row],[Colonne32]]),FALSE),""),"[hh]:mm"))</f>
        <v>#VALUE!</v>
      </c>
      <c r="BP236" s="172" t="e">
        <f>VLOOKUP(T_BilanSocial[[#This Row],[NumL]],T_TraitDi[#Data],COLUMN(T_TraitDi[NbJTot]),FALSE)</f>
        <v>#N/A</v>
      </c>
      <c r="BQ236" s="174" t="str">
        <f>IFERROR(VLOOKUP(T_BilanSocial[[#This Row],[NumL]],T_TraitDi[#Data],COLUMN(T_TraitDi[[#This Row],[NbJTW]]),FALSE),"")</f>
        <v/>
      </c>
      <c r="BR236" s="174" t="e">
        <f>IF(VLOOKUP(T_BilanSocial[[#This Row],[NumL]],T_TraitDi[#Data],COLUMN(T_TraitDi[[#This Row],[NbhTW]]),FALSE)=0,"",TEXT(IFERROR(VLOOKUP(T_BilanSocial[[#This Row],[NumL]],T_TraitDi[#Data],COLUMN(T_TraitDi[[#This Row],[NbhTW]]),FALSE),""),"[hh]:mm"))</f>
        <v>#VALUE!</v>
      </c>
      <c r="BS236" s="174" t="e">
        <f>IF(VLOOKUP(T_BilanSocial[[#This Row],[NumL]],T_TraitDi[#Data],COLUMN(T_TraitDi[[#This Row],[Nbhheb]]),FALSE)=0,"",TEXT(IFERROR(VLOOKUP($A236,T_TraitDi[#Data],COLUMN(T_TraitDi[[#This Row],[Nbhheb]]),FALSE),""),"[hh]:mm"))</f>
        <v>#VALUE!</v>
      </c>
      <c r="BT236" s="182" t="str">
        <f>IFERROR(VLOOKUP(VLOOKUP($A236,T_TraitDi[#Data],COLUMN(T_TraitDi[[#This Row],[Type1]]),FALSE),TypeTW,2,FALSE),"")</f>
        <v/>
      </c>
      <c r="BU236" s="182" t="str">
        <f>IFERROR(VLOOKUP($A236,T_TraitDi[#Data],COLUMN(T_TraitDi[[#This Row],[Rue1]]),FALSE),"")</f>
        <v/>
      </c>
      <c r="BV236" s="173" t="str">
        <f>IFERROR(VLOOKUP($A236,T_TraitDi[#Data],COLUMN(T_TraitDi[[#This Row],[CP1]]),FALSE),"")</f>
        <v/>
      </c>
      <c r="BW236" s="173" t="str">
        <f>IFERROR(VLOOKUP($A236,T_TraitDi[#Data],COLUMN(T_TraitDi[[#This Row],[VILLE1]]),FALSE),"")</f>
        <v/>
      </c>
      <c r="BX236" s="182" t="str">
        <f>IFERROR(VLOOKUP(VLOOKUP($A236,T_TraitDi[#Data],COLUMN(T_TraitDi[[#This Row],[Type2]]),FALSE),TypeTW,2,FALSE),"")</f>
        <v/>
      </c>
      <c r="BY236" s="182" t="str">
        <f>IFERROR(VLOOKUP($A236,T_TraitDi[#Data],COLUMN(T_TraitDi[[#This Row],[Rue2]]),FALSE),"")</f>
        <v/>
      </c>
      <c r="BZ236" s="173" t="str">
        <f>IFERROR(VLOOKUP($A236,T_TraitDi[#Data],COLUMN(T_TraitDi[[#This Row],[CP2]]),FALSE),"")</f>
        <v/>
      </c>
      <c r="CA236" s="173" t="str">
        <f>IFERROR(VLOOKUP($A236,T_TraitDi[#Data],COLUMN(T_TraitDi[[#This Row],[VILLE2]]),FALSE),"")</f>
        <v/>
      </c>
      <c r="CB236" s="182" t="e">
        <f>IF(VLOOKUP(T_BilanSocial[[#This Row],[NumL]],T_Equipement[#Data],COLUMN(T_Equipement[[#This Row],[PC]]),FALSE)="","Aucun équipement spécifique directement lié au télétravail",VLOOKUP(T_BilanSocial[[#This Row],[NumL]],T_Equipement[#Data],COLUMN(T_Equipement[[#This Row],[PC]]),FALSE))</f>
        <v>#N/A</v>
      </c>
      <c r="CC236" s="166" t="str">
        <f>IFERROR(IF(VLOOKUP(T_BilanSocial[[#This Row],[NumL]],T_TraitDi[#Data],COLUMN(T_TraitDi[[#This Row],[Plan]]),FALSE)="OK","Un planning spécifique de télétravail est annexé à la présente convention.",""),"")</f>
        <v/>
      </c>
      <c r="CD236" s="258" t="s">
        <v>3429</v>
      </c>
      <c r="CE236" s="164" t="e">
        <f>IF(VLOOKUP(T_BilanSocial[[#This Row],[NumL]],T_suiviDi[#Data],COLUMN(T_suiviDi[[#This Row],[Entité]]),FALSE)="","",VLOOKUP(T_BilanSocial[[#This Row],[NumL]],T_suiviDi[#Data],COLUMN(T_suiviDi[[#This Row],[Entité]]),FALSE))</f>
        <v>#VALUE!</v>
      </c>
      <c r="CF236" s="164" t="e">
        <f>IF(VLOOKUP(T_BilanSocial[[#This Row],[NumL]],T_Commission[#Data],COLUMN(T_Commission[[#This Row],[envoi confirm TW]]),FALSE)="","",VLOOKUP(T_BilanSocial[[#This Row],[NumL]],T_Commission[#Data],COLUMN(T_Commission[[#This Row],[envoi confirm TW]]),FALSE))</f>
        <v>#N/A</v>
      </c>
      <c r="CG23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6" s="262" t="e">
        <f>T_BilanSocial[[#This Row],[Nom]]&amp;T_BilanSocial[[#This Row],[Prenom]]</f>
        <v>#N/A</v>
      </c>
      <c r="CI236" s="262" t="e">
        <f>VLOOKUP(T_BilanSocial[[#This Row],[NumL]],T_Commission[#Data],COLUMN(T_Commission[Commentaire]),FALSE)</f>
        <v>#N/A</v>
      </c>
      <c r="CJ236" s="262" t="e">
        <f>IF(VLOOKUP(T_BilanSocial[[#This Row],[NumL]],T_Commission[#Data],COLUMN(T_Commission[Encadrant Email]),FALSE)="","",VLOOKUP(T_BilanSocial[[#This Row],[NumL]],T_Commission[#Data],COLUMN(T_Commission[Encadrant Email]),FALSE))</f>
        <v>#N/A</v>
      </c>
      <c r="CK236" s="340" t="e">
        <f>IF(T_BilanSocial[[#This Row],[Final]]&lt;&gt;"",VLOOKUP(T_BilanSocial[[#This Row],[NumL]],T_suiviDi[#Data],COLUMN((T_suiviDi[Statut])),FALSE),"")</f>
        <v>#N/A</v>
      </c>
    </row>
    <row r="237" spans="1:89" s="106" customFormat="1" ht="24.75" customHeight="1" x14ac:dyDescent="0.25">
      <c r="A237" s="160">
        <v>234</v>
      </c>
      <c r="B237" s="161">
        <f t="shared" si="34"/>
        <v>1</v>
      </c>
      <c r="C237" s="162" t="s">
        <v>173</v>
      </c>
      <c r="D237" s="95" t="e">
        <f>IF(VLOOKUP(T_BilanSocial[[#This Row],[NumL]],T_TraitDi[#Data],COLUMN(T_TraitDi[[#This Row],[WebC]]),FALSE)="","",VLOOKUP(T_BilanSocial[[#This Row],[NumL]],T_TraitDi[#Data],COLUMN(T_TraitDi[[#This Row],[WebC]]),FALSE))</f>
        <v>#VALUE!</v>
      </c>
      <c r="E237" s="163" t="str">
        <f t="shared" si="35"/>
        <v>12 janvier 2021</v>
      </c>
      <c r="F237" s="96" t="str">
        <f>IF(T_BilanSocial[[#This Row],[Final]]&lt;&gt;"",VLOOKUP(T_BilanSocial[[#This Row],[NumL]],T_suiviDi[#Data],COLUMN((T_suiviDi[Civ.])),FALSE),"")</f>
        <v>Mme</v>
      </c>
      <c r="G237" s="96" t="str">
        <f>IF(T_BilanSocial[[#This Row],[Final]]&lt;&gt;"",VLOOKUP(T_BilanSocial[[#This Row],[NumL]],T_suiviDi[#Data],COLUMN((T_suiviDi[Nom])),FALSE),"")</f>
        <v>A</v>
      </c>
      <c r="H237" s="96" t="str">
        <f>IF(T_BilanSocial[[#This Row],[Final]]&lt;&gt;"",VLOOKUP(T_BilanSocial[[#This Row],[NumL]],T_suiviDi[#Data],COLUMN((T_suiviDi[Prénom])),FALSE),"")</f>
        <v>Aline</v>
      </c>
      <c r="I237" s="96" t="str">
        <f>IFERROR(VLOOKUP(T_BilanSocial[[#This Row],[Zone_Bilan]],T_P_BilanSocial[#Data],COLUMN(T_P_BilanSocial[[#This Row],[Numero_SIHAM]]),FALSE),"")</f>
        <v/>
      </c>
      <c r="J237" s="96" t="str">
        <f>IFERROR(VLOOKUP(T_BilanSocial[[#This Row],[Zone_Bilan]],T_P_BilanSocial[#Data],COLUMN(T_P_BilanSocial[[#This Row],[Sexe]]),FALSE),"")</f>
        <v/>
      </c>
      <c r="K237" s="97" t="str">
        <f>IFERROR(VLOOKUP(T_BilanSocial[[#This Row],[Zone_Bilan]],T_P_BilanSocial[#Data],COLUMN(T_P_BilanSocial[[#This Row],[Categorie]]),FALSE),"")</f>
        <v/>
      </c>
      <c r="L237" s="96" t="str">
        <f>IFERROR(VLOOKUP(T_BilanSocial[[#This Row],[Zone_Bilan]],T_P_BilanSocial[#Data],COLUMN(T_P_BilanSocial[[#This Row],[Statut]]),FALSE),"")</f>
        <v/>
      </c>
      <c r="M237" s="96" t="str">
        <f>IFERROR(VLOOKUP(T_BilanSocial[[#This Row],[Zone_Bilan]],T_P_BilanSocial[#Data],COLUMN(T_P_BilanSocial[[#This Row],[Filiere]]),FALSE),"")</f>
        <v/>
      </c>
      <c r="N237" s="96" t="str">
        <f>VLOOKUP(T_BilanSocial[[#This Row],[NumL]],T_TraitDi[#Data],COLUMN(T_TraitDi[EXP]),FALSE)</f>
        <v>N</v>
      </c>
      <c r="O237" s="96" t="str">
        <f>VLOOKUP(T_BilanSocial[[#This Row],[NumL]],T_TraitDi[#Data],COLUMN(T_TraitDi[FORM]),FALSE)</f>
        <v>N</v>
      </c>
      <c r="P237" s="96">
        <f>IF(T_BilanSocial[[#This Row],[Final]]&lt;&gt;"",VLOOKUP(T_BilanSocial[[#This Row],[NumL]],T_suiviDi[#Data],COLUMN((T_suiviDi[Email])),FALSE),"")</f>
        <v>0</v>
      </c>
      <c r="Q237" s="164" t="str">
        <f t="shared" si="40"/>
        <v>Service FCA</v>
      </c>
      <c r="R237" s="164" t="str">
        <f t="shared" si="41"/>
        <v>Adjointe FCA - Responsable Facturation</v>
      </c>
      <c r="S237" s="164" t="e">
        <f>IF(VLOOKUP(T_BilanSocial[[#This Row],[NumL]],T_suiviDi[#Data],COLUMN(T_suiviDi[[#This Row],[Service ]]),FALSE)="","",VLOOKUP(T_BilanSocial[[#This Row],[NumL]],T_suiviDi[#Data],COLUMN(T_suiviDi[[#This Row],[Service ]]),FALSE))</f>
        <v>#VALUE!</v>
      </c>
      <c r="T237" s="164" t="str">
        <f t="shared" si="36"/>
        <v>01 septembre 2021</v>
      </c>
      <c r="U237" s="164" t="str">
        <f t="shared" si="37"/>
        <v>30 novembre 2021</v>
      </c>
      <c r="V237" s="164" t="str">
        <f>TEXT(Datebilan,"jj mmmm aaaa")</f>
        <v>30 novembre 2021</v>
      </c>
      <c r="W237" s="176" t="e">
        <f>IF(VLOOKUP(T_BilanSocial[[#This Row],[NumL]],T_TraitDi[#Data],COLUMN(T_TraitDi[[#This Row],[M1]]),FALSE)="","",VLOOKUP(T_BilanSocial[[#This Row],[NumL]],T_TraitDi[#Data],COLUMN(T_TraitDi[[#This Row],[M1]]),FALSE))</f>
        <v>#VALUE!</v>
      </c>
      <c r="X237" s="176" t="e">
        <f>IF(VLOOKUP(T_BilanSocial[[#This Row],[NumL]],T_TraitDi[#Data],COLUMN(T_TraitDi[[#This Row],[M2]]),FALSE)="","",VLOOKUP(T_BilanSocial[[#This Row],[NumL]],T_TraitDi[#Data],COLUMN(T_TraitDi[[#This Row],[M2]]),FALSE))</f>
        <v>#VALUE!</v>
      </c>
      <c r="Y237" s="176" t="e">
        <f>IF(VLOOKUP(T_BilanSocial[[#This Row],[NumL]],T_TraitDi[#Data],COLUMN(T_TraitDi[[#This Row],[M3]]),FALSE)="","",VLOOKUP(T_BilanSocial[[#This Row],[NumL]],T_TraitDi[#Data],COLUMN(T_TraitDi[[#This Row],[M3]]),FALSE))</f>
        <v>#VALUE!</v>
      </c>
      <c r="Z237" s="176" t="str">
        <f t="shared" si="39"/>
        <v xml:space="preserve"> -Gestion des contentieux et bons de commande</v>
      </c>
      <c r="AA237" s="176" t="e">
        <f>IF(VLOOKUP(T_BilanSocial[[#This Row],[NumL]],T_TraitDi[#Data],COLUMN(T_TraitDi[[#This Row],[M5]]),FALSE)="","",VLOOKUP(T_BilanSocial[[#This Row],[NumL]],T_TraitDi[#Data],COLUMN(T_TraitDi[[#This Row],[M5]]),FALSE))</f>
        <v>#VALUE!</v>
      </c>
      <c r="AB237" s="176" t="e">
        <f>IF(VLOOKUP(T_BilanSocial[[#This Row],[NumL]],T_TraitDi[#Data],COLUMN(T_TraitDi[[#This Row],[M6]]),FALSE)="","",VLOOKUP(T_BilanSocial[[#This Row],[NumL]],T_TraitDi[#Data],COLUMN(T_TraitDi[[#This Row],[M6]]),FALSE))</f>
        <v>#VALUE!</v>
      </c>
      <c r="AC237" s="165" t="e">
        <f t="shared" si="38"/>
        <v>#VALUE!</v>
      </c>
      <c r="AD237" s="188" t="str">
        <f>IFERROR(TEXT(VLOOKUP(T_BilanSocial[[#This Row],[NumL]],T_TraitDi[#Data],COLUMN(T_TraitDi[[#This Row],[Q2]]),FALSE),"###%"),"")</f>
        <v/>
      </c>
      <c r="AE237" s="97" t="e">
        <f>VLOOKUP(T_BilanSocial[[#This Row],[NumL]],T_TraitDi[#Data],COLUMN(T_TraitDi[[#This Row],[Reg Ponct]]),FALSE)</f>
        <v>#VALUE!</v>
      </c>
      <c r="AF237" s="97" t="e">
        <f>VLOOKUP(T_BilanSocial[NumL],T_TraitDi[#Data],COLUMN(T_TraitDi[[#This Row],[Jours flottants]]),FALSE)</f>
        <v>#VALUE!</v>
      </c>
      <c r="AG237" s="97" t="str">
        <f>IFERROR(VLOOKUP(T_BilanSocial[[#This Row],[NumL]],T_TraitDi[#Data],COLUMN(T_TraitDi[[#This Row],[Lundi]]),FALSE),"")</f>
        <v/>
      </c>
      <c r="AH237" s="172" t="e">
        <f>IF(VLOOKUP(T_BilanSocial[[#This Row],[NumL]],T_TraitDi[#Data],COLUMN(T_TraitDi[[#This Row],[Colonne3]]),FALSE)=0,"",TEXT(IFERROR(VLOOKUP(T_BilanSocial[[#This Row],[NumL]],T_TraitDi[#Data],COLUMN(T_TraitDi[[#This Row],[Colonne3]]),FALSE),""),"[hh]:mm"))</f>
        <v>#VALUE!</v>
      </c>
      <c r="AI237" s="172" t="e">
        <f>IF(VLOOKUP(T_BilanSocial[[#This Row],[NumL]],T_TraitDi[#Data],COLUMN(T_TraitDi[[#This Row],[Colonne4]]),FALSE)=0,"",TEXT(IFERROR(VLOOKUP(T_BilanSocial[[#This Row],[NumL]],T_TraitDi[#Data],COLUMN(T_TraitDi[[#This Row],[Colonne4]]),FALSE),""),"[hh]:mm"))</f>
        <v>#VALUE!</v>
      </c>
      <c r="AJ237" s="172" t="e">
        <f>IF(VLOOKUP(T_BilanSocial[[#This Row],[NumL]],T_TraitDi[#Data],COLUMN(T_TraitDi[[#This Row],[Colonne5]]),FALSE)=0,"",TEXT(IFERROR(VLOOKUP(T_BilanSocial[[#This Row],[NumL]],T_TraitDi[#Data],COLUMN(T_TraitDi[[#This Row],[Colonne5]]),FALSE),""),"[hh]:mm"))</f>
        <v>#VALUE!</v>
      </c>
      <c r="AK237" s="172" t="e">
        <f>IF(VLOOKUP(T_BilanSocial[[#This Row],[NumL]],T_TraitDi[#Data],COLUMN(T_TraitDi[[#This Row],[Colonne6]]),FALSE)=0,"",TEXT(IFERROR(VLOOKUP(T_BilanSocial[[#This Row],[NumL]],T_TraitDi[#Data],COLUMN(T_TraitDi[[#This Row],[Colonne6]]),FALSE),""),"[hh]:mm"))</f>
        <v>#VALUE!</v>
      </c>
      <c r="AL237" s="172" t="e">
        <f>IF(VLOOKUP(T_BilanSocial[[#This Row],[NumL]],T_TraitDi[#Data],COLUMN(T_TraitDi[[#This Row],[Colonne7]]),FALSE)=0,"",TEXT(IFERROR(VLOOKUP(T_BilanSocial[[#This Row],[NumL]],T_TraitDi[#Data],COLUMN(T_TraitDi[[#This Row],[Colonne7]]),FALSE),""),"[hh]:mm"))</f>
        <v>#VALUE!</v>
      </c>
      <c r="AM237" s="172" t="e">
        <f>IF(VLOOKUP(T_BilanSocial[[#This Row],[NumL]],T_TraitDi[#Data],COLUMN(T_TraitDi[[#This Row],[Colonne8]]),FALSE)=0,"",TEXT(IFERROR(VLOOKUP(T_BilanSocial[[#This Row],[NumL]],T_TraitDi[#Data],COLUMN(T_TraitDi[[#This Row],[Colonne8]]),FALSE),""),"[hh]:mm"))</f>
        <v>#VALUE!</v>
      </c>
      <c r="AN237" s="172" t="str">
        <f>IFERROR(VLOOKUP(T_BilanSocial[[#This Row],[NumL]],T_TraitDi[#Data],COLUMN(T_TraitDi[[#This Row],[Mardi]]),FALSE),"")</f>
        <v/>
      </c>
      <c r="AO237" s="172" t="e">
        <f>IF(VLOOKUP(T_BilanSocial[[#This Row],[NumL]],T_TraitDi[#Data],COLUMN(T_TraitDi[[#This Row],[Colonne1]]),FALSE)=0,"",TEXT(IFERROR(VLOOKUP(T_BilanSocial[[#This Row],[NumL]],T_TraitDi[#Data],COLUMN(T_TraitDi[[#This Row],[Colonne1]]),FALSE),""),"[hh]:mm"))</f>
        <v>#VALUE!</v>
      </c>
      <c r="AP237" s="172" t="e">
        <f>IF(VLOOKUP(T_BilanSocial[[#This Row],[NumL]],T_TraitDi[#Data],COLUMN(T_TraitDi[[#This Row],[Colonne9]]),FALSE)=0,"",TEXT(IFERROR(VLOOKUP(T_BilanSocial[[#This Row],[NumL]],T_TraitDi[#Data],COLUMN(T_TraitDi[[#This Row],[Colonne9]]),FALSE),""),"[hh]:mm"))</f>
        <v>#VALUE!</v>
      </c>
      <c r="AQ237" s="172" t="str">
        <f>IFERROR(VLOOKUP(T_BilanSocial[[#This Row],[NumL]],T_TraitDi[#Data],COLUMN(T_TraitDi[[#This Row],[Colonne10]]),FALSE),"")</f>
        <v/>
      </c>
      <c r="AR237" s="172" t="e">
        <f>IF(VLOOKUP(T_BilanSocial[[#This Row],[NumL]],T_TraitDi[#Data],COLUMN(T_TraitDi[[#This Row],[Colonne11]]),FALSE)=0,"",TEXT(IFERROR(VLOOKUP(T_BilanSocial[[#This Row],[NumL]],T_TraitDi[#Data],COLUMN(T_TraitDi[[#This Row],[Colonne11]]),FALSE),""),"[hh]:mm"))</f>
        <v>#VALUE!</v>
      </c>
      <c r="AS237" s="172" t="e">
        <f>IF(VLOOKUP(T_BilanSocial[[#This Row],[NumL]],T_TraitDi[#Data],COLUMN(T_TraitDi[[#This Row],[Colonne12]]),FALSE)=0,"",TEXT(IFERROR(VLOOKUP(T_BilanSocial[[#This Row],[NumL]],T_TraitDi[#Data],COLUMN(T_TraitDi[[#This Row],[Colonne12]]),FALSE),""),"[hh]:mm"))</f>
        <v>#VALUE!</v>
      </c>
      <c r="AT237" s="172" t="e">
        <f>IF(VLOOKUP(T_BilanSocial[[#This Row],[NumL]],T_TraitDi[#Data],COLUMN(T_TraitDi[[#This Row],[Colonne14]]),FALSE)=0,"",TEXT(IFERROR(VLOOKUP(T_BilanSocial[[#This Row],[NumL]],T_TraitDi[#Data],COLUMN(T_TraitDi[[#This Row],[Colonne14]]),FALSE),""),"[hh]:mm"))</f>
        <v>#VALUE!</v>
      </c>
      <c r="AU237" s="172" t="str">
        <f>IFERROR(VLOOKUP(T_BilanSocial[[#This Row],[NumL]],T_TraitDi[#Data],COLUMN(T_TraitDi[[#This Row],[Mercredi]]),FALSE),"")</f>
        <v/>
      </c>
      <c r="AV237" s="172" t="e">
        <f>IF(VLOOKUP(T_BilanSocial[[#This Row],[NumL]],T_TraitDi[#Data],COLUMN(T_TraitDi[[#This Row],[Colonne15]]),FALSE)=0,"",TEXT(IFERROR(VLOOKUP(T_BilanSocial[[#This Row],[NumL]],T_TraitDi[#Data],COLUMN(T_TraitDi[[#This Row],[Colonne15]]),FALSE),""),"[hh]:mm"))</f>
        <v>#VALUE!</v>
      </c>
      <c r="AW237" s="172" t="e">
        <f>IF(VLOOKUP(T_BilanSocial[[#This Row],[NumL]],T_TraitDi[#Data],COLUMN(T_TraitDi[[#This Row],[Colonne16]]),FALSE)=0,"",TEXT(IFERROR(VLOOKUP(T_BilanSocial[[#This Row],[NumL]],T_TraitDi[#Data],COLUMN(T_TraitDi[[#This Row],[Colonne16]]),FALSE),""),"[hh]:mm"))</f>
        <v>#VALUE!</v>
      </c>
      <c r="AX237" s="172" t="str">
        <f>IFERROR(VLOOKUP(T_BilanSocial[[#This Row],[NumL]],T_TraitDi[#Data],COLUMN(T_TraitDi[[#This Row],[Colonne17]]),FALSE),"")</f>
        <v/>
      </c>
      <c r="AY237" s="172" t="e">
        <f>IF(VLOOKUP(T_BilanSocial[[#This Row],[NumL]],T_TraitDi[#Data],COLUMN(T_TraitDi[[#This Row],[Colonne18]]),FALSE)=0,"",TEXT(IFERROR(VLOOKUP(T_BilanSocial[[#This Row],[NumL]],T_TraitDi[#Data],COLUMN(T_TraitDi[[#This Row],[Colonne18]]),FALSE),""),"[hh]:mm"))</f>
        <v>#VALUE!</v>
      </c>
      <c r="AZ237" s="172" t="e">
        <f>IF(VLOOKUP(T_BilanSocial[[#This Row],[NumL]],T_TraitDi[#Data],COLUMN(T_TraitDi[[#This Row],[Colonne19]]),FALSE)=0,"",TEXT(IFERROR(VLOOKUP(T_BilanSocial[[#This Row],[NumL]],T_TraitDi[#Data],COLUMN(T_TraitDi[[#This Row],[Colonne19]]),FALSE),""),"[hh]:mm"))</f>
        <v>#VALUE!</v>
      </c>
      <c r="BA237" s="172" t="e">
        <f>IF(VLOOKUP(T_BilanSocial[[#This Row],[NumL]],T_TraitDi[#Data],COLUMN(T_TraitDi[[#This Row],[Colonne20]]),FALSE)=0,"",TEXT(IFERROR(VLOOKUP(T_BilanSocial[[#This Row],[NumL]],T_TraitDi[#Data],COLUMN(T_TraitDi[[#This Row],[Colonne20]]),FALSE),""),"[hh]:mm"))</f>
        <v>#VALUE!</v>
      </c>
      <c r="BB237" s="178" t="str">
        <f>IFERROR(VLOOKUP(T_BilanSocial[[#This Row],[NumL]],T_TraitDi[#Data],COLUMN(T_TraitDi[[#This Row],[Jeudi]]),FALSE),"")</f>
        <v/>
      </c>
      <c r="BC237" s="178" t="e">
        <f>IF(VLOOKUP(T_BilanSocial[[#This Row],[NumL]],T_TraitDi[#Data],COLUMN(T_TraitDi[[#This Row],[Colonne21]]),FALSE)=0,"",TEXT(IFERROR(VLOOKUP(T_BilanSocial[[#This Row],[NumL]],T_TraitDi[#Data],COLUMN(T_TraitDi[[#This Row],[Colonne21]]),FALSE),""),"[hh]:mm"))</f>
        <v>#VALUE!</v>
      </c>
      <c r="BD237" s="178" t="e">
        <f>IF(VLOOKUP(T_BilanSocial[[#This Row],[NumL]],T_TraitDi[#Data],COLUMN(T_TraitDi[[#This Row],[Colonne22]]),FALSE)=0,"",TEXT(IFERROR(VLOOKUP(T_BilanSocial[[#This Row],[NumL]],T_TraitDi[#Data],COLUMN(T_TraitDi[[#This Row],[Colonne22]]),FALSE),""),"[hh]:mm"))</f>
        <v>#VALUE!</v>
      </c>
      <c r="BE237" s="178" t="str">
        <f>IFERROR(VLOOKUP(T_BilanSocial[[#This Row],[NumL]],T_TraitDi[#Data],COLUMN(T_TraitDi[[#This Row],[Colonne23]]),FALSE),"")</f>
        <v/>
      </c>
      <c r="BF237" s="178" t="e">
        <f>IF(VLOOKUP(T_BilanSocial[[#This Row],[NumL]],T_TraitDi[#Data],COLUMN(T_TraitDi[[#This Row],[Colonne24]]),FALSE)=0,"",TEXT(IFERROR(VLOOKUP(T_BilanSocial[[#This Row],[NumL]],T_TraitDi[#Data],COLUMN(T_TraitDi[[#This Row],[Colonne24]]),FALSE),""),"[hh]:mm"))</f>
        <v>#VALUE!</v>
      </c>
      <c r="BG237" s="178" t="e">
        <f>IF(VLOOKUP(T_BilanSocial[[#This Row],[NumL]],T_TraitDi[#Data],COLUMN(T_TraitDi[[#This Row],[Colonne25]]),FALSE)=0,"",TEXT(IFERROR(VLOOKUP(T_BilanSocial[[#This Row],[NumL]],T_TraitDi[#Data],COLUMN(T_TraitDi[[#This Row],[Colonne25]]),FALSE),""),"[hh]:mm"))</f>
        <v>#VALUE!</v>
      </c>
      <c r="BH237" s="178" t="e">
        <f>IF(VLOOKUP(T_BilanSocial[[#This Row],[NumL]],T_TraitDi[#Data],COLUMN(T_TraitDi[[#This Row],[Colonne26]]),FALSE)=0,"",TEXT(IFERROR(VLOOKUP(T_BilanSocial[[#This Row],[NumL]],T_TraitDi[#Data],COLUMN(T_TraitDi[[#This Row],[Colonne26]]),FALSE),""),"[hh]:mm"))</f>
        <v>#VALUE!</v>
      </c>
      <c r="BI237" s="172" t="str">
        <f>IFERROR(VLOOKUP(T_BilanSocial[[#This Row],[NumL]],T_TraitDi[#Data],COLUMN(T_TraitDi[[#This Row],[Vendredi]]),FALSE),"")</f>
        <v/>
      </c>
      <c r="BJ237" s="172" t="e">
        <f>IF(VLOOKUP(T_BilanSocial[[#This Row],[NumL]],T_TraitDi[#Data],COLUMN(T_TraitDi[[#This Row],[Colonne27]]),FALSE)=0,"",TEXT(IFERROR(VLOOKUP(T_BilanSocial[[#This Row],[NumL]],T_TraitDi[#Data],COLUMN(T_TraitDi[[#This Row],[Colonne27]]),FALSE),""),"[hh]:mm"))</f>
        <v>#VALUE!</v>
      </c>
      <c r="BK237" s="172" t="e">
        <f>IF(VLOOKUP(T_BilanSocial[[#This Row],[NumL]],T_TraitDi[#Data],COLUMN(T_TraitDi[[#This Row],[Colonne28]]),FALSE)=0,"",TEXT(IFERROR(VLOOKUP(T_BilanSocial[[#This Row],[NumL]],T_TraitDi[#Data],COLUMN(T_TraitDi[[#This Row],[Colonne28]]),FALSE),""),"[hh]:mm"))</f>
        <v>#VALUE!</v>
      </c>
      <c r="BL237" s="172" t="str">
        <f>IFERROR(VLOOKUP(T_BilanSocial[[#This Row],[NumL]],T_TraitDi[#Data],COLUMN(T_TraitDi[[#This Row],[Colonne29]]),FALSE),"")</f>
        <v/>
      </c>
      <c r="BM237" s="172" t="e">
        <f>IF(VLOOKUP(T_BilanSocial[[#This Row],[NumL]],T_TraitDi[#Data],COLUMN(T_TraitDi[[#This Row],[Colonne30]]),FALSE)=0,"",TEXT(IFERROR(VLOOKUP(T_BilanSocial[[#This Row],[NumL]],T_TraitDi[#Data],COLUMN(T_TraitDi[[#This Row],[Colonne30]]),FALSE),""),"[hh]:mm"))</f>
        <v>#VALUE!</v>
      </c>
      <c r="BN237" s="172" t="e">
        <f>IF(VLOOKUP(T_BilanSocial[[#This Row],[NumL]],T_TraitDi[#Data],COLUMN(T_TraitDi[[#This Row],[Colonne31]]),FALSE)=0,"",TEXT(IFERROR(VLOOKUP(T_BilanSocial[[#This Row],[NumL]],T_TraitDi[#Data],COLUMN(T_TraitDi[[#This Row],[Colonne31]]),FALSE),""),"[hh]:mm"))</f>
        <v>#VALUE!</v>
      </c>
      <c r="BO237" s="172" t="e">
        <f>IF(VLOOKUP(T_BilanSocial[[#This Row],[NumL]],T_TraitDi[#Data],COLUMN(T_TraitDi[[#This Row],[Colonne32]]),FALSE)=0,"",TEXT(IFERROR(VLOOKUP(T_BilanSocial[[#This Row],[NumL]],T_TraitDi[#Data],COLUMN(T_TraitDi[[#This Row],[Colonne32]]),FALSE),""),"[hh]:mm"))</f>
        <v>#VALUE!</v>
      </c>
      <c r="BP237" s="172">
        <f>VLOOKUP(T_BilanSocial[[#This Row],[NumL]],T_TraitDi[#Data],COLUMN(T_TraitDi[NbJTot]),FALSE)</f>
        <v>4.5</v>
      </c>
      <c r="BQ237" s="174" t="str">
        <f>IFERROR(VLOOKUP(T_BilanSocial[[#This Row],[NumL]],T_TraitDi[#Data],COLUMN(T_TraitDi[[#This Row],[NbJTW]]),FALSE),"")</f>
        <v/>
      </c>
      <c r="BR237" s="174" t="e">
        <f>IF(VLOOKUP(T_BilanSocial[[#This Row],[NumL]],T_TraitDi[#Data],COLUMN(T_TraitDi[[#This Row],[NbhTW]]),FALSE)=0,"",TEXT(IFERROR(VLOOKUP(T_BilanSocial[[#This Row],[NumL]],T_TraitDi[#Data],COLUMN(T_TraitDi[[#This Row],[NbhTW]]),FALSE),""),"[hh]:mm"))</f>
        <v>#VALUE!</v>
      </c>
      <c r="BS237" s="174" t="e">
        <f>IF(VLOOKUP(T_BilanSocial[[#This Row],[NumL]],T_TraitDi[#Data],COLUMN(T_TraitDi[[#This Row],[Nbhheb]]),FALSE)=0,"",TEXT(IFERROR(VLOOKUP($A237,T_TraitDi[#Data],COLUMN(T_TraitDi[[#This Row],[Nbhheb]]),FALSE),""),"[hh]:mm"))</f>
        <v>#VALUE!</v>
      </c>
      <c r="BT237" s="182" t="str">
        <f>IFERROR(VLOOKUP(VLOOKUP($A237,T_TraitDi[#Data],COLUMN(T_TraitDi[[#This Row],[Type1]]),FALSE),TypeTW,2,FALSE),"")</f>
        <v/>
      </c>
      <c r="BU237" s="182" t="str">
        <f>IFERROR(VLOOKUP($A237,T_TraitDi[#Data],COLUMN(T_TraitDi[[#This Row],[Rue1]]),FALSE),"")</f>
        <v/>
      </c>
      <c r="BV237" s="173" t="str">
        <f>IFERROR(VLOOKUP($A237,T_TraitDi[#Data],COLUMN(T_TraitDi[[#This Row],[CP1]]),FALSE),"")</f>
        <v/>
      </c>
      <c r="BW237" s="173" t="str">
        <f>IFERROR(VLOOKUP($A237,T_TraitDi[#Data],COLUMN(T_TraitDi[[#This Row],[VILLE1]]),FALSE),"")</f>
        <v/>
      </c>
      <c r="BX237" s="182" t="str">
        <f>IFERROR(VLOOKUP(VLOOKUP($A237,T_TraitDi[#Data],COLUMN(T_TraitDi[[#This Row],[Type2]]),FALSE),TypeTW,2,FALSE),"")</f>
        <v/>
      </c>
      <c r="BY237" s="182" t="str">
        <f>IFERROR(VLOOKUP($A237,T_TraitDi[#Data],COLUMN(T_TraitDi[[#This Row],[Rue2]]),FALSE),"")</f>
        <v/>
      </c>
      <c r="BZ237" s="173" t="str">
        <f>IFERROR(VLOOKUP($A237,T_TraitDi[#Data],COLUMN(T_TraitDi[[#This Row],[CP2]]),FALSE),"")</f>
        <v/>
      </c>
      <c r="CA237" s="173" t="str">
        <f>IFERROR(VLOOKUP($A237,T_TraitDi[#Data],COLUMN(T_TraitDi[[#This Row],[VILLE2]]),FALSE),"")</f>
        <v/>
      </c>
      <c r="CB237" s="182" t="str">
        <f>IF(VLOOKUP(T_BilanSocial[[#This Row],[NumL]],T_Equipement[#Data],COLUMN(T_Equipement[[#This Row],[PC]]),FALSE)="","Aucun équipement spécifique directement lié au télétravail",VLOOKUP(T_BilanSocial[[#This Row],[NumL]],T_Equipement[#Data],COLUMN(T_Equipement[[#This Row],[PC]]),FALSE))</f>
        <v>18-208</v>
      </c>
      <c r="CC237" s="166" t="str">
        <f>IFERROR(IF(VLOOKUP(T_BilanSocial[[#This Row],[NumL]],T_TraitDi[#Data],COLUMN(T_TraitDi[[#This Row],[Plan]]),FALSE)="OK","Un planning spécifique de télétravail est annexé à la présente convention.",""),"")</f>
        <v/>
      </c>
      <c r="CD237" s="258" t="s">
        <v>3430</v>
      </c>
      <c r="CE237" s="164" t="e">
        <f>IF(VLOOKUP(T_BilanSocial[[#This Row],[NumL]],T_suiviDi[#Data],COLUMN(T_suiviDi[[#This Row],[Entité]]),FALSE)="","",VLOOKUP(T_BilanSocial[[#This Row],[NumL]],T_suiviDi[#Data],COLUMN(T_suiviDi[[#This Row],[Entité]]),FALSE))</f>
        <v>#VALUE!</v>
      </c>
      <c r="CF237" s="164" t="str">
        <f>IF(VLOOKUP(T_BilanSocial[[#This Row],[NumL]],T_Commission[#Data],COLUMN(T_Commission[[#This Row],[envoi confirm TW]]),FALSE)="","",VLOOKUP(T_BilanSocial[[#This Row],[NumL]],T_Commission[#Data],COLUMN(T_Commission[[#This Row],[envoi confirm TW]]),FALSE))</f>
        <v>Oui</v>
      </c>
      <c r="CG23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7" s="262" t="str">
        <f>T_BilanSocial[[#This Row],[Nom]]&amp;T_BilanSocial[[#This Row],[Prenom]]</f>
        <v>AAline</v>
      </c>
      <c r="CI237" s="262">
        <f>VLOOKUP(T_BilanSocial[[#This Row],[NumL]],T_Commission[#Data],COLUMN(T_Commission[Commentaire]),FALSE)</f>
        <v>0</v>
      </c>
      <c r="CJ237" s="262" t="str">
        <f>IF(VLOOKUP(T_BilanSocial[[#This Row],[NumL]],T_Commission[#Data],COLUMN(T_Commission[Encadrant Email]),FALSE)="","",VLOOKUP(T_BilanSocial[[#This Row],[NumL]],T_Commission[#Data],COLUMN(T_Commission[Encadrant Email]),FALSE))</f>
        <v/>
      </c>
      <c r="CK237" s="340" t="str">
        <f>IF(T_BilanSocial[[#This Row],[Final]]&lt;&gt;"",VLOOKUP(T_BilanSocial[[#This Row],[NumL]],T_suiviDi[#Data],COLUMN((T_suiviDi[Statut])),FALSE),"")</f>
        <v>RENVL</v>
      </c>
    </row>
    <row r="238" spans="1:89" s="106" customFormat="1" ht="24.75" customHeight="1" x14ac:dyDescent="0.25">
      <c r="A238" s="160">
        <v>235</v>
      </c>
      <c r="B238" s="161" t="str">
        <f t="shared" si="34"/>
        <v/>
      </c>
      <c r="C238" s="162" t="s">
        <v>139</v>
      </c>
      <c r="D238" s="95" t="e">
        <f>IF(VLOOKUP(T_BilanSocial[[#This Row],[NumL]],T_TraitDi[#Data],COLUMN(T_TraitDi[[#This Row],[WebC]]),FALSE)="","",VLOOKUP(T_BilanSocial[[#This Row],[NumL]],T_TraitDi[#Data],COLUMN(T_TraitDi[[#This Row],[WebC]]),FALSE))</f>
        <v>#VALUE!</v>
      </c>
      <c r="E238" s="163" t="str">
        <f t="shared" si="35"/>
        <v>12 janvier 2021</v>
      </c>
      <c r="F238" s="96" t="str">
        <f>IF(T_BilanSocial[[#This Row],[Final]]&lt;&gt;"",VLOOKUP(T_BilanSocial[[#This Row],[NumL]],T_suiviDi[#Data],COLUMN((T_suiviDi[Civ.])),FALSE),"")</f>
        <v/>
      </c>
      <c r="G238" s="96" t="str">
        <f>IF(T_BilanSocial[[#This Row],[Final]]&lt;&gt;"",VLOOKUP(T_BilanSocial[[#This Row],[NumL]],T_suiviDi[#Data],COLUMN((T_suiviDi[Nom])),FALSE),"")</f>
        <v/>
      </c>
      <c r="H238" s="96" t="str">
        <f>IF(T_BilanSocial[[#This Row],[Final]]&lt;&gt;"",VLOOKUP(T_BilanSocial[[#This Row],[NumL]],T_suiviDi[#Data],COLUMN((T_suiviDi[Prénom])),FALSE),"")</f>
        <v/>
      </c>
      <c r="I238" s="96" t="str">
        <f>IFERROR(VLOOKUP(T_BilanSocial[[#This Row],[Zone_Bilan]],T_P_BilanSocial[#Data],COLUMN(T_P_BilanSocial[[#This Row],[Numero_SIHAM]]),FALSE),"")</f>
        <v/>
      </c>
      <c r="J238" s="96" t="str">
        <f>IFERROR(VLOOKUP(T_BilanSocial[[#This Row],[Zone_Bilan]],T_P_BilanSocial[#Data],COLUMN(T_P_BilanSocial[[#This Row],[Sexe]]),FALSE),"")</f>
        <v/>
      </c>
      <c r="K238" s="97" t="str">
        <f>IFERROR(VLOOKUP(T_BilanSocial[[#This Row],[Zone_Bilan]],T_P_BilanSocial[#Data],COLUMN(T_P_BilanSocial[[#This Row],[Categorie]]),FALSE),"")</f>
        <v/>
      </c>
      <c r="L238" s="96" t="str">
        <f>IFERROR(VLOOKUP(T_BilanSocial[[#This Row],[Zone_Bilan]],T_P_BilanSocial[#Data],COLUMN(T_P_BilanSocial[[#This Row],[Statut]]),FALSE),"")</f>
        <v/>
      </c>
      <c r="M238" s="96" t="str">
        <f>IFERROR(VLOOKUP(T_BilanSocial[[#This Row],[Zone_Bilan]],T_P_BilanSocial[#Data],COLUMN(T_P_BilanSocial[[#This Row],[Filiere]]),FALSE),"")</f>
        <v/>
      </c>
      <c r="N238" s="96" t="e">
        <f>VLOOKUP(T_BilanSocial[[#This Row],[NumL]],T_TraitDi[#Data],COLUMN(T_TraitDi[EXP]),FALSE)</f>
        <v>#N/A</v>
      </c>
      <c r="O238" s="96" t="e">
        <f>VLOOKUP(T_BilanSocial[[#This Row],[NumL]],T_TraitDi[#Data],COLUMN(T_TraitDi[FORM]),FALSE)</f>
        <v>#N/A</v>
      </c>
      <c r="P238" s="96" t="str">
        <f>IF(T_BilanSocial[[#This Row],[Final]]&lt;&gt;"",VLOOKUP(T_BilanSocial[[#This Row],[NumL]],T_suiviDi[#Data],COLUMN((T_suiviDi[Email])),FALSE),"")</f>
        <v/>
      </c>
      <c r="Q238" s="164" t="e">
        <f t="shared" si="40"/>
        <v>#N/A</v>
      </c>
      <c r="R238" s="164" t="e">
        <f t="shared" si="41"/>
        <v>#N/A</v>
      </c>
      <c r="S238" s="164" t="e">
        <f>IF(VLOOKUP(T_BilanSocial[[#This Row],[NumL]],T_suiviDi[#Data],COLUMN(T_suiviDi[[#This Row],[Service ]]),FALSE)="","",VLOOKUP(T_BilanSocial[[#This Row],[NumL]],T_suiviDi[#Data],COLUMN(T_suiviDi[[#This Row],[Service ]]),FALSE))</f>
        <v>#VALUE!</v>
      </c>
      <c r="T238" s="164" t="str">
        <f t="shared" si="36"/>
        <v>01 septembre 2021</v>
      </c>
      <c r="U238" s="164" t="str">
        <f t="shared" si="37"/>
        <v>30 novembre 2021</v>
      </c>
      <c r="V238" s="256">
        <f>Datebilan</f>
        <v>44530</v>
      </c>
      <c r="W238" s="176" t="e">
        <f>IF(VLOOKUP(T_BilanSocial[[#This Row],[NumL]],T_TraitDi[#Data],COLUMN(T_TraitDi[[#This Row],[M1]]),FALSE)="","",VLOOKUP(T_BilanSocial[[#This Row],[NumL]],T_TraitDi[#Data],COLUMN(T_TraitDi[[#This Row],[M1]]),FALSE))</f>
        <v>#VALUE!</v>
      </c>
      <c r="X238" s="176" t="e">
        <f>IF(VLOOKUP(T_BilanSocial[[#This Row],[NumL]],T_TraitDi[#Data],COLUMN(T_TraitDi[[#This Row],[M2]]),FALSE)="","",VLOOKUP(T_BilanSocial[[#This Row],[NumL]],T_TraitDi[#Data],COLUMN(T_TraitDi[[#This Row],[M2]]),FALSE))</f>
        <v>#VALUE!</v>
      </c>
      <c r="Y238" s="176" t="e">
        <f>IF(VLOOKUP(T_BilanSocial[[#This Row],[NumL]],T_TraitDi[#Data],COLUMN(T_TraitDi[[#This Row],[M3]]),FALSE)="","",VLOOKUP(T_BilanSocial[[#This Row],[NumL]],T_TraitDi[#Data],COLUMN(T_TraitDi[[#This Row],[M3]]),FALSE))</f>
        <v>#VALUE!</v>
      </c>
      <c r="Z238" s="176" t="str">
        <f t="shared" si="39"/>
        <v/>
      </c>
      <c r="AA238" s="176" t="e">
        <f>IF(VLOOKUP(T_BilanSocial[[#This Row],[NumL]],T_TraitDi[#Data],COLUMN(T_TraitDi[[#This Row],[M5]]),FALSE)="","",VLOOKUP(T_BilanSocial[[#This Row],[NumL]],T_TraitDi[#Data],COLUMN(T_TraitDi[[#This Row],[M5]]),FALSE))</f>
        <v>#VALUE!</v>
      </c>
      <c r="AB238" s="176" t="e">
        <f>IF(VLOOKUP(T_BilanSocial[[#This Row],[NumL]],T_TraitDi[#Data],COLUMN(T_TraitDi[[#This Row],[M6]]),FALSE)="","",VLOOKUP(T_BilanSocial[[#This Row],[NumL]],T_TraitDi[#Data],COLUMN(T_TraitDi[[#This Row],[M6]]),FALSE))</f>
        <v>#VALUE!</v>
      </c>
      <c r="AC238" s="165" t="e">
        <f t="shared" si="38"/>
        <v>#VALUE!</v>
      </c>
      <c r="AD238" s="188" t="str">
        <f>IFERROR(TEXT(VLOOKUP(T_BilanSocial[[#This Row],[NumL]],T_TraitDi[#Data],COLUMN(T_TraitDi[[#This Row],[Q2]]),FALSE),"###%"),"")</f>
        <v/>
      </c>
      <c r="AE238" s="97" t="e">
        <f>VLOOKUP(T_BilanSocial[[#This Row],[NumL]],T_TraitDi[#Data],COLUMN(T_TraitDi[[#This Row],[Reg Ponct]]),FALSE)</f>
        <v>#VALUE!</v>
      </c>
      <c r="AF238" s="97" t="e">
        <f>VLOOKUP(T_BilanSocial[NumL],T_TraitDi[#Data],COLUMN(T_TraitDi[[#This Row],[Jours flottants]]),FALSE)</f>
        <v>#VALUE!</v>
      </c>
      <c r="AG238" s="97" t="str">
        <f>IFERROR(VLOOKUP(T_BilanSocial[[#This Row],[NumL]],T_TraitDi[#Data],COLUMN(T_TraitDi[[#This Row],[Lundi]]),FALSE),"")</f>
        <v/>
      </c>
      <c r="AH238" s="172" t="e">
        <f>IF(VLOOKUP(T_BilanSocial[[#This Row],[NumL]],T_TraitDi[#Data],COLUMN(T_TraitDi[[#This Row],[Colonne3]]),FALSE)=0,"",TEXT(IFERROR(VLOOKUP(T_BilanSocial[[#This Row],[NumL]],T_TraitDi[#Data],COLUMN(T_TraitDi[[#This Row],[Colonne3]]),FALSE),""),"[hh]:mm"))</f>
        <v>#VALUE!</v>
      </c>
      <c r="AI238" s="172" t="e">
        <f>IF(VLOOKUP(T_BilanSocial[[#This Row],[NumL]],T_TraitDi[#Data],COLUMN(T_TraitDi[[#This Row],[Colonne4]]),FALSE)=0,"",TEXT(IFERROR(VLOOKUP(T_BilanSocial[[#This Row],[NumL]],T_TraitDi[#Data],COLUMN(T_TraitDi[[#This Row],[Colonne4]]),FALSE),""),"[hh]:mm"))</f>
        <v>#VALUE!</v>
      </c>
      <c r="AJ238" s="172" t="e">
        <f>IF(VLOOKUP(T_BilanSocial[[#This Row],[NumL]],T_TraitDi[#Data],COLUMN(T_TraitDi[[#This Row],[Colonne5]]),FALSE)=0,"",TEXT(IFERROR(VLOOKUP(T_BilanSocial[[#This Row],[NumL]],T_TraitDi[#Data],COLUMN(T_TraitDi[[#This Row],[Colonne5]]),FALSE),""),"[hh]:mm"))</f>
        <v>#VALUE!</v>
      </c>
      <c r="AK238" s="172" t="e">
        <f>IF(VLOOKUP(T_BilanSocial[[#This Row],[NumL]],T_TraitDi[#Data],COLUMN(T_TraitDi[[#This Row],[Colonne6]]),FALSE)=0,"",TEXT(IFERROR(VLOOKUP(T_BilanSocial[[#This Row],[NumL]],T_TraitDi[#Data],COLUMN(T_TraitDi[[#This Row],[Colonne6]]),FALSE),""),"[hh]:mm"))</f>
        <v>#VALUE!</v>
      </c>
      <c r="AL238" s="172" t="e">
        <f>IF(VLOOKUP(T_BilanSocial[[#This Row],[NumL]],T_TraitDi[#Data],COLUMN(T_TraitDi[[#This Row],[Colonne7]]),FALSE)=0,"",TEXT(IFERROR(VLOOKUP(T_BilanSocial[[#This Row],[NumL]],T_TraitDi[#Data],COLUMN(T_TraitDi[[#This Row],[Colonne7]]),FALSE),""),"[hh]:mm"))</f>
        <v>#VALUE!</v>
      </c>
      <c r="AM238" s="172" t="e">
        <f>IF(VLOOKUP(T_BilanSocial[[#This Row],[NumL]],T_TraitDi[#Data],COLUMN(T_TraitDi[[#This Row],[Colonne8]]),FALSE)=0,"",TEXT(IFERROR(VLOOKUP(T_BilanSocial[[#This Row],[NumL]],T_TraitDi[#Data],COLUMN(T_TraitDi[[#This Row],[Colonne8]]),FALSE),""),"[hh]:mm"))</f>
        <v>#VALUE!</v>
      </c>
      <c r="AN238" s="172" t="str">
        <f>IFERROR(VLOOKUP(T_BilanSocial[[#This Row],[NumL]],T_TraitDi[#Data],COLUMN(T_TraitDi[[#This Row],[Mardi]]),FALSE),"")</f>
        <v/>
      </c>
      <c r="AO238" s="172" t="e">
        <f>IF(VLOOKUP(T_BilanSocial[[#This Row],[NumL]],T_TraitDi[#Data],COLUMN(T_TraitDi[[#This Row],[Colonne1]]),FALSE)=0,"",TEXT(IFERROR(VLOOKUP(T_BilanSocial[[#This Row],[NumL]],T_TraitDi[#Data],COLUMN(T_TraitDi[[#This Row],[Colonne1]]),FALSE),""),"[hh]:mm"))</f>
        <v>#VALUE!</v>
      </c>
      <c r="AP238" s="172" t="e">
        <f>IF(VLOOKUP(T_BilanSocial[[#This Row],[NumL]],T_TraitDi[#Data],COLUMN(T_TraitDi[[#This Row],[Colonne9]]),FALSE)=0,"",TEXT(IFERROR(VLOOKUP(T_BilanSocial[[#This Row],[NumL]],T_TraitDi[#Data],COLUMN(T_TraitDi[[#This Row],[Colonne9]]),FALSE),""),"[hh]:mm"))</f>
        <v>#VALUE!</v>
      </c>
      <c r="AQ238" s="172" t="str">
        <f>IFERROR(VLOOKUP(T_BilanSocial[[#This Row],[NumL]],T_TraitDi[#Data],COLUMN(T_TraitDi[[#This Row],[Colonne10]]),FALSE),"")</f>
        <v/>
      </c>
      <c r="AR238" s="172" t="e">
        <f>IF(VLOOKUP(T_BilanSocial[[#This Row],[NumL]],T_TraitDi[#Data],COLUMN(T_TraitDi[[#This Row],[Colonne11]]),FALSE)=0,"",TEXT(IFERROR(VLOOKUP(T_BilanSocial[[#This Row],[NumL]],T_TraitDi[#Data],COLUMN(T_TraitDi[[#This Row],[Colonne11]]),FALSE),""),"[hh]:mm"))</f>
        <v>#VALUE!</v>
      </c>
      <c r="AS238" s="172" t="e">
        <f>IF(VLOOKUP(T_BilanSocial[[#This Row],[NumL]],T_TraitDi[#Data],COLUMN(T_TraitDi[[#This Row],[Colonne12]]),FALSE)=0,"",TEXT(IFERROR(VLOOKUP(T_BilanSocial[[#This Row],[NumL]],T_TraitDi[#Data],COLUMN(T_TraitDi[[#This Row],[Colonne12]]),FALSE),""),"[hh]:mm"))</f>
        <v>#VALUE!</v>
      </c>
      <c r="AT238" s="172" t="e">
        <f>IF(VLOOKUP(T_BilanSocial[[#This Row],[NumL]],T_TraitDi[#Data],COLUMN(T_TraitDi[[#This Row],[Colonne14]]),FALSE)=0,"",TEXT(IFERROR(VLOOKUP(T_BilanSocial[[#This Row],[NumL]],T_TraitDi[#Data],COLUMN(T_TraitDi[[#This Row],[Colonne14]]),FALSE),""),"[hh]:mm"))</f>
        <v>#VALUE!</v>
      </c>
      <c r="AU238" s="172" t="str">
        <f>IFERROR(VLOOKUP(T_BilanSocial[[#This Row],[NumL]],T_TraitDi[#Data],COLUMN(T_TraitDi[[#This Row],[Mercredi]]),FALSE),"")</f>
        <v/>
      </c>
      <c r="AV238" s="172" t="e">
        <f>IF(VLOOKUP(T_BilanSocial[[#This Row],[NumL]],T_TraitDi[#Data],COLUMN(T_TraitDi[[#This Row],[Colonne15]]),FALSE)=0,"",TEXT(IFERROR(VLOOKUP(T_BilanSocial[[#This Row],[NumL]],T_TraitDi[#Data],COLUMN(T_TraitDi[[#This Row],[Colonne15]]),FALSE),""),"[hh]:mm"))</f>
        <v>#VALUE!</v>
      </c>
      <c r="AW238" s="172" t="e">
        <f>IF(VLOOKUP(T_BilanSocial[[#This Row],[NumL]],T_TraitDi[#Data],COLUMN(T_TraitDi[[#This Row],[Colonne16]]),FALSE)=0,"",TEXT(IFERROR(VLOOKUP(T_BilanSocial[[#This Row],[NumL]],T_TraitDi[#Data],COLUMN(T_TraitDi[[#This Row],[Colonne16]]),FALSE),""),"[hh]:mm"))</f>
        <v>#VALUE!</v>
      </c>
      <c r="AX238" s="172" t="str">
        <f>IFERROR(VLOOKUP(T_BilanSocial[[#This Row],[NumL]],T_TraitDi[#Data],COLUMN(T_TraitDi[[#This Row],[Colonne17]]),FALSE),"")</f>
        <v/>
      </c>
      <c r="AY238" s="172" t="e">
        <f>IF(VLOOKUP(T_BilanSocial[[#This Row],[NumL]],T_TraitDi[#Data],COLUMN(T_TraitDi[[#This Row],[Colonne18]]),FALSE)=0,"",TEXT(IFERROR(VLOOKUP(T_BilanSocial[[#This Row],[NumL]],T_TraitDi[#Data],COLUMN(T_TraitDi[[#This Row],[Colonne18]]),FALSE),""),"[hh]:mm"))</f>
        <v>#VALUE!</v>
      </c>
      <c r="AZ238" s="172" t="e">
        <f>IF(VLOOKUP(T_BilanSocial[[#This Row],[NumL]],T_TraitDi[#Data],COLUMN(T_TraitDi[[#This Row],[Colonne19]]),FALSE)=0,"",TEXT(IFERROR(VLOOKUP(T_BilanSocial[[#This Row],[NumL]],T_TraitDi[#Data],COLUMN(T_TraitDi[[#This Row],[Colonne19]]),FALSE),""),"[hh]:mm"))</f>
        <v>#VALUE!</v>
      </c>
      <c r="BA238" s="172" t="e">
        <f>IF(VLOOKUP(T_BilanSocial[[#This Row],[NumL]],T_TraitDi[#Data],COLUMN(T_TraitDi[[#This Row],[Colonne20]]),FALSE)=0,"",TEXT(IFERROR(VLOOKUP(T_BilanSocial[[#This Row],[NumL]],T_TraitDi[#Data],COLUMN(T_TraitDi[[#This Row],[Colonne20]]),FALSE),""),"[hh]:mm"))</f>
        <v>#VALUE!</v>
      </c>
      <c r="BB238" s="178" t="str">
        <f>IFERROR(VLOOKUP(T_BilanSocial[[#This Row],[NumL]],T_TraitDi[#Data],COLUMN(T_TraitDi[[#This Row],[Jeudi]]),FALSE),"")</f>
        <v/>
      </c>
      <c r="BC238" s="178" t="e">
        <f>IF(VLOOKUP(T_BilanSocial[[#This Row],[NumL]],T_TraitDi[#Data],COLUMN(T_TraitDi[[#This Row],[Colonne21]]),FALSE)=0,"",TEXT(IFERROR(VLOOKUP(T_BilanSocial[[#This Row],[NumL]],T_TraitDi[#Data],COLUMN(T_TraitDi[[#This Row],[Colonne21]]),FALSE),""),"[hh]:mm"))</f>
        <v>#VALUE!</v>
      </c>
      <c r="BD238" s="178" t="e">
        <f>IF(VLOOKUP(T_BilanSocial[[#This Row],[NumL]],T_TraitDi[#Data],COLUMN(T_TraitDi[[#This Row],[Colonne22]]),FALSE)=0,"",TEXT(IFERROR(VLOOKUP(T_BilanSocial[[#This Row],[NumL]],T_TraitDi[#Data],COLUMN(T_TraitDi[[#This Row],[Colonne22]]),FALSE),""),"[hh]:mm"))</f>
        <v>#VALUE!</v>
      </c>
      <c r="BE238" s="178" t="str">
        <f>IFERROR(VLOOKUP(T_BilanSocial[[#This Row],[NumL]],T_TraitDi[#Data],COLUMN(T_TraitDi[[#This Row],[Colonne23]]),FALSE),"")</f>
        <v/>
      </c>
      <c r="BF238" s="178" t="e">
        <f>IF(VLOOKUP(T_BilanSocial[[#This Row],[NumL]],T_TraitDi[#Data],COLUMN(T_TraitDi[[#This Row],[Colonne24]]),FALSE)=0,"",TEXT(IFERROR(VLOOKUP(T_BilanSocial[[#This Row],[NumL]],T_TraitDi[#Data],COLUMN(T_TraitDi[[#This Row],[Colonne24]]),FALSE),""),"[hh]:mm"))</f>
        <v>#VALUE!</v>
      </c>
      <c r="BG238" s="178" t="e">
        <f>IF(VLOOKUP(T_BilanSocial[[#This Row],[NumL]],T_TraitDi[#Data],COLUMN(T_TraitDi[[#This Row],[Colonne25]]),FALSE)=0,"",TEXT(IFERROR(VLOOKUP(T_BilanSocial[[#This Row],[NumL]],T_TraitDi[#Data],COLUMN(T_TraitDi[[#This Row],[Colonne25]]),FALSE),""),"[hh]:mm"))</f>
        <v>#VALUE!</v>
      </c>
      <c r="BH238" s="178" t="e">
        <f>IF(VLOOKUP(T_BilanSocial[[#This Row],[NumL]],T_TraitDi[#Data],COLUMN(T_TraitDi[[#This Row],[Colonne26]]),FALSE)=0,"",TEXT(IFERROR(VLOOKUP(T_BilanSocial[[#This Row],[NumL]],T_TraitDi[#Data],COLUMN(T_TraitDi[[#This Row],[Colonne26]]),FALSE),""),"[hh]:mm"))</f>
        <v>#VALUE!</v>
      </c>
      <c r="BI238" s="172" t="str">
        <f>IFERROR(VLOOKUP(T_BilanSocial[[#This Row],[NumL]],T_TraitDi[#Data],COLUMN(T_TraitDi[[#This Row],[Vendredi]]),FALSE),"")</f>
        <v/>
      </c>
      <c r="BJ238" s="172" t="e">
        <f>IF(VLOOKUP(T_BilanSocial[[#This Row],[NumL]],T_TraitDi[#Data],COLUMN(T_TraitDi[[#This Row],[Colonne27]]),FALSE)=0,"",TEXT(IFERROR(VLOOKUP(T_BilanSocial[[#This Row],[NumL]],T_TraitDi[#Data],COLUMN(T_TraitDi[[#This Row],[Colonne27]]),FALSE),""),"[hh]:mm"))</f>
        <v>#VALUE!</v>
      </c>
      <c r="BK238" s="172" t="e">
        <f>IF(VLOOKUP(T_BilanSocial[[#This Row],[NumL]],T_TraitDi[#Data],COLUMN(T_TraitDi[[#This Row],[Colonne28]]),FALSE)=0,"",TEXT(IFERROR(VLOOKUP(T_BilanSocial[[#This Row],[NumL]],T_TraitDi[#Data],COLUMN(T_TraitDi[[#This Row],[Colonne28]]),FALSE),""),"[hh]:mm"))</f>
        <v>#VALUE!</v>
      </c>
      <c r="BL238" s="172" t="str">
        <f>IFERROR(VLOOKUP(T_BilanSocial[[#This Row],[NumL]],T_TraitDi[#Data],COLUMN(T_TraitDi[[#This Row],[Colonne29]]),FALSE),"")</f>
        <v/>
      </c>
      <c r="BM238" s="172" t="e">
        <f>IF(VLOOKUP(T_BilanSocial[[#This Row],[NumL]],T_TraitDi[#Data],COLUMN(T_TraitDi[[#This Row],[Colonne30]]),FALSE)=0,"",TEXT(IFERROR(VLOOKUP(T_BilanSocial[[#This Row],[NumL]],T_TraitDi[#Data],COLUMN(T_TraitDi[[#This Row],[Colonne30]]),FALSE),""),"[hh]:mm"))</f>
        <v>#VALUE!</v>
      </c>
      <c r="BN238" s="172" t="e">
        <f>IF(VLOOKUP(T_BilanSocial[[#This Row],[NumL]],T_TraitDi[#Data],COLUMN(T_TraitDi[[#This Row],[Colonne31]]),FALSE)=0,"",TEXT(IFERROR(VLOOKUP(T_BilanSocial[[#This Row],[NumL]],T_TraitDi[#Data],COLUMN(T_TraitDi[[#This Row],[Colonne31]]),FALSE),""),"[hh]:mm"))</f>
        <v>#VALUE!</v>
      </c>
      <c r="BO238" s="172" t="e">
        <f>IF(VLOOKUP(T_BilanSocial[[#This Row],[NumL]],T_TraitDi[#Data],COLUMN(T_TraitDi[[#This Row],[Colonne32]]),FALSE)=0,"",TEXT(IFERROR(VLOOKUP(T_BilanSocial[[#This Row],[NumL]],T_TraitDi[#Data],COLUMN(T_TraitDi[[#This Row],[Colonne32]]),FALSE),""),"[hh]:mm"))</f>
        <v>#VALUE!</v>
      </c>
      <c r="BP238" s="172" t="e">
        <f>VLOOKUP(T_BilanSocial[[#This Row],[NumL]],T_TraitDi[#Data],COLUMN(T_TraitDi[NbJTot]),FALSE)</f>
        <v>#N/A</v>
      </c>
      <c r="BQ238" s="174" t="str">
        <f>IFERROR(VLOOKUP(T_BilanSocial[[#This Row],[NumL]],T_TraitDi[#Data],COLUMN(T_TraitDi[[#This Row],[NbJTW]]),FALSE),"")</f>
        <v/>
      </c>
      <c r="BR238" s="174" t="e">
        <f>IF(VLOOKUP(T_BilanSocial[[#This Row],[NumL]],T_TraitDi[#Data],COLUMN(T_TraitDi[[#This Row],[NbhTW]]),FALSE)=0,"",TEXT(IFERROR(VLOOKUP(T_BilanSocial[[#This Row],[NumL]],T_TraitDi[#Data],COLUMN(T_TraitDi[[#This Row],[NbhTW]]),FALSE),""),"[hh]:mm"))</f>
        <v>#VALUE!</v>
      </c>
      <c r="BS238" s="174" t="e">
        <f>IF(VLOOKUP(T_BilanSocial[[#This Row],[NumL]],T_TraitDi[#Data],COLUMN(T_TraitDi[[#This Row],[Nbhheb]]),FALSE)=0,"",TEXT(IFERROR(VLOOKUP($A238,T_TraitDi[#Data],COLUMN(T_TraitDi[[#This Row],[Nbhheb]]),FALSE),""),"[hh]:mm"))</f>
        <v>#VALUE!</v>
      </c>
      <c r="BT238" s="182" t="str">
        <f>IFERROR(VLOOKUP(VLOOKUP($A238,T_TraitDi[#Data],COLUMN(T_TraitDi[[#This Row],[Type1]]),FALSE),TypeTW,2,FALSE),"")</f>
        <v/>
      </c>
      <c r="BU238" s="182" t="str">
        <f>IFERROR(VLOOKUP($A238,T_TraitDi[#Data],COLUMN(T_TraitDi[[#This Row],[Rue1]]),FALSE),"")</f>
        <v/>
      </c>
      <c r="BV238" s="173" t="str">
        <f>IFERROR(VLOOKUP($A238,T_TraitDi[#Data],COLUMN(T_TraitDi[[#This Row],[CP1]]),FALSE),"")</f>
        <v/>
      </c>
      <c r="BW238" s="173" t="str">
        <f>IFERROR(VLOOKUP($A238,T_TraitDi[#Data],COLUMN(T_TraitDi[[#This Row],[VILLE1]]),FALSE),"")</f>
        <v/>
      </c>
      <c r="BX238" s="182" t="str">
        <f>IFERROR(VLOOKUP(VLOOKUP($A238,T_TraitDi[#Data],COLUMN(T_TraitDi[[#This Row],[Type2]]),FALSE),TypeTW,2,FALSE),"")</f>
        <v/>
      </c>
      <c r="BY238" s="182" t="str">
        <f>IFERROR(VLOOKUP($A238,T_TraitDi[#Data],COLUMN(T_TraitDi[[#This Row],[Rue2]]),FALSE),"")</f>
        <v/>
      </c>
      <c r="BZ238" s="173" t="str">
        <f>IFERROR(VLOOKUP($A238,T_TraitDi[#Data],COLUMN(T_TraitDi[[#This Row],[CP2]]),FALSE),"")</f>
        <v/>
      </c>
      <c r="CA238" s="173" t="str">
        <f>IFERROR(VLOOKUP($A238,T_TraitDi[#Data],COLUMN(T_TraitDi[[#This Row],[VILLE2]]),FALSE),"")</f>
        <v/>
      </c>
      <c r="CB238" s="182" t="str">
        <f>IF(VLOOKUP(T_BilanSocial[[#This Row],[NumL]],T_Equipement[#Data],COLUMN(T_Equipement[[#This Row],[PC]]),FALSE)="","Aucun équipement spécifique directement lié au télétravail",VLOOKUP(T_BilanSocial[[#This Row],[NumL]],T_Equipement[#Data],COLUMN(T_Equipement[[#This Row],[PC]]),FALSE))</f>
        <v xml:space="preserve">18-036	</v>
      </c>
      <c r="CC238" s="166" t="str">
        <f>IFERROR(IF(VLOOKUP(T_BilanSocial[[#This Row],[NumL]],T_TraitDi[#Data],COLUMN(T_TraitDi[[#This Row],[Plan]]),FALSE)="OK","Un planning spécifique de télétravail est annexé à la présente convention.",""),"")</f>
        <v/>
      </c>
      <c r="CD238" s="185"/>
      <c r="CE238" s="164" t="e">
        <f>IF(VLOOKUP(T_BilanSocial[[#This Row],[NumL]],T_suiviDi[#Data],COLUMN(T_suiviDi[[#This Row],[Entité]]),FALSE)="","",VLOOKUP(T_BilanSocial[[#This Row],[NumL]],T_suiviDi[#Data],COLUMN(T_suiviDi[[#This Row],[Entité]]),FALSE))</f>
        <v>#VALUE!</v>
      </c>
      <c r="CF238" s="164" t="str">
        <f>IF(VLOOKUP(T_BilanSocial[[#This Row],[NumL]],T_Commission[#Data],COLUMN(T_Commission[[#This Row],[envoi confirm TW]]),FALSE)="","",VLOOKUP(T_BilanSocial[[#This Row],[NumL]],T_Commission[#Data],COLUMN(T_Commission[[#This Row],[envoi confirm TW]]),FALSE))</f>
        <v>Oui</v>
      </c>
      <c r="CG23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8" s="262" t="str">
        <f>T_BilanSocial[[#This Row],[Nom]]&amp;T_BilanSocial[[#This Row],[Prenom]]</f>
        <v/>
      </c>
      <c r="CI238" s="262">
        <f>VLOOKUP(T_BilanSocial[[#This Row],[NumL]],T_Commission[#Data],COLUMN(T_Commission[Commentaire]),FALSE)</f>
        <v>0</v>
      </c>
      <c r="CJ238" s="262" t="str">
        <f>IF(VLOOKUP(T_BilanSocial[[#This Row],[NumL]],T_Commission[#Data],COLUMN(T_Commission[Encadrant Email]),FALSE)="","",VLOOKUP(T_BilanSocial[[#This Row],[NumL]],T_Commission[#Data],COLUMN(T_Commission[Encadrant Email]),FALSE))</f>
        <v/>
      </c>
      <c r="CK238" s="340" t="str">
        <f>IF(T_BilanSocial[[#This Row],[Final]]&lt;&gt;"",VLOOKUP(T_BilanSocial[[#This Row],[NumL]],T_suiviDi[#Data],COLUMN((T_suiviDi[Statut])),FALSE),"")</f>
        <v/>
      </c>
    </row>
    <row r="239" spans="1:89" s="106" customFormat="1" ht="24.75" customHeight="1" x14ac:dyDescent="0.25">
      <c r="A239" s="160">
        <v>236</v>
      </c>
      <c r="B239" s="161" t="str">
        <f t="shared" si="34"/>
        <v/>
      </c>
      <c r="C239" s="162" t="s">
        <v>3287</v>
      </c>
      <c r="D239" s="95" t="e">
        <f>IF(VLOOKUP(T_BilanSocial[[#This Row],[NumL]],T_TraitDi[#Data],COLUMN(T_TraitDi[[#This Row],[WebC]]),FALSE)="","",VLOOKUP(T_BilanSocial[[#This Row],[NumL]],T_TraitDi[#Data],COLUMN(T_TraitDi[[#This Row],[WebC]]),FALSE))</f>
        <v>#VALUE!</v>
      </c>
      <c r="E239" s="163" t="str">
        <f t="shared" si="35"/>
        <v>12 janvier 2021</v>
      </c>
      <c r="F239" s="96" t="str">
        <f>IF(T_BilanSocial[[#This Row],[Final]]&lt;&gt;"",VLOOKUP(T_BilanSocial[[#This Row],[NumL]],T_suiviDi[#Data],COLUMN((T_suiviDi[Civ.])),FALSE),"")</f>
        <v/>
      </c>
      <c r="G239" s="96" t="str">
        <f>IF(T_BilanSocial[[#This Row],[Final]]&lt;&gt;"",VLOOKUP(T_BilanSocial[[#This Row],[NumL]],T_suiviDi[#Data],COLUMN((T_suiviDi[Nom])),FALSE),"")</f>
        <v/>
      </c>
      <c r="H239" s="96" t="str">
        <f>IF(T_BilanSocial[[#This Row],[Final]]&lt;&gt;"",VLOOKUP(T_BilanSocial[[#This Row],[NumL]],T_suiviDi[#Data],COLUMN((T_suiviDi[Prénom])),FALSE),"")</f>
        <v/>
      </c>
      <c r="I239" s="96" t="str">
        <f>IFERROR(VLOOKUP(T_BilanSocial[[#This Row],[Zone_Bilan]],T_P_BilanSocial[#Data],COLUMN(T_P_BilanSocial[[#This Row],[Numero_SIHAM]]),FALSE),"")</f>
        <v/>
      </c>
      <c r="J239" s="96" t="str">
        <f>IFERROR(VLOOKUP(T_BilanSocial[[#This Row],[Zone_Bilan]],T_P_BilanSocial[#Data],COLUMN(T_P_BilanSocial[[#This Row],[Sexe]]),FALSE),"")</f>
        <v/>
      </c>
      <c r="K239" s="97" t="str">
        <f>IFERROR(VLOOKUP(T_BilanSocial[[#This Row],[Zone_Bilan]],T_P_BilanSocial[#Data],COLUMN(T_P_BilanSocial[[#This Row],[Categorie]]),FALSE),"")</f>
        <v/>
      </c>
      <c r="L239" s="96" t="str">
        <f>IFERROR(VLOOKUP(T_BilanSocial[[#This Row],[Zone_Bilan]],T_P_BilanSocial[#Data],COLUMN(T_P_BilanSocial[[#This Row],[Statut]]),FALSE),"")</f>
        <v/>
      </c>
      <c r="M239" s="96" t="str">
        <f>IFERROR(VLOOKUP(T_BilanSocial[[#This Row],[Zone_Bilan]],T_P_BilanSocial[#Data],COLUMN(T_P_BilanSocial[[#This Row],[Filiere]]),FALSE),"")</f>
        <v/>
      </c>
      <c r="N239" s="96" t="e">
        <f>VLOOKUP(T_BilanSocial[[#This Row],[NumL]],T_TraitDi[#Data],COLUMN(T_TraitDi[EXP]),FALSE)</f>
        <v>#N/A</v>
      </c>
      <c r="O239" s="96" t="e">
        <f>VLOOKUP(T_BilanSocial[[#This Row],[NumL]],T_TraitDi[#Data],COLUMN(T_TraitDi[FORM]),FALSE)</f>
        <v>#N/A</v>
      </c>
      <c r="P239" s="96" t="str">
        <f>IF(T_BilanSocial[[#This Row],[Final]]&lt;&gt;"",VLOOKUP(T_BilanSocial[[#This Row],[NumL]],T_suiviDi[#Data],COLUMN((T_suiviDi[Email])),FALSE),"")</f>
        <v/>
      </c>
      <c r="Q239" s="164" t="e">
        <f t="shared" si="40"/>
        <v>#N/A</v>
      </c>
      <c r="R239" s="164" t="e">
        <f t="shared" si="41"/>
        <v>#N/A</v>
      </c>
      <c r="S239" s="164" t="e">
        <f>IF(VLOOKUP(T_BilanSocial[[#This Row],[NumL]],T_suiviDi[#Data],COLUMN(T_suiviDi[[#This Row],[Service ]]),FALSE)="","",VLOOKUP(T_BilanSocial[[#This Row],[NumL]],T_suiviDi[#Data],COLUMN(T_suiviDi[[#This Row],[Service ]]),FALSE))</f>
        <v>#VALUE!</v>
      </c>
      <c r="T239" s="164" t="str">
        <f t="shared" si="36"/>
        <v>01 septembre 2021</v>
      </c>
      <c r="U239" s="164" t="str">
        <f t="shared" si="37"/>
        <v>30 novembre 2021</v>
      </c>
      <c r="V239" s="164" t="str">
        <f t="shared" ref="V239:V251" si="43">TEXT(Datebilan,"jj mmmm aaaa")</f>
        <v>30 novembre 2021</v>
      </c>
      <c r="W239" s="176" t="e">
        <f>IF(VLOOKUP(T_BilanSocial[[#This Row],[NumL]],T_TraitDi[#Data],COLUMN(T_TraitDi[[#This Row],[M1]]),FALSE)="","",VLOOKUP(T_BilanSocial[[#This Row],[NumL]],T_TraitDi[#Data],COLUMN(T_TraitDi[[#This Row],[M1]]),FALSE))</f>
        <v>#VALUE!</v>
      </c>
      <c r="X239" s="176" t="e">
        <f>IF(VLOOKUP(T_BilanSocial[[#This Row],[NumL]],T_TraitDi[#Data],COLUMN(T_TraitDi[[#This Row],[M2]]),FALSE)="","",VLOOKUP(T_BilanSocial[[#This Row],[NumL]],T_TraitDi[#Data],COLUMN(T_TraitDi[[#This Row],[M2]]),FALSE))</f>
        <v>#VALUE!</v>
      </c>
      <c r="Y239" s="176" t="e">
        <f>IF(VLOOKUP(T_BilanSocial[[#This Row],[NumL]],T_TraitDi[#Data],COLUMN(T_TraitDi[[#This Row],[M3]]),FALSE)="","",VLOOKUP(T_BilanSocial[[#This Row],[NumL]],T_TraitDi[#Data],COLUMN(T_TraitDi[[#This Row],[M3]]),FALSE))</f>
        <v>#VALUE!</v>
      </c>
      <c r="Z239" s="176" t="str">
        <f t="shared" si="39"/>
        <v/>
      </c>
      <c r="AA239" s="176" t="e">
        <f>IF(VLOOKUP(T_BilanSocial[[#This Row],[NumL]],T_TraitDi[#Data],COLUMN(T_TraitDi[[#This Row],[M5]]),FALSE)="","",VLOOKUP(T_BilanSocial[[#This Row],[NumL]],T_TraitDi[#Data],COLUMN(T_TraitDi[[#This Row],[M5]]),FALSE))</f>
        <v>#VALUE!</v>
      </c>
      <c r="AB239" s="176" t="e">
        <f>IF(VLOOKUP(T_BilanSocial[[#This Row],[NumL]],T_TraitDi[#Data],COLUMN(T_TraitDi[[#This Row],[M6]]),FALSE)="","",VLOOKUP(T_BilanSocial[[#This Row],[NumL]],T_TraitDi[#Data],COLUMN(T_TraitDi[[#This Row],[M6]]),FALSE))</f>
        <v>#VALUE!</v>
      </c>
      <c r="AC239" s="165" t="e">
        <f t="shared" si="38"/>
        <v>#VALUE!</v>
      </c>
      <c r="AD239" s="188" t="str">
        <f>IFERROR(TEXT(VLOOKUP(T_BilanSocial[[#This Row],[NumL]],T_TraitDi[#Data],COLUMN(T_TraitDi[[#This Row],[Q2]]),FALSE),"###%"),"")</f>
        <v/>
      </c>
      <c r="AE239" s="97" t="e">
        <f>VLOOKUP(T_BilanSocial[[#This Row],[NumL]],T_TraitDi[#Data],COLUMN(T_TraitDi[[#This Row],[Reg Ponct]]),FALSE)</f>
        <v>#VALUE!</v>
      </c>
      <c r="AF239" s="97" t="e">
        <f>VLOOKUP(T_BilanSocial[NumL],T_TraitDi[#Data],COLUMN(T_TraitDi[[#This Row],[Jours flottants]]),FALSE)</f>
        <v>#VALUE!</v>
      </c>
      <c r="AG239" s="97" t="str">
        <f>IFERROR(VLOOKUP(T_BilanSocial[[#This Row],[NumL]],T_TraitDi[#Data],COLUMN(T_TraitDi[[#This Row],[Lundi]]),FALSE),"")</f>
        <v/>
      </c>
      <c r="AH239" s="172" t="e">
        <f>IF(VLOOKUP(T_BilanSocial[[#This Row],[NumL]],T_TraitDi[#Data],COLUMN(T_TraitDi[[#This Row],[Colonne3]]),FALSE)=0,"",TEXT(IFERROR(VLOOKUP(T_BilanSocial[[#This Row],[NumL]],T_TraitDi[#Data],COLUMN(T_TraitDi[[#This Row],[Colonne3]]),FALSE),""),"[hh]:mm"))</f>
        <v>#VALUE!</v>
      </c>
      <c r="AI239" s="172" t="e">
        <f>IF(VLOOKUP(T_BilanSocial[[#This Row],[NumL]],T_TraitDi[#Data],COLUMN(T_TraitDi[[#This Row],[Colonne4]]),FALSE)=0,"",TEXT(IFERROR(VLOOKUP(T_BilanSocial[[#This Row],[NumL]],T_TraitDi[#Data],COLUMN(T_TraitDi[[#This Row],[Colonne4]]),FALSE),""),"[hh]:mm"))</f>
        <v>#VALUE!</v>
      </c>
      <c r="AJ239" s="172" t="e">
        <f>IF(VLOOKUP(T_BilanSocial[[#This Row],[NumL]],T_TraitDi[#Data],COLUMN(T_TraitDi[[#This Row],[Colonne5]]),FALSE)=0,"",TEXT(IFERROR(VLOOKUP(T_BilanSocial[[#This Row],[NumL]],T_TraitDi[#Data],COLUMN(T_TraitDi[[#This Row],[Colonne5]]),FALSE),""),"[hh]:mm"))</f>
        <v>#VALUE!</v>
      </c>
      <c r="AK239" s="172" t="e">
        <f>IF(VLOOKUP(T_BilanSocial[[#This Row],[NumL]],T_TraitDi[#Data],COLUMN(T_TraitDi[[#This Row],[Colonne6]]),FALSE)=0,"",TEXT(IFERROR(VLOOKUP(T_BilanSocial[[#This Row],[NumL]],T_TraitDi[#Data],COLUMN(T_TraitDi[[#This Row],[Colonne6]]),FALSE),""),"[hh]:mm"))</f>
        <v>#VALUE!</v>
      </c>
      <c r="AL239" s="172" t="e">
        <f>IF(VLOOKUP(T_BilanSocial[[#This Row],[NumL]],T_TraitDi[#Data],COLUMN(T_TraitDi[[#This Row],[Colonne7]]),FALSE)=0,"",TEXT(IFERROR(VLOOKUP(T_BilanSocial[[#This Row],[NumL]],T_TraitDi[#Data],COLUMN(T_TraitDi[[#This Row],[Colonne7]]),FALSE),""),"[hh]:mm"))</f>
        <v>#VALUE!</v>
      </c>
      <c r="AM239" s="172" t="e">
        <f>IF(VLOOKUP(T_BilanSocial[[#This Row],[NumL]],T_TraitDi[#Data],COLUMN(T_TraitDi[[#This Row],[Colonne8]]),FALSE)=0,"",TEXT(IFERROR(VLOOKUP(T_BilanSocial[[#This Row],[NumL]],T_TraitDi[#Data],COLUMN(T_TraitDi[[#This Row],[Colonne8]]),FALSE),""),"[hh]:mm"))</f>
        <v>#VALUE!</v>
      </c>
      <c r="AN239" s="172" t="str">
        <f>IFERROR(VLOOKUP(T_BilanSocial[[#This Row],[NumL]],T_TraitDi[#Data],COLUMN(T_TraitDi[[#This Row],[Mardi]]),FALSE),"")</f>
        <v/>
      </c>
      <c r="AO239" s="172" t="e">
        <f>IF(VLOOKUP(T_BilanSocial[[#This Row],[NumL]],T_TraitDi[#Data],COLUMN(T_TraitDi[[#This Row],[Colonne1]]),FALSE)=0,"",TEXT(IFERROR(VLOOKUP(T_BilanSocial[[#This Row],[NumL]],T_TraitDi[#Data],COLUMN(T_TraitDi[[#This Row],[Colonne1]]),FALSE),""),"[hh]:mm"))</f>
        <v>#VALUE!</v>
      </c>
      <c r="AP239" s="172" t="e">
        <f>IF(VLOOKUP(T_BilanSocial[[#This Row],[NumL]],T_TraitDi[#Data],COLUMN(T_TraitDi[[#This Row],[Colonne9]]),FALSE)=0,"",TEXT(IFERROR(VLOOKUP(T_BilanSocial[[#This Row],[NumL]],T_TraitDi[#Data],COLUMN(T_TraitDi[[#This Row],[Colonne9]]),FALSE),""),"[hh]:mm"))</f>
        <v>#VALUE!</v>
      </c>
      <c r="AQ239" s="172" t="str">
        <f>IFERROR(VLOOKUP(T_BilanSocial[[#This Row],[NumL]],T_TraitDi[#Data],COLUMN(T_TraitDi[[#This Row],[Colonne10]]),FALSE),"")</f>
        <v/>
      </c>
      <c r="AR239" s="172" t="e">
        <f>IF(VLOOKUP(T_BilanSocial[[#This Row],[NumL]],T_TraitDi[#Data],COLUMN(T_TraitDi[[#This Row],[Colonne11]]),FALSE)=0,"",TEXT(IFERROR(VLOOKUP(T_BilanSocial[[#This Row],[NumL]],T_TraitDi[#Data],COLUMN(T_TraitDi[[#This Row],[Colonne11]]),FALSE),""),"[hh]:mm"))</f>
        <v>#VALUE!</v>
      </c>
      <c r="AS239" s="172" t="e">
        <f>IF(VLOOKUP(T_BilanSocial[[#This Row],[NumL]],T_TraitDi[#Data],COLUMN(T_TraitDi[[#This Row],[Colonne12]]),FALSE)=0,"",TEXT(IFERROR(VLOOKUP(T_BilanSocial[[#This Row],[NumL]],T_TraitDi[#Data],COLUMN(T_TraitDi[[#This Row],[Colonne12]]),FALSE),""),"[hh]:mm"))</f>
        <v>#VALUE!</v>
      </c>
      <c r="AT239" s="172" t="e">
        <f>IF(VLOOKUP(T_BilanSocial[[#This Row],[NumL]],T_TraitDi[#Data],COLUMN(T_TraitDi[[#This Row],[Colonne14]]),FALSE)=0,"",TEXT(IFERROR(VLOOKUP(T_BilanSocial[[#This Row],[NumL]],T_TraitDi[#Data],COLUMN(T_TraitDi[[#This Row],[Colonne14]]),FALSE),""),"[hh]:mm"))</f>
        <v>#VALUE!</v>
      </c>
      <c r="AU239" s="172" t="str">
        <f>IFERROR(VLOOKUP(T_BilanSocial[[#This Row],[NumL]],T_TraitDi[#Data],COLUMN(T_TraitDi[[#This Row],[Mercredi]]),FALSE),"")</f>
        <v/>
      </c>
      <c r="AV239" s="172" t="e">
        <f>IF(VLOOKUP(T_BilanSocial[[#This Row],[NumL]],T_TraitDi[#Data],COLUMN(T_TraitDi[[#This Row],[Colonne15]]),FALSE)=0,"",TEXT(IFERROR(VLOOKUP(T_BilanSocial[[#This Row],[NumL]],T_TraitDi[#Data],COLUMN(T_TraitDi[[#This Row],[Colonne15]]),FALSE),""),"[hh]:mm"))</f>
        <v>#VALUE!</v>
      </c>
      <c r="AW239" s="172" t="e">
        <f>IF(VLOOKUP(T_BilanSocial[[#This Row],[NumL]],T_TraitDi[#Data],COLUMN(T_TraitDi[[#This Row],[Colonne16]]),FALSE)=0,"",TEXT(IFERROR(VLOOKUP(T_BilanSocial[[#This Row],[NumL]],T_TraitDi[#Data],COLUMN(T_TraitDi[[#This Row],[Colonne16]]),FALSE),""),"[hh]:mm"))</f>
        <v>#VALUE!</v>
      </c>
      <c r="AX239" s="172" t="str">
        <f>IFERROR(VLOOKUP(T_BilanSocial[[#This Row],[NumL]],T_TraitDi[#Data],COLUMN(T_TraitDi[[#This Row],[Colonne17]]),FALSE),"")</f>
        <v/>
      </c>
      <c r="AY239" s="172" t="e">
        <f>IF(VLOOKUP(T_BilanSocial[[#This Row],[NumL]],T_TraitDi[#Data],COLUMN(T_TraitDi[[#This Row],[Colonne18]]),FALSE)=0,"",TEXT(IFERROR(VLOOKUP(T_BilanSocial[[#This Row],[NumL]],T_TraitDi[#Data],COLUMN(T_TraitDi[[#This Row],[Colonne18]]),FALSE),""),"[hh]:mm"))</f>
        <v>#VALUE!</v>
      </c>
      <c r="AZ239" s="172" t="e">
        <f>IF(VLOOKUP(T_BilanSocial[[#This Row],[NumL]],T_TraitDi[#Data],COLUMN(T_TraitDi[[#This Row],[Colonne19]]),FALSE)=0,"",TEXT(IFERROR(VLOOKUP(T_BilanSocial[[#This Row],[NumL]],T_TraitDi[#Data],COLUMN(T_TraitDi[[#This Row],[Colonne19]]),FALSE),""),"[hh]:mm"))</f>
        <v>#VALUE!</v>
      </c>
      <c r="BA239" s="172" t="e">
        <f>IF(VLOOKUP(T_BilanSocial[[#This Row],[NumL]],T_TraitDi[#Data],COLUMN(T_TraitDi[[#This Row],[Colonne20]]),FALSE)=0,"",TEXT(IFERROR(VLOOKUP(T_BilanSocial[[#This Row],[NumL]],T_TraitDi[#Data],COLUMN(T_TraitDi[[#This Row],[Colonne20]]),FALSE),""),"[hh]:mm"))</f>
        <v>#VALUE!</v>
      </c>
      <c r="BB239" s="178" t="str">
        <f>IFERROR(VLOOKUP(T_BilanSocial[[#This Row],[NumL]],T_TraitDi[#Data],COLUMN(T_TraitDi[[#This Row],[Jeudi]]),FALSE),"")</f>
        <v/>
      </c>
      <c r="BC239" s="178" t="e">
        <f>IF(VLOOKUP(T_BilanSocial[[#This Row],[NumL]],T_TraitDi[#Data],COLUMN(T_TraitDi[[#This Row],[Colonne21]]),FALSE)=0,"",TEXT(IFERROR(VLOOKUP(T_BilanSocial[[#This Row],[NumL]],T_TraitDi[#Data],COLUMN(T_TraitDi[[#This Row],[Colonne21]]),FALSE),""),"[hh]:mm"))</f>
        <v>#VALUE!</v>
      </c>
      <c r="BD239" s="178" t="e">
        <f>IF(VLOOKUP(T_BilanSocial[[#This Row],[NumL]],T_TraitDi[#Data],COLUMN(T_TraitDi[[#This Row],[Colonne22]]),FALSE)=0,"",TEXT(IFERROR(VLOOKUP(T_BilanSocial[[#This Row],[NumL]],T_TraitDi[#Data],COLUMN(T_TraitDi[[#This Row],[Colonne22]]),FALSE),""),"[hh]:mm"))</f>
        <v>#VALUE!</v>
      </c>
      <c r="BE239" s="178" t="str">
        <f>IFERROR(VLOOKUP(T_BilanSocial[[#This Row],[NumL]],T_TraitDi[#Data],COLUMN(T_TraitDi[[#This Row],[Colonne23]]),FALSE),"")</f>
        <v/>
      </c>
      <c r="BF239" s="178" t="e">
        <f>IF(VLOOKUP(T_BilanSocial[[#This Row],[NumL]],T_TraitDi[#Data],COLUMN(T_TraitDi[[#This Row],[Colonne24]]),FALSE)=0,"",TEXT(IFERROR(VLOOKUP(T_BilanSocial[[#This Row],[NumL]],T_TraitDi[#Data],COLUMN(T_TraitDi[[#This Row],[Colonne24]]),FALSE),""),"[hh]:mm"))</f>
        <v>#VALUE!</v>
      </c>
      <c r="BG239" s="178" t="e">
        <f>IF(VLOOKUP(T_BilanSocial[[#This Row],[NumL]],T_TraitDi[#Data],COLUMN(T_TraitDi[[#This Row],[Colonne25]]),FALSE)=0,"",TEXT(IFERROR(VLOOKUP(T_BilanSocial[[#This Row],[NumL]],T_TraitDi[#Data],COLUMN(T_TraitDi[[#This Row],[Colonne25]]),FALSE),""),"[hh]:mm"))</f>
        <v>#VALUE!</v>
      </c>
      <c r="BH239" s="178" t="e">
        <f>IF(VLOOKUP(T_BilanSocial[[#This Row],[NumL]],T_TraitDi[#Data],COLUMN(T_TraitDi[[#This Row],[Colonne26]]),FALSE)=0,"",TEXT(IFERROR(VLOOKUP(T_BilanSocial[[#This Row],[NumL]],T_TraitDi[#Data],COLUMN(T_TraitDi[[#This Row],[Colonne26]]),FALSE),""),"[hh]:mm"))</f>
        <v>#VALUE!</v>
      </c>
      <c r="BI239" s="172" t="str">
        <f>IFERROR(VLOOKUP(T_BilanSocial[[#This Row],[NumL]],T_TraitDi[#Data],COLUMN(T_TraitDi[[#This Row],[Vendredi]]),FALSE),"")</f>
        <v/>
      </c>
      <c r="BJ239" s="172" t="e">
        <f>IF(VLOOKUP(T_BilanSocial[[#This Row],[NumL]],T_TraitDi[#Data],COLUMN(T_TraitDi[[#This Row],[Colonne27]]),FALSE)=0,"",TEXT(IFERROR(VLOOKUP(T_BilanSocial[[#This Row],[NumL]],T_TraitDi[#Data],COLUMN(T_TraitDi[[#This Row],[Colonne27]]),FALSE),""),"[hh]:mm"))</f>
        <v>#VALUE!</v>
      </c>
      <c r="BK239" s="172" t="e">
        <f>IF(VLOOKUP(T_BilanSocial[[#This Row],[NumL]],T_TraitDi[#Data],COLUMN(T_TraitDi[[#This Row],[Colonne28]]),FALSE)=0,"",TEXT(IFERROR(VLOOKUP(T_BilanSocial[[#This Row],[NumL]],T_TraitDi[#Data],COLUMN(T_TraitDi[[#This Row],[Colonne28]]),FALSE),""),"[hh]:mm"))</f>
        <v>#VALUE!</v>
      </c>
      <c r="BL239" s="172" t="str">
        <f>IFERROR(VLOOKUP(T_BilanSocial[[#This Row],[NumL]],T_TraitDi[#Data],COLUMN(T_TraitDi[[#This Row],[Colonne29]]),FALSE),"")</f>
        <v/>
      </c>
      <c r="BM239" s="172" t="e">
        <f>IF(VLOOKUP(T_BilanSocial[[#This Row],[NumL]],T_TraitDi[#Data],COLUMN(T_TraitDi[[#This Row],[Colonne30]]),FALSE)=0,"",TEXT(IFERROR(VLOOKUP(T_BilanSocial[[#This Row],[NumL]],T_TraitDi[#Data],COLUMN(T_TraitDi[[#This Row],[Colonne30]]),FALSE),""),"[hh]:mm"))</f>
        <v>#VALUE!</v>
      </c>
      <c r="BN239" s="172" t="e">
        <f>IF(VLOOKUP(T_BilanSocial[[#This Row],[NumL]],T_TraitDi[#Data],COLUMN(T_TraitDi[[#This Row],[Colonne31]]),FALSE)=0,"",TEXT(IFERROR(VLOOKUP(T_BilanSocial[[#This Row],[NumL]],T_TraitDi[#Data],COLUMN(T_TraitDi[[#This Row],[Colonne31]]),FALSE),""),"[hh]:mm"))</f>
        <v>#VALUE!</v>
      </c>
      <c r="BO239" s="172" t="e">
        <f>IF(VLOOKUP(T_BilanSocial[[#This Row],[NumL]],T_TraitDi[#Data],COLUMN(T_TraitDi[[#This Row],[Colonne32]]),FALSE)=0,"",TEXT(IFERROR(VLOOKUP(T_BilanSocial[[#This Row],[NumL]],T_TraitDi[#Data],COLUMN(T_TraitDi[[#This Row],[Colonne32]]),FALSE),""),"[hh]:mm"))</f>
        <v>#VALUE!</v>
      </c>
      <c r="BP239" s="172" t="e">
        <f>VLOOKUP(T_BilanSocial[[#This Row],[NumL]],T_TraitDi[#Data],COLUMN(T_TraitDi[NbJTot]),FALSE)</f>
        <v>#N/A</v>
      </c>
      <c r="BQ239" s="174" t="str">
        <f>IFERROR(VLOOKUP(T_BilanSocial[[#This Row],[NumL]],T_TraitDi[#Data],COLUMN(T_TraitDi[[#This Row],[NbJTW]]),FALSE),"")</f>
        <v/>
      </c>
      <c r="BR239" s="174" t="e">
        <f>IF(VLOOKUP(T_BilanSocial[[#This Row],[NumL]],T_TraitDi[#Data],COLUMN(T_TraitDi[[#This Row],[NbhTW]]),FALSE)=0,"",TEXT(IFERROR(VLOOKUP(T_BilanSocial[[#This Row],[NumL]],T_TraitDi[#Data],COLUMN(T_TraitDi[[#This Row],[NbhTW]]),FALSE),""),"[hh]:mm"))</f>
        <v>#VALUE!</v>
      </c>
      <c r="BS239" s="174" t="e">
        <f>IF(VLOOKUP(T_BilanSocial[[#This Row],[NumL]],T_TraitDi[#Data],COLUMN(T_TraitDi[[#This Row],[Nbhheb]]),FALSE)=0,"",TEXT(IFERROR(VLOOKUP($A239,T_TraitDi[#Data],COLUMN(T_TraitDi[[#This Row],[Nbhheb]]),FALSE),""),"[hh]:mm"))</f>
        <v>#VALUE!</v>
      </c>
      <c r="BT239" s="182" t="str">
        <f>IFERROR(VLOOKUP(VLOOKUP($A239,T_TraitDi[#Data],COLUMN(T_TraitDi[[#This Row],[Type1]]),FALSE),TypeTW,2,FALSE),"")</f>
        <v/>
      </c>
      <c r="BU239" s="182" t="str">
        <f>IFERROR(VLOOKUP($A239,T_TraitDi[#Data],COLUMN(T_TraitDi[[#This Row],[Rue1]]),FALSE),"")</f>
        <v/>
      </c>
      <c r="BV239" s="173" t="str">
        <f>IFERROR(VLOOKUP($A239,T_TraitDi[#Data],COLUMN(T_TraitDi[[#This Row],[CP1]]),FALSE),"")</f>
        <v/>
      </c>
      <c r="BW239" s="173" t="str">
        <f>IFERROR(VLOOKUP($A239,T_TraitDi[#Data],COLUMN(T_TraitDi[[#This Row],[VILLE1]]),FALSE),"")</f>
        <v/>
      </c>
      <c r="BX239" s="182" t="str">
        <f>IFERROR(VLOOKUP(VLOOKUP($A239,T_TraitDi[#Data],COLUMN(T_TraitDi[[#This Row],[Type2]]),FALSE),TypeTW,2,FALSE),"")</f>
        <v/>
      </c>
      <c r="BY239" s="182" t="str">
        <f>IFERROR(VLOOKUP($A239,T_TraitDi[#Data],COLUMN(T_TraitDi[[#This Row],[Rue2]]),FALSE),"")</f>
        <v/>
      </c>
      <c r="BZ239" s="173" t="str">
        <f>IFERROR(VLOOKUP($A239,T_TraitDi[#Data],COLUMN(T_TraitDi[[#This Row],[CP2]]),FALSE),"")</f>
        <v/>
      </c>
      <c r="CA239" s="173" t="str">
        <f>IFERROR(VLOOKUP($A239,T_TraitDi[#Data],COLUMN(T_TraitDi[[#This Row],[VILLE2]]),FALSE),"")</f>
        <v/>
      </c>
      <c r="CB239" s="182" t="str">
        <f>IF(VLOOKUP(T_BilanSocial[[#This Row],[NumL]],T_Equipement[#Data],COLUMN(T_Equipement[[#This Row],[PC]]),FALSE)="","Aucun équipement spécifique directement lié au télétravail",VLOOKUP(T_BilanSocial[[#This Row],[NumL]],T_Equipement[#Data],COLUMN(T_Equipement[[#This Row],[PC]]),FALSE))</f>
        <v>20-503</v>
      </c>
      <c r="CC239" s="166" t="str">
        <f>IFERROR(IF(VLOOKUP(T_BilanSocial[[#This Row],[NumL]],T_TraitDi[#Data],COLUMN(T_TraitDi[[#This Row],[Plan]]),FALSE)="OK","Un planning spécifique de télétravail est annexé à la présente convention.",""),"")</f>
        <v/>
      </c>
      <c r="CD239" s="185"/>
      <c r="CE239" s="164" t="e">
        <f>IF(VLOOKUP(T_BilanSocial[[#This Row],[NumL]],T_suiviDi[#Data],COLUMN(T_suiviDi[[#This Row],[Entité]]),FALSE)="","",VLOOKUP(T_BilanSocial[[#This Row],[NumL]],T_suiviDi[#Data],COLUMN(T_suiviDi[[#This Row],[Entité]]),FALSE))</f>
        <v>#VALUE!</v>
      </c>
      <c r="CF239" s="164" t="str">
        <f>IF(VLOOKUP(T_BilanSocial[[#This Row],[NumL]],T_Commission[#Data],COLUMN(T_Commission[[#This Row],[envoi confirm TW]]),FALSE)="","",VLOOKUP(T_BilanSocial[[#This Row],[NumL]],T_Commission[#Data],COLUMN(T_Commission[[#This Row],[envoi confirm TW]]),FALSE))</f>
        <v>Oui</v>
      </c>
      <c r="CG23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39" s="262" t="str">
        <f>T_BilanSocial[[#This Row],[Nom]]&amp;T_BilanSocial[[#This Row],[Prenom]]</f>
        <v/>
      </c>
      <c r="CI239" s="262">
        <f>VLOOKUP(T_BilanSocial[[#This Row],[NumL]],T_Commission[#Data],COLUMN(T_Commission[Commentaire]),FALSE)</f>
        <v>0</v>
      </c>
      <c r="CJ239" s="262" t="str">
        <f>IF(VLOOKUP(T_BilanSocial[[#This Row],[NumL]],T_Commission[#Data],COLUMN(T_Commission[Encadrant Email]),FALSE)="","",VLOOKUP(T_BilanSocial[[#This Row],[NumL]],T_Commission[#Data],COLUMN(T_Commission[Encadrant Email]),FALSE))</f>
        <v/>
      </c>
      <c r="CK239" s="340" t="str">
        <f>IF(T_BilanSocial[[#This Row],[Final]]&lt;&gt;"",VLOOKUP(T_BilanSocial[[#This Row],[NumL]],T_suiviDi[#Data],COLUMN((T_suiviDi[Statut])),FALSE),"")</f>
        <v/>
      </c>
    </row>
    <row r="240" spans="1:89" s="106" customFormat="1" ht="24.75" customHeight="1" x14ac:dyDescent="0.25">
      <c r="A240" s="160">
        <v>237</v>
      </c>
      <c r="B240" s="161" t="e">
        <f t="shared" si="34"/>
        <v>#N/A</v>
      </c>
      <c r="C240" s="162" t="s">
        <v>173</v>
      </c>
      <c r="D240" s="95" t="e">
        <f>IF(VLOOKUP(T_BilanSocial[[#This Row],[NumL]],T_TraitDi[#Data],COLUMN(T_TraitDi[[#This Row],[WebC]]),FALSE)="","",VLOOKUP(T_BilanSocial[[#This Row],[NumL]],T_TraitDi[#Data],COLUMN(T_TraitDi[[#This Row],[WebC]]),FALSE))</f>
        <v>#VALUE!</v>
      </c>
      <c r="E240" s="163" t="str">
        <f t="shared" si="35"/>
        <v>12 janvier 2021</v>
      </c>
      <c r="F240" s="96" t="e">
        <f>IF(T_BilanSocial[[#This Row],[Final]]&lt;&gt;"",VLOOKUP(T_BilanSocial[[#This Row],[NumL]],T_suiviDi[#Data],COLUMN((T_suiviDi[Civ.])),FALSE),"")</f>
        <v>#N/A</v>
      </c>
      <c r="G240" s="96" t="e">
        <f>IF(T_BilanSocial[[#This Row],[Final]]&lt;&gt;"",VLOOKUP(T_BilanSocial[[#This Row],[NumL]],T_suiviDi[#Data],COLUMN((T_suiviDi[Nom])),FALSE),"")</f>
        <v>#N/A</v>
      </c>
      <c r="H240" s="96" t="e">
        <f>IF(T_BilanSocial[[#This Row],[Final]]&lt;&gt;"",VLOOKUP(T_BilanSocial[[#This Row],[NumL]],T_suiviDi[#Data],COLUMN((T_suiviDi[Prénom])),FALSE),"")</f>
        <v>#N/A</v>
      </c>
      <c r="I240" s="96" t="str">
        <f>IFERROR(VLOOKUP(T_BilanSocial[[#This Row],[Zone_Bilan]],T_P_BilanSocial[#Data],COLUMN(T_P_BilanSocial[[#This Row],[Numero_SIHAM]]),FALSE),"")</f>
        <v/>
      </c>
      <c r="J240" s="96" t="str">
        <f>IFERROR(VLOOKUP(T_BilanSocial[[#This Row],[Zone_Bilan]],T_P_BilanSocial[#Data],COLUMN(T_P_BilanSocial[[#This Row],[Sexe]]),FALSE),"")</f>
        <v/>
      </c>
      <c r="K240" s="97" t="str">
        <f>IFERROR(VLOOKUP(T_BilanSocial[[#This Row],[Zone_Bilan]],T_P_BilanSocial[#Data],COLUMN(T_P_BilanSocial[[#This Row],[Categorie]]),FALSE),"")</f>
        <v/>
      </c>
      <c r="L240" s="96" t="str">
        <f>IFERROR(VLOOKUP(T_BilanSocial[[#This Row],[Zone_Bilan]],T_P_BilanSocial[#Data],COLUMN(T_P_BilanSocial[[#This Row],[Statut]]),FALSE),"")</f>
        <v/>
      </c>
      <c r="M240" s="96" t="str">
        <f>IFERROR(VLOOKUP(T_BilanSocial[[#This Row],[Zone_Bilan]],T_P_BilanSocial[#Data],COLUMN(T_P_BilanSocial[[#This Row],[Filiere]]),FALSE),"")</f>
        <v/>
      </c>
      <c r="N240" s="96" t="e">
        <f>VLOOKUP(T_BilanSocial[[#This Row],[NumL]],T_TraitDi[#Data],COLUMN(T_TraitDi[EXP]),FALSE)</f>
        <v>#N/A</v>
      </c>
      <c r="O240" s="96" t="e">
        <f>VLOOKUP(T_BilanSocial[[#This Row],[NumL]],T_TraitDi[#Data],COLUMN(T_TraitDi[FORM]),FALSE)</f>
        <v>#N/A</v>
      </c>
      <c r="P240" s="96" t="e">
        <f>IF(T_BilanSocial[[#This Row],[Final]]&lt;&gt;"",VLOOKUP(T_BilanSocial[[#This Row],[NumL]],T_suiviDi[#Data],COLUMN((T_suiviDi[Email])),FALSE),"")</f>
        <v>#N/A</v>
      </c>
      <c r="Q240" s="164" t="e">
        <f t="shared" si="40"/>
        <v>#N/A</v>
      </c>
      <c r="R240" s="164" t="e">
        <f t="shared" si="41"/>
        <v>#N/A</v>
      </c>
      <c r="S240" s="164" t="e">
        <f>IF(VLOOKUP(T_BilanSocial[[#This Row],[NumL]],T_suiviDi[#Data],COLUMN(T_suiviDi[[#This Row],[Service ]]),FALSE)="","",VLOOKUP(T_BilanSocial[[#This Row],[NumL]],T_suiviDi[#Data],COLUMN(T_suiviDi[[#This Row],[Service ]]),FALSE))</f>
        <v>#VALUE!</v>
      </c>
      <c r="T240" s="164" t="str">
        <f t="shared" si="36"/>
        <v>01 septembre 2021</v>
      </c>
      <c r="U240" s="164" t="str">
        <f t="shared" si="37"/>
        <v>30 novembre 2021</v>
      </c>
      <c r="V240" s="164" t="str">
        <f t="shared" si="43"/>
        <v>30 novembre 2021</v>
      </c>
      <c r="W240" s="176" t="e">
        <f>IF(VLOOKUP(T_BilanSocial[[#This Row],[NumL]],T_TraitDi[#Data],COLUMN(T_TraitDi[[#This Row],[M1]]),FALSE)="","",VLOOKUP(T_BilanSocial[[#This Row],[NumL]],T_TraitDi[#Data],COLUMN(T_TraitDi[[#This Row],[M1]]),FALSE))</f>
        <v>#VALUE!</v>
      </c>
      <c r="X240" s="176" t="e">
        <f>IF(VLOOKUP(T_BilanSocial[[#This Row],[NumL]],T_TraitDi[#Data],COLUMN(T_TraitDi[[#This Row],[M2]]),FALSE)="","",VLOOKUP(T_BilanSocial[[#This Row],[NumL]],T_TraitDi[#Data],COLUMN(T_TraitDi[[#This Row],[M2]]),FALSE))</f>
        <v>#VALUE!</v>
      </c>
      <c r="Y240" s="176" t="e">
        <f>IF(VLOOKUP(T_BilanSocial[[#This Row],[NumL]],T_TraitDi[#Data],COLUMN(T_TraitDi[[#This Row],[M3]]),FALSE)="","",VLOOKUP(T_BilanSocial[[#This Row],[NumL]],T_TraitDi[#Data],COLUMN(T_TraitDi[[#This Row],[M3]]),FALSE))</f>
        <v>#VALUE!</v>
      </c>
      <c r="Z240" s="176" t="str">
        <f t="shared" si="39"/>
        <v/>
      </c>
      <c r="AA240" s="176" t="e">
        <f>IF(VLOOKUP(T_BilanSocial[[#This Row],[NumL]],T_TraitDi[#Data],COLUMN(T_TraitDi[[#This Row],[M5]]),FALSE)="","",VLOOKUP(T_BilanSocial[[#This Row],[NumL]],T_TraitDi[#Data],COLUMN(T_TraitDi[[#This Row],[M5]]),FALSE))</f>
        <v>#VALUE!</v>
      </c>
      <c r="AB240" s="176" t="e">
        <f>IF(VLOOKUP(T_BilanSocial[[#This Row],[NumL]],T_TraitDi[#Data],COLUMN(T_TraitDi[[#This Row],[M6]]),FALSE)="","",VLOOKUP(T_BilanSocial[[#This Row],[NumL]],T_TraitDi[#Data],COLUMN(T_TraitDi[[#This Row],[M6]]),FALSE))</f>
        <v>#VALUE!</v>
      </c>
      <c r="AC240" s="165" t="e">
        <f t="shared" si="38"/>
        <v>#VALUE!</v>
      </c>
      <c r="AD240" s="188" t="str">
        <f>IFERROR(TEXT(VLOOKUP(T_BilanSocial[[#This Row],[NumL]],T_TraitDi[#Data],COLUMN(T_TraitDi[[#This Row],[Q2]]),FALSE),"###%"),"")</f>
        <v/>
      </c>
      <c r="AE240" s="97" t="e">
        <f>VLOOKUP(T_BilanSocial[[#This Row],[NumL]],T_TraitDi[#Data],COLUMN(T_TraitDi[[#This Row],[Reg Ponct]]),FALSE)</f>
        <v>#VALUE!</v>
      </c>
      <c r="AF240" s="97" t="e">
        <f>VLOOKUP(T_BilanSocial[NumL],T_TraitDi[#Data],COLUMN(T_TraitDi[[#This Row],[Jours flottants]]),FALSE)</f>
        <v>#VALUE!</v>
      </c>
      <c r="AG240" s="97" t="str">
        <f>IFERROR(VLOOKUP(T_BilanSocial[[#This Row],[NumL]],T_TraitDi[#Data],COLUMN(T_TraitDi[[#This Row],[Lundi]]),FALSE),"")</f>
        <v/>
      </c>
      <c r="AH240" s="172" t="e">
        <f>IF(VLOOKUP(T_BilanSocial[[#This Row],[NumL]],T_TraitDi[#Data],COLUMN(T_TraitDi[[#This Row],[Colonne3]]),FALSE)=0,"",TEXT(IFERROR(VLOOKUP(T_BilanSocial[[#This Row],[NumL]],T_TraitDi[#Data],COLUMN(T_TraitDi[[#This Row],[Colonne3]]),FALSE),""),"[hh]:mm"))</f>
        <v>#VALUE!</v>
      </c>
      <c r="AI240" s="172" t="e">
        <f>IF(VLOOKUP(T_BilanSocial[[#This Row],[NumL]],T_TraitDi[#Data],COLUMN(T_TraitDi[[#This Row],[Colonne4]]),FALSE)=0,"",TEXT(IFERROR(VLOOKUP(T_BilanSocial[[#This Row],[NumL]],T_TraitDi[#Data],COLUMN(T_TraitDi[[#This Row],[Colonne4]]),FALSE),""),"[hh]:mm"))</f>
        <v>#VALUE!</v>
      </c>
      <c r="AJ240" s="172" t="e">
        <f>IF(VLOOKUP(T_BilanSocial[[#This Row],[NumL]],T_TraitDi[#Data],COLUMN(T_TraitDi[[#This Row],[Colonne5]]),FALSE)=0,"",TEXT(IFERROR(VLOOKUP(T_BilanSocial[[#This Row],[NumL]],T_TraitDi[#Data],COLUMN(T_TraitDi[[#This Row],[Colonne5]]),FALSE),""),"[hh]:mm"))</f>
        <v>#VALUE!</v>
      </c>
      <c r="AK240" s="172" t="e">
        <f>IF(VLOOKUP(T_BilanSocial[[#This Row],[NumL]],T_TraitDi[#Data],COLUMN(T_TraitDi[[#This Row],[Colonne6]]),FALSE)=0,"",TEXT(IFERROR(VLOOKUP(T_BilanSocial[[#This Row],[NumL]],T_TraitDi[#Data],COLUMN(T_TraitDi[[#This Row],[Colonne6]]),FALSE),""),"[hh]:mm"))</f>
        <v>#VALUE!</v>
      </c>
      <c r="AL240" s="172" t="e">
        <f>IF(VLOOKUP(T_BilanSocial[[#This Row],[NumL]],T_TraitDi[#Data],COLUMN(T_TraitDi[[#This Row],[Colonne7]]),FALSE)=0,"",TEXT(IFERROR(VLOOKUP(T_BilanSocial[[#This Row],[NumL]],T_TraitDi[#Data],COLUMN(T_TraitDi[[#This Row],[Colonne7]]),FALSE),""),"[hh]:mm"))</f>
        <v>#VALUE!</v>
      </c>
      <c r="AM240" s="172" t="e">
        <f>IF(VLOOKUP(T_BilanSocial[[#This Row],[NumL]],T_TraitDi[#Data],COLUMN(T_TraitDi[[#This Row],[Colonne8]]),FALSE)=0,"",TEXT(IFERROR(VLOOKUP(T_BilanSocial[[#This Row],[NumL]],T_TraitDi[#Data],COLUMN(T_TraitDi[[#This Row],[Colonne8]]),FALSE),""),"[hh]:mm"))</f>
        <v>#VALUE!</v>
      </c>
      <c r="AN240" s="172" t="str">
        <f>IFERROR(VLOOKUP(T_BilanSocial[[#This Row],[NumL]],T_TraitDi[#Data],COLUMN(T_TraitDi[[#This Row],[Mardi]]),FALSE),"")</f>
        <v/>
      </c>
      <c r="AO240" s="172" t="e">
        <f>IF(VLOOKUP(T_BilanSocial[[#This Row],[NumL]],T_TraitDi[#Data],COLUMN(T_TraitDi[[#This Row],[Colonne1]]),FALSE)=0,"",TEXT(IFERROR(VLOOKUP(T_BilanSocial[[#This Row],[NumL]],T_TraitDi[#Data],COLUMN(T_TraitDi[[#This Row],[Colonne1]]),FALSE),""),"[hh]:mm"))</f>
        <v>#VALUE!</v>
      </c>
      <c r="AP240" s="172" t="e">
        <f>IF(VLOOKUP(T_BilanSocial[[#This Row],[NumL]],T_TraitDi[#Data],COLUMN(T_TraitDi[[#This Row],[Colonne9]]),FALSE)=0,"",TEXT(IFERROR(VLOOKUP(T_BilanSocial[[#This Row],[NumL]],T_TraitDi[#Data],COLUMN(T_TraitDi[[#This Row],[Colonne9]]),FALSE),""),"[hh]:mm"))</f>
        <v>#VALUE!</v>
      </c>
      <c r="AQ240" s="172" t="str">
        <f>IFERROR(VLOOKUP(T_BilanSocial[[#This Row],[NumL]],T_TraitDi[#Data],COLUMN(T_TraitDi[[#This Row],[Colonne10]]),FALSE),"")</f>
        <v/>
      </c>
      <c r="AR240" s="172" t="e">
        <f>IF(VLOOKUP(T_BilanSocial[[#This Row],[NumL]],T_TraitDi[#Data],COLUMN(T_TraitDi[[#This Row],[Colonne11]]),FALSE)=0,"",TEXT(IFERROR(VLOOKUP(T_BilanSocial[[#This Row],[NumL]],T_TraitDi[#Data],COLUMN(T_TraitDi[[#This Row],[Colonne11]]),FALSE),""),"[hh]:mm"))</f>
        <v>#VALUE!</v>
      </c>
      <c r="AS240" s="172" t="e">
        <f>IF(VLOOKUP(T_BilanSocial[[#This Row],[NumL]],T_TraitDi[#Data],COLUMN(T_TraitDi[[#This Row],[Colonne12]]),FALSE)=0,"",TEXT(IFERROR(VLOOKUP(T_BilanSocial[[#This Row],[NumL]],T_TraitDi[#Data],COLUMN(T_TraitDi[[#This Row],[Colonne12]]),FALSE),""),"[hh]:mm"))</f>
        <v>#VALUE!</v>
      </c>
      <c r="AT240" s="172" t="e">
        <f>IF(VLOOKUP(T_BilanSocial[[#This Row],[NumL]],T_TraitDi[#Data],COLUMN(T_TraitDi[[#This Row],[Colonne14]]),FALSE)=0,"",TEXT(IFERROR(VLOOKUP(T_BilanSocial[[#This Row],[NumL]],T_TraitDi[#Data],COLUMN(T_TraitDi[[#This Row],[Colonne14]]),FALSE),""),"[hh]:mm"))</f>
        <v>#VALUE!</v>
      </c>
      <c r="AU240" s="172" t="str">
        <f>IFERROR(VLOOKUP(T_BilanSocial[[#This Row],[NumL]],T_TraitDi[#Data],COLUMN(T_TraitDi[[#This Row],[Mercredi]]),FALSE),"")</f>
        <v/>
      </c>
      <c r="AV240" s="172" t="e">
        <f>IF(VLOOKUP(T_BilanSocial[[#This Row],[NumL]],T_TraitDi[#Data],COLUMN(T_TraitDi[[#This Row],[Colonne15]]),FALSE)=0,"",TEXT(IFERROR(VLOOKUP(T_BilanSocial[[#This Row],[NumL]],T_TraitDi[#Data],COLUMN(T_TraitDi[[#This Row],[Colonne15]]),FALSE),""),"[hh]:mm"))</f>
        <v>#VALUE!</v>
      </c>
      <c r="AW240" s="172" t="e">
        <f>IF(VLOOKUP(T_BilanSocial[[#This Row],[NumL]],T_TraitDi[#Data],COLUMN(T_TraitDi[[#This Row],[Colonne16]]),FALSE)=0,"",TEXT(IFERROR(VLOOKUP(T_BilanSocial[[#This Row],[NumL]],T_TraitDi[#Data],COLUMN(T_TraitDi[[#This Row],[Colonne16]]),FALSE),""),"[hh]:mm"))</f>
        <v>#VALUE!</v>
      </c>
      <c r="AX240" s="172" t="str">
        <f>IFERROR(VLOOKUP(T_BilanSocial[[#This Row],[NumL]],T_TraitDi[#Data],COLUMN(T_TraitDi[[#This Row],[Colonne17]]),FALSE),"")</f>
        <v/>
      </c>
      <c r="AY240" s="172" t="e">
        <f>IF(VLOOKUP(T_BilanSocial[[#This Row],[NumL]],T_TraitDi[#Data],COLUMN(T_TraitDi[[#This Row],[Colonne18]]),FALSE)=0,"",TEXT(IFERROR(VLOOKUP(T_BilanSocial[[#This Row],[NumL]],T_TraitDi[#Data],COLUMN(T_TraitDi[[#This Row],[Colonne18]]),FALSE),""),"[hh]:mm"))</f>
        <v>#VALUE!</v>
      </c>
      <c r="AZ240" s="172" t="e">
        <f>IF(VLOOKUP(T_BilanSocial[[#This Row],[NumL]],T_TraitDi[#Data],COLUMN(T_TraitDi[[#This Row],[Colonne19]]),FALSE)=0,"",TEXT(IFERROR(VLOOKUP(T_BilanSocial[[#This Row],[NumL]],T_TraitDi[#Data],COLUMN(T_TraitDi[[#This Row],[Colonne19]]),FALSE),""),"[hh]:mm"))</f>
        <v>#VALUE!</v>
      </c>
      <c r="BA240" s="172" t="e">
        <f>IF(VLOOKUP(T_BilanSocial[[#This Row],[NumL]],T_TraitDi[#Data],COLUMN(T_TraitDi[[#This Row],[Colonne20]]),FALSE)=0,"",TEXT(IFERROR(VLOOKUP(T_BilanSocial[[#This Row],[NumL]],T_TraitDi[#Data],COLUMN(T_TraitDi[[#This Row],[Colonne20]]),FALSE),""),"[hh]:mm"))</f>
        <v>#VALUE!</v>
      </c>
      <c r="BB240" s="178" t="str">
        <f>IFERROR(VLOOKUP(T_BilanSocial[[#This Row],[NumL]],T_TraitDi[#Data],COLUMN(T_TraitDi[[#This Row],[Jeudi]]),FALSE),"")</f>
        <v/>
      </c>
      <c r="BC240" s="178" t="e">
        <f>IF(VLOOKUP(T_BilanSocial[[#This Row],[NumL]],T_TraitDi[#Data],COLUMN(T_TraitDi[[#This Row],[Colonne21]]),FALSE)=0,"",TEXT(IFERROR(VLOOKUP(T_BilanSocial[[#This Row],[NumL]],T_TraitDi[#Data],COLUMN(T_TraitDi[[#This Row],[Colonne21]]),FALSE),""),"[hh]:mm"))</f>
        <v>#VALUE!</v>
      </c>
      <c r="BD240" s="178" t="e">
        <f>IF(VLOOKUP(T_BilanSocial[[#This Row],[NumL]],T_TraitDi[#Data],COLUMN(T_TraitDi[[#This Row],[Colonne22]]),FALSE)=0,"",TEXT(IFERROR(VLOOKUP(T_BilanSocial[[#This Row],[NumL]],T_TraitDi[#Data],COLUMN(T_TraitDi[[#This Row],[Colonne22]]),FALSE),""),"[hh]:mm"))</f>
        <v>#VALUE!</v>
      </c>
      <c r="BE240" s="178" t="str">
        <f>IFERROR(VLOOKUP(T_BilanSocial[[#This Row],[NumL]],T_TraitDi[#Data],COLUMN(T_TraitDi[[#This Row],[Colonne23]]),FALSE),"")</f>
        <v/>
      </c>
      <c r="BF240" s="178" t="e">
        <f>IF(VLOOKUP(T_BilanSocial[[#This Row],[NumL]],T_TraitDi[#Data],COLUMN(T_TraitDi[[#This Row],[Colonne24]]),FALSE)=0,"",TEXT(IFERROR(VLOOKUP(T_BilanSocial[[#This Row],[NumL]],T_TraitDi[#Data],COLUMN(T_TraitDi[[#This Row],[Colonne24]]),FALSE),""),"[hh]:mm"))</f>
        <v>#VALUE!</v>
      </c>
      <c r="BG240" s="178" t="e">
        <f>IF(VLOOKUP(T_BilanSocial[[#This Row],[NumL]],T_TraitDi[#Data],COLUMN(T_TraitDi[[#This Row],[Colonne25]]),FALSE)=0,"",TEXT(IFERROR(VLOOKUP(T_BilanSocial[[#This Row],[NumL]],T_TraitDi[#Data],COLUMN(T_TraitDi[[#This Row],[Colonne25]]),FALSE),""),"[hh]:mm"))</f>
        <v>#VALUE!</v>
      </c>
      <c r="BH240" s="178" t="e">
        <f>IF(VLOOKUP(T_BilanSocial[[#This Row],[NumL]],T_TraitDi[#Data],COLUMN(T_TraitDi[[#This Row],[Colonne26]]),FALSE)=0,"",TEXT(IFERROR(VLOOKUP(T_BilanSocial[[#This Row],[NumL]],T_TraitDi[#Data],COLUMN(T_TraitDi[[#This Row],[Colonne26]]),FALSE),""),"[hh]:mm"))</f>
        <v>#VALUE!</v>
      </c>
      <c r="BI240" s="172" t="str">
        <f>IFERROR(VLOOKUP(T_BilanSocial[[#This Row],[NumL]],T_TraitDi[#Data],COLUMN(T_TraitDi[[#This Row],[Vendredi]]),FALSE),"")</f>
        <v/>
      </c>
      <c r="BJ240" s="172" t="e">
        <f>IF(VLOOKUP(T_BilanSocial[[#This Row],[NumL]],T_TraitDi[#Data],COLUMN(T_TraitDi[[#This Row],[Colonne27]]),FALSE)=0,"",TEXT(IFERROR(VLOOKUP(T_BilanSocial[[#This Row],[NumL]],T_TraitDi[#Data],COLUMN(T_TraitDi[[#This Row],[Colonne27]]),FALSE),""),"[hh]:mm"))</f>
        <v>#VALUE!</v>
      </c>
      <c r="BK240" s="172" t="e">
        <f>IF(VLOOKUP(T_BilanSocial[[#This Row],[NumL]],T_TraitDi[#Data],COLUMN(T_TraitDi[[#This Row],[Colonne28]]),FALSE)=0,"",TEXT(IFERROR(VLOOKUP(T_BilanSocial[[#This Row],[NumL]],T_TraitDi[#Data],COLUMN(T_TraitDi[[#This Row],[Colonne28]]),FALSE),""),"[hh]:mm"))</f>
        <v>#VALUE!</v>
      </c>
      <c r="BL240" s="172" t="str">
        <f>IFERROR(VLOOKUP(T_BilanSocial[[#This Row],[NumL]],T_TraitDi[#Data],COLUMN(T_TraitDi[[#This Row],[Colonne29]]),FALSE),"")</f>
        <v/>
      </c>
      <c r="BM240" s="172" t="e">
        <f>IF(VLOOKUP(T_BilanSocial[[#This Row],[NumL]],T_TraitDi[#Data],COLUMN(T_TraitDi[[#This Row],[Colonne30]]),FALSE)=0,"",TEXT(IFERROR(VLOOKUP(T_BilanSocial[[#This Row],[NumL]],T_TraitDi[#Data],COLUMN(T_TraitDi[[#This Row],[Colonne30]]),FALSE),""),"[hh]:mm"))</f>
        <v>#VALUE!</v>
      </c>
      <c r="BN240" s="172" t="e">
        <f>IF(VLOOKUP(T_BilanSocial[[#This Row],[NumL]],T_TraitDi[#Data],COLUMN(T_TraitDi[[#This Row],[Colonne31]]),FALSE)=0,"",TEXT(IFERROR(VLOOKUP(T_BilanSocial[[#This Row],[NumL]],T_TraitDi[#Data],COLUMN(T_TraitDi[[#This Row],[Colonne31]]),FALSE),""),"[hh]:mm"))</f>
        <v>#VALUE!</v>
      </c>
      <c r="BO240" s="172" t="e">
        <f>IF(VLOOKUP(T_BilanSocial[[#This Row],[NumL]],T_TraitDi[#Data],COLUMN(T_TraitDi[[#This Row],[Colonne32]]),FALSE)=0,"",TEXT(IFERROR(VLOOKUP(T_BilanSocial[[#This Row],[NumL]],T_TraitDi[#Data],COLUMN(T_TraitDi[[#This Row],[Colonne32]]),FALSE),""),"[hh]:mm"))</f>
        <v>#VALUE!</v>
      </c>
      <c r="BP240" s="172" t="e">
        <f>VLOOKUP(T_BilanSocial[[#This Row],[NumL]],T_TraitDi[#Data],COLUMN(T_TraitDi[NbJTot]),FALSE)</f>
        <v>#N/A</v>
      </c>
      <c r="BQ240" s="174" t="str">
        <f>IFERROR(VLOOKUP(T_BilanSocial[[#This Row],[NumL]],T_TraitDi[#Data],COLUMN(T_TraitDi[[#This Row],[NbJTW]]),FALSE),"")</f>
        <v/>
      </c>
      <c r="BR240" s="174" t="e">
        <f>IF(VLOOKUP(T_BilanSocial[[#This Row],[NumL]],T_TraitDi[#Data],COLUMN(T_TraitDi[[#This Row],[NbhTW]]),FALSE)=0,"",TEXT(IFERROR(VLOOKUP(T_BilanSocial[[#This Row],[NumL]],T_TraitDi[#Data],COLUMN(T_TraitDi[[#This Row],[NbhTW]]),FALSE),""),"[hh]:mm"))</f>
        <v>#VALUE!</v>
      </c>
      <c r="BS240" s="174" t="e">
        <f>IF(VLOOKUP(T_BilanSocial[[#This Row],[NumL]],T_TraitDi[#Data],COLUMN(T_TraitDi[[#This Row],[Nbhheb]]),FALSE)=0,"",TEXT(IFERROR(VLOOKUP($A240,T_TraitDi[#Data],COLUMN(T_TraitDi[[#This Row],[Nbhheb]]),FALSE),""),"[hh]:mm"))</f>
        <v>#VALUE!</v>
      </c>
      <c r="BT240" s="182" t="str">
        <f>IFERROR(VLOOKUP(VLOOKUP($A240,T_TraitDi[#Data],COLUMN(T_TraitDi[[#This Row],[Type1]]),FALSE),TypeTW,2,FALSE),"")</f>
        <v/>
      </c>
      <c r="BU240" s="182" t="str">
        <f>IFERROR(VLOOKUP($A240,T_TraitDi[#Data],COLUMN(T_TraitDi[[#This Row],[Rue1]]),FALSE),"")</f>
        <v/>
      </c>
      <c r="BV240" s="173" t="str">
        <f>IFERROR(VLOOKUP($A240,T_TraitDi[#Data],COLUMN(T_TraitDi[[#This Row],[CP1]]),FALSE),"")</f>
        <v/>
      </c>
      <c r="BW240" s="173" t="str">
        <f>IFERROR(VLOOKUP($A240,T_TraitDi[#Data],COLUMN(T_TraitDi[[#This Row],[VILLE1]]),FALSE),"")</f>
        <v/>
      </c>
      <c r="BX240" s="182" t="str">
        <f>IFERROR(VLOOKUP(VLOOKUP($A240,T_TraitDi[#Data],COLUMN(T_TraitDi[[#This Row],[Type2]]),FALSE),TypeTW,2,FALSE),"")</f>
        <v/>
      </c>
      <c r="BY240" s="182" t="str">
        <f>IFERROR(VLOOKUP($A240,T_TraitDi[#Data],COLUMN(T_TraitDi[[#This Row],[Rue2]]),FALSE),"")</f>
        <v/>
      </c>
      <c r="BZ240" s="173" t="str">
        <f>IFERROR(VLOOKUP($A240,T_TraitDi[#Data],COLUMN(T_TraitDi[[#This Row],[CP2]]),FALSE),"")</f>
        <v/>
      </c>
      <c r="CA240" s="173" t="str">
        <f>IFERROR(VLOOKUP($A240,T_TraitDi[#Data],COLUMN(T_TraitDi[[#This Row],[VILLE2]]),FALSE),"")</f>
        <v/>
      </c>
      <c r="CB240" s="182" t="e">
        <f>IF(VLOOKUP(T_BilanSocial[[#This Row],[NumL]],T_Equipement[#Data],COLUMN(T_Equipement[[#This Row],[PC]]),FALSE)="","Aucun équipement spécifique directement lié au télétravail",VLOOKUP(T_BilanSocial[[#This Row],[NumL]],T_Equipement[#Data],COLUMN(T_Equipement[[#This Row],[PC]]),FALSE))</f>
        <v>#N/A</v>
      </c>
      <c r="CC240" s="166" t="str">
        <f>IFERROR(IF(VLOOKUP(T_BilanSocial[[#This Row],[NumL]],T_TraitDi[#Data],COLUMN(T_TraitDi[[#This Row],[Plan]]),FALSE)="OK","Un planning spécifique de télétravail est annexé à la présente convention.",""),"")</f>
        <v/>
      </c>
      <c r="CD240" s="258" t="s">
        <v>3431</v>
      </c>
      <c r="CE240" s="164" t="e">
        <f>IF(VLOOKUP(T_BilanSocial[[#This Row],[NumL]],T_suiviDi[#Data],COLUMN(T_suiviDi[[#This Row],[Entité]]),FALSE)="","",VLOOKUP(T_BilanSocial[[#This Row],[NumL]],T_suiviDi[#Data],COLUMN(T_suiviDi[[#This Row],[Entité]]),FALSE))</f>
        <v>#VALUE!</v>
      </c>
      <c r="CF240" s="164" t="e">
        <f>IF(VLOOKUP(T_BilanSocial[[#This Row],[NumL]],T_Commission[#Data],COLUMN(T_Commission[[#This Row],[envoi confirm TW]]),FALSE)="","",VLOOKUP(T_BilanSocial[[#This Row],[NumL]],T_Commission[#Data],COLUMN(T_Commission[[#This Row],[envoi confirm TW]]),FALSE))</f>
        <v>#N/A</v>
      </c>
      <c r="CG24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0" s="262" t="e">
        <f>T_BilanSocial[[#This Row],[Nom]]&amp;T_BilanSocial[[#This Row],[Prenom]]</f>
        <v>#N/A</v>
      </c>
      <c r="CI240" s="262" t="e">
        <f>VLOOKUP(T_BilanSocial[[#This Row],[NumL]],T_Commission[#Data],COLUMN(T_Commission[Commentaire]),FALSE)</f>
        <v>#N/A</v>
      </c>
      <c r="CJ240" s="262" t="e">
        <f>IF(VLOOKUP(T_BilanSocial[[#This Row],[NumL]],T_Commission[#Data],COLUMN(T_Commission[Encadrant Email]),FALSE)="","",VLOOKUP(T_BilanSocial[[#This Row],[NumL]],T_Commission[#Data],COLUMN(T_Commission[Encadrant Email]),FALSE))</f>
        <v>#N/A</v>
      </c>
      <c r="CK240" s="340" t="e">
        <f>IF(T_BilanSocial[[#This Row],[Final]]&lt;&gt;"",VLOOKUP(T_BilanSocial[[#This Row],[NumL]],T_suiviDi[#Data],COLUMN((T_suiviDi[Statut])),FALSE),"")</f>
        <v>#N/A</v>
      </c>
    </row>
    <row r="241" spans="1:89" s="106" customFormat="1" ht="24.75" customHeight="1" x14ac:dyDescent="0.25">
      <c r="A241" s="160">
        <v>238</v>
      </c>
      <c r="B241" s="161" t="str">
        <f t="shared" si="34"/>
        <v/>
      </c>
      <c r="C241" s="162" t="s">
        <v>173</v>
      </c>
      <c r="D241" s="95" t="e">
        <f>IF(VLOOKUP(T_BilanSocial[[#This Row],[NumL]],T_TraitDi[#Data],COLUMN(T_TraitDi[[#This Row],[WebC]]),FALSE)="","",VLOOKUP(T_BilanSocial[[#This Row],[NumL]],T_TraitDi[#Data],COLUMN(T_TraitDi[[#This Row],[WebC]]),FALSE))</f>
        <v>#VALUE!</v>
      </c>
      <c r="E241" s="163" t="str">
        <f t="shared" si="35"/>
        <v>12 janvier 2021</v>
      </c>
      <c r="F241" s="96" t="str">
        <f>IF(T_BilanSocial[[#This Row],[Final]]&lt;&gt;"",VLOOKUP(T_BilanSocial[[#This Row],[NumL]],T_suiviDi[#Data],COLUMN((T_suiviDi[Civ.])),FALSE),"")</f>
        <v/>
      </c>
      <c r="G241" s="96" t="str">
        <f>IF(T_BilanSocial[[#This Row],[Final]]&lt;&gt;"",VLOOKUP(T_BilanSocial[[#This Row],[NumL]],T_suiviDi[#Data],COLUMN((T_suiviDi[Nom])),FALSE),"")</f>
        <v/>
      </c>
      <c r="H241" s="96" t="str">
        <f>IF(T_BilanSocial[[#This Row],[Final]]&lt;&gt;"",VLOOKUP(T_BilanSocial[[#This Row],[NumL]],T_suiviDi[#Data],COLUMN((T_suiviDi[Prénom])),FALSE),"")</f>
        <v/>
      </c>
      <c r="I241" s="96" t="str">
        <f>IFERROR(VLOOKUP(T_BilanSocial[[#This Row],[Zone_Bilan]],T_P_BilanSocial[#Data],COLUMN(T_P_BilanSocial[[#This Row],[Numero_SIHAM]]),FALSE),"")</f>
        <v/>
      </c>
      <c r="J241" s="96" t="str">
        <f>IFERROR(VLOOKUP(T_BilanSocial[[#This Row],[Zone_Bilan]],T_P_BilanSocial[#Data],COLUMN(T_P_BilanSocial[[#This Row],[Sexe]]),FALSE),"")</f>
        <v/>
      </c>
      <c r="K241" s="97" t="str">
        <f>IFERROR(VLOOKUP(T_BilanSocial[[#This Row],[Zone_Bilan]],T_P_BilanSocial[#Data],COLUMN(T_P_BilanSocial[[#This Row],[Categorie]]),FALSE),"")</f>
        <v/>
      </c>
      <c r="L241" s="96" t="str">
        <f>IFERROR(VLOOKUP(T_BilanSocial[[#This Row],[Zone_Bilan]],T_P_BilanSocial[#Data],COLUMN(T_P_BilanSocial[[#This Row],[Statut]]),FALSE),"")</f>
        <v/>
      </c>
      <c r="M241" s="96" t="str">
        <f>IFERROR(VLOOKUP(T_BilanSocial[[#This Row],[Zone_Bilan]],T_P_BilanSocial[#Data],COLUMN(T_P_BilanSocial[[#This Row],[Filiere]]),FALSE),"")</f>
        <v/>
      </c>
      <c r="N241" s="96" t="e">
        <f>VLOOKUP(T_BilanSocial[[#This Row],[NumL]],T_TraitDi[#Data],COLUMN(T_TraitDi[EXP]),FALSE)</f>
        <v>#N/A</v>
      </c>
      <c r="O241" s="96" t="e">
        <f>VLOOKUP(T_BilanSocial[[#This Row],[NumL]],T_TraitDi[#Data],COLUMN(T_TraitDi[FORM]),FALSE)</f>
        <v>#N/A</v>
      </c>
      <c r="P241" s="96" t="str">
        <f>IF(T_BilanSocial[[#This Row],[Final]]&lt;&gt;"",VLOOKUP(T_BilanSocial[[#This Row],[NumL]],T_suiviDi[#Data],COLUMN((T_suiviDi[Email])),FALSE),"")</f>
        <v/>
      </c>
      <c r="Q241" s="164" t="e">
        <f t="shared" si="40"/>
        <v>#N/A</v>
      </c>
      <c r="R241" s="164" t="e">
        <f t="shared" si="41"/>
        <v>#N/A</v>
      </c>
      <c r="S241" s="164" t="e">
        <f>IF(VLOOKUP(T_BilanSocial[[#This Row],[NumL]],T_suiviDi[#Data],COLUMN(T_suiviDi[[#This Row],[Service ]]),FALSE)="","",VLOOKUP(T_BilanSocial[[#This Row],[NumL]],T_suiviDi[#Data],COLUMN(T_suiviDi[[#This Row],[Service ]]),FALSE))</f>
        <v>#VALUE!</v>
      </c>
      <c r="T241" s="164" t="str">
        <f t="shared" si="36"/>
        <v>01 septembre 2021</v>
      </c>
      <c r="U241" s="164" t="str">
        <f t="shared" si="37"/>
        <v>30 novembre 2021</v>
      </c>
      <c r="V241" s="96" t="str">
        <f t="shared" si="43"/>
        <v>30 novembre 2021</v>
      </c>
      <c r="W241" s="176" t="e">
        <f>IF(VLOOKUP(T_BilanSocial[[#This Row],[NumL]],T_TraitDi[#Data],COLUMN(T_TraitDi[[#This Row],[M1]]),FALSE)="","",VLOOKUP(T_BilanSocial[[#This Row],[NumL]],T_TraitDi[#Data],COLUMN(T_TraitDi[[#This Row],[M1]]),FALSE))</f>
        <v>#VALUE!</v>
      </c>
      <c r="X241" s="176" t="e">
        <f>IF(VLOOKUP(T_BilanSocial[[#This Row],[NumL]],T_TraitDi[#Data],COLUMN(T_TraitDi[[#This Row],[M2]]),FALSE)="","",VLOOKUP(T_BilanSocial[[#This Row],[NumL]],T_TraitDi[#Data],COLUMN(T_TraitDi[[#This Row],[M2]]),FALSE))</f>
        <v>#VALUE!</v>
      </c>
      <c r="Y241" s="176" t="e">
        <f>IF(VLOOKUP(T_BilanSocial[[#This Row],[NumL]],T_TraitDi[#Data],COLUMN(T_TraitDi[[#This Row],[M3]]),FALSE)="","",VLOOKUP(T_BilanSocial[[#This Row],[NumL]],T_TraitDi[#Data],COLUMN(T_TraitDi[[#This Row],[M3]]),FALSE))</f>
        <v>#VALUE!</v>
      </c>
      <c r="Z241" s="176" t="str">
        <f t="shared" si="39"/>
        <v/>
      </c>
      <c r="AA241" s="176" t="e">
        <f>IF(VLOOKUP(T_BilanSocial[[#This Row],[NumL]],T_TraitDi[#Data],COLUMN(T_TraitDi[[#This Row],[M5]]),FALSE)="","",VLOOKUP(T_BilanSocial[[#This Row],[NumL]],T_TraitDi[#Data],COLUMN(T_TraitDi[[#This Row],[M5]]),FALSE))</f>
        <v>#VALUE!</v>
      </c>
      <c r="AB241" s="176" t="e">
        <f>IF(VLOOKUP(T_BilanSocial[[#This Row],[NumL]],T_TraitDi[#Data],COLUMN(T_TraitDi[[#This Row],[M6]]),FALSE)="","",VLOOKUP(T_BilanSocial[[#This Row],[NumL]],T_TraitDi[#Data],COLUMN(T_TraitDi[[#This Row],[M6]]),FALSE))</f>
        <v>#VALUE!</v>
      </c>
      <c r="AC241" s="165" t="e">
        <f t="shared" si="38"/>
        <v>#VALUE!</v>
      </c>
      <c r="AD241" s="188" t="str">
        <f>IFERROR(TEXT(VLOOKUP(T_BilanSocial[[#This Row],[NumL]],T_TraitDi[#Data],COLUMN(T_TraitDi[[#This Row],[Q2]]),FALSE),"###%"),"")</f>
        <v/>
      </c>
      <c r="AE241" s="97" t="e">
        <f>VLOOKUP(T_BilanSocial[[#This Row],[NumL]],T_TraitDi[#Data],COLUMN(T_TraitDi[[#This Row],[Reg Ponct]]),FALSE)</f>
        <v>#VALUE!</v>
      </c>
      <c r="AF241" s="97" t="e">
        <f>VLOOKUP(T_BilanSocial[NumL],T_TraitDi[#Data],COLUMN(T_TraitDi[[#This Row],[Jours flottants]]),FALSE)</f>
        <v>#VALUE!</v>
      </c>
      <c r="AG241" s="97" t="str">
        <f>IFERROR(VLOOKUP(T_BilanSocial[[#This Row],[NumL]],T_TraitDi[#Data],COLUMN(T_TraitDi[[#This Row],[Lundi]]),FALSE),"")</f>
        <v/>
      </c>
      <c r="AH241" s="172" t="e">
        <f>IF(VLOOKUP(T_BilanSocial[[#This Row],[NumL]],T_TraitDi[#Data],COLUMN(T_TraitDi[[#This Row],[Colonne3]]),FALSE)=0,"",TEXT(IFERROR(VLOOKUP(T_BilanSocial[[#This Row],[NumL]],T_TraitDi[#Data],COLUMN(T_TraitDi[[#This Row],[Colonne3]]),FALSE),""),"[hh]:mm"))</f>
        <v>#VALUE!</v>
      </c>
      <c r="AI241" s="172" t="e">
        <f>IF(VLOOKUP(T_BilanSocial[[#This Row],[NumL]],T_TraitDi[#Data],COLUMN(T_TraitDi[[#This Row],[Colonne4]]),FALSE)=0,"",TEXT(IFERROR(VLOOKUP(T_BilanSocial[[#This Row],[NumL]],T_TraitDi[#Data],COLUMN(T_TraitDi[[#This Row],[Colonne4]]),FALSE),""),"[hh]:mm"))</f>
        <v>#VALUE!</v>
      </c>
      <c r="AJ241" s="172" t="e">
        <f>IF(VLOOKUP(T_BilanSocial[[#This Row],[NumL]],T_TraitDi[#Data],COLUMN(T_TraitDi[[#This Row],[Colonne5]]),FALSE)=0,"",TEXT(IFERROR(VLOOKUP(T_BilanSocial[[#This Row],[NumL]],T_TraitDi[#Data],COLUMN(T_TraitDi[[#This Row],[Colonne5]]),FALSE),""),"[hh]:mm"))</f>
        <v>#VALUE!</v>
      </c>
      <c r="AK241" s="172" t="e">
        <f>IF(VLOOKUP(T_BilanSocial[[#This Row],[NumL]],T_TraitDi[#Data],COLUMN(T_TraitDi[[#This Row],[Colonne6]]),FALSE)=0,"",TEXT(IFERROR(VLOOKUP(T_BilanSocial[[#This Row],[NumL]],T_TraitDi[#Data],COLUMN(T_TraitDi[[#This Row],[Colonne6]]),FALSE),""),"[hh]:mm"))</f>
        <v>#VALUE!</v>
      </c>
      <c r="AL241" s="172" t="e">
        <f>IF(VLOOKUP(T_BilanSocial[[#This Row],[NumL]],T_TraitDi[#Data],COLUMN(T_TraitDi[[#This Row],[Colonne7]]),FALSE)=0,"",TEXT(IFERROR(VLOOKUP(T_BilanSocial[[#This Row],[NumL]],T_TraitDi[#Data],COLUMN(T_TraitDi[[#This Row],[Colonne7]]),FALSE),""),"[hh]:mm"))</f>
        <v>#VALUE!</v>
      </c>
      <c r="AM241" s="172" t="e">
        <f>IF(VLOOKUP(T_BilanSocial[[#This Row],[NumL]],T_TraitDi[#Data],COLUMN(T_TraitDi[[#This Row],[Colonne8]]),FALSE)=0,"",TEXT(IFERROR(VLOOKUP(T_BilanSocial[[#This Row],[NumL]],T_TraitDi[#Data],COLUMN(T_TraitDi[[#This Row],[Colonne8]]),FALSE),""),"[hh]:mm"))</f>
        <v>#VALUE!</v>
      </c>
      <c r="AN241" s="172" t="str">
        <f>IFERROR(VLOOKUP(T_BilanSocial[[#This Row],[NumL]],T_TraitDi[#Data],COLUMN(T_TraitDi[[#This Row],[Mardi]]),FALSE),"")</f>
        <v/>
      </c>
      <c r="AO241" s="172" t="e">
        <f>IF(VLOOKUP(T_BilanSocial[[#This Row],[NumL]],T_TraitDi[#Data],COLUMN(T_TraitDi[[#This Row],[Colonne1]]),FALSE)=0,"",TEXT(IFERROR(VLOOKUP(T_BilanSocial[[#This Row],[NumL]],T_TraitDi[#Data],COLUMN(T_TraitDi[[#This Row],[Colonne1]]),FALSE),""),"[hh]:mm"))</f>
        <v>#VALUE!</v>
      </c>
      <c r="AP241" s="172" t="e">
        <f>IF(VLOOKUP(T_BilanSocial[[#This Row],[NumL]],T_TraitDi[#Data],COLUMN(T_TraitDi[[#This Row],[Colonne9]]),FALSE)=0,"",TEXT(IFERROR(VLOOKUP(T_BilanSocial[[#This Row],[NumL]],T_TraitDi[#Data],COLUMN(T_TraitDi[[#This Row],[Colonne9]]),FALSE),""),"[hh]:mm"))</f>
        <v>#VALUE!</v>
      </c>
      <c r="AQ241" s="172" t="str">
        <f>IFERROR(VLOOKUP(T_BilanSocial[[#This Row],[NumL]],T_TraitDi[#Data],COLUMN(T_TraitDi[[#This Row],[Colonne10]]),FALSE),"")</f>
        <v/>
      </c>
      <c r="AR241" s="172" t="e">
        <f>IF(VLOOKUP(T_BilanSocial[[#This Row],[NumL]],T_TraitDi[#Data],COLUMN(T_TraitDi[[#This Row],[Colonne11]]),FALSE)=0,"",TEXT(IFERROR(VLOOKUP(T_BilanSocial[[#This Row],[NumL]],T_TraitDi[#Data],COLUMN(T_TraitDi[[#This Row],[Colonne11]]),FALSE),""),"[hh]:mm"))</f>
        <v>#VALUE!</v>
      </c>
      <c r="AS241" s="172" t="e">
        <f>IF(VLOOKUP(T_BilanSocial[[#This Row],[NumL]],T_TraitDi[#Data],COLUMN(T_TraitDi[[#This Row],[Colonne12]]),FALSE)=0,"",TEXT(IFERROR(VLOOKUP(T_BilanSocial[[#This Row],[NumL]],T_TraitDi[#Data],COLUMN(T_TraitDi[[#This Row],[Colonne12]]),FALSE),""),"[hh]:mm"))</f>
        <v>#VALUE!</v>
      </c>
      <c r="AT241" s="172" t="e">
        <f>IF(VLOOKUP(T_BilanSocial[[#This Row],[NumL]],T_TraitDi[#Data],COLUMN(T_TraitDi[[#This Row],[Colonne14]]),FALSE)=0,"",TEXT(IFERROR(VLOOKUP(T_BilanSocial[[#This Row],[NumL]],T_TraitDi[#Data],COLUMN(T_TraitDi[[#This Row],[Colonne14]]),FALSE),""),"[hh]:mm"))</f>
        <v>#VALUE!</v>
      </c>
      <c r="AU241" s="172" t="str">
        <f>IFERROR(VLOOKUP(T_BilanSocial[[#This Row],[NumL]],T_TraitDi[#Data],COLUMN(T_TraitDi[[#This Row],[Mercredi]]),FALSE),"")</f>
        <v/>
      </c>
      <c r="AV241" s="172" t="e">
        <f>IF(VLOOKUP(T_BilanSocial[[#This Row],[NumL]],T_TraitDi[#Data],COLUMN(T_TraitDi[[#This Row],[Colonne15]]),FALSE)=0,"",TEXT(IFERROR(VLOOKUP(T_BilanSocial[[#This Row],[NumL]],T_TraitDi[#Data],COLUMN(T_TraitDi[[#This Row],[Colonne15]]),FALSE),""),"[hh]:mm"))</f>
        <v>#VALUE!</v>
      </c>
      <c r="AW241" s="172" t="e">
        <f>IF(VLOOKUP(T_BilanSocial[[#This Row],[NumL]],T_TraitDi[#Data],COLUMN(T_TraitDi[[#This Row],[Colonne16]]),FALSE)=0,"",TEXT(IFERROR(VLOOKUP(T_BilanSocial[[#This Row],[NumL]],T_TraitDi[#Data],COLUMN(T_TraitDi[[#This Row],[Colonne16]]),FALSE),""),"[hh]:mm"))</f>
        <v>#VALUE!</v>
      </c>
      <c r="AX241" s="172" t="str">
        <f>IFERROR(VLOOKUP(T_BilanSocial[[#This Row],[NumL]],T_TraitDi[#Data],COLUMN(T_TraitDi[[#This Row],[Colonne17]]),FALSE),"")</f>
        <v/>
      </c>
      <c r="AY241" s="172" t="e">
        <f>IF(VLOOKUP(T_BilanSocial[[#This Row],[NumL]],T_TraitDi[#Data],COLUMN(T_TraitDi[[#This Row],[Colonne18]]),FALSE)=0,"",TEXT(IFERROR(VLOOKUP(T_BilanSocial[[#This Row],[NumL]],T_TraitDi[#Data],COLUMN(T_TraitDi[[#This Row],[Colonne18]]),FALSE),""),"[hh]:mm"))</f>
        <v>#VALUE!</v>
      </c>
      <c r="AZ241" s="172" t="e">
        <f>IF(VLOOKUP(T_BilanSocial[[#This Row],[NumL]],T_TraitDi[#Data],COLUMN(T_TraitDi[[#This Row],[Colonne19]]),FALSE)=0,"",TEXT(IFERROR(VLOOKUP(T_BilanSocial[[#This Row],[NumL]],T_TraitDi[#Data],COLUMN(T_TraitDi[[#This Row],[Colonne19]]),FALSE),""),"[hh]:mm"))</f>
        <v>#VALUE!</v>
      </c>
      <c r="BA241" s="172" t="e">
        <f>IF(VLOOKUP(T_BilanSocial[[#This Row],[NumL]],T_TraitDi[#Data],COLUMN(T_TraitDi[[#This Row],[Colonne20]]),FALSE)=0,"",TEXT(IFERROR(VLOOKUP(T_BilanSocial[[#This Row],[NumL]],T_TraitDi[#Data],COLUMN(T_TraitDi[[#This Row],[Colonne20]]),FALSE),""),"[hh]:mm"))</f>
        <v>#VALUE!</v>
      </c>
      <c r="BB241" s="178" t="str">
        <f>IFERROR(VLOOKUP(T_BilanSocial[[#This Row],[NumL]],T_TraitDi[#Data],COLUMN(T_TraitDi[[#This Row],[Jeudi]]),FALSE),"")</f>
        <v/>
      </c>
      <c r="BC241" s="178" t="e">
        <f>IF(VLOOKUP(T_BilanSocial[[#This Row],[NumL]],T_TraitDi[#Data],COLUMN(T_TraitDi[[#This Row],[Colonne21]]),FALSE)=0,"",TEXT(IFERROR(VLOOKUP(T_BilanSocial[[#This Row],[NumL]],T_TraitDi[#Data],COLUMN(T_TraitDi[[#This Row],[Colonne21]]),FALSE),""),"[hh]:mm"))</f>
        <v>#VALUE!</v>
      </c>
      <c r="BD241" s="178" t="e">
        <f>IF(VLOOKUP(T_BilanSocial[[#This Row],[NumL]],T_TraitDi[#Data],COLUMN(T_TraitDi[[#This Row],[Colonne22]]),FALSE)=0,"",TEXT(IFERROR(VLOOKUP(T_BilanSocial[[#This Row],[NumL]],T_TraitDi[#Data],COLUMN(T_TraitDi[[#This Row],[Colonne22]]),FALSE),""),"[hh]:mm"))</f>
        <v>#VALUE!</v>
      </c>
      <c r="BE241" s="178" t="str">
        <f>IFERROR(VLOOKUP(T_BilanSocial[[#This Row],[NumL]],T_TraitDi[#Data],COLUMN(T_TraitDi[[#This Row],[Colonne23]]),FALSE),"")</f>
        <v/>
      </c>
      <c r="BF241" s="178" t="e">
        <f>IF(VLOOKUP(T_BilanSocial[[#This Row],[NumL]],T_TraitDi[#Data],COLUMN(T_TraitDi[[#This Row],[Colonne24]]),FALSE)=0,"",TEXT(IFERROR(VLOOKUP(T_BilanSocial[[#This Row],[NumL]],T_TraitDi[#Data],COLUMN(T_TraitDi[[#This Row],[Colonne24]]),FALSE),""),"[hh]:mm"))</f>
        <v>#VALUE!</v>
      </c>
      <c r="BG241" s="178" t="e">
        <f>IF(VLOOKUP(T_BilanSocial[[#This Row],[NumL]],T_TraitDi[#Data],COLUMN(T_TraitDi[[#This Row],[Colonne25]]),FALSE)=0,"",TEXT(IFERROR(VLOOKUP(T_BilanSocial[[#This Row],[NumL]],T_TraitDi[#Data],COLUMN(T_TraitDi[[#This Row],[Colonne25]]),FALSE),""),"[hh]:mm"))</f>
        <v>#VALUE!</v>
      </c>
      <c r="BH241" s="178" t="e">
        <f>IF(VLOOKUP(T_BilanSocial[[#This Row],[NumL]],T_TraitDi[#Data],COLUMN(T_TraitDi[[#This Row],[Colonne26]]),FALSE)=0,"",TEXT(IFERROR(VLOOKUP(T_BilanSocial[[#This Row],[NumL]],T_TraitDi[#Data],COLUMN(T_TraitDi[[#This Row],[Colonne26]]),FALSE),""),"[hh]:mm"))</f>
        <v>#VALUE!</v>
      </c>
      <c r="BI241" s="172" t="str">
        <f>IFERROR(VLOOKUP(T_BilanSocial[[#This Row],[NumL]],T_TraitDi[#Data],COLUMN(T_TraitDi[[#This Row],[Vendredi]]),FALSE),"")</f>
        <v/>
      </c>
      <c r="BJ241" s="172" t="e">
        <f>IF(VLOOKUP(T_BilanSocial[[#This Row],[NumL]],T_TraitDi[#Data],COLUMN(T_TraitDi[[#This Row],[Colonne27]]),FALSE)=0,"",TEXT(IFERROR(VLOOKUP(T_BilanSocial[[#This Row],[NumL]],T_TraitDi[#Data],COLUMN(T_TraitDi[[#This Row],[Colonne27]]),FALSE),""),"[hh]:mm"))</f>
        <v>#VALUE!</v>
      </c>
      <c r="BK241" s="172" t="e">
        <f>IF(VLOOKUP(T_BilanSocial[[#This Row],[NumL]],T_TraitDi[#Data],COLUMN(T_TraitDi[[#This Row],[Colonne28]]),FALSE)=0,"",TEXT(IFERROR(VLOOKUP(T_BilanSocial[[#This Row],[NumL]],T_TraitDi[#Data],COLUMN(T_TraitDi[[#This Row],[Colonne28]]),FALSE),""),"[hh]:mm"))</f>
        <v>#VALUE!</v>
      </c>
      <c r="BL241" s="172" t="str">
        <f>IFERROR(VLOOKUP(T_BilanSocial[[#This Row],[NumL]],T_TraitDi[#Data],COLUMN(T_TraitDi[[#This Row],[Colonne29]]),FALSE),"")</f>
        <v/>
      </c>
      <c r="BM241" s="172" t="e">
        <f>IF(VLOOKUP(T_BilanSocial[[#This Row],[NumL]],T_TraitDi[#Data],COLUMN(T_TraitDi[[#This Row],[Colonne30]]),FALSE)=0,"",TEXT(IFERROR(VLOOKUP(T_BilanSocial[[#This Row],[NumL]],T_TraitDi[#Data],COLUMN(T_TraitDi[[#This Row],[Colonne30]]),FALSE),""),"[hh]:mm"))</f>
        <v>#VALUE!</v>
      </c>
      <c r="BN241" s="172" t="e">
        <f>IF(VLOOKUP(T_BilanSocial[[#This Row],[NumL]],T_TraitDi[#Data],COLUMN(T_TraitDi[[#This Row],[Colonne31]]),FALSE)=0,"",TEXT(IFERROR(VLOOKUP(T_BilanSocial[[#This Row],[NumL]],T_TraitDi[#Data],COLUMN(T_TraitDi[[#This Row],[Colonne31]]),FALSE),""),"[hh]:mm"))</f>
        <v>#VALUE!</v>
      </c>
      <c r="BO241" s="172" t="e">
        <f>IF(VLOOKUP(T_BilanSocial[[#This Row],[NumL]],T_TraitDi[#Data],COLUMN(T_TraitDi[[#This Row],[Colonne32]]),FALSE)=0,"",TEXT(IFERROR(VLOOKUP(T_BilanSocial[[#This Row],[NumL]],T_TraitDi[#Data],COLUMN(T_TraitDi[[#This Row],[Colonne32]]),FALSE),""),"[hh]:mm"))</f>
        <v>#VALUE!</v>
      </c>
      <c r="BP241" s="172" t="e">
        <f>VLOOKUP(T_BilanSocial[[#This Row],[NumL]],T_TraitDi[#Data],COLUMN(T_TraitDi[NbJTot]),FALSE)</f>
        <v>#N/A</v>
      </c>
      <c r="BQ241" s="174" t="str">
        <f>IFERROR(VLOOKUP(T_BilanSocial[[#This Row],[NumL]],T_TraitDi[#Data],COLUMN(T_TraitDi[[#This Row],[NbJTW]]),FALSE),"")</f>
        <v/>
      </c>
      <c r="BR241" s="174" t="e">
        <f>IF(VLOOKUP(T_BilanSocial[[#This Row],[NumL]],T_TraitDi[#Data],COLUMN(T_TraitDi[[#This Row],[NbhTW]]),FALSE)=0,"",TEXT(IFERROR(VLOOKUP(T_BilanSocial[[#This Row],[NumL]],T_TraitDi[#Data],COLUMN(T_TraitDi[[#This Row],[NbhTW]]),FALSE),""),"[hh]:mm"))</f>
        <v>#VALUE!</v>
      </c>
      <c r="BS241" s="174" t="e">
        <f>IF(VLOOKUP(T_BilanSocial[[#This Row],[NumL]],T_TraitDi[#Data],COLUMN(T_TraitDi[[#This Row],[Nbhheb]]),FALSE)=0,"",TEXT(IFERROR(VLOOKUP($A241,T_TraitDi[#Data],COLUMN(T_TraitDi[[#This Row],[Nbhheb]]),FALSE),""),"[hh]:mm"))</f>
        <v>#VALUE!</v>
      </c>
      <c r="BT241" s="182" t="str">
        <f>IFERROR(VLOOKUP(VLOOKUP($A241,T_TraitDi[#Data],COLUMN(T_TraitDi[[#This Row],[Type1]]),FALSE),TypeTW,2,FALSE),"")</f>
        <v/>
      </c>
      <c r="BU241" s="182" t="str">
        <f>IFERROR(VLOOKUP($A241,T_TraitDi[#Data],COLUMN(T_TraitDi[[#This Row],[Rue1]]),FALSE),"")</f>
        <v/>
      </c>
      <c r="BV241" s="173" t="str">
        <f>IFERROR(VLOOKUP($A241,T_TraitDi[#Data],COLUMN(T_TraitDi[[#This Row],[CP1]]),FALSE),"")</f>
        <v/>
      </c>
      <c r="BW241" s="173" t="str">
        <f>IFERROR(VLOOKUP($A241,T_TraitDi[#Data],COLUMN(T_TraitDi[[#This Row],[VILLE1]]),FALSE),"")</f>
        <v/>
      </c>
      <c r="BX241" s="182" t="str">
        <f>IFERROR(VLOOKUP(VLOOKUP($A241,T_TraitDi[#Data],COLUMN(T_TraitDi[[#This Row],[Type2]]),FALSE),TypeTW,2,FALSE),"")</f>
        <v/>
      </c>
      <c r="BY241" s="182" t="str">
        <f>IFERROR(VLOOKUP($A241,T_TraitDi[#Data],COLUMN(T_TraitDi[[#This Row],[Rue2]]),FALSE),"")</f>
        <v/>
      </c>
      <c r="BZ241" s="173" t="str">
        <f>IFERROR(VLOOKUP($A241,T_TraitDi[#Data],COLUMN(T_TraitDi[[#This Row],[CP2]]),FALSE),"")</f>
        <v/>
      </c>
      <c r="CA241" s="173" t="str">
        <f>IFERROR(VLOOKUP($A241,T_TraitDi[#Data],COLUMN(T_TraitDi[[#This Row],[VILLE2]]),FALSE),"")</f>
        <v/>
      </c>
      <c r="CB241" s="182" t="str">
        <f>IF(VLOOKUP(T_BilanSocial[[#This Row],[NumL]],T_Equipement[#Data],COLUMN(T_Equipement[[#This Row],[PC]]),FALSE)="","Aucun équipement spécifique directement lié au télétravail",VLOOKUP(T_BilanSocial[[#This Row],[NumL]],T_Equipement[#Data],COLUMN(T_Equipement[[#This Row],[PC]]),FALSE))</f>
        <v xml:space="preserve">	20-368</v>
      </c>
      <c r="CC241" s="166" t="str">
        <f>IFERROR(IF(VLOOKUP(T_BilanSocial[[#This Row],[NumL]],T_TraitDi[#Data],COLUMN(T_TraitDi[[#This Row],[Plan]]),FALSE)="OK","Un planning spécifique de télétravail est annexé à la présente convention.",""),"")</f>
        <v/>
      </c>
      <c r="CD241" s="258" t="s">
        <v>3464</v>
      </c>
      <c r="CE241" s="164" t="e">
        <f>IF(VLOOKUP(T_BilanSocial[[#This Row],[NumL]],T_suiviDi[#Data],COLUMN(T_suiviDi[[#This Row],[Entité]]),FALSE)="","",VLOOKUP(T_BilanSocial[[#This Row],[NumL]],T_suiviDi[#Data],COLUMN(T_suiviDi[[#This Row],[Entité]]),FALSE))</f>
        <v>#VALUE!</v>
      </c>
      <c r="CF241" s="164" t="str">
        <f>IF(VLOOKUP(T_BilanSocial[[#This Row],[NumL]],T_Commission[#Data],COLUMN(T_Commission[[#This Row],[envoi confirm TW]]),FALSE)="","",VLOOKUP(T_BilanSocial[[#This Row],[NumL]],T_Commission[#Data],COLUMN(T_Commission[[#This Row],[envoi confirm TW]]),FALSE))</f>
        <v>Oui</v>
      </c>
      <c r="CG24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1" s="262" t="str">
        <f>T_BilanSocial[[#This Row],[Nom]]&amp;T_BilanSocial[[#This Row],[Prenom]]</f>
        <v/>
      </c>
      <c r="CI241" s="262">
        <f>VLOOKUP(T_BilanSocial[[#This Row],[NumL]],T_Commission[#Data],COLUMN(T_Commission[Commentaire]),FALSE)</f>
        <v>0</v>
      </c>
      <c r="CJ241" s="262" t="str">
        <f>IF(VLOOKUP(T_BilanSocial[[#This Row],[NumL]],T_Commission[#Data],COLUMN(T_Commission[Encadrant Email]),FALSE)="","",VLOOKUP(T_BilanSocial[[#This Row],[NumL]],T_Commission[#Data],COLUMN(T_Commission[Encadrant Email]),FALSE))</f>
        <v/>
      </c>
      <c r="CK241" s="340" t="str">
        <f>IF(T_BilanSocial[[#This Row],[Final]]&lt;&gt;"",VLOOKUP(T_BilanSocial[[#This Row],[NumL]],T_suiviDi[#Data],COLUMN((T_suiviDi[Statut])),FALSE),"")</f>
        <v/>
      </c>
    </row>
    <row r="242" spans="1:89" s="106" customFormat="1" ht="24.75" customHeight="1" x14ac:dyDescent="0.25">
      <c r="A242" s="160">
        <v>239</v>
      </c>
      <c r="B242" s="161" t="str">
        <f t="shared" si="34"/>
        <v/>
      </c>
      <c r="C242" s="162" t="s">
        <v>173</v>
      </c>
      <c r="D242" s="95" t="e">
        <f>IF(VLOOKUP(T_BilanSocial[[#This Row],[NumL]],T_TraitDi[#Data],COLUMN(T_TraitDi[[#This Row],[WebC]]),FALSE)="","",VLOOKUP(T_BilanSocial[[#This Row],[NumL]],T_TraitDi[#Data],COLUMN(T_TraitDi[[#This Row],[WebC]]),FALSE))</f>
        <v>#VALUE!</v>
      </c>
      <c r="E242" s="163" t="str">
        <f t="shared" si="35"/>
        <v>12 janvier 2021</v>
      </c>
      <c r="F242" s="96" t="str">
        <f>IF(T_BilanSocial[[#This Row],[Final]]&lt;&gt;"",VLOOKUP(T_BilanSocial[[#This Row],[NumL]],T_suiviDi[#Data],COLUMN((T_suiviDi[Civ.])),FALSE),"")</f>
        <v/>
      </c>
      <c r="G242" s="96" t="str">
        <f>IF(T_BilanSocial[[#This Row],[Final]]&lt;&gt;"",VLOOKUP(T_BilanSocial[[#This Row],[NumL]],T_suiviDi[#Data],COLUMN((T_suiviDi[Nom])),FALSE),"")</f>
        <v/>
      </c>
      <c r="H242" s="96" t="str">
        <f>IF(T_BilanSocial[[#This Row],[Final]]&lt;&gt;"",VLOOKUP(T_BilanSocial[[#This Row],[NumL]],T_suiviDi[#Data],COLUMN((T_suiviDi[Prénom])),FALSE),"")</f>
        <v/>
      </c>
      <c r="I242" s="96" t="str">
        <f>IFERROR(VLOOKUP(T_BilanSocial[[#This Row],[Zone_Bilan]],T_P_BilanSocial[#Data],COLUMN(T_P_BilanSocial[[#This Row],[Numero_SIHAM]]),FALSE),"")</f>
        <v/>
      </c>
      <c r="J242" s="96" t="str">
        <f>IFERROR(VLOOKUP(T_BilanSocial[[#This Row],[Zone_Bilan]],T_P_BilanSocial[#Data],COLUMN(T_P_BilanSocial[[#This Row],[Sexe]]),FALSE),"")</f>
        <v/>
      </c>
      <c r="K242" s="97" t="str">
        <f>IFERROR(VLOOKUP(T_BilanSocial[[#This Row],[Zone_Bilan]],T_P_BilanSocial[#Data],COLUMN(T_P_BilanSocial[[#This Row],[Categorie]]),FALSE),"")</f>
        <v/>
      </c>
      <c r="L242" s="96" t="str">
        <f>IFERROR(VLOOKUP(T_BilanSocial[[#This Row],[Zone_Bilan]],T_P_BilanSocial[#Data],COLUMN(T_P_BilanSocial[[#This Row],[Statut]]),FALSE),"")</f>
        <v/>
      </c>
      <c r="M242" s="96" t="str">
        <f>IFERROR(VLOOKUP(T_BilanSocial[[#This Row],[Zone_Bilan]],T_P_BilanSocial[#Data],COLUMN(T_P_BilanSocial[[#This Row],[Filiere]]),FALSE),"")</f>
        <v/>
      </c>
      <c r="N242" s="96" t="e">
        <f>VLOOKUP(T_BilanSocial[[#This Row],[NumL]],T_TraitDi[#Data],COLUMN(T_TraitDi[EXP]),FALSE)</f>
        <v>#N/A</v>
      </c>
      <c r="O242" s="96" t="e">
        <f>VLOOKUP(T_BilanSocial[[#This Row],[NumL]],T_TraitDi[#Data],COLUMN(T_TraitDi[FORM]),FALSE)</f>
        <v>#N/A</v>
      </c>
      <c r="P242" s="96" t="str">
        <f>IF(T_BilanSocial[[#This Row],[Final]]&lt;&gt;"",VLOOKUP(T_BilanSocial[[#This Row],[NumL]],T_suiviDi[#Data],COLUMN((T_suiviDi[Email])),FALSE),"")</f>
        <v/>
      </c>
      <c r="Q242" s="164" t="e">
        <f t="shared" si="40"/>
        <v>#N/A</v>
      </c>
      <c r="R242" s="164" t="e">
        <f t="shared" si="41"/>
        <v>#N/A</v>
      </c>
      <c r="S242" s="164" t="e">
        <f>IF(VLOOKUP(T_BilanSocial[[#This Row],[NumL]],T_suiviDi[#Data],COLUMN(T_suiviDi[[#This Row],[Service ]]),FALSE)="","",VLOOKUP(T_BilanSocial[[#This Row],[NumL]],T_suiviDi[#Data],COLUMN(T_suiviDi[[#This Row],[Service ]]),FALSE))</f>
        <v>#VALUE!</v>
      </c>
      <c r="T242" s="164" t="str">
        <f t="shared" si="36"/>
        <v>01 septembre 2021</v>
      </c>
      <c r="U242" s="164" t="str">
        <f t="shared" si="37"/>
        <v>30 novembre 2021</v>
      </c>
      <c r="V242" s="164" t="str">
        <f t="shared" si="43"/>
        <v>30 novembre 2021</v>
      </c>
      <c r="W242" s="176" t="e">
        <f>IF(VLOOKUP(T_BilanSocial[[#This Row],[NumL]],T_TraitDi[#Data],COLUMN(T_TraitDi[[#This Row],[M1]]),FALSE)="","",VLOOKUP(T_BilanSocial[[#This Row],[NumL]],T_TraitDi[#Data],COLUMN(T_TraitDi[[#This Row],[M1]]),FALSE))</f>
        <v>#VALUE!</v>
      </c>
      <c r="X242" s="176" t="e">
        <f>IF(VLOOKUP(T_BilanSocial[[#This Row],[NumL]],T_TraitDi[#Data],COLUMN(T_TraitDi[[#This Row],[M2]]),FALSE)="","",VLOOKUP(T_BilanSocial[[#This Row],[NumL]],T_TraitDi[#Data],COLUMN(T_TraitDi[[#This Row],[M2]]),FALSE))</f>
        <v>#VALUE!</v>
      </c>
      <c r="Y242" s="176" t="e">
        <f>IF(VLOOKUP(T_BilanSocial[[#This Row],[NumL]],T_TraitDi[#Data],COLUMN(T_TraitDi[[#This Row],[M3]]),FALSE)="","",VLOOKUP(T_BilanSocial[[#This Row],[NumL]],T_TraitDi[#Data],COLUMN(T_TraitDi[[#This Row],[M3]]),FALSE))</f>
        <v>#VALUE!</v>
      </c>
      <c r="Z242" s="176" t="str">
        <f t="shared" si="39"/>
        <v/>
      </c>
      <c r="AA242" s="176" t="e">
        <f>IF(VLOOKUP(T_BilanSocial[[#This Row],[NumL]],T_TraitDi[#Data],COLUMN(T_TraitDi[[#This Row],[M5]]),FALSE)="","",VLOOKUP(T_BilanSocial[[#This Row],[NumL]],T_TraitDi[#Data],COLUMN(T_TraitDi[[#This Row],[M5]]),FALSE))</f>
        <v>#VALUE!</v>
      </c>
      <c r="AB242" s="176" t="e">
        <f>IF(VLOOKUP(T_BilanSocial[[#This Row],[NumL]],T_TraitDi[#Data],COLUMN(T_TraitDi[[#This Row],[M6]]),FALSE)="","",VLOOKUP(T_BilanSocial[[#This Row],[NumL]],T_TraitDi[#Data],COLUMN(T_TraitDi[[#This Row],[M6]]),FALSE))</f>
        <v>#VALUE!</v>
      </c>
      <c r="AC242" s="165" t="e">
        <f t="shared" si="38"/>
        <v>#VALUE!</v>
      </c>
      <c r="AD242" s="188" t="str">
        <f>IFERROR(TEXT(VLOOKUP(T_BilanSocial[[#This Row],[NumL]],T_TraitDi[#Data],COLUMN(T_TraitDi[[#This Row],[Q2]]),FALSE),"###%"),"")</f>
        <v/>
      </c>
      <c r="AE242" s="97" t="e">
        <f>VLOOKUP(T_BilanSocial[[#This Row],[NumL]],T_TraitDi[#Data],COLUMN(T_TraitDi[[#This Row],[Reg Ponct]]),FALSE)</f>
        <v>#VALUE!</v>
      </c>
      <c r="AF242" s="97" t="e">
        <f>VLOOKUP(T_BilanSocial[NumL],T_TraitDi[#Data],COLUMN(T_TraitDi[[#This Row],[Jours flottants]]),FALSE)</f>
        <v>#VALUE!</v>
      </c>
      <c r="AG242" s="97" t="str">
        <f>IFERROR(VLOOKUP(T_BilanSocial[[#This Row],[NumL]],T_TraitDi[#Data],COLUMN(T_TraitDi[[#This Row],[Lundi]]),FALSE),"")</f>
        <v/>
      </c>
      <c r="AH242" s="172" t="e">
        <f>IF(VLOOKUP(T_BilanSocial[[#This Row],[NumL]],T_TraitDi[#Data],COLUMN(T_TraitDi[[#This Row],[Colonne3]]),FALSE)=0,"",TEXT(IFERROR(VLOOKUP(T_BilanSocial[[#This Row],[NumL]],T_TraitDi[#Data],COLUMN(T_TraitDi[[#This Row],[Colonne3]]),FALSE),""),"[hh]:mm"))</f>
        <v>#VALUE!</v>
      </c>
      <c r="AI242" s="172" t="e">
        <f>IF(VLOOKUP(T_BilanSocial[[#This Row],[NumL]],T_TraitDi[#Data],COLUMN(T_TraitDi[[#This Row],[Colonne4]]),FALSE)=0,"",TEXT(IFERROR(VLOOKUP(T_BilanSocial[[#This Row],[NumL]],T_TraitDi[#Data],COLUMN(T_TraitDi[[#This Row],[Colonne4]]),FALSE),""),"[hh]:mm"))</f>
        <v>#VALUE!</v>
      </c>
      <c r="AJ242" s="172" t="e">
        <f>IF(VLOOKUP(T_BilanSocial[[#This Row],[NumL]],T_TraitDi[#Data],COLUMN(T_TraitDi[[#This Row],[Colonne5]]),FALSE)=0,"",TEXT(IFERROR(VLOOKUP(T_BilanSocial[[#This Row],[NumL]],T_TraitDi[#Data],COLUMN(T_TraitDi[[#This Row],[Colonne5]]),FALSE),""),"[hh]:mm"))</f>
        <v>#VALUE!</v>
      </c>
      <c r="AK242" s="172" t="e">
        <f>IF(VLOOKUP(T_BilanSocial[[#This Row],[NumL]],T_TraitDi[#Data],COLUMN(T_TraitDi[[#This Row],[Colonne6]]),FALSE)=0,"",TEXT(IFERROR(VLOOKUP(T_BilanSocial[[#This Row],[NumL]],T_TraitDi[#Data],COLUMN(T_TraitDi[[#This Row],[Colonne6]]),FALSE),""),"[hh]:mm"))</f>
        <v>#VALUE!</v>
      </c>
      <c r="AL242" s="172" t="e">
        <f>IF(VLOOKUP(T_BilanSocial[[#This Row],[NumL]],T_TraitDi[#Data],COLUMN(T_TraitDi[[#This Row],[Colonne7]]),FALSE)=0,"",TEXT(IFERROR(VLOOKUP(T_BilanSocial[[#This Row],[NumL]],T_TraitDi[#Data],COLUMN(T_TraitDi[[#This Row],[Colonne7]]),FALSE),""),"[hh]:mm"))</f>
        <v>#VALUE!</v>
      </c>
      <c r="AM242" s="172" t="e">
        <f>IF(VLOOKUP(T_BilanSocial[[#This Row],[NumL]],T_TraitDi[#Data],COLUMN(T_TraitDi[[#This Row],[Colonne8]]),FALSE)=0,"",TEXT(IFERROR(VLOOKUP(T_BilanSocial[[#This Row],[NumL]],T_TraitDi[#Data],COLUMN(T_TraitDi[[#This Row],[Colonne8]]),FALSE),""),"[hh]:mm"))</f>
        <v>#VALUE!</v>
      </c>
      <c r="AN242" s="172" t="str">
        <f>IFERROR(VLOOKUP(T_BilanSocial[[#This Row],[NumL]],T_TraitDi[#Data],COLUMN(T_TraitDi[[#This Row],[Mardi]]),FALSE),"")</f>
        <v/>
      </c>
      <c r="AO242" s="172" t="e">
        <f>IF(VLOOKUP(T_BilanSocial[[#This Row],[NumL]],T_TraitDi[#Data],COLUMN(T_TraitDi[[#This Row],[Colonne1]]),FALSE)=0,"",TEXT(IFERROR(VLOOKUP(T_BilanSocial[[#This Row],[NumL]],T_TraitDi[#Data],COLUMN(T_TraitDi[[#This Row],[Colonne1]]),FALSE),""),"[hh]:mm"))</f>
        <v>#VALUE!</v>
      </c>
      <c r="AP242" s="172" t="e">
        <f>IF(VLOOKUP(T_BilanSocial[[#This Row],[NumL]],T_TraitDi[#Data],COLUMN(T_TraitDi[[#This Row],[Colonne9]]),FALSE)=0,"",TEXT(IFERROR(VLOOKUP(T_BilanSocial[[#This Row],[NumL]],T_TraitDi[#Data],COLUMN(T_TraitDi[[#This Row],[Colonne9]]),FALSE),""),"[hh]:mm"))</f>
        <v>#VALUE!</v>
      </c>
      <c r="AQ242" s="172" t="str">
        <f>IFERROR(VLOOKUP(T_BilanSocial[[#This Row],[NumL]],T_TraitDi[#Data],COLUMN(T_TraitDi[[#This Row],[Colonne10]]),FALSE),"")</f>
        <v/>
      </c>
      <c r="AR242" s="172" t="e">
        <f>IF(VLOOKUP(T_BilanSocial[[#This Row],[NumL]],T_TraitDi[#Data],COLUMN(T_TraitDi[[#This Row],[Colonne11]]),FALSE)=0,"",TEXT(IFERROR(VLOOKUP(T_BilanSocial[[#This Row],[NumL]],T_TraitDi[#Data],COLUMN(T_TraitDi[[#This Row],[Colonne11]]),FALSE),""),"[hh]:mm"))</f>
        <v>#VALUE!</v>
      </c>
      <c r="AS242" s="172" t="e">
        <f>IF(VLOOKUP(T_BilanSocial[[#This Row],[NumL]],T_TraitDi[#Data],COLUMN(T_TraitDi[[#This Row],[Colonne12]]),FALSE)=0,"",TEXT(IFERROR(VLOOKUP(T_BilanSocial[[#This Row],[NumL]],T_TraitDi[#Data],COLUMN(T_TraitDi[[#This Row],[Colonne12]]),FALSE),""),"[hh]:mm"))</f>
        <v>#VALUE!</v>
      </c>
      <c r="AT242" s="172" t="e">
        <f>IF(VLOOKUP(T_BilanSocial[[#This Row],[NumL]],T_TraitDi[#Data],COLUMN(T_TraitDi[[#This Row],[Colonne14]]),FALSE)=0,"",TEXT(IFERROR(VLOOKUP(T_BilanSocial[[#This Row],[NumL]],T_TraitDi[#Data],COLUMN(T_TraitDi[[#This Row],[Colonne14]]),FALSE),""),"[hh]:mm"))</f>
        <v>#VALUE!</v>
      </c>
      <c r="AU242" s="172" t="str">
        <f>IFERROR(VLOOKUP(T_BilanSocial[[#This Row],[NumL]],T_TraitDi[#Data],COLUMN(T_TraitDi[[#This Row],[Mercredi]]),FALSE),"")</f>
        <v/>
      </c>
      <c r="AV242" s="172" t="e">
        <f>IF(VLOOKUP(T_BilanSocial[[#This Row],[NumL]],T_TraitDi[#Data],COLUMN(T_TraitDi[[#This Row],[Colonne15]]),FALSE)=0,"",TEXT(IFERROR(VLOOKUP(T_BilanSocial[[#This Row],[NumL]],T_TraitDi[#Data],COLUMN(T_TraitDi[[#This Row],[Colonne15]]),FALSE),""),"[hh]:mm"))</f>
        <v>#VALUE!</v>
      </c>
      <c r="AW242" s="172" t="e">
        <f>IF(VLOOKUP(T_BilanSocial[[#This Row],[NumL]],T_TraitDi[#Data],COLUMN(T_TraitDi[[#This Row],[Colonne16]]),FALSE)=0,"",TEXT(IFERROR(VLOOKUP(T_BilanSocial[[#This Row],[NumL]],T_TraitDi[#Data],COLUMN(T_TraitDi[[#This Row],[Colonne16]]),FALSE),""),"[hh]:mm"))</f>
        <v>#VALUE!</v>
      </c>
      <c r="AX242" s="172" t="str">
        <f>IFERROR(VLOOKUP(T_BilanSocial[[#This Row],[NumL]],T_TraitDi[#Data],COLUMN(T_TraitDi[[#This Row],[Colonne17]]),FALSE),"")</f>
        <v/>
      </c>
      <c r="AY242" s="172" t="e">
        <f>IF(VLOOKUP(T_BilanSocial[[#This Row],[NumL]],T_TraitDi[#Data],COLUMN(T_TraitDi[[#This Row],[Colonne18]]),FALSE)=0,"",TEXT(IFERROR(VLOOKUP(T_BilanSocial[[#This Row],[NumL]],T_TraitDi[#Data],COLUMN(T_TraitDi[[#This Row],[Colonne18]]),FALSE),""),"[hh]:mm"))</f>
        <v>#VALUE!</v>
      </c>
      <c r="AZ242" s="172" t="e">
        <f>IF(VLOOKUP(T_BilanSocial[[#This Row],[NumL]],T_TraitDi[#Data],COLUMN(T_TraitDi[[#This Row],[Colonne19]]),FALSE)=0,"",TEXT(IFERROR(VLOOKUP(T_BilanSocial[[#This Row],[NumL]],T_TraitDi[#Data],COLUMN(T_TraitDi[[#This Row],[Colonne19]]),FALSE),""),"[hh]:mm"))</f>
        <v>#VALUE!</v>
      </c>
      <c r="BA242" s="172" t="e">
        <f>IF(VLOOKUP(T_BilanSocial[[#This Row],[NumL]],T_TraitDi[#Data],COLUMN(T_TraitDi[[#This Row],[Colonne20]]),FALSE)=0,"",TEXT(IFERROR(VLOOKUP(T_BilanSocial[[#This Row],[NumL]],T_TraitDi[#Data],COLUMN(T_TraitDi[[#This Row],[Colonne20]]),FALSE),""),"[hh]:mm"))</f>
        <v>#VALUE!</v>
      </c>
      <c r="BB242" s="178" t="str">
        <f>IFERROR(VLOOKUP(T_BilanSocial[[#This Row],[NumL]],T_TraitDi[#Data],COLUMN(T_TraitDi[[#This Row],[Jeudi]]),FALSE),"")</f>
        <v/>
      </c>
      <c r="BC242" s="178" t="e">
        <f>IF(VLOOKUP(T_BilanSocial[[#This Row],[NumL]],T_TraitDi[#Data],COLUMN(T_TraitDi[[#This Row],[Colonne21]]),FALSE)=0,"",TEXT(IFERROR(VLOOKUP(T_BilanSocial[[#This Row],[NumL]],T_TraitDi[#Data],COLUMN(T_TraitDi[[#This Row],[Colonne21]]),FALSE),""),"[hh]:mm"))</f>
        <v>#VALUE!</v>
      </c>
      <c r="BD242" s="178" t="e">
        <f>IF(VLOOKUP(T_BilanSocial[[#This Row],[NumL]],T_TraitDi[#Data],COLUMN(T_TraitDi[[#This Row],[Colonne22]]),FALSE)=0,"",TEXT(IFERROR(VLOOKUP(T_BilanSocial[[#This Row],[NumL]],T_TraitDi[#Data],COLUMN(T_TraitDi[[#This Row],[Colonne22]]),FALSE),""),"[hh]:mm"))</f>
        <v>#VALUE!</v>
      </c>
      <c r="BE242" s="178" t="str">
        <f>IFERROR(VLOOKUP(T_BilanSocial[[#This Row],[NumL]],T_TraitDi[#Data],COLUMN(T_TraitDi[[#This Row],[Colonne23]]),FALSE),"")</f>
        <v/>
      </c>
      <c r="BF242" s="178" t="e">
        <f>IF(VLOOKUP(T_BilanSocial[[#This Row],[NumL]],T_TraitDi[#Data],COLUMN(T_TraitDi[[#This Row],[Colonne24]]),FALSE)=0,"",TEXT(IFERROR(VLOOKUP(T_BilanSocial[[#This Row],[NumL]],T_TraitDi[#Data],COLUMN(T_TraitDi[[#This Row],[Colonne24]]),FALSE),""),"[hh]:mm"))</f>
        <v>#VALUE!</v>
      </c>
      <c r="BG242" s="178" t="e">
        <f>IF(VLOOKUP(T_BilanSocial[[#This Row],[NumL]],T_TraitDi[#Data],COLUMN(T_TraitDi[[#This Row],[Colonne25]]),FALSE)=0,"",TEXT(IFERROR(VLOOKUP(T_BilanSocial[[#This Row],[NumL]],T_TraitDi[#Data],COLUMN(T_TraitDi[[#This Row],[Colonne25]]),FALSE),""),"[hh]:mm"))</f>
        <v>#VALUE!</v>
      </c>
      <c r="BH242" s="178" t="e">
        <f>IF(VLOOKUP(T_BilanSocial[[#This Row],[NumL]],T_TraitDi[#Data],COLUMN(T_TraitDi[[#This Row],[Colonne26]]),FALSE)=0,"",TEXT(IFERROR(VLOOKUP(T_BilanSocial[[#This Row],[NumL]],T_TraitDi[#Data],COLUMN(T_TraitDi[[#This Row],[Colonne26]]),FALSE),""),"[hh]:mm"))</f>
        <v>#VALUE!</v>
      </c>
      <c r="BI242" s="172" t="str">
        <f>IFERROR(VLOOKUP(T_BilanSocial[[#This Row],[NumL]],T_TraitDi[#Data],COLUMN(T_TraitDi[[#This Row],[Vendredi]]),FALSE),"")</f>
        <v/>
      </c>
      <c r="BJ242" s="172" t="e">
        <f>IF(VLOOKUP(T_BilanSocial[[#This Row],[NumL]],T_TraitDi[#Data],COLUMN(T_TraitDi[[#This Row],[Colonne27]]),FALSE)=0,"",TEXT(IFERROR(VLOOKUP(T_BilanSocial[[#This Row],[NumL]],T_TraitDi[#Data],COLUMN(T_TraitDi[[#This Row],[Colonne27]]),FALSE),""),"[hh]:mm"))</f>
        <v>#VALUE!</v>
      </c>
      <c r="BK242" s="172" t="e">
        <f>IF(VLOOKUP(T_BilanSocial[[#This Row],[NumL]],T_TraitDi[#Data],COLUMN(T_TraitDi[[#This Row],[Colonne28]]),FALSE)=0,"",TEXT(IFERROR(VLOOKUP(T_BilanSocial[[#This Row],[NumL]],T_TraitDi[#Data],COLUMN(T_TraitDi[[#This Row],[Colonne28]]),FALSE),""),"[hh]:mm"))</f>
        <v>#VALUE!</v>
      </c>
      <c r="BL242" s="172" t="str">
        <f>IFERROR(VLOOKUP(T_BilanSocial[[#This Row],[NumL]],T_TraitDi[#Data],COLUMN(T_TraitDi[[#This Row],[Colonne29]]),FALSE),"")</f>
        <v/>
      </c>
      <c r="BM242" s="172" t="e">
        <f>IF(VLOOKUP(T_BilanSocial[[#This Row],[NumL]],T_TraitDi[#Data],COLUMN(T_TraitDi[[#This Row],[Colonne30]]),FALSE)=0,"",TEXT(IFERROR(VLOOKUP(T_BilanSocial[[#This Row],[NumL]],T_TraitDi[#Data],COLUMN(T_TraitDi[[#This Row],[Colonne30]]),FALSE),""),"[hh]:mm"))</f>
        <v>#VALUE!</v>
      </c>
      <c r="BN242" s="172" t="e">
        <f>IF(VLOOKUP(T_BilanSocial[[#This Row],[NumL]],T_TraitDi[#Data],COLUMN(T_TraitDi[[#This Row],[Colonne31]]),FALSE)=0,"",TEXT(IFERROR(VLOOKUP(T_BilanSocial[[#This Row],[NumL]],T_TraitDi[#Data],COLUMN(T_TraitDi[[#This Row],[Colonne31]]),FALSE),""),"[hh]:mm"))</f>
        <v>#VALUE!</v>
      </c>
      <c r="BO242" s="172" t="e">
        <f>IF(VLOOKUP(T_BilanSocial[[#This Row],[NumL]],T_TraitDi[#Data],COLUMN(T_TraitDi[[#This Row],[Colonne32]]),FALSE)=0,"",TEXT(IFERROR(VLOOKUP(T_BilanSocial[[#This Row],[NumL]],T_TraitDi[#Data],COLUMN(T_TraitDi[[#This Row],[Colonne32]]),FALSE),""),"[hh]:mm"))</f>
        <v>#VALUE!</v>
      </c>
      <c r="BP242" s="172" t="e">
        <f>VLOOKUP(T_BilanSocial[[#This Row],[NumL]],T_TraitDi[#Data],COLUMN(T_TraitDi[NbJTot]),FALSE)</f>
        <v>#N/A</v>
      </c>
      <c r="BQ242" s="174" t="str">
        <f>IFERROR(VLOOKUP(T_BilanSocial[[#This Row],[NumL]],T_TraitDi[#Data],COLUMN(T_TraitDi[[#This Row],[NbJTW]]),FALSE),"")</f>
        <v/>
      </c>
      <c r="BR242" s="174" t="e">
        <f>IF(VLOOKUP(T_BilanSocial[[#This Row],[NumL]],T_TraitDi[#Data],COLUMN(T_TraitDi[[#This Row],[NbhTW]]),FALSE)=0,"",TEXT(IFERROR(VLOOKUP(T_BilanSocial[[#This Row],[NumL]],T_TraitDi[#Data],COLUMN(T_TraitDi[[#This Row],[NbhTW]]),FALSE),""),"[hh]:mm"))</f>
        <v>#VALUE!</v>
      </c>
      <c r="BS242" s="174" t="e">
        <f>IF(VLOOKUP(T_BilanSocial[[#This Row],[NumL]],T_TraitDi[#Data],COLUMN(T_TraitDi[[#This Row],[Nbhheb]]),FALSE)=0,"",TEXT(IFERROR(VLOOKUP($A242,T_TraitDi[#Data],COLUMN(T_TraitDi[[#This Row],[Nbhheb]]),FALSE),""),"[hh]:mm"))</f>
        <v>#VALUE!</v>
      </c>
      <c r="BT242" s="182" t="str">
        <f>IFERROR(VLOOKUP(VLOOKUP($A242,T_TraitDi[#Data],COLUMN(T_TraitDi[[#This Row],[Type1]]),FALSE),TypeTW,2,FALSE),"")</f>
        <v/>
      </c>
      <c r="BU242" s="182" t="str">
        <f>IFERROR(VLOOKUP($A242,T_TraitDi[#Data],COLUMN(T_TraitDi[[#This Row],[Rue1]]),FALSE),"")</f>
        <v/>
      </c>
      <c r="BV242" s="173" t="str">
        <f>IFERROR(VLOOKUP($A242,T_TraitDi[#Data],COLUMN(T_TraitDi[[#This Row],[CP1]]),FALSE),"")</f>
        <v/>
      </c>
      <c r="BW242" s="173" t="str">
        <f>IFERROR(VLOOKUP($A242,T_TraitDi[#Data],COLUMN(T_TraitDi[[#This Row],[VILLE1]]),FALSE),"")</f>
        <v/>
      </c>
      <c r="BX242" s="182" t="str">
        <f>IFERROR(VLOOKUP(VLOOKUP($A242,T_TraitDi[#Data],COLUMN(T_TraitDi[[#This Row],[Type2]]),FALSE),TypeTW,2,FALSE),"")</f>
        <v/>
      </c>
      <c r="BY242" s="182" t="str">
        <f>IFERROR(VLOOKUP($A242,T_TraitDi[#Data],COLUMN(T_TraitDi[[#This Row],[Rue2]]),FALSE),"")</f>
        <v/>
      </c>
      <c r="BZ242" s="173" t="str">
        <f>IFERROR(VLOOKUP($A242,T_TraitDi[#Data],COLUMN(T_TraitDi[[#This Row],[CP2]]),FALSE),"")</f>
        <v/>
      </c>
      <c r="CA242" s="173" t="str">
        <f>IFERROR(VLOOKUP($A242,T_TraitDi[#Data],COLUMN(T_TraitDi[[#This Row],[VILLE2]]),FALSE),"")</f>
        <v/>
      </c>
      <c r="CB242" s="182" t="str">
        <f>IF(VLOOKUP(T_BilanSocial[[#This Row],[NumL]],T_Equipement[#Data],COLUMN(T_Equipement[[#This Row],[PC]]),FALSE)="","Aucun équipement spécifique directement lié au télétravail",VLOOKUP(T_BilanSocial[[#This Row],[NumL]],T_Equipement[#Data],COLUMN(T_Equipement[[#This Row],[PC]]),FALSE))</f>
        <v xml:space="preserve">20-070	</v>
      </c>
      <c r="CC242" s="166" t="str">
        <f>IFERROR(IF(VLOOKUP(T_BilanSocial[[#This Row],[NumL]],T_TraitDi[#Data],COLUMN(T_TraitDi[[#This Row],[Plan]]),FALSE)="OK","Un planning spécifique de télétravail est annexé à la présente convention.",""),"")</f>
        <v/>
      </c>
      <c r="CD242" s="258" t="s">
        <v>3437</v>
      </c>
      <c r="CE242" s="164" t="e">
        <f>IF(VLOOKUP(T_BilanSocial[[#This Row],[NumL]],T_suiviDi[#Data],COLUMN(T_suiviDi[[#This Row],[Entité]]),FALSE)="","",VLOOKUP(T_BilanSocial[[#This Row],[NumL]],T_suiviDi[#Data],COLUMN(T_suiviDi[[#This Row],[Entité]]),FALSE))</f>
        <v>#VALUE!</v>
      </c>
      <c r="CF242" s="164" t="str">
        <f>IF(VLOOKUP(T_BilanSocial[[#This Row],[NumL]],T_Commission[#Data],COLUMN(T_Commission[[#This Row],[envoi confirm TW]]),FALSE)="","",VLOOKUP(T_BilanSocial[[#This Row],[NumL]],T_Commission[#Data],COLUMN(T_Commission[[#This Row],[envoi confirm TW]]),FALSE))</f>
        <v>Oui</v>
      </c>
      <c r="CG24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2" s="262" t="str">
        <f>T_BilanSocial[[#This Row],[Nom]]&amp;T_BilanSocial[[#This Row],[Prenom]]</f>
        <v/>
      </c>
      <c r="CI242" s="262">
        <f>VLOOKUP(T_BilanSocial[[#This Row],[NumL]],T_Commission[#Data],COLUMN(T_Commission[Commentaire]),FALSE)</f>
        <v>0</v>
      </c>
      <c r="CJ242" s="262" t="str">
        <f>IF(VLOOKUP(T_BilanSocial[[#This Row],[NumL]],T_Commission[#Data],COLUMN(T_Commission[Encadrant Email]),FALSE)="","",VLOOKUP(T_BilanSocial[[#This Row],[NumL]],T_Commission[#Data],COLUMN(T_Commission[Encadrant Email]),FALSE))</f>
        <v/>
      </c>
      <c r="CK242" s="340" t="str">
        <f>IF(T_BilanSocial[[#This Row],[Final]]&lt;&gt;"",VLOOKUP(T_BilanSocial[[#This Row],[NumL]],T_suiviDi[#Data],COLUMN((T_suiviDi[Statut])),FALSE),"")</f>
        <v/>
      </c>
    </row>
    <row r="243" spans="1:89" s="106" customFormat="1" ht="24.75" customHeight="1" x14ac:dyDescent="0.25">
      <c r="A243" s="160">
        <v>240</v>
      </c>
      <c r="B243" s="161" t="str">
        <f t="shared" si="34"/>
        <v/>
      </c>
      <c r="C243" s="162" t="s">
        <v>173</v>
      </c>
      <c r="D243" s="95" t="e">
        <f>IF(VLOOKUP(T_BilanSocial[[#This Row],[NumL]],T_TraitDi[#Data],COLUMN(T_TraitDi[[#This Row],[WebC]]),FALSE)="","",VLOOKUP(T_BilanSocial[[#This Row],[NumL]],T_TraitDi[#Data],COLUMN(T_TraitDi[[#This Row],[WebC]]),FALSE))</f>
        <v>#VALUE!</v>
      </c>
      <c r="E243" s="163" t="str">
        <f t="shared" si="35"/>
        <v>12 janvier 2021</v>
      </c>
      <c r="F243" s="96" t="str">
        <f>IF(T_BilanSocial[[#This Row],[Final]]&lt;&gt;"",VLOOKUP(T_BilanSocial[[#This Row],[NumL]],T_suiviDi[#Data],COLUMN((T_suiviDi[Civ.])),FALSE),"")</f>
        <v/>
      </c>
      <c r="G243" s="96" t="str">
        <f>IF(T_BilanSocial[[#This Row],[Final]]&lt;&gt;"",VLOOKUP(T_BilanSocial[[#This Row],[NumL]],T_suiviDi[#Data],COLUMN((T_suiviDi[Nom])),FALSE),"")</f>
        <v/>
      </c>
      <c r="H243" s="96" t="str">
        <f>IF(T_BilanSocial[[#This Row],[Final]]&lt;&gt;"",VLOOKUP(T_BilanSocial[[#This Row],[NumL]],T_suiviDi[#Data],COLUMN((T_suiviDi[Prénom])),FALSE),"")</f>
        <v/>
      </c>
      <c r="I243" s="96" t="str">
        <f>IFERROR(VLOOKUP(T_BilanSocial[[#This Row],[Zone_Bilan]],T_P_BilanSocial[#Data],COLUMN(T_P_BilanSocial[[#This Row],[Numero_SIHAM]]),FALSE),"")</f>
        <v/>
      </c>
      <c r="J243" s="96" t="str">
        <f>IFERROR(VLOOKUP(T_BilanSocial[[#This Row],[Zone_Bilan]],T_P_BilanSocial[#Data],COLUMN(T_P_BilanSocial[[#This Row],[Sexe]]),FALSE),"")</f>
        <v/>
      </c>
      <c r="K243" s="97" t="str">
        <f>IFERROR(VLOOKUP(T_BilanSocial[[#This Row],[Zone_Bilan]],T_P_BilanSocial[#Data],COLUMN(T_P_BilanSocial[[#This Row],[Categorie]]),FALSE),"")</f>
        <v/>
      </c>
      <c r="L243" s="96" t="str">
        <f>IFERROR(VLOOKUP(T_BilanSocial[[#This Row],[Zone_Bilan]],T_P_BilanSocial[#Data],COLUMN(T_P_BilanSocial[[#This Row],[Statut]]),FALSE),"")</f>
        <v/>
      </c>
      <c r="M243" s="96" t="str">
        <f>IFERROR(VLOOKUP(T_BilanSocial[[#This Row],[Zone_Bilan]],T_P_BilanSocial[#Data],COLUMN(T_P_BilanSocial[[#This Row],[Filiere]]),FALSE),"")</f>
        <v/>
      </c>
      <c r="N243" s="96" t="e">
        <f>VLOOKUP(T_BilanSocial[[#This Row],[NumL]],T_TraitDi[#Data],COLUMN(T_TraitDi[EXP]),FALSE)</f>
        <v>#N/A</v>
      </c>
      <c r="O243" s="96" t="e">
        <f>VLOOKUP(T_BilanSocial[[#This Row],[NumL]],T_TraitDi[#Data],COLUMN(T_TraitDi[FORM]),FALSE)</f>
        <v>#N/A</v>
      </c>
      <c r="P243" s="96" t="str">
        <f>IF(T_BilanSocial[[#This Row],[Final]]&lt;&gt;"",VLOOKUP(T_BilanSocial[[#This Row],[NumL]],T_suiviDi[#Data],COLUMN((T_suiviDi[Email])),FALSE),"")</f>
        <v/>
      </c>
      <c r="Q243" s="164" t="e">
        <f t="shared" si="40"/>
        <v>#N/A</v>
      </c>
      <c r="R243" s="164" t="e">
        <f t="shared" si="41"/>
        <v>#N/A</v>
      </c>
      <c r="S243" s="164" t="e">
        <f>IF(VLOOKUP(T_BilanSocial[[#This Row],[NumL]],T_suiviDi[#Data],COLUMN(T_suiviDi[[#This Row],[Service ]]),FALSE)="","",VLOOKUP(T_BilanSocial[[#This Row],[NumL]],T_suiviDi[#Data],COLUMN(T_suiviDi[[#This Row],[Service ]]),FALSE))</f>
        <v>#VALUE!</v>
      </c>
      <c r="T243" s="164" t="str">
        <f t="shared" si="36"/>
        <v>01 septembre 2021</v>
      </c>
      <c r="U243" s="164" t="str">
        <f t="shared" si="37"/>
        <v>30 novembre 2021</v>
      </c>
      <c r="V243" s="164" t="str">
        <f t="shared" si="43"/>
        <v>30 novembre 2021</v>
      </c>
      <c r="W243" s="176" t="e">
        <f>IF(VLOOKUP(T_BilanSocial[[#This Row],[NumL]],T_TraitDi[#Data],COLUMN(T_TraitDi[[#This Row],[M1]]),FALSE)="","",VLOOKUP(T_BilanSocial[[#This Row],[NumL]],T_TraitDi[#Data],COLUMN(T_TraitDi[[#This Row],[M1]]),FALSE))</f>
        <v>#VALUE!</v>
      </c>
      <c r="X243" s="176" t="e">
        <f>IF(VLOOKUP(T_BilanSocial[[#This Row],[NumL]],T_TraitDi[#Data],COLUMN(T_TraitDi[[#This Row],[M2]]),FALSE)="","",VLOOKUP(T_BilanSocial[[#This Row],[NumL]],T_TraitDi[#Data],COLUMN(T_TraitDi[[#This Row],[M2]]),FALSE))</f>
        <v>#VALUE!</v>
      </c>
      <c r="Y243" s="176" t="e">
        <f>IF(VLOOKUP(T_BilanSocial[[#This Row],[NumL]],T_TraitDi[#Data],COLUMN(T_TraitDi[[#This Row],[M3]]),FALSE)="","",VLOOKUP(T_BilanSocial[[#This Row],[NumL]],T_TraitDi[#Data],COLUMN(T_TraitDi[[#This Row],[M3]]),FALSE))</f>
        <v>#VALUE!</v>
      </c>
      <c r="Z243" s="176" t="str">
        <f t="shared" si="39"/>
        <v/>
      </c>
      <c r="AA243" s="176" t="e">
        <f>IF(VLOOKUP(T_BilanSocial[[#This Row],[NumL]],T_TraitDi[#Data],COLUMN(T_TraitDi[[#This Row],[M5]]),FALSE)="","",VLOOKUP(T_BilanSocial[[#This Row],[NumL]],T_TraitDi[#Data],COLUMN(T_TraitDi[[#This Row],[M5]]),FALSE))</f>
        <v>#VALUE!</v>
      </c>
      <c r="AB243" s="176" t="e">
        <f>IF(VLOOKUP(T_BilanSocial[[#This Row],[NumL]],T_TraitDi[#Data],COLUMN(T_TraitDi[[#This Row],[M6]]),FALSE)="","",VLOOKUP(T_BilanSocial[[#This Row],[NumL]],T_TraitDi[#Data],COLUMN(T_TraitDi[[#This Row],[M6]]),FALSE))</f>
        <v>#VALUE!</v>
      </c>
      <c r="AC243" s="165" t="e">
        <f t="shared" si="38"/>
        <v>#VALUE!</v>
      </c>
      <c r="AD243" s="188" t="str">
        <f>IFERROR(TEXT(VLOOKUP(T_BilanSocial[[#This Row],[NumL]],T_TraitDi[#Data],COLUMN(T_TraitDi[[#This Row],[Q2]]),FALSE),"###%"),"")</f>
        <v/>
      </c>
      <c r="AE243" s="97" t="e">
        <f>VLOOKUP(T_BilanSocial[[#This Row],[NumL]],T_TraitDi[#Data],COLUMN(T_TraitDi[[#This Row],[Reg Ponct]]),FALSE)</f>
        <v>#VALUE!</v>
      </c>
      <c r="AF243" s="97" t="e">
        <f>VLOOKUP(T_BilanSocial[NumL],T_TraitDi[#Data],COLUMN(T_TraitDi[[#This Row],[Jours flottants]]),FALSE)</f>
        <v>#VALUE!</v>
      </c>
      <c r="AG243" s="97" t="str">
        <f>IFERROR(VLOOKUP(T_BilanSocial[[#This Row],[NumL]],T_TraitDi[#Data],COLUMN(T_TraitDi[[#This Row],[Lundi]]),FALSE),"")</f>
        <v/>
      </c>
      <c r="AH243" s="172" t="e">
        <f>IF(VLOOKUP(T_BilanSocial[[#This Row],[NumL]],T_TraitDi[#Data],COLUMN(T_TraitDi[[#This Row],[Colonne3]]),FALSE)=0,"",TEXT(IFERROR(VLOOKUP(T_BilanSocial[[#This Row],[NumL]],T_TraitDi[#Data],COLUMN(T_TraitDi[[#This Row],[Colonne3]]),FALSE),""),"[hh]:mm"))</f>
        <v>#VALUE!</v>
      </c>
      <c r="AI243" s="172" t="e">
        <f>IF(VLOOKUP(T_BilanSocial[[#This Row],[NumL]],T_TraitDi[#Data],COLUMN(T_TraitDi[[#This Row],[Colonne4]]),FALSE)=0,"",TEXT(IFERROR(VLOOKUP(T_BilanSocial[[#This Row],[NumL]],T_TraitDi[#Data],COLUMN(T_TraitDi[[#This Row],[Colonne4]]),FALSE),""),"[hh]:mm"))</f>
        <v>#VALUE!</v>
      </c>
      <c r="AJ243" s="172" t="e">
        <f>IF(VLOOKUP(T_BilanSocial[[#This Row],[NumL]],T_TraitDi[#Data],COLUMN(T_TraitDi[[#This Row],[Colonne5]]),FALSE)=0,"",TEXT(IFERROR(VLOOKUP(T_BilanSocial[[#This Row],[NumL]],T_TraitDi[#Data],COLUMN(T_TraitDi[[#This Row],[Colonne5]]),FALSE),""),"[hh]:mm"))</f>
        <v>#VALUE!</v>
      </c>
      <c r="AK243" s="172" t="e">
        <f>IF(VLOOKUP(T_BilanSocial[[#This Row],[NumL]],T_TraitDi[#Data],COLUMN(T_TraitDi[[#This Row],[Colonne6]]),FALSE)=0,"",TEXT(IFERROR(VLOOKUP(T_BilanSocial[[#This Row],[NumL]],T_TraitDi[#Data],COLUMN(T_TraitDi[[#This Row],[Colonne6]]),FALSE),""),"[hh]:mm"))</f>
        <v>#VALUE!</v>
      </c>
      <c r="AL243" s="172" t="e">
        <f>IF(VLOOKUP(T_BilanSocial[[#This Row],[NumL]],T_TraitDi[#Data],COLUMN(T_TraitDi[[#This Row],[Colonne7]]),FALSE)=0,"",TEXT(IFERROR(VLOOKUP(T_BilanSocial[[#This Row],[NumL]],T_TraitDi[#Data],COLUMN(T_TraitDi[[#This Row],[Colonne7]]),FALSE),""),"[hh]:mm"))</f>
        <v>#VALUE!</v>
      </c>
      <c r="AM243" s="172" t="e">
        <f>IF(VLOOKUP(T_BilanSocial[[#This Row],[NumL]],T_TraitDi[#Data],COLUMN(T_TraitDi[[#This Row],[Colonne8]]),FALSE)=0,"",TEXT(IFERROR(VLOOKUP(T_BilanSocial[[#This Row],[NumL]],T_TraitDi[#Data],COLUMN(T_TraitDi[[#This Row],[Colonne8]]),FALSE),""),"[hh]:mm"))</f>
        <v>#VALUE!</v>
      </c>
      <c r="AN243" s="172" t="str">
        <f>IFERROR(VLOOKUP(T_BilanSocial[[#This Row],[NumL]],T_TraitDi[#Data],COLUMN(T_TraitDi[[#This Row],[Mardi]]),FALSE),"")</f>
        <v/>
      </c>
      <c r="AO243" s="172" t="e">
        <f>IF(VLOOKUP(T_BilanSocial[[#This Row],[NumL]],T_TraitDi[#Data],COLUMN(T_TraitDi[[#This Row],[Colonne1]]),FALSE)=0,"",TEXT(IFERROR(VLOOKUP(T_BilanSocial[[#This Row],[NumL]],T_TraitDi[#Data],COLUMN(T_TraitDi[[#This Row],[Colonne1]]),FALSE),""),"[hh]:mm"))</f>
        <v>#VALUE!</v>
      </c>
      <c r="AP243" s="172" t="e">
        <f>IF(VLOOKUP(T_BilanSocial[[#This Row],[NumL]],T_TraitDi[#Data],COLUMN(T_TraitDi[[#This Row],[Colonne9]]),FALSE)=0,"",TEXT(IFERROR(VLOOKUP(T_BilanSocial[[#This Row],[NumL]],T_TraitDi[#Data],COLUMN(T_TraitDi[[#This Row],[Colonne9]]),FALSE),""),"[hh]:mm"))</f>
        <v>#VALUE!</v>
      </c>
      <c r="AQ243" s="172" t="str">
        <f>IFERROR(VLOOKUP(T_BilanSocial[[#This Row],[NumL]],T_TraitDi[#Data],COLUMN(T_TraitDi[[#This Row],[Colonne10]]),FALSE),"")</f>
        <v/>
      </c>
      <c r="AR243" s="172" t="e">
        <f>IF(VLOOKUP(T_BilanSocial[[#This Row],[NumL]],T_TraitDi[#Data],COLUMN(T_TraitDi[[#This Row],[Colonne11]]),FALSE)=0,"",TEXT(IFERROR(VLOOKUP(T_BilanSocial[[#This Row],[NumL]],T_TraitDi[#Data],COLUMN(T_TraitDi[[#This Row],[Colonne11]]),FALSE),""),"[hh]:mm"))</f>
        <v>#VALUE!</v>
      </c>
      <c r="AS243" s="172" t="e">
        <f>IF(VLOOKUP(T_BilanSocial[[#This Row],[NumL]],T_TraitDi[#Data],COLUMN(T_TraitDi[[#This Row],[Colonne12]]),FALSE)=0,"",TEXT(IFERROR(VLOOKUP(T_BilanSocial[[#This Row],[NumL]],T_TraitDi[#Data],COLUMN(T_TraitDi[[#This Row],[Colonne12]]),FALSE),""),"[hh]:mm"))</f>
        <v>#VALUE!</v>
      </c>
      <c r="AT243" s="172" t="e">
        <f>IF(VLOOKUP(T_BilanSocial[[#This Row],[NumL]],T_TraitDi[#Data],COLUMN(T_TraitDi[[#This Row],[Colonne14]]),FALSE)=0,"",TEXT(IFERROR(VLOOKUP(T_BilanSocial[[#This Row],[NumL]],T_TraitDi[#Data],COLUMN(T_TraitDi[[#This Row],[Colonne14]]),FALSE),""),"[hh]:mm"))</f>
        <v>#VALUE!</v>
      </c>
      <c r="AU243" s="172" t="str">
        <f>IFERROR(VLOOKUP(T_BilanSocial[[#This Row],[NumL]],T_TraitDi[#Data],COLUMN(T_TraitDi[[#This Row],[Mercredi]]),FALSE),"")</f>
        <v/>
      </c>
      <c r="AV243" s="172" t="e">
        <f>IF(VLOOKUP(T_BilanSocial[[#This Row],[NumL]],T_TraitDi[#Data],COLUMN(T_TraitDi[[#This Row],[Colonne15]]),FALSE)=0,"",TEXT(IFERROR(VLOOKUP(T_BilanSocial[[#This Row],[NumL]],T_TraitDi[#Data],COLUMN(T_TraitDi[[#This Row],[Colonne15]]),FALSE),""),"[hh]:mm"))</f>
        <v>#VALUE!</v>
      </c>
      <c r="AW243" s="172" t="e">
        <f>IF(VLOOKUP(T_BilanSocial[[#This Row],[NumL]],T_TraitDi[#Data],COLUMN(T_TraitDi[[#This Row],[Colonne16]]),FALSE)=0,"",TEXT(IFERROR(VLOOKUP(T_BilanSocial[[#This Row],[NumL]],T_TraitDi[#Data],COLUMN(T_TraitDi[[#This Row],[Colonne16]]),FALSE),""),"[hh]:mm"))</f>
        <v>#VALUE!</v>
      </c>
      <c r="AX243" s="172" t="str">
        <f>IFERROR(VLOOKUP(T_BilanSocial[[#This Row],[NumL]],T_TraitDi[#Data],COLUMN(T_TraitDi[[#This Row],[Colonne17]]),FALSE),"")</f>
        <v/>
      </c>
      <c r="AY243" s="172" t="e">
        <f>IF(VLOOKUP(T_BilanSocial[[#This Row],[NumL]],T_TraitDi[#Data],COLUMN(T_TraitDi[[#This Row],[Colonne18]]),FALSE)=0,"",TEXT(IFERROR(VLOOKUP(T_BilanSocial[[#This Row],[NumL]],T_TraitDi[#Data],COLUMN(T_TraitDi[[#This Row],[Colonne18]]),FALSE),""),"[hh]:mm"))</f>
        <v>#VALUE!</v>
      </c>
      <c r="AZ243" s="172" t="e">
        <f>IF(VLOOKUP(T_BilanSocial[[#This Row],[NumL]],T_TraitDi[#Data],COLUMN(T_TraitDi[[#This Row],[Colonne19]]),FALSE)=0,"",TEXT(IFERROR(VLOOKUP(T_BilanSocial[[#This Row],[NumL]],T_TraitDi[#Data],COLUMN(T_TraitDi[[#This Row],[Colonne19]]),FALSE),""),"[hh]:mm"))</f>
        <v>#VALUE!</v>
      </c>
      <c r="BA243" s="172" t="e">
        <f>IF(VLOOKUP(T_BilanSocial[[#This Row],[NumL]],T_TraitDi[#Data],COLUMN(T_TraitDi[[#This Row],[Colonne20]]),FALSE)=0,"",TEXT(IFERROR(VLOOKUP(T_BilanSocial[[#This Row],[NumL]],T_TraitDi[#Data],COLUMN(T_TraitDi[[#This Row],[Colonne20]]),FALSE),""),"[hh]:mm"))</f>
        <v>#VALUE!</v>
      </c>
      <c r="BB243" s="178" t="str">
        <f>IFERROR(VLOOKUP(T_BilanSocial[[#This Row],[NumL]],T_TraitDi[#Data],COLUMN(T_TraitDi[[#This Row],[Jeudi]]),FALSE),"")</f>
        <v/>
      </c>
      <c r="BC243" s="178" t="e">
        <f>IF(VLOOKUP(T_BilanSocial[[#This Row],[NumL]],T_TraitDi[#Data],COLUMN(T_TraitDi[[#This Row],[Colonne21]]),FALSE)=0,"",TEXT(IFERROR(VLOOKUP(T_BilanSocial[[#This Row],[NumL]],T_TraitDi[#Data],COLUMN(T_TraitDi[[#This Row],[Colonne21]]),FALSE),""),"[hh]:mm"))</f>
        <v>#VALUE!</v>
      </c>
      <c r="BD243" s="178" t="e">
        <f>IF(VLOOKUP(T_BilanSocial[[#This Row],[NumL]],T_TraitDi[#Data],COLUMN(T_TraitDi[[#This Row],[Colonne22]]),FALSE)=0,"",TEXT(IFERROR(VLOOKUP(T_BilanSocial[[#This Row],[NumL]],T_TraitDi[#Data],COLUMN(T_TraitDi[[#This Row],[Colonne22]]),FALSE),""),"[hh]:mm"))</f>
        <v>#VALUE!</v>
      </c>
      <c r="BE243" s="178" t="str">
        <f>IFERROR(VLOOKUP(T_BilanSocial[[#This Row],[NumL]],T_TraitDi[#Data],COLUMN(T_TraitDi[[#This Row],[Colonne23]]),FALSE),"")</f>
        <v/>
      </c>
      <c r="BF243" s="178" t="e">
        <f>IF(VLOOKUP(T_BilanSocial[[#This Row],[NumL]],T_TraitDi[#Data],COLUMN(T_TraitDi[[#This Row],[Colonne24]]),FALSE)=0,"",TEXT(IFERROR(VLOOKUP(T_BilanSocial[[#This Row],[NumL]],T_TraitDi[#Data],COLUMN(T_TraitDi[[#This Row],[Colonne24]]),FALSE),""),"[hh]:mm"))</f>
        <v>#VALUE!</v>
      </c>
      <c r="BG243" s="178" t="e">
        <f>IF(VLOOKUP(T_BilanSocial[[#This Row],[NumL]],T_TraitDi[#Data],COLUMN(T_TraitDi[[#This Row],[Colonne25]]),FALSE)=0,"",TEXT(IFERROR(VLOOKUP(T_BilanSocial[[#This Row],[NumL]],T_TraitDi[#Data],COLUMN(T_TraitDi[[#This Row],[Colonne25]]),FALSE),""),"[hh]:mm"))</f>
        <v>#VALUE!</v>
      </c>
      <c r="BH243" s="178" t="e">
        <f>IF(VLOOKUP(T_BilanSocial[[#This Row],[NumL]],T_TraitDi[#Data],COLUMN(T_TraitDi[[#This Row],[Colonne26]]),FALSE)=0,"",TEXT(IFERROR(VLOOKUP(T_BilanSocial[[#This Row],[NumL]],T_TraitDi[#Data],COLUMN(T_TraitDi[[#This Row],[Colonne26]]),FALSE),""),"[hh]:mm"))</f>
        <v>#VALUE!</v>
      </c>
      <c r="BI243" s="172" t="str">
        <f>IFERROR(VLOOKUP(T_BilanSocial[[#This Row],[NumL]],T_TraitDi[#Data],COLUMN(T_TraitDi[[#This Row],[Vendredi]]),FALSE),"")</f>
        <v/>
      </c>
      <c r="BJ243" s="172" t="e">
        <f>IF(VLOOKUP(T_BilanSocial[[#This Row],[NumL]],T_TraitDi[#Data],COLUMN(T_TraitDi[[#This Row],[Colonne27]]),FALSE)=0,"",TEXT(IFERROR(VLOOKUP(T_BilanSocial[[#This Row],[NumL]],T_TraitDi[#Data],COLUMN(T_TraitDi[[#This Row],[Colonne27]]),FALSE),""),"[hh]:mm"))</f>
        <v>#VALUE!</v>
      </c>
      <c r="BK243" s="172" t="e">
        <f>IF(VLOOKUP(T_BilanSocial[[#This Row],[NumL]],T_TraitDi[#Data],COLUMN(T_TraitDi[[#This Row],[Colonne28]]),FALSE)=0,"",TEXT(IFERROR(VLOOKUP(T_BilanSocial[[#This Row],[NumL]],T_TraitDi[#Data],COLUMN(T_TraitDi[[#This Row],[Colonne28]]),FALSE),""),"[hh]:mm"))</f>
        <v>#VALUE!</v>
      </c>
      <c r="BL243" s="172" t="str">
        <f>IFERROR(VLOOKUP(T_BilanSocial[[#This Row],[NumL]],T_TraitDi[#Data],COLUMN(T_TraitDi[[#This Row],[Colonne29]]),FALSE),"")</f>
        <v/>
      </c>
      <c r="BM243" s="172" t="e">
        <f>IF(VLOOKUP(T_BilanSocial[[#This Row],[NumL]],T_TraitDi[#Data],COLUMN(T_TraitDi[[#This Row],[Colonne30]]),FALSE)=0,"",TEXT(IFERROR(VLOOKUP(T_BilanSocial[[#This Row],[NumL]],T_TraitDi[#Data],COLUMN(T_TraitDi[[#This Row],[Colonne30]]),FALSE),""),"[hh]:mm"))</f>
        <v>#VALUE!</v>
      </c>
      <c r="BN243" s="172" t="e">
        <f>IF(VLOOKUP(T_BilanSocial[[#This Row],[NumL]],T_TraitDi[#Data],COLUMN(T_TraitDi[[#This Row],[Colonne31]]),FALSE)=0,"",TEXT(IFERROR(VLOOKUP(T_BilanSocial[[#This Row],[NumL]],T_TraitDi[#Data],COLUMN(T_TraitDi[[#This Row],[Colonne31]]),FALSE),""),"[hh]:mm"))</f>
        <v>#VALUE!</v>
      </c>
      <c r="BO243" s="172" t="e">
        <f>IF(VLOOKUP(T_BilanSocial[[#This Row],[NumL]],T_TraitDi[#Data],COLUMN(T_TraitDi[[#This Row],[Colonne32]]),FALSE)=0,"",TEXT(IFERROR(VLOOKUP(T_BilanSocial[[#This Row],[NumL]],T_TraitDi[#Data],COLUMN(T_TraitDi[[#This Row],[Colonne32]]),FALSE),""),"[hh]:mm"))</f>
        <v>#VALUE!</v>
      </c>
      <c r="BP243" s="172" t="e">
        <f>VLOOKUP(T_BilanSocial[[#This Row],[NumL]],T_TraitDi[#Data],COLUMN(T_TraitDi[NbJTot]),FALSE)</f>
        <v>#N/A</v>
      </c>
      <c r="BQ243" s="174" t="str">
        <f>IFERROR(VLOOKUP(T_BilanSocial[[#This Row],[NumL]],T_TraitDi[#Data],COLUMN(T_TraitDi[[#This Row],[NbJTW]]),FALSE),"")</f>
        <v/>
      </c>
      <c r="BR243" s="174" t="e">
        <f>IF(VLOOKUP(T_BilanSocial[[#This Row],[NumL]],T_TraitDi[#Data],COLUMN(T_TraitDi[[#This Row],[NbhTW]]),FALSE)=0,"",TEXT(IFERROR(VLOOKUP(T_BilanSocial[[#This Row],[NumL]],T_TraitDi[#Data],COLUMN(T_TraitDi[[#This Row],[NbhTW]]),FALSE),""),"[hh]:mm"))</f>
        <v>#VALUE!</v>
      </c>
      <c r="BS243" s="174" t="e">
        <f>IF(VLOOKUP(T_BilanSocial[[#This Row],[NumL]],T_TraitDi[#Data],COLUMN(T_TraitDi[[#This Row],[Nbhheb]]),FALSE)=0,"",TEXT(IFERROR(VLOOKUP($A243,T_TraitDi[#Data],COLUMN(T_TraitDi[[#This Row],[Nbhheb]]),FALSE),""),"[hh]:mm"))</f>
        <v>#VALUE!</v>
      </c>
      <c r="BT243" s="182" t="str">
        <f>IFERROR(VLOOKUP(VLOOKUP($A243,T_TraitDi[#Data],COLUMN(T_TraitDi[[#This Row],[Type1]]),FALSE),TypeTW,2,FALSE),"")</f>
        <v/>
      </c>
      <c r="BU243" s="182" t="str">
        <f>IFERROR(VLOOKUP($A243,T_TraitDi[#Data],COLUMN(T_TraitDi[[#This Row],[Rue1]]),FALSE),"")</f>
        <v/>
      </c>
      <c r="BV243" s="173" t="str">
        <f>IFERROR(VLOOKUP($A243,T_TraitDi[#Data],COLUMN(T_TraitDi[[#This Row],[CP1]]),FALSE),"")</f>
        <v/>
      </c>
      <c r="BW243" s="173" t="str">
        <f>IFERROR(VLOOKUP($A243,T_TraitDi[#Data],COLUMN(T_TraitDi[[#This Row],[VILLE1]]),FALSE),"")</f>
        <v/>
      </c>
      <c r="BX243" s="182" t="str">
        <f>IFERROR(VLOOKUP(VLOOKUP($A243,T_TraitDi[#Data],COLUMN(T_TraitDi[[#This Row],[Type2]]),FALSE),TypeTW,2,FALSE),"")</f>
        <v/>
      </c>
      <c r="BY243" s="182" t="str">
        <f>IFERROR(VLOOKUP($A243,T_TraitDi[#Data],COLUMN(T_TraitDi[[#This Row],[Rue2]]),FALSE),"")</f>
        <v/>
      </c>
      <c r="BZ243" s="173" t="str">
        <f>IFERROR(VLOOKUP($A243,T_TraitDi[#Data],COLUMN(T_TraitDi[[#This Row],[CP2]]),FALSE),"")</f>
        <v/>
      </c>
      <c r="CA243" s="173" t="str">
        <f>IFERROR(VLOOKUP($A243,T_TraitDi[#Data],COLUMN(T_TraitDi[[#This Row],[VILLE2]]),FALSE),"")</f>
        <v/>
      </c>
      <c r="CB243" s="182" t="str">
        <f>IF(VLOOKUP(T_BilanSocial[[#This Row],[NumL]],T_Equipement[#Data],COLUMN(T_Equipement[[#This Row],[PC]]),FALSE)="","Aucun équipement spécifique directement lié au télétravail",VLOOKUP(T_BilanSocial[[#This Row],[NumL]],T_Equipement[#Data],COLUMN(T_Equipement[[#This Row],[PC]]),FALSE))</f>
        <v xml:space="preserve">20-074	</v>
      </c>
      <c r="CC243" s="166" t="str">
        <f>IFERROR(IF(VLOOKUP(T_BilanSocial[[#This Row],[NumL]],T_TraitDi[#Data],COLUMN(T_TraitDi[[#This Row],[Plan]]),FALSE)="OK","Un planning spécifique de télétravail est annexé à la présente convention.",""),"")</f>
        <v/>
      </c>
      <c r="CD243" s="258" t="s">
        <v>3393</v>
      </c>
      <c r="CE243" s="164" t="e">
        <f>IF(VLOOKUP(T_BilanSocial[[#This Row],[NumL]],T_suiviDi[#Data],COLUMN(T_suiviDi[[#This Row],[Entité]]),FALSE)="","",VLOOKUP(T_BilanSocial[[#This Row],[NumL]],T_suiviDi[#Data],COLUMN(T_suiviDi[[#This Row],[Entité]]),FALSE))</f>
        <v>#VALUE!</v>
      </c>
      <c r="CF243" s="164" t="str">
        <f>IF(VLOOKUP(T_BilanSocial[[#This Row],[NumL]],T_Commission[#Data],COLUMN(T_Commission[[#This Row],[envoi confirm TW]]),FALSE)="","",VLOOKUP(T_BilanSocial[[#This Row],[NumL]],T_Commission[#Data],COLUMN(T_Commission[[#This Row],[envoi confirm TW]]),FALSE))</f>
        <v>Oui</v>
      </c>
      <c r="CG24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3" s="262" t="str">
        <f>T_BilanSocial[[#This Row],[Nom]]&amp;T_BilanSocial[[#This Row],[Prenom]]</f>
        <v/>
      </c>
      <c r="CI243" s="262">
        <f>VLOOKUP(T_BilanSocial[[#This Row],[NumL]],T_Commission[#Data],COLUMN(T_Commission[Commentaire]),FALSE)</f>
        <v>0</v>
      </c>
      <c r="CJ243" s="262" t="str">
        <f>IF(VLOOKUP(T_BilanSocial[[#This Row],[NumL]],T_Commission[#Data],COLUMN(T_Commission[Encadrant Email]),FALSE)="","",VLOOKUP(T_BilanSocial[[#This Row],[NumL]],T_Commission[#Data],COLUMN(T_Commission[Encadrant Email]),FALSE))</f>
        <v/>
      </c>
      <c r="CK243" s="340" t="str">
        <f>IF(T_BilanSocial[[#This Row],[Final]]&lt;&gt;"",VLOOKUP(T_BilanSocial[[#This Row],[NumL]],T_suiviDi[#Data],COLUMN((T_suiviDi[Statut])),FALSE),"")</f>
        <v/>
      </c>
    </row>
    <row r="244" spans="1:89" s="106" customFormat="1" ht="24.75" customHeight="1" x14ac:dyDescent="0.25">
      <c r="A244" s="160">
        <v>241</v>
      </c>
      <c r="B244" s="161" t="str">
        <f t="shared" si="34"/>
        <v/>
      </c>
      <c r="C244" s="162" t="s">
        <v>173</v>
      </c>
      <c r="D244" s="95" t="e">
        <f>IF(VLOOKUP(T_BilanSocial[[#This Row],[NumL]],T_TraitDi[#Data],COLUMN(T_TraitDi[[#This Row],[WebC]]),FALSE)="","",VLOOKUP(T_BilanSocial[[#This Row],[NumL]],T_TraitDi[#Data],COLUMN(T_TraitDi[[#This Row],[WebC]]),FALSE))</f>
        <v>#VALUE!</v>
      </c>
      <c r="E244" s="163" t="str">
        <f t="shared" si="35"/>
        <v>12 janvier 2021</v>
      </c>
      <c r="F244" s="96" t="str">
        <f>IF(T_BilanSocial[[#This Row],[Final]]&lt;&gt;"",VLOOKUP(T_BilanSocial[[#This Row],[NumL]],T_suiviDi[#Data],COLUMN((T_suiviDi[Civ.])),FALSE),"")</f>
        <v/>
      </c>
      <c r="G244" s="96" t="str">
        <f>IF(T_BilanSocial[[#This Row],[Final]]&lt;&gt;"",VLOOKUP(T_BilanSocial[[#This Row],[NumL]],T_suiviDi[#Data],COLUMN((T_suiviDi[Nom])),FALSE),"")</f>
        <v/>
      </c>
      <c r="H244" s="96" t="str">
        <f>IF(T_BilanSocial[[#This Row],[Final]]&lt;&gt;"",VLOOKUP(T_BilanSocial[[#This Row],[NumL]],T_suiviDi[#Data],COLUMN((T_suiviDi[Prénom])),FALSE),"")</f>
        <v/>
      </c>
      <c r="I244" s="96" t="str">
        <f>IFERROR(VLOOKUP(T_BilanSocial[[#This Row],[Zone_Bilan]],T_P_BilanSocial[#Data],COLUMN(T_P_BilanSocial[[#This Row],[Numero_SIHAM]]),FALSE),"")</f>
        <v/>
      </c>
      <c r="J244" s="96" t="str">
        <f>IFERROR(VLOOKUP(T_BilanSocial[[#This Row],[Zone_Bilan]],T_P_BilanSocial[#Data],COLUMN(T_P_BilanSocial[[#This Row],[Sexe]]),FALSE),"")</f>
        <v/>
      </c>
      <c r="K244" s="97" t="str">
        <f>IFERROR(VLOOKUP(T_BilanSocial[[#This Row],[Zone_Bilan]],T_P_BilanSocial[#Data],COLUMN(T_P_BilanSocial[[#This Row],[Categorie]]),FALSE),"")</f>
        <v/>
      </c>
      <c r="L244" s="96" t="str">
        <f>IFERROR(VLOOKUP(T_BilanSocial[[#This Row],[Zone_Bilan]],T_P_BilanSocial[#Data],COLUMN(T_P_BilanSocial[[#This Row],[Statut]]),FALSE),"")</f>
        <v/>
      </c>
      <c r="M244" s="96" t="str">
        <f>IFERROR(VLOOKUP(T_BilanSocial[[#This Row],[Zone_Bilan]],T_P_BilanSocial[#Data],COLUMN(T_P_BilanSocial[[#This Row],[Filiere]]),FALSE),"")</f>
        <v/>
      </c>
      <c r="N244" s="96" t="e">
        <f>VLOOKUP(T_BilanSocial[[#This Row],[NumL]],T_TraitDi[#Data],COLUMN(T_TraitDi[EXP]),FALSE)</f>
        <v>#N/A</v>
      </c>
      <c r="O244" s="96" t="e">
        <f>VLOOKUP(T_BilanSocial[[#This Row],[NumL]],T_TraitDi[#Data],COLUMN(T_TraitDi[FORM]),FALSE)</f>
        <v>#N/A</v>
      </c>
      <c r="P244" s="96" t="str">
        <f>IF(T_BilanSocial[[#This Row],[Final]]&lt;&gt;"",VLOOKUP(T_BilanSocial[[#This Row],[NumL]],T_suiviDi[#Data],COLUMN((T_suiviDi[Email])),FALSE),"")</f>
        <v/>
      </c>
      <c r="Q244" s="164" t="e">
        <f t="shared" si="40"/>
        <v>#N/A</v>
      </c>
      <c r="R244" s="164" t="e">
        <f t="shared" si="41"/>
        <v>#N/A</v>
      </c>
      <c r="S244" s="164" t="e">
        <f>IF(VLOOKUP(T_BilanSocial[[#This Row],[NumL]],T_suiviDi[#Data],COLUMN(T_suiviDi[[#This Row],[Service ]]),FALSE)="","",VLOOKUP(T_BilanSocial[[#This Row],[NumL]],T_suiviDi[#Data],COLUMN(T_suiviDi[[#This Row],[Service ]]),FALSE))</f>
        <v>#VALUE!</v>
      </c>
      <c r="T244" s="164" t="str">
        <f t="shared" si="36"/>
        <v>01 septembre 2021</v>
      </c>
      <c r="U244" s="164" t="str">
        <f t="shared" si="37"/>
        <v>30 novembre 2021</v>
      </c>
      <c r="V244" s="164" t="str">
        <f t="shared" si="43"/>
        <v>30 novembre 2021</v>
      </c>
      <c r="W244" s="176" t="e">
        <f>IF(VLOOKUP(T_BilanSocial[[#This Row],[NumL]],T_TraitDi[#Data],COLUMN(T_TraitDi[[#This Row],[M1]]),FALSE)="","",VLOOKUP(T_BilanSocial[[#This Row],[NumL]],T_TraitDi[#Data],COLUMN(T_TraitDi[[#This Row],[M1]]),FALSE))</f>
        <v>#VALUE!</v>
      </c>
      <c r="X244" s="176" t="e">
        <f>IF(VLOOKUP(T_BilanSocial[[#This Row],[NumL]],T_TraitDi[#Data],COLUMN(T_TraitDi[[#This Row],[M2]]),FALSE)="","",VLOOKUP(T_BilanSocial[[#This Row],[NumL]],T_TraitDi[#Data],COLUMN(T_TraitDi[[#This Row],[M2]]),FALSE))</f>
        <v>#VALUE!</v>
      </c>
      <c r="Y244" s="176" t="e">
        <f>IF(VLOOKUP(T_BilanSocial[[#This Row],[NumL]],T_TraitDi[#Data],COLUMN(T_TraitDi[[#This Row],[M3]]),FALSE)="","",VLOOKUP(T_BilanSocial[[#This Row],[NumL]],T_TraitDi[#Data],COLUMN(T_TraitDi[[#This Row],[M3]]),FALSE))</f>
        <v>#VALUE!</v>
      </c>
      <c r="Z244" s="176" t="str">
        <f t="shared" si="39"/>
        <v/>
      </c>
      <c r="AA244" s="176" t="e">
        <f>IF(VLOOKUP(T_BilanSocial[[#This Row],[NumL]],T_TraitDi[#Data],COLUMN(T_TraitDi[[#This Row],[M5]]),FALSE)="","",VLOOKUP(T_BilanSocial[[#This Row],[NumL]],T_TraitDi[#Data],COLUMN(T_TraitDi[[#This Row],[M5]]),FALSE))</f>
        <v>#VALUE!</v>
      </c>
      <c r="AB244" s="176" t="e">
        <f>IF(VLOOKUP(T_BilanSocial[[#This Row],[NumL]],T_TraitDi[#Data],COLUMN(T_TraitDi[[#This Row],[M6]]),FALSE)="","",VLOOKUP(T_BilanSocial[[#This Row],[NumL]],T_TraitDi[#Data],COLUMN(T_TraitDi[[#This Row],[M6]]),FALSE))</f>
        <v>#VALUE!</v>
      </c>
      <c r="AC244" s="165" t="e">
        <f t="shared" si="38"/>
        <v>#VALUE!</v>
      </c>
      <c r="AD244" s="188" t="str">
        <f>IFERROR(TEXT(VLOOKUP(T_BilanSocial[[#This Row],[NumL]],T_TraitDi[#Data],COLUMN(T_TraitDi[[#This Row],[Q2]]),FALSE),"###%"),"")</f>
        <v/>
      </c>
      <c r="AE244" s="97" t="e">
        <f>VLOOKUP(T_BilanSocial[[#This Row],[NumL]],T_TraitDi[#Data],COLUMN(T_TraitDi[[#This Row],[Reg Ponct]]),FALSE)</f>
        <v>#VALUE!</v>
      </c>
      <c r="AF244" s="97" t="e">
        <f>VLOOKUP(T_BilanSocial[NumL],T_TraitDi[#Data],COLUMN(T_TraitDi[[#This Row],[Jours flottants]]),FALSE)</f>
        <v>#VALUE!</v>
      </c>
      <c r="AG244" s="97" t="str">
        <f>IFERROR(VLOOKUP(T_BilanSocial[[#This Row],[NumL]],T_TraitDi[#Data],COLUMN(T_TraitDi[[#This Row],[Lundi]]),FALSE),"")</f>
        <v/>
      </c>
      <c r="AH244" s="172" t="e">
        <f>IF(VLOOKUP(T_BilanSocial[[#This Row],[NumL]],T_TraitDi[#Data],COLUMN(T_TraitDi[[#This Row],[Colonne3]]),FALSE)=0,"",TEXT(IFERROR(VLOOKUP(T_BilanSocial[[#This Row],[NumL]],T_TraitDi[#Data],COLUMN(T_TraitDi[[#This Row],[Colonne3]]),FALSE),""),"[hh]:mm"))</f>
        <v>#VALUE!</v>
      </c>
      <c r="AI244" s="172" t="e">
        <f>IF(VLOOKUP(T_BilanSocial[[#This Row],[NumL]],T_TraitDi[#Data],COLUMN(T_TraitDi[[#This Row],[Colonne4]]),FALSE)=0,"",TEXT(IFERROR(VLOOKUP(T_BilanSocial[[#This Row],[NumL]],T_TraitDi[#Data],COLUMN(T_TraitDi[[#This Row],[Colonne4]]),FALSE),""),"[hh]:mm"))</f>
        <v>#VALUE!</v>
      </c>
      <c r="AJ244" s="172" t="e">
        <f>IF(VLOOKUP(T_BilanSocial[[#This Row],[NumL]],T_TraitDi[#Data],COLUMN(T_TraitDi[[#This Row],[Colonne5]]),FALSE)=0,"",TEXT(IFERROR(VLOOKUP(T_BilanSocial[[#This Row],[NumL]],T_TraitDi[#Data],COLUMN(T_TraitDi[[#This Row],[Colonne5]]),FALSE),""),"[hh]:mm"))</f>
        <v>#VALUE!</v>
      </c>
      <c r="AK244" s="172" t="e">
        <f>IF(VLOOKUP(T_BilanSocial[[#This Row],[NumL]],T_TraitDi[#Data],COLUMN(T_TraitDi[[#This Row],[Colonne6]]),FALSE)=0,"",TEXT(IFERROR(VLOOKUP(T_BilanSocial[[#This Row],[NumL]],T_TraitDi[#Data],COLUMN(T_TraitDi[[#This Row],[Colonne6]]),FALSE),""),"[hh]:mm"))</f>
        <v>#VALUE!</v>
      </c>
      <c r="AL244" s="172" t="e">
        <f>IF(VLOOKUP(T_BilanSocial[[#This Row],[NumL]],T_TraitDi[#Data],COLUMN(T_TraitDi[[#This Row],[Colonne7]]),FALSE)=0,"",TEXT(IFERROR(VLOOKUP(T_BilanSocial[[#This Row],[NumL]],T_TraitDi[#Data],COLUMN(T_TraitDi[[#This Row],[Colonne7]]),FALSE),""),"[hh]:mm"))</f>
        <v>#VALUE!</v>
      </c>
      <c r="AM244" s="172" t="e">
        <f>IF(VLOOKUP(T_BilanSocial[[#This Row],[NumL]],T_TraitDi[#Data],COLUMN(T_TraitDi[[#This Row],[Colonne8]]),FALSE)=0,"",TEXT(IFERROR(VLOOKUP(T_BilanSocial[[#This Row],[NumL]],T_TraitDi[#Data],COLUMN(T_TraitDi[[#This Row],[Colonne8]]),FALSE),""),"[hh]:mm"))</f>
        <v>#VALUE!</v>
      </c>
      <c r="AN244" s="172" t="str">
        <f>IFERROR(VLOOKUP(T_BilanSocial[[#This Row],[NumL]],T_TraitDi[#Data],COLUMN(T_TraitDi[[#This Row],[Mardi]]),FALSE),"")</f>
        <v/>
      </c>
      <c r="AO244" s="172" t="e">
        <f>IF(VLOOKUP(T_BilanSocial[[#This Row],[NumL]],T_TraitDi[#Data],COLUMN(T_TraitDi[[#This Row],[Colonne1]]),FALSE)=0,"",TEXT(IFERROR(VLOOKUP(T_BilanSocial[[#This Row],[NumL]],T_TraitDi[#Data],COLUMN(T_TraitDi[[#This Row],[Colonne1]]),FALSE),""),"[hh]:mm"))</f>
        <v>#VALUE!</v>
      </c>
      <c r="AP244" s="172" t="e">
        <f>IF(VLOOKUP(T_BilanSocial[[#This Row],[NumL]],T_TraitDi[#Data],COLUMN(T_TraitDi[[#This Row],[Colonne9]]),FALSE)=0,"",TEXT(IFERROR(VLOOKUP(T_BilanSocial[[#This Row],[NumL]],T_TraitDi[#Data],COLUMN(T_TraitDi[[#This Row],[Colonne9]]),FALSE),""),"[hh]:mm"))</f>
        <v>#VALUE!</v>
      </c>
      <c r="AQ244" s="172" t="str">
        <f>IFERROR(VLOOKUP(T_BilanSocial[[#This Row],[NumL]],T_TraitDi[#Data],COLUMN(T_TraitDi[[#This Row],[Colonne10]]),FALSE),"")</f>
        <v/>
      </c>
      <c r="AR244" s="172" t="e">
        <f>IF(VLOOKUP(T_BilanSocial[[#This Row],[NumL]],T_TraitDi[#Data],COLUMN(T_TraitDi[[#This Row],[Colonne11]]),FALSE)=0,"",TEXT(IFERROR(VLOOKUP(T_BilanSocial[[#This Row],[NumL]],T_TraitDi[#Data],COLUMN(T_TraitDi[[#This Row],[Colonne11]]),FALSE),""),"[hh]:mm"))</f>
        <v>#VALUE!</v>
      </c>
      <c r="AS244" s="172" t="e">
        <f>IF(VLOOKUP(T_BilanSocial[[#This Row],[NumL]],T_TraitDi[#Data],COLUMN(T_TraitDi[[#This Row],[Colonne12]]),FALSE)=0,"",TEXT(IFERROR(VLOOKUP(T_BilanSocial[[#This Row],[NumL]],T_TraitDi[#Data],COLUMN(T_TraitDi[[#This Row],[Colonne12]]),FALSE),""),"[hh]:mm"))</f>
        <v>#VALUE!</v>
      </c>
      <c r="AT244" s="172" t="e">
        <f>IF(VLOOKUP(T_BilanSocial[[#This Row],[NumL]],T_TraitDi[#Data],COLUMN(T_TraitDi[[#This Row],[Colonne14]]),FALSE)=0,"",TEXT(IFERROR(VLOOKUP(T_BilanSocial[[#This Row],[NumL]],T_TraitDi[#Data],COLUMN(T_TraitDi[[#This Row],[Colonne14]]),FALSE),""),"[hh]:mm"))</f>
        <v>#VALUE!</v>
      </c>
      <c r="AU244" s="172" t="str">
        <f>IFERROR(VLOOKUP(T_BilanSocial[[#This Row],[NumL]],T_TraitDi[#Data],COLUMN(T_TraitDi[[#This Row],[Mercredi]]),FALSE),"")</f>
        <v/>
      </c>
      <c r="AV244" s="172" t="e">
        <f>IF(VLOOKUP(T_BilanSocial[[#This Row],[NumL]],T_TraitDi[#Data],COLUMN(T_TraitDi[[#This Row],[Colonne15]]),FALSE)=0,"",TEXT(IFERROR(VLOOKUP(T_BilanSocial[[#This Row],[NumL]],T_TraitDi[#Data],COLUMN(T_TraitDi[[#This Row],[Colonne15]]),FALSE),""),"[hh]:mm"))</f>
        <v>#VALUE!</v>
      </c>
      <c r="AW244" s="172" t="e">
        <f>IF(VLOOKUP(T_BilanSocial[[#This Row],[NumL]],T_TraitDi[#Data],COLUMN(T_TraitDi[[#This Row],[Colonne16]]),FALSE)=0,"",TEXT(IFERROR(VLOOKUP(T_BilanSocial[[#This Row],[NumL]],T_TraitDi[#Data],COLUMN(T_TraitDi[[#This Row],[Colonne16]]),FALSE),""),"[hh]:mm"))</f>
        <v>#VALUE!</v>
      </c>
      <c r="AX244" s="172" t="str">
        <f>IFERROR(VLOOKUP(T_BilanSocial[[#This Row],[NumL]],T_TraitDi[#Data],COLUMN(T_TraitDi[[#This Row],[Colonne17]]),FALSE),"")</f>
        <v/>
      </c>
      <c r="AY244" s="172" t="e">
        <f>IF(VLOOKUP(T_BilanSocial[[#This Row],[NumL]],T_TraitDi[#Data],COLUMN(T_TraitDi[[#This Row],[Colonne18]]),FALSE)=0,"",TEXT(IFERROR(VLOOKUP(T_BilanSocial[[#This Row],[NumL]],T_TraitDi[#Data],COLUMN(T_TraitDi[[#This Row],[Colonne18]]),FALSE),""),"[hh]:mm"))</f>
        <v>#VALUE!</v>
      </c>
      <c r="AZ244" s="172" t="e">
        <f>IF(VLOOKUP(T_BilanSocial[[#This Row],[NumL]],T_TraitDi[#Data],COLUMN(T_TraitDi[[#This Row],[Colonne19]]),FALSE)=0,"",TEXT(IFERROR(VLOOKUP(T_BilanSocial[[#This Row],[NumL]],T_TraitDi[#Data],COLUMN(T_TraitDi[[#This Row],[Colonne19]]),FALSE),""),"[hh]:mm"))</f>
        <v>#VALUE!</v>
      </c>
      <c r="BA244" s="172" t="e">
        <f>IF(VLOOKUP(T_BilanSocial[[#This Row],[NumL]],T_TraitDi[#Data],COLUMN(T_TraitDi[[#This Row],[Colonne20]]),FALSE)=0,"",TEXT(IFERROR(VLOOKUP(T_BilanSocial[[#This Row],[NumL]],T_TraitDi[#Data],COLUMN(T_TraitDi[[#This Row],[Colonne20]]),FALSE),""),"[hh]:mm"))</f>
        <v>#VALUE!</v>
      </c>
      <c r="BB244" s="178" t="str">
        <f>IFERROR(VLOOKUP(T_BilanSocial[[#This Row],[NumL]],T_TraitDi[#Data],COLUMN(T_TraitDi[[#This Row],[Jeudi]]),FALSE),"")</f>
        <v/>
      </c>
      <c r="BC244" s="178" t="e">
        <f>IF(VLOOKUP(T_BilanSocial[[#This Row],[NumL]],T_TraitDi[#Data],COLUMN(T_TraitDi[[#This Row],[Colonne21]]),FALSE)=0,"",TEXT(IFERROR(VLOOKUP(T_BilanSocial[[#This Row],[NumL]],T_TraitDi[#Data],COLUMN(T_TraitDi[[#This Row],[Colonne21]]),FALSE),""),"[hh]:mm"))</f>
        <v>#VALUE!</v>
      </c>
      <c r="BD244" s="178" t="e">
        <f>IF(VLOOKUP(T_BilanSocial[[#This Row],[NumL]],T_TraitDi[#Data],COLUMN(T_TraitDi[[#This Row],[Colonne22]]),FALSE)=0,"",TEXT(IFERROR(VLOOKUP(T_BilanSocial[[#This Row],[NumL]],T_TraitDi[#Data],COLUMN(T_TraitDi[[#This Row],[Colonne22]]),FALSE),""),"[hh]:mm"))</f>
        <v>#VALUE!</v>
      </c>
      <c r="BE244" s="178" t="str">
        <f>IFERROR(VLOOKUP(T_BilanSocial[[#This Row],[NumL]],T_TraitDi[#Data],COLUMN(T_TraitDi[[#This Row],[Colonne23]]),FALSE),"")</f>
        <v/>
      </c>
      <c r="BF244" s="178" t="e">
        <f>IF(VLOOKUP(T_BilanSocial[[#This Row],[NumL]],T_TraitDi[#Data],COLUMN(T_TraitDi[[#This Row],[Colonne24]]),FALSE)=0,"",TEXT(IFERROR(VLOOKUP(T_BilanSocial[[#This Row],[NumL]],T_TraitDi[#Data],COLUMN(T_TraitDi[[#This Row],[Colonne24]]),FALSE),""),"[hh]:mm"))</f>
        <v>#VALUE!</v>
      </c>
      <c r="BG244" s="178" t="e">
        <f>IF(VLOOKUP(T_BilanSocial[[#This Row],[NumL]],T_TraitDi[#Data],COLUMN(T_TraitDi[[#This Row],[Colonne25]]),FALSE)=0,"",TEXT(IFERROR(VLOOKUP(T_BilanSocial[[#This Row],[NumL]],T_TraitDi[#Data],COLUMN(T_TraitDi[[#This Row],[Colonne25]]),FALSE),""),"[hh]:mm"))</f>
        <v>#VALUE!</v>
      </c>
      <c r="BH244" s="178" t="e">
        <f>IF(VLOOKUP(T_BilanSocial[[#This Row],[NumL]],T_TraitDi[#Data],COLUMN(T_TraitDi[[#This Row],[Colonne26]]),FALSE)=0,"",TEXT(IFERROR(VLOOKUP(T_BilanSocial[[#This Row],[NumL]],T_TraitDi[#Data],COLUMN(T_TraitDi[[#This Row],[Colonne26]]),FALSE),""),"[hh]:mm"))</f>
        <v>#VALUE!</v>
      </c>
      <c r="BI244" s="172" t="str">
        <f>IFERROR(VLOOKUP(T_BilanSocial[[#This Row],[NumL]],T_TraitDi[#Data],COLUMN(T_TraitDi[[#This Row],[Vendredi]]),FALSE),"")</f>
        <v/>
      </c>
      <c r="BJ244" s="172" t="e">
        <f>IF(VLOOKUP(T_BilanSocial[[#This Row],[NumL]],T_TraitDi[#Data],COLUMN(T_TraitDi[[#This Row],[Colonne27]]),FALSE)=0,"",TEXT(IFERROR(VLOOKUP(T_BilanSocial[[#This Row],[NumL]],T_TraitDi[#Data],COLUMN(T_TraitDi[[#This Row],[Colonne27]]),FALSE),""),"[hh]:mm"))</f>
        <v>#VALUE!</v>
      </c>
      <c r="BK244" s="172" t="e">
        <f>IF(VLOOKUP(T_BilanSocial[[#This Row],[NumL]],T_TraitDi[#Data],COLUMN(T_TraitDi[[#This Row],[Colonne28]]),FALSE)=0,"",TEXT(IFERROR(VLOOKUP(T_BilanSocial[[#This Row],[NumL]],T_TraitDi[#Data],COLUMN(T_TraitDi[[#This Row],[Colonne28]]),FALSE),""),"[hh]:mm"))</f>
        <v>#VALUE!</v>
      </c>
      <c r="BL244" s="172" t="str">
        <f>IFERROR(VLOOKUP(T_BilanSocial[[#This Row],[NumL]],T_TraitDi[#Data],COLUMN(T_TraitDi[[#This Row],[Colonne29]]),FALSE),"")</f>
        <v/>
      </c>
      <c r="BM244" s="172" t="e">
        <f>IF(VLOOKUP(T_BilanSocial[[#This Row],[NumL]],T_TraitDi[#Data],COLUMN(T_TraitDi[[#This Row],[Colonne30]]),FALSE)=0,"",TEXT(IFERROR(VLOOKUP(T_BilanSocial[[#This Row],[NumL]],T_TraitDi[#Data],COLUMN(T_TraitDi[[#This Row],[Colonne30]]),FALSE),""),"[hh]:mm"))</f>
        <v>#VALUE!</v>
      </c>
      <c r="BN244" s="172" t="e">
        <f>IF(VLOOKUP(T_BilanSocial[[#This Row],[NumL]],T_TraitDi[#Data],COLUMN(T_TraitDi[[#This Row],[Colonne31]]),FALSE)=0,"",TEXT(IFERROR(VLOOKUP(T_BilanSocial[[#This Row],[NumL]],T_TraitDi[#Data],COLUMN(T_TraitDi[[#This Row],[Colonne31]]),FALSE),""),"[hh]:mm"))</f>
        <v>#VALUE!</v>
      </c>
      <c r="BO244" s="172" t="e">
        <f>IF(VLOOKUP(T_BilanSocial[[#This Row],[NumL]],T_TraitDi[#Data],COLUMN(T_TraitDi[[#This Row],[Colonne32]]),FALSE)=0,"",TEXT(IFERROR(VLOOKUP(T_BilanSocial[[#This Row],[NumL]],T_TraitDi[#Data],COLUMN(T_TraitDi[[#This Row],[Colonne32]]),FALSE),""),"[hh]:mm"))</f>
        <v>#VALUE!</v>
      </c>
      <c r="BP244" s="172" t="e">
        <f>VLOOKUP(T_BilanSocial[[#This Row],[NumL]],T_TraitDi[#Data],COLUMN(T_TraitDi[NbJTot]),FALSE)</f>
        <v>#N/A</v>
      </c>
      <c r="BQ244" s="174" t="str">
        <f>IFERROR(VLOOKUP(T_BilanSocial[[#This Row],[NumL]],T_TraitDi[#Data],COLUMN(T_TraitDi[[#This Row],[NbJTW]]),FALSE),"")</f>
        <v/>
      </c>
      <c r="BR244" s="174" t="e">
        <f>IF(VLOOKUP(T_BilanSocial[[#This Row],[NumL]],T_TraitDi[#Data],COLUMN(T_TraitDi[[#This Row],[NbhTW]]),FALSE)=0,"",TEXT(IFERROR(VLOOKUP(T_BilanSocial[[#This Row],[NumL]],T_TraitDi[#Data],COLUMN(T_TraitDi[[#This Row],[NbhTW]]),FALSE),""),"[hh]:mm"))</f>
        <v>#VALUE!</v>
      </c>
      <c r="BS244" s="174" t="e">
        <f>IF(VLOOKUP(T_BilanSocial[[#This Row],[NumL]],T_TraitDi[#Data],COLUMN(T_TraitDi[[#This Row],[Nbhheb]]),FALSE)=0,"",TEXT(IFERROR(VLOOKUP($A244,T_TraitDi[#Data],COLUMN(T_TraitDi[[#This Row],[Nbhheb]]),FALSE),""),"[hh]:mm"))</f>
        <v>#VALUE!</v>
      </c>
      <c r="BT244" s="182" t="str">
        <f>IFERROR(VLOOKUP(VLOOKUP($A244,T_TraitDi[#Data],COLUMN(T_TraitDi[[#This Row],[Type1]]),FALSE),TypeTW,2,FALSE),"")</f>
        <v/>
      </c>
      <c r="BU244" s="182" t="str">
        <f>IFERROR(VLOOKUP($A244,T_TraitDi[#Data],COLUMN(T_TraitDi[[#This Row],[Rue1]]),FALSE),"")</f>
        <v/>
      </c>
      <c r="BV244" s="173" t="str">
        <f>IFERROR(VLOOKUP($A244,T_TraitDi[#Data],COLUMN(T_TraitDi[[#This Row],[CP1]]),FALSE),"")</f>
        <v/>
      </c>
      <c r="BW244" s="173" t="str">
        <f>IFERROR(VLOOKUP($A244,T_TraitDi[#Data],COLUMN(T_TraitDi[[#This Row],[VILLE1]]),FALSE),"")</f>
        <v/>
      </c>
      <c r="BX244" s="182" t="str">
        <f>IFERROR(VLOOKUP(VLOOKUP($A244,T_TraitDi[#Data],COLUMN(T_TraitDi[[#This Row],[Type2]]),FALSE),TypeTW,2,FALSE),"")</f>
        <v/>
      </c>
      <c r="BY244" s="182" t="str">
        <f>IFERROR(VLOOKUP($A244,T_TraitDi[#Data],COLUMN(T_TraitDi[[#This Row],[Rue2]]),FALSE),"")</f>
        <v/>
      </c>
      <c r="BZ244" s="173" t="str">
        <f>IFERROR(VLOOKUP($A244,T_TraitDi[#Data],COLUMN(T_TraitDi[[#This Row],[CP2]]),FALSE),"")</f>
        <v/>
      </c>
      <c r="CA244" s="173" t="str">
        <f>IFERROR(VLOOKUP($A244,T_TraitDi[#Data],COLUMN(T_TraitDi[[#This Row],[VILLE2]]),FALSE),"")</f>
        <v/>
      </c>
      <c r="CB244" s="182" t="str">
        <f>IF(VLOOKUP(T_BilanSocial[[#This Row],[NumL]],T_Equipement[#Data],COLUMN(T_Equipement[[#This Row],[PC]]),FALSE)="","Aucun équipement spécifique directement lié au télétravail",VLOOKUP(T_BilanSocial[[#This Row],[NumL]],T_Equipement[#Data],COLUMN(T_Equipement[[#This Row],[PC]]),FALSE))</f>
        <v xml:space="preserve">20-259	</v>
      </c>
      <c r="CC244" s="166" t="str">
        <f>IFERROR(IF(VLOOKUP(T_BilanSocial[[#This Row],[NumL]],T_TraitDi[#Data],COLUMN(T_TraitDi[[#This Row],[Plan]]),FALSE)="OK","Un planning spécifique de télétravail est annexé à la présente convention.",""),"")</f>
        <v/>
      </c>
      <c r="CD244" s="258" t="s">
        <v>3394</v>
      </c>
      <c r="CE244" s="164" t="e">
        <f>IF(VLOOKUP(T_BilanSocial[[#This Row],[NumL]],T_suiviDi[#Data],COLUMN(T_suiviDi[[#This Row],[Entité]]),FALSE)="","",VLOOKUP(T_BilanSocial[[#This Row],[NumL]],T_suiviDi[#Data],COLUMN(T_suiviDi[[#This Row],[Entité]]),FALSE))</f>
        <v>#VALUE!</v>
      </c>
      <c r="CF244" s="164" t="str">
        <f>IF(VLOOKUP(T_BilanSocial[[#This Row],[NumL]],T_Commission[#Data],COLUMN(T_Commission[[#This Row],[envoi confirm TW]]),FALSE)="","",VLOOKUP(T_BilanSocial[[#This Row],[NumL]],T_Commission[#Data],COLUMN(T_Commission[[#This Row],[envoi confirm TW]]),FALSE))</f>
        <v>Oui</v>
      </c>
      <c r="CG24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4" s="262" t="str">
        <f>T_BilanSocial[[#This Row],[Nom]]&amp;T_BilanSocial[[#This Row],[Prenom]]</f>
        <v/>
      </c>
      <c r="CI244" s="262">
        <f>VLOOKUP(T_BilanSocial[[#This Row],[NumL]],T_Commission[#Data],COLUMN(T_Commission[Commentaire]),FALSE)</f>
        <v>0</v>
      </c>
      <c r="CJ244" s="262" t="str">
        <f>IF(VLOOKUP(T_BilanSocial[[#This Row],[NumL]],T_Commission[#Data],COLUMN(T_Commission[Encadrant Email]),FALSE)="","",VLOOKUP(T_BilanSocial[[#This Row],[NumL]],T_Commission[#Data],COLUMN(T_Commission[Encadrant Email]),FALSE))</f>
        <v/>
      </c>
      <c r="CK244" s="340" t="str">
        <f>IF(T_BilanSocial[[#This Row],[Final]]&lt;&gt;"",VLOOKUP(T_BilanSocial[[#This Row],[NumL]],T_suiviDi[#Data],COLUMN((T_suiviDi[Statut])),FALSE),"")</f>
        <v/>
      </c>
    </row>
    <row r="245" spans="1:89" s="106" customFormat="1" ht="24.75" customHeight="1" x14ac:dyDescent="0.25">
      <c r="A245" s="160">
        <v>242</v>
      </c>
      <c r="B245" s="161" t="str">
        <f t="shared" si="34"/>
        <v/>
      </c>
      <c r="C245" s="162" t="s">
        <v>173</v>
      </c>
      <c r="D245" s="95" t="e">
        <f>IF(VLOOKUP(T_BilanSocial[[#This Row],[NumL]],T_TraitDi[#Data],COLUMN(T_TraitDi[[#This Row],[WebC]]),FALSE)="","",VLOOKUP(T_BilanSocial[[#This Row],[NumL]],T_TraitDi[#Data],COLUMN(T_TraitDi[[#This Row],[WebC]]),FALSE))</f>
        <v>#VALUE!</v>
      </c>
      <c r="E245" s="163" t="str">
        <f t="shared" si="35"/>
        <v>12 janvier 2021</v>
      </c>
      <c r="F245" s="96" t="str">
        <f>IF(T_BilanSocial[[#This Row],[Final]]&lt;&gt;"",VLOOKUP(T_BilanSocial[[#This Row],[NumL]],T_suiviDi[#Data],COLUMN((T_suiviDi[Civ.])),FALSE),"")</f>
        <v/>
      </c>
      <c r="G245" s="96" t="str">
        <f>IF(T_BilanSocial[[#This Row],[Final]]&lt;&gt;"",VLOOKUP(T_BilanSocial[[#This Row],[NumL]],T_suiviDi[#Data],COLUMN((T_suiviDi[Nom])),FALSE),"")</f>
        <v/>
      </c>
      <c r="H245" s="96" t="str">
        <f>IF(T_BilanSocial[[#This Row],[Final]]&lt;&gt;"",VLOOKUP(T_BilanSocial[[#This Row],[NumL]],T_suiviDi[#Data],COLUMN((T_suiviDi[Prénom])),FALSE),"")</f>
        <v/>
      </c>
      <c r="I245" s="96" t="str">
        <f>IFERROR(VLOOKUP(T_BilanSocial[[#This Row],[Zone_Bilan]],T_P_BilanSocial[#Data],COLUMN(T_P_BilanSocial[[#This Row],[Numero_SIHAM]]),FALSE),"")</f>
        <v/>
      </c>
      <c r="J245" s="96" t="str">
        <f>IFERROR(VLOOKUP(T_BilanSocial[[#This Row],[Zone_Bilan]],T_P_BilanSocial[#Data],COLUMN(T_P_BilanSocial[[#This Row],[Sexe]]),FALSE),"")</f>
        <v/>
      </c>
      <c r="K245" s="97" t="str">
        <f>IFERROR(VLOOKUP(T_BilanSocial[[#This Row],[Zone_Bilan]],T_P_BilanSocial[#Data],COLUMN(T_P_BilanSocial[[#This Row],[Categorie]]),FALSE),"")</f>
        <v/>
      </c>
      <c r="L245" s="96" t="str">
        <f>IFERROR(VLOOKUP(T_BilanSocial[[#This Row],[Zone_Bilan]],T_P_BilanSocial[#Data],COLUMN(T_P_BilanSocial[[#This Row],[Statut]]),FALSE),"")</f>
        <v/>
      </c>
      <c r="M245" s="96" t="str">
        <f>IFERROR(VLOOKUP(T_BilanSocial[[#This Row],[Zone_Bilan]],T_P_BilanSocial[#Data],COLUMN(T_P_BilanSocial[[#This Row],[Filiere]]),FALSE),"")</f>
        <v/>
      </c>
      <c r="N245" s="96" t="e">
        <f>VLOOKUP(T_BilanSocial[[#This Row],[NumL]],T_TraitDi[#Data],COLUMN(T_TraitDi[EXP]),FALSE)</f>
        <v>#N/A</v>
      </c>
      <c r="O245" s="96" t="e">
        <f>VLOOKUP(T_BilanSocial[[#This Row],[NumL]],T_TraitDi[#Data],COLUMN(T_TraitDi[FORM]),FALSE)</f>
        <v>#N/A</v>
      </c>
      <c r="P245" s="96" t="str">
        <f>IF(T_BilanSocial[[#This Row],[Final]]&lt;&gt;"",VLOOKUP(T_BilanSocial[[#This Row],[NumL]],T_suiviDi[#Data],COLUMN((T_suiviDi[Email])),FALSE),"")</f>
        <v/>
      </c>
      <c r="Q245" s="164" t="e">
        <f t="shared" si="40"/>
        <v>#N/A</v>
      </c>
      <c r="R245" s="164" t="e">
        <f t="shared" si="41"/>
        <v>#N/A</v>
      </c>
      <c r="S245" s="164" t="e">
        <f>IF(VLOOKUP(T_BilanSocial[[#This Row],[NumL]],T_suiviDi[#Data],COLUMN(T_suiviDi[[#This Row],[Service ]]),FALSE)="","",VLOOKUP(T_BilanSocial[[#This Row],[NumL]],T_suiviDi[#Data],COLUMN(T_suiviDi[[#This Row],[Service ]]),FALSE))</f>
        <v>#VALUE!</v>
      </c>
      <c r="T245" s="164" t="str">
        <f t="shared" si="36"/>
        <v>01 septembre 2021</v>
      </c>
      <c r="U245" s="164" t="str">
        <f t="shared" si="37"/>
        <v>30 novembre 2021</v>
      </c>
      <c r="V245" s="164" t="str">
        <f t="shared" si="43"/>
        <v>30 novembre 2021</v>
      </c>
      <c r="W245" s="176" t="e">
        <f>IF(VLOOKUP(T_BilanSocial[[#This Row],[NumL]],T_TraitDi[#Data],COLUMN(T_TraitDi[[#This Row],[M1]]),FALSE)="","",VLOOKUP(T_BilanSocial[[#This Row],[NumL]],T_TraitDi[#Data],COLUMN(T_TraitDi[[#This Row],[M1]]),FALSE))</f>
        <v>#VALUE!</v>
      </c>
      <c r="X245" s="176" t="e">
        <f>IF(VLOOKUP(T_BilanSocial[[#This Row],[NumL]],T_TraitDi[#Data],COLUMN(T_TraitDi[[#This Row],[M2]]),FALSE)="","",VLOOKUP(T_BilanSocial[[#This Row],[NumL]],T_TraitDi[#Data],COLUMN(T_TraitDi[[#This Row],[M2]]),FALSE))</f>
        <v>#VALUE!</v>
      </c>
      <c r="Y245" s="176" t="e">
        <f>IF(VLOOKUP(T_BilanSocial[[#This Row],[NumL]],T_TraitDi[#Data],COLUMN(T_TraitDi[[#This Row],[M3]]),FALSE)="","",VLOOKUP(T_BilanSocial[[#This Row],[NumL]],T_TraitDi[#Data],COLUMN(T_TraitDi[[#This Row],[M3]]),FALSE))</f>
        <v>#VALUE!</v>
      </c>
      <c r="Z245" s="176" t="str">
        <f t="shared" si="39"/>
        <v/>
      </c>
      <c r="AA245" s="176" t="e">
        <f>IF(VLOOKUP(T_BilanSocial[[#This Row],[NumL]],T_TraitDi[#Data],COLUMN(T_TraitDi[[#This Row],[M5]]),FALSE)="","",VLOOKUP(T_BilanSocial[[#This Row],[NumL]],T_TraitDi[#Data],COLUMN(T_TraitDi[[#This Row],[M5]]),FALSE))</f>
        <v>#VALUE!</v>
      </c>
      <c r="AB245" s="176" t="e">
        <f>IF(VLOOKUP(T_BilanSocial[[#This Row],[NumL]],T_TraitDi[#Data],COLUMN(T_TraitDi[[#This Row],[M6]]),FALSE)="","",VLOOKUP(T_BilanSocial[[#This Row],[NumL]],T_TraitDi[#Data],COLUMN(T_TraitDi[[#This Row],[M6]]),FALSE))</f>
        <v>#VALUE!</v>
      </c>
      <c r="AC245" s="165" t="e">
        <f t="shared" si="38"/>
        <v>#VALUE!</v>
      </c>
      <c r="AD245" s="188" t="str">
        <f>IFERROR(TEXT(VLOOKUP(T_BilanSocial[[#This Row],[NumL]],T_TraitDi[#Data],COLUMN(T_TraitDi[[#This Row],[Q2]]),FALSE),"###%"),"")</f>
        <v/>
      </c>
      <c r="AE245" s="97" t="e">
        <f>VLOOKUP(T_BilanSocial[[#This Row],[NumL]],T_TraitDi[#Data],COLUMN(T_TraitDi[[#This Row],[Reg Ponct]]),FALSE)</f>
        <v>#VALUE!</v>
      </c>
      <c r="AF245" s="97" t="e">
        <f>VLOOKUP(T_BilanSocial[NumL],T_TraitDi[#Data],COLUMN(T_TraitDi[[#This Row],[Jours flottants]]),FALSE)</f>
        <v>#VALUE!</v>
      </c>
      <c r="AG245" s="97" t="str">
        <f>IFERROR(VLOOKUP(T_BilanSocial[[#This Row],[NumL]],T_TraitDi[#Data],COLUMN(T_TraitDi[[#This Row],[Lundi]]),FALSE),"")</f>
        <v/>
      </c>
      <c r="AH245" s="172" t="e">
        <f>IF(VLOOKUP(T_BilanSocial[[#This Row],[NumL]],T_TraitDi[#Data],COLUMN(T_TraitDi[[#This Row],[Colonne3]]),FALSE)=0,"",TEXT(IFERROR(VLOOKUP(T_BilanSocial[[#This Row],[NumL]],T_TraitDi[#Data],COLUMN(T_TraitDi[[#This Row],[Colonne3]]),FALSE),""),"[hh]:mm"))</f>
        <v>#VALUE!</v>
      </c>
      <c r="AI245" s="172" t="e">
        <f>IF(VLOOKUP(T_BilanSocial[[#This Row],[NumL]],T_TraitDi[#Data],COLUMN(T_TraitDi[[#This Row],[Colonne4]]),FALSE)=0,"",TEXT(IFERROR(VLOOKUP(T_BilanSocial[[#This Row],[NumL]],T_TraitDi[#Data],COLUMN(T_TraitDi[[#This Row],[Colonne4]]),FALSE),""),"[hh]:mm"))</f>
        <v>#VALUE!</v>
      </c>
      <c r="AJ245" s="172" t="e">
        <f>IF(VLOOKUP(T_BilanSocial[[#This Row],[NumL]],T_TraitDi[#Data],COLUMN(T_TraitDi[[#This Row],[Colonne5]]),FALSE)=0,"",TEXT(IFERROR(VLOOKUP(T_BilanSocial[[#This Row],[NumL]],T_TraitDi[#Data],COLUMN(T_TraitDi[[#This Row],[Colonne5]]),FALSE),""),"[hh]:mm"))</f>
        <v>#VALUE!</v>
      </c>
      <c r="AK245" s="172" t="e">
        <f>IF(VLOOKUP(T_BilanSocial[[#This Row],[NumL]],T_TraitDi[#Data],COLUMN(T_TraitDi[[#This Row],[Colonne6]]),FALSE)=0,"",TEXT(IFERROR(VLOOKUP(T_BilanSocial[[#This Row],[NumL]],T_TraitDi[#Data],COLUMN(T_TraitDi[[#This Row],[Colonne6]]),FALSE),""),"[hh]:mm"))</f>
        <v>#VALUE!</v>
      </c>
      <c r="AL245" s="172" t="e">
        <f>IF(VLOOKUP(T_BilanSocial[[#This Row],[NumL]],T_TraitDi[#Data],COLUMN(T_TraitDi[[#This Row],[Colonne7]]),FALSE)=0,"",TEXT(IFERROR(VLOOKUP(T_BilanSocial[[#This Row],[NumL]],T_TraitDi[#Data],COLUMN(T_TraitDi[[#This Row],[Colonne7]]),FALSE),""),"[hh]:mm"))</f>
        <v>#VALUE!</v>
      </c>
      <c r="AM245" s="172" t="e">
        <f>IF(VLOOKUP(T_BilanSocial[[#This Row],[NumL]],T_TraitDi[#Data],COLUMN(T_TraitDi[[#This Row],[Colonne8]]),FALSE)=0,"",TEXT(IFERROR(VLOOKUP(T_BilanSocial[[#This Row],[NumL]],T_TraitDi[#Data],COLUMN(T_TraitDi[[#This Row],[Colonne8]]),FALSE),""),"[hh]:mm"))</f>
        <v>#VALUE!</v>
      </c>
      <c r="AN245" s="172" t="str">
        <f>IFERROR(VLOOKUP(T_BilanSocial[[#This Row],[NumL]],T_TraitDi[#Data],COLUMN(T_TraitDi[[#This Row],[Mardi]]),FALSE),"")</f>
        <v/>
      </c>
      <c r="AO245" s="172" t="e">
        <f>IF(VLOOKUP(T_BilanSocial[[#This Row],[NumL]],T_TraitDi[#Data],COLUMN(T_TraitDi[[#This Row],[Colonne1]]),FALSE)=0,"",TEXT(IFERROR(VLOOKUP(T_BilanSocial[[#This Row],[NumL]],T_TraitDi[#Data],COLUMN(T_TraitDi[[#This Row],[Colonne1]]),FALSE),""),"[hh]:mm"))</f>
        <v>#VALUE!</v>
      </c>
      <c r="AP245" s="172" t="e">
        <f>IF(VLOOKUP(T_BilanSocial[[#This Row],[NumL]],T_TraitDi[#Data],COLUMN(T_TraitDi[[#This Row],[Colonne9]]),FALSE)=0,"",TEXT(IFERROR(VLOOKUP(T_BilanSocial[[#This Row],[NumL]],T_TraitDi[#Data],COLUMN(T_TraitDi[[#This Row],[Colonne9]]),FALSE),""),"[hh]:mm"))</f>
        <v>#VALUE!</v>
      </c>
      <c r="AQ245" s="172" t="str">
        <f>IFERROR(VLOOKUP(T_BilanSocial[[#This Row],[NumL]],T_TraitDi[#Data],COLUMN(T_TraitDi[[#This Row],[Colonne10]]),FALSE),"")</f>
        <v/>
      </c>
      <c r="AR245" s="172" t="e">
        <f>IF(VLOOKUP(T_BilanSocial[[#This Row],[NumL]],T_TraitDi[#Data],COLUMN(T_TraitDi[[#This Row],[Colonne11]]),FALSE)=0,"",TEXT(IFERROR(VLOOKUP(T_BilanSocial[[#This Row],[NumL]],T_TraitDi[#Data],COLUMN(T_TraitDi[[#This Row],[Colonne11]]),FALSE),""),"[hh]:mm"))</f>
        <v>#VALUE!</v>
      </c>
      <c r="AS245" s="172" t="e">
        <f>IF(VLOOKUP(T_BilanSocial[[#This Row],[NumL]],T_TraitDi[#Data],COLUMN(T_TraitDi[[#This Row],[Colonne12]]),FALSE)=0,"",TEXT(IFERROR(VLOOKUP(T_BilanSocial[[#This Row],[NumL]],T_TraitDi[#Data],COLUMN(T_TraitDi[[#This Row],[Colonne12]]),FALSE),""),"[hh]:mm"))</f>
        <v>#VALUE!</v>
      </c>
      <c r="AT245" s="172" t="e">
        <f>IF(VLOOKUP(T_BilanSocial[[#This Row],[NumL]],T_TraitDi[#Data],COLUMN(T_TraitDi[[#This Row],[Colonne14]]),FALSE)=0,"",TEXT(IFERROR(VLOOKUP(T_BilanSocial[[#This Row],[NumL]],T_TraitDi[#Data],COLUMN(T_TraitDi[[#This Row],[Colonne14]]),FALSE),""),"[hh]:mm"))</f>
        <v>#VALUE!</v>
      </c>
      <c r="AU245" s="172" t="str">
        <f>IFERROR(VLOOKUP(T_BilanSocial[[#This Row],[NumL]],T_TraitDi[#Data],COLUMN(T_TraitDi[[#This Row],[Mercredi]]),FALSE),"")</f>
        <v/>
      </c>
      <c r="AV245" s="172" t="e">
        <f>IF(VLOOKUP(T_BilanSocial[[#This Row],[NumL]],T_TraitDi[#Data],COLUMN(T_TraitDi[[#This Row],[Colonne15]]),FALSE)=0,"",TEXT(IFERROR(VLOOKUP(T_BilanSocial[[#This Row],[NumL]],T_TraitDi[#Data],COLUMN(T_TraitDi[[#This Row],[Colonne15]]),FALSE),""),"[hh]:mm"))</f>
        <v>#VALUE!</v>
      </c>
      <c r="AW245" s="172" t="e">
        <f>IF(VLOOKUP(T_BilanSocial[[#This Row],[NumL]],T_TraitDi[#Data],COLUMN(T_TraitDi[[#This Row],[Colonne16]]),FALSE)=0,"",TEXT(IFERROR(VLOOKUP(T_BilanSocial[[#This Row],[NumL]],T_TraitDi[#Data],COLUMN(T_TraitDi[[#This Row],[Colonne16]]),FALSE),""),"[hh]:mm"))</f>
        <v>#VALUE!</v>
      </c>
      <c r="AX245" s="172" t="str">
        <f>IFERROR(VLOOKUP(T_BilanSocial[[#This Row],[NumL]],T_TraitDi[#Data],COLUMN(T_TraitDi[[#This Row],[Colonne17]]),FALSE),"")</f>
        <v/>
      </c>
      <c r="AY245" s="172" t="e">
        <f>IF(VLOOKUP(T_BilanSocial[[#This Row],[NumL]],T_TraitDi[#Data],COLUMN(T_TraitDi[[#This Row],[Colonne18]]),FALSE)=0,"",TEXT(IFERROR(VLOOKUP(T_BilanSocial[[#This Row],[NumL]],T_TraitDi[#Data],COLUMN(T_TraitDi[[#This Row],[Colonne18]]),FALSE),""),"[hh]:mm"))</f>
        <v>#VALUE!</v>
      </c>
      <c r="AZ245" s="172" t="e">
        <f>IF(VLOOKUP(T_BilanSocial[[#This Row],[NumL]],T_TraitDi[#Data],COLUMN(T_TraitDi[[#This Row],[Colonne19]]),FALSE)=0,"",TEXT(IFERROR(VLOOKUP(T_BilanSocial[[#This Row],[NumL]],T_TraitDi[#Data],COLUMN(T_TraitDi[[#This Row],[Colonne19]]),FALSE),""),"[hh]:mm"))</f>
        <v>#VALUE!</v>
      </c>
      <c r="BA245" s="172" t="e">
        <f>IF(VLOOKUP(T_BilanSocial[[#This Row],[NumL]],T_TraitDi[#Data],COLUMN(T_TraitDi[[#This Row],[Colonne20]]),FALSE)=0,"",TEXT(IFERROR(VLOOKUP(T_BilanSocial[[#This Row],[NumL]],T_TraitDi[#Data],COLUMN(T_TraitDi[[#This Row],[Colonne20]]),FALSE),""),"[hh]:mm"))</f>
        <v>#VALUE!</v>
      </c>
      <c r="BB245" s="178" t="str">
        <f>IFERROR(VLOOKUP(T_BilanSocial[[#This Row],[NumL]],T_TraitDi[#Data],COLUMN(T_TraitDi[[#This Row],[Jeudi]]),FALSE),"")</f>
        <v/>
      </c>
      <c r="BC245" s="178" t="e">
        <f>IF(VLOOKUP(T_BilanSocial[[#This Row],[NumL]],T_TraitDi[#Data],COLUMN(T_TraitDi[[#This Row],[Colonne21]]),FALSE)=0,"",TEXT(IFERROR(VLOOKUP(T_BilanSocial[[#This Row],[NumL]],T_TraitDi[#Data],COLUMN(T_TraitDi[[#This Row],[Colonne21]]),FALSE),""),"[hh]:mm"))</f>
        <v>#VALUE!</v>
      </c>
      <c r="BD245" s="178" t="e">
        <f>IF(VLOOKUP(T_BilanSocial[[#This Row],[NumL]],T_TraitDi[#Data],COLUMN(T_TraitDi[[#This Row],[Colonne22]]),FALSE)=0,"",TEXT(IFERROR(VLOOKUP(T_BilanSocial[[#This Row],[NumL]],T_TraitDi[#Data],COLUMN(T_TraitDi[[#This Row],[Colonne22]]),FALSE),""),"[hh]:mm"))</f>
        <v>#VALUE!</v>
      </c>
      <c r="BE245" s="178" t="str">
        <f>IFERROR(VLOOKUP(T_BilanSocial[[#This Row],[NumL]],T_TraitDi[#Data],COLUMN(T_TraitDi[[#This Row],[Colonne23]]),FALSE),"")</f>
        <v/>
      </c>
      <c r="BF245" s="178" t="e">
        <f>IF(VLOOKUP(T_BilanSocial[[#This Row],[NumL]],T_TraitDi[#Data],COLUMN(T_TraitDi[[#This Row],[Colonne24]]),FALSE)=0,"",TEXT(IFERROR(VLOOKUP(T_BilanSocial[[#This Row],[NumL]],T_TraitDi[#Data],COLUMN(T_TraitDi[[#This Row],[Colonne24]]),FALSE),""),"[hh]:mm"))</f>
        <v>#VALUE!</v>
      </c>
      <c r="BG245" s="178" t="e">
        <f>IF(VLOOKUP(T_BilanSocial[[#This Row],[NumL]],T_TraitDi[#Data],COLUMN(T_TraitDi[[#This Row],[Colonne25]]),FALSE)=0,"",TEXT(IFERROR(VLOOKUP(T_BilanSocial[[#This Row],[NumL]],T_TraitDi[#Data],COLUMN(T_TraitDi[[#This Row],[Colonne25]]),FALSE),""),"[hh]:mm"))</f>
        <v>#VALUE!</v>
      </c>
      <c r="BH245" s="178" t="e">
        <f>IF(VLOOKUP(T_BilanSocial[[#This Row],[NumL]],T_TraitDi[#Data],COLUMN(T_TraitDi[[#This Row],[Colonne26]]),FALSE)=0,"",TEXT(IFERROR(VLOOKUP(T_BilanSocial[[#This Row],[NumL]],T_TraitDi[#Data],COLUMN(T_TraitDi[[#This Row],[Colonne26]]),FALSE),""),"[hh]:mm"))</f>
        <v>#VALUE!</v>
      </c>
      <c r="BI245" s="172" t="str">
        <f>IFERROR(VLOOKUP(T_BilanSocial[[#This Row],[NumL]],T_TraitDi[#Data],COLUMN(T_TraitDi[[#This Row],[Vendredi]]),FALSE),"")</f>
        <v/>
      </c>
      <c r="BJ245" s="172" t="e">
        <f>IF(VLOOKUP(T_BilanSocial[[#This Row],[NumL]],T_TraitDi[#Data],COLUMN(T_TraitDi[[#This Row],[Colonne27]]),FALSE)=0,"",TEXT(IFERROR(VLOOKUP(T_BilanSocial[[#This Row],[NumL]],T_TraitDi[#Data],COLUMN(T_TraitDi[[#This Row],[Colonne27]]),FALSE),""),"[hh]:mm"))</f>
        <v>#VALUE!</v>
      </c>
      <c r="BK245" s="172" t="e">
        <f>IF(VLOOKUP(T_BilanSocial[[#This Row],[NumL]],T_TraitDi[#Data],COLUMN(T_TraitDi[[#This Row],[Colonne28]]),FALSE)=0,"",TEXT(IFERROR(VLOOKUP(T_BilanSocial[[#This Row],[NumL]],T_TraitDi[#Data],COLUMN(T_TraitDi[[#This Row],[Colonne28]]),FALSE),""),"[hh]:mm"))</f>
        <v>#VALUE!</v>
      </c>
      <c r="BL245" s="172" t="str">
        <f>IFERROR(VLOOKUP(T_BilanSocial[[#This Row],[NumL]],T_TraitDi[#Data],COLUMN(T_TraitDi[[#This Row],[Colonne29]]),FALSE),"")</f>
        <v/>
      </c>
      <c r="BM245" s="172" t="e">
        <f>IF(VLOOKUP(T_BilanSocial[[#This Row],[NumL]],T_TraitDi[#Data],COLUMN(T_TraitDi[[#This Row],[Colonne30]]),FALSE)=0,"",TEXT(IFERROR(VLOOKUP(T_BilanSocial[[#This Row],[NumL]],T_TraitDi[#Data],COLUMN(T_TraitDi[[#This Row],[Colonne30]]),FALSE),""),"[hh]:mm"))</f>
        <v>#VALUE!</v>
      </c>
      <c r="BN245" s="172" t="e">
        <f>IF(VLOOKUP(T_BilanSocial[[#This Row],[NumL]],T_TraitDi[#Data],COLUMN(T_TraitDi[[#This Row],[Colonne31]]),FALSE)=0,"",TEXT(IFERROR(VLOOKUP(T_BilanSocial[[#This Row],[NumL]],T_TraitDi[#Data],COLUMN(T_TraitDi[[#This Row],[Colonne31]]),FALSE),""),"[hh]:mm"))</f>
        <v>#VALUE!</v>
      </c>
      <c r="BO245" s="172" t="e">
        <f>IF(VLOOKUP(T_BilanSocial[[#This Row],[NumL]],T_TraitDi[#Data],COLUMN(T_TraitDi[[#This Row],[Colonne32]]),FALSE)=0,"",TEXT(IFERROR(VLOOKUP(T_BilanSocial[[#This Row],[NumL]],T_TraitDi[#Data],COLUMN(T_TraitDi[[#This Row],[Colonne32]]),FALSE),""),"[hh]:mm"))</f>
        <v>#VALUE!</v>
      </c>
      <c r="BP245" s="172" t="e">
        <f>VLOOKUP(T_BilanSocial[[#This Row],[NumL]],T_TraitDi[#Data],COLUMN(T_TraitDi[NbJTot]),FALSE)</f>
        <v>#N/A</v>
      </c>
      <c r="BQ245" s="174" t="str">
        <f>IFERROR(VLOOKUP(T_BilanSocial[[#This Row],[NumL]],T_TraitDi[#Data],COLUMN(T_TraitDi[[#This Row],[NbJTW]]),FALSE),"")</f>
        <v/>
      </c>
      <c r="BR245" s="174" t="e">
        <f>IF(VLOOKUP(T_BilanSocial[[#This Row],[NumL]],T_TraitDi[#Data],COLUMN(T_TraitDi[[#This Row],[NbhTW]]),FALSE)=0,"",TEXT(IFERROR(VLOOKUP(T_BilanSocial[[#This Row],[NumL]],T_TraitDi[#Data],COLUMN(T_TraitDi[[#This Row],[NbhTW]]),FALSE),""),"[hh]:mm"))</f>
        <v>#VALUE!</v>
      </c>
      <c r="BS245" s="174" t="e">
        <f>IF(VLOOKUP(T_BilanSocial[[#This Row],[NumL]],T_TraitDi[#Data],COLUMN(T_TraitDi[[#This Row],[Nbhheb]]),FALSE)=0,"",TEXT(IFERROR(VLOOKUP($A245,T_TraitDi[#Data],COLUMN(T_TraitDi[[#This Row],[Nbhheb]]),FALSE),""),"[hh]:mm"))</f>
        <v>#VALUE!</v>
      </c>
      <c r="BT245" s="182" t="str">
        <f>IFERROR(VLOOKUP(VLOOKUP($A245,T_TraitDi[#Data],COLUMN(T_TraitDi[[#This Row],[Type1]]),FALSE),TypeTW,2,FALSE),"")</f>
        <v/>
      </c>
      <c r="BU245" s="182" t="str">
        <f>IFERROR(VLOOKUP($A245,T_TraitDi[#Data],COLUMN(T_TraitDi[[#This Row],[Rue1]]),FALSE),"")</f>
        <v/>
      </c>
      <c r="BV245" s="173" t="str">
        <f>IFERROR(VLOOKUP($A245,T_TraitDi[#Data],COLUMN(T_TraitDi[[#This Row],[CP1]]),FALSE),"")</f>
        <v/>
      </c>
      <c r="BW245" s="173" t="str">
        <f>IFERROR(VLOOKUP($A245,T_TraitDi[#Data],COLUMN(T_TraitDi[[#This Row],[VILLE1]]),FALSE),"")</f>
        <v/>
      </c>
      <c r="BX245" s="182" t="str">
        <f>IFERROR(VLOOKUP(VLOOKUP($A245,T_TraitDi[#Data],COLUMN(T_TraitDi[[#This Row],[Type2]]),FALSE),TypeTW,2,FALSE),"")</f>
        <v/>
      </c>
      <c r="BY245" s="182" t="str">
        <f>IFERROR(VLOOKUP($A245,T_TraitDi[#Data],COLUMN(T_TraitDi[[#This Row],[Rue2]]),FALSE),"")</f>
        <v/>
      </c>
      <c r="BZ245" s="173" t="str">
        <f>IFERROR(VLOOKUP($A245,T_TraitDi[#Data],COLUMN(T_TraitDi[[#This Row],[CP2]]),FALSE),"")</f>
        <v/>
      </c>
      <c r="CA245" s="173" t="str">
        <f>IFERROR(VLOOKUP($A245,T_TraitDi[#Data],COLUMN(T_TraitDi[[#This Row],[VILLE2]]),FALSE),"")</f>
        <v/>
      </c>
      <c r="CB245" s="182" t="str">
        <f>IF(VLOOKUP(T_BilanSocial[[#This Row],[NumL]],T_Equipement[#Data],COLUMN(T_Equipement[[#This Row],[PC]]),FALSE)="","Aucun équipement spécifique directement lié au télétravail",VLOOKUP(T_BilanSocial[[#This Row],[NumL]],T_Equipement[#Data],COLUMN(T_Equipement[[#This Row],[PC]]),FALSE))</f>
        <v xml:space="preserve">20-250	</v>
      </c>
      <c r="CC245" s="166" t="str">
        <f>IFERROR(IF(VLOOKUP(T_BilanSocial[[#This Row],[NumL]],T_TraitDi[#Data],COLUMN(T_TraitDi[[#This Row],[Plan]]),FALSE)="OK","Un planning spécifique de télétravail est annexé à la présente convention.",""),"")</f>
        <v/>
      </c>
      <c r="CD245" s="258" t="s">
        <v>3432</v>
      </c>
      <c r="CE245" s="164" t="e">
        <f>IF(VLOOKUP(T_BilanSocial[[#This Row],[NumL]],T_suiviDi[#Data],COLUMN(T_suiviDi[[#This Row],[Entité]]),FALSE)="","",VLOOKUP(T_BilanSocial[[#This Row],[NumL]],T_suiviDi[#Data],COLUMN(T_suiviDi[[#This Row],[Entité]]),FALSE))</f>
        <v>#VALUE!</v>
      </c>
      <c r="CF245" s="164" t="str">
        <f>IF(VLOOKUP(T_BilanSocial[[#This Row],[NumL]],T_Commission[#Data],COLUMN(T_Commission[[#This Row],[envoi confirm TW]]),FALSE)="","",VLOOKUP(T_BilanSocial[[#This Row],[NumL]],T_Commission[#Data],COLUMN(T_Commission[[#This Row],[envoi confirm TW]]),FALSE))</f>
        <v>Oui</v>
      </c>
      <c r="CG24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5" s="262" t="str">
        <f>T_BilanSocial[[#This Row],[Nom]]&amp;T_BilanSocial[[#This Row],[Prenom]]</f>
        <v/>
      </c>
      <c r="CI245" s="262">
        <f>VLOOKUP(T_BilanSocial[[#This Row],[NumL]],T_Commission[#Data],COLUMN(T_Commission[Commentaire]),FALSE)</f>
        <v>0</v>
      </c>
      <c r="CJ245" s="262" t="str">
        <f>IF(VLOOKUP(T_BilanSocial[[#This Row],[NumL]],T_Commission[#Data],COLUMN(T_Commission[Encadrant Email]),FALSE)="","",VLOOKUP(T_BilanSocial[[#This Row],[NumL]],T_Commission[#Data],COLUMN(T_Commission[Encadrant Email]),FALSE))</f>
        <v/>
      </c>
      <c r="CK245" s="340" t="str">
        <f>IF(T_BilanSocial[[#This Row],[Final]]&lt;&gt;"",VLOOKUP(T_BilanSocial[[#This Row],[NumL]],T_suiviDi[#Data],COLUMN((T_suiviDi[Statut])),FALSE),"")</f>
        <v/>
      </c>
    </row>
    <row r="246" spans="1:89" s="106" customFormat="1" ht="24.75" customHeight="1" x14ac:dyDescent="0.25">
      <c r="A246" s="160">
        <v>243</v>
      </c>
      <c r="B246" s="161" t="str">
        <f t="shared" si="34"/>
        <v/>
      </c>
      <c r="C246" s="162" t="s">
        <v>3287</v>
      </c>
      <c r="D246" s="95" t="e">
        <f>IF(VLOOKUP(T_BilanSocial[[#This Row],[NumL]],T_TraitDi[#Data],COLUMN(T_TraitDi[[#This Row],[WebC]]),FALSE)="","",VLOOKUP(T_BilanSocial[[#This Row],[NumL]],T_TraitDi[#Data],COLUMN(T_TraitDi[[#This Row],[WebC]]),FALSE))</f>
        <v>#VALUE!</v>
      </c>
      <c r="E246" s="163" t="str">
        <f t="shared" si="35"/>
        <v>12 janvier 2021</v>
      </c>
      <c r="F246" s="96" t="str">
        <f>IF(T_BilanSocial[[#This Row],[Final]]&lt;&gt;"",VLOOKUP(T_BilanSocial[[#This Row],[NumL]],T_suiviDi[#Data],COLUMN((T_suiviDi[Civ.])),FALSE),"")</f>
        <v/>
      </c>
      <c r="G246" s="96" t="str">
        <f>IF(T_BilanSocial[[#This Row],[Final]]&lt;&gt;"",VLOOKUP(T_BilanSocial[[#This Row],[NumL]],T_suiviDi[#Data],COLUMN((T_suiviDi[Nom])),FALSE),"")</f>
        <v/>
      </c>
      <c r="H246" s="96" t="str">
        <f>IF(T_BilanSocial[[#This Row],[Final]]&lt;&gt;"",VLOOKUP(T_BilanSocial[[#This Row],[NumL]],T_suiviDi[#Data],COLUMN((T_suiviDi[Prénom])),FALSE),"")</f>
        <v/>
      </c>
      <c r="I246" s="96" t="str">
        <f>IFERROR(VLOOKUP(T_BilanSocial[[#This Row],[Zone_Bilan]],T_P_BilanSocial[#Data],COLUMN(T_P_BilanSocial[[#This Row],[Numero_SIHAM]]),FALSE),"")</f>
        <v/>
      </c>
      <c r="J246" s="96" t="str">
        <f>IFERROR(VLOOKUP(T_BilanSocial[[#This Row],[Zone_Bilan]],T_P_BilanSocial[#Data],COLUMN(T_P_BilanSocial[[#This Row],[Sexe]]),FALSE),"")</f>
        <v/>
      </c>
      <c r="K246" s="97" t="str">
        <f>IFERROR(VLOOKUP(T_BilanSocial[[#This Row],[Zone_Bilan]],T_P_BilanSocial[#Data],COLUMN(T_P_BilanSocial[[#This Row],[Categorie]]),FALSE),"")</f>
        <v/>
      </c>
      <c r="L246" s="96" t="str">
        <f>IFERROR(VLOOKUP(T_BilanSocial[[#This Row],[Zone_Bilan]],T_P_BilanSocial[#Data],COLUMN(T_P_BilanSocial[[#This Row],[Statut]]),FALSE),"")</f>
        <v/>
      </c>
      <c r="M246" s="96" t="str">
        <f>IFERROR(VLOOKUP(T_BilanSocial[[#This Row],[Zone_Bilan]],T_P_BilanSocial[#Data],COLUMN(T_P_BilanSocial[[#This Row],[Filiere]]),FALSE),"")</f>
        <v/>
      </c>
      <c r="N246" s="96" t="e">
        <f>VLOOKUP(T_BilanSocial[[#This Row],[NumL]],T_TraitDi[#Data],COLUMN(T_TraitDi[EXP]),FALSE)</f>
        <v>#N/A</v>
      </c>
      <c r="O246" s="96" t="e">
        <f>VLOOKUP(T_BilanSocial[[#This Row],[NumL]],T_TraitDi[#Data],COLUMN(T_TraitDi[FORM]),FALSE)</f>
        <v>#N/A</v>
      </c>
      <c r="P246" s="96" t="str">
        <f>IF(T_BilanSocial[[#This Row],[Final]]&lt;&gt;"",VLOOKUP(T_BilanSocial[[#This Row],[NumL]],T_suiviDi[#Data],COLUMN((T_suiviDi[Email])),FALSE),"")</f>
        <v/>
      </c>
      <c r="Q246" s="164" t="e">
        <f t="shared" si="40"/>
        <v>#N/A</v>
      </c>
      <c r="R246" s="164" t="e">
        <f t="shared" si="41"/>
        <v>#N/A</v>
      </c>
      <c r="S246" s="164" t="e">
        <f>IF(VLOOKUP(T_BilanSocial[[#This Row],[NumL]],T_suiviDi[#Data],COLUMN(T_suiviDi[[#This Row],[Service ]]),FALSE)="","",VLOOKUP(T_BilanSocial[[#This Row],[NumL]],T_suiviDi[#Data],COLUMN(T_suiviDi[[#This Row],[Service ]]),FALSE))</f>
        <v>#VALUE!</v>
      </c>
      <c r="T246" s="164" t="str">
        <f t="shared" si="36"/>
        <v>01 septembre 2021</v>
      </c>
      <c r="U246" s="164" t="str">
        <f t="shared" si="37"/>
        <v>30 novembre 2021</v>
      </c>
      <c r="V246" s="164" t="str">
        <f t="shared" si="43"/>
        <v>30 novembre 2021</v>
      </c>
      <c r="W246" s="176" t="e">
        <f>IF(VLOOKUP(T_BilanSocial[[#This Row],[NumL]],T_TraitDi[#Data],COLUMN(T_TraitDi[[#This Row],[M1]]),FALSE)="","",VLOOKUP(T_BilanSocial[[#This Row],[NumL]],T_TraitDi[#Data],COLUMN(T_TraitDi[[#This Row],[M1]]),FALSE))</f>
        <v>#VALUE!</v>
      </c>
      <c r="X246" s="176" t="e">
        <f>IF(VLOOKUP(T_BilanSocial[[#This Row],[NumL]],T_TraitDi[#Data],COLUMN(T_TraitDi[[#This Row],[M2]]),FALSE)="","",VLOOKUP(T_BilanSocial[[#This Row],[NumL]],T_TraitDi[#Data],COLUMN(T_TraitDi[[#This Row],[M2]]),FALSE))</f>
        <v>#VALUE!</v>
      </c>
      <c r="Y246" s="176" t="e">
        <f>IF(VLOOKUP(T_BilanSocial[[#This Row],[NumL]],T_TraitDi[#Data],COLUMN(T_TraitDi[[#This Row],[M3]]),FALSE)="","",VLOOKUP(T_BilanSocial[[#This Row],[NumL]],T_TraitDi[#Data],COLUMN(T_TraitDi[[#This Row],[M3]]),FALSE))</f>
        <v>#VALUE!</v>
      </c>
      <c r="Z246" s="176" t="str">
        <f t="shared" si="39"/>
        <v/>
      </c>
      <c r="AA246" s="176" t="e">
        <f>IF(VLOOKUP(T_BilanSocial[[#This Row],[NumL]],T_TraitDi[#Data],COLUMN(T_TraitDi[[#This Row],[M5]]),FALSE)="","",VLOOKUP(T_BilanSocial[[#This Row],[NumL]],T_TraitDi[#Data],COLUMN(T_TraitDi[[#This Row],[M5]]),FALSE))</f>
        <v>#VALUE!</v>
      </c>
      <c r="AB246" s="176" t="e">
        <f>IF(VLOOKUP(T_BilanSocial[[#This Row],[NumL]],T_TraitDi[#Data],COLUMN(T_TraitDi[[#This Row],[M6]]),FALSE)="","",VLOOKUP(T_BilanSocial[[#This Row],[NumL]],T_TraitDi[#Data],COLUMN(T_TraitDi[[#This Row],[M6]]),FALSE))</f>
        <v>#VALUE!</v>
      </c>
      <c r="AC246" s="165" t="e">
        <f t="shared" si="38"/>
        <v>#VALUE!</v>
      </c>
      <c r="AD246" s="188" t="str">
        <f>IFERROR(TEXT(VLOOKUP(T_BilanSocial[[#This Row],[NumL]],T_TraitDi[#Data],COLUMN(T_TraitDi[[#This Row],[Q2]]),FALSE),"###%"),"")</f>
        <v/>
      </c>
      <c r="AE246" s="97" t="e">
        <f>VLOOKUP(T_BilanSocial[[#This Row],[NumL]],T_TraitDi[#Data],COLUMN(T_TraitDi[[#This Row],[Reg Ponct]]),FALSE)</f>
        <v>#VALUE!</v>
      </c>
      <c r="AF246" s="97" t="e">
        <f>VLOOKUP(T_BilanSocial[NumL],T_TraitDi[#Data],COLUMN(T_TraitDi[[#This Row],[Jours flottants]]),FALSE)</f>
        <v>#VALUE!</v>
      </c>
      <c r="AG246" s="97" t="str">
        <f>IFERROR(VLOOKUP(T_BilanSocial[[#This Row],[NumL]],T_TraitDi[#Data],COLUMN(T_TraitDi[[#This Row],[Lundi]]),FALSE),"")</f>
        <v/>
      </c>
      <c r="AH246" s="172" t="e">
        <f>IF(VLOOKUP(T_BilanSocial[[#This Row],[NumL]],T_TraitDi[#Data],COLUMN(T_TraitDi[[#This Row],[Colonne3]]),FALSE)=0,"",TEXT(IFERROR(VLOOKUP(T_BilanSocial[[#This Row],[NumL]],T_TraitDi[#Data],COLUMN(T_TraitDi[[#This Row],[Colonne3]]),FALSE),""),"[hh]:mm"))</f>
        <v>#VALUE!</v>
      </c>
      <c r="AI246" s="172" t="e">
        <f>IF(VLOOKUP(T_BilanSocial[[#This Row],[NumL]],T_TraitDi[#Data],COLUMN(T_TraitDi[[#This Row],[Colonne4]]),FALSE)=0,"",TEXT(IFERROR(VLOOKUP(T_BilanSocial[[#This Row],[NumL]],T_TraitDi[#Data],COLUMN(T_TraitDi[[#This Row],[Colonne4]]),FALSE),""),"[hh]:mm"))</f>
        <v>#VALUE!</v>
      </c>
      <c r="AJ246" s="172" t="e">
        <f>IF(VLOOKUP(T_BilanSocial[[#This Row],[NumL]],T_TraitDi[#Data],COLUMN(T_TraitDi[[#This Row],[Colonne5]]),FALSE)=0,"",TEXT(IFERROR(VLOOKUP(T_BilanSocial[[#This Row],[NumL]],T_TraitDi[#Data],COLUMN(T_TraitDi[[#This Row],[Colonne5]]),FALSE),""),"[hh]:mm"))</f>
        <v>#VALUE!</v>
      </c>
      <c r="AK246" s="172" t="e">
        <f>IF(VLOOKUP(T_BilanSocial[[#This Row],[NumL]],T_TraitDi[#Data],COLUMN(T_TraitDi[[#This Row],[Colonne6]]),FALSE)=0,"",TEXT(IFERROR(VLOOKUP(T_BilanSocial[[#This Row],[NumL]],T_TraitDi[#Data],COLUMN(T_TraitDi[[#This Row],[Colonne6]]),FALSE),""),"[hh]:mm"))</f>
        <v>#VALUE!</v>
      </c>
      <c r="AL246" s="172" t="e">
        <f>IF(VLOOKUP(T_BilanSocial[[#This Row],[NumL]],T_TraitDi[#Data],COLUMN(T_TraitDi[[#This Row],[Colonne7]]),FALSE)=0,"",TEXT(IFERROR(VLOOKUP(T_BilanSocial[[#This Row],[NumL]],T_TraitDi[#Data],COLUMN(T_TraitDi[[#This Row],[Colonne7]]),FALSE),""),"[hh]:mm"))</f>
        <v>#VALUE!</v>
      </c>
      <c r="AM246" s="172" t="e">
        <f>IF(VLOOKUP(T_BilanSocial[[#This Row],[NumL]],T_TraitDi[#Data],COLUMN(T_TraitDi[[#This Row],[Colonne8]]),FALSE)=0,"",TEXT(IFERROR(VLOOKUP(T_BilanSocial[[#This Row],[NumL]],T_TraitDi[#Data],COLUMN(T_TraitDi[[#This Row],[Colonne8]]),FALSE),""),"[hh]:mm"))</f>
        <v>#VALUE!</v>
      </c>
      <c r="AN246" s="172" t="str">
        <f>IFERROR(VLOOKUP(T_BilanSocial[[#This Row],[NumL]],T_TraitDi[#Data],COLUMN(T_TraitDi[[#This Row],[Mardi]]),FALSE),"")</f>
        <v/>
      </c>
      <c r="AO246" s="172" t="e">
        <f>IF(VLOOKUP(T_BilanSocial[[#This Row],[NumL]],T_TraitDi[#Data],COLUMN(T_TraitDi[[#This Row],[Colonne1]]),FALSE)=0,"",TEXT(IFERROR(VLOOKUP(T_BilanSocial[[#This Row],[NumL]],T_TraitDi[#Data],COLUMN(T_TraitDi[[#This Row],[Colonne1]]),FALSE),""),"[hh]:mm"))</f>
        <v>#VALUE!</v>
      </c>
      <c r="AP246" s="172" t="e">
        <f>IF(VLOOKUP(T_BilanSocial[[#This Row],[NumL]],T_TraitDi[#Data],COLUMN(T_TraitDi[[#This Row],[Colonne9]]),FALSE)=0,"",TEXT(IFERROR(VLOOKUP(T_BilanSocial[[#This Row],[NumL]],T_TraitDi[#Data],COLUMN(T_TraitDi[[#This Row],[Colonne9]]),FALSE),""),"[hh]:mm"))</f>
        <v>#VALUE!</v>
      </c>
      <c r="AQ246" s="172" t="str">
        <f>IFERROR(VLOOKUP(T_BilanSocial[[#This Row],[NumL]],T_TraitDi[#Data],COLUMN(T_TraitDi[[#This Row],[Colonne10]]),FALSE),"")</f>
        <v/>
      </c>
      <c r="AR246" s="172" t="e">
        <f>IF(VLOOKUP(T_BilanSocial[[#This Row],[NumL]],T_TraitDi[#Data],COLUMN(T_TraitDi[[#This Row],[Colonne11]]),FALSE)=0,"",TEXT(IFERROR(VLOOKUP(T_BilanSocial[[#This Row],[NumL]],T_TraitDi[#Data],COLUMN(T_TraitDi[[#This Row],[Colonne11]]),FALSE),""),"[hh]:mm"))</f>
        <v>#VALUE!</v>
      </c>
      <c r="AS246" s="172" t="e">
        <f>IF(VLOOKUP(T_BilanSocial[[#This Row],[NumL]],T_TraitDi[#Data],COLUMN(T_TraitDi[[#This Row],[Colonne12]]),FALSE)=0,"",TEXT(IFERROR(VLOOKUP(T_BilanSocial[[#This Row],[NumL]],T_TraitDi[#Data],COLUMN(T_TraitDi[[#This Row],[Colonne12]]),FALSE),""),"[hh]:mm"))</f>
        <v>#VALUE!</v>
      </c>
      <c r="AT246" s="172" t="e">
        <f>IF(VLOOKUP(T_BilanSocial[[#This Row],[NumL]],T_TraitDi[#Data],COLUMN(T_TraitDi[[#This Row],[Colonne14]]),FALSE)=0,"",TEXT(IFERROR(VLOOKUP(T_BilanSocial[[#This Row],[NumL]],T_TraitDi[#Data],COLUMN(T_TraitDi[[#This Row],[Colonne14]]),FALSE),""),"[hh]:mm"))</f>
        <v>#VALUE!</v>
      </c>
      <c r="AU246" s="172" t="str">
        <f>IFERROR(VLOOKUP(T_BilanSocial[[#This Row],[NumL]],T_TraitDi[#Data],COLUMN(T_TraitDi[[#This Row],[Mercredi]]),FALSE),"")</f>
        <v/>
      </c>
      <c r="AV246" s="172" t="e">
        <f>IF(VLOOKUP(T_BilanSocial[[#This Row],[NumL]],T_TraitDi[#Data],COLUMN(T_TraitDi[[#This Row],[Colonne15]]),FALSE)=0,"",TEXT(IFERROR(VLOOKUP(T_BilanSocial[[#This Row],[NumL]],T_TraitDi[#Data],COLUMN(T_TraitDi[[#This Row],[Colonne15]]),FALSE),""),"[hh]:mm"))</f>
        <v>#VALUE!</v>
      </c>
      <c r="AW246" s="172" t="e">
        <f>IF(VLOOKUP(T_BilanSocial[[#This Row],[NumL]],T_TraitDi[#Data],COLUMN(T_TraitDi[[#This Row],[Colonne16]]),FALSE)=0,"",TEXT(IFERROR(VLOOKUP(T_BilanSocial[[#This Row],[NumL]],T_TraitDi[#Data],COLUMN(T_TraitDi[[#This Row],[Colonne16]]),FALSE),""),"[hh]:mm"))</f>
        <v>#VALUE!</v>
      </c>
      <c r="AX246" s="172" t="str">
        <f>IFERROR(VLOOKUP(T_BilanSocial[[#This Row],[NumL]],T_TraitDi[#Data],COLUMN(T_TraitDi[[#This Row],[Colonne17]]),FALSE),"")</f>
        <v/>
      </c>
      <c r="AY246" s="172" t="e">
        <f>IF(VLOOKUP(T_BilanSocial[[#This Row],[NumL]],T_TraitDi[#Data],COLUMN(T_TraitDi[[#This Row],[Colonne18]]),FALSE)=0,"",TEXT(IFERROR(VLOOKUP(T_BilanSocial[[#This Row],[NumL]],T_TraitDi[#Data],COLUMN(T_TraitDi[[#This Row],[Colonne18]]),FALSE),""),"[hh]:mm"))</f>
        <v>#VALUE!</v>
      </c>
      <c r="AZ246" s="172" t="e">
        <f>IF(VLOOKUP(T_BilanSocial[[#This Row],[NumL]],T_TraitDi[#Data],COLUMN(T_TraitDi[[#This Row],[Colonne19]]),FALSE)=0,"",TEXT(IFERROR(VLOOKUP(T_BilanSocial[[#This Row],[NumL]],T_TraitDi[#Data],COLUMN(T_TraitDi[[#This Row],[Colonne19]]),FALSE),""),"[hh]:mm"))</f>
        <v>#VALUE!</v>
      </c>
      <c r="BA246" s="172" t="e">
        <f>IF(VLOOKUP(T_BilanSocial[[#This Row],[NumL]],T_TraitDi[#Data],COLUMN(T_TraitDi[[#This Row],[Colonne20]]),FALSE)=0,"",TEXT(IFERROR(VLOOKUP(T_BilanSocial[[#This Row],[NumL]],T_TraitDi[#Data],COLUMN(T_TraitDi[[#This Row],[Colonne20]]),FALSE),""),"[hh]:mm"))</f>
        <v>#VALUE!</v>
      </c>
      <c r="BB246" s="178" t="str">
        <f>IFERROR(VLOOKUP(T_BilanSocial[[#This Row],[NumL]],T_TraitDi[#Data],COLUMN(T_TraitDi[[#This Row],[Jeudi]]),FALSE),"")</f>
        <v/>
      </c>
      <c r="BC246" s="178" t="e">
        <f>IF(VLOOKUP(T_BilanSocial[[#This Row],[NumL]],T_TraitDi[#Data],COLUMN(T_TraitDi[[#This Row],[Colonne21]]),FALSE)=0,"",TEXT(IFERROR(VLOOKUP(T_BilanSocial[[#This Row],[NumL]],T_TraitDi[#Data],COLUMN(T_TraitDi[[#This Row],[Colonne21]]),FALSE),""),"[hh]:mm"))</f>
        <v>#VALUE!</v>
      </c>
      <c r="BD246" s="178" t="e">
        <f>IF(VLOOKUP(T_BilanSocial[[#This Row],[NumL]],T_TraitDi[#Data],COLUMN(T_TraitDi[[#This Row],[Colonne22]]),FALSE)=0,"",TEXT(IFERROR(VLOOKUP(T_BilanSocial[[#This Row],[NumL]],T_TraitDi[#Data],COLUMN(T_TraitDi[[#This Row],[Colonne22]]),FALSE),""),"[hh]:mm"))</f>
        <v>#VALUE!</v>
      </c>
      <c r="BE246" s="178" t="str">
        <f>IFERROR(VLOOKUP(T_BilanSocial[[#This Row],[NumL]],T_TraitDi[#Data],COLUMN(T_TraitDi[[#This Row],[Colonne23]]),FALSE),"")</f>
        <v/>
      </c>
      <c r="BF246" s="178" t="e">
        <f>IF(VLOOKUP(T_BilanSocial[[#This Row],[NumL]],T_TraitDi[#Data],COLUMN(T_TraitDi[[#This Row],[Colonne24]]),FALSE)=0,"",TEXT(IFERROR(VLOOKUP(T_BilanSocial[[#This Row],[NumL]],T_TraitDi[#Data],COLUMN(T_TraitDi[[#This Row],[Colonne24]]),FALSE),""),"[hh]:mm"))</f>
        <v>#VALUE!</v>
      </c>
      <c r="BG246" s="178" t="e">
        <f>IF(VLOOKUP(T_BilanSocial[[#This Row],[NumL]],T_TraitDi[#Data],COLUMN(T_TraitDi[[#This Row],[Colonne25]]),FALSE)=0,"",TEXT(IFERROR(VLOOKUP(T_BilanSocial[[#This Row],[NumL]],T_TraitDi[#Data],COLUMN(T_TraitDi[[#This Row],[Colonne25]]),FALSE),""),"[hh]:mm"))</f>
        <v>#VALUE!</v>
      </c>
      <c r="BH246" s="178" t="e">
        <f>IF(VLOOKUP(T_BilanSocial[[#This Row],[NumL]],T_TraitDi[#Data],COLUMN(T_TraitDi[[#This Row],[Colonne26]]),FALSE)=0,"",TEXT(IFERROR(VLOOKUP(T_BilanSocial[[#This Row],[NumL]],T_TraitDi[#Data],COLUMN(T_TraitDi[[#This Row],[Colonne26]]),FALSE),""),"[hh]:mm"))</f>
        <v>#VALUE!</v>
      </c>
      <c r="BI246" s="172" t="str">
        <f>IFERROR(VLOOKUP(T_BilanSocial[[#This Row],[NumL]],T_TraitDi[#Data],COLUMN(T_TraitDi[[#This Row],[Vendredi]]),FALSE),"")</f>
        <v/>
      </c>
      <c r="BJ246" s="172" t="e">
        <f>IF(VLOOKUP(T_BilanSocial[[#This Row],[NumL]],T_TraitDi[#Data],COLUMN(T_TraitDi[[#This Row],[Colonne27]]),FALSE)=0,"",TEXT(IFERROR(VLOOKUP(T_BilanSocial[[#This Row],[NumL]],T_TraitDi[#Data],COLUMN(T_TraitDi[[#This Row],[Colonne27]]),FALSE),""),"[hh]:mm"))</f>
        <v>#VALUE!</v>
      </c>
      <c r="BK246" s="172" t="e">
        <f>IF(VLOOKUP(T_BilanSocial[[#This Row],[NumL]],T_TraitDi[#Data],COLUMN(T_TraitDi[[#This Row],[Colonne28]]),FALSE)=0,"",TEXT(IFERROR(VLOOKUP(T_BilanSocial[[#This Row],[NumL]],T_TraitDi[#Data],COLUMN(T_TraitDi[[#This Row],[Colonne28]]),FALSE),""),"[hh]:mm"))</f>
        <v>#VALUE!</v>
      </c>
      <c r="BL246" s="172" t="str">
        <f>IFERROR(VLOOKUP(T_BilanSocial[[#This Row],[NumL]],T_TraitDi[#Data],COLUMN(T_TraitDi[[#This Row],[Colonne29]]),FALSE),"")</f>
        <v/>
      </c>
      <c r="BM246" s="172" t="e">
        <f>IF(VLOOKUP(T_BilanSocial[[#This Row],[NumL]],T_TraitDi[#Data],COLUMN(T_TraitDi[[#This Row],[Colonne30]]),FALSE)=0,"",TEXT(IFERROR(VLOOKUP(T_BilanSocial[[#This Row],[NumL]],T_TraitDi[#Data],COLUMN(T_TraitDi[[#This Row],[Colonne30]]),FALSE),""),"[hh]:mm"))</f>
        <v>#VALUE!</v>
      </c>
      <c r="BN246" s="172" t="e">
        <f>IF(VLOOKUP(T_BilanSocial[[#This Row],[NumL]],T_TraitDi[#Data],COLUMN(T_TraitDi[[#This Row],[Colonne31]]),FALSE)=0,"",TEXT(IFERROR(VLOOKUP(T_BilanSocial[[#This Row],[NumL]],T_TraitDi[#Data],COLUMN(T_TraitDi[[#This Row],[Colonne31]]),FALSE),""),"[hh]:mm"))</f>
        <v>#VALUE!</v>
      </c>
      <c r="BO246" s="172" t="e">
        <f>IF(VLOOKUP(T_BilanSocial[[#This Row],[NumL]],T_TraitDi[#Data],COLUMN(T_TraitDi[[#This Row],[Colonne32]]),FALSE)=0,"",TEXT(IFERROR(VLOOKUP(T_BilanSocial[[#This Row],[NumL]],T_TraitDi[#Data],COLUMN(T_TraitDi[[#This Row],[Colonne32]]),FALSE),""),"[hh]:mm"))</f>
        <v>#VALUE!</v>
      </c>
      <c r="BP246" s="172" t="e">
        <f>VLOOKUP(T_BilanSocial[[#This Row],[NumL]],T_TraitDi[#Data],COLUMN(T_TraitDi[NbJTot]),FALSE)</f>
        <v>#N/A</v>
      </c>
      <c r="BQ246" s="174" t="str">
        <f>IFERROR(VLOOKUP(T_BilanSocial[[#This Row],[NumL]],T_TraitDi[#Data],COLUMN(T_TraitDi[[#This Row],[NbJTW]]),FALSE),"")</f>
        <v/>
      </c>
      <c r="BR246" s="174" t="e">
        <f>IF(VLOOKUP(T_BilanSocial[[#This Row],[NumL]],T_TraitDi[#Data],COLUMN(T_TraitDi[[#This Row],[NbhTW]]),FALSE)=0,"",TEXT(IFERROR(VLOOKUP(T_BilanSocial[[#This Row],[NumL]],T_TraitDi[#Data],COLUMN(T_TraitDi[[#This Row],[NbhTW]]),FALSE),""),"[hh]:mm"))</f>
        <v>#VALUE!</v>
      </c>
      <c r="BS246" s="174" t="e">
        <f>IF(VLOOKUP(T_BilanSocial[[#This Row],[NumL]],T_TraitDi[#Data],COLUMN(T_TraitDi[[#This Row],[Nbhheb]]),FALSE)=0,"",TEXT(IFERROR(VLOOKUP($A246,T_TraitDi[#Data],COLUMN(T_TraitDi[[#This Row],[Nbhheb]]),FALSE),""),"[hh]:mm"))</f>
        <v>#VALUE!</v>
      </c>
      <c r="BT246" s="182" t="str">
        <f>IFERROR(VLOOKUP(VLOOKUP($A246,T_TraitDi[#Data],COLUMN(T_TraitDi[[#This Row],[Type1]]),FALSE),TypeTW,2,FALSE),"")</f>
        <v/>
      </c>
      <c r="BU246" s="182" t="str">
        <f>IFERROR(VLOOKUP($A246,T_TraitDi[#Data],COLUMN(T_TraitDi[[#This Row],[Rue1]]),FALSE),"")</f>
        <v/>
      </c>
      <c r="BV246" s="173" t="str">
        <f>IFERROR(VLOOKUP($A246,T_TraitDi[#Data],COLUMN(T_TraitDi[[#This Row],[CP1]]),FALSE),"")</f>
        <v/>
      </c>
      <c r="BW246" s="173" t="str">
        <f>IFERROR(VLOOKUP($A246,T_TraitDi[#Data],COLUMN(T_TraitDi[[#This Row],[VILLE1]]),FALSE),"")</f>
        <v/>
      </c>
      <c r="BX246" s="182" t="str">
        <f>IFERROR(VLOOKUP(VLOOKUP($A246,T_TraitDi[#Data],COLUMN(T_TraitDi[[#This Row],[Type2]]),FALSE),TypeTW,2,FALSE),"")</f>
        <v/>
      </c>
      <c r="BY246" s="182" t="str">
        <f>IFERROR(VLOOKUP($A246,T_TraitDi[#Data],COLUMN(T_TraitDi[[#This Row],[Rue2]]),FALSE),"")</f>
        <v/>
      </c>
      <c r="BZ246" s="173" t="str">
        <f>IFERROR(VLOOKUP($A246,T_TraitDi[#Data],COLUMN(T_TraitDi[[#This Row],[CP2]]),FALSE),"")</f>
        <v/>
      </c>
      <c r="CA246" s="173" t="str">
        <f>IFERROR(VLOOKUP($A246,T_TraitDi[#Data],COLUMN(T_TraitDi[[#This Row],[VILLE2]]),FALSE),"")</f>
        <v/>
      </c>
      <c r="CB246" s="182" t="str">
        <f>IF(VLOOKUP(T_BilanSocial[[#This Row],[NumL]],T_Equipement[#Data],COLUMN(T_Equipement[[#This Row],[PC]]),FALSE)="","Aucun équipement spécifique directement lié au télétravail",VLOOKUP(T_BilanSocial[[#This Row],[NumL]],T_Equipement[#Data],COLUMN(T_Equipement[[#This Row],[PC]]),FALSE))</f>
        <v xml:space="preserve">18-009	</v>
      </c>
      <c r="CC246" s="166" t="str">
        <f>IFERROR(IF(VLOOKUP(T_BilanSocial[[#This Row],[NumL]],T_TraitDi[#Data],COLUMN(T_TraitDi[[#This Row],[Plan]]),FALSE)="OK","Un planning spécifique de télétravail est annexé à la présente convention.",""),"")</f>
        <v/>
      </c>
      <c r="CD246" s="185"/>
      <c r="CE246" s="164" t="e">
        <f>IF(VLOOKUP(T_BilanSocial[[#This Row],[NumL]],T_suiviDi[#Data],COLUMN(T_suiviDi[[#This Row],[Entité]]),FALSE)="","",VLOOKUP(T_BilanSocial[[#This Row],[NumL]],T_suiviDi[#Data],COLUMN(T_suiviDi[[#This Row],[Entité]]),FALSE))</f>
        <v>#VALUE!</v>
      </c>
      <c r="CF246" s="164" t="str">
        <f>IF(VLOOKUP(T_BilanSocial[[#This Row],[NumL]],T_Commission[#Data],COLUMN(T_Commission[[#This Row],[envoi confirm TW]]),FALSE)="","",VLOOKUP(T_BilanSocial[[#This Row],[NumL]],T_Commission[#Data],COLUMN(T_Commission[[#This Row],[envoi confirm TW]]),FALSE))</f>
        <v>Oui</v>
      </c>
      <c r="CG24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6" s="262" t="str">
        <f>T_BilanSocial[[#This Row],[Nom]]&amp;T_BilanSocial[[#This Row],[Prenom]]</f>
        <v/>
      </c>
      <c r="CI246" s="262">
        <f>VLOOKUP(T_BilanSocial[[#This Row],[NumL]],T_Commission[#Data],COLUMN(T_Commission[Commentaire]),FALSE)</f>
        <v>0</v>
      </c>
      <c r="CJ246" s="262" t="str">
        <f>IF(VLOOKUP(T_BilanSocial[[#This Row],[NumL]],T_Commission[#Data],COLUMN(T_Commission[Encadrant Email]),FALSE)="","",VLOOKUP(T_BilanSocial[[#This Row],[NumL]],T_Commission[#Data],COLUMN(T_Commission[Encadrant Email]),FALSE))</f>
        <v/>
      </c>
      <c r="CK246" s="340" t="str">
        <f>IF(T_BilanSocial[[#This Row],[Final]]&lt;&gt;"",VLOOKUP(T_BilanSocial[[#This Row],[NumL]],T_suiviDi[#Data],COLUMN((T_suiviDi[Statut])),FALSE),"")</f>
        <v/>
      </c>
    </row>
    <row r="247" spans="1:89" s="106" customFormat="1" ht="24.75" customHeight="1" x14ac:dyDescent="0.25">
      <c r="A247" s="160">
        <v>244</v>
      </c>
      <c r="B247" s="161" t="str">
        <f t="shared" si="34"/>
        <v/>
      </c>
      <c r="C247" s="162" t="s">
        <v>173</v>
      </c>
      <c r="D247" s="95" t="e">
        <f>IF(VLOOKUP(T_BilanSocial[[#This Row],[NumL]],T_TraitDi[#Data],COLUMN(T_TraitDi[[#This Row],[WebC]]),FALSE)="","",VLOOKUP(T_BilanSocial[[#This Row],[NumL]],T_TraitDi[#Data],COLUMN(T_TraitDi[[#This Row],[WebC]]),FALSE))</f>
        <v>#VALUE!</v>
      </c>
      <c r="E247" s="163" t="str">
        <f t="shared" si="35"/>
        <v>12 janvier 2021</v>
      </c>
      <c r="F247" s="96" t="str">
        <f>IF(T_BilanSocial[[#This Row],[Final]]&lt;&gt;"",VLOOKUP(T_BilanSocial[[#This Row],[NumL]],T_suiviDi[#Data],COLUMN((T_suiviDi[Civ.])),FALSE),"")</f>
        <v/>
      </c>
      <c r="G247" s="96" t="str">
        <f>IF(T_BilanSocial[[#This Row],[Final]]&lt;&gt;"",VLOOKUP(T_BilanSocial[[#This Row],[NumL]],T_suiviDi[#Data],COLUMN((T_suiviDi[Nom])),FALSE),"")</f>
        <v/>
      </c>
      <c r="H247" s="96" t="str">
        <f>IF(T_BilanSocial[[#This Row],[Final]]&lt;&gt;"",VLOOKUP(T_BilanSocial[[#This Row],[NumL]],T_suiviDi[#Data],COLUMN((T_suiviDi[Prénom])),FALSE),"")</f>
        <v/>
      </c>
      <c r="I247" s="96" t="str">
        <f>IFERROR(VLOOKUP(T_BilanSocial[[#This Row],[Zone_Bilan]],T_P_BilanSocial[#Data],COLUMN(T_P_BilanSocial[[#This Row],[Numero_SIHAM]]),FALSE),"")</f>
        <v/>
      </c>
      <c r="J247" s="96" t="str">
        <f>IFERROR(VLOOKUP(T_BilanSocial[[#This Row],[Zone_Bilan]],T_P_BilanSocial[#Data],COLUMN(T_P_BilanSocial[[#This Row],[Sexe]]),FALSE),"")</f>
        <v/>
      </c>
      <c r="K247" s="97" t="str">
        <f>IFERROR(VLOOKUP(T_BilanSocial[[#This Row],[Zone_Bilan]],T_P_BilanSocial[#Data],COLUMN(T_P_BilanSocial[[#This Row],[Categorie]]),FALSE),"")</f>
        <v/>
      </c>
      <c r="L247" s="96" t="str">
        <f>IFERROR(VLOOKUP(T_BilanSocial[[#This Row],[Zone_Bilan]],T_P_BilanSocial[#Data],COLUMN(T_P_BilanSocial[[#This Row],[Statut]]),FALSE),"")</f>
        <v/>
      </c>
      <c r="M247" s="96" t="str">
        <f>IFERROR(VLOOKUP(T_BilanSocial[[#This Row],[Zone_Bilan]],T_P_BilanSocial[#Data],COLUMN(T_P_BilanSocial[[#This Row],[Filiere]]),FALSE),"")</f>
        <v/>
      </c>
      <c r="N247" s="96" t="e">
        <f>VLOOKUP(T_BilanSocial[[#This Row],[NumL]],T_TraitDi[#Data],COLUMN(T_TraitDi[EXP]),FALSE)</f>
        <v>#N/A</v>
      </c>
      <c r="O247" s="96" t="e">
        <f>VLOOKUP(T_BilanSocial[[#This Row],[NumL]],T_TraitDi[#Data],COLUMN(T_TraitDi[FORM]),FALSE)</f>
        <v>#N/A</v>
      </c>
      <c r="P247" s="96" t="str">
        <f>IF(T_BilanSocial[[#This Row],[Final]]&lt;&gt;"",VLOOKUP(T_BilanSocial[[#This Row],[NumL]],T_suiviDi[#Data],COLUMN((T_suiviDi[Email])),FALSE),"")</f>
        <v/>
      </c>
      <c r="Q247" s="164" t="e">
        <f t="shared" si="40"/>
        <v>#N/A</v>
      </c>
      <c r="R247" s="164" t="e">
        <f t="shared" si="41"/>
        <v>#N/A</v>
      </c>
      <c r="S247" s="164" t="e">
        <f>IF(VLOOKUP(T_BilanSocial[[#This Row],[NumL]],T_suiviDi[#Data],COLUMN(T_suiviDi[[#This Row],[Service ]]),FALSE)="","",VLOOKUP(T_BilanSocial[[#This Row],[NumL]],T_suiviDi[#Data],COLUMN(T_suiviDi[[#This Row],[Service ]]),FALSE))</f>
        <v>#VALUE!</v>
      </c>
      <c r="T247" s="164" t="str">
        <f t="shared" si="36"/>
        <v>01 septembre 2021</v>
      </c>
      <c r="U247" s="164" t="str">
        <f t="shared" si="37"/>
        <v>30 novembre 2021</v>
      </c>
      <c r="V247" s="164" t="str">
        <f t="shared" si="43"/>
        <v>30 novembre 2021</v>
      </c>
      <c r="W247" s="176" t="e">
        <f>IF(VLOOKUP(T_BilanSocial[[#This Row],[NumL]],T_TraitDi[#Data],COLUMN(T_TraitDi[[#This Row],[M1]]),FALSE)="","",VLOOKUP(T_BilanSocial[[#This Row],[NumL]],T_TraitDi[#Data],COLUMN(T_TraitDi[[#This Row],[M1]]),FALSE))</f>
        <v>#VALUE!</v>
      </c>
      <c r="X247" s="176" t="e">
        <f>IF(VLOOKUP(T_BilanSocial[[#This Row],[NumL]],T_TraitDi[#Data],COLUMN(T_TraitDi[[#This Row],[M2]]),FALSE)="","",VLOOKUP(T_BilanSocial[[#This Row],[NumL]],T_TraitDi[#Data],COLUMN(T_TraitDi[[#This Row],[M2]]),FALSE))</f>
        <v>#VALUE!</v>
      </c>
      <c r="Y247" s="176" t="e">
        <f>IF(VLOOKUP(T_BilanSocial[[#This Row],[NumL]],T_TraitDi[#Data],COLUMN(T_TraitDi[[#This Row],[M3]]),FALSE)="","",VLOOKUP(T_BilanSocial[[#This Row],[NumL]],T_TraitDi[#Data],COLUMN(T_TraitDi[[#This Row],[M3]]),FALSE))</f>
        <v>#VALUE!</v>
      </c>
      <c r="Z247" s="176" t="str">
        <f t="shared" si="39"/>
        <v/>
      </c>
      <c r="AA247" s="176" t="e">
        <f>IF(VLOOKUP(T_BilanSocial[[#This Row],[NumL]],T_TraitDi[#Data],COLUMN(T_TraitDi[[#This Row],[M5]]),FALSE)="","",VLOOKUP(T_BilanSocial[[#This Row],[NumL]],T_TraitDi[#Data],COLUMN(T_TraitDi[[#This Row],[M5]]),FALSE))</f>
        <v>#VALUE!</v>
      </c>
      <c r="AB247" s="176" t="e">
        <f>IF(VLOOKUP(T_BilanSocial[[#This Row],[NumL]],T_TraitDi[#Data],COLUMN(T_TraitDi[[#This Row],[M6]]),FALSE)="","",VLOOKUP(T_BilanSocial[[#This Row],[NumL]],T_TraitDi[#Data],COLUMN(T_TraitDi[[#This Row],[M6]]),FALSE))</f>
        <v>#VALUE!</v>
      </c>
      <c r="AC247" s="165" t="e">
        <f t="shared" si="38"/>
        <v>#VALUE!</v>
      </c>
      <c r="AD247" s="188" t="str">
        <f>IFERROR(TEXT(VLOOKUP(T_BilanSocial[[#This Row],[NumL]],T_TraitDi[#Data],COLUMN(T_TraitDi[[#This Row],[Q2]]),FALSE),"###%"),"")</f>
        <v/>
      </c>
      <c r="AE247" s="97" t="e">
        <f>VLOOKUP(T_BilanSocial[[#This Row],[NumL]],T_TraitDi[#Data],COLUMN(T_TraitDi[[#This Row],[Reg Ponct]]),FALSE)</f>
        <v>#VALUE!</v>
      </c>
      <c r="AF247" s="97" t="e">
        <f>VLOOKUP(T_BilanSocial[NumL],T_TraitDi[#Data],COLUMN(T_TraitDi[[#This Row],[Jours flottants]]),FALSE)</f>
        <v>#VALUE!</v>
      </c>
      <c r="AG247" s="97" t="str">
        <f>IFERROR(VLOOKUP(T_BilanSocial[[#This Row],[NumL]],T_TraitDi[#Data],COLUMN(T_TraitDi[[#This Row],[Lundi]]),FALSE),"")</f>
        <v/>
      </c>
      <c r="AH247" s="172" t="e">
        <f>IF(VLOOKUP(T_BilanSocial[[#This Row],[NumL]],T_TraitDi[#Data],COLUMN(T_TraitDi[[#This Row],[Colonne3]]),FALSE)=0,"",TEXT(IFERROR(VLOOKUP(T_BilanSocial[[#This Row],[NumL]],T_TraitDi[#Data],COLUMN(T_TraitDi[[#This Row],[Colonne3]]),FALSE),""),"[hh]:mm"))</f>
        <v>#VALUE!</v>
      </c>
      <c r="AI247" s="172" t="e">
        <f>IF(VLOOKUP(T_BilanSocial[[#This Row],[NumL]],T_TraitDi[#Data],COLUMN(T_TraitDi[[#This Row],[Colonne4]]),FALSE)=0,"",TEXT(IFERROR(VLOOKUP(T_BilanSocial[[#This Row],[NumL]],T_TraitDi[#Data],COLUMN(T_TraitDi[[#This Row],[Colonne4]]),FALSE),""),"[hh]:mm"))</f>
        <v>#VALUE!</v>
      </c>
      <c r="AJ247" s="172" t="e">
        <f>IF(VLOOKUP(T_BilanSocial[[#This Row],[NumL]],T_TraitDi[#Data],COLUMN(T_TraitDi[[#This Row],[Colonne5]]),FALSE)=0,"",TEXT(IFERROR(VLOOKUP(T_BilanSocial[[#This Row],[NumL]],T_TraitDi[#Data],COLUMN(T_TraitDi[[#This Row],[Colonne5]]),FALSE),""),"[hh]:mm"))</f>
        <v>#VALUE!</v>
      </c>
      <c r="AK247" s="172" t="e">
        <f>IF(VLOOKUP(T_BilanSocial[[#This Row],[NumL]],T_TraitDi[#Data],COLUMN(T_TraitDi[[#This Row],[Colonne6]]),FALSE)=0,"",TEXT(IFERROR(VLOOKUP(T_BilanSocial[[#This Row],[NumL]],T_TraitDi[#Data],COLUMN(T_TraitDi[[#This Row],[Colonne6]]),FALSE),""),"[hh]:mm"))</f>
        <v>#VALUE!</v>
      </c>
      <c r="AL247" s="172" t="e">
        <f>IF(VLOOKUP(T_BilanSocial[[#This Row],[NumL]],T_TraitDi[#Data],COLUMN(T_TraitDi[[#This Row],[Colonne7]]),FALSE)=0,"",TEXT(IFERROR(VLOOKUP(T_BilanSocial[[#This Row],[NumL]],T_TraitDi[#Data],COLUMN(T_TraitDi[[#This Row],[Colonne7]]),FALSE),""),"[hh]:mm"))</f>
        <v>#VALUE!</v>
      </c>
      <c r="AM247" s="172" t="e">
        <f>IF(VLOOKUP(T_BilanSocial[[#This Row],[NumL]],T_TraitDi[#Data],COLUMN(T_TraitDi[[#This Row],[Colonne8]]),FALSE)=0,"",TEXT(IFERROR(VLOOKUP(T_BilanSocial[[#This Row],[NumL]],T_TraitDi[#Data],COLUMN(T_TraitDi[[#This Row],[Colonne8]]),FALSE),""),"[hh]:mm"))</f>
        <v>#VALUE!</v>
      </c>
      <c r="AN247" s="172" t="str">
        <f>IFERROR(VLOOKUP(T_BilanSocial[[#This Row],[NumL]],T_TraitDi[#Data],COLUMN(T_TraitDi[[#This Row],[Mardi]]),FALSE),"")</f>
        <v/>
      </c>
      <c r="AO247" s="172" t="e">
        <f>IF(VLOOKUP(T_BilanSocial[[#This Row],[NumL]],T_TraitDi[#Data],COLUMN(T_TraitDi[[#This Row],[Colonne1]]),FALSE)=0,"",TEXT(IFERROR(VLOOKUP(T_BilanSocial[[#This Row],[NumL]],T_TraitDi[#Data],COLUMN(T_TraitDi[[#This Row],[Colonne1]]),FALSE),""),"[hh]:mm"))</f>
        <v>#VALUE!</v>
      </c>
      <c r="AP247" s="172" t="e">
        <f>IF(VLOOKUP(T_BilanSocial[[#This Row],[NumL]],T_TraitDi[#Data],COLUMN(T_TraitDi[[#This Row],[Colonne9]]),FALSE)=0,"",TEXT(IFERROR(VLOOKUP(T_BilanSocial[[#This Row],[NumL]],T_TraitDi[#Data],COLUMN(T_TraitDi[[#This Row],[Colonne9]]),FALSE),""),"[hh]:mm"))</f>
        <v>#VALUE!</v>
      </c>
      <c r="AQ247" s="172" t="str">
        <f>IFERROR(VLOOKUP(T_BilanSocial[[#This Row],[NumL]],T_TraitDi[#Data],COLUMN(T_TraitDi[[#This Row],[Colonne10]]),FALSE),"")</f>
        <v/>
      </c>
      <c r="AR247" s="172" t="e">
        <f>IF(VLOOKUP(T_BilanSocial[[#This Row],[NumL]],T_TraitDi[#Data],COLUMN(T_TraitDi[[#This Row],[Colonne11]]),FALSE)=0,"",TEXT(IFERROR(VLOOKUP(T_BilanSocial[[#This Row],[NumL]],T_TraitDi[#Data],COLUMN(T_TraitDi[[#This Row],[Colonne11]]),FALSE),""),"[hh]:mm"))</f>
        <v>#VALUE!</v>
      </c>
      <c r="AS247" s="172" t="e">
        <f>IF(VLOOKUP(T_BilanSocial[[#This Row],[NumL]],T_TraitDi[#Data],COLUMN(T_TraitDi[[#This Row],[Colonne12]]),FALSE)=0,"",TEXT(IFERROR(VLOOKUP(T_BilanSocial[[#This Row],[NumL]],T_TraitDi[#Data],COLUMN(T_TraitDi[[#This Row],[Colonne12]]),FALSE),""),"[hh]:mm"))</f>
        <v>#VALUE!</v>
      </c>
      <c r="AT247" s="172" t="e">
        <f>IF(VLOOKUP(T_BilanSocial[[#This Row],[NumL]],T_TraitDi[#Data],COLUMN(T_TraitDi[[#This Row],[Colonne14]]),FALSE)=0,"",TEXT(IFERROR(VLOOKUP(T_BilanSocial[[#This Row],[NumL]],T_TraitDi[#Data],COLUMN(T_TraitDi[[#This Row],[Colonne14]]),FALSE),""),"[hh]:mm"))</f>
        <v>#VALUE!</v>
      </c>
      <c r="AU247" s="172" t="str">
        <f>IFERROR(VLOOKUP(T_BilanSocial[[#This Row],[NumL]],T_TraitDi[#Data],COLUMN(T_TraitDi[[#This Row],[Mercredi]]),FALSE),"")</f>
        <v/>
      </c>
      <c r="AV247" s="172" t="e">
        <f>IF(VLOOKUP(T_BilanSocial[[#This Row],[NumL]],T_TraitDi[#Data],COLUMN(T_TraitDi[[#This Row],[Colonne15]]),FALSE)=0,"",TEXT(IFERROR(VLOOKUP(T_BilanSocial[[#This Row],[NumL]],T_TraitDi[#Data],COLUMN(T_TraitDi[[#This Row],[Colonne15]]),FALSE),""),"[hh]:mm"))</f>
        <v>#VALUE!</v>
      </c>
      <c r="AW247" s="172" t="e">
        <f>IF(VLOOKUP(T_BilanSocial[[#This Row],[NumL]],T_TraitDi[#Data],COLUMN(T_TraitDi[[#This Row],[Colonne16]]),FALSE)=0,"",TEXT(IFERROR(VLOOKUP(T_BilanSocial[[#This Row],[NumL]],T_TraitDi[#Data],COLUMN(T_TraitDi[[#This Row],[Colonne16]]),FALSE),""),"[hh]:mm"))</f>
        <v>#VALUE!</v>
      </c>
      <c r="AX247" s="172" t="str">
        <f>IFERROR(VLOOKUP(T_BilanSocial[[#This Row],[NumL]],T_TraitDi[#Data],COLUMN(T_TraitDi[[#This Row],[Colonne17]]),FALSE),"")</f>
        <v/>
      </c>
      <c r="AY247" s="172" t="e">
        <f>IF(VLOOKUP(T_BilanSocial[[#This Row],[NumL]],T_TraitDi[#Data],COLUMN(T_TraitDi[[#This Row],[Colonne18]]),FALSE)=0,"",TEXT(IFERROR(VLOOKUP(T_BilanSocial[[#This Row],[NumL]],T_TraitDi[#Data],COLUMN(T_TraitDi[[#This Row],[Colonne18]]),FALSE),""),"[hh]:mm"))</f>
        <v>#VALUE!</v>
      </c>
      <c r="AZ247" s="172" t="e">
        <f>IF(VLOOKUP(T_BilanSocial[[#This Row],[NumL]],T_TraitDi[#Data],COLUMN(T_TraitDi[[#This Row],[Colonne19]]),FALSE)=0,"",TEXT(IFERROR(VLOOKUP(T_BilanSocial[[#This Row],[NumL]],T_TraitDi[#Data],COLUMN(T_TraitDi[[#This Row],[Colonne19]]),FALSE),""),"[hh]:mm"))</f>
        <v>#VALUE!</v>
      </c>
      <c r="BA247" s="172" t="e">
        <f>IF(VLOOKUP(T_BilanSocial[[#This Row],[NumL]],T_TraitDi[#Data],COLUMN(T_TraitDi[[#This Row],[Colonne20]]),FALSE)=0,"",TEXT(IFERROR(VLOOKUP(T_BilanSocial[[#This Row],[NumL]],T_TraitDi[#Data],COLUMN(T_TraitDi[[#This Row],[Colonne20]]),FALSE),""),"[hh]:mm"))</f>
        <v>#VALUE!</v>
      </c>
      <c r="BB247" s="178" t="str">
        <f>IFERROR(VLOOKUP(T_BilanSocial[[#This Row],[NumL]],T_TraitDi[#Data],COLUMN(T_TraitDi[[#This Row],[Jeudi]]),FALSE),"")</f>
        <v/>
      </c>
      <c r="BC247" s="178" t="e">
        <f>IF(VLOOKUP(T_BilanSocial[[#This Row],[NumL]],T_TraitDi[#Data],COLUMN(T_TraitDi[[#This Row],[Colonne21]]),FALSE)=0,"",TEXT(IFERROR(VLOOKUP(T_BilanSocial[[#This Row],[NumL]],T_TraitDi[#Data],COLUMN(T_TraitDi[[#This Row],[Colonne21]]),FALSE),""),"[hh]:mm"))</f>
        <v>#VALUE!</v>
      </c>
      <c r="BD247" s="178" t="e">
        <f>IF(VLOOKUP(T_BilanSocial[[#This Row],[NumL]],T_TraitDi[#Data],COLUMN(T_TraitDi[[#This Row],[Colonne22]]),FALSE)=0,"",TEXT(IFERROR(VLOOKUP(T_BilanSocial[[#This Row],[NumL]],T_TraitDi[#Data],COLUMN(T_TraitDi[[#This Row],[Colonne22]]),FALSE),""),"[hh]:mm"))</f>
        <v>#VALUE!</v>
      </c>
      <c r="BE247" s="178" t="str">
        <f>IFERROR(VLOOKUP(T_BilanSocial[[#This Row],[NumL]],T_TraitDi[#Data],COLUMN(T_TraitDi[[#This Row],[Colonne23]]),FALSE),"")</f>
        <v/>
      </c>
      <c r="BF247" s="178" t="e">
        <f>IF(VLOOKUP(T_BilanSocial[[#This Row],[NumL]],T_TraitDi[#Data],COLUMN(T_TraitDi[[#This Row],[Colonne24]]),FALSE)=0,"",TEXT(IFERROR(VLOOKUP(T_BilanSocial[[#This Row],[NumL]],T_TraitDi[#Data],COLUMN(T_TraitDi[[#This Row],[Colonne24]]),FALSE),""),"[hh]:mm"))</f>
        <v>#VALUE!</v>
      </c>
      <c r="BG247" s="178" t="e">
        <f>IF(VLOOKUP(T_BilanSocial[[#This Row],[NumL]],T_TraitDi[#Data],COLUMN(T_TraitDi[[#This Row],[Colonne25]]),FALSE)=0,"",TEXT(IFERROR(VLOOKUP(T_BilanSocial[[#This Row],[NumL]],T_TraitDi[#Data],COLUMN(T_TraitDi[[#This Row],[Colonne25]]),FALSE),""),"[hh]:mm"))</f>
        <v>#VALUE!</v>
      </c>
      <c r="BH247" s="178" t="e">
        <f>IF(VLOOKUP(T_BilanSocial[[#This Row],[NumL]],T_TraitDi[#Data],COLUMN(T_TraitDi[[#This Row],[Colonne26]]),FALSE)=0,"",TEXT(IFERROR(VLOOKUP(T_BilanSocial[[#This Row],[NumL]],T_TraitDi[#Data],COLUMN(T_TraitDi[[#This Row],[Colonne26]]),FALSE),""),"[hh]:mm"))</f>
        <v>#VALUE!</v>
      </c>
      <c r="BI247" s="172" t="str">
        <f>IFERROR(VLOOKUP(T_BilanSocial[[#This Row],[NumL]],T_TraitDi[#Data],COLUMN(T_TraitDi[[#This Row],[Vendredi]]),FALSE),"")</f>
        <v/>
      </c>
      <c r="BJ247" s="172" t="e">
        <f>IF(VLOOKUP(T_BilanSocial[[#This Row],[NumL]],T_TraitDi[#Data],COLUMN(T_TraitDi[[#This Row],[Colonne27]]),FALSE)=0,"",TEXT(IFERROR(VLOOKUP(T_BilanSocial[[#This Row],[NumL]],T_TraitDi[#Data],COLUMN(T_TraitDi[[#This Row],[Colonne27]]),FALSE),""),"[hh]:mm"))</f>
        <v>#VALUE!</v>
      </c>
      <c r="BK247" s="172" t="e">
        <f>IF(VLOOKUP(T_BilanSocial[[#This Row],[NumL]],T_TraitDi[#Data],COLUMN(T_TraitDi[[#This Row],[Colonne28]]),FALSE)=0,"",TEXT(IFERROR(VLOOKUP(T_BilanSocial[[#This Row],[NumL]],T_TraitDi[#Data],COLUMN(T_TraitDi[[#This Row],[Colonne28]]),FALSE),""),"[hh]:mm"))</f>
        <v>#VALUE!</v>
      </c>
      <c r="BL247" s="172" t="str">
        <f>IFERROR(VLOOKUP(T_BilanSocial[[#This Row],[NumL]],T_TraitDi[#Data],COLUMN(T_TraitDi[[#This Row],[Colonne29]]),FALSE),"")</f>
        <v/>
      </c>
      <c r="BM247" s="172" t="e">
        <f>IF(VLOOKUP(T_BilanSocial[[#This Row],[NumL]],T_TraitDi[#Data],COLUMN(T_TraitDi[[#This Row],[Colonne30]]),FALSE)=0,"",TEXT(IFERROR(VLOOKUP(T_BilanSocial[[#This Row],[NumL]],T_TraitDi[#Data],COLUMN(T_TraitDi[[#This Row],[Colonne30]]),FALSE),""),"[hh]:mm"))</f>
        <v>#VALUE!</v>
      </c>
      <c r="BN247" s="172" t="e">
        <f>IF(VLOOKUP(T_BilanSocial[[#This Row],[NumL]],T_TraitDi[#Data],COLUMN(T_TraitDi[[#This Row],[Colonne31]]),FALSE)=0,"",TEXT(IFERROR(VLOOKUP(T_BilanSocial[[#This Row],[NumL]],T_TraitDi[#Data],COLUMN(T_TraitDi[[#This Row],[Colonne31]]),FALSE),""),"[hh]:mm"))</f>
        <v>#VALUE!</v>
      </c>
      <c r="BO247" s="172" t="e">
        <f>IF(VLOOKUP(T_BilanSocial[[#This Row],[NumL]],T_TraitDi[#Data],COLUMN(T_TraitDi[[#This Row],[Colonne32]]),FALSE)=0,"",TEXT(IFERROR(VLOOKUP(T_BilanSocial[[#This Row],[NumL]],T_TraitDi[#Data],COLUMN(T_TraitDi[[#This Row],[Colonne32]]),FALSE),""),"[hh]:mm"))</f>
        <v>#VALUE!</v>
      </c>
      <c r="BP247" s="172" t="e">
        <f>VLOOKUP(T_BilanSocial[[#This Row],[NumL]],T_TraitDi[#Data],COLUMN(T_TraitDi[NbJTot]),FALSE)</f>
        <v>#N/A</v>
      </c>
      <c r="BQ247" s="174" t="str">
        <f>IFERROR(VLOOKUP(T_BilanSocial[[#This Row],[NumL]],T_TraitDi[#Data],COLUMN(T_TraitDi[[#This Row],[NbJTW]]),FALSE),"")</f>
        <v/>
      </c>
      <c r="BR247" s="174" t="e">
        <f>IF(VLOOKUP(T_BilanSocial[[#This Row],[NumL]],T_TraitDi[#Data],COLUMN(T_TraitDi[[#This Row],[NbhTW]]),FALSE)=0,"",TEXT(IFERROR(VLOOKUP(T_BilanSocial[[#This Row],[NumL]],T_TraitDi[#Data],COLUMN(T_TraitDi[[#This Row],[NbhTW]]),FALSE),""),"[hh]:mm"))</f>
        <v>#VALUE!</v>
      </c>
      <c r="BS247" s="174" t="e">
        <f>IF(VLOOKUP(T_BilanSocial[[#This Row],[NumL]],T_TraitDi[#Data],COLUMN(T_TraitDi[[#This Row],[Nbhheb]]),FALSE)=0,"",TEXT(IFERROR(VLOOKUP($A247,T_TraitDi[#Data],COLUMN(T_TraitDi[[#This Row],[Nbhheb]]),FALSE),""),"[hh]:mm"))</f>
        <v>#VALUE!</v>
      </c>
      <c r="BT247" s="182" t="str">
        <f>IFERROR(VLOOKUP(VLOOKUP($A247,T_TraitDi[#Data],COLUMN(T_TraitDi[[#This Row],[Type1]]),FALSE),TypeTW,2,FALSE),"")</f>
        <v/>
      </c>
      <c r="BU247" s="182" t="str">
        <f>IFERROR(VLOOKUP($A247,T_TraitDi[#Data],COLUMN(T_TraitDi[[#This Row],[Rue1]]),FALSE),"")</f>
        <v/>
      </c>
      <c r="BV247" s="173" t="str">
        <f>IFERROR(VLOOKUP($A247,T_TraitDi[#Data],COLUMN(T_TraitDi[[#This Row],[CP1]]),FALSE),"")</f>
        <v/>
      </c>
      <c r="BW247" s="173" t="str">
        <f>IFERROR(VLOOKUP($A247,T_TraitDi[#Data],COLUMN(T_TraitDi[[#This Row],[VILLE1]]),FALSE),"")</f>
        <v/>
      </c>
      <c r="BX247" s="182" t="str">
        <f>IFERROR(VLOOKUP(VLOOKUP($A247,T_TraitDi[#Data],COLUMN(T_TraitDi[[#This Row],[Type2]]),FALSE),TypeTW,2,FALSE),"")</f>
        <v/>
      </c>
      <c r="BY247" s="182" t="str">
        <f>IFERROR(VLOOKUP($A247,T_TraitDi[#Data],COLUMN(T_TraitDi[[#This Row],[Rue2]]),FALSE),"")</f>
        <v/>
      </c>
      <c r="BZ247" s="173" t="str">
        <f>IFERROR(VLOOKUP($A247,T_TraitDi[#Data],COLUMN(T_TraitDi[[#This Row],[CP2]]),FALSE),"")</f>
        <v/>
      </c>
      <c r="CA247" s="173" t="str">
        <f>IFERROR(VLOOKUP($A247,T_TraitDi[#Data],COLUMN(T_TraitDi[[#This Row],[VILLE2]]),FALSE),"")</f>
        <v/>
      </c>
      <c r="CB247" s="182" t="str">
        <f>IF(VLOOKUP(T_BilanSocial[[#This Row],[NumL]],T_Equipement[#Data],COLUMN(T_Equipement[[#This Row],[PC]]),FALSE)="","Aucun équipement spécifique directement lié au télétravail",VLOOKUP(T_BilanSocial[[#This Row],[NumL]],T_Equipement[#Data],COLUMN(T_Equipement[[#This Row],[PC]]),FALSE))</f>
        <v xml:space="preserve">SCD2014PORT01	</v>
      </c>
      <c r="CC247" s="166" t="str">
        <f>IFERROR(IF(VLOOKUP(T_BilanSocial[[#This Row],[NumL]],T_TraitDi[#Data],COLUMN(T_TraitDi[[#This Row],[Plan]]),FALSE)="OK","Un planning spécifique de télétravail est annexé à la présente convention.",""),"")</f>
        <v/>
      </c>
      <c r="CD247" s="258" t="s">
        <v>3398</v>
      </c>
      <c r="CE247" s="164" t="e">
        <f>IF(VLOOKUP(T_BilanSocial[[#This Row],[NumL]],T_suiviDi[#Data],COLUMN(T_suiviDi[[#This Row],[Entité]]),FALSE)="","",VLOOKUP(T_BilanSocial[[#This Row],[NumL]],T_suiviDi[#Data],COLUMN(T_suiviDi[[#This Row],[Entité]]),FALSE))</f>
        <v>#VALUE!</v>
      </c>
      <c r="CF247" s="164" t="str">
        <f>IF(VLOOKUP(T_BilanSocial[[#This Row],[NumL]],T_Commission[#Data],COLUMN(T_Commission[[#This Row],[envoi confirm TW]]),FALSE)="","",VLOOKUP(T_BilanSocial[[#This Row],[NumL]],T_Commission[#Data],COLUMN(T_Commission[[#This Row],[envoi confirm TW]]),FALSE))</f>
        <v>Oui</v>
      </c>
      <c r="CG24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7" s="262" t="str">
        <f>T_BilanSocial[[#This Row],[Nom]]&amp;T_BilanSocial[[#This Row],[Prenom]]</f>
        <v/>
      </c>
      <c r="CI247" s="262">
        <f>VLOOKUP(T_BilanSocial[[#This Row],[NumL]],T_Commission[#Data],COLUMN(T_Commission[Commentaire]),FALSE)</f>
        <v>0</v>
      </c>
      <c r="CJ247" s="262" t="str">
        <f>IF(VLOOKUP(T_BilanSocial[[#This Row],[NumL]],T_Commission[#Data],COLUMN(T_Commission[Encadrant Email]),FALSE)="","",VLOOKUP(T_BilanSocial[[#This Row],[NumL]],T_Commission[#Data],COLUMN(T_Commission[Encadrant Email]),FALSE))</f>
        <v/>
      </c>
      <c r="CK247" s="340" t="str">
        <f>IF(T_BilanSocial[[#This Row],[Final]]&lt;&gt;"",VLOOKUP(T_BilanSocial[[#This Row],[NumL]],T_suiviDi[#Data],COLUMN((T_suiviDi[Statut])),FALSE),"")</f>
        <v/>
      </c>
    </row>
    <row r="248" spans="1:89" s="106" customFormat="1" ht="24.75" customHeight="1" x14ac:dyDescent="0.25">
      <c r="A248" s="160">
        <v>245</v>
      </c>
      <c r="B248" s="161">
        <f t="shared" si="34"/>
        <v>1</v>
      </c>
      <c r="C248" s="162" t="s">
        <v>173</v>
      </c>
      <c r="D248" s="95" t="e">
        <f>IF(VLOOKUP(T_BilanSocial[[#This Row],[NumL]],T_TraitDi[#Data],COLUMN(T_TraitDi[[#This Row],[WebC]]),FALSE)="","",VLOOKUP(T_BilanSocial[[#This Row],[NumL]],T_TraitDi[#Data],COLUMN(T_TraitDi[[#This Row],[WebC]]),FALSE))</f>
        <v>#VALUE!</v>
      </c>
      <c r="E248" s="163" t="str">
        <f t="shared" si="35"/>
        <v>12 janvier 2021</v>
      </c>
      <c r="F248" s="96" t="str">
        <f>IF(T_BilanSocial[[#This Row],[Final]]&lt;&gt;"",VLOOKUP(T_BilanSocial[[#This Row],[NumL]],T_suiviDi[#Data],COLUMN((T_suiviDi[Civ.])),FALSE),"")</f>
        <v>Mme</v>
      </c>
      <c r="G248" s="96" t="str">
        <f>IF(T_BilanSocial[[#This Row],[Final]]&lt;&gt;"",VLOOKUP(T_BilanSocial[[#This Row],[NumL]],T_suiviDi[#Data],COLUMN((T_suiviDi[Nom])),FALSE),"")</f>
        <v>A</v>
      </c>
      <c r="H248" s="96" t="str">
        <f>IF(T_BilanSocial[[#This Row],[Final]]&lt;&gt;"",VLOOKUP(T_BilanSocial[[#This Row],[NumL]],T_suiviDi[#Data],COLUMN((T_suiviDi[Prénom])),FALSE),"")</f>
        <v>Christelle</v>
      </c>
      <c r="I248" s="96" t="str">
        <f>IFERROR(VLOOKUP(T_BilanSocial[[#This Row],[Zone_Bilan]],T_P_BilanSocial[#Data],COLUMN(T_P_BilanSocial[[#This Row],[Numero_SIHAM]]),FALSE),"")</f>
        <v/>
      </c>
      <c r="J248" s="96" t="str">
        <f>IFERROR(VLOOKUP(T_BilanSocial[[#This Row],[Zone_Bilan]],T_P_BilanSocial[#Data],COLUMN(T_P_BilanSocial[[#This Row],[Sexe]]),FALSE),"")</f>
        <v/>
      </c>
      <c r="K248" s="97" t="str">
        <f>IFERROR(VLOOKUP(T_BilanSocial[[#This Row],[Zone_Bilan]],T_P_BilanSocial[#Data],COLUMN(T_P_BilanSocial[[#This Row],[Categorie]]),FALSE),"")</f>
        <v/>
      </c>
      <c r="L248" s="96" t="str">
        <f>IFERROR(VLOOKUP(T_BilanSocial[[#This Row],[Zone_Bilan]],T_P_BilanSocial[#Data],COLUMN(T_P_BilanSocial[[#This Row],[Statut]]),FALSE),"")</f>
        <v/>
      </c>
      <c r="M248" s="96" t="str">
        <f>IFERROR(VLOOKUP(T_BilanSocial[[#This Row],[Zone_Bilan]],T_P_BilanSocial[#Data],COLUMN(T_P_BilanSocial[[#This Row],[Filiere]]),FALSE),"")</f>
        <v/>
      </c>
      <c r="N248" s="96" t="str">
        <f>VLOOKUP(T_BilanSocial[[#This Row],[NumL]],T_TraitDi[#Data],COLUMN(T_TraitDi[EXP]),FALSE)</f>
        <v>O</v>
      </c>
      <c r="O248" s="96" t="str">
        <f>VLOOKUP(T_BilanSocial[[#This Row],[NumL]],T_TraitDi[#Data],COLUMN(T_TraitDi[FORM]),FALSE)</f>
        <v>O</v>
      </c>
      <c r="P248" s="96">
        <f>IF(T_BilanSocial[[#This Row],[Final]]&lt;&gt;"",VLOOKUP(T_BilanSocial[[#This Row],[NumL]],T_suiviDi[#Data],COLUMN((T_suiviDi[Email])),FALSE),"")</f>
        <v>0</v>
      </c>
      <c r="Q248" s="164" t="str">
        <f t="shared" si="40"/>
        <v/>
      </c>
      <c r="R248" s="164" t="str">
        <f t="shared" si="41"/>
        <v>Responsable scientifique des collections de droit - BU du Palais</v>
      </c>
      <c r="S248" s="164" t="e">
        <f>IF(VLOOKUP(T_BilanSocial[[#This Row],[NumL]],T_suiviDi[#Data],COLUMN(T_suiviDi[[#This Row],[Service ]]),FALSE)="","",VLOOKUP(T_BilanSocial[[#This Row],[NumL]],T_suiviDi[#Data],COLUMN(T_suiviDi[[#This Row],[Service ]]),FALSE))</f>
        <v>#VALUE!</v>
      </c>
      <c r="T248" s="164" t="str">
        <f t="shared" si="36"/>
        <v>01 septembre 2021</v>
      </c>
      <c r="U248" s="164" t="str">
        <f t="shared" si="37"/>
        <v>30 novembre 2021</v>
      </c>
      <c r="V248" s="164" t="str">
        <f t="shared" si="43"/>
        <v>30 novembre 2021</v>
      </c>
      <c r="W248" s="176" t="e">
        <f>IF(VLOOKUP(T_BilanSocial[[#This Row],[NumL]],T_TraitDi[#Data],COLUMN(T_TraitDi[[#This Row],[M1]]),FALSE)="","",VLOOKUP(T_BilanSocial[[#This Row],[NumL]],T_TraitDi[#Data],COLUMN(T_TraitDi[[#This Row],[M1]]),FALSE))</f>
        <v>#VALUE!</v>
      </c>
      <c r="X248" s="176" t="e">
        <f>IF(VLOOKUP(T_BilanSocial[[#This Row],[NumL]],T_TraitDi[#Data],COLUMN(T_TraitDi[[#This Row],[M2]]),FALSE)="","",VLOOKUP(T_BilanSocial[[#This Row],[NumL]],T_TraitDi[#Data],COLUMN(T_TraitDi[[#This Row],[M2]]),FALSE))</f>
        <v>#VALUE!</v>
      </c>
      <c r="Y248" s="176" t="e">
        <f>IF(VLOOKUP(T_BilanSocial[[#This Row],[NumL]],T_TraitDi[#Data],COLUMN(T_TraitDi[[#This Row],[M3]]),FALSE)="","",VLOOKUP(T_BilanSocial[[#This Row],[NumL]],T_TraitDi[#Data],COLUMN(T_TraitDi[[#This Row],[M3]]),FALSE))</f>
        <v>#VALUE!</v>
      </c>
      <c r="Z248" s="176" t="str">
        <f t="shared" si="39"/>
        <v xml:space="preserve"> -Valorisation des collections de droit de la BDP</v>
      </c>
      <c r="AA248" s="176" t="e">
        <f>IF(VLOOKUP(T_BilanSocial[[#This Row],[NumL]],T_TraitDi[#Data],COLUMN(T_TraitDi[[#This Row],[M5]]),FALSE)="","",VLOOKUP(T_BilanSocial[[#This Row],[NumL]],T_TraitDi[#Data],COLUMN(T_TraitDi[[#This Row],[M5]]),FALSE))</f>
        <v>#VALUE!</v>
      </c>
      <c r="AB248" s="176" t="e">
        <f>IF(VLOOKUP(T_BilanSocial[[#This Row],[NumL]],T_TraitDi[#Data],COLUMN(T_TraitDi[[#This Row],[M6]]),FALSE)="","",VLOOKUP(T_BilanSocial[[#This Row],[NumL]],T_TraitDi[#Data],COLUMN(T_TraitDi[[#This Row],[M6]]),FALSE))</f>
        <v>#VALUE!</v>
      </c>
      <c r="AC248" s="165" t="e">
        <f t="shared" si="38"/>
        <v>#VALUE!</v>
      </c>
      <c r="AD248" s="188" t="str">
        <f>IFERROR(TEXT(VLOOKUP(T_BilanSocial[[#This Row],[NumL]],T_TraitDi[#Data],COLUMN(T_TraitDi[[#This Row],[Q2]]),FALSE),"###%"),"")</f>
        <v/>
      </c>
      <c r="AE248" s="97" t="e">
        <f>VLOOKUP(T_BilanSocial[[#This Row],[NumL]],T_TraitDi[#Data],COLUMN(T_TraitDi[[#This Row],[Reg Ponct]]),FALSE)</f>
        <v>#VALUE!</v>
      </c>
      <c r="AF248" s="97" t="e">
        <f>VLOOKUP(T_BilanSocial[NumL],T_TraitDi[#Data],COLUMN(T_TraitDi[[#This Row],[Jours flottants]]),FALSE)</f>
        <v>#VALUE!</v>
      </c>
      <c r="AG248" s="97" t="str">
        <f>IFERROR(VLOOKUP(T_BilanSocial[[#This Row],[NumL]],T_TraitDi[#Data],COLUMN(T_TraitDi[[#This Row],[Lundi]]),FALSE),"")</f>
        <v/>
      </c>
      <c r="AH248" s="172" t="e">
        <f>IF(VLOOKUP(T_BilanSocial[[#This Row],[NumL]],T_TraitDi[#Data],COLUMN(T_TraitDi[[#This Row],[Colonne3]]),FALSE)=0,"",TEXT(IFERROR(VLOOKUP(T_BilanSocial[[#This Row],[NumL]],T_TraitDi[#Data],COLUMN(T_TraitDi[[#This Row],[Colonne3]]),FALSE),""),"[hh]:mm"))</f>
        <v>#VALUE!</v>
      </c>
      <c r="AI248" s="172" t="e">
        <f>IF(VLOOKUP(T_BilanSocial[[#This Row],[NumL]],T_TraitDi[#Data],COLUMN(T_TraitDi[[#This Row],[Colonne4]]),FALSE)=0,"",TEXT(IFERROR(VLOOKUP(T_BilanSocial[[#This Row],[NumL]],T_TraitDi[#Data],COLUMN(T_TraitDi[[#This Row],[Colonne4]]),FALSE),""),"[hh]:mm"))</f>
        <v>#VALUE!</v>
      </c>
      <c r="AJ248" s="172" t="e">
        <f>IF(VLOOKUP(T_BilanSocial[[#This Row],[NumL]],T_TraitDi[#Data],COLUMN(T_TraitDi[[#This Row],[Colonne5]]),FALSE)=0,"",TEXT(IFERROR(VLOOKUP(T_BilanSocial[[#This Row],[NumL]],T_TraitDi[#Data],COLUMN(T_TraitDi[[#This Row],[Colonne5]]),FALSE),""),"[hh]:mm"))</f>
        <v>#VALUE!</v>
      </c>
      <c r="AK248" s="172" t="e">
        <f>IF(VLOOKUP(T_BilanSocial[[#This Row],[NumL]],T_TraitDi[#Data],COLUMN(T_TraitDi[[#This Row],[Colonne6]]),FALSE)=0,"",TEXT(IFERROR(VLOOKUP(T_BilanSocial[[#This Row],[NumL]],T_TraitDi[#Data],COLUMN(T_TraitDi[[#This Row],[Colonne6]]),FALSE),""),"[hh]:mm"))</f>
        <v>#VALUE!</v>
      </c>
      <c r="AL248" s="172" t="e">
        <f>IF(VLOOKUP(T_BilanSocial[[#This Row],[NumL]],T_TraitDi[#Data],COLUMN(T_TraitDi[[#This Row],[Colonne7]]),FALSE)=0,"",TEXT(IFERROR(VLOOKUP(T_BilanSocial[[#This Row],[NumL]],T_TraitDi[#Data],COLUMN(T_TraitDi[[#This Row],[Colonne7]]),FALSE),""),"[hh]:mm"))</f>
        <v>#VALUE!</v>
      </c>
      <c r="AM248" s="172" t="e">
        <f>IF(VLOOKUP(T_BilanSocial[[#This Row],[NumL]],T_TraitDi[#Data],COLUMN(T_TraitDi[[#This Row],[Colonne8]]),FALSE)=0,"",TEXT(IFERROR(VLOOKUP(T_BilanSocial[[#This Row],[NumL]],T_TraitDi[#Data],COLUMN(T_TraitDi[[#This Row],[Colonne8]]),FALSE),""),"[hh]:mm"))</f>
        <v>#VALUE!</v>
      </c>
      <c r="AN248" s="172" t="str">
        <f>IFERROR(VLOOKUP(T_BilanSocial[[#This Row],[NumL]],T_TraitDi[#Data],COLUMN(T_TraitDi[[#This Row],[Mardi]]),FALSE),"")</f>
        <v/>
      </c>
      <c r="AO248" s="172" t="e">
        <f>IF(VLOOKUP(T_BilanSocial[[#This Row],[NumL]],T_TraitDi[#Data],COLUMN(T_TraitDi[[#This Row],[Colonne1]]),FALSE)=0,"",TEXT(IFERROR(VLOOKUP(T_BilanSocial[[#This Row],[NumL]],T_TraitDi[#Data],COLUMN(T_TraitDi[[#This Row],[Colonne1]]),FALSE),""),"[hh]:mm"))</f>
        <v>#VALUE!</v>
      </c>
      <c r="AP248" s="172" t="e">
        <f>IF(VLOOKUP(T_BilanSocial[[#This Row],[NumL]],T_TraitDi[#Data],COLUMN(T_TraitDi[[#This Row],[Colonne9]]),FALSE)=0,"",TEXT(IFERROR(VLOOKUP(T_BilanSocial[[#This Row],[NumL]],T_TraitDi[#Data],COLUMN(T_TraitDi[[#This Row],[Colonne9]]),FALSE),""),"[hh]:mm"))</f>
        <v>#VALUE!</v>
      </c>
      <c r="AQ248" s="172" t="str">
        <f>IFERROR(VLOOKUP(T_BilanSocial[[#This Row],[NumL]],T_TraitDi[#Data],COLUMN(T_TraitDi[[#This Row],[Colonne10]]),FALSE),"")</f>
        <v/>
      </c>
      <c r="AR248" s="172" t="e">
        <f>IF(VLOOKUP(T_BilanSocial[[#This Row],[NumL]],T_TraitDi[#Data],COLUMN(T_TraitDi[[#This Row],[Colonne11]]),FALSE)=0,"",TEXT(IFERROR(VLOOKUP(T_BilanSocial[[#This Row],[NumL]],T_TraitDi[#Data],COLUMN(T_TraitDi[[#This Row],[Colonne11]]),FALSE),""),"[hh]:mm"))</f>
        <v>#VALUE!</v>
      </c>
      <c r="AS248" s="172" t="e">
        <f>IF(VLOOKUP(T_BilanSocial[[#This Row],[NumL]],T_TraitDi[#Data],COLUMN(T_TraitDi[[#This Row],[Colonne12]]),FALSE)=0,"",TEXT(IFERROR(VLOOKUP(T_BilanSocial[[#This Row],[NumL]],T_TraitDi[#Data],COLUMN(T_TraitDi[[#This Row],[Colonne12]]),FALSE),""),"[hh]:mm"))</f>
        <v>#VALUE!</v>
      </c>
      <c r="AT248" s="172" t="e">
        <f>IF(VLOOKUP(T_BilanSocial[[#This Row],[NumL]],T_TraitDi[#Data],COLUMN(T_TraitDi[[#This Row],[Colonne14]]),FALSE)=0,"",TEXT(IFERROR(VLOOKUP(T_BilanSocial[[#This Row],[NumL]],T_TraitDi[#Data],COLUMN(T_TraitDi[[#This Row],[Colonne14]]),FALSE),""),"[hh]:mm"))</f>
        <v>#VALUE!</v>
      </c>
      <c r="AU248" s="172" t="str">
        <f>IFERROR(VLOOKUP(T_BilanSocial[[#This Row],[NumL]],T_TraitDi[#Data],COLUMN(T_TraitDi[[#This Row],[Mercredi]]),FALSE),"")</f>
        <v/>
      </c>
      <c r="AV248" s="172" t="e">
        <f>IF(VLOOKUP(T_BilanSocial[[#This Row],[NumL]],T_TraitDi[#Data],COLUMN(T_TraitDi[[#This Row],[Colonne15]]),FALSE)=0,"",TEXT(IFERROR(VLOOKUP(T_BilanSocial[[#This Row],[NumL]],T_TraitDi[#Data],COLUMN(T_TraitDi[[#This Row],[Colonne15]]),FALSE),""),"[hh]:mm"))</f>
        <v>#VALUE!</v>
      </c>
      <c r="AW248" s="172" t="e">
        <f>IF(VLOOKUP(T_BilanSocial[[#This Row],[NumL]],T_TraitDi[#Data],COLUMN(T_TraitDi[[#This Row],[Colonne16]]),FALSE)=0,"",TEXT(IFERROR(VLOOKUP(T_BilanSocial[[#This Row],[NumL]],T_TraitDi[#Data],COLUMN(T_TraitDi[[#This Row],[Colonne16]]),FALSE),""),"[hh]:mm"))</f>
        <v>#VALUE!</v>
      </c>
      <c r="AX248" s="172" t="str">
        <f>IFERROR(VLOOKUP(T_BilanSocial[[#This Row],[NumL]],T_TraitDi[#Data],COLUMN(T_TraitDi[[#This Row],[Colonne17]]),FALSE),"")</f>
        <v/>
      </c>
      <c r="AY248" s="172" t="e">
        <f>IF(VLOOKUP(T_BilanSocial[[#This Row],[NumL]],T_TraitDi[#Data],COLUMN(T_TraitDi[[#This Row],[Colonne18]]),FALSE)=0,"",TEXT(IFERROR(VLOOKUP(T_BilanSocial[[#This Row],[NumL]],T_TraitDi[#Data],COLUMN(T_TraitDi[[#This Row],[Colonne18]]),FALSE),""),"[hh]:mm"))</f>
        <v>#VALUE!</v>
      </c>
      <c r="AZ248" s="172" t="e">
        <f>IF(VLOOKUP(T_BilanSocial[[#This Row],[NumL]],T_TraitDi[#Data],COLUMN(T_TraitDi[[#This Row],[Colonne19]]),FALSE)=0,"",TEXT(IFERROR(VLOOKUP(T_BilanSocial[[#This Row],[NumL]],T_TraitDi[#Data],COLUMN(T_TraitDi[[#This Row],[Colonne19]]),FALSE),""),"[hh]:mm"))</f>
        <v>#VALUE!</v>
      </c>
      <c r="BA248" s="172" t="e">
        <f>IF(VLOOKUP(T_BilanSocial[[#This Row],[NumL]],T_TraitDi[#Data],COLUMN(T_TraitDi[[#This Row],[Colonne20]]),FALSE)=0,"",TEXT(IFERROR(VLOOKUP(T_BilanSocial[[#This Row],[NumL]],T_TraitDi[#Data],COLUMN(T_TraitDi[[#This Row],[Colonne20]]),FALSE),""),"[hh]:mm"))</f>
        <v>#VALUE!</v>
      </c>
      <c r="BB248" s="178" t="str">
        <f>IFERROR(VLOOKUP(T_BilanSocial[[#This Row],[NumL]],T_TraitDi[#Data],COLUMN(T_TraitDi[[#This Row],[Jeudi]]),FALSE),"")</f>
        <v/>
      </c>
      <c r="BC248" s="178" t="e">
        <f>IF(VLOOKUP(T_BilanSocial[[#This Row],[NumL]],T_TraitDi[#Data],COLUMN(T_TraitDi[[#This Row],[Colonne21]]),FALSE)=0,"",TEXT(IFERROR(VLOOKUP(T_BilanSocial[[#This Row],[NumL]],T_TraitDi[#Data],COLUMN(T_TraitDi[[#This Row],[Colonne21]]),FALSE),""),"[hh]:mm"))</f>
        <v>#VALUE!</v>
      </c>
      <c r="BD248" s="178" t="e">
        <f>IF(VLOOKUP(T_BilanSocial[[#This Row],[NumL]],T_TraitDi[#Data],COLUMN(T_TraitDi[[#This Row],[Colonne22]]),FALSE)=0,"",TEXT(IFERROR(VLOOKUP(T_BilanSocial[[#This Row],[NumL]],T_TraitDi[#Data],COLUMN(T_TraitDi[[#This Row],[Colonne22]]),FALSE),""),"[hh]:mm"))</f>
        <v>#VALUE!</v>
      </c>
      <c r="BE248" s="178" t="str">
        <f>IFERROR(VLOOKUP(T_BilanSocial[[#This Row],[NumL]],T_TraitDi[#Data],COLUMN(T_TraitDi[[#This Row],[Colonne23]]),FALSE),"")</f>
        <v/>
      </c>
      <c r="BF248" s="178" t="e">
        <f>IF(VLOOKUP(T_BilanSocial[[#This Row],[NumL]],T_TraitDi[#Data],COLUMN(T_TraitDi[[#This Row],[Colonne24]]),FALSE)=0,"",TEXT(IFERROR(VLOOKUP(T_BilanSocial[[#This Row],[NumL]],T_TraitDi[#Data],COLUMN(T_TraitDi[[#This Row],[Colonne24]]),FALSE),""),"[hh]:mm"))</f>
        <v>#VALUE!</v>
      </c>
      <c r="BG248" s="178" t="e">
        <f>IF(VLOOKUP(T_BilanSocial[[#This Row],[NumL]],T_TraitDi[#Data],COLUMN(T_TraitDi[[#This Row],[Colonne25]]),FALSE)=0,"",TEXT(IFERROR(VLOOKUP(T_BilanSocial[[#This Row],[NumL]],T_TraitDi[#Data],COLUMN(T_TraitDi[[#This Row],[Colonne25]]),FALSE),""),"[hh]:mm"))</f>
        <v>#VALUE!</v>
      </c>
      <c r="BH248" s="178" t="e">
        <f>IF(VLOOKUP(T_BilanSocial[[#This Row],[NumL]],T_TraitDi[#Data],COLUMN(T_TraitDi[[#This Row],[Colonne26]]),FALSE)=0,"",TEXT(IFERROR(VLOOKUP(T_BilanSocial[[#This Row],[NumL]],T_TraitDi[#Data],COLUMN(T_TraitDi[[#This Row],[Colonne26]]),FALSE),""),"[hh]:mm"))</f>
        <v>#VALUE!</v>
      </c>
      <c r="BI248" s="172" t="str">
        <f>IFERROR(VLOOKUP(T_BilanSocial[[#This Row],[NumL]],T_TraitDi[#Data],COLUMN(T_TraitDi[[#This Row],[Vendredi]]),FALSE),"")</f>
        <v/>
      </c>
      <c r="BJ248" s="172" t="e">
        <f>IF(VLOOKUP(T_BilanSocial[[#This Row],[NumL]],T_TraitDi[#Data],COLUMN(T_TraitDi[[#This Row],[Colonne27]]),FALSE)=0,"",TEXT(IFERROR(VLOOKUP(T_BilanSocial[[#This Row],[NumL]],T_TraitDi[#Data],COLUMN(T_TraitDi[[#This Row],[Colonne27]]),FALSE),""),"[hh]:mm"))</f>
        <v>#VALUE!</v>
      </c>
      <c r="BK248" s="172" t="e">
        <f>IF(VLOOKUP(T_BilanSocial[[#This Row],[NumL]],T_TraitDi[#Data],COLUMN(T_TraitDi[[#This Row],[Colonne28]]),FALSE)=0,"",TEXT(IFERROR(VLOOKUP(T_BilanSocial[[#This Row],[NumL]],T_TraitDi[#Data],COLUMN(T_TraitDi[[#This Row],[Colonne28]]),FALSE),""),"[hh]:mm"))</f>
        <v>#VALUE!</v>
      </c>
      <c r="BL248" s="172" t="str">
        <f>IFERROR(VLOOKUP(T_BilanSocial[[#This Row],[NumL]],T_TraitDi[#Data],COLUMN(T_TraitDi[[#This Row],[Colonne29]]),FALSE),"")</f>
        <v/>
      </c>
      <c r="BM248" s="172" t="e">
        <f>IF(VLOOKUP(T_BilanSocial[[#This Row],[NumL]],T_TraitDi[#Data],COLUMN(T_TraitDi[[#This Row],[Colonne30]]),FALSE)=0,"",TEXT(IFERROR(VLOOKUP(T_BilanSocial[[#This Row],[NumL]],T_TraitDi[#Data],COLUMN(T_TraitDi[[#This Row],[Colonne30]]),FALSE),""),"[hh]:mm"))</f>
        <v>#VALUE!</v>
      </c>
      <c r="BN248" s="172" t="e">
        <f>IF(VLOOKUP(T_BilanSocial[[#This Row],[NumL]],T_TraitDi[#Data],COLUMN(T_TraitDi[[#This Row],[Colonne31]]),FALSE)=0,"",TEXT(IFERROR(VLOOKUP(T_BilanSocial[[#This Row],[NumL]],T_TraitDi[#Data],COLUMN(T_TraitDi[[#This Row],[Colonne31]]),FALSE),""),"[hh]:mm"))</f>
        <v>#VALUE!</v>
      </c>
      <c r="BO248" s="172" t="e">
        <f>IF(VLOOKUP(T_BilanSocial[[#This Row],[NumL]],T_TraitDi[#Data],COLUMN(T_TraitDi[[#This Row],[Colonne32]]),FALSE)=0,"",TEXT(IFERROR(VLOOKUP(T_BilanSocial[[#This Row],[NumL]],T_TraitDi[#Data],COLUMN(T_TraitDi[[#This Row],[Colonne32]]),FALSE),""),"[hh]:mm"))</f>
        <v>#VALUE!</v>
      </c>
      <c r="BP248" s="172">
        <f>VLOOKUP(T_BilanSocial[[#This Row],[NumL]],T_TraitDi[#Data],COLUMN(T_TraitDi[NbJTot]),FALSE)</f>
        <v>4.5</v>
      </c>
      <c r="BQ248" s="174" t="str">
        <f>IFERROR(VLOOKUP(T_BilanSocial[[#This Row],[NumL]],T_TraitDi[#Data],COLUMN(T_TraitDi[[#This Row],[NbJTW]]),FALSE),"")</f>
        <v/>
      </c>
      <c r="BR248" s="174" t="e">
        <f>IF(VLOOKUP(T_BilanSocial[[#This Row],[NumL]],T_TraitDi[#Data],COLUMN(T_TraitDi[[#This Row],[NbhTW]]),FALSE)=0,"",TEXT(IFERROR(VLOOKUP(T_BilanSocial[[#This Row],[NumL]],T_TraitDi[#Data],COLUMN(T_TraitDi[[#This Row],[NbhTW]]),FALSE),""),"[hh]:mm"))</f>
        <v>#VALUE!</v>
      </c>
      <c r="BS248" s="174" t="e">
        <f>IF(VLOOKUP(T_BilanSocial[[#This Row],[NumL]],T_TraitDi[#Data],COLUMN(T_TraitDi[[#This Row],[Nbhheb]]),FALSE)=0,"",TEXT(IFERROR(VLOOKUP($A248,T_TraitDi[#Data],COLUMN(T_TraitDi[[#This Row],[Nbhheb]]),FALSE),""),"[hh]:mm"))</f>
        <v>#VALUE!</v>
      </c>
      <c r="BT248" s="182" t="str">
        <f>IFERROR(VLOOKUP(VLOOKUP($A248,T_TraitDi[#Data],COLUMN(T_TraitDi[[#This Row],[Type1]]),FALSE),TypeTW,2,FALSE),"")</f>
        <v/>
      </c>
      <c r="BU248" s="182" t="str">
        <f>IFERROR(VLOOKUP($A248,T_TraitDi[#Data],COLUMN(T_TraitDi[[#This Row],[Rue1]]),FALSE),"")</f>
        <v/>
      </c>
      <c r="BV248" s="173" t="str">
        <f>IFERROR(VLOOKUP($A248,T_TraitDi[#Data],COLUMN(T_TraitDi[[#This Row],[CP1]]),FALSE),"")</f>
        <v/>
      </c>
      <c r="BW248" s="173" t="str">
        <f>IFERROR(VLOOKUP($A248,T_TraitDi[#Data],COLUMN(T_TraitDi[[#This Row],[VILLE1]]),FALSE),"")</f>
        <v/>
      </c>
      <c r="BX248" s="182" t="str">
        <f>IFERROR(VLOOKUP(VLOOKUP($A248,T_TraitDi[#Data],COLUMN(T_TraitDi[[#This Row],[Type2]]),FALSE),TypeTW,2,FALSE),"")</f>
        <v/>
      </c>
      <c r="BY248" s="182" t="str">
        <f>IFERROR(VLOOKUP($A248,T_TraitDi[#Data],COLUMN(T_TraitDi[[#This Row],[Rue2]]),FALSE),"")</f>
        <v/>
      </c>
      <c r="BZ248" s="173" t="str">
        <f>IFERROR(VLOOKUP($A248,T_TraitDi[#Data],COLUMN(T_TraitDi[[#This Row],[CP2]]),FALSE),"")</f>
        <v/>
      </c>
      <c r="CA248" s="173" t="str">
        <f>IFERROR(VLOOKUP($A248,T_TraitDi[#Data],COLUMN(T_TraitDi[[#This Row],[VILLE2]]),FALSE),"")</f>
        <v/>
      </c>
      <c r="CB248" s="182" t="str">
        <f>IF(VLOOKUP(T_BilanSocial[[#This Row],[NumL]],T_Equipement[#Data],COLUMN(T_Equipement[[#This Row],[PC]]),FALSE)="","Aucun équipement spécifique directement lié au télétravail",VLOOKUP(T_BilanSocial[[#This Row],[NumL]],T_Equipement[#Data],COLUMN(T_Equipement[[#This Row],[PC]]),FALSE))</f>
        <v>20-347</v>
      </c>
      <c r="CC248" s="166" t="str">
        <f>IFERROR(IF(VLOOKUP(T_BilanSocial[[#This Row],[NumL]],T_TraitDi[#Data],COLUMN(T_TraitDi[[#This Row],[Plan]]),FALSE)="OK","Un planning spécifique de télétravail est annexé à la présente convention.",""),"")</f>
        <v/>
      </c>
      <c r="CD248" s="258" t="s">
        <v>3443</v>
      </c>
      <c r="CE248" s="164" t="e">
        <f>IF(VLOOKUP(T_BilanSocial[[#This Row],[NumL]],T_suiviDi[#Data],COLUMN(T_suiviDi[[#This Row],[Entité]]),FALSE)="","",VLOOKUP(T_BilanSocial[[#This Row],[NumL]],T_suiviDi[#Data],COLUMN(T_suiviDi[[#This Row],[Entité]]),FALSE))</f>
        <v>#VALUE!</v>
      </c>
      <c r="CF248" s="164" t="str">
        <f>IF(VLOOKUP(T_BilanSocial[[#This Row],[NumL]],T_Commission[#Data],COLUMN(T_Commission[[#This Row],[envoi confirm TW]]),FALSE)="","",VLOOKUP(T_BilanSocial[[#This Row],[NumL]],T_Commission[#Data],COLUMN(T_Commission[[#This Row],[envoi confirm TW]]),FALSE))</f>
        <v>Oui</v>
      </c>
      <c r="CG24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8" s="262" t="str">
        <f>T_BilanSocial[[#This Row],[Nom]]&amp;T_BilanSocial[[#This Row],[Prenom]]</f>
        <v>AChristelle</v>
      </c>
      <c r="CI248" s="262">
        <f>VLOOKUP(T_BilanSocial[[#This Row],[NumL]],T_Commission[#Data],COLUMN(T_Commission[Commentaire]),FALSE)</f>
        <v>0</v>
      </c>
      <c r="CJ248" s="262" t="str">
        <f>IF(VLOOKUP(T_BilanSocial[[#This Row],[NumL]],T_Commission[#Data],COLUMN(T_Commission[Encadrant Email]),FALSE)="","",VLOOKUP(T_BilanSocial[[#This Row],[NumL]],T_Commission[#Data],COLUMN(T_Commission[Encadrant Email]),FALSE))</f>
        <v/>
      </c>
      <c r="CK248" s="340" t="str">
        <f>IF(T_BilanSocial[[#This Row],[Final]]&lt;&gt;"",VLOOKUP(T_BilanSocial[[#This Row],[NumL]],T_suiviDi[#Data],COLUMN((T_suiviDi[Statut])),FALSE),"")</f>
        <v>ENCOURS</v>
      </c>
    </row>
    <row r="249" spans="1:89" s="106" customFormat="1" ht="24.75" customHeight="1" x14ac:dyDescent="0.25">
      <c r="A249" s="160">
        <v>246</v>
      </c>
      <c r="B249" s="161" t="str">
        <f t="shared" si="34"/>
        <v/>
      </c>
      <c r="C249" s="162" t="s">
        <v>173</v>
      </c>
      <c r="D249" s="95" t="e">
        <f>IF(VLOOKUP(T_BilanSocial[[#This Row],[NumL]],T_TraitDi[#Data],COLUMN(T_TraitDi[[#This Row],[WebC]]),FALSE)="","",VLOOKUP(T_BilanSocial[[#This Row],[NumL]],T_TraitDi[#Data],COLUMN(T_TraitDi[[#This Row],[WebC]]),FALSE))</f>
        <v>#VALUE!</v>
      </c>
      <c r="E249" s="163" t="str">
        <f t="shared" si="35"/>
        <v>12 janvier 2021</v>
      </c>
      <c r="F249" s="96" t="str">
        <f>IF(T_BilanSocial[[#This Row],[Final]]&lt;&gt;"",VLOOKUP(T_BilanSocial[[#This Row],[NumL]],T_suiviDi[#Data],COLUMN((T_suiviDi[Civ.])),FALSE),"")</f>
        <v/>
      </c>
      <c r="G249" s="96" t="str">
        <f>IF(T_BilanSocial[[#This Row],[Final]]&lt;&gt;"",VLOOKUP(T_BilanSocial[[#This Row],[NumL]],T_suiviDi[#Data],COLUMN((T_suiviDi[Nom])),FALSE),"")</f>
        <v/>
      </c>
      <c r="H249" s="96" t="str">
        <f>IF(T_BilanSocial[[#This Row],[Final]]&lt;&gt;"",VLOOKUP(T_BilanSocial[[#This Row],[NumL]],T_suiviDi[#Data],COLUMN((T_suiviDi[Prénom])),FALSE),"")</f>
        <v/>
      </c>
      <c r="I249" s="96" t="str">
        <f>IFERROR(VLOOKUP(T_BilanSocial[[#This Row],[Zone_Bilan]],T_P_BilanSocial[#Data],COLUMN(T_P_BilanSocial[[#This Row],[Numero_SIHAM]]),FALSE),"")</f>
        <v/>
      </c>
      <c r="J249" s="96" t="str">
        <f>IFERROR(VLOOKUP(T_BilanSocial[[#This Row],[Zone_Bilan]],T_P_BilanSocial[#Data],COLUMN(T_P_BilanSocial[[#This Row],[Sexe]]),FALSE),"")</f>
        <v/>
      </c>
      <c r="K249" s="97" t="str">
        <f>IFERROR(VLOOKUP(T_BilanSocial[[#This Row],[Zone_Bilan]],T_P_BilanSocial[#Data],COLUMN(T_P_BilanSocial[[#This Row],[Categorie]]),FALSE),"")</f>
        <v/>
      </c>
      <c r="L249" s="96" t="str">
        <f>IFERROR(VLOOKUP(T_BilanSocial[[#This Row],[Zone_Bilan]],T_P_BilanSocial[#Data],COLUMN(T_P_BilanSocial[[#This Row],[Statut]]),FALSE),"")</f>
        <v/>
      </c>
      <c r="M249" s="96" t="str">
        <f>IFERROR(VLOOKUP(T_BilanSocial[[#This Row],[Zone_Bilan]],T_P_BilanSocial[#Data],COLUMN(T_P_BilanSocial[[#This Row],[Filiere]]),FALSE),"")</f>
        <v/>
      </c>
      <c r="N249" s="96" t="e">
        <f>VLOOKUP(T_BilanSocial[[#This Row],[NumL]],T_TraitDi[#Data],COLUMN(T_TraitDi[EXP]),FALSE)</f>
        <v>#N/A</v>
      </c>
      <c r="O249" s="96" t="e">
        <f>VLOOKUP(T_BilanSocial[[#This Row],[NumL]],T_TraitDi[#Data],COLUMN(T_TraitDi[FORM]),FALSE)</f>
        <v>#N/A</v>
      </c>
      <c r="P249" s="96" t="str">
        <f>IF(T_BilanSocial[[#This Row],[Final]]&lt;&gt;"",VLOOKUP(T_BilanSocial[[#This Row],[NumL]],T_suiviDi[#Data],COLUMN((T_suiviDi[Email])),FALSE),"")</f>
        <v/>
      </c>
      <c r="Q249" s="164" t="e">
        <f t="shared" si="40"/>
        <v>#N/A</v>
      </c>
      <c r="R249" s="164" t="e">
        <f t="shared" si="41"/>
        <v>#N/A</v>
      </c>
      <c r="S249" s="164" t="e">
        <f>IF(VLOOKUP(T_BilanSocial[[#This Row],[NumL]],T_suiviDi[#Data],COLUMN(T_suiviDi[[#This Row],[Service ]]),FALSE)="","",VLOOKUP(T_BilanSocial[[#This Row],[NumL]],T_suiviDi[#Data],COLUMN(T_suiviDi[[#This Row],[Service ]]),FALSE))</f>
        <v>#VALUE!</v>
      </c>
      <c r="T249" s="164" t="str">
        <f t="shared" si="36"/>
        <v>01 septembre 2021</v>
      </c>
      <c r="U249" s="164" t="str">
        <f t="shared" si="37"/>
        <v>30 novembre 2021</v>
      </c>
      <c r="V249" s="164" t="str">
        <f t="shared" si="43"/>
        <v>30 novembre 2021</v>
      </c>
      <c r="W249" s="176" t="e">
        <f>IF(VLOOKUP(T_BilanSocial[[#This Row],[NumL]],T_TraitDi[#Data],COLUMN(T_TraitDi[[#This Row],[M1]]),FALSE)="","",VLOOKUP(T_BilanSocial[[#This Row],[NumL]],T_TraitDi[#Data],COLUMN(T_TraitDi[[#This Row],[M1]]),FALSE))</f>
        <v>#VALUE!</v>
      </c>
      <c r="X249" s="176" t="e">
        <f>IF(VLOOKUP(T_BilanSocial[[#This Row],[NumL]],T_TraitDi[#Data],COLUMN(T_TraitDi[[#This Row],[M2]]),FALSE)="","",VLOOKUP(T_BilanSocial[[#This Row],[NumL]],T_TraitDi[#Data],COLUMN(T_TraitDi[[#This Row],[M2]]),FALSE))</f>
        <v>#VALUE!</v>
      </c>
      <c r="Y249" s="176" t="e">
        <f>IF(VLOOKUP(T_BilanSocial[[#This Row],[NumL]],T_TraitDi[#Data],COLUMN(T_TraitDi[[#This Row],[M3]]),FALSE)="","",VLOOKUP(T_BilanSocial[[#This Row],[NumL]],T_TraitDi[#Data],COLUMN(T_TraitDi[[#This Row],[M3]]),FALSE))</f>
        <v>#VALUE!</v>
      </c>
      <c r="Z249" s="176" t="str">
        <f t="shared" si="39"/>
        <v/>
      </c>
      <c r="AA249" s="176" t="e">
        <f>IF(VLOOKUP(T_BilanSocial[[#This Row],[NumL]],T_TraitDi[#Data],COLUMN(T_TraitDi[[#This Row],[M5]]),FALSE)="","",VLOOKUP(T_BilanSocial[[#This Row],[NumL]],T_TraitDi[#Data],COLUMN(T_TraitDi[[#This Row],[M5]]),FALSE))</f>
        <v>#VALUE!</v>
      </c>
      <c r="AB249" s="176" t="e">
        <f>IF(VLOOKUP(T_BilanSocial[[#This Row],[NumL]],T_TraitDi[#Data],COLUMN(T_TraitDi[[#This Row],[M6]]),FALSE)="","",VLOOKUP(T_BilanSocial[[#This Row],[NumL]],T_TraitDi[#Data],COLUMN(T_TraitDi[[#This Row],[M6]]),FALSE))</f>
        <v>#VALUE!</v>
      </c>
      <c r="AC249" s="165" t="e">
        <f t="shared" si="38"/>
        <v>#VALUE!</v>
      </c>
      <c r="AD249" s="188" t="str">
        <f>IFERROR(TEXT(VLOOKUP(T_BilanSocial[[#This Row],[NumL]],T_TraitDi[#Data],COLUMN(T_TraitDi[[#This Row],[Q2]]),FALSE),"###%"),"")</f>
        <v/>
      </c>
      <c r="AE249" s="97" t="e">
        <f>VLOOKUP(T_BilanSocial[[#This Row],[NumL]],T_TraitDi[#Data],COLUMN(T_TraitDi[[#This Row],[Reg Ponct]]),FALSE)</f>
        <v>#VALUE!</v>
      </c>
      <c r="AF249" s="97" t="e">
        <f>VLOOKUP(T_BilanSocial[NumL],T_TraitDi[#Data],COLUMN(T_TraitDi[[#This Row],[Jours flottants]]),FALSE)</f>
        <v>#VALUE!</v>
      </c>
      <c r="AG249" s="97" t="str">
        <f>IFERROR(VLOOKUP(T_BilanSocial[[#This Row],[NumL]],T_TraitDi[#Data],COLUMN(T_TraitDi[[#This Row],[Lundi]]),FALSE),"")</f>
        <v/>
      </c>
      <c r="AH249" s="172" t="e">
        <f>IF(VLOOKUP(T_BilanSocial[[#This Row],[NumL]],T_TraitDi[#Data],COLUMN(T_TraitDi[[#This Row],[Colonne3]]),FALSE)=0,"",TEXT(IFERROR(VLOOKUP(T_BilanSocial[[#This Row],[NumL]],T_TraitDi[#Data],COLUMN(T_TraitDi[[#This Row],[Colonne3]]),FALSE),""),"[hh]:mm"))</f>
        <v>#VALUE!</v>
      </c>
      <c r="AI249" s="172" t="e">
        <f>IF(VLOOKUP(T_BilanSocial[[#This Row],[NumL]],T_TraitDi[#Data],COLUMN(T_TraitDi[[#This Row],[Colonne4]]),FALSE)=0,"",TEXT(IFERROR(VLOOKUP(T_BilanSocial[[#This Row],[NumL]],T_TraitDi[#Data],COLUMN(T_TraitDi[[#This Row],[Colonne4]]),FALSE),""),"[hh]:mm"))</f>
        <v>#VALUE!</v>
      </c>
      <c r="AJ249" s="172" t="e">
        <f>IF(VLOOKUP(T_BilanSocial[[#This Row],[NumL]],T_TraitDi[#Data],COLUMN(T_TraitDi[[#This Row],[Colonne5]]),FALSE)=0,"",TEXT(IFERROR(VLOOKUP(T_BilanSocial[[#This Row],[NumL]],T_TraitDi[#Data],COLUMN(T_TraitDi[[#This Row],[Colonne5]]),FALSE),""),"[hh]:mm"))</f>
        <v>#VALUE!</v>
      </c>
      <c r="AK249" s="172" t="e">
        <f>IF(VLOOKUP(T_BilanSocial[[#This Row],[NumL]],T_TraitDi[#Data],COLUMN(T_TraitDi[[#This Row],[Colonne6]]),FALSE)=0,"",TEXT(IFERROR(VLOOKUP(T_BilanSocial[[#This Row],[NumL]],T_TraitDi[#Data],COLUMN(T_TraitDi[[#This Row],[Colonne6]]),FALSE),""),"[hh]:mm"))</f>
        <v>#VALUE!</v>
      </c>
      <c r="AL249" s="172" t="e">
        <f>IF(VLOOKUP(T_BilanSocial[[#This Row],[NumL]],T_TraitDi[#Data],COLUMN(T_TraitDi[[#This Row],[Colonne7]]),FALSE)=0,"",TEXT(IFERROR(VLOOKUP(T_BilanSocial[[#This Row],[NumL]],T_TraitDi[#Data],COLUMN(T_TraitDi[[#This Row],[Colonne7]]),FALSE),""),"[hh]:mm"))</f>
        <v>#VALUE!</v>
      </c>
      <c r="AM249" s="172" t="e">
        <f>IF(VLOOKUP(T_BilanSocial[[#This Row],[NumL]],T_TraitDi[#Data],COLUMN(T_TraitDi[[#This Row],[Colonne8]]),FALSE)=0,"",TEXT(IFERROR(VLOOKUP(T_BilanSocial[[#This Row],[NumL]],T_TraitDi[#Data],COLUMN(T_TraitDi[[#This Row],[Colonne8]]),FALSE),""),"[hh]:mm"))</f>
        <v>#VALUE!</v>
      </c>
      <c r="AN249" s="172" t="str">
        <f>IFERROR(VLOOKUP(T_BilanSocial[[#This Row],[NumL]],T_TraitDi[#Data],COLUMN(T_TraitDi[[#This Row],[Mardi]]),FALSE),"")</f>
        <v/>
      </c>
      <c r="AO249" s="172" t="e">
        <f>IF(VLOOKUP(T_BilanSocial[[#This Row],[NumL]],T_TraitDi[#Data],COLUMN(T_TraitDi[[#This Row],[Colonne1]]),FALSE)=0,"",TEXT(IFERROR(VLOOKUP(T_BilanSocial[[#This Row],[NumL]],T_TraitDi[#Data],COLUMN(T_TraitDi[[#This Row],[Colonne1]]),FALSE),""),"[hh]:mm"))</f>
        <v>#VALUE!</v>
      </c>
      <c r="AP249" s="172" t="e">
        <f>IF(VLOOKUP(T_BilanSocial[[#This Row],[NumL]],T_TraitDi[#Data],COLUMN(T_TraitDi[[#This Row],[Colonne9]]),FALSE)=0,"",TEXT(IFERROR(VLOOKUP(T_BilanSocial[[#This Row],[NumL]],T_TraitDi[#Data],COLUMN(T_TraitDi[[#This Row],[Colonne9]]),FALSE),""),"[hh]:mm"))</f>
        <v>#VALUE!</v>
      </c>
      <c r="AQ249" s="172" t="str">
        <f>IFERROR(VLOOKUP(T_BilanSocial[[#This Row],[NumL]],T_TraitDi[#Data],COLUMN(T_TraitDi[[#This Row],[Colonne10]]),FALSE),"")</f>
        <v/>
      </c>
      <c r="AR249" s="172" t="e">
        <f>IF(VLOOKUP(T_BilanSocial[[#This Row],[NumL]],T_TraitDi[#Data],COLUMN(T_TraitDi[[#This Row],[Colonne11]]),FALSE)=0,"",TEXT(IFERROR(VLOOKUP(T_BilanSocial[[#This Row],[NumL]],T_TraitDi[#Data],COLUMN(T_TraitDi[[#This Row],[Colonne11]]),FALSE),""),"[hh]:mm"))</f>
        <v>#VALUE!</v>
      </c>
      <c r="AS249" s="172" t="e">
        <f>IF(VLOOKUP(T_BilanSocial[[#This Row],[NumL]],T_TraitDi[#Data],COLUMN(T_TraitDi[[#This Row],[Colonne12]]),FALSE)=0,"",TEXT(IFERROR(VLOOKUP(T_BilanSocial[[#This Row],[NumL]],T_TraitDi[#Data],COLUMN(T_TraitDi[[#This Row],[Colonne12]]),FALSE),""),"[hh]:mm"))</f>
        <v>#VALUE!</v>
      </c>
      <c r="AT249" s="172" t="e">
        <f>IF(VLOOKUP(T_BilanSocial[[#This Row],[NumL]],T_TraitDi[#Data],COLUMN(T_TraitDi[[#This Row],[Colonne14]]),FALSE)=0,"",TEXT(IFERROR(VLOOKUP(T_BilanSocial[[#This Row],[NumL]],T_TraitDi[#Data],COLUMN(T_TraitDi[[#This Row],[Colonne14]]),FALSE),""),"[hh]:mm"))</f>
        <v>#VALUE!</v>
      </c>
      <c r="AU249" s="172" t="str">
        <f>IFERROR(VLOOKUP(T_BilanSocial[[#This Row],[NumL]],T_TraitDi[#Data],COLUMN(T_TraitDi[[#This Row],[Mercredi]]),FALSE),"")</f>
        <v/>
      </c>
      <c r="AV249" s="172" t="e">
        <f>IF(VLOOKUP(T_BilanSocial[[#This Row],[NumL]],T_TraitDi[#Data],COLUMN(T_TraitDi[[#This Row],[Colonne15]]),FALSE)=0,"",TEXT(IFERROR(VLOOKUP(T_BilanSocial[[#This Row],[NumL]],T_TraitDi[#Data],COLUMN(T_TraitDi[[#This Row],[Colonne15]]),FALSE),""),"[hh]:mm"))</f>
        <v>#VALUE!</v>
      </c>
      <c r="AW249" s="172" t="e">
        <f>IF(VLOOKUP(T_BilanSocial[[#This Row],[NumL]],T_TraitDi[#Data],COLUMN(T_TraitDi[[#This Row],[Colonne16]]),FALSE)=0,"",TEXT(IFERROR(VLOOKUP(T_BilanSocial[[#This Row],[NumL]],T_TraitDi[#Data],COLUMN(T_TraitDi[[#This Row],[Colonne16]]),FALSE),""),"[hh]:mm"))</f>
        <v>#VALUE!</v>
      </c>
      <c r="AX249" s="172" t="str">
        <f>IFERROR(VLOOKUP(T_BilanSocial[[#This Row],[NumL]],T_TraitDi[#Data],COLUMN(T_TraitDi[[#This Row],[Colonne17]]),FALSE),"")</f>
        <v/>
      </c>
      <c r="AY249" s="172" t="e">
        <f>IF(VLOOKUP(T_BilanSocial[[#This Row],[NumL]],T_TraitDi[#Data],COLUMN(T_TraitDi[[#This Row],[Colonne18]]),FALSE)=0,"",TEXT(IFERROR(VLOOKUP(T_BilanSocial[[#This Row],[NumL]],T_TraitDi[#Data],COLUMN(T_TraitDi[[#This Row],[Colonne18]]),FALSE),""),"[hh]:mm"))</f>
        <v>#VALUE!</v>
      </c>
      <c r="AZ249" s="172" t="e">
        <f>IF(VLOOKUP(T_BilanSocial[[#This Row],[NumL]],T_TraitDi[#Data],COLUMN(T_TraitDi[[#This Row],[Colonne19]]),FALSE)=0,"",TEXT(IFERROR(VLOOKUP(T_BilanSocial[[#This Row],[NumL]],T_TraitDi[#Data],COLUMN(T_TraitDi[[#This Row],[Colonne19]]),FALSE),""),"[hh]:mm"))</f>
        <v>#VALUE!</v>
      </c>
      <c r="BA249" s="172" t="e">
        <f>IF(VLOOKUP(T_BilanSocial[[#This Row],[NumL]],T_TraitDi[#Data],COLUMN(T_TraitDi[[#This Row],[Colonne20]]),FALSE)=0,"",TEXT(IFERROR(VLOOKUP(T_BilanSocial[[#This Row],[NumL]],T_TraitDi[#Data],COLUMN(T_TraitDi[[#This Row],[Colonne20]]),FALSE),""),"[hh]:mm"))</f>
        <v>#VALUE!</v>
      </c>
      <c r="BB249" s="178" t="str">
        <f>IFERROR(VLOOKUP(T_BilanSocial[[#This Row],[NumL]],T_TraitDi[#Data],COLUMN(T_TraitDi[[#This Row],[Jeudi]]),FALSE),"")</f>
        <v/>
      </c>
      <c r="BC249" s="178" t="e">
        <f>IF(VLOOKUP(T_BilanSocial[[#This Row],[NumL]],T_TraitDi[#Data],COLUMN(T_TraitDi[[#This Row],[Colonne21]]),FALSE)=0,"",TEXT(IFERROR(VLOOKUP(T_BilanSocial[[#This Row],[NumL]],T_TraitDi[#Data],COLUMN(T_TraitDi[[#This Row],[Colonne21]]),FALSE),""),"[hh]:mm"))</f>
        <v>#VALUE!</v>
      </c>
      <c r="BD249" s="178" t="e">
        <f>IF(VLOOKUP(T_BilanSocial[[#This Row],[NumL]],T_TraitDi[#Data],COLUMN(T_TraitDi[[#This Row],[Colonne22]]),FALSE)=0,"",TEXT(IFERROR(VLOOKUP(T_BilanSocial[[#This Row],[NumL]],T_TraitDi[#Data],COLUMN(T_TraitDi[[#This Row],[Colonne22]]),FALSE),""),"[hh]:mm"))</f>
        <v>#VALUE!</v>
      </c>
      <c r="BE249" s="178" t="str">
        <f>IFERROR(VLOOKUP(T_BilanSocial[[#This Row],[NumL]],T_TraitDi[#Data],COLUMN(T_TraitDi[[#This Row],[Colonne23]]),FALSE),"")</f>
        <v/>
      </c>
      <c r="BF249" s="178" t="e">
        <f>IF(VLOOKUP(T_BilanSocial[[#This Row],[NumL]],T_TraitDi[#Data],COLUMN(T_TraitDi[[#This Row],[Colonne24]]),FALSE)=0,"",TEXT(IFERROR(VLOOKUP(T_BilanSocial[[#This Row],[NumL]],T_TraitDi[#Data],COLUMN(T_TraitDi[[#This Row],[Colonne24]]),FALSE),""),"[hh]:mm"))</f>
        <v>#VALUE!</v>
      </c>
      <c r="BG249" s="178" t="e">
        <f>IF(VLOOKUP(T_BilanSocial[[#This Row],[NumL]],T_TraitDi[#Data],COLUMN(T_TraitDi[[#This Row],[Colonne25]]),FALSE)=0,"",TEXT(IFERROR(VLOOKUP(T_BilanSocial[[#This Row],[NumL]],T_TraitDi[#Data],COLUMN(T_TraitDi[[#This Row],[Colonne25]]),FALSE),""),"[hh]:mm"))</f>
        <v>#VALUE!</v>
      </c>
      <c r="BH249" s="178" t="e">
        <f>IF(VLOOKUP(T_BilanSocial[[#This Row],[NumL]],T_TraitDi[#Data],COLUMN(T_TraitDi[[#This Row],[Colonne26]]),FALSE)=0,"",TEXT(IFERROR(VLOOKUP(T_BilanSocial[[#This Row],[NumL]],T_TraitDi[#Data],COLUMN(T_TraitDi[[#This Row],[Colonne26]]),FALSE),""),"[hh]:mm"))</f>
        <v>#VALUE!</v>
      </c>
      <c r="BI249" s="172" t="str">
        <f>IFERROR(VLOOKUP(T_BilanSocial[[#This Row],[NumL]],T_TraitDi[#Data],COLUMN(T_TraitDi[[#This Row],[Vendredi]]),FALSE),"")</f>
        <v/>
      </c>
      <c r="BJ249" s="172" t="e">
        <f>IF(VLOOKUP(T_BilanSocial[[#This Row],[NumL]],T_TraitDi[#Data],COLUMN(T_TraitDi[[#This Row],[Colonne27]]),FALSE)=0,"",TEXT(IFERROR(VLOOKUP(T_BilanSocial[[#This Row],[NumL]],T_TraitDi[#Data],COLUMN(T_TraitDi[[#This Row],[Colonne27]]),FALSE),""),"[hh]:mm"))</f>
        <v>#VALUE!</v>
      </c>
      <c r="BK249" s="172" t="e">
        <f>IF(VLOOKUP(T_BilanSocial[[#This Row],[NumL]],T_TraitDi[#Data],COLUMN(T_TraitDi[[#This Row],[Colonne28]]),FALSE)=0,"",TEXT(IFERROR(VLOOKUP(T_BilanSocial[[#This Row],[NumL]],T_TraitDi[#Data],COLUMN(T_TraitDi[[#This Row],[Colonne28]]),FALSE),""),"[hh]:mm"))</f>
        <v>#VALUE!</v>
      </c>
      <c r="BL249" s="172" t="str">
        <f>IFERROR(VLOOKUP(T_BilanSocial[[#This Row],[NumL]],T_TraitDi[#Data],COLUMN(T_TraitDi[[#This Row],[Colonne29]]),FALSE),"")</f>
        <v/>
      </c>
      <c r="BM249" s="172" t="e">
        <f>IF(VLOOKUP(T_BilanSocial[[#This Row],[NumL]],T_TraitDi[#Data],COLUMN(T_TraitDi[[#This Row],[Colonne30]]),FALSE)=0,"",TEXT(IFERROR(VLOOKUP(T_BilanSocial[[#This Row],[NumL]],T_TraitDi[#Data],COLUMN(T_TraitDi[[#This Row],[Colonne30]]),FALSE),""),"[hh]:mm"))</f>
        <v>#VALUE!</v>
      </c>
      <c r="BN249" s="172" t="e">
        <f>IF(VLOOKUP(T_BilanSocial[[#This Row],[NumL]],T_TraitDi[#Data],COLUMN(T_TraitDi[[#This Row],[Colonne31]]),FALSE)=0,"",TEXT(IFERROR(VLOOKUP(T_BilanSocial[[#This Row],[NumL]],T_TraitDi[#Data],COLUMN(T_TraitDi[[#This Row],[Colonne31]]),FALSE),""),"[hh]:mm"))</f>
        <v>#VALUE!</v>
      </c>
      <c r="BO249" s="172" t="e">
        <f>IF(VLOOKUP(T_BilanSocial[[#This Row],[NumL]],T_TraitDi[#Data],COLUMN(T_TraitDi[[#This Row],[Colonne32]]),FALSE)=0,"",TEXT(IFERROR(VLOOKUP(T_BilanSocial[[#This Row],[NumL]],T_TraitDi[#Data],COLUMN(T_TraitDi[[#This Row],[Colonne32]]),FALSE),""),"[hh]:mm"))</f>
        <v>#VALUE!</v>
      </c>
      <c r="BP249" s="172" t="e">
        <f>VLOOKUP(T_BilanSocial[[#This Row],[NumL]],T_TraitDi[#Data],COLUMN(T_TraitDi[NbJTot]),FALSE)</f>
        <v>#N/A</v>
      </c>
      <c r="BQ249" s="174" t="str">
        <f>IFERROR(VLOOKUP(T_BilanSocial[[#This Row],[NumL]],T_TraitDi[#Data],COLUMN(T_TraitDi[[#This Row],[NbJTW]]),FALSE),"")</f>
        <v/>
      </c>
      <c r="BR249" s="174" t="e">
        <f>IF(VLOOKUP(T_BilanSocial[[#This Row],[NumL]],T_TraitDi[#Data],COLUMN(T_TraitDi[[#This Row],[NbhTW]]),FALSE)=0,"",TEXT(IFERROR(VLOOKUP(T_BilanSocial[[#This Row],[NumL]],T_TraitDi[#Data],COLUMN(T_TraitDi[[#This Row],[NbhTW]]),FALSE),""),"[hh]:mm"))</f>
        <v>#VALUE!</v>
      </c>
      <c r="BS249" s="174" t="e">
        <f>IF(VLOOKUP(T_BilanSocial[[#This Row],[NumL]],T_TraitDi[#Data],COLUMN(T_TraitDi[[#This Row],[Nbhheb]]),FALSE)=0,"",TEXT(IFERROR(VLOOKUP($A249,T_TraitDi[#Data],COLUMN(T_TraitDi[[#This Row],[Nbhheb]]),FALSE),""),"[hh]:mm"))</f>
        <v>#VALUE!</v>
      </c>
      <c r="BT249" s="182" t="str">
        <f>IFERROR(VLOOKUP(VLOOKUP($A249,T_TraitDi[#Data],COLUMN(T_TraitDi[[#This Row],[Type1]]),FALSE),TypeTW,2,FALSE),"")</f>
        <v/>
      </c>
      <c r="BU249" s="182" t="str">
        <f>IFERROR(VLOOKUP($A249,T_TraitDi[#Data],COLUMN(T_TraitDi[[#This Row],[Rue1]]),FALSE),"")</f>
        <v/>
      </c>
      <c r="BV249" s="173" t="str">
        <f>IFERROR(VLOOKUP($A249,T_TraitDi[#Data],COLUMN(T_TraitDi[[#This Row],[CP1]]),FALSE),"")</f>
        <v/>
      </c>
      <c r="BW249" s="173" t="str">
        <f>IFERROR(VLOOKUP($A249,T_TraitDi[#Data],COLUMN(T_TraitDi[[#This Row],[VILLE1]]),FALSE),"")</f>
        <v/>
      </c>
      <c r="BX249" s="182" t="str">
        <f>IFERROR(VLOOKUP(VLOOKUP($A249,T_TraitDi[#Data],COLUMN(T_TraitDi[[#This Row],[Type2]]),FALSE),TypeTW,2,FALSE),"")</f>
        <v/>
      </c>
      <c r="BY249" s="182" t="str">
        <f>IFERROR(VLOOKUP($A249,T_TraitDi[#Data],COLUMN(T_TraitDi[[#This Row],[Rue2]]),FALSE),"")</f>
        <v/>
      </c>
      <c r="BZ249" s="173" t="str">
        <f>IFERROR(VLOOKUP($A249,T_TraitDi[#Data],COLUMN(T_TraitDi[[#This Row],[CP2]]),FALSE),"")</f>
        <v/>
      </c>
      <c r="CA249" s="173" t="str">
        <f>IFERROR(VLOOKUP($A249,T_TraitDi[#Data],COLUMN(T_TraitDi[[#This Row],[VILLE2]]),FALSE),"")</f>
        <v/>
      </c>
      <c r="CB249" s="182" t="str">
        <f>IF(VLOOKUP(T_BilanSocial[[#This Row],[NumL]],T_Equipement[#Data],COLUMN(T_Equipement[[#This Row],[PC]]),FALSE)="","Aucun équipement spécifique directement lié au télétravail",VLOOKUP(T_BilanSocial[[#This Row],[NumL]],T_Equipement[#Data],COLUMN(T_Equipement[[#This Row],[PC]]),FALSE))</f>
        <v xml:space="preserve">20-332	</v>
      </c>
      <c r="CC249" s="166" t="str">
        <f>IFERROR(IF(VLOOKUP(T_BilanSocial[[#This Row],[NumL]],T_TraitDi[#Data],COLUMN(T_TraitDi[[#This Row],[Plan]]),FALSE)="OK","Un planning spécifique de télétravail est annexé à la présente convention.",""),"")</f>
        <v/>
      </c>
      <c r="CD249" s="258" t="s">
        <v>3399</v>
      </c>
      <c r="CE249" s="164" t="e">
        <f>IF(VLOOKUP(T_BilanSocial[[#This Row],[NumL]],T_suiviDi[#Data],COLUMN(T_suiviDi[[#This Row],[Entité]]),FALSE)="","",VLOOKUP(T_BilanSocial[[#This Row],[NumL]],T_suiviDi[#Data],COLUMN(T_suiviDi[[#This Row],[Entité]]),FALSE))</f>
        <v>#VALUE!</v>
      </c>
      <c r="CF249" s="164" t="str">
        <f>IF(VLOOKUP(T_BilanSocial[[#This Row],[NumL]],T_Commission[#Data],COLUMN(T_Commission[[#This Row],[envoi confirm TW]]),FALSE)="","",VLOOKUP(T_BilanSocial[[#This Row],[NumL]],T_Commission[#Data],COLUMN(T_Commission[[#This Row],[envoi confirm TW]]),FALSE))</f>
        <v>Oui</v>
      </c>
      <c r="CG24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49" s="262" t="str">
        <f>T_BilanSocial[[#This Row],[Nom]]&amp;T_BilanSocial[[#This Row],[Prenom]]</f>
        <v/>
      </c>
      <c r="CI249" s="262">
        <f>VLOOKUP(T_BilanSocial[[#This Row],[NumL]],T_Commission[#Data],COLUMN(T_Commission[Commentaire]),FALSE)</f>
        <v>0</v>
      </c>
      <c r="CJ249" s="262" t="str">
        <f>IF(VLOOKUP(T_BilanSocial[[#This Row],[NumL]],T_Commission[#Data],COLUMN(T_Commission[Encadrant Email]),FALSE)="","",VLOOKUP(T_BilanSocial[[#This Row],[NumL]],T_Commission[#Data],COLUMN(T_Commission[Encadrant Email]),FALSE))</f>
        <v/>
      </c>
      <c r="CK249" s="340" t="str">
        <f>IF(T_BilanSocial[[#This Row],[Final]]&lt;&gt;"",VLOOKUP(T_BilanSocial[[#This Row],[NumL]],T_suiviDi[#Data],COLUMN((T_suiviDi[Statut])),FALSE),"")</f>
        <v/>
      </c>
    </row>
    <row r="250" spans="1:89" s="106" customFormat="1" ht="24.75" customHeight="1" x14ac:dyDescent="0.25">
      <c r="A250" s="160">
        <v>247</v>
      </c>
      <c r="B250" s="161" t="str">
        <f t="shared" si="34"/>
        <v/>
      </c>
      <c r="C250" s="162" t="s">
        <v>173</v>
      </c>
      <c r="D250" s="95" t="e">
        <f>IF(VLOOKUP(T_BilanSocial[[#This Row],[NumL]],T_TraitDi[#Data],COLUMN(T_TraitDi[[#This Row],[WebC]]),FALSE)="","",VLOOKUP(T_BilanSocial[[#This Row],[NumL]],T_TraitDi[#Data],COLUMN(T_TraitDi[[#This Row],[WebC]]),FALSE))</f>
        <v>#VALUE!</v>
      </c>
      <c r="E250" s="163" t="str">
        <f t="shared" si="35"/>
        <v>12 janvier 2021</v>
      </c>
      <c r="F250" s="96" t="str">
        <f>IF(T_BilanSocial[[#This Row],[Final]]&lt;&gt;"",VLOOKUP(T_BilanSocial[[#This Row],[NumL]],T_suiviDi[#Data],COLUMN((T_suiviDi[Civ.])),FALSE),"")</f>
        <v/>
      </c>
      <c r="G250" s="96" t="str">
        <f>IF(T_BilanSocial[[#This Row],[Final]]&lt;&gt;"",VLOOKUP(T_BilanSocial[[#This Row],[NumL]],T_suiviDi[#Data],COLUMN((T_suiviDi[Nom])),FALSE),"")</f>
        <v/>
      </c>
      <c r="H250" s="96" t="str">
        <f>IF(T_BilanSocial[[#This Row],[Final]]&lt;&gt;"",VLOOKUP(T_BilanSocial[[#This Row],[NumL]],T_suiviDi[#Data],COLUMN((T_suiviDi[Prénom])),FALSE),"")</f>
        <v/>
      </c>
      <c r="I250" s="96" t="str">
        <f>IFERROR(VLOOKUP(T_BilanSocial[[#This Row],[Zone_Bilan]],T_P_BilanSocial[#Data],COLUMN(T_P_BilanSocial[[#This Row],[Numero_SIHAM]]),FALSE),"")</f>
        <v/>
      </c>
      <c r="J250" s="96" t="str">
        <f>IFERROR(VLOOKUP(T_BilanSocial[[#This Row],[Zone_Bilan]],T_P_BilanSocial[#Data],COLUMN(T_P_BilanSocial[[#This Row],[Sexe]]),FALSE),"")</f>
        <v/>
      </c>
      <c r="K250" s="97" t="str">
        <f>IFERROR(VLOOKUP(T_BilanSocial[[#This Row],[Zone_Bilan]],T_P_BilanSocial[#Data],COLUMN(T_P_BilanSocial[[#This Row],[Categorie]]),FALSE),"")</f>
        <v/>
      </c>
      <c r="L250" s="96" t="str">
        <f>IFERROR(VLOOKUP(T_BilanSocial[[#This Row],[Zone_Bilan]],T_P_BilanSocial[#Data],COLUMN(T_P_BilanSocial[[#This Row],[Statut]]),FALSE),"")</f>
        <v/>
      </c>
      <c r="M250" s="96" t="str">
        <f>IFERROR(VLOOKUP(T_BilanSocial[[#This Row],[Zone_Bilan]],T_P_BilanSocial[#Data],COLUMN(T_P_BilanSocial[[#This Row],[Filiere]]),FALSE),"")</f>
        <v/>
      </c>
      <c r="N250" s="96" t="e">
        <f>VLOOKUP(T_BilanSocial[[#This Row],[NumL]],T_TraitDi[#Data],COLUMN(T_TraitDi[EXP]),FALSE)</f>
        <v>#N/A</v>
      </c>
      <c r="O250" s="96" t="e">
        <f>VLOOKUP(T_BilanSocial[[#This Row],[NumL]],T_TraitDi[#Data],COLUMN(T_TraitDi[FORM]),FALSE)</f>
        <v>#N/A</v>
      </c>
      <c r="P250" s="96" t="str">
        <f>IF(T_BilanSocial[[#This Row],[Final]]&lt;&gt;"",VLOOKUP(T_BilanSocial[[#This Row],[NumL]],T_suiviDi[#Data],COLUMN((T_suiviDi[Email])),FALSE),"")</f>
        <v/>
      </c>
      <c r="Q250" s="164" t="e">
        <f t="shared" si="40"/>
        <v>#N/A</v>
      </c>
      <c r="R250" s="164" t="e">
        <f t="shared" si="41"/>
        <v>#N/A</v>
      </c>
      <c r="S250" s="164" t="e">
        <f>IF(VLOOKUP(T_BilanSocial[[#This Row],[NumL]],T_suiviDi[#Data],COLUMN(T_suiviDi[[#This Row],[Service ]]),FALSE)="","",VLOOKUP(T_BilanSocial[[#This Row],[NumL]],T_suiviDi[#Data],COLUMN(T_suiviDi[[#This Row],[Service ]]),FALSE))</f>
        <v>#VALUE!</v>
      </c>
      <c r="T250" s="164" t="str">
        <f t="shared" si="36"/>
        <v>01 septembre 2021</v>
      </c>
      <c r="U250" s="164" t="str">
        <f t="shared" si="37"/>
        <v>30 novembre 2021</v>
      </c>
      <c r="V250" s="164" t="str">
        <f t="shared" si="43"/>
        <v>30 novembre 2021</v>
      </c>
      <c r="W250" s="176" t="e">
        <f>IF(VLOOKUP(T_BilanSocial[[#This Row],[NumL]],T_TraitDi[#Data],COLUMN(T_TraitDi[[#This Row],[M1]]),FALSE)="","",VLOOKUP(T_BilanSocial[[#This Row],[NumL]],T_TraitDi[#Data],COLUMN(T_TraitDi[[#This Row],[M1]]),FALSE))</f>
        <v>#VALUE!</v>
      </c>
      <c r="X250" s="176" t="e">
        <f>IF(VLOOKUP(T_BilanSocial[[#This Row],[NumL]],T_TraitDi[#Data],COLUMN(T_TraitDi[[#This Row],[M2]]),FALSE)="","",VLOOKUP(T_BilanSocial[[#This Row],[NumL]],T_TraitDi[#Data],COLUMN(T_TraitDi[[#This Row],[M2]]),FALSE))</f>
        <v>#VALUE!</v>
      </c>
      <c r="Y250" s="176" t="e">
        <f>IF(VLOOKUP(T_BilanSocial[[#This Row],[NumL]],T_TraitDi[#Data],COLUMN(T_TraitDi[[#This Row],[M3]]),FALSE)="","",VLOOKUP(T_BilanSocial[[#This Row],[NumL]],T_TraitDi[#Data],COLUMN(T_TraitDi[[#This Row],[M3]]),FALSE))</f>
        <v>#VALUE!</v>
      </c>
      <c r="Z250" s="176" t="str">
        <f t="shared" si="39"/>
        <v/>
      </c>
      <c r="AA250" s="176" t="e">
        <f>IF(VLOOKUP(T_BilanSocial[[#This Row],[NumL]],T_TraitDi[#Data],COLUMN(T_TraitDi[[#This Row],[M5]]),FALSE)="","",VLOOKUP(T_BilanSocial[[#This Row],[NumL]],T_TraitDi[#Data],COLUMN(T_TraitDi[[#This Row],[M5]]),FALSE))</f>
        <v>#VALUE!</v>
      </c>
      <c r="AB250" s="176" t="e">
        <f>IF(VLOOKUP(T_BilanSocial[[#This Row],[NumL]],T_TraitDi[#Data],COLUMN(T_TraitDi[[#This Row],[M6]]),FALSE)="","",VLOOKUP(T_BilanSocial[[#This Row],[NumL]],T_TraitDi[#Data],COLUMN(T_TraitDi[[#This Row],[M6]]),FALSE))</f>
        <v>#VALUE!</v>
      </c>
      <c r="AC250" s="165" t="e">
        <f t="shared" si="38"/>
        <v>#VALUE!</v>
      </c>
      <c r="AD250" s="188" t="str">
        <f>IFERROR(TEXT(VLOOKUP(T_BilanSocial[[#This Row],[NumL]],T_TraitDi[#Data],COLUMN(T_TraitDi[[#This Row],[Q2]]),FALSE),"###%"),"")</f>
        <v/>
      </c>
      <c r="AE250" s="97" t="e">
        <f>VLOOKUP(T_BilanSocial[[#This Row],[NumL]],T_TraitDi[#Data],COLUMN(T_TraitDi[[#This Row],[Reg Ponct]]),FALSE)</f>
        <v>#VALUE!</v>
      </c>
      <c r="AF250" s="97" t="e">
        <f>VLOOKUP(T_BilanSocial[NumL],T_TraitDi[#Data],COLUMN(T_TraitDi[[#This Row],[Jours flottants]]),FALSE)</f>
        <v>#VALUE!</v>
      </c>
      <c r="AG250" s="97" t="str">
        <f>IFERROR(VLOOKUP(T_BilanSocial[[#This Row],[NumL]],T_TraitDi[#Data],COLUMN(T_TraitDi[[#This Row],[Lundi]]),FALSE),"")</f>
        <v/>
      </c>
      <c r="AH250" s="172" t="e">
        <f>IF(VLOOKUP(T_BilanSocial[[#This Row],[NumL]],T_TraitDi[#Data],COLUMN(T_TraitDi[[#This Row],[Colonne3]]),FALSE)=0,"",TEXT(IFERROR(VLOOKUP(T_BilanSocial[[#This Row],[NumL]],T_TraitDi[#Data],COLUMN(T_TraitDi[[#This Row],[Colonne3]]),FALSE),""),"[hh]:mm"))</f>
        <v>#VALUE!</v>
      </c>
      <c r="AI250" s="172" t="e">
        <f>IF(VLOOKUP(T_BilanSocial[[#This Row],[NumL]],T_TraitDi[#Data],COLUMN(T_TraitDi[[#This Row],[Colonne4]]),FALSE)=0,"",TEXT(IFERROR(VLOOKUP(T_BilanSocial[[#This Row],[NumL]],T_TraitDi[#Data],COLUMN(T_TraitDi[[#This Row],[Colonne4]]),FALSE),""),"[hh]:mm"))</f>
        <v>#VALUE!</v>
      </c>
      <c r="AJ250" s="172" t="e">
        <f>IF(VLOOKUP(T_BilanSocial[[#This Row],[NumL]],T_TraitDi[#Data],COLUMN(T_TraitDi[[#This Row],[Colonne5]]),FALSE)=0,"",TEXT(IFERROR(VLOOKUP(T_BilanSocial[[#This Row],[NumL]],T_TraitDi[#Data],COLUMN(T_TraitDi[[#This Row],[Colonne5]]),FALSE),""),"[hh]:mm"))</f>
        <v>#VALUE!</v>
      </c>
      <c r="AK250" s="172" t="e">
        <f>IF(VLOOKUP(T_BilanSocial[[#This Row],[NumL]],T_TraitDi[#Data],COLUMN(T_TraitDi[[#This Row],[Colonne6]]),FALSE)=0,"",TEXT(IFERROR(VLOOKUP(T_BilanSocial[[#This Row],[NumL]],T_TraitDi[#Data],COLUMN(T_TraitDi[[#This Row],[Colonne6]]),FALSE),""),"[hh]:mm"))</f>
        <v>#VALUE!</v>
      </c>
      <c r="AL250" s="172" t="e">
        <f>IF(VLOOKUP(T_BilanSocial[[#This Row],[NumL]],T_TraitDi[#Data],COLUMN(T_TraitDi[[#This Row],[Colonne7]]),FALSE)=0,"",TEXT(IFERROR(VLOOKUP(T_BilanSocial[[#This Row],[NumL]],T_TraitDi[#Data],COLUMN(T_TraitDi[[#This Row],[Colonne7]]),FALSE),""),"[hh]:mm"))</f>
        <v>#VALUE!</v>
      </c>
      <c r="AM250" s="172" t="e">
        <f>IF(VLOOKUP(T_BilanSocial[[#This Row],[NumL]],T_TraitDi[#Data],COLUMN(T_TraitDi[[#This Row],[Colonne8]]),FALSE)=0,"",TEXT(IFERROR(VLOOKUP(T_BilanSocial[[#This Row],[NumL]],T_TraitDi[#Data],COLUMN(T_TraitDi[[#This Row],[Colonne8]]),FALSE),""),"[hh]:mm"))</f>
        <v>#VALUE!</v>
      </c>
      <c r="AN250" s="172" t="str">
        <f>IFERROR(VLOOKUP(T_BilanSocial[[#This Row],[NumL]],T_TraitDi[#Data],COLUMN(T_TraitDi[[#This Row],[Mardi]]),FALSE),"")</f>
        <v/>
      </c>
      <c r="AO250" s="172" t="e">
        <f>IF(VLOOKUP(T_BilanSocial[[#This Row],[NumL]],T_TraitDi[#Data],COLUMN(T_TraitDi[[#This Row],[Colonne1]]),FALSE)=0,"",TEXT(IFERROR(VLOOKUP(T_BilanSocial[[#This Row],[NumL]],T_TraitDi[#Data],COLUMN(T_TraitDi[[#This Row],[Colonne1]]),FALSE),""),"[hh]:mm"))</f>
        <v>#VALUE!</v>
      </c>
      <c r="AP250" s="172" t="e">
        <f>IF(VLOOKUP(T_BilanSocial[[#This Row],[NumL]],T_TraitDi[#Data],COLUMN(T_TraitDi[[#This Row],[Colonne9]]),FALSE)=0,"",TEXT(IFERROR(VLOOKUP(T_BilanSocial[[#This Row],[NumL]],T_TraitDi[#Data],COLUMN(T_TraitDi[[#This Row],[Colonne9]]),FALSE),""),"[hh]:mm"))</f>
        <v>#VALUE!</v>
      </c>
      <c r="AQ250" s="172" t="str">
        <f>IFERROR(VLOOKUP(T_BilanSocial[[#This Row],[NumL]],T_TraitDi[#Data],COLUMN(T_TraitDi[[#This Row],[Colonne10]]),FALSE),"")</f>
        <v/>
      </c>
      <c r="AR250" s="172" t="e">
        <f>IF(VLOOKUP(T_BilanSocial[[#This Row],[NumL]],T_TraitDi[#Data],COLUMN(T_TraitDi[[#This Row],[Colonne11]]),FALSE)=0,"",TEXT(IFERROR(VLOOKUP(T_BilanSocial[[#This Row],[NumL]],T_TraitDi[#Data],COLUMN(T_TraitDi[[#This Row],[Colonne11]]),FALSE),""),"[hh]:mm"))</f>
        <v>#VALUE!</v>
      </c>
      <c r="AS250" s="172" t="e">
        <f>IF(VLOOKUP(T_BilanSocial[[#This Row],[NumL]],T_TraitDi[#Data],COLUMN(T_TraitDi[[#This Row],[Colonne12]]),FALSE)=0,"",TEXT(IFERROR(VLOOKUP(T_BilanSocial[[#This Row],[NumL]],T_TraitDi[#Data],COLUMN(T_TraitDi[[#This Row],[Colonne12]]),FALSE),""),"[hh]:mm"))</f>
        <v>#VALUE!</v>
      </c>
      <c r="AT250" s="172" t="e">
        <f>IF(VLOOKUP(T_BilanSocial[[#This Row],[NumL]],T_TraitDi[#Data],COLUMN(T_TraitDi[[#This Row],[Colonne14]]),FALSE)=0,"",TEXT(IFERROR(VLOOKUP(T_BilanSocial[[#This Row],[NumL]],T_TraitDi[#Data],COLUMN(T_TraitDi[[#This Row],[Colonne14]]),FALSE),""),"[hh]:mm"))</f>
        <v>#VALUE!</v>
      </c>
      <c r="AU250" s="172" t="str">
        <f>IFERROR(VLOOKUP(T_BilanSocial[[#This Row],[NumL]],T_TraitDi[#Data],COLUMN(T_TraitDi[[#This Row],[Mercredi]]),FALSE),"")</f>
        <v/>
      </c>
      <c r="AV250" s="172" t="e">
        <f>IF(VLOOKUP(T_BilanSocial[[#This Row],[NumL]],T_TraitDi[#Data],COLUMN(T_TraitDi[[#This Row],[Colonne15]]),FALSE)=0,"",TEXT(IFERROR(VLOOKUP(T_BilanSocial[[#This Row],[NumL]],T_TraitDi[#Data],COLUMN(T_TraitDi[[#This Row],[Colonne15]]),FALSE),""),"[hh]:mm"))</f>
        <v>#VALUE!</v>
      </c>
      <c r="AW250" s="172" t="e">
        <f>IF(VLOOKUP(T_BilanSocial[[#This Row],[NumL]],T_TraitDi[#Data],COLUMN(T_TraitDi[[#This Row],[Colonne16]]),FALSE)=0,"",TEXT(IFERROR(VLOOKUP(T_BilanSocial[[#This Row],[NumL]],T_TraitDi[#Data],COLUMN(T_TraitDi[[#This Row],[Colonne16]]),FALSE),""),"[hh]:mm"))</f>
        <v>#VALUE!</v>
      </c>
      <c r="AX250" s="172" t="str">
        <f>IFERROR(VLOOKUP(T_BilanSocial[[#This Row],[NumL]],T_TraitDi[#Data],COLUMN(T_TraitDi[[#This Row],[Colonne17]]),FALSE),"")</f>
        <v/>
      </c>
      <c r="AY250" s="172" t="e">
        <f>IF(VLOOKUP(T_BilanSocial[[#This Row],[NumL]],T_TraitDi[#Data],COLUMN(T_TraitDi[[#This Row],[Colonne18]]),FALSE)=0,"",TEXT(IFERROR(VLOOKUP(T_BilanSocial[[#This Row],[NumL]],T_TraitDi[#Data],COLUMN(T_TraitDi[[#This Row],[Colonne18]]),FALSE),""),"[hh]:mm"))</f>
        <v>#VALUE!</v>
      </c>
      <c r="AZ250" s="172" t="e">
        <f>IF(VLOOKUP(T_BilanSocial[[#This Row],[NumL]],T_TraitDi[#Data],COLUMN(T_TraitDi[[#This Row],[Colonne19]]),FALSE)=0,"",TEXT(IFERROR(VLOOKUP(T_BilanSocial[[#This Row],[NumL]],T_TraitDi[#Data],COLUMN(T_TraitDi[[#This Row],[Colonne19]]),FALSE),""),"[hh]:mm"))</f>
        <v>#VALUE!</v>
      </c>
      <c r="BA250" s="172" t="e">
        <f>IF(VLOOKUP(T_BilanSocial[[#This Row],[NumL]],T_TraitDi[#Data],COLUMN(T_TraitDi[[#This Row],[Colonne20]]),FALSE)=0,"",TEXT(IFERROR(VLOOKUP(T_BilanSocial[[#This Row],[NumL]],T_TraitDi[#Data],COLUMN(T_TraitDi[[#This Row],[Colonne20]]),FALSE),""),"[hh]:mm"))</f>
        <v>#VALUE!</v>
      </c>
      <c r="BB250" s="178" t="str">
        <f>IFERROR(VLOOKUP(T_BilanSocial[[#This Row],[NumL]],T_TraitDi[#Data],COLUMN(T_TraitDi[[#This Row],[Jeudi]]),FALSE),"")</f>
        <v/>
      </c>
      <c r="BC250" s="178" t="e">
        <f>IF(VLOOKUP(T_BilanSocial[[#This Row],[NumL]],T_TraitDi[#Data],COLUMN(T_TraitDi[[#This Row],[Colonne21]]),FALSE)=0,"",TEXT(IFERROR(VLOOKUP(T_BilanSocial[[#This Row],[NumL]],T_TraitDi[#Data],COLUMN(T_TraitDi[[#This Row],[Colonne21]]),FALSE),""),"[hh]:mm"))</f>
        <v>#VALUE!</v>
      </c>
      <c r="BD250" s="178" t="e">
        <f>IF(VLOOKUP(T_BilanSocial[[#This Row],[NumL]],T_TraitDi[#Data],COLUMN(T_TraitDi[[#This Row],[Colonne22]]),FALSE)=0,"",TEXT(IFERROR(VLOOKUP(T_BilanSocial[[#This Row],[NumL]],T_TraitDi[#Data],COLUMN(T_TraitDi[[#This Row],[Colonne22]]),FALSE),""),"[hh]:mm"))</f>
        <v>#VALUE!</v>
      </c>
      <c r="BE250" s="178" t="str">
        <f>IFERROR(VLOOKUP(T_BilanSocial[[#This Row],[NumL]],T_TraitDi[#Data],COLUMN(T_TraitDi[[#This Row],[Colonne23]]),FALSE),"")</f>
        <v/>
      </c>
      <c r="BF250" s="178" t="e">
        <f>IF(VLOOKUP(T_BilanSocial[[#This Row],[NumL]],T_TraitDi[#Data],COLUMN(T_TraitDi[[#This Row],[Colonne24]]),FALSE)=0,"",TEXT(IFERROR(VLOOKUP(T_BilanSocial[[#This Row],[NumL]],T_TraitDi[#Data],COLUMN(T_TraitDi[[#This Row],[Colonne24]]),FALSE),""),"[hh]:mm"))</f>
        <v>#VALUE!</v>
      </c>
      <c r="BG250" s="178" t="e">
        <f>IF(VLOOKUP(T_BilanSocial[[#This Row],[NumL]],T_TraitDi[#Data],COLUMN(T_TraitDi[[#This Row],[Colonne25]]),FALSE)=0,"",TEXT(IFERROR(VLOOKUP(T_BilanSocial[[#This Row],[NumL]],T_TraitDi[#Data],COLUMN(T_TraitDi[[#This Row],[Colonne25]]),FALSE),""),"[hh]:mm"))</f>
        <v>#VALUE!</v>
      </c>
      <c r="BH250" s="178" t="e">
        <f>IF(VLOOKUP(T_BilanSocial[[#This Row],[NumL]],T_TraitDi[#Data],COLUMN(T_TraitDi[[#This Row],[Colonne26]]),FALSE)=0,"",TEXT(IFERROR(VLOOKUP(T_BilanSocial[[#This Row],[NumL]],T_TraitDi[#Data],COLUMN(T_TraitDi[[#This Row],[Colonne26]]),FALSE),""),"[hh]:mm"))</f>
        <v>#VALUE!</v>
      </c>
      <c r="BI250" s="172" t="str">
        <f>IFERROR(VLOOKUP(T_BilanSocial[[#This Row],[NumL]],T_TraitDi[#Data],COLUMN(T_TraitDi[[#This Row],[Vendredi]]),FALSE),"")</f>
        <v/>
      </c>
      <c r="BJ250" s="172" t="e">
        <f>IF(VLOOKUP(T_BilanSocial[[#This Row],[NumL]],T_TraitDi[#Data],COLUMN(T_TraitDi[[#This Row],[Colonne27]]),FALSE)=0,"",TEXT(IFERROR(VLOOKUP(T_BilanSocial[[#This Row],[NumL]],T_TraitDi[#Data],COLUMN(T_TraitDi[[#This Row],[Colonne27]]),FALSE),""),"[hh]:mm"))</f>
        <v>#VALUE!</v>
      </c>
      <c r="BK250" s="172" t="e">
        <f>IF(VLOOKUP(T_BilanSocial[[#This Row],[NumL]],T_TraitDi[#Data],COLUMN(T_TraitDi[[#This Row],[Colonne28]]),FALSE)=0,"",TEXT(IFERROR(VLOOKUP(T_BilanSocial[[#This Row],[NumL]],T_TraitDi[#Data],COLUMN(T_TraitDi[[#This Row],[Colonne28]]),FALSE),""),"[hh]:mm"))</f>
        <v>#VALUE!</v>
      </c>
      <c r="BL250" s="172" t="str">
        <f>IFERROR(VLOOKUP(T_BilanSocial[[#This Row],[NumL]],T_TraitDi[#Data],COLUMN(T_TraitDi[[#This Row],[Colonne29]]),FALSE),"")</f>
        <v/>
      </c>
      <c r="BM250" s="172" t="e">
        <f>IF(VLOOKUP(T_BilanSocial[[#This Row],[NumL]],T_TraitDi[#Data],COLUMN(T_TraitDi[[#This Row],[Colonne30]]),FALSE)=0,"",TEXT(IFERROR(VLOOKUP(T_BilanSocial[[#This Row],[NumL]],T_TraitDi[#Data],COLUMN(T_TraitDi[[#This Row],[Colonne30]]),FALSE),""),"[hh]:mm"))</f>
        <v>#VALUE!</v>
      </c>
      <c r="BN250" s="172" t="e">
        <f>IF(VLOOKUP(T_BilanSocial[[#This Row],[NumL]],T_TraitDi[#Data],COLUMN(T_TraitDi[[#This Row],[Colonne31]]),FALSE)=0,"",TEXT(IFERROR(VLOOKUP(T_BilanSocial[[#This Row],[NumL]],T_TraitDi[#Data],COLUMN(T_TraitDi[[#This Row],[Colonne31]]),FALSE),""),"[hh]:mm"))</f>
        <v>#VALUE!</v>
      </c>
      <c r="BO250" s="172" t="e">
        <f>IF(VLOOKUP(T_BilanSocial[[#This Row],[NumL]],T_TraitDi[#Data],COLUMN(T_TraitDi[[#This Row],[Colonne32]]),FALSE)=0,"",TEXT(IFERROR(VLOOKUP(T_BilanSocial[[#This Row],[NumL]],T_TraitDi[#Data],COLUMN(T_TraitDi[[#This Row],[Colonne32]]),FALSE),""),"[hh]:mm"))</f>
        <v>#VALUE!</v>
      </c>
      <c r="BP250" s="172" t="e">
        <f>VLOOKUP(T_BilanSocial[[#This Row],[NumL]],T_TraitDi[#Data],COLUMN(T_TraitDi[NbJTot]),FALSE)</f>
        <v>#N/A</v>
      </c>
      <c r="BQ250" s="174" t="str">
        <f>IFERROR(VLOOKUP(T_BilanSocial[[#This Row],[NumL]],T_TraitDi[#Data],COLUMN(T_TraitDi[[#This Row],[NbJTW]]),FALSE),"")</f>
        <v/>
      </c>
      <c r="BR250" s="174" t="e">
        <f>IF(VLOOKUP(T_BilanSocial[[#This Row],[NumL]],T_TraitDi[#Data],COLUMN(T_TraitDi[[#This Row],[NbhTW]]),FALSE)=0,"",TEXT(IFERROR(VLOOKUP(T_BilanSocial[[#This Row],[NumL]],T_TraitDi[#Data],COLUMN(T_TraitDi[[#This Row],[NbhTW]]),FALSE),""),"[hh]:mm"))</f>
        <v>#VALUE!</v>
      </c>
      <c r="BS250" s="174" t="e">
        <f>IF(VLOOKUP(T_BilanSocial[[#This Row],[NumL]],T_TraitDi[#Data],COLUMN(T_TraitDi[[#This Row],[Nbhheb]]),FALSE)=0,"",TEXT(IFERROR(VLOOKUP($A250,T_TraitDi[#Data],COLUMN(T_TraitDi[[#This Row],[Nbhheb]]),FALSE),""),"[hh]:mm"))</f>
        <v>#VALUE!</v>
      </c>
      <c r="BT250" s="182" t="str">
        <f>IFERROR(VLOOKUP(VLOOKUP($A250,T_TraitDi[#Data],COLUMN(T_TraitDi[[#This Row],[Type1]]),FALSE),TypeTW,2,FALSE),"")</f>
        <v/>
      </c>
      <c r="BU250" s="182" t="str">
        <f>IFERROR(VLOOKUP($A250,T_TraitDi[#Data],COLUMN(T_TraitDi[[#This Row],[Rue1]]),FALSE),"")</f>
        <v/>
      </c>
      <c r="BV250" s="173" t="str">
        <f>IFERROR(VLOOKUP($A250,T_TraitDi[#Data],COLUMN(T_TraitDi[[#This Row],[CP1]]),FALSE),"")</f>
        <v/>
      </c>
      <c r="BW250" s="173" t="str">
        <f>IFERROR(VLOOKUP($A250,T_TraitDi[#Data],COLUMN(T_TraitDi[[#This Row],[VILLE1]]),FALSE),"")</f>
        <v/>
      </c>
      <c r="BX250" s="182" t="str">
        <f>IFERROR(VLOOKUP(VLOOKUP($A250,T_TraitDi[#Data],COLUMN(T_TraitDi[[#This Row],[Type2]]),FALSE),TypeTW,2,FALSE),"")</f>
        <v/>
      </c>
      <c r="BY250" s="182" t="str">
        <f>IFERROR(VLOOKUP($A250,T_TraitDi[#Data],COLUMN(T_TraitDi[[#This Row],[Rue2]]),FALSE),"")</f>
        <v/>
      </c>
      <c r="BZ250" s="173" t="str">
        <f>IFERROR(VLOOKUP($A250,T_TraitDi[#Data],COLUMN(T_TraitDi[[#This Row],[CP2]]),FALSE),"")</f>
        <v/>
      </c>
      <c r="CA250" s="173" t="str">
        <f>IFERROR(VLOOKUP($A250,T_TraitDi[#Data],COLUMN(T_TraitDi[[#This Row],[VILLE2]]),FALSE),"")</f>
        <v/>
      </c>
      <c r="CB250" s="182" t="str">
        <f>IF(VLOOKUP(T_BilanSocial[[#This Row],[NumL]],T_Equipement[#Data],COLUMN(T_Equipement[[#This Row],[PC]]),FALSE)="","Aucun équipement spécifique directement lié au télétravail",VLOOKUP(T_BilanSocial[[#This Row],[NumL]],T_Equipement[#Data],COLUMN(T_Equipement[[#This Row],[PC]]),FALSE))</f>
        <v xml:space="preserve">19-603	</v>
      </c>
      <c r="CC250" s="166" t="str">
        <f>IFERROR(IF(VLOOKUP(T_BilanSocial[[#This Row],[NumL]],T_TraitDi[#Data],COLUMN(T_TraitDi[[#This Row],[Plan]]),FALSE)="OK","Un planning spécifique de télétravail est annexé à la présente convention.",""),"")</f>
        <v/>
      </c>
      <c r="CD250" s="258" t="s">
        <v>3400</v>
      </c>
      <c r="CE250" s="164" t="e">
        <f>IF(VLOOKUP(T_BilanSocial[[#This Row],[NumL]],T_suiviDi[#Data],COLUMN(T_suiviDi[[#This Row],[Entité]]),FALSE)="","",VLOOKUP(T_BilanSocial[[#This Row],[NumL]],T_suiviDi[#Data],COLUMN(T_suiviDi[[#This Row],[Entité]]),FALSE))</f>
        <v>#VALUE!</v>
      </c>
      <c r="CF250" s="164" t="str">
        <f>IF(VLOOKUP(T_BilanSocial[[#This Row],[NumL]],T_Commission[#Data],COLUMN(T_Commission[[#This Row],[envoi confirm TW]]),FALSE)="","",VLOOKUP(T_BilanSocial[[#This Row],[NumL]],T_Commission[#Data],COLUMN(T_Commission[[#This Row],[envoi confirm TW]]),FALSE))</f>
        <v>Oui</v>
      </c>
      <c r="CG250"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0" s="262" t="str">
        <f>T_BilanSocial[[#This Row],[Nom]]&amp;T_BilanSocial[[#This Row],[Prenom]]</f>
        <v/>
      </c>
      <c r="CI250" s="262">
        <f>VLOOKUP(T_BilanSocial[[#This Row],[NumL]],T_Commission[#Data],COLUMN(T_Commission[Commentaire]),FALSE)</f>
        <v>0</v>
      </c>
      <c r="CJ250" s="262" t="str">
        <f>IF(VLOOKUP(T_BilanSocial[[#This Row],[NumL]],T_Commission[#Data],COLUMN(T_Commission[Encadrant Email]),FALSE)="","",VLOOKUP(T_BilanSocial[[#This Row],[NumL]],T_Commission[#Data],COLUMN(T_Commission[Encadrant Email]),FALSE))</f>
        <v/>
      </c>
      <c r="CK250" s="340" t="str">
        <f>IF(T_BilanSocial[[#This Row],[Final]]&lt;&gt;"",VLOOKUP(T_BilanSocial[[#This Row],[NumL]],T_suiviDi[#Data],COLUMN((T_suiviDi[Statut])),FALSE),"")</f>
        <v/>
      </c>
    </row>
    <row r="251" spans="1:89" s="106" customFormat="1" ht="24.75" customHeight="1" x14ac:dyDescent="0.25">
      <c r="A251" s="160">
        <v>248</v>
      </c>
      <c r="B251" s="161" t="str">
        <f t="shared" si="34"/>
        <v/>
      </c>
      <c r="C251" s="162" t="s">
        <v>173</v>
      </c>
      <c r="D251" s="95" t="e">
        <f>IF(VLOOKUP(T_BilanSocial[[#This Row],[NumL]],T_TraitDi[#Data],COLUMN(T_TraitDi[[#This Row],[WebC]]),FALSE)="","",VLOOKUP(T_BilanSocial[[#This Row],[NumL]],T_TraitDi[#Data],COLUMN(T_TraitDi[[#This Row],[WebC]]),FALSE))</f>
        <v>#VALUE!</v>
      </c>
      <c r="E251" s="163" t="str">
        <f t="shared" si="35"/>
        <v>12 janvier 2021</v>
      </c>
      <c r="F251" s="96" t="str">
        <f>IF(T_BilanSocial[[#This Row],[Final]]&lt;&gt;"",VLOOKUP(T_BilanSocial[[#This Row],[NumL]],T_suiviDi[#Data],COLUMN((T_suiviDi[Civ.])),FALSE),"")</f>
        <v/>
      </c>
      <c r="G251" s="96" t="str">
        <f>IF(T_BilanSocial[[#This Row],[Final]]&lt;&gt;"",VLOOKUP(T_BilanSocial[[#This Row],[NumL]],T_suiviDi[#Data],COLUMN((T_suiviDi[Nom])),FALSE),"")</f>
        <v/>
      </c>
      <c r="H251" s="96" t="str">
        <f>IF(T_BilanSocial[[#This Row],[Final]]&lt;&gt;"",VLOOKUP(T_BilanSocial[[#This Row],[NumL]],T_suiviDi[#Data],COLUMN((T_suiviDi[Prénom])),FALSE),"")</f>
        <v/>
      </c>
      <c r="I251" s="96" t="str">
        <f>IFERROR(VLOOKUP(T_BilanSocial[[#This Row],[Zone_Bilan]],T_P_BilanSocial[#Data],COLUMN(T_P_BilanSocial[[#This Row],[Numero_SIHAM]]),FALSE),"")</f>
        <v/>
      </c>
      <c r="J251" s="96" t="str">
        <f>IFERROR(VLOOKUP(T_BilanSocial[[#This Row],[Zone_Bilan]],T_P_BilanSocial[#Data],COLUMN(T_P_BilanSocial[[#This Row],[Sexe]]),FALSE),"")</f>
        <v/>
      </c>
      <c r="K251" s="97" t="str">
        <f>IFERROR(VLOOKUP(T_BilanSocial[[#This Row],[Zone_Bilan]],T_P_BilanSocial[#Data],COLUMN(T_P_BilanSocial[[#This Row],[Categorie]]),FALSE),"")</f>
        <v/>
      </c>
      <c r="L251" s="96" t="str">
        <f>IFERROR(VLOOKUP(T_BilanSocial[[#This Row],[Zone_Bilan]],T_P_BilanSocial[#Data],COLUMN(T_P_BilanSocial[[#This Row],[Statut]]),FALSE),"")</f>
        <v/>
      </c>
      <c r="M251" s="96" t="str">
        <f>IFERROR(VLOOKUP(T_BilanSocial[[#This Row],[Zone_Bilan]],T_P_BilanSocial[#Data],COLUMN(T_P_BilanSocial[[#This Row],[Filiere]]),FALSE),"")</f>
        <v/>
      </c>
      <c r="N251" s="96" t="e">
        <f>VLOOKUP(T_BilanSocial[[#This Row],[NumL]],T_TraitDi[#Data],COLUMN(T_TraitDi[EXP]),FALSE)</f>
        <v>#N/A</v>
      </c>
      <c r="O251" s="96" t="e">
        <f>VLOOKUP(T_BilanSocial[[#This Row],[NumL]],T_TraitDi[#Data],COLUMN(T_TraitDi[FORM]),FALSE)</f>
        <v>#N/A</v>
      </c>
      <c r="P251" s="96" t="str">
        <f>IF(T_BilanSocial[[#This Row],[Final]]&lt;&gt;"",VLOOKUP(T_BilanSocial[[#This Row],[NumL]],T_suiviDi[#Data],COLUMN((T_suiviDi[Email])),FALSE),"")</f>
        <v/>
      </c>
      <c r="Q251" s="164" t="e">
        <f t="shared" si="40"/>
        <v>#N/A</v>
      </c>
      <c r="R251" s="164" t="e">
        <f t="shared" si="41"/>
        <v>#N/A</v>
      </c>
      <c r="S251" s="164" t="e">
        <f>IF(VLOOKUP(T_BilanSocial[[#This Row],[NumL]],T_suiviDi[#Data],COLUMN(T_suiviDi[[#This Row],[Service ]]),FALSE)="","",VLOOKUP(T_BilanSocial[[#This Row],[NumL]],T_suiviDi[#Data],COLUMN(T_suiviDi[[#This Row],[Service ]]),FALSE))</f>
        <v>#VALUE!</v>
      </c>
      <c r="T251" s="164" t="str">
        <f t="shared" si="36"/>
        <v>01 septembre 2021</v>
      </c>
      <c r="U251" s="164" t="str">
        <f t="shared" si="37"/>
        <v>30 novembre 2021</v>
      </c>
      <c r="V251" s="164" t="str">
        <f t="shared" si="43"/>
        <v>30 novembre 2021</v>
      </c>
      <c r="W251" s="176" t="e">
        <f>IF(VLOOKUP(T_BilanSocial[[#This Row],[NumL]],T_TraitDi[#Data],COLUMN(T_TraitDi[[#This Row],[M1]]),FALSE)="","",VLOOKUP(T_BilanSocial[[#This Row],[NumL]],T_TraitDi[#Data],COLUMN(T_TraitDi[[#This Row],[M1]]),FALSE))</f>
        <v>#VALUE!</v>
      </c>
      <c r="X251" s="176" t="e">
        <f>IF(VLOOKUP(T_BilanSocial[[#This Row],[NumL]],T_TraitDi[#Data],COLUMN(T_TraitDi[[#This Row],[M2]]),FALSE)="","",VLOOKUP(T_BilanSocial[[#This Row],[NumL]],T_TraitDi[#Data],COLUMN(T_TraitDi[[#This Row],[M2]]),FALSE))</f>
        <v>#VALUE!</v>
      </c>
      <c r="Y251" s="176" t="e">
        <f>IF(VLOOKUP(T_BilanSocial[[#This Row],[NumL]],T_TraitDi[#Data],COLUMN(T_TraitDi[[#This Row],[M3]]),FALSE)="","",VLOOKUP(T_BilanSocial[[#This Row],[NumL]],T_TraitDi[#Data],COLUMN(T_TraitDi[[#This Row],[M3]]),FALSE))</f>
        <v>#VALUE!</v>
      </c>
      <c r="Z251" s="176" t="str">
        <f t="shared" si="39"/>
        <v/>
      </c>
      <c r="AA251" s="176" t="e">
        <f>IF(VLOOKUP(T_BilanSocial[[#This Row],[NumL]],T_TraitDi[#Data],COLUMN(T_TraitDi[[#This Row],[M5]]),FALSE)="","",VLOOKUP(T_BilanSocial[[#This Row],[NumL]],T_TraitDi[#Data],COLUMN(T_TraitDi[[#This Row],[M5]]),FALSE))</f>
        <v>#VALUE!</v>
      </c>
      <c r="AB251" s="176" t="e">
        <f>IF(VLOOKUP(T_BilanSocial[[#This Row],[NumL]],T_TraitDi[#Data],COLUMN(T_TraitDi[[#This Row],[M6]]),FALSE)="","",VLOOKUP(T_BilanSocial[[#This Row],[NumL]],T_TraitDi[#Data],COLUMN(T_TraitDi[[#This Row],[M6]]),FALSE))</f>
        <v>#VALUE!</v>
      </c>
      <c r="AC251" s="165" t="e">
        <f t="shared" si="38"/>
        <v>#VALUE!</v>
      </c>
      <c r="AD251" s="188" t="str">
        <f>IFERROR(TEXT(VLOOKUP(T_BilanSocial[[#This Row],[NumL]],T_TraitDi[#Data],COLUMN(T_TraitDi[[#This Row],[Q2]]),FALSE),"###%"),"")</f>
        <v/>
      </c>
      <c r="AE251" s="97" t="e">
        <f>VLOOKUP(T_BilanSocial[[#This Row],[NumL]],T_TraitDi[#Data],COLUMN(T_TraitDi[[#This Row],[Reg Ponct]]),FALSE)</f>
        <v>#VALUE!</v>
      </c>
      <c r="AF251" s="97" t="e">
        <f>VLOOKUP(T_BilanSocial[NumL],T_TraitDi[#Data],COLUMN(T_TraitDi[[#This Row],[Jours flottants]]),FALSE)</f>
        <v>#VALUE!</v>
      </c>
      <c r="AG251" s="97" t="str">
        <f>IFERROR(VLOOKUP(T_BilanSocial[[#This Row],[NumL]],T_TraitDi[#Data],COLUMN(T_TraitDi[[#This Row],[Lundi]]),FALSE),"")</f>
        <v/>
      </c>
      <c r="AH251" s="172" t="e">
        <f>IF(VLOOKUP(T_BilanSocial[[#This Row],[NumL]],T_TraitDi[#Data],COLUMN(T_TraitDi[[#This Row],[Colonne3]]),FALSE)=0,"",TEXT(IFERROR(VLOOKUP(T_BilanSocial[[#This Row],[NumL]],T_TraitDi[#Data],COLUMN(T_TraitDi[[#This Row],[Colonne3]]),FALSE),""),"[hh]:mm"))</f>
        <v>#VALUE!</v>
      </c>
      <c r="AI251" s="172" t="e">
        <f>IF(VLOOKUP(T_BilanSocial[[#This Row],[NumL]],T_TraitDi[#Data],COLUMN(T_TraitDi[[#This Row],[Colonne4]]),FALSE)=0,"",TEXT(IFERROR(VLOOKUP(T_BilanSocial[[#This Row],[NumL]],T_TraitDi[#Data],COLUMN(T_TraitDi[[#This Row],[Colonne4]]),FALSE),""),"[hh]:mm"))</f>
        <v>#VALUE!</v>
      </c>
      <c r="AJ251" s="172" t="e">
        <f>IF(VLOOKUP(T_BilanSocial[[#This Row],[NumL]],T_TraitDi[#Data],COLUMN(T_TraitDi[[#This Row],[Colonne5]]),FALSE)=0,"",TEXT(IFERROR(VLOOKUP(T_BilanSocial[[#This Row],[NumL]],T_TraitDi[#Data],COLUMN(T_TraitDi[[#This Row],[Colonne5]]),FALSE),""),"[hh]:mm"))</f>
        <v>#VALUE!</v>
      </c>
      <c r="AK251" s="172" t="e">
        <f>IF(VLOOKUP(T_BilanSocial[[#This Row],[NumL]],T_TraitDi[#Data],COLUMN(T_TraitDi[[#This Row],[Colonne6]]),FALSE)=0,"",TEXT(IFERROR(VLOOKUP(T_BilanSocial[[#This Row],[NumL]],T_TraitDi[#Data],COLUMN(T_TraitDi[[#This Row],[Colonne6]]),FALSE),""),"[hh]:mm"))</f>
        <v>#VALUE!</v>
      </c>
      <c r="AL251" s="172" t="e">
        <f>IF(VLOOKUP(T_BilanSocial[[#This Row],[NumL]],T_TraitDi[#Data],COLUMN(T_TraitDi[[#This Row],[Colonne7]]),FALSE)=0,"",TEXT(IFERROR(VLOOKUP(T_BilanSocial[[#This Row],[NumL]],T_TraitDi[#Data],COLUMN(T_TraitDi[[#This Row],[Colonne7]]),FALSE),""),"[hh]:mm"))</f>
        <v>#VALUE!</v>
      </c>
      <c r="AM251" s="172" t="e">
        <f>IF(VLOOKUP(T_BilanSocial[[#This Row],[NumL]],T_TraitDi[#Data],COLUMN(T_TraitDi[[#This Row],[Colonne8]]),FALSE)=0,"",TEXT(IFERROR(VLOOKUP(T_BilanSocial[[#This Row],[NumL]],T_TraitDi[#Data],COLUMN(T_TraitDi[[#This Row],[Colonne8]]),FALSE),""),"[hh]:mm"))</f>
        <v>#VALUE!</v>
      </c>
      <c r="AN251" s="172" t="str">
        <f>IFERROR(VLOOKUP(T_BilanSocial[[#This Row],[NumL]],T_TraitDi[#Data],COLUMN(T_TraitDi[[#This Row],[Mardi]]),FALSE),"")</f>
        <v/>
      </c>
      <c r="AO251" s="172" t="e">
        <f>IF(VLOOKUP(T_BilanSocial[[#This Row],[NumL]],T_TraitDi[#Data],COLUMN(T_TraitDi[[#This Row],[Colonne1]]),FALSE)=0,"",TEXT(IFERROR(VLOOKUP(T_BilanSocial[[#This Row],[NumL]],T_TraitDi[#Data],COLUMN(T_TraitDi[[#This Row],[Colonne1]]),FALSE),""),"[hh]:mm"))</f>
        <v>#VALUE!</v>
      </c>
      <c r="AP251" s="172" t="e">
        <f>IF(VLOOKUP(T_BilanSocial[[#This Row],[NumL]],T_TraitDi[#Data],COLUMN(T_TraitDi[[#This Row],[Colonne9]]),FALSE)=0,"",TEXT(IFERROR(VLOOKUP(T_BilanSocial[[#This Row],[NumL]],T_TraitDi[#Data],COLUMN(T_TraitDi[[#This Row],[Colonne9]]),FALSE),""),"[hh]:mm"))</f>
        <v>#VALUE!</v>
      </c>
      <c r="AQ251" s="172" t="str">
        <f>IFERROR(VLOOKUP(T_BilanSocial[[#This Row],[NumL]],T_TraitDi[#Data],COLUMN(T_TraitDi[[#This Row],[Colonne10]]),FALSE),"")</f>
        <v/>
      </c>
      <c r="AR251" s="172" t="e">
        <f>IF(VLOOKUP(T_BilanSocial[[#This Row],[NumL]],T_TraitDi[#Data],COLUMN(T_TraitDi[[#This Row],[Colonne11]]),FALSE)=0,"",TEXT(IFERROR(VLOOKUP(T_BilanSocial[[#This Row],[NumL]],T_TraitDi[#Data],COLUMN(T_TraitDi[[#This Row],[Colonne11]]),FALSE),""),"[hh]:mm"))</f>
        <v>#VALUE!</v>
      </c>
      <c r="AS251" s="172" t="e">
        <f>IF(VLOOKUP(T_BilanSocial[[#This Row],[NumL]],T_TraitDi[#Data],COLUMN(T_TraitDi[[#This Row],[Colonne12]]),FALSE)=0,"",TEXT(IFERROR(VLOOKUP(T_BilanSocial[[#This Row],[NumL]],T_TraitDi[#Data],COLUMN(T_TraitDi[[#This Row],[Colonne12]]),FALSE),""),"[hh]:mm"))</f>
        <v>#VALUE!</v>
      </c>
      <c r="AT251" s="172" t="e">
        <f>IF(VLOOKUP(T_BilanSocial[[#This Row],[NumL]],T_TraitDi[#Data],COLUMN(T_TraitDi[[#This Row],[Colonne14]]),FALSE)=0,"",TEXT(IFERROR(VLOOKUP(T_BilanSocial[[#This Row],[NumL]],T_TraitDi[#Data],COLUMN(T_TraitDi[[#This Row],[Colonne14]]),FALSE),""),"[hh]:mm"))</f>
        <v>#VALUE!</v>
      </c>
      <c r="AU251" s="172" t="str">
        <f>IFERROR(VLOOKUP(T_BilanSocial[[#This Row],[NumL]],T_TraitDi[#Data],COLUMN(T_TraitDi[[#This Row],[Mercredi]]),FALSE),"")</f>
        <v/>
      </c>
      <c r="AV251" s="172" t="e">
        <f>IF(VLOOKUP(T_BilanSocial[[#This Row],[NumL]],T_TraitDi[#Data],COLUMN(T_TraitDi[[#This Row],[Colonne15]]),FALSE)=0,"",TEXT(IFERROR(VLOOKUP(T_BilanSocial[[#This Row],[NumL]],T_TraitDi[#Data],COLUMN(T_TraitDi[[#This Row],[Colonne15]]),FALSE),""),"[hh]:mm"))</f>
        <v>#VALUE!</v>
      </c>
      <c r="AW251" s="172" t="e">
        <f>IF(VLOOKUP(T_BilanSocial[[#This Row],[NumL]],T_TraitDi[#Data],COLUMN(T_TraitDi[[#This Row],[Colonne16]]),FALSE)=0,"",TEXT(IFERROR(VLOOKUP(T_BilanSocial[[#This Row],[NumL]],T_TraitDi[#Data],COLUMN(T_TraitDi[[#This Row],[Colonne16]]),FALSE),""),"[hh]:mm"))</f>
        <v>#VALUE!</v>
      </c>
      <c r="AX251" s="172" t="str">
        <f>IFERROR(VLOOKUP(T_BilanSocial[[#This Row],[NumL]],T_TraitDi[#Data],COLUMN(T_TraitDi[[#This Row],[Colonne17]]),FALSE),"")</f>
        <v/>
      </c>
      <c r="AY251" s="172" t="e">
        <f>IF(VLOOKUP(T_BilanSocial[[#This Row],[NumL]],T_TraitDi[#Data],COLUMN(T_TraitDi[[#This Row],[Colonne18]]),FALSE)=0,"",TEXT(IFERROR(VLOOKUP(T_BilanSocial[[#This Row],[NumL]],T_TraitDi[#Data],COLUMN(T_TraitDi[[#This Row],[Colonne18]]),FALSE),""),"[hh]:mm"))</f>
        <v>#VALUE!</v>
      </c>
      <c r="AZ251" s="172" t="e">
        <f>IF(VLOOKUP(T_BilanSocial[[#This Row],[NumL]],T_TraitDi[#Data],COLUMN(T_TraitDi[[#This Row],[Colonne19]]),FALSE)=0,"",TEXT(IFERROR(VLOOKUP(T_BilanSocial[[#This Row],[NumL]],T_TraitDi[#Data],COLUMN(T_TraitDi[[#This Row],[Colonne19]]),FALSE),""),"[hh]:mm"))</f>
        <v>#VALUE!</v>
      </c>
      <c r="BA251" s="172" t="e">
        <f>IF(VLOOKUP(T_BilanSocial[[#This Row],[NumL]],T_TraitDi[#Data],COLUMN(T_TraitDi[[#This Row],[Colonne20]]),FALSE)=0,"",TEXT(IFERROR(VLOOKUP(T_BilanSocial[[#This Row],[NumL]],T_TraitDi[#Data],COLUMN(T_TraitDi[[#This Row],[Colonne20]]),FALSE),""),"[hh]:mm"))</f>
        <v>#VALUE!</v>
      </c>
      <c r="BB251" s="178" t="str">
        <f>IFERROR(VLOOKUP(T_BilanSocial[[#This Row],[NumL]],T_TraitDi[#Data],COLUMN(T_TraitDi[[#This Row],[Jeudi]]),FALSE),"")</f>
        <v/>
      </c>
      <c r="BC251" s="178" t="e">
        <f>IF(VLOOKUP(T_BilanSocial[[#This Row],[NumL]],T_TraitDi[#Data],COLUMN(T_TraitDi[[#This Row],[Colonne21]]),FALSE)=0,"",TEXT(IFERROR(VLOOKUP(T_BilanSocial[[#This Row],[NumL]],T_TraitDi[#Data],COLUMN(T_TraitDi[[#This Row],[Colonne21]]),FALSE),""),"[hh]:mm"))</f>
        <v>#VALUE!</v>
      </c>
      <c r="BD251" s="178" t="e">
        <f>IF(VLOOKUP(T_BilanSocial[[#This Row],[NumL]],T_TraitDi[#Data],COLUMN(T_TraitDi[[#This Row],[Colonne22]]),FALSE)=0,"",TEXT(IFERROR(VLOOKUP(T_BilanSocial[[#This Row],[NumL]],T_TraitDi[#Data],COLUMN(T_TraitDi[[#This Row],[Colonne22]]),FALSE),""),"[hh]:mm"))</f>
        <v>#VALUE!</v>
      </c>
      <c r="BE251" s="178" t="str">
        <f>IFERROR(VLOOKUP(T_BilanSocial[[#This Row],[NumL]],T_TraitDi[#Data],COLUMN(T_TraitDi[[#This Row],[Colonne23]]),FALSE),"")</f>
        <v/>
      </c>
      <c r="BF251" s="178" t="e">
        <f>IF(VLOOKUP(T_BilanSocial[[#This Row],[NumL]],T_TraitDi[#Data],COLUMN(T_TraitDi[[#This Row],[Colonne24]]),FALSE)=0,"",TEXT(IFERROR(VLOOKUP(T_BilanSocial[[#This Row],[NumL]],T_TraitDi[#Data],COLUMN(T_TraitDi[[#This Row],[Colonne24]]),FALSE),""),"[hh]:mm"))</f>
        <v>#VALUE!</v>
      </c>
      <c r="BG251" s="178" t="e">
        <f>IF(VLOOKUP(T_BilanSocial[[#This Row],[NumL]],T_TraitDi[#Data],COLUMN(T_TraitDi[[#This Row],[Colonne25]]),FALSE)=0,"",TEXT(IFERROR(VLOOKUP(T_BilanSocial[[#This Row],[NumL]],T_TraitDi[#Data],COLUMN(T_TraitDi[[#This Row],[Colonne25]]),FALSE),""),"[hh]:mm"))</f>
        <v>#VALUE!</v>
      </c>
      <c r="BH251" s="178" t="e">
        <f>IF(VLOOKUP(T_BilanSocial[[#This Row],[NumL]],T_TraitDi[#Data],COLUMN(T_TraitDi[[#This Row],[Colonne26]]),FALSE)=0,"",TEXT(IFERROR(VLOOKUP(T_BilanSocial[[#This Row],[NumL]],T_TraitDi[#Data],COLUMN(T_TraitDi[[#This Row],[Colonne26]]),FALSE),""),"[hh]:mm"))</f>
        <v>#VALUE!</v>
      </c>
      <c r="BI251" s="172" t="str">
        <f>IFERROR(VLOOKUP(T_BilanSocial[[#This Row],[NumL]],T_TraitDi[#Data],COLUMN(T_TraitDi[[#This Row],[Vendredi]]),FALSE),"")</f>
        <v/>
      </c>
      <c r="BJ251" s="172" t="e">
        <f>IF(VLOOKUP(T_BilanSocial[[#This Row],[NumL]],T_TraitDi[#Data],COLUMN(T_TraitDi[[#This Row],[Colonne27]]),FALSE)=0,"",TEXT(IFERROR(VLOOKUP(T_BilanSocial[[#This Row],[NumL]],T_TraitDi[#Data],COLUMN(T_TraitDi[[#This Row],[Colonne27]]),FALSE),""),"[hh]:mm"))</f>
        <v>#VALUE!</v>
      </c>
      <c r="BK251" s="172" t="e">
        <f>IF(VLOOKUP(T_BilanSocial[[#This Row],[NumL]],T_TraitDi[#Data],COLUMN(T_TraitDi[[#This Row],[Colonne28]]),FALSE)=0,"",TEXT(IFERROR(VLOOKUP(T_BilanSocial[[#This Row],[NumL]],T_TraitDi[#Data],COLUMN(T_TraitDi[[#This Row],[Colonne28]]),FALSE),""),"[hh]:mm"))</f>
        <v>#VALUE!</v>
      </c>
      <c r="BL251" s="172" t="str">
        <f>IFERROR(VLOOKUP(T_BilanSocial[[#This Row],[NumL]],T_TraitDi[#Data],COLUMN(T_TraitDi[[#This Row],[Colonne29]]),FALSE),"")</f>
        <v/>
      </c>
      <c r="BM251" s="172" t="e">
        <f>IF(VLOOKUP(T_BilanSocial[[#This Row],[NumL]],T_TraitDi[#Data],COLUMN(T_TraitDi[[#This Row],[Colonne30]]),FALSE)=0,"",TEXT(IFERROR(VLOOKUP(T_BilanSocial[[#This Row],[NumL]],T_TraitDi[#Data],COLUMN(T_TraitDi[[#This Row],[Colonne30]]),FALSE),""),"[hh]:mm"))</f>
        <v>#VALUE!</v>
      </c>
      <c r="BN251" s="172" t="e">
        <f>IF(VLOOKUP(T_BilanSocial[[#This Row],[NumL]],T_TraitDi[#Data],COLUMN(T_TraitDi[[#This Row],[Colonne31]]),FALSE)=0,"",TEXT(IFERROR(VLOOKUP(T_BilanSocial[[#This Row],[NumL]],T_TraitDi[#Data],COLUMN(T_TraitDi[[#This Row],[Colonne31]]),FALSE),""),"[hh]:mm"))</f>
        <v>#VALUE!</v>
      </c>
      <c r="BO251" s="172" t="e">
        <f>IF(VLOOKUP(T_BilanSocial[[#This Row],[NumL]],T_TraitDi[#Data],COLUMN(T_TraitDi[[#This Row],[Colonne32]]),FALSE)=0,"",TEXT(IFERROR(VLOOKUP(T_BilanSocial[[#This Row],[NumL]],T_TraitDi[#Data],COLUMN(T_TraitDi[[#This Row],[Colonne32]]),FALSE),""),"[hh]:mm"))</f>
        <v>#VALUE!</v>
      </c>
      <c r="BP251" s="172" t="e">
        <f>VLOOKUP(T_BilanSocial[[#This Row],[NumL]],T_TraitDi[#Data],COLUMN(T_TraitDi[NbJTot]),FALSE)</f>
        <v>#N/A</v>
      </c>
      <c r="BQ251" s="174" t="str">
        <f>IFERROR(VLOOKUP(T_BilanSocial[[#This Row],[NumL]],T_TraitDi[#Data],COLUMN(T_TraitDi[[#This Row],[NbJTW]]),FALSE),"")</f>
        <v/>
      </c>
      <c r="BR251" s="174" t="e">
        <f>IF(VLOOKUP(T_BilanSocial[[#This Row],[NumL]],T_TraitDi[#Data],COLUMN(T_TraitDi[[#This Row],[NbhTW]]),FALSE)=0,"",TEXT(IFERROR(VLOOKUP(T_BilanSocial[[#This Row],[NumL]],T_TraitDi[#Data],COLUMN(T_TraitDi[[#This Row],[NbhTW]]),FALSE),""),"[hh]:mm"))</f>
        <v>#VALUE!</v>
      </c>
      <c r="BS251" s="174" t="e">
        <f>IF(VLOOKUP(T_BilanSocial[[#This Row],[NumL]],T_TraitDi[#Data],COLUMN(T_TraitDi[[#This Row],[Nbhheb]]),FALSE)=0,"",TEXT(IFERROR(VLOOKUP($A251,T_TraitDi[#Data],COLUMN(T_TraitDi[[#This Row],[Nbhheb]]),FALSE),""),"[hh]:mm"))</f>
        <v>#VALUE!</v>
      </c>
      <c r="BT251" s="182" t="str">
        <f>IFERROR(VLOOKUP(VLOOKUP($A251,T_TraitDi[#Data],COLUMN(T_TraitDi[[#This Row],[Type1]]),FALSE),TypeTW,2,FALSE),"")</f>
        <v/>
      </c>
      <c r="BU251" s="182" t="str">
        <f>IFERROR(VLOOKUP($A251,T_TraitDi[#Data],COLUMN(T_TraitDi[[#This Row],[Rue1]]),FALSE),"")</f>
        <v/>
      </c>
      <c r="BV251" s="173" t="str">
        <f>IFERROR(VLOOKUP($A251,T_TraitDi[#Data],COLUMN(T_TraitDi[[#This Row],[CP1]]),FALSE),"")</f>
        <v/>
      </c>
      <c r="BW251" s="173" t="str">
        <f>IFERROR(VLOOKUP($A251,T_TraitDi[#Data],COLUMN(T_TraitDi[[#This Row],[VILLE1]]),FALSE),"")</f>
        <v/>
      </c>
      <c r="BX251" s="182" t="str">
        <f>IFERROR(VLOOKUP(VLOOKUP($A251,T_TraitDi[#Data],COLUMN(T_TraitDi[[#This Row],[Type2]]),FALSE),TypeTW,2,FALSE),"")</f>
        <v/>
      </c>
      <c r="BY251" s="182" t="str">
        <f>IFERROR(VLOOKUP($A251,T_TraitDi[#Data],COLUMN(T_TraitDi[[#This Row],[Rue2]]),FALSE),"")</f>
        <v/>
      </c>
      <c r="BZ251" s="173" t="str">
        <f>IFERROR(VLOOKUP($A251,T_TraitDi[#Data],COLUMN(T_TraitDi[[#This Row],[CP2]]),FALSE),"")</f>
        <v/>
      </c>
      <c r="CA251" s="173" t="str">
        <f>IFERROR(VLOOKUP($A251,T_TraitDi[#Data],COLUMN(T_TraitDi[[#This Row],[VILLE2]]),FALSE),"")</f>
        <v/>
      </c>
      <c r="CB251" s="182" t="str">
        <f>IF(VLOOKUP(T_BilanSocial[[#This Row],[NumL]],T_Equipement[#Data],COLUMN(T_Equipement[[#This Row],[PC]]),FALSE)="","Aucun équipement spécifique directement lié au télétravail",VLOOKUP(T_BilanSocial[[#This Row],[NumL]],T_Equipement[#Data],COLUMN(T_Equipement[[#This Row],[PC]]),FALSE))</f>
        <v>SCD2014MANU20</v>
      </c>
      <c r="CC251" s="166" t="str">
        <f>IFERROR(IF(VLOOKUP(T_BilanSocial[[#This Row],[NumL]],T_TraitDi[#Data],COLUMN(T_TraitDi[[#This Row],[Plan]]),FALSE)="OK","Un planning spécifique de télétravail est annexé à la présente convention.",""),"")</f>
        <v/>
      </c>
      <c r="CD251" s="258" t="s">
        <v>3401</v>
      </c>
      <c r="CE251" s="164" t="e">
        <f>IF(VLOOKUP(T_BilanSocial[[#This Row],[NumL]],T_suiviDi[#Data],COLUMN(T_suiviDi[[#This Row],[Entité]]),FALSE)="","",VLOOKUP(T_BilanSocial[[#This Row],[NumL]],T_suiviDi[#Data],COLUMN(T_suiviDi[[#This Row],[Entité]]),FALSE))</f>
        <v>#VALUE!</v>
      </c>
      <c r="CF251" s="164" t="str">
        <f>IF(VLOOKUP(T_BilanSocial[[#This Row],[NumL]],T_Commission[#Data],COLUMN(T_Commission[[#This Row],[envoi confirm TW]]),FALSE)="","",VLOOKUP(T_BilanSocial[[#This Row],[NumL]],T_Commission[#Data],COLUMN(T_Commission[[#This Row],[envoi confirm TW]]),FALSE))</f>
        <v>Oui</v>
      </c>
      <c r="CG251"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1" s="262" t="str">
        <f>T_BilanSocial[[#This Row],[Nom]]&amp;T_BilanSocial[[#This Row],[Prenom]]</f>
        <v/>
      </c>
      <c r="CI251" s="262">
        <f>VLOOKUP(T_BilanSocial[[#This Row],[NumL]],T_Commission[#Data],COLUMN(T_Commission[Commentaire]),FALSE)</f>
        <v>0</v>
      </c>
      <c r="CJ251" s="262" t="str">
        <f>IF(VLOOKUP(T_BilanSocial[[#This Row],[NumL]],T_Commission[#Data],COLUMN(T_Commission[Encadrant Email]),FALSE)="","",VLOOKUP(T_BilanSocial[[#This Row],[NumL]],T_Commission[#Data],COLUMN(T_Commission[Encadrant Email]),FALSE))</f>
        <v/>
      </c>
      <c r="CK251" s="340" t="str">
        <f>IF(T_BilanSocial[[#This Row],[Final]]&lt;&gt;"",VLOOKUP(T_BilanSocial[[#This Row],[NumL]],T_suiviDi[#Data],COLUMN((T_suiviDi[Statut])),FALSE),"")</f>
        <v/>
      </c>
    </row>
    <row r="252" spans="1:89" s="106" customFormat="1" ht="24.75" customHeight="1" x14ac:dyDescent="0.25">
      <c r="A252" s="160">
        <v>249</v>
      </c>
      <c r="B252" s="161" t="str">
        <f t="shared" si="34"/>
        <v/>
      </c>
      <c r="C252" s="162" t="s">
        <v>139</v>
      </c>
      <c r="D252" s="95" t="e">
        <f>IF(VLOOKUP(T_BilanSocial[[#This Row],[NumL]],T_TraitDi[#Data],COLUMN(T_TraitDi[[#This Row],[WebC]]),FALSE)="","",VLOOKUP(T_BilanSocial[[#This Row],[NumL]],T_TraitDi[#Data],COLUMN(T_TraitDi[[#This Row],[WebC]]),FALSE))</f>
        <v>#VALUE!</v>
      </c>
      <c r="E252" s="163" t="str">
        <f t="shared" si="35"/>
        <v>12 janvier 2021</v>
      </c>
      <c r="F252" s="96" t="str">
        <f>IF(T_BilanSocial[[#This Row],[Final]]&lt;&gt;"",VLOOKUP(T_BilanSocial[[#This Row],[NumL]],T_suiviDi[#Data],COLUMN((T_suiviDi[Civ.])),FALSE),"")</f>
        <v/>
      </c>
      <c r="G252" s="96" t="str">
        <f>IF(T_BilanSocial[[#This Row],[Final]]&lt;&gt;"",VLOOKUP(T_BilanSocial[[#This Row],[NumL]],T_suiviDi[#Data],COLUMN((T_suiviDi[Nom])),FALSE),"")</f>
        <v/>
      </c>
      <c r="H252" s="96" t="str">
        <f>IF(T_BilanSocial[[#This Row],[Final]]&lt;&gt;"",VLOOKUP(T_BilanSocial[[#This Row],[NumL]],T_suiviDi[#Data],COLUMN((T_suiviDi[Prénom])),FALSE),"")</f>
        <v/>
      </c>
      <c r="I252" s="96" t="str">
        <f>IFERROR(VLOOKUP(T_BilanSocial[[#This Row],[Zone_Bilan]],T_P_BilanSocial[#Data],COLUMN(T_P_BilanSocial[[#This Row],[Numero_SIHAM]]),FALSE),"")</f>
        <v/>
      </c>
      <c r="J252" s="96" t="str">
        <f>IFERROR(VLOOKUP(T_BilanSocial[[#This Row],[Zone_Bilan]],T_P_BilanSocial[#Data],COLUMN(T_P_BilanSocial[[#This Row],[Sexe]]),FALSE),"")</f>
        <v/>
      </c>
      <c r="K252" s="97" t="str">
        <f>IFERROR(VLOOKUP(T_BilanSocial[[#This Row],[Zone_Bilan]],T_P_BilanSocial[#Data],COLUMN(T_P_BilanSocial[[#This Row],[Categorie]]),FALSE),"")</f>
        <v/>
      </c>
      <c r="L252" s="96" t="str">
        <f>IFERROR(VLOOKUP(T_BilanSocial[[#This Row],[Zone_Bilan]],T_P_BilanSocial[#Data],COLUMN(T_P_BilanSocial[[#This Row],[Statut]]),FALSE),"")</f>
        <v/>
      </c>
      <c r="M252" s="96" t="str">
        <f>IFERROR(VLOOKUP(T_BilanSocial[[#This Row],[Zone_Bilan]],T_P_BilanSocial[#Data],COLUMN(T_P_BilanSocial[[#This Row],[Filiere]]),FALSE),"")</f>
        <v/>
      </c>
      <c r="N252" s="96" t="e">
        <f>VLOOKUP(T_BilanSocial[[#This Row],[NumL]],T_TraitDi[#Data],COLUMN(T_TraitDi[EXP]),FALSE)</f>
        <v>#N/A</v>
      </c>
      <c r="O252" s="96" t="e">
        <f>VLOOKUP(T_BilanSocial[[#This Row],[NumL]],T_TraitDi[#Data],COLUMN(T_TraitDi[FORM]),FALSE)</f>
        <v>#N/A</v>
      </c>
      <c r="P252" s="96" t="str">
        <f>IF(T_BilanSocial[[#This Row],[Final]]&lt;&gt;"",VLOOKUP(T_BilanSocial[[#This Row],[NumL]],T_suiviDi[#Data],COLUMN((T_suiviDi[Email])),FALSE),"")</f>
        <v/>
      </c>
      <c r="Q252" s="164" t="e">
        <f t="shared" si="40"/>
        <v>#N/A</v>
      </c>
      <c r="R252" s="164" t="e">
        <f t="shared" si="41"/>
        <v>#N/A</v>
      </c>
      <c r="S252" s="164" t="e">
        <f>IF(VLOOKUP(T_BilanSocial[[#This Row],[NumL]],T_suiviDi[#Data],COLUMN(T_suiviDi[[#This Row],[Service ]]),FALSE)="","",VLOOKUP(T_BilanSocial[[#This Row],[NumL]],T_suiviDi[#Data],COLUMN(T_suiviDi[[#This Row],[Service ]]),FALSE))</f>
        <v>#VALUE!</v>
      </c>
      <c r="T252" s="164" t="str">
        <f t="shared" si="36"/>
        <v>01 septembre 2021</v>
      </c>
      <c r="U252" s="164" t="str">
        <f t="shared" si="37"/>
        <v>30 novembre 2021</v>
      </c>
      <c r="V252" s="256">
        <f>Datebilan</f>
        <v>44530</v>
      </c>
      <c r="W252" s="176" t="e">
        <f>IF(VLOOKUP(T_BilanSocial[[#This Row],[NumL]],T_TraitDi[#Data],COLUMN(T_TraitDi[[#This Row],[M1]]),FALSE)="","",VLOOKUP(T_BilanSocial[[#This Row],[NumL]],T_TraitDi[#Data],COLUMN(T_TraitDi[[#This Row],[M1]]),FALSE))</f>
        <v>#VALUE!</v>
      </c>
      <c r="X252" s="176" t="e">
        <f>IF(VLOOKUP(T_BilanSocial[[#This Row],[NumL]],T_TraitDi[#Data],COLUMN(T_TraitDi[[#This Row],[M2]]),FALSE)="","",VLOOKUP(T_BilanSocial[[#This Row],[NumL]],T_TraitDi[#Data],COLUMN(T_TraitDi[[#This Row],[M2]]),FALSE))</f>
        <v>#VALUE!</v>
      </c>
      <c r="Y252" s="176" t="e">
        <f>IF(VLOOKUP(T_BilanSocial[[#This Row],[NumL]],T_TraitDi[#Data],COLUMN(T_TraitDi[[#This Row],[M3]]),FALSE)="","",VLOOKUP(T_BilanSocial[[#This Row],[NumL]],T_TraitDi[#Data],COLUMN(T_TraitDi[[#This Row],[M3]]),FALSE))</f>
        <v>#VALUE!</v>
      </c>
      <c r="Z252" s="176" t="str">
        <f t="shared" si="39"/>
        <v/>
      </c>
      <c r="AA252" s="176" t="e">
        <f>IF(VLOOKUP(T_BilanSocial[[#This Row],[NumL]],T_TraitDi[#Data],COLUMN(T_TraitDi[[#This Row],[M5]]),FALSE)="","",VLOOKUP(T_BilanSocial[[#This Row],[NumL]],T_TraitDi[#Data],COLUMN(T_TraitDi[[#This Row],[M5]]),FALSE))</f>
        <v>#VALUE!</v>
      </c>
      <c r="AB252" s="176" t="e">
        <f>IF(VLOOKUP(T_BilanSocial[[#This Row],[NumL]],T_TraitDi[#Data],COLUMN(T_TraitDi[[#This Row],[M6]]),FALSE)="","",VLOOKUP(T_BilanSocial[[#This Row],[NumL]],T_TraitDi[#Data],COLUMN(T_TraitDi[[#This Row],[M6]]),FALSE))</f>
        <v>#VALUE!</v>
      </c>
      <c r="AC252" s="165" t="e">
        <f t="shared" si="38"/>
        <v>#VALUE!</v>
      </c>
      <c r="AD252" s="188" t="str">
        <f>IFERROR(TEXT(VLOOKUP(T_BilanSocial[[#This Row],[NumL]],T_TraitDi[#Data],COLUMN(T_TraitDi[[#This Row],[Q2]]),FALSE),"###%"),"")</f>
        <v/>
      </c>
      <c r="AE252" s="97" t="e">
        <f>VLOOKUP(T_BilanSocial[[#This Row],[NumL]],T_TraitDi[#Data],COLUMN(T_TraitDi[[#This Row],[Reg Ponct]]),FALSE)</f>
        <v>#VALUE!</v>
      </c>
      <c r="AF252" s="97" t="e">
        <f>VLOOKUP(T_BilanSocial[NumL],T_TraitDi[#Data],COLUMN(T_TraitDi[[#This Row],[Jours flottants]]),FALSE)</f>
        <v>#VALUE!</v>
      </c>
      <c r="AG252" s="97" t="str">
        <f>IFERROR(VLOOKUP(T_BilanSocial[[#This Row],[NumL]],T_TraitDi[#Data],COLUMN(T_TraitDi[[#This Row],[Lundi]]),FALSE),"")</f>
        <v/>
      </c>
      <c r="AH252" s="172" t="e">
        <f>IF(VLOOKUP(T_BilanSocial[[#This Row],[NumL]],T_TraitDi[#Data],COLUMN(T_TraitDi[[#This Row],[Colonne3]]),FALSE)=0,"",TEXT(IFERROR(VLOOKUP(T_BilanSocial[[#This Row],[NumL]],T_TraitDi[#Data],COLUMN(T_TraitDi[[#This Row],[Colonne3]]),FALSE),""),"[hh]:mm"))</f>
        <v>#VALUE!</v>
      </c>
      <c r="AI252" s="172" t="e">
        <f>IF(VLOOKUP(T_BilanSocial[[#This Row],[NumL]],T_TraitDi[#Data],COLUMN(T_TraitDi[[#This Row],[Colonne4]]),FALSE)=0,"",TEXT(IFERROR(VLOOKUP(T_BilanSocial[[#This Row],[NumL]],T_TraitDi[#Data],COLUMN(T_TraitDi[[#This Row],[Colonne4]]),FALSE),""),"[hh]:mm"))</f>
        <v>#VALUE!</v>
      </c>
      <c r="AJ252" s="172" t="e">
        <f>IF(VLOOKUP(T_BilanSocial[[#This Row],[NumL]],T_TraitDi[#Data],COLUMN(T_TraitDi[[#This Row],[Colonne5]]),FALSE)=0,"",TEXT(IFERROR(VLOOKUP(T_BilanSocial[[#This Row],[NumL]],T_TraitDi[#Data],COLUMN(T_TraitDi[[#This Row],[Colonne5]]),FALSE),""),"[hh]:mm"))</f>
        <v>#VALUE!</v>
      </c>
      <c r="AK252" s="172" t="e">
        <f>IF(VLOOKUP(T_BilanSocial[[#This Row],[NumL]],T_TraitDi[#Data],COLUMN(T_TraitDi[[#This Row],[Colonne6]]),FALSE)=0,"",TEXT(IFERROR(VLOOKUP(T_BilanSocial[[#This Row],[NumL]],T_TraitDi[#Data],COLUMN(T_TraitDi[[#This Row],[Colonne6]]),FALSE),""),"[hh]:mm"))</f>
        <v>#VALUE!</v>
      </c>
      <c r="AL252" s="172" t="e">
        <f>IF(VLOOKUP(T_BilanSocial[[#This Row],[NumL]],T_TraitDi[#Data],COLUMN(T_TraitDi[[#This Row],[Colonne7]]),FALSE)=0,"",TEXT(IFERROR(VLOOKUP(T_BilanSocial[[#This Row],[NumL]],T_TraitDi[#Data],COLUMN(T_TraitDi[[#This Row],[Colonne7]]),FALSE),""),"[hh]:mm"))</f>
        <v>#VALUE!</v>
      </c>
      <c r="AM252" s="172" t="e">
        <f>IF(VLOOKUP(T_BilanSocial[[#This Row],[NumL]],T_TraitDi[#Data],COLUMN(T_TraitDi[[#This Row],[Colonne8]]),FALSE)=0,"",TEXT(IFERROR(VLOOKUP(T_BilanSocial[[#This Row],[NumL]],T_TraitDi[#Data],COLUMN(T_TraitDi[[#This Row],[Colonne8]]),FALSE),""),"[hh]:mm"))</f>
        <v>#VALUE!</v>
      </c>
      <c r="AN252" s="172" t="str">
        <f>IFERROR(VLOOKUP(T_BilanSocial[[#This Row],[NumL]],T_TraitDi[#Data],COLUMN(T_TraitDi[[#This Row],[Mardi]]),FALSE),"")</f>
        <v/>
      </c>
      <c r="AO252" s="172" t="e">
        <f>IF(VLOOKUP(T_BilanSocial[[#This Row],[NumL]],T_TraitDi[#Data],COLUMN(T_TraitDi[[#This Row],[Colonne1]]),FALSE)=0,"",TEXT(IFERROR(VLOOKUP(T_BilanSocial[[#This Row],[NumL]],T_TraitDi[#Data],COLUMN(T_TraitDi[[#This Row],[Colonne1]]),FALSE),""),"[hh]:mm"))</f>
        <v>#VALUE!</v>
      </c>
      <c r="AP252" s="172" t="e">
        <f>IF(VLOOKUP(T_BilanSocial[[#This Row],[NumL]],T_TraitDi[#Data],COLUMN(T_TraitDi[[#This Row],[Colonne9]]),FALSE)=0,"",TEXT(IFERROR(VLOOKUP(T_BilanSocial[[#This Row],[NumL]],T_TraitDi[#Data],COLUMN(T_TraitDi[[#This Row],[Colonne9]]),FALSE),""),"[hh]:mm"))</f>
        <v>#VALUE!</v>
      </c>
      <c r="AQ252" s="172" t="str">
        <f>IFERROR(VLOOKUP(T_BilanSocial[[#This Row],[NumL]],T_TraitDi[#Data],COLUMN(T_TraitDi[[#This Row],[Colonne10]]),FALSE),"")</f>
        <v/>
      </c>
      <c r="AR252" s="172" t="e">
        <f>IF(VLOOKUP(T_BilanSocial[[#This Row],[NumL]],T_TraitDi[#Data],COLUMN(T_TraitDi[[#This Row],[Colonne11]]),FALSE)=0,"",TEXT(IFERROR(VLOOKUP(T_BilanSocial[[#This Row],[NumL]],T_TraitDi[#Data],COLUMN(T_TraitDi[[#This Row],[Colonne11]]),FALSE),""),"[hh]:mm"))</f>
        <v>#VALUE!</v>
      </c>
      <c r="AS252" s="172" t="e">
        <f>IF(VLOOKUP(T_BilanSocial[[#This Row],[NumL]],T_TraitDi[#Data],COLUMN(T_TraitDi[[#This Row],[Colonne12]]),FALSE)=0,"",TEXT(IFERROR(VLOOKUP(T_BilanSocial[[#This Row],[NumL]],T_TraitDi[#Data],COLUMN(T_TraitDi[[#This Row],[Colonne12]]),FALSE),""),"[hh]:mm"))</f>
        <v>#VALUE!</v>
      </c>
      <c r="AT252" s="172" t="e">
        <f>IF(VLOOKUP(T_BilanSocial[[#This Row],[NumL]],T_TraitDi[#Data],COLUMN(T_TraitDi[[#This Row],[Colonne14]]),FALSE)=0,"",TEXT(IFERROR(VLOOKUP(T_BilanSocial[[#This Row],[NumL]],T_TraitDi[#Data],COLUMN(T_TraitDi[[#This Row],[Colonne14]]),FALSE),""),"[hh]:mm"))</f>
        <v>#VALUE!</v>
      </c>
      <c r="AU252" s="172" t="str">
        <f>IFERROR(VLOOKUP(T_BilanSocial[[#This Row],[NumL]],T_TraitDi[#Data],COLUMN(T_TraitDi[[#This Row],[Mercredi]]),FALSE),"")</f>
        <v/>
      </c>
      <c r="AV252" s="172" t="e">
        <f>IF(VLOOKUP(T_BilanSocial[[#This Row],[NumL]],T_TraitDi[#Data],COLUMN(T_TraitDi[[#This Row],[Colonne15]]),FALSE)=0,"",TEXT(IFERROR(VLOOKUP(T_BilanSocial[[#This Row],[NumL]],T_TraitDi[#Data],COLUMN(T_TraitDi[[#This Row],[Colonne15]]),FALSE),""),"[hh]:mm"))</f>
        <v>#VALUE!</v>
      </c>
      <c r="AW252" s="172" t="e">
        <f>IF(VLOOKUP(T_BilanSocial[[#This Row],[NumL]],T_TraitDi[#Data],COLUMN(T_TraitDi[[#This Row],[Colonne16]]),FALSE)=0,"",TEXT(IFERROR(VLOOKUP(T_BilanSocial[[#This Row],[NumL]],T_TraitDi[#Data],COLUMN(T_TraitDi[[#This Row],[Colonne16]]),FALSE),""),"[hh]:mm"))</f>
        <v>#VALUE!</v>
      </c>
      <c r="AX252" s="172" t="str">
        <f>IFERROR(VLOOKUP(T_BilanSocial[[#This Row],[NumL]],T_TraitDi[#Data],COLUMN(T_TraitDi[[#This Row],[Colonne17]]),FALSE),"")</f>
        <v/>
      </c>
      <c r="AY252" s="172" t="e">
        <f>IF(VLOOKUP(T_BilanSocial[[#This Row],[NumL]],T_TraitDi[#Data],COLUMN(T_TraitDi[[#This Row],[Colonne18]]),FALSE)=0,"",TEXT(IFERROR(VLOOKUP(T_BilanSocial[[#This Row],[NumL]],T_TraitDi[#Data],COLUMN(T_TraitDi[[#This Row],[Colonne18]]),FALSE),""),"[hh]:mm"))</f>
        <v>#VALUE!</v>
      </c>
      <c r="AZ252" s="172" t="e">
        <f>IF(VLOOKUP(T_BilanSocial[[#This Row],[NumL]],T_TraitDi[#Data],COLUMN(T_TraitDi[[#This Row],[Colonne19]]),FALSE)=0,"",TEXT(IFERROR(VLOOKUP(T_BilanSocial[[#This Row],[NumL]],T_TraitDi[#Data],COLUMN(T_TraitDi[[#This Row],[Colonne19]]),FALSE),""),"[hh]:mm"))</f>
        <v>#VALUE!</v>
      </c>
      <c r="BA252" s="172" t="e">
        <f>IF(VLOOKUP(T_BilanSocial[[#This Row],[NumL]],T_TraitDi[#Data],COLUMN(T_TraitDi[[#This Row],[Colonne20]]),FALSE)=0,"",TEXT(IFERROR(VLOOKUP(T_BilanSocial[[#This Row],[NumL]],T_TraitDi[#Data],COLUMN(T_TraitDi[[#This Row],[Colonne20]]),FALSE),""),"[hh]:mm"))</f>
        <v>#VALUE!</v>
      </c>
      <c r="BB252" s="178" t="str">
        <f>IFERROR(VLOOKUP(T_BilanSocial[[#This Row],[NumL]],T_TraitDi[#Data],COLUMN(T_TraitDi[[#This Row],[Jeudi]]),FALSE),"")</f>
        <v/>
      </c>
      <c r="BC252" s="178" t="e">
        <f>IF(VLOOKUP(T_BilanSocial[[#This Row],[NumL]],T_TraitDi[#Data],COLUMN(T_TraitDi[[#This Row],[Colonne21]]),FALSE)=0,"",TEXT(IFERROR(VLOOKUP(T_BilanSocial[[#This Row],[NumL]],T_TraitDi[#Data],COLUMN(T_TraitDi[[#This Row],[Colonne21]]),FALSE),""),"[hh]:mm"))</f>
        <v>#VALUE!</v>
      </c>
      <c r="BD252" s="178" t="e">
        <f>IF(VLOOKUP(T_BilanSocial[[#This Row],[NumL]],T_TraitDi[#Data],COLUMN(T_TraitDi[[#This Row],[Colonne22]]),FALSE)=0,"",TEXT(IFERROR(VLOOKUP(T_BilanSocial[[#This Row],[NumL]],T_TraitDi[#Data],COLUMN(T_TraitDi[[#This Row],[Colonne22]]),FALSE),""),"[hh]:mm"))</f>
        <v>#VALUE!</v>
      </c>
      <c r="BE252" s="178" t="str">
        <f>IFERROR(VLOOKUP(T_BilanSocial[[#This Row],[NumL]],T_TraitDi[#Data],COLUMN(T_TraitDi[[#This Row],[Colonne23]]),FALSE),"")</f>
        <v/>
      </c>
      <c r="BF252" s="178" t="e">
        <f>IF(VLOOKUP(T_BilanSocial[[#This Row],[NumL]],T_TraitDi[#Data],COLUMN(T_TraitDi[[#This Row],[Colonne24]]),FALSE)=0,"",TEXT(IFERROR(VLOOKUP(T_BilanSocial[[#This Row],[NumL]],T_TraitDi[#Data],COLUMN(T_TraitDi[[#This Row],[Colonne24]]),FALSE),""),"[hh]:mm"))</f>
        <v>#VALUE!</v>
      </c>
      <c r="BG252" s="178" t="e">
        <f>IF(VLOOKUP(T_BilanSocial[[#This Row],[NumL]],T_TraitDi[#Data],COLUMN(T_TraitDi[[#This Row],[Colonne25]]),FALSE)=0,"",TEXT(IFERROR(VLOOKUP(T_BilanSocial[[#This Row],[NumL]],T_TraitDi[#Data],COLUMN(T_TraitDi[[#This Row],[Colonne25]]),FALSE),""),"[hh]:mm"))</f>
        <v>#VALUE!</v>
      </c>
      <c r="BH252" s="178" t="e">
        <f>IF(VLOOKUP(T_BilanSocial[[#This Row],[NumL]],T_TraitDi[#Data],COLUMN(T_TraitDi[[#This Row],[Colonne26]]),FALSE)=0,"",TEXT(IFERROR(VLOOKUP(T_BilanSocial[[#This Row],[NumL]],T_TraitDi[#Data],COLUMN(T_TraitDi[[#This Row],[Colonne26]]),FALSE),""),"[hh]:mm"))</f>
        <v>#VALUE!</v>
      </c>
      <c r="BI252" s="172" t="str">
        <f>IFERROR(VLOOKUP(T_BilanSocial[[#This Row],[NumL]],T_TraitDi[#Data],COLUMN(T_TraitDi[[#This Row],[Vendredi]]),FALSE),"")</f>
        <v/>
      </c>
      <c r="BJ252" s="172" t="e">
        <f>IF(VLOOKUP(T_BilanSocial[[#This Row],[NumL]],T_TraitDi[#Data],COLUMN(T_TraitDi[[#This Row],[Colonne27]]),FALSE)=0,"",TEXT(IFERROR(VLOOKUP(T_BilanSocial[[#This Row],[NumL]],T_TraitDi[#Data],COLUMN(T_TraitDi[[#This Row],[Colonne27]]),FALSE),""),"[hh]:mm"))</f>
        <v>#VALUE!</v>
      </c>
      <c r="BK252" s="172" t="e">
        <f>IF(VLOOKUP(T_BilanSocial[[#This Row],[NumL]],T_TraitDi[#Data],COLUMN(T_TraitDi[[#This Row],[Colonne28]]),FALSE)=0,"",TEXT(IFERROR(VLOOKUP(T_BilanSocial[[#This Row],[NumL]],T_TraitDi[#Data],COLUMN(T_TraitDi[[#This Row],[Colonne28]]),FALSE),""),"[hh]:mm"))</f>
        <v>#VALUE!</v>
      </c>
      <c r="BL252" s="172" t="str">
        <f>IFERROR(VLOOKUP(T_BilanSocial[[#This Row],[NumL]],T_TraitDi[#Data],COLUMN(T_TraitDi[[#This Row],[Colonne29]]),FALSE),"")</f>
        <v/>
      </c>
      <c r="BM252" s="172" t="e">
        <f>IF(VLOOKUP(T_BilanSocial[[#This Row],[NumL]],T_TraitDi[#Data],COLUMN(T_TraitDi[[#This Row],[Colonne30]]),FALSE)=0,"",TEXT(IFERROR(VLOOKUP(T_BilanSocial[[#This Row],[NumL]],T_TraitDi[#Data],COLUMN(T_TraitDi[[#This Row],[Colonne30]]),FALSE),""),"[hh]:mm"))</f>
        <v>#VALUE!</v>
      </c>
      <c r="BN252" s="172" t="e">
        <f>IF(VLOOKUP(T_BilanSocial[[#This Row],[NumL]],T_TraitDi[#Data],COLUMN(T_TraitDi[[#This Row],[Colonne31]]),FALSE)=0,"",TEXT(IFERROR(VLOOKUP(T_BilanSocial[[#This Row],[NumL]],T_TraitDi[#Data],COLUMN(T_TraitDi[[#This Row],[Colonne31]]),FALSE),""),"[hh]:mm"))</f>
        <v>#VALUE!</v>
      </c>
      <c r="BO252" s="172" t="e">
        <f>IF(VLOOKUP(T_BilanSocial[[#This Row],[NumL]],T_TraitDi[#Data],COLUMN(T_TraitDi[[#This Row],[Colonne32]]),FALSE)=0,"",TEXT(IFERROR(VLOOKUP(T_BilanSocial[[#This Row],[NumL]],T_TraitDi[#Data],COLUMN(T_TraitDi[[#This Row],[Colonne32]]),FALSE),""),"[hh]:mm"))</f>
        <v>#VALUE!</v>
      </c>
      <c r="BP252" s="172" t="e">
        <f>VLOOKUP(T_BilanSocial[[#This Row],[NumL]],T_TraitDi[#Data],COLUMN(T_TraitDi[NbJTot]),FALSE)</f>
        <v>#N/A</v>
      </c>
      <c r="BQ252" s="174" t="str">
        <f>IFERROR(VLOOKUP(T_BilanSocial[[#This Row],[NumL]],T_TraitDi[#Data],COLUMN(T_TraitDi[[#This Row],[NbJTW]]),FALSE),"")</f>
        <v/>
      </c>
      <c r="BR252" s="174" t="e">
        <f>IF(VLOOKUP(T_BilanSocial[[#This Row],[NumL]],T_TraitDi[#Data],COLUMN(T_TraitDi[[#This Row],[NbhTW]]),FALSE)=0,"",TEXT(IFERROR(VLOOKUP(T_BilanSocial[[#This Row],[NumL]],T_TraitDi[#Data],COLUMN(T_TraitDi[[#This Row],[NbhTW]]),FALSE),""),"[hh]:mm"))</f>
        <v>#VALUE!</v>
      </c>
      <c r="BS252" s="174" t="e">
        <f>IF(VLOOKUP(T_BilanSocial[[#This Row],[NumL]],T_TraitDi[#Data],COLUMN(T_TraitDi[[#This Row],[Nbhheb]]),FALSE)=0,"",TEXT(IFERROR(VLOOKUP($A252,T_TraitDi[#Data],COLUMN(T_TraitDi[[#This Row],[Nbhheb]]),FALSE),""),"[hh]:mm"))</f>
        <v>#VALUE!</v>
      </c>
      <c r="BT252" s="182" t="str">
        <f>IFERROR(VLOOKUP(VLOOKUP($A252,T_TraitDi[#Data],COLUMN(T_TraitDi[[#This Row],[Type1]]),FALSE),TypeTW,2,FALSE),"")</f>
        <v/>
      </c>
      <c r="BU252" s="182" t="str">
        <f>IFERROR(VLOOKUP($A252,T_TraitDi[#Data],COLUMN(T_TraitDi[[#This Row],[Rue1]]),FALSE),"")</f>
        <v/>
      </c>
      <c r="BV252" s="173" t="str">
        <f>IFERROR(VLOOKUP($A252,T_TraitDi[#Data],COLUMN(T_TraitDi[[#This Row],[CP1]]),FALSE),"")</f>
        <v/>
      </c>
      <c r="BW252" s="173" t="str">
        <f>IFERROR(VLOOKUP($A252,T_TraitDi[#Data],COLUMN(T_TraitDi[[#This Row],[VILLE1]]),FALSE),"")</f>
        <v/>
      </c>
      <c r="BX252" s="182" t="str">
        <f>IFERROR(VLOOKUP(VLOOKUP($A252,T_TraitDi[#Data],COLUMN(T_TraitDi[[#This Row],[Type2]]),FALSE),TypeTW,2,FALSE),"")</f>
        <v/>
      </c>
      <c r="BY252" s="182" t="str">
        <f>IFERROR(VLOOKUP($A252,T_TraitDi[#Data],COLUMN(T_TraitDi[[#This Row],[Rue2]]),FALSE),"")</f>
        <v/>
      </c>
      <c r="BZ252" s="173" t="str">
        <f>IFERROR(VLOOKUP($A252,T_TraitDi[#Data],COLUMN(T_TraitDi[[#This Row],[CP2]]),FALSE),"")</f>
        <v/>
      </c>
      <c r="CA252" s="173" t="str">
        <f>IFERROR(VLOOKUP($A252,T_TraitDi[#Data],COLUMN(T_TraitDi[[#This Row],[VILLE2]]),FALSE),"")</f>
        <v/>
      </c>
      <c r="CB252" s="182" t="str">
        <f>IF(VLOOKUP(T_BilanSocial[[#This Row],[NumL]],T_Equipement[#Data],COLUMN(T_Equipement[[#This Row],[PC]]),FALSE)="","Aucun équipement spécifique directement lié au télétravail",VLOOKUP(T_BilanSocial[[#This Row],[NumL]],T_Equipement[#Data],COLUMN(T_Equipement[[#This Row],[PC]]),FALSE))</f>
        <v xml:space="preserve">15-163	</v>
      </c>
      <c r="CC252" s="166" t="str">
        <f>IFERROR(IF(VLOOKUP(T_BilanSocial[[#This Row],[NumL]],T_TraitDi[#Data],COLUMN(T_TraitDi[[#This Row],[Plan]]),FALSE)="OK","Un planning spécifique de télétravail est annexé à la présente convention.",""),"")</f>
        <v/>
      </c>
      <c r="CD252" s="185"/>
      <c r="CE252" s="164" t="e">
        <f>IF(VLOOKUP(T_BilanSocial[[#This Row],[NumL]],T_suiviDi[#Data],COLUMN(T_suiviDi[[#This Row],[Entité]]),FALSE)="","",VLOOKUP(T_BilanSocial[[#This Row],[NumL]],T_suiviDi[#Data],COLUMN(T_suiviDi[[#This Row],[Entité]]),FALSE))</f>
        <v>#VALUE!</v>
      </c>
      <c r="CF252" s="164" t="str">
        <f>IF(VLOOKUP(T_BilanSocial[[#This Row],[NumL]],T_Commission[#Data],COLUMN(T_Commission[[#This Row],[envoi confirm TW]]),FALSE)="","",VLOOKUP(T_BilanSocial[[#This Row],[NumL]],T_Commission[#Data],COLUMN(T_Commission[[#This Row],[envoi confirm TW]]),FALSE))</f>
        <v>Oui</v>
      </c>
      <c r="CG25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2" s="262" t="str">
        <f>T_BilanSocial[[#This Row],[Nom]]&amp;T_BilanSocial[[#This Row],[Prenom]]</f>
        <v/>
      </c>
      <c r="CI252" s="262">
        <f>VLOOKUP(T_BilanSocial[[#This Row],[NumL]],T_Commission[#Data],COLUMN(T_Commission[Commentaire]),FALSE)</f>
        <v>0</v>
      </c>
      <c r="CJ252" s="262" t="str">
        <f>IF(VLOOKUP(T_BilanSocial[[#This Row],[NumL]],T_Commission[#Data],COLUMN(T_Commission[Encadrant Email]),FALSE)="","",VLOOKUP(T_BilanSocial[[#This Row],[NumL]],T_Commission[#Data],COLUMN(T_Commission[Encadrant Email]),FALSE))</f>
        <v/>
      </c>
      <c r="CK252" s="340" t="str">
        <f>IF(T_BilanSocial[[#This Row],[Final]]&lt;&gt;"",VLOOKUP(T_BilanSocial[[#This Row],[NumL]],T_suiviDi[#Data],COLUMN((T_suiviDi[Statut])),FALSE),"")</f>
        <v/>
      </c>
    </row>
    <row r="253" spans="1:89" s="106" customFormat="1" ht="22.5" customHeight="1" x14ac:dyDescent="0.25">
      <c r="A253" s="160">
        <v>250</v>
      </c>
      <c r="B253" s="161" t="str">
        <f t="shared" si="34"/>
        <v/>
      </c>
      <c r="C253" s="162" t="s">
        <v>173</v>
      </c>
      <c r="D253" s="95" t="e">
        <f>IF(VLOOKUP(T_BilanSocial[[#This Row],[NumL]],T_TraitDi[#Data],COLUMN(T_TraitDi[[#This Row],[WebC]]),FALSE)="","",VLOOKUP(T_BilanSocial[[#This Row],[NumL]],T_TraitDi[#Data],COLUMN(T_TraitDi[[#This Row],[WebC]]),FALSE))</f>
        <v>#VALUE!</v>
      </c>
      <c r="E253" s="163" t="str">
        <f t="shared" si="35"/>
        <v>12 janvier 2021</v>
      </c>
      <c r="F253" s="96" t="str">
        <f>IF(T_BilanSocial[[#This Row],[Final]]&lt;&gt;"",VLOOKUP(T_BilanSocial[[#This Row],[NumL]],T_suiviDi[#Data],COLUMN((T_suiviDi[Civ.])),FALSE),"")</f>
        <v/>
      </c>
      <c r="G253" s="96" t="str">
        <f>IF(T_BilanSocial[[#This Row],[Final]]&lt;&gt;"",VLOOKUP(T_BilanSocial[[#This Row],[NumL]],T_suiviDi[#Data],COLUMN((T_suiviDi[Nom])),FALSE),"")</f>
        <v/>
      </c>
      <c r="H253" s="96" t="str">
        <f>IF(T_BilanSocial[[#This Row],[Final]]&lt;&gt;"",VLOOKUP(T_BilanSocial[[#This Row],[NumL]],T_suiviDi[#Data],COLUMN((T_suiviDi[Prénom])),FALSE),"")</f>
        <v/>
      </c>
      <c r="I253" s="96" t="str">
        <f>IFERROR(VLOOKUP(T_BilanSocial[[#This Row],[Zone_Bilan]],T_P_BilanSocial[#Data],COLUMN(T_P_BilanSocial[[#This Row],[Numero_SIHAM]]),FALSE),"")</f>
        <v/>
      </c>
      <c r="J253" s="96" t="str">
        <f>IFERROR(VLOOKUP(T_BilanSocial[[#This Row],[Zone_Bilan]],T_P_BilanSocial[#Data],COLUMN(T_P_BilanSocial[[#This Row],[Sexe]]),FALSE),"")</f>
        <v/>
      </c>
      <c r="K253" s="97" t="str">
        <f>IFERROR(VLOOKUP(T_BilanSocial[[#This Row],[Zone_Bilan]],T_P_BilanSocial[#Data],COLUMN(T_P_BilanSocial[[#This Row],[Categorie]]),FALSE),"")</f>
        <v/>
      </c>
      <c r="L253" s="96" t="str">
        <f>IFERROR(VLOOKUP(T_BilanSocial[[#This Row],[Zone_Bilan]],T_P_BilanSocial[#Data],COLUMN(T_P_BilanSocial[[#This Row],[Statut]]),FALSE),"")</f>
        <v/>
      </c>
      <c r="M253" s="96" t="str">
        <f>IFERROR(VLOOKUP(T_BilanSocial[[#This Row],[Zone_Bilan]],T_P_BilanSocial[#Data],COLUMN(T_P_BilanSocial[[#This Row],[Filiere]]),FALSE),"")</f>
        <v/>
      </c>
      <c r="N253" s="96" t="e">
        <f>VLOOKUP(T_BilanSocial[[#This Row],[NumL]],T_TraitDi[#Data],COLUMN(T_TraitDi[EXP]),FALSE)</f>
        <v>#N/A</v>
      </c>
      <c r="O253" s="96" t="e">
        <f>VLOOKUP(T_BilanSocial[[#This Row],[NumL]],T_TraitDi[#Data],COLUMN(T_TraitDi[FORM]),FALSE)</f>
        <v>#N/A</v>
      </c>
      <c r="P253" s="96" t="str">
        <f>IF(T_BilanSocial[[#This Row],[Final]]&lt;&gt;"",VLOOKUP(T_BilanSocial[[#This Row],[NumL]],T_suiviDi[#Data],COLUMN((T_suiviDi[Email])),FALSE),"")</f>
        <v/>
      </c>
      <c r="Q253" s="164" t="e">
        <f t="shared" si="40"/>
        <v>#N/A</v>
      </c>
      <c r="R253" s="164" t="e">
        <f t="shared" si="41"/>
        <v>#N/A</v>
      </c>
      <c r="S253" s="164" t="e">
        <f>IF(VLOOKUP(T_BilanSocial[[#This Row],[NumL]],T_suiviDi[#Data],COLUMN(T_suiviDi[[#This Row],[Service ]]),FALSE)="","",VLOOKUP(T_BilanSocial[[#This Row],[NumL]],T_suiviDi[#Data],COLUMN(T_suiviDi[[#This Row],[Service ]]),FALSE))</f>
        <v>#VALUE!</v>
      </c>
      <c r="T253" s="164" t="str">
        <f t="shared" si="36"/>
        <v>01 septembre 2021</v>
      </c>
      <c r="U253" s="164" t="str">
        <f t="shared" si="37"/>
        <v>30 novembre 2021</v>
      </c>
      <c r="V253" s="164" t="str">
        <f t="shared" ref="V253:V259" si="44">TEXT(Datebilan,"jj mmmm aaaa")</f>
        <v>30 novembre 2021</v>
      </c>
      <c r="W253" s="176" t="e">
        <f>IF(VLOOKUP(T_BilanSocial[[#This Row],[NumL]],T_TraitDi[#Data],COLUMN(T_TraitDi[[#This Row],[M1]]),FALSE)="","",VLOOKUP(T_BilanSocial[[#This Row],[NumL]],T_TraitDi[#Data],COLUMN(T_TraitDi[[#This Row],[M1]]),FALSE))</f>
        <v>#VALUE!</v>
      </c>
      <c r="X253" s="176" t="e">
        <f>IF(VLOOKUP(T_BilanSocial[[#This Row],[NumL]],T_TraitDi[#Data],COLUMN(T_TraitDi[[#This Row],[M2]]),FALSE)="","",VLOOKUP(T_BilanSocial[[#This Row],[NumL]],T_TraitDi[#Data],COLUMN(T_TraitDi[[#This Row],[M2]]),FALSE))</f>
        <v>#VALUE!</v>
      </c>
      <c r="Y253" s="176" t="e">
        <f>IF(VLOOKUP(T_BilanSocial[[#This Row],[NumL]],T_TraitDi[#Data],COLUMN(T_TraitDi[[#This Row],[M3]]),FALSE)="","",VLOOKUP(T_BilanSocial[[#This Row],[NumL]],T_TraitDi[#Data],COLUMN(T_TraitDi[[#This Row],[M3]]),FALSE))</f>
        <v>#VALUE!</v>
      </c>
      <c r="Z253" s="176" t="str">
        <f t="shared" si="39"/>
        <v/>
      </c>
      <c r="AA253" s="176" t="e">
        <f>IF(VLOOKUP(T_BilanSocial[[#This Row],[NumL]],T_TraitDi[#Data],COLUMN(T_TraitDi[[#This Row],[M5]]),FALSE)="","",VLOOKUP(T_BilanSocial[[#This Row],[NumL]],T_TraitDi[#Data],COLUMN(T_TraitDi[[#This Row],[M5]]),FALSE))</f>
        <v>#VALUE!</v>
      </c>
      <c r="AB253" s="176" t="e">
        <f>IF(VLOOKUP(T_BilanSocial[[#This Row],[NumL]],T_TraitDi[#Data],COLUMN(T_TraitDi[[#This Row],[M6]]),FALSE)="","",VLOOKUP(T_BilanSocial[[#This Row],[NumL]],T_TraitDi[#Data],COLUMN(T_TraitDi[[#This Row],[M6]]),FALSE))</f>
        <v>#VALUE!</v>
      </c>
      <c r="AC253" s="165" t="e">
        <f t="shared" si="38"/>
        <v>#VALUE!</v>
      </c>
      <c r="AD253" s="188" t="str">
        <f>IFERROR(TEXT(VLOOKUP(T_BilanSocial[[#This Row],[NumL]],T_TraitDi[#Data],COLUMN(T_TraitDi[[#This Row],[Q2]]),FALSE),"###%"),"")</f>
        <v/>
      </c>
      <c r="AE253" s="97" t="e">
        <f>VLOOKUP(T_BilanSocial[[#This Row],[NumL]],T_TraitDi[#Data],COLUMN(T_TraitDi[[#This Row],[Reg Ponct]]),FALSE)</f>
        <v>#VALUE!</v>
      </c>
      <c r="AF253" s="97" t="e">
        <f>VLOOKUP(T_BilanSocial[NumL],T_TraitDi[#Data],COLUMN(T_TraitDi[[#This Row],[Jours flottants]]),FALSE)</f>
        <v>#VALUE!</v>
      </c>
      <c r="AG253" s="97" t="str">
        <f>IFERROR(VLOOKUP(T_BilanSocial[[#This Row],[NumL]],T_TraitDi[#Data],COLUMN(T_TraitDi[[#This Row],[Lundi]]),FALSE),"")</f>
        <v/>
      </c>
      <c r="AH253" s="172" t="e">
        <f>IF(VLOOKUP(T_BilanSocial[[#This Row],[NumL]],T_TraitDi[#Data],COLUMN(T_TraitDi[[#This Row],[Colonne3]]),FALSE)=0,"",TEXT(IFERROR(VLOOKUP(T_BilanSocial[[#This Row],[NumL]],T_TraitDi[#Data],COLUMN(T_TraitDi[[#This Row],[Colonne3]]),FALSE),""),"[hh]:mm"))</f>
        <v>#VALUE!</v>
      </c>
      <c r="AI253" s="172" t="e">
        <f>IF(VLOOKUP(T_BilanSocial[[#This Row],[NumL]],T_TraitDi[#Data],COLUMN(T_TraitDi[[#This Row],[Colonne4]]),FALSE)=0,"",TEXT(IFERROR(VLOOKUP(T_BilanSocial[[#This Row],[NumL]],T_TraitDi[#Data],COLUMN(T_TraitDi[[#This Row],[Colonne4]]),FALSE),""),"[hh]:mm"))</f>
        <v>#VALUE!</v>
      </c>
      <c r="AJ253" s="172" t="e">
        <f>IF(VLOOKUP(T_BilanSocial[[#This Row],[NumL]],T_TraitDi[#Data],COLUMN(T_TraitDi[[#This Row],[Colonne5]]),FALSE)=0,"",TEXT(IFERROR(VLOOKUP(T_BilanSocial[[#This Row],[NumL]],T_TraitDi[#Data],COLUMN(T_TraitDi[[#This Row],[Colonne5]]),FALSE),""),"[hh]:mm"))</f>
        <v>#VALUE!</v>
      </c>
      <c r="AK253" s="172" t="e">
        <f>IF(VLOOKUP(T_BilanSocial[[#This Row],[NumL]],T_TraitDi[#Data],COLUMN(T_TraitDi[[#This Row],[Colonne6]]),FALSE)=0,"",TEXT(IFERROR(VLOOKUP(T_BilanSocial[[#This Row],[NumL]],T_TraitDi[#Data],COLUMN(T_TraitDi[[#This Row],[Colonne6]]),FALSE),""),"[hh]:mm"))</f>
        <v>#VALUE!</v>
      </c>
      <c r="AL253" s="172" t="e">
        <f>IF(VLOOKUP(T_BilanSocial[[#This Row],[NumL]],T_TraitDi[#Data],COLUMN(T_TraitDi[[#This Row],[Colonne7]]),FALSE)=0,"",TEXT(IFERROR(VLOOKUP(T_BilanSocial[[#This Row],[NumL]],T_TraitDi[#Data],COLUMN(T_TraitDi[[#This Row],[Colonne7]]),FALSE),""),"[hh]:mm"))</f>
        <v>#VALUE!</v>
      </c>
      <c r="AM253" s="172" t="e">
        <f>IF(VLOOKUP(T_BilanSocial[[#This Row],[NumL]],T_TraitDi[#Data],COLUMN(T_TraitDi[[#This Row],[Colonne8]]),FALSE)=0,"",TEXT(IFERROR(VLOOKUP(T_BilanSocial[[#This Row],[NumL]],T_TraitDi[#Data],COLUMN(T_TraitDi[[#This Row],[Colonne8]]),FALSE),""),"[hh]:mm"))</f>
        <v>#VALUE!</v>
      </c>
      <c r="AN253" s="172" t="str">
        <f>IFERROR(VLOOKUP(T_BilanSocial[[#This Row],[NumL]],T_TraitDi[#Data],COLUMN(T_TraitDi[[#This Row],[Mardi]]),FALSE),"")</f>
        <v/>
      </c>
      <c r="AO253" s="172" t="e">
        <f>IF(VLOOKUP(T_BilanSocial[[#This Row],[NumL]],T_TraitDi[#Data],COLUMN(T_TraitDi[[#This Row],[Colonne1]]),FALSE)=0,"",TEXT(IFERROR(VLOOKUP(T_BilanSocial[[#This Row],[NumL]],T_TraitDi[#Data],COLUMN(T_TraitDi[[#This Row],[Colonne1]]),FALSE),""),"[hh]:mm"))</f>
        <v>#VALUE!</v>
      </c>
      <c r="AP253" s="172" t="e">
        <f>IF(VLOOKUP(T_BilanSocial[[#This Row],[NumL]],T_TraitDi[#Data],COLUMN(T_TraitDi[[#This Row],[Colonne9]]),FALSE)=0,"",TEXT(IFERROR(VLOOKUP(T_BilanSocial[[#This Row],[NumL]],T_TraitDi[#Data],COLUMN(T_TraitDi[[#This Row],[Colonne9]]),FALSE),""),"[hh]:mm"))</f>
        <v>#VALUE!</v>
      </c>
      <c r="AQ253" s="172" t="str">
        <f>IFERROR(VLOOKUP(T_BilanSocial[[#This Row],[NumL]],T_TraitDi[#Data],COLUMN(T_TraitDi[[#This Row],[Colonne10]]),FALSE),"")</f>
        <v/>
      </c>
      <c r="AR253" s="172" t="e">
        <f>IF(VLOOKUP(T_BilanSocial[[#This Row],[NumL]],T_TraitDi[#Data],COLUMN(T_TraitDi[[#This Row],[Colonne11]]),FALSE)=0,"",TEXT(IFERROR(VLOOKUP(T_BilanSocial[[#This Row],[NumL]],T_TraitDi[#Data],COLUMN(T_TraitDi[[#This Row],[Colonne11]]),FALSE),""),"[hh]:mm"))</f>
        <v>#VALUE!</v>
      </c>
      <c r="AS253" s="172" t="e">
        <f>IF(VLOOKUP(T_BilanSocial[[#This Row],[NumL]],T_TraitDi[#Data],COLUMN(T_TraitDi[[#This Row],[Colonne12]]),FALSE)=0,"",TEXT(IFERROR(VLOOKUP(T_BilanSocial[[#This Row],[NumL]],T_TraitDi[#Data],COLUMN(T_TraitDi[[#This Row],[Colonne12]]),FALSE),""),"[hh]:mm"))</f>
        <v>#VALUE!</v>
      </c>
      <c r="AT253" s="172" t="e">
        <f>IF(VLOOKUP(T_BilanSocial[[#This Row],[NumL]],T_TraitDi[#Data],COLUMN(T_TraitDi[[#This Row],[Colonne14]]),FALSE)=0,"",TEXT(IFERROR(VLOOKUP(T_BilanSocial[[#This Row],[NumL]],T_TraitDi[#Data],COLUMN(T_TraitDi[[#This Row],[Colonne14]]),FALSE),""),"[hh]:mm"))</f>
        <v>#VALUE!</v>
      </c>
      <c r="AU253" s="172" t="str">
        <f>IFERROR(VLOOKUP(T_BilanSocial[[#This Row],[NumL]],T_TraitDi[#Data],COLUMN(T_TraitDi[[#This Row],[Mercredi]]),FALSE),"")</f>
        <v/>
      </c>
      <c r="AV253" s="172" t="e">
        <f>IF(VLOOKUP(T_BilanSocial[[#This Row],[NumL]],T_TraitDi[#Data],COLUMN(T_TraitDi[[#This Row],[Colonne15]]),FALSE)=0,"",TEXT(IFERROR(VLOOKUP(T_BilanSocial[[#This Row],[NumL]],T_TraitDi[#Data],COLUMN(T_TraitDi[[#This Row],[Colonne15]]),FALSE),""),"[hh]:mm"))</f>
        <v>#VALUE!</v>
      </c>
      <c r="AW253" s="172" t="e">
        <f>IF(VLOOKUP(T_BilanSocial[[#This Row],[NumL]],T_TraitDi[#Data],COLUMN(T_TraitDi[[#This Row],[Colonne16]]),FALSE)=0,"",TEXT(IFERROR(VLOOKUP(T_BilanSocial[[#This Row],[NumL]],T_TraitDi[#Data],COLUMN(T_TraitDi[[#This Row],[Colonne16]]),FALSE),""),"[hh]:mm"))</f>
        <v>#VALUE!</v>
      </c>
      <c r="AX253" s="172" t="str">
        <f>IFERROR(VLOOKUP(T_BilanSocial[[#This Row],[NumL]],T_TraitDi[#Data],COLUMN(T_TraitDi[[#This Row],[Colonne17]]),FALSE),"")</f>
        <v/>
      </c>
      <c r="AY253" s="172" t="e">
        <f>IF(VLOOKUP(T_BilanSocial[[#This Row],[NumL]],T_TraitDi[#Data],COLUMN(T_TraitDi[[#This Row],[Colonne18]]),FALSE)=0,"",TEXT(IFERROR(VLOOKUP(T_BilanSocial[[#This Row],[NumL]],T_TraitDi[#Data],COLUMN(T_TraitDi[[#This Row],[Colonne18]]),FALSE),""),"[hh]:mm"))</f>
        <v>#VALUE!</v>
      </c>
      <c r="AZ253" s="172" t="e">
        <f>IF(VLOOKUP(T_BilanSocial[[#This Row],[NumL]],T_TraitDi[#Data],COLUMN(T_TraitDi[[#This Row],[Colonne19]]),FALSE)=0,"",TEXT(IFERROR(VLOOKUP(T_BilanSocial[[#This Row],[NumL]],T_TraitDi[#Data],COLUMN(T_TraitDi[[#This Row],[Colonne19]]),FALSE),""),"[hh]:mm"))</f>
        <v>#VALUE!</v>
      </c>
      <c r="BA253" s="172" t="e">
        <f>IF(VLOOKUP(T_BilanSocial[[#This Row],[NumL]],T_TraitDi[#Data],COLUMN(T_TraitDi[[#This Row],[Colonne20]]),FALSE)=0,"",TEXT(IFERROR(VLOOKUP(T_BilanSocial[[#This Row],[NumL]],T_TraitDi[#Data],COLUMN(T_TraitDi[[#This Row],[Colonne20]]),FALSE),""),"[hh]:mm"))</f>
        <v>#VALUE!</v>
      </c>
      <c r="BB253" s="178" t="str">
        <f>IFERROR(VLOOKUP(T_BilanSocial[[#This Row],[NumL]],T_TraitDi[#Data],COLUMN(T_TraitDi[[#This Row],[Jeudi]]),FALSE),"")</f>
        <v/>
      </c>
      <c r="BC253" s="178" t="e">
        <f>IF(VLOOKUP(T_BilanSocial[[#This Row],[NumL]],T_TraitDi[#Data],COLUMN(T_TraitDi[[#This Row],[Colonne21]]),FALSE)=0,"",TEXT(IFERROR(VLOOKUP(T_BilanSocial[[#This Row],[NumL]],T_TraitDi[#Data],COLUMN(T_TraitDi[[#This Row],[Colonne21]]),FALSE),""),"[hh]:mm"))</f>
        <v>#VALUE!</v>
      </c>
      <c r="BD253" s="178" t="e">
        <f>IF(VLOOKUP(T_BilanSocial[[#This Row],[NumL]],T_TraitDi[#Data],COLUMN(T_TraitDi[[#This Row],[Colonne22]]),FALSE)=0,"",TEXT(IFERROR(VLOOKUP(T_BilanSocial[[#This Row],[NumL]],T_TraitDi[#Data],COLUMN(T_TraitDi[[#This Row],[Colonne22]]),FALSE),""),"[hh]:mm"))</f>
        <v>#VALUE!</v>
      </c>
      <c r="BE253" s="178" t="str">
        <f>IFERROR(VLOOKUP(T_BilanSocial[[#This Row],[NumL]],T_TraitDi[#Data],COLUMN(T_TraitDi[[#This Row],[Colonne23]]),FALSE),"")</f>
        <v/>
      </c>
      <c r="BF253" s="178" t="e">
        <f>IF(VLOOKUP(T_BilanSocial[[#This Row],[NumL]],T_TraitDi[#Data],COLUMN(T_TraitDi[[#This Row],[Colonne24]]),FALSE)=0,"",TEXT(IFERROR(VLOOKUP(T_BilanSocial[[#This Row],[NumL]],T_TraitDi[#Data],COLUMN(T_TraitDi[[#This Row],[Colonne24]]),FALSE),""),"[hh]:mm"))</f>
        <v>#VALUE!</v>
      </c>
      <c r="BG253" s="178" t="e">
        <f>IF(VLOOKUP(T_BilanSocial[[#This Row],[NumL]],T_TraitDi[#Data],COLUMN(T_TraitDi[[#This Row],[Colonne25]]),FALSE)=0,"",TEXT(IFERROR(VLOOKUP(T_BilanSocial[[#This Row],[NumL]],T_TraitDi[#Data],COLUMN(T_TraitDi[[#This Row],[Colonne25]]),FALSE),""),"[hh]:mm"))</f>
        <v>#VALUE!</v>
      </c>
      <c r="BH253" s="178" t="e">
        <f>IF(VLOOKUP(T_BilanSocial[[#This Row],[NumL]],T_TraitDi[#Data],COLUMN(T_TraitDi[[#This Row],[Colonne26]]),FALSE)=0,"",TEXT(IFERROR(VLOOKUP(T_BilanSocial[[#This Row],[NumL]],T_TraitDi[#Data],COLUMN(T_TraitDi[[#This Row],[Colonne26]]),FALSE),""),"[hh]:mm"))</f>
        <v>#VALUE!</v>
      </c>
      <c r="BI253" s="172" t="str">
        <f>IFERROR(VLOOKUP(T_BilanSocial[[#This Row],[NumL]],T_TraitDi[#Data],COLUMN(T_TraitDi[[#This Row],[Vendredi]]),FALSE),"")</f>
        <v/>
      </c>
      <c r="BJ253" s="172" t="e">
        <f>IF(VLOOKUP(T_BilanSocial[[#This Row],[NumL]],T_TraitDi[#Data],COLUMN(T_TraitDi[[#This Row],[Colonne27]]),FALSE)=0,"",TEXT(IFERROR(VLOOKUP(T_BilanSocial[[#This Row],[NumL]],T_TraitDi[#Data],COLUMN(T_TraitDi[[#This Row],[Colonne27]]),FALSE),""),"[hh]:mm"))</f>
        <v>#VALUE!</v>
      </c>
      <c r="BK253" s="172" t="e">
        <f>IF(VLOOKUP(T_BilanSocial[[#This Row],[NumL]],T_TraitDi[#Data],COLUMN(T_TraitDi[[#This Row],[Colonne28]]),FALSE)=0,"",TEXT(IFERROR(VLOOKUP(T_BilanSocial[[#This Row],[NumL]],T_TraitDi[#Data],COLUMN(T_TraitDi[[#This Row],[Colonne28]]),FALSE),""),"[hh]:mm"))</f>
        <v>#VALUE!</v>
      </c>
      <c r="BL253" s="172" t="str">
        <f>IFERROR(VLOOKUP(T_BilanSocial[[#This Row],[NumL]],T_TraitDi[#Data],COLUMN(T_TraitDi[[#This Row],[Colonne29]]),FALSE),"")</f>
        <v/>
      </c>
      <c r="BM253" s="172" t="e">
        <f>IF(VLOOKUP(T_BilanSocial[[#This Row],[NumL]],T_TraitDi[#Data],COLUMN(T_TraitDi[[#This Row],[Colonne30]]),FALSE)=0,"",TEXT(IFERROR(VLOOKUP(T_BilanSocial[[#This Row],[NumL]],T_TraitDi[#Data],COLUMN(T_TraitDi[[#This Row],[Colonne30]]),FALSE),""),"[hh]:mm"))</f>
        <v>#VALUE!</v>
      </c>
      <c r="BN253" s="172" t="e">
        <f>IF(VLOOKUP(T_BilanSocial[[#This Row],[NumL]],T_TraitDi[#Data],COLUMN(T_TraitDi[[#This Row],[Colonne31]]),FALSE)=0,"",TEXT(IFERROR(VLOOKUP(T_BilanSocial[[#This Row],[NumL]],T_TraitDi[#Data],COLUMN(T_TraitDi[[#This Row],[Colonne31]]),FALSE),""),"[hh]:mm"))</f>
        <v>#VALUE!</v>
      </c>
      <c r="BO253" s="172" t="e">
        <f>IF(VLOOKUP(T_BilanSocial[[#This Row],[NumL]],T_TraitDi[#Data],COLUMN(T_TraitDi[[#This Row],[Colonne32]]),FALSE)=0,"",TEXT(IFERROR(VLOOKUP(T_BilanSocial[[#This Row],[NumL]],T_TraitDi[#Data],COLUMN(T_TraitDi[[#This Row],[Colonne32]]),FALSE),""),"[hh]:mm"))</f>
        <v>#VALUE!</v>
      </c>
      <c r="BP253" s="172" t="e">
        <f>VLOOKUP(T_BilanSocial[[#This Row],[NumL]],T_TraitDi[#Data],COLUMN(T_TraitDi[NbJTot]),FALSE)</f>
        <v>#N/A</v>
      </c>
      <c r="BQ253" s="174" t="str">
        <f>IFERROR(VLOOKUP(T_BilanSocial[[#This Row],[NumL]],T_TraitDi[#Data],COLUMN(T_TraitDi[[#This Row],[NbJTW]]),FALSE),"")</f>
        <v/>
      </c>
      <c r="BR253" s="174" t="e">
        <f>IF(VLOOKUP(T_BilanSocial[[#This Row],[NumL]],T_TraitDi[#Data],COLUMN(T_TraitDi[[#This Row],[NbhTW]]),FALSE)=0,"",TEXT(IFERROR(VLOOKUP(T_BilanSocial[[#This Row],[NumL]],T_TraitDi[#Data],COLUMN(T_TraitDi[[#This Row],[NbhTW]]),FALSE),""),"[hh]:mm"))</f>
        <v>#VALUE!</v>
      </c>
      <c r="BS253" s="174" t="e">
        <f>IF(VLOOKUP(T_BilanSocial[[#This Row],[NumL]],T_TraitDi[#Data],COLUMN(T_TraitDi[[#This Row],[Nbhheb]]),FALSE)=0,"",TEXT(IFERROR(VLOOKUP($A253,T_TraitDi[#Data],COLUMN(T_TraitDi[[#This Row],[Nbhheb]]),FALSE),""),"[hh]:mm"))</f>
        <v>#VALUE!</v>
      </c>
      <c r="BT253" s="182" t="str">
        <f>IFERROR(VLOOKUP(VLOOKUP($A253,T_TraitDi[#Data],COLUMN(T_TraitDi[[#This Row],[Type1]]),FALSE),TypeTW,2,FALSE),"")</f>
        <v/>
      </c>
      <c r="BU253" s="182" t="str">
        <f>IFERROR(VLOOKUP($A253,T_TraitDi[#Data],COLUMN(T_TraitDi[[#This Row],[Rue1]]),FALSE),"")</f>
        <v/>
      </c>
      <c r="BV253" s="173" t="str">
        <f>IFERROR(VLOOKUP($A253,T_TraitDi[#Data],COLUMN(T_TraitDi[[#This Row],[CP1]]),FALSE),"")</f>
        <v/>
      </c>
      <c r="BW253" s="173" t="str">
        <f>IFERROR(VLOOKUP($A253,T_TraitDi[#Data],COLUMN(T_TraitDi[[#This Row],[VILLE1]]),FALSE),"")</f>
        <v/>
      </c>
      <c r="BX253" s="182" t="str">
        <f>IFERROR(VLOOKUP(VLOOKUP($A253,T_TraitDi[#Data],COLUMN(T_TraitDi[[#This Row],[Type2]]),FALSE),TypeTW,2,FALSE),"")</f>
        <v/>
      </c>
      <c r="BY253" s="182" t="str">
        <f>IFERROR(VLOOKUP($A253,T_TraitDi[#Data],COLUMN(T_TraitDi[[#This Row],[Rue2]]),FALSE),"")</f>
        <v/>
      </c>
      <c r="BZ253" s="173" t="str">
        <f>IFERROR(VLOOKUP($A253,T_TraitDi[#Data],COLUMN(T_TraitDi[[#This Row],[CP2]]),FALSE),"")</f>
        <v/>
      </c>
      <c r="CA253" s="173" t="str">
        <f>IFERROR(VLOOKUP($A253,T_TraitDi[#Data],COLUMN(T_TraitDi[[#This Row],[VILLE2]]),FALSE),"")</f>
        <v/>
      </c>
      <c r="CB253" s="182" t="str">
        <f>IF(VLOOKUP(T_BilanSocial[[#This Row],[NumL]],T_Equipement[#Data],COLUMN(T_Equipement[[#This Row],[PC]]),FALSE)="","Aucun équipement spécifique directement lié au télétravail",VLOOKUP(T_BilanSocial[[#This Row],[NumL]],T_Equipement[#Data],COLUMN(T_Equipement[[#This Row],[PC]]),FALSE))</f>
        <v xml:space="preserve">20-657	</v>
      </c>
      <c r="CC253" s="166" t="str">
        <f>IFERROR(IF(VLOOKUP(T_BilanSocial[[#This Row],[NumL]],T_TraitDi[#Data],COLUMN(T_TraitDi[[#This Row],[Plan]]),FALSE)="OK","Un planning spécifique de télétravail est annexé à la présente convention.",""),"")</f>
        <v/>
      </c>
      <c r="CD253" s="258" t="s">
        <v>3433</v>
      </c>
      <c r="CE253" s="164" t="e">
        <f>IF(VLOOKUP(T_BilanSocial[[#This Row],[NumL]],T_suiviDi[#Data],COLUMN(T_suiviDi[[#This Row],[Entité]]),FALSE)="","",VLOOKUP(T_BilanSocial[[#This Row],[NumL]],T_suiviDi[#Data],COLUMN(T_suiviDi[[#This Row],[Entité]]),FALSE))</f>
        <v>#VALUE!</v>
      </c>
      <c r="CF253" s="164" t="str">
        <f>IF(VLOOKUP(T_BilanSocial[[#This Row],[NumL]],T_Commission[#Data],COLUMN(T_Commission[[#This Row],[envoi confirm TW]]),FALSE)="","",VLOOKUP(T_BilanSocial[[#This Row],[NumL]],T_Commission[#Data],COLUMN(T_Commission[[#This Row],[envoi confirm TW]]),FALSE))</f>
        <v>Oui</v>
      </c>
      <c r="CG25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3" s="262" t="str">
        <f>T_BilanSocial[[#This Row],[Nom]]&amp;T_BilanSocial[[#This Row],[Prenom]]</f>
        <v/>
      </c>
      <c r="CI253" s="262">
        <f>VLOOKUP(T_BilanSocial[[#This Row],[NumL]],T_Commission[#Data],COLUMN(T_Commission[Commentaire]),FALSE)</f>
        <v>0</v>
      </c>
      <c r="CJ253" s="262" t="str">
        <f>IF(VLOOKUP(T_BilanSocial[[#This Row],[NumL]],T_Commission[#Data],COLUMN(T_Commission[Encadrant Email]),FALSE)="","",VLOOKUP(T_BilanSocial[[#This Row],[NumL]],T_Commission[#Data],COLUMN(T_Commission[Encadrant Email]),FALSE))</f>
        <v/>
      </c>
      <c r="CK253" s="340" t="str">
        <f>IF(T_BilanSocial[[#This Row],[Final]]&lt;&gt;"",VLOOKUP(T_BilanSocial[[#This Row],[NumL]],T_suiviDi[#Data],COLUMN((T_suiviDi[Statut])),FALSE),"")</f>
        <v/>
      </c>
    </row>
    <row r="254" spans="1:89" s="106" customFormat="1" ht="29.25" customHeight="1" x14ac:dyDescent="0.25">
      <c r="A254" s="160">
        <v>251</v>
      </c>
      <c r="B254" s="161" t="str">
        <f t="shared" si="34"/>
        <v/>
      </c>
      <c r="C254" s="162"/>
      <c r="D254" s="95" t="e">
        <f>IF(VLOOKUP(T_BilanSocial[[#This Row],[NumL]],T_TraitDi[#Data],COLUMN(T_TraitDi[[#This Row],[WebC]]),FALSE)="","",VLOOKUP(T_BilanSocial[[#This Row],[NumL]],T_TraitDi[#Data],COLUMN(T_TraitDi[[#This Row],[WebC]]),FALSE))</f>
        <v>#VALUE!</v>
      </c>
      <c r="E254" s="163" t="str">
        <f t="shared" si="35"/>
        <v>12 janvier 2021</v>
      </c>
      <c r="F254" s="96" t="str">
        <f>IF(T_BilanSocial[[#This Row],[Final]]&lt;&gt;"",VLOOKUP(T_BilanSocial[[#This Row],[NumL]],T_suiviDi[#Data],COLUMN((T_suiviDi[Civ.])),FALSE),"")</f>
        <v/>
      </c>
      <c r="G254" s="96" t="str">
        <f>IF(T_BilanSocial[[#This Row],[Final]]&lt;&gt;"",VLOOKUP(T_BilanSocial[[#This Row],[NumL]],T_suiviDi[#Data],COLUMN((T_suiviDi[Nom])),FALSE),"")</f>
        <v/>
      </c>
      <c r="H254" s="96" t="str">
        <f>IF(T_BilanSocial[[#This Row],[Final]]&lt;&gt;"",VLOOKUP(T_BilanSocial[[#This Row],[NumL]],T_suiviDi[#Data],COLUMN((T_suiviDi[Prénom])),FALSE),"")</f>
        <v/>
      </c>
      <c r="I254" s="96" t="str">
        <f>IFERROR(VLOOKUP(T_BilanSocial[[#This Row],[Zone_Bilan]],T_P_BilanSocial[#Data],COLUMN(T_P_BilanSocial[[#This Row],[Numero_SIHAM]]),FALSE),"")</f>
        <v/>
      </c>
      <c r="J254" s="96" t="str">
        <f>IFERROR(VLOOKUP(T_BilanSocial[[#This Row],[Zone_Bilan]],T_P_BilanSocial[#Data],COLUMN(T_P_BilanSocial[[#This Row],[Sexe]]),FALSE),"")</f>
        <v/>
      </c>
      <c r="K254" s="97" t="str">
        <f>IFERROR(VLOOKUP(T_BilanSocial[[#This Row],[Zone_Bilan]],T_P_BilanSocial[#Data],COLUMN(T_P_BilanSocial[[#This Row],[Categorie]]),FALSE),"")</f>
        <v/>
      </c>
      <c r="L254" s="96" t="str">
        <f>IFERROR(VLOOKUP(T_BilanSocial[[#This Row],[Zone_Bilan]],T_P_BilanSocial[#Data],COLUMN(T_P_BilanSocial[[#This Row],[Statut]]),FALSE),"")</f>
        <v/>
      </c>
      <c r="M254" s="96" t="str">
        <f>IFERROR(VLOOKUP(T_BilanSocial[[#This Row],[Zone_Bilan]],T_P_BilanSocial[#Data],COLUMN(T_P_BilanSocial[[#This Row],[Filiere]]),FALSE),"")</f>
        <v/>
      </c>
      <c r="N254" s="96" t="e">
        <f>VLOOKUP(T_BilanSocial[[#This Row],[NumL]],T_TraitDi[#Data],COLUMN(T_TraitDi[EXP]),FALSE)</f>
        <v>#N/A</v>
      </c>
      <c r="O254" s="96" t="e">
        <f>VLOOKUP(T_BilanSocial[[#This Row],[NumL]],T_TraitDi[#Data],COLUMN(T_TraitDi[FORM]),FALSE)</f>
        <v>#N/A</v>
      </c>
      <c r="P254" s="96" t="str">
        <f>IF(T_BilanSocial[[#This Row],[Final]]&lt;&gt;"",VLOOKUP(T_BilanSocial[[#This Row],[NumL]],T_suiviDi[#Data],COLUMN((T_suiviDi[Email])),FALSE),"")</f>
        <v/>
      </c>
      <c r="Q254" s="164" t="e">
        <f t="shared" si="40"/>
        <v>#N/A</v>
      </c>
      <c r="R254" s="164" t="e">
        <f t="shared" si="41"/>
        <v>#N/A</v>
      </c>
      <c r="S254" s="164" t="e">
        <f>IF(VLOOKUP(T_BilanSocial[[#This Row],[NumL]],T_suiviDi[#Data],COLUMN(T_suiviDi[[#This Row],[Service ]]),FALSE)="","",VLOOKUP(T_BilanSocial[[#This Row],[NumL]],T_suiviDi[#Data],COLUMN(T_suiviDi[[#This Row],[Service ]]),FALSE))</f>
        <v>#VALUE!</v>
      </c>
      <c r="T254" s="164" t="str">
        <f t="shared" si="36"/>
        <v>01 septembre 2021</v>
      </c>
      <c r="U254" s="164" t="str">
        <f t="shared" si="37"/>
        <v>30 novembre 2021</v>
      </c>
      <c r="V254" s="164" t="str">
        <f t="shared" si="44"/>
        <v>30 novembre 2021</v>
      </c>
      <c r="W254" s="176" t="e">
        <f>IF(VLOOKUP(T_BilanSocial[[#This Row],[NumL]],T_TraitDi[#Data],COLUMN(T_TraitDi[[#This Row],[M1]]),FALSE)="","",VLOOKUP(T_BilanSocial[[#This Row],[NumL]],T_TraitDi[#Data],COLUMN(T_TraitDi[[#This Row],[M1]]),FALSE))</f>
        <v>#VALUE!</v>
      </c>
      <c r="X254" s="176" t="e">
        <f>IF(VLOOKUP(T_BilanSocial[[#This Row],[NumL]],T_TraitDi[#Data],COLUMN(T_TraitDi[[#This Row],[M2]]),FALSE)="","",VLOOKUP(T_BilanSocial[[#This Row],[NumL]],T_TraitDi[#Data],COLUMN(T_TraitDi[[#This Row],[M2]]),FALSE))</f>
        <v>#VALUE!</v>
      </c>
      <c r="Y254" s="176" t="e">
        <f>IF(VLOOKUP(T_BilanSocial[[#This Row],[NumL]],T_TraitDi[#Data],COLUMN(T_TraitDi[[#This Row],[M3]]),FALSE)="","",VLOOKUP(T_BilanSocial[[#This Row],[NumL]],T_TraitDi[#Data],COLUMN(T_TraitDi[[#This Row],[M3]]),FALSE))</f>
        <v>#VALUE!</v>
      </c>
      <c r="Z254" s="176" t="str">
        <f t="shared" si="39"/>
        <v/>
      </c>
      <c r="AA254" s="176" t="e">
        <f>IF(VLOOKUP(T_BilanSocial[[#This Row],[NumL]],T_TraitDi[#Data],COLUMN(T_TraitDi[[#This Row],[M5]]),FALSE)="","",VLOOKUP(T_BilanSocial[[#This Row],[NumL]],T_TraitDi[#Data],COLUMN(T_TraitDi[[#This Row],[M5]]),FALSE))</f>
        <v>#VALUE!</v>
      </c>
      <c r="AB254" s="176" t="e">
        <f>IF(VLOOKUP(T_BilanSocial[[#This Row],[NumL]],T_TraitDi[#Data],COLUMN(T_TraitDi[[#This Row],[M6]]),FALSE)="","",VLOOKUP(T_BilanSocial[[#This Row],[NumL]],T_TraitDi[#Data],COLUMN(T_TraitDi[[#This Row],[M6]]),FALSE))</f>
        <v>#VALUE!</v>
      </c>
      <c r="AC254" s="165" t="e">
        <f t="shared" si="38"/>
        <v>#VALUE!</v>
      </c>
      <c r="AD254" s="188" t="str">
        <f>IFERROR(TEXT(VLOOKUP(T_BilanSocial[[#This Row],[NumL]],T_TraitDi[#Data],COLUMN(T_TraitDi[[#This Row],[Q2]]),FALSE),"###%"),"")</f>
        <v/>
      </c>
      <c r="AE254" s="97" t="e">
        <f>VLOOKUP(T_BilanSocial[[#This Row],[NumL]],T_TraitDi[#Data],COLUMN(T_TraitDi[[#This Row],[Reg Ponct]]),FALSE)</f>
        <v>#VALUE!</v>
      </c>
      <c r="AF254" s="97" t="e">
        <f>VLOOKUP(T_BilanSocial[NumL],T_TraitDi[#Data],COLUMN(T_TraitDi[[#This Row],[Jours flottants]]),FALSE)</f>
        <v>#VALUE!</v>
      </c>
      <c r="AG254" s="97" t="str">
        <f>IFERROR(VLOOKUP(T_BilanSocial[[#This Row],[NumL]],T_TraitDi[#Data],COLUMN(T_TraitDi[[#This Row],[Lundi]]),FALSE),"")</f>
        <v/>
      </c>
      <c r="AH254" s="172" t="e">
        <f>IF(VLOOKUP(T_BilanSocial[[#This Row],[NumL]],T_TraitDi[#Data],COLUMN(T_TraitDi[[#This Row],[Colonne3]]),FALSE)=0,"",TEXT(IFERROR(VLOOKUP(T_BilanSocial[[#This Row],[NumL]],T_TraitDi[#Data],COLUMN(T_TraitDi[[#This Row],[Colonne3]]),FALSE),""),"[hh]:mm"))</f>
        <v>#VALUE!</v>
      </c>
      <c r="AI254" s="172" t="e">
        <f>IF(VLOOKUP(T_BilanSocial[[#This Row],[NumL]],T_TraitDi[#Data],COLUMN(T_TraitDi[[#This Row],[Colonne4]]),FALSE)=0,"",TEXT(IFERROR(VLOOKUP(T_BilanSocial[[#This Row],[NumL]],T_TraitDi[#Data],COLUMN(T_TraitDi[[#This Row],[Colonne4]]),FALSE),""),"[hh]:mm"))</f>
        <v>#VALUE!</v>
      </c>
      <c r="AJ254" s="172" t="e">
        <f>IF(VLOOKUP(T_BilanSocial[[#This Row],[NumL]],T_TraitDi[#Data],COLUMN(T_TraitDi[[#This Row],[Colonne5]]),FALSE)=0,"",TEXT(IFERROR(VLOOKUP(T_BilanSocial[[#This Row],[NumL]],T_TraitDi[#Data],COLUMN(T_TraitDi[[#This Row],[Colonne5]]),FALSE),""),"[hh]:mm"))</f>
        <v>#VALUE!</v>
      </c>
      <c r="AK254" s="172" t="e">
        <f>IF(VLOOKUP(T_BilanSocial[[#This Row],[NumL]],T_TraitDi[#Data],COLUMN(T_TraitDi[[#This Row],[Colonne6]]),FALSE)=0,"",TEXT(IFERROR(VLOOKUP(T_BilanSocial[[#This Row],[NumL]],T_TraitDi[#Data],COLUMN(T_TraitDi[[#This Row],[Colonne6]]),FALSE),""),"[hh]:mm"))</f>
        <v>#VALUE!</v>
      </c>
      <c r="AL254" s="172" t="e">
        <f>IF(VLOOKUP(T_BilanSocial[[#This Row],[NumL]],T_TraitDi[#Data],COLUMN(T_TraitDi[[#This Row],[Colonne7]]),FALSE)=0,"",TEXT(IFERROR(VLOOKUP(T_BilanSocial[[#This Row],[NumL]],T_TraitDi[#Data],COLUMN(T_TraitDi[[#This Row],[Colonne7]]),FALSE),""),"[hh]:mm"))</f>
        <v>#VALUE!</v>
      </c>
      <c r="AM254" s="172" t="e">
        <f>IF(VLOOKUP(T_BilanSocial[[#This Row],[NumL]],T_TraitDi[#Data],COLUMN(T_TraitDi[[#This Row],[Colonne8]]),FALSE)=0,"",TEXT(IFERROR(VLOOKUP(T_BilanSocial[[#This Row],[NumL]],T_TraitDi[#Data],COLUMN(T_TraitDi[[#This Row],[Colonne8]]),FALSE),""),"[hh]:mm"))</f>
        <v>#VALUE!</v>
      </c>
      <c r="AN254" s="172" t="str">
        <f>IFERROR(VLOOKUP(T_BilanSocial[[#This Row],[NumL]],T_TraitDi[#Data],COLUMN(T_TraitDi[[#This Row],[Mardi]]),FALSE),"")</f>
        <v/>
      </c>
      <c r="AO254" s="172" t="e">
        <f>IF(VLOOKUP(T_BilanSocial[[#This Row],[NumL]],T_TraitDi[#Data],COLUMN(T_TraitDi[[#This Row],[Colonne1]]),FALSE)=0,"",TEXT(IFERROR(VLOOKUP(T_BilanSocial[[#This Row],[NumL]],T_TraitDi[#Data],COLUMN(T_TraitDi[[#This Row],[Colonne1]]),FALSE),""),"[hh]:mm"))</f>
        <v>#VALUE!</v>
      </c>
      <c r="AP254" s="172" t="e">
        <f>IF(VLOOKUP(T_BilanSocial[[#This Row],[NumL]],T_TraitDi[#Data],COLUMN(T_TraitDi[[#This Row],[Colonne9]]),FALSE)=0,"",TEXT(IFERROR(VLOOKUP(T_BilanSocial[[#This Row],[NumL]],T_TraitDi[#Data],COLUMN(T_TraitDi[[#This Row],[Colonne9]]),FALSE),""),"[hh]:mm"))</f>
        <v>#VALUE!</v>
      </c>
      <c r="AQ254" s="172" t="str">
        <f>IFERROR(VLOOKUP(T_BilanSocial[[#This Row],[NumL]],T_TraitDi[#Data],COLUMN(T_TraitDi[[#This Row],[Colonne10]]),FALSE),"")</f>
        <v/>
      </c>
      <c r="AR254" s="172" t="e">
        <f>IF(VLOOKUP(T_BilanSocial[[#This Row],[NumL]],T_TraitDi[#Data],COLUMN(T_TraitDi[[#This Row],[Colonne11]]),FALSE)=0,"",TEXT(IFERROR(VLOOKUP(T_BilanSocial[[#This Row],[NumL]],T_TraitDi[#Data],COLUMN(T_TraitDi[[#This Row],[Colonne11]]),FALSE),""),"[hh]:mm"))</f>
        <v>#VALUE!</v>
      </c>
      <c r="AS254" s="172" t="e">
        <f>IF(VLOOKUP(T_BilanSocial[[#This Row],[NumL]],T_TraitDi[#Data],COLUMN(T_TraitDi[[#This Row],[Colonne12]]),FALSE)=0,"",TEXT(IFERROR(VLOOKUP(T_BilanSocial[[#This Row],[NumL]],T_TraitDi[#Data],COLUMN(T_TraitDi[[#This Row],[Colonne12]]),FALSE),""),"[hh]:mm"))</f>
        <v>#VALUE!</v>
      </c>
      <c r="AT254" s="172" t="e">
        <f>IF(VLOOKUP(T_BilanSocial[[#This Row],[NumL]],T_TraitDi[#Data],COLUMN(T_TraitDi[[#This Row],[Colonne14]]),FALSE)=0,"",TEXT(IFERROR(VLOOKUP(T_BilanSocial[[#This Row],[NumL]],T_TraitDi[#Data],COLUMN(T_TraitDi[[#This Row],[Colonne14]]),FALSE),""),"[hh]:mm"))</f>
        <v>#VALUE!</v>
      </c>
      <c r="AU254" s="172" t="str">
        <f>IFERROR(VLOOKUP(T_BilanSocial[[#This Row],[NumL]],T_TraitDi[#Data],COLUMN(T_TraitDi[[#This Row],[Mercredi]]),FALSE),"")</f>
        <v/>
      </c>
      <c r="AV254" s="172" t="e">
        <f>IF(VLOOKUP(T_BilanSocial[[#This Row],[NumL]],T_TraitDi[#Data],COLUMN(T_TraitDi[[#This Row],[Colonne15]]),FALSE)=0,"",TEXT(IFERROR(VLOOKUP(T_BilanSocial[[#This Row],[NumL]],T_TraitDi[#Data],COLUMN(T_TraitDi[[#This Row],[Colonne15]]),FALSE),""),"[hh]:mm"))</f>
        <v>#VALUE!</v>
      </c>
      <c r="AW254" s="172" t="e">
        <f>IF(VLOOKUP(T_BilanSocial[[#This Row],[NumL]],T_TraitDi[#Data],COLUMN(T_TraitDi[[#This Row],[Colonne16]]),FALSE)=0,"",TEXT(IFERROR(VLOOKUP(T_BilanSocial[[#This Row],[NumL]],T_TraitDi[#Data],COLUMN(T_TraitDi[[#This Row],[Colonne16]]),FALSE),""),"[hh]:mm"))</f>
        <v>#VALUE!</v>
      </c>
      <c r="AX254" s="172" t="str">
        <f>IFERROR(VLOOKUP(T_BilanSocial[[#This Row],[NumL]],T_TraitDi[#Data],COLUMN(T_TraitDi[[#This Row],[Colonne17]]),FALSE),"")</f>
        <v/>
      </c>
      <c r="AY254" s="172" t="e">
        <f>IF(VLOOKUP(T_BilanSocial[[#This Row],[NumL]],T_TraitDi[#Data],COLUMN(T_TraitDi[[#This Row],[Colonne18]]),FALSE)=0,"",TEXT(IFERROR(VLOOKUP(T_BilanSocial[[#This Row],[NumL]],T_TraitDi[#Data],COLUMN(T_TraitDi[[#This Row],[Colonne18]]),FALSE),""),"[hh]:mm"))</f>
        <v>#VALUE!</v>
      </c>
      <c r="AZ254" s="172" t="e">
        <f>IF(VLOOKUP(T_BilanSocial[[#This Row],[NumL]],T_TraitDi[#Data],COLUMN(T_TraitDi[[#This Row],[Colonne19]]),FALSE)=0,"",TEXT(IFERROR(VLOOKUP(T_BilanSocial[[#This Row],[NumL]],T_TraitDi[#Data],COLUMN(T_TraitDi[[#This Row],[Colonne19]]),FALSE),""),"[hh]:mm"))</f>
        <v>#VALUE!</v>
      </c>
      <c r="BA254" s="172" t="e">
        <f>IF(VLOOKUP(T_BilanSocial[[#This Row],[NumL]],T_TraitDi[#Data],COLUMN(T_TraitDi[[#This Row],[Colonne20]]),FALSE)=0,"",TEXT(IFERROR(VLOOKUP(T_BilanSocial[[#This Row],[NumL]],T_TraitDi[#Data],COLUMN(T_TraitDi[[#This Row],[Colonne20]]),FALSE),""),"[hh]:mm"))</f>
        <v>#VALUE!</v>
      </c>
      <c r="BB254" s="178" t="str">
        <f>IFERROR(VLOOKUP(T_BilanSocial[[#This Row],[NumL]],T_TraitDi[#Data],COLUMN(T_TraitDi[[#This Row],[Jeudi]]),FALSE),"")</f>
        <v/>
      </c>
      <c r="BC254" s="178" t="e">
        <f>IF(VLOOKUP(T_BilanSocial[[#This Row],[NumL]],T_TraitDi[#Data],COLUMN(T_TraitDi[[#This Row],[Colonne21]]),FALSE)=0,"",TEXT(IFERROR(VLOOKUP(T_BilanSocial[[#This Row],[NumL]],T_TraitDi[#Data],COLUMN(T_TraitDi[[#This Row],[Colonne21]]),FALSE),""),"[hh]:mm"))</f>
        <v>#VALUE!</v>
      </c>
      <c r="BD254" s="178" t="e">
        <f>IF(VLOOKUP(T_BilanSocial[[#This Row],[NumL]],T_TraitDi[#Data],COLUMN(T_TraitDi[[#This Row],[Colonne22]]),FALSE)=0,"",TEXT(IFERROR(VLOOKUP(T_BilanSocial[[#This Row],[NumL]],T_TraitDi[#Data],COLUMN(T_TraitDi[[#This Row],[Colonne22]]),FALSE),""),"[hh]:mm"))</f>
        <v>#VALUE!</v>
      </c>
      <c r="BE254" s="178" t="str">
        <f>IFERROR(VLOOKUP(T_BilanSocial[[#This Row],[NumL]],T_TraitDi[#Data],COLUMN(T_TraitDi[[#This Row],[Colonne23]]),FALSE),"")</f>
        <v/>
      </c>
      <c r="BF254" s="178" t="e">
        <f>IF(VLOOKUP(T_BilanSocial[[#This Row],[NumL]],T_TraitDi[#Data],COLUMN(T_TraitDi[[#This Row],[Colonne24]]),FALSE)=0,"",TEXT(IFERROR(VLOOKUP(T_BilanSocial[[#This Row],[NumL]],T_TraitDi[#Data],COLUMN(T_TraitDi[[#This Row],[Colonne24]]),FALSE),""),"[hh]:mm"))</f>
        <v>#VALUE!</v>
      </c>
      <c r="BG254" s="178" t="e">
        <f>IF(VLOOKUP(T_BilanSocial[[#This Row],[NumL]],T_TraitDi[#Data],COLUMN(T_TraitDi[[#This Row],[Colonne25]]),FALSE)=0,"",TEXT(IFERROR(VLOOKUP(T_BilanSocial[[#This Row],[NumL]],T_TraitDi[#Data],COLUMN(T_TraitDi[[#This Row],[Colonne25]]),FALSE),""),"[hh]:mm"))</f>
        <v>#VALUE!</v>
      </c>
      <c r="BH254" s="178" t="e">
        <f>IF(VLOOKUP(T_BilanSocial[[#This Row],[NumL]],T_TraitDi[#Data],COLUMN(T_TraitDi[[#This Row],[Colonne26]]),FALSE)=0,"",TEXT(IFERROR(VLOOKUP(T_BilanSocial[[#This Row],[NumL]],T_TraitDi[#Data],COLUMN(T_TraitDi[[#This Row],[Colonne26]]),FALSE),""),"[hh]:mm"))</f>
        <v>#VALUE!</v>
      </c>
      <c r="BI254" s="172" t="str">
        <f>IFERROR(VLOOKUP(T_BilanSocial[[#This Row],[NumL]],T_TraitDi[#Data],COLUMN(T_TraitDi[[#This Row],[Vendredi]]),FALSE),"")</f>
        <v/>
      </c>
      <c r="BJ254" s="172" t="e">
        <f>IF(VLOOKUP(T_BilanSocial[[#This Row],[NumL]],T_TraitDi[#Data],COLUMN(T_TraitDi[[#This Row],[Colonne27]]),FALSE)=0,"",TEXT(IFERROR(VLOOKUP(T_BilanSocial[[#This Row],[NumL]],T_TraitDi[#Data],COLUMN(T_TraitDi[[#This Row],[Colonne27]]),FALSE),""),"[hh]:mm"))</f>
        <v>#VALUE!</v>
      </c>
      <c r="BK254" s="172" t="e">
        <f>IF(VLOOKUP(T_BilanSocial[[#This Row],[NumL]],T_TraitDi[#Data],COLUMN(T_TraitDi[[#This Row],[Colonne28]]),FALSE)=0,"",TEXT(IFERROR(VLOOKUP(T_BilanSocial[[#This Row],[NumL]],T_TraitDi[#Data],COLUMN(T_TraitDi[[#This Row],[Colonne28]]),FALSE),""),"[hh]:mm"))</f>
        <v>#VALUE!</v>
      </c>
      <c r="BL254" s="172" t="str">
        <f>IFERROR(VLOOKUP(T_BilanSocial[[#This Row],[NumL]],T_TraitDi[#Data],COLUMN(T_TraitDi[[#This Row],[Colonne29]]),FALSE),"")</f>
        <v/>
      </c>
      <c r="BM254" s="172" t="e">
        <f>IF(VLOOKUP(T_BilanSocial[[#This Row],[NumL]],T_TraitDi[#Data],COLUMN(T_TraitDi[[#This Row],[Colonne30]]),FALSE)=0,"",TEXT(IFERROR(VLOOKUP(T_BilanSocial[[#This Row],[NumL]],T_TraitDi[#Data],COLUMN(T_TraitDi[[#This Row],[Colonne30]]),FALSE),""),"[hh]:mm"))</f>
        <v>#VALUE!</v>
      </c>
      <c r="BN254" s="172" t="e">
        <f>IF(VLOOKUP(T_BilanSocial[[#This Row],[NumL]],T_TraitDi[#Data],COLUMN(T_TraitDi[[#This Row],[Colonne31]]),FALSE)=0,"",TEXT(IFERROR(VLOOKUP(T_BilanSocial[[#This Row],[NumL]],T_TraitDi[#Data],COLUMN(T_TraitDi[[#This Row],[Colonne31]]),FALSE),""),"[hh]:mm"))</f>
        <v>#VALUE!</v>
      </c>
      <c r="BO254" s="172" t="e">
        <f>IF(VLOOKUP(T_BilanSocial[[#This Row],[NumL]],T_TraitDi[#Data],COLUMN(T_TraitDi[[#This Row],[Colonne32]]),FALSE)=0,"",TEXT(IFERROR(VLOOKUP(T_BilanSocial[[#This Row],[NumL]],T_TraitDi[#Data],COLUMN(T_TraitDi[[#This Row],[Colonne32]]),FALSE),""),"[hh]:mm"))</f>
        <v>#VALUE!</v>
      </c>
      <c r="BP254" s="172" t="e">
        <f>VLOOKUP(T_BilanSocial[[#This Row],[NumL]],T_TraitDi[#Data],COLUMN(T_TraitDi[NbJTot]),FALSE)</f>
        <v>#N/A</v>
      </c>
      <c r="BQ254" s="174" t="str">
        <f>IFERROR(VLOOKUP(T_BilanSocial[[#This Row],[NumL]],T_TraitDi[#Data],COLUMN(T_TraitDi[[#This Row],[NbJTW]]),FALSE),"")</f>
        <v/>
      </c>
      <c r="BR254" s="174" t="e">
        <f>IF(VLOOKUP(T_BilanSocial[[#This Row],[NumL]],T_TraitDi[#Data],COLUMN(T_TraitDi[[#This Row],[NbhTW]]),FALSE)=0,"",TEXT(IFERROR(VLOOKUP(T_BilanSocial[[#This Row],[NumL]],T_TraitDi[#Data],COLUMN(T_TraitDi[[#This Row],[NbhTW]]),FALSE),""),"[hh]:mm"))</f>
        <v>#VALUE!</v>
      </c>
      <c r="BS254" s="174" t="e">
        <f>IF(VLOOKUP(T_BilanSocial[[#This Row],[NumL]],T_TraitDi[#Data],COLUMN(T_TraitDi[[#This Row],[Nbhheb]]),FALSE)=0,"",TEXT(IFERROR(VLOOKUP($A254,T_TraitDi[#Data],COLUMN(T_TraitDi[[#This Row],[Nbhheb]]),FALSE),""),"[hh]:mm"))</f>
        <v>#VALUE!</v>
      </c>
      <c r="BT254" s="182" t="str">
        <f>IFERROR(VLOOKUP(VLOOKUP($A254,T_TraitDi[#Data],COLUMN(T_TraitDi[[#This Row],[Type1]]),FALSE),TypeTW,2,FALSE),"")</f>
        <v/>
      </c>
      <c r="BU254" s="182" t="str">
        <f>IFERROR(VLOOKUP($A254,T_TraitDi[#Data],COLUMN(T_TraitDi[[#This Row],[Rue1]]),FALSE),"")</f>
        <v/>
      </c>
      <c r="BV254" s="173" t="str">
        <f>IFERROR(VLOOKUP($A254,T_TraitDi[#Data],COLUMN(T_TraitDi[[#This Row],[CP1]]),FALSE),"")</f>
        <v/>
      </c>
      <c r="BW254" s="173" t="str">
        <f>IFERROR(VLOOKUP($A254,T_TraitDi[#Data],COLUMN(T_TraitDi[[#This Row],[VILLE1]]),FALSE),"")</f>
        <v/>
      </c>
      <c r="BX254" s="182" t="str">
        <f>IFERROR(VLOOKUP(VLOOKUP($A254,T_TraitDi[#Data],COLUMN(T_TraitDi[[#This Row],[Type2]]),FALSE),TypeTW,2,FALSE),"")</f>
        <v/>
      </c>
      <c r="BY254" s="182" t="str">
        <f>IFERROR(VLOOKUP($A254,T_TraitDi[#Data],COLUMN(T_TraitDi[[#This Row],[Rue2]]),FALSE),"")</f>
        <v/>
      </c>
      <c r="BZ254" s="173" t="str">
        <f>IFERROR(VLOOKUP($A254,T_TraitDi[#Data],COLUMN(T_TraitDi[[#This Row],[CP2]]),FALSE),"")</f>
        <v/>
      </c>
      <c r="CA254" s="173" t="str">
        <f>IFERROR(VLOOKUP($A254,T_TraitDi[#Data],COLUMN(T_TraitDi[[#This Row],[VILLE2]]),FALSE),"")</f>
        <v/>
      </c>
      <c r="CB254" s="182" t="str">
        <f>IF(VLOOKUP(T_BilanSocial[[#This Row],[NumL]],T_Equipement[#Data],COLUMN(T_Equipement[[#This Row],[PC]]),FALSE)="","Aucun équipement spécifique directement lié au télétravail",VLOOKUP(T_BilanSocial[[#This Row],[NumL]],T_Equipement[#Data],COLUMN(T_Equipement[[#This Row],[PC]]),FALSE))</f>
        <v xml:space="preserve">20-334	</v>
      </c>
      <c r="CC254" s="166" t="str">
        <f>IFERROR(IF(VLOOKUP(T_BilanSocial[[#This Row],[NumL]],T_TraitDi[#Data],COLUMN(T_TraitDi[[#This Row],[Plan]]),FALSE)="OK","Un planning spécifique de télétravail est annexé à la présente convention.",""),"")</f>
        <v/>
      </c>
      <c r="CD254" s="258" t="s">
        <v>3402</v>
      </c>
      <c r="CE254" s="164" t="e">
        <f>IF(VLOOKUP(T_BilanSocial[[#This Row],[NumL]],T_suiviDi[#Data],COLUMN(T_suiviDi[[#This Row],[Entité]]),FALSE)="","",VLOOKUP(T_BilanSocial[[#This Row],[NumL]],T_suiviDi[#Data],COLUMN(T_suiviDi[[#This Row],[Entité]]),FALSE))</f>
        <v>#VALUE!</v>
      </c>
      <c r="CF254" s="164" t="str">
        <f>IF(VLOOKUP(T_BilanSocial[[#This Row],[NumL]],T_Commission[#Data],COLUMN(T_Commission[[#This Row],[envoi confirm TW]]),FALSE)="","",VLOOKUP(T_BilanSocial[[#This Row],[NumL]],T_Commission[#Data],COLUMN(T_Commission[[#This Row],[envoi confirm TW]]),FALSE))</f>
        <v>Oui</v>
      </c>
      <c r="CG254"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4" s="262" t="str">
        <f>T_BilanSocial[[#This Row],[Nom]]&amp;T_BilanSocial[[#This Row],[Prenom]]</f>
        <v/>
      </c>
      <c r="CI254" s="262">
        <f>VLOOKUP(T_BilanSocial[[#This Row],[NumL]],T_Commission[#Data],COLUMN(T_Commission[Commentaire]),FALSE)</f>
        <v>0</v>
      </c>
      <c r="CJ254" s="262" t="str">
        <f>IF(VLOOKUP(T_BilanSocial[[#This Row],[NumL]],T_Commission[#Data],COLUMN(T_Commission[Encadrant Email]),FALSE)="","",VLOOKUP(T_BilanSocial[[#This Row],[NumL]],T_Commission[#Data],COLUMN(T_Commission[Encadrant Email]),FALSE))</f>
        <v/>
      </c>
      <c r="CK254" s="340" t="str">
        <f>IF(T_BilanSocial[[#This Row],[Final]]&lt;&gt;"",VLOOKUP(T_BilanSocial[[#This Row],[NumL]],T_suiviDi[#Data],COLUMN((T_suiviDi[Statut])),FALSE),"")</f>
        <v/>
      </c>
    </row>
    <row r="255" spans="1:89" s="106" customFormat="1" ht="24.75" customHeight="1" x14ac:dyDescent="0.25">
      <c r="A255" s="160">
        <v>252</v>
      </c>
      <c r="B255" s="161" t="e">
        <f t="shared" si="34"/>
        <v>#N/A</v>
      </c>
      <c r="C255" s="162" t="s">
        <v>173</v>
      </c>
      <c r="D255" s="95" t="e">
        <f>IF(VLOOKUP(T_BilanSocial[[#This Row],[NumL]],T_TraitDi[#Data],COLUMN(T_TraitDi[[#This Row],[WebC]]),FALSE)="","",VLOOKUP(T_BilanSocial[[#This Row],[NumL]],T_TraitDi[#Data],COLUMN(T_TraitDi[[#This Row],[WebC]]),FALSE))</f>
        <v>#VALUE!</v>
      </c>
      <c r="E255" s="163" t="str">
        <f t="shared" si="35"/>
        <v>12 janvier 2021</v>
      </c>
      <c r="F255" s="96" t="e">
        <f>IF(T_BilanSocial[[#This Row],[Final]]&lt;&gt;"",VLOOKUP(T_BilanSocial[[#This Row],[NumL]],T_suiviDi[#Data],COLUMN((T_suiviDi[Civ.])),FALSE),"")</f>
        <v>#N/A</v>
      </c>
      <c r="G255" s="96" t="e">
        <f>IF(T_BilanSocial[[#This Row],[Final]]&lt;&gt;"",VLOOKUP(T_BilanSocial[[#This Row],[NumL]],T_suiviDi[#Data],COLUMN((T_suiviDi[Nom])),FALSE),"")</f>
        <v>#N/A</v>
      </c>
      <c r="H255" s="96" t="e">
        <f>IF(T_BilanSocial[[#This Row],[Final]]&lt;&gt;"",VLOOKUP(T_BilanSocial[[#This Row],[NumL]],T_suiviDi[#Data],COLUMN((T_suiviDi[Prénom])),FALSE),"")</f>
        <v>#N/A</v>
      </c>
      <c r="I255" s="96" t="str">
        <f>IFERROR(VLOOKUP(T_BilanSocial[[#This Row],[Zone_Bilan]],T_P_BilanSocial[#Data],COLUMN(T_P_BilanSocial[[#This Row],[Numero_SIHAM]]),FALSE),"")</f>
        <v/>
      </c>
      <c r="J255" s="96" t="str">
        <f>IFERROR(VLOOKUP(T_BilanSocial[[#This Row],[Zone_Bilan]],T_P_BilanSocial[#Data],COLUMN(T_P_BilanSocial[[#This Row],[Sexe]]),FALSE),"")</f>
        <v/>
      </c>
      <c r="K255" s="97" t="str">
        <f>IFERROR(VLOOKUP(T_BilanSocial[[#This Row],[Zone_Bilan]],T_P_BilanSocial[#Data],COLUMN(T_P_BilanSocial[[#This Row],[Categorie]]),FALSE),"")</f>
        <v/>
      </c>
      <c r="L255" s="96" t="str">
        <f>IFERROR(VLOOKUP(T_BilanSocial[[#This Row],[Zone_Bilan]],T_P_BilanSocial[#Data],COLUMN(T_P_BilanSocial[[#This Row],[Statut]]),FALSE),"")</f>
        <v/>
      </c>
      <c r="M255" s="96" t="str">
        <f>IFERROR(VLOOKUP(T_BilanSocial[[#This Row],[Zone_Bilan]],T_P_BilanSocial[#Data],COLUMN(T_P_BilanSocial[[#This Row],[Filiere]]),FALSE),"")</f>
        <v/>
      </c>
      <c r="N255" s="96" t="e">
        <f>VLOOKUP(T_BilanSocial[[#This Row],[NumL]],T_TraitDi[#Data],COLUMN(T_TraitDi[EXP]),FALSE)</f>
        <v>#N/A</v>
      </c>
      <c r="O255" s="96" t="e">
        <f>VLOOKUP(T_BilanSocial[[#This Row],[NumL]],T_TraitDi[#Data],COLUMN(T_TraitDi[FORM]),FALSE)</f>
        <v>#N/A</v>
      </c>
      <c r="P255" s="96" t="e">
        <f>IF(T_BilanSocial[[#This Row],[Final]]&lt;&gt;"",VLOOKUP(T_BilanSocial[[#This Row],[NumL]],T_suiviDi[#Data],COLUMN((T_suiviDi[Email])),FALSE),"")</f>
        <v>#N/A</v>
      </c>
      <c r="Q255" s="164" t="e">
        <f t="shared" si="40"/>
        <v>#N/A</v>
      </c>
      <c r="R255" s="164" t="e">
        <f t="shared" si="41"/>
        <v>#N/A</v>
      </c>
      <c r="S255" s="164" t="e">
        <f>IF(VLOOKUP(T_BilanSocial[[#This Row],[NumL]],T_suiviDi[#Data],COLUMN(T_suiviDi[[#This Row],[Service ]]),FALSE)="","",VLOOKUP(T_BilanSocial[[#This Row],[NumL]],T_suiviDi[#Data],COLUMN(T_suiviDi[[#This Row],[Service ]]),FALSE))</f>
        <v>#VALUE!</v>
      </c>
      <c r="T255" s="164" t="str">
        <f t="shared" si="36"/>
        <v>01 septembre 2021</v>
      </c>
      <c r="U255" s="164" t="str">
        <f t="shared" si="37"/>
        <v>30 novembre 2021</v>
      </c>
      <c r="V255" s="96" t="str">
        <f t="shared" si="44"/>
        <v>30 novembre 2021</v>
      </c>
      <c r="W255" s="176" t="e">
        <f>IF(VLOOKUP(T_BilanSocial[[#This Row],[NumL]],T_TraitDi[#Data],COLUMN(T_TraitDi[[#This Row],[M1]]),FALSE)="","",VLOOKUP(T_BilanSocial[[#This Row],[NumL]],T_TraitDi[#Data],COLUMN(T_TraitDi[[#This Row],[M1]]),FALSE))</f>
        <v>#VALUE!</v>
      </c>
      <c r="X255" s="176" t="e">
        <f>IF(VLOOKUP(T_BilanSocial[[#This Row],[NumL]],T_TraitDi[#Data],COLUMN(T_TraitDi[[#This Row],[M2]]),FALSE)="","",VLOOKUP(T_BilanSocial[[#This Row],[NumL]],T_TraitDi[#Data],COLUMN(T_TraitDi[[#This Row],[M2]]),FALSE))</f>
        <v>#VALUE!</v>
      </c>
      <c r="Y255" s="176" t="e">
        <f>IF(VLOOKUP(T_BilanSocial[[#This Row],[NumL]],T_TraitDi[#Data],COLUMN(T_TraitDi[[#This Row],[M3]]),FALSE)="","",VLOOKUP(T_BilanSocial[[#This Row],[NumL]],T_TraitDi[#Data],COLUMN(T_TraitDi[[#This Row],[M3]]),FALSE))</f>
        <v>#VALUE!</v>
      </c>
      <c r="Z255" s="176" t="str">
        <f t="shared" si="39"/>
        <v/>
      </c>
      <c r="AA255" s="176" t="e">
        <f>IF(VLOOKUP(T_BilanSocial[[#This Row],[NumL]],T_TraitDi[#Data],COLUMN(T_TraitDi[[#This Row],[M5]]),FALSE)="","",VLOOKUP(T_BilanSocial[[#This Row],[NumL]],T_TraitDi[#Data],COLUMN(T_TraitDi[[#This Row],[M5]]),FALSE))</f>
        <v>#VALUE!</v>
      </c>
      <c r="AB255" s="176" t="e">
        <f>IF(VLOOKUP(T_BilanSocial[[#This Row],[NumL]],T_TraitDi[#Data],COLUMN(T_TraitDi[[#This Row],[M6]]),FALSE)="","",VLOOKUP(T_BilanSocial[[#This Row],[NumL]],T_TraitDi[#Data],COLUMN(T_TraitDi[[#This Row],[M6]]),FALSE))</f>
        <v>#VALUE!</v>
      </c>
      <c r="AC255" s="165" t="e">
        <f t="shared" si="38"/>
        <v>#VALUE!</v>
      </c>
      <c r="AD255" s="188" t="str">
        <f>IFERROR(TEXT(VLOOKUP(T_BilanSocial[[#This Row],[NumL]],T_TraitDi[#Data],COLUMN(T_TraitDi[[#This Row],[Q2]]),FALSE),"###%"),"")</f>
        <v/>
      </c>
      <c r="AE255" s="97" t="e">
        <f>VLOOKUP(T_BilanSocial[[#This Row],[NumL]],T_TraitDi[#Data],COLUMN(T_TraitDi[[#This Row],[Reg Ponct]]),FALSE)</f>
        <v>#VALUE!</v>
      </c>
      <c r="AF255" s="97" t="e">
        <f>VLOOKUP(T_BilanSocial[NumL],T_TraitDi[#Data],COLUMN(T_TraitDi[[#This Row],[Jours flottants]]),FALSE)</f>
        <v>#VALUE!</v>
      </c>
      <c r="AG255" s="97" t="str">
        <f>IFERROR(VLOOKUP(T_BilanSocial[[#This Row],[NumL]],T_TraitDi[#Data],COLUMN(T_TraitDi[[#This Row],[Lundi]]),FALSE),"")</f>
        <v/>
      </c>
      <c r="AH255" s="172" t="e">
        <f>IF(VLOOKUP(T_BilanSocial[[#This Row],[NumL]],T_TraitDi[#Data],COLUMN(T_TraitDi[[#This Row],[Colonne3]]),FALSE)=0,"",TEXT(IFERROR(VLOOKUP(T_BilanSocial[[#This Row],[NumL]],T_TraitDi[#Data],COLUMN(T_TraitDi[[#This Row],[Colonne3]]),FALSE),""),"[hh]:mm"))</f>
        <v>#VALUE!</v>
      </c>
      <c r="AI255" s="172" t="e">
        <f>IF(VLOOKUP(T_BilanSocial[[#This Row],[NumL]],T_TraitDi[#Data],COLUMN(T_TraitDi[[#This Row],[Colonne4]]),FALSE)=0,"",TEXT(IFERROR(VLOOKUP(T_BilanSocial[[#This Row],[NumL]],T_TraitDi[#Data],COLUMN(T_TraitDi[[#This Row],[Colonne4]]),FALSE),""),"[hh]:mm"))</f>
        <v>#VALUE!</v>
      </c>
      <c r="AJ255" s="172" t="e">
        <f>IF(VLOOKUP(T_BilanSocial[[#This Row],[NumL]],T_TraitDi[#Data],COLUMN(T_TraitDi[[#This Row],[Colonne5]]),FALSE)=0,"",TEXT(IFERROR(VLOOKUP(T_BilanSocial[[#This Row],[NumL]],T_TraitDi[#Data],COLUMN(T_TraitDi[[#This Row],[Colonne5]]),FALSE),""),"[hh]:mm"))</f>
        <v>#VALUE!</v>
      </c>
      <c r="AK255" s="172" t="e">
        <f>IF(VLOOKUP(T_BilanSocial[[#This Row],[NumL]],T_TraitDi[#Data],COLUMN(T_TraitDi[[#This Row],[Colonne6]]),FALSE)=0,"",TEXT(IFERROR(VLOOKUP(T_BilanSocial[[#This Row],[NumL]],T_TraitDi[#Data],COLUMN(T_TraitDi[[#This Row],[Colonne6]]),FALSE),""),"[hh]:mm"))</f>
        <v>#VALUE!</v>
      </c>
      <c r="AL255" s="172" t="e">
        <f>IF(VLOOKUP(T_BilanSocial[[#This Row],[NumL]],T_TraitDi[#Data],COLUMN(T_TraitDi[[#This Row],[Colonne7]]),FALSE)=0,"",TEXT(IFERROR(VLOOKUP(T_BilanSocial[[#This Row],[NumL]],T_TraitDi[#Data],COLUMN(T_TraitDi[[#This Row],[Colonne7]]),FALSE),""),"[hh]:mm"))</f>
        <v>#VALUE!</v>
      </c>
      <c r="AM255" s="172" t="e">
        <f>IF(VLOOKUP(T_BilanSocial[[#This Row],[NumL]],T_TraitDi[#Data],COLUMN(T_TraitDi[[#This Row],[Colonne8]]),FALSE)=0,"",TEXT(IFERROR(VLOOKUP(T_BilanSocial[[#This Row],[NumL]],T_TraitDi[#Data],COLUMN(T_TraitDi[[#This Row],[Colonne8]]),FALSE),""),"[hh]:mm"))</f>
        <v>#VALUE!</v>
      </c>
      <c r="AN255" s="172" t="str">
        <f>IFERROR(VLOOKUP(T_BilanSocial[[#This Row],[NumL]],T_TraitDi[#Data],COLUMN(T_TraitDi[[#This Row],[Mardi]]),FALSE),"")</f>
        <v/>
      </c>
      <c r="AO255" s="172" t="e">
        <f>IF(VLOOKUP(T_BilanSocial[[#This Row],[NumL]],T_TraitDi[#Data],COLUMN(T_TraitDi[[#This Row],[Colonne1]]),FALSE)=0,"",TEXT(IFERROR(VLOOKUP(T_BilanSocial[[#This Row],[NumL]],T_TraitDi[#Data],COLUMN(T_TraitDi[[#This Row],[Colonne1]]),FALSE),""),"[hh]:mm"))</f>
        <v>#VALUE!</v>
      </c>
      <c r="AP255" s="172" t="e">
        <f>IF(VLOOKUP(T_BilanSocial[[#This Row],[NumL]],T_TraitDi[#Data],COLUMN(T_TraitDi[[#This Row],[Colonne9]]),FALSE)=0,"",TEXT(IFERROR(VLOOKUP(T_BilanSocial[[#This Row],[NumL]],T_TraitDi[#Data],COLUMN(T_TraitDi[[#This Row],[Colonne9]]),FALSE),""),"[hh]:mm"))</f>
        <v>#VALUE!</v>
      </c>
      <c r="AQ255" s="172" t="str">
        <f>IFERROR(VLOOKUP(T_BilanSocial[[#This Row],[NumL]],T_TraitDi[#Data],COLUMN(T_TraitDi[[#This Row],[Colonne10]]),FALSE),"")</f>
        <v/>
      </c>
      <c r="AR255" s="172" t="e">
        <f>IF(VLOOKUP(T_BilanSocial[[#This Row],[NumL]],T_TraitDi[#Data],COLUMN(T_TraitDi[[#This Row],[Colonne11]]),FALSE)=0,"",TEXT(IFERROR(VLOOKUP(T_BilanSocial[[#This Row],[NumL]],T_TraitDi[#Data],COLUMN(T_TraitDi[[#This Row],[Colonne11]]),FALSE),""),"[hh]:mm"))</f>
        <v>#VALUE!</v>
      </c>
      <c r="AS255" s="172" t="e">
        <f>IF(VLOOKUP(T_BilanSocial[[#This Row],[NumL]],T_TraitDi[#Data],COLUMN(T_TraitDi[[#This Row],[Colonne12]]),FALSE)=0,"",TEXT(IFERROR(VLOOKUP(T_BilanSocial[[#This Row],[NumL]],T_TraitDi[#Data],COLUMN(T_TraitDi[[#This Row],[Colonne12]]),FALSE),""),"[hh]:mm"))</f>
        <v>#VALUE!</v>
      </c>
      <c r="AT255" s="172" t="e">
        <f>IF(VLOOKUP(T_BilanSocial[[#This Row],[NumL]],T_TraitDi[#Data],COLUMN(T_TraitDi[[#This Row],[Colonne14]]),FALSE)=0,"",TEXT(IFERROR(VLOOKUP(T_BilanSocial[[#This Row],[NumL]],T_TraitDi[#Data],COLUMN(T_TraitDi[[#This Row],[Colonne14]]),FALSE),""),"[hh]:mm"))</f>
        <v>#VALUE!</v>
      </c>
      <c r="AU255" s="172" t="str">
        <f>IFERROR(VLOOKUP(T_BilanSocial[[#This Row],[NumL]],T_TraitDi[#Data],COLUMN(T_TraitDi[[#This Row],[Mercredi]]),FALSE),"")</f>
        <v/>
      </c>
      <c r="AV255" s="172" t="e">
        <f>IF(VLOOKUP(T_BilanSocial[[#This Row],[NumL]],T_TraitDi[#Data],COLUMN(T_TraitDi[[#This Row],[Colonne15]]),FALSE)=0,"",TEXT(IFERROR(VLOOKUP(T_BilanSocial[[#This Row],[NumL]],T_TraitDi[#Data],COLUMN(T_TraitDi[[#This Row],[Colonne15]]),FALSE),""),"[hh]:mm"))</f>
        <v>#VALUE!</v>
      </c>
      <c r="AW255" s="172" t="e">
        <f>IF(VLOOKUP(T_BilanSocial[[#This Row],[NumL]],T_TraitDi[#Data],COLUMN(T_TraitDi[[#This Row],[Colonne16]]),FALSE)=0,"",TEXT(IFERROR(VLOOKUP(T_BilanSocial[[#This Row],[NumL]],T_TraitDi[#Data],COLUMN(T_TraitDi[[#This Row],[Colonne16]]),FALSE),""),"[hh]:mm"))</f>
        <v>#VALUE!</v>
      </c>
      <c r="AX255" s="172" t="str">
        <f>IFERROR(VLOOKUP(T_BilanSocial[[#This Row],[NumL]],T_TraitDi[#Data],COLUMN(T_TraitDi[[#This Row],[Colonne17]]),FALSE),"")</f>
        <v/>
      </c>
      <c r="AY255" s="172" t="e">
        <f>IF(VLOOKUP(T_BilanSocial[[#This Row],[NumL]],T_TraitDi[#Data],COLUMN(T_TraitDi[[#This Row],[Colonne18]]),FALSE)=0,"",TEXT(IFERROR(VLOOKUP(T_BilanSocial[[#This Row],[NumL]],T_TraitDi[#Data],COLUMN(T_TraitDi[[#This Row],[Colonne18]]),FALSE),""),"[hh]:mm"))</f>
        <v>#VALUE!</v>
      </c>
      <c r="AZ255" s="172" t="e">
        <f>IF(VLOOKUP(T_BilanSocial[[#This Row],[NumL]],T_TraitDi[#Data],COLUMN(T_TraitDi[[#This Row],[Colonne19]]),FALSE)=0,"",TEXT(IFERROR(VLOOKUP(T_BilanSocial[[#This Row],[NumL]],T_TraitDi[#Data],COLUMN(T_TraitDi[[#This Row],[Colonne19]]),FALSE),""),"[hh]:mm"))</f>
        <v>#VALUE!</v>
      </c>
      <c r="BA255" s="172" t="e">
        <f>IF(VLOOKUP(T_BilanSocial[[#This Row],[NumL]],T_TraitDi[#Data],COLUMN(T_TraitDi[[#This Row],[Colonne20]]),FALSE)=0,"",TEXT(IFERROR(VLOOKUP(T_BilanSocial[[#This Row],[NumL]],T_TraitDi[#Data],COLUMN(T_TraitDi[[#This Row],[Colonne20]]),FALSE),""),"[hh]:mm"))</f>
        <v>#VALUE!</v>
      </c>
      <c r="BB255" s="178" t="str">
        <f>IFERROR(VLOOKUP(T_BilanSocial[[#This Row],[NumL]],T_TraitDi[#Data],COLUMN(T_TraitDi[[#This Row],[Jeudi]]),FALSE),"")</f>
        <v/>
      </c>
      <c r="BC255" s="178" t="e">
        <f>IF(VLOOKUP(T_BilanSocial[[#This Row],[NumL]],T_TraitDi[#Data],COLUMN(T_TraitDi[[#This Row],[Colonne21]]),FALSE)=0,"",TEXT(IFERROR(VLOOKUP(T_BilanSocial[[#This Row],[NumL]],T_TraitDi[#Data],COLUMN(T_TraitDi[[#This Row],[Colonne21]]),FALSE),""),"[hh]:mm"))</f>
        <v>#VALUE!</v>
      </c>
      <c r="BD255" s="178" t="e">
        <f>IF(VLOOKUP(T_BilanSocial[[#This Row],[NumL]],T_TraitDi[#Data],COLUMN(T_TraitDi[[#This Row],[Colonne22]]),FALSE)=0,"",TEXT(IFERROR(VLOOKUP(T_BilanSocial[[#This Row],[NumL]],T_TraitDi[#Data],COLUMN(T_TraitDi[[#This Row],[Colonne22]]),FALSE),""),"[hh]:mm"))</f>
        <v>#VALUE!</v>
      </c>
      <c r="BE255" s="178" t="str">
        <f>IFERROR(VLOOKUP(T_BilanSocial[[#This Row],[NumL]],T_TraitDi[#Data],COLUMN(T_TraitDi[[#This Row],[Colonne23]]),FALSE),"")</f>
        <v/>
      </c>
      <c r="BF255" s="178" t="e">
        <f>IF(VLOOKUP(T_BilanSocial[[#This Row],[NumL]],T_TraitDi[#Data],COLUMN(T_TraitDi[[#This Row],[Colonne24]]),FALSE)=0,"",TEXT(IFERROR(VLOOKUP(T_BilanSocial[[#This Row],[NumL]],T_TraitDi[#Data],COLUMN(T_TraitDi[[#This Row],[Colonne24]]),FALSE),""),"[hh]:mm"))</f>
        <v>#VALUE!</v>
      </c>
      <c r="BG255" s="178" t="e">
        <f>IF(VLOOKUP(T_BilanSocial[[#This Row],[NumL]],T_TraitDi[#Data],COLUMN(T_TraitDi[[#This Row],[Colonne25]]),FALSE)=0,"",TEXT(IFERROR(VLOOKUP(T_BilanSocial[[#This Row],[NumL]],T_TraitDi[#Data],COLUMN(T_TraitDi[[#This Row],[Colonne25]]),FALSE),""),"[hh]:mm"))</f>
        <v>#VALUE!</v>
      </c>
      <c r="BH255" s="178" t="e">
        <f>IF(VLOOKUP(T_BilanSocial[[#This Row],[NumL]],T_TraitDi[#Data],COLUMN(T_TraitDi[[#This Row],[Colonne26]]),FALSE)=0,"",TEXT(IFERROR(VLOOKUP(T_BilanSocial[[#This Row],[NumL]],T_TraitDi[#Data],COLUMN(T_TraitDi[[#This Row],[Colonne26]]),FALSE),""),"[hh]:mm"))</f>
        <v>#VALUE!</v>
      </c>
      <c r="BI255" s="172" t="str">
        <f>IFERROR(VLOOKUP(T_BilanSocial[[#This Row],[NumL]],T_TraitDi[#Data],COLUMN(T_TraitDi[[#This Row],[Vendredi]]),FALSE),"")</f>
        <v/>
      </c>
      <c r="BJ255" s="172" t="e">
        <f>IF(VLOOKUP(T_BilanSocial[[#This Row],[NumL]],T_TraitDi[#Data],COLUMN(T_TraitDi[[#This Row],[Colonne27]]),FALSE)=0,"",TEXT(IFERROR(VLOOKUP(T_BilanSocial[[#This Row],[NumL]],T_TraitDi[#Data],COLUMN(T_TraitDi[[#This Row],[Colonne27]]),FALSE),""),"[hh]:mm"))</f>
        <v>#VALUE!</v>
      </c>
      <c r="BK255" s="172" t="e">
        <f>IF(VLOOKUP(T_BilanSocial[[#This Row],[NumL]],T_TraitDi[#Data],COLUMN(T_TraitDi[[#This Row],[Colonne28]]),FALSE)=0,"",TEXT(IFERROR(VLOOKUP(T_BilanSocial[[#This Row],[NumL]],T_TraitDi[#Data],COLUMN(T_TraitDi[[#This Row],[Colonne28]]),FALSE),""),"[hh]:mm"))</f>
        <v>#VALUE!</v>
      </c>
      <c r="BL255" s="172" t="str">
        <f>IFERROR(VLOOKUP(T_BilanSocial[[#This Row],[NumL]],T_TraitDi[#Data],COLUMN(T_TraitDi[[#This Row],[Colonne29]]),FALSE),"")</f>
        <v/>
      </c>
      <c r="BM255" s="172" t="e">
        <f>IF(VLOOKUP(T_BilanSocial[[#This Row],[NumL]],T_TraitDi[#Data],COLUMN(T_TraitDi[[#This Row],[Colonne30]]),FALSE)=0,"",TEXT(IFERROR(VLOOKUP(T_BilanSocial[[#This Row],[NumL]],T_TraitDi[#Data],COLUMN(T_TraitDi[[#This Row],[Colonne30]]),FALSE),""),"[hh]:mm"))</f>
        <v>#VALUE!</v>
      </c>
      <c r="BN255" s="172" t="e">
        <f>IF(VLOOKUP(T_BilanSocial[[#This Row],[NumL]],T_TraitDi[#Data],COLUMN(T_TraitDi[[#This Row],[Colonne31]]),FALSE)=0,"",TEXT(IFERROR(VLOOKUP(T_BilanSocial[[#This Row],[NumL]],T_TraitDi[#Data],COLUMN(T_TraitDi[[#This Row],[Colonne31]]),FALSE),""),"[hh]:mm"))</f>
        <v>#VALUE!</v>
      </c>
      <c r="BO255" s="172" t="e">
        <f>IF(VLOOKUP(T_BilanSocial[[#This Row],[NumL]],T_TraitDi[#Data],COLUMN(T_TraitDi[[#This Row],[Colonne32]]),FALSE)=0,"",TEXT(IFERROR(VLOOKUP(T_BilanSocial[[#This Row],[NumL]],T_TraitDi[#Data],COLUMN(T_TraitDi[[#This Row],[Colonne32]]),FALSE),""),"[hh]:mm"))</f>
        <v>#VALUE!</v>
      </c>
      <c r="BP255" s="172" t="e">
        <f>VLOOKUP(T_BilanSocial[[#This Row],[NumL]],T_TraitDi[#Data],COLUMN(T_TraitDi[NbJTot]),FALSE)</f>
        <v>#N/A</v>
      </c>
      <c r="BQ255" s="174" t="str">
        <f>IFERROR(VLOOKUP(T_BilanSocial[[#This Row],[NumL]],T_TraitDi[#Data],COLUMN(T_TraitDi[[#This Row],[NbJTW]]),FALSE),"")</f>
        <v/>
      </c>
      <c r="BR255" s="174" t="e">
        <f>IF(VLOOKUP(T_BilanSocial[[#This Row],[NumL]],T_TraitDi[#Data],COLUMN(T_TraitDi[[#This Row],[NbhTW]]),FALSE)=0,"",TEXT(IFERROR(VLOOKUP(T_BilanSocial[[#This Row],[NumL]],T_TraitDi[#Data],COLUMN(T_TraitDi[[#This Row],[NbhTW]]),FALSE),""),"[hh]:mm"))</f>
        <v>#VALUE!</v>
      </c>
      <c r="BS255" s="174" t="e">
        <f>IF(VLOOKUP(T_BilanSocial[[#This Row],[NumL]],T_TraitDi[#Data],COLUMN(T_TraitDi[[#This Row],[Nbhheb]]),FALSE)=0,"",TEXT(IFERROR(VLOOKUP($A255,T_TraitDi[#Data],COLUMN(T_TraitDi[[#This Row],[Nbhheb]]),FALSE),""),"[hh]:mm"))</f>
        <v>#VALUE!</v>
      </c>
      <c r="BT255" s="182" t="str">
        <f>IFERROR(VLOOKUP(VLOOKUP($A255,T_TraitDi[#Data],COLUMN(T_TraitDi[[#This Row],[Type1]]),FALSE),TypeTW,2,FALSE),"")</f>
        <v/>
      </c>
      <c r="BU255" s="182" t="str">
        <f>IFERROR(VLOOKUP($A255,T_TraitDi[#Data],COLUMN(T_TraitDi[[#This Row],[Rue1]]),FALSE),"")</f>
        <v/>
      </c>
      <c r="BV255" s="173" t="str">
        <f>IFERROR(VLOOKUP($A255,T_TraitDi[#Data],COLUMN(T_TraitDi[[#This Row],[CP1]]),FALSE),"")</f>
        <v/>
      </c>
      <c r="BW255" s="173" t="str">
        <f>IFERROR(VLOOKUP($A255,T_TraitDi[#Data],COLUMN(T_TraitDi[[#This Row],[VILLE1]]),FALSE),"")</f>
        <v/>
      </c>
      <c r="BX255" s="182" t="str">
        <f>IFERROR(VLOOKUP(VLOOKUP($A255,T_TraitDi[#Data],COLUMN(T_TraitDi[[#This Row],[Type2]]),FALSE),TypeTW,2,FALSE),"")</f>
        <v/>
      </c>
      <c r="BY255" s="182" t="str">
        <f>IFERROR(VLOOKUP($A255,T_TraitDi[#Data],COLUMN(T_TraitDi[[#This Row],[Rue2]]),FALSE),"")</f>
        <v/>
      </c>
      <c r="BZ255" s="173" t="str">
        <f>IFERROR(VLOOKUP($A255,T_TraitDi[#Data],COLUMN(T_TraitDi[[#This Row],[CP2]]),FALSE),"")</f>
        <v/>
      </c>
      <c r="CA255" s="173" t="str">
        <f>IFERROR(VLOOKUP($A255,T_TraitDi[#Data],COLUMN(T_TraitDi[[#This Row],[VILLE2]]),FALSE),"")</f>
        <v/>
      </c>
      <c r="CB255" s="182" t="e">
        <f>IF(VLOOKUP(T_BilanSocial[[#This Row],[NumL]],T_Equipement[#Data],COLUMN(T_Equipement[[#This Row],[PC]]),FALSE)="","Aucun équipement spécifique directement lié au télétravail",VLOOKUP(T_BilanSocial[[#This Row],[NumL]],T_Equipement[#Data],COLUMN(T_Equipement[[#This Row],[PC]]),FALSE))</f>
        <v>#N/A</v>
      </c>
      <c r="CC255" s="166" t="str">
        <f>IFERROR(IF(VLOOKUP(T_BilanSocial[[#This Row],[NumL]],T_TraitDi[#Data],COLUMN(T_TraitDi[[#This Row],[Plan]]),FALSE)="OK","Un planning spécifique de télétravail est annexé à la présente convention.",""),"")</f>
        <v/>
      </c>
      <c r="CD255" s="258" t="s">
        <v>3444</v>
      </c>
      <c r="CE255" s="164" t="e">
        <f>IF(VLOOKUP(T_BilanSocial[[#This Row],[NumL]],T_suiviDi[#Data],COLUMN(T_suiviDi[[#This Row],[Entité]]),FALSE)="","",VLOOKUP(T_BilanSocial[[#This Row],[NumL]],T_suiviDi[#Data],COLUMN(T_suiviDi[[#This Row],[Entité]]),FALSE))</f>
        <v>#VALUE!</v>
      </c>
      <c r="CF255" s="164" t="e">
        <f>IF(VLOOKUP(T_BilanSocial[[#This Row],[NumL]],T_Commission[#Data],COLUMN(T_Commission[[#This Row],[envoi confirm TW]]),FALSE)="","",VLOOKUP(T_BilanSocial[[#This Row],[NumL]],T_Commission[#Data],COLUMN(T_Commission[[#This Row],[envoi confirm TW]]),FALSE))</f>
        <v>#N/A</v>
      </c>
      <c r="CG25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5" s="262" t="e">
        <f>T_BilanSocial[[#This Row],[Nom]]&amp;T_BilanSocial[[#This Row],[Prenom]]</f>
        <v>#N/A</v>
      </c>
      <c r="CI255" s="262" t="e">
        <f>VLOOKUP(T_BilanSocial[[#This Row],[NumL]],T_Commission[#Data],COLUMN(T_Commission[Commentaire]),FALSE)</f>
        <v>#N/A</v>
      </c>
      <c r="CJ255" s="262" t="e">
        <f>IF(VLOOKUP(T_BilanSocial[[#This Row],[NumL]],T_Commission[#Data],COLUMN(T_Commission[Encadrant Email]),FALSE)="","",VLOOKUP(T_BilanSocial[[#This Row],[NumL]],T_Commission[#Data],COLUMN(T_Commission[Encadrant Email]),FALSE))</f>
        <v>#N/A</v>
      </c>
      <c r="CK255" s="340" t="e">
        <f>IF(T_BilanSocial[[#This Row],[Final]]&lt;&gt;"",VLOOKUP(T_BilanSocial[[#This Row],[NumL]],T_suiviDi[#Data],COLUMN((T_suiviDi[Statut])),FALSE),"")</f>
        <v>#N/A</v>
      </c>
    </row>
    <row r="256" spans="1:89" s="106" customFormat="1" ht="24.75" customHeight="1" x14ac:dyDescent="0.25">
      <c r="A256" s="160">
        <v>253</v>
      </c>
      <c r="B256" s="161" t="str">
        <f t="shared" si="34"/>
        <v/>
      </c>
      <c r="C256" s="162" t="s">
        <v>3287</v>
      </c>
      <c r="D256" s="95" t="e">
        <f>IF(VLOOKUP(T_BilanSocial[[#This Row],[NumL]],T_TraitDi[#Data],COLUMN(T_TraitDi[[#This Row],[WebC]]),FALSE)="","",VLOOKUP(T_BilanSocial[[#This Row],[NumL]],T_TraitDi[#Data],COLUMN(T_TraitDi[[#This Row],[WebC]]),FALSE))</f>
        <v>#VALUE!</v>
      </c>
      <c r="E256" s="163" t="str">
        <f t="shared" si="35"/>
        <v>12 janvier 2021</v>
      </c>
      <c r="F256" s="96" t="str">
        <f>IF(T_BilanSocial[[#This Row],[Final]]&lt;&gt;"",VLOOKUP(T_BilanSocial[[#This Row],[NumL]],T_suiviDi[#Data],COLUMN((T_suiviDi[Civ.])),FALSE),"")</f>
        <v/>
      </c>
      <c r="G256" s="96" t="str">
        <f>IF(T_BilanSocial[[#This Row],[Final]]&lt;&gt;"",VLOOKUP(T_BilanSocial[[#This Row],[NumL]],T_suiviDi[#Data],COLUMN((T_suiviDi[Nom])),FALSE),"")</f>
        <v/>
      </c>
      <c r="H256" s="96" t="str">
        <f>IF(T_BilanSocial[[#This Row],[Final]]&lt;&gt;"",VLOOKUP(T_BilanSocial[[#This Row],[NumL]],T_suiviDi[#Data],COLUMN((T_suiviDi[Prénom])),FALSE),"")</f>
        <v/>
      </c>
      <c r="I256" s="96" t="str">
        <f>IFERROR(VLOOKUP(T_BilanSocial[[#This Row],[Zone_Bilan]],T_P_BilanSocial[#Data],COLUMN(T_P_BilanSocial[[#This Row],[Numero_SIHAM]]),FALSE),"")</f>
        <v/>
      </c>
      <c r="J256" s="96" t="str">
        <f>IFERROR(VLOOKUP(T_BilanSocial[[#This Row],[Zone_Bilan]],T_P_BilanSocial[#Data],COLUMN(T_P_BilanSocial[[#This Row],[Sexe]]),FALSE),"")</f>
        <v/>
      </c>
      <c r="K256" s="97" t="str">
        <f>IFERROR(VLOOKUP(T_BilanSocial[[#This Row],[Zone_Bilan]],T_P_BilanSocial[#Data],COLUMN(T_P_BilanSocial[[#This Row],[Categorie]]),FALSE),"")</f>
        <v/>
      </c>
      <c r="L256" s="96" t="str">
        <f>IFERROR(VLOOKUP(T_BilanSocial[[#This Row],[Zone_Bilan]],T_P_BilanSocial[#Data],COLUMN(T_P_BilanSocial[[#This Row],[Statut]]),FALSE),"")</f>
        <v/>
      </c>
      <c r="M256" s="96" t="str">
        <f>IFERROR(VLOOKUP(T_BilanSocial[[#This Row],[Zone_Bilan]],T_P_BilanSocial[#Data],COLUMN(T_P_BilanSocial[[#This Row],[Filiere]]),FALSE),"")</f>
        <v/>
      </c>
      <c r="N256" s="96" t="e">
        <f>VLOOKUP(T_BilanSocial[[#This Row],[NumL]],T_TraitDi[#Data],COLUMN(T_TraitDi[EXP]),FALSE)</f>
        <v>#N/A</v>
      </c>
      <c r="O256" s="96" t="e">
        <f>VLOOKUP(T_BilanSocial[[#This Row],[NumL]],T_TraitDi[#Data],COLUMN(T_TraitDi[FORM]),FALSE)</f>
        <v>#N/A</v>
      </c>
      <c r="P256" s="96" t="str">
        <f>IF(T_BilanSocial[[#This Row],[Final]]&lt;&gt;"",VLOOKUP(T_BilanSocial[[#This Row],[NumL]],T_suiviDi[#Data],COLUMN((T_suiviDi[Email])),FALSE),"")</f>
        <v/>
      </c>
      <c r="Q256" s="164" t="e">
        <f t="shared" si="40"/>
        <v>#N/A</v>
      </c>
      <c r="R256" s="164" t="e">
        <f t="shared" si="41"/>
        <v>#N/A</v>
      </c>
      <c r="S256" s="164" t="e">
        <f>IF(VLOOKUP(T_BilanSocial[[#This Row],[NumL]],T_suiviDi[#Data],COLUMN(T_suiviDi[[#This Row],[Service ]]),FALSE)="","",VLOOKUP(T_BilanSocial[[#This Row],[NumL]],T_suiviDi[#Data],COLUMN(T_suiviDi[[#This Row],[Service ]]),FALSE))</f>
        <v>#VALUE!</v>
      </c>
      <c r="T256" s="164" t="str">
        <f t="shared" si="36"/>
        <v>01 septembre 2021</v>
      </c>
      <c r="U256" s="164" t="str">
        <f t="shared" si="37"/>
        <v>30 novembre 2021</v>
      </c>
      <c r="V256" s="164" t="str">
        <f t="shared" si="44"/>
        <v>30 novembre 2021</v>
      </c>
      <c r="W256" s="176" t="e">
        <f>IF(VLOOKUP(T_BilanSocial[[#This Row],[NumL]],T_TraitDi[#Data],COLUMN(T_TraitDi[[#This Row],[M1]]),FALSE)="","",VLOOKUP(T_BilanSocial[[#This Row],[NumL]],T_TraitDi[#Data],COLUMN(T_TraitDi[[#This Row],[M1]]),FALSE))</f>
        <v>#VALUE!</v>
      </c>
      <c r="X256" s="176" t="e">
        <f>IF(VLOOKUP(T_BilanSocial[[#This Row],[NumL]],T_TraitDi[#Data],COLUMN(T_TraitDi[[#This Row],[M2]]),FALSE)="","",VLOOKUP(T_BilanSocial[[#This Row],[NumL]],T_TraitDi[#Data],COLUMN(T_TraitDi[[#This Row],[M2]]),FALSE))</f>
        <v>#VALUE!</v>
      </c>
      <c r="Y256" s="176" t="e">
        <f>IF(VLOOKUP(T_BilanSocial[[#This Row],[NumL]],T_TraitDi[#Data],COLUMN(T_TraitDi[[#This Row],[M3]]),FALSE)="","",VLOOKUP(T_BilanSocial[[#This Row],[NumL]],T_TraitDi[#Data],COLUMN(T_TraitDi[[#This Row],[M3]]),FALSE))</f>
        <v>#VALUE!</v>
      </c>
      <c r="Z256" s="176" t="str">
        <f t="shared" si="39"/>
        <v/>
      </c>
      <c r="AA256" s="176" t="e">
        <f>IF(VLOOKUP(T_BilanSocial[[#This Row],[NumL]],T_TraitDi[#Data],COLUMN(T_TraitDi[[#This Row],[M5]]),FALSE)="","",VLOOKUP(T_BilanSocial[[#This Row],[NumL]],T_TraitDi[#Data],COLUMN(T_TraitDi[[#This Row],[M5]]),FALSE))</f>
        <v>#VALUE!</v>
      </c>
      <c r="AB256" s="176" t="e">
        <f>IF(VLOOKUP(T_BilanSocial[[#This Row],[NumL]],T_TraitDi[#Data],COLUMN(T_TraitDi[[#This Row],[M6]]),FALSE)="","",VLOOKUP(T_BilanSocial[[#This Row],[NumL]],T_TraitDi[#Data],COLUMN(T_TraitDi[[#This Row],[M6]]),FALSE))</f>
        <v>#VALUE!</v>
      </c>
      <c r="AC256" s="165" t="e">
        <f t="shared" si="38"/>
        <v>#VALUE!</v>
      </c>
      <c r="AD256" s="188" t="str">
        <f>IFERROR(TEXT(VLOOKUP(T_BilanSocial[[#This Row],[NumL]],T_TraitDi[#Data],COLUMN(T_TraitDi[[#This Row],[Q2]]),FALSE),"###%"),"")</f>
        <v/>
      </c>
      <c r="AE256" s="97" t="e">
        <f>VLOOKUP(T_BilanSocial[[#This Row],[NumL]],T_TraitDi[#Data],COLUMN(T_TraitDi[[#This Row],[Reg Ponct]]),FALSE)</f>
        <v>#VALUE!</v>
      </c>
      <c r="AF256" s="97" t="e">
        <f>VLOOKUP(T_BilanSocial[NumL],T_TraitDi[#Data],COLUMN(T_TraitDi[[#This Row],[Jours flottants]]),FALSE)</f>
        <v>#VALUE!</v>
      </c>
      <c r="AG256" s="97" t="str">
        <f>IFERROR(VLOOKUP(T_BilanSocial[[#This Row],[NumL]],T_TraitDi[#Data],COLUMN(T_TraitDi[[#This Row],[Lundi]]),FALSE),"")</f>
        <v/>
      </c>
      <c r="AH256" s="172" t="e">
        <f>IF(VLOOKUP(T_BilanSocial[[#This Row],[NumL]],T_TraitDi[#Data],COLUMN(T_TraitDi[[#This Row],[Colonne3]]),FALSE)=0,"",TEXT(IFERROR(VLOOKUP(T_BilanSocial[[#This Row],[NumL]],T_TraitDi[#Data],COLUMN(T_TraitDi[[#This Row],[Colonne3]]),FALSE),""),"[hh]:mm"))</f>
        <v>#VALUE!</v>
      </c>
      <c r="AI256" s="172" t="e">
        <f>IF(VLOOKUP(T_BilanSocial[[#This Row],[NumL]],T_TraitDi[#Data],COLUMN(T_TraitDi[[#This Row],[Colonne4]]),FALSE)=0,"",TEXT(IFERROR(VLOOKUP(T_BilanSocial[[#This Row],[NumL]],T_TraitDi[#Data],COLUMN(T_TraitDi[[#This Row],[Colonne4]]),FALSE),""),"[hh]:mm"))</f>
        <v>#VALUE!</v>
      </c>
      <c r="AJ256" s="172" t="e">
        <f>IF(VLOOKUP(T_BilanSocial[[#This Row],[NumL]],T_TraitDi[#Data],COLUMN(T_TraitDi[[#This Row],[Colonne5]]),FALSE)=0,"",TEXT(IFERROR(VLOOKUP(T_BilanSocial[[#This Row],[NumL]],T_TraitDi[#Data],COLUMN(T_TraitDi[[#This Row],[Colonne5]]),FALSE),""),"[hh]:mm"))</f>
        <v>#VALUE!</v>
      </c>
      <c r="AK256" s="172" t="e">
        <f>IF(VLOOKUP(T_BilanSocial[[#This Row],[NumL]],T_TraitDi[#Data],COLUMN(T_TraitDi[[#This Row],[Colonne6]]),FALSE)=0,"",TEXT(IFERROR(VLOOKUP(T_BilanSocial[[#This Row],[NumL]],T_TraitDi[#Data],COLUMN(T_TraitDi[[#This Row],[Colonne6]]),FALSE),""),"[hh]:mm"))</f>
        <v>#VALUE!</v>
      </c>
      <c r="AL256" s="172" t="e">
        <f>IF(VLOOKUP(T_BilanSocial[[#This Row],[NumL]],T_TraitDi[#Data],COLUMN(T_TraitDi[[#This Row],[Colonne7]]),FALSE)=0,"",TEXT(IFERROR(VLOOKUP(T_BilanSocial[[#This Row],[NumL]],T_TraitDi[#Data],COLUMN(T_TraitDi[[#This Row],[Colonne7]]),FALSE),""),"[hh]:mm"))</f>
        <v>#VALUE!</v>
      </c>
      <c r="AM256" s="172" t="e">
        <f>IF(VLOOKUP(T_BilanSocial[[#This Row],[NumL]],T_TraitDi[#Data],COLUMN(T_TraitDi[[#This Row],[Colonne8]]),FALSE)=0,"",TEXT(IFERROR(VLOOKUP(T_BilanSocial[[#This Row],[NumL]],T_TraitDi[#Data],COLUMN(T_TraitDi[[#This Row],[Colonne8]]),FALSE),""),"[hh]:mm"))</f>
        <v>#VALUE!</v>
      </c>
      <c r="AN256" s="172" t="str">
        <f>IFERROR(VLOOKUP(T_BilanSocial[[#This Row],[NumL]],T_TraitDi[#Data],COLUMN(T_TraitDi[[#This Row],[Mardi]]),FALSE),"")</f>
        <v/>
      </c>
      <c r="AO256" s="172" t="e">
        <f>IF(VLOOKUP(T_BilanSocial[[#This Row],[NumL]],T_TraitDi[#Data],COLUMN(T_TraitDi[[#This Row],[Colonne1]]),FALSE)=0,"",TEXT(IFERROR(VLOOKUP(T_BilanSocial[[#This Row],[NumL]],T_TraitDi[#Data],COLUMN(T_TraitDi[[#This Row],[Colonne1]]),FALSE),""),"[hh]:mm"))</f>
        <v>#VALUE!</v>
      </c>
      <c r="AP256" s="172" t="e">
        <f>IF(VLOOKUP(T_BilanSocial[[#This Row],[NumL]],T_TraitDi[#Data],COLUMN(T_TraitDi[[#This Row],[Colonne9]]),FALSE)=0,"",TEXT(IFERROR(VLOOKUP(T_BilanSocial[[#This Row],[NumL]],T_TraitDi[#Data],COLUMN(T_TraitDi[[#This Row],[Colonne9]]),FALSE),""),"[hh]:mm"))</f>
        <v>#VALUE!</v>
      </c>
      <c r="AQ256" s="172" t="str">
        <f>IFERROR(VLOOKUP(T_BilanSocial[[#This Row],[NumL]],T_TraitDi[#Data],COLUMN(T_TraitDi[[#This Row],[Colonne10]]),FALSE),"")</f>
        <v/>
      </c>
      <c r="AR256" s="172" t="e">
        <f>IF(VLOOKUP(T_BilanSocial[[#This Row],[NumL]],T_TraitDi[#Data],COLUMN(T_TraitDi[[#This Row],[Colonne11]]),FALSE)=0,"",TEXT(IFERROR(VLOOKUP(T_BilanSocial[[#This Row],[NumL]],T_TraitDi[#Data],COLUMN(T_TraitDi[[#This Row],[Colonne11]]),FALSE),""),"[hh]:mm"))</f>
        <v>#VALUE!</v>
      </c>
      <c r="AS256" s="172" t="e">
        <f>IF(VLOOKUP(T_BilanSocial[[#This Row],[NumL]],T_TraitDi[#Data],COLUMN(T_TraitDi[[#This Row],[Colonne12]]),FALSE)=0,"",TEXT(IFERROR(VLOOKUP(T_BilanSocial[[#This Row],[NumL]],T_TraitDi[#Data],COLUMN(T_TraitDi[[#This Row],[Colonne12]]),FALSE),""),"[hh]:mm"))</f>
        <v>#VALUE!</v>
      </c>
      <c r="AT256" s="172" t="e">
        <f>IF(VLOOKUP(T_BilanSocial[[#This Row],[NumL]],T_TraitDi[#Data],COLUMN(T_TraitDi[[#This Row],[Colonne14]]),FALSE)=0,"",TEXT(IFERROR(VLOOKUP(T_BilanSocial[[#This Row],[NumL]],T_TraitDi[#Data],COLUMN(T_TraitDi[[#This Row],[Colonne14]]),FALSE),""),"[hh]:mm"))</f>
        <v>#VALUE!</v>
      </c>
      <c r="AU256" s="172" t="str">
        <f>IFERROR(VLOOKUP(T_BilanSocial[[#This Row],[NumL]],T_TraitDi[#Data],COLUMN(T_TraitDi[[#This Row],[Mercredi]]),FALSE),"")</f>
        <v/>
      </c>
      <c r="AV256" s="172" t="e">
        <f>IF(VLOOKUP(T_BilanSocial[[#This Row],[NumL]],T_TraitDi[#Data],COLUMN(T_TraitDi[[#This Row],[Colonne15]]),FALSE)=0,"",TEXT(IFERROR(VLOOKUP(T_BilanSocial[[#This Row],[NumL]],T_TraitDi[#Data],COLUMN(T_TraitDi[[#This Row],[Colonne15]]),FALSE),""),"[hh]:mm"))</f>
        <v>#VALUE!</v>
      </c>
      <c r="AW256" s="172" t="e">
        <f>IF(VLOOKUP(T_BilanSocial[[#This Row],[NumL]],T_TraitDi[#Data],COLUMN(T_TraitDi[[#This Row],[Colonne16]]),FALSE)=0,"",TEXT(IFERROR(VLOOKUP(T_BilanSocial[[#This Row],[NumL]],T_TraitDi[#Data],COLUMN(T_TraitDi[[#This Row],[Colonne16]]),FALSE),""),"[hh]:mm"))</f>
        <v>#VALUE!</v>
      </c>
      <c r="AX256" s="172" t="str">
        <f>IFERROR(VLOOKUP(T_BilanSocial[[#This Row],[NumL]],T_TraitDi[#Data],COLUMN(T_TraitDi[[#This Row],[Colonne17]]),FALSE),"")</f>
        <v/>
      </c>
      <c r="AY256" s="172" t="e">
        <f>IF(VLOOKUP(T_BilanSocial[[#This Row],[NumL]],T_TraitDi[#Data],COLUMN(T_TraitDi[[#This Row],[Colonne18]]),FALSE)=0,"",TEXT(IFERROR(VLOOKUP(T_BilanSocial[[#This Row],[NumL]],T_TraitDi[#Data],COLUMN(T_TraitDi[[#This Row],[Colonne18]]),FALSE),""),"[hh]:mm"))</f>
        <v>#VALUE!</v>
      </c>
      <c r="AZ256" s="172" t="e">
        <f>IF(VLOOKUP(T_BilanSocial[[#This Row],[NumL]],T_TraitDi[#Data],COLUMN(T_TraitDi[[#This Row],[Colonne19]]),FALSE)=0,"",TEXT(IFERROR(VLOOKUP(T_BilanSocial[[#This Row],[NumL]],T_TraitDi[#Data],COLUMN(T_TraitDi[[#This Row],[Colonne19]]),FALSE),""),"[hh]:mm"))</f>
        <v>#VALUE!</v>
      </c>
      <c r="BA256" s="172" t="e">
        <f>IF(VLOOKUP(T_BilanSocial[[#This Row],[NumL]],T_TraitDi[#Data],COLUMN(T_TraitDi[[#This Row],[Colonne20]]),FALSE)=0,"",TEXT(IFERROR(VLOOKUP(T_BilanSocial[[#This Row],[NumL]],T_TraitDi[#Data],COLUMN(T_TraitDi[[#This Row],[Colonne20]]),FALSE),""),"[hh]:mm"))</f>
        <v>#VALUE!</v>
      </c>
      <c r="BB256" s="178" t="str">
        <f>IFERROR(VLOOKUP(T_BilanSocial[[#This Row],[NumL]],T_TraitDi[#Data],COLUMN(T_TraitDi[[#This Row],[Jeudi]]),FALSE),"")</f>
        <v/>
      </c>
      <c r="BC256" s="178" t="e">
        <f>IF(VLOOKUP(T_BilanSocial[[#This Row],[NumL]],T_TraitDi[#Data],COLUMN(T_TraitDi[[#This Row],[Colonne21]]),FALSE)=0,"",TEXT(IFERROR(VLOOKUP(T_BilanSocial[[#This Row],[NumL]],T_TraitDi[#Data],COLUMN(T_TraitDi[[#This Row],[Colonne21]]),FALSE),""),"[hh]:mm"))</f>
        <v>#VALUE!</v>
      </c>
      <c r="BD256" s="178" t="e">
        <f>IF(VLOOKUP(T_BilanSocial[[#This Row],[NumL]],T_TraitDi[#Data],COLUMN(T_TraitDi[[#This Row],[Colonne22]]),FALSE)=0,"",TEXT(IFERROR(VLOOKUP(T_BilanSocial[[#This Row],[NumL]],T_TraitDi[#Data],COLUMN(T_TraitDi[[#This Row],[Colonne22]]),FALSE),""),"[hh]:mm"))</f>
        <v>#VALUE!</v>
      </c>
      <c r="BE256" s="178" t="str">
        <f>IFERROR(VLOOKUP(T_BilanSocial[[#This Row],[NumL]],T_TraitDi[#Data],COLUMN(T_TraitDi[[#This Row],[Colonne23]]),FALSE),"")</f>
        <v/>
      </c>
      <c r="BF256" s="178" t="e">
        <f>IF(VLOOKUP(T_BilanSocial[[#This Row],[NumL]],T_TraitDi[#Data],COLUMN(T_TraitDi[[#This Row],[Colonne24]]),FALSE)=0,"",TEXT(IFERROR(VLOOKUP(T_BilanSocial[[#This Row],[NumL]],T_TraitDi[#Data],COLUMN(T_TraitDi[[#This Row],[Colonne24]]),FALSE),""),"[hh]:mm"))</f>
        <v>#VALUE!</v>
      </c>
      <c r="BG256" s="178" t="e">
        <f>IF(VLOOKUP(T_BilanSocial[[#This Row],[NumL]],T_TraitDi[#Data],COLUMN(T_TraitDi[[#This Row],[Colonne25]]),FALSE)=0,"",TEXT(IFERROR(VLOOKUP(T_BilanSocial[[#This Row],[NumL]],T_TraitDi[#Data],COLUMN(T_TraitDi[[#This Row],[Colonne25]]),FALSE),""),"[hh]:mm"))</f>
        <v>#VALUE!</v>
      </c>
      <c r="BH256" s="178" t="e">
        <f>IF(VLOOKUP(T_BilanSocial[[#This Row],[NumL]],T_TraitDi[#Data],COLUMN(T_TraitDi[[#This Row],[Colonne26]]),FALSE)=0,"",TEXT(IFERROR(VLOOKUP(T_BilanSocial[[#This Row],[NumL]],T_TraitDi[#Data],COLUMN(T_TraitDi[[#This Row],[Colonne26]]),FALSE),""),"[hh]:mm"))</f>
        <v>#VALUE!</v>
      </c>
      <c r="BI256" s="172" t="str">
        <f>IFERROR(VLOOKUP(T_BilanSocial[[#This Row],[NumL]],T_TraitDi[#Data],COLUMN(T_TraitDi[[#This Row],[Vendredi]]),FALSE),"")</f>
        <v/>
      </c>
      <c r="BJ256" s="172" t="e">
        <f>IF(VLOOKUP(T_BilanSocial[[#This Row],[NumL]],T_TraitDi[#Data],COLUMN(T_TraitDi[[#This Row],[Colonne27]]),FALSE)=0,"",TEXT(IFERROR(VLOOKUP(T_BilanSocial[[#This Row],[NumL]],T_TraitDi[#Data],COLUMN(T_TraitDi[[#This Row],[Colonne27]]),FALSE),""),"[hh]:mm"))</f>
        <v>#VALUE!</v>
      </c>
      <c r="BK256" s="172" t="e">
        <f>IF(VLOOKUP(T_BilanSocial[[#This Row],[NumL]],T_TraitDi[#Data],COLUMN(T_TraitDi[[#This Row],[Colonne28]]),FALSE)=0,"",TEXT(IFERROR(VLOOKUP(T_BilanSocial[[#This Row],[NumL]],T_TraitDi[#Data],COLUMN(T_TraitDi[[#This Row],[Colonne28]]),FALSE),""),"[hh]:mm"))</f>
        <v>#VALUE!</v>
      </c>
      <c r="BL256" s="172" t="str">
        <f>IFERROR(VLOOKUP(T_BilanSocial[[#This Row],[NumL]],T_TraitDi[#Data],COLUMN(T_TraitDi[[#This Row],[Colonne29]]),FALSE),"")</f>
        <v/>
      </c>
      <c r="BM256" s="172" t="e">
        <f>IF(VLOOKUP(T_BilanSocial[[#This Row],[NumL]],T_TraitDi[#Data],COLUMN(T_TraitDi[[#This Row],[Colonne30]]),FALSE)=0,"",TEXT(IFERROR(VLOOKUP(T_BilanSocial[[#This Row],[NumL]],T_TraitDi[#Data],COLUMN(T_TraitDi[[#This Row],[Colonne30]]),FALSE),""),"[hh]:mm"))</f>
        <v>#VALUE!</v>
      </c>
      <c r="BN256" s="172" t="e">
        <f>IF(VLOOKUP(T_BilanSocial[[#This Row],[NumL]],T_TraitDi[#Data],COLUMN(T_TraitDi[[#This Row],[Colonne31]]),FALSE)=0,"",TEXT(IFERROR(VLOOKUP(T_BilanSocial[[#This Row],[NumL]],T_TraitDi[#Data],COLUMN(T_TraitDi[[#This Row],[Colonne31]]),FALSE),""),"[hh]:mm"))</f>
        <v>#VALUE!</v>
      </c>
      <c r="BO256" s="172" t="e">
        <f>IF(VLOOKUP(T_BilanSocial[[#This Row],[NumL]],T_TraitDi[#Data],COLUMN(T_TraitDi[[#This Row],[Colonne32]]),FALSE)=0,"",TEXT(IFERROR(VLOOKUP(T_BilanSocial[[#This Row],[NumL]],T_TraitDi[#Data],COLUMN(T_TraitDi[[#This Row],[Colonne32]]),FALSE),""),"[hh]:mm"))</f>
        <v>#VALUE!</v>
      </c>
      <c r="BP256" s="172" t="e">
        <f>VLOOKUP(T_BilanSocial[[#This Row],[NumL]],T_TraitDi[#Data],COLUMN(T_TraitDi[NbJTot]),FALSE)</f>
        <v>#N/A</v>
      </c>
      <c r="BQ256" s="174" t="str">
        <f>IFERROR(VLOOKUP(T_BilanSocial[[#This Row],[NumL]],T_TraitDi[#Data],COLUMN(T_TraitDi[[#This Row],[NbJTW]]),FALSE),"")</f>
        <v/>
      </c>
      <c r="BR256" s="174" t="e">
        <f>IF(VLOOKUP(T_BilanSocial[[#This Row],[NumL]],T_TraitDi[#Data],COLUMN(T_TraitDi[[#This Row],[NbhTW]]),FALSE)=0,"",TEXT(IFERROR(VLOOKUP(T_BilanSocial[[#This Row],[NumL]],T_TraitDi[#Data],COLUMN(T_TraitDi[[#This Row],[NbhTW]]),FALSE),""),"[hh]:mm"))</f>
        <v>#VALUE!</v>
      </c>
      <c r="BS256" s="174" t="e">
        <f>IF(VLOOKUP(T_BilanSocial[[#This Row],[NumL]],T_TraitDi[#Data],COLUMN(T_TraitDi[[#This Row],[Nbhheb]]),FALSE)=0,"",TEXT(IFERROR(VLOOKUP($A256,T_TraitDi[#Data],COLUMN(T_TraitDi[[#This Row],[Nbhheb]]),FALSE),""),"[hh]:mm"))</f>
        <v>#VALUE!</v>
      </c>
      <c r="BT256" s="182" t="str">
        <f>IFERROR(VLOOKUP(VLOOKUP($A256,T_TraitDi[#Data],COLUMN(T_TraitDi[[#This Row],[Type1]]),FALSE),TypeTW,2,FALSE),"")</f>
        <v/>
      </c>
      <c r="BU256" s="182" t="str">
        <f>IFERROR(VLOOKUP($A256,T_TraitDi[#Data],COLUMN(T_TraitDi[[#This Row],[Rue1]]),FALSE),"")</f>
        <v/>
      </c>
      <c r="BV256" s="173" t="str">
        <f>IFERROR(VLOOKUP($A256,T_TraitDi[#Data],COLUMN(T_TraitDi[[#This Row],[CP1]]),FALSE),"")</f>
        <v/>
      </c>
      <c r="BW256" s="173" t="str">
        <f>IFERROR(VLOOKUP($A256,T_TraitDi[#Data],COLUMN(T_TraitDi[[#This Row],[VILLE1]]),FALSE),"")</f>
        <v/>
      </c>
      <c r="BX256" s="182" t="str">
        <f>IFERROR(VLOOKUP(VLOOKUP($A256,T_TraitDi[#Data],COLUMN(T_TraitDi[[#This Row],[Type2]]),FALSE),TypeTW,2,FALSE),"")</f>
        <v/>
      </c>
      <c r="BY256" s="182" t="str">
        <f>IFERROR(VLOOKUP($A256,T_TraitDi[#Data],COLUMN(T_TraitDi[[#This Row],[Rue2]]),FALSE),"")</f>
        <v/>
      </c>
      <c r="BZ256" s="173" t="str">
        <f>IFERROR(VLOOKUP($A256,T_TraitDi[#Data],COLUMN(T_TraitDi[[#This Row],[CP2]]),FALSE),"")</f>
        <v/>
      </c>
      <c r="CA256" s="173" t="str">
        <f>IFERROR(VLOOKUP($A256,T_TraitDi[#Data],COLUMN(T_TraitDi[[#This Row],[VILLE2]]),FALSE),"")</f>
        <v/>
      </c>
      <c r="CB256" s="182" t="str">
        <f>IF(VLOOKUP(T_BilanSocial[[#This Row],[NumL]],T_Equipement[#Data],COLUMN(T_Equipement[[#This Row],[PC]]),FALSE)="","Aucun équipement spécifique directement lié au télétravail",VLOOKUP(T_BilanSocial[[#This Row],[NumL]],T_Equipement[#Data],COLUMN(T_Equipement[[#This Row],[PC]]),FALSE))</f>
        <v>20-465</v>
      </c>
      <c r="CC256" s="166" t="str">
        <f>IFERROR(IF(VLOOKUP(T_BilanSocial[[#This Row],[NumL]],T_TraitDi[#Data],COLUMN(T_TraitDi[[#This Row],[Plan]]),FALSE)="OK","Un planning spécifique de télétravail est annexé à la présente convention.",""),"")</f>
        <v/>
      </c>
      <c r="CD256" s="185"/>
      <c r="CE256" s="164" t="e">
        <f>IF(VLOOKUP(T_BilanSocial[[#This Row],[NumL]],T_suiviDi[#Data],COLUMN(T_suiviDi[[#This Row],[Entité]]),FALSE)="","",VLOOKUP(T_BilanSocial[[#This Row],[NumL]],T_suiviDi[#Data],COLUMN(T_suiviDi[[#This Row],[Entité]]),FALSE))</f>
        <v>#VALUE!</v>
      </c>
      <c r="CF256" s="164" t="str">
        <f>IF(VLOOKUP(T_BilanSocial[[#This Row],[NumL]],T_Commission[#Data],COLUMN(T_Commission[[#This Row],[envoi confirm TW]]),FALSE)="","",VLOOKUP(T_BilanSocial[[#This Row],[NumL]],T_Commission[#Data],COLUMN(T_Commission[[#This Row],[envoi confirm TW]]),FALSE))</f>
        <v>Oui</v>
      </c>
      <c r="CG25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6" s="262" t="str">
        <f>T_BilanSocial[[#This Row],[Nom]]&amp;T_BilanSocial[[#This Row],[Prenom]]</f>
        <v/>
      </c>
      <c r="CI256" s="262">
        <f>VLOOKUP(T_BilanSocial[[#This Row],[NumL]],T_Commission[#Data],COLUMN(T_Commission[Commentaire]),FALSE)</f>
        <v>0</v>
      </c>
      <c r="CJ256" s="262" t="str">
        <f>IF(VLOOKUP(T_BilanSocial[[#This Row],[NumL]],T_Commission[#Data],COLUMN(T_Commission[Encadrant Email]),FALSE)="","",VLOOKUP(T_BilanSocial[[#This Row],[NumL]],T_Commission[#Data],COLUMN(T_Commission[Encadrant Email]),FALSE))</f>
        <v/>
      </c>
      <c r="CK256" s="340" t="str">
        <f>IF(T_BilanSocial[[#This Row],[Final]]&lt;&gt;"",VLOOKUP(T_BilanSocial[[#This Row],[NumL]],T_suiviDi[#Data],COLUMN((T_suiviDi[Statut])),FALSE),"")</f>
        <v/>
      </c>
    </row>
    <row r="257" spans="1:89" s="106" customFormat="1" ht="24.75" customHeight="1" x14ac:dyDescent="0.25">
      <c r="A257" s="160">
        <v>254</v>
      </c>
      <c r="B257" s="161" t="str">
        <f t="shared" si="34"/>
        <v/>
      </c>
      <c r="C257" s="162" t="s">
        <v>173</v>
      </c>
      <c r="D257" s="95" t="e">
        <f>IF(VLOOKUP(T_BilanSocial[[#This Row],[NumL]],T_TraitDi[#Data],COLUMN(T_TraitDi[[#This Row],[WebC]]),FALSE)="","",VLOOKUP(T_BilanSocial[[#This Row],[NumL]],T_TraitDi[#Data],COLUMN(T_TraitDi[[#This Row],[WebC]]),FALSE))</f>
        <v>#VALUE!</v>
      </c>
      <c r="E257" s="163" t="str">
        <f t="shared" si="35"/>
        <v>12 janvier 2021</v>
      </c>
      <c r="F257" s="96" t="str">
        <f>IF(T_BilanSocial[[#This Row],[Final]]&lt;&gt;"",VLOOKUP(T_BilanSocial[[#This Row],[NumL]],T_suiviDi[#Data],COLUMN((T_suiviDi[Civ.])),FALSE),"")</f>
        <v/>
      </c>
      <c r="G257" s="96" t="str">
        <f>IF(T_BilanSocial[[#This Row],[Final]]&lt;&gt;"",VLOOKUP(T_BilanSocial[[#This Row],[NumL]],T_suiviDi[#Data],COLUMN((T_suiviDi[Nom])),FALSE),"")</f>
        <v/>
      </c>
      <c r="H257" s="96" t="str">
        <f>IF(T_BilanSocial[[#This Row],[Final]]&lt;&gt;"",VLOOKUP(T_BilanSocial[[#This Row],[NumL]],T_suiviDi[#Data],COLUMN((T_suiviDi[Prénom])),FALSE),"")</f>
        <v/>
      </c>
      <c r="I257" s="96" t="str">
        <f>IFERROR(VLOOKUP(T_BilanSocial[[#This Row],[Zone_Bilan]],T_P_BilanSocial[#Data],COLUMN(T_P_BilanSocial[[#This Row],[Numero_SIHAM]]),FALSE),"")</f>
        <v/>
      </c>
      <c r="J257" s="96" t="str">
        <f>IFERROR(VLOOKUP(T_BilanSocial[[#This Row],[Zone_Bilan]],T_P_BilanSocial[#Data],COLUMN(T_P_BilanSocial[[#This Row],[Sexe]]),FALSE),"")</f>
        <v/>
      </c>
      <c r="K257" s="97" t="str">
        <f>IFERROR(VLOOKUP(T_BilanSocial[[#This Row],[Zone_Bilan]],T_P_BilanSocial[#Data],COLUMN(T_P_BilanSocial[[#This Row],[Categorie]]),FALSE),"")</f>
        <v/>
      </c>
      <c r="L257" s="96" t="str">
        <f>IFERROR(VLOOKUP(T_BilanSocial[[#This Row],[Zone_Bilan]],T_P_BilanSocial[#Data],COLUMN(T_P_BilanSocial[[#This Row],[Statut]]),FALSE),"")</f>
        <v/>
      </c>
      <c r="M257" s="96" t="str">
        <f>IFERROR(VLOOKUP(T_BilanSocial[[#This Row],[Zone_Bilan]],T_P_BilanSocial[#Data],COLUMN(T_P_BilanSocial[[#This Row],[Filiere]]),FALSE),"")</f>
        <v/>
      </c>
      <c r="N257" s="96" t="e">
        <f>VLOOKUP(T_BilanSocial[[#This Row],[NumL]],T_TraitDi[#Data],COLUMN(T_TraitDi[EXP]),FALSE)</f>
        <v>#N/A</v>
      </c>
      <c r="O257" s="96" t="e">
        <f>VLOOKUP(T_BilanSocial[[#This Row],[NumL]],T_TraitDi[#Data],COLUMN(T_TraitDi[FORM]),FALSE)</f>
        <v>#N/A</v>
      </c>
      <c r="P257" s="96" t="str">
        <f>IF(T_BilanSocial[[#This Row],[Final]]&lt;&gt;"",VLOOKUP(T_BilanSocial[[#This Row],[NumL]],T_suiviDi[#Data],COLUMN((T_suiviDi[Email])),FALSE),"")</f>
        <v/>
      </c>
      <c r="Q257" s="164" t="e">
        <f t="shared" si="40"/>
        <v>#N/A</v>
      </c>
      <c r="R257" s="164" t="e">
        <f t="shared" si="41"/>
        <v>#N/A</v>
      </c>
      <c r="S257" s="164" t="e">
        <f>IF(VLOOKUP(T_BilanSocial[[#This Row],[NumL]],T_suiviDi[#Data],COLUMN(T_suiviDi[[#This Row],[Service ]]),FALSE)="","",VLOOKUP(T_BilanSocial[[#This Row],[NumL]],T_suiviDi[#Data],COLUMN(T_suiviDi[[#This Row],[Service ]]),FALSE))</f>
        <v>#VALUE!</v>
      </c>
      <c r="T257" s="164" t="str">
        <f t="shared" si="36"/>
        <v>01 septembre 2021</v>
      </c>
      <c r="U257" s="164" t="str">
        <f t="shared" si="37"/>
        <v>30 novembre 2021</v>
      </c>
      <c r="V257" s="164" t="str">
        <f t="shared" si="44"/>
        <v>30 novembre 2021</v>
      </c>
      <c r="W257" s="176" t="e">
        <f>IF(VLOOKUP(T_BilanSocial[[#This Row],[NumL]],T_TraitDi[#Data],COLUMN(T_TraitDi[[#This Row],[M1]]),FALSE)="","",VLOOKUP(T_BilanSocial[[#This Row],[NumL]],T_TraitDi[#Data],COLUMN(T_TraitDi[[#This Row],[M1]]),FALSE))</f>
        <v>#VALUE!</v>
      </c>
      <c r="X257" s="176" t="e">
        <f>IF(VLOOKUP(T_BilanSocial[[#This Row],[NumL]],T_TraitDi[#Data],COLUMN(T_TraitDi[[#This Row],[M2]]),FALSE)="","",VLOOKUP(T_BilanSocial[[#This Row],[NumL]],T_TraitDi[#Data],COLUMN(T_TraitDi[[#This Row],[M2]]),FALSE))</f>
        <v>#VALUE!</v>
      </c>
      <c r="Y257" s="176" t="e">
        <f>IF(VLOOKUP(T_BilanSocial[[#This Row],[NumL]],T_TraitDi[#Data],COLUMN(T_TraitDi[[#This Row],[M3]]),FALSE)="","",VLOOKUP(T_BilanSocial[[#This Row],[NumL]],T_TraitDi[#Data],COLUMN(T_TraitDi[[#This Row],[M3]]),FALSE))</f>
        <v>#VALUE!</v>
      </c>
      <c r="Z257" s="176" t="str">
        <f t="shared" si="39"/>
        <v/>
      </c>
      <c r="AA257" s="176" t="e">
        <f>IF(VLOOKUP(T_BilanSocial[[#This Row],[NumL]],T_TraitDi[#Data],COLUMN(T_TraitDi[[#This Row],[M5]]),FALSE)="","",VLOOKUP(T_BilanSocial[[#This Row],[NumL]],T_TraitDi[#Data],COLUMN(T_TraitDi[[#This Row],[M5]]),FALSE))</f>
        <v>#VALUE!</v>
      </c>
      <c r="AB257" s="176" t="e">
        <f>IF(VLOOKUP(T_BilanSocial[[#This Row],[NumL]],T_TraitDi[#Data],COLUMN(T_TraitDi[[#This Row],[M6]]),FALSE)="","",VLOOKUP(T_BilanSocial[[#This Row],[NumL]],T_TraitDi[#Data],COLUMN(T_TraitDi[[#This Row],[M6]]),FALSE))</f>
        <v>#VALUE!</v>
      </c>
      <c r="AC257" s="165" t="e">
        <f t="shared" si="38"/>
        <v>#VALUE!</v>
      </c>
      <c r="AD257" s="188" t="str">
        <f>IFERROR(TEXT(VLOOKUP(T_BilanSocial[[#This Row],[NumL]],T_TraitDi[#Data],COLUMN(T_TraitDi[[#This Row],[Q2]]),FALSE),"###%"),"")</f>
        <v/>
      </c>
      <c r="AE257" s="97" t="e">
        <f>VLOOKUP(T_BilanSocial[[#This Row],[NumL]],T_TraitDi[#Data],COLUMN(T_TraitDi[[#This Row],[Reg Ponct]]),FALSE)</f>
        <v>#VALUE!</v>
      </c>
      <c r="AF257" s="97" t="e">
        <f>VLOOKUP(T_BilanSocial[NumL],T_TraitDi[#Data],COLUMN(T_TraitDi[[#This Row],[Jours flottants]]),FALSE)</f>
        <v>#VALUE!</v>
      </c>
      <c r="AG257" s="97" t="str">
        <f>IFERROR(VLOOKUP(T_BilanSocial[[#This Row],[NumL]],T_TraitDi[#Data],COLUMN(T_TraitDi[[#This Row],[Lundi]]),FALSE),"")</f>
        <v/>
      </c>
      <c r="AH257" s="172" t="e">
        <f>IF(VLOOKUP(T_BilanSocial[[#This Row],[NumL]],T_TraitDi[#Data],COLUMN(T_TraitDi[[#This Row],[Colonne3]]),FALSE)=0,"",TEXT(IFERROR(VLOOKUP(T_BilanSocial[[#This Row],[NumL]],T_TraitDi[#Data],COLUMN(T_TraitDi[[#This Row],[Colonne3]]),FALSE),""),"[hh]:mm"))</f>
        <v>#VALUE!</v>
      </c>
      <c r="AI257" s="172" t="e">
        <f>IF(VLOOKUP(T_BilanSocial[[#This Row],[NumL]],T_TraitDi[#Data],COLUMN(T_TraitDi[[#This Row],[Colonne4]]),FALSE)=0,"",TEXT(IFERROR(VLOOKUP(T_BilanSocial[[#This Row],[NumL]],T_TraitDi[#Data],COLUMN(T_TraitDi[[#This Row],[Colonne4]]),FALSE),""),"[hh]:mm"))</f>
        <v>#VALUE!</v>
      </c>
      <c r="AJ257" s="172" t="e">
        <f>IF(VLOOKUP(T_BilanSocial[[#This Row],[NumL]],T_TraitDi[#Data],COLUMN(T_TraitDi[[#This Row],[Colonne5]]),FALSE)=0,"",TEXT(IFERROR(VLOOKUP(T_BilanSocial[[#This Row],[NumL]],T_TraitDi[#Data],COLUMN(T_TraitDi[[#This Row],[Colonne5]]),FALSE),""),"[hh]:mm"))</f>
        <v>#VALUE!</v>
      </c>
      <c r="AK257" s="172" t="e">
        <f>IF(VLOOKUP(T_BilanSocial[[#This Row],[NumL]],T_TraitDi[#Data],COLUMN(T_TraitDi[[#This Row],[Colonne6]]),FALSE)=0,"",TEXT(IFERROR(VLOOKUP(T_BilanSocial[[#This Row],[NumL]],T_TraitDi[#Data],COLUMN(T_TraitDi[[#This Row],[Colonne6]]),FALSE),""),"[hh]:mm"))</f>
        <v>#VALUE!</v>
      </c>
      <c r="AL257" s="172" t="e">
        <f>IF(VLOOKUP(T_BilanSocial[[#This Row],[NumL]],T_TraitDi[#Data],COLUMN(T_TraitDi[[#This Row],[Colonne7]]),FALSE)=0,"",TEXT(IFERROR(VLOOKUP(T_BilanSocial[[#This Row],[NumL]],T_TraitDi[#Data],COLUMN(T_TraitDi[[#This Row],[Colonne7]]),FALSE),""),"[hh]:mm"))</f>
        <v>#VALUE!</v>
      </c>
      <c r="AM257" s="172" t="e">
        <f>IF(VLOOKUP(T_BilanSocial[[#This Row],[NumL]],T_TraitDi[#Data],COLUMN(T_TraitDi[[#This Row],[Colonne8]]),FALSE)=0,"",TEXT(IFERROR(VLOOKUP(T_BilanSocial[[#This Row],[NumL]],T_TraitDi[#Data],COLUMN(T_TraitDi[[#This Row],[Colonne8]]),FALSE),""),"[hh]:mm"))</f>
        <v>#VALUE!</v>
      </c>
      <c r="AN257" s="172" t="str">
        <f>IFERROR(VLOOKUP(T_BilanSocial[[#This Row],[NumL]],T_TraitDi[#Data],COLUMN(T_TraitDi[[#This Row],[Mardi]]),FALSE),"")</f>
        <v/>
      </c>
      <c r="AO257" s="172" t="e">
        <f>IF(VLOOKUP(T_BilanSocial[[#This Row],[NumL]],T_TraitDi[#Data],COLUMN(T_TraitDi[[#This Row],[Colonne1]]),FALSE)=0,"",TEXT(IFERROR(VLOOKUP(T_BilanSocial[[#This Row],[NumL]],T_TraitDi[#Data],COLUMN(T_TraitDi[[#This Row],[Colonne1]]),FALSE),""),"[hh]:mm"))</f>
        <v>#VALUE!</v>
      </c>
      <c r="AP257" s="172" t="e">
        <f>IF(VLOOKUP(T_BilanSocial[[#This Row],[NumL]],T_TraitDi[#Data],COLUMN(T_TraitDi[[#This Row],[Colonne9]]),FALSE)=0,"",TEXT(IFERROR(VLOOKUP(T_BilanSocial[[#This Row],[NumL]],T_TraitDi[#Data],COLUMN(T_TraitDi[[#This Row],[Colonne9]]),FALSE),""),"[hh]:mm"))</f>
        <v>#VALUE!</v>
      </c>
      <c r="AQ257" s="172" t="str">
        <f>IFERROR(VLOOKUP(T_BilanSocial[[#This Row],[NumL]],T_TraitDi[#Data],COLUMN(T_TraitDi[[#This Row],[Colonne10]]),FALSE),"")</f>
        <v/>
      </c>
      <c r="AR257" s="172" t="e">
        <f>IF(VLOOKUP(T_BilanSocial[[#This Row],[NumL]],T_TraitDi[#Data],COLUMN(T_TraitDi[[#This Row],[Colonne11]]),FALSE)=0,"",TEXT(IFERROR(VLOOKUP(T_BilanSocial[[#This Row],[NumL]],T_TraitDi[#Data],COLUMN(T_TraitDi[[#This Row],[Colonne11]]),FALSE),""),"[hh]:mm"))</f>
        <v>#VALUE!</v>
      </c>
      <c r="AS257" s="172" t="e">
        <f>IF(VLOOKUP(T_BilanSocial[[#This Row],[NumL]],T_TraitDi[#Data],COLUMN(T_TraitDi[[#This Row],[Colonne12]]),FALSE)=0,"",TEXT(IFERROR(VLOOKUP(T_BilanSocial[[#This Row],[NumL]],T_TraitDi[#Data],COLUMN(T_TraitDi[[#This Row],[Colonne12]]),FALSE),""),"[hh]:mm"))</f>
        <v>#VALUE!</v>
      </c>
      <c r="AT257" s="172" t="e">
        <f>IF(VLOOKUP(T_BilanSocial[[#This Row],[NumL]],T_TraitDi[#Data],COLUMN(T_TraitDi[[#This Row],[Colonne14]]),FALSE)=0,"",TEXT(IFERROR(VLOOKUP(T_BilanSocial[[#This Row],[NumL]],T_TraitDi[#Data],COLUMN(T_TraitDi[[#This Row],[Colonne14]]),FALSE),""),"[hh]:mm"))</f>
        <v>#VALUE!</v>
      </c>
      <c r="AU257" s="172" t="str">
        <f>IFERROR(VLOOKUP(T_BilanSocial[[#This Row],[NumL]],T_TraitDi[#Data],COLUMN(T_TraitDi[[#This Row],[Mercredi]]),FALSE),"")</f>
        <v/>
      </c>
      <c r="AV257" s="172" t="e">
        <f>IF(VLOOKUP(T_BilanSocial[[#This Row],[NumL]],T_TraitDi[#Data],COLUMN(T_TraitDi[[#This Row],[Colonne15]]),FALSE)=0,"",TEXT(IFERROR(VLOOKUP(T_BilanSocial[[#This Row],[NumL]],T_TraitDi[#Data],COLUMN(T_TraitDi[[#This Row],[Colonne15]]),FALSE),""),"[hh]:mm"))</f>
        <v>#VALUE!</v>
      </c>
      <c r="AW257" s="172" t="e">
        <f>IF(VLOOKUP(T_BilanSocial[[#This Row],[NumL]],T_TraitDi[#Data],COLUMN(T_TraitDi[[#This Row],[Colonne16]]),FALSE)=0,"",TEXT(IFERROR(VLOOKUP(T_BilanSocial[[#This Row],[NumL]],T_TraitDi[#Data],COLUMN(T_TraitDi[[#This Row],[Colonne16]]),FALSE),""),"[hh]:mm"))</f>
        <v>#VALUE!</v>
      </c>
      <c r="AX257" s="172" t="str">
        <f>IFERROR(VLOOKUP(T_BilanSocial[[#This Row],[NumL]],T_TraitDi[#Data],COLUMN(T_TraitDi[[#This Row],[Colonne17]]),FALSE),"")</f>
        <v/>
      </c>
      <c r="AY257" s="172" t="e">
        <f>IF(VLOOKUP(T_BilanSocial[[#This Row],[NumL]],T_TraitDi[#Data],COLUMN(T_TraitDi[[#This Row],[Colonne18]]),FALSE)=0,"",TEXT(IFERROR(VLOOKUP(T_BilanSocial[[#This Row],[NumL]],T_TraitDi[#Data],COLUMN(T_TraitDi[[#This Row],[Colonne18]]),FALSE),""),"[hh]:mm"))</f>
        <v>#VALUE!</v>
      </c>
      <c r="AZ257" s="172" t="e">
        <f>IF(VLOOKUP(T_BilanSocial[[#This Row],[NumL]],T_TraitDi[#Data],COLUMN(T_TraitDi[[#This Row],[Colonne19]]),FALSE)=0,"",TEXT(IFERROR(VLOOKUP(T_BilanSocial[[#This Row],[NumL]],T_TraitDi[#Data],COLUMN(T_TraitDi[[#This Row],[Colonne19]]),FALSE),""),"[hh]:mm"))</f>
        <v>#VALUE!</v>
      </c>
      <c r="BA257" s="172" t="e">
        <f>IF(VLOOKUP(T_BilanSocial[[#This Row],[NumL]],T_TraitDi[#Data],COLUMN(T_TraitDi[[#This Row],[Colonne20]]),FALSE)=0,"",TEXT(IFERROR(VLOOKUP(T_BilanSocial[[#This Row],[NumL]],T_TraitDi[#Data],COLUMN(T_TraitDi[[#This Row],[Colonne20]]),FALSE),""),"[hh]:mm"))</f>
        <v>#VALUE!</v>
      </c>
      <c r="BB257" s="178" t="str">
        <f>IFERROR(VLOOKUP(T_BilanSocial[[#This Row],[NumL]],T_TraitDi[#Data],COLUMN(T_TraitDi[[#This Row],[Jeudi]]),FALSE),"")</f>
        <v/>
      </c>
      <c r="BC257" s="178" t="e">
        <f>IF(VLOOKUP(T_BilanSocial[[#This Row],[NumL]],T_TraitDi[#Data],COLUMN(T_TraitDi[[#This Row],[Colonne21]]),FALSE)=0,"",TEXT(IFERROR(VLOOKUP(T_BilanSocial[[#This Row],[NumL]],T_TraitDi[#Data],COLUMN(T_TraitDi[[#This Row],[Colonne21]]),FALSE),""),"[hh]:mm"))</f>
        <v>#VALUE!</v>
      </c>
      <c r="BD257" s="178" t="e">
        <f>IF(VLOOKUP(T_BilanSocial[[#This Row],[NumL]],T_TraitDi[#Data],COLUMN(T_TraitDi[[#This Row],[Colonne22]]),FALSE)=0,"",TEXT(IFERROR(VLOOKUP(T_BilanSocial[[#This Row],[NumL]],T_TraitDi[#Data],COLUMN(T_TraitDi[[#This Row],[Colonne22]]),FALSE),""),"[hh]:mm"))</f>
        <v>#VALUE!</v>
      </c>
      <c r="BE257" s="178" t="str">
        <f>IFERROR(VLOOKUP(T_BilanSocial[[#This Row],[NumL]],T_TraitDi[#Data],COLUMN(T_TraitDi[[#This Row],[Colonne23]]),FALSE),"")</f>
        <v/>
      </c>
      <c r="BF257" s="178" t="e">
        <f>IF(VLOOKUP(T_BilanSocial[[#This Row],[NumL]],T_TraitDi[#Data],COLUMN(T_TraitDi[[#This Row],[Colonne24]]),FALSE)=0,"",TEXT(IFERROR(VLOOKUP(T_BilanSocial[[#This Row],[NumL]],T_TraitDi[#Data],COLUMN(T_TraitDi[[#This Row],[Colonne24]]),FALSE),""),"[hh]:mm"))</f>
        <v>#VALUE!</v>
      </c>
      <c r="BG257" s="178" t="e">
        <f>IF(VLOOKUP(T_BilanSocial[[#This Row],[NumL]],T_TraitDi[#Data],COLUMN(T_TraitDi[[#This Row],[Colonne25]]),FALSE)=0,"",TEXT(IFERROR(VLOOKUP(T_BilanSocial[[#This Row],[NumL]],T_TraitDi[#Data],COLUMN(T_TraitDi[[#This Row],[Colonne25]]),FALSE),""),"[hh]:mm"))</f>
        <v>#VALUE!</v>
      </c>
      <c r="BH257" s="178" t="e">
        <f>IF(VLOOKUP(T_BilanSocial[[#This Row],[NumL]],T_TraitDi[#Data],COLUMN(T_TraitDi[[#This Row],[Colonne26]]),FALSE)=0,"",TEXT(IFERROR(VLOOKUP(T_BilanSocial[[#This Row],[NumL]],T_TraitDi[#Data],COLUMN(T_TraitDi[[#This Row],[Colonne26]]),FALSE),""),"[hh]:mm"))</f>
        <v>#VALUE!</v>
      </c>
      <c r="BI257" s="172" t="str">
        <f>IFERROR(VLOOKUP(T_BilanSocial[[#This Row],[NumL]],T_TraitDi[#Data],COLUMN(T_TraitDi[[#This Row],[Vendredi]]),FALSE),"")</f>
        <v/>
      </c>
      <c r="BJ257" s="172" t="e">
        <f>IF(VLOOKUP(T_BilanSocial[[#This Row],[NumL]],T_TraitDi[#Data],COLUMN(T_TraitDi[[#This Row],[Colonne27]]),FALSE)=0,"",TEXT(IFERROR(VLOOKUP(T_BilanSocial[[#This Row],[NumL]],T_TraitDi[#Data],COLUMN(T_TraitDi[[#This Row],[Colonne27]]),FALSE),""),"[hh]:mm"))</f>
        <v>#VALUE!</v>
      </c>
      <c r="BK257" s="172" t="e">
        <f>IF(VLOOKUP(T_BilanSocial[[#This Row],[NumL]],T_TraitDi[#Data],COLUMN(T_TraitDi[[#This Row],[Colonne28]]),FALSE)=0,"",TEXT(IFERROR(VLOOKUP(T_BilanSocial[[#This Row],[NumL]],T_TraitDi[#Data],COLUMN(T_TraitDi[[#This Row],[Colonne28]]),FALSE),""),"[hh]:mm"))</f>
        <v>#VALUE!</v>
      </c>
      <c r="BL257" s="172" t="str">
        <f>IFERROR(VLOOKUP(T_BilanSocial[[#This Row],[NumL]],T_TraitDi[#Data],COLUMN(T_TraitDi[[#This Row],[Colonne29]]),FALSE),"")</f>
        <v/>
      </c>
      <c r="BM257" s="172" t="e">
        <f>IF(VLOOKUP(T_BilanSocial[[#This Row],[NumL]],T_TraitDi[#Data],COLUMN(T_TraitDi[[#This Row],[Colonne30]]),FALSE)=0,"",TEXT(IFERROR(VLOOKUP(T_BilanSocial[[#This Row],[NumL]],T_TraitDi[#Data],COLUMN(T_TraitDi[[#This Row],[Colonne30]]),FALSE),""),"[hh]:mm"))</f>
        <v>#VALUE!</v>
      </c>
      <c r="BN257" s="172" t="e">
        <f>IF(VLOOKUP(T_BilanSocial[[#This Row],[NumL]],T_TraitDi[#Data],COLUMN(T_TraitDi[[#This Row],[Colonne31]]),FALSE)=0,"",TEXT(IFERROR(VLOOKUP(T_BilanSocial[[#This Row],[NumL]],T_TraitDi[#Data],COLUMN(T_TraitDi[[#This Row],[Colonne31]]),FALSE),""),"[hh]:mm"))</f>
        <v>#VALUE!</v>
      </c>
      <c r="BO257" s="172" t="e">
        <f>IF(VLOOKUP(T_BilanSocial[[#This Row],[NumL]],T_TraitDi[#Data],COLUMN(T_TraitDi[[#This Row],[Colonne32]]),FALSE)=0,"",TEXT(IFERROR(VLOOKUP(T_BilanSocial[[#This Row],[NumL]],T_TraitDi[#Data],COLUMN(T_TraitDi[[#This Row],[Colonne32]]),FALSE),""),"[hh]:mm"))</f>
        <v>#VALUE!</v>
      </c>
      <c r="BP257" s="172" t="e">
        <f>VLOOKUP(T_BilanSocial[[#This Row],[NumL]],T_TraitDi[#Data],COLUMN(T_TraitDi[NbJTot]),FALSE)</f>
        <v>#N/A</v>
      </c>
      <c r="BQ257" s="174" t="str">
        <f>IFERROR(VLOOKUP(T_BilanSocial[[#This Row],[NumL]],T_TraitDi[#Data],COLUMN(T_TraitDi[[#This Row],[NbJTW]]),FALSE),"")</f>
        <v/>
      </c>
      <c r="BR257" s="174" t="e">
        <f>IF(VLOOKUP(T_BilanSocial[[#This Row],[NumL]],T_TraitDi[#Data],COLUMN(T_TraitDi[[#This Row],[NbhTW]]),FALSE)=0,"",TEXT(IFERROR(VLOOKUP(T_BilanSocial[[#This Row],[NumL]],T_TraitDi[#Data],COLUMN(T_TraitDi[[#This Row],[NbhTW]]),FALSE),""),"[hh]:mm"))</f>
        <v>#VALUE!</v>
      </c>
      <c r="BS257" s="174" t="e">
        <f>IF(VLOOKUP(T_BilanSocial[[#This Row],[NumL]],T_TraitDi[#Data],COLUMN(T_TraitDi[[#This Row],[Nbhheb]]),FALSE)=0,"",TEXT(IFERROR(VLOOKUP($A257,T_TraitDi[#Data],COLUMN(T_TraitDi[[#This Row],[Nbhheb]]),FALSE),""),"[hh]:mm"))</f>
        <v>#VALUE!</v>
      </c>
      <c r="BT257" s="182" t="str">
        <f>IFERROR(VLOOKUP(VLOOKUP($A257,T_TraitDi[#Data],COLUMN(T_TraitDi[[#This Row],[Type1]]),FALSE),TypeTW,2,FALSE),"")</f>
        <v/>
      </c>
      <c r="BU257" s="182" t="str">
        <f>IFERROR(VLOOKUP($A257,T_TraitDi[#Data],COLUMN(T_TraitDi[[#This Row],[Rue1]]),FALSE),"")</f>
        <v/>
      </c>
      <c r="BV257" s="173" t="str">
        <f>IFERROR(VLOOKUP($A257,T_TraitDi[#Data],COLUMN(T_TraitDi[[#This Row],[CP1]]),FALSE),"")</f>
        <v/>
      </c>
      <c r="BW257" s="173" t="str">
        <f>IFERROR(VLOOKUP($A257,T_TraitDi[#Data],COLUMN(T_TraitDi[[#This Row],[VILLE1]]),FALSE),"")</f>
        <v/>
      </c>
      <c r="BX257" s="182" t="str">
        <f>IFERROR(VLOOKUP(VLOOKUP($A257,T_TraitDi[#Data],COLUMN(T_TraitDi[[#This Row],[Type2]]),FALSE),TypeTW,2,FALSE),"")</f>
        <v/>
      </c>
      <c r="BY257" s="182" t="str">
        <f>IFERROR(VLOOKUP($A257,T_TraitDi[#Data],COLUMN(T_TraitDi[[#This Row],[Rue2]]),FALSE),"")</f>
        <v/>
      </c>
      <c r="BZ257" s="173" t="str">
        <f>IFERROR(VLOOKUP($A257,T_TraitDi[#Data],COLUMN(T_TraitDi[[#This Row],[CP2]]),FALSE),"")</f>
        <v/>
      </c>
      <c r="CA257" s="173" t="str">
        <f>IFERROR(VLOOKUP($A257,T_TraitDi[#Data],COLUMN(T_TraitDi[[#This Row],[VILLE2]]),FALSE),"")</f>
        <v/>
      </c>
      <c r="CB257" s="182" t="str">
        <f>IF(VLOOKUP(T_BilanSocial[[#This Row],[NumL]],T_Equipement[#Data],COLUMN(T_Equipement[[#This Row],[PC]]),FALSE)="","Aucun équipement spécifique directement lié au télétravail",VLOOKUP(T_BilanSocial[[#This Row],[NumL]],T_Equipement[#Data],COLUMN(T_Equipement[[#This Row],[PC]]),FALSE))</f>
        <v xml:space="preserve">20-330	</v>
      </c>
      <c r="CC257" s="166" t="str">
        <f>IFERROR(IF(VLOOKUP(T_BilanSocial[[#This Row],[NumL]],T_TraitDi[#Data],COLUMN(T_TraitDi[[#This Row],[Plan]]),FALSE)="OK","Un planning spécifique de télétravail est annexé à la présente convention.",""),"")</f>
        <v/>
      </c>
      <c r="CD257" s="258" t="s">
        <v>3403</v>
      </c>
      <c r="CE257" s="164" t="e">
        <f>IF(VLOOKUP(T_BilanSocial[[#This Row],[NumL]],T_suiviDi[#Data],COLUMN(T_suiviDi[[#This Row],[Entité]]),FALSE)="","",VLOOKUP(T_BilanSocial[[#This Row],[NumL]],T_suiviDi[#Data],COLUMN(T_suiviDi[[#This Row],[Entité]]),FALSE))</f>
        <v>#VALUE!</v>
      </c>
      <c r="CF257" s="164" t="str">
        <f>IF(VLOOKUP(T_BilanSocial[[#This Row],[NumL]],T_Commission[#Data],COLUMN(T_Commission[[#This Row],[envoi confirm TW]]),FALSE)="","",VLOOKUP(T_BilanSocial[[#This Row],[NumL]],T_Commission[#Data],COLUMN(T_Commission[[#This Row],[envoi confirm TW]]),FALSE))</f>
        <v>Oui</v>
      </c>
      <c r="CG25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7" s="262" t="str">
        <f>T_BilanSocial[[#This Row],[Nom]]&amp;T_BilanSocial[[#This Row],[Prenom]]</f>
        <v/>
      </c>
      <c r="CI257" s="262">
        <f>VLOOKUP(T_BilanSocial[[#This Row],[NumL]],T_Commission[#Data],COLUMN(T_Commission[Commentaire]),FALSE)</f>
        <v>0</v>
      </c>
      <c r="CJ257" s="262" t="str">
        <f>IF(VLOOKUP(T_BilanSocial[[#This Row],[NumL]],T_Commission[#Data],COLUMN(T_Commission[Encadrant Email]),FALSE)="","",VLOOKUP(T_BilanSocial[[#This Row],[NumL]],T_Commission[#Data],COLUMN(T_Commission[Encadrant Email]),FALSE))</f>
        <v/>
      </c>
      <c r="CK257" s="340" t="str">
        <f>IF(T_BilanSocial[[#This Row],[Final]]&lt;&gt;"",VLOOKUP(T_BilanSocial[[#This Row],[NumL]],T_suiviDi[#Data],COLUMN((T_suiviDi[Statut])),FALSE),"")</f>
        <v/>
      </c>
    </row>
    <row r="258" spans="1:89" s="106" customFormat="1" ht="24.75" customHeight="1" x14ac:dyDescent="0.25">
      <c r="A258" s="160">
        <v>255</v>
      </c>
      <c r="B258" s="161" t="str">
        <f t="shared" si="34"/>
        <v/>
      </c>
      <c r="C258" s="162" t="s">
        <v>173</v>
      </c>
      <c r="D258" s="95" t="e">
        <f>IF(VLOOKUP(T_BilanSocial[[#This Row],[NumL]],T_TraitDi[#Data],COLUMN(T_TraitDi[[#This Row],[WebC]]),FALSE)="","",VLOOKUP(T_BilanSocial[[#This Row],[NumL]],T_TraitDi[#Data],COLUMN(T_TraitDi[[#This Row],[WebC]]),FALSE))</f>
        <v>#VALUE!</v>
      </c>
      <c r="E258" s="163" t="str">
        <f t="shared" si="35"/>
        <v>12 janvier 2021</v>
      </c>
      <c r="F258" s="96" t="str">
        <f>IF(T_BilanSocial[[#This Row],[Final]]&lt;&gt;"",VLOOKUP(T_BilanSocial[[#This Row],[NumL]],T_suiviDi[#Data],COLUMN((T_suiviDi[Civ.])),FALSE),"")</f>
        <v/>
      </c>
      <c r="G258" s="96" t="str">
        <f>IF(T_BilanSocial[[#This Row],[Final]]&lt;&gt;"",VLOOKUP(T_BilanSocial[[#This Row],[NumL]],T_suiviDi[#Data],COLUMN((T_suiviDi[Nom])),FALSE),"")</f>
        <v/>
      </c>
      <c r="H258" s="96" t="str">
        <f>IF(T_BilanSocial[[#This Row],[Final]]&lt;&gt;"",VLOOKUP(T_BilanSocial[[#This Row],[NumL]],T_suiviDi[#Data],COLUMN((T_suiviDi[Prénom])),FALSE),"")</f>
        <v/>
      </c>
      <c r="I258" s="96" t="str">
        <f>IFERROR(VLOOKUP(T_BilanSocial[[#This Row],[Zone_Bilan]],T_P_BilanSocial[#Data],COLUMN(T_P_BilanSocial[[#This Row],[Numero_SIHAM]]),FALSE),"")</f>
        <v/>
      </c>
      <c r="J258" s="96" t="str">
        <f>IFERROR(VLOOKUP(T_BilanSocial[[#This Row],[Zone_Bilan]],T_P_BilanSocial[#Data],COLUMN(T_P_BilanSocial[[#This Row],[Sexe]]),FALSE),"")</f>
        <v/>
      </c>
      <c r="K258" s="97" t="str">
        <f>IFERROR(VLOOKUP(T_BilanSocial[[#This Row],[Zone_Bilan]],T_P_BilanSocial[#Data],COLUMN(T_P_BilanSocial[[#This Row],[Categorie]]),FALSE),"")</f>
        <v/>
      </c>
      <c r="L258" s="96" t="str">
        <f>IFERROR(VLOOKUP(T_BilanSocial[[#This Row],[Zone_Bilan]],T_P_BilanSocial[#Data],COLUMN(T_P_BilanSocial[[#This Row],[Statut]]),FALSE),"")</f>
        <v/>
      </c>
      <c r="M258" s="96" t="str">
        <f>IFERROR(VLOOKUP(T_BilanSocial[[#This Row],[Zone_Bilan]],T_P_BilanSocial[#Data],COLUMN(T_P_BilanSocial[[#This Row],[Filiere]]),FALSE),"")</f>
        <v/>
      </c>
      <c r="N258" s="96" t="e">
        <f>VLOOKUP(T_BilanSocial[[#This Row],[NumL]],T_TraitDi[#Data],COLUMN(T_TraitDi[EXP]),FALSE)</f>
        <v>#N/A</v>
      </c>
      <c r="O258" s="96" t="e">
        <f>VLOOKUP(T_BilanSocial[[#This Row],[NumL]],T_TraitDi[#Data],COLUMN(T_TraitDi[FORM]),FALSE)</f>
        <v>#N/A</v>
      </c>
      <c r="P258" s="96" t="str">
        <f>IF(T_BilanSocial[[#This Row],[Final]]&lt;&gt;"",VLOOKUP(T_BilanSocial[[#This Row],[NumL]],T_suiviDi[#Data],COLUMN((T_suiviDi[Email])),FALSE),"")</f>
        <v/>
      </c>
      <c r="Q258" s="164" t="e">
        <f t="shared" si="40"/>
        <v>#N/A</v>
      </c>
      <c r="R258" s="164" t="e">
        <f t="shared" si="41"/>
        <v>#N/A</v>
      </c>
      <c r="S258" s="164" t="e">
        <f>IF(VLOOKUP(T_BilanSocial[[#This Row],[NumL]],T_suiviDi[#Data],COLUMN(T_suiviDi[[#This Row],[Service ]]),FALSE)="","",VLOOKUP(T_BilanSocial[[#This Row],[NumL]],T_suiviDi[#Data],COLUMN(T_suiviDi[[#This Row],[Service ]]),FALSE))</f>
        <v>#VALUE!</v>
      </c>
      <c r="T258" s="164" t="str">
        <f t="shared" si="36"/>
        <v>01 septembre 2021</v>
      </c>
      <c r="U258" s="164" t="str">
        <f t="shared" si="37"/>
        <v>30 novembre 2021</v>
      </c>
      <c r="V258" s="164" t="str">
        <f t="shared" si="44"/>
        <v>30 novembre 2021</v>
      </c>
      <c r="W258" s="176" t="e">
        <f>IF(VLOOKUP(T_BilanSocial[[#This Row],[NumL]],T_TraitDi[#Data],COLUMN(T_TraitDi[[#This Row],[M1]]),FALSE)="","",VLOOKUP(T_BilanSocial[[#This Row],[NumL]],T_TraitDi[#Data],COLUMN(T_TraitDi[[#This Row],[M1]]),FALSE))</f>
        <v>#VALUE!</v>
      </c>
      <c r="X258" s="176" t="e">
        <f>IF(VLOOKUP(T_BilanSocial[[#This Row],[NumL]],T_TraitDi[#Data],COLUMN(T_TraitDi[[#This Row],[M2]]),FALSE)="","",VLOOKUP(T_BilanSocial[[#This Row],[NumL]],T_TraitDi[#Data],COLUMN(T_TraitDi[[#This Row],[M2]]),FALSE))</f>
        <v>#VALUE!</v>
      </c>
      <c r="Y258" s="176" t="e">
        <f>IF(VLOOKUP(T_BilanSocial[[#This Row],[NumL]],T_TraitDi[#Data],COLUMN(T_TraitDi[[#This Row],[M3]]),FALSE)="","",VLOOKUP(T_BilanSocial[[#This Row],[NumL]],T_TraitDi[#Data],COLUMN(T_TraitDi[[#This Row],[M3]]),FALSE))</f>
        <v>#VALUE!</v>
      </c>
      <c r="Z258" s="176" t="str">
        <f t="shared" si="39"/>
        <v/>
      </c>
      <c r="AA258" s="176" t="e">
        <f>IF(VLOOKUP(T_BilanSocial[[#This Row],[NumL]],T_TraitDi[#Data],COLUMN(T_TraitDi[[#This Row],[M5]]),FALSE)="","",VLOOKUP(T_BilanSocial[[#This Row],[NumL]],T_TraitDi[#Data],COLUMN(T_TraitDi[[#This Row],[M5]]),FALSE))</f>
        <v>#VALUE!</v>
      </c>
      <c r="AB258" s="176" t="e">
        <f>IF(VLOOKUP(T_BilanSocial[[#This Row],[NumL]],T_TraitDi[#Data],COLUMN(T_TraitDi[[#This Row],[M6]]),FALSE)="","",VLOOKUP(T_BilanSocial[[#This Row],[NumL]],T_TraitDi[#Data],COLUMN(T_TraitDi[[#This Row],[M6]]),FALSE))</f>
        <v>#VALUE!</v>
      </c>
      <c r="AC258" s="165" t="e">
        <f t="shared" si="38"/>
        <v>#VALUE!</v>
      </c>
      <c r="AD258" s="188" t="str">
        <f>IFERROR(TEXT(VLOOKUP(T_BilanSocial[[#This Row],[NumL]],T_TraitDi[#Data],COLUMN(T_TraitDi[[#This Row],[Q2]]),FALSE),"###%"),"")</f>
        <v/>
      </c>
      <c r="AE258" s="97" t="e">
        <f>VLOOKUP(T_BilanSocial[[#This Row],[NumL]],T_TraitDi[#Data],COLUMN(T_TraitDi[[#This Row],[Reg Ponct]]),FALSE)</f>
        <v>#VALUE!</v>
      </c>
      <c r="AF258" s="97" t="e">
        <f>VLOOKUP(T_BilanSocial[NumL],T_TraitDi[#Data],COLUMN(T_TraitDi[[#This Row],[Jours flottants]]),FALSE)</f>
        <v>#VALUE!</v>
      </c>
      <c r="AG258" s="97" t="str">
        <f>IFERROR(VLOOKUP(T_BilanSocial[[#This Row],[NumL]],T_TraitDi[#Data],COLUMN(T_TraitDi[[#This Row],[Lundi]]),FALSE),"")</f>
        <v/>
      </c>
      <c r="AH258" s="172" t="e">
        <f>IF(VLOOKUP(T_BilanSocial[[#This Row],[NumL]],T_TraitDi[#Data],COLUMN(T_TraitDi[[#This Row],[Colonne3]]),FALSE)=0,"",TEXT(IFERROR(VLOOKUP(T_BilanSocial[[#This Row],[NumL]],T_TraitDi[#Data],COLUMN(T_TraitDi[[#This Row],[Colonne3]]),FALSE),""),"[hh]:mm"))</f>
        <v>#VALUE!</v>
      </c>
      <c r="AI258" s="172" t="e">
        <f>IF(VLOOKUP(T_BilanSocial[[#This Row],[NumL]],T_TraitDi[#Data],COLUMN(T_TraitDi[[#This Row],[Colonne4]]),FALSE)=0,"",TEXT(IFERROR(VLOOKUP(T_BilanSocial[[#This Row],[NumL]],T_TraitDi[#Data],COLUMN(T_TraitDi[[#This Row],[Colonne4]]),FALSE),""),"[hh]:mm"))</f>
        <v>#VALUE!</v>
      </c>
      <c r="AJ258" s="172" t="e">
        <f>IF(VLOOKUP(T_BilanSocial[[#This Row],[NumL]],T_TraitDi[#Data],COLUMN(T_TraitDi[[#This Row],[Colonne5]]),FALSE)=0,"",TEXT(IFERROR(VLOOKUP(T_BilanSocial[[#This Row],[NumL]],T_TraitDi[#Data],COLUMN(T_TraitDi[[#This Row],[Colonne5]]),FALSE),""),"[hh]:mm"))</f>
        <v>#VALUE!</v>
      </c>
      <c r="AK258" s="172" t="e">
        <f>IF(VLOOKUP(T_BilanSocial[[#This Row],[NumL]],T_TraitDi[#Data],COLUMN(T_TraitDi[[#This Row],[Colonne6]]),FALSE)=0,"",TEXT(IFERROR(VLOOKUP(T_BilanSocial[[#This Row],[NumL]],T_TraitDi[#Data],COLUMN(T_TraitDi[[#This Row],[Colonne6]]),FALSE),""),"[hh]:mm"))</f>
        <v>#VALUE!</v>
      </c>
      <c r="AL258" s="172" t="e">
        <f>IF(VLOOKUP(T_BilanSocial[[#This Row],[NumL]],T_TraitDi[#Data],COLUMN(T_TraitDi[[#This Row],[Colonne7]]),FALSE)=0,"",TEXT(IFERROR(VLOOKUP(T_BilanSocial[[#This Row],[NumL]],T_TraitDi[#Data],COLUMN(T_TraitDi[[#This Row],[Colonne7]]),FALSE),""),"[hh]:mm"))</f>
        <v>#VALUE!</v>
      </c>
      <c r="AM258" s="172" t="e">
        <f>IF(VLOOKUP(T_BilanSocial[[#This Row],[NumL]],T_TraitDi[#Data],COLUMN(T_TraitDi[[#This Row],[Colonne8]]),FALSE)=0,"",TEXT(IFERROR(VLOOKUP(T_BilanSocial[[#This Row],[NumL]],T_TraitDi[#Data],COLUMN(T_TraitDi[[#This Row],[Colonne8]]),FALSE),""),"[hh]:mm"))</f>
        <v>#VALUE!</v>
      </c>
      <c r="AN258" s="172" t="str">
        <f>IFERROR(VLOOKUP(T_BilanSocial[[#This Row],[NumL]],T_TraitDi[#Data],COLUMN(T_TraitDi[[#This Row],[Mardi]]),FALSE),"")</f>
        <v/>
      </c>
      <c r="AO258" s="172" t="e">
        <f>IF(VLOOKUP(T_BilanSocial[[#This Row],[NumL]],T_TraitDi[#Data],COLUMN(T_TraitDi[[#This Row],[Colonne1]]),FALSE)=0,"",TEXT(IFERROR(VLOOKUP(T_BilanSocial[[#This Row],[NumL]],T_TraitDi[#Data],COLUMN(T_TraitDi[[#This Row],[Colonne1]]),FALSE),""),"[hh]:mm"))</f>
        <v>#VALUE!</v>
      </c>
      <c r="AP258" s="172" t="e">
        <f>IF(VLOOKUP(T_BilanSocial[[#This Row],[NumL]],T_TraitDi[#Data],COLUMN(T_TraitDi[[#This Row],[Colonne9]]),FALSE)=0,"",TEXT(IFERROR(VLOOKUP(T_BilanSocial[[#This Row],[NumL]],T_TraitDi[#Data],COLUMN(T_TraitDi[[#This Row],[Colonne9]]),FALSE),""),"[hh]:mm"))</f>
        <v>#VALUE!</v>
      </c>
      <c r="AQ258" s="172" t="str">
        <f>IFERROR(VLOOKUP(T_BilanSocial[[#This Row],[NumL]],T_TraitDi[#Data],COLUMN(T_TraitDi[[#This Row],[Colonne10]]),FALSE),"")</f>
        <v/>
      </c>
      <c r="AR258" s="172" t="e">
        <f>IF(VLOOKUP(T_BilanSocial[[#This Row],[NumL]],T_TraitDi[#Data],COLUMN(T_TraitDi[[#This Row],[Colonne11]]),FALSE)=0,"",TEXT(IFERROR(VLOOKUP(T_BilanSocial[[#This Row],[NumL]],T_TraitDi[#Data],COLUMN(T_TraitDi[[#This Row],[Colonne11]]),FALSE),""),"[hh]:mm"))</f>
        <v>#VALUE!</v>
      </c>
      <c r="AS258" s="172" t="e">
        <f>IF(VLOOKUP(T_BilanSocial[[#This Row],[NumL]],T_TraitDi[#Data],COLUMN(T_TraitDi[[#This Row],[Colonne12]]),FALSE)=0,"",TEXT(IFERROR(VLOOKUP(T_BilanSocial[[#This Row],[NumL]],T_TraitDi[#Data],COLUMN(T_TraitDi[[#This Row],[Colonne12]]),FALSE),""),"[hh]:mm"))</f>
        <v>#VALUE!</v>
      </c>
      <c r="AT258" s="172" t="e">
        <f>IF(VLOOKUP(T_BilanSocial[[#This Row],[NumL]],T_TraitDi[#Data],COLUMN(T_TraitDi[[#This Row],[Colonne14]]),FALSE)=0,"",TEXT(IFERROR(VLOOKUP(T_BilanSocial[[#This Row],[NumL]],T_TraitDi[#Data],COLUMN(T_TraitDi[[#This Row],[Colonne14]]),FALSE),""),"[hh]:mm"))</f>
        <v>#VALUE!</v>
      </c>
      <c r="AU258" s="172" t="str">
        <f>IFERROR(VLOOKUP(T_BilanSocial[[#This Row],[NumL]],T_TraitDi[#Data],COLUMN(T_TraitDi[[#This Row],[Mercredi]]),FALSE),"")</f>
        <v/>
      </c>
      <c r="AV258" s="172" t="e">
        <f>IF(VLOOKUP(T_BilanSocial[[#This Row],[NumL]],T_TraitDi[#Data],COLUMN(T_TraitDi[[#This Row],[Colonne15]]),FALSE)=0,"",TEXT(IFERROR(VLOOKUP(T_BilanSocial[[#This Row],[NumL]],T_TraitDi[#Data],COLUMN(T_TraitDi[[#This Row],[Colonne15]]),FALSE),""),"[hh]:mm"))</f>
        <v>#VALUE!</v>
      </c>
      <c r="AW258" s="172" t="e">
        <f>IF(VLOOKUP(T_BilanSocial[[#This Row],[NumL]],T_TraitDi[#Data],COLUMN(T_TraitDi[[#This Row],[Colonne16]]),FALSE)=0,"",TEXT(IFERROR(VLOOKUP(T_BilanSocial[[#This Row],[NumL]],T_TraitDi[#Data],COLUMN(T_TraitDi[[#This Row],[Colonne16]]),FALSE),""),"[hh]:mm"))</f>
        <v>#VALUE!</v>
      </c>
      <c r="AX258" s="172" t="str">
        <f>IFERROR(VLOOKUP(T_BilanSocial[[#This Row],[NumL]],T_TraitDi[#Data],COLUMN(T_TraitDi[[#This Row],[Colonne17]]),FALSE),"")</f>
        <v/>
      </c>
      <c r="AY258" s="172" t="e">
        <f>IF(VLOOKUP(T_BilanSocial[[#This Row],[NumL]],T_TraitDi[#Data],COLUMN(T_TraitDi[[#This Row],[Colonne18]]),FALSE)=0,"",TEXT(IFERROR(VLOOKUP(T_BilanSocial[[#This Row],[NumL]],T_TraitDi[#Data],COLUMN(T_TraitDi[[#This Row],[Colonne18]]),FALSE),""),"[hh]:mm"))</f>
        <v>#VALUE!</v>
      </c>
      <c r="AZ258" s="172" t="e">
        <f>IF(VLOOKUP(T_BilanSocial[[#This Row],[NumL]],T_TraitDi[#Data],COLUMN(T_TraitDi[[#This Row],[Colonne19]]),FALSE)=0,"",TEXT(IFERROR(VLOOKUP(T_BilanSocial[[#This Row],[NumL]],T_TraitDi[#Data],COLUMN(T_TraitDi[[#This Row],[Colonne19]]),FALSE),""),"[hh]:mm"))</f>
        <v>#VALUE!</v>
      </c>
      <c r="BA258" s="172" t="e">
        <f>IF(VLOOKUP(T_BilanSocial[[#This Row],[NumL]],T_TraitDi[#Data],COLUMN(T_TraitDi[[#This Row],[Colonne20]]),FALSE)=0,"",TEXT(IFERROR(VLOOKUP(T_BilanSocial[[#This Row],[NumL]],T_TraitDi[#Data],COLUMN(T_TraitDi[[#This Row],[Colonne20]]),FALSE),""),"[hh]:mm"))</f>
        <v>#VALUE!</v>
      </c>
      <c r="BB258" s="178" t="str">
        <f>IFERROR(VLOOKUP(T_BilanSocial[[#This Row],[NumL]],T_TraitDi[#Data],COLUMN(T_TraitDi[[#This Row],[Jeudi]]),FALSE),"")</f>
        <v/>
      </c>
      <c r="BC258" s="178" t="e">
        <f>IF(VLOOKUP(T_BilanSocial[[#This Row],[NumL]],T_TraitDi[#Data],COLUMN(T_TraitDi[[#This Row],[Colonne21]]),FALSE)=0,"",TEXT(IFERROR(VLOOKUP(T_BilanSocial[[#This Row],[NumL]],T_TraitDi[#Data],COLUMN(T_TraitDi[[#This Row],[Colonne21]]),FALSE),""),"[hh]:mm"))</f>
        <v>#VALUE!</v>
      </c>
      <c r="BD258" s="178" t="e">
        <f>IF(VLOOKUP(T_BilanSocial[[#This Row],[NumL]],T_TraitDi[#Data],COLUMN(T_TraitDi[[#This Row],[Colonne22]]),FALSE)=0,"",TEXT(IFERROR(VLOOKUP(T_BilanSocial[[#This Row],[NumL]],T_TraitDi[#Data],COLUMN(T_TraitDi[[#This Row],[Colonne22]]),FALSE),""),"[hh]:mm"))</f>
        <v>#VALUE!</v>
      </c>
      <c r="BE258" s="178" t="str">
        <f>IFERROR(VLOOKUP(T_BilanSocial[[#This Row],[NumL]],T_TraitDi[#Data],COLUMN(T_TraitDi[[#This Row],[Colonne23]]),FALSE),"")</f>
        <v/>
      </c>
      <c r="BF258" s="178" t="e">
        <f>IF(VLOOKUP(T_BilanSocial[[#This Row],[NumL]],T_TraitDi[#Data],COLUMN(T_TraitDi[[#This Row],[Colonne24]]),FALSE)=0,"",TEXT(IFERROR(VLOOKUP(T_BilanSocial[[#This Row],[NumL]],T_TraitDi[#Data],COLUMN(T_TraitDi[[#This Row],[Colonne24]]),FALSE),""),"[hh]:mm"))</f>
        <v>#VALUE!</v>
      </c>
      <c r="BG258" s="178" t="e">
        <f>IF(VLOOKUP(T_BilanSocial[[#This Row],[NumL]],T_TraitDi[#Data],COLUMN(T_TraitDi[[#This Row],[Colonne25]]),FALSE)=0,"",TEXT(IFERROR(VLOOKUP(T_BilanSocial[[#This Row],[NumL]],T_TraitDi[#Data],COLUMN(T_TraitDi[[#This Row],[Colonne25]]),FALSE),""),"[hh]:mm"))</f>
        <v>#VALUE!</v>
      </c>
      <c r="BH258" s="178" t="e">
        <f>IF(VLOOKUP(T_BilanSocial[[#This Row],[NumL]],T_TraitDi[#Data],COLUMN(T_TraitDi[[#This Row],[Colonne26]]),FALSE)=0,"",TEXT(IFERROR(VLOOKUP(T_BilanSocial[[#This Row],[NumL]],T_TraitDi[#Data],COLUMN(T_TraitDi[[#This Row],[Colonne26]]),FALSE),""),"[hh]:mm"))</f>
        <v>#VALUE!</v>
      </c>
      <c r="BI258" s="172" t="str">
        <f>IFERROR(VLOOKUP(T_BilanSocial[[#This Row],[NumL]],T_TraitDi[#Data],COLUMN(T_TraitDi[[#This Row],[Vendredi]]),FALSE),"")</f>
        <v/>
      </c>
      <c r="BJ258" s="172" t="e">
        <f>IF(VLOOKUP(T_BilanSocial[[#This Row],[NumL]],T_TraitDi[#Data],COLUMN(T_TraitDi[[#This Row],[Colonne27]]),FALSE)=0,"",TEXT(IFERROR(VLOOKUP(T_BilanSocial[[#This Row],[NumL]],T_TraitDi[#Data],COLUMN(T_TraitDi[[#This Row],[Colonne27]]),FALSE),""),"[hh]:mm"))</f>
        <v>#VALUE!</v>
      </c>
      <c r="BK258" s="172" t="e">
        <f>IF(VLOOKUP(T_BilanSocial[[#This Row],[NumL]],T_TraitDi[#Data],COLUMN(T_TraitDi[[#This Row],[Colonne28]]),FALSE)=0,"",TEXT(IFERROR(VLOOKUP(T_BilanSocial[[#This Row],[NumL]],T_TraitDi[#Data],COLUMN(T_TraitDi[[#This Row],[Colonne28]]),FALSE),""),"[hh]:mm"))</f>
        <v>#VALUE!</v>
      </c>
      <c r="BL258" s="172" t="str">
        <f>IFERROR(VLOOKUP(T_BilanSocial[[#This Row],[NumL]],T_TraitDi[#Data],COLUMN(T_TraitDi[[#This Row],[Colonne29]]),FALSE),"")</f>
        <v/>
      </c>
      <c r="BM258" s="172" t="e">
        <f>IF(VLOOKUP(T_BilanSocial[[#This Row],[NumL]],T_TraitDi[#Data],COLUMN(T_TraitDi[[#This Row],[Colonne30]]),FALSE)=0,"",TEXT(IFERROR(VLOOKUP(T_BilanSocial[[#This Row],[NumL]],T_TraitDi[#Data],COLUMN(T_TraitDi[[#This Row],[Colonne30]]),FALSE),""),"[hh]:mm"))</f>
        <v>#VALUE!</v>
      </c>
      <c r="BN258" s="172" t="e">
        <f>IF(VLOOKUP(T_BilanSocial[[#This Row],[NumL]],T_TraitDi[#Data],COLUMN(T_TraitDi[[#This Row],[Colonne31]]),FALSE)=0,"",TEXT(IFERROR(VLOOKUP(T_BilanSocial[[#This Row],[NumL]],T_TraitDi[#Data],COLUMN(T_TraitDi[[#This Row],[Colonne31]]),FALSE),""),"[hh]:mm"))</f>
        <v>#VALUE!</v>
      </c>
      <c r="BO258" s="172" t="e">
        <f>IF(VLOOKUP(T_BilanSocial[[#This Row],[NumL]],T_TraitDi[#Data],COLUMN(T_TraitDi[[#This Row],[Colonne32]]),FALSE)=0,"",TEXT(IFERROR(VLOOKUP(T_BilanSocial[[#This Row],[NumL]],T_TraitDi[#Data],COLUMN(T_TraitDi[[#This Row],[Colonne32]]),FALSE),""),"[hh]:mm"))</f>
        <v>#VALUE!</v>
      </c>
      <c r="BP258" s="172" t="e">
        <f>VLOOKUP(T_BilanSocial[[#This Row],[NumL]],T_TraitDi[#Data],COLUMN(T_TraitDi[NbJTot]),FALSE)</f>
        <v>#N/A</v>
      </c>
      <c r="BQ258" s="174" t="str">
        <f>IFERROR(VLOOKUP(T_BilanSocial[[#This Row],[NumL]],T_TraitDi[#Data],COLUMN(T_TraitDi[[#This Row],[NbJTW]]),FALSE),"")</f>
        <v/>
      </c>
      <c r="BR258" s="174" t="e">
        <f>IF(VLOOKUP(T_BilanSocial[[#This Row],[NumL]],T_TraitDi[#Data],COLUMN(T_TraitDi[[#This Row],[NbhTW]]),FALSE)=0,"",TEXT(IFERROR(VLOOKUP(T_BilanSocial[[#This Row],[NumL]],T_TraitDi[#Data],COLUMN(T_TraitDi[[#This Row],[NbhTW]]),FALSE),""),"[hh]:mm"))</f>
        <v>#VALUE!</v>
      </c>
      <c r="BS258" s="174" t="e">
        <f>IF(VLOOKUP(T_BilanSocial[[#This Row],[NumL]],T_TraitDi[#Data],COLUMN(T_TraitDi[[#This Row],[Nbhheb]]),FALSE)=0,"",TEXT(IFERROR(VLOOKUP($A258,T_TraitDi[#Data],COLUMN(T_TraitDi[[#This Row],[Nbhheb]]),FALSE),""),"[hh]:mm"))</f>
        <v>#VALUE!</v>
      </c>
      <c r="BT258" s="182" t="str">
        <f>IFERROR(VLOOKUP(VLOOKUP($A258,T_TraitDi[#Data],COLUMN(T_TraitDi[[#This Row],[Type1]]),FALSE),TypeTW,2,FALSE),"")</f>
        <v/>
      </c>
      <c r="BU258" s="182" t="str">
        <f>IFERROR(VLOOKUP($A258,T_TraitDi[#Data],COLUMN(T_TraitDi[[#This Row],[Rue1]]),FALSE),"")</f>
        <v/>
      </c>
      <c r="BV258" s="173" t="str">
        <f>IFERROR(VLOOKUP($A258,T_TraitDi[#Data],COLUMN(T_TraitDi[[#This Row],[CP1]]),FALSE),"")</f>
        <v/>
      </c>
      <c r="BW258" s="173" t="str">
        <f>IFERROR(VLOOKUP($A258,T_TraitDi[#Data],COLUMN(T_TraitDi[[#This Row],[VILLE1]]),FALSE),"")</f>
        <v/>
      </c>
      <c r="BX258" s="182" t="str">
        <f>IFERROR(VLOOKUP(VLOOKUP($A258,T_TraitDi[#Data],COLUMN(T_TraitDi[[#This Row],[Type2]]),FALSE),TypeTW,2,FALSE),"")</f>
        <v/>
      </c>
      <c r="BY258" s="182" t="str">
        <f>IFERROR(VLOOKUP($A258,T_TraitDi[#Data],COLUMN(T_TraitDi[[#This Row],[Rue2]]),FALSE),"")</f>
        <v/>
      </c>
      <c r="BZ258" s="173" t="str">
        <f>IFERROR(VLOOKUP($A258,T_TraitDi[#Data],COLUMN(T_TraitDi[[#This Row],[CP2]]),FALSE),"")</f>
        <v/>
      </c>
      <c r="CA258" s="173" t="str">
        <f>IFERROR(VLOOKUP($A258,T_TraitDi[#Data],COLUMN(T_TraitDi[[#This Row],[VILLE2]]),FALSE),"")</f>
        <v/>
      </c>
      <c r="CB258" s="182" t="str">
        <f>IF(VLOOKUP(T_BilanSocial[[#This Row],[NumL]],T_Equipement[#Data],COLUMN(T_Equipement[[#This Row],[PC]]),FALSE)="","Aucun équipement spécifique directement lié au télétravail",VLOOKUP(T_BilanSocial[[#This Row],[NumL]],T_Equipement[#Data],COLUMN(T_Equipement[[#This Row],[PC]]),FALSE))</f>
        <v xml:space="preserve">20-337	</v>
      </c>
      <c r="CC258" s="166" t="str">
        <f>IFERROR(IF(VLOOKUP(T_BilanSocial[[#This Row],[NumL]],T_TraitDi[#Data],COLUMN(T_TraitDi[[#This Row],[Plan]]),FALSE)="OK","Un planning spécifique de télétravail est annexé à la présente convention.",""),"")</f>
        <v/>
      </c>
      <c r="CD258" s="258" t="s">
        <v>3404</v>
      </c>
      <c r="CE258" s="164" t="e">
        <f>IF(VLOOKUP(T_BilanSocial[[#This Row],[NumL]],T_suiviDi[#Data],COLUMN(T_suiviDi[[#This Row],[Entité]]),FALSE)="","",VLOOKUP(T_BilanSocial[[#This Row],[NumL]],T_suiviDi[#Data],COLUMN(T_suiviDi[[#This Row],[Entité]]),FALSE))</f>
        <v>#VALUE!</v>
      </c>
      <c r="CF258" s="164" t="str">
        <f>IF(VLOOKUP(T_BilanSocial[[#This Row],[NumL]],T_Commission[#Data],COLUMN(T_Commission[[#This Row],[envoi confirm TW]]),FALSE)="","",VLOOKUP(T_BilanSocial[[#This Row],[NumL]],T_Commission[#Data],COLUMN(T_Commission[[#This Row],[envoi confirm TW]]),FALSE))</f>
        <v>Oui</v>
      </c>
      <c r="CG25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8" s="262" t="str">
        <f>T_BilanSocial[[#This Row],[Nom]]&amp;T_BilanSocial[[#This Row],[Prenom]]</f>
        <v/>
      </c>
      <c r="CI258" s="262">
        <f>VLOOKUP(T_BilanSocial[[#This Row],[NumL]],T_Commission[#Data],COLUMN(T_Commission[Commentaire]),FALSE)</f>
        <v>0</v>
      </c>
      <c r="CJ258" s="262" t="str">
        <f>IF(VLOOKUP(T_BilanSocial[[#This Row],[NumL]],T_Commission[#Data],COLUMN(T_Commission[Encadrant Email]),FALSE)="","",VLOOKUP(T_BilanSocial[[#This Row],[NumL]],T_Commission[#Data],COLUMN(T_Commission[Encadrant Email]),FALSE))</f>
        <v/>
      </c>
      <c r="CK258" s="340" t="str">
        <f>IF(T_BilanSocial[[#This Row],[Final]]&lt;&gt;"",VLOOKUP(T_BilanSocial[[#This Row],[NumL]],T_suiviDi[#Data],COLUMN((T_suiviDi[Statut])),FALSE),"")</f>
        <v/>
      </c>
    </row>
    <row r="259" spans="1:89" s="106" customFormat="1" ht="24.75" customHeight="1" x14ac:dyDescent="0.25">
      <c r="A259" s="160">
        <v>256</v>
      </c>
      <c r="B259" s="161" t="str">
        <f t="shared" si="34"/>
        <v/>
      </c>
      <c r="C259" s="162" t="s">
        <v>173</v>
      </c>
      <c r="D259" s="95" t="e">
        <f>IF(VLOOKUP(T_BilanSocial[[#This Row],[NumL]],T_TraitDi[#Data],COLUMN(T_TraitDi[[#This Row],[WebC]]),FALSE)="","",VLOOKUP(T_BilanSocial[[#This Row],[NumL]],T_TraitDi[#Data],COLUMN(T_TraitDi[[#This Row],[WebC]]),FALSE))</f>
        <v>#VALUE!</v>
      </c>
      <c r="E259" s="163" t="str">
        <f t="shared" si="35"/>
        <v>12 janvier 2021</v>
      </c>
      <c r="F259" s="96" t="str">
        <f>IF(T_BilanSocial[[#This Row],[Final]]&lt;&gt;"",VLOOKUP(T_BilanSocial[[#This Row],[NumL]],T_suiviDi[#Data],COLUMN((T_suiviDi[Civ.])),FALSE),"")</f>
        <v/>
      </c>
      <c r="G259" s="96" t="str">
        <f>IF(T_BilanSocial[[#This Row],[Final]]&lt;&gt;"",VLOOKUP(T_BilanSocial[[#This Row],[NumL]],T_suiviDi[#Data],COLUMN((T_suiviDi[Nom])),FALSE),"")</f>
        <v/>
      </c>
      <c r="H259" s="96" t="str">
        <f>IF(T_BilanSocial[[#This Row],[Final]]&lt;&gt;"",VLOOKUP(T_BilanSocial[[#This Row],[NumL]],T_suiviDi[#Data],COLUMN((T_suiviDi[Prénom])),FALSE),"")</f>
        <v/>
      </c>
      <c r="I259" s="96" t="str">
        <f>IFERROR(VLOOKUP(T_BilanSocial[[#This Row],[Zone_Bilan]],T_P_BilanSocial[#Data],COLUMN(T_P_BilanSocial[[#This Row],[Numero_SIHAM]]),FALSE),"")</f>
        <v/>
      </c>
      <c r="J259" s="96" t="str">
        <f>IFERROR(VLOOKUP(T_BilanSocial[[#This Row],[Zone_Bilan]],T_P_BilanSocial[#Data],COLUMN(T_P_BilanSocial[[#This Row],[Sexe]]),FALSE),"")</f>
        <v/>
      </c>
      <c r="K259" s="97" t="str">
        <f>IFERROR(VLOOKUP(T_BilanSocial[[#This Row],[Zone_Bilan]],T_P_BilanSocial[#Data],COLUMN(T_P_BilanSocial[[#This Row],[Categorie]]),FALSE),"")</f>
        <v/>
      </c>
      <c r="L259" s="96" t="str">
        <f>IFERROR(VLOOKUP(T_BilanSocial[[#This Row],[Zone_Bilan]],T_P_BilanSocial[#Data],COLUMN(T_P_BilanSocial[[#This Row],[Statut]]),FALSE),"")</f>
        <v/>
      </c>
      <c r="M259" s="96" t="str">
        <f>IFERROR(VLOOKUP(T_BilanSocial[[#This Row],[Zone_Bilan]],T_P_BilanSocial[#Data],COLUMN(T_P_BilanSocial[[#This Row],[Filiere]]),FALSE),"")</f>
        <v/>
      </c>
      <c r="N259" s="96" t="e">
        <f>VLOOKUP(T_BilanSocial[[#This Row],[NumL]],T_TraitDi[#Data],COLUMN(T_TraitDi[EXP]),FALSE)</f>
        <v>#N/A</v>
      </c>
      <c r="O259" s="96" t="e">
        <f>VLOOKUP(T_BilanSocial[[#This Row],[NumL]],T_TraitDi[#Data],COLUMN(T_TraitDi[FORM]),FALSE)</f>
        <v>#N/A</v>
      </c>
      <c r="P259" s="96" t="str">
        <f>IF(T_BilanSocial[[#This Row],[Final]]&lt;&gt;"",VLOOKUP(T_BilanSocial[[#This Row],[NumL]],T_suiviDi[#Data],COLUMN((T_suiviDi[Email])),FALSE),"")</f>
        <v/>
      </c>
      <c r="Q259" s="164" t="e">
        <f t="shared" si="40"/>
        <v>#N/A</v>
      </c>
      <c r="R259" s="164" t="e">
        <f t="shared" si="41"/>
        <v>#N/A</v>
      </c>
      <c r="S259" s="164" t="e">
        <f>IF(VLOOKUP(T_BilanSocial[[#This Row],[NumL]],T_suiviDi[#Data],COLUMN(T_suiviDi[[#This Row],[Service ]]),FALSE)="","",VLOOKUP(T_BilanSocial[[#This Row],[NumL]],T_suiviDi[#Data],COLUMN(T_suiviDi[[#This Row],[Service ]]),FALSE))</f>
        <v>#VALUE!</v>
      </c>
      <c r="T259" s="164" t="str">
        <f t="shared" si="36"/>
        <v>01 septembre 2021</v>
      </c>
      <c r="U259" s="164" t="str">
        <f t="shared" si="37"/>
        <v>30 novembre 2021</v>
      </c>
      <c r="V259" s="164" t="str">
        <f t="shared" si="44"/>
        <v>30 novembre 2021</v>
      </c>
      <c r="W259" s="176" t="e">
        <f>IF(VLOOKUP(T_BilanSocial[[#This Row],[NumL]],T_TraitDi[#Data],COLUMN(T_TraitDi[[#This Row],[M1]]),FALSE)="","",VLOOKUP(T_BilanSocial[[#This Row],[NumL]],T_TraitDi[#Data],COLUMN(T_TraitDi[[#This Row],[M1]]),FALSE))</f>
        <v>#VALUE!</v>
      </c>
      <c r="X259" s="176" t="e">
        <f>IF(VLOOKUP(T_BilanSocial[[#This Row],[NumL]],T_TraitDi[#Data],COLUMN(T_TraitDi[[#This Row],[M2]]),FALSE)="","",VLOOKUP(T_BilanSocial[[#This Row],[NumL]],T_TraitDi[#Data],COLUMN(T_TraitDi[[#This Row],[M2]]),FALSE))</f>
        <v>#VALUE!</v>
      </c>
      <c r="Y259" s="176" t="e">
        <f>IF(VLOOKUP(T_BilanSocial[[#This Row],[NumL]],T_TraitDi[#Data],COLUMN(T_TraitDi[[#This Row],[M3]]),FALSE)="","",VLOOKUP(T_BilanSocial[[#This Row],[NumL]],T_TraitDi[#Data],COLUMN(T_TraitDi[[#This Row],[M3]]),FALSE))</f>
        <v>#VALUE!</v>
      </c>
      <c r="Z259" s="176" t="str">
        <f t="shared" si="39"/>
        <v/>
      </c>
      <c r="AA259" s="176" t="e">
        <f>IF(VLOOKUP(T_BilanSocial[[#This Row],[NumL]],T_TraitDi[#Data],COLUMN(T_TraitDi[[#This Row],[M5]]),FALSE)="","",VLOOKUP(T_BilanSocial[[#This Row],[NumL]],T_TraitDi[#Data],COLUMN(T_TraitDi[[#This Row],[M5]]),FALSE))</f>
        <v>#VALUE!</v>
      </c>
      <c r="AB259" s="176" t="e">
        <f>IF(VLOOKUP(T_BilanSocial[[#This Row],[NumL]],T_TraitDi[#Data],COLUMN(T_TraitDi[[#This Row],[M6]]),FALSE)="","",VLOOKUP(T_BilanSocial[[#This Row],[NumL]],T_TraitDi[#Data],COLUMN(T_TraitDi[[#This Row],[M6]]),FALSE))</f>
        <v>#VALUE!</v>
      </c>
      <c r="AC259" s="165" t="e">
        <f t="shared" si="38"/>
        <v>#VALUE!</v>
      </c>
      <c r="AD259" s="188" t="str">
        <f>IFERROR(TEXT(VLOOKUP(T_BilanSocial[[#This Row],[NumL]],T_TraitDi[#Data],COLUMN(T_TraitDi[[#This Row],[Q2]]),FALSE),"###%"),"")</f>
        <v/>
      </c>
      <c r="AE259" s="97" t="e">
        <f>VLOOKUP(T_BilanSocial[[#This Row],[NumL]],T_TraitDi[#Data],COLUMN(T_TraitDi[[#This Row],[Reg Ponct]]),FALSE)</f>
        <v>#VALUE!</v>
      </c>
      <c r="AF259" s="97" t="e">
        <f>VLOOKUP(T_BilanSocial[NumL],T_TraitDi[#Data],COLUMN(T_TraitDi[[#This Row],[Jours flottants]]),FALSE)</f>
        <v>#VALUE!</v>
      </c>
      <c r="AG259" s="97" t="str">
        <f>IFERROR(VLOOKUP(T_BilanSocial[[#This Row],[NumL]],T_TraitDi[#Data],COLUMN(T_TraitDi[[#This Row],[Lundi]]),FALSE),"")</f>
        <v/>
      </c>
      <c r="AH259" s="172" t="e">
        <f>IF(VLOOKUP(T_BilanSocial[[#This Row],[NumL]],T_TraitDi[#Data],COLUMN(T_TraitDi[[#This Row],[Colonne3]]),FALSE)=0,"",TEXT(IFERROR(VLOOKUP(T_BilanSocial[[#This Row],[NumL]],T_TraitDi[#Data],COLUMN(T_TraitDi[[#This Row],[Colonne3]]),FALSE),""),"[hh]:mm"))</f>
        <v>#VALUE!</v>
      </c>
      <c r="AI259" s="172" t="e">
        <f>IF(VLOOKUP(T_BilanSocial[[#This Row],[NumL]],T_TraitDi[#Data],COLUMN(T_TraitDi[[#This Row],[Colonne4]]),FALSE)=0,"",TEXT(IFERROR(VLOOKUP(T_BilanSocial[[#This Row],[NumL]],T_TraitDi[#Data],COLUMN(T_TraitDi[[#This Row],[Colonne4]]),FALSE),""),"[hh]:mm"))</f>
        <v>#VALUE!</v>
      </c>
      <c r="AJ259" s="172" t="e">
        <f>IF(VLOOKUP(T_BilanSocial[[#This Row],[NumL]],T_TraitDi[#Data],COLUMN(T_TraitDi[[#This Row],[Colonne5]]),FALSE)=0,"",TEXT(IFERROR(VLOOKUP(T_BilanSocial[[#This Row],[NumL]],T_TraitDi[#Data],COLUMN(T_TraitDi[[#This Row],[Colonne5]]),FALSE),""),"[hh]:mm"))</f>
        <v>#VALUE!</v>
      </c>
      <c r="AK259" s="172" t="e">
        <f>IF(VLOOKUP(T_BilanSocial[[#This Row],[NumL]],T_TraitDi[#Data],COLUMN(T_TraitDi[[#This Row],[Colonne6]]),FALSE)=0,"",TEXT(IFERROR(VLOOKUP(T_BilanSocial[[#This Row],[NumL]],T_TraitDi[#Data],COLUMN(T_TraitDi[[#This Row],[Colonne6]]),FALSE),""),"[hh]:mm"))</f>
        <v>#VALUE!</v>
      </c>
      <c r="AL259" s="172" t="e">
        <f>IF(VLOOKUP(T_BilanSocial[[#This Row],[NumL]],T_TraitDi[#Data],COLUMN(T_TraitDi[[#This Row],[Colonne7]]),FALSE)=0,"",TEXT(IFERROR(VLOOKUP(T_BilanSocial[[#This Row],[NumL]],T_TraitDi[#Data],COLUMN(T_TraitDi[[#This Row],[Colonne7]]),FALSE),""),"[hh]:mm"))</f>
        <v>#VALUE!</v>
      </c>
      <c r="AM259" s="172" t="e">
        <f>IF(VLOOKUP(T_BilanSocial[[#This Row],[NumL]],T_TraitDi[#Data],COLUMN(T_TraitDi[[#This Row],[Colonne8]]),FALSE)=0,"",TEXT(IFERROR(VLOOKUP(T_BilanSocial[[#This Row],[NumL]],T_TraitDi[#Data],COLUMN(T_TraitDi[[#This Row],[Colonne8]]),FALSE),""),"[hh]:mm"))</f>
        <v>#VALUE!</v>
      </c>
      <c r="AN259" s="172" t="str">
        <f>IFERROR(VLOOKUP(T_BilanSocial[[#This Row],[NumL]],T_TraitDi[#Data],COLUMN(T_TraitDi[[#This Row],[Mardi]]),FALSE),"")</f>
        <v/>
      </c>
      <c r="AO259" s="172" t="e">
        <f>IF(VLOOKUP(T_BilanSocial[[#This Row],[NumL]],T_TraitDi[#Data],COLUMN(T_TraitDi[[#This Row],[Colonne1]]),FALSE)=0,"",TEXT(IFERROR(VLOOKUP(T_BilanSocial[[#This Row],[NumL]],T_TraitDi[#Data],COLUMN(T_TraitDi[[#This Row],[Colonne1]]),FALSE),""),"[hh]:mm"))</f>
        <v>#VALUE!</v>
      </c>
      <c r="AP259" s="172" t="e">
        <f>IF(VLOOKUP(T_BilanSocial[[#This Row],[NumL]],T_TraitDi[#Data],COLUMN(T_TraitDi[[#This Row],[Colonne9]]),FALSE)=0,"",TEXT(IFERROR(VLOOKUP(T_BilanSocial[[#This Row],[NumL]],T_TraitDi[#Data],COLUMN(T_TraitDi[[#This Row],[Colonne9]]),FALSE),""),"[hh]:mm"))</f>
        <v>#VALUE!</v>
      </c>
      <c r="AQ259" s="172" t="str">
        <f>IFERROR(VLOOKUP(T_BilanSocial[[#This Row],[NumL]],T_TraitDi[#Data],COLUMN(T_TraitDi[[#This Row],[Colonne10]]),FALSE),"")</f>
        <v/>
      </c>
      <c r="AR259" s="172" t="e">
        <f>IF(VLOOKUP(T_BilanSocial[[#This Row],[NumL]],T_TraitDi[#Data],COLUMN(T_TraitDi[[#This Row],[Colonne11]]),FALSE)=0,"",TEXT(IFERROR(VLOOKUP(T_BilanSocial[[#This Row],[NumL]],T_TraitDi[#Data],COLUMN(T_TraitDi[[#This Row],[Colonne11]]),FALSE),""),"[hh]:mm"))</f>
        <v>#VALUE!</v>
      </c>
      <c r="AS259" s="172" t="e">
        <f>IF(VLOOKUP(T_BilanSocial[[#This Row],[NumL]],T_TraitDi[#Data],COLUMN(T_TraitDi[[#This Row],[Colonne12]]),FALSE)=0,"",TEXT(IFERROR(VLOOKUP(T_BilanSocial[[#This Row],[NumL]],T_TraitDi[#Data],COLUMN(T_TraitDi[[#This Row],[Colonne12]]),FALSE),""),"[hh]:mm"))</f>
        <v>#VALUE!</v>
      </c>
      <c r="AT259" s="172" t="e">
        <f>IF(VLOOKUP(T_BilanSocial[[#This Row],[NumL]],T_TraitDi[#Data],COLUMN(T_TraitDi[[#This Row],[Colonne14]]),FALSE)=0,"",TEXT(IFERROR(VLOOKUP(T_BilanSocial[[#This Row],[NumL]],T_TraitDi[#Data],COLUMN(T_TraitDi[[#This Row],[Colonne14]]),FALSE),""),"[hh]:mm"))</f>
        <v>#VALUE!</v>
      </c>
      <c r="AU259" s="172" t="str">
        <f>IFERROR(VLOOKUP(T_BilanSocial[[#This Row],[NumL]],T_TraitDi[#Data],COLUMN(T_TraitDi[[#This Row],[Mercredi]]),FALSE),"")</f>
        <v/>
      </c>
      <c r="AV259" s="172" t="e">
        <f>IF(VLOOKUP(T_BilanSocial[[#This Row],[NumL]],T_TraitDi[#Data],COLUMN(T_TraitDi[[#This Row],[Colonne15]]),FALSE)=0,"",TEXT(IFERROR(VLOOKUP(T_BilanSocial[[#This Row],[NumL]],T_TraitDi[#Data],COLUMN(T_TraitDi[[#This Row],[Colonne15]]),FALSE),""),"[hh]:mm"))</f>
        <v>#VALUE!</v>
      </c>
      <c r="AW259" s="172" t="e">
        <f>IF(VLOOKUP(T_BilanSocial[[#This Row],[NumL]],T_TraitDi[#Data],COLUMN(T_TraitDi[[#This Row],[Colonne16]]),FALSE)=0,"",TEXT(IFERROR(VLOOKUP(T_BilanSocial[[#This Row],[NumL]],T_TraitDi[#Data],COLUMN(T_TraitDi[[#This Row],[Colonne16]]),FALSE),""),"[hh]:mm"))</f>
        <v>#VALUE!</v>
      </c>
      <c r="AX259" s="172" t="str">
        <f>IFERROR(VLOOKUP(T_BilanSocial[[#This Row],[NumL]],T_TraitDi[#Data],COLUMN(T_TraitDi[[#This Row],[Colonne17]]),FALSE),"")</f>
        <v/>
      </c>
      <c r="AY259" s="172" t="e">
        <f>IF(VLOOKUP(T_BilanSocial[[#This Row],[NumL]],T_TraitDi[#Data],COLUMN(T_TraitDi[[#This Row],[Colonne18]]),FALSE)=0,"",TEXT(IFERROR(VLOOKUP(T_BilanSocial[[#This Row],[NumL]],T_TraitDi[#Data],COLUMN(T_TraitDi[[#This Row],[Colonne18]]),FALSE),""),"[hh]:mm"))</f>
        <v>#VALUE!</v>
      </c>
      <c r="AZ259" s="172" t="e">
        <f>IF(VLOOKUP(T_BilanSocial[[#This Row],[NumL]],T_TraitDi[#Data],COLUMN(T_TraitDi[[#This Row],[Colonne19]]),FALSE)=0,"",TEXT(IFERROR(VLOOKUP(T_BilanSocial[[#This Row],[NumL]],T_TraitDi[#Data],COLUMN(T_TraitDi[[#This Row],[Colonne19]]),FALSE),""),"[hh]:mm"))</f>
        <v>#VALUE!</v>
      </c>
      <c r="BA259" s="172" t="e">
        <f>IF(VLOOKUP(T_BilanSocial[[#This Row],[NumL]],T_TraitDi[#Data],COLUMN(T_TraitDi[[#This Row],[Colonne20]]),FALSE)=0,"",TEXT(IFERROR(VLOOKUP(T_BilanSocial[[#This Row],[NumL]],T_TraitDi[#Data],COLUMN(T_TraitDi[[#This Row],[Colonne20]]),FALSE),""),"[hh]:mm"))</f>
        <v>#VALUE!</v>
      </c>
      <c r="BB259" s="178" t="str">
        <f>IFERROR(VLOOKUP(T_BilanSocial[[#This Row],[NumL]],T_TraitDi[#Data],COLUMN(T_TraitDi[[#This Row],[Jeudi]]),FALSE),"")</f>
        <v/>
      </c>
      <c r="BC259" s="178" t="e">
        <f>IF(VLOOKUP(T_BilanSocial[[#This Row],[NumL]],T_TraitDi[#Data],COLUMN(T_TraitDi[[#This Row],[Colonne21]]),FALSE)=0,"",TEXT(IFERROR(VLOOKUP(T_BilanSocial[[#This Row],[NumL]],T_TraitDi[#Data],COLUMN(T_TraitDi[[#This Row],[Colonne21]]),FALSE),""),"[hh]:mm"))</f>
        <v>#VALUE!</v>
      </c>
      <c r="BD259" s="178" t="e">
        <f>IF(VLOOKUP(T_BilanSocial[[#This Row],[NumL]],T_TraitDi[#Data],COLUMN(T_TraitDi[[#This Row],[Colonne22]]),FALSE)=0,"",TEXT(IFERROR(VLOOKUP(T_BilanSocial[[#This Row],[NumL]],T_TraitDi[#Data],COLUMN(T_TraitDi[[#This Row],[Colonne22]]),FALSE),""),"[hh]:mm"))</f>
        <v>#VALUE!</v>
      </c>
      <c r="BE259" s="178" t="str">
        <f>IFERROR(VLOOKUP(T_BilanSocial[[#This Row],[NumL]],T_TraitDi[#Data],COLUMN(T_TraitDi[[#This Row],[Colonne23]]),FALSE),"")</f>
        <v/>
      </c>
      <c r="BF259" s="178" t="e">
        <f>IF(VLOOKUP(T_BilanSocial[[#This Row],[NumL]],T_TraitDi[#Data],COLUMN(T_TraitDi[[#This Row],[Colonne24]]),FALSE)=0,"",TEXT(IFERROR(VLOOKUP(T_BilanSocial[[#This Row],[NumL]],T_TraitDi[#Data],COLUMN(T_TraitDi[[#This Row],[Colonne24]]),FALSE),""),"[hh]:mm"))</f>
        <v>#VALUE!</v>
      </c>
      <c r="BG259" s="178" t="e">
        <f>IF(VLOOKUP(T_BilanSocial[[#This Row],[NumL]],T_TraitDi[#Data],COLUMN(T_TraitDi[[#This Row],[Colonne25]]),FALSE)=0,"",TEXT(IFERROR(VLOOKUP(T_BilanSocial[[#This Row],[NumL]],T_TraitDi[#Data],COLUMN(T_TraitDi[[#This Row],[Colonne25]]),FALSE),""),"[hh]:mm"))</f>
        <v>#VALUE!</v>
      </c>
      <c r="BH259" s="178" t="e">
        <f>IF(VLOOKUP(T_BilanSocial[[#This Row],[NumL]],T_TraitDi[#Data],COLUMN(T_TraitDi[[#This Row],[Colonne26]]),FALSE)=0,"",TEXT(IFERROR(VLOOKUP(T_BilanSocial[[#This Row],[NumL]],T_TraitDi[#Data],COLUMN(T_TraitDi[[#This Row],[Colonne26]]),FALSE),""),"[hh]:mm"))</f>
        <v>#VALUE!</v>
      </c>
      <c r="BI259" s="172" t="str">
        <f>IFERROR(VLOOKUP(T_BilanSocial[[#This Row],[NumL]],T_TraitDi[#Data],COLUMN(T_TraitDi[[#This Row],[Vendredi]]),FALSE),"")</f>
        <v/>
      </c>
      <c r="BJ259" s="172" t="e">
        <f>IF(VLOOKUP(T_BilanSocial[[#This Row],[NumL]],T_TraitDi[#Data],COLUMN(T_TraitDi[[#This Row],[Colonne27]]),FALSE)=0,"",TEXT(IFERROR(VLOOKUP(T_BilanSocial[[#This Row],[NumL]],T_TraitDi[#Data],COLUMN(T_TraitDi[[#This Row],[Colonne27]]),FALSE),""),"[hh]:mm"))</f>
        <v>#VALUE!</v>
      </c>
      <c r="BK259" s="172" t="e">
        <f>IF(VLOOKUP(T_BilanSocial[[#This Row],[NumL]],T_TraitDi[#Data],COLUMN(T_TraitDi[[#This Row],[Colonne28]]),FALSE)=0,"",TEXT(IFERROR(VLOOKUP(T_BilanSocial[[#This Row],[NumL]],T_TraitDi[#Data],COLUMN(T_TraitDi[[#This Row],[Colonne28]]),FALSE),""),"[hh]:mm"))</f>
        <v>#VALUE!</v>
      </c>
      <c r="BL259" s="172" t="str">
        <f>IFERROR(VLOOKUP(T_BilanSocial[[#This Row],[NumL]],T_TraitDi[#Data],COLUMN(T_TraitDi[[#This Row],[Colonne29]]),FALSE),"")</f>
        <v/>
      </c>
      <c r="BM259" s="172" t="e">
        <f>IF(VLOOKUP(T_BilanSocial[[#This Row],[NumL]],T_TraitDi[#Data],COLUMN(T_TraitDi[[#This Row],[Colonne30]]),FALSE)=0,"",TEXT(IFERROR(VLOOKUP(T_BilanSocial[[#This Row],[NumL]],T_TraitDi[#Data],COLUMN(T_TraitDi[[#This Row],[Colonne30]]),FALSE),""),"[hh]:mm"))</f>
        <v>#VALUE!</v>
      </c>
      <c r="BN259" s="172" t="e">
        <f>IF(VLOOKUP(T_BilanSocial[[#This Row],[NumL]],T_TraitDi[#Data],COLUMN(T_TraitDi[[#This Row],[Colonne31]]),FALSE)=0,"",TEXT(IFERROR(VLOOKUP(T_BilanSocial[[#This Row],[NumL]],T_TraitDi[#Data],COLUMN(T_TraitDi[[#This Row],[Colonne31]]),FALSE),""),"[hh]:mm"))</f>
        <v>#VALUE!</v>
      </c>
      <c r="BO259" s="172" t="e">
        <f>IF(VLOOKUP(T_BilanSocial[[#This Row],[NumL]],T_TraitDi[#Data],COLUMN(T_TraitDi[[#This Row],[Colonne32]]),FALSE)=0,"",TEXT(IFERROR(VLOOKUP(T_BilanSocial[[#This Row],[NumL]],T_TraitDi[#Data],COLUMN(T_TraitDi[[#This Row],[Colonne32]]),FALSE),""),"[hh]:mm"))</f>
        <v>#VALUE!</v>
      </c>
      <c r="BP259" s="172" t="e">
        <f>VLOOKUP(T_BilanSocial[[#This Row],[NumL]],T_TraitDi[#Data],COLUMN(T_TraitDi[NbJTot]),FALSE)</f>
        <v>#N/A</v>
      </c>
      <c r="BQ259" s="174" t="str">
        <f>IFERROR(VLOOKUP(T_BilanSocial[[#This Row],[NumL]],T_TraitDi[#Data],COLUMN(T_TraitDi[[#This Row],[NbJTW]]),FALSE),"")</f>
        <v/>
      </c>
      <c r="BR259" s="174" t="e">
        <f>IF(VLOOKUP(T_BilanSocial[[#This Row],[NumL]],T_TraitDi[#Data],COLUMN(T_TraitDi[[#This Row],[NbhTW]]),FALSE)=0,"",TEXT(IFERROR(VLOOKUP(T_BilanSocial[[#This Row],[NumL]],T_TraitDi[#Data],COLUMN(T_TraitDi[[#This Row],[NbhTW]]),FALSE),""),"[hh]:mm"))</f>
        <v>#VALUE!</v>
      </c>
      <c r="BS259" s="174" t="e">
        <f>IF(VLOOKUP(T_BilanSocial[[#This Row],[NumL]],T_TraitDi[#Data],COLUMN(T_TraitDi[[#This Row],[Nbhheb]]),FALSE)=0,"",TEXT(IFERROR(VLOOKUP($A259,T_TraitDi[#Data],COLUMN(T_TraitDi[[#This Row],[Nbhheb]]),FALSE),""),"[hh]:mm"))</f>
        <v>#VALUE!</v>
      </c>
      <c r="BT259" s="182" t="str">
        <f>IFERROR(VLOOKUP(VLOOKUP($A259,T_TraitDi[#Data],COLUMN(T_TraitDi[[#This Row],[Type1]]),FALSE),TypeTW,2,FALSE),"")</f>
        <v/>
      </c>
      <c r="BU259" s="182" t="str">
        <f>IFERROR(VLOOKUP($A259,T_TraitDi[#Data],COLUMN(T_TraitDi[[#This Row],[Rue1]]),FALSE),"")</f>
        <v/>
      </c>
      <c r="BV259" s="173" t="str">
        <f>IFERROR(VLOOKUP($A259,T_TraitDi[#Data],COLUMN(T_TraitDi[[#This Row],[CP1]]),FALSE),"")</f>
        <v/>
      </c>
      <c r="BW259" s="173" t="str">
        <f>IFERROR(VLOOKUP($A259,T_TraitDi[#Data],COLUMN(T_TraitDi[[#This Row],[VILLE1]]),FALSE),"")</f>
        <v/>
      </c>
      <c r="BX259" s="182" t="str">
        <f>IFERROR(VLOOKUP(VLOOKUP($A259,T_TraitDi[#Data],COLUMN(T_TraitDi[[#This Row],[Type2]]),FALSE),TypeTW,2,FALSE),"")</f>
        <v/>
      </c>
      <c r="BY259" s="182" t="str">
        <f>IFERROR(VLOOKUP($A259,T_TraitDi[#Data],COLUMN(T_TraitDi[[#This Row],[Rue2]]),FALSE),"")</f>
        <v/>
      </c>
      <c r="BZ259" s="173" t="str">
        <f>IFERROR(VLOOKUP($A259,T_TraitDi[#Data],COLUMN(T_TraitDi[[#This Row],[CP2]]),FALSE),"")</f>
        <v/>
      </c>
      <c r="CA259" s="173" t="str">
        <f>IFERROR(VLOOKUP($A259,T_TraitDi[#Data],COLUMN(T_TraitDi[[#This Row],[VILLE2]]),FALSE),"")</f>
        <v/>
      </c>
      <c r="CB259" s="182" t="str">
        <f>IF(VLOOKUP(T_BilanSocial[[#This Row],[NumL]],T_Equipement[#Data],COLUMN(T_Equipement[[#This Row],[PC]]),FALSE)="","Aucun équipement spécifique directement lié au télétravail",VLOOKUP(T_BilanSocial[[#This Row],[NumL]],T_Equipement[#Data],COLUMN(T_Equipement[[#This Row],[PC]]),FALSE))</f>
        <v xml:space="preserve">19-585	</v>
      </c>
      <c r="CC259" s="166" t="str">
        <f>IFERROR(IF(VLOOKUP(T_BilanSocial[[#This Row],[NumL]],T_TraitDi[#Data],COLUMN(T_TraitDi[[#This Row],[Plan]]),FALSE)="OK","Un planning spécifique de télétravail est annexé à la présente convention.",""),"")</f>
        <v/>
      </c>
      <c r="CD259" s="258" t="s">
        <v>3467</v>
      </c>
      <c r="CE259" s="164" t="e">
        <f>IF(VLOOKUP(T_BilanSocial[[#This Row],[NumL]],T_suiviDi[#Data],COLUMN(T_suiviDi[[#This Row],[Entité]]),FALSE)="","",VLOOKUP(T_BilanSocial[[#This Row],[NumL]],T_suiviDi[#Data],COLUMN(T_suiviDi[[#This Row],[Entité]]),FALSE))</f>
        <v>#VALUE!</v>
      </c>
      <c r="CF259" s="164" t="str">
        <f>IF(VLOOKUP(T_BilanSocial[[#This Row],[NumL]],T_Commission[#Data],COLUMN(T_Commission[[#This Row],[envoi confirm TW]]),FALSE)="","",VLOOKUP(T_BilanSocial[[#This Row],[NumL]],T_Commission[#Data],COLUMN(T_Commission[[#This Row],[envoi confirm TW]]),FALSE))</f>
        <v>Oui</v>
      </c>
      <c r="CG259"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59" s="262" t="str">
        <f>T_BilanSocial[[#This Row],[Nom]]&amp;T_BilanSocial[[#This Row],[Prenom]]</f>
        <v/>
      </c>
      <c r="CI259" s="262">
        <f>VLOOKUP(T_BilanSocial[[#This Row],[NumL]],T_Commission[#Data],COLUMN(T_Commission[Commentaire]),FALSE)</f>
        <v>0</v>
      </c>
      <c r="CJ259" s="262" t="str">
        <f>IF(VLOOKUP(T_BilanSocial[[#This Row],[NumL]],T_Commission[#Data],COLUMN(T_Commission[Encadrant Email]),FALSE)="","",VLOOKUP(T_BilanSocial[[#This Row],[NumL]],T_Commission[#Data],COLUMN(T_Commission[Encadrant Email]),FALSE))</f>
        <v/>
      </c>
      <c r="CK259" s="340" t="str">
        <f>IF(T_BilanSocial[[#This Row],[Final]]&lt;&gt;"",VLOOKUP(T_BilanSocial[[#This Row],[NumL]],T_suiviDi[#Data],COLUMN((T_suiviDi[Statut])),FALSE),"")</f>
        <v/>
      </c>
    </row>
    <row r="260" spans="1:89" s="106" customFormat="1" ht="24.75" customHeight="1" x14ac:dyDescent="0.25">
      <c r="A260" s="160">
        <v>257</v>
      </c>
      <c r="B260" s="161" t="str">
        <f t="shared" ref="B260:B293" si="45">VLOOKUP(A260,ComDI,15,FALSE)</f>
        <v/>
      </c>
      <c r="C260" s="162" t="s">
        <v>139</v>
      </c>
      <c r="D260" s="95" t="e">
        <f>IF(VLOOKUP(T_BilanSocial[[#This Row],[NumL]],T_TraitDi[#Data],COLUMN(T_TraitDi[[#This Row],[WebC]]),FALSE)="","",VLOOKUP(T_BilanSocial[[#This Row],[NumL]],T_TraitDi[#Data],COLUMN(T_TraitDi[[#This Row],[WebC]]),FALSE))</f>
        <v>#VALUE!</v>
      </c>
      <c r="E260" s="163" t="str">
        <f t="shared" ref="E260:E293" si="46">TEXT(DateEdition,"jj mmmm aaaa")</f>
        <v>12 janvier 2021</v>
      </c>
      <c r="F260" s="96" t="str">
        <f>IF(T_BilanSocial[[#This Row],[Final]]&lt;&gt;"",VLOOKUP(T_BilanSocial[[#This Row],[NumL]],T_suiviDi[#Data],COLUMN((T_suiviDi[Civ.])),FALSE),"")</f>
        <v/>
      </c>
      <c r="G260" s="96" t="str">
        <f>IF(T_BilanSocial[[#This Row],[Final]]&lt;&gt;"",VLOOKUP(T_BilanSocial[[#This Row],[NumL]],T_suiviDi[#Data],COLUMN((T_suiviDi[Nom])),FALSE),"")</f>
        <v/>
      </c>
      <c r="H260" s="96" t="str">
        <f>IF(T_BilanSocial[[#This Row],[Final]]&lt;&gt;"",VLOOKUP(T_BilanSocial[[#This Row],[NumL]],T_suiviDi[#Data],COLUMN((T_suiviDi[Prénom])),FALSE),"")</f>
        <v/>
      </c>
      <c r="I260" s="96" t="str">
        <f>IFERROR(VLOOKUP(T_BilanSocial[[#This Row],[Zone_Bilan]],T_P_BilanSocial[#Data],COLUMN(T_P_BilanSocial[[#This Row],[Numero_SIHAM]]),FALSE),"")</f>
        <v/>
      </c>
      <c r="J260" s="96" t="str">
        <f>IFERROR(VLOOKUP(T_BilanSocial[[#This Row],[Zone_Bilan]],T_P_BilanSocial[#Data],COLUMN(T_P_BilanSocial[[#This Row],[Sexe]]),FALSE),"")</f>
        <v/>
      </c>
      <c r="K260" s="97" t="str">
        <f>IFERROR(VLOOKUP(T_BilanSocial[[#This Row],[Zone_Bilan]],T_P_BilanSocial[#Data],COLUMN(T_P_BilanSocial[[#This Row],[Categorie]]),FALSE),"")</f>
        <v/>
      </c>
      <c r="L260" s="96" t="str">
        <f>IFERROR(VLOOKUP(T_BilanSocial[[#This Row],[Zone_Bilan]],T_P_BilanSocial[#Data],COLUMN(T_P_BilanSocial[[#This Row],[Statut]]),FALSE),"")</f>
        <v/>
      </c>
      <c r="M260" s="96" t="str">
        <f>IFERROR(VLOOKUP(T_BilanSocial[[#This Row],[Zone_Bilan]],T_P_BilanSocial[#Data],COLUMN(T_P_BilanSocial[[#This Row],[Filiere]]),FALSE),"")</f>
        <v/>
      </c>
      <c r="N260" s="96" t="e">
        <f>VLOOKUP(T_BilanSocial[[#This Row],[NumL]],T_TraitDi[#Data],COLUMN(T_TraitDi[EXP]),FALSE)</f>
        <v>#N/A</v>
      </c>
      <c r="O260" s="96" t="e">
        <f>VLOOKUP(T_BilanSocial[[#This Row],[NumL]],T_TraitDi[#Data],COLUMN(T_TraitDi[FORM]),FALSE)</f>
        <v>#N/A</v>
      </c>
      <c r="P260" s="96" t="str">
        <f>IF(T_BilanSocial[[#This Row],[Final]]&lt;&gt;"",VLOOKUP(T_BilanSocial[[#This Row],[NumL]],T_suiviDi[#Data],COLUMN((T_suiviDi[Email])),FALSE),"")</f>
        <v/>
      </c>
      <c r="Q260" s="164" t="e">
        <f t="shared" si="40"/>
        <v>#N/A</v>
      </c>
      <c r="R260" s="164" t="e">
        <f t="shared" si="41"/>
        <v>#N/A</v>
      </c>
      <c r="S260" s="164" t="e">
        <f>IF(VLOOKUP(T_BilanSocial[[#This Row],[NumL]],T_suiviDi[#Data],COLUMN(T_suiviDi[[#This Row],[Service ]]),FALSE)="","",VLOOKUP(T_BilanSocial[[#This Row],[NumL]],T_suiviDi[#Data],COLUMN(T_suiviDi[[#This Row],[Service ]]),FALSE))</f>
        <v>#VALUE!</v>
      </c>
      <c r="T260" s="164" t="str">
        <f t="shared" ref="T260:T293" si="47">TEXT(Dateeffet,"jj mmmm aaaa")</f>
        <v>01 septembre 2021</v>
      </c>
      <c r="U260" s="164" t="str">
        <f t="shared" ref="U260:U293" si="48">TEXT(DateFinadapt,"jj mmmm aaaa")</f>
        <v>30 novembre 2021</v>
      </c>
      <c r="V260" s="256">
        <f>Datebilan</f>
        <v>44530</v>
      </c>
      <c r="W260" s="176" t="e">
        <f>IF(VLOOKUP(T_BilanSocial[[#This Row],[NumL]],T_TraitDi[#Data],COLUMN(T_TraitDi[[#This Row],[M1]]),FALSE)="","",VLOOKUP(T_BilanSocial[[#This Row],[NumL]],T_TraitDi[#Data],COLUMN(T_TraitDi[[#This Row],[M1]]),FALSE))</f>
        <v>#VALUE!</v>
      </c>
      <c r="X260" s="176" t="e">
        <f>IF(VLOOKUP(T_BilanSocial[[#This Row],[NumL]],T_TraitDi[#Data],COLUMN(T_TraitDi[[#This Row],[M2]]),FALSE)="","",VLOOKUP(T_BilanSocial[[#This Row],[NumL]],T_TraitDi[#Data],COLUMN(T_TraitDi[[#This Row],[M2]]),FALSE))</f>
        <v>#VALUE!</v>
      </c>
      <c r="Y260" s="176" t="e">
        <f>IF(VLOOKUP(T_BilanSocial[[#This Row],[NumL]],T_TraitDi[#Data],COLUMN(T_TraitDi[[#This Row],[M3]]),FALSE)="","",VLOOKUP(T_BilanSocial[[#This Row],[NumL]],T_TraitDi[#Data],COLUMN(T_TraitDi[[#This Row],[M3]]),FALSE))</f>
        <v>#VALUE!</v>
      </c>
      <c r="Z260" s="176" t="str">
        <f t="shared" si="39"/>
        <v/>
      </c>
      <c r="AA260" s="176" t="e">
        <f>IF(VLOOKUP(T_BilanSocial[[#This Row],[NumL]],T_TraitDi[#Data],COLUMN(T_TraitDi[[#This Row],[M5]]),FALSE)="","",VLOOKUP(T_BilanSocial[[#This Row],[NumL]],T_TraitDi[#Data],COLUMN(T_TraitDi[[#This Row],[M5]]),FALSE))</f>
        <v>#VALUE!</v>
      </c>
      <c r="AB260" s="176" t="e">
        <f>IF(VLOOKUP(T_BilanSocial[[#This Row],[NumL]],T_TraitDi[#Data],COLUMN(T_TraitDi[[#This Row],[M6]]),FALSE)="","",VLOOKUP(T_BilanSocial[[#This Row],[NumL]],T_TraitDi[#Data],COLUMN(T_TraitDi[[#This Row],[M6]]),FALSE))</f>
        <v>#VALUE!</v>
      </c>
      <c r="AC260" s="165" t="e">
        <f t="shared" ref="AC260:AC293" si="49">W260&amp;X260&amp;Y260&amp;Z260&amp;AA260&amp;AB260</f>
        <v>#VALUE!</v>
      </c>
      <c r="AD260" s="188" t="str">
        <f>IFERROR(TEXT(VLOOKUP(T_BilanSocial[[#This Row],[NumL]],T_TraitDi[#Data],COLUMN(T_TraitDi[[#This Row],[Q2]]),FALSE),"###%"),"")</f>
        <v/>
      </c>
      <c r="AE260" s="97" t="e">
        <f>VLOOKUP(T_BilanSocial[[#This Row],[NumL]],T_TraitDi[#Data],COLUMN(T_TraitDi[[#This Row],[Reg Ponct]]),FALSE)</f>
        <v>#VALUE!</v>
      </c>
      <c r="AF260" s="97" t="e">
        <f>VLOOKUP(T_BilanSocial[NumL],T_TraitDi[#Data],COLUMN(T_TraitDi[[#This Row],[Jours flottants]]),FALSE)</f>
        <v>#VALUE!</v>
      </c>
      <c r="AG260" s="97" t="str">
        <f>IFERROR(VLOOKUP(T_BilanSocial[[#This Row],[NumL]],T_TraitDi[#Data],COLUMN(T_TraitDi[[#This Row],[Lundi]]),FALSE),"")</f>
        <v/>
      </c>
      <c r="AH260" s="172" t="e">
        <f>IF(VLOOKUP(T_BilanSocial[[#This Row],[NumL]],T_TraitDi[#Data],COLUMN(T_TraitDi[[#This Row],[Colonne3]]),FALSE)=0,"",TEXT(IFERROR(VLOOKUP(T_BilanSocial[[#This Row],[NumL]],T_TraitDi[#Data],COLUMN(T_TraitDi[[#This Row],[Colonne3]]),FALSE),""),"[hh]:mm"))</f>
        <v>#VALUE!</v>
      </c>
      <c r="AI260" s="172" t="e">
        <f>IF(VLOOKUP(T_BilanSocial[[#This Row],[NumL]],T_TraitDi[#Data],COLUMN(T_TraitDi[[#This Row],[Colonne4]]),FALSE)=0,"",TEXT(IFERROR(VLOOKUP(T_BilanSocial[[#This Row],[NumL]],T_TraitDi[#Data],COLUMN(T_TraitDi[[#This Row],[Colonne4]]),FALSE),""),"[hh]:mm"))</f>
        <v>#VALUE!</v>
      </c>
      <c r="AJ260" s="172" t="e">
        <f>IF(VLOOKUP(T_BilanSocial[[#This Row],[NumL]],T_TraitDi[#Data],COLUMN(T_TraitDi[[#This Row],[Colonne5]]),FALSE)=0,"",TEXT(IFERROR(VLOOKUP(T_BilanSocial[[#This Row],[NumL]],T_TraitDi[#Data],COLUMN(T_TraitDi[[#This Row],[Colonne5]]),FALSE),""),"[hh]:mm"))</f>
        <v>#VALUE!</v>
      </c>
      <c r="AK260" s="172" t="e">
        <f>IF(VLOOKUP(T_BilanSocial[[#This Row],[NumL]],T_TraitDi[#Data],COLUMN(T_TraitDi[[#This Row],[Colonne6]]),FALSE)=0,"",TEXT(IFERROR(VLOOKUP(T_BilanSocial[[#This Row],[NumL]],T_TraitDi[#Data],COLUMN(T_TraitDi[[#This Row],[Colonne6]]),FALSE),""),"[hh]:mm"))</f>
        <v>#VALUE!</v>
      </c>
      <c r="AL260" s="172" t="e">
        <f>IF(VLOOKUP(T_BilanSocial[[#This Row],[NumL]],T_TraitDi[#Data],COLUMN(T_TraitDi[[#This Row],[Colonne7]]),FALSE)=0,"",TEXT(IFERROR(VLOOKUP(T_BilanSocial[[#This Row],[NumL]],T_TraitDi[#Data],COLUMN(T_TraitDi[[#This Row],[Colonne7]]),FALSE),""),"[hh]:mm"))</f>
        <v>#VALUE!</v>
      </c>
      <c r="AM260" s="172" t="e">
        <f>IF(VLOOKUP(T_BilanSocial[[#This Row],[NumL]],T_TraitDi[#Data],COLUMN(T_TraitDi[[#This Row],[Colonne8]]),FALSE)=0,"",TEXT(IFERROR(VLOOKUP(T_BilanSocial[[#This Row],[NumL]],T_TraitDi[#Data],COLUMN(T_TraitDi[[#This Row],[Colonne8]]),FALSE),""),"[hh]:mm"))</f>
        <v>#VALUE!</v>
      </c>
      <c r="AN260" s="172" t="str">
        <f>IFERROR(VLOOKUP(T_BilanSocial[[#This Row],[NumL]],T_TraitDi[#Data],COLUMN(T_TraitDi[[#This Row],[Mardi]]),FALSE),"")</f>
        <v/>
      </c>
      <c r="AO260" s="172" t="e">
        <f>IF(VLOOKUP(T_BilanSocial[[#This Row],[NumL]],T_TraitDi[#Data],COLUMN(T_TraitDi[[#This Row],[Colonne1]]),FALSE)=0,"",TEXT(IFERROR(VLOOKUP(T_BilanSocial[[#This Row],[NumL]],T_TraitDi[#Data],COLUMN(T_TraitDi[[#This Row],[Colonne1]]),FALSE),""),"[hh]:mm"))</f>
        <v>#VALUE!</v>
      </c>
      <c r="AP260" s="172" t="e">
        <f>IF(VLOOKUP(T_BilanSocial[[#This Row],[NumL]],T_TraitDi[#Data],COLUMN(T_TraitDi[[#This Row],[Colonne9]]),FALSE)=0,"",TEXT(IFERROR(VLOOKUP(T_BilanSocial[[#This Row],[NumL]],T_TraitDi[#Data],COLUMN(T_TraitDi[[#This Row],[Colonne9]]),FALSE),""),"[hh]:mm"))</f>
        <v>#VALUE!</v>
      </c>
      <c r="AQ260" s="172" t="str">
        <f>IFERROR(VLOOKUP(T_BilanSocial[[#This Row],[NumL]],T_TraitDi[#Data],COLUMN(T_TraitDi[[#This Row],[Colonne10]]),FALSE),"")</f>
        <v/>
      </c>
      <c r="AR260" s="172" t="e">
        <f>IF(VLOOKUP(T_BilanSocial[[#This Row],[NumL]],T_TraitDi[#Data],COLUMN(T_TraitDi[[#This Row],[Colonne11]]),FALSE)=0,"",TEXT(IFERROR(VLOOKUP(T_BilanSocial[[#This Row],[NumL]],T_TraitDi[#Data],COLUMN(T_TraitDi[[#This Row],[Colonne11]]),FALSE),""),"[hh]:mm"))</f>
        <v>#VALUE!</v>
      </c>
      <c r="AS260" s="172" t="e">
        <f>IF(VLOOKUP(T_BilanSocial[[#This Row],[NumL]],T_TraitDi[#Data],COLUMN(T_TraitDi[[#This Row],[Colonne12]]),FALSE)=0,"",TEXT(IFERROR(VLOOKUP(T_BilanSocial[[#This Row],[NumL]],T_TraitDi[#Data],COLUMN(T_TraitDi[[#This Row],[Colonne12]]),FALSE),""),"[hh]:mm"))</f>
        <v>#VALUE!</v>
      </c>
      <c r="AT260" s="172" t="e">
        <f>IF(VLOOKUP(T_BilanSocial[[#This Row],[NumL]],T_TraitDi[#Data],COLUMN(T_TraitDi[[#This Row],[Colonne14]]),FALSE)=0,"",TEXT(IFERROR(VLOOKUP(T_BilanSocial[[#This Row],[NumL]],T_TraitDi[#Data],COLUMN(T_TraitDi[[#This Row],[Colonne14]]),FALSE),""),"[hh]:mm"))</f>
        <v>#VALUE!</v>
      </c>
      <c r="AU260" s="172" t="str">
        <f>IFERROR(VLOOKUP(T_BilanSocial[[#This Row],[NumL]],T_TraitDi[#Data],COLUMN(T_TraitDi[[#This Row],[Mercredi]]),FALSE),"")</f>
        <v/>
      </c>
      <c r="AV260" s="172" t="e">
        <f>IF(VLOOKUP(T_BilanSocial[[#This Row],[NumL]],T_TraitDi[#Data],COLUMN(T_TraitDi[[#This Row],[Colonne15]]),FALSE)=0,"",TEXT(IFERROR(VLOOKUP(T_BilanSocial[[#This Row],[NumL]],T_TraitDi[#Data],COLUMN(T_TraitDi[[#This Row],[Colonne15]]),FALSE),""),"[hh]:mm"))</f>
        <v>#VALUE!</v>
      </c>
      <c r="AW260" s="172" t="e">
        <f>IF(VLOOKUP(T_BilanSocial[[#This Row],[NumL]],T_TraitDi[#Data],COLUMN(T_TraitDi[[#This Row],[Colonne16]]),FALSE)=0,"",TEXT(IFERROR(VLOOKUP(T_BilanSocial[[#This Row],[NumL]],T_TraitDi[#Data],COLUMN(T_TraitDi[[#This Row],[Colonne16]]),FALSE),""),"[hh]:mm"))</f>
        <v>#VALUE!</v>
      </c>
      <c r="AX260" s="172" t="str">
        <f>IFERROR(VLOOKUP(T_BilanSocial[[#This Row],[NumL]],T_TraitDi[#Data],COLUMN(T_TraitDi[[#This Row],[Colonne17]]),FALSE),"")</f>
        <v/>
      </c>
      <c r="AY260" s="172" t="e">
        <f>IF(VLOOKUP(T_BilanSocial[[#This Row],[NumL]],T_TraitDi[#Data],COLUMN(T_TraitDi[[#This Row],[Colonne18]]),FALSE)=0,"",TEXT(IFERROR(VLOOKUP(T_BilanSocial[[#This Row],[NumL]],T_TraitDi[#Data],COLUMN(T_TraitDi[[#This Row],[Colonne18]]),FALSE),""),"[hh]:mm"))</f>
        <v>#VALUE!</v>
      </c>
      <c r="AZ260" s="172" t="e">
        <f>IF(VLOOKUP(T_BilanSocial[[#This Row],[NumL]],T_TraitDi[#Data],COLUMN(T_TraitDi[[#This Row],[Colonne19]]),FALSE)=0,"",TEXT(IFERROR(VLOOKUP(T_BilanSocial[[#This Row],[NumL]],T_TraitDi[#Data],COLUMN(T_TraitDi[[#This Row],[Colonne19]]),FALSE),""),"[hh]:mm"))</f>
        <v>#VALUE!</v>
      </c>
      <c r="BA260" s="172" t="e">
        <f>IF(VLOOKUP(T_BilanSocial[[#This Row],[NumL]],T_TraitDi[#Data],COLUMN(T_TraitDi[[#This Row],[Colonne20]]),FALSE)=0,"",TEXT(IFERROR(VLOOKUP(T_BilanSocial[[#This Row],[NumL]],T_TraitDi[#Data],COLUMN(T_TraitDi[[#This Row],[Colonne20]]),FALSE),""),"[hh]:mm"))</f>
        <v>#VALUE!</v>
      </c>
      <c r="BB260" s="178" t="str">
        <f>IFERROR(VLOOKUP(T_BilanSocial[[#This Row],[NumL]],T_TraitDi[#Data],COLUMN(T_TraitDi[[#This Row],[Jeudi]]),FALSE),"")</f>
        <v/>
      </c>
      <c r="BC260" s="178" t="e">
        <f>IF(VLOOKUP(T_BilanSocial[[#This Row],[NumL]],T_TraitDi[#Data],COLUMN(T_TraitDi[[#This Row],[Colonne21]]),FALSE)=0,"",TEXT(IFERROR(VLOOKUP(T_BilanSocial[[#This Row],[NumL]],T_TraitDi[#Data],COLUMN(T_TraitDi[[#This Row],[Colonne21]]),FALSE),""),"[hh]:mm"))</f>
        <v>#VALUE!</v>
      </c>
      <c r="BD260" s="178" t="e">
        <f>IF(VLOOKUP(T_BilanSocial[[#This Row],[NumL]],T_TraitDi[#Data],COLUMN(T_TraitDi[[#This Row],[Colonne22]]),FALSE)=0,"",TEXT(IFERROR(VLOOKUP(T_BilanSocial[[#This Row],[NumL]],T_TraitDi[#Data],COLUMN(T_TraitDi[[#This Row],[Colonne22]]),FALSE),""),"[hh]:mm"))</f>
        <v>#VALUE!</v>
      </c>
      <c r="BE260" s="178" t="str">
        <f>IFERROR(VLOOKUP(T_BilanSocial[[#This Row],[NumL]],T_TraitDi[#Data],COLUMN(T_TraitDi[[#This Row],[Colonne23]]),FALSE),"")</f>
        <v/>
      </c>
      <c r="BF260" s="178" t="e">
        <f>IF(VLOOKUP(T_BilanSocial[[#This Row],[NumL]],T_TraitDi[#Data],COLUMN(T_TraitDi[[#This Row],[Colonne24]]),FALSE)=0,"",TEXT(IFERROR(VLOOKUP(T_BilanSocial[[#This Row],[NumL]],T_TraitDi[#Data],COLUMN(T_TraitDi[[#This Row],[Colonne24]]),FALSE),""),"[hh]:mm"))</f>
        <v>#VALUE!</v>
      </c>
      <c r="BG260" s="178" t="e">
        <f>IF(VLOOKUP(T_BilanSocial[[#This Row],[NumL]],T_TraitDi[#Data],COLUMN(T_TraitDi[[#This Row],[Colonne25]]),FALSE)=0,"",TEXT(IFERROR(VLOOKUP(T_BilanSocial[[#This Row],[NumL]],T_TraitDi[#Data],COLUMN(T_TraitDi[[#This Row],[Colonne25]]),FALSE),""),"[hh]:mm"))</f>
        <v>#VALUE!</v>
      </c>
      <c r="BH260" s="178" t="e">
        <f>IF(VLOOKUP(T_BilanSocial[[#This Row],[NumL]],T_TraitDi[#Data],COLUMN(T_TraitDi[[#This Row],[Colonne26]]),FALSE)=0,"",TEXT(IFERROR(VLOOKUP(T_BilanSocial[[#This Row],[NumL]],T_TraitDi[#Data],COLUMN(T_TraitDi[[#This Row],[Colonne26]]),FALSE),""),"[hh]:mm"))</f>
        <v>#VALUE!</v>
      </c>
      <c r="BI260" s="172" t="str">
        <f>IFERROR(VLOOKUP(T_BilanSocial[[#This Row],[NumL]],T_TraitDi[#Data],COLUMN(T_TraitDi[[#This Row],[Vendredi]]),FALSE),"")</f>
        <v/>
      </c>
      <c r="BJ260" s="172" t="e">
        <f>IF(VLOOKUP(T_BilanSocial[[#This Row],[NumL]],T_TraitDi[#Data],COLUMN(T_TraitDi[[#This Row],[Colonne27]]),FALSE)=0,"",TEXT(IFERROR(VLOOKUP(T_BilanSocial[[#This Row],[NumL]],T_TraitDi[#Data],COLUMN(T_TraitDi[[#This Row],[Colonne27]]),FALSE),""),"[hh]:mm"))</f>
        <v>#VALUE!</v>
      </c>
      <c r="BK260" s="172" t="e">
        <f>IF(VLOOKUP(T_BilanSocial[[#This Row],[NumL]],T_TraitDi[#Data],COLUMN(T_TraitDi[[#This Row],[Colonne28]]),FALSE)=0,"",TEXT(IFERROR(VLOOKUP(T_BilanSocial[[#This Row],[NumL]],T_TraitDi[#Data],COLUMN(T_TraitDi[[#This Row],[Colonne28]]),FALSE),""),"[hh]:mm"))</f>
        <v>#VALUE!</v>
      </c>
      <c r="BL260" s="172" t="str">
        <f>IFERROR(VLOOKUP(T_BilanSocial[[#This Row],[NumL]],T_TraitDi[#Data],COLUMN(T_TraitDi[[#This Row],[Colonne29]]),FALSE),"")</f>
        <v/>
      </c>
      <c r="BM260" s="172" t="e">
        <f>IF(VLOOKUP(T_BilanSocial[[#This Row],[NumL]],T_TraitDi[#Data],COLUMN(T_TraitDi[[#This Row],[Colonne30]]),FALSE)=0,"",TEXT(IFERROR(VLOOKUP(T_BilanSocial[[#This Row],[NumL]],T_TraitDi[#Data],COLUMN(T_TraitDi[[#This Row],[Colonne30]]),FALSE),""),"[hh]:mm"))</f>
        <v>#VALUE!</v>
      </c>
      <c r="BN260" s="172" t="e">
        <f>IF(VLOOKUP(T_BilanSocial[[#This Row],[NumL]],T_TraitDi[#Data],COLUMN(T_TraitDi[[#This Row],[Colonne31]]),FALSE)=0,"",TEXT(IFERROR(VLOOKUP(T_BilanSocial[[#This Row],[NumL]],T_TraitDi[#Data],COLUMN(T_TraitDi[[#This Row],[Colonne31]]),FALSE),""),"[hh]:mm"))</f>
        <v>#VALUE!</v>
      </c>
      <c r="BO260" s="172" t="e">
        <f>IF(VLOOKUP(T_BilanSocial[[#This Row],[NumL]],T_TraitDi[#Data],COLUMN(T_TraitDi[[#This Row],[Colonne32]]),FALSE)=0,"",TEXT(IFERROR(VLOOKUP(T_BilanSocial[[#This Row],[NumL]],T_TraitDi[#Data],COLUMN(T_TraitDi[[#This Row],[Colonne32]]),FALSE),""),"[hh]:mm"))</f>
        <v>#VALUE!</v>
      </c>
      <c r="BP260" s="172" t="e">
        <f>VLOOKUP(T_BilanSocial[[#This Row],[NumL]],T_TraitDi[#Data],COLUMN(T_TraitDi[NbJTot]),FALSE)</f>
        <v>#N/A</v>
      </c>
      <c r="BQ260" s="174" t="str">
        <f>IFERROR(VLOOKUP(T_BilanSocial[[#This Row],[NumL]],T_TraitDi[#Data],COLUMN(T_TraitDi[[#This Row],[NbJTW]]),FALSE),"")</f>
        <v/>
      </c>
      <c r="BR260" s="174" t="e">
        <f>IF(VLOOKUP(T_BilanSocial[[#This Row],[NumL]],T_TraitDi[#Data],COLUMN(T_TraitDi[[#This Row],[NbhTW]]),FALSE)=0,"",TEXT(IFERROR(VLOOKUP(T_BilanSocial[[#This Row],[NumL]],T_TraitDi[#Data],COLUMN(T_TraitDi[[#This Row],[NbhTW]]),FALSE),""),"[hh]:mm"))</f>
        <v>#VALUE!</v>
      </c>
      <c r="BS260" s="174" t="e">
        <f>IF(VLOOKUP(T_BilanSocial[[#This Row],[NumL]],T_TraitDi[#Data],COLUMN(T_TraitDi[[#This Row],[Nbhheb]]),FALSE)=0,"",TEXT(IFERROR(VLOOKUP($A260,T_TraitDi[#Data],COLUMN(T_TraitDi[[#This Row],[Nbhheb]]),FALSE),""),"[hh]:mm"))</f>
        <v>#VALUE!</v>
      </c>
      <c r="BT260" s="182" t="str">
        <f>IFERROR(VLOOKUP(VLOOKUP($A260,T_TraitDi[#Data],COLUMN(T_TraitDi[[#This Row],[Type1]]),FALSE),TypeTW,2,FALSE),"")</f>
        <v/>
      </c>
      <c r="BU260" s="182" t="str">
        <f>IFERROR(VLOOKUP($A260,T_TraitDi[#Data],COLUMN(T_TraitDi[[#This Row],[Rue1]]),FALSE),"")</f>
        <v/>
      </c>
      <c r="BV260" s="173" t="str">
        <f>IFERROR(VLOOKUP($A260,T_TraitDi[#Data],COLUMN(T_TraitDi[[#This Row],[CP1]]),FALSE),"")</f>
        <v/>
      </c>
      <c r="BW260" s="173" t="str">
        <f>IFERROR(VLOOKUP($A260,T_TraitDi[#Data],COLUMN(T_TraitDi[[#This Row],[VILLE1]]),FALSE),"")</f>
        <v/>
      </c>
      <c r="BX260" s="182" t="str">
        <f>IFERROR(VLOOKUP(VLOOKUP($A260,T_TraitDi[#Data],COLUMN(T_TraitDi[[#This Row],[Type2]]),FALSE),TypeTW,2,FALSE),"")</f>
        <v/>
      </c>
      <c r="BY260" s="182" t="str">
        <f>IFERROR(VLOOKUP($A260,T_TraitDi[#Data],COLUMN(T_TraitDi[[#This Row],[Rue2]]),FALSE),"")</f>
        <v/>
      </c>
      <c r="BZ260" s="173" t="str">
        <f>IFERROR(VLOOKUP($A260,T_TraitDi[#Data],COLUMN(T_TraitDi[[#This Row],[CP2]]),FALSE),"")</f>
        <v/>
      </c>
      <c r="CA260" s="173" t="str">
        <f>IFERROR(VLOOKUP($A260,T_TraitDi[#Data],COLUMN(T_TraitDi[[#This Row],[VILLE2]]),FALSE),"")</f>
        <v/>
      </c>
      <c r="CB260" s="182" t="str">
        <f>IF(VLOOKUP(T_BilanSocial[[#This Row],[NumL]],T_Equipement[#Data],COLUMN(T_Equipement[[#This Row],[PC]]),FALSE)="","Aucun équipement spécifique directement lié au télétravail",VLOOKUP(T_BilanSocial[[#This Row],[NumL]],T_Equipement[#Data],COLUMN(T_Equipement[[#This Row],[PC]]),FALSE))</f>
        <v xml:space="preserve">20-329	</v>
      </c>
      <c r="CC260" s="166" t="str">
        <f>IFERROR(IF(VLOOKUP(T_BilanSocial[[#This Row],[NumL]],T_TraitDi[#Data],COLUMN(T_TraitDi[[#This Row],[Plan]]),FALSE)="OK","Un planning spécifique de télétravail est annexé à la présente convention.",""),"")</f>
        <v/>
      </c>
      <c r="CD260" s="185"/>
      <c r="CE260" s="164" t="e">
        <f>IF(VLOOKUP(T_BilanSocial[[#This Row],[NumL]],T_suiviDi[#Data],COLUMN(T_suiviDi[[#This Row],[Entité]]),FALSE)="","",VLOOKUP(T_BilanSocial[[#This Row],[NumL]],T_suiviDi[#Data],COLUMN(T_suiviDi[[#This Row],[Entité]]),FALSE))</f>
        <v>#VALUE!</v>
      </c>
      <c r="CF260" s="164" t="str">
        <f>IF(VLOOKUP(T_BilanSocial[[#This Row],[NumL]],T_Commission[#Data],COLUMN(T_Commission[[#This Row],[envoi confirm TW]]),FALSE)="","",VLOOKUP(T_BilanSocial[[#This Row],[NumL]],T_Commission[#Data],COLUMN(T_Commission[[#This Row],[envoi confirm TW]]),FALSE))</f>
        <v>Oui</v>
      </c>
      <c r="CG26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0" s="262" t="str">
        <f>T_BilanSocial[[#This Row],[Nom]]&amp;T_BilanSocial[[#This Row],[Prenom]]</f>
        <v/>
      </c>
      <c r="CI260" s="262">
        <f>VLOOKUP(T_BilanSocial[[#This Row],[NumL]],T_Commission[#Data],COLUMN(T_Commission[Commentaire]),FALSE)</f>
        <v>0</v>
      </c>
      <c r="CJ260" s="262" t="str">
        <f>IF(VLOOKUP(T_BilanSocial[[#This Row],[NumL]],T_Commission[#Data],COLUMN(T_Commission[Encadrant Email]),FALSE)="","",VLOOKUP(T_BilanSocial[[#This Row],[NumL]],T_Commission[#Data],COLUMN(T_Commission[Encadrant Email]),FALSE))</f>
        <v/>
      </c>
      <c r="CK260" s="340" t="str">
        <f>IF(T_BilanSocial[[#This Row],[Final]]&lt;&gt;"",VLOOKUP(T_BilanSocial[[#This Row],[NumL]],T_suiviDi[#Data],COLUMN((T_suiviDi[Statut])),FALSE),"")</f>
        <v/>
      </c>
    </row>
    <row r="261" spans="1:89" s="106" customFormat="1" ht="24.75" customHeight="1" x14ac:dyDescent="0.25">
      <c r="A261" s="160">
        <v>258</v>
      </c>
      <c r="B261" s="161" t="str">
        <f t="shared" si="45"/>
        <v/>
      </c>
      <c r="C261" s="162" t="s">
        <v>139</v>
      </c>
      <c r="D261" s="95" t="e">
        <f>IF(VLOOKUP(T_BilanSocial[[#This Row],[NumL]],T_TraitDi[#Data],COLUMN(T_TraitDi[[#This Row],[WebC]]),FALSE)="","",VLOOKUP(T_BilanSocial[[#This Row],[NumL]],T_TraitDi[#Data],COLUMN(T_TraitDi[[#This Row],[WebC]]),FALSE))</f>
        <v>#VALUE!</v>
      </c>
      <c r="E261" s="163" t="str">
        <f t="shared" si="46"/>
        <v>12 janvier 2021</v>
      </c>
      <c r="F261" s="96" t="str">
        <f>IF(T_BilanSocial[[#This Row],[Final]]&lt;&gt;"",VLOOKUP(T_BilanSocial[[#This Row],[NumL]],T_suiviDi[#Data],COLUMN((T_suiviDi[Civ.])),FALSE),"")</f>
        <v/>
      </c>
      <c r="G261" s="96" t="str">
        <f>IF(T_BilanSocial[[#This Row],[Final]]&lt;&gt;"",VLOOKUP(T_BilanSocial[[#This Row],[NumL]],T_suiviDi[#Data],COLUMN((T_suiviDi[Nom])),FALSE),"")</f>
        <v/>
      </c>
      <c r="H261" s="96" t="str">
        <f>IF(T_BilanSocial[[#This Row],[Final]]&lt;&gt;"",VLOOKUP(T_BilanSocial[[#This Row],[NumL]],T_suiviDi[#Data],COLUMN((T_suiviDi[Prénom])),FALSE),"")</f>
        <v/>
      </c>
      <c r="I261" s="96" t="str">
        <f>IFERROR(VLOOKUP(T_BilanSocial[[#This Row],[Zone_Bilan]],T_P_BilanSocial[#Data],COLUMN(T_P_BilanSocial[[#This Row],[Numero_SIHAM]]),FALSE),"")</f>
        <v/>
      </c>
      <c r="J261" s="96" t="str">
        <f>IFERROR(VLOOKUP(T_BilanSocial[[#This Row],[Zone_Bilan]],T_P_BilanSocial[#Data],COLUMN(T_P_BilanSocial[[#This Row],[Sexe]]),FALSE),"")</f>
        <v/>
      </c>
      <c r="K261" s="97" t="str">
        <f>IFERROR(VLOOKUP(T_BilanSocial[[#This Row],[Zone_Bilan]],T_P_BilanSocial[#Data],COLUMN(T_P_BilanSocial[[#This Row],[Categorie]]),FALSE),"")</f>
        <v/>
      </c>
      <c r="L261" s="96" t="str">
        <f>IFERROR(VLOOKUP(T_BilanSocial[[#This Row],[Zone_Bilan]],T_P_BilanSocial[#Data],COLUMN(T_P_BilanSocial[[#This Row],[Statut]]),FALSE),"")</f>
        <v/>
      </c>
      <c r="M261" s="96" t="str">
        <f>IFERROR(VLOOKUP(T_BilanSocial[[#This Row],[Zone_Bilan]],T_P_BilanSocial[#Data],COLUMN(T_P_BilanSocial[[#This Row],[Filiere]]),FALSE),"")</f>
        <v/>
      </c>
      <c r="N261" s="96" t="e">
        <f>VLOOKUP(T_BilanSocial[[#This Row],[NumL]],T_TraitDi[#Data],COLUMN(T_TraitDi[EXP]),FALSE)</f>
        <v>#N/A</v>
      </c>
      <c r="O261" s="96" t="e">
        <f>VLOOKUP(T_BilanSocial[[#This Row],[NumL]],T_TraitDi[#Data],COLUMN(T_TraitDi[FORM]),FALSE)</f>
        <v>#N/A</v>
      </c>
      <c r="P261" s="96" t="str">
        <f>IF(T_BilanSocial[[#This Row],[Final]]&lt;&gt;"",VLOOKUP(T_BilanSocial[[#This Row],[NumL]],T_suiviDi[#Data],COLUMN((T_suiviDi[Email])),FALSE),"")</f>
        <v/>
      </c>
      <c r="Q261" s="164" t="e">
        <f t="shared" si="40"/>
        <v>#N/A</v>
      </c>
      <c r="R261" s="164" t="e">
        <f t="shared" si="41"/>
        <v>#N/A</v>
      </c>
      <c r="S261" s="164" t="e">
        <f>IF(VLOOKUP(T_BilanSocial[[#This Row],[NumL]],T_suiviDi[#Data],COLUMN(T_suiviDi[[#This Row],[Service ]]),FALSE)="","",VLOOKUP(T_BilanSocial[[#This Row],[NumL]],T_suiviDi[#Data],COLUMN(T_suiviDi[[#This Row],[Service ]]),FALSE))</f>
        <v>#VALUE!</v>
      </c>
      <c r="T261" s="164" t="str">
        <f t="shared" si="47"/>
        <v>01 septembre 2021</v>
      </c>
      <c r="U261" s="164" t="str">
        <f t="shared" si="48"/>
        <v>30 novembre 2021</v>
      </c>
      <c r="V261" s="256">
        <f>Datebilan</f>
        <v>44530</v>
      </c>
      <c r="W261" s="176" t="e">
        <f>IF(VLOOKUP(T_BilanSocial[[#This Row],[NumL]],T_TraitDi[#Data],COLUMN(T_TraitDi[[#This Row],[M1]]),FALSE)="","",VLOOKUP(T_BilanSocial[[#This Row],[NumL]],T_TraitDi[#Data],COLUMN(T_TraitDi[[#This Row],[M1]]),FALSE))</f>
        <v>#VALUE!</v>
      </c>
      <c r="X261" s="176" t="e">
        <f>IF(VLOOKUP(T_BilanSocial[[#This Row],[NumL]],T_TraitDi[#Data],COLUMN(T_TraitDi[[#This Row],[M2]]),FALSE)="","",VLOOKUP(T_BilanSocial[[#This Row],[NumL]],T_TraitDi[#Data],COLUMN(T_TraitDi[[#This Row],[M2]]),FALSE))</f>
        <v>#VALUE!</v>
      </c>
      <c r="Y261" s="176" t="e">
        <f>IF(VLOOKUP(T_BilanSocial[[#This Row],[NumL]],T_TraitDi[#Data],COLUMN(T_TraitDi[[#This Row],[M3]]),FALSE)="","",VLOOKUP(T_BilanSocial[[#This Row],[NumL]],T_TraitDi[#Data],COLUMN(T_TraitDi[[#This Row],[M3]]),FALSE))</f>
        <v>#VALUE!</v>
      </c>
      <c r="Z261" s="176" t="str">
        <f t="shared" ref="Z261:Z293" si="50">IFERROR(IF(VLOOKUP($A261,TraitementDI,Z$3,FALSE)="",""," -"&amp;VLOOKUP($A261,TraitementDI,Z$3,FALSE)),"")</f>
        <v/>
      </c>
      <c r="AA261" s="176" t="e">
        <f>IF(VLOOKUP(T_BilanSocial[[#This Row],[NumL]],T_TraitDi[#Data],COLUMN(T_TraitDi[[#This Row],[M5]]),FALSE)="","",VLOOKUP(T_BilanSocial[[#This Row],[NumL]],T_TraitDi[#Data],COLUMN(T_TraitDi[[#This Row],[M5]]),FALSE))</f>
        <v>#VALUE!</v>
      </c>
      <c r="AB261" s="176" t="e">
        <f>IF(VLOOKUP(T_BilanSocial[[#This Row],[NumL]],T_TraitDi[#Data],COLUMN(T_TraitDi[[#This Row],[M6]]),FALSE)="","",VLOOKUP(T_BilanSocial[[#This Row],[NumL]],T_TraitDi[#Data],COLUMN(T_TraitDi[[#This Row],[M6]]),FALSE))</f>
        <v>#VALUE!</v>
      </c>
      <c r="AC261" s="165" t="e">
        <f t="shared" si="49"/>
        <v>#VALUE!</v>
      </c>
      <c r="AD261" s="188" t="str">
        <f>IFERROR(TEXT(VLOOKUP(T_BilanSocial[[#This Row],[NumL]],T_TraitDi[#Data],COLUMN(T_TraitDi[[#This Row],[Q2]]),FALSE),"###%"),"")</f>
        <v/>
      </c>
      <c r="AE261" s="97" t="e">
        <f>VLOOKUP(T_BilanSocial[[#This Row],[NumL]],T_TraitDi[#Data],COLUMN(T_TraitDi[[#This Row],[Reg Ponct]]),FALSE)</f>
        <v>#VALUE!</v>
      </c>
      <c r="AF261" s="97" t="e">
        <f>VLOOKUP(T_BilanSocial[NumL],T_TraitDi[#Data],COLUMN(T_TraitDi[[#This Row],[Jours flottants]]),FALSE)</f>
        <v>#VALUE!</v>
      </c>
      <c r="AG261" s="97" t="str">
        <f>IFERROR(VLOOKUP(T_BilanSocial[[#This Row],[NumL]],T_TraitDi[#Data],COLUMN(T_TraitDi[[#This Row],[Lundi]]),FALSE),"")</f>
        <v/>
      </c>
      <c r="AH261" s="172" t="e">
        <f>IF(VLOOKUP(T_BilanSocial[[#This Row],[NumL]],T_TraitDi[#Data],COLUMN(T_TraitDi[[#This Row],[Colonne3]]),FALSE)=0,"",TEXT(IFERROR(VLOOKUP(T_BilanSocial[[#This Row],[NumL]],T_TraitDi[#Data],COLUMN(T_TraitDi[[#This Row],[Colonne3]]),FALSE),""),"[hh]:mm"))</f>
        <v>#VALUE!</v>
      </c>
      <c r="AI261" s="172" t="e">
        <f>IF(VLOOKUP(T_BilanSocial[[#This Row],[NumL]],T_TraitDi[#Data],COLUMN(T_TraitDi[[#This Row],[Colonne4]]),FALSE)=0,"",TEXT(IFERROR(VLOOKUP(T_BilanSocial[[#This Row],[NumL]],T_TraitDi[#Data],COLUMN(T_TraitDi[[#This Row],[Colonne4]]),FALSE),""),"[hh]:mm"))</f>
        <v>#VALUE!</v>
      </c>
      <c r="AJ261" s="172" t="e">
        <f>IF(VLOOKUP(T_BilanSocial[[#This Row],[NumL]],T_TraitDi[#Data],COLUMN(T_TraitDi[[#This Row],[Colonne5]]),FALSE)=0,"",TEXT(IFERROR(VLOOKUP(T_BilanSocial[[#This Row],[NumL]],T_TraitDi[#Data],COLUMN(T_TraitDi[[#This Row],[Colonne5]]),FALSE),""),"[hh]:mm"))</f>
        <v>#VALUE!</v>
      </c>
      <c r="AK261" s="172" t="e">
        <f>IF(VLOOKUP(T_BilanSocial[[#This Row],[NumL]],T_TraitDi[#Data],COLUMN(T_TraitDi[[#This Row],[Colonne6]]),FALSE)=0,"",TEXT(IFERROR(VLOOKUP(T_BilanSocial[[#This Row],[NumL]],T_TraitDi[#Data],COLUMN(T_TraitDi[[#This Row],[Colonne6]]),FALSE),""),"[hh]:mm"))</f>
        <v>#VALUE!</v>
      </c>
      <c r="AL261" s="172" t="e">
        <f>IF(VLOOKUP(T_BilanSocial[[#This Row],[NumL]],T_TraitDi[#Data],COLUMN(T_TraitDi[[#This Row],[Colonne7]]),FALSE)=0,"",TEXT(IFERROR(VLOOKUP(T_BilanSocial[[#This Row],[NumL]],T_TraitDi[#Data],COLUMN(T_TraitDi[[#This Row],[Colonne7]]),FALSE),""),"[hh]:mm"))</f>
        <v>#VALUE!</v>
      </c>
      <c r="AM261" s="172" t="e">
        <f>IF(VLOOKUP(T_BilanSocial[[#This Row],[NumL]],T_TraitDi[#Data],COLUMN(T_TraitDi[[#This Row],[Colonne8]]),FALSE)=0,"",TEXT(IFERROR(VLOOKUP(T_BilanSocial[[#This Row],[NumL]],T_TraitDi[#Data],COLUMN(T_TraitDi[[#This Row],[Colonne8]]),FALSE),""),"[hh]:mm"))</f>
        <v>#VALUE!</v>
      </c>
      <c r="AN261" s="172" t="str">
        <f>IFERROR(VLOOKUP(T_BilanSocial[[#This Row],[NumL]],T_TraitDi[#Data],COLUMN(T_TraitDi[[#This Row],[Mardi]]),FALSE),"")</f>
        <v/>
      </c>
      <c r="AO261" s="172" t="e">
        <f>IF(VLOOKUP(T_BilanSocial[[#This Row],[NumL]],T_TraitDi[#Data],COLUMN(T_TraitDi[[#This Row],[Colonne1]]),FALSE)=0,"",TEXT(IFERROR(VLOOKUP(T_BilanSocial[[#This Row],[NumL]],T_TraitDi[#Data],COLUMN(T_TraitDi[[#This Row],[Colonne1]]),FALSE),""),"[hh]:mm"))</f>
        <v>#VALUE!</v>
      </c>
      <c r="AP261" s="172" t="e">
        <f>IF(VLOOKUP(T_BilanSocial[[#This Row],[NumL]],T_TraitDi[#Data],COLUMN(T_TraitDi[[#This Row],[Colonne9]]),FALSE)=0,"",TEXT(IFERROR(VLOOKUP(T_BilanSocial[[#This Row],[NumL]],T_TraitDi[#Data],COLUMN(T_TraitDi[[#This Row],[Colonne9]]),FALSE),""),"[hh]:mm"))</f>
        <v>#VALUE!</v>
      </c>
      <c r="AQ261" s="172" t="str">
        <f>IFERROR(VLOOKUP(T_BilanSocial[[#This Row],[NumL]],T_TraitDi[#Data],COLUMN(T_TraitDi[[#This Row],[Colonne10]]),FALSE),"")</f>
        <v/>
      </c>
      <c r="AR261" s="172" t="e">
        <f>IF(VLOOKUP(T_BilanSocial[[#This Row],[NumL]],T_TraitDi[#Data],COLUMN(T_TraitDi[[#This Row],[Colonne11]]),FALSE)=0,"",TEXT(IFERROR(VLOOKUP(T_BilanSocial[[#This Row],[NumL]],T_TraitDi[#Data],COLUMN(T_TraitDi[[#This Row],[Colonne11]]),FALSE),""),"[hh]:mm"))</f>
        <v>#VALUE!</v>
      </c>
      <c r="AS261" s="172" t="e">
        <f>IF(VLOOKUP(T_BilanSocial[[#This Row],[NumL]],T_TraitDi[#Data],COLUMN(T_TraitDi[[#This Row],[Colonne12]]),FALSE)=0,"",TEXT(IFERROR(VLOOKUP(T_BilanSocial[[#This Row],[NumL]],T_TraitDi[#Data],COLUMN(T_TraitDi[[#This Row],[Colonne12]]),FALSE),""),"[hh]:mm"))</f>
        <v>#VALUE!</v>
      </c>
      <c r="AT261" s="172" t="e">
        <f>IF(VLOOKUP(T_BilanSocial[[#This Row],[NumL]],T_TraitDi[#Data],COLUMN(T_TraitDi[[#This Row],[Colonne14]]),FALSE)=0,"",TEXT(IFERROR(VLOOKUP(T_BilanSocial[[#This Row],[NumL]],T_TraitDi[#Data],COLUMN(T_TraitDi[[#This Row],[Colonne14]]),FALSE),""),"[hh]:mm"))</f>
        <v>#VALUE!</v>
      </c>
      <c r="AU261" s="172" t="str">
        <f>IFERROR(VLOOKUP(T_BilanSocial[[#This Row],[NumL]],T_TraitDi[#Data],COLUMN(T_TraitDi[[#This Row],[Mercredi]]),FALSE),"")</f>
        <v/>
      </c>
      <c r="AV261" s="172" t="e">
        <f>IF(VLOOKUP(T_BilanSocial[[#This Row],[NumL]],T_TraitDi[#Data],COLUMN(T_TraitDi[[#This Row],[Colonne15]]),FALSE)=0,"",TEXT(IFERROR(VLOOKUP(T_BilanSocial[[#This Row],[NumL]],T_TraitDi[#Data],COLUMN(T_TraitDi[[#This Row],[Colonne15]]),FALSE),""),"[hh]:mm"))</f>
        <v>#VALUE!</v>
      </c>
      <c r="AW261" s="172" t="e">
        <f>IF(VLOOKUP(T_BilanSocial[[#This Row],[NumL]],T_TraitDi[#Data],COLUMN(T_TraitDi[[#This Row],[Colonne16]]),FALSE)=0,"",TEXT(IFERROR(VLOOKUP(T_BilanSocial[[#This Row],[NumL]],T_TraitDi[#Data],COLUMN(T_TraitDi[[#This Row],[Colonne16]]),FALSE),""),"[hh]:mm"))</f>
        <v>#VALUE!</v>
      </c>
      <c r="AX261" s="172" t="str">
        <f>IFERROR(VLOOKUP(T_BilanSocial[[#This Row],[NumL]],T_TraitDi[#Data],COLUMN(T_TraitDi[[#This Row],[Colonne17]]),FALSE),"")</f>
        <v/>
      </c>
      <c r="AY261" s="172" t="e">
        <f>IF(VLOOKUP(T_BilanSocial[[#This Row],[NumL]],T_TraitDi[#Data],COLUMN(T_TraitDi[[#This Row],[Colonne18]]),FALSE)=0,"",TEXT(IFERROR(VLOOKUP(T_BilanSocial[[#This Row],[NumL]],T_TraitDi[#Data],COLUMN(T_TraitDi[[#This Row],[Colonne18]]),FALSE),""),"[hh]:mm"))</f>
        <v>#VALUE!</v>
      </c>
      <c r="AZ261" s="172" t="e">
        <f>IF(VLOOKUP(T_BilanSocial[[#This Row],[NumL]],T_TraitDi[#Data],COLUMN(T_TraitDi[[#This Row],[Colonne19]]),FALSE)=0,"",TEXT(IFERROR(VLOOKUP(T_BilanSocial[[#This Row],[NumL]],T_TraitDi[#Data],COLUMN(T_TraitDi[[#This Row],[Colonne19]]),FALSE),""),"[hh]:mm"))</f>
        <v>#VALUE!</v>
      </c>
      <c r="BA261" s="172" t="e">
        <f>IF(VLOOKUP(T_BilanSocial[[#This Row],[NumL]],T_TraitDi[#Data],COLUMN(T_TraitDi[[#This Row],[Colonne20]]),FALSE)=0,"",TEXT(IFERROR(VLOOKUP(T_BilanSocial[[#This Row],[NumL]],T_TraitDi[#Data],COLUMN(T_TraitDi[[#This Row],[Colonne20]]),FALSE),""),"[hh]:mm"))</f>
        <v>#VALUE!</v>
      </c>
      <c r="BB261" s="178" t="str">
        <f>IFERROR(VLOOKUP(T_BilanSocial[[#This Row],[NumL]],T_TraitDi[#Data],COLUMN(T_TraitDi[[#This Row],[Jeudi]]),FALSE),"")</f>
        <v/>
      </c>
      <c r="BC261" s="178" t="e">
        <f>IF(VLOOKUP(T_BilanSocial[[#This Row],[NumL]],T_TraitDi[#Data],COLUMN(T_TraitDi[[#This Row],[Colonne21]]),FALSE)=0,"",TEXT(IFERROR(VLOOKUP(T_BilanSocial[[#This Row],[NumL]],T_TraitDi[#Data],COLUMN(T_TraitDi[[#This Row],[Colonne21]]),FALSE),""),"[hh]:mm"))</f>
        <v>#VALUE!</v>
      </c>
      <c r="BD261" s="178" t="e">
        <f>IF(VLOOKUP(T_BilanSocial[[#This Row],[NumL]],T_TraitDi[#Data],COLUMN(T_TraitDi[[#This Row],[Colonne22]]),FALSE)=0,"",TEXT(IFERROR(VLOOKUP(T_BilanSocial[[#This Row],[NumL]],T_TraitDi[#Data],COLUMN(T_TraitDi[[#This Row],[Colonne22]]),FALSE),""),"[hh]:mm"))</f>
        <v>#VALUE!</v>
      </c>
      <c r="BE261" s="178" t="str">
        <f>IFERROR(VLOOKUP(T_BilanSocial[[#This Row],[NumL]],T_TraitDi[#Data],COLUMN(T_TraitDi[[#This Row],[Colonne23]]),FALSE),"")</f>
        <v/>
      </c>
      <c r="BF261" s="178" t="e">
        <f>IF(VLOOKUP(T_BilanSocial[[#This Row],[NumL]],T_TraitDi[#Data],COLUMN(T_TraitDi[[#This Row],[Colonne24]]),FALSE)=0,"",TEXT(IFERROR(VLOOKUP(T_BilanSocial[[#This Row],[NumL]],T_TraitDi[#Data],COLUMN(T_TraitDi[[#This Row],[Colonne24]]),FALSE),""),"[hh]:mm"))</f>
        <v>#VALUE!</v>
      </c>
      <c r="BG261" s="178" t="e">
        <f>IF(VLOOKUP(T_BilanSocial[[#This Row],[NumL]],T_TraitDi[#Data],COLUMN(T_TraitDi[[#This Row],[Colonne25]]),FALSE)=0,"",TEXT(IFERROR(VLOOKUP(T_BilanSocial[[#This Row],[NumL]],T_TraitDi[#Data],COLUMN(T_TraitDi[[#This Row],[Colonne25]]),FALSE),""),"[hh]:mm"))</f>
        <v>#VALUE!</v>
      </c>
      <c r="BH261" s="178" t="e">
        <f>IF(VLOOKUP(T_BilanSocial[[#This Row],[NumL]],T_TraitDi[#Data],COLUMN(T_TraitDi[[#This Row],[Colonne26]]),FALSE)=0,"",TEXT(IFERROR(VLOOKUP(T_BilanSocial[[#This Row],[NumL]],T_TraitDi[#Data],COLUMN(T_TraitDi[[#This Row],[Colonne26]]),FALSE),""),"[hh]:mm"))</f>
        <v>#VALUE!</v>
      </c>
      <c r="BI261" s="172" t="str">
        <f>IFERROR(VLOOKUP(T_BilanSocial[[#This Row],[NumL]],T_TraitDi[#Data],COLUMN(T_TraitDi[[#This Row],[Vendredi]]),FALSE),"")</f>
        <v/>
      </c>
      <c r="BJ261" s="172" t="e">
        <f>IF(VLOOKUP(T_BilanSocial[[#This Row],[NumL]],T_TraitDi[#Data],COLUMN(T_TraitDi[[#This Row],[Colonne27]]),FALSE)=0,"",TEXT(IFERROR(VLOOKUP(T_BilanSocial[[#This Row],[NumL]],T_TraitDi[#Data],COLUMN(T_TraitDi[[#This Row],[Colonne27]]),FALSE),""),"[hh]:mm"))</f>
        <v>#VALUE!</v>
      </c>
      <c r="BK261" s="172" t="e">
        <f>IF(VLOOKUP(T_BilanSocial[[#This Row],[NumL]],T_TraitDi[#Data],COLUMN(T_TraitDi[[#This Row],[Colonne28]]),FALSE)=0,"",TEXT(IFERROR(VLOOKUP(T_BilanSocial[[#This Row],[NumL]],T_TraitDi[#Data],COLUMN(T_TraitDi[[#This Row],[Colonne28]]),FALSE),""),"[hh]:mm"))</f>
        <v>#VALUE!</v>
      </c>
      <c r="BL261" s="172" t="str">
        <f>IFERROR(VLOOKUP(T_BilanSocial[[#This Row],[NumL]],T_TraitDi[#Data],COLUMN(T_TraitDi[[#This Row],[Colonne29]]),FALSE),"")</f>
        <v/>
      </c>
      <c r="BM261" s="172" t="e">
        <f>IF(VLOOKUP(T_BilanSocial[[#This Row],[NumL]],T_TraitDi[#Data],COLUMN(T_TraitDi[[#This Row],[Colonne30]]),FALSE)=0,"",TEXT(IFERROR(VLOOKUP(T_BilanSocial[[#This Row],[NumL]],T_TraitDi[#Data],COLUMN(T_TraitDi[[#This Row],[Colonne30]]),FALSE),""),"[hh]:mm"))</f>
        <v>#VALUE!</v>
      </c>
      <c r="BN261" s="172" t="e">
        <f>IF(VLOOKUP(T_BilanSocial[[#This Row],[NumL]],T_TraitDi[#Data],COLUMN(T_TraitDi[[#This Row],[Colonne31]]),FALSE)=0,"",TEXT(IFERROR(VLOOKUP(T_BilanSocial[[#This Row],[NumL]],T_TraitDi[#Data],COLUMN(T_TraitDi[[#This Row],[Colonne31]]),FALSE),""),"[hh]:mm"))</f>
        <v>#VALUE!</v>
      </c>
      <c r="BO261" s="172" t="e">
        <f>IF(VLOOKUP(T_BilanSocial[[#This Row],[NumL]],T_TraitDi[#Data],COLUMN(T_TraitDi[[#This Row],[Colonne32]]),FALSE)=0,"",TEXT(IFERROR(VLOOKUP(T_BilanSocial[[#This Row],[NumL]],T_TraitDi[#Data],COLUMN(T_TraitDi[[#This Row],[Colonne32]]),FALSE),""),"[hh]:mm"))</f>
        <v>#VALUE!</v>
      </c>
      <c r="BP261" s="172" t="e">
        <f>VLOOKUP(T_BilanSocial[[#This Row],[NumL]],T_TraitDi[#Data],COLUMN(T_TraitDi[NbJTot]),FALSE)</f>
        <v>#N/A</v>
      </c>
      <c r="BQ261" s="174" t="str">
        <f>IFERROR(VLOOKUP(T_BilanSocial[[#This Row],[NumL]],T_TraitDi[#Data],COLUMN(T_TraitDi[[#This Row],[NbJTW]]),FALSE),"")</f>
        <v/>
      </c>
      <c r="BR261" s="174" t="e">
        <f>IF(VLOOKUP(T_BilanSocial[[#This Row],[NumL]],T_TraitDi[#Data],COLUMN(T_TraitDi[[#This Row],[NbhTW]]),FALSE)=0,"",TEXT(IFERROR(VLOOKUP(T_BilanSocial[[#This Row],[NumL]],T_TraitDi[#Data],COLUMN(T_TraitDi[[#This Row],[NbhTW]]),FALSE),""),"[hh]:mm"))</f>
        <v>#VALUE!</v>
      </c>
      <c r="BS261" s="174" t="e">
        <f>IF(VLOOKUP(T_BilanSocial[[#This Row],[NumL]],T_TraitDi[#Data],COLUMN(T_TraitDi[[#This Row],[Nbhheb]]),FALSE)=0,"",TEXT(IFERROR(VLOOKUP($A261,T_TraitDi[#Data],COLUMN(T_TraitDi[[#This Row],[Nbhheb]]),FALSE),""),"[hh]:mm"))</f>
        <v>#VALUE!</v>
      </c>
      <c r="BT261" s="182" t="str">
        <f>IFERROR(VLOOKUP(VLOOKUP($A261,T_TraitDi[#Data],COLUMN(T_TraitDi[[#This Row],[Type1]]),FALSE),TypeTW,2,FALSE),"")</f>
        <v/>
      </c>
      <c r="BU261" s="182" t="str">
        <f>IFERROR(VLOOKUP($A261,T_TraitDi[#Data],COLUMN(T_TraitDi[[#This Row],[Rue1]]),FALSE),"")</f>
        <v/>
      </c>
      <c r="BV261" s="173" t="str">
        <f>IFERROR(VLOOKUP($A261,T_TraitDi[#Data],COLUMN(T_TraitDi[[#This Row],[CP1]]),FALSE),"")</f>
        <v/>
      </c>
      <c r="BW261" s="173" t="str">
        <f>IFERROR(VLOOKUP($A261,T_TraitDi[#Data],COLUMN(T_TraitDi[[#This Row],[VILLE1]]),FALSE),"")</f>
        <v/>
      </c>
      <c r="BX261" s="182" t="str">
        <f>IFERROR(VLOOKUP(VLOOKUP($A261,T_TraitDi[#Data],COLUMN(T_TraitDi[[#This Row],[Type2]]),FALSE),TypeTW,2,FALSE),"")</f>
        <v/>
      </c>
      <c r="BY261" s="182" t="str">
        <f>IFERROR(VLOOKUP($A261,T_TraitDi[#Data],COLUMN(T_TraitDi[[#This Row],[Rue2]]),FALSE),"")</f>
        <v/>
      </c>
      <c r="BZ261" s="173" t="str">
        <f>IFERROR(VLOOKUP($A261,T_TraitDi[#Data],COLUMN(T_TraitDi[[#This Row],[CP2]]),FALSE),"")</f>
        <v/>
      </c>
      <c r="CA261" s="173" t="str">
        <f>IFERROR(VLOOKUP($A261,T_TraitDi[#Data],COLUMN(T_TraitDi[[#This Row],[VILLE2]]),FALSE),"")</f>
        <v/>
      </c>
      <c r="CB261" s="182" t="str">
        <f>IF(VLOOKUP(T_BilanSocial[[#This Row],[NumL]],T_Equipement[#Data],COLUMN(T_Equipement[[#This Row],[PC]]),FALSE)="","Aucun équipement spécifique directement lié au télétravail",VLOOKUP(T_BilanSocial[[#This Row],[NumL]],T_Equipement[#Data],COLUMN(T_Equipement[[#This Row],[PC]]),FALSE))</f>
        <v>SCD2018PORT01</v>
      </c>
      <c r="CC261" s="166" t="str">
        <f>IFERROR(IF(VLOOKUP(T_BilanSocial[[#This Row],[NumL]],T_TraitDi[#Data],COLUMN(T_TraitDi[[#This Row],[Plan]]),FALSE)="OK","Un planning spécifique de télétravail est annexé à la présente convention.",""),"")</f>
        <v/>
      </c>
      <c r="CD261" s="185"/>
      <c r="CE261" s="164" t="e">
        <f>IF(VLOOKUP(T_BilanSocial[[#This Row],[NumL]],T_suiviDi[#Data],COLUMN(T_suiviDi[[#This Row],[Entité]]),FALSE)="","",VLOOKUP(T_BilanSocial[[#This Row],[NumL]],T_suiviDi[#Data],COLUMN(T_suiviDi[[#This Row],[Entité]]),FALSE))</f>
        <v>#VALUE!</v>
      </c>
      <c r="CF261" s="164" t="str">
        <f>IF(VLOOKUP(T_BilanSocial[[#This Row],[NumL]],T_Commission[#Data],COLUMN(T_Commission[[#This Row],[envoi confirm TW]]),FALSE)="","",VLOOKUP(T_BilanSocial[[#This Row],[NumL]],T_Commission[#Data],COLUMN(T_Commission[[#This Row],[envoi confirm TW]]),FALSE))</f>
        <v>Oui</v>
      </c>
      <c r="CG26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1" s="262" t="str">
        <f>T_BilanSocial[[#This Row],[Nom]]&amp;T_BilanSocial[[#This Row],[Prenom]]</f>
        <v/>
      </c>
      <c r="CI261" s="262">
        <f>VLOOKUP(T_BilanSocial[[#This Row],[NumL]],T_Commission[#Data],COLUMN(T_Commission[Commentaire]),FALSE)</f>
        <v>0</v>
      </c>
      <c r="CJ261" s="262" t="str">
        <f>IF(VLOOKUP(T_BilanSocial[[#This Row],[NumL]],T_Commission[#Data],COLUMN(T_Commission[Encadrant Email]),FALSE)="","",VLOOKUP(T_BilanSocial[[#This Row],[NumL]],T_Commission[#Data],COLUMN(T_Commission[Encadrant Email]),FALSE))</f>
        <v/>
      </c>
      <c r="CK261" s="340" t="str">
        <f>IF(T_BilanSocial[[#This Row],[Final]]&lt;&gt;"",VLOOKUP(T_BilanSocial[[#This Row],[NumL]],T_suiviDi[#Data],COLUMN((T_suiviDi[Statut])),FALSE),"")</f>
        <v/>
      </c>
    </row>
    <row r="262" spans="1:89" s="106" customFormat="1" ht="24.75" customHeight="1" x14ac:dyDescent="0.25">
      <c r="A262" s="160">
        <v>259</v>
      </c>
      <c r="B262" s="161">
        <f t="shared" si="45"/>
        <v>1</v>
      </c>
      <c r="C262" s="162" t="s">
        <v>173</v>
      </c>
      <c r="D262" s="95" t="e">
        <f>IF(VLOOKUP(T_BilanSocial[[#This Row],[NumL]],T_TraitDi[#Data],COLUMN(T_TraitDi[[#This Row],[WebC]]),FALSE)="","",VLOOKUP(T_BilanSocial[[#This Row],[NumL]],T_TraitDi[#Data],COLUMN(T_TraitDi[[#This Row],[WebC]]),FALSE))</f>
        <v>#VALUE!</v>
      </c>
      <c r="E262" s="163" t="str">
        <f t="shared" si="46"/>
        <v>12 janvier 2021</v>
      </c>
      <c r="F262" s="96" t="str">
        <f>IF(T_BilanSocial[[#This Row],[Final]]&lt;&gt;"",VLOOKUP(T_BilanSocial[[#This Row],[NumL]],T_suiviDi[#Data],COLUMN((T_suiviDi[Civ.])),FALSE),"")</f>
        <v>Mme</v>
      </c>
      <c r="G262" s="96" t="str">
        <f>IF(T_BilanSocial[[#This Row],[Final]]&lt;&gt;"",VLOOKUP(T_BilanSocial[[#This Row],[NumL]],T_suiviDi[#Data],COLUMN((T_suiviDi[Nom])),FALSE),"")</f>
        <v>A</v>
      </c>
      <c r="H262" s="96" t="str">
        <f>IF(T_BilanSocial[[#This Row],[Final]]&lt;&gt;"",VLOOKUP(T_BilanSocial[[#This Row],[NumL]],T_suiviDi[#Data],COLUMN((T_suiviDi[Prénom])),FALSE),"")</f>
        <v>Aude</v>
      </c>
      <c r="I262" s="96" t="str">
        <f>IFERROR(VLOOKUP(T_BilanSocial[[#This Row],[Zone_Bilan]],T_P_BilanSocial[#Data],COLUMN(T_P_BilanSocial[[#This Row],[Numero_SIHAM]]),FALSE),"")</f>
        <v/>
      </c>
      <c r="J262" s="96" t="str">
        <f>IFERROR(VLOOKUP(T_BilanSocial[[#This Row],[Zone_Bilan]],T_P_BilanSocial[#Data],COLUMN(T_P_BilanSocial[[#This Row],[Sexe]]),FALSE),"")</f>
        <v/>
      </c>
      <c r="K262" s="97" t="str">
        <f>IFERROR(VLOOKUP(T_BilanSocial[[#This Row],[Zone_Bilan]],T_P_BilanSocial[#Data],COLUMN(T_P_BilanSocial[[#This Row],[Categorie]]),FALSE),"")</f>
        <v/>
      </c>
      <c r="L262" s="96" t="str">
        <f>IFERROR(VLOOKUP(T_BilanSocial[[#This Row],[Zone_Bilan]],T_P_BilanSocial[#Data],COLUMN(T_P_BilanSocial[[#This Row],[Statut]]),FALSE),"")</f>
        <v/>
      </c>
      <c r="M262" s="96" t="str">
        <f>IFERROR(VLOOKUP(T_BilanSocial[[#This Row],[Zone_Bilan]],T_P_BilanSocial[#Data],COLUMN(T_P_BilanSocial[[#This Row],[Filiere]]),FALSE),"")</f>
        <v/>
      </c>
      <c r="N262" s="96" t="str">
        <f>VLOOKUP(T_BilanSocial[[#This Row],[NumL]],T_TraitDi[#Data],COLUMN(T_TraitDi[EXP]),FALSE)</f>
        <v>O</v>
      </c>
      <c r="O262" s="96" t="str">
        <f>VLOOKUP(T_BilanSocial[[#This Row],[NumL]],T_TraitDi[#Data],COLUMN(T_TraitDi[FORM]),FALSE)</f>
        <v>O</v>
      </c>
      <c r="P262" s="96">
        <f>IF(T_BilanSocial[[#This Row],[Final]]&lt;&gt;"",VLOOKUP(T_BilanSocial[[#This Row],[NumL]],T_suiviDi[#Data],COLUMN((T_suiviDi[Email])),FALSE),"")</f>
        <v>0</v>
      </c>
      <c r="Q262" s="164" t="str">
        <f t="shared" si="40"/>
        <v/>
      </c>
      <c r="R262" s="164" t="str">
        <f t="shared" si="41"/>
        <v>Bibliothécaire assistante spécialisée Chargée de formations aux usagers</v>
      </c>
      <c r="S262" s="164" t="e">
        <f>IF(VLOOKUP(T_BilanSocial[[#This Row],[NumL]],T_suiviDi[#Data],COLUMN(T_suiviDi[[#This Row],[Service ]]),FALSE)="","",VLOOKUP(T_BilanSocial[[#This Row],[NumL]],T_suiviDi[#Data],COLUMN(T_suiviDi[[#This Row],[Service ]]),FALSE))</f>
        <v>#VALUE!</v>
      </c>
      <c r="T262" s="164" t="str">
        <f t="shared" si="47"/>
        <v>01 septembre 2021</v>
      </c>
      <c r="U262" s="164" t="str">
        <f t="shared" si="48"/>
        <v>30 novembre 2021</v>
      </c>
      <c r="V262" s="164" t="str">
        <f>TEXT(Datebilan,"jj mmmm aaaa")</f>
        <v>30 novembre 2021</v>
      </c>
      <c r="W262" s="176" t="e">
        <f>IF(VLOOKUP(T_BilanSocial[[#This Row],[NumL]],T_TraitDi[#Data],COLUMN(T_TraitDi[[#This Row],[M1]]),FALSE)="","",VLOOKUP(T_BilanSocial[[#This Row],[NumL]],T_TraitDi[#Data],COLUMN(T_TraitDi[[#This Row],[M1]]),FALSE))</f>
        <v>#VALUE!</v>
      </c>
      <c r="X262" s="176" t="e">
        <f>IF(VLOOKUP(T_BilanSocial[[#This Row],[NumL]],T_TraitDi[#Data],COLUMN(T_TraitDi[[#This Row],[M2]]),FALSE)="","",VLOOKUP(T_BilanSocial[[#This Row],[NumL]],T_TraitDi[#Data],COLUMN(T_TraitDi[[#This Row],[M2]]),FALSE))</f>
        <v>#VALUE!</v>
      </c>
      <c r="Y262" s="176" t="e">
        <f>IF(VLOOKUP(T_BilanSocial[[#This Row],[NumL]],T_TraitDi[#Data],COLUMN(T_TraitDi[[#This Row],[M3]]),FALSE)="","",VLOOKUP(T_BilanSocial[[#This Row],[NumL]],T_TraitDi[#Data],COLUMN(T_TraitDi[[#This Row],[M3]]),FALSE))</f>
        <v>#VALUE!</v>
      </c>
      <c r="Z262" s="176" t="str">
        <f t="shared" si="50"/>
        <v/>
      </c>
      <c r="AA262" s="176" t="e">
        <f>IF(VLOOKUP(T_BilanSocial[[#This Row],[NumL]],T_TraitDi[#Data],COLUMN(T_TraitDi[[#This Row],[M5]]),FALSE)="","",VLOOKUP(T_BilanSocial[[#This Row],[NumL]],T_TraitDi[#Data],COLUMN(T_TraitDi[[#This Row],[M5]]),FALSE))</f>
        <v>#VALUE!</v>
      </c>
      <c r="AB262" s="176" t="e">
        <f>IF(VLOOKUP(T_BilanSocial[[#This Row],[NumL]],T_TraitDi[#Data],COLUMN(T_TraitDi[[#This Row],[M6]]),FALSE)="","",VLOOKUP(T_BilanSocial[[#This Row],[NumL]],T_TraitDi[#Data],COLUMN(T_TraitDi[[#This Row],[M6]]),FALSE))</f>
        <v>#VALUE!</v>
      </c>
      <c r="AC262" s="165" t="e">
        <f t="shared" si="49"/>
        <v>#VALUE!</v>
      </c>
      <c r="AD262" s="188" t="str">
        <f>IFERROR(TEXT(VLOOKUP(T_BilanSocial[[#This Row],[NumL]],T_TraitDi[#Data],COLUMN(T_TraitDi[[#This Row],[Q2]]),FALSE),"###%"),"")</f>
        <v/>
      </c>
      <c r="AE262" s="97" t="e">
        <f>VLOOKUP(T_BilanSocial[[#This Row],[NumL]],T_TraitDi[#Data],COLUMN(T_TraitDi[[#This Row],[Reg Ponct]]),FALSE)</f>
        <v>#VALUE!</v>
      </c>
      <c r="AF262" s="97" t="e">
        <f>VLOOKUP(T_BilanSocial[NumL],T_TraitDi[#Data],COLUMN(T_TraitDi[[#This Row],[Jours flottants]]),FALSE)</f>
        <v>#VALUE!</v>
      </c>
      <c r="AG262" s="97" t="str">
        <f>IFERROR(VLOOKUP(T_BilanSocial[[#This Row],[NumL]],T_TraitDi[#Data],COLUMN(T_TraitDi[[#This Row],[Lundi]]),FALSE),"")</f>
        <v/>
      </c>
      <c r="AH262" s="172" t="e">
        <f>IF(VLOOKUP(T_BilanSocial[[#This Row],[NumL]],T_TraitDi[#Data],COLUMN(T_TraitDi[[#This Row],[Colonne3]]),FALSE)=0,"",TEXT(IFERROR(VLOOKUP(T_BilanSocial[[#This Row],[NumL]],T_TraitDi[#Data],COLUMN(T_TraitDi[[#This Row],[Colonne3]]),FALSE),""),"[hh]:mm"))</f>
        <v>#VALUE!</v>
      </c>
      <c r="AI262" s="172" t="e">
        <f>IF(VLOOKUP(T_BilanSocial[[#This Row],[NumL]],T_TraitDi[#Data],COLUMN(T_TraitDi[[#This Row],[Colonne4]]),FALSE)=0,"",TEXT(IFERROR(VLOOKUP(T_BilanSocial[[#This Row],[NumL]],T_TraitDi[#Data],COLUMN(T_TraitDi[[#This Row],[Colonne4]]),FALSE),""),"[hh]:mm"))</f>
        <v>#VALUE!</v>
      </c>
      <c r="AJ262" s="172" t="e">
        <f>IF(VLOOKUP(T_BilanSocial[[#This Row],[NumL]],T_TraitDi[#Data],COLUMN(T_TraitDi[[#This Row],[Colonne5]]),FALSE)=0,"",TEXT(IFERROR(VLOOKUP(T_BilanSocial[[#This Row],[NumL]],T_TraitDi[#Data],COLUMN(T_TraitDi[[#This Row],[Colonne5]]),FALSE),""),"[hh]:mm"))</f>
        <v>#VALUE!</v>
      </c>
      <c r="AK262" s="172" t="e">
        <f>IF(VLOOKUP(T_BilanSocial[[#This Row],[NumL]],T_TraitDi[#Data],COLUMN(T_TraitDi[[#This Row],[Colonne6]]),FALSE)=0,"",TEXT(IFERROR(VLOOKUP(T_BilanSocial[[#This Row],[NumL]],T_TraitDi[#Data],COLUMN(T_TraitDi[[#This Row],[Colonne6]]),FALSE),""),"[hh]:mm"))</f>
        <v>#VALUE!</v>
      </c>
      <c r="AL262" s="172" t="e">
        <f>IF(VLOOKUP(T_BilanSocial[[#This Row],[NumL]],T_TraitDi[#Data],COLUMN(T_TraitDi[[#This Row],[Colonne7]]),FALSE)=0,"",TEXT(IFERROR(VLOOKUP(T_BilanSocial[[#This Row],[NumL]],T_TraitDi[#Data],COLUMN(T_TraitDi[[#This Row],[Colonne7]]),FALSE),""),"[hh]:mm"))</f>
        <v>#VALUE!</v>
      </c>
      <c r="AM262" s="172" t="e">
        <f>IF(VLOOKUP(T_BilanSocial[[#This Row],[NumL]],T_TraitDi[#Data],COLUMN(T_TraitDi[[#This Row],[Colonne8]]),FALSE)=0,"",TEXT(IFERROR(VLOOKUP(T_BilanSocial[[#This Row],[NumL]],T_TraitDi[#Data],COLUMN(T_TraitDi[[#This Row],[Colonne8]]),FALSE),""),"[hh]:mm"))</f>
        <v>#VALUE!</v>
      </c>
      <c r="AN262" s="172" t="str">
        <f>IFERROR(VLOOKUP(T_BilanSocial[[#This Row],[NumL]],T_TraitDi[#Data],COLUMN(T_TraitDi[[#This Row],[Mardi]]),FALSE),"")</f>
        <v/>
      </c>
      <c r="AO262" s="172" t="e">
        <f>IF(VLOOKUP(T_BilanSocial[[#This Row],[NumL]],T_TraitDi[#Data],COLUMN(T_TraitDi[[#This Row],[Colonne1]]),FALSE)=0,"",TEXT(IFERROR(VLOOKUP(T_BilanSocial[[#This Row],[NumL]],T_TraitDi[#Data],COLUMN(T_TraitDi[[#This Row],[Colonne1]]),FALSE),""),"[hh]:mm"))</f>
        <v>#VALUE!</v>
      </c>
      <c r="AP262" s="172" t="e">
        <f>IF(VLOOKUP(T_BilanSocial[[#This Row],[NumL]],T_TraitDi[#Data],COLUMN(T_TraitDi[[#This Row],[Colonne9]]),FALSE)=0,"",TEXT(IFERROR(VLOOKUP(T_BilanSocial[[#This Row],[NumL]],T_TraitDi[#Data],COLUMN(T_TraitDi[[#This Row],[Colonne9]]),FALSE),""),"[hh]:mm"))</f>
        <v>#VALUE!</v>
      </c>
      <c r="AQ262" s="172" t="str">
        <f>IFERROR(VLOOKUP(T_BilanSocial[[#This Row],[NumL]],T_TraitDi[#Data],COLUMN(T_TraitDi[[#This Row],[Colonne10]]),FALSE),"")</f>
        <v/>
      </c>
      <c r="AR262" s="172" t="e">
        <f>IF(VLOOKUP(T_BilanSocial[[#This Row],[NumL]],T_TraitDi[#Data],COLUMN(T_TraitDi[[#This Row],[Colonne11]]),FALSE)=0,"",TEXT(IFERROR(VLOOKUP(T_BilanSocial[[#This Row],[NumL]],T_TraitDi[#Data],COLUMN(T_TraitDi[[#This Row],[Colonne11]]),FALSE),""),"[hh]:mm"))</f>
        <v>#VALUE!</v>
      </c>
      <c r="AS262" s="172" t="e">
        <f>IF(VLOOKUP(T_BilanSocial[[#This Row],[NumL]],T_TraitDi[#Data],COLUMN(T_TraitDi[[#This Row],[Colonne12]]),FALSE)=0,"",TEXT(IFERROR(VLOOKUP(T_BilanSocial[[#This Row],[NumL]],T_TraitDi[#Data],COLUMN(T_TraitDi[[#This Row],[Colonne12]]),FALSE),""),"[hh]:mm"))</f>
        <v>#VALUE!</v>
      </c>
      <c r="AT262" s="172" t="e">
        <f>IF(VLOOKUP(T_BilanSocial[[#This Row],[NumL]],T_TraitDi[#Data],COLUMN(T_TraitDi[[#This Row],[Colonne14]]),FALSE)=0,"",TEXT(IFERROR(VLOOKUP(T_BilanSocial[[#This Row],[NumL]],T_TraitDi[#Data],COLUMN(T_TraitDi[[#This Row],[Colonne14]]),FALSE),""),"[hh]:mm"))</f>
        <v>#VALUE!</v>
      </c>
      <c r="AU262" s="172" t="str">
        <f>IFERROR(VLOOKUP(T_BilanSocial[[#This Row],[NumL]],T_TraitDi[#Data],COLUMN(T_TraitDi[[#This Row],[Mercredi]]),FALSE),"")</f>
        <v/>
      </c>
      <c r="AV262" s="172" t="e">
        <f>IF(VLOOKUP(T_BilanSocial[[#This Row],[NumL]],T_TraitDi[#Data],COLUMN(T_TraitDi[[#This Row],[Colonne15]]),FALSE)=0,"",TEXT(IFERROR(VLOOKUP(T_BilanSocial[[#This Row],[NumL]],T_TraitDi[#Data],COLUMN(T_TraitDi[[#This Row],[Colonne15]]),FALSE),""),"[hh]:mm"))</f>
        <v>#VALUE!</v>
      </c>
      <c r="AW262" s="172" t="e">
        <f>IF(VLOOKUP(T_BilanSocial[[#This Row],[NumL]],T_TraitDi[#Data],COLUMN(T_TraitDi[[#This Row],[Colonne16]]),FALSE)=0,"",TEXT(IFERROR(VLOOKUP(T_BilanSocial[[#This Row],[NumL]],T_TraitDi[#Data],COLUMN(T_TraitDi[[#This Row],[Colonne16]]),FALSE),""),"[hh]:mm"))</f>
        <v>#VALUE!</v>
      </c>
      <c r="AX262" s="172" t="str">
        <f>IFERROR(VLOOKUP(T_BilanSocial[[#This Row],[NumL]],T_TraitDi[#Data],COLUMN(T_TraitDi[[#This Row],[Colonne17]]),FALSE),"")</f>
        <v/>
      </c>
      <c r="AY262" s="172" t="e">
        <f>IF(VLOOKUP(T_BilanSocial[[#This Row],[NumL]],T_TraitDi[#Data],COLUMN(T_TraitDi[[#This Row],[Colonne18]]),FALSE)=0,"",TEXT(IFERROR(VLOOKUP(T_BilanSocial[[#This Row],[NumL]],T_TraitDi[#Data],COLUMN(T_TraitDi[[#This Row],[Colonne18]]),FALSE),""),"[hh]:mm"))</f>
        <v>#VALUE!</v>
      </c>
      <c r="AZ262" s="172" t="e">
        <f>IF(VLOOKUP(T_BilanSocial[[#This Row],[NumL]],T_TraitDi[#Data],COLUMN(T_TraitDi[[#This Row],[Colonne19]]),FALSE)=0,"",TEXT(IFERROR(VLOOKUP(T_BilanSocial[[#This Row],[NumL]],T_TraitDi[#Data],COLUMN(T_TraitDi[[#This Row],[Colonne19]]),FALSE),""),"[hh]:mm"))</f>
        <v>#VALUE!</v>
      </c>
      <c r="BA262" s="172" t="e">
        <f>IF(VLOOKUP(T_BilanSocial[[#This Row],[NumL]],T_TraitDi[#Data],COLUMN(T_TraitDi[[#This Row],[Colonne20]]),FALSE)=0,"",TEXT(IFERROR(VLOOKUP(T_BilanSocial[[#This Row],[NumL]],T_TraitDi[#Data],COLUMN(T_TraitDi[[#This Row],[Colonne20]]),FALSE),""),"[hh]:mm"))</f>
        <v>#VALUE!</v>
      </c>
      <c r="BB262" s="178" t="str">
        <f>IFERROR(VLOOKUP(T_BilanSocial[[#This Row],[NumL]],T_TraitDi[#Data],COLUMN(T_TraitDi[[#This Row],[Jeudi]]),FALSE),"")</f>
        <v/>
      </c>
      <c r="BC262" s="178" t="e">
        <f>IF(VLOOKUP(T_BilanSocial[[#This Row],[NumL]],T_TraitDi[#Data],COLUMN(T_TraitDi[[#This Row],[Colonne21]]),FALSE)=0,"",TEXT(IFERROR(VLOOKUP(T_BilanSocial[[#This Row],[NumL]],T_TraitDi[#Data],COLUMN(T_TraitDi[[#This Row],[Colonne21]]),FALSE),""),"[hh]:mm"))</f>
        <v>#VALUE!</v>
      </c>
      <c r="BD262" s="178" t="e">
        <f>IF(VLOOKUP(T_BilanSocial[[#This Row],[NumL]],T_TraitDi[#Data],COLUMN(T_TraitDi[[#This Row],[Colonne22]]),FALSE)=0,"",TEXT(IFERROR(VLOOKUP(T_BilanSocial[[#This Row],[NumL]],T_TraitDi[#Data],COLUMN(T_TraitDi[[#This Row],[Colonne22]]),FALSE),""),"[hh]:mm"))</f>
        <v>#VALUE!</v>
      </c>
      <c r="BE262" s="178" t="str">
        <f>IFERROR(VLOOKUP(T_BilanSocial[[#This Row],[NumL]],T_TraitDi[#Data],COLUMN(T_TraitDi[[#This Row],[Colonne23]]),FALSE),"")</f>
        <v/>
      </c>
      <c r="BF262" s="178" t="e">
        <f>IF(VLOOKUP(T_BilanSocial[[#This Row],[NumL]],T_TraitDi[#Data],COLUMN(T_TraitDi[[#This Row],[Colonne24]]),FALSE)=0,"",TEXT(IFERROR(VLOOKUP(T_BilanSocial[[#This Row],[NumL]],T_TraitDi[#Data],COLUMN(T_TraitDi[[#This Row],[Colonne24]]),FALSE),""),"[hh]:mm"))</f>
        <v>#VALUE!</v>
      </c>
      <c r="BG262" s="178" t="e">
        <f>IF(VLOOKUP(T_BilanSocial[[#This Row],[NumL]],T_TraitDi[#Data],COLUMN(T_TraitDi[[#This Row],[Colonne25]]),FALSE)=0,"",TEXT(IFERROR(VLOOKUP(T_BilanSocial[[#This Row],[NumL]],T_TraitDi[#Data],COLUMN(T_TraitDi[[#This Row],[Colonne25]]),FALSE),""),"[hh]:mm"))</f>
        <v>#VALUE!</v>
      </c>
      <c r="BH262" s="178" t="e">
        <f>IF(VLOOKUP(T_BilanSocial[[#This Row],[NumL]],T_TraitDi[#Data],COLUMN(T_TraitDi[[#This Row],[Colonne26]]),FALSE)=0,"",TEXT(IFERROR(VLOOKUP(T_BilanSocial[[#This Row],[NumL]],T_TraitDi[#Data],COLUMN(T_TraitDi[[#This Row],[Colonne26]]),FALSE),""),"[hh]:mm"))</f>
        <v>#VALUE!</v>
      </c>
      <c r="BI262" s="172" t="str">
        <f>IFERROR(VLOOKUP(T_BilanSocial[[#This Row],[NumL]],T_TraitDi[#Data],COLUMN(T_TraitDi[[#This Row],[Vendredi]]),FALSE),"")</f>
        <v/>
      </c>
      <c r="BJ262" s="172" t="e">
        <f>IF(VLOOKUP(T_BilanSocial[[#This Row],[NumL]],T_TraitDi[#Data],COLUMN(T_TraitDi[[#This Row],[Colonne27]]),FALSE)=0,"",TEXT(IFERROR(VLOOKUP(T_BilanSocial[[#This Row],[NumL]],T_TraitDi[#Data],COLUMN(T_TraitDi[[#This Row],[Colonne27]]),FALSE),""),"[hh]:mm"))</f>
        <v>#VALUE!</v>
      </c>
      <c r="BK262" s="172" t="e">
        <f>IF(VLOOKUP(T_BilanSocial[[#This Row],[NumL]],T_TraitDi[#Data],COLUMN(T_TraitDi[[#This Row],[Colonne28]]),FALSE)=0,"",TEXT(IFERROR(VLOOKUP(T_BilanSocial[[#This Row],[NumL]],T_TraitDi[#Data],COLUMN(T_TraitDi[[#This Row],[Colonne28]]),FALSE),""),"[hh]:mm"))</f>
        <v>#VALUE!</v>
      </c>
      <c r="BL262" s="172" t="str">
        <f>IFERROR(VLOOKUP(T_BilanSocial[[#This Row],[NumL]],T_TraitDi[#Data],COLUMN(T_TraitDi[[#This Row],[Colonne29]]),FALSE),"")</f>
        <v/>
      </c>
      <c r="BM262" s="172" t="e">
        <f>IF(VLOOKUP(T_BilanSocial[[#This Row],[NumL]],T_TraitDi[#Data],COLUMN(T_TraitDi[[#This Row],[Colonne30]]),FALSE)=0,"",TEXT(IFERROR(VLOOKUP(T_BilanSocial[[#This Row],[NumL]],T_TraitDi[#Data],COLUMN(T_TraitDi[[#This Row],[Colonne30]]),FALSE),""),"[hh]:mm"))</f>
        <v>#VALUE!</v>
      </c>
      <c r="BN262" s="172" t="e">
        <f>IF(VLOOKUP(T_BilanSocial[[#This Row],[NumL]],T_TraitDi[#Data],COLUMN(T_TraitDi[[#This Row],[Colonne31]]),FALSE)=0,"",TEXT(IFERROR(VLOOKUP(T_BilanSocial[[#This Row],[NumL]],T_TraitDi[#Data],COLUMN(T_TraitDi[[#This Row],[Colonne31]]),FALSE),""),"[hh]:mm"))</f>
        <v>#VALUE!</v>
      </c>
      <c r="BO262" s="172" t="e">
        <f>IF(VLOOKUP(T_BilanSocial[[#This Row],[NumL]],T_TraitDi[#Data],COLUMN(T_TraitDi[[#This Row],[Colonne32]]),FALSE)=0,"",TEXT(IFERROR(VLOOKUP(T_BilanSocial[[#This Row],[NumL]],T_TraitDi[#Data],COLUMN(T_TraitDi[[#This Row],[Colonne32]]),FALSE),""),"[hh]:mm"))</f>
        <v>#VALUE!</v>
      </c>
      <c r="BP262" s="172">
        <f>VLOOKUP(T_BilanSocial[[#This Row],[NumL]],T_TraitDi[#Data],COLUMN(T_TraitDi[NbJTot]),FALSE)</f>
        <v>4.5</v>
      </c>
      <c r="BQ262" s="174" t="str">
        <f>IFERROR(VLOOKUP(T_BilanSocial[[#This Row],[NumL]],T_TraitDi[#Data],COLUMN(T_TraitDi[[#This Row],[NbJTW]]),FALSE),"")</f>
        <v/>
      </c>
      <c r="BR262" s="174" t="e">
        <f>IF(VLOOKUP(T_BilanSocial[[#This Row],[NumL]],T_TraitDi[#Data],COLUMN(T_TraitDi[[#This Row],[NbhTW]]),FALSE)=0,"",TEXT(IFERROR(VLOOKUP(T_BilanSocial[[#This Row],[NumL]],T_TraitDi[#Data],COLUMN(T_TraitDi[[#This Row],[NbhTW]]),FALSE),""),"[hh]:mm"))</f>
        <v>#VALUE!</v>
      </c>
      <c r="BS262" s="174" t="e">
        <f>IF(VLOOKUP(T_BilanSocial[[#This Row],[NumL]],T_TraitDi[#Data],COLUMN(T_TraitDi[[#This Row],[Nbhheb]]),FALSE)=0,"",TEXT(IFERROR(VLOOKUP($A262,T_TraitDi[#Data],COLUMN(T_TraitDi[[#This Row],[Nbhheb]]),FALSE),""),"[hh]:mm"))</f>
        <v>#VALUE!</v>
      </c>
      <c r="BT262" s="182" t="str">
        <f>IFERROR(VLOOKUP(VLOOKUP($A262,T_TraitDi[#Data],COLUMN(T_TraitDi[[#This Row],[Type1]]),FALSE),TypeTW,2,FALSE),"")</f>
        <v/>
      </c>
      <c r="BU262" s="182" t="str">
        <f>IFERROR(VLOOKUP($A262,T_TraitDi[#Data],COLUMN(T_TraitDi[[#This Row],[Rue1]]),FALSE),"")</f>
        <v/>
      </c>
      <c r="BV262" s="173" t="str">
        <f>IFERROR(VLOOKUP($A262,T_TraitDi[#Data],COLUMN(T_TraitDi[[#This Row],[CP1]]),FALSE),"")</f>
        <v/>
      </c>
      <c r="BW262" s="173" t="str">
        <f>IFERROR(VLOOKUP($A262,T_TraitDi[#Data],COLUMN(T_TraitDi[[#This Row],[VILLE1]]),FALSE),"")</f>
        <v/>
      </c>
      <c r="BX262" s="182" t="str">
        <f>IFERROR(VLOOKUP(VLOOKUP($A262,T_TraitDi[#Data],COLUMN(T_TraitDi[[#This Row],[Type2]]),FALSE),TypeTW,2,FALSE),"")</f>
        <v/>
      </c>
      <c r="BY262" s="182" t="str">
        <f>IFERROR(VLOOKUP($A262,T_TraitDi[#Data],COLUMN(T_TraitDi[[#This Row],[Rue2]]),FALSE),"")</f>
        <v/>
      </c>
      <c r="BZ262" s="173" t="str">
        <f>IFERROR(VLOOKUP($A262,T_TraitDi[#Data],COLUMN(T_TraitDi[[#This Row],[CP2]]),FALSE),"")</f>
        <v/>
      </c>
      <c r="CA262" s="173" t="str">
        <f>IFERROR(VLOOKUP($A262,T_TraitDi[#Data],COLUMN(T_TraitDi[[#This Row],[VILLE2]]),FALSE),"")</f>
        <v/>
      </c>
      <c r="CB262" s="182" t="str">
        <f>IF(VLOOKUP(T_BilanSocial[[#This Row],[NumL]],T_Equipement[#Data],COLUMN(T_Equipement[[#This Row],[PC]]),FALSE)="","Aucun équipement spécifique directement lié au télétravail",VLOOKUP(T_BilanSocial[[#This Row],[NumL]],T_Equipement[#Data],COLUMN(T_Equipement[[#This Row],[PC]]),FALSE))</f>
        <v>20-426</v>
      </c>
      <c r="CC262" s="166" t="str">
        <f>IFERROR(IF(VLOOKUP(T_BilanSocial[[#This Row],[NumL]],T_TraitDi[#Data],COLUMN(T_TraitDi[[#This Row],[Plan]]),FALSE)="OK","Un planning spécifique de télétravail est annexé à la présente convention.",""),"")</f>
        <v/>
      </c>
      <c r="CD262" s="258" t="s">
        <v>3309</v>
      </c>
      <c r="CE262" s="164" t="e">
        <f>IF(VLOOKUP(T_BilanSocial[[#This Row],[NumL]],T_suiviDi[#Data],COLUMN(T_suiviDi[[#This Row],[Entité]]),FALSE)="","",VLOOKUP(T_BilanSocial[[#This Row],[NumL]],T_suiviDi[#Data],COLUMN(T_suiviDi[[#This Row],[Entité]]),FALSE))</f>
        <v>#VALUE!</v>
      </c>
      <c r="CF262" s="164" t="str">
        <f>IF(VLOOKUP(T_BilanSocial[[#This Row],[NumL]],T_Commission[#Data],COLUMN(T_Commission[[#This Row],[envoi confirm TW]]),FALSE)="","",VLOOKUP(T_BilanSocial[[#This Row],[NumL]],T_Commission[#Data],COLUMN(T_Commission[[#This Row],[envoi confirm TW]]),FALSE))</f>
        <v>Oui</v>
      </c>
      <c r="CG262"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2" s="262" t="str">
        <f>T_BilanSocial[[#This Row],[Nom]]&amp;T_BilanSocial[[#This Row],[Prenom]]</f>
        <v>AAude</v>
      </c>
      <c r="CI262" s="262">
        <f>VLOOKUP(T_BilanSocial[[#This Row],[NumL]],T_Commission[#Data],COLUMN(T_Commission[Commentaire]),FALSE)</f>
        <v>0</v>
      </c>
      <c r="CJ262" s="262" t="str">
        <f>IF(VLOOKUP(T_BilanSocial[[#This Row],[NumL]],T_Commission[#Data],COLUMN(T_Commission[Encadrant Email]),FALSE)="","",VLOOKUP(T_BilanSocial[[#This Row],[NumL]],T_Commission[#Data],COLUMN(T_Commission[Encadrant Email]),FALSE))</f>
        <v/>
      </c>
      <c r="CK262" s="340" t="str">
        <f>IF(T_BilanSocial[[#This Row],[Final]]&lt;&gt;"",VLOOKUP(T_BilanSocial[[#This Row],[NumL]],T_suiviDi[#Data],COLUMN((T_suiviDi[Statut])),FALSE),"")</f>
        <v>ENCOURS</v>
      </c>
    </row>
    <row r="263" spans="1:89" s="106" customFormat="1" ht="24.75" customHeight="1" x14ac:dyDescent="0.25">
      <c r="A263" s="160">
        <v>260</v>
      </c>
      <c r="B263" s="161" t="str">
        <f t="shared" si="45"/>
        <v/>
      </c>
      <c r="C263" s="162" t="s">
        <v>173</v>
      </c>
      <c r="D263" s="95" t="e">
        <f>IF(VLOOKUP(T_BilanSocial[[#This Row],[NumL]],T_TraitDi[#Data],COLUMN(T_TraitDi[[#This Row],[WebC]]),FALSE)="","",VLOOKUP(T_BilanSocial[[#This Row],[NumL]],T_TraitDi[#Data],COLUMN(T_TraitDi[[#This Row],[WebC]]),FALSE))</f>
        <v>#VALUE!</v>
      </c>
      <c r="E263" s="163" t="str">
        <f t="shared" si="46"/>
        <v>12 janvier 2021</v>
      </c>
      <c r="F263" s="96" t="str">
        <f>IF(T_BilanSocial[[#This Row],[Final]]&lt;&gt;"",VLOOKUP(T_BilanSocial[[#This Row],[NumL]],T_suiviDi[#Data],COLUMN((T_suiviDi[Civ.])),FALSE),"")</f>
        <v/>
      </c>
      <c r="G263" s="96" t="str">
        <f>IF(T_BilanSocial[[#This Row],[Final]]&lt;&gt;"",VLOOKUP(T_BilanSocial[[#This Row],[NumL]],T_suiviDi[#Data],COLUMN((T_suiviDi[Nom])),FALSE),"")</f>
        <v/>
      </c>
      <c r="H263" s="96" t="str">
        <f>IF(T_BilanSocial[[#This Row],[Final]]&lt;&gt;"",VLOOKUP(T_BilanSocial[[#This Row],[NumL]],T_suiviDi[#Data],COLUMN((T_suiviDi[Prénom])),FALSE),"")</f>
        <v/>
      </c>
      <c r="I263" s="96" t="str">
        <f>IFERROR(VLOOKUP(T_BilanSocial[[#This Row],[Zone_Bilan]],T_P_BilanSocial[#Data],COLUMN(T_P_BilanSocial[[#This Row],[Numero_SIHAM]]),FALSE),"")</f>
        <v/>
      </c>
      <c r="J263" s="96" t="str">
        <f>IFERROR(VLOOKUP(T_BilanSocial[[#This Row],[Zone_Bilan]],T_P_BilanSocial[#Data],COLUMN(T_P_BilanSocial[[#This Row],[Sexe]]),FALSE),"")</f>
        <v/>
      </c>
      <c r="K263" s="97" t="str">
        <f>IFERROR(VLOOKUP(T_BilanSocial[[#This Row],[Zone_Bilan]],T_P_BilanSocial[#Data],COLUMN(T_P_BilanSocial[[#This Row],[Categorie]]),FALSE),"")</f>
        <v/>
      </c>
      <c r="L263" s="96" t="str">
        <f>IFERROR(VLOOKUP(T_BilanSocial[[#This Row],[Zone_Bilan]],T_P_BilanSocial[#Data],COLUMN(T_P_BilanSocial[[#This Row],[Statut]]),FALSE),"")</f>
        <v/>
      </c>
      <c r="M263" s="96" t="str">
        <f>IFERROR(VLOOKUP(T_BilanSocial[[#This Row],[Zone_Bilan]],T_P_BilanSocial[#Data],COLUMN(T_P_BilanSocial[[#This Row],[Filiere]]),FALSE),"")</f>
        <v/>
      </c>
      <c r="N263" s="96" t="e">
        <f>VLOOKUP(T_BilanSocial[[#This Row],[NumL]],T_TraitDi[#Data],COLUMN(T_TraitDi[EXP]),FALSE)</f>
        <v>#N/A</v>
      </c>
      <c r="O263" s="96" t="e">
        <f>VLOOKUP(T_BilanSocial[[#This Row],[NumL]],T_TraitDi[#Data],COLUMN(T_TraitDi[FORM]),FALSE)</f>
        <v>#N/A</v>
      </c>
      <c r="P263" s="96" t="str">
        <f>IF(T_BilanSocial[[#This Row],[Final]]&lt;&gt;"",VLOOKUP(T_BilanSocial[[#This Row],[NumL]],T_suiviDi[#Data],COLUMN((T_suiviDi[Email])),FALSE),"")</f>
        <v/>
      </c>
      <c r="Q263" s="164" t="e">
        <f t="shared" si="40"/>
        <v>#N/A</v>
      </c>
      <c r="R263" s="164" t="e">
        <f t="shared" si="41"/>
        <v>#N/A</v>
      </c>
      <c r="S263" s="164" t="e">
        <f>IF(VLOOKUP(T_BilanSocial[[#This Row],[NumL]],T_suiviDi[#Data],COLUMN(T_suiviDi[[#This Row],[Service ]]),FALSE)="","",VLOOKUP(T_BilanSocial[[#This Row],[NumL]],T_suiviDi[#Data],COLUMN(T_suiviDi[[#This Row],[Service ]]),FALSE))</f>
        <v>#VALUE!</v>
      </c>
      <c r="T263" s="164" t="str">
        <f t="shared" si="47"/>
        <v>01 septembre 2021</v>
      </c>
      <c r="U263" s="164" t="str">
        <f t="shared" si="48"/>
        <v>30 novembre 2021</v>
      </c>
      <c r="V263" s="96" t="str">
        <f>TEXT(Datebilan,"jj mmmm aaaa")</f>
        <v>30 novembre 2021</v>
      </c>
      <c r="W263" s="176" t="e">
        <f>IF(VLOOKUP(T_BilanSocial[[#This Row],[NumL]],T_TraitDi[#Data],COLUMN(T_TraitDi[[#This Row],[M1]]),FALSE)="","",VLOOKUP(T_BilanSocial[[#This Row],[NumL]],T_TraitDi[#Data],COLUMN(T_TraitDi[[#This Row],[M1]]),FALSE))</f>
        <v>#VALUE!</v>
      </c>
      <c r="X263" s="176" t="e">
        <f>IF(VLOOKUP(T_BilanSocial[[#This Row],[NumL]],T_TraitDi[#Data],COLUMN(T_TraitDi[[#This Row],[M2]]),FALSE)="","",VLOOKUP(T_BilanSocial[[#This Row],[NumL]],T_TraitDi[#Data],COLUMN(T_TraitDi[[#This Row],[M2]]),FALSE))</f>
        <v>#VALUE!</v>
      </c>
      <c r="Y263" s="176" t="e">
        <f>IF(VLOOKUP(T_BilanSocial[[#This Row],[NumL]],T_TraitDi[#Data],COLUMN(T_TraitDi[[#This Row],[M3]]),FALSE)="","",VLOOKUP(T_BilanSocial[[#This Row],[NumL]],T_TraitDi[#Data],COLUMN(T_TraitDi[[#This Row],[M3]]),FALSE))</f>
        <v>#VALUE!</v>
      </c>
      <c r="Z263" s="176" t="str">
        <f t="shared" si="50"/>
        <v/>
      </c>
      <c r="AA263" s="176" t="e">
        <f>IF(VLOOKUP(T_BilanSocial[[#This Row],[NumL]],T_TraitDi[#Data],COLUMN(T_TraitDi[[#This Row],[M5]]),FALSE)="","",VLOOKUP(T_BilanSocial[[#This Row],[NumL]],T_TraitDi[#Data],COLUMN(T_TraitDi[[#This Row],[M5]]),FALSE))</f>
        <v>#VALUE!</v>
      </c>
      <c r="AB263" s="176" t="e">
        <f>IF(VLOOKUP(T_BilanSocial[[#This Row],[NumL]],T_TraitDi[#Data],COLUMN(T_TraitDi[[#This Row],[M6]]),FALSE)="","",VLOOKUP(T_BilanSocial[[#This Row],[NumL]],T_TraitDi[#Data],COLUMN(T_TraitDi[[#This Row],[M6]]),FALSE))</f>
        <v>#VALUE!</v>
      </c>
      <c r="AC263" s="165" t="e">
        <f t="shared" si="49"/>
        <v>#VALUE!</v>
      </c>
      <c r="AD263" s="188" t="str">
        <f>IFERROR(TEXT(VLOOKUP(T_BilanSocial[[#This Row],[NumL]],T_TraitDi[#Data],COLUMN(T_TraitDi[[#This Row],[Q2]]),FALSE),"###%"),"")</f>
        <v/>
      </c>
      <c r="AE263" s="97" t="e">
        <f>VLOOKUP(T_BilanSocial[[#This Row],[NumL]],T_TraitDi[#Data],COLUMN(T_TraitDi[[#This Row],[Reg Ponct]]),FALSE)</f>
        <v>#VALUE!</v>
      </c>
      <c r="AF263" s="97" t="e">
        <f>VLOOKUP(T_BilanSocial[NumL],T_TraitDi[#Data],COLUMN(T_TraitDi[[#This Row],[Jours flottants]]),FALSE)</f>
        <v>#VALUE!</v>
      </c>
      <c r="AG263" s="97" t="str">
        <f>IFERROR(VLOOKUP(T_BilanSocial[[#This Row],[NumL]],T_TraitDi[#Data],COLUMN(T_TraitDi[[#This Row],[Lundi]]),FALSE),"")</f>
        <v/>
      </c>
      <c r="AH263" s="172" t="e">
        <f>IF(VLOOKUP(T_BilanSocial[[#This Row],[NumL]],T_TraitDi[#Data],COLUMN(T_TraitDi[[#This Row],[Colonne3]]),FALSE)=0,"",TEXT(IFERROR(VLOOKUP(T_BilanSocial[[#This Row],[NumL]],T_TraitDi[#Data],COLUMN(T_TraitDi[[#This Row],[Colonne3]]),FALSE),""),"[hh]:mm"))</f>
        <v>#VALUE!</v>
      </c>
      <c r="AI263" s="172" t="e">
        <f>IF(VLOOKUP(T_BilanSocial[[#This Row],[NumL]],T_TraitDi[#Data],COLUMN(T_TraitDi[[#This Row],[Colonne4]]),FALSE)=0,"",TEXT(IFERROR(VLOOKUP(T_BilanSocial[[#This Row],[NumL]],T_TraitDi[#Data],COLUMN(T_TraitDi[[#This Row],[Colonne4]]),FALSE),""),"[hh]:mm"))</f>
        <v>#VALUE!</v>
      </c>
      <c r="AJ263" s="172" t="e">
        <f>IF(VLOOKUP(T_BilanSocial[[#This Row],[NumL]],T_TraitDi[#Data],COLUMN(T_TraitDi[[#This Row],[Colonne5]]),FALSE)=0,"",TEXT(IFERROR(VLOOKUP(T_BilanSocial[[#This Row],[NumL]],T_TraitDi[#Data],COLUMN(T_TraitDi[[#This Row],[Colonne5]]),FALSE),""),"[hh]:mm"))</f>
        <v>#VALUE!</v>
      </c>
      <c r="AK263" s="172" t="e">
        <f>IF(VLOOKUP(T_BilanSocial[[#This Row],[NumL]],T_TraitDi[#Data],COLUMN(T_TraitDi[[#This Row],[Colonne6]]),FALSE)=0,"",TEXT(IFERROR(VLOOKUP(T_BilanSocial[[#This Row],[NumL]],T_TraitDi[#Data],COLUMN(T_TraitDi[[#This Row],[Colonne6]]),FALSE),""),"[hh]:mm"))</f>
        <v>#VALUE!</v>
      </c>
      <c r="AL263" s="172" t="e">
        <f>IF(VLOOKUP(T_BilanSocial[[#This Row],[NumL]],T_TraitDi[#Data],COLUMN(T_TraitDi[[#This Row],[Colonne7]]),FALSE)=0,"",TEXT(IFERROR(VLOOKUP(T_BilanSocial[[#This Row],[NumL]],T_TraitDi[#Data],COLUMN(T_TraitDi[[#This Row],[Colonne7]]),FALSE),""),"[hh]:mm"))</f>
        <v>#VALUE!</v>
      </c>
      <c r="AM263" s="172" t="e">
        <f>IF(VLOOKUP(T_BilanSocial[[#This Row],[NumL]],T_TraitDi[#Data],COLUMN(T_TraitDi[[#This Row],[Colonne8]]),FALSE)=0,"",TEXT(IFERROR(VLOOKUP(T_BilanSocial[[#This Row],[NumL]],T_TraitDi[#Data],COLUMN(T_TraitDi[[#This Row],[Colonne8]]),FALSE),""),"[hh]:mm"))</f>
        <v>#VALUE!</v>
      </c>
      <c r="AN263" s="172" t="str">
        <f>IFERROR(VLOOKUP(T_BilanSocial[[#This Row],[NumL]],T_TraitDi[#Data],COLUMN(T_TraitDi[[#This Row],[Mardi]]),FALSE),"")</f>
        <v/>
      </c>
      <c r="AO263" s="172" t="e">
        <f>IF(VLOOKUP(T_BilanSocial[[#This Row],[NumL]],T_TraitDi[#Data],COLUMN(T_TraitDi[[#This Row],[Colonne1]]),FALSE)=0,"",TEXT(IFERROR(VLOOKUP(T_BilanSocial[[#This Row],[NumL]],T_TraitDi[#Data],COLUMN(T_TraitDi[[#This Row],[Colonne1]]),FALSE),""),"[hh]:mm"))</f>
        <v>#VALUE!</v>
      </c>
      <c r="AP263" s="172" t="e">
        <f>IF(VLOOKUP(T_BilanSocial[[#This Row],[NumL]],T_TraitDi[#Data],COLUMN(T_TraitDi[[#This Row],[Colonne9]]),FALSE)=0,"",TEXT(IFERROR(VLOOKUP(T_BilanSocial[[#This Row],[NumL]],T_TraitDi[#Data],COLUMN(T_TraitDi[[#This Row],[Colonne9]]),FALSE),""),"[hh]:mm"))</f>
        <v>#VALUE!</v>
      </c>
      <c r="AQ263" s="172" t="str">
        <f>IFERROR(VLOOKUP(T_BilanSocial[[#This Row],[NumL]],T_TraitDi[#Data],COLUMN(T_TraitDi[[#This Row],[Colonne10]]),FALSE),"")</f>
        <v/>
      </c>
      <c r="AR263" s="172" t="e">
        <f>IF(VLOOKUP(T_BilanSocial[[#This Row],[NumL]],T_TraitDi[#Data],COLUMN(T_TraitDi[[#This Row],[Colonne11]]),FALSE)=0,"",TEXT(IFERROR(VLOOKUP(T_BilanSocial[[#This Row],[NumL]],T_TraitDi[#Data],COLUMN(T_TraitDi[[#This Row],[Colonne11]]),FALSE),""),"[hh]:mm"))</f>
        <v>#VALUE!</v>
      </c>
      <c r="AS263" s="172" t="e">
        <f>IF(VLOOKUP(T_BilanSocial[[#This Row],[NumL]],T_TraitDi[#Data],COLUMN(T_TraitDi[[#This Row],[Colonne12]]),FALSE)=0,"",TEXT(IFERROR(VLOOKUP(T_BilanSocial[[#This Row],[NumL]],T_TraitDi[#Data],COLUMN(T_TraitDi[[#This Row],[Colonne12]]),FALSE),""),"[hh]:mm"))</f>
        <v>#VALUE!</v>
      </c>
      <c r="AT263" s="172" t="e">
        <f>IF(VLOOKUP(T_BilanSocial[[#This Row],[NumL]],T_TraitDi[#Data],COLUMN(T_TraitDi[[#This Row],[Colonne14]]),FALSE)=0,"",TEXT(IFERROR(VLOOKUP(T_BilanSocial[[#This Row],[NumL]],T_TraitDi[#Data],COLUMN(T_TraitDi[[#This Row],[Colonne14]]),FALSE),""),"[hh]:mm"))</f>
        <v>#VALUE!</v>
      </c>
      <c r="AU263" s="172" t="str">
        <f>IFERROR(VLOOKUP(T_BilanSocial[[#This Row],[NumL]],T_TraitDi[#Data],COLUMN(T_TraitDi[[#This Row],[Mercredi]]),FALSE),"")</f>
        <v/>
      </c>
      <c r="AV263" s="172" t="e">
        <f>IF(VLOOKUP(T_BilanSocial[[#This Row],[NumL]],T_TraitDi[#Data],COLUMN(T_TraitDi[[#This Row],[Colonne15]]),FALSE)=0,"",TEXT(IFERROR(VLOOKUP(T_BilanSocial[[#This Row],[NumL]],T_TraitDi[#Data],COLUMN(T_TraitDi[[#This Row],[Colonne15]]),FALSE),""),"[hh]:mm"))</f>
        <v>#VALUE!</v>
      </c>
      <c r="AW263" s="172" t="e">
        <f>IF(VLOOKUP(T_BilanSocial[[#This Row],[NumL]],T_TraitDi[#Data],COLUMN(T_TraitDi[[#This Row],[Colonne16]]),FALSE)=0,"",TEXT(IFERROR(VLOOKUP(T_BilanSocial[[#This Row],[NumL]],T_TraitDi[#Data],COLUMN(T_TraitDi[[#This Row],[Colonne16]]),FALSE),""),"[hh]:mm"))</f>
        <v>#VALUE!</v>
      </c>
      <c r="AX263" s="172" t="str">
        <f>IFERROR(VLOOKUP(T_BilanSocial[[#This Row],[NumL]],T_TraitDi[#Data],COLUMN(T_TraitDi[[#This Row],[Colonne17]]),FALSE),"")</f>
        <v/>
      </c>
      <c r="AY263" s="172" t="e">
        <f>IF(VLOOKUP(T_BilanSocial[[#This Row],[NumL]],T_TraitDi[#Data],COLUMN(T_TraitDi[[#This Row],[Colonne18]]),FALSE)=0,"",TEXT(IFERROR(VLOOKUP(T_BilanSocial[[#This Row],[NumL]],T_TraitDi[#Data],COLUMN(T_TraitDi[[#This Row],[Colonne18]]),FALSE),""),"[hh]:mm"))</f>
        <v>#VALUE!</v>
      </c>
      <c r="AZ263" s="172" t="e">
        <f>IF(VLOOKUP(T_BilanSocial[[#This Row],[NumL]],T_TraitDi[#Data],COLUMN(T_TraitDi[[#This Row],[Colonne19]]),FALSE)=0,"",TEXT(IFERROR(VLOOKUP(T_BilanSocial[[#This Row],[NumL]],T_TraitDi[#Data],COLUMN(T_TraitDi[[#This Row],[Colonne19]]),FALSE),""),"[hh]:mm"))</f>
        <v>#VALUE!</v>
      </c>
      <c r="BA263" s="172" t="e">
        <f>IF(VLOOKUP(T_BilanSocial[[#This Row],[NumL]],T_TraitDi[#Data],COLUMN(T_TraitDi[[#This Row],[Colonne20]]),FALSE)=0,"",TEXT(IFERROR(VLOOKUP(T_BilanSocial[[#This Row],[NumL]],T_TraitDi[#Data],COLUMN(T_TraitDi[[#This Row],[Colonne20]]),FALSE),""),"[hh]:mm"))</f>
        <v>#VALUE!</v>
      </c>
      <c r="BB263" s="178" t="str">
        <f>IFERROR(VLOOKUP(T_BilanSocial[[#This Row],[NumL]],T_TraitDi[#Data],COLUMN(T_TraitDi[[#This Row],[Jeudi]]),FALSE),"")</f>
        <v/>
      </c>
      <c r="BC263" s="178" t="e">
        <f>IF(VLOOKUP(T_BilanSocial[[#This Row],[NumL]],T_TraitDi[#Data],COLUMN(T_TraitDi[[#This Row],[Colonne21]]),FALSE)=0,"",TEXT(IFERROR(VLOOKUP(T_BilanSocial[[#This Row],[NumL]],T_TraitDi[#Data],COLUMN(T_TraitDi[[#This Row],[Colonne21]]),FALSE),""),"[hh]:mm"))</f>
        <v>#VALUE!</v>
      </c>
      <c r="BD263" s="178" t="e">
        <f>IF(VLOOKUP(T_BilanSocial[[#This Row],[NumL]],T_TraitDi[#Data],COLUMN(T_TraitDi[[#This Row],[Colonne22]]),FALSE)=0,"",TEXT(IFERROR(VLOOKUP(T_BilanSocial[[#This Row],[NumL]],T_TraitDi[#Data],COLUMN(T_TraitDi[[#This Row],[Colonne22]]),FALSE),""),"[hh]:mm"))</f>
        <v>#VALUE!</v>
      </c>
      <c r="BE263" s="178" t="str">
        <f>IFERROR(VLOOKUP(T_BilanSocial[[#This Row],[NumL]],T_TraitDi[#Data],COLUMN(T_TraitDi[[#This Row],[Colonne23]]),FALSE),"")</f>
        <v/>
      </c>
      <c r="BF263" s="178" t="e">
        <f>IF(VLOOKUP(T_BilanSocial[[#This Row],[NumL]],T_TraitDi[#Data],COLUMN(T_TraitDi[[#This Row],[Colonne24]]),FALSE)=0,"",TEXT(IFERROR(VLOOKUP(T_BilanSocial[[#This Row],[NumL]],T_TraitDi[#Data],COLUMN(T_TraitDi[[#This Row],[Colonne24]]),FALSE),""),"[hh]:mm"))</f>
        <v>#VALUE!</v>
      </c>
      <c r="BG263" s="178" t="e">
        <f>IF(VLOOKUP(T_BilanSocial[[#This Row],[NumL]],T_TraitDi[#Data],COLUMN(T_TraitDi[[#This Row],[Colonne25]]),FALSE)=0,"",TEXT(IFERROR(VLOOKUP(T_BilanSocial[[#This Row],[NumL]],T_TraitDi[#Data],COLUMN(T_TraitDi[[#This Row],[Colonne25]]),FALSE),""),"[hh]:mm"))</f>
        <v>#VALUE!</v>
      </c>
      <c r="BH263" s="178" t="e">
        <f>IF(VLOOKUP(T_BilanSocial[[#This Row],[NumL]],T_TraitDi[#Data],COLUMN(T_TraitDi[[#This Row],[Colonne26]]),FALSE)=0,"",TEXT(IFERROR(VLOOKUP(T_BilanSocial[[#This Row],[NumL]],T_TraitDi[#Data],COLUMN(T_TraitDi[[#This Row],[Colonne26]]),FALSE),""),"[hh]:mm"))</f>
        <v>#VALUE!</v>
      </c>
      <c r="BI263" s="172" t="str">
        <f>IFERROR(VLOOKUP(T_BilanSocial[[#This Row],[NumL]],T_TraitDi[#Data],COLUMN(T_TraitDi[[#This Row],[Vendredi]]),FALSE),"")</f>
        <v/>
      </c>
      <c r="BJ263" s="172" t="e">
        <f>IF(VLOOKUP(T_BilanSocial[[#This Row],[NumL]],T_TraitDi[#Data],COLUMN(T_TraitDi[[#This Row],[Colonne27]]),FALSE)=0,"",TEXT(IFERROR(VLOOKUP(T_BilanSocial[[#This Row],[NumL]],T_TraitDi[#Data],COLUMN(T_TraitDi[[#This Row],[Colonne27]]),FALSE),""),"[hh]:mm"))</f>
        <v>#VALUE!</v>
      </c>
      <c r="BK263" s="172" t="e">
        <f>IF(VLOOKUP(T_BilanSocial[[#This Row],[NumL]],T_TraitDi[#Data],COLUMN(T_TraitDi[[#This Row],[Colonne28]]),FALSE)=0,"",TEXT(IFERROR(VLOOKUP(T_BilanSocial[[#This Row],[NumL]],T_TraitDi[#Data],COLUMN(T_TraitDi[[#This Row],[Colonne28]]),FALSE),""),"[hh]:mm"))</f>
        <v>#VALUE!</v>
      </c>
      <c r="BL263" s="172" t="str">
        <f>IFERROR(VLOOKUP(T_BilanSocial[[#This Row],[NumL]],T_TraitDi[#Data],COLUMN(T_TraitDi[[#This Row],[Colonne29]]),FALSE),"")</f>
        <v/>
      </c>
      <c r="BM263" s="172" t="e">
        <f>IF(VLOOKUP(T_BilanSocial[[#This Row],[NumL]],T_TraitDi[#Data],COLUMN(T_TraitDi[[#This Row],[Colonne30]]),FALSE)=0,"",TEXT(IFERROR(VLOOKUP(T_BilanSocial[[#This Row],[NumL]],T_TraitDi[#Data],COLUMN(T_TraitDi[[#This Row],[Colonne30]]),FALSE),""),"[hh]:mm"))</f>
        <v>#VALUE!</v>
      </c>
      <c r="BN263" s="172" t="e">
        <f>IF(VLOOKUP(T_BilanSocial[[#This Row],[NumL]],T_TraitDi[#Data],COLUMN(T_TraitDi[[#This Row],[Colonne31]]),FALSE)=0,"",TEXT(IFERROR(VLOOKUP(T_BilanSocial[[#This Row],[NumL]],T_TraitDi[#Data],COLUMN(T_TraitDi[[#This Row],[Colonne31]]),FALSE),""),"[hh]:mm"))</f>
        <v>#VALUE!</v>
      </c>
      <c r="BO263" s="172" t="e">
        <f>IF(VLOOKUP(T_BilanSocial[[#This Row],[NumL]],T_TraitDi[#Data],COLUMN(T_TraitDi[[#This Row],[Colonne32]]),FALSE)=0,"",TEXT(IFERROR(VLOOKUP(T_BilanSocial[[#This Row],[NumL]],T_TraitDi[#Data],COLUMN(T_TraitDi[[#This Row],[Colonne32]]),FALSE),""),"[hh]:mm"))</f>
        <v>#VALUE!</v>
      </c>
      <c r="BP263" s="172" t="e">
        <f>VLOOKUP(T_BilanSocial[[#This Row],[NumL]],T_TraitDi[#Data],COLUMN(T_TraitDi[NbJTot]),FALSE)</f>
        <v>#N/A</v>
      </c>
      <c r="BQ263" s="174" t="str">
        <f>IFERROR(VLOOKUP(T_BilanSocial[[#This Row],[NumL]],T_TraitDi[#Data],COLUMN(T_TraitDi[[#This Row],[NbJTW]]),FALSE),"")</f>
        <v/>
      </c>
      <c r="BR263" s="174" t="e">
        <f>IF(VLOOKUP(T_BilanSocial[[#This Row],[NumL]],T_TraitDi[#Data],COLUMN(T_TraitDi[[#This Row],[NbhTW]]),FALSE)=0,"",TEXT(IFERROR(VLOOKUP(T_BilanSocial[[#This Row],[NumL]],T_TraitDi[#Data],COLUMN(T_TraitDi[[#This Row],[NbhTW]]),FALSE),""),"[hh]:mm"))</f>
        <v>#VALUE!</v>
      </c>
      <c r="BS263" s="174" t="e">
        <f>IF(VLOOKUP(T_BilanSocial[[#This Row],[NumL]],T_TraitDi[#Data],COLUMN(T_TraitDi[[#This Row],[Nbhheb]]),FALSE)=0,"",TEXT(IFERROR(VLOOKUP($A263,T_TraitDi[#Data],COLUMN(T_TraitDi[[#This Row],[Nbhheb]]),FALSE),""),"[hh]:mm"))</f>
        <v>#VALUE!</v>
      </c>
      <c r="BT263" s="182" t="str">
        <f>IFERROR(VLOOKUP(VLOOKUP($A263,T_TraitDi[#Data],COLUMN(T_TraitDi[[#This Row],[Type1]]),FALSE),TypeTW,2,FALSE),"")</f>
        <v/>
      </c>
      <c r="BU263" s="182" t="str">
        <f>IFERROR(VLOOKUP($A263,T_TraitDi[#Data],COLUMN(T_TraitDi[[#This Row],[Rue1]]),FALSE),"")</f>
        <v/>
      </c>
      <c r="BV263" s="173" t="str">
        <f>IFERROR(VLOOKUP($A263,T_TraitDi[#Data],COLUMN(T_TraitDi[[#This Row],[CP1]]),FALSE),"")</f>
        <v/>
      </c>
      <c r="BW263" s="173" t="str">
        <f>IFERROR(VLOOKUP($A263,T_TraitDi[#Data],COLUMN(T_TraitDi[[#This Row],[VILLE1]]),FALSE),"")</f>
        <v/>
      </c>
      <c r="BX263" s="182" t="str">
        <f>IFERROR(VLOOKUP(VLOOKUP($A263,T_TraitDi[#Data],COLUMN(T_TraitDi[[#This Row],[Type2]]),FALSE),TypeTW,2,FALSE),"")</f>
        <v/>
      </c>
      <c r="BY263" s="182" t="str">
        <f>IFERROR(VLOOKUP($A263,T_TraitDi[#Data],COLUMN(T_TraitDi[[#This Row],[Rue2]]),FALSE),"")</f>
        <v/>
      </c>
      <c r="BZ263" s="173" t="str">
        <f>IFERROR(VLOOKUP($A263,T_TraitDi[#Data],COLUMN(T_TraitDi[[#This Row],[CP2]]),FALSE),"")</f>
        <v/>
      </c>
      <c r="CA263" s="173" t="str">
        <f>IFERROR(VLOOKUP($A263,T_TraitDi[#Data],COLUMN(T_TraitDi[[#This Row],[VILLE2]]),FALSE),"")</f>
        <v/>
      </c>
      <c r="CB263" s="182" t="str">
        <f>IF(VLOOKUP(T_BilanSocial[[#This Row],[NumL]],T_Equipement[#Data],COLUMN(T_Equipement[[#This Row],[PC]]),FALSE)="","Aucun équipement spécifique directement lié au télétravail",VLOOKUP(T_BilanSocial[[#This Row],[NumL]],T_Equipement[#Data],COLUMN(T_Equipement[[#This Row],[PC]]),FALSE))</f>
        <v xml:space="preserve">20-336	</v>
      </c>
      <c r="CC263" s="166" t="str">
        <f>IFERROR(IF(VLOOKUP(T_BilanSocial[[#This Row],[NumL]],T_TraitDi[#Data],COLUMN(T_TraitDi[[#This Row],[Plan]]),FALSE)="OK","Un planning spécifique de télétravail est annexé à la présente convention.",""),"")</f>
        <v/>
      </c>
      <c r="CD263" s="258" t="s">
        <v>3405</v>
      </c>
      <c r="CE263" s="164" t="e">
        <f>IF(VLOOKUP(T_BilanSocial[[#This Row],[NumL]],T_suiviDi[#Data],COLUMN(T_suiviDi[[#This Row],[Entité]]),FALSE)="","",VLOOKUP(T_BilanSocial[[#This Row],[NumL]],T_suiviDi[#Data],COLUMN(T_suiviDi[[#This Row],[Entité]]),FALSE))</f>
        <v>#VALUE!</v>
      </c>
      <c r="CF263" s="164" t="str">
        <f>IF(VLOOKUP(T_BilanSocial[[#This Row],[NumL]],T_Commission[#Data],COLUMN(T_Commission[[#This Row],[envoi confirm TW]]),FALSE)="","",VLOOKUP(T_BilanSocial[[#This Row],[NumL]],T_Commission[#Data],COLUMN(T_Commission[[#This Row],[envoi confirm TW]]),FALSE))</f>
        <v>Oui</v>
      </c>
      <c r="CG263"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3" s="262" t="str">
        <f>T_BilanSocial[[#This Row],[Nom]]&amp;T_BilanSocial[[#This Row],[Prenom]]</f>
        <v/>
      </c>
      <c r="CI263" s="262">
        <f>VLOOKUP(T_BilanSocial[[#This Row],[NumL]],T_Commission[#Data],COLUMN(T_Commission[Commentaire]),FALSE)</f>
        <v>0</v>
      </c>
      <c r="CJ263" s="262" t="str">
        <f>IF(VLOOKUP(T_BilanSocial[[#This Row],[NumL]],T_Commission[#Data],COLUMN(T_Commission[Encadrant Email]),FALSE)="","",VLOOKUP(T_BilanSocial[[#This Row],[NumL]],T_Commission[#Data],COLUMN(T_Commission[Encadrant Email]),FALSE))</f>
        <v/>
      </c>
      <c r="CK263" s="340" t="str">
        <f>IF(T_BilanSocial[[#This Row],[Final]]&lt;&gt;"",VLOOKUP(T_BilanSocial[[#This Row],[NumL]],T_suiviDi[#Data],COLUMN((T_suiviDi[Statut])),FALSE),"")</f>
        <v/>
      </c>
    </row>
    <row r="264" spans="1:89" s="106" customFormat="1" ht="24.75" customHeight="1" x14ac:dyDescent="0.25">
      <c r="A264" s="160">
        <v>261</v>
      </c>
      <c r="B264" s="161" t="str">
        <f t="shared" si="45"/>
        <v/>
      </c>
      <c r="C264" s="162" t="s">
        <v>3287</v>
      </c>
      <c r="D264" s="95" t="e">
        <f>IF(VLOOKUP(T_BilanSocial[[#This Row],[NumL]],T_TraitDi[#Data],COLUMN(T_TraitDi[[#This Row],[WebC]]),FALSE)="","",VLOOKUP(T_BilanSocial[[#This Row],[NumL]],T_TraitDi[#Data],COLUMN(T_TraitDi[[#This Row],[WebC]]),FALSE))</f>
        <v>#VALUE!</v>
      </c>
      <c r="E264" s="163" t="str">
        <f t="shared" si="46"/>
        <v>12 janvier 2021</v>
      </c>
      <c r="F264" s="96" t="str">
        <f>IF(T_BilanSocial[[#This Row],[Final]]&lt;&gt;"",VLOOKUP(T_BilanSocial[[#This Row],[NumL]],T_suiviDi[#Data],COLUMN((T_suiviDi[Civ.])),FALSE),"")</f>
        <v/>
      </c>
      <c r="G264" s="96" t="str">
        <f>IF(T_BilanSocial[[#This Row],[Final]]&lt;&gt;"",VLOOKUP(T_BilanSocial[[#This Row],[NumL]],T_suiviDi[#Data],COLUMN((T_suiviDi[Nom])),FALSE),"")</f>
        <v/>
      </c>
      <c r="H264" s="96" t="str">
        <f>IF(T_BilanSocial[[#This Row],[Final]]&lt;&gt;"",VLOOKUP(T_BilanSocial[[#This Row],[NumL]],T_suiviDi[#Data],COLUMN((T_suiviDi[Prénom])),FALSE),"")</f>
        <v/>
      </c>
      <c r="I264" s="96" t="str">
        <f>IFERROR(VLOOKUP(T_BilanSocial[[#This Row],[Zone_Bilan]],T_P_BilanSocial[#Data],COLUMN(T_P_BilanSocial[[#This Row],[Numero_SIHAM]]),FALSE),"")</f>
        <v/>
      </c>
      <c r="J264" s="96" t="str">
        <f>IFERROR(VLOOKUP(T_BilanSocial[[#This Row],[Zone_Bilan]],T_P_BilanSocial[#Data],COLUMN(T_P_BilanSocial[[#This Row],[Sexe]]),FALSE),"")</f>
        <v/>
      </c>
      <c r="K264" s="97" t="str">
        <f>IFERROR(VLOOKUP(T_BilanSocial[[#This Row],[Zone_Bilan]],T_P_BilanSocial[#Data],COLUMN(T_P_BilanSocial[[#This Row],[Categorie]]),FALSE),"")</f>
        <v/>
      </c>
      <c r="L264" s="96" t="str">
        <f>IFERROR(VLOOKUP(T_BilanSocial[[#This Row],[Zone_Bilan]],T_P_BilanSocial[#Data],COLUMN(T_P_BilanSocial[[#This Row],[Statut]]),FALSE),"")</f>
        <v/>
      </c>
      <c r="M264" s="96" t="str">
        <f>IFERROR(VLOOKUP(T_BilanSocial[[#This Row],[Zone_Bilan]],T_P_BilanSocial[#Data],COLUMN(T_P_BilanSocial[[#This Row],[Filiere]]),FALSE),"")</f>
        <v/>
      </c>
      <c r="N264" s="96" t="e">
        <f>VLOOKUP(T_BilanSocial[[#This Row],[NumL]],T_TraitDi[#Data],COLUMN(T_TraitDi[EXP]),FALSE)</f>
        <v>#N/A</v>
      </c>
      <c r="O264" s="96" t="e">
        <f>VLOOKUP(T_BilanSocial[[#This Row],[NumL]],T_TraitDi[#Data],COLUMN(T_TraitDi[FORM]),FALSE)</f>
        <v>#N/A</v>
      </c>
      <c r="P264" s="96" t="str">
        <f>IF(T_BilanSocial[[#This Row],[Final]]&lt;&gt;"",VLOOKUP(T_BilanSocial[[#This Row],[NumL]],T_suiviDi[#Data],COLUMN((T_suiviDi[Email])),FALSE),"")</f>
        <v/>
      </c>
      <c r="Q264" s="164" t="e">
        <f t="shared" si="40"/>
        <v>#N/A</v>
      </c>
      <c r="R264" s="164" t="e">
        <f t="shared" si="41"/>
        <v>#N/A</v>
      </c>
      <c r="S264" s="164" t="e">
        <f>IF(VLOOKUP(T_BilanSocial[[#This Row],[NumL]],T_suiviDi[#Data],COLUMN(T_suiviDi[[#This Row],[Service ]]),FALSE)="","",VLOOKUP(T_BilanSocial[[#This Row],[NumL]],T_suiviDi[#Data],COLUMN(T_suiviDi[[#This Row],[Service ]]),FALSE))</f>
        <v>#VALUE!</v>
      </c>
      <c r="T264" s="164" t="str">
        <f t="shared" si="47"/>
        <v>01 septembre 2021</v>
      </c>
      <c r="U264" s="164" t="str">
        <f t="shared" si="48"/>
        <v>30 novembre 2021</v>
      </c>
      <c r="V264" s="96" t="str">
        <f>TEXT(Datebilan,"jj mmmm aaaa")</f>
        <v>30 novembre 2021</v>
      </c>
      <c r="W264" s="176" t="e">
        <f>IF(VLOOKUP(T_BilanSocial[[#This Row],[NumL]],T_TraitDi[#Data],COLUMN(T_TraitDi[[#This Row],[M1]]),FALSE)="","",VLOOKUP(T_BilanSocial[[#This Row],[NumL]],T_TraitDi[#Data],COLUMN(T_TraitDi[[#This Row],[M1]]),FALSE))</f>
        <v>#VALUE!</v>
      </c>
      <c r="X264" s="176" t="e">
        <f>IF(VLOOKUP(T_BilanSocial[[#This Row],[NumL]],T_TraitDi[#Data],COLUMN(T_TraitDi[[#This Row],[M2]]),FALSE)="","",VLOOKUP(T_BilanSocial[[#This Row],[NumL]],T_TraitDi[#Data],COLUMN(T_TraitDi[[#This Row],[M2]]),FALSE))</f>
        <v>#VALUE!</v>
      </c>
      <c r="Y264" s="176" t="e">
        <f>IF(VLOOKUP(T_BilanSocial[[#This Row],[NumL]],T_TraitDi[#Data],COLUMN(T_TraitDi[[#This Row],[M3]]),FALSE)="","",VLOOKUP(T_BilanSocial[[#This Row],[NumL]],T_TraitDi[#Data],COLUMN(T_TraitDi[[#This Row],[M3]]),FALSE))</f>
        <v>#VALUE!</v>
      </c>
      <c r="Z264" s="176" t="str">
        <f t="shared" si="50"/>
        <v/>
      </c>
      <c r="AA264" s="176" t="e">
        <f>IF(VLOOKUP(T_BilanSocial[[#This Row],[NumL]],T_TraitDi[#Data],COLUMN(T_TraitDi[[#This Row],[M5]]),FALSE)="","",VLOOKUP(T_BilanSocial[[#This Row],[NumL]],T_TraitDi[#Data],COLUMN(T_TraitDi[[#This Row],[M5]]),FALSE))</f>
        <v>#VALUE!</v>
      </c>
      <c r="AB264" s="176" t="e">
        <f>IF(VLOOKUP(T_BilanSocial[[#This Row],[NumL]],T_TraitDi[#Data],COLUMN(T_TraitDi[[#This Row],[M6]]),FALSE)="","",VLOOKUP(T_BilanSocial[[#This Row],[NumL]],T_TraitDi[#Data],COLUMN(T_TraitDi[[#This Row],[M6]]),FALSE))</f>
        <v>#VALUE!</v>
      </c>
      <c r="AC264" s="165" t="e">
        <f t="shared" si="49"/>
        <v>#VALUE!</v>
      </c>
      <c r="AD264" s="188" t="str">
        <f>IFERROR(TEXT(VLOOKUP(T_BilanSocial[[#This Row],[NumL]],T_TraitDi[#Data],COLUMN(T_TraitDi[[#This Row],[Q2]]),FALSE),"###%"),"")</f>
        <v/>
      </c>
      <c r="AE264" s="97" t="e">
        <f>VLOOKUP(T_BilanSocial[[#This Row],[NumL]],T_TraitDi[#Data],COLUMN(T_TraitDi[[#This Row],[Reg Ponct]]),FALSE)</f>
        <v>#VALUE!</v>
      </c>
      <c r="AF264" s="97" t="e">
        <f>VLOOKUP(T_BilanSocial[NumL],T_TraitDi[#Data],COLUMN(T_TraitDi[[#This Row],[Jours flottants]]),FALSE)</f>
        <v>#VALUE!</v>
      </c>
      <c r="AG264" s="97" t="str">
        <f>IFERROR(VLOOKUP(T_BilanSocial[[#This Row],[NumL]],T_TraitDi[#Data],COLUMN(T_TraitDi[[#This Row],[Lundi]]),FALSE),"")</f>
        <v/>
      </c>
      <c r="AH264" s="172" t="e">
        <f>IF(VLOOKUP(T_BilanSocial[[#This Row],[NumL]],T_TraitDi[#Data],COLUMN(T_TraitDi[[#This Row],[Colonne3]]),FALSE)=0,"",TEXT(IFERROR(VLOOKUP(T_BilanSocial[[#This Row],[NumL]],T_TraitDi[#Data],COLUMN(T_TraitDi[[#This Row],[Colonne3]]),FALSE),""),"[hh]:mm"))</f>
        <v>#VALUE!</v>
      </c>
      <c r="AI264" s="172" t="e">
        <f>IF(VLOOKUP(T_BilanSocial[[#This Row],[NumL]],T_TraitDi[#Data],COLUMN(T_TraitDi[[#This Row],[Colonne4]]),FALSE)=0,"",TEXT(IFERROR(VLOOKUP(T_BilanSocial[[#This Row],[NumL]],T_TraitDi[#Data],COLUMN(T_TraitDi[[#This Row],[Colonne4]]),FALSE),""),"[hh]:mm"))</f>
        <v>#VALUE!</v>
      </c>
      <c r="AJ264" s="172" t="e">
        <f>IF(VLOOKUP(T_BilanSocial[[#This Row],[NumL]],T_TraitDi[#Data],COLUMN(T_TraitDi[[#This Row],[Colonne5]]),FALSE)=0,"",TEXT(IFERROR(VLOOKUP(T_BilanSocial[[#This Row],[NumL]],T_TraitDi[#Data],COLUMN(T_TraitDi[[#This Row],[Colonne5]]),FALSE),""),"[hh]:mm"))</f>
        <v>#VALUE!</v>
      </c>
      <c r="AK264" s="172" t="e">
        <f>IF(VLOOKUP(T_BilanSocial[[#This Row],[NumL]],T_TraitDi[#Data],COLUMN(T_TraitDi[[#This Row],[Colonne6]]),FALSE)=0,"",TEXT(IFERROR(VLOOKUP(T_BilanSocial[[#This Row],[NumL]],T_TraitDi[#Data],COLUMN(T_TraitDi[[#This Row],[Colonne6]]),FALSE),""),"[hh]:mm"))</f>
        <v>#VALUE!</v>
      </c>
      <c r="AL264" s="172" t="e">
        <f>IF(VLOOKUP(T_BilanSocial[[#This Row],[NumL]],T_TraitDi[#Data],COLUMN(T_TraitDi[[#This Row],[Colonne7]]),FALSE)=0,"",TEXT(IFERROR(VLOOKUP(T_BilanSocial[[#This Row],[NumL]],T_TraitDi[#Data],COLUMN(T_TraitDi[[#This Row],[Colonne7]]),FALSE),""),"[hh]:mm"))</f>
        <v>#VALUE!</v>
      </c>
      <c r="AM264" s="172" t="e">
        <f>IF(VLOOKUP(T_BilanSocial[[#This Row],[NumL]],T_TraitDi[#Data],COLUMN(T_TraitDi[[#This Row],[Colonne8]]),FALSE)=0,"",TEXT(IFERROR(VLOOKUP(T_BilanSocial[[#This Row],[NumL]],T_TraitDi[#Data],COLUMN(T_TraitDi[[#This Row],[Colonne8]]),FALSE),""),"[hh]:mm"))</f>
        <v>#VALUE!</v>
      </c>
      <c r="AN264" s="172" t="str">
        <f>IFERROR(VLOOKUP(T_BilanSocial[[#This Row],[NumL]],T_TraitDi[#Data],COLUMN(T_TraitDi[[#This Row],[Mardi]]),FALSE),"")</f>
        <v/>
      </c>
      <c r="AO264" s="172" t="e">
        <f>IF(VLOOKUP(T_BilanSocial[[#This Row],[NumL]],T_TraitDi[#Data],COLUMN(T_TraitDi[[#This Row],[Colonne1]]),FALSE)=0,"",TEXT(IFERROR(VLOOKUP(T_BilanSocial[[#This Row],[NumL]],T_TraitDi[#Data],COLUMN(T_TraitDi[[#This Row],[Colonne1]]),FALSE),""),"[hh]:mm"))</f>
        <v>#VALUE!</v>
      </c>
      <c r="AP264" s="172" t="e">
        <f>IF(VLOOKUP(T_BilanSocial[[#This Row],[NumL]],T_TraitDi[#Data],COLUMN(T_TraitDi[[#This Row],[Colonne9]]),FALSE)=0,"",TEXT(IFERROR(VLOOKUP(T_BilanSocial[[#This Row],[NumL]],T_TraitDi[#Data],COLUMN(T_TraitDi[[#This Row],[Colonne9]]),FALSE),""),"[hh]:mm"))</f>
        <v>#VALUE!</v>
      </c>
      <c r="AQ264" s="172" t="str">
        <f>IFERROR(VLOOKUP(T_BilanSocial[[#This Row],[NumL]],T_TraitDi[#Data],COLUMN(T_TraitDi[[#This Row],[Colonne10]]),FALSE),"")</f>
        <v/>
      </c>
      <c r="AR264" s="172" t="e">
        <f>IF(VLOOKUP(T_BilanSocial[[#This Row],[NumL]],T_TraitDi[#Data],COLUMN(T_TraitDi[[#This Row],[Colonne11]]),FALSE)=0,"",TEXT(IFERROR(VLOOKUP(T_BilanSocial[[#This Row],[NumL]],T_TraitDi[#Data],COLUMN(T_TraitDi[[#This Row],[Colonne11]]),FALSE),""),"[hh]:mm"))</f>
        <v>#VALUE!</v>
      </c>
      <c r="AS264" s="172" t="e">
        <f>IF(VLOOKUP(T_BilanSocial[[#This Row],[NumL]],T_TraitDi[#Data],COLUMN(T_TraitDi[[#This Row],[Colonne12]]),FALSE)=0,"",TEXT(IFERROR(VLOOKUP(T_BilanSocial[[#This Row],[NumL]],T_TraitDi[#Data],COLUMN(T_TraitDi[[#This Row],[Colonne12]]),FALSE),""),"[hh]:mm"))</f>
        <v>#VALUE!</v>
      </c>
      <c r="AT264" s="172" t="e">
        <f>IF(VLOOKUP(T_BilanSocial[[#This Row],[NumL]],T_TraitDi[#Data],COLUMN(T_TraitDi[[#This Row],[Colonne14]]),FALSE)=0,"",TEXT(IFERROR(VLOOKUP(T_BilanSocial[[#This Row],[NumL]],T_TraitDi[#Data],COLUMN(T_TraitDi[[#This Row],[Colonne14]]),FALSE),""),"[hh]:mm"))</f>
        <v>#VALUE!</v>
      </c>
      <c r="AU264" s="172" t="str">
        <f>IFERROR(VLOOKUP(T_BilanSocial[[#This Row],[NumL]],T_TraitDi[#Data],COLUMN(T_TraitDi[[#This Row],[Mercredi]]),FALSE),"")</f>
        <v/>
      </c>
      <c r="AV264" s="172" t="e">
        <f>IF(VLOOKUP(T_BilanSocial[[#This Row],[NumL]],T_TraitDi[#Data],COLUMN(T_TraitDi[[#This Row],[Colonne15]]),FALSE)=0,"",TEXT(IFERROR(VLOOKUP(T_BilanSocial[[#This Row],[NumL]],T_TraitDi[#Data],COLUMN(T_TraitDi[[#This Row],[Colonne15]]),FALSE),""),"[hh]:mm"))</f>
        <v>#VALUE!</v>
      </c>
      <c r="AW264" s="172" t="e">
        <f>IF(VLOOKUP(T_BilanSocial[[#This Row],[NumL]],T_TraitDi[#Data],COLUMN(T_TraitDi[[#This Row],[Colonne16]]),FALSE)=0,"",TEXT(IFERROR(VLOOKUP(T_BilanSocial[[#This Row],[NumL]],T_TraitDi[#Data],COLUMN(T_TraitDi[[#This Row],[Colonne16]]),FALSE),""),"[hh]:mm"))</f>
        <v>#VALUE!</v>
      </c>
      <c r="AX264" s="172" t="str">
        <f>IFERROR(VLOOKUP(T_BilanSocial[[#This Row],[NumL]],T_TraitDi[#Data],COLUMN(T_TraitDi[[#This Row],[Colonne17]]),FALSE),"")</f>
        <v/>
      </c>
      <c r="AY264" s="172" t="e">
        <f>IF(VLOOKUP(T_BilanSocial[[#This Row],[NumL]],T_TraitDi[#Data],COLUMN(T_TraitDi[[#This Row],[Colonne18]]),FALSE)=0,"",TEXT(IFERROR(VLOOKUP(T_BilanSocial[[#This Row],[NumL]],T_TraitDi[#Data],COLUMN(T_TraitDi[[#This Row],[Colonne18]]),FALSE),""),"[hh]:mm"))</f>
        <v>#VALUE!</v>
      </c>
      <c r="AZ264" s="172" t="e">
        <f>IF(VLOOKUP(T_BilanSocial[[#This Row],[NumL]],T_TraitDi[#Data],COLUMN(T_TraitDi[[#This Row],[Colonne19]]),FALSE)=0,"",TEXT(IFERROR(VLOOKUP(T_BilanSocial[[#This Row],[NumL]],T_TraitDi[#Data],COLUMN(T_TraitDi[[#This Row],[Colonne19]]),FALSE),""),"[hh]:mm"))</f>
        <v>#VALUE!</v>
      </c>
      <c r="BA264" s="172" t="e">
        <f>IF(VLOOKUP(T_BilanSocial[[#This Row],[NumL]],T_TraitDi[#Data],COLUMN(T_TraitDi[[#This Row],[Colonne20]]),FALSE)=0,"",TEXT(IFERROR(VLOOKUP(T_BilanSocial[[#This Row],[NumL]],T_TraitDi[#Data],COLUMN(T_TraitDi[[#This Row],[Colonne20]]),FALSE),""),"[hh]:mm"))</f>
        <v>#VALUE!</v>
      </c>
      <c r="BB264" s="178" t="str">
        <f>IFERROR(VLOOKUP(T_BilanSocial[[#This Row],[NumL]],T_TraitDi[#Data],COLUMN(T_TraitDi[[#This Row],[Jeudi]]),FALSE),"")</f>
        <v/>
      </c>
      <c r="BC264" s="178" t="e">
        <f>IF(VLOOKUP(T_BilanSocial[[#This Row],[NumL]],T_TraitDi[#Data],COLUMN(T_TraitDi[[#This Row],[Colonne21]]),FALSE)=0,"",TEXT(IFERROR(VLOOKUP(T_BilanSocial[[#This Row],[NumL]],T_TraitDi[#Data],COLUMN(T_TraitDi[[#This Row],[Colonne21]]),FALSE),""),"[hh]:mm"))</f>
        <v>#VALUE!</v>
      </c>
      <c r="BD264" s="178" t="e">
        <f>IF(VLOOKUP(T_BilanSocial[[#This Row],[NumL]],T_TraitDi[#Data],COLUMN(T_TraitDi[[#This Row],[Colonne22]]),FALSE)=0,"",TEXT(IFERROR(VLOOKUP(T_BilanSocial[[#This Row],[NumL]],T_TraitDi[#Data],COLUMN(T_TraitDi[[#This Row],[Colonne22]]),FALSE),""),"[hh]:mm"))</f>
        <v>#VALUE!</v>
      </c>
      <c r="BE264" s="178" t="str">
        <f>IFERROR(VLOOKUP(T_BilanSocial[[#This Row],[NumL]],T_TraitDi[#Data],COLUMN(T_TraitDi[[#This Row],[Colonne23]]),FALSE),"")</f>
        <v/>
      </c>
      <c r="BF264" s="178" t="e">
        <f>IF(VLOOKUP(T_BilanSocial[[#This Row],[NumL]],T_TraitDi[#Data],COLUMN(T_TraitDi[[#This Row],[Colonne24]]),FALSE)=0,"",TEXT(IFERROR(VLOOKUP(T_BilanSocial[[#This Row],[NumL]],T_TraitDi[#Data],COLUMN(T_TraitDi[[#This Row],[Colonne24]]),FALSE),""),"[hh]:mm"))</f>
        <v>#VALUE!</v>
      </c>
      <c r="BG264" s="178" t="e">
        <f>IF(VLOOKUP(T_BilanSocial[[#This Row],[NumL]],T_TraitDi[#Data],COLUMN(T_TraitDi[[#This Row],[Colonne25]]),FALSE)=0,"",TEXT(IFERROR(VLOOKUP(T_BilanSocial[[#This Row],[NumL]],T_TraitDi[#Data],COLUMN(T_TraitDi[[#This Row],[Colonne25]]),FALSE),""),"[hh]:mm"))</f>
        <v>#VALUE!</v>
      </c>
      <c r="BH264" s="178" t="e">
        <f>IF(VLOOKUP(T_BilanSocial[[#This Row],[NumL]],T_TraitDi[#Data],COLUMN(T_TraitDi[[#This Row],[Colonne26]]),FALSE)=0,"",TEXT(IFERROR(VLOOKUP(T_BilanSocial[[#This Row],[NumL]],T_TraitDi[#Data],COLUMN(T_TraitDi[[#This Row],[Colonne26]]),FALSE),""),"[hh]:mm"))</f>
        <v>#VALUE!</v>
      </c>
      <c r="BI264" s="172" t="str">
        <f>IFERROR(VLOOKUP(T_BilanSocial[[#This Row],[NumL]],T_TraitDi[#Data],COLUMN(T_TraitDi[[#This Row],[Vendredi]]),FALSE),"")</f>
        <v/>
      </c>
      <c r="BJ264" s="172" t="e">
        <f>IF(VLOOKUP(T_BilanSocial[[#This Row],[NumL]],T_TraitDi[#Data],COLUMN(T_TraitDi[[#This Row],[Colonne27]]),FALSE)=0,"",TEXT(IFERROR(VLOOKUP(T_BilanSocial[[#This Row],[NumL]],T_TraitDi[#Data],COLUMN(T_TraitDi[[#This Row],[Colonne27]]),FALSE),""),"[hh]:mm"))</f>
        <v>#VALUE!</v>
      </c>
      <c r="BK264" s="172" t="e">
        <f>IF(VLOOKUP(T_BilanSocial[[#This Row],[NumL]],T_TraitDi[#Data],COLUMN(T_TraitDi[[#This Row],[Colonne28]]),FALSE)=0,"",TEXT(IFERROR(VLOOKUP(T_BilanSocial[[#This Row],[NumL]],T_TraitDi[#Data],COLUMN(T_TraitDi[[#This Row],[Colonne28]]),FALSE),""),"[hh]:mm"))</f>
        <v>#VALUE!</v>
      </c>
      <c r="BL264" s="172" t="str">
        <f>IFERROR(VLOOKUP(T_BilanSocial[[#This Row],[NumL]],T_TraitDi[#Data],COLUMN(T_TraitDi[[#This Row],[Colonne29]]),FALSE),"")</f>
        <v/>
      </c>
      <c r="BM264" s="172" t="e">
        <f>IF(VLOOKUP(T_BilanSocial[[#This Row],[NumL]],T_TraitDi[#Data],COLUMN(T_TraitDi[[#This Row],[Colonne30]]),FALSE)=0,"",TEXT(IFERROR(VLOOKUP(T_BilanSocial[[#This Row],[NumL]],T_TraitDi[#Data],COLUMN(T_TraitDi[[#This Row],[Colonne30]]),FALSE),""),"[hh]:mm"))</f>
        <v>#VALUE!</v>
      </c>
      <c r="BN264" s="172" t="e">
        <f>IF(VLOOKUP(T_BilanSocial[[#This Row],[NumL]],T_TraitDi[#Data],COLUMN(T_TraitDi[[#This Row],[Colonne31]]),FALSE)=0,"",TEXT(IFERROR(VLOOKUP(T_BilanSocial[[#This Row],[NumL]],T_TraitDi[#Data],COLUMN(T_TraitDi[[#This Row],[Colonne31]]),FALSE),""),"[hh]:mm"))</f>
        <v>#VALUE!</v>
      </c>
      <c r="BO264" s="172" t="e">
        <f>IF(VLOOKUP(T_BilanSocial[[#This Row],[NumL]],T_TraitDi[#Data],COLUMN(T_TraitDi[[#This Row],[Colonne32]]),FALSE)=0,"",TEXT(IFERROR(VLOOKUP(T_BilanSocial[[#This Row],[NumL]],T_TraitDi[#Data],COLUMN(T_TraitDi[[#This Row],[Colonne32]]),FALSE),""),"[hh]:mm"))</f>
        <v>#VALUE!</v>
      </c>
      <c r="BP264" s="172" t="e">
        <f>VLOOKUP(T_BilanSocial[[#This Row],[NumL]],T_TraitDi[#Data],COLUMN(T_TraitDi[NbJTot]),FALSE)</f>
        <v>#N/A</v>
      </c>
      <c r="BQ264" s="174" t="str">
        <f>IFERROR(VLOOKUP(T_BilanSocial[[#This Row],[NumL]],T_TraitDi[#Data],COLUMN(T_TraitDi[[#This Row],[NbJTW]]),FALSE),"")</f>
        <v/>
      </c>
      <c r="BR264" s="174" t="e">
        <f>IF(VLOOKUP(T_BilanSocial[[#This Row],[NumL]],T_TraitDi[#Data],COLUMN(T_TraitDi[[#This Row],[NbhTW]]),FALSE)=0,"",TEXT(IFERROR(VLOOKUP(T_BilanSocial[[#This Row],[NumL]],T_TraitDi[#Data],COLUMN(T_TraitDi[[#This Row],[NbhTW]]),FALSE),""),"[hh]:mm"))</f>
        <v>#VALUE!</v>
      </c>
      <c r="BS264" s="174" t="e">
        <f>IF(VLOOKUP(T_BilanSocial[[#This Row],[NumL]],T_TraitDi[#Data],COLUMN(T_TraitDi[[#This Row],[Nbhheb]]),FALSE)=0,"",TEXT(IFERROR(VLOOKUP($A264,T_TraitDi[#Data],COLUMN(T_TraitDi[[#This Row],[Nbhheb]]),FALSE),""),"[hh]:mm"))</f>
        <v>#VALUE!</v>
      </c>
      <c r="BT264" s="182" t="str">
        <f>IFERROR(VLOOKUP(VLOOKUP($A264,T_TraitDi[#Data],COLUMN(T_TraitDi[[#This Row],[Type1]]),FALSE),TypeTW,2,FALSE),"")</f>
        <v/>
      </c>
      <c r="BU264" s="182" t="str">
        <f>IFERROR(VLOOKUP($A264,T_TraitDi[#Data],COLUMN(T_TraitDi[[#This Row],[Rue1]]),FALSE),"")</f>
        <v/>
      </c>
      <c r="BV264" s="173" t="str">
        <f>IFERROR(VLOOKUP($A264,T_TraitDi[#Data],COLUMN(T_TraitDi[[#This Row],[CP1]]),FALSE),"")</f>
        <v/>
      </c>
      <c r="BW264" s="173" t="str">
        <f>IFERROR(VLOOKUP($A264,T_TraitDi[#Data],COLUMN(T_TraitDi[[#This Row],[VILLE1]]),FALSE),"")</f>
        <v/>
      </c>
      <c r="BX264" s="182" t="str">
        <f>IFERROR(VLOOKUP(VLOOKUP($A264,T_TraitDi[#Data],COLUMN(T_TraitDi[[#This Row],[Type2]]),FALSE),TypeTW,2,FALSE),"")</f>
        <v/>
      </c>
      <c r="BY264" s="182" t="str">
        <f>IFERROR(VLOOKUP($A264,T_TraitDi[#Data],COLUMN(T_TraitDi[[#This Row],[Rue2]]),FALSE),"")</f>
        <v/>
      </c>
      <c r="BZ264" s="173" t="str">
        <f>IFERROR(VLOOKUP($A264,T_TraitDi[#Data],COLUMN(T_TraitDi[[#This Row],[CP2]]),FALSE),"")</f>
        <v/>
      </c>
      <c r="CA264" s="173" t="str">
        <f>IFERROR(VLOOKUP($A264,T_TraitDi[#Data],COLUMN(T_TraitDi[[#This Row],[VILLE2]]),FALSE),"")</f>
        <v/>
      </c>
      <c r="CB264" s="182" t="str">
        <f>IF(VLOOKUP(T_BilanSocial[[#This Row],[NumL]],T_Equipement[#Data],COLUMN(T_Equipement[[#This Row],[PC]]),FALSE)="","Aucun équipement spécifique directement lié au télétravail",VLOOKUP(T_BilanSocial[[#This Row],[NumL]],T_Equipement[#Data],COLUMN(T_Equipement[[#This Row],[PC]]),FALSE))</f>
        <v xml:space="preserve">20-299	</v>
      </c>
      <c r="CC264" s="166" t="str">
        <f>IFERROR(IF(VLOOKUP(T_BilanSocial[[#This Row],[NumL]],T_TraitDi[#Data],COLUMN(T_TraitDi[[#This Row],[Plan]]),FALSE)="OK","Un planning spécifique de télétravail est annexé à la présente convention.",""),"")</f>
        <v/>
      </c>
      <c r="CD264" s="185"/>
      <c r="CE264" s="164" t="e">
        <f>IF(VLOOKUP(T_BilanSocial[[#This Row],[NumL]],T_suiviDi[#Data],COLUMN(T_suiviDi[[#This Row],[Entité]]),FALSE)="","",VLOOKUP(T_BilanSocial[[#This Row],[NumL]],T_suiviDi[#Data],COLUMN(T_suiviDi[[#This Row],[Entité]]),FALSE))</f>
        <v>#VALUE!</v>
      </c>
      <c r="CF264" s="164" t="str">
        <f>IF(VLOOKUP(T_BilanSocial[[#This Row],[NumL]],T_Commission[#Data],COLUMN(T_Commission[[#This Row],[envoi confirm TW]]),FALSE)="","",VLOOKUP(T_BilanSocial[[#This Row],[NumL]],T_Commission[#Data],COLUMN(T_Commission[[#This Row],[envoi confirm TW]]),FALSE))</f>
        <v>Oui</v>
      </c>
      <c r="CG26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4" s="262" t="str">
        <f>T_BilanSocial[[#This Row],[Nom]]&amp;T_BilanSocial[[#This Row],[Prenom]]</f>
        <v/>
      </c>
      <c r="CI264" s="262">
        <f>VLOOKUP(T_BilanSocial[[#This Row],[NumL]],T_Commission[#Data],COLUMN(T_Commission[Commentaire]),FALSE)</f>
        <v>0</v>
      </c>
      <c r="CJ264" s="262" t="str">
        <f>IF(VLOOKUP(T_BilanSocial[[#This Row],[NumL]],T_Commission[#Data],COLUMN(T_Commission[Encadrant Email]),FALSE)="","",VLOOKUP(T_BilanSocial[[#This Row],[NumL]],T_Commission[#Data],COLUMN(T_Commission[Encadrant Email]),FALSE))</f>
        <v/>
      </c>
      <c r="CK264" s="340" t="str">
        <f>IF(T_BilanSocial[[#This Row],[Final]]&lt;&gt;"",VLOOKUP(T_BilanSocial[[#This Row],[NumL]],T_suiviDi[#Data],COLUMN((T_suiviDi[Statut])),FALSE),"")</f>
        <v/>
      </c>
    </row>
    <row r="265" spans="1:89" s="106" customFormat="1" ht="24.75" customHeight="1" x14ac:dyDescent="0.25">
      <c r="A265" s="160">
        <v>262</v>
      </c>
      <c r="B265" s="161" t="str">
        <f t="shared" si="45"/>
        <v/>
      </c>
      <c r="C265" s="162" t="s">
        <v>139</v>
      </c>
      <c r="D265" s="95" t="e">
        <f>IF(VLOOKUP(T_BilanSocial[[#This Row],[NumL]],T_TraitDi[#Data],COLUMN(T_TraitDi[[#This Row],[WebC]]),FALSE)="","",VLOOKUP(T_BilanSocial[[#This Row],[NumL]],T_TraitDi[#Data],COLUMN(T_TraitDi[[#This Row],[WebC]]),FALSE))</f>
        <v>#VALUE!</v>
      </c>
      <c r="E265" s="163" t="str">
        <f t="shared" si="46"/>
        <v>12 janvier 2021</v>
      </c>
      <c r="F265" s="96" t="str">
        <f>IF(T_BilanSocial[[#This Row],[Final]]&lt;&gt;"",VLOOKUP(T_BilanSocial[[#This Row],[NumL]],T_suiviDi[#Data],COLUMN((T_suiviDi[Civ.])),FALSE),"")</f>
        <v/>
      </c>
      <c r="G265" s="96" t="str">
        <f>IF(T_BilanSocial[[#This Row],[Final]]&lt;&gt;"",VLOOKUP(T_BilanSocial[[#This Row],[NumL]],T_suiviDi[#Data],COLUMN((T_suiviDi[Nom])),FALSE),"")</f>
        <v/>
      </c>
      <c r="H265" s="96" t="str">
        <f>IF(T_BilanSocial[[#This Row],[Final]]&lt;&gt;"",VLOOKUP(T_BilanSocial[[#This Row],[NumL]],T_suiviDi[#Data],COLUMN((T_suiviDi[Prénom])),FALSE),"")</f>
        <v/>
      </c>
      <c r="I265" s="96" t="str">
        <f>IFERROR(VLOOKUP(T_BilanSocial[[#This Row],[Zone_Bilan]],T_P_BilanSocial[#Data],COLUMN(T_P_BilanSocial[[#This Row],[Numero_SIHAM]]),FALSE),"")</f>
        <v/>
      </c>
      <c r="J265" s="96" t="str">
        <f>IFERROR(VLOOKUP(T_BilanSocial[[#This Row],[Zone_Bilan]],T_P_BilanSocial[#Data],COLUMN(T_P_BilanSocial[[#This Row],[Sexe]]),FALSE),"")</f>
        <v/>
      </c>
      <c r="K265" s="97" t="str">
        <f>IFERROR(VLOOKUP(T_BilanSocial[[#This Row],[Zone_Bilan]],T_P_BilanSocial[#Data],COLUMN(T_P_BilanSocial[[#This Row],[Categorie]]),FALSE),"")</f>
        <v/>
      </c>
      <c r="L265" s="96" t="str">
        <f>IFERROR(VLOOKUP(T_BilanSocial[[#This Row],[Zone_Bilan]],T_P_BilanSocial[#Data],COLUMN(T_P_BilanSocial[[#This Row],[Statut]]),FALSE),"")</f>
        <v/>
      </c>
      <c r="M265" s="96" t="str">
        <f>IFERROR(VLOOKUP(T_BilanSocial[[#This Row],[Zone_Bilan]],T_P_BilanSocial[#Data],COLUMN(T_P_BilanSocial[[#This Row],[Filiere]]),FALSE),"")</f>
        <v/>
      </c>
      <c r="N265" s="96" t="e">
        <f>VLOOKUP(T_BilanSocial[[#This Row],[NumL]],T_TraitDi[#Data],COLUMN(T_TraitDi[EXP]),FALSE)</f>
        <v>#N/A</v>
      </c>
      <c r="O265" s="96" t="e">
        <f>VLOOKUP(T_BilanSocial[[#This Row],[NumL]],T_TraitDi[#Data],COLUMN(T_TraitDi[FORM]),FALSE)</f>
        <v>#N/A</v>
      </c>
      <c r="P265" s="96" t="str">
        <f>IF(T_BilanSocial[[#This Row],[Final]]&lt;&gt;"",VLOOKUP(T_BilanSocial[[#This Row],[NumL]],T_suiviDi[#Data],COLUMN((T_suiviDi[Email])),FALSE),"")</f>
        <v/>
      </c>
      <c r="Q265" s="164" t="e">
        <f t="shared" si="40"/>
        <v>#N/A</v>
      </c>
      <c r="R265" s="164" t="e">
        <f t="shared" si="41"/>
        <v>#N/A</v>
      </c>
      <c r="S265" s="164" t="e">
        <f>IF(VLOOKUP(T_BilanSocial[[#This Row],[NumL]],T_suiviDi[#Data],COLUMN(T_suiviDi[[#This Row],[Service ]]),FALSE)="","",VLOOKUP(T_BilanSocial[[#This Row],[NumL]],T_suiviDi[#Data],COLUMN(T_suiviDi[[#This Row],[Service ]]),FALSE))</f>
        <v>#VALUE!</v>
      </c>
      <c r="T265" s="164" t="str">
        <f t="shared" si="47"/>
        <v>01 septembre 2021</v>
      </c>
      <c r="U265" s="164" t="str">
        <f t="shared" si="48"/>
        <v>30 novembre 2021</v>
      </c>
      <c r="V265" s="256">
        <f>Datebilan</f>
        <v>44530</v>
      </c>
      <c r="W265" s="176" t="e">
        <f>IF(VLOOKUP(T_BilanSocial[[#This Row],[NumL]],T_TraitDi[#Data],COLUMN(T_TraitDi[[#This Row],[M1]]),FALSE)="","",VLOOKUP(T_BilanSocial[[#This Row],[NumL]],T_TraitDi[#Data],COLUMN(T_TraitDi[[#This Row],[M1]]),FALSE))</f>
        <v>#VALUE!</v>
      </c>
      <c r="X265" s="176" t="e">
        <f>IF(VLOOKUP(T_BilanSocial[[#This Row],[NumL]],T_TraitDi[#Data],COLUMN(T_TraitDi[[#This Row],[M2]]),FALSE)="","",VLOOKUP(T_BilanSocial[[#This Row],[NumL]],T_TraitDi[#Data],COLUMN(T_TraitDi[[#This Row],[M2]]),FALSE))</f>
        <v>#VALUE!</v>
      </c>
      <c r="Y265" s="176" t="e">
        <f>IF(VLOOKUP(T_BilanSocial[[#This Row],[NumL]],T_TraitDi[#Data],COLUMN(T_TraitDi[[#This Row],[M3]]),FALSE)="","",VLOOKUP(T_BilanSocial[[#This Row],[NumL]],T_TraitDi[#Data],COLUMN(T_TraitDi[[#This Row],[M3]]),FALSE))</f>
        <v>#VALUE!</v>
      </c>
      <c r="Z265" s="176" t="str">
        <f t="shared" si="50"/>
        <v/>
      </c>
      <c r="AA265" s="176" t="e">
        <f>IF(VLOOKUP(T_BilanSocial[[#This Row],[NumL]],T_TraitDi[#Data],COLUMN(T_TraitDi[[#This Row],[M5]]),FALSE)="","",VLOOKUP(T_BilanSocial[[#This Row],[NumL]],T_TraitDi[#Data],COLUMN(T_TraitDi[[#This Row],[M5]]),FALSE))</f>
        <v>#VALUE!</v>
      </c>
      <c r="AB265" s="176" t="e">
        <f>IF(VLOOKUP(T_BilanSocial[[#This Row],[NumL]],T_TraitDi[#Data],COLUMN(T_TraitDi[[#This Row],[M6]]),FALSE)="","",VLOOKUP(T_BilanSocial[[#This Row],[NumL]],T_TraitDi[#Data],COLUMN(T_TraitDi[[#This Row],[M6]]),FALSE))</f>
        <v>#VALUE!</v>
      </c>
      <c r="AC265" s="165" t="e">
        <f t="shared" si="49"/>
        <v>#VALUE!</v>
      </c>
      <c r="AD265" s="188" t="str">
        <f>IFERROR(TEXT(VLOOKUP(T_BilanSocial[[#This Row],[NumL]],T_TraitDi[#Data],COLUMN(T_TraitDi[[#This Row],[Q2]]),FALSE),"###%"),"")</f>
        <v/>
      </c>
      <c r="AE265" s="97" t="e">
        <f>VLOOKUP(T_BilanSocial[[#This Row],[NumL]],T_TraitDi[#Data],COLUMN(T_TraitDi[[#This Row],[Reg Ponct]]),FALSE)</f>
        <v>#VALUE!</v>
      </c>
      <c r="AF265" s="97" t="e">
        <f>VLOOKUP(T_BilanSocial[NumL],T_TraitDi[#Data],COLUMN(T_TraitDi[[#This Row],[Jours flottants]]),FALSE)</f>
        <v>#VALUE!</v>
      </c>
      <c r="AG265" s="97" t="str">
        <f>IFERROR(VLOOKUP(T_BilanSocial[[#This Row],[NumL]],T_TraitDi[#Data],COLUMN(T_TraitDi[[#This Row],[Lundi]]),FALSE),"")</f>
        <v/>
      </c>
      <c r="AH265" s="172" t="e">
        <f>IF(VLOOKUP(T_BilanSocial[[#This Row],[NumL]],T_TraitDi[#Data],COLUMN(T_TraitDi[[#This Row],[Colonne3]]),FALSE)=0,"",TEXT(IFERROR(VLOOKUP(T_BilanSocial[[#This Row],[NumL]],T_TraitDi[#Data],COLUMN(T_TraitDi[[#This Row],[Colonne3]]),FALSE),""),"[hh]:mm"))</f>
        <v>#VALUE!</v>
      </c>
      <c r="AI265" s="172" t="e">
        <f>IF(VLOOKUP(T_BilanSocial[[#This Row],[NumL]],T_TraitDi[#Data],COLUMN(T_TraitDi[[#This Row],[Colonne4]]),FALSE)=0,"",TEXT(IFERROR(VLOOKUP(T_BilanSocial[[#This Row],[NumL]],T_TraitDi[#Data],COLUMN(T_TraitDi[[#This Row],[Colonne4]]),FALSE),""),"[hh]:mm"))</f>
        <v>#VALUE!</v>
      </c>
      <c r="AJ265" s="172" t="e">
        <f>IF(VLOOKUP(T_BilanSocial[[#This Row],[NumL]],T_TraitDi[#Data],COLUMN(T_TraitDi[[#This Row],[Colonne5]]),FALSE)=0,"",TEXT(IFERROR(VLOOKUP(T_BilanSocial[[#This Row],[NumL]],T_TraitDi[#Data],COLUMN(T_TraitDi[[#This Row],[Colonne5]]),FALSE),""),"[hh]:mm"))</f>
        <v>#VALUE!</v>
      </c>
      <c r="AK265" s="172" t="e">
        <f>IF(VLOOKUP(T_BilanSocial[[#This Row],[NumL]],T_TraitDi[#Data],COLUMN(T_TraitDi[[#This Row],[Colonne6]]),FALSE)=0,"",TEXT(IFERROR(VLOOKUP(T_BilanSocial[[#This Row],[NumL]],T_TraitDi[#Data],COLUMN(T_TraitDi[[#This Row],[Colonne6]]),FALSE),""),"[hh]:mm"))</f>
        <v>#VALUE!</v>
      </c>
      <c r="AL265" s="172" t="e">
        <f>IF(VLOOKUP(T_BilanSocial[[#This Row],[NumL]],T_TraitDi[#Data],COLUMN(T_TraitDi[[#This Row],[Colonne7]]),FALSE)=0,"",TEXT(IFERROR(VLOOKUP(T_BilanSocial[[#This Row],[NumL]],T_TraitDi[#Data],COLUMN(T_TraitDi[[#This Row],[Colonne7]]),FALSE),""),"[hh]:mm"))</f>
        <v>#VALUE!</v>
      </c>
      <c r="AM265" s="172" t="e">
        <f>IF(VLOOKUP(T_BilanSocial[[#This Row],[NumL]],T_TraitDi[#Data],COLUMN(T_TraitDi[[#This Row],[Colonne8]]),FALSE)=0,"",TEXT(IFERROR(VLOOKUP(T_BilanSocial[[#This Row],[NumL]],T_TraitDi[#Data],COLUMN(T_TraitDi[[#This Row],[Colonne8]]),FALSE),""),"[hh]:mm"))</f>
        <v>#VALUE!</v>
      </c>
      <c r="AN265" s="172" t="str">
        <f>IFERROR(VLOOKUP(T_BilanSocial[[#This Row],[NumL]],T_TraitDi[#Data],COLUMN(T_TraitDi[[#This Row],[Mardi]]),FALSE),"")</f>
        <v/>
      </c>
      <c r="AO265" s="172" t="e">
        <f>IF(VLOOKUP(T_BilanSocial[[#This Row],[NumL]],T_TraitDi[#Data],COLUMN(T_TraitDi[[#This Row],[Colonne1]]),FALSE)=0,"",TEXT(IFERROR(VLOOKUP(T_BilanSocial[[#This Row],[NumL]],T_TraitDi[#Data],COLUMN(T_TraitDi[[#This Row],[Colonne1]]),FALSE),""),"[hh]:mm"))</f>
        <v>#VALUE!</v>
      </c>
      <c r="AP265" s="172" t="e">
        <f>IF(VLOOKUP(T_BilanSocial[[#This Row],[NumL]],T_TraitDi[#Data],COLUMN(T_TraitDi[[#This Row],[Colonne9]]),FALSE)=0,"",TEXT(IFERROR(VLOOKUP(T_BilanSocial[[#This Row],[NumL]],T_TraitDi[#Data],COLUMN(T_TraitDi[[#This Row],[Colonne9]]),FALSE),""),"[hh]:mm"))</f>
        <v>#VALUE!</v>
      </c>
      <c r="AQ265" s="172" t="str">
        <f>IFERROR(VLOOKUP(T_BilanSocial[[#This Row],[NumL]],T_TraitDi[#Data],COLUMN(T_TraitDi[[#This Row],[Colonne10]]),FALSE),"")</f>
        <v/>
      </c>
      <c r="AR265" s="172" t="e">
        <f>IF(VLOOKUP(T_BilanSocial[[#This Row],[NumL]],T_TraitDi[#Data],COLUMN(T_TraitDi[[#This Row],[Colonne11]]),FALSE)=0,"",TEXT(IFERROR(VLOOKUP(T_BilanSocial[[#This Row],[NumL]],T_TraitDi[#Data],COLUMN(T_TraitDi[[#This Row],[Colonne11]]),FALSE),""),"[hh]:mm"))</f>
        <v>#VALUE!</v>
      </c>
      <c r="AS265" s="172" t="e">
        <f>IF(VLOOKUP(T_BilanSocial[[#This Row],[NumL]],T_TraitDi[#Data],COLUMN(T_TraitDi[[#This Row],[Colonne12]]),FALSE)=0,"",TEXT(IFERROR(VLOOKUP(T_BilanSocial[[#This Row],[NumL]],T_TraitDi[#Data],COLUMN(T_TraitDi[[#This Row],[Colonne12]]),FALSE),""),"[hh]:mm"))</f>
        <v>#VALUE!</v>
      </c>
      <c r="AT265" s="172" t="e">
        <f>IF(VLOOKUP(T_BilanSocial[[#This Row],[NumL]],T_TraitDi[#Data],COLUMN(T_TraitDi[[#This Row],[Colonne14]]),FALSE)=0,"",TEXT(IFERROR(VLOOKUP(T_BilanSocial[[#This Row],[NumL]],T_TraitDi[#Data],COLUMN(T_TraitDi[[#This Row],[Colonne14]]),FALSE),""),"[hh]:mm"))</f>
        <v>#VALUE!</v>
      </c>
      <c r="AU265" s="172" t="str">
        <f>IFERROR(VLOOKUP(T_BilanSocial[[#This Row],[NumL]],T_TraitDi[#Data],COLUMN(T_TraitDi[[#This Row],[Mercredi]]),FALSE),"")</f>
        <v/>
      </c>
      <c r="AV265" s="172" t="e">
        <f>IF(VLOOKUP(T_BilanSocial[[#This Row],[NumL]],T_TraitDi[#Data],COLUMN(T_TraitDi[[#This Row],[Colonne15]]),FALSE)=0,"",TEXT(IFERROR(VLOOKUP(T_BilanSocial[[#This Row],[NumL]],T_TraitDi[#Data],COLUMN(T_TraitDi[[#This Row],[Colonne15]]),FALSE),""),"[hh]:mm"))</f>
        <v>#VALUE!</v>
      </c>
      <c r="AW265" s="172" t="e">
        <f>IF(VLOOKUP(T_BilanSocial[[#This Row],[NumL]],T_TraitDi[#Data],COLUMN(T_TraitDi[[#This Row],[Colonne16]]),FALSE)=0,"",TEXT(IFERROR(VLOOKUP(T_BilanSocial[[#This Row],[NumL]],T_TraitDi[#Data],COLUMN(T_TraitDi[[#This Row],[Colonne16]]),FALSE),""),"[hh]:mm"))</f>
        <v>#VALUE!</v>
      </c>
      <c r="AX265" s="172" t="str">
        <f>IFERROR(VLOOKUP(T_BilanSocial[[#This Row],[NumL]],T_TraitDi[#Data],COLUMN(T_TraitDi[[#This Row],[Colonne17]]),FALSE),"")</f>
        <v/>
      </c>
      <c r="AY265" s="172" t="e">
        <f>IF(VLOOKUP(T_BilanSocial[[#This Row],[NumL]],T_TraitDi[#Data],COLUMN(T_TraitDi[[#This Row],[Colonne18]]),FALSE)=0,"",TEXT(IFERROR(VLOOKUP(T_BilanSocial[[#This Row],[NumL]],T_TraitDi[#Data],COLUMN(T_TraitDi[[#This Row],[Colonne18]]),FALSE),""),"[hh]:mm"))</f>
        <v>#VALUE!</v>
      </c>
      <c r="AZ265" s="172" t="e">
        <f>IF(VLOOKUP(T_BilanSocial[[#This Row],[NumL]],T_TraitDi[#Data],COLUMN(T_TraitDi[[#This Row],[Colonne19]]),FALSE)=0,"",TEXT(IFERROR(VLOOKUP(T_BilanSocial[[#This Row],[NumL]],T_TraitDi[#Data],COLUMN(T_TraitDi[[#This Row],[Colonne19]]),FALSE),""),"[hh]:mm"))</f>
        <v>#VALUE!</v>
      </c>
      <c r="BA265" s="172" t="e">
        <f>IF(VLOOKUP(T_BilanSocial[[#This Row],[NumL]],T_TraitDi[#Data],COLUMN(T_TraitDi[[#This Row],[Colonne20]]),FALSE)=0,"",TEXT(IFERROR(VLOOKUP(T_BilanSocial[[#This Row],[NumL]],T_TraitDi[#Data],COLUMN(T_TraitDi[[#This Row],[Colonne20]]),FALSE),""),"[hh]:mm"))</f>
        <v>#VALUE!</v>
      </c>
      <c r="BB265" s="178" t="str">
        <f>IFERROR(VLOOKUP(T_BilanSocial[[#This Row],[NumL]],T_TraitDi[#Data],COLUMN(T_TraitDi[[#This Row],[Jeudi]]),FALSE),"")</f>
        <v/>
      </c>
      <c r="BC265" s="178" t="e">
        <f>IF(VLOOKUP(T_BilanSocial[[#This Row],[NumL]],T_TraitDi[#Data],COLUMN(T_TraitDi[[#This Row],[Colonne21]]),FALSE)=0,"",TEXT(IFERROR(VLOOKUP(T_BilanSocial[[#This Row],[NumL]],T_TraitDi[#Data],COLUMN(T_TraitDi[[#This Row],[Colonne21]]),FALSE),""),"[hh]:mm"))</f>
        <v>#VALUE!</v>
      </c>
      <c r="BD265" s="178" t="e">
        <f>IF(VLOOKUP(T_BilanSocial[[#This Row],[NumL]],T_TraitDi[#Data],COLUMN(T_TraitDi[[#This Row],[Colonne22]]),FALSE)=0,"",TEXT(IFERROR(VLOOKUP(T_BilanSocial[[#This Row],[NumL]],T_TraitDi[#Data],COLUMN(T_TraitDi[[#This Row],[Colonne22]]),FALSE),""),"[hh]:mm"))</f>
        <v>#VALUE!</v>
      </c>
      <c r="BE265" s="178" t="str">
        <f>IFERROR(VLOOKUP(T_BilanSocial[[#This Row],[NumL]],T_TraitDi[#Data],COLUMN(T_TraitDi[[#This Row],[Colonne23]]),FALSE),"")</f>
        <v/>
      </c>
      <c r="BF265" s="178" t="e">
        <f>IF(VLOOKUP(T_BilanSocial[[#This Row],[NumL]],T_TraitDi[#Data],COLUMN(T_TraitDi[[#This Row],[Colonne24]]),FALSE)=0,"",TEXT(IFERROR(VLOOKUP(T_BilanSocial[[#This Row],[NumL]],T_TraitDi[#Data],COLUMN(T_TraitDi[[#This Row],[Colonne24]]),FALSE),""),"[hh]:mm"))</f>
        <v>#VALUE!</v>
      </c>
      <c r="BG265" s="178" t="e">
        <f>IF(VLOOKUP(T_BilanSocial[[#This Row],[NumL]],T_TraitDi[#Data],COLUMN(T_TraitDi[[#This Row],[Colonne25]]),FALSE)=0,"",TEXT(IFERROR(VLOOKUP(T_BilanSocial[[#This Row],[NumL]],T_TraitDi[#Data],COLUMN(T_TraitDi[[#This Row],[Colonne25]]),FALSE),""),"[hh]:mm"))</f>
        <v>#VALUE!</v>
      </c>
      <c r="BH265" s="178" t="e">
        <f>IF(VLOOKUP(T_BilanSocial[[#This Row],[NumL]],T_TraitDi[#Data],COLUMN(T_TraitDi[[#This Row],[Colonne26]]),FALSE)=0,"",TEXT(IFERROR(VLOOKUP(T_BilanSocial[[#This Row],[NumL]],T_TraitDi[#Data],COLUMN(T_TraitDi[[#This Row],[Colonne26]]),FALSE),""),"[hh]:mm"))</f>
        <v>#VALUE!</v>
      </c>
      <c r="BI265" s="172" t="str">
        <f>IFERROR(VLOOKUP(T_BilanSocial[[#This Row],[NumL]],T_TraitDi[#Data],COLUMN(T_TraitDi[[#This Row],[Vendredi]]),FALSE),"")</f>
        <v/>
      </c>
      <c r="BJ265" s="172" t="e">
        <f>IF(VLOOKUP(T_BilanSocial[[#This Row],[NumL]],T_TraitDi[#Data],COLUMN(T_TraitDi[[#This Row],[Colonne27]]),FALSE)=0,"",TEXT(IFERROR(VLOOKUP(T_BilanSocial[[#This Row],[NumL]],T_TraitDi[#Data],COLUMN(T_TraitDi[[#This Row],[Colonne27]]),FALSE),""),"[hh]:mm"))</f>
        <v>#VALUE!</v>
      </c>
      <c r="BK265" s="172" t="e">
        <f>IF(VLOOKUP(T_BilanSocial[[#This Row],[NumL]],T_TraitDi[#Data],COLUMN(T_TraitDi[[#This Row],[Colonne28]]),FALSE)=0,"",TEXT(IFERROR(VLOOKUP(T_BilanSocial[[#This Row],[NumL]],T_TraitDi[#Data],COLUMN(T_TraitDi[[#This Row],[Colonne28]]),FALSE),""),"[hh]:mm"))</f>
        <v>#VALUE!</v>
      </c>
      <c r="BL265" s="172" t="str">
        <f>IFERROR(VLOOKUP(T_BilanSocial[[#This Row],[NumL]],T_TraitDi[#Data],COLUMN(T_TraitDi[[#This Row],[Colonne29]]),FALSE),"")</f>
        <v/>
      </c>
      <c r="BM265" s="172" t="e">
        <f>IF(VLOOKUP(T_BilanSocial[[#This Row],[NumL]],T_TraitDi[#Data],COLUMN(T_TraitDi[[#This Row],[Colonne30]]),FALSE)=0,"",TEXT(IFERROR(VLOOKUP(T_BilanSocial[[#This Row],[NumL]],T_TraitDi[#Data],COLUMN(T_TraitDi[[#This Row],[Colonne30]]),FALSE),""),"[hh]:mm"))</f>
        <v>#VALUE!</v>
      </c>
      <c r="BN265" s="172" t="e">
        <f>IF(VLOOKUP(T_BilanSocial[[#This Row],[NumL]],T_TraitDi[#Data],COLUMN(T_TraitDi[[#This Row],[Colonne31]]),FALSE)=0,"",TEXT(IFERROR(VLOOKUP(T_BilanSocial[[#This Row],[NumL]],T_TraitDi[#Data],COLUMN(T_TraitDi[[#This Row],[Colonne31]]),FALSE),""),"[hh]:mm"))</f>
        <v>#VALUE!</v>
      </c>
      <c r="BO265" s="172" t="e">
        <f>IF(VLOOKUP(T_BilanSocial[[#This Row],[NumL]],T_TraitDi[#Data],COLUMN(T_TraitDi[[#This Row],[Colonne32]]),FALSE)=0,"",TEXT(IFERROR(VLOOKUP(T_BilanSocial[[#This Row],[NumL]],T_TraitDi[#Data],COLUMN(T_TraitDi[[#This Row],[Colonne32]]),FALSE),""),"[hh]:mm"))</f>
        <v>#VALUE!</v>
      </c>
      <c r="BP265" s="172" t="e">
        <f>VLOOKUP(T_BilanSocial[[#This Row],[NumL]],T_TraitDi[#Data],COLUMN(T_TraitDi[NbJTot]),FALSE)</f>
        <v>#N/A</v>
      </c>
      <c r="BQ265" s="174" t="str">
        <f>IFERROR(VLOOKUP(T_BilanSocial[[#This Row],[NumL]],T_TraitDi[#Data],COLUMN(T_TraitDi[[#This Row],[NbJTW]]),FALSE),"")</f>
        <v/>
      </c>
      <c r="BR265" s="174" t="e">
        <f>IF(VLOOKUP(T_BilanSocial[[#This Row],[NumL]],T_TraitDi[#Data],COLUMN(T_TraitDi[[#This Row],[NbhTW]]),FALSE)=0,"",TEXT(IFERROR(VLOOKUP(T_BilanSocial[[#This Row],[NumL]],T_TraitDi[#Data],COLUMN(T_TraitDi[[#This Row],[NbhTW]]),FALSE),""),"[hh]:mm"))</f>
        <v>#VALUE!</v>
      </c>
      <c r="BS265" s="174" t="e">
        <f>IF(VLOOKUP(T_BilanSocial[[#This Row],[NumL]],T_TraitDi[#Data],COLUMN(T_TraitDi[[#This Row],[Nbhheb]]),FALSE)=0,"",TEXT(IFERROR(VLOOKUP($A265,T_TraitDi[#Data],COLUMN(T_TraitDi[[#This Row],[Nbhheb]]),FALSE),""),"[hh]:mm"))</f>
        <v>#VALUE!</v>
      </c>
      <c r="BT265" s="182" t="str">
        <f>IFERROR(VLOOKUP(VLOOKUP($A265,T_TraitDi[#Data],COLUMN(T_TraitDi[[#This Row],[Type1]]),FALSE),TypeTW,2,FALSE),"")</f>
        <v/>
      </c>
      <c r="BU265" s="182" t="str">
        <f>IFERROR(VLOOKUP($A265,T_TraitDi[#Data],COLUMN(T_TraitDi[[#This Row],[Rue1]]),FALSE),"")</f>
        <v/>
      </c>
      <c r="BV265" s="173" t="str">
        <f>IFERROR(VLOOKUP($A265,T_TraitDi[#Data],COLUMN(T_TraitDi[[#This Row],[CP1]]),FALSE),"")</f>
        <v/>
      </c>
      <c r="BW265" s="173" t="str">
        <f>IFERROR(VLOOKUP($A265,T_TraitDi[#Data],COLUMN(T_TraitDi[[#This Row],[VILLE1]]),FALSE),"")</f>
        <v/>
      </c>
      <c r="BX265" s="182" t="str">
        <f>IFERROR(VLOOKUP(VLOOKUP($A265,T_TraitDi[#Data],COLUMN(T_TraitDi[[#This Row],[Type2]]),FALSE),TypeTW,2,FALSE),"")</f>
        <v/>
      </c>
      <c r="BY265" s="182" t="str">
        <f>IFERROR(VLOOKUP($A265,T_TraitDi[#Data],COLUMN(T_TraitDi[[#This Row],[Rue2]]),FALSE),"")</f>
        <v/>
      </c>
      <c r="BZ265" s="173" t="str">
        <f>IFERROR(VLOOKUP($A265,T_TraitDi[#Data],COLUMN(T_TraitDi[[#This Row],[CP2]]),FALSE),"")</f>
        <v/>
      </c>
      <c r="CA265" s="173" t="str">
        <f>IFERROR(VLOOKUP($A265,T_TraitDi[#Data],COLUMN(T_TraitDi[[#This Row],[VILLE2]]),FALSE),"")</f>
        <v/>
      </c>
      <c r="CB265" s="182" t="str">
        <f>IF(VLOOKUP(T_BilanSocial[[#This Row],[NumL]],T_Equipement[#Data],COLUMN(T_Equipement[[#This Row],[PC]]),FALSE)="","Aucun équipement spécifique directement lié au télétravail",VLOOKUP(T_BilanSocial[[#This Row],[NumL]],T_Equipement[#Data],COLUMN(T_Equipement[[#This Row],[PC]]),FALSE))</f>
        <v xml:space="preserve">18-056	</v>
      </c>
      <c r="CC265" s="166" t="str">
        <f>IFERROR(IF(VLOOKUP(T_BilanSocial[[#This Row],[NumL]],T_TraitDi[#Data],COLUMN(T_TraitDi[[#This Row],[Plan]]),FALSE)="OK","Un planning spécifique de télétravail est annexé à la présente convention.",""),"")</f>
        <v/>
      </c>
      <c r="CD265" s="185"/>
      <c r="CE265" s="164" t="e">
        <f>IF(VLOOKUP(T_BilanSocial[[#This Row],[NumL]],T_suiviDi[#Data],COLUMN(T_suiviDi[[#This Row],[Entité]]),FALSE)="","",VLOOKUP(T_BilanSocial[[#This Row],[NumL]],T_suiviDi[#Data],COLUMN(T_suiviDi[[#This Row],[Entité]]),FALSE))</f>
        <v>#VALUE!</v>
      </c>
      <c r="CF265" s="164" t="str">
        <f>IF(VLOOKUP(T_BilanSocial[[#This Row],[NumL]],T_Commission[#Data],COLUMN(T_Commission[[#This Row],[envoi confirm TW]]),FALSE)="","",VLOOKUP(T_BilanSocial[[#This Row],[NumL]],T_Commission[#Data],COLUMN(T_Commission[[#This Row],[envoi confirm TW]]),FALSE))</f>
        <v>Oui</v>
      </c>
      <c r="CG26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5" s="262" t="str">
        <f>T_BilanSocial[[#This Row],[Nom]]&amp;T_BilanSocial[[#This Row],[Prenom]]</f>
        <v/>
      </c>
      <c r="CI265" s="262">
        <f>VLOOKUP(T_BilanSocial[[#This Row],[NumL]],T_Commission[#Data],COLUMN(T_Commission[Commentaire]),FALSE)</f>
        <v>0</v>
      </c>
      <c r="CJ265" s="262" t="str">
        <f>IF(VLOOKUP(T_BilanSocial[[#This Row],[NumL]],T_Commission[#Data],COLUMN(T_Commission[Encadrant Email]),FALSE)="","",VLOOKUP(T_BilanSocial[[#This Row],[NumL]],T_Commission[#Data],COLUMN(T_Commission[Encadrant Email]),FALSE))</f>
        <v/>
      </c>
      <c r="CK265" s="340" t="str">
        <f>IF(T_BilanSocial[[#This Row],[Final]]&lt;&gt;"",VLOOKUP(T_BilanSocial[[#This Row],[NumL]],T_suiviDi[#Data],COLUMN((T_suiviDi[Statut])),FALSE),"")</f>
        <v/>
      </c>
    </row>
    <row r="266" spans="1:89" s="106" customFormat="1" ht="24.75" customHeight="1" x14ac:dyDescent="0.25">
      <c r="A266" s="160">
        <v>263</v>
      </c>
      <c r="B266" s="161" t="str">
        <f t="shared" si="45"/>
        <v/>
      </c>
      <c r="C266" s="162" t="s">
        <v>173</v>
      </c>
      <c r="D266" s="95" t="e">
        <f>IF(VLOOKUP(T_BilanSocial[[#This Row],[NumL]],T_TraitDi[#Data],COLUMN(T_TraitDi[[#This Row],[WebC]]),FALSE)="","",VLOOKUP(T_BilanSocial[[#This Row],[NumL]],T_TraitDi[#Data],COLUMN(T_TraitDi[[#This Row],[WebC]]),FALSE))</f>
        <v>#VALUE!</v>
      </c>
      <c r="E266" s="163" t="str">
        <f t="shared" si="46"/>
        <v>12 janvier 2021</v>
      </c>
      <c r="F266" s="96" t="str">
        <f>IF(T_BilanSocial[[#This Row],[Final]]&lt;&gt;"",VLOOKUP(T_BilanSocial[[#This Row],[NumL]],T_suiviDi[#Data],COLUMN((T_suiviDi[Civ.])),FALSE),"")</f>
        <v/>
      </c>
      <c r="G266" s="96" t="str">
        <f>IF(T_BilanSocial[[#This Row],[Final]]&lt;&gt;"",VLOOKUP(T_BilanSocial[[#This Row],[NumL]],T_suiviDi[#Data],COLUMN((T_suiviDi[Nom])),FALSE),"")</f>
        <v/>
      </c>
      <c r="H266" s="96" t="str">
        <f>IF(T_BilanSocial[[#This Row],[Final]]&lt;&gt;"",VLOOKUP(T_BilanSocial[[#This Row],[NumL]],T_suiviDi[#Data],COLUMN((T_suiviDi[Prénom])),FALSE),"")</f>
        <v/>
      </c>
      <c r="I266" s="96" t="str">
        <f>IFERROR(VLOOKUP(T_BilanSocial[[#This Row],[Zone_Bilan]],T_P_BilanSocial[#Data],COLUMN(T_P_BilanSocial[[#This Row],[Numero_SIHAM]]),FALSE),"")</f>
        <v/>
      </c>
      <c r="J266" s="96" t="str">
        <f>IFERROR(VLOOKUP(T_BilanSocial[[#This Row],[Zone_Bilan]],T_P_BilanSocial[#Data],COLUMN(T_P_BilanSocial[[#This Row],[Sexe]]),FALSE),"")</f>
        <v/>
      </c>
      <c r="K266" s="97" t="str">
        <f>IFERROR(VLOOKUP(T_BilanSocial[[#This Row],[Zone_Bilan]],T_P_BilanSocial[#Data],COLUMN(T_P_BilanSocial[[#This Row],[Categorie]]),FALSE),"")</f>
        <v/>
      </c>
      <c r="L266" s="96" t="str">
        <f>IFERROR(VLOOKUP(T_BilanSocial[[#This Row],[Zone_Bilan]],T_P_BilanSocial[#Data],COLUMN(T_P_BilanSocial[[#This Row],[Statut]]),FALSE),"")</f>
        <v/>
      </c>
      <c r="M266" s="96" t="str">
        <f>IFERROR(VLOOKUP(T_BilanSocial[[#This Row],[Zone_Bilan]],T_P_BilanSocial[#Data],COLUMN(T_P_BilanSocial[[#This Row],[Filiere]]),FALSE),"")</f>
        <v/>
      </c>
      <c r="N266" s="96" t="e">
        <f>VLOOKUP(T_BilanSocial[[#This Row],[NumL]],T_TraitDi[#Data],COLUMN(T_TraitDi[EXP]),FALSE)</f>
        <v>#N/A</v>
      </c>
      <c r="O266" s="96" t="e">
        <f>VLOOKUP(T_BilanSocial[[#This Row],[NumL]],T_TraitDi[#Data],COLUMN(T_TraitDi[FORM]),FALSE)</f>
        <v>#N/A</v>
      </c>
      <c r="P266" s="96" t="str">
        <f>IF(T_BilanSocial[[#This Row],[Final]]&lt;&gt;"",VLOOKUP(T_BilanSocial[[#This Row],[NumL]],T_suiviDi[#Data],COLUMN((T_suiviDi[Email])),FALSE),"")</f>
        <v/>
      </c>
      <c r="Q266" s="164" t="e">
        <f t="shared" si="40"/>
        <v>#N/A</v>
      </c>
      <c r="R266" s="164" t="e">
        <f t="shared" si="41"/>
        <v>#N/A</v>
      </c>
      <c r="S266" s="164" t="e">
        <f>IF(VLOOKUP(T_BilanSocial[[#This Row],[NumL]],T_suiviDi[#Data],COLUMN(T_suiviDi[[#This Row],[Service ]]),FALSE)="","",VLOOKUP(T_BilanSocial[[#This Row],[NumL]],T_suiviDi[#Data],COLUMN(T_suiviDi[[#This Row],[Service ]]),FALSE))</f>
        <v>#VALUE!</v>
      </c>
      <c r="T266" s="164" t="str">
        <f t="shared" si="47"/>
        <v>01 septembre 2021</v>
      </c>
      <c r="U266" s="164" t="str">
        <f t="shared" si="48"/>
        <v>30 novembre 2021</v>
      </c>
      <c r="V266" s="164" t="str">
        <f>TEXT(Datebilan,"jj mmmm aaaa")</f>
        <v>30 novembre 2021</v>
      </c>
      <c r="W266" s="176" t="e">
        <f>IF(VLOOKUP(T_BilanSocial[[#This Row],[NumL]],T_TraitDi[#Data],COLUMN(T_TraitDi[[#This Row],[M1]]),FALSE)="","",VLOOKUP(T_BilanSocial[[#This Row],[NumL]],T_TraitDi[#Data],COLUMN(T_TraitDi[[#This Row],[M1]]),FALSE))</f>
        <v>#VALUE!</v>
      </c>
      <c r="X266" s="176" t="e">
        <f>IF(VLOOKUP(T_BilanSocial[[#This Row],[NumL]],T_TraitDi[#Data],COLUMN(T_TraitDi[[#This Row],[M2]]),FALSE)="","",VLOOKUP(T_BilanSocial[[#This Row],[NumL]],T_TraitDi[#Data],COLUMN(T_TraitDi[[#This Row],[M2]]),FALSE))</f>
        <v>#VALUE!</v>
      </c>
      <c r="Y266" s="176" t="e">
        <f>IF(VLOOKUP(T_BilanSocial[[#This Row],[NumL]],T_TraitDi[#Data],COLUMN(T_TraitDi[[#This Row],[M3]]),FALSE)="","",VLOOKUP(T_BilanSocial[[#This Row],[NumL]],T_TraitDi[#Data],COLUMN(T_TraitDi[[#This Row],[M3]]),FALSE))</f>
        <v>#VALUE!</v>
      </c>
      <c r="Z266" s="176" t="str">
        <f t="shared" si="50"/>
        <v/>
      </c>
      <c r="AA266" s="176" t="e">
        <f>IF(VLOOKUP(T_BilanSocial[[#This Row],[NumL]],T_TraitDi[#Data],COLUMN(T_TraitDi[[#This Row],[M5]]),FALSE)="","",VLOOKUP(T_BilanSocial[[#This Row],[NumL]],T_TraitDi[#Data],COLUMN(T_TraitDi[[#This Row],[M5]]),FALSE))</f>
        <v>#VALUE!</v>
      </c>
      <c r="AB266" s="176" t="e">
        <f>IF(VLOOKUP(T_BilanSocial[[#This Row],[NumL]],T_TraitDi[#Data],COLUMN(T_TraitDi[[#This Row],[M6]]),FALSE)="","",VLOOKUP(T_BilanSocial[[#This Row],[NumL]],T_TraitDi[#Data],COLUMN(T_TraitDi[[#This Row],[M6]]),FALSE))</f>
        <v>#VALUE!</v>
      </c>
      <c r="AC266" s="165" t="e">
        <f t="shared" si="49"/>
        <v>#VALUE!</v>
      </c>
      <c r="AD266" s="188" t="str">
        <f>IFERROR(TEXT(VLOOKUP(T_BilanSocial[[#This Row],[NumL]],T_TraitDi[#Data],COLUMN(T_TraitDi[[#This Row],[Q2]]),FALSE),"###%"),"")</f>
        <v/>
      </c>
      <c r="AE266" s="97" t="e">
        <f>VLOOKUP(T_BilanSocial[[#This Row],[NumL]],T_TraitDi[#Data],COLUMN(T_TraitDi[[#This Row],[Reg Ponct]]),FALSE)</f>
        <v>#VALUE!</v>
      </c>
      <c r="AF266" s="97" t="e">
        <f>VLOOKUP(T_BilanSocial[NumL],T_TraitDi[#Data],COLUMN(T_TraitDi[[#This Row],[Jours flottants]]),FALSE)</f>
        <v>#VALUE!</v>
      </c>
      <c r="AG266" s="97" t="str">
        <f>IFERROR(VLOOKUP(T_BilanSocial[[#This Row],[NumL]],T_TraitDi[#Data],COLUMN(T_TraitDi[[#This Row],[Lundi]]),FALSE),"")</f>
        <v/>
      </c>
      <c r="AH266" s="172" t="e">
        <f>IF(VLOOKUP(T_BilanSocial[[#This Row],[NumL]],T_TraitDi[#Data],COLUMN(T_TraitDi[[#This Row],[Colonne3]]),FALSE)=0,"",TEXT(IFERROR(VLOOKUP(T_BilanSocial[[#This Row],[NumL]],T_TraitDi[#Data],COLUMN(T_TraitDi[[#This Row],[Colonne3]]),FALSE),""),"[hh]:mm"))</f>
        <v>#VALUE!</v>
      </c>
      <c r="AI266" s="172" t="e">
        <f>IF(VLOOKUP(T_BilanSocial[[#This Row],[NumL]],T_TraitDi[#Data],COLUMN(T_TraitDi[[#This Row],[Colonne4]]),FALSE)=0,"",TEXT(IFERROR(VLOOKUP(T_BilanSocial[[#This Row],[NumL]],T_TraitDi[#Data],COLUMN(T_TraitDi[[#This Row],[Colonne4]]),FALSE),""),"[hh]:mm"))</f>
        <v>#VALUE!</v>
      </c>
      <c r="AJ266" s="172" t="e">
        <f>IF(VLOOKUP(T_BilanSocial[[#This Row],[NumL]],T_TraitDi[#Data],COLUMN(T_TraitDi[[#This Row],[Colonne5]]),FALSE)=0,"",TEXT(IFERROR(VLOOKUP(T_BilanSocial[[#This Row],[NumL]],T_TraitDi[#Data],COLUMN(T_TraitDi[[#This Row],[Colonne5]]),FALSE),""),"[hh]:mm"))</f>
        <v>#VALUE!</v>
      </c>
      <c r="AK266" s="172" t="e">
        <f>IF(VLOOKUP(T_BilanSocial[[#This Row],[NumL]],T_TraitDi[#Data],COLUMN(T_TraitDi[[#This Row],[Colonne6]]),FALSE)=0,"",TEXT(IFERROR(VLOOKUP(T_BilanSocial[[#This Row],[NumL]],T_TraitDi[#Data],COLUMN(T_TraitDi[[#This Row],[Colonne6]]),FALSE),""),"[hh]:mm"))</f>
        <v>#VALUE!</v>
      </c>
      <c r="AL266" s="172" t="e">
        <f>IF(VLOOKUP(T_BilanSocial[[#This Row],[NumL]],T_TraitDi[#Data],COLUMN(T_TraitDi[[#This Row],[Colonne7]]),FALSE)=0,"",TEXT(IFERROR(VLOOKUP(T_BilanSocial[[#This Row],[NumL]],T_TraitDi[#Data],COLUMN(T_TraitDi[[#This Row],[Colonne7]]),FALSE),""),"[hh]:mm"))</f>
        <v>#VALUE!</v>
      </c>
      <c r="AM266" s="172" t="e">
        <f>IF(VLOOKUP(T_BilanSocial[[#This Row],[NumL]],T_TraitDi[#Data],COLUMN(T_TraitDi[[#This Row],[Colonne8]]),FALSE)=0,"",TEXT(IFERROR(VLOOKUP(T_BilanSocial[[#This Row],[NumL]],T_TraitDi[#Data],COLUMN(T_TraitDi[[#This Row],[Colonne8]]),FALSE),""),"[hh]:mm"))</f>
        <v>#VALUE!</v>
      </c>
      <c r="AN266" s="172" t="str">
        <f>IFERROR(VLOOKUP(T_BilanSocial[[#This Row],[NumL]],T_TraitDi[#Data],COLUMN(T_TraitDi[[#This Row],[Mardi]]),FALSE),"")</f>
        <v/>
      </c>
      <c r="AO266" s="172" t="e">
        <f>IF(VLOOKUP(T_BilanSocial[[#This Row],[NumL]],T_TraitDi[#Data],COLUMN(T_TraitDi[[#This Row],[Colonne1]]),FALSE)=0,"",TEXT(IFERROR(VLOOKUP(T_BilanSocial[[#This Row],[NumL]],T_TraitDi[#Data],COLUMN(T_TraitDi[[#This Row],[Colonne1]]),FALSE),""),"[hh]:mm"))</f>
        <v>#VALUE!</v>
      </c>
      <c r="AP266" s="172" t="e">
        <f>IF(VLOOKUP(T_BilanSocial[[#This Row],[NumL]],T_TraitDi[#Data],COLUMN(T_TraitDi[[#This Row],[Colonne9]]),FALSE)=0,"",TEXT(IFERROR(VLOOKUP(T_BilanSocial[[#This Row],[NumL]],T_TraitDi[#Data],COLUMN(T_TraitDi[[#This Row],[Colonne9]]),FALSE),""),"[hh]:mm"))</f>
        <v>#VALUE!</v>
      </c>
      <c r="AQ266" s="172" t="str">
        <f>IFERROR(VLOOKUP(T_BilanSocial[[#This Row],[NumL]],T_TraitDi[#Data],COLUMN(T_TraitDi[[#This Row],[Colonne10]]),FALSE),"")</f>
        <v/>
      </c>
      <c r="AR266" s="172" t="e">
        <f>IF(VLOOKUP(T_BilanSocial[[#This Row],[NumL]],T_TraitDi[#Data],COLUMN(T_TraitDi[[#This Row],[Colonne11]]),FALSE)=0,"",TEXT(IFERROR(VLOOKUP(T_BilanSocial[[#This Row],[NumL]],T_TraitDi[#Data],COLUMN(T_TraitDi[[#This Row],[Colonne11]]),FALSE),""),"[hh]:mm"))</f>
        <v>#VALUE!</v>
      </c>
      <c r="AS266" s="172" t="e">
        <f>IF(VLOOKUP(T_BilanSocial[[#This Row],[NumL]],T_TraitDi[#Data],COLUMN(T_TraitDi[[#This Row],[Colonne12]]),FALSE)=0,"",TEXT(IFERROR(VLOOKUP(T_BilanSocial[[#This Row],[NumL]],T_TraitDi[#Data],COLUMN(T_TraitDi[[#This Row],[Colonne12]]),FALSE),""),"[hh]:mm"))</f>
        <v>#VALUE!</v>
      </c>
      <c r="AT266" s="172" t="e">
        <f>IF(VLOOKUP(T_BilanSocial[[#This Row],[NumL]],T_TraitDi[#Data],COLUMN(T_TraitDi[[#This Row],[Colonne14]]),FALSE)=0,"",TEXT(IFERROR(VLOOKUP(T_BilanSocial[[#This Row],[NumL]],T_TraitDi[#Data],COLUMN(T_TraitDi[[#This Row],[Colonne14]]),FALSE),""),"[hh]:mm"))</f>
        <v>#VALUE!</v>
      </c>
      <c r="AU266" s="172" t="str">
        <f>IFERROR(VLOOKUP(T_BilanSocial[[#This Row],[NumL]],T_TraitDi[#Data],COLUMN(T_TraitDi[[#This Row],[Mercredi]]),FALSE),"")</f>
        <v/>
      </c>
      <c r="AV266" s="172" t="e">
        <f>IF(VLOOKUP(T_BilanSocial[[#This Row],[NumL]],T_TraitDi[#Data],COLUMN(T_TraitDi[[#This Row],[Colonne15]]),FALSE)=0,"",TEXT(IFERROR(VLOOKUP(T_BilanSocial[[#This Row],[NumL]],T_TraitDi[#Data],COLUMN(T_TraitDi[[#This Row],[Colonne15]]),FALSE),""),"[hh]:mm"))</f>
        <v>#VALUE!</v>
      </c>
      <c r="AW266" s="172" t="e">
        <f>IF(VLOOKUP(T_BilanSocial[[#This Row],[NumL]],T_TraitDi[#Data],COLUMN(T_TraitDi[[#This Row],[Colonne16]]),FALSE)=0,"",TEXT(IFERROR(VLOOKUP(T_BilanSocial[[#This Row],[NumL]],T_TraitDi[#Data],COLUMN(T_TraitDi[[#This Row],[Colonne16]]),FALSE),""),"[hh]:mm"))</f>
        <v>#VALUE!</v>
      </c>
      <c r="AX266" s="172" t="str">
        <f>IFERROR(VLOOKUP(T_BilanSocial[[#This Row],[NumL]],T_TraitDi[#Data],COLUMN(T_TraitDi[[#This Row],[Colonne17]]),FALSE),"")</f>
        <v/>
      </c>
      <c r="AY266" s="172" t="e">
        <f>IF(VLOOKUP(T_BilanSocial[[#This Row],[NumL]],T_TraitDi[#Data],COLUMN(T_TraitDi[[#This Row],[Colonne18]]),FALSE)=0,"",TEXT(IFERROR(VLOOKUP(T_BilanSocial[[#This Row],[NumL]],T_TraitDi[#Data],COLUMN(T_TraitDi[[#This Row],[Colonne18]]),FALSE),""),"[hh]:mm"))</f>
        <v>#VALUE!</v>
      </c>
      <c r="AZ266" s="172" t="e">
        <f>IF(VLOOKUP(T_BilanSocial[[#This Row],[NumL]],T_TraitDi[#Data],COLUMN(T_TraitDi[[#This Row],[Colonne19]]),FALSE)=0,"",TEXT(IFERROR(VLOOKUP(T_BilanSocial[[#This Row],[NumL]],T_TraitDi[#Data],COLUMN(T_TraitDi[[#This Row],[Colonne19]]),FALSE),""),"[hh]:mm"))</f>
        <v>#VALUE!</v>
      </c>
      <c r="BA266" s="172" t="e">
        <f>IF(VLOOKUP(T_BilanSocial[[#This Row],[NumL]],T_TraitDi[#Data],COLUMN(T_TraitDi[[#This Row],[Colonne20]]),FALSE)=0,"",TEXT(IFERROR(VLOOKUP(T_BilanSocial[[#This Row],[NumL]],T_TraitDi[#Data],COLUMN(T_TraitDi[[#This Row],[Colonne20]]),FALSE),""),"[hh]:mm"))</f>
        <v>#VALUE!</v>
      </c>
      <c r="BB266" s="178" t="str">
        <f>IFERROR(VLOOKUP(T_BilanSocial[[#This Row],[NumL]],T_TraitDi[#Data],COLUMN(T_TraitDi[[#This Row],[Jeudi]]),FALSE),"")</f>
        <v/>
      </c>
      <c r="BC266" s="178" t="e">
        <f>IF(VLOOKUP(T_BilanSocial[[#This Row],[NumL]],T_TraitDi[#Data],COLUMN(T_TraitDi[[#This Row],[Colonne21]]),FALSE)=0,"",TEXT(IFERROR(VLOOKUP(T_BilanSocial[[#This Row],[NumL]],T_TraitDi[#Data],COLUMN(T_TraitDi[[#This Row],[Colonne21]]),FALSE),""),"[hh]:mm"))</f>
        <v>#VALUE!</v>
      </c>
      <c r="BD266" s="178" t="e">
        <f>IF(VLOOKUP(T_BilanSocial[[#This Row],[NumL]],T_TraitDi[#Data],COLUMN(T_TraitDi[[#This Row],[Colonne22]]),FALSE)=0,"",TEXT(IFERROR(VLOOKUP(T_BilanSocial[[#This Row],[NumL]],T_TraitDi[#Data],COLUMN(T_TraitDi[[#This Row],[Colonne22]]),FALSE),""),"[hh]:mm"))</f>
        <v>#VALUE!</v>
      </c>
      <c r="BE266" s="178" t="str">
        <f>IFERROR(VLOOKUP(T_BilanSocial[[#This Row],[NumL]],T_TraitDi[#Data],COLUMN(T_TraitDi[[#This Row],[Colonne23]]),FALSE),"")</f>
        <v/>
      </c>
      <c r="BF266" s="178" t="e">
        <f>IF(VLOOKUP(T_BilanSocial[[#This Row],[NumL]],T_TraitDi[#Data],COLUMN(T_TraitDi[[#This Row],[Colonne24]]),FALSE)=0,"",TEXT(IFERROR(VLOOKUP(T_BilanSocial[[#This Row],[NumL]],T_TraitDi[#Data],COLUMN(T_TraitDi[[#This Row],[Colonne24]]),FALSE),""),"[hh]:mm"))</f>
        <v>#VALUE!</v>
      </c>
      <c r="BG266" s="178" t="e">
        <f>IF(VLOOKUP(T_BilanSocial[[#This Row],[NumL]],T_TraitDi[#Data],COLUMN(T_TraitDi[[#This Row],[Colonne25]]),FALSE)=0,"",TEXT(IFERROR(VLOOKUP(T_BilanSocial[[#This Row],[NumL]],T_TraitDi[#Data],COLUMN(T_TraitDi[[#This Row],[Colonne25]]),FALSE),""),"[hh]:mm"))</f>
        <v>#VALUE!</v>
      </c>
      <c r="BH266" s="178" t="e">
        <f>IF(VLOOKUP(T_BilanSocial[[#This Row],[NumL]],T_TraitDi[#Data],COLUMN(T_TraitDi[[#This Row],[Colonne26]]),FALSE)=0,"",TEXT(IFERROR(VLOOKUP(T_BilanSocial[[#This Row],[NumL]],T_TraitDi[#Data],COLUMN(T_TraitDi[[#This Row],[Colonne26]]),FALSE),""),"[hh]:mm"))</f>
        <v>#VALUE!</v>
      </c>
      <c r="BI266" s="172" t="str">
        <f>IFERROR(VLOOKUP(T_BilanSocial[[#This Row],[NumL]],T_TraitDi[#Data],COLUMN(T_TraitDi[[#This Row],[Vendredi]]),FALSE),"")</f>
        <v/>
      </c>
      <c r="BJ266" s="172" t="e">
        <f>IF(VLOOKUP(T_BilanSocial[[#This Row],[NumL]],T_TraitDi[#Data],COLUMN(T_TraitDi[[#This Row],[Colonne27]]),FALSE)=0,"",TEXT(IFERROR(VLOOKUP(T_BilanSocial[[#This Row],[NumL]],T_TraitDi[#Data],COLUMN(T_TraitDi[[#This Row],[Colonne27]]),FALSE),""),"[hh]:mm"))</f>
        <v>#VALUE!</v>
      </c>
      <c r="BK266" s="172" t="e">
        <f>IF(VLOOKUP(T_BilanSocial[[#This Row],[NumL]],T_TraitDi[#Data],COLUMN(T_TraitDi[[#This Row],[Colonne28]]),FALSE)=0,"",TEXT(IFERROR(VLOOKUP(T_BilanSocial[[#This Row],[NumL]],T_TraitDi[#Data],COLUMN(T_TraitDi[[#This Row],[Colonne28]]),FALSE),""),"[hh]:mm"))</f>
        <v>#VALUE!</v>
      </c>
      <c r="BL266" s="172" t="str">
        <f>IFERROR(VLOOKUP(T_BilanSocial[[#This Row],[NumL]],T_TraitDi[#Data],COLUMN(T_TraitDi[[#This Row],[Colonne29]]),FALSE),"")</f>
        <v/>
      </c>
      <c r="BM266" s="172" t="e">
        <f>IF(VLOOKUP(T_BilanSocial[[#This Row],[NumL]],T_TraitDi[#Data],COLUMN(T_TraitDi[[#This Row],[Colonne30]]),FALSE)=0,"",TEXT(IFERROR(VLOOKUP(T_BilanSocial[[#This Row],[NumL]],T_TraitDi[#Data],COLUMN(T_TraitDi[[#This Row],[Colonne30]]),FALSE),""),"[hh]:mm"))</f>
        <v>#VALUE!</v>
      </c>
      <c r="BN266" s="172" t="e">
        <f>IF(VLOOKUP(T_BilanSocial[[#This Row],[NumL]],T_TraitDi[#Data],COLUMN(T_TraitDi[[#This Row],[Colonne31]]),FALSE)=0,"",TEXT(IFERROR(VLOOKUP(T_BilanSocial[[#This Row],[NumL]],T_TraitDi[#Data],COLUMN(T_TraitDi[[#This Row],[Colonne31]]),FALSE),""),"[hh]:mm"))</f>
        <v>#VALUE!</v>
      </c>
      <c r="BO266" s="172" t="e">
        <f>IF(VLOOKUP(T_BilanSocial[[#This Row],[NumL]],T_TraitDi[#Data],COLUMN(T_TraitDi[[#This Row],[Colonne32]]),FALSE)=0,"",TEXT(IFERROR(VLOOKUP(T_BilanSocial[[#This Row],[NumL]],T_TraitDi[#Data],COLUMN(T_TraitDi[[#This Row],[Colonne32]]),FALSE),""),"[hh]:mm"))</f>
        <v>#VALUE!</v>
      </c>
      <c r="BP266" s="172" t="e">
        <f>VLOOKUP(T_BilanSocial[[#This Row],[NumL]],T_TraitDi[#Data],COLUMN(T_TraitDi[NbJTot]),FALSE)</f>
        <v>#N/A</v>
      </c>
      <c r="BQ266" s="174" t="str">
        <f>IFERROR(VLOOKUP(T_BilanSocial[[#This Row],[NumL]],T_TraitDi[#Data],COLUMN(T_TraitDi[[#This Row],[NbJTW]]),FALSE),"")</f>
        <v/>
      </c>
      <c r="BR266" s="174" t="e">
        <f>IF(VLOOKUP(T_BilanSocial[[#This Row],[NumL]],T_TraitDi[#Data],COLUMN(T_TraitDi[[#This Row],[NbhTW]]),FALSE)=0,"",TEXT(IFERROR(VLOOKUP(T_BilanSocial[[#This Row],[NumL]],T_TraitDi[#Data],COLUMN(T_TraitDi[[#This Row],[NbhTW]]),FALSE),""),"[hh]:mm"))</f>
        <v>#VALUE!</v>
      </c>
      <c r="BS266" s="174" t="e">
        <f>IF(VLOOKUP(T_BilanSocial[[#This Row],[NumL]],T_TraitDi[#Data],COLUMN(T_TraitDi[[#This Row],[Nbhheb]]),FALSE)=0,"",TEXT(IFERROR(VLOOKUP($A266,T_TraitDi[#Data],COLUMN(T_TraitDi[[#This Row],[Nbhheb]]),FALSE),""),"[hh]:mm"))</f>
        <v>#VALUE!</v>
      </c>
      <c r="BT266" s="182" t="str">
        <f>IFERROR(VLOOKUP(VLOOKUP($A266,T_TraitDi[#Data],COLUMN(T_TraitDi[[#This Row],[Type1]]),FALSE),TypeTW,2,FALSE),"")</f>
        <v/>
      </c>
      <c r="BU266" s="182" t="str">
        <f>IFERROR(VLOOKUP($A266,T_TraitDi[#Data],COLUMN(T_TraitDi[[#This Row],[Rue1]]),FALSE),"")</f>
        <v/>
      </c>
      <c r="BV266" s="173" t="str">
        <f>IFERROR(VLOOKUP($A266,T_TraitDi[#Data],COLUMN(T_TraitDi[[#This Row],[CP1]]),FALSE),"")</f>
        <v/>
      </c>
      <c r="BW266" s="173" t="str">
        <f>IFERROR(VLOOKUP($A266,T_TraitDi[#Data],COLUMN(T_TraitDi[[#This Row],[VILLE1]]),FALSE),"")</f>
        <v/>
      </c>
      <c r="BX266" s="182" t="str">
        <f>IFERROR(VLOOKUP(VLOOKUP($A266,T_TraitDi[#Data],COLUMN(T_TraitDi[[#This Row],[Type2]]),FALSE),TypeTW,2,FALSE),"")</f>
        <v/>
      </c>
      <c r="BY266" s="182" t="str">
        <f>IFERROR(VLOOKUP($A266,T_TraitDi[#Data],COLUMN(T_TraitDi[[#This Row],[Rue2]]),FALSE),"")</f>
        <v/>
      </c>
      <c r="BZ266" s="173" t="str">
        <f>IFERROR(VLOOKUP($A266,T_TraitDi[#Data],COLUMN(T_TraitDi[[#This Row],[CP2]]),FALSE),"")</f>
        <v/>
      </c>
      <c r="CA266" s="173" t="str">
        <f>IFERROR(VLOOKUP($A266,T_TraitDi[#Data],COLUMN(T_TraitDi[[#This Row],[VILLE2]]),FALSE),"")</f>
        <v/>
      </c>
      <c r="CB266" s="182" t="str">
        <f>IF(VLOOKUP(T_BilanSocial[[#This Row],[NumL]],T_Equipement[#Data],COLUMN(T_Equipement[[#This Row],[PC]]),FALSE)="","Aucun équipement spécifique directement lié au télétravail",VLOOKUP(T_BilanSocial[[#This Row],[NumL]],T_Equipement[#Data],COLUMN(T_Equipement[[#This Row],[PC]]),FALSE))</f>
        <v xml:space="preserve">20-279	</v>
      </c>
      <c r="CC266" s="166" t="str">
        <f>IFERROR(IF(VLOOKUP(T_BilanSocial[[#This Row],[NumL]],T_TraitDi[#Data],COLUMN(T_TraitDi[[#This Row],[Plan]]),FALSE)="OK","Un planning spécifique de télétravail est annexé à la présente convention.",""),"")</f>
        <v/>
      </c>
      <c r="CD266" s="185"/>
      <c r="CE266" s="164" t="e">
        <f>IF(VLOOKUP(T_BilanSocial[[#This Row],[NumL]],T_suiviDi[#Data],COLUMN(T_suiviDi[[#This Row],[Entité]]),FALSE)="","",VLOOKUP(T_BilanSocial[[#This Row],[NumL]],T_suiviDi[#Data],COLUMN(T_suiviDi[[#This Row],[Entité]]),FALSE))</f>
        <v>#VALUE!</v>
      </c>
      <c r="CF266" s="164" t="str">
        <f>IF(VLOOKUP(T_BilanSocial[[#This Row],[NumL]],T_Commission[#Data],COLUMN(T_Commission[[#This Row],[envoi confirm TW]]),FALSE)="","",VLOOKUP(T_BilanSocial[[#This Row],[NumL]],T_Commission[#Data],COLUMN(T_Commission[[#This Row],[envoi confirm TW]]),FALSE))</f>
        <v>Oui</v>
      </c>
      <c r="CG26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6" s="262" t="str">
        <f>T_BilanSocial[[#This Row],[Nom]]&amp;T_BilanSocial[[#This Row],[Prenom]]</f>
        <v/>
      </c>
      <c r="CI266" s="262">
        <f>VLOOKUP(T_BilanSocial[[#This Row],[NumL]],T_Commission[#Data],COLUMN(T_Commission[Commentaire]),FALSE)</f>
        <v>0</v>
      </c>
      <c r="CJ266" s="262" t="str">
        <f>IF(VLOOKUP(T_BilanSocial[[#This Row],[NumL]],T_Commission[#Data],COLUMN(T_Commission[Encadrant Email]),FALSE)="","",VLOOKUP(T_BilanSocial[[#This Row],[NumL]],T_Commission[#Data],COLUMN(T_Commission[Encadrant Email]),FALSE))</f>
        <v/>
      </c>
      <c r="CK266" s="340" t="str">
        <f>IF(T_BilanSocial[[#This Row],[Final]]&lt;&gt;"",VLOOKUP(T_BilanSocial[[#This Row],[NumL]],T_suiviDi[#Data],COLUMN((T_suiviDi[Statut])),FALSE),"")</f>
        <v/>
      </c>
    </row>
    <row r="267" spans="1:89" s="106" customFormat="1" ht="24.75" customHeight="1" x14ac:dyDescent="0.25">
      <c r="A267" s="160">
        <v>264</v>
      </c>
      <c r="B267" s="161">
        <f t="shared" si="45"/>
        <v>1</v>
      </c>
      <c r="C267" s="162" t="s">
        <v>141</v>
      </c>
      <c r="D267" s="95" t="e">
        <f>IF(VLOOKUP(T_BilanSocial[[#This Row],[NumL]],T_TraitDi[#Data],COLUMN(T_TraitDi[[#This Row],[WebC]]),FALSE)="","",VLOOKUP(T_BilanSocial[[#This Row],[NumL]],T_TraitDi[#Data],COLUMN(T_TraitDi[[#This Row],[WebC]]),FALSE))</f>
        <v>#VALUE!</v>
      </c>
      <c r="E267" s="163" t="str">
        <f t="shared" si="46"/>
        <v>12 janvier 2021</v>
      </c>
      <c r="F267" s="96" t="str">
        <f>IF(T_BilanSocial[[#This Row],[Final]]&lt;&gt;"",VLOOKUP(T_BilanSocial[[#This Row],[NumL]],T_suiviDi[#Data],COLUMN((T_suiviDi[Civ.])),FALSE),"")</f>
        <v>Mme</v>
      </c>
      <c r="G267" s="96" t="str">
        <f>IF(T_BilanSocial[[#This Row],[Final]]&lt;&gt;"",VLOOKUP(T_BilanSocial[[#This Row],[NumL]],T_suiviDi[#Data],COLUMN((T_suiviDi[Nom])),FALSE),"")</f>
        <v>A</v>
      </c>
      <c r="H267" s="96" t="str">
        <f>IF(T_BilanSocial[[#This Row],[Final]]&lt;&gt;"",VLOOKUP(T_BilanSocial[[#This Row],[NumL]],T_suiviDi[#Data],COLUMN((T_suiviDi[Prénom])),FALSE),"")</f>
        <v>Anne-Sophie</v>
      </c>
      <c r="I267" s="96" t="str">
        <f>IFERROR(VLOOKUP(T_BilanSocial[[#This Row],[Zone_Bilan]],T_P_BilanSocial[#Data],COLUMN(T_P_BilanSocial[[#This Row],[Numero_SIHAM]]),FALSE),"")</f>
        <v/>
      </c>
      <c r="J267" s="96" t="str">
        <f>IFERROR(VLOOKUP(T_BilanSocial[[#This Row],[Zone_Bilan]],T_P_BilanSocial[#Data],COLUMN(T_P_BilanSocial[[#This Row],[Sexe]]),FALSE),"")</f>
        <v/>
      </c>
      <c r="K267" s="97" t="str">
        <f>IFERROR(VLOOKUP(T_BilanSocial[[#This Row],[Zone_Bilan]],T_P_BilanSocial[#Data],COLUMN(T_P_BilanSocial[[#This Row],[Categorie]]),FALSE),"")</f>
        <v/>
      </c>
      <c r="L267" s="96" t="str">
        <f>IFERROR(VLOOKUP(T_BilanSocial[[#This Row],[Zone_Bilan]],T_P_BilanSocial[#Data],COLUMN(T_P_BilanSocial[[#This Row],[Statut]]),FALSE),"")</f>
        <v/>
      </c>
      <c r="M267" s="96" t="str">
        <f>IFERROR(VLOOKUP(T_BilanSocial[[#This Row],[Zone_Bilan]],T_P_BilanSocial[#Data],COLUMN(T_P_BilanSocial[[#This Row],[Filiere]]),FALSE),"")</f>
        <v/>
      </c>
      <c r="N267" s="96" t="str">
        <f>VLOOKUP(T_BilanSocial[[#This Row],[NumL]],T_TraitDi[#Data],COLUMN(T_TraitDi[EXP]),FALSE)</f>
        <v>N</v>
      </c>
      <c r="O267" s="96" t="str">
        <f>VLOOKUP(T_BilanSocial[[#This Row],[NumL]],T_TraitDi[#Data],COLUMN(T_TraitDi[FORM]),FALSE)</f>
        <v>N</v>
      </c>
      <c r="P267" s="96">
        <f>IF(T_BilanSocial[[#This Row],[Final]]&lt;&gt;"",VLOOKUP(T_BilanSocial[[#This Row],[NumL]],T_suiviDi[#Data],COLUMN((T_suiviDi[Email])),FALSE),"")</f>
        <v>0</v>
      </c>
      <c r="Q267" s="164" t="str">
        <f t="shared" si="40"/>
        <v>Pôle Relations Entreprises et Partenariats</v>
      </c>
      <c r="R267" s="164" t="str">
        <f t="shared" si="41"/>
        <v>Chargée de Développement</v>
      </c>
      <c r="S267" s="164" t="e">
        <f>IF(VLOOKUP(T_BilanSocial[[#This Row],[NumL]],T_suiviDi[#Data],COLUMN(T_suiviDi[[#This Row],[Service ]]),FALSE)="","",VLOOKUP(T_BilanSocial[[#This Row],[NumL]],T_suiviDi[#Data],COLUMN(T_suiviDi[[#This Row],[Service ]]),FALSE))</f>
        <v>#VALUE!</v>
      </c>
      <c r="T267" s="164" t="str">
        <f t="shared" si="47"/>
        <v>01 septembre 2021</v>
      </c>
      <c r="U267" s="164" t="str">
        <f t="shared" si="48"/>
        <v>30 novembre 2021</v>
      </c>
      <c r="V267" s="256">
        <f>Datebilan</f>
        <v>44530</v>
      </c>
      <c r="W267" s="176" t="e">
        <f>IF(VLOOKUP(T_BilanSocial[[#This Row],[NumL]],T_TraitDi[#Data],COLUMN(T_TraitDi[[#This Row],[M1]]),FALSE)="","",VLOOKUP(T_BilanSocial[[#This Row],[NumL]],T_TraitDi[#Data],COLUMN(T_TraitDi[[#This Row],[M1]]),FALSE))</f>
        <v>#VALUE!</v>
      </c>
      <c r="X267" s="176" t="e">
        <f>IF(VLOOKUP(T_BilanSocial[[#This Row],[NumL]],T_TraitDi[#Data],COLUMN(T_TraitDi[[#This Row],[M2]]),FALSE)="","",VLOOKUP(T_BilanSocial[[#This Row],[NumL]],T_TraitDi[#Data],COLUMN(T_TraitDi[[#This Row],[M2]]),FALSE))</f>
        <v>#VALUE!</v>
      </c>
      <c r="Y267" s="176" t="e">
        <f>IF(VLOOKUP(T_BilanSocial[[#This Row],[NumL]],T_TraitDi[#Data],COLUMN(T_TraitDi[[#This Row],[M3]]),FALSE)="","",VLOOKUP(T_BilanSocial[[#This Row],[NumL]],T_TraitDi[#Data],COLUMN(T_TraitDi[[#This Row],[M3]]),FALSE))</f>
        <v>#VALUE!</v>
      </c>
      <c r="Z267" s="176" t="str">
        <f t="shared" si="50"/>
        <v/>
      </c>
      <c r="AA267" s="176" t="e">
        <f>IF(VLOOKUP(T_BilanSocial[[#This Row],[NumL]],T_TraitDi[#Data],COLUMN(T_TraitDi[[#This Row],[M5]]),FALSE)="","",VLOOKUP(T_BilanSocial[[#This Row],[NumL]],T_TraitDi[#Data],COLUMN(T_TraitDi[[#This Row],[M5]]),FALSE))</f>
        <v>#VALUE!</v>
      </c>
      <c r="AB267" s="176" t="e">
        <f>IF(VLOOKUP(T_BilanSocial[[#This Row],[NumL]],T_TraitDi[#Data],COLUMN(T_TraitDi[[#This Row],[M6]]),FALSE)="","",VLOOKUP(T_BilanSocial[[#This Row],[NumL]],T_TraitDi[#Data],COLUMN(T_TraitDi[[#This Row],[M6]]),FALSE))</f>
        <v>#VALUE!</v>
      </c>
      <c r="AC267" s="165" t="e">
        <f t="shared" si="49"/>
        <v>#VALUE!</v>
      </c>
      <c r="AD267" s="188" t="str">
        <f>IFERROR(TEXT(VLOOKUP(T_BilanSocial[[#This Row],[NumL]],T_TraitDi[#Data],COLUMN(T_TraitDi[[#This Row],[Q2]]),FALSE),"###%"),"")</f>
        <v/>
      </c>
      <c r="AE267" s="97" t="e">
        <f>VLOOKUP(T_BilanSocial[[#This Row],[NumL]],T_TraitDi[#Data],COLUMN(T_TraitDi[[#This Row],[Reg Ponct]]),FALSE)</f>
        <v>#VALUE!</v>
      </c>
      <c r="AF267" s="97" t="e">
        <f>VLOOKUP(T_BilanSocial[NumL],T_TraitDi[#Data],COLUMN(T_TraitDi[[#This Row],[Jours flottants]]),FALSE)</f>
        <v>#VALUE!</v>
      </c>
      <c r="AG267" s="97" t="str">
        <f>IFERROR(VLOOKUP(T_BilanSocial[[#This Row],[NumL]],T_TraitDi[#Data],COLUMN(T_TraitDi[[#This Row],[Lundi]]),FALSE),"")</f>
        <v/>
      </c>
      <c r="AH267" s="172" t="e">
        <f>IF(VLOOKUP(T_BilanSocial[[#This Row],[NumL]],T_TraitDi[#Data],COLUMN(T_TraitDi[[#This Row],[Colonne3]]),FALSE)=0,"",TEXT(IFERROR(VLOOKUP(T_BilanSocial[[#This Row],[NumL]],T_TraitDi[#Data],COLUMN(T_TraitDi[[#This Row],[Colonne3]]),FALSE),""),"[hh]:mm"))</f>
        <v>#VALUE!</v>
      </c>
      <c r="AI267" s="172" t="e">
        <f>IF(VLOOKUP(T_BilanSocial[[#This Row],[NumL]],T_TraitDi[#Data],COLUMN(T_TraitDi[[#This Row],[Colonne4]]),FALSE)=0,"",TEXT(IFERROR(VLOOKUP(T_BilanSocial[[#This Row],[NumL]],T_TraitDi[#Data],COLUMN(T_TraitDi[[#This Row],[Colonne4]]),FALSE),""),"[hh]:mm"))</f>
        <v>#VALUE!</v>
      </c>
      <c r="AJ267" s="172" t="e">
        <f>IF(VLOOKUP(T_BilanSocial[[#This Row],[NumL]],T_TraitDi[#Data],COLUMN(T_TraitDi[[#This Row],[Colonne5]]),FALSE)=0,"",TEXT(IFERROR(VLOOKUP(T_BilanSocial[[#This Row],[NumL]],T_TraitDi[#Data],COLUMN(T_TraitDi[[#This Row],[Colonne5]]),FALSE),""),"[hh]:mm"))</f>
        <v>#VALUE!</v>
      </c>
      <c r="AK267" s="172" t="e">
        <f>IF(VLOOKUP(T_BilanSocial[[#This Row],[NumL]],T_TraitDi[#Data],COLUMN(T_TraitDi[[#This Row],[Colonne6]]),FALSE)=0,"",TEXT(IFERROR(VLOOKUP(T_BilanSocial[[#This Row],[NumL]],T_TraitDi[#Data],COLUMN(T_TraitDi[[#This Row],[Colonne6]]),FALSE),""),"[hh]:mm"))</f>
        <v>#VALUE!</v>
      </c>
      <c r="AL267" s="172" t="e">
        <f>IF(VLOOKUP(T_BilanSocial[[#This Row],[NumL]],T_TraitDi[#Data],COLUMN(T_TraitDi[[#This Row],[Colonne7]]),FALSE)=0,"",TEXT(IFERROR(VLOOKUP(T_BilanSocial[[#This Row],[NumL]],T_TraitDi[#Data],COLUMN(T_TraitDi[[#This Row],[Colonne7]]),FALSE),""),"[hh]:mm"))</f>
        <v>#VALUE!</v>
      </c>
      <c r="AM267" s="172" t="e">
        <f>IF(VLOOKUP(T_BilanSocial[[#This Row],[NumL]],T_TraitDi[#Data],COLUMN(T_TraitDi[[#This Row],[Colonne8]]),FALSE)=0,"",TEXT(IFERROR(VLOOKUP(T_BilanSocial[[#This Row],[NumL]],T_TraitDi[#Data],COLUMN(T_TraitDi[[#This Row],[Colonne8]]),FALSE),""),"[hh]:mm"))</f>
        <v>#VALUE!</v>
      </c>
      <c r="AN267" s="172" t="str">
        <f>IFERROR(VLOOKUP(T_BilanSocial[[#This Row],[NumL]],T_TraitDi[#Data],COLUMN(T_TraitDi[[#This Row],[Mardi]]),FALSE),"")</f>
        <v/>
      </c>
      <c r="AO267" s="172" t="e">
        <f>IF(VLOOKUP(T_BilanSocial[[#This Row],[NumL]],T_TraitDi[#Data],COLUMN(T_TraitDi[[#This Row],[Colonne1]]),FALSE)=0,"",TEXT(IFERROR(VLOOKUP(T_BilanSocial[[#This Row],[NumL]],T_TraitDi[#Data],COLUMN(T_TraitDi[[#This Row],[Colonne1]]),FALSE),""),"[hh]:mm"))</f>
        <v>#VALUE!</v>
      </c>
      <c r="AP267" s="172" t="e">
        <f>IF(VLOOKUP(T_BilanSocial[[#This Row],[NumL]],T_TraitDi[#Data],COLUMN(T_TraitDi[[#This Row],[Colonne9]]),FALSE)=0,"",TEXT(IFERROR(VLOOKUP(T_BilanSocial[[#This Row],[NumL]],T_TraitDi[#Data],COLUMN(T_TraitDi[[#This Row],[Colonne9]]),FALSE),""),"[hh]:mm"))</f>
        <v>#VALUE!</v>
      </c>
      <c r="AQ267" s="172" t="str">
        <f>IFERROR(VLOOKUP(T_BilanSocial[[#This Row],[NumL]],T_TraitDi[#Data],COLUMN(T_TraitDi[[#This Row],[Colonne10]]),FALSE),"")</f>
        <v/>
      </c>
      <c r="AR267" s="172" t="e">
        <f>IF(VLOOKUP(T_BilanSocial[[#This Row],[NumL]],T_TraitDi[#Data],COLUMN(T_TraitDi[[#This Row],[Colonne11]]),FALSE)=0,"",TEXT(IFERROR(VLOOKUP(T_BilanSocial[[#This Row],[NumL]],T_TraitDi[#Data],COLUMN(T_TraitDi[[#This Row],[Colonne11]]),FALSE),""),"[hh]:mm"))</f>
        <v>#VALUE!</v>
      </c>
      <c r="AS267" s="172" t="e">
        <f>IF(VLOOKUP(T_BilanSocial[[#This Row],[NumL]],T_TraitDi[#Data],COLUMN(T_TraitDi[[#This Row],[Colonne12]]),FALSE)=0,"",TEXT(IFERROR(VLOOKUP(T_BilanSocial[[#This Row],[NumL]],T_TraitDi[#Data],COLUMN(T_TraitDi[[#This Row],[Colonne12]]),FALSE),""),"[hh]:mm"))</f>
        <v>#VALUE!</v>
      </c>
      <c r="AT267" s="172" t="e">
        <f>IF(VLOOKUP(T_BilanSocial[[#This Row],[NumL]],T_TraitDi[#Data],COLUMN(T_TraitDi[[#This Row],[Colonne14]]),FALSE)=0,"",TEXT(IFERROR(VLOOKUP(T_BilanSocial[[#This Row],[NumL]],T_TraitDi[#Data],COLUMN(T_TraitDi[[#This Row],[Colonne14]]),FALSE),""),"[hh]:mm"))</f>
        <v>#VALUE!</v>
      </c>
      <c r="AU267" s="172" t="str">
        <f>IFERROR(VLOOKUP(T_BilanSocial[[#This Row],[NumL]],T_TraitDi[#Data],COLUMN(T_TraitDi[[#This Row],[Mercredi]]),FALSE),"")</f>
        <v/>
      </c>
      <c r="AV267" s="172" t="e">
        <f>IF(VLOOKUP(T_BilanSocial[[#This Row],[NumL]],T_TraitDi[#Data],COLUMN(T_TraitDi[[#This Row],[Colonne15]]),FALSE)=0,"",TEXT(IFERROR(VLOOKUP(T_BilanSocial[[#This Row],[NumL]],T_TraitDi[#Data],COLUMN(T_TraitDi[[#This Row],[Colonne15]]),FALSE),""),"[hh]:mm"))</f>
        <v>#VALUE!</v>
      </c>
      <c r="AW267" s="172" t="e">
        <f>IF(VLOOKUP(T_BilanSocial[[#This Row],[NumL]],T_TraitDi[#Data],COLUMN(T_TraitDi[[#This Row],[Colonne16]]),FALSE)=0,"",TEXT(IFERROR(VLOOKUP(T_BilanSocial[[#This Row],[NumL]],T_TraitDi[#Data],COLUMN(T_TraitDi[[#This Row],[Colonne16]]),FALSE),""),"[hh]:mm"))</f>
        <v>#VALUE!</v>
      </c>
      <c r="AX267" s="172" t="str">
        <f>IFERROR(VLOOKUP(T_BilanSocial[[#This Row],[NumL]],T_TraitDi[#Data],COLUMN(T_TraitDi[[#This Row],[Colonne17]]),FALSE),"")</f>
        <v/>
      </c>
      <c r="AY267" s="172" t="e">
        <f>IF(VLOOKUP(T_BilanSocial[[#This Row],[NumL]],T_TraitDi[#Data],COLUMN(T_TraitDi[[#This Row],[Colonne18]]),FALSE)=0,"",TEXT(IFERROR(VLOOKUP(T_BilanSocial[[#This Row],[NumL]],T_TraitDi[#Data],COLUMN(T_TraitDi[[#This Row],[Colonne18]]),FALSE),""),"[hh]:mm"))</f>
        <v>#VALUE!</v>
      </c>
      <c r="AZ267" s="172" t="e">
        <f>IF(VLOOKUP(T_BilanSocial[[#This Row],[NumL]],T_TraitDi[#Data],COLUMN(T_TraitDi[[#This Row],[Colonne19]]),FALSE)=0,"",TEXT(IFERROR(VLOOKUP(T_BilanSocial[[#This Row],[NumL]],T_TraitDi[#Data],COLUMN(T_TraitDi[[#This Row],[Colonne19]]),FALSE),""),"[hh]:mm"))</f>
        <v>#VALUE!</v>
      </c>
      <c r="BA267" s="172" t="e">
        <f>IF(VLOOKUP(T_BilanSocial[[#This Row],[NumL]],T_TraitDi[#Data],COLUMN(T_TraitDi[[#This Row],[Colonne20]]),FALSE)=0,"",TEXT(IFERROR(VLOOKUP(T_BilanSocial[[#This Row],[NumL]],T_TraitDi[#Data],COLUMN(T_TraitDi[[#This Row],[Colonne20]]),FALSE),""),"[hh]:mm"))</f>
        <v>#VALUE!</v>
      </c>
      <c r="BB267" s="178" t="str">
        <f>IFERROR(VLOOKUP(T_BilanSocial[[#This Row],[NumL]],T_TraitDi[#Data],COLUMN(T_TraitDi[[#This Row],[Jeudi]]),FALSE),"")</f>
        <v/>
      </c>
      <c r="BC267" s="178" t="e">
        <f>IF(VLOOKUP(T_BilanSocial[[#This Row],[NumL]],T_TraitDi[#Data],COLUMN(T_TraitDi[[#This Row],[Colonne21]]),FALSE)=0,"",TEXT(IFERROR(VLOOKUP(T_BilanSocial[[#This Row],[NumL]],T_TraitDi[#Data],COLUMN(T_TraitDi[[#This Row],[Colonne21]]),FALSE),""),"[hh]:mm"))</f>
        <v>#VALUE!</v>
      </c>
      <c r="BD267" s="178" t="e">
        <f>IF(VLOOKUP(T_BilanSocial[[#This Row],[NumL]],T_TraitDi[#Data],COLUMN(T_TraitDi[[#This Row],[Colonne22]]),FALSE)=0,"",TEXT(IFERROR(VLOOKUP(T_BilanSocial[[#This Row],[NumL]],T_TraitDi[#Data],COLUMN(T_TraitDi[[#This Row],[Colonne22]]),FALSE),""),"[hh]:mm"))</f>
        <v>#VALUE!</v>
      </c>
      <c r="BE267" s="178" t="str">
        <f>IFERROR(VLOOKUP(T_BilanSocial[[#This Row],[NumL]],T_TraitDi[#Data],COLUMN(T_TraitDi[[#This Row],[Colonne23]]),FALSE),"")</f>
        <v/>
      </c>
      <c r="BF267" s="178" t="e">
        <f>IF(VLOOKUP(T_BilanSocial[[#This Row],[NumL]],T_TraitDi[#Data],COLUMN(T_TraitDi[[#This Row],[Colonne24]]),FALSE)=0,"",TEXT(IFERROR(VLOOKUP(T_BilanSocial[[#This Row],[NumL]],T_TraitDi[#Data],COLUMN(T_TraitDi[[#This Row],[Colonne24]]),FALSE),""),"[hh]:mm"))</f>
        <v>#VALUE!</v>
      </c>
      <c r="BG267" s="178" t="e">
        <f>IF(VLOOKUP(T_BilanSocial[[#This Row],[NumL]],T_TraitDi[#Data],COLUMN(T_TraitDi[[#This Row],[Colonne25]]),FALSE)=0,"",TEXT(IFERROR(VLOOKUP(T_BilanSocial[[#This Row],[NumL]],T_TraitDi[#Data],COLUMN(T_TraitDi[[#This Row],[Colonne25]]),FALSE),""),"[hh]:mm"))</f>
        <v>#VALUE!</v>
      </c>
      <c r="BH267" s="178" t="e">
        <f>IF(VLOOKUP(T_BilanSocial[[#This Row],[NumL]],T_TraitDi[#Data],COLUMN(T_TraitDi[[#This Row],[Colonne26]]),FALSE)=0,"",TEXT(IFERROR(VLOOKUP(T_BilanSocial[[#This Row],[NumL]],T_TraitDi[#Data],COLUMN(T_TraitDi[[#This Row],[Colonne26]]),FALSE),""),"[hh]:mm"))</f>
        <v>#VALUE!</v>
      </c>
      <c r="BI267" s="172" t="str">
        <f>IFERROR(VLOOKUP(T_BilanSocial[[#This Row],[NumL]],T_TraitDi[#Data],COLUMN(T_TraitDi[[#This Row],[Vendredi]]),FALSE),"")</f>
        <v/>
      </c>
      <c r="BJ267" s="172" t="e">
        <f>IF(VLOOKUP(T_BilanSocial[[#This Row],[NumL]],T_TraitDi[#Data],COLUMN(T_TraitDi[[#This Row],[Colonne27]]),FALSE)=0,"",TEXT(IFERROR(VLOOKUP(T_BilanSocial[[#This Row],[NumL]],T_TraitDi[#Data],COLUMN(T_TraitDi[[#This Row],[Colonne27]]),FALSE),""),"[hh]:mm"))</f>
        <v>#VALUE!</v>
      </c>
      <c r="BK267" s="172" t="e">
        <f>IF(VLOOKUP(T_BilanSocial[[#This Row],[NumL]],T_TraitDi[#Data],COLUMN(T_TraitDi[[#This Row],[Colonne28]]),FALSE)=0,"",TEXT(IFERROR(VLOOKUP(T_BilanSocial[[#This Row],[NumL]],T_TraitDi[#Data],COLUMN(T_TraitDi[[#This Row],[Colonne28]]),FALSE),""),"[hh]:mm"))</f>
        <v>#VALUE!</v>
      </c>
      <c r="BL267" s="172" t="str">
        <f>IFERROR(VLOOKUP(T_BilanSocial[[#This Row],[NumL]],T_TraitDi[#Data],COLUMN(T_TraitDi[[#This Row],[Colonne29]]),FALSE),"")</f>
        <v/>
      </c>
      <c r="BM267" s="172" t="e">
        <f>IF(VLOOKUP(T_BilanSocial[[#This Row],[NumL]],T_TraitDi[#Data],COLUMN(T_TraitDi[[#This Row],[Colonne30]]),FALSE)=0,"",TEXT(IFERROR(VLOOKUP(T_BilanSocial[[#This Row],[NumL]],T_TraitDi[#Data],COLUMN(T_TraitDi[[#This Row],[Colonne30]]),FALSE),""),"[hh]:mm"))</f>
        <v>#VALUE!</v>
      </c>
      <c r="BN267" s="172" t="e">
        <f>IF(VLOOKUP(T_BilanSocial[[#This Row],[NumL]],T_TraitDi[#Data],COLUMN(T_TraitDi[[#This Row],[Colonne31]]),FALSE)=0,"",TEXT(IFERROR(VLOOKUP(T_BilanSocial[[#This Row],[NumL]],T_TraitDi[#Data],COLUMN(T_TraitDi[[#This Row],[Colonne31]]),FALSE),""),"[hh]:mm"))</f>
        <v>#VALUE!</v>
      </c>
      <c r="BO267" s="172" t="e">
        <f>IF(VLOOKUP(T_BilanSocial[[#This Row],[NumL]],T_TraitDi[#Data],COLUMN(T_TraitDi[[#This Row],[Colonne32]]),FALSE)=0,"",TEXT(IFERROR(VLOOKUP(T_BilanSocial[[#This Row],[NumL]],T_TraitDi[#Data],COLUMN(T_TraitDi[[#This Row],[Colonne32]]),FALSE),""),"[hh]:mm"))</f>
        <v>#VALUE!</v>
      </c>
      <c r="BP267" s="172" t="str">
        <f>VLOOKUP(T_BilanSocial[[#This Row],[NumL]],T_TraitDi[#Data],COLUMN(T_TraitDi[NbJTot]),FALSE)</f>
        <v/>
      </c>
      <c r="BQ267" s="174" t="str">
        <f>IFERROR(VLOOKUP(T_BilanSocial[[#This Row],[NumL]],T_TraitDi[#Data],COLUMN(T_TraitDi[[#This Row],[NbJTW]]),FALSE),"")</f>
        <v/>
      </c>
      <c r="BR267" s="174" t="e">
        <f>IF(VLOOKUP(T_BilanSocial[[#This Row],[NumL]],T_TraitDi[#Data],COLUMN(T_TraitDi[[#This Row],[NbhTW]]),FALSE)=0,"",TEXT(IFERROR(VLOOKUP(T_BilanSocial[[#This Row],[NumL]],T_TraitDi[#Data],COLUMN(T_TraitDi[[#This Row],[NbhTW]]),FALSE),""),"[hh]:mm"))</f>
        <v>#VALUE!</v>
      </c>
      <c r="BS267" s="174" t="e">
        <f>IF(VLOOKUP(T_BilanSocial[[#This Row],[NumL]],T_TraitDi[#Data],COLUMN(T_TraitDi[[#This Row],[Nbhheb]]),FALSE)=0,"",TEXT(IFERROR(VLOOKUP($A267,T_TraitDi[#Data],COLUMN(T_TraitDi[[#This Row],[Nbhheb]]),FALSE),""),"[hh]:mm"))</f>
        <v>#VALUE!</v>
      </c>
      <c r="BT267" s="182" t="str">
        <f>IFERROR(VLOOKUP(VLOOKUP($A267,T_TraitDi[#Data],COLUMN(T_TraitDi[[#This Row],[Type1]]),FALSE),TypeTW,2,FALSE),"")</f>
        <v/>
      </c>
      <c r="BU267" s="182" t="str">
        <f>IFERROR(VLOOKUP($A267,T_TraitDi[#Data],COLUMN(T_TraitDi[[#This Row],[Rue1]]),FALSE),"")</f>
        <v/>
      </c>
      <c r="BV267" s="173" t="str">
        <f>IFERROR(VLOOKUP($A267,T_TraitDi[#Data],COLUMN(T_TraitDi[[#This Row],[CP1]]),FALSE),"")</f>
        <v/>
      </c>
      <c r="BW267" s="173" t="str">
        <f>IFERROR(VLOOKUP($A267,T_TraitDi[#Data],COLUMN(T_TraitDi[[#This Row],[VILLE1]]),FALSE),"")</f>
        <v/>
      </c>
      <c r="BX267" s="182" t="str">
        <f>IFERROR(VLOOKUP(VLOOKUP($A267,T_TraitDi[#Data],COLUMN(T_TraitDi[[#This Row],[Type2]]),FALSE),TypeTW,2,FALSE),"")</f>
        <v/>
      </c>
      <c r="BY267" s="182" t="str">
        <f>IFERROR(VLOOKUP($A267,T_TraitDi[#Data],COLUMN(T_TraitDi[[#This Row],[Rue2]]),FALSE),"")</f>
        <v/>
      </c>
      <c r="BZ267" s="173" t="str">
        <f>IFERROR(VLOOKUP($A267,T_TraitDi[#Data],COLUMN(T_TraitDi[[#This Row],[CP2]]),FALSE),"")</f>
        <v/>
      </c>
      <c r="CA267" s="173" t="str">
        <f>IFERROR(VLOOKUP($A267,T_TraitDi[#Data],COLUMN(T_TraitDi[[#This Row],[VILLE2]]),FALSE),"")</f>
        <v/>
      </c>
      <c r="CB267" s="182" t="str">
        <f>IF(VLOOKUP(T_BilanSocial[[#This Row],[NumL]],T_Equipement[#Data],COLUMN(T_Equipement[[#This Row],[PC]]),FALSE)="","Aucun équipement spécifique directement lié au télétravail",VLOOKUP(T_BilanSocial[[#This Row],[NumL]],T_Equipement[#Data],COLUMN(T_Equipement[[#This Row],[PC]]),FALSE))</f>
        <v>20-629</v>
      </c>
      <c r="CC267" s="166" t="str">
        <f>IFERROR(IF(VLOOKUP(T_BilanSocial[[#This Row],[NumL]],T_TraitDi[#Data],COLUMN(T_TraitDi[[#This Row],[Plan]]),FALSE)="OK","Un planning spécifique de télétravail est annexé à la présente convention.",""),"")</f>
        <v/>
      </c>
      <c r="CD267" s="185"/>
      <c r="CE267" s="164" t="e">
        <f>IF(VLOOKUP(T_BilanSocial[[#This Row],[NumL]],T_suiviDi[#Data],COLUMN(T_suiviDi[[#This Row],[Entité]]),FALSE)="","",VLOOKUP(T_BilanSocial[[#This Row],[NumL]],T_suiviDi[#Data],COLUMN(T_suiviDi[[#This Row],[Entité]]),FALSE))</f>
        <v>#VALUE!</v>
      </c>
      <c r="CF267" s="164" t="str">
        <f>IF(VLOOKUP(T_BilanSocial[[#This Row],[NumL]],T_Commission[#Data],COLUMN(T_Commission[[#This Row],[envoi confirm TW]]),FALSE)="","",VLOOKUP(T_BilanSocial[[#This Row],[NumL]],T_Commission[#Data],COLUMN(T_Commission[[#This Row],[envoi confirm TW]]),FALSE))</f>
        <v>Oui</v>
      </c>
      <c r="CG267"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7" s="262" t="str">
        <f>T_BilanSocial[[#This Row],[Nom]]&amp;T_BilanSocial[[#This Row],[Prenom]]</f>
        <v>AAnne-Sophie</v>
      </c>
      <c r="CI267" s="262">
        <f>VLOOKUP(T_BilanSocial[[#This Row],[NumL]],T_Commission[#Data],COLUMN(T_Commission[Commentaire]),FALSE)</f>
        <v>0</v>
      </c>
      <c r="CJ267" s="262" t="str">
        <f>IF(VLOOKUP(T_BilanSocial[[#This Row],[NumL]],T_Commission[#Data],COLUMN(T_Commission[Encadrant Email]),FALSE)="","",VLOOKUP(T_BilanSocial[[#This Row],[NumL]],T_Commission[#Data],COLUMN(T_Commission[Encadrant Email]),FALSE))</f>
        <v/>
      </c>
      <c r="CK267" s="340" t="str">
        <f>IF(T_BilanSocial[[#This Row],[Final]]&lt;&gt;"",VLOOKUP(T_BilanSocial[[#This Row],[NumL]],T_suiviDi[#Data],COLUMN((T_suiviDi[Statut])),FALSE),"")</f>
        <v>NOUV</v>
      </c>
    </row>
    <row r="268" spans="1:89" s="106" customFormat="1" ht="24.75" customHeight="1" x14ac:dyDescent="0.25">
      <c r="A268" s="160">
        <v>265</v>
      </c>
      <c r="B268" s="161" t="str">
        <f t="shared" si="45"/>
        <v/>
      </c>
      <c r="C268" s="162" t="s">
        <v>173</v>
      </c>
      <c r="D268" s="95" t="e">
        <f>IF(VLOOKUP(T_BilanSocial[[#This Row],[NumL]],T_TraitDi[#Data],COLUMN(T_TraitDi[[#This Row],[WebC]]),FALSE)="","",VLOOKUP(T_BilanSocial[[#This Row],[NumL]],T_TraitDi[#Data],COLUMN(T_TraitDi[[#This Row],[WebC]]),FALSE))</f>
        <v>#VALUE!</v>
      </c>
      <c r="E268" s="163" t="str">
        <f t="shared" si="46"/>
        <v>12 janvier 2021</v>
      </c>
      <c r="F268" s="96" t="str">
        <f>IF(T_BilanSocial[[#This Row],[Final]]&lt;&gt;"",VLOOKUP(T_BilanSocial[[#This Row],[NumL]],T_suiviDi[#Data],COLUMN((T_suiviDi[Civ.])),FALSE),"")</f>
        <v/>
      </c>
      <c r="G268" s="96" t="str">
        <f>IF(T_BilanSocial[[#This Row],[Final]]&lt;&gt;"",VLOOKUP(T_BilanSocial[[#This Row],[NumL]],T_suiviDi[#Data],COLUMN((T_suiviDi[Nom])),FALSE),"")</f>
        <v/>
      </c>
      <c r="H268" s="96" t="str">
        <f>IF(T_BilanSocial[[#This Row],[Final]]&lt;&gt;"",VLOOKUP(T_BilanSocial[[#This Row],[NumL]],T_suiviDi[#Data],COLUMN((T_suiviDi[Prénom])),FALSE),"")</f>
        <v/>
      </c>
      <c r="I268" s="96" t="str">
        <f>IFERROR(VLOOKUP(T_BilanSocial[[#This Row],[Zone_Bilan]],T_P_BilanSocial[#Data],COLUMN(T_P_BilanSocial[[#This Row],[Numero_SIHAM]]),FALSE),"")</f>
        <v/>
      </c>
      <c r="J268" s="96" t="str">
        <f>IFERROR(VLOOKUP(T_BilanSocial[[#This Row],[Zone_Bilan]],T_P_BilanSocial[#Data],COLUMN(T_P_BilanSocial[[#This Row],[Sexe]]),FALSE),"")</f>
        <v/>
      </c>
      <c r="K268" s="97" t="str">
        <f>IFERROR(VLOOKUP(T_BilanSocial[[#This Row],[Zone_Bilan]],T_P_BilanSocial[#Data],COLUMN(T_P_BilanSocial[[#This Row],[Categorie]]),FALSE),"")</f>
        <v/>
      </c>
      <c r="L268" s="96" t="str">
        <f>IFERROR(VLOOKUP(T_BilanSocial[[#This Row],[Zone_Bilan]],T_P_BilanSocial[#Data],COLUMN(T_P_BilanSocial[[#This Row],[Statut]]),FALSE),"")</f>
        <v/>
      </c>
      <c r="M268" s="96" t="str">
        <f>IFERROR(VLOOKUP(T_BilanSocial[[#This Row],[Zone_Bilan]],T_P_BilanSocial[#Data],COLUMN(T_P_BilanSocial[[#This Row],[Filiere]]),FALSE),"")</f>
        <v/>
      </c>
      <c r="N268" s="96" t="e">
        <f>VLOOKUP(T_BilanSocial[[#This Row],[NumL]],T_TraitDi[#Data],COLUMN(T_TraitDi[EXP]),FALSE)</f>
        <v>#N/A</v>
      </c>
      <c r="O268" s="96" t="e">
        <f>VLOOKUP(T_BilanSocial[[#This Row],[NumL]],T_TraitDi[#Data],COLUMN(T_TraitDi[FORM]),FALSE)</f>
        <v>#N/A</v>
      </c>
      <c r="P268" s="96" t="str">
        <f>IF(T_BilanSocial[[#This Row],[Final]]&lt;&gt;"",VLOOKUP(T_BilanSocial[[#This Row],[NumL]],T_suiviDi[#Data],COLUMN((T_suiviDi[Email])),FALSE),"")</f>
        <v/>
      </c>
      <c r="Q268" s="164" t="e">
        <f t="shared" si="40"/>
        <v>#N/A</v>
      </c>
      <c r="R268" s="164" t="e">
        <f t="shared" si="41"/>
        <v>#N/A</v>
      </c>
      <c r="S268" s="164" t="e">
        <f>IF(VLOOKUP(T_BilanSocial[[#This Row],[NumL]],T_suiviDi[#Data],COLUMN(T_suiviDi[[#This Row],[Service ]]),FALSE)="","",VLOOKUP(T_BilanSocial[[#This Row],[NumL]],T_suiviDi[#Data],COLUMN(T_suiviDi[[#This Row],[Service ]]),FALSE))</f>
        <v>#VALUE!</v>
      </c>
      <c r="T268" s="164" t="str">
        <f t="shared" si="47"/>
        <v>01 septembre 2021</v>
      </c>
      <c r="U268" s="164" t="str">
        <f t="shared" si="48"/>
        <v>30 novembre 2021</v>
      </c>
      <c r="V268" s="96" t="str">
        <f t="shared" ref="V268:V278" si="51">TEXT(Datebilan,"jj mmmm aaaa")</f>
        <v>30 novembre 2021</v>
      </c>
      <c r="W268" s="176" t="e">
        <f>IF(VLOOKUP(T_BilanSocial[[#This Row],[NumL]],T_TraitDi[#Data],COLUMN(T_TraitDi[[#This Row],[M1]]),FALSE)="","",VLOOKUP(T_BilanSocial[[#This Row],[NumL]],T_TraitDi[#Data],COLUMN(T_TraitDi[[#This Row],[M1]]),FALSE))</f>
        <v>#VALUE!</v>
      </c>
      <c r="X268" s="176" t="e">
        <f>IF(VLOOKUP(T_BilanSocial[[#This Row],[NumL]],T_TraitDi[#Data],COLUMN(T_TraitDi[[#This Row],[M2]]),FALSE)="","",VLOOKUP(T_BilanSocial[[#This Row],[NumL]],T_TraitDi[#Data],COLUMN(T_TraitDi[[#This Row],[M2]]),FALSE))</f>
        <v>#VALUE!</v>
      </c>
      <c r="Y268" s="176" t="e">
        <f>IF(VLOOKUP(T_BilanSocial[[#This Row],[NumL]],T_TraitDi[#Data],COLUMN(T_TraitDi[[#This Row],[M3]]),FALSE)="","",VLOOKUP(T_BilanSocial[[#This Row],[NumL]],T_TraitDi[#Data],COLUMN(T_TraitDi[[#This Row],[M3]]),FALSE))</f>
        <v>#VALUE!</v>
      </c>
      <c r="Z268" s="176" t="str">
        <f t="shared" si="50"/>
        <v/>
      </c>
      <c r="AA268" s="176" t="e">
        <f>IF(VLOOKUP(T_BilanSocial[[#This Row],[NumL]],T_TraitDi[#Data],COLUMN(T_TraitDi[[#This Row],[M5]]),FALSE)="","",VLOOKUP(T_BilanSocial[[#This Row],[NumL]],T_TraitDi[#Data],COLUMN(T_TraitDi[[#This Row],[M5]]),FALSE))</f>
        <v>#VALUE!</v>
      </c>
      <c r="AB268" s="176" t="e">
        <f>IF(VLOOKUP(T_BilanSocial[[#This Row],[NumL]],T_TraitDi[#Data],COLUMN(T_TraitDi[[#This Row],[M6]]),FALSE)="","",VLOOKUP(T_BilanSocial[[#This Row],[NumL]],T_TraitDi[#Data],COLUMN(T_TraitDi[[#This Row],[M6]]),FALSE))</f>
        <v>#VALUE!</v>
      </c>
      <c r="AC268" s="165" t="e">
        <f t="shared" si="49"/>
        <v>#VALUE!</v>
      </c>
      <c r="AD268" s="188" t="str">
        <f>IFERROR(TEXT(VLOOKUP(T_BilanSocial[[#This Row],[NumL]],T_TraitDi[#Data],COLUMN(T_TraitDi[[#This Row],[Q2]]),FALSE),"###%"),"")</f>
        <v/>
      </c>
      <c r="AE268" s="97" t="e">
        <f>VLOOKUP(T_BilanSocial[[#This Row],[NumL]],T_TraitDi[#Data],COLUMN(T_TraitDi[[#This Row],[Reg Ponct]]),FALSE)</f>
        <v>#VALUE!</v>
      </c>
      <c r="AF268" s="97" t="e">
        <f>VLOOKUP(T_BilanSocial[NumL],T_TraitDi[#Data],COLUMN(T_TraitDi[[#This Row],[Jours flottants]]),FALSE)</f>
        <v>#VALUE!</v>
      </c>
      <c r="AG268" s="97" t="str">
        <f>IFERROR(VLOOKUP(T_BilanSocial[[#This Row],[NumL]],T_TraitDi[#Data],COLUMN(T_TraitDi[[#This Row],[Lundi]]),FALSE),"")</f>
        <v/>
      </c>
      <c r="AH268" s="172" t="e">
        <f>IF(VLOOKUP(T_BilanSocial[[#This Row],[NumL]],T_TraitDi[#Data],COLUMN(T_TraitDi[[#This Row],[Colonne3]]),FALSE)=0,"",TEXT(IFERROR(VLOOKUP(T_BilanSocial[[#This Row],[NumL]],T_TraitDi[#Data],COLUMN(T_TraitDi[[#This Row],[Colonne3]]),FALSE),""),"[hh]:mm"))</f>
        <v>#VALUE!</v>
      </c>
      <c r="AI268" s="172" t="e">
        <f>IF(VLOOKUP(T_BilanSocial[[#This Row],[NumL]],T_TraitDi[#Data],COLUMN(T_TraitDi[[#This Row],[Colonne4]]),FALSE)=0,"",TEXT(IFERROR(VLOOKUP(T_BilanSocial[[#This Row],[NumL]],T_TraitDi[#Data],COLUMN(T_TraitDi[[#This Row],[Colonne4]]),FALSE),""),"[hh]:mm"))</f>
        <v>#VALUE!</v>
      </c>
      <c r="AJ268" s="172" t="e">
        <f>IF(VLOOKUP(T_BilanSocial[[#This Row],[NumL]],T_TraitDi[#Data],COLUMN(T_TraitDi[[#This Row],[Colonne5]]),FALSE)=0,"",TEXT(IFERROR(VLOOKUP(T_BilanSocial[[#This Row],[NumL]],T_TraitDi[#Data],COLUMN(T_TraitDi[[#This Row],[Colonne5]]),FALSE),""),"[hh]:mm"))</f>
        <v>#VALUE!</v>
      </c>
      <c r="AK268" s="172" t="e">
        <f>IF(VLOOKUP(T_BilanSocial[[#This Row],[NumL]],T_TraitDi[#Data],COLUMN(T_TraitDi[[#This Row],[Colonne6]]),FALSE)=0,"",TEXT(IFERROR(VLOOKUP(T_BilanSocial[[#This Row],[NumL]],T_TraitDi[#Data],COLUMN(T_TraitDi[[#This Row],[Colonne6]]),FALSE),""),"[hh]:mm"))</f>
        <v>#VALUE!</v>
      </c>
      <c r="AL268" s="172" t="e">
        <f>IF(VLOOKUP(T_BilanSocial[[#This Row],[NumL]],T_TraitDi[#Data],COLUMN(T_TraitDi[[#This Row],[Colonne7]]),FALSE)=0,"",TEXT(IFERROR(VLOOKUP(T_BilanSocial[[#This Row],[NumL]],T_TraitDi[#Data],COLUMN(T_TraitDi[[#This Row],[Colonne7]]),FALSE),""),"[hh]:mm"))</f>
        <v>#VALUE!</v>
      </c>
      <c r="AM268" s="172" t="e">
        <f>IF(VLOOKUP(T_BilanSocial[[#This Row],[NumL]],T_TraitDi[#Data],COLUMN(T_TraitDi[[#This Row],[Colonne8]]),FALSE)=0,"",TEXT(IFERROR(VLOOKUP(T_BilanSocial[[#This Row],[NumL]],T_TraitDi[#Data],COLUMN(T_TraitDi[[#This Row],[Colonne8]]),FALSE),""),"[hh]:mm"))</f>
        <v>#VALUE!</v>
      </c>
      <c r="AN268" s="172" t="str">
        <f>IFERROR(VLOOKUP(T_BilanSocial[[#This Row],[NumL]],T_TraitDi[#Data],COLUMN(T_TraitDi[[#This Row],[Mardi]]),FALSE),"")</f>
        <v/>
      </c>
      <c r="AO268" s="172" t="e">
        <f>IF(VLOOKUP(T_BilanSocial[[#This Row],[NumL]],T_TraitDi[#Data],COLUMN(T_TraitDi[[#This Row],[Colonne1]]),FALSE)=0,"",TEXT(IFERROR(VLOOKUP(T_BilanSocial[[#This Row],[NumL]],T_TraitDi[#Data],COLUMN(T_TraitDi[[#This Row],[Colonne1]]),FALSE),""),"[hh]:mm"))</f>
        <v>#VALUE!</v>
      </c>
      <c r="AP268" s="172" t="e">
        <f>IF(VLOOKUP(T_BilanSocial[[#This Row],[NumL]],T_TraitDi[#Data],COLUMN(T_TraitDi[[#This Row],[Colonne9]]),FALSE)=0,"",TEXT(IFERROR(VLOOKUP(T_BilanSocial[[#This Row],[NumL]],T_TraitDi[#Data],COLUMN(T_TraitDi[[#This Row],[Colonne9]]),FALSE),""),"[hh]:mm"))</f>
        <v>#VALUE!</v>
      </c>
      <c r="AQ268" s="172" t="str">
        <f>IFERROR(VLOOKUP(T_BilanSocial[[#This Row],[NumL]],T_TraitDi[#Data],COLUMN(T_TraitDi[[#This Row],[Colonne10]]),FALSE),"")</f>
        <v/>
      </c>
      <c r="AR268" s="172" t="e">
        <f>IF(VLOOKUP(T_BilanSocial[[#This Row],[NumL]],T_TraitDi[#Data],COLUMN(T_TraitDi[[#This Row],[Colonne11]]),FALSE)=0,"",TEXT(IFERROR(VLOOKUP(T_BilanSocial[[#This Row],[NumL]],T_TraitDi[#Data],COLUMN(T_TraitDi[[#This Row],[Colonne11]]),FALSE),""),"[hh]:mm"))</f>
        <v>#VALUE!</v>
      </c>
      <c r="AS268" s="172" t="e">
        <f>IF(VLOOKUP(T_BilanSocial[[#This Row],[NumL]],T_TraitDi[#Data],COLUMN(T_TraitDi[[#This Row],[Colonne12]]),FALSE)=0,"",TEXT(IFERROR(VLOOKUP(T_BilanSocial[[#This Row],[NumL]],T_TraitDi[#Data],COLUMN(T_TraitDi[[#This Row],[Colonne12]]),FALSE),""),"[hh]:mm"))</f>
        <v>#VALUE!</v>
      </c>
      <c r="AT268" s="172" t="e">
        <f>IF(VLOOKUP(T_BilanSocial[[#This Row],[NumL]],T_TraitDi[#Data],COLUMN(T_TraitDi[[#This Row],[Colonne14]]),FALSE)=0,"",TEXT(IFERROR(VLOOKUP(T_BilanSocial[[#This Row],[NumL]],T_TraitDi[#Data],COLUMN(T_TraitDi[[#This Row],[Colonne14]]),FALSE),""),"[hh]:mm"))</f>
        <v>#VALUE!</v>
      </c>
      <c r="AU268" s="172" t="str">
        <f>IFERROR(VLOOKUP(T_BilanSocial[[#This Row],[NumL]],T_TraitDi[#Data],COLUMN(T_TraitDi[[#This Row],[Mercredi]]),FALSE),"")</f>
        <v/>
      </c>
      <c r="AV268" s="172" t="e">
        <f>IF(VLOOKUP(T_BilanSocial[[#This Row],[NumL]],T_TraitDi[#Data],COLUMN(T_TraitDi[[#This Row],[Colonne15]]),FALSE)=0,"",TEXT(IFERROR(VLOOKUP(T_BilanSocial[[#This Row],[NumL]],T_TraitDi[#Data],COLUMN(T_TraitDi[[#This Row],[Colonne15]]),FALSE),""),"[hh]:mm"))</f>
        <v>#VALUE!</v>
      </c>
      <c r="AW268" s="172" t="e">
        <f>IF(VLOOKUP(T_BilanSocial[[#This Row],[NumL]],T_TraitDi[#Data],COLUMN(T_TraitDi[[#This Row],[Colonne16]]),FALSE)=0,"",TEXT(IFERROR(VLOOKUP(T_BilanSocial[[#This Row],[NumL]],T_TraitDi[#Data],COLUMN(T_TraitDi[[#This Row],[Colonne16]]),FALSE),""),"[hh]:mm"))</f>
        <v>#VALUE!</v>
      </c>
      <c r="AX268" s="172" t="str">
        <f>IFERROR(VLOOKUP(T_BilanSocial[[#This Row],[NumL]],T_TraitDi[#Data],COLUMN(T_TraitDi[[#This Row],[Colonne17]]),FALSE),"")</f>
        <v/>
      </c>
      <c r="AY268" s="172" t="e">
        <f>IF(VLOOKUP(T_BilanSocial[[#This Row],[NumL]],T_TraitDi[#Data],COLUMN(T_TraitDi[[#This Row],[Colonne18]]),FALSE)=0,"",TEXT(IFERROR(VLOOKUP(T_BilanSocial[[#This Row],[NumL]],T_TraitDi[#Data],COLUMN(T_TraitDi[[#This Row],[Colonne18]]),FALSE),""),"[hh]:mm"))</f>
        <v>#VALUE!</v>
      </c>
      <c r="AZ268" s="172" t="e">
        <f>IF(VLOOKUP(T_BilanSocial[[#This Row],[NumL]],T_TraitDi[#Data],COLUMN(T_TraitDi[[#This Row],[Colonne19]]),FALSE)=0,"",TEXT(IFERROR(VLOOKUP(T_BilanSocial[[#This Row],[NumL]],T_TraitDi[#Data],COLUMN(T_TraitDi[[#This Row],[Colonne19]]),FALSE),""),"[hh]:mm"))</f>
        <v>#VALUE!</v>
      </c>
      <c r="BA268" s="172" t="e">
        <f>IF(VLOOKUP(T_BilanSocial[[#This Row],[NumL]],T_TraitDi[#Data],COLUMN(T_TraitDi[[#This Row],[Colonne20]]),FALSE)=0,"",TEXT(IFERROR(VLOOKUP(T_BilanSocial[[#This Row],[NumL]],T_TraitDi[#Data],COLUMN(T_TraitDi[[#This Row],[Colonne20]]),FALSE),""),"[hh]:mm"))</f>
        <v>#VALUE!</v>
      </c>
      <c r="BB268" s="178" t="str">
        <f>IFERROR(VLOOKUP(T_BilanSocial[[#This Row],[NumL]],T_TraitDi[#Data],COLUMN(T_TraitDi[[#This Row],[Jeudi]]),FALSE),"")</f>
        <v/>
      </c>
      <c r="BC268" s="178" t="e">
        <f>IF(VLOOKUP(T_BilanSocial[[#This Row],[NumL]],T_TraitDi[#Data],COLUMN(T_TraitDi[[#This Row],[Colonne21]]),FALSE)=0,"",TEXT(IFERROR(VLOOKUP(T_BilanSocial[[#This Row],[NumL]],T_TraitDi[#Data],COLUMN(T_TraitDi[[#This Row],[Colonne21]]),FALSE),""),"[hh]:mm"))</f>
        <v>#VALUE!</v>
      </c>
      <c r="BD268" s="178" t="e">
        <f>IF(VLOOKUP(T_BilanSocial[[#This Row],[NumL]],T_TraitDi[#Data],COLUMN(T_TraitDi[[#This Row],[Colonne22]]),FALSE)=0,"",TEXT(IFERROR(VLOOKUP(T_BilanSocial[[#This Row],[NumL]],T_TraitDi[#Data],COLUMN(T_TraitDi[[#This Row],[Colonne22]]),FALSE),""),"[hh]:mm"))</f>
        <v>#VALUE!</v>
      </c>
      <c r="BE268" s="178" t="str">
        <f>IFERROR(VLOOKUP(T_BilanSocial[[#This Row],[NumL]],T_TraitDi[#Data],COLUMN(T_TraitDi[[#This Row],[Colonne23]]),FALSE),"")</f>
        <v/>
      </c>
      <c r="BF268" s="178" t="e">
        <f>IF(VLOOKUP(T_BilanSocial[[#This Row],[NumL]],T_TraitDi[#Data],COLUMN(T_TraitDi[[#This Row],[Colonne24]]),FALSE)=0,"",TEXT(IFERROR(VLOOKUP(T_BilanSocial[[#This Row],[NumL]],T_TraitDi[#Data],COLUMN(T_TraitDi[[#This Row],[Colonne24]]),FALSE),""),"[hh]:mm"))</f>
        <v>#VALUE!</v>
      </c>
      <c r="BG268" s="178" t="e">
        <f>IF(VLOOKUP(T_BilanSocial[[#This Row],[NumL]],T_TraitDi[#Data],COLUMN(T_TraitDi[[#This Row],[Colonne25]]),FALSE)=0,"",TEXT(IFERROR(VLOOKUP(T_BilanSocial[[#This Row],[NumL]],T_TraitDi[#Data],COLUMN(T_TraitDi[[#This Row],[Colonne25]]),FALSE),""),"[hh]:mm"))</f>
        <v>#VALUE!</v>
      </c>
      <c r="BH268" s="178" t="e">
        <f>IF(VLOOKUP(T_BilanSocial[[#This Row],[NumL]],T_TraitDi[#Data],COLUMN(T_TraitDi[[#This Row],[Colonne26]]),FALSE)=0,"",TEXT(IFERROR(VLOOKUP(T_BilanSocial[[#This Row],[NumL]],T_TraitDi[#Data],COLUMN(T_TraitDi[[#This Row],[Colonne26]]),FALSE),""),"[hh]:mm"))</f>
        <v>#VALUE!</v>
      </c>
      <c r="BI268" s="172" t="str">
        <f>IFERROR(VLOOKUP(T_BilanSocial[[#This Row],[NumL]],T_TraitDi[#Data],COLUMN(T_TraitDi[[#This Row],[Vendredi]]),FALSE),"")</f>
        <v/>
      </c>
      <c r="BJ268" s="172" t="e">
        <f>IF(VLOOKUP(T_BilanSocial[[#This Row],[NumL]],T_TraitDi[#Data],COLUMN(T_TraitDi[[#This Row],[Colonne27]]),FALSE)=0,"",TEXT(IFERROR(VLOOKUP(T_BilanSocial[[#This Row],[NumL]],T_TraitDi[#Data],COLUMN(T_TraitDi[[#This Row],[Colonne27]]),FALSE),""),"[hh]:mm"))</f>
        <v>#VALUE!</v>
      </c>
      <c r="BK268" s="172" t="e">
        <f>IF(VLOOKUP(T_BilanSocial[[#This Row],[NumL]],T_TraitDi[#Data],COLUMN(T_TraitDi[[#This Row],[Colonne28]]),FALSE)=0,"",TEXT(IFERROR(VLOOKUP(T_BilanSocial[[#This Row],[NumL]],T_TraitDi[#Data],COLUMN(T_TraitDi[[#This Row],[Colonne28]]),FALSE),""),"[hh]:mm"))</f>
        <v>#VALUE!</v>
      </c>
      <c r="BL268" s="172" t="str">
        <f>IFERROR(VLOOKUP(T_BilanSocial[[#This Row],[NumL]],T_TraitDi[#Data],COLUMN(T_TraitDi[[#This Row],[Colonne29]]),FALSE),"")</f>
        <v/>
      </c>
      <c r="BM268" s="172" t="e">
        <f>IF(VLOOKUP(T_BilanSocial[[#This Row],[NumL]],T_TraitDi[#Data],COLUMN(T_TraitDi[[#This Row],[Colonne30]]),FALSE)=0,"",TEXT(IFERROR(VLOOKUP(T_BilanSocial[[#This Row],[NumL]],T_TraitDi[#Data],COLUMN(T_TraitDi[[#This Row],[Colonne30]]),FALSE),""),"[hh]:mm"))</f>
        <v>#VALUE!</v>
      </c>
      <c r="BN268" s="172" t="e">
        <f>IF(VLOOKUP(T_BilanSocial[[#This Row],[NumL]],T_TraitDi[#Data],COLUMN(T_TraitDi[[#This Row],[Colonne31]]),FALSE)=0,"",TEXT(IFERROR(VLOOKUP(T_BilanSocial[[#This Row],[NumL]],T_TraitDi[#Data],COLUMN(T_TraitDi[[#This Row],[Colonne31]]),FALSE),""),"[hh]:mm"))</f>
        <v>#VALUE!</v>
      </c>
      <c r="BO268" s="172" t="e">
        <f>IF(VLOOKUP(T_BilanSocial[[#This Row],[NumL]],T_TraitDi[#Data],COLUMN(T_TraitDi[[#This Row],[Colonne32]]),FALSE)=0,"",TEXT(IFERROR(VLOOKUP(T_BilanSocial[[#This Row],[NumL]],T_TraitDi[#Data],COLUMN(T_TraitDi[[#This Row],[Colonne32]]),FALSE),""),"[hh]:mm"))</f>
        <v>#VALUE!</v>
      </c>
      <c r="BP268" s="172" t="e">
        <f>VLOOKUP(T_BilanSocial[[#This Row],[NumL]],T_TraitDi[#Data],COLUMN(T_TraitDi[NbJTot]),FALSE)</f>
        <v>#N/A</v>
      </c>
      <c r="BQ268" s="174" t="str">
        <f>IFERROR(VLOOKUP(T_BilanSocial[[#This Row],[NumL]],T_TraitDi[#Data],COLUMN(T_TraitDi[[#This Row],[NbJTW]]),FALSE),"")</f>
        <v/>
      </c>
      <c r="BR268" s="174" t="e">
        <f>IF(VLOOKUP(T_BilanSocial[[#This Row],[NumL]],T_TraitDi[#Data],COLUMN(T_TraitDi[[#This Row],[NbhTW]]),FALSE)=0,"",TEXT(IFERROR(VLOOKUP(T_BilanSocial[[#This Row],[NumL]],T_TraitDi[#Data],COLUMN(T_TraitDi[[#This Row],[NbhTW]]),FALSE),""),"[hh]:mm"))</f>
        <v>#VALUE!</v>
      </c>
      <c r="BS268" s="174" t="e">
        <f>IF(VLOOKUP(T_BilanSocial[[#This Row],[NumL]],T_TraitDi[#Data],COLUMN(T_TraitDi[[#This Row],[Nbhheb]]),FALSE)=0,"",TEXT(IFERROR(VLOOKUP($A268,T_TraitDi[#Data],COLUMN(T_TraitDi[[#This Row],[Nbhheb]]),FALSE),""),"[hh]:mm"))</f>
        <v>#VALUE!</v>
      </c>
      <c r="BT268" s="182" t="str">
        <f>IFERROR(VLOOKUP(VLOOKUP($A268,T_TraitDi[#Data],COLUMN(T_TraitDi[[#This Row],[Type1]]),FALSE),TypeTW,2,FALSE),"")</f>
        <v/>
      </c>
      <c r="BU268" s="182" t="str">
        <f>IFERROR(VLOOKUP($A268,T_TraitDi[#Data],COLUMN(T_TraitDi[[#This Row],[Rue1]]),FALSE),"")</f>
        <v/>
      </c>
      <c r="BV268" s="173" t="str">
        <f>IFERROR(VLOOKUP($A268,T_TraitDi[#Data],COLUMN(T_TraitDi[[#This Row],[CP1]]),FALSE),"")</f>
        <v/>
      </c>
      <c r="BW268" s="173" t="str">
        <f>IFERROR(VLOOKUP($A268,T_TraitDi[#Data],COLUMN(T_TraitDi[[#This Row],[VILLE1]]),FALSE),"")</f>
        <v/>
      </c>
      <c r="BX268" s="182" t="str">
        <f>IFERROR(VLOOKUP(VLOOKUP($A268,T_TraitDi[#Data],COLUMN(T_TraitDi[[#This Row],[Type2]]),FALSE),TypeTW,2,FALSE),"")</f>
        <v/>
      </c>
      <c r="BY268" s="182" t="str">
        <f>IFERROR(VLOOKUP($A268,T_TraitDi[#Data],COLUMN(T_TraitDi[[#This Row],[Rue2]]),FALSE),"")</f>
        <v/>
      </c>
      <c r="BZ268" s="173" t="str">
        <f>IFERROR(VLOOKUP($A268,T_TraitDi[#Data],COLUMN(T_TraitDi[[#This Row],[CP2]]),FALSE),"")</f>
        <v/>
      </c>
      <c r="CA268" s="173" t="str">
        <f>IFERROR(VLOOKUP($A268,T_TraitDi[#Data],COLUMN(T_TraitDi[[#This Row],[VILLE2]]),FALSE),"")</f>
        <v/>
      </c>
      <c r="CB268" s="182" t="str">
        <f>IF(VLOOKUP(T_BilanSocial[[#This Row],[NumL]],T_Equipement[#Data],COLUMN(T_Equipement[[#This Row],[PC]]),FALSE)="","Aucun équipement spécifique directement lié au télétravail",VLOOKUP(T_BilanSocial[[#This Row],[NumL]],T_Equipement[#Data],COLUMN(T_Equipement[[#This Row],[PC]]),FALSE))</f>
        <v xml:space="preserve">20-390	</v>
      </c>
      <c r="CC268" s="166" t="str">
        <f>IFERROR(IF(VLOOKUP(T_BilanSocial[[#This Row],[NumL]],T_TraitDi[#Data],COLUMN(T_TraitDi[[#This Row],[Plan]]),FALSE)="OK","Un planning spécifique de télétravail est annexé à la présente convention.",""),"")</f>
        <v/>
      </c>
      <c r="CD268" s="185"/>
      <c r="CE268" s="164" t="e">
        <f>IF(VLOOKUP(T_BilanSocial[[#This Row],[NumL]],T_suiviDi[#Data],COLUMN(T_suiviDi[[#This Row],[Entité]]),FALSE)="","",VLOOKUP(T_BilanSocial[[#This Row],[NumL]],T_suiviDi[#Data],COLUMN(T_suiviDi[[#This Row],[Entité]]),FALSE))</f>
        <v>#VALUE!</v>
      </c>
      <c r="CF268" s="164" t="str">
        <f>IF(VLOOKUP(T_BilanSocial[[#This Row],[NumL]],T_Commission[#Data],COLUMN(T_Commission[[#This Row],[envoi confirm TW]]),FALSE)="","",VLOOKUP(T_BilanSocial[[#This Row],[NumL]],T_Commission[#Data],COLUMN(T_Commission[[#This Row],[envoi confirm TW]]),FALSE))</f>
        <v>Oui</v>
      </c>
      <c r="CG268"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8" s="262" t="str">
        <f>T_BilanSocial[[#This Row],[Nom]]&amp;T_BilanSocial[[#This Row],[Prenom]]</f>
        <v/>
      </c>
      <c r="CI268" s="262">
        <f>VLOOKUP(T_BilanSocial[[#This Row],[NumL]],T_Commission[#Data],COLUMN(T_Commission[Commentaire]),FALSE)</f>
        <v>0</v>
      </c>
      <c r="CJ268" s="262" t="str">
        <f>IF(VLOOKUP(T_BilanSocial[[#This Row],[NumL]],T_Commission[#Data],COLUMN(T_Commission[Encadrant Email]),FALSE)="","",VLOOKUP(T_BilanSocial[[#This Row],[NumL]],T_Commission[#Data],COLUMN(T_Commission[Encadrant Email]),FALSE))</f>
        <v/>
      </c>
      <c r="CK268" s="340" t="str">
        <f>IF(T_BilanSocial[[#This Row],[Final]]&lt;&gt;"",VLOOKUP(T_BilanSocial[[#This Row],[NumL]],T_suiviDi[#Data],COLUMN((T_suiviDi[Statut])),FALSE),"")</f>
        <v/>
      </c>
    </row>
    <row r="269" spans="1:89" s="106" customFormat="1" ht="24.75" customHeight="1" x14ac:dyDescent="0.25">
      <c r="A269" s="160">
        <v>266</v>
      </c>
      <c r="B269" s="161" t="str">
        <f t="shared" si="45"/>
        <v/>
      </c>
      <c r="C269" s="162" t="s">
        <v>173</v>
      </c>
      <c r="D269" s="95" t="e">
        <f>IF(VLOOKUP(T_BilanSocial[[#This Row],[NumL]],T_TraitDi[#Data],COLUMN(T_TraitDi[[#This Row],[WebC]]),FALSE)="","",VLOOKUP(T_BilanSocial[[#This Row],[NumL]],T_TraitDi[#Data],COLUMN(T_TraitDi[[#This Row],[WebC]]),FALSE))</f>
        <v>#VALUE!</v>
      </c>
      <c r="E269" s="163" t="str">
        <f t="shared" si="46"/>
        <v>12 janvier 2021</v>
      </c>
      <c r="F269" s="96" t="str">
        <f>IF(T_BilanSocial[[#This Row],[Final]]&lt;&gt;"",VLOOKUP(T_BilanSocial[[#This Row],[NumL]],T_suiviDi[#Data],COLUMN((T_suiviDi[Civ.])),FALSE),"")</f>
        <v/>
      </c>
      <c r="G269" s="96" t="str">
        <f>IF(T_BilanSocial[[#This Row],[Final]]&lt;&gt;"",VLOOKUP(T_BilanSocial[[#This Row],[NumL]],T_suiviDi[#Data],COLUMN((T_suiviDi[Nom])),FALSE),"")</f>
        <v/>
      </c>
      <c r="H269" s="96" t="str">
        <f>IF(T_BilanSocial[[#This Row],[Final]]&lt;&gt;"",VLOOKUP(T_BilanSocial[[#This Row],[NumL]],T_suiviDi[#Data],COLUMN((T_suiviDi[Prénom])),FALSE),"")</f>
        <v/>
      </c>
      <c r="I269" s="96" t="str">
        <f>IFERROR(VLOOKUP(T_BilanSocial[[#This Row],[Zone_Bilan]],T_P_BilanSocial[#Data],COLUMN(T_P_BilanSocial[[#This Row],[Numero_SIHAM]]),FALSE),"")</f>
        <v/>
      </c>
      <c r="J269" s="96" t="str">
        <f>IFERROR(VLOOKUP(T_BilanSocial[[#This Row],[Zone_Bilan]],T_P_BilanSocial[#Data],COLUMN(T_P_BilanSocial[[#This Row],[Sexe]]),FALSE),"")</f>
        <v/>
      </c>
      <c r="K269" s="97" t="str">
        <f>IFERROR(VLOOKUP(T_BilanSocial[[#This Row],[Zone_Bilan]],T_P_BilanSocial[#Data],COLUMN(T_P_BilanSocial[[#This Row],[Categorie]]),FALSE),"")</f>
        <v/>
      </c>
      <c r="L269" s="96" t="str">
        <f>IFERROR(VLOOKUP(T_BilanSocial[[#This Row],[Zone_Bilan]],T_P_BilanSocial[#Data],COLUMN(T_P_BilanSocial[[#This Row],[Statut]]),FALSE),"")</f>
        <v/>
      </c>
      <c r="M269" s="96" t="str">
        <f>IFERROR(VLOOKUP(T_BilanSocial[[#This Row],[Zone_Bilan]],T_P_BilanSocial[#Data],COLUMN(T_P_BilanSocial[[#This Row],[Filiere]]),FALSE),"")</f>
        <v/>
      </c>
      <c r="N269" s="96" t="e">
        <f>VLOOKUP(T_BilanSocial[[#This Row],[NumL]],T_TraitDi[#Data],COLUMN(T_TraitDi[EXP]),FALSE)</f>
        <v>#N/A</v>
      </c>
      <c r="O269" s="96" t="e">
        <f>VLOOKUP(T_BilanSocial[[#This Row],[NumL]],T_TraitDi[#Data],COLUMN(T_TraitDi[FORM]),FALSE)</f>
        <v>#N/A</v>
      </c>
      <c r="P269" s="96" t="str">
        <f>IF(T_BilanSocial[[#This Row],[Final]]&lt;&gt;"",VLOOKUP(T_BilanSocial[[#This Row],[NumL]],T_suiviDi[#Data],COLUMN((T_suiviDi[Email])),FALSE),"")</f>
        <v/>
      </c>
      <c r="Q269" s="164" t="e">
        <f t="shared" si="40"/>
        <v>#N/A</v>
      </c>
      <c r="R269" s="164" t="e">
        <f t="shared" si="41"/>
        <v>#N/A</v>
      </c>
      <c r="S269" s="164" t="e">
        <f>IF(VLOOKUP(T_BilanSocial[[#This Row],[NumL]],T_suiviDi[#Data],COLUMN(T_suiviDi[[#This Row],[Service ]]),FALSE)="","",VLOOKUP(T_BilanSocial[[#This Row],[NumL]],T_suiviDi[#Data],COLUMN(T_suiviDi[[#This Row],[Service ]]),FALSE))</f>
        <v>#VALUE!</v>
      </c>
      <c r="T269" s="164" t="str">
        <f t="shared" si="47"/>
        <v>01 septembre 2021</v>
      </c>
      <c r="U269" s="164" t="str">
        <f t="shared" si="48"/>
        <v>30 novembre 2021</v>
      </c>
      <c r="V269" s="164" t="str">
        <f t="shared" si="51"/>
        <v>30 novembre 2021</v>
      </c>
      <c r="W269" s="176" t="e">
        <f>IF(VLOOKUP(T_BilanSocial[[#This Row],[NumL]],T_TraitDi[#Data],COLUMN(T_TraitDi[[#This Row],[M1]]),FALSE)="","",VLOOKUP(T_BilanSocial[[#This Row],[NumL]],T_TraitDi[#Data],COLUMN(T_TraitDi[[#This Row],[M1]]),FALSE))</f>
        <v>#VALUE!</v>
      </c>
      <c r="X269" s="176" t="e">
        <f>IF(VLOOKUP(T_BilanSocial[[#This Row],[NumL]],T_TraitDi[#Data],COLUMN(T_TraitDi[[#This Row],[M2]]),FALSE)="","",VLOOKUP(T_BilanSocial[[#This Row],[NumL]],T_TraitDi[#Data],COLUMN(T_TraitDi[[#This Row],[M2]]),FALSE))</f>
        <v>#VALUE!</v>
      </c>
      <c r="Y269" s="176" t="e">
        <f>IF(VLOOKUP(T_BilanSocial[[#This Row],[NumL]],T_TraitDi[#Data],COLUMN(T_TraitDi[[#This Row],[M3]]),FALSE)="","",VLOOKUP(T_BilanSocial[[#This Row],[NumL]],T_TraitDi[#Data],COLUMN(T_TraitDi[[#This Row],[M3]]),FALSE))</f>
        <v>#VALUE!</v>
      </c>
      <c r="Z269" s="176" t="str">
        <f t="shared" si="50"/>
        <v/>
      </c>
      <c r="AA269" s="176" t="e">
        <f>IF(VLOOKUP(T_BilanSocial[[#This Row],[NumL]],T_TraitDi[#Data],COLUMN(T_TraitDi[[#This Row],[M5]]),FALSE)="","",VLOOKUP(T_BilanSocial[[#This Row],[NumL]],T_TraitDi[#Data],COLUMN(T_TraitDi[[#This Row],[M5]]),FALSE))</f>
        <v>#VALUE!</v>
      </c>
      <c r="AB269" s="176" t="e">
        <f>IF(VLOOKUP(T_BilanSocial[[#This Row],[NumL]],T_TraitDi[#Data],COLUMN(T_TraitDi[[#This Row],[M6]]),FALSE)="","",VLOOKUP(T_BilanSocial[[#This Row],[NumL]],T_TraitDi[#Data],COLUMN(T_TraitDi[[#This Row],[M6]]),FALSE))</f>
        <v>#VALUE!</v>
      </c>
      <c r="AC269" s="165" t="e">
        <f t="shared" si="49"/>
        <v>#VALUE!</v>
      </c>
      <c r="AD269" s="188" t="str">
        <f>IFERROR(TEXT(VLOOKUP(T_BilanSocial[[#This Row],[NumL]],T_TraitDi[#Data],COLUMN(T_TraitDi[[#This Row],[Q2]]),FALSE),"###%"),"")</f>
        <v/>
      </c>
      <c r="AE269" s="97" t="e">
        <f>VLOOKUP(T_BilanSocial[[#This Row],[NumL]],T_TraitDi[#Data],COLUMN(T_TraitDi[[#This Row],[Reg Ponct]]),FALSE)</f>
        <v>#VALUE!</v>
      </c>
      <c r="AF269" s="97" t="e">
        <f>VLOOKUP(T_BilanSocial[NumL],T_TraitDi[#Data],COLUMN(T_TraitDi[[#This Row],[Jours flottants]]),FALSE)</f>
        <v>#VALUE!</v>
      </c>
      <c r="AG269" s="97" t="str">
        <f>IFERROR(VLOOKUP(T_BilanSocial[[#This Row],[NumL]],T_TraitDi[#Data],COLUMN(T_TraitDi[[#This Row],[Lundi]]),FALSE),"")</f>
        <v/>
      </c>
      <c r="AH269" s="172" t="e">
        <f>IF(VLOOKUP(T_BilanSocial[[#This Row],[NumL]],T_TraitDi[#Data],COLUMN(T_TraitDi[[#This Row],[Colonne3]]),FALSE)=0,"",TEXT(IFERROR(VLOOKUP(T_BilanSocial[[#This Row],[NumL]],T_TraitDi[#Data],COLUMN(T_TraitDi[[#This Row],[Colonne3]]),FALSE),""),"[hh]:mm"))</f>
        <v>#VALUE!</v>
      </c>
      <c r="AI269" s="172" t="e">
        <f>IF(VLOOKUP(T_BilanSocial[[#This Row],[NumL]],T_TraitDi[#Data],COLUMN(T_TraitDi[[#This Row],[Colonne4]]),FALSE)=0,"",TEXT(IFERROR(VLOOKUP(T_BilanSocial[[#This Row],[NumL]],T_TraitDi[#Data],COLUMN(T_TraitDi[[#This Row],[Colonne4]]),FALSE),""),"[hh]:mm"))</f>
        <v>#VALUE!</v>
      </c>
      <c r="AJ269" s="172" t="e">
        <f>IF(VLOOKUP(T_BilanSocial[[#This Row],[NumL]],T_TraitDi[#Data],COLUMN(T_TraitDi[[#This Row],[Colonne5]]),FALSE)=0,"",TEXT(IFERROR(VLOOKUP(T_BilanSocial[[#This Row],[NumL]],T_TraitDi[#Data],COLUMN(T_TraitDi[[#This Row],[Colonne5]]),FALSE),""),"[hh]:mm"))</f>
        <v>#VALUE!</v>
      </c>
      <c r="AK269" s="172" t="e">
        <f>IF(VLOOKUP(T_BilanSocial[[#This Row],[NumL]],T_TraitDi[#Data],COLUMN(T_TraitDi[[#This Row],[Colonne6]]),FALSE)=0,"",TEXT(IFERROR(VLOOKUP(T_BilanSocial[[#This Row],[NumL]],T_TraitDi[#Data],COLUMN(T_TraitDi[[#This Row],[Colonne6]]),FALSE),""),"[hh]:mm"))</f>
        <v>#VALUE!</v>
      </c>
      <c r="AL269" s="172" t="e">
        <f>IF(VLOOKUP(T_BilanSocial[[#This Row],[NumL]],T_TraitDi[#Data],COLUMN(T_TraitDi[[#This Row],[Colonne7]]),FALSE)=0,"",TEXT(IFERROR(VLOOKUP(T_BilanSocial[[#This Row],[NumL]],T_TraitDi[#Data],COLUMN(T_TraitDi[[#This Row],[Colonne7]]),FALSE),""),"[hh]:mm"))</f>
        <v>#VALUE!</v>
      </c>
      <c r="AM269" s="172" t="e">
        <f>IF(VLOOKUP(T_BilanSocial[[#This Row],[NumL]],T_TraitDi[#Data],COLUMN(T_TraitDi[[#This Row],[Colonne8]]),FALSE)=0,"",TEXT(IFERROR(VLOOKUP(T_BilanSocial[[#This Row],[NumL]],T_TraitDi[#Data],COLUMN(T_TraitDi[[#This Row],[Colonne8]]),FALSE),""),"[hh]:mm"))</f>
        <v>#VALUE!</v>
      </c>
      <c r="AN269" s="172" t="str">
        <f>IFERROR(VLOOKUP(T_BilanSocial[[#This Row],[NumL]],T_TraitDi[#Data],COLUMN(T_TraitDi[[#This Row],[Mardi]]),FALSE),"")</f>
        <v/>
      </c>
      <c r="AO269" s="172" t="e">
        <f>IF(VLOOKUP(T_BilanSocial[[#This Row],[NumL]],T_TraitDi[#Data],COLUMN(T_TraitDi[[#This Row],[Colonne1]]),FALSE)=0,"",TEXT(IFERROR(VLOOKUP(T_BilanSocial[[#This Row],[NumL]],T_TraitDi[#Data],COLUMN(T_TraitDi[[#This Row],[Colonne1]]),FALSE),""),"[hh]:mm"))</f>
        <v>#VALUE!</v>
      </c>
      <c r="AP269" s="172" t="e">
        <f>IF(VLOOKUP(T_BilanSocial[[#This Row],[NumL]],T_TraitDi[#Data],COLUMN(T_TraitDi[[#This Row],[Colonne9]]),FALSE)=0,"",TEXT(IFERROR(VLOOKUP(T_BilanSocial[[#This Row],[NumL]],T_TraitDi[#Data],COLUMN(T_TraitDi[[#This Row],[Colonne9]]),FALSE),""),"[hh]:mm"))</f>
        <v>#VALUE!</v>
      </c>
      <c r="AQ269" s="172" t="str">
        <f>IFERROR(VLOOKUP(T_BilanSocial[[#This Row],[NumL]],T_TraitDi[#Data],COLUMN(T_TraitDi[[#This Row],[Colonne10]]),FALSE),"")</f>
        <v/>
      </c>
      <c r="AR269" s="172" t="e">
        <f>IF(VLOOKUP(T_BilanSocial[[#This Row],[NumL]],T_TraitDi[#Data],COLUMN(T_TraitDi[[#This Row],[Colonne11]]),FALSE)=0,"",TEXT(IFERROR(VLOOKUP(T_BilanSocial[[#This Row],[NumL]],T_TraitDi[#Data],COLUMN(T_TraitDi[[#This Row],[Colonne11]]),FALSE),""),"[hh]:mm"))</f>
        <v>#VALUE!</v>
      </c>
      <c r="AS269" s="172" t="e">
        <f>IF(VLOOKUP(T_BilanSocial[[#This Row],[NumL]],T_TraitDi[#Data],COLUMN(T_TraitDi[[#This Row],[Colonne12]]),FALSE)=0,"",TEXT(IFERROR(VLOOKUP(T_BilanSocial[[#This Row],[NumL]],T_TraitDi[#Data],COLUMN(T_TraitDi[[#This Row],[Colonne12]]),FALSE),""),"[hh]:mm"))</f>
        <v>#VALUE!</v>
      </c>
      <c r="AT269" s="172" t="e">
        <f>IF(VLOOKUP(T_BilanSocial[[#This Row],[NumL]],T_TraitDi[#Data],COLUMN(T_TraitDi[[#This Row],[Colonne14]]),FALSE)=0,"",TEXT(IFERROR(VLOOKUP(T_BilanSocial[[#This Row],[NumL]],T_TraitDi[#Data],COLUMN(T_TraitDi[[#This Row],[Colonne14]]),FALSE),""),"[hh]:mm"))</f>
        <v>#VALUE!</v>
      </c>
      <c r="AU269" s="172" t="str">
        <f>IFERROR(VLOOKUP(T_BilanSocial[[#This Row],[NumL]],T_TraitDi[#Data],COLUMN(T_TraitDi[[#This Row],[Mercredi]]),FALSE),"")</f>
        <v/>
      </c>
      <c r="AV269" s="172" t="e">
        <f>IF(VLOOKUP(T_BilanSocial[[#This Row],[NumL]],T_TraitDi[#Data],COLUMN(T_TraitDi[[#This Row],[Colonne15]]),FALSE)=0,"",TEXT(IFERROR(VLOOKUP(T_BilanSocial[[#This Row],[NumL]],T_TraitDi[#Data],COLUMN(T_TraitDi[[#This Row],[Colonne15]]),FALSE),""),"[hh]:mm"))</f>
        <v>#VALUE!</v>
      </c>
      <c r="AW269" s="172" t="e">
        <f>IF(VLOOKUP(T_BilanSocial[[#This Row],[NumL]],T_TraitDi[#Data],COLUMN(T_TraitDi[[#This Row],[Colonne16]]),FALSE)=0,"",TEXT(IFERROR(VLOOKUP(T_BilanSocial[[#This Row],[NumL]],T_TraitDi[#Data],COLUMN(T_TraitDi[[#This Row],[Colonne16]]),FALSE),""),"[hh]:mm"))</f>
        <v>#VALUE!</v>
      </c>
      <c r="AX269" s="172" t="str">
        <f>IFERROR(VLOOKUP(T_BilanSocial[[#This Row],[NumL]],T_TraitDi[#Data],COLUMN(T_TraitDi[[#This Row],[Colonne17]]),FALSE),"")</f>
        <v/>
      </c>
      <c r="AY269" s="172" t="e">
        <f>IF(VLOOKUP(T_BilanSocial[[#This Row],[NumL]],T_TraitDi[#Data],COLUMN(T_TraitDi[[#This Row],[Colonne18]]),FALSE)=0,"",TEXT(IFERROR(VLOOKUP(T_BilanSocial[[#This Row],[NumL]],T_TraitDi[#Data],COLUMN(T_TraitDi[[#This Row],[Colonne18]]),FALSE),""),"[hh]:mm"))</f>
        <v>#VALUE!</v>
      </c>
      <c r="AZ269" s="172" t="e">
        <f>IF(VLOOKUP(T_BilanSocial[[#This Row],[NumL]],T_TraitDi[#Data],COLUMN(T_TraitDi[[#This Row],[Colonne19]]),FALSE)=0,"",TEXT(IFERROR(VLOOKUP(T_BilanSocial[[#This Row],[NumL]],T_TraitDi[#Data],COLUMN(T_TraitDi[[#This Row],[Colonne19]]),FALSE),""),"[hh]:mm"))</f>
        <v>#VALUE!</v>
      </c>
      <c r="BA269" s="172" t="e">
        <f>IF(VLOOKUP(T_BilanSocial[[#This Row],[NumL]],T_TraitDi[#Data],COLUMN(T_TraitDi[[#This Row],[Colonne20]]),FALSE)=0,"",TEXT(IFERROR(VLOOKUP(T_BilanSocial[[#This Row],[NumL]],T_TraitDi[#Data],COLUMN(T_TraitDi[[#This Row],[Colonne20]]),FALSE),""),"[hh]:mm"))</f>
        <v>#VALUE!</v>
      </c>
      <c r="BB269" s="178" t="str">
        <f>IFERROR(VLOOKUP(T_BilanSocial[[#This Row],[NumL]],T_TraitDi[#Data],COLUMN(T_TraitDi[[#This Row],[Jeudi]]),FALSE),"")</f>
        <v/>
      </c>
      <c r="BC269" s="178" t="e">
        <f>IF(VLOOKUP(T_BilanSocial[[#This Row],[NumL]],T_TraitDi[#Data],COLUMN(T_TraitDi[[#This Row],[Colonne21]]),FALSE)=0,"",TEXT(IFERROR(VLOOKUP(T_BilanSocial[[#This Row],[NumL]],T_TraitDi[#Data],COLUMN(T_TraitDi[[#This Row],[Colonne21]]),FALSE),""),"[hh]:mm"))</f>
        <v>#VALUE!</v>
      </c>
      <c r="BD269" s="178" t="e">
        <f>IF(VLOOKUP(T_BilanSocial[[#This Row],[NumL]],T_TraitDi[#Data],COLUMN(T_TraitDi[[#This Row],[Colonne22]]),FALSE)=0,"",TEXT(IFERROR(VLOOKUP(T_BilanSocial[[#This Row],[NumL]],T_TraitDi[#Data],COLUMN(T_TraitDi[[#This Row],[Colonne22]]),FALSE),""),"[hh]:mm"))</f>
        <v>#VALUE!</v>
      </c>
      <c r="BE269" s="178" t="str">
        <f>IFERROR(VLOOKUP(T_BilanSocial[[#This Row],[NumL]],T_TraitDi[#Data],COLUMN(T_TraitDi[[#This Row],[Colonne23]]),FALSE),"")</f>
        <v/>
      </c>
      <c r="BF269" s="178" t="e">
        <f>IF(VLOOKUP(T_BilanSocial[[#This Row],[NumL]],T_TraitDi[#Data],COLUMN(T_TraitDi[[#This Row],[Colonne24]]),FALSE)=0,"",TEXT(IFERROR(VLOOKUP(T_BilanSocial[[#This Row],[NumL]],T_TraitDi[#Data],COLUMN(T_TraitDi[[#This Row],[Colonne24]]),FALSE),""),"[hh]:mm"))</f>
        <v>#VALUE!</v>
      </c>
      <c r="BG269" s="178" t="e">
        <f>IF(VLOOKUP(T_BilanSocial[[#This Row],[NumL]],T_TraitDi[#Data],COLUMN(T_TraitDi[[#This Row],[Colonne25]]),FALSE)=0,"",TEXT(IFERROR(VLOOKUP(T_BilanSocial[[#This Row],[NumL]],T_TraitDi[#Data],COLUMN(T_TraitDi[[#This Row],[Colonne25]]),FALSE),""),"[hh]:mm"))</f>
        <v>#VALUE!</v>
      </c>
      <c r="BH269" s="178" t="e">
        <f>IF(VLOOKUP(T_BilanSocial[[#This Row],[NumL]],T_TraitDi[#Data],COLUMN(T_TraitDi[[#This Row],[Colonne26]]),FALSE)=0,"",TEXT(IFERROR(VLOOKUP(T_BilanSocial[[#This Row],[NumL]],T_TraitDi[#Data],COLUMN(T_TraitDi[[#This Row],[Colonne26]]),FALSE),""),"[hh]:mm"))</f>
        <v>#VALUE!</v>
      </c>
      <c r="BI269" s="172" t="str">
        <f>IFERROR(VLOOKUP(T_BilanSocial[[#This Row],[NumL]],T_TraitDi[#Data],COLUMN(T_TraitDi[[#This Row],[Vendredi]]),FALSE),"")</f>
        <v/>
      </c>
      <c r="BJ269" s="172" t="e">
        <f>IF(VLOOKUP(T_BilanSocial[[#This Row],[NumL]],T_TraitDi[#Data],COLUMN(T_TraitDi[[#This Row],[Colonne27]]),FALSE)=0,"",TEXT(IFERROR(VLOOKUP(T_BilanSocial[[#This Row],[NumL]],T_TraitDi[#Data],COLUMN(T_TraitDi[[#This Row],[Colonne27]]),FALSE),""),"[hh]:mm"))</f>
        <v>#VALUE!</v>
      </c>
      <c r="BK269" s="172" t="e">
        <f>IF(VLOOKUP(T_BilanSocial[[#This Row],[NumL]],T_TraitDi[#Data],COLUMN(T_TraitDi[[#This Row],[Colonne28]]),FALSE)=0,"",TEXT(IFERROR(VLOOKUP(T_BilanSocial[[#This Row],[NumL]],T_TraitDi[#Data],COLUMN(T_TraitDi[[#This Row],[Colonne28]]),FALSE),""),"[hh]:mm"))</f>
        <v>#VALUE!</v>
      </c>
      <c r="BL269" s="172" t="str">
        <f>IFERROR(VLOOKUP(T_BilanSocial[[#This Row],[NumL]],T_TraitDi[#Data],COLUMN(T_TraitDi[[#This Row],[Colonne29]]),FALSE),"")</f>
        <v/>
      </c>
      <c r="BM269" s="172" t="e">
        <f>IF(VLOOKUP(T_BilanSocial[[#This Row],[NumL]],T_TraitDi[#Data],COLUMN(T_TraitDi[[#This Row],[Colonne30]]),FALSE)=0,"",TEXT(IFERROR(VLOOKUP(T_BilanSocial[[#This Row],[NumL]],T_TraitDi[#Data],COLUMN(T_TraitDi[[#This Row],[Colonne30]]),FALSE),""),"[hh]:mm"))</f>
        <v>#VALUE!</v>
      </c>
      <c r="BN269" s="172" t="e">
        <f>IF(VLOOKUP(T_BilanSocial[[#This Row],[NumL]],T_TraitDi[#Data],COLUMN(T_TraitDi[[#This Row],[Colonne31]]),FALSE)=0,"",TEXT(IFERROR(VLOOKUP(T_BilanSocial[[#This Row],[NumL]],T_TraitDi[#Data],COLUMN(T_TraitDi[[#This Row],[Colonne31]]),FALSE),""),"[hh]:mm"))</f>
        <v>#VALUE!</v>
      </c>
      <c r="BO269" s="172" t="e">
        <f>IF(VLOOKUP(T_BilanSocial[[#This Row],[NumL]],T_TraitDi[#Data],COLUMN(T_TraitDi[[#This Row],[Colonne32]]),FALSE)=0,"",TEXT(IFERROR(VLOOKUP(T_BilanSocial[[#This Row],[NumL]],T_TraitDi[#Data],COLUMN(T_TraitDi[[#This Row],[Colonne32]]),FALSE),""),"[hh]:mm"))</f>
        <v>#VALUE!</v>
      </c>
      <c r="BP269" s="172" t="e">
        <f>VLOOKUP(T_BilanSocial[[#This Row],[NumL]],T_TraitDi[#Data],COLUMN(T_TraitDi[NbJTot]),FALSE)</f>
        <v>#N/A</v>
      </c>
      <c r="BQ269" s="174" t="str">
        <f>IFERROR(VLOOKUP(T_BilanSocial[[#This Row],[NumL]],T_TraitDi[#Data],COLUMN(T_TraitDi[[#This Row],[NbJTW]]),FALSE),"")</f>
        <v/>
      </c>
      <c r="BR269" s="174" t="e">
        <f>IF(VLOOKUP(T_BilanSocial[[#This Row],[NumL]],T_TraitDi[#Data],COLUMN(T_TraitDi[[#This Row],[NbhTW]]),FALSE)=0,"",TEXT(IFERROR(VLOOKUP(T_BilanSocial[[#This Row],[NumL]],T_TraitDi[#Data],COLUMN(T_TraitDi[[#This Row],[NbhTW]]),FALSE),""),"[hh]:mm"))</f>
        <v>#VALUE!</v>
      </c>
      <c r="BS269" s="174" t="e">
        <f>IF(VLOOKUP(T_BilanSocial[[#This Row],[NumL]],T_TraitDi[#Data],COLUMN(T_TraitDi[[#This Row],[Nbhheb]]),FALSE)=0,"",TEXT(IFERROR(VLOOKUP($A269,T_TraitDi[#Data],COLUMN(T_TraitDi[[#This Row],[Nbhheb]]),FALSE),""),"[hh]:mm"))</f>
        <v>#VALUE!</v>
      </c>
      <c r="BT269" s="182" t="str">
        <f>IFERROR(VLOOKUP(VLOOKUP($A269,T_TraitDi[#Data],COLUMN(T_TraitDi[[#This Row],[Type1]]),FALSE),TypeTW,2,FALSE),"")</f>
        <v/>
      </c>
      <c r="BU269" s="182" t="str">
        <f>IFERROR(VLOOKUP($A269,T_TraitDi[#Data],COLUMN(T_TraitDi[[#This Row],[Rue1]]),FALSE),"")</f>
        <v/>
      </c>
      <c r="BV269" s="173" t="str">
        <f>IFERROR(VLOOKUP($A269,T_TraitDi[#Data],COLUMN(T_TraitDi[[#This Row],[CP1]]),FALSE),"")</f>
        <v/>
      </c>
      <c r="BW269" s="173" t="str">
        <f>IFERROR(VLOOKUP($A269,T_TraitDi[#Data],COLUMN(T_TraitDi[[#This Row],[VILLE1]]),FALSE),"")</f>
        <v/>
      </c>
      <c r="BX269" s="182" t="str">
        <f>IFERROR(VLOOKUP(VLOOKUP($A269,T_TraitDi[#Data],COLUMN(T_TraitDi[[#This Row],[Type2]]),FALSE),TypeTW,2,FALSE),"")</f>
        <v/>
      </c>
      <c r="BY269" s="182" t="str">
        <f>IFERROR(VLOOKUP($A269,T_TraitDi[#Data],COLUMN(T_TraitDi[[#This Row],[Rue2]]),FALSE),"")</f>
        <v/>
      </c>
      <c r="BZ269" s="173" t="str">
        <f>IFERROR(VLOOKUP($A269,T_TraitDi[#Data],COLUMN(T_TraitDi[[#This Row],[CP2]]),FALSE),"")</f>
        <v/>
      </c>
      <c r="CA269" s="173" t="str">
        <f>IFERROR(VLOOKUP($A269,T_TraitDi[#Data],COLUMN(T_TraitDi[[#This Row],[VILLE2]]),FALSE),"")</f>
        <v/>
      </c>
      <c r="CB269" s="182" t="str">
        <f>IF(VLOOKUP(T_BilanSocial[[#This Row],[NumL]],T_Equipement[#Data],COLUMN(T_Equipement[[#This Row],[PC]]),FALSE)="","Aucun équipement spécifique directement lié au télétravail",VLOOKUP(T_BilanSocial[[#This Row],[NumL]],T_Equipement[#Data],COLUMN(T_Equipement[[#This Row],[PC]]),FALSE))</f>
        <v xml:space="preserve">20-653	</v>
      </c>
      <c r="CC269" s="166" t="str">
        <f>IFERROR(IF(VLOOKUP(T_BilanSocial[[#This Row],[NumL]],T_TraitDi[#Data],COLUMN(T_TraitDi[[#This Row],[Plan]]),FALSE)="OK","Un planning spécifique de télétravail est annexé à la présente convention.",""),"")</f>
        <v/>
      </c>
      <c r="CD269" s="185"/>
      <c r="CE269" s="164" t="e">
        <f>IF(VLOOKUP(T_BilanSocial[[#This Row],[NumL]],T_suiviDi[#Data],COLUMN(T_suiviDi[[#This Row],[Entité]]),FALSE)="","",VLOOKUP(T_BilanSocial[[#This Row],[NumL]],T_suiviDi[#Data],COLUMN(T_suiviDi[[#This Row],[Entité]]),FALSE))</f>
        <v>#VALUE!</v>
      </c>
      <c r="CF269" s="164" t="str">
        <f>IF(VLOOKUP(T_BilanSocial[[#This Row],[NumL]],T_Commission[#Data],COLUMN(T_Commission[[#This Row],[envoi confirm TW]]),FALSE)="","",VLOOKUP(T_BilanSocial[[#This Row],[NumL]],T_Commission[#Data],COLUMN(T_Commission[[#This Row],[envoi confirm TW]]),FALSE))</f>
        <v>Oui</v>
      </c>
      <c r="CG26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69" s="262" t="str">
        <f>T_BilanSocial[[#This Row],[Nom]]&amp;T_BilanSocial[[#This Row],[Prenom]]</f>
        <v/>
      </c>
      <c r="CI269" s="262">
        <f>VLOOKUP(T_BilanSocial[[#This Row],[NumL]],T_Commission[#Data],COLUMN(T_Commission[Commentaire]),FALSE)</f>
        <v>0</v>
      </c>
      <c r="CJ269" s="262" t="str">
        <f>IF(VLOOKUP(T_BilanSocial[[#This Row],[NumL]],T_Commission[#Data],COLUMN(T_Commission[Encadrant Email]),FALSE)="","",VLOOKUP(T_BilanSocial[[#This Row],[NumL]],T_Commission[#Data],COLUMN(T_Commission[Encadrant Email]),FALSE))</f>
        <v/>
      </c>
      <c r="CK269" s="340" t="str">
        <f>IF(T_BilanSocial[[#This Row],[Final]]&lt;&gt;"",VLOOKUP(T_BilanSocial[[#This Row],[NumL]],T_suiviDi[#Data],COLUMN((T_suiviDi[Statut])),FALSE),"")</f>
        <v/>
      </c>
    </row>
    <row r="270" spans="1:89" s="106" customFormat="1" ht="24.75" customHeight="1" x14ac:dyDescent="0.25">
      <c r="A270" s="160">
        <v>267</v>
      </c>
      <c r="B270" s="161" t="str">
        <f t="shared" si="45"/>
        <v/>
      </c>
      <c r="C270" s="162" t="s">
        <v>173</v>
      </c>
      <c r="D270" s="95" t="e">
        <f>IF(VLOOKUP(T_BilanSocial[[#This Row],[NumL]],T_TraitDi[#Data],COLUMN(T_TraitDi[[#This Row],[WebC]]),FALSE)="","",VLOOKUP(T_BilanSocial[[#This Row],[NumL]],T_TraitDi[#Data],COLUMN(T_TraitDi[[#This Row],[WebC]]),FALSE))</f>
        <v>#VALUE!</v>
      </c>
      <c r="E270" s="163" t="str">
        <f t="shared" si="46"/>
        <v>12 janvier 2021</v>
      </c>
      <c r="F270" s="96" t="str">
        <f>IF(T_BilanSocial[[#This Row],[Final]]&lt;&gt;"",VLOOKUP(T_BilanSocial[[#This Row],[NumL]],T_suiviDi[#Data],COLUMN((T_suiviDi[Civ.])),FALSE),"")</f>
        <v/>
      </c>
      <c r="G270" s="96" t="str">
        <f>IF(T_BilanSocial[[#This Row],[Final]]&lt;&gt;"",VLOOKUP(T_BilanSocial[[#This Row],[NumL]],T_suiviDi[#Data],COLUMN((T_suiviDi[Nom])),FALSE),"")</f>
        <v/>
      </c>
      <c r="H270" s="96" t="str">
        <f>IF(T_BilanSocial[[#This Row],[Final]]&lt;&gt;"",VLOOKUP(T_BilanSocial[[#This Row],[NumL]],T_suiviDi[#Data],COLUMN((T_suiviDi[Prénom])),FALSE),"")</f>
        <v/>
      </c>
      <c r="I270" s="96" t="str">
        <f>IFERROR(VLOOKUP(T_BilanSocial[[#This Row],[Zone_Bilan]],T_P_BilanSocial[#Data],COLUMN(T_P_BilanSocial[[#This Row],[Numero_SIHAM]]),FALSE),"")</f>
        <v/>
      </c>
      <c r="J270" s="96" t="str">
        <f>IFERROR(VLOOKUP(T_BilanSocial[[#This Row],[Zone_Bilan]],T_P_BilanSocial[#Data],COLUMN(T_P_BilanSocial[[#This Row],[Sexe]]),FALSE),"")</f>
        <v/>
      </c>
      <c r="K270" s="97" t="str">
        <f>IFERROR(VLOOKUP(T_BilanSocial[[#This Row],[Zone_Bilan]],T_P_BilanSocial[#Data],COLUMN(T_P_BilanSocial[[#This Row],[Categorie]]),FALSE),"")</f>
        <v/>
      </c>
      <c r="L270" s="96" t="str">
        <f>IFERROR(VLOOKUP(T_BilanSocial[[#This Row],[Zone_Bilan]],T_P_BilanSocial[#Data],COLUMN(T_P_BilanSocial[[#This Row],[Statut]]),FALSE),"")</f>
        <v/>
      </c>
      <c r="M270" s="96" t="str">
        <f>IFERROR(VLOOKUP(T_BilanSocial[[#This Row],[Zone_Bilan]],T_P_BilanSocial[#Data],COLUMN(T_P_BilanSocial[[#This Row],[Filiere]]),FALSE),"")</f>
        <v/>
      </c>
      <c r="N270" s="96" t="e">
        <f>VLOOKUP(T_BilanSocial[[#This Row],[NumL]],T_TraitDi[#Data],COLUMN(T_TraitDi[EXP]),FALSE)</f>
        <v>#N/A</v>
      </c>
      <c r="O270" s="96" t="e">
        <f>VLOOKUP(T_BilanSocial[[#This Row],[NumL]],T_TraitDi[#Data],COLUMN(T_TraitDi[FORM]),FALSE)</f>
        <v>#N/A</v>
      </c>
      <c r="P270" s="96" t="str">
        <f>IF(T_BilanSocial[[#This Row],[Final]]&lt;&gt;"",VLOOKUP(T_BilanSocial[[#This Row],[NumL]],T_suiviDi[#Data],COLUMN((T_suiviDi[Email])),FALSE),"")</f>
        <v/>
      </c>
      <c r="Q270" s="164" t="e">
        <f t="shared" si="40"/>
        <v>#N/A</v>
      </c>
      <c r="R270" s="164" t="e">
        <f t="shared" si="41"/>
        <v>#N/A</v>
      </c>
      <c r="S270" s="164" t="e">
        <f>IF(VLOOKUP(T_BilanSocial[[#This Row],[NumL]],T_suiviDi[#Data],COLUMN(T_suiviDi[[#This Row],[Service ]]),FALSE)="","",VLOOKUP(T_BilanSocial[[#This Row],[NumL]],T_suiviDi[#Data],COLUMN(T_suiviDi[[#This Row],[Service ]]),FALSE))</f>
        <v>#VALUE!</v>
      </c>
      <c r="T270" s="164" t="str">
        <f t="shared" si="47"/>
        <v>01 septembre 2021</v>
      </c>
      <c r="U270" s="164" t="str">
        <f t="shared" si="48"/>
        <v>30 novembre 2021</v>
      </c>
      <c r="V270" s="96" t="str">
        <f t="shared" si="51"/>
        <v>30 novembre 2021</v>
      </c>
      <c r="W270" s="176" t="e">
        <f>IF(VLOOKUP(T_BilanSocial[[#This Row],[NumL]],T_TraitDi[#Data],COLUMN(T_TraitDi[[#This Row],[M1]]),FALSE)="","",VLOOKUP(T_BilanSocial[[#This Row],[NumL]],T_TraitDi[#Data],COLUMN(T_TraitDi[[#This Row],[M1]]),FALSE))</f>
        <v>#VALUE!</v>
      </c>
      <c r="X270" s="176" t="e">
        <f>IF(VLOOKUP(T_BilanSocial[[#This Row],[NumL]],T_TraitDi[#Data],COLUMN(T_TraitDi[[#This Row],[M2]]),FALSE)="","",VLOOKUP(T_BilanSocial[[#This Row],[NumL]],T_TraitDi[#Data],COLUMN(T_TraitDi[[#This Row],[M2]]),FALSE))</f>
        <v>#VALUE!</v>
      </c>
      <c r="Y270" s="176" t="e">
        <f>IF(VLOOKUP(T_BilanSocial[[#This Row],[NumL]],T_TraitDi[#Data],COLUMN(T_TraitDi[[#This Row],[M3]]),FALSE)="","",VLOOKUP(T_BilanSocial[[#This Row],[NumL]],T_TraitDi[#Data],COLUMN(T_TraitDi[[#This Row],[M3]]),FALSE))</f>
        <v>#VALUE!</v>
      </c>
      <c r="Z270" s="176" t="str">
        <f t="shared" si="50"/>
        <v/>
      </c>
      <c r="AA270" s="176" t="e">
        <f>IF(VLOOKUP(T_BilanSocial[[#This Row],[NumL]],T_TraitDi[#Data],COLUMN(T_TraitDi[[#This Row],[M5]]),FALSE)="","",VLOOKUP(T_BilanSocial[[#This Row],[NumL]],T_TraitDi[#Data],COLUMN(T_TraitDi[[#This Row],[M5]]),FALSE))</f>
        <v>#VALUE!</v>
      </c>
      <c r="AB270" s="176" t="e">
        <f>IF(VLOOKUP(T_BilanSocial[[#This Row],[NumL]],T_TraitDi[#Data],COLUMN(T_TraitDi[[#This Row],[M6]]),FALSE)="","",VLOOKUP(T_BilanSocial[[#This Row],[NumL]],T_TraitDi[#Data],COLUMN(T_TraitDi[[#This Row],[M6]]),FALSE))</f>
        <v>#VALUE!</v>
      </c>
      <c r="AC270" s="165" t="e">
        <f t="shared" si="49"/>
        <v>#VALUE!</v>
      </c>
      <c r="AD270" s="188" t="str">
        <f>IFERROR(TEXT(VLOOKUP(T_BilanSocial[[#This Row],[NumL]],T_TraitDi[#Data],COLUMN(T_TraitDi[[#This Row],[Q2]]),FALSE),"###%"),"")</f>
        <v/>
      </c>
      <c r="AE270" s="97" t="e">
        <f>VLOOKUP(T_BilanSocial[[#This Row],[NumL]],T_TraitDi[#Data],COLUMN(T_TraitDi[[#This Row],[Reg Ponct]]),FALSE)</f>
        <v>#VALUE!</v>
      </c>
      <c r="AF270" s="97" t="e">
        <f>VLOOKUP(T_BilanSocial[NumL],T_TraitDi[#Data],COLUMN(T_TraitDi[[#This Row],[Jours flottants]]),FALSE)</f>
        <v>#VALUE!</v>
      </c>
      <c r="AG270" s="97" t="str">
        <f>IFERROR(VLOOKUP(T_BilanSocial[[#This Row],[NumL]],T_TraitDi[#Data],COLUMN(T_TraitDi[[#This Row],[Lundi]]),FALSE),"")</f>
        <v/>
      </c>
      <c r="AH270" s="172" t="e">
        <f>IF(VLOOKUP(T_BilanSocial[[#This Row],[NumL]],T_TraitDi[#Data],COLUMN(T_TraitDi[[#This Row],[Colonne3]]),FALSE)=0,"",TEXT(IFERROR(VLOOKUP(T_BilanSocial[[#This Row],[NumL]],T_TraitDi[#Data],COLUMN(T_TraitDi[[#This Row],[Colonne3]]),FALSE),""),"[hh]:mm"))</f>
        <v>#VALUE!</v>
      </c>
      <c r="AI270" s="172" t="e">
        <f>IF(VLOOKUP(T_BilanSocial[[#This Row],[NumL]],T_TraitDi[#Data],COLUMN(T_TraitDi[[#This Row],[Colonne4]]),FALSE)=0,"",TEXT(IFERROR(VLOOKUP(T_BilanSocial[[#This Row],[NumL]],T_TraitDi[#Data],COLUMN(T_TraitDi[[#This Row],[Colonne4]]),FALSE),""),"[hh]:mm"))</f>
        <v>#VALUE!</v>
      </c>
      <c r="AJ270" s="172" t="e">
        <f>IF(VLOOKUP(T_BilanSocial[[#This Row],[NumL]],T_TraitDi[#Data],COLUMN(T_TraitDi[[#This Row],[Colonne5]]),FALSE)=0,"",TEXT(IFERROR(VLOOKUP(T_BilanSocial[[#This Row],[NumL]],T_TraitDi[#Data],COLUMN(T_TraitDi[[#This Row],[Colonne5]]),FALSE),""),"[hh]:mm"))</f>
        <v>#VALUE!</v>
      </c>
      <c r="AK270" s="172" t="e">
        <f>IF(VLOOKUP(T_BilanSocial[[#This Row],[NumL]],T_TraitDi[#Data],COLUMN(T_TraitDi[[#This Row],[Colonne6]]),FALSE)=0,"",TEXT(IFERROR(VLOOKUP(T_BilanSocial[[#This Row],[NumL]],T_TraitDi[#Data],COLUMN(T_TraitDi[[#This Row],[Colonne6]]),FALSE),""),"[hh]:mm"))</f>
        <v>#VALUE!</v>
      </c>
      <c r="AL270" s="172" t="e">
        <f>IF(VLOOKUP(T_BilanSocial[[#This Row],[NumL]],T_TraitDi[#Data],COLUMN(T_TraitDi[[#This Row],[Colonne7]]),FALSE)=0,"",TEXT(IFERROR(VLOOKUP(T_BilanSocial[[#This Row],[NumL]],T_TraitDi[#Data],COLUMN(T_TraitDi[[#This Row],[Colonne7]]),FALSE),""),"[hh]:mm"))</f>
        <v>#VALUE!</v>
      </c>
      <c r="AM270" s="172" t="e">
        <f>IF(VLOOKUP(T_BilanSocial[[#This Row],[NumL]],T_TraitDi[#Data],COLUMN(T_TraitDi[[#This Row],[Colonne8]]),FALSE)=0,"",TEXT(IFERROR(VLOOKUP(T_BilanSocial[[#This Row],[NumL]],T_TraitDi[#Data],COLUMN(T_TraitDi[[#This Row],[Colonne8]]),FALSE),""),"[hh]:mm"))</f>
        <v>#VALUE!</v>
      </c>
      <c r="AN270" s="172" t="str">
        <f>IFERROR(VLOOKUP(T_BilanSocial[[#This Row],[NumL]],T_TraitDi[#Data],COLUMN(T_TraitDi[[#This Row],[Mardi]]),FALSE),"")</f>
        <v/>
      </c>
      <c r="AO270" s="172" t="e">
        <f>IF(VLOOKUP(T_BilanSocial[[#This Row],[NumL]],T_TraitDi[#Data],COLUMN(T_TraitDi[[#This Row],[Colonne1]]),FALSE)=0,"",TEXT(IFERROR(VLOOKUP(T_BilanSocial[[#This Row],[NumL]],T_TraitDi[#Data],COLUMN(T_TraitDi[[#This Row],[Colonne1]]),FALSE),""),"[hh]:mm"))</f>
        <v>#VALUE!</v>
      </c>
      <c r="AP270" s="172" t="e">
        <f>IF(VLOOKUP(T_BilanSocial[[#This Row],[NumL]],T_TraitDi[#Data],COLUMN(T_TraitDi[[#This Row],[Colonne9]]),FALSE)=0,"",TEXT(IFERROR(VLOOKUP(T_BilanSocial[[#This Row],[NumL]],T_TraitDi[#Data],COLUMN(T_TraitDi[[#This Row],[Colonne9]]),FALSE),""),"[hh]:mm"))</f>
        <v>#VALUE!</v>
      </c>
      <c r="AQ270" s="172" t="str">
        <f>IFERROR(VLOOKUP(T_BilanSocial[[#This Row],[NumL]],T_TraitDi[#Data],COLUMN(T_TraitDi[[#This Row],[Colonne10]]),FALSE),"")</f>
        <v/>
      </c>
      <c r="AR270" s="172" t="e">
        <f>IF(VLOOKUP(T_BilanSocial[[#This Row],[NumL]],T_TraitDi[#Data],COLUMN(T_TraitDi[[#This Row],[Colonne11]]),FALSE)=0,"",TEXT(IFERROR(VLOOKUP(T_BilanSocial[[#This Row],[NumL]],T_TraitDi[#Data],COLUMN(T_TraitDi[[#This Row],[Colonne11]]),FALSE),""),"[hh]:mm"))</f>
        <v>#VALUE!</v>
      </c>
      <c r="AS270" s="172" t="e">
        <f>IF(VLOOKUP(T_BilanSocial[[#This Row],[NumL]],T_TraitDi[#Data],COLUMN(T_TraitDi[[#This Row],[Colonne12]]),FALSE)=0,"",TEXT(IFERROR(VLOOKUP(T_BilanSocial[[#This Row],[NumL]],T_TraitDi[#Data],COLUMN(T_TraitDi[[#This Row],[Colonne12]]),FALSE),""),"[hh]:mm"))</f>
        <v>#VALUE!</v>
      </c>
      <c r="AT270" s="172" t="e">
        <f>IF(VLOOKUP(T_BilanSocial[[#This Row],[NumL]],T_TraitDi[#Data],COLUMN(T_TraitDi[[#This Row],[Colonne14]]),FALSE)=0,"",TEXT(IFERROR(VLOOKUP(T_BilanSocial[[#This Row],[NumL]],T_TraitDi[#Data],COLUMN(T_TraitDi[[#This Row],[Colonne14]]),FALSE),""),"[hh]:mm"))</f>
        <v>#VALUE!</v>
      </c>
      <c r="AU270" s="172" t="str">
        <f>IFERROR(VLOOKUP(T_BilanSocial[[#This Row],[NumL]],T_TraitDi[#Data],COLUMN(T_TraitDi[[#This Row],[Mercredi]]),FALSE),"")</f>
        <v/>
      </c>
      <c r="AV270" s="172" t="e">
        <f>IF(VLOOKUP(T_BilanSocial[[#This Row],[NumL]],T_TraitDi[#Data],COLUMN(T_TraitDi[[#This Row],[Colonne15]]),FALSE)=0,"",TEXT(IFERROR(VLOOKUP(T_BilanSocial[[#This Row],[NumL]],T_TraitDi[#Data],COLUMN(T_TraitDi[[#This Row],[Colonne15]]),FALSE),""),"[hh]:mm"))</f>
        <v>#VALUE!</v>
      </c>
      <c r="AW270" s="172" t="e">
        <f>IF(VLOOKUP(T_BilanSocial[[#This Row],[NumL]],T_TraitDi[#Data],COLUMN(T_TraitDi[[#This Row],[Colonne16]]),FALSE)=0,"",TEXT(IFERROR(VLOOKUP(T_BilanSocial[[#This Row],[NumL]],T_TraitDi[#Data],COLUMN(T_TraitDi[[#This Row],[Colonne16]]),FALSE),""),"[hh]:mm"))</f>
        <v>#VALUE!</v>
      </c>
      <c r="AX270" s="172" t="str">
        <f>IFERROR(VLOOKUP(T_BilanSocial[[#This Row],[NumL]],T_TraitDi[#Data],COLUMN(T_TraitDi[[#This Row],[Colonne17]]),FALSE),"")</f>
        <v/>
      </c>
      <c r="AY270" s="172" t="e">
        <f>IF(VLOOKUP(T_BilanSocial[[#This Row],[NumL]],T_TraitDi[#Data],COLUMN(T_TraitDi[[#This Row],[Colonne18]]),FALSE)=0,"",TEXT(IFERROR(VLOOKUP(T_BilanSocial[[#This Row],[NumL]],T_TraitDi[#Data],COLUMN(T_TraitDi[[#This Row],[Colonne18]]),FALSE),""),"[hh]:mm"))</f>
        <v>#VALUE!</v>
      </c>
      <c r="AZ270" s="172" t="e">
        <f>IF(VLOOKUP(T_BilanSocial[[#This Row],[NumL]],T_TraitDi[#Data],COLUMN(T_TraitDi[[#This Row],[Colonne19]]),FALSE)=0,"",TEXT(IFERROR(VLOOKUP(T_BilanSocial[[#This Row],[NumL]],T_TraitDi[#Data],COLUMN(T_TraitDi[[#This Row],[Colonne19]]),FALSE),""),"[hh]:mm"))</f>
        <v>#VALUE!</v>
      </c>
      <c r="BA270" s="172" t="e">
        <f>IF(VLOOKUP(T_BilanSocial[[#This Row],[NumL]],T_TraitDi[#Data],COLUMN(T_TraitDi[[#This Row],[Colonne20]]),FALSE)=0,"",TEXT(IFERROR(VLOOKUP(T_BilanSocial[[#This Row],[NumL]],T_TraitDi[#Data],COLUMN(T_TraitDi[[#This Row],[Colonne20]]),FALSE),""),"[hh]:mm"))</f>
        <v>#VALUE!</v>
      </c>
      <c r="BB270" s="178" t="str">
        <f>IFERROR(VLOOKUP(T_BilanSocial[[#This Row],[NumL]],T_TraitDi[#Data],COLUMN(T_TraitDi[[#This Row],[Jeudi]]),FALSE),"")</f>
        <v/>
      </c>
      <c r="BC270" s="178" t="e">
        <f>IF(VLOOKUP(T_BilanSocial[[#This Row],[NumL]],T_TraitDi[#Data],COLUMN(T_TraitDi[[#This Row],[Colonne21]]),FALSE)=0,"",TEXT(IFERROR(VLOOKUP(T_BilanSocial[[#This Row],[NumL]],T_TraitDi[#Data],COLUMN(T_TraitDi[[#This Row],[Colonne21]]),FALSE),""),"[hh]:mm"))</f>
        <v>#VALUE!</v>
      </c>
      <c r="BD270" s="178" t="e">
        <f>IF(VLOOKUP(T_BilanSocial[[#This Row],[NumL]],T_TraitDi[#Data],COLUMN(T_TraitDi[[#This Row],[Colonne22]]),FALSE)=0,"",TEXT(IFERROR(VLOOKUP(T_BilanSocial[[#This Row],[NumL]],T_TraitDi[#Data],COLUMN(T_TraitDi[[#This Row],[Colonne22]]),FALSE),""),"[hh]:mm"))</f>
        <v>#VALUE!</v>
      </c>
      <c r="BE270" s="178" t="str">
        <f>IFERROR(VLOOKUP(T_BilanSocial[[#This Row],[NumL]],T_TraitDi[#Data],COLUMN(T_TraitDi[[#This Row],[Colonne23]]),FALSE),"")</f>
        <v/>
      </c>
      <c r="BF270" s="178" t="e">
        <f>IF(VLOOKUP(T_BilanSocial[[#This Row],[NumL]],T_TraitDi[#Data],COLUMN(T_TraitDi[[#This Row],[Colonne24]]),FALSE)=0,"",TEXT(IFERROR(VLOOKUP(T_BilanSocial[[#This Row],[NumL]],T_TraitDi[#Data],COLUMN(T_TraitDi[[#This Row],[Colonne24]]),FALSE),""),"[hh]:mm"))</f>
        <v>#VALUE!</v>
      </c>
      <c r="BG270" s="178" t="e">
        <f>IF(VLOOKUP(T_BilanSocial[[#This Row],[NumL]],T_TraitDi[#Data],COLUMN(T_TraitDi[[#This Row],[Colonne25]]),FALSE)=0,"",TEXT(IFERROR(VLOOKUP(T_BilanSocial[[#This Row],[NumL]],T_TraitDi[#Data],COLUMN(T_TraitDi[[#This Row],[Colonne25]]),FALSE),""),"[hh]:mm"))</f>
        <v>#VALUE!</v>
      </c>
      <c r="BH270" s="178" t="e">
        <f>IF(VLOOKUP(T_BilanSocial[[#This Row],[NumL]],T_TraitDi[#Data],COLUMN(T_TraitDi[[#This Row],[Colonne26]]),FALSE)=0,"",TEXT(IFERROR(VLOOKUP(T_BilanSocial[[#This Row],[NumL]],T_TraitDi[#Data],COLUMN(T_TraitDi[[#This Row],[Colonne26]]),FALSE),""),"[hh]:mm"))</f>
        <v>#VALUE!</v>
      </c>
      <c r="BI270" s="172" t="str">
        <f>IFERROR(VLOOKUP(T_BilanSocial[[#This Row],[NumL]],T_TraitDi[#Data],COLUMN(T_TraitDi[[#This Row],[Vendredi]]),FALSE),"")</f>
        <v/>
      </c>
      <c r="BJ270" s="172" t="e">
        <f>IF(VLOOKUP(T_BilanSocial[[#This Row],[NumL]],T_TraitDi[#Data],COLUMN(T_TraitDi[[#This Row],[Colonne27]]),FALSE)=0,"",TEXT(IFERROR(VLOOKUP(T_BilanSocial[[#This Row],[NumL]],T_TraitDi[#Data],COLUMN(T_TraitDi[[#This Row],[Colonne27]]),FALSE),""),"[hh]:mm"))</f>
        <v>#VALUE!</v>
      </c>
      <c r="BK270" s="172" t="e">
        <f>IF(VLOOKUP(T_BilanSocial[[#This Row],[NumL]],T_TraitDi[#Data],COLUMN(T_TraitDi[[#This Row],[Colonne28]]),FALSE)=0,"",TEXT(IFERROR(VLOOKUP(T_BilanSocial[[#This Row],[NumL]],T_TraitDi[#Data],COLUMN(T_TraitDi[[#This Row],[Colonne28]]),FALSE),""),"[hh]:mm"))</f>
        <v>#VALUE!</v>
      </c>
      <c r="BL270" s="172" t="str">
        <f>IFERROR(VLOOKUP(T_BilanSocial[[#This Row],[NumL]],T_TraitDi[#Data],COLUMN(T_TraitDi[[#This Row],[Colonne29]]),FALSE),"")</f>
        <v/>
      </c>
      <c r="BM270" s="172" t="e">
        <f>IF(VLOOKUP(T_BilanSocial[[#This Row],[NumL]],T_TraitDi[#Data],COLUMN(T_TraitDi[[#This Row],[Colonne30]]),FALSE)=0,"",TEXT(IFERROR(VLOOKUP(T_BilanSocial[[#This Row],[NumL]],T_TraitDi[#Data],COLUMN(T_TraitDi[[#This Row],[Colonne30]]),FALSE),""),"[hh]:mm"))</f>
        <v>#VALUE!</v>
      </c>
      <c r="BN270" s="172" t="e">
        <f>IF(VLOOKUP(T_BilanSocial[[#This Row],[NumL]],T_TraitDi[#Data],COLUMN(T_TraitDi[[#This Row],[Colonne31]]),FALSE)=0,"",TEXT(IFERROR(VLOOKUP(T_BilanSocial[[#This Row],[NumL]],T_TraitDi[#Data],COLUMN(T_TraitDi[[#This Row],[Colonne31]]),FALSE),""),"[hh]:mm"))</f>
        <v>#VALUE!</v>
      </c>
      <c r="BO270" s="172" t="e">
        <f>IF(VLOOKUP(T_BilanSocial[[#This Row],[NumL]],T_TraitDi[#Data],COLUMN(T_TraitDi[[#This Row],[Colonne32]]),FALSE)=0,"",TEXT(IFERROR(VLOOKUP(T_BilanSocial[[#This Row],[NumL]],T_TraitDi[#Data],COLUMN(T_TraitDi[[#This Row],[Colonne32]]),FALSE),""),"[hh]:mm"))</f>
        <v>#VALUE!</v>
      </c>
      <c r="BP270" s="172" t="e">
        <f>VLOOKUP(T_BilanSocial[[#This Row],[NumL]],T_TraitDi[#Data],COLUMN(T_TraitDi[NbJTot]),FALSE)</f>
        <v>#N/A</v>
      </c>
      <c r="BQ270" s="174" t="str">
        <f>IFERROR(VLOOKUP(T_BilanSocial[[#This Row],[NumL]],T_TraitDi[#Data],COLUMN(T_TraitDi[[#This Row],[NbJTW]]),FALSE),"")</f>
        <v/>
      </c>
      <c r="BR270" s="174" t="e">
        <f>IF(VLOOKUP(T_BilanSocial[[#This Row],[NumL]],T_TraitDi[#Data],COLUMN(T_TraitDi[[#This Row],[NbhTW]]),FALSE)=0,"",TEXT(IFERROR(VLOOKUP(T_BilanSocial[[#This Row],[NumL]],T_TraitDi[#Data],COLUMN(T_TraitDi[[#This Row],[NbhTW]]),FALSE),""),"[hh]:mm"))</f>
        <v>#VALUE!</v>
      </c>
      <c r="BS270" s="174" t="e">
        <f>IF(VLOOKUP(T_BilanSocial[[#This Row],[NumL]],T_TraitDi[#Data],COLUMN(T_TraitDi[[#This Row],[Nbhheb]]),FALSE)=0,"",TEXT(IFERROR(VLOOKUP($A270,T_TraitDi[#Data],COLUMN(T_TraitDi[[#This Row],[Nbhheb]]),FALSE),""),"[hh]:mm"))</f>
        <v>#VALUE!</v>
      </c>
      <c r="BT270" s="182" t="str">
        <f>IFERROR(VLOOKUP(VLOOKUP($A270,T_TraitDi[#Data],COLUMN(T_TraitDi[[#This Row],[Type1]]),FALSE),TypeTW,2,FALSE),"")</f>
        <v/>
      </c>
      <c r="BU270" s="182" t="str">
        <f>IFERROR(VLOOKUP($A270,T_TraitDi[#Data],COLUMN(T_TraitDi[[#This Row],[Rue1]]),FALSE),"")</f>
        <v/>
      </c>
      <c r="BV270" s="173" t="str">
        <f>IFERROR(VLOOKUP($A270,T_TraitDi[#Data],COLUMN(T_TraitDi[[#This Row],[CP1]]),FALSE),"")</f>
        <v/>
      </c>
      <c r="BW270" s="173" t="str">
        <f>IFERROR(VLOOKUP($A270,T_TraitDi[#Data],COLUMN(T_TraitDi[[#This Row],[VILLE1]]),FALSE),"")</f>
        <v/>
      </c>
      <c r="BX270" s="182" t="str">
        <f>IFERROR(VLOOKUP(VLOOKUP($A270,T_TraitDi[#Data],COLUMN(T_TraitDi[[#This Row],[Type2]]),FALSE),TypeTW,2,FALSE),"")</f>
        <v/>
      </c>
      <c r="BY270" s="182" t="str">
        <f>IFERROR(VLOOKUP($A270,T_TraitDi[#Data],COLUMN(T_TraitDi[[#This Row],[Rue2]]),FALSE),"")</f>
        <v/>
      </c>
      <c r="BZ270" s="173" t="str">
        <f>IFERROR(VLOOKUP($A270,T_TraitDi[#Data],COLUMN(T_TraitDi[[#This Row],[CP2]]),FALSE),"")</f>
        <v/>
      </c>
      <c r="CA270" s="173" t="str">
        <f>IFERROR(VLOOKUP($A270,T_TraitDi[#Data],COLUMN(T_TraitDi[[#This Row],[VILLE2]]),FALSE),"")</f>
        <v/>
      </c>
      <c r="CB270" s="182" t="str">
        <f>IF(VLOOKUP(T_BilanSocial[[#This Row],[NumL]],T_Equipement[#Data],COLUMN(T_Equipement[[#This Row],[PC]]),FALSE)="","Aucun équipement spécifique directement lié au télétravail",VLOOKUP(T_BilanSocial[[#This Row],[NumL]],T_Equipement[#Data],COLUMN(T_Equipement[[#This Row],[PC]]),FALSE))</f>
        <v>20-3083</v>
      </c>
      <c r="CC270" s="166" t="str">
        <f>IFERROR(IF(VLOOKUP(T_BilanSocial[[#This Row],[NumL]],T_TraitDi[#Data],COLUMN(T_TraitDi[[#This Row],[Plan]]),FALSE)="OK","Un planning spécifique de télétravail est annexé à la présente convention.",""),"")</f>
        <v/>
      </c>
      <c r="CD270" s="185"/>
      <c r="CE270" s="164" t="e">
        <f>IF(VLOOKUP(T_BilanSocial[[#This Row],[NumL]],T_suiviDi[#Data],COLUMN(T_suiviDi[[#This Row],[Entité]]),FALSE)="","",VLOOKUP(T_BilanSocial[[#This Row],[NumL]],T_suiviDi[#Data],COLUMN(T_suiviDi[[#This Row],[Entité]]),FALSE))</f>
        <v>#VALUE!</v>
      </c>
      <c r="CF270" s="164" t="str">
        <f>IF(VLOOKUP(T_BilanSocial[[#This Row],[NumL]],T_Commission[#Data],COLUMN(T_Commission[[#This Row],[envoi confirm TW]]),FALSE)="","",VLOOKUP(T_BilanSocial[[#This Row],[NumL]],T_Commission[#Data],COLUMN(T_Commission[[#This Row],[envoi confirm TW]]),FALSE))</f>
        <v>Oui</v>
      </c>
      <c r="CG27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0" s="262" t="str">
        <f>T_BilanSocial[[#This Row],[Nom]]&amp;T_BilanSocial[[#This Row],[Prenom]]</f>
        <v/>
      </c>
      <c r="CI270" s="262">
        <f>VLOOKUP(T_BilanSocial[[#This Row],[NumL]],T_Commission[#Data],COLUMN(T_Commission[Commentaire]),FALSE)</f>
        <v>0</v>
      </c>
      <c r="CJ270" s="262" t="str">
        <f>IF(VLOOKUP(T_BilanSocial[[#This Row],[NumL]],T_Commission[#Data],COLUMN(T_Commission[Encadrant Email]),FALSE)="","",VLOOKUP(T_BilanSocial[[#This Row],[NumL]],T_Commission[#Data],COLUMN(T_Commission[Encadrant Email]),FALSE))</f>
        <v/>
      </c>
      <c r="CK270" s="340" t="str">
        <f>IF(T_BilanSocial[[#This Row],[Final]]&lt;&gt;"",VLOOKUP(T_BilanSocial[[#This Row],[NumL]],T_suiviDi[#Data],COLUMN((T_suiviDi[Statut])),FALSE),"")</f>
        <v/>
      </c>
    </row>
    <row r="271" spans="1:89" s="106" customFormat="1" ht="24.75" customHeight="1" x14ac:dyDescent="0.25">
      <c r="A271" s="160">
        <v>268</v>
      </c>
      <c r="B271" s="161" t="str">
        <f t="shared" si="45"/>
        <v/>
      </c>
      <c r="C271" s="162" t="s">
        <v>3287</v>
      </c>
      <c r="D271" s="95" t="e">
        <f>IF(VLOOKUP(T_BilanSocial[[#This Row],[NumL]],T_TraitDi[#Data],COLUMN(T_TraitDi[[#This Row],[WebC]]),FALSE)="","",VLOOKUP(T_BilanSocial[[#This Row],[NumL]],T_TraitDi[#Data],COLUMN(T_TraitDi[[#This Row],[WebC]]),FALSE))</f>
        <v>#VALUE!</v>
      </c>
      <c r="E271" s="163" t="str">
        <f t="shared" si="46"/>
        <v>12 janvier 2021</v>
      </c>
      <c r="F271" s="96" t="str">
        <f>IF(T_BilanSocial[[#This Row],[Final]]&lt;&gt;"",VLOOKUP(T_BilanSocial[[#This Row],[NumL]],T_suiviDi[#Data],COLUMN((T_suiviDi[Civ.])),FALSE),"")</f>
        <v/>
      </c>
      <c r="G271" s="96" t="str">
        <f>IF(T_BilanSocial[[#This Row],[Final]]&lt;&gt;"",VLOOKUP(T_BilanSocial[[#This Row],[NumL]],T_suiviDi[#Data],COLUMN((T_suiviDi[Nom])),FALSE),"")</f>
        <v/>
      </c>
      <c r="H271" s="96" t="str">
        <f>IF(T_BilanSocial[[#This Row],[Final]]&lt;&gt;"",VLOOKUP(T_BilanSocial[[#This Row],[NumL]],T_suiviDi[#Data],COLUMN((T_suiviDi[Prénom])),FALSE),"")</f>
        <v/>
      </c>
      <c r="I271" s="96" t="str">
        <f>IFERROR(VLOOKUP(T_BilanSocial[[#This Row],[Zone_Bilan]],T_P_BilanSocial[#Data],COLUMN(T_P_BilanSocial[[#This Row],[Numero_SIHAM]]),FALSE),"")</f>
        <v/>
      </c>
      <c r="J271" s="96" t="str">
        <f>IFERROR(VLOOKUP(T_BilanSocial[[#This Row],[Zone_Bilan]],T_P_BilanSocial[#Data],COLUMN(T_P_BilanSocial[[#This Row],[Sexe]]),FALSE),"")</f>
        <v/>
      </c>
      <c r="K271" s="97" t="str">
        <f>IFERROR(VLOOKUP(T_BilanSocial[[#This Row],[Zone_Bilan]],T_P_BilanSocial[#Data],COLUMN(T_P_BilanSocial[[#This Row],[Categorie]]),FALSE),"")</f>
        <v/>
      </c>
      <c r="L271" s="96" t="str">
        <f>IFERROR(VLOOKUP(T_BilanSocial[[#This Row],[Zone_Bilan]],T_P_BilanSocial[#Data],COLUMN(T_P_BilanSocial[[#This Row],[Statut]]),FALSE),"")</f>
        <v/>
      </c>
      <c r="M271" s="96" t="str">
        <f>IFERROR(VLOOKUP(T_BilanSocial[[#This Row],[Zone_Bilan]],T_P_BilanSocial[#Data],COLUMN(T_P_BilanSocial[[#This Row],[Filiere]]),FALSE),"")</f>
        <v/>
      </c>
      <c r="N271" s="96" t="e">
        <f>VLOOKUP(T_BilanSocial[[#This Row],[NumL]],T_TraitDi[#Data],COLUMN(T_TraitDi[EXP]),FALSE)</f>
        <v>#N/A</v>
      </c>
      <c r="O271" s="96" t="e">
        <f>VLOOKUP(T_BilanSocial[[#This Row],[NumL]],T_TraitDi[#Data],COLUMN(T_TraitDi[FORM]),FALSE)</f>
        <v>#N/A</v>
      </c>
      <c r="P271" s="96" t="str">
        <f>IF(T_BilanSocial[[#This Row],[Final]]&lt;&gt;"",VLOOKUP(T_BilanSocial[[#This Row],[NumL]],T_suiviDi[#Data],COLUMN((T_suiviDi[Email])),FALSE),"")</f>
        <v/>
      </c>
      <c r="Q271" s="164" t="e">
        <f t="shared" si="40"/>
        <v>#N/A</v>
      </c>
      <c r="R271" s="164" t="e">
        <f t="shared" si="41"/>
        <v>#N/A</v>
      </c>
      <c r="S271" s="164" t="e">
        <f>IF(VLOOKUP(T_BilanSocial[[#This Row],[NumL]],T_suiviDi[#Data],COLUMN(T_suiviDi[[#This Row],[Service ]]),FALSE)="","",VLOOKUP(T_BilanSocial[[#This Row],[NumL]],T_suiviDi[#Data],COLUMN(T_suiviDi[[#This Row],[Service ]]),FALSE))</f>
        <v>#VALUE!</v>
      </c>
      <c r="T271" s="164" t="str">
        <f t="shared" si="47"/>
        <v>01 septembre 2021</v>
      </c>
      <c r="U271" s="164" t="str">
        <f t="shared" si="48"/>
        <v>30 novembre 2021</v>
      </c>
      <c r="V271" s="164" t="str">
        <f t="shared" si="51"/>
        <v>30 novembre 2021</v>
      </c>
      <c r="W271" s="176" t="e">
        <f>IF(VLOOKUP(T_BilanSocial[[#This Row],[NumL]],T_TraitDi[#Data],COLUMN(T_TraitDi[[#This Row],[M1]]),FALSE)="","",VLOOKUP(T_BilanSocial[[#This Row],[NumL]],T_TraitDi[#Data],COLUMN(T_TraitDi[[#This Row],[M1]]),FALSE))</f>
        <v>#VALUE!</v>
      </c>
      <c r="X271" s="176" t="e">
        <f>IF(VLOOKUP(T_BilanSocial[[#This Row],[NumL]],T_TraitDi[#Data],COLUMN(T_TraitDi[[#This Row],[M2]]),FALSE)="","",VLOOKUP(T_BilanSocial[[#This Row],[NumL]],T_TraitDi[#Data],COLUMN(T_TraitDi[[#This Row],[M2]]),FALSE))</f>
        <v>#VALUE!</v>
      </c>
      <c r="Y271" s="176" t="e">
        <f>IF(VLOOKUP(T_BilanSocial[[#This Row],[NumL]],T_TraitDi[#Data],COLUMN(T_TraitDi[[#This Row],[M3]]),FALSE)="","",VLOOKUP(T_BilanSocial[[#This Row],[NumL]],T_TraitDi[#Data],COLUMN(T_TraitDi[[#This Row],[M3]]),FALSE))</f>
        <v>#VALUE!</v>
      </c>
      <c r="Z271" s="176" t="str">
        <f t="shared" si="50"/>
        <v/>
      </c>
      <c r="AA271" s="176" t="e">
        <f>IF(VLOOKUP(T_BilanSocial[[#This Row],[NumL]],T_TraitDi[#Data],COLUMN(T_TraitDi[[#This Row],[M5]]),FALSE)="","",VLOOKUP(T_BilanSocial[[#This Row],[NumL]],T_TraitDi[#Data],COLUMN(T_TraitDi[[#This Row],[M5]]),FALSE))</f>
        <v>#VALUE!</v>
      </c>
      <c r="AB271" s="176" t="e">
        <f>IF(VLOOKUP(T_BilanSocial[[#This Row],[NumL]],T_TraitDi[#Data],COLUMN(T_TraitDi[[#This Row],[M6]]),FALSE)="","",VLOOKUP(T_BilanSocial[[#This Row],[NumL]],T_TraitDi[#Data],COLUMN(T_TraitDi[[#This Row],[M6]]),FALSE))</f>
        <v>#VALUE!</v>
      </c>
      <c r="AC271" s="165" t="e">
        <f t="shared" si="49"/>
        <v>#VALUE!</v>
      </c>
      <c r="AD271" s="188" t="str">
        <f>IFERROR(TEXT(VLOOKUP(T_BilanSocial[[#This Row],[NumL]],T_TraitDi[#Data],COLUMN(T_TraitDi[[#This Row],[Q2]]),FALSE),"###%"),"")</f>
        <v/>
      </c>
      <c r="AE271" s="97" t="e">
        <f>VLOOKUP(T_BilanSocial[[#This Row],[NumL]],T_TraitDi[#Data],COLUMN(T_TraitDi[[#This Row],[Reg Ponct]]),FALSE)</f>
        <v>#VALUE!</v>
      </c>
      <c r="AF271" s="97" t="e">
        <f>VLOOKUP(T_BilanSocial[NumL],T_TraitDi[#Data],COLUMN(T_TraitDi[[#This Row],[Jours flottants]]),FALSE)</f>
        <v>#VALUE!</v>
      </c>
      <c r="AG271" s="97" t="str">
        <f>IFERROR(VLOOKUP(T_BilanSocial[[#This Row],[NumL]],T_TraitDi[#Data],COLUMN(T_TraitDi[[#This Row],[Lundi]]),FALSE),"")</f>
        <v/>
      </c>
      <c r="AH271" s="172" t="e">
        <f>IF(VLOOKUP(T_BilanSocial[[#This Row],[NumL]],T_TraitDi[#Data],COLUMN(T_TraitDi[[#This Row],[Colonne3]]),FALSE)=0,"",TEXT(IFERROR(VLOOKUP(T_BilanSocial[[#This Row],[NumL]],T_TraitDi[#Data],COLUMN(T_TraitDi[[#This Row],[Colonne3]]),FALSE),""),"[hh]:mm"))</f>
        <v>#VALUE!</v>
      </c>
      <c r="AI271" s="172" t="e">
        <f>IF(VLOOKUP(T_BilanSocial[[#This Row],[NumL]],T_TraitDi[#Data],COLUMN(T_TraitDi[[#This Row],[Colonne4]]),FALSE)=0,"",TEXT(IFERROR(VLOOKUP(T_BilanSocial[[#This Row],[NumL]],T_TraitDi[#Data],COLUMN(T_TraitDi[[#This Row],[Colonne4]]),FALSE),""),"[hh]:mm"))</f>
        <v>#VALUE!</v>
      </c>
      <c r="AJ271" s="172" t="e">
        <f>IF(VLOOKUP(T_BilanSocial[[#This Row],[NumL]],T_TraitDi[#Data],COLUMN(T_TraitDi[[#This Row],[Colonne5]]),FALSE)=0,"",TEXT(IFERROR(VLOOKUP(T_BilanSocial[[#This Row],[NumL]],T_TraitDi[#Data],COLUMN(T_TraitDi[[#This Row],[Colonne5]]),FALSE),""),"[hh]:mm"))</f>
        <v>#VALUE!</v>
      </c>
      <c r="AK271" s="172" t="e">
        <f>IF(VLOOKUP(T_BilanSocial[[#This Row],[NumL]],T_TraitDi[#Data],COLUMN(T_TraitDi[[#This Row],[Colonne6]]),FALSE)=0,"",TEXT(IFERROR(VLOOKUP(T_BilanSocial[[#This Row],[NumL]],T_TraitDi[#Data],COLUMN(T_TraitDi[[#This Row],[Colonne6]]),FALSE),""),"[hh]:mm"))</f>
        <v>#VALUE!</v>
      </c>
      <c r="AL271" s="172" t="e">
        <f>IF(VLOOKUP(T_BilanSocial[[#This Row],[NumL]],T_TraitDi[#Data],COLUMN(T_TraitDi[[#This Row],[Colonne7]]),FALSE)=0,"",TEXT(IFERROR(VLOOKUP(T_BilanSocial[[#This Row],[NumL]],T_TraitDi[#Data],COLUMN(T_TraitDi[[#This Row],[Colonne7]]),FALSE),""),"[hh]:mm"))</f>
        <v>#VALUE!</v>
      </c>
      <c r="AM271" s="172" t="e">
        <f>IF(VLOOKUP(T_BilanSocial[[#This Row],[NumL]],T_TraitDi[#Data],COLUMN(T_TraitDi[[#This Row],[Colonne8]]),FALSE)=0,"",TEXT(IFERROR(VLOOKUP(T_BilanSocial[[#This Row],[NumL]],T_TraitDi[#Data],COLUMN(T_TraitDi[[#This Row],[Colonne8]]),FALSE),""),"[hh]:mm"))</f>
        <v>#VALUE!</v>
      </c>
      <c r="AN271" s="172" t="str">
        <f>IFERROR(VLOOKUP(T_BilanSocial[[#This Row],[NumL]],T_TraitDi[#Data],COLUMN(T_TraitDi[[#This Row],[Mardi]]),FALSE),"")</f>
        <v/>
      </c>
      <c r="AO271" s="172" t="e">
        <f>IF(VLOOKUP(T_BilanSocial[[#This Row],[NumL]],T_TraitDi[#Data],COLUMN(T_TraitDi[[#This Row],[Colonne1]]),FALSE)=0,"",TEXT(IFERROR(VLOOKUP(T_BilanSocial[[#This Row],[NumL]],T_TraitDi[#Data],COLUMN(T_TraitDi[[#This Row],[Colonne1]]),FALSE),""),"[hh]:mm"))</f>
        <v>#VALUE!</v>
      </c>
      <c r="AP271" s="172" t="e">
        <f>IF(VLOOKUP(T_BilanSocial[[#This Row],[NumL]],T_TraitDi[#Data],COLUMN(T_TraitDi[[#This Row],[Colonne9]]),FALSE)=0,"",TEXT(IFERROR(VLOOKUP(T_BilanSocial[[#This Row],[NumL]],T_TraitDi[#Data],COLUMN(T_TraitDi[[#This Row],[Colonne9]]),FALSE),""),"[hh]:mm"))</f>
        <v>#VALUE!</v>
      </c>
      <c r="AQ271" s="172" t="str">
        <f>IFERROR(VLOOKUP(T_BilanSocial[[#This Row],[NumL]],T_TraitDi[#Data],COLUMN(T_TraitDi[[#This Row],[Colonne10]]),FALSE),"")</f>
        <v/>
      </c>
      <c r="AR271" s="172" t="e">
        <f>IF(VLOOKUP(T_BilanSocial[[#This Row],[NumL]],T_TraitDi[#Data],COLUMN(T_TraitDi[[#This Row],[Colonne11]]),FALSE)=0,"",TEXT(IFERROR(VLOOKUP(T_BilanSocial[[#This Row],[NumL]],T_TraitDi[#Data],COLUMN(T_TraitDi[[#This Row],[Colonne11]]),FALSE),""),"[hh]:mm"))</f>
        <v>#VALUE!</v>
      </c>
      <c r="AS271" s="172" t="e">
        <f>IF(VLOOKUP(T_BilanSocial[[#This Row],[NumL]],T_TraitDi[#Data],COLUMN(T_TraitDi[[#This Row],[Colonne12]]),FALSE)=0,"",TEXT(IFERROR(VLOOKUP(T_BilanSocial[[#This Row],[NumL]],T_TraitDi[#Data],COLUMN(T_TraitDi[[#This Row],[Colonne12]]),FALSE),""),"[hh]:mm"))</f>
        <v>#VALUE!</v>
      </c>
      <c r="AT271" s="172" t="e">
        <f>IF(VLOOKUP(T_BilanSocial[[#This Row],[NumL]],T_TraitDi[#Data],COLUMN(T_TraitDi[[#This Row],[Colonne14]]),FALSE)=0,"",TEXT(IFERROR(VLOOKUP(T_BilanSocial[[#This Row],[NumL]],T_TraitDi[#Data],COLUMN(T_TraitDi[[#This Row],[Colonne14]]),FALSE),""),"[hh]:mm"))</f>
        <v>#VALUE!</v>
      </c>
      <c r="AU271" s="172" t="str">
        <f>IFERROR(VLOOKUP(T_BilanSocial[[#This Row],[NumL]],T_TraitDi[#Data],COLUMN(T_TraitDi[[#This Row],[Mercredi]]),FALSE),"")</f>
        <v/>
      </c>
      <c r="AV271" s="172" t="e">
        <f>IF(VLOOKUP(T_BilanSocial[[#This Row],[NumL]],T_TraitDi[#Data],COLUMN(T_TraitDi[[#This Row],[Colonne15]]),FALSE)=0,"",TEXT(IFERROR(VLOOKUP(T_BilanSocial[[#This Row],[NumL]],T_TraitDi[#Data],COLUMN(T_TraitDi[[#This Row],[Colonne15]]),FALSE),""),"[hh]:mm"))</f>
        <v>#VALUE!</v>
      </c>
      <c r="AW271" s="172" t="e">
        <f>IF(VLOOKUP(T_BilanSocial[[#This Row],[NumL]],T_TraitDi[#Data],COLUMN(T_TraitDi[[#This Row],[Colonne16]]),FALSE)=0,"",TEXT(IFERROR(VLOOKUP(T_BilanSocial[[#This Row],[NumL]],T_TraitDi[#Data],COLUMN(T_TraitDi[[#This Row],[Colonne16]]),FALSE),""),"[hh]:mm"))</f>
        <v>#VALUE!</v>
      </c>
      <c r="AX271" s="172" t="str">
        <f>IFERROR(VLOOKUP(T_BilanSocial[[#This Row],[NumL]],T_TraitDi[#Data],COLUMN(T_TraitDi[[#This Row],[Colonne17]]),FALSE),"")</f>
        <v/>
      </c>
      <c r="AY271" s="172" t="e">
        <f>IF(VLOOKUP(T_BilanSocial[[#This Row],[NumL]],T_TraitDi[#Data],COLUMN(T_TraitDi[[#This Row],[Colonne18]]),FALSE)=0,"",TEXT(IFERROR(VLOOKUP(T_BilanSocial[[#This Row],[NumL]],T_TraitDi[#Data],COLUMN(T_TraitDi[[#This Row],[Colonne18]]),FALSE),""),"[hh]:mm"))</f>
        <v>#VALUE!</v>
      </c>
      <c r="AZ271" s="172" t="e">
        <f>IF(VLOOKUP(T_BilanSocial[[#This Row],[NumL]],T_TraitDi[#Data],COLUMN(T_TraitDi[[#This Row],[Colonne19]]),FALSE)=0,"",TEXT(IFERROR(VLOOKUP(T_BilanSocial[[#This Row],[NumL]],T_TraitDi[#Data],COLUMN(T_TraitDi[[#This Row],[Colonne19]]),FALSE),""),"[hh]:mm"))</f>
        <v>#VALUE!</v>
      </c>
      <c r="BA271" s="172" t="e">
        <f>IF(VLOOKUP(T_BilanSocial[[#This Row],[NumL]],T_TraitDi[#Data],COLUMN(T_TraitDi[[#This Row],[Colonne20]]),FALSE)=0,"",TEXT(IFERROR(VLOOKUP(T_BilanSocial[[#This Row],[NumL]],T_TraitDi[#Data],COLUMN(T_TraitDi[[#This Row],[Colonne20]]),FALSE),""),"[hh]:mm"))</f>
        <v>#VALUE!</v>
      </c>
      <c r="BB271" s="178" t="str">
        <f>IFERROR(VLOOKUP(T_BilanSocial[[#This Row],[NumL]],T_TraitDi[#Data],COLUMN(T_TraitDi[[#This Row],[Jeudi]]),FALSE),"")</f>
        <v/>
      </c>
      <c r="BC271" s="178" t="e">
        <f>IF(VLOOKUP(T_BilanSocial[[#This Row],[NumL]],T_TraitDi[#Data],COLUMN(T_TraitDi[[#This Row],[Colonne21]]),FALSE)=0,"",TEXT(IFERROR(VLOOKUP(T_BilanSocial[[#This Row],[NumL]],T_TraitDi[#Data],COLUMN(T_TraitDi[[#This Row],[Colonne21]]),FALSE),""),"[hh]:mm"))</f>
        <v>#VALUE!</v>
      </c>
      <c r="BD271" s="178" t="e">
        <f>IF(VLOOKUP(T_BilanSocial[[#This Row],[NumL]],T_TraitDi[#Data],COLUMN(T_TraitDi[[#This Row],[Colonne22]]),FALSE)=0,"",TEXT(IFERROR(VLOOKUP(T_BilanSocial[[#This Row],[NumL]],T_TraitDi[#Data],COLUMN(T_TraitDi[[#This Row],[Colonne22]]),FALSE),""),"[hh]:mm"))</f>
        <v>#VALUE!</v>
      </c>
      <c r="BE271" s="178" t="str">
        <f>IFERROR(VLOOKUP(T_BilanSocial[[#This Row],[NumL]],T_TraitDi[#Data],COLUMN(T_TraitDi[[#This Row],[Colonne23]]),FALSE),"")</f>
        <v/>
      </c>
      <c r="BF271" s="178" t="e">
        <f>IF(VLOOKUP(T_BilanSocial[[#This Row],[NumL]],T_TraitDi[#Data],COLUMN(T_TraitDi[[#This Row],[Colonne24]]),FALSE)=0,"",TEXT(IFERROR(VLOOKUP(T_BilanSocial[[#This Row],[NumL]],T_TraitDi[#Data],COLUMN(T_TraitDi[[#This Row],[Colonne24]]),FALSE),""),"[hh]:mm"))</f>
        <v>#VALUE!</v>
      </c>
      <c r="BG271" s="178" t="e">
        <f>IF(VLOOKUP(T_BilanSocial[[#This Row],[NumL]],T_TraitDi[#Data],COLUMN(T_TraitDi[[#This Row],[Colonne25]]),FALSE)=0,"",TEXT(IFERROR(VLOOKUP(T_BilanSocial[[#This Row],[NumL]],T_TraitDi[#Data],COLUMN(T_TraitDi[[#This Row],[Colonne25]]),FALSE),""),"[hh]:mm"))</f>
        <v>#VALUE!</v>
      </c>
      <c r="BH271" s="178" t="e">
        <f>IF(VLOOKUP(T_BilanSocial[[#This Row],[NumL]],T_TraitDi[#Data],COLUMN(T_TraitDi[[#This Row],[Colonne26]]),FALSE)=0,"",TEXT(IFERROR(VLOOKUP(T_BilanSocial[[#This Row],[NumL]],T_TraitDi[#Data],COLUMN(T_TraitDi[[#This Row],[Colonne26]]),FALSE),""),"[hh]:mm"))</f>
        <v>#VALUE!</v>
      </c>
      <c r="BI271" s="172" t="str">
        <f>IFERROR(VLOOKUP(T_BilanSocial[[#This Row],[NumL]],T_TraitDi[#Data],COLUMN(T_TraitDi[[#This Row],[Vendredi]]),FALSE),"")</f>
        <v/>
      </c>
      <c r="BJ271" s="172" t="e">
        <f>IF(VLOOKUP(T_BilanSocial[[#This Row],[NumL]],T_TraitDi[#Data],COLUMN(T_TraitDi[[#This Row],[Colonne27]]),FALSE)=0,"",TEXT(IFERROR(VLOOKUP(T_BilanSocial[[#This Row],[NumL]],T_TraitDi[#Data],COLUMN(T_TraitDi[[#This Row],[Colonne27]]),FALSE),""),"[hh]:mm"))</f>
        <v>#VALUE!</v>
      </c>
      <c r="BK271" s="172" t="e">
        <f>IF(VLOOKUP(T_BilanSocial[[#This Row],[NumL]],T_TraitDi[#Data],COLUMN(T_TraitDi[[#This Row],[Colonne28]]),FALSE)=0,"",TEXT(IFERROR(VLOOKUP(T_BilanSocial[[#This Row],[NumL]],T_TraitDi[#Data],COLUMN(T_TraitDi[[#This Row],[Colonne28]]),FALSE),""),"[hh]:mm"))</f>
        <v>#VALUE!</v>
      </c>
      <c r="BL271" s="172" t="str">
        <f>IFERROR(VLOOKUP(T_BilanSocial[[#This Row],[NumL]],T_TraitDi[#Data],COLUMN(T_TraitDi[[#This Row],[Colonne29]]),FALSE),"")</f>
        <v/>
      </c>
      <c r="BM271" s="172" t="e">
        <f>IF(VLOOKUP(T_BilanSocial[[#This Row],[NumL]],T_TraitDi[#Data],COLUMN(T_TraitDi[[#This Row],[Colonne30]]),FALSE)=0,"",TEXT(IFERROR(VLOOKUP(T_BilanSocial[[#This Row],[NumL]],T_TraitDi[#Data],COLUMN(T_TraitDi[[#This Row],[Colonne30]]),FALSE),""),"[hh]:mm"))</f>
        <v>#VALUE!</v>
      </c>
      <c r="BN271" s="172" t="e">
        <f>IF(VLOOKUP(T_BilanSocial[[#This Row],[NumL]],T_TraitDi[#Data],COLUMN(T_TraitDi[[#This Row],[Colonne31]]),FALSE)=0,"",TEXT(IFERROR(VLOOKUP(T_BilanSocial[[#This Row],[NumL]],T_TraitDi[#Data],COLUMN(T_TraitDi[[#This Row],[Colonne31]]),FALSE),""),"[hh]:mm"))</f>
        <v>#VALUE!</v>
      </c>
      <c r="BO271" s="172" t="e">
        <f>IF(VLOOKUP(T_BilanSocial[[#This Row],[NumL]],T_TraitDi[#Data],COLUMN(T_TraitDi[[#This Row],[Colonne32]]),FALSE)=0,"",TEXT(IFERROR(VLOOKUP(T_BilanSocial[[#This Row],[NumL]],T_TraitDi[#Data],COLUMN(T_TraitDi[[#This Row],[Colonne32]]),FALSE),""),"[hh]:mm"))</f>
        <v>#VALUE!</v>
      </c>
      <c r="BP271" s="172" t="e">
        <f>VLOOKUP(T_BilanSocial[[#This Row],[NumL]],T_TraitDi[#Data],COLUMN(T_TraitDi[NbJTot]),FALSE)</f>
        <v>#N/A</v>
      </c>
      <c r="BQ271" s="174" t="str">
        <f>IFERROR(VLOOKUP(T_BilanSocial[[#This Row],[NumL]],T_TraitDi[#Data],COLUMN(T_TraitDi[[#This Row],[NbJTW]]),FALSE),"")</f>
        <v/>
      </c>
      <c r="BR271" s="174" t="e">
        <f>IF(VLOOKUP(T_BilanSocial[[#This Row],[NumL]],T_TraitDi[#Data],COLUMN(T_TraitDi[[#This Row],[NbhTW]]),FALSE)=0,"",TEXT(IFERROR(VLOOKUP(T_BilanSocial[[#This Row],[NumL]],T_TraitDi[#Data],COLUMN(T_TraitDi[[#This Row],[NbhTW]]),FALSE),""),"[hh]:mm"))</f>
        <v>#VALUE!</v>
      </c>
      <c r="BS271" s="174" t="e">
        <f>IF(VLOOKUP(T_BilanSocial[[#This Row],[NumL]],T_TraitDi[#Data],COLUMN(T_TraitDi[[#This Row],[Nbhheb]]),FALSE)=0,"",TEXT(IFERROR(VLOOKUP($A271,T_TraitDi[#Data],COLUMN(T_TraitDi[[#This Row],[Nbhheb]]),FALSE),""),"[hh]:mm"))</f>
        <v>#VALUE!</v>
      </c>
      <c r="BT271" s="182" t="str">
        <f>IFERROR(VLOOKUP(VLOOKUP($A271,T_TraitDi[#Data],COLUMN(T_TraitDi[[#This Row],[Type1]]),FALSE),TypeTW,2,FALSE),"")</f>
        <v/>
      </c>
      <c r="BU271" s="182" t="str">
        <f>IFERROR(VLOOKUP($A271,T_TraitDi[#Data],COLUMN(T_TraitDi[[#This Row],[Rue1]]),FALSE),"")</f>
        <v/>
      </c>
      <c r="BV271" s="173" t="str">
        <f>IFERROR(VLOOKUP($A271,T_TraitDi[#Data],COLUMN(T_TraitDi[[#This Row],[CP1]]),FALSE),"")</f>
        <v/>
      </c>
      <c r="BW271" s="173" t="str">
        <f>IFERROR(VLOOKUP($A271,T_TraitDi[#Data],COLUMN(T_TraitDi[[#This Row],[VILLE1]]),FALSE),"")</f>
        <v/>
      </c>
      <c r="BX271" s="182" t="str">
        <f>IFERROR(VLOOKUP(VLOOKUP($A271,T_TraitDi[#Data],COLUMN(T_TraitDi[[#This Row],[Type2]]),FALSE),TypeTW,2,FALSE),"")</f>
        <v/>
      </c>
      <c r="BY271" s="182" t="str">
        <f>IFERROR(VLOOKUP($A271,T_TraitDi[#Data],COLUMN(T_TraitDi[[#This Row],[Rue2]]),FALSE),"")</f>
        <v/>
      </c>
      <c r="BZ271" s="173" t="str">
        <f>IFERROR(VLOOKUP($A271,T_TraitDi[#Data],COLUMN(T_TraitDi[[#This Row],[CP2]]),FALSE),"")</f>
        <v/>
      </c>
      <c r="CA271" s="173" t="str">
        <f>IFERROR(VLOOKUP($A271,T_TraitDi[#Data],COLUMN(T_TraitDi[[#This Row],[VILLE2]]),FALSE),"")</f>
        <v/>
      </c>
      <c r="CB271" s="182" t="str">
        <f>IF(VLOOKUP(T_BilanSocial[[#This Row],[NumL]],T_Equipement[#Data],COLUMN(T_Equipement[[#This Row],[PC]]),FALSE)="","Aucun équipement spécifique directement lié au télétravail",VLOOKUP(T_BilanSocial[[#This Row],[NumL]],T_Equipement[#Data],COLUMN(T_Equipement[[#This Row],[PC]]),FALSE))</f>
        <v xml:space="preserve">20-640	</v>
      </c>
      <c r="CC271" s="166" t="str">
        <f>IFERROR(IF(VLOOKUP(T_BilanSocial[[#This Row],[NumL]],T_TraitDi[#Data],COLUMN(T_TraitDi[[#This Row],[Plan]]),FALSE)="OK","Un planning spécifique de télétravail est annexé à la présente convention.",""),"")</f>
        <v/>
      </c>
      <c r="CD271" s="185"/>
      <c r="CE271" s="164" t="e">
        <f>IF(VLOOKUP(T_BilanSocial[[#This Row],[NumL]],T_suiviDi[#Data],COLUMN(T_suiviDi[[#This Row],[Entité]]),FALSE)="","",VLOOKUP(T_BilanSocial[[#This Row],[NumL]],T_suiviDi[#Data],COLUMN(T_suiviDi[[#This Row],[Entité]]),FALSE))</f>
        <v>#VALUE!</v>
      </c>
      <c r="CF271" s="164" t="str">
        <f>IF(VLOOKUP(T_BilanSocial[[#This Row],[NumL]],T_Commission[#Data],COLUMN(T_Commission[[#This Row],[envoi confirm TW]]),FALSE)="","",VLOOKUP(T_BilanSocial[[#This Row],[NumL]],T_Commission[#Data],COLUMN(T_Commission[[#This Row],[envoi confirm TW]]),FALSE))</f>
        <v>Oui</v>
      </c>
      <c r="CG27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1" s="262" t="str">
        <f>T_BilanSocial[[#This Row],[Nom]]&amp;T_BilanSocial[[#This Row],[Prenom]]</f>
        <v/>
      </c>
      <c r="CI271" s="262">
        <f>VLOOKUP(T_BilanSocial[[#This Row],[NumL]],T_Commission[#Data],COLUMN(T_Commission[Commentaire]),FALSE)</f>
        <v>0</v>
      </c>
      <c r="CJ271" s="262" t="str">
        <f>IF(VLOOKUP(T_BilanSocial[[#This Row],[NumL]],T_Commission[#Data],COLUMN(T_Commission[Encadrant Email]),FALSE)="","",VLOOKUP(T_BilanSocial[[#This Row],[NumL]],T_Commission[#Data],COLUMN(T_Commission[Encadrant Email]),FALSE))</f>
        <v/>
      </c>
      <c r="CK271" s="340" t="str">
        <f>IF(T_BilanSocial[[#This Row],[Final]]&lt;&gt;"",VLOOKUP(T_BilanSocial[[#This Row],[NumL]],T_suiviDi[#Data],COLUMN((T_suiviDi[Statut])),FALSE),"")</f>
        <v/>
      </c>
    </row>
    <row r="272" spans="1:89" s="106" customFormat="1" ht="24.75" customHeight="1" x14ac:dyDescent="0.25">
      <c r="A272" s="160">
        <v>269</v>
      </c>
      <c r="B272" s="161" t="str">
        <f t="shared" si="45"/>
        <v/>
      </c>
      <c r="C272" s="162" t="s">
        <v>3287</v>
      </c>
      <c r="D272" s="95" t="e">
        <f>IF(VLOOKUP(T_BilanSocial[[#This Row],[NumL]],T_TraitDi[#Data],COLUMN(T_TraitDi[[#This Row],[WebC]]),FALSE)="","",VLOOKUP(T_BilanSocial[[#This Row],[NumL]],T_TraitDi[#Data],COLUMN(T_TraitDi[[#This Row],[WebC]]),FALSE))</f>
        <v>#VALUE!</v>
      </c>
      <c r="E272" s="163" t="str">
        <f t="shared" si="46"/>
        <v>12 janvier 2021</v>
      </c>
      <c r="F272" s="96" t="str">
        <f>IF(T_BilanSocial[[#This Row],[Final]]&lt;&gt;"",VLOOKUP(T_BilanSocial[[#This Row],[NumL]],T_suiviDi[#Data],COLUMN((T_suiviDi[Civ.])),FALSE),"")</f>
        <v/>
      </c>
      <c r="G272" s="96" t="str">
        <f>IF(T_BilanSocial[[#This Row],[Final]]&lt;&gt;"",VLOOKUP(T_BilanSocial[[#This Row],[NumL]],T_suiviDi[#Data],COLUMN((T_suiviDi[Nom])),FALSE),"")</f>
        <v/>
      </c>
      <c r="H272" s="96" t="str">
        <f>IF(T_BilanSocial[[#This Row],[Final]]&lt;&gt;"",VLOOKUP(T_BilanSocial[[#This Row],[NumL]],T_suiviDi[#Data],COLUMN((T_suiviDi[Prénom])),FALSE),"")</f>
        <v/>
      </c>
      <c r="I272" s="96" t="str">
        <f>IFERROR(VLOOKUP(T_BilanSocial[[#This Row],[Zone_Bilan]],T_P_BilanSocial[#Data],COLUMN(T_P_BilanSocial[[#This Row],[Numero_SIHAM]]),FALSE),"")</f>
        <v/>
      </c>
      <c r="J272" s="96" t="str">
        <f>IFERROR(VLOOKUP(T_BilanSocial[[#This Row],[Zone_Bilan]],T_P_BilanSocial[#Data],COLUMN(T_P_BilanSocial[[#This Row],[Sexe]]),FALSE),"")</f>
        <v/>
      </c>
      <c r="K272" s="97" t="str">
        <f>IFERROR(VLOOKUP(T_BilanSocial[[#This Row],[Zone_Bilan]],T_P_BilanSocial[#Data],COLUMN(T_P_BilanSocial[[#This Row],[Categorie]]),FALSE),"")</f>
        <v/>
      </c>
      <c r="L272" s="96" t="str">
        <f>IFERROR(VLOOKUP(T_BilanSocial[[#This Row],[Zone_Bilan]],T_P_BilanSocial[#Data],COLUMN(T_P_BilanSocial[[#This Row],[Statut]]),FALSE),"")</f>
        <v/>
      </c>
      <c r="M272" s="96" t="str">
        <f>IFERROR(VLOOKUP(T_BilanSocial[[#This Row],[Zone_Bilan]],T_P_BilanSocial[#Data],COLUMN(T_P_BilanSocial[[#This Row],[Filiere]]),FALSE),"")</f>
        <v/>
      </c>
      <c r="N272" s="96" t="e">
        <f>VLOOKUP(T_BilanSocial[[#This Row],[NumL]],T_TraitDi[#Data],COLUMN(T_TraitDi[EXP]),FALSE)</f>
        <v>#N/A</v>
      </c>
      <c r="O272" s="96" t="e">
        <f>VLOOKUP(T_BilanSocial[[#This Row],[NumL]],T_TraitDi[#Data],COLUMN(T_TraitDi[FORM]),FALSE)</f>
        <v>#N/A</v>
      </c>
      <c r="P272" s="96" t="str">
        <f>IF(T_BilanSocial[[#This Row],[Final]]&lt;&gt;"",VLOOKUP(T_BilanSocial[[#This Row],[NumL]],T_suiviDi[#Data],COLUMN((T_suiviDi[Email])),FALSE),"")</f>
        <v/>
      </c>
      <c r="Q272" s="164" t="e">
        <f t="shared" ref="Q272:Q293" si="52">IF(VLOOKUP($A272,ListeDI,8,FALSE)="","",VLOOKUP($A272,ListeDI,8,FALSE))</f>
        <v>#N/A</v>
      </c>
      <c r="R272" s="164" t="e">
        <f t="shared" ref="R272:R293" si="53">IF(VLOOKUP($A272,ListeDI,9,FALSE)="","",VLOOKUP($A272,ListeDI,9,FALSE))</f>
        <v>#N/A</v>
      </c>
      <c r="S272" s="164" t="e">
        <f>IF(VLOOKUP(T_BilanSocial[[#This Row],[NumL]],T_suiviDi[#Data],COLUMN(T_suiviDi[[#This Row],[Service ]]),FALSE)="","",VLOOKUP(T_BilanSocial[[#This Row],[NumL]],T_suiviDi[#Data],COLUMN(T_suiviDi[[#This Row],[Service ]]),FALSE))</f>
        <v>#VALUE!</v>
      </c>
      <c r="T272" s="164" t="str">
        <f t="shared" si="47"/>
        <v>01 septembre 2021</v>
      </c>
      <c r="U272" s="164" t="str">
        <f t="shared" si="48"/>
        <v>30 novembre 2021</v>
      </c>
      <c r="V272" s="164" t="str">
        <f t="shared" si="51"/>
        <v>30 novembre 2021</v>
      </c>
      <c r="W272" s="176" t="e">
        <f>IF(VLOOKUP(T_BilanSocial[[#This Row],[NumL]],T_TraitDi[#Data],COLUMN(T_TraitDi[[#This Row],[M1]]),FALSE)="","",VLOOKUP(T_BilanSocial[[#This Row],[NumL]],T_TraitDi[#Data],COLUMN(T_TraitDi[[#This Row],[M1]]),FALSE))</f>
        <v>#VALUE!</v>
      </c>
      <c r="X272" s="176" t="e">
        <f>IF(VLOOKUP(T_BilanSocial[[#This Row],[NumL]],T_TraitDi[#Data],COLUMN(T_TraitDi[[#This Row],[M2]]),FALSE)="","",VLOOKUP(T_BilanSocial[[#This Row],[NumL]],T_TraitDi[#Data],COLUMN(T_TraitDi[[#This Row],[M2]]),FALSE))</f>
        <v>#VALUE!</v>
      </c>
      <c r="Y272" s="176" t="e">
        <f>IF(VLOOKUP(T_BilanSocial[[#This Row],[NumL]],T_TraitDi[#Data],COLUMN(T_TraitDi[[#This Row],[M3]]),FALSE)="","",VLOOKUP(T_BilanSocial[[#This Row],[NumL]],T_TraitDi[#Data],COLUMN(T_TraitDi[[#This Row],[M3]]),FALSE))</f>
        <v>#VALUE!</v>
      </c>
      <c r="Z272" s="176" t="str">
        <f t="shared" si="50"/>
        <v/>
      </c>
      <c r="AA272" s="176" t="e">
        <f>IF(VLOOKUP(T_BilanSocial[[#This Row],[NumL]],T_TraitDi[#Data],COLUMN(T_TraitDi[[#This Row],[M5]]),FALSE)="","",VLOOKUP(T_BilanSocial[[#This Row],[NumL]],T_TraitDi[#Data],COLUMN(T_TraitDi[[#This Row],[M5]]),FALSE))</f>
        <v>#VALUE!</v>
      </c>
      <c r="AB272" s="176" t="e">
        <f>IF(VLOOKUP(T_BilanSocial[[#This Row],[NumL]],T_TraitDi[#Data],COLUMN(T_TraitDi[[#This Row],[M6]]),FALSE)="","",VLOOKUP(T_BilanSocial[[#This Row],[NumL]],T_TraitDi[#Data],COLUMN(T_TraitDi[[#This Row],[M6]]),FALSE))</f>
        <v>#VALUE!</v>
      </c>
      <c r="AC272" s="165" t="e">
        <f t="shared" si="49"/>
        <v>#VALUE!</v>
      </c>
      <c r="AD272" s="188" t="str">
        <f>IFERROR(TEXT(VLOOKUP(T_BilanSocial[[#This Row],[NumL]],T_TraitDi[#Data],COLUMN(T_TraitDi[[#This Row],[Q2]]),FALSE),"###%"),"")</f>
        <v/>
      </c>
      <c r="AE272" s="97" t="e">
        <f>VLOOKUP(T_BilanSocial[[#This Row],[NumL]],T_TraitDi[#Data],COLUMN(T_TraitDi[[#This Row],[Reg Ponct]]),FALSE)</f>
        <v>#VALUE!</v>
      </c>
      <c r="AF272" s="97" t="e">
        <f>VLOOKUP(T_BilanSocial[NumL],T_TraitDi[#Data],COLUMN(T_TraitDi[[#This Row],[Jours flottants]]),FALSE)</f>
        <v>#VALUE!</v>
      </c>
      <c r="AG272" s="97" t="str">
        <f>IFERROR(VLOOKUP(T_BilanSocial[[#This Row],[NumL]],T_TraitDi[#Data],COLUMN(T_TraitDi[[#This Row],[Lundi]]),FALSE),"")</f>
        <v/>
      </c>
      <c r="AH272" s="172" t="e">
        <f>IF(VLOOKUP(T_BilanSocial[[#This Row],[NumL]],T_TraitDi[#Data],COLUMN(T_TraitDi[[#This Row],[Colonne3]]),FALSE)=0,"",TEXT(IFERROR(VLOOKUP(T_BilanSocial[[#This Row],[NumL]],T_TraitDi[#Data],COLUMN(T_TraitDi[[#This Row],[Colonne3]]),FALSE),""),"[hh]:mm"))</f>
        <v>#VALUE!</v>
      </c>
      <c r="AI272" s="172" t="e">
        <f>IF(VLOOKUP(T_BilanSocial[[#This Row],[NumL]],T_TraitDi[#Data],COLUMN(T_TraitDi[[#This Row],[Colonne4]]),FALSE)=0,"",TEXT(IFERROR(VLOOKUP(T_BilanSocial[[#This Row],[NumL]],T_TraitDi[#Data],COLUMN(T_TraitDi[[#This Row],[Colonne4]]),FALSE),""),"[hh]:mm"))</f>
        <v>#VALUE!</v>
      </c>
      <c r="AJ272" s="172" t="e">
        <f>IF(VLOOKUP(T_BilanSocial[[#This Row],[NumL]],T_TraitDi[#Data],COLUMN(T_TraitDi[[#This Row],[Colonne5]]),FALSE)=0,"",TEXT(IFERROR(VLOOKUP(T_BilanSocial[[#This Row],[NumL]],T_TraitDi[#Data],COLUMN(T_TraitDi[[#This Row],[Colonne5]]),FALSE),""),"[hh]:mm"))</f>
        <v>#VALUE!</v>
      </c>
      <c r="AK272" s="172" t="e">
        <f>IF(VLOOKUP(T_BilanSocial[[#This Row],[NumL]],T_TraitDi[#Data],COLUMN(T_TraitDi[[#This Row],[Colonne6]]),FALSE)=0,"",TEXT(IFERROR(VLOOKUP(T_BilanSocial[[#This Row],[NumL]],T_TraitDi[#Data],COLUMN(T_TraitDi[[#This Row],[Colonne6]]),FALSE),""),"[hh]:mm"))</f>
        <v>#VALUE!</v>
      </c>
      <c r="AL272" s="172" t="e">
        <f>IF(VLOOKUP(T_BilanSocial[[#This Row],[NumL]],T_TraitDi[#Data],COLUMN(T_TraitDi[[#This Row],[Colonne7]]),FALSE)=0,"",TEXT(IFERROR(VLOOKUP(T_BilanSocial[[#This Row],[NumL]],T_TraitDi[#Data],COLUMN(T_TraitDi[[#This Row],[Colonne7]]),FALSE),""),"[hh]:mm"))</f>
        <v>#VALUE!</v>
      </c>
      <c r="AM272" s="172" t="e">
        <f>IF(VLOOKUP(T_BilanSocial[[#This Row],[NumL]],T_TraitDi[#Data],COLUMN(T_TraitDi[[#This Row],[Colonne8]]),FALSE)=0,"",TEXT(IFERROR(VLOOKUP(T_BilanSocial[[#This Row],[NumL]],T_TraitDi[#Data],COLUMN(T_TraitDi[[#This Row],[Colonne8]]),FALSE),""),"[hh]:mm"))</f>
        <v>#VALUE!</v>
      </c>
      <c r="AN272" s="172" t="str">
        <f>IFERROR(VLOOKUP(T_BilanSocial[[#This Row],[NumL]],T_TraitDi[#Data],COLUMN(T_TraitDi[[#This Row],[Mardi]]),FALSE),"")</f>
        <v/>
      </c>
      <c r="AO272" s="172" t="e">
        <f>IF(VLOOKUP(T_BilanSocial[[#This Row],[NumL]],T_TraitDi[#Data],COLUMN(T_TraitDi[[#This Row],[Colonne1]]),FALSE)=0,"",TEXT(IFERROR(VLOOKUP(T_BilanSocial[[#This Row],[NumL]],T_TraitDi[#Data],COLUMN(T_TraitDi[[#This Row],[Colonne1]]),FALSE),""),"[hh]:mm"))</f>
        <v>#VALUE!</v>
      </c>
      <c r="AP272" s="172" t="e">
        <f>IF(VLOOKUP(T_BilanSocial[[#This Row],[NumL]],T_TraitDi[#Data],COLUMN(T_TraitDi[[#This Row],[Colonne9]]),FALSE)=0,"",TEXT(IFERROR(VLOOKUP(T_BilanSocial[[#This Row],[NumL]],T_TraitDi[#Data],COLUMN(T_TraitDi[[#This Row],[Colonne9]]),FALSE),""),"[hh]:mm"))</f>
        <v>#VALUE!</v>
      </c>
      <c r="AQ272" s="172" t="str">
        <f>IFERROR(VLOOKUP(T_BilanSocial[[#This Row],[NumL]],T_TraitDi[#Data],COLUMN(T_TraitDi[[#This Row],[Colonne10]]),FALSE),"")</f>
        <v/>
      </c>
      <c r="AR272" s="172" t="e">
        <f>IF(VLOOKUP(T_BilanSocial[[#This Row],[NumL]],T_TraitDi[#Data],COLUMN(T_TraitDi[[#This Row],[Colonne11]]),FALSE)=0,"",TEXT(IFERROR(VLOOKUP(T_BilanSocial[[#This Row],[NumL]],T_TraitDi[#Data],COLUMN(T_TraitDi[[#This Row],[Colonne11]]),FALSE),""),"[hh]:mm"))</f>
        <v>#VALUE!</v>
      </c>
      <c r="AS272" s="172" t="e">
        <f>IF(VLOOKUP(T_BilanSocial[[#This Row],[NumL]],T_TraitDi[#Data],COLUMN(T_TraitDi[[#This Row],[Colonne12]]),FALSE)=0,"",TEXT(IFERROR(VLOOKUP(T_BilanSocial[[#This Row],[NumL]],T_TraitDi[#Data],COLUMN(T_TraitDi[[#This Row],[Colonne12]]),FALSE),""),"[hh]:mm"))</f>
        <v>#VALUE!</v>
      </c>
      <c r="AT272" s="172" t="e">
        <f>IF(VLOOKUP(T_BilanSocial[[#This Row],[NumL]],T_TraitDi[#Data],COLUMN(T_TraitDi[[#This Row],[Colonne14]]),FALSE)=0,"",TEXT(IFERROR(VLOOKUP(T_BilanSocial[[#This Row],[NumL]],T_TraitDi[#Data],COLUMN(T_TraitDi[[#This Row],[Colonne14]]),FALSE),""),"[hh]:mm"))</f>
        <v>#VALUE!</v>
      </c>
      <c r="AU272" s="172" t="str">
        <f>IFERROR(VLOOKUP(T_BilanSocial[[#This Row],[NumL]],T_TraitDi[#Data],COLUMN(T_TraitDi[[#This Row],[Mercredi]]),FALSE),"")</f>
        <v/>
      </c>
      <c r="AV272" s="172" t="e">
        <f>IF(VLOOKUP(T_BilanSocial[[#This Row],[NumL]],T_TraitDi[#Data],COLUMN(T_TraitDi[[#This Row],[Colonne15]]),FALSE)=0,"",TEXT(IFERROR(VLOOKUP(T_BilanSocial[[#This Row],[NumL]],T_TraitDi[#Data],COLUMN(T_TraitDi[[#This Row],[Colonne15]]),FALSE),""),"[hh]:mm"))</f>
        <v>#VALUE!</v>
      </c>
      <c r="AW272" s="172" t="e">
        <f>IF(VLOOKUP(T_BilanSocial[[#This Row],[NumL]],T_TraitDi[#Data],COLUMN(T_TraitDi[[#This Row],[Colonne16]]),FALSE)=0,"",TEXT(IFERROR(VLOOKUP(T_BilanSocial[[#This Row],[NumL]],T_TraitDi[#Data],COLUMN(T_TraitDi[[#This Row],[Colonne16]]),FALSE),""),"[hh]:mm"))</f>
        <v>#VALUE!</v>
      </c>
      <c r="AX272" s="172" t="str">
        <f>IFERROR(VLOOKUP(T_BilanSocial[[#This Row],[NumL]],T_TraitDi[#Data],COLUMN(T_TraitDi[[#This Row],[Colonne17]]),FALSE),"")</f>
        <v/>
      </c>
      <c r="AY272" s="172" t="e">
        <f>IF(VLOOKUP(T_BilanSocial[[#This Row],[NumL]],T_TraitDi[#Data],COLUMN(T_TraitDi[[#This Row],[Colonne18]]),FALSE)=0,"",TEXT(IFERROR(VLOOKUP(T_BilanSocial[[#This Row],[NumL]],T_TraitDi[#Data],COLUMN(T_TraitDi[[#This Row],[Colonne18]]),FALSE),""),"[hh]:mm"))</f>
        <v>#VALUE!</v>
      </c>
      <c r="AZ272" s="172" t="e">
        <f>IF(VLOOKUP(T_BilanSocial[[#This Row],[NumL]],T_TraitDi[#Data],COLUMN(T_TraitDi[[#This Row],[Colonne19]]),FALSE)=0,"",TEXT(IFERROR(VLOOKUP(T_BilanSocial[[#This Row],[NumL]],T_TraitDi[#Data],COLUMN(T_TraitDi[[#This Row],[Colonne19]]),FALSE),""),"[hh]:mm"))</f>
        <v>#VALUE!</v>
      </c>
      <c r="BA272" s="172" t="e">
        <f>IF(VLOOKUP(T_BilanSocial[[#This Row],[NumL]],T_TraitDi[#Data],COLUMN(T_TraitDi[[#This Row],[Colonne20]]),FALSE)=0,"",TEXT(IFERROR(VLOOKUP(T_BilanSocial[[#This Row],[NumL]],T_TraitDi[#Data],COLUMN(T_TraitDi[[#This Row],[Colonne20]]),FALSE),""),"[hh]:mm"))</f>
        <v>#VALUE!</v>
      </c>
      <c r="BB272" s="178" t="str">
        <f>IFERROR(VLOOKUP(T_BilanSocial[[#This Row],[NumL]],T_TraitDi[#Data],COLUMN(T_TraitDi[[#This Row],[Jeudi]]),FALSE),"")</f>
        <v/>
      </c>
      <c r="BC272" s="178" t="e">
        <f>IF(VLOOKUP(T_BilanSocial[[#This Row],[NumL]],T_TraitDi[#Data],COLUMN(T_TraitDi[[#This Row],[Colonne21]]),FALSE)=0,"",TEXT(IFERROR(VLOOKUP(T_BilanSocial[[#This Row],[NumL]],T_TraitDi[#Data],COLUMN(T_TraitDi[[#This Row],[Colonne21]]),FALSE),""),"[hh]:mm"))</f>
        <v>#VALUE!</v>
      </c>
      <c r="BD272" s="178" t="e">
        <f>IF(VLOOKUP(T_BilanSocial[[#This Row],[NumL]],T_TraitDi[#Data],COLUMN(T_TraitDi[[#This Row],[Colonne22]]),FALSE)=0,"",TEXT(IFERROR(VLOOKUP(T_BilanSocial[[#This Row],[NumL]],T_TraitDi[#Data],COLUMN(T_TraitDi[[#This Row],[Colonne22]]),FALSE),""),"[hh]:mm"))</f>
        <v>#VALUE!</v>
      </c>
      <c r="BE272" s="178" t="str">
        <f>IFERROR(VLOOKUP(T_BilanSocial[[#This Row],[NumL]],T_TraitDi[#Data],COLUMN(T_TraitDi[[#This Row],[Colonne23]]),FALSE),"")</f>
        <v/>
      </c>
      <c r="BF272" s="178" t="e">
        <f>IF(VLOOKUP(T_BilanSocial[[#This Row],[NumL]],T_TraitDi[#Data],COLUMN(T_TraitDi[[#This Row],[Colonne24]]),FALSE)=0,"",TEXT(IFERROR(VLOOKUP(T_BilanSocial[[#This Row],[NumL]],T_TraitDi[#Data],COLUMN(T_TraitDi[[#This Row],[Colonne24]]),FALSE),""),"[hh]:mm"))</f>
        <v>#VALUE!</v>
      </c>
      <c r="BG272" s="178" t="e">
        <f>IF(VLOOKUP(T_BilanSocial[[#This Row],[NumL]],T_TraitDi[#Data],COLUMN(T_TraitDi[[#This Row],[Colonne25]]),FALSE)=0,"",TEXT(IFERROR(VLOOKUP(T_BilanSocial[[#This Row],[NumL]],T_TraitDi[#Data],COLUMN(T_TraitDi[[#This Row],[Colonne25]]),FALSE),""),"[hh]:mm"))</f>
        <v>#VALUE!</v>
      </c>
      <c r="BH272" s="178" t="e">
        <f>IF(VLOOKUP(T_BilanSocial[[#This Row],[NumL]],T_TraitDi[#Data],COLUMN(T_TraitDi[[#This Row],[Colonne26]]),FALSE)=0,"",TEXT(IFERROR(VLOOKUP(T_BilanSocial[[#This Row],[NumL]],T_TraitDi[#Data],COLUMN(T_TraitDi[[#This Row],[Colonne26]]),FALSE),""),"[hh]:mm"))</f>
        <v>#VALUE!</v>
      </c>
      <c r="BI272" s="172" t="str">
        <f>IFERROR(VLOOKUP(T_BilanSocial[[#This Row],[NumL]],T_TraitDi[#Data],COLUMN(T_TraitDi[[#This Row],[Vendredi]]),FALSE),"")</f>
        <v/>
      </c>
      <c r="BJ272" s="172" t="e">
        <f>IF(VLOOKUP(T_BilanSocial[[#This Row],[NumL]],T_TraitDi[#Data],COLUMN(T_TraitDi[[#This Row],[Colonne27]]),FALSE)=0,"",TEXT(IFERROR(VLOOKUP(T_BilanSocial[[#This Row],[NumL]],T_TraitDi[#Data],COLUMN(T_TraitDi[[#This Row],[Colonne27]]),FALSE),""),"[hh]:mm"))</f>
        <v>#VALUE!</v>
      </c>
      <c r="BK272" s="172" t="e">
        <f>IF(VLOOKUP(T_BilanSocial[[#This Row],[NumL]],T_TraitDi[#Data],COLUMN(T_TraitDi[[#This Row],[Colonne28]]),FALSE)=0,"",TEXT(IFERROR(VLOOKUP(T_BilanSocial[[#This Row],[NumL]],T_TraitDi[#Data],COLUMN(T_TraitDi[[#This Row],[Colonne28]]),FALSE),""),"[hh]:mm"))</f>
        <v>#VALUE!</v>
      </c>
      <c r="BL272" s="172" t="str">
        <f>IFERROR(VLOOKUP(T_BilanSocial[[#This Row],[NumL]],T_TraitDi[#Data],COLUMN(T_TraitDi[[#This Row],[Colonne29]]),FALSE),"")</f>
        <v/>
      </c>
      <c r="BM272" s="172" t="e">
        <f>IF(VLOOKUP(T_BilanSocial[[#This Row],[NumL]],T_TraitDi[#Data],COLUMN(T_TraitDi[[#This Row],[Colonne30]]),FALSE)=0,"",TEXT(IFERROR(VLOOKUP(T_BilanSocial[[#This Row],[NumL]],T_TraitDi[#Data],COLUMN(T_TraitDi[[#This Row],[Colonne30]]),FALSE),""),"[hh]:mm"))</f>
        <v>#VALUE!</v>
      </c>
      <c r="BN272" s="172" t="e">
        <f>IF(VLOOKUP(T_BilanSocial[[#This Row],[NumL]],T_TraitDi[#Data],COLUMN(T_TraitDi[[#This Row],[Colonne31]]),FALSE)=0,"",TEXT(IFERROR(VLOOKUP(T_BilanSocial[[#This Row],[NumL]],T_TraitDi[#Data],COLUMN(T_TraitDi[[#This Row],[Colonne31]]),FALSE),""),"[hh]:mm"))</f>
        <v>#VALUE!</v>
      </c>
      <c r="BO272" s="172" t="e">
        <f>IF(VLOOKUP(T_BilanSocial[[#This Row],[NumL]],T_TraitDi[#Data],COLUMN(T_TraitDi[[#This Row],[Colonne32]]),FALSE)=0,"",TEXT(IFERROR(VLOOKUP(T_BilanSocial[[#This Row],[NumL]],T_TraitDi[#Data],COLUMN(T_TraitDi[[#This Row],[Colonne32]]),FALSE),""),"[hh]:mm"))</f>
        <v>#VALUE!</v>
      </c>
      <c r="BP272" s="172" t="e">
        <f>VLOOKUP(T_BilanSocial[[#This Row],[NumL]],T_TraitDi[#Data],COLUMN(T_TraitDi[NbJTot]),FALSE)</f>
        <v>#N/A</v>
      </c>
      <c r="BQ272" s="174" t="str">
        <f>IFERROR(VLOOKUP(T_BilanSocial[[#This Row],[NumL]],T_TraitDi[#Data],COLUMN(T_TraitDi[[#This Row],[NbJTW]]),FALSE),"")</f>
        <v/>
      </c>
      <c r="BR272" s="174" t="e">
        <f>IF(VLOOKUP(T_BilanSocial[[#This Row],[NumL]],T_TraitDi[#Data],COLUMN(T_TraitDi[[#This Row],[NbhTW]]),FALSE)=0,"",TEXT(IFERROR(VLOOKUP(T_BilanSocial[[#This Row],[NumL]],T_TraitDi[#Data],COLUMN(T_TraitDi[[#This Row],[NbhTW]]),FALSE),""),"[hh]:mm"))</f>
        <v>#VALUE!</v>
      </c>
      <c r="BS272" s="174" t="e">
        <f>IF(VLOOKUP(T_BilanSocial[[#This Row],[NumL]],T_TraitDi[#Data],COLUMN(T_TraitDi[[#This Row],[Nbhheb]]),FALSE)=0,"",TEXT(IFERROR(VLOOKUP($A272,T_TraitDi[#Data],COLUMN(T_TraitDi[[#This Row],[Nbhheb]]),FALSE),""),"[hh]:mm"))</f>
        <v>#VALUE!</v>
      </c>
      <c r="BT272" s="182" t="str">
        <f>IFERROR(VLOOKUP(VLOOKUP($A272,T_TraitDi[#Data],COLUMN(T_TraitDi[[#This Row],[Type1]]),FALSE),TypeTW,2,FALSE),"")</f>
        <v/>
      </c>
      <c r="BU272" s="182" t="str">
        <f>IFERROR(VLOOKUP($A272,T_TraitDi[#Data],COLUMN(T_TraitDi[[#This Row],[Rue1]]),FALSE),"")</f>
        <v/>
      </c>
      <c r="BV272" s="173" t="str">
        <f>IFERROR(VLOOKUP($A272,T_TraitDi[#Data],COLUMN(T_TraitDi[[#This Row],[CP1]]),FALSE),"")</f>
        <v/>
      </c>
      <c r="BW272" s="173" t="str">
        <f>IFERROR(VLOOKUP($A272,T_TraitDi[#Data],COLUMN(T_TraitDi[[#This Row],[VILLE1]]),FALSE),"")</f>
        <v/>
      </c>
      <c r="BX272" s="182" t="str">
        <f>IFERROR(VLOOKUP(VLOOKUP($A272,T_TraitDi[#Data],COLUMN(T_TraitDi[[#This Row],[Type2]]),FALSE),TypeTW,2,FALSE),"")</f>
        <v/>
      </c>
      <c r="BY272" s="182" t="str">
        <f>IFERROR(VLOOKUP($A272,T_TraitDi[#Data],COLUMN(T_TraitDi[[#This Row],[Rue2]]),FALSE),"")</f>
        <v/>
      </c>
      <c r="BZ272" s="173" t="str">
        <f>IFERROR(VLOOKUP($A272,T_TraitDi[#Data],COLUMN(T_TraitDi[[#This Row],[CP2]]),FALSE),"")</f>
        <v/>
      </c>
      <c r="CA272" s="173" t="str">
        <f>IFERROR(VLOOKUP($A272,T_TraitDi[#Data],COLUMN(T_TraitDi[[#This Row],[VILLE2]]),FALSE),"")</f>
        <v/>
      </c>
      <c r="CB272" s="182" t="str">
        <f>IF(VLOOKUP(T_BilanSocial[[#This Row],[NumL]],T_Equipement[#Data],COLUMN(T_Equipement[[#This Row],[PC]]),FALSE)="","Aucun équipement spécifique directement lié au télétravail",VLOOKUP(T_BilanSocial[[#This Row],[NumL]],T_Equipement[#Data],COLUMN(T_Equipement[[#This Row],[PC]]),FALSE))</f>
        <v>20-3075</v>
      </c>
      <c r="CC272" s="166" t="str">
        <f>IFERROR(IF(VLOOKUP(T_BilanSocial[[#This Row],[NumL]],T_TraitDi[#Data],COLUMN(T_TraitDi[[#This Row],[Plan]]),FALSE)="OK","Un planning spécifique de télétravail est annexé à la présente convention.",""),"")</f>
        <v/>
      </c>
      <c r="CD272" s="185"/>
      <c r="CE272" s="164" t="e">
        <f>IF(VLOOKUP(T_BilanSocial[[#This Row],[NumL]],T_suiviDi[#Data],COLUMN(T_suiviDi[[#This Row],[Entité]]),FALSE)="","",VLOOKUP(T_BilanSocial[[#This Row],[NumL]],T_suiviDi[#Data],COLUMN(T_suiviDi[[#This Row],[Entité]]),FALSE))</f>
        <v>#VALUE!</v>
      </c>
      <c r="CF272" s="164" t="str">
        <f>IF(VLOOKUP(T_BilanSocial[[#This Row],[NumL]],T_Commission[#Data],COLUMN(T_Commission[[#This Row],[envoi confirm TW]]),FALSE)="","",VLOOKUP(T_BilanSocial[[#This Row],[NumL]],T_Commission[#Data],COLUMN(T_Commission[[#This Row],[envoi confirm TW]]),FALSE))</f>
        <v>Oui</v>
      </c>
      <c r="CG27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2" s="262" t="str">
        <f>T_BilanSocial[[#This Row],[Nom]]&amp;T_BilanSocial[[#This Row],[Prenom]]</f>
        <v/>
      </c>
      <c r="CI272" s="262">
        <f>VLOOKUP(T_BilanSocial[[#This Row],[NumL]],T_Commission[#Data],COLUMN(T_Commission[Commentaire]),FALSE)</f>
        <v>0</v>
      </c>
      <c r="CJ272" s="262" t="str">
        <f>IF(VLOOKUP(T_BilanSocial[[#This Row],[NumL]],T_Commission[#Data],COLUMN(T_Commission[Encadrant Email]),FALSE)="","",VLOOKUP(T_BilanSocial[[#This Row],[NumL]],T_Commission[#Data],COLUMN(T_Commission[Encadrant Email]),FALSE))</f>
        <v/>
      </c>
      <c r="CK272" s="340" t="str">
        <f>IF(T_BilanSocial[[#This Row],[Final]]&lt;&gt;"",VLOOKUP(T_BilanSocial[[#This Row],[NumL]],T_suiviDi[#Data],COLUMN((T_suiviDi[Statut])),FALSE),"")</f>
        <v/>
      </c>
    </row>
    <row r="273" spans="1:89" s="106" customFormat="1" ht="24.75" customHeight="1" x14ac:dyDescent="0.25">
      <c r="A273" s="160">
        <v>270</v>
      </c>
      <c r="B273" s="161" t="str">
        <f t="shared" si="45"/>
        <v/>
      </c>
      <c r="C273" s="162" t="s">
        <v>3287</v>
      </c>
      <c r="D273" s="95" t="e">
        <f>IF(VLOOKUP(T_BilanSocial[[#This Row],[NumL]],T_TraitDi[#Data],COLUMN(T_TraitDi[[#This Row],[WebC]]),FALSE)="","",VLOOKUP(T_BilanSocial[[#This Row],[NumL]],T_TraitDi[#Data],COLUMN(T_TraitDi[[#This Row],[WebC]]),FALSE))</f>
        <v>#VALUE!</v>
      </c>
      <c r="E273" s="163" t="str">
        <f t="shared" si="46"/>
        <v>12 janvier 2021</v>
      </c>
      <c r="F273" s="96" t="str">
        <f>IF(T_BilanSocial[[#This Row],[Final]]&lt;&gt;"",VLOOKUP(T_BilanSocial[[#This Row],[NumL]],T_suiviDi[#Data],COLUMN((T_suiviDi[Civ.])),FALSE),"")</f>
        <v/>
      </c>
      <c r="G273" s="96" t="str">
        <f>IF(T_BilanSocial[[#This Row],[Final]]&lt;&gt;"",VLOOKUP(T_BilanSocial[[#This Row],[NumL]],T_suiviDi[#Data],COLUMN((T_suiviDi[Nom])),FALSE),"")</f>
        <v/>
      </c>
      <c r="H273" s="96" t="str">
        <f>IF(T_BilanSocial[[#This Row],[Final]]&lt;&gt;"",VLOOKUP(T_BilanSocial[[#This Row],[NumL]],T_suiviDi[#Data],COLUMN((T_suiviDi[Prénom])),FALSE),"")</f>
        <v/>
      </c>
      <c r="I273" s="96" t="str">
        <f>IFERROR(VLOOKUP(T_BilanSocial[[#This Row],[Zone_Bilan]],T_P_BilanSocial[#Data],COLUMN(T_P_BilanSocial[[#This Row],[Numero_SIHAM]]),FALSE),"")</f>
        <v/>
      </c>
      <c r="J273" s="96" t="str">
        <f>IFERROR(VLOOKUP(T_BilanSocial[[#This Row],[Zone_Bilan]],T_P_BilanSocial[#Data],COLUMN(T_P_BilanSocial[[#This Row],[Sexe]]),FALSE),"")</f>
        <v/>
      </c>
      <c r="K273" s="97" t="str">
        <f>IFERROR(VLOOKUP(T_BilanSocial[[#This Row],[Zone_Bilan]],T_P_BilanSocial[#Data],COLUMN(T_P_BilanSocial[[#This Row],[Categorie]]),FALSE),"")</f>
        <v/>
      </c>
      <c r="L273" s="96" t="str">
        <f>IFERROR(VLOOKUP(T_BilanSocial[[#This Row],[Zone_Bilan]],T_P_BilanSocial[#Data],COLUMN(T_P_BilanSocial[[#This Row],[Statut]]),FALSE),"")</f>
        <v/>
      </c>
      <c r="M273" s="96" t="str">
        <f>IFERROR(VLOOKUP(T_BilanSocial[[#This Row],[Zone_Bilan]],T_P_BilanSocial[#Data],COLUMN(T_P_BilanSocial[[#This Row],[Filiere]]),FALSE),"")</f>
        <v/>
      </c>
      <c r="N273" s="96" t="e">
        <f>VLOOKUP(T_BilanSocial[[#This Row],[NumL]],T_TraitDi[#Data],COLUMN(T_TraitDi[EXP]),FALSE)</f>
        <v>#N/A</v>
      </c>
      <c r="O273" s="96" t="e">
        <f>VLOOKUP(T_BilanSocial[[#This Row],[NumL]],T_TraitDi[#Data],COLUMN(T_TraitDi[FORM]),FALSE)</f>
        <v>#N/A</v>
      </c>
      <c r="P273" s="96" t="str">
        <f>IF(T_BilanSocial[[#This Row],[Final]]&lt;&gt;"",VLOOKUP(T_BilanSocial[[#This Row],[NumL]],T_suiviDi[#Data],COLUMN((T_suiviDi[Email])),FALSE),"")</f>
        <v/>
      </c>
      <c r="Q273" s="164" t="e">
        <f t="shared" si="52"/>
        <v>#N/A</v>
      </c>
      <c r="R273" s="164" t="e">
        <f t="shared" si="53"/>
        <v>#N/A</v>
      </c>
      <c r="S273" s="164" t="e">
        <f>IF(VLOOKUP(T_BilanSocial[[#This Row],[NumL]],T_suiviDi[#Data],COLUMN(T_suiviDi[[#This Row],[Service ]]),FALSE)="","",VLOOKUP(T_BilanSocial[[#This Row],[NumL]],T_suiviDi[#Data],COLUMN(T_suiviDi[[#This Row],[Service ]]),FALSE))</f>
        <v>#VALUE!</v>
      </c>
      <c r="T273" s="164" t="str">
        <f t="shared" si="47"/>
        <v>01 septembre 2021</v>
      </c>
      <c r="U273" s="164" t="str">
        <f t="shared" si="48"/>
        <v>30 novembre 2021</v>
      </c>
      <c r="V273" s="164" t="str">
        <f t="shared" si="51"/>
        <v>30 novembre 2021</v>
      </c>
      <c r="W273" s="176" t="e">
        <f>IF(VLOOKUP(T_BilanSocial[[#This Row],[NumL]],T_TraitDi[#Data],COLUMN(T_TraitDi[[#This Row],[M1]]),FALSE)="","",VLOOKUP(T_BilanSocial[[#This Row],[NumL]],T_TraitDi[#Data],COLUMN(T_TraitDi[[#This Row],[M1]]),FALSE))</f>
        <v>#VALUE!</v>
      </c>
      <c r="X273" s="176" t="e">
        <f>IF(VLOOKUP(T_BilanSocial[[#This Row],[NumL]],T_TraitDi[#Data],COLUMN(T_TraitDi[[#This Row],[M2]]),FALSE)="","",VLOOKUP(T_BilanSocial[[#This Row],[NumL]],T_TraitDi[#Data],COLUMN(T_TraitDi[[#This Row],[M2]]),FALSE))</f>
        <v>#VALUE!</v>
      </c>
      <c r="Y273" s="176" t="e">
        <f>IF(VLOOKUP(T_BilanSocial[[#This Row],[NumL]],T_TraitDi[#Data],COLUMN(T_TraitDi[[#This Row],[M3]]),FALSE)="","",VLOOKUP(T_BilanSocial[[#This Row],[NumL]],T_TraitDi[#Data],COLUMN(T_TraitDi[[#This Row],[M3]]),FALSE))</f>
        <v>#VALUE!</v>
      </c>
      <c r="Z273" s="176" t="str">
        <f t="shared" si="50"/>
        <v/>
      </c>
      <c r="AA273" s="176" t="e">
        <f>IF(VLOOKUP(T_BilanSocial[[#This Row],[NumL]],T_TraitDi[#Data],COLUMN(T_TraitDi[[#This Row],[M5]]),FALSE)="","",VLOOKUP(T_BilanSocial[[#This Row],[NumL]],T_TraitDi[#Data],COLUMN(T_TraitDi[[#This Row],[M5]]),FALSE))</f>
        <v>#VALUE!</v>
      </c>
      <c r="AB273" s="176" t="e">
        <f>IF(VLOOKUP(T_BilanSocial[[#This Row],[NumL]],T_TraitDi[#Data],COLUMN(T_TraitDi[[#This Row],[M6]]),FALSE)="","",VLOOKUP(T_BilanSocial[[#This Row],[NumL]],T_TraitDi[#Data],COLUMN(T_TraitDi[[#This Row],[M6]]),FALSE))</f>
        <v>#VALUE!</v>
      </c>
      <c r="AC273" s="165" t="e">
        <f t="shared" si="49"/>
        <v>#VALUE!</v>
      </c>
      <c r="AD273" s="188" t="str">
        <f>IFERROR(TEXT(VLOOKUP(T_BilanSocial[[#This Row],[NumL]],T_TraitDi[#Data],COLUMN(T_TraitDi[[#This Row],[Q2]]),FALSE),"###%"),"")</f>
        <v/>
      </c>
      <c r="AE273" s="97" t="e">
        <f>VLOOKUP(T_BilanSocial[[#This Row],[NumL]],T_TraitDi[#Data],COLUMN(T_TraitDi[[#This Row],[Reg Ponct]]),FALSE)</f>
        <v>#VALUE!</v>
      </c>
      <c r="AF273" s="97" t="e">
        <f>VLOOKUP(T_BilanSocial[NumL],T_TraitDi[#Data],COLUMN(T_TraitDi[[#This Row],[Jours flottants]]),FALSE)</f>
        <v>#VALUE!</v>
      </c>
      <c r="AG273" s="97" t="str">
        <f>IFERROR(VLOOKUP(T_BilanSocial[[#This Row],[NumL]],T_TraitDi[#Data],COLUMN(T_TraitDi[[#This Row],[Lundi]]),FALSE),"")</f>
        <v/>
      </c>
      <c r="AH273" s="172" t="e">
        <f>IF(VLOOKUP(T_BilanSocial[[#This Row],[NumL]],T_TraitDi[#Data],COLUMN(T_TraitDi[[#This Row],[Colonne3]]),FALSE)=0,"",TEXT(IFERROR(VLOOKUP(T_BilanSocial[[#This Row],[NumL]],T_TraitDi[#Data],COLUMN(T_TraitDi[[#This Row],[Colonne3]]),FALSE),""),"[hh]:mm"))</f>
        <v>#VALUE!</v>
      </c>
      <c r="AI273" s="172" t="e">
        <f>IF(VLOOKUP(T_BilanSocial[[#This Row],[NumL]],T_TraitDi[#Data],COLUMN(T_TraitDi[[#This Row],[Colonne4]]),FALSE)=0,"",TEXT(IFERROR(VLOOKUP(T_BilanSocial[[#This Row],[NumL]],T_TraitDi[#Data],COLUMN(T_TraitDi[[#This Row],[Colonne4]]),FALSE),""),"[hh]:mm"))</f>
        <v>#VALUE!</v>
      </c>
      <c r="AJ273" s="172" t="e">
        <f>IF(VLOOKUP(T_BilanSocial[[#This Row],[NumL]],T_TraitDi[#Data],COLUMN(T_TraitDi[[#This Row],[Colonne5]]),FALSE)=0,"",TEXT(IFERROR(VLOOKUP(T_BilanSocial[[#This Row],[NumL]],T_TraitDi[#Data],COLUMN(T_TraitDi[[#This Row],[Colonne5]]),FALSE),""),"[hh]:mm"))</f>
        <v>#VALUE!</v>
      </c>
      <c r="AK273" s="172" t="e">
        <f>IF(VLOOKUP(T_BilanSocial[[#This Row],[NumL]],T_TraitDi[#Data],COLUMN(T_TraitDi[[#This Row],[Colonne6]]),FALSE)=0,"",TEXT(IFERROR(VLOOKUP(T_BilanSocial[[#This Row],[NumL]],T_TraitDi[#Data],COLUMN(T_TraitDi[[#This Row],[Colonne6]]),FALSE),""),"[hh]:mm"))</f>
        <v>#VALUE!</v>
      </c>
      <c r="AL273" s="172" t="e">
        <f>IF(VLOOKUP(T_BilanSocial[[#This Row],[NumL]],T_TraitDi[#Data],COLUMN(T_TraitDi[[#This Row],[Colonne7]]),FALSE)=0,"",TEXT(IFERROR(VLOOKUP(T_BilanSocial[[#This Row],[NumL]],T_TraitDi[#Data],COLUMN(T_TraitDi[[#This Row],[Colonne7]]),FALSE),""),"[hh]:mm"))</f>
        <v>#VALUE!</v>
      </c>
      <c r="AM273" s="172" t="e">
        <f>IF(VLOOKUP(T_BilanSocial[[#This Row],[NumL]],T_TraitDi[#Data],COLUMN(T_TraitDi[[#This Row],[Colonne8]]),FALSE)=0,"",TEXT(IFERROR(VLOOKUP(T_BilanSocial[[#This Row],[NumL]],T_TraitDi[#Data],COLUMN(T_TraitDi[[#This Row],[Colonne8]]),FALSE),""),"[hh]:mm"))</f>
        <v>#VALUE!</v>
      </c>
      <c r="AN273" s="172" t="str">
        <f>IFERROR(VLOOKUP(T_BilanSocial[[#This Row],[NumL]],T_TraitDi[#Data],COLUMN(T_TraitDi[[#This Row],[Mardi]]),FALSE),"")</f>
        <v/>
      </c>
      <c r="AO273" s="172" t="e">
        <f>IF(VLOOKUP(T_BilanSocial[[#This Row],[NumL]],T_TraitDi[#Data],COLUMN(T_TraitDi[[#This Row],[Colonne1]]),FALSE)=0,"",TEXT(IFERROR(VLOOKUP(T_BilanSocial[[#This Row],[NumL]],T_TraitDi[#Data],COLUMN(T_TraitDi[[#This Row],[Colonne1]]),FALSE),""),"[hh]:mm"))</f>
        <v>#VALUE!</v>
      </c>
      <c r="AP273" s="172" t="e">
        <f>IF(VLOOKUP(T_BilanSocial[[#This Row],[NumL]],T_TraitDi[#Data],COLUMN(T_TraitDi[[#This Row],[Colonne9]]),FALSE)=0,"",TEXT(IFERROR(VLOOKUP(T_BilanSocial[[#This Row],[NumL]],T_TraitDi[#Data],COLUMN(T_TraitDi[[#This Row],[Colonne9]]),FALSE),""),"[hh]:mm"))</f>
        <v>#VALUE!</v>
      </c>
      <c r="AQ273" s="172" t="str">
        <f>IFERROR(VLOOKUP(T_BilanSocial[[#This Row],[NumL]],T_TraitDi[#Data],COLUMN(T_TraitDi[[#This Row],[Colonne10]]),FALSE),"")</f>
        <v/>
      </c>
      <c r="AR273" s="172" t="e">
        <f>IF(VLOOKUP(T_BilanSocial[[#This Row],[NumL]],T_TraitDi[#Data],COLUMN(T_TraitDi[[#This Row],[Colonne11]]),FALSE)=0,"",TEXT(IFERROR(VLOOKUP(T_BilanSocial[[#This Row],[NumL]],T_TraitDi[#Data],COLUMN(T_TraitDi[[#This Row],[Colonne11]]),FALSE),""),"[hh]:mm"))</f>
        <v>#VALUE!</v>
      </c>
      <c r="AS273" s="172" t="e">
        <f>IF(VLOOKUP(T_BilanSocial[[#This Row],[NumL]],T_TraitDi[#Data],COLUMN(T_TraitDi[[#This Row],[Colonne12]]),FALSE)=0,"",TEXT(IFERROR(VLOOKUP(T_BilanSocial[[#This Row],[NumL]],T_TraitDi[#Data],COLUMN(T_TraitDi[[#This Row],[Colonne12]]),FALSE),""),"[hh]:mm"))</f>
        <v>#VALUE!</v>
      </c>
      <c r="AT273" s="172" t="e">
        <f>IF(VLOOKUP(T_BilanSocial[[#This Row],[NumL]],T_TraitDi[#Data],COLUMN(T_TraitDi[[#This Row],[Colonne14]]),FALSE)=0,"",TEXT(IFERROR(VLOOKUP(T_BilanSocial[[#This Row],[NumL]],T_TraitDi[#Data],COLUMN(T_TraitDi[[#This Row],[Colonne14]]),FALSE),""),"[hh]:mm"))</f>
        <v>#VALUE!</v>
      </c>
      <c r="AU273" s="172" t="str">
        <f>IFERROR(VLOOKUP(T_BilanSocial[[#This Row],[NumL]],T_TraitDi[#Data],COLUMN(T_TraitDi[[#This Row],[Mercredi]]),FALSE),"")</f>
        <v/>
      </c>
      <c r="AV273" s="172" t="e">
        <f>IF(VLOOKUP(T_BilanSocial[[#This Row],[NumL]],T_TraitDi[#Data],COLUMN(T_TraitDi[[#This Row],[Colonne15]]),FALSE)=0,"",TEXT(IFERROR(VLOOKUP(T_BilanSocial[[#This Row],[NumL]],T_TraitDi[#Data],COLUMN(T_TraitDi[[#This Row],[Colonne15]]),FALSE),""),"[hh]:mm"))</f>
        <v>#VALUE!</v>
      </c>
      <c r="AW273" s="172" t="e">
        <f>IF(VLOOKUP(T_BilanSocial[[#This Row],[NumL]],T_TraitDi[#Data],COLUMN(T_TraitDi[[#This Row],[Colonne16]]),FALSE)=0,"",TEXT(IFERROR(VLOOKUP(T_BilanSocial[[#This Row],[NumL]],T_TraitDi[#Data],COLUMN(T_TraitDi[[#This Row],[Colonne16]]),FALSE),""),"[hh]:mm"))</f>
        <v>#VALUE!</v>
      </c>
      <c r="AX273" s="172" t="str">
        <f>IFERROR(VLOOKUP(T_BilanSocial[[#This Row],[NumL]],T_TraitDi[#Data],COLUMN(T_TraitDi[[#This Row],[Colonne17]]),FALSE),"")</f>
        <v/>
      </c>
      <c r="AY273" s="172" t="e">
        <f>IF(VLOOKUP(T_BilanSocial[[#This Row],[NumL]],T_TraitDi[#Data],COLUMN(T_TraitDi[[#This Row],[Colonne18]]),FALSE)=0,"",TEXT(IFERROR(VLOOKUP(T_BilanSocial[[#This Row],[NumL]],T_TraitDi[#Data],COLUMN(T_TraitDi[[#This Row],[Colonne18]]),FALSE),""),"[hh]:mm"))</f>
        <v>#VALUE!</v>
      </c>
      <c r="AZ273" s="172" t="e">
        <f>IF(VLOOKUP(T_BilanSocial[[#This Row],[NumL]],T_TraitDi[#Data],COLUMN(T_TraitDi[[#This Row],[Colonne19]]),FALSE)=0,"",TEXT(IFERROR(VLOOKUP(T_BilanSocial[[#This Row],[NumL]],T_TraitDi[#Data],COLUMN(T_TraitDi[[#This Row],[Colonne19]]),FALSE),""),"[hh]:mm"))</f>
        <v>#VALUE!</v>
      </c>
      <c r="BA273" s="172" t="e">
        <f>IF(VLOOKUP(T_BilanSocial[[#This Row],[NumL]],T_TraitDi[#Data],COLUMN(T_TraitDi[[#This Row],[Colonne20]]),FALSE)=0,"",TEXT(IFERROR(VLOOKUP(T_BilanSocial[[#This Row],[NumL]],T_TraitDi[#Data],COLUMN(T_TraitDi[[#This Row],[Colonne20]]),FALSE),""),"[hh]:mm"))</f>
        <v>#VALUE!</v>
      </c>
      <c r="BB273" s="178" t="str">
        <f>IFERROR(VLOOKUP(T_BilanSocial[[#This Row],[NumL]],T_TraitDi[#Data],COLUMN(T_TraitDi[[#This Row],[Jeudi]]),FALSE),"")</f>
        <v/>
      </c>
      <c r="BC273" s="178" t="e">
        <f>IF(VLOOKUP(T_BilanSocial[[#This Row],[NumL]],T_TraitDi[#Data],COLUMN(T_TraitDi[[#This Row],[Colonne21]]),FALSE)=0,"",TEXT(IFERROR(VLOOKUP(T_BilanSocial[[#This Row],[NumL]],T_TraitDi[#Data],COLUMN(T_TraitDi[[#This Row],[Colonne21]]),FALSE),""),"[hh]:mm"))</f>
        <v>#VALUE!</v>
      </c>
      <c r="BD273" s="178" t="e">
        <f>IF(VLOOKUP(T_BilanSocial[[#This Row],[NumL]],T_TraitDi[#Data],COLUMN(T_TraitDi[[#This Row],[Colonne22]]),FALSE)=0,"",TEXT(IFERROR(VLOOKUP(T_BilanSocial[[#This Row],[NumL]],T_TraitDi[#Data],COLUMN(T_TraitDi[[#This Row],[Colonne22]]),FALSE),""),"[hh]:mm"))</f>
        <v>#VALUE!</v>
      </c>
      <c r="BE273" s="178" t="str">
        <f>IFERROR(VLOOKUP(T_BilanSocial[[#This Row],[NumL]],T_TraitDi[#Data],COLUMN(T_TraitDi[[#This Row],[Colonne23]]),FALSE),"")</f>
        <v/>
      </c>
      <c r="BF273" s="178" t="e">
        <f>IF(VLOOKUP(T_BilanSocial[[#This Row],[NumL]],T_TraitDi[#Data],COLUMN(T_TraitDi[[#This Row],[Colonne24]]),FALSE)=0,"",TEXT(IFERROR(VLOOKUP(T_BilanSocial[[#This Row],[NumL]],T_TraitDi[#Data],COLUMN(T_TraitDi[[#This Row],[Colonne24]]),FALSE),""),"[hh]:mm"))</f>
        <v>#VALUE!</v>
      </c>
      <c r="BG273" s="178" t="e">
        <f>IF(VLOOKUP(T_BilanSocial[[#This Row],[NumL]],T_TraitDi[#Data],COLUMN(T_TraitDi[[#This Row],[Colonne25]]),FALSE)=0,"",TEXT(IFERROR(VLOOKUP(T_BilanSocial[[#This Row],[NumL]],T_TraitDi[#Data],COLUMN(T_TraitDi[[#This Row],[Colonne25]]),FALSE),""),"[hh]:mm"))</f>
        <v>#VALUE!</v>
      </c>
      <c r="BH273" s="178" t="e">
        <f>IF(VLOOKUP(T_BilanSocial[[#This Row],[NumL]],T_TraitDi[#Data],COLUMN(T_TraitDi[[#This Row],[Colonne26]]),FALSE)=0,"",TEXT(IFERROR(VLOOKUP(T_BilanSocial[[#This Row],[NumL]],T_TraitDi[#Data],COLUMN(T_TraitDi[[#This Row],[Colonne26]]),FALSE),""),"[hh]:mm"))</f>
        <v>#VALUE!</v>
      </c>
      <c r="BI273" s="172" t="str">
        <f>IFERROR(VLOOKUP(T_BilanSocial[[#This Row],[NumL]],T_TraitDi[#Data],COLUMN(T_TraitDi[[#This Row],[Vendredi]]),FALSE),"")</f>
        <v/>
      </c>
      <c r="BJ273" s="172" t="e">
        <f>IF(VLOOKUP(T_BilanSocial[[#This Row],[NumL]],T_TraitDi[#Data],COLUMN(T_TraitDi[[#This Row],[Colonne27]]),FALSE)=0,"",TEXT(IFERROR(VLOOKUP(T_BilanSocial[[#This Row],[NumL]],T_TraitDi[#Data],COLUMN(T_TraitDi[[#This Row],[Colonne27]]),FALSE),""),"[hh]:mm"))</f>
        <v>#VALUE!</v>
      </c>
      <c r="BK273" s="172" t="e">
        <f>IF(VLOOKUP(T_BilanSocial[[#This Row],[NumL]],T_TraitDi[#Data],COLUMN(T_TraitDi[[#This Row],[Colonne28]]),FALSE)=0,"",TEXT(IFERROR(VLOOKUP(T_BilanSocial[[#This Row],[NumL]],T_TraitDi[#Data],COLUMN(T_TraitDi[[#This Row],[Colonne28]]),FALSE),""),"[hh]:mm"))</f>
        <v>#VALUE!</v>
      </c>
      <c r="BL273" s="172" t="str">
        <f>IFERROR(VLOOKUP(T_BilanSocial[[#This Row],[NumL]],T_TraitDi[#Data],COLUMN(T_TraitDi[[#This Row],[Colonne29]]),FALSE),"")</f>
        <v/>
      </c>
      <c r="BM273" s="172" t="e">
        <f>IF(VLOOKUP(T_BilanSocial[[#This Row],[NumL]],T_TraitDi[#Data],COLUMN(T_TraitDi[[#This Row],[Colonne30]]),FALSE)=0,"",TEXT(IFERROR(VLOOKUP(T_BilanSocial[[#This Row],[NumL]],T_TraitDi[#Data],COLUMN(T_TraitDi[[#This Row],[Colonne30]]),FALSE),""),"[hh]:mm"))</f>
        <v>#VALUE!</v>
      </c>
      <c r="BN273" s="172" t="e">
        <f>IF(VLOOKUP(T_BilanSocial[[#This Row],[NumL]],T_TraitDi[#Data],COLUMN(T_TraitDi[[#This Row],[Colonne31]]),FALSE)=0,"",TEXT(IFERROR(VLOOKUP(T_BilanSocial[[#This Row],[NumL]],T_TraitDi[#Data],COLUMN(T_TraitDi[[#This Row],[Colonne31]]),FALSE),""),"[hh]:mm"))</f>
        <v>#VALUE!</v>
      </c>
      <c r="BO273" s="172" t="e">
        <f>IF(VLOOKUP(T_BilanSocial[[#This Row],[NumL]],T_TraitDi[#Data],COLUMN(T_TraitDi[[#This Row],[Colonne32]]),FALSE)=0,"",TEXT(IFERROR(VLOOKUP(T_BilanSocial[[#This Row],[NumL]],T_TraitDi[#Data],COLUMN(T_TraitDi[[#This Row],[Colonne32]]),FALSE),""),"[hh]:mm"))</f>
        <v>#VALUE!</v>
      </c>
      <c r="BP273" s="172" t="e">
        <f>VLOOKUP(T_BilanSocial[[#This Row],[NumL]],T_TraitDi[#Data],COLUMN(T_TraitDi[NbJTot]),FALSE)</f>
        <v>#N/A</v>
      </c>
      <c r="BQ273" s="174" t="str">
        <f>IFERROR(VLOOKUP(T_BilanSocial[[#This Row],[NumL]],T_TraitDi[#Data],COLUMN(T_TraitDi[[#This Row],[NbJTW]]),FALSE),"")</f>
        <v/>
      </c>
      <c r="BR273" s="174" t="e">
        <f>IF(VLOOKUP(T_BilanSocial[[#This Row],[NumL]],T_TraitDi[#Data],COLUMN(T_TraitDi[[#This Row],[NbhTW]]),FALSE)=0,"",TEXT(IFERROR(VLOOKUP(T_BilanSocial[[#This Row],[NumL]],T_TraitDi[#Data],COLUMN(T_TraitDi[[#This Row],[NbhTW]]),FALSE),""),"[hh]:mm"))</f>
        <v>#VALUE!</v>
      </c>
      <c r="BS273" s="174" t="e">
        <f>IF(VLOOKUP(T_BilanSocial[[#This Row],[NumL]],T_TraitDi[#Data],COLUMN(T_TraitDi[[#This Row],[Nbhheb]]),FALSE)=0,"",TEXT(IFERROR(VLOOKUP($A273,T_TraitDi[#Data],COLUMN(T_TraitDi[[#This Row],[Nbhheb]]),FALSE),""),"[hh]:mm"))</f>
        <v>#VALUE!</v>
      </c>
      <c r="BT273" s="182" t="str">
        <f>IFERROR(VLOOKUP(VLOOKUP($A273,T_TraitDi[#Data],COLUMN(T_TraitDi[[#This Row],[Type1]]),FALSE),TypeTW,2,FALSE),"")</f>
        <v/>
      </c>
      <c r="BU273" s="182" t="str">
        <f>IFERROR(VLOOKUP($A273,T_TraitDi[#Data],COLUMN(T_TraitDi[[#This Row],[Rue1]]),FALSE),"")</f>
        <v/>
      </c>
      <c r="BV273" s="173" t="str">
        <f>IFERROR(VLOOKUP($A273,T_TraitDi[#Data],COLUMN(T_TraitDi[[#This Row],[CP1]]),FALSE),"")</f>
        <v/>
      </c>
      <c r="BW273" s="173" t="str">
        <f>IFERROR(VLOOKUP($A273,T_TraitDi[#Data],COLUMN(T_TraitDi[[#This Row],[VILLE1]]),FALSE),"")</f>
        <v/>
      </c>
      <c r="BX273" s="182" t="str">
        <f>IFERROR(VLOOKUP(VLOOKUP($A273,T_TraitDi[#Data],COLUMN(T_TraitDi[[#This Row],[Type2]]),FALSE),TypeTW,2,FALSE),"")</f>
        <v/>
      </c>
      <c r="BY273" s="182" t="str">
        <f>IFERROR(VLOOKUP($A273,T_TraitDi[#Data],COLUMN(T_TraitDi[[#This Row],[Rue2]]),FALSE),"")</f>
        <v/>
      </c>
      <c r="BZ273" s="173" t="str">
        <f>IFERROR(VLOOKUP($A273,T_TraitDi[#Data],COLUMN(T_TraitDi[[#This Row],[CP2]]),FALSE),"")</f>
        <v/>
      </c>
      <c r="CA273" s="173" t="str">
        <f>IFERROR(VLOOKUP($A273,T_TraitDi[#Data],COLUMN(T_TraitDi[[#This Row],[VILLE2]]),FALSE),"")</f>
        <v/>
      </c>
      <c r="CB273" s="182" t="str">
        <f>IF(VLOOKUP(T_BilanSocial[[#This Row],[NumL]],T_Equipement[#Data],COLUMN(T_Equipement[[#This Row],[PC]]),FALSE)="","Aucun équipement spécifique directement lié au télétravail",VLOOKUP(T_BilanSocial[[#This Row],[NumL]],T_Equipement[#Data],COLUMN(T_Equipement[[#This Row],[PC]]),FALSE))</f>
        <v xml:space="preserve">20-350	</v>
      </c>
      <c r="CC273" s="166" t="str">
        <f>IFERROR(IF(VLOOKUP(T_BilanSocial[[#This Row],[NumL]],T_TraitDi[#Data],COLUMN(T_TraitDi[[#This Row],[Plan]]),FALSE)="OK","Un planning spécifique de télétravail est annexé à la présente convention.",""),"")</f>
        <v/>
      </c>
      <c r="CD273" s="185"/>
      <c r="CE273" s="164" t="e">
        <f>IF(VLOOKUP(T_BilanSocial[[#This Row],[NumL]],T_suiviDi[#Data],COLUMN(T_suiviDi[[#This Row],[Entité]]),FALSE)="","",VLOOKUP(T_BilanSocial[[#This Row],[NumL]],T_suiviDi[#Data],COLUMN(T_suiviDi[[#This Row],[Entité]]),FALSE))</f>
        <v>#VALUE!</v>
      </c>
      <c r="CF273" s="164" t="str">
        <f>IF(VLOOKUP(T_BilanSocial[[#This Row],[NumL]],T_Commission[#Data],COLUMN(T_Commission[[#This Row],[envoi confirm TW]]),FALSE)="","",VLOOKUP(T_BilanSocial[[#This Row],[NumL]],T_Commission[#Data],COLUMN(T_Commission[[#This Row],[envoi confirm TW]]),FALSE))</f>
        <v>Oui</v>
      </c>
      <c r="CG27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3" s="262" t="str">
        <f>T_BilanSocial[[#This Row],[Nom]]&amp;T_BilanSocial[[#This Row],[Prenom]]</f>
        <v/>
      </c>
      <c r="CI273" s="262">
        <f>VLOOKUP(T_BilanSocial[[#This Row],[NumL]],T_Commission[#Data],COLUMN(T_Commission[Commentaire]),FALSE)</f>
        <v>0</v>
      </c>
      <c r="CJ273" s="262" t="str">
        <f>IF(VLOOKUP(T_BilanSocial[[#This Row],[NumL]],T_Commission[#Data],COLUMN(T_Commission[Encadrant Email]),FALSE)="","",VLOOKUP(T_BilanSocial[[#This Row],[NumL]],T_Commission[#Data],COLUMN(T_Commission[Encadrant Email]),FALSE))</f>
        <v/>
      </c>
      <c r="CK273" s="340" t="str">
        <f>IF(T_BilanSocial[[#This Row],[Final]]&lt;&gt;"",VLOOKUP(T_BilanSocial[[#This Row],[NumL]],T_suiviDi[#Data],COLUMN((T_suiviDi[Statut])),FALSE),"")</f>
        <v/>
      </c>
    </row>
    <row r="274" spans="1:89" s="106" customFormat="1" ht="24.75" customHeight="1" x14ac:dyDescent="0.25">
      <c r="A274" s="160">
        <v>271</v>
      </c>
      <c r="B274" s="161" t="e">
        <f t="shared" si="45"/>
        <v>#N/A</v>
      </c>
      <c r="C274" s="162" t="s">
        <v>173</v>
      </c>
      <c r="D274" s="95" t="e">
        <f>IF(VLOOKUP(T_BilanSocial[[#This Row],[NumL]],T_TraitDi[#Data],COLUMN(T_TraitDi[[#This Row],[WebC]]),FALSE)="","",VLOOKUP(T_BilanSocial[[#This Row],[NumL]],T_TraitDi[#Data],COLUMN(T_TraitDi[[#This Row],[WebC]]),FALSE))</f>
        <v>#VALUE!</v>
      </c>
      <c r="E274" s="163" t="str">
        <f t="shared" si="46"/>
        <v>12 janvier 2021</v>
      </c>
      <c r="F274" s="96" t="e">
        <f>IF(T_BilanSocial[[#This Row],[Final]]&lt;&gt;"",VLOOKUP(T_BilanSocial[[#This Row],[NumL]],T_suiviDi[#Data],COLUMN((T_suiviDi[Civ.])),FALSE),"")</f>
        <v>#N/A</v>
      </c>
      <c r="G274" s="96" t="e">
        <f>IF(T_BilanSocial[[#This Row],[Final]]&lt;&gt;"",VLOOKUP(T_BilanSocial[[#This Row],[NumL]],T_suiviDi[#Data],COLUMN((T_suiviDi[Nom])),FALSE),"")</f>
        <v>#N/A</v>
      </c>
      <c r="H274" s="96" t="e">
        <f>IF(T_BilanSocial[[#This Row],[Final]]&lt;&gt;"",VLOOKUP(T_BilanSocial[[#This Row],[NumL]],T_suiviDi[#Data],COLUMN((T_suiviDi[Prénom])),FALSE),"")</f>
        <v>#N/A</v>
      </c>
      <c r="I274" s="96" t="str">
        <f>IFERROR(VLOOKUP(T_BilanSocial[[#This Row],[Zone_Bilan]],T_P_BilanSocial[#Data],COLUMN(T_P_BilanSocial[[#This Row],[Numero_SIHAM]]),FALSE),"")</f>
        <v/>
      </c>
      <c r="J274" s="96" t="str">
        <f>IFERROR(VLOOKUP(T_BilanSocial[[#This Row],[Zone_Bilan]],T_P_BilanSocial[#Data],COLUMN(T_P_BilanSocial[[#This Row],[Sexe]]),FALSE),"")</f>
        <v/>
      </c>
      <c r="K274" s="97" t="str">
        <f>IFERROR(VLOOKUP(T_BilanSocial[[#This Row],[Zone_Bilan]],T_P_BilanSocial[#Data],COLUMN(T_P_BilanSocial[[#This Row],[Categorie]]),FALSE),"")</f>
        <v/>
      </c>
      <c r="L274" s="96" t="str">
        <f>IFERROR(VLOOKUP(T_BilanSocial[[#This Row],[Zone_Bilan]],T_P_BilanSocial[#Data],COLUMN(T_P_BilanSocial[[#This Row],[Statut]]),FALSE),"")</f>
        <v/>
      </c>
      <c r="M274" s="96" t="str">
        <f>IFERROR(VLOOKUP(T_BilanSocial[[#This Row],[Zone_Bilan]],T_P_BilanSocial[#Data],COLUMN(T_P_BilanSocial[[#This Row],[Filiere]]),FALSE),"")</f>
        <v/>
      </c>
      <c r="N274" s="96" t="e">
        <f>VLOOKUP(T_BilanSocial[[#This Row],[NumL]],T_TraitDi[#Data],COLUMN(T_TraitDi[EXP]),FALSE)</f>
        <v>#N/A</v>
      </c>
      <c r="O274" s="96" t="e">
        <f>VLOOKUP(T_BilanSocial[[#This Row],[NumL]],T_TraitDi[#Data],COLUMN(T_TraitDi[FORM]),FALSE)</f>
        <v>#N/A</v>
      </c>
      <c r="P274" s="96" t="e">
        <f>IF(T_BilanSocial[[#This Row],[Final]]&lt;&gt;"",VLOOKUP(T_BilanSocial[[#This Row],[NumL]],T_suiviDi[#Data],COLUMN((T_suiviDi[Email])),FALSE),"")</f>
        <v>#N/A</v>
      </c>
      <c r="Q274" s="164" t="e">
        <f t="shared" si="52"/>
        <v>#N/A</v>
      </c>
      <c r="R274" s="164" t="e">
        <f t="shared" si="53"/>
        <v>#N/A</v>
      </c>
      <c r="S274" s="164" t="e">
        <f>IF(VLOOKUP(T_BilanSocial[[#This Row],[NumL]],T_suiviDi[#Data],COLUMN(T_suiviDi[[#This Row],[Service ]]),FALSE)="","",VLOOKUP(T_BilanSocial[[#This Row],[NumL]],T_suiviDi[#Data],COLUMN(T_suiviDi[[#This Row],[Service ]]),FALSE))</f>
        <v>#VALUE!</v>
      </c>
      <c r="T274" s="164" t="str">
        <f t="shared" si="47"/>
        <v>01 septembre 2021</v>
      </c>
      <c r="U274" s="164" t="str">
        <f t="shared" si="48"/>
        <v>30 novembre 2021</v>
      </c>
      <c r="V274" s="164" t="str">
        <f t="shared" si="51"/>
        <v>30 novembre 2021</v>
      </c>
      <c r="W274" s="176" t="e">
        <f>IF(VLOOKUP(T_BilanSocial[[#This Row],[NumL]],T_TraitDi[#Data],COLUMN(T_TraitDi[[#This Row],[M1]]),FALSE)="","",VLOOKUP(T_BilanSocial[[#This Row],[NumL]],T_TraitDi[#Data],COLUMN(T_TraitDi[[#This Row],[M1]]),FALSE))</f>
        <v>#VALUE!</v>
      </c>
      <c r="X274" s="176" t="e">
        <f>IF(VLOOKUP(T_BilanSocial[[#This Row],[NumL]],T_TraitDi[#Data],COLUMN(T_TraitDi[[#This Row],[M2]]),FALSE)="","",VLOOKUP(T_BilanSocial[[#This Row],[NumL]],T_TraitDi[#Data],COLUMN(T_TraitDi[[#This Row],[M2]]),FALSE))</f>
        <v>#VALUE!</v>
      </c>
      <c r="Y274" s="176" t="e">
        <f>IF(VLOOKUP(T_BilanSocial[[#This Row],[NumL]],T_TraitDi[#Data],COLUMN(T_TraitDi[[#This Row],[M3]]),FALSE)="","",VLOOKUP(T_BilanSocial[[#This Row],[NumL]],T_TraitDi[#Data],COLUMN(T_TraitDi[[#This Row],[M3]]),FALSE))</f>
        <v>#VALUE!</v>
      </c>
      <c r="Z274" s="176" t="str">
        <f t="shared" si="50"/>
        <v/>
      </c>
      <c r="AA274" s="176" t="e">
        <f>IF(VLOOKUP(T_BilanSocial[[#This Row],[NumL]],T_TraitDi[#Data],COLUMN(T_TraitDi[[#This Row],[M5]]),FALSE)="","",VLOOKUP(T_BilanSocial[[#This Row],[NumL]],T_TraitDi[#Data],COLUMN(T_TraitDi[[#This Row],[M5]]),FALSE))</f>
        <v>#VALUE!</v>
      </c>
      <c r="AB274" s="176" t="e">
        <f>IF(VLOOKUP(T_BilanSocial[[#This Row],[NumL]],T_TraitDi[#Data],COLUMN(T_TraitDi[[#This Row],[M6]]),FALSE)="","",VLOOKUP(T_BilanSocial[[#This Row],[NumL]],T_TraitDi[#Data],COLUMN(T_TraitDi[[#This Row],[M6]]),FALSE))</f>
        <v>#VALUE!</v>
      </c>
      <c r="AC274" s="165" t="e">
        <f t="shared" si="49"/>
        <v>#VALUE!</v>
      </c>
      <c r="AD274" s="188" t="str">
        <f>IFERROR(TEXT(VLOOKUP(T_BilanSocial[[#This Row],[NumL]],T_TraitDi[#Data],COLUMN(T_TraitDi[[#This Row],[Q2]]),FALSE),"###%"),"")</f>
        <v/>
      </c>
      <c r="AE274" s="97" t="e">
        <f>VLOOKUP(T_BilanSocial[[#This Row],[NumL]],T_TraitDi[#Data],COLUMN(T_TraitDi[[#This Row],[Reg Ponct]]),FALSE)</f>
        <v>#VALUE!</v>
      </c>
      <c r="AF274" s="97" t="e">
        <f>VLOOKUP(T_BilanSocial[NumL],T_TraitDi[#Data],COLUMN(T_TraitDi[[#This Row],[Jours flottants]]),FALSE)</f>
        <v>#VALUE!</v>
      </c>
      <c r="AG274" s="97" t="str">
        <f>IFERROR(VLOOKUP(T_BilanSocial[[#This Row],[NumL]],T_TraitDi[#Data],COLUMN(T_TraitDi[[#This Row],[Lundi]]),FALSE),"")</f>
        <v/>
      </c>
      <c r="AH274" s="172" t="e">
        <f>IF(VLOOKUP(T_BilanSocial[[#This Row],[NumL]],T_TraitDi[#Data],COLUMN(T_TraitDi[[#This Row],[Colonne3]]),FALSE)=0,"",TEXT(IFERROR(VLOOKUP(T_BilanSocial[[#This Row],[NumL]],T_TraitDi[#Data],COLUMN(T_TraitDi[[#This Row],[Colonne3]]),FALSE),""),"[hh]:mm"))</f>
        <v>#VALUE!</v>
      </c>
      <c r="AI274" s="172" t="e">
        <f>IF(VLOOKUP(T_BilanSocial[[#This Row],[NumL]],T_TraitDi[#Data],COLUMN(T_TraitDi[[#This Row],[Colonne4]]),FALSE)=0,"",TEXT(IFERROR(VLOOKUP(T_BilanSocial[[#This Row],[NumL]],T_TraitDi[#Data],COLUMN(T_TraitDi[[#This Row],[Colonne4]]),FALSE),""),"[hh]:mm"))</f>
        <v>#VALUE!</v>
      </c>
      <c r="AJ274" s="172" t="e">
        <f>IF(VLOOKUP(T_BilanSocial[[#This Row],[NumL]],T_TraitDi[#Data],COLUMN(T_TraitDi[[#This Row],[Colonne5]]),FALSE)=0,"",TEXT(IFERROR(VLOOKUP(T_BilanSocial[[#This Row],[NumL]],T_TraitDi[#Data],COLUMN(T_TraitDi[[#This Row],[Colonne5]]),FALSE),""),"[hh]:mm"))</f>
        <v>#VALUE!</v>
      </c>
      <c r="AK274" s="172" t="e">
        <f>IF(VLOOKUP(T_BilanSocial[[#This Row],[NumL]],T_TraitDi[#Data],COLUMN(T_TraitDi[[#This Row],[Colonne6]]),FALSE)=0,"",TEXT(IFERROR(VLOOKUP(T_BilanSocial[[#This Row],[NumL]],T_TraitDi[#Data],COLUMN(T_TraitDi[[#This Row],[Colonne6]]),FALSE),""),"[hh]:mm"))</f>
        <v>#VALUE!</v>
      </c>
      <c r="AL274" s="172" t="e">
        <f>IF(VLOOKUP(T_BilanSocial[[#This Row],[NumL]],T_TraitDi[#Data],COLUMN(T_TraitDi[[#This Row],[Colonne7]]),FALSE)=0,"",TEXT(IFERROR(VLOOKUP(T_BilanSocial[[#This Row],[NumL]],T_TraitDi[#Data],COLUMN(T_TraitDi[[#This Row],[Colonne7]]),FALSE),""),"[hh]:mm"))</f>
        <v>#VALUE!</v>
      </c>
      <c r="AM274" s="172" t="e">
        <f>IF(VLOOKUP(T_BilanSocial[[#This Row],[NumL]],T_TraitDi[#Data],COLUMN(T_TraitDi[[#This Row],[Colonne8]]),FALSE)=0,"",TEXT(IFERROR(VLOOKUP(T_BilanSocial[[#This Row],[NumL]],T_TraitDi[#Data],COLUMN(T_TraitDi[[#This Row],[Colonne8]]),FALSE),""),"[hh]:mm"))</f>
        <v>#VALUE!</v>
      </c>
      <c r="AN274" s="172" t="str">
        <f>IFERROR(VLOOKUP(T_BilanSocial[[#This Row],[NumL]],T_TraitDi[#Data],COLUMN(T_TraitDi[[#This Row],[Mardi]]),FALSE),"")</f>
        <v/>
      </c>
      <c r="AO274" s="172" t="e">
        <f>IF(VLOOKUP(T_BilanSocial[[#This Row],[NumL]],T_TraitDi[#Data],COLUMN(T_TraitDi[[#This Row],[Colonne1]]),FALSE)=0,"",TEXT(IFERROR(VLOOKUP(T_BilanSocial[[#This Row],[NumL]],T_TraitDi[#Data],COLUMN(T_TraitDi[[#This Row],[Colonne1]]),FALSE),""),"[hh]:mm"))</f>
        <v>#VALUE!</v>
      </c>
      <c r="AP274" s="172" t="e">
        <f>IF(VLOOKUP(T_BilanSocial[[#This Row],[NumL]],T_TraitDi[#Data],COLUMN(T_TraitDi[[#This Row],[Colonne9]]),FALSE)=0,"",TEXT(IFERROR(VLOOKUP(T_BilanSocial[[#This Row],[NumL]],T_TraitDi[#Data],COLUMN(T_TraitDi[[#This Row],[Colonne9]]),FALSE),""),"[hh]:mm"))</f>
        <v>#VALUE!</v>
      </c>
      <c r="AQ274" s="172" t="str">
        <f>IFERROR(VLOOKUP(T_BilanSocial[[#This Row],[NumL]],T_TraitDi[#Data],COLUMN(T_TraitDi[[#This Row],[Colonne10]]),FALSE),"")</f>
        <v/>
      </c>
      <c r="AR274" s="172" t="e">
        <f>IF(VLOOKUP(T_BilanSocial[[#This Row],[NumL]],T_TraitDi[#Data],COLUMN(T_TraitDi[[#This Row],[Colonne11]]),FALSE)=0,"",TEXT(IFERROR(VLOOKUP(T_BilanSocial[[#This Row],[NumL]],T_TraitDi[#Data],COLUMN(T_TraitDi[[#This Row],[Colonne11]]),FALSE),""),"[hh]:mm"))</f>
        <v>#VALUE!</v>
      </c>
      <c r="AS274" s="172" t="e">
        <f>IF(VLOOKUP(T_BilanSocial[[#This Row],[NumL]],T_TraitDi[#Data],COLUMN(T_TraitDi[[#This Row],[Colonne12]]),FALSE)=0,"",TEXT(IFERROR(VLOOKUP(T_BilanSocial[[#This Row],[NumL]],T_TraitDi[#Data],COLUMN(T_TraitDi[[#This Row],[Colonne12]]),FALSE),""),"[hh]:mm"))</f>
        <v>#VALUE!</v>
      </c>
      <c r="AT274" s="172" t="e">
        <f>IF(VLOOKUP(T_BilanSocial[[#This Row],[NumL]],T_TraitDi[#Data],COLUMN(T_TraitDi[[#This Row],[Colonne14]]),FALSE)=0,"",TEXT(IFERROR(VLOOKUP(T_BilanSocial[[#This Row],[NumL]],T_TraitDi[#Data],COLUMN(T_TraitDi[[#This Row],[Colonne14]]),FALSE),""),"[hh]:mm"))</f>
        <v>#VALUE!</v>
      </c>
      <c r="AU274" s="172" t="str">
        <f>IFERROR(VLOOKUP(T_BilanSocial[[#This Row],[NumL]],T_TraitDi[#Data],COLUMN(T_TraitDi[[#This Row],[Mercredi]]),FALSE),"")</f>
        <v/>
      </c>
      <c r="AV274" s="172" t="e">
        <f>IF(VLOOKUP(T_BilanSocial[[#This Row],[NumL]],T_TraitDi[#Data],COLUMN(T_TraitDi[[#This Row],[Colonne15]]),FALSE)=0,"",TEXT(IFERROR(VLOOKUP(T_BilanSocial[[#This Row],[NumL]],T_TraitDi[#Data],COLUMN(T_TraitDi[[#This Row],[Colonne15]]),FALSE),""),"[hh]:mm"))</f>
        <v>#VALUE!</v>
      </c>
      <c r="AW274" s="172" t="e">
        <f>IF(VLOOKUP(T_BilanSocial[[#This Row],[NumL]],T_TraitDi[#Data],COLUMN(T_TraitDi[[#This Row],[Colonne16]]),FALSE)=0,"",TEXT(IFERROR(VLOOKUP(T_BilanSocial[[#This Row],[NumL]],T_TraitDi[#Data],COLUMN(T_TraitDi[[#This Row],[Colonne16]]),FALSE),""),"[hh]:mm"))</f>
        <v>#VALUE!</v>
      </c>
      <c r="AX274" s="172" t="str">
        <f>IFERROR(VLOOKUP(T_BilanSocial[[#This Row],[NumL]],T_TraitDi[#Data],COLUMN(T_TraitDi[[#This Row],[Colonne17]]),FALSE),"")</f>
        <v/>
      </c>
      <c r="AY274" s="172" t="e">
        <f>IF(VLOOKUP(T_BilanSocial[[#This Row],[NumL]],T_TraitDi[#Data],COLUMN(T_TraitDi[[#This Row],[Colonne18]]),FALSE)=0,"",TEXT(IFERROR(VLOOKUP(T_BilanSocial[[#This Row],[NumL]],T_TraitDi[#Data],COLUMN(T_TraitDi[[#This Row],[Colonne18]]),FALSE),""),"[hh]:mm"))</f>
        <v>#VALUE!</v>
      </c>
      <c r="AZ274" s="172" t="e">
        <f>IF(VLOOKUP(T_BilanSocial[[#This Row],[NumL]],T_TraitDi[#Data],COLUMN(T_TraitDi[[#This Row],[Colonne19]]),FALSE)=0,"",TEXT(IFERROR(VLOOKUP(T_BilanSocial[[#This Row],[NumL]],T_TraitDi[#Data],COLUMN(T_TraitDi[[#This Row],[Colonne19]]),FALSE),""),"[hh]:mm"))</f>
        <v>#VALUE!</v>
      </c>
      <c r="BA274" s="172" t="e">
        <f>IF(VLOOKUP(T_BilanSocial[[#This Row],[NumL]],T_TraitDi[#Data],COLUMN(T_TraitDi[[#This Row],[Colonne20]]),FALSE)=0,"",TEXT(IFERROR(VLOOKUP(T_BilanSocial[[#This Row],[NumL]],T_TraitDi[#Data],COLUMN(T_TraitDi[[#This Row],[Colonne20]]),FALSE),""),"[hh]:mm"))</f>
        <v>#VALUE!</v>
      </c>
      <c r="BB274" s="178" t="str">
        <f>IFERROR(VLOOKUP(T_BilanSocial[[#This Row],[NumL]],T_TraitDi[#Data],COLUMN(T_TraitDi[[#This Row],[Jeudi]]),FALSE),"")</f>
        <v/>
      </c>
      <c r="BC274" s="178" t="e">
        <f>IF(VLOOKUP(T_BilanSocial[[#This Row],[NumL]],T_TraitDi[#Data],COLUMN(T_TraitDi[[#This Row],[Colonne21]]),FALSE)=0,"",TEXT(IFERROR(VLOOKUP(T_BilanSocial[[#This Row],[NumL]],T_TraitDi[#Data],COLUMN(T_TraitDi[[#This Row],[Colonne21]]),FALSE),""),"[hh]:mm"))</f>
        <v>#VALUE!</v>
      </c>
      <c r="BD274" s="178" t="e">
        <f>IF(VLOOKUP(T_BilanSocial[[#This Row],[NumL]],T_TraitDi[#Data],COLUMN(T_TraitDi[[#This Row],[Colonne22]]),FALSE)=0,"",TEXT(IFERROR(VLOOKUP(T_BilanSocial[[#This Row],[NumL]],T_TraitDi[#Data],COLUMN(T_TraitDi[[#This Row],[Colonne22]]),FALSE),""),"[hh]:mm"))</f>
        <v>#VALUE!</v>
      </c>
      <c r="BE274" s="178" t="str">
        <f>IFERROR(VLOOKUP(T_BilanSocial[[#This Row],[NumL]],T_TraitDi[#Data],COLUMN(T_TraitDi[[#This Row],[Colonne23]]),FALSE),"")</f>
        <v/>
      </c>
      <c r="BF274" s="178" t="e">
        <f>IF(VLOOKUP(T_BilanSocial[[#This Row],[NumL]],T_TraitDi[#Data],COLUMN(T_TraitDi[[#This Row],[Colonne24]]),FALSE)=0,"",TEXT(IFERROR(VLOOKUP(T_BilanSocial[[#This Row],[NumL]],T_TraitDi[#Data],COLUMN(T_TraitDi[[#This Row],[Colonne24]]),FALSE),""),"[hh]:mm"))</f>
        <v>#VALUE!</v>
      </c>
      <c r="BG274" s="178" t="e">
        <f>IF(VLOOKUP(T_BilanSocial[[#This Row],[NumL]],T_TraitDi[#Data],COLUMN(T_TraitDi[[#This Row],[Colonne25]]),FALSE)=0,"",TEXT(IFERROR(VLOOKUP(T_BilanSocial[[#This Row],[NumL]],T_TraitDi[#Data],COLUMN(T_TraitDi[[#This Row],[Colonne25]]),FALSE),""),"[hh]:mm"))</f>
        <v>#VALUE!</v>
      </c>
      <c r="BH274" s="178" t="e">
        <f>IF(VLOOKUP(T_BilanSocial[[#This Row],[NumL]],T_TraitDi[#Data],COLUMN(T_TraitDi[[#This Row],[Colonne26]]),FALSE)=0,"",TEXT(IFERROR(VLOOKUP(T_BilanSocial[[#This Row],[NumL]],T_TraitDi[#Data],COLUMN(T_TraitDi[[#This Row],[Colonne26]]),FALSE),""),"[hh]:mm"))</f>
        <v>#VALUE!</v>
      </c>
      <c r="BI274" s="172" t="str">
        <f>IFERROR(VLOOKUP(T_BilanSocial[[#This Row],[NumL]],T_TraitDi[#Data],COLUMN(T_TraitDi[[#This Row],[Vendredi]]),FALSE),"")</f>
        <v/>
      </c>
      <c r="BJ274" s="172" t="e">
        <f>IF(VLOOKUP(T_BilanSocial[[#This Row],[NumL]],T_TraitDi[#Data],COLUMN(T_TraitDi[[#This Row],[Colonne27]]),FALSE)=0,"",TEXT(IFERROR(VLOOKUP(T_BilanSocial[[#This Row],[NumL]],T_TraitDi[#Data],COLUMN(T_TraitDi[[#This Row],[Colonne27]]),FALSE),""),"[hh]:mm"))</f>
        <v>#VALUE!</v>
      </c>
      <c r="BK274" s="172" t="e">
        <f>IF(VLOOKUP(T_BilanSocial[[#This Row],[NumL]],T_TraitDi[#Data],COLUMN(T_TraitDi[[#This Row],[Colonne28]]),FALSE)=0,"",TEXT(IFERROR(VLOOKUP(T_BilanSocial[[#This Row],[NumL]],T_TraitDi[#Data],COLUMN(T_TraitDi[[#This Row],[Colonne28]]),FALSE),""),"[hh]:mm"))</f>
        <v>#VALUE!</v>
      </c>
      <c r="BL274" s="172" t="str">
        <f>IFERROR(VLOOKUP(T_BilanSocial[[#This Row],[NumL]],T_TraitDi[#Data],COLUMN(T_TraitDi[[#This Row],[Colonne29]]),FALSE),"")</f>
        <v/>
      </c>
      <c r="BM274" s="172" t="e">
        <f>IF(VLOOKUP(T_BilanSocial[[#This Row],[NumL]],T_TraitDi[#Data],COLUMN(T_TraitDi[[#This Row],[Colonne30]]),FALSE)=0,"",TEXT(IFERROR(VLOOKUP(T_BilanSocial[[#This Row],[NumL]],T_TraitDi[#Data],COLUMN(T_TraitDi[[#This Row],[Colonne30]]),FALSE),""),"[hh]:mm"))</f>
        <v>#VALUE!</v>
      </c>
      <c r="BN274" s="172" t="e">
        <f>IF(VLOOKUP(T_BilanSocial[[#This Row],[NumL]],T_TraitDi[#Data],COLUMN(T_TraitDi[[#This Row],[Colonne31]]),FALSE)=0,"",TEXT(IFERROR(VLOOKUP(T_BilanSocial[[#This Row],[NumL]],T_TraitDi[#Data],COLUMN(T_TraitDi[[#This Row],[Colonne31]]),FALSE),""),"[hh]:mm"))</f>
        <v>#VALUE!</v>
      </c>
      <c r="BO274" s="172" t="e">
        <f>IF(VLOOKUP(T_BilanSocial[[#This Row],[NumL]],T_TraitDi[#Data],COLUMN(T_TraitDi[[#This Row],[Colonne32]]),FALSE)=0,"",TEXT(IFERROR(VLOOKUP(T_BilanSocial[[#This Row],[NumL]],T_TraitDi[#Data],COLUMN(T_TraitDi[[#This Row],[Colonne32]]),FALSE),""),"[hh]:mm"))</f>
        <v>#VALUE!</v>
      </c>
      <c r="BP274" s="172" t="e">
        <f>VLOOKUP(T_BilanSocial[[#This Row],[NumL]],T_TraitDi[#Data],COLUMN(T_TraitDi[NbJTot]),FALSE)</f>
        <v>#N/A</v>
      </c>
      <c r="BQ274" s="174" t="str">
        <f>IFERROR(VLOOKUP(T_BilanSocial[[#This Row],[NumL]],T_TraitDi[#Data],COLUMN(T_TraitDi[[#This Row],[NbJTW]]),FALSE),"")</f>
        <v/>
      </c>
      <c r="BR274" s="174" t="e">
        <f>IF(VLOOKUP(T_BilanSocial[[#This Row],[NumL]],T_TraitDi[#Data],COLUMN(T_TraitDi[[#This Row],[NbhTW]]),FALSE)=0,"",TEXT(IFERROR(VLOOKUP(T_BilanSocial[[#This Row],[NumL]],T_TraitDi[#Data],COLUMN(T_TraitDi[[#This Row],[NbhTW]]),FALSE),""),"[hh]:mm"))</f>
        <v>#VALUE!</v>
      </c>
      <c r="BS274" s="174" t="e">
        <f>IF(VLOOKUP(T_BilanSocial[[#This Row],[NumL]],T_TraitDi[#Data],COLUMN(T_TraitDi[[#This Row],[Nbhheb]]),FALSE)=0,"",TEXT(IFERROR(VLOOKUP($A274,T_TraitDi[#Data],COLUMN(T_TraitDi[[#This Row],[Nbhheb]]),FALSE),""),"[hh]:mm"))</f>
        <v>#VALUE!</v>
      </c>
      <c r="BT274" s="182" t="str">
        <f>IFERROR(VLOOKUP(VLOOKUP($A274,T_TraitDi[#Data],COLUMN(T_TraitDi[[#This Row],[Type1]]),FALSE),TypeTW,2,FALSE),"")</f>
        <v/>
      </c>
      <c r="BU274" s="182" t="str">
        <f>IFERROR(VLOOKUP($A274,T_TraitDi[#Data],COLUMN(T_TraitDi[[#This Row],[Rue1]]),FALSE),"")</f>
        <v/>
      </c>
      <c r="BV274" s="173" t="str">
        <f>IFERROR(VLOOKUP($A274,T_TraitDi[#Data],COLUMN(T_TraitDi[[#This Row],[CP1]]),FALSE),"")</f>
        <v/>
      </c>
      <c r="BW274" s="173" t="str">
        <f>IFERROR(VLOOKUP($A274,T_TraitDi[#Data],COLUMN(T_TraitDi[[#This Row],[VILLE1]]),FALSE),"")</f>
        <v/>
      </c>
      <c r="BX274" s="182" t="str">
        <f>IFERROR(VLOOKUP(VLOOKUP($A274,T_TraitDi[#Data],COLUMN(T_TraitDi[[#This Row],[Type2]]),FALSE),TypeTW,2,FALSE),"")</f>
        <v/>
      </c>
      <c r="BY274" s="182" t="str">
        <f>IFERROR(VLOOKUP($A274,T_TraitDi[#Data],COLUMN(T_TraitDi[[#This Row],[Rue2]]),FALSE),"")</f>
        <v/>
      </c>
      <c r="BZ274" s="173" t="str">
        <f>IFERROR(VLOOKUP($A274,T_TraitDi[#Data],COLUMN(T_TraitDi[[#This Row],[CP2]]),FALSE),"")</f>
        <v/>
      </c>
      <c r="CA274" s="173" t="str">
        <f>IFERROR(VLOOKUP($A274,T_TraitDi[#Data],COLUMN(T_TraitDi[[#This Row],[VILLE2]]),FALSE),"")</f>
        <v/>
      </c>
      <c r="CB274" s="182" t="e">
        <f>IF(VLOOKUP(T_BilanSocial[[#This Row],[NumL]],T_Equipement[#Data],COLUMN(T_Equipement[[#This Row],[PC]]),FALSE)="","Aucun équipement spécifique directement lié au télétravail",VLOOKUP(T_BilanSocial[[#This Row],[NumL]],T_Equipement[#Data],COLUMN(T_Equipement[[#This Row],[PC]]),FALSE))</f>
        <v>#N/A</v>
      </c>
      <c r="CC274" s="166" t="str">
        <f>IFERROR(IF(VLOOKUP(T_BilanSocial[[#This Row],[NumL]],T_TraitDi[#Data],COLUMN(T_TraitDi[[#This Row],[Plan]]),FALSE)="OK","Un planning spécifique de télétravail est annexé à la présente convention.",""),"")</f>
        <v/>
      </c>
      <c r="CD274" s="185"/>
      <c r="CE274" s="164" t="e">
        <f>IF(VLOOKUP(T_BilanSocial[[#This Row],[NumL]],T_suiviDi[#Data],COLUMN(T_suiviDi[[#This Row],[Entité]]),FALSE)="","",VLOOKUP(T_BilanSocial[[#This Row],[NumL]],T_suiviDi[#Data],COLUMN(T_suiviDi[[#This Row],[Entité]]),FALSE))</f>
        <v>#VALUE!</v>
      </c>
      <c r="CF274" s="164" t="e">
        <f>IF(VLOOKUP(T_BilanSocial[[#This Row],[NumL]],T_Commission[#Data],COLUMN(T_Commission[[#This Row],[envoi confirm TW]]),FALSE)="","",VLOOKUP(T_BilanSocial[[#This Row],[NumL]],T_Commission[#Data],COLUMN(T_Commission[[#This Row],[envoi confirm TW]]),FALSE))</f>
        <v>#N/A</v>
      </c>
      <c r="CG274"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4" s="262" t="e">
        <f>T_BilanSocial[[#This Row],[Nom]]&amp;T_BilanSocial[[#This Row],[Prenom]]</f>
        <v>#N/A</v>
      </c>
      <c r="CI274" s="262" t="e">
        <f>VLOOKUP(T_BilanSocial[[#This Row],[NumL]],T_Commission[#Data],COLUMN(T_Commission[Commentaire]),FALSE)</f>
        <v>#N/A</v>
      </c>
      <c r="CJ274" s="262" t="e">
        <f>IF(VLOOKUP(T_BilanSocial[[#This Row],[NumL]],T_Commission[#Data],COLUMN(T_Commission[Encadrant Email]),FALSE)="","",VLOOKUP(T_BilanSocial[[#This Row],[NumL]],T_Commission[#Data],COLUMN(T_Commission[Encadrant Email]),FALSE))</f>
        <v>#N/A</v>
      </c>
      <c r="CK274" s="340" t="e">
        <f>IF(T_BilanSocial[[#This Row],[Final]]&lt;&gt;"",VLOOKUP(T_BilanSocial[[#This Row],[NumL]],T_suiviDi[#Data],COLUMN((T_suiviDi[Statut])),FALSE),"")</f>
        <v>#N/A</v>
      </c>
    </row>
    <row r="275" spans="1:89" s="106" customFormat="1" ht="24.75" customHeight="1" x14ac:dyDescent="0.25">
      <c r="A275" s="160">
        <v>272</v>
      </c>
      <c r="B275" s="161" t="e">
        <f t="shared" si="45"/>
        <v>#N/A</v>
      </c>
      <c r="C275" s="162" t="s">
        <v>173</v>
      </c>
      <c r="D275" s="95" t="e">
        <f>IF(VLOOKUP(T_BilanSocial[[#This Row],[NumL]],T_TraitDi[#Data],COLUMN(T_TraitDi[[#This Row],[WebC]]),FALSE)="","",VLOOKUP(T_BilanSocial[[#This Row],[NumL]],T_TraitDi[#Data],COLUMN(T_TraitDi[[#This Row],[WebC]]),FALSE))</f>
        <v>#VALUE!</v>
      </c>
      <c r="E275" s="163" t="str">
        <f t="shared" si="46"/>
        <v>12 janvier 2021</v>
      </c>
      <c r="F275" s="96" t="e">
        <f>IF(T_BilanSocial[[#This Row],[Final]]&lt;&gt;"",VLOOKUP(T_BilanSocial[[#This Row],[NumL]],T_suiviDi[#Data],COLUMN((T_suiviDi[Civ.])),FALSE),"")</f>
        <v>#N/A</v>
      </c>
      <c r="G275" s="96" t="e">
        <f>IF(T_BilanSocial[[#This Row],[Final]]&lt;&gt;"",VLOOKUP(T_BilanSocial[[#This Row],[NumL]],T_suiviDi[#Data],COLUMN((T_suiviDi[Nom])),FALSE),"")</f>
        <v>#N/A</v>
      </c>
      <c r="H275" s="96" t="e">
        <f>IF(T_BilanSocial[[#This Row],[Final]]&lt;&gt;"",VLOOKUP(T_BilanSocial[[#This Row],[NumL]],T_suiviDi[#Data],COLUMN((T_suiviDi[Prénom])),FALSE),"")</f>
        <v>#N/A</v>
      </c>
      <c r="I275" s="96" t="str">
        <f>IFERROR(VLOOKUP(T_BilanSocial[[#This Row],[Zone_Bilan]],T_P_BilanSocial[#Data],COLUMN(T_P_BilanSocial[[#This Row],[Numero_SIHAM]]),FALSE),"")</f>
        <v/>
      </c>
      <c r="J275" s="96" t="str">
        <f>IFERROR(VLOOKUP(T_BilanSocial[[#This Row],[Zone_Bilan]],T_P_BilanSocial[#Data],COLUMN(T_P_BilanSocial[[#This Row],[Sexe]]),FALSE),"")</f>
        <v/>
      </c>
      <c r="K275" s="97" t="str">
        <f>IFERROR(VLOOKUP(T_BilanSocial[[#This Row],[Zone_Bilan]],T_P_BilanSocial[#Data],COLUMN(T_P_BilanSocial[[#This Row],[Categorie]]),FALSE),"")</f>
        <v/>
      </c>
      <c r="L275" s="96" t="str">
        <f>IFERROR(VLOOKUP(T_BilanSocial[[#This Row],[Zone_Bilan]],T_P_BilanSocial[#Data],COLUMN(T_P_BilanSocial[[#This Row],[Statut]]),FALSE),"")</f>
        <v/>
      </c>
      <c r="M275" s="96" t="str">
        <f>IFERROR(VLOOKUP(T_BilanSocial[[#This Row],[Zone_Bilan]],T_P_BilanSocial[#Data],COLUMN(T_P_BilanSocial[[#This Row],[Filiere]]),FALSE),"")</f>
        <v/>
      </c>
      <c r="N275" s="96" t="e">
        <f>VLOOKUP(T_BilanSocial[[#This Row],[NumL]],T_TraitDi[#Data],COLUMN(T_TraitDi[EXP]),FALSE)</f>
        <v>#N/A</v>
      </c>
      <c r="O275" s="96" t="e">
        <f>VLOOKUP(T_BilanSocial[[#This Row],[NumL]],T_TraitDi[#Data],COLUMN(T_TraitDi[FORM]),FALSE)</f>
        <v>#N/A</v>
      </c>
      <c r="P275" s="96" t="e">
        <f>IF(T_BilanSocial[[#This Row],[Final]]&lt;&gt;"",VLOOKUP(T_BilanSocial[[#This Row],[NumL]],T_suiviDi[#Data],COLUMN((T_suiviDi[Email])),FALSE),"")</f>
        <v>#N/A</v>
      </c>
      <c r="Q275" s="164" t="e">
        <f t="shared" si="52"/>
        <v>#N/A</v>
      </c>
      <c r="R275" s="164" t="e">
        <f t="shared" si="53"/>
        <v>#N/A</v>
      </c>
      <c r="S275" s="164" t="e">
        <f>IF(VLOOKUP(T_BilanSocial[[#This Row],[NumL]],T_suiviDi[#Data],COLUMN(T_suiviDi[[#This Row],[Service ]]),FALSE)="","",VLOOKUP(T_BilanSocial[[#This Row],[NumL]],T_suiviDi[#Data],COLUMN(T_suiviDi[[#This Row],[Service ]]),FALSE))</f>
        <v>#VALUE!</v>
      </c>
      <c r="T275" s="164" t="str">
        <f t="shared" si="47"/>
        <v>01 septembre 2021</v>
      </c>
      <c r="U275" s="164" t="str">
        <f t="shared" si="48"/>
        <v>30 novembre 2021</v>
      </c>
      <c r="V275" s="164" t="str">
        <f t="shared" si="51"/>
        <v>30 novembre 2021</v>
      </c>
      <c r="W275" s="176" t="e">
        <f>IF(VLOOKUP(T_BilanSocial[[#This Row],[NumL]],T_TraitDi[#Data],COLUMN(T_TraitDi[[#This Row],[M1]]),FALSE)="","",VLOOKUP(T_BilanSocial[[#This Row],[NumL]],T_TraitDi[#Data],COLUMN(T_TraitDi[[#This Row],[M1]]),FALSE))</f>
        <v>#VALUE!</v>
      </c>
      <c r="X275" s="176" t="e">
        <f>IF(VLOOKUP(T_BilanSocial[[#This Row],[NumL]],T_TraitDi[#Data],COLUMN(T_TraitDi[[#This Row],[M2]]),FALSE)="","",VLOOKUP(T_BilanSocial[[#This Row],[NumL]],T_TraitDi[#Data],COLUMN(T_TraitDi[[#This Row],[M2]]),FALSE))</f>
        <v>#VALUE!</v>
      </c>
      <c r="Y275" s="176" t="e">
        <f>IF(VLOOKUP(T_BilanSocial[[#This Row],[NumL]],T_TraitDi[#Data],COLUMN(T_TraitDi[[#This Row],[M3]]),FALSE)="","",VLOOKUP(T_BilanSocial[[#This Row],[NumL]],T_TraitDi[#Data],COLUMN(T_TraitDi[[#This Row],[M3]]),FALSE))</f>
        <v>#VALUE!</v>
      </c>
      <c r="Z275" s="176" t="str">
        <f t="shared" si="50"/>
        <v/>
      </c>
      <c r="AA275" s="176" t="e">
        <f>IF(VLOOKUP(T_BilanSocial[[#This Row],[NumL]],T_TraitDi[#Data],COLUMN(T_TraitDi[[#This Row],[M5]]),FALSE)="","",VLOOKUP(T_BilanSocial[[#This Row],[NumL]],T_TraitDi[#Data],COLUMN(T_TraitDi[[#This Row],[M5]]),FALSE))</f>
        <v>#VALUE!</v>
      </c>
      <c r="AB275" s="176" t="e">
        <f>IF(VLOOKUP(T_BilanSocial[[#This Row],[NumL]],T_TraitDi[#Data],COLUMN(T_TraitDi[[#This Row],[M6]]),FALSE)="","",VLOOKUP(T_BilanSocial[[#This Row],[NumL]],T_TraitDi[#Data],COLUMN(T_TraitDi[[#This Row],[M6]]),FALSE))</f>
        <v>#VALUE!</v>
      </c>
      <c r="AC275" s="165" t="e">
        <f t="shared" si="49"/>
        <v>#VALUE!</v>
      </c>
      <c r="AD275" s="188" t="str">
        <f>IFERROR(TEXT(VLOOKUP(T_BilanSocial[[#This Row],[NumL]],T_TraitDi[#Data],COLUMN(T_TraitDi[[#This Row],[Q2]]),FALSE),"###%"),"")</f>
        <v/>
      </c>
      <c r="AE275" s="97" t="e">
        <f>VLOOKUP(T_BilanSocial[[#This Row],[NumL]],T_TraitDi[#Data],COLUMN(T_TraitDi[[#This Row],[Reg Ponct]]),FALSE)</f>
        <v>#VALUE!</v>
      </c>
      <c r="AF275" s="97" t="e">
        <f>VLOOKUP(T_BilanSocial[NumL],T_TraitDi[#Data],COLUMN(T_TraitDi[[#This Row],[Jours flottants]]),FALSE)</f>
        <v>#VALUE!</v>
      </c>
      <c r="AG275" s="97" t="str">
        <f>IFERROR(VLOOKUP(T_BilanSocial[[#This Row],[NumL]],T_TraitDi[#Data],COLUMN(T_TraitDi[[#This Row],[Lundi]]),FALSE),"")</f>
        <v/>
      </c>
      <c r="AH275" s="172" t="e">
        <f>IF(VLOOKUP(T_BilanSocial[[#This Row],[NumL]],T_TraitDi[#Data],COLUMN(T_TraitDi[[#This Row],[Colonne3]]),FALSE)=0,"",TEXT(IFERROR(VLOOKUP(T_BilanSocial[[#This Row],[NumL]],T_TraitDi[#Data],COLUMN(T_TraitDi[[#This Row],[Colonne3]]),FALSE),""),"[hh]:mm"))</f>
        <v>#VALUE!</v>
      </c>
      <c r="AI275" s="172" t="e">
        <f>IF(VLOOKUP(T_BilanSocial[[#This Row],[NumL]],T_TraitDi[#Data],COLUMN(T_TraitDi[[#This Row],[Colonne4]]),FALSE)=0,"",TEXT(IFERROR(VLOOKUP(T_BilanSocial[[#This Row],[NumL]],T_TraitDi[#Data],COLUMN(T_TraitDi[[#This Row],[Colonne4]]),FALSE),""),"[hh]:mm"))</f>
        <v>#VALUE!</v>
      </c>
      <c r="AJ275" s="172" t="e">
        <f>IF(VLOOKUP(T_BilanSocial[[#This Row],[NumL]],T_TraitDi[#Data],COLUMN(T_TraitDi[[#This Row],[Colonne5]]),FALSE)=0,"",TEXT(IFERROR(VLOOKUP(T_BilanSocial[[#This Row],[NumL]],T_TraitDi[#Data],COLUMN(T_TraitDi[[#This Row],[Colonne5]]),FALSE),""),"[hh]:mm"))</f>
        <v>#VALUE!</v>
      </c>
      <c r="AK275" s="172" t="e">
        <f>IF(VLOOKUP(T_BilanSocial[[#This Row],[NumL]],T_TraitDi[#Data],COLUMN(T_TraitDi[[#This Row],[Colonne6]]),FALSE)=0,"",TEXT(IFERROR(VLOOKUP(T_BilanSocial[[#This Row],[NumL]],T_TraitDi[#Data],COLUMN(T_TraitDi[[#This Row],[Colonne6]]),FALSE),""),"[hh]:mm"))</f>
        <v>#VALUE!</v>
      </c>
      <c r="AL275" s="172" t="e">
        <f>IF(VLOOKUP(T_BilanSocial[[#This Row],[NumL]],T_TraitDi[#Data],COLUMN(T_TraitDi[[#This Row],[Colonne7]]),FALSE)=0,"",TEXT(IFERROR(VLOOKUP(T_BilanSocial[[#This Row],[NumL]],T_TraitDi[#Data],COLUMN(T_TraitDi[[#This Row],[Colonne7]]),FALSE),""),"[hh]:mm"))</f>
        <v>#VALUE!</v>
      </c>
      <c r="AM275" s="172" t="e">
        <f>IF(VLOOKUP(T_BilanSocial[[#This Row],[NumL]],T_TraitDi[#Data],COLUMN(T_TraitDi[[#This Row],[Colonne8]]),FALSE)=0,"",TEXT(IFERROR(VLOOKUP(T_BilanSocial[[#This Row],[NumL]],T_TraitDi[#Data],COLUMN(T_TraitDi[[#This Row],[Colonne8]]),FALSE),""),"[hh]:mm"))</f>
        <v>#VALUE!</v>
      </c>
      <c r="AN275" s="172" t="str">
        <f>IFERROR(VLOOKUP(T_BilanSocial[[#This Row],[NumL]],T_TraitDi[#Data],COLUMN(T_TraitDi[[#This Row],[Mardi]]),FALSE),"")</f>
        <v/>
      </c>
      <c r="AO275" s="172" t="e">
        <f>IF(VLOOKUP(T_BilanSocial[[#This Row],[NumL]],T_TraitDi[#Data],COLUMN(T_TraitDi[[#This Row],[Colonne1]]),FALSE)=0,"",TEXT(IFERROR(VLOOKUP(T_BilanSocial[[#This Row],[NumL]],T_TraitDi[#Data],COLUMN(T_TraitDi[[#This Row],[Colonne1]]),FALSE),""),"[hh]:mm"))</f>
        <v>#VALUE!</v>
      </c>
      <c r="AP275" s="172" t="e">
        <f>IF(VLOOKUP(T_BilanSocial[[#This Row],[NumL]],T_TraitDi[#Data],COLUMN(T_TraitDi[[#This Row],[Colonne9]]),FALSE)=0,"",TEXT(IFERROR(VLOOKUP(T_BilanSocial[[#This Row],[NumL]],T_TraitDi[#Data],COLUMN(T_TraitDi[[#This Row],[Colonne9]]),FALSE),""),"[hh]:mm"))</f>
        <v>#VALUE!</v>
      </c>
      <c r="AQ275" s="172" t="str">
        <f>IFERROR(VLOOKUP(T_BilanSocial[[#This Row],[NumL]],T_TraitDi[#Data],COLUMN(T_TraitDi[[#This Row],[Colonne10]]),FALSE),"")</f>
        <v/>
      </c>
      <c r="AR275" s="172" t="e">
        <f>IF(VLOOKUP(T_BilanSocial[[#This Row],[NumL]],T_TraitDi[#Data],COLUMN(T_TraitDi[[#This Row],[Colonne11]]),FALSE)=0,"",TEXT(IFERROR(VLOOKUP(T_BilanSocial[[#This Row],[NumL]],T_TraitDi[#Data],COLUMN(T_TraitDi[[#This Row],[Colonne11]]),FALSE),""),"[hh]:mm"))</f>
        <v>#VALUE!</v>
      </c>
      <c r="AS275" s="172" t="e">
        <f>IF(VLOOKUP(T_BilanSocial[[#This Row],[NumL]],T_TraitDi[#Data],COLUMN(T_TraitDi[[#This Row],[Colonne12]]),FALSE)=0,"",TEXT(IFERROR(VLOOKUP(T_BilanSocial[[#This Row],[NumL]],T_TraitDi[#Data],COLUMN(T_TraitDi[[#This Row],[Colonne12]]),FALSE),""),"[hh]:mm"))</f>
        <v>#VALUE!</v>
      </c>
      <c r="AT275" s="172" t="e">
        <f>IF(VLOOKUP(T_BilanSocial[[#This Row],[NumL]],T_TraitDi[#Data],COLUMN(T_TraitDi[[#This Row],[Colonne14]]),FALSE)=0,"",TEXT(IFERROR(VLOOKUP(T_BilanSocial[[#This Row],[NumL]],T_TraitDi[#Data],COLUMN(T_TraitDi[[#This Row],[Colonne14]]),FALSE),""),"[hh]:mm"))</f>
        <v>#VALUE!</v>
      </c>
      <c r="AU275" s="172" t="str">
        <f>IFERROR(VLOOKUP(T_BilanSocial[[#This Row],[NumL]],T_TraitDi[#Data],COLUMN(T_TraitDi[[#This Row],[Mercredi]]),FALSE),"")</f>
        <v/>
      </c>
      <c r="AV275" s="172" t="e">
        <f>IF(VLOOKUP(T_BilanSocial[[#This Row],[NumL]],T_TraitDi[#Data],COLUMN(T_TraitDi[[#This Row],[Colonne15]]),FALSE)=0,"",TEXT(IFERROR(VLOOKUP(T_BilanSocial[[#This Row],[NumL]],T_TraitDi[#Data],COLUMN(T_TraitDi[[#This Row],[Colonne15]]),FALSE),""),"[hh]:mm"))</f>
        <v>#VALUE!</v>
      </c>
      <c r="AW275" s="172" t="e">
        <f>IF(VLOOKUP(T_BilanSocial[[#This Row],[NumL]],T_TraitDi[#Data],COLUMN(T_TraitDi[[#This Row],[Colonne16]]),FALSE)=0,"",TEXT(IFERROR(VLOOKUP(T_BilanSocial[[#This Row],[NumL]],T_TraitDi[#Data],COLUMN(T_TraitDi[[#This Row],[Colonne16]]),FALSE),""),"[hh]:mm"))</f>
        <v>#VALUE!</v>
      </c>
      <c r="AX275" s="172" t="str">
        <f>IFERROR(VLOOKUP(T_BilanSocial[[#This Row],[NumL]],T_TraitDi[#Data],COLUMN(T_TraitDi[[#This Row],[Colonne17]]),FALSE),"")</f>
        <v/>
      </c>
      <c r="AY275" s="172" t="e">
        <f>IF(VLOOKUP(T_BilanSocial[[#This Row],[NumL]],T_TraitDi[#Data],COLUMN(T_TraitDi[[#This Row],[Colonne18]]),FALSE)=0,"",TEXT(IFERROR(VLOOKUP(T_BilanSocial[[#This Row],[NumL]],T_TraitDi[#Data],COLUMN(T_TraitDi[[#This Row],[Colonne18]]),FALSE),""),"[hh]:mm"))</f>
        <v>#VALUE!</v>
      </c>
      <c r="AZ275" s="172" t="e">
        <f>IF(VLOOKUP(T_BilanSocial[[#This Row],[NumL]],T_TraitDi[#Data],COLUMN(T_TraitDi[[#This Row],[Colonne19]]),FALSE)=0,"",TEXT(IFERROR(VLOOKUP(T_BilanSocial[[#This Row],[NumL]],T_TraitDi[#Data],COLUMN(T_TraitDi[[#This Row],[Colonne19]]),FALSE),""),"[hh]:mm"))</f>
        <v>#VALUE!</v>
      </c>
      <c r="BA275" s="172" t="e">
        <f>IF(VLOOKUP(T_BilanSocial[[#This Row],[NumL]],T_TraitDi[#Data],COLUMN(T_TraitDi[[#This Row],[Colonne20]]),FALSE)=0,"",TEXT(IFERROR(VLOOKUP(T_BilanSocial[[#This Row],[NumL]],T_TraitDi[#Data],COLUMN(T_TraitDi[[#This Row],[Colonne20]]),FALSE),""),"[hh]:mm"))</f>
        <v>#VALUE!</v>
      </c>
      <c r="BB275" s="178" t="str">
        <f>IFERROR(VLOOKUP(T_BilanSocial[[#This Row],[NumL]],T_TraitDi[#Data],COLUMN(T_TraitDi[[#This Row],[Jeudi]]),FALSE),"")</f>
        <v/>
      </c>
      <c r="BC275" s="178" t="e">
        <f>IF(VLOOKUP(T_BilanSocial[[#This Row],[NumL]],T_TraitDi[#Data],COLUMN(T_TraitDi[[#This Row],[Colonne21]]),FALSE)=0,"",TEXT(IFERROR(VLOOKUP(T_BilanSocial[[#This Row],[NumL]],T_TraitDi[#Data],COLUMN(T_TraitDi[[#This Row],[Colonne21]]),FALSE),""),"[hh]:mm"))</f>
        <v>#VALUE!</v>
      </c>
      <c r="BD275" s="178" t="e">
        <f>IF(VLOOKUP(T_BilanSocial[[#This Row],[NumL]],T_TraitDi[#Data],COLUMN(T_TraitDi[[#This Row],[Colonne22]]),FALSE)=0,"",TEXT(IFERROR(VLOOKUP(T_BilanSocial[[#This Row],[NumL]],T_TraitDi[#Data],COLUMN(T_TraitDi[[#This Row],[Colonne22]]),FALSE),""),"[hh]:mm"))</f>
        <v>#VALUE!</v>
      </c>
      <c r="BE275" s="178" t="str">
        <f>IFERROR(VLOOKUP(T_BilanSocial[[#This Row],[NumL]],T_TraitDi[#Data],COLUMN(T_TraitDi[[#This Row],[Colonne23]]),FALSE),"")</f>
        <v/>
      </c>
      <c r="BF275" s="178" t="e">
        <f>IF(VLOOKUP(T_BilanSocial[[#This Row],[NumL]],T_TraitDi[#Data],COLUMN(T_TraitDi[[#This Row],[Colonne24]]),FALSE)=0,"",TEXT(IFERROR(VLOOKUP(T_BilanSocial[[#This Row],[NumL]],T_TraitDi[#Data],COLUMN(T_TraitDi[[#This Row],[Colonne24]]),FALSE),""),"[hh]:mm"))</f>
        <v>#VALUE!</v>
      </c>
      <c r="BG275" s="178" t="e">
        <f>IF(VLOOKUP(T_BilanSocial[[#This Row],[NumL]],T_TraitDi[#Data],COLUMN(T_TraitDi[[#This Row],[Colonne25]]),FALSE)=0,"",TEXT(IFERROR(VLOOKUP(T_BilanSocial[[#This Row],[NumL]],T_TraitDi[#Data],COLUMN(T_TraitDi[[#This Row],[Colonne25]]),FALSE),""),"[hh]:mm"))</f>
        <v>#VALUE!</v>
      </c>
      <c r="BH275" s="178" t="e">
        <f>IF(VLOOKUP(T_BilanSocial[[#This Row],[NumL]],T_TraitDi[#Data],COLUMN(T_TraitDi[[#This Row],[Colonne26]]),FALSE)=0,"",TEXT(IFERROR(VLOOKUP(T_BilanSocial[[#This Row],[NumL]],T_TraitDi[#Data],COLUMN(T_TraitDi[[#This Row],[Colonne26]]),FALSE),""),"[hh]:mm"))</f>
        <v>#VALUE!</v>
      </c>
      <c r="BI275" s="172" t="str">
        <f>IFERROR(VLOOKUP(T_BilanSocial[[#This Row],[NumL]],T_TraitDi[#Data],COLUMN(T_TraitDi[[#This Row],[Vendredi]]),FALSE),"")</f>
        <v/>
      </c>
      <c r="BJ275" s="172" t="e">
        <f>IF(VLOOKUP(T_BilanSocial[[#This Row],[NumL]],T_TraitDi[#Data],COLUMN(T_TraitDi[[#This Row],[Colonne27]]),FALSE)=0,"",TEXT(IFERROR(VLOOKUP(T_BilanSocial[[#This Row],[NumL]],T_TraitDi[#Data],COLUMN(T_TraitDi[[#This Row],[Colonne27]]),FALSE),""),"[hh]:mm"))</f>
        <v>#VALUE!</v>
      </c>
      <c r="BK275" s="172" t="e">
        <f>IF(VLOOKUP(T_BilanSocial[[#This Row],[NumL]],T_TraitDi[#Data],COLUMN(T_TraitDi[[#This Row],[Colonne28]]),FALSE)=0,"",TEXT(IFERROR(VLOOKUP(T_BilanSocial[[#This Row],[NumL]],T_TraitDi[#Data],COLUMN(T_TraitDi[[#This Row],[Colonne28]]),FALSE),""),"[hh]:mm"))</f>
        <v>#VALUE!</v>
      </c>
      <c r="BL275" s="172" t="str">
        <f>IFERROR(VLOOKUP(T_BilanSocial[[#This Row],[NumL]],T_TraitDi[#Data],COLUMN(T_TraitDi[[#This Row],[Colonne29]]),FALSE),"")</f>
        <v/>
      </c>
      <c r="BM275" s="172" t="e">
        <f>IF(VLOOKUP(T_BilanSocial[[#This Row],[NumL]],T_TraitDi[#Data],COLUMN(T_TraitDi[[#This Row],[Colonne30]]),FALSE)=0,"",TEXT(IFERROR(VLOOKUP(T_BilanSocial[[#This Row],[NumL]],T_TraitDi[#Data],COLUMN(T_TraitDi[[#This Row],[Colonne30]]),FALSE),""),"[hh]:mm"))</f>
        <v>#VALUE!</v>
      </c>
      <c r="BN275" s="172" t="e">
        <f>IF(VLOOKUP(T_BilanSocial[[#This Row],[NumL]],T_TraitDi[#Data],COLUMN(T_TraitDi[[#This Row],[Colonne31]]),FALSE)=0,"",TEXT(IFERROR(VLOOKUP(T_BilanSocial[[#This Row],[NumL]],T_TraitDi[#Data],COLUMN(T_TraitDi[[#This Row],[Colonne31]]),FALSE),""),"[hh]:mm"))</f>
        <v>#VALUE!</v>
      </c>
      <c r="BO275" s="172" t="e">
        <f>IF(VLOOKUP(T_BilanSocial[[#This Row],[NumL]],T_TraitDi[#Data],COLUMN(T_TraitDi[[#This Row],[Colonne32]]),FALSE)=0,"",TEXT(IFERROR(VLOOKUP(T_BilanSocial[[#This Row],[NumL]],T_TraitDi[#Data],COLUMN(T_TraitDi[[#This Row],[Colonne32]]),FALSE),""),"[hh]:mm"))</f>
        <v>#VALUE!</v>
      </c>
      <c r="BP275" s="172" t="e">
        <f>VLOOKUP(T_BilanSocial[[#This Row],[NumL]],T_TraitDi[#Data],COLUMN(T_TraitDi[NbJTot]),FALSE)</f>
        <v>#N/A</v>
      </c>
      <c r="BQ275" s="174" t="str">
        <f>IFERROR(VLOOKUP(T_BilanSocial[[#This Row],[NumL]],T_TraitDi[#Data],COLUMN(T_TraitDi[[#This Row],[NbJTW]]),FALSE),"")</f>
        <v/>
      </c>
      <c r="BR275" s="174" t="e">
        <f>IF(VLOOKUP(T_BilanSocial[[#This Row],[NumL]],T_TraitDi[#Data],COLUMN(T_TraitDi[[#This Row],[NbhTW]]),FALSE)=0,"",TEXT(IFERROR(VLOOKUP(T_BilanSocial[[#This Row],[NumL]],T_TraitDi[#Data],COLUMN(T_TraitDi[[#This Row],[NbhTW]]),FALSE),""),"[hh]:mm"))</f>
        <v>#VALUE!</v>
      </c>
      <c r="BS275" s="174" t="e">
        <f>IF(VLOOKUP(T_BilanSocial[[#This Row],[NumL]],T_TraitDi[#Data],COLUMN(T_TraitDi[[#This Row],[Nbhheb]]),FALSE)=0,"",TEXT(IFERROR(VLOOKUP($A275,T_TraitDi[#Data],COLUMN(T_TraitDi[[#This Row],[Nbhheb]]),FALSE),""),"[hh]:mm"))</f>
        <v>#VALUE!</v>
      </c>
      <c r="BT275" s="182" t="str">
        <f>IFERROR(VLOOKUP(VLOOKUP($A275,T_TraitDi[#Data],COLUMN(T_TraitDi[[#This Row],[Type1]]),FALSE),TypeTW,2,FALSE),"")</f>
        <v/>
      </c>
      <c r="BU275" s="182" t="str">
        <f>IFERROR(VLOOKUP($A275,T_TraitDi[#Data],COLUMN(T_TraitDi[[#This Row],[Rue1]]),FALSE),"")</f>
        <v/>
      </c>
      <c r="BV275" s="173" t="str">
        <f>IFERROR(VLOOKUP($A275,T_TraitDi[#Data],COLUMN(T_TraitDi[[#This Row],[CP1]]),FALSE),"")</f>
        <v/>
      </c>
      <c r="BW275" s="173" t="str">
        <f>IFERROR(VLOOKUP($A275,T_TraitDi[#Data],COLUMN(T_TraitDi[[#This Row],[VILLE1]]),FALSE),"")</f>
        <v/>
      </c>
      <c r="BX275" s="182" t="str">
        <f>IFERROR(VLOOKUP(VLOOKUP($A275,T_TraitDi[#Data],COLUMN(T_TraitDi[[#This Row],[Type2]]),FALSE),TypeTW,2,FALSE),"")</f>
        <v/>
      </c>
      <c r="BY275" s="182" t="str">
        <f>IFERROR(VLOOKUP($A275,T_TraitDi[#Data],COLUMN(T_TraitDi[[#This Row],[Rue2]]),FALSE),"")</f>
        <v/>
      </c>
      <c r="BZ275" s="173" t="str">
        <f>IFERROR(VLOOKUP($A275,T_TraitDi[#Data],COLUMN(T_TraitDi[[#This Row],[CP2]]),FALSE),"")</f>
        <v/>
      </c>
      <c r="CA275" s="173" t="str">
        <f>IFERROR(VLOOKUP($A275,T_TraitDi[#Data],COLUMN(T_TraitDi[[#This Row],[VILLE2]]),FALSE),"")</f>
        <v/>
      </c>
      <c r="CB275" s="182" t="e">
        <f>IF(VLOOKUP(T_BilanSocial[[#This Row],[NumL]],T_Equipement[#Data],COLUMN(T_Equipement[[#This Row],[PC]]),FALSE)="","Aucun équipement spécifique directement lié au télétravail",VLOOKUP(T_BilanSocial[[#This Row],[NumL]],T_Equipement[#Data],COLUMN(T_Equipement[[#This Row],[PC]]),FALSE))</f>
        <v>#N/A</v>
      </c>
      <c r="CC275" s="166" t="str">
        <f>IFERROR(IF(VLOOKUP(T_BilanSocial[[#This Row],[NumL]],T_TraitDi[#Data],COLUMN(T_TraitDi[[#This Row],[Plan]]),FALSE)="OK","Un planning spécifique de télétravail est annexé à la présente convention.",""),"")</f>
        <v/>
      </c>
      <c r="CD275" s="258" t="s">
        <v>3454</v>
      </c>
      <c r="CE275" s="164" t="e">
        <f>IF(VLOOKUP(T_BilanSocial[[#This Row],[NumL]],T_suiviDi[#Data],COLUMN(T_suiviDi[[#This Row],[Entité]]),FALSE)="","",VLOOKUP(T_BilanSocial[[#This Row],[NumL]],T_suiviDi[#Data],COLUMN(T_suiviDi[[#This Row],[Entité]]),FALSE))</f>
        <v>#VALUE!</v>
      </c>
      <c r="CF275" s="164" t="e">
        <f>IF(VLOOKUP(T_BilanSocial[[#This Row],[NumL]],T_Commission[#Data],COLUMN(T_Commission[[#This Row],[envoi confirm TW]]),FALSE)="","",VLOOKUP(T_BilanSocial[[#This Row],[NumL]],T_Commission[#Data],COLUMN(T_Commission[[#This Row],[envoi confirm TW]]),FALSE))</f>
        <v>#N/A</v>
      </c>
      <c r="CG275"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5" s="262" t="e">
        <f>T_BilanSocial[[#This Row],[Nom]]&amp;T_BilanSocial[[#This Row],[Prenom]]</f>
        <v>#N/A</v>
      </c>
      <c r="CI275" s="262" t="e">
        <f>VLOOKUP(T_BilanSocial[[#This Row],[NumL]],T_Commission[#Data],COLUMN(T_Commission[Commentaire]),FALSE)</f>
        <v>#N/A</v>
      </c>
      <c r="CJ275" s="262" t="e">
        <f>IF(VLOOKUP(T_BilanSocial[[#This Row],[NumL]],T_Commission[#Data],COLUMN(T_Commission[Encadrant Email]),FALSE)="","",VLOOKUP(T_BilanSocial[[#This Row],[NumL]],T_Commission[#Data],COLUMN(T_Commission[Encadrant Email]),FALSE))</f>
        <v>#N/A</v>
      </c>
      <c r="CK275" s="340" t="e">
        <f>IF(T_BilanSocial[[#This Row],[Final]]&lt;&gt;"",VLOOKUP(T_BilanSocial[[#This Row],[NumL]],T_suiviDi[#Data],COLUMN((T_suiviDi[Statut])),FALSE),"")</f>
        <v>#N/A</v>
      </c>
    </row>
    <row r="276" spans="1:89" s="106" customFormat="1" ht="24.75" customHeight="1" x14ac:dyDescent="0.25">
      <c r="A276" s="160">
        <v>273</v>
      </c>
      <c r="B276" s="161" t="str">
        <f t="shared" si="45"/>
        <v/>
      </c>
      <c r="C276" s="162" t="s">
        <v>173</v>
      </c>
      <c r="D276" s="95" t="e">
        <f>IF(VLOOKUP(T_BilanSocial[[#This Row],[NumL]],T_TraitDi[#Data],COLUMN(T_TraitDi[[#This Row],[WebC]]),FALSE)="","",VLOOKUP(T_BilanSocial[[#This Row],[NumL]],T_TraitDi[#Data],COLUMN(T_TraitDi[[#This Row],[WebC]]),FALSE))</f>
        <v>#VALUE!</v>
      </c>
      <c r="E276" s="163" t="str">
        <f t="shared" si="46"/>
        <v>12 janvier 2021</v>
      </c>
      <c r="F276" s="96" t="str">
        <f>IF(T_BilanSocial[[#This Row],[Final]]&lt;&gt;"",VLOOKUP(T_BilanSocial[[#This Row],[NumL]],T_suiviDi[#Data],COLUMN((T_suiviDi[Civ.])),FALSE),"")</f>
        <v/>
      </c>
      <c r="G276" s="96" t="str">
        <f>IF(T_BilanSocial[[#This Row],[Final]]&lt;&gt;"",VLOOKUP(T_BilanSocial[[#This Row],[NumL]],T_suiviDi[#Data],COLUMN((T_suiviDi[Nom])),FALSE),"")</f>
        <v/>
      </c>
      <c r="H276" s="96" t="str">
        <f>IF(T_BilanSocial[[#This Row],[Final]]&lt;&gt;"",VLOOKUP(T_BilanSocial[[#This Row],[NumL]],T_suiviDi[#Data],COLUMN((T_suiviDi[Prénom])),FALSE),"")</f>
        <v/>
      </c>
      <c r="I276" s="96" t="str">
        <f>IFERROR(VLOOKUP(T_BilanSocial[[#This Row],[Zone_Bilan]],T_P_BilanSocial[#Data],COLUMN(T_P_BilanSocial[[#This Row],[Numero_SIHAM]]),FALSE),"")</f>
        <v/>
      </c>
      <c r="J276" s="96" t="str">
        <f>IFERROR(VLOOKUP(T_BilanSocial[[#This Row],[Zone_Bilan]],T_P_BilanSocial[#Data],COLUMN(T_P_BilanSocial[[#This Row],[Sexe]]),FALSE),"")</f>
        <v/>
      </c>
      <c r="K276" s="97" t="str">
        <f>IFERROR(VLOOKUP(T_BilanSocial[[#This Row],[Zone_Bilan]],T_P_BilanSocial[#Data],COLUMN(T_P_BilanSocial[[#This Row],[Categorie]]),FALSE),"")</f>
        <v/>
      </c>
      <c r="L276" s="96" t="str">
        <f>IFERROR(VLOOKUP(T_BilanSocial[[#This Row],[Zone_Bilan]],T_P_BilanSocial[#Data],COLUMN(T_P_BilanSocial[[#This Row],[Statut]]),FALSE),"")</f>
        <v/>
      </c>
      <c r="M276" s="96" t="str">
        <f>IFERROR(VLOOKUP(T_BilanSocial[[#This Row],[Zone_Bilan]],T_P_BilanSocial[#Data],COLUMN(T_P_BilanSocial[[#This Row],[Filiere]]),FALSE),"")</f>
        <v/>
      </c>
      <c r="N276" s="96" t="e">
        <f>VLOOKUP(T_BilanSocial[[#This Row],[NumL]],T_TraitDi[#Data],COLUMN(T_TraitDi[EXP]),FALSE)</f>
        <v>#N/A</v>
      </c>
      <c r="O276" s="96" t="e">
        <f>VLOOKUP(T_BilanSocial[[#This Row],[NumL]],T_TraitDi[#Data],COLUMN(T_TraitDi[FORM]),FALSE)</f>
        <v>#N/A</v>
      </c>
      <c r="P276" s="96" t="str">
        <f>IF(T_BilanSocial[[#This Row],[Final]]&lt;&gt;"",VLOOKUP(T_BilanSocial[[#This Row],[NumL]],T_suiviDi[#Data],COLUMN((T_suiviDi[Email])),FALSE),"")</f>
        <v/>
      </c>
      <c r="Q276" s="164" t="e">
        <f t="shared" si="52"/>
        <v>#N/A</v>
      </c>
      <c r="R276" s="164" t="e">
        <f t="shared" si="53"/>
        <v>#N/A</v>
      </c>
      <c r="S276" s="164" t="e">
        <f>IF(VLOOKUP(T_BilanSocial[[#This Row],[NumL]],T_suiviDi[#Data],COLUMN(T_suiviDi[[#This Row],[Service ]]),FALSE)="","",VLOOKUP(T_BilanSocial[[#This Row],[NumL]],T_suiviDi[#Data],COLUMN(T_suiviDi[[#This Row],[Service ]]),FALSE))</f>
        <v>#VALUE!</v>
      </c>
      <c r="T276" s="164" t="str">
        <f t="shared" si="47"/>
        <v>01 septembre 2021</v>
      </c>
      <c r="U276" s="164" t="str">
        <f t="shared" si="48"/>
        <v>30 novembre 2021</v>
      </c>
      <c r="V276" s="164" t="str">
        <f t="shared" si="51"/>
        <v>30 novembre 2021</v>
      </c>
      <c r="W276" s="176" t="e">
        <f>IF(VLOOKUP(T_BilanSocial[[#This Row],[NumL]],T_TraitDi[#Data],COLUMN(T_TraitDi[[#This Row],[M1]]),FALSE)="","",VLOOKUP(T_BilanSocial[[#This Row],[NumL]],T_TraitDi[#Data],COLUMN(T_TraitDi[[#This Row],[M1]]),FALSE))</f>
        <v>#VALUE!</v>
      </c>
      <c r="X276" s="176" t="e">
        <f>IF(VLOOKUP(T_BilanSocial[[#This Row],[NumL]],T_TraitDi[#Data],COLUMN(T_TraitDi[[#This Row],[M2]]),FALSE)="","",VLOOKUP(T_BilanSocial[[#This Row],[NumL]],T_TraitDi[#Data],COLUMN(T_TraitDi[[#This Row],[M2]]),FALSE))</f>
        <v>#VALUE!</v>
      </c>
      <c r="Y276" s="176" t="e">
        <f>IF(VLOOKUP(T_BilanSocial[[#This Row],[NumL]],T_TraitDi[#Data],COLUMN(T_TraitDi[[#This Row],[M3]]),FALSE)="","",VLOOKUP(T_BilanSocial[[#This Row],[NumL]],T_TraitDi[#Data],COLUMN(T_TraitDi[[#This Row],[M3]]),FALSE))</f>
        <v>#VALUE!</v>
      </c>
      <c r="Z276" s="176" t="str">
        <f t="shared" si="50"/>
        <v/>
      </c>
      <c r="AA276" s="176" t="e">
        <f>IF(VLOOKUP(T_BilanSocial[[#This Row],[NumL]],T_TraitDi[#Data],COLUMN(T_TraitDi[[#This Row],[M5]]),FALSE)="","",VLOOKUP(T_BilanSocial[[#This Row],[NumL]],T_TraitDi[#Data],COLUMN(T_TraitDi[[#This Row],[M5]]),FALSE))</f>
        <v>#VALUE!</v>
      </c>
      <c r="AB276" s="176" t="e">
        <f>IF(VLOOKUP(T_BilanSocial[[#This Row],[NumL]],T_TraitDi[#Data],COLUMN(T_TraitDi[[#This Row],[M6]]),FALSE)="","",VLOOKUP(T_BilanSocial[[#This Row],[NumL]],T_TraitDi[#Data],COLUMN(T_TraitDi[[#This Row],[M6]]),FALSE))</f>
        <v>#VALUE!</v>
      </c>
      <c r="AC276" s="165" t="e">
        <f t="shared" si="49"/>
        <v>#VALUE!</v>
      </c>
      <c r="AD276" s="188" t="str">
        <f>IFERROR(TEXT(VLOOKUP(T_BilanSocial[[#This Row],[NumL]],T_TraitDi[#Data],COLUMN(T_TraitDi[[#This Row],[Q2]]),FALSE),"###%"),"")</f>
        <v/>
      </c>
      <c r="AE276" s="97" t="e">
        <f>VLOOKUP(T_BilanSocial[[#This Row],[NumL]],T_TraitDi[#Data],COLUMN(T_TraitDi[[#This Row],[Reg Ponct]]),FALSE)</f>
        <v>#VALUE!</v>
      </c>
      <c r="AF276" s="97" t="e">
        <f>VLOOKUP(T_BilanSocial[NumL],T_TraitDi[#Data],COLUMN(T_TraitDi[[#This Row],[Jours flottants]]),FALSE)</f>
        <v>#VALUE!</v>
      </c>
      <c r="AG276" s="97" t="str">
        <f>IFERROR(VLOOKUP(T_BilanSocial[[#This Row],[NumL]],T_TraitDi[#Data],COLUMN(T_TraitDi[[#This Row],[Lundi]]),FALSE),"")</f>
        <v/>
      </c>
      <c r="AH276" s="172" t="e">
        <f>IF(VLOOKUP(T_BilanSocial[[#This Row],[NumL]],T_TraitDi[#Data],COLUMN(T_TraitDi[[#This Row],[Colonne3]]),FALSE)=0,"",TEXT(IFERROR(VLOOKUP(T_BilanSocial[[#This Row],[NumL]],T_TraitDi[#Data],COLUMN(T_TraitDi[[#This Row],[Colonne3]]),FALSE),""),"[hh]:mm"))</f>
        <v>#VALUE!</v>
      </c>
      <c r="AI276" s="172" t="e">
        <f>IF(VLOOKUP(T_BilanSocial[[#This Row],[NumL]],T_TraitDi[#Data],COLUMN(T_TraitDi[[#This Row],[Colonne4]]),FALSE)=0,"",TEXT(IFERROR(VLOOKUP(T_BilanSocial[[#This Row],[NumL]],T_TraitDi[#Data],COLUMN(T_TraitDi[[#This Row],[Colonne4]]),FALSE),""),"[hh]:mm"))</f>
        <v>#VALUE!</v>
      </c>
      <c r="AJ276" s="172" t="e">
        <f>IF(VLOOKUP(T_BilanSocial[[#This Row],[NumL]],T_TraitDi[#Data],COLUMN(T_TraitDi[[#This Row],[Colonne5]]),FALSE)=0,"",TEXT(IFERROR(VLOOKUP(T_BilanSocial[[#This Row],[NumL]],T_TraitDi[#Data],COLUMN(T_TraitDi[[#This Row],[Colonne5]]),FALSE),""),"[hh]:mm"))</f>
        <v>#VALUE!</v>
      </c>
      <c r="AK276" s="172" t="e">
        <f>IF(VLOOKUP(T_BilanSocial[[#This Row],[NumL]],T_TraitDi[#Data],COLUMN(T_TraitDi[[#This Row],[Colonne6]]),FALSE)=0,"",TEXT(IFERROR(VLOOKUP(T_BilanSocial[[#This Row],[NumL]],T_TraitDi[#Data],COLUMN(T_TraitDi[[#This Row],[Colonne6]]),FALSE),""),"[hh]:mm"))</f>
        <v>#VALUE!</v>
      </c>
      <c r="AL276" s="172" t="e">
        <f>IF(VLOOKUP(T_BilanSocial[[#This Row],[NumL]],T_TraitDi[#Data],COLUMN(T_TraitDi[[#This Row],[Colonne7]]),FALSE)=0,"",TEXT(IFERROR(VLOOKUP(T_BilanSocial[[#This Row],[NumL]],T_TraitDi[#Data],COLUMN(T_TraitDi[[#This Row],[Colonne7]]),FALSE),""),"[hh]:mm"))</f>
        <v>#VALUE!</v>
      </c>
      <c r="AM276" s="172" t="e">
        <f>IF(VLOOKUP(T_BilanSocial[[#This Row],[NumL]],T_TraitDi[#Data],COLUMN(T_TraitDi[[#This Row],[Colonne8]]),FALSE)=0,"",TEXT(IFERROR(VLOOKUP(T_BilanSocial[[#This Row],[NumL]],T_TraitDi[#Data],COLUMN(T_TraitDi[[#This Row],[Colonne8]]),FALSE),""),"[hh]:mm"))</f>
        <v>#VALUE!</v>
      </c>
      <c r="AN276" s="172" t="str">
        <f>IFERROR(VLOOKUP(T_BilanSocial[[#This Row],[NumL]],T_TraitDi[#Data],COLUMN(T_TraitDi[[#This Row],[Mardi]]),FALSE),"")</f>
        <v/>
      </c>
      <c r="AO276" s="172" t="e">
        <f>IF(VLOOKUP(T_BilanSocial[[#This Row],[NumL]],T_TraitDi[#Data],COLUMN(T_TraitDi[[#This Row],[Colonne1]]),FALSE)=0,"",TEXT(IFERROR(VLOOKUP(T_BilanSocial[[#This Row],[NumL]],T_TraitDi[#Data],COLUMN(T_TraitDi[[#This Row],[Colonne1]]),FALSE),""),"[hh]:mm"))</f>
        <v>#VALUE!</v>
      </c>
      <c r="AP276" s="172" t="e">
        <f>IF(VLOOKUP(T_BilanSocial[[#This Row],[NumL]],T_TraitDi[#Data],COLUMN(T_TraitDi[[#This Row],[Colonne9]]),FALSE)=0,"",TEXT(IFERROR(VLOOKUP(T_BilanSocial[[#This Row],[NumL]],T_TraitDi[#Data],COLUMN(T_TraitDi[[#This Row],[Colonne9]]),FALSE),""),"[hh]:mm"))</f>
        <v>#VALUE!</v>
      </c>
      <c r="AQ276" s="172" t="str">
        <f>IFERROR(VLOOKUP(T_BilanSocial[[#This Row],[NumL]],T_TraitDi[#Data],COLUMN(T_TraitDi[[#This Row],[Colonne10]]),FALSE),"")</f>
        <v/>
      </c>
      <c r="AR276" s="172" t="e">
        <f>IF(VLOOKUP(T_BilanSocial[[#This Row],[NumL]],T_TraitDi[#Data],COLUMN(T_TraitDi[[#This Row],[Colonne11]]),FALSE)=0,"",TEXT(IFERROR(VLOOKUP(T_BilanSocial[[#This Row],[NumL]],T_TraitDi[#Data],COLUMN(T_TraitDi[[#This Row],[Colonne11]]),FALSE),""),"[hh]:mm"))</f>
        <v>#VALUE!</v>
      </c>
      <c r="AS276" s="172" t="e">
        <f>IF(VLOOKUP(T_BilanSocial[[#This Row],[NumL]],T_TraitDi[#Data],COLUMN(T_TraitDi[[#This Row],[Colonne12]]),FALSE)=0,"",TEXT(IFERROR(VLOOKUP(T_BilanSocial[[#This Row],[NumL]],T_TraitDi[#Data],COLUMN(T_TraitDi[[#This Row],[Colonne12]]),FALSE),""),"[hh]:mm"))</f>
        <v>#VALUE!</v>
      </c>
      <c r="AT276" s="172" t="e">
        <f>IF(VLOOKUP(T_BilanSocial[[#This Row],[NumL]],T_TraitDi[#Data],COLUMN(T_TraitDi[[#This Row],[Colonne14]]),FALSE)=0,"",TEXT(IFERROR(VLOOKUP(T_BilanSocial[[#This Row],[NumL]],T_TraitDi[#Data],COLUMN(T_TraitDi[[#This Row],[Colonne14]]),FALSE),""),"[hh]:mm"))</f>
        <v>#VALUE!</v>
      </c>
      <c r="AU276" s="172" t="str">
        <f>IFERROR(VLOOKUP(T_BilanSocial[[#This Row],[NumL]],T_TraitDi[#Data],COLUMN(T_TraitDi[[#This Row],[Mercredi]]),FALSE),"")</f>
        <v/>
      </c>
      <c r="AV276" s="172" t="e">
        <f>IF(VLOOKUP(T_BilanSocial[[#This Row],[NumL]],T_TraitDi[#Data],COLUMN(T_TraitDi[[#This Row],[Colonne15]]),FALSE)=0,"",TEXT(IFERROR(VLOOKUP(T_BilanSocial[[#This Row],[NumL]],T_TraitDi[#Data],COLUMN(T_TraitDi[[#This Row],[Colonne15]]),FALSE),""),"[hh]:mm"))</f>
        <v>#VALUE!</v>
      </c>
      <c r="AW276" s="172" t="e">
        <f>IF(VLOOKUP(T_BilanSocial[[#This Row],[NumL]],T_TraitDi[#Data],COLUMN(T_TraitDi[[#This Row],[Colonne16]]),FALSE)=0,"",TEXT(IFERROR(VLOOKUP(T_BilanSocial[[#This Row],[NumL]],T_TraitDi[#Data],COLUMN(T_TraitDi[[#This Row],[Colonne16]]),FALSE),""),"[hh]:mm"))</f>
        <v>#VALUE!</v>
      </c>
      <c r="AX276" s="172" t="str">
        <f>IFERROR(VLOOKUP(T_BilanSocial[[#This Row],[NumL]],T_TraitDi[#Data],COLUMN(T_TraitDi[[#This Row],[Colonne17]]),FALSE),"")</f>
        <v/>
      </c>
      <c r="AY276" s="172" t="e">
        <f>IF(VLOOKUP(T_BilanSocial[[#This Row],[NumL]],T_TraitDi[#Data],COLUMN(T_TraitDi[[#This Row],[Colonne18]]),FALSE)=0,"",TEXT(IFERROR(VLOOKUP(T_BilanSocial[[#This Row],[NumL]],T_TraitDi[#Data],COLUMN(T_TraitDi[[#This Row],[Colonne18]]),FALSE),""),"[hh]:mm"))</f>
        <v>#VALUE!</v>
      </c>
      <c r="AZ276" s="172" t="e">
        <f>IF(VLOOKUP(T_BilanSocial[[#This Row],[NumL]],T_TraitDi[#Data],COLUMN(T_TraitDi[[#This Row],[Colonne19]]),FALSE)=0,"",TEXT(IFERROR(VLOOKUP(T_BilanSocial[[#This Row],[NumL]],T_TraitDi[#Data],COLUMN(T_TraitDi[[#This Row],[Colonne19]]),FALSE),""),"[hh]:mm"))</f>
        <v>#VALUE!</v>
      </c>
      <c r="BA276" s="172" t="e">
        <f>IF(VLOOKUP(T_BilanSocial[[#This Row],[NumL]],T_TraitDi[#Data],COLUMN(T_TraitDi[[#This Row],[Colonne20]]),FALSE)=0,"",TEXT(IFERROR(VLOOKUP(T_BilanSocial[[#This Row],[NumL]],T_TraitDi[#Data],COLUMN(T_TraitDi[[#This Row],[Colonne20]]),FALSE),""),"[hh]:mm"))</f>
        <v>#VALUE!</v>
      </c>
      <c r="BB276" s="178" t="str">
        <f>IFERROR(VLOOKUP(T_BilanSocial[[#This Row],[NumL]],T_TraitDi[#Data],COLUMN(T_TraitDi[[#This Row],[Jeudi]]),FALSE),"")</f>
        <v/>
      </c>
      <c r="BC276" s="178" t="e">
        <f>IF(VLOOKUP(T_BilanSocial[[#This Row],[NumL]],T_TraitDi[#Data],COLUMN(T_TraitDi[[#This Row],[Colonne21]]),FALSE)=0,"",TEXT(IFERROR(VLOOKUP(T_BilanSocial[[#This Row],[NumL]],T_TraitDi[#Data],COLUMN(T_TraitDi[[#This Row],[Colonne21]]),FALSE),""),"[hh]:mm"))</f>
        <v>#VALUE!</v>
      </c>
      <c r="BD276" s="178" t="e">
        <f>IF(VLOOKUP(T_BilanSocial[[#This Row],[NumL]],T_TraitDi[#Data],COLUMN(T_TraitDi[[#This Row],[Colonne22]]),FALSE)=0,"",TEXT(IFERROR(VLOOKUP(T_BilanSocial[[#This Row],[NumL]],T_TraitDi[#Data],COLUMN(T_TraitDi[[#This Row],[Colonne22]]),FALSE),""),"[hh]:mm"))</f>
        <v>#VALUE!</v>
      </c>
      <c r="BE276" s="178" t="str">
        <f>IFERROR(VLOOKUP(T_BilanSocial[[#This Row],[NumL]],T_TraitDi[#Data],COLUMN(T_TraitDi[[#This Row],[Colonne23]]),FALSE),"")</f>
        <v/>
      </c>
      <c r="BF276" s="178" t="e">
        <f>IF(VLOOKUP(T_BilanSocial[[#This Row],[NumL]],T_TraitDi[#Data],COLUMN(T_TraitDi[[#This Row],[Colonne24]]),FALSE)=0,"",TEXT(IFERROR(VLOOKUP(T_BilanSocial[[#This Row],[NumL]],T_TraitDi[#Data],COLUMN(T_TraitDi[[#This Row],[Colonne24]]),FALSE),""),"[hh]:mm"))</f>
        <v>#VALUE!</v>
      </c>
      <c r="BG276" s="178" t="e">
        <f>IF(VLOOKUP(T_BilanSocial[[#This Row],[NumL]],T_TraitDi[#Data],COLUMN(T_TraitDi[[#This Row],[Colonne25]]),FALSE)=0,"",TEXT(IFERROR(VLOOKUP(T_BilanSocial[[#This Row],[NumL]],T_TraitDi[#Data],COLUMN(T_TraitDi[[#This Row],[Colonne25]]),FALSE),""),"[hh]:mm"))</f>
        <v>#VALUE!</v>
      </c>
      <c r="BH276" s="178" t="e">
        <f>IF(VLOOKUP(T_BilanSocial[[#This Row],[NumL]],T_TraitDi[#Data],COLUMN(T_TraitDi[[#This Row],[Colonne26]]),FALSE)=0,"",TEXT(IFERROR(VLOOKUP(T_BilanSocial[[#This Row],[NumL]],T_TraitDi[#Data],COLUMN(T_TraitDi[[#This Row],[Colonne26]]),FALSE),""),"[hh]:mm"))</f>
        <v>#VALUE!</v>
      </c>
      <c r="BI276" s="172" t="str">
        <f>IFERROR(VLOOKUP(T_BilanSocial[[#This Row],[NumL]],T_TraitDi[#Data],COLUMN(T_TraitDi[[#This Row],[Vendredi]]),FALSE),"")</f>
        <v/>
      </c>
      <c r="BJ276" s="172" t="e">
        <f>IF(VLOOKUP(T_BilanSocial[[#This Row],[NumL]],T_TraitDi[#Data],COLUMN(T_TraitDi[[#This Row],[Colonne27]]),FALSE)=0,"",TEXT(IFERROR(VLOOKUP(T_BilanSocial[[#This Row],[NumL]],T_TraitDi[#Data],COLUMN(T_TraitDi[[#This Row],[Colonne27]]),FALSE),""),"[hh]:mm"))</f>
        <v>#VALUE!</v>
      </c>
      <c r="BK276" s="172" t="e">
        <f>IF(VLOOKUP(T_BilanSocial[[#This Row],[NumL]],T_TraitDi[#Data],COLUMN(T_TraitDi[[#This Row],[Colonne28]]),FALSE)=0,"",TEXT(IFERROR(VLOOKUP(T_BilanSocial[[#This Row],[NumL]],T_TraitDi[#Data],COLUMN(T_TraitDi[[#This Row],[Colonne28]]),FALSE),""),"[hh]:mm"))</f>
        <v>#VALUE!</v>
      </c>
      <c r="BL276" s="172" t="str">
        <f>IFERROR(VLOOKUP(T_BilanSocial[[#This Row],[NumL]],T_TraitDi[#Data],COLUMN(T_TraitDi[[#This Row],[Colonne29]]),FALSE),"")</f>
        <v/>
      </c>
      <c r="BM276" s="172" t="e">
        <f>IF(VLOOKUP(T_BilanSocial[[#This Row],[NumL]],T_TraitDi[#Data],COLUMN(T_TraitDi[[#This Row],[Colonne30]]),FALSE)=0,"",TEXT(IFERROR(VLOOKUP(T_BilanSocial[[#This Row],[NumL]],T_TraitDi[#Data],COLUMN(T_TraitDi[[#This Row],[Colonne30]]),FALSE),""),"[hh]:mm"))</f>
        <v>#VALUE!</v>
      </c>
      <c r="BN276" s="172" t="e">
        <f>IF(VLOOKUP(T_BilanSocial[[#This Row],[NumL]],T_TraitDi[#Data],COLUMN(T_TraitDi[[#This Row],[Colonne31]]),FALSE)=0,"",TEXT(IFERROR(VLOOKUP(T_BilanSocial[[#This Row],[NumL]],T_TraitDi[#Data],COLUMN(T_TraitDi[[#This Row],[Colonne31]]),FALSE),""),"[hh]:mm"))</f>
        <v>#VALUE!</v>
      </c>
      <c r="BO276" s="172" t="e">
        <f>IF(VLOOKUP(T_BilanSocial[[#This Row],[NumL]],T_TraitDi[#Data],COLUMN(T_TraitDi[[#This Row],[Colonne32]]),FALSE)=0,"",TEXT(IFERROR(VLOOKUP(T_BilanSocial[[#This Row],[NumL]],T_TraitDi[#Data],COLUMN(T_TraitDi[[#This Row],[Colonne32]]),FALSE),""),"[hh]:mm"))</f>
        <v>#VALUE!</v>
      </c>
      <c r="BP276" s="172" t="e">
        <f>VLOOKUP(T_BilanSocial[[#This Row],[NumL]],T_TraitDi[#Data],COLUMN(T_TraitDi[NbJTot]),FALSE)</f>
        <v>#N/A</v>
      </c>
      <c r="BQ276" s="174" t="str">
        <f>IFERROR(VLOOKUP(T_BilanSocial[[#This Row],[NumL]],T_TraitDi[#Data],COLUMN(T_TraitDi[[#This Row],[NbJTW]]),FALSE),"")</f>
        <v/>
      </c>
      <c r="BR276" s="174" t="e">
        <f>IF(VLOOKUP(T_BilanSocial[[#This Row],[NumL]],T_TraitDi[#Data],COLUMN(T_TraitDi[[#This Row],[NbhTW]]),FALSE)=0,"",TEXT(IFERROR(VLOOKUP(T_BilanSocial[[#This Row],[NumL]],T_TraitDi[#Data],COLUMN(T_TraitDi[[#This Row],[NbhTW]]),FALSE),""),"[hh]:mm"))</f>
        <v>#VALUE!</v>
      </c>
      <c r="BS276" s="174" t="e">
        <f>IF(VLOOKUP(T_BilanSocial[[#This Row],[NumL]],T_TraitDi[#Data],COLUMN(T_TraitDi[[#This Row],[Nbhheb]]),FALSE)=0,"",TEXT(IFERROR(VLOOKUP($A276,T_TraitDi[#Data],COLUMN(T_TraitDi[[#This Row],[Nbhheb]]),FALSE),""),"[hh]:mm"))</f>
        <v>#VALUE!</v>
      </c>
      <c r="BT276" s="182" t="str">
        <f>IFERROR(VLOOKUP(VLOOKUP($A276,T_TraitDi[#Data],COLUMN(T_TraitDi[[#This Row],[Type1]]),FALSE),TypeTW,2,FALSE),"")</f>
        <v/>
      </c>
      <c r="BU276" s="182" t="str">
        <f>IFERROR(VLOOKUP($A276,T_TraitDi[#Data],COLUMN(T_TraitDi[[#This Row],[Rue1]]),FALSE),"")</f>
        <v/>
      </c>
      <c r="BV276" s="173" t="str">
        <f>IFERROR(VLOOKUP($A276,T_TraitDi[#Data],COLUMN(T_TraitDi[[#This Row],[CP1]]),FALSE),"")</f>
        <v/>
      </c>
      <c r="BW276" s="173" t="str">
        <f>IFERROR(VLOOKUP($A276,T_TraitDi[#Data],COLUMN(T_TraitDi[[#This Row],[VILLE1]]),FALSE),"")</f>
        <v/>
      </c>
      <c r="BX276" s="182" t="str">
        <f>IFERROR(VLOOKUP(VLOOKUP($A276,T_TraitDi[#Data],COLUMN(T_TraitDi[[#This Row],[Type2]]),FALSE),TypeTW,2,FALSE),"")</f>
        <v/>
      </c>
      <c r="BY276" s="182" t="str">
        <f>IFERROR(VLOOKUP($A276,T_TraitDi[#Data],COLUMN(T_TraitDi[[#This Row],[Rue2]]),FALSE),"")</f>
        <v/>
      </c>
      <c r="BZ276" s="173" t="str">
        <f>IFERROR(VLOOKUP($A276,T_TraitDi[#Data],COLUMN(T_TraitDi[[#This Row],[CP2]]),FALSE),"")</f>
        <v/>
      </c>
      <c r="CA276" s="173" t="str">
        <f>IFERROR(VLOOKUP($A276,T_TraitDi[#Data],COLUMN(T_TraitDi[[#This Row],[VILLE2]]),FALSE),"")</f>
        <v/>
      </c>
      <c r="CB276" s="182" t="str">
        <f>IF(VLOOKUP(T_BilanSocial[[#This Row],[NumL]],T_Equipement[#Data],COLUMN(T_Equipement[[#This Row],[PC]]),FALSE)="","Aucun équipement spécifique directement lié au télétravail",VLOOKUP(T_BilanSocial[[#This Row],[NumL]],T_Equipement[#Data],COLUMN(T_Equipement[[#This Row],[PC]]),FALSE))</f>
        <v xml:space="preserve">20-249	</v>
      </c>
      <c r="CC276" s="166" t="str">
        <f>IFERROR(IF(VLOOKUP(T_BilanSocial[[#This Row],[NumL]],T_TraitDi[#Data],COLUMN(T_TraitDi[[#This Row],[Plan]]),FALSE)="OK","Un planning spécifique de télétravail est annexé à la présente convention.",""),"")</f>
        <v/>
      </c>
      <c r="CD276" s="258" t="s">
        <v>3455</v>
      </c>
      <c r="CE276" s="164" t="e">
        <f>IF(VLOOKUP(T_BilanSocial[[#This Row],[NumL]],T_suiviDi[#Data],COLUMN(T_suiviDi[[#This Row],[Entité]]),FALSE)="","",VLOOKUP(T_BilanSocial[[#This Row],[NumL]],T_suiviDi[#Data],COLUMN(T_suiviDi[[#This Row],[Entité]]),FALSE))</f>
        <v>#VALUE!</v>
      </c>
      <c r="CF276" s="164" t="str">
        <f>IF(VLOOKUP(T_BilanSocial[[#This Row],[NumL]],T_Commission[#Data],COLUMN(T_Commission[[#This Row],[envoi confirm TW]]),FALSE)="","",VLOOKUP(T_BilanSocial[[#This Row],[NumL]],T_Commission[#Data],COLUMN(T_Commission[[#This Row],[envoi confirm TW]]),FALSE))</f>
        <v>Oui</v>
      </c>
      <c r="CG276"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6" s="262" t="str">
        <f>T_BilanSocial[[#This Row],[Nom]]&amp;T_BilanSocial[[#This Row],[Prenom]]</f>
        <v/>
      </c>
      <c r="CI276" s="262">
        <f>VLOOKUP(T_BilanSocial[[#This Row],[NumL]],T_Commission[#Data],COLUMN(T_Commission[Commentaire]),FALSE)</f>
        <v>0</v>
      </c>
      <c r="CJ276" s="262" t="str">
        <f>IF(VLOOKUP(T_BilanSocial[[#This Row],[NumL]],T_Commission[#Data],COLUMN(T_Commission[Encadrant Email]),FALSE)="","",VLOOKUP(T_BilanSocial[[#This Row],[NumL]],T_Commission[#Data],COLUMN(T_Commission[Encadrant Email]),FALSE))</f>
        <v/>
      </c>
      <c r="CK276" s="340" t="str">
        <f>IF(T_BilanSocial[[#This Row],[Final]]&lt;&gt;"",VLOOKUP(T_BilanSocial[[#This Row],[NumL]],T_suiviDi[#Data],COLUMN((T_suiviDi[Statut])),FALSE),"")</f>
        <v/>
      </c>
    </row>
    <row r="277" spans="1:89" s="106" customFormat="1" ht="24.75" customHeight="1" x14ac:dyDescent="0.25">
      <c r="A277" s="160">
        <v>274</v>
      </c>
      <c r="B277" s="161" t="str">
        <f t="shared" si="45"/>
        <v/>
      </c>
      <c r="C277" s="162" t="s">
        <v>173</v>
      </c>
      <c r="D277" s="95" t="e">
        <f>IF(VLOOKUP(T_BilanSocial[[#This Row],[NumL]],T_TraitDi[#Data],COLUMN(T_TraitDi[[#This Row],[WebC]]),FALSE)="","",VLOOKUP(T_BilanSocial[[#This Row],[NumL]],T_TraitDi[#Data],COLUMN(T_TraitDi[[#This Row],[WebC]]),FALSE))</f>
        <v>#VALUE!</v>
      </c>
      <c r="E277" s="163" t="str">
        <f t="shared" si="46"/>
        <v>12 janvier 2021</v>
      </c>
      <c r="F277" s="96" t="str">
        <f>IF(T_BilanSocial[[#This Row],[Final]]&lt;&gt;"",VLOOKUP(T_BilanSocial[[#This Row],[NumL]],T_suiviDi[#Data],COLUMN((T_suiviDi[Civ.])),FALSE),"")</f>
        <v/>
      </c>
      <c r="G277" s="96" t="str">
        <f>IF(T_BilanSocial[[#This Row],[Final]]&lt;&gt;"",VLOOKUP(T_BilanSocial[[#This Row],[NumL]],T_suiviDi[#Data],COLUMN((T_suiviDi[Nom])),FALSE),"")</f>
        <v/>
      </c>
      <c r="H277" s="96" t="str">
        <f>IF(T_BilanSocial[[#This Row],[Final]]&lt;&gt;"",VLOOKUP(T_BilanSocial[[#This Row],[NumL]],T_suiviDi[#Data],COLUMN((T_suiviDi[Prénom])),FALSE),"")</f>
        <v/>
      </c>
      <c r="I277" s="96" t="str">
        <f>IFERROR(VLOOKUP(T_BilanSocial[[#This Row],[Zone_Bilan]],T_P_BilanSocial[#Data],COLUMN(T_P_BilanSocial[[#This Row],[Numero_SIHAM]]),FALSE),"")</f>
        <v/>
      </c>
      <c r="J277" s="96" t="str">
        <f>IFERROR(VLOOKUP(T_BilanSocial[[#This Row],[Zone_Bilan]],T_P_BilanSocial[#Data],COLUMN(T_P_BilanSocial[[#This Row],[Sexe]]),FALSE),"")</f>
        <v/>
      </c>
      <c r="K277" s="97" t="str">
        <f>IFERROR(VLOOKUP(T_BilanSocial[[#This Row],[Zone_Bilan]],T_P_BilanSocial[#Data],COLUMN(T_P_BilanSocial[[#This Row],[Categorie]]),FALSE),"")</f>
        <v/>
      </c>
      <c r="L277" s="96" t="str">
        <f>IFERROR(VLOOKUP(T_BilanSocial[[#This Row],[Zone_Bilan]],T_P_BilanSocial[#Data],COLUMN(T_P_BilanSocial[[#This Row],[Statut]]),FALSE),"")</f>
        <v/>
      </c>
      <c r="M277" s="96" t="str">
        <f>IFERROR(VLOOKUP(T_BilanSocial[[#This Row],[Zone_Bilan]],T_P_BilanSocial[#Data],COLUMN(T_P_BilanSocial[[#This Row],[Filiere]]),FALSE),"")</f>
        <v/>
      </c>
      <c r="N277" s="96" t="e">
        <f>VLOOKUP(T_BilanSocial[[#This Row],[NumL]],T_TraitDi[#Data],COLUMN(T_TraitDi[EXP]),FALSE)</f>
        <v>#N/A</v>
      </c>
      <c r="O277" s="96" t="e">
        <f>VLOOKUP(T_BilanSocial[[#This Row],[NumL]],T_TraitDi[#Data],COLUMN(T_TraitDi[FORM]),FALSE)</f>
        <v>#N/A</v>
      </c>
      <c r="P277" s="96" t="str">
        <f>IF(T_BilanSocial[[#This Row],[Final]]&lt;&gt;"",VLOOKUP(T_BilanSocial[[#This Row],[NumL]],T_suiviDi[#Data],COLUMN((T_suiviDi[Email])),FALSE),"")</f>
        <v/>
      </c>
      <c r="Q277" s="164" t="e">
        <f t="shared" si="52"/>
        <v>#N/A</v>
      </c>
      <c r="R277" s="164" t="e">
        <f t="shared" si="53"/>
        <v>#N/A</v>
      </c>
      <c r="S277" s="164" t="e">
        <f>IF(VLOOKUP(T_BilanSocial[[#This Row],[NumL]],T_suiviDi[#Data],COLUMN(T_suiviDi[[#This Row],[Service ]]),FALSE)="","",VLOOKUP(T_BilanSocial[[#This Row],[NumL]],T_suiviDi[#Data],COLUMN(T_suiviDi[[#This Row],[Service ]]),FALSE))</f>
        <v>#VALUE!</v>
      </c>
      <c r="T277" s="164" t="str">
        <f t="shared" si="47"/>
        <v>01 septembre 2021</v>
      </c>
      <c r="U277" s="164" t="str">
        <f t="shared" si="48"/>
        <v>30 novembre 2021</v>
      </c>
      <c r="V277" s="164" t="str">
        <f t="shared" si="51"/>
        <v>30 novembre 2021</v>
      </c>
      <c r="W277" s="176" t="e">
        <f>IF(VLOOKUP(T_BilanSocial[[#This Row],[NumL]],T_TraitDi[#Data],COLUMN(T_TraitDi[[#This Row],[M1]]),FALSE)="","",VLOOKUP(T_BilanSocial[[#This Row],[NumL]],T_TraitDi[#Data],COLUMN(T_TraitDi[[#This Row],[M1]]),FALSE))</f>
        <v>#VALUE!</v>
      </c>
      <c r="X277" s="176" t="e">
        <f>IF(VLOOKUP(T_BilanSocial[[#This Row],[NumL]],T_TraitDi[#Data],COLUMN(T_TraitDi[[#This Row],[M2]]),FALSE)="","",VLOOKUP(T_BilanSocial[[#This Row],[NumL]],T_TraitDi[#Data],COLUMN(T_TraitDi[[#This Row],[M2]]),FALSE))</f>
        <v>#VALUE!</v>
      </c>
      <c r="Y277" s="176" t="e">
        <f>IF(VLOOKUP(T_BilanSocial[[#This Row],[NumL]],T_TraitDi[#Data],COLUMN(T_TraitDi[[#This Row],[M3]]),FALSE)="","",VLOOKUP(T_BilanSocial[[#This Row],[NumL]],T_TraitDi[#Data],COLUMN(T_TraitDi[[#This Row],[M3]]),FALSE))</f>
        <v>#VALUE!</v>
      </c>
      <c r="Z277" s="176" t="str">
        <f t="shared" si="50"/>
        <v/>
      </c>
      <c r="AA277" s="176" t="e">
        <f>IF(VLOOKUP(T_BilanSocial[[#This Row],[NumL]],T_TraitDi[#Data],COLUMN(T_TraitDi[[#This Row],[M5]]),FALSE)="","",VLOOKUP(T_BilanSocial[[#This Row],[NumL]],T_TraitDi[#Data],COLUMN(T_TraitDi[[#This Row],[M5]]),FALSE))</f>
        <v>#VALUE!</v>
      </c>
      <c r="AB277" s="176" t="e">
        <f>IF(VLOOKUP(T_BilanSocial[[#This Row],[NumL]],T_TraitDi[#Data],COLUMN(T_TraitDi[[#This Row],[M6]]),FALSE)="","",VLOOKUP(T_BilanSocial[[#This Row],[NumL]],T_TraitDi[#Data],COLUMN(T_TraitDi[[#This Row],[M6]]),FALSE))</f>
        <v>#VALUE!</v>
      </c>
      <c r="AC277" s="165" t="e">
        <f t="shared" si="49"/>
        <v>#VALUE!</v>
      </c>
      <c r="AD277" s="188" t="str">
        <f>IFERROR(TEXT(VLOOKUP(T_BilanSocial[[#This Row],[NumL]],T_TraitDi[#Data],COLUMN(T_TraitDi[[#This Row],[Q2]]),FALSE),"###%"),"")</f>
        <v/>
      </c>
      <c r="AE277" s="97" t="e">
        <f>VLOOKUP(T_BilanSocial[[#This Row],[NumL]],T_TraitDi[#Data],COLUMN(T_TraitDi[[#This Row],[Reg Ponct]]),FALSE)</f>
        <v>#VALUE!</v>
      </c>
      <c r="AF277" s="97" t="e">
        <f>VLOOKUP(T_BilanSocial[NumL],T_TraitDi[#Data],COLUMN(T_TraitDi[[#This Row],[Jours flottants]]),FALSE)</f>
        <v>#VALUE!</v>
      </c>
      <c r="AG277" s="97" t="str">
        <f>IFERROR(VLOOKUP(T_BilanSocial[[#This Row],[NumL]],T_TraitDi[#Data],COLUMN(T_TraitDi[[#This Row],[Lundi]]),FALSE),"")</f>
        <v/>
      </c>
      <c r="AH277" s="172" t="e">
        <f>IF(VLOOKUP(T_BilanSocial[[#This Row],[NumL]],T_TraitDi[#Data],COLUMN(T_TraitDi[[#This Row],[Colonne3]]),FALSE)=0,"",TEXT(IFERROR(VLOOKUP(T_BilanSocial[[#This Row],[NumL]],T_TraitDi[#Data],COLUMN(T_TraitDi[[#This Row],[Colonne3]]),FALSE),""),"[hh]:mm"))</f>
        <v>#VALUE!</v>
      </c>
      <c r="AI277" s="172" t="e">
        <f>IF(VLOOKUP(T_BilanSocial[[#This Row],[NumL]],T_TraitDi[#Data],COLUMN(T_TraitDi[[#This Row],[Colonne4]]),FALSE)=0,"",TEXT(IFERROR(VLOOKUP(T_BilanSocial[[#This Row],[NumL]],T_TraitDi[#Data],COLUMN(T_TraitDi[[#This Row],[Colonne4]]),FALSE),""),"[hh]:mm"))</f>
        <v>#VALUE!</v>
      </c>
      <c r="AJ277" s="172" t="e">
        <f>IF(VLOOKUP(T_BilanSocial[[#This Row],[NumL]],T_TraitDi[#Data],COLUMN(T_TraitDi[[#This Row],[Colonne5]]),FALSE)=0,"",TEXT(IFERROR(VLOOKUP(T_BilanSocial[[#This Row],[NumL]],T_TraitDi[#Data],COLUMN(T_TraitDi[[#This Row],[Colonne5]]),FALSE),""),"[hh]:mm"))</f>
        <v>#VALUE!</v>
      </c>
      <c r="AK277" s="172" t="e">
        <f>IF(VLOOKUP(T_BilanSocial[[#This Row],[NumL]],T_TraitDi[#Data],COLUMN(T_TraitDi[[#This Row],[Colonne6]]),FALSE)=0,"",TEXT(IFERROR(VLOOKUP(T_BilanSocial[[#This Row],[NumL]],T_TraitDi[#Data],COLUMN(T_TraitDi[[#This Row],[Colonne6]]),FALSE),""),"[hh]:mm"))</f>
        <v>#VALUE!</v>
      </c>
      <c r="AL277" s="172" t="e">
        <f>IF(VLOOKUP(T_BilanSocial[[#This Row],[NumL]],T_TraitDi[#Data],COLUMN(T_TraitDi[[#This Row],[Colonne7]]),FALSE)=0,"",TEXT(IFERROR(VLOOKUP(T_BilanSocial[[#This Row],[NumL]],T_TraitDi[#Data],COLUMN(T_TraitDi[[#This Row],[Colonne7]]),FALSE),""),"[hh]:mm"))</f>
        <v>#VALUE!</v>
      </c>
      <c r="AM277" s="172" t="e">
        <f>IF(VLOOKUP(T_BilanSocial[[#This Row],[NumL]],T_TraitDi[#Data],COLUMN(T_TraitDi[[#This Row],[Colonne8]]),FALSE)=0,"",TEXT(IFERROR(VLOOKUP(T_BilanSocial[[#This Row],[NumL]],T_TraitDi[#Data],COLUMN(T_TraitDi[[#This Row],[Colonne8]]),FALSE),""),"[hh]:mm"))</f>
        <v>#VALUE!</v>
      </c>
      <c r="AN277" s="172" t="str">
        <f>IFERROR(VLOOKUP(T_BilanSocial[[#This Row],[NumL]],T_TraitDi[#Data],COLUMN(T_TraitDi[[#This Row],[Mardi]]),FALSE),"")</f>
        <v/>
      </c>
      <c r="AO277" s="172" t="e">
        <f>IF(VLOOKUP(T_BilanSocial[[#This Row],[NumL]],T_TraitDi[#Data],COLUMN(T_TraitDi[[#This Row],[Colonne1]]),FALSE)=0,"",TEXT(IFERROR(VLOOKUP(T_BilanSocial[[#This Row],[NumL]],T_TraitDi[#Data],COLUMN(T_TraitDi[[#This Row],[Colonne1]]),FALSE),""),"[hh]:mm"))</f>
        <v>#VALUE!</v>
      </c>
      <c r="AP277" s="172" t="e">
        <f>IF(VLOOKUP(T_BilanSocial[[#This Row],[NumL]],T_TraitDi[#Data],COLUMN(T_TraitDi[[#This Row],[Colonne9]]),FALSE)=0,"",TEXT(IFERROR(VLOOKUP(T_BilanSocial[[#This Row],[NumL]],T_TraitDi[#Data],COLUMN(T_TraitDi[[#This Row],[Colonne9]]),FALSE),""),"[hh]:mm"))</f>
        <v>#VALUE!</v>
      </c>
      <c r="AQ277" s="172" t="str">
        <f>IFERROR(VLOOKUP(T_BilanSocial[[#This Row],[NumL]],T_TraitDi[#Data],COLUMN(T_TraitDi[[#This Row],[Colonne10]]),FALSE),"")</f>
        <v/>
      </c>
      <c r="AR277" s="172" t="e">
        <f>IF(VLOOKUP(T_BilanSocial[[#This Row],[NumL]],T_TraitDi[#Data],COLUMN(T_TraitDi[[#This Row],[Colonne11]]),FALSE)=0,"",TEXT(IFERROR(VLOOKUP(T_BilanSocial[[#This Row],[NumL]],T_TraitDi[#Data],COLUMN(T_TraitDi[[#This Row],[Colonne11]]),FALSE),""),"[hh]:mm"))</f>
        <v>#VALUE!</v>
      </c>
      <c r="AS277" s="172" t="e">
        <f>IF(VLOOKUP(T_BilanSocial[[#This Row],[NumL]],T_TraitDi[#Data],COLUMN(T_TraitDi[[#This Row],[Colonne12]]),FALSE)=0,"",TEXT(IFERROR(VLOOKUP(T_BilanSocial[[#This Row],[NumL]],T_TraitDi[#Data],COLUMN(T_TraitDi[[#This Row],[Colonne12]]),FALSE),""),"[hh]:mm"))</f>
        <v>#VALUE!</v>
      </c>
      <c r="AT277" s="172" t="e">
        <f>IF(VLOOKUP(T_BilanSocial[[#This Row],[NumL]],T_TraitDi[#Data],COLUMN(T_TraitDi[[#This Row],[Colonne14]]),FALSE)=0,"",TEXT(IFERROR(VLOOKUP(T_BilanSocial[[#This Row],[NumL]],T_TraitDi[#Data],COLUMN(T_TraitDi[[#This Row],[Colonne14]]),FALSE),""),"[hh]:mm"))</f>
        <v>#VALUE!</v>
      </c>
      <c r="AU277" s="172" t="str">
        <f>IFERROR(VLOOKUP(T_BilanSocial[[#This Row],[NumL]],T_TraitDi[#Data],COLUMN(T_TraitDi[[#This Row],[Mercredi]]),FALSE),"")</f>
        <v/>
      </c>
      <c r="AV277" s="172" t="e">
        <f>IF(VLOOKUP(T_BilanSocial[[#This Row],[NumL]],T_TraitDi[#Data],COLUMN(T_TraitDi[[#This Row],[Colonne15]]),FALSE)=0,"",TEXT(IFERROR(VLOOKUP(T_BilanSocial[[#This Row],[NumL]],T_TraitDi[#Data],COLUMN(T_TraitDi[[#This Row],[Colonne15]]),FALSE),""),"[hh]:mm"))</f>
        <v>#VALUE!</v>
      </c>
      <c r="AW277" s="172" t="e">
        <f>IF(VLOOKUP(T_BilanSocial[[#This Row],[NumL]],T_TraitDi[#Data],COLUMN(T_TraitDi[[#This Row],[Colonne16]]),FALSE)=0,"",TEXT(IFERROR(VLOOKUP(T_BilanSocial[[#This Row],[NumL]],T_TraitDi[#Data],COLUMN(T_TraitDi[[#This Row],[Colonne16]]),FALSE),""),"[hh]:mm"))</f>
        <v>#VALUE!</v>
      </c>
      <c r="AX277" s="172" t="str">
        <f>IFERROR(VLOOKUP(T_BilanSocial[[#This Row],[NumL]],T_TraitDi[#Data],COLUMN(T_TraitDi[[#This Row],[Colonne17]]),FALSE),"")</f>
        <v/>
      </c>
      <c r="AY277" s="172" t="e">
        <f>IF(VLOOKUP(T_BilanSocial[[#This Row],[NumL]],T_TraitDi[#Data],COLUMN(T_TraitDi[[#This Row],[Colonne18]]),FALSE)=0,"",TEXT(IFERROR(VLOOKUP(T_BilanSocial[[#This Row],[NumL]],T_TraitDi[#Data],COLUMN(T_TraitDi[[#This Row],[Colonne18]]),FALSE),""),"[hh]:mm"))</f>
        <v>#VALUE!</v>
      </c>
      <c r="AZ277" s="172" t="e">
        <f>IF(VLOOKUP(T_BilanSocial[[#This Row],[NumL]],T_TraitDi[#Data],COLUMN(T_TraitDi[[#This Row],[Colonne19]]),FALSE)=0,"",TEXT(IFERROR(VLOOKUP(T_BilanSocial[[#This Row],[NumL]],T_TraitDi[#Data],COLUMN(T_TraitDi[[#This Row],[Colonne19]]),FALSE),""),"[hh]:mm"))</f>
        <v>#VALUE!</v>
      </c>
      <c r="BA277" s="172" t="e">
        <f>IF(VLOOKUP(T_BilanSocial[[#This Row],[NumL]],T_TraitDi[#Data],COLUMN(T_TraitDi[[#This Row],[Colonne20]]),FALSE)=0,"",TEXT(IFERROR(VLOOKUP(T_BilanSocial[[#This Row],[NumL]],T_TraitDi[#Data],COLUMN(T_TraitDi[[#This Row],[Colonne20]]),FALSE),""),"[hh]:mm"))</f>
        <v>#VALUE!</v>
      </c>
      <c r="BB277" s="178" t="str">
        <f>IFERROR(VLOOKUP(T_BilanSocial[[#This Row],[NumL]],T_TraitDi[#Data],COLUMN(T_TraitDi[[#This Row],[Jeudi]]),FALSE),"")</f>
        <v/>
      </c>
      <c r="BC277" s="178" t="e">
        <f>IF(VLOOKUP(T_BilanSocial[[#This Row],[NumL]],T_TraitDi[#Data],COLUMN(T_TraitDi[[#This Row],[Colonne21]]),FALSE)=0,"",TEXT(IFERROR(VLOOKUP(T_BilanSocial[[#This Row],[NumL]],T_TraitDi[#Data],COLUMN(T_TraitDi[[#This Row],[Colonne21]]),FALSE),""),"[hh]:mm"))</f>
        <v>#VALUE!</v>
      </c>
      <c r="BD277" s="178" t="e">
        <f>IF(VLOOKUP(T_BilanSocial[[#This Row],[NumL]],T_TraitDi[#Data],COLUMN(T_TraitDi[[#This Row],[Colonne22]]),FALSE)=0,"",TEXT(IFERROR(VLOOKUP(T_BilanSocial[[#This Row],[NumL]],T_TraitDi[#Data],COLUMN(T_TraitDi[[#This Row],[Colonne22]]),FALSE),""),"[hh]:mm"))</f>
        <v>#VALUE!</v>
      </c>
      <c r="BE277" s="178" t="str">
        <f>IFERROR(VLOOKUP(T_BilanSocial[[#This Row],[NumL]],T_TraitDi[#Data],COLUMN(T_TraitDi[[#This Row],[Colonne23]]),FALSE),"")</f>
        <v/>
      </c>
      <c r="BF277" s="178" t="e">
        <f>IF(VLOOKUP(T_BilanSocial[[#This Row],[NumL]],T_TraitDi[#Data],COLUMN(T_TraitDi[[#This Row],[Colonne24]]),FALSE)=0,"",TEXT(IFERROR(VLOOKUP(T_BilanSocial[[#This Row],[NumL]],T_TraitDi[#Data],COLUMN(T_TraitDi[[#This Row],[Colonne24]]),FALSE),""),"[hh]:mm"))</f>
        <v>#VALUE!</v>
      </c>
      <c r="BG277" s="178" t="e">
        <f>IF(VLOOKUP(T_BilanSocial[[#This Row],[NumL]],T_TraitDi[#Data],COLUMN(T_TraitDi[[#This Row],[Colonne25]]),FALSE)=0,"",TEXT(IFERROR(VLOOKUP(T_BilanSocial[[#This Row],[NumL]],T_TraitDi[#Data],COLUMN(T_TraitDi[[#This Row],[Colonne25]]),FALSE),""),"[hh]:mm"))</f>
        <v>#VALUE!</v>
      </c>
      <c r="BH277" s="178" t="e">
        <f>IF(VLOOKUP(T_BilanSocial[[#This Row],[NumL]],T_TraitDi[#Data],COLUMN(T_TraitDi[[#This Row],[Colonne26]]),FALSE)=0,"",TEXT(IFERROR(VLOOKUP(T_BilanSocial[[#This Row],[NumL]],T_TraitDi[#Data],COLUMN(T_TraitDi[[#This Row],[Colonne26]]),FALSE),""),"[hh]:mm"))</f>
        <v>#VALUE!</v>
      </c>
      <c r="BI277" s="172" t="str">
        <f>IFERROR(VLOOKUP(T_BilanSocial[[#This Row],[NumL]],T_TraitDi[#Data],COLUMN(T_TraitDi[[#This Row],[Vendredi]]),FALSE),"")</f>
        <v/>
      </c>
      <c r="BJ277" s="172" t="e">
        <f>IF(VLOOKUP(T_BilanSocial[[#This Row],[NumL]],T_TraitDi[#Data],COLUMN(T_TraitDi[[#This Row],[Colonne27]]),FALSE)=0,"",TEXT(IFERROR(VLOOKUP(T_BilanSocial[[#This Row],[NumL]],T_TraitDi[#Data],COLUMN(T_TraitDi[[#This Row],[Colonne27]]),FALSE),""),"[hh]:mm"))</f>
        <v>#VALUE!</v>
      </c>
      <c r="BK277" s="172" t="e">
        <f>IF(VLOOKUP(T_BilanSocial[[#This Row],[NumL]],T_TraitDi[#Data],COLUMN(T_TraitDi[[#This Row],[Colonne28]]),FALSE)=0,"",TEXT(IFERROR(VLOOKUP(T_BilanSocial[[#This Row],[NumL]],T_TraitDi[#Data],COLUMN(T_TraitDi[[#This Row],[Colonne28]]),FALSE),""),"[hh]:mm"))</f>
        <v>#VALUE!</v>
      </c>
      <c r="BL277" s="172" t="str">
        <f>IFERROR(VLOOKUP(T_BilanSocial[[#This Row],[NumL]],T_TraitDi[#Data],COLUMN(T_TraitDi[[#This Row],[Colonne29]]),FALSE),"")</f>
        <v/>
      </c>
      <c r="BM277" s="172" t="e">
        <f>IF(VLOOKUP(T_BilanSocial[[#This Row],[NumL]],T_TraitDi[#Data],COLUMN(T_TraitDi[[#This Row],[Colonne30]]),FALSE)=0,"",TEXT(IFERROR(VLOOKUP(T_BilanSocial[[#This Row],[NumL]],T_TraitDi[#Data],COLUMN(T_TraitDi[[#This Row],[Colonne30]]),FALSE),""),"[hh]:mm"))</f>
        <v>#VALUE!</v>
      </c>
      <c r="BN277" s="172" t="e">
        <f>IF(VLOOKUP(T_BilanSocial[[#This Row],[NumL]],T_TraitDi[#Data],COLUMN(T_TraitDi[[#This Row],[Colonne31]]),FALSE)=0,"",TEXT(IFERROR(VLOOKUP(T_BilanSocial[[#This Row],[NumL]],T_TraitDi[#Data],COLUMN(T_TraitDi[[#This Row],[Colonne31]]),FALSE),""),"[hh]:mm"))</f>
        <v>#VALUE!</v>
      </c>
      <c r="BO277" s="172" t="e">
        <f>IF(VLOOKUP(T_BilanSocial[[#This Row],[NumL]],T_TraitDi[#Data],COLUMN(T_TraitDi[[#This Row],[Colonne32]]),FALSE)=0,"",TEXT(IFERROR(VLOOKUP(T_BilanSocial[[#This Row],[NumL]],T_TraitDi[#Data],COLUMN(T_TraitDi[[#This Row],[Colonne32]]),FALSE),""),"[hh]:mm"))</f>
        <v>#VALUE!</v>
      </c>
      <c r="BP277" s="172" t="e">
        <f>VLOOKUP(T_BilanSocial[[#This Row],[NumL]],T_TraitDi[#Data],COLUMN(T_TraitDi[NbJTot]),FALSE)</f>
        <v>#N/A</v>
      </c>
      <c r="BQ277" s="174" t="str">
        <f>IFERROR(VLOOKUP(T_BilanSocial[[#This Row],[NumL]],T_TraitDi[#Data],COLUMN(T_TraitDi[[#This Row],[NbJTW]]),FALSE),"")</f>
        <v/>
      </c>
      <c r="BR277" s="174" t="e">
        <f>IF(VLOOKUP(T_BilanSocial[[#This Row],[NumL]],T_TraitDi[#Data],COLUMN(T_TraitDi[[#This Row],[NbhTW]]),FALSE)=0,"",TEXT(IFERROR(VLOOKUP(T_BilanSocial[[#This Row],[NumL]],T_TraitDi[#Data],COLUMN(T_TraitDi[[#This Row],[NbhTW]]),FALSE),""),"[hh]:mm"))</f>
        <v>#VALUE!</v>
      </c>
      <c r="BS277" s="174" t="e">
        <f>IF(VLOOKUP(T_BilanSocial[[#This Row],[NumL]],T_TraitDi[#Data],COLUMN(T_TraitDi[[#This Row],[Nbhheb]]),FALSE)=0,"",TEXT(IFERROR(VLOOKUP($A277,T_TraitDi[#Data],COLUMN(T_TraitDi[[#This Row],[Nbhheb]]),FALSE),""),"[hh]:mm"))</f>
        <v>#VALUE!</v>
      </c>
      <c r="BT277" s="182" t="str">
        <f>IFERROR(VLOOKUP(VLOOKUP($A277,T_TraitDi[#Data],COLUMN(T_TraitDi[[#This Row],[Type1]]),FALSE),TypeTW,2,FALSE),"")</f>
        <v/>
      </c>
      <c r="BU277" s="182" t="str">
        <f>IFERROR(VLOOKUP($A277,T_TraitDi[#Data],COLUMN(T_TraitDi[[#This Row],[Rue1]]),FALSE),"")</f>
        <v/>
      </c>
      <c r="BV277" s="173" t="str">
        <f>IFERROR(VLOOKUP($A277,T_TraitDi[#Data],COLUMN(T_TraitDi[[#This Row],[CP1]]),FALSE),"")</f>
        <v/>
      </c>
      <c r="BW277" s="173" t="str">
        <f>IFERROR(VLOOKUP($A277,T_TraitDi[#Data],COLUMN(T_TraitDi[[#This Row],[VILLE1]]),FALSE),"")</f>
        <v/>
      </c>
      <c r="BX277" s="182" t="str">
        <f>IFERROR(VLOOKUP(VLOOKUP($A277,T_TraitDi[#Data],COLUMN(T_TraitDi[[#This Row],[Type2]]),FALSE),TypeTW,2,FALSE),"")</f>
        <v/>
      </c>
      <c r="BY277" s="182" t="str">
        <f>IFERROR(VLOOKUP($A277,T_TraitDi[#Data],COLUMN(T_TraitDi[[#This Row],[Rue2]]),FALSE),"")</f>
        <v/>
      </c>
      <c r="BZ277" s="173" t="str">
        <f>IFERROR(VLOOKUP($A277,T_TraitDi[#Data],COLUMN(T_TraitDi[[#This Row],[CP2]]),FALSE),"")</f>
        <v/>
      </c>
      <c r="CA277" s="173" t="str">
        <f>IFERROR(VLOOKUP($A277,T_TraitDi[#Data],COLUMN(T_TraitDi[[#This Row],[VILLE2]]),FALSE),"")</f>
        <v/>
      </c>
      <c r="CB277" s="182" t="str">
        <f>IF(VLOOKUP(T_BilanSocial[[#This Row],[NumL]],T_Equipement[#Data],COLUMN(T_Equipement[[#This Row],[PC]]),FALSE)="","Aucun équipement spécifique directement lié au télétravail",VLOOKUP(T_BilanSocial[[#This Row],[NumL]],T_Equipement[#Data],COLUMN(T_Equipement[[#This Row],[PC]]),FALSE))</f>
        <v xml:space="preserve">20-709	</v>
      </c>
      <c r="CC277" s="166" t="str">
        <f>IFERROR(IF(VLOOKUP(T_BilanSocial[[#This Row],[NumL]],T_TraitDi[#Data],COLUMN(T_TraitDi[[#This Row],[Plan]]),FALSE)="OK","Un planning spécifique de télétravail est annexé à la présente convention.",""),"")</f>
        <v/>
      </c>
      <c r="CD277" s="258" t="s">
        <v>3456</v>
      </c>
      <c r="CE277" s="164" t="e">
        <f>IF(VLOOKUP(T_BilanSocial[[#This Row],[NumL]],T_suiviDi[#Data],COLUMN(T_suiviDi[[#This Row],[Entité]]),FALSE)="","",VLOOKUP(T_BilanSocial[[#This Row],[NumL]],T_suiviDi[#Data],COLUMN(T_suiviDi[[#This Row],[Entité]]),FALSE))</f>
        <v>#VALUE!</v>
      </c>
      <c r="CF277" s="164" t="str">
        <f>IF(VLOOKUP(T_BilanSocial[[#This Row],[NumL]],T_Commission[#Data],COLUMN(T_Commission[[#This Row],[envoi confirm TW]]),FALSE)="","",VLOOKUP(T_BilanSocial[[#This Row],[NumL]],T_Commission[#Data],COLUMN(T_Commission[[#This Row],[envoi confirm TW]]),FALSE))</f>
        <v>Oui</v>
      </c>
      <c r="CG277"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7" s="262" t="str">
        <f>T_BilanSocial[[#This Row],[Nom]]&amp;T_BilanSocial[[#This Row],[Prenom]]</f>
        <v/>
      </c>
      <c r="CI277" s="262">
        <f>VLOOKUP(T_BilanSocial[[#This Row],[NumL]],T_Commission[#Data],COLUMN(T_Commission[Commentaire]),FALSE)</f>
        <v>0</v>
      </c>
      <c r="CJ277" s="262" t="str">
        <f>IF(VLOOKUP(T_BilanSocial[[#This Row],[NumL]],T_Commission[#Data],COLUMN(T_Commission[Encadrant Email]),FALSE)="","",VLOOKUP(T_BilanSocial[[#This Row],[NumL]],T_Commission[#Data],COLUMN(T_Commission[Encadrant Email]),FALSE))</f>
        <v/>
      </c>
      <c r="CK277" s="340" t="str">
        <f>IF(T_BilanSocial[[#This Row],[Final]]&lt;&gt;"",VLOOKUP(T_BilanSocial[[#This Row],[NumL]],T_suiviDi[#Data],COLUMN((T_suiviDi[Statut])),FALSE),"")</f>
        <v/>
      </c>
    </row>
    <row r="278" spans="1:89" s="106" customFormat="1" ht="24.75" customHeight="1" x14ac:dyDescent="0.25">
      <c r="A278" s="160">
        <v>275</v>
      </c>
      <c r="B278" s="161" t="str">
        <f t="shared" si="45"/>
        <v/>
      </c>
      <c r="C278" s="162" t="s">
        <v>173</v>
      </c>
      <c r="D278" s="95" t="e">
        <f>IF(VLOOKUP(T_BilanSocial[[#This Row],[NumL]],T_TraitDi[#Data],COLUMN(T_TraitDi[[#This Row],[WebC]]),FALSE)="","",VLOOKUP(T_BilanSocial[[#This Row],[NumL]],T_TraitDi[#Data],COLUMN(T_TraitDi[[#This Row],[WebC]]),FALSE))</f>
        <v>#VALUE!</v>
      </c>
      <c r="E278" s="163" t="str">
        <f t="shared" si="46"/>
        <v>12 janvier 2021</v>
      </c>
      <c r="F278" s="96" t="str">
        <f>IF(T_BilanSocial[[#This Row],[Final]]&lt;&gt;"",VLOOKUP(T_BilanSocial[[#This Row],[NumL]],T_suiviDi[#Data],COLUMN((T_suiviDi[Civ.])),FALSE),"")</f>
        <v/>
      </c>
      <c r="G278" s="96" t="str">
        <f>IF(T_BilanSocial[[#This Row],[Final]]&lt;&gt;"",VLOOKUP(T_BilanSocial[[#This Row],[NumL]],T_suiviDi[#Data],COLUMN((T_suiviDi[Nom])),FALSE),"")</f>
        <v/>
      </c>
      <c r="H278" s="96" t="str">
        <f>IF(T_BilanSocial[[#This Row],[Final]]&lt;&gt;"",VLOOKUP(T_BilanSocial[[#This Row],[NumL]],T_suiviDi[#Data],COLUMN((T_suiviDi[Prénom])),FALSE),"")</f>
        <v/>
      </c>
      <c r="I278" s="96" t="str">
        <f>IFERROR(VLOOKUP(T_BilanSocial[[#This Row],[Zone_Bilan]],T_P_BilanSocial[#Data],COLUMN(T_P_BilanSocial[[#This Row],[Numero_SIHAM]]),FALSE),"")</f>
        <v/>
      </c>
      <c r="J278" s="96" t="str">
        <f>IFERROR(VLOOKUP(T_BilanSocial[[#This Row],[Zone_Bilan]],T_P_BilanSocial[#Data],COLUMN(T_P_BilanSocial[[#This Row],[Sexe]]),FALSE),"")</f>
        <v/>
      </c>
      <c r="K278" s="97" t="str">
        <f>IFERROR(VLOOKUP(T_BilanSocial[[#This Row],[Zone_Bilan]],T_P_BilanSocial[#Data],COLUMN(T_P_BilanSocial[[#This Row],[Categorie]]),FALSE),"")</f>
        <v/>
      </c>
      <c r="L278" s="96" t="str">
        <f>IFERROR(VLOOKUP(T_BilanSocial[[#This Row],[Zone_Bilan]],T_P_BilanSocial[#Data],COLUMN(T_P_BilanSocial[[#This Row],[Statut]]),FALSE),"")</f>
        <v/>
      </c>
      <c r="M278" s="96" t="str">
        <f>IFERROR(VLOOKUP(T_BilanSocial[[#This Row],[Zone_Bilan]],T_P_BilanSocial[#Data],COLUMN(T_P_BilanSocial[[#This Row],[Filiere]]),FALSE),"")</f>
        <v/>
      </c>
      <c r="N278" s="96" t="e">
        <f>VLOOKUP(T_BilanSocial[[#This Row],[NumL]],T_TraitDi[#Data],COLUMN(T_TraitDi[EXP]),FALSE)</f>
        <v>#N/A</v>
      </c>
      <c r="O278" s="96" t="e">
        <f>VLOOKUP(T_BilanSocial[[#This Row],[NumL]],T_TraitDi[#Data],COLUMN(T_TraitDi[FORM]),FALSE)</f>
        <v>#N/A</v>
      </c>
      <c r="P278" s="96" t="str">
        <f>IF(T_BilanSocial[[#This Row],[Final]]&lt;&gt;"",VLOOKUP(T_BilanSocial[[#This Row],[NumL]],T_suiviDi[#Data],COLUMN((T_suiviDi[Email])),FALSE),"")</f>
        <v/>
      </c>
      <c r="Q278" s="164" t="e">
        <f t="shared" si="52"/>
        <v>#N/A</v>
      </c>
      <c r="R278" s="164" t="e">
        <f t="shared" si="53"/>
        <v>#N/A</v>
      </c>
      <c r="S278" s="164" t="e">
        <f>IF(VLOOKUP(T_BilanSocial[[#This Row],[NumL]],T_suiviDi[#Data],COLUMN(T_suiviDi[[#This Row],[Service ]]),FALSE)="","",VLOOKUP(T_BilanSocial[[#This Row],[NumL]],T_suiviDi[#Data],COLUMN(T_suiviDi[[#This Row],[Service ]]),FALSE))</f>
        <v>#VALUE!</v>
      </c>
      <c r="T278" s="164" t="str">
        <f t="shared" si="47"/>
        <v>01 septembre 2021</v>
      </c>
      <c r="U278" s="164" t="str">
        <f t="shared" si="48"/>
        <v>30 novembre 2021</v>
      </c>
      <c r="V278" s="164" t="str">
        <f t="shared" si="51"/>
        <v>30 novembre 2021</v>
      </c>
      <c r="W278" s="176" t="e">
        <f>IF(VLOOKUP(T_BilanSocial[[#This Row],[NumL]],T_TraitDi[#Data],COLUMN(T_TraitDi[[#This Row],[M1]]),FALSE)="","",VLOOKUP(T_BilanSocial[[#This Row],[NumL]],T_TraitDi[#Data],COLUMN(T_TraitDi[[#This Row],[M1]]),FALSE))</f>
        <v>#VALUE!</v>
      </c>
      <c r="X278" s="176" t="e">
        <f>IF(VLOOKUP(T_BilanSocial[[#This Row],[NumL]],T_TraitDi[#Data],COLUMN(T_TraitDi[[#This Row],[M2]]),FALSE)="","",VLOOKUP(T_BilanSocial[[#This Row],[NumL]],T_TraitDi[#Data],COLUMN(T_TraitDi[[#This Row],[M2]]),FALSE))</f>
        <v>#VALUE!</v>
      </c>
      <c r="Y278" s="176" t="e">
        <f>IF(VLOOKUP(T_BilanSocial[[#This Row],[NumL]],T_TraitDi[#Data],COLUMN(T_TraitDi[[#This Row],[M3]]),FALSE)="","",VLOOKUP(T_BilanSocial[[#This Row],[NumL]],T_TraitDi[#Data],COLUMN(T_TraitDi[[#This Row],[M3]]),FALSE))</f>
        <v>#VALUE!</v>
      </c>
      <c r="Z278" s="176" t="str">
        <f t="shared" si="50"/>
        <v/>
      </c>
      <c r="AA278" s="176" t="e">
        <f>IF(VLOOKUP(T_BilanSocial[[#This Row],[NumL]],T_TraitDi[#Data],COLUMN(T_TraitDi[[#This Row],[M5]]),FALSE)="","",VLOOKUP(T_BilanSocial[[#This Row],[NumL]],T_TraitDi[#Data],COLUMN(T_TraitDi[[#This Row],[M5]]),FALSE))</f>
        <v>#VALUE!</v>
      </c>
      <c r="AB278" s="176" t="e">
        <f>IF(VLOOKUP(T_BilanSocial[[#This Row],[NumL]],T_TraitDi[#Data],COLUMN(T_TraitDi[[#This Row],[M6]]),FALSE)="","",VLOOKUP(T_BilanSocial[[#This Row],[NumL]],T_TraitDi[#Data],COLUMN(T_TraitDi[[#This Row],[M6]]),FALSE))</f>
        <v>#VALUE!</v>
      </c>
      <c r="AC278" s="165" t="e">
        <f t="shared" si="49"/>
        <v>#VALUE!</v>
      </c>
      <c r="AD278" s="188" t="str">
        <f>IFERROR(TEXT(VLOOKUP(T_BilanSocial[[#This Row],[NumL]],T_TraitDi[#Data],COLUMN(T_TraitDi[[#This Row],[Q2]]),FALSE),"###%"),"")</f>
        <v/>
      </c>
      <c r="AE278" s="97" t="e">
        <f>VLOOKUP(T_BilanSocial[[#This Row],[NumL]],T_TraitDi[#Data],COLUMN(T_TraitDi[[#This Row],[Reg Ponct]]),FALSE)</f>
        <v>#VALUE!</v>
      </c>
      <c r="AF278" s="97" t="e">
        <f>VLOOKUP(T_BilanSocial[NumL],T_TraitDi[#Data],COLUMN(T_TraitDi[[#This Row],[Jours flottants]]),FALSE)</f>
        <v>#VALUE!</v>
      </c>
      <c r="AG278" s="97" t="str">
        <f>IFERROR(VLOOKUP(T_BilanSocial[[#This Row],[NumL]],T_TraitDi[#Data],COLUMN(T_TraitDi[[#This Row],[Lundi]]),FALSE),"")</f>
        <v/>
      </c>
      <c r="AH278" s="172" t="e">
        <f>IF(VLOOKUP(T_BilanSocial[[#This Row],[NumL]],T_TraitDi[#Data],COLUMN(T_TraitDi[[#This Row],[Colonne3]]),FALSE)=0,"",TEXT(IFERROR(VLOOKUP(T_BilanSocial[[#This Row],[NumL]],T_TraitDi[#Data],COLUMN(T_TraitDi[[#This Row],[Colonne3]]),FALSE),""),"[hh]:mm"))</f>
        <v>#VALUE!</v>
      </c>
      <c r="AI278" s="172" t="e">
        <f>IF(VLOOKUP(T_BilanSocial[[#This Row],[NumL]],T_TraitDi[#Data],COLUMN(T_TraitDi[[#This Row],[Colonne4]]),FALSE)=0,"",TEXT(IFERROR(VLOOKUP(T_BilanSocial[[#This Row],[NumL]],T_TraitDi[#Data],COLUMN(T_TraitDi[[#This Row],[Colonne4]]),FALSE),""),"[hh]:mm"))</f>
        <v>#VALUE!</v>
      </c>
      <c r="AJ278" s="172" t="e">
        <f>IF(VLOOKUP(T_BilanSocial[[#This Row],[NumL]],T_TraitDi[#Data],COLUMN(T_TraitDi[[#This Row],[Colonne5]]),FALSE)=0,"",TEXT(IFERROR(VLOOKUP(T_BilanSocial[[#This Row],[NumL]],T_TraitDi[#Data],COLUMN(T_TraitDi[[#This Row],[Colonne5]]),FALSE),""),"[hh]:mm"))</f>
        <v>#VALUE!</v>
      </c>
      <c r="AK278" s="172" t="e">
        <f>IF(VLOOKUP(T_BilanSocial[[#This Row],[NumL]],T_TraitDi[#Data],COLUMN(T_TraitDi[[#This Row],[Colonne6]]),FALSE)=0,"",TEXT(IFERROR(VLOOKUP(T_BilanSocial[[#This Row],[NumL]],T_TraitDi[#Data],COLUMN(T_TraitDi[[#This Row],[Colonne6]]),FALSE),""),"[hh]:mm"))</f>
        <v>#VALUE!</v>
      </c>
      <c r="AL278" s="172" t="e">
        <f>IF(VLOOKUP(T_BilanSocial[[#This Row],[NumL]],T_TraitDi[#Data],COLUMN(T_TraitDi[[#This Row],[Colonne7]]),FALSE)=0,"",TEXT(IFERROR(VLOOKUP(T_BilanSocial[[#This Row],[NumL]],T_TraitDi[#Data],COLUMN(T_TraitDi[[#This Row],[Colonne7]]),FALSE),""),"[hh]:mm"))</f>
        <v>#VALUE!</v>
      </c>
      <c r="AM278" s="172" t="e">
        <f>IF(VLOOKUP(T_BilanSocial[[#This Row],[NumL]],T_TraitDi[#Data],COLUMN(T_TraitDi[[#This Row],[Colonne8]]),FALSE)=0,"",TEXT(IFERROR(VLOOKUP(T_BilanSocial[[#This Row],[NumL]],T_TraitDi[#Data],COLUMN(T_TraitDi[[#This Row],[Colonne8]]),FALSE),""),"[hh]:mm"))</f>
        <v>#VALUE!</v>
      </c>
      <c r="AN278" s="172" t="str">
        <f>IFERROR(VLOOKUP(T_BilanSocial[[#This Row],[NumL]],T_TraitDi[#Data],COLUMN(T_TraitDi[[#This Row],[Mardi]]),FALSE),"")</f>
        <v/>
      </c>
      <c r="AO278" s="172" t="e">
        <f>IF(VLOOKUP(T_BilanSocial[[#This Row],[NumL]],T_TraitDi[#Data],COLUMN(T_TraitDi[[#This Row],[Colonne1]]),FALSE)=0,"",TEXT(IFERROR(VLOOKUP(T_BilanSocial[[#This Row],[NumL]],T_TraitDi[#Data],COLUMN(T_TraitDi[[#This Row],[Colonne1]]),FALSE),""),"[hh]:mm"))</f>
        <v>#VALUE!</v>
      </c>
      <c r="AP278" s="172" t="e">
        <f>IF(VLOOKUP(T_BilanSocial[[#This Row],[NumL]],T_TraitDi[#Data],COLUMN(T_TraitDi[[#This Row],[Colonne9]]),FALSE)=0,"",TEXT(IFERROR(VLOOKUP(T_BilanSocial[[#This Row],[NumL]],T_TraitDi[#Data],COLUMN(T_TraitDi[[#This Row],[Colonne9]]),FALSE),""),"[hh]:mm"))</f>
        <v>#VALUE!</v>
      </c>
      <c r="AQ278" s="172" t="str">
        <f>IFERROR(VLOOKUP(T_BilanSocial[[#This Row],[NumL]],T_TraitDi[#Data],COLUMN(T_TraitDi[[#This Row],[Colonne10]]),FALSE),"")</f>
        <v/>
      </c>
      <c r="AR278" s="172" t="e">
        <f>IF(VLOOKUP(T_BilanSocial[[#This Row],[NumL]],T_TraitDi[#Data],COLUMN(T_TraitDi[[#This Row],[Colonne11]]),FALSE)=0,"",TEXT(IFERROR(VLOOKUP(T_BilanSocial[[#This Row],[NumL]],T_TraitDi[#Data],COLUMN(T_TraitDi[[#This Row],[Colonne11]]),FALSE),""),"[hh]:mm"))</f>
        <v>#VALUE!</v>
      </c>
      <c r="AS278" s="172" t="e">
        <f>IF(VLOOKUP(T_BilanSocial[[#This Row],[NumL]],T_TraitDi[#Data],COLUMN(T_TraitDi[[#This Row],[Colonne12]]),FALSE)=0,"",TEXT(IFERROR(VLOOKUP(T_BilanSocial[[#This Row],[NumL]],T_TraitDi[#Data],COLUMN(T_TraitDi[[#This Row],[Colonne12]]),FALSE),""),"[hh]:mm"))</f>
        <v>#VALUE!</v>
      </c>
      <c r="AT278" s="172" t="e">
        <f>IF(VLOOKUP(T_BilanSocial[[#This Row],[NumL]],T_TraitDi[#Data],COLUMN(T_TraitDi[[#This Row],[Colonne14]]),FALSE)=0,"",TEXT(IFERROR(VLOOKUP(T_BilanSocial[[#This Row],[NumL]],T_TraitDi[#Data],COLUMN(T_TraitDi[[#This Row],[Colonne14]]),FALSE),""),"[hh]:mm"))</f>
        <v>#VALUE!</v>
      </c>
      <c r="AU278" s="172" t="str">
        <f>IFERROR(VLOOKUP(T_BilanSocial[[#This Row],[NumL]],T_TraitDi[#Data],COLUMN(T_TraitDi[[#This Row],[Mercredi]]),FALSE),"")</f>
        <v/>
      </c>
      <c r="AV278" s="172" t="e">
        <f>IF(VLOOKUP(T_BilanSocial[[#This Row],[NumL]],T_TraitDi[#Data],COLUMN(T_TraitDi[[#This Row],[Colonne15]]),FALSE)=0,"",TEXT(IFERROR(VLOOKUP(T_BilanSocial[[#This Row],[NumL]],T_TraitDi[#Data],COLUMN(T_TraitDi[[#This Row],[Colonne15]]),FALSE),""),"[hh]:mm"))</f>
        <v>#VALUE!</v>
      </c>
      <c r="AW278" s="172" t="e">
        <f>IF(VLOOKUP(T_BilanSocial[[#This Row],[NumL]],T_TraitDi[#Data],COLUMN(T_TraitDi[[#This Row],[Colonne16]]),FALSE)=0,"",TEXT(IFERROR(VLOOKUP(T_BilanSocial[[#This Row],[NumL]],T_TraitDi[#Data],COLUMN(T_TraitDi[[#This Row],[Colonne16]]),FALSE),""),"[hh]:mm"))</f>
        <v>#VALUE!</v>
      </c>
      <c r="AX278" s="172" t="str">
        <f>IFERROR(VLOOKUP(T_BilanSocial[[#This Row],[NumL]],T_TraitDi[#Data],COLUMN(T_TraitDi[[#This Row],[Colonne17]]),FALSE),"")</f>
        <v/>
      </c>
      <c r="AY278" s="172" t="e">
        <f>IF(VLOOKUP(T_BilanSocial[[#This Row],[NumL]],T_TraitDi[#Data],COLUMN(T_TraitDi[[#This Row],[Colonne18]]),FALSE)=0,"",TEXT(IFERROR(VLOOKUP(T_BilanSocial[[#This Row],[NumL]],T_TraitDi[#Data],COLUMN(T_TraitDi[[#This Row],[Colonne18]]),FALSE),""),"[hh]:mm"))</f>
        <v>#VALUE!</v>
      </c>
      <c r="AZ278" s="172" t="e">
        <f>IF(VLOOKUP(T_BilanSocial[[#This Row],[NumL]],T_TraitDi[#Data],COLUMN(T_TraitDi[[#This Row],[Colonne19]]),FALSE)=0,"",TEXT(IFERROR(VLOOKUP(T_BilanSocial[[#This Row],[NumL]],T_TraitDi[#Data],COLUMN(T_TraitDi[[#This Row],[Colonne19]]),FALSE),""),"[hh]:mm"))</f>
        <v>#VALUE!</v>
      </c>
      <c r="BA278" s="172" t="e">
        <f>IF(VLOOKUP(T_BilanSocial[[#This Row],[NumL]],T_TraitDi[#Data],COLUMN(T_TraitDi[[#This Row],[Colonne20]]),FALSE)=0,"",TEXT(IFERROR(VLOOKUP(T_BilanSocial[[#This Row],[NumL]],T_TraitDi[#Data],COLUMN(T_TraitDi[[#This Row],[Colonne20]]),FALSE),""),"[hh]:mm"))</f>
        <v>#VALUE!</v>
      </c>
      <c r="BB278" s="178" t="str">
        <f>IFERROR(VLOOKUP(T_BilanSocial[[#This Row],[NumL]],T_TraitDi[#Data],COLUMN(T_TraitDi[[#This Row],[Jeudi]]),FALSE),"")</f>
        <v/>
      </c>
      <c r="BC278" s="178" t="e">
        <f>IF(VLOOKUP(T_BilanSocial[[#This Row],[NumL]],T_TraitDi[#Data],COLUMN(T_TraitDi[[#This Row],[Colonne21]]),FALSE)=0,"",TEXT(IFERROR(VLOOKUP(T_BilanSocial[[#This Row],[NumL]],T_TraitDi[#Data],COLUMN(T_TraitDi[[#This Row],[Colonne21]]),FALSE),""),"[hh]:mm"))</f>
        <v>#VALUE!</v>
      </c>
      <c r="BD278" s="178" t="e">
        <f>IF(VLOOKUP(T_BilanSocial[[#This Row],[NumL]],T_TraitDi[#Data],COLUMN(T_TraitDi[[#This Row],[Colonne22]]),FALSE)=0,"",TEXT(IFERROR(VLOOKUP(T_BilanSocial[[#This Row],[NumL]],T_TraitDi[#Data],COLUMN(T_TraitDi[[#This Row],[Colonne22]]),FALSE),""),"[hh]:mm"))</f>
        <v>#VALUE!</v>
      </c>
      <c r="BE278" s="178" t="str">
        <f>IFERROR(VLOOKUP(T_BilanSocial[[#This Row],[NumL]],T_TraitDi[#Data],COLUMN(T_TraitDi[[#This Row],[Colonne23]]),FALSE),"")</f>
        <v/>
      </c>
      <c r="BF278" s="178" t="e">
        <f>IF(VLOOKUP(T_BilanSocial[[#This Row],[NumL]],T_TraitDi[#Data],COLUMN(T_TraitDi[[#This Row],[Colonne24]]),FALSE)=0,"",TEXT(IFERROR(VLOOKUP(T_BilanSocial[[#This Row],[NumL]],T_TraitDi[#Data],COLUMN(T_TraitDi[[#This Row],[Colonne24]]),FALSE),""),"[hh]:mm"))</f>
        <v>#VALUE!</v>
      </c>
      <c r="BG278" s="178" t="e">
        <f>IF(VLOOKUP(T_BilanSocial[[#This Row],[NumL]],T_TraitDi[#Data],COLUMN(T_TraitDi[[#This Row],[Colonne25]]),FALSE)=0,"",TEXT(IFERROR(VLOOKUP(T_BilanSocial[[#This Row],[NumL]],T_TraitDi[#Data],COLUMN(T_TraitDi[[#This Row],[Colonne25]]),FALSE),""),"[hh]:mm"))</f>
        <v>#VALUE!</v>
      </c>
      <c r="BH278" s="178" t="e">
        <f>IF(VLOOKUP(T_BilanSocial[[#This Row],[NumL]],T_TraitDi[#Data],COLUMN(T_TraitDi[[#This Row],[Colonne26]]),FALSE)=0,"",TEXT(IFERROR(VLOOKUP(T_BilanSocial[[#This Row],[NumL]],T_TraitDi[#Data],COLUMN(T_TraitDi[[#This Row],[Colonne26]]),FALSE),""),"[hh]:mm"))</f>
        <v>#VALUE!</v>
      </c>
      <c r="BI278" s="172" t="str">
        <f>IFERROR(VLOOKUP(T_BilanSocial[[#This Row],[NumL]],T_TraitDi[#Data],COLUMN(T_TraitDi[[#This Row],[Vendredi]]),FALSE),"")</f>
        <v/>
      </c>
      <c r="BJ278" s="172" t="e">
        <f>IF(VLOOKUP(T_BilanSocial[[#This Row],[NumL]],T_TraitDi[#Data],COLUMN(T_TraitDi[[#This Row],[Colonne27]]),FALSE)=0,"",TEXT(IFERROR(VLOOKUP(T_BilanSocial[[#This Row],[NumL]],T_TraitDi[#Data],COLUMN(T_TraitDi[[#This Row],[Colonne27]]),FALSE),""),"[hh]:mm"))</f>
        <v>#VALUE!</v>
      </c>
      <c r="BK278" s="172" t="e">
        <f>IF(VLOOKUP(T_BilanSocial[[#This Row],[NumL]],T_TraitDi[#Data],COLUMN(T_TraitDi[[#This Row],[Colonne28]]),FALSE)=0,"",TEXT(IFERROR(VLOOKUP(T_BilanSocial[[#This Row],[NumL]],T_TraitDi[#Data],COLUMN(T_TraitDi[[#This Row],[Colonne28]]),FALSE),""),"[hh]:mm"))</f>
        <v>#VALUE!</v>
      </c>
      <c r="BL278" s="172" t="str">
        <f>IFERROR(VLOOKUP(T_BilanSocial[[#This Row],[NumL]],T_TraitDi[#Data],COLUMN(T_TraitDi[[#This Row],[Colonne29]]),FALSE),"")</f>
        <v/>
      </c>
      <c r="BM278" s="172" t="e">
        <f>IF(VLOOKUP(T_BilanSocial[[#This Row],[NumL]],T_TraitDi[#Data],COLUMN(T_TraitDi[[#This Row],[Colonne30]]),FALSE)=0,"",TEXT(IFERROR(VLOOKUP(T_BilanSocial[[#This Row],[NumL]],T_TraitDi[#Data],COLUMN(T_TraitDi[[#This Row],[Colonne30]]),FALSE),""),"[hh]:mm"))</f>
        <v>#VALUE!</v>
      </c>
      <c r="BN278" s="172" t="e">
        <f>IF(VLOOKUP(T_BilanSocial[[#This Row],[NumL]],T_TraitDi[#Data],COLUMN(T_TraitDi[[#This Row],[Colonne31]]),FALSE)=0,"",TEXT(IFERROR(VLOOKUP(T_BilanSocial[[#This Row],[NumL]],T_TraitDi[#Data],COLUMN(T_TraitDi[[#This Row],[Colonne31]]),FALSE),""),"[hh]:mm"))</f>
        <v>#VALUE!</v>
      </c>
      <c r="BO278" s="172" t="e">
        <f>IF(VLOOKUP(T_BilanSocial[[#This Row],[NumL]],T_TraitDi[#Data],COLUMN(T_TraitDi[[#This Row],[Colonne32]]),FALSE)=0,"",TEXT(IFERROR(VLOOKUP(T_BilanSocial[[#This Row],[NumL]],T_TraitDi[#Data],COLUMN(T_TraitDi[[#This Row],[Colonne32]]),FALSE),""),"[hh]:mm"))</f>
        <v>#VALUE!</v>
      </c>
      <c r="BP278" s="172" t="e">
        <f>VLOOKUP(T_BilanSocial[[#This Row],[NumL]],T_TraitDi[#Data],COLUMN(T_TraitDi[NbJTot]),FALSE)</f>
        <v>#N/A</v>
      </c>
      <c r="BQ278" s="174" t="str">
        <f>IFERROR(VLOOKUP(T_BilanSocial[[#This Row],[NumL]],T_TraitDi[#Data],COLUMN(T_TraitDi[[#This Row],[NbJTW]]),FALSE),"")</f>
        <v/>
      </c>
      <c r="BR278" s="174" t="e">
        <f>IF(VLOOKUP(T_BilanSocial[[#This Row],[NumL]],T_TraitDi[#Data],COLUMN(T_TraitDi[[#This Row],[NbhTW]]),FALSE)=0,"",TEXT(IFERROR(VLOOKUP(T_BilanSocial[[#This Row],[NumL]],T_TraitDi[#Data],COLUMN(T_TraitDi[[#This Row],[NbhTW]]),FALSE),""),"[hh]:mm"))</f>
        <v>#VALUE!</v>
      </c>
      <c r="BS278" s="174" t="e">
        <f>IF(VLOOKUP(T_BilanSocial[[#This Row],[NumL]],T_TraitDi[#Data],COLUMN(T_TraitDi[[#This Row],[Nbhheb]]),FALSE)=0,"",TEXT(IFERROR(VLOOKUP($A278,T_TraitDi[#Data],COLUMN(T_TraitDi[[#This Row],[Nbhheb]]),FALSE),""),"[hh]:mm"))</f>
        <v>#VALUE!</v>
      </c>
      <c r="BT278" s="182" t="str">
        <f>IFERROR(VLOOKUP(VLOOKUP($A278,T_TraitDi[#Data],COLUMN(T_TraitDi[[#This Row],[Type1]]),FALSE),TypeTW,2,FALSE),"")</f>
        <v/>
      </c>
      <c r="BU278" s="182" t="str">
        <f>IFERROR(VLOOKUP($A278,T_TraitDi[#Data],COLUMN(T_TraitDi[[#This Row],[Rue1]]),FALSE),"")</f>
        <v/>
      </c>
      <c r="BV278" s="173" t="str">
        <f>IFERROR(VLOOKUP($A278,T_TraitDi[#Data],COLUMN(T_TraitDi[[#This Row],[CP1]]),FALSE),"")</f>
        <v/>
      </c>
      <c r="BW278" s="173" t="str">
        <f>IFERROR(VLOOKUP($A278,T_TraitDi[#Data],COLUMN(T_TraitDi[[#This Row],[VILLE1]]),FALSE),"")</f>
        <v/>
      </c>
      <c r="BX278" s="182" t="str">
        <f>IFERROR(VLOOKUP(VLOOKUP($A278,T_TraitDi[#Data],COLUMN(T_TraitDi[[#This Row],[Type2]]),FALSE),TypeTW,2,FALSE),"")</f>
        <v/>
      </c>
      <c r="BY278" s="182" t="str">
        <f>IFERROR(VLOOKUP($A278,T_TraitDi[#Data],COLUMN(T_TraitDi[[#This Row],[Rue2]]),FALSE),"")</f>
        <v/>
      </c>
      <c r="BZ278" s="173" t="str">
        <f>IFERROR(VLOOKUP($A278,T_TraitDi[#Data],COLUMN(T_TraitDi[[#This Row],[CP2]]),FALSE),"")</f>
        <v/>
      </c>
      <c r="CA278" s="173" t="str">
        <f>IFERROR(VLOOKUP($A278,T_TraitDi[#Data],COLUMN(T_TraitDi[[#This Row],[VILLE2]]),FALSE),"")</f>
        <v/>
      </c>
      <c r="CB278" s="182" t="str">
        <f>IF(VLOOKUP(T_BilanSocial[[#This Row],[NumL]],T_Equipement[#Data],COLUMN(T_Equipement[[#This Row],[PC]]),FALSE)="","Aucun équipement spécifique directement lié au télétravail",VLOOKUP(T_BilanSocial[[#This Row],[NumL]],T_Equipement[#Data],COLUMN(T_Equipement[[#This Row],[PC]]),FALSE))</f>
        <v>18-058</v>
      </c>
      <c r="CC278" s="166" t="str">
        <f>IFERROR(IF(VLOOKUP(T_BilanSocial[[#This Row],[NumL]],T_TraitDi[#Data],COLUMN(T_TraitDi[[#This Row],[Plan]]),FALSE)="OK","Un planning spécifique de télétravail est annexé à la présente convention.",""),"")</f>
        <v/>
      </c>
      <c r="CD278" s="258" t="s">
        <v>3438</v>
      </c>
      <c r="CE278" s="164" t="e">
        <f>IF(VLOOKUP(T_BilanSocial[[#This Row],[NumL]],T_suiviDi[#Data],COLUMN(T_suiviDi[[#This Row],[Entité]]),FALSE)="","",VLOOKUP(T_BilanSocial[[#This Row],[NumL]],T_suiviDi[#Data],COLUMN(T_suiviDi[[#This Row],[Entité]]),FALSE))</f>
        <v>#VALUE!</v>
      </c>
      <c r="CF278" s="164" t="str">
        <f>IF(VLOOKUP(T_BilanSocial[[#This Row],[NumL]],T_Commission[#Data],COLUMN(T_Commission[[#This Row],[envoi confirm TW]]),FALSE)="","",VLOOKUP(T_BilanSocial[[#This Row],[NumL]],T_Commission[#Data],COLUMN(T_Commission[[#This Row],[envoi confirm TW]]),FALSE))</f>
        <v>Oui</v>
      </c>
      <c r="CG278" s="25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8" s="262" t="str">
        <f>T_BilanSocial[[#This Row],[Nom]]&amp;T_BilanSocial[[#This Row],[Prenom]]</f>
        <v/>
      </c>
      <c r="CI278" s="262">
        <f>VLOOKUP(T_BilanSocial[[#This Row],[NumL]],T_Commission[#Data],COLUMN(T_Commission[Commentaire]),FALSE)</f>
        <v>0</v>
      </c>
      <c r="CJ278" s="262" t="str">
        <f>IF(VLOOKUP(T_BilanSocial[[#This Row],[NumL]],T_Commission[#Data],COLUMN(T_Commission[Encadrant Email]),FALSE)="","",VLOOKUP(T_BilanSocial[[#This Row],[NumL]],T_Commission[#Data],COLUMN(T_Commission[Encadrant Email]),FALSE))</f>
        <v/>
      </c>
      <c r="CK278" s="340" t="str">
        <f>IF(T_BilanSocial[[#This Row],[Final]]&lt;&gt;"",VLOOKUP(T_BilanSocial[[#This Row],[NumL]],T_suiviDi[#Data],COLUMN((T_suiviDi[Statut])),FALSE),"")</f>
        <v/>
      </c>
    </row>
    <row r="279" spans="1:89" s="106" customFormat="1" ht="24.75" customHeight="1" x14ac:dyDescent="0.25">
      <c r="A279" s="160">
        <v>276</v>
      </c>
      <c r="B279" s="161" t="str">
        <f t="shared" si="45"/>
        <v/>
      </c>
      <c r="C279" s="162" t="s">
        <v>139</v>
      </c>
      <c r="D279" s="95" t="e">
        <f>IF(VLOOKUP(T_BilanSocial[[#This Row],[NumL]],T_TraitDi[#Data],COLUMN(T_TraitDi[[#This Row],[WebC]]),FALSE)="","",VLOOKUP(T_BilanSocial[[#This Row],[NumL]],T_TraitDi[#Data],COLUMN(T_TraitDi[[#This Row],[WebC]]),FALSE))</f>
        <v>#VALUE!</v>
      </c>
      <c r="E279" s="163" t="str">
        <f t="shared" si="46"/>
        <v>12 janvier 2021</v>
      </c>
      <c r="F279" s="96" t="str">
        <f>IF(T_BilanSocial[[#This Row],[Final]]&lt;&gt;"",VLOOKUP(T_BilanSocial[[#This Row],[NumL]],T_suiviDi[#Data],COLUMN((T_suiviDi[Civ.])),FALSE),"")</f>
        <v/>
      </c>
      <c r="G279" s="96" t="str">
        <f>IF(T_BilanSocial[[#This Row],[Final]]&lt;&gt;"",VLOOKUP(T_BilanSocial[[#This Row],[NumL]],T_suiviDi[#Data],COLUMN((T_suiviDi[Nom])),FALSE),"")</f>
        <v/>
      </c>
      <c r="H279" s="96" t="str">
        <f>IF(T_BilanSocial[[#This Row],[Final]]&lt;&gt;"",VLOOKUP(T_BilanSocial[[#This Row],[NumL]],T_suiviDi[#Data],COLUMN((T_suiviDi[Prénom])),FALSE),"")</f>
        <v/>
      </c>
      <c r="I279" s="96" t="str">
        <f>IFERROR(VLOOKUP(T_BilanSocial[[#This Row],[Zone_Bilan]],T_P_BilanSocial[#Data],COLUMN(T_P_BilanSocial[[#This Row],[Numero_SIHAM]]),FALSE),"")</f>
        <v/>
      </c>
      <c r="J279" s="96" t="str">
        <f>IFERROR(VLOOKUP(T_BilanSocial[[#This Row],[Zone_Bilan]],T_P_BilanSocial[#Data],COLUMN(T_P_BilanSocial[[#This Row],[Sexe]]),FALSE),"")</f>
        <v/>
      </c>
      <c r="K279" s="97" t="str">
        <f>IFERROR(VLOOKUP(T_BilanSocial[[#This Row],[Zone_Bilan]],T_P_BilanSocial[#Data],COLUMN(T_P_BilanSocial[[#This Row],[Categorie]]),FALSE),"")</f>
        <v/>
      </c>
      <c r="L279" s="96" t="str">
        <f>IFERROR(VLOOKUP(T_BilanSocial[[#This Row],[Zone_Bilan]],T_P_BilanSocial[#Data],COLUMN(T_P_BilanSocial[[#This Row],[Statut]]),FALSE),"")</f>
        <v/>
      </c>
      <c r="M279" s="96" t="str">
        <f>IFERROR(VLOOKUP(T_BilanSocial[[#This Row],[Zone_Bilan]],T_P_BilanSocial[#Data],COLUMN(T_P_BilanSocial[[#This Row],[Filiere]]),FALSE),"")</f>
        <v/>
      </c>
      <c r="N279" s="96" t="e">
        <f>VLOOKUP(T_BilanSocial[[#This Row],[NumL]],T_TraitDi[#Data],COLUMN(T_TraitDi[EXP]),FALSE)</f>
        <v>#N/A</v>
      </c>
      <c r="O279" s="96" t="e">
        <f>VLOOKUP(T_BilanSocial[[#This Row],[NumL]],T_TraitDi[#Data],COLUMN(T_TraitDi[FORM]),FALSE)</f>
        <v>#N/A</v>
      </c>
      <c r="P279" s="96" t="str">
        <f>IF(T_BilanSocial[[#This Row],[Final]]&lt;&gt;"",VLOOKUP(T_BilanSocial[[#This Row],[NumL]],T_suiviDi[#Data],COLUMN((T_suiviDi[Email])),FALSE),"")</f>
        <v/>
      </c>
      <c r="Q279" s="164" t="e">
        <f t="shared" si="52"/>
        <v>#N/A</v>
      </c>
      <c r="R279" s="164" t="e">
        <f t="shared" si="53"/>
        <v>#N/A</v>
      </c>
      <c r="S279" s="164" t="e">
        <f>IF(VLOOKUP(T_BilanSocial[[#This Row],[NumL]],T_suiviDi[#Data],COLUMN(T_suiviDi[[#This Row],[Service ]]),FALSE)="","",VLOOKUP(T_BilanSocial[[#This Row],[NumL]],T_suiviDi[#Data],COLUMN(T_suiviDi[[#This Row],[Service ]]),FALSE))</f>
        <v>#VALUE!</v>
      </c>
      <c r="T279" s="164" t="str">
        <f t="shared" si="47"/>
        <v>01 septembre 2021</v>
      </c>
      <c r="U279" s="164" t="str">
        <f t="shared" si="48"/>
        <v>30 novembre 2021</v>
      </c>
      <c r="V279" s="256">
        <f>Datebilan</f>
        <v>44530</v>
      </c>
      <c r="W279" s="176" t="e">
        <f>IF(VLOOKUP(T_BilanSocial[[#This Row],[NumL]],T_TraitDi[#Data],COLUMN(T_TraitDi[[#This Row],[M1]]),FALSE)="","",VLOOKUP(T_BilanSocial[[#This Row],[NumL]],T_TraitDi[#Data],COLUMN(T_TraitDi[[#This Row],[M1]]),FALSE))</f>
        <v>#VALUE!</v>
      </c>
      <c r="X279" s="176" t="e">
        <f>IF(VLOOKUP(T_BilanSocial[[#This Row],[NumL]],T_TraitDi[#Data],COLUMN(T_TraitDi[[#This Row],[M2]]),FALSE)="","",VLOOKUP(T_BilanSocial[[#This Row],[NumL]],T_TraitDi[#Data],COLUMN(T_TraitDi[[#This Row],[M2]]),FALSE))</f>
        <v>#VALUE!</v>
      </c>
      <c r="Y279" s="176" t="e">
        <f>IF(VLOOKUP(T_BilanSocial[[#This Row],[NumL]],T_TraitDi[#Data],COLUMN(T_TraitDi[[#This Row],[M3]]),FALSE)="","",VLOOKUP(T_BilanSocial[[#This Row],[NumL]],T_TraitDi[#Data],COLUMN(T_TraitDi[[#This Row],[M3]]),FALSE))</f>
        <v>#VALUE!</v>
      </c>
      <c r="Z279" s="176" t="str">
        <f t="shared" si="50"/>
        <v/>
      </c>
      <c r="AA279" s="176" t="e">
        <f>IF(VLOOKUP(T_BilanSocial[[#This Row],[NumL]],T_TraitDi[#Data],COLUMN(T_TraitDi[[#This Row],[M5]]),FALSE)="","",VLOOKUP(T_BilanSocial[[#This Row],[NumL]],T_TraitDi[#Data],COLUMN(T_TraitDi[[#This Row],[M5]]),FALSE))</f>
        <v>#VALUE!</v>
      </c>
      <c r="AB279" s="176" t="e">
        <f>IF(VLOOKUP(T_BilanSocial[[#This Row],[NumL]],T_TraitDi[#Data],COLUMN(T_TraitDi[[#This Row],[M6]]),FALSE)="","",VLOOKUP(T_BilanSocial[[#This Row],[NumL]],T_TraitDi[#Data],COLUMN(T_TraitDi[[#This Row],[M6]]),FALSE))</f>
        <v>#VALUE!</v>
      </c>
      <c r="AC279" s="165" t="e">
        <f t="shared" si="49"/>
        <v>#VALUE!</v>
      </c>
      <c r="AD279" s="188" t="str">
        <f>IFERROR(TEXT(VLOOKUP(T_BilanSocial[[#This Row],[NumL]],T_TraitDi[#Data],COLUMN(T_TraitDi[[#This Row],[Q2]]),FALSE),"###%"),"")</f>
        <v/>
      </c>
      <c r="AE279" s="97" t="e">
        <f>VLOOKUP(T_BilanSocial[[#This Row],[NumL]],T_TraitDi[#Data],COLUMN(T_TraitDi[[#This Row],[Reg Ponct]]),FALSE)</f>
        <v>#VALUE!</v>
      </c>
      <c r="AF279" s="97" t="e">
        <f>VLOOKUP(T_BilanSocial[NumL],T_TraitDi[#Data],COLUMN(T_TraitDi[[#This Row],[Jours flottants]]),FALSE)</f>
        <v>#VALUE!</v>
      </c>
      <c r="AG279" s="97" t="str">
        <f>IFERROR(VLOOKUP(T_BilanSocial[[#This Row],[NumL]],T_TraitDi[#Data],COLUMN(T_TraitDi[[#This Row],[Lundi]]),FALSE),"")</f>
        <v/>
      </c>
      <c r="AH279" s="172" t="e">
        <f>IF(VLOOKUP(T_BilanSocial[[#This Row],[NumL]],T_TraitDi[#Data],COLUMN(T_TraitDi[[#This Row],[Colonne3]]),FALSE)=0,"",TEXT(IFERROR(VLOOKUP(T_BilanSocial[[#This Row],[NumL]],T_TraitDi[#Data],COLUMN(T_TraitDi[[#This Row],[Colonne3]]),FALSE),""),"[hh]:mm"))</f>
        <v>#VALUE!</v>
      </c>
      <c r="AI279" s="172" t="e">
        <f>IF(VLOOKUP(T_BilanSocial[[#This Row],[NumL]],T_TraitDi[#Data],COLUMN(T_TraitDi[[#This Row],[Colonne4]]),FALSE)=0,"",TEXT(IFERROR(VLOOKUP(T_BilanSocial[[#This Row],[NumL]],T_TraitDi[#Data],COLUMN(T_TraitDi[[#This Row],[Colonne4]]),FALSE),""),"[hh]:mm"))</f>
        <v>#VALUE!</v>
      </c>
      <c r="AJ279" s="172" t="e">
        <f>IF(VLOOKUP(T_BilanSocial[[#This Row],[NumL]],T_TraitDi[#Data],COLUMN(T_TraitDi[[#This Row],[Colonne5]]),FALSE)=0,"",TEXT(IFERROR(VLOOKUP(T_BilanSocial[[#This Row],[NumL]],T_TraitDi[#Data],COLUMN(T_TraitDi[[#This Row],[Colonne5]]),FALSE),""),"[hh]:mm"))</f>
        <v>#VALUE!</v>
      </c>
      <c r="AK279" s="172" t="e">
        <f>IF(VLOOKUP(T_BilanSocial[[#This Row],[NumL]],T_TraitDi[#Data],COLUMN(T_TraitDi[[#This Row],[Colonne6]]),FALSE)=0,"",TEXT(IFERROR(VLOOKUP(T_BilanSocial[[#This Row],[NumL]],T_TraitDi[#Data],COLUMN(T_TraitDi[[#This Row],[Colonne6]]),FALSE),""),"[hh]:mm"))</f>
        <v>#VALUE!</v>
      </c>
      <c r="AL279" s="172" t="e">
        <f>IF(VLOOKUP(T_BilanSocial[[#This Row],[NumL]],T_TraitDi[#Data],COLUMN(T_TraitDi[[#This Row],[Colonne7]]),FALSE)=0,"",TEXT(IFERROR(VLOOKUP(T_BilanSocial[[#This Row],[NumL]],T_TraitDi[#Data],COLUMN(T_TraitDi[[#This Row],[Colonne7]]),FALSE),""),"[hh]:mm"))</f>
        <v>#VALUE!</v>
      </c>
      <c r="AM279" s="172" t="e">
        <f>IF(VLOOKUP(T_BilanSocial[[#This Row],[NumL]],T_TraitDi[#Data],COLUMN(T_TraitDi[[#This Row],[Colonne8]]),FALSE)=0,"",TEXT(IFERROR(VLOOKUP(T_BilanSocial[[#This Row],[NumL]],T_TraitDi[#Data],COLUMN(T_TraitDi[[#This Row],[Colonne8]]),FALSE),""),"[hh]:mm"))</f>
        <v>#VALUE!</v>
      </c>
      <c r="AN279" s="172" t="str">
        <f>IFERROR(VLOOKUP(T_BilanSocial[[#This Row],[NumL]],T_TraitDi[#Data],COLUMN(T_TraitDi[[#This Row],[Mardi]]),FALSE),"")</f>
        <v/>
      </c>
      <c r="AO279" s="172" t="e">
        <f>IF(VLOOKUP(T_BilanSocial[[#This Row],[NumL]],T_TraitDi[#Data],COLUMN(T_TraitDi[[#This Row],[Colonne1]]),FALSE)=0,"",TEXT(IFERROR(VLOOKUP(T_BilanSocial[[#This Row],[NumL]],T_TraitDi[#Data],COLUMN(T_TraitDi[[#This Row],[Colonne1]]),FALSE),""),"[hh]:mm"))</f>
        <v>#VALUE!</v>
      </c>
      <c r="AP279" s="172" t="e">
        <f>IF(VLOOKUP(T_BilanSocial[[#This Row],[NumL]],T_TraitDi[#Data],COLUMN(T_TraitDi[[#This Row],[Colonne9]]),FALSE)=0,"",TEXT(IFERROR(VLOOKUP(T_BilanSocial[[#This Row],[NumL]],T_TraitDi[#Data],COLUMN(T_TraitDi[[#This Row],[Colonne9]]),FALSE),""),"[hh]:mm"))</f>
        <v>#VALUE!</v>
      </c>
      <c r="AQ279" s="172" t="str">
        <f>IFERROR(VLOOKUP(T_BilanSocial[[#This Row],[NumL]],T_TraitDi[#Data],COLUMN(T_TraitDi[[#This Row],[Colonne10]]),FALSE),"")</f>
        <v/>
      </c>
      <c r="AR279" s="172" t="e">
        <f>IF(VLOOKUP(T_BilanSocial[[#This Row],[NumL]],T_TraitDi[#Data],COLUMN(T_TraitDi[[#This Row],[Colonne11]]),FALSE)=0,"",TEXT(IFERROR(VLOOKUP(T_BilanSocial[[#This Row],[NumL]],T_TraitDi[#Data],COLUMN(T_TraitDi[[#This Row],[Colonne11]]),FALSE),""),"[hh]:mm"))</f>
        <v>#VALUE!</v>
      </c>
      <c r="AS279" s="172" t="e">
        <f>IF(VLOOKUP(T_BilanSocial[[#This Row],[NumL]],T_TraitDi[#Data],COLUMN(T_TraitDi[[#This Row],[Colonne12]]),FALSE)=0,"",TEXT(IFERROR(VLOOKUP(T_BilanSocial[[#This Row],[NumL]],T_TraitDi[#Data],COLUMN(T_TraitDi[[#This Row],[Colonne12]]),FALSE),""),"[hh]:mm"))</f>
        <v>#VALUE!</v>
      </c>
      <c r="AT279" s="172" t="e">
        <f>IF(VLOOKUP(T_BilanSocial[[#This Row],[NumL]],T_TraitDi[#Data],COLUMN(T_TraitDi[[#This Row],[Colonne14]]),FALSE)=0,"",TEXT(IFERROR(VLOOKUP(T_BilanSocial[[#This Row],[NumL]],T_TraitDi[#Data],COLUMN(T_TraitDi[[#This Row],[Colonne14]]),FALSE),""),"[hh]:mm"))</f>
        <v>#VALUE!</v>
      </c>
      <c r="AU279" s="172" t="str">
        <f>IFERROR(VLOOKUP(T_BilanSocial[[#This Row],[NumL]],T_TraitDi[#Data],COLUMN(T_TraitDi[[#This Row],[Mercredi]]),FALSE),"")</f>
        <v/>
      </c>
      <c r="AV279" s="172" t="e">
        <f>IF(VLOOKUP(T_BilanSocial[[#This Row],[NumL]],T_TraitDi[#Data],COLUMN(T_TraitDi[[#This Row],[Colonne15]]),FALSE)=0,"",TEXT(IFERROR(VLOOKUP(T_BilanSocial[[#This Row],[NumL]],T_TraitDi[#Data],COLUMN(T_TraitDi[[#This Row],[Colonne15]]),FALSE),""),"[hh]:mm"))</f>
        <v>#VALUE!</v>
      </c>
      <c r="AW279" s="172" t="e">
        <f>IF(VLOOKUP(T_BilanSocial[[#This Row],[NumL]],T_TraitDi[#Data],COLUMN(T_TraitDi[[#This Row],[Colonne16]]),FALSE)=0,"",TEXT(IFERROR(VLOOKUP(T_BilanSocial[[#This Row],[NumL]],T_TraitDi[#Data],COLUMN(T_TraitDi[[#This Row],[Colonne16]]),FALSE),""),"[hh]:mm"))</f>
        <v>#VALUE!</v>
      </c>
      <c r="AX279" s="172" t="str">
        <f>IFERROR(VLOOKUP(T_BilanSocial[[#This Row],[NumL]],T_TraitDi[#Data],COLUMN(T_TraitDi[[#This Row],[Colonne17]]),FALSE),"")</f>
        <v/>
      </c>
      <c r="AY279" s="172" t="e">
        <f>IF(VLOOKUP(T_BilanSocial[[#This Row],[NumL]],T_TraitDi[#Data],COLUMN(T_TraitDi[[#This Row],[Colonne18]]),FALSE)=0,"",TEXT(IFERROR(VLOOKUP(T_BilanSocial[[#This Row],[NumL]],T_TraitDi[#Data],COLUMN(T_TraitDi[[#This Row],[Colonne18]]),FALSE),""),"[hh]:mm"))</f>
        <v>#VALUE!</v>
      </c>
      <c r="AZ279" s="172" t="e">
        <f>IF(VLOOKUP(T_BilanSocial[[#This Row],[NumL]],T_TraitDi[#Data],COLUMN(T_TraitDi[[#This Row],[Colonne19]]),FALSE)=0,"",TEXT(IFERROR(VLOOKUP(T_BilanSocial[[#This Row],[NumL]],T_TraitDi[#Data],COLUMN(T_TraitDi[[#This Row],[Colonne19]]),FALSE),""),"[hh]:mm"))</f>
        <v>#VALUE!</v>
      </c>
      <c r="BA279" s="172" t="e">
        <f>IF(VLOOKUP(T_BilanSocial[[#This Row],[NumL]],T_TraitDi[#Data],COLUMN(T_TraitDi[[#This Row],[Colonne20]]),FALSE)=0,"",TEXT(IFERROR(VLOOKUP(T_BilanSocial[[#This Row],[NumL]],T_TraitDi[#Data],COLUMN(T_TraitDi[[#This Row],[Colonne20]]),FALSE),""),"[hh]:mm"))</f>
        <v>#VALUE!</v>
      </c>
      <c r="BB279" s="178" t="str">
        <f>IFERROR(VLOOKUP(T_BilanSocial[[#This Row],[NumL]],T_TraitDi[#Data],COLUMN(T_TraitDi[[#This Row],[Jeudi]]),FALSE),"")</f>
        <v/>
      </c>
      <c r="BC279" s="178" t="e">
        <f>IF(VLOOKUP(T_BilanSocial[[#This Row],[NumL]],T_TraitDi[#Data],COLUMN(T_TraitDi[[#This Row],[Colonne21]]),FALSE)=0,"",TEXT(IFERROR(VLOOKUP(T_BilanSocial[[#This Row],[NumL]],T_TraitDi[#Data],COLUMN(T_TraitDi[[#This Row],[Colonne21]]),FALSE),""),"[hh]:mm"))</f>
        <v>#VALUE!</v>
      </c>
      <c r="BD279" s="178" t="e">
        <f>IF(VLOOKUP(T_BilanSocial[[#This Row],[NumL]],T_TraitDi[#Data],COLUMN(T_TraitDi[[#This Row],[Colonne22]]),FALSE)=0,"",TEXT(IFERROR(VLOOKUP(T_BilanSocial[[#This Row],[NumL]],T_TraitDi[#Data],COLUMN(T_TraitDi[[#This Row],[Colonne22]]),FALSE),""),"[hh]:mm"))</f>
        <v>#VALUE!</v>
      </c>
      <c r="BE279" s="178" t="str">
        <f>IFERROR(VLOOKUP(T_BilanSocial[[#This Row],[NumL]],T_TraitDi[#Data],COLUMN(T_TraitDi[[#This Row],[Colonne23]]),FALSE),"")</f>
        <v/>
      </c>
      <c r="BF279" s="178" t="e">
        <f>IF(VLOOKUP(T_BilanSocial[[#This Row],[NumL]],T_TraitDi[#Data],COLUMN(T_TraitDi[[#This Row],[Colonne24]]),FALSE)=0,"",TEXT(IFERROR(VLOOKUP(T_BilanSocial[[#This Row],[NumL]],T_TraitDi[#Data],COLUMN(T_TraitDi[[#This Row],[Colonne24]]),FALSE),""),"[hh]:mm"))</f>
        <v>#VALUE!</v>
      </c>
      <c r="BG279" s="178" t="e">
        <f>IF(VLOOKUP(T_BilanSocial[[#This Row],[NumL]],T_TraitDi[#Data],COLUMN(T_TraitDi[[#This Row],[Colonne25]]),FALSE)=0,"",TEXT(IFERROR(VLOOKUP(T_BilanSocial[[#This Row],[NumL]],T_TraitDi[#Data],COLUMN(T_TraitDi[[#This Row],[Colonne25]]),FALSE),""),"[hh]:mm"))</f>
        <v>#VALUE!</v>
      </c>
      <c r="BH279" s="178" t="e">
        <f>IF(VLOOKUP(T_BilanSocial[[#This Row],[NumL]],T_TraitDi[#Data],COLUMN(T_TraitDi[[#This Row],[Colonne26]]),FALSE)=0,"",TEXT(IFERROR(VLOOKUP(T_BilanSocial[[#This Row],[NumL]],T_TraitDi[#Data],COLUMN(T_TraitDi[[#This Row],[Colonne26]]),FALSE),""),"[hh]:mm"))</f>
        <v>#VALUE!</v>
      </c>
      <c r="BI279" s="172" t="str">
        <f>IFERROR(VLOOKUP(T_BilanSocial[[#This Row],[NumL]],T_TraitDi[#Data],COLUMN(T_TraitDi[[#This Row],[Vendredi]]),FALSE),"")</f>
        <v/>
      </c>
      <c r="BJ279" s="172" t="e">
        <f>IF(VLOOKUP(T_BilanSocial[[#This Row],[NumL]],T_TraitDi[#Data],COLUMN(T_TraitDi[[#This Row],[Colonne27]]),FALSE)=0,"",TEXT(IFERROR(VLOOKUP(T_BilanSocial[[#This Row],[NumL]],T_TraitDi[#Data],COLUMN(T_TraitDi[[#This Row],[Colonne27]]),FALSE),""),"[hh]:mm"))</f>
        <v>#VALUE!</v>
      </c>
      <c r="BK279" s="172" t="e">
        <f>IF(VLOOKUP(T_BilanSocial[[#This Row],[NumL]],T_TraitDi[#Data],COLUMN(T_TraitDi[[#This Row],[Colonne28]]),FALSE)=0,"",TEXT(IFERROR(VLOOKUP(T_BilanSocial[[#This Row],[NumL]],T_TraitDi[#Data],COLUMN(T_TraitDi[[#This Row],[Colonne28]]),FALSE),""),"[hh]:mm"))</f>
        <v>#VALUE!</v>
      </c>
      <c r="BL279" s="172" t="str">
        <f>IFERROR(VLOOKUP(T_BilanSocial[[#This Row],[NumL]],T_TraitDi[#Data],COLUMN(T_TraitDi[[#This Row],[Colonne29]]),FALSE),"")</f>
        <v/>
      </c>
      <c r="BM279" s="172" t="e">
        <f>IF(VLOOKUP(T_BilanSocial[[#This Row],[NumL]],T_TraitDi[#Data],COLUMN(T_TraitDi[[#This Row],[Colonne30]]),FALSE)=0,"",TEXT(IFERROR(VLOOKUP(T_BilanSocial[[#This Row],[NumL]],T_TraitDi[#Data],COLUMN(T_TraitDi[[#This Row],[Colonne30]]),FALSE),""),"[hh]:mm"))</f>
        <v>#VALUE!</v>
      </c>
      <c r="BN279" s="172" t="e">
        <f>IF(VLOOKUP(T_BilanSocial[[#This Row],[NumL]],T_TraitDi[#Data],COLUMN(T_TraitDi[[#This Row],[Colonne31]]),FALSE)=0,"",TEXT(IFERROR(VLOOKUP(T_BilanSocial[[#This Row],[NumL]],T_TraitDi[#Data],COLUMN(T_TraitDi[[#This Row],[Colonne31]]),FALSE),""),"[hh]:mm"))</f>
        <v>#VALUE!</v>
      </c>
      <c r="BO279" s="172" t="e">
        <f>IF(VLOOKUP(T_BilanSocial[[#This Row],[NumL]],T_TraitDi[#Data],COLUMN(T_TraitDi[[#This Row],[Colonne32]]),FALSE)=0,"",TEXT(IFERROR(VLOOKUP(T_BilanSocial[[#This Row],[NumL]],T_TraitDi[#Data],COLUMN(T_TraitDi[[#This Row],[Colonne32]]),FALSE),""),"[hh]:mm"))</f>
        <v>#VALUE!</v>
      </c>
      <c r="BP279" s="172" t="e">
        <f>VLOOKUP(T_BilanSocial[[#This Row],[NumL]],T_TraitDi[#Data],COLUMN(T_TraitDi[NbJTot]),FALSE)</f>
        <v>#N/A</v>
      </c>
      <c r="BQ279" s="174" t="str">
        <f>IFERROR(VLOOKUP(T_BilanSocial[[#This Row],[NumL]],T_TraitDi[#Data],COLUMN(T_TraitDi[[#This Row],[NbJTW]]),FALSE),"")</f>
        <v/>
      </c>
      <c r="BR279" s="174" t="e">
        <f>IF(VLOOKUP(T_BilanSocial[[#This Row],[NumL]],T_TraitDi[#Data],COLUMN(T_TraitDi[[#This Row],[NbhTW]]),FALSE)=0,"",TEXT(IFERROR(VLOOKUP(T_BilanSocial[[#This Row],[NumL]],T_TraitDi[#Data],COLUMN(T_TraitDi[[#This Row],[NbhTW]]),FALSE),""),"[hh]:mm"))</f>
        <v>#VALUE!</v>
      </c>
      <c r="BS279" s="174" t="e">
        <f>IF(VLOOKUP(T_BilanSocial[[#This Row],[NumL]],T_TraitDi[#Data],COLUMN(T_TraitDi[[#This Row],[Nbhheb]]),FALSE)=0,"",TEXT(IFERROR(VLOOKUP($A279,T_TraitDi[#Data],COLUMN(T_TraitDi[[#This Row],[Nbhheb]]),FALSE),""),"[hh]:mm"))</f>
        <v>#VALUE!</v>
      </c>
      <c r="BT279" s="182" t="str">
        <f>IFERROR(VLOOKUP(VLOOKUP($A279,T_TraitDi[#Data],COLUMN(T_TraitDi[[#This Row],[Type1]]),FALSE),TypeTW,2,FALSE),"")</f>
        <v/>
      </c>
      <c r="BU279" s="182" t="str">
        <f>IFERROR(VLOOKUP($A279,T_TraitDi[#Data],COLUMN(T_TraitDi[[#This Row],[Rue1]]),FALSE),"")</f>
        <v/>
      </c>
      <c r="BV279" s="173" t="str">
        <f>IFERROR(VLOOKUP($A279,T_TraitDi[#Data],COLUMN(T_TraitDi[[#This Row],[CP1]]),FALSE),"")</f>
        <v/>
      </c>
      <c r="BW279" s="173" t="str">
        <f>IFERROR(VLOOKUP($A279,T_TraitDi[#Data],COLUMN(T_TraitDi[[#This Row],[VILLE1]]),FALSE),"")</f>
        <v/>
      </c>
      <c r="BX279" s="182" t="str">
        <f>IFERROR(VLOOKUP(VLOOKUP($A279,T_TraitDi[#Data],COLUMN(T_TraitDi[[#This Row],[Type2]]),FALSE),TypeTW,2,FALSE),"")</f>
        <v/>
      </c>
      <c r="BY279" s="182" t="str">
        <f>IFERROR(VLOOKUP($A279,T_TraitDi[#Data],COLUMN(T_TraitDi[[#This Row],[Rue2]]),FALSE),"")</f>
        <v/>
      </c>
      <c r="BZ279" s="173" t="str">
        <f>IFERROR(VLOOKUP($A279,T_TraitDi[#Data],COLUMN(T_TraitDi[[#This Row],[CP2]]),FALSE),"")</f>
        <v/>
      </c>
      <c r="CA279" s="173" t="str">
        <f>IFERROR(VLOOKUP($A279,T_TraitDi[#Data],COLUMN(T_TraitDi[[#This Row],[VILLE2]]),FALSE),"")</f>
        <v/>
      </c>
      <c r="CB279" s="182" t="str">
        <f>IF(VLOOKUP(T_BilanSocial[[#This Row],[NumL]],T_Equipement[#Data],COLUMN(T_Equipement[[#This Row],[PC]]),FALSE)="","Aucun équipement spécifique directement lié au télétravail",VLOOKUP(T_BilanSocial[[#This Row],[NumL]],T_Equipement[#Data],COLUMN(T_Equipement[[#This Row],[PC]]),FALSE))</f>
        <v xml:space="preserve">19-160	</v>
      </c>
      <c r="CC279" s="166" t="str">
        <f>IFERROR(IF(VLOOKUP(T_BilanSocial[[#This Row],[NumL]],T_TraitDi[#Data],COLUMN(T_TraitDi[[#This Row],[Plan]]),FALSE)="OK","Un planning spécifique de télétravail est annexé à la présente convention.",""),"")</f>
        <v/>
      </c>
      <c r="CD279" s="185"/>
      <c r="CE279" s="164" t="e">
        <f>IF(VLOOKUP(T_BilanSocial[[#This Row],[NumL]],T_suiviDi[#Data],COLUMN(T_suiviDi[[#This Row],[Entité]]),FALSE)="","",VLOOKUP(T_BilanSocial[[#This Row],[NumL]],T_suiviDi[#Data],COLUMN(T_suiviDi[[#This Row],[Entité]]),FALSE))</f>
        <v>#VALUE!</v>
      </c>
      <c r="CF279" s="164" t="str">
        <f>IF(VLOOKUP(T_BilanSocial[[#This Row],[NumL]],T_Commission[#Data],COLUMN(T_Commission[[#This Row],[envoi confirm TW]]),FALSE)="","",VLOOKUP(T_BilanSocial[[#This Row],[NumL]],T_Commission[#Data],COLUMN(T_Commission[[#This Row],[envoi confirm TW]]),FALSE))</f>
        <v>Oui</v>
      </c>
      <c r="CG279"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79" s="262" t="str">
        <f>T_BilanSocial[[#This Row],[Nom]]&amp;T_BilanSocial[[#This Row],[Prenom]]</f>
        <v/>
      </c>
      <c r="CI279" s="262">
        <f>VLOOKUP(T_BilanSocial[[#This Row],[NumL]],T_Commission[#Data],COLUMN(T_Commission[Commentaire]),FALSE)</f>
        <v>0</v>
      </c>
      <c r="CJ279" s="262" t="str">
        <f>IF(VLOOKUP(T_BilanSocial[[#This Row],[NumL]],T_Commission[#Data],COLUMN(T_Commission[Encadrant Email]),FALSE)="","",VLOOKUP(T_BilanSocial[[#This Row],[NumL]],T_Commission[#Data],COLUMN(T_Commission[Encadrant Email]),FALSE))</f>
        <v/>
      </c>
      <c r="CK279" s="340" t="str">
        <f>IF(T_BilanSocial[[#This Row],[Final]]&lt;&gt;"",VLOOKUP(T_BilanSocial[[#This Row],[NumL]],T_suiviDi[#Data],COLUMN((T_suiviDi[Statut])),FALSE),"")</f>
        <v/>
      </c>
    </row>
    <row r="280" spans="1:89" s="106" customFormat="1" ht="24.75" customHeight="1" x14ac:dyDescent="0.25">
      <c r="A280" s="160">
        <v>277</v>
      </c>
      <c r="B280" s="161" t="str">
        <f t="shared" si="45"/>
        <v/>
      </c>
      <c r="C280" s="162" t="s">
        <v>3287</v>
      </c>
      <c r="D280" s="95" t="e">
        <f>IF(VLOOKUP(T_BilanSocial[[#This Row],[NumL]],T_TraitDi[#Data],COLUMN(T_TraitDi[[#This Row],[WebC]]),FALSE)="","",VLOOKUP(T_BilanSocial[[#This Row],[NumL]],T_TraitDi[#Data],COLUMN(T_TraitDi[[#This Row],[WebC]]),FALSE))</f>
        <v>#VALUE!</v>
      </c>
      <c r="E280" s="163" t="str">
        <f t="shared" si="46"/>
        <v>12 janvier 2021</v>
      </c>
      <c r="F280" s="96" t="str">
        <f>IF(T_BilanSocial[[#This Row],[Final]]&lt;&gt;"",VLOOKUP(T_BilanSocial[[#This Row],[NumL]],T_suiviDi[#Data],COLUMN((T_suiviDi[Civ.])),FALSE),"")</f>
        <v/>
      </c>
      <c r="G280" s="96" t="str">
        <f>IF(T_BilanSocial[[#This Row],[Final]]&lt;&gt;"",VLOOKUP(T_BilanSocial[[#This Row],[NumL]],T_suiviDi[#Data],COLUMN((T_suiviDi[Nom])),FALSE),"")</f>
        <v/>
      </c>
      <c r="H280" s="96" t="str">
        <f>IF(T_BilanSocial[[#This Row],[Final]]&lt;&gt;"",VLOOKUP(T_BilanSocial[[#This Row],[NumL]],T_suiviDi[#Data],COLUMN((T_suiviDi[Prénom])),FALSE),"")</f>
        <v/>
      </c>
      <c r="I280" s="96" t="str">
        <f>IFERROR(VLOOKUP(T_BilanSocial[[#This Row],[Zone_Bilan]],T_P_BilanSocial[#Data],COLUMN(T_P_BilanSocial[[#This Row],[Numero_SIHAM]]),FALSE),"")</f>
        <v/>
      </c>
      <c r="J280" s="96" t="str">
        <f>IFERROR(VLOOKUP(T_BilanSocial[[#This Row],[Zone_Bilan]],T_P_BilanSocial[#Data],COLUMN(T_P_BilanSocial[[#This Row],[Sexe]]),FALSE),"")</f>
        <v/>
      </c>
      <c r="K280" s="97" t="str">
        <f>IFERROR(VLOOKUP(T_BilanSocial[[#This Row],[Zone_Bilan]],T_P_BilanSocial[#Data],COLUMN(T_P_BilanSocial[[#This Row],[Categorie]]),FALSE),"")</f>
        <v/>
      </c>
      <c r="L280" s="96" t="str">
        <f>IFERROR(VLOOKUP(T_BilanSocial[[#This Row],[Zone_Bilan]],T_P_BilanSocial[#Data],COLUMN(T_P_BilanSocial[[#This Row],[Statut]]),FALSE),"")</f>
        <v/>
      </c>
      <c r="M280" s="96" t="str">
        <f>IFERROR(VLOOKUP(T_BilanSocial[[#This Row],[Zone_Bilan]],T_P_BilanSocial[#Data],COLUMN(T_P_BilanSocial[[#This Row],[Filiere]]),FALSE),"")</f>
        <v/>
      </c>
      <c r="N280" s="96" t="e">
        <f>VLOOKUP(T_BilanSocial[[#This Row],[NumL]],T_TraitDi[#Data],COLUMN(T_TraitDi[EXP]),FALSE)</f>
        <v>#N/A</v>
      </c>
      <c r="O280" s="96" t="e">
        <f>VLOOKUP(T_BilanSocial[[#This Row],[NumL]],T_TraitDi[#Data],COLUMN(T_TraitDi[FORM]),FALSE)</f>
        <v>#N/A</v>
      </c>
      <c r="P280" s="96" t="str">
        <f>IF(T_BilanSocial[[#This Row],[Final]]&lt;&gt;"",VLOOKUP(T_BilanSocial[[#This Row],[NumL]],T_suiviDi[#Data],COLUMN((T_suiviDi[Email])),FALSE),"")</f>
        <v/>
      </c>
      <c r="Q280" s="164" t="e">
        <f t="shared" si="52"/>
        <v>#N/A</v>
      </c>
      <c r="R280" s="164" t="e">
        <f t="shared" si="53"/>
        <v>#N/A</v>
      </c>
      <c r="S280" s="164" t="e">
        <f>IF(VLOOKUP(T_BilanSocial[[#This Row],[NumL]],T_suiviDi[#Data],COLUMN(T_suiviDi[[#This Row],[Service ]]),FALSE)="","",VLOOKUP(T_BilanSocial[[#This Row],[NumL]],T_suiviDi[#Data],COLUMN(T_suiviDi[[#This Row],[Service ]]),FALSE))</f>
        <v>#VALUE!</v>
      </c>
      <c r="T280" s="164" t="str">
        <f t="shared" si="47"/>
        <v>01 septembre 2021</v>
      </c>
      <c r="U280" s="164" t="str">
        <f t="shared" si="48"/>
        <v>30 novembre 2021</v>
      </c>
      <c r="V280" s="164" t="str">
        <f>TEXT(Datebilan,"jj mmmm aaaa")</f>
        <v>30 novembre 2021</v>
      </c>
      <c r="W280" s="176" t="e">
        <f>IF(VLOOKUP(T_BilanSocial[[#This Row],[NumL]],T_TraitDi[#Data],COLUMN(T_TraitDi[[#This Row],[M1]]),FALSE)="","",VLOOKUP(T_BilanSocial[[#This Row],[NumL]],T_TraitDi[#Data],COLUMN(T_TraitDi[[#This Row],[M1]]),FALSE))</f>
        <v>#VALUE!</v>
      </c>
      <c r="X280" s="176" t="e">
        <f>IF(VLOOKUP(T_BilanSocial[[#This Row],[NumL]],T_TraitDi[#Data],COLUMN(T_TraitDi[[#This Row],[M2]]),FALSE)="","",VLOOKUP(T_BilanSocial[[#This Row],[NumL]],T_TraitDi[#Data],COLUMN(T_TraitDi[[#This Row],[M2]]),FALSE))</f>
        <v>#VALUE!</v>
      </c>
      <c r="Y280" s="176" t="e">
        <f>IF(VLOOKUP(T_BilanSocial[[#This Row],[NumL]],T_TraitDi[#Data],COLUMN(T_TraitDi[[#This Row],[M3]]),FALSE)="","",VLOOKUP(T_BilanSocial[[#This Row],[NumL]],T_TraitDi[#Data],COLUMN(T_TraitDi[[#This Row],[M3]]),FALSE))</f>
        <v>#VALUE!</v>
      </c>
      <c r="Z280" s="176" t="str">
        <f t="shared" si="50"/>
        <v/>
      </c>
      <c r="AA280" s="176" t="e">
        <f>IF(VLOOKUP(T_BilanSocial[[#This Row],[NumL]],T_TraitDi[#Data],COLUMN(T_TraitDi[[#This Row],[M5]]),FALSE)="","",VLOOKUP(T_BilanSocial[[#This Row],[NumL]],T_TraitDi[#Data],COLUMN(T_TraitDi[[#This Row],[M5]]),FALSE))</f>
        <v>#VALUE!</v>
      </c>
      <c r="AB280" s="176" t="e">
        <f>IF(VLOOKUP(T_BilanSocial[[#This Row],[NumL]],T_TraitDi[#Data],COLUMN(T_TraitDi[[#This Row],[M6]]),FALSE)="","",VLOOKUP(T_BilanSocial[[#This Row],[NumL]],T_TraitDi[#Data],COLUMN(T_TraitDi[[#This Row],[M6]]),FALSE))</f>
        <v>#VALUE!</v>
      </c>
      <c r="AC280" s="165" t="e">
        <f t="shared" si="49"/>
        <v>#VALUE!</v>
      </c>
      <c r="AD280" s="188" t="str">
        <f>IFERROR(TEXT(VLOOKUP(T_BilanSocial[[#This Row],[NumL]],T_TraitDi[#Data],COLUMN(T_TraitDi[[#This Row],[Q2]]),FALSE),"###%"),"")</f>
        <v/>
      </c>
      <c r="AE280" s="97" t="e">
        <f>VLOOKUP(T_BilanSocial[[#This Row],[NumL]],T_TraitDi[#Data],COLUMN(T_TraitDi[[#This Row],[Reg Ponct]]),FALSE)</f>
        <v>#VALUE!</v>
      </c>
      <c r="AF280" s="97" t="e">
        <f>VLOOKUP(T_BilanSocial[NumL],T_TraitDi[#Data],COLUMN(T_TraitDi[[#This Row],[Jours flottants]]),FALSE)</f>
        <v>#VALUE!</v>
      </c>
      <c r="AG280" s="97" t="str">
        <f>IFERROR(VLOOKUP(T_BilanSocial[[#This Row],[NumL]],T_TraitDi[#Data],COLUMN(T_TraitDi[[#This Row],[Lundi]]),FALSE),"")</f>
        <v/>
      </c>
      <c r="AH280" s="172" t="e">
        <f>IF(VLOOKUP(T_BilanSocial[[#This Row],[NumL]],T_TraitDi[#Data],COLUMN(T_TraitDi[[#This Row],[Colonne3]]),FALSE)=0,"",TEXT(IFERROR(VLOOKUP(T_BilanSocial[[#This Row],[NumL]],T_TraitDi[#Data],COLUMN(T_TraitDi[[#This Row],[Colonne3]]),FALSE),""),"[hh]:mm"))</f>
        <v>#VALUE!</v>
      </c>
      <c r="AI280" s="172" t="e">
        <f>IF(VLOOKUP(T_BilanSocial[[#This Row],[NumL]],T_TraitDi[#Data],COLUMN(T_TraitDi[[#This Row],[Colonne4]]),FALSE)=0,"",TEXT(IFERROR(VLOOKUP(T_BilanSocial[[#This Row],[NumL]],T_TraitDi[#Data],COLUMN(T_TraitDi[[#This Row],[Colonne4]]),FALSE),""),"[hh]:mm"))</f>
        <v>#VALUE!</v>
      </c>
      <c r="AJ280" s="172" t="e">
        <f>IF(VLOOKUP(T_BilanSocial[[#This Row],[NumL]],T_TraitDi[#Data],COLUMN(T_TraitDi[[#This Row],[Colonne5]]),FALSE)=0,"",TEXT(IFERROR(VLOOKUP(T_BilanSocial[[#This Row],[NumL]],T_TraitDi[#Data],COLUMN(T_TraitDi[[#This Row],[Colonne5]]),FALSE),""),"[hh]:mm"))</f>
        <v>#VALUE!</v>
      </c>
      <c r="AK280" s="172" t="e">
        <f>IF(VLOOKUP(T_BilanSocial[[#This Row],[NumL]],T_TraitDi[#Data],COLUMN(T_TraitDi[[#This Row],[Colonne6]]),FALSE)=0,"",TEXT(IFERROR(VLOOKUP(T_BilanSocial[[#This Row],[NumL]],T_TraitDi[#Data],COLUMN(T_TraitDi[[#This Row],[Colonne6]]),FALSE),""),"[hh]:mm"))</f>
        <v>#VALUE!</v>
      </c>
      <c r="AL280" s="172" t="e">
        <f>IF(VLOOKUP(T_BilanSocial[[#This Row],[NumL]],T_TraitDi[#Data],COLUMN(T_TraitDi[[#This Row],[Colonne7]]),FALSE)=0,"",TEXT(IFERROR(VLOOKUP(T_BilanSocial[[#This Row],[NumL]],T_TraitDi[#Data],COLUMN(T_TraitDi[[#This Row],[Colonne7]]),FALSE),""),"[hh]:mm"))</f>
        <v>#VALUE!</v>
      </c>
      <c r="AM280" s="172" t="e">
        <f>IF(VLOOKUP(T_BilanSocial[[#This Row],[NumL]],T_TraitDi[#Data],COLUMN(T_TraitDi[[#This Row],[Colonne8]]),FALSE)=0,"",TEXT(IFERROR(VLOOKUP(T_BilanSocial[[#This Row],[NumL]],T_TraitDi[#Data],COLUMN(T_TraitDi[[#This Row],[Colonne8]]),FALSE),""),"[hh]:mm"))</f>
        <v>#VALUE!</v>
      </c>
      <c r="AN280" s="172" t="str">
        <f>IFERROR(VLOOKUP(T_BilanSocial[[#This Row],[NumL]],T_TraitDi[#Data],COLUMN(T_TraitDi[[#This Row],[Mardi]]),FALSE),"")</f>
        <v/>
      </c>
      <c r="AO280" s="172" t="e">
        <f>IF(VLOOKUP(T_BilanSocial[[#This Row],[NumL]],T_TraitDi[#Data],COLUMN(T_TraitDi[[#This Row],[Colonne1]]),FALSE)=0,"",TEXT(IFERROR(VLOOKUP(T_BilanSocial[[#This Row],[NumL]],T_TraitDi[#Data],COLUMN(T_TraitDi[[#This Row],[Colonne1]]),FALSE),""),"[hh]:mm"))</f>
        <v>#VALUE!</v>
      </c>
      <c r="AP280" s="172" t="e">
        <f>IF(VLOOKUP(T_BilanSocial[[#This Row],[NumL]],T_TraitDi[#Data],COLUMN(T_TraitDi[[#This Row],[Colonne9]]),FALSE)=0,"",TEXT(IFERROR(VLOOKUP(T_BilanSocial[[#This Row],[NumL]],T_TraitDi[#Data],COLUMN(T_TraitDi[[#This Row],[Colonne9]]),FALSE),""),"[hh]:mm"))</f>
        <v>#VALUE!</v>
      </c>
      <c r="AQ280" s="172" t="str">
        <f>IFERROR(VLOOKUP(T_BilanSocial[[#This Row],[NumL]],T_TraitDi[#Data],COLUMN(T_TraitDi[[#This Row],[Colonne10]]),FALSE),"")</f>
        <v/>
      </c>
      <c r="AR280" s="172" t="e">
        <f>IF(VLOOKUP(T_BilanSocial[[#This Row],[NumL]],T_TraitDi[#Data],COLUMN(T_TraitDi[[#This Row],[Colonne11]]),FALSE)=0,"",TEXT(IFERROR(VLOOKUP(T_BilanSocial[[#This Row],[NumL]],T_TraitDi[#Data],COLUMN(T_TraitDi[[#This Row],[Colonne11]]),FALSE),""),"[hh]:mm"))</f>
        <v>#VALUE!</v>
      </c>
      <c r="AS280" s="172" t="e">
        <f>IF(VLOOKUP(T_BilanSocial[[#This Row],[NumL]],T_TraitDi[#Data],COLUMN(T_TraitDi[[#This Row],[Colonne12]]),FALSE)=0,"",TEXT(IFERROR(VLOOKUP(T_BilanSocial[[#This Row],[NumL]],T_TraitDi[#Data],COLUMN(T_TraitDi[[#This Row],[Colonne12]]),FALSE),""),"[hh]:mm"))</f>
        <v>#VALUE!</v>
      </c>
      <c r="AT280" s="172" t="e">
        <f>IF(VLOOKUP(T_BilanSocial[[#This Row],[NumL]],T_TraitDi[#Data],COLUMN(T_TraitDi[[#This Row],[Colonne14]]),FALSE)=0,"",TEXT(IFERROR(VLOOKUP(T_BilanSocial[[#This Row],[NumL]],T_TraitDi[#Data],COLUMN(T_TraitDi[[#This Row],[Colonne14]]),FALSE),""),"[hh]:mm"))</f>
        <v>#VALUE!</v>
      </c>
      <c r="AU280" s="172" t="str">
        <f>IFERROR(VLOOKUP(T_BilanSocial[[#This Row],[NumL]],T_TraitDi[#Data],COLUMN(T_TraitDi[[#This Row],[Mercredi]]),FALSE),"")</f>
        <v/>
      </c>
      <c r="AV280" s="172" t="e">
        <f>IF(VLOOKUP(T_BilanSocial[[#This Row],[NumL]],T_TraitDi[#Data],COLUMN(T_TraitDi[[#This Row],[Colonne15]]),FALSE)=0,"",TEXT(IFERROR(VLOOKUP(T_BilanSocial[[#This Row],[NumL]],T_TraitDi[#Data],COLUMN(T_TraitDi[[#This Row],[Colonne15]]),FALSE),""),"[hh]:mm"))</f>
        <v>#VALUE!</v>
      </c>
      <c r="AW280" s="172" t="e">
        <f>IF(VLOOKUP(T_BilanSocial[[#This Row],[NumL]],T_TraitDi[#Data],COLUMN(T_TraitDi[[#This Row],[Colonne16]]),FALSE)=0,"",TEXT(IFERROR(VLOOKUP(T_BilanSocial[[#This Row],[NumL]],T_TraitDi[#Data],COLUMN(T_TraitDi[[#This Row],[Colonne16]]),FALSE),""),"[hh]:mm"))</f>
        <v>#VALUE!</v>
      </c>
      <c r="AX280" s="172" t="str">
        <f>IFERROR(VLOOKUP(T_BilanSocial[[#This Row],[NumL]],T_TraitDi[#Data],COLUMN(T_TraitDi[[#This Row],[Colonne17]]),FALSE),"")</f>
        <v/>
      </c>
      <c r="AY280" s="172" t="e">
        <f>IF(VLOOKUP(T_BilanSocial[[#This Row],[NumL]],T_TraitDi[#Data],COLUMN(T_TraitDi[[#This Row],[Colonne18]]),FALSE)=0,"",TEXT(IFERROR(VLOOKUP(T_BilanSocial[[#This Row],[NumL]],T_TraitDi[#Data],COLUMN(T_TraitDi[[#This Row],[Colonne18]]),FALSE),""),"[hh]:mm"))</f>
        <v>#VALUE!</v>
      </c>
      <c r="AZ280" s="172" t="e">
        <f>IF(VLOOKUP(T_BilanSocial[[#This Row],[NumL]],T_TraitDi[#Data],COLUMN(T_TraitDi[[#This Row],[Colonne19]]),FALSE)=0,"",TEXT(IFERROR(VLOOKUP(T_BilanSocial[[#This Row],[NumL]],T_TraitDi[#Data],COLUMN(T_TraitDi[[#This Row],[Colonne19]]),FALSE),""),"[hh]:mm"))</f>
        <v>#VALUE!</v>
      </c>
      <c r="BA280" s="172" t="e">
        <f>IF(VLOOKUP(T_BilanSocial[[#This Row],[NumL]],T_TraitDi[#Data],COLUMN(T_TraitDi[[#This Row],[Colonne20]]),FALSE)=0,"",TEXT(IFERROR(VLOOKUP(T_BilanSocial[[#This Row],[NumL]],T_TraitDi[#Data],COLUMN(T_TraitDi[[#This Row],[Colonne20]]),FALSE),""),"[hh]:mm"))</f>
        <v>#VALUE!</v>
      </c>
      <c r="BB280" s="178" t="str">
        <f>IFERROR(VLOOKUP(T_BilanSocial[[#This Row],[NumL]],T_TraitDi[#Data],COLUMN(T_TraitDi[[#This Row],[Jeudi]]),FALSE),"")</f>
        <v/>
      </c>
      <c r="BC280" s="178" t="e">
        <f>IF(VLOOKUP(T_BilanSocial[[#This Row],[NumL]],T_TraitDi[#Data],COLUMN(T_TraitDi[[#This Row],[Colonne21]]),FALSE)=0,"",TEXT(IFERROR(VLOOKUP(T_BilanSocial[[#This Row],[NumL]],T_TraitDi[#Data],COLUMN(T_TraitDi[[#This Row],[Colonne21]]),FALSE),""),"[hh]:mm"))</f>
        <v>#VALUE!</v>
      </c>
      <c r="BD280" s="178" t="e">
        <f>IF(VLOOKUP(T_BilanSocial[[#This Row],[NumL]],T_TraitDi[#Data],COLUMN(T_TraitDi[[#This Row],[Colonne22]]),FALSE)=0,"",TEXT(IFERROR(VLOOKUP(T_BilanSocial[[#This Row],[NumL]],T_TraitDi[#Data],COLUMN(T_TraitDi[[#This Row],[Colonne22]]),FALSE),""),"[hh]:mm"))</f>
        <v>#VALUE!</v>
      </c>
      <c r="BE280" s="178" t="str">
        <f>IFERROR(VLOOKUP(T_BilanSocial[[#This Row],[NumL]],T_TraitDi[#Data],COLUMN(T_TraitDi[[#This Row],[Colonne23]]),FALSE),"")</f>
        <v/>
      </c>
      <c r="BF280" s="178" t="e">
        <f>IF(VLOOKUP(T_BilanSocial[[#This Row],[NumL]],T_TraitDi[#Data],COLUMN(T_TraitDi[[#This Row],[Colonne24]]),FALSE)=0,"",TEXT(IFERROR(VLOOKUP(T_BilanSocial[[#This Row],[NumL]],T_TraitDi[#Data],COLUMN(T_TraitDi[[#This Row],[Colonne24]]),FALSE),""),"[hh]:mm"))</f>
        <v>#VALUE!</v>
      </c>
      <c r="BG280" s="178" t="e">
        <f>IF(VLOOKUP(T_BilanSocial[[#This Row],[NumL]],T_TraitDi[#Data],COLUMN(T_TraitDi[[#This Row],[Colonne25]]),FALSE)=0,"",TEXT(IFERROR(VLOOKUP(T_BilanSocial[[#This Row],[NumL]],T_TraitDi[#Data],COLUMN(T_TraitDi[[#This Row],[Colonne25]]),FALSE),""),"[hh]:mm"))</f>
        <v>#VALUE!</v>
      </c>
      <c r="BH280" s="178" t="e">
        <f>IF(VLOOKUP(T_BilanSocial[[#This Row],[NumL]],T_TraitDi[#Data],COLUMN(T_TraitDi[[#This Row],[Colonne26]]),FALSE)=0,"",TEXT(IFERROR(VLOOKUP(T_BilanSocial[[#This Row],[NumL]],T_TraitDi[#Data],COLUMN(T_TraitDi[[#This Row],[Colonne26]]),FALSE),""),"[hh]:mm"))</f>
        <v>#VALUE!</v>
      </c>
      <c r="BI280" s="172" t="str">
        <f>IFERROR(VLOOKUP(T_BilanSocial[[#This Row],[NumL]],T_TraitDi[#Data],COLUMN(T_TraitDi[[#This Row],[Vendredi]]),FALSE),"")</f>
        <v/>
      </c>
      <c r="BJ280" s="172" t="e">
        <f>IF(VLOOKUP(T_BilanSocial[[#This Row],[NumL]],T_TraitDi[#Data],COLUMN(T_TraitDi[[#This Row],[Colonne27]]),FALSE)=0,"",TEXT(IFERROR(VLOOKUP(T_BilanSocial[[#This Row],[NumL]],T_TraitDi[#Data],COLUMN(T_TraitDi[[#This Row],[Colonne27]]),FALSE),""),"[hh]:mm"))</f>
        <v>#VALUE!</v>
      </c>
      <c r="BK280" s="172" t="e">
        <f>IF(VLOOKUP(T_BilanSocial[[#This Row],[NumL]],T_TraitDi[#Data],COLUMN(T_TraitDi[[#This Row],[Colonne28]]),FALSE)=0,"",TEXT(IFERROR(VLOOKUP(T_BilanSocial[[#This Row],[NumL]],T_TraitDi[#Data],COLUMN(T_TraitDi[[#This Row],[Colonne28]]),FALSE),""),"[hh]:mm"))</f>
        <v>#VALUE!</v>
      </c>
      <c r="BL280" s="172" t="str">
        <f>IFERROR(VLOOKUP(T_BilanSocial[[#This Row],[NumL]],T_TraitDi[#Data],COLUMN(T_TraitDi[[#This Row],[Colonne29]]),FALSE),"")</f>
        <v/>
      </c>
      <c r="BM280" s="172" t="e">
        <f>IF(VLOOKUP(T_BilanSocial[[#This Row],[NumL]],T_TraitDi[#Data],COLUMN(T_TraitDi[[#This Row],[Colonne30]]),FALSE)=0,"",TEXT(IFERROR(VLOOKUP(T_BilanSocial[[#This Row],[NumL]],T_TraitDi[#Data],COLUMN(T_TraitDi[[#This Row],[Colonne30]]),FALSE),""),"[hh]:mm"))</f>
        <v>#VALUE!</v>
      </c>
      <c r="BN280" s="172" t="e">
        <f>IF(VLOOKUP(T_BilanSocial[[#This Row],[NumL]],T_TraitDi[#Data],COLUMN(T_TraitDi[[#This Row],[Colonne31]]),FALSE)=0,"",TEXT(IFERROR(VLOOKUP(T_BilanSocial[[#This Row],[NumL]],T_TraitDi[#Data],COLUMN(T_TraitDi[[#This Row],[Colonne31]]),FALSE),""),"[hh]:mm"))</f>
        <v>#VALUE!</v>
      </c>
      <c r="BO280" s="172" t="e">
        <f>IF(VLOOKUP(T_BilanSocial[[#This Row],[NumL]],T_TraitDi[#Data],COLUMN(T_TraitDi[[#This Row],[Colonne32]]),FALSE)=0,"",TEXT(IFERROR(VLOOKUP(T_BilanSocial[[#This Row],[NumL]],T_TraitDi[#Data],COLUMN(T_TraitDi[[#This Row],[Colonne32]]),FALSE),""),"[hh]:mm"))</f>
        <v>#VALUE!</v>
      </c>
      <c r="BP280" s="172" t="e">
        <f>VLOOKUP(T_BilanSocial[[#This Row],[NumL]],T_TraitDi[#Data],COLUMN(T_TraitDi[NbJTot]),FALSE)</f>
        <v>#N/A</v>
      </c>
      <c r="BQ280" s="174" t="str">
        <f>IFERROR(VLOOKUP(T_BilanSocial[[#This Row],[NumL]],T_TraitDi[#Data],COLUMN(T_TraitDi[[#This Row],[NbJTW]]),FALSE),"")</f>
        <v/>
      </c>
      <c r="BR280" s="174" t="e">
        <f>IF(VLOOKUP(T_BilanSocial[[#This Row],[NumL]],T_TraitDi[#Data],COLUMN(T_TraitDi[[#This Row],[NbhTW]]),FALSE)=0,"",TEXT(IFERROR(VLOOKUP(T_BilanSocial[[#This Row],[NumL]],T_TraitDi[#Data],COLUMN(T_TraitDi[[#This Row],[NbhTW]]),FALSE),""),"[hh]:mm"))</f>
        <v>#VALUE!</v>
      </c>
      <c r="BS280" s="174" t="e">
        <f>IF(VLOOKUP(T_BilanSocial[[#This Row],[NumL]],T_TraitDi[#Data],COLUMN(T_TraitDi[[#This Row],[Nbhheb]]),FALSE)=0,"",TEXT(IFERROR(VLOOKUP($A280,T_TraitDi[#Data],COLUMN(T_TraitDi[[#This Row],[Nbhheb]]),FALSE),""),"[hh]:mm"))</f>
        <v>#VALUE!</v>
      </c>
      <c r="BT280" s="182" t="str">
        <f>IFERROR(VLOOKUP(VLOOKUP($A280,T_TraitDi[#Data],COLUMN(T_TraitDi[[#This Row],[Type1]]),FALSE),TypeTW,2,FALSE),"")</f>
        <v/>
      </c>
      <c r="BU280" s="182" t="str">
        <f>IFERROR(VLOOKUP($A280,T_TraitDi[#Data],COLUMN(T_TraitDi[[#This Row],[Rue1]]),FALSE),"")</f>
        <v/>
      </c>
      <c r="BV280" s="173" t="str">
        <f>IFERROR(VLOOKUP($A280,T_TraitDi[#Data],COLUMN(T_TraitDi[[#This Row],[CP1]]),FALSE),"")</f>
        <v/>
      </c>
      <c r="BW280" s="173" t="str">
        <f>IFERROR(VLOOKUP($A280,T_TraitDi[#Data],COLUMN(T_TraitDi[[#This Row],[VILLE1]]),FALSE),"")</f>
        <v/>
      </c>
      <c r="BX280" s="182" t="str">
        <f>IFERROR(VLOOKUP(VLOOKUP($A280,T_TraitDi[#Data],COLUMN(T_TraitDi[[#This Row],[Type2]]),FALSE),TypeTW,2,FALSE),"")</f>
        <v/>
      </c>
      <c r="BY280" s="182" t="str">
        <f>IFERROR(VLOOKUP($A280,T_TraitDi[#Data],COLUMN(T_TraitDi[[#This Row],[Rue2]]),FALSE),"")</f>
        <v/>
      </c>
      <c r="BZ280" s="173" t="str">
        <f>IFERROR(VLOOKUP($A280,T_TraitDi[#Data],COLUMN(T_TraitDi[[#This Row],[CP2]]),FALSE),"")</f>
        <v/>
      </c>
      <c r="CA280" s="173" t="str">
        <f>IFERROR(VLOOKUP($A280,T_TraitDi[#Data],COLUMN(T_TraitDi[[#This Row],[VILLE2]]),FALSE),"")</f>
        <v/>
      </c>
      <c r="CB280" s="182" t="str">
        <f>IF(VLOOKUP(T_BilanSocial[[#This Row],[NumL]],T_Equipement[#Data],COLUMN(T_Equipement[[#This Row],[PC]]),FALSE)="","Aucun équipement spécifique directement lié au télétravail",VLOOKUP(T_BilanSocial[[#This Row],[NumL]],T_Equipement[#Data],COLUMN(T_Equipement[[#This Row],[PC]]),FALSE))</f>
        <v>18-902Q	 mac</v>
      </c>
      <c r="CC280" s="166" t="str">
        <f>IFERROR(IF(VLOOKUP(T_BilanSocial[[#This Row],[NumL]],T_TraitDi[#Data],COLUMN(T_TraitDi[[#This Row],[Plan]]),FALSE)="OK","Un planning spécifique de télétravail est annexé à la présente convention.",""),"")</f>
        <v/>
      </c>
      <c r="CD280" s="185"/>
      <c r="CE280" s="164" t="e">
        <f>IF(VLOOKUP(T_BilanSocial[[#This Row],[NumL]],T_suiviDi[#Data],COLUMN(T_suiviDi[[#This Row],[Entité]]),FALSE)="","",VLOOKUP(T_BilanSocial[[#This Row],[NumL]],T_suiviDi[#Data],COLUMN(T_suiviDi[[#This Row],[Entité]]),FALSE))</f>
        <v>#VALUE!</v>
      </c>
      <c r="CF280" s="164" t="str">
        <f>IF(VLOOKUP(T_BilanSocial[[#This Row],[NumL]],T_Commission[#Data],COLUMN(T_Commission[[#This Row],[envoi confirm TW]]),FALSE)="","",VLOOKUP(T_BilanSocial[[#This Row],[NumL]],T_Commission[#Data],COLUMN(T_Commission[[#This Row],[envoi confirm TW]]),FALSE))</f>
        <v>Oui</v>
      </c>
      <c r="CG280"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0" s="262" t="str">
        <f>T_BilanSocial[[#This Row],[Nom]]&amp;T_BilanSocial[[#This Row],[Prenom]]</f>
        <v/>
      </c>
      <c r="CI280" s="262">
        <f>VLOOKUP(T_BilanSocial[[#This Row],[NumL]],T_Commission[#Data],COLUMN(T_Commission[Commentaire]),FALSE)</f>
        <v>0</v>
      </c>
      <c r="CJ280" s="262" t="str">
        <f>IF(VLOOKUP(T_BilanSocial[[#This Row],[NumL]],T_Commission[#Data],COLUMN(T_Commission[Encadrant Email]),FALSE)="","",VLOOKUP(T_BilanSocial[[#This Row],[NumL]],T_Commission[#Data],COLUMN(T_Commission[Encadrant Email]),FALSE))</f>
        <v/>
      </c>
      <c r="CK280" s="340" t="str">
        <f>IF(T_BilanSocial[[#This Row],[Final]]&lt;&gt;"",VLOOKUP(T_BilanSocial[[#This Row],[NumL]],T_suiviDi[#Data],COLUMN((T_suiviDi[Statut])),FALSE),"")</f>
        <v/>
      </c>
    </row>
    <row r="281" spans="1:89" s="106" customFormat="1" ht="24.75" customHeight="1" x14ac:dyDescent="0.25">
      <c r="A281" s="160">
        <v>278</v>
      </c>
      <c r="B281" s="161" t="str">
        <f t="shared" si="45"/>
        <v/>
      </c>
      <c r="C281" s="162" t="s">
        <v>139</v>
      </c>
      <c r="D281" s="95" t="e">
        <f>IF(VLOOKUP(T_BilanSocial[[#This Row],[NumL]],T_TraitDi[#Data],COLUMN(T_TraitDi[[#This Row],[WebC]]),FALSE)="","",VLOOKUP(T_BilanSocial[[#This Row],[NumL]],T_TraitDi[#Data],COLUMN(T_TraitDi[[#This Row],[WebC]]),FALSE))</f>
        <v>#VALUE!</v>
      </c>
      <c r="E281" s="163" t="str">
        <f t="shared" si="46"/>
        <v>12 janvier 2021</v>
      </c>
      <c r="F281" s="96" t="str">
        <f>IF(T_BilanSocial[[#This Row],[Final]]&lt;&gt;"",VLOOKUP(T_BilanSocial[[#This Row],[NumL]],T_suiviDi[#Data],COLUMN((T_suiviDi[Civ.])),FALSE),"")</f>
        <v/>
      </c>
      <c r="G281" s="96" t="str">
        <f>IF(T_BilanSocial[[#This Row],[Final]]&lt;&gt;"",VLOOKUP(T_BilanSocial[[#This Row],[NumL]],T_suiviDi[#Data],COLUMN((T_suiviDi[Nom])),FALSE),"")</f>
        <v/>
      </c>
      <c r="H281" s="96" t="str">
        <f>IF(T_BilanSocial[[#This Row],[Final]]&lt;&gt;"",VLOOKUP(T_BilanSocial[[#This Row],[NumL]],T_suiviDi[#Data],COLUMN((T_suiviDi[Prénom])),FALSE),"")</f>
        <v/>
      </c>
      <c r="I281" s="96" t="str">
        <f>IFERROR(VLOOKUP(T_BilanSocial[[#This Row],[Zone_Bilan]],T_P_BilanSocial[#Data],COLUMN(T_P_BilanSocial[[#This Row],[Numero_SIHAM]]),FALSE),"")</f>
        <v/>
      </c>
      <c r="J281" s="96" t="str">
        <f>IFERROR(VLOOKUP(T_BilanSocial[[#This Row],[Zone_Bilan]],T_P_BilanSocial[#Data],COLUMN(T_P_BilanSocial[[#This Row],[Sexe]]),FALSE),"")</f>
        <v/>
      </c>
      <c r="K281" s="97" t="str">
        <f>IFERROR(VLOOKUP(T_BilanSocial[[#This Row],[Zone_Bilan]],T_P_BilanSocial[#Data],COLUMN(T_P_BilanSocial[[#This Row],[Categorie]]),FALSE),"")</f>
        <v/>
      </c>
      <c r="L281" s="96" t="str">
        <f>IFERROR(VLOOKUP(T_BilanSocial[[#This Row],[Zone_Bilan]],T_P_BilanSocial[#Data],COLUMN(T_P_BilanSocial[[#This Row],[Statut]]),FALSE),"")</f>
        <v/>
      </c>
      <c r="M281" s="96" t="str">
        <f>IFERROR(VLOOKUP(T_BilanSocial[[#This Row],[Zone_Bilan]],T_P_BilanSocial[#Data],COLUMN(T_P_BilanSocial[[#This Row],[Filiere]]),FALSE),"")</f>
        <v/>
      </c>
      <c r="N281" s="96" t="e">
        <f>VLOOKUP(T_BilanSocial[[#This Row],[NumL]],T_TraitDi[#Data],COLUMN(T_TraitDi[EXP]),FALSE)</f>
        <v>#N/A</v>
      </c>
      <c r="O281" s="96" t="e">
        <f>VLOOKUP(T_BilanSocial[[#This Row],[NumL]],T_TraitDi[#Data],COLUMN(T_TraitDi[FORM]),FALSE)</f>
        <v>#N/A</v>
      </c>
      <c r="P281" s="96" t="str">
        <f>IF(T_BilanSocial[[#This Row],[Final]]&lt;&gt;"",VLOOKUP(T_BilanSocial[[#This Row],[NumL]],T_suiviDi[#Data],COLUMN((T_suiviDi[Email])),FALSE),"")</f>
        <v/>
      </c>
      <c r="Q281" s="164" t="e">
        <f t="shared" si="52"/>
        <v>#N/A</v>
      </c>
      <c r="R281" s="164" t="e">
        <f t="shared" si="53"/>
        <v>#N/A</v>
      </c>
      <c r="S281" s="164" t="e">
        <f>IF(VLOOKUP(T_BilanSocial[[#This Row],[NumL]],T_suiviDi[#Data],COLUMN(T_suiviDi[[#This Row],[Service ]]),FALSE)="","",VLOOKUP(T_BilanSocial[[#This Row],[NumL]],T_suiviDi[#Data],COLUMN(T_suiviDi[[#This Row],[Service ]]),FALSE))</f>
        <v>#VALUE!</v>
      </c>
      <c r="T281" s="164" t="str">
        <f t="shared" si="47"/>
        <v>01 septembre 2021</v>
      </c>
      <c r="U281" s="164" t="str">
        <f t="shared" si="48"/>
        <v>30 novembre 2021</v>
      </c>
      <c r="V281" s="256">
        <f>Datebilan</f>
        <v>44530</v>
      </c>
      <c r="W281" s="176" t="e">
        <f>IF(VLOOKUP(T_BilanSocial[[#This Row],[NumL]],T_TraitDi[#Data],COLUMN(T_TraitDi[[#This Row],[M1]]),FALSE)="","",VLOOKUP(T_BilanSocial[[#This Row],[NumL]],T_TraitDi[#Data],COLUMN(T_TraitDi[[#This Row],[M1]]),FALSE))</f>
        <v>#VALUE!</v>
      </c>
      <c r="X281" s="176" t="e">
        <f>IF(VLOOKUP(T_BilanSocial[[#This Row],[NumL]],T_TraitDi[#Data],COLUMN(T_TraitDi[[#This Row],[M2]]),FALSE)="","",VLOOKUP(T_BilanSocial[[#This Row],[NumL]],T_TraitDi[#Data],COLUMN(T_TraitDi[[#This Row],[M2]]),FALSE))</f>
        <v>#VALUE!</v>
      </c>
      <c r="Y281" s="176" t="e">
        <f>IF(VLOOKUP(T_BilanSocial[[#This Row],[NumL]],T_TraitDi[#Data],COLUMN(T_TraitDi[[#This Row],[M3]]),FALSE)="","",VLOOKUP(T_BilanSocial[[#This Row],[NumL]],T_TraitDi[#Data],COLUMN(T_TraitDi[[#This Row],[M3]]),FALSE))</f>
        <v>#VALUE!</v>
      </c>
      <c r="Z281" s="176" t="str">
        <f t="shared" si="50"/>
        <v/>
      </c>
      <c r="AA281" s="176" t="e">
        <f>IF(VLOOKUP(T_BilanSocial[[#This Row],[NumL]],T_TraitDi[#Data],COLUMN(T_TraitDi[[#This Row],[M5]]),FALSE)="","",VLOOKUP(T_BilanSocial[[#This Row],[NumL]],T_TraitDi[#Data],COLUMN(T_TraitDi[[#This Row],[M5]]),FALSE))</f>
        <v>#VALUE!</v>
      </c>
      <c r="AB281" s="176" t="e">
        <f>IF(VLOOKUP(T_BilanSocial[[#This Row],[NumL]],T_TraitDi[#Data],COLUMN(T_TraitDi[[#This Row],[M6]]),FALSE)="","",VLOOKUP(T_BilanSocial[[#This Row],[NumL]],T_TraitDi[#Data],COLUMN(T_TraitDi[[#This Row],[M6]]),FALSE))</f>
        <v>#VALUE!</v>
      </c>
      <c r="AC281" s="165" t="e">
        <f t="shared" si="49"/>
        <v>#VALUE!</v>
      </c>
      <c r="AD281" s="188" t="str">
        <f>IFERROR(TEXT(VLOOKUP(T_BilanSocial[[#This Row],[NumL]],T_TraitDi[#Data],COLUMN(T_TraitDi[[#This Row],[Q2]]),FALSE),"###%"),"")</f>
        <v/>
      </c>
      <c r="AE281" s="97" t="e">
        <f>VLOOKUP(T_BilanSocial[[#This Row],[NumL]],T_TraitDi[#Data],COLUMN(T_TraitDi[[#This Row],[Reg Ponct]]),FALSE)</f>
        <v>#VALUE!</v>
      </c>
      <c r="AF281" s="97" t="e">
        <f>VLOOKUP(T_BilanSocial[NumL],T_TraitDi[#Data],COLUMN(T_TraitDi[[#This Row],[Jours flottants]]),FALSE)</f>
        <v>#VALUE!</v>
      </c>
      <c r="AG281" s="97" t="str">
        <f>IFERROR(VLOOKUP(T_BilanSocial[[#This Row],[NumL]],T_TraitDi[#Data],COLUMN(T_TraitDi[[#This Row],[Lundi]]),FALSE),"")</f>
        <v/>
      </c>
      <c r="AH281" s="172" t="e">
        <f>IF(VLOOKUP(T_BilanSocial[[#This Row],[NumL]],T_TraitDi[#Data],COLUMN(T_TraitDi[[#This Row],[Colonne3]]),FALSE)=0,"",TEXT(IFERROR(VLOOKUP(T_BilanSocial[[#This Row],[NumL]],T_TraitDi[#Data],COLUMN(T_TraitDi[[#This Row],[Colonne3]]),FALSE),""),"[hh]:mm"))</f>
        <v>#VALUE!</v>
      </c>
      <c r="AI281" s="172" t="e">
        <f>IF(VLOOKUP(T_BilanSocial[[#This Row],[NumL]],T_TraitDi[#Data],COLUMN(T_TraitDi[[#This Row],[Colonne4]]),FALSE)=0,"",TEXT(IFERROR(VLOOKUP(T_BilanSocial[[#This Row],[NumL]],T_TraitDi[#Data],COLUMN(T_TraitDi[[#This Row],[Colonne4]]),FALSE),""),"[hh]:mm"))</f>
        <v>#VALUE!</v>
      </c>
      <c r="AJ281" s="172" t="e">
        <f>IF(VLOOKUP(T_BilanSocial[[#This Row],[NumL]],T_TraitDi[#Data],COLUMN(T_TraitDi[[#This Row],[Colonne5]]),FALSE)=0,"",TEXT(IFERROR(VLOOKUP(T_BilanSocial[[#This Row],[NumL]],T_TraitDi[#Data],COLUMN(T_TraitDi[[#This Row],[Colonne5]]),FALSE),""),"[hh]:mm"))</f>
        <v>#VALUE!</v>
      </c>
      <c r="AK281" s="172" t="e">
        <f>IF(VLOOKUP(T_BilanSocial[[#This Row],[NumL]],T_TraitDi[#Data],COLUMN(T_TraitDi[[#This Row],[Colonne6]]),FALSE)=0,"",TEXT(IFERROR(VLOOKUP(T_BilanSocial[[#This Row],[NumL]],T_TraitDi[#Data],COLUMN(T_TraitDi[[#This Row],[Colonne6]]),FALSE),""),"[hh]:mm"))</f>
        <v>#VALUE!</v>
      </c>
      <c r="AL281" s="172" t="e">
        <f>IF(VLOOKUP(T_BilanSocial[[#This Row],[NumL]],T_TraitDi[#Data],COLUMN(T_TraitDi[[#This Row],[Colonne7]]),FALSE)=0,"",TEXT(IFERROR(VLOOKUP(T_BilanSocial[[#This Row],[NumL]],T_TraitDi[#Data],COLUMN(T_TraitDi[[#This Row],[Colonne7]]),FALSE),""),"[hh]:mm"))</f>
        <v>#VALUE!</v>
      </c>
      <c r="AM281" s="172" t="e">
        <f>IF(VLOOKUP(T_BilanSocial[[#This Row],[NumL]],T_TraitDi[#Data],COLUMN(T_TraitDi[[#This Row],[Colonne8]]),FALSE)=0,"",TEXT(IFERROR(VLOOKUP(T_BilanSocial[[#This Row],[NumL]],T_TraitDi[#Data],COLUMN(T_TraitDi[[#This Row],[Colonne8]]),FALSE),""),"[hh]:mm"))</f>
        <v>#VALUE!</v>
      </c>
      <c r="AN281" s="172" t="str">
        <f>IFERROR(VLOOKUP(T_BilanSocial[[#This Row],[NumL]],T_TraitDi[#Data],COLUMN(T_TraitDi[[#This Row],[Mardi]]),FALSE),"")</f>
        <v/>
      </c>
      <c r="AO281" s="172" t="e">
        <f>IF(VLOOKUP(T_BilanSocial[[#This Row],[NumL]],T_TraitDi[#Data],COLUMN(T_TraitDi[[#This Row],[Colonne1]]),FALSE)=0,"",TEXT(IFERROR(VLOOKUP(T_BilanSocial[[#This Row],[NumL]],T_TraitDi[#Data],COLUMN(T_TraitDi[[#This Row],[Colonne1]]),FALSE),""),"[hh]:mm"))</f>
        <v>#VALUE!</v>
      </c>
      <c r="AP281" s="172" t="e">
        <f>IF(VLOOKUP(T_BilanSocial[[#This Row],[NumL]],T_TraitDi[#Data],COLUMN(T_TraitDi[[#This Row],[Colonne9]]),FALSE)=0,"",TEXT(IFERROR(VLOOKUP(T_BilanSocial[[#This Row],[NumL]],T_TraitDi[#Data],COLUMN(T_TraitDi[[#This Row],[Colonne9]]),FALSE),""),"[hh]:mm"))</f>
        <v>#VALUE!</v>
      </c>
      <c r="AQ281" s="172" t="str">
        <f>IFERROR(VLOOKUP(T_BilanSocial[[#This Row],[NumL]],T_TraitDi[#Data],COLUMN(T_TraitDi[[#This Row],[Colonne10]]),FALSE),"")</f>
        <v/>
      </c>
      <c r="AR281" s="172" t="e">
        <f>IF(VLOOKUP(T_BilanSocial[[#This Row],[NumL]],T_TraitDi[#Data],COLUMN(T_TraitDi[[#This Row],[Colonne11]]),FALSE)=0,"",TEXT(IFERROR(VLOOKUP(T_BilanSocial[[#This Row],[NumL]],T_TraitDi[#Data],COLUMN(T_TraitDi[[#This Row],[Colonne11]]),FALSE),""),"[hh]:mm"))</f>
        <v>#VALUE!</v>
      </c>
      <c r="AS281" s="172" t="e">
        <f>IF(VLOOKUP(T_BilanSocial[[#This Row],[NumL]],T_TraitDi[#Data],COLUMN(T_TraitDi[[#This Row],[Colonne12]]),FALSE)=0,"",TEXT(IFERROR(VLOOKUP(T_BilanSocial[[#This Row],[NumL]],T_TraitDi[#Data],COLUMN(T_TraitDi[[#This Row],[Colonne12]]),FALSE),""),"[hh]:mm"))</f>
        <v>#VALUE!</v>
      </c>
      <c r="AT281" s="172" t="e">
        <f>IF(VLOOKUP(T_BilanSocial[[#This Row],[NumL]],T_TraitDi[#Data],COLUMN(T_TraitDi[[#This Row],[Colonne14]]),FALSE)=0,"",TEXT(IFERROR(VLOOKUP(T_BilanSocial[[#This Row],[NumL]],T_TraitDi[#Data],COLUMN(T_TraitDi[[#This Row],[Colonne14]]),FALSE),""),"[hh]:mm"))</f>
        <v>#VALUE!</v>
      </c>
      <c r="AU281" s="172" t="str">
        <f>IFERROR(VLOOKUP(T_BilanSocial[[#This Row],[NumL]],T_TraitDi[#Data],COLUMN(T_TraitDi[[#This Row],[Mercredi]]),FALSE),"")</f>
        <v/>
      </c>
      <c r="AV281" s="172" t="e">
        <f>IF(VLOOKUP(T_BilanSocial[[#This Row],[NumL]],T_TraitDi[#Data],COLUMN(T_TraitDi[[#This Row],[Colonne15]]),FALSE)=0,"",TEXT(IFERROR(VLOOKUP(T_BilanSocial[[#This Row],[NumL]],T_TraitDi[#Data],COLUMN(T_TraitDi[[#This Row],[Colonne15]]),FALSE),""),"[hh]:mm"))</f>
        <v>#VALUE!</v>
      </c>
      <c r="AW281" s="172" t="e">
        <f>IF(VLOOKUP(T_BilanSocial[[#This Row],[NumL]],T_TraitDi[#Data],COLUMN(T_TraitDi[[#This Row],[Colonne16]]),FALSE)=0,"",TEXT(IFERROR(VLOOKUP(T_BilanSocial[[#This Row],[NumL]],T_TraitDi[#Data],COLUMN(T_TraitDi[[#This Row],[Colonne16]]),FALSE),""),"[hh]:mm"))</f>
        <v>#VALUE!</v>
      </c>
      <c r="AX281" s="172" t="str">
        <f>IFERROR(VLOOKUP(T_BilanSocial[[#This Row],[NumL]],T_TraitDi[#Data],COLUMN(T_TraitDi[[#This Row],[Colonne17]]),FALSE),"")</f>
        <v/>
      </c>
      <c r="AY281" s="172" t="e">
        <f>IF(VLOOKUP(T_BilanSocial[[#This Row],[NumL]],T_TraitDi[#Data],COLUMN(T_TraitDi[[#This Row],[Colonne18]]),FALSE)=0,"",TEXT(IFERROR(VLOOKUP(T_BilanSocial[[#This Row],[NumL]],T_TraitDi[#Data],COLUMN(T_TraitDi[[#This Row],[Colonne18]]),FALSE),""),"[hh]:mm"))</f>
        <v>#VALUE!</v>
      </c>
      <c r="AZ281" s="172" t="e">
        <f>IF(VLOOKUP(T_BilanSocial[[#This Row],[NumL]],T_TraitDi[#Data],COLUMN(T_TraitDi[[#This Row],[Colonne19]]),FALSE)=0,"",TEXT(IFERROR(VLOOKUP(T_BilanSocial[[#This Row],[NumL]],T_TraitDi[#Data],COLUMN(T_TraitDi[[#This Row],[Colonne19]]),FALSE),""),"[hh]:mm"))</f>
        <v>#VALUE!</v>
      </c>
      <c r="BA281" s="172" t="e">
        <f>IF(VLOOKUP(T_BilanSocial[[#This Row],[NumL]],T_TraitDi[#Data],COLUMN(T_TraitDi[[#This Row],[Colonne20]]),FALSE)=0,"",TEXT(IFERROR(VLOOKUP(T_BilanSocial[[#This Row],[NumL]],T_TraitDi[#Data],COLUMN(T_TraitDi[[#This Row],[Colonne20]]),FALSE),""),"[hh]:mm"))</f>
        <v>#VALUE!</v>
      </c>
      <c r="BB281" s="178" t="str">
        <f>IFERROR(VLOOKUP(T_BilanSocial[[#This Row],[NumL]],T_TraitDi[#Data],COLUMN(T_TraitDi[[#This Row],[Jeudi]]),FALSE),"")</f>
        <v/>
      </c>
      <c r="BC281" s="178" t="e">
        <f>IF(VLOOKUP(T_BilanSocial[[#This Row],[NumL]],T_TraitDi[#Data],COLUMN(T_TraitDi[[#This Row],[Colonne21]]),FALSE)=0,"",TEXT(IFERROR(VLOOKUP(T_BilanSocial[[#This Row],[NumL]],T_TraitDi[#Data],COLUMN(T_TraitDi[[#This Row],[Colonne21]]),FALSE),""),"[hh]:mm"))</f>
        <v>#VALUE!</v>
      </c>
      <c r="BD281" s="178" t="e">
        <f>IF(VLOOKUP(T_BilanSocial[[#This Row],[NumL]],T_TraitDi[#Data],COLUMN(T_TraitDi[[#This Row],[Colonne22]]),FALSE)=0,"",TEXT(IFERROR(VLOOKUP(T_BilanSocial[[#This Row],[NumL]],T_TraitDi[#Data],COLUMN(T_TraitDi[[#This Row],[Colonne22]]),FALSE),""),"[hh]:mm"))</f>
        <v>#VALUE!</v>
      </c>
      <c r="BE281" s="178" t="str">
        <f>IFERROR(VLOOKUP(T_BilanSocial[[#This Row],[NumL]],T_TraitDi[#Data],COLUMN(T_TraitDi[[#This Row],[Colonne23]]),FALSE),"")</f>
        <v/>
      </c>
      <c r="BF281" s="178" t="e">
        <f>IF(VLOOKUP(T_BilanSocial[[#This Row],[NumL]],T_TraitDi[#Data],COLUMN(T_TraitDi[[#This Row],[Colonne24]]),FALSE)=0,"",TEXT(IFERROR(VLOOKUP(T_BilanSocial[[#This Row],[NumL]],T_TraitDi[#Data],COLUMN(T_TraitDi[[#This Row],[Colonne24]]),FALSE),""),"[hh]:mm"))</f>
        <v>#VALUE!</v>
      </c>
      <c r="BG281" s="178" t="e">
        <f>IF(VLOOKUP(T_BilanSocial[[#This Row],[NumL]],T_TraitDi[#Data],COLUMN(T_TraitDi[[#This Row],[Colonne25]]),FALSE)=0,"",TEXT(IFERROR(VLOOKUP(T_BilanSocial[[#This Row],[NumL]],T_TraitDi[#Data],COLUMN(T_TraitDi[[#This Row],[Colonne25]]),FALSE),""),"[hh]:mm"))</f>
        <v>#VALUE!</v>
      </c>
      <c r="BH281" s="178" t="e">
        <f>IF(VLOOKUP(T_BilanSocial[[#This Row],[NumL]],T_TraitDi[#Data],COLUMN(T_TraitDi[[#This Row],[Colonne26]]),FALSE)=0,"",TEXT(IFERROR(VLOOKUP(T_BilanSocial[[#This Row],[NumL]],T_TraitDi[#Data],COLUMN(T_TraitDi[[#This Row],[Colonne26]]),FALSE),""),"[hh]:mm"))</f>
        <v>#VALUE!</v>
      </c>
      <c r="BI281" s="172" t="str">
        <f>IFERROR(VLOOKUP(T_BilanSocial[[#This Row],[NumL]],T_TraitDi[#Data],COLUMN(T_TraitDi[[#This Row],[Vendredi]]),FALSE),"")</f>
        <v/>
      </c>
      <c r="BJ281" s="172" t="e">
        <f>IF(VLOOKUP(T_BilanSocial[[#This Row],[NumL]],T_TraitDi[#Data],COLUMN(T_TraitDi[[#This Row],[Colonne27]]),FALSE)=0,"",TEXT(IFERROR(VLOOKUP(T_BilanSocial[[#This Row],[NumL]],T_TraitDi[#Data],COLUMN(T_TraitDi[[#This Row],[Colonne27]]),FALSE),""),"[hh]:mm"))</f>
        <v>#VALUE!</v>
      </c>
      <c r="BK281" s="172" t="e">
        <f>IF(VLOOKUP(T_BilanSocial[[#This Row],[NumL]],T_TraitDi[#Data],COLUMN(T_TraitDi[[#This Row],[Colonne28]]),FALSE)=0,"",TEXT(IFERROR(VLOOKUP(T_BilanSocial[[#This Row],[NumL]],T_TraitDi[#Data],COLUMN(T_TraitDi[[#This Row],[Colonne28]]),FALSE),""),"[hh]:mm"))</f>
        <v>#VALUE!</v>
      </c>
      <c r="BL281" s="172" t="str">
        <f>IFERROR(VLOOKUP(T_BilanSocial[[#This Row],[NumL]],T_TraitDi[#Data],COLUMN(T_TraitDi[[#This Row],[Colonne29]]),FALSE),"")</f>
        <v/>
      </c>
      <c r="BM281" s="172" t="e">
        <f>IF(VLOOKUP(T_BilanSocial[[#This Row],[NumL]],T_TraitDi[#Data],COLUMN(T_TraitDi[[#This Row],[Colonne30]]),FALSE)=0,"",TEXT(IFERROR(VLOOKUP(T_BilanSocial[[#This Row],[NumL]],T_TraitDi[#Data],COLUMN(T_TraitDi[[#This Row],[Colonne30]]),FALSE),""),"[hh]:mm"))</f>
        <v>#VALUE!</v>
      </c>
      <c r="BN281" s="172" t="e">
        <f>IF(VLOOKUP(T_BilanSocial[[#This Row],[NumL]],T_TraitDi[#Data],COLUMN(T_TraitDi[[#This Row],[Colonne31]]),FALSE)=0,"",TEXT(IFERROR(VLOOKUP(T_BilanSocial[[#This Row],[NumL]],T_TraitDi[#Data],COLUMN(T_TraitDi[[#This Row],[Colonne31]]),FALSE),""),"[hh]:mm"))</f>
        <v>#VALUE!</v>
      </c>
      <c r="BO281" s="172" t="e">
        <f>IF(VLOOKUP(T_BilanSocial[[#This Row],[NumL]],T_TraitDi[#Data],COLUMN(T_TraitDi[[#This Row],[Colonne32]]),FALSE)=0,"",TEXT(IFERROR(VLOOKUP(T_BilanSocial[[#This Row],[NumL]],T_TraitDi[#Data],COLUMN(T_TraitDi[[#This Row],[Colonne32]]),FALSE),""),"[hh]:mm"))</f>
        <v>#VALUE!</v>
      </c>
      <c r="BP281" s="172" t="e">
        <f>VLOOKUP(T_BilanSocial[[#This Row],[NumL]],T_TraitDi[#Data],COLUMN(T_TraitDi[NbJTot]),FALSE)</f>
        <v>#N/A</v>
      </c>
      <c r="BQ281" s="174" t="str">
        <f>IFERROR(VLOOKUP(T_BilanSocial[[#This Row],[NumL]],T_TraitDi[#Data],COLUMN(T_TraitDi[[#This Row],[NbJTW]]),FALSE),"")</f>
        <v/>
      </c>
      <c r="BR281" s="174" t="e">
        <f>IF(VLOOKUP(T_BilanSocial[[#This Row],[NumL]],T_TraitDi[#Data],COLUMN(T_TraitDi[[#This Row],[NbhTW]]),FALSE)=0,"",TEXT(IFERROR(VLOOKUP(T_BilanSocial[[#This Row],[NumL]],T_TraitDi[#Data],COLUMN(T_TraitDi[[#This Row],[NbhTW]]),FALSE),""),"[hh]:mm"))</f>
        <v>#VALUE!</v>
      </c>
      <c r="BS281" s="174" t="e">
        <f>IF(VLOOKUP(T_BilanSocial[[#This Row],[NumL]],T_TraitDi[#Data],COLUMN(T_TraitDi[[#This Row],[Nbhheb]]),FALSE)=0,"",TEXT(IFERROR(VLOOKUP($A281,T_TraitDi[#Data],COLUMN(T_TraitDi[[#This Row],[Nbhheb]]),FALSE),""),"[hh]:mm"))</f>
        <v>#VALUE!</v>
      </c>
      <c r="BT281" s="182" t="str">
        <f>IFERROR(VLOOKUP(VLOOKUP($A281,T_TraitDi[#Data],COLUMN(T_TraitDi[[#This Row],[Type1]]),FALSE),TypeTW,2,FALSE),"")</f>
        <v/>
      </c>
      <c r="BU281" s="182" t="str">
        <f>IFERROR(VLOOKUP($A281,T_TraitDi[#Data],COLUMN(T_TraitDi[[#This Row],[Rue1]]),FALSE),"")</f>
        <v/>
      </c>
      <c r="BV281" s="173" t="str">
        <f>IFERROR(VLOOKUP($A281,T_TraitDi[#Data],COLUMN(T_TraitDi[[#This Row],[CP1]]),FALSE),"")</f>
        <v/>
      </c>
      <c r="BW281" s="173" t="str">
        <f>IFERROR(VLOOKUP($A281,T_TraitDi[#Data],COLUMN(T_TraitDi[[#This Row],[VILLE1]]),FALSE),"")</f>
        <v/>
      </c>
      <c r="BX281" s="182" t="str">
        <f>IFERROR(VLOOKUP(VLOOKUP($A281,T_TraitDi[#Data],COLUMN(T_TraitDi[[#This Row],[Type2]]),FALSE),TypeTW,2,FALSE),"")</f>
        <v/>
      </c>
      <c r="BY281" s="182" t="str">
        <f>IFERROR(VLOOKUP($A281,T_TraitDi[#Data],COLUMN(T_TraitDi[[#This Row],[Rue2]]),FALSE),"")</f>
        <v/>
      </c>
      <c r="BZ281" s="173" t="str">
        <f>IFERROR(VLOOKUP($A281,T_TraitDi[#Data],COLUMN(T_TraitDi[[#This Row],[CP2]]),FALSE),"")</f>
        <v/>
      </c>
      <c r="CA281" s="173" t="str">
        <f>IFERROR(VLOOKUP($A281,T_TraitDi[#Data],COLUMN(T_TraitDi[[#This Row],[VILLE2]]),FALSE),"")</f>
        <v/>
      </c>
      <c r="CB281" s="182" t="str">
        <f>IF(VLOOKUP(T_BilanSocial[[#This Row],[NumL]],T_Equipement[#Data],COLUMN(T_Equipement[[#This Row],[PC]]),FALSE)="","Aucun équipement spécifique directement lié au télétravail",VLOOKUP(T_BilanSocial[[#This Row],[NumL]],T_Equipement[#Data],COLUMN(T_Equipement[[#This Row],[PC]]),FALSE))</f>
        <v xml:space="preserve">16-411	</v>
      </c>
      <c r="CC281" s="166" t="str">
        <f>IFERROR(IF(VLOOKUP(T_BilanSocial[[#This Row],[NumL]],T_TraitDi[#Data],COLUMN(T_TraitDi[[#This Row],[Plan]]),FALSE)="OK","Un planning spécifique de télétravail est annexé à la présente convention.",""),"")</f>
        <v/>
      </c>
      <c r="CD281" s="185"/>
      <c r="CE281" s="164" t="e">
        <f>IF(VLOOKUP(T_BilanSocial[[#This Row],[NumL]],T_suiviDi[#Data],COLUMN(T_suiviDi[[#This Row],[Entité]]),FALSE)="","",VLOOKUP(T_BilanSocial[[#This Row],[NumL]],T_suiviDi[#Data],COLUMN(T_suiviDi[[#This Row],[Entité]]),FALSE))</f>
        <v>#VALUE!</v>
      </c>
      <c r="CF281" s="164" t="str">
        <f>IF(VLOOKUP(T_BilanSocial[[#This Row],[NumL]],T_Commission[#Data],COLUMN(T_Commission[[#This Row],[envoi confirm TW]]),FALSE)="","",VLOOKUP(T_BilanSocial[[#This Row],[NumL]],T_Commission[#Data],COLUMN(T_Commission[[#This Row],[envoi confirm TW]]),FALSE))</f>
        <v>Oui</v>
      </c>
      <c r="CG28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1" s="262" t="str">
        <f>T_BilanSocial[[#This Row],[Nom]]&amp;T_BilanSocial[[#This Row],[Prenom]]</f>
        <v/>
      </c>
      <c r="CI281" s="262">
        <f>VLOOKUP(T_BilanSocial[[#This Row],[NumL]],T_Commission[#Data],COLUMN(T_Commission[Commentaire]),FALSE)</f>
        <v>0</v>
      </c>
      <c r="CJ281" s="262" t="str">
        <f>IF(VLOOKUP(T_BilanSocial[[#This Row],[NumL]],T_Commission[#Data],COLUMN(T_Commission[Encadrant Email]),FALSE)="","",VLOOKUP(T_BilanSocial[[#This Row],[NumL]],T_Commission[#Data],COLUMN(T_Commission[Encadrant Email]),FALSE))</f>
        <v/>
      </c>
      <c r="CK281" s="340" t="str">
        <f>IF(T_BilanSocial[[#This Row],[Final]]&lt;&gt;"",VLOOKUP(T_BilanSocial[[#This Row],[NumL]],T_suiviDi[#Data],COLUMN((T_suiviDi[Statut])),FALSE),"")</f>
        <v/>
      </c>
    </row>
    <row r="282" spans="1:89" s="106" customFormat="1" ht="24.75" customHeight="1" x14ac:dyDescent="0.25">
      <c r="A282" s="160">
        <v>279</v>
      </c>
      <c r="B282" s="161" t="str">
        <f t="shared" si="45"/>
        <v/>
      </c>
      <c r="C282" s="162" t="s">
        <v>141</v>
      </c>
      <c r="D282" s="95" t="e">
        <f>IF(VLOOKUP(T_BilanSocial[[#This Row],[NumL]],T_TraitDi[#Data],COLUMN(T_TraitDi[[#This Row],[WebC]]),FALSE)="","",VLOOKUP(T_BilanSocial[[#This Row],[NumL]],T_TraitDi[#Data],COLUMN(T_TraitDi[[#This Row],[WebC]]),FALSE))</f>
        <v>#VALUE!</v>
      </c>
      <c r="E282" s="163" t="str">
        <f t="shared" si="46"/>
        <v>12 janvier 2021</v>
      </c>
      <c r="F282" s="96" t="str">
        <f>IF(T_BilanSocial[[#This Row],[Final]]&lt;&gt;"",VLOOKUP(T_BilanSocial[[#This Row],[NumL]],T_suiviDi[#Data],COLUMN((T_suiviDi[Civ.])),FALSE),"")</f>
        <v/>
      </c>
      <c r="G282" s="96" t="str">
        <f>IF(T_BilanSocial[[#This Row],[Final]]&lt;&gt;"",VLOOKUP(T_BilanSocial[[#This Row],[NumL]],T_suiviDi[#Data],COLUMN((T_suiviDi[Nom])),FALSE),"")</f>
        <v/>
      </c>
      <c r="H282" s="96" t="str">
        <f>IF(T_BilanSocial[[#This Row],[Final]]&lt;&gt;"",VLOOKUP(T_BilanSocial[[#This Row],[NumL]],T_suiviDi[#Data],COLUMN((T_suiviDi[Prénom])),FALSE),"")</f>
        <v/>
      </c>
      <c r="I282" s="96" t="str">
        <f>IFERROR(VLOOKUP(T_BilanSocial[[#This Row],[Zone_Bilan]],T_P_BilanSocial[#Data],COLUMN(T_P_BilanSocial[[#This Row],[Numero_SIHAM]]),FALSE),"")</f>
        <v/>
      </c>
      <c r="J282" s="96" t="str">
        <f>IFERROR(VLOOKUP(T_BilanSocial[[#This Row],[Zone_Bilan]],T_P_BilanSocial[#Data],COLUMN(T_P_BilanSocial[[#This Row],[Sexe]]),FALSE),"")</f>
        <v/>
      </c>
      <c r="K282" s="97" t="str">
        <f>IFERROR(VLOOKUP(T_BilanSocial[[#This Row],[Zone_Bilan]],T_P_BilanSocial[#Data],COLUMN(T_P_BilanSocial[[#This Row],[Categorie]]),FALSE),"")</f>
        <v/>
      </c>
      <c r="L282" s="96" t="str">
        <f>IFERROR(VLOOKUP(T_BilanSocial[[#This Row],[Zone_Bilan]],T_P_BilanSocial[#Data],COLUMN(T_P_BilanSocial[[#This Row],[Statut]]),FALSE),"")</f>
        <v/>
      </c>
      <c r="M282" s="96" t="str">
        <f>IFERROR(VLOOKUP(T_BilanSocial[[#This Row],[Zone_Bilan]],T_P_BilanSocial[#Data],COLUMN(T_P_BilanSocial[[#This Row],[Filiere]]),FALSE),"")</f>
        <v/>
      </c>
      <c r="N282" s="96" t="e">
        <f>VLOOKUP(T_BilanSocial[[#This Row],[NumL]],T_TraitDi[#Data],COLUMN(T_TraitDi[EXP]),FALSE)</f>
        <v>#N/A</v>
      </c>
      <c r="O282" s="96" t="e">
        <f>VLOOKUP(T_BilanSocial[[#This Row],[NumL]],T_TraitDi[#Data],COLUMN(T_TraitDi[FORM]),FALSE)</f>
        <v>#N/A</v>
      </c>
      <c r="P282" s="96" t="str">
        <f>IF(T_BilanSocial[[#This Row],[Final]]&lt;&gt;"",VLOOKUP(T_BilanSocial[[#This Row],[NumL]],T_suiviDi[#Data],COLUMN((T_suiviDi[Email])),FALSE),"")</f>
        <v/>
      </c>
      <c r="Q282" s="164" t="e">
        <f t="shared" si="52"/>
        <v>#N/A</v>
      </c>
      <c r="R282" s="164" t="e">
        <f t="shared" si="53"/>
        <v>#N/A</v>
      </c>
      <c r="S282" s="164" t="e">
        <f>IF(VLOOKUP(T_BilanSocial[[#This Row],[NumL]],T_suiviDi[#Data],COLUMN(T_suiviDi[[#This Row],[Service ]]),FALSE)="","",VLOOKUP(T_BilanSocial[[#This Row],[NumL]],T_suiviDi[#Data],COLUMN(T_suiviDi[[#This Row],[Service ]]),FALSE))</f>
        <v>#VALUE!</v>
      </c>
      <c r="T282" s="164" t="str">
        <f t="shared" si="47"/>
        <v>01 septembre 2021</v>
      </c>
      <c r="U282" s="164" t="str">
        <f t="shared" si="48"/>
        <v>30 novembre 2021</v>
      </c>
      <c r="V282" s="192">
        <f>Datebilan</f>
        <v>44530</v>
      </c>
      <c r="W282" s="176" t="e">
        <f>IF(VLOOKUP(T_BilanSocial[[#This Row],[NumL]],T_TraitDi[#Data],COLUMN(T_TraitDi[[#This Row],[M1]]),FALSE)="","",VLOOKUP(T_BilanSocial[[#This Row],[NumL]],T_TraitDi[#Data],COLUMN(T_TraitDi[[#This Row],[M1]]),FALSE))</f>
        <v>#VALUE!</v>
      </c>
      <c r="X282" s="176" t="e">
        <f>IF(VLOOKUP(T_BilanSocial[[#This Row],[NumL]],T_TraitDi[#Data],COLUMN(T_TraitDi[[#This Row],[M2]]),FALSE)="","",VLOOKUP(T_BilanSocial[[#This Row],[NumL]],T_TraitDi[#Data],COLUMN(T_TraitDi[[#This Row],[M2]]),FALSE))</f>
        <v>#VALUE!</v>
      </c>
      <c r="Y282" s="176" t="e">
        <f>IF(VLOOKUP(T_BilanSocial[[#This Row],[NumL]],T_TraitDi[#Data],COLUMN(T_TraitDi[[#This Row],[M3]]),FALSE)="","",VLOOKUP(T_BilanSocial[[#This Row],[NumL]],T_TraitDi[#Data],COLUMN(T_TraitDi[[#This Row],[M3]]),FALSE))</f>
        <v>#VALUE!</v>
      </c>
      <c r="Z282" s="176" t="str">
        <f t="shared" si="50"/>
        <v/>
      </c>
      <c r="AA282" s="176" t="e">
        <f>IF(VLOOKUP(T_BilanSocial[[#This Row],[NumL]],T_TraitDi[#Data],COLUMN(T_TraitDi[[#This Row],[M5]]),FALSE)="","",VLOOKUP(T_BilanSocial[[#This Row],[NumL]],T_TraitDi[#Data],COLUMN(T_TraitDi[[#This Row],[M5]]),FALSE))</f>
        <v>#VALUE!</v>
      </c>
      <c r="AB282" s="176" t="e">
        <f>IF(VLOOKUP(T_BilanSocial[[#This Row],[NumL]],T_TraitDi[#Data],COLUMN(T_TraitDi[[#This Row],[M6]]),FALSE)="","",VLOOKUP(T_BilanSocial[[#This Row],[NumL]],T_TraitDi[#Data],COLUMN(T_TraitDi[[#This Row],[M6]]),FALSE))</f>
        <v>#VALUE!</v>
      </c>
      <c r="AC282" s="165" t="e">
        <f t="shared" si="49"/>
        <v>#VALUE!</v>
      </c>
      <c r="AD282" s="188" t="str">
        <f>IFERROR(TEXT(VLOOKUP(T_BilanSocial[[#This Row],[NumL]],T_TraitDi[#Data],COLUMN(T_TraitDi[[#This Row],[Q2]]),FALSE),"###%"),"")</f>
        <v/>
      </c>
      <c r="AE282" s="97" t="e">
        <f>VLOOKUP(T_BilanSocial[[#This Row],[NumL]],T_TraitDi[#Data],COLUMN(T_TraitDi[[#This Row],[Reg Ponct]]),FALSE)</f>
        <v>#VALUE!</v>
      </c>
      <c r="AF282" s="97" t="e">
        <f>VLOOKUP(T_BilanSocial[NumL],T_TraitDi[#Data],COLUMN(T_TraitDi[[#This Row],[Jours flottants]]),FALSE)</f>
        <v>#VALUE!</v>
      </c>
      <c r="AG282" s="97" t="str">
        <f>IFERROR(VLOOKUP(T_BilanSocial[[#This Row],[NumL]],T_TraitDi[#Data],COLUMN(T_TraitDi[[#This Row],[Lundi]]),FALSE),"")</f>
        <v/>
      </c>
      <c r="AH282" s="172" t="e">
        <f>IF(VLOOKUP(T_BilanSocial[[#This Row],[NumL]],T_TraitDi[#Data],COLUMN(T_TraitDi[[#This Row],[Colonne3]]),FALSE)=0,"",TEXT(IFERROR(VLOOKUP(T_BilanSocial[[#This Row],[NumL]],T_TraitDi[#Data],COLUMN(T_TraitDi[[#This Row],[Colonne3]]),FALSE),""),"[hh]:mm"))</f>
        <v>#VALUE!</v>
      </c>
      <c r="AI282" s="172" t="e">
        <f>IF(VLOOKUP(T_BilanSocial[[#This Row],[NumL]],T_TraitDi[#Data],COLUMN(T_TraitDi[[#This Row],[Colonne4]]),FALSE)=0,"",TEXT(IFERROR(VLOOKUP(T_BilanSocial[[#This Row],[NumL]],T_TraitDi[#Data],COLUMN(T_TraitDi[[#This Row],[Colonne4]]),FALSE),""),"[hh]:mm"))</f>
        <v>#VALUE!</v>
      </c>
      <c r="AJ282" s="172" t="e">
        <f>IF(VLOOKUP(T_BilanSocial[[#This Row],[NumL]],T_TraitDi[#Data],COLUMN(T_TraitDi[[#This Row],[Colonne5]]),FALSE)=0,"",TEXT(IFERROR(VLOOKUP(T_BilanSocial[[#This Row],[NumL]],T_TraitDi[#Data],COLUMN(T_TraitDi[[#This Row],[Colonne5]]),FALSE),""),"[hh]:mm"))</f>
        <v>#VALUE!</v>
      </c>
      <c r="AK282" s="172" t="e">
        <f>IF(VLOOKUP(T_BilanSocial[[#This Row],[NumL]],T_TraitDi[#Data],COLUMN(T_TraitDi[[#This Row],[Colonne6]]),FALSE)=0,"",TEXT(IFERROR(VLOOKUP(T_BilanSocial[[#This Row],[NumL]],T_TraitDi[#Data],COLUMN(T_TraitDi[[#This Row],[Colonne6]]),FALSE),""),"[hh]:mm"))</f>
        <v>#VALUE!</v>
      </c>
      <c r="AL282" s="172" t="e">
        <f>IF(VLOOKUP(T_BilanSocial[[#This Row],[NumL]],T_TraitDi[#Data],COLUMN(T_TraitDi[[#This Row],[Colonne7]]),FALSE)=0,"",TEXT(IFERROR(VLOOKUP(T_BilanSocial[[#This Row],[NumL]],T_TraitDi[#Data],COLUMN(T_TraitDi[[#This Row],[Colonne7]]),FALSE),""),"[hh]:mm"))</f>
        <v>#VALUE!</v>
      </c>
      <c r="AM282" s="172" t="e">
        <f>IF(VLOOKUP(T_BilanSocial[[#This Row],[NumL]],T_TraitDi[#Data],COLUMN(T_TraitDi[[#This Row],[Colonne8]]),FALSE)=0,"",TEXT(IFERROR(VLOOKUP(T_BilanSocial[[#This Row],[NumL]],T_TraitDi[#Data],COLUMN(T_TraitDi[[#This Row],[Colonne8]]),FALSE),""),"[hh]:mm"))</f>
        <v>#VALUE!</v>
      </c>
      <c r="AN282" s="172" t="str">
        <f>IFERROR(VLOOKUP(T_BilanSocial[[#This Row],[NumL]],T_TraitDi[#Data],COLUMN(T_TraitDi[[#This Row],[Mardi]]),FALSE),"")</f>
        <v/>
      </c>
      <c r="AO282" s="172" t="e">
        <f>IF(VLOOKUP(T_BilanSocial[[#This Row],[NumL]],T_TraitDi[#Data],COLUMN(T_TraitDi[[#This Row],[Colonne1]]),FALSE)=0,"",TEXT(IFERROR(VLOOKUP(T_BilanSocial[[#This Row],[NumL]],T_TraitDi[#Data],COLUMN(T_TraitDi[[#This Row],[Colonne1]]),FALSE),""),"[hh]:mm"))</f>
        <v>#VALUE!</v>
      </c>
      <c r="AP282" s="172" t="e">
        <f>IF(VLOOKUP(T_BilanSocial[[#This Row],[NumL]],T_TraitDi[#Data],COLUMN(T_TraitDi[[#This Row],[Colonne9]]),FALSE)=0,"",TEXT(IFERROR(VLOOKUP(T_BilanSocial[[#This Row],[NumL]],T_TraitDi[#Data],COLUMN(T_TraitDi[[#This Row],[Colonne9]]),FALSE),""),"[hh]:mm"))</f>
        <v>#VALUE!</v>
      </c>
      <c r="AQ282" s="172" t="str">
        <f>IFERROR(VLOOKUP(T_BilanSocial[[#This Row],[NumL]],T_TraitDi[#Data],COLUMN(T_TraitDi[[#This Row],[Colonne10]]),FALSE),"")</f>
        <v/>
      </c>
      <c r="AR282" s="172" t="e">
        <f>IF(VLOOKUP(T_BilanSocial[[#This Row],[NumL]],T_TraitDi[#Data],COLUMN(T_TraitDi[[#This Row],[Colonne11]]),FALSE)=0,"",TEXT(IFERROR(VLOOKUP(T_BilanSocial[[#This Row],[NumL]],T_TraitDi[#Data],COLUMN(T_TraitDi[[#This Row],[Colonne11]]),FALSE),""),"[hh]:mm"))</f>
        <v>#VALUE!</v>
      </c>
      <c r="AS282" s="172" t="e">
        <f>IF(VLOOKUP(T_BilanSocial[[#This Row],[NumL]],T_TraitDi[#Data],COLUMN(T_TraitDi[[#This Row],[Colonne12]]),FALSE)=0,"",TEXT(IFERROR(VLOOKUP(T_BilanSocial[[#This Row],[NumL]],T_TraitDi[#Data],COLUMN(T_TraitDi[[#This Row],[Colonne12]]),FALSE),""),"[hh]:mm"))</f>
        <v>#VALUE!</v>
      </c>
      <c r="AT282" s="172" t="e">
        <f>IF(VLOOKUP(T_BilanSocial[[#This Row],[NumL]],T_TraitDi[#Data],COLUMN(T_TraitDi[[#This Row],[Colonne14]]),FALSE)=0,"",TEXT(IFERROR(VLOOKUP(T_BilanSocial[[#This Row],[NumL]],T_TraitDi[#Data],COLUMN(T_TraitDi[[#This Row],[Colonne14]]),FALSE),""),"[hh]:mm"))</f>
        <v>#VALUE!</v>
      </c>
      <c r="AU282" s="172" t="str">
        <f>IFERROR(VLOOKUP(T_BilanSocial[[#This Row],[NumL]],T_TraitDi[#Data],COLUMN(T_TraitDi[[#This Row],[Mercredi]]),FALSE),"")</f>
        <v/>
      </c>
      <c r="AV282" s="172" t="e">
        <f>IF(VLOOKUP(T_BilanSocial[[#This Row],[NumL]],T_TraitDi[#Data],COLUMN(T_TraitDi[[#This Row],[Colonne15]]),FALSE)=0,"",TEXT(IFERROR(VLOOKUP(T_BilanSocial[[#This Row],[NumL]],T_TraitDi[#Data],COLUMN(T_TraitDi[[#This Row],[Colonne15]]),FALSE),""),"[hh]:mm"))</f>
        <v>#VALUE!</v>
      </c>
      <c r="AW282" s="172" t="e">
        <f>IF(VLOOKUP(T_BilanSocial[[#This Row],[NumL]],T_TraitDi[#Data],COLUMN(T_TraitDi[[#This Row],[Colonne16]]),FALSE)=0,"",TEXT(IFERROR(VLOOKUP(T_BilanSocial[[#This Row],[NumL]],T_TraitDi[#Data],COLUMN(T_TraitDi[[#This Row],[Colonne16]]),FALSE),""),"[hh]:mm"))</f>
        <v>#VALUE!</v>
      </c>
      <c r="AX282" s="172" t="str">
        <f>IFERROR(VLOOKUP(T_BilanSocial[[#This Row],[NumL]],T_TraitDi[#Data],COLUMN(T_TraitDi[[#This Row],[Colonne17]]),FALSE),"")</f>
        <v/>
      </c>
      <c r="AY282" s="172" t="e">
        <f>IF(VLOOKUP(T_BilanSocial[[#This Row],[NumL]],T_TraitDi[#Data],COLUMN(T_TraitDi[[#This Row],[Colonne18]]),FALSE)=0,"",TEXT(IFERROR(VLOOKUP(T_BilanSocial[[#This Row],[NumL]],T_TraitDi[#Data],COLUMN(T_TraitDi[[#This Row],[Colonne18]]),FALSE),""),"[hh]:mm"))</f>
        <v>#VALUE!</v>
      </c>
      <c r="AZ282" s="172" t="e">
        <f>IF(VLOOKUP(T_BilanSocial[[#This Row],[NumL]],T_TraitDi[#Data],COLUMN(T_TraitDi[[#This Row],[Colonne19]]),FALSE)=0,"",TEXT(IFERROR(VLOOKUP(T_BilanSocial[[#This Row],[NumL]],T_TraitDi[#Data],COLUMN(T_TraitDi[[#This Row],[Colonne19]]),FALSE),""),"[hh]:mm"))</f>
        <v>#VALUE!</v>
      </c>
      <c r="BA282" s="172" t="e">
        <f>IF(VLOOKUP(T_BilanSocial[[#This Row],[NumL]],T_TraitDi[#Data],COLUMN(T_TraitDi[[#This Row],[Colonne20]]),FALSE)=0,"",TEXT(IFERROR(VLOOKUP(T_BilanSocial[[#This Row],[NumL]],T_TraitDi[#Data],COLUMN(T_TraitDi[[#This Row],[Colonne20]]),FALSE),""),"[hh]:mm"))</f>
        <v>#VALUE!</v>
      </c>
      <c r="BB282" s="178" t="str">
        <f>IFERROR(VLOOKUP(T_BilanSocial[[#This Row],[NumL]],T_TraitDi[#Data],COLUMN(T_TraitDi[[#This Row],[Jeudi]]),FALSE),"")</f>
        <v/>
      </c>
      <c r="BC282" s="178" t="e">
        <f>IF(VLOOKUP(T_BilanSocial[[#This Row],[NumL]],T_TraitDi[#Data],COLUMN(T_TraitDi[[#This Row],[Colonne21]]),FALSE)=0,"",TEXT(IFERROR(VLOOKUP(T_BilanSocial[[#This Row],[NumL]],T_TraitDi[#Data],COLUMN(T_TraitDi[[#This Row],[Colonne21]]),FALSE),""),"[hh]:mm"))</f>
        <v>#VALUE!</v>
      </c>
      <c r="BD282" s="178" t="e">
        <f>IF(VLOOKUP(T_BilanSocial[[#This Row],[NumL]],T_TraitDi[#Data],COLUMN(T_TraitDi[[#This Row],[Colonne22]]),FALSE)=0,"",TEXT(IFERROR(VLOOKUP(T_BilanSocial[[#This Row],[NumL]],T_TraitDi[#Data],COLUMN(T_TraitDi[[#This Row],[Colonne22]]),FALSE),""),"[hh]:mm"))</f>
        <v>#VALUE!</v>
      </c>
      <c r="BE282" s="178" t="str">
        <f>IFERROR(VLOOKUP(T_BilanSocial[[#This Row],[NumL]],T_TraitDi[#Data],COLUMN(T_TraitDi[[#This Row],[Colonne23]]),FALSE),"")</f>
        <v/>
      </c>
      <c r="BF282" s="178" t="e">
        <f>IF(VLOOKUP(T_BilanSocial[[#This Row],[NumL]],T_TraitDi[#Data],COLUMN(T_TraitDi[[#This Row],[Colonne24]]),FALSE)=0,"",TEXT(IFERROR(VLOOKUP(T_BilanSocial[[#This Row],[NumL]],T_TraitDi[#Data],COLUMN(T_TraitDi[[#This Row],[Colonne24]]),FALSE),""),"[hh]:mm"))</f>
        <v>#VALUE!</v>
      </c>
      <c r="BG282" s="178" t="e">
        <f>IF(VLOOKUP(T_BilanSocial[[#This Row],[NumL]],T_TraitDi[#Data],COLUMN(T_TraitDi[[#This Row],[Colonne25]]),FALSE)=0,"",TEXT(IFERROR(VLOOKUP(T_BilanSocial[[#This Row],[NumL]],T_TraitDi[#Data],COLUMN(T_TraitDi[[#This Row],[Colonne25]]),FALSE),""),"[hh]:mm"))</f>
        <v>#VALUE!</v>
      </c>
      <c r="BH282" s="178" t="e">
        <f>IF(VLOOKUP(T_BilanSocial[[#This Row],[NumL]],T_TraitDi[#Data],COLUMN(T_TraitDi[[#This Row],[Colonne26]]),FALSE)=0,"",TEXT(IFERROR(VLOOKUP(T_BilanSocial[[#This Row],[NumL]],T_TraitDi[#Data],COLUMN(T_TraitDi[[#This Row],[Colonne26]]),FALSE),""),"[hh]:mm"))</f>
        <v>#VALUE!</v>
      </c>
      <c r="BI282" s="172" t="str">
        <f>IFERROR(VLOOKUP(T_BilanSocial[[#This Row],[NumL]],T_TraitDi[#Data],COLUMN(T_TraitDi[[#This Row],[Vendredi]]),FALSE),"")</f>
        <v/>
      </c>
      <c r="BJ282" s="172" t="e">
        <f>IF(VLOOKUP(T_BilanSocial[[#This Row],[NumL]],T_TraitDi[#Data],COLUMN(T_TraitDi[[#This Row],[Colonne27]]),FALSE)=0,"",TEXT(IFERROR(VLOOKUP(T_BilanSocial[[#This Row],[NumL]],T_TraitDi[#Data],COLUMN(T_TraitDi[[#This Row],[Colonne27]]),FALSE),""),"[hh]:mm"))</f>
        <v>#VALUE!</v>
      </c>
      <c r="BK282" s="172" t="e">
        <f>IF(VLOOKUP(T_BilanSocial[[#This Row],[NumL]],T_TraitDi[#Data],COLUMN(T_TraitDi[[#This Row],[Colonne28]]),FALSE)=0,"",TEXT(IFERROR(VLOOKUP(T_BilanSocial[[#This Row],[NumL]],T_TraitDi[#Data],COLUMN(T_TraitDi[[#This Row],[Colonne28]]),FALSE),""),"[hh]:mm"))</f>
        <v>#VALUE!</v>
      </c>
      <c r="BL282" s="172" t="str">
        <f>IFERROR(VLOOKUP(T_BilanSocial[[#This Row],[NumL]],T_TraitDi[#Data],COLUMN(T_TraitDi[[#This Row],[Colonne29]]),FALSE),"")</f>
        <v/>
      </c>
      <c r="BM282" s="172" t="e">
        <f>IF(VLOOKUP(T_BilanSocial[[#This Row],[NumL]],T_TraitDi[#Data],COLUMN(T_TraitDi[[#This Row],[Colonne30]]),FALSE)=0,"",TEXT(IFERROR(VLOOKUP(T_BilanSocial[[#This Row],[NumL]],T_TraitDi[#Data],COLUMN(T_TraitDi[[#This Row],[Colonne30]]),FALSE),""),"[hh]:mm"))</f>
        <v>#VALUE!</v>
      </c>
      <c r="BN282" s="172" t="e">
        <f>IF(VLOOKUP(T_BilanSocial[[#This Row],[NumL]],T_TraitDi[#Data],COLUMN(T_TraitDi[[#This Row],[Colonne31]]),FALSE)=0,"",TEXT(IFERROR(VLOOKUP(T_BilanSocial[[#This Row],[NumL]],T_TraitDi[#Data],COLUMN(T_TraitDi[[#This Row],[Colonne31]]),FALSE),""),"[hh]:mm"))</f>
        <v>#VALUE!</v>
      </c>
      <c r="BO282" s="172" t="e">
        <f>IF(VLOOKUP(T_BilanSocial[[#This Row],[NumL]],T_TraitDi[#Data],COLUMN(T_TraitDi[[#This Row],[Colonne32]]),FALSE)=0,"",TEXT(IFERROR(VLOOKUP(T_BilanSocial[[#This Row],[NumL]],T_TraitDi[#Data],COLUMN(T_TraitDi[[#This Row],[Colonne32]]),FALSE),""),"[hh]:mm"))</f>
        <v>#VALUE!</v>
      </c>
      <c r="BP282" s="172" t="e">
        <f>VLOOKUP(T_BilanSocial[[#This Row],[NumL]],T_TraitDi[#Data],COLUMN(T_TraitDi[NbJTot]),FALSE)</f>
        <v>#N/A</v>
      </c>
      <c r="BQ282" s="174" t="str">
        <f>IFERROR(VLOOKUP(T_BilanSocial[[#This Row],[NumL]],T_TraitDi[#Data],COLUMN(T_TraitDi[[#This Row],[NbJTW]]),FALSE),"")</f>
        <v/>
      </c>
      <c r="BR282" s="174" t="e">
        <f>IF(VLOOKUP(T_BilanSocial[[#This Row],[NumL]],T_TraitDi[#Data],COLUMN(T_TraitDi[[#This Row],[NbhTW]]),FALSE)=0,"",TEXT(IFERROR(VLOOKUP(T_BilanSocial[[#This Row],[NumL]],T_TraitDi[#Data],COLUMN(T_TraitDi[[#This Row],[NbhTW]]),FALSE),""),"[hh]:mm"))</f>
        <v>#VALUE!</v>
      </c>
      <c r="BS282" s="174" t="e">
        <f>IF(VLOOKUP(T_BilanSocial[[#This Row],[NumL]],T_TraitDi[#Data],COLUMN(T_TraitDi[[#This Row],[Nbhheb]]),FALSE)=0,"",TEXT(IFERROR(VLOOKUP($A282,T_TraitDi[#Data],COLUMN(T_TraitDi[[#This Row],[Nbhheb]]),FALSE),""),"[hh]:mm"))</f>
        <v>#VALUE!</v>
      </c>
      <c r="BT282" s="182" t="str">
        <f>IFERROR(VLOOKUP(VLOOKUP($A282,T_TraitDi[#Data],COLUMN(T_TraitDi[[#This Row],[Type1]]),FALSE),TypeTW,2,FALSE),"")</f>
        <v/>
      </c>
      <c r="BU282" s="182" t="str">
        <f>IFERROR(VLOOKUP($A282,T_TraitDi[#Data],COLUMN(T_TraitDi[[#This Row],[Rue1]]),FALSE),"")</f>
        <v/>
      </c>
      <c r="BV282" s="173" t="str">
        <f>IFERROR(VLOOKUP($A282,T_TraitDi[#Data],COLUMN(T_TraitDi[[#This Row],[CP1]]),FALSE),"")</f>
        <v/>
      </c>
      <c r="BW282" s="173" t="str">
        <f>IFERROR(VLOOKUP($A282,T_TraitDi[#Data],COLUMN(T_TraitDi[[#This Row],[VILLE1]]),FALSE),"")</f>
        <v/>
      </c>
      <c r="BX282" s="182" t="str">
        <f>IFERROR(VLOOKUP(VLOOKUP($A282,T_TraitDi[#Data],COLUMN(T_TraitDi[[#This Row],[Type2]]),FALSE),TypeTW,2,FALSE),"")</f>
        <v/>
      </c>
      <c r="BY282" s="182" t="str">
        <f>IFERROR(VLOOKUP($A282,T_TraitDi[#Data],COLUMN(T_TraitDi[[#This Row],[Rue2]]),FALSE),"")</f>
        <v/>
      </c>
      <c r="BZ282" s="173" t="str">
        <f>IFERROR(VLOOKUP($A282,T_TraitDi[#Data],COLUMN(T_TraitDi[[#This Row],[CP2]]),FALSE),"")</f>
        <v/>
      </c>
      <c r="CA282" s="173" t="str">
        <f>IFERROR(VLOOKUP($A282,T_TraitDi[#Data],COLUMN(T_TraitDi[[#This Row],[VILLE2]]),FALSE),"")</f>
        <v/>
      </c>
      <c r="CB282" s="182" t="str">
        <f>IF(VLOOKUP(T_BilanSocial[[#This Row],[NumL]],T_Equipement[#Data],COLUMN(T_Equipement[[#This Row],[PC]]),FALSE)="","Aucun équipement spécifique directement lié au télétravail",VLOOKUP(T_BilanSocial[[#This Row],[NumL]],T_Equipement[#Data],COLUMN(T_Equipement[[#This Row],[PC]]),FALSE))</f>
        <v xml:space="preserve">20-639	</v>
      </c>
      <c r="CC282" s="166" t="str">
        <f>IFERROR(IF(VLOOKUP(T_BilanSocial[[#This Row],[NumL]],T_TraitDi[#Data],COLUMN(T_TraitDi[[#This Row],[Plan]]),FALSE)="OK","Un planning spécifique de télétravail est annexé à la présente convention.",""),"")</f>
        <v/>
      </c>
      <c r="CD282" s="185"/>
      <c r="CE282" s="164" t="e">
        <f>IF(VLOOKUP(T_BilanSocial[[#This Row],[NumL]],T_suiviDi[#Data],COLUMN(T_suiviDi[[#This Row],[Entité]]),FALSE)="","",VLOOKUP(T_BilanSocial[[#This Row],[NumL]],T_suiviDi[#Data],COLUMN(T_suiviDi[[#This Row],[Entité]]),FALSE))</f>
        <v>#VALUE!</v>
      </c>
      <c r="CF282" s="164" t="str">
        <f>IF(VLOOKUP(T_BilanSocial[[#This Row],[NumL]],T_Commission[#Data],COLUMN(T_Commission[[#This Row],[envoi confirm TW]]),FALSE)="","",VLOOKUP(T_BilanSocial[[#This Row],[NumL]],T_Commission[#Data],COLUMN(T_Commission[[#This Row],[envoi confirm TW]]),FALSE))</f>
        <v>Oui</v>
      </c>
      <c r="CG28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2" s="262" t="str">
        <f>T_BilanSocial[[#This Row],[Nom]]&amp;T_BilanSocial[[#This Row],[Prenom]]</f>
        <v/>
      </c>
      <c r="CI282" s="262">
        <f>VLOOKUP(T_BilanSocial[[#This Row],[NumL]],T_Commission[#Data],COLUMN(T_Commission[Commentaire]),FALSE)</f>
        <v>0</v>
      </c>
      <c r="CJ282" s="262" t="str">
        <f>IF(VLOOKUP(T_BilanSocial[[#This Row],[NumL]],T_Commission[#Data],COLUMN(T_Commission[Encadrant Email]),FALSE)="","",VLOOKUP(T_BilanSocial[[#This Row],[NumL]],T_Commission[#Data],COLUMN(T_Commission[Encadrant Email]),FALSE))</f>
        <v/>
      </c>
      <c r="CK282" s="340" t="str">
        <f>IF(T_BilanSocial[[#This Row],[Final]]&lt;&gt;"",VLOOKUP(T_BilanSocial[[#This Row],[NumL]],T_suiviDi[#Data],COLUMN((T_suiviDi[Statut])),FALSE),"")</f>
        <v/>
      </c>
    </row>
    <row r="283" spans="1:89" s="106" customFormat="1" ht="24.75" customHeight="1" x14ac:dyDescent="0.25">
      <c r="A283" s="160">
        <v>280</v>
      </c>
      <c r="B283" s="161">
        <f t="shared" si="45"/>
        <v>1</v>
      </c>
      <c r="C283" s="162" t="s">
        <v>3287</v>
      </c>
      <c r="D283" s="95" t="e">
        <f>IF(VLOOKUP(T_BilanSocial[[#This Row],[NumL]],T_TraitDi[#Data],COLUMN(T_TraitDi[[#This Row],[WebC]]),FALSE)="","",VLOOKUP(T_BilanSocial[[#This Row],[NumL]],T_TraitDi[#Data],COLUMN(T_TraitDi[[#This Row],[WebC]]),FALSE))</f>
        <v>#VALUE!</v>
      </c>
      <c r="E283" s="163" t="str">
        <f t="shared" si="46"/>
        <v>12 janvier 2021</v>
      </c>
      <c r="F283" s="96" t="str">
        <f>IF(T_BilanSocial[[#This Row],[Final]]&lt;&gt;"",VLOOKUP(T_BilanSocial[[#This Row],[NumL]],T_suiviDi[#Data],COLUMN((T_suiviDi[Civ.])),FALSE),"")</f>
        <v>Mme</v>
      </c>
      <c r="G283" s="96" t="str">
        <f>IF(T_BilanSocial[[#This Row],[Final]]&lt;&gt;"",VLOOKUP(T_BilanSocial[[#This Row],[NumL]],T_suiviDi[#Data],COLUMN((T_suiviDi[Nom])),FALSE),"")</f>
        <v>A</v>
      </c>
      <c r="H283" s="96" t="str">
        <f>IF(T_BilanSocial[[#This Row],[Final]]&lt;&gt;"",VLOOKUP(T_BilanSocial[[#This Row],[NumL]],T_suiviDi[#Data],COLUMN((T_suiviDi[Prénom])),FALSE),"")</f>
        <v>Morgane</v>
      </c>
      <c r="I283" s="96" t="str">
        <f>IFERROR(VLOOKUP(T_BilanSocial[[#This Row],[Zone_Bilan]],T_P_BilanSocial[#Data],COLUMN(T_P_BilanSocial[[#This Row],[Numero_SIHAM]]),FALSE),"")</f>
        <v/>
      </c>
      <c r="J283" s="96" t="str">
        <f>IFERROR(VLOOKUP(T_BilanSocial[[#This Row],[Zone_Bilan]],T_P_BilanSocial[#Data],COLUMN(T_P_BilanSocial[[#This Row],[Sexe]]),FALSE),"")</f>
        <v/>
      </c>
      <c r="K283" s="97" t="str">
        <f>IFERROR(VLOOKUP(T_BilanSocial[[#This Row],[Zone_Bilan]],T_P_BilanSocial[#Data],COLUMN(T_P_BilanSocial[[#This Row],[Categorie]]),FALSE),"")</f>
        <v/>
      </c>
      <c r="L283" s="96" t="str">
        <f>IFERROR(VLOOKUP(T_BilanSocial[[#This Row],[Zone_Bilan]],T_P_BilanSocial[#Data],COLUMN(T_P_BilanSocial[[#This Row],[Statut]]),FALSE),"")</f>
        <v/>
      </c>
      <c r="M283" s="96" t="str">
        <f>IFERROR(VLOOKUP(T_BilanSocial[[#This Row],[Zone_Bilan]],T_P_BilanSocial[#Data],COLUMN(T_P_BilanSocial[[#This Row],[Filiere]]),FALSE),"")</f>
        <v/>
      </c>
      <c r="N283" s="96" t="str">
        <f>VLOOKUP(T_BilanSocial[[#This Row],[NumL]],T_TraitDi[#Data],COLUMN(T_TraitDi[EXP]),FALSE)</f>
        <v>N</v>
      </c>
      <c r="O283" s="96" t="str">
        <f>VLOOKUP(T_BilanSocial[[#This Row],[NumL]],T_TraitDi[#Data],COLUMN(T_TraitDi[FORM]),FALSE)</f>
        <v>N</v>
      </c>
      <c r="P283" s="96">
        <f>IF(T_BilanSocial[[#This Row],[Final]]&lt;&gt;"",VLOOKUP(T_BilanSocial[[#This Row],[NumL]],T_suiviDi[#Data],COLUMN((T_suiviDi[Email])),FALSE),"")</f>
        <v>0</v>
      </c>
      <c r="Q283" s="164" t="str">
        <f t="shared" si="52"/>
        <v>Service du planning</v>
      </c>
      <c r="R283" s="164" t="str">
        <f t="shared" si="53"/>
        <v>Gestionnaire planning</v>
      </c>
      <c r="S283" s="164" t="e">
        <f>IF(VLOOKUP(T_BilanSocial[[#This Row],[NumL]],T_suiviDi[#Data],COLUMN(T_suiviDi[[#This Row],[Service ]]),FALSE)="","",VLOOKUP(T_BilanSocial[[#This Row],[NumL]],T_suiviDi[#Data],COLUMN(T_suiviDi[[#This Row],[Service ]]),FALSE))</f>
        <v>#VALUE!</v>
      </c>
      <c r="T283" s="164" t="str">
        <f t="shared" si="47"/>
        <v>01 septembre 2021</v>
      </c>
      <c r="U283" s="164" t="str">
        <f t="shared" si="48"/>
        <v>30 novembre 2021</v>
      </c>
      <c r="V283" s="164" t="str">
        <f t="shared" ref="V283:V293" si="54">TEXT(Datebilan,"jj mmmm aaaa")</f>
        <v>30 novembre 2021</v>
      </c>
      <c r="W283" s="176" t="e">
        <f>IF(VLOOKUP(T_BilanSocial[[#This Row],[NumL]],T_TraitDi[#Data],COLUMN(T_TraitDi[[#This Row],[M1]]),FALSE)="","",VLOOKUP(T_BilanSocial[[#This Row],[NumL]],T_TraitDi[#Data],COLUMN(T_TraitDi[[#This Row],[M1]]),FALSE))</f>
        <v>#VALUE!</v>
      </c>
      <c r="X283" s="176" t="e">
        <f>IF(VLOOKUP(T_BilanSocial[[#This Row],[NumL]],T_TraitDi[#Data],COLUMN(T_TraitDi[[#This Row],[M2]]),FALSE)="","",VLOOKUP(T_BilanSocial[[#This Row],[NumL]],T_TraitDi[#Data],COLUMN(T_TraitDi[[#This Row],[M2]]),FALSE))</f>
        <v>#VALUE!</v>
      </c>
      <c r="Y283" s="176" t="e">
        <f>IF(VLOOKUP(T_BilanSocial[[#This Row],[NumL]],T_TraitDi[#Data],COLUMN(T_TraitDi[[#This Row],[M3]]),FALSE)="","",VLOOKUP(T_BilanSocial[[#This Row],[NumL]],T_TraitDi[#Data],COLUMN(T_TraitDi[[#This Row],[M3]]),FALSE))</f>
        <v>#VALUE!</v>
      </c>
      <c r="Z283" s="176" t="str">
        <f t="shared" si="50"/>
        <v/>
      </c>
      <c r="AA283" s="176" t="e">
        <f>IF(VLOOKUP(T_BilanSocial[[#This Row],[NumL]],T_TraitDi[#Data],COLUMN(T_TraitDi[[#This Row],[M5]]),FALSE)="","",VLOOKUP(T_BilanSocial[[#This Row],[NumL]],T_TraitDi[#Data],COLUMN(T_TraitDi[[#This Row],[M5]]),FALSE))</f>
        <v>#VALUE!</v>
      </c>
      <c r="AB283" s="176" t="e">
        <f>IF(VLOOKUP(T_BilanSocial[[#This Row],[NumL]],T_TraitDi[#Data],COLUMN(T_TraitDi[[#This Row],[M6]]),FALSE)="","",VLOOKUP(T_BilanSocial[[#This Row],[NumL]],T_TraitDi[#Data],COLUMN(T_TraitDi[[#This Row],[M6]]),FALSE))</f>
        <v>#VALUE!</v>
      </c>
      <c r="AC283" s="165" t="e">
        <f t="shared" si="49"/>
        <v>#VALUE!</v>
      </c>
      <c r="AD283" s="188" t="str">
        <f>IFERROR(TEXT(VLOOKUP(T_BilanSocial[[#This Row],[NumL]],T_TraitDi[#Data],COLUMN(T_TraitDi[[#This Row],[Q2]]),FALSE),"###%"),"")</f>
        <v/>
      </c>
      <c r="AE283" s="97" t="e">
        <f>VLOOKUP(T_BilanSocial[[#This Row],[NumL]],T_TraitDi[#Data],COLUMN(T_TraitDi[[#This Row],[Reg Ponct]]),FALSE)</f>
        <v>#VALUE!</v>
      </c>
      <c r="AF283" s="97" t="e">
        <f>VLOOKUP(T_BilanSocial[NumL],T_TraitDi[#Data],COLUMN(T_TraitDi[[#This Row],[Jours flottants]]),FALSE)</f>
        <v>#VALUE!</v>
      </c>
      <c r="AG283" s="97" t="str">
        <f>IFERROR(VLOOKUP(T_BilanSocial[[#This Row],[NumL]],T_TraitDi[#Data],COLUMN(T_TraitDi[[#This Row],[Lundi]]),FALSE),"")</f>
        <v/>
      </c>
      <c r="AH283" s="172" t="e">
        <f>IF(VLOOKUP(T_BilanSocial[[#This Row],[NumL]],T_TraitDi[#Data],COLUMN(T_TraitDi[[#This Row],[Colonne3]]),FALSE)=0,"",TEXT(IFERROR(VLOOKUP(T_BilanSocial[[#This Row],[NumL]],T_TraitDi[#Data],COLUMN(T_TraitDi[[#This Row],[Colonne3]]),FALSE),""),"[hh]:mm"))</f>
        <v>#VALUE!</v>
      </c>
      <c r="AI283" s="172" t="e">
        <f>IF(VLOOKUP(T_BilanSocial[[#This Row],[NumL]],T_TraitDi[#Data],COLUMN(T_TraitDi[[#This Row],[Colonne4]]),FALSE)=0,"",TEXT(IFERROR(VLOOKUP(T_BilanSocial[[#This Row],[NumL]],T_TraitDi[#Data],COLUMN(T_TraitDi[[#This Row],[Colonne4]]),FALSE),""),"[hh]:mm"))</f>
        <v>#VALUE!</v>
      </c>
      <c r="AJ283" s="172" t="e">
        <f>IF(VLOOKUP(T_BilanSocial[[#This Row],[NumL]],T_TraitDi[#Data],COLUMN(T_TraitDi[[#This Row],[Colonne5]]),FALSE)=0,"",TEXT(IFERROR(VLOOKUP(T_BilanSocial[[#This Row],[NumL]],T_TraitDi[#Data],COLUMN(T_TraitDi[[#This Row],[Colonne5]]),FALSE),""),"[hh]:mm"))</f>
        <v>#VALUE!</v>
      </c>
      <c r="AK283" s="172" t="e">
        <f>IF(VLOOKUP(T_BilanSocial[[#This Row],[NumL]],T_TraitDi[#Data],COLUMN(T_TraitDi[[#This Row],[Colonne6]]),FALSE)=0,"",TEXT(IFERROR(VLOOKUP(T_BilanSocial[[#This Row],[NumL]],T_TraitDi[#Data],COLUMN(T_TraitDi[[#This Row],[Colonne6]]),FALSE),""),"[hh]:mm"))</f>
        <v>#VALUE!</v>
      </c>
      <c r="AL283" s="172" t="e">
        <f>IF(VLOOKUP(T_BilanSocial[[#This Row],[NumL]],T_TraitDi[#Data],COLUMN(T_TraitDi[[#This Row],[Colonne7]]),FALSE)=0,"",TEXT(IFERROR(VLOOKUP(T_BilanSocial[[#This Row],[NumL]],T_TraitDi[#Data],COLUMN(T_TraitDi[[#This Row],[Colonne7]]),FALSE),""),"[hh]:mm"))</f>
        <v>#VALUE!</v>
      </c>
      <c r="AM283" s="172" t="e">
        <f>IF(VLOOKUP(T_BilanSocial[[#This Row],[NumL]],T_TraitDi[#Data],COLUMN(T_TraitDi[[#This Row],[Colonne8]]),FALSE)=0,"",TEXT(IFERROR(VLOOKUP(T_BilanSocial[[#This Row],[NumL]],T_TraitDi[#Data],COLUMN(T_TraitDi[[#This Row],[Colonne8]]),FALSE),""),"[hh]:mm"))</f>
        <v>#VALUE!</v>
      </c>
      <c r="AN283" s="172" t="str">
        <f>IFERROR(VLOOKUP(T_BilanSocial[[#This Row],[NumL]],T_TraitDi[#Data],COLUMN(T_TraitDi[[#This Row],[Mardi]]),FALSE),"")</f>
        <v/>
      </c>
      <c r="AO283" s="172" t="e">
        <f>IF(VLOOKUP(T_BilanSocial[[#This Row],[NumL]],T_TraitDi[#Data],COLUMN(T_TraitDi[[#This Row],[Colonne1]]),FALSE)=0,"",TEXT(IFERROR(VLOOKUP(T_BilanSocial[[#This Row],[NumL]],T_TraitDi[#Data],COLUMN(T_TraitDi[[#This Row],[Colonne1]]),FALSE),""),"[hh]:mm"))</f>
        <v>#VALUE!</v>
      </c>
      <c r="AP283" s="172" t="e">
        <f>IF(VLOOKUP(T_BilanSocial[[#This Row],[NumL]],T_TraitDi[#Data],COLUMN(T_TraitDi[[#This Row],[Colonne9]]),FALSE)=0,"",TEXT(IFERROR(VLOOKUP(T_BilanSocial[[#This Row],[NumL]],T_TraitDi[#Data],COLUMN(T_TraitDi[[#This Row],[Colonne9]]),FALSE),""),"[hh]:mm"))</f>
        <v>#VALUE!</v>
      </c>
      <c r="AQ283" s="172" t="str">
        <f>IFERROR(VLOOKUP(T_BilanSocial[[#This Row],[NumL]],T_TraitDi[#Data],COLUMN(T_TraitDi[[#This Row],[Colonne10]]),FALSE),"")</f>
        <v/>
      </c>
      <c r="AR283" s="172" t="e">
        <f>IF(VLOOKUP(T_BilanSocial[[#This Row],[NumL]],T_TraitDi[#Data],COLUMN(T_TraitDi[[#This Row],[Colonne11]]),FALSE)=0,"",TEXT(IFERROR(VLOOKUP(T_BilanSocial[[#This Row],[NumL]],T_TraitDi[#Data],COLUMN(T_TraitDi[[#This Row],[Colonne11]]),FALSE),""),"[hh]:mm"))</f>
        <v>#VALUE!</v>
      </c>
      <c r="AS283" s="172" t="e">
        <f>IF(VLOOKUP(T_BilanSocial[[#This Row],[NumL]],T_TraitDi[#Data],COLUMN(T_TraitDi[[#This Row],[Colonne12]]),FALSE)=0,"",TEXT(IFERROR(VLOOKUP(T_BilanSocial[[#This Row],[NumL]],T_TraitDi[#Data],COLUMN(T_TraitDi[[#This Row],[Colonne12]]),FALSE),""),"[hh]:mm"))</f>
        <v>#VALUE!</v>
      </c>
      <c r="AT283" s="172" t="e">
        <f>IF(VLOOKUP(T_BilanSocial[[#This Row],[NumL]],T_TraitDi[#Data],COLUMN(T_TraitDi[[#This Row],[Colonne14]]),FALSE)=0,"",TEXT(IFERROR(VLOOKUP(T_BilanSocial[[#This Row],[NumL]],T_TraitDi[#Data],COLUMN(T_TraitDi[[#This Row],[Colonne14]]),FALSE),""),"[hh]:mm"))</f>
        <v>#VALUE!</v>
      </c>
      <c r="AU283" s="172" t="str">
        <f>IFERROR(VLOOKUP(T_BilanSocial[[#This Row],[NumL]],T_TraitDi[#Data],COLUMN(T_TraitDi[[#This Row],[Mercredi]]),FALSE),"")</f>
        <v/>
      </c>
      <c r="AV283" s="172" t="e">
        <f>IF(VLOOKUP(T_BilanSocial[[#This Row],[NumL]],T_TraitDi[#Data],COLUMN(T_TraitDi[[#This Row],[Colonne15]]),FALSE)=0,"",TEXT(IFERROR(VLOOKUP(T_BilanSocial[[#This Row],[NumL]],T_TraitDi[#Data],COLUMN(T_TraitDi[[#This Row],[Colonne15]]),FALSE),""),"[hh]:mm"))</f>
        <v>#VALUE!</v>
      </c>
      <c r="AW283" s="172" t="e">
        <f>IF(VLOOKUP(T_BilanSocial[[#This Row],[NumL]],T_TraitDi[#Data],COLUMN(T_TraitDi[[#This Row],[Colonne16]]),FALSE)=0,"",TEXT(IFERROR(VLOOKUP(T_BilanSocial[[#This Row],[NumL]],T_TraitDi[#Data],COLUMN(T_TraitDi[[#This Row],[Colonne16]]),FALSE),""),"[hh]:mm"))</f>
        <v>#VALUE!</v>
      </c>
      <c r="AX283" s="172" t="str">
        <f>IFERROR(VLOOKUP(T_BilanSocial[[#This Row],[NumL]],T_TraitDi[#Data],COLUMN(T_TraitDi[[#This Row],[Colonne17]]),FALSE),"")</f>
        <v/>
      </c>
      <c r="AY283" s="172" t="e">
        <f>IF(VLOOKUP(T_BilanSocial[[#This Row],[NumL]],T_TraitDi[#Data],COLUMN(T_TraitDi[[#This Row],[Colonne18]]),FALSE)=0,"",TEXT(IFERROR(VLOOKUP(T_BilanSocial[[#This Row],[NumL]],T_TraitDi[#Data],COLUMN(T_TraitDi[[#This Row],[Colonne18]]),FALSE),""),"[hh]:mm"))</f>
        <v>#VALUE!</v>
      </c>
      <c r="AZ283" s="172" t="e">
        <f>IF(VLOOKUP(T_BilanSocial[[#This Row],[NumL]],T_TraitDi[#Data],COLUMN(T_TraitDi[[#This Row],[Colonne19]]),FALSE)=0,"",TEXT(IFERROR(VLOOKUP(T_BilanSocial[[#This Row],[NumL]],T_TraitDi[#Data],COLUMN(T_TraitDi[[#This Row],[Colonne19]]),FALSE),""),"[hh]:mm"))</f>
        <v>#VALUE!</v>
      </c>
      <c r="BA283" s="172" t="e">
        <f>IF(VLOOKUP(T_BilanSocial[[#This Row],[NumL]],T_TraitDi[#Data],COLUMN(T_TraitDi[[#This Row],[Colonne20]]),FALSE)=0,"",TEXT(IFERROR(VLOOKUP(T_BilanSocial[[#This Row],[NumL]],T_TraitDi[#Data],COLUMN(T_TraitDi[[#This Row],[Colonne20]]),FALSE),""),"[hh]:mm"))</f>
        <v>#VALUE!</v>
      </c>
      <c r="BB283" s="178" t="str">
        <f>IFERROR(VLOOKUP(T_BilanSocial[[#This Row],[NumL]],T_TraitDi[#Data],COLUMN(T_TraitDi[[#This Row],[Jeudi]]),FALSE),"")</f>
        <v/>
      </c>
      <c r="BC283" s="178" t="e">
        <f>IF(VLOOKUP(T_BilanSocial[[#This Row],[NumL]],T_TraitDi[#Data],COLUMN(T_TraitDi[[#This Row],[Colonne21]]),FALSE)=0,"",TEXT(IFERROR(VLOOKUP(T_BilanSocial[[#This Row],[NumL]],T_TraitDi[#Data],COLUMN(T_TraitDi[[#This Row],[Colonne21]]),FALSE),""),"[hh]:mm"))</f>
        <v>#VALUE!</v>
      </c>
      <c r="BD283" s="178" t="e">
        <f>IF(VLOOKUP(T_BilanSocial[[#This Row],[NumL]],T_TraitDi[#Data],COLUMN(T_TraitDi[[#This Row],[Colonne22]]),FALSE)=0,"",TEXT(IFERROR(VLOOKUP(T_BilanSocial[[#This Row],[NumL]],T_TraitDi[#Data],COLUMN(T_TraitDi[[#This Row],[Colonne22]]),FALSE),""),"[hh]:mm"))</f>
        <v>#VALUE!</v>
      </c>
      <c r="BE283" s="178" t="str">
        <f>IFERROR(VLOOKUP(T_BilanSocial[[#This Row],[NumL]],T_TraitDi[#Data],COLUMN(T_TraitDi[[#This Row],[Colonne23]]),FALSE),"")</f>
        <v/>
      </c>
      <c r="BF283" s="178" t="e">
        <f>IF(VLOOKUP(T_BilanSocial[[#This Row],[NumL]],T_TraitDi[#Data],COLUMN(T_TraitDi[[#This Row],[Colonne24]]),FALSE)=0,"",TEXT(IFERROR(VLOOKUP(T_BilanSocial[[#This Row],[NumL]],T_TraitDi[#Data],COLUMN(T_TraitDi[[#This Row],[Colonne24]]),FALSE),""),"[hh]:mm"))</f>
        <v>#VALUE!</v>
      </c>
      <c r="BG283" s="178" t="e">
        <f>IF(VLOOKUP(T_BilanSocial[[#This Row],[NumL]],T_TraitDi[#Data],COLUMN(T_TraitDi[[#This Row],[Colonne25]]),FALSE)=0,"",TEXT(IFERROR(VLOOKUP(T_BilanSocial[[#This Row],[NumL]],T_TraitDi[#Data],COLUMN(T_TraitDi[[#This Row],[Colonne25]]),FALSE),""),"[hh]:mm"))</f>
        <v>#VALUE!</v>
      </c>
      <c r="BH283" s="178" t="e">
        <f>IF(VLOOKUP(T_BilanSocial[[#This Row],[NumL]],T_TraitDi[#Data],COLUMN(T_TraitDi[[#This Row],[Colonne26]]),FALSE)=0,"",TEXT(IFERROR(VLOOKUP(T_BilanSocial[[#This Row],[NumL]],T_TraitDi[#Data],COLUMN(T_TraitDi[[#This Row],[Colonne26]]),FALSE),""),"[hh]:mm"))</f>
        <v>#VALUE!</v>
      </c>
      <c r="BI283" s="172" t="str">
        <f>IFERROR(VLOOKUP(T_BilanSocial[[#This Row],[NumL]],T_TraitDi[#Data],COLUMN(T_TraitDi[[#This Row],[Vendredi]]),FALSE),"")</f>
        <v/>
      </c>
      <c r="BJ283" s="172" t="e">
        <f>IF(VLOOKUP(T_BilanSocial[[#This Row],[NumL]],T_TraitDi[#Data],COLUMN(T_TraitDi[[#This Row],[Colonne27]]),FALSE)=0,"",TEXT(IFERROR(VLOOKUP(T_BilanSocial[[#This Row],[NumL]],T_TraitDi[#Data],COLUMN(T_TraitDi[[#This Row],[Colonne27]]),FALSE),""),"[hh]:mm"))</f>
        <v>#VALUE!</v>
      </c>
      <c r="BK283" s="172" t="e">
        <f>IF(VLOOKUP(T_BilanSocial[[#This Row],[NumL]],T_TraitDi[#Data],COLUMN(T_TraitDi[[#This Row],[Colonne28]]),FALSE)=0,"",TEXT(IFERROR(VLOOKUP(T_BilanSocial[[#This Row],[NumL]],T_TraitDi[#Data],COLUMN(T_TraitDi[[#This Row],[Colonne28]]),FALSE),""),"[hh]:mm"))</f>
        <v>#VALUE!</v>
      </c>
      <c r="BL283" s="172" t="str">
        <f>IFERROR(VLOOKUP(T_BilanSocial[[#This Row],[NumL]],T_TraitDi[#Data],COLUMN(T_TraitDi[[#This Row],[Colonne29]]),FALSE),"")</f>
        <v/>
      </c>
      <c r="BM283" s="172" t="e">
        <f>IF(VLOOKUP(T_BilanSocial[[#This Row],[NumL]],T_TraitDi[#Data],COLUMN(T_TraitDi[[#This Row],[Colonne30]]),FALSE)=0,"",TEXT(IFERROR(VLOOKUP(T_BilanSocial[[#This Row],[NumL]],T_TraitDi[#Data],COLUMN(T_TraitDi[[#This Row],[Colonne30]]),FALSE),""),"[hh]:mm"))</f>
        <v>#VALUE!</v>
      </c>
      <c r="BN283" s="172" t="e">
        <f>IF(VLOOKUP(T_BilanSocial[[#This Row],[NumL]],T_TraitDi[#Data],COLUMN(T_TraitDi[[#This Row],[Colonne31]]),FALSE)=0,"",TEXT(IFERROR(VLOOKUP(T_BilanSocial[[#This Row],[NumL]],T_TraitDi[#Data],COLUMN(T_TraitDi[[#This Row],[Colonne31]]),FALSE),""),"[hh]:mm"))</f>
        <v>#VALUE!</v>
      </c>
      <c r="BO283" s="172" t="e">
        <f>IF(VLOOKUP(T_BilanSocial[[#This Row],[NumL]],T_TraitDi[#Data],COLUMN(T_TraitDi[[#This Row],[Colonne32]]),FALSE)=0,"",TEXT(IFERROR(VLOOKUP(T_BilanSocial[[#This Row],[NumL]],T_TraitDi[#Data],COLUMN(T_TraitDi[[#This Row],[Colonne32]]),FALSE),""),"[hh]:mm"))</f>
        <v>#VALUE!</v>
      </c>
      <c r="BP283" s="172">
        <f>VLOOKUP(T_BilanSocial[[#This Row],[NumL]],T_TraitDi[#Data],COLUMN(T_TraitDi[NbJTot]),FALSE)</f>
        <v>5</v>
      </c>
      <c r="BQ283" s="174" t="str">
        <f>IFERROR(VLOOKUP(T_BilanSocial[[#This Row],[NumL]],T_TraitDi[#Data],COLUMN(T_TraitDi[[#This Row],[NbJTW]]),FALSE),"")</f>
        <v/>
      </c>
      <c r="BR283" s="174" t="e">
        <f>IF(VLOOKUP(T_BilanSocial[[#This Row],[NumL]],T_TraitDi[#Data],COLUMN(T_TraitDi[[#This Row],[NbhTW]]),FALSE)=0,"",TEXT(IFERROR(VLOOKUP(T_BilanSocial[[#This Row],[NumL]],T_TraitDi[#Data],COLUMN(T_TraitDi[[#This Row],[NbhTW]]),FALSE),""),"[hh]:mm"))</f>
        <v>#VALUE!</v>
      </c>
      <c r="BS283" s="174" t="e">
        <f>IF(VLOOKUP(T_BilanSocial[[#This Row],[NumL]],T_TraitDi[#Data],COLUMN(T_TraitDi[[#This Row],[Nbhheb]]),FALSE)=0,"",TEXT(IFERROR(VLOOKUP($A283,T_TraitDi[#Data],COLUMN(T_TraitDi[[#This Row],[Nbhheb]]),FALSE),""),"[hh]:mm"))</f>
        <v>#VALUE!</v>
      </c>
      <c r="BT283" s="182" t="str">
        <f>IFERROR(VLOOKUP(VLOOKUP($A283,T_TraitDi[#Data],COLUMN(T_TraitDi[[#This Row],[Type1]]),FALSE),TypeTW,2,FALSE),"")</f>
        <v/>
      </c>
      <c r="BU283" s="182" t="str">
        <f>IFERROR(VLOOKUP($A283,T_TraitDi[#Data],COLUMN(T_TraitDi[[#This Row],[Rue1]]),FALSE),"")</f>
        <v/>
      </c>
      <c r="BV283" s="173" t="str">
        <f>IFERROR(VLOOKUP($A283,T_TraitDi[#Data],COLUMN(T_TraitDi[[#This Row],[CP1]]),FALSE),"")</f>
        <v/>
      </c>
      <c r="BW283" s="173" t="str">
        <f>IFERROR(VLOOKUP($A283,T_TraitDi[#Data],COLUMN(T_TraitDi[[#This Row],[VILLE1]]),FALSE),"")</f>
        <v/>
      </c>
      <c r="BX283" s="182" t="str">
        <f>IFERROR(VLOOKUP(VLOOKUP($A283,T_TraitDi[#Data],COLUMN(T_TraitDi[[#This Row],[Type2]]),FALSE),TypeTW,2,FALSE),"")</f>
        <v/>
      </c>
      <c r="BY283" s="182" t="str">
        <f>IFERROR(VLOOKUP($A283,T_TraitDi[#Data],COLUMN(T_TraitDi[[#This Row],[Rue2]]),FALSE),"")</f>
        <v/>
      </c>
      <c r="BZ283" s="173" t="str">
        <f>IFERROR(VLOOKUP($A283,T_TraitDi[#Data],COLUMN(T_TraitDi[[#This Row],[CP2]]),FALSE),"")</f>
        <v/>
      </c>
      <c r="CA283" s="173" t="str">
        <f>IFERROR(VLOOKUP($A283,T_TraitDi[#Data],COLUMN(T_TraitDi[[#This Row],[VILLE2]]),FALSE),"")</f>
        <v/>
      </c>
      <c r="CB283" s="182" t="str">
        <f>IF(VLOOKUP(T_BilanSocial[[#This Row],[NumL]],T_Equipement[#Data],COLUMN(T_Equipement[[#This Row],[PC]]),FALSE)="","Aucun équipement spécifique directement lié au télétravail",VLOOKUP(T_BilanSocial[[#This Row],[NumL]],T_Equipement[#Data],COLUMN(T_Equipement[[#This Row],[PC]]),FALSE))</f>
        <v>20-086</v>
      </c>
      <c r="CC283" s="166" t="str">
        <f>IFERROR(IF(VLOOKUP(T_BilanSocial[[#This Row],[NumL]],T_TraitDi[#Data],COLUMN(T_TraitDi[[#This Row],[Plan]]),FALSE)="OK","Un planning spécifique de télétravail est annexé à la présente convention.",""),"")</f>
        <v/>
      </c>
      <c r="CD283" s="185"/>
      <c r="CE283" s="164" t="e">
        <f>IF(VLOOKUP(T_BilanSocial[[#This Row],[NumL]],T_suiviDi[#Data],COLUMN(T_suiviDi[[#This Row],[Entité]]),FALSE)="","",VLOOKUP(T_BilanSocial[[#This Row],[NumL]],T_suiviDi[#Data],COLUMN(T_suiviDi[[#This Row],[Entité]]),FALSE))</f>
        <v>#VALUE!</v>
      </c>
      <c r="CF283" s="164" t="str">
        <f>IF(VLOOKUP(T_BilanSocial[[#This Row],[NumL]],T_Commission[#Data],COLUMN(T_Commission[[#This Row],[envoi confirm TW]]),FALSE)="","",VLOOKUP(T_BilanSocial[[#This Row],[NumL]],T_Commission[#Data],COLUMN(T_Commission[[#This Row],[envoi confirm TW]]),FALSE))</f>
        <v>Oui</v>
      </c>
      <c r="CG28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3" s="262" t="str">
        <f>T_BilanSocial[[#This Row],[Nom]]&amp;T_BilanSocial[[#This Row],[Prenom]]</f>
        <v>AMorgane</v>
      </c>
      <c r="CI283" s="262">
        <f>VLOOKUP(T_BilanSocial[[#This Row],[NumL]],T_Commission[#Data],COLUMN(T_Commission[Commentaire]),FALSE)</f>
        <v>0</v>
      </c>
      <c r="CJ283" s="262" t="str">
        <f>IF(VLOOKUP(T_BilanSocial[[#This Row],[NumL]],T_Commission[#Data],COLUMN(T_Commission[Encadrant Email]),FALSE)="","",VLOOKUP(T_BilanSocial[[#This Row],[NumL]],T_Commission[#Data],COLUMN(T_Commission[Encadrant Email]),FALSE))</f>
        <v/>
      </c>
      <c r="CK283" s="340" t="str">
        <f>IF(T_BilanSocial[[#This Row],[Final]]&lt;&gt;"",VLOOKUP(T_BilanSocial[[#This Row],[NumL]],T_suiviDi[#Data],COLUMN((T_suiviDi[Statut])),FALSE),"")</f>
        <v>RENVL</v>
      </c>
    </row>
    <row r="284" spans="1:89" s="106" customFormat="1" ht="24" customHeight="1" x14ac:dyDescent="0.25">
      <c r="A284" s="160">
        <v>281</v>
      </c>
      <c r="B284" s="161" t="str">
        <f t="shared" si="45"/>
        <v/>
      </c>
      <c r="C284" s="162" t="s">
        <v>139</v>
      </c>
      <c r="D284" s="95" t="e">
        <f>IF(VLOOKUP(T_BilanSocial[[#This Row],[NumL]],T_TraitDi[#Data],COLUMN(T_TraitDi[[#This Row],[WebC]]),FALSE)="","",VLOOKUP(T_BilanSocial[[#This Row],[NumL]],T_TraitDi[#Data],COLUMN(T_TraitDi[[#This Row],[WebC]]),FALSE))</f>
        <v>#VALUE!</v>
      </c>
      <c r="E284" s="163" t="str">
        <f t="shared" si="46"/>
        <v>12 janvier 2021</v>
      </c>
      <c r="F284" s="96" t="str">
        <f>IF(T_BilanSocial[[#This Row],[Final]]&lt;&gt;"",VLOOKUP(T_BilanSocial[[#This Row],[NumL]],T_suiviDi[#Data],COLUMN((T_suiviDi[Civ.])),FALSE),"")</f>
        <v/>
      </c>
      <c r="G284" s="96" t="str">
        <f>IF(T_BilanSocial[[#This Row],[Final]]&lt;&gt;"",VLOOKUP(T_BilanSocial[[#This Row],[NumL]],T_suiviDi[#Data],COLUMN((T_suiviDi[Nom])),FALSE),"")</f>
        <v/>
      </c>
      <c r="H284" s="96" t="str">
        <f>IF(T_BilanSocial[[#This Row],[Final]]&lt;&gt;"",VLOOKUP(T_BilanSocial[[#This Row],[NumL]],T_suiviDi[#Data],COLUMN((T_suiviDi[Prénom])),FALSE),"")</f>
        <v/>
      </c>
      <c r="I284" s="96" t="str">
        <f>IFERROR(VLOOKUP(T_BilanSocial[[#This Row],[Zone_Bilan]],T_P_BilanSocial[#Data],COLUMN(T_P_BilanSocial[[#This Row],[Numero_SIHAM]]),FALSE),"")</f>
        <v/>
      </c>
      <c r="J284" s="96" t="str">
        <f>IFERROR(VLOOKUP(T_BilanSocial[[#This Row],[Zone_Bilan]],T_P_BilanSocial[#Data],COLUMN(T_P_BilanSocial[[#This Row],[Sexe]]),FALSE),"")</f>
        <v/>
      </c>
      <c r="K284" s="97" t="str">
        <f>IFERROR(VLOOKUP(T_BilanSocial[[#This Row],[Zone_Bilan]],T_P_BilanSocial[#Data],COLUMN(T_P_BilanSocial[[#This Row],[Categorie]]),FALSE),"")</f>
        <v/>
      </c>
      <c r="L284" s="96" t="str">
        <f>IFERROR(VLOOKUP(T_BilanSocial[[#This Row],[Zone_Bilan]],T_P_BilanSocial[#Data],COLUMN(T_P_BilanSocial[[#This Row],[Statut]]),FALSE),"")</f>
        <v/>
      </c>
      <c r="M284" s="96" t="str">
        <f>IFERROR(VLOOKUP(T_BilanSocial[[#This Row],[Zone_Bilan]],T_P_BilanSocial[#Data],COLUMN(T_P_BilanSocial[[#This Row],[Filiere]]),FALSE),"")</f>
        <v/>
      </c>
      <c r="N284" s="96" t="e">
        <f>VLOOKUP(T_BilanSocial[[#This Row],[NumL]],T_TraitDi[#Data],COLUMN(T_TraitDi[EXP]),FALSE)</f>
        <v>#N/A</v>
      </c>
      <c r="O284" s="96" t="e">
        <f>VLOOKUP(T_BilanSocial[[#This Row],[NumL]],T_TraitDi[#Data],COLUMN(T_TraitDi[FORM]),FALSE)</f>
        <v>#N/A</v>
      </c>
      <c r="P284" s="96" t="str">
        <f>IF(T_BilanSocial[[#This Row],[Final]]&lt;&gt;"",VLOOKUP(T_BilanSocial[[#This Row],[NumL]],T_suiviDi[#Data],COLUMN((T_suiviDi[Email])),FALSE),"")</f>
        <v/>
      </c>
      <c r="Q284" s="164" t="e">
        <f t="shared" si="52"/>
        <v>#N/A</v>
      </c>
      <c r="R284" s="164" t="e">
        <f t="shared" si="53"/>
        <v>#N/A</v>
      </c>
      <c r="S284" s="164" t="e">
        <f>IF(VLOOKUP(T_BilanSocial[[#This Row],[NumL]],T_suiviDi[#Data],COLUMN(T_suiviDi[[#This Row],[Service ]]),FALSE)="","",VLOOKUP(T_BilanSocial[[#This Row],[NumL]],T_suiviDi[#Data],COLUMN(T_suiviDi[[#This Row],[Service ]]),FALSE))</f>
        <v>#VALUE!</v>
      </c>
      <c r="T284" s="164" t="str">
        <f t="shared" si="47"/>
        <v>01 septembre 2021</v>
      </c>
      <c r="U284" s="164" t="str">
        <f t="shared" si="48"/>
        <v>30 novembre 2021</v>
      </c>
      <c r="V284" s="96" t="str">
        <f t="shared" si="54"/>
        <v>30 novembre 2021</v>
      </c>
      <c r="W284" s="176" t="e">
        <f>IF(VLOOKUP(T_BilanSocial[[#This Row],[NumL]],T_TraitDi[#Data],COLUMN(T_TraitDi[[#This Row],[M1]]),FALSE)="","",VLOOKUP(T_BilanSocial[[#This Row],[NumL]],T_TraitDi[#Data],COLUMN(T_TraitDi[[#This Row],[M1]]),FALSE))</f>
        <v>#VALUE!</v>
      </c>
      <c r="X284" s="176" t="e">
        <f>IF(VLOOKUP(T_BilanSocial[[#This Row],[NumL]],T_TraitDi[#Data],COLUMN(T_TraitDi[[#This Row],[M2]]),FALSE)="","",VLOOKUP(T_BilanSocial[[#This Row],[NumL]],T_TraitDi[#Data],COLUMN(T_TraitDi[[#This Row],[M2]]),FALSE))</f>
        <v>#VALUE!</v>
      </c>
      <c r="Y284" s="176" t="e">
        <f>IF(VLOOKUP(T_BilanSocial[[#This Row],[NumL]],T_TraitDi[#Data],COLUMN(T_TraitDi[[#This Row],[M3]]),FALSE)="","",VLOOKUP(T_BilanSocial[[#This Row],[NumL]],T_TraitDi[#Data],COLUMN(T_TraitDi[[#This Row],[M3]]),FALSE))</f>
        <v>#VALUE!</v>
      </c>
      <c r="Z284" s="176" t="str">
        <f t="shared" si="50"/>
        <v/>
      </c>
      <c r="AA284" s="176" t="e">
        <f>IF(VLOOKUP(T_BilanSocial[[#This Row],[NumL]],T_TraitDi[#Data],COLUMN(T_TraitDi[[#This Row],[M5]]),FALSE)="","",VLOOKUP(T_BilanSocial[[#This Row],[NumL]],T_TraitDi[#Data],COLUMN(T_TraitDi[[#This Row],[M5]]),FALSE))</f>
        <v>#VALUE!</v>
      </c>
      <c r="AB284" s="176" t="e">
        <f>IF(VLOOKUP(T_BilanSocial[[#This Row],[NumL]],T_TraitDi[#Data],COLUMN(T_TraitDi[[#This Row],[M6]]),FALSE)="","",VLOOKUP(T_BilanSocial[[#This Row],[NumL]],T_TraitDi[#Data],COLUMN(T_TraitDi[[#This Row],[M6]]),FALSE))</f>
        <v>#VALUE!</v>
      </c>
      <c r="AC284" s="165" t="e">
        <f t="shared" si="49"/>
        <v>#VALUE!</v>
      </c>
      <c r="AD284" s="188" t="str">
        <f>IFERROR(TEXT(VLOOKUP(T_BilanSocial[[#This Row],[NumL]],T_TraitDi[#Data],COLUMN(T_TraitDi[[#This Row],[Q2]]),FALSE),"###%"),"")</f>
        <v/>
      </c>
      <c r="AE284" s="97" t="e">
        <f>VLOOKUP(T_BilanSocial[[#This Row],[NumL]],T_TraitDi[#Data],COLUMN(T_TraitDi[[#This Row],[Reg Ponct]]),FALSE)</f>
        <v>#VALUE!</v>
      </c>
      <c r="AF284" s="97" t="e">
        <f>VLOOKUP(T_BilanSocial[NumL],T_TraitDi[#Data],COLUMN(T_TraitDi[[#This Row],[Jours flottants]]),FALSE)</f>
        <v>#VALUE!</v>
      </c>
      <c r="AG284" s="97" t="str">
        <f>IFERROR(VLOOKUP(T_BilanSocial[[#This Row],[NumL]],T_TraitDi[#Data],COLUMN(T_TraitDi[[#This Row],[Lundi]]),FALSE),"")</f>
        <v/>
      </c>
      <c r="AH284" s="172" t="e">
        <f>IF(VLOOKUP(T_BilanSocial[[#This Row],[NumL]],T_TraitDi[#Data],COLUMN(T_TraitDi[[#This Row],[Colonne3]]),FALSE)=0,"",TEXT(IFERROR(VLOOKUP(T_BilanSocial[[#This Row],[NumL]],T_TraitDi[#Data],COLUMN(T_TraitDi[[#This Row],[Colonne3]]),FALSE),""),"[hh]:mm"))</f>
        <v>#VALUE!</v>
      </c>
      <c r="AI284" s="172" t="e">
        <f>IF(VLOOKUP(T_BilanSocial[[#This Row],[NumL]],T_TraitDi[#Data],COLUMN(T_TraitDi[[#This Row],[Colonne4]]),FALSE)=0,"",TEXT(IFERROR(VLOOKUP(T_BilanSocial[[#This Row],[NumL]],T_TraitDi[#Data],COLUMN(T_TraitDi[[#This Row],[Colonne4]]),FALSE),""),"[hh]:mm"))</f>
        <v>#VALUE!</v>
      </c>
      <c r="AJ284" s="172" t="e">
        <f>IF(VLOOKUP(T_BilanSocial[[#This Row],[NumL]],T_TraitDi[#Data],COLUMN(T_TraitDi[[#This Row],[Colonne5]]),FALSE)=0,"",TEXT(IFERROR(VLOOKUP(T_BilanSocial[[#This Row],[NumL]],T_TraitDi[#Data],COLUMN(T_TraitDi[[#This Row],[Colonne5]]),FALSE),""),"[hh]:mm"))</f>
        <v>#VALUE!</v>
      </c>
      <c r="AK284" s="172" t="e">
        <f>IF(VLOOKUP(T_BilanSocial[[#This Row],[NumL]],T_TraitDi[#Data],COLUMN(T_TraitDi[[#This Row],[Colonne6]]),FALSE)=0,"",TEXT(IFERROR(VLOOKUP(T_BilanSocial[[#This Row],[NumL]],T_TraitDi[#Data],COLUMN(T_TraitDi[[#This Row],[Colonne6]]),FALSE),""),"[hh]:mm"))</f>
        <v>#VALUE!</v>
      </c>
      <c r="AL284" s="172" t="e">
        <f>IF(VLOOKUP(T_BilanSocial[[#This Row],[NumL]],T_TraitDi[#Data],COLUMN(T_TraitDi[[#This Row],[Colonne7]]),FALSE)=0,"",TEXT(IFERROR(VLOOKUP(T_BilanSocial[[#This Row],[NumL]],T_TraitDi[#Data],COLUMN(T_TraitDi[[#This Row],[Colonne7]]),FALSE),""),"[hh]:mm"))</f>
        <v>#VALUE!</v>
      </c>
      <c r="AM284" s="172" t="e">
        <f>IF(VLOOKUP(T_BilanSocial[[#This Row],[NumL]],T_TraitDi[#Data],COLUMN(T_TraitDi[[#This Row],[Colonne8]]),FALSE)=0,"",TEXT(IFERROR(VLOOKUP(T_BilanSocial[[#This Row],[NumL]],T_TraitDi[#Data],COLUMN(T_TraitDi[[#This Row],[Colonne8]]),FALSE),""),"[hh]:mm"))</f>
        <v>#VALUE!</v>
      </c>
      <c r="AN284" s="172" t="str">
        <f>IFERROR(VLOOKUP(T_BilanSocial[[#This Row],[NumL]],T_TraitDi[#Data],COLUMN(T_TraitDi[[#This Row],[Mardi]]),FALSE),"")</f>
        <v/>
      </c>
      <c r="AO284" s="172" t="e">
        <f>IF(VLOOKUP(T_BilanSocial[[#This Row],[NumL]],T_TraitDi[#Data],COLUMN(T_TraitDi[[#This Row],[Colonne1]]),FALSE)=0,"",TEXT(IFERROR(VLOOKUP(T_BilanSocial[[#This Row],[NumL]],T_TraitDi[#Data],COLUMN(T_TraitDi[[#This Row],[Colonne1]]),FALSE),""),"[hh]:mm"))</f>
        <v>#VALUE!</v>
      </c>
      <c r="AP284" s="172" t="e">
        <f>IF(VLOOKUP(T_BilanSocial[[#This Row],[NumL]],T_TraitDi[#Data],COLUMN(T_TraitDi[[#This Row],[Colonne9]]),FALSE)=0,"",TEXT(IFERROR(VLOOKUP(T_BilanSocial[[#This Row],[NumL]],T_TraitDi[#Data],COLUMN(T_TraitDi[[#This Row],[Colonne9]]),FALSE),""),"[hh]:mm"))</f>
        <v>#VALUE!</v>
      </c>
      <c r="AQ284" s="172" t="str">
        <f>IFERROR(VLOOKUP(T_BilanSocial[[#This Row],[NumL]],T_TraitDi[#Data],COLUMN(T_TraitDi[[#This Row],[Colonne10]]),FALSE),"")</f>
        <v/>
      </c>
      <c r="AR284" s="172" t="e">
        <f>IF(VLOOKUP(T_BilanSocial[[#This Row],[NumL]],T_TraitDi[#Data],COLUMN(T_TraitDi[[#This Row],[Colonne11]]),FALSE)=0,"",TEXT(IFERROR(VLOOKUP(T_BilanSocial[[#This Row],[NumL]],T_TraitDi[#Data],COLUMN(T_TraitDi[[#This Row],[Colonne11]]),FALSE),""),"[hh]:mm"))</f>
        <v>#VALUE!</v>
      </c>
      <c r="AS284" s="172" t="e">
        <f>IF(VLOOKUP(T_BilanSocial[[#This Row],[NumL]],T_TraitDi[#Data],COLUMN(T_TraitDi[[#This Row],[Colonne12]]),FALSE)=0,"",TEXT(IFERROR(VLOOKUP(T_BilanSocial[[#This Row],[NumL]],T_TraitDi[#Data],COLUMN(T_TraitDi[[#This Row],[Colonne12]]),FALSE),""),"[hh]:mm"))</f>
        <v>#VALUE!</v>
      </c>
      <c r="AT284" s="172" t="e">
        <f>IF(VLOOKUP(T_BilanSocial[[#This Row],[NumL]],T_TraitDi[#Data],COLUMN(T_TraitDi[[#This Row],[Colonne14]]),FALSE)=0,"",TEXT(IFERROR(VLOOKUP(T_BilanSocial[[#This Row],[NumL]],T_TraitDi[#Data],COLUMN(T_TraitDi[[#This Row],[Colonne14]]),FALSE),""),"[hh]:mm"))</f>
        <v>#VALUE!</v>
      </c>
      <c r="AU284" s="172" t="str">
        <f>IFERROR(VLOOKUP(T_BilanSocial[[#This Row],[NumL]],T_TraitDi[#Data],COLUMN(T_TraitDi[[#This Row],[Mercredi]]),FALSE),"")</f>
        <v/>
      </c>
      <c r="AV284" s="172" t="e">
        <f>IF(VLOOKUP(T_BilanSocial[[#This Row],[NumL]],T_TraitDi[#Data],COLUMN(T_TraitDi[[#This Row],[Colonne15]]),FALSE)=0,"",TEXT(IFERROR(VLOOKUP(T_BilanSocial[[#This Row],[NumL]],T_TraitDi[#Data],COLUMN(T_TraitDi[[#This Row],[Colonne15]]),FALSE),""),"[hh]:mm"))</f>
        <v>#VALUE!</v>
      </c>
      <c r="AW284" s="172" t="e">
        <f>IF(VLOOKUP(T_BilanSocial[[#This Row],[NumL]],T_TraitDi[#Data],COLUMN(T_TraitDi[[#This Row],[Colonne16]]),FALSE)=0,"",TEXT(IFERROR(VLOOKUP(T_BilanSocial[[#This Row],[NumL]],T_TraitDi[#Data],COLUMN(T_TraitDi[[#This Row],[Colonne16]]),FALSE),""),"[hh]:mm"))</f>
        <v>#VALUE!</v>
      </c>
      <c r="AX284" s="172" t="str">
        <f>IFERROR(VLOOKUP(T_BilanSocial[[#This Row],[NumL]],T_TraitDi[#Data],COLUMN(T_TraitDi[[#This Row],[Colonne17]]),FALSE),"")</f>
        <v/>
      </c>
      <c r="AY284" s="172" t="e">
        <f>IF(VLOOKUP(T_BilanSocial[[#This Row],[NumL]],T_TraitDi[#Data],COLUMN(T_TraitDi[[#This Row],[Colonne18]]),FALSE)=0,"",TEXT(IFERROR(VLOOKUP(T_BilanSocial[[#This Row],[NumL]],T_TraitDi[#Data],COLUMN(T_TraitDi[[#This Row],[Colonne18]]),FALSE),""),"[hh]:mm"))</f>
        <v>#VALUE!</v>
      </c>
      <c r="AZ284" s="172" t="e">
        <f>IF(VLOOKUP(T_BilanSocial[[#This Row],[NumL]],T_TraitDi[#Data],COLUMN(T_TraitDi[[#This Row],[Colonne19]]),FALSE)=0,"",TEXT(IFERROR(VLOOKUP(T_BilanSocial[[#This Row],[NumL]],T_TraitDi[#Data],COLUMN(T_TraitDi[[#This Row],[Colonne19]]),FALSE),""),"[hh]:mm"))</f>
        <v>#VALUE!</v>
      </c>
      <c r="BA284" s="172" t="e">
        <f>IF(VLOOKUP(T_BilanSocial[[#This Row],[NumL]],T_TraitDi[#Data],COLUMN(T_TraitDi[[#This Row],[Colonne20]]),FALSE)=0,"",TEXT(IFERROR(VLOOKUP(T_BilanSocial[[#This Row],[NumL]],T_TraitDi[#Data],COLUMN(T_TraitDi[[#This Row],[Colonne20]]),FALSE),""),"[hh]:mm"))</f>
        <v>#VALUE!</v>
      </c>
      <c r="BB284" s="178" t="str">
        <f>IFERROR(VLOOKUP(T_BilanSocial[[#This Row],[NumL]],T_TraitDi[#Data],COLUMN(T_TraitDi[[#This Row],[Jeudi]]),FALSE),"")</f>
        <v/>
      </c>
      <c r="BC284" s="178" t="e">
        <f>IF(VLOOKUP(T_BilanSocial[[#This Row],[NumL]],T_TraitDi[#Data],COLUMN(T_TraitDi[[#This Row],[Colonne21]]),FALSE)=0,"",TEXT(IFERROR(VLOOKUP(T_BilanSocial[[#This Row],[NumL]],T_TraitDi[#Data],COLUMN(T_TraitDi[[#This Row],[Colonne21]]),FALSE),""),"[hh]:mm"))</f>
        <v>#VALUE!</v>
      </c>
      <c r="BD284" s="178" t="e">
        <f>IF(VLOOKUP(T_BilanSocial[[#This Row],[NumL]],T_TraitDi[#Data],COLUMN(T_TraitDi[[#This Row],[Colonne22]]),FALSE)=0,"",TEXT(IFERROR(VLOOKUP(T_BilanSocial[[#This Row],[NumL]],T_TraitDi[#Data],COLUMN(T_TraitDi[[#This Row],[Colonne22]]),FALSE),""),"[hh]:mm"))</f>
        <v>#VALUE!</v>
      </c>
      <c r="BE284" s="178" t="str">
        <f>IFERROR(VLOOKUP(T_BilanSocial[[#This Row],[NumL]],T_TraitDi[#Data],COLUMN(T_TraitDi[[#This Row],[Colonne23]]),FALSE),"")</f>
        <v/>
      </c>
      <c r="BF284" s="178" t="e">
        <f>IF(VLOOKUP(T_BilanSocial[[#This Row],[NumL]],T_TraitDi[#Data],COLUMN(T_TraitDi[[#This Row],[Colonne24]]),FALSE)=0,"",TEXT(IFERROR(VLOOKUP(T_BilanSocial[[#This Row],[NumL]],T_TraitDi[#Data],COLUMN(T_TraitDi[[#This Row],[Colonne24]]),FALSE),""),"[hh]:mm"))</f>
        <v>#VALUE!</v>
      </c>
      <c r="BG284" s="178" t="e">
        <f>IF(VLOOKUP(T_BilanSocial[[#This Row],[NumL]],T_TraitDi[#Data],COLUMN(T_TraitDi[[#This Row],[Colonne25]]),FALSE)=0,"",TEXT(IFERROR(VLOOKUP(T_BilanSocial[[#This Row],[NumL]],T_TraitDi[#Data],COLUMN(T_TraitDi[[#This Row],[Colonne25]]),FALSE),""),"[hh]:mm"))</f>
        <v>#VALUE!</v>
      </c>
      <c r="BH284" s="178" t="e">
        <f>IF(VLOOKUP(T_BilanSocial[[#This Row],[NumL]],T_TraitDi[#Data],COLUMN(T_TraitDi[[#This Row],[Colonne26]]),FALSE)=0,"",TEXT(IFERROR(VLOOKUP(T_BilanSocial[[#This Row],[NumL]],T_TraitDi[#Data],COLUMN(T_TraitDi[[#This Row],[Colonne26]]),FALSE),""),"[hh]:mm"))</f>
        <v>#VALUE!</v>
      </c>
      <c r="BI284" s="172" t="str">
        <f>IFERROR(VLOOKUP(T_BilanSocial[[#This Row],[NumL]],T_TraitDi[#Data],COLUMN(T_TraitDi[[#This Row],[Vendredi]]),FALSE),"")</f>
        <v/>
      </c>
      <c r="BJ284" s="172" t="e">
        <f>IF(VLOOKUP(T_BilanSocial[[#This Row],[NumL]],T_TraitDi[#Data],COLUMN(T_TraitDi[[#This Row],[Colonne27]]),FALSE)=0,"",TEXT(IFERROR(VLOOKUP(T_BilanSocial[[#This Row],[NumL]],T_TraitDi[#Data],COLUMN(T_TraitDi[[#This Row],[Colonne27]]),FALSE),""),"[hh]:mm"))</f>
        <v>#VALUE!</v>
      </c>
      <c r="BK284" s="172" t="e">
        <f>IF(VLOOKUP(T_BilanSocial[[#This Row],[NumL]],T_TraitDi[#Data],COLUMN(T_TraitDi[[#This Row],[Colonne28]]),FALSE)=0,"",TEXT(IFERROR(VLOOKUP(T_BilanSocial[[#This Row],[NumL]],T_TraitDi[#Data],COLUMN(T_TraitDi[[#This Row],[Colonne28]]),FALSE),""),"[hh]:mm"))</f>
        <v>#VALUE!</v>
      </c>
      <c r="BL284" s="172" t="str">
        <f>IFERROR(VLOOKUP(T_BilanSocial[[#This Row],[NumL]],T_TraitDi[#Data],COLUMN(T_TraitDi[[#This Row],[Colonne29]]),FALSE),"")</f>
        <v/>
      </c>
      <c r="BM284" s="172" t="e">
        <f>IF(VLOOKUP(T_BilanSocial[[#This Row],[NumL]],T_TraitDi[#Data],COLUMN(T_TraitDi[[#This Row],[Colonne30]]),FALSE)=0,"",TEXT(IFERROR(VLOOKUP(T_BilanSocial[[#This Row],[NumL]],T_TraitDi[#Data],COLUMN(T_TraitDi[[#This Row],[Colonne30]]),FALSE),""),"[hh]:mm"))</f>
        <v>#VALUE!</v>
      </c>
      <c r="BN284" s="172" t="e">
        <f>IF(VLOOKUP(T_BilanSocial[[#This Row],[NumL]],T_TraitDi[#Data],COLUMN(T_TraitDi[[#This Row],[Colonne31]]),FALSE)=0,"",TEXT(IFERROR(VLOOKUP(T_BilanSocial[[#This Row],[NumL]],T_TraitDi[#Data],COLUMN(T_TraitDi[[#This Row],[Colonne31]]),FALSE),""),"[hh]:mm"))</f>
        <v>#VALUE!</v>
      </c>
      <c r="BO284" s="172" t="e">
        <f>IF(VLOOKUP(T_BilanSocial[[#This Row],[NumL]],T_TraitDi[#Data],COLUMN(T_TraitDi[[#This Row],[Colonne32]]),FALSE)=0,"",TEXT(IFERROR(VLOOKUP(T_BilanSocial[[#This Row],[NumL]],T_TraitDi[#Data],COLUMN(T_TraitDi[[#This Row],[Colonne32]]),FALSE),""),"[hh]:mm"))</f>
        <v>#VALUE!</v>
      </c>
      <c r="BP284" s="172" t="e">
        <f>VLOOKUP(T_BilanSocial[[#This Row],[NumL]],T_TraitDi[#Data],COLUMN(T_TraitDi[NbJTot]),FALSE)</f>
        <v>#N/A</v>
      </c>
      <c r="BQ284" s="174" t="str">
        <f>IFERROR(VLOOKUP(T_BilanSocial[[#This Row],[NumL]],T_TraitDi[#Data],COLUMN(T_TraitDi[[#This Row],[NbJTW]]),FALSE),"")</f>
        <v/>
      </c>
      <c r="BR284" s="174" t="e">
        <f>IF(VLOOKUP(T_BilanSocial[[#This Row],[NumL]],T_TraitDi[#Data],COLUMN(T_TraitDi[[#This Row],[NbhTW]]),FALSE)=0,"",TEXT(IFERROR(VLOOKUP(T_BilanSocial[[#This Row],[NumL]],T_TraitDi[#Data],COLUMN(T_TraitDi[[#This Row],[NbhTW]]),FALSE),""),"[hh]:mm"))</f>
        <v>#VALUE!</v>
      </c>
      <c r="BS284" s="174" t="e">
        <f>IF(VLOOKUP(T_BilanSocial[[#This Row],[NumL]],T_TraitDi[#Data],COLUMN(T_TraitDi[[#This Row],[Nbhheb]]),FALSE)=0,"",TEXT(IFERROR(VLOOKUP($A284,T_TraitDi[#Data],COLUMN(T_TraitDi[[#This Row],[Nbhheb]]),FALSE),""),"[hh]:mm"))</f>
        <v>#VALUE!</v>
      </c>
      <c r="BT284" s="182" t="str">
        <f>IFERROR(VLOOKUP(VLOOKUP($A284,T_TraitDi[#Data],COLUMN(T_TraitDi[[#This Row],[Type1]]),FALSE),TypeTW,2,FALSE),"")</f>
        <v/>
      </c>
      <c r="BU284" s="182" t="str">
        <f>IFERROR(VLOOKUP($A284,T_TraitDi[#Data],COLUMN(T_TraitDi[[#This Row],[Rue1]]),FALSE),"")</f>
        <v/>
      </c>
      <c r="BV284" s="173" t="str">
        <f>IFERROR(VLOOKUP($A284,T_TraitDi[#Data],COLUMN(T_TraitDi[[#This Row],[CP1]]),FALSE),"")</f>
        <v/>
      </c>
      <c r="BW284" s="173" t="str">
        <f>IFERROR(VLOOKUP($A284,T_TraitDi[#Data],COLUMN(T_TraitDi[[#This Row],[VILLE1]]),FALSE),"")</f>
        <v/>
      </c>
      <c r="BX284" s="182" t="str">
        <f>IFERROR(VLOOKUP(VLOOKUP($A284,T_TraitDi[#Data],COLUMN(T_TraitDi[[#This Row],[Type2]]),FALSE),TypeTW,2,FALSE),"")</f>
        <v/>
      </c>
      <c r="BY284" s="182" t="str">
        <f>IFERROR(VLOOKUP($A284,T_TraitDi[#Data],COLUMN(T_TraitDi[[#This Row],[Rue2]]),FALSE),"")</f>
        <v/>
      </c>
      <c r="BZ284" s="173" t="str">
        <f>IFERROR(VLOOKUP($A284,T_TraitDi[#Data],COLUMN(T_TraitDi[[#This Row],[CP2]]),FALSE),"")</f>
        <v/>
      </c>
      <c r="CA284" s="173" t="str">
        <f>IFERROR(VLOOKUP($A284,T_TraitDi[#Data],COLUMN(T_TraitDi[[#This Row],[VILLE2]]),FALSE),"")</f>
        <v/>
      </c>
      <c r="CB284" s="182" t="str">
        <f>IF(VLOOKUP(T_BilanSocial[[#This Row],[NumL]],T_Equipement[#Data],COLUMN(T_Equipement[[#This Row],[PC]]),FALSE)="","Aucun équipement spécifique directement lié au télétravail",VLOOKUP(T_BilanSocial[[#This Row],[NumL]],T_Equipement[#Data],COLUMN(T_Equipement[[#This Row],[PC]]),FALSE))</f>
        <v>18-072	 mac</v>
      </c>
      <c r="CC284" s="166" t="str">
        <f>IFERROR(IF(VLOOKUP(T_BilanSocial[[#This Row],[NumL]],T_TraitDi[#Data],COLUMN(T_TraitDi[[#This Row],[Plan]]),FALSE)="OK","Un planning spécifique de télétravail est annexé à la présente convention.",""),"")</f>
        <v/>
      </c>
      <c r="CD284" s="185"/>
      <c r="CE284" s="164" t="e">
        <f>IF(VLOOKUP(T_BilanSocial[[#This Row],[NumL]],T_suiviDi[#Data],COLUMN(T_suiviDi[[#This Row],[Entité]]),FALSE)="","",VLOOKUP(T_BilanSocial[[#This Row],[NumL]],T_suiviDi[#Data],COLUMN(T_suiviDi[[#This Row],[Entité]]),FALSE))</f>
        <v>#VALUE!</v>
      </c>
      <c r="CF284" s="164" t="str">
        <f>IF(VLOOKUP(T_BilanSocial[[#This Row],[NumL]],T_Commission[#Data],COLUMN(T_Commission[[#This Row],[envoi confirm TW]]),FALSE)="","",VLOOKUP(T_BilanSocial[[#This Row],[NumL]],T_Commission[#Data],COLUMN(T_Commission[[#This Row],[envoi confirm TW]]),FALSE))</f>
        <v>Oui</v>
      </c>
      <c r="CG284" s="265"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4" s="262" t="str">
        <f>T_BilanSocial[[#This Row],[Nom]]&amp;T_BilanSocial[[#This Row],[Prenom]]</f>
        <v/>
      </c>
      <c r="CI284" s="262">
        <f>VLOOKUP(T_BilanSocial[[#This Row],[NumL]],T_Commission[#Data],COLUMN(T_Commission[Commentaire]),FALSE)</f>
        <v>0</v>
      </c>
      <c r="CJ284" s="262" t="str">
        <f>IF(VLOOKUP(T_BilanSocial[[#This Row],[NumL]],T_Commission[#Data],COLUMN(T_Commission[Encadrant Email]),FALSE)="","",VLOOKUP(T_BilanSocial[[#This Row],[NumL]],T_Commission[#Data],COLUMN(T_Commission[Encadrant Email]),FALSE))</f>
        <v/>
      </c>
      <c r="CK284" s="340" t="str">
        <f>IF(T_BilanSocial[[#This Row],[Final]]&lt;&gt;"",VLOOKUP(T_BilanSocial[[#This Row],[NumL]],T_suiviDi[#Data],COLUMN((T_suiviDi[Statut])),FALSE),"")</f>
        <v/>
      </c>
    </row>
    <row r="285" spans="1:89" s="106" customFormat="1" ht="24.75" customHeight="1" x14ac:dyDescent="0.25">
      <c r="A285" s="160">
        <v>282</v>
      </c>
      <c r="B285" s="161" t="e">
        <f t="shared" si="45"/>
        <v>#N/A</v>
      </c>
      <c r="C285" s="162" t="s">
        <v>3287</v>
      </c>
      <c r="D285" s="95" t="e">
        <f>IF(VLOOKUP(T_BilanSocial[[#This Row],[NumL]],T_TraitDi[#Data],COLUMN(T_TraitDi[[#This Row],[WebC]]),FALSE)="","",VLOOKUP(T_BilanSocial[[#This Row],[NumL]],T_TraitDi[#Data],COLUMN(T_TraitDi[[#This Row],[WebC]]),FALSE))</f>
        <v>#VALUE!</v>
      </c>
      <c r="E285" s="163" t="str">
        <f t="shared" si="46"/>
        <v>12 janvier 2021</v>
      </c>
      <c r="F285" s="96" t="e">
        <f>IF(T_BilanSocial[[#This Row],[Final]]&lt;&gt;"",VLOOKUP(T_BilanSocial[[#This Row],[NumL]],T_suiviDi[#Data],COLUMN((T_suiviDi[Civ.])),FALSE),"")</f>
        <v>#N/A</v>
      </c>
      <c r="G285" s="96" t="e">
        <f>IF(T_BilanSocial[[#This Row],[Final]]&lt;&gt;"",VLOOKUP(T_BilanSocial[[#This Row],[NumL]],T_suiviDi[#Data],COLUMN((T_suiviDi[Nom])),FALSE),"")</f>
        <v>#N/A</v>
      </c>
      <c r="H285" s="96" t="e">
        <f>IF(T_BilanSocial[[#This Row],[Final]]&lt;&gt;"",VLOOKUP(T_BilanSocial[[#This Row],[NumL]],T_suiviDi[#Data],COLUMN((T_suiviDi[Prénom])),FALSE),"")</f>
        <v>#N/A</v>
      </c>
      <c r="I285" s="96" t="str">
        <f>IFERROR(VLOOKUP(T_BilanSocial[[#This Row],[Zone_Bilan]],T_P_BilanSocial[#Data],COLUMN(T_P_BilanSocial[[#This Row],[Numero_SIHAM]]),FALSE),"")</f>
        <v/>
      </c>
      <c r="J285" s="96" t="str">
        <f>IFERROR(VLOOKUP(T_BilanSocial[[#This Row],[Zone_Bilan]],T_P_BilanSocial[#Data],COLUMN(T_P_BilanSocial[[#This Row],[Sexe]]),FALSE),"")</f>
        <v/>
      </c>
      <c r="K285" s="97" t="str">
        <f>IFERROR(VLOOKUP(T_BilanSocial[[#This Row],[Zone_Bilan]],T_P_BilanSocial[#Data],COLUMN(T_P_BilanSocial[[#This Row],[Categorie]]),FALSE),"")</f>
        <v/>
      </c>
      <c r="L285" s="96" t="str">
        <f>IFERROR(VLOOKUP(T_BilanSocial[[#This Row],[Zone_Bilan]],T_P_BilanSocial[#Data],COLUMN(T_P_BilanSocial[[#This Row],[Statut]]),FALSE),"")</f>
        <v/>
      </c>
      <c r="M285" s="96" t="str">
        <f>IFERROR(VLOOKUP(T_BilanSocial[[#This Row],[Zone_Bilan]],T_P_BilanSocial[#Data],COLUMN(T_P_BilanSocial[[#This Row],[Filiere]]),FALSE),"")</f>
        <v/>
      </c>
      <c r="N285" s="96" t="e">
        <f>VLOOKUP(T_BilanSocial[[#This Row],[NumL]],T_TraitDi[#Data],COLUMN(T_TraitDi[EXP]),FALSE)</f>
        <v>#N/A</v>
      </c>
      <c r="O285" s="96" t="e">
        <f>VLOOKUP(T_BilanSocial[[#This Row],[NumL]],T_TraitDi[#Data],COLUMN(T_TraitDi[FORM]),FALSE)</f>
        <v>#N/A</v>
      </c>
      <c r="P285" s="96" t="e">
        <f>IF(T_BilanSocial[[#This Row],[Final]]&lt;&gt;"",VLOOKUP(T_BilanSocial[[#This Row],[NumL]],T_suiviDi[#Data],COLUMN((T_suiviDi[Email])),FALSE),"")</f>
        <v>#N/A</v>
      </c>
      <c r="Q285" s="164" t="e">
        <f t="shared" si="52"/>
        <v>#N/A</v>
      </c>
      <c r="R285" s="164" t="e">
        <f t="shared" si="53"/>
        <v>#N/A</v>
      </c>
      <c r="S285" s="164" t="e">
        <f>IF(VLOOKUP(T_BilanSocial[[#This Row],[NumL]],T_suiviDi[#Data],COLUMN(T_suiviDi[[#This Row],[Service ]]),FALSE)="","",VLOOKUP(T_BilanSocial[[#This Row],[NumL]],T_suiviDi[#Data],COLUMN(T_suiviDi[[#This Row],[Service ]]),FALSE))</f>
        <v>#VALUE!</v>
      </c>
      <c r="T285" s="164" t="str">
        <f t="shared" si="47"/>
        <v>01 septembre 2021</v>
      </c>
      <c r="U285" s="164" t="str">
        <f t="shared" si="48"/>
        <v>30 novembre 2021</v>
      </c>
      <c r="V285" s="96" t="str">
        <f t="shared" si="54"/>
        <v>30 novembre 2021</v>
      </c>
      <c r="W285" s="176" t="e">
        <f>IF(VLOOKUP(T_BilanSocial[[#This Row],[NumL]],T_TraitDi[#Data],COLUMN(T_TraitDi[[#This Row],[M1]]),FALSE)="","",VLOOKUP(T_BilanSocial[[#This Row],[NumL]],T_TraitDi[#Data],COLUMN(T_TraitDi[[#This Row],[M1]]),FALSE))</f>
        <v>#VALUE!</v>
      </c>
      <c r="X285" s="176" t="e">
        <f>IF(VLOOKUP(T_BilanSocial[[#This Row],[NumL]],T_TraitDi[#Data],COLUMN(T_TraitDi[[#This Row],[M2]]),FALSE)="","",VLOOKUP(T_BilanSocial[[#This Row],[NumL]],T_TraitDi[#Data],COLUMN(T_TraitDi[[#This Row],[M2]]),FALSE))</f>
        <v>#VALUE!</v>
      </c>
      <c r="Y285" s="176" t="e">
        <f>IF(VLOOKUP(T_BilanSocial[[#This Row],[NumL]],T_TraitDi[#Data],COLUMN(T_TraitDi[[#This Row],[M3]]),FALSE)="","",VLOOKUP(T_BilanSocial[[#This Row],[NumL]],T_TraitDi[#Data],COLUMN(T_TraitDi[[#This Row],[M3]]),FALSE))</f>
        <v>#VALUE!</v>
      </c>
      <c r="Z285" s="176" t="str">
        <f t="shared" si="50"/>
        <v/>
      </c>
      <c r="AA285" s="176" t="e">
        <f>IF(VLOOKUP(T_BilanSocial[[#This Row],[NumL]],T_TraitDi[#Data],COLUMN(T_TraitDi[[#This Row],[M5]]),FALSE)="","",VLOOKUP(T_BilanSocial[[#This Row],[NumL]],T_TraitDi[#Data],COLUMN(T_TraitDi[[#This Row],[M5]]),FALSE))</f>
        <v>#VALUE!</v>
      </c>
      <c r="AB285" s="176" t="e">
        <f>IF(VLOOKUP(T_BilanSocial[[#This Row],[NumL]],T_TraitDi[#Data],COLUMN(T_TraitDi[[#This Row],[M6]]),FALSE)="","",VLOOKUP(T_BilanSocial[[#This Row],[NumL]],T_TraitDi[#Data],COLUMN(T_TraitDi[[#This Row],[M6]]),FALSE))</f>
        <v>#VALUE!</v>
      </c>
      <c r="AC285" s="165" t="e">
        <f t="shared" si="49"/>
        <v>#VALUE!</v>
      </c>
      <c r="AD285" s="188" t="str">
        <f>IFERROR(TEXT(VLOOKUP(T_BilanSocial[[#This Row],[NumL]],T_TraitDi[#Data],COLUMN(T_TraitDi[[#This Row],[Q2]]),FALSE),"###%"),"")</f>
        <v/>
      </c>
      <c r="AE285" s="97" t="e">
        <f>VLOOKUP(T_BilanSocial[[#This Row],[NumL]],T_TraitDi[#Data],COLUMN(T_TraitDi[[#This Row],[Reg Ponct]]),FALSE)</f>
        <v>#VALUE!</v>
      </c>
      <c r="AF285" s="97" t="e">
        <f>VLOOKUP(T_BilanSocial[NumL],T_TraitDi[#Data],COLUMN(T_TraitDi[[#This Row],[Jours flottants]]),FALSE)</f>
        <v>#VALUE!</v>
      </c>
      <c r="AG285" s="97" t="str">
        <f>IFERROR(VLOOKUP(T_BilanSocial[[#This Row],[NumL]],T_TraitDi[#Data],COLUMN(T_TraitDi[[#This Row],[Lundi]]),FALSE),"")</f>
        <v/>
      </c>
      <c r="AH285" s="172" t="e">
        <f>IF(VLOOKUP(T_BilanSocial[[#This Row],[NumL]],T_TraitDi[#Data],COLUMN(T_TraitDi[[#This Row],[Colonne3]]),FALSE)=0,"",TEXT(IFERROR(VLOOKUP(T_BilanSocial[[#This Row],[NumL]],T_TraitDi[#Data],COLUMN(T_TraitDi[[#This Row],[Colonne3]]),FALSE),""),"[hh]:mm"))</f>
        <v>#VALUE!</v>
      </c>
      <c r="AI285" s="172" t="e">
        <f>IF(VLOOKUP(T_BilanSocial[[#This Row],[NumL]],T_TraitDi[#Data],COLUMN(T_TraitDi[[#This Row],[Colonne4]]),FALSE)=0,"",TEXT(IFERROR(VLOOKUP(T_BilanSocial[[#This Row],[NumL]],T_TraitDi[#Data],COLUMN(T_TraitDi[[#This Row],[Colonne4]]),FALSE),""),"[hh]:mm"))</f>
        <v>#VALUE!</v>
      </c>
      <c r="AJ285" s="172" t="e">
        <f>IF(VLOOKUP(T_BilanSocial[[#This Row],[NumL]],T_TraitDi[#Data],COLUMN(T_TraitDi[[#This Row],[Colonne5]]),FALSE)=0,"",TEXT(IFERROR(VLOOKUP(T_BilanSocial[[#This Row],[NumL]],T_TraitDi[#Data],COLUMN(T_TraitDi[[#This Row],[Colonne5]]),FALSE),""),"[hh]:mm"))</f>
        <v>#VALUE!</v>
      </c>
      <c r="AK285" s="172" t="e">
        <f>IF(VLOOKUP(T_BilanSocial[[#This Row],[NumL]],T_TraitDi[#Data],COLUMN(T_TraitDi[[#This Row],[Colonne6]]),FALSE)=0,"",TEXT(IFERROR(VLOOKUP(T_BilanSocial[[#This Row],[NumL]],T_TraitDi[#Data],COLUMN(T_TraitDi[[#This Row],[Colonne6]]),FALSE),""),"[hh]:mm"))</f>
        <v>#VALUE!</v>
      </c>
      <c r="AL285" s="172" t="e">
        <f>IF(VLOOKUP(T_BilanSocial[[#This Row],[NumL]],T_TraitDi[#Data],COLUMN(T_TraitDi[[#This Row],[Colonne7]]),FALSE)=0,"",TEXT(IFERROR(VLOOKUP(T_BilanSocial[[#This Row],[NumL]],T_TraitDi[#Data],COLUMN(T_TraitDi[[#This Row],[Colonne7]]),FALSE),""),"[hh]:mm"))</f>
        <v>#VALUE!</v>
      </c>
      <c r="AM285" s="172" t="e">
        <f>IF(VLOOKUP(T_BilanSocial[[#This Row],[NumL]],T_TraitDi[#Data],COLUMN(T_TraitDi[[#This Row],[Colonne8]]),FALSE)=0,"",TEXT(IFERROR(VLOOKUP(T_BilanSocial[[#This Row],[NumL]],T_TraitDi[#Data],COLUMN(T_TraitDi[[#This Row],[Colonne8]]),FALSE),""),"[hh]:mm"))</f>
        <v>#VALUE!</v>
      </c>
      <c r="AN285" s="172" t="str">
        <f>IFERROR(VLOOKUP(T_BilanSocial[[#This Row],[NumL]],T_TraitDi[#Data],COLUMN(T_TraitDi[[#This Row],[Mardi]]),FALSE),"")</f>
        <v/>
      </c>
      <c r="AO285" s="172" t="e">
        <f>IF(VLOOKUP(T_BilanSocial[[#This Row],[NumL]],T_TraitDi[#Data],COLUMN(T_TraitDi[[#This Row],[Colonne1]]),FALSE)=0,"",TEXT(IFERROR(VLOOKUP(T_BilanSocial[[#This Row],[NumL]],T_TraitDi[#Data],COLUMN(T_TraitDi[[#This Row],[Colonne1]]),FALSE),""),"[hh]:mm"))</f>
        <v>#VALUE!</v>
      </c>
      <c r="AP285" s="172" t="e">
        <f>IF(VLOOKUP(T_BilanSocial[[#This Row],[NumL]],T_TraitDi[#Data],COLUMN(T_TraitDi[[#This Row],[Colonne9]]),FALSE)=0,"",TEXT(IFERROR(VLOOKUP(T_BilanSocial[[#This Row],[NumL]],T_TraitDi[#Data],COLUMN(T_TraitDi[[#This Row],[Colonne9]]),FALSE),""),"[hh]:mm"))</f>
        <v>#VALUE!</v>
      </c>
      <c r="AQ285" s="172" t="str">
        <f>IFERROR(VLOOKUP(T_BilanSocial[[#This Row],[NumL]],T_TraitDi[#Data],COLUMN(T_TraitDi[[#This Row],[Colonne10]]),FALSE),"")</f>
        <v/>
      </c>
      <c r="AR285" s="172" t="e">
        <f>IF(VLOOKUP(T_BilanSocial[[#This Row],[NumL]],T_TraitDi[#Data],COLUMN(T_TraitDi[[#This Row],[Colonne11]]),FALSE)=0,"",TEXT(IFERROR(VLOOKUP(T_BilanSocial[[#This Row],[NumL]],T_TraitDi[#Data],COLUMN(T_TraitDi[[#This Row],[Colonne11]]),FALSE),""),"[hh]:mm"))</f>
        <v>#VALUE!</v>
      </c>
      <c r="AS285" s="172" t="e">
        <f>IF(VLOOKUP(T_BilanSocial[[#This Row],[NumL]],T_TraitDi[#Data],COLUMN(T_TraitDi[[#This Row],[Colonne12]]),FALSE)=0,"",TEXT(IFERROR(VLOOKUP(T_BilanSocial[[#This Row],[NumL]],T_TraitDi[#Data],COLUMN(T_TraitDi[[#This Row],[Colonne12]]),FALSE),""),"[hh]:mm"))</f>
        <v>#VALUE!</v>
      </c>
      <c r="AT285" s="172" t="e">
        <f>IF(VLOOKUP(T_BilanSocial[[#This Row],[NumL]],T_TraitDi[#Data],COLUMN(T_TraitDi[[#This Row],[Colonne14]]),FALSE)=0,"",TEXT(IFERROR(VLOOKUP(T_BilanSocial[[#This Row],[NumL]],T_TraitDi[#Data],COLUMN(T_TraitDi[[#This Row],[Colonne14]]),FALSE),""),"[hh]:mm"))</f>
        <v>#VALUE!</v>
      </c>
      <c r="AU285" s="172" t="str">
        <f>IFERROR(VLOOKUP(T_BilanSocial[[#This Row],[NumL]],T_TraitDi[#Data],COLUMN(T_TraitDi[[#This Row],[Mercredi]]),FALSE),"")</f>
        <v/>
      </c>
      <c r="AV285" s="172" t="e">
        <f>IF(VLOOKUP(T_BilanSocial[[#This Row],[NumL]],T_TraitDi[#Data],COLUMN(T_TraitDi[[#This Row],[Colonne15]]),FALSE)=0,"",TEXT(IFERROR(VLOOKUP(T_BilanSocial[[#This Row],[NumL]],T_TraitDi[#Data],COLUMN(T_TraitDi[[#This Row],[Colonne15]]),FALSE),""),"[hh]:mm"))</f>
        <v>#VALUE!</v>
      </c>
      <c r="AW285" s="172" t="e">
        <f>IF(VLOOKUP(T_BilanSocial[[#This Row],[NumL]],T_TraitDi[#Data],COLUMN(T_TraitDi[[#This Row],[Colonne16]]),FALSE)=0,"",TEXT(IFERROR(VLOOKUP(T_BilanSocial[[#This Row],[NumL]],T_TraitDi[#Data],COLUMN(T_TraitDi[[#This Row],[Colonne16]]),FALSE),""),"[hh]:mm"))</f>
        <v>#VALUE!</v>
      </c>
      <c r="AX285" s="172" t="str">
        <f>IFERROR(VLOOKUP(T_BilanSocial[[#This Row],[NumL]],T_TraitDi[#Data],COLUMN(T_TraitDi[[#This Row],[Colonne17]]),FALSE),"")</f>
        <v/>
      </c>
      <c r="AY285" s="172" t="e">
        <f>IF(VLOOKUP(T_BilanSocial[[#This Row],[NumL]],T_TraitDi[#Data],COLUMN(T_TraitDi[[#This Row],[Colonne18]]),FALSE)=0,"",TEXT(IFERROR(VLOOKUP(T_BilanSocial[[#This Row],[NumL]],T_TraitDi[#Data],COLUMN(T_TraitDi[[#This Row],[Colonne18]]),FALSE),""),"[hh]:mm"))</f>
        <v>#VALUE!</v>
      </c>
      <c r="AZ285" s="172" t="e">
        <f>IF(VLOOKUP(T_BilanSocial[[#This Row],[NumL]],T_TraitDi[#Data],COLUMN(T_TraitDi[[#This Row],[Colonne19]]),FALSE)=0,"",TEXT(IFERROR(VLOOKUP(T_BilanSocial[[#This Row],[NumL]],T_TraitDi[#Data],COLUMN(T_TraitDi[[#This Row],[Colonne19]]),FALSE),""),"[hh]:mm"))</f>
        <v>#VALUE!</v>
      </c>
      <c r="BA285" s="172" t="e">
        <f>IF(VLOOKUP(T_BilanSocial[[#This Row],[NumL]],T_TraitDi[#Data],COLUMN(T_TraitDi[[#This Row],[Colonne20]]),FALSE)=0,"",TEXT(IFERROR(VLOOKUP(T_BilanSocial[[#This Row],[NumL]],T_TraitDi[#Data],COLUMN(T_TraitDi[[#This Row],[Colonne20]]),FALSE),""),"[hh]:mm"))</f>
        <v>#VALUE!</v>
      </c>
      <c r="BB285" s="178" t="str">
        <f>IFERROR(VLOOKUP(T_BilanSocial[[#This Row],[NumL]],T_TraitDi[#Data],COLUMN(T_TraitDi[[#This Row],[Jeudi]]),FALSE),"")</f>
        <v/>
      </c>
      <c r="BC285" s="178" t="e">
        <f>IF(VLOOKUP(T_BilanSocial[[#This Row],[NumL]],T_TraitDi[#Data],COLUMN(T_TraitDi[[#This Row],[Colonne21]]),FALSE)=0,"",TEXT(IFERROR(VLOOKUP(T_BilanSocial[[#This Row],[NumL]],T_TraitDi[#Data],COLUMN(T_TraitDi[[#This Row],[Colonne21]]),FALSE),""),"[hh]:mm"))</f>
        <v>#VALUE!</v>
      </c>
      <c r="BD285" s="178" t="e">
        <f>IF(VLOOKUP(T_BilanSocial[[#This Row],[NumL]],T_TraitDi[#Data],COLUMN(T_TraitDi[[#This Row],[Colonne22]]),FALSE)=0,"",TEXT(IFERROR(VLOOKUP(T_BilanSocial[[#This Row],[NumL]],T_TraitDi[#Data],COLUMN(T_TraitDi[[#This Row],[Colonne22]]),FALSE),""),"[hh]:mm"))</f>
        <v>#VALUE!</v>
      </c>
      <c r="BE285" s="178" t="str">
        <f>IFERROR(VLOOKUP(T_BilanSocial[[#This Row],[NumL]],T_TraitDi[#Data],COLUMN(T_TraitDi[[#This Row],[Colonne23]]),FALSE),"")</f>
        <v/>
      </c>
      <c r="BF285" s="178" t="e">
        <f>IF(VLOOKUP(T_BilanSocial[[#This Row],[NumL]],T_TraitDi[#Data],COLUMN(T_TraitDi[[#This Row],[Colonne24]]),FALSE)=0,"",TEXT(IFERROR(VLOOKUP(T_BilanSocial[[#This Row],[NumL]],T_TraitDi[#Data],COLUMN(T_TraitDi[[#This Row],[Colonne24]]),FALSE),""),"[hh]:mm"))</f>
        <v>#VALUE!</v>
      </c>
      <c r="BG285" s="178" t="e">
        <f>IF(VLOOKUP(T_BilanSocial[[#This Row],[NumL]],T_TraitDi[#Data],COLUMN(T_TraitDi[[#This Row],[Colonne25]]),FALSE)=0,"",TEXT(IFERROR(VLOOKUP(T_BilanSocial[[#This Row],[NumL]],T_TraitDi[#Data],COLUMN(T_TraitDi[[#This Row],[Colonne25]]),FALSE),""),"[hh]:mm"))</f>
        <v>#VALUE!</v>
      </c>
      <c r="BH285" s="178" t="e">
        <f>IF(VLOOKUP(T_BilanSocial[[#This Row],[NumL]],T_TraitDi[#Data],COLUMN(T_TraitDi[[#This Row],[Colonne26]]),FALSE)=0,"",TEXT(IFERROR(VLOOKUP(T_BilanSocial[[#This Row],[NumL]],T_TraitDi[#Data],COLUMN(T_TraitDi[[#This Row],[Colonne26]]),FALSE),""),"[hh]:mm"))</f>
        <v>#VALUE!</v>
      </c>
      <c r="BI285" s="172" t="str">
        <f>IFERROR(VLOOKUP(T_BilanSocial[[#This Row],[NumL]],T_TraitDi[#Data],COLUMN(T_TraitDi[[#This Row],[Vendredi]]),FALSE),"")</f>
        <v/>
      </c>
      <c r="BJ285" s="172" t="e">
        <f>IF(VLOOKUP(T_BilanSocial[[#This Row],[NumL]],T_TraitDi[#Data],COLUMN(T_TraitDi[[#This Row],[Colonne27]]),FALSE)=0,"",TEXT(IFERROR(VLOOKUP(T_BilanSocial[[#This Row],[NumL]],T_TraitDi[#Data],COLUMN(T_TraitDi[[#This Row],[Colonne27]]),FALSE),""),"[hh]:mm"))</f>
        <v>#VALUE!</v>
      </c>
      <c r="BK285" s="172" t="e">
        <f>IF(VLOOKUP(T_BilanSocial[[#This Row],[NumL]],T_TraitDi[#Data],COLUMN(T_TraitDi[[#This Row],[Colonne28]]),FALSE)=0,"",TEXT(IFERROR(VLOOKUP(T_BilanSocial[[#This Row],[NumL]],T_TraitDi[#Data],COLUMN(T_TraitDi[[#This Row],[Colonne28]]),FALSE),""),"[hh]:mm"))</f>
        <v>#VALUE!</v>
      </c>
      <c r="BL285" s="172" t="str">
        <f>IFERROR(VLOOKUP(T_BilanSocial[[#This Row],[NumL]],T_TraitDi[#Data],COLUMN(T_TraitDi[[#This Row],[Colonne29]]),FALSE),"")</f>
        <v/>
      </c>
      <c r="BM285" s="172" t="e">
        <f>IF(VLOOKUP(T_BilanSocial[[#This Row],[NumL]],T_TraitDi[#Data],COLUMN(T_TraitDi[[#This Row],[Colonne30]]),FALSE)=0,"",TEXT(IFERROR(VLOOKUP(T_BilanSocial[[#This Row],[NumL]],T_TraitDi[#Data],COLUMN(T_TraitDi[[#This Row],[Colonne30]]),FALSE),""),"[hh]:mm"))</f>
        <v>#VALUE!</v>
      </c>
      <c r="BN285" s="172" t="e">
        <f>IF(VLOOKUP(T_BilanSocial[[#This Row],[NumL]],T_TraitDi[#Data],COLUMN(T_TraitDi[[#This Row],[Colonne31]]),FALSE)=0,"",TEXT(IFERROR(VLOOKUP(T_BilanSocial[[#This Row],[NumL]],T_TraitDi[#Data],COLUMN(T_TraitDi[[#This Row],[Colonne31]]),FALSE),""),"[hh]:mm"))</f>
        <v>#VALUE!</v>
      </c>
      <c r="BO285" s="172" t="e">
        <f>IF(VLOOKUP(T_BilanSocial[[#This Row],[NumL]],T_TraitDi[#Data],COLUMN(T_TraitDi[[#This Row],[Colonne32]]),FALSE)=0,"",TEXT(IFERROR(VLOOKUP(T_BilanSocial[[#This Row],[NumL]],T_TraitDi[#Data],COLUMN(T_TraitDi[[#This Row],[Colonne32]]),FALSE),""),"[hh]:mm"))</f>
        <v>#VALUE!</v>
      </c>
      <c r="BP285" s="172" t="e">
        <f>VLOOKUP(T_BilanSocial[[#This Row],[NumL]],T_TraitDi[#Data],COLUMN(T_TraitDi[NbJTot]),FALSE)</f>
        <v>#N/A</v>
      </c>
      <c r="BQ285" s="174" t="str">
        <f>IFERROR(VLOOKUP(T_BilanSocial[[#This Row],[NumL]],T_TraitDi[#Data],COLUMN(T_TraitDi[[#This Row],[NbJTW]]),FALSE),"")</f>
        <v/>
      </c>
      <c r="BR285" s="174" t="e">
        <f>IF(VLOOKUP(T_BilanSocial[[#This Row],[NumL]],T_TraitDi[#Data],COLUMN(T_TraitDi[[#This Row],[NbhTW]]),FALSE)=0,"",TEXT(IFERROR(VLOOKUP(T_BilanSocial[[#This Row],[NumL]],T_TraitDi[#Data],COLUMN(T_TraitDi[[#This Row],[NbhTW]]),FALSE),""),"[hh]:mm"))</f>
        <v>#VALUE!</v>
      </c>
      <c r="BS285" s="174" t="e">
        <f>IF(VLOOKUP(T_BilanSocial[[#This Row],[NumL]],T_TraitDi[#Data],COLUMN(T_TraitDi[[#This Row],[Nbhheb]]),FALSE)=0,"",TEXT(IFERROR(VLOOKUP($A285,T_TraitDi[#Data],COLUMN(T_TraitDi[[#This Row],[Nbhheb]]),FALSE),""),"[hh]:mm"))</f>
        <v>#VALUE!</v>
      </c>
      <c r="BT285" s="182" t="str">
        <f>IFERROR(VLOOKUP(VLOOKUP($A285,T_TraitDi[#Data],COLUMN(T_TraitDi[[#This Row],[Type1]]),FALSE),TypeTW,2,FALSE),"")</f>
        <v/>
      </c>
      <c r="BU285" s="182" t="str">
        <f>IFERROR(VLOOKUP($A285,T_TraitDi[#Data],COLUMN(T_TraitDi[[#This Row],[Rue1]]),FALSE),"")</f>
        <v/>
      </c>
      <c r="BV285" s="173" t="str">
        <f>IFERROR(VLOOKUP($A285,T_TraitDi[#Data],COLUMN(T_TraitDi[[#This Row],[CP1]]),FALSE),"")</f>
        <v/>
      </c>
      <c r="BW285" s="173" t="str">
        <f>IFERROR(VLOOKUP($A285,T_TraitDi[#Data],COLUMN(T_TraitDi[[#This Row],[VILLE1]]),FALSE),"")</f>
        <v/>
      </c>
      <c r="BX285" s="182" t="str">
        <f>IFERROR(VLOOKUP(VLOOKUP($A285,T_TraitDi[#Data],COLUMN(T_TraitDi[[#This Row],[Type2]]),FALSE),TypeTW,2,FALSE),"")</f>
        <v/>
      </c>
      <c r="BY285" s="182" t="str">
        <f>IFERROR(VLOOKUP($A285,T_TraitDi[#Data],COLUMN(T_TraitDi[[#This Row],[Rue2]]),FALSE),"")</f>
        <v/>
      </c>
      <c r="BZ285" s="173" t="str">
        <f>IFERROR(VLOOKUP($A285,T_TraitDi[#Data],COLUMN(T_TraitDi[[#This Row],[CP2]]),FALSE),"")</f>
        <v/>
      </c>
      <c r="CA285" s="173" t="str">
        <f>IFERROR(VLOOKUP($A285,T_TraitDi[#Data],COLUMN(T_TraitDi[[#This Row],[VILLE2]]),FALSE),"")</f>
        <v/>
      </c>
      <c r="CB285" s="182" t="e">
        <f>IF(VLOOKUP(T_BilanSocial[[#This Row],[NumL]],T_Equipement[#Data],COLUMN(T_Equipement[[#This Row],[PC]]),FALSE)="","Aucun équipement spécifique directement lié au télétravail",VLOOKUP(T_BilanSocial[[#This Row],[NumL]],T_Equipement[#Data],COLUMN(T_Equipement[[#This Row],[PC]]),FALSE))</f>
        <v>#N/A</v>
      </c>
      <c r="CC285" s="166" t="str">
        <f>IFERROR(IF(VLOOKUP(T_BilanSocial[[#This Row],[NumL]],T_TraitDi[#Data],COLUMN(T_TraitDi[[#This Row],[Plan]]),FALSE)="OK","Un planning spécifique de télétravail est annexé à la présente convention.",""),"")</f>
        <v/>
      </c>
      <c r="CD285" s="185"/>
      <c r="CE285" s="164" t="e">
        <f>IF(VLOOKUP(T_BilanSocial[[#This Row],[NumL]],T_suiviDi[#Data],COLUMN(T_suiviDi[[#This Row],[Entité]]),FALSE)="","",VLOOKUP(T_BilanSocial[[#This Row],[NumL]],T_suiviDi[#Data],COLUMN(T_suiviDi[[#This Row],[Entité]]),FALSE))</f>
        <v>#VALUE!</v>
      </c>
      <c r="CF285" s="164" t="e">
        <f>IF(VLOOKUP(T_BilanSocial[[#This Row],[NumL]],T_Commission[#Data],COLUMN(T_Commission[[#This Row],[envoi confirm TW]]),FALSE)="","",VLOOKUP(T_BilanSocial[[#This Row],[NumL]],T_Commission[#Data],COLUMN(T_Commission[[#This Row],[envoi confirm TW]]),FALSE))</f>
        <v>#N/A</v>
      </c>
      <c r="CG285"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5" s="262" t="e">
        <f>T_BilanSocial[[#This Row],[Nom]]&amp;T_BilanSocial[[#This Row],[Prenom]]</f>
        <v>#N/A</v>
      </c>
      <c r="CI285" s="262" t="e">
        <f>VLOOKUP(T_BilanSocial[[#This Row],[NumL]],T_Commission[#Data],COLUMN(T_Commission[Commentaire]),FALSE)</f>
        <v>#N/A</v>
      </c>
      <c r="CJ285" s="262" t="e">
        <f>IF(VLOOKUP(T_BilanSocial[[#This Row],[NumL]],T_Commission[#Data],COLUMN(T_Commission[Encadrant Email]),FALSE)="","",VLOOKUP(T_BilanSocial[[#This Row],[NumL]],T_Commission[#Data],COLUMN(T_Commission[Encadrant Email]),FALSE))</f>
        <v>#N/A</v>
      </c>
      <c r="CK285" s="340" t="e">
        <f>IF(T_BilanSocial[[#This Row],[Final]]&lt;&gt;"",VLOOKUP(T_BilanSocial[[#This Row],[NumL]],T_suiviDi[#Data],COLUMN((T_suiviDi[Statut])),FALSE),"")</f>
        <v>#N/A</v>
      </c>
    </row>
    <row r="286" spans="1:89" s="106" customFormat="1" ht="21" customHeight="1" x14ac:dyDescent="0.25">
      <c r="A286" s="160">
        <v>283</v>
      </c>
      <c r="B286" s="161" t="str">
        <f t="shared" si="45"/>
        <v/>
      </c>
      <c r="C286" s="162" t="s">
        <v>3287</v>
      </c>
      <c r="D286" s="95" t="e">
        <f>IF(VLOOKUP(T_BilanSocial[[#This Row],[NumL]],T_TraitDi[#Data],COLUMN(T_TraitDi[[#This Row],[WebC]]),FALSE)="","",VLOOKUP(T_BilanSocial[[#This Row],[NumL]],T_TraitDi[#Data],COLUMN(T_TraitDi[[#This Row],[WebC]]),FALSE))</f>
        <v>#VALUE!</v>
      </c>
      <c r="E286" s="163" t="str">
        <f t="shared" si="46"/>
        <v>12 janvier 2021</v>
      </c>
      <c r="F286" s="96" t="str">
        <f>IF(T_BilanSocial[[#This Row],[Final]]&lt;&gt;"",VLOOKUP(T_BilanSocial[[#This Row],[NumL]],T_suiviDi[#Data],COLUMN((T_suiviDi[Civ.])),FALSE),"")</f>
        <v/>
      </c>
      <c r="G286" s="96" t="str">
        <f>IF(T_BilanSocial[[#This Row],[Final]]&lt;&gt;"",VLOOKUP(T_BilanSocial[[#This Row],[NumL]],T_suiviDi[#Data],COLUMN((T_suiviDi[Nom])),FALSE),"")</f>
        <v/>
      </c>
      <c r="H286" s="96" t="str">
        <f>IF(T_BilanSocial[[#This Row],[Final]]&lt;&gt;"",VLOOKUP(T_BilanSocial[[#This Row],[NumL]],T_suiviDi[#Data],COLUMN((T_suiviDi[Prénom])),FALSE),"")</f>
        <v/>
      </c>
      <c r="I286" s="96" t="str">
        <f>IFERROR(VLOOKUP(T_BilanSocial[[#This Row],[Zone_Bilan]],T_P_BilanSocial[#Data],COLUMN(T_P_BilanSocial[[#This Row],[Numero_SIHAM]]),FALSE),"")</f>
        <v/>
      </c>
      <c r="J286" s="96" t="str">
        <f>IFERROR(VLOOKUP(T_BilanSocial[[#This Row],[Zone_Bilan]],T_P_BilanSocial[#Data],COLUMN(T_P_BilanSocial[[#This Row],[Sexe]]),FALSE),"")</f>
        <v/>
      </c>
      <c r="K286" s="97" t="str">
        <f>IFERROR(VLOOKUP(T_BilanSocial[[#This Row],[Zone_Bilan]],T_P_BilanSocial[#Data],COLUMN(T_P_BilanSocial[[#This Row],[Categorie]]),FALSE),"")</f>
        <v/>
      </c>
      <c r="L286" s="96" t="str">
        <f>IFERROR(VLOOKUP(T_BilanSocial[[#This Row],[Zone_Bilan]],T_P_BilanSocial[#Data],COLUMN(T_P_BilanSocial[[#This Row],[Statut]]),FALSE),"")</f>
        <v/>
      </c>
      <c r="M286" s="96" t="str">
        <f>IFERROR(VLOOKUP(T_BilanSocial[[#This Row],[Zone_Bilan]],T_P_BilanSocial[#Data],COLUMN(T_P_BilanSocial[[#This Row],[Filiere]]),FALSE),"")</f>
        <v/>
      </c>
      <c r="N286" s="96" t="e">
        <f>VLOOKUP(T_BilanSocial[[#This Row],[NumL]],T_TraitDi[#Data],COLUMN(T_TraitDi[EXP]),FALSE)</f>
        <v>#N/A</v>
      </c>
      <c r="O286" s="96" t="e">
        <f>VLOOKUP(T_BilanSocial[[#This Row],[NumL]],T_TraitDi[#Data],COLUMN(T_TraitDi[FORM]),FALSE)</f>
        <v>#N/A</v>
      </c>
      <c r="P286" s="96" t="str">
        <f>IF(T_BilanSocial[[#This Row],[Final]]&lt;&gt;"",VLOOKUP(T_BilanSocial[[#This Row],[NumL]],T_suiviDi[#Data],COLUMN((T_suiviDi[Email])),FALSE),"")</f>
        <v/>
      </c>
      <c r="Q286" s="164" t="e">
        <f t="shared" si="52"/>
        <v>#N/A</v>
      </c>
      <c r="R286" s="164" t="e">
        <f t="shared" si="53"/>
        <v>#N/A</v>
      </c>
      <c r="S286" s="164" t="e">
        <f>IF(VLOOKUP(T_BilanSocial[[#This Row],[NumL]],T_suiviDi[#Data],COLUMN(T_suiviDi[[#This Row],[Service ]]),FALSE)="","",VLOOKUP(T_BilanSocial[[#This Row],[NumL]],T_suiviDi[#Data],COLUMN(T_suiviDi[[#This Row],[Service ]]),FALSE))</f>
        <v>#VALUE!</v>
      </c>
      <c r="T286" s="164" t="str">
        <f t="shared" si="47"/>
        <v>01 septembre 2021</v>
      </c>
      <c r="U286" s="164" t="str">
        <f t="shared" si="48"/>
        <v>30 novembre 2021</v>
      </c>
      <c r="V286" s="164" t="str">
        <f t="shared" si="54"/>
        <v>30 novembre 2021</v>
      </c>
      <c r="W286" s="176" t="e">
        <f>IF(VLOOKUP(T_BilanSocial[[#This Row],[NumL]],T_TraitDi[#Data],COLUMN(T_TraitDi[[#This Row],[M1]]),FALSE)="","",VLOOKUP(T_BilanSocial[[#This Row],[NumL]],T_TraitDi[#Data],COLUMN(T_TraitDi[[#This Row],[M1]]),FALSE))</f>
        <v>#VALUE!</v>
      </c>
      <c r="X286" s="176" t="e">
        <f>IF(VLOOKUP(T_BilanSocial[[#This Row],[NumL]],T_TraitDi[#Data],COLUMN(T_TraitDi[[#This Row],[M2]]),FALSE)="","",VLOOKUP(T_BilanSocial[[#This Row],[NumL]],T_TraitDi[#Data],COLUMN(T_TraitDi[[#This Row],[M2]]),FALSE))</f>
        <v>#VALUE!</v>
      </c>
      <c r="Y286" s="176" t="e">
        <f>IF(VLOOKUP(T_BilanSocial[[#This Row],[NumL]],T_TraitDi[#Data],COLUMN(T_TraitDi[[#This Row],[M3]]),FALSE)="","",VLOOKUP(T_BilanSocial[[#This Row],[NumL]],T_TraitDi[#Data],COLUMN(T_TraitDi[[#This Row],[M3]]),FALSE))</f>
        <v>#VALUE!</v>
      </c>
      <c r="Z286" s="176" t="str">
        <f t="shared" si="50"/>
        <v/>
      </c>
      <c r="AA286" s="176" t="e">
        <f>IF(VLOOKUP(T_BilanSocial[[#This Row],[NumL]],T_TraitDi[#Data],COLUMN(T_TraitDi[[#This Row],[M5]]),FALSE)="","",VLOOKUP(T_BilanSocial[[#This Row],[NumL]],T_TraitDi[#Data],COLUMN(T_TraitDi[[#This Row],[M5]]),FALSE))</f>
        <v>#VALUE!</v>
      </c>
      <c r="AB286" s="176" t="e">
        <f>IF(VLOOKUP(T_BilanSocial[[#This Row],[NumL]],T_TraitDi[#Data],COLUMN(T_TraitDi[[#This Row],[M6]]),FALSE)="","",VLOOKUP(T_BilanSocial[[#This Row],[NumL]],T_TraitDi[#Data],COLUMN(T_TraitDi[[#This Row],[M6]]),FALSE))</f>
        <v>#VALUE!</v>
      </c>
      <c r="AC286" s="165" t="e">
        <f t="shared" si="49"/>
        <v>#VALUE!</v>
      </c>
      <c r="AD286" s="188" t="str">
        <f>IFERROR(TEXT(VLOOKUP(T_BilanSocial[[#This Row],[NumL]],T_TraitDi[#Data],COLUMN(T_TraitDi[[#This Row],[Q2]]),FALSE),"###%"),"")</f>
        <v/>
      </c>
      <c r="AE286" s="97" t="e">
        <f>VLOOKUP(T_BilanSocial[[#This Row],[NumL]],T_TraitDi[#Data],COLUMN(T_TraitDi[[#This Row],[Reg Ponct]]),FALSE)</f>
        <v>#VALUE!</v>
      </c>
      <c r="AF286" s="97" t="e">
        <f>VLOOKUP(T_BilanSocial[NumL],T_TraitDi[#Data],COLUMN(T_TraitDi[[#This Row],[Jours flottants]]),FALSE)</f>
        <v>#VALUE!</v>
      </c>
      <c r="AG286" s="97" t="str">
        <f>IFERROR(VLOOKUP(T_BilanSocial[[#This Row],[NumL]],T_TraitDi[#Data],COLUMN(T_TraitDi[[#This Row],[Lundi]]),FALSE),"")</f>
        <v/>
      </c>
      <c r="AH286" s="172" t="e">
        <f>IF(VLOOKUP(T_BilanSocial[[#This Row],[NumL]],T_TraitDi[#Data],COLUMN(T_TraitDi[[#This Row],[Colonne3]]),FALSE)=0,"",TEXT(IFERROR(VLOOKUP(T_BilanSocial[[#This Row],[NumL]],T_TraitDi[#Data],COLUMN(T_TraitDi[[#This Row],[Colonne3]]),FALSE),""),"[hh]:mm"))</f>
        <v>#VALUE!</v>
      </c>
      <c r="AI286" s="172" t="e">
        <f>IF(VLOOKUP(T_BilanSocial[[#This Row],[NumL]],T_TraitDi[#Data],COLUMN(T_TraitDi[[#This Row],[Colonne4]]),FALSE)=0,"",TEXT(IFERROR(VLOOKUP(T_BilanSocial[[#This Row],[NumL]],T_TraitDi[#Data],COLUMN(T_TraitDi[[#This Row],[Colonne4]]),FALSE),""),"[hh]:mm"))</f>
        <v>#VALUE!</v>
      </c>
      <c r="AJ286" s="172" t="e">
        <f>IF(VLOOKUP(T_BilanSocial[[#This Row],[NumL]],T_TraitDi[#Data],COLUMN(T_TraitDi[[#This Row],[Colonne5]]),FALSE)=0,"",TEXT(IFERROR(VLOOKUP(T_BilanSocial[[#This Row],[NumL]],T_TraitDi[#Data],COLUMN(T_TraitDi[[#This Row],[Colonne5]]),FALSE),""),"[hh]:mm"))</f>
        <v>#VALUE!</v>
      </c>
      <c r="AK286" s="172" t="e">
        <f>IF(VLOOKUP(T_BilanSocial[[#This Row],[NumL]],T_TraitDi[#Data],COLUMN(T_TraitDi[[#This Row],[Colonne6]]),FALSE)=0,"",TEXT(IFERROR(VLOOKUP(T_BilanSocial[[#This Row],[NumL]],T_TraitDi[#Data],COLUMN(T_TraitDi[[#This Row],[Colonne6]]),FALSE),""),"[hh]:mm"))</f>
        <v>#VALUE!</v>
      </c>
      <c r="AL286" s="172" t="e">
        <f>IF(VLOOKUP(T_BilanSocial[[#This Row],[NumL]],T_TraitDi[#Data],COLUMN(T_TraitDi[[#This Row],[Colonne7]]),FALSE)=0,"",TEXT(IFERROR(VLOOKUP(T_BilanSocial[[#This Row],[NumL]],T_TraitDi[#Data],COLUMN(T_TraitDi[[#This Row],[Colonne7]]),FALSE),""),"[hh]:mm"))</f>
        <v>#VALUE!</v>
      </c>
      <c r="AM286" s="172" t="e">
        <f>IF(VLOOKUP(T_BilanSocial[[#This Row],[NumL]],T_TraitDi[#Data],COLUMN(T_TraitDi[[#This Row],[Colonne8]]),FALSE)=0,"",TEXT(IFERROR(VLOOKUP(T_BilanSocial[[#This Row],[NumL]],T_TraitDi[#Data],COLUMN(T_TraitDi[[#This Row],[Colonne8]]),FALSE),""),"[hh]:mm"))</f>
        <v>#VALUE!</v>
      </c>
      <c r="AN286" s="172" t="str">
        <f>IFERROR(VLOOKUP(T_BilanSocial[[#This Row],[NumL]],T_TraitDi[#Data],COLUMN(T_TraitDi[[#This Row],[Mardi]]),FALSE),"")</f>
        <v/>
      </c>
      <c r="AO286" s="172" t="e">
        <f>IF(VLOOKUP(T_BilanSocial[[#This Row],[NumL]],T_TraitDi[#Data],COLUMN(T_TraitDi[[#This Row],[Colonne1]]),FALSE)=0,"",TEXT(IFERROR(VLOOKUP(T_BilanSocial[[#This Row],[NumL]],T_TraitDi[#Data],COLUMN(T_TraitDi[[#This Row],[Colonne1]]),FALSE),""),"[hh]:mm"))</f>
        <v>#VALUE!</v>
      </c>
      <c r="AP286" s="172" t="e">
        <f>IF(VLOOKUP(T_BilanSocial[[#This Row],[NumL]],T_TraitDi[#Data],COLUMN(T_TraitDi[[#This Row],[Colonne9]]),FALSE)=0,"",TEXT(IFERROR(VLOOKUP(T_BilanSocial[[#This Row],[NumL]],T_TraitDi[#Data],COLUMN(T_TraitDi[[#This Row],[Colonne9]]),FALSE),""),"[hh]:mm"))</f>
        <v>#VALUE!</v>
      </c>
      <c r="AQ286" s="172" t="str">
        <f>IFERROR(VLOOKUP(T_BilanSocial[[#This Row],[NumL]],T_TraitDi[#Data],COLUMN(T_TraitDi[[#This Row],[Colonne10]]),FALSE),"")</f>
        <v/>
      </c>
      <c r="AR286" s="172" t="e">
        <f>IF(VLOOKUP(T_BilanSocial[[#This Row],[NumL]],T_TraitDi[#Data],COLUMN(T_TraitDi[[#This Row],[Colonne11]]),FALSE)=0,"",TEXT(IFERROR(VLOOKUP(T_BilanSocial[[#This Row],[NumL]],T_TraitDi[#Data],COLUMN(T_TraitDi[[#This Row],[Colonne11]]),FALSE),""),"[hh]:mm"))</f>
        <v>#VALUE!</v>
      </c>
      <c r="AS286" s="172" t="e">
        <f>IF(VLOOKUP(T_BilanSocial[[#This Row],[NumL]],T_TraitDi[#Data],COLUMN(T_TraitDi[[#This Row],[Colonne12]]),FALSE)=0,"",TEXT(IFERROR(VLOOKUP(T_BilanSocial[[#This Row],[NumL]],T_TraitDi[#Data],COLUMN(T_TraitDi[[#This Row],[Colonne12]]),FALSE),""),"[hh]:mm"))</f>
        <v>#VALUE!</v>
      </c>
      <c r="AT286" s="172" t="e">
        <f>IF(VLOOKUP(T_BilanSocial[[#This Row],[NumL]],T_TraitDi[#Data],COLUMN(T_TraitDi[[#This Row],[Colonne14]]),FALSE)=0,"",TEXT(IFERROR(VLOOKUP(T_BilanSocial[[#This Row],[NumL]],T_TraitDi[#Data],COLUMN(T_TraitDi[[#This Row],[Colonne14]]),FALSE),""),"[hh]:mm"))</f>
        <v>#VALUE!</v>
      </c>
      <c r="AU286" s="172" t="str">
        <f>IFERROR(VLOOKUP(T_BilanSocial[[#This Row],[NumL]],T_TraitDi[#Data],COLUMN(T_TraitDi[[#This Row],[Mercredi]]),FALSE),"")</f>
        <v/>
      </c>
      <c r="AV286" s="172" t="e">
        <f>IF(VLOOKUP(T_BilanSocial[[#This Row],[NumL]],T_TraitDi[#Data],COLUMN(T_TraitDi[[#This Row],[Colonne15]]),FALSE)=0,"",TEXT(IFERROR(VLOOKUP(T_BilanSocial[[#This Row],[NumL]],T_TraitDi[#Data],COLUMN(T_TraitDi[[#This Row],[Colonne15]]),FALSE),""),"[hh]:mm"))</f>
        <v>#VALUE!</v>
      </c>
      <c r="AW286" s="172" t="e">
        <f>IF(VLOOKUP(T_BilanSocial[[#This Row],[NumL]],T_TraitDi[#Data],COLUMN(T_TraitDi[[#This Row],[Colonne16]]),FALSE)=0,"",TEXT(IFERROR(VLOOKUP(T_BilanSocial[[#This Row],[NumL]],T_TraitDi[#Data],COLUMN(T_TraitDi[[#This Row],[Colonne16]]),FALSE),""),"[hh]:mm"))</f>
        <v>#VALUE!</v>
      </c>
      <c r="AX286" s="172" t="str">
        <f>IFERROR(VLOOKUP(T_BilanSocial[[#This Row],[NumL]],T_TraitDi[#Data],COLUMN(T_TraitDi[[#This Row],[Colonne17]]),FALSE),"")</f>
        <v/>
      </c>
      <c r="AY286" s="172" t="e">
        <f>IF(VLOOKUP(T_BilanSocial[[#This Row],[NumL]],T_TraitDi[#Data],COLUMN(T_TraitDi[[#This Row],[Colonne18]]),FALSE)=0,"",TEXT(IFERROR(VLOOKUP(T_BilanSocial[[#This Row],[NumL]],T_TraitDi[#Data],COLUMN(T_TraitDi[[#This Row],[Colonne18]]),FALSE),""),"[hh]:mm"))</f>
        <v>#VALUE!</v>
      </c>
      <c r="AZ286" s="172" t="e">
        <f>IF(VLOOKUP(T_BilanSocial[[#This Row],[NumL]],T_TraitDi[#Data],COLUMN(T_TraitDi[[#This Row],[Colonne19]]),FALSE)=0,"",TEXT(IFERROR(VLOOKUP(T_BilanSocial[[#This Row],[NumL]],T_TraitDi[#Data],COLUMN(T_TraitDi[[#This Row],[Colonne19]]),FALSE),""),"[hh]:mm"))</f>
        <v>#VALUE!</v>
      </c>
      <c r="BA286" s="172" t="e">
        <f>IF(VLOOKUP(T_BilanSocial[[#This Row],[NumL]],T_TraitDi[#Data],COLUMN(T_TraitDi[[#This Row],[Colonne20]]),FALSE)=0,"",TEXT(IFERROR(VLOOKUP(T_BilanSocial[[#This Row],[NumL]],T_TraitDi[#Data],COLUMN(T_TraitDi[[#This Row],[Colonne20]]),FALSE),""),"[hh]:mm"))</f>
        <v>#VALUE!</v>
      </c>
      <c r="BB286" s="178" t="str">
        <f>IFERROR(VLOOKUP(T_BilanSocial[[#This Row],[NumL]],T_TraitDi[#Data],COLUMN(T_TraitDi[[#This Row],[Jeudi]]),FALSE),"")</f>
        <v/>
      </c>
      <c r="BC286" s="178" t="e">
        <f>IF(VLOOKUP(T_BilanSocial[[#This Row],[NumL]],T_TraitDi[#Data],COLUMN(T_TraitDi[[#This Row],[Colonne21]]),FALSE)=0,"",TEXT(IFERROR(VLOOKUP(T_BilanSocial[[#This Row],[NumL]],T_TraitDi[#Data],COLUMN(T_TraitDi[[#This Row],[Colonne21]]),FALSE),""),"[hh]:mm"))</f>
        <v>#VALUE!</v>
      </c>
      <c r="BD286" s="178" t="e">
        <f>IF(VLOOKUP(T_BilanSocial[[#This Row],[NumL]],T_TraitDi[#Data],COLUMN(T_TraitDi[[#This Row],[Colonne22]]),FALSE)=0,"",TEXT(IFERROR(VLOOKUP(T_BilanSocial[[#This Row],[NumL]],T_TraitDi[#Data],COLUMN(T_TraitDi[[#This Row],[Colonne22]]),FALSE),""),"[hh]:mm"))</f>
        <v>#VALUE!</v>
      </c>
      <c r="BE286" s="178" t="str">
        <f>IFERROR(VLOOKUP(T_BilanSocial[[#This Row],[NumL]],T_TraitDi[#Data],COLUMN(T_TraitDi[[#This Row],[Colonne23]]),FALSE),"")</f>
        <v/>
      </c>
      <c r="BF286" s="178" t="e">
        <f>IF(VLOOKUP(T_BilanSocial[[#This Row],[NumL]],T_TraitDi[#Data],COLUMN(T_TraitDi[[#This Row],[Colonne24]]),FALSE)=0,"",TEXT(IFERROR(VLOOKUP(T_BilanSocial[[#This Row],[NumL]],T_TraitDi[#Data],COLUMN(T_TraitDi[[#This Row],[Colonne24]]),FALSE),""),"[hh]:mm"))</f>
        <v>#VALUE!</v>
      </c>
      <c r="BG286" s="178" t="e">
        <f>IF(VLOOKUP(T_BilanSocial[[#This Row],[NumL]],T_TraitDi[#Data],COLUMN(T_TraitDi[[#This Row],[Colonne25]]),FALSE)=0,"",TEXT(IFERROR(VLOOKUP(T_BilanSocial[[#This Row],[NumL]],T_TraitDi[#Data],COLUMN(T_TraitDi[[#This Row],[Colonne25]]),FALSE),""),"[hh]:mm"))</f>
        <v>#VALUE!</v>
      </c>
      <c r="BH286" s="178" t="e">
        <f>IF(VLOOKUP(T_BilanSocial[[#This Row],[NumL]],T_TraitDi[#Data],COLUMN(T_TraitDi[[#This Row],[Colonne26]]),FALSE)=0,"",TEXT(IFERROR(VLOOKUP(T_BilanSocial[[#This Row],[NumL]],T_TraitDi[#Data],COLUMN(T_TraitDi[[#This Row],[Colonne26]]),FALSE),""),"[hh]:mm"))</f>
        <v>#VALUE!</v>
      </c>
      <c r="BI286" s="172" t="str">
        <f>IFERROR(VLOOKUP(T_BilanSocial[[#This Row],[NumL]],T_TraitDi[#Data],COLUMN(T_TraitDi[[#This Row],[Vendredi]]),FALSE),"")</f>
        <v/>
      </c>
      <c r="BJ286" s="172" t="e">
        <f>IF(VLOOKUP(T_BilanSocial[[#This Row],[NumL]],T_TraitDi[#Data],COLUMN(T_TraitDi[[#This Row],[Colonne27]]),FALSE)=0,"",TEXT(IFERROR(VLOOKUP(T_BilanSocial[[#This Row],[NumL]],T_TraitDi[#Data],COLUMN(T_TraitDi[[#This Row],[Colonne27]]),FALSE),""),"[hh]:mm"))</f>
        <v>#VALUE!</v>
      </c>
      <c r="BK286" s="172" t="e">
        <f>IF(VLOOKUP(T_BilanSocial[[#This Row],[NumL]],T_TraitDi[#Data],COLUMN(T_TraitDi[[#This Row],[Colonne28]]),FALSE)=0,"",TEXT(IFERROR(VLOOKUP(T_BilanSocial[[#This Row],[NumL]],T_TraitDi[#Data],COLUMN(T_TraitDi[[#This Row],[Colonne28]]),FALSE),""),"[hh]:mm"))</f>
        <v>#VALUE!</v>
      </c>
      <c r="BL286" s="172" t="str">
        <f>IFERROR(VLOOKUP(T_BilanSocial[[#This Row],[NumL]],T_TraitDi[#Data],COLUMN(T_TraitDi[[#This Row],[Colonne29]]),FALSE),"")</f>
        <v/>
      </c>
      <c r="BM286" s="172" t="e">
        <f>IF(VLOOKUP(T_BilanSocial[[#This Row],[NumL]],T_TraitDi[#Data],COLUMN(T_TraitDi[[#This Row],[Colonne30]]),FALSE)=0,"",TEXT(IFERROR(VLOOKUP(T_BilanSocial[[#This Row],[NumL]],T_TraitDi[#Data],COLUMN(T_TraitDi[[#This Row],[Colonne30]]),FALSE),""),"[hh]:mm"))</f>
        <v>#VALUE!</v>
      </c>
      <c r="BN286" s="172" t="e">
        <f>IF(VLOOKUP(T_BilanSocial[[#This Row],[NumL]],T_TraitDi[#Data],COLUMN(T_TraitDi[[#This Row],[Colonne31]]),FALSE)=0,"",TEXT(IFERROR(VLOOKUP(T_BilanSocial[[#This Row],[NumL]],T_TraitDi[#Data],COLUMN(T_TraitDi[[#This Row],[Colonne31]]),FALSE),""),"[hh]:mm"))</f>
        <v>#VALUE!</v>
      </c>
      <c r="BO286" s="172" t="e">
        <f>IF(VLOOKUP(T_BilanSocial[[#This Row],[NumL]],T_TraitDi[#Data],COLUMN(T_TraitDi[[#This Row],[Colonne32]]),FALSE)=0,"",TEXT(IFERROR(VLOOKUP(T_BilanSocial[[#This Row],[NumL]],T_TraitDi[#Data],COLUMN(T_TraitDi[[#This Row],[Colonne32]]),FALSE),""),"[hh]:mm"))</f>
        <v>#VALUE!</v>
      </c>
      <c r="BP286" s="172" t="e">
        <f>VLOOKUP(T_BilanSocial[[#This Row],[NumL]],T_TraitDi[#Data],COLUMN(T_TraitDi[NbJTot]),FALSE)</f>
        <v>#N/A</v>
      </c>
      <c r="BQ286" s="174" t="str">
        <f>IFERROR(VLOOKUP(T_BilanSocial[[#This Row],[NumL]],T_TraitDi[#Data],COLUMN(T_TraitDi[[#This Row],[NbJTW]]),FALSE),"")</f>
        <v/>
      </c>
      <c r="BR286" s="174" t="e">
        <f>IF(VLOOKUP(T_BilanSocial[[#This Row],[NumL]],T_TraitDi[#Data],COLUMN(T_TraitDi[[#This Row],[NbhTW]]),FALSE)=0,"",TEXT(IFERROR(VLOOKUP(T_BilanSocial[[#This Row],[NumL]],T_TraitDi[#Data],COLUMN(T_TraitDi[[#This Row],[NbhTW]]),FALSE),""),"[hh]:mm"))</f>
        <v>#VALUE!</v>
      </c>
      <c r="BS286" s="174" t="e">
        <f>IF(VLOOKUP(T_BilanSocial[[#This Row],[NumL]],T_TraitDi[#Data],COLUMN(T_TraitDi[[#This Row],[Nbhheb]]),FALSE)=0,"",TEXT(IFERROR(VLOOKUP($A286,T_TraitDi[#Data],COLUMN(T_TraitDi[[#This Row],[Nbhheb]]),FALSE),""),"[hh]:mm"))</f>
        <v>#VALUE!</v>
      </c>
      <c r="BT286" s="182" t="str">
        <f>IFERROR(VLOOKUP(VLOOKUP($A286,T_TraitDi[#Data],COLUMN(T_TraitDi[[#This Row],[Type1]]),FALSE),TypeTW,2,FALSE),"")</f>
        <v/>
      </c>
      <c r="BU286" s="182" t="str">
        <f>IFERROR(VLOOKUP($A286,T_TraitDi[#Data],COLUMN(T_TraitDi[[#This Row],[Rue1]]),FALSE),"")</f>
        <v/>
      </c>
      <c r="BV286" s="173" t="str">
        <f>IFERROR(VLOOKUP($A286,T_TraitDi[#Data],COLUMN(T_TraitDi[[#This Row],[CP1]]),FALSE),"")</f>
        <v/>
      </c>
      <c r="BW286" s="173" t="str">
        <f>IFERROR(VLOOKUP($A286,T_TraitDi[#Data],COLUMN(T_TraitDi[[#This Row],[VILLE1]]),FALSE),"")</f>
        <v/>
      </c>
      <c r="BX286" s="182" t="str">
        <f>IFERROR(VLOOKUP(VLOOKUP($A286,T_TraitDi[#Data],COLUMN(T_TraitDi[[#This Row],[Type2]]),FALSE),TypeTW,2,FALSE),"")</f>
        <v/>
      </c>
      <c r="BY286" s="182" t="str">
        <f>IFERROR(VLOOKUP($A286,T_TraitDi[#Data],COLUMN(T_TraitDi[[#This Row],[Rue2]]),FALSE),"")</f>
        <v/>
      </c>
      <c r="BZ286" s="173" t="str">
        <f>IFERROR(VLOOKUP($A286,T_TraitDi[#Data],COLUMN(T_TraitDi[[#This Row],[CP2]]),FALSE),"")</f>
        <v/>
      </c>
      <c r="CA286" s="173" t="str">
        <f>IFERROR(VLOOKUP($A286,T_TraitDi[#Data],COLUMN(T_TraitDi[[#This Row],[VILLE2]]),FALSE),"")</f>
        <v/>
      </c>
      <c r="CB286" s="182" t="str">
        <f>IF(VLOOKUP(T_BilanSocial[[#This Row],[NumL]],T_Equipement[#Data],COLUMN(T_Equipement[[#This Row],[PC]]),FALSE)="","Aucun équipement spécifique directement lié au télétravail",VLOOKUP(T_BilanSocial[[#This Row],[NumL]],T_Equipement[#Data],COLUMN(T_Equipement[[#This Row],[PC]]),FALSE))</f>
        <v xml:space="preserve">16-407	</v>
      </c>
      <c r="CC286" s="166" t="str">
        <f>IFERROR(IF(VLOOKUP(T_BilanSocial[[#This Row],[NumL]],T_TraitDi[#Data],COLUMN(T_TraitDi[[#This Row],[Plan]]),FALSE)="OK","Un planning spécifique de télétravail est annexé à la présente convention.",""),"")</f>
        <v/>
      </c>
      <c r="CD286" s="185"/>
      <c r="CE286" s="164" t="e">
        <f>IF(VLOOKUP(T_BilanSocial[[#This Row],[NumL]],T_suiviDi[#Data],COLUMN(T_suiviDi[[#This Row],[Entité]]),FALSE)="","",VLOOKUP(T_BilanSocial[[#This Row],[NumL]],T_suiviDi[#Data],COLUMN(T_suiviDi[[#This Row],[Entité]]),FALSE))</f>
        <v>#VALUE!</v>
      </c>
      <c r="CF286" s="164" t="str">
        <f>IF(VLOOKUP(T_BilanSocial[[#This Row],[NumL]],T_Commission[#Data],COLUMN(T_Commission[[#This Row],[envoi confirm TW]]),FALSE)="","",VLOOKUP(T_BilanSocial[[#This Row],[NumL]],T_Commission[#Data],COLUMN(T_Commission[[#This Row],[envoi confirm TW]]),FALSE))</f>
        <v>Oui</v>
      </c>
      <c r="CG286"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6" s="262" t="str">
        <f>T_BilanSocial[[#This Row],[Nom]]&amp;T_BilanSocial[[#This Row],[Prenom]]</f>
        <v/>
      </c>
      <c r="CI286" s="262">
        <f>VLOOKUP(T_BilanSocial[[#This Row],[NumL]],T_Commission[#Data],COLUMN(T_Commission[Commentaire]),FALSE)</f>
        <v>0</v>
      </c>
      <c r="CJ286" s="262" t="str">
        <f>IF(VLOOKUP(T_BilanSocial[[#This Row],[NumL]],T_Commission[#Data],COLUMN(T_Commission[Encadrant Email]),FALSE)="","",VLOOKUP(T_BilanSocial[[#This Row],[NumL]],T_Commission[#Data],COLUMN(T_Commission[Encadrant Email]),FALSE))</f>
        <v/>
      </c>
      <c r="CK286" s="340" t="str">
        <f>IF(T_BilanSocial[[#This Row],[Final]]&lt;&gt;"",VLOOKUP(T_BilanSocial[[#This Row],[NumL]],T_suiviDi[#Data],COLUMN((T_suiviDi[Statut])),FALSE),"")</f>
        <v/>
      </c>
    </row>
    <row r="287" spans="1:89" s="50" customFormat="1" ht="21" customHeight="1" x14ac:dyDescent="0.25">
      <c r="A287" s="90">
        <v>284</v>
      </c>
      <c r="B287" s="94" t="e">
        <f t="shared" si="45"/>
        <v>#N/A</v>
      </c>
      <c r="C287" s="162" t="s">
        <v>173</v>
      </c>
      <c r="D287" s="95" t="e">
        <f>IF(VLOOKUP(T_BilanSocial[[#This Row],[NumL]],T_TraitDi[#Data],COLUMN(T_TraitDi[[#This Row],[WebC]]),FALSE)="","",VLOOKUP(T_BilanSocial[[#This Row],[NumL]],T_TraitDi[#Data],COLUMN(T_TraitDi[[#This Row],[WebC]]),FALSE))</f>
        <v>#VALUE!</v>
      </c>
      <c r="E287" s="95" t="str">
        <f t="shared" si="46"/>
        <v>12 janvier 2021</v>
      </c>
      <c r="F287" s="96" t="e">
        <f>IF(T_BilanSocial[[#This Row],[Final]]&lt;&gt;"",VLOOKUP(T_BilanSocial[[#This Row],[NumL]],T_suiviDi[#Data],COLUMN((T_suiviDi[Civ.])),FALSE),"")</f>
        <v>#N/A</v>
      </c>
      <c r="G287" s="96" t="e">
        <f>IF(T_BilanSocial[[#This Row],[Final]]&lt;&gt;"",VLOOKUP(T_BilanSocial[[#This Row],[NumL]],T_suiviDi[#Data],COLUMN((T_suiviDi[Nom])),FALSE),"")</f>
        <v>#N/A</v>
      </c>
      <c r="H287" s="96" t="e">
        <f>IF(T_BilanSocial[[#This Row],[Final]]&lt;&gt;"",VLOOKUP(T_BilanSocial[[#This Row],[NumL]],T_suiviDi[#Data],COLUMN((T_suiviDi[Prénom])),FALSE),"")</f>
        <v>#N/A</v>
      </c>
      <c r="I287" s="96" t="str">
        <f>IFERROR(VLOOKUP(T_BilanSocial[[#This Row],[Zone_Bilan]],T_P_BilanSocial[#Data],COLUMN(T_P_BilanSocial[[#This Row],[Numero_SIHAM]]),FALSE),"")</f>
        <v/>
      </c>
      <c r="J287" s="96" t="str">
        <f>IFERROR(VLOOKUP(T_BilanSocial[[#This Row],[Zone_Bilan]],T_P_BilanSocial[#Data],COLUMN(T_P_BilanSocial[[#This Row],[Sexe]]),FALSE),"")</f>
        <v/>
      </c>
      <c r="K287" s="97" t="str">
        <f>IFERROR(VLOOKUP(T_BilanSocial[[#This Row],[Zone_Bilan]],T_P_BilanSocial[#Data],COLUMN(T_P_BilanSocial[[#This Row],[Categorie]]),FALSE),"")</f>
        <v/>
      </c>
      <c r="L287" s="96" t="str">
        <f>IFERROR(VLOOKUP(T_BilanSocial[[#This Row],[Zone_Bilan]],T_P_BilanSocial[#Data],COLUMN(T_P_BilanSocial[[#This Row],[Statut]]),FALSE),"")</f>
        <v/>
      </c>
      <c r="M287" s="96" t="str">
        <f>IFERROR(VLOOKUP(T_BilanSocial[[#This Row],[Zone_Bilan]],T_P_BilanSocial[#Data],COLUMN(T_P_BilanSocial[[#This Row],[Filiere]]),FALSE),"")</f>
        <v/>
      </c>
      <c r="N287" s="96" t="e">
        <f>VLOOKUP(T_BilanSocial[[#This Row],[NumL]],T_TraitDi[#Data],COLUMN(T_TraitDi[EXP]),FALSE)</f>
        <v>#N/A</v>
      </c>
      <c r="O287" s="96" t="e">
        <f>VLOOKUP(T_BilanSocial[[#This Row],[NumL]],T_TraitDi[#Data],COLUMN(T_TraitDi[FORM]),FALSE)</f>
        <v>#N/A</v>
      </c>
      <c r="P287" s="96" t="e">
        <f>IF(T_BilanSocial[[#This Row],[Final]]&lt;&gt;"",VLOOKUP(T_BilanSocial[[#This Row],[NumL]],T_suiviDi[#Data],COLUMN((T_suiviDi[Email])),FALSE),"")</f>
        <v>#N/A</v>
      </c>
      <c r="Q287" s="164" t="e">
        <f t="shared" si="52"/>
        <v>#N/A</v>
      </c>
      <c r="R287" s="164" t="e">
        <f t="shared" si="53"/>
        <v>#N/A</v>
      </c>
      <c r="S287" s="164" t="e">
        <f>IF(VLOOKUP(T_BilanSocial[[#This Row],[NumL]],T_suiviDi[#Data],COLUMN(T_suiviDi[[#This Row],[Service ]]),FALSE)="","",VLOOKUP(T_BilanSocial[[#This Row],[NumL]],T_suiviDi[#Data],COLUMN(T_suiviDi[[#This Row],[Service ]]),FALSE))</f>
        <v>#VALUE!</v>
      </c>
      <c r="T287" s="96" t="str">
        <f t="shared" si="47"/>
        <v>01 septembre 2021</v>
      </c>
      <c r="U287" s="96" t="str">
        <f t="shared" si="48"/>
        <v>30 novembre 2021</v>
      </c>
      <c r="V287" s="164" t="str">
        <f t="shared" si="54"/>
        <v>30 novembre 2021</v>
      </c>
      <c r="W287" s="176" t="e">
        <f>IF(VLOOKUP(T_BilanSocial[[#This Row],[NumL]],T_TraitDi[#Data],COLUMN(T_TraitDi[[#This Row],[M1]]),FALSE)="","",VLOOKUP(T_BilanSocial[[#This Row],[NumL]],T_TraitDi[#Data],COLUMN(T_TraitDi[[#This Row],[M1]]),FALSE))</f>
        <v>#VALUE!</v>
      </c>
      <c r="X287" s="176" t="e">
        <f>IF(VLOOKUP(T_BilanSocial[[#This Row],[NumL]],T_TraitDi[#Data],COLUMN(T_TraitDi[[#This Row],[M2]]),FALSE)="","",VLOOKUP(T_BilanSocial[[#This Row],[NumL]],T_TraitDi[#Data],COLUMN(T_TraitDi[[#This Row],[M2]]),FALSE))</f>
        <v>#VALUE!</v>
      </c>
      <c r="Y287" s="176" t="e">
        <f>IF(VLOOKUP(T_BilanSocial[[#This Row],[NumL]],T_TraitDi[#Data],COLUMN(T_TraitDi[[#This Row],[M3]]),FALSE)="","",VLOOKUP(T_BilanSocial[[#This Row],[NumL]],T_TraitDi[#Data],COLUMN(T_TraitDi[[#This Row],[M3]]),FALSE))</f>
        <v>#VALUE!</v>
      </c>
      <c r="Z287" s="176" t="str">
        <f t="shared" si="50"/>
        <v/>
      </c>
      <c r="AA287" s="176" t="e">
        <f>IF(VLOOKUP(T_BilanSocial[[#This Row],[NumL]],T_TraitDi[#Data],COLUMN(T_TraitDi[[#This Row],[M5]]),FALSE)="","",VLOOKUP(T_BilanSocial[[#This Row],[NumL]],T_TraitDi[#Data],COLUMN(T_TraitDi[[#This Row],[M5]]),FALSE))</f>
        <v>#VALUE!</v>
      </c>
      <c r="AB287" s="176" t="e">
        <f>IF(VLOOKUP(T_BilanSocial[[#This Row],[NumL]],T_TraitDi[#Data],COLUMN(T_TraitDi[[#This Row],[M6]]),FALSE)="","",VLOOKUP(T_BilanSocial[[#This Row],[NumL]],T_TraitDi[#Data],COLUMN(T_TraitDi[[#This Row],[M6]]),FALSE))</f>
        <v>#VALUE!</v>
      </c>
      <c r="AC287" s="150" t="e">
        <f t="shared" si="49"/>
        <v>#VALUE!</v>
      </c>
      <c r="AD287" s="188" t="str">
        <f>IFERROR(TEXT(VLOOKUP(T_BilanSocial[[#This Row],[NumL]],T_TraitDi[#Data],COLUMN(T_TraitDi[[#This Row],[Q2]]),FALSE),"###%"),"")</f>
        <v/>
      </c>
      <c r="AE287" s="97" t="e">
        <f>VLOOKUP(T_BilanSocial[[#This Row],[NumL]],T_TraitDi[#Data],COLUMN(T_TraitDi[[#This Row],[Reg Ponct]]),FALSE)</f>
        <v>#VALUE!</v>
      </c>
      <c r="AF287" s="97" t="e">
        <f>VLOOKUP(T_BilanSocial[NumL],T_TraitDi[#Data],COLUMN(T_TraitDi[[#This Row],[Jours flottants]]),FALSE)</f>
        <v>#VALUE!</v>
      </c>
      <c r="AG287" s="97" t="str">
        <f>IFERROR(VLOOKUP(T_BilanSocial[[#This Row],[NumL]],T_TraitDi[#Data],COLUMN(T_TraitDi[[#This Row],[Lundi]]),FALSE),"")</f>
        <v/>
      </c>
      <c r="AH287" s="172" t="e">
        <f>IF(VLOOKUP(T_BilanSocial[[#This Row],[NumL]],T_TraitDi[#Data],COLUMN(T_TraitDi[[#This Row],[Colonne3]]),FALSE)=0,"",TEXT(IFERROR(VLOOKUP(T_BilanSocial[[#This Row],[NumL]],T_TraitDi[#Data],COLUMN(T_TraitDi[[#This Row],[Colonne3]]),FALSE),""),"[hh]:mm"))</f>
        <v>#VALUE!</v>
      </c>
      <c r="AI287" s="172" t="e">
        <f>IF(VLOOKUP(T_BilanSocial[[#This Row],[NumL]],T_TraitDi[#Data],COLUMN(T_TraitDi[[#This Row],[Colonne4]]),FALSE)=0,"",TEXT(IFERROR(VLOOKUP(T_BilanSocial[[#This Row],[NumL]],T_TraitDi[#Data],COLUMN(T_TraitDi[[#This Row],[Colonne4]]),FALSE),""),"[hh]:mm"))</f>
        <v>#VALUE!</v>
      </c>
      <c r="AJ287" s="172" t="e">
        <f>IF(VLOOKUP(T_BilanSocial[[#This Row],[NumL]],T_TraitDi[#Data],COLUMN(T_TraitDi[[#This Row],[Colonne5]]),FALSE)=0,"",TEXT(IFERROR(VLOOKUP(T_BilanSocial[[#This Row],[NumL]],T_TraitDi[#Data],COLUMN(T_TraitDi[[#This Row],[Colonne5]]),FALSE),""),"[hh]:mm"))</f>
        <v>#VALUE!</v>
      </c>
      <c r="AK287" s="172" t="e">
        <f>IF(VLOOKUP(T_BilanSocial[[#This Row],[NumL]],T_TraitDi[#Data],COLUMN(T_TraitDi[[#This Row],[Colonne6]]),FALSE)=0,"",TEXT(IFERROR(VLOOKUP(T_BilanSocial[[#This Row],[NumL]],T_TraitDi[#Data],COLUMN(T_TraitDi[[#This Row],[Colonne6]]),FALSE),""),"[hh]:mm"))</f>
        <v>#VALUE!</v>
      </c>
      <c r="AL287" s="172" t="e">
        <f>IF(VLOOKUP(T_BilanSocial[[#This Row],[NumL]],T_TraitDi[#Data],COLUMN(T_TraitDi[[#This Row],[Colonne7]]),FALSE)=0,"",TEXT(IFERROR(VLOOKUP(T_BilanSocial[[#This Row],[NumL]],T_TraitDi[#Data],COLUMN(T_TraitDi[[#This Row],[Colonne7]]),FALSE),""),"[hh]:mm"))</f>
        <v>#VALUE!</v>
      </c>
      <c r="AM287" s="172" t="e">
        <f>IF(VLOOKUP(T_BilanSocial[[#This Row],[NumL]],T_TraitDi[#Data],COLUMN(T_TraitDi[[#This Row],[Colonne8]]),FALSE)=0,"",TEXT(IFERROR(VLOOKUP(T_BilanSocial[[#This Row],[NumL]],T_TraitDi[#Data],COLUMN(T_TraitDi[[#This Row],[Colonne8]]),FALSE),""),"[hh]:mm"))</f>
        <v>#VALUE!</v>
      </c>
      <c r="AN287" s="172" t="str">
        <f>IFERROR(VLOOKUP(T_BilanSocial[[#This Row],[NumL]],T_TraitDi[#Data],COLUMN(T_TraitDi[[#This Row],[Mardi]]),FALSE),"")</f>
        <v/>
      </c>
      <c r="AO287" s="172" t="e">
        <f>IF(VLOOKUP(T_BilanSocial[[#This Row],[NumL]],T_TraitDi[#Data],COLUMN(T_TraitDi[[#This Row],[Colonne1]]),FALSE)=0,"",TEXT(IFERROR(VLOOKUP(T_BilanSocial[[#This Row],[NumL]],T_TraitDi[#Data],COLUMN(T_TraitDi[[#This Row],[Colonne1]]),FALSE),""),"[hh]:mm"))</f>
        <v>#VALUE!</v>
      </c>
      <c r="AP287" s="172" t="e">
        <f>IF(VLOOKUP(T_BilanSocial[[#This Row],[NumL]],T_TraitDi[#Data],COLUMN(T_TraitDi[[#This Row],[Colonne9]]),FALSE)=0,"",TEXT(IFERROR(VLOOKUP(T_BilanSocial[[#This Row],[NumL]],T_TraitDi[#Data],COLUMN(T_TraitDi[[#This Row],[Colonne9]]),FALSE),""),"[hh]:mm"))</f>
        <v>#VALUE!</v>
      </c>
      <c r="AQ287" s="172" t="str">
        <f>IFERROR(VLOOKUP(T_BilanSocial[[#This Row],[NumL]],T_TraitDi[#Data],COLUMN(T_TraitDi[[#This Row],[Colonne10]]),FALSE),"")</f>
        <v/>
      </c>
      <c r="AR287" s="172" t="e">
        <f>IF(VLOOKUP(T_BilanSocial[[#This Row],[NumL]],T_TraitDi[#Data],COLUMN(T_TraitDi[[#This Row],[Colonne11]]),FALSE)=0,"",TEXT(IFERROR(VLOOKUP(T_BilanSocial[[#This Row],[NumL]],T_TraitDi[#Data],COLUMN(T_TraitDi[[#This Row],[Colonne11]]),FALSE),""),"[hh]:mm"))</f>
        <v>#VALUE!</v>
      </c>
      <c r="AS287" s="172" t="e">
        <f>IF(VLOOKUP(T_BilanSocial[[#This Row],[NumL]],T_TraitDi[#Data],COLUMN(T_TraitDi[[#This Row],[Colonne12]]),FALSE)=0,"",TEXT(IFERROR(VLOOKUP(T_BilanSocial[[#This Row],[NumL]],T_TraitDi[#Data],COLUMN(T_TraitDi[[#This Row],[Colonne12]]),FALSE),""),"[hh]:mm"))</f>
        <v>#VALUE!</v>
      </c>
      <c r="AT287" s="172" t="e">
        <f>IF(VLOOKUP(T_BilanSocial[[#This Row],[NumL]],T_TraitDi[#Data],COLUMN(T_TraitDi[[#This Row],[Colonne14]]),FALSE)=0,"",TEXT(IFERROR(VLOOKUP(T_BilanSocial[[#This Row],[NumL]],T_TraitDi[#Data],COLUMN(T_TraitDi[[#This Row],[Colonne14]]),FALSE),""),"[hh]:mm"))</f>
        <v>#VALUE!</v>
      </c>
      <c r="AU287" s="172" t="str">
        <f>IFERROR(VLOOKUP(T_BilanSocial[[#This Row],[NumL]],T_TraitDi[#Data],COLUMN(T_TraitDi[[#This Row],[Mercredi]]),FALSE),"")</f>
        <v/>
      </c>
      <c r="AV287" s="172" t="e">
        <f>IF(VLOOKUP(T_BilanSocial[[#This Row],[NumL]],T_TraitDi[#Data],COLUMN(T_TraitDi[[#This Row],[Colonne15]]),FALSE)=0,"",TEXT(IFERROR(VLOOKUP(T_BilanSocial[[#This Row],[NumL]],T_TraitDi[#Data],COLUMN(T_TraitDi[[#This Row],[Colonne15]]),FALSE),""),"[hh]:mm"))</f>
        <v>#VALUE!</v>
      </c>
      <c r="AW287" s="172" t="e">
        <f>IF(VLOOKUP(T_BilanSocial[[#This Row],[NumL]],T_TraitDi[#Data],COLUMN(T_TraitDi[[#This Row],[Colonne16]]),FALSE)=0,"",TEXT(IFERROR(VLOOKUP(T_BilanSocial[[#This Row],[NumL]],T_TraitDi[#Data],COLUMN(T_TraitDi[[#This Row],[Colonne16]]),FALSE),""),"[hh]:mm"))</f>
        <v>#VALUE!</v>
      </c>
      <c r="AX287" s="172" t="str">
        <f>IFERROR(VLOOKUP(T_BilanSocial[[#This Row],[NumL]],T_TraitDi[#Data],COLUMN(T_TraitDi[[#This Row],[Colonne17]]),FALSE),"")</f>
        <v/>
      </c>
      <c r="AY287" s="172" t="e">
        <f>IF(VLOOKUP(T_BilanSocial[[#This Row],[NumL]],T_TraitDi[#Data],COLUMN(T_TraitDi[[#This Row],[Colonne18]]),FALSE)=0,"",TEXT(IFERROR(VLOOKUP(T_BilanSocial[[#This Row],[NumL]],T_TraitDi[#Data],COLUMN(T_TraitDi[[#This Row],[Colonne18]]),FALSE),""),"[hh]:mm"))</f>
        <v>#VALUE!</v>
      </c>
      <c r="AZ287" s="172" t="e">
        <f>IF(VLOOKUP(T_BilanSocial[[#This Row],[NumL]],T_TraitDi[#Data],COLUMN(T_TraitDi[[#This Row],[Colonne19]]),FALSE)=0,"",TEXT(IFERROR(VLOOKUP(T_BilanSocial[[#This Row],[NumL]],T_TraitDi[#Data],COLUMN(T_TraitDi[[#This Row],[Colonne19]]),FALSE),""),"[hh]:mm"))</f>
        <v>#VALUE!</v>
      </c>
      <c r="BA287" s="172" t="e">
        <f>IF(VLOOKUP(T_BilanSocial[[#This Row],[NumL]],T_TraitDi[#Data],COLUMN(T_TraitDi[[#This Row],[Colonne20]]),FALSE)=0,"",TEXT(IFERROR(VLOOKUP(T_BilanSocial[[#This Row],[NumL]],T_TraitDi[#Data],COLUMN(T_TraitDi[[#This Row],[Colonne20]]),FALSE),""),"[hh]:mm"))</f>
        <v>#VALUE!</v>
      </c>
      <c r="BB287" s="178" t="str">
        <f>IFERROR(VLOOKUP(T_BilanSocial[[#This Row],[NumL]],T_TraitDi[#Data],COLUMN(T_TraitDi[[#This Row],[Jeudi]]),FALSE),"")</f>
        <v/>
      </c>
      <c r="BC287" s="178" t="e">
        <f>IF(VLOOKUP(T_BilanSocial[[#This Row],[NumL]],T_TraitDi[#Data],COLUMN(T_TraitDi[[#This Row],[Colonne21]]),FALSE)=0,"",TEXT(IFERROR(VLOOKUP(T_BilanSocial[[#This Row],[NumL]],T_TraitDi[#Data],COLUMN(T_TraitDi[[#This Row],[Colonne21]]),FALSE),""),"[hh]:mm"))</f>
        <v>#VALUE!</v>
      </c>
      <c r="BD287" s="178" t="e">
        <f>IF(VLOOKUP(T_BilanSocial[[#This Row],[NumL]],T_TraitDi[#Data],COLUMN(T_TraitDi[[#This Row],[Colonne22]]),FALSE)=0,"",TEXT(IFERROR(VLOOKUP(T_BilanSocial[[#This Row],[NumL]],T_TraitDi[#Data],COLUMN(T_TraitDi[[#This Row],[Colonne22]]),FALSE),""),"[hh]:mm"))</f>
        <v>#VALUE!</v>
      </c>
      <c r="BE287" s="178" t="str">
        <f>IFERROR(VLOOKUP(T_BilanSocial[[#This Row],[NumL]],T_TraitDi[#Data],COLUMN(T_TraitDi[[#This Row],[Colonne23]]),FALSE),"")</f>
        <v/>
      </c>
      <c r="BF287" s="178" t="e">
        <f>IF(VLOOKUP(T_BilanSocial[[#This Row],[NumL]],T_TraitDi[#Data],COLUMN(T_TraitDi[[#This Row],[Colonne24]]),FALSE)=0,"",TEXT(IFERROR(VLOOKUP(T_BilanSocial[[#This Row],[NumL]],T_TraitDi[#Data],COLUMN(T_TraitDi[[#This Row],[Colonne24]]),FALSE),""),"[hh]:mm"))</f>
        <v>#VALUE!</v>
      </c>
      <c r="BG287" s="178" t="e">
        <f>IF(VLOOKUP(T_BilanSocial[[#This Row],[NumL]],T_TraitDi[#Data],COLUMN(T_TraitDi[[#This Row],[Colonne25]]),FALSE)=0,"",TEXT(IFERROR(VLOOKUP(T_BilanSocial[[#This Row],[NumL]],T_TraitDi[#Data],COLUMN(T_TraitDi[[#This Row],[Colonne25]]),FALSE),""),"[hh]:mm"))</f>
        <v>#VALUE!</v>
      </c>
      <c r="BH287" s="178" t="e">
        <f>IF(VLOOKUP(T_BilanSocial[[#This Row],[NumL]],T_TraitDi[#Data],COLUMN(T_TraitDi[[#This Row],[Colonne26]]),FALSE)=0,"",TEXT(IFERROR(VLOOKUP(T_BilanSocial[[#This Row],[NumL]],T_TraitDi[#Data],COLUMN(T_TraitDi[[#This Row],[Colonne26]]),FALSE),""),"[hh]:mm"))</f>
        <v>#VALUE!</v>
      </c>
      <c r="BI287" s="172" t="str">
        <f>IFERROR(VLOOKUP(T_BilanSocial[[#This Row],[NumL]],T_TraitDi[#Data],COLUMN(T_TraitDi[[#This Row],[Vendredi]]),FALSE),"")</f>
        <v/>
      </c>
      <c r="BJ287" s="172" t="e">
        <f>IF(VLOOKUP(T_BilanSocial[[#This Row],[NumL]],T_TraitDi[#Data],COLUMN(T_TraitDi[[#This Row],[Colonne27]]),FALSE)=0,"",TEXT(IFERROR(VLOOKUP(T_BilanSocial[[#This Row],[NumL]],T_TraitDi[#Data],COLUMN(T_TraitDi[[#This Row],[Colonne27]]),FALSE),""),"[hh]:mm"))</f>
        <v>#VALUE!</v>
      </c>
      <c r="BK287" s="172" t="e">
        <f>IF(VLOOKUP(T_BilanSocial[[#This Row],[NumL]],T_TraitDi[#Data],COLUMN(T_TraitDi[[#This Row],[Colonne28]]),FALSE)=0,"",TEXT(IFERROR(VLOOKUP(T_BilanSocial[[#This Row],[NumL]],T_TraitDi[#Data],COLUMN(T_TraitDi[[#This Row],[Colonne28]]),FALSE),""),"[hh]:mm"))</f>
        <v>#VALUE!</v>
      </c>
      <c r="BL287" s="172" t="str">
        <f>IFERROR(VLOOKUP(T_BilanSocial[[#This Row],[NumL]],T_TraitDi[#Data],COLUMN(T_TraitDi[[#This Row],[Colonne29]]),FALSE),"")</f>
        <v/>
      </c>
      <c r="BM287" s="172" t="e">
        <f>IF(VLOOKUP(T_BilanSocial[[#This Row],[NumL]],T_TraitDi[#Data],COLUMN(T_TraitDi[[#This Row],[Colonne30]]),FALSE)=0,"",TEXT(IFERROR(VLOOKUP(T_BilanSocial[[#This Row],[NumL]],T_TraitDi[#Data],COLUMN(T_TraitDi[[#This Row],[Colonne30]]),FALSE),""),"[hh]:mm"))</f>
        <v>#VALUE!</v>
      </c>
      <c r="BN287" s="172" t="e">
        <f>IF(VLOOKUP(T_BilanSocial[[#This Row],[NumL]],T_TraitDi[#Data],COLUMN(T_TraitDi[[#This Row],[Colonne31]]),FALSE)=0,"",TEXT(IFERROR(VLOOKUP(T_BilanSocial[[#This Row],[NumL]],T_TraitDi[#Data],COLUMN(T_TraitDi[[#This Row],[Colonne31]]),FALSE),""),"[hh]:mm"))</f>
        <v>#VALUE!</v>
      </c>
      <c r="BO287" s="172" t="e">
        <f>IF(VLOOKUP(T_BilanSocial[[#This Row],[NumL]],T_TraitDi[#Data],COLUMN(T_TraitDi[[#This Row],[Colonne32]]),FALSE)=0,"",TEXT(IFERROR(VLOOKUP(T_BilanSocial[[#This Row],[NumL]],T_TraitDi[#Data],COLUMN(T_TraitDi[[#This Row],[Colonne32]]),FALSE),""),"[hh]:mm"))</f>
        <v>#VALUE!</v>
      </c>
      <c r="BP287" s="172" t="e">
        <f>VLOOKUP(T_BilanSocial[[#This Row],[NumL]],T_TraitDi[#Data],COLUMN(T_TraitDi[NbJTot]),FALSE)</f>
        <v>#N/A</v>
      </c>
      <c r="BQ287" s="174" t="str">
        <f>IFERROR(VLOOKUP(T_BilanSocial[[#This Row],[NumL]],T_TraitDi[#Data],COLUMN(T_TraitDi[[#This Row],[NbJTW]]),FALSE),"")</f>
        <v/>
      </c>
      <c r="BR287" s="174" t="e">
        <f>IF(VLOOKUP(T_BilanSocial[[#This Row],[NumL]],T_TraitDi[#Data],COLUMN(T_TraitDi[[#This Row],[NbhTW]]),FALSE)=0,"",TEXT(IFERROR(VLOOKUP(T_BilanSocial[[#This Row],[NumL]],T_TraitDi[#Data],COLUMN(T_TraitDi[[#This Row],[NbhTW]]),FALSE),""),"[hh]:mm"))</f>
        <v>#VALUE!</v>
      </c>
      <c r="BS287" s="174" t="e">
        <f>IF(VLOOKUP(T_BilanSocial[[#This Row],[NumL]],T_TraitDi[#Data],COLUMN(T_TraitDi[[#This Row],[Nbhheb]]),FALSE)=0,"",TEXT(IFERROR(VLOOKUP($A287,T_TraitDi[#Data],COLUMN(T_TraitDi[[#This Row],[Nbhheb]]),FALSE),""),"[hh]:mm"))</f>
        <v>#VALUE!</v>
      </c>
      <c r="BT287" s="182" t="str">
        <f>IFERROR(VLOOKUP(VLOOKUP($A287,T_TraitDi[#Data],COLUMN(T_TraitDi[[#This Row],[Type1]]),FALSE),TypeTW,2,FALSE),"")</f>
        <v/>
      </c>
      <c r="BU287" s="182" t="str">
        <f>IFERROR(VLOOKUP($A287,T_TraitDi[#Data],COLUMN(T_TraitDi[[#This Row],[Rue1]]),FALSE),"")</f>
        <v/>
      </c>
      <c r="BV287" s="173" t="str">
        <f>IFERROR(VLOOKUP($A287,T_TraitDi[#Data],COLUMN(T_TraitDi[[#This Row],[CP1]]),FALSE),"")</f>
        <v/>
      </c>
      <c r="BW287" s="173" t="str">
        <f>IFERROR(VLOOKUP($A287,T_TraitDi[#Data],COLUMN(T_TraitDi[[#This Row],[VILLE1]]),FALSE),"")</f>
        <v/>
      </c>
      <c r="BX287" s="182" t="str">
        <f>IFERROR(VLOOKUP(VLOOKUP($A287,T_TraitDi[#Data],COLUMN(T_TraitDi[[#This Row],[Type2]]),FALSE),TypeTW,2,FALSE),"")</f>
        <v/>
      </c>
      <c r="BY287" s="182" t="str">
        <f>IFERROR(VLOOKUP($A287,T_TraitDi[#Data],COLUMN(T_TraitDi[[#This Row],[Rue2]]),FALSE),"")</f>
        <v/>
      </c>
      <c r="BZ287" s="173" t="str">
        <f>IFERROR(VLOOKUP($A287,T_TraitDi[#Data],COLUMN(T_TraitDi[[#This Row],[CP2]]),FALSE),"")</f>
        <v/>
      </c>
      <c r="CA287" s="173" t="str">
        <f>IFERROR(VLOOKUP($A287,T_TraitDi[#Data],COLUMN(T_TraitDi[[#This Row],[VILLE2]]),FALSE),"")</f>
        <v/>
      </c>
      <c r="CB287" s="182" t="e">
        <f>IF(VLOOKUP(T_BilanSocial[[#This Row],[NumL]],T_Equipement[#Data],COLUMN(T_Equipement[[#This Row],[PC]]),FALSE)="","Aucun équipement spécifique directement lié au télétravail",VLOOKUP(T_BilanSocial[[#This Row],[NumL]],T_Equipement[#Data],COLUMN(T_Equipement[[#This Row],[PC]]),FALSE))</f>
        <v>#N/A</v>
      </c>
      <c r="CC287" s="166" t="str">
        <f>IFERROR(IF(VLOOKUP(T_BilanSocial[[#This Row],[NumL]],T_TraitDi[#Data],COLUMN(T_TraitDi[[#This Row],[Plan]]),FALSE)="OK","Un planning spécifique de télétravail est annexé à la présente convention.",""),"")</f>
        <v/>
      </c>
      <c r="CD287" s="258" t="s">
        <v>3465</v>
      </c>
      <c r="CE287" s="164" t="e">
        <f>IF(VLOOKUP(T_BilanSocial[[#This Row],[NumL]],T_suiviDi[#Data],COLUMN(T_suiviDi[[#This Row],[Entité]]),FALSE)="","",VLOOKUP(T_BilanSocial[[#This Row],[NumL]],T_suiviDi[#Data],COLUMN(T_suiviDi[[#This Row],[Entité]]),FALSE))</f>
        <v>#VALUE!</v>
      </c>
      <c r="CF287" s="164" t="e">
        <f>IF(VLOOKUP(T_BilanSocial[[#This Row],[NumL]],T_Commission[#Data],COLUMN(T_Commission[[#This Row],[envoi confirm TW]]),FALSE)="","",VLOOKUP(T_BilanSocial[[#This Row],[NumL]],T_Commission[#Data],COLUMN(T_Commission[[#This Row],[envoi confirm TW]]),FALSE))</f>
        <v>#N/A</v>
      </c>
      <c r="CG287" s="255"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7" s="263" t="e">
        <f>T_BilanSocial[[#This Row],[Nom]]&amp;T_BilanSocial[[#This Row],[Prenom]]</f>
        <v>#N/A</v>
      </c>
      <c r="CI287" s="263" t="e">
        <f>VLOOKUP(T_BilanSocial[[#This Row],[NumL]],T_Commission[#Data],COLUMN(T_Commission[Commentaire]),FALSE)</f>
        <v>#N/A</v>
      </c>
      <c r="CJ287" s="263" t="e">
        <f>IF(VLOOKUP(T_BilanSocial[[#This Row],[NumL]],T_Commission[#Data],COLUMN(T_Commission[Encadrant Email]),FALSE)="","",VLOOKUP(T_BilanSocial[[#This Row],[NumL]],T_Commission[#Data],COLUMN(T_Commission[Encadrant Email]),FALSE))</f>
        <v>#N/A</v>
      </c>
      <c r="CK287" s="332" t="e">
        <f>IF(T_BilanSocial[[#This Row],[Final]]&lt;&gt;"",VLOOKUP(T_BilanSocial[[#This Row],[NumL]],T_suiviDi[#Data],COLUMN((T_suiviDi[Statut])),FALSE),"")</f>
        <v>#N/A</v>
      </c>
    </row>
    <row r="288" spans="1:89" s="106" customFormat="1" ht="24.75" customHeight="1" x14ac:dyDescent="0.25">
      <c r="A288" s="90">
        <v>285</v>
      </c>
      <c r="B288" s="94" t="str">
        <f t="shared" si="45"/>
        <v/>
      </c>
      <c r="C288" s="162" t="s">
        <v>173</v>
      </c>
      <c r="D288" s="95" t="e">
        <f>IF(VLOOKUP(T_BilanSocial[[#This Row],[NumL]],T_TraitDi[#Data],COLUMN(T_TraitDi[[#This Row],[WebC]]),FALSE)="","",VLOOKUP(T_BilanSocial[[#This Row],[NumL]],T_TraitDi[#Data],COLUMN(T_TraitDi[[#This Row],[WebC]]),FALSE))</f>
        <v>#VALUE!</v>
      </c>
      <c r="E288" s="95" t="str">
        <f t="shared" si="46"/>
        <v>12 janvier 2021</v>
      </c>
      <c r="F288" s="96" t="str">
        <f>IF(T_BilanSocial[[#This Row],[Final]]&lt;&gt;"",VLOOKUP(T_BilanSocial[[#This Row],[NumL]],T_suiviDi[#Data],COLUMN((T_suiviDi[Civ.])),FALSE),"")</f>
        <v/>
      </c>
      <c r="G288" s="96" t="str">
        <f>IF(T_BilanSocial[[#This Row],[Final]]&lt;&gt;"",VLOOKUP(T_BilanSocial[[#This Row],[NumL]],T_suiviDi[#Data],COLUMN((T_suiviDi[Nom])),FALSE),"")</f>
        <v/>
      </c>
      <c r="H288" s="96" t="str">
        <f>IF(T_BilanSocial[[#This Row],[Final]]&lt;&gt;"",VLOOKUP(T_BilanSocial[[#This Row],[NumL]],T_suiviDi[#Data],COLUMN((T_suiviDi[Prénom])),FALSE),"")</f>
        <v/>
      </c>
      <c r="I288" s="96" t="str">
        <f>IFERROR(VLOOKUP(T_BilanSocial[[#This Row],[Zone_Bilan]],T_P_BilanSocial[#Data],COLUMN(T_P_BilanSocial[[#This Row],[Numero_SIHAM]]),FALSE),"")</f>
        <v/>
      </c>
      <c r="J288" s="96" t="str">
        <f>IFERROR(VLOOKUP(T_BilanSocial[[#This Row],[Zone_Bilan]],T_P_BilanSocial[#Data],COLUMN(T_P_BilanSocial[[#This Row],[Sexe]]),FALSE),"")</f>
        <v/>
      </c>
      <c r="K288" s="97" t="str">
        <f>IFERROR(VLOOKUP(T_BilanSocial[[#This Row],[Zone_Bilan]],T_P_BilanSocial[#Data],COLUMN(T_P_BilanSocial[[#This Row],[Categorie]]),FALSE),"")</f>
        <v/>
      </c>
      <c r="L288" s="96" t="str">
        <f>IFERROR(VLOOKUP(T_BilanSocial[[#This Row],[Zone_Bilan]],T_P_BilanSocial[#Data],COLUMN(T_P_BilanSocial[[#This Row],[Statut]]),FALSE),"")</f>
        <v/>
      </c>
      <c r="M288" s="96" t="str">
        <f>IFERROR(VLOOKUP(T_BilanSocial[[#This Row],[Zone_Bilan]],T_P_BilanSocial[#Data],COLUMN(T_P_BilanSocial[[#This Row],[Filiere]]),FALSE),"")</f>
        <v/>
      </c>
      <c r="N288" s="96" t="e">
        <f>VLOOKUP(T_BilanSocial[[#This Row],[NumL]],T_TraitDi[#Data],COLUMN(T_TraitDi[EXP]),FALSE)</f>
        <v>#N/A</v>
      </c>
      <c r="O288" s="96" t="e">
        <f>VLOOKUP(T_BilanSocial[[#This Row],[NumL]],T_TraitDi[#Data],COLUMN(T_TraitDi[FORM]),FALSE)</f>
        <v>#N/A</v>
      </c>
      <c r="P288" s="96" t="str">
        <f>IF(T_BilanSocial[[#This Row],[Final]]&lt;&gt;"",VLOOKUP(T_BilanSocial[[#This Row],[NumL]],T_suiviDi[#Data],COLUMN((T_suiviDi[Email])),FALSE),"")</f>
        <v/>
      </c>
      <c r="Q288" s="164" t="e">
        <f t="shared" si="52"/>
        <v>#N/A</v>
      </c>
      <c r="R288" s="164" t="e">
        <f t="shared" si="53"/>
        <v>#N/A</v>
      </c>
      <c r="S288" s="164" t="e">
        <f>IF(VLOOKUP(T_BilanSocial[[#This Row],[NumL]],T_suiviDi[#Data],COLUMN(T_suiviDi[[#This Row],[Service ]]),FALSE)="","",VLOOKUP(T_BilanSocial[[#This Row],[NumL]],T_suiviDi[#Data],COLUMN(T_suiviDi[[#This Row],[Service ]]),FALSE))</f>
        <v>#VALUE!</v>
      </c>
      <c r="T288" s="96" t="str">
        <f t="shared" si="47"/>
        <v>01 septembre 2021</v>
      </c>
      <c r="U288" s="96" t="str">
        <f t="shared" si="48"/>
        <v>30 novembre 2021</v>
      </c>
      <c r="V288" s="164" t="str">
        <f t="shared" si="54"/>
        <v>30 novembre 2021</v>
      </c>
      <c r="W288" s="176" t="e">
        <f>IF(VLOOKUP(T_BilanSocial[[#This Row],[NumL]],T_TraitDi[#Data],COLUMN(T_TraitDi[[#This Row],[M1]]),FALSE)="","",VLOOKUP(T_BilanSocial[[#This Row],[NumL]],T_TraitDi[#Data],COLUMN(T_TraitDi[[#This Row],[M1]]),FALSE))</f>
        <v>#VALUE!</v>
      </c>
      <c r="X288" s="176" t="e">
        <f>IF(VLOOKUP(T_BilanSocial[[#This Row],[NumL]],T_TraitDi[#Data],COLUMN(T_TraitDi[[#This Row],[M2]]),FALSE)="","",VLOOKUP(T_BilanSocial[[#This Row],[NumL]],T_TraitDi[#Data],COLUMN(T_TraitDi[[#This Row],[M2]]),FALSE))</f>
        <v>#VALUE!</v>
      </c>
      <c r="Y288" s="176" t="e">
        <f>IF(VLOOKUP(T_BilanSocial[[#This Row],[NumL]],T_TraitDi[#Data],COLUMN(T_TraitDi[[#This Row],[M3]]),FALSE)="","",VLOOKUP(T_BilanSocial[[#This Row],[NumL]],T_TraitDi[#Data],COLUMN(T_TraitDi[[#This Row],[M3]]),FALSE))</f>
        <v>#VALUE!</v>
      </c>
      <c r="Z288" s="176" t="str">
        <f t="shared" si="50"/>
        <v/>
      </c>
      <c r="AA288" s="176" t="e">
        <f>IF(VLOOKUP(T_BilanSocial[[#This Row],[NumL]],T_TraitDi[#Data],COLUMN(T_TraitDi[[#This Row],[M5]]),FALSE)="","",VLOOKUP(T_BilanSocial[[#This Row],[NumL]],T_TraitDi[#Data],COLUMN(T_TraitDi[[#This Row],[M5]]),FALSE))</f>
        <v>#VALUE!</v>
      </c>
      <c r="AB288" s="176" t="e">
        <f>IF(VLOOKUP(T_BilanSocial[[#This Row],[NumL]],T_TraitDi[#Data],COLUMN(T_TraitDi[[#This Row],[M6]]),FALSE)="","",VLOOKUP(T_BilanSocial[[#This Row],[NumL]],T_TraitDi[#Data],COLUMN(T_TraitDi[[#This Row],[M6]]),FALSE))</f>
        <v>#VALUE!</v>
      </c>
      <c r="AC288" s="150" t="e">
        <f t="shared" si="49"/>
        <v>#VALUE!</v>
      </c>
      <c r="AD288" s="188" t="str">
        <f>IFERROR(TEXT(VLOOKUP(T_BilanSocial[[#This Row],[NumL]],T_TraitDi[#Data],COLUMN(T_TraitDi[[#This Row],[Q2]]),FALSE),"###%"),"")</f>
        <v/>
      </c>
      <c r="AE288" s="97" t="e">
        <f>VLOOKUP(T_BilanSocial[[#This Row],[NumL]],T_TraitDi[#Data],COLUMN(T_TraitDi[[#This Row],[Reg Ponct]]),FALSE)</f>
        <v>#VALUE!</v>
      </c>
      <c r="AF288" s="97" t="e">
        <f>VLOOKUP(T_BilanSocial[NumL],T_TraitDi[#Data],COLUMN(T_TraitDi[[#This Row],[Jours flottants]]),FALSE)</f>
        <v>#VALUE!</v>
      </c>
      <c r="AG288" s="97" t="str">
        <f>IFERROR(VLOOKUP(T_BilanSocial[[#This Row],[NumL]],T_TraitDi[#Data],COLUMN(T_TraitDi[[#This Row],[Lundi]]),FALSE),"")</f>
        <v/>
      </c>
      <c r="AH288" s="172" t="e">
        <f>IF(VLOOKUP(T_BilanSocial[[#This Row],[NumL]],T_TraitDi[#Data],COLUMN(T_TraitDi[[#This Row],[Colonne3]]),FALSE)=0,"",TEXT(IFERROR(VLOOKUP(T_BilanSocial[[#This Row],[NumL]],T_TraitDi[#Data],COLUMN(T_TraitDi[[#This Row],[Colonne3]]),FALSE),""),"[hh]:mm"))</f>
        <v>#VALUE!</v>
      </c>
      <c r="AI288" s="172" t="e">
        <f>IF(VLOOKUP(T_BilanSocial[[#This Row],[NumL]],T_TraitDi[#Data],COLUMN(T_TraitDi[[#This Row],[Colonne4]]),FALSE)=0,"",TEXT(IFERROR(VLOOKUP(T_BilanSocial[[#This Row],[NumL]],T_TraitDi[#Data],COLUMN(T_TraitDi[[#This Row],[Colonne4]]),FALSE),""),"[hh]:mm"))</f>
        <v>#VALUE!</v>
      </c>
      <c r="AJ288" s="172" t="e">
        <f>IF(VLOOKUP(T_BilanSocial[[#This Row],[NumL]],T_TraitDi[#Data],COLUMN(T_TraitDi[[#This Row],[Colonne5]]),FALSE)=0,"",TEXT(IFERROR(VLOOKUP(T_BilanSocial[[#This Row],[NumL]],T_TraitDi[#Data],COLUMN(T_TraitDi[[#This Row],[Colonne5]]),FALSE),""),"[hh]:mm"))</f>
        <v>#VALUE!</v>
      </c>
      <c r="AK288" s="172" t="e">
        <f>IF(VLOOKUP(T_BilanSocial[[#This Row],[NumL]],T_TraitDi[#Data],COLUMN(T_TraitDi[[#This Row],[Colonne6]]),FALSE)=0,"",TEXT(IFERROR(VLOOKUP(T_BilanSocial[[#This Row],[NumL]],T_TraitDi[#Data],COLUMN(T_TraitDi[[#This Row],[Colonne6]]),FALSE),""),"[hh]:mm"))</f>
        <v>#VALUE!</v>
      </c>
      <c r="AL288" s="172" t="e">
        <f>IF(VLOOKUP(T_BilanSocial[[#This Row],[NumL]],T_TraitDi[#Data],COLUMN(T_TraitDi[[#This Row],[Colonne7]]),FALSE)=0,"",TEXT(IFERROR(VLOOKUP(T_BilanSocial[[#This Row],[NumL]],T_TraitDi[#Data],COLUMN(T_TraitDi[[#This Row],[Colonne7]]),FALSE),""),"[hh]:mm"))</f>
        <v>#VALUE!</v>
      </c>
      <c r="AM288" s="172" t="e">
        <f>IF(VLOOKUP(T_BilanSocial[[#This Row],[NumL]],T_TraitDi[#Data],COLUMN(T_TraitDi[[#This Row],[Colonne8]]),FALSE)=0,"",TEXT(IFERROR(VLOOKUP(T_BilanSocial[[#This Row],[NumL]],T_TraitDi[#Data],COLUMN(T_TraitDi[[#This Row],[Colonne8]]),FALSE),""),"[hh]:mm"))</f>
        <v>#VALUE!</v>
      </c>
      <c r="AN288" s="172" t="str">
        <f>IFERROR(VLOOKUP(T_BilanSocial[[#This Row],[NumL]],T_TraitDi[#Data],COLUMN(T_TraitDi[[#This Row],[Mardi]]),FALSE),"")</f>
        <v/>
      </c>
      <c r="AO288" s="172" t="e">
        <f>IF(VLOOKUP(T_BilanSocial[[#This Row],[NumL]],T_TraitDi[#Data],COLUMN(T_TraitDi[[#This Row],[Colonne1]]),FALSE)=0,"",TEXT(IFERROR(VLOOKUP(T_BilanSocial[[#This Row],[NumL]],T_TraitDi[#Data],COLUMN(T_TraitDi[[#This Row],[Colonne1]]),FALSE),""),"[hh]:mm"))</f>
        <v>#VALUE!</v>
      </c>
      <c r="AP288" s="172" t="e">
        <f>IF(VLOOKUP(T_BilanSocial[[#This Row],[NumL]],T_TraitDi[#Data],COLUMN(T_TraitDi[[#This Row],[Colonne9]]),FALSE)=0,"",TEXT(IFERROR(VLOOKUP(T_BilanSocial[[#This Row],[NumL]],T_TraitDi[#Data],COLUMN(T_TraitDi[[#This Row],[Colonne9]]),FALSE),""),"[hh]:mm"))</f>
        <v>#VALUE!</v>
      </c>
      <c r="AQ288" s="172" t="str">
        <f>IFERROR(VLOOKUP(T_BilanSocial[[#This Row],[NumL]],T_TraitDi[#Data],COLUMN(T_TraitDi[[#This Row],[Colonne10]]),FALSE),"")</f>
        <v/>
      </c>
      <c r="AR288" s="172" t="e">
        <f>IF(VLOOKUP(T_BilanSocial[[#This Row],[NumL]],T_TraitDi[#Data],COLUMN(T_TraitDi[[#This Row],[Colonne11]]),FALSE)=0,"",TEXT(IFERROR(VLOOKUP(T_BilanSocial[[#This Row],[NumL]],T_TraitDi[#Data],COLUMN(T_TraitDi[[#This Row],[Colonne11]]),FALSE),""),"[hh]:mm"))</f>
        <v>#VALUE!</v>
      </c>
      <c r="AS288" s="172" t="e">
        <f>IF(VLOOKUP(T_BilanSocial[[#This Row],[NumL]],T_TraitDi[#Data],COLUMN(T_TraitDi[[#This Row],[Colonne12]]),FALSE)=0,"",TEXT(IFERROR(VLOOKUP(T_BilanSocial[[#This Row],[NumL]],T_TraitDi[#Data],COLUMN(T_TraitDi[[#This Row],[Colonne12]]),FALSE),""),"[hh]:mm"))</f>
        <v>#VALUE!</v>
      </c>
      <c r="AT288" s="172" t="e">
        <f>IF(VLOOKUP(T_BilanSocial[[#This Row],[NumL]],T_TraitDi[#Data],COLUMN(T_TraitDi[[#This Row],[Colonne14]]),FALSE)=0,"",TEXT(IFERROR(VLOOKUP(T_BilanSocial[[#This Row],[NumL]],T_TraitDi[#Data],COLUMN(T_TraitDi[[#This Row],[Colonne14]]),FALSE),""),"[hh]:mm"))</f>
        <v>#VALUE!</v>
      </c>
      <c r="AU288" s="172" t="str">
        <f>IFERROR(VLOOKUP(T_BilanSocial[[#This Row],[NumL]],T_TraitDi[#Data],COLUMN(T_TraitDi[[#This Row],[Mercredi]]),FALSE),"")</f>
        <v/>
      </c>
      <c r="AV288" s="172" t="e">
        <f>IF(VLOOKUP(T_BilanSocial[[#This Row],[NumL]],T_TraitDi[#Data],COLUMN(T_TraitDi[[#This Row],[Colonne15]]),FALSE)=0,"",TEXT(IFERROR(VLOOKUP(T_BilanSocial[[#This Row],[NumL]],T_TraitDi[#Data],COLUMN(T_TraitDi[[#This Row],[Colonne15]]),FALSE),""),"[hh]:mm"))</f>
        <v>#VALUE!</v>
      </c>
      <c r="AW288" s="172" t="e">
        <f>IF(VLOOKUP(T_BilanSocial[[#This Row],[NumL]],T_TraitDi[#Data],COLUMN(T_TraitDi[[#This Row],[Colonne16]]),FALSE)=0,"",TEXT(IFERROR(VLOOKUP(T_BilanSocial[[#This Row],[NumL]],T_TraitDi[#Data],COLUMN(T_TraitDi[[#This Row],[Colonne16]]),FALSE),""),"[hh]:mm"))</f>
        <v>#VALUE!</v>
      </c>
      <c r="AX288" s="172" t="str">
        <f>IFERROR(VLOOKUP(T_BilanSocial[[#This Row],[NumL]],T_TraitDi[#Data],COLUMN(T_TraitDi[[#This Row],[Colonne17]]),FALSE),"")</f>
        <v/>
      </c>
      <c r="AY288" s="172" t="e">
        <f>IF(VLOOKUP(T_BilanSocial[[#This Row],[NumL]],T_TraitDi[#Data],COLUMN(T_TraitDi[[#This Row],[Colonne18]]),FALSE)=0,"",TEXT(IFERROR(VLOOKUP(T_BilanSocial[[#This Row],[NumL]],T_TraitDi[#Data],COLUMN(T_TraitDi[[#This Row],[Colonne18]]),FALSE),""),"[hh]:mm"))</f>
        <v>#VALUE!</v>
      </c>
      <c r="AZ288" s="172" t="e">
        <f>IF(VLOOKUP(T_BilanSocial[[#This Row],[NumL]],T_TraitDi[#Data],COLUMN(T_TraitDi[[#This Row],[Colonne19]]),FALSE)=0,"",TEXT(IFERROR(VLOOKUP(T_BilanSocial[[#This Row],[NumL]],T_TraitDi[#Data],COLUMN(T_TraitDi[[#This Row],[Colonne19]]),FALSE),""),"[hh]:mm"))</f>
        <v>#VALUE!</v>
      </c>
      <c r="BA288" s="172" t="e">
        <f>IF(VLOOKUP(T_BilanSocial[[#This Row],[NumL]],T_TraitDi[#Data],COLUMN(T_TraitDi[[#This Row],[Colonne20]]),FALSE)=0,"",TEXT(IFERROR(VLOOKUP(T_BilanSocial[[#This Row],[NumL]],T_TraitDi[#Data],COLUMN(T_TraitDi[[#This Row],[Colonne20]]),FALSE),""),"[hh]:mm"))</f>
        <v>#VALUE!</v>
      </c>
      <c r="BB288" s="178" t="str">
        <f>IFERROR(VLOOKUP(T_BilanSocial[[#This Row],[NumL]],T_TraitDi[#Data],COLUMN(T_TraitDi[[#This Row],[Jeudi]]),FALSE),"")</f>
        <v/>
      </c>
      <c r="BC288" s="178" t="e">
        <f>IF(VLOOKUP(T_BilanSocial[[#This Row],[NumL]],T_TraitDi[#Data],COLUMN(T_TraitDi[[#This Row],[Colonne21]]),FALSE)=0,"",TEXT(IFERROR(VLOOKUP(T_BilanSocial[[#This Row],[NumL]],T_TraitDi[#Data],COLUMN(T_TraitDi[[#This Row],[Colonne21]]),FALSE),""),"[hh]:mm"))</f>
        <v>#VALUE!</v>
      </c>
      <c r="BD288" s="178" t="e">
        <f>IF(VLOOKUP(T_BilanSocial[[#This Row],[NumL]],T_TraitDi[#Data],COLUMN(T_TraitDi[[#This Row],[Colonne22]]),FALSE)=0,"",TEXT(IFERROR(VLOOKUP(T_BilanSocial[[#This Row],[NumL]],T_TraitDi[#Data],COLUMN(T_TraitDi[[#This Row],[Colonne22]]),FALSE),""),"[hh]:mm"))</f>
        <v>#VALUE!</v>
      </c>
      <c r="BE288" s="178" t="str">
        <f>IFERROR(VLOOKUP(T_BilanSocial[[#This Row],[NumL]],T_TraitDi[#Data],COLUMN(T_TraitDi[[#This Row],[Colonne23]]),FALSE),"")</f>
        <v/>
      </c>
      <c r="BF288" s="178" t="e">
        <f>IF(VLOOKUP(T_BilanSocial[[#This Row],[NumL]],T_TraitDi[#Data],COLUMN(T_TraitDi[[#This Row],[Colonne24]]),FALSE)=0,"",TEXT(IFERROR(VLOOKUP(T_BilanSocial[[#This Row],[NumL]],T_TraitDi[#Data],COLUMN(T_TraitDi[[#This Row],[Colonne24]]),FALSE),""),"[hh]:mm"))</f>
        <v>#VALUE!</v>
      </c>
      <c r="BG288" s="178" t="e">
        <f>IF(VLOOKUP(T_BilanSocial[[#This Row],[NumL]],T_TraitDi[#Data],COLUMN(T_TraitDi[[#This Row],[Colonne25]]),FALSE)=0,"",TEXT(IFERROR(VLOOKUP(T_BilanSocial[[#This Row],[NumL]],T_TraitDi[#Data],COLUMN(T_TraitDi[[#This Row],[Colonne25]]),FALSE),""),"[hh]:mm"))</f>
        <v>#VALUE!</v>
      </c>
      <c r="BH288" s="178" t="e">
        <f>IF(VLOOKUP(T_BilanSocial[[#This Row],[NumL]],T_TraitDi[#Data],COLUMN(T_TraitDi[[#This Row],[Colonne26]]),FALSE)=0,"",TEXT(IFERROR(VLOOKUP(T_BilanSocial[[#This Row],[NumL]],T_TraitDi[#Data],COLUMN(T_TraitDi[[#This Row],[Colonne26]]),FALSE),""),"[hh]:mm"))</f>
        <v>#VALUE!</v>
      </c>
      <c r="BI288" s="172" t="str">
        <f>IFERROR(VLOOKUP(T_BilanSocial[[#This Row],[NumL]],T_TraitDi[#Data],COLUMN(T_TraitDi[[#This Row],[Vendredi]]),FALSE),"")</f>
        <v/>
      </c>
      <c r="BJ288" s="172" t="e">
        <f>IF(VLOOKUP(T_BilanSocial[[#This Row],[NumL]],T_TraitDi[#Data],COLUMN(T_TraitDi[[#This Row],[Colonne27]]),FALSE)=0,"",TEXT(IFERROR(VLOOKUP(T_BilanSocial[[#This Row],[NumL]],T_TraitDi[#Data],COLUMN(T_TraitDi[[#This Row],[Colonne27]]),FALSE),""),"[hh]:mm"))</f>
        <v>#VALUE!</v>
      </c>
      <c r="BK288" s="172" t="e">
        <f>IF(VLOOKUP(T_BilanSocial[[#This Row],[NumL]],T_TraitDi[#Data],COLUMN(T_TraitDi[[#This Row],[Colonne28]]),FALSE)=0,"",TEXT(IFERROR(VLOOKUP(T_BilanSocial[[#This Row],[NumL]],T_TraitDi[#Data],COLUMN(T_TraitDi[[#This Row],[Colonne28]]),FALSE),""),"[hh]:mm"))</f>
        <v>#VALUE!</v>
      </c>
      <c r="BL288" s="172" t="str">
        <f>IFERROR(VLOOKUP(T_BilanSocial[[#This Row],[NumL]],T_TraitDi[#Data],COLUMN(T_TraitDi[[#This Row],[Colonne29]]),FALSE),"")</f>
        <v/>
      </c>
      <c r="BM288" s="172" t="e">
        <f>IF(VLOOKUP(T_BilanSocial[[#This Row],[NumL]],T_TraitDi[#Data],COLUMN(T_TraitDi[[#This Row],[Colonne30]]),FALSE)=0,"",TEXT(IFERROR(VLOOKUP(T_BilanSocial[[#This Row],[NumL]],T_TraitDi[#Data],COLUMN(T_TraitDi[[#This Row],[Colonne30]]),FALSE),""),"[hh]:mm"))</f>
        <v>#VALUE!</v>
      </c>
      <c r="BN288" s="172" t="e">
        <f>IF(VLOOKUP(T_BilanSocial[[#This Row],[NumL]],T_TraitDi[#Data],COLUMN(T_TraitDi[[#This Row],[Colonne31]]),FALSE)=0,"",TEXT(IFERROR(VLOOKUP(T_BilanSocial[[#This Row],[NumL]],T_TraitDi[#Data],COLUMN(T_TraitDi[[#This Row],[Colonne31]]),FALSE),""),"[hh]:mm"))</f>
        <v>#VALUE!</v>
      </c>
      <c r="BO288" s="172" t="e">
        <f>IF(VLOOKUP(T_BilanSocial[[#This Row],[NumL]],T_TraitDi[#Data],COLUMN(T_TraitDi[[#This Row],[Colonne32]]),FALSE)=0,"",TEXT(IFERROR(VLOOKUP(T_BilanSocial[[#This Row],[NumL]],T_TraitDi[#Data],COLUMN(T_TraitDi[[#This Row],[Colonne32]]),FALSE),""),"[hh]:mm"))</f>
        <v>#VALUE!</v>
      </c>
      <c r="BP288" s="172" t="e">
        <f>VLOOKUP(T_BilanSocial[[#This Row],[NumL]],T_TraitDi[#Data],COLUMN(T_TraitDi[NbJTot]),FALSE)</f>
        <v>#N/A</v>
      </c>
      <c r="BQ288" s="174" t="str">
        <f>IFERROR(VLOOKUP(T_BilanSocial[[#This Row],[NumL]],T_TraitDi[#Data],COLUMN(T_TraitDi[[#This Row],[NbJTW]]),FALSE),"")</f>
        <v/>
      </c>
      <c r="BR288" s="174" t="e">
        <f>IF(VLOOKUP(T_BilanSocial[[#This Row],[NumL]],T_TraitDi[#Data],COLUMN(T_TraitDi[[#This Row],[NbhTW]]),FALSE)=0,"",TEXT(IFERROR(VLOOKUP(T_BilanSocial[[#This Row],[NumL]],T_TraitDi[#Data],COLUMN(T_TraitDi[[#This Row],[NbhTW]]),FALSE),""),"[hh]:mm"))</f>
        <v>#VALUE!</v>
      </c>
      <c r="BS288" s="174" t="e">
        <f>IF(VLOOKUP(T_BilanSocial[[#This Row],[NumL]],T_TraitDi[#Data],COLUMN(T_TraitDi[[#This Row],[Nbhheb]]),FALSE)=0,"",TEXT(IFERROR(VLOOKUP($A288,T_TraitDi[#Data],COLUMN(T_TraitDi[[#This Row],[Nbhheb]]),FALSE),""),"[hh]:mm"))</f>
        <v>#VALUE!</v>
      </c>
      <c r="BT288" s="182" t="str">
        <f>IFERROR(VLOOKUP(VLOOKUP($A288,T_TraitDi[#Data],COLUMN(T_TraitDi[[#This Row],[Type1]]),FALSE),TypeTW,2,FALSE),"")</f>
        <v/>
      </c>
      <c r="BU288" s="182" t="str">
        <f>IFERROR(VLOOKUP($A288,T_TraitDi[#Data],COLUMN(T_TraitDi[[#This Row],[Rue1]]),FALSE),"")</f>
        <v/>
      </c>
      <c r="BV288" s="173" t="str">
        <f>IFERROR(VLOOKUP($A288,T_TraitDi[#Data],COLUMN(T_TraitDi[[#This Row],[CP1]]),FALSE),"")</f>
        <v/>
      </c>
      <c r="BW288" s="173" t="str">
        <f>IFERROR(VLOOKUP($A288,T_TraitDi[#Data],COLUMN(T_TraitDi[[#This Row],[VILLE1]]),FALSE),"")</f>
        <v/>
      </c>
      <c r="BX288" s="182" t="str">
        <f>IFERROR(VLOOKUP(VLOOKUP($A288,T_TraitDi[#Data],COLUMN(T_TraitDi[[#This Row],[Type2]]),FALSE),TypeTW,2,FALSE),"")</f>
        <v/>
      </c>
      <c r="BY288" s="182" t="str">
        <f>IFERROR(VLOOKUP($A288,T_TraitDi[#Data],COLUMN(T_TraitDi[[#This Row],[Rue2]]),FALSE),"")</f>
        <v/>
      </c>
      <c r="BZ288" s="173" t="str">
        <f>IFERROR(VLOOKUP($A288,T_TraitDi[#Data],COLUMN(T_TraitDi[[#This Row],[CP2]]),FALSE),"")</f>
        <v/>
      </c>
      <c r="CA288" s="173" t="str">
        <f>IFERROR(VLOOKUP($A288,T_TraitDi[#Data],COLUMN(T_TraitDi[[#This Row],[VILLE2]]),FALSE),"")</f>
        <v/>
      </c>
      <c r="CB288" s="182" t="str">
        <f>IF(VLOOKUP(T_BilanSocial[[#This Row],[NumL]],T_Equipement[#Data],COLUMN(T_Equipement[[#This Row],[PC]]),FALSE)="","Aucun équipement spécifique directement lié au télétravail",VLOOKUP(T_BilanSocial[[#This Row],[NumL]],T_Equipement[#Data],COLUMN(T_Equipement[[#This Row],[PC]]),FALSE))</f>
        <v>20-501</v>
      </c>
      <c r="CC288" s="166" t="str">
        <f>IFERROR(IF(VLOOKUP(T_BilanSocial[[#This Row],[NumL]],T_TraitDi[#Data],COLUMN(T_TraitDi[[#This Row],[Plan]]),FALSE)="OK","Un planning spécifique de télétravail est annexé à la présente convention.",""),"")</f>
        <v/>
      </c>
      <c r="CD288" s="258" t="s">
        <v>3466</v>
      </c>
      <c r="CE288" s="164" t="e">
        <f>IF(VLOOKUP(T_BilanSocial[[#This Row],[NumL]],T_suiviDi[#Data],COLUMN(T_suiviDi[[#This Row],[Entité]]),FALSE)="","",VLOOKUP(T_BilanSocial[[#This Row],[NumL]],T_suiviDi[#Data],COLUMN(T_suiviDi[[#This Row],[Entité]]),FALSE))</f>
        <v>#VALUE!</v>
      </c>
      <c r="CF288" s="164" t="str">
        <f>IF(VLOOKUP(T_BilanSocial[[#This Row],[NumL]],T_Commission[#Data],COLUMN(T_Commission[[#This Row],[envoi confirm TW]]),FALSE)="","",VLOOKUP(T_BilanSocial[[#This Row],[NumL]],T_Commission[#Data],COLUMN(T_Commission[[#This Row],[envoi confirm TW]]),FALSE))</f>
        <v>Oui</v>
      </c>
      <c r="CG288" s="255"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8" s="262" t="str">
        <f>T_BilanSocial[[#This Row],[Nom]]&amp;T_BilanSocial[[#This Row],[Prenom]]</f>
        <v/>
      </c>
      <c r="CI288" s="262">
        <f>VLOOKUP(T_BilanSocial[[#This Row],[NumL]],T_Commission[#Data],COLUMN(T_Commission[Commentaire]),FALSE)</f>
        <v>0</v>
      </c>
      <c r="CJ288" s="262" t="str">
        <f>IF(VLOOKUP(T_BilanSocial[[#This Row],[NumL]],T_Commission[#Data],COLUMN(T_Commission[Encadrant Email]),FALSE)="","",VLOOKUP(T_BilanSocial[[#This Row],[NumL]],T_Commission[#Data],COLUMN(T_Commission[Encadrant Email]),FALSE))</f>
        <v/>
      </c>
      <c r="CK288" s="340" t="str">
        <f>IF(T_BilanSocial[[#This Row],[Final]]&lt;&gt;"",VLOOKUP(T_BilanSocial[[#This Row],[NumL]],T_suiviDi[#Data],COLUMN((T_suiviDi[Statut])),FALSE),"")</f>
        <v/>
      </c>
    </row>
    <row r="289" spans="1:89" s="106" customFormat="1" ht="23.25" customHeight="1" x14ac:dyDescent="0.25">
      <c r="A289" s="90">
        <v>286</v>
      </c>
      <c r="B289" s="94" t="str">
        <f t="shared" si="45"/>
        <v/>
      </c>
      <c r="C289" s="162" t="s">
        <v>139</v>
      </c>
      <c r="D289" s="95" t="e">
        <f>IF(VLOOKUP(T_BilanSocial[[#This Row],[NumL]],T_TraitDi[#Data],COLUMN(T_TraitDi[[#This Row],[WebC]]),FALSE)="","",VLOOKUP(T_BilanSocial[[#This Row],[NumL]],T_TraitDi[#Data],COLUMN(T_TraitDi[[#This Row],[WebC]]),FALSE))</f>
        <v>#VALUE!</v>
      </c>
      <c r="E289" s="95" t="str">
        <f t="shared" si="46"/>
        <v>12 janvier 2021</v>
      </c>
      <c r="F289" s="96" t="str">
        <f>IF(T_BilanSocial[[#This Row],[Final]]&lt;&gt;"",VLOOKUP(T_BilanSocial[[#This Row],[NumL]],T_suiviDi[#Data],COLUMN((T_suiviDi[Civ.])),FALSE),"")</f>
        <v/>
      </c>
      <c r="G289" s="96" t="str">
        <f>IF(T_BilanSocial[[#This Row],[Final]]&lt;&gt;"",VLOOKUP(T_BilanSocial[[#This Row],[NumL]],T_suiviDi[#Data],COLUMN((T_suiviDi[Nom])),FALSE),"")</f>
        <v/>
      </c>
      <c r="H289" s="96" t="str">
        <f>IF(T_BilanSocial[[#This Row],[Final]]&lt;&gt;"",VLOOKUP(T_BilanSocial[[#This Row],[NumL]],T_suiviDi[#Data],COLUMN((T_suiviDi[Prénom])),FALSE),"")</f>
        <v/>
      </c>
      <c r="I289" s="96" t="str">
        <f>IFERROR(VLOOKUP(T_BilanSocial[[#This Row],[Zone_Bilan]],T_P_BilanSocial[#Data],COLUMN(T_P_BilanSocial[[#This Row],[Numero_SIHAM]]),FALSE),"")</f>
        <v/>
      </c>
      <c r="J289" s="96" t="str">
        <f>IFERROR(VLOOKUP(T_BilanSocial[[#This Row],[Zone_Bilan]],T_P_BilanSocial[#Data],COLUMN(T_P_BilanSocial[[#This Row],[Sexe]]),FALSE),"")</f>
        <v/>
      </c>
      <c r="K289" s="97" t="str">
        <f>IFERROR(VLOOKUP(T_BilanSocial[[#This Row],[Zone_Bilan]],T_P_BilanSocial[#Data],COLUMN(T_P_BilanSocial[[#This Row],[Categorie]]),FALSE),"")</f>
        <v/>
      </c>
      <c r="L289" s="96" t="str">
        <f>IFERROR(VLOOKUP(T_BilanSocial[[#This Row],[Zone_Bilan]],T_P_BilanSocial[#Data],COLUMN(T_P_BilanSocial[[#This Row],[Statut]]),FALSE),"")</f>
        <v/>
      </c>
      <c r="M289" s="96" t="str">
        <f>IFERROR(VLOOKUP(T_BilanSocial[[#This Row],[Zone_Bilan]],T_P_BilanSocial[#Data],COLUMN(T_P_BilanSocial[[#This Row],[Filiere]]),FALSE),"")</f>
        <v/>
      </c>
      <c r="N289" s="96" t="e">
        <f>VLOOKUP(T_BilanSocial[[#This Row],[NumL]],T_TraitDi[#Data],COLUMN(T_TraitDi[EXP]),FALSE)</f>
        <v>#N/A</v>
      </c>
      <c r="O289" s="96" t="e">
        <f>VLOOKUP(T_BilanSocial[[#This Row],[NumL]],T_TraitDi[#Data],COLUMN(T_TraitDi[FORM]),FALSE)</f>
        <v>#N/A</v>
      </c>
      <c r="P289" s="96" t="str">
        <f>IF(T_BilanSocial[[#This Row],[Final]]&lt;&gt;"",VLOOKUP(T_BilanSocial[[#This Row],[NumL]],T_suiviDi[#Data],COLUMN((T_suiviDi[Email])),FALSE),"")</f>
        <v/>
      </c>
      <c r="Q289" s="164" t="e">
        <f t="shared" si="52"/>
        <v>#N/A</v>
      </c>
      <c r="R289" s="164" t="e">
        <f t="shared" si="53"/>
        <v>#N/A</v>
      </c>
      <c r="S289" s="164" t="e">
        <f>IF(VLOOKUP(T_BilanSocial[[#This Row],[NumL]],T_suiviDi[#Data],COLUMN(T_suiviDi[[#This Row],[Service ]]),FALSE)="","",VLOOKUP(T_BilanSocial[[#This Row],[NumL]],T_suiviDi[#Data],COLUMN(T_suiviDi[[#This Row],[Service ]]),FALSE))</f>
        <v>#VALUE!</v>
      </c>
      <c r="T289" s="96" t="str">
        <f t="shared" si="47"/>
        <v>01 septembre 2021</v>
      </c>
      <c r="U289" s="96" t="str">
        <f t="shared" si="48"/>
        <v>30 novembre 2021</v>
      </c>
      <c r="V289" s="164" t="str">
        <f t="shared" si="54"/>
        <v>30 novembre 2021</v>
      </c>
      <c r="W289" s="176" t="e">
        <f>IF(VLOOKUP(T_BilanSocial[[#This Row],[NumL]],T_TraitDi[#Data],COLUMN(T_TraitDi[[#This Row],[M1]]),FALSE)="","",VLOOKUP(T_BilanSocial[[#This Row],[NumL]],T_TraitDi[#Data],COLUMN(T_TraitDi[[#This Row],[M1]]),FALSE))</f>
        <v>#VALUE!</v>
      </c>
      <c r="X289" s="176" t="e">
        <f>IF(VLOOKUP(T_BilanSocial[[#This Row],[NumL]],T_TraitDi[#Data],COLUMN(T_TraitDi[[#This Row],[M2]]),FALSE)="","",VLOOKUP(T_BilanSocial[[#This Row],[NumL]],T_TraitDi[#Data],COLUMN(T_TraitDi[[#This Row],[M2]]),FALSE))</f>
        <v>#VALUE!</v>
      </c>
      <c r="Y289" s="176" t="e">
        <f>IF(VLOOKUP(T_BilanSocial[[#This Row],[NumL]],T_TraitDi[#Data],COLUMN(T_TraitDi[[#This Row],[M3]]),FALSE)="","",VLOOKUP(T_BilanSocial[[#This Row],[NumL]],T_TraitDi[#Data],COLUMN(T_TraitDi[[#This Row],[M3]]),FALSE))</f>
        <v>#VALUE!</v>
      </c>
      <c r="Z289" s="176" t="str">
        <f t="shared" si="50"/>
        <v/>
      </c>
      <c r="AA289" s="176" t="e">
        <f>IF(VLOOKUP(T_BilanSocial[[#This Row],[NumL]],T_TraitDi[#Data],COLUMN(T_TraitDi[[#This Row],[M5]]),FALSE)="","",VLOOKUP(T_BilanSocial[[#This Row],[NumL]],T_TraitDi[#Data],COLUMN(T_TraitDi[[#This Row],[M5]]),FALSE))</f>
        <v>#VALUE!</v>
      </c>
      <c r="AB289" s="176" t="e">
        <f>IF(VLOOKUP(T_BilanSocial[[#This Row],[NumL]],T_TraitDi[#Data],COLUMN(T_TraitDi[[#This Row],[M6]]),FALSE)="","",VLOOKUP(T_BilanSocial[[#This Row],[NumL]],T_TraitDi[#Data],COLUMN(T_TraitDi[[#This Row],[M6]]),FALSE))</f>
        <v>#VALUE!</v>
      </c>
      <c r="AC289" s="150" t="e">
        <f t="shared" si="49"/>
        <v>#VALUE!</v>
      </c>
      <c r="AD289" s="188" t="str">
        <f>IFERROR(TEXT(VLOOKUP(T_BilanSocial[[#This Row],[NumL]],T_TraitDi[#Data],COLUMN(T_TraitDi[[#This Row],[Q2]]),FALSE),"###%"),"")</f>
        <v/>
      </c>
      <c r="AE289" s="97" t="e">
        <f>VLOOKUP(T_BilanSocial[[#This Row],[NumL]],T_TraitDi[#Data],COLUMN(T_TraitDi[[#This Row],[Reg Ponct]]),FALSE)</f>
        <v>#VALUE!</v>
      </c>
      <c r="AF289" s="97" t="e">
        <f>VLOOKUP(T_BilanSocial[NumL],T_TraitDi[#Data],COLUMN(T_TraitDi[[#This Row],[Jours flottants]]),FALSE)</f>
        <v>#VALUE!</v>
      </c>
      <c r="AG289" s="97" t="str">
        <f>IFERROR(VLOOKUP(T_BilanSocial[[#This Row],[NumL]],T_TraitDi[#Data],COLUMN(T_TraitDi[[#This Row],[Lundi]]),FALSE),"")</f>
        <v/>
      </c>
      <c r="AH289" s="172" t="e">
        <f>IF(VLOOKUP(T_BilanSocial[[#This Row],[NumL]],T_TraitDi[#Data],COLUMN(T_TraitDi[[#This Row],[Colonne3]]),FALSE)=0,"",TEXT(IFERROR(VLOOKUP(T_BilanSocial[[#This Row],[NumL]],T_TraitDi[#Data],COLUMN(T_TraitDi[[#This Row],[Colonne3]]),FALSE),""),"[hh]:mm"))</f>
        <v>#VALUE!</v>
      </c>
      <c r="AI289" s="172" t="e">
        <f>IF(VLOOKUP(T_BilanSocial[[#This Row],[NumL]],T_TraitDi[#Data],COLUMN(T_TraitDi[[#This Row],[Colonne4]]),FALSE)=0,"",TEXT(IFERROR(VLOOKUP(T_BilanSocial[[#This Row],[NumL]],T_TraitDi[#Data],COLUMN(T_TraitDi[[#This Row],[Colonne4]]),FALSE),""),"[hh]:mm"))</f>
        <v>#VALUE!</v>
      </c>
      <c r="AJ289" s="172" t="e">
        <f>IF(VLOOKUP(T_BilanSocial[[#This Row],[NumL]],T_TraitDi[#Data],COLUMN(T_TraitDi[[#This Row],[Colonne5]]),FALSE)=0,"",TEXT(IFERROR(VLOOKUP(T_BilanSocial[[#This Row],[NumL]],T_TraitDi[#Data],COLUMN(T_TraitDi[[#This Row],[Colonne5]]),FALSE),""),"[hh]:mm"))</f>
        <v>#VALUE!</v>
      </c>
      <c r="AK289" s="172" t="e">
        <f>IF(VLOOKUP(T_BilanSocial[[#This Row],[NumL]],T_TraitDi[#Data],COLUMN(T_TraitDi[[#This Row],[Colonne6]]),FALSE)=0,"",TEXT(IFERROR(VLOOKUP(T_BilanSocial[[#This Row],[NumL]],T_TraitDi[#Data],COLUMN(T_TraitDi[[#This Row],[Colonne6]]),FALSE),""),"[hh]:mm"))</f>
        <v>#VALUE!</v>
      </c>
      <c r="AL289" s="172" t="e">
        <f>IF(VLOOKUP(T_BilanSocial[[#This Row],[NumL]],T_TraitDi[#Data],COLUMN(T_TraitDi[[#This Row],[Colonne7]]),FALSE)=0,"",TEXT(IFERROR(VLOOKUP(T_BilanSocial[[#This Row],[NumL]],T_TraitDi[#Data],COLUMN(T_TraitDi[[#This Row],[Colonne7]]),FALSE),""),"[hh]:mm"))</f>
        <v>#VALUE!</v>
      </c>
      <c r="AM289" s="172" t="e">
        <f>IF(VLOOKUP(T_BilanSocial[[#This Row],[NumL]],T_TraitDi[#Data],COLUMN(T_TraitDi[[#This Row],[Colonne8]]),FALSE)=0,"",TEXT(IFERROR(VLOOKUP(T_BilanSocial[[#This Row],[NumL]],T_TraitDi[#Data],COLUMN(T_TraitDi[[#This Row],[Colonne8]]),FALSE),""),"[hh]:mm"))</f>
        <v>#VALUE!</v>
      </c>
      <c r="AN289" s="172" t="str">
        <f>IFERROR(VLOOKUP(T_BilanSocial[[#This Row],[NumL]],T_TraitDi[#Data],COLUMN(T_TraitDi[[#This Row],[Mardi]]),FALSE),"")</f>
        <v/>
      </c>
      <c r="AO289" s="172" t="e">
        <f>IF(VLOOKUP(T_BilanSocial[[#This Row],[NumL]],T_TraitDi[#Data],COLUMN(T_TraitDi[[#This Row],[Colonne1]]),FALSE)=0,"",TEXT(IFERROR(VLOOKUP(T_BilanSocial[[#This Row],[NumL]],T_TraitDi[#Data],COLUMN(T_TraitDi[[#This Row],[Colonne1]]),FALSE),""),"[hh]:mm"))</f>
        <v>#VALUE!</v>
      </c>
      <c r="AP289" s="172" t="e">
        <f>IF(VLOOKUP(T_BilanSocial[[#This Row],[NumL]],T_TraitDi[#Data],COLUMN(T_TraitDi[[#This Row],[Colonne9]]),FALSE)=0,"",TEXT(IFERROR(VLOOKUP(T_BilanSocial[[#This Row],[NumL]],T_TraitDi[#Data],COLUMN(T_TraitDi[[#This Row],[Colonne9]]),FALSE),""),"[hh]:mm"))</f>
        <v>#VALUE!</v>
      </c>
      <c r="AQ289" s="172" t="str">
        <f>IFERROR(VLOOKUP(T_BilanSocial[[#This Row],[NumL]],T_TraitDi[#Data],COLUMN(T_TraitDi[[#This Row],[Colonne10]]),FALSE),"")</f>
        <v/>
      </c>
      <c r="AR289" s="172" t="e">
        <f>IF(VLOOKUP(T_BilanSocial[[#This Row],[NumL]],T_TraitDi[#Data],COLUMN(T_TraitDi[[#This Row],[Colonne11]]),FALSE)=0,"",TEXT(IFERROR(VLOOKUP(T_BilanSocial[[#This Row],[NumL]],T_TraitDi[#Data],COLUMN(T_TraitDi[[#This Row],[Colonne11]]),FALSE),""),"[hh]:mm"))</f>
        <v>#VALUE!</v>
      </c>
      <c r="AS289" s="172" t="e">
        <f>IF(VLOOKUP(T_BilanSocial[[#This Row],[NumL]],T_TraitDi[#Data],COLUMN(T_TraitDi[[#This Row],[Colonne12]]),FALSE)=0,"",TEXT(IFERROR(VLOOKUP(T_BilanSocial[[#This Row],[NumL]],T_TraitDi[#Data],COLUMN(T_TraitDi[[#This Row],[Colonne12]]),FALSE),""),"[hh]:mm"))</f>
        <v>#VALUE!</v>
      </c>
      <c r="AT289" s="172" t="e">
        <f>IF(VLOOKUP(T_BilanSocial[[#This Row],[NumL]],T_TraitDi[#Data],COLUMN(T_TraitDi[[#This Row],[Colonne14]]),FALSE)=0,"",TEXT(IFERROR(VLOOKUP(T_BilanSocial[[#This Row],[NumL]],T_TraitDi[#Data],COLUMN(T_TraitDi[[#This Row],[Colonne14]]),FALSE),""),"[hh]:mm"))</f>
        <v>#VALUE!</v>
      </c>
      <c r="AU289" s="172" t="str">
        <f>IFERROR(VLOOKUP(T_BilanSocial[[#This Row],[NumL]],T_TraitDi[#Data],COLUMN(T_TraitDi[[#This Row],[Mercredi]]),FALSE),"")</f>
        <v/>
      </c>
      <c r="AV289" s="172" t="e">
        <f>IF(VLOOKUP(T_BilanSocial[[#This Row],[NumL]],T_TraitDi[#Data],COLUMN(T_TraitDi[[#This Row],[Colonne15]]),FALSE)=0,"",TEXT(IFERROR(VLOOKUP(T_BilanSocial[[#This Row],[NumL]],T_TraitDi[#Data],COLUMN(T_TraitDi[[#This Row],[Colonne15]]),FALSE),""),"[hh]:mm"))</f>
        <v>#VALUE!</v>
      </c>
      <c r="AW289" s="172" t="e">
        <f>IF(VLOOKUP(T_BilanSocial[[#This Row],[NumL]],T_TraitDi[#Data],COLUMN(T_TraitDi[[#This Row],[Colonne16]]),FALSE)=0,"",TEXT(IFERROR(VLOOKUP(T_BilanSocial[[#This Row],[NumL]],T_TraitDi[#Data],COLUMN(T_TraitDi[[#This Row],[Colonne16]]),FALSE),""),"[hh]:mm"))</f>
        <v>#VALUE!</v>
      </c>
      <c r="AX289" s="172" t="str">
        <f>IFERROR(VLOOKUP(T_BilanSocial[[#This Row],[NumL]],T_TraitDi[#Data],COLUMN(T_TraitDi[[#This Row],[Colonne17]]),FALSE),"")</f>
        <v/>
      </c>
      <c r="AY289" s="172" t="e">
        <f>IF(VLOOKUP(T_BilanSocial[[#This Row],[NumL]],T_TraitDi[#Data],COLUMN(T_TraitDi[[#This Row],[Colonne18]]),FALSE)=0,"",TEXT(IFERROR(VLOOKUP(T_BilanSocial[[#This Row],[NumL]],T_TraitDi[#Data],COLUMN(T_TraitDi[[#This Row],[Colonne18]]),FALSE),""),"[hh]:mm"))</f>
        <v>#VALUE!</v>
      </c>
      <c r="AZ289" s="172" t="e">
        <f>IF(VLOOKUP(T_BilanSocial[[#This Row],[NumL]],T_TraitDi[#Data],COLUMN(T_TraitDi[[#This Row],[Colonne19]]),FALSE)=0,"",TEXT(IFERROR(VLOOKUP(T_BilanSocial[[#This Row],[NumL]],T_TraitDi[#Data],COLUMN(T_TraitDi[[#This Row],[Colonne19]]),FALSE),""),"[hh]:mm"))</f>
        <v>#VALUE!</v>
      </c>
      <c r="BA289" s="172" t="e">
        <f>IF(VLOOKUP(T_BilanSocial[[#This Row],[NumL]],T_TraitDi[#Data],COLUMN(T_TraitDi[[#This Row],[Colonne20]]),FALSE)=0,"",TEXT(IFERROR(VLOOKUP(T_BilanSocial[[#This Row],[NumL]],T_TraitDi[#Data],COLUMN(T_TraitDi[[#This Row],[Colonne20]]),FALSE),""),"[hh]:mm"))</f>
        <v>#VALUE!</v>
      </c>
      <c r="BB289" s="178" t="str">
        <f>IFERROR(VLOOKUP(T_BilanSocial[[#This Row],[NumL]],T_TraitDi[#Data],COLUMN(T_TraitDi[[#This Row],[Jeudi]]),FALSE),"")</f>
        <v/>
      </c>
      <c r="BC289" s="178" t="e">
        <f>IF(VLOOKUP(T_BilanSocial[[#This Row],[NumL]],T_TraitDi[#Data],COLUMN(T_TraitDi[[#This Row],[Colonne21]]),FALSE)=0,"",TEXT(IFERROR(VLOOKUP(T_BilanSocial[[#This Row],[NumL]],T_TraitDi[#Data],COLUMN(T_TraitDi[[#This Row],[Colonne21]]),FALSE),""),"[hh]:mm"))</f>
        <v>#VALUE!</v>
      </c>
      <c r="BD289" s="178" t="e">
        <f>IF(VLOOKUP(T_BilanSocial[[#This Row],[NumL]],T_TraitDi[#Data],COLUMN(T_TraitDi[[#This Row],[Colonne22]]),FALSE)=0,"",TEXT(IFERROR(VLOOKUP(T_BilanSocial[[#This Row],[NumL]],T_TraitDi[#Data],COLUMN(T_TraitDi[[#This Row],[Colonne22]]),FALSE),""),"[hh]:mm"))</f>
        <v>#VALUE!</v>
      </c>
      <c r="BE289" s="178" t="str">
        <f>IFERROR(VLOOKUP(T_BilanSocial[[#This Row],[NumL]],T_TraitDi[#Data],COLUMN(T_TraitDi[[#This Row],[Colonne23]]),FALSE),"")</f>
        <v/>
      </c>
      <c r="BF289" s="178" t="e">
        <f>IF(VLOOKUP(T_BilanSocial[[#This Row],[NumL]],T_TraitDi[#Data],COLUMN(T_TraitDi[[#This Row],[Colonne24]]),FALSE)=0,"",TEXT(IFERROR(VLOOKUP(T_BilanSocial[[#This Row],[NumL]],T_TraitDi[#Data],COLUMN(T_TraitDi[[#This Row],[Colonne24]]),FALSE),""),"[hh]:mm"))</f>
        <v>#VALUE!</v>
      </c>
      <c r="BG289" s="178" t="e">
        <f>IF(VLOOKUP(T_BilanSocial[[#This Row],[NumL]],T_TraitDi[#Data],COLUMN(T_TraitDi[[#This Row],[Colonne25]]),FALSE)=0,"",TEXT(IFERROR(VLOOKUP(T_BilanSocial[[#This Row],[NumL]],T_TraitDi[#Data],COLUMN(T_TraitDi[[#This Row],[Colonne25]]),FALSE),""),"[hh]:mm"))</f>
        <v>#VALUE!</v>
      </c>
      <c r="BH289" s="178" t="e">
        <f>IF(VLOOKUP(T_BilanSocial[[#This Row],[NumL]],T_TraitDi[#Data],COLUMN(T_TraitDi[[#This Row],[Colonne26]]),FALSE)=0,"",TEXT(IFERROR(VLOOKUP(T_BilanSocial[[#This Row],[NumL]],T_TraitDi[#Data],COLUMN(T_TraitDi[[#This Row],[Colonne26]]),FALSE),""),"[hh]:mm"))</f>
        <v>#VALUE!</v>
      </c>
      <c r="BI289" s="172" t="str">
        <f>IFERROR(VLOOKUP(T_BilanSocial[[#This Row],[NumL]],T_TraitDi[#Data],COLUMN(T_TraitDi[[#This Row],[Vendredi]]),FALSE),"")</f>
        <v/>
      </c>
      <c r="BJ289" s="172" t="e">
        <f>IF(VLOOKUP(T_BilanSocial[[#This Row],[NumL]],T_TraitDi[#Data],COLUMN(T_TraitDi[[#This Row],[Colonne27]]),FALSE)=0,"",TEXT(IFERROR(VLOOKUP(T_BilanSocial[[#This Row],[NumL]],T_TraitDi[#Data],COLUMN(T_TraitDi[[#This Row],[Colonne27]]),FALSE),""),"[hh]:mm"))</f>
        <v>#VALUE!</v>
      </c>
      <c r="BK289" s="172" t="e">
        <f>IF(VLOOKUP(T_BilanSocial[[#This Row],[NumL]],T_TraitDi[#Data],COLUMN(T_TraitDi[[#This Row],[Colonne28]]),FALSE)=0,"",TEXT(IFERROR(VLOOKUP(T_BilanSocial[[#This Row],[NumL]],T_TraitDi[#Data],COLUMN(T_TraitDi[[#This Row],[Colonne28]]),FALSE),""),"[hh]:mm"))</f>
        <v>#VALUE!</v>
      </c>
      <c r="BL289" s="172" t="str">
        <f>IFERROR(VLOOKUP(T_BilanSocial[[#This Row],[NumL]],T_TraitDi[#Data],COLUMN(T_TraitDi[[#This Row],[Colonne29]]),FALSE),"")</f>
        <v/>
      </c>
      <c r="BM289" s="172" t="e">
        <f>IF(VLOOKUP(T_BilanSocial[[#This Row],[NumL]],T_TraitDi[#Data],COLUMN(T_TraitDi[[#This Row],[Colonne30]]),FALSE)=0,"",TEXT(IFERROR(VLOOKUP(T_BilanSocial[[#This Row],[NumL]],T_TraitDi[#Data],COLUMN(T_TraitDi[[#This Row],[Colonne30]]),FALSE),""),"[hh]:mm"))</f>
        <v>#VALUE!</v>
      </c>
      <c r="BN289" s="172" t="e">
        <f>IF(VLOOKUP(T_BilanSocial[[#This Row],[NumL]],T_TraitDi[#Data],COLUMN(T_TraitDi[[#This Row],[Colonne31]]),FALSE)=0,"",TEXT(IFERROR(VLOOKUP(T_BilanSocial[[#This Row],[NumL]],T_TraitDi[#Data],COLUMN(T_TraitDi[[#This Row],[Colonne31]]),FALSE),""),"[hh]:mm"))</f>
        <v>#VALUE!</v>
      </c>
      <c r="BO289" s="172" t="e">
        <f>IF(VLOOKUP(T_BilanSocial[[#This Row],[NumL]],T_TraitDi[#Data],COLUMN(T_TraitDi[[#This Row],[Colonne32]]),FALSE)=0,"",TEXT(IFERROR(VLOOKUP(T_BilanSocial[[#This Row],[NumL]],T_TraitDi[#Data],COLUMN(T_TraitDi[[#This Row],[Colonne32]]),FALSE),""),"[hh]:mm"))</f>
        <v>#VALUE!</v>
      </c>
      <c r="BP289" s="172" t="e">
        <f>VLOOKUP(T_BilanSocial[[#This Row],[NumL]],T_TraitDi[#Data],COLUMN(T_TraitDi[NbJTot]),FALSE)</f>
        <v>#N/A</v>
      </c>
      <c r="BQ289" s="174" t="str">
        <f>IFERROR(VLOOKUP(T_BilanSocial[[#This Row],[NumL]],T_TraitDi[#Data],COLUMN(T_TraitDi[[#This Row],[NbJTW]]),FALSE),"")</f>
        <v/>
      </c>
      <c r="BR289" s="174" t="e">
        <f>IF(VLOOKUP(T_BilanSocial[[#This Row],[NumL]],T_TraitDi[#Data],COLUMN(T_TraitDi[[#This Row],[NbhTW]]),FALSE)=0,"",TEXT(IFERROR(VLOOKUP(T_BilanSocial[[#This Row],[NumL]],T_TraitDi[#Data],COLUMN(T_TraitDi[[#This Row],[NbhTW]]),FALSE),""),"[hh]:mm"))</f>
        <v>#VALUE!</v>
      </c>
      <c r="BS289" s="174" t="e">
        <f>IF(VLOOKUP(T_BilanSocial[[#This Row],[NumL]],T_TraitDi[#Data],COLUMN(T_TraitDi[[#This Row],[Nbhheb]]),FALSE)=0,"",TEXT(IFERROR(VLOOKUP($A289,T_TraitDi[#Data],COLUMN(T_TraitDi[[#This Row],[Nbhheb]]),FALSE),""),"[hh]:mm"))</f>
        <v>#VALUE!</v>
      </c>
      <c r="BT289" s="182" t="str">
        <f>IFERROR(VLOOKUP(VLOOKUP($A289,T_TraitDi[#Data],COLUMN(T_TraitDi[[#This Row],[Type1]]),FALSE),TypeTW,2,FALSE),"")</f>
        <v/>
      </c>
      <c r="BU289" s="182" t="str">
        <f>IFERROR(VLOOKUP($A289,T_TraitDi[#Data],COLUMN(T_TraitDi[[#This Row],[Rue1]]),FALSE),"")</f>
        <v/>
      </c>
      <c r="BV289" s="173" t="str">
        <f>IFERROR(VLOOKUP($A289,T_TraitDi[#Data],COLUMN(T_TraitDi[[#This Row],[CP1]]),FALSE),"")</f>
        <v/>
      </c>
      <c r="BW289" s="173" t="str">
        <f>IFERROR(VLOOKUP($A289,T_TraitDi[#Data],COLUMN(T_TraitDi[[#This Row],[VILLE1]]),FALSE),"")</f>
        <v/>
      </c>
      <c r="BX289" s="182" t="str">
        <f>IFERROR(VLOOKUP(VLOOKUP($A289,T_TraitDi[#Data],COLUMN(T_TraitDi[[#This Row],[Type2]]),FALSE),TypeTW,2,FALSE),"")</f>
        <v/>
      </c>
      <c r="BY289" s="182" t="str">
        <f>IFERROR(VLOOKUP($A289,T_TraitDi[#Data],COLUMN(T_TraitDi[[#This Row],[Rue2]]),FALSE),"")</f>
        <v/>
      </c>
      <c r="BZ289" s="173" t="str">
        <f>IFERROR(VLOOKUP($A289,T_TraitDi[#Data],COLUMN(T_TraitDi[[#This Row],[CP2]]),FALSE),"")</f>
        <v/>
      </c>
      <c r="CA289" s="173" t="str">
        <f>IFERROR(VLOOKUP($A289,T_TraitDi[#Data],COLUMN(T_TraitDi[[#This Row],[VILLE2]]),FALSE),"")</f>
        <v/>
      </c>
      <c r="CB289" s="182" t="str">
        <f>IF(VLOOKUP(T_BilanSocial[[#This Row],[NumL]],T_Equipement[#Data],COLUMN(T_Equipement[[#This Row],[PC]]),FALSE)="","Aucun équipement spécifique directement lié au télétravail",VLOOKUP(T_BilanSocial[[#This Row],[NumL]],T_Equipement[#Data],COLUMN(T_Equipement[[#This Row],[PC]]),FALSE))</f>
        <v>20-394</v>
      </c>
      <c r="CC289" s="166" t="str">
        <f>IFERROR(IF(VLOOKUP(T_BilanSocial[[#This Row],[NumL]],T_TraitDi[#Data],COLUMN(T_TraitDi[[#This Row],[Plan]]),FALSE)="OK","Un planning spécifique de télétravail est annexé à la présente convention.",""),"")</f>
        <v/>
      </c>
      <c r="CD289" s="185"/>
      <c r="CE289" s="164" t="e">
        <f>IF(VLOOKUP(T_BilanSocial[[#This Row],[NumL]],T_suiviDi[#Data],COLUMN(T_suiviDi[[#This Row],[Entité]]),FALSE)="","",VLOOKUP(T_BilanSocial[[#This Row],[NumL]],T_suiviDi[#Data],COLUMN(T_suiviDi[[#This Row],[Entité]]),FALSE))</f>
        <v>#VALUE!</v>
      </c>
      <c r="CF289" s="164" t="str">
        <f>IF(VLOOKUP(T_BilanSocial[[#This Row],[NumL]],T_Commission[#Data],COLUMN(T_Commission[[#This Row],[envoi confirm TW]]),FALSE)="","",VLOOKUP(T_BilanSocial[[#This Row],[NumL]],T_Commission[#Data],COLUMN(T_Commission[[#This Row],[envoi confirm TW]]),FALSE))</f>
        <v>Oui</v>
      </c>
      <c r="CG289" s="265"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89" s="262" t="str">
        <f>T_BilanSocial[[#This Row],[Nom]]&amp;T_BilanSocial[[#This Row],[Prenom]]</f>
        <v/>
      </c>
      <c r="CI289" s="262">
        <f>VLOOKUP(T_BilanSocial[[#This Row],[NumL]],T_Commission[#Data],COLUMN(T_Commission[Commentaire]),FALSE)</f>
        <v>0</v>
      </c>
      <c r="CJ289" s="262" t="str">
        <f>IF(VLOOKUP(T_BilanSocial[[#This Row],[NumL]],T_Commission[#Data],COLUMN(T_Commission[Encadrant Email]),FALSE)="","",VLOOKUP(T_BilanSocial[[#This Row],[NumL]],T_Commission[#Data],COLUMN(T_Commission[Encadrant Email]),FALSE))</f>
        <v/>
      </c>
      <c r="CK289" s="340" t="str">
        <f>IF(T_BilanSocial[[#This Row],[Final]]&lt;&gt;"",VLOOKUP(T_BilanSocial[[#This Row],[NumL]],T_suiviDi[#Data],COLUMN((T_suiviDi[Statut])),FALSE),"")</f>
        <v/>
      </c>
    </row>
    <row r="290" spans="1:89" s="50" customFormat="1" ht="24.75" customHeight="1" x14ac:dyDescent="0.25">
      <c r="A290" s="90">
        <v>287</v>
      </c>
      <c r="B290" s="94" t="str">
        <f t="shared" si="45"/>
        <v/>
      </c>
      <c r="C290" s="162" t="s">
        <v>139</v>
      </c>
      <c r="D290" s="95" t="e">
        <f>IF(VLOOKUP(T_BilanSocial[[#This Row],[NumL]],T_TraitDi[#Data],COLUMN(T_TraitDi[[#This Row],[WebC]]),FALSE)="","",VLOOKUP(T_BilanSocial[[#This Row],[NumL]],T_TraitDi[#Data],COLUMN(T_TraitDi[[#This Row],[WebC]]),FALSE))</f>
        <v>#VALUE!</v>
      </c>
      <c r="E290" s="95" t="str">
        <f t="shared" si="46"/>
        <v>12 janvier 2021</v>
      </c>
      <c r="F290" s="96" t="str">
        <f>IF(T_BilanSocial[[#This Row],[Final]]&lt;&gt;"",VLOOKUP(T_BilanSocial[[#This Row],[NumL]],T_suiviDi[#Data],COLUMN((T_suiviDi[Civ.])),FALSE),"")</f>
        <v/>
      </c>
      <c r="G290" s="96" t="str">
        <f>IF(T_BilanSocial[[#This Row],[Final]]&lt;&gt;"",VLOOKUP(T_BilanSocial[[#This Row],[NumL]],T_suiviDi[#Data],COLUMN((T_suiviDi[Nom])),FALSE),"")</f>
        <v/>
      </c>
      <c r="H290" s="96" t="str">
        <f>IF(T_BilanSocial[[#This Row],[Final]]&lt;&gt;"",VLOOKUP(T_BilanSocial[[#This Row],[NumL]],T_suiviDi[#Data],COLUMN((T_suiviDi[Prénom])),FALSE),"")</f>
        <v/>
      </c>
      <c r="I290" s="96" t="str">
        <f>IFERROR(VLOOKUP(T_BilanSocial[[#This Row],[Zone_Bilan]],T_P_BilanSocial[#Data],COLUMN(T_P_BilanSocial[[#This Row],[Numero_SIHAM]]),FALSE),"")</f>
        <v/>
      </c>
      <c r="J290" s="96" t="str">
        <f>IFERROR(VLOOKUP(T_BilanSocial[[#This Row],[Zone_Bilan]],T_P_BilanSocial[#Data],COLUMN(T_P_BilanSocial[[#This Row],[Sexe]]),FALSE),"")</f>
        <v/>
      </c>
      <c r="K290" s="97" t="str">
        <f>IFERROR(VLOOKUP(T_BilanSocial[[#This Row],[Zone_Bilan]],T_P_BilanSocial[#Data],COLUMN(T_P_BilanSocial[[#This Row],[Categorie]]),FALSE),"")</f>
        <v/>
      </c>
      <c r="L290" s="96" t="str">
        <f>IFERROR(VLOOKUP(T_BilanSocial[[#This Row],[Zone_Bilan]],T_P_BilanSocial[#Data],COLUMN(T_P_BilanSocial[[#This Row],[Statut]]),FALSE),"")</f>
        <v/>
      </c>
      <c r="M290" s="96" t="str">
        <f>IFERROR(VLOOKUP(T_BilanSocial[[#This Row],[Zone_Bilan]],T_P_BilanSocial[#Data],COLUMN(T_P_BilanSocial[[#This Row],[Filiere]]),FALSE),"")</f>
        <v/>
      </c>
      <c r="N290" s="96" t="e">
        <f>VLOOKUP(T_BilanSocial[[#This Row],[NumL]],T_TraitDi[#Data],COLUMN(T_TraitDi[EXP]),FALSE)</f>
        <v>#N/A</v>
      </c>
      <c r="O290" s="96" t="e">
        <f>VLOOKUP(T_BilanSocial[[#This Row],[NumL]],T_TraitDi[#Data],COLUMN(T_TraitDi[FORM]),FALSE)</f>
        <v>#N/A</v>
      </c>
      <c r="P290" s="96" t="str">
        <f>IF(T_BilanSocial[[#This Row],[Final]]&lt;&gt;"",VLOOKUP(T_BilanSocial[[#This Row],[NumL]],T_suiviDi[#Data],COLUMN((T_suiviDi[Email])),FALSE),"")</f>
        <v/>
      </c>
      <c r="Q290" s="164" t="e">
        <f t="shared" si="52"/>
        <v>#N/A</v>
      </c>
      <c r="R290" s="164" t="e">
        <f t="shared" si="53"/>
        <v>#N/A</v>
      </c>
      <c r="S290" s="164" t="e">
        <f>IF(VLOOKUP(T_BilanSocial[[#This Row],[NumL]],T_suiviDi[#Data],COLUMN(T_suiviDi[[#This Row],[Service ]]),FALSE)="","",VLOOKUP(T_BilanSocial[[#This Row],[NumL]],T_suiviDi[#Data],COLUMN(T_suiviDi[[#This Row],[Service ]]),FALSE))</f>
        <v>#VALUE!</v>
      </c>
      <c r="T290" s="96" t="str">
        <f t="shared" si="47"/>
        <v>01 septembre 2021</v>
      </c>
      <c r="U290" s="96" t="str">
        <f t="shared" si="48"/>
        <v>30 novembre 2021</v>
      </c>
      <c r="V290" s="164" t="str">
        <f t="shared" si="54"/>
        <v>30 novembre 2021</v>
      </c>
      <c r="W290" s="176" t="e">
        <f>IF(VLOOKUP(T_BilanSocial[[#This Row],[NumL]],T_TraitDi[#Data],COLUMN(T_TraitDi[[#This Row],[M1]]),FALSE)="","",VLOOKUP(T_BilanSocial[[#This Row],[NumL]],T_TraitDi[#Data],COLUMN(T_TraitDi[[#This Row],[M1]]),FALSE))</f>
        <v>#VALUE!</v>
      </c>
      <c r="X290" s="176" t="e">
        <f>IF(VLOOKUP(T_BilanSocial[[#This Row],[NumL]],T_TraitDi[#Data],COLUMN(T_TraitDi[[#This Row],[M2]]),FALSE)="","",VLOOKUP(T_BilanSocial[[#This Row],[NumL]],T_TraitDi[#Data],COLUMN(T_TraitDi[[#This Row],[M2]]),FALSE))</f>
        <v>#VALUE!</v>
      </c>
      <c r="Y290" s="176" t="e">
        <f>IF(VLOOKUP(T_BilanSocial[[#This Row],[NumL]],T_TraitDi[#Data],COLUMN(T_TraitDi[[#This Row],[M3]]),FALSE)="","",VLOOKUP(T_BilanSocial[[#This Row],[NumL]],T_TraitDi[#Data],COLUMN(T_TraitDi[[#This Row],[M3]]),FALSE))</f>
        <v>#VALUE!</v>
      </c>
      <c r="Z290" s="176" t="str">
        <f t="shared" si="50"/>
        <v/>
      </c>
      <c r="AA290" s="176" t="e">
        <f>IF(VLOOKUP(T_BilanSocial[[#This Row],[NumL]],T_TraitDi[#Data],COLUMN(T_TraitDi[[#This Row],[M5]]),FALSE)="","",VLOOKUP(T_BilanSocial[[#This Row],[NumL]],T_TraitDi[#Data],COLUMN(T_TraitDi[[#This Row],[M5]]),FALSE))</f>
        <v>#VALUE!</v>
      </c>
      <c r="AB290" s="176" t="e">
        <f>IF(VLOOKUP(T_BilanSocial[[#This Row],[NumL]],T_TraitDi[#Data],COLUMN(T_TraitDi[[#This Row],[M6]]),FALSE)="","",VLOOKUP(T_BilanSocial[[#This Row],[NumL]],T_TraitDi[#Data],COLUMN(T_TraitDi[[#This Row],[M6]]),FALSE))</f>
        <v>#VALUE!</v>
      </c>
      <c r="AC290" s="150" t="e">
        <f t="shared" si="49"/>
        <v>#VALUE!</v>
      </c>
      <c r="AD290" s="188" t="str">
        <f>IFERROR(TEXT(VLOOKUP(T_BilanSocial[[#This Row],[NumL]],T_TraitDi[#Data],COLUMN(T_TraitDi[[#This Row],[Q2]]),FALSE),"###%"),"")</f>
        <v/>
      </c>
      <c r="AE290" s="97" t="e">
        <f>VLOOKUP(T_BilanSocial[[#This Row],[NumL]],T_TraitDi[#Data],COLUMN(T_TraitDi[[#This Row],[Reg Ponct]]),FALSE)</f>
        <v>#VALUE!</v>
      </c>
      <c r="AF290" s="97" t="e">
        <f>VLOOKUP(T_BilanSocial[NumL],T_TraitDi[#Data],COLUMN(T_TraitDi[[#This Row],[Jours flottants]]),FALSE)</f>
        <v>#VALUE!</v>
      </c>
      <c r="AG290" s="97" t="str">
        <f>IFERROR(VLOOKUP(T_BilanSocial[[#This Row],[NumL]],T_TraitDi[#Data],COLUMN(T_TraitDi[[#This Row],[Lundi]]),FALSE),"")</f>
        <v/>
      </c>
      <c r="AH290" s="172" t="e">
        <f>IF(VLOOKUP(T_BilanSocial[[#This Row],[NumL]],T_TraitDi[#Data],COLUMN(T_TraitDi[[#This Row],[Colonne3]]),FALSE)=0,"",TEXT(IFERROR(VLOOKUP(T_BilanSocial[[#This Row],[NumL]],T_TraitDi[#Data],COLUMN(T_TraitDi[[#This Row],[Colonne3]]),FALSE),""),"[hh]:mm"))</f>
        <v>#VALUE!</v>
      </c>
      <c r="AI290" s="172" t="e">
        <f>IF(VLOOKUP(T_BilanSocial[[#This Row],[NumL]],T_TraitDi[#Data],COLUMN(T_TraitDi[[#This Row],[Colonne4]]),FALSE)=0,"",TEXT(IFERROR(VLOOKUP(T_BilanSocial[[#This Row],[NumL]],T_TraitDi[#Data],COLUMN(T_TraitDi[[#This Row],[Colonne4]]),FALSE),""),"[hh]:mm"))</f>
        <v>#VALUE!</v>
      </c>
      <c r="AJ290" s="172" t="e">
        <f>IF(VLOOKUP(T_BilanSocial[[#This Row],[NumL]],T_TraitDi[#Data],COLUMN(T_TraitDi[[#This Row],[Colonne5]]),FALSE)=0,"",TEXT(IFERROR(VLOOKUP(T_BilanSocial[[#This Row],[NumL]],T_TraitDi[#Data],COLUMN(T_TraitDi[[#This Row],[Colonne5]]),FALSE),""),"[hh]:mm"))</f>
        <v>#VALUE!</v>
      </c>
      <c r="AK290" s="172" t="e">
        <f>IF(VLOOKUP(T_BilanSocial[[#This Row],[NumL]],T_TraitDi[#Data],COLUMN(T_TraitDi[[#This Row],[Colonne6]]),FALSE)=0,"",TEXT(IFERROR(VLOOKUP(T_BilanSocial[[#This Row],[NumL]],T_TraitDi[#Data],COLUMN(T_TraitDi[[#This Row],[Colonne6]]),FALSE),""),"[hh]:mm"))</f>
        <v>#VALUE!</v>
      </c>
      <c r="AL290" s="172" t="e">
        <f>IF(VLOOKUP(T_BilanSocial[[#This Row],[NumL]],T_TraitDi[#Data],COLUMN(T_TraitDi[[#This Row],[Colonne7]]),FALSE)=0,"",TEXT(IFERROR(VLOOKUP(T_BilanSocial[[#This Row],[NumL]],T_TraitDi[#Data],COLUMN(T_TraitDi[[#This Row],[Colonne7]]),FALSE),""),"[hh]:mm"))</f>
        <v>#VALUE!</v>
      </c>
      <c r="AM290" s="172" t="e">
        <f>IF(VLOOKUP(T_BilanSocial[[#This Row],[NumL]],T_TraitDi[#Data],COLUMN(T_TraitDi[[#This Row],[Colonne8]]),FALSE)=0,"",TEXT(IFERROR(VLOOKUP(T_BilanSocial[[#This Row],[NumL]],T_TraitDi[#Data],COLUMN(T_TraitDi[[#This Row],[Colonne8]]),FALSE),""),"[hh]:mm"))</f>
        <v>#VALUE!</v>
      </c>
      <c r="AN290" s="172" t="str">
        <f>IFERROR(VLOOKUP(T_BilanSocial[[#This Row],[NumL]],T_TraitDi[#Data],COLUMN(T_TraitDi[[#This Row],[Mardi]]),FALSE),"")</f>
        <v/>
      </c>
      <c r="AO290" s="172" t="e">
        <f>IF(VLOOKUP(T_BilanSocial[[#This Row],[NumL]],T_TraitDi[#Data],COLUMN(T_TraitDi[[#This Row],[Colonne1]]),FALSE)=0,"",TEXT(IFERROR(VLOOKUP(T_BilanSocial[[#This Row],[NumL]],T_TraitDi[#Data],COLUMN(T_TraitDi[[#This Row],[Colonne1]]),FALSE),""),"[hh]:mm"))</f>
        <v>#VALUE!</v>
      </c>
      <c r="AP290" s="172" t="e">
        <f>IF(VLOOKUP(T_BilanSocial[[#This Row],[NumL]],T_TraitDi[#Data],COLUMN(T_TraitDi[[#This Row],[Colonne9]]),FALSE)=0,"",TEXT(IFERROR(VLOOKUP(T_BilanSocial[[#This Row],[NumL]],T_TraitDi[#Data],COLUMN(T_TraitDi[[#This Row],[Colonne9]]),FALSE),""),"[hh]:mm"))</f>
        <v>#VALUE!</v>
      </c>
      <c r="AQ290" s="172" t="str">
        <f>IFERROR(VLOOKUP(T_BilanSocial[[#This Row],[NumL]],T_TraitDi[#Data],COLUMN(T_TraitDi[[#This Row],[Colonne10]]),FALSE),"")</f>
        <v/>
      </c>
      <c r="AR290" s="172" t="e">
        <f>IF(VLOOKUP(T_BilanSocial[[#This Row],[NumL]],T_TraitDi[#Data],COLUMN(T_TraitDi[[#This Row],[Colonne11]]),FALSE)=0,"",TEXT(IFERROR(VLOOKUP(T_BilanSocial[[#This Row],[NumL]],T_TraitDi[#Data],COLUMN(T_TraitDi[[#This Row],[Colonne11]]),FALSE),""),"[hh]:mm"))</f>
        <v>#VALUE!</v>
      </c>
      <c r="AS290" s="172" t="e">
        <f>IF(VLOOKUP(T_BilanSocial[[#This Row],[NumL]],T_TraitDi[#Data],COLUMN(T_TraitDi[[#This Row],[Colonne12]]),FALSE)=0,"",TEXT(IFERROR(VLOOKUP(T_BilanSocial[[#This Row],[NumL]],T_TraitDi[#Data],COLUMN(T_TraitDi[[#This Row],[Colonne12]]),FALSE),""),"[hh]:mm"))</f>
        <v>#VALUE!</v>
      </c>
      <c r="AT290" s="172" t="e">
        <f>IF(VLOOKUP(T_BilanSocial[[#This Row],[NumL]],T_TraitDi[#Data],COLUMN(T_TraitDi[[#This Row],[Colonne14]]),FALSE)=0,"",TEXT(IFERROR(VLOOKUP(T_BilanSocial[[#This Row],[NumL]],T_TraitDi[#Data],COLUMN(T_TraitDi[[#This Row],[Colonne14]]),FALSE),""),"[hh]:mm"))</f>
        <v>#VALUE!</v>
      </c>
      <c r="AU290" s="172" t="str">
        <f>IFERROR(VLOOKUP(T_BilanSocial[[#This Row],[NumL]],T_TraitDi[#Data],COLUMN(T_TraitDi[[#This Row],[Mercredi]]),FALSE),"")</f>
        <v/>
      </c>
      <c r="AV290" s="172" t="e">
        <f>IF(VLOOKUP(T_BilanSocial[[#This Row],[NumL]],T_TraitDi[#Data],COLUMN(T_TraitDi[[#This Row],[Colonne15]]),FALSE)=0,"",TEXT(IFERROR(VLOOKUP(T_BilanSocial[[#This Row],[NumL]],T_TraitDi[#Data],COLUMN(T_TraitDi[[#This Row],[Colonne15]]),FALSE),""),"[hh]:mm"))</f>
        <v>#VALUE!</v>
      </c>
      <c r="AW290" s="172" t="e">
        <f>IF(VLOOKUP(T_BilanSocial[[#This Row],[NumL]],T_TraitDi[#Data],COLUMN(T_TraitDi[[#This Row],[Colonne16]]),FALSE)=0,"",TEXT(IFERROR(VLOOKUP(T_BilanSocial[[#This Row],[NumL]],T_TraitDi[#Data],COLUMN(T_TraitDi[[#This Row],[Colonne16]]),FALSE),""),"[hh]:mm"))</f>
        <v>#VALUE!</v>
      </c>
      <c r="AX290" s="172" t="str">
        <f>IFERROR(VLOOKUP(T_BilanSocial[[#This Row],[NumL]],T_TraitDi[#Data],COLUMN(T_TraitDi[[#This Row],[Colonne17]]),FALSE),"")</f>
        <v/>
      </c>
      <c r="AY290" s="172" t="e">
        <f>IF(VLOOKUP(T_BilanSocial[[#This Row],[NumL]],T_TraitDi[#Data],COLUMN(T_TraitDi[[#This Row],[Colonne18]]),FALSE)=0,"",TEXT(IFERROR(VLOOKUP(T_BilanSocial[[#This Row],[NumL]],T_TraitDi[#Data],COLUMN(T_TraitDi[[#This Row],[Colonne18]]),FALSE),""),"[hh]:mm"))</f>
        <v>#VALUE!</v>
      </c>
      <c r="AZ290" s="172" t="e">
        <f>IF(VLOOKUP(T_BilanSocial[[#This Row],[NumL]],T_TraitDi[#Data],COLUMN(T_TraitDi[[#This Row],[Colonne19]]),FALSE)=0,"",TEXT(IFERROR(VLOOKUP(T_BilanSocial[[#This Row],[NumL]],T_TraitDi[#Data],COLUMN(T_TraitDi[[#This Row],[Colonne19]]),FALSE),""),"[hh]:mm"))</f>
        <v>#VALUE!</v>
      </c>
      <c r="BA290" s="172" t="e">
        <f>IF(VLOOKUP(T_BilanSocial[[#This Row],[NumL]],T_TraitDi[#Data],COLUMN(T_TraitDi[[#This Row],[Colonne20]]),FALSE)=0,"",TEXT(IFERROR(VLOOKUP(T_BilanSocial[[#This Row],[NumL]],T_TraitDi[#Data],COLUMN(T_TraitDi[[#This Row],[Colonne20]]),FALSE),""),"[hh]:mm"))</f>
        <v>#VALUE!</v>
      </c>
      <c r="BB290" s="178" t="str">
        <f>IFERROR(VLOOKUP(T_BilanSocial[[#This Row],[NumL]],T_TraitDi[#Data],COLUMN(T_TraitDi[[#This Row],[Jeudi]]),FALSE),"")</f>
        <v/>
      </c>
      <c r="BC290" s="178" t="e">
        <f>IF(VLOOKUP(T_BilanSocial[[#This Row],[NumL]],T_TraitDi[#Data],COLUMN(T_TraitDi[[#This Row],[Colonne21]]),FALSE)=0,"",TEXT(IFERROR(VLOOKUP(T_BilanSocial[[#This Row],[NumL]],T_TraitDi[#Data],COLUMN(T_TraitDi[[#This Row],[Colonne21]]),FALSE),""),"[hh]:mm"))</f>
        <v>#VALUE!</v>
      </c>
      <c r="BD290" s="178" t="e">
        <f>IF(VLOOKUP(T_BilanSocial[[#This Row],[NumL]],T_TraitDi[#Data],COLUMN(T_TraitDi[[#This Row],[Colonne22]]),FALSE)=0,"",TEXT(IFERROR(VLOOKUP(T_BilanSocial[[#This Row],[NumL]],T_TraitDi[#Data],COLUMN(T_TraitDi[[#This Row],[Colonne22]]),FALSE),""),"[hh]:mm"))</f>
        <v>#VALUE!</v>
      </c>
      <c r="BE290" s="178" t="str">
        <f>IFERROR(VLOOKUP(T_BilanSocial[[#This Row],[NumL]],T_TraitDi[#Data],COLUMN(T_TraitDi[[#This Row],[Colonne23]]),FALSE),"")</f>
        <v/>
      </c>
      <c r="BF290" s="178" t="e">
        <f>IF(VLOOKUP(T_BilanSocial[[#This Row],[NumL]],T_TraitDi[#Data],COLUMN(T_TraitDi[[#This Row],[Colonne24]]),FALSE)=0,"",TEXT(IFERROR(VLOOKUP(T_BilanSocial[[#This Row],[NumL]],T_TraitDi[#Data],COLUMN(T_TraitDi[[#This Row],[Colonne24]]),FALSE),""),"[hh]:mm"))</f>
        <v>#VALUE!</v>
      </c>
      <c r="BG290" s="178" t="e">
        <f>IF(VLOOKUP(T_BilanSocial[[#This Row],[NumL]],T_TraitDi[#Data],COLUMN(T_TraitDi[[#This Row],[Colonne25]]),FALSE)=0,"",TEXT(IFERROR(VLOOKUP(T_BilanSocial[[#This Row],[NumL]],T_TraitDi[#Data],COLUMN(T_TraitDi[[#This Row],[Colonne25]]),FALSE),""),"[hh]:mm"))</f>
        <v>#VALUE!</v>
      </c>
      <c r="BH290" s="178" t="e">
        <f>IF(VLOOKUP(T_BilanSocial[[#This Row],[NumL]],T_TraitDi[#Data],COLUMN(T_TraitDi[[#This Row],[Colonne26]]),FALSE)=0,"",TEXT(IFERROR(VLOOKUP(T_BilanSocial[[#This Row],[NumL]],T_TraitDi[#Data],COLUMN(T_TraitDi[[#This Row],[Colonne26]]),FALSE),""),"[hh]:mm"))</f>
        <v>#VALUE!</v>
      </c>
      <c r="BI290" s="172" t="str">
        <f>IFERROR(VLOOKUP(T_BilanSocial[[#This Row],[NumL]],T_TraitDi[#Data],COLUMN(T_TraitDi[[#This Row],[Vendredi]]),FALSE),"")</f>
        <v/>
      </c>
      <c r="BJ290" s="172" t="e">
        <f>IF(VLOOKUP(T_BilanSocial[[#This Row],[NumL]],T_TraitDi[#Data],COLUMN(T_TraitDi[[#This Row],[Colonne27]]),FALSE)=0,"",TEXT(IFERROR(VLOOKUP(T_BilanSocial[[#This Row],[NumL]],T_TraitDi[#Data],COLUMN(T_TraitDi[[#This Row],[Colonne27]]),FALSE),""),"[hh]:mm"))</f>
        <v>#VALUE!</v>
      </c>
      <c r="BK290" s="172" t="e">
        <f>IF(VLOOKUP(T_BilanSocial[[#This Row],[NumL]],T_TraitDi[#Data],COLUMN(T_TraitDi[[#This Row],[Colonne28]]),FALSE)=0,"",TEXT(IFERROR(VLOOKUP(T_BilanSocial[[#This Row],[NumL]],T_TraitDi[#Data],COLUMN(T_TraitDi[[#This Row],[Colonne28]]),FALSE),""),"[hh]:mm"))</f>
        <v>#VALUE!</v>
      </c>
      <c r="BL290" s="172" t="str">
        <f>IFERROR(VLOOKUP(T_BilanSocial[[#This Row],[NumL]],T_TraitDi[#Data],COLUMN(T_TraitDi[[#This Row],[Colonne29]]),FALSE),"")</f>
        <v/>
      </c>
      <c r="BM290" s="172" t="e">
        <f>IF(VLOOKUP(T_BilanSocial[[#This Row],[NumL]],T_TraitDi[#Data],COLUMN(T_TraitDi[[#This Row],[Colonne30]]),FALSE)=0,"",TEXT(IFERROR(VLOOKUP(T_BilanSocial[[#This Row],[NumL]],T_TraitDi[#Data],COLUMN(T_TraitDi[[#This Row],[Colonne30]]),FALSE),""),"[hh]:mm"))</f>
        <v>#VALUE!</v>
      </c>
      <c r="BN290" s="172" t="e">
        <f>IF(VLOOKUP(T_BilanSocial[[#This Row],[NumL]],T_TraitDi[#Data],COLUMN(T_TraitDi[[#This Row],[Colonne31]]),FALSE)=0,"",TEXT(IFERROR(VLOOKUP(T_BilanSocial[[#This Row],[NumL]],T_TraitDi[#Data],COLUMN(T_TraitDi[[#This Row],[Colonne31]]),FALSE),""),"[hh]:mm"))</f>
        <v>#VALUE!</v>
      </c>
      <c r="BO290" s="172" t="e">
        <f>IF(VLOOKUP(T_BilanSocial[[#This Row],[NumL]],T_TraitDi[#Data],COLUMN(T_TraitDi[[#This Row],[Colonne32]]),FALSE)=0,"",TEXT(IFERROR(VLOOKUP(T_BilanSocial[[#This Row],[NumL]],T_TraitDi[#Data],COLUMN(T_TraitDi[[#This Row],[Colonne32]]),FALSE),""),"[hh]:mm"))</f>
        <v>#VALUE!</v>
      </c>
      <c r="BP290" s="172" t="e">
        <f>VLOOKUP(T_BilanSocial[[#This Row],[NumL]],T_TraitDi[#Data],COLUMN(T_TraitDi[NbJTot]),FALSE)</f>
        <v>#N/A</v>
      </c>
      <c r="BQ290" s="174" t="str">
        <f>IFERROR(VLOOKUP(T_BilanSocial[[#This Row],[NumL]],T_TraitDi[#Data],COLUMN(T_TraitDi[[#This Row],[NbJTW]]),FALSE),"")</f>
        <v/>
      </c>
      <c r="BR290" s="174" t="e">
        <f>IF(VLOOKUP(T_BilanSocial[[#This Row],[NumL]],T_TraitDi[#Data],COLUMN(T_TraitDi[[#This Row],[NbhTW]]),FALSE)=0,"",TEXT(IFERROR(VLOOKUP(T_BilanSocial[[#This Row],[NumL]],T_TraitDi[#Data],COLUMN(T_TraitDi[[#This Row],[NbhTW]]),FALSE),""),"[hh]:mm"))</f>
        <v>#VALUE!</v>
      </c>
      <c r="BS290" s="174" t="e">
        <f>IF(VLOOKUP(T_BilanSocial[[#This Row],[NumL]],T_TraitDi[#Data],COLUMN(T_TraitDi[[#This Row],[Nbhheb]]),FALSE)=0,"",TEXT(IFERROR(VLOOKUP($A290,T_TraitDi[#Data],COLUMN(T_TraitDi[[#This Row],[Nbhheb]]),FALSE),""),"[hh]:mm"))</f>
        <v>#VALUE!</v>
      </c>
      <c r="BT290" s="182" t="str">
        <f>IFERROR(VLOOKUP(VLOOKUP($A290,T_TraitDi[#Data],COLUMN(T_TraitDi[[#This Row],[Type1]]),FALSE),TypeTW,2,FALSE),"")</f>
        <v/>
      </c>
      <c r="BU290" s="182" t="str">
        <f>IFERROR(VLOOKUP($A290,T_TraitDi[#Data],COLUMN(T_TraitDi[[#This Row],[Rue1]]),FALSE),"")</f>
        <v/>
      </c>
      <c r="BV290" s="173" t="str">
        <f>IFERROR(VLOOKUP($A290,T_TraitDi[#Data],COLUMN(T_TraitDi[[#This Row],[CP1]]),FALSE),"")</f>
        <v/>
      </c>
      <c r="BW290" s="173" t="str">
        <f>IFERROR(VLOOKUP($A290,T_TraitDi[#Data],COLUMN(T_TraitDi[[#This Row],[VILLE1]]),FALSE),"")</f>
        <v/>
      </c>
      <c r="BX290" s="182" t="str">
        <f>IFERROR(VLOOKUP(VLOOKUP($A290,T_TraitDi[#Data],COLUMN(T_TraitDi[[#This Row],[Type2]]),FALSE),TypeTW,2,FALSE),"")</f>
        <v/>
      </c>
      <c r="BY290" s="182" t="str">
        <f>IFERROR(VLOOKUP($A290,T_TraitDi[#Data],COLUMN(T_TraitDi[[#This Row],[Rue2]]),FALSE),"")</f>
        <v/>
      </c>
      <c r="BZ290" s="173" t="str">
        <f>IFERROR(VLOOKUP($A290,T_TraitDi[#Data],COLUMN(T_TraitDi[[#This Row],[CP2]]),FALSE),"")</f>
        <v/>
      </c>
      <c r="CA290" s="173" t="str">
        <f>IFERROR(VLOOKUP($A290,T_TraitDi[#Data],COLUMN(T_TraitDi[[#This Row],[VILLE2]]),FALSE),"")</f>
        <v/>
      </c>
      <c r="CB290" s="182" t="str">
        <f>IF(VLOOKUP(T_BilanSocial[[#This Row],[NumL]],T_Equipement[#Data],COLUMN(T_Equipement[[#This Row],[PC]]),FALSE)="","Aucun équipement spécifique directement lié au télétravail",VLOOKUP(T_BilanSocial[[#This Row],[NumL]],T_Equipement[#Data],COLUMN(T_Equipement[[#This Row],[PC]]),FALSE))</f>
        <v xml:space="preserve">20-010	</v>
      </c>
      <c r="CC290" s="166" t="str">
        <f>IFERROR(IF(VLOOKUP(T_BilanSocial[[#This Row],[NumL]],T_TraitDi[#Data],COLUMN(T_TraitDi[[#This Row],[Plan]]),FALSE)="OK","Un planning spécifique de télétravail est annexé à la présente convention.",""),"")</f>
        <v/>
      </c>
      <c r="CD290" s="185"/>
      <c r="CE290" s="164" t="e">
        <f>IF(VLOOKUP(T_BilanSocial[[#This Row],[NumL]],T_suiviDi[#Data],COLUMN(T_suiviDi[[#This Row],[Entité]]),FALSE)="","",VLOOKUP(T_BilanSocial[[#This Row],[NumL]],T_suiviDi[#Data],COLUMN(T_suiviDi[[#This Row],[Entité]]),FALSE))</f>
        <v>#VALUE!</v>
      </c>
      <c r="CF290" s="164" t="str">
        <f>IF(VLOOKUP(T_BilanSocial[[#This Row],[NumL]],T_Commission[#Data],COLUMN(T_Commission[[#This Row],[envoi confirm TW]]),FALSE)="","",VLOOKUP(T_BilanSocial[[#This Row],[NumL]],T_Commission[#Data],COLUMN(T_Commission[[#This Row],[envoi confirm TW]]),FALSE))</f>
        <v>Oui</v>
      </c>
      <c r="CG290" s="265"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0" s="263" t="str">
        <f>T_BilanSocial[[#This Row],[Nom]]&amp;T_BilanSocial[[#This Row],[Prenom]]</f>
        <v/>
      </c>
      <c r="CI290" s="263">
        <f>VLOOKUP(T_BilanSocial[[#This Row],[NumL]],T_Commission[#Data],COLUMN(T_Commission[Commentaire]),FALSE)</f>
        <v>0</v>
      </c>
      <c r="CJ290" s="263" t="str">
        <f>IF(VLOOKUP(T_BilanSocial[[#This Row],[NumL]],T_Commission[#Data],COLUMN(T_Commission[Encadrant Email]),FALSE)="","",VLOOKUP(T_BilanSocial[[#This Row],[NumL]],T_Commission[#Data],COLUMN(T_Commission[Encadrant Email]),FALSE))</f>
        <v/>
      </c>
      <c r="CK290" s="332" t="str">
        <f>IF(T_BilanSocial[[#This Row],[Final]]&lt;&gt;"",VLOOKUP(T_BilanSocial[[#This Row],[NumL]],T_suiviDi[#Data],COLUMN((T_suiviDi[Statut])),FALSE),"")</f>
        <v/>
      </c>
    </row>
    <row r="291" spans="1:89" s="50" customFormat="1" ht="21" customHeight="1" x14ac:dyDescent="0.25">
      <c r="A291" s="90">
        <v>288</v>
      </c>
      <c r="B291" s="94">
        <f t="shared" si="45"/>
        <v>1</v>
      </c>
      <c r="C291" s="162" t="s">
        <v>139</v>
      </c>
      <c r="D291" s="95" t="e">
        <f>IF(VLOOKUP(T_BilanSocial[[#This Row],[NumL]],T_TraitDi[#Data],COLUMN(T_TraitDi[[#This Row],[WebC]]),FALSE)="","",VLOOKUP(T_BilanSocial[[#This Row],[NumL]],T_TraitDi[#Data],COLUMN(T_TraitDi[[#This Row],[WebC]]),FALSE))</f>
        <v>#VALUE!</v>
      </c>
      <c r="E291" s="95" t="str">
        <f t="shared" si="46"/>
        <v>12 janvier 2021</v>
      </c>
      <c r="F291" s="96" t="str">
        <f>IF(T_BilanSocial[[#This Row],[Final]]&lt;&gt;"",VLOOKUP(T_BilanSocial[[#This Row],[NumL]],T_suiviDi[#Data],COLUMN((T_suiviDi[Civ.])),FALSE),"")</f>
        <v>Mme</v>
      </c>
      <c r="G291" s="96" t="str">
        <f>IF(T_BilanSocial[[#This Row],[Final]]&lt;&gt;"",VLOOKUP(T_BilanSocial[[#This Row],[NumL]],T_suiviDi[#Data],COLUMN((T_suiviDi[Nom])),FALSE),"")</f>
        <v>A</v>
      </c>
      <c r="H291" s="96" t="str">
        <f>IF(T_BilanSocial[[#This Row],[Final]]&lt;&gt;"",VLOOKUP(T_BilanSocial[[#This Row],[NumL]],T_suiviDi[#Data],COLUMN((T_suiviDi[Prénom])),FALSE),"")</f>
        <v>Ilidia</v>
      </c>
      <c r="I291" s="96" t="str">
        <f>IFERROR(VLOOKUP(T_BilanSocial[[#This Row],[Zone_Bilan]],T_P_BilanSocial[#Data],COLUMN(T_P_BilanSocial[[#This Row],[Numero_SIHAM]]),FALSE),"")</f>
        <v/>
      </c>
      <c r="J291" s="96" t="str">
        <f>IFERROR(VLOOKUP(T_BilanSocial[[#This Row],[Zone_Bilan]],T_P_BilanSocial[#Data],COLUMN(T_P_BilanSocial[[#This Row],[Sexe]]),FALSE),"")</f>
        <v/>
      </c>
      <c r="K291" s="97" t="str">
        <f>IFERROR(VLOOKUP(T_BilanSocial[[#This Row],[Zone_Bilan]],T_P_BilanSocial[#Data],COLUMN(T_P_BilanSocial[[#This Row],[Categorie]]),FALSE),"")</f>
        <v/>
      </c>
      <c r="L291" s="96" t="str">
        <f>IFERROR(VLOOKUP(T_BilanSocial[[#This Row],[Zone_Bilan]],T_P_BilanSocial[#Data],COLUMN(T_P_BilanSocial[[#This Row],[Statut]]),FALSE),"")</f>
        <v/>
      </c>
      <c r="M291" s="96" t="str">
        <f>IFERROR(VLOOKUP(T_BilanSocial[[#This Row],[Zone_Bilan]],T_P_BilanSocial[#Data],COLUMN(T_P_BilanSocial[[#This Row],[Filiere]]),FALSE),"")</f>
        <v/>
      </c>
      <c r="N291" s="96" t="str">
        <f>VLOOKUP(T_BilanSocial[[#This Row],[NumL]],T_TraitDi[#Data],COLUMN(T_TraitDi[EXP]),FALSE)</f>
        <v>N</v>
      </c>
      <c r="O291" s="96" t="str">
        <f>VLOOKUP(T_BilanSocial[[#This Row],[NumL]],T_TraitDi[#Data],COLUMN(T_TraitDi[FORM]),FALSE)</f>
        <v>N</v>
      </c>
      <c r="P291" s="96">
        <f>IF(T_BilanSocial[[#This Row],[Final]]&lt;&gt;"",VLOOKUP(T_BilanSocial[[#This Row],[NumL]],T_suiviDi[#Data],COLUMN((T_suiviDi[Email])),FALSE),"")</f>
        <v>0</v>
      </c>
      <c r="Q291" s="164" t="str">
        <f t="shared" si="52"/>
        <v>Service des licences</v>
      </c>
      <c r="R291" s="164" t="str">
        <f t="shared" si="53"/>
        <v>agent administratif de scolarité et dossiers transversaux</v>
      </c>
      <c r="S291" s="164" t="str">
        <f t="shared" ref="S291:S322" si="55">IFERROR(VLOOKUP(VLOOKUP($A291,ListeDI,6,FALSE),Entite_convention,2,FALSE)&amp;IF(VLOOKUP($A291,ListeDI,7,FALSE)&lt;&gt;""," "&amp;VLOOKUP($A291,ListeDI,7,FALSE),""),"")</f>
        <v/>
      </c>
      <c r="T291" s="96" t="str">
        <f t="shared" si="47"/>
        <v>01 septembre 2021</v>
      </c>
      <c r="U291" s="96" t="str">
        <f t="shared" si="48"/>
        <v>30 novembre 2021</v>
      </c>
      <c r="V291" s="164" t="str">
        <f t="shared" si="54"/>
        <v>30 novembre 2021</v>
      </c>
      <c r="W291" s="176" t="e">
        <f>IF(VLOOKUP(T_BilanSocial[[#This Row],[NumL]],T_TraitDi[#Data],COLUMN(T_TraitDi[[#This Row],[M1]]),FALSE)="","",VLOOKUP(T_BilanSocial[[#This Row],[NumL]],T_TraitDi[#Data],COLUMN(T_TraitDi[[#This Row],[M1]]),FALSE))</f>
        <v>#VALUE!</v>
      </c>
      <c r="X291" s="176" t="e">
        <f>IF(VLOOKUP(T_BilanSocial[[#This Row],[NumL]],T_TraitDi[#Data],COLUMN(T_TraitDi[[#This Row],[M2]]),FALSE)="","",VLOOKUP(T_BilanSocial[[#This Row],[NumL]],T_TraitDi[#Data],COLUMN(T_TraitDi[[#This Row],[M2]]),FALSE))</f>
        <v>#VALUE!</v>
      </c>
      <c r="Y291" s="176" t="e">
        <f>IF(VLOOKUP(T_BilanSocial[[#This Row],[NumL]],T_TraitDi[#Data],COLUMN(T_TraitDi[[#This Row],[M3]]),FALSE)="","",VLOOKUP(T_BilanSocial[[#This Row],[NumL]],T_TraitDi[#Data],COLUMN(T_TraitDi[[#This Row],[M3]]),FALSE))</f>
        <v>#VALUE!</v>
      </c>
      <c r="Z291" s="176" t="str">
        <f t="shared" si="50"/>
        <v/>
      </c>
      <c r="AA291" s="176" t="e">
        <f>IF(VLOOKUP(T_BilanSocial[[#This Row],[NumL]],T_TraitDi[#Data],COLUMN(T_TraitDi[[#This Row],[M5]]),FALSE)="","",VLOOKUP(T_BilanSocial[[#This Row],[NumL]],T_TraitDi[#Data],COLUMN(T_TraitDi[[#This Row],[M5]]),FALSE))</f>
        <v>#VALUE!</v>
      </c>
      <c r="AB291" s="176" t="e">
        <f>IF(VLOOKUP(T_BilanSocial[[#This Row],[NumL]],T_TraitDi[#Data],COLUMN(T_TraitDi[[#This Row],[M6]]),FALSE)="","",VLOOKUP(T_BilanSocial[[#This Row],[NumL]],T_TraitDi[#Data],COLUMN(T_TraitDi[[#This Row],[M6]]),FALSE))</f>
        <v>#VALUE!</v>
      </c>
      <c r="AC291" s="150" t="e">
        <f t="shared" si="49"/>
        <v>#VALUE!</v>
      </c>
      <c r="AD291" s="188" t="str">
        <f>IFERROR(TEXT(VLOOKUP(T_BilanSocial[[#This Row],[NumL]],T_TraitDi[#Data],COLUMN(T_TraitDi[[#This Row],[Q2]]),FALSE),"###%"),"")</f>
        <v/>
      </c>
      <c r="AE291" s="97" t="e">
        <f>VLOOKUP(T_BilanSocial[[#This Row],[NumL]],T_TraitDi[#Data],COLUMN(T_TraitDi[[#This Row],[Reg Ponct]]),FALSE)</f>
        <v>#VALUE!</v>
      </c>
      <c r="AF291" s="97" t="e">
        <f>VLOOKUP(T_BilanSocial[NumL],T_TraitDi[#Data],COLUMN(T_TraitDi[[#This Row],[Jours flottants]]),FALSE)</f>
        <v>#VALUE!</v>
      </c>
      <c r="AG291" s="97" t="str">
        <f>IFERROR(VLOOKUP(T_BilanSocial[[#This Row],[NumL]],T_TraitDi[#Data],COLUMN(T_TraitDi[[#This Row],[Lundi]]),FALSE),"")</f>
        <v/>
      </c>
      <c r="AH291" s="172" t="e">
        <f>IF(VLOOKUP(T_BilanSocial[[#This Row],[NumL]],T_TraitDi[#Data],COLUMN(T_TraitDi[[#This Row],[Colonne3]]),FALSE)=0,"",TEXT(IFERROR(VLOOKUP(T_BilanSocial[[#This Row],[NumL]],T_TraitDi[#Data],COLUMN(T_TraitDi[[#This Row],[Colonne3]]),FALSE),""),"[hh]:mm"))</f>
        <v>#VALUE!</v>
      </c>
      <c r="AI291" s="172" t="e">
        <f>IF(VLOOKUP(T_BilanSocial[[#This Row],[NumL]],T_TraitDi[#Data],COLUMN(T_TraitDi[[#This Row],[Colonne4]]),FALSE)=0,"",TEXT(IFERROR(VLOOKUP(T_BilanSocial[[#This Row],[NumL]],T_TraitDi[#Data],COLUMN(T_TraitDi[[#This Row],[Colonne4]]),FALSE),""),"[hh]:mm"))</f>
        <v>#VALUE!</v>
      </c>
      <c r="AJ291" s="172" t="e">
        <f>IF(VLOOKUP(T_BilanSocial[[#This Row],[NumL]],T_TraitDi[#Data],COLUMN(T_TraitDi[[#This Row],[Colonne5]]),FALSE)=0,"",TEXT(IFERROR(VLOOKUP(T_BilanSocial[[#This Row],[NumL]],T_TraitDi[#Data],COLUMN(T_TraitDi[[#This Row],[Colonne5]]),FALSE),""),"[hh]:mm"))</f>
        <v>#VALUE!</v>
      </c>
      <c r="AK291" s="172" t="e">
        <f>IF(VLOOKUP(T_BilanSocial[[#This Row],[NumL]],T_TraitDi[#Data],COLUMN(T_TraitDi[[#This Row],[Colonne6]]),FALSE)=0,"",TEXT(IFERROR(VLOOKUP(T_BilanSocial[[#This Row],[NumL]],T_TraitDi[#Data],COLUMN(T_TraitDi[[#This Row],[Colonne6]]),FALSE),""),"[hh]:mm"))</f>
        <v>#VALUE!</v>
      </c>
      <c r="AL291" s="172" t="e">
        <f>IF(VLOOKUP(T_BilanSocial[[#This Row],[NumL]],T_TraitDi[#Data],COLUMN(T_TraitDi[[#This Row],[Colonne7]]),FALSE)=0,"",TEXT(IFERROR(VLOOKUP(T_BilanSocial[[#This Row],[NumL]],T_TraitDi[#Data],COLUMN(T_TraitDi[[#This Row],[Colonne7]]),FALSE),""),"[hh]:mm"))</f>
        <v>#VALUE!</v>
      </c>
      <c r="AM291" s="172" t="e">
        <f>IF(VLOOKUP(T_BilanSocial[[#This Row],[NumL]],T_TraitDi[#Data],COLUMN(T_TraitDi[[#This Row],[Colonne8]]),FALSE)=0,"",TEXT(IFERROR(VLOOKUP(T_BilanSocial[[#This Row],[NumL]],T_TraitDi[#Data],COLUMN(T_TraitDi[[#This Row],[Colonne8]]),FALSE),""),"[hh]:mm"))</f>
        <v>#VALUE!</v>
      </c>
      <c r="AN291" s="172" t="str">
        <f>IFERROR(VLOOKUP(T_BilanSocial[[#This Row],[NumL]],T_TraitDi[#Data],COLUMN(T_TraitDi[[#This Row],[Mardi]]),FALSE),"")</f>
        <v/>
      </c>
      <c r="AO291" s="172" t="e">
        <f>IF(VLOOKUP(T_BilanSocial[[#This Row],[NumL]],T_TraitDi[#Data],COLUMN(T_TraitDi[[#This Row],[Colonne1]]),FALSE)=0,"",TEXT(IFERROR(VLOOKUP(T_BilanSocial[[#This Row],[NumL]],T_TraitDi[#Data],COLUMN(T_TraitDi[[#This Row],[Colonne1]]),FALSE),""),"[hh]:mm"))</f>
        <v>#VALUE!</v>
      </c>
      <c r="AP291" s="172" t="e">
        <f>IF(VLOOKUP(T_BilanSocial[[#This Row],[NumL]],T_TraitDi[#Data],COLUMN(T_TraitDi[[#This Row],[Colonne9]]),FALSE)=0,"",TEXT(IFERROR(VLOOKUP(T_BilanSocial[[#This Row],[NumL]],T_TraitDi[#Data],COLUMN(T_TraitDi[[#This Row],[Colonne9]]),FALSE),""),"[hh]:mm"))</f>
        <v>#VALUE!</v>
      </c>
      <c r="AQ291" s="172" t="str">
        <f>IFERROR(VLOOKUP(T_BilanSocial[[#This Row],[NumL]],T_TraitDi[#Data],COLUMN(T_TraitDi[[#This Row],[Colonne10]]),FALSE),"")</f>
        <v/>
      </c>
      <c r="AR291" s="172" t="e">
        <f>IF(VLOOKUP(T_BilanSocial[[#This Row],[NumL]],T_TraitDi[#Data],COLUMN(T_TraitDi[[#This Row],[Colonne11]]),FALSE)=0,"",TEXT(IFERROR(VLOOKUP(T_BilanSocial[[#This Row],[NumL]],T_TraitDi[#Data],COLUMN(T_TraitDi[[#This Row],[Colonne11]]),FALSE),""),"[hh]:mm"))</f>
        <v>#VALUE!</v>
      </c>
      <c r="AS291" s="172" t="e">
        <f>IF(VLOOKUP(T_BilanSocial[[#This Row],[NumL]],T_TraitDi[#Data],COLUMN(T_TraitDi[[#This Row],[Colonne12]]),FALSE)=0,"",TEXT(IFERROR(VLOOKUP(T_BilanSocial[[#This Row],[NumL]],T_TraitDi[#Data],COLUMN(T_TraitDi[[#This Row],[Colonne12]]),FALSE),""),"[hh]:mm"))</f>
        <v>#VALUE!</v>
      </c>
      <c r="AT291" s="172" t="e">
        <f>IF(VLOOKUP(T_BilanSocial[[#This Row],[NumL]],T_TraitDi[#Data],COLUMN(T_TraitDi[[#This Row],[Colonne14]]),FALSE)=0,"",TEXT(IFERROR(VLOOKUP(T_BilanSocial[[#This Row],[NumL]],T_TraitDi[#Data],COLUMN(T_TraitDi[[#This Row],[Colonne14]]),FALSE),""),"[hh]:mm"))</f>
        <v>#VALUE!</v>
      </c>
      <c r="AU291" s="172" t="str">
        <f>IFERROR(VLOOKUP(T_BilanSocial[[#This Row],[NumL]],T_TraitDi[#Data],COLUMN(T_TraitDi[[#This Row],[Mercredi]]),FALSE),"")</f>
        <v/>
      </c>
      <c r="AV291" s="172" t="e">
        <f>IF(VLOOKUP(T_BilanSocial[[#This Row],[NumL]],T_TraitDi[#Data],COLUMN(T_TraitDi[[#This Row],[Colonne15]]),FALSE)=0,"",TEXT(IFERROR(VLOOKUP(T_BilanSocial[[#This Row],[NumL]],T_TraitDi[#Data],COLUMN(T_TraitDi[[#This Row],[Colonne15]]),FALSE),""),"[hh]:mm"))</f>
        <v>#VALUE!</v>
      </c>
      <c r="AW291" s="172" t="e">
        <f>IF(VLOOKUP(T_BilanSocial[[#This Row],[NumL]],T_TraitDi[#Data],COLUMN(T_TraitDi[[#This Row],[Colonne16]]),FALSE)=0,"",TEXT(IFERROR(VLOOKUP(T_BilanSocial[[#This Row],[NumL]],T_TraitDi[#Data],COLUMN(T_TraitDi[[#This Row],[Colonne16]]),FALSE),""),"[hh]:mm"))</f>
        <v>#VALUE!</v>
      </c>
      <c r="AX291" s="172" t="str">
        <f>IFERROR(VLOOKUP(T_BilanSocial[[#This Row],[NumL]],T_TraitDi[#Data],COLUMN(T_TraitDi[[#This Row],[Colonne17]]),FALSE),"")</f>
        <v/>
      </c>
      <c r="AY291" s="172" t="e">
        <f>IF(VLOOKUP(T_BilanSocial[[#This Row],[NumL]],T_TraitDi[#Data],COLUMN(T_TraitDi[[#This Row],[Colonne18]]),FALSE)=0,"",TEXT(IFERROR(VLOOKUP(T_BilanSocial[[#This Row],[NumL]],T_TraitDi[#Data],COLUMN(T_TraitDi[[#This Row],[Colonne18]]),FALSE),""),"[hh]:mm"))</f>
        <v>#VALUE!</v>
      </c>
      <c r="AZ291" s="172" t="e">
        <f>IF(VLOOKUP(T_BilanSocial[[#This Row],[NumL]],T_TraitDi[#Data],COLUMN(T_TraitDi[[#This Row],[Colonne19]]),FALSE)=0,"",TEXT(IFERROR(VLOOKUP(T_BilanSocial[[#This Row],[NumL]],T_TraitDi[#Data],COLUMN(T_TraitDi[[#This Row],[Colonne19]]),FALSE),""),"[hh]:mm"))</f>
        <v>#VALUE!</v>
      </c>
      <c r="BA291" s="172" t="e">
        <f>IF(VLOOKUP(T_BilanSocial[[#This Row],[NumL]],T_TraitDi[#Data],COLUMN(T_TraitDi[[#This Row],[Colonne20]]),FALSE)=0,"",TEXT(IFERROR(VLOOKUP(T_BilanSocial[[#This Row],[NumL]],T_TraitDi[#Data],COLUMN(T_TraitDi[[#This Row],[Colonne20]]),FALSE),""),"[hh]:mm"))</f>
        <v>#VALUE!</v>
      </c>
      <c r="BB291" s="178" t="str">
        <f>IFERROR(VLOOKUP(T_BilanSocial[[#This Row],[NumL]],T_TraitDi[#Data],COLUMN(T_TraitDi[[#This Row],[Jeudi]]),FALSE),"")</f>
        <v/>
      </c>
      <c r="BC291" s="178" t="e">
        <f>IF(VLOOKUP(T_BilanSocial[[#This Row],[NumL]],T_TraitDi[#Data],COLUMN(T_TraitDi[[#This Row],[Colonne21]]),FALSE)=0,"",TEXT(IFERROR(VLOOKUP(T_BilanSocial[[#This Row],[NumL]],T_TraitDi[#Data],COLUMN(T_TraitDi[[#This Row],[Colonne21]]),FALSE),""),"[hh]:mm"))</f>
        <v>#VALUE!</v>
      </c>
      <c r="BD291" s="178" t="e">
        <f>IF(VLOOKUP(T_BilanSocial[[#This Row],[NumL]],T_TraitDi[#Data],COLUMN(T_TraitDi[[#This Row],[Colonne22]]),FALSE)=0,"",TEXT(IFERROR(VLOOKUP(T_BilanSocial[[#This Row],[NumL]],T_TraitDi[#Data],COLUMN(T_TraitDi[[#This Row],[Colonne22]]),FALSE),""),"[hh]:mm"))</f>
        <v>#VALUE!</v>
      </c>
      <c r="BE291" s="178" t="str">
        <f>IFERROR(VLOOKUP(T_BilanSocial[[#This Row],[NumL]],T_TraitDi[#Data],COLUMN(T_TraitDi[[#This Row],[Colonne23]]),FALSE),"")</f>
        <v/>
      </c>
      <c r="BF291" s="178" t="e">
        <f>IF(VLOOKUP(T_BilanSocial[[#This Row],[NumL]],T_TraitDi[#Data],COLUMN(T_TraitDi[[#This Row],[Colonne24]]),FALSE)=0,"",TEXT(IFERROR(VLOOKUP(T_BilanSocial[[#This Row],[NumL]],T_TraitDi[#Data],COLUMN(T_TraitDi[[#This Row],[Colonne24]]),FALSE),""),"[hh]:mm"))</f>
        <v>#VALUE!</v>
      </c>
      <c r="BG291" s="178" t="e">
        <f>IF(VLOOKUP(T_BilanSocial[[#This Row],[NumL]],T_TraitDi[#Data],COLUMN(T_TraitDi[[#This Row],[Colonne25]]),FALSE)=0,"",TEXT(IFERROR(VLOOKUP(T_BilanSocial[[#This Row],[NumL]],T_TraitDi[#Data],COLUMN(T_TraitDi[[#This Row],[Colonne25]]),FALSE),""),"[hh]:mm"))</f>
        <v>#VALUE!</v>
      </c>
      <c r="BH291" s="178" t="e">
        <f>IF(VLOOKUP(T_BilanSocial[[#This Row],[NumL]],T_TraitDi[#Data],COLUMN(T_TraitDi[[#This Row],[Colonne26]]),FALSE)=0,"",TEXT(IFERROR(VLOOKUP(T_BilanSocial[[#This Row],[NumL]],T_TraitDi[#Data],COLUMN(T_TraitDi[[#This Row],[Colonne26]]),FALSE),""),"[hh]:mm"))</f>
        <v>#VALUE!</v>
      </c>
      <c r="BI291" s="172" t="str">
        <f>IFERROR(VLOOKUP(T_BilanSocial[[#This Row],[NumL]],T_TraitDi[#Data],COLUMN(T_TraitDi[[#This Row],[Vendredi]]),FALSE),"")</f>
        <v/>
      </c>
      <c r="BJ291" s="172" t="e">
        <f>IF(VLOOKUP(T_BilanSocial[[#This Row],[NumL]],T_TraitDi[#Data],COLUMN(T_TraitDi[[#This Row],[Colonne27]]),FALSE)=0,"",TEXT(IFERROR(VLOOKUP(T_BilanSocial[[#This Row],[NumL]],T_TraitDi[#Data],COLUMN(T_TraitDi[[#This Row],[Colonne27]]),FALSE),""),"[hh]:mm"))</f>
        <v>#VALUE!</v>
      </c>
      <c r="BK291" s="172" t="e">
        <f>IF(VLOOKUP(T_BilanSocial[[#This Row],[NumL]],T_TraitDi[#Data],COLUMN(T_TraitDi[[#This Row],[Colonne28]]),FALSE)=0,"",TEXT(IFERROR(VLOOKUP(T_BilanSocial[[#This Row],[NumL]],T_TraitDi[#Data],COLUMN(T_TraitDi[[#This Row],[Colonne28]]),FALSE),""),"[hh]:mm"))</f>
        <v>#VALUE!</v>
      </c>
      <c r="BL291" s="172" t="str">
        <f>IFERROR(VLOOKUP(T_BilanSocial[[#This Row],[NumL]],T_TraitDi[#Data],COLUMN(T_TraitDi[[#This Row],[Colonne29]]),FALSE),"")</f>
        <v/>
      </c>
      <c r="BM291" s="172" t="e">
        <f>IF(VLOOKUP(T_BilanSocial[[#This Row],[NumL]],T_TraitDi[#Data],COLUMN(T_TraitDi[[#This Row],[Colonne30]]),FALSE)=0,"",TEXT(IFERROR(VLOOKUP(T_BilanSocial[[#This Row],[NumL]],T_TraitDi[#Data],COLUMN(T_TraitDi[[#This Row],[Colonne30]]),FALSE),""),"[hh]:mm"))</f>
        <v>#VALUE!</v>
      </c>
      <c r="BN291" s="172" t="e">
        <f>IF(VLOOKUP(T_BilanSocial[[#This Row],[NumL]],T_TraitDi[#Data],COLUMN(T_TraitDi[[#This Row],[Colonne31]]),FALSE)=0,"",TEXT(IFERROR(VLOOKUP(T_BilanSocial[[#This Row],[NumL]],T_TraitDi[#Data],COLUMN(T_TraitDi[[#This Row],[Colonne31]]),FALSE),""),"[hh]:mm"))</f>
        <v>#VALUE!</v>
      </c>
      <c r="BO291" s="172" t="e">
        <f>IF(VLOOKUP(T_BilanSocial[[#This Row],[NumL]],T_TraitDi[#Data],COLUMN(T_TraitDi[[#This Row],[Colonne32]]),FALSE)=0,"",TEXT(IFERROR(VLOOKUP(T_BilanSocial[[#This Row],[NumL]],T_TraitDi[#Data],COLUMN(T_TraitDi[[#This Row],[Colonne32]]),FALSE),""),"[hh]:mm"))</f>
        <v>#VALUE!</v>
      </c>
      <c r="BP291" s="172">
        <f>VLOOKUP(T_BilanSocial[[#This Row],[NumL]],T_TraitDi[#Data],COLUMN(T_TraitDi[NbJTot]),FALSE)</f>
        <v>4</v>
      </c>
      <c r="BQ291" s="174" t="str">
        <f>IFERROR(VLOOKUP(T_BilanSocial[[#This Row],[NumL]],T_TraitDi[#Data],COLUMN(T_TraitDi[[#This Row],[NbJTW]]),FALSE),"")</f>
        <v/>
      </c>
      <c r="BR291" s="174" t="e">
        <f>IF(VLOOKUP(T_BilanSocial[[#This Row],[NumL]],T_TraitDi[#Data],COLUMN(T_TraitDi[[#This Row],[NbhTW]]),FALSE)=0,"",TEXT(IFERROR(VLOOKUP(T_BilanSocial[[#This Row],[NumL]],T_TraitDi[#Data],COLUMN(T_TraitDi[[#This Row],[NbhTW]]),FALSE),""),"[hh]:mm"))</f>
        <v>#VALUE!</v>
      </c>
      <c r="BS291" s="174" t="e">
        <f>IF(VLOOKUP(T_BilanSocial[[#This Row],[NumL]],T_TraitDi[#Data],COLUMN(T_TraitDi[[#This Row],[Nbhheb]]),FALSE)=0,"",TEXT(IFERROR(VLOOKUP($A291,T_TraitDi[#Data],COLUMN(T_TraitDi[[#This Row],[Nbhheb]]),FALSE),""),"[hh]:mm"))</f>
        <v>#VALUE!</v>
      </c>
      <c r="BT291" s="182" t="str">
        <f>IFERROR(VLOOKUP(VLOOKUP($A291,T_TraitDi[#Data],COLUMN(T_TraitDi[[#This Row],[Type1]]),FALSE),TypeTW,2,FALSE),"")</f>
        <v/>
      </c>
      <c r="BU291" s="182" t="str">
        <f>IFERROR(VLOOKUP($A291,T_TraitDi[#Data],COLUMN(T_TraitDi[[#This Row],[Rue1]]),FALSE),"")</f>
        <v/>
      </c>
      <c r="BV291" s="173" t="str">
        <f>IFERROR(VLOOKUP($A291,T_TraitDi[#Data],COLUMN(T_TraitDi[[#This Row],[CP1]]),FALSE),"")</f>
        <v/>
      </c>
      <c r="BW291" s="173" t="str">
        <f>IFERROR(VLOOKUP($A291,T_TraitDi[#Data],COLUMN(T_TraitDi[[#This Row],[VILLE1]]),FALSE),"")</f>
        <v/>
      </c>
      <c r="BX291" s="182" t="str">
        <f>IFERROR(VLOOKUP(VLOOKUP($A291,T_TraitDi[#Data],COLUMN(T_TraitDi[[#This Row],[Type2]]),FALSE),TypeTW,2,FALSE),"")</f>
        <v/>
      </c>
      <c r="BY291" s="182" t="str">
        <f>IFERROR(VLOOKUP($A291,T_TraitDi[#Data],COLUMN(T_TraitDi[[#This Row],[Rue2]]),FALSE),"")</f>
        <v/>
      </c>
      <c r="BZ291" s="173" t="str">
        <f>IFERROR(VLOOKUP($A291,T_TraitDi[#Data],COLUMN(T_TraitDi[[#This Row],[CP2]]),FALSE),"")</f>
        <v/>
      </c>
      <c r="CA291" s="173" t="str">
        <f>IFERROR(VLOOKUP($A291,T_TraitDi[#Data],COLUMN(T_TraitDi[[#This Row],[VILLE2]]),FALSE),"")</f>
        <v/>
      </c>
      <c r="CB291" s="182" t="str">
        <f>IF(VLOOKUP(T_BilanSocial[[#This Row],[NumL]],T_Equipement[#Data],COLUMN(T_Equipement[[#This Row],[PC]]),FALSE)="","Aucun équipement spécifique directement lié au télétravail",VLOOKUP(T_BilanSocial[[#This Row],[NumL]],T_Equipement[#Data],COLUMN(T_Equipement[[#This Row],[PC]]),FALSE))</f>
        <v xml:space="preserve">20-3089 </v>
      </c>
      <c r="CC291" s="166" t="str">
        <f>IFERROR(IF(VLOOKUP(T_BilanSocial[[#This Row],[NumL]],T_TraitDi[#Data],COLUMN(T_TraitDi[[#This Row],[Plan]]),FALSE)="OK","Un planning spécifique de télétravail est annexé à la présente convention.",""),"")</f>
        <v/>
      </c>
      <c r="CD291" s="185"/>
      <c r="CE291" s="164" t="e">
        <f>IF(VLOOKUP(T_BilanSocial[[#This Row],[NumL]],T_suiviDi[#Data],COLUMN(T_suiviDi[[#This Row],[Entité]]),FALSE)="","",VLOOKUP(T_BilanSocial[[#This Row],[NumL]],T_suiviDi[#Data],COLUMN(T_suiviDi[[#This Row],[Entité]]),FALSE))</f>
        <v>#VALUE!</v>
      </c>
      <c r="CF291" s="164" t="str">
        <f>IF(VLOOKUP(T_BilanSocial[[#This Row],[NumL]],T_Commission[#Data],COLUMN(T_Commission[[#This Row],[envoi confirm TW]]),FALSE)="","",VLOOKUP(T_BilanSocial[[#This Row],[NumL]],T_Commission[#Data],COLUMN(T_Commission[[#This Row],[envoi confirm TW]]),FALSE))</f>
        <v>Oui</v>
      </c>
      <c r="CG291"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1" s="263" t="str">
        <f>T_BilanSocial[[#This Row],[Nom]]&amp;T_BilanSocial[[#This Row],[Prenom]]</f>
        <v>AIlidia</v>
      </c>
      <c r="CI291" s="263" t="str">
        <f>VLOOKUP(T_BilanSocial[[#This Row],[NumL]],T_Commission[#Data],COLUMN(T_Commission[Commentaire]),FALSE)</f>
        <v>Le télétravail est accordé pour 6 mois renouvelables sous réserve de l'avis du médecin de prévention.</v>
      </c>
      <c r="CJ291" s="263" t="str">
        <f>IF(VLOOKUP(T_BilanSocial[[#This Row],[NumL]],T_Commission[#Data],COLUMN(T_Commission[Encadrant Email]),FALSE)="","",VLOOKUP(T_BilanSocial[[#This Row],[NumL]],T_Commission[#Data],COLUMN(T_Commission[Encadrant Email]),FALSE))</f>
        <v/>
      </c>
      <c r="CK291" s="332" t="str">
        <f>IF(T_BilanSocial[[#This Row],[Final]]&lt;&gt;"",VLOOKUP(T_BilanSocial[[#This Row],[NumL]],T_suiviDi[#Data],COLUMN((T_suiviDi[Statut])),FALSE),"")</f>
        <v>ENCOURS</v>
      </c>
    </row>
    <row r="292" spans="1:89" s="50" customFormat="1" ht="21" customHeight="1" x14ac:dyDescent="0.25">
      <c r="A292" s="90">
        <v>289</v>
      </c>
      <c r="B292" s="94" t="str">
        <f t="shared" si="45"/>
        <v/>
      </c>
      <c r="C292" s="162" t="s">
        <v>139</v>
      </c>
      <c r="D292" s="95" t="e">
        <f>IF(VLOOKUP(T_BilanSocial[[#This Row],[NumL]],T_TraitDi[#Data],COLUMN(T_TraitDi[[#This Row],[WebC]]),FALSE)="","",VLOOKUP(T_BilanSocial[[#This Row],[NumL]],T_TraitDi[#Data],COLUMN(T_TraitDi[[#This Row],[WebC]]),FALSE))</f>
        <v>#VALUE!</v>
      </c>
      <c r="E292" s="95" t="str">
        <f t="shared" si="46"/>
        <v>12 janvier 2021</v>
      </c>
      <c r="F292" s="96" t="str">
        <f>IF(T_BilanSocial[[#This Row],[Final]]&lt;&gt;"",VLOOKUP(T_BilanSocial[[#This Row],[NumL]],T_suiviDi[#Data],COLUMN((T_suiviDi[Civ.])),FALSE),"")</f>
        <v/>
      </c>
      <c r="G292" s="96" t="str">
        <f>IF(T_BilanSocial[[#This Row],[Final]]&lt;&gt;"",VLOOKUP(T_BilanSocial[[#This Row],[NumL]],T_suiviDi[#Data],COLUMN((T_suiviDi[Nom])),FALSE),"")</f>
        <v/>
      </c>
      <c r="H292" s="96" t="str">
        <f>IF(T_BilanSocial[[#This Row],[Final]]&lt;&gt;"",VLOOKUP(T_BilanSocial[[#This Row],[NumL]],T_suiviDi[#Data],COLUMN((T_suiviDi[Prénom])),FALSE),"")</f>
        <v/>
      </c>
      <c r="I292" s="96" t="str">
        <f>IFERROR(VLOOKUP(T_BilanSocial[[#This Row],[Zone_Bilan]],T_P_BilanSocial[#Data],COLUMN(T_P_BilanSocial[[#This Row],[Numero_SIHAM]]),FALSE),"")</f>
        <v/>
      </c>
      <c r="J292" s="96" t="str">
        <f>IFERROR(VLOOKUP(T_BilanSocial[[#This Row],[Zone_Bilan]],T_P_BilanSocial[#Data],COLUMN(T_P_BilanSocial[[#This Row],[Sexe]]),FALSE),"")</f>
        <v/>
      </c>
      <c r="K292" s="97" t="str">
        <f>IFERROR(VLOOKUP(T_BilanSocial[[#This Row],[Zone_Bilan]],T_P_BilanSocial[#Data],COLUMN(T_P_BilanSocial[[#This Row],[Categorie]]),FALSE),"")</f>
        <v/>
      </c>
      <c r="L292" s="96" t="str">
        <f>IFERROR(VLOOKUP(T_BilanSocial[[#This Row],[Zone_Bilan]],T_P_BilanSocial[#Data],COLUMN(T_P_BilanSocial[[#This Row],[Statut]]),FALSE),"")</f>
        <v/>
      </c>
      <c r="M292" s="96" t="str">
        <f>IFERROR(VLOOKUP(T_BilanSocial[[#This Row],[Zone_Bilan]],T_P_BilanSocial[#Data],COLUMN(T_P_BilanSocial[[#This Row],[Filiere]]),FALSE),"")</f>
        <v/>
      </c>
      <c r="N292" s="96" t="e">
        <f>VLOOKUP(T_BilanSocial[[#This Row],[NumL]],T_TraitDi[#Data],COLUMN(T_TraitDi[EXP]),FALSE)</f>
        <v>#N/A</v>
      </c>
      <c r="O292" s="96" t="e">
        <f>VLOOKUP(T_BilanSocial[[#This Row],[NumL]],T_TraitDi[#Data],COLUMN(T_TraitDi[FORM]),FALSE)</f>
        <v>#N/A</v>
      </c>
      <c r="P292" s="96" t="str">
        <f>IF(T_BilanSocial[[#This Row],[Final]]&lt;&gt;"",VLOOKUP(T_BilanSocial[[#This Row],[NumL]],T_suiviDi[#Data],COLUMN((T_suiviDi[Email])),FALSE),"")</f>
        <v/>
      </c>
      <c r="Q292" s="164" t="e">
        <f t="shared" si="52"/>
        <v>#N/A</v>
      </c>
      <c r="R292" s="164" t="e">
        <f t="shared" si="53"/>
        <v>#N/A</v>
      </c>
      <c r="S292" s="164" t="str">
        <f t="shared" si="55"/>
        <v/>
      </c>
      <c r="T292" s="96" t="str">
        <f t="shared" si="47"/>
        <v>01 septembre 2021</v>
      </c>
      <c r="U292" s="96" t="str">
        <f t="shared" si="48"/>
        <v>30 novembre 2021</v>
      </c>
      <c r="V292" s="164" t="str">
        <f t="shared" si="54"/>
        <v>30 novembre 2021</v>
      </c>
      <c r="W292" s="176" t="e">
        <f>IF(VLOOKUP(T_BilanSocial[[#This Row],[NumL]],T_TraitDi[#Data],COLUMN(T_TraitDi[[#This Row],[M1]]),FALSE)="","",VLOOKUP(T_BilanSocial[[#This Row],[NumL]],T_TraitDi[#Data],COLUMN(T_TraitDi[[#This Row],[M1]]),FALSE))</f>
        <v>#VALUE!</v>
      </c>
      <c r="X292" s="176" t="e">
        <f>IF(VLOOKUP(T_BilanSocial[[#This Row],[NumL]],T_TraitDi[#Data],COLUMN(T_TraitDi[[#This Row],[M2]]),FALSE)="","",VLOOKUP(T_BilanSocial[[#This Row],[NumL]],T_TraitDi[#Data],COLUMN(T_TraitDi[[#This Row],[M2]]),FALSE))</f>
        <v>#VALUE!</v>
      </c>
      <c r="Y292" s="176" t="e">
        <f>IF(VLOOKUP(T_BilanSocial[[#This Row],[NumL]],T_TraitDi[#Data],COLUMN(T_TraitDi[[#This Row],[M3]]),FALSE)="","",VLOOKUP(T_BilanSocial[[#This Row],[NumL]],T_TraitDi[#Data],COLUMN(T_TraitDi[[#This Row],[M3]]),FALSE))</f>
        <v>#VALUE!</v>
      </c>
      <c r="Z292" s="176" t="str">
        <f t="shared" si="50"/>
        <v/>
      </c>
      <c r="AA292" s="176" t="e">
        <f>IF(VLOOKUP(T_BilanSocial[[#This Row],[NumL]],T_TraitDi[#Data],COLUMN(T_TraitDi[[#This Row],[M5]]),FALSE)="","",VLOOKUP(T_BilanSocial[[#This Row],[NumL]],T_TraitDi[#Data],COLUMN(T_TraitDi[[#This Row],[M5]]),FALSE))</f>
        <v>#VALUE!</v>
      </c>
      <c r="AB292" s="176" t="e">
        <f>IF(VLOOKUP(T_BilanSocial[[#This Row],[NumL]],T_TraitDi[#Data],COLUMN(T_TraitDi[[#This Row],[M6]]),FALSE)="","",VLOOKUP(T_BilanSocial[[#This Row],[NumL]],T_TraitDi[#Data],COLUMN(T_TraitDi[[#This Row],[M6]]),FALSE))</f>
        <v>#VALUE!</v>
      </c>
      <c r="AC292" s="150" t="e">
        <f t="shared" si="49"/>
        <v>#VALUE!</v>
      </c>
      <c r="AD292" s="188" t="str">
        <f>IFERROR(TEXT(VLOOKUP(T_BilanSocial[[#This Row],[NumL]],T_TraitDi[#Data],COLUMN(T_TraitDi[[#This Row],[Q2]]),FALSE),"###%"),"")</f>
        <v/>
      </c>
      <c r="AE292" s="97" t="e">
        <f>VLOOKUP(T_BilanSocial[[#This Row],[NumL]],T_TraitDi[#Data],COLUMN(T_TraitDi[[#This Row],[Reg Ponct]]),FALSE)</f>
        <v>#VALUE!</v>
      </c>
      <c r="AF292" s="97" t="e">
        <f>VLOOKUP(T_BilanSocial[NumL],T_TraitDi[#Data],COLUMN(T_TraitDi[[#This Row],[Jours flottants]]),FALSE)</f>
        <v>#VALUE!</v>
      </c>
      <c r="AG292" s="97" t="str">
        <f>IFERROR(VLOOKUP(T_BilanSocial[[#This Row],[NumL]],T_TraitDi[#Data],COLUMN(T_TraitDi[[#This Row],[Lundi]]),FALSE),"")</f>
        <v/>
      </c>
      <c r="AH292" s="172" t="e">
        <f>IF(VLOOKUP(T_BilanSocial[[#This Row],[NumL]],T_TraitDi[#Data],COLUMN(T_TraitDi[[#This Row],[Colonne3]]),FALSE)=0,"",TEXT(IFERROR(VLOOKUP(T_BilanSocial[[#This Row],[NumL]],T_TraitDi[#Data],COLUMN(T_TraitDi[[#This Row],[Colonne3]]),FALSE),""),"[hh]:mm"))</f>
        <v>#VALUE!</v>
      </c>
      <c r="AI292" s="172" t="e">
        <f>IF(VLOOKUP(T_BilanSocial[[#This Row],[NumL]],T_TraitDi[#Data],COLUMN(T_TraitDi[[#This Row],[Colonne4]]),FALSE)=0,"",TEXT(IFERROR(VLOOKUP(T_BilanSocial[[#This Row],[NumL]],T_TraitDi[#Data],COLUMN(T_TraitDi[[#This Row],[Colonne4]]),FALSE),""),"[hh]:mm"))</f>
        <v>#VALUE!</v>
      </c>
      <c r="AJ292" s="172" t="e">
        <f>IF(VLOOKUP(T_BilanSocial[[#This Row],[NumL]],T_TraitDi[#Data],COLUMN(T_TraitDi[[#This Row],[Colonne5]]),FALSE)=0,"",TEXT(IFERROR(VLOOKUP(T_BilanSocial[[#This Row],[NumL]],T_TraitDi[#Data],COLUMN(T_TraitDi[[#This Row],[Colonne5]]),FALSE),""),"[hh]:mm"))</f>
        <v>#VALUE!</v>
      </c>
      <c r="AK292" s="172" t="e">
        <f>IF(VLOOKUP(T_BilanSocial[[#This Row],[NumL]],T_TraitDi[#Data],COLUMN(T_TraitDi[[#This Row],[Colonne6]]),FALSE)=0,"",TEXT(IFERROR(VLOOKUP(T_BilanSocial[[#This Row],[NumL]],T_TraitDi[#Data],COLUMN(T_TraitDi[[#This Row],[Colonne6]]),FALSE),""),"[hh]:mm"))</f>
        <v>#VALUE!</v>
      </c>
      <c r="AL292" s="172" t="e">
        <f>IF(VLOOKUP(T_BilanSocial[[#This Row],[NumL]],T_TraitDi[#Data],COLUMN(T_TraitDi[[#This Row],[Colonne7]]),FALSE)=0,"",TEXT(IFERROR(VLOOKUP(T_BilanSocial[[#This Row],[NumL]],T_TraitDi[#Data],COLUMN(T_TraitDi[[#This Row],[Colonne7]]),FALSE),""),"[hh]:mm"))</f>
        <v>#VALUE!</v>
      </c>
      <c r="AM292" s="172" t="e">
        <f>IF(VLOOKUP(T_BilanSocial[[#This Row],[NumL]],T_TraitDi[#Data],COLUMN(T_TraitDi[[#This Row],[Colonne8]]),FALSE)=0,"",TEXT(IFERROR(VLOOKUP(T_BilanSocial[[#This Row],[NumL]],T_TraitDi[#Data],COLUMN(T_TraitDi[[#This Row],[Colonne8]]),FALSE),""),"[hh]:mm"))</f>
        <v>#VALUE!</v>
      </c>
      <c r="AN292" s="172" t="str">
        <f>IFERROR(VLOOKUP(T_BilanSocial[[#This Row],[NumL]],T_TraitDi[#Data],COLUMN(T_TraitDi[[#This Row],[Mardi]]),FALSE),"")</f>
        <v/>
      </c>
      <c r="AO292" s="172" t="e">
        <f>IF(VLOOKUP(T_BilanSocial[[#This Row],[NumL]],T_TraitDi[#Data],COLUMN(T_TraitDi[[#This Row],[Colonne1]]),FALSE)=0,"",TEXT(IFERROR(VLOOKUP(T_BilanSocial[[#This Row],[NumL]],T_TraitDi[#Data],COLUMN(T_TraitDi[[#This Row],[Colonne1]]),FALSE),""),"[hh]:mm"))</f>
        <v>#VALUE!</v>
      </c>
      <c r="AP292" s="172" t="e">
        <f>IF(VLOOKUP(T_BilanSocial[[#This Row],[NumL]],T_TraitDi[#Data],COLUMN(T_TraitDi[[#This Row],[Colonne9]]),FALSE)=0,"",TEXT(IFERROR(VLOOKUP(T_BilanSocial[[#This Row],[NumL]],T_TraitDi[#Data],COLUMN(T_TraitDi[[#This Row],[Colonne9]]),FALSE),""),"[hh]:mm"))</f>
        <v>#VALUE!</v>
      </c>
      <c r="AQ292" s="172" t="str">
        <f>IFERROR(VLOOKUP(T_BilanSocial[[#This Row],[NumL]],T_TraitDi[#Data],COLUMN(T_TraitDi[[#This Row],[Colonne10]]),FALSE),"")</f>
        <v/>
      </c>
      <c r="AR292" s="172" t="e">
        <f>IF(VLOOKUP(T_BilanSocial[[#This Row],[NumL]],T_TraitDi[#Data],COLUMN(T_TraitDi[[#This Row],[Colonne11]]),FALSE)=0,"",TEXT(IFERROR(VLOOKUP(T_BilanSocial[[#This Row],[NumL]],T_TraitDi[#Data],COLUMN(T_TraitDi[[#This Row],[Colonne11]]),FALSE),""),"[hh]:mm"))</f>
        <v>#VALUE!</v>
      </c>
      <c r="AS292" s="172" t="e">
        <f>IF(VLOOKUP(T_BilanSocial[[#This Row],[NumL]],T_TraitDi[#Data],COLUMN(T_TraitDi[[#This Row],[Colonne12]]),FALSE)=0,"",TEXT(IFERROR(VLOOKUP(T_BilanSocial[[#This Row],[NumL]],T_TraitDi[#Data],COLUMN(T_TraitDi[[#This Row],[Colonne12]]),FALSE),""),"[hh]:mm"))</f>
        <v>#VALUE!</v>
      </c>
      <c r="AT292" s="172" t="e">
        <f>IF(VLOOKUP(T_BilanSocial[[#This Row],[NumL]],T_TraitDi[#Data],COLUMN(T_TraitDi[[#This Row],[Colonne14]]),FALSE)=0,"",TEXT(IFERROR(VLOOKUP(T_BilanSocial[[#This Row],[NumL]],T_TraitDi[#Data],COLUMN(T_TraitDi[[#This Row],[Colonne14]]),FALSE),""),"[hh]:mm"))</f>
        <v>#VALUE!</v>
      </c>
      <c r="AU292" s="172" t="str">
        <f>IFERROR(VLOOKUP(T_BilanSocial[[#This Row],[NumL]],T_TraitDi[#Data],COLUMN(T_TraitDi[[#This Row],[Mercredi]]),FALSE),"")</f>
        <v/>
      </c>
      <c r="AV292" s="172" t="e">
        <f>IF(VLOOKUP(T_BilanSocial[[#This Row],[NumL]],T_TraitDi[#Data],COLUMN(T_TraitDi[[#This Row],[Colonne15]]),FALSE)=0,"",TEXT(IFERROR(VLOOKUP(T_BilanSocial[[#This Row],[NumL]],T_TraitDi[#Data],COLUMN(T_TraitDi[[#This Row],[Colonne15]]),FALSE),""),"[hh]:mm"))</f>
        <v>#VALUE!</v>
      </c>
      <c r="AW292" s="172" t="e">
        <f>IF(VLOOKUP(T_BilanSocial[[#This Row],[NumL]],T_TraitDi[#Data],COLUMN(T_TraitDi[[#This Row],[Colonne16]]),FALSE)=0,"",TEXT(IFERROR(VLOOKUP(T_BilanSocial[[#This Row],[NumL]],T_TraitDi[#Data],COLUMN(T_TraitDi[[#This Row],[Colonne16]]),FALSE),""),"[hh]:mm"))</f>
        <v>#VALUE!</v>
      </c>
      <c r="AX292" s="172" t="str">
        <f>IFERROR(VLOOKUP(T_BilanSocial[[#This Row],[NumL]],T_TraitDi[#Data],COLUMN(T_TraitDi[[#This Row],[Colonne17]]),FALSE),"")</f>
        <v/>
      </c>
      <c r="AY292" s="172" t="e">
        <f>IF(VLOOKUP(T_BilanSocial[[#This Row],[NumL]],T_TraitDi[#Data],COLUMN(T_TraitDi[[#This Row],[Colonne18]]),FALSE)=0,"",TEXT(IFERROR(VLOOKUP(T_BilanSocial[[#This Row],[NumL]],T_TraitDi[#Data],COLUMN(T_TraitDi[[#This Row],[Colonne18]]),FALSE),""),"[hh]:mm"))</f>
        <v>#VALUE!</v>
      </c>
      <c r="AZ292" s="172" t="e">
        <f>IF(VLOOKUP(T_BilanSocial[[#This Row],[NumL]],T_TraitDi[#Data],COLUMN(T_TraitDi[[#This Row],[Colonne19]]),FALSE)=0,"",TEXT(IFERROR(VLOOKUP(T_BilanSocial[[#This Row],[NumL]],T_TraitDi[#Data],COLUMN(T_TraitDi[[#This Row],[Colonne19]]),FALSE),""),"[hh]:mm"))</f>
        <v>#VALUE!</v>
      </c>
      <c r="BA292" s="172" t="e">
        <f>IF(VLOOKUP(T_BilanSocial[[#This Row],[NumL]],T_TraitDi[#Data],COLUMN(T_TraitDi[[#This Row],[Colonne20]]),FALSE)=0,"",TEXT(IFERROR(VLOOKUP(T_BilanSocial[[#This Row],[NumL]],T_TraitDi[#Data],COLUMN(T_TraitDi[[#This Row],[Colonne20]]),FALSE),""),"[hh]:mm"))</f>
        <v>#VALUE!</v>
      </c>
      <c r="BB292" s="178" t="str">
        <f>IFERROR(VLOOKUP(T_BilanSocial[[#This Row],[NumL]],T_TraitDi[#Data],COLUMN(T_TraitDi[[#This Row],[Jeudi]]),FALSE),"")</f>
        <v/>
      </c>
      <c r="BC292" s="178" t="e">
        <f>IF(VLOOKUP(T_BilanSocial[[#This Row],[NumL]],T_TraitDi[#Data],COLUMN(T_TraitDi[[#This Row],[Colonne21]]),FALSE)=0,"",TEXT(IFERROR(VLOOKUP(T_BilanSocial[[#This Row],[NumL]],T_TraitDi[#Data],COLUMN(T_TraitDi[[#This Row],[Colonne21]]),FALSE),""),"[hh]:mm"))</f>
        <v>#VALUE!</v>
      </c>
      <c r="BD292" s="178" t="e">
        <f>IF(VLOOKUP(T_BilanSocial[[#This Row],[NumL]],T_TraitDi[#Data],COLUMN(T_TraitDi[[#This Row],[Colonne22]]),FALSE)=0,"",TEXT(IFERROR(VLOOKUP(T_BilanSocial[[#This Row],[NumL]],T_TraitDi[#Data],COLUMN(T_TraitDi[[#This Row],[Colonne22]]),FALSE),""),"[hh]:mm"))</f>
        <v>#VALUE!</v>
      </c>
      <c r="BE292" s="178" t="str">
        <f>IFERROR(VLOOKUP(T_BilanSocial[[#This Row],[NumL]],T_TraitDi[#Data],COLUMN(T_TraitDi[[#This Row],[Colonne23]]),FALSE),"")</f>
        <v/>
      </c>
      <c r="BF292" s="178" t="e">
        <f>IF(VLOOKUP(T_BilanSocial[[#This Row],[NumL]],T_TraitDi[#Data],COLUMN(T_TraitDi[[#This Row],[Colonne24]]),FALSE)=0,"",TEXT(IFERROR(VLOOKUP(T_BilanSocial[[#This Row],[NumL]],T_TraitDi[#Data],COLUMN(T_TraitDi[[#This Row],[Colonne24]]),FALSE),""),"[hh]:mm"))</f>
        <v>#VALUE!</v>
      </c>
      <c r="BG292" s="178" t="e">
        <f>IF(VLOOKUP(T_BilanSocial[[#This Row],[NumL]],T_TraitDi[#Data],COLUMN(T_TraitDi[[#This Row],[Colonne25]]),FALSE)=0,"",TEXT(IFERROR(VLOOKUP(T_BilanSocial[[#This Row],[NumL]],T_TraitDi[#Data],COLUMN(T_TraitDi[[#This Row],[Colonne25]]),FALSE),""),"[hh]:mm"))</f>
        <v>#VALUE!</v>
      </c>
      <c r="BH292" s="178" t="e">
        <f>IF(VLOOKUP(T_BilanSocial[[#This Row],[NumL]],T_TraitDi[#Data],COLUMN(T_TraitDi[[#This Row],[Colonne26]]),FALSE)=0,"",TEXT(IFERROR(VLOOKUP(T_BilanSocial[[#This Row],[NumL]],T_TraitDi[#Data],COLUMN(T_TraitDi[[#This Row],[Colonne26]]),FALSE),""),"[hh]:mm"))</f>
        <v>#VALUE!</v>
      </c>
      <c r="BI292" s="172" t="str">
        <f>IFERROR(VLOOKUP(T_BilanSocial[[#This Row],[NumL]],T_TraitDi[#Data],COLUMN(T_TraitDi[[#This Row],[Vendredi]]),FALSE),"")</f>
        <v/>
      </c>
      <c r="BJ292" s="172" t="e">
        <f>IF(VLOOKUP(T_BilanSocial[[#This Row],[NumL]],T_TraitDi[#Data],COLUMN(T_TraitDi[[#This Row],[Colonne27]]),FALSE)=0,"",TEXT(IFERROR(VLOOKUP(T_BilanSocial[[#This Row],[NumL]],T_TraitDi[#Data],COLUMN(T_TraitDi[[#This Row],[Colonne27]]),FALSE),""),"[hh]:mm"))</f>
        <v>#VALUE!</v>
      </c>
      <c r="BK292" s="172" t="e">
        <f>IF(VLOOKUP(T_BilanSocial[[#This Row],[NumL]],T_TraitDi[#Data],COLUMN(T_TraitDi[[#This Row],[Colonne28]]),FALSE)=0,"",TEXT(IFERROR(VLOOKUP(T_BilanSocial[[#This Row],[NumL]],T_TraitDi[#Data],COLUMN(T_TraitDi[[#This Row],[Colonne28]]),FALSE),""),"[hh]:mm"))</f>
        <v>#VALUE!</v>
      </c>
      <c r="BL292" s="172" t="str">
        <f>IFERROR(VLOOKUP(T_BilanSocial[[#This Row],[NumL]],T_TraitDi[#Data],COLUMN(T_TraitDi[[#This Row],[Colonne29]]),FALSE),"")</f>
        <v/>
      </c>
      <c r="BM292" s="172" t="e">
        <f>IF(VLOOKUP(T_BilanSocial[[#This Row],[NumL]],T_TraitDi[#Data],COLUMN(T_TraitDi[[#This Row],[Colonne30]]),FALSE)=0,"",TEXT(IFERROR(VLOOKUP(T_BilanSocial[[#This Row],[NumL]],T_TraitDi[#Data],COLUMN(T_TraitDi[[#This Row],[Colonne30]]),FALSE),""),"[hh]:mm"))</f>
        <v>#VALUE!</v>
      </c>
      <c r="BN292" s="172" t="e">
        <f>IF(VLOOKUP(T_BilanSocial[[#This Row],[NumL]],T_TraitDi[#Data],COLUMN(T_TraitDi[[#This Row],[Colonne31]]),FALSE)=0,"",TEXT(IFERROR(VLOOKUP(T_BilanSocial[[#This Row],[NumL]],T_TraitDi[#Data],COLUMN(T_TraitDi[[#This Row],[Colonne31]]),FALSE),""),"[hh]:mm"))</f>
        <v>#VALUE!</v>
      </c>
      <c r="BO292" s="172" t="e">
        <f>IF(VLOOKUP(T_BilanSocial[[#This Row],[NumL]],T_TraitDi[#Data],COLUMN(T_TraitDi[[#This Row],[Colonne32]]),FALSE)=0,"",TEXT(IFERROR(VLOOKUP(T_BilanSocial[[#This Row],[NumL]],T_TraitDi[#Data],COLUMN(T_TraitDi[[#This Row],[Colonne32]]),FALSE),""),"[hh]:mm"))</f>
        <v>#VALUE!</v>
      </c>
      <c r="BP292" s="172" t="e">
        <f>VLOOKUP(T_BilanSocial[[#This Row],[NumL]],T_TraitDi[#Data],COLUMN(T_TraitDi[NbJTot]),FALSE)</f>
        <v>#N/A</v>
      </c>
      <c r="BQ292" s="174" t="str">
        <f>IFERROR(VLOOKUP(T_BilanSocial[[#This Row],[NumL]],T_TraitDi[#Data],COLUMN(T_TraitDi[[#This Row],[NbJTW]]),FALSE),"")</f>
        <v/>
      </c>
      <c r="BR292" s="174" t="e">
        <f>IF(VLOOKUP(T_BilanSocial[[#This Row],[NumL]],T_TraitDi[#Data],COLUMN(T_TraitDi[[#This Row],[NbhTW]]),FALSE)=0,"",TEXT(IFERROR(VLOOKUP(T_BilanSocial[[#This Row],[NumL]],T_TraitDi[#Data],COLUMN(T_TraitDi[[#This Row],[NbhTW]]),FALSE),""),"[hh]:mm"))</f>
        <v>#VALUE!</v>
      </c>
      <c r="BS292" s="174" t="e">
        <f>IF(VLOOKUP(T_BilanSocial[[#This Row],[NumL]],T_TraitDi[#Data],COLUMN(T_TraitDi[[#This Row],[Nbhheb]]),FALSE)=0,"",TEXT(IFERROR(VLOOKUP($A292,T_TraitDi[#Data],COLUMN(T_TraitDi[[#This Row],[Nbhheb]]),FALSE),""),"[hh]:mm"))</f>
        <v>#VALUE!</v>
      </c>
      <c r="BT292" s="182" t="str">
        <f>IFERROR(VLOOKUP(VLOOKUP($A292,T_TraitDi[#Data],COLUMN(T_TraitDi[[#This Row],[Type1]]),FALSE),TypeTW,2,FALSE),"")</f>
        <v/>
      </c>
      <c r="BU292" s="182" t="str">
        <f>IFERROR(VLOOKUP($A292,T_TraitDi[#Data],COLUMN(T_TraitDi[[#This Row],[Rue1]]),FALSE),"")</f>
        <v/>
      </c>
      <c r="BV292" s="173" t="str">
        <f>IFERROR(VLOOKUP($A292,T_TraitDi[#Data],COLUMN(T_TraitDi[[#This Row],[CP1]]),FALSE),"")</f>
        <v/>
      </c>
      <c r="BW292" s="173" t="str">
        <f>IFERROR(VLOOKUP($A292,T_TraitDi[#Data],COLUMN(T_TraitDi[[#This Row],[VILLE1]]),FALSE),"")</f>
        <v/>
      </c>
      <c r="BX292" s="182" t="str">
        <f>IFERROR(VLOOKUP(VLOOKUP($A292,T_TraitDi[#Data],COLUMN(T_TraitDi[[#This Row],[Type2]]),FALSE),TypeTW,2,FALSE),"")</f>
        <v/>
      </c>
      <c r="BY292" s="182" t="str">
        <f>IFERROR(VLOOKUP($A292,T_TraitDi[#Data],COLUMN(T_TraitDi[[#This Row],[Rue2]]),FALSE),"")</f>
        <v/>
      </c>
      <c r="BZ292" s="173" t="str">
        <f>IFERROR(VLOOKUP($A292,T_TraitDi[#Data],COLUMN(T_TraitDi[[#This Row],[CP2]]),FALSE),"")</f>
        <v/>
      </c>
      <c r="CA292" s="173" t="str">
        <f>IFERROR(VLOOKUP($A292,T_TraitDi[#Data],COLUMN(T_TraitDi[[#This Row],[VILLE2]]),FALSE),"")</f>
        <v/>
      </c>
      <c r="CB292" s="182" t="str">
        <f>IF(VLOOKUP(T_BilanSocial[[#This Row],[NumL]],T_Equipement[#Data],COLUMN(T_Equipement[[#This Row],[PC]]),FALSE)="","Aucun équipement spécifique directement lié au télétravail",VLOOKUP(T_BilanSocial[[#This Row],[NumL]],T_Equipement[#Data],COLUMN(T_Equipement[[#This Row],[PC]]),FALSE))</f>
        <v>20-384</v>
      </c>
      <c r="CC292" s="166" t="str">
        <f>IFERROR(IF(VLOOKUP(T_BilanSocial[[#This Row],[NumL]],T_TraitDi[#Data],COLUMN(T_TraitDi[[#This Row],[Plan]]),FALSE)="OK","Un planning spécifique de télétravail est annexé à la présente convention.",""),"")</f>
        <v/>
      </c>
      <c r="CD292" s="185"/>
      <c r="CE292" s="164" t="e">
        <f>IF(VLOOKUP(T_BilanSocial[[#This Row],[NumL]],T_suiviDi[#Data],COLUMN(T_suiviDi[[#This Row],[Entité]]),FALSE)="","",VLOOKUP(T_BilanSocial[[#This Row],[NumL]],T_suiviDi[#Data],COLUMN(T_suiviDi[[#This Row],[Entité]]),FALSE))</f>
        <v>#VALUE!</v>
      </c>
      <c r="CF292" s="164" t="str">
        <f>IF(VLOOKUP(T_BilanSocial[[#This Row],[NumL]],T_Commission[#Data],COLUMN(T_Commission[[#This Row],[envoi confirm TW]]),FALSE)="","",VLOOKUP(T_BilanSocial[[#This Row],[NumL]],T_Commission[#Data],COLUMN(T_Commission[[#This Row],[envoi confirm TW]]),FALSE))</f>
        <v>Oui</v>
      </c>
      <c r="CG292"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2" s="263" t="str">
        <f>T_BilanSocial[[#This Row],[Nom]]&amp;T_BilanSocial[[#This Row],[Prenom]]</f>
        <v/>
      </c>
      <c r="CI292" s="263">
        <f>VLOOKUP(T_BilanSocial[[#This Row],[NumL]],T_Commission[#Data],COLUMN(T_Commission[Commentaire]),FALSE)</f>
        <v>0</v>
      </c>
      <c r="CJ292" s="263" t="str">
        <f>IF(VLOOKUP(T_BilanSocial[[#This Row],[NumL]],T_Commission[#Data],COLUMN(T_Commission[Encadrant Email]),FALSE)="","",VLOOKUP(T_BilanSocial[[#This Row],[NumL]],T_Commission[#Data],COLUMN(T_Commission[Encadrant Email]),FALSE))</f>
        <v/>
      </c>
      <c r="CK292" s="332" t="str">
        <f>IF(T_BilanSocial[[#This Row],[Final]]&lt;&gt;"",VLOOKUP(T_BilanSocial[[#This Row],[NumL]],T_suiviDi[#Data],COLUMN((T_suiviDi[Statut])),FALSE),"")</f>
        <v/>
      </c>
    </row>
    <row r="293" spans="1:89" s="50" customFormat="1" ht="21" customHeight="1" x14ac:dyDescent="0.25">
      <c r="A293" s="90">
        <v>290</v>
      </c>
      <c r="B293" s="94" t="str">
        <f t="shared" si="45"/>
        <v/>
      </c>
      <c r="C293" s="162" t="s">
        <v>139</v>
      </c>
      <c r="D293" s="95" t="e">
        <f>IF(VLOOKUP(T_BilanSocial[[#This Row],[NumL]],T_TraitDi[#Data],COLUMN(T_TraitDi[[#This Row],[WebC]]),FALSE)="","",VLOOKUP(T_BilanSocial[[#This Row],[NumL]],T_TraitDi[#Data],COLUMN(T_TraitDi[[#This Row],[WebC]]),FALSE))</f>
        <v>#VALUE!</v>
      </c>
      <c r="E293" s="95" t="str">
        <f t="shared" si="46"/>
        <v>12 janvier 2021</v>
      </c>
      <c r="F293" s="96" t="str">
        <f>IF(T_BilanSocial[[#This Row],[Final]]&lt;&gt;"",VLOOKUP(T_BilanSocial[[#This Row],[NumL]],T_suiviDi[#Data],COLUMN((T_suiviDi[Civ.])),FALSE),"")</f>
        <v/>
      </c>
      <c r="G293" s="96" t="str">
        <f>IF(T_BilanSocial[[#This Row],[Final]]&lt;&gt;"",VLOOKUP(T_BilanSocial[[#This Row],[NumL]],T_suiviDi[#Data],COLUMN((T_suiviDi[Nom])),FALSE),"")</f>
        <v/>
      </c>
      <c r="H293" s="96" t="str">
        <f>IF(T_BilanSocial[[#This Row],[Final]]&lt;&gt;"",VLOOKUP(T_BilanSocial[[#This Row],[NumL]],T_suiviDi[#Data],COLUMN((T_suiviDi[Prénom])),FALSE),"")</f>
        <v/>
      </c>
      <c r="I293" s="96" t="str">
        <f>IFERROR(VLOOKUP(T_BilanSocial[[#This Row],[Zone_Bilan]],T_P_BilanSocial[#Data],COLUMN(T_P_BilanSocial[[#This Row],[Numero_SIHAM]]),FALSE),"")</f>
        <v/>
      </c>
      <c r="J293" s="96" t="str">
        <f>IFERROR(VLOOKUP(T_BilanSocial[[#This Row],[Zone_Bilan]],T_P_BilanSocial[#Data],COLUMN(T_P_BilanSocial[[#This Row],[Sexe]]),FALSE),"")</f>
        <v/>
      </c>
      <c r="K293" s="97" t="str">
        <f>IFERROR(VLOOKUP(T_BilanSocial[[#This Row],[Zone_Bilan]],T_P_BilanSocial[#Data],COLUMN(T_P_BilanSocial[[#This Row],[Categorie]]),FALSE),"")</f>
        <v/>
      </c>
      <c r="L293" s="96" t="str">
        <f>IFERROR(VLOOKUP(T_BilanSocial[[#This Row],[Zone_Bilan]],T_P_BilanSocial[#Data],COLUMN(T_P_BilanSocial[[#This Row],[Statut]]),FALSE),"")</f>
        <v/>
      </c>
      <c r="M293" s="96" t="str">
        <f>IFERROR(VLOOKUP(T_BilanSocial[[#This Row],[Zone_Bilan]],T_P_BilanSocial[#Data],COLUMN(T_P_BilanSocial[[#This Row],[Filiere]]),FALSE),"")</f>
        <v/>
      </c>
      <c r="N293" s="96" t="e">
        <f>VLOOKUP(T_BilanSocial[[#This Row],[NumL]],T_TraitDi[#Data],COLUMN(T_TraitDi[EXP]),FALSE)</f>
        <v>#N/A</v>
      </c>
      <c r="O293" s="96" t="e">
        <f>VLOOKUP(T_BilanSocial[[#This Row],[NumL]],T_TraitDi[#Data],COLUMN(T_TraitDi[FORM]),FALSE)</f>
        <v>#N/A</v>
      </c>
      <c r="P293" s="96" t="str">
        <f>IF(T_BilanSocial[[#This Row],[Final]]&lt;&gt;"",VLOOKUP(T_BilanSocial[[#This Row],[NumL]],T_suiviDi[#Data],COLUMN((T_suiviDi[Email])),FALSE),"")</f>
        <v/>
      </c>
      <c r="Q293" s="164" t="e">
        <f t="shared" si="52"/>
        <v>#N/A</v>
      </c>
      <c r="R293" s="164" t="e">
        <f t="shared" si="53"/>
        <v>#N/A</v>
      </c>
      <c r="S293" s="164" t="str">
        <f t="shared" si="55"/>
        <v/>
      </c>
      <c r="T293" s="96" t="str">
        <f t="shared" si="47"/>
        <v>01 septembre 2021</v>
      </c>
      <c r="U293" s="96" t="str">
        <f t="shared" si="48"/>
        <v>30 novembre 2021</v>
      </c>
      <c r="V293" s="164" t="str">
        <f t="shared" si="54"/>
        <v>30 novembre 2021</v>
      </c>
      <c r="W293" s="176" t="e">
        <f>IF(VLOOKUP(T_BilanSocial[[#This Row],[NumL]],T_TraitDi[#Data],COLUMN(T_TraitDi[[#This Row],[M1]]),FALSE)="","",VLOOKUP(T_BilanSocial[[#This Row],[NumL]],T_TraitDi[#Data],COLUMN(T_TraitDi[[#This Row],[M1]]),FALSE))</f>
        <v>#VALUE!</v>
      </c>
      <c r="X293" s="176" t="e">
        <f>IF(VLOOKUP(T_BilanSocial[[#This Row],[NumL]],T_TraitDi[#Data],COLUMN(T_TraitDi[[#This Row],[M2]]),FALSE)="","",VLOOKUP(T_BilanSocial[[#This Row],[NumL]],T_TraitDi[#Data],COLUMN(T_TraitDi[[#This Row],[M2]]),FALSE))</f>
        <v>#VALUE!</v>
      </c>
      <c r="Y293" s="176" t="e">
        <f>IF(VLOOKUP(T_BilanSocial[[#This Row],[NumL]],T_TraitDi[#Data],COLUMN(T_TraitDi[[#This Row],[M3]]),FALSE)="","",VLOOKUP(T_BilanSocial[[#This Row],[NumL]],T_TraitDi[#Data],COLUMN(T_TraitDi[[#This Row],[M3]]),FALSE))</f>
        <v>#VALUE!</v>
      </c>
      <c r="Z293" s="176" t="str">
        <f t="shared" si="50"/>
        <v/>
      </c>
      <c r="AA293" s="176" t="e">
        <f>IF(VLOOKUP(T_BilanSocial[[#This Row],[NumL]],T_TraitDi[#Data],COLUMN(T_TraitDi[[#This Row],[M5]]),FALSE)="","",VLOOKUP(T_BilanSocial[[#This Row],[NumL]],T_TraitDi[#Data],COLUMN(T_TraitDi[[#This Row],[M5]]),FALSE))</f>
        <v>#VALUE!</v>
      </c>
      <c r="AB293" s="176" t="e">
        <f>IF(VLOOKUP(T_BilanSocial[[#This Row],[NumL]],T_TraitDi[#Data],COLUMN(T_TraitDi[[#This Row],[M6]]),FALSE)="","",VLOOKUP(T_BilanSocial[[#This Row],[NumL]],T_TraitDi[#Data],COLUMN(T_TraitDi[[#This Row],[M6]]),FALSE))</f>
        <v>#VALUE!</v>
      </c>
      <c r="AC293" s="150" t="e">
        <f t="shared" si="49"/>
        <v>#VALUE!</v>
      </c>
      <c r="AD293" s="188" t="str">
        <f>IFERROR(TEXT(VLOOKUP(T_BilanSocial[[#This Row],[NumL]],T_TraitDi[#Data],COLUMN(T_TraitDi[[#This Row],[Q2]]),FALSE),"###%"),"")</f>
        <v/>
      </c>
      <c r="AE293" s="97" t="e">
        <f>VLOOKUP(T_BilanSocial[[#This Row],[NumL]],T_TraitDi[#Data],COLUMN(T_TraitDi[[#This Row],[Reg Ponct]]),FALSE)</f>
        <v>#VALUE!</v>
      </c>
      <c r="AF293" s="97" t="e">
        <f>VLOOKUP(T_BilanSocial[NumL],T_TraitDi[#Data],COLUMN(T_TraitDi[[#This Row],[Jours flottants]]),FALSE)</f>
        <v>#VALUE!</v>
      </c>
      <c r="AG293" s="97" t="str">
        <f>IFERROR(VLOOKUP(T_BilanSocial[[#This Row],[NumL]],T_TraitDi[#Data],COLUMN(T_TraitDi[[#This Row],[Lundi]]),FALSE),"")</f>
        <v/>
      </c>
      <c r="AH293" s="172" t="e">
        <f>IF(VLOOKUP(T_BilanSocial[[#This Row],[NumL]],T_TraitDi[#Data],COLUMN(T_TraitDi[[#This Row],[Colonne3]]),FALSE)=0,"",TEXT(IFERROR(VLOOKUP(T_BilanSocial[[#This Row],[NumL]],T_TraitDi[#Data],COLUMN(T_TraitDi[[#This Row],[Colonne3]]),FALSE),""),"[hh]:mm"))</f>
        <v>#VALUE!</v>
      </c>
      <c r="AI293" s="172" t="e">
        <f>IF(VLOOKUP(T_BilanSocial[[#This Row],[NumL]],T_TraitDi[#Data],COLUMN(T_TraitDi[[#This Row],[Colonne4]]),FALSE)=0,"",TEXT(IFERROR(VLOOKUP(T_BilanSocial[[#This Row],[NumL]],T_TraitDi[#Data],COLUMN(T_TraitDi[[#This Row],[Colonne4]]),FALSE),""),"[hh]:mm"))</f>
        <v>#VALUE!</v>
      </c>
      <c r="AJ293" s="172" t="e">
        <f>IF(VLOOKUP(T_BilanSocial[[#This Row],[NumL]],T_TraitDi[#Data],COLUMN(T_TraitDi[[#This Row],[Colonne5]]),FALSE)=0,"",TEXT(IFERROR(VLOOKUP(T_BilanSocial[[#This Row],[NumL]],T_TraitDi[#Data],COLUMN(T_TraitDi[[#This Row],[Colonne5]]),FALSE),""),"[hh]:mm"))</f>
        <v>#VALUE!</v>
      </c>
      <c r="AK293" s="172" t="e">
        <f>IF(VLOOKUP(T_BilanSocial[[#This Row],[NumL]],T_TraitDi[#Data],COLUMN(T_TraitDi[[#This Row],[Colonne6]]),FALSE)=0,"",TEXT(IFERROR(VLOOKUP(T_BilanSocial[[#This Row],[NumL]],T_TraitDi[#Data],COLUMN(T_TraitDi[[#This Row],[Colonne6]]),FALSE),""),"[hh]:mm"))</f>
        <v>#VALUE!</v>
      </c>
      <c r="AL293" s="172" t="e">
        <f>IF(VLOOKUP(T_BilanSocial[[#This Row],[NumL]],T_TraitDi[#Data],COLUMN(T_TraitDi[[#This Row],[Colonne7]]),FALSE)=0,"",TEXT(IFERROR(VLOOKUP(T_BilanSocial[[#This Row],[NumL]],T_TraitDi[#Data],COLUMN(T_TraitDi[[#This Row],[Colonne7]]),FALSE),""),"[hh]:mm"))</f>
        <v>#VALUE!</v>
      </c>
      <c r="AM293" s="172" t="e">
        <f>IF(VLOOKUP(T_BilanSocial[[#This Row],[NumL]],T_TraitDi[#Data],COLUMN(T_TraitDi[[#This Row],[Colonne8]]),FALSE)=0,"",TEXT(IFERROR(VLOOKUP(T_BilanSocial[[#This Row],[NumL]],T_TraitDi[#Data],COLUMN(T_TraitDi[[#This Row],[Colonne8]]),FALSE),""),"[hh]:mm"))</f>
        <v>#VALUE!</v>
      </c>
      <c r="AN293" s="172" t="str">
        <f>IFERROR(VLOOKUP(T_BilanSocial[[#This Row],[NumL]],T_TraitDi[#Data],COLUMN(T_TraitDi[[#This Row],[Mardi]]),FALSE),"")</f>
        <v/>
      </c>
      <c r="AO293" s="172" t="e">
        <f>IF(VLOOKUP(T_BilanSocial[[#This Row],[NumL]],T_TraitDi[#Data],COLUMN(T_TraitDi[[#This Row],[Colonne1]]),FALSE)=0,"",TEXT(IFERROR(VLOOKUP(T_BilanSocial[[#This Row],[NumL]],T_TraitDi[#Data],COLUMN(T_TraitDi[[#This Row],[Colonne1]]),FALSE),""),"[hh]:mm"))</f>
        <v>#VALUE!</v>
      </c>
      <c r="AP293" s="172" t="e">
        <f>IF(VLOOKUP(T_BilanSocial[[#This Row],[NumL]],T_TraitDi[#Data],COLUMN(T_TraitDi[[#This Row],[Colonne9]]),FALSE)=0,"",TEXT(IFERROR(VLOOKUP(T_BilanSocial[[#This Row],[NumL]],T_TraitDi[#Data],COLUMN(T_TraitDi[[#This Row],[Colonne9]]),FALSE),""),"[hh]:mm"))</f>
        <v>#VALUE!</v>
      </c>
      <c r="AQ293" s="172" t="str">
        <f>IFERROR(VLOOKUP(T_BilanSocial[[#This Row],[NumL]],T_TraitDi[#Data],COLUMN(T_TraitDi[[#This Row],[Colonne10]]),FALSE),"")</f>
        <v/>
      </c>
      <c r="AR293" s="172" t="e">
        <f>IF(VLOOKUP(T_BilanSocial[[#This Row],[NumL]],T_TraitDi[#Data],COLUMN(T_TraitDi[[#This Row],[Colonne11]]),FALSE)=0,"",TEXT(IFERROR(VLOOKUP(T_BilanSocial[[#This Row],[NumL]],T_TraitDi[#Data],COLUMN(T_TraitDi[[#This Row],[Colonne11]]),FALSE),""),"[hh]:mm"))</f>
        <v>#VALUE!</v>
      </c>
      <c r="AS293" s="172" t="e">
        <f>IF(VLOOKUP(T_BilanSocial[[#This Row],[NumL]],T_TraitDi[#Data],COLUMN(T_TraitDi[[#This Row],[Colonne12]]),FALSE)=0,"",TEXT(IFERROR(VLOOKUP(T_BilanSocial[[#This Row],[NumL]],T_TraitDi[#Data],COLUMN(T_TraitDi[[#This Row],[Colonne12]]),FALSE),""),"[hh]:mm"))</f>
        <v>#VALUE!</v>
      </c>
      <c r="AT293" s="172" t="e">
        <f>IF(VLOOKUP(T_BilanSocial[[#This Row],[NumL]],T_TraitDi[#Data],COLUMN(T_TraitDi[[#This Row],[Colonne14]]),FALSE)=0,"",TEXT(IFERROR(VLOOKUP(T_BilanSocial[[#This Row],[NumL]],T_TraitDi[#Data],COLUMN(T_TraitDi[[#This Row],[Colonne14]]),FALSE),""),"[hh]:mm"))</f>
        <v>#VALUE!</v>
      </c>
      <c r="AU293" s="172" t="str">
        <f>IFERROR(VLOOKUP(T_BilanSocial[[#This Row],[NumL]],T_TraitDi[#Data],COLUMN(T_TraitDi[[#This Row],[Mercredi]]),FALSE),"")</f>
        <v/>
      </c>
      <c r="AV293" s="172" t="e">
        <f>IF(VLOOKUP(T_BilanSocial[[#This Row],[NumL]],T_TraitDi[#Data],COLUMN(T_TraitDi[[#This Row],[Colonne15]]),FALSE)=0,"",TEXT(IFERROR(VLOOKUP(T_BilanSocial[[#This Row],[NumL]],T_TraitDi[#Data],COLUMN(T_TraitDi[[#This Row],[Colonne15]]),FALSE),""),"[hh]:mm"))</f>
        <v>#VALUE!</v>
      </c>
      <c r="AW293" s="172" t="e">
        <f>IF(VLOOKUP(T_BilanSocial[[#This Row],[NumL]],T_TraitDi[#Data],COLUMN(T_TraitDi[[#This Row],[Colonne16]]),FALSE)=0,"",TEXT(IFERROR(VLOOKUP(T_BilanSocial[[#This Row],[NumL]],T_TraitDi[#Data],COLUMN(T_TraitDi[[#This Row],[Colonne16]]),FALSE),""),"[hh]:mm"))</f>
        <v>#VALUE!</v>
      </c>
      <c r="AX293" s="172" t="str">
        <f>IFERROR(VLOOKUP(T_BilanSocial[[#This Row],[NumL]],T_TraitDi[#Data],COLUMN(T_TraitDi[[#This Row],[Colonne17]]),FALSE),"")</f>
        <v/>
      </c>
      <c r="AY293" s="172" t="e">
        <f>IF(VLOOKUP(T_BilanSocial[[#This Row],[NumL]],T_TraitDi[#Data],COLUMN(T_TraitDi[[#This Row],[Colonne18]]),FALSE)=0,"",TEXT(IFERROR(VLOOKUP(T_BilanSocial[[#This Row],[NumL]],T_TraitDi[#Data],COLUMN(T_TraitDi[[#This Row],[Colonne18]]),FALSE),""),"[hh]:mm"))</f>
        <v>#VALUE!</v>
      </c>
      <c r="AZ293" s="172" t="e">
        <f>IF(VLOOKUP(T_BilanSocial[[#This Row],[NumL]],T_TraitDi[#Data],COLUMN(T_TraitDi[[#This Row],[Colonne19]]),FALSE)=0,"",TEXT(IFERROR(VLOOKUP(T_BilanSocial[[#This Row],[NumL]],T_TraitDi[#Data],COLUMN(T_TraitDi[[#This Row],[Colonne19]]),FALSE),""),"[hh]:mm"))</f>
        <v>#VALUE!</v>
      </c>
      <c r="BA293" s="172" t="e">
        <f>IF(VLOOKUP(T_BilanSocial[[#This Row],[NumL]],T_TraitDi[#Data],COLUMN(T_TraitDi[[#This Row],[Colonne20]]),FALSE)=0,"",TEXT(IFERROR(VLOOKUP(T_BilanSocial[[#This Row],[NumL]],T_TraitDi[#Data],COLUMN(T_TraitDi[[#This Row],[Colonne20]]),FALSE),""),"[hh]:mm"))</f>
        <v>#VALUE!</v>
      </c>
      <c r="BB293" s="178" t="str">
        <f>IFERROR(VLOOKUP(T_BilanSocial[[#This Row],[NumL]],T_TraitDi[#Data],COLUMN(T_TraitDi[[#This Row],[Jeudi]]),FALSE),"")</f>
        <v/>
      </c>
      <c r="BC293" s="178" t="e">
        <f>IF(VLOOKUP(T_BilanSocial[[#This Row],[NumL]],T_TraitDi[#Data],COLUMN(T_TraitDi[[#This Row],[Colonne21]]),FALSE)=0,"",TEXT(IFERROR(VLOOKUP(T_BilanSocial[[#This Row],[NumL]],T_TraitDi[#Data],COLUMN(T_TraitDi[[#This Row],[Colonne21]]),FALSE),""),"[hh]:mm"))</f>
        <v>#VALUE!</v>
      </c>
      <c r="BD293" s="178" t="e">
        <f>IF(VLOOKUP(T_BilanSocial[[#This Row],[NumL]],T_TraitDi[#Data],COLUMN(T_TraitDi[[#This Row],[Colonne22]]),FALSE)=0,"",TEXT(IFERROR(VLOOKUP(T_BilanSocial[[#This Row],[NumL]],T_TraitDi[#Data],COLUMN(T_TraitDi[[#This Row],[Colonne22]]),FALSE),""),"[hh]:mm"))</f>
        <v>#VALUE!</v>
      </c>
      <c r="BE293" s="178" t="str">
        <f>IFERROR(VLOOKUP(T_BilanSocial[[#This Row],[NumL]],T_TraitDi[#Data],COLUMN(T_TraitDi[[#This Row],[Colonne23]]),FALSE),"")</f>
        <v/>
      </c>
      <c r="BF293" s="178" t="e">
        <f>IF(VLOOKUP(T_BilanSocial[[#This Row],[NumL]],T_TraitDi[#Data],COLUMN(T_TraitDi[[#This Row],[Colonne24]]),FALSE)=0,"",TEXT(IFERROR(VLOOKUP(T_BilanSocial[[#This Row],[NumL]],T_TraitDi[#Data],COLUMN(T_TraitDi[[#This Row],[Colonne24]]),FALSE),""),"[hh]:mm"))</f>
        <v>#VALUE!</v>
      </c>
      <c r="BG293" s="178" t="e">
        <f>IF(VLOOKUP(T_BilanSocial[[#This Row],[NumL]],T_TraitDi[#Data],COLUMN(T_TraitDi[[#This Row],[Colonne25]]),FALSE)=0,"",TEXT(IFERROR(VLOOKUP(T_BilanSocial[[#This Row],[NumL]],T_TraitDi[#Data],COLUMN(T_TraitDi[[#This Row],[Colonne25]]),FALSE),""),"[hh]:mm"))</f>
        <v>#VALUE!</v>
      </c>
      <c r="BH293" s="178" t="e">
        <f>IF(VLOOKUP(T_BilanSocial[[#This Row],[NumL]],T_TraitDi[#Data],COLUMN(T_TraitDi[[#This Row],[Colonne26]]),FALSE)=0,"",TEXT(IFERROR(VLOOKUP(T_BilanSocial[[#This Row],[NumL]],T_TraitDi[#Data],COLUMN(T_TraitDi[[#This Row],[Colonne26]]),FALSE),""),"[hh]:mm"))</f>
        <v>#VALUE!</v>
      </c>
      <c r="BI293" s="172" t="str">
        <f>IFERROR(VLOOKUP(T_BilanSocial[[#This Row],[NumL]],T_TraitDi[#Data],COLUMN(T_TraitDi[[#This Row],[Vendredi]]),FALSE),"")</f>
        <v/>
      </c>
      <c r="BJ293" s="172" t="e">
        <f>IF(VLOOKUP(T_BilanSocial[[#This Row],[NumL]],T_TraitDi[#Data],COLUMN(T_TraitDi[[#This Row],[Colonne27]]),FALSE)=0,"",TEXT(IFERROR(VLOOKUP(T_BilanSocial[[#This Row],[NumL]],T_TraitDi[#Data],COLUMN(T_TraitDi[[#This Row],[Colonne27]]),FALSE),""),"[hh]:mm"))</f>
        <v>#VALUE!</v>
      </c>
      <c r="BK293" s="172" t="e">
        <f>IF(VLOOKUP(T_BilanSocial[[#This Row],[NumL]],T_TraitDi[#Data],COLUMN(T_TraitDi[[#This Row],[Colonne28]]),FALSE)=0,"",TEXT(IFERROR(VLOOKUP(T_BilanSocial[[#This Row],[NumL]],T_TraitDi[#Data],COLUMN(T_TraitDi[[#This Row],[Colonne28]]),FALSE),""),"[hh]:mm"))</f>
        <v>#VALUE!</v>
      </c>
      <c r="BL293" s="172" t="str">
        <f>IFERROR(VLOOKUP(T_BilanSocial[[#This Row],[NumL]],T_TraitDi[#Data],COLUMN(T_TraitDi[[#This Row],[Colonne29]]),FALSE),"")</f>
        <v/>
      </c>
      <c r="BM293" s="172" t="e">
        <f>IF(VLOOKUP(T_BilanSocial[[#This Row],[NumL]],T_TraitDi[#Data],COLUMN(T_TraitDi[[#This Row],[Colonne30]]),FALSE)=0,"",TEXT(IFERROR(VLOOKUP(T_BilanSocial[[#This Row],[NumL]],T_TraitDi[#Data],COLUMN(T_TraitDi[[#This Row],[Colonne30]]),FALSE),""),"[hh]:mm"))</f>
        <v>#VALUE!</v>
      </c>
      <c r="BN293" s="172" t="e">
        <f>IF(VLOOKUP(T_BilanSocial[[#This Row],[NumL]],T_TraitDi[#Data],COLUMN(T_TraitDi[[#This Row],[Colonne31]]),FALSE)=0,"",TEXT(IFERROR(VLOOKUP(T_BilanSocial[[#This Row],[NumL]],T_TraitDi[#Data],COLUMN(T_TraitDi[[#This Row],[Colonne31]]),FALSE),""),"[hh]:mm"))</f>
        <v>#VALUE!</v>
      </c>
      <c r="BO293" s="172" t="e">
        <f>IF(VLOOKUP(T_BilanSocial[[#This Row],[NumL]],T_TraitDi[#Data],COLUMN(T_TraitDi[[#This Row],[Colonne32]]),FALSE)=0,"",TEXT(IFERROR(VLOOKUP(T_BilanSocial[[#This Row],[NumL]],T_TraitDi[#Data],COLUMN(T_TraitDi[[#This Row],[Colonne32]]),FALSE),""),"[hh]:mm"))</f>
        <v>#VALUE!</v>
      </c>
      <c r="BP293" s="172" t="e">
        <f>VLOOKUP(T_BilanSocial[[#This Row],[NumL]],T_TraitDi[#Data],COLUMN(T_TraitDi[NbJTot]),FALSE)</f>
        <v>#N/A</v>
      </c>
      <c r="BQ293" s="174" t="str">
        <f>IFERROR(VLOOKUP(T_BilanSocial[[#This Row],[NumL]],T_TraitDi[#Data],COLUMN(T_TraitDi[[#This Row],[NbJTW]]),FALSE),"")</f>
        <v/>
      </c>
      <c r="BR293" s="174" t="e">
        <f>IF(VLOOKUP(T_BilanSocial[[#This Row],[NumL]],T_TraitDi[#Data],COLUMN(T_TraitDi[[#This Row],[NbhTW]]),FALSE)=0,"",TEXT(IFERROR(VLOOKUP(T_BilanSocial[[#This Row],[NumL]],T_TraitDi[#Data],COLUMN(T_TraitDi[[#This Row],[NbhTW]]),FALSE),""),"[hh]:mm"))</f>
        <v>#VALUE!</v>
      </c>
      <c r="BS293" s="174" t="e">
        <f>IF(VLOOKUP(T_BilanSocial[[#This Row],[NumL]],T_TraitDi[#Data],COLUMN(T_TraitDi[[#This Row],[Nbhheb]]),FALSE)=0,"",TEXT(IFERROR(VLOOKUP($A293,T_TraitDi[#Data],COLUMN(T_TraitDi[[#This Row],[Nbhheb]]),FALSE),""),"[hh]:mm"))</f>
        <v>#VALUE!</v>
      </c>
      <c r="BT293" s="182" t="str">
        <f>IFERROR(VLOOKUP(VLOOKUP($A293,T_TraitDi[#Data],COLUMN(T_TraitDi[[#This Row],[Type1]]),FALSE),TypeTW,2,FALSE),"")</f>
        <v/>
      </c>
      <c r="BU293" s="182" t="str">
        <f>IFERROR(VLOOKUP($A293,T_TraitDi[#Data],COLUMN(T_TraitDi[[#This Row],[Rue1]]),FALSE),"")</f>
        <v/>
      </c>
      <c r="BV293" s="173" t="str">
        <f>IFERROR(VLOOKUP($A293,T_TraitDi[#Data],COLUMN(T_TraitDi[[#This Row],[CP1]]),FALSE),"")</f>
        <v/>
      </c>
      <c r="BW293" s="173" t="str">
        <f>IFERROR(VLOOKUP($A293,T_TraitDi[#Data],COLUMN(T_TraitDi[[#This Row],[VILLE1]]),FALSE),"")</f>
        <v/>
      </c>
      <c r="BX293" s="182" t="str">
        <f>IFERROR(VLOOKUP(VLOOKUP($A293,T_TraitDi[#Data],COLUMN(T_TraitDi[[#This Row],[Type2]]),FALSE),TypeTW,2,FALSE),"")</f>
        <v/>
      </c>
      <c r="BY293" s="182" t="str">
        <f>IFERROR(VLOOKUP($A293,T_TraitDi[#Data],COLUMN(T_TraitDi[[#This Row],[Rue2]]),FALSE),"")</f>
        <v/>
      </c>
      <c r="BZ293" s="173" t="str">
        <f>IFERROR(VLOOKUP($A293,T_TraitDi[#Data],COLUMN(T_TraitDi[[#This Row],[CP2]]),FALSE),"")</f>
        <v/>
      </c>
      <c r="CA293" s="173" t="str">
        <f>IFERROR(VLOOKUP($A293,T_TraitDi[#Data],COLUMN(T_TraitDi[[#This Row],[VILLE2]]),FALSE),"")</f>
        <v/>
      </c>
      <c r="CB293" s="182" t="str">
        <f>IF(VLOOKUP(T_BilanSocial[[#This Row],[NumL]],T_Equipement[#Data],COLUMN(T_Equipement[[#This Row],[PC]]),FALSE)="","Aucun équipement spécifique directement lié au télétravail",VLOOKUP(T_BilanSocial[[#This Row],[NumL]],T_Equipement[#Data],COLUMN(T_Equipement[[#This Row],[PC]]),FALSE))</f>
        <v>16-002</v>
      </c>
      <c r="CC293" s="166" t="str">
        <f>IFERROR(IF(VLOOKUP(T_BilanSocial[[#This Row],[NumL]],T_TraitDi[#Data],COLUMN(T_TraitDi[[#This Row],[Plan]]),FALSE)="OK","Un planning spécifique de télétravail est annexé à la présente convention.",""),"")</f>
        <v/>
      </c>
      <c r="CD293" s="185"/>
      <c r="CE293" s="164" t="e">
        <f>IF(VLOOKUP(T_BilanSocial[[#This Row],[NumL]],T_suiviDi[#Data],COLUMN(T_suiviDi[[#This Row],[Entité]]),FALSE)="","",VLOOKUP(T_BilanSocial[[#This Row],[NumL]],T_suiviDi[#Data],COLUMN(T_suiviDi[[#This Row],[Entité]]),FALSE))</f>
        <v>#VALUE!</v>
      </c>
      <c r="CF293" s="164" t="str">
        <f>IF(VLOOKUP(T_BilanSocial[[#This Row],[NumL]],T_Commission[#Data],COLUMN(T_Commission[[#This Row],[envoi confirm TW]]),FALSE)="","",VLOOKUP(T_BilanSocial[[#This Row],[NumL]],T_Commission[#Data],COLUMN(T_Commission[[#This Row],[envoi confirm TW]]),FALSE))</f>
        <v>Oui</v>
      </c>
      <c r="CG293" s="264"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3" s="263" t="str">
        <f>T_BilanSocial[[#This Row],[Nom]]&amp;T_BilanSocial[[#This Row],[Prenom]]</f>
        <v/>
      </c>
      <c r="CI293" s="263">
        <f>VLOOKUP(T_BilanSocial[[#This Row],[NumL]],T_Commission[#Data],COLUMN(T_Commission[Commentaire]),FALSE)</f>
        <v>0</v>
      </c>
      <c r="CJ293" s="263" t="str">
        <f>IF(VLOOKUP(T_BilanSocial[[#This Row],[NumL]],T_Commission[#Data],COLUMN(T_Commission[Encadrant Email]),FALSE)="","",VLOOKUP(T_BilanSocial[[#This Row],[NumL]],T_Commission[#Data],COLUMN(T_Commission[Encadrant Email]),FALSE))</f>
        <v/>
      </c>
      <c r="CK293" s="332" t="str">
        <f>IF(T_BilanSocial[[#This Row],[Final]]&lt;&gt;"",VLOOKUP(T_BilanSocial[[#This Row],[NumL]],T_suiviDi[#Data],COLUMN((T_suiviDi[Statut])),FALSE),"")</f>
        <v/>
      </c>
    </row>
    <row r="294" spans="1:89" s="50" customFormat="1" ht="29.25" customHeight="1" x14ac:dyDescent="0.25">
      <c r="A294" s="136">
        <v>291</v>
      </c>
      <c r="B294" s="333" t="str">
        <f t="shared" ref="B294:B325" si="56">VLOOKUP(A294,ComDI,15,FALSE)</f>
        <v/>
      </c>
      <c r="C294" s="334"/>
      <c r="D294" s="95" t="e">
        <f>IF(VLOOKUP(T_BilanSocial[[#This Row],[NumL]],T_TraitDi[#Data],COLUMN(T_TraitDi[[#This Row],[WebC]]),FALSE)="","",VLOOKUP(T_BilanSocial[[#This Row],[NumL]],T_TraitDi[#Data],COLUMN(T_TraitDi[[#This Row],[WebC]]),FALSE))</f>
        <v>#VALUE!</v>
      </c>
      <c r="E294" s="300" t="str">
        <f t="shared" ref="E294:E325" si="57">TEXT(DateEdition,"jj mmmm aaaa")</f>
        <v>12 janvier 2021</v>
      </c>
      <c r="F294" s="96" t="str">
        <f>IF(T_BilanSocial[[#This Row],[Final]]&lt;&gt;"",VLOOKUP(T_BilanSocial[[#This Row],[NumL]],T_suiviDi[#Data],COLUMN((T_suiviDi[Civ.])),FALSE),"")</f>
        <v/>
      </c>
      <c r="G294" s="96" t="str">
        <f>IF(T_BilanSocial[[#This Row],[Final]]&lt;&gt;"",VLOOKUP(T_BilanSocial[[#This Row],[NumL]],T_suiviDi[#Data],COLUMN((T_suiviDi[Nom])),FALSE),"")</f>
        <v/>
      </c>
      <c r="H294" s="96" t="str">
        <f>IF(T_BilanSocial[[#This Row],[Final]]&lt;&gt;"",VLOOKUP(T_BilanSocial[[#This Row],[NumL]],T_suiviDi[#Data],COLUMN((T_suiviDi[Prénom])),FALSE),"")</f>
        <v/>
      </c>
      <c r="I294" s="336" t="str">
        <f>IFERROR(VLOOKUP(T_BilanSocial[[#This Row],[Zone_Bilan]],T_P_BilanSocial[#Data],COLUMN(T_P_BilanSocial[[#This Row],[Numero_SIHAM]]),FALSE),"")</f>
        <v/>
      </c>
      <c r="J294" s="336" t="str">
        <f>IFERROR(VLOOKUP(T_BilanSocial[[#This Row],[Zone_Bilan]],T_P_BilanSocial[#Data],COLUMN(T_P_BilanSocial[[#This Row],[Sexe]]),FALSE),"")</f>
        <v/>
      </c>
      <c r="K294" s="338" t="str">
        <f>IFERROR(VLOOKUP(T_BilanSocial[[#This Row],[Zone_Bilan]],T_P_BilanSocial[#Data],COLUMN(T_P_BilanSocial[[#This Row],[Categorie]]),FALSE),"")</f>
        <v/>
      </c>
      <c r="L294" s="336" t="str">
        <f>IFERROR(VLOOKUP(T_BilanSocial[[#This Row],[Zone_Bilan]],T_P_BilanSocial[#Data],COLUMN(T_P_BilanSocial[[#This Row],[Statut]]),FALSE),"")</f>
        <v/>
      </c>
      <c r="M294" s="336" t="str">
        <f>IFERROR(VLOOKUP(T_BilanSocial[[#This Row],[Zone_Bilan]],T_P_BilanSocial[#Data],COLUMN(T_P_BilanSocial[[#This Row],[Filiere]]),FALSE),"")</f>
        <v/>
      </c>
      <c r="N294" s="336" t="str">
        <f>VLOOKUP(T_BilanSocial[[#This Row],[NumL]],T_TraitDi[#Data],COLUMN(T_TraitDi[EXP]),FALSE)</f>
        <v>O</v>
      </c>
      <c r="O294" s="336" t="str">
        <f>VLOOKUP(T_BilanSocial[[#This Row],[NumL]],T_TraitDi[#Data],COLUMN(T_TraitDi[FORM]),FALSE)</f>
        <v>N</v>
      </c>
      <c r="P294" s="96" t="str">
        <f>IF(T_BilanSocial[[#This Row],[Final]]&lt;&gt;"",VLOOKUP(T_BilanSocial[[#This Row],[NumL]],T_suiviDi[#Data],COLUMN((T_suiviDi[Email])),FALSE),"")</f>
        <v/>
      </c>
      <c r="Q294" s="335" t="str">
        <f t="shared" ref="Q294:Q325" si="58">IF(VLOOKUP($A294,ListeDI,8,FALSE)="","",VLOOKUP($A294,ListeDI,8,FALSE))</f>
        <v>Service financier</v>
      </c>
      <c r="R294" s="335" t="str">
        <f t="shared" ref="R294:R325" si="59">IF(VLOOKUP($A294,ListeDI,9,FALSE)="","",VLOOKUP($A294,ListeDI,9,FALSE))</f>
        <v>Gestionnaire financière</v>
      </c>
      <c r="S294" s="335" t="str">
        <f t="shared" si="55"/>
        <v/>
      </c>
      <c r="T294" s="335" t="str">
        <f t="shared" ref="T294:T325" si="60">TEXT(Dateeffet,"jj mmmm aaaa")</f>
        <v>01 septembre 2021</v>
      </c>
      <c r="U294" s="335" t="str">
        <f t="shared" ref="U294:U325" si="61">TEXT(DateFinadapt,"jj mmmm aaaa")</f>
        <v>30 novembre 2021</v>
      </c>
      <c r="V294" s="337">
        <f t="shared" ref="V294:V325" si="62">Datebilan</f>
        <v>44530</v>
      </c>
      <c r="W294" s="176" t="e">
        <f>IF(VLOOKUP(T_BilanSocial[[#This Row],[NumL]],T_TraitDi[#Data],COLUMN(T_TraitDi[[#This Row],[M1]]),FALSE)="","",VLOOKUP(T_BilanSocial[[#This Row],[NumL]],T_TraitDi[#Data],COLUMN(T_TraitDi[[#This Row],[M1]]),FALSE))</f>
        <v>#VALUE!</v>
      </c>
      <c r="X294" s="335" t="str">
        <f t="shared" ref="X294:Y313" si="63">IFERROR(IF(VLOOKUP($A294,TraitementDI,X$3,FALSE)="",""," - "&amp;VLOOKUP($A294,TraitementDI,X$3,FALSE)),"")</f>
        <v xml:space="preserve"> - Facturation clients</v>
      </c>
      <c r="Y294" s="335" t="str">
        <f t="shared" si="63"/>
        <v xml:space="preserve"> - Envoi de factures par courrier, sur internet ou par mail</v>
      </c>
      <c r="Z294" s="335" t="str">
        <f t="shared" ref="Z294:Z325" si="64">IFERROR(IF(VLOOKUP($A294,TraitementDI,Z$3,FALSE)="",""," -"&amp;VLOOKUP($A294,TraitementDI,Z$3,FALSE)),"")</f>
        <v/>
      </c>
      <c r="AA294" s="176" t="e">
        <f>IF(VLOOKUP(T_BilanSocial[[#This Row],[NumL]],T_TraitDi[#Data],COLUMN(T_TraitDi[[#This Row],[M5]]),FALSE)="","",VLOOKUP(T_BilanSocial[[#This Row],[NumL]],T_TraitDi[#Data],COLUMN(T_TraitDi[[#This Row],[M5]]),FALSE))</f>
        <v>#VALUE!</v>
      </c>
      <c r="AB294" s="176" t="e">
        <f>IF(VLOOKUP(T_BilanSocial[[#This Row],[NumL]],T_TraitDi[#Data],COLUMN(T_TraitDi[[#This Row],[M6]]),FALSE)="","",VLOOKUP(T_BilanSocial[[#This Row],[NumL]],T_TraitDi[#Data],COLUMN(T_TraitDi[[#This Row],[M6]]),FALSE))</f>
        <v>#VALUE!</v>
      </c>
      <c r="AC294" s="335" t="e">
        <f>W294&amp;X294&amp;Y294&amp;Z294&amp;AA294&amp;AB294</f>
        <v>#VALUE!</v>
      </c>
      <c r="AD294" s="337" t="str">
        <f t="shared" ref="AD294:AD325" si="65">IFERROR(TEXT(VLOOKUP($A294,TraitementDI,AD$3,FALSE),"###%"),"")</f>
        <v>80%</v>
      </c>
      <c r="AE294" s="338" t="e">
        <f>VLOOKUP(T_BilanSocial[[#This Row],[NumL]],T_TraitDi[#Data],COLUMN(T_TraitDi[[#This Row],[Reg Ponct]]),FALSE)</f>
        <v>#VALUE!</v>
      </c>
      <c r="AF294" s="338" t="e">
        <f>VLOOKUP(T_BilanSocial[NumL],T_TraitDi[#Data],COLUMN(T_TraitDi[[#This Row],[Jours flottants]]),FALSE)</f>
        <v>#VALUE!</v>
      </c>
      <c r="AG294" s="97" t="str">
        <f>IFERROR(VLOOKUP(T_BilanSocial[[#This Row],[NumL]],T_TraitDi[#Data],COLUMN(T_TraitDi[[#This Row],[Lundi]]),FALSE),"")</f>
        <v/>
      </c>
      <c r="AH294" s="172" t="e">
        <f>IF(VLOOKUP(T_BilanSocial[[#This Row],[NumL]],T_TraitDi[#Data],COLUMN(T_TraitDi[[#This Row],[Colonne3]]),FALSE)=0,"",TEXT(IFERROR(VLOOKUP(T_BilanSocial[[#This Row],[NumL]],T_TraitDi[#Data],COLUMN(T_TraitDi[[#This Row],[Colonne3]]),FALSE),""),"[hh]:mm"))</f>
        <v>#VALUE!</v>
      </c>
      <c r="AI294" s="172" t="e">
        <f>IF(VLOOKUP(T_BilanSocial[[#This Row],[NumL]],T_TraitDi[#Data],COLUMN(T_TraitDi[[#This Row],[Colonne4]]),FALSE)=0,"",TEXT(IFERROR(VLOOKUP(T_BilanSocial[[#This Row],[NumL]],T_TraitDi[#Data],COLUMN(T_TraitDi[[#This Row],[Colonne4]]),FALSE),""),"[hh]:mm"))</f>
        <v>#VALUE!</v>
      </c>
      <c r="AJ294" s="172" t="e">
        <f>IF(VLOOKUP(T_BilanSocial[[#This Row],[NumL]],T_TraitDi[#Data],COLUMN(T_TraitDi[[#This Row],[Colonne5]]),FALSE)=0,"",TEXT(IFERROR(VLOOKUP(T_BilanSocial[[#This Row],[NumL]],T_TraitDi[#Data],COLUMN(T_TraitDi[[#This Row],[Colonne5]]),FALSE),""),"[hh]:mm"))</f>
        <v>#VALUE!</v>
      </c>
      <c r="AK294" s="172" t="e">
        <f>IF(VLOOKUP(T_BilanSocial[[#This Row],[NumL]],T_TraitDi[#Data],COLUMN(T_TraitDi[[#This Row],[Colonne6]]),FALSE)=0,"",TEXT(IFERROR(VLOOKUP(T_BilanSocial[[#This Row],[NumL]],T_TraitDi[#Data],COLUMN(T_TraitDi[[#This Row],[Colonne6]]),FALSE),""),"[hh]:mm"))</f>
        <v>#VALUE!</v>
      </c>
      <c r="AL294" s="172" t="e">
        <f>IF(VLOOKUP(T_BilanSocial[[#This Row],[NumL]],T_TraitDi[#Data],COLUMN(T_TraitDi[[#This Row],[Colonne7]]),FALSE)=0,"",TEXT(IFERROR(VLOOKUP(T_BilanSocial[[#This Row],[NumL]],T_TraitDi[#Data],COLUMN(T_TraitDi[[#This Row],[Colonne7]]),FALSE),""),"[hh]:mm"))</f>
        <v>#VALUE!</v>
      </c>
      <c r="AM294" s="172" t="e">
        <f>IF(VLOOKUP(T_BilanSocial[[#This Row],[NumL]],T_TraitDi[#Data],COLUMN(T_TraitDi[[#This Row],[Colonne8]]),FALSE)=0,"",TEXT(IFERROR(VLOOKUP(T_BilanSocial[[#This Row],[NumL]],T_TraitDi[#Data],COLUMN(T_TraitDi[[#This Row],[Colonne8]]),FALSE),""),"[hh]:mm"))</f>
        <v>#VALUE!</v>
      </c>
      <c r="AN294" s="172" t="str">
        <f>IFERROR(VLOOKUP(T_BilanSocial[[#This Row],[NumL]],T_TraitDi[#Data],COLUMN(T_TraitDi[[#This Row],[Mardi]]),FALSE),"")</f>
        <v/>
      </c>
      <c r="AO294" s="172" t="e">
        <f>IF(VLOOKUP(T_BilanSocial[[#This Row],[NumL]],T_TraitDi[#Data],COLUMN(T_TraitDi[[#This Row],[Colonne1]]),FALSE)=0,"",TEXT(IFERROR(VLOOKUP(T_BilanSocial[[#This Row],[NumL]],T_TraitDi[#Data],COLUMN(T_TraitDi[[#This Row],[Colonne1]]),FALSE),""),"[hh]:mm"))</f>
        <v>#VALUE!</v>
      </c>
      <c r="AP294" s="172" t="e">
        <f>IF(VLOOKUP(T_BilanSocial[[#This Row],[NumL]],T_TraitDi[#Data],COLUMN(T_TraitDi[[#This Row],[Colonne9]]),FALSE)=0,"",TEXT(IFERROR(VLOOKUP(T_BilanSocial[[#This Row],[NumL]],T_TraitDi[#Data],COLUMN(T_TraitDi[[#This Row],[Colonne9]]),FALSE),""),"[hh]:mm"))</f>
        <v>#VALUE!</v>
      </c>
      <c r="AQ294" s="172" t="str">
        <f>IFERROR(VLOOKUP(T_BilanSocial[[#This Row],[NumL]],T_TraitDi[#Data],COLUMN(T_TraitDi[[#This Row],[Colonne10]]),FALSE),"")</f>
        <v/>
      </c>
      <c r="AR294" s="172" t="e">
        <f>IF(VLOOKUP(T_BilanSocial[[#This Row],[NumL]],T_TraitDi[#Data],COLUMN(T_TraitDi[[#This Row],[Colonne11]]),FALSE)=0,"",TEXT(IFERROR(VLOOKUP(T_BilanSocial[[#This Row],[NumL]],T_TraitDi[#Data],COLUMN(T_TraitDi[[#This Row],[Colonne11]]),FALSE),""),"[hh]:mm"))</f>
        <v>#VALUE!</v>
      </c>
      <c r="AS294" s="172" t="e">
        <f>IF(VLOOKUP(T_BilanSocial[[#This Row],[NumL]],T_TraitDi[#Data],COLUMN(T_TraitDi[[#This Row],[Colonne12]]),FALSE)=0,"",TEXT(IFERROR(VLOOKUP(T_BilanSocial[[#This Row],[NumL]],T_TraitDi[#Data],COLUMN(T_TraitDi[[#This Row],[Colonne12]]),FALSE),""),"[hh]:mm"))</f>
        <v>#VALUE!</v>
      </c>
      <c r="AT294" s="172" t="e">
        <f>IF(VLOOKUP(T_BilanSocial[[#This Row],[NumL]],T_TraitDi[#Data],COLUMN(T_TraitDi[[#This Row],[Colonne14]]),FALSE)=0,"",TEXT(IFERROR(VLOOKUP(T_BilanSocial[[#This Row],[NumL]],T_TraitDi[#Data],COLUMN(T_TraitDi[[#This Row],[Colonne14]]),FALSE),""),"[hh]:mm"))</f>
        <v>#VALUE!</v>
      </c>
      <c r="AU294" s="172" t="str">
        <f>IFERROR(VLOOKUP(T_BilanSocial[[#This Row],[NumL]],T_TraitDi[#Data],COLUMN(T_TraitDi[[#This Row],[Mercredi]]),FALSE),"")</f>
        <v/>
      </c>
      <c r="AV294" s="172" t="e">
        <f>IF(VLOOKUP(T_BilanSocial[[#This Row],[NumL]],T_TraitDi[#Data],COLUMN(T_TraitDi[[#This Row],[Colonne15]]),FALSE)=0,"",TEXT(IFERROR(VLOOKUP(T_BilanSocial[[#This Row],[NumL]],T_TraitDi[#Data],COLUMN(T_TraitDi[[#This Row],[Colonne15]]),FALSE),""),"[hh]:mm"))</f>
        <v>#VALUE!</v>
      </c>
      <c r="AW294" s="172" t="e">
        <f>IF(VLOOKUP(T_BilanSocial[[#This Row],[NumL]],T_TraitDi[#Data],COLUMN(T_TraitDi[[#This Row],[Colonne16]]),FALSE)=0,"",TEXT(IFERROR(VLOOKUP(T_BilanSocial[[#This Row],[NumL]],T_TraitDi[#Data],COLUMN(T_TraitDi[[#This Row],[Colonne16]]),FALSE),""),"[hh]:mm"))</f>
        <v>#VALUE!</v>
      </c>
      <c r="AX294" s="172" t="str">
        <f>IFERROR(VLOOKUP(T_BilanSocial[[#This Row],[NumL]],T_TraitDi[#Data],COLUMN(T_TraitDi[[#This Row],[Colonne17]]),FALSE),"")</f>
        <v/>
      </c>
      <c r="AY294" s="172" t="e">
        <f>IF(VLOOKUP(T_BilanSocial[[#This Row],[NumL]],T_TraitDi[#Data],COLUMN(T_TraitDi[[#This Row],[Colonne18]]),FALSE)=0,"",TEXT(IFERROR(VLOOKUP(T_BilanSocial[[#This Row],[NumL]],T_TraitDi[#Data],COLUMN(T_TraitDi[[#This Row],[Colonne18]]),FALSE),""),"[hh]:mm"))</f>
        <v>#VALUE!</v>
      </c>
      <c r="AZ294" s="172" t="e">
        <f>IF(VLOOKUP(T_BilanSocial[[#This Row],[NumL]],T_TraitDi[#Data],COLUMN(T_TraitDi[[#This Row],[Colonne19]]),FALSE)=0,"",TEXT(IFERROR(VLOOKUP(T_BilanSocial[[#This Row],[NumL]],T_TraitDi[#Data],COLUMN(T_TraitDi[[#This Row],[Colonne19]]),FALSE),""),"[hh]:mm"))</f>
        <v>#VALUE!</v>
      </c>
      <c r="BA294" s="172" t="e">
        <f>IF(VLOOKUP(T_BilanSocial[[#This Row],[NumL]],T_TraitDi[#Data],COLUMN(T_TraitDi[[#This Row],[Colonne20]]),FALSE)=0,"",TEXT(IFERROR(VLOOKUP(T_BilanSocial[[#This Row],[NumL]],T_TraitDi[#Data],COLUMN(T_TraitDi[[#This Row],[Colonne20]]),FALSE),""),"[hh]:mm"))</f>
        <v>#VALUE!</v>
      </c>
      <c r="BB294" s="178" t="str">
        <f>IFERROR(VLOOKUP(T_BilanSocial[[#This Row],[NumL]],T_TraitDi[#Data],COLUMN(T_TraitDi[[#This Row],[Jeudi]]),FALSE),"")</f>
        <v/>
      </c>
      <c r="BC294" s="178" t="e">
        <f>IF(VLOOKUP(T_BilanSocial[[#This Row],[NumL]],T_TraitDi[#Data],COLUMN(T_TraitDi[[#This Row],[Colonne21]]),FALSE)=0,"",TEXT(IFERROR(VLOOKUP(T_BilanSocial[[#This Row],[NumL]],T_TraitDi[#Data],COLUMN(T_TraitDi[[#This Row],[Colonne21]]),FALSE),""),"[hh]:mm"))</f>
        <v>#VALUE!</v>
      </c>
      <c r="BD294" s="178" t="e">
        <f>IF(VLOOKUP(T_BilanSocial[[#This Row],[NumL]],T_TraitDi[#Data],COLUMN(T_TraitDi[[#This Row],[Colonne22]]),FALSE)=0,"",TEXT(IFERROR(VLOOKUP(T_BilanSocial[[#This Row],[NumL]],T_TraitDi[#Data],COLUMN(T_TraitDi[[#This Row],[Colonne22]]),FALSE),""),"[hh]:mm"))</f>
        <v>#VALUE!</v>
      </c>
      <c r="BE294" s="178" t="str">
        <f>IFERROR(VLOOKUP(T_BilanSocial[[#This Row],[NumL]],T_TraitDi[#Data],COLUMN(T_TraitDi[[#This Row],[Colonne23]]),FALSE),"")</f>
        <v/>
      </c>
      <c r="BF294" s="178" t="e">
        <f>IF(VLOOKUP(T_BilanSocial[[#This Row],[NumL]],T_TraitDi[#Data],COLUMN(T_TraitDi[[#This Row],[Colonne24]]),FALSE)=0,"",TEXT(IFERROR(VLOOKUP(T_BilanSocial[[#This Row],[NumL]],T_TraitDi[#Data],COLUMN(T_TraitDi[[#This Row],[Colonne24]]),FALSE),""),"[hh]:mm"))</f>
        <v>#VALUE!</v>
      </c>
      <c r="BG294" s="178" t="e">
        <f>IF(VLOOKUP(T_BilanSocial[[#This Row],[NumL]],T_TraitDi[#Data],COLUMN(T_TraitDi[[#This Row],[Colonne25]]),FALSE)=0,"",TEXT(IFERROR(VLOOKUP(T_BilanSocial[[#This Row],[NumL]],T_TraitDi[#Data],COLUMN(T_TraitDi[[#This Row],[Colonne25]]),FALSE),""),"[hh]:mm"))</f>
        <v>#VALUE!</v>
      </c>
      <c r="BH294" s="178" t="e">
        <f>IF(VLOOKUP(T_BilanSocial[[#This Row],[NumL]],T_TraitDi[#Data],COLUMN(T_TraitDi[[#This Row],[Colonne26]]),FALSE)=0,"",TEXT(IFERROR(VLOOKUP(T_BilanSocial[[#This Row],[NumL]],T_TraitDi[#Data],COLUMN(T_TraitDi[[#This Row],[Colonne26]]),FALSE),""),"[hh]:mm"))</f>
        <v>#VALUE!</v>
      </c>
      <c r="BI294" s="172" t="str">
        <f>IFERROR(VLOOKUP(T_BilanSocial[[#This Row],[NumL]],T_TraitDi[#Data],COLUMN(T_TraitDi[[#This Row],[Vendredi]]),FALSE),"")</f>
        <v/>
      </c>
      <c r="BJ294" s="172" t="e">
        <f>IF(VLOOKUP(T_BilanSocial[[#This Row],[NumL]],T_TraitDi[#Data],COLUMN(T_TraitDi[[#This Row],[Colonne27]]),FALSE)=0,"",TEXT(IFERROR(VLOOKUP(T_BilanSocial[[#This Row],[NumL]],T_TraitDi[#Data],COLUMN(T_TraitDi[[#This Row],[Colonne27]]),FALSE),""),"[hh]:mm"))</f>
        <v>#VALUE!</v>
      </c>
      <c r="BK294" s="172" t="e">
        <f>IF(VLOOKUP(T_BilanSocial[[#This Row],[NumL]],T_TraitDi[#Data],COLUMN(T_TraitDi[[#This Row],[Colonne28]]),FALSE)=0,"",TEXT(IFERROR(VLOOKUP(T_BilanSocial[[#This Row],[NumL]],T_TraitDi[#Data],COLUMN(T_TraitDi[[#This Row],[Colonne28]]),FALSE),""),"[hh]:mm"))</f>
        <v>#VALUE!</v>
      </c>
      <c r="BL294" s="172" t="str">
        <f>IFERROR(VLOOKUP(T_BilanSocial[[#This Row],[NumL]],T_TraitDi[#Data],COLUMN(T_TraitDi[[#This Row],[Colonne29]]),FALSE),"")</f>
        <v/>
      </c>
      <c r="BM294" s="172" t="e">
        <f>IF(VLOOKUP(T_BilanSocial[[#This Row],[NumL]],T_TraitDi[#Data],COLUMN(T_TraitDi[[#This Row],[Colonne30]]),FALSE)=0,"",TEXT(IFERROR(VLOOKUP(T_BilanSocial[[#This Row],[NumL]],T_TraitDi[#Data],COLUMN(T_TraitDi[[#This Row],[Colonne30]]),FALSE),""),"[hh]:mm"))</f>
        <v>#VALUE!</v>
      </c>
      <c r="BN294" s="172" t="e">
        <f>IF(VLOOKUP(T_BilanSocial[[#This Row],[NumL]],T_TraitDi[#Data],COLUMN(T_TraitDi[[#This Row],[Colonne31]]),FALSE)=0,"",TEXT(IFERROR(VLOOKUP(T_BilanSocial[[#This Row],[NumL]],T_TraitDi[#Data],COLUMN(T_TraitDi[[#This Row],[Colonne31]]),FALSE),""),"[hh]:mm"))</f>
        <v>#VALUE!</v>
      </c>
      <c r="BO294" s="172" t="e">
        <f>IF(VLOOKUP(T_BilanSocial[[#This Row],[NumL]],T_TraitDi[#Data],COLUMN(T_TraitDi[[#This Row],[Colonne32]]),FALSE)=0,"",TEXT(IFERROR(VLOOKUP(T_BilanSocial[[#This Row],[NumL]],T_TraitDi[#Data],COLUMN(T_TraitDi[[#This Row],[Colonne32]]),FALSE),""),"[hh]:mm"))</f>
        <v>#VALUE!</v>
      </c>
      <c r="BP294" s="172">
        <f>VLOOKUP(T_BilanSocial[[#This Row],[NumL]],T_TraitDi[#Data],COLUMN(T_TraitDi[NbJTot]),FALSE)</f>
        <v>4</v>
      </c>
      <c r="BQ294" s="174" t="str">
        <f>IFERROR(VLOOKUP(T_BilanSocial[[#This Row],[NumL]],T_TraitDi[#Data],COLUMN(T_TraitDi[[#This Row],[NbJTW]]),FALSE),"")</f>
        <v/>
      </c>
      <c r="BR294" s="174" t="e">
        <f>IF(VLOOKUP(T_BilanSocial[[#This Row],[NumL]],T_TraitDi[#Data],COLUMN(T_TraitDi[[#This Row],[NbhTW]]),FALSE)=0,"",TEXT(IFERROR(VLOOKUP(T_BilanSocial[[#This Row],[NumL]],T_TraitDi[#Data],COLUMN(T_TraitDi[[#This Row],[NbhTW]]),FALSE),""),"[hh]:mm"))</f>
        <v>#VALUE!</v>
      </c>
      <c r="BS294" s="174" t="e">
        <f>IF(VLOOKUP(T_BilanSocial[[#This Row],[NumL]],T_TraitDi[#Data],COLUMN(T_TraitDi[[#This Row],[Nbhheb]]),FALSE)=0,"",TEXT(IFERROR(VLOOKUP($A294,T_TraitDi[#Data],COLUMN(T_TraitDi[[#This Row],[Nbhheb]]),FALSE),""),"[hh]:mm"))</f>
        <v>#VALUE!</v>
      </c>
      <c r="BT294" s="182" t="str">
        <f>IFERROR(VLOOKUP(VLOOKUP($A294,T_TraitDi[#Data],COLUMN(T_TraitDi[[#This Row],[Type1]]),FALSE),TypeTW,2,FALSE),"")</f>
        <v/>
      </c>
      <c r="BU294" s="182" t="str">
        <f>IFERROR(VLOOKUP($A294,T_TraitDi[#Data],COLUMN(T_TraitDi[[#This Row],[Rue1]]),FALSE),"")</f>
        <v/>
      </c>
      <c r="BV294" s="173" t="str">
        <f>IFERROR(VLOOKUP($A294,T_TraitDi[#Data],COLUMN(T_TraitDi[[#This Row],[CP1]]),FALSE),"")</f>
        <v/>
      </c>
      <c r="BW294" s="173" t="str">
        <f>IFERROR(VLOOKUP($A294,T_TraitDi[#Data],COLUMN(T_TraitDi[[#This Row],[VILLE1]]),FALSE),"")</f>
        <v/>
      </c>
      <c r="BX294" s="182" t="str">
        <f>IFERROR(VLOOKUP(VLOOKUP($A294,T_TraitDi[#Data],COLUMN(T_TraitDi[[#This Row],[Type2]]),FALSE),TypeTW,2,FALSE),"")</f>
        <v/>
      </c>
      <c r="BY294" s="182" t="str">
        <f>IFERROR(VLOOKUP($A294,T_TraitDi[#Data],COLUMN(T_TraitDi[[#This Row],[Rue2]]),FALSE),"")</f>
        <v/>
      </c>
      <c r="BZ294" s="173" t="str">
        <f>IFERROR(VLOOKUP($A294,T_TraitDi[#Data],COLUMN(T_TraitDi[[#This Row],[CP2]]),FALSE),"")</f>
        <v/>
      </c>
      <c r="CA294" s="173" t="str">
        <f>IFERROR(VLOOKUP($A294,T_TraitDi[#Data],COLUMN(T_TraitDi[[#This Row],[VILLE2]]),FALSE),"")</f>
        <v/>
      </c>
      <c r="CB294"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4" s="166" t="str">
        <f>IFERROR(IF(VLOOKUP(T_BilanSocial[[#This Row],[NumL]],T_TraitDi[#Data],COLUMN(T_TraitDi[[#This Row],[Plan]]),FALSE)="OK","Un planning spécifique de télétravail est annexé à la présente convention.",""),"")</f>
        <v/>
      </c>
      <c r="CD294" s="301"/>
      <c r="CE294" s="164" t="e">
        <f>IF(VLOOKUP(T_BilanSocial[[#This Row],[NumL]],T_suiviDi[#Data],COLUMN(T_suiviDi[[#This Row],[Entité]]),FALSE)="","",VLOOKUP(T_BilanSocial[[#This Row],[NumL]],T_suiviDi[#Data],COLUMN(T_suiviDi[[#This Row],[Entité]]),FALSE))</f>
        <v>#VALUE!</v>
      </c>
      <c r="CF294" s="164" t="str">
        <f>IF(VLOOKUP(T_BilanSocial[[#This Row],[NumL]],T_Commission[#Data],COLUMN(T_Commission[[#This Row],[envoi confirm TW]]),FALSE)="","",VLOOKUP(T_BilanSocial[[#This Row],[NumL]],T_Commission[#Data],COLUMN(T_Commission[[#This Row],[envoi confirm TW]]),FALSE))</f>
        <v>Oui</v>
      </c>
      <c r="CG29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4" s="339" t="str">
        <f>T_BilanSocial[[#This Row],[Nom]]&amp;T_BilanSocial[[#This Row],[Prenom]]</f>
        <v/>
      </c>
      <c r="CI294" s="339">
        <f>VLOOKUP(T_BilanSocial[[#This Row],[NumL]],T_Commission[#Data],COLUMN(T_Commission[Commentaire]),FALSE)</f>
        <v>0</v>
      </c>
      <c r="CJ294" s="339" t="str">
        <f>IF(VLOOKUP(T_BilanSocial[[#This Row],[NumL]],T_Commission[#Data],COLUMN(T_Commission[Encadrant Email]),FALSE)="","",VLOOKUP(T_BilanSocial[[#This Row],[NumL]],T_Commission[#Data],COLUMN(T_Commission[Encadrant Email]),FALSE))</f>
        <v/>
      </c>
      <c r="CK294" s="332" t="str">
        <f>IF(T_BilanSocial[[#This Row],[Final]]&lt;&gt;"",VLOOKUP(T_BilanSocial[[#This Row],[NumL]],T_suiviDi[#Data],COLUMN((T_suiviDi[Statut])),FALSE),"")</f>
        <v/>
      </c>
    </row>
    <row r="295" spans="1:89" s="50" customFormat="1" ht="21" customHeight="1" x14ac:dyDescent="0.25">
      <c r="A295" s="136">
        <v>292</v>
      </c>
      <c r="B295" s="330" t="str">
        <f t="shared" si="56"/>
        <v/>
      </c>
      <c r="C295" s="309"/>
      <c r="D295" s="95" t="e">
        <f>IF(VLOOKUP(T_BilanSocial[[#This Row],[NumL]],T_TraitDi[#Data],COLUMN(T_TraitDi[[#This Row],[WebC]]),FALSE)="","",VLOOKUP(T_BilanSocial[[#This Row],[NumL]],T_TraitDi[#Data],COLUMN(T_TraitDi[[#This Row],[WebC]]),FALSE))</f>
        <v>#VALUE!</v>
      </c>
      <c r="E295" s="95" t="str">
        <f t="shared" si="57"/>
        <v>12 janvier 2021</v>
      </c>
      <c r="F295" s="96" t="str">
        <f>IF(T_BilanSocial[[#This Row],[Final]]&lt;&gt;"",VLOOKUP(T_BilanSocial[[#This Row],[NumL]],T_suiviDi[#Data],COLUMN((T_suiviDi[Civ.])),FALSE),"")</f>
        <v/>
      </c>
      <c r="G295" s="96" t="str">
        <f>IF(T_BilanSocial[[#This Row],[Final]]&lt;&gt;"",VLOOKUP(T_BilanSocial[[#This Row],[NumL]],T_suiviDi[#Data],COLUMN((T_suiviDi[Nom])),FALSE),"")</f>
        <v/>
      </c>
      <c r="H295" s="96" t="str">
        <f>IF(T_BilanSocial[[#This Row],[Final]]&lt;&gt;"",VLOOKUP(T_BilanSocial[[#This Row],[NumL]],T_suiviDi[#Data],COLUMN((T_suiviDi[Prénom])),FALSE),"")</f>
        <v/>
      </c>
      <c r="I295" s="331" t="str">
        <f>IFERROR(VLOOKUP(T_BilanSocial[[#This Row],[Zone_Bilan]],T_P_BilanSocial[#Data],COLUMN(T_P_BilanSocial[[#This Row],[Numero_SIHAM]]),FALSE),"")</f>
        <v/>
      </c>
      <c r="J295" s="331" t="str">
        <f>IFERROR(VLOOKUP(T_BilanSocial[[#This Row],[Zone_Bilan]],T_P_BilanSocial[#Data],COLUMN(T_P_BilanSocial[[#This Row],[Sexe]]),FALSE),"")</f>
        <v/>
      </c>
      <c r="K295" s="294" t="str">
        <f>IFERROR(VLOOKUP(T_BilanSocial[[#This Row],[Zone_Bilan]],T_P_BilanSocial[#Data],COLUMN(T_P_BilanSocial[[#This Row],[Categorie]]),FALSE),"")</f>
        <v/>
      </c>
      <c r="L295" s="331" t="str">
        <f>IFERROR(VLOOKUP(T_BilanSocial[[#This Row],[Zone_Bilan]],T_P_BilanSocial[#Data],COLUMN(T_P_BilanSocial[[#This Row],[Statut]]),FALSE),"")</f>
        <v/>
      </c>
      <c r="M295" s="331" t="str">
        <f>IFERROR(VLOOKUP(T_BilanSocial[[#This Row],[Zone_Bilan]],T_P_BilanSocial[#Data],COLUMN(T_P_BilanSocial[[#This Row],[Filiere]]),FALSE),"")</f>
        <v/>
      </c>
      <c r="N295" s="331" t="e">
        <f>VLOOKUP(T_BilanSocial[[#This Row],[NumL]],T_TraitDi[#Data],COLUMN(T_TraitDi[EXP]),FALSE)</f>
        <v>#N/A</v>
      </c>
      <c r="O295" s="331" t="e">
        <f>VLOOKUP(T_BilanSocial[[#This Row],[NumL]],T_TraitDi[#Data],COLUMN(T_TraitDi[FORM]),FALSE)</f>
        <v>#N/A</v>
      </c>
      <c r="P295" s="96" t="str">
        <f>IF(T_BilanSocial[[#This Row],[Final]]&lt;&gt;"",VLOOKUP(T_BilanSocial[[#This Row],[NumL]],T_suiviDi[#Data],COLUMN((T_suiviDi[Email])),FALSE),"")</f>
        <v/>
      </c>
      <c r="Q295" s="96" t="e">
        <f t="shared" si="58"/>
        <v>#N/A</v>
      </c>
      <c r="R295" s="96" t="e">
        <f t="shared" si="59"/>
        <v>#N/A</v>
      </c>
      <c r="S295" s="96" t="str">
        <f t="shared" si="55"/>
        <v/>
      </c>
      <c r="T295" s="96" t="str">
        <f t="shared" si="60"/>
        <v>01 septembre 2021</v>
      </c>
      <c r="U295" s="96" t="str">
        <f t="shared" si="61"/>
        <v>30 novembre 2021</v>
      </c>
      <c r="V295" s="97">
        <f t="shared" si="62"/>
        <v>44530</v>
      </c>
      <c r="W295" s="176" t="e">
        <f>IF(VLOOKUP(T_BilanSocial[[#This Row],[NumL]],T_TraitDi[#Data],COLUMN(T_TraitDi[[#This Row],[M1]]),FALSE)="","",VLOOKUP(T_BilanSocial[[#This Row],[NumL]],T_TraitDi[#Data],COLUMN(T_TraitDi[[#This Row],[M1]]),FALSE))</f>
        <v>#VALUE!</v>
      </c>
      <c r="X295" s="96" t="str">
        <f t="shared" si="63"/>
        <v/>
      </c>
      <c r="Y295" s="96" t="str">
        <f t="shared" si="63"/>
        <v/>
      </c>
      <c r="Z295" s="96" t="str">
        <f t="shared" si="64"/>
        <v/>
      </c>
      <c r="AA295" s="176" t="e">
        <f>IF(VLOOKUP(T_BilanSocial[[#This Row],[NumL]],T_TraitDi[#Data],COLUMN(T_TraitDi[[#This Row],[M5]]),FALSE)="","",VLOOKUP(T_BilanSocial[[#This Row],[NumL]],T_TraitDi[#Data],COLUMN(T_TraitDi[[#This Row],[M5]]),FALSE))</f>
        <v>#VALUE!</v>
      </c>
      <c r="AB295" s="176" t="e">
        <f>IF(VLOOKUP(T_BilanSocial[[#This Row],[NumL]],T_TraitDi[#Data],COLUMN(T_TraitDi[[#This Row],[M6]]),FALSE)="","",VLOOKUP(T_BilanSocial[[#This Row],[NumL]],T_TraitDi[#Data],COLUMN(T_TraitDi[[#This Row],[M6]]),FALSE))</f>
        <v>#VALUE!</v>
      </c>
      <c r="AC295" s="96" t="e">
        <f t="shared" ref="AC295:AC302" si="66">W295&amp;X295&amp;Y295&amp;Z295&amp;AA295&amp;AB295</f>
        <v>#VALUE!</v>
      </c>
      <c r="AD295" s="97" t="str">
        <f t="shared" si="65"/>
        <v/>
      </c>
      <c r="AE295" s="294" t="e">
        <f>VLOOKUP(T_BilanSocial[[#This Row],[NumL]],T_TraitDi[#Data],COLUMN(T_TraitDi[[#This Row],[Reg Ponct]]),FALSE)</f>
        <v>#VALUE!</v>
      </c>
      <c r="AF295" s="294" t="e">
        <f>VLOOKUP(T_BilanSocial[NumL],T_TraitDi[#Data],COLUMN(T_TraitDi[[#This Row],[Jours flottants]]),FALSE)</f>
        <v>#VALUE!</v>
      </c>
      <c r="AG295" s="97" t="str">
        <f>IFERROR(VLOOKUP(T_BilanSocial[[#This Row],[NumL]],T_TraitDi[#Data],COLUMN(T_TraitDi[[#This Row],[Lundi]]),FALSE),"")</f>
        <v/>
      </c>
      <c r="AH295" s="172" t="e">
        <f>IF(VLOOKUP(T_BilanSocial[[#This Row],[NumL]],T_TraitDi[#Data],COLUMN(T_TraitDi[[#This Row],[Colonne3]]),FALSE)=0,"",TEXT(IFERROR(VLOOKUP(T_BilanSocial[[#This Row],[NumL]],T_TraitDi[#Data],COLUMN(T_TraitDi[[#This Row],[Colonne3]]),FALSE),""),"[hh]:mm"))</f>
        <v>#VALUE!</v>
      </c>
      <c r="AI295" s="172" t="e">
        <f>IF(VLOOKUP(T_BilanSocial[[#This Row],[NumL]],T_TraitDi[#Data],COLUMN(T_TraitDi[[#This Row],[Colonne4]]),FALSE)=0,"",TEXT(IFERROR(VLOOKUP(T_BilanSocial[[#This Row],[NumL]],T_TraitDi[#Data],COLUMN(T_TraitDi[[#This Row],[Colonne4]]),FALSE),""),"[hh]:mm"))</f>
        <v>#VALUE!</v>
      </c>
      <c r="AJ295" s="172" t="e">
        <f>IF(VLOOKUP(T_BilanSocial[[#This Row],[NumL]],T_TraitDi[#Data],COLUMN(T_TraitDi[[#This Row],[Colonne5]]),FALSE)=0,"",TEXT(IFERROR(VLOOKUP(T_BilanSocial[[#This Row],[NumL]],T_TraitDi[#Data],COLUMN(T_TraitDi[[#This Row],[Colonne5]]),FALSE),""),"[hh]:mm"))</f>
        <v>#VALUE!</v>
      </c>
      <c r="AK295" s="172" t="e">
        <f>IF(VLOOKUP(T_BilanSocial[[#This Row],[NumL]],T_TraitDi[#Data],COLUMN(T_TraitDi[[#This Row],[Colonne6]]),FALSE)=0,"",TEXT(IFERROR(VLOOKUP(T_BilanSocial[[#This Row],[NumL]],T_TraitDi[#Data],COLUMN(T_TraitDi[[#This Row],[Colonne6]]),FALSE),""),"[hh]:mm"))</f>
        <v>#VALUE!</v>
      </c>
      <c r="AL295" s="172" t="e">
        <f>IF(VLOOKUP(T_BilanSocial[[#This Row],[NumL]],T_TraitDi[#Data],COLUMN(T_TraitDi[[#This Row],[Colonne7]]),FALSE)=0,"",TEXT(IFERROR(VLOOKUP(T_BilanSocial[[#This Row],[NumL]],T_TraitDi[#Data],COLUMN(T_TraitDi[[#This Row],[Colonne7]]),FALSE),""),"[hh]:mm"))</f>
        <v>#VALUE!</v>
      </c>
      <c r="AM295" s="172" t="e">
        <f>IF(VLOOKUP(T_BilanSocial[[#This Row],[NumL]],T_TraitDi[#Data],COLUMN(T_TraitDi[[#This Row],[Colonne8]]),FALSE)=0,"",TEXT(IFERROR(VLOOKUP(T_BilanSocial[[#This Row],[NumL]],T_TraitDi[#Data],COLUMN(T_TraitDi[[#This Row],[Colonne8]]),FALSE),""),"[hh]:mm"))</f>
        <v>#VALUE!</v>
      </c>
      <c r="AN295" s="172" t="str">
        <f>IFERROR(VLOOKUP(T_BilanSocial[[#This Row],[NumL]],T_TraitDi[#Data],COLUMN(T_TraitDi[[#This Row],[Mardi]]),FALSE),"")</f>
        <v/>
      </c>
      <c r="AO295" s="172" t="e">
        <f>IF(VLOOKUP(T_BilanSocial[[#This Row],[NumL]],T_TraitDi[#Data],COLUMN(T_TraitDi[[#This Row],[Colonne1]]),FALSE)=0,"",TEXT(IFERROR(VLOOKUP(T_BilanSocial[[#This Row],[NumL]],T_TraitDi[#Data],COLUMN(T_TraitDi[[#This Row],[Colonne1]]),FALSE),""),"[hh]:mm"))</f>
        <v>#VALUE!</v>
      </c>
      <c r="AP295" s="172" t="e">
        <f>IF(VLOOKUP(T_BilanSocial[[#This Row],[NumL]],T_TraitDi[#Data],COLUMN(T_TraitDi[[#This Row],[Colonne9]]),FALSE)=0,"",TEXT(IFERROR(VLOOKUP(T_BilanSocial[[#This Row],[NumL]],T_TraitDi[#Data],COLUMN(T_TraitDi[[#This Row],[Colonne9]]),FALSE),""),"[hh]:mm"))</f>
        <v>#VALUE!</v>
      </c>
      <c r="AQ295" s="172" t="str">
        <f>IFERROR(VLOOKUP(T_BilanSocial[[#This Row],[NumL]],T_TraitDi[#Data],COLUMN(T_TraitDi[[#This Row],[Colonne10]]),FALSE),"")</f>
        <v/>
      </c>
      <c r="AR295" s="172" t="e">
        <f>IF(VLOOKUP(T_BilanSocial[[#This Row],[NumL]],T_TraitDi[#Data],COLUMN(T_TraitDi[[#This Row],[Colonne11]]),FALSE)=0,"",TEXT(IFERROR(VLOOKUP(T_BilanSocial[[#This Row],[NumL]],T_TraitDi[#Data],COLUMN(T_TraitDi[[#This Row],[Colonne11]]),FALSE),""),"[hh]:mm"))</f>
        <v>#VALUE!</v>
      </c>
      <c r="AS295" s="172" t="e">
        <f>IF(VLOOKUP(T_BilanSocial[[#This Row],[NumL]],T_TraitDi[#Data],COLUMN(T_TraitDi[[#This Row],[Colonne12]]),FALSE)=0,"",TEXT(IFERROR(VLOOKUP(T_BilanSocial[[#This Row],[NumL]],T_TraitDi[#Data],COLUMN(T_TraitDi[[#This Row],[Colonne12]]),FALSE),""),"[hh]:mm"))</f>
        <v>#VALUE!</v>
      </c>
      <c r="AT295" s="172" t="e">
        <f>IF(VLOOKUP(T_BilanSocial[[#This Row],[NumL]],T_TraitDi[#Data],COLUMN(T_TraitDi[[#This Row],[Colonne14]]),FALSE)=0,"",TEXT(IFERROR(VLOOKUP(T_BilanSocial[[#This Row],[NumL]],T_TraitDi[#Data],COLUMN(T_TraitDi[[#This Row],[Colonne14]]),FALSE),""),"[hh]:mm"))</f>
        <v>#VALUE!</v>
      </c>
      <c r="AU295" s="172" t="str">
        <f>IFERROR(VLOOKUP(T_BilanSocial[[#This Row],[NumL]],T_TraitDi[#Data],COLUMN(T_TraitDi[[#This Row],[Mercredi]]),FALSE),"")</f>
        <v/>
      </c>
      <c r="AV295" s="172" t="e">
        <f>IF(VLOOKUP(T_BilanSocial[[#This Row],[NumL]],T_TraitDi[#Data],COLUMN(T_TraitDi[[#This Row],[Colonne15]]),FALSE)=0,"",TEXT(IFERROR(VLOOKUP(T_BilanSocial[[#This Row],[NumL]],T_TraitDi[#Data],COLUMN(T_TraitDi[[#This Row],[Colonne15]]),FALSE),""),"[hh]:mm"))</f>
        <v>#VALUE!</v>
      </c>
      <c r="AW295" s="172" t="e">
        <f>IF(VLOOKUP(T_BilanSocial[[#This Row],[NumL]],T_TraitDi[#Data],COLUMN(T_TraitDi[[#This Row],[Colonne16]]),FALSE)=0,"",TEXT(IFERROR(VLOOKUP(T_BilanSocial[[#This Row],[NumL]],T_TraitDi[#Data],COLUMN(T_TraitDi[[#This Row],[Colonne16]]),FALSE),""),"[hh]:mm"))</f>
        <v>#VALUE!</v>
      </c>
      <c r="AX295" s="172" t="str">
        <f>IFERROR(VLOOKUP(T_BilanSocial[[#This Row],[NumL]],T_TraitDi[#Data],COLUMN(T_TraitDi[[#This Row],[Colonne17]]),FALSE),"")</f>
        <v/>
      </c>
      <c r="AY295" s="172" t="e">
        <f>IF(VLOOKUP(T_BilanSocial[[#This Row],[NumL]],T_TraitDi[#Data],COLUMN(T_TraitDi[[#This Row],[Colonne18]]),FALSE)=0,"",TEXT(IFERROR(VLOOKUP(T_BilanSocial[[#This Row],[NumL]],T_TraitDi[#Data],COLUMN(T_TraitDi[[#This Row],[Colonne18]]),FALSE),""),"[hh]:mm"))</f>
        <v>#VALUE!</v>
      </c>
      <c r="AZ295" s="172" t="e">
        <f>IF(VLOOKUP(T_BilanSocial[[#This Row],[NumL]],T_TraitDi[#Data],COLUMN(T_TraitDi[[#This Row],[Colonne19]]),FALSE)=0,"",TEXT(IFERROR(VLOOKUP(T_BilanSocial[[#This Row],[NumL]],T_TraitDi[#Data],COLUMN(T_TraitDi[[#This Row],[Colonne19]]),FALSE),""),"[hh]:mm"))</f>
        <v>#VALUE!</v>
      </c>
      <c r="BA295" s="172" t="e">
        <f>IF(VLOOKUP(T_BilanSocial[[#This Row],[NumL]],T_TraitDi[#Data],COLUMN(T_TraitDi[[#This Row],[Colonne20]]),FALSE)=0,"",TEXT(IFERROR(VLOOKUP(T_BilanSocial[[#This Row],[NumL]],T_TraitDi[#Data],COLUMN(T_TraitDi[[#This Row],[Colonne20]]),FALSE),""),"[hh]:mm"))</f>
        <v>#VALUE!</v>
      </c>
      <c r="BB295" s="178" t="str">
        <f>IFERROR(VLOOKUP(T_BilanSocial[[#This Row],[NumL]],T_TraitDi[#Data],COLUMN(T_TraitDi[[#This Row],[Jeudi]]),FALSE),"")</f>
        <v/>
      </c>
      <c r="BC295" s="178" t="e">
        <f>IF(VLOOKUP(T_BilanSocial[[#This Row],[NumL]],T_TraitDi[#Data],COLUMN(T_TraitDi[[#This Row],[Colonne21]]),FALSE)=0,"",TEXT(IFERROR(VLOOKUP(T_BilanSocial[[#This Row],[NumL]],T_TraitDi[#Data],COLUMN(T_TraitDi[[#This Row],[Colonne21]]),FALSE),""),"[hh]:mm"))</f>
        <v>#VALUE!</v>
      </c>
      <c r="BD295" s="178" t="e">
        <f>IF(VLOOKUP(T_BilanSocial[[#This Row],[NumL]],T_TraitDi[#Data],COLUMN(T_TraitDi[[#This Row],[Colonne22]]),FALSE)=0,"",TEXT(IFERROR(VLOOKUP(T_BilanSocial[[#This Row],[NumL]],T_TraitDi[#Data],COLUMN(T_TraitDi[[#This Row],[Colonne22]]),FALSE),""),"[hh]:mm"))</f>
        <v>#VALUE!</v>
      </c>
      <c r="BE295" s="178" t="str">
        <f>IFERROR(VLOOKUP(T_BilanSocial[[#This Row],[NumL]],T_TraitDi[#Data],COLUMN(T_TraitDi[[#This Row],[Colonne23]]),FALSE),"")</f>
        <v/>
      </c>
      <c r="BF295" s="178" t="e">
        <f>IF(VLOOKUP(T_BilanSocial[[#This Row],[NumL]],T_TraitDi[#Data],COLUMN(T_TraitDi[[#This Row],[Colonne24]]),FALSE)=0,"",TEXT(IFERROR(VLOOKUP(T_BilanSocial[[#This Row],[NumL]],T_TraitDi[#Data],COLUMN(T_TraitDi[[#This Row],[Colonne24]]),FALSE),""),"[hh]:mm"))</f>
        <v>#VALUE!</v>
      </c>
      <c r="BG295" s="178" t="e">
        <f>IF(VLOOKUP(T_BilanSocial[[#This Row],[NumL]],T_TraitDi[#Data],COLUMN(T_TraitDi[[#This Row],[Colonne25]]),FALSE)=0,"",TEXT(IFERROR(VLOOKUP(T_BilanSocial[[#This Row],[NumL]],T_TraitDi[#Data],COLUMN(T_TraitDi[[#This Row],[Colonne25]]),FALSE),""),"[hh]:mm"))</f>
        <v>#VALUE!</v>
      </c>
      <c r="BH295" s="178" t="e">
        <f>IF(VLOOKUP(T_BilanSocial[[#This Row],[NumL]],T_TraitDi[#Data],COLUMN(T_TraitDi[[#This Row],[Colonne26]]),FALSE)=0,"",TEXT(IFERROR(VLOOKUP(T_BilanSocial[[#This Row],[NumL]],T_TraitDi[#Data],COLUMN(T_TraitDi[[#This Row],[Colonne26]]),FALSE),""),"[hh]:mm"))</f>
        <v>#VALUE!</v>
      </c>
      <c r="BI295" s="172" t="str">
        <f>IFERROR(VLOOKUP(T_BilanSocial[[#This Row],[NumL]],T_TraitDi[#Data],COLUMN(T_TraitDi[[#This Row],[Vendredi]]),FALSE),"")</f>
        <v/>
      </c>
      <c r="BJ295" s="172" t="e">
        <f>IF(VLOOKUP(T_BilanSocial[[#This Row],[NumL]],T_TraitDi[#Data],COLUMN(T_TraitDi[[#This Row],[Colonne27]]),FALSE)=0,"",TEXT(IFERROR(VLOOKUP(T_BilanSocial[[#This Row],[NumL]],T_TraitDi[#Data],COLUMN(T_TraitDi[[#This Row],[Colonne27]]),FALSE),""),"[hh]:mm"))</f>
        <v>#VALUE!</v>
      </c>
      <c r="BK295" s="172" t="e">
        <f>IF(VLOOKUP(T_BilanSocial[[#This Row],[NumL]],T_TraitDi[#Data],COLUMN(T_TraitDi[[#This Row],[Colonne28]]),FALSE)=0,"",TEXT(IFERROR(VLOOKUP(T_BilanSocial[[#This Row],[NumL]],T_TraitDi[#Data],COLUMN(T_TraitDi[[#This Row],[Colonne28]]),FALSE),""),"[hh]:mm"))</f>
        <v>#VALUE!</v>
      </c>
      <c r="BL295" s="172" t="str">
        <f>IFERROR(VLOOKUP(T_BilanSocial[[#This Row],[NumL]],T_TraitDi[#Data],COLUMN(T_TraitDi[[#This Row],[Colonne29]]),FALSE),"")</f>
        <v/>
      </c>
      <c r="BM295" s="172" t="e">
        <f>IF(VLOOKUP(T_BilanSocial[[#This Row],[NumL]],T_TraitDi[#Data],COLUMN(T_TraitDi[[#This Row],[Colonne30]]),FALSE)=0,"",TEXT(IFERROR(VLOOKUP(T_BilanSocial[[#This Row],[NumL]],T_TraitDi[#Data],COLUMN(T_TraitDi[[#This Row],[Colonne30]]),FALSE),""),"[hh]:mm"))</f>
        <v>#VALUE!</v>
      </c>
      <c r="BN295" s="172" t="e">
        <f>IF(VLOOKUP(T_BilanSocial[[#This Row],[NumL]],T_TraitDi[#Data],COLUMN(T_TraitDi[[#This Row],[Colonne31]]),FALSE)=0,"",TEXT(IFERROR(VLOOKUP(T_BilanSocial[[#This Row],[NumL]],T_TraitDi[#Data],COLUMN(T_TraitDi[[#This Row],[Colonne31]]),FALSE),""),"[hh]:mm"))</f>
        <v>#VALUE!</v>
      </c>
      <c r="BO295" s="172" t="e">
        <f>IF(VLOOKUP(T_BilanSocial[[#This Row],[NumL]],T_TraitDi[#Data],COLUMN(T_TraitDi[[#This Row],[Colonne32]]),FALSE)=0,"",TEXT(IFERROR(VLOOKUP(T_BilanSocial[[#This Row],[NumL]],T_TraitDi[#Data],COLUMN(T_TraitDi[[#This Row],[Colonne32]]),FALSE),""),"[hh]:mm"))</f>
        <v>#VALUE!</v>
      </c>
      <c r="BP295" s="172" t="e">
        <f>VLOOKUP(T_BilanSocial[[#This Row],[NumL]],T_TraitDi[#Data],COLUMN(T_TraitDi[NbJTot]),FALSE)</f>
        <v>#N/A</v>
      </c>
      <c r="BQ295" s="174" t="str">
        <f>IFERROR(VLOOKUP(T_BilanSocial[[#This Row],[NumL]],T_TraitDi[#Data],COLUMN(T_TraitDi[[#This Row],[NbJTW]]),FALSE),"")</f>
        <v/>
      </c>
      <c r="BR295" s="174" t="e">
        <f>IF(VLOOKUP(T_BilanSocial[[#This Row],[NumL]],T_TraitDi[#Data],COLUMN(T_TraitDi[[#This Row],[NbhTW]]),FALSE)=0,"",TEXT(IFERROR(VLOOKUP(T_BilanSocial[[#This Row],[NumL]],T_TraitDi[#Data],COLUMN(T_TraitDi[[#This Row],[NbhTW]]),FALSE),""),"[hh]:mm"))</f>
        <v>#VALUE!</v>
      </c>
      <c r="BS295" s="174" t="e">
        <f>IF(VLOOKUP(T_BilanSocial[[#This Row],[NumL]],T_TraitDi[#Data],COLUMN(T_TraitDi[[#This Row],[Nbhheb]]),FALSE)=0,"",TEXT(IFERROR(VLOOKUP($A295,T_TraitDi[#Data],COLUMN(T_TraitDi[[#This Row],[Nbhheb]]),FALSE),""),"[hh]:mm"))</f>
        <v>#VALUE!</v>
      </c>
      <c r="BT295" s="182" t="str">
        <f>IFERROR(VLOOKUP(VLOOKUP($A295,T_TraitDi[#Data],COLUMN(T_TraitDi[[#This Row],[Type1]]),FALSE),TypeTW,2,FALSE),"")</f>
        <v/>
      </c>
      <c r="BU295" s="182" t="str">
        <f>IFERROR(VLOOKUP($A295,T_TraitDi[#Data],COLUMN(T_TraitDi[[#This Row],[Rue1]]),FALSE),"")</f>
        <v/>
      </c>
      <c r="BV295" s="173" t="str">
        <f>IFERROR(VLOOKUP($A295,T_TraitDi[#Data],COLUMN(T_TraitDi[[#This Row],[CP1]]),FALSE),"")</f>
        <v/>
      </c>
      <c r="BW295" s="173" t="str">
        <f>IFERROR(VLOOKUP($A295,T_TraitDi[#Data],COLUMN(T_TraitDi[[#This Row],[VILLE1]]),FALSE),"")</f>
        <v/>
      </c>
      <c r="BX295" s="182" t="str">
        <f>IFERROR(VLOOKUP(VLOOKUP($A295,T_TraitDi[#Data],COLUMN(T_TraitDi[[#This Row],[Type2]]),FALSE),TypeTW,2,FALSE),"")</f>
        <v/>
      </c>
      <c r="BY295" s="182" t="str">
        <f>IFERROR(VLOOKUP($A295,T_TraitDi[#Data],COLUMN(T_TraitDi[[#This Row],[Rue2]]),FALSE),"")</f>
        <v/>
      </c>
      <c r="BZ295" s="173" t="str">
        <f>IFERROR(VLOOKUP($A295,T_TraitDi[#Data],COLUMN(T_TraitDi[[#This Row],[CP2]]),FALSE),"")</f>
        <v/>
      </c>
      <c r="CA295" s="173" t="str">
        <f>IFERROR(VLOOKUP($A295,T_TraitDi[#Data],COLUMN(T_TraitDi[[#This Row],[VILLE2]]),FALSE),"")</f>
        <v/>
      </c>
      <c r="CB295"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5" s="166" t="str">
        <f>IFERROR(IF(VLOOKUP(T_BilanSocial[[#This Row],[NumL]],T_TraitDi[#Data],COLUMN(T_TraitDi[[#This Row],[Plan]]),FALSE)="OK","Un planning spécifique de télétravail est annexé à la présente convention.",""),"")</f>
        <v/>
      </c>
      <c r="CD295" s="301"/>
      <c r="CE295" s="164" t="e">
        <f>IF(VLOOKUP(T_BilanSocial[[#This Row],[NumL]],T_suiviDi[#Data],COLUMN(T_suiviDi[[#This Row],[Entité]]),FALSE)="","",VLOOKUP(T_BilanSocial[[#This Row],[NumL]],T_suiviDi[#Data],COLUMN(T_suiviDi[[#This Row],[Entité]]),FALSE))</f>
        <v>#VALUE!</v>
      </c>
      <c r="CF295" s="164" t="str">
        <f>IF(VLOOKUP(T_BilanSocial[[#This Row],[NumL]],T_Commission[#Data],COLUMN(T_Commission[[#This Row],[envoi confirm TW]]),FALSE)="","",VLOOKUP(T_BilanSocial[[#This Row],[NumL]],T_Commission[#Data],COLUMN(T_Commission[[#This Row],[envoi confirm TW]]),FALSE))</f>
        <v>Oui</v>
      </c>
      <c r="CG29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5" s="339" t="str">
        <f>T_BilanSocial[[#This Row],[Nom]]&amp;T_BilanSocial[[#This Row],[Prenom]]</f>
        <v/>
      </c>
      <c r="CI295" s="339">
        <f>VLOOKUP(T_BilanSocial[[#This Row],[NumL]],T_Commission[#Data],COLUMN(T_Commission[Commentaire]),FALSE)</f>
        <v>0</v>
      </c>
      <c r="CJ295" s="339" t="str">
        <f>IF(VLOOKUP(T_BilanSocial[[#This Row],[NumL]],T_Commission[#Data],COLUMN(T_Commission[Encadrant Email]),FALSE)="","",VLOOKUP(T_BilanSocial[[#This Row],[NumL]],T_Commission[#Data],COLUMN(T_Commission[Encadrant Email]),FALSE))</f>
        <v/>
      </c>
      <c r="CK295" s="332" t="str">
        <f>IF(T_BilanSocial[[#This Row],[Final]]&lt;&gt;"",VLOOKUP(T_BilanSocial[[#This Row],[NumL]],T_suiviDi[#Data],COLUMN((T_suiviDi[Statut])),FALSE),"")</f>
        <v/>
      </c>
    </row>
    <row r="296" spans="1:89" s="50" customFormat="1" ht="21" customHeight="1" x14ac:dyDescent="0.25">
      <c r="A296" s="136">
        <v>293</v>
      </c>
      <c r="B296" s="330" t="str">
        <f t="shared" si="56"/>
        <v/>
      </c>
      <c r="C296" s="309"/>
      <c r="D296" s="95" t="e">
        <f>IF(VLOOKUP(T_BilanSocial[[#This Row],[NumL]],T_TraitDi[#Data],COLUMN(T_TraitDi[[#This Row],[WebC]]),FALSE)="","",VLOOKUP(T_BilanSocial[[#This Row],[NumL]],T_TraitDi[#Data],COLUMN(T_TraitDi[[#This Row],[WebC]]),FALSE))</f>
        <v>#VALUE!</v>
      </c>
      <c r="E296" s="95" t="str">
        <f t="shared" si="57"/>
        <v>12 janvier 2021</v>
      </c>
      <c r="F296" s="96" t="str">
        <f>IF(T_BilanSocial[[#This Row],[Final]]&lt;&gt;"",VLOOKUP(T_BilanSocial[[#This Row],[NumL]],T_suiviDi[#Data],COLUMN((T_suiviDi[Civ.])),FALSE),"")</f>
        <v/>
      </c>
      <c r="G296" s="96" t="str">
        <f>IF(T_BilanSocial[[#This Row],[Final]]&lt;&gt;"",VLOOKUP(T_BilanSocial[[#This Row],[NumL]],T_suiviDi[#Data],COLUMN((T_suiviDi[Nom])),FALSE),"")</f>
        <v/>
      </c>
      <c r="H296" s="96" t="str">
        <f>IF(T_BilanSocial[[#This Row],[Final]]&lt;&gt;"",VLOOKUP(T_BilanSocial[[#This Row],[NumL]],T_suiviDi[#Data],COLUMN((T_suiviDi[Prénom])),FALSE),"")</f>
        <v/>
      </c>
      <c r="I296" s="331" t="str">
        <f>IFERROR(VLOOKUP(T_BilanSocial[[#This Row],[Zone_Bilan]],T_P_BilanSocial[#Data],COLUMN(T_P_BilanSocial[[#This Row],[Numero_SIHAM]]),FALSE),"")</f>
        <v/>
      </c>
      <c r="J296" s="331" t="str">
        <f>IFERROR(VLOOKUP(T_BilanSocial[[#This Row],[Zone_Bilan]],T_P_BilanSocial[#Data],COLUMN(T_P_BilanSocial[[#This Row],[Sexe]]),FALSE),"")</f>
        <v/>
      </c>
      <c r="K296" s="294" t="str">
        <f>IFERROR(VLOOKUP(T_BilanSocial[[#This Row],[Zone_Bilan]],T_P_BilanSocial[#Data],COLUMN(T_P_BilanSocial[[#This Row],[Categorie]]),FALSE),"")</f>
        <v/>
      </c>
      <c r="L296" s="331" t="str">
        <f>IFERROR(VLOOKUP(T_BilanSocial[[#This Row],[Zone_Bilan]],T_P_BilanSocial[#Data],COLUMN(T_P_BilanSocial[[#This Row],[Statut]]),FALSE),"")</f>
        <v/>
      </c>
      <c r="M296" s="331" t="str">
        <f>IFERROR(VLOOKUP(T_BilanSocial[[#This Row],[Zone_Bilan]],T_P_BilanSocial[#Data],COLUMN(T_P_BilanSocial[[#This Row],[Filiere]]),FALSE),"")</f>
        <v/>
      </c>
      <c r="N296" s="331" t="e">
        <f>VLOOKUP(T_BilanSocial[[#This Row],[NumL]],T_TraitDi[#Data],COLUMN(T_TraitDi[EXP]),FALSE)</f>
        <v>#N/A</v>
      </c>
      <c r="O296" s="331" t="e">
        <f>VLOOKUP(T_BilanSocial[[#This Row],[NumL]],T_TraitDi[#Data],COLUMN(T_TraitDi[FORM]),FALSE)</f>
        <v>#N/A</v>
      </c>
      <c r="P296" s="96" t="str">
        <f>IF(T_BilanSocial[[#This Row],[Final]]&lt;&gt;"",VLOOKUP(T_BilanSocial[[#This Row],[NumL]],T_suiviDi[#Data],COLUMN((T_suiviDi[Email])),FALSE),"")</f>
        <v/>
      </c>
      <c r="Q296" s="96" t="e">
        <f t="shared" si="58"/>
        <v>#N/A</v>
      </c>
      <c r="R296" s="96" t="e">
        <f t="shared" si="59"/>
        <v>#N/A</v>
      </c>
      <c r="S296" s="96" t="str">
        <f t="shared" si="55"/>
        <v/>
      </c>
      <c r="T296" s="96" t="str">
        <f t="shared" si="60"/>
        <v>01 septembre 2021</v>
      </c>
      <c r="U296" s="96" t="str">
        <f t="shared" si="61"/>
        <v>30 novembre 2021</v>
      </c>
      <c r="V296" s="97">
        <f t="shared" si="62"/>
        <v>44530</v>
      </c>
      <c r="W296" s="176" t="e">
        <f>IF(VLOOKUP(T_BilanSocial[[#This Row],[NumL]],T_TraitDi[#Data],COLUMN(T_TraitDi[[#This Row],[M1]]),FALSE)="","",VLOOKUP(T_BilanSocial[[#This Row],[NumL]],T_TraitDi[#Data],COLUMN(T_TraitDi[[#This Row],[M1]]),FALSE))</f>
        <v>#VALUE!</v>
      </c>
      <c r="X296" s="96" t="str">
        <f t="shared" si="63"/>
        <v/>
      </c>
      <c r="Y296" s="96" t="str">
        <f t="shared" si="63"/>
        <v/>
      </c>
      <c r="Z296" s="96" t="str">
        <f t="shared" si="64"/>
        <v/>
      </c>
      <c r="AA296" s="176" t="e">
        <f>IF(VLOOKUP(T_BilanSocial[[#This Row],[NumL]],T_TraitDi[#Data],COLUMN(T_TraitDi[[#This Row],[M5]]),FALSE)="","",VLOOKUP(T_BilanSocial[[#This Row],[NumL]],T_TraitDi[#Data],COLUMN(T_TraitDi[[#This Row],[M5]]),FALSE))</f>
        <v>#VALUE!</v>
      </c>
      <c r="AB296" s="176" t="e">
        <f>IF(VLOOKUP(T_BilanSocial[[#This Row],[NumL]],T_TraitDi[#Data],COLUMN(T_TraitDi[[#This Row],[M6]]),FALSE)="","",VLOOKUP(T_BilanSocial[[#This Row],[NumL]],T_TraitDi[#Data],COLUMN(T_TraitDi[[#This Row],[M6]]),FALSE))</f>
        <v>#VALUE!</v>
      </c>
      <c r="AC296" s="96" t="e">
        <f t="shared" si="66"/>
        <v>#VALUE!</v>
      </c>
      <c r="AD296" s="97" t="str">
        <f t="shared" si="65"/>
        <v/>
      </c>
      <c r="AE296" s="294" t="e">
        <f>VLOOKUP(T_BilanSocial[[#This Row],[NumL]],T_TraitDi[#Data],COLUMN(T_TraitDi[[#This Row],[Reg Ponct]]),FALSE)</f>
        <v>#VALUE!</v>
      </c>
      <c r="AF296" s="294" t="e">
        <f>VLOOKUP(T_BilanSocial[NumL],T_TraitDi[#Data],COLUMN(T_TraitDi[[#This Row],[Jours flottants]]),FALSE)</f>
        <v>#VALUE!</v>
      </c>
      <c r="AG296" s="97" t="str">
        <f>IFERROR(VLOOKUP(T_BilanSocial[[#This Row],[NumL]],T_TraitDi[#Data],COLUMN(T_TraitDi[[#This Row],[Lundi]]),FALSE),"")</f>
        <v/>
      </c>
      <c r="AH296" s="172" t="e">
        <f>IF(VLOOKUP(T_BilanSocial[[#This Row],[NumL]],T_TraitDi[#Data],COLUMN(T_TraitDi[[#This Row],[Colonne3]]),FALSE)=0,"",TEXT(IFERROR(VLOOKUP(T_BilanSocial[[#This Row],[NumL]],T_TraitDi[#Data],COLUMN(T_TraitDi[[#This Row],[Colonne3]]),FALSE),""),"[hh]:mm"))</f>
        <v>#VALUE!</v>
      </c>
      <c r="AI296" s="172" t="e">
        <f>IF(VLOOKUP(T_BilanSocial[[#This Row],[NumL]],T_TraitDi[#Data],COLUMN(T_TraitDi[[#This Row],[Colonne4]]),FALSE)=0,"",TEXT(IFERROR(VLOOKUP(T_BilanSocial[[#This Row],[NumL]],T_TraitDi[#Data],COLUMN(T_TraitDi[[#This Row],[Colonne4]]),FALSE),""),"[hh]:mm"))</f>
        <v>#VALUE!</v>
      </c>
      <c r="AJ296" s="172" t="e">
        <f>IF(VLOOKUP(T_BilanSocial[[#This Row],[NumL]],T_TraitDi[#Data],COLUMN(T_TraitDi[[#This Row],[Colonne5]]),FALSE)=0,"",TEXT(IFERROR(VLOOKUP(T_BilanSocial[[#This Row],[NumL]],T_TraitDi[#Data],COLUMN(T_TraitDi[[#This Row],[Colonne5]]),FALSE),""),"[hh]:mm"))</f>
        <v>#VALUE!</v>
      </c>
      <c r="AK296" s="172" t="e">
        <f>IF(VLOOKUP(T_BilanSocial[[#This Row],[NumL]],T_TraitDi[#Data],COLUMN(T_TraitDi[[#This Row],[Colonne6]]),FALSE)=0,"",TEXT(IFERROR(VLOOKUP(T_BilanSocial[[#This Row],[NumL]],T_TraitDi[#Data],COLUMN(T_TraitDi[[#This Row],[Colonne6]]),FALSE),""),"[hh]:mm"))</f>
        <v>#VALUE!</v>
      </c>
      <c r="AL296" s="172" t="e">
        <f>IF(VLOOKUP(T_BilanSocial[[#This Row],[NumL]],T_TraitDi[#Data],COLUMN(T_TraitDi[[#This Row],[Colonne7]]),FALSE)=0,"",TEXT(IFERROR(VLOOKUP(T_BilanSocial[[#This Row],[NumL]],T_TraitDi[#Data],COLUMN(T_TraitDi[[#This Row],[Colonne7]]),FALSE),""),"[hh]:mm"))</f>
        <v>#VALUE!</v>
      </c>
      <c r="AM296" s="172" t="e">
        <f>IF(VLOOKUP(T_BilanSocial[[#This Row],[NumL]],T_TraitDi[#Data],COLUMN(T_TraitDi[[#This Row],[Colonne8]]),FALSE)=0,"",TEXT(IFERROR(VLOOKUP(T_BilanSocial[[#This Row],[NumL]],T_TraitDi[#Data],COLUMN(T_TraitDi[[#This Row],[Colonne8]]),FALSE),""),"[hh]:mm"))</f>
        <v>#VALUE!</v>
      </c>
      <c r="AN296" s="172" t="str">
        <f>IFERROR(VLOOKUP(T_BilanSocial[[#This Row],[NumL]],T_TraitDi[#Data],COLUMN(T_TraitDi[[#This Row],[Mardi]]),FALSE),"")</f>
        <v/>
      </c>
      <c r="AO296" s="172" t="e">
        <f>IF(VLOOKUP(T_BilanSocial[[#This Row],[NumL]],T_TraitDi[#Data],COLUMN(T_TraitDi[[#This Row],[Colonne1]]),FALSE)=0,"",TEXT(IFERROR(VLOOKUP(T_BilanSocial[[#This Row],[NumL]],T_TraitDi[#Data],COLUMN(T_TraitDi[[#This Row],[Colonne1]]),FALSE),""),"[hh]:mm"))</f>
        <v>#VALUE!</v>
      </c>
      <c r="AP296" s="172" t="e">
        <f>IF(VLOOKUP(T_BilanSocial[[#This Row],[NumL]],T_TraitDi[#Data],COLUMN(T_TraitDi[[#This Row],[Colonne9]]),FALSE)=0,"",TEXT(IFERROR(VLOOKUP(T_BilanSocial[[#This Row],[NumL]],T_TraitDi[#Data],COLUMN(T_TraitDi[[#This Row],[Colonne9]]),FALSE),""),"[hh]:mm"))</f>
        <v>#VALUE!</v>
      </c>
      <c r="AQ296" s="172" t="str">
        <f>IFERROR(VLOOKUP(T_BilanSocial[[#This Row],[NumL]],T_TraitDi[#Data],COLUMN(T_TraitDi[[#This Row],[Colonne10]]),FALSE),"")</f>
        <v/>
      </c>
      <c r="AR296" s="172" t="e">
        <f>IF(VLOOKUP(T_BilanSocial[[#This Row],[NumL]],T_TraitDi[#Data],COLUMN(T_TraitDi[[#This Row],[Colonne11]]),FALSE)=0,"",TEXT(IFERROR(VLOOKUP(T_BilanSocial[[#This Row],[NumL]],T_TraitDi[#Data],COLUMN(T_TraitDi[[#This Row],[Colonne11]]),FALSE),""),"[hh]:mm"))</f>
        <v>#VALUE!</v>
      </c>
      <c r="AS296" s="172" t="e">
        <f>IF(VLOOKUP(T_BilanSocial[[#This Row],[NumL]],T_TraitDi[#Data],COLUMN(T_TraitDi[[#This Row],[Colonne12]]),FALSE)=0,"",TEXT(IFERROR(VLOOKUP(T_BilanSocial[[#This Row],[NumL]],T_TraitDi[#Data],COLUMN(T_TraitDi[[#This Row],[Colonne12]]),FALSE),""),"[hh]:mm"))</f>
        <v>#VALUE!</v>
      </c>
      <c r="AT296" s="172" t="e">
        <f>IF(VLOOKUP(T_BilanSocial[[#This Row],[NumL]],T_TraitDi[#Data],COLUMN(T_TraitDi[[#This Row],[Colonne14]]),FALSE)=0,"",TEXT(IFERROR(VLOOKUP(T_BilanSocial[[#This Row],[NumL]],T_TraitDi[#Data],COLUMN(T_TraitDi[[#This Row],[Colonne14]]),FALSE),""),"[hh]:mm"))</f>
        <v>#VALUE!</v>
      </c>
      <c r="AU296" s="172" t="str">
        <f>IFERROR(VLOOKUP(T_BilanSocial[[#This Row],[NumL]],T_TraitDi[#Data],COLUMN(T_TraitDi[[#This Row],[Mercredi]]),FALSE),"")</f>
        <v/>
      </c>
      <c r="AV296" s="172" t="e">
        <f>IF(VLOOKUP(T_BilanSocial[[#This Row],[NumL]],T_TraitDi[#Data],COLUMN(T_TraitDi[[#This Row],[Colonne15]]),FALSE)=0,"",TEXT(IFERROR(VLOOKUP(T_BilanSocial[[#This Row],[NumL]],T_TraitDi[#Data],COLUMN(T_TraitDi[[#This Row],[Colonne15]]),FALSE),""),"[hh]:mm"))</f>
        <v>#VALUE!</v>
      </c>
      <c r="AW296" s="172" t="e">
        <f>IF(VLOOKUP(T_BilanSocial[[#This Row],[NumL]],T_TraitDi[#Data],COLUMN(T_TraitDi[[#This Row],[Colonne16]]),FALSE)=0,"",TEXT(IFERROR(VLOOKUP(T_BilanSocial[[#This Row],[NumL]],T_TraitDi[#Data],COLUMN(T_TraitDi[[#This Row],[Colonne16]]),FALSE),""),"[hh]:mm"))</f>
        <v>#VALUE!</v>
      </c>
      <c r="AX296" s="172" t="str">
        <f>IFERROR(VLOOKUP(T_BilanSocial[[#This Row],[NumL]],T_TraitDi[#Data],COLUMN(T_TraitDi[[#This Row],[Colonne17]]),FALSE),"")</f>
        <v/>
      </c>
      <c r="AY296" s="172" t="e">
        <f>IF(VLOOKUP(T_BilanSocial[[#This Row],[NumL]],T_TraitDi[#Data],COLUMN(T_TraitDi[[#This Row],[Colonne18]]),FALSE)=0,"",TEXT(IFERROR(VLOOKUP(T_BilanSocial[[#This Row],[NumL]],T_TraitDi[#Data],COLUMN(T_TraitDi[[#This Row],[Colonne18]]),FALSE),""),"[hh]:mm"))</f>
        <v>#VALUE!</v>
      </c>
      <c r="AZ296" s="172" t="e">
        <f>IF(VLOOKUP(T_BilanSocial[[#This Row],[NumL]],T_TraitDi[#Data],COLUMN(T_TraitDi[[#This Row],[Colonne19]]),FALSE)=0,"",TEXT(IFERROR(VLOOKUP(T_BilanSocial[[#This Row],[NumL]],T_TraitDi[#Data],COLUMN(T_TraitDi[[#This Row],[Colonne19]]),FALSE),""),"[hh]:mm"))</f>
        <v>#VALUE!</v>
      </c>
      <c r="BA296" s="172" t="e">
        <f>IF(VLOOKUP(T_BilanSocial[[#This Row],[NumL]],T_TraitDi[#Data],COLUMN(T_TraitDi[[#This Row],[Colonne20]]),FALSE)=0,"",TEXT(IFERROR(VLOOKUP(T_BilanSocial[[#This Row],[NumL]],T_TraitDi[#Data],COLUMN(T_TraitDi[[#This Row],[Colonne20]]),FALSE),""),"[hh]:mm"))</f>
        <v>#VALUE!</v>
      </c>
      <c r="BB296" s="178" t="str">
        <f>IFERROR(VLOOKUP(T_BilanSocial[[#This Row],[NumL]],T_TraitDi[#Data],COLUMN(T_TraitDi[[#This Row],[Jeudi]]),FALSE),"")</f>
        <v/>
      </c>
      <c r="BC296" s="178" t="e">
        <f>IF(VLOOKUP(T_BilanSocial[[#This Row],[NumL]],T_TraitDi[#Data],COLUMN(T_TraitDi[[#This Row],[Colonne21]]),FALSE)=0,"",TEXT(IFERROR(VLOOKUP(T_BilanSocial[[#This Row],[NumL]],T_TraitDi[#Data],COLUMN(T_TraitDi[[#This Row],[Colonne21]]),FALSE),""),"[hh]:mm"))</f>
        <v>#VALUE!</v>
      </c>
      <c r="BD296" s="178" t="e">
        <f>IF(VLOOKUP(T_BilanSocial[[#This Row],[NumL]],T_TraitDi[#Data],COLUMN(T_TraitDi[[#This Row],[Colonne22]]),FALSE)=0,"",TEXT(IFERROR(VLOOKUP(T_BilanSocial[[#This Row],[NumL]],T_TraitDi[#Data],COLUMN(T_TraitDi[[#This Row],[Colonne22]]),FALSE),""),"[hh]:mm"))</f>
        <v>#VALUE!</v>
      </c>
      <c r="BE296" s="178" t="str">
        <f>IFERROR(VLOOKUP(T_BilanSocial[[#This Row],[NumL]],T_TraitDi[#Data],COLUMN(T_TraitDi[[#This Row],[Colonne23]]),FALSE),"")</f>
        <v/>
      </c>
      <c r="BF296" s="178" t="e">
        <f>IF(VLOOKUP(T_BilanSocial[[#This Row],[NumL]],T_TraitDi[#Data],COLUMN(T_TraitDi[[#This Row],[Colonne24]]),FALSE)=0,"",TEXT(IFERROR(VLOOKUP(T_BilanSocial[[#This Row],[NumL]],T_TraitDi[#Data],COLUMN(T_TraitDi[[#This Row],[Colonne24]]),FALSE),""),"[hh]:mm"))</f>
        <v>#VALUE!</v>
      </c>
      <c r="BG296" s="178" t="e">
        <f>IF(VLOOKUP(T_BilanSocial[[#This Row],[NumL]],T_TraitDi[#Data],COLUMN(T_TraitDi[[#This Row],[Colonne25]]),FALSE)=0,"",TEXT(IFERROR(VLOOKUP(T_BilanSocial[[#This Row],[NumL]],T_TraitDi[#Data],COLUMN(T_TraitDi[[#This Row],[Colonne25]]),FALSE),""),"[hh]:mm"))</f>
        <v>#VALUE!</v>
      </c>
      <c r="BH296" s="178" t="e">
        <f>IF(VLOOKUP(T_BilanSocial[[#This Row],[NumL]],T_TraitDi[#Data],COLUMN(T_TraitDi[[#This Row],[Colonne26]]),FALSE)=0,"",TEXT(IFERROR(VLOOKUP(T_BilanSocial[[#This Row],[NumL]],T_TraitDi[#Data],COLUMN(T_TraitDi[[#This Row],[Colonne26]]),FALSE),""),"[hh]:mm"))</f>
        <v>#VALUE!</v>
      </c>
      <c r="BI296" s="172" t="str">
        <f>IFERROR(VLOOKUP(T_BilanSocial[[#This Row],[NumL]],T_TraitDi[#Data],COLUMN(T_TraitDi[[#This Row],[Vendredi]]),FALSE),"")</f>
        <v/>
      </c>
      <c r="BJ296" s="172" t="e">
        <f>IF(VLOOKUP(T_BilanSocial[[#This Row],[NumL]],T_TraitDi[#Data],COLUMN(T_TraitDi[[#This Row],[Colonne27]]),FALSE)=0,"",TEXT(IFERROR(VLOOKUP(T_BilanSocial[[#This Row],[NumL]],T_TraitDi[#Data],COLUMN(T_TraitDi[[#This Row],[Colonne27]]),FALSE),""),"[hh]:mm"))</f>
        <v>#VALUE!</v>
      </c>
      <c r="BK296" s="172" t="e">
        <f>IF(VLOOKUP(T_BilanSocial[[#This Row],[NumL]],T_TraitDi[#Data],COLUMN(T_TraitDi[[#This Row],[Colonne28]]),FALSE)=0,"",TEXT(IFERROR(VLOOKUP(T_BilanSocial[[#This Row],[NumL]],T_TraitDi[#Data],COLUMN(T_TraitDi[[#This Row],[Colonne28]]),FALSE),""),"[hh]:mm"))</f>
        <v>#VALUE!</v>
      </c>
      <c r="BL296" s="172" t="str">
        <f>IFERROR(VLOOKUP(T_BilanSocial[[#This Row],[NumL]],T_TraitDi[#Data],COLUMN(T_TraitDi[[#This Row],[Colonne29]]),FALSE),"")</f>
        <v/>
      </c>
      <c r="BM296" s="172" t="e">
        <f>IF(VLOOKUP(T_BilanSocial[[#This Row],[NumL]],T_TraitDi[#Data],COLUMN(T_TraitDi[[#This Row],[Colonne30]]),FALSE)=0,"",TEXT(IFERROR(VLOOKUP(T_BilanSocial[[#This Row],[NumL]],T_TraitDi[#Data],COLUMN(T_TraitDi[[#This Row],[Colonne30]]),FALSE),""),"[hh]:mm"))</f>
        <v>#VALUE!</v>
      </c>
      <c r="BN296" s="172" t="e">
        <f>IF(VLOOKUP(T_BilanSocial[[#This Row],[NumL]],T_TraitDi[#Data],COLUMN(T_TraitDi[[#This Row],[Colonne31]]),FALSE)=0,"",TEXT(IFERROR(VLOOKUP(T_BilanSocial[[#This Row],[NumL]],T_TraitDi[#Data],COLUMN(T_TraitDi[[#This Row],[Colonne31]]),FALSE),""),"[hh]:mm"))</f>
        <v>#VALUE!</v>
      </c>
      <c r="BO296" s="172" t="e">
        <f>IF(VLOOKUP(T_BilanSocial[[#This Row],[NumL]],T_TraitDi[#Data],COLUMN(T_TraitDi[[#This Row],[Colonne32]]),FALSE)=0,"",TEXT(IFERROR(VLOOKUP(T_BilanSocial[[#This Row],[NumL]],T_TraitDi[#Data],COLUMN(T_TraitDi[[#This Row],[Colonne32]]),FALSE),""),"[hh]:mm"))</f>
        <v>#VALUE!</v>
      </c>
      <c r="BP296" s="172" t="e">
        <f>VLOOKUP(T_BilanSocial[[#This Row],[NumL]],T_TraitDi[#Data],COLUMN(T_TraitDi[NbJTot]),FALSE)</f>
        <v>#N/A</v>
      </c>
      <c r="BQ296" s="174" t="str">
        <f>IFERROR(VLOOKUP(T_BilanSocial[[#This Row],[NumL]],T_TraitDi[#Data],COLUMN(T_TraitDi[[#This Row],[NbJTW]]),FALSE),"")</f>
        <v/>
      </c>
      <c r="BR296" s="174" t="e">
        <f>IF(VLOOKUP(T_BilanSocial[[#This Row],[NumL]],T_TraitDi[#Data],COLUMN(T_TraitDi[[#This Row],[NbhTW]]),FALSE)=0,"",TEXT(IFERROR(VLOOKUP(T_BilanSocial[[#This Row],[NumL]],T_TraitDi[#Data],COLUMN(T_TraitDi[[#This Row],[NbhTW]]),FALSE),""),"[hh]:mm"))</f>
        <v>#VALUE!</v>
      </c>
      <c r="BS296" s="174" t="e">
        <f>IF(VLOOKUP(T_BilanSocial[[#This Row],[NumL]],T_TraitDi[#Data],COLUMN(T_TraitDi[[#This Row],[Nbhheb]]),FALSE)=0,"",TEXT(IFERROR(VLOOKUP($A296,T_TraitDi[#Data],COLUMN(T_TraitDi[[#This Row],[Nbhheb]]),FALSE),""),"[hh]:mm"))</f>
        <v>#VALUE!</v>
      </c>
      <c r="BT296" s="182" t="str">
        <f>IFERROR(VLOOKUP(VLOOKUP($A296,T_TraitDi[#Data],COLUMN(T_TraitDi[[#This Row],[Type1]]),FALSE),TypeTW,2,FALSE),"")</f>
        <v/>
      </c>
      <c r="BU296" s="182" t="str">
        <f>IFERROR(VLOOKUP($A296,T_TraitDi[#Data],COLUMN(T_TraitDi[[#This Row],[Rue1]]),FALSE),"")</f>
        <v/>
      </c>
      <c r="BV296" s="173" t="str">
        <f>IFERROR(VLOOKUP($A296,T_TraitDi[#Data],COLUMN(T_TraitDi[[#This Row],[CP1]]),FALSE),"")</f>
        <v/>
      </c>
      <c r="BW296" s="173" t="str">
        <f>IFERROR(VLOOKUP($A296,T_TraitDi[#Data],COLUMN(T_TraitDi[[#This Row],[VILLE1]]),FALSE),"")</f>
        <v/>
      </c>
      <c r="BX296" s="182" t="str">
        <f>IFERROR(VLOOKUP(VLOOKUP($A296,T_TraitDi[#Data],COLUMN(T_TraitDi[[#This Row],[Type2]]),FALSE),TypeTW,2,FALSE),"")</f>
        <v/>
      </c>
      <c r="BY296" s="182" t="str">
        <f>IFERROR(VLOOKUP($A296,T_TraitDi[#Data],COLUMN(T_TraitDi[[#This Row],[Rue2]]),FALSE),"")</f>
        <v/>
      </c>
      <c r="BZ296" s="173" t="str">
        <f>IFERROR(VLOOKUP($A296,T_TraitDi[#Data],COLUMN(T_TraitDi[[#This Row],[CP2]]),FALSE),"")</f>
        <v/>
      </c>
      <c r="CA296" s="173" t="str">
        <f>IFERROR(VLOOKUP($A296,T_TraitDi[#Data],COLUMN(T_TraitDi[[#This Row],[VILLE2]]),FALSE),"")</f>
        <v/>
      </c>
      <c r="CB296"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6" s="166" t="str">
        <f>IFERROR(IF(VLOOKUP(T_BilanSocial[[#This Row],[NumL]],T_TraitDi[#Data],COLUMN(T_TraitDi[[#This Row],[Plan]]),FALSE)="OK","Un planning spécifique de télétravail est annexé à la présente convention.",""),"")</f>
        <v/>
      </c>
      <c r="CD296" s="301"/>
      <c r="CE296" s="164" t="e">
        <f>IF(VLOOKUP(T_BilanSocial[[#This Row],[NumL]],T_suiviDi[#Data],COLUMN(T_suiviDi[[#This Row],[Entité]]),FALSE)="","",VLOOKUP(T_BilanSocial[[#This Row],[NumL]],T_suiviDi[#Data],COLUMN(T_suiviDi[[#This Row],[Entité]]),FALSE))</f>
        <v>#VALUE!</v>
      </c>
      <c r="CF296" s="164" t="str">
        <f>IF(VLOOKUP(T_BilanSocial[[#This Row],[NumL]],T_Commission[#Data],COLUMN(T_Commission[[#This Row],[envoi confirm TW]]),FALSE)="","",VLOOKUP(T_BilanSocial[[#This Row],[NumL]],T_Commission[#Data],COLUMN(T_Commission[[#This Row],[envoi confirm TW]]),FALSE))</f>
        <v>Oui</v>
      </c>
      <c r="CG29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6" s="339" t="str">
        <f>T_BilanSocial[[#This Row],[Nom]]&amp;T_BilanSocial[[#This Row],[Prenom]]</f>
        <v/>
      </c>
      <c r="CI296" s="339">
        <f>VLOOKUP(T_BilanSocial[[#This Row],[NumL]],T_Commission[#Data],COLUMN(T_Commission[Commentaire]),FALSE)</f>
        <v>0</v>
      </c>
      <c r="CJ296" s="339" t="str">
        <f>IF(VLOOKUP(T_BilanSocial[[#This Row],[NumL]],T_Commission[#Data],COLUMN(T_Commission[Encadrant Email]),FALSE)="","",VLOOKUP(T_BilanSocial[[#This Row],[NumL]],T_Commission[#Data],COLUMN(T_Commission[Encadrant Email]),FALSE))</f>
        <v/>
      </c>
      <c r="CK296" s="332" t="str">
        <f>IF(T_BilanSocial[[#This Row],[Final]]&lt;&gt;"",VLOOKUP(T_BilanSocial[[#This Row],[NumL]],T_suiviDi[#Data],COLUMN((T_suiviDi[Statut])),FALSE),"")</f>
        <v/>
      </c>
    </row>
    <row r="297" spans="1:89" s="50" customFormat="1" ht="21" customHeight="1" x14ac:dyDescent="0.25">
      <c r="A297" s="136">
        <v>294</v>
      </c>
      <c r="B297" s="330" t="str">
        <f t="shared" si="56"/>
        <v/>
      </c>
      <c r="C297" s="309"/>
      <c r="D297" s="95" t="e">
        <f>IF(VLOOKUP(T_BilanSocial[[#This Row],[NumL]],T_TraitDi[#Data],COLUMN(T_TraitDi[[#This Row],[WebC]]),FALSE)="","",VLOOKUP(T_BilanSocial[[#This Row],[NumL]],T_TraitDi[#Data],COLUMN(T_TraitDi[[#This Row],[WebC]]),FALSE))</f>
        <v>#VALUE!</v>
      </c>
      <c r="E297" s="95" t="str">
        <f t="shared" si="57"/>
        <v>12 janvier 2021</v>
      </c>
      <c r="F297" s="96" t="str">
        <f>IF(T_BilanSocial[[#This Row],[Final]]&lt;&gt;"",VLOOKUP(T_BilanSocial[[#This Row],[NumL]],T_suiviDi[#Data],COLUMN((T_suiviDi[Civ.])),FALSE),"")</f>
        <v/>
      </c>
      <c r="G297" s="96" t="str">
        <f>IF(T_BilanSocial[[#This Row],[Final]]&lt;&gt;"",VLOOKUP(T_BilanSocial[[#This Row],[NumL]],T_suiviDi[#Data],COLUMN((T_suiviDi[Nom])),FALSE),"")</f>
        <v/>
      </c>
      <c r="H297" s="96" t="str">
        <f>IF(T_BilanSocial[[#This Row],[Final]]&lt;&gt;"",VLOOKUP(T_BilanSocial[[#This Row],[NumL]],T_suiviDi[#Data],COLUMN((T_suiviDi[Prénom])),FALSE),"")</f>
        <v/>
      </c>
      <c r="I297" s="331" t="str">
        <f>IFERROR(VLOOKUP(T_BilanSocial[[#This Row],[Zone_Bilan]],T_P_BilanSocial[#Data],COLUMN(T_P_BilanSocial[[#This Row],[Numero_SIHAM]]),FALSE),"")</f>
        <v/>
      </c>
      <c r="J297" s="331" t="str">
        <f>IFERROR(VLOOKUP(T_BilanSocial[[#This Row],[Zone_Bilan]],T_P_BilanSocial[#Data],COLUMN(T_P_BilanSocial[[#This Row],[Sexe]]),FALSE),"")</f>
        <v/>
      </c>
      <c r="K297" s="294" t="str">
        <f>IFERROR(VLOOKUP(T_BilanSocial[[#This Row],[Zone_Bilan]],T_P_BilanSocial[#Data],COLUMN(T_P_BilanSocial[[#This Row],[Categorie]]),FALSE),"")</f>
        <v/>
      </c>
      <c r="L297" s="331" t="str">
        <f>IFERROR(VLOOKUP(T_BilanSocial[[#This Row],[Zone_Bilan]],T_P_BilanSocial[#Data],COLUMN(T_P_BilanSocial[[#This Row],[Statut]]),FALSE),"")</f>
        <v/>
      </c>
      <c r="M297" s="331" t="str">
        <f>IFERROR(VLOOKUP(T_BilanSocial[[#This Row],[Zone_Bilan]],T_P_BilanSocial[#Data],COLUMN(T_P_BilanSocial[[#This Row],[Filiere]]),FALSE),"")</f>
        <v/>
      </c>
      <c r="N297" s="331" t="e">
        <f>VLOOKUP(T_BilanSocial[[#This Row],[NumL]],T_TraitDi[#Data],COLUMN(T_TraitDi[EXP]),FALSE)</f>
        <v>#N/A</v>
      </c>
      <c r="O297" s="331" t="e">
        <f>VLOOKUP(T_BilanSocial[[#This Row],[NumL]],T_TraitDi[#Data],COLUMN(T_TraitDi[FORM]),FALSE)</f>
        <v>#N/A</v>
      </c>
      <c r="P297" s="96" t="str">
        <f>IF(T_BilanSocial[[#This Row],[Final]]&lt;&gt;"",VLOOKUP(T_BilanSocial[[#This Row],[NumL]],T_suiviDi[#Data],COLUMN((T_suiviDi[Email])),FALSE),"")</f>
        <v/>
      </c>
      <c r="Q297" s="96" t="e">
        <f t="shared" si="58"/>
        <v>#N/A</v>
      </c>
      <c r="R297" s="96" t="e">
        <f t="shared" si="59"/>
        <v>#N/A</v>
      </c>
      <c r="S297" s="96" t="str">
        <f t="shared" si="55"/>
        <v/>
      </c>
      <c r="T297" s="96" t="str">
        <f t="shared" si="60"/>
        <v>01 septembre 2021</v>
      </c>
      <c r="U297" s="96" t="str">
        <f t="shared" si="61"/>
        <v>30 novembre 2021</v>
      </c>
      <c r="V297" s="97">
        <f t="shared" si="62"/>
        <v>44530</v>
      </c>
      <c r="W297" s="176" t="e">
        <f>IF(VLOOKUP(T_BilanSocial[[#This Row],[NumL]],T_TraitDi[#Data],COLUMN(T_TraitDi[[#This Row],[M1]]),FALSE)="","",VLOOKUP(T_BilanSocial[[#This Row],[NumL]],T_TraitDi[#Data],COLUMN(T_TraitDi[[#This Row],[M1]]),FALSE))</f>
        <v>#VALUE!</v>
      </c>
      <c r="X297" s="96" t="str">
        <f t="shared" si="63"/>
        <v/>
      </c>
      <c r="Y297" s="96" t="str">
        <f t="shared" si="63"/>
        <v/>
      </c>
      <c r="Z297" s="96" t="str">
        <f t="shared" si="64"/>
        <v/>
      </c>
      <c r="AA297" s="176" t="e">
        <f>IF(VLOOKUP(T_BilanSocial[[#This Row],[NumL]],T_TraitDi[#Data],COLUMN(T_TraitDi[[#This Row],[M5]]),FALSE)="","",VLOOKUP(T_BilanSocial[[#This Row],[NumL]],T_TraitDi[#Data],COLUMN(T_TraitDi[[#This Row],[M5]]),FALSE))</f>
        <v>#VALUE!</v>
      </c>
      <c r="AB297" s="176" t="e">
        <f>IF(VLOOKUP(T_BilanSocial[[#This Row],[NumL]],T_TraitDi[#Data],COLUMN(T_TraitDi[[#This Row],[M6]]),FALSE)="","",VLOOKUP(T_BilanSocial[[#This Row],[NumL]],T_TraitDi[#Data],COLUMN(T_TraitDi[[#This Row],[M6]]),FALSE))</f>
        <v>#VALUE!</v>
      </c>
      <c r="AC297" s="96" t="e">
        <f t="shared" si="66"/>
        <v>#VALUE!</v>
      </c>
      <c r="AD297" s="97" t="str">
        <f t="shared" si="65"/>
        <v/>
      </c>
      <c r="AE297" s="294" t="e">
        <f>VLOOKUP(T_BilanSocial[[#This Row],[NumL]],T_TraitDi[#Data],COLUMN(T_TraitDi[[#This Row],[Reg Ponct]]),FALSE)</f>
        <v>#VALUE!</v>
      </c>
      <c r="AF297" s="294" t="e">
        <f>VLOOKUP(T_BilanSocial[NumL],T_TraitDi[#Data],COLUMN(T_TraitDi[[#This Row],[Jours flottants]]),FALSE)</f>
        <v>#VALUE!</v>
      </c>
      <c r="AG297" s="97" t="str">
        <f>IFERROR(VLOOKUP(T_BilanSocial[[#This Row],[NumL]],T_TraitDi[#Data],COLUMN(T_TraitDi[[#This Row],[Lundi]]),FALSE),"")</f>
        <v/>
      </c>
      <c r="AH297" s="172" t="e">
        <f>IF(VLOOKUP(T_BilanSocial[[#This Row],[NumL]],T_TraitDi[#Data],COLUMN(T_TraitDi[[#This Row],[Colonne3]]),FALSE)=0,"",TEXT(IFERROR(VLOOKUP(T_BilanSocial[[#This Row],[NumL]],T_TraitDi[#Data],COLUMN(T_TraitDi[[#This Row],[Colonne3]]),FALSE),""),"[hh]:mm"))</f>
        <v>#VALUE!</v>
      </c>
      <c r="AI297" s="172" t="e">
        <f>IF(VLOOKUP(T_BilanSocial[[#This Row],[NumL]],T_TraitDi[#Data],COLUMN(T_TraitDi[[#This Row],[Colonne4]]),FALSE)=0,"",TEXT(IFERROR(VLOOKUP(T_BilanSocial[[#This Row],[NumL]],T_TraitDi[#Data],COLUMN(T_TraitDi[[#This Row],[Colonne4]]),FALSE),""),"[hh]:mm"))</f>
        <v>#VALUE!</v>
      </c>
      <c r="AJ297" s="172" t="e">
        <f>IF(VLOOKUP(T_BilanSocial[[#This Row],[NumL]],T_TraitDi[#Data],COLUMN(T_TraitDi[[#This Row],[Colonne5]]),FALSE)=0,"",TEXT(IFERROR(VLOOKUP(T_BilanSocial[[#This Row],[NumL]],T_TraitDi[#Data],COLUMN(T_TraitDi[[#This Row],[Colonne5]]),FALSE),""),"[hh]:mm"))</f>
        <v>#VALUE!</v>
      </c>
      <c r="AK297" s="172" t="e">
        <f>IF(VLOOKUP(T_BilanSocial[[#This Row],[NumL]],T_TraitDi[#Data],COLUMN(T_TraitDi[[#This Row],[Colonne6]]),FALSE)=0,"",TEXT(IFERROR(VLOOKUP(T_BilanSocial[[#This Row],[NumL]],T_TraitDi[#Data],COLUMN(T_TraitDi[[#This Row],[Colonne6]]),FALSE),""),"[hh]:mm"))</f>
        <v>#VALUE!</v>
      </c>
      <c r="AL297" s="172" t="e">
        <f>IF(VLOOKUP(T_BilanSocial[[#This Row],[NumL]],T_TraitDi[#Data],COLUMN(T_TraitDi[[#This Row],[Colonne7]]),FALSE)=0,"",TEXT(IFERROR(VLOOKUP(T_BilanSocial[[#This Row],[NumL]],T_TraitDi[#Data],COLUMN(T_TraitDi[[#This Row],[Colonne7]]),FALSE),""),"[hh]:mm"))</f>
        <v>#VALUE!</v>
      </c>
      <c r="AM297" s="172" t="e">
        <f>IF(VLOOKUP(T_BilanSocial[[#This Row],[NumL]],T_TraitDi[#Data],COLUMN(T_TraitDi[[#This Row],[Colonne8]]),FALSE)=0,"",TEXT(IFERROR(VLOOKUP(T_BilanSocial[[#This Row],[NumL]],T_TraitDi[#Data],COLUMN(T_TraitDi[[#This Row],[Colonne8]]),FALSE),""),"[hh]:mm"))</f>
        <v>#VALUE!</v>
      </c>
      <c r="AN297" s="172" t="str">
        <f>IFERROR(VLOOKUP(T_BilanSocial[[#This Row],[NumL]],T_TraitDi[#Data],COLUMN(T_TraitDi[[#This Row],[Mardi]]),FALSE),"")</f>
        <v/>
      </c>
      <c r="AO297" s="172" t="e">
        <f>IF(VLOOKUP(T_BilanSocial[[#This Row],[NumL]],T_TraitDi[#Data],COLUMN(T_TraitDi[[#This Row],[Colonne1]]),FALSE)=0,"",TEXT(IFERROR(VLOOKUP(T_BilanSocial[[#This Row],[NumL]],T_TraitDi[#Data],COLUMN(T_TraitDi[[#This Row],[Colonne1]]),FALSE),""),"[hh]:mm"))</f>
        <v>#VALUE!</v>
      </c>
      <c r="AP297" s="172" t="e">
        <f>IF(VLOOKUP(T_BilanSocial[[#This Row],[NumL]],T_TraitDi[#Data],COLUMN(T_TraitDi[[#This Row],[Colonne9]]),FALSE)=0,"",TEXT(IFERROR(VLOOKUP(T_BilanSocial[[#This Row],[NumL]],T_TraitDi[#Data],COLUMN(T_TraitDi[[#This Row],[Colonne9]]),FALSE),""),"[hh]:mm"))</f>
        <v>#VALUE!</v>
      </c>
      <c r="AQ297" s="172" t="str">
        <f>IFERROR(VLOOKUP(T_BilanSocial[[#This Row],[NumL]],T_TraitDi[#Data],COLUMN(T_TraitDi[[#This Row],[Colonne10]]),FALSE),"")</f>
        <v/>
      </c>
      <c r="AR297" s="172" t="e">
        <f>IF(VLOOKUP(T_BilanSocial[[#This Row],[NumL]],T_TraitDi[#Data],COLUMN(T_TraitDi[[#This Row],[Colonne11]]),FALSE)=0,"",TEXT(IFERROR(VLOOKUP(T_BilanSocial[[#This Row],[NumL]],T_TraitDi[#Data],COLUMN(T_TraitDi[[#This Row],[Colonne11]]),FALSE),""),"[hh]:mm"))</f>
        <v>#VALUE!</v>
      </c>
      <c r="AS297" s="172" t="e">
        <f>IF(VLOOKUP(T_BilanSocial[[#This Row],[NumL]],T_TraitDi[#Data],COLUMN(T_TraitDi[[#This Row],[Colonne12]]),FALSE)=0,"",TEXT(IFERROR(VLOOKUP(T_BilanSocial[[#This Row],[NumL]],T_TraitDi[#Data],COLUMN(T_TraitDi[[#This Row],[Colonne12]]),FALSE),""),"[hh]:mm"))</f>
        <v>#VALUE!</v>
      </c>
      <c r="AT297" s="172" t="e">
        <f>IF(VLOOKUP(T_BilanSocial[[#This Row],[NumL]],T_TraitDi[#Data],COLUMN(T_TraitDi[[#This Row],[Colonne14]]),FALSE)=0,"",TEXT(IFERROR(VLOOKUP(T_BilanSocial[[#This Row],[NumL]],T_TraitDi[#Data],COLUMN(T_TraitDi[[#This Row],[Colonne14]]),FALSE),""),"[hh]:mm"))</f>
        <v>#VALUE!</v>
      </c>
      <c r="AU297" s="172" t="str">
        <f>IFERROR(VLOOKUP(T_BilanSocial[[#This Row],[NumL]],T_TraitDi[#Data],COLUMN(T_TraitDi[[#This Row],[Mercredi]]),FALSE),"")</f>
        <v/>
      </c>
      <c r="AV297" s="172" t="e">
        <f>IF(VLOOKUP(T_BilanSocial[[#This Row],[NumL]],T_TraitDi[#Data],COLUMN(T_TraitDi[[#This Row],[Colonne15]]),FALSE)=0,"",TEXT(IFERROR(VLOOKUP(T_BilanSocial[[#This Row],[NumL]],T_TraitDi[#Data],COLUMN(T_TraitDi[[#This Row],[Colonne15]]),FALSE),""),"[hh]:mm"))</f>
        <v>#VALUE!</v>
      </c>
      <c r="AW297" s="172" t="e">
        <f>IF(VLOOKUP(T_BilanSocial[[#This Row],[NumL]],T_TraitDi[#Data],COLUMN(T_TraitDi[[#This Row],[Colonne16]]),FALSE)=0,"",TEXT(IFERROR(VLOOKUP(T_BilanSocial[[#This Row],[NumL]],T_TraitDi[#Data],COLUMN(T_TraitDi[[#This Row],[Colonne16]]),FALSE),""),"[hh]:mm"))</f>
        <v>#VALUE!</v>
      </c>
      <c r="AX297" s="172" t="str">
        <f>IFERROR(VLOOKUP(T_BilanSocial[[#This Row],[NumL]],T_TraitDi[#Data],COLUMN(T_TraitDi[[#This Row],[Colonne17]]),FALSE),"")</f>
        <v/>
      </c>
      <c r="AY297" s="172" t="e">
        <f>IF(VLOOKUP(T_BilanSocial[[#This Row],[NumL]],T_TraitDi[#Data],COLUMN(T_TraitDi[[#This Row],[Colonne18]]),FALSE)=0,"",TEXT(IFERROR(VLOOKUP(T_BilanSocial[[#This Row],[NumL]],T_TraitDi[#Data],COLUMN(T_TraitDi[[#This Row],[Colonne18]]),FALSE),""),"[hh]:mm"))</f>
        <v>#VALUE!</v>
      </c>
      <c r="AZ297" s="172" t="e">
        <f>IF(VLOOKUP(T_BilanSocial[[#This Row],[NumL]],T_TraitDi[#Data],COLUMN(T_TraitDi[[#This Row],[Colonne19]]),FALSE)=0,"",TEXT(IFERROR(VLOOKUP(T_BilanSocial[[#This Row],[NumL]],T_TraitDi[#Data],COLUMN(T_TraitDi[[#This Row],[Colonne19]]),FALSE),""),"[hh]:mm"))</f>
        <v>#VALUE!</v>
      </c>
      <c r="BA297" s="172" t="e">
        <f>IF(VLOOKUP(T_BilanSocial[[#This Row],[NumL]],T_TraitDi[#Data],COLUMN(T_TraitDi[[#This Row],[Colonne20]]),FALSE)=0,"",TEXT(IFERROR(VLOOKUP(T_BilanSocial[[#This Row],[NumL]],T_TraitDi[#Data],COLUMN(T_TraitDi[[#This Row],[Colonne20]]),FALSE),""),"[hh]:mm"))</f>
        <v>#VALUE!</v>
      </c>
      <c r="BB297" s="178" t="str">
        <f>IFERROR(VLOOKUP(T_BilanSocial[[#This Row],[NumL]],T_TraitDi[#Data],COLUMN(T_TraitDi[[#This Row],[Jeudi]]),FALSE),"")</f>
        <v/>
      </c>
      <c r="BC297" s="178" t="e">
        <f>IF(VLOOKUP(T_BilanSocial[[#This Row],[NumL]],T_TraitDi[#Data],COLUMN(T_TraitDi[[#This Row],[Colonne21]]),FALSE)=0,"",TEXT(IFERROR(VLOOKUP(T_BilanSocial[[#This Row],[NumL]],T_TraitDi[#Data],COLUMN(T_TraitDi[[#This Row],[Colonne21]]),FALSE),""),"[hh]:mm"))</f>
        <v>#VALUE!</v>
      </c>
      <c r="BD297" s="178" t="e">
        <f>IF(VLOOKUP(T_BilanSocial[[#This Row],[NumL]],T_TraitDi[#Data],COLUMN(T_TraitDi[[#This Row],[Colonne22]]),FALSE)=0,"",TEXT(IFERROR(VLOOKUP(T_BilanSocial[[#This Row],[NumL]],T_TraitDi[#Data],COLUMN(T_TraitDi[[#This Row],[Colonne22]]),FALSE),""),"[hh]:mm"))</f>
        <v>#VALUE!</v>
      </c>
      <c r="BE297" s="178" t="str">
        <f>IFERROR(VLOOKUP(T_BilanSocial[[#This Row],[NumL]],T_TraitDi[#Data],COLUMN(T_TraitDi[[#This Row],[Colonne23]]),FALSE),"")</f>
        <v/>
      </c>
      <c r="BF297" s="178" t="e">
        <f>IF(VLOOKUP(T_BilanSocial[[#This Row],[NumL]],T_TraitDi[#Data],COLUMN(T_TraitDi[[#This Row],[Colonne24]]),FALSE)=0,"",TEXT(IFERROR(VLOOKUP(T_BilanSocial[[#This Row],[NumL]],T_TraitDi[#Data],COLUMN(T_TraitDi[[#This Row],[Colonne24]]),FALSE),""),"[hh]:mm"))</f>
        <v>#VALUE!</v>
      </c>
      <c r="BG297" s="178" t="e">
        <f>IF(VLOOKUP(T_BilanSocial[[#This Row],[NumL]],T_TraitDi[#Data],COLUMN(T_TraitDi[[#This Row],[Colonne25]]),FALSE)=0,"",TEXT(IFERROR(VLOOKUP(T_BilanSocial[[#This Row],[NumL]],T_TraitDi[#Data],COLUMN(T_TraitDi[[#This Row],[Colonne25]]),FALSE),""),"[hh]:mm"))</f>
        <v>#VALUE!</v>
      </c>
      <c r="BH297" s="178" t="e">
        <f>IF(VLOOKUP(T_BilanSocial[[#This Row],[NumL]],T_TraitDi[#Data],COLUMN(T_TraitDi[[#This Row],[Colonne26]]),FALSE)=0,"",TEXT(IFERROR(VLOOKUP(T_BilanSocial[[#This Row],[NumL]],T_TraitDi[#Data],COLUMN(T_TraitDi[[#This Row],[Colonne26]]),FALSE),""),"[hh]:mm"))</f>
        <v>#VALUE!</v>
      </c>
      <c r="BI297" s="172" t="str">
        <f>IFERROR(VLOOKUP(T_BilanSocial[[#This Row],[NumL]],T_TraitDi[#Data],COLUMN(T_TraitDi[[#This Row],[Vendredi]]),FALSE),"")</f>
        <v/>
      </c>
      <c r="BJ297" s="172" t="e">
        <f>IF(VLOOKUP(T_BilanSocial[[#This Row],[NumL]],T_TraitDi[#Data],COLUMN(T_TraitDi[[#This Row],[Colonne27]]),FALSE)=0,"",TEXT(IFERROR(VLOOKUP(T_BilanSocial[[#This Row],[NumL]],T_TraitDi[#Data],COLUMN(T_TraitDi[[#This Row],[Colonne27]]),FALSE),""),"[hh]:mm"))</f>
        <v>#VALUE!</v>
      </c>
      <c r="BK297" s="172" t="e">
        <f>IF(VLOOKUP(T_BilanSocial[[#This Row],[NumL]],T_TraitDi[#Data],COLUMN(T_TraitDi[[#This Row],[Colonne28]]),FALSE)=0,"",TEXT(IFERROR(VLOOKUP(T_BilanSocial[[#This Row],[NumL]],T_TraitDi[#Data],COLUMN(T_TraitDi[[#This Row],[Colonne28]]),FALSE),""),"[hh]:mm"))</f>
        <v>#VALUE!</v>
      </c>
      <c r="BL297" s="172" t="str">
        <f>IFERROR(VLOOKUP(T_BilanSocial[[#This Row],[NumL]],T_TraitDi[#Data],COLUMN(T_TraitDi[[#This Row],[Colonne29]]),FALSE),"")</f>
        <v/>
      </c>
      <c r="BM297" s="172" t="e">
        <f>IF(VLOOKUP(T_BilanSocial[[#This Row],[NumL]],T_TraitDi[#Data],COLUMN(T_TraitDi[[#This Row],[Colonne30]]),FALSE)=0,"",TEXT(IFERROR(VLOOKUP(T_BilanSocial[[#This Row],[NumL]],T_TraitDi[#Data],COLUMN(T_TraitDi[[#This Row],[Colonne30]]),FALSE),""),"[hh]:mm"))</f>
        <v>#VALUE!</v>
      </c>
      <c r="BN297" s="172" t="e">
        <f>IF(VLOOKUP(T_BilanSocial[[#This Row],[NumL]],T_TraitDi[#Data],COLUMN(T_TraitDi[[#This Row],[Colonne31]]),FALSE)=0,"",TEXT(IFERROR(VLOOKUP(T_BilanSocial[[#This Row],[NumL]],T_TraitDi[#Data],COLUMN(T_TraitDi[[#This Row],[Colonne31]]),FALSE),""),"[hh]:mm"))</f>
        <v>#VALUE!</v>
      </c>
      <c r="BO297" s="172" t="e">
        <f>IF(VLOOKUP(T_BilanSocial[[#This Row],[NumL]],T_TraitDi[#Data],COLUMN(T_TraitDi[[#This Row],[Colonne32]]),FALSE)=0,"",TEXT(IFERROR(VLOOKUP(T_BilanSocial[[#This Row],[NumL]],T_TraitDi[#Data],COLUMN(T_TraitDi[[#This Row],[Colonne32]]),FALSE),""),"[hh]:mm"))</f>
        <v>#VALUE!</v>
      </c>
      <c r="BP297" s="172" t="e">
        <f>VLOOKUP(T_BilanSocial[[#This Row],[NumL]],T_TraitDi[#Data],COLUMN(T_TraitDi[NbJTot]),FALSE)</f>
        <v>#N/A</v>
      </c>
      <c r="BQ297" s="174" t="str">
        <f>IFERROR(VLOOKUP(T_BilanSocial[[#This Row],[NumL]],T_TraitDi[#Data],COLUMN(T_TraitDi[[#This Row],[NbJTW]]),FALSE),"")</f>
        <v/>
      </c>
      <c r="BR297" s="174" t="e">
        <f>IF(VLOOKUP(T_BilanSocial[[#This Row],[NumL]],T_TraitDi[#Data],COLUMN(T_TraitDi[[#This Row],[NbhTW]]),FALSE)=0,"",TEXT(IFERROR(VLOOKUP(T_BilanSocial[[#This Row],[NumL]],T_TraitDi[#Data],COLUMN(T_TraitDi[[#This Row],[NbhTW]]),FALSE),""),"[hh]:mm"))</f>
        <v>#VALUE!</v>
      </c>
      <c r="BS297" s="174" t="e">
        <f>IF(VLOOKUP(T_BilanSocial[[#This Row],[NumL]],T_TraitDi[#Data],COLUMN(T_TraitDi[[#This Row],[Nbhheb]]),FALSE)=0,"",TEXT(IFERROR(VLOOKUP($A297,T_TraitDi[#Data],COLUMN(T_TraitDi[[#This Row],[Nbhheb]]),FALSE),""),"[hh]:mm"))</f>
        <v>#VALUE!</v>
      </c>
      <c r="BT297" s="182" t="str">
        <f>IFERROR(VLOOKUP(VLOOKUP($A297,T_TraitDi[#Data],COLUMN(T_TraitDi[[#This Row],[Type1]]),FALSE),TypeTW,2,FALSE),"")</f>
        <v/>
      </c>
      <c r="BU297" s="182" t="str">
        <f>IFERROR(VLOOKUP($A297,T_TraitDi[#Data],COLUMN(T_TraitDi[[#This Row],[Rue1]]),FALSE),"")</f>
        <v/>
      </c>
      <c r="BV297" s="173" t="str">
        <f>IFERROR(VLOOKUP($A297,T_TraitDi[#Data],COLUMN(T_TraitDi[[#This Row],[CP1]]),FALSE),"")</f>
        <v/>
      </c>
      <c r="BW297" s="173" t="str">
        <f>IFERROR(VLOOKUP($A297,T_TraitDi[#Data],COLUMN(T_TraitDi[[#This Row],[VILLE1]]),FALSE),"")</f>
        <v/>
      </c>
      <c r="BX297" s="182" t="str">
        <f>IFERROR(VLOOKUP(VLOOKUP($A297,T_TraitDi[#Data],COLUMN(T_TraitDi[[#This Row],[Type2]]),FALSE),TypeTW,2,FALSE),"")</f>
        <v/>
      </c>
      <c r="BY297" s="182" t="str">
        <f>IFERROR(VLOOKUP($A297,T_TraitDi[#Data],COLUMN(T_TraitDi[[#This Row],[Rue2]]),FALSE),"")</f>
        <v/>
      </c>
      <c r="BZ297" s="173" t="str">
        <f>IFERROR(VLOOKUP($A297,T_TraitDi[#Data],COLUMN(T_TraitDi[[#This Row],[CP2]]),FALSE),"")</f>
        <v/>
      </c>
      <c r="CA297" s="173" t="str">
        <f>IFERROR(VLOOKUP($A297,T_TraitDi[#Data],COLUMN(T_TraitDi[[#This Row],[VILLE2]]),FALSE),"")</f>
        <v/>
      </c>
      <c r="CB297"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7" s="166" t="str">
        <f>IFERROR(IF(VLOOKUP(T_BilanSocial[[#This Row],[NumL]],T_TraitDi[#Data],COLUMN(T_TraitDi[[#This Row],[Plan]]),FALSE)="OK","Un planning spécifique de télétravail est annexé à la présente convention.",""),"")</f>
        <v/>
      </c>
      <c r="CD297" s="301"/>
      <c r="CE297" s="164" t="e">
        <f>IF(VLOOKUP(T_BilanSocial[[#This Row],[NumL]],T_suiviDi[#Data],COLUMN(T_suiviDi[[#This Row],[Entité]]),FALSE)="","",VLOOKUP(T_BilanSocial[[#This Row],[NumL]],T_suiviDi[#Data],COLUMN(T_suiviDi[[#This Row],[Entité]]),FALSE))</f>
        <v>#VALUE!</v>
      </c>
      <c r="CF297" s="164" t="str">
        <f>IF(VLOOKUP(T_BilanSocial[[#This Row],[NumL]],T_Commission[#Data],COLUMN(T_Commission[[#This Row],[envoi confirm TW]]),FALSE)="","",VLOOKUP(T_BilanSocial[[#This Row],[NumL]],T_Commission[#Data],COLUMN(T_Commission[[#This Row],[envoi confirm TW]]),FALSE))</f>
        <v>Oui</v>
      </c>
      <c r="CG29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7" s="339" t="str">
        <f>T_BilanSocial[[#This Row],[Nom]]&amp;T_BilanSocial[[#This Row],[Prenom]]</f>
        <v/>
      </c>
      <c r="CI297" s="339">
        <f>VLOOKUP(T_BilanSocial[[#This Row],[NumL]],T_Commission[#Data],COLUMN(T_Commission[Commentaire]),FALSE)</f>
        <v>0</v>
      </c>
      <c r="CJ297" s="339" t="str">
        <f>IF(VLOOKUP(T_BilanSocial[[#This Row],[NumL]],T_Commission[#Data],COLUMN(T_Commission[Encadrant Email]),FALSE)="","",VLOOKUP(T_BilanSocial[[#This Row],[NumL]],T_Commission[#Data],COLUMN(T_Commission[Encadrant Email]),FALSE))</f>
        <v/>
      </c>
      <c r="CK297" s="332" t="str">
        <f>IF(T_BilanSocial[[#This Row],[Final]]&lt;&gt;"",VLOOKUP(T_BilanSocial[[#This Row],[NumL]],T_suiviDi[#Data],COLUMN((T_suiviDi[Statut])),FALSE),"")</f>
        <v/>
      </c>
    </row>
    <row r="298" spans="1:89" s="50" customFormat="1" ht="21" customHeight="1" x14ac:dyDescent="0.25">
      <c r="A298" s="136">
        <v>295</v>
      </c>
      <c r="B298" s="330" t="str">
        <f t="shared" si="56"/>
        <v/>
      </c>
      <c r="C298" s="309"/>
      <c r="D298" s="95" t="e">
        <f>IF(VLOOKUP(T_BilanSocial[[#This Row],[NumL]],T_TraitDi[#Data],COLUMN(T_TraitDi[[#This Row],[WebC]]),FALSE)="","",VLOOKUP(T_BilanSocial[[#This Row],[NumL]],T_TraitDi[#Data],COLUMN(T_TraitDi[[#This Row],[WebC]]),FALSE))</f>
        <v>#VALUE!</v>
      </c>
      <c r="E298" s="95" t="str">
        <f t="shared" si="57"/>
        <v>12 janvier 2021</v>
      </c>
      <c r="F298" s="96" t="str">
        <f>IF(T_BilanSocial[[#This Row],[Final]]&lt;&gt;"",VLOOKUP(T_BilanSocial[[#This Row],[NumL]],T_suiviDi[#Data],COLUMN((T_suiviDi[Civ.])),FALSE),"")</f>
        <v/>
      </c>
      <c r="G298" s="96" t="str">
        <f>IF(T_BilanSocial[[#This Row],[Final]]&lt;&gt;"",VLOOKUP(T_BilanSocial[[#This Row],[NumL]],T_suiviDi[#Data],COLUMN((T_suiviDi[Nom])),FALSE),"")</f>
        <v/>
      </c>
      <c r="H298" s="96" t="str">
        <f>IF(T_BilanSocial[[#This Row],[Final]]&lt;&gt;"",VLOOKUP(T_BilanSocial[[#This Row],[NumL]],T_suiviDi[#Data],COLUMN((T_suiviDi[Prénom])),FALSE),"")</f>
        <v/>
      </c>
      <c r="I298" s="331" t="str">
        <f>IFERROR(VLOOKUP(T_BilanSocial[[#This Row],[Zone_Bilan]],T_P_BilanSocial[#Data],COLUMN(T_P_BilanSocial[[#This Row],[Numero_SIHAM]]),FALSE),"")</f>
        <v/>
      </c>
      <c r="J298" s="331" t="str">
        <f>IFERROR(VLOOKUP(T_BilanSocial[[#This Row],[Zone_Bilan]],T_P_BilanSocial[#Data],COLUMN(T_P_BilanSocial[[#This Row],[Sexe]]),FALSE),"")</f>
        <v/>
      </c>
      <c r="K298" s="294" t="str">
        <f>IFERROR(VLOOKUP(T_BilanSocial[[#This Row],[Zone_Bilan]],T_P_BilanSocial[#Data],COLUMN(T_P_BilanSocial[[#This Row],[Categorie]]),FALSE),"")</f>
        <v/>
      </c>
      <c r="L298" s="331" t="str">
        <f>IFERROR(VLOOKUP(T_BilanSocial[[#This Row],[Zone_Bilan]],T_P_BilanSocial[#Data],COLUMN(T_P_BilanSocial[[#This Row],[Statut]]),FALSE),"")</f>
        <v/>
      </c>
      <c r="M298" s="331" t="str">
        <f>IFERROR(VLOOKUP(T_BilanSocial[[#This Row],[Zone_Bilan]],T_P_BilanSocial[#Data],COLUMN(T_P_BilanSocial[[#This Row],[Filiere]]),FALSE),"")</f>
        <v/>
      </c>
      <c r="N298" s="331" t="e">
        <f>VLOOKUP(T_BilanSocial[[#This Row],[NumL]],T_TraitDi[#Data],COLUMN(T_TraitDi[EXP]),FALSE)</f>
        <v>#N/A</v>
      </c>
      <c r="O298" s="331" t="e">
        <f>VLOOKUP(T_BilanSocial[[#This Row],[NumL]],T_TraitDi[#Data],COLUMN(T_TraitDi[FORM]),FALSE)</f>
        <v>#N/A</v>
      </c>
      <c r="P298" s="96" t="str">
        <f>IF(T_BilanSocial[[#This Row],[Final]]&lt;&gt;"",VLOOKUP(T_BilanSocial[[#This Row],[NumL]],T_suiviDi[#Data],COLUMN((T_suiviDi[Email])),FALSE),"")</f>
        <v/>
      </c>
      <c r="Q298" s="96" t="e">
        <f t="shared" si="58"/>
        <v>#N/A</v>
      </c>
      <c r="R298" s="96" t="e">
        <f t="shared" si="59"/>
        <v>#N/A</v>
      </c>
      <c r="S298" s="96" t="str">
        <f t="shared" si="55"/>
        <v/>
      </c>
      <c r="T298" s="96" t="str">
        <f t="shared" si="60"/>
        <v>01 septembre 2021</v>
      </c>
      <c r="U298" s="96" t="str">
        <f t="shared" si="61"/>
        <v>30 novembre 2021</v>
      </c>
      <c r="V298" s="97">
        <f t="shared" si="62"/>
        <v>44530</v>
      </c>
      <c r="W298" s="176" t="e">
        <f>IF(VLOOKUP(T_BilanSocial[[#This Row],[NumL]],T_TraitDi[#Data],COLUMN(T_TraitDi[[#This Row],[M1]]),FALSE)="","",VLOOKUP(T_BilanSocial[[#This Row],[NumL]],T_TraitDi[#Data],COLUMN(T_TraitDi[[#This Row],[M1]]),FALSE))</f>
        <v>#VALUE!</v>
      </c>
      <c r="X298" s="96" t="str">
        <f t="shared" si="63"/>
        <v/>
      </c>
      <c r="Y298" s="96" t="str">
        <f t="shared" si="63"/>
        <v/>
      </c>
      <c r="Z298" s="96" t="str">
        <f t="shared" si="64"/>
        <v/>
      </c>
      <c r="AA298" s="176" t="e">
        <f>IF(VLOOKUP(T_BilanSocial[[#This Row],[NumL]],T_TraitDi[#Data],COLUMN(T_TraitDi[[#This Row],[M5]]),FALSE)="","",VLOOKUP(T_BilanSocial[[#This Row],[NumL]],T_TraitDi[#Data],COLUMN(T_TraitDi[[#This Row],[M5]]),FALSE))</f>
        <v>#VALUE!</v>
      </c>
      <c r="AB298" s="176" t="e">
        <f>IF(VLOOKUP(T_BilanSocial[[#This Row],[NumL]],T_TraitDi[#Data],COLUMN(T_TraitDi[[#This Row],[M6]]),FALSE)="","",VLOOKUP(T_BilanSocial[[#This Row],[NumL]],T_TraitDi[#Data],COLUMN(T_TraitDi[[#This Row],[M6]]),FALSE))</f>
        <v>#VALUE!</v>
      </c>
      <c r="AC298" s="96" t="e">
        <f t="shared" si="66"/>
        <v>#VALUE!</v>
      </c>
      <c r="AD298" s="97" t="str">
        <f t="shared" si="65"/>
        <v/>
      </c>
      <c r="AE298" s="294" t="e">
        <f>VLOOKUP(T_BilanSocial[[#This Row],[NumL]],T_TraitDi[#Data],COLUMN(T_TraitDi[[#This Row],[Reg Ponct]]),FALSE)</f>
        <v>#VALUE!</v>
      </c>
      <c r="AF298" s="294" t="e">
        <f>VLOOKUP(T_BilanSocial[NumL],T_TraitDi[#Data],COLUMN(T_TraitDi[[#This Row],[Jours flottants]]),FALSE)</f>
        <v>#VALUE!</v>
      </c>
      <c r="AG298" s="97" t="str">
        <f>IFERROR(VLOOKUP(T_BilanSocial[[#This Row],[NumL]],T_TraitDi[#Data],COLUMN(T_TraitDi[[#This Row],[Lundi]]),FALSE),"")</f>
        <v/>
      </c>
      <c r="AH298" s="172" t="e">
        <f>IF(VLOOKUP(T_BilanSocial[[#This Row],[NumL]],T_TraitDi[#Data],COLUMN(T_TraitDi[[#This Row],[Colonne3]]),FALSE)=0,"",TEXT(IFERROR(VLOOKUP(T_BilanSocial[[#This Row],[NumL]],T_TraitDi[#Data],COLUMN(T_TraitDi[[#This Row],[Colonne3]]),FALSE),""),"[hh]:mm"))</f>
        <v>#VALUE!</v>
      </c>
      <c r="AI298" s="172" t="e">
        <f>IF(VLOOKUP(T_BilanSocial[[#This Row],[NumL]],T_TraitDi[#Data],COLUMN(T_TraitDi[[#This Row],[Colonne4]]),FALSE)=0,"",TEXT(IFERROR(VLOOKUP(T_BilanSocial[[#This Row],[NumL]],T_TraitDi[#Data],COLUMN(T_TraitDi[[#This Row],[Colonne4]]),FALSE),""),"[hh]:mm"))</f>
        <v>#VALUE!</v>
      </c>
      <c r="AJ298" s="172" t="e">
        <f>IF(VLOOKUP(T_BilanSocial[[#This Row],[NumL]],T_TraitDi[#Data],COLUMN(T_TraitDi[[#This Row],[Colonne5]]),FALSE)=0,"",TEXT(IFERROR(VLOOKUP(T_BilanSocial[[#This Row],[NumL]],T_TraitDi[#Data],COLUMN(T_TraitDi[[#This Row],[Colonne5]]),FALSE),""),"[hh]:mm"))</f>
        <v>#VALUE!</v>
      </c>
      <c r="AK298" s="172" t="e">
        <f>IF(VLOOKUP(T_BilanSocial[[#This Row],[NumL]],T_TraitDi[#Data],COLUMN(T_TraitDi[[#This Row],[Colonne6]]),FALSE)=0,"",TEXT(IFERROR(VLOOKUP(T_BilanSocial[[#This Row],[NumL]],T_TraitDi[#Data],COLUMN(T_TraitDi[[#This Row],[Colonne6]]),FALSE),""),"[hh]:mm"))</f>
        <v>#VALUE!</v>
      </c>
      <c r="AL298" s="172" t="e">
        <f>IF(VLOOKUP(T_BilanSocial[[#This Row],[NumL]],T_TraitDi[#Data],COLUMN(T_TraitDi[[#This Row],[Colonne7]]),FALSE)=0,"",TEXT(IFERROR(VLOOKUP(T_BilanSocial[[#This Row],[NumL]],T_TraitDi[#Data],COLUMN(T_TraitDi[[#This Row],[Colonne7]]),FALSE),""),"[hh]:mm"))</f>
        <v>#VALUE!</v>
      </c>
      <c r="AM298" s="172" t="e">
        <f>IF(VLOOKUP(T_BilanSocial[[#This Row],[NumL]],T_TraitDi[#Data],COLUMN(T_TraitDi[[#This Row],[Colonne8]]),FALSE)=0,"",TEXT(IFERROR(VLOOKUP(T_BilanSocial[[#This Row],[NumL]],T_TraitDi[#Data],COLUMN(T_TraitDi[[#This Row],[Colonne8]]),FALSE),""),"[hh]:mm"))</f>
        <v>#VALUE!</v>
      </c>
      <c r="AN298" s="172" t="str">
        <f>IFERROR(VLOOKUP(T_BilanSocial[[#This Row],[NumL]],T_TraitDi[#Data],COLUMN(T_TraitDi[[#This Row],[Mardi]]),FALSE),"")</f>
        <v/>
      </c>
      <c r="AO298" s="172" t="e">
        <f>IF(VLOOKUP(T_BilanSocial[[#This Row],[NumL]],T_TraitDi[#Data],COLUMN(T_TraitDi[[#This Row],[Colonne1]]),FALSE)=0,"",TEXT(IFERROR(VLOOKUP(T_BilanSocial[[#This Row],[NumL]],T_TraitDi[#Data],COLUMN(T_TraitDi[[#This Row],[Colonne1]]),FALSE),""),"[hh]:mm"))</f>
        <v>#VALUE!</v>
      </c>
      <c r="AP298" s="172" t="e">
        <f>IF(VLOOKUP(T_BilanSocial[[#This Row],[NumL]],T_TraitDi[#Data],COLUMN(T_TraitDi[[#This Row],[Colonne9]]),FALSE)=0,"",TEXT(IFERROR(VLOOKUP(T_BilanSocial[[#This Row],[NumL]],T_TraitDi[#Data],COLUMN(T_TraitDi[[#This Row],[Colonne9]]),FALSE),""),"[hh]:mm"))</f>
        <v>#VALUE!</v>
      </c>
      <c r="AQ298" s="172" t="str">
        <f>IFERROR(VLOOKUP(T_BilanSocial[[#This Row],[NumL]],T_TraitDi[#Data],COLUMN(T_TraitDi[[#This Row],[Colonne10]]),FALSE),"")</f>
        <v/>
      </c>
      <c r="AR298" s="172" t="e">
        <f>IF(VLOOKUP(T_BilanSocial[[#This Row],[NumL]],T_TraitDi[#Data],COLUMN(T_TraitDi[[#This Row],[Colonne11]]),FALSE)=0,"",TEXT(IFERROR(VLOOKUP(T_BilanSocial[[#This Row],[NumL]],T_TraitDi[#Data],COLUMN(T_TraitDi[[#This Row],[Colonne11]]),FALSE),""),"[hh]:mm"))</f>
        <v>#VALUE!</v>
      </c>
      <c r="AS298" s="172" t="e">
        <f>IF(VLOOKUP(T_BilanSocial[[#This Row],[NumL]],T_TraitDi[#Data],COLUMN(T_TraitDi[[#This Row],[Colonne12]]),FALSE)=0,"",TEXT(IFERROR(VLOOKUP(T_BilanSocial[[#This Row],[NumL]],T_TraitDi[#Data],COLUMN(T_TraitDi[[#This Row],[Colonne12]]),FALSE),""),"[hh]:mm"))</f>
        <v>#VALUE!</v>
      </c>
      <c r="AT298" s="172" t="e">
        <f>IF(VLOOKUP(T_BilanSocial[[#This Row],[NumL]],T_TraitDi[#Data],COLUMN(T_TraitDi[[#This Row],[Colonne14]]),FALSE)=0,"",TEXT(IFERROR(VLOOKUP(T_BilanSocial[[#This Row],[NumL]],T_TraitDi[#Data],COLUMN(T_TraitDi[[#This Row],[Colonne14]]),FALSE),""),"[hh]:mm"))</f>
        <v>#VALUE!</v>
      </c>
      <c r="AU298" s="172" t="str">
        <f>IFERROR(VLOOKUP(T_BilanSocial[[#This Row],[NumL]],T_TraitDi[#Data],COLUMN(T_TraitDi[[#This Row],[Mercredi]]),FALSE),"")</f>
        <v/>
      </c>
      <c r="AV298" s="172" t="e">
        <f>IF(VLOOKUP(T_BilanSocial[[#This Row],[NumL]],T_TraitDi[#Data],COLUMN(T_TraitDi[[#This Row],[Colonne15]]),FALSE)=0,"",TEXT(IFERROR(VLOOKUP(T_BilanSocial[[#This Row],[NumL]],T_TraitDi[#Data],COLUMN(T_TraitDi[[#This Row],[Colonne15]]),FALSE),""),"[hh]:mm"))</f>
        <v>#VALUE!</v>
      </c>
      <c r="AW298" s="172" t="e">
        <f>IF(VLOOKUP(T_BilanSocial[[#This Row],[NumL]],T_TraitDi[#Data],COLUMN(T_TraitDi[[#This Row],[Colonne16]]),FALSE)=0,"",TEXT(IFERROR(VLOOKUP(T_BilanSocial[[#This Row],[NumL]],T_TraitDi[#Data],COLUMN(T_TraitDi[[#This Row],[Colonne16]]),FALSE),""),"[hh]:mm"))</f>
        <v>#VALUE!</v>
      </c>
      <c r="AX298" s="172" t="str">
        <f>IFERROR(VLOOKUP(T_BilanSocial[[#This Row],[NumL]],T_TraitDi[#Data],COLUMN(T_TraitDi[[#This Row],[Colonne17]]),FALSE),"")</f>
        <v/>
      </c>
      <c r="AY298" s="172" t="e">
        <f>IF(VLOOKUP(T_BilanSocial[[#This Row],[NumL]],T_TraitDi[#Data],COLUMN(T_TraitDi[[#This Row],[Colonne18]]),FALSE)=0,"",TEXT(IFERROR(VLOOKUP(T_BilanSocial[[#This Row],[NumL]],T_TraitDi[#Data],COLUMN(T_TraitDi[[#This Row],[Colonne18]]),FALSE),""),"[hh]:mm"))</f>
        <v>#VALUE!</v>
      </c>
      <c r="AZ298" s="172" t="e">
        <f>IF(VLOOKUP(T_BilanSocial[[#This Row],[NumL]],T_TraitDi[#Data],COLUMN(T_TraitDi[[#This Row],[Colonne19]]),FALSE)=0,"",TEXT(IFERROR(VLOOKUP(T_BilanSocial[[#This Row],[NumL]],T_TraitDi[#Data],COLUMN(T_TraitDi[[#This Row],[Colonne19]]),FALSE),""),"[hh]:mm"))</f>
        <v>#VALUE!</v>
      </c>
      <c r="BA298" s="172" t="e">
        <f>IF(VLOOKUP(T_BilanSocial[[#This Row],[NumL]],T_TraitDi[#Data],COLUMN(T_TraitDi[[#This Row],[Colonne20]]),FALSE)=0,"",TEXT(IFERROR(VLOOKUP(T_BilanSocial[[#This Row],[NumL]],T_TraitDi[#Data],COLUMN(T_TraitDi[[#This Row],[Colonne20]]),FALSE),""),"[hh]:mm"))</f>
        <v>#VALUE!</v>
      </c>
      <c r="BB298" s="178" t="str">
        <f>IFERROR(VLOOKUP(T_BilanSocial[[#This Row],[NumL]],T_TraitDi[#Data],COLUMN(T_TraitDi[[#This Row],[Jeudi]]),FALSE),"")</f>
        <v/>
      </c>
      <c r="BC298" s="178" t="e">
        <f>IF(VLOOKUP(T_BilanSocial[[#This Row],[NumL]],T_TraitDi[#Data],COLUMN(T_TraitDi[[#This Row],[Colonne21]]),FALSE)=0,"",TEXT(IFERROR(VLOOKUP(T_BilanSocial[[#This Row],[NumL]],T_TraitDi[#Data],COLUMN(T_TraitDi[[#This Row],[Colonne21]]),FALSE),""),"[hh]:mm"))</f>
        <v>#VALUE!</v>
      </c>
      <c r="BD298" s="178" t="e">
        <f>IF(VLOOKUP(T_BilanSocial[[#This Row],[NumL]],T_TraitDi[#Data],COLUMN(T_TraitDi[[#This Row],[Colonne22]]),FALSE)=0,"",TEXT(IFERROR(VLOOKUP(T_BilanSocial[[#This Row],[NumL]],T_TraitDi[#Data],COLUMN(T_TraitDi[[#This Row],[Colonne22]]),FALSE),""),"[hh]:mm"))</f>
        <v>#VALUE!</v>
      </c>
      <c r="BE298" s="178" t="str">
        <f>IFERROR(VLOOKUP(T_BilanSocial[[#This Row],[NumL]],T_TraitDi[#Data],COLUMN(T_TraitDi[[#This Row],[Colonne23]]),FALSE),"")</f>
        <v/>
      </c>
      <c r="BF298" s="178" t="e">
        <f>IF(VLOOKUP(T_BilanSocial[[#This Row],[NumL]],T_TraitDi[#Data],COLUMN(T_TraitDi[[#This Row],[Colonne24]]),FALSE)=0,"",TEXT(IFERROR(VLOOKUP(T_BilanSocial[[#This Row],[NumL]],T_TraitDi[#Data],COLUMN(T_TraitDi[[#This Row],[Colonne24]]),FALSE),""),"[hh]:mm"))</f>
        <v>#VALUE!</v>
      </c>
      <c r="BG298" s="178" t="e">
        <f>IF(VLOOKUP(T_BilanSocial[[#This Row],[NumL]],T_TraitDi[#Data],COLUMN(T_TraitDi[[#This Row],[Colonne25]]),FALSE)=0,"",TEXT(IFERROR(VLOOKUP(T_BilanSocial[[#This Row],[NumL]],T_TraitDi[#Data],COLUMN(T_TraitDi[[#This Row],[Colonne25]]),FALSE),""),"[hh]:mm"))</f>
        <v>#VALUE!</v>
      </c>
      <c r="BH298" s="178" t="e">
        <f>IF(VLOOKUP(T_BilanSocial[[#This Row],[NumL]],T_TraitDi[#Data],COLUMN(T_TraitDi[[#This Row],[Colonne26]]),FALSE)=0,"",TEXT(IFERROR(VLOOKUP(T_BilanSocial[[#This Row],[NumL]],T_TraitDi[#Data],COLUMN(T_TraitDi[[#This Row],[Colonne26]]),FALSE),""),"[hh]:mm"))</f>
        <v>#VALUE!</v>
      </c>
      <c r="BI298" s="172" t="str">
        <f>IFERROR(VLOOKUP(T_BilanSocial[[#This Row],[NumL]],T_TraitDi[#Data],COLUMN(T_TraitDi[[#This Row],[Vendredi]]),FALSE),"")</f>
        <v/>
      </c>
      <c r="BJ298" s="172" t="e">
        <f>IF(VLOOKUP(T_BilanSocial[[#This Row],[NumL]],T_TraitDi[#Data],COLUMN(T_TraitDi[[#This Row],[Colonne27]]),FALSE)=0,"",TEXT(IFERROR(VLOOKUP(T_BilanSocial[[#This Row],[NumL]],T_TraitDi[#Data],COLUMN(T_TraitDi[[#This Row],[Colonne27]]),FALSE),""),"[hh]:mm"))</f>
        <v>#VALUE!</v>
      </c>
      <c r="BK298" s="172" t="e">
        <f>IF(VLOOKUP(T_BilanSocial[[#This Row],[NumL]],T_TraitDi[#Data],COLUMN(T_TraitDi[[#This Row],[Colonne28]]),FALSE)=0,"",TEXT(IFERROR(VLOOKUP(T_BilanSocial[[#This Row],[NumL]],T_TraitDi[#Data],COLUMN(T_TraitDi[[#This Row],[Colonne28]]),FALSE),""),"[hh]:mm"))</f>
        <v>#VALUE!</v>
      </c>
      <c r="BL298" s="172" t="str">
        <f>IFERROR(VLOOKUP(T_BilanSocial[[#This Row],[NumL]],T_TraitDi[#Data],COLUMN(T_TraitDi[[#This Row],[Colonne29]]),FALSE),"")</f>
        <v/>
      </c>
      <c r="BM298" s="172" t="e">
        <f>IF(VLOOKUP(T_BilanSocial[[#This Row],[NumL]],T_TraitDi[#Data],COLUMN(T_TraitDi[[#This Row],[Colonne30]]),FALSE)=0,"",TEXT(IFERROR(VLOOKUP(T_BilanSocial[[#This Row],[NumL]],T_TraitDi[#Data],COLUMN(T_TraitDi[[#This Row],[Colonne30]]),FALSE),""),"[hh]:mm"))</f>
        <v>#VALUE!</v>
      </c>
      <c r="BN298" s="172" t="e">
        <f>IF(VLOOKUP(T_BilanSocial[[#This Row],[NumL]],T_TraitDi[#Data],COLUMN(T_TraitDi[[#This Row],[Colonne31]]),FALSE)=0,"",TEXT(IFERROR(VLOOKUP(T_BilanSocial[[#This Row],[NumL]],T_TraitDi[#Data],COLUMN(T_TraitDi[[#This Row],[Colonne31]]),FALSE),""),"[hh]:mm"))</f>
        <v>#VALUE!</v>
      </c>
      <c r="BO298" s="172" t="e">
        <f>IF(VLOOKUP(T_BilanSocial[[#This Row],[NumL]],T_TraitDi[#Data],COLUMN(T_TraitDi[[#This Row],[Colonne32]]),FALSE)=0,"",TEXT(IFERROR(VLOOKUP(T_BilanSocial[[#This Row],[NumL]],T_TraitDi[#Data],COLUMN(T_TraitDi[[#This Row],[Colonne32]]),FALSE),""),"[hh]:mm"))</f>
        <v>#VALUE!</v>
      </c>
      <c r="BP298" s="172" t="e">
        <f>VLOOKUP(T_BilanSocial[[#This Row],[NumL]],T_TraitDi[#Data],COLUMN(T_TraitDi[NbJTot]),FALSE)</f>
        <v>#N/A</v>
      </c>
      <c r="BQ298" s="174" t="str">
        <f>IFERROR(VLOOKUP(T_BilanSocial[[#This Row],[NumL]],T_TraitDi[#Data],COLUMN(T_TraitDi[[#This Row],[NbJTW]]),FALSE),"")</f>
        <v/>
      </c>
      <c r="BR298" s="174" t="e">
        <f>IF(VLOOKUP(T_BilanSocial[[#This Row],[NumL]],T_TraitDi[#Data],COLUMN(T_TraitDi[[#This Row],[NbhTW]]),FALSE)=0,"",TEXT(IFERROR(VLOOKUP(T_BilanSocial[[#This Row],[NumL]],T_TraitDi[#Data],COLUMN(T_TraitDi[[#This Row],[NbhTW]]),FALSE),""),"[hh]:mm"))</f>
        <v>#VALUE!</v>
      </c>
      <c r="BS298" s="174" t="e">
        <f>IF(VLOOKUP(T_BilanSocial[[#This Row],[NumL]],T_TraitDi[#Data],COLUMN(T_TraitDi[[#This Row],[Nbhheb]]),FALSE)=0,"",TEXT(IFERROR(VLOOKUP($A298,T_TraitDi[#Data],COLUMN(T_TraitDi[[#This Row],[Nbhheb]]),FALSE),""),"[hh]:mm"))</f>
        <v>#VALUE!</v>
      </c>
      <c r="BT298" s="182" t="str">
        <f>IFERROR(VLOOKUP(VLOOKUP($A298,T_TraitDi[#Data],COLUMN(T_TraitDi[[#This Row],[Type1]]),FALSE),TypeTW,2,FALSE),"")</f>
        <v/>
      </c>
      <c r="BU298" s="182" t="str">
        <f>IFERROR(VLOOKUP($A298,T_TraitDi[#Data],COLUMN(T_TraitDi[[#This Row],[Rue1]]),FALSE),"")</f>
        <v/>
      </c>
      <c r="BV298" s="173" t="str">
        <f>IFERROR(VLOOKUP($A298,T_TraitDi[#Data],COLUMN(T_TraitDi[[#This Row],[CP1]]),FALSE),"")</f>
        <v/>
      </c>
      <c r="BW298" s="173" t="str">
        <f>IFERROR(VLOOKUP($A298,T_TraitDi[#Data],COLUMN(T_TraitDi[[#This Row],[VILLE1]]),FALSE),"")</f>
        <v/>
      </c>
      <c r="BX298" s="182" t="str">
        <f>IFERROR(VLOOKUP(VLOOKUP($A298,T_TraitDi[#Data],COLUMN(T_TraitDi[[#This Row],[Type2]]),FALSE),TypeTW,2,FALSE),"")</f>
        <v/>
      </c>
      <c r="BY298" s="182" t="str">
        <f>IFERROR(VLOOKUP($A298,T_TraitDi[#Data],COLUMN(T_TraitDi[[#This Row],[Rue2]]),FALSE),"")</f>
        <v/>
      </c>
      <c r="BZ298" s="173" t="str">
        <f>IFERROR(VLOOKUP($A298,T_TraitDi[#Data],COLUMN(T_TraitDi[[#This Row],[CP2]]),FALSE),"")</f>
        <v/>
      </c>
      <c r="CA298" s="173" t="str">
        <f>IFERROR(VLOOKUP($A298,T_TraitDi[#Data],COLUMN(T_TraitDi[[#This Row],[VILLE2]]),FALSE),"")</f>
        <v/>
      </c>
      <c r="CB298"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8" s="166" t="str">
        <f>IFERROR(IF(VLOOKUP(T_BilanSocial[[#This Row],[NumL]],T_TraitDi[#Data],COLUMN(T_TraitDi[[#This Row],[Plan]]),FALSE)="OK","Un planning spécifique de télétravail est annexé à la présente convention.",""),"")</f>
        <v/>
      </c>
      <c r="CD298" s="301"/>
      <c r="CE298" s="164" t="e">
        <f>IF(VLOOKUP(T_BilanSocial[[#This Row],[NumL]],T_suiviDi[#Data],COLUMN(T_suiviDi[[#This Row],[Entité]]),FALSE)="","",VLOOKUP(T_BilanSocial[[#This Row],[NumL]],T_suiviDi[#Data],COLUMN(T_suiviDi[[#This Row],[Entité]]),FALSE))</f>
        <v>#VALUE!</v>
      </c>
      <c r="CF298" s="164" t="str">
        <f>IF(VLOOKUP(T_BilanSocial[[#This Row],[NumL]],T_Commission[#Data],COLUMN(T_Commission[[#This Row],[envoi confirm TW]]),FALSE)="","",VLOOKUP(T_BilanSocial[[#This Row],[NumL]],T_Commission[#Data],COLUMN(T_Commission[[#This Row],[envoi confirm TW]]),FALSE))</f>
        <v>Oui</v>
      </c>
      <c r="CG29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8" s="339" t="str">
        <f>T_BilanSocial[[#This Row],[Nom]]&amp;T_BilanSocial[[#This Row],[Prenom]]</f>
        <v/>
      </c>
      <c r="CI298" s="339" t="str">
        <f>VLOOKUP(T_BilanSocial[[#This Row],[NumL]],T_Commission[#Data],COLUMN(T_Commission[Commentaire]),FALSE)</f>
        <v>Le télétravail est accordé pour 6 mois renouvelables sous réserve de l'avis du médecin de prévention.</v>
      </c>
      <c r="CJ298" s="339" t="str">
        <f>IF(VLOOKUP(T_BilanSocial[[#This Row],[NumL]],T_Commission[#Data],COLUMN(T_Commission[Encadrant Email]),FALSE)="","",VLOOKUP(T_BilanSocial[[#This Row],[NumL]],T_Commission[#Data],COLUMN(T_Commission[Encadrant Email]),FALSE))</f>
        <v/>
      </c>
      <c r="CK298" s="332" t="str">
        <f>IF(T_BilanSocial[[#This Row],[Final]]&lt;&gt;"",VLOOKUP(T_BilanSocial[[#This Row],[NumL]],T_suiviDi[#Data],COLUMN((T_suiviDi[Statut])),FALSE),"")</f>
        <v/>
      </c>
    </row>
    <row r="299" spans="1:89" s="50" customFormat="1" ht="21" customHeight="1" x14ac:dyDescent="0.25">
      <c r="A299" s="136">
        <v>296</v>
      </c>
      <c r="B299" s="330" t="str">
        <f t="shared" si="56"/>
        <v/>
      </c>
      <c r="C299" s="309"/>
      <c r="D299" s="95" t="e">
        <f>IF(VLOOKUP(T_BilanSocial[[#This Row],[NumL]],T_TraitDi[#Data],COLUMN(T_TraitDi[[#This Row],[WebC]]),FALSE)="","",VLOOKUP(T_BilanSocial[[#This Row],[NumL]],T_TraitDi[#Data],COLUMN(T_TraitDi[[#This Row],[WebC]]),FALSE))</f>
        <v>#VALUE!</v>
      </c>
      <c r="E299" s="95" t="str">
        <f t="shared" si="57"/>
        <v>12 janvier 2021</v>
      </c>
      <c r="F299" s="96" t="str">
        <f>IF(T_BilanSocial[[#This Row],[Final]]&lt;&gt;"",VLOOKUP(T_BilanSocial[[#This Row],[NumL]],T_suiviDi[#Data],COLUMN((T_suiviDi[Civ.])),FALSE),"")</f>
        <v/>
      </c>
      <c r="G299" s="96" t="str">
        <f>IF(T_BilanSocial[[#This Row],[Final]]&lt;&gt;"",VLOOKUP(T_BilanSocial[[#This Row],[NumL]],T_suiviDi[#Data],COLUMN((T_suiviDi[Nom])),FALSE),"")</f>
        <v/>
      </c>
      <c r="H299" s="96" t="str">
        <f>IF(T_BilanSocial[[#This Row],[Final]]&lt;&gt;"",VLOOKUP(T_BilanSocial[[#This Row],[NumL]],T_suiviDi[#Data],COLUMN((T_suiviDi[Prénom])),FALSE),"")</f>
        <v/>
      </c>
      <c r="I299" s="331" t="str">
        <f>IFERROR(VLOOKUP(T_BilanSocial[[#This Row],[Zone_Bilan]],T_P_BilanSocial[#Data],COLUMN(T_P_BilanSocial[[#This Row],[Numero_SIHAM]]),FALSE),"")</f>
        <v/>
      </c>
      <c r="J299" s="331" t="str">
        <f>IFERROR(VLOOKUP(T_BilanSocial[[#This Row],[Zone_Bilan]],T_P_BilanSocial[#Data],COLUMN(T_P_BilanSocial[[#This Row],[Sexe]]),FALSE),"")</f>
        <v/>
      </c>
      <c r="K299" s="294" t="str">
        <f>IFERROR(VLOOKUP(T_BilanSocial[[#This Row],[Zone_Bilan]],T_P_BilanSocial[#Data],COLUMN(T_P_BilanSocial[[#This Row],[Categorie]]),FALSE),"")</f>
        <v/>
      </c>
      <c r="L299" s="331" t="str">
        <f>IFERROR(VLOOKUP(T_BilanSocial[[#This Row],[Zone_Bilan]],T_P_BilanSocial[#Data],COLUMN(T_P_BilanSocial[[#This Row],[Statut]]),FALSE),"")</f>
        <v/>
      </c>
      <c r="M299" s="331" t="str">
        <f>IFERROR(VLOOKUP(T_BilanSocial[[#This Row],[Zone_Bilan]],T_P_BilanSocial[#Data],COLUMN(T_P_BilanSocial[[#This Row],[Filiere]]),FALSE),"")</f>
        <v/>
      </c>
      <c r="N299" s="331" t="str">
        <f>VLOOKUP(T_BilanSocial[[#This Row],[NumL]],T_TraitDi[#Data],COLUMN(T_TraitDi[EXP]),FALSE)</f>
        <v>N</v>
      </c>
      <c r="O299" s="331" t="str">
        <f>VLOOKUP(T_BilanSocial[[#This Row],[NumL]],T_TraitDi[#Data],COLUMN(T_TraitDi[FORM]),FALSE)</f>
        <v>N</v>
      </c>
      <c r="P299" s="96" t="str">
        <f>IF(T_BilanSocial[[#This Row],[Final]]&lt;&gt;"",VLOOKUP(T_BilanSocial[[#This Row],[NumL]],T_suiviDi[#Data],COLUMN((T_suiviDi[Email])),FALSE),"")</f>
        <v/>
      </c>
      <c r="Q299" s="96" t="str">
        <f t="shared" si="58"/>
        <v/>
      </c>
      <c r="R299" s="96" t="str">
        <f t="shared" si="59"/>
        <v>Gestionnaire financière</v>
      </c>
      <c r="S299" s="96" t="str">
        <f t="shared" si="55"/>
        <v/>
      </c>
      <c r="T299" s="96" t="str">
        <f t="shared" si="60"/>
        <v>01 septembre 2021</v>
      </c>
      <c r="U299" s="96" t="str">
        <f t="shared" si="61"/>
        <v>30 novembre 2021</v>
      </c>
      <c r="V299" s="97">
        <f t="shared" si="62"/>
        <v>44530</v>
      </c>
      <c r="W299" s="176" t="e">
        <f>IF(VLOOKUP(T_BilanSocial[[#This Row],[NumL]],T_TraitDi[#Data],COLUMN(T_TraitDi[[#This Row],[M1]]),FALSE)="","",VLOOKUP(T_BilanSocial[[#This Row],[NumL]],T_TraitDi[#Data],COLUMN(T_TraitDi[[#This Row],[M1]]),FALSE))</f>
        <v>#VALUE!</v>
      </c>
      <c r="X299" s="96" t="str">
        <f t="shared" si="63"/>
        <v xml:space="preserve"> - Gestion financière</v>
      </c>
      <c r="Y299" s="96" t="str">
        <f t="shared" si="63"/>
        <v xml:space="preserve"> - Suivis marchés </v>
      </c>
      <c r="Z299" s="96" t="str">
        <f t="shared" si="64"/>
        <v xml:space="preserve"> -Suivi des conventions</v>
      </c>
      <c r="AA299" s="176" t="e">
        <f>IF(VLOOKUP(T_BilanSocial[[#This Row],[NumL]],T_TraitDi[#Data],COLUMN(T_TraitDi[[#This Row],[M5]]),FALSE)="","",VLOOKUP(T_BilanSocial[[#This Row],[NumL]],T_TraitDi[#Data],COLUMN(T_TraitDi[[#This Row],[M5]]),FALSE))</f>
        <v>#VALUE!</v>
      </c>
      <c r="AB299" s="176" t="e">
        <f>IF(VLOOKUP(T_BilanSocial[[#This Row],[NumL]],T_TraitDi[#Data],COLUMN(T_TraitDi[[#This Row],[M6]]),FALSE)="","",VLOOKUP(T_BilanSocial[[#This Row],[NumL]],T_TraitDi[#Data],COLUMN(T_TraitDi[[#This Row],[M6]]),FALSE))</f>
        <v>#VALUE!</v>
      </c>
      <c r="AC299" s="96" t="e">
        <f t="shared" si="66"/>
        <v>#VALUE!</v>
      </c>
      <c r="AD299" s="97" t="str">
        <f t="shared" si="65"/>
        <v>100%</v>
      </c>
      <c r="AE299" s="294" t="e">
        <f>VLOOKUP(T_BilanSocial[[#This Row],[NumL]],T_TraitDi[#Data],COLUMN(T_TraitDi[[#This Row],[Reg Ponct]]),FALSE)</f>
        <v>#VALUE!</v>
      </c>
      <c r="AF299" s="294" t="e">
        <f>VLOOKUP(T_BilanSocial[NumL],T_TraitDi[#Data],COLUMN(T_TraitDi[[#This Row],[Jours flottants]]),FALSE)</f>
        <v>#VALUE!</v>
      </c>
      <c r="AG299" s="97" t="str">
        <f>IFERROR(VLOOKUP(T_BilanSocial[[#This Row],[NumL]],T_TraitDi[#Data],COLUMN(T_TraitDi[[#This Row],[Lundi]]),FALSE),"")</f>
        <v/>
      </c>
      <c r="AH299" s="172" t="e">
        <f>IF(VLOOKUP(T_BilanSocial[[#This Row],[NumL]],T_TraitDi[#Data],COLUMN(T_TraitDi[[#This Row],[Colonne3]]),FALSE)=0,"",TEXT(IFERROR(VLOOKUP(T_BilanSocial[[#This Row],[NumL]],T_TraitDi[#Data],COLUMN(T_TraitDi[[#This Row],[Colonne3]]),FALSE),""),"[hh]:mm"))</f>
        <v>#VALUE!</v>
      </c>
      <c r="AI299" s="172" t="e">
        <f>IF(VLOOKUP(T_BilanSocial[[#This Row],[NumL]],T_TraitDi[#Data],COLUMN(T_TraitDi[[#This Row],[Colonne4]]),FALSE)=0,"",TEXT(IFERROR(VLOOKUP(T_BilanSocial[[#This Row],[NumL]],T_TraitDi[#Data],COLUMN(T_TraitDi[[#This Row],[Colonne4]]),FALSE),""),"[hh]:mm"))</f>
        <v>#VALUE!</v>
      </c>
      <c r="AJ299" s="172" t="e">
        <f>IF(VLOOKUP(T_BilanSocial[[#This Row],[NumL]],T_TraitDi[#Data],COLUMN(T_TraitDi[[#This Row],[Colonne5]]),FALSE)=0,"",TEXT(IFERROR(VLOOKUP(T_BilanSocial[[#This Row],[NumL]],T_TraitDi[#Data],COLUMN(T_TraitDi[[#This Row],[Colonne5]]),FALSE),""),"[hh]:mm"))</f>
        <v>#VALUE!</v>
      </c>
      <c r="AK299" s="172" t="e">
        <f>IF(VLOOKUP(T_BilanSocial[[#This Row],[NumL]],T_TraitDi[#Data],COLUMN(T_TraitDi[[#This Row],[Colonne6]]),FALSE)=0,"",TEXT(IFERROR(VLOOKUP(T_BilanSocial[[#This Row],[NumL]],T_TraitDi[#Data],COLUMN(T_TraitDi[[#This Row],[Colonne6]]),FALSE),""),"[hh]:mm"))</f>
        <v>#VALUE!</v>
      </c>
      <c r="AL299" s="172" t="e">
        <f>IF(VLOOKUP(T_BilanSocial[[#This Row],[NumL]],T_TraitDi[#Data],COLUMN(T_TraitDi[[#This Row],[Colonne7]]),FALSE)=0,"",TEXT(IFERROR(VLOOKUP(T_BilanSocial[[#This Row],[NumL]],T_TraitDi[#Data],COLUMN(T_TraitDi[[#This Row],[Colonne7]]),FALSE),""),"[hh]:mm"))</f>
        <v>#VALUE!</v>
      </c>
      <c r="AM299" s="172" t="e">
        <f>IF(VLOOKUP(T_BilanSocial[[#This Row],[NumL]],T_TraitDi[#Data],COLUMN(T_TraitDi[[#This Row],[Colonne8]]),FALSE)=0,"",TEXT(IFERROR(VLOOKUP(T_BilanSocial[[#This Row],[NumL]],T_TraitDi[#Data],COLUMN(T_TraitDi[[#This Row],[Colonne8]]),FALSE),""),"[hh]:mm"))</f>
        <v>#VALUE!</v>
      </c>
      <c r="AN299" s="172" t="str">
        <f>IFERROR(VLOOKUP(T_BilanSocial[[#This Row],[NumL]],T_TraitDi[#Data],COLUMN(T_TraitDi[[#This Row],[Mardi]]),FALSE),"")</f>
        <v/>
      </c>
      <c r="AO299" s="172" t="e">
        <f>IF(VLOOKUP(T_BilanSocial[[#This Row],[NumL]],T_TraitDi[#Data],COLUMN(T_TraitDi[[#This Row],[Colonne1]]),FALSE)=0,"",TEXT(IFERROR(VLOOKUP(T_BilanSocial[[#This Row],[NumL]],T_TraitDi[#Data],COLUMN(T_TraitDi[[#This Row],[Colonne1]]),FALSE),""),"[hh]:mm"))</f>
        <v>#VALUE!</v>
      </c>
      <c r="AP299" s="172" t="e">
        <f>IF(VLOOKUP(T_BilanSocial[[#This Row],[NumL]],T_TraitDi[#Data],COLUMN(T_TraitDi[[#This Row],[Colonne9]]),FALSE)=0,"",TEXT(IFERROR(VLOOKUP(T_BilanSocial[[#This Row],[NumL]],T_TraitDi[#Data],COLUMN(T_TraitDi[[#This Row],[Colonne9]]),FALSE),""),"[hh]:mm"))</f>
        <v>#VALUE!</v>
      </c>
      <c r="AQ299" s="172" t="str">
        <f>IFERROR(VLOOKUP(T_BilanSocial[[#This Row],[NumL]],T_TraitDi[#Data],COLUMN(T_TraitDi[[#This Row],[Colonne10]]),FALSE),"")</f>
        <v/>
      </c>
      <c r="AR299" s="172" t="e">
        <f>IF(VLOOKUP(T_BilanSocial[[#This Row],[NumL]],T_TraitDi[#Data],COLUMN(T_TraitDi[[#This Row],[Colonne11]]),FALSE)=0,"",TEXT(IFERROR(VLOOKUP(T_BilanSocial[[#This Row],[NumL]],T_TraitDi[#Data],COLUMN(T_TraitDi[[#This Row],[Colonne11]]),FALSE),""),"[hh]:mm"))</f>
        <v>#VALUE!</v>
      </c>
      <c r="AS299" s="172" t="e">
        <f>IF(VLOOKUP(T_BilanSocial[[#This Row],[NumL]],T_TraitDi[#Data],COLUMN(T_TraitDi[[#This Row],[Colonne12]]),FALSE)=0,"",TEXT(IFERROR(VLOOKUP(T_BilanSocial[[#This Row],[NumL]],T_TraitDi[#Data],COLUMN(T_TraitDi[[#This Row],[Colonne12]]),FALSE),""),"[hh]:mm"))</f>
        <v>#VALUE!</v>
      </c>
      <c r="AT299" s="172" t="e">
        <f>IF(VLOOKUP(T_BilanSocial[[#This Row],[NumL]],T_TraitDi[#Data],COLUMN(T_TraitDi[[#This Row],[Colonne14]]),FALSE)=0,"",TEXT(IFERROR(VLOOKUP(T_BilanSocial[[#This Row],[NumL]],T_TraitDi[#Data],COLUMN(T_TraitDi[[#This Row],[Colonne14]]),FALSE),""),"[hh]:mm"))</f>
        <v>#VALUE!</v>
      </c>
      <c r="AU299" s="172" t="str">
        <f>IFERROR(VLOOKUP(T_BilanSocial[[#This Row],[NumL]],T_TraitDi[#Data],COLUMN(T_TraitDi[[#This Row],[Mercredi]]),FALSE),"")</f>
        <v/>
      </c>
      <c r="AV299" s="172" t="e">
        <f>IF(VLOOKUP(T_BilanSocial[[#This Row],[NumL]],T_TraitDi[#Data],COLUMN(T_TraitDi[[#This Row],[Colonne15]]),FALSE)=0,"",TEXT(IFERROR(VLOOKUP(T_BilanSocial[[#This Row],[NumL]],T_TraitDi[#Data],COLUMN(T_TraitDi[[#This Row],[Colonne15]]),FALSE),""),"[hh]:mm"))</f>
        <v>#VALUE!</v>
      </c>
      <c r="AW299" s="172" t="e">
        <f>IF(VLOOKUP(T_BilanSocial[[#This Row],[NumL]],T_TraitDi[#Data],COLUMN(T_TraitDi[[#This Row],[Colonne16]]),FALSE)=0,"",TEXT(IFERROR(VLOOKUP(T_BilanSocial[[#This Row],[NumL]],T_TraitDi[#Data],COLUMN(T_TraitDi[[#This Row],[Colonne16]]),FALSE),""),"[hh]:mm"))</f>
        <v>#VALUE!</v>
      </c>
      <c r="AX299" s="172" t="str">
        <f>IFERROR(VLOOKUP(T_BilanSocial[[#This Row],[NumL]],T_TraitDi[#Data],COLUMN(T_TraitDi[[#This Row],[Colonne17]]),FALSE),"")</f>
        <v/>
      </c>
      <c r="AY299" s="172" t="e">
        <f>IF(VLOOKUP(T_BilanSocial[[#This Row],[NumL]],T_TraitDi[#Data],COLUMN(T_TraitDi[[#This Row],[Colonne18]]),FALSE)=0,"",TEXT(IFERROR(VLOOKUP(T_BilanSocial[[#This Row],[NumL]],T_TraitDi[#Data],COLUMN(T_TraitDi[[#This Row],[Colonne18]]),FALSE),""),"[hh]:mm"))</f>
        <v>#VALUE!</v>
      </c>
      <c r="AZ299" s="172" t="e">
        <f>IF(VLOOKUP(T_BilanSocial[[#This Row],[NumL]],T_TraitDi[#Data],COLUMN(T_TraitDi[[#This Row],[Colonne19]]),FALSE)=0,"",TEXT(IFERROR(VLOOKUP(T_BilanSocial[[#This Row],[NumL]],T_TraitDi[#Data],COLUMN(T_TraitDi[[#This Row],[Colonne19]]),FALSE),""),"[hh]:mm"))</f>
        <v>#VALUE!</v>
      </c>
      <c r="BA299" s="172" t="e">
        <f>IF(VLOOKUP(T_BilanSocial[[#This Row],[NumL]],T_TraitDi[#Data],COLUMN(T_TraitDi[[#This Row],[Colonne20]]),FALSE)=0,"",TEXT(IFERROR(VLOOKUP(T_BilanSocial[[#This Row],[NumL]],T_TraitDi[#Data],COLUMN(T_TraitDi[[#This Row],[Colonne20]]),FALSE),""),"[hh]:mm"))</f>
        <v>#VALUE!</v>
      </c>
      <c r="BB299" s="178" t="str">
        <f>IFERROR(VLOOKUP(T_BilanSocial[[#This Row],[NumL]],T_TraitDi[#Data],COLUMN(T_TraitDi[[#This Row],[Jeudi]]),FALSE),"")</f>
        <v/>
      </c>
      <c r="BC299" s="178" t="e">
        <f>IF(VLOOKUP(T_BilanSocial[[#This Row],[NumL]],T_TraitDi[#Data],COLUMN(T_TraitDi[[#This Row],[Colonne21]]),FALSE)=0,"",TEXT(IFERROR(VLOOKUP(T_BilanSocial[[#This Row],[NumL]],T_TraitDi[#Data],COLUMN(T_TraitDi[[#This Row],[Colonne21]]),FALSE),""),"[hh]:mm"))</f>
        <v>#VALUE!</v>
      </c>
      <c r="BD299" s="178" t="e">
        <f>IF(VLOOKUP(T_BilanSocial[[#This Row],[NumL]],T_TraitDi[#Data],COLUMN(T_TraitDi[[#This Row],[Colonne22]]),FALSE)=0,"",TEXT(IFERROR(VLOOKUP(T_BilanSocial[[#This Row],[NumL]],T_TraitDi[#Data],COLUMN(T_TraitDi[[#This Row],[Colonne22]]),FALSE),""),"[hh]:mm"))</f>
        <v>#VALUE!</v>
      </c>
      <c r="BE299" s="178" t="str">
        <f>IFERROR(VLOOKUP(T_BilanSocial[[#This Row],[NumL]],T_TraitDi[#Data],COLUMN(T_TraitDi[[#This Row],[Colonne23]]),FALSE),"")</f>
        <v/>
      </c>
      <c r="BF299" s="178" t="e">
        <f>IF(VLOOKUP(T_BilanSocial[[#This Row],[NumL]],T_TraitDi[#Data],COLUMN(T_TraitDi[[#This Row],[Colonne24]]),FALSE)=0,"",TEXT(IFERROR(VLOOKUP(T_BilanSocial[[#This Row],[NumL]],T_TraitDi[#Data],COLUMN(T_TraitDi[[#This Row],[Colonne24]]),FALSE),""),"[hh]:mm"))</f>
        <v>#VALUE!</v>
      </c>
      <c r="BG299" s="178" t="e">
        <f>IF(VLOOKUP(T_BilanSocial[[#This Row],[NumL]],T_TraitDi[#Data],COLUMN(T_TraitDi[[#This Row],[Colonne25]]),FALSE)=0,"",TEXT(IFERROR(VLOOKUP(T_BilanSocial[[#This Row],[NumL]],T_TraitDi[#Data],COLUMN(T_TraitDi[[#This Row],[Colonne25]]),FALSE),""),"[hh]:mm"))</f>
        <v>#VALUE!</v>
      </c>
      <c r="BH299" s="178" t="e">
        <f>IF(VLOOKUP(T_BilanSocial[[#This Row],[NumL]],T_TraitDi[#Data],COLUMN(T_TraitDi[[#This Row],[Colonne26]]),FALSE)=0,"",TEXT(IFERROR(VLOOKUP(T_BilanSocial[[#This Row],[NumL]],T_TraitDi[#Data],COLUMN(T_TraitDi[[#This Row],[Colonne26]]),FALSE),""),"[hh]:mm"))</f>
        <v>#VALUE!</v>
      </c>
      <c r="BI299" s="172" t="str">
        <f>IFERROR(VLOOKUP(T_BilanSocial[[#This Row],[NumL]],T_TraitDi[#Data],COLUMN(T_TraitDi[[#This Row],[Vendredi]]),FALSE),"")</f>
        <v/>
      </c>
      <c r="BJ299" s="172" t="e">
        <f>IF(VLOOKUP(T_BilanSocial[[#This Row],[NumL]],T_TraitDi[#Data],COLUMN(T_TraitDi[[#This Row],[Colonne27]]),FALSE)=0,"",TEXT(IFERROR(VLOOKUP(T_BilanSocial[[#This Row],[NumL]],T_TraitDi[#Data],COLUMN(T_TraitDi[[#This Row],[Colonne27]]),FALSE),""),"[hh]:mm"))</f>
        <v>#VALUE!</v>
      </c>
      <c r="BK299" s="172" t="e">
        <f>IF(VLOOKUP(T_BilanSocial[[#This Row],[NumL]],T_TraitDi[#Data],COLUMN(T_TraitDi[[#This Row],[Colonne28]]),FALSE)=0,"",TEXT(IFERROR(VLOOKUP(T_BilanSocial[[#This Row],[NumL]],T_TraitDi[#Data],COLUMN(T_TraitDi[[#This Row],[Colonne28]]),FALSE),""),"[hh]:mm"))</f>
        <v>#VALUE!</v>
      </c>
      <c r="BL299" s="172" t="str">
        <f>IFERROR(VLOOKUP(T_BilanSocial[[#This Row],[NumL]],T_TraitDi[#Data],COLUMN(T_TraitDi[[#This Row],[Colonne29]]),FALSE),"")</f>
        <v/>
      </c>
      <c r="BM299" s="172" t="e">
        <f>IF(VLOOKUP(T_BilanSocial[[#This Row],[NumL]],T_TraitDi[#Data],COLUMN(T_TraitDi[[#This Row],[Colonne30]]),FALSE)=0,"",TEXT(IFERROR(VLOOKUP(T_BilanSocial[[#This Row],[NumL]],T_TraitDi[#Data],COLUMN(T_TraitDi[[#This Row],[Colonne30]]),FALSE),""),"[hh]:mm"))</f>
        <v>#VALUE!</v>
      </c>
      <c r="BN299" s="172" t="e">
        <f>IF(VLOOKUP(T_BilanSocial[[#This Row],[NumL]],T_TraitDi[#Data],COLUMN(T_TraitDi[[#This Row],[Colonne31]]),FALSE)=0,"",TEXT(IFERROR(VLOOKUP(T_BilanSocial[[#This Row],[NumL]],T_TraitDi[#Data],COLUMN(T_TraitDi[[#This Row],[Colonne31]]),FALSE),""),"[hh]:mm"))</f>
        <v>#VALUE!</v>
      </c>
      <c r="BO299" s="172" t="e">
        <f>IF(VLOOKUP(T_BilanSocial[[#This Row],[NumL]],T_TraitDi[#Data],COLUMN(T_TraitDi[[#This Row],[Colonne32]]),FALSE)=0,"",TEXT(IFERROR(VLOOKUP(T_BilanSocial[[#This Row],[NumL]],T_TraitDi[#Data],COLUMN(T_TraitDi[[#This Row],[Colonne32]]),FALSE),""),"[hh]:mm"))</f>
        <v>#VALUE!</v>
      </c>
      <c r="BP299" s="172">
        <f>VLOOKUP(T_BilanSocial[[#This Row],[NumL]],T_TraitDi[#Data],COLUMN(T_TraitDi[NbJTot]),FALSE)</f>
        <v>4.5</v>
      </c>
      <c r="BQ299" s="174" t="str">
        <f>IFERROR(VLOOKUP(T_BilanSocial[[#This Row],[NumL]],T_TraitDi[#Data],COLUMN(T_TraitDi[[#This Row],[NbJTW]]),FALSE),"")</f>
        <v/>
      </c>
      <c r="BR299" s="174" t="e">
        <f>IF(VLOOKUP(T_BilanSocial[[#This Row],[NumL]],T_TraitDi[#Data],COLUMN(T_TraitDi[[#This Row],[NbhTW]]),FALSE)=0,"",TEXT(IFERROR(VLOOKUP(T_BilanSocial[[#This Row],[NumL]],T_TraitDi[#Data],COLUMN(T_TraitDi[[#This Row],[NbhTW]]),FALSE),""),"[hh]:mm"))</f>
        <v>#VALUE!</v>
      </c>
      <c r="BS299" s="174" t="e">
        <f>IF(VLOOKUP(T_BilanSocial[[#This Row],[NumL]],T_TraitDi[#Data],COLUMN(T_TraitDi[[#This Row],[Nbhheb]]),FALSE)=0,"",TEXT(IFERROR(VLOOKUP($A299,T_TraitDi[#Data],COLUMN(T_TraitDi[[#This Row],[Nbhheb]]),FALSE),""),"[hh]:mm"))</f>
        <v>#VALUE!</v>
      </c>
      <c r="BT299" s="182" t="str">
        <f>IFERROR(VLOOKUP(VLOOKUP($A299,T_TraitDi[#Data],COLUMN(T_TraitDi[[#This Row],[Type1]]),FALSE),TypeTW,2,FALSE),"")</f>
        <v/>
      </c>
      <c r="BU299" s="182" t="str">
        <f>IFERROR(VLOOKUP($A299,T_TraitDi[#Data],COLUMN(T_TraitDi[[#This Row],[Rue1]]),FALSE),"")</f>
        <v/>
      </c>
      <c r="BV299" s="173" t="str">
        <f>IFERROR(VLOOKUP($A299,T_TraitDi[#Data],COLUMN(T_TraitDi[[#This Row],[CP1]]),FALSE),"")</f>
        <v/>
      </c>
      <c r="BW299" s="173" t="str">
        <f>IFERROR(VLOOKUP($A299,T_TraitDi[#Data],COLUMN(T_TraitDi[[#This Row],[VILLE1]]),FALSE),"")</f>
        <v/>
      </c>
      <c r="BX299" s="182" t="str">
        <f>IFERROR(VLOOKUP(VLOOKUP($A299,T_TraitDi[#Data],COLUMN(T_TraitDi[[#This Row],[Type2]]),FALSE),TypeTW,2,FALSE),"")</f>
        <v/>
      </c>
      <c r="BY299" s="182" t="str">
        <f>IFERROR(VLOOKUP($A299,T_TraitDi[#Data],COLUMN(T_TraitDi[[#This Row],[Rue2]]),FALSE),"")</f>
        <v/>
      </c>
      <c r="BZ299" s="173" t="str">
        <f>IFERROR(VLOOKUP($A299,T_TraitDi[#Data],COLUMN(T_TraitDi[[#This Row],[CP2]]),FALSE),"")</f>
        <v/>
      </c>
      <c r="CA299" s="173" t="str">
        <f>IFERROR(VLOOKUP($A299,T_TraitDi[#Data],COLUMN(T_TraitDi[[#This Row],[VILLE2]]),FALSE),"")</f>
        <v/>
      </c>
      <c r="CB299"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299" s="166" t="str">
        <f>IFERROR(IF(VLOOKUP(T_BilanSocial[[#This Row],[NumL]],T_TraitDi[#Data],COLUMN(T_TraitDi[[#This Row],[Plan]]),FALSE)="OK","Un planning spécifique de télétravail est annexé à la présente convention.",""),"")</f>
        <v/>
      </c>
      <c r="CD299" s="301"/>
      <c r="CE299" s="164" t="e">
        <f>IF(VLOOKUP(T_BilanSocial[[#This Row],[NumL]],T_suiviDi[#Data],COLUMN(T_suiviDi[[#This Row],[Entité]]),FALSE)="","",VLOOKUP(T_BilanSocial[[#This Row],[NumL]],T_suiviDi[#Data],COLUMN(T_suiviDi[[#This Row],[Entité]]),FALSE))</f>
        <v>#VALUE!</v>
      </c>
      <c r="CF299" s="164" t="str">
        <f>IF(VLOOKUP(T_BilanSocial[[#This Row],[NumL]],T_Commission[#Data],COLUMN(T_Commission[[#This Row],[envoi confirm TW]]),FALSE)="","",VLOOKUP(T_BilanSocial[[#This Row],[NumL]],T_Commission[#Data],COLUMN(T_Commission[[#This Row],[envoi confirm TW]]),FALSE))</f>
        <v>Oui</v>
      </c>
      <c r="CG29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299" s="339" t="str">
        <f>T_BilanSocial[[#This Row],[Nom]]&amp;T_BilanSocial[[#This Row],[Prenom]]</f>
        <v/>
      </c>
      <c r="CI299" s="339">
        <f>VLOOKUP(T_BilanSocial[[#This Row],[NumL]],T_Commission[#Data],COLUMN(T_Commission[Commentaire]),FALSE)</f>
        <v>0</v>
      </c>
      <c r="CJ299" s="339" t="str">
        <f>IF(VLOOKUP(T_BilanSocial[[#This Row],[NumL]],T_Commission[#Data],COLUMN(T_Commission[Encadrant Email]),FALSE)="","",VLOOKUP(T_BilanSocial[[#This Row],[NumL]],T_Commission[#Data],COLUMN(T_Commission[Encadrant Email]),FALSE))</f>
        <v/>
      </c>
      <c r="CK299" s="332" t="str">
        <f>IF(T_BilanSocial[[#This Row],[Final]]&lt;&gt;"",VLOOKUP(T_BilanSocial[[#This Row],[NumL]],T_suiviDi[#Data],COLUMN((T_suiviDi[Statut])),FALSE),"")</f>
        <v/>
      </c>
    </row>
    <row r="300" spans="1:89" s="50" customFormat="1" ht="21" customHeight="1" x14ac:dyDescent="0.25">
      <c r="A300" s="136">
        <v>297</v>
      </c>
      <c r="B300" s="330" t="e">
        <f t="shared" si="56"/>
        <v>#N/A</v>
      </c>
      <c r="C300" s="309"/>
      <c r="D300" s="95" t="e">
        <f>IF(VLOOKUP(T_BilanSocial[[#This Row],[NumL]],T_TraitDi[#Data],COLUMN(T_TraitDi[[#This Row],[WebC]]),FALSE)="","",VLOOKUP(T_BilanSocial[[#This Row],[NumL]],T_TraitDi[#Data],COLUMN(T_TraitDi[[#This Row],[WebC]]),FALSE))</f>
        <v>#VALUE!</v>
      </c>
      <c r="E300" s="95" t="str">
        <f t="shared" si="57"/>
        <v>12 janvier 2021</v>
      </c>
      <c r="F300" s="96" t="e">
        <f>IF(T_BilanSocial[[#This Row],[Final]]&lt;&gt;"",VLOOKUP(T_BilanSocial[[#This Row],[NumL]],T_suiviDi[#Data],COLUMN((T_suiviDi[Civ.])),FALSE),"")</f>
        <v>#N/A</v>
      </c>
      <c r="G300" s="96" t="e">
        <f>IF(T_BilanSocial[[#This Row],[Final]]&lt;&gt;"",VLOOKUP(T_BilanSocial[[#This Row],[NumL]],T_suiviDi[#Data],COLUMN((T_suiviDi[Nom])),FALSE),"")</f>
        <v>#N/A</v>
      </c>
      <c r="H300" s="96" t="e">
        <f>IF(T_BilanSocial[[#This Row],[Final]]&lt;&gt;"",VLOOKUP(T_BilanSocial[[#This Row],[NumL]],T_suiviDi[#Data],COLUMN((T_suiviDi[Prénom])),FALSE),"")</f>
        <v>#N/A</v>
      </c>
      <c r="I300" s="331" t="str">
        <f>IFERROR(VLOOKUP(T_BilanSocial[[#This Row],[Zone_Bilan]],T_P_BilanSocial[#Data],COLUMN(T_P_BilanSocial[[#This Row],[Numero_SIHAM]]),FALSE),"")</f>
        <v/>
      </c>
      <c r="J300" s="331" t="str">
        <f>IFERROR(VLOOKUP(T_BilanSocial[[#This Row],[Zone_Bilan]],T_P_BilanSocial[#Data],COLUMN(T_P_BilanSocial[[#This Row],[Sexe]]),FALSE),"")</f>
        <v/>
      </c>
      <c r="K300" s="294" t="str">
        <f>IFERROR(VLOOKUP(T_BilanSocial[[#This Row],[Zone_Bilan]],T_P_BilanSocial[#Data],COLUMN(T_P_BilanSocial[[#This Row],[Categorie]]),FALSE),"")</f>
        <v/>
      </c>
      <c r="L300" s="331" t="str">
        <f>IFERROR(VLOOKUP(T_BilanSocial[[#This Row],[Zone_Bilan]],T_P_BilanSocial[#Data],COLUMN(T_P_BilanSocial[[#This Row],[Statut]]),FALSE),"")</f>
        <v/>
      </c>
      <c r="M300" s="331" t="str">
        <f>IFERROR(VLOOKUP(T_BilanSocial[[#This Row],[Zone_Bilan]],T_P_BilanSocial[#Data],COLUMN(T_P_BilanSocial[[#This Row],[Filiere]]),FALSE),"")</f>
        <v/>
      </c>
      <c r="N300" s="331" t="e">
        <f>VLOOKUP(T_BilanSocial[[#This Row],[NumL]],T_TraitDi[#Data],COLUMN(T_TraitDi[EXP]),FALSE)</f>
        <v>#N/A</v>
      </c>
      <c r="O300" s="331" t="e">
        <f>VLOOKUP(T_BilanSocial[[#This Row],[NumL]],T_TraitDi[#Data],COLUMN(T_TraitDi[FORM]),FALSE)</f>
        <v>#N/A</v>
      </c>
      <c r="P300" s="96" t="e">
        <f>IF(T_BilanSocial[[#This Row],[Final]]&lt;&gt;"",VLOOKUP(T_BilanSocial[[#This Row],[NumL]],T_suiviDi[#Data],COLUMN((T_suiviDi[Email])),FALSE),"")</f>
        <v>#N/A</v>
      </c>
      <c r="Q300" s="96" t="e">
        <f t="shared" si="58"/>
        <v>#N/A</v>
      </c>
      <c r="R300" s="96" t="e">
        <f t="shared" si="59"/>
        <v>#N/A</v>
      </c>
      <c r="S300" s="96" t="str">
        <f t="shared" si="55"/>
        <v/>
      </c>
      <c r="T300" s="96" t="str">
        <f t="shared" si="60"/>
        <v>01 septembre 2021</v>
      </c>
      <c r="U300" s="96" t="str">
        <f t="shared" si="61"/>
        <v>30 novembre 2021</v>
      </c>
      <c r="V300" s="97">
        <f t="shared" si="62"/>
        <v>44530</v>
      </c>
      <c r="W300" s="176" t="e">
        <f>IF(VLOOKUP(T_BilanSocial[[#This Row],[NumL]],T_TraitDi[#Data],COLUMN(T_TraitDi[[#This Row],[M1]]),FALSE)="","",VLOOKUP(T_BilanSocial[[#This Row],[NumL]],T_TraitDi[#Data],COLUMN(T_TraitDi[[#This Row],[M1]]),FALSE))</f>
        <v>#VALUE!</v>
      </c>
      <c r="X300" s="96" t="str">
        <f t="shared" si="63"/>
        <v/>
      </c>
      <c r="Y300" s="96" t="str">
        <f t="shared" si="63"/>
        <v/>
      </c>
      <c r="Z300" s="96" t="str">
        <f t="shared" si="64"/>
        <v/>
      </c>
      <c r="AA300" s="176" t="e">
        <f>IF(VLOOKUP(T_BilanSocial[[#This Row],[NumL]],T_TraitDi[#Data],COLUMN(T_TraitDi[[#This Row],[M5]]),FALSE)="","",VLOOKUP(T_BilanSocial[[#This Row],[NumL]],T_TraitDi[#Data],COLUMN(T_TraitDi[[#This Row],[M5]]),FALSE))</f>
        <v>#VALUE!</v>
      </c>
      <c r="AB300" s="176" t="e">
        <f>IF(VLOOKUP(T_BilanSocial[[#This Row],[NumL]],T_TraitDi[#Data],COLUMN(T_TraitDi[[#This Row],[M6]]),FALSE)="","",VLOOKUP(T_BilanSocial[[#This Row],[NumL]],T_TraitDi[#Data],COLUMN(T_TraitDi[[#This Row],[M6]]),FALSE))</f>
        <v>#VALUE!</v>
      </c>
      <c r="AC300" s="96" t="e">
        <f t="shared" si="66"/>
        <v>#VALUE!</v>
      </c>
      <c r="AD300" s="97" t="str">
        <f t="shared" si="65"/>
        <v/>
      </c>
      <c r="AE300" s="294" t="e">
        <f>VLOOKUP(T_BilanSocial[[#This Row],[NumL]],T_TraitDi[#Data],COLUMN(T_TraitDi[[#This Row],[Reg Ponct]]),FALSE)</f>
        <v>#VALUE!</v>
      </c>
      <c r="AF300" s="294" t="e">
        <f>VLOOKUP(T_BilanSocial[NumL],T_TraitDi[#Data],COLUMN(T_TraitDi[[#This Row],[Jours flottants]]),FALSE)</f>
        <v>#VALUE!</v>
      </c>
      <c r="AG300" s="97" t="str">
        <f>IFERROR(VLOOKUP(T_BilanSocial[[#This Row],[NumL]],T_TraitDi[#Data],COLUMN(T_TraitDi[[#This Row],[Lundi]]),FALSE),"")</f>
        <v/>
      </c>
      <c r="AH300" s="172" t="e">
        <f>IF(VLOOKUP(T_BilanSocial[[#This Row],[NumL]],T_TraitDi[#Data],COLUMN(T_TraitDi[[#This Row],[Colonne3]]),FALSE)=0,"",TEXT(IFERROR(VLOOKUP(T_BilanSocial[[#This Row],[NumL]],T_TraitDi[#Data],COLUMN(T_TraitDi[[#This Row],[Colonne3]]),FALSE),""),"[hh]:mm"))</f>
        <v>#VALUE!</v>
      </c>
      <c r="AI300" s="172" t="e">
        <f>IF(VLOOKUP(T_BilanSocial[[#This Row],[NumL]],T_TraitDi[#Data],COLUMN(T_TraitDi[[#This Row],[Colonne4]]),FALSE)=0,"",TEXT(IFERROR(VLOOKUP(T_BilanSocial[[#This Row],[NumL]],T_TraitDi[#Data],COLUMN(T_TraitDi[[#This Row],[Colonne4]]),FALSE),""),"[hh]:mm"))</f>
        <v>#VALUE!</v>
      </c>
      <c r="AJ300" s="172" t="e">
        <f>IF(VLOOKUP(T_BilanSocial[[#This Row],[NumL]],T_TraitDi[#Data],COLUMN(T_TraitDi[[#This Row],[Colonne5]]),FALSE)=0,"",TEXT(IFERROR(VLOOKUP(T_BilanSocial[[#This Row],[NumL]],T_TraitDi[#Data],COLUMN(T_TraitDi[[#This Row],[Colonne5]]),FALSE),""),"[hh]:mm"))</f>
        <v>#VALUE!</v>
      </c>
      <c r="AK300" s="172" t="e">
        <f>IF(VLOOKUP(T_BilanSocial[[#This Row],[NumL]],T_TraitDi[#Data],COLUMN(T_TraitDi[[#This Row],[Colonne6]]),FALSE)=0,"",TEXT(IFERROR(VLOOKUP(T_BilanSocial[[#This Row],[NumL]],T_TraitDi[#Data],COLUMN(T_TraitDi[[#This Row],[Colonne6]]),FALSE),""),"[hh]:mm"))</f>
        <v>#VALUE!</v>
      </c>
      <c r="AL300" s="172" t="e">
        <f>IF(VLOOKUP(T_BilanSocial[[#This Row],[NumL]],T_TraitDi[#Data],COLUMN(T_TraitDi[[#This Row],[Colonne7]]),FALSE)=0,"",TEXT(IFERROR(VLOOKUP(T_BilanSocial[[#This Row],[NumL]],T_TraitDi[#Data],COLUMN(T_TraitDi[[#This Row],[Colonne7]]),FALSE),""),"[hh]:mm"))</f>
        <v>#VALUE!</v>
      </c>
      <c r="AM300" s="172" t="e">
        <f>IF(VLOOKUP(T_BilanSocial[[#This Row],[NumL]],T_TraitDi[#Data],COLUMN(T_TraitDi[[#This Row],[Colonne8]]),FALSE)=0,"",TEXT(IFERROR(VLOOKUP(T_BilanSocial[[#This Row],[NumL]],T_TraitDi[#Data],COLUMN(T_TraitDi[[#This Row],[Colonne8]]),FALSE),""),"[hh]:mm"))</f>
        <v>#VALUE!</v>
      </c>
      <c r="AN300" s="172" t="str">
        <f>IFERROR(VLOOKUP(T_BilanSocial[[#This Row],[NumL]],T_TraitDi[#Data],COLUMN(T_TraitDi[[#This Row],[Mardi]]),FALSE),"")</f>
        <v/>
      </c>
      <c r="AO300" s="172" t="e">
        <f>IF(VLOOKUP(T_BilanSocial[[#This Row],[NumL]],T_TraitDi[#Data],COLUMN(T_TraitDi[[#This Row],[Colonne1]]),FALSE)=0,"",TEXT(IFERROR(VLOOKUP(T_BilanSocial[[#This Row],[NumL]],T_TraitDi[#Data],COLUMN(T_TraitDi[[#This Row],[Colonne1]]),FALSE),""),"[hh]:mm"))</f>
        <v>#VALUE!</v>
      </c>
      <c r="AP300" s="172" t="e">
        <f>IF(VLOOKUP(T_BilanSocial[[#This Row],[NumL]],T_TraitDi[#Data],COLUMN(T_TraitDi[[#This Row],[Colonne9]]),FALSE)=0,"",TEXT(IFERROR(VLOOKUP(T_BilanSocial[[#This Row],[NumL]],T_TraitDi[#Data],COLUMN(T_TraitDi[[#This Row],[Colonne9]]),FALSE),""),"[hh]:mm"))</f>
        <v>#VALUE!</v>
      </c>
      <c r="AQ300" s="172" t="str">
        <f>IFERROR(VLOOKUP(T_BilanSocial[[#This Row],[NumL]],T_TraitDi[#Data],COLUMN(T_TraitDi[[#This Row],[Colonne10]]),FALSE),"")</f>
        <v/>
      </c>
      <c r="AR300" s="172" t="e">
        <f>IF(VLOOKUP(T_BilanSocial[[#This Row],[NumL]],T_TraitDi[#Data],COLUMN(T_TraitDi[[#This Row],[Colonne11]]),FALSE)=0,"",TEXT(IFERROR(VLOOKUP(T_BilanSocial[[#This Row],[NumL]],T_TraitDi[#Data],COLUMN(T_TraitDi[[#This Row],[Colonne11]]),FALSE),""),"[hh]:mm"))</f>
        <v>#VALUE!</v>
      </c>
      <c r="AS300" s="172" t="e">
        <f>IF(VLOOKUP(T_BilanSocial[[#This Row],[NumL]],T_TraitDi[#Data],COLUMN(T_TraitDi[[#This Row],[Colonne12]]),FALSE)=0,"",TEXT(IFERROR(VLOOKUP(T_BilanSocial[[#This Row],[NumL]],T_TraitDi[#Data],COLUMN(T_TraitDi[[#This Row],[Colonne12]]),FALSE),""),"[hh]:mm"))</f>
        <v>#VALUE!</v>
      </c>
      <c r="AT300" s="172" t="e">
        <f>IF(VLOOKUP(T_BilanSocial[[#This Row],[NumL]],T_TraitDi[#Data],COLUMN(T_TraitDi[[#This Row],[Colonne14]]),FALSE)=0,"",TEXT(IFERROR(VLOOKUP(T_BilanSocial[[#This Row],[NumL]],T_TraitDi[#Data],COLUMN(T_TraitDi[[#This Row],[Colonne14]]),FALSE),""),"[hh]:mm"))</f>
        <v>#VALUE!</v>
      </c>
      <c r="AU300" s="172" t="str">
        <f>IFERROR(VLOOKUP(T_BilanSocial[[#This Row],[NumL]],T_TraitDi[#Data],COLUMN(T_TraitDi[[#This Row],[Mercredi]]),FALSE),"")</f>
        <v/>
      </c>
      <c r="AV300" s="172" t="e">
        <f>IF(VLOOKUP(T_BilanSocial[[#This Row],[NumL]],T_TraitDi[#Data],COLUMN(T_TraitDi[[#This Row],[Colonne15]]),FALSE)=0,"",TEXT(IFERROR(VLOOKUP(T_BilanSocial[[#This Row],[NumL]],T_TraitDi[#Data],COLUMN(T_TraitDi[[#This Row],[Colonne15]]),FALSE),""),"[hh]:mm"))</f>
        <v>#VALUE!</v>
      </c>
      <c r="AW300" s="172" t="e">
        <f>IF(VLOOKUP(T_BilanSocial[[#This Row],[NumL]],T_TraitDi[#Data],COLUMN(T_TraitDi[[#This Row],[Colonne16]]),FALSE)=0,"",TEXT(IFERROR(VLOOKUP(T_BilanSocial[[#This Row],[NumL]],T_TraitDi[#Data],COLUMN(T_TraitDi[[#This Row],[Colonne16]]),FALSE),""),"[hh]:mm"))</f>
        <v>#VALUE!</v>
      </c>
      <c r="AX300" s="172" t="str">
        <f>IFERROR(VLOOKUP(T_BilanSocial[[#This Row],[NumL]],T_TraitDi[#Data],COLUMN(T_TraitDi[[#This Row],[Colonne17]]),FALSE),"")</f>
        <v/>
      </c>
      <c r="AY300" s="172" t="e">
        <f>IF(VLOOKUP(T_BilanSocial[[#This Row],[NumL]],T_TraitDi[#Data],COLUMN(T_TraitDi[[#This Row],[Colonne18]]),FALSE)=0,"",TEXT(IFERROR(VLOOKUP(T_BilanSocial[[#This Row],[NumL]],T_TraitDi[#Data],COLUMN(T_TraitDi[[#This Row],[Colonne18]]),FALSE),""),"[hh]:mm"))</f>
        <v>#VALUE!</v>
      </c>
      <c r="AZ300" s="172" t="e">
        <f>IF(VLOOKUP(T_BilanSocial[[#This Row],[NumL]],T_TraitDi[#Data],COLUMN(T_TraitDi[[#This Row],[Colonne19]]),FALSE)=0,"",TEXT(IFERROR(VLOOKUP(T_BilanSocial[[#This Row],[NumL]],T_TraitDi[#Data],COLUMN(T_TraitDi[[#This Row],[Colonne19]]),FALSE),""),"[hh]:mm"))</f>
        <v>#VALUE!</v>
      </c>
      <c r="BA300" s="172" t="e">
        <f>IF(VLOOKUP(T_BilanSocial[[#This Row],[NumL]],T_TraitDi[#Data],COLUMN(T_TraitDi[[#This Row],[Colonne20]]),FALSE)=0,"",TEXT(IFERROR(VLOOKUP(T_BilanSocial[[#This Row],[NumL]],T_TraitDi[#Data],COLUMN(T_TraitDi[[#This Row],[Colonne20]]),FALSE),""),"[hh]:mm"))</f>
        <v>#VALUE!</v>
      </c>
      <c r="BB300" s="178" t="str">
        <f>IFERROR(VLOOKUP(T_BilanSocial[[#This Row],[NumL]],T_TraitDi[#Data],COLUMN(T_TraitDi[[#This Row],[Jeudi]]),FALSE),"")</f>
        <v/>
      </c>
      <c r="BC300" s="178" t="e">
        <f>IF(VLOOKUP(T_BilanSocial[[#This Row],[NumL]],T_TraitDi[#Data],COLUMN(T_TraitDi[[#This Row],[Colonne21]]),FALSE)=0,"",TEXT(IFERROR(VLOOKUP(T_BilanSocial[[#This Row],[NumL]],T_TraitDi[#Data],COLUMN(T_TraitDi[[#This Row],[Colonne21]]),FALSE),""),"[hh]:mm"))</f>
        <v>#VALUE!</v>
      </c>
      <c r="BD300" s="178" t="e">
        <f>IF(VLOOKUP(T_BilanSocial[[#This Row],[NumL]],T_TraitDi[#Data],COLUMN(T_TraitDi[[#This Row],[Colonne22]]),FALSE)=0,"",TEXT(IFERROR(VLOOKUP(T_BilanSocial[[#This Row],[NumL]],T_TraitDi[#Data],COLUMN(T_TraitDi[[#This Row],[Colonne22]]),FALSE),""),"[hh]:mm"))</f>
        <v>#VALUE!</v>
      </c>
      <c r="BE300" s="178" t="str">
        <f>IFERROR(VLOOKUP(T_BilanSocial[[#This Row],[NumL]],T_TraitDi[#Data],COLUMN(T_TraitDi[[#This Row],[Colonne23]]),FALSE),"")</f>
        <v/>
      </c>
      <c r="BF300" s="178" t="e">
        <f>IF(VLOOKUP(T_BilanSocial[[#This Row],[NumL]],T_TraitDi[#Data],COLUMN(T_TraitDi[[#This Row],[Colonne24]]),FALSE)=0,"",TEXT(IFERROR(VLOOKUP(T_BilanSocial[[#This Row],[NumL]],T_TraitDi[#Data],COLUMN(T_TraitDi[[#This Row],[Colonne24]]),FALSE),""),"[hh]:mm"))</f>
        <v>#VALUE!</v>
      </c>
      <c r="BG300" s="178" t="e">
        <f>IF(VLOOKUP(T_BilanSocial[[#This Row],[NumL]],T_TraitDi[#Data],COLUMN(T_TraitDi[[#This Row],[Colonne25]]),FALSE)=0,"",TEXT(IFERROR(VLOOKUP(T_BilanSocial[[#This Row],[NumL]],T_TraitDi[#Data],COLUMN(T_TraitDi[[#This Row],[Colonne25]]),FALSE),""),"[hh]:mm"))</f>
        <v>#VALUE!</v>
      </c>
      <c r="BH300" s="178" t="e">
        <f>IF(VLOOKUP(T_BilanSocial[[#This Row],[NumL]],T_TraitDi[#Data],COLUMN(T_TraitDi[[#This Row],[Colonne26]]),FALSE)=0,"",TEXT(IFERROR(VLOOKUP(T_BilanSocial[[#This Row],[NumL]],T_TraitDi[#Data],COLUMN(T_TraitDi[[#This Row],[Colonne26]]),FALSE),""),"[hh]:mm"))</f>
        <v>#VALUE!</v>
      </c>
      <c r="BI300" s="172" t="str">
        <f>IFERROR(VLOOKUP(T_BilanSocial[[#This Row],[NumL]],T_TraitDi[#Data],COLUMN(T_TraitDi[[#This Row],[Vendredi]]),FALSE),"")</f>
        <v/>
      </c>
      <c r="BJ300" s="172" t="e">
        <f>IF(VLOOKUP(T_BilanSocial[[#This Row],[NumL]],T_TraitDi[#Data],COLUMN(T_TraitDi[[#This Row],[Colonne27]]),FALSE)=0,"",TEXT(IFERROR(VLOOKUP(T_BilanSocial[[#This Row],[NumL]],T_TraitDi[#Data],COLUMN(T_TraitDi[[#This Row],[Colonne27]]),FALSE),""),"[hh]:mm"))</f>
        <v>#VALUE!</v>
      </c>
      <c r="BK300" s="172" t="e">
        <f>IF(VLOOKUP(T_BilanSocial[[#This Row],[NumL]],T_TraitDi[#Data],COLUMN(T_TraitDi[[#This Row],[Colonne28]]),FALSE)=0,"",TEXT(IFERROR(VLOOKUP(T_BilanSocial[[#This Row],[NumL]],T_TraitDi[#Data],COLUMN(T_TraitDi[[#This Row],[Colonne28]]),FALSE),""),"[hh]:mm"))</f>
        <v>#VALUE!</v>
      </c>
      <c r="BL300" s="172" t="str">
        <f>IFERROR(VLOOKUP(T_BilanSocial[[#This Row],[NumL]],T_TraitDi[#Data],COLUMN(T_TraitDi[[#This Row],[Colonne29]]),FALSE),"")</f>
        <v/>
      </c>
      <c r="BM300" s="172" t="e">
        <f>IF(VLOOKUP(T_BilanSocial[[#This Row],[NumL]],T_TraitDi[#Data],COLUMN(T_TraitDi[[#This Row],[Colonne30]]),FALSE)=0,"",TEXT(IFERROR(VLOOKUP(T_BilanSocial[[#This Row],[NumL]],T_TraitDi[#Data],COLUMN(T_TraitDi[[#This Row],[Colonne30]]),FALSE),""),"[hh]:mm"))</f>
        <v>#VALUE!</v>
      </c>
      <c r="BN300" s="172" t="e">
        <f>IF(VLOOKUP(T_BilanSocial[[#This Row],[NumL]],T_TraitDi[#Data],COLUMN(T_TraitDi[[#This Row],[Colonne31]]),FALSE)=0,"",TEXT(IFERROR(VLOOKUP(T_BilanSocial[[#This Row],[NumL]],T_TraitDi[#Data],COLUMN(T_TraitDi[[#This Row],[Colonne31]]),FALSE),""),"[hh]:mm"))</f>
        <v>#VALUE!</v>
      </c>
      <c r="BO300" s="172" t="e">
        <f>IF(VLOOKUP(T_BilanSocial[[#This Row],[NumL]],T_TraitDi[#Data],COLUMN(T_TraitDi[[#This Row],[Colonne32]]),FALSE)=0,"",TEXT(IFERROR(VLOOKUP(T_BilanSocial[[#This Row],[NumL]],T_TraitDi[#Data],COLUMN(T_TraitDi[[#This Row],[Colonne32]]),FALSE),""),"[hh]:mm"))</f>
        <v>#VALUE!</v>
      </c>
      <c r="BP300" s="172" t="e">
        <f>VLOOKUP(T_BilanSocial[[#This Row],[NumL]],T_TraitDi[#Data],COLUMN(T_TraitDi[NbJTot]),FALSE)</f>
        <v>#N/A</v>
      </c>
      <c r="BQ300" s="174" t="str">
        <f>IFERROR(VLOOKUP(T_BilanSocial[[#This Row],[NumL]],T_TraitDi[#Data],COLUMN(T_TraitDi[[#This Row],[NbJTW]]),FALSE),"")</f>
        <v/>
      </c>
      <c r="BR300" s="174" t="e">
        <f>IF(VLOOKUP(T_BilanSocial[[#This Row],[NumL]],T_TraitDi[#Data],COLUMN(T_TraitDi[[#This Row],[NbhTW]]),FALSE)=0,"",TEXT(IFERROR(VLOOKUP(T_BilanSocial[[#This Row],[NumL]],T_TraitDi[#Data],COLUMN(T_TraitDi[[#This Row],[NbhTW]]),FALSE),""),"[hh]:mm"))</f>
        <v>#VALUE!</v>
      </c>
      <c r="BS300" s="174" t="e">
        <f>IF(VLOOKUP(T_BilanSocial[[#This Row],[NumL]],T_TraitDi[#Data],COLUMN(T_TraitDi[[#This Row],[Nbhheb]]),FALSE)=0,"",TEXT(IFERROR(VLOOKUP($A300,T_TraitDi[#Data],COLUMN(T_TraitDi[[#This Row],[Nbhheb]]),FALSE),""),"[hh]:mm"))</f>
        <v>#VALUE!</v>
      </c>
      <c r="BT300" s="182" t="str">
        <f>IFERROR(VLOOKUP(VLOOKUP($A300,T_TraitDi[#Data],COLUMN(T_TraitDi[[#This Row],[Type1]]),FALSE),TypeTW,2,FALSE),"")</f>
        <v/>
      </c>
      <c r="BU300" s="182" t="str">
        <f>IFERROR(VLOOKUP($A300,T_TraitDi[#Data],COLUMN(T_TraitDi[[#This Row],[Rue1]]),FALSE),"")</f>
        <v/>
      </c>
      <c r="BV300" s="173" t="str">
        <f>IFERROR(VLOOKUP($A300,T_TraitDi[#Data],COLUMN(T_TraitDi[[#This Row],[CP1]]),FALSE),"")</f>
        <v/>
      </c>
      <c r="BW300" s="173" t="str">
        <f>IFERROR(VLOOKUP($A300,T_TraitDi[#Data],COLUMN(T_TraitDi[[#This Row],[VILLE1]]),FALSE),"")</f>
        <v/>
      </c>
      <c r="BX300" s="182" t="str">
        <f>IFERROR(VLOOKUP(VLOOKUP($A300,T_TraitDi[#Data],COLUMN(T_TraitDi[[#This Row],[Type2]]),FALSE),TypeTW,2,FALSE),"")</f>
        <v/>
      </c>
      <c r="BY300" s="182" t="str">
        <f>IFERROR(VLOOKUP($A300,T_TraitDi[#Data],COLUMN(T_TraitDi[[#This Row],[Rue2]]),FALSE),"")</f>
        <v/>
      </c>
      <c r="BZ300" s="173" t="str">
        <f>IFERROR(VLOOKUP($A300,T_TraitDi[#Data],COLUMN(T_TraitDi[[#This Row],[CP2]]),FALSE),"")</f>
        <v/>
      </c>
      <c r="CA300" s="173" t="str">
        <f>IFERROR(VLOOKUP($A300,T_TraitDi[#Data],COLUMN(T_TraitDi[[#This Row],[VILLE2]]),FALSE),"")</f>
        <v/>
      </c>
      <c r="CB300" s="182" t="e">
        <f>IF(VLOOKUP(T_BilanSocial[[#This Row],[NumL]],T_Equipement[#Data],COLUMN(T_Equipement[[#This Row],[PC]]),FALSE)="","Aucun équipement spécifique directement lié au télétravail",VLOOKUP(T_BilanSocial[[#This Row],[NumL]],T_Equipement[#Data],COLUMN(T_Equipement[[#This Row],[PC]]),FALSE))</f>
        <v>#N/A</v>
      </c>
      <c r="CC300" s="166" t="str">
        <f>IFERROR(IF(VLOOKUP(T_BilanSocial[[#This Row],[NumL]],T_TraitDi[#Data],COLUMN(T_TraitDi[[#This Row],[Plan]]),FALSE)="OK","Un planning spécifique de télétravail est annexé à la présente convention.",""),"")</f>
        <v/>
      </c>
      <c r="CD300" s="301"/>
      <c r="CE300" s="164" t="e">
        <f>IF(VLOOKUP(T_BilanSocial[[#This Row],[NumL]],T_suiviDi[#Data],COLUMN(T_suiviDi[[#This Row],[Entité]]),FALSE)="","",VLOOKUP(T_BilanSocial[[#This Row],[NumL]],T_suiviDi[#Data],COLUMN(T_suiviDi[[#This Row],[Entité]]),FALSE))</f>
        <v>#VALUE!</v>
      </c>
      <c r="CF300" s="164" t="e">
        <f>IF(VLOOKUP(T_BilanSocial[[#This Row],[NumL]],T_Commission[#Data],COLUMN(T_Commission[[#This Row],[envoi confirm TW]]),FALSE)="","",VLOOKUP(T_BilanSocial[[#This Row],[NumL]],T_Commission[#Data],COLUMN(T_Commission[[#This Row],[envoi confirm TW]]),FALSE))</f>
        <v>#N/A</v>
      </c>
      <c r="CG30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0" s="339" t="e">
        <f>T_BilanSocial[[#This Row],[Nom]]&amp;T_BilanSocial[[#This Row],[Prenom]]</f>
        <v>#N/A</v>
      </c>
      <c r="CI300" s="339" t="e">
        <f>VLOOKUP(T_BilanSocial[[#This Row],[NumL]],T_Commission[#Data],COLUMN(T_Commission[Commentaire]),FALSE)</f>
        <v>#N/A</v>
      </c>
      <c r="CJ300" s="339" t="e">
        <f>IF(VLOOKUP(T_BilanSocial[[#This Row],[NumL]],T_Commission[#Data],COLUMN(T_Commission[Encadrant Email]),FALSE)="","",VLOOKUP(T_BilanSocial[[#This Row],[NumL]],T_Commission[#Data],COLUMN(T_Commission[Encadrant Email]),FALSE))</f>
        <v>#N/A</v>
      </c>
      <c r="CK300" s="332" t="e">
        <f>IF(T_BilanSocial[[#This Row],[Final]]&lt;&gt;"",VLOOKUP(T_BilanSocial[[#This Row],[NumL]],T_suiviDi[#Data],COLUMN((T_suiviDi[Statut])),FALSE),"")</f>
        <v>#N/A</v>
      </c>
    </row>
    <row r="301" spans="1:89" s="50" customFormat="1" ht="21" customHeight="1" x14ac:dyDescent="0.25">
      <c r="A301" s="136">
        <v>298</v>
      </c>
      <c r="B301" s="330" t="str">
        <f t="shared" si="56"/>
        <v/>
      </c>
      <c r="C301" s="309"/>
      <c r="D301" s="95" t="e">
        <f>IF(VLOOKUP(T_BilanSocial[[#This Row],[NumL]],T_TraitDi[#Data],COLUMN(T_TraitDi[[#This Row],[WebC]]),FALSE)="","",VLOOKUP(T_BilanSocial[[#This Row],[NumL]],T_TraitDi[#Data],COLUMN(T_TraitDi[[#This Row],[WebC]]),FALSE))</f>
        <v>#VALUE!</v>
      </c>
      <c r="E301" s="95" t="str">
        <f t="shared" si="57"/>
        <v>12 janvier 2021</v>
      </c>
      <c r="F301" s="96" t="str">
        <f>IF(T_BilanSocial[[#This Row],[Final]]&lt;&gt;"",VLOOKUP(T_BilanSocial[[#This Row],[NumL]],T_suiviDi[#Data],COLUMN((T_suiviDi[Civ.])),FALSE),"")</f>
        <v/>
      </c>
      <c r="G301" s="96" t="str">
        <f>IF(T_BilanSocial[[#This Row],[Final]]&lt;&gt;"",VLOOKUP(T_BilanSocial[[#This Row],[NumL]],T_suiviDi[#Data],COLUMN((T_suiviDi[Nom])),FALSE),"")</f>
        <v/>
      </c>
      <c r="H301" s="96" t="str">
        <f>IF(T_BilanSocial[[#This Row],[Final]]&lt;&gt;"",VLOOKUP(T_BilanSocial[[#This Row],[NumL]],T_suiviDi[#Data],COLUMN((T_suiviDi[Prénom])),FALSE),"")</f>
        <v/>
      </c>
      <c r="I301" s="331" t="str">
        <f>IFERROR(VLOOKUP(T_BilanSocial[[#This Row],[Zone_Bilan]],T_P_BilanSocial[#Data],COLUMN(T_P_BilanSocial[[#This Row],[Numero_SIHAM]]),FALSE),"")</f>
        <v/>
      </c>
      <c r="J301" s="331" t="str">
        <f>IFERROR(VLOOKUP(T_BilanSocial[[#This Row],[Zone_Bilan]],T_P_BilanSocial[#Data],COLUMN(T_P_BilanSocial[[#This Row],[Sexe]]),FALSE),"")</f>
        <v/>
      </c>
      <c r="K301" s="294" t="str">
        <f>IFERROR(VLOOKUP(T_BilanSocial[[#This Row],[Zone_Bilan]],T_P_BilanSocial[#Data],COLUMN(T_P_BilanSocial[[#This Row],[Categorie]]),FALSE),"")</f>
        <v/>
      </c>
      <c r="L301" s="331" t="str">
        <f>IFERROR(VLOOKUP(T_BilanSocial[[#This Row],[Zone_Bilan]],T_P_BilanSocial[#Data],COLUMN(T_P_BilanSocial[[#This Row],[Statut]]),FALSE),"")</f>
        <v/>
      </c>
      <c r="M301" s="331" t="str">
        <f>IFERROR(VLOOKUP(T_BilanSocial[[#This Row],[Zone_Bilan]],T_P_BilanSocial[#Data],COLUMN(T_P_BilanSocial[[#This Row],[Filiere]]),FALSE),"")</f>
        <v/>
      </c>
      <c r="N301" s="331" t="str">
        <f>VLOOKUP(T_BilanSocial[[#This Row],[NumL]],T_TraitDi[#Data],COLUMN(T_TraitDi[EXP]),FALSE)</f>
        <v>N</v>
      </c>
      <c r="O301" s="331" t="str">
        <f>VLOOKUP(T_BilanSocial[[#This Row],[NumL]],T_TraitDi[#Data],COLUMN(T_TraitDi[FORM]),FALSE)</f>
        <v>N</v>
      </c>
      <c r="P301" s="96" t="str">
        <f>IF(T_BilanSocial[[#This Row],[Final]]&lt;&gt;"",VLOOKUP(T_BilanSocial[[#This Row],[NumL]],T_suiviDi[#Data],COLUMN((T_suiviDi[Email])),FALSE),"")</f>
        <v/>
      </c>
      <c r="Q301" s="96" t="str">
        <f t="shared" si="58"/>
        <v/>
      </c>
      <c r="R301" s="96" t="str">
        <f t="shared" si="59"/>
        <v>Responsable du service du traitement documentaire</v>
      </c>
      <c r="S301" s="96" t="str">
        <f t="shared" si="55"/>
        <v/>
      </c>
      <c r="T301" s="96" t="str">
        <f t="shared" si="60"/>
        <v>01 septembre 2021</v>
      </c>
      <c r="U301" s="96" t="str">
        <f t="shared" si="61"/>
        <v>30 novembre 2021</v>
      </c>
      <c r="V301" s="97">
        <f t="shared" si="62"/>
        <v>44530</v>
      </c>
      <c r="W301" s="176" t="e">
        <f>IF(VLOOKUP(T_BilanSocial[[#This Row],[NumL]],T_TraitDi[#Data],COLUMN(T_TraitDi[[#This Row],[M1]]),FALSE)="","",VLOOKUP(T_BilanSocial[[#This Row],[NumL]],T_TraitDi[#Data],COLUMN(T_TraitDi[[#This Row],[M1]]),FALSE))</f>
        <v>#VALUE!</v>
      </c>
      <c r="X301" s="96" t="str">
        <f t="shared" si="63"/>
        <v xml:space="preserve"> - Outils de politique documentaire (fiche discipline)</v>
      </c>
      <c r="Y301" s="96" t="str">
        <f t="shared" si="63"/>
        <v xml:space="preserve"> - Bilan d'activités des dépenses pour les monographies</v>
      </c>
      <c r="Z301" s="96" t="str">
        <f t="shared" si="64"/>
        <v xml:space="preserve"> -Entretiens professionnels et rapports de promotion</v>
      </c>
      <c r="AA301" s="176" t="e">
        <f>IF(VLOOKUP(T_BilanSocial[[#This Row],[NumL]],T_TraitDi[#Data],COLUMN(T_TraitDi[[#This Row],[M5]]),FALSE)="","",VLOOKUP(T_BilanSocial[[#This Row],[NumL]],T_TraitDi[#Data],COLUMN(T_TraitDi[[#This Row],[M5]]),FALSE))</f>
        <v>#VALUE!</v>
      </c>
      <c r="AB301" s="176" t="e">
        <f>IF(VLOOKUP(T_BilanSocial[[#This Row],[NumL]],T_TraitDi[#Data],COLUMN(T_TraitDi[[#This Row],[M6]]),FALSE)="","",VLOOKUP(T_BilanSocial[[#This Row],[NumL]],T_TraitDi[#Data],COLUMN(T_TraitDi[[#This Row],[M6]]),FALSE))</f>
        <v>#VALUE!</v>
      </c>
      <c r="AC301" s="96" t="e">
        <f t="shared" si="66"/>
        <v>#VALUE!</v>
      </c>
      <c r="AD301" s="97" t="str">
        <f t="shared" si="65"/>
        <v>100%</v>
      </c>
      <c r="AE301" s="294" t="e">
        <f>VLOOKUP(T_BilanSocial[[#This Row],[NumL]],T_TraitDi[#Data],COLUMN(T_TraitDi[[#This Row],[Reg Ponct]]),FALSE)</f>
        <v>#VALUE!</v>
      </c>
      <c r="AF301" s="294" t="e">
        <f>VLOOKUP(T_BilanSocial[NumL],T_TraitDi[#Data],COLUMN(T_TraitDi[[#This Row],[Jours flottants]]),FALSE)</f>
        <v>#VALUE!</v>
      </c>
      <c r="AG301" s="97" t="str">
        <f>IFERROR(VLOOKUP(T_BilanSocial[[#This Row],[NumL]],T_TraitDi[#Data],COLUMN(T_TraitDi[[#This Row],[Lundi]]),FALSE),"")</f>
        <v/>
      </c>
      <c r="AH301" s="172" t="e">
        <f>IF(VLOOKUP(T_BilanSocial[[#This Row],[NumL]],T_TraitDi[#Data],COLUMN(T_TraitDi[[#This Row],[Colonne3]]),FALSE)=0,"",TEXT(IFERROR(VLOOKUP(T_BilanSocial[[#This Row],[NumL]],T_TraitDi[#Data],COLUMN(T_TraitDi[[#This Row],[Colonne3]]),FALSE),""),"[hh]:mm"))</f>
        <v>#VALUE!</v>
      </c>
      <c r="AI301" s="172" t="e">
        <f>IF(VLOOKUP(T_BilanSocial[[#This Row],[NumL]],T_TraitDi[#Data],COLUMN(T_TraitDi[[#This Row],[Colonne4]]),FALSE)=0,"",TEXT(IFERROR(VLOOKUP(T_BilanSocial[[#This Row],[NumL]],T_TraitDi[#Data],COLUMN(T_TraitDi[[#This Row],[Colonne4]]),FALSE),""),"[hh]:mm"))</f>
        <v>#VALUE!</v>
      </c>
      <c r="AJ301" s="172" t="e">
        <f>IF(VLOOKUP(T_BilanSocial[[#This Row],[NumL]],T_TraitDi[#Data],COLUMN(T_TraitDi[[#This Row],[Colonne5]]),FALSE)=0,"",TEXT(IFERROR(VLOOKUP(T_BilanSocial[[#This Row],[NumL]],T_TraitDi[#Data],COLUMN(T_TraitDi[[#This Row],[Colonne5]]),FALSE),""),"[hh]:mm"))</f>
        <v>#VALUE!</v>
      </c>
      <c r="AK301" s="172" t="e">
        <f>IF(VLOOKUP(T_BilanSocial[[#This Row],[NumL]],T_TraitDi[#Data],COLUMN(T_TraitDi[[#This Row],[Colonne6]]),FALSE)=0,"",TEXT(IFERROR(VLOOKUP(T_BilanSocial[[#This Row],[NumL]],T_TraitDi[#Data],COLUMN(T_TraitDi[[#This Row],[Colonne6]]),FALSE),""),"[hh]:mm"))</f>
        <v>#VALUE!</v>
      </c>
      <c r="AL301" s="172" t="e">
        <f>IF(VLOOKUP(T_BilanSocial[[#This Row],[NumL]],T_TraitDi[#Data],COLUMN(T_TraitDi[[#This Row],[Colonne7]]),FALSE)=0,"",TEXT(IFERROR(VLOOKUP(T_BilanSocial[[#This Row],[NumL]],T_TraitDi[#Data],COLUMN(T_TraitDi[[#This Row],[Colonne7]]),FALSE),""),"[hh]:mm"))</f>
        <v>#VALUE!</v>
      </c>
      <c r="AM301" s="172" t="e">
        <f>IF(VLOOKUP(T_BilanSocial[[#This Row],[NumL]],T_TraitDi[#Data],COLUMN(T_TraitDi[[#This Row],[Colonne8]]),FALSE)=0,"",TEXT(IFERROR(VLOOKUP(T_BilanSocial[[#This Row],[NumL]],T_TraitDi[#Data],COLUMN(T_TraitDi[[#This Row],[Colonne8]]),FALSE),""),"[hh]:mm"))</f>
        <v>#VALUE!</v>
      </c>
      <c r="AN301" s="172" t="str">
        <f>IFERROR(VLOOKUP(T_BilanSocial[[#This Row],[NumL]],T_TraitDi[#Data],COLUMN(T_TraitDi[[#This Row],[Mardi]]),FALSE),"")</f>
        <v/>
      </c>
      <c r="AO301" s="172" t="e">
        <f>IF(VLOOKUP(T_BilanSocial[[#This Row],[NumL]],T_TraitDi[#Data],COLUMN(T_TraitDi[[#This Row],[Colonne1]]),FALSE)=0,"",TEXT(IFERROR(VLOOKUP(T_BilanSocial[[#This Row],[NumL]],T_TraitDi[#Data],COLUMN(T_TraitDi[[#This Row],[Colonne1]]),FALSE),""),"[hh]:mm"))</f>
        <v>#VALUE!</v>
      </c>
      <c r="AP301" s="172" t="e">
        <f>IF(VLOOKUP(T_BilanSocial[[#This Row],[NumL]],T_TraitDi[#Data],COLUMN(T_TraitDi[[#This Row],[Colonne9]]),FALSE)=0,"",TEXT(IFERROR(VLOOKUP(T_BilanSocial[[#This Row],[NumL]],T_TraitDi[#Data],COLUMN(T_TraitDi[[#This Row],[Colonne9]]),FALSE),""),"[hh]:mm"))</f>
        <v>#VALUE!</v>
      </c>
      <c r="AQ301" s="172" t="str">
        <f>IFERROR(VLOOKUP(T_BilanSocial[[#This Row],[NumL]],T_TraitDi[#Data],COLUMN(T_TraitDi[[#This Row],[Colonne10]]),FALSE),"")</f>
        <v/>
      </c>
      <c r="AR301" s="172" t="e">
        <f>IF(VLOOKUP(T_BilanSocial[[#This Row],[NumL]],T_TraitDi[#Data],COLUMN(T_TraitDi[[#This Row],[Colonne11]]),FALSE)=0,"",TEXT(IFERROR(VLOOKUP(T_BilanSocial[[#This Row],[NumL]],T_TraitDi[#Data],COLUMN(T_TraitDi[[#This Row],[Colonne11]]),FALSE),""),"[hh]:mm"))</f>
        <v>#VALUE!</v>
      </c>
      <c r="AS301" s="172" t="e">
        <f>IF(VLOOKUP(T_BilanSocial[[#This Row],[NumL]],T_TraitDi[#Data],COLUMN(T_TraitDi[[#This Row],[Colonne12]]),FALSE)=0,"",TEXT(IFERROR(VLOOKUP(T_BilanSocial[[#This Row],[NumL]],T_TraitDi[#Data],COLUMN(T_TraitDi[[#This Row],[Colonne12]]),FALSE),""),"[hh]:mm"))</f>
        <v>#VALUE!</v>
      </c>
      <c r="AT301" s="172" t="e">
        <f>IF(VLOOKUP(T_BilanSocial[[#This Row],[NumL]],T_TraitDi[#Data],COLUMN(T_TraitDi[[#This Row],[Colonne14]]),FALSE)=0,"",TEXT(IFERROR(VLOOKUP(T_BilanSocial[[#This Row],[NumL]],T_TraitDi[#Data],COLUMN(T_TraitDi[[#This Row],[Colonne14]]),FALSE),""),"[hh]:mm"))</f>
        <v>#VALUE!</v>
      </c>
      <c r="AU301" s="172" t="str">
        <f>IFERROR(VLOOKUP(T_BilanSocial[[#This Row],[NumL]],T_TraitDi[#Data],COLUMN(T_TraitDi[[#This Row],[Mercredi]]),FALSE),"")</f>
        <v/>
      </c>
      <c r="AV301" s="172" t="e">
        <f>IF(VLOOKUP(T_BilanSocial[[#This Row],[NumL]],T_TraitDi[#Data],COLUMN(T_TraitDi[[#This Row],[Colonne15]]),FALSE)=0,"",TEXT(IFERROR(VLOOKUP(T_BilanSocial[[#This Row],[NumL]],T_TraitDi[#Data],COLUMN(T_TraitDi[[#This Row],[Colonne15]]),FALSE),""),"[hh]:mm"))</f>
        <v>#VALUE!</v>
      </c>
      <c r="AW301" s="172" t="e">
        <f>IF(VLOOKUP(T_BilanSocial[[#This Row],[NumL]],T_TraitDi[#Data],COLUMN(T_TraitDi[[#This Row],[Colonne16]]),FALSE)=0,"",TEXT(IFERROR(VLOOKUP(T_BilanSocial[[#This Row],[NumL]],T_TraitDi[#Data],COLUMN(T_TraitDi[[#This Row],[Colonne16]]),FALSE),""),"[hh]:mm"))</f>
        <v>#VALUE!</v>
      </c>
      <c r="AX301" s="172" t="str">
        <f>IFERROR(VLOOKUP(T_BilanSocial[[#This Row],[NumL]],T_TraitDi[#Data],COLUMN(T_TraitDi[[#This Row],[Colonne17]]),FALSE),"")</f>
        <v/>
      </c>
      <c r="AY301" s="172" t="e">
        <f>IF(VLOOKUP(T_BilanSocial[[#This Row],[NumL]],T_TraitDi[#Data],COLUMN(T_TraitDi[[#This Row],[Colonne18]]),FALSE)=0,"",TEXT(IFERROR(VLOOKUP(T_BilanSocial[[#This Row],[NumL]],T_TraitDi[#Data],COLUMN(T_TraitDi[[#This Row],[Colonne18]]),FALSE),""),"[hh]:mm"))</f>
        <v>#VALUE!</v>
      </c>
      <c r="AZ301" s="172" t="e">
        <f>IF(VLOOKUP(T_BilanSocial[[#This Row],[NumL]],T_TraitDi[#Data],COLUMN(T_TraitDi[[#This Row],[Colonne19]]),FALSE)=0,"",TEXT(IFERROR(VLOOKUP(T_BilanSocial[[#This Row],[NumL]],T_TraitDi[#Data],COLUMN(T_TraitDi[[#This Row],[Colonne19]]),FALSE),""),"[hh]:mm"))</f>
        <v>#VALUE!</v>
      </c>
      <c r="BA301" s="172" t="e">
        <f>IF(VLOOKUP(T_BilanSocial[[#This Row],[NumL]],T_TraitDi[#Data],COLUMN(T_TraitDi[[#This Row],[Colonne20]]),FALSE)=0,"",TEXT(IFERROR(VLOOKUP(T_BilanSocial[[#This Row],[NumL]],T_TraitDi[#Data],COLUMN(T_TraitDi[[#This Row],[Colonne20]]),FALSE),""),"[hh]:mm"))</f>
        <v>#VALUE!</v>
      </c>
      <c r="BB301" s="178" t="str">
        <f>IFERROR(VLOOKUP(T_BilanSocial[[#This Row],[NumL]],T_TraitDi[#Data],COLUMN(T_TraitDi[[#This Row],[Jeudi]]),FALSE),"")</f>
        <v/>
      </c>
      <c r="BC301" s="178" t="e">
        <f>IF(VLOOKUP(T_BilanSocial[[#This Row],[NumL]],T_TraitDi[#Data],COLUMN(T_TraitDi[[#This Row],[Colonne21]]),FALSE)=0,"",TEXT(IFERROR(VLOOKUP(T_BilanSocial[[#This Row],[NumL]],T_TraitDi[#Data],COLUMN(T_TraitDi[[#This Row],[Colonne21]]),FALSE),""),"[hh]:mm"))</f>
        <v>#VALUE!</v>
      </c>
      <c r="BD301" s="178" t="e">
        <f>IF(VLOOKUP(T_BilanSocial[[#This Row],[NumL]],T_TraitDi[#Data],COLUMN(T_TraitDi[[#This Row],[Colonne22]]),FALSE)=0,"",TEXT(IFERROR(VLOOKUP(T_BilanSocial[[#This Row],[NumL]],T_TraitDi[#Data],COLUMN(T_TraitDi[[#This Row],[Colonne22]]),FALSE),""),"[hh]:mm"))</f>
        <v>#VALUE!</v>
      </c>
      <c r="BE301" s="178" t="str">
        <f>IFERROR(VLOOKUP(T_BilanSocial[[#This Row],[NumL]],T_TraitDi[#Data],COLUMN(T_TraitDi[[#This Row],[Colonne23]]),FALSE),"")</f>
        <v/>
      </c>
      <c r="BF301" s="178" t="e">
        <f>IF(VLOOKUP(T_BilanSocial[[#This Row],[NumL]],T_TraitDi[#Data],COLUMN(T_TraitDi[[#This Row],[Colonne24]]),FALSE)=0,"",TEXT(IFERROR(VLOOKUP(T_BilanSocial[[#This Row],[NumL]],T_TraitDi[#Data],COLUMN(T_TraitDi[[#This Row],[Colonne24]]),FALSE),""),"[hh]:mm"))</f>
        <v>#VALUE!</v>
      </c>
      <c r="BG301" s="178" t="e">
        <f>IF(VLOOKUP(T_BilanSocial[[#This Row],[NumL]],T_TraitDi[#Data],COLUMN(T_TraitDi[[#This Row],[Colonne25]]),FALSE)=0,"",TEXT(IFERROR(VLOOKUP(T_BilanSocial[[#This Row],[NumL]],T_TraitDi[#Data],COLUMN(T_TraitDi[[#This Row],[Colonne25]]),FALSE),""),"[hh]:mm"))</f>
        <v>#VALUE!</v>
      </c>
      <c r="BH301" s="178" t="e">
        <f>IF(VLOOKUP(T_BilanSocial[[#This Row],[NumL]],T_TraitDi[#Data],COLUMN(T_TraitDi[[#This Row],[Colonne26]]),FALSE)=0,"",TEXT(IFERROR(VLOOKUP(T_BilanSocial[[#This Row],[NumL]],T_TraitDi[#Data],COLUMN(T_TraitDi[[#This Row],[Colonne26]]),FALSE),""),"[hh]:mm"))</f>
        <v>#VALUE!</v>
      </c>
      <c r="BI301" s="172" t="str">
        <f>IFERROR(VLOOKUP(T_BilanSocial[[#This Row],[NumL]],T_TraitDi[#Data],COLUMN(T_TraitDi[[#This Row],[Vendredi]]),FALSE),"")</f>
        <v/>
      </c>
      <c r="BJ301" s="172" t="e">
        <f>IF(VLOOKUP(T_BilanSocial[[#This Row],[NumL]],T_TraitDi[#Data],COLUMN(T_TraitDi[[#This Row],[Colonne27]]),FALSE)=0,"",TEXT(IFERROR(VLOOKUP(T_BilanSocial[[#This Row],[NumL]],T_TraitDi[#Data],COLUMN(T_TraitDi[[#This Row],[Colonne27]]),FALSE),""),"[hh]:mm"))</f>
        <v>#VALUE!</v>
      </c>
      <c r="BK301" s="172" t="e">
        <f>IF(VLOOKUP(T_BilanSocial[[#This Row],[NumL]],T_TraitDi[#Data],COLUMN(T_TraitDi[[#This Row],[Colonne28]]),FALSE)=0,"",TEXT(IFERROR(VLOOKUP(T_BilanSocial[[#This Row],[NumL]],T_TraitDi[#Data],COLUMN(T_TraitDi[[#This Row],[Colonne28]]),FALSE),""),"[hh]:mm"))</f>
        <v>#VALUE!</v>
      </c>
      <c r="BL301" s="172" t="str">
        <f>IFERROR(VLOOKUP(T_BilanSocial[[#This Row],[NumL]],T_TraitDi[#Data],COLUMN(T_TraitDi[[#This Row],[Colonne29]]),FALSE),"")</f>
        <v/>
      </c>
      <c r="BM301" s="172" t="e">
        <f>IF(VLOOKUP(T_BilanSocial[[#This Row],[NumL]],T_TraitDi[#Data],COLUMN(T_TraitDi[[#This Row],[Colonne30]]),FALSE)=0,"",TEXT(IFERROR(VLOOKUP(T_BilanSocial[[#This Row],[NumL]],T_TraitDi[#Data],COLUMN(T_TraitDi[[#This Row],[Colonne30]]),FALSE),""),"[hh]:mm"))</f>
        <v>#VALUE!</v>
      </c>
      <c r="BN301" s="172" t="e">
        <f>IF(VLOOKUP(T_BilanSocial[[#This Row],[NumL]],T_TraitDi[#Data],COLUMN(T_TraitDi[[#This Row],[Colonne31]]),FALSE)=0,"",TEXT(IFERROR(VLOOKUP(T_BilanSocial[[#This Row],[NumL]],T_TraitDi[#Data],COLUMN(T_TraitDi[[#This Row],[Colonne31]]),FALSE),""),"[hh]:mm"))</f>
        <v>#VALUE!</v>
      </c>
      <c r="BO301" s="172" t="e">
        <f>IF(VLOOKUP(T_BilanSocial[[#This Row],[NumL]],T_TraitDi[#Data],COLUMN(T_TraitDi[[#This Row],[Colonne32]]),FALSE)=0,"",TEXT(IFERROR(VLOOKUP(T_BilanSocial[[#This Row],[NumL]],T_TraitDi[#Data],COLUMN(T_TraitDi[[#This Row],[Colonne32]]),FALSE),""),"[hh]:mm"))</f>
        <v>#VALUE!</v>
      </c>
      <c r="BP301" s="172">
        <f>VLOOKUP(T_BilanSocial[[#This Row],[NumL]],T_TraitDi[#Data],COLUMN(T_TraitDi[NbJTot]),FALSE)</f>
        <v>4.5</v>
      </c>
      <c r="BQ301" s="174" t="str">
        <f>IFERROR(VLOOKUP(T_BilanSocial[[#This Row],[NumL]],T_TraitDi[#Data],COLUMN(T_TraitDi[[#This Row],[NbJTW]]),FALSE),"")</f>
        <v/>
      </c>
      <c r="BR301" s="174" t="e">
        <f>IF(VLOOKUP(T_BilanSocial[[#This Row],[NumL]],T_TraitDi[#Data],COLUMN(T_TraitDi[[#This Row],[NbhTW]]),FALSE)=0,"",TEXT(IFERROR(VLOOKUP(T_BilanSocial[[#This Row],[NumL]],T_TraitDi[#Data],COLUMN(T_TraitDi[[#This Row],[NbhTW]]),FALSE),""),"[hh]:mm"))</f>
        <v>#VALUE!</v>
      </c>
      <c r="BS301" s="174" t="e">
        <f>IF(VLOOKUP(T_BilanSocial[[#This Row],[NumL]],T_TraitDi[#Data],COLUMN(T_TraitDi[[#This Row],[Nbhheb]]),FALSE)=0,"",TEXT(IFERROR(VLOOKUP($A301,T_TraitDi[#Data],COLUMN(T_TraitDi[[#This Row],[Nbhheb]]),FALSE),""),"[hh]:mm"))</f>
        <v>#VALUE!</v>
      </c>
      <c r="BT301" s="182" t="str">
        <f>IFERROR(VLOOKUP(VLOOKUP($A301,T_TraitDi[#Data],COLUMN(T_TraitDi[[#This Row],[Type1]]),FALSE),TypeTW,2,FALSE),"")</f>
        <v/>
      </c>
      <c r="BU301" s="182" t="str">
        <f>IFERROR(VLOOKUP($A301,T_TraitDi[#Data],COLUMN(T_TraitDi[[#This Row],[Rue1]]),FALSE),"")</f>
        <v/>
      </c>
      <c r="BV301" s="173" t="str">
        <f>IFERROR(VLOOKUP($A301,T_TraitDi[#Data],COLUMN(T_TraitDi[[#This Row],[CP1]]),FALSE),"")</f>
        <v/>
      </c>
      <c r="BW301" s="173" t="str">
        <f>IFERROR(VLOOKUP($A301,T_TraitDi[#Data],COLUMN(T_TraitDi[[#This Row],[VILLE1]]),FALSE),"")</f>
        <v/>
      </c>
      <c r="BX301" s="182" t="str">
        <f>IFERROR(VLOOKUP(VLOOKUP($A301,T_TraitDi[#Data],COLUMN(T_TraitDi[[#This Row],[Type2]]),FALSE),TypeTW,2,FALSE),"")</f>
        <v/>
      </c>
      <c r="BY301" s="182" t="str">
        <f>IFERROR(VLOOKUP($A301,T_TraitDi[#Data],COLUMN(T_TraitDi[[#This Row],[Rue2]]),FALSE),"")</f>
        <v/>
      </c>
      <c r="BZ301" s="173" t="str">
        <f>IFERROR(VLOOKUP($A301,T_TraitDi[#Data],COLUMN(T_TraitDi[[#This Row],[CP2]]),FALSE),"")</f>
        <v/>
      </c>
      <c r="CA301" s="173" t="str">
        <f>IFERROR(VLOOKUP($A301,T_TraitDi[#Data],COLUMN(T_TraitDi[[#This Row],[VILLE2]]),FALSE),"")</f>
        <v/>
      </c>
      <c r="CB301"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1" s="166" t="str">
        <f>IFERROR(IF(VLOOKUP(T_BilanSocial[[#This Row],[NumL]],T_TraitDi[#Data],COLUMN(T_TraitDi[[#This Row],[Plan]]),FALSE)="OK","Un planning spécifique de télétravail est annexé à la présente convention.",""),"")</f>
        <v/>
      </c>
      <c r="CD301" s="301"/>
      <c r="CE301" s="164" t="e">
        <f>IF(VLOOKUP(T_BilanSocial[[#This Row],[NumL]],T_suiviDi[#Data],COLUMN(T_suiviDi[[#This Row],[Entité]]),FALSE)="","",VLOOKUP(T_BilanSocial[[#This Row],[NumL]],T_suiviDi[#Data],COLUMN(T_suiviDi[[#This Row],[Entité]]),FALSE))</f>
        <v>#VALUE!</v>
      </c>
      <c r="CF301" s="164" t="str">
        <f>IF(VLOOKUP(T_BilanSocial[[#This Row],[NumL]],T_Commission[#Data],COLUMN(T_Commission[[#This Row],[envoi confirm TW]]),FALSE)="","",VLOOKUP(T_BilanSocial[[#This Row],[NumL]],T_Commission[#Data],COLUMN(T_Commission[[#This Row],[envoi confirm TW]]),FALSE))</f>
        <v>Oui</v>
      </c>
      <c r="CG30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1" s="339" t="str">
        <f>T_BilanSocial[[#This Row],[Nom]]&amp;T_BilanSocial[[#This Row],[Prenom]]</f>
        <v/>
      </c>
      <c r="CI301" s="339">
        <f>VLOOKUP(T_BilanSocial[[#This Row],[NumL]],T_Commission[#Data],COLUMN(T_Commission[Commentaire]),FALSE)</f>
        <v>0</v>
      </c>
      <c r="CJ301" s="339" t="str">
        <f>IF(VLOOKUP(T_BilanSocial[[#This Row],[NumL]],T_Commission[#Data],COLUMN(T_Commission[Encadrant Email]),FALSE)="","",VLOOKUP(T_BilanSocial[[#This Row],[NumL]],T_Commission[#Data],COLUMN(T_Commission[Encadrant Email]),FALSE))</f>
        <v/>
      </c>
      <c r="CK301" s="332" t="str">
        <f>IF(T_BilanSocial[[#This Row],[Final]]&lt;&gt;"",VLOOKUP(T_BilanSocial[[#This Row],[NumL]],T_suiviDi[#Data],COLUMN((T_suiviDi[Statut])),FALSE),"")</f>
        <v/>
      </c>
    </row>
    <row r="302" spans="1:89" s="50" customFormat="1" ht="21" customHeight="1" x14ac:dyDescent="0.25">
      <c r="A302" s="136">
        <v>299</v>
      </c>
      <c r="B302" s="330" t="str">
        <f t="shared" si="56"/>
        <v/>
      </c>
      <c r="C302" s="309"/>
      <c r="D302" s="95" t="e">
        <f>IF(VLOOKUP(T_BilanSocial[[#This Row],[NumL]],T_TraitDi[#Data],COLUMN(T_TraitDi[[#This Row],[WebC]]),FALSE)="","",VLOOKUP(T_BilanSocial[[#This Row],[NumL]],T_TraitDi[#Data],COLUMN(T_TraitDi[[#This Row],[WebC]]),FALSE))</f>
        <v>#VALUE!</v>
      </c>
      <c r="E302" s="95" t="str">
        <f t="shared" si="57"/>
        <v>12 janvier 2021</v>
      </c>
      <c r="F302" s="96" t="str">
        <f>IF(T_BilanSocial[[#This Row],[Final]]&lt;&gt;"",VLOOKUP(T_BilanSocial[[#This Row],[NumL]],T_suiviDi[#Data],COLUMN((T_suiviDi[Civ.])),FALSE),"")</f>
        <v/>
      </c>
      <c r="G302" s="96" t="str">
        <f>IF(T_BilanSocial[[#This Row],[Final]]&lt;&gt;"",VLOOKUP(T_BilanSocial[[#This Row],[NumL]],T_suiviDi[#Data],COLUMN((T_suiviDi[Nom])),FALSE),"")</f>
        <v/>
      </c>
      <c r="H302" s="96" t="str">
        <f>IF(T_BilanSocial[[#This Row],[Final]]&lt;&gt;"",VLOOKUP(T_BilanSocial[[#This Row],[NumL]],T_suiviDi[#Data],COLUMN((T_suiviDi[Prénom])),FALSE),"")</f>
        <v/>
      </c>
      <c r="I302" s="331" t="str">
        <f>IFERROR(VLOOKUP(T_BilanSocial[[#This Row],[Zone_Bilan]],T_P_BilanSocial[#Data],COLUMN(T_P_BilanSocial[[#This Row],[Numero_SIHAM]]),FALSE),"")</f>
        <v/>
      </c>
      <c r="J302" s="331" t="str">
        <f>IFERROR(VLOOKUP(T_BilanSocial[[#This Row],[Zone_Bilan]],T_P_BilanSocial[#Data],COLUMN(T_P_BilanSocial[[#This Row],[Sexe]]),FALSE),"")</f>
        <v/>
      </c>
      <c r="K302" s="294" t="str">
        <f>IFERROR(VLOOKUP(T_BilanSocial[[#This Row],[Zone_Bilan]],T_P_BilanSocial[#Data],COLUMN(T_P_BilanSocial[[#This Row],[Categorie]]),FALSE),"")</f>
        <v/>
      </c>
      <c r="L302" s="331" t="str">
        <f>IFERROR(VLOOKUP(T_BilanSocial[[#This Row],[Zone_Bilan]],T_P_BilanSocial[#Data],COLUMN(T_P_BilanSocial[[#This Row],[Statut]]),FALSE),"")</f>
        <v/>
      </c>
      <c r="M302" s="331" t="str">
        <f>IFERROR(VLOOKUP(T_BilanSocial[[#This Row],[Zone_Bilan]],T_P_BilanSocial[#Data],COLUMN(T_P_BilanSocial[[#This Row],[Filiere]]),FALSE),"")</f>
        <v/>
      </c>
      <c r="N302" s="331" t="e">
        <f>VLOOKUP(T_BilanSocial[[#This Row],[NumL]],T_TraitDi[#Data],COLUMN(T_TraitDi[EXP]),FALSE)</f>
        <v>#N/A</v>
      </c>
      <c r="O302" s="331" t="e">
        <f>VLOOKUP(T_BilanSocial[[#This Row],[NumL]],T_TraitDi[#Data],COLUMN(T_TraitDi[FORM]),FALSE)</f>
        <v>#N/A</v>
      </c>
      <c r="P302" s="96" t="str">
        <f>IF(T_BilanSocial[[#This Row],[Final]]&lt;&gt;"",VLOOKUP(T_BilanSocial[[#This Row],[NumL]],T_suiviDi[#Data],COLUMN((T_suiviDi[Email])),FALSE),"")</f>
        <v/>
      </c>
      <c r="Q302" s="96" t="e">
        <f t="shared" si="58"/>
        <v>#N/A</v>
      </c>
      <c r="R302" s="96" t="e">
        <f t="shared" si="59"/>
        <v>#N/A</v>
      </c>
      <c r="S302" s="96" t="str">
        <f t="shared" si="55"/>
        <v/>
      </c>
      <c r="T302" s="96" t="str">
        <f t="shared" si="60"/>
        <v>01 septembre 2021</v>
      </c>
      <c r="U302" s="96" t="str">
        <f t="shared" si="61"/>
        <v>30 novembre 2021</v>
      </c>
      <c r="V302" s="97">
        <f t="shared" si="62"/>
        <v>44530</v>
      </c>
      <c r="W302" s="176" t="e">
        <f>IF(VLOOKUP(T_BilanSocial[[#This Row],[NumL]],T_TraitDi[#Data],COLUMN(T_TraitDi[[#This Row],[M1]]),FALSE)="","",VLOOKUP(T_BilanSocial[[#This Row],[NumL]],T_TraitDi[#Data],COLUMN(T_TraitDi[[#This Row],[M1]]),FALSE))</f>
        <v>#VALUE!</v>
      </c>
      <c r="X302" s="96" t="str">
        <f t="shared" si="63"/>
        <v/>
      </c>
      <c r="Y302" s="96" t="str">
        <f t="shared" si="63"/>
        <v/>
      </c>
      <c r="Z302" s="96" t="str">
        <f t="shared" si="64"/>
        <v/>
      </c>
      <c r="AA302" s="176" t="e">
        <f>IF(VLOOKUP(T_BilanSocial[[#This Row],[NumL]],T_TraitDi[#Data],COLUMN(T_TraitDi[[#This Row],[M5]]),FALSE)="","",VLOOKUP(T_BilanSocial[[#This Row],[NumL]],T_TraitDi[#Data],COLUMN(T_TraitDi[[#This Row],[M5]]),FALSE))</f>
        <v>#VALUE!</v>
      </c>
      <c r="AB302" s="176" t="e">
        <f>IF(VLOOKUP(T_BilanSocial[[#This Row],[NumL]],T_TraitDi[#Data],COLUMN(T_TraitDi[[#This Row],[M6]]),FALSE)="","",VLOOKUP(T_BilanSocial[[#This Row],[NumL]],T_TraitDi[#Data],COLUMN(T_TraitDi[[#This Row],[M6]]),FALSE))</f>
        <v>#VALUE!</v>
      </c>
      <c r="AC302" s="96" t="e">
        <f t="shared" si="66"/>
        <v>#VALUE!</v>
      </c>
      <c r="AD302" s="97" t="str">
        <f t="shared" si="65"/>
        <v/>
      </c>
      <c r="AE302" s="294" t="e">
        <f>VLOOKUP(T_BilanSocial[[#This Row],[NumL]],T_TraitDi[#Data],COLUMN(T_TraitDi[[#This Row],[Reg Ponct]]),FALSE)</f>
        <v>#VALUE!</v>
      </c>
      <c r="AF302" s="294" t="e">
        <f>VLOOKUP(T_BilanSocial[NumL],T_TraitDi[#Data],COLUMN(T_TraitDi[[#This Row],[Jours flottants]]),FALSE)</f>
        <v>#VALUE!</v>
      </c>
      <c r="AG302" s="97" t="str">
        <f>IFERROR(VLOOKUP(T_BilanSocial[[#This Row],[NumL]],T_TraitDi[#Data],COLUMN(T_TraitDi[[#This Row],[Lundi]]),FALSE),"")</f>
        <v/>
      </c>
      <c r="AH302" s="172" t="e">
        <f>IF(VLOOKUP(T_BilanSocial[[#This Row],[NumL]],T_TraitDi[#Data],COLUMN(T_TraitDi[[#This Row],[Colonne3]]),FALSE)=0,"",TEXT(IFERROR(VLOOKUP(T_BilanSocial[[#This Row],[NumL]],T_TraitDi[#Data],COLUMN(T_TraitDi[[#This Row],[Colonne3]]),FALSE),""),"[hh]:mm"))</f>
        <v>#VALUE!</v>
      </c>
      <c r="AI302" s="172" t="e">
        <f>IF(VLOOKUP(T_BilanSocial[[#This Row],[NumL]],T_TraitDi[#Data],COLUMN(T_TraitDi[[#This Row],[Colonne4]]),FALSE)=0,"",TEXT(IFERROR(VLOOKUP(T_BilanSocial[[#This Row],[NumL]],T_TraitDi[#Data],COLUMN(T_TraitDi[[#This Row],[Colonne4]]),FALSE),""),"[hh]:mm"))</f>
        <v>#VALUE!</v>
      </c>
      <c r="AJ302" s="172" t="e">
        <f>IF(VLOOKUP(T_BilanSocial[[#This Row],[NumL]],T_TraitDi[#Data],COLUMN(T_TraitDi[[#This Row],[Colonne5]]),FALSE)=0,"",TEXT(IFERROR(VLOOKUP(T_BilanSocial[[#This Row],[NumL]],T_TraitDi[#Data],COLUMN(T_TraitDi[[#This Row],[Colonne5]]),FALSE),""),"[hh]:mm"))</f>
        <v>#VALUE!</v>
      </c>
      <c r="AK302" s="172" t="e">
        <f>IF(VLOOKUP(T_BilanSocial[[#This Row],[NumL]],T_TraitDi[#Data],COLUMN(T_TraitDi[[#This Row],[Colonne6]]),FALSE)=0,"",TEXT(IFERROR(VLOOKUP(T_BilanSocial[[#This Row],[NumL]],T_TraitDi[#Data],COLUMN(T_TraitDi[[#This Row],[Colonne6]]),FALSE),""),"[hh]:mm"))</f>
        <v>#VALUE!</v>
      </c>
      <c r="AL302" s="172" t="e">
        <f>IF(VLOOKUP(T_BilanSocial[[#This Row],[NumL]],T_TraitDi[#Data],COLUMN(T_TraitDi[[#This Row],[Colonne7]]),FALSE)=0,"",TEXT(IFERROR(VLOOKUP(T_BilanSocial[[#This Row],[NumL]],T_TraitDi[#Data],COLUMN(T_TraitDi[[#This Row],[Colonne7]]),FALSE),""),"[hh]:mm"))</f>
        <v>#VALUE!</v>
      </c>
      <c r="AM302" s="172" t="e">
        <f>IF(VLOOKUP(T_BilanSocial[[#This Row],[NumL]],T_TraitDi[#Data],COLUMN(T_TraitDi[[#This Row],[Colonne8]]),FALSE)=0,"",TEXT(IFERROR(VLOOKUP(T_BilanSocial[[#This Row],[NumL]],T_TraitDi[#Data],COLUMN(T_TraitDi[[#This Row],[Colonne8]]),FALSE),""),"[hh]:mm"))</f>
        <v>#VALUE!</v>
      </c>
      <c r="AN302" s="172" t="str">
        <f>IFERROR(VLOOKUP(T_BilanSocial[[#This Row],[NumL]],T_TraitDi[#Data],COLUMN(T_TraitDi[[#This Row],[Mardi]]),FALSE),"")</f>
        <v/>
      </c>
      <c r="AO302" s="172" t="e">
        <f>IF(VLOOKUP(T_BilanSocial[[#This Row],[NumL]],T_TraitDi[#Data],COLUMN(T_TraitDi[[#This Row],[Colonne1]]),FALSE)=0,"",TEXT(IFERROR(VLOOKUP(T_BilanSocial[[#This Row],[NumL]],T_TraitDi[#Data],COLUMN(T_TraitDi[[#This Row],[Colonne1]]),FALSE),""),"[hh]:mm"))</f>
        <v>#VALUE!</v>
      </c>
      <c r="AP302" s="172" t="e">
        <f>IF(VLOOKUP(T_BilanSocial[[#This Row],[NumL]],T_TraitDi[#Data],COLUMN(T_TraitDi[[#This Row],[Colonne9]]),FALSE)=0,"",TEXT(IFERROR(VLOOKUP(T_BilanSocial[[#This Row],[NumL]],T_TraitDi[#Data],COLUMN(T_TraitDi[[#This Row],[Colonne9]]),FALSE),""),"[hh]:mm"))</f>
        <v>#VALUE!</v>
      </c>
      <c r="AQ302" s="172" t="str">
        <f>IFERROR(VLOOKUP(T_BilanSocial[[#This Row],[NumL]],T_TraitDi[#Data],COLUMN(T_TraitDi[[#This Row],[Colonne10]]),FALSE),"")</f>
        <v/>
      </c>
      <c r="AR302" s="172" t="e">
        <f>IF(VLOOKUP(T_BilanSocial[[#This Row],[NumL]],T_TraitDi[#Data],COLUMN(T_TraitDi[[#This Row],[Colonne11]]),FALSE)=0,"",TEXT(IFERROR(VLOOKUP(T_BilanSocial[[#This Row],[NumL]],T_TraitDi[#Data],COLUMN(T_TraitDi[[#This Row],[Colonne11]]),FALSE),""),"[hh]:mm"))</f>
        <v>#VALUE!</v>
      </c>
      <c r="AS302" s="172" t="e">
        <f>IF(VLOOKUP(T_BilanSocial[[#This Row],[NumL]],T_TraitDi[#Data],COLUMN(T_TraitDi[[#This Row],[Colonne12]]),FALSE)=0,"",TEXT(IFERROR(VLOOKUP(T_BilanSocial[[#This Row],[NumL]],T_TraitDi[#Data],COLUMN(T_TraitDi[[#This Row],[Colonne12]]),FALSE),""),"[hh]:mm"))</f>
        <v>#VALUE!</v>
      </c>
      <c r="AT302" s="172" t="e">
        <f>IF(VLOOKUP(T_BilanSocial[[#This Row],[NumL]],T_TraitDi[#Data],COLUMN(T_TraitDi[[#This Row],[Colonne14]]),FALSE)=0,"",TEXT(IFERROR(VLOOKUP(T_BilanSocial[[#This Row],[NumL]],T_TraitDi[#Data],COLUMN(T_TraitDi[[#This Row],[Colonne14]]),FALSE),""),"[hh]:mm"))</f>
        <v>#VALUE!</v>
      </c>
      <c r="AU302" s="172" t="str">
        <f>IFERROR(VLOOKUP(T_BilanSocial[[#This Row],[NumL]],T_TraitDi[#Data],COLUMN(T_TraitDi[[#This Row],[Mercredi]]),FALSE),"")</f>
        <v/>
      </c>
      <c r="AV302" s="172" t="e">
        <f>IF(VLOOKUP(T_BilanSocial[[#This Row],[NumL]],T_TraitDi[#Data],COLUMN(T_TraitDi[[#This Row],[Colonne15]]),FALSE)=0,"",TEXT(IFERROR(VLOOKUP(T_BilanSocial[[#This Row],[NumL]],T_TraitDi[#Data],COLUMN(T_TraitDi[[#This Row],[Colonne15]]),FALSE),""),"[hh]:mm"))</f>
        <v>#VALUE!</v>
      </c>
      <c r="AW302" s="172" t="e">
        <f>IF(VLOOKUP(T_BilanSocial[[#This Row],[NumL]],T_TraitDi[#Data],COLUMN(T_TraitDi[[#This Row],[Colonne16]]),FALSE)=0,"",TEXT(IFERROR(VLOOKUP(T_BilanSocial[[#This Row],[NumL]],T_TraitDi[#Data],COLUMN(T_TraitDi[[#This Row],[Colonne16]]),FALSE),""),"[hh]:mm"))</f>
        <v>#VALUE!</v>
      </c>
      <c r="AX302" s="172" t="str">
        <f>IFERROR(VLOOKUP(T_BilanSocial[[#This Row],[NumL]],T_TraitDi[#Data],COLUMN(T_TraitDi[[#This Row],[Colonne17]]),FALSE),"")</f>
        <v/>
      </c>
      <c r="AY302" s="172" t="e">
        <f>IF(VLOOKUP(T_BilanSocial[[#This Row],[NumL]],T_TraitDi[#Data],COLUMN(T_TraitDi[[#This Row],[Colonne18]]),FALSE)=0,"",TEXT(IFERROR(VLOOKUP(T_BilanSocial[[#This Row],[NumL]],T_TraitDi[#Data],COLUMN(T_TraitDi[[#This Row],[Colonne18]]),FALSE),""),"[hh]:mm"))</f>
        <v>#VALUE!</v>
      </c>
      <c r="AZ302" s="172" t="e">
        <f>IF(VLOOKUP(T_BilanSocial[[#This Row],[NumL]],T_TraitDi[#Data],COLUMN(T_TraitDi[[#This Row],[Colonne19]]),FALSE)=0,"",TEXT(IFERROR(VLOOKUP(T_BilanSocial[[#This Row],[NumL]],T_TraitDi[#Data],COLUMN(T_TraitDi[[#This Row],[Colonne19]]),FALSE),""),"[hh]:mm"))</f>
        <v>#VALUE!</v>
      </c>
      <c r="BA302" s="172" t="e">
        <f>IF(VLOOKUP(T_BilanSocial[[#This Row],[NumL]],T_TraitDi[#Data],COLUMN(T_TraitDi[[#This Row],[Colonne20]]),FALSE)=0,"",TEXT(IFERROR(VLOOKUP(T_BilanSocial[[#This Row],[NumL]],T_TraitDi[#Data],COLUMN(T_TraitDi[[#This Row],[Colonne20]]),FALSE),""),"[hh]:mm"))</f>
        <v>#VALUE!</v>
      </c>
      <c r="BB302" s="178" t="str">
        <f>IFERROR(VLOOKUP(T_BilanSocial[[#This Row],[NumL]],T_TraitDi[#Data],COLUMN(T_TraitDi[[#This Row],[Jeudi]]),FALSE),"")</f>
        <v/>
      </c>
      <c r="BC302" s="178" t="e">
        <f>IF(VLOOKUP(T_BilanSocial[[#This Row],[NumL]],T_TraitDi[#Data],COLUMN(T_TraitDi[[#This Row],[Colonne21]]),FALSE)=0,"",TEXT(IFERROR(VLOOKUP(T_BilanSocial[[#This Row],[NumL]],T_TraitDi[#Data],COLUMN(T_TraitDi[[#This Row],[Colonne21]]),FALSE),""),"[hh]:mm"))</f>
        <v>#VALUE!</v>
      </c>
      <c r="BD302" s="178" t="e">
        <f>IF(VLOOKUP(T_BilanSocial[[#This Row],[NumL]],T_TraitDi[#Data],COLUMN(T_TraitDi[[#This Row],[Colonne22]]),FALSE)=0,"",TEXT(IFERROR(VLOOKUP(T_BilanSocial[[#This Row],[NumL]],T_TraitDi[#Data],COLUMN(T_TraitDi[[#This Row],[Colonne22]]),FALSE),""),"[hh]:mm"))</f>
        <v>#VALUE!</v>
      </c>
      <c r="BE302" s="178" t="str">
        <f>IFERROR(VLOOKUP(T_BilanSocial[[#This Row],[NumL]],T_TraitDi[#Data],COLUMN(T_TraitDi[[#This Row],[Colonne23]]),FALSE),"")</f>
        <v/>
      </c>
      <c r="BF302" s="178" t="e">
        <f>IF(VLOOKUP(T_BilanSocial[[#This Row],[NumL]],T_TraitDi[#Data],COLUMN(T_TraitDi[[#This Row],[Colonne24]]),FALSE)=0,"",TEXT(IFERROR(VLOOKUP(T_BilanSocial[[#This Row],[NumL]],T_TraitDi[#Data],COLUMN(T_TraitDi[[#This Row],[Colonne24]]),FALSE),""),"[hh]:mm"))</f>
        <v>#VALUE!</v>
      </c>
      <c r="BG302" s="178" t="e">
        <f>IF(VLOOKUP(T_BilanSocial[[#This Row],[NumL]],T_TraitDi[#Data],COLUMN(T_TraitDi[[#This Row],[Colonne25]]),FALSE)=0,"",TEXT(IFERROR(VLOOKUP(T_BilanSocial[[#This Row],[NumL]],T_TraitDi[#Data],COLUMN(T_TraitDi[[#This Row],[Colonne25]]),FALSE),""),"[hh]:mm"))</f>
        <v>#VALUE!</v>
      </c>
      <c r="BH302" s="178" t="e">
        <f>IF(VLOOKUP(T_BilanSocial[[#This Row],[NumL]],T_TraitDi[#Data],COLUMN(T_TraitDi[[#This Row],[Colonne26]]),FALSE)=0,"",TEXT(IFERROR(VLOOKUP(T_BilanSocial[[#This Row],[NumL]],T_TraitDi[#Data],COLUMN(T_TraitDi[[#This Row],[Colonne26]]),FALSE),""),"[hh]:mm"))</f>
        <v>#VALUE!</v>
      </c>
      <c r="BI302" s="172" t="str">
        <f>IFERROR(VLOOKUP(T_BilanSocial[[#This Row],[NumL]],T_TraitDi[#Data],COLUMN(T_TraitDi[[#This Row],[Vendredi]]),FALSE),"")</f>
        <v/>
      </c>
      <c r="BJ302" s="172" t="e">
        <f>IF(VLOOKUP(T_BilanSocial[[#This Row],[NumL]],T_TraitDi[#Data],COLUMN(T_TraitDi[[#This Row],[Colonne27]]),FALSE)=0,"",TEXT(IFERROR(VLOOKUP(T_BilanSocial[[#This Row],[NumL]],T_TraitDi[#Data],COLUMN(T_TraitDi[[#This Row],[Colonne27]]),FALSE),""),"[hh]:mm"))</f>
        <v>#VALUE!</v>
      </c>
      <c r="BK302" s="172" t="e">
        <f>IF(VLOOKUP(T_BilanSocial[[#This Row],[NumL]],T_TraitDi[#Data],COLUMN(T_TraitDi[[#This Row],[Colonne28]]),FALSE)=0,"",TEXT(IFERROR(VLOOKUP(T_BilanSocial[[#This Row],[NumL]],T_TraitDi[#Data],COLUMN(T_TraitDi[[#This Row],[Colonne28]]),FALSE),""),"[hh]:mm"))</f>
        <v>#VALUE!</v>
      </c>
      <c r="BL302" s="172" t="str">
        <f>IFERROR(VLOOKUP(T_BilanSocial[[#This Row],[NumL]],T_TraitDi[#Data],COLUMN(T_TraitDi[[#This Row],[Colonne29]]),FALSE),"")</f>
        <v/>
      </c>
      <c r="BM302" s="172" t="e">
        <f>IF(VLOOKUP(T_BilanSocial[[#This Row],[NumL]],T_TraitDi[#Data],COLUMN(T_TraitDi[[#This Row],[Colonne30]]),FALSE)=0,"",TEXT(IFERROR(VLOOKUP(T_BilanSocial[[#This Row],[NumL]],T_TraitDi[#Data],COLUMN(T_TraitDi[[#This Row],[Colonne30]]),FALSE),""),"[hh]:mm"))</f>
        <v>#VALUE!</v>
      </c>
      <c r="BN302" s="172" t="e">
        <f>IF(VLOOKUP(T_BilanSocial[[#This Row],[NumL]],T_TraitDi[#Data],COLUMN(T_TraitDi[[#This Row],[Colonne31]]),FALSE)=0,"",TEXT(IFERROR(VLOOKUP(T_BilanSocial[[#This Row],[NumL]],T_TraitDi[#Data],COLUMN(T_TraitDi[[#This Row],[Colonne31]]),FALSE),""),"[hh]:mm"))</f>
        <v>#VALUE!</v>
      </c>
      <c r="BO302" s="172" t="e">
        <f>IF(VLOOKUP(T_BilanSocial[[#This Row],[NumL]],T_TraitDi[#Data],COLUMN(T_TraitDi[[#This Row],[Colonne32]]),FALSE)=0,"",TEXT(IFERROR(VLOOKUP(T_BilanSocial[[#This Row],[NumL]],T_TraitDi[#Data],COLUMN(T_TraitDi[[#This Row],[Colonne32]]),FALSE),""),"[hh]:mm"))</f>
        <v>#VALUE!</v>
      </c>
      <c r="BP302" s="172" t="e">
        <f>VLOOKUP(T_BilanSocial[[#This Row],[NumL]],T_TraitDi[#Data],COLUMN(T_TraitDi[NbJTot]),FALSE)</f>
        <v>#N/A</v>
      </c>
      <c r="BQ302" s="174" t="str">
        <f>IFERROR(VLOOKUP(T_BilanSocial[[#This Row],[NumL]],T_TraitDi[#Data],COLUMN(T_TraitDi[[#This Row],[NbJTW]]),FALSE),"")</f>
        <v/>
      </c>
      <c r="BR302" s="174" t="e">
        <f>IF(VLOOKUP(T_BilanSocial[[#This Row],[NumL]],T_TraitDi[#Data],COLUMN(T_TraitDi[[#This Row],[NbhTW]]),FALSE)=0,"",TEXT(IFERROR(VLOOKUP(T_BilanSocial[[#This Row],[NumL]],T_TraitDi[#Data],COLUMN(T_TraitDi[[#This Row],[NbhTW]]),FALSE),""),"[hh]:mm"))</f>
        <v>#VALUE!</v>
      </c>
      <c r="BS302" s="174" t="e">
        <f>IF(VLOOKUP(T_BilanSocial[[#This Row],[NumL]],T_TraitDi[#Data],COLUMN(T_TraitDi[[#This Row],[Nbhheb]]),FALSE)=0,"",TEXT(IFERROR(VLOOKUP($A302,T_TraitDi[#Data],COLUMN(T_TraitDi[[#This Row],[Nbhheb]]),FALSE),""),"[hh]:mm"))</f>
        <v>#VALUE!</v>
      </c>
      <c r="BT302" s="182" t="str">
        <f>IFERROR(VLOOKUP(VLOOKUP($A302,T_TraitDi[#Data],COLUMN(T_TraitDi[[#This Row],[Type1]]),FALSE),TypeTW,2,FALSE),"")</f>
        <v/>
      </c>
      <c r="BU302" s="182" t="str">
        <f>IFERROR(VLOOKUP($A302,T_TraitDi[#Data],COLUMN(T_TraitDi[[#This Row],[Rue1]]),FALSE),"")</f>
        <v/>
      </c>
      <c r="BV302" s="173" t="str">
        <f>IFERROR(VLOOKUP($A302,T_TraitDi[#Data],COLUMN(T_TraitDi[[#This Row],[CP1]]),FALSE),"")</f>
        <v/>
      </c>
      <c r="BW302" s="173" t="str">
        <f>IFERROR(VLOOKUP($A302,T_TraitDi[#Data],COLUMN(T_TraitDi[[#This Row],[VILLE1]]),FALSE),"")</f>
        <v/>
      </c>
      <c r="BX302" s="182" t="str">
        <f>IFERROR(VLOOKUP(VLOOKUP($A302,T_TraitDi[#Data],COLUMN(T_TraitDi[[#This Row],[Type2]]),FALSE),TypeTW,2,FALSE),"")</f>
        <v/>
      </c>
      <c r="BY302" s="182" t="str">
        <f>IFERROR(VLOOKUP($A302,T_TraitDi[#Data],COLUMN(T_TraitDi[[#This Row],[Rue2]]),FALSE),"")</f>
        <v/>
      </c>
      <c r="BZ302" s="173" t="str">
        <f>IFERROR(VLOOKUP($A302,T_TraitDi[#Data],COLUMN(T_TraitDi[[#This Row],[CP2]]),FALSE),"")</f>
        <v/>
      </c>
      <c r="CA302" s="173" t="str">
        <f>IFERROR(VLOOKUP($A302,T_TraitDi[#Data],COLUMN(T_TraitDi[[#This Row],[VILLE2]]),FALSE),"")</f>
        <v/>
      </c>
      <c r="CB302"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2" s="166" t="str">
        <f>IFERROR(IF(VLOOKUP(T_BilanSocial[[#This Row],[NumL]],T_TraitDi[#Data],COLUMN(T_TraitDi[[#This Row],[Plan]]),FALSE)="OK","Un planning spécifique de télétravail est annexé à la présente convention.",""),"")</f>
        <v/>
      </c>
      <c r="CD302" s="301"/>
      <c r="CE302" s="164" t="e">
        <f>IF(VLOOKUP(T_BilanSocial[[#This Row],[NumL]],T_suiviDi[#Data],COLUMN(T_suiviDi[[#This Row],[Entité]]),FALSE)="","",VLOOKUP(T_BilanSocial[[#This Row],[NumL]],T_suiviDi[#Data],COLUMN(T_suiviDi[[#This Row],[Entité]]),FALSE))</f>
        <v>#VALUE!</v>
      </c>
      <c r="CF302" s="164" t="str">
        <f>IF(VLOOKUP(T_BilanSocial[[#This Row],[NumL]],T_Commission[#Data],COLUMN(T_Commission[[#This Row],[envoi confirm TW]]),FALSE)="","",VLOOKUP(T_BilanSocial[[#This Row],[NumL]],T_Commission[#Data],COLUMN(T_Commission[[#This Row],[envoi confirm TW]]),FALSE))</f>
        <v>Non</v>
      </c>
      <c r="CG30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2" s="339" t="str">
        <f>T_BilanSocial[[#This Row],[Nom]]&amp;T_BilanSocial[[#This Row],[Prenom]]</f>
        <v/>
      </c>
      <c r="CI302" s="339" t="str">
        <f>VLOOKUP(T_BilanSocial[[#This Row],[NumL]],T_Commission[#Data],COLUMN(T_Commission[Commentaire]),FALSE)</f>
        <v>Le télétravail est accordé pour 6 mois renouvelables sous réserve de l'avis du médecin de prévention et sous réserve de fourniture des pièces demandées suite au déménagement.</v>
      </c>
      <c r="CJ302" s="339" t="str">
        <f>IF(VLOOKUP(T_BilanSocial[[#This Row],[NumL]],T_Commission[#Data],COLUMN(T_Commission[Encadrant Email]),FALSE)="","",VLOOKUP(T_BilanSocial[[#This Row],[NumL]],T_Commission[#Data],COLUMN(T_Commission[Encadrant Email]),FALSE))</f>
        <v/>
      </c>
      <c r="CK302" s="332" t="str">
        <f>IF(T_BilanSocial[[#This Row],[Final]]&lt;&gt;"",VLOOKUP(T_BilanSocial[[#This Row],[NumL]],T_suiviDi[#Data],COLUMN((T_suiviDi[Statut])),FALSE),"")</f>
        <v/>
      </c>
    </row>
    <row r="303" spans="1:89" s="50" customFormat="1" ht="29.25" customHeight="1" x14ac:dyDescent="0.25">
      <c r="A303" s="136">
        <v>300</v>
      </c>
      <c r="B303" s="330" t="str">
        <f t="shared" si="56"/>
        <v/>
      </c>
      <c r="C303" s="309"/>
      <c r="D303" s="95" t="e">
        <f>IF(VLOOKUP(T_BilanSocial[[#This Row],[NumL]],T_TraitDi[#Data],COLUMN(T_TraitDi[[#This Row],[WebC]]),FALSE)="","",VLOOKUP(T_BilanSocial[[#This Row],[NumL]],T_TraitDi[#Data],COLUMN(T_TraitDi[[#This Row],[WebC]]),FALSE))</f>
        <v>#VALUE!</v>
      </c>
      <c r="E303" s="95" t="str">
        <f t="shared" si="57"/>
        <v>12 janvier 2021</v>
      </c>
      <c r="F303" s="96" t="str">
        <f>IF(T_BilanSocial[[#This Row],[Final]]&lt;&gt;"",VLOOKUP(T_BilanSocial[[#This Row],[NumL]],T_suiviDi[#Data],COLUMN((T_suiviDi[Civ.])),FALSE),"")</f>
        <v/>
      </c>
      <c r="G303" s="96" t="str">
        <f>IF(T_BilanSocial[[#This Row],[Final]]&lt;&gt;"",VLOOKUP(T_BilanSocial[[#This Row],[NumL]],T_suiviDi[#Data],COLUMN((T_suiviDi[Nom])),FALSE),"")</f>
        <v/>
      </c>
      <c r="H303" s="96" t="str">
        <f>IF(T_BilanSocial[[#This Row],[Final]]&lt;&gt;"",VLOOKUP(T_BilanSocial[[#This Row],[NumL]],T_suiviDi[#Data],COLUMN((T_suiviDi[Prénom])),FALSE),"")</f>
        <v/>
      </c>
      <c r="I303" s="331" t="str">
        <f>IFERROR(VLOOKUP(T_BilanSocial[[#This Row],[Zone_Bilan]],T_P_BilanSocial[#Data],COLUMN(T_P_BilanSocial[[#This Row],[Numero_SIHAM]]),FALSE),"")</f>
        <v/>
      </c>
      <c r="J303" s="331" t="str">
        <f>IFERROR(VLOOKUP(T_BilanSocial[[#This Row],[Zone_Bilan]],T_P_BilanSocial[#Data],COLUMN(T_P_BilanSocial[[#This Row],[Sexe]]),FALSE),"")</f>
        <v/>
      </c>
      <c r="K303" s="294" t="str">
        <f>IFERROR(VLOOKUP(T_BilanSocial[[#This Row],[Zone_Bilan]],T_P_BilanSocial[#Data],COLUMN(T_P_BilanSocial[[#This Row],[Categorie]]),FALSE),"")</f>
        <v/>
      </c>
      <c r="L303" s="331" t="str">
        <f>IFERROR(VLOOKUP(T_BilanSocial[[#This Row],[Zone_Bilan]],T_P_BilanSocial[#Data],COLUMN(T_P_BilanSocial[[#This Row],[Statut]]),FALSE),"")</f>
        <v/>
      </c>
      <c r="M303" s="331" t="str">
        <f>IFERROR(VLOOKUP(T_BilanSocial[[#This Row],[Zone_Bilan]],T_P_BilanSocial[#Data],COLUMN(T_P_BilanSocial[[#This Row],[Filiere]]),FALSE),"")</f>
        <v/>
      </c>
      <c r="N303" s="331" t="e">
        <f>VLOOKUP(T_BilanSocial[[#This Row],[NumL]],T_TraitDi[#Data],COLUMN(T_TraitDi[EXP]),FALSE)</f>
        <v>#N/A</v>
      </c>
      <c r="O303" s="331" t="e">
        <f>VLOOKUP(T_BilanSocial[[#This Row],[NumL]],T_TraitDi[#Data],COLUMN(T_TraitDi[FORM]),FALSE)</f>
        <v>#N/A</v>
      </c>
      <c r="P303" s="96" t="str">
        <f>IF(T_BilanSocial[[#This Row],[Final]]&lt;&gt;"",VLOOKUP(T_BilanSocial[[#This Row],[NumL]],T_suiviDi[#Data],COLUMN((T_suiviDi[Email])),FALSE),"")</f>
        <v/>
      </c>
      <c r="Q303" s="96" t="e">
        <f t="shared" si="58"/>
        <v>#N/A</v>
      </c>
      <c r="R303" s="96" t="e">
        <f t="shared" si="59"/>
        <v>#N/A</v>
      </c>
      <c r="S303" s="96" t="str">
        <f t="shared" si="55"/>
        <v/>
      </c>
      <c r="T303" s="96" t="str">
        <f t="shared" si="60"/>
        <v>01 septembre 2021</v>
      </c>
      <c r="U303" s="96" t="str">
        <f t="shared" si="61"/>
        <v>30 novembre 2021</v>
      </c>
      <c r="V303" s="97">
        <f t="shared" si="62"/>
        <v>44530</v>
      </c>
      <c r="W303" s="176" t="e">
        <f>IF(VLOOKUP(T_BilanSocial[[#This Row],[NumL]],T_TraitDi[#Data],COLUMN(T_TraitDi[[#This Row],[M1]]),FALSE)="","",VLOOKUP(T_BilanSocial[[#This Row],[NumL]],T_TraitDi[#Data],COLUMN(T_TraitDi[[#This Row],[M1]]),FALSE))</f>
        <v>#VALUE!</v>
      </c>
      <c r="X303" s="96" t="str">
        <f t="shared" si="63"/>
        <v/>
      </c>
      <c r="Y303" s="96" t="str">
        <f t="shared" si="63"/>
        <v/>
      </c>
      <c r="Z303" s="96" t="str">
        <f t="shared" si="64"/>
        <v/>
      </c>
      <c r="AA303" s="176" t="e">
        <f>IF(VLOOKUP(T_BilanSocial[[#This Row],[NumL]],T_TraitDi[#Data],COLUMN(T_TraitDi[[#This Row],[M5]]),FALSE)="","",VLOOKUP(T_BilanSocial[[#This Row],[NumL]],T_TraitDi[#Data],COLUMN(T_TraitDi[[#This Row],[M5]]),FALSE))</f>
        <v>#VALUE!</v>
      </c>
      <c r="AB303" s="176" t="e">
        <f>IF(VLOOKUP(T_BilanSocial[[#This Row],[NumL]],T_TraitDi[#Data],COLUMN(T_TraitDi[[#This Row],[M6]]),FALSE)="","",VLOOKUP(T_BilanSocial[[#This Row],[NumL]],T_TraitDi[#Data],COLUMN(T_TraitDi[[#This Row],[M6]]),FALSE))</f>
        <v>#VALUE!</v>
      </c>
      <c r="AC303" s="96" t="e">
        <f t="shared" ref="AC303:AC315" si="67">W303&amp;X303&amp;Y303&amp;Z303&amp;AA303&amp;AB303</f>
        <v>#VALUE!</v>
      </c>
      <c r="AD303" s="97" t="str">
        <f t="shared" si="65"/>
        <v/>
      </c>
      <c r="AE303" s="294" t="e">
        <f>VLOOKUP(T_BilanSocial[[#This Row],[NumL]],T_TraitDi[#Data],COLUMN(T_TraitDi[[#This Row],[Reg Ponct]]),FALSE)</f>
        <v>#VALUE!</v>
      </c>
      <c r="AF303" s="294" t="e">
        <f>VLOOKUP(T_BilanSocial[NumL],T_TraitDi[#Data],COLUMN(T_TraitDi[[#This Row],[Jours flottants]]),FALSE)</f>
        <v>#VALUE!</v>
      </c>
      <c r="AG303" s="97" t="str">
        <f>IFERROR(VLOOKUP(T_BilanSocial[[#This Row],[NumL]],T_TraitDi[#Data],COLUMN(T_TraitDi[[#This Row],[Lundi]]),FALSE),"")</f>
        <v/>
      </c>
      <c r="AH303" s="172" t="e">
        <f>IF(VLOOKUP(T_BilanSocial[[#This Row],[NumL]],T_TraitDi[#Data],COLUMN(T_TraitDi[[#This Row],[Colonne3]]),FALSE)=0,"",TEXT(IFERROR(VLOOKUP(T_BilanSocial[[#This Row],[NumL]],T_TraitDi[#Data],COLUMN(T_TraitDi[[#This Row],[Colonne3]]),FALSE),""),"[hh]:mm"))</f>
        <v>#VALUE!</v>
      </c>
      <c r="AI303" s="172" t="e">
        <f>IF(VLOOKUP(T_BilanSocial[[#This Row],[NumL]],T_TraitDi[#Data],COLUMN(T_TraitDi[[#This Row],[Colonne4]]),FALSE)=0,"",TEXT(IFERROR(VLOOKUP(T_BilanSocial[[#This Row],[NumL]],T_TraitDi[#Data],COLUMN(T_TraitDi[[#This Row],[Colonne4]]),FALSE),""),"[hh]:mm"))</f>
        <v>#VALUE!</v>
      </c>
      <c r="AJ303" s="172" t="e">
        <f>IF(VLOOKUP(T_BilanSocial[[#This Row],[NumL]],T_TraitDi[#Data],COLUMN(T_TraitDi[[#This Row],[Colonne5]]),FALSE)=0,"",TEXT(IFERROR(VLOOKUP(T_BilanSocial[[#This Row],[NumL]],T_TraitDi[#Data],COLUMN(T_TraitDi[[#This Row],[Colonne5]]),FALSE),""),"[hh]:mm"))</f>
        <v>#VALUE!</v>
      </c>
      <c r="AK303" s="172" t="e">
        <f>IF(VLOOKUP(T_BilanSocial[[#This Row],[NumL]],T_TraitDi[#Data],COLUMN(T_TraitDi[[#This Row],[Colonne6]]),FALSE)=0,"",TEXT(IFERROR(VLOOKUP(T_BilanSocial[[#This Row],[NumL]],T_TraitDi[#Data],COLUMN(T_TraitDi[[#This Row],[Colonne6]]),FALSE),""),"[hh]:mm"))</f>
        <v>#VALUE!</v>
      </c>
      <c r="AL303" s="172" t="e">
        <f>IF(VLOOKUP(T_BilanSocial[[#This Row],[NumL]],T_TraitDi[#Data],COLUMN(T_TraitDi[[#This Row],[Colonne7]]),FALSE)=0,"",TEXT(IFERROR(VLOOKUP(T_BilanSocial[[#This Row],[NumL]],T_TraitDi[#Data],COLUMN(T_TraitDi[[#This Row],[Colonne7]]),FALSE),""),"[hh]:mm"))</f>
        <v>#VALUE!</v>
      </c>
      <c r="AM303" s="172" t="e">
        <f>IF(VLOOKUP(T_BilanSocial[[#This Row],[NumL]],T_TraitDi[#Data],COLUMN(T_TraitDi[[#This Row],[Colonne8]]),FALSE)=0,"",TEXT(IFERROR(VLOOKUP(T_BilanSocial[[#This Row],[NumL]],T_TraitDi[#Data],COLUMN(T_TraitDi[[#This Row],[Colonne8]]),FALSE),""),"[hh]:mm"))</f>
        <v>#VALUE!</v>
      </c>
      <c r="AN303" s="172" t="str">
        <f>IFERROR(VLOOKUP(T_BilanSocial[[#This Row],[NumL]],T_TraitDi[#Data],COLUMN(T_TraitDi[[#This Row],[Mardi]]),FALSE),"")</f>
        <v/>
      </c>
      <c r="AO303" s="172" t="e">
        <f>IF(VLOOKUP(T_BilanSocial[[#This Row],[NumL]],T_TraitDi[#Data],COLUMN(T_TraitDi[[#This Row],[Colonne1]]),FALSE)=0,"",TEXT(IFERROR(VLOOKUP(T_BilanSocial[[#This Row],[NumL]],T_TraitDi[#Data],COLUMN(T_TraitDi[[#This Row],[Colonne1]]),FALSE),""),"[hh]:mm"))</f>
        <v>#VALUE!</v>
      </c>
      <c r="AP303" s="172" t="e">
        <f>IF(VLOOKUP(T_BilanSocial[[#This Row],[NumL]],T_TraitDi[#Data],COLUMN(T_TraitDi[[#This Row],[Colonne9]]),FALSE)=0,"",TEXT(IFERROR(VLOOKUP(T_BilanSocial[[#This Row],[NumL]],T_TraitDi[#Data],COLUMN(T_TraitDi[[#This Row],[Colonne9]]),FALSE),""),"[hh]:mm"))</f>
        <v>#VALUE!</v>
      </c>
      <c r="AQ303" s="172" t="str">
        <f>IFERROR(VLOOKUP(T_BilanSocial[[#This Row],[NumL]],T_TraitDi[#Data],COLUMN(T_TraitDi[[#This Row],[Colonne10]]),FALSE),"")</f>
        <v/>
      </c>
      <c r="AR303" s="172" t="e">
        <f>IF(VLOOKUP(T_BilanSocial[[#This Row],[NumL]],T_TraitDi[#Data],COLUMN(T_TraitDi[[#This Row],[Colonne11]]),FALSE)=0,"",TEXT(IFERROR(VLOOKUP(T_BilanSocial[[#This Row],[NumL]],T_TraitDi[#Data],COLUMN(T_TraitDi[[#This Row],[Colonne11]]),FALSE),""),"[hh]:mm"))</f>
        <v>#VALUE!</v>
      </c>
      <c r="AS303" s="172" t="e">
        <f>IF(VLOOKUP(T_BilanSocial[[#This Row],[NumL]],T_TraitDi[#Data],COLUMN(T_TraitDi[[#This Row],[Colonne12]]),FALSE)=0,"",TEXT(IFERROR(VLOOKUP(T_BilanSocial[[#This Row],[NumL]],T_TraitDi[#Data],COLUMN(T_TraitDi[[#This Row],[Colonne12]]),FALSE),""),"[hh]:mm"))</f>
        <v>#VALUE!</v>
      </c>
      <c r="AT303" s="172" t="e">
        <f>IF(VLOOKUP(T_BilanSocial[[#This Row],[NumL]],T_TraitDi[#Data],COLUMN(T_TraitDi[[#This Row],[Colonne14]]),FALSE)=0,"",TEXT(IFERROR(VLOOKUP(T_BilanSocial[[#This Row],[NumL]],T_TraitDi[#Data],COLUMN(T_TraitDi[[#This Row],[Colonne14]]),FALSE),""),"[hh]:mm"))</f>
        <v>#VALUE!</v>
      </c>
      <c r="AU303" s="172" t="str">
        <f>IFERROR(VLOOKUP(T_BilanSocial[[#This Row],[NumL]],T_TraitDi[#Data],COLUMN(T_TraitDi[[#This Row],[Mercredi]]),FALSE),"")</f>
        <v/>
      </c>
      <c r="AV303" s="172" t="e">
        <f>IF(VLOOKUP(T_BilanSocial[[#This Row],[NumL]],T_TraitDi[#Data],COLUMN(T_TraitDi[[#This Row],[Colonne15]]),FALSE)=0,"",TEXT(IFERROR(VLOOKUP(T_BilanSocial[[#This Row],[NumL]],T_TraitDi[#Data],COLUMN(T_TraitDi[[#This Row],[Colonne15]]),FALSE),""),"[hh]:mm"))</f>
        <v>#VALUE!</v>
      </c>
      <c r="AW303" s="172" t="e">
        <f>IF(VLOOKUP(T_BilanSocial[[#This Row],[NumL]],T_TraitDi[#Data],COLUMN(T_TraitDi[[#This Row],[Colonne16]]),FALSE)=0,"",TEXT(IFERROR(VLOOKUP(T_BilanSocial[[#This Row],[NumL]],T_TraitDi[#Data],COLUMN(T_TraitDi[[#This Row],[Colonne16]]),FALSE),""),"[hh]:mm"))</f>
        <v>#VALUE!</v>
      </c>
      <c r="AX303" s="172" t="str">
        <f>IFERROR(VLOOKUP(T_BilanSocial[[#This Row],[NumL]],T_TraitDi[#Data],COLUMN(T_TraitDi[[#This Row],[Colonne17]]),FALSE),"")</f>
        <v/>
      </c>
      <c r="AY303" s="172" t="e">
        <f>IF(VLOOKUP(T_BilanSocial[[#This Row],[NumL]],T_TraitDi[#Data],COLUMN(T_TraitDi[[#This Row],[Colonne18]]),FALSE)=0,"",TEXT(IFERROR(VLOOKUP(T_BilanSocial[[#This Row],[NumL]],T_TraitDi[#Data],COLUMN(T_TraitDi[[#This Row],[Colonne18]]),FALSE),""),"[hh]:mm"))</f>
        <v>#VALUE!</v>
      </c>
      <c r="AZ303" s="172" t="e">
        <f>IF(VLOOKUP(T_BilanSocial[[#This Row],[NumL]],T_TraitDi[#Data],COLUMN(T_TraitDi[[#This Row],[Colonne19]]),FALSE)=0,"",TEXT(IFERROR(VLOOKUP(T_BilanSocial[[#This Row],[NumL]],T_TraitDi[#Data],COLUMN(T_TraitDi[[#This Row],[Colonne19]]),FALSE),""),"[hh]:mm"))</f>
        <v>#VALUE!</v>
      </c>
      <c r="BA303" s="172" t="e">
        <f>IF(VLOOKUP(T_BilanSocial[[#This Row],[NumL]],T_TraitDi[#Data],COLUMN(T_TraitDi[[#This Row],[Colonne20]]),FALSE)=0,"",TEXT(IFERROR(VLOOKUP(T_BilanSocial[[#This Row],[NumL]],T_TraitDi[#Data],COLUMN(T_TraitDi[[#This Row],[Colonne20]]),FALSE),""),"[hh]:mm"))</f>
        <v>#VALUE!</v>
      </c>
      <c r="BB303" s="178" t="str">
        <f>IFERROR(VLOOKUP(T_BilanSocial[[#This Row],[NumL]],T_TraitDi[#Data],COLUMN(T_TraitDi[[#This Row],[Jeudi]]),FALSE),"")</f>
        <v/>
      </c>
      <c r="BC303" s="178" t="e">
        <f>IF(VLOOKUP(T_BilanSocial[[#This Row],[NumL]],T_TraitDi[#Data],COLUMN(T_TraitDi[[#This Row],[Colonne21]]),FALSE)=0,"",TEXT(IFERROR(VLOOKUP(T_BilanSocial[[#This Row],[NumL]],T_TraitDi[#Data],COLUMN(T_TraitDi[[#This Row],[Colonne21]]),FALSE),""),"[hh]:mm"))</f>
        <v>#VALUE!</v>
      </c>
      <c r="BD303" s="178" t="e">
        <f>IF(VLOOKUP(T_BilanSocial[[#This Row],[NumL]],T_TraitDi[#Data],COLUMN(T_TraitDi[[#This Row],[Colonne22]]),FALSE)=0,"",TEXT(IFERROR(VLOOKUP(T_BilanSocial[[#This Row],[NumL]],T_TraitDi[#Data],COLUMN(T_TraitDi[[#This Row],[Colonne22]]),FALSE),""),"[hh]:mm"))</f>
        <v>#VALUE!</v>
      </c>
      <c r="BE303" s="178" t="str">
        <f>IFERROR(VLOOKUP(T_BilanSocial[[#This Row],[NumL]],T_TraitDi[#Data],COLUMN(T_TraitDi[[#This Row],[Colonne23]]),FALSE),"")</f>
        <v/>
      </c>
      <c r="BF303" s="178" t="e">
        <f>IF(VLOOKUP(T_BilanSocial[[#This Row],[NumL]],T_TraitDi[#Data],COLUMN(T_TraitDi[[#This Row],[Colonne24]]),FALSE)=0,"",TEXT(IFERROR(VLOOKUP(T_BilanSocial[[#This Row],[NumL]],T_TraitDi[#Data],COLUMN(T_TraitDi[[#This Row],[Colonne24]]),FALSE),""),"[hh]:mm"))</f>
        <v>#VALUE!</v>
      </c>
      <c r="BG303" s="178" t="e">
        <f>IF(VLOOKUP(T_BilanSocial[[#This Row],[NumL]],T_TraitDi[#Data],COLUMN(T_TraitDi[[#This Row],[Colonne25]]),FALSE)=0,"",TEXT(IFERROR(VLOOKUP(T_BilanSocial[[#This Row],[NumL]],T_TraitDi[#Data],COLUMN(T_TraitDi[[#This Row],[Colonne25]]),FALSE),""),"[hh]:mm"))</f>
        <v>#VALUE!</v>
      </c>
      <c r="BH303" s="178" t="e">
        <f>IF(VLOOKUP(T_BilanSocial[[#This Row],[NumL]],T_TraitDi[#Data],COLUMN(T_TraitDi[[#This Row],[Colonne26]]),FALSE)=0,"",TEXT(IFERROR(VLOOKUP(T_BilanSocial[[#This Row],[NumL]],T_TraitDi[#Data],COLUMN(T_TraitDi[[#This Row],[Colonne26]]),FALSE),""),"[hh]:mm"))</f>
        <v>#VALUE!</v>
      </c>
      <c r="BI303" s="172" t="str">
        <f>IFERROR(VLOOKUP(T_BilanSocial[[#This Row],[NumL]],T_TraitDi[#Data],COLUMN(T_TraitDi[[#This Row],[Vendredi]]),FALSE),"")</f>
        <v/>
      </c>
      <c r="BJ303" s="172" t="e">
        <f>IF(VLOOKUP(T_BilanSocial[[#This Row],[NumL]],T_TraitDi[#Data],COLUMN(T_TraitDi[[#This Row],[Colonne27]]),FALSE)=0,"",TEXT(IFERROR(VLOOKUP(T_BilanSocial[[#This Row],[NumL]],T_TraitDi[#Data],COLUMN(T_TraitDi[[#This Row],[Colonne27]]),FALSE),""),"[hh]:mm"))</f>
        <v>#VALUE!</v>
      </c>
      <c r="BK303" s="172" t="e">
        <f>IF(VLOOKUP(T_BilanSocial[[#This Row],[NumL]],T_TraitDi[#Data],COLUMN(T_TraitDi[[#This Row],[Colonne28]]),FALSE)=0,"",TEXT(IFERROR(VLOOKUP(T_BilanSocial[[#This Row],[NumL]],T_TraitDi[#Data],COLUMN(T_TraitDi[[#This Row],[Colonne28]]),FALSE),""),"[hh]:mm"))</f>
        <v>#VALUE!</v>
      </c>
      <c r="BL303" s="172" t="str">
        <f>IFERROR(VLOOKUP(T_BilanSocial[[#This Row],[NumL]],T_TraitDi[#Data],COLUMN(T_TraitDi[[#This Row],[Colonne29]]),FALSE),"")</f>
        <v/>
      </c>
      <c r="BM303" s="172" t="e">
        <f>IF(VLOOKUP(T_BilanSocial[[#This Row],[NumL]],T_TraitDi[#Data],COLUMN(T_TraitDi[[#This Row],[Colonne30]]),FALSE)=0,"",TEXT(IFERROR(VLOOKUP(T_BilanSocial[[#This Row],[NumL]],T_TraitDi[#Data],COLUMN(T_TraitDi[[#This Row],[Colonne30]]),FALSE),""),"[hh]:mm"))</f>
        <v>#VALUE!</v>
      </c>
      <c r="BN303" s="172" t="e">
        <f>IF(VLOOKUP(T_BilanSocial[[#This Row],[NumL]],T_TraitDi[#Data],COLUMN(T_TraitDi[[#This Row],[Colonne31]]),FALSE)=0,"",TEXT(IFERROR(VLOOKUP(T_BilanSocial[[#This Row],[NumL]],T_TraitDi[#Data],COLUMN(T_TraitDi[[#This Row],[Colonne31]]),FALSE),""),"[hh]:mm"))</f>
        <v>#VALUE!</v>
      </c>
      <c r="BO303" s="172" t="e">
        <f>IF(VLOOKUP(T_BilanSocial[[#This Row],[NumL]],T_TraitDi[#Data],COLUMN(T_TraitDi[[#This Row],[Colonne32]]),FALSE)=0,"",TEXT(IFERROR(VLOOKUP(T_BilanSocial[[#This Row],[NumL]],T_TraitDi[#Data],COLUMN(T_TraitDi[[#This Row],[Colonne32]]),FALSE),""),"[hh]:mm"))</f>
        <v>#VALUE!</v>
      </c>
      <c r="BP303" s="172" t="e">
        <f>VLOOKUP(T_BilanSocial[[#This Row],[NumL]],T_TraitDi[#Data],COLUMN(T_TraitDi[NbJTot]),FALSE)</f>
        <v>#N/A</v>
      </c>
      <c r="BQ303" s="174" t="str">
        <f>IFERROR(VLOOKUP(T_BilanSocial[[#This Row],[NumL]],T_TraitDi[#Data],COLUMN(T_TraitDi[[#This Row],[NbJTW]]),FALSE),"")</f>
        <v/>
      </c>
      <c r="BR303" s="174" t="e">
        <f>IF(VLOOKUP(T_BilanSocial[[#This Row],[NumL]],T_TraitDi[#Data],COLUMN(T_TraitDi[[#This Row],[NbhTW]]),FALSE)=0,"",TEXT(IFERROR(VLOOKUP(T_BilanSocial[[#This Row],[NumL]],T_TraitDi[#Data],COLUMN(T_TraitDi[[#This Row],[NbhTW]]),FALSE),""),"[hh]:mm"))</f>
        <v>#VALUE!</v>
      </c>
      <c r="BS303" s="174" t="e">
        <f>IF(VLOOKUP(T_BilanSocial[[#This Row],[NumL]],T_TraitDi[#Data],COLUMN(T_TraitDi[[#This Row],[Nbhheb]]),FALSE)=0,"",TEXT(IFERROR(VLOOKUP($A303,T_TraitDi[#Data],COLUMN(T_TraitDi[[#This Row],[Nbhheb]]),FALSE),""),"[hh]:mm"))</f>
        <v>#VALUE!</v>
      </c>
      <c r="BT303" s="182" t="str">
        <f>IFERROR(VLOOKUP(VLOOKUP($A303,T_TraitDi[#Data],COLUMN(T_TraitDi[[#This Row],[Type1]]),FALSE),TypeTW,2,FALSE),"")</f>
        <v/>
      </c>
      <c r="BU303" s="182" t="str">
        <f>IFERROR(VLOOKUP($A303,T_TraitDi[#Data],COLUMN(T_TraitDi[[#This Row],[Rue1]]),FALSE),"")</f>
        <v/>
      </c>
      <c r="BV303" s="173" t="str">
        <f>IFERROR(VLOOKUP($A303,T_TraitDi[#Data],COLUMN(T_TraitDi[[#This Row],[CP1]]),FALSE),"")</f>
        <v/>
      </c>
      <c r="BW303" s="173" t="str">
        <f>IFERROR(VLOOKUP($A303,T_TraitDi[#Data],COLUMN(T_TraitDi[[#This Row],[VILLE1]]),FALSE),"")</f>
        <v/>
      </c>
      <c r="BX303" s="182" t="str">
        <f>IFERROR(VLOOKUP(VLOOKUP($A303,T_TraitDi[#Data],COLUMN(T_TraitDi[[#This Row],[Type2]]),FALSE),TypeTW,2,FALSE),"")</f>
        <v/>
      </c>
      <c r="BY303" s="182" t="str">
        <f>IFERROR(VLOOKUP($A303,T_TraitDi[#Data],COLUMN(T_TraitDi[[#This Row],[Rue2]]),FALSE),"")</f>
        <v/>
      </c>
      <c r="BZ303" s="173" t="str">
        <f>IFERROR(VLOOKUP($A303,T_TraitDi[#Data],COLUMN(T_TraitDi[[#This Row],[CP2]]),FALSE),"")</f>
        <v/>
      </c>
      <c r="CA303" s="173" t="str">
        <f>IFERROR(VLOOKUP($A303,T_TraitDi[#Data],COLUMN(T_TraitDi[[#This Row],[VILLE2]]),FALSE),"")</f>
        <v/>
      </c>
      <c r="CB303"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3" s="166" t="str">
        <f>IFERROR(IF(VLOOKUP(T_BilanSocial[[#This Row],[NumL]],T_TraitDi[#Data],COLUMN(T_TraitDi[[#This Row],[Plan]]),FALSE)="OK","Un planning spécifique de télétravail est annexé à la présente convention.",""),"")</f>
        <v/>
      </c>
      <c r="CD303" s="301"/>
      <c r="CE303" s="164" t="e">
        <f>IF(VLOOKUP(T_BilanSocial[[#This Row],[NumL]],T_suiviDi[#Data],COLUMN(T_suiviDi[[#This Row],[Entité]]),FALSE)="","",VLOOKUP(T_BilanSocial[[#This Row],[NumL]],T_suiviDi[#Data],COLUMN(T_suiviDi[[#This Row],[Entité]]),FALSE))</f>
        <v>#VALUE!</v>
      </c>
      <c r="CF303" s="164" t="str">
        <f>IF(VLOOKUP(T_BilanSocial[[#This Row],[NumL]],T_Commission[#Data],COLUMN(T_Commission[[#This Row],[envoi confirm TW]]),FALSE)="","",VLOOKUP(T_BilanSocial[[#This Row],[NumL]],T_Commission[#Data],COLUMN(T_Commission[[#This Row],[envoi confirm TW]]),FALSE))</f>
        <v>Oui</v>
      </c>
      <c r="CG30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3" s="339" t="str">
        <f>T_BilanSocial[[#This Row],[Nom]]&amp;T_BilanSocial[[#This Row],[Prenom]]</f>
        <v/>
      </c>
      <c r="CI303" s="339">
        <f>VLOOKUP(T_BilanSocial[[#This Row],[NumL]],T_Commission[#Data],COLUMN(T_Commission[Commentaire]),FALSE)</f>
        <v>0</v>
      </c>
      <c r="CJ303" s="339" t="str">
        <f>IF(VLOOKUP(T_BilanSocial[[#This Row],[NumL]],T_Commission[#Data],COLUMN(T_Commission[Encadrant Email]),FALSE)="","",VLOOKUP(T_BilanSocial[[#This Row],[NumL]],T_Commission[#Data],COLUMN(T_Commission[Encadrant Email]),FALSE))</f>
        <v/>
      </c>
      <c r="CK303" s="332" t="str">
        <f>IF(T_BilanSocial[[#This Row],[Final]]&lt;&gt;"",VLOOKUP(T_BilanSocial[[#This Row],[NumL]],T_suiviDi[#Data],COLUMN((T_suiviDi[Statut])),FALSE),"")</f>
        <v/>
      </c>
    </row>
    <row r="304" spans="1:89" s="50" customFormat="1" ht="21" customHeight="1" x14ac:dyDescent="0.25">
      <c r="A304" s="136">
        <v>301</v>
      </c>
      <c r="B304" s="330" t="str">
        <f t="shared" si="56"/>
        <v/>
      </c>
      <c r="C304" s="309"/>
      <c r="D304" s="95" t="e">
        <f>IF(VLOOKUP(T_BilanSocial[[#This Row],[NumL]],T_TraitDi[#Data],COLUMN(T_TraitDi[[#This Row],[WebC]]),FALSE)="","",VLOOKUP(T_BilanSocial[[#This Row],[NumL]],T_TraitDi[#Data],COLUMN(T_TraitDi[[#This Row],[WebC]]),FALSE))</f>
        <v>#VALUE!</v>
      </c>
      <c r="E304" s="95" t="str">
        <f t="shared" si="57"/>
        <v>12 janvier 2021</v>
      </c>
      <c r="F304" s="96" t="str">
        <f>IF(T_BilanSocial[[#This Row],[Final]]&lt;&gt;"",VLOOKUP(T_BilanSocial[[#This Row],[NumL]],T_suiviDi[#Data],COLUMN((T_suiviDi[Civ.])),FALSE),"")</f>
        <v/>
      </c>
      <c r="G304" s="96" t="str">
        <f>IF(T_BilanSocial[[#This Row],[Final]]&lt;&gt;"",VLOOKUP(T_BilanSocial[[#This Row],[NumL]],T_suiviDi[#Data],COLUMN((T_suiviDi[Nom])),FALSE),"")</f>
        <v/>
      </c>
      <c r="H304" s="96" t="str">
        <f>IF(T_BilanSocial[[#This Row],[Final]]&lt;&gt;"",VLOOKUP(T_BilanSocial[[#This Row],[NumL]],T_suiviDi[#Data],COLUMN((T_suiviDi[Prénom])),FALSE),"")</f>
        <v/>
      </c>
      <c r="I304" s="331" t="str">
        <f>IFERROR(VLOOKUP(T_BilanSocial[[#This Row],[Zone_Bilan]],T_P_BilanSocial[#Data],COLUMN(T_P_BilanSocial[[#This Row],[Numero_SIHAM]]),FALSE),"")</f>
        <v/>
      </c>
      <c r="J304" s="331" t="str">
        <f>IFERROR(VLOOKUP(T_BilanSocial[[#This Row],[Zone_Bilan]],T_P_BilanSocial[#Data],COLUMN(T_P_BilanSocial[[#This Row],[Sexe]]),FALSE),"")</f>
        <v/>
      </c>
      <c r="K304" s="294" t="str">
        <f>IFERROR(VLOOKUP(T_BilanSocial[[#This Row],[Zone_Bilan]],T_P_BilanSocial[#Data],COLUMN(T_P_BilanSocial[[#This Row],[Categorie]]),FALSE),"")</f>
        <v/>
      </c>
      <c r="L304" s="331" t="str">
        <f>IFERROR(VLOOKUP(T_BilanSocial[[#This Row],[Zone_Bilan]],T_P_BilanSocial[#Data],COLUMN(T_P_BilanSocial[[#This Row],[Statut]]),FALSE),"")</f>
        <v/>
      </c>
      <c r="M304" s="331" t="str">
        <f>IFERROR(VLOOKUP(T_BilanSocial[[#This Row],[Zone_Bilan]],T_P_BilanSocial[#Data],COLUMN(T_P_BilanSocial[[#This Row],[Filiere]]),FALSE),"")</f>
        <v/>
      </c>
      <c r="N304" s="331" t="e">
        <f>VLOOKUP(T_BilanSocial[[#This Row],[NumL]],T_TraitDi[#Data],COLUMN(T_TraitDi[EXP]),FALSE)</f>
        <v>#N/A</v>
      </c>
      <c r="O304" s="331" t="e">
        <f>VLOOKUP(T_BilanSocial[[#This Row],[NumL]],T_TraitDi[#Data],COLUMN(T_TraitDi[FORM]),FALSE)</f>
        <v>#N/A</v>
      </c>
      <c r="P304" s="96" t="str">
        <f>IF(T_BilanSocial[[#This Row],[Final]]&lt;&gt;"",VLOOKUP(T_BilanSocial[[#This Row],[NumL]],T_suiviDi[#Data],COLUMN((T_suiviDi[Email])),FALSE),"")</f>
        <v/>
      </c>
      <c r="Q304" s="96" t="e">
        <f t="shared" si="58"/>
        <v>#N/A</v>
      </c>
      <c r="R304" s="96" t="e">
        <f t="shared" si="59"/>
        <v>#N/A</v>
      </c>
      <c r="S304" s="96" t="str">
        <f t="shared" si="55"/>
        <v/>
      </c>
      <c r="T304" s="96" t="str">
        <f t="shared" si="60"/>
        <v>01 septembre 2021</v>
      </c>
      <c r="U304" s="96" t="str">
        <f t="shared" si="61"/>
        <v>30 novembre 2021</v>
      </c>
      <c r="V304" s="97">
        <f t="shared" si="62"/>
        <v>44530</v>
      </c>
      <c r="W304" s="176" t="e">
        <f>IF(VLOOKUP(T_BilanSocial[[#This Row],[NumL]],T_TraitDi[#Data],COLUMN(T_TraitDi[[#This Row],[M1]]),FALSE)="","",VLOOKUP(T_BilanSocial[[#This Row],[NumL]],T_TraitDi[#Data],COLUMN(T_TraitDi[[#This Row],[M1]]),FALSE))</f>
        <v>#VALUE!</v>
      </c>
      <c r="X304" s="96" t="str">
        <f t="shared" si="63"/>
        <v/>
      </c>
      <c r="Y304" s="96" t="str">
        <f t="shared" si="63"/>
        <v/>
      </c>
      <c r="Z304" s="96" t="str">
        <f t="shared" si="64"/>
        <v/>
      </c>
      <c r="AA304" s="176" t="e">
        <f>IF(VLOOKUP(T_BilanSocial[[#This Row],[NumL]],T_TraitDi[#Data],COLUMN(T_TraitDi[[#This Row],[M5]]),FALSE)="","",VLOOKUP(T_BilanSocial[[#This Row],[NumL]],T_TraitDi[#Data],COLUMN(T_TraitDi[[#This Row],[M5]]),FALSE))</f>
        <v>#VALUE!</v>
      </c>
      <c r="AB304" s="176" t="e">
        <f>IF(VLOOKUP(T_BilanSocial[[#This Row],[NumL]],T_TraitDi[#Data],COLUMN(T_TraitDi[[#This Row],[M6]]),FALSE)="","",VLOOKUP(T_BilanSocial[[#This Row],[NumL]],T_TraitDi[#Data],COLUMN(T_TraitDi[[#This Row],[M6]]),FALSE))</f>
        <v>#VALUE!</v>
      </c>
      <c r="AC304" s="96" t="e">
        <f t="shared" si="67"/>
        <v>#VALUE!</v>
      </c>
      <c r="AD304" s="97" t="str">
        <f t="shared" si="65"/>
        <v/>
      </c>
      <c r="AE304" s="294" t="e">
        <f>VLOOKUP(T_BilanSocial[[#This Row],[NumL]],T_TraitDi[#Data],COLUMN(T_TraitDi[[#This Row],[Reg Ponct]]),FALSE)</f>
        <v>#VALUE!</v>
      </c>
      <c r="AF304" s="294" t="e">
        <f>VLOOKUP(T_BilanSocial[NumL],T_TraitDi[#Data],COLUMN(T_TraitDi[[#This Row],[Jours flottants]]),FALSE)</f>
        <v>#VALUE!</v>
      </c>
      <c r="AG304" s="97" t="str">
        <f>IFERROR(VLOOKUP(T_BilanSocial[[#This Row],[NumL]],T_TraitDi[#Data],COLUMN(T_TraitDi[[#This Row],[Lundi]]),FALSE),"")</f>
        <v/>
      </c>
      <c r="AH304" s="172" t="e">
        <f>IF(VLOOKUP(T_BilanSocial[[#This Row],[NumL]],T_TraitDi[#Data],COLUMN(T_TraitDi[[#This Row],[Colonne3]]),FALSE)=0,"",TEXT(IFERROR(VLOOKUP(T_BilanSocial[[#This Row],[NumL]],T_TraitDi[#Data],COLUMN(T_TraitDi[[#This Row],[Colonne3]]),FALSE),""),"[hh]:mm"))</f>
        <v>#VALUE!</v>
      </c>
      <c r="AI304" s="172" t="e">
        <f>IF(VLOOKUP(T_BilanSocial[[#This Row],[NumL]],T_TraitDi[#Data],COLUMN(T_TraitDi[[#This Row],[Colonne4]]),FALSE)=0,"",TEXT(IFERROR(VLOOKUP(T_BilanSocial[[#This Row],[NumL]],T_TraitDi[#Data],COLUMN(T_TraitDi[[#This Row],[Colonne4]]),FALSE),""),"[hh]:mm"))</f>
        <v>#VALUE!</v>
      </c>
      <c r="AJ304" s="172" t="e">
        <f>IF(VLOOKUP(T_BilanSocial[[#This Row],[NumL]],T_TraitDi[#Data],COLUMN(T_TraitDi[[#This Row],[Colonne5]]),FALSE)=0,"",TEXT(IFERROR(VLOOKUP(T_BilanSocial[[#This Row],[NumL]],T_TraitDi[#Data],COLUMN(T_TraitDi[[#This Row],[Colonne5]]),FALSE),""),"[hh]:mm"))</f>
        <v>#VALUE!</v>
      </c>
      <c r="AK304" s="172" t="e">
        <f>IF(VLOOKUP(T_BilanSocial[[#This Row],[NumL]],T_TraitDi[#Data],COLUMN(T_TraitDi[[#This Row],[Colonne6]]),FALSE)=0,"",TEXT(IFERROR(VLOOKUP(T_BilanSocial[[#This Row],[NumL]],T_TraitDi[#Data],COLUMN(T_TraitDi[[#This Row],[Colonne6]]),FALSE),""),"[hh]:mm"))</f>
        <v>#VALUE!</v>
      </c>
      <c r="AL304" s="172" t="e">
        <f>IF(VLOOKUP(T_BilanSocial[[#This Row],[NumL]],T_TraitDi[#Data],COLUMN(T_TraitDi[[#This Row],[Colonne7]]),FALSE)=0,"",TEXT(IFERROR(VLOOKUP(T_BilanSocial[[#This Row],[NumL]],T_TraitDi[#Data],COLUMN(T_TraitDi[[#This Row],[Colonne7]]),FALSE),""),"[hh]:mm"))</f>
        <v>#VALUE!</v>
      </c>
      <c r="AM304" s="172" t="e">
        <f>IF(VLOOKUP(T_BilanSocial[[#This Row],[NumL]],T_TraitDi[#Data],COLUMN(T_TraitDi[[#This Row],[Colonne8]]),FALSE)=0,"",TEXT(IFERROR(VLOOKUP(T_BilanSocial[[#This Row],[NumL]],T_TraitDi[#Data],COLUMN(T_TraitDi[[#This Row],[Colonne8]]),FALSE),""),"[hh]:mm"))</f>
        <v>#VALUE!</v>
      </c>
      <c r="AN304" s="172" t="str">
        <f>IFERROR(VLOOKUP(T_BilanSocial[[#This Row],[NumL]],T_TraitDi[#Data],COLUMN(T_TraitDi[[#This Row],[Mardi]]),FALSE),"")</f>
        <v/>
      </c>
      <c r="AO304" s="172" t="e">
        <f>IF(VLOOKUP(T_BilanSocial[[#This Row],[NumL]],T_TraitDi[#Data],COLUMN(T_TraitDi[[#This Row],[Colonne1]]),FALSE)=0,"",TEXT(IFERROR(VLOOKUP(T_BilanSocial[[#This Row],[NumL]],T_TraitDi[#Data],COLUMN(T_TraitDi[[#This Row],[Colonne1]]),FALSE),""),"[hh]:mm"))</f>
        <v>#VALUE!</v>
      </c>
      <c r="AP304" s="172" t="e">
        <f>IF(VLOOKUP(T_BilanSocial[[#This Row],[NumL]],T_TraitDi[#Data],COLUMN(T_TraitDi[[#This Row],[Colonne9]]),FALSE)=0,"",TEXT(IFERROR(VLOOKUP(T_BilanSocial[[#This Row],[NumL]],T_TraitDi[#Data],COLUMN(T_TraitDi[[#This Row],[Colonne9]]),FALSE),""),"[hh]:mm"))</f>
        <v>#VALUE!</v>
      </c>
      <c r="AQ304" s="172" t="str">
        <f>IFERROR(VLOOKUP(T_BilanSocial[[#This Row],[NumL]],T_TraitDi[#Data],COLUMN(T_TraitDi[[#This Row],[Colonne10]]),FALSE),"")</f>
        <v/>
      </c>
      <c r="AR304" s="172" t="e">
        <f>IF(VLOOKUP(T_BilanSocial[[#This Row],[NumL]],T_TraitDi[#Data],COLUMN(T_TraitDi[[#This Row],[Colonne11]]),FALSE)=0,"",TEXT(IFERROR(VLOOKUP(T_BilanSocial[[#This Row],[NumL]],T_TraitDi[#Data],COLUMN(T_TraitDi[[#This Row],[Colonne11]]),FALSE),""),"[hh]:mm"))</f>
        <v>#VALUE!</v>
      </c>
      <c r="AS304" s="172" t="e">
        <f>IF(VLOOKUP(T_BilanSocial[[#This Row],[NumL]],T_TraitDi[#Data],COLUMN(T_TraitDi[[#This Row],[Colonne12]]),FALSE)=0,"",TEXT(IFERROR(VLOOKUP(T_BilanSocial[[#This Row],[NumL]],T_TraitDi[#Data],COLUMN(T_TraitDi[[#This Row],[Colonne12]]),FALSE),""),"[hh]:mm"))</f>
        <v>#VALUE!</v>
      </c>
      <c r="AT304" s="172" t="e">
        <f>IF(VLOOKUP(T_BilanSocial[[#This Row],[NumL]],T_TraitDi[#Data],COLUMN(T_TraitDi[[#This Row],[Colonne14]]),FALSE)=0,"",TEXT(IFERROR(VLOOKUP(T_BilanSocial[[#This Row],[NumL]],T_TraitDi[#Data],COLUMN(T_TraitDi[[#This Row],[Colonne14]]),FALSE),""),"[hh]:mm"))</f>
        <v>#VALUE!</v>
      </c>
      <c r="AU304" s="172" t="str">
        <f>IFERROR(VLOOKUP(T_BilanSocial[[#This Row],[NumL]],T_TraitDi[#Data],COLUMN(T_TraitDi[[#This Row],[Mercredi]]),FALSE),"")</f>
        <v/>
      </c>
      <c r="AV304" s="172" t="e">
        <f>IF(VLOOKUP(T_BilanSocial[[#This Row],[NumL]],T_TraitDi[#Data],COLUMN(T_TraitDi[[#This Row],[Colonne15]]),FALSE)=0,"",TEXT(IFERROR(VLOOKUP(T_BilanSocial[[#This Row],[NumL]],T_TraitDi[#Data],COLUMN(T_TraitDi[[#This Row],[Colonne15]]),FALSE),""),"[hh]:mm"))</f>
        <v>#VALUE!</v>
      </c>
      <c r="AW304" s="172" t="e">
        <f>IF(VLOOKUP(T_BilanSocial[[#This Row],[NumL]],T_TraitDi[#Data],COLUMN(T_TraitDi[[#This Row],[Colonne16]]),FALSE)=0,"",TEXT(IFERROR(VLOOKUP(T_BilanSocial[[#This Row],[NumL]],T_TraitDi[#Data],COLUMN(T_TraitDi[[#This Row],[Colonne16]]),FALSE),""),"[hh]:mm"))</f>
        <v>#VALUE!</v>
      </c>
      <c r="AX304" s="172" t="str">
        <f>IFERROR(VLOOKUP(T_BilanSocial[[#This Row],[NumL]],T_TraitDi[#Data],COLUMN(T_TraitDi[[#This Row],[Colonne17]]),FALSE),"")</f>
        <v/>
      </c>
      <c r="AY304" s="172" t="e">
        <f>IF(VLOOKUP(T_BilanSocial[[#This Row],[NumL]],T_TraitDi[#Data],COLUMN(T_TraitDi[[#This Row],[Colonne18]]),FALSE)=0,"",TEXT(IFERROR(VLOOKUP(T_BilanSocial[[#This Row],[NumL]],T_TraitDi[#Data],COLUMN(T_TraitDi[[#This Row],[Colonne18]]),FALSE),""),"[hh]:mm"))</f>
        <v>#VALUE!</v>
      </c>
      <c r="AZ304" s="172" t="e">
        <f>IF(VLOOKUP(T_BilanSocial[[#This Row],[NumL]],T_TraitDi[#Data],COLUMN(T_TraitDi[[#This Row],[Colonne19]]),FALSE)=0,"",TEXT(IFERROR(VLOOKUP(T_BilanSocial[[#This Row],[NumL]],T_TraitDi[#Data],COLUMN(T_TraitDi[[#This Row],[Colonne19]]),FALSE),""),"[hh]:mm"))</f>
        <v>#VALUE!</v>
      </c>
      <c r="BA304" s="172" t="e">
        <f>IF(VLOOKUP(T_BilanSocial[[#This Row],[NumL]],T_TraitDi[#Data],COLUMN(T_TraitDi[[#This Row],[Colonne20]]),FALSE)=0,"",TEXT(IFERROR(VLOOKUP(T_BilanSocial[[#This Row],[NumL]],T_TraitDi[#Data],COLUMN(T_TraitDi[[#This Row],[Colonne20]]),FALSE),""),"[hh]:mm"))</f>
        <v>#VALUE!</v>
      </c>
      <c r="BB304" s="178" t="str">
        <f>IFERROR(VLOOKUP(T_BilanSocial[[#This Row],[NumL]],T_TraitDi[#Data],COLUMN(T_TraitDi[[#This Row],[Jeudi]]),FALSE),"")</f>
        <v/>
      </c>
      <c r="BC304" s="178" t="e">
        <f>IF(VLOOKUP(T_BilanSocial[[#This Row],[NumL]],T_TraitDi[#Data],COLUMN(T_TraitDi[[#This Row],[Colonne21]]),FALSE)=0,"",TEXT(IFERROR(VLOOKUP(T_BilanSocial[[#This Row],[NumL]],T_TraitDi[#Data],COLUMN(T_TraitDi[[#This Row],[Colonne21]]),FALSE),""),"[hh]:mm"))</f>
        <v>#VALUE!</v>
      </c>
      <c r="BD304" s="178" t="e">
        <f>IF(VLOOKUP(T_BilanSocial[[#This Row],[NumL]],T_TraitDi[#Data],COLUMN(T_TraitDi[[#This Row],[Colonne22]]),FALSE)=0,"",TEXT(IFERROR(VLOOKUP(T_BilanSocial[[#This Row],[NumL]],T_TraitDi[#Data],COLUMN(T_TraitDi[[#This Row],[Colonne22]]),FALSE),""),"[hh]:mm"))</f>
        <v>#VALUE!</v>
      </c>
      <c r="BE304" s="178" t="str">
        <f>IFERROR(VLOOKUP(T_BilanSocial[[#This Row],[NumL]],T_TraitDi[#Data],COLUMN(T_TraitDi[[#This Row],[Colonne23]]),FALSE),"")</f>
        <v/>
      </c>
      <c r="BF304" s="178" t="e">
        <f>IF(VLOOKUP(T_BilanSocial[[#This Row],[NumL]],T_TraitDi[#Data],COLUMN(T_TraitDi[[#This Row],[Colonne24]]),FALSE)=0,"",TEXT(IFERROR(VLOOKUP(T_BilanSocial[[#This Row],[NumL]],T_TraitDi[#Data],COLUMN(T_TraitDi[[#This Row],[Colonne24]]),FALSE),""),"[hh]:mm"))</f>
        <v>#VALUE!</v>
      </c>
      <c r="BG304" s="178" t="e">
        <f>IF(VLOOKUP(T_BilanSocial[[#This Row],[NumL]],T_TraitDi[#Data],COLUMN(T_TraitDi[[#This Row],[Colonne25]]),FALSE)=0,"",TEXT(IFERROR(VLOOKUP(T_BilanSocial[[#This Row],[NumL]],T_TraitDi[#Data],COLUMN(T_TraitDi[[#This Row],[Colonne25]]),FALSE),""),"[hh]:mm"))</f>
        <v>#VALUE!</v>
      </c>
      <c r="BH304" s="178" t="e">
        <f>IF(VLOOKUP(T_BilanSocial[[#This Row],[NumL]],T_TraitDi[#Data],COLUMN(T_TraitDi[[#This Row],[Colonne26]]),FALSE)=0,"",TEXT(IFERROR(VLOOKUP(T_BilanSocial[[#This Row],[NumL]],T_TraitDi[#Data],COLUMN(T_TraitDi[[#This Row],[Colonne26]]),FALSE),""),"[hh]:mm"))</f>
        <v>#VALUE!</v>
      </c>
      <c r="BI304" s="172" t="str">
        <f>IFERROR(VLOOKUP(T_BilanSocial[[#This Row],[NumL]],T_TraitDi[#Data],COLUMN(T_TraitDi[[#This Row],[Vendredi]]),FALSE),"")</f>
        <v/>
      </c>
      <c r="BJ304" s="172" t="e">
        <f>IF(VLOOKUP(T_BilanSocial[[#This Row],[NumL]],T_TraitDi[#Data],COLUMN(T_TraitDi[[#This Row],[Colonne27]]),FALSE)=0,"",TEXT(IFERROR(VLOOKUP(T_BilanSocial[[#This Row],[NumL]],T_TraitDi[#Data],COLUMN(T_TraitDi[[#This Row],[Colonne27]]),FALSE),""),"[hh]:mm"))</f>
        <v>#VALUE!</v>
      </c>
      <c r="BK304" s="172" t="e">
        <f>IF(VLOOKUP(T_BilanSocial[[#This Row],[NumL]],T_TraitDi[#Data],COLUMN(T_TraitDi[[#This Row],[Colonne28]]),FALSE)=0,"",TEXT(IFERROR(VLOOKUP(T_BilanSocial[[#This Row],[NumL]],T_TraitDi[#Data],COLUMN(T_TraitDi[[#This Row],[Colonne28]]),FALSE),""),"[hh]:mm"))</f>
        <v>#VALUE!</v>
      </c>
      <c r="BL304" s="172" t="str">
        <f>IFERROR(VLOOKUP(T_BilanSocial[[#This Row],[NumL]],T_TraitDi[#Data],COLUMN(T_TraitDi[[#This Row],[Colonne29]]),FALSE),"")</f>
        <v/>
      </c>
      <c r="BM304" s="172" t="e">
        <f>IF(VLOOKUP(T_BilanSocial[[#This Row],[NumL]],T_TraitDi[#Data],COLUMN(T_TraitDi[[#This Row],[Colonne30]]),FALSE)=0,"",TEXT(IFERROR(VLOOKUP(T_BilanSocial[[#This Row],[NumL]],T_TraitDi[#Data],COLUMN(T_TraitDi[[#This Row],[Colonne30]]),FALSE),""),"[hh]:mm"))</f>
        <v>#VALUE!</v>
      </c>
      <c r="BN304" s="172" t="e">
        <f>IF(VLOOKUP(T_BilanSocial[[#This Row],[NumL]],T_TraitDi[#Data],COLUMN(T_TraitDi[[#This Row],[Colonne31]]),FALSE)=0,"",TEXT(IFERROR(VLOOKUP(T_BilanSocial[[#This Row],[NumL]],T_TraitDi[#Data],COLUMN(T_TraitDi[[#This Row],[Colonne31]]),FALSE),""),"[hh]:mm"))</f>
        <v>#VALUE!</v>
      </c>
      <c r="BO304" s="172" t="e">
        <f>IF(VLOOKUP(T_BilanSocial[[#This Row],[NumL]],T_TraitDi[#Data],COLUMN(T_TraitDi[[#This Row],[Colonne32]]),FALSE)=0,"",TEXT(IFERROR(VLOOKUP(T_BilanSocial[[#This Row],[NumL]],T_TraitDi[#Data],COLUMN(T_TraitDi[[#This Row],[Colonne32]]),FALSE),""),"[hh]:mm"))</f>
        <v>#VALUE!</v>
      </c>
      <c r="BP304" s="172" t="e">
        <f>VLOOKUP(T_BilanSocial[[#This Row],[NumL]],T_TraitDi[#Data],COLUMN(T_TraitDi[NbJTot]),FALSE)</f>
        <v>#N/A</v>
      </c>
      <c r="BQ304" s="174" t="str">
        <f>IFERROR(VLOOKUP(T_BilanSocial[[#This Row],[NumL]],T_TraitDi[#Data],COLUMN(T_TraitDi[[#This Row],[NbJTW]]),FALSE),"")</f>
        <v/>
      </c>
      <c r="BR304" s="174" t="e">
        <f>IF(VLOOKUP(T_BilanSocial[[#This Row],[NumL]],T_TraitDi[#Data],COLUMN(T_TraitDi[[#This Row],[NbhTW]]),FALSE)=0,"",TEXT(IFERROR(VLOOKUP(T_BilanSocial[[#This Row],[NumL]],T_TraitDi[#Data],COLUMN(T_TraitDi[[#This Row],[NbhTW]]),FALSE),""),"[hh]:mm"))</f>
        <v>#VALUE!</v>
      </c>
      <c r="BS304" s="174" t="e">
        <f>IF(VLOOKUP(T_BilanSocial[[#This Row],[NumL]],T_TraitDi[#Data],COLUMN(T_TraitDi[[#This Row],[Nbhheb]]),FALSE)=0,"",TEXT(IFERROR(VLOOKUP($A304,T_TraitDi[#Data],COLUMN(T_TraitDi[[#This Row],[Nbhheb]]),FALSE),""),"[hh]:mm"))</f>
        <v>#VALUE!</v>
      </c>
      <c r="BT304" s="182" t="str">
        <f>IFERROR(VLOOKUP(VLOOKUP($A304,T_TraitDi[#Data],COLUMN(T_TraitDi[[#This Row],[Type1]]),FALSE),TypeTW,2,FALSE),"")</f>
        <v/>
      </c>
      <c r="BU304" s="182" t="str">
        <f>IFERROR(VLOOKUP($A304,T_TraitDi[#Data],COLUMN(T_TraitDi[[#This Row],[Rue1]]),FALSE),"")</f>
        <v/>
      </c>
      <c r="BV304" s="173" t="str">
        <f>IFERROR(VLOOKUP($A304,T_TraitDi[#Data],COLUMN(T_TraitDi[[#This Row],[CP1]]),FALSE),"")</f>
        <v/>
      </c>
      <c r="BW304" s="173" t="str">
        <f>IFERROR(VLOOKUP($A304,T_TraitDi[#Data],COLUMN(T_TraitDi[[#This Row],[VILLE1]]),FALSE),"")</f>
        <v/>
      </c>
      <c r="BX304" s="182" t="str">
        <f>IFERROR(VLOOKUP(VLOOKUP($A304,T_TraitDi[#Data],COLUMN(T_TraitDi[[#This Row],[Type2]]),FALSE),TypeTW,2,FALSE),"")</f>
        <v/>
      </c>
      <c r="BY304" s="182" t="str">
        <f>IFERROR(VLOOKUP($A304,T_TraitDi[#Data],COLUMN(T_TraitDi[[#This Row],[Rue2]]),FALSE),"")</f>
        <v/>
      </c>
      <c r="BZ304" s="173" t="str">
        <f>IFERROR(VLOOKUP($A304,T_TraitDi[#Data],COLUMN(T_TraitDi[[#This Row],[CP2]]),FALSE),"")</f>
        <v/>
      </c>
      <c r="CA304" s="173" t="str">
        <f>IFERROR(VLOOKUP($A304,T_TraitDi[#Data],COLUMN(T_TraitDi[[#This Row],[VILLE2]]),FALSE),"")</f>
        <v/>
      </c>
      <c r="CB304"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4" s="166" t="str">
        <f>IFERROR(IF(VLOOKUP(T_BilanSocial[[#This Row],[NumL]],T_TraitDi[#Data],COLUMN(T_TraitDi[[#This Row],[Plan]]),FALSE)="OK","Un planning spécifique de télétravail est annexé à la présente convention.",""),"")</f>
        <v/>
      </c>
      <c r="CD304" s="301"/>
      <c r="CE304" s="164" t="e">
        <f>IF(VLOOKUP(T_BilanSocial[[#This Row],[NumL]],T_suiviDi[#Data],COLUMN(T_suiviDi[[#This Row],[Entité]]),FALSE)="","",VLOOKUP(T_BilanSocial[[#This Row],[NumL]],T_suiviDi[#Data],COLUMN(T_suiviDi[[#This Row],[Entité]]),FALSE))</f>
        <v>#VALUE!</v>
      </c>
      <c r="CF304" s="164" t="str">
        <f>IF(VLOOKUP(T_BilanSocial[[#This Row],[NumL]],T_Commission[#Data],COLUMN(T_Commission[[#This Row],[envoi confirm TW]]),FALSE)="","",VLOOKUP(T_BilanSocial[[#This Row],[NumL]],T_Commission[#Data],COLUMN(T_Commission[[#This Row],[envoi confirm TW]]),FALSE))</f>
        <v>Oui</v>
      </c>
      <c r="CG30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4" s="339" t="str">
        <f>T_BilanSocial[[#This Row],[Nom]]&amp;T_BilanSocial[[#This Row],[Prenom]]</f>
        <v/>
      </c>
      <c r="CI304" s="339">
        <f>VLOOKUP(T_BilanSocial[[#This Row],[NumL]],T_Commission[#Data],COLUMN(T_Commission[Commentaire]),FALSE)</f>
        <v>0</v>
      </c>
      <c r="CJ304" s="339" t="str">
        <f>IF(VLOOKUP(T_BilanSocial[[#This Row],[NumL]],T_Commission[#Data],COLUMN(T_Commission[Encadrant Email]),FALSE)="","",VLOOKUP(T_BilanSocial[[#This Row],[NumL]],T_Commission[#Data],COLUMN(T_Commission[Encadrant Email]),FALSE))</f>
        <v/>
      </c>
      <c r="CK304" s="332" t="str">
        <f>IF(T_BilanSocial[[#This Row],[Final]]&lt;&gt;"",VLOOKUP(T_BilanSocial[[#This Row],[NumL]],T_suiviDi[#Data],COLUMN((T_suiviDi[Statut])),FALSE),"")</f>
        <v/>
      </c>
    </row>
    <row r="305" spans="1:89" s="50" customFormat="1" ht="29.25" customHeight="1" x14ac:dyDescent="0.25">
      <c r="A305" s="136">
        <v>302</v>
      </c>
      <c r="B305" s="330" t="str">
        <f t="shared" si="56"/>
        <v/>
      </c>
      <c r="C305" s="309"/>
      <c r="D305" s="95" t="e">
        <f>IF(VLOOKUP(T_BilanSocial[[#This Row],[NumL]],T_TraitDi[#Data],COLUMN(T_TraitDi[[#This Row],[WebC]]),FALSE)="","",VLOOKUP(T_BilanSocial[[#This Row],[NumL]],T_TraitDi[#Data],COLUMN(T_TraitDi[[#This Row],[WebC]]),FALSE))</f>
        <v>#VALUE!</v>
      </c>
      <c r="E305" s="95" t="str">
        <f t="shared" si="57"/>
        <v>12 janvier 2021</v>
      </c>
      <c r="F305" s="96" t="str">
        <f>IF(T_BilanSocial[[#This Row],[Final]]&lt;&gt;"",VLOOKUP(T_BilanSocial[[#This Row],[NumL]],T_suiviDi[#Data],COLUMN((T_suiviDi[Civ.])),FALSE),"")</f>
        <v/>
      </c>
      <c r="G305" s="96" t="str">
        <f>IF(T_BilanSocial[[#This Row],[Final]]&lt;&gt;"",VLOOKUP(T_BilanSocial[[#This Row],[NumL]],T_suiviDi[#Data],COLUMN((T_suiviDi[Nom])),FALSE),"")</f>
        <v/>
      </c>
      <c r="H305" s="96" t="str">
        <f>IF(T_BilanSocial[[#This Row],[Final]]&lt;&gt;"",VLOOKUP(T_BilanSocial[[#This Row],[NumL]],T_suiviDi[#Data],COLUMN((T_suiviDi[Prénom])),FALSE),"")</f>
        <v/>
      </c>
      <c r="I305" s="331" t="str">
        <f>IFERROR(VLOOKUP(T_BilanSocial[[#This Row],[Zone_Bilan]],T_P_BilanSocial[#Data],COLUMN(T_P_BilanSocial[[#This Row],[Numero_SIHAM]]),FALSE),"")</f>
        <v/>
      </c>
      <c r="J305" s="331" t="str">
        <f>IFERROR(VLOOKUP(T_BilanSocial[[#This Row],[Zone_Bilan]],T_P_BilanSocial[#Data],COLUMN(T_P_BilanSocial[[#This Row],[Sexe]]),FALSE),"")</f>
        <v/>
      </c>
      <c r="K305" s="294" t="str">
        <f>IFERROR(VLOOKUP(T_BilanSocial[[#This Row],[Zone_Bilan]],T_P_BilanSocial[#Data],COLUMN(T_P_BilanSocial[[#This Row],[Categorie]]),FALSE),"")</f>
        <v/>
      </c>
      <c r="L305" s="331" t="str">
        <f>IFERROR(VLOOKUP(T_BilanSocial[[#This Row],[Zone_Bilan]],T_P_BilanSocial[#Data],COLUMN(T_P_BilanSocial[[#This Row],[Statut]]),FALSE),"")</f>
        <v/>
      </c>
      <c r="M305" s="331" t="str">
        <f>IFERROR(VLOOKUP(T_BilanSocial[[#This Row],[Zone_Bilan]],T_P_BilanSocial[#Data],COLUMN(T_P_BilanSocial[[#This Row],[Filiere]]),FALSE),"")</f>
        <v/>
      </c>
      <c r="N305" s="331" t="e">
        <f>VLOOKUP(T_BilanSocial[[#This Row],[NumL]],T_TraitDi[#Data],COLUMN(T_TraitDi[EXP]),FALSE)</f>
        <v>#N/A</v>
      </c>
      <c r="O305" s="331" t="e">
        <f>VLOOKUP(T_BilanSocial[[#This Row],[NumL]],T_TraitDi[#Data],COLUMN(T_TraitDi[FORM]),FALSE)</f>
        <v>#N/A</v>
      </c>
      <c r="P305" s="96" t="str">
        <f>IF(T_BilanSocial[[#This Row],[Final]]&lt;&gt;"",VLOOKUP(T_BilanSocial[[#This Row],[NumL]],T_suiviDi[#Data],COLUMN((T_suiviDi[Email])),FALSE),"")</f>
        <v/>
      </c>
      <c r="Q305" s="96" t="e">
        <f t="shared" si="58"/>
        <v>#N/A</v>
      </c>
      <c r="R305" s="96" t="e">
        <f t="shared" si="59"/>
        <v>#N/A</v>
      </c>
      <c r="S305" s="96" t="str">
        <f t="shared" si="55"/>
        <v/>
      </c>
      <c r="T305" s="96" t="str">
        <f t="shared" si="60"/>
        <v>01 septembre 2021</v>
      </c>
      <c r="U305" s="96" t="str">
        <f t="shared" si="61"/>
        <v>30 novembre 2021</v>
      </c>
      <c r="V305" s="97">
        <f t="shared" si="62"/>
        <v>44530</v>
      </c>
      <c r="W305" s="176" t="e">
        <f>IF(VLOOKUP(T_BilanSocial[[#This Row],[NumL]],T_TraitDi[#Data],COLUMN(T_TraitDi[[#This Row],[M1]]),FALSE)="","",VLOOKUP(T_BilanSocial[[#This Row],[NumL]],T_TraitDi[#Data],COLUMN(T_TraitDi[[#This Row],[M1]]),FALSE))</f>
        <v>#VALUE!</v>
      </c>
      <c r="X305" s="96" t="str">
        <f t="shared" si="63"/>
        <v/>
      </c>
      <c r="Y305" s="96" t="str">
        <f t="shared" si="63"/>
        <v/>
      </c>
      <c r="Z305" s="96" t="str">
        <f t="shared" si="64"/>
        <v/>
      </c>
      <c r="AA305" s="176" t="e">
        <f>IF(VLOOKUP(T_BilanSocial[[#This Row],[NumL]],T_TraitDi[#Data],COLUMN(T_TraitDi[[#This Row],[M5]]),FALSE)="","",VLOOKUP(T_BilanSocial[[#This Row],[NumL]],T_TraitDi[#Data],COLUMN(T_TraitDi[[#This Row],[M5]]),FALSE))</f>
        <v>#VALUE!</v>
      </c>
      <c r="AB305" s="176" t="e">
        <f>IF(VLOOKUP(T_BilanSocial[[#This Row],[NumL]],T_TraitDi[#Data],COLUMN(T_TraitDi[[#This Row],[M6]]),FALSE)="","",VLOOKUP(T_BilanSocial[[#This Row],[NumL]],T_TraitDi[#Data],COLUMN(T_TraitDi[[#This Row],[M6]]),FALSE))</f>
        <v>#VALUE!</v>
      </c>
      <c r="AC305" s="96" t="e">
        <f t="shared" si="67"/>
        <v>#VALUE!</v>
      </c>
      <c r="AD305" s="97" t="str">
        <f t="shared" si="65"/>
        <v/>
      </c>
      <c r="AE305" s="294" t="e">
        <f>VLOOKUP(T_BilanSocial[[#This Row],[NumL]],T_TraitDi[#Data],COLUMN(T_TraitDi[[#This Row],[Reg Ponct]]),FALSE)</f>
        <v>#VALUE!</v>
      </c>
      <c r="AF305" s="294" t="e">
        <f>VLOOKUP(T_BilanSocial[NumL],T_TraitDi[#Data],COLUMN(T_TraitDi[[#This Row],[Jours flottants]]),FALSE)</f>
        <v>#VALUE!</v>
      </c>
      <c r="AG305" s="97" t="str">
        <f>IFERROR(VLOOKUP(T_BilanSocial[[#This Row],[NumL]],T_TraitDi[#Data],COLUMN(T_TraitDi[[#This Row],[Lundi]]),FALSE),"")</f>
        <v/>
      </c>
      <c r="AH305" s="172" t="e">
        <f>IF(VLOOKUP(T_BilanSocial[[#This Row],[NumL]],T_TraitDi[#Data],COLUMN(T_TraitDi[[#This Row],[Colonne3]]),FALSE)=0,"",TEXT(IFERROR(VLOOKUP(T_BilanSocial[[#This Row],[NumL]],T_TraitDi[#Data],COLUMN(T_TraitDi[[#This Row],[Colonne3]]),FALSE),""),"[hh]:mm"))</f>
        <v>#VALUE!</v>
      </c>
      <c r="AI305" s="172" t="e">
        <f>IF(VLOOKUP(T_BilanSocial[[#This Row],[NumL]],T_TraitDi[#Data],COLUMN(T_TraitDi[[#This Row],[Colonne4]]),FALSE)=0,"",TEXT(IFERROR(VLOOKUP(T_BilanSocial[[#This Row],[NumL]],T_TraitDi[#Data],COLUMN(T_TraitDi[[#This Row],[Colonne4]]),FALSE),""),"[hh]:mm"))</f>
        <v>#VALUE!</v>
      </c>
      <c r="AJ305" s="172" t="e">
        <f>IF(VLOOKUP(T_BilanSocial[[#This Row],[NumL]],T_TraitDi[#Data],COLUMN(T_TraitDi[[#This Row],[Colonne5]]),FALSE)=0,"",TEXT(IFERROR(VLOOKUP(T_BilanSocial[[#This Row],[NumL]],T_TraitDi[#Data],COLUMN(T_TraitDi[[#This Row],[Colonne5]]),FALSE),""),"[hh]:mm"))</f>
        <v>#VALUE!</v>
      </c>
      <c r="AK305" s="172" t="e">
        <f>IF(VLOOKUP(T_BilanSocial[[#This Row],[NumL]],T_TraitDi[#Data],COLUMN(T_TraitDi[[#This Row],[Colonne6]]),FALSE)=0,"",TEXT(IFERROR(VLOOKUP(T_BilanSocial[[#This Row],[NumL]],T_TraitDi[#Data],COLUMN(T_TraitDi[[#This Row],[Colonne6]]),FALSE),""),"[hh]:mm"))</f>
        <v>#VALUE!</v>
      </c>
      <c r="AL305" s="172" t="e">
        <f>IF(VLOOKUP(T_BilanSocial[[#This Row],[NumL]],T_TraitDi[#Data],COLUMN(T_TraitDi[[#This Row],[Colonne7]]),FALSE)=0,"",TEXT(IFERROR(VLOOKUP(T_BilanSocial[[#This Row],[NumL]],T_TraitDi[#Data],COLUMN(T_TraitDi[[#This Row],[Colonne7]]),FALSE),""),"[hh]:mm"))</f>
        <v>#VALUE!</v>
      </c>
      <c r="AM305" s="172" t="e">
        <f>IF(VLOOKUP(T_BilanSocial[[#This Row],[NumL]],T_TraitDi[#Data],COLUMN(T_TraitDi[[#This Row],[Colonne8]]),FALSE)=0,"",TEXT(IFERROR(VLOOKUP(T_BilanSocial[[#This Row],[NumL]],T_TraitDi[#Data],COLUMN(T_TraitDi[[#This Row],[Colonne8]]),FALSE),""),"[hh]:mm"))</f>
        <v>#VALUE!</v>
      </c>
      <c r="AN305" s="172" t="str">
        <f>IFERROR(VLOOKUP(T_BilanSocial[[#This Row],[NumL]],T_TraitDi[#Data],COLUMN(T_TraitDi[[#This Row],[Mardi]]),FALSE),"")</f>
        <v/>
      </c>
      <c r="AO305" s="172" t="e">
        <f>IF(VLOOKUP(T_BilanSocial[[#This Row],[NumL]],T_TraitDi[#Data],COLUMN(T_TraitDi[[#This Row],[Colonne1]]),FALSE)=0,"",TEXT(IFERROR(VLOOKUP(T_BilanSocial[[#This Row],[NumL]],T_TraitDi[#Data],COLUMN(T_TraitDi[[#This Row],[Colonne1]]),FALSE),""),"[hh]:mm"))</f>
        <v>#VALUE!</v>
      </c>
      <c r="AP305" s="172" t="e">
        <f>IF(VLOOKUP(T_BilanSocial[[#This Row],[NumL]],T_TraitDi[#Data],COLUMN(T_TraitDi[[#This Row],[Colonne9]]),FALSE)=0,"",TEXT(IFERROR(VLOOKUP(T_BilanSocial[[#This Row],[NumL]],T_TraitDi[#Data],COLUMN(T_TraitDi[[#This Row],[Colonne9]]),FALSE),""),"[hh]:mm"))</f>
        <v>#VALUE!</v>
      </c>
      <c r="AQ305" s="172" t="str">
        <f>IFERROR(VLOOKUP(T_BilanSocial[[#This Row],[NumL]],T_TraitDi[#Data],COLUMN(T_TraitDi[[#This Row],[Colonne10]]),FALSE),"")</f>
        <v/>
      </c>
      <c r="AR305" s="172" t="e">
        <f>IF(VLOOKUP(T_BilanSocial[[#This Row],[NumL]],T_TraitDi[#Data],COLUMN(T_TraitDi[[#This Row],[Colonne11]]),FALSE)=0,"",TEXT(IFERROR(VLOOKUP(T_BilanSocial[[#This Row],[NumL]],T_TraitDi[#Data],COLUMN(T_TraitDi[[#This Row],[Colonne11]]),FALSE),""),"[hh]:mm"))</f>
        <v>#VALUE!</v>
      </c>
      <c r="AS305" s="172" t="e">
        <f>IF(VLOOKUP(T_BilanSocial[[#This Row],[NumL]],T_TraitDi[#Data],COLUMN(T_TraitDi[[#This Row],[Colonne12]]),FALSE)=0,"",TEXT(IFERROR(VLOOKUP(T_BilanSocial[[#This Row],[NumL]],T_TraitDi[#Data],COLUMN(T_TraitDi[[#This Row],[Colonne12]]),FALSE),""),"[hh]:mm"))</f>
        <v>#VALUE!</v>
      </c>
      <c r="AT305" s="172" t="e">
        <f>IF(VLOOKUP(T_BilanSocial[[#This Row],[NumL]],T_TraitDi[#Data],COLUMN(T_TraitDi[[#This Row],[Colonne14]]),FALSE)=0,"",TEXT(IFERROR(VLOOKUP(T_BilanSocial[[#This Row],[NumL]],T_TraitDi[#Data],COLUMN(T_TraitDi[[#This Row],[Colonne14]]),FALSE),""),"[hh]:mm"))</f>
        <v>#VALUE!</v>
      </c>
      <c r="AU305" s="172" t="str">
        <f>IFERROR(VLOOKUP(T_BilanSocial[[#This Row],[NumL]],T_TraitDi[#Data],COLUMN(T_TraitDi[[#This Row],[Mercredi]]),FALSE),"")</f>
        <v/>
      </c>
      <c r="AV305" s="172" t="e">
        <f>IF(VLOOKUP(T_BilanSocial[[#This Row],[NumL]],T_TraitDi[#Data],COLUMN(T_TraitDi[[#This Row],[Colonne15]]),FALSE)=0,"",TEXT(IFERROR(VLOOKUP(T_BilanSocial[[#This Row],[NumL]],T_TraitDi[#Data],COLUMN(T_TraitDi[[#This Row],[Colonne15]]),FALSE),""),"[hh]:mm"))</f>
        <v>#VALUE!</v>
      </c>
      <c r="AW305" s="172" t="e">
        <f>IF(VLOOKUP(T_BilanSocial[[#This Row],[NumL]],T_TraitDi[#Data],COLUMN(T_TraitDi[[#This Row],[Colonne16]]),FALSE)=0,"",TEXT(IFERROR(VLOOKUP(T_BilanSocial[[#This Row],[NumL]],T_TraitDi[#Data],COLUMN(T_TraitDi[[#This Row],[Colonne16]]),FALSE),""),"[hh]:mm"))</f>
        <v>#VALUE!</v>
      </c>
      <c r="AX305" s="172" t="str">
        <f>IFERROR(VLOOKUP(T_BilanSocial[[#This Row],[NumL]],T_TraitDi[#Data],COLUMN(T_TraitDi[[#This Row],[Colonne17]]),FALSE),"")</f>
        <v/>
      </c>
      <c r="AY305" s="172" t="e">
        <f>IF(VLOOKUP(T_BilanSocial[[#This Row],[NumL]],T_TraitDi[#Data],COLUMN(T_TraitDi[[#This Row],[Colonne18]]),FALSE)=0,"",TEXT(IFERROR(VLOOKUP(T_BilanSocial[[#This Row],[NumL]],T_TraitDi[#Data],COLUMN(T_TraitDi[[#This Row],[Colonne18]]),FALSE),""),"[hh]:mm"))</f>
        <v>#VALUE!</v>
      </c>
      <c r="AZ305" s="172" t="e">
        <f>IF(VLOOKUP(T_BilanSocial[[#This Row],[NumL]],T_TraitDi[#Data],COLUMN(T_TraitDi[[#This Row],[Colonne19]]),FALSE)=0,"",TEXT(IFERROR(VLOOKUP(T_BilanSocial[[#This Row],[NumL]],T_TraitDi[#Data],COLUMN(T_TraitDi[[#This Row],[Colonne19]]),FALSE),""),"[hh]:mm"))</f>
        <v>#VALUE!</v>
      </c>
      <c r="BA305" s="172" t="e">
        <f>IF(VLOOKUP(T_BilanSocial[[#This Row],[NumL]],T_TraitDi[#Data],COLUMN(T_TraitDi[[#This Row],[Colonne20]]),FALSE)=0,"",TEXT(IFERROR(VLOOKUP(T_BilanSocial[[#This Row],[NumL]],T_TraitDi[#Data],COLUMN(T_TraitDi[[#This Row],[Colonne20]]),FALSE),""),"[hh]:mm"))</f>
        <v>#VALUE!</v>
      </c>
      <c r="BB305" s="178" t="str">
        <f>IFERROR(VLOOKUP(T_BilanSocial[[#This Row],[NumL]],T_TraitDi[#Data],COLUMN(T_TraitDi[[#This Row],[Jeudi]]),FALSE),"")</f>
        <v/>
      </c>
      <c r="BC305" s="178" t="e">
        <f>IF(VLOOKUP(T_BilanSocial[[#This Row],[NumL]],T_TraitDi[#Data],COLUMN(T_TraitDi[[#This Row],[Colonne21]]),FALSE)=0,"",TEXT(IFERROR(VLOOKUP(T_BilanSocial[[#This Row],[NumL]],T_TraitDi[#Data],COLUMN(T_TraitDi[[#This Row],[Colonne21]]),FALSE),""),"[hh]:mm"))</f>
        <v>#VALUE!</v>
      </c>
      <c r="BD305" s="178" t="e">
        <f>IF(VLOOKUP(T_BilanSocial[[#This Row],[NumL]],T_TraitDi[#Data],COLUMN(T_TraitDi[[#This Row],[Colonne22]]),FALSE)=0,"",TEXT(IFERROR(VLOOKUP(T_BilanSocial[[#This Row],[NumL]],T_TraitDi[#Data],COLUMN(T_TraitDi[[#This Row],[Colonne22]]),FALSE),""),"[hh]:mm"))</f>
        <v>#VALUE!</v>
      </c>
      <c r="BE305" s="178" t="str">
        <f>IFERROR(VLOOKUP(T_BilanSocial[[#This Row],[NumL]],T_TraitDi[#Data],COLUMN(T_TraitDi[[#This Row],[Colonne23]]),FALSE),"")</f>
        <v/>
      </c>
      <c r="BF305" s="178" t="e">
        <f>IF(VLOOKUP(T_BilanSocial[[#This Row],[NumL]],T_TraitDi[#Data],COLUMN(T_TraitDi[[#This Row],[Colonne24]]),FALSE)=0,"",TEXT(IFERROR(VLOOKUP(T_BilanSocial[[#This Row],[NumL]],T_TraitDi[#Data],COLUMN(T_TraitDi[[#This Row],[Colonne24]]),FALSE),""),"[hh]:mm"))</f>
        <v>#VALUE!</v>
      </c>
      <c r="BG305" s="178" t="e">
        <f>IF(VLOOKUP(T_BilanSocial[[#This Row],[NumL]],T_TraitDi[#Data],COLUMN(T_TraitDi[[#This Row],[Colonne25]]),FALSE)=0,"",TEXT(IFERROR(VLOOKUP(T_BilanSocial[[#This Row],[NumL]],T_TraitDi[#Data],COLUMN(T_TraitDi[[#This Row],[Colonne25]]),FALSE),""),"[hh]:mm"))</f>
        <v>#VALUE!</v>
      </c>
      <c r="BH305" s="178" t="e">
        <f>IF(VLOOKUP(T_BilanSocial[[#This Row],[NumL]],T_TraitDi[#Data],COLUMN(T_TraitDi[[#This Row],[Colonne26]]),FALSE)=0,"",TEXT(IFERROR(VLOOKUP(T_BilanSocial[[#This Row],[NumL]],T_TraitDi[#Data],COLUMN(T_TraitDi[[#This Row],[Colonne26]]),FALSE),""),"[hh]:mm"))</f>
        <v>#VALUE!</v>
      </c>
      <c r="BI305" s="172" t="str">
        <f>IFERROR(VLOOKUP(T_BilanSocial[[#This Row],[NumL]],T_TraitDi[#Data],COLUMN(T_TraitDi[[#This Row],[Vendredi]]),FALSE),"")</f>
        <v/>
      </c>
      <c r="BJ305" s="172" t="e">
        <f>IF(VLOOKUP(T_BilanSocial[[#This Row],[NumL]],T_TraitDi[#Data],COLUMN(T_TraitDi[[#This Row],[Colonne27]]),FALSE)=0,"",TEXT(IFERROR(VLOOKUP(T_BilanSocial[[#This Row],[NumL]],T_TraitDi[#Data],COLUMN(T_TraitDi[[#This Row],[Colonne27]]),FALSE),""),"[hh]:mm"))</f>
        <v>#VALUE!</v>
      </c>
      <c r="BK305" s="172" t="e">
        <f>IF(VLOOKUP(T_BilanSocial[[#This Row],[NumL]],T_TraitDi[#Data],COLUMN(T_TraitDi[[#This Row],[Colonne28]]),FALSE)=0,"",TEXT(IFERROR(VLOOKUP(T_BilanSocial[[#This Row],[NumL]],T_TraitDi[#Data],COLUMN(T_TraitDi[[#This Row],[Colonne28]]),FALSE),""),"[hh]:mm"))</f>
        <v>#VALUE!</v>
      </c>
      <c r="BL305" s="172" t="str">
        <f>IFERROR(VLOOKUP(T_BilanSocial[[#This Row],[NumL]],T_TraitDi[#Data],COLUMN(T_TraitDi[[#This Row],[Colonne29]]),FALSE),"")</f>
        <v/>
      </c>
      <c r="BM305" s="172" t="e">
        <f>IF(VLOOKUP(T_BilanSocial[[#This Row],[NumL]],T_TraitDi[#Data],COLUMN(T_TraitDi[[#This Row],[Colonne30]]),FALSE)=0,"",TEXT(IFERROR(VLOOKUP(T_BilanSocial[[#This Row],[NumL]],T_TraitDi[#Data],COLUMN(T_TraitDi[[#This Row],[Colonne30]]),FALSE),""),"[hh]:mm"))</f>
        <v>#VALUE!</v>
      </c>
      <c r="BN305" s="172" t="e">
        <f>IF(VLOOKUP(T_BilanSocial[[#This Row],[NumL]],T_TraitDi[#Data],COLUMN(T_TraitDi[[#This Row],[Colonne31]]),FALSE)=0,"",TEXT(IFERROR(VLOOKUP(T_BilanSocial[[#This Row],[NumL]],T_TraitDi[#Data],COLUMN(T_TraitDi[[#This Row],[Colonne31]]),FALSE),""),"[hh]:mm"))</f>
        <v>#VALUE!</v>
      </c>
      <c r="BO305" s="172" t="e">
        <f>IF(VLOOKUP(T_BilanSocial[[#This Row],[NumL]],T_TraitDi[#Data],COLUMN(T_TraitDi[[#This Row],[Colonne32]]),FALSE)=0,"",TEXT(IFERROR(VLOOKUP(T_BilanSocial[[#This Row],[NumL]],T_TraitDi[#Data],COLUMN(T_TraitDi[[#This Row],[Colonne32]]),FALSE),""),"[hh]:mm"))</f>
        <v>#VALUE!</v>
      </c>
      <c r="BP305" s="172" t="e">
        <f>VLOOKUP(T_BilanSocial[[#This Row],[NumL]],T_TraitDi[#Data],COLUMN(T_TraitDi[NbJTot]),FALSE)</f>
        <v>#N/A</v>
      </c>
      <c r="BQ305" s="174" t="str">
        <f>IFERROR(VLOOKUP(T_BilanSocial[[#This Row],[NumL]],T_TraitDi[#Data],COLUMN(T_TraitDi[[#This Row],[NbJTW]]),FALSE),"")</f>
        <v/>
      </c>
      <c r="BR305" s="174" t="e">
        <f>IF(VLOOKUP(T_BilanSocial[[#This Row],[NumL]],T_TraitDi[#Data],COLUMN(T_TraitDi[[#This Row],[NbhTW]]),FALSE)=0,"",TEXT(IFERROR(VLOOKUP(T_BilanSocial[[#This Row],[NumL]],T_TraitDi[#Data],COLUMN(T_TraitDi[[#This Row],[NbhTW]]),FALSE),""),"[hh]:mm"))</f>
        <v>#VALUE!</v>
      </c>
      <c r="BS305" s="174" t="e">
        <f>IF(VLOOKUP(T_BilanSocial[[#This Row],[NumL]],T_TraitDi[#Data],COLUMN(T_TraitDi[[#This Row],[Nbhheb]]),FALSE)=0,"",TEXT(IFERROR(VLOOKUP($A305,T_TraitDi[#Data],COLUMN(T_TraitDi[[#This Row],[Nbhheb]]),FALSE),""),"[hh]:mm"))</f>
        <v>#VALUE!</v>
      </c>
      <c r="BT305" s="182" t="str">
        <f>IFERROR(VLOOKUP(VLOOKUP($A305,T_TraitDi[#Data],COLUMN(T_TraitDi[[#This Row],[Type1]]),FALSE),TypeTW,2,FALSE),"")</f>
        <v/>
      </c>
      <c r="BU305" s="182" t="str">
        <f>IFERROR(VLOOKUP($A305,T_TraitDi[#Data],COLUMN(T_TraitDi[[#This Row],[Rue1]]),FALSE),"")</f>
        <v/>
      </c>
      <c r="BV305" s="173" t="str">
        <f>IFERROR(VLOOKUP($A305,T_TraitDi[#Data],COLUMN(T_TraitDi[[#This Row],[CP1]]),FALSE),"")</f>
        <v/>
      </c>
      <c r="BW305" s="173" t="str">
        <f>IFERROR(VLOOKUP($A305,T_TraitDi[#Data],COLUMN(T_TraitDi[[#This Row],[VILLE1]]),FALSE),"")</f>
        <v/>
      </c>
      <c r="BX305" s="182" t="str">
        <f>IFERROR(VLOOKUP(VLOOKUP($A305,T_TraitDi[#Data],COLUMN(T_TraitDi[[#This Row],[Type2]]),FALSE),TypeTW,2,FALSE),"")</f>
        <v/>
      </c>
      <c r="BY305" s="182" t="str">
        <f>IFERROR(VLOOKUP($A305,T_TraitDi[#Data],COLUMN(T_TraitDi[[#This Row],[Rue2]]),FALSE),"")</f>
        <v/>
      </c>
      <c r="BZ305" s="173" t="str">
        <f>IFERROR(VLOOKUP($A305,T_TraitDi[#Data],COLUMN(T_TraitDi[[#This Row],[CP2]]),FALSE),"")</f>
        <v/>
      </c>
      <c r="CA305" s="173" t="str">
        <f>IFERROR(VLOOKUP($A305,T_TraitDi[#Data],COLUMN(T_TraitDi[[#This Row],[VILLE2]]),FALSE),"")</f>
        <v/>
      </c>
      <c r="CB305"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5" s="166" t="str">
        <f>IFERROR(IF(VLOOKUP(T_BilanSocial[[#This Row],[NumL]],T_TraitDi[#Data],COLUMN(T_TraitDi[[#This Row],[Plan]]),FALSE)="OK","Un planning spécifique de télétravail est annexé à la présente convention.",""),"")</f>
        <v/>
      </c>
      <c r="CD305" s="301"/>
      <c r="CE305" s="164" t="e">
        <f>IF(VLOOKUP(T_BilanSocial[[#This Row],[NumL]],T_suiviDi[#Data],COLUMN(T_suiviDi[[#This Row],[Entité]]),FALSE)="","",VLOOKUP(T_BilanSocial[[#This Row],[NumL]],T_suiviDi[#Data],COLUMN(T_suiviDi[[#This Row],[Entité]]),FALSE))</f>
        <v>#VALUE!</v>
      </c>
      <c r="CF305" s="164" t="str">
        <f>IF(VLOOKUP(T_BilanSocial[[#This Row],[NumL]],T_Commission[#Data],COLUMN(T_Commission[[#This Row],[envoi confirm TW]]),FALSE)="","",VLOOKUP(T_BilanSocial[[#This Row],[NumL]],T_Commission[#Data],COLUMN(T_Commission[[#This Row],[envoi confirm TW]]),FALSE))</f>
        <v>Non</v>
      </c>
      <c r="CG30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5" s="339" t="str">
        <f>T_BilanSocial[[#This Row],[Nom]]&amp;T_BilanSocial[[#This Row],[Prenom]]</f>
        <v/>
      </c>
      <c r="CI305" s="339" t="str">
        <f>VLOOKUP(T_BilanSocial[[#This Row],[NumL]],T_Commission[#Data],COLUMN(T_Commission[Commentaire]),FALSE)</f>
        <v>L'agent occupe son poste actuel depuis moins d'un an et n'a pu explorer ses fonctions dans un fonctionnement normal de l'université.</v>
      </c>
      <c r="CJ305" s="339" t="str">
        <f>IF(VLOOKUP(T_BilanSocial[[#This Row],[NumL]],T_Commission[#Data],COLUMN(T_Commission[Encadrant Email]),FALSE)="","",VLOOKUP(T_BilanSocial[[#This Row],[NumL]],T_Commission[#Data],COLUMN(T_Commission[Encadrant Email]),FALSE))</f>
        <v/>
      </c>
      <c r="CK305" s="332" t="str">
        <f>IF(T_BilanSocial[[#This Row],[Final]]&lt;&gt;"",VLOOKUP(T_BilanSocial[[#This Row],[NumL]],T_suiviDi[#Data],COLUMN((T_suiviDi[Statut])),FALSE),"")</f>
        <v/>
      </c>
    </row>
    <row r="306" spans="1:89" s="50" customFormat="1" ht="21" customHeight="1" x14ac:dyDescent="0.25">
      <c r="A306" s="136">
        <v>303</v>
      </c>
      <c r="B306" s="330" t="str">
        <f t="shared" si="56"/>
        <v/>
      </c>
      <c r="C306" s="309"/>
      <c r="D306" s="95" t="e">
        <f>IF(VLOOKUP(T_BilanSocial[[#This Row],[NumL]],T_TraitDi[#Data],COLUMN(T_TraitDi[[#This Row],[WebC]]),FALSE)="","",VLOOKUP(T_BilanSocial[[#This Row],[NumL]],T_TraitDi[#Data],COLUMN(T_TraitDi[[#This Row],[WebC]]),FALSE))</f>
        <v>#VALUE!</v>
      </c>
      <c r="E306" s="95" t="str">
        <f t="shared" si="57"/>
        <v>12 janvier 2021</v>
      </c>
      <c r="F306" s="96" t="str">
        <f>IF(T_BilanSocial[[#This Row],[Final]]&lt;&gt;"",VLOOKUP(T_BilanSocial[[#This Row],[NumL]],T_suiviDi[#Data],COLUMN((T_suiviDi[Civ.])),FALSE),"")</f>
        <v/>
      </c>
      <c r="G306" s="96" t="str">
        <f>IF(T_BilanSocial[[#This Row],[Final]]&lt;&gt;"",VLOOKUP(T_BilanSocial[[#This Row],[NumL]],T_suiviDi[#Data],COLUMN((T_suiviDi[Nom])),FALSE),"")</f>
        <v/>
      </c>
      <c r="H306" s="96" t="str">
        <f>IF(T_BilanSocial[[#This Row],[Final]]&lt;&gt;"",VLOOKUP(T_BilanSocial[[#This Row],[NumL]],T_suiviDi[#Data],COLUMN((T_suiviDi[Prénom])),FALSE),"")</f>
        <v/>
      </c>
      <c r="I306" s="331" t="str">
        <f>IFERROR(VLOOKUP(T_BilanSocial[[#This Row],[Zone_Bilan]],T_P_BilanSocial[#Data],COLUMN(T_P_BilanSocial[[#This Row],[Numero_SIHAM]]),FALSE),"")</f>
        <v/>
      </c>
      <c r="J306" s="331" t="str">
        <f>IFERROR(VLOOKUP(T_BilanSocial[[#This Row],[Zone_Bilan]],T_P_BilanSocial[#Data],COLUMN(T_P_BilanSocial[[#This Row],[Sexe]]),FALSE),"")</f>
        <v/>
      </c>
      <c r="K306" s="294" t="str">
        <f>IFERROR(VLOOKUP(T_BilanSocial[[#This Row],[Zone_Bilan]],T_P_BilanSocial[#Data],COLUMN(T_P_BilanSocial[[#This Row],[Categorie]]),FALSE),"")</f>
        <v/>
      </c>
      <c r="L306" s="331" t="str">
        <f>IFERROR(VLOOKUP(T_BilanSocial[[#This Row],[Zone_Bilan]],T_P_BilanSocial[#Data],COLUMN(T_P_BilanSocial[[#This Row],[Statut]]),FALSE),"")</f>
        <v/>
      </c>
      <c r="M306" s="331" t="str">
        <f>IFERROR(VLOOKUP(T_BilanSocial[[#This Row],[Zone_Bilan]],T_P_BilanSocial[#Data],COLUMN(T_P_BilanSocial[[#This Row],[Filiere]]),FALSE),"")</f>
        <v/>
      </c>
      <c r="N306" s="331" t="e">
        <f>VLOOKUP(T_BilanSocial[[#This Row],[NumL]],T_TraitDi[#Data],COLUMN(T_TraitDi[EXP]),FALSE)</f>
        <v>#N/A</v>
      </c>
      <c r="O306" s="331" t="e">
        <f>VLOOKUP(T_BilanSocial[[#This Row],[NumL]],T_TraitDi[#Data],COLUMN(T_TraitDi[FORM]),FALSE)</f>
        <v>#N/A</v>
      </c>
      <c r="P306" s="96" t="str">
        <f>IF(T_BilanSocial[[#This Row],[Final]]&lt;&gt;"",VLOOKUP(T_BilanSocial[[#This Row],[NumL]],T_suiviDi[#Data],COLUMN((T_suiviDi[Email])),FALSE),"")</f>
        <v/>
      </c>
      <c r="Q306" s="96" t="e">
        <f t="shared" si="58"/>
        <v>#N/A</v>
      </c>
      <c r="R306" s="96" t="e">
        <f t="shared" si="59"/>
        <v>#N/A</v>
      </c>
      <c r="S306" s="96" t="str">
        <f t="shared" si="55"/>
        <v/>
      </c>
      <c r="T306" s="96" t="str">
        <f t="shared" si="60"/>
        <v>01 septembre 2021</v>
      </c>
      <c r="U306" s="96" t="str">
        <f t="shared" si="61"/>
        <v>30 novembre 2021</v>
      </c>
      <c r="V306" s="97">
        <f t="shared" si="62"/>
        <v>44530</v>
      </c>
      <c r="W306" s="176" t="e">
        <f>IF(VLOOKUP(T_BilanSocial[[#This Row],[NumL]],T_TraitDi[#Data],COLUMN(T_TraitDi[[#This Row],[M1]]),FALSE)="","",VLOOKUP(T_BilanSocial[[#This Row],[NumL]],T_TraitDi[#Data],COLUMN(T_TraitDi[[#This Row],[M1]]),FALSE))</f>
        <v>#VALUE!</v>
      </c>
      <c r="X306" s="96" t="str">
        <f t="shared" si="63"/>
        <v/>
      </c>
      <c r="Y306" s="96" t="str">
        <f t="shared" si="63"/>
        <v/>
      </c>
      <c r="Z306" s="96" t="str">
        <f t="shared" si="64"/>
        <v/>
      </c>
      <c r="AA306" s="176" t="e">
        <f>IF(VLOOKUP(T_BilanSocial[[#This Row],[NumL]],T_TraitDi[#Data],COLUMN(T_TraitDi[[#This Row],[M5]]),FALSE)="","",VLOOKUP(T_BilanSocial[[#This Row],[NumL]],T_TraitDi[#Data],COLUMN(T_TraitDi[[#This Row],[M5]]),FALSE))</f>
        <v>#VALUE!</v>
      </c>
      <c r="AB306" s="176" t="e">
        <f>IF(VLOOKUP(T_BilanSocial[[#This Row],[NumL]],T_TraitDi[#Data],COLUMN(T_TraitDi[[#This Row],[M6]]),FALSE)="","",VLOOKUP(T_BilanSocial[[#This Row],[NumL]],T_TraitDi[#Data],COLUMN(T_TraitDi[[#This Row],[M6]]),FALSE))</f>
        <v>#VALUE!</v>
      </c>
      <c r="AC306" s="96" t="e">
        <f t="shared" si="67"/>
        <v>#VALUE!</v>
      </c>
      <c r="AD306" s="97" t="str">
        <f t="shared" si="65"/>
        <v/>
      </c>
      <c r="AE306" s="294" t="e">
        <f>VLOOKUP(T_BilanSocial[[#This Row],[NumL]],T_TraitDi[#Data],COLUMN(T_TraitDi[[#This Row],[Reg Ponct]]),FALSE)</f>
        <v>#VALUE!</v>
      </c>
      <c r="AF306" s="294" t="e">
        <f>VLOOKUP(T_BilanSocial[NumL],T_TraitDi[#Data],COLUMN(T_TraitDi[[#This Row],[Jours flottants]]),FALSE)</f>
        <v>#VALUE!</v>
      </c>
      <c r="AG306" s="97" t="str">
        <f>IFERROR(VLOOKUP(T_BilanSocial[[#This Row],[NumL]],T_TraitDi[#Data],COLUMN(T_TraitDi[[#This Row],[Lundi]]),FALSE),"")</f>
        <v/>
      </c>
      <c r="AH306" s="172" t="e">
        <f>IF(VLOOKUP(T_BilanSocial[[#This Row],[NumL]],T_TraitDi[#Data],COLUMN(T_TraitDi[[#This Row],[Colonne3]]),FALSE)=0,"",TEXT(IFERROR(VLOOKUP(T_BilanSocial[[#This Row],[NumL]],T_TraitDi[#Data],COLUMN(T_TraitDi[[#This Row],[Colonne3]]),FALSE),""),"[hh]:mm"))</f>
        <v>#VALUE!</v>
      </c>
      <c r="AI306" s="172" t="e">
        <f>IF(VLOOKUP(T_BilanSocial[[#This Row],[NumL]],T_TraitDi[#Data],COLUMN(T_TraitDi[[#This Row],[Colonne4]]),FALSE)=0,"",TEXT(IFERROR(VLOOKUP(T_BilanSocial[[#This Row],[NumL]],T_TraitDi[#Data],COLUMN(T_TraitDi[[#This Row],[Colonne4]]),FALSE),""),"[hh]:mm"))</f>
        <v>#VALUE!</v>
      </c>
      <c r="AJ306" s="172" t="e">
        <f>IF(VLOOKUP(T_BilanSocial[[#This Row],[NumL]],T_TraitDi[#Data],COLUMN(T_TraitDi[[#This Row],[Colonne5]]),FALSE)=0,"",TEXT(IFERROR(VLOOKUP(T_BilanSocial[[#This Row],[NumL]],T_TraitDi[#Data],COLUMN(T_TraitDi[[#This Row],[Colonne5]]),FALSE),""),"[hh]:mm"))</f>
        <v>#VALUE!</v>
      </c>
      <c r="AK306" s="172" t="e">
        <f>IF(VLOOKUP(T_BilanSocial[[#This Row],[NumL]],T_TraitDi[#Data],COLUMN(T_TraitDi[[#This Row],[Colonne6]]),FALSE)=0,"",TEXT(IFERROR(VLOOKUP(T_BilanSocial[[#This Row],[NumL]],T_TraitDi[#Data],COLUMN(T_TraitDi[[#This Row],[Colonne6]]),FALSE),""),"[hh]:mm"))</f>
        <v>#VALUE!</v>
      </c>
      <c r="AL306" s="172" t="e">
        <f>IF(VLOOKUP(T_BilanSocial[[#This Row],[NumL]],T_TraitDi[#Data],COLUMN(T_TraitDi[[#This Row],[Colonne7]]),FALSE)=0,"",TEXT(IFERROR(VLOOKUP(T_BilanSocial[[#This Row],[NumL]],T_TraitDi[#Data],COLUMN(T_TraitDi[[#This Row],[Colonne7]]),FALSE),""),"[hh]:mm"))</f>
        <v>#VALUE!</v>
      </c>
      <c r="AM306" s="172" t="e">
        <f>IF(VLOOKUP(T_BilanSocial[[#This Row],[NumL]],T_TraitDi[#Data],COLUMN(T_TraitDi[[#This Row],[Colonne8]]),FALSE)=0,"",TEXT(IFERROR(VLOOKUP(T_BilanSocial[[#This Row],[NumL]],T_TraitDi[#Data],COLUMN(T_TraitDi[[#This Row],[Colonne8]]),FALSE),""),"[hh]:mm"))</f>
        <v>#VALUE!</v>
      </c>
      <c r="AN306" s="172" t="str">
        <f>IFERROR(VLOOKUP(T_BilanSocial[[#This Row],[NumL]],T_TraitDi[#Data],COLUMN(T_TraitDi[[#This Row],[Mardi]]),FALSE),"")</f>
        <v/>
      </c>
      <c r="AO306" s="172" t="e">
        <f>IF(VLOOKUP(T_BilanSocial[[#This Row],[NumL]],T_TraitDi[#Data],COLUMN(T_TraitDi[[#This Row],[Colonne1]]),FALSE)=0,"",TEXT(IFERROR(VLOOKUP(T_BilanSocial[[#This Row],[NumL]],T_TraitDi[#Data],COLUMN(T_TraitDi[[#This Row],[Colonne1]]),FALSE),""),"[hh]:mm"))</f>
        <v>#VALUE!</v>
      </c>
      <c r="AP306" s="172" t="e">
        <f>IF(VLOOKUP(T_BilanSocial[[#This Row],[NumL]],T_TraitDi[#Data],COLUMN(T_TraitDi[[#This Row],[Colonne9]]),FALSE)=0,"",TEXT(IFERROR(VLOOKUP(T_BilanSocial[[#This Row],[NumL]],T_TraitDi[#Data],COLUMN(T_TraitDi[[#This Row],[Colonne9]]),FALSE),""),"[hh]:mm"))</f>
        <v>#VALUE!</v>
      </c>
      <c r="AQ306" s="172" t="str">
        <f>IFERROR(VLOOKUP(T_BilanSocial[[#This Row],[NumL]],T_TraitDi[#Data],COLUMN(T_TraitDi[[#This Row],[Colonne10]]),FALSE),"")</f>
        <v/>
      </c>
      <c r="AR306" s="172" t="e">
        <f>IF(VLOOKUP(T_BilanSocial[[#This Row],[NumL]],T_TraitDi[#Data],COLUMN(T_TraitDi[[#This Row],[Colonne11]]),FALSE)=0,"",TEXT(IFERROR(VLOOKUP(T_BilanSocial[[#This Row],[NumL]],T_TraitDi[#Data],COLUMN(T_TraitDi[[#This Row],[Colonne11]]),FALSE),""),"[hh]:mm"))</f>
        <v>#VALUE!</v>
      </c>
      <c r="AS306" s="172" t="e">
        <f>IF(VLOOKUP(T_BilanSocial[[#This Row],[NumL]],T_TraitDi[#Data],COLUMN(T_TraitDi[[#This Row],[Colonne12]]),FALSE)=0,"",TEXT(IFERROR(VLOOKUP(T_BilanSocial[[#This Row],[NumL]],T_TraitDi[#Data],COLUMN(T_TraitDi[[#This Row],[Colonne12]]),FALSE),""),"[hh]:mm"))</f>
        <v>#VALUE!</v>
      </c>
      <c r="AT306" s="172" t="e">
        <f>IF(VLOOKUP(T_BilanSocial[[#This Row],[NumL]],T_TraitDi[#Data],COLUMN(T_TraitDi[[#This Row],[Colonne14]]),FALSE)=0,"",TEXT(IFERROR(VLOOKUP(T_BilanSocial[[#This Row],[NumL]],T_TraitDi[#Data],COLUMN(T_TraitDi[[#This Row],[Colonne14]]),FALSE),""),"[hh]:mm"))</f>
        <v>#VALUE!</v>
      </c>
      <c r="AU306" s="172" t="str">
        <f>IFERROR(VLOOKUP(T_BilanSocial[[#This Row],[NumL]],T_TraitDi[#Data],COLUMN(T_TraitDi[[#This Row],[Mercredi]]),FALSE),"")</f>
        <v/>
      </c>
      <c r="AV306" s="172" t="e">
        <f>IF(VLOOKUP(T_BilanSocial[[#This Row],[NumL]],T_TraitDi[#Data],COLUMN(T_TraitDi[[#This Row],[Colonne15]]),FALSE)=0,"",TEXT(IFERROR(VLOOKUP(T_BilanSocial[[#This Row],[NumL]],T_TraitDi[#Data],COLUMN(T_TraitDi[[#This Row],[Colonne15]]),FALSE),""),"[hh]:mm"))</f>
        <v>#VALUE!</v>
      </c>
      <c r="AW306" s="172" t="e">
        <f>IF(VLOOKUP(T_BilanSocial[[#This Row],[NumL]],T_TraitDi[#Data],COLUMN(T_TraitDi[[#This Row],[Colonne16]]),FALSE)=0,"",TEXT(IFERROR(VLOOKUP(T_BilanSocial[[#This Row],[NumL]],T_TraitDi[#Data],COLUMN(T_TraitDi[[#This Row],[Colonne16]]),FALSE),""),"[hh]:mm"))</f>
        <v>#VALUE!</v>
      </c>
      <c r="AX306" s="172" t="str">
        <f>IFERROR(VLOOKUP(T_BilanSocial[[#This Row],[NumL]],T_TraitDi[#Data],COLUMN(T_TraitDi[[#This Row],[Colonne17]]),FALSE),"")</f>
        <v/>
      </c>
      <c r="AY306" s="172" t="e">
        <f>IF(VLOOKUP(T_BilanSocial[[#This Row],[NumL]],T_TraitDi[#Data],COLUMN(T_TraitDi[[#This Row],[Colonne18]]),FALSE)=0,"",TEXT(IFERROR(VLOOKUP(T_BilanSocial[[#This Row],[NumL]],T_TraitDi[#Data],COLUMN(T_TraitDi[[#This Row],[Colonne18]]),FALSE),""),"[hh]:mm"))</f>
        <v>#VALUE!</v>
      </c>
      <c r="AZ306" s="172" t="e">
        <f>IF(VLOOKUP(T_BilanSocial[[#This Row],[NumL]],T_TraitDi[#Data],COLUMN(T_TraitDi[[#This Row],[Colonne19]]),FALSE)=0,"",TEXT(IFERROR(VLOOKUP(T_BilanSocial[[#This Row],[NumL]],T_TraitDi[#Data],COLUMN(T_TraitDi[[#This Row],[Colonne19]]),FALSE),""),"[hh]:mm"))</f>
        <v>#VALUE!</v>
      </c>
      <c r="BA306" s="172" t="e">
        <f>IF(VLOOKUP(T_BilanSocial[[#This Row],[NumL]],T_TraitDi[#Data],COLUMN(T_TraitDi[[#This Row],[Colonne20]]),FALSE)=0,"",TEXT(IFERROR(VLOOKUP(T_BilanSocial[[#This Row],[NumL]],T_TraitDi[#Data],COLUMN(T_TraitDi[[#This Row],[Colonne20]]),FALSE),""),"[hh]:mm"))</f>
        <v>#VALUE!</v>
      </c>
      <c r="BB306" s="178" t="str">
        <f>IFERROR(VLOOKUP(T_BilanSocial[[#This Row],[NumL]],T_TraitDi[#Data],COLUMN(T_TraitDi[[#This Row],[Jeudi]]),FALSE),"")</f>
        <v/>
      </c>
      <c r="BC306" s="178" t="e">
        <f>IF(VLOOKUP(T_BilanSocial[[#This Row],[NumL]],T_TraitDi[#Data],COLUMN(T_TraitDi[[#This Row],[Colonne21]]),FALSE)=0,"",TEXT(IFERROR(VLOOKUP(T_BilanSocial[[#This Row],[NumL]],T_TraitDi[#Data],COLUMN(T_TraitDi[[#This Row],[Colonne21]]),FALSE),""),"[hh]:mm"))</f>
        <v>#VALUE!</v>
      </c>
      <c r="BD306" s="178" t="e">
        <f>IF(VLOOKUP(T_BilanSocial[[#This Row],[NumL]],T_TraitDi[#Data],COLUMN(T_TraitDi[[#This Row],[Colonne22]]),FALSE)=0,"",TEXT(IFERROR(VLOOKUP(T_BilanSocial[[#This Row],[NumL]],T_TraitDi[#Data],COLUMN(T_TraitDi[[#This Row],[Colonne22]]),FALSE),""),"[hh]:mm"))</f>
        <v>#VALUE!</v>
      </c>
      <c r="BE306" s="178" t="str">
        <f>IFERROR(VLOOKUP(T_BilanSocial[[#This Row],[NumL]],T_TraitDi[#Data],COLUMN(T_TraitDi[[#This Row],[Colonne23]]),FALSE),"")</f>
        <v/>
      </c>
      <c r="BF306" s="178" t="e">
        <f>IF(VLOOKUP(T_BilanSocial[[#This Row],[NumL]],T_TraitDi[#Data],COLUMN(T_TraitDi[[#This Row],[Colonne24]]),FALSE)=0,"",TEXT(IFERROR(VLOOKUP(T_BilanSocial[[#This Row],[NumL]],T_TraitDi[#Data],COLUMN(T_TraitDi[[#This Row],[Colonne24]]),FALSE),""),"[hh]:mm"))</f>
        <v>#VALUE!</v>
      </c>
      <c r="BG306" s="178" t="e">
        <f>IF(VLOOKUP(T_BilanSocial[[#This Row],[NumL]],T_TraitDi[#Data],COLUMN(T_TraitDi[[#This Row],[Colonne25]]),FALSE)=0,"",TEXT(IFERROR(VLOOKUP(T_BilanSocial[[#This Row],[NumL]],T_TraitDi[#Data],COLUMN(T_TraitDi[[#This Row],[Colonne25]]),FALSE),""),"[hh]:mm"))</f>
        <v>#VALUE!</v>
      </c>
      <c r="BH306" s="178" t="e">
        <f>IF(VLOOKUP(T_BilanSocial[[#This Row],[NumL]],T_TraitDi[#Data],COLUMN(T_TraitDi[[#This Row],[Colonne26]]),FALSE)=0,"",TEXT(IFERROR(VLOOKUP(T_BilanSocial[[#This Row],[NumL]],T_TraitDi[#Data],COLUMN(T_TraitDi[[#This Row],[Colonne26]]),FALSE),""),"[hh]:mm"))</f>
        <v>#VALUE!</v>
      </c>
      <c r="BI306" s="172" t="str">
        <f>IFERROR(VLOOKUP(T_BilanSocial[[#This Row],[NumL]],T_TraitDi[#Data],COLUMN(T_TraitDi[[#This Row],[Vendredi]]),FALSE),"")</f>
        <v/>
      </c>
      <c r="BJ306" s="172" t="e">
        <f>IF(VLOOKUP(T_BilanSocial[[#This Row],[NumL]],T_TraitDi[#Data],COLUMN(T_TraitDi[[#This Row],[Colonne27]]),FALSE)=0,"",TEXT(IFERROR(VLOOKUP(T_BilanSocial[[#This Row],[NumL]],T_TraitDi[#Data],COLUMN(T_TraitDi[[#This Row],[Colonne27]]),FALSE),""),"[hh]:mm"))</f>
        <v>#VALUE!</v>
      </c>
      <c r="BK306" s="172" t="e">
        <f>IF(VLOOKUP(T_BilanSocial[[#This Row],[NumL]],T_TraitDi[#Data],COLUMN(T_TraitDi[[#This Row],[Colonne28]]),FALSE)=0,"",TEXT(IFERROR(VLOOKUP(T_BilanSocial[[#This Row],[NumL]],T_TraitDi[#Data],COLUMN(T_TraitDi[[#This Row],[Colonne28]]),FALSE),""),"[hh]:mm"))</f>
        <v>#VALUE!</v>
      </c>
      <c r="BL306" s="172" t="str">
        <f>IFERROR(VLOOKUP(T_BilanSocial[[#This Row],[NumL]],T_TraitDi[#Data],COLUMN(T_TraitDi[[#This Row],[Colonne29]]),FALSE),"")</f>
        <v/>
      </c>
      <c r="BM306" s="172" t="e">
        <f>IF(VLOOKUP(T_BilanSocial[[#This Row],[NumL]],T_TraitDi[#Data],COLUMN(T_TraitDi[[#This Row],[Colonne30]]),FALSE)=0,"",TEXT(IFERROR(VLOOKUP(T_BilanSocial[[#This Row],[NumL]],T_TraitDi[#Data],COLUMN(T_TraitDi[[#This Row],[Colonne30]]),FALSE),""),"[hh]:mm"))</f>
        <v>#VALUE!</v>
      </c>
      <c r="BN306" s="172" t="e">
        <f>IF(VLOOKUP(T_BilanSocial[[#This Row],[NumL]],T_TraitDi[#Data],COLUMN(T_TraitDi[[#This Row],[Colonne31]]),FALSE)=0,"",TEXT(IFERROR(VLOOKUP(T_BilanSocial[[#This Row],[NumL]],T_TraitDi[#Data],COLUMN(T_TraitDi[[#This Row],[Colonne31]]),FALSE),""),"[hh]:mm"))</f>
        <v>#VALUE!</v>
      </c>
      <c r="BO306" s="172" t="e">
        <f>IF(VLOOKUP(T_BilanSocial[[#This Row],[NumL]],T_TraitDi[#Data],COLUMN(T_TraitDi[[#This Row],[Colonne32]]),FALSE)=0,"",TEXT(IFERROR(VLOOKUP(T_BilanSocial[[#This Row],[NumL]],T_TraitDi[#Data],COLUMN(T_TraitDi[[#This Row],[Colonne32]]),FALSE),""),"[hh]:mm"))</f>
        <v>#VALUE!</v>
      </c>
      <c r="BP306" s="172" t="e">
        <f>VLOOKUP(T_BilanSocial[[#This Row],[NumL]],T_TraitDi[#Data],COLUMN(T_TraitDi[NbJTot]),FALSE)</f>
        <v>#N/A</v>
      </c>
      <c r="BQ306" s="174" t="str">
        <f>IFERROR(VLOOKUP(T_BilanSocial[[#This Row],[NumL]],T_TraitDi[#Data],COLUMN(T_TraitDi[[#This Row],[NbJTW]]),FALSE),"")</f>
        <v/>
      </c>
      <c r="BR306" s="174" t="e">
        <f>IF(VLOOKUP(T_BilanSocial[[#This Row],[NumL]],T_TraitDi[#Data],COLUMN(T_TraitDi[[#This Row],[NbhTW]]),FALSE)=0,"",TEXT(IFERROR(VLOOKUP(T_BilanSocial[[#This Row],[NumL]],T_TraitDi[#Data],COLUMN(T_TraitDi[[#This Row],[NbhTW]]),FALSE),""),"[hh]:mm"))</f>
        <v>#VALUE!</v>
      </c>
      <c r="BS306" s="174" t="e">
        <f>IF(VLOOKUP(T_BilanSocial[[#This Row],[NumL]],T_TraitDi[#Data],COLUMN(T_TraitDi[[#This Row],[Nbhheb]]),FALSE)=0,"",TEXT(IFERROR(VLOOKUP($A306,T_TraitDi[#Data],COLUMN(T_TraitDi[[#This Row],[Nbhheb]]),FALSE),""),"[hh]:mm"))</f>
        <v>#VALUE!</v>
      </c>
      <c r="BT306" s="182" t="str">
        <f>IFERROR(VLOOKUP(VLOOKUP($A306,T_TraitDi[#Data],COLUMN(T_TraitDi[[#This Row],[Type1]]),FALSE),TypeTW,2,FALSE),"")</f>
        <v/>
      </c>
      <c r="BU306" s="182" t="str">
        <f>IFERROR(VLOOKUP($A306,T_TraitDi[#Data],COLUMN(T_TraitDi[[#This Row],[Rue1]]),FALSE),"")</f>
        <v/>
      </c>
      <c r="BV306" s="173" t="str">
        <f>IFERROR(VLOOKUP($A306,T_TraitDi[#Data],COLUMN(T_TraitDi[[#This Row],[CP1]]),FALSE),"")</f>
        <v/>
      </c>
      <c r="BW306" s="173" t="str">
        <f>IFERROR(VLOOKUP($A306,T_TraitDi[#Data],COLUMN(T_TraitDi[[#This Row],[VILLE1]]),FALSE),"")</f>
        <v/>
      </c>
      <c r="BX306" s="182" t="str">
        <f>IFERROR(VLOOKUP(VLOOKUP($A306,T_TraitDi[#Data],COLUMN(T_TraitDi[[#This Row],[Type2]]),FALSE),TypeTW,2,FALSE),"")</f>
        <v/>
      </c>
      <c r="BY306" s="182" t="str">
        <f>IFERROR(VLOOKUP($A306,T_TraitDi[#Data],COLUMN(T_TraitDi[[#This Row],[Rue2]]),FALSE),"")</f>
        <v/>
      </c>
      <c r="BZ306" s="173" t="str">
        <f>IFERROR(VLOOKUP($A306,T_TraitDi[#Data],COLUMN(T_TraitDi[[#This Row],[CP2]]),FALSE),"")</f>
        <v/>
      </c>
      <c r="CA306" s="173" t="str">
        <f>IFERROR(VLOOKUP($A306,T_TraitDi[#Data],COLUMN(T_TraitDi[[#This Row],[VILLE2]]),FALSE),"")</f>
        <v/>
      </c>
      <c r="CB306"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6" s="166" t="str">
        <f>IFERROR(IF(VLOOKUP(T_BilanSocial[[#This Row],[NumL]],T_TraitDi[#Data],COLUMN(T_TraitDi[[#This Row],[Plan]]),FALSE)="OK","Un planning spécifique de télétravail est annexé à la présente convention.",""),"")</f>
        <v/>
      </c>
      <c r="CD306" s="301"/>
      <c r="CE306" s="164" t="e">
        <f>IF(VLOOKUP(T_BilanSocial[[#This Row],[NumL]],T_suiviDi[#Data],COLUMN(T_suiviDi[[#This Row],[Entité]]),FALSE)="","",VLOOKUP(T_BilanSocial[[#This Row],[NumL]],T_suiviDi[#Data],COLUMN(T_suiviDi[[#This Row],[Entité]]),FALSE))</f>
        <v>#VALUE!</v>
      </c>
      <c r="CF306" s="164" t="str">
        <f>IF(VLOOKUP(T_BilanSocial[[#This Row],[NumL]],T_Commission[#Data],COLUMN(T_Commission[[#This Row],[envoi confirm TW]]),FALSE)="","",VLOOKUP(T_BilanSocial[[#This Row],[NumL]],T_Commission[#Data],COLUMN(T_Commission[[#This Row],[envoi confirm TW]]),FALSE))</f>
        <v>Oui</v>
      </c>
      <c r="CG30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6" s="339" t="str">
        <f>T_BilanSocial[[#This Row],[Nom]]&amp;T_BilanSocial[[#This Row],[Prenom]]</f>
        <v/>
      </c>
      <c r="CI306" s="339" t="str">
        <f>VLOOKUP(T_BilanSocial[[#This Row],[NumL]],T_Commission[#Data],COLUMN(T_Commission[Commentaire]),FALSE)</f>
        <v>Le télétravail est accordé pour 6 mois renouvelables sous réserve de l'avis du médecin de prévention.</v>
      </c>
      <c r="CJ306" s="339" t="str">
        <f>IF(VLOOKUP(T_BilanSocial[[#This Row],[NumL]],T_Commission[#Data],COLUMN(T_Commission[Encadrant Email]),FALSE)="","",VLOOKUP(T_BilanSocial[[#This Row],[NumL]],T_Commission[#Data],COLUMN(T_Commission[Encadrant Email]),FALSE))</f>
        <v/>
      </c>
      <c r="CK306" s="332" t="str">
        <f>IF(T_BilanSocial[[#This Row],[Final]]&lt;&gt;"",VLOOKUP(T_BilanSocial[[#This Row],[NumL]],T_suiviDi[#Data],COLUMN((T_suiviDi[Statut])),FALSE),"")</f>
        <v/>
      </c>
    </row>
    <row r="307" spans="1:89" s="50" customFormat="1" ht="21" customHeight="1" x14ac:dyDescent="0.25">
      <c r="A307" s="136">
        <v>304</v>
      </c>
      <c r="B307" s="330" t="str">
        <f t="shared" si="56"/>
        <v/>
      </c>
      <c r="C307" s="309"/>
      <c r="D307" s="95" t="e">
        <f>IF(VLOOKUP(T_BilanSocial[[#This Row],[NumL]],T_TraitDi[#Data],COLUMN(T_TraitDi[[#This Row],[WebC]]),FALSE)="","",VLOOKUP(T_BilanSocial[[#This Row],[NumL]],T_TraitDi[#Data],COLUMN(T_TraitDi[[#This Row],[WebC]]),FALSE))</f>
        <v>#VALUE!</v>
      </c>
      <c r="E307" s="95" t="str">
        <f t="shared" si="57"/>
        <v>12 janvier 2021</v>
      </c>
      <c r="F307" s="96" t="str">
        <f>IF(T_BilanSocial[[#This Row],[Final]]&lt;&gt;"",VLOOKUP(T_BilanSocial[[#This Row],[NumL]],T_suiviDi[#Data],COLUMN((T_suiviDi[Civ.])),FALSE),"")</f>
        <v/>
      </c>
      <c r="G307" s="96" t="str">
        <f>IF(T_BilanSocial[[#This Row],[Final]]&lt;&gt;"",VLOOKUP(T_BilanSocial[[#This Row],[NumL]],T_suiviDi[#Data],COLUMN((T_suiviDi[Nom])),FALSE),"")</f>
        <v/>
      </c>
      <c r="H307" s="96" t="str">
        <f>IF(T_BilanSocial[[#This Row],[Final]]&lt;&gt;"",VLOOKUP(T_BilanSocial[[#This Row],[NumL]],T_suiviDi[#Data],COLUMN((T_suiviDi[Prénom])),FALSE),"")</f>
        <v/>
      </c>
      <c r="I307" s="331" t="str">
        <f>IFERROR(VLOOKUP(T_BilanSocial[[#This Row],[Zone_Bilan]],T_P_BilanSocial[#Data],COLUMN(T_P_BilanSocial[[#This Row],[Numero_SIHAM]]),FALSE),"")</f>
        <v/>
      </c>
      <c r="J307" s="331" t="str">
        <f>IFERROR(VLOOKUP(T_BilanSocial[[#This Row],[Zone_Bilan]],T_P_BilanSocial[#Data],COLUMN(T_P_BilanSocial[[#This Row],[Sexe]]),FALSE),"")</f>
        <v/>
      </c>
      <c r="K307" s="294" t="str">
        <f>IFERROR(VLOOKUP(T_BilanSocial[[#This Row],[Zone_Bilan]],T_P_BilanSocial[#Data],COLUMN(T_P_BilanSocial[[#This Row],[Categorie]]),FALSE),"")</f>
        <v/>
      </c>
      <c r="L307" s="331" t="str">
        <f>IFERROR(VLOOKUP(T_BilanSocial[[#This Row],[Zone_Bilan]],T_P_BilanSocial[#Data],COLUMN(T_P_BilanSocial[[#This Row],[Statut]]),FALSE),"")</f>
        <v/>
      </c>
      <c r="M307" s="331" t="str">
        <f>IFERROR(VLOOKUP(T_BilanSocial[[#This Row],[Zone_Bilan]],T_P_BilanSocial[#Data],COLUMN(T_P_BilanSocial[[#This Row],[Filiere]]),FALSE),"")</f>
        <v/>
      </c>
      <c r="N307" s="331" t="e">
        <f>VLOOKUP(T_BilanSocial[[#This Row],[NumL]],T_TraitDi[#Data],COLUMN(T_TraitDi[EXP]),FALSE)</f>
        <v>#N/A</v>
      </c>
      <c r="O307" s="331" t="e">
        <f>VLOOKUP(T_BilanSocial[[#This Row],[NumL]],T_TraitDi[#Data],COLUMN(T_TraitDi[FORM]),FALSE)</f>
        <v>#N/A</v>
      </c>
      <c r="P307" s="96" t="str">
        <f>IF(T_BilanSocial[[#This Row],[Final]]&lt;&gt;"",VLOOKUP(T_BilanSocial[[#This Row],[NumL]],T_suiviDi[#Data],COLUMN((T_suiviDi[Email])),FALSE),"")</f>
        <v/>
      </c>
      <c r="Q307" s="96" t="e">
        <f t="shared" si="58"/>
        <v>#N/A</v>
      </c>
      <c r="R307" s="96" t="e">
        <f t="shared" si="59"/>
        <v>#N/A</v>
      </c>
      <c r="S307" s="96" t="str">
        <f t="shared" si="55"/>
        <v/>
      </c>
      <c r="T307" s="96" t="str">
        <f t="shared" si="60"/>
        <v>01 septembre 2021</v>
      </c>
      <c r="U307" s="96" t="str">
        <f t="shared" si="61"/>
        <v>30 novembre 2021</v>
      </c>
      <c r="V307" s="97">
        <f t="shared" si="62"/>
        <v>44530</v>
      </c>
      <c r="W307" s="176" t="e">
        <f>IF(VLOOKUP(T_BilanSocial[[#This Row],[NumL]],T_TraitDi[#Data],COLUMN(T_TraitDi[[#This Row],[M1]]),FALSE)="","",VLOOKUP(T_BilanSocial[[#This Row],[NumL]],T_TraitDi[#Data],COLUMN(T_TraitDi[[#This Row],[M1]]),FALSE))</f>
        <v>#VALUE!</v>
      </c>
      <c r="X307" s="96" t="str">
        <f t="shared" si="63"/>
        <v/>
      </c>
      <c r="Y307" s="96" t="str">
        <f t="shared" si="63"/>
        <v/>
      </c>
      <c r="Z307" s="96" t="str">
        <f t="shared" si="64"/>
        <v/>
      </c>
      <c r="AA307" s="176" t="e">
        <f>IF(VLOOKUP(T_BilanSocial[[#This Row],[NumL]],T_TraitDi[#Data],COLUMN(T_TraitDi[[#This Row],[M5]]),FALSE)="","",VLOOKUP(T_BilanSocial[[#This Row],[NumL]],T_TraitDi[#Data],COLUMN(T_TraitDi[[#This Row],[M5]]),FALSE))</f>
        <v>#VALUE!</v>
      </c>
      <c r="AB307" s="176" t="e">
        <f>IF(VLOOKUP(T_BilanSocial[[#This Row],[NumL]],T_TraitDi[#Data],COLUMN(T_TraitDi[[#This Row],[M6]]),FALSE)="","",VLOOKUP(T_BilanSocial[[#This Row],[NumL]],T_TraitDi[#Data],COLUMN(T_TraitDi[[#This Row],[M6]]),FALSE))</f>
        <v>#VALUE!</v>
      </c>
      <c r="AC307" s="96" t="e">
        <f t="shared" si="67"/>
        <v>#VALUE!</v>
      </c>
      <c r="AD307" s="97" t="str">
        <f t="shared" si="65"/>
        <v/>
      </c>
      <c r="AE307" s="294" t="e">
        <f>VLOOKUP(T_BilanSocial[[#This Row],[NumL]],T_TraitDi[#Data],COLUMN(T_TraitDi[[#This Row],[Reg Ponct]]),FALSE)</f>
        <v>#VALUE!</v>
      </c>
      <c r="AF307" s="294" t="e">
        <f>VLOOKUP(T_BilanSocial[NumL],T_TraitDi[#Data],COLUMN(T_TraitDi[[#This Row],[Jours flottants]]),FALSE)</f>
        <v>#VALUE!</v>
      </c>
      <c r="AG307" s="97" t="str">
        <f>IFERROR(VLOOKUP(T_BilanSocial[[#This Row],[NumL]],T_TraitDi[#Data],COLUMN(T_TraitDi[[#This Row],[Lundi]]),FALSE),"")</f>
        <v/>
      </c>
      <c r="AH307" s="172" t="e">
        <f>IF(VLOOKUP(T_BilanSocial[[#This Row],[NumL]],T_TraitDi[#Data],COLUMN(T_TraitDi[[#This Row],[Colonne3]]),FALSE)=0,"",TEXT(IFERROR(VLOOKUP(T_BilanSocial[[#This Row],[NumL]],T_TraitDi[#Data],COLUMN(T_TraitDi[[#This Row],[Colonne3]]),FALSE),""),"[hh]:mm"))</f>
        <v>#VALUE!</v>
      </c>
      <c r="AI307" s="172" t="e">
        <f>IF(VLOOKUP(T_BilanSocial[[#This Row],[NumL]],T_TraitDi[#Data],COLUMN(T_TraitDi[[#This Row],[Colonne4]]),FALSE)=0,"",TEXT(IFERROR(VLOOKUP(T_BilanSocial[[#This Row],[NumL]],T_TraitDi[#Data],COLUMN(T_TraitDi[[#This Row],[Colonne4]]),FALSE),""),"[hh]:mm"))</f>
        <v>#VALUE!</v>
      </c>
      <c r="AJ307" s="172" t="e">
        <f>IF(VLOOKUP(T_BilanSocial[[#This Row],[NumL]],T_TraitDi[#Data],COLUMN(T_TraitDi[[#This Row],[Colonne5]]),FALSE)=0,"",TEXT(IFERROR(VLOOKUP(T_BilanSocial[[#This Row],[NumL]],T_TraitDi[#Data],COLUMN(T_TraitDi[[#This Row],[Colonne5]]),FALSE),""),"[hh]:mm"))</f>
        <v>#VALUE!</v>
      </c>
      <c r="AK307" s="172" t="e">
        <f>IF(VLOOKUP(T_BilanSocial[[#This Row],[NumL]],T_TraitDi[#Data],COLUMN(T_TraitDi[[#This Row],[Colonne6]]),FALSE)=0,"",TEXT(IFERROR(VLOOKUP(T_BilanSocial[[#This Row],[NumL]],T_TraitDi[#Data],COLUMN(T_TraitDi[[#This Row],[Colonne6]]),FALSE),""),"[hh]:mm"))</f>
        <v>#VALUE!</v>
      </c>
      <c r="AL307" s="172" t="e">
        <f>IF(VLOOKUP(T_BilanSocial[[#This Row],[NumL]],T_TraitDi[#Data],COLUMN(T_TraitDi[[#This Row],[Colonne7]]),FALSE)=0,"",TEXT(IFERROR(VLOOKUP(T_BilanSocial[[#This Row],[NumL]],T_TraitDi[#Data],COLUMN(T_TraitDi[[#This Row],[Colonne7]]),FALSE),""),"[hh]:mm"))</f>
        <v>#VALUE!</v>
      </c>
      <c r="AM307" s="172" t="e">
        <f>IF(VLOOKUP(T_BilanSocial[[#This Row],[NumL]],T_TraitDi[#Data],COLUMN(T_TraitDi[[#This Row],[Colonne8]]),FALSE)=0,"",TEXT(IFERROR(VLOOKUP(T_BilanSocial[[#This Row],[NumL]],T_TraitDi[#Data],COLUMN(T_TraitDi[[#This Row],[Colonne8]]),FALSE),""),"[hh]:mm"))</f>
        <v>#VALUE!</v>
      </c>
      <c r="AN307" s="172" t="str">
        <f>IFERROR(VLOOKUP(T_BilanSocial[[#This Row],[NumL]],T_TraitDi[#Data],COLUMN(T_TraitDi[[#This Row],[Mardi]]),FALSE),"")</f>
        <v/>
      </c>
      <c r="AO307" s="172" t="e">
        <f>IF(VLOOKUP(T_BilanSocial[[#This Row],[NumL]],T_TraitDi[#Data],COLUMN(T_TraitDi[[#This Row],[Colonne1]]),FALSE)=0,"",TEXT(IFERROR(VLOOKUP(T_BilanSocial[[#This Row],[NumL]],T_TraitDi[#Data],COLUMN(T_TraitDi[[#This Row],[Colonne1]]),FALSE),""),"[hh]:mm"))</f>
        <v>#VALUE!</v>
      </c>
      <c r="AP307" s="172" t="e">
        <f>IF(VLOOKUP(T_BilanSocial[[#This Row],[NumL]],T_TraitDi[#Data],COLUMN(T_TraitDi[[#This Row],[Colonne9]]),FALSE)=0,"",TEXT(IFERROR(VLOOKUP(T_BilanSocial[[#This Row],[NumL]],T_TraitDi[#Data],COLUMN(T_TraitDi[[#This Row],[Colonne9]]),FALSE),""),"[hh]:mm"))</f>
        <v>#VALUE!</v>
      </c>
      <c r="AQ307" s="172" t="str">
        <f>IFERROR(VLOOKUP(T_BilanSocial[[#This Row],[NumL]],T_TraitDi[#Data],COLUMN(T_TraitDi[[#This Row],[Colonne10]]),FALSE),"")</f>
        <v/>
      </c>
      <c r="AR307" s="172" t="e">
        <f>IF(VLOOKUP(T_BilanSocial[[#This Row],[NumL]],T_TraitDi[#Data],COLUMN(T_TraitDi[[#This Row],[Colonne11]]),FALSE)=0,"",TEXT(IFERROR(VLOOKUP(T_BilanSocial[[#This Row],[NumL]],T_TraitDi[#Data],COLUMN(T_TraitDi[[#This Row],[Colonne11]]),FALSE),""),"[hh]:mm"))</f>
        <v>#VALUE!</v>
      </c>
      <c r="AS307" s="172" t="e">
        <f>IF(VLOOKUP(T_BilanSocial[[#This Row],[NumL]],T_TraitDi[#Data],COLUMN(T_TraitDi[[#This Row],[Colonne12]]),FALSE)=0,"",TEXT(IFERROR(VLOOKUP(T_BilanSocial[[#This Row],[NumL]],T_TraitDi[#Data],COLUMN(T_TraitDi[[#This Row],[Colonne12]]),FALSE),""),"[hh]:mm"))</f>
        <v>#VALUE!</v>
      </c>
      <c r="AT307" s="172" t="e">
        <f>IF(VLOOKUP(T_BilanSocial[[#This Row],[NumL]],T_TraitDi[#Data],COLUMN(T_TraitDi[[#This Row],[Colonne14]]),FALSE)=0,"",TEXT(IFERROR(VLOOKUP(T_BilanSocial[[#This Row],[NumL]],T_TraitDi[#Data],COLUMN(T_TraitDi[[#This Row],[Colonne14]]),FALSE),""),"[hh]:mm"))</f>
        <v>#VALUE!</v>
      </c>
      <c r="AU307" s="172" t="str">
        <f>IFERROR(VLOOKUP(T_BilanSocial[[#This Row],[NumL]],T_TraitDi[#Data],COLUMN(T_TraitDi[[#This Row],[Mercredi]]),FALSE),"")</f>
        <v/>
      </c>
      <c r="AV307" s="172" t="e">
        <f>IF(VLOOKUP(T_BilanSocial[[#This Row],[NumL]],T_TraitDi[#Data],COLUMN(T_TraitDi[[#This Row],[Colonne15]]),FALSE)=0,"",TEXT(IFERROR(VLOOKUP(T_BilanSocial[[#This Row],[NumL]],T_TraitDi[#Data],COLUMN(T_TraitDi[[#This Row],[Colonne15]]),FALSE),""),"[hh]:mm"))</f>
        <v>#VALUE!</v>
      </c>
      <c r="AW307" s="172" t="e">
        <f>IF(VLOOKUP(T_BilanSocial[[#This Row],[NumL]],T_TraitDi[#Data],COLUMN(T_TraitDi[[#This Row],[Colonne16]]),FALSE)=0,"",TEXT(IFERROR(VLOOKUP(T_BilanSocial[[#This Row],[NumL]],T_TraitDi[#Data],COLUMN(T_TraitDi[[#This Row],[Colonne16]]),FALSE),""),"[hh]:mm"))</f>
        <v>#VALUE!</v>
      </c>
      <c r="AX307" s="172" t="str">
        <f>IFERROR(VLOOKUP(T_BilanSocial[[#This Row],[NumL]],T_TraitDi[#Data],COLUMN(T_TraitDi[[#This Row],[Colonne17]]),FALSE),"")</f>
        <v/>
      </c>
      <c r="AY307" s="172" t="e">
        <f>IF(VLOOKUP(T_BilanSocial[[#This Row],[NumL]],T_TraitDi[#Data],COLUMN(T_TraitDi[[#This Row],[Colonne18]]),FALSE)=0,"",TEXT(IFERROR(VLOOKUP(T_BilanSocial[[#This Row],[NumL]],T_TraitDi[#Data],COLUMN(T_TraitDi[[#This Row],[Colonne18]]),FALSE),""),"[hh]:mm"))</f>
        <v>#VALUE!</v>
      </c>
      <c r="AZ307" s="172" t="e">
        <f>IF(VLOOKUP(T_BilanSocial[[#This Row],[NumL]],T_TraitDi[#Data],COLUMN(T_TraitDi[[#This Row],[Colonne19]]),FALSE)=0,"",TEXT(IFERROR(VLOOKUP(T_BilanSocial[[#This Row],[NumL]],T_TraitDi[#Data],COLUMN(T_TraitDi[[#This Row],[Colonne19]]),FALSE),""),"[hh]:mm"))</f>
        <v>#VALUE!</v>
      </c>
      <c r="BA307" s="172" t="e">
        <f>IF(VLOOKUP(T_BilanSocial[[#This Row],[NumL]],T_TraitDi[#Data],COLUMN(T_TraitDi[[#This Row],[Colonne20]]),FALSE)=0,"",TEXT(IFERROR(VLOOKUP(T_BilanSocial[[#This Row],[NumL]],T_TraitDi[#Data],COLUMN(T_TraitDi[[#This Row],[Colonne20]]),FALSE),""),"[hh]:mm"))</f>
        <v>#VALUE!</v>
      </c>
      <c r="BB307" s="178" t="str">
        <f>IFERROR(VLOOKUP(T_BilanSocial[[#This Row],[NumL]],T_TraitDi[#Data],COLUMN(T_TraitDi[[#This Row],[Jeudi]]),FALSE),"")</f>
        <v/>
      </c>
      <c r="BC307" s="178" t="e">
        <f>IF(VLOOKUP(T_BilanSocial[[#This Row],[NumL]],T_TraitDi[#Data],COLUMN(T_TraitDi[[#This Row],[Colonne21]]),FALSE)=0,"",TEXT(IFERROR(VLOOKUP(T_BilanSocial[[#This Row],[NumL]],T_TraitDi[#Data],COLUMN(T_TraitDi[[#This Row],[Colonne21]]),FALSE),""),"[hh]:mm"))</f>
        <v>#VALUE!</v>
      </c>
      <c r="BD307" s="178" t="e">
        <f>IF(VLOOKUP(T_BilanSocial[[#This Row],[NumL]],T_TraitDi[#Data],COLUMN(T_TraitDi[[#This Row],[Colonne22]]),FALSE)=0,"",TEXT(IFERROR(VLOOKUP(T_BilanSocial[[#This Row],[NumL]],T_TraitDi[#Data],COLUMN(T_TraitDi[[#This Row],[Colonne22]]),FALSE),""),"[hh]:mm"))</f>
        <v>#VALUE!</v>
      </c>
      <c r="BE307" s="178" t="str">
        <f>IFERROR(VLOOKUP(T_BilanSocial[[#This Row],[NumL]],T_TraitDi[#Data],COLUMN(T_TraitDi[[#This Row],[Colonne23]]),FALSE),"")</f>
        <v/>
      </c>
      <c r="BF307" s="178" t="e">
        <f>IF(VLOOKUP(T_BilanSocial[[#This Row],[NumL]],T_TraitDi[#Data],COLUMN(T_TraitDi[[#This Row],[Colonne24]]),FALSE)=0,"",TEXT(IFERROR(VLOOKUP(T_BilanSocial[[#This Row],[NumL]],T_TraitDi[#Data],COLUMN(T_TraitDi[[#This Row],[Colonne24]]),FALSE),""),"[hh]:mm"))</f>
        <v>#VALUE!</v>
      </c>
      <c r="BG307" s="178" t="e">
        <f>IF(VLOOKUP(T_BilanSocial[[#This Row],[NumL]],T_TraitDi[#Data],COLUMN(T_TraitDi[[#This Row],[Colonne25]]),FALSE)=0,"",TEXT(IFERROR(VLOOKUP(T_BilanSocial[[#This Row],[NumL]],T_TraitDi[#Data],COLUMN(T_TraitDi[[#This Row],[Colonne25]]),FALSE),""),"[hh]:mm"))</f>
        <v>#VALUE!</v>
      </c>
      <c r="BH307" s="178" t="e">
        <f>IF(VLOOKUP(T_BilanSocial[[#This Row],[NumL]],T_TraitDi[#Data],COLUMN(T_TraitDi[[#This Row],[Colonne26]]),FALSE)=0,"",TEXT(IFERROR(VLOOKUP(T_BilanSocial[[#This Row],[NumL]],T_TraitDi[#Data],COLUMN(T_TraitDi[[#This Row],[Colonne26]]),FALSE),""),"[hh]:mm"))</f>
        <v>#VALUE!</v>
      </c>
      <c r="BI307" s="172" t="str">
        <f>IFERROR(VLOOKUP(T_BilanSocial[[#This Row],[NumL]],T_TraitDi[#Data],COLUMN(T_TraitDi[[#This Row],[Vendredi]]),FALSE),"")</f>
        <v/>
      </c>
      <c r="BJ307" s="172" t="e">
        <f>IF(VLOOKUP(T_BilanSocial[[#This Row],[NumL]],T_TraitDi[#Data],COLUMN(T_TraitDi[[#This Row],[Colonne27]]),FALSE)=0,"",TEXT(IFERROR(VLOOKUP(T_BilanSocial[[#This Row],[NumL]],T_TraitDi[#Data],COLUMN(T_TraitDi[[#This Row],[Colonne27]]),FALSE),""),"[hh]:mm"))</f>
        <v>#VALUE!</v>
      </c>
      <c r="BK307" s="172" t="e">
        <f>IF(VLOOKUP(T_BilanSocial[[#This Row],[NumL]],T_TraitDi[#Data],COLUMN(T_TraitDi[[#This Row],[Colonne28]]),FALSE)=0,"",TEXT(IFERROR(VLOOKUP(T_BilanSocial[[#This Row],[NumL]],T_TraitDi[#Data],COLUMN(T_TraitDi[[#This Row],[Colonne28]]),FALSE),""),"[hh]:mm"))</f>
        <v>#VALUE!</v>
      </c>
      <c r="BL307" s="172" t="str">
        <f>IFERROR(VLOOKUP(T_BilanSocial[[#This Row],[NumL]],T_TraitDi[#Data],COLUMN(T_TraitDi[[#This Row],[Colonne29]]),FALSE),"")</f>
        <v/>
      </c>
      <c r="BM307" s="172" t="e">
        <f>IF(VLOOKUP(T_BilanSocial[[#This Row],[NumL]],T_TraitDi[#Data],COLUMN(T_TraitDi[[#This Row],[Colonne30]]),FALSE)=0,"",TEXT(IFERROR(VLOOKUP(T_BilanSocial[[#This Row],[NumL]],T_TraitDi[#Data],COLUMN(T_TraitDi[[#This Row],[Colonne30]]),FALSE),""),"[hh]:mm"))</f>
        <v>#VALUE!</v>
      </c>
      <c r="BN307" s="172" t="e">
        <f>IF(VLOOKUP(T_BilanSocial[[#This Row],[NumL]],T_TraitDi[#Data],COLUMN(T_TraitDi[[#This Row],[Colonne31]]),FALSE)=0,"",TEXT(IFERROR(VLOOKUP(T_BilanSocial[[#This Row],[NumL]],T_TraitDi[#Data],COLUMN(T_TraitDi[[#This Row],[Colonne31]]),FALSE),""),"[hh]:mm"))</f>
        <v>#VALUE!</v>
      </c>
      <c r="BO307" s="172" t="e">
        <f>IF(VLOOKUP(T_BilanSocial[[#This Row],[NumL]],T_TraitDi[#Data],COLUMN(T_TraitDi[[#This Row],[Colonne32]]),FALSE)=0,"",TEXT(IFERROR(VLOOKUP(T_BilanSocial[[#This Row],[NumL]],T_TraitDi[#Data],COLUMN(T_TraitDi[[#This Row],[Colonne32]]),FALSE),""),"[hh]:mm"))</f>
        <v>#VALUE!</v>
      </c>
      <c r="BP307" s="172" t="e">
        <f>VLOOKUP(T_BilanSocial[[#This Row],[NumL]],T_TraitDi[#Data],COLUMN(T_TraitDi[NbJTot]),FALSE)</f>
        <v>#N/A</v>
      </c>
      <c r="BQ307" s="174" t="str">
        <f>IFERROR(VLOOKUP(T_BilanSocial[[#This Row],[NumL]],T_TraitDi[#Data],COLUMN(T_TraitDi[[#This Row],[NbJTW]]),FALSE),"")</f>
        <v/>
      </c>
      <c r="BR307" s="174" t="e">
        <f>IF(VLOOKUP(T_BilanSocial[[#This Row],[NumL]],T_TraitDi[#Data],COLUMN(T_TraitDi[[#This Row],[NbhTW]]),FALSE)=0,"",TEXT(IFERROR(VLOOKUP(T_BilanSocial[[#This Row],[NumL]],T_TraitDi[#Data],COLUMN(T_TraitDi[[#This Row],[NbhTW]]),FALSE),""),"[hh]:mm"))</f>
        <v>#VALUE!</v>
      </c>
      <c r="BS307" s="174" t="e">
        <f>IF(VLOOKUP(T_BilanSocial[[#This Row],[NumL]],T_TraitDi[#Data],COLUMN(T_TraitDi[[#This Row],[Nbhheb]]),FALSE)=0,"",TEXT(IFERROR(VLOOKUP($A307,T_TraitDi[#Data],COLUMN(T_TraitDi[[#This Row],[Nbhheb]]),FALSE),""),"[hh]:mm"))</f>
        <v>#VALUE!</v>
      </c>
      <c r="BT307" s="182" t="str">
        <f>IFERROR(VLOOKUP(VLOOKUP($A307,T_TraitDi[#Data],COLUMN(T_TraitDi[[#This Row],[Type1]]),FALSE),TypeTW,2,FALSE),"")</f>
        <v/>
      </c>
      <c r="BU307" s="182" t="str">
        <f>IFERROR(VLOOKUP($A307,T_TraitDi[#Data],COLUMN(T_TraitDi[[#This Row],[Rue1]]),FALSE),"")</f>
        <v/>
      </c>
      <c r="BV307" s="173" t="str">
        <f>IFERROR(VLOOKUP($A307,T_TraitDi[#Data],COLUMN(T_TraitDi[[#This Row],[CP1]]),FALSE),"")</f>
        <v/>
      </c>
      <c r="BW307" s="173" t="str">
        <f>IFERROR(VLOOKUP($A307,T_TraitDi[#Data],COLUMN(T_TraitDi[[#This Row],[VILLE1]]),FALSE),"")</f>
        <v/>
      </c>
      <c r="BX307" s="182" t="str">
        <f>IFERROR(VLOOKUP(VLOOKUP($A307,T_TraitDi[#Data],COLUMN(T_TraitDi[[#This Row],[Type2]]),FALSE),TypeTW,2,FALSE),"")</f>
        <v/>
      </c>
      <c r="BY307" s="182" t="str">
        <f>IFERROR(VLOOKUP($A307,T_TraitDi[#Data],COLUMN(T_TraitDi[[#This Row],[Rue2]]),FALSE),"")</f>
        <v/>
      </c>
      <c r="BZ307" s="173" t="str">
        <f>IFERROR(VLOOKUP($A307,T_TraitDi[#Data],COLUMN(T_TraitDi[[#This Row],[CP2]]),FALSE),"")</f>
        <v/>
      </c>
      <c r="CA307" s="173" t="str">
        <f>IFERROR(VLOOKUP($A307,T_TraitDi[#Data],COLUMN(T_TraitDi[[#This Row],[VILLE2]]),FALSE),"")</f>
        <v/>
      </c>
      <c r="CB307"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7" s="166" t="str">
        <f>IFERROR(IF(VLOOKUP(T_BilanSocial[[#This Row],[NumL]],T_TraitDi[#Data],COLUMN(T_TraitDi[[#This Row],[Plan]]),FALSE)="OK","Un planning spécifique de télétravail est annexé à la présente convention.",""),"")</f>
        <v/>
      </c>
      <c r="CD307" s="301"/>
      <c r="CE307" s="164" t="e">
        <f>IF(VLOOKUP(T_BilanSocial[[#This Row],[NumL]],T_suiviDi[#Data],COLUMN(T_suiviDi[[#This Row],[Entité]]),FALSE)="","",VLOOKUP(T_BilanSocial[[#This Row],[NumL]],T_suiviDi[#Data],COLUMN(T_suiviDi[[#This Row],[Entité]]),FALSE))</f>
        <v>#VALUE!</v>
      </c>
      <c r="CF307" s="164" t="str">
        <f>IF(VLOOKUP(T_BilanSocial[[#This Row],[NumL]],T_Commission[#Data],COLUMN(T_Commission[[#This Row],[envoi confirm TW]]),FALSE)="","",VLOOKUP(T_BilanSocial[[#This Row],[NumL]],T_Commission[#Data],COLUMN(T_Commission[[#This Row],[envoi confirm TW]]),FALSE))</f>
        <v>Oui</v>
      </c>
      <c r="CG30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7" s="339" t="str">
        <f>T_BilanSocial[[#This Row],[Nom]]&amp;T_BilanSocial[[#This Row],[Prenom]]</f>
        <v/>
      </c>
      <c r="CI307" s="339">
        <f>VLOOKUP(T_BilanSocial[[#This Row],[NumL]],T_Commission[#Data],COLUMN(T_Commission[Commentaire]),FALSE)</f>
        <v>0</v>
      </c>
      <c r="CJ307" s="339" t="str">
        <f>IF(VLOOKUP(T_BilanSocial[[#This Row],[NumL]],T_Commission[#Data],COLUMN(T_Commission[Encadrant Email]),FALSE)="","",VLOOKUP(T_BilanSocial[[#This Row],[NumL]],T_Commission[#Data],COLUMN(T_Commission[Encadrant Email]),FALSE))</f>
        <v/>
      </c>
      <c r="CK307" s="332" t="str">
        <f>IF(T_BilanSocial[[#This Row],[Final]]&lt;&gt;"",VLOOKUP(T_BilanSocial[[#This Row],[NumL]],T_suiviDi[#Data],COLUMN((T_suiviDi[Statut])),FALSE),"")</f>
        <v/>
      </c>
    </row>
    <row r="308" spans="1:89" s="50" customFormat="1" ht="29.25" customHeight="1" x14ac:dyDescent="0.25">
      <c r="A308" s="136">
        <v>305</v>
      </c>
      <c r="B308" s="330" t="str">
        <f t="shared" si="56"/>
        <v/>
      </c>
      <c r="C308" s="309"/>
      <c r="D308" s="95" t="e">
        <f>IF(VLOOKUP(T_BilanSocial[[#This Row],[NumL]],T_TraitDi[#Data],COLUMN(T_TraitDi[[#This Row],[WebC]]),FALSE)="","",VLOOKUP(T_BilanSocial[[#This Row],[NumL]],T_TraitDi[#Data],COLUMN(T_TraitDi[[#This Row],[WebC]]),FALSE))</f>
        <v>#VALUE!</v>
      </c>
      <c r="E308" s="95" t="str">
        <f t="shared" si="57"/>
        <v>12 janvier 2021</v>
      </c>
      <c r="F308" s="96" t="str">
        <f>IF(T_BilanSocial[[#This Row],[Final]]&lt;&gt;"",VLOOKUP(T_BilanSocial[[#This Row],[NumL]],T_suiviDi[#Data],COLUMN((T_suiviDi[Civ.])),FALSE),"")</f>
        <v/>
      </c>
      <c r="G308" s="96" t="str">
        <f>IF(T_BilanSocial[[#This Row],[Final]]&lt;&gt;"",VLOOKUP(T_BilanSocial[[#This Row],[NumL]],T_suiviDi[#Data],COLUMN((T_suiviDi[Nom])),FALSE),"")</f>
        <v/>
      </c>
      <c r="H308" s="96" t="str">
        <f>IF(T_BilanSocial[[#This Row],[Final]]&lt;&gt;"",VLOOKUP(T_BilanSocial[[#This Row],[NumL]],T_suiviDi[#Data],COLUMN((T_suiviDi[Prénom])),FALSE),"")</f>
        <v/>
      </c>
      <c r="I308" s="331" t="str">
        <f>IFERROR(VLOOKUP(T_BilanSocial[[#This Row],[Zone_Bilan]],T_P_BilanSocial[#Data],COLUMN(T_P_BilanSocial[[#This Row],[Numero_SIHAM]]),FALSE),"")</f>
        <v/>
      </c>
      <c r="J308" s="331" t="str">
        <f>IFERROR(VLOOKUP(T_BilanSocial[[#This Row],[Zone_Bilan]],T_P_BilanSocial[#Data],COLUMN(T_P_BilanSocial[[#This Row],[Sexe]]),FALSE),"")</f>
        <v/>
      </c>
      <c r="K308" s="294" t="str">
        <f>IFERROR(VLOOKUP(T_BilanSocial[[#This Row],[Zone_Bilan]],T_P_BilanSocial[#Data],COLUMN(T_P_BilanSocial[[#This Row],[Categorie]]),FALSE),"")</f>
        <v/>
      </c>
      <c r="L308" s="331" t="str">
        <f>IFERROR(VLOOKUP(T_BilanSocial[[#This Row],[Zone_Bilan]],T_P_BilanSocial[#Data],COLUMN(T_P_BilanSocial[[#This Row],[Statut]]),FALSE),"")</f>
        <v/>
      </c>
      <c r="M308" s="331" t="str">
        <f>IFERROR(VLOOKUP(T_BilanSocial[[#This Row],[Zone_Bilan]],T_P_BilanSocial[#Data],COLUMN(T_P_BilanSocial[[#This Row],[Filiere]]),FALSE),"")</f>
        <v/>
      </c>
      <c r="N308" s="331" t="e">
        <f>VLOOKUP(T_BilanSocial[[#This Row],[NumL]],T_TraitDi[#Data],COLUMN(T_TraitDi[EXP]),FALSE)</f>
        <v>#N/A</v>
      </c>
      <c r="O308" s="331" t="e">
        <f>VLOOKUP(T_BilanSocial[[#This Row],[NumL]],T_TraitDi[#Data],COLUMN(T_TraitDi[FORM]),FALSE)</f>
        <v>#N/A</v>
      </c>
      <c r="P308" s="96" t="str">
        <f>IF(T_BilanSocial[[#This Row],[Final]]&lt;&gt;"",VLOOKUP(T_BilanSocial[[#This Row],[NumL]],T_suiviDi[#Data],COLUMN((T_suiviDi[Email])),FALSE),"")</f>
        <v/>
      </c>
      <c r="Q308" s="96" t="e">
        <f t="shared" si="58"/>
        <v>#N/A</v>
      </c>
      <c r="R308" s="96" t="e">
        <f t="shared" si="59"/>
        <v>#N/A</v>
      </c>
      <c r="S308" s="96" t="str">
        <f t="shared" si="55"/>
        <v/>
      </c>
      <c r="T308" s="96" t="str">
        <f t="shared" si="60"/>
        <v>01 septembre 2021</v>
      </c>
      <c r="U308" s="96" t="str">
        <f t="shared" si="61"/>
        <v>30 novembre 2021</v>
      </c>
      <c r="V308" s="97">
        <f t="shared" si="62"/>
        <v>44530</v>
      </c>
      <c r="W308" s="176" t="e">
        <f>IF(VLOOKUP(T_BilanSocial[[#This Row],[NumL]],T_TraitDi[#Data],COLUMN(T_TraitDi[[#This Row],[M1]]),FALSE)="","",VLOOKUP(T_BilanSocial[[#This Row],[NumL]],T_TraitDi[#Data],COLUMN(T_TraitDi[[#This Row],[M1]]),FALSE))</f>
        <v>#VALUE!</v>
      </c>
      <c r="X308" s="96" t="str">
        <f t="shared" si="63"/>
        <v/>
      </c>
      <c r="Y308" s="96" t="str">
        <f t="shared" si="63"/>
        <v/>
      </c>
      <c r="Z308" s="96" t="str">
        <f t="shared" si="64"/>
        <v/>
      </c>
      <c r="AA308" s="176" t="e">
        <f>IF(VLOOKUP(T_BilanSocial[[#This Row],[NumL]],T_TraitDi[#Data],COLUMN(T_TraitDi[[#This Row],[M5]]),FALSE)="","",VLOOKUP(T_BilanSocial[[#This Row],[NumL]],T_TraitDi[#Data],COLUMN(T_TraitDi[[#This Row],[M5]]),FALSE))</f>
        <v>#VALUE!</v>
      </c>
      <c r="AB308" s="176" t="e">
        <f>IF(VLOOKUP(T_BilanSocial[[#This Row],[NumL]],T_TraitDi[#Data],COLUMN(T_TraitDi[[#This Row],[M6]]),FALSE)="","",VLOOKUP(T_BilanSocial[[#This Row],[NumL]],T_TraitDi[#Data],COLUMN(T_TraitDi[[#This Row],[M6]]),FALSE))</f>
        <v>#VALUE!</v>
      </c>
      <c r="AC308" s="96" t="e">
        <f t="shared" si="67"/>
        <v>#VALUE!</v>
      </c>
      <c r="AD308" s="97" t="str">
        <f t="shared" si="65"/>
        <v/>
      </c>
      <c r="AE308" s="294" t="e">
        <f>VLOOKUP(T_BilanSocial[[#This Row],[NumL]],T_TraitDi[#Data],COLUMN(T_TraitDi[[#This Row],[Reg Ponct]]),FALSE)</f>
        <v>#VALUE!</v>
      </c>
      <c r="AF308" s="294" t="e">
        <f>VLOOKUP(T_BilanSocial[NumL],T_TraitDi[#Data],COLUMN(T_TraitDi[[#This Row],[Jours flottants]]),FALSE)</f>
        <v>#VALUE!</v>
      </c>
      <c r="AG308" s="97" t="str">
        <f>IFERROR(VLOOKUP(T_BilanSocial[[#This Row],[NumL]],T_TraitDi[#Data],COLUMN(T_TraitDi[[#This Row],[Lundi]]),FALSE),"")</f>
        <v/>
      </c>
      <c r="AH308" s="172" t="e">
        <f>IF(VLOOKUP(T_BilanSocial[[#This Row],[NumL]],T_TraitDi[#Data],COLUMN(T_TraitDi[[#This Row],[Colonne3]]),FALSE)=0,"",TEXT(IFERROR(VLOOKUP(T_BilanSocial[[#This Row],[NumL]],T_TraitDi[#Data],COLUMN(T_TraitDi[[#This Row],[Colonne3]]),FALSE),""),"[hh]:mm"))</f>
        <v>#VALUE!</v>
      </c>
      <c r="AI308" s="172" t="e">
        <f>IF(VLOOKUP(T_BilanSocial[[#This Row],[NumL]],T_TraitDi[#Data],COLUMN(T_TraitDi[[#This Row],[Colonne4]]),FALSE)=0,"",TEXT(IFERROR(VLOOKUP(T_BilanSocial[[#This Row],[NumL]],T_TraitDi[#Data],COLUMN(T_TraitDi[[#This Row],[Colonne4]]),FALSE),""),"[hh]:mm"))</f>
        <v>#VALUE!</v>
      </c>
      <c r="AJ308" s="172" t="e">
        <f>IF(VLOOKUP(T_BilanSocial[[#This Row],[NumL]],T_TraitDi[#Data],COLUMN(T_TraitDi[[#This Row],[Colonne5]]),FALSE)=0,"",TEXT(IFERROR(VLOOKUP(T_BilanSocial[[#This Row],[NumL]],T_TraitDi[#Data],COLUMN(T_TraitDi[[#This Row],[Colonne5]]),FALSE),""),"[hh]:mm"))</f>
        <v>#VALUE!</v>
      </c>
      <c r="AK308" s="172" t="e">
        <f>IF(VLOOKUP(T_BilanSocial[[#This Row],[NumL]],T_TraitDi[#Data],COLUMN(T_TraitDi[[#This Row],[Colonne6]]),FALSE)=0,"",TEXT(IFERROR(VLOOKUP(T_BilanSocial[[#This Row],[NumL]],T_TraitDi[#Data],COLUMN(T_TraitDi[[#This Row],[Colonne6]]),FALSE),""),"[hh]:mm"))</f>
        <v>#VALUE!</v>
      </c>
      <c r="AL308" s="172" t="e">
        <f>IF(VLOOKUP(T_BilanSocial[[#This Row],[NumL]],T_TraitDi[#Data],COLUMN(T_TraitDi[[#This Row],[Colonne7]]),FALSE)=0,"",TEXT(IFERROR(VLOOKUP(T_BilanSocial[[#This Row],[NumL]],T_TraitDi[#Data],COLUMN(T_TraitDi[[#This Row],[Colonne7]]),FALSE),""),"[hh]:mm"))</f>
        <v>#VALUE!</v>
      </c>
      <c r="AM308" s="172" t="e">
        <f>IF(VLOOKUP(T_BilanSocial[[#This Row],[NumL]],T_TraitDi[#Data],COLUMN(T_TraitDi[[#This Row],[Colonne8]]),FALSE)=0,"",TEXT(IFERROR(VLOOKUP(T_BilanSocial[[#This Row],[NumL]],T_TraitDi[#Data],COLUMN(T_TraitDi[[#This Row],[Colonne8]]),FALSE),""),"[hh]:mm"))</f>
        <v>#VALUE!</v>
      </c>
      <c r="AN308" s="172" t="str">
        <f>IFERROR(VLOOKUP(T_BilanSocial[[#This Row],[NumL]],T_TraitDi[#Data],COLUMN(T_TraitDi[[#This Row],[Mardi]]),FALSE),"")</f>
        <v/>
      </c>
      <c r="AO308" s="172" t="e">
        <f>IF(VLOOKUP(T_BilanSocial[[#This Row],[NumL]],T_TraitDi[#Data],COLUMN(T_TraitDi[[#This Row],[Colonne1]]),FALSE)=0,"",TEXT(IFERROR(VLOOKUP(T_BilanSocial[[#This Row],[NumL]],T_TraitDi[#Data],COLUMN(T_TraitDi[[#This Row],[Colonne1]]),FALSE),""),"[hh]:mm"))</f>
        <v>#VALUE!</v>
      </c>
      <c r="AP308" s="172" t="e">
        <f>IF(VLOOKUP(T_BilanSocial[[#This Row],[NumL]],T_TraitDi[#Data],COLUMN(T_TraitDi[[#This Row],[Colonne9]]),FALSE)=0,"",TEXT(IFERROR(VLOOKUP(T_BilanSocial[[#This Row],[NumL]],T_TraitDi[#Data],COLUMN(T_TraitDi[[#This Row],[Colonne9]]),FALSE),""),"[hh]:mm"))</f>
        <v>#VALUE!</v>
      </c>
      <c r="AQ308" s="172" t="str">
        <f>IFERROR(VLOOKUP(T_BilanSocial[[#This Row],[NumL]],T_TraitDi[#Data],COLUMN(T_TraitDi[[#This Row],[Colonne10]]),FALSE),"")</f>
        <v/>
      </c>
      <c r="AR308" s="172" t="e">
        <f>IF(VLOOKUP(T_BilanSocial[[#This Row],[NumL]],T_TraitDi[#Data],COLUMN(T_TraitDi[[#This Row],[Colonne11]]),FALSE)=0,"",TEXT(IFERROR(VLOOKUP(T_BilanSocial[[#This Row],[NumL]],T_TraitDi[#Data],COLUMN(T_TraitDi[[#This Row],[Colonne11]]),FALSE),""),"[hh]:mm"))</f>
        <v>#VALUE!</v>
      </c>
      <c r="AS308" s="172" t="e">
        <f>IF(VLOOKUP(T_BilanSocial[[#This Row],[NumL]],T_TraitDi[#Data],COLUMN(T_TraitDi[[#This Row],[Colonne12]]),FALSE)=0,"",TEXT(IFERROR(VLOOKUP(T_BilanSocial[[#This Row],[NumL]],T_TraitDi[#Data],COLUMN(T_TraitDi[[#This Row],[Colonne12]]),FALSE),""),"[hh]:mm"))</f>
        <v>#VALUE!</v>
      </c>
      <c r="AT308" s="172" t="e">
        <f>IF(VLOOKUP(T_BilanSocial[[#This Row],[NumL]],T_TraitDi[#Data],COLUMN(T_TraitDi[[#This Row],[Colonne14]]),FALSE)=0,"",TEXT(IFERROR(VLOOKUP(T_BilanSocial[[#This Row],[NumL]],T_TraitDi[#Data],COLUMN(T_TraitDi[[#This Row],[Colonne14]]),FALSE),""),"[hh]:mm"))</f>
        <v>#VALUE!</v>
      </c>
      <c r="AU308" s="172" t="str">
        <f>IFERROR(VLOOKUP(T_BilanSocial[[#This Row],[NumL]],T_TraitDi[#Data],COLUMN(T_TraitDi[[#This Row],[Mercredi]]),FALSE),"")</f>
        <v/>
      </c>
      <c r="AV308" s="172" t="e">
        <f>IF(VLOOKUP(T_BilanSocial[[#This Row],[NumL]],T_TraitDi[#Data],COLUMN(T_TraitDi[[#This Row],[Colonne15]]),FALSE)=0,"",TEXT(IFERROR(VLOOKUP(T_BilanSocial[[#This Row],[NumL]],T_TraitDi[#Data],COLUMN(T_TraitDi[[#This Row],[Colonne15]]),FALSE),""),"[hh]:mm"))</f>
        <v>#VALUE!</v>
      </c>
      <c r="AW308" s="172" t="e">
        <f>IF(VLOOKUP(T_BilanSocial[[#This Row],[NumL]],T_TraitDi[#Data],COLUMN(T_TraitDi[[#This Row],[Colonne16]]),FALSE)=0,"",TEXT(IFERROR(VLOOKUP(T_BilanSocial[[#This Row],[NumL]],T_TraitDi[#Data],COLUMN(T_TraitDi[[#This Row],[Colonne16]]),FALSE),""),"[hh]:mm"))</f>
        <v>#VALUE!</v>
      </c>
      <c r="AX308" s="172" t="str">
        <f>IFERROR(VLOOKUP(T_BilanSocial[[#This Row],[NumL]],T_TraitDi[#Data],COLUMN(T_TraitDi[[#This Row],[Colonne17]]),FALSE),"")</f>
        <v/>
      </c>
      <c r="AY308" s="172" t="e">
        <f>IF(VLOOKUP(T_BilanSocial[[#This Row],[NumL]],T_TraitDi[#Data],COLUMN(T_TraitDi[[#This Row],[Colonne18]]),FALSE)=0,"",TEXT(IFERROR(VLOOKUP(T_BilanSocial[[#This Row],[NumL]],T_TraitDi[#Data],COLUMN(T_TraitDi[[#This Row],[Colonne18]]),FALSE),""),"[hh]:mm"))</f>
        <v>#VALUE!</v>
      </c>
      <c r="AZ308" s="172" t="e">
        <f>IF(VLOOKUP(T_BilanSocial[[#This Row],[NumL]],T_TraitDi[#Data],COLUMN(T_TraitDi[[#This Row],[Colonne19]]),FALSE)=0,"",TEXT(IFERROR(VLOOKUP(T_BilanSocial[[#This Row],[NumL]],T_TraitDi[#Data],COLUMN(T_TraitDi[[#This Row],[Colonne19]]),FALSE),""),"[hh]:mm"))</f>
        <v>#VALUE!</v>
      </c>
      <c r="BA308" s="172" t="e">
        <f>IF(VLOOKUP(T_BilanSocial[[#This Row],[NumL]],T_TraitDi[#Data],COLUMN(T_TraitDi[[#This Row],[Colonne20]]),FALSE)=0,"",TEXT(IFERROR(VLOOKUP(T_BilanSocial[[#This Row],[NumL]],T_TraitDi[#Data],COLUMN(T_TraitDi[[#This Row],[Colonne20]]),FALSE),""),"[hh]:mm"))</f>
        <v>#VALUE!</v>
      </c>
      <c r="BB308" s="178" t="str">
        <f>IFERROR(VLOOKUP(T_BilanSocial[[#This Row],[NumL]],T_TraitDi[#Data],COLUMN(T_TraitDi[[#This Row],[Jeudi]]),FALSE),"")</f>
        <v/>
      </c>
      <c r="BC308" s="178" t="e">
        <f>IF(VLOOKUP(T_BilanSocial[[#This Row],[NumL]],T_TraitDi[#Data],COLUMN(T_TraitDi[[#This Row],[Colonne21]]),FALSE)=0,"",TEXT(IFERROR(VLOOKUP(T_BilanSocial[[#This Row],[NumL]],T_TraitDi[#Data],COLUMN(T_TraitDi[[#This Row],[Colonne21]]),FALSE),""),"[hh]:mm"))</f>
        <v>#VALUE!</v>
      </c>
      <c r="BD308" s="178" t="e">
        <f>IF(VLOOKUP(T_BilanSocial[[#This Row],[NumL]],T_TraitDi[#Data],COLUMN(T_TraitDi[[#This Row],[Colonne22]]),FALSE)=0,"",TEXT(IFERROR(VLOOKUP(T_BilanSocial[[#This Row],[NumL]],T_TraitDi[#Data],COLUMN(T_TraitDi[[#This Row],[Colonne22]]),FALSE),""),"[hh]:mm"))</f>
        <v>#VALUE!</v>
      </c>
      <c r="BE308" s="178" t="str">
        <f>IFERROR(VLOOKUP(T_BilanSocial[[#This Row],[NumL]],T_TraitDi[#Data],COLUMN(T_TraitDi[[#This Row],[Colonne23]]),FALSE),"")</f>
        <v/>
      </c>
      <c r="BF308" s="178" t="e">
        <f>IF(VLOOKUP(T_BilanSocial[[#This Row],[NumL]],T_TraitDi[#Data],COLUMN(T_TraitDi[[#This Row],[Colonne24]]),FALSE)=0,"",TEXT(IFERROR(VLOOKUP(T_BilanSocial[[#This Row],[NumL]],T_TraitDi[#Data],COLUMN(T_TraitDi[[#This Row],[Colonne24]]),FALSE),""),"[hh]:mm"))</f>
        <v>#VALUE!</v>
      </c>
      <c r="BG308" s="178" t="e">
        <f>IF(VLOOKUP(T_BilanSocial[[#This Row],[NumL]],T_TraitDi[#Data],COLUMN(T_TraitDi[[#This Row],[Colonne25]]),FALSE)=0,"",TEXT(IFERROR(VLOOKUP(T_BilanSocial[[#This Row],[NumL]],T_TraitDi[#Data],COLUMN(T_TraitDi[[#This Row],[Colonne25]]),FALSE),""),"[hh]:mm"))</f>
        <v>#VALUE!</v>
      </c>
      <c r="BH308" s="178" t="e">
        <f>IF(VLOOKUP(T_BilanSocial[[#This Row],[NumL]],T_TraitDi[#Data],COLUMN(T_TraitDi[[#This Row],[Colonne26]]),FALSE)=0,"",TEXT(IFERROR(VLOOKUP(T_BilanSocial[[#This Row],[NumL]],T_TraitDi[#Data],COLUMN(T_TraitDi[[#This Row],[Colonne26]]),FALSE),""),"[hh]:mm"))</f>
        <v>#VALUE!</v>
      </c>
      <c r="BI308" s="172" t="str">
        <f>IFERROR(VLOOKUP(T_BilanSocial[[#This Row],[NumL]],T_TraitDi[#Data],COLUMN(T_TraitDi[[#This Row],[Vendredi]]),FALSE),"")</f>
        <v/>
      </c>
      <c r="BJ308" s="172" t="e">
        <f>IF(VLOOKUP(T_BilanSocial[[#This Row],[NumL]],T_TraitDi[#Data],COLUMN(T_TraitDi[[#This Row],[Colonne27]]),FALSE)=0,"",TEXT(IFERROR(VLOOKUP(T_BilanSocial[[#This Row],[NumL]],T_TraitDi[#Data],COLUMN(T_TraitDi[[#This Row],[Colonne27]]),FALSE),""),"[hh]:mm"))</f>
        <v>#VALUE!</v>
      </c>
      <c r="BK308" s="172" t="e">
        <f>IF(VLOOKUP(T_BilanSocial[[#This Row],[NumL]],T_TraitDi[#Data],COLUMN(T_TraitDi[[#This Row],[Colonne28]]),FALSE)=0,"",TEXT(IFERROR(VLOOKUP(T_BilanSocial[[#This Row],[NumL]],T_TraitDi[#Data],COLUMN(T_TraitDi[[#This Row],[Colonne28]]),FALSE),""),"[hh]:mm"))</f>
        <v>#VALUE!</v>
      </c>
      <c r="BL308" s="172" t="str">
        <f>IFERROR(VLOOKUP(T_BilanSocial[[#This Row],[NumL]],T_TraitDi[#Data],COLUMN(T_TraitDi[[#This Row],[Colonne29]]),FALSE),"")</f>
        <v/>
      </c>
      <c r="BM308" s="172" t="e">
        <f>IF(VLOOKUP(T_BilanSocial[[#This Row],[NumL]],T_TraitDi[#Data],COLUMN(T_TraitDi[[#This Row],[Colonne30]]),FALSE)=0,"",TEXT(IFERROR(VLOOKUP(T_BilanSocial[[#This Row],[NumL]],T_TraitDi[#Data],COLUMN(T_TraitDi[[#This Row],[Colonne30]]),FALSE),""),"[hh]:mm"))</f>
        <v>#VALUE!</v>
      </c>
      <c r="BN308" s="172" t="e">
        <f>IF(VLOOKUP(T_BilanSocial[[#This Row],[NumL]],T_TraitDi[#Data],COLUMN(T_TraitDi[[#This Row],[Colonne31]]),FALSE)=0,"",TEXT(IFERROR(VLOOKUP(T_BilanSocial[[#This Row],[NumL]],T_TraitDi[#Data],COLUMN(T_TraitDi[[#This Row],[Colonne31]]),FALSE),""),"[hh]:mm"))</f>
        <v>#VALUE!</v>
      </c>
      <c r="BO308" s="172" t="e">
        <f>IF(VLOOKUP(T_BilanSocial[[#This Row],[NumL]],T_TraitDi[#Data],COLUMN(T_TraitDi[[#This Row],[Colonne32]]),FALSE)=0,"",TEXT(IFERROR(VLOOKUP(T_BilanSocial[[#This Row],[NumL]],T_TraitDi[#Data],COLUMN(T_TraitDi[[#This Row],[Colonne32]]),FALSE),""),"[hh]:mm"))</f>
        <v>#VALUE!</v>
      </c>
      <c r="BP308" s="172" t="e">
        <f>VLOOKUP(T_BilanSocial[[#This Row],[NumL]],T_TraitDi[#Data],COLUMN(T_TraitDi[NbJTot]),FALSE)</f>
        <v>#N/A</v>
      </c>
      <c r="BQ308" s="174" t="str">
        <f>IFERROR(VLOOKUP(T_BilanSocial[[#This Row],[NumL]],T_TraitDi[#Data],COLUMN(T_TraitDi[[#This Row],[NbJTW]]),FALSE),"")</f>
        <v/>
      </c>
      <c r="BR308" s="174" t="e">
        <f>IF(VLOOKUP(T_BilanSocial[[#This Row],[NumL]],T_TraitDi[#Data],COLUMN(T_TraitDi[[#This Row],[NbhTW]]),FALSE)=0,"",TEXT(IFERROR(VLOOKUP(T_BilanSocial[[#This Row],[NumL]],T_TraitDi[#Data],COLUMN(T_TraitDi[[#This Row],[NbhTW]]),FALSE),""),"[hh]:mm"))</f>
        <v>#VALUE!</v>
      </c>
      <c r="BS308" s="174" t="e">
        <f>IF(VLOOKUP(T_BilanSocial[[#This Row],[NumL]],T_TraitDi[#Data],COLUMN(T_TraitDi[[#This Row],[Nbhheb]]),FALSE)=0,"",TEXT(IFERROR(VLOOKUP($A308,T_TraitDi[#Data],COLUMN(T_TraitDi[[#This Row],[Nbhheb]]),FALSE),""),"[hh]:mm"))</f>
        <v>#VALUE!</v>
      </c>
      <c r="BT308" s="182" t="str">
        <f>IFERROR(VLOOKUP(VLOOKUP($A308,T_TraitDi[#Data],COLUMN(T_TraitDi[[#This Row],[Type1]]),FALSE),TypeTW,2,FALSE),"")</f>
        <v/>
      </c>
      <c r="BU308" s="182" t="str">
        <f>IFERROR(VLOOKUP($A308,T_TraitDi[#Data],COLUMN(T_TraitDi[[#This Row],[Rue1]]),FALSE),"")</f>
        <v/>
      </c>
      <c r="BV308" s="173" t="str">
        <f>IFERROR(VLOOKUP($A308,T_TraitDi[#Data],COLUMN(T_TraitDi[[#This Row],[CP1]]),FALSE),"")</f>
        <v/>
      </c>
      <c r="BW308" s="173" t="str">
        <f>IFERROR(VLOOKUP($A308,T_TraitDi[#Data],COLUMN(T_TraitDi[[#This Row],[VILLE1]]),FALSE),"")</f>
        <v/>
      </c>
      <c r="BX308" s="182" t="str">
        <f>IFERROR(VLOOKUP(VLOOKUP($A308,T_TraitDi[#Data],COLUMN(T_TraitDi[[#This Row],[Type2]]),FALSE),TypeTW,2,FALSE),"")</f>
        <v/>
      </c>
      <c r="BY308" s="182" t="str">
        <f>IFERROR(VLOOKUP($A308,T_TraitDi[#Data],COLUMN(T_TraitDi[[#This Row],[Rue2]]),FALSE),"")</f>
        <v/>
      </c>
      <c r="BZ308" s="173" t="str">
        <f>IFERROR(VLOOKUP($A308,T_TraitDi[#Data],COLUMN(T_TraitDi[[#This Row],[CP2]]),FALSE),"")</f>
        <v/>
      </c>
      <c r="CA308" s="173" t="str">
        <f>IFERROR(VLOOKUP($A308,T_TraitDi[#Data],COLUMN(T_TraitDi[[#This Row],[VILLE2]]),FALSE),"")</f>
        <v/>
      </c>
      <c r="CB308"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8" s="166" t="str">
        <f>IFERROR(IF(VLOOKUP(T_BilanSocial[[#This Row],[NumL]],T_TraitDi[#Data],COLUMN(T_TraitDi[[#This Row],[Plan]]),FALSE)="OK","Un planning spécifique de télétravail est annexé à la présente convention.",""),"")</f>
        <v/>
      </c>
      <c r="CD308" s="301"/>
      <c r="CE308" s="164" t="e">
        <f>IF(VLOOKUP(T_BilanSocial[[#This Row],[NumL]],T_suiviDi[#Data],COLUMN(T_suiviDi[[#This Row],[Entité]]),FALSE)="","",VLOOKUP(T_BilanSocial[[#This Row],[NumL]],T_suiviDi[#Data],COLUMN(T_suiviDi[[#This Row],[Entité]]),FALSE))</f>
        <v>#VALUE!</v>
      </c>
      <c r="CF308" s="164" t="str">
        <f>IF(VLOOKUP(T_BilanSocial[[#This Row],[NumL]],T_Commission[#Data],COLUMN(T_Commission[[#This Row],[envoi confirm TW]]),FALSE)="","",VLOOKUP(T_BilanSocial[[#This Row],[NumL]],T_Commission[#Data],COLUMN(T_Commission[[#This Row],[envoi confirm TW]]),FALSE))</f>
        <v>Oui</v>
      </c>
      <c r="CG30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8" s="339" t="str">
        <f>T_BilanSocial[[#This Row],[Nom]]&amp;T_BilanSocial[[#This Row],[Prenom]]</f>
        <v/>
      </c>
      <c r="CI308" s="339">
        <f>VLOOKUP(T_BilanSocial[[#This Row],[NumL]],T_Commission[#Data],COLUMN(T_Commission[Commentaire]),FALSE)</f>
        <v>0</v>
      </c>
      <c r="CJ308" s="339" t="str">
        <f>IF(VLOOKUP(T_BilanSocial[[#This Row],[NumL]],T_Commission[#Data],COLUMN(T_Commission[Encadrant Email]),FALSE)="","",VLOOKUP(T_BilanSocial[[#This Row],[NumL]],T_Commission[#Data],COLUMN(T_Commission[Encadrant Email]),FALSE))</f>
        <v/>
      </c>
      <c r="CK308" s="332" t="str">
        <f>IF(T_BilanSocial[[#This Row],[Final]]&lt;&gt;"",VLOOKUP(T_BilanSocial[[#This Row],[NumL]],T_suiviDi[#Data],COLUMN((T_suiviDi[Statut])),FALSE),"")</f>
        <v/>
      </c>
    </row>
    <row r="309" spans="1:89" s="50" customFormat="1" ht="21" customHeight="1" x14ac:dyDescent="0.25">
      <c r="A309" s="136">
        <v>306</v>
      </c>
      <c r="B309" s="330" t="str">
        <f t="shared" si="56"/>
        <v/>
      </c>
      <c r="C309" s="309"/>
      <c r="D309" s="95" t="e">
        <f>IF(VLOOKUP(T_BilanSocial[[#This Row],[NumL]],T_TraitDi[#Data],COLUMN(T_TraitDi[[#This Row],[WebC]]),FALSE)="","",VLOOKUP(T_BilanSocial[[#This Row],[NumL]],T_TraitDi[#Data],COLUMN(T_TraitDi[[#This Row],[WebC]]),FALSE))</f>
        <v>#VALUE!</v>
      </c>
      <c r="E309" s="95" t="str">
        <f t="shared" si="57"/>
        <v>12 janvier 2021</v>
      </c>
      <c r="F309" s="96" t="str">
        <f>IF(T_BilanSocial[[#This Row],[Final]]&lt;&gt;"",VLOOKUP(T_BilanSocial[[#This Row],[NumL]],T_suiviDi[#Data],COLUMN((T_suiviDi[Civ.])),FALSE),"")</f>
        <v/>
      </c>
      <c r="G309" s="96" t="str">
        <f>IF(T_BilanSocial[[#This Row],[Final]]&lt;&gt;"",VLOOKUP(T_BilanSocial[[#This Row],[NumL]],T_suiviDi[#Data],COLUMN((T_suiviDi[Nom])),FALSE),"")</f>
        <v/>
      </c>
      <c r="H309" s="96" t="str">
        <f>IF(T_BilanSocial[[#This Row],[Final]]&lt;&gt;"",VLOOKUP(T_BilanSocial[[#This Row],[NumL]],T_suiviDi[#Data],COLUMN((T_suiviDi[Prénom])),FALSE),"")</f>
        <v/>
      </c>
      <c r="I309" s="331" t="str">
        <f>IFERROR(VLOOKUP(T_BilanSocial[[#This Row],[Zone_Bilan]],T_P_BilanSocial[#Data],COLUMN(T_P_BilanSocial[[#This Row],[Numero_SIHAM]]),FALSE),"")</f>
        <v/>
      </c>
      <c r="J309" s="331" t="str">
        <f>IFERROR(VLOOKUP(T_BilanSocial[[#This Row],[Zone_Bilan]],T_P_BilanSocial[#Data],COLUMN(T_P_BilanSocial[[#This Row],[Sexe]]),FALSE),"")</f>
        <v/>
      </c>
      <c r="K309" s="294" t="str">
        <f>IFERROR(VLOOKUP(T_BilanSocial[[#This Row],[Zone_Bilan]],T_P_BilanSocial[#Data],COLUMN(T_P_BilanSocial[[#This Row],[Categorie]]),FALSE),"")</f>
        <v/>
      </c>
      <c r="L309" s="331" t="str">
        <f>IFERROR(VLOOKUP(T_BilanSocial[[#This Row],[Zone_Bilan]],T_P_BilanSocial[#Data],COLUMN(T_P_BilanSocial[[#This Row],[Statut]]),FALSE),"")</f>
        <v/>
      </c>
      <c r="M309" s="331" t="str">
        <f>IFERROR(VLOOKUP(T_BilanSocial[[#This Row],[Zone_Bilan]],T_P_BilanSocial[#Data],COLUMN(T_P_BilanSocial[[#This Row],[Filiere]]),FALSE),"")</f>
        <v/>
      </c>
      <c r="N309" s="331" t="e">
        <f>VLOOKUP(T_BilanSocial[[#This Row],[NumL]],T_TraitDi[#Data],COLUMN(T_TraitDi[EXP]),FALSE)</f>
        <v>#N/A</v>
      </c>
      <c r="O309" s="331" t="e">
        <f>VLOOKUP(T_BilanSocial[[#This Row],[NumL]],T_TraitDi[#Data],COLUMN(T_TraitDi[FORM]),FALSE)</f>
        <v>#N/A</v>
      </c>
      <c r="P309" s="96" t="str">
        <f>IF(T_BilanSocial[[#This Row],[Final]]&lt;&gt;"",VLOOKUP(T_BilanSocial[[#This Row],[NumL]],T_suiviDi[#Data],COLUMN((T_suiviDi[Email])),FALSE),"")</f>
        <v/>
      </c>
      <c r="Q309" s="96" t="e">
        <f t="shared" si="58"/>
        <v>#N/A</v>
      </c>
      <c r="R309" s="96" t="e">
        <f t="shared" si="59"/>
        <v>#N/A</v>
      </c>
      <c r="S309" s="96" t="str">
        <f t="shared" si="55"/>
        <v/>
      </c>
      <c r="T309" s="96" t="str">
        <f t="shared" si="60"/>
        <v>01 septembre 2021</v>
      </c>
      <c r="U309" s="96" t="str">
        <f t="shared" si="61"/>
        <v>30 novembre 2021</v>
      </c>
      <c r="V309" s="97">
        <f t="shared" si="62"/>
        <v>44530</v>
      </c>
      <c r="W309" s="176" t="e">
        <f>IF(VLOOKUP(T_BilanSocial[[#This Row],[NumL]],T_TraitDi[#Data],COLUMN(T_TraitDi[[#This Row],[M1]]),FALSE)="","",VLOOKUP(T_BilanSocial[[#This Row],[NumL]],T_TraitDi[#Data],COLUMN(T_TraitDi[[#This Row],[M1]]),FALSE))</f>
        <v>#VALUE!</v>
      </c>
      <c r="X309" s="96" t="str">
        <f t="shared" si="63"/>
        <v/>
      </c>
      <c r="Y309" s="96" t="str">
        <f t="shared" si="63"/>
        <v/>
      </c>
      <c r="Z309" s="96" t="str">
        <f t="shared" si="64"/>
        <v/>
      </c>
      <c r="AA309" s="176" t="e">
        <f>IF(VLOOKUP(T_BilanSocial[[#This Row],[NumL]],T_TraitDi[#Data],COLUMN(T_TraitDi[[#This Row],[M5]]),FALSE)="","",VLOOKUP(T_BilanSocial[[#This Row],[NumL]],T_TraitDi[#Data],COLUMN(T_TraitDi[[#This Row],[M5]]),FALSE))</f>
        <v>#VALUE!</v>
      </c>
      <c r="AB309" s="176" t="e">
        <f>IF(VLOOKUP(T_BilanSocial[[#This Row],[NumL]],T_TraitDi[#Data],COLUMN(T_TraitDi[[#This Row],[M6]]),FALSE)="","",VLOOKUP(T_BilanSocial[[#This Row],[NumL]],T_TraitDi[#Data],COLUMN(T_TraitDi[[#This Row],[M6]]),FALSE))</f>
        <v>#VALUE!</v>
      </c>
      <c r="AC309" s="96" t="e">
        <f t="shared" si="67"/>
        <v>#VALUE!</v>
      </c>
      <c r="AD309" s="97" t="str">
        <f t="shared" si="65"/>
        <v/>
      </c>
      <c r="AE309" s="294" t="e">
        <f>VLOOKUP(T_BilanSocial[[#This Row],[NumL]],T_TraitDi[#Data],COLUMN(T_TraitDi[[#This Row],[Reg Ponct]]),FALSE)</f>
        <v>#VALUE!</v>
      </c>
      <c r="AF309" s="294" t="e">
        <f>VLOOKUP(T_BilanSocial[NumL],T_TraitDi[#Data],COLUMN(T_TraitDi[[#This Row],[Jours flottants]]),FALSE)</f>
        <v>#VALUE!</v>
      </c>
      <c r="AG309" s="97" t="str">
        <f>IFERROR(VLOOKUP(T_BilanSocial[[#This Row],[NumL]],T_TraitDi[#Data],COLUMN(T_TraitDi[[#This Row],[Lundi]]),FALSE),"")</f>
        <v/>
      </c>
      <c r="AH309" s="172" t="e">
        <f>IF(VLOOKUP(T_BilanSocial[[#This Row],[NumL]],T_TraitDi[#Data],COLUMN(T_TraitDi[[#This Row],[Colonne3]]),FALSE)=0,"",TEXT(IFERROR(VLOOKUP(T_BilanSocial[[#This Row],[NumL]],T_TraitDi[#Data],COLUMN(T_TraitDi[[#This Row],[Colonne3]]),FALSE),""),"[hh]:mm"))</f>
        <v>#VALUE!</v>
      </c>
      <c r="AI309" s="172" t="e">
        <f>IF(VLOOKUP(T_BilanSocial[[#This Row],[NumL]],T_TraitDi[#Data],COLUMN(T_TraitDi[[#This Row],[Colonne4]]),FALSE)=0,"",TEXT(IFERROR(VLOOKUP(T_BilanSocial[[#This Row],[NumL]],T_TraitDi[#Data],COLUMN(T_TraitDi[[#This Row],[Colonne4]]),FALSE),""),"[hh]:mm"))</f>
        <v>#VALUE!</v>
      </c>
      <c r="AJ309" s="172" t="e">
        <f>IF(VLOOKUP(T_BilanSocial[[#This Row],[NumL]],T_TraitDi[#Data],COLUMN(T_TraitDi[[#This Row],[Colonne5]]),FALSE)=0,"",TEXT(IFERROR(VLOOKUP(T_BilanSocial[[#This Row],[NumL]],T_TraitDi[#Data],COLUMN(T_TraitDi[[#This Row],[Colonne5]]),FALSE),""),"[hh]:mm"))</f>
        <v>#VALUE!</v>
      </c>
      <c r="AK309" s="172" t="e">
        <f>IF(VLOOKUP(T_BilanSocial[[#This Row],[NumL]],T_TraitDi[#Data],COLUMN(T_TraitDi[[#This Row],[Colonne6]]),FALSE)=0,"",TEXT(IFERROR(VLOOKUP(T_BilanSocial[[#This Row],[NumL]],T_TraitDi[#Data],COLUMN(T_TraitDi[[#This Row],[Colonne6]]),FALSE),""),"[hh]:mm"))</f>
        <v>#VALUE!</v>
      </c>
      <c r="AL309" s="172" t="e">
        <f>IF(VLOOKUP(T_BilanSocial[[#This Row],[NumL]],T_TraitDi[#Data],COLUMN(T_TraitDi[[#This Row],[Colonne7]]),FALSE)=0,"",TEXT(IFERROR(VLOOKUP(T_BilanSocial[[#This Row],[NumL]],T_TraitDi[#Data],COLUMN(T_TraitDi[[#This Row],[Colonne7]]),FALSE),""),"[hh]:mm"))</f>
        <v>#VALUE!</v>
      </c>
      <c r="AM309" s="172" t="e">
        <f>IF(VLOOKUP(T_BilanSocial[[#This Row],[NumL]],T_TraitDi[#Data],COLUMN(T_TraitDi[[#This Row],[Colonne8]]),FALSE)=0,"",TEXT(IFERROR(VLOOKUP(T_BilanSocial[[#This Row],[NumL]],T_TraitDi[#Data],COLUMN(T_TraitDi[[#This Row],[Colonne8]]),FALSE),""),"[hh]:mm"))</f>
        <v>#VALUE!</v>
      </c>
      <c r="AN309" s="172" t="str">
        <f>IFERROR(VLOOKUP(T_BilanSocial[[#This Row],[NumL]],T_TraitDi[#Data],COLUMN(T_TraitDi[[#This Row],[Mardi]]),FALSE),"")</f>
        <v/>
      </c>
      <c r="AO309" s="172" t="e">
        <f>IF(VLOOKUP(T_BilanSocial[[#This Row],[NumL]],T_TraitDi[#Data],COLUMN(T_TraitDi[[#This Row],[Colonne1]]),FALSE)=0,"",TEXT(IFERROR(VLOOKUP(T_BilanSocial[[#This Row],[NumL]],T_TraitDi[#Data],COLUMN(T_TraitDi[[#This Row],[Colonne1]]),FALSE),""),"[hh]:mm"))</f>
        <v>#VALUE!</v>
      </c>
      <c r="AP309" s="172" t="e">
        <f>IF(VLOOKUP(T_BilanSocial[[#This Row],[NumL]],T_TraitDi[#Data],COLUMN(T_TraitDi[[#This Row],[Colonne9]]),FALSE)=0,"",TEXT(IFERROR(VLOOKUP(T_BilanSocial[[#This Row],[NumL]],T_TraitDi[#Data],COLUMN(T_TraitDi[[#This Row],[Colonne9]]),FALSE),""),"[hh]:mm"))</f>
        <v>#VALUE!</v>
      </c>
      <c r="AQ309" s="172" t="str">
        <f>IFERROR(VLOOKUP(T_BilanSocial[[#This Row],[NumL]],T_TraitDi[#Data],COLUMN(T_TraitDi[[#This Row],[Colonne10]]),FALSE),"")</f>
        <v/>
      </c>
      <c r="AR309" s="172" t="e">
        <f>IF(VLOOKUP(T_BilanSocial[[#This Row],[NumL]],T_TraitDi[#Data],COLUMN(T_TraitDi[[#This Row],[Colonne11]]),FALSE)=0,"",TEXT(IFERROR(VLOOKUP(T_BilanSocial[[#This Row],[NumL]],T_TraitDi[#Data],COLUMN(T_TraitDi[[#This Row],[Colonne11]]),FALSE),""),"[hh]:mm"))</f>
        <v>#VALUE!</v>
      </c>
      <c r="AS309" s="172" t="e">
        <f>IF(VLOOKUP(T_BilanSocial[[#This Row],[NumL]],T_TraitDi[#Data],COLUMN(T_TraitDi[[#This Row],[Colonne12]]),FALSE)=0,"",TEXT(IFERROR(VLOOKUP(T_BilanSocial[[#This Row],[NumL]],T_TraitDi[#Data],COLUMN(T_TraitDi[[#This Row],[Colonne12]]),FALSE),""),"[hh]:mm"))</f>
        <v>#VALUE!</v>
      </c>
      <c r="AT309" s="172" t="e">
        <f>IF(VLOOKUP(T_BilanSocial[[#This Row],[NumL]],T_TraitDi[#Data],COLUMN(T_TraitDi[[#This Row],[Colonne14]]),FALSE)=0,"",TEXT(IFERROR(VLOOKUP(T_BilanSocial[[#This Row],[NumL]],T_TraitDi[#Data],COLUMN(T_TraitDi[[#This Row],[Colonne14]]),FALSE),""),"[hh]:mm"))</f>
        <v>#VALUE!</v>
      </c>
      <c r="AU309" s="172" t="str">
        <f>IFERROR(VLOOKUP(T_BilanSocial[[#This Row],[NumL]],T_TraitDi[#Data],COLUMN(T_TraitDi[[#This Row],[Mercredi]]),FALSE),"")</f>
        <v/>
      </c>
      <c r="AV309" s="172" t="e">
        <f>IF(VLOOKUP(T_BilanSocial[[#This Row],[NumL]],T_TraitDi[#Data],COLUMN(T_TraitDi[[#This Row],[Colonne15]]),FALSE)=0,"",TEXT(IFERROR(VLOOKUP(T_BilanSocial[[#This Row],[NumL]],T_TraitDi[#Data],COLUMN(T_TraitDi[[#This Row],[Colonne15]]),FALSE),""),"[hh]:mm"))</f>
        <v>#VALUE!</v>
      </c>
      <c r="AW309" s="172" t="e">
        <f>IF(VLOOKUP(T_BilanSocial[[#This Row],[NumL]],T_TraitDi[#Data],COLUMN(T_TraitDi[[#This Row],[Colonne16]]),FALSE)=0,"",TEXT(IFERROR(VLOOKUP(T_BilanSocial[[#This Row],[NumL]],T_TraitDi[#Data],COLUMN(T_TraitDi[[#This Row],[Colonne16]]),FALSE),""),"[hh]:mm"))</f>
        <v>#VALUE!</v>
      </c>
      <c r="AX309" s="172" t="str">
        <f>IFERROR(VLOOKUP(T_BilanSocial[[#This Row],[NumL]],T_TraitDi[#Data],COLUMN(T_TraitDi[[#This Row],[Colonne17]]),FALSE),"")</f>
        <v/>
      </c>
      <c r="AY309" s="172" t="e">
        <f>IF(VLOOKUP(T_BilanSocial[[#This Row],[NumL]],T_TraitDi[#Data],COLUMN(T_TraitDi[[#This Row],[Colonne18]]),FALSE)=0,"",TEXT(IFERROR(VLOOKUP(T_BilanSocial[[#This Row],[NumL]],T_TraitDi[#Data],COLUMN(T_TraitDi[[#This Row],[Colonne18]]),FALSE),""),"[hh]:mm"))</f>
        <v>#VALUE!</v>
      </c>
      <c r="AZ309" s="172" t="e">
        <f>IF(VLOOKUP(T_BilanSocial[[#This Row],[NumL]],T_TraitDi[#Data],COLUMN(T_TraitDi[[#This Row],[Colonne19]]),FALSE)=0,"",TEXT(IFERROR(VLOOKUP(T_BilanSocial[[#This Row],[NumL]],T_TraitDi[#Data],COLUMN(T_TraitDi[[#This Row],[Colonne19]]),FALSE),""),"[hh]:mm"))</f>
        <v>#VALUE!</v>
      </c>
      <c r="BA309" s="172" t="e">
        <f>IF(VLOOKUP(T_BilanSocial[[#This Row],[NumL]],T_TraitDi[#Data],COLUMN(T_TraitDi[[#This Row],[Colonne20]]),FALSE)=0,"",TEXT(IFERROR(VLOOKUP(T_BilanSocial[[#This Row],[NumL]],T_TraitDi[#Data],COLUMN(T_TraitDi[[#This Row],[Colonne20]]),FALSE),""),"[hh]:mm"))</f>
        <v>#VALUE!</v>
      </c>
      <c r="BB309" s="178" t="str">
        <f>IFERROR(VLOOKUP(T_BilanSocial[[#This Row],[NumL]],T_TraitDi[#Data],COLUMN(T_TraitDi[[#This Row],[Jeudi]]),FALSE),"")</f>
        <v/>
      </c>
      <c r="BC309" s="178" t="e">
        <f>IF(VLOOKUP(T_BilanSocial[[#This Row],[NumL]],T_TraitDi[#Data],COLUMN(T_TraitDi[[#This Row],[Colonne21]]),FALSE)=0,"",TEXT(IFERROR(VLOOKUP(T_BilanSocial[[#This Row],[NumL]],T_TraitDi[#Data],COLUMN(T_TraitDi[[#This Row],[Colonne21]]),FALSE),""),"[hh]:mm"))</f>
        <v>#VALUE!</v>
      </c>
      <c r="BD309" s="178" t="e">
        <f>IF(VLOOKUP(T_BilanSocial[[#This Row],[NumL]],T_TraitDi[#Data],COLUMN(T_TraitDi[[#This Row],[Colonne22]]),FALSE)=0,"",TEXT(IFERROR(VLOOKUP(T_BilanSocial[[#This Row],[NumL]],T_TraitDi[#Data],COLUMN(T_TraitDi[[#This Row],[Colonne22]]),FALSE),""),"[hh]:mm"))</f>
        <v>#VALUE!</v>
      </c>
      <c r="BE309" s="178" t="str">
        <f>IFERROR(VLOOKUP(T_BilanSocial[[#This Row],[NumL]],T_TraitDi[#Data],COLUMN(T_TraitDi[[#This Row],[Colonne23]]),FALSE),"")</f>
        <v/>
      </c>
      <c r="BF309" s="178" t="e">
        <f>IF(VLOOKUP(T_BilanSocial[[#This Row],[NumL]],T_TraitDi[#Data],COLUMN(T_TraitDi[[#This Row],[Colonne24]]),FALSE)=0,"",TEXT(IFERROR(VLOOKUP(T_BilanSocial[[#This Row],[NumL]],T_TraitDi[#Data],COLUMN(T_TraitDi[[#This Row],[Colonne24]]),FALSE),""),"[hh]:mm"))</f>
        <v>#VALUE!</v>
      </c>
      <c r="BG309" s="178" t="e">
        <f>IF(VLOOKUP(T_BilanSocial[[#This Row],[NumL]],T_TraitDi[#Data],COLUMN(T_TraitDi[[#This Row],[Colonne25]]),FALSE)=0,"",TEXT(IFERROR(VLOOKUP(T_BilanSocial[[#This Row],[NumL]],T_TraitDi[#Data],COLUMN(T_TraitDi[[#This Row],[Colonne25]]),FALSE),""),"[hh]:mm"))</f>
        <v>#VALUE!</v>
      </c>
      <c r="BH309" s="178" t="e">
        <f>IF(VLOOKUP(T_BilanSocial[[#This Row],[NumL]],T_TraitDi[#Data],COLUMN(T_TraitDi[[#This Row],[Colonne26]]),FALSE)=0,"",TEXT(IFERROR(VLOOKUP(T_BilanSocial[[#This Row],[NumL]],T_TraitDi[#Data],COLUMN(T_TraitDi[[#This Row],[Colonne26]]),FALSE),""),"[hh]:mm"))</f>
        <v>#VALUE!</v>
      </c>
      <c r="BI309" s="172" t="str">
        <f>IFERROR(VLOOKUP(T_BilanSocial[[#This Row],[NumL]],T_TraitDi[#Data],COLUMN(T_TraitDi[[#This Row],[Vendredi]]),FALSE),"")</f>
        <v/>
      </c>
      <c r="BJ309" s="172" t="e">
        <f>IF(VLOOKUP(T_BilanSocial[[#This Row],[NumL]],T_TraitDi[#Data],COLUMN(T_TraitDi[[#This Row],[Colonne27]]),FALSE)=0,"",TEXT(IFERROR(VLOOKUP(T_BilanSocial[[#This Row],[NumL]],T_TraitDi[#Data],COLUMN(T_TraitDi[[#This Row],[Colonne27]]),FALSE),""),"[hh]:mm"))</f>
        <v>#VALUE!</v>
      </c>
      <c r="BK309" s="172" t="e">
        <f>IF(VLOOKUP(T_BilanSocial[[#This Row],[NumL]],T_TraitDi[#Data],COLUMN(T_TraitDi[[#This Row],[Colonne28]]),FALSE)=0,"",TEXT(IFERROR(VLOOKUP(T_BilanSocial[[#This Row],[NumL]],T_TraitDi[#Data],COLUMN(T_TraitDi[[#This Row],[Colonne28]]),FALSE),""),"[hh]:mm"))</f>
        <v>#VALUE!</v>
      </c>
      <c r="BL309" s="172" t="str">
        <f>IFERROR(VLOOKUP(T_BilanSocial[[#This Row],[NumL]],T_TraitDi[#Data],COLUMN(T_TraitDi[[#This Row],[Colonne29]]),FALSE),"")</f>
        <v/>
      </c>
      <c r="BM309" s="172" t="e">
        <f>IF(VLOOKUP(T_BilanSocial[[#This Row],[NumL]],T_TraitDi[#Data],COLUMN(T_TraitDi[[#This Row],[Colonne30]]),FALSE)=0,"",TEXT(IFERROR(VLOOKUP(T_BilanSocial[[#This Row],[NumL]],T_TraitDi[#Data],COLUMN(T_TraitDi[[#This Row],[Colonne30]]),FALSE),""),"[hh]:mm"))</f>
        <v>#VALUE!</v>
      </c>
      <c r="BN309" s="172" t="e">
        <f>IF(VLOOKUP(T_BilanSocial[[#This Row],[NumL]],T_TraitDi[#Data],COLUMN(T_TraitDi[[#This Row],[Colonne31]]),FALSE)=0,"",TEXT(IFERROR(VLOOKUP(T_BilanSocial[[#This Row],[NumL]],T_TraitDi[#Data],COLUMN(T_TraitDi[[#This Row],[Colonne31]]),FALSE),""),"[hh]:mm"))</f>
        <v>#VALUE!</v>
      </c>
      <c r="BO309" s="172" t="e">
        <f>IF(VLOOKUP(T_BilanSocial[[#This Row],[NumL]],T_TraitDi[#Data],COLUMN(T_TraitDi[[#This Row],[Colonne32]]),FALSE)=0,"",TEXT(IFERROR(VLOOKUP(T_BilanSocial[[#This Row],[NumL]],T_TraitDi[#Data],COLUMN(T_TraitDi[[#This Row],[Colonne32]]),FALSE),""),"[hh]:mm"))</f>
        <v>#VALUE!</v>
      </c>
      <c r="BP309" s="172" t="e">
        <f>VLOOKUP(T_BilanSocial[[#This Row],[NumL]],T_TraitDi[#Data],COLUMN(T_TraitDi[NbJTot]),FALSE)</f>
        <v>#N/A</v>
      </c>
      <c r="BQ309" s="174" t="str">
        <f>IFERROR(VLOOKUP(T_BilanSocial[[#This Row],[NumL]],T_TraitDi[#Data],COLUMN(T_TraitDi[[#This Row],[NbJTW]]),FALSE),"")</f>
        <v/>
      </c>
      <c r="BR309" s="174" t="e">
        <f>IF(VLOOKUP(T_BilanSocial[[#This Row],[NumL]],T_TraitDi[#Data],COLUMN(T_TraitDi[[#This Row],[NbhTW]]),FALSE)=0,"",TEXT(IFERROR(VLOOKUP(T_BilanSocial[[#This Row],[NumL]],T_TraitDi[#Data],COLUMN(T_TraitDi[[#This Row],[NbhTW]]),FALSE),""),"[hh]:mm"))</f>
        <v>#VALUE!</v>
      </c>
      <c r="BS309" s="174" t="e">
        <f>IF(VLOOKUP(T_BilanSocial[[#This Row],[NumL]],T_TraitDi[#Data],COLUMN(T_TraitDi[[#This Row],[Nbhheb]]),FALSE)=0,"",TEXT(IFERROR(VLOOKUP($A309,T_TraitDi[#Data],COLUMN(T_TraitDi[[#This Row],[Nbhheb]]),FALSE),""),"[hh]:mm"))</f>
        <v>#VALUE!</v>
      </c>
      <c r="BT309" s="182" t="str">
        <f>IFERROR(VLOOKUP(VLOOKUP($A309,T_TraitDi[#Data],COLUMN(T_TraitDi[[#This Row],[Type1]]),FALSE),TypeTW,2,FALSE),"")</f>
        <v/>
      </c>
      <c r="BU309" s="182" t="str">
        <f>IFERROR(VLOOKUP($A309,T_TraitDi[#Data],COLUMN(T_TraitDi[[#This Row],[Rue1]]),FALSE),"")</f>
        <v/>
      </c>
      <c r="BV309" s="173" t="str">
        <f>IFERROR(VLOOKUP($A309,T_TraitDi[#Data],COLUMN(T_TraitDi[[#This Row],[CP1]]),FALSE),"")</f>
        <v/>
      </c>
      <c r="BW309" s="173" t="str">
        <f>IFERROR(VLOOKUP($A309,T_TraitDi[#Data],COLUMN(T_TraitDi[[#This Row],[VILLE1]]),FALSE),"")</f>
        <v/>
      </c>
      <c r="BX309" s="182" t="str">
        <f>IFERROR(VLOOKUP(VLOOKUP($A309,T_TraitDi[#Data],COLUMN(T_TraitDi[[#This Row],[Type2]]),FALSE),TypeTW,2,FALSE),"")</f>
        <v/>
      </c>
      <c r="BY309" s="182" t="str">
        <f>IFERROR(VLOOKUP($A309,T_TraitDi[#Data],COLUMN(T_TraitDi[[#This Row],[Rue2]]),FALSE),"")</f>
        <v/>
      </c>
      <c r="BZ309" s="173" t="str">
        <f>IFERROR(VLOOKUP($A309,T_TraitDi[#Data],COLUMN(T_TraitDi[[#This Row],[CP2]]),FALSE),"")</f>
        <v/>
      </c>
      <c r="CA309" s="173" t="str">
        <f>IFERROR(VLOOKUP($A309,T_TraitDi[#Data],COLUMN(T_TraitDi[[#This Row],[VILLE2]]),FALSE),"")</f>
        <v/>
      </c>
      <c r="CB309"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09" s="166" t="str">
        <f>IFERROR(IF(VLOOKUP(T_BilanSocial[[#This Row],[NumL]],T_TraitDi[#Data],COLUMN(T_TraitDi[[#This Row],[Plan]]),FALSE)="OK","Un planning spécifique de télétravail est annexé à la présente convention.",""),"")</f>
        <v/>
      </c>
      <c r="CD309" s="301"/>
      <c r="CE309" s="164" t="e">
        <f>IF(VLOOKUP(T_BilanSocial[[#This Row],[NumL]],T_suiviDi[#Data],COLUMN(T_suiviDi[[#This Row],[Entité]]),FALSE)="","",VLOOKUP(T_BilanSocial[[#This Row],[NumL]],T_suiviDi[#Data],COLUMN(T_suiviDi[[#This Row],[Entité]]),FALSE))</f>
        <v>#VALUE!</v>
      </c>
      <c r="CF309" s="164" t="str">
        <f>IF(VLOOKUP(T_BilanSocial[[#This Row],[NumL]],T_Commission[#Data],COLUMN(T_Commission[[#This Row],[envoi confirm TW]]),FALSE)="","",VLOOKUP(T_BilanSocial[[#This Row],[NumL]],T_Commission[#Data],COLUMN(T_Commission[[#This Row],[envoi confirm TW]]),FALSE))</f>
        <v>Oui</v>
      </c>
      <c r="CG30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09" s="339" t="str">
        <f>T_BilanSocial[[#This Row],[Nom]]&amp;T_BilanSocial[[#This Row],[Prenom]]</f>
        <v/>
      </c>
      <c r="CI309" s="339">
        <f>VLOOKUP(T_BilanSocial[[#This Row],[NumL]],T_Commission[#Data],COLUMN(T_Commission[Commentaire]),FALSE)</f>
        <v>0</v>
      </c>
      <c r="CJ309" s="339" t="str">
        <f>IF(VLOOKUP(T_BilanSocial[[#This Row],[NumL]],T_Commission[#Data],COLUMN(T_Commission[Encadrant Email]),FALSE)="","",VLOOKUP(T_BilanSocial[[#This Row],[NumL]],T_Commission[#Data],COLUMN(T_Commission[Encadrant Email]),FALSE))</f>
        <v/>
      </c>
      <c r="CK309" s="332" t="str">
        <f>IF(T_BilanSocial[[#This Row],[Final]]&lt;&gt;"",VLOOKUP(T_BilanSocial[[#This Row],[NumL]],T_suiviDi[#Data],COLUMN((T_suiviDi[Statut])),FALSE),"")</f>
        <v/>
      </c>
    </row>
    <row r="310" spans="1:89" s="50" customFormat="1" ht="21" customHeight="1" x14ac:dyDescent="0.25">
      <c r="A310" s="136">
        <v>307</v>
      </c>
      <c r="B310" s="330" t="str">
        <f t="shared" si="56"/>
        <v/>
      </c>
      <c r="C310" s="309"/>
      <c r="D310" s="95" t="e">
        <f>IF(VLOOKUP(T_BilanSocial[[#This Row],[NumL]],T_TraitDi[#Data],COLUMN(T_TraitDi[[#This Row],[WebC]]),FALSE)="","",VLOOKUP(T_BilanSocial[[#This Row],[NumL]],T_TraitDi[#Data],COLUMN(T_TraitDi[[#This Row],[WebC]]),FALSE))</f>
        <v>#VALUE!</v>
      </c>
      <c r="E310" s="95" t="str">
        <f t="shared" si="57"/>
        <v>12 janvier 2021</v>
      </c>
      <c r="F310" s="96" t="str">
        <f>IF(T_BilanSocial[[#This Row],[Final]]&lt;&gt;"",VLOOKUP(T_BilanSocial[[#This Row],[NumL]],T_suiviDi[#Data],COLUMN((T_suiviDi[Civ.])),FALSE),"")</f>
        <v/>
      </c>
      <c r="G310" s="96" t="str">
        <f>IF(T_BilanSocial[[#This Row],[Final]]&lt;&gt;"",VLOOKUP(T_BilanSocial[[#This Row],[NumL]],T_suiviDi[#Data],COLUMN((T_suiviDi[Nom])),FALSE),"")</f>
        <v/>
      </c>
      <c r="H310" s="96" t="str">
        <f>IF(T_BilanSocial[[#This Row],[Final]]&lt;&gt;"",VLOOKUP(T_BilanSocial[[#This Row],[NumL]],T_suiviDi[#Data],COLUMN((T_suiviDi[Prénom])),FALSE),"")</f>
        <v/>
      </c>
      <c r="I310" s="331" t="str">
        <f>IFERROR(VLOOKUP(T_BilanSocial[[#This Row],[Zone_Bilan]],T_P_BilanSocial[#Data],COLUMN(T_P_BilanSocial[[#This Row],[Numero_SIHAM]]),FALSE),"")</f>
        <v/>
      </c>
      <c r="J310" s="331" t="str">
        <f>IFERROR(VLOOKUP(T_BilanSocial[[#This Row],[Zone_Bilan]],T_P_BilanSocial[#Data],COLUMN(T_P_BilanSocial[[#This Row],[Sexe]]),FALSE),"")</f>
        <v/>
      </c>
      <c r="K310" s="294" t="str">
        <f>IFERROR(VLOOKUP(T_BilanSocial[[#This Row],[Zone_Bilan]],T_P_BilanSocial[#Data],COLUMN(T_P_BilanSocial[[#This Row],[Categorie]]),FALSE),"")</f>
        <v/>
      </c>
      <c r="L310" s="331" t="str">
        <f>IFERROR(VLOOKUP(T_BilanSocial[[#This Row],[Zone_Bilan]],T_P_BilanSocial[#Data],COLUMN(T_P_BilanSocial[[#This Row],[Statut]]),FALSE),"")</f>
        <v/>
      </c>
      <c r="M310" s="331" t="str">
        <f>IFERROR(VLOOKUP(T_BilanSocial[[#This Row],[Zone_Bilan]],T_P_BilanSocial[#Data],COLUMN(T_P_BilanSocial[[#This Row],[Filiere]]),FALSE),"")</f>
        <v/>
      </c>
      <c r="N310" s="331" t="e">
        <f>VLOOKUP(T_BilanSocial[[#This Row],[NumL]],T_TraitDi[#Data],COLUMN(T_TraitDi[EXP]),FALSE)</f>
        <v>#N/A</v>
      </c>
      <c r="O310" s="331" t="e">
        <f>VLOOKUP(T_BilanSocial[[#This Row],[NumL]],T_TraitDi[#Data],COLUMN(T_TraitDi[FORM]),FALSE)</f>
        <v>#N/A</v>
      </c>
      <c r="P310" s="96" t="str">
        <f>IF(T_BilanSocial[[#This Row],[Final]]&lt;&gt;"",VLOOKUP(T_BilanSocial[[#This Row],[NumL]],T_suiviDi[#Data],COLUMN((T_suiviDi[Email])),FALSE),"")</f>
        <v/>
      </c>
      <c r="Q310" s="96" t="e">
        <f t="shared" si="58"/>
        <v>#N/A</v>
      </c>
      <c r="R310" s="96" t="e">
        <f t="shared" si="59"/>
        <v>#N/A</v>
      </c>
      <c r="S310" s="96" t="str">
        <f t="shared" si="55"/>
        <v/>
      </c>
      <c r="T310" s="96" t="str">
        <f t="shared" si="60"/>
        <v>01 septembre 2021</v>
      </c>
      <c r="U310" s="96" t="str">
        <f t="shared" si="61"/>
        <v>30 novembre 2021</v>
      </c>
      <c r="V310" s="97">
        <f t="shared" si="62"/>
        <v>44530</v>
      </c>
      <c r="W310" s="176" t="e">
        <f>IF(VLOOKUP(T_BilanSocial[[#This Row],[NumL]],T_TraitDi[#Data],COLUMN(T_TraitDi[[#This Row],[M1]]),FALSE)="","",VLOOKUP(T_BilanSocial[[#This Row],[NumL]],T_TraitDi[#Data],COLUMN(T_TraitDi[[#This Row],[M1]]),FALSE))</f>
        <v>#VALUE!</v>
      </c>
      <c r="X310" s="96" t="str">
        <f t="shared" si="63"/>
        <v/>
      </c>
      <c r="Y310" s="96" t="str">
        <f t="shared" si="63"/>
        <v/>
      </c>
      <c r="Z310" s="96" t="str">
        <f t="shared" si="64"/>
        <v/>
      </c>
      <c r="AA310" s="176" t="e">
        <f>IF(VLOOKUP(T_BilanSocial[[#This Row],[NumL]],T_TraitDi[#Data],COLUMN(T_TraitDi[[#This Row],[M5]]),FALSE)="","",VLOOKUP(T_BilanSocial[[#This Row],[NumL]],T_TraitDi[#Data],COLUMN(T_TraitDi[[#This Row],[M5]]),FALSE))</f>
        <v>#VALUE!</v>
      </c>
      <c r="AB310" s="176" t="e">
        <f>IF(VLOOKUP(T_BilanSocial[[#This Row],[NumL]],T_TraitDi[#Data],COLUMN(T_TraitDi[[#This Row],[M6]]),FALSE)="","",VLOOKUP(T_BilanSocial[[#This Row],[NumL]],T_TraitDi[#Data],COLUMN(T_TraitDi[[#This Row],[M6]]),FALSE))</f>
        <v>#VALUE!</v>
      </c>
      <c r="AC310" s="96" t="e">
        <f t="shared" si="67"/>
        <v>#VALUE!</v>
      </c>
      <c r="AD310" s="97" t="str">
        <f t="shared" si="65"/>
        <v/>
      </c>
      <c r="AE310" s="294" t="e">
        <f>VLOOKUP(T_BilanSocial[[#This Row],[NumL]],T_TraitDi[#Data],COLUMN(T_TraitDi[[#This Row],[Reg Ponct]]),FALSE)</f>
        <v>#VALUE!</v>
      </c>
      <c r="AF310" s="294" t="e">
        <f>VLOOKUP(T_BilanSocial[NumL],T_TraitDi[#Data],COLUMN(T_TraitDi[[#This Row],[Jours flottants]]),FALSE)</f>
        <v>#VALUE!</v>
      </c>
      <c r="AG310" s="97" t="str">
        <f>IFERROR(VLOOKUP(T_BilanSocial[[#This Row],[NumL]],T_TraitDi[#Data],COLUMN(T_TraitDi[[#This Row],[Lundi]]),FALSE),"")</f>
        <v/>
      </c>
      <c r="AH310" s="172" t="e">
        <f>IF(VLOOKUP(T_BilanSocial[[#This Row],[NumL]],T_TraitDi[#Data],COLUMN(T_TraitDi[[#This Row],[Colonne3]]),FALSE)=0,"",TEXT(IFERROR(VLOOKUP(T_BilanSocial[[#This Row],[NumL]],T_TraitDi[#Data],COLUMN(T_TraitDi[[#This Row],[Colonne3]]),FALSE),""),"[hh]:mm"))</f>
        <v>#VALUE!</v>
      </c>
      <c r="AI310" s="172" t="e">
        <f>IF(VLOOKUP(T_BilanSocial[[#This Row],[NumL]],T_TraitDi[#Data],COLUMN(T_TraitDi[[#This Row],[Colonne4]]),FALSE)=0,"",TEXT(IFERROR(VLOOKUP(T_BilanSocial[[#This Row],[NumL]],T_TraitDi[#Data],COLUMN(T_TraitDi[[#This Row],[Colonne4]]),FALSE),""),"[hh]:mm"))</f>
        <v>#VALUE!</v>
      </c>
      <c r="AJ310" s="172" t="e">
        <f>IF(VLOOKUP(T_BilanSocial[[#This Row],[NumL]],T_TraitDi[#Data],COLUMN(T_TraitDi[[#This Row],[Colonne5]]),FALSE)=0,"",TEXT(IFERROR(VLOOKUP(T_BilanSocial[[#This Row],[NumL]],T_TraitDi[#Data],COLUMN(T_TraitDi[[#This Row],[Colonne5]]),FALSE),""),"[hh]:mm"))</f>
        <v>#VALUE!</v>
      </c>
      <c r="AK310" s="172" t="e">
        <f>IF(VLOOKUP(T_BilanSocial[[#This Row],[NumL]],T_TraitDi[#Data],COLUMN(T_TraitDi[[#This Row],[Colonne6]]),FALSE)=0,"",TEXT(IFERROR(VLOOKUP(T_BilanSocial[[#This Row],[NumL]],T_TraitDi[#Data],COLUMN(T_TraitDi[[#This Row],[Colonne6]]),FALSE),""),"[hh]:mm"))</f>
        <v>#VALUE!</v>
      </c>
      <c r="AL310" s="172" t="e">
        <f>IF(VLOOKUP(T_BilanSocial[[#This Row],[NumL]],T_TraitDi[#Data],COLUMN(T_TraitDi[[#This Row],[Colonne7]]),FALSE)=0,"",TEXT(IFERROR(VLOOKUP(T_BilanSocial[[#This Row],[NumL]],T_TraitDi[#Data],COLUMN(T_TraitDi[[#This Row],[Colonne7]]),FALSE),""),"[hh]:mm"))</f>
        <v>#VALUE!</v>
      </c>
      <c r="AM310" s="172" t="e">
        <f>IF(VLOOKUP(T_BilanSocial[[#This Row],[NumL]],T_TraitDi[#Data],COLUMN(T_TraitDi[[#This Row],[Colonne8]]),FALSE)=0,"",TEXT(IFERROR(VLOOKUP(T_BilanSocial[[#This Row],[NumL]],T_TraitDi[#Data],COLUMN(T_TraitDi[[#This Row],[Colonne8]]),FALSE),""),"[hh]:mm"))</f>
        <v>#VALUE!</v>
      </c>
      <c r="AN310" s="172" t="str">
        <f>IFERROR(VLOOKUP(T_BilanSocial[[#This Row],[NumL]],T_TraitDi[#Data],COLUMN(T_TraitDi[[#This Row],[Mardi]]),FALSE),"")</f>
        <v/>
      </c>
      <c r="AO310" s="172" t="e">
        <f>IF(VLOOKUP(T_BilanSocial[[#This Row],[NumL]],T_TraitDi[#Data],COLUMN(T_TraitDi[[#This Row],[Colonne1]]),FALSE)=0,"",TEXT(IFERROR(VLOOKUP(T_BilanSocial[[#This Row],[NumL]],T_TraitDi[#Data],COLUMN(T_TraitDi[[#This Row],[Colonne1]]),FALSE),""),"[hh]:mm"))</f>
        <v>#VALUE!</v>
      </c>
      <c r="AP310" s="172" t="e">
        <f>IF(VLOOKUP(T_BilanSocial[[#This Row],[NumL]],T_TraitDi[#Data],COLUMN(T_TraitDi[[#This Row],[Colonne9]]),FALSE)=0,"",TEXT(IFERROR(VLOOKUP(T_BilanSocial[[#This Row],[NumL]],T_TraitDi[#Data],COLUMN(T_TraitDi[[#This Row],[Colonne9]]),FALSE),""),"[hh]:mm"))</f>
        <v>#VALUE!</v>
      </c>
      <c r="AQ310" s="172" t="str">
        <f>IFERROR(VLOOKUP(T_BilanSocial[[#This Row],[NumL]],T_TraitDi[#Data],COLUMN(T_TraitDi[[#This Row],[Colonne10]]),FALSE),"")</f>
        <v/>
      </c>
      <c r="AR310" s="172" t="e">
        <f>IF(VLOOKUP(T_BilanSocial[[#This Row],[NumL]],T_TraitDi[#Data],COLUMN(T_TraitDi[[#This Row],[Colonne11]]),FALSE)=0,"",TEXT(IFERROR(VLOOKUP(T_BilanSocial[[#This Row],[NumL]],T_TraitDi[#Data],COLUMN(T_TraitDi[[#This Row],[Colonne11]]),FALSE),""),"[hh]:mm"))</f>
        <v>#VALUE!</v>
      </c>
      <c r="AS310" s="172" t="e">
        <f>IF(VLOOKUP(T_BilanSocial[[#This Row],[NumL]],T_TraitDi[#Data],COLUMN(T_TraitDi[[#This Row],[Colonne12]]),FALSE)=0,"",TEXT(IFERROR(VLOOKUP(T_BilanSocial[[#This Row],[NumL]],T_TraitDi[#Data],COLUMN(T_TraitDi[[#This Row],[Colonne12]]),FALSE),""),"[hh]:mm"))</f>
        <v>#VALUE!</v>
      </c>
      <c r="AT310" s="172" t="e">
        <f>IF(VLOOKUP(T_BilanSocial[[#This Row],[NumL]],T_TraitDi[#Data],COLUMN(T_TraitDi[[#This Row],[Colonne14]]),FALSE)=0,"",TEXT(IFERROR(VLOOKUP(T_BilanSocial[[#This Row],[NumL]],T_TraitDi[#Data],COLUMN(T_TraitDi[[#This Row],[Colonne14]]),FALSE),""),"[hh]:mm"))</f>
        <v>#VALUE!</v>
      </c>
      <c r="AU310" s="172" t="str">
        <f>IFERROR(VLOOKUP(T_BilanSocial[[#This Row],[NumL]],T_TraitDi[#Data],COLUMN(T_TraitDi[[#This Row],[Mercredi]]),FALSE),"")</f>
        <v/>
      </c>
      <c r="AV310" s="172" t="e">
        <f>IF(VLOOKUP(T_BilanSocial[[#This Row],[NumL]],T_TraitDi[#Data],COLUMN(T_TraitDi[[#This Row],[Colonne15]]),FALSE)=0,"",TEXT(IFERROR(VLOOKUP(T_BilanSocial[[#This Row],[NumL]],T_TraitDi[#Data],COLUMN(T_TraitDi[[#This Row],[Colonne15]]),FALSE),""),"[hh]:mm"))</f>
        <v>#VALUE!</v>
      </c>
      <c r="AW310" s="172" t="e">
        <f>IF(VLOOKUP(T_BilanSocial[[#This Row],[NumL]],T_TraitDi[#Data],COLUMN(T_TraitDi[[#This Row],[Colonne16]]),FALSE)=0,"",TEXT(IFERROR(VLOOKUP(T_BilanSocial[[#This Row],[NumL]],T_TraitDi[#Data],COLUMN(T_TraitDi[[#This Row],[Colonne16]]),FALSE),""),"[hh]:mm"))</f>
        <v>#VALUE!</v>
      </c>
      <c r="AX310" s="172" t="str">
        <f>IFERROR(VLOOKUP(T_BilanSocial[[#This Row],[NumL]],T_TraitDi[#Data],COLUMN(T_TraitDi[[#This Row],[Colonne17]]),FALSE),"")</f>
        <v/>
      </c>
      <c r="AY310" s="172" t="e">
        <f>IF(VLOOKUP(T_BilanSocial[[#This Row],[NumL]],T_TraitDi[#Data],COLUMN(T_TraitDi[[#This Row],[Colonne18]]),FALSE)=0,"",TEXT(IFERROR(VLOOKUP(T_BilanSocial[[#This Row],[NumL]],T_TraitDi[#Data],COLUMN(T_TraitDi[[#This Row],[Colonne18]]),FALSE),""),"[hh]:mm"))</f>
        <v>#VALUE!</v>
      </c>
      <c r="AZ310" s="172" t="e">
        <f>IF(VLOOKUP(T_BilanSocial[[#This Row],[NumL]],T_TraitDi[#Data],COLUMN(T_TraitDi[[#This Row],[Colonne19]]),FALSE)=0,"",TEXT(IFERROR(VLOOKUP(T_BilanSocial[[#This Row],[NumL]],T_TraitDi[#Data],COLUMN(T_TraitDi[[#This Row],[Colonne19]]),FALSE),""),"[hh]:mm"))</f>
        <v>#VALUE!</v>
      </c>
      <c r="BA310" s="172" t="e">
        <f>IF(VLOOKUP(T_BilanSocial[[#This Row],[NumL]],T_TraitDi[#Data],COLUMN(T_TraitDi[[#This Row],[Colonne20]]),FALSE)=0,"",TEXT(IFERROR(VLOOKUP(T_BilanSocial[[#This Row],[NumL]],T_TraitDi[#Data],COLUMN(T_TraitDi[[#This Row],[Colonne20]]),FALSE),""),"[hh]:mm"))</f>
        <v>#VALUE!</v>
      </c>
      <c r="BB310" s="178" t="str">
        <f>IFERROR(VLOOKUP(T_BilanSocial[[#This Row],[NumL]],T_TraitDi[#Data],COLUMN(T_TraitDi[[#This Row],[Jeudi]]),FALSE),"")</f>
        <v/>
      </c>
      <c r="BC310" s="178" t="e">
        <f>IF(VLOOKUP(T_BilanSocial[[#This Row],[NumL]],T_TraitDi[#Data],COLUMN(T_TraitDi[[#This Row],[Colonne21]]),FALSE)=0,"",TEXT(IFERROR(VLOOKUP(T_BilanSocial[[#This Row],[NumL]],T_TraitDi[#Data],COLUMN(T_TraitDi[[#This Row],[Colonne21]]),FALSE),""),"[hh]:mm"))</f>
        <v>#VALUE!</v>
      </c>
      <c r="BD310" s="178" t="e">
        <f>IF(VLOOKUP(T_BilanSocial[[#This Row],[NumL]],T_TraitDi[#Data],COLUMN(T_TraitDi[[#This Row],[Colonne22]]),FALSE)=0,"",TEXT(IFERROR(VLOOKUP(T_BilanSocial[[#This Row],[NumL]],T_TraitDi[#Data],COLUMN(T_TraitDi[[#This Row],[Colonne22]]),FALSE),""),"[hh]:mm"))</f>
        <v>#VALUE!</v>
      </c>
      <c r="BE310" s="178" t="str">
        <f>IFERROR(VLOOKUP(T_BilanSocial[[#This Row],[NumL]],T_TraitDi[#Data],COLUMN(T_TraitDi[[#This Row],[Colonne23]]),FALSE),"")</f>
        <v/>
      </c>
      <c r="BF310" s="178" t="e">
        <f>IF(VLOOKUP(T_BilanSocial[[#This Row],[NumL]],T_TraitDi[#Data],COLUMN(T_TraitDi[[#This Row],[Colonne24]]),FALSE)=0,"",TEXT(IFERROR(VLOOKUP(T_BilanSocial[[#This Row],[NumL]],T_TraitDi[#Data],COLUMN(T_TraitDi[[#This Row],[Colonne24]]),FALSE),""),"[hh]:mm"))</f>
        <v>#VALUE!</v>
      </c>
      <c r="BG310" s="178" t="e">
        <f>IF(VLOOKUP(T_BilanSocial[[#This Row],[NumL]],T_TraitDi[#Data],COLUMN(T_TraitDi[[#This Row],[Colonne25]]),FALSE)=0,"",TEXT(IFERROR(VLOOKUP(T_BilanSocial[[#This Row],[NumL]],T_TraitDi[#Data],COLUMN(T_TraitDi[[#This Row],[Colonne25]]),FALSE),""),"[hh]:mm"))</f>
        <v>#VALUE!</v>
      </c>
      <c r="BH310" s="178" t="e">
        <f>IF(VLOOKUP(T_BilanSocial[[#This Row],[NumL]],T_TraitDi[#Data],COLUMN(T_TraitDi[[#This Row],[Colonne26]]),FALSE)=0,"",TEXT(IFERROR(VLOOKUP(T_BilanSocial[[#This Row],[NumL]],T_TraitDi[#Data],COLUMN(T_TraitDi[[#This Row],[Colonne26]]),FALSE),""),"[hh]:mm"))</f>
        <v>#VALUE!</v>
      </c>
      <c r="BI310" s="172" t="str">
        <f>IFERROR(VLOOKUP(T_BilanSocial[[#This Row],[NumL]],T_TraitDi[#Data],COLUMN(T_TraitDi[[#This Row],[Vendredi]]),FALSE),"")</f>
        <v/>
      </c>
      <c r="BJ310" s="172" t="e">
        <f>IF(VLOOKUP(T_BilanSocial[[#This Row],[NumL]],T_TraitDi[#Data],COLUMN(T_TraitDi[[#This Row],[Colonne27]]),FALSE)=0,"",TEXT(IFERROR(VLOOKUP(T_BilanSocial[[#This Row],[NumL]],T_TraitDi[#Data],COLUMN(T_TraitDi[[#This Row],[Colonne27]]),FALSE),""),"[hh]:mm"))</f>
        <v>#VALUE!</v>
      </c>
      <c r="BK310" s="172" t="e">
        <f>IF(VLOOKUP(T_BilanSocial[[#This Row],[NumL]],T_TraitDi[#Data],COLUMN(T_TraitDi[[#This Row],[Colonne28]]),FALSE)=0,"",TEXT(IFERROR(VLOOKUP(T_BilanSocial[[#This Row],[NumL]],T_TraitDi[#Data],COLUMN(T_TraitDi[[#This Row],[Colonne28]]),FALSE),""),"[hh]:mm"))</f>
        <v>#VALUE!</v>
      </c>
      <c r="BL310" s="172" t="str">
        <f>IFERROR(VLOOKUP(T_BilanSocial[[#This Row],[NumL]],T_TraitDi[#Data],COLUMN(T_TraitDi[[#This Row],[Colonne29]]),FALSE),"")</f>
        <v/>
      </c>
      <c r="BM310" s="172" t="e">
        <f>IF(VLOOKUP(T_BilanSocial[[#This Row],[NumL]],T_TraitDi[#Data],COLUMN(T_TraitDi[[#This Row],[Colonne30]]),FALSE)=0,"",TEXT(IFERROR(VLOOKUP(T_BilanSocial[[#This Row],[NumL]],T_TraitDi[#Data],COLUMN(T_TraitDi[[#This Row],[Colonne30]]),FALSE),""),"[hh]:mm"))</f>
        <v>#VALUE!</v>
      </c>
      <c r="BN310" s="172" t="e">
        <f>IF(VLOOKUP(T_BilanSocial[[#This Row],[NumL]],T_TraitDi[#Data],COLUMN(T_TraitDi[[#This Row],[Colonne31]]),FALSE)=0,"",TEXT(IFERROR(VLOOKUP(T_BilanSocial[[#This Row],[NumL]],T_TraitDi[#Data],COLUMN(T_TraitDi[[#This Row],[Colonne31]]),FALSE),""),"[hh]:mm"))</f>
        <v>#VALUE!</v>
      </c>
      <c r="BO310" s="172" t="e">
        <f>IF(VLOOKUP(T_BilanSocial[[#This Row],[NumL]],T_TraitDi[#Data],COLUMN(T_TraitDi[[#This Row],[Colonne32]]),FALSE)=0,"",TEXT(IFERROR(VLOOKUP(T_BilanSocial[[#This Row],[NumL]],T_TraitDi[#Data],COLUMN(T_TraitDi[[#This Row],[Colonne32]]),FALSE),""),"[hh]:mm"))</f>
        <v>#VALUE!</v>
      </c>
      <c r="BP310" s="172" t="e">
        <f>VLOOKUP(T_BilanSocial[[#This Row],[NumL]],T_TraitDi[#Data],COLUMN(T_TraitDi[NbJTot]),FALSE)</f>
        <v>#N/A</v>
      </c>
      <c r="BQ310" s="174" t="str">
        <f>IFERROR(VLOOKUP(T_BilanSocial[[#This Row],[NumL]],T_TraitDi[#Data],COLUMN(T_TraitDi[[#This Row],[NbJTW]]),FALSE),"")</f>
        <v/>
      </c>
      <c r="BR310" s="174" t="e">
        <f>IF(VLOOKUP(T_BilanSocial[[#This Row],[NumL]],T_TraitDi[#Data],COLUMN(T_TraitDi[[#This Row],[NbhTW]]),FALSE)=0,"",TEXT(IFERROR(VLOOKUP(T_BilanSocial[[#This Row],[NumL]],T_TraitDi[#Data],COLUMN(T_TraitDi[[#This Row],[NbhTW]]),FALSE),""),"[hh]:mm"))</f>
        <v>#VALUE!</v>
      </c>
      <c r="BS310" s="174" t="e">
        <f>IF(VLOOKUP(T_BilanSocial[[#This Row],[NumL]],T_TraitDi[#Data],COLUMN(T_TraitDi[[#This Row],[Nbhheb]]),FALSE)=0,"",TEXT(IFERROR(VLOOKUP($A310,T_TraitDi[#Data],COLUMN(T_TraitDi[[#This Row],[Nbhheb]]),FALSE),""),"[hh]:mm"))</f>
        <v>#VALUE!</v>
      </c>
      <c r="BT310" s="182" t="str">
        <f>IFERROR(VLOOKUP(VLOOKUP($A310,T_TraitDi[#Data],COLUMN(T_TraitDi[[#This Row],[Type1]]),FALSE),TypeTW,2,FALSE),"")</f>
        <v/>
      </c>
      <c r="BU310" s="182" t="str">
        <f>IFERROR(VLOOKUP($A310,T_TraitDi[#Data],COLUMN(T_TraitDi[[#This Row],[Rue1]]),FALSE),"")</f>
        <v/>
      </c>
      <c r="BV310" s="173" t="str">
        <f>IFERROR(VLOOKUP($A310,T_TraitDi[#Data],COLUMN(T_TraitDi[[#This Row],[CP1]]),FALSE),"")</f>
        <v/>
      </c>
      <c r="BW310" s="173" t="str">
        <f>IFERROR(VLOOKUP($A310,T_TraitDi[#Data],COLUMN(T_TraitDi[[#This Row],[VILLE1]]),FALSE),"")</f>
        <v/>
      </c>
      <c r="BX310" s="182" t="str">
        <f>IFERROR(VLOOKUP(VLOOKUP($A310,T_TraitDi[#Data],COLUMN(T_TraitDi[[#This Row],[Type2]]),FALSE),TypeTW,2,FALSE),"")</f>
        <v/>
      </c>
      <c r="BY310" s="182" t="str">
        <f>IFERROR(VLOOKUP($A310,T_TraitDi[#Data],COLUMN(T_TraitDi[[#This Row],[Rue2]]),FALSE),"")</f>
        <v/>
      </c>
      <c r="BZ310" s="173" t="str">
        <f>IFERROR(VLOOKUP($A310,T_TraitDi[#Data],COLUMN(T_TraitDi[[#This Row],[CP2]]),FALSE),"")</f>
        <v/>
      </c>
      <c r="CA310" s="173" t="str">
        <f>IFERROR(VLOOKUP($A310,T_TraitDi[#Data],COLUMN(T_TraitDi[[#This Row],[VILLE2]]),FALSE),"")</f>
        <v/>
      </c>
      <c r="CB310"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0" s="166" t="str">
        <f>IFERROR(IF(VLOOKUP(T_BilanSocial[[#This Row],[NumL]],T_TraitDi[#Data],COLUMN(T_TraitDi[[#This Row],[Plan]]),FALSE)="OK","Un planning spécifique de télétravail est annexé à la présente convention.",""),"")</f>
        <v/>
      </c>
      <c r="CD310" s="301"/>
      <c r="CE310" s="164" t="e">
        <f>IF(VLOOKUP(T_BilanSocial[[#This Row],[NumL]],T_suiviDi[#Data],COLUMN(T_suiviDi[[#This Row],[Entité]]),FALSE)="","",VLOOKUP(T_BilanSocial[[#This Row],[NumL]],T_suiviDi[#Data],COLUMN(T_suiviDi[[#This Row],[Entité]]),FALSE))</f>
        <v>#VALUE!</v>
      </c>
      <c r="CF310" s="164" t="str">
        <f>IF(VLOOKUP(T_BilanSocial[[#This Row],[NumL]],T_Commission[#Data],COLUMN(T_Commission[[#This Row],[envoi confirm TW]]),FALSE)="","",VLOOKUP(T_BilanSocial[[#This Row],[NumL]],T_Commission[#Data],COLUMN(T_Commission[[#This Row],[envoi confirm TW]]),FALSE))</f>
        <v>Oui</v>
      </c>
      <c r="CG31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0" s="339" t="str">
        <f>T_BilanSocial[[#This Row],[Nom]]&amp;T_BilanSocial[[#This Row],[Prenom]]</f>
        <v/>
      </c>
      <c r="CI310" s="339">
        <f>VLOOKUP(T_BilanSocial[[#This Row],[NumL]],T_Commission[#Data],COLUMN(T_Commission[Commentaire]),FALSE)</f>
        <v>0</v>
      </c>
      <c r="CJ310" s="339" t="str">
        <f>IF(VLOOKUP(T_BilanSocial[[#This Row],[NumL]],T_Commission[#Data],COLUMN(T_Commission[Encadrant Email]),FALSE)="","",VLOOKUP(T_BilanSocial[[#This Row],[NumL]],T_Commission[#Data],COLUMN(T_Commission[Encadrant Email]),FALSE))</f>
        <v/>
      </c>
      <c r="CK310" s="332" t="str">
        <f>IF(T_BilanSocial[[#This Row],[Final]]&lt;&gt;"",VLOOKUP(T_BilanSocial[[#This Row],[NumL]],T_suiviDi[#Data],COLUMN((T_suiviDi[Statut])),FALSE),"")</f>
        <v/>
      </c>
    </row>
    <row r="311" spans="1:89" s="50" customFormat="1" ht="29.25" customHeight="1" x14ac:dyDescent="0.25">
      <c r="A311" s="136">
        <v>308</v>
      </c>
      <c r="B311" s="330" t="str">
        <f t="shared" si="56"/>
        <v/>
      </c>
      <c r="C311" s="309"/>
      <c r="D311" s="95" t="e">
        <f>IF(VLOOKUP(T_BilanSocial[[#This Row],[NumL]],T_TraitDi[#Data],COLUMN(T_TraitDi[[#This Row],[WebC]]),FALSE)="","",VLOOKUP(T_BilanSocial[[#This Row],[NumL]],T_TraitDi[#Data],COLUMN(T_TraitDi[[#This Row],[WebC]]),FALSE))</f>
        <v>#VALUE!</v>
      </c>
      <c r="E311" s="95" t="str">
        <f t="shared" si="57"/>
        <v>12 janvier 2021</v>
      </c>
      <c r="F311" s="96" t="str">
        <f>IF(T_BilanSocial[[#This Row],[Final]]&lt;&gt;"",VLOOKUP(T_BilanSocial[[#This Row],[NumL]],T_suiviDi[#Data],COLUMN((T_suiviDi[Civ.])),FALSE),"")</f>
        <v/>
      </c>
      <c r="G311" s="96" t="str">
        <f>IF(T_BilanSocial[[#This Row],[Final]]&lt;&gt;"",VLOOKUP(T_BilanSocial[[#This Row],[NumL]],T_suiviDi[#Data],COLUMN((T_suiviDi[Nom])),FALSE),"")</f>
        <v/>
      </c>
      <c r="H311" s="96" t="str">
        <f>IF(T_BilanSocial[[#This Row],[Final]]&lt;&gt;"",VLOOKUP(T_BilanSocial[[#This Row],[NumL]],T_suiviDi[#Data],COLUMN((T_suiviDi[Prénom])),FALSE),"")</f>
        <v/>
      </c>
      <c r="I311" s="331" t="str">
        <f>IFERROR(VLOOKUP(T_BilanSocial[[#This Row],[Zone_Bilan]],T_P_BilanSocial[#Data],COLUMN(T_P_BilanSocial[[#This Row],[Numero_SIHAM]]),FALSE),"")</f>
        <v/>
      </c>
      <c r="J311" s="331" t="str">
        <f>IFERROR(VLOOKUP(T_BilanSocial[[#This Row],[Zone_Bilan]],T_P_BilanSocial[#Data],COLUMN(T_P_BilanSocial[[#This Row],[Sexe]]),FALSE),"")</f>
        <v/>
      </c>
      <c r="K311" s="294" t="str">
        <f>IFERROR(VLOOKUP(T_BilanSocial[[#This Row],[Zone_Bilan]],T_P_BilanSocial[#Data],COLUMN(T_P_BilanSocial[[#This Row],[Categorie]]),FALSE),"")</f>
        <v/>
      </c>
      <c r="L311" s="331" t="str">
        <f>IFERROR(VLOOKUP(T_BilanSocial[[#This Row],[Zone_Bilan]],T_P_BilanSocial[#Data],COLUMN(T_P_BilanSocial[[#This Row],[Statut]]),FALSE),"")</f>
        <v/>
      </c>
      <c r="M311" s="331" t="str">
        <f>IFERROR(VLOOKUP(T_BilanSocial[[#This Row],[Zone_Bilan]],T_P_BilanSocial[#Data],COLUMN(T_P_BilanSocial[[#This Row],[Filiere]]),FALSE),"")</f>
        <v/>
      </c>
      <c r="N311" s="331" t="e">
        <f>VLOOKUP(T_BilanSocial[[#This Row],[NumL]],T_TraitDi[#Data],COLUMN(T_TraitDi[EXP]),FALSE)</f>
        <v>#N/A</v>
      </c>
      <c r="O311" s="331" t="e">
        <f>VLOOKUP(T_BilanSocial[[#This Row],[NumL]],T_TraitDi[#Data],COLUMN(T_TraitDi[FORM]),FALSE)</f>
        <v>#N/A</v>
      </c>
      <c r="P311" s="96" t="str">
        <f>IF(T_BilanSocial[[#This Row],[Final]]&lt;&gt;"",VLOOKUP(T_BilanSocial[[#This Row],[NumL]],T_suiviDi[#Data],COLUMN((T_suiviDi[Email])),FALSE),"")</f>
        <v/>
      </c>
      <c r="Q311" s="96" t="e">
        <f t="shared" si="58"/>
        <v>#N/A</v>
      </c>
      <c r="R311" s="96" t="e">
        <f t="shared" si="59"/>
        <v>#N/A</v>
      </c>
      <c r="S311" s="96" t="str">
        <f t="shared" si="55"/>
        <v/>
      </c>
      <c r="T311" s="96" t="str">
        <f t="shared" si="60"/>
        <v>01 septembre 2021</v>
      </c>
      <c r="U311" s="96" t="str">
        <f t="shared" si="61"/>
        <v>30 novembre 2021</v>
      </c>
      <c r="V311" s="97">
        <f t="shared" si="62"/>
        <v>44530</v>
      </c>
      <c r="W311" s="176" t="e">
        <f>IF(VLOOKUP(T_BilanSocial[[#This Row],[NumL]],T_TraitDi[#Data],COLUMN(T_TraitDi[[#This Row],[M1]]),FALSE)="","",VLOOKUP(T_BilanSocial[[#This Row],[NumL]],T_TraitDi[#Data],COLUMN(T_TraitDi[[#This Row],[M1]]),FALSE))</f>
        <v>#VALUE!</v>
      </c>
      <c r="X311" s="96" t="str">
        <f t="shared" si="63"/>
        <v/>
      </c>
      <c r="Y311" s="96" t="str">
        <f t="shared" si="63"/>
        <v/>
      </c>
      <c r="Z311" s="96" t="str">
        <f t="shared" si="64"/>
        <v/>
      </c>
      <c r="AA311" s="176" t="e">
        <f>IF(VLOOKUP(T_BilanSocial[[#This Row],[NumL]],T_TraitDi[#Data],COLUMN(T_TraitDi[[#This Row],[M5]]),FALSE)="","",VLOOKUP(T_BilanSocial[[#This Row],[NumL]],T_TraitDi[#Data],COLUMN(T_TraitDi[[#This Row],[M5]]),FALSE))</f>
        <v>#VALUE!</v>
      </c>
      <c r="AB311" s="176" t="e">
        <f>IF(VLOOKUP(T_BilanSocial[[#This Row],[NumL]],T_TraitDi[#Data],COLUMN(T_TraitDi[[#This Row],[M6]]),FALSE)="","",VLOOKUP(T_BilanSocial[[#This Row],[NumL]],T_TraitDi[#Data],COLUMN(T_TraitDi[[#This Row],[M6]]),FALSE))</f>
        <v>#VALUE!</v>
      </c>
      <c r="AC311" s="96" t="e">
        <f t="shared" si="67"/>
        <v>#VALUE!</v>
      </c>
      <c r="AD311" s="97" t="str">
        <f t="shared" si="65"/>
        <v/>
      </c>
      <c r="AE311" s="294" t="e">
        <f>VLOOKUP(T_BilanSocial[[#This Row],[NumL]],T_TraitDi[#Data],COLUMN(T_TraitDi[[#This Row],[Reg Ponct]]),FALSE)</f>
        <v>#VALUE!</v>
      </c>
      <c r="AF311" s="294" t="e">
        <f>VLOOKUP(T_BilanSocial[NumL],T_TraitDi[#Data],COLUMN(T_TraitDi[[#This Row],[Jours flottants]]),FALSE)</f>
        <v>#VALUE!</v>
      </c>
      <c r="AG311" s="97" t="str">
        <f>IFERROR(VLOOKUP(T_BilanSocial[[#This Row],[NumL]],T_TraitDi[#Data],COLUMN(T_TraitDi[[#This Row],[Lundi]]),FALSE),"")</f>
        <v/>
      </c>
      <c r="AH311" s="172" t="e">
        <f>IF(VLOOKUP(T_BilanSocial[[#This Row],[NumL]],T_TraitDi[#Data],COLUMN(T_TraitDi[[#This Row],[Colonne3]]),FALSE)=0,"",TEXT(IFERROR(VLOOKUP(T_BilanSocial[[#This Row],[NumL]],T_TraitDi[#Data],COLUMN(T_TraitDi[[#This Row],[Colonne3]]),FALSE),""),"[hh]:mm"))</f>
        <v>#VALUE!</v>
      </c>
      <c r="AI311" s="172" t="e">
        <f>IF(VLOOKUP(T_BilanSocial[[#This Row],[NumL]],T_TraitDi[#Data],COLUMN(T_TraitDi[[#This Row],[Colonne4]]),FALSE)=0,"",TEXT(IFERROR(VLOOKUP(T_BilanSocial[[#This Row],[NumL]],T_TraitDi[#Data],COLUMN(T_TraitDi[[#This Row],[Colonne4]]),FALSE),""),"[hh]:mm"))</f>
        <v>#VALUE!</v>
      </c>
      <c r="AJ311" s="172" t="e">
        <f>IF(VLOOKUP(T_BilanSocial[[#This Row],[NumL]],T_TraitDi[#Data],COLUMN(T_TraitDi[[#This Row],[Colonne5]]),FALSE)=0,"",TEXT(IFERROR(VLOOKUP(T_BilanSocial[[#This Row],[NumL]],T_TraitDi[#Data],COLUMN(T_TraitDi[[#This Row],[Colonne5]]),FALSE),""),"[hh]:mm"))</f>
        <v>#VALUE!</v>
      </c>
      <c r="AK311" s="172" t="e">
        <f>IF(VLOOKUP(T_BilanSocial[[#This Row],[NumL]],T_TraitDi[#Data],COLUMN(T_TraitDi[[#This Row],[Colonne6]]),FALSE)=0,"",TEXT(IFERROR(VLOOKUP(T_BilanSocial[[#This Row],[NumL]],T_TraitDi[#Data],COLUMN(T_TraitDi[[#This Row],[Colonne6]]),FALSE),""),"[hh]:mm"))</f>
        <v>#VALUE!</v>
      </c>
      <c r="AL311" s="172" t="e">
        <f>IF(VLOOKUP(T_BilanSocial[[#This Row],[NumL]],T_TraitDi[#Data],COLUMN(T_TraitDi[[#This Row],[Colonne7]]),FALSE)=0,"",TEXT(IFERROR(VLOOKUP(T_BilanSocial[[#This Row],[NumL]],T_TraitDi[#Data],COLUMN(T_TraitDi[[#This Row],[Colonne7]]),FALSE),""),"[hh]:mm"))</f>
        <v>#VALUE!</v>
      </c>
      <c r="AM311" s="172" t="e">
        <f>IF(VLOOKUP(T_BilanSocial[[#This Row],[NumL]],T_TraitDi[#Data],COLUMN(T_TraitDi[[#This Row],[Colonne8]]),FALSE)=0,"",TEXT(IFERROR(VLOOKUP(T_BilanSocial[[#This Row],[NumL]],T_TraitDi[#Data],COLUMN(T_TraitDi[[#This Row],[Colonne8]]),FALSE),""),"[hh]:mm"))</f>
        <v>#VALUE!</v>
      </c>
      <c r="AN311" s="172" t="str">
        <f>IFERROR(VLOOKUP(T_BilanSocial[[#This Row],[NumL]],T_TraitDi[#Data],COLUMN(T_TraitDi[[#This Row],[Mardi]]),FALSE),"")</f>
        <v/>
      </c>
      <c r="AO311" s="172" t="e">
        <f>IF(VLOOKUP(T_BilanSocial[[#This Row],[NumL]],T_TraitDi[#Data],COLUMN(T_TraitDi[[#This Row],[Colonne1]]),FALSE)=0,"",TEXT(IFERROR(VLOOKUP(T_BilanSocial[[#This Row],[NumL]],T_TraitDi[#Data],COLUMN(T_TraitDi[[#This Row],[Colonne1]]),FALSE),""),"[hh]:mm"))</f>
        <v>#VALUE!</v>
      </c>
      <c r="AP311" s="172" t="e">
        <f>IF(VLOOKUP(T_BilanSocial[[#This Row],[NumL]],T_TraitDi[#Data],COLUMN(T_TraitDi[[#This Row],[Colonne9]]),FALSE)=0,"",TEXT(IFERROR(VLOOKUP(T_BilanSocial[[#This Row],[NumL]],T_TraitDi[#Data],COLUMN(T_TraitDi[[#This Row],[Colonne9]]),FALSE),""),"[hh]:mm"))</f>
        <v>#VALUE!</v>
      </c>
      <c r="AQ311" s="172" t="str">
        <f>IFERROR(VLOOKUP(T_BilanSocial[[#This Row],[NumL]],T_TraitDi[#Data],COLUMN(T_TraitDi[[#This Row],[Colonne10]]),FALSE),"")</f>
        <v/>
      </c>
      <c r="AR311" s="172" t="e">
        <f>IF(VLOOKUP(T_BilanSocial[[#This Row],[NumL]],T_TraitDi[#Data],COLUMN(T_TraitDi[[#This Row],[Colonne11]]),FALSE)=0,"",TEXT(IFERROR(VLOOKUP(T_BilanSocial[[#This Row],[NumL]],T_TraitDi[#Data],COLUMN(T_TraitDi[[#This Row],[Colonne11]]),FALSE),""),"[hh]:mm"))</f>
        <v>#VALUE!</v>
      </c>
      <c r="AS311" s="172" t="e">
        <f>IF(VLOOKUP(T_BilanSocial[[#This Row],[NumL]],T_TraitDi[#Data],COLUMN(T_TraitDi[[#This Row],[Colonne12]]),FALSE)=0,"",TEXT(IFERROR(VLOOKUP(T_BilanSocial[[#This Row],[NumL]],T_TraitDi[#Data],COLUMN(T_TraitDi[[#This Row],[Colonne12]]),FALSE),""),"[hh]:mm"))</f>
        <v>#VALUE!</v>
      </c>
      <c r="AT311" s="172" t="e">
        <f>IF(VLOOKUP(T_BilanSocial[[#This Row],[NumL]],T_TraitDi[#Data],COLUMN(T_TraitDi[[#This Row],[Colonne14]]),FALSE)=0,"",TEXT(IFERROR(VLOOKUP(T_BilanSocial[[#This Row],[NumL]],T_TraitDi[#Data],COLUMN(T_TraitDi[[#This Row],[Colonne14]]),FALSE),""),"[hh]:mm"))</f>
        <v>#VALUE!</v>
      </c>
      <c r="AU311" s="172" t="str">
        <f>IFERROR(VLOOKUP(T_BilanSocial[[#This Row],[NumL]],T_TraitDi[#Data],COLUMN(T_TraitDi[[#This Row],[Mercredi]]),FALSE),"")</f>
        <v/>
      </c>
      <c r="AV311" s="172" t="e">
        <f>IF(VLOOKUP(T_BilanSocial[[#This Row],[NumL]],T_TraitDi[#Data],COLUMN(T_TraitDi[[#This Row],[Colonne15]]),FALSE)=0,"",TEXT(IFERROR(VLOOKUP(T_BilanSocial[[#This Row],[NumL]],T_TraitDi[#Data],COLUMN(T_TraitDi[[#This Row],[Colonne15]]),FALSE),""),"[hh]:mm"))</f>
        <v>#VALUE!</v>
      </c>
      <c r="AW311" s="172" t="e">
        <f>IF(VLOOKUP(T_BilanSocial[[#This Row],[NumL]],T_TraitDi[#Data],COLUMN(T_TraitDi[[#This Row],[Colonne16]]),FALSE)=0,"",TEXT(IFERROR(VLOOKUP(T_BilanSocial[[#This Row],[NumL]],T_TraitDi[#Data],COLUMN(T_TraitDi[[#This Row],[Colonne16]]),FALSE),""),"[hh]:mm"))</f>
        <v>#VALUE!</v>
      </c>
      <c r="AX311" s="172" t="str">
        <f>IFERROR(VLOOKUP(T_BilanSocial[[#This Row],[NumL]],T_TraitDi[#Data],COLUMN(T_TraitDi[[#This Row],[Colonne17]]),FALSE),"")</f>
        <v/>
      </c>
      <c r="AY311" s="172" t="e">
        <f>IF(VLOOKUP(T_BilanSocial[[#This Row],[NumL]],T_TraitDi[#Data],COLUMN(T_TraitDi[[#This Row],[Colonne18]]),FALSE)=0,"",TEXT(IFERROR(VLOOKUP(T_BilanSocial[[#This Row],[NumL]],T_TraitDi[#Data],COLUMN(T_TraitDi[[#This Row],[Colonne18]]),FALSE),""),"[hh]:mm"))</f>
        <v>#VALUE!</v>
      </c>
      <c r="AZ311" s="172" t="e">
        <f>IF(VLOOKUP(T_BilanSocial[[#This Row],[NumL]],T_TraitDi[#Data],COLUMN(T_TraitDi[[#This Row],[Colonne19]]),FALSE)=0,"",TEXT(IFERROR(VLOOKUP(T_BilanSocial[[#This Row],[NumL]],T_TraitDi[#Data],COLUMN(T_TraitDi[[#This Row],[Colonne19]]),FALSE),""),"[hh]:mm"))</f>
        <v>#VALUE!</v>
      </c>
      <c r="BA311" s="172" t="e">
        <f>IF(VLOOKUP(T_BilanSocial[[#This Row],[NumL]],T_TraitDi[#Data],COLUMN(T_TraitDi[[#This Row],[Colonne20]]),FALSE)=0,"",TEXT(IFERROR(VLOOKUP(T_BilanSocial[[#This Row],[NumL]],T_TraitDi[#Data],COLUMN(T_TraitDi[[#This Row],[Colonne20]]),FALSE),""),"[hh]:mm"))</f>
        <v>#VALUE!</v>
      </c>
      <c r="BB311" s="178" t="str">
        <f>IFERROR(VLOOKUP(T_BilanSocial[[#This Row],[NumL]],T_TraitDi[#Data],COLUMN(T_TraitDi[[#This Row],[Jeudi]]),FALSE),"")</f>
        <v/>
      </c>
      <c r="BC311" s="178" t="e">
        <f>IF(VLOOKUP(T_BilanSocial[[#This Row],[NumL]],T_TraitDi[#Data],COLUMN(T_TraitDi[[#This Row],[Colonne21]]),FALSE)=0,"",TEXT(IFERROR(VLOOKUP(T_BilanSocial[[#This Row],[NumL]],T_TraitDi[#Data],COLUMN(T_TraitDi[[#This Row],[Colonne21]]),FALSE),""),"[hh]:mm"))</f>
        <v>#VALUE!</v>
      </c>
      <c r="BD311" s="178" t="e">
        <f>IF(VLOOKUP(T_BilanSocial[[#This Row],[NumL]],T_TraitDi[#Data],COLUMN(T_TraitDi[[#This Row],[Colonne22]]),FALSE)=0,"",TEXT(IFERROR(VLOOKUP(T_BilanSocial[[#This Row],[NumL]],T_TraitDi[#Data],COLUMN(T_TraitDi[[#This Row],[Colonne22]]),FALSE),""),"[hh]:mm"))</f>
        <v>#VALUE!</v>
      </c>
      <c r="BE311" s="178" t="str">
        <f>IFERROR(VLOOKUP(T_BilanSocial[[#This Row],[NumL]],T_TraitDi[#Data],COLUMN(T_TraitDi[[#This Row],[Colonne23]]),FALSE),"")</f>
        <v/>
      </c>
      <c r="BF311" s="178" t="e">
        <f>IF(VLOOKUP(T_BilanSocial[[#This Row],[NumL]],T_TraitDi[#Data],COLUMN(T_TraitDi[[#This Row],[Colonne24]]),FALSE)=0,"",TEXT(IFERROR(VLOOKUP(T_BilanSocial[[#This Row],[NumL]],T_TraitDi[#Data],COLUMN(T_TraitDi[[#This Row],[Colonne24]]),FALSE),""),"[hh]:mm"))</f>
        <v>#VALUE!</v>
      </c>
      <c r="BG311" s="178" t="e">
        <f>IF(VLOOKUP(T_BilanSocial[[#This Row],[NumL]],T_TraitDi[#Data],COLUMN(T_TraitDi[[#This Row],[Colonne25]]),FALSE)=0,"",TEXT(IFERROR(VLOOKUP(T_BilanSocial[[#This Row],[NumL]],T_TraitDi[#Data],COLUMN(T_TraitDi[[#This Row],[Colonne25]]),FALSE),""),"[hh]:mm"))</f>
        <v>#VALUE!</v>
      </c>
      <c r="BH311" s="178" t="e">
        <f>IF(VLOOKUP(T_BilanSocial[[#This Row],[NumL]],T_TraitDi[#Data],COLUMN(T_TraitDi[[#This Row],[Colonne26]]),FALSE)=0,"",TEXT(IFERROR(VLOOKUP(T_BilanSocial[[#This Row],[NumL]],T_TraitDi[#Data],COLUMN(T_TraitDi[[#This Row],[Colonne26]]),FALSE),""),"[hh]:mm"))</f>
        <v>#VALUE!</v>
      </c>
      <c r="BI311" s="172" t="str">
        <f>IFERROR(VLOOKUP(T_BilanSocial[[#This Row],[NumL]],T_TraitDi[#Data],COLUMN(T_TraitDi[[#This Row],[Vendredi]]),FALSE),"")</f>
        <v/>
      </c>
      <c r="BJ311" s="172" t="e">
        <f>IF(VLOOKUP(T_BilanSocial[[#This Row],[NumL]],T_TraitDi[#Data],COLUMN(T_TraitDi[[#This Row],[Colonne27]]),FALSE)=0,"",TEXT(IFERROR(VLOOKUP(T_BilanSocial[[#This Row],[NumL]],T_TraitDi[#Data],COLUMN(T_TraitDi[[#This Row],[Colonne27]]),FALSE),""),"[hh]:mm"))</f>
        <v>#VALUE!</v>
      </c>
      <c r="BK311" s="172" t="e">
        <f>IF(VLOOKUP(T_BilanSocial[[#This Row],[NumL]],T_TraitDi[#Data],COLUMN(T_TraitDi[[#This Row],[Colonne28]]),FALSE)=0,"",TEXT(IFERROR(VLOOKUP(T_BilanSocial[[#This Row],[NumL]],T_TraitDi[#Data],COLUMN(T_TraitDi[[#This Row],[Colonne28]]),FALSE),""),"[hh]:mm"))</f>
        <v>#VALUE!</v>
      </c>
      <c r="BL311" s="172" t="str">
        <f>IFERROR(VLOOKUP(T_BilanSocial[[#This Row],[NumL]],T_TraitDi[#Data],COLUMN(T_TraitDi[[#This Row],[Colonne29]]),FALSE),"")</f>
        <v/>
      </c>
      <c r="BM311" s="172" t="e">
        <f>IF(VLOOKUP(T_BilanSocial[[#This Row],[NumL]],T_TraitDi[#Data],COLUMN(T_TraitDi[[#This Row],[Colonne30]]),FALSE)=0,"",TEXT(IFERROR(VLOOKUP(T_BilanSocial[[#This Row],[NumL]],T_TraitDi[#Data],COLUMN(T_TraitDi[[#This Row],[Colonne30]]),FALSE),""),"[hh]:mm"))</f>
        <v>#VALUE!</v>
      </c>
      <c r="BN311" s="172" t="e">
        <f>IF(VLOOKUP(T_BilanSocial[[#This Row],[NumL]],T_TraitDi[#Data],COLUMN(T_TraitDi[[#This Row],[Colonne31]]),FALSE)=0,"",TEXT(IFERROR(VLOOKUP(T_BilanSocial[[#This Row],[NumL]],T_TraitDi[#Data],COLUMN(T_TraitDi[[#This Row],[Colonne31]]),FALSE),""),"[hh]:mm"))</f>
        <v>#VALUE!</v>
      </c>
      <c r="BO311" s="172" t="e">
        <f>IF(VLOOKUP(T_BilanSocial[[#This Row],[NumL]],T_TraitDi[#Data],COLUMN(T_TraitDi[[#This Row],[Colonne32]]),FALSE)=0,"",TEXT(IFERROR(VLOOKUP(T_BilanSocial[[#This Row],[NumL]],T_TraitDi[#Data],COLUMN(T_TraitDi[[#This Row],[Colonne32]]),FALSE),""),"[hh]:mm"))</f>
        <v>#VALUE!</v>
      </c>
      <c r="BP311" s="172" t="e">
        <f>VLOOKUP(T_BilanSocial[[#This Row],[NumL]],T_TraitDi[#Data],COLUMN(T_TraitDi[NbJTot]),FALSE)</f>
        <v>#N/A</v>
      </c>
      <c r="BQ311" s="174" t="str">
        <f>IFERROR(VLOOKUP(T_BilanSocial[[#This Row],[NumL]],T_TraitDi[#Data],COLUMN(T_TraitDi[[#This Row],[NbJTW]]),FALSE),"")</f>
        <v/>
      </c>
      <c r="BR311" s="174" t="e">
        <f>IF(VLOOKUP(T_BilanSocial[[#This Row],[NumL]],T_TraitDi[#Data],COLUMN(T_TraitDi[[#This Row],[NbhTW]]),FALSE)=0,"",TEXT(IFERROR(VLOOKUP(T_BilanSocial[[#This Row],[NumL]],T_TraitDi[#Data],COLUMN(T_TraitDi[[#This Row],[NbhTW]]),FALSE),""),"[hh]:mm"))</f>
        <v>#VALUE!</v>
      </c>
      <c r="BS311" s="174" t="e">
        <f>IF(VLOOKUP(T_BilanSocial[[#This Row],[NumL]],T_TraitDi[#Data],COLUMN(T_TraitDi[[#This Row],[Nbhheb]]),FALSE)=0,"",TEXT(IFERROR(VLOOKUP($A311,T_TraitDi[#Data],COLUMN(T_TraitDi[[#This Row],[Nbhheb]]),FALSE),""),"[hh]:mm"))</f>
        <v>#VALUE!</v>
      </c>
      <c r="BT311" s="182" t="str">
        <f>IFERROR(VLOOKUP(VLOOKUP($A311,T_TraitDi[#Data],COLUMN(T_TraitDi[[#This Row],[Type1]]),FALSE),TypeTW,2,FALSE),"")</f>
        <v/>
      </c>
      <c r="BU311" s="182" t="str">
        <f>IFERROR(VLOOKUP($A311,T_TraitDi[#Data],COLUMN(T_TraitDi[[#This Row],[Rue1]]),FALSE),"")</f>
        <v/>
      </c>
      <c r="BV311" s="173" t="str">
        <f>IFERROR(VLOOKUP($A311,T_TraitDi[#Data],COLUMN(T_TraitDi[[#This Row],[CP1]]),FALSE),"")</f>
        <v/>
      </c>
      <c r="BW311" s="173" t="str">
        <f>IFERROR(VLOOKUP($A311,T_TraitDi[#Data],COLUMN(T_TraitDi[[#This Row],[VILLE1]]),FALSE),"")</f>
        <v/>
      </c>
      <c r="BX311" s="182" t="str">
        <f>IFERROR(VLOOKUP(VLOOKUP($A311,T_TraitDi[#Data],COLUMN(T_TraitDi[[#This Row],[Type2]]),FALSE),TypeTW,2,FALSE),"")</f>
        <v/>
      </c>
      <c r="BY311" s="182" t="str">
        <f>IFERROR(VLOOKUP($A311,T_TraitDi[#Data],COLUMN(T_TraitDi[[#This Row],[Rue2]]),FALSE),"")</f>
        <v/>
      </c>
      <c r="BZ311" s="173" t="str">
        <f>IFERROR(VLOOKUP($A311,T_TraitDi[#Data],COLUMN(T_TraitDi[[#This Row],[CP2]]),FALSE),"")</f>
        <v/>
      </c>
      <c r="CA311" s="173" t="str">
        <f>IFERROR(VLOOKUP($A311,T_TraitDi[#Data],COLUMN(T_TraitDi[[#This Row],[VILLE2]]),FALSE),"")</f>
        <v/>
      </c>
      <c r="CB311"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1" s="166" t="str">
        <f>IFERROR(IF(VLOOKUP(T_BilanSocial[[#This Row],[NumL]],T_TraitDi[#Data],COLUMN(T_TraitDi[[#This Row],[Plan]]),FALSE)="OK","Un planning spécifique de télétravail est annexé à la présente convention.",""),"")</f>
        <v/>
      </c>
      <c r="CD311" s="301"/>
      <c r="CE311" s="164" t="e">
        <f>IF(VLOOKUP(T_BilanSocial[[#This Row],[NumL]],T_suiviDi[#Data],COLUMN(T_suiviDi[[#This Row],[Entité]]),FALSE)="","",VLOOKUP(T_BilanSocial[[#This Row],[NumL]],T_suiviDi[#Data],COLUMN(T_suiviDi[[#This Row],[Entité]]),FALSE))</f>
        <v>#VALUE!</v>
      </c>
      <c r="CF311" s="164" t="str">
        <f>IF(VLOOKUP(T_BilanSocial[[#This Row],[NumL]],T_Commission[#Data],COLUMN(T_Commission[[#This Row],[envoi confirm TW]]),FALSE)="","",VLOOKUP(T_BilanSocial[[#This Row],[NumL]],T_Commission[#Data],COLUMN(T_Commission[[#This Row],[envoi confirm TW]]),FALSE))</f>
        <v>Oui</v>
      </c>
      <c r="CG31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1" s="339" t="str">
        <f>T_BilanSocial[[#This Row],[Nom]]&amp;T_BilanSocial[[#This Row],[Prenom]]</f>
        <v/>
      </c>
      <c r="CI311" s="339">
        <f>VLOOKUP(T_BilanSocial[[#This Row],[NumL]],T_Commission[#Data],COLUMN(T_Commission[Commentaire]),FALSE)</f>
        <v>0</v>
      </c>
      <c r="CJ311" s="339" t="str">
        <f>IF(VLOOKUP(T_BilanSocial[[#This Row],[NumL]],T_Commission[#Data],COLUMN(T_Commission[Encadrant Email]),FALSE)="","",VLOOKUP(T_BilanSocial[[#This Row],[NumL]],T_Commission[#Data],COLUMN(T_Commission[Encadrant Email]),FALSE))</f>
        <v/>
      </c>
      <c r="CK311" s="332" t="str">
        <f>IF(T_BilanSocial[[#This Row],[Final]]&lt;&gt;"",VLOOKUP(T_BilanSocial[[#This Row],[NumL]],T_suiviDi[#Data],COLUMN((T_suiviDi[Statut])),FALSE),"")</f>
        <v/>
      </c>
    </row>
    <row r="312" spans="1:89" s="50" customFormat="1" ht="21" customHeight="1" x14ac:dyDescent="0.25">
      <c r="A312" s="136">
        <v>309</v>
      </c>
      <c r="B312" s="330" t="str">
        <f t="shared" si="56"/>
        <v/>
      </c>
      <c r="C312" s="309"/>
      <c r="D312" s="95" t="e">
        <f>IF(VLOOKUP(T_BilanSocial[[#This Row],[NumL]],T_TraitDi[#Data],COLUMN(T_TraitDi[[#This Row],[WebC]]),FALSE)="","",VLOOKUP(T_BilanSocial[[#This Row],[NumL]],T_TraitDi[#Data],COLUMN(T_TraitDi[[#This Row],[WebC]]),FALSE))</f>
        <v>#VALUE!</v>
      </c>
      <c r="E312" s="95" t="str">
        <f t="shared" si="57"/>
        <v>12 janvier 2021</v>
      </c>
      <c r="F312" s="96" t="str">
        <f>IF(T_BilanSocial[[#This Row],[Final]]&lt;&gt;"",VLOOKUP(T_BilanSocial[[#This Row],[NumL]],T_suiviDi[#Data],COLUMN((T_suiviDi[Civ.])),FALSE),"")</f>
        <v/>
      </c>
      <c r="G312" s="96" t="str">
        <f>IF(T_BilanSocial[[#This Row],[Final]]&lt;&gt;"",VLOOKUP(T_BilanSocial[[#This Row],[NumL]],T_suiviDi[#Data],COLUMN((T_suiviDi[Nom])),FALSE),"")</f>
        <v/>
      </c>
      <c r="H312" s="96" t="str">
        <f>IF(T_BilanSocial[[#This Row],[Final]]&lt;&gt;"",VLOOKUP(T_BilanSocial[[#This Row],[NumL]],T_suiviDi[#Data],COLUMN((T_suiviDi[Prénom])),FALSE),"")</f>
        <v/>
      </c>
      <c r="I312" s="331" t="str">
        <f>IFERROR(VLOOKUP(T_BilanSocial[[#This Row],[Zone_Bilan]],T_P_BilanSocial[#Data],COLUMN(T_P_BilanSocial[[#This Row],[Numero_SIHAM]]),FALSE),"")</f>
        <v/>
      </c>
      <c r="J312" s="331" t="str">
        <f>IFERROR(VLOOKUP(T_BilanSocial[[#This Row],[Zone_Bilan]],T_P_BilanSocial[#Data],COLUMN(T_P_BilanSocial[[#This Row],[Sexe]]),FALSE),"")</f>
        <v/>
      </c>
      <c r="K312" s="294" t="str">
        <f>IFERROR(VLOOKUP(T_BilanSocial[[#This Row],[Zone_Bilan]],T_P_BilanSocial[#Data],COLUMN(T_P_BilanSocial[[#This Row],[Categorie]]),FALSE),"")</f>
        <v/>
      </c>
      <c r="L312" s="331" t="str">
        <f>IFERROR(VLOOKUP(T_BilanSocial[[#This Row],[Zone_Bilan]],T_P_BilanSocial[#Data],COLUMN(T_P_BilanSocial[[#This Row],[Statut]]),FALSE),"")</f>
        <v/>
      </c>
      <c r="M312" s="331" t="str">
        <f>IFERROR(VLOOKUP(T_BilanSocial[[#This Row],[Zone_Bilan]],T_P_BilanSocial[#Data],COLUMN(T_P_BilanSocial[[#This Row],[Filiere]]),FALSE),"")</f>
        <v/>
      </c>
      <c r="N312" s="331" t="e">
        <f>VLOOKUP(T_BilanSocial[[#This Row],[NumL]],T_TraitDi[#Data],COLUMN(T_TraitDi[EXP]),FALSE)</f>
        <v>#N/A</v>
      </c>
      <c r="O312" s="331" t="e">
        <f>VLOOKUP(T_BilanSocial[[#This Row],[NumL]],T_TraitDi[#Data],COLUMN(T_TraitDi[FORM]),FALSE)</f>
        <v>#N/A</v>
      </c>
      <c r="P312" s="96" t="str">
        <f>IF(T_BilanSocial[[#This Row],[Final]]&lt;&gt;"",VLOOKUP(T_BilanSocial[[#This Row],[NumL]],T_suiviDi[#Data],COLUMN((T_suiviDi[Email])),FALSE),"")</f>
        <v/>
      </c>
      <c r="Q312" s="96" t="e">
        <f t="shared" si="58"/>
        <v>#N/A</v>
      </c>
      <c r="R312" s="96" t="e">
        <f t="shared" si="59"/>
        <v>#N/A</v>
      </c>
      <c r="S312" s="96" t="str">
        <f t="shared" si="55"/>
        <v/>
      </c>
      <c r="T312" s="96" t="str">
        <f t="shared" si="60"/>
        <v>01 septembre 2021</v>
      </c>
      <c r="U312" s="96" t="str">
        <f t="shared" si="61"/>
        <v>30 novembre 2021</v>
      </c>
      <c r="V312" s="97">
        <f t="shared" si="62"/>
        <v>44530</v>
      </c>
      <c r="W312" s="176" t="e">
        <f>IF(VLOOKUP(T_BilanSocial[[#This Row],[NumL]],T_TraitDi[#Data],COLUMN(T_TraitDi[[#This Row],[M1]]),FALSE)="","",VLOOKUP(T_BilanSocial[[#This Row],[NumL]],T_TraitDi[#Data],COLUMN(T_TraitDi[[#This Row],[M1]]),FALSE))</f>
        <v>#VALUE!</v>
      </c>
      <c r="X312" s="96" t="str">
        <f t="shared" si="63"/>
        <v/>
      </c>
      <c r="Y312" s="96" t="str">
        <f t="shared" si="63"/>
        <v/>
      </c>
      <c r="Z312" s="96" t="str">
        <f t="shared" si="64"/>
        <v/>
      </c>
      <c r="AA312" s="176" t="e">
        <f>IF(VLOOKUP(T_BilanSocial[[#This Row],[NumL]],T_TraitDi[#Data],COLUMN(T_TraitDi[[#This Row],[M5]]),FALSE)="","",VLOOKUP(T_BilanSocial[[#This Row],[NumL]],T_TraitDi[#Data],COLUMN(T_TraitDi[[#This Row],[M5]]),FALSE))</f>
        <v>#VALUE!</v>
      </c>
      <c r="AB312" s="176" t="e">
        <f>IF(VLOOKUP(T_BilanSocial[[#This Row],[NumL]],T_TraitDi[#Data],COLUMN(T_TraitDi[[#This Row],[M6]]),FALSE)="","",VLOOKUP(T_BilanSocial[[#This Row],[NumL]],T_TraitDi[#Data],COLUMN(T_TraitDi[[#This Row],[M6]]),FALSE))</f>
        <v>#VALUE!</v>
      </c>
      <c r="AC312" s="96" t="e">
        <f t="shared" si="67"/>
        <v>#VALUE!</v>
      </c>
      <c r="AD312" s="97" t="str">
        <f t="shared" si="65"/>
        <v/>
      </c>
      <c r="AE312" s="294" t="e">
        <f>VLOOKUP(T_BilanSocial[[#This Row],[NumL]],T_TraitDi[#Data],COLUMN(T_TraitDi[[#This Row],[Reg Ponct]]),FALSE)</f>
        <v>#VALUE!</v>
      </c>
      <c r="AF312" s="294" t="e">
        <f>VLOOKUP(T_BilanSocial[NumL],T_TraitDi[#Data],COLUMN(T_TraitDi[[#This Row],[Jours flottants]]),FALSE)</f>
        <v>#VALUE!</v>
      </c>
      <c r="AG312" s="97" t="str">
        <f>IFERROR(VLOOKUP(T_BilanSocial[[#This Row],[NumL]],T_TraitDi[#Data],COLUMN(T_TraitDi[[#This Row],[Lundi]]),FALSE),"")</f>
        <v/>
      </c>
      <c r="AH312" s="172" t="e">
        <f>IF(VLOOKUP(T_BilanSocial[[#This Row],[NumL]],T_TraitDi[#Data],COLUMN(T_TraitDi[[#This Row],[Colonne3]]),FALSE)=0,"",TEXT(IFERROR(VLOOKUP(T_BilanSocial[[#This Row],[NumL]],T_TraitDi[#Data],COLUMN(T_TraitDi[[#This Row],[Colonne3]]),FALSE),""),"[hh]:mm"))</f>
        <v>#VALUE!</v>
      </c>
      <c r="AI312" s="172" t="e">
        <f>IF(VLOOKUP(T_BilanSocial[[#This Row],[NumL]],T_TraitDi[#Data],COLUMN(T_TraitDi[[#This Row],[Colonne4]]),FALSE)=0,"",TEXT(IFERROR(VLOOKUP(T_BilanSocial[[#This Row],[NumL]],T_TraitDi[#Data],COLUMN(T_TraitDi[[#This Row],[Colonne4]]),FALSE),""),"[hh]:mm"))</f>
        <v>#VALUE!</v>
      </c>
      <c r="AJ312" s="172" t="e">
        <f>IF(VLOOKUP(T_BilanSocial[[#This Row],[NumL]],T_TraitDi[#Data],COLUMN(T_TraitDi[[#This Row],[Colonne5]]),FALSE)=0,"",TEXT(IFERROR(VLOOKUP(T_BilanSocial[[#This Row],[NumL]],T_TraitDi[#Data],COLUMN(T_TraitDi[[#This Row],[Colonne5]]),FALSE),""),"[hh]:mm"))</f>
        <v>#VALUE!</v>
      </c>
      <c r="AK312" s="172" t="e">
        <f>IF(VLOOKUP(T_BilanSocial[[#This Row],[NumL]],T_TraitDi[#Data],COLUMN(T_TraitDi[[#This Row],[Colonne6]]),FALSE)=0,"",TEXT(IFERROR(VLOOKUP(T_BilanSocial[[#This Row],[NumL]],T_TraitDi[#Data],COLUMN(T_TraitDi[[#This Row],[Colonne6]]),FALSE),""),"[hh]:mm"))</f>
        <v>#VALUE!</v>
      </c>
      <c r="AL312" s="172" t="e">
        <f>IF(VLOOKUP(T_BilanSocial[[#This Row],[NumL]],T_TraitDi[#Data],COLUMN(T_TraitDi[[#This Row],[Colonne7]]),FALSE)=0,"",TEXT(IFERROR(VLOOKUP(T_BilanSocial[[#This Row],[NumL]],T_TraitDi[#Data],COLUMN(T_TraitDi[[#This Row],[Colonne7]]),FALSE),""),"[hh]:mm"))</f>
        <v>#VALUE!</v>
      </c>
      <c r="AM312" s="172" t="e">
        <f>IF(VLOOKUP(T_BilanSocial[[#This Row],[NumL]],T_TraitDi[#Data],COLUMN(T_TraitDi[[#This Row],[Colonne8]]),FALSE)=0,"",TEXT(IFERROR(VLOOKUP(T_BilanSocial[[#This Row],[NumL]],T_TraitDi[#Data],COLUMN(T_TraitDi[[#This Row],[Colonne8]]),FALSE),""),"[hh]:mm"))</f>
        <v>#VALUE!</v>
      </c>
      <c r="AN312" s="172" t="str">
        <f>IFERROR(VLOOKUP(T_BilanSocial[[#This Row],[NumL]],T_TraitDi[#Data],COLUMN(T_TraitDi[[#This Row],[Mardi]]),FALSE),"")</f>
        <v/>
      </c>
      <c r="AO312" s="172" t="e">
        <f>IF(VLOOKUP(T_BilanSocial[[#This Row],[NumL]],T_TraitDi[#Data],COLUMN(T_TraitDi[[#This Row],[Colonne1]]),FALSE)=0,"",TEXT(IFERROR(VLOOKUP(T_BilanSocial[[#This Row],[NumL]],T_TraitDi[#Data],COLUMN(T_TraitDi[[#This Row],[Colonne1]]),FALSE),""),"[hh]:mm"))</f>
        <v>#VALUE!</v>
      </c>
      <c r="AP312" s="172" t="e">
        <f>IF(VLOOKUP(T_BilanSocial[[#This Row],[NumL]],T_TraitDi[#Data],COLUMN(T_TraitDi[[#This Row],[Colonne9]]),FALSE)=0,"",TEXT(IFERROR(VLOOKUP(T_BilanSocial[[#This Row],[NumL]],T_TraitDi[#Data],COLUMN(T_TraitDi[[#This Row],[Colonne9]]),FALSE),""),"[hh]:mm"))</f>
        <v>#VALUE!</v>
      </c>
      <c r="AQ312" s="172" t="str">
        <f>IFERROR(VLOOKUP(T_BilanSocial[[#This Row],[NumL]],T_TraitDi[#Data],COLUMN(T_TraitDi[[#This Row],[Colonne10]]),FALSE),"")</f>
        <v/>
      </c>
      <c r="AR312" s="172" t="e">
        <f>IF(VLOOKUP(T_BilanSocial[[#This Row],[NumL]],T_TraitDi[#Data],COLUMN(T_TraitDi[[#This Row],[Colonne11]]),FALSE)=0,"",TEXT(IFERROR(VLOOKUP(T_BilanSocial[[#This Row],[NumL]],T_TraitDi[#Data],COLUMN(T_TraitDi[[#This Row],[Colonne11]]),FALSE),""),"[hh]:mm"))</f>
        <v>#VALUE!</v>
      </c>
      <c r="AS312" s="172" t="e">
        <f>IF(VLOOKUP(T_BilanSocial[[#This Row],[NumL]],T_TraitDi[#Data],COLUMN(T_TraitDi[[#This Row],[Colonne12]]),FALSE)=0,"",TEXT(IFERROR(VLOOKUP(T_BilanSocial[[#This Row],[NumL]],T_TraitDi[#Data],COLUMN(T_TraitDi[[#This Row],[Colonne12]]),FALSE),""),"[hh]:mm"))</f>
        <v>#VALUE!</v>
      </c>
      <c r="AT312" s="172" t="e">
        <f>IF(VLOOKUP(T_BilanSocial[[#This Row],[NumL]],T_TraitDi[#Data],COLUMN(T_TraitDi[[#This Row],[Colonne14]]),FALSE)=0,"",TEXT(IFERROR(VLOOKUP(T_BilanSocial[[#This Row],[NumL]],T_TraitDi[#Data],COLUMN(T_TraitDi[[#This Row],[Colonne14]]),FALSE),""),"[hh]:mm"))</f>
        <v>#VALUE!</v>
      </c>
      <c r="AU312" s="172" t="str">
        <f>IFERROR(VLOOKUP(T_BilanSocial[[#This Row],[NumL]],T_TraitDi[#Data],COLUMN(T_TraitDi[[#This Row],[Mercredi]]),FALSE),"")</f>
        <v/>
      </c>
      <c r="AV312" s="172" t="e">
        <f>IF(VLOOKUP(T_BilanSocial[[#This Row],[NumL]],T_TraitDi[#Data],COLUMN(T_TraitDi[[#This Row],[Colonne15]]),FALSE)=0,"",TEXT(IFERROR(VLOOKUP(T_BilanSocial[[#This Row],[NumL]],T_TraitDi[#Data],COLUMN(T_TraitDi[[#This Row],[Colonne15]]),FALSE),""),"[hh]:mm"))</f>
        <v>#VALUE!</v>
      </c>
      <c r="AW312" s="172" t="e">
        <f>IF(VLOOKUP(T_BilanSocial[[#This Row],[NumL]],T_TraitDi[#Data],COLUMN(T_TraitDi[[#This Row],[Colonne16]]),FALSE)=0,"",TEXT(IFERROR(VLOOKUP(T_BilanSocial[[#This Row],[NumL]],T_TraitDi[#Data],COLUMN(T_TraitDi[[#This Row],[Colonne16]]),FALSE),""),"[hh]:mm"))</f>
        <v>#VALUE!</v>
      </c>
      <c r="AX312" s="172" t="str">
        <f>IFERROR(VLOOKUP(T_BilanSocial[[#This Row],[NumL]],T_TraitDi[#Data],COLUMN(T_TraitDi[[#This Row],[Colonne17]]),FALSE),"")</f>
        <v/>
      </c>
      <c r="AY312" s="172" t="e">
        <f>IF(VLOOKUP(T_BilanSocial[[#This Row],[NumL]],T_TraitDi[#Data],COLUMN(T_TraitDi[[#This Row],[Colonne18]]),FALSE)=0,"",TEXT(IFERROR(VLOOKUP(T_BilanSocial[[#This Row],[NumL]],T_TraitDi[#Data],COLUMN(T_TraitDi[[#This Row],[Colonne18]]),FALSE),""),"[hh]:mm"))</f>
        <v>#VALUE!</v>
      </c>
      <c r="AZ312" s="172" t="e">
        <f>IF(VLOOKUP(T_BilanSocial[[#This Row],[NumL]],T_TraitDi[#Data],COLUMN(T_TraitDi[[#This Row],[Colonne19]]),FALSE)=0,"",TEXT(IFERROR(VLOOKUP(T_BilanSocial[[#This Row],[NumL]],T_TraitDi[#Data],COLUMN(T_TraitDi[[#This Row],[Colonne19]]),FALSE),""),"[hh]:mm"))</f>
        <v>#VALUE!</v>
      </c>
      <c r="BA312" s="172" t="e">
        <f>IF(VLOOKUP(T_BilanSocial[[#This Row],[NumL]],T_TraitDi[#Data],COLUMN(T_TraitDi[[#This Row],[Colonne20]]),FALSE)=0,"",TEXT(IFERROR(VLOOKUP(T_BilanSocial[[#This Row],[NumL]],T_TraitDi[#Data],COLUMN(T_TraitDi[[#This Row],[Colonne20]]),FALSE),""),"[hh]:mm"))</f>
        <v>#VALUE!</v>
      </c>
      <c r="BB312" s="178" t="str">
        <f>IFERROR(VLOOKUP(T_BilanSocial[[#This Row],[NumL]],T_TraitDi[#Data],COLUMN(T_TraitDi[[#This Row],[Jeudi]]),FALSE),"")</f>
        <v/>
      </c>
      <c r="BC312" s="178" t="e">
        <f>IF(VLOOKUP(T_BilanSocial[[#This Row],[NumL]],T_TraitDi[#Data],COLUMN(T_TraitDi[[#This Row],[Colonne21]]),FALSE)=0,"",TEXT(IFERROR(VLOOKUP(T_BilanSocial[[#This Row],[NumL]],T_TraitDi[#Data],COLUMN(T_TraitDi[[#This Row],[Colonne21]]),FALSE),""),"[hh]:mm"))</f>
        <v>#VALUE!</v>
      </c>
      <c r="BD312" s="178" t="e">
        <f>IF(VLOOKUP(T_BilanSocial[[#This Row],[NumL]],T_TraitDi[#Data],COLUMN(T_TraitDi[[#This Row],[Colonne22]]),FALSE)=0,"",TEXT(IFERROR(VLOOKUP(T_BilanSocial[[#This Row],[NumL]],T_TraitDi[#Data],COLUMN(T_TraitDi[[#This Row],[Colonne22]]),FALSE),""),"[hh]:mm"))</f>
        <v>#VALUE!</v>
      </c>
      <c r="BE312" s="178" t="str">
        <f>IFERROR(VLOOKUP(T_BilanSocial[[#This Row],[NumL]],T_TraitDi[#Data],COLUMN(T_TraitDi[[#This Row],[Colonne23]]),FALSE),"")</f>
        <v/>
      </c>
      <c r="BF312" s="178" t="e">
        <f>IF(VLOOKUP(T_BilanSocial[[#This Row],[NumL]],T_TraitDi[#Data],COLUMN(T_TraitDi[[#This Row],[Colonne24]]),FALSE)=0,"",TEXT(IFERROR(VLOOKUP(T_BilanSocial[[#This Row],[NumL]],T_TraitDi[#Data],COLUMN(T_TraitDi[[#This Row],[Colonne24]]),FALSE),""),"[hh]:mm"))</f>
        <v>#VALUE!</v>
      </c>
      <c r="BG312" s="178" t="e">
        <f>IF(VLOOKUP(T_BilanSocial[[#This Row],[NumL]],T_TraitDi[#Data],COLUMN(T_TraitDi[[#This Row],[Colonne25]]),FALSE)=0,"",TEXT(IFERROR(VLOOKUP(T_BilanSocial[[#This Row],[NumL]],T_TraitDi[#Data],COLUMN(T_TraitDi[[#This Row],[Colonne25]]),FALSE),""),"[hh]:mm"))</f>
        <v>#VALUE!</v>
      </c>
      <c r="BH312" s="178" t="e">
        <f>IF(VLOOKUP(T_BilanSocial[[#This Row],[NumL]],T_TraitDi[#Data],COLUMN(T_TraitDi[[#This Row],[Colonne26]]),FALSE)=0,"",TEXT(IFERROR(VLOOKUP(T_BilanSocial[[#This Row],[NumL]],T_TraitDi[#Data],COLUMN(T_TraitDi[[#This Row],[Colonne26]]),FALSE),""),"[hh]:mm"))</f>
        <v>#VALUE!</v>
      </c>
      <c r="BI312" s="172" t="str">
        <f>IFERROR(VLOOKUP(T_BilanSocial[[#This Row],[NumL]],T_TraitDi[#Data],COLUMN(T_TraitDi[[#This Row],[Vendredi]]),FALSE),"")</f>
        <v/>
      </c>
      <c r="BJ312" s="172" t="e">
        <f>IF(VLOOKUP(T_BilanSocial[[#This Row],[NumL]],T_TraitDi[#Data],COLUMN(T_TraitDi[[#This Row],[Colonne27]]),FALSE)=0,"",TEXT(IFERROR(VLOOKUP(T_BilanSocial[[#This Row],[NumL]],T_TraitDi[#Data],COLUMN(T_TraitDi[[#This Row],[Colonne27]]),FALSE),""),"[hh]:mm"))</f>
        <v>#VALUE!</v>
      </c>
      <c r="BK312" s="172" t="e">
        <f>IF(VLOOKUP(T_BilanSocial[[#This Row],[NumL]],T_TraitDi[#Data],COLUMN(T_TraitDi[[#This Row],[Colonne28]]),FALSE)=0,"",TEXT(IFERROR(VLOOKUP(T_BilanSocial[[#This Row],[NumL]],T_TraitDi[#Data],COLUMN(T_TraitDi[[#This Row],[Colonne28]]),FALSE),""),"[hh]:mm"))</f>
        <v>#VALUE!</v>
      </c>
      <c r="BL312" s="172" t="str">
        <f>IFERROR(VLOOKUP(T_BilanSocial[[#This Row],[NumL]],T_TraitDi[#Data],COLUMN(T_TraitDi[[#This Row],[Colonne29]]),FALSE),"")</f>
        <v/>
      </c>
      <c r="BM312" s="172" t="e">
        <f>IF(VLOOKUP(T_BilanSocial[[#This Row],[NumL]],T_TraitDi[#Data],COLUMN(T_TraitDi[[#This Row],[Colonne30]]),FALSE)=0,"",TEXT(IFERROR(VLOOKUP(T_BilanSocial[[#This Row],[NumL]],T_TraitDi[#Data],COLUMN(T_TraitDi[[#This Row],[Colonne30]]),FALSE),""),"[hh]:mm"))</f>
        <v>#VALUE!</v>
      </c>
      <c r="BN312" s="172" t="e">
        <f>IF(VLOOKUP(T_BilanSocial[[#This Row],[NumL]],T_TraitDi[#Data],COLUMN(T_TraitDi[[#This Row],[Colonne31]]),FALSE)=0,"",TEXT(IFERROR(VLOOKUP(T_BilanSocial[[#This Row],[NumL]],T_TraitDi[#Data],COLUMN(T_TraitDi[[#This Row],[Colonne31]]),FALSE),""),"[hh]:mm"))</f>
        <v>#VALUE!</v>
      </c>
      <c r="BO312" s="172" t="e">
        <f>IF(VLOOKUP(T_BilanSocial[[#This Row],[NumL]],T_TraitDi[#Data],COLUMN(T_TraitDi[[#This Row],[Colonne32]]),FALSE)=0,"",TEXT(IFERROR(VLOOKUP(T_BilanSocial[[#This Row],[NumL]],T_TraitDi[#Data],COLUMN(T_TraitDi[[#This Row],[Colonne32]]),FALSE),""),"[hh]:mm"))</f>
        <v>#VALUE!</v>
      </c>
      <c r="BP312" s="172" t="e">
        <f>VLOOKUP(T_BilanSocial[[#This Row],[NumL]],T_TraitDi[#Data],COLUMN(T_TraitDi[NbJTot]),FALSE)</f>
        <v>#N/A</v>
      </c>
      <c r="BQ312" s="174" t="str">
        <f>IFERROR(VLOOKUP(T_BilanSocial[[#This Row],[NumL]],T_TraitDi[#Data],COLUMN(T_TraitDi[[#This Row],[NbJTW]]),FALSE),"")</f>
        <v/>
      </c>
      <c r="BR312" s="174" t="e">
        <f>IF(VLOOKUP(T_BilanSocial[[#This Row],[NumL]],T_TraitDi[#Data],COLUMN(T_TraitDi[[#This Row],[NbhTW]]),FALSE)=0,"",TEXT(IFERROR(VLOOKUP(T_BilanSocial[[#This Row],[NumL]],T_TraitDi[#Data],COLUMN(T_TraitDi[[#This Row],[NbhTW]]),FALSE),""),"[hh]:mm"))</f>
        <v>#VALUE!</v>
      </c>
      <c r="BS312" s="174" t="e">
        <f>IF(VLOOKUP(T_BilanSocial[[#This Row],[NumL]],T_TraitDi[#Data],COLUMN(T_TraitDi[[#This Row],[Nbhheb]]),FALSE)=0,"",TEXT(IFERROR(VLOOKUP($A312,T_TraitDi[#Data],COLUMN(T_TraitDi[[#This Row],[Nbhheb]]),FALSE),""),"[hh]:mm"))</f>
        <v>#VALUE!</v>
      </c>
      <c r="BT312" s="182" t="str">
        <f>IFERROR(VLOOKUP(VLOOKUP($A312,T_TraitDi[#Data],COLUMN(T_TraitDi[[#This Row],[Type1]]),FALSE),TypeTW,2,FALSE),"")</f>
        <v/>
      </c>
      <c r="BU312" s="182" t="str">
        <f>IFERROR(VLOOKUP($A312,T_TraitDi[#Data],COLUMN(T_TraitDi[[#This Row],[Rue1]]),FALSE),"")</f>
        <v/>
      </c>
      <c r="BV312" s="173" t="str">
        <f>IFERROR(VLOOKUP($A312,T_TraitDi[#Data],COLUMN(T_TraitDi[[#This Row],[CP1]]),FALSE),"")</f>
        <v/>
      </c>
      <c r="BW312" s="173" t="str">
        <f>IFERROR(VLOOKUP($A312,T_TraitDi[#Data],COLUMN(T_TraitDi[[#This Row],[VILLE1]]),FALSE),"")</f>
        <v/>
      </c>
      <c r="BX312" s="182" t="str">
        <f>IFERROR(VLOOKUP(VLOOKUP($A312,T_TraitDi[#Data],COLUMN(T_TraitDi[[#This Row],[Type2]]),FALSE),TypeTW,2,FALSE),"")</f>
        <v/>
      </c>
      <c r="BY312" s="182" t="str">
        <f>IFERROR(VLOOKUP($A312,T_TraitDi[#Data],COLUMN(T_TraitDi[[#This Row],[Rue2]]),FALSE),"")</f>
        <v/>
      </c>
      <c r="BZ312" s="173" t="str">
        <f>IFERROR(VLOOKUP($A312,T_TraitDi[#Data],COLUMN(T_TraitDi[[#This Row],[CP2]]),FALSE),"")</f>
        <v/>
      </c>
      <c r="CA312" s="173" t="str">
        <f>IFERROR(VLOOKUP($A312,T_TraitDi[#Data],COLUMN(T_TraitDi[[#This Row],[VILLE2]]),FALSE),"")</f>
        <v/>
      </c>
      <c r="CB312"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2" s="166" t="str">
        <f>IFERROR(IF(VLOOKUP(T_BilanSocial[[#This Row],[NumL]],T_TraitDi[#Data],COLUMN(T_TraitDi[[#This Row],[Plan]]),FALSE)="OK","Un planning spécifique de télétravail est annexé à la présente convention.",""),"")</f>
        <v/>
      </c>
      <c r="CD312" s="301"/>
      <c r="CE312" s="164" t="e">
        <f>IF(VLOOKUP(T_BilanSocial[[#This Row],[NumL]],T_suiviDi[#Data],COLUMN(T_suiviDi[[#This Row],[Entité]]),FALSE)="","",VLOOKUP(T_BilanSocial[[#This Row],[NumL]],T_suiviDi[#Data],COLUMN(T_suiviDi[[#This Row],[Entité]]),FALSE))</f>
        <v>#VALUE!</v>
      </c>
      <c r="CF312" s="164" t="str">
        <f>IF(VLOOKUP(T_BilanSocial[[#This Row],[NumL]],T_Commission[#Data],COLUMN(T_Commission[[#This Row],[envoi confirm TW]]),FALSE)="","",VLOOKUP(T_BilanSocial[[#This Row],[NumL]],T_Commission[#Data],COLUMN(T_Commission[[#This Row],[envoi confirm TW]]),FALSE))</f>
        <v>Oui</v>
      </c>
      <c r="CG31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2" s="339" t="str">
        <f>T_BilanSocial[[#This Row],[Nom]]&amp;T_BilanSocial[[#This Row],[Prenom]]</f>
        <v/>
      </c>
      <c r="CI312" s="339">
        <f>VLOOKUP(T_BilanSocial[[#This Row],[NumL]],T_Commission[#Data],COLUMN(T_Commission[Commentaire]),FALSE)</f>
        <v>0</v>
      </c>
      <c r="CJ312" s="339" t="str">
        <f>IF(VLOOKUP(T_BilanSocial[[#This Row],[NumL]],T_Commission[#Data],COLUMN(T_Commission[Encadrant Email]),FALSE)="","",VLOOKUP(T_BilanSocial[[#This Row],[NumL]],T_Commission[#Data],COLUMN(T_Commission[Encadrant Email]),FALSE))</f>
        <v/>
      </c>
      <c r="CK312" s="332" t="str">
        <f>IF(T_BilanSocial[[#This Row],[Final]]&lt;&gt;"",VLOOKUP(T_BilanSocial[[#This Row],[NumL]],T_suiviDi[#Data],COLUMN((T_suiviDi[Statut])),FALSE),"")</f>
        <v/>
      </c>
    </row>
    <row r="313" spans="1:89" s="50" customFormat="1" ht="21" customHeight="1" x14ac:dyDescent="0.25">
      <c r="A313" s="136">
        <v>310</v>
      </c>
      <c r="B313" s="330" t="str">
        <f t="shared" si="56"/>
        <v/>
      </c>
      <c r="C313" s="309"/>
      <c r="D313" s="95" t="e">
        <f>IF(VLOOKUP(T_BilanSocial[[#This Row],[NumL]],T_TraitDi[#Data],COLUMN(T_TraitDi[[#This Row],[WebC]]),FALSE)="","",VLOOKUP(T_BilanSocial[[#This Row],[NumL]],T_TraitDi[#Data],COLUMN(T_TraitDi[[#This Row],[WebC]]),FALSE))</f>
        <v>#VALUE!</v>
      </c>
      <c r="E313" s="95" t="str">
        <f t="shared" si="57"/>
        <v>12 janvier 2021</v>
      </c>
      <c r="F313" s="96" t="str">
        <f>IF(T_BilanSocial[[#This Row],[Final]]&lt;&gt;"",VLOOKUP(T_BilanSocial[[#This Row],[NumL]],T_suiviDi[#Data],COLUMN((T_suiviDi[Civ.])),FALSE),"")</f>
        <v/>
      </c>
      <c r="G313" s="96" t="str">
        <f>IF(T_BilanSocial[[#This Row],[Final]]&lt;&gt;"",VLOOKUP(T_BilanSocial[[#This Row],[NumL]],T_suiviDi[#Data],COLUMN((T_suiviDi[Nom])),FALSE),"")</f>
        <v/>
      </c>
      <c r="H313" s="96" t="str">
        <f>IF(T_BilanSocial[[#This Row],[Final]]&lt;&gt;"",VLOOKUP(T_BilanSocial[[#This Row],[NumL]],T_suiviDi[#Data],COLUMN((T_suiviDi[Prénom])),FALSE),"")</f>
        <v/>
      </c>
      <c r="I313" s="331" t="str">
        <f>IFERROR(VLOOKUP(T_BilanSocial[[#This Row],[Zone_Bilan]],T_P_BilanSocial[#Data],COLUMN(T_P_BilanSocial[[#This Row],[Numero_SIHAM]]),FALSE),"")</f>
        <v/>
      </c>
      <c r="J313" s="331" t="str">
        <f>IFERROR(VLOOKUP(T_BilanSocial[[#This Row],[Zone_Bilan]],T_P_BilanSocial[#Data],COLUMN(T_P_BilanSocial[[#This Row],[Sexe]]),FALSE),"")</f>
        <v/>
      </c>
      <c r="K313" s="294" t="str">
        <f>IFERROR(VLOOKUP(T_BilanSocial[[#This Row],[Zone_Bilan]],T_P_BilanSocial[#Data],COLUMN(T_P_BilanSocial[[#This Row],[Categorie]]),FALSE),"")</f>
        <v/>
      </c>
      <c r="L313" s="331" t="str">
        <f>IFERROR(VLOOKUP(T_BilanSocial[[#This Row],[Zone_Bilan]],T_P_BilanSocial[#Data],COLUMN(T_P_BilanSocial[[#This Row],[Statut]]),FALSE),"")</f>
        <v/>
      </c>
      <c r="M313" s="331" t="str">
        <f>IFERROR(VLOOKUP(T_BilanSocial[[#This Row],[Zone_Bilan]],T_P_BilanSocial[#Data],COLUMN(T_P_BilanSocial[[#This Row],[Filiere]]),FALSE),"")</f>
        <v/>
      </c>
      <c r="N313" s="331" t="str">
        <f>VLOOKUP(T_BilanSocial[[#This Row],[NumL]],T_TraitDi[#Data],COLUMN(T_TraitDi[EXP]),FALSE)</f>
        <v>N</v>
      </c>
      <c r="O313" s="331" t="str">
        <f>VLOOKUP(T_BilanSocial[[#This Row],[NumL]],T_TraitDi[#Data],COLUMN(T_TraitDi[FORM]),FALSE)</f>
        <v>O</v>
      </c>
      <c r="P313" s="96" t="str">
        <f>IF(T_BilanSocial[[#This Row],[Final]]&lt;&gt;"",VLOOKUP(T_BilanSocial[[#This Row],[NumL]],T_suiviDi[#Data],COLUMN((T_suiviDi[Email])),FALSE),"")</f>
        <v/>
      </c>
      <c r="Q313" s="96" t="str">
        <f t="shared" si="58"/>
        <v>Bibliothèque des quais</v>
      </c>
      <c r="R313" s="96" t="str">
        <f t="shared" si="59"/>
        <v>Magasinier principal</v>
      </c>
      <c r="S313" s="96" t="str">
        <f t="shared" si="55"/>
        <v/>
      </c>
      <c r="T313" s="96" t="str">
        <f t="shared" si="60"/>
        <v>01 septembre 2021</v>
      </c>
      <c r="U313" s="96" t="str">
        <f t="shared" si="61"/>
        <v>30 novembre 2021</v>
      </c>
      <c r="V313" s="97">
        <f t="shared" si="62"/>
        <v>44530</v>
      </c>
      <c r="W313" s="176" t="e">
        <f>IF(VLOOKUP(T_BilanSocial[[#This Row],[NumL]],T_TraitDi[#Data],COLUMN(T_TraitDi[[#This Row],[M1]]),FALSE)="","",VLOOKUP(T_BilanSocial[[#This Row],[NumL]],T_TraitDi[#Data],COLUMN(T_TraitDi[[#This Row],[M1]]),FALSE))</f>
        <v>#VALUE!</v>
      </c>
      <c r="X313" s="96" t="str">
        <f t="shared" si="63"/>
        <v/>
      </c>
      <c r="Y313" s="96" t="str">
        <f t="shared" si="63"/>
        <v/>
      </c>
      <c r="Z313" s="96" t="str">
        <f t="shared" si="64"/>
        <v/>
      </c>
      <c r="AA313" s="176" t="e">
        <f>IF(VLOOKUP(T_BilanSocial[[#This Row],[NumL]],T_TraitDi[#Data],COLUMN(T_TraitDi[[#This Row],[M5]]),FALSE)="","",VLOOKUP(T_BilanSocial[[#This Row],[NumL]],T_TraitDi[#Data],COLUMN(T_TraitDi[[#This Row],[M5]]),FALSE))</f>
        <v>#VALUE!</v>
      </c>
      <c r="AB313" s="176" t="e">
        <f>IF(VLOOKUP(T_BilanSocial[[#This Row],[NumL]],T_TraitDi[#Data],COLUMN(T_TraitDi[[#This Row],[M6]]),FALSE)="","",VLOOKUP(T_BilanSocial[[#This Row],[NumL]],T_TraitDi[#Data],COLUMN(T_TraitDi[[#This Row],[M6]]),FALSE))</f>
        <v>#VALUE!</v>
      </c>
      <c r="AC313" s="96" t="e">
        <f t="shared" si="67"/>
        <v>#VALUE!</v>
      </c>
      <c r="AD313" s="97" t="str">
        <f t="shared" si="65"/>
        <v>80%</v>
      </c>
      <c r="AE313" s="294" t="e">
        <f>VLOOKUP(T_BilanSocial[[#This Row],[NumL]],T_TraitDi[#Data],COLUMN(T_TraitDi[[#This Row],[Reg Ponct]]),FALSE)</f>
        <v>#VALUE!</v>
      </c>
      <c r="AF313" s="294" t="e">
        <f>VLOOKUP(T_BilanSocial[NumL],T_TraitDi[#Data],COLUMN(T_TraitDi[[#This Row],[Jours flottants]]),FALSE)</f>
        <v>#VALUE!</v>
      </c>
      <c r="AG313" s="97" t="str">
        <f>IFERROR(VLOOKUP(T_BilanSocial[[#This Row],[NumL]],T_TraitDi[#Data],COLUMN(T_TraitDi[[#This Row],[Lundi]]),FALSE),"")</f>
        <v/>
      </c>
      <c r="AH313" s="172" t="e">
        <f>IF(VLOOKUP(T_BilanSocial[[#This Row],[NumL]],T_TraitDi[#Data],COLUMN(T_TraitDi[[#This Row],[Colonne3]]),FALSE)=0,"",TEXT(IFERROR(VLOOKUP(T_BilanSocial[[#This Row],[NumL]],T_TraitDi[#Data],COLUMN(T_TraitDi[[#This Row],[Colonne3]]),FALSE),""),"[hh]:mm"))</f>
        <v>#VALUE!</v>
      </c>
      <c r="AI313" s="172" t="e">
        <f>IF(VLOOKUP(T_BilanSocial[[#This Row],[NumL]],T_TraitDi[#Data],COLUMN(T_TraitDi[[#This Row],[Colonne4]]),FALSE)=0,"",TEXT(IFERROR(VLOOKUP(T_BilanSocial[[#This Row],[NumL]],T_TraitDi[#Data],COLUMN(T_TraitDi[[#This Row],[Colonne4]]),FALSE),""),"[hh]:mm"))</f>
        <v>#VALUE!</v>
      </c>
      <c r="AJ313" s="172" t="e">
        <f>IF(VLOOKUP(T_BilanSocial[[#This Row],[NumL]],T_TraitDi[#Data],COLUMN(T_TraitDi[[#This Row],[Colonne5]]),FALSE)=0,"",TEXT(IFERROR(VLOOKUP(T_BilanSocial[[#This Row],[NumL]],T_TraitDi[#Data],COLUMN(T_TraitDi[[#This Row],[Colonne5]]),FALSE),""),"[hh]:mm"))</f>
        <v>#VALUE!</v>
      </c>
      <c r="AK313" s="172" t="e">
        <f>IF(VLOOKUP(T_BilanSocial[[#This Row],[NumL]],T_TraitDi[#Data],COLUMN(T_TraitDi[[#This Row],[Colonne6]]),FALSE)=0,"",TEXT(IFERROR(VLOOKUP(T_BilanSocial[[#This Row],[NumL]],T_TraitDi[#Data],COLUMN(T_TraitDi[[#This Row],[Colonne6]]),FALSE),""),"[hh]:mm"))</f>
        <v>#VALUE!</v>
      </c>
      <c r="AL313" s="172" t="e">
        <f>IF(VLOOKUP(T_BilanSocial[[#This Row],[NumL]],T_TraitDi[#Data],COLUMN(T_TraitDi[[#This Row],[Colonne7]]),FALSE)=0,"",TEXT(IFERROR(VLOOKUP(T_BilanSocial[[#This Row],[NumL]],T_TraitDi[#Data],COLUMN(T_TraitDi[[#This Row],[Colonne7]]),FALSE),""),"[hh]:mm"))</f>
        <v>#VALUE!</v>
      </c>
      <c r="AM313" s="172" t="e">
        <f>IF(VLOOKUP(T_BilanSocial[[#This Row],[NumL]],T_TraitDi[#Data],COLUMN(T_TraitDi[[#This Row],[Colonne8]]),FALSE)=0,"",TEXT(IFERROR(VLOOKUP(T_BilanSocial[[#This Row],[NumL]],T_TraitDi[#Data],COLUMN(T_TraitDi[[#This Row],[Colonne8]]),FALSE),""),"[hh]:mm"))</f>
        <v>#VALUE!</v>
      </c>
      <c r="AN313" s="172" t="str">
        <f>IFERROR(VLOOKUP(T_BilanSocial[[#This Row],[NumL]],T_TraitDi[#Data],COLUMN(T_TraitDi[[#This Row],[Mardi]]),FALSE),"")</f>
        <v/>
      </c>
      <c r="AO313" s="172" t="e">
        <f>IF(VLOOKUP(T_BilanSocial[[#This Row],[NumL]],T_TraitDi[#Data],COLUMN(T_TraitDi[[#This Row],[Colonne1]]),FALSE)=0,"",TEXT(IFERROR(VLOOKUP(T_BilanSocial[[#This Row],[NumL]],T_TraitDi[#Data],COLUMN(T_TraitDi[[#This Row],[Colonne1]]),FALSE),""),"[hh]:mm"))</f>
        <v>#VALUE!</v>
      </c>
      <c r="AP313" s="172" t="e">
        <f>IF(VLOOKUP(T_BilanSocial[[#This Row],[NumL]],T_TraitDi[#Data],COLUMN(T_TraitDi[[#This Row],[Colonne9]]),FALSE)=0,"",TEXT(IFERROR(VLOOKUP(T_BilanSocial[[#This Row],[NumL]],T_TraitDi[#Data],COLUMN(T_TraitDi[[#This Row],[Colonne9]]),FALSE),""),"[hh]:mm"))</f>
        <v>#VALUE!</v>
      </c>
      <c r="AQ313" s="172" t="str">
        <f>IFERROR(VLOOKUP(T_BilanSocial[[#This Row],[NumL]],T_TraitDi[#Data],COLUMN(T_TraitDi[[#This Row],[Colonne10]]),FALSE),"")</f>
        <v/>
      </c>
      <c r="AR313" s="172" t="e">
        <f>IF(VLOOKUP(T_BilanSocial[[#This Row],[NumL]],T_TraitDi[#Data],COLUMN(T_TraitDi[[#This Row],[Colonne11]]),FALSE)=0,"",TEXT(IFERROR(VLOOKUP(T_BilanSocial[[#This Row],[NumL]],T_TraitDi[#Data],COLUMN(T_TraitDi[[#This Row],[Colonne11]]),FALSE),""),"[hh]:mm"))</f>
        <v>#VALUE!</v>
      </c>
      <c r="AS313" s="172" t="e">
        <f>IF(VLOOKUP(T_BilanSocial[[#This Row],[NumL]],T_TraitDi[#Data],COLUMN(T_TraitDi[[#This Row],[Colonne12]]),FALSE)=0,"",TEXT(IFERROR(VLOOKUP(T_BilanSocial[[#This Row],[NumL]],T_TraitDi[#Data],COLUMN(T_TraitDi[[#This Row],[Colonne12]]),FALSE),""),"[hh]:mm"))</f>
        <v>#VALUE!</v>
      </c>
      <c r="AT313" s="172" t="e">
        <f>IF(VLOOKUP(T_BilanSocial[[#This Row],[NumL]],T_TraitDi[#Data],COLUMN(T_TraitDi[[#This Row],[Colonne14]]),FALSE)=0,"",TEXT(IFERROR(VLOOKUP(T_BilanSocial[[#This Row],[NumL]],T_TraitDi[#Data],COLUMN(T_TraitDi[[#This Row],[Colonne14]]),FALSE),""),"[hh]:mm"))</f>
        <v>#VALUE!</v>
      </c>
      <c r="AU313" s="172" t="str">
        <f>IFERROR(VLOOKUP(T_BilanSocial[[#This Row],[NumL]],T_TraitDi[#Data],COLUMN(T_TraitDi[[#This Row],[Mercredi]]),FALSE),"")</f>
        <v/>
      </c>
      <c r="AV313" s="172" t="e">
        <f>IF(VLOOKUP(T_BilanSocial[[#This Row],[NumL]],T_TraitDi[#Data],COLUMN(T_TraitDi[[#This Row],[Colonne15]]),FALSE)=0,"",TEXT(IFERROR(VLOOKUP(T_BilanSocial[[#This Row],[NumL]],T_TraitDi[#Data],COLUMN(T_TraitDi[[#This Row],[Colonne15]]),FALSE),""),"[hh]:mm"))</f>
        <v>#VALUE!</v>
      </c>
      <c r="AW313" s="172" t="e">
        <f>IF(VLOOKUP(T_BilanSocial[[#This Row],[NumL]],T_TraitDi[#Data],COLUMN(T_TraitDi[[#This Row],[Colonne16]]),FALSE)=0,"",TEXT(IFERROR(VLOOKUP(T_BilanSocial[[#This Row],[NumL]],T_TraitDi[#Data],COLUMN(T_TraitDi[[#This Row],[Colonne16]]),FALSE),""),"[hh]:mm"))</f>
        <v>#VALUE!</v>
      </c>
      <c r="AX313" s="172" t="str">
        <f>IFERROR(VLOOKUP(T_BilanSocial[[#This Row],[NumL]],T_TraitDi[#Data],COLUMN(T_TraitDi[[#This Row],[Colonne17]]),FALSE),"")</f>
        <v/>
      </c>
      <c r="AY313" s="172" t="e">
        <f>IF(VLOOKUP(T_BilanSocial[[#This Row],[NumL]],T_TraitDi[#Data],COLUMN(T_TraitDi[[#This Row],[Colonne18]]),FALSE)=0,"",TEXT(IFERROR(VLOOKUP(T_BilanSocial[[#This Row],[NumL]],T_TraitDi[#Data],COLUMN(T_TraitDi[[#This Row],[Colonne18]]),FALSE),""),"[hh]:mm"))</f>
        <v>#VALUE!</v>
      </c>
      <c r="AZ313" s="172" t="e">
        <f>IF(VLOOKUP(T_BilanSocial[[#This Row],[NumL]],T_TraitDi[#Data],COLUMN(T_TraitDi[[#This Row],[Colonne19]]),FALSE)=0,"",TEXT(IFERROR(VLOOKUP(T_BilanSocial[[#This Row],[NumL]],T_TraitDi[#Data],COLUMN(T_TraitDi[[#This Row],[Colonne19]]),FALSE),""),"[hh]:mm"))</f>
        <v>#VALUE!</v>
      </c>
      <c r="BA313" s="172" t="e">
        <f>IF(VLOOKUP(T_BilanSocial[[#This Row],[NumL]],T_TraitDi[#Data],COLUMN(T_TraitDi[[#This Row],[Colonne20]]),FALSE)=0,"",TEXT(IFERROR(VLOOKUP(T_BilanSocial[[#This Row],[NumL]],T_TraitDi[#Data],COLUMN(T_TraitDi[[#This Row],[Colonne20]]),FALSE),""),"[hh]:mm"))</f>
        <v>#VALUE!</v>
      </c>
      <c r="BB313" s="178" t="str">
        <f>IFERROR(VLOOKUP(T_BilanSocial[[#This Row],[NumL]],T_TraitDi[#Data],COLUMN(T_TraitDi[[#This Row],[Jeudi]]),FALSE),"")</f>
        <v/>
      </c>
      <c r="BC313" s="178" t="e">
        <f>IF(VLOOKUP(T_BilanSocial[[#This Row],[NumL]],T_TraitDi[#Data],COLUMN(T_TraitDi[[#This Row],[Colonne21]]),FALSE)=0,"",TEXT(IFERROR(VLOOKUP(T_BilanSocial[[#This Row],[NumL]],T_TraitDi[#Data],COLUMN(T_TraitDi[[#This Row],[Colonne21]]),FALSE),""),"[hh]:mm"))</f>
        <v>#VALUE!</v>
      </c>
      <c r="BD313" s="178" t="e">
        <f>IF(VLOOKUP(T_BilanSocial[[#This Row],[NumL]],T_TraitDi[#Data],COLUMN(T_TraitDi[[#This Row],[Colonne22]]),FALSE)=0,"",TEXT(IFERROR(VLOOKUP(T_BilanSocial[[#This Row],[NumL]],T_TraitDi[#Data],COLUMN(T_TraitDi[[#This Row],[Colonne22]]),FALSE),""),"[hh]:mm"))</f>
        <v>#VALUE!</v>
      </c>
      <c r="BE313" s="178" t="str">
        <f>IFERROR(VLOOKUP(T_BilanSocial[[#This Row],[NumL]],T_TraitDi[#Data],COLUMN(T_TraitDi[[#This Row],[Colonne23]]),FALSE),"")</f>
        <v/>
      </c>
      <c r="BF313" s="178" t="e">
        <f>IF(VLOOKUP(T_BilanSocial[[#This Row],[NumL]],T_TraitDi[#Data],COLUMN(T_TraitDi[[#This Row],[Colonne24]]),FALSE)=0,"",TEXT(IFERROR(VLOOKUP(T_BilanSocial[[#This Row],[NumL]],T_TraitDi[#Data],COLUMN(T_TraitDi[[#This Row],[Colonne24]]),FALSE),""),"[hh]:mm"))</f>
        <v>#VALUE!</v>
      </c>
      <c r="BG313" s="178" t="e">
        <f>IF(VLOOKUP(T_BilanSocial[[#This Row],[NumL]],T_TraitDi[#Data],COLUMN(T_TraitDi[[#This Row],[Colonne25]]),FALSE)=0,"",TEXT(IFERROR(VLOOKUP(T_BilanSocial[[#This Row],[NumL]],T_TraitDi[#Data],COLUMN(T_TraitDi[[#This Row],[Colonne25]]),FALSE),""),"[hh]:mm"))</f>
        <v>#VALUE!</v>
      </c>
      <c r="BH313" s="178" t="e">
        <f>IF(VLOOKUP(T_BilanSocial[[#This Row],[NumL]],T_TraitDi[#Data],COLUMN(T_TraitDi[[#This Row],[Colonne26]]),FALSE)=0,"",TEXT(IFERROR(VLOOKUP(T_BilanSocial[[#This Row],[NumL]],T_TraitDi[#Data],COLUMN(T_TraitDi[[#This Row],[Colonne26]]),FALSE),""),"[hh]:mm"))</f>
        <v>#VALUE!</v>
      </c>
      <c r="BI313" s="172" t="str">
        <f>IFERROR(VLOOKUP(T_BilanSocial[[#This Row],[NumL]],T_TraitDi[#Data],COLUMN(T_TraitDi[[#This Row],[Vendredi]]),FALSE),"")</f>
        <v/>
      </c>
      <c r="BJ313" s="172" t="e">
        <f>IF(VLOOKUP(T_BilanSocial[[#This Row],[NumL]],T_TraitDi[#Data],COLUMN(T_TraitDi[[#This Row],[Colonne27]]),FALSE)=0,"",TEXT(IFERROR(VLOOKUP(T_BilanSocial[[#This Row],[NumL]],T_TraitDi[#Data],COLUMN(T_TraitDi[[#This Row],[Colonne27]]),FALSE),""),"[hh]:mm"))</f>
        <v>#VALUE!</v>
      </c>
      <c r="BK313" s="172" t="e">
        <f>IF(VLOOKUP(T_BilanSocial[[#This Row],[NumL]],T_TraitDi[#Data],COLUMN(T_TraitDi[[#This Row],[Colonne28]]),FALSE)=0,"",TEXT(IFERROR(VLOOKUP(T_BilanSocial[[#This Row],[NumL]],T_TraitDi[#Data],COLUMN(T_TraitDi[[#This Row],[Colonne28]]),FALSE),""),"[hh]:mm"))</f>
        <v>#VALUE!</v>
      </c>
      <c r="BL313" s="172" t="str">
        <f>IFERROR(VLOOKUP(T_BilanSocial[[#This Row],[NumL]],T_TraitDi[#Data],COLUMN(T_TraitDi[[#This Row],[Colonne29]]),FALSE),"")</f>
        <v/>
      </c>
      <c r="BM313" s="172" t="e">
        <f>IF(VLOOKUP(T_BilanSocial[[#This Row],[NumL]],T_TraitDi[#Data],COLUMN(T_TraitDi[[#This Row],[Colonne30]]),FALSE)=0,"",TEXT(IFERROR(VLOOKUP(T_BilanSocial[[#This Row],[NumL]],T_TraitDi[#Data],COLUMN(T_TraitDi[[#This Row],[Colonne30]]),FALSE),""),"[hh]:mm"))</f>
        <v>#VALUE!</v>
      </c>
      <c r="BN313" s="172" t="e">
        <f>IF(VLOOKUP(T_BilanSocial[[#This Row],[NumL]],T_TraitDi[#Data],COLUMN(T_TraitDi[[#This Row],[Colonne31]]),FALSE)=0,"",TEXT(IFERROR(VLOOKUP(T_BilanSocial[[#This Row],[NumL]],T_TraitDi[#Data],COLUMN(T_TraitDi[[#This Row],[Colonne31]]),FALSE),""),"[hh]:mm"))</f>
        <v>#VALUE!</v>
      </c>
      <c r="BO313" s="172" t="e">
        <f>IF(VLOOKUP(T_BilanSocial[[#This Row],[NumL]],T_TraitDi[#Data],COLUMN(T_TraitDi[[#This Row],[Colonne32]]),FALSE)=0,"",TEXT(IFERROR(VLOOKUP(T_BilanSocial[[#This Row],[NumL]],T_TraitDi[#Data],COLUMN(T_TraitDi[[#This Row],[Colonne32]]),FALSE),""),"[hh]:mm"))</f>
        <v>#VALUE!</v>
      </c>
      <c r="BP313" s="172" t="str">
        <f>VLOOKUP(T_BilanSocial[[#This Row],[NumL]],T_TraitDi[#Data],COLUMN(T_TraitDi[NbJTot]),FALSE)</f>
        <v/>
      </c>
      <c r="BQ313" s="174" t="str">
        <f>IFERROR(VLOOKUP(T_BilanSocial[[#This Row],[NumL]],T_TraitDi[#Data],COLUMN(T_TraitDi[[#This Row],[NbJTW]]),FALSE),"")</f>
        <v/>
      </c>
      <c r="BR313" s="174" t="e">
        <f>IF(VLOOKUP(T_BilanSocial[[#This Row],[NumL]],T_TraitDi[#Data],COLUMN(T_TraitDi[[#This Row],[NbhTW]]),FALSE)=0,"",TEXT(IFERROR(VLOOKUP(T_BilanSocial[[#This Row],[NumL]],T_TraitDi[#Data],COLUMN(T_TraitDi[[#This Row],[NbhTW]]),FALSE),""),"[hh]:mm"))</f>
        <v>#VALUE!</v>
      </c>
      <c r="BS313" s="174" t="e">
        <f>IF(VLOOKUP(T_BilanSocial[[#This Row],[NumL]],T_TraitDi[#Data],COLUMN(T_TraitDi[[#This Row],[Nbhheb]]),FALSE)=0,"",TEXT(IFERROR(VLOOKUP($A313,T_TraitDi[#Data],COLUMN(T_TraitDi[[#This Row],[Nbhheb]]),FALSE),""),"[hh]:mm"))</f>
        <v>#VALUE!</v>
      </c>
      <c r="BT313" s="182" t="str">
        <f>IFERROR(VLOOKUP(VLOOKUP($A313,T_TraitDi[#Data],COLUMN(T_TraitDi[[#This Row],[Type1]]),FALSE),TypeTW,2,FALSE),"")</f>
        <v/>
      </c>
      <c r="BU313" s="182" t="str">
        <f>IFERROR(VLOOKUP($A313,T_TraitDi[#Data],COLUMN(T_TraitDi[[#This Row],[Rue1]]),FALSE),"")</f>
        <v/>
      </c>
      <c r="BV313" s="173" t="str">
        <f>IFERROR(VLOOKUP($A313,T_TraitDi[#Data],COLUMN(T_TraitDi[[#This Row],[CP1]]),FALSE),"")</f>
        <v/>
      </c>
      <c r="BW313" s="173" t="str">
        <f>IFERROR(VLOOKUP($A313,T_TraitDi[#Data],COLUMN(T_TraitDi[[#This Row],[VILLE1]]),FALSE),"")</f>
        <v/>
      </c>
      <c r="BX313" s="182" t="str">
        <f>IFERROR(VLOOKUP(VLOOKUP($A313,T_TraitDi[#Data],COLUMN(T_TraitDi[[#This Row],[Type2]]),FALSE),TypeTW,2,FALSE),"")</f>
        <v/>
      </c>
      <c r="BY313" s="182" t="str">
        <f>IFERROR(VLOOKUP($A313,T_TraitDi[#Data],COLUMN(T_TraitDi[[#This Row],[Rue2]]),FALSE),"")</f>
        <v/>
      </c>
      <c r="BZ313" s="173" t="str">
        <f>IFERROR(VLOOKUP($A313,T_TraitDi[#Data],COLUMN(T_TraitDi[[#This Row],[CP2]]),FALSE),"")</f>
        <v/>
      </c>
      <c r="CA313" s="173" t="str">
        <f>IFERROR(VLOOKUP($A313,T_TraitDi[#Data],COLUMN(T_TraitDi[[#This Row],[VILLE2]]),FALSE),"")</f>
        <v/>
      </c>
      <c r="CB313"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3" s="166" t="str">
        <f>IFERROR(IF(VLOOKUP(T_BilanSocial[[#This Row],[NumL]],T_TraitDi[#Data],COLUMN(T_TraitDi[[#This Row],[Plan]]),FALSE)="OK","Un planning spécifique de télétravail est annexé à la présente convention.",""),"")</f>
        <v/>
      </c>
      <c r="CD313" s="301"/>
      <c r="CE313" s="164" t="e">
        <f>IF(VLOOKUP(T_BilanSocial[[#This Row],[NumL]],T_suiviDi[#Data],COLUMN(T_suiviDi[[#This Row],[Entité]]),FALSE)="","",VLOOKUP(T_BilanSocial[[#This Row],[NumL]],T_suiviDi[#Data],COLUMN(T_suiviDi[[#This Row],[Entité]]),FALSE))</f>
        <v>#VALUE!</v>
      </c>
      <c r="CF313" s="164" t="str">
        <f>IF(VLOOKUP(T_BilanSocial[[#This Row],[NumL]],T_Commission[#Data],COLUMN(T_Commission[[#This Row],[envoi confirm TW]]),FALSE)="","",VLOOKUP(T_BilanSocial[[#This Row],[NumL]],T_Commission[#Data],COLUMN(T_Commission[[#This Row],[envoi confirm TW]]),FALSE))</f>
        <v>Oui</v>
      </c>
      <c r="CG31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3" s="339" t="str">
        <f>T_BilanSocial[[#This Row],[Nom]]&amp;T_BilanSocial[[#This Row],[Prenom]]</f>
        <v/>
      </c>
      <c r="CI313" s="339">
        <f>VLOOKUP(T_BilanSocial[[#This Row],[NumL]],T_Commission[#Data],COLUMN(T_Commission[Commentaire]),FALSE)</f>
        <v>0</v>
      </c>
      <c r="CJ313" s="339" t="str">
        <f>IF(VLOOKUP(T_BilanSocial[[#This Row],[NumL]],T_Commission[#Data],COLUMN(T_Commission[Encadrant Email]),FALSE)="","",VLOOKUP(T_BilanSocial[[#This Row],[NumL]],T_Commission[#Data],COLUMN(T_Commission[Encadrant Email]),FALSE))</f>
        <v/>
      </c>
      <c r="CK313" s="332" t="str">
        <f>IF(T_BilanSocial[[#This Row],[Final]]&lt;&gt;"",VLOOKUP(T_BilanSocial[[#This Row],[NumL]],T_suiviDi[#Data],COLUMN((T_suiviDi[Statut])),FALSE),"")</f>
        <v/>
      </c>
    </row>
    <row r="314" spans="1:89" s="50" customFormat="1" ht="21" customHeight="1" x14ac:dyDescent="0.25">
      <c r="A314" s="136">
        <v>311</v>
      </c>
      <c r="B314" s="330" t="str">
        <f t="shared" si="56"/>
        <v/>
      </c>
      <c r="C314" s="309"/>
      <c r="D314" s="95" t="e">
        <f>IF(VLOOKUP(T_BilanSocial[[#This Row],[NumL]],T_TraitDi[#Data],COLUMN(T_TraitDi[[#This Row],[WebC]]),FALSE)="","",VLOOKUP(T_BilanSocial[[#This Row],[NumL]],T_TraitDi[#Data],COLUMN(T_TraitDi[[#This Row],[WebC]]),FALSE))</f>
        <v>#VALUE!</v>
      </c>
      <c r="E314" s="95" t="str">
        <f t="shared" si="57"/>
        <v>12 janvier 2021</v>
      </c>
      <c r="F314" s="96" t="str">
        <f>IF(T_BilanSocial[[#This Row],[Final]]&lt;&gt;"",VLOOKUP(T_BilanSocial[[#This Row],[NumL]],T_suiviDi[#Data],COLUMN((T_suiviDi[Civ.])),FALSE),"")</f>
        <v/>
      </c>
      <c r="G314" s="96" t="str">
        <f>IF(T_BilanSocial[[#This Row],[Final]]&lt;&gt;"",VLOOKUP(T_BilanSocial[[#This Row],[NumL]],T_suiviDi[#Data],COLUMN((T_suiviDi[Nom])),FALSE),"")</f>
        <v/>
      </c>
      <c r="H314" s="96" t="str">
        <f>IF(T_BilanSocial[[#This Row],[Final]]&lt;&gt;"",VLOOKUP(T_BilanSocial[[#This Row],[NumL]],T_suiviDi[#Data],COLUMN((T_suiviDi[Prénom])),FALSE),"")</f>
        <v/>
      </c>
      <c r="I314" s="331" t="str">
        <f>IFERROR(VLOOKUP(T_BilanSocial[[#This Row],[Zone_Bilan]],T_P_BilanSocial[#Data],COLUMN(T_P_BilanSocial[[#This Row],[Numero_SIHAM]]),FALSE),"")</f>
        <v/>
      </c>
      <c r="J314" s="331" t="str">
        <f>IFERROR(VLOOKUP(T_BilanSocial[[#This Row],[Zone_Bilan]],T_P_BilanSocial[#Data],COLUMN(T_P_BilanSocial[[#This Row],[Sexe]]),FALSE),"")</f>
        <v/>
      </c>
      <c r="K314" s="294" t="str">
        <f>IFERROR(VLOOKUP(T_BilanSocial[[#This Row],[Zone_Bilan]],T_P_BilanSocial[#Data],COLUMN(T_P_BilanSocial[[#This Row],[Categorie]]),FALSE),"")</f>
        <v/>
      </c>
      <c r="L314" s="331" t="str">
        <f>IFERROR(VLOOKUP(T_BilanSocial[[#This Row],[Zone_Bilan]],T_P_BilanSocial[#Data],COLUMN(T_P_BilanSocial[[#This Row],[Statut]]),FALSE),"")</f>
        <v/>
      </c>
      <c r="M314" s="331" t="str">
        <f>IFERROR(VLOOKUP(T_BilanSocial[[#This Row],[Zone_Bilan]],T_P_BilanSocial[#Data],COLUMN(T_P_BilanSocial[[#This Row],[Filiere]]),FALSE),"")</f>
        <v/>
      </c>
      <c r="N314" s="331" t="e">
        <f>VLOOKUP(T_BilanSocial[[#This Row],[NumL]],T_TraitDi[#Data],COLUMN(T_TraitDi[EXP]),FALSE)</f>
        <v>#N/A</v>
      </c>
      <c r="O314" s="331" t="e">
        <f>VLOOKUP(T_BilanSocial[[#This Row],[NumL]],T_TraitDi[#Data],COLUMN(T_TraitDi[FORM]),FALSE)</f>
        <v>#N/A</v>
      </c>
      <c r="P314" s="96" t="str">
        <f>IF(T_BilanSocial[[#This Row],[Final]]&lt;&gt;"",VLOOKUP(T_BilanSocial[[#This Row],[NumL]],T_suiviDi[#Data],COLUMN((T_suiviDi[Email])),FALSE),"")</f>
        <v/>
      </c>
      <c r="Q314" s="96" t="e">
        <f t="shared" si="58"/>
        <v>#N/A</v>
      </c>
      <c r="R314" s="96" t="e">
        <f t="shared" si="59"/>
        <v>#N/A</v>
      </c>
      <c r="S314" s="96" t="str">
        <f t="shared" si="55"/>
        <v/>
      </c>
      <c r="T314" s="96" t="str">
        <f t="shared" si="60"/>
        <v>01 septembre 2021</v>
      </c>
      <c r="U314" s="96" t="str">
        <f t="shared" si="61"/>
        <v>30 novembre 2021</v>
      </c>
      <c r="V314" s="97">
        <f t="shared" si="62"/>
        <v>44530</v>
      </c>
      <c r="W314" s="176" t="e">
        <f>IF(VLOOKUP(T_BilanSocial[[#This Row],[NumL]],T_TraitDi[#Data],COLUMN(T_TraitDi[[#This Row],[M1]]),FALSE)="","",VLOOKUP(T_BilanSocial[[#This Row],[NumL]],T_TraitDi[#Data],COLUMN(T_TraitDi[[#This Row],[M1]]),FALSE))</f>
        <v>#VALUE!</v>
      </c>
      <c r="X314" s="96" t="str">
        <f t="shared" ref="X314:Y333" si="68">IFERROR(IF(VLOOKUP($A314,TraitementDI,X$3,FALSE)="",""," - "&amp;VLOOKUP($A314,TraitementDI,X$3,FALSE)),"")</f>
        <v/>
      </c>
      <c r="Y314" s="96" t="str">
        <f t="shared" si="68"/>
        <v/>
      </c>
      <c r="Z314" s="96" t="str">
        <f t="shared" si="64"/>
        <v/>
      </c>
      <c r="AA314" s="176" t="e">
        <f>IF(VLOOKUP(T_BilanSocial[[#This Row],[NumL]],T_TraitDi[#Data],COLUMN(T_TraitDi[[#This Row],[M5]]),FALSE)="","",VLOOKUP(T_BilanSocial[[#This Row],[NumL]],T_TraitDi[#Data],COLUMN(T_TraitDi[[#This Row],[M5]]),FALSE))</f>
        <v>#VALUE!</v>
      </c>
      <c r="AB314" s="176" t="e">
        <f>IF(VLOOKUP(T_BilanSocial[[#This Row],[NumL]],T_TraitDi[#Data],COLUMN(T_TraitDi[[#This Row],[M6]]),FALSE)="","",VLOOKUP(T_BilanSocial[[#This Row],[NumL]],T_TraitDi[#Data],COLUMN(T_TraitDi[[#This Row],[M6]]),FALSE))</f>
        <v>#VALUE!</v>
      </c>
      <c r="AC314" s="96" t="e">
        <f t="shared" si="67"/>
        <v>#VALUE!</v>
      </c>
      <c r="AD314" s="97" t="str">
        <f t="shared" si="65"/>
        <v/>
      </c>
      <c r="AE314" s="294" t="e">
        <f>VLOOKUP(T_BilanSocial[[#This Row],[NumL]],T_TraitDi[#Data],COLUMN(T_TraitDi[[#This Row],[Reg Ponct]]),FALSE)</f>
        <v>#VALUE!</v>
      </c>
      <c r="AF314" s="294" t="e">
        <f>VLOOKUP(T_BilanSocial[NumL],T_TraitDi[#Data],COLUMN(T_TraitDi[[#This Row],[Jours flottants]]),FALSE)</f>
        <v>#VALUE!</v>
      </c>
      <c r="AG314" s="97" t="str">
        <f>IFERROR(VLOOKUP(T_BilanSocial[[#This Row],[NumL]],T_TraitDi[#Data],COLUMN(T_TraitDi[[#This Row],[Lundi]]),FALSE),"")</f>
        <v/>
      </c>
      <c r="AH314" s="172" t="e">
        <f>IF(VLOOKUP(T_BilanSocial[[#This Row],[NumL]],T_TraitDi[#Data],COLUMN(T_TraitDi[[#This Row],[Colonne3]]),FALSE)=0,"",TEXT(IFERROR(VLOOKUP(T_BilanSocial[[#This Row],[NumL]],T_TraitDi[#Data],COLUMN(T_TraitDi[[#This Row],[Colonne3]]),FALSE),""),"[hh]:mm"))</f>
        <v>#VALUE!</v>
      </c>
      <c r="AI314" s="172" t="e">
        <f>IF(VLOOKUP(T_BilanSocial[[#This Row],[NumL]],T_TraitDi[#Data],COLUMN(T_TraitDi[[#This Row],[Colonne4]]),FALSE)=0,"",TEXT(IFERROR(VLOOKUP(T_BilanSocial[[#This Row],[NumL]],T_TraitDi[#Data],COLUMN(T_TraitDi[[#This Row],[Colonne4]]),FALSE),""),"[hh]:mm"))</f>
        <v>#VALUE!</v>
      </c>
      <c r="AJ314" s="172" t="e">
        <f>IF(VLOOKUP(T_BilanSocial[[#This Row],[NumL]],T_TraitDi[#Data],COLUMN(T_TraitDi[[#This Row],[Colonne5]]),FALSE)=0,"",TEXT(IFERROR(VLOOKUP(T_BilanSocial[[#This Row],[NumL]],T_TraitDi[#Data],COLUMN(T_TraitDi[[#This Row],[Colonne5]]),FALSE),""),"[hh]:mm"))</f>
        <v>#VALUE!</v>
      </c>
      <c r="AK314" s="172" t="e">
        <f>IF(VLOOKUP(T_BilanSocial[[#This Row],[NumL]],T_TraitDi[#Data],COLUMN(T_TraitDi[[#This Row],[Colonne6]]),FALSE)=0,"",TEXT(IFERROR(VLOOKUP(T_BilanSocial[[#This Row],[NumL]],T_TraitDi[#Data],COLUMN(T_TraitDi[[#This Row],[Colonne6]]),FALSE),""),"[hh]:mm"))</f>
        <v>#VALUE!</v>
      </c>
      <c r="AL314" s="172" t="e">
        <f>IF(VLOOKUP(T_BilanSocial[[#This Row],[NumL]],T_TraitDi[#Data],COLUMN(T_TraitDi[[#This Row],[Colonne7]]),FALSE)=0,"",TEXT(IFERROR(VLOOKUP(T_BilanSocial[[#This Row],[NumL]],T_TraitDi[#Data],COLUMN(T_TraitDi[[#This Row],[Colonne7]]),FALSE),""),"[hh]:mm"))</f>
        <v>#VALUE!</v>
      </c>
      <c r="AM314" s="172" t="e">
        <f>IF(VLOOKUP(T_BilanSocial[[#This Row],[NumL]],T_TraitDi[#Data],COLUMN(T_TraitDi[[#This Row],[Colonne8]]),FALSE)=0,"",TEXT(IFERROR(VLOOKUP(T_BilanSocial[[#This Row],[NumL]],T_TraitDi[#Data],COLUMN(T_TraitDi[[#This Row],[Colonne8]]),FALSE),""),"[hh]:mm"))</f>
        <v>#VALUE!</v>
      </c>
      <c r="AN314" s="172" t="str">
        <f>IFERROR(VLOOKUP(T_BilanSocial[[#This Row],[NumL]],T_TraitDi[#Data],COLUMN(T_TraitDi[[#This Row],[Mardi]]),FALSE),"")</f>
        <v/>
      </c>
      <c r="AO314" s="172" t="e">
        <f>IF(VLOOKUP(T_BilanSocial[[#This Row],[NumL]],T_TraitDi[#Data],COLUMN(T_TraitDi[[#This Row],[Colonne1]]),FALSE)=0,"",TEXT(IFERROR(VLOOKUP(T_BilanSocial[[#This Row],[NumL]],T_TraitDi[#Data],COLUMN(T_TraitDi[[#This Row],[Colonne1]]),FALSE),""),"[hh]:mm"))</f>
        <v>#VALUE!</v>
      </c>
      <c r="AP314" s="172" t="e">
        <f>IF(VLOOKUP(T_BilanSocial[[#This Row],[NumL]],T_TraitDi[#Data],COLUMN(T_TraitDi[[#This Row],[Colonne9]]),FALSE)=0,"",TEXT(IFERROR(VLOOKUP(T_BilanSocial[[#This Row],[NumL]],T_TraitDi[#Data],COLUMN(T_TraitDi[[#This Row],[Colonne9]]),FALSE),""),"[hh]:mm"))</f>
        <v>#VALUE!</v>
      </c>
      <c r="AQ314" s="172" t="str">
        <f>IFERROR(VLOOKUP(T_BilanSocial[[#This Row],[NumL]],T_TraitDi[#Data],COLUMN(T_TraitDi[[#This Row],[Colonne10]]),FALSE),"")</f>
        <v/>
      </c>
      <c r="AR314" s="172" t="e">
        <f>IF(VLOOKUP(T_BilanSocial[[#This Row],[NumL]],T_TraitDi[#Data],COLUMN(T_TraitDi[[#This Row],[Colonne11]]),FALSE)=0,"",TEXT(IFERROR(VLOOKUP(T_BilanSocial[[#This Row],[NumL]],T_TraitDi[#Data],COLUMN(T_TraitDi[[#This Row],[Colonne11]]),FALSE),""),"[hh]:mm"))</f>
        <v>#VALUE!</v>
      </c>
      <c r="AS314" s="172" t="e">
        <f>IF(VLOOKUP(T_BilanSocial[[#This Row],[NumL]],T_TraitDi[#Data],COLUMN(T_TraitDi[[#This Row],[Colonne12]]),FALSE)=0,"",TEXT(IFERROR(VLOOKUP(T_BilanSocial[[#This Row],[NumL]],T_TraitDi[#Data],COLUMN(T_TraitDi[[#This Row],[Colonne12]]),FALSE),""),"[hh]:mm"))</f>
        <v>#VALUE!</v>
      </c>
      <c r="AT314" s="172" t="e">
        <f>IF(VLOOKUP(T_BilanSocial[[#This Row],[NumL]],T_TraitDi[#Data],COLUMN(T_TraitDi[[#This Row],[Colonne14]]),FALSE)=0,"",TEXT(IFERROR(VLOOKUP(T_BilanSocial[[#This Row],[NumL]],T_TraitDi[#Data],COLUMN(T_TraitDi[[#This Row],[Colonne14]]),FALSE),""),"[hh]:mm"))</f>
        <v>#VALUE!</v>
      </c>
      <c r="AU314" s="172" t="str">
        <f>IFERROR(VLOOKUP(T_BilanSocial[[#This Row],[NumL]],T_TraitDi[#Data],COLUMN(T_TraitDi[[#This Row],[Mercredi]]),FALSE),"")</f>
        <v/>
      </c>
      <c r="AV314" s="172" t="e">
        <f>IF(VLOOKUP(T_BilanSocial[[#This Row],[NumL]],T_TraitDi[#Data],COLUMN(T_TraitDi[[#This Row],[Colonne15]]),FALSE)=0,"",TEXT(IFERROR(VLOOKUP(T_BilanSocial[[#This Row],[NumL]],T_TraitDi[#Data],COLUMN(T_TraitDi[[#This Row],[Colonne15]]),FALSE),""),"[hh]:mm"))</f>
        <v>#VALUE!</v>
      </c>
      <c r="AW314" s="172" t="e">
        <f>IF(VLOOKUP(T_BilanSocial[[#This Row],[NumL]],T_TraitDi[#Data],COLUMN(T_TraitDi[[#This Row],[Colonne16]]),FALSE)=0,"",TEXT(IFERROR(VLOOKUP(T_BilanSocial[[#This Row],[NumL]],T_TraitDi[#Data],COLUMN(T_TraitDi[[#This Row],[Colonne16]]),FALSE),""),"[hh]:mm"))</f>
        <v>#VALUE!</v>
      </c>
      <c r="AX314" s="172" t="str">
        <f>IFERROR(VLOOKUP(T_BilanSocial[[#This Row],[NumL]],T_TraitDi[#Data],COLUMN(T_TraitDi[[#This Row],[Colonne17]]),FALSE),"")</f>
        <v/>
      </c>
      <c r="AY314" s="172" t="e">
        <f>IF(VLOOKUP(T_BilanSocial[[#This Row],[NumL]],T_TraitDi[#Data],COLUMN(T_TraitDi[[#This Row],[Colonne18]]),FALSE)=0,"",TEXT(IFERROR(VLOOKUP(T_BilanSocial[[#This Row],[NumL]],T_TraitDi[#Data],COLUMN(T_TraitDi[[#This Row],[Colonne18]]),FALSE),""),"[hh]:mm"))</f>
        <v>#VALUE!</v>
      </c>
      <c r="AZ314" s="172" t="e">
        <f>IF(VLOOKUP(T_BilanSocial[[#This Row],[NumL]],T_TraitDi[#Data],COLUMN(T_TraitDi[[#This Row],[Colonne19]]),FALSE)=0,"",TEXT(IFERROR(VLOOKUP(T_BilanSocial[[#This Row],[NumL]],T_TraitDi[#Data],COLUMN(T_TraitDi[[#This Row],[Colonne19]]),FALSE),""),"[hh]:mm"))</f>
        <v>#VALUE!</v>
      </c>
      <c r="BA314" s="172" t="e">
        <f>IF(VLOOKUP(T_BilanSocial[[#This Row],[NumL]],T_TraitDi[#Data],COLUMN(T_TraitDi[[#This Row],[Colonne20]]),FALSE)=0,"",TEXT(IFERROR(VLOOKUP(T_BilanSocial[[#This Row],[NumL]],T_TraitDi[#Data],COLUMN(T_TraitDi[[#This Row],[Colonne20]]),FALSE),""),"[hh]:mm"))</f>
        <v>#VALUE!</v>
      </c>
      <c r="BB314" s="178" t="str">
        <f>IFERROR(VLOOKUP(T_BilanSocial[[#This Row],[NumL]],T_TraitDi[#Data],COLUMN(T_TraitDi[[#This Row],[Jeudi]]),FALSE),"")</f>
        <v/>
      </c>
      <c r="BC314" s="178" t="e">
        <f>IF(VLOOKUP(T_BilanSocial[[#This Row],[NumL]],T_TraitDi[#Data],COLUMN(T_TraitDi[[#This Row],[Colonne21]]),FALSE)=0,"",TEXT(IFERROR(VLOOKUP(T_BilanSocial[[#This Row],[NumL]],T_TraitDi[#Data],COLUMN(T_TraitDi[[#This Row],[Colonne21]]),FALSE),""),"[hh]:mm"))</f>
        <v>#VALUE!</v>
      </c>
      <c r="BD314" s="178" t="e">
        <f>IF(VLOOKUP(T_BilanSocial[[#This Row],[NumL]],T_TraitDi[#Data],COLUMN(T_TraitDi[[#This Row],[Colonne22]]),FALSE)=0,"",TEXT(IFERROR(VLOOKUP(T_BilanSocial[[#This Row],[NumL]],T_TraitDi[#Data],COLUMN(T_TraitDi[[#This Row],[Colonne22]]),FALSE),""),"[hh]:mm"))</f>
        <v>#VALUE!</v>
      </c>
      <c r="BE314" s="178" t="str">
        <f>IFERROR(VLOOKUP(T_BilanSocial[[#This Row],[NumL]],T_TraitDi[#Data],COLUMN(T_TraitDi[[#This Row],[Colonne23]]),FALSE),"")</f>
        <v/>
      </c>
      <c r="BF314" s="178" t="e">
        <f>IF(VLOOKUP(T_BilanSocial[[#This Row],[NumL]],T_TraitDi[#Data],COLUMN(T_TraitDi[[#This Row],[Colonne24]]),FALSE)=0,"",TEXT(IFERROR(VLOOKUP(T_BilanSocial[[#This Row],[NumL]],T_TraitDi[#Data],COLUMN(T_TraitDi[[#This Row],[Colonne24]]),FALSE),""),"[hh]:mm"))</f>
        <v>#VALUE!</v>
      </c>
      <c r="BG314" s="178" t="e">
        <f>IF(VLOOKUP(T_BilanSocial[[#This Row],[NumL]],T_TraitDi[#Data],COLUMN(T_TraitDi[[#This Row],[Colonne25]]),FALSE)=0,"",TEXT(IFERROR(VLOOKUP(T_BilanSocial[[#This Row],[NumL]],T_TraitDi[#Data],COLUMN(T_TraitDi[[#This Row],[Colonne25]]),FALSE),""),"[hh]:mm"))</f>
        <v>#VALUE!</v>
      </c>
      <c r="BH314" s="178" t="e">
        <f>IF(VLOOKUP(T_BilanSocial[[#This Row],[NumL]],T_TraitDi[#Data],COLUMN(T_TraitDi[[#This Row],[Colonne26]]),FALSE)=0,"",TEXT(IFERROR(VLOOKUP(T_BilanSocial[[#This Row],[NumL]],T_TraitDi[#Data],COLUMN(T_TraitDi[[#This Row],[Colonne26]]),FALSE),""),"[hh]:mm"))</f>
        <v>#VALUE!</v>
      </c>
      <c r="BI314" s="172" t="str">
        <f>IFERROR(VLOOKUP(T_BilanSocial[[#This Row],[NumL]],T_TraitDi[#Data],COLUMN(T_TraitDi[[#This Row],[Vendredi]]),FALSE),"")</f>
        <v/>
      </c>
      <c r="BJ314" s="172" t="e">
        <f>IF(VLOOKUP(T_BilanSocial[[#This Row],[NumL]],T_TraitDi[#Data],COLUMN(T_TraitDi[[#This Row],[Colonne27]]),FALSE)=0,"",TEXT(IFERROR(VLOOKUP(T_BilanSocial[[#This Row],[NumL]],T_TraitDi[#Data],COLUMN(T_TraitDi[[#This Row],[Colonne27]]),FALSE),""),"[hh]:mm"))</f>
        <v>#VALUE!</v>
      </c>
      <c r="BK314" s="172" t="e">
        <f>IF(VLOOKUP(T_BilanSocial[[#This Row],[NumL]],T_TraitDi[#Data],COLUMN(T_TraitDi[[#This Row],[Colonne28]]),FALSE)=0,"",TEXT(IFERROR(VLOOKUP(T_BilanSocial[[#This Row],[NumL]],T_TraitDi[#Data],COLUMN(T_TraitDi[[#This Row],[Colonne28]]),FALSE),""),"[hh]:mm"))</f>
        <v>#VALUE!</v>
      </c>
      <c r="BL314" s="172" t="str">
        <f>IFERROR(VLOOKUP(T_BilanSocial[[#This Row],[NumL]],T_TraitDi[#Data],COLUMN(T_TraitDi[[#This Row],[Colonne29]]),FALSE),"")</f>
        <v/>
      </c>
      <c r="BM314" s="172" t="e">
        <f>IF(VLOOKUP(T_BilanSocial[[#This Row],[NumL]],T_TraitDi[#Data],COLUMN(T_TraitDi[[#This Row],[Colonne30]]),FALSE)=0,"",TEXT(IFERROR(VLOOKUP(T_BilanSocial[[#This Row],[NumL]],T_TraitDi[#Data],COLUMN(T_TraitDi[[#This Row],[Colonne30]]),FALSE),""),"[hh]:mm"))</f>
        <v>#VALUE!</v>
      </c>
      <c r="BN314" s="172" t="e">
        <f>IF(VLOOKUP(T_BilanSocial[[#This Row],[NumL]],T_TraitDi[#Data],COLUMN(T_TraitDi[[#This Row],[Colonne31]]),FALSE)=0,"",TEXT(IFERROR(VLOOKUP(T_BilanSocial[[#This Row],[NumL]],T_TraitDi[#Data],COLUMN(T_TraitDi[[#This Row],[Colonne31]]),FALSE),""),"[hh]:mm"))</f>
        <v>#VALUE!</v>
      </c>
      <c r="BO314" s="172" t="e">
        <f>IF(VLOOKUP(T_BilanSocial[[#This Row],[NumL]],T_TraitDi[#Data],COLUMN(T_TraitDi[[#This Row],[Colonne32]]),FALSE)=0,"",TEXT(IFERROR(VLOOKUP(T_BilanSocial[[#This Row],[NumL]],T_TraitDi[#Data],COLUMN(T_TraitDi[[#This Row],[Colonne32]]),FALSE),""),"[hh]:mm"))</f>
        <v>#VALUE!</v>
      </c>
      <c r="BP314" s="172" t="e">
        <f>VLOOKUP(T_BilanSocial[[#This Row],[NumL]],T_TraitDi[#Data],COLUMN(T_TraitDi[NbJTot]),FALSE)</f>
        <v>#N/A</v>
      </c>
      <c r="BQ314" s="174" t="str">
        <f>IFERROR(VLOOKUP(T_BilanSocial[[#This Row],[NumL]],T_TraitDi[#Data],COLUMN(T_TraitDi[[#This Row],[NbJTW]]),FALSE),"")</f>
        <v/>
      </c>
      <c r="BR314" s="174" t="e">
        <f>IF(VLOOKUP(T_BilanSocial[[#This Row],[NumL]],T_TraitDi[#Data],COLUMN(T_TraitDi[[#This Row],[NbhTW]]),FALSE)=0,"",TEXT(IFERROR(VLOOKUP(T_BilanSocial[[#This Row],[NumL]],T_TraitDi[#Data],COLUMN(T_TraitDi[[#This Row],[NbhTW]]),FALSE),""),"[hh]:mm"))</f>
        <v>#VALUE!</v>
      </c>
      <c r="BS314" s="174" t="e">
        <f>IF(VLOOKUP(T_BilanSocial[[#This Row],[NumL]],T_TraitDi[#Data],COLUMN(T_TraitDi[[#This Row],[Nbhheb]]),FALSE)=0,"",TEXT(IFERROR(VLOOKUP($A314,T_TraitDi[#Data],COLUMN(T_TraitDi[[#This Row],[Nbhheb]]),FALSE),""),"[hh]:mm"))</f>
        <v>#VALUE!</v>
      </c>
      <c r="BT314" s="182" t="str">
        <f>IFERROR(VLOOKUP(VLOOKUP($A314,T_TraitDi[#Data],COLUMN(T_TraitDi[[#This Row],[Type1]]),FALSE),TypeTW,2,FALSE),"")</f>
        <v/>
      </c>
      <c r="BU314" s="182" t="str">
        <f>IFERROR(VLOOKUP($A314,T_TraitDi[#Data],COLUMN(T_TraitDi[[#This Row],[Rue1]]),FALSE),"")</f>
        <v/>
      </c>
      <c r="BV314" s="173" t="str">
        <f>IFERROR(VLOOKUP($A314,T_TraitDi[#Data],COLUMN(T_TraitDi[[#This Row],[CP1]]),FALSE),"")</f>
        <v/>
      </c>
      <c r="BW314" s="173" t="str">
        <f>IFERROR(VLOOKUP($A314,T_TraitDi[#Data],COLUMN(T_TraitDi[[#This Row],[VILLE1]]),FALSE),"")</f>
        <v/>
      </c>
      <c r="BX314" s="182" t="str">
        <f>IFERROR(VLOOKUP(VLOOKUP($A314,T_TraitDi[#Data],COLUMN(T_TraitDi[[#This Row],[Type2]]),FALSE),TypeTW,2,FALSE),"")</f>
        <v/>
      </c>
      <c r="BY314" s="182" t="str">
        <f>IFERROR(VLOOKUP($A314,T_TraitDi[#Data],COLUMN(T_TraitDi[[#This Row],[Rue2]]),FALSE),"")</f>
        <v/>
      </c>
      <c r="BZ314" s="173" t="str">
        <f>IFERROR(VLOOKUP($A314,T_TraitDi[#Data],COLUMN(T_TraitDi[[#This Row],[CP2]]),FALSE),"")</f>
        <v/>
      </c>
      <c r="CA314" s="173" t="str">
        <f>IFERROR(VLOOKUP($A314,T_TraitDi[#Data],COLUMN(T_TraitDi[[#This Row],[VILLE2]]),FALSE),"")</f>
        <v/>
      </c>
      <c r="CB314"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4" s="166" t="str">
        <f>IFERROR(IF(VLOOKUP(T_BilanSocial[[#This Row],[NumL]],T_TraitDi[#Data],COLUMN(T_TraitDi[[#This Row],[Plan]]),FALSE)="OK","Un planning spécifique de télétravail est annexé à la présente convention.",""),"")</f>
        <v/>
      </c>
      <c r="CD314" s="301"/>
      <c r="CE314" s="164" t="e">
        <f>IF(VLOOKUP(T_BilanSocial[[#This Row],[NumL]],T_suiviDi[#Data],COLUMN(T_suiviDi[[#This Row],[Entité]]),FALSE)="","",VLOOKUP(T_BilanSocial[[#This Row],[NumL]],T_suiviDi[#Data],COLUMN(T_suiviDi[[#This Row],[Entité]]),FALSE))</f>
        <v>#VALUE!</v>
      </c>
      <c r="CF314" s="164" t="str">
        <f>IF(VLOOKUP(T_BilanSocial[[#This Row],[NumL]],T_Commission[#Data],COLUMN(T_Commission[[#This Row],[envoi confirm TW]]),FALSE)="","",VLOOKUP(T_BilanSocial[[#This Row],[NumL]],T_Commission[#Data],COLUMN(T_Commission[[#This Row],[envoi confirm TW]]),FALSE))</f>
        <v>Non</v>
      </c>
      <c r="CG31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4" s="339" t="str">
        <f>T_BilanSocial[[#This Row],[Nom]]&amp;T_BilanSocial[[#This Row],[Prenom]]</f>
        <v/>
      </c>
      <c r="CI314" s="339" t="str">
        <f>VLOOKUP(T_BilanSocial[[#This Row],[NumL]],T_Commission[#Data],COLUMN(T_Commission[Commentaire]),FALSE)</f>
        <v>L'agent occupe son poste actuel depuis moins d'un an et n'a pu explorer ses fonctions dans un fonctionnement normal de l'université.</v>
      </c>
      <c r="CJ314" s="339" t="str">
        <f>IF(VLOOKUP(T_BilanSocial[[#This Row],[NumL]],T_Commission[#Data],COLUMN(T_Commission[Encadrant Email]),FALSE)="","",VLOOKUP(T_BilanSocial[[#This Row],[NumL]],T_Commission[#Data],COLUMN(T_Commission[Encadrant Email]),FALSE))</f>
        <v/>
      </c>
      <c r="CK314" s="332" t="str">
        <f>IF(T_BilanSocial[[#This Row],[Final]]&lt;&gt;"",VLOOKUP(T_BilanSocial[[#This Row],[NumL]],T_suiviDi[#Data],COLUMN((T_suiviDi[Statut])),FALSE),"")</f>
        <v/>
      </c>
    </row>
    <row r="315" spans="1:89" s="50" customFormat="1" ht="21" customHeight="1" x14ac:dyDescent="0.25">
      <c r="A315" s="136">
        <v>312</v>
      </c>
      <c r="B315" s="330" t="str">
        <f t="shared" si="56"/>
        <v/>
      </c>
      <c r="C315" s="309"/>
      <c r="D315" s="95" t="e">
        <f>IF(VLOOKUP(T_BilanSocial[[#This Row],[NumL]],T_TraitDi[#Data],COLUMN(T_TraitDi[[#This Row],[WebC]]),FALSE)="","",VLOOKUP(T_BilanSocial[[#This Row],[NumL]],T_TraitDi[#Data],COLUMN(T_TraitDi[[#This Row],[WebC]]),FALSE))</f>
        <v>#VALUE!</v>
      </c>
      <c r="E315" s="95" t="str">
        <f t="shared" si="57"/>
        <v>12 janvier 2021</v>
      </c>
      <c r="F315" s="96" t="str">
        <f>IF(T_BilanSocial[[#This Row],[Final]]&lt;&gt;"",VLOOKUP(T_BilanSocial[[#This Row],[NumL]],T_suiviDi[#Data],COLUMN((T_suiviDi[Civ.])),FALSE),"")</f>
        <v/>
      </c>
      <c r="G315" s="96" t="str">
        <f>IF(T_BilanSocial[[#This Row],[Final]]&lt;&gt;"",VLOOKUP(T_BilanSocial[[#This Row],[NumL]],T_suiviDi[#Data],COLUMN((T_suiviDi[Nom])),FALSE),"")</f>
        <v/>
      </c>
      <c r="H315" s="96" t="str">
        <f>IF(T_BilanSocial[[#This Row],[Final]]&lt;&gt;"",VLOOKUP(T_BilanSocial[[#This Row],[NumL]],T_suiviDi[#Data],COLUMN((T_suiviDi[Prénom])),FALSE),"")</f>
        <v/>
      </c>
      <c r="I315" s="331" t="str">
        <f>IFERROR(VLOOKUP(T_BilanSocial[[#This Row],[Zone_Bilan]],T_P_BilanSocial[#Data],COLUMN(T_P_BilanSocial[[#This Row],[Numero_SIHAM]]),FALSE),"")</f>
        <v/>
      </c>
      <c r="J315" s="331" t="str">
        <f>IFERROR(VLOOKUP(T_BilanSocial[[#This Row],[Zone_Bilan]],T_P_BilanSocial[#Data],COLUMN(T_P_BilanSocial[[#This Row],[Sexe]]),FALSE),"")</f>
        <v/>
      </c>
      <c r="K315" s="294" t="str">
        <f>IFERROR(VLOOKUP(T_BilanSocial[[#This Row],[Zone_Bilan]],T_P_BilanSocial[#Data],COLUMN(T_P_BilanSocial[[#This Row],[Categorie]]),FALSE),"")</f>
        <v/>
      </c>
      <c r="L315" s="331" t="str">
        <f>IFERROR(VLOOKUP(T_BilanSocial[[#This Row],[Zone_Bilan]],T_P_BilanSocial[#Data],COLUMN(T_P_BilanSocial[[#This Row],[Statut]]),FALSE),"")</f>
        <v/>
      </c>
      <c r="M315" s="331" t="str">
        <f>IFERROR(VLOOKUP(T_BilanSocial[[#This Row],[Zone_Bilan]],T_P_BilanSocial[#Data],COLUMN(T_P_BilanSocial[[#This Row],[Filiere]]),FALSE),"")</f>
        <v/>
      </c>
      <c r="N315" s="331" t="e">
        <f>VLOOKUP(T_BilanSocial[[#This Row],[NumL]],T_TraitDi[#Data],COLUMN(T_TraitDi[EXP]),FALSE)</f>
        <v>#N/A</v>
      </c>
      <c r="O315" s="331" t="e">
        <f>VLOOKUP(T_BilanSocial[[#This Row],[NumL]],T_TraitDi[#Data],COLUMN(T_TraitDi[FORM]),FALSE)</f>
        <v>#N/A</v>
      </c>
      <c r="P315" s="96" t="str">
        <f>IF(T_BilanSocial[[#This Row],[Final]]&lt;&gt;"",VLOOKUP(T_BilanSocial[[#This Row],[NumL]],T_suiviDi[#Data],COLUMN((T_suiviDi[Email])),FALSE),"")</f>
        <v/>
      </c>
      <c r="Q315" s="96" t="e">
        <f t="shared" si="58"/>
        <v>#N/A</v>
      </c>
      <c r="R315" s="96" t="e">
        <f t="shared" si="59"/>
        <v>#N/A</v>
      </c>
      <c r="S315" s="96" t="str">
        <f t="shared" si="55"/>
        <v/>
      </c>
      <c r="T315" s="96" t="str">
        <f t="shared" si="60"/>
        <v>01 septembre 2021</v>
      </c>
      <c r="U315" s="96" t="str">
        <f t="shared" si="61"/>
        <v>30 novembre 2021</v>
      </c>
      <c r="V315" s="97">
        <f t="shared" si="62"/>
        <v>44530</v>
      </c>
      <c r="W315" s="176" t="e">
        <f>IF(VLOOKUP(T_BilanSocial[[#This Row],[NumL]],T_TraitDi[#Data],COLUMN(T_TraitDi[[#This Row],[M1]]),FALSE)="","",VLOOKUP(T_BilanSocial[[#This Row],[NumL]],T_TraitDi[#Data],COLUMN(T_TraitDi[[#This Row],[M1]]),FALSE))</f>
        <v>#VALUE!</v>
      </c>
      <c r="X315" s="96" t="str">
        <f t="shared" si="68"/>
        <v/>
      </c>
      <c r="Y315" s="96" t="str">
        <f t="shared" si="68"/>
        <v/>
      </c>
      <c r="Z315" s="96" t="str">
        <f t="shared" si="64"/>
        <v/>
      </c>
      <c r="AA315" s="176" t="e">
        <f>IF(VLOOKUP(T_BilanSocial[[#This Row],[NumL]],T_TraitDi[#Data],COLUMN(T_TraitDi[[#This Row],[M5]]),FALSE)="","",VLOOKUP(T_BilanSocial[[#This Row],[NumL]],T_TraitDi[#Data],COLUMN(T_TraitDi[[#This Row],[M5]]),FALSE))</f>
        <v>#VALUE!</v>
      </c>
      <c r="AB315" s="176" t="e">
        <f>IF(VLOOKUP(T_BilanSocial[[#This Row],[NumL]],T_TraitDi[#Data],COLUMN(T_TraitDi[[#This Row],[M6]]),FALSE)="","",VLOOKUP(T_BilanSocial[[#This Row],[NumL]],T_TraitDi[#Data],COLUMN(T_TraitDi[[#This Row],[M6]]),FALSE))</f>
        <v>#VALUE!</v>
      </c>
      <c r="AC315" s="96" t="e">
        <f t="shared" si="67"/>
        <v>#VALUE!</v>
      </c>
      <c r="AD315" s="97" t="str">
        <f t="shared" si="65"/>
        <v/>
      </c>
      <c r="AE315" s="294" t="e">
        <f>VLOOKUP(T_BilanSocial[[#This Row],[NumL]],T_TraitDi[#Data],COLUMN(T_TraitDi[[#This Row],[Reg Ponct]]),FALSE)</f>
        <v>#VALUE!</v>
      </c>
      <c r="AF315" s="294" t="e">
        <f>VLOOKUP(T_BilanSocial[NumL],T_TraitDi[#Data],COLUMN(T_TraitDi[[#This Row],[Jours flottants]]),FALSE)</f>
        <v>#VALUE!</v>
      </c>
      <c r="AG315" s="97" t="str">
        <f>IFERROR(VLOOKUP(T_BilanSocial[[#This Row],[NumL]],T_TraitDi[#Data],COLUMN(T_TraitDi[[#This Row],[Lundi]]),FALSE),"")</f>
        <v/>
      </c>
      <c r="AH315" s="172" t="e">
        <f>IF(VLOOKUP(T_BilanSocial[[#This Row],[NumL]],T_TraitDi[#Data],COLUMN(T_TraitDi[[#This Row],[Colonne3]]),FALSE)=0,"",TEXT(IFERROR(VLOOKUP(T_BilanSocial[[#This Row],[NumL]],T_TraitDi[#Data],COLUMN(T_TraitDi[[#This Row],[Colonne3]]),FALSE),""),"[hh]:mm"))</f>
        <v>#VALUE!</v>
      </c>
      <c r="AI315" s="172" t="e">
        <f>IF(VLOOKUP(T_BilanSocial[[#This Row],[NumL]],T_TraitDi[#Data],COLUMN(T_TraitDi[[#This Row],[Colonne4]]),FALSE)=0,"",TEXT(IFERROR(VLOOKUP(T_BilanSocial[[#This Row],[NumL]],T_TraitDi[#Data],COLUMN(T_TraitDi[[#This Row],[Colonne4]]),FALSE),""),"[hh]:mm"))</f>
        <v>#VALUE!</v>
      </c>
      <c r="AJ315" s="172" t="e">
        <f>IF(VLOOKUP(T_BilanSocial[[#This Row],[NumL]],T_TraitDi[#Data],COLUMN(T_TraitDi[[#This Row],[Colonne5]]),FALSE)=0,"",TEXT(IFERROR(VLOOKUP(T_BilanSocial[[#This Row],[NumL]],T_TraitDi[#Data],COLUMN(T_TraitDi[[#This Row],[Colonne5]]),FALSE),""),"[hh]:mm"))</f>
        <v>#VALUE!</v>
      </c>
      <c r="AK315" s="172" t="e">
        <f>IF(VLOOKUP(T_BilanSocial[[#This Row],[NumL]],T_TraitDi[#Data],COLUMN(T_TraitDi[[#This Row],[Colonne6]]),FALSE)=0,"",TEXT(IFERROR(VLOOKUP(T_BilanSocial[[#This Row],[NumL]],T_TraitDi[#Data],COLUMN(T_TraitDi[[#This Row],[Colonne6]]),FALSE),""),"[hh]:mm"))</f>
        <v>#VALUE!</v>
      </c>
      <c r="AL315" s="172" t="e">
        <f>IF(VLOOKUP(T_BilanSocial[[#This Row],[NumL]],T_TraitDi[#Data],COLUMN(T_TraitDi[[#This Row],[Colonne7]]),FALSE)=0,"",TEXT(IFERROR(VLOOKUP(T_BilanSocial[[#This Row],[NumL]],T_TraitDi[#Data],COLUMN(T_TraitDi[[#This Row],[Colonne7]]),FALSE),""),"[hh]:mm"))</f>
        <v>#VALUE!</v>
      </c>
      <c r="AM315" s="172" t="e">
        <f>IF(VLOOKUP(T_BilanSocial[[#This Row],[NumL]],T_TraitDi[#Data],COLUMN(T_TraitDi[[#This Row],[Colonne8]]),FALSE)=0,"",TEXT(IFERROR(VLOOKUP(T_BilanSocial[[#This Row],[NumL]],T_TraitDi[#Data],COLUMN(T_TraitDi[[#This Row],[Colonne8]]),FALSE),""),"[hh]:mm"))</f>
        <v>#VALUE!</v>
      </c>
      <c r="AN315" s="172" t="str">
        <f>IFERROR(VLOOKUP(T_BilanSocial[[#This Row],[NumL]],T_TraitDi[#Data],COLUMN(T_TraitDi[[#This Row],[Mardi]]),FALSE),"")</f>
        <v/>
      </c>
      <c r="AO315" s="172" t="e">
        <f>IF(VLOOKUP(T_BilanSocial[[#This Row],[NumL]],T_TraitDi[#Data],COLUMN(T_TraitDi[[#This Row],[Colonne1]]),FALSE)=0,"",TEXT(IFERROR(VLOOKUP(T_BilanSocial[[#This Row],[NumL]],T_TraitDi[#Data],COLUMN(T_TraitDi[[#This Row],[Colonne1]]),FALSE),""),"[hh]:mm"))</f>
        <v>#VALUE!</v>
      </c>
      <c r="AP315" s="172" t="e">
        <f>IF(VLOOKUP(T_BilanSocial[[#This Row],[NumL]],T_TraitDi[#Data],COLUMN(T_TraitDi[[#This Row],[Colonne9]]),FALSE)=0,"",TEXT(IFERROR(VLOOKUP(T_BilanSocial[[#This Row],[NumL]],T_TraitDi[#Data],COLUMN(T_TraitDi[[#This Row],[Colonne9]]),FALSE),""),"[hh]:mm"))</f>
        <v>#VALUE!</v>
      </c>
      <c r="AQ315" s="172" t="str">
        <f>IFERROR(VLOOKUP(T_BilanSocial[[#This Row],[NumL]],T_TraitDi[#Data],COLUMN(T_TraitDi[[#This Row],[Colonne10]]),FALSE),"")</f>
        <v/>
      </c>
      <c r="AR315" s="172" t="e">
        <f>IF(VLOOKUP(T_BilanSocial[[#This Row],[NumL]],T_TraitDi[#Data],COLUMN(T_TraitDi[[#This Row],[Colonne11]]),FALSE)=0,"",TEXT(IFERROR(VLOOKUP(T_BilanSocial[[#This Row],[NumL]],T_TraitDi[#Data],COLUMN(T_TraitDi[[#This Row],[Colonne11]]),FALSE),""),"[hh]:mm"))</f>
        <v>#VALUE!</v>
      </c>
      <c r="AS315" s="172" t="e">
        <f>IF(VLOOKUP(T_BilanSocial[[#This Row],[NumL]],T_TraitDi[#Data],COLUMN(T_TraitDi[[#This Row],[Colonne12]]),FALSE)=0,"",TEXT(IFERROR(VLOOKUP(T_BilanSocial[[#This Row],[NumL]],T_TraitDi[#Data],COLUMN(T_TraitDi[[#This Row],[Colonne12]]),FALSE),""),"[hh]:mm"))</f>
        <v>#VALUE!</v>
      </c>
      <c r="AT315" s="172" t="e">
        <f>IF(VLOOKUP(T_BilanSocial[[#This Row],[NumL]],T_TraitDi[#Data],COLUMN(T_TraitDi[[#This Row],[Colonne14]]),FALSE)=0,"",TEXT(IFERROR(VLOOKUP(T_BilanSocial[[#This Row],[NumL]],T_TraitDi[#Data],COLUMN(T_TraitDi[[#This Row],[Colonne14]]),FALSE),""),"[hh]:mm"))</f>
        <v>#VALUE!</v>
      </c>
      <c r="AU315" s="172" t="str">
        <f>IFERROR(VLOOKUP(T_BilanSocial[[#This Row],[NumL]],T_TraitDi[#Data],COLUMN(T_TraitDi[[#This Row],[Mercredi]]),FALSE),"")</f>
        <v/>
      </c>
      <c r="AV315" s="172" t="e">
        <f>IF(VLOOKUP(T_BilanSocial[[#This Row],[NumL]],T_TraitDi[#Data],COLUMN(T_TraitDi[[#This Row],[Colonne15]]),FALSE)=0,"",TEXT(IFERROR(VLOOKUP(T_BilanSocial[[#This Row],[NumL]],T_TraitDi[#Data],COLUMN(T_TraitDi[[#This Row],[Colonne15]]),FALSE),""),"[hh]:mm"))</f>
        <v>#VALUE!</v>
      </c>
      <c r="AW315" s="172" t="e">
        <f>IF(VLOOKUP(T_BilanSocial[[#This Row],[NumL]],T_TraitDi[#Data],COLUMN(T_TraitDi[[#This Row],[Colonne16]]),FALSE)=0,"",TEXT(IFERROR(VLOOKUP(T_BilanSocial[[#This Row],[NumL]],T_TraitDi[#Data],COLUMN(T_TraitDi[[#This Row],[Colonne16]]),FALSE),""),"[hh]:mm"))</f>
        <v>#VALUE!</v>
      </c>
      <c r="AX315" s="172" t="str">
        <f>IFERROR(VLOOKUP(T_BilanSocial[[#This Row],[NumL]],T_TraitDi[#Data],COLUMN(T_TraitDi[[#This Row],[Colonne17]]),FALSE),"")</f>
        <v/>
      </c>
      <c r="AY315" s="172" t="e">
        <f>IF(VLOOKUP(T_BilanSocial[[#This Row],[NumL]],T_TraitDi[#Data],COLUMN(T_TraitDi[[#This Row],[Colonne18]]),FALSE)=0,"",TEXT(IFERROR(VLOOKUP(T_BilanSocial[[#This Row],[NumL]],T_TraitDi[#Data],COLUMN(T_TraitDi[[#This Row],[Colonne18]]),FALSE),""),"[hh]:mm"))</f>
        <v>#VALUE!</v>
      </c>
      <c r="AZ315" s="172" t="e">
        <f>IF(VLOOKUP(T_BilanSocial[[#This Row],[NumL]],T_TraitDi[#Data],COLUMN(T_TraitDi[[#This Row],[Colonne19]]),FALSE)=0,"",TEXT(IFERROR(VLOOKUP(T_BilanSocial[[#This Row],[NumL]],T_TraitDi[#Data],COLUMN(T_TraitDi[[#This Row],[Colonne19]]),FALSE),""),"[hh]:mm"))</f>
        <v>#VALUE!</v>
      </c>
      <c r="BA315" s="172" t="e">
        <f>IF(VLOOKUP(T_BilanSocial[[#This Row],[NumL]],T_TraitDi[#Data],COLUMN(T_TraitDi[[#This Row],[Colonne20]]),FALSE)=0,"",TEXT(IFERROR(VLOOKUP(T_BilanSocial[[#This Row],[NumL]],T_TraitDi[#Data],COLUMN(T_TraitDi[[#This Row],[Colonne20]]),FALSE),""),"[hh]:mm"))</f>
        <v>#VALUE!</v>
      </c>
      <c r="BB315" s="178" t="str">
        <f>IFERROR(VLOOKUP(T_BilanSocial[[#This Row],[NumL]],T_TraitDi[#Data],COLUMN(T_TraitDi[[#This Row],[Jeudi]]),FALSE),"")</f>
        <v/>
      </c>
      <c r="BC315" s="178" t="e">
        <f>IF(VLOOKUP(T_BilanSocial[[#This Row],[NumL]],T_TraitDi[#Data],COLUMN(T_TraitDi[[#This Row],[Colonne21]]),FALSE)=0,"",TEXT(IFERROR(VLOOKUP(T_BilanSocial[[#This Row],[NumL]],T_TraitDi[#Data],COLUMN(T_TraitDi[[#This Row],[Colonne21]]),FALSE),""),"[hh]:mm"))</f>
        <v>#VALUE!</v>
      </c>
      <c r="BD315" s="178" t="e">
        <f>IF(VLOOKUP(T_BilanSocial[[#This Row],[NumL]],T_TraitDi[#Data],COLUMN(T_TraitDi[[#This Row],[Colonne22]]),FALSE)=0,"",TEXT(IFERROR(VLOOKUP(T_BilanSocial[[#This Row],[NumL]],T_TraitDi[#Data],COLUMN(T_TraitDi[[#This Row],[Colonne22]]),FALSE),""),"[hh]:mm"))</f>
        <v>#VALUE!</v>
      </c>
      <c r="BE315" s="178" t="str">
        <f>IFERROR(VLOOKUP(T_BilanSocial[[#This Row],[NumL]],T_TraitDi[#Data],COLUMN(T_TraitDi[[#This Row],[Colonne23]]),FALSE),"")</f>
        <v/>
      </c>
      <c r="BF315" s="178" t="e">
        <f>IF(VLOOKUP(T_BilanSocial[[#This Row],[NumL]],T_TraitDi[#Data],COLUMN(T_TraitDi[[#This Row],[Colonne24]]),FALSE)=0,"",TEXT(IFERROR(VLOOKUP(T_BilanSocial[[#This Row],[NumL]],T_TraitDi[#Data],COLUMN(T_TraitDi[[#This Row],[Colonne24]]),FALSE),""),"[hh]:mm"))</f>
        <v>#VALUE!</v>
      </c>
      <c r="BG315" s="178" t="e">
        <f>IF(VLOOKUP(T_BilanSocial[[#This Row],[NumL]],T_TraitDi[#Data],COLUMN(T_TraitDi[[#This Row],[Colonne25]]),FALSE)=0,"",TEXT(IFERROR(VLOOKUP(T_BilanSocial[[#This Row],[NumL]],T_TraitDi[#Data],COLUMN(T_TraitDi[[#This Row],[Colonne25]]),FALSE),""),"[hh]:mm"))</f>
        <v>#VALUE!</v>
      </c>
      <c r="BH315" s="178" t="e">
        <f>IF(VLOOKUP(T_BilanSocial[[#This Row],[NumL]],T_TraitDi[#Data],COLUMN(T_TraitDi[[#This Row],[Colonne26]]),FALSE)=0,"",TEXT(IFERROR(VLOOKUP(T_BilanSocial[[#This Row],[NumL]],T_TraitDi[#Data],COLUMN(T_TraitDi[[#This Row],[Colonne26]]),FALSE),""),"[hh]:mm"))</f>
        <v>#VALUE!</v>
      </c>
      <c r="BI315" s="172" t="str">
        <f>IFERROR(VLOOKUP(T_BilanSocial[[#This Row],[NumL]],T_TraitDi[#Data],COLUMN(T_TraitDi[[#This Row],[Vendredi]]),FALSE),"")</f>
        <v/>
      </c>
      <c r="BJ315" s="172" t="e">
        <f>IF(VLOOKUP(T_BilanSocial[[#This Row],[NumL]],T_TraitDi[#Data],COLUMN(T_TraitDi[[#This Row],[Colonne27]]),FALSE)=0,"",TEXT(IFERROR(VLOOKUP(T_BilanSocial[[#This Row],[NumL]],T_TraitDi[#Data],COLUMN(T_TraitDi[[#This Row],[Colonne27]]),FALSE),""),"[hh]:mm"))</f>
        <v>#VALUE!</v>
      </c>
      <c r="BK315" s="172" t="e">
        <f>IF(VLOOKUP(T_BilanSocial[[#This Row],[NumL]],T_TraitDi[#Data],COLUMN(T_TraitDi[[#This Row],[Colonne28]]),FALSE)=0,"",TEXT(IFERROR(VLOOKUP(T_BilanSocial[[#This Row],[NumL]],T_TraitDi[#Data],COLUMN(T_TraitDi[[#This Row],[Colonne28]]),FALSE),""),"[hh]:mm"))</f>
        <v>#VALUE!</v>
      </c>
      <c r="BL315" s="172" t="str">
        <f>IFERROR(VLOOKUP(T_BilanSocial[[#This Row],[NumL]],T_TraitDi[#Data],COLUMN(T_TraitDi[[#This Row],[Colonne29]]),FALSE),"")</f>
        <v/>
      </c>
      <c r="BM315" s="172" t="e">
        <f>IF(VLOOKUP(T_BilanSocial[[#This Row],[NumL]],T_TraitDi[#Data],COLUMN(T_TraitDi[[#This Row],[Colonne30]]),FALSE)=0,"",TEXT(IFERROR(VLOOKUP(T_BilanSocial[[#This Row],[NumL]],T_TraitDi[#Data],COLUMN(T_TraitDi[[#This Row],[Colonne30]]),FALSE),""),"[hh]:mm"))</f>
        <v>#VALUE!</v>
      </c>
      <c r="BN315" s="172" t="e">
        <f>IF(VLOOKUP(T_BilanSocial[[#This Row],[NumL]],T_TraitDi[#Data],COLUMN(T_TraitDi[[#This Row],[Colonne31]]),FALSE)=0,"",TEXT(IFERROR(VLOOKUP(T_BilanSocial[[#This Row],[NumL]],T_TraitDi[#Data],COLUMN(T_TraitDi[[#This Row],[Colonne31]]),FALSE),""),"[hh]:mm"))</f>
        <v>#VALUE!</v>
      </c>
      <c r="BO315" s="172" t="e">
        <f>IF(VLOOKUP(T_BilanSocial[[#This Row],[NumL]],T_TraitDi[#Data],COLUMN(T_TraitDi[[#This Row],[Colonne32]]),FALSE)=0,"",TEXT(IFERROR(VLOOKUP(T_BilanSocial[[#This Row],[NumL]],T_TraitDi[#Data],COLUMN(T_TraitDi[[#This Row],[Colonne32]]),FALSE),""),"[hh]:mm"))</f>
        <v>#VALUE!</v>
      </c>
      <c r="BP315" s="172" t="e">
        <f>VLOOKUP(T_BilanSocial[[#This Row],[NumL]],T_TraitDi[#Data],COLUMN(T_TraitDi[NbJTot]),FALSE)</f>
        <v>#N/A</v>
      </c>
      <c r="BQ315" s="174" t="str">
        <f>IFERROR(VLOOKUP(T_BilanSocial[[#This Row],[NumL]],T_TraitDi[#Data],COLUMN(T_TraitDi[[#This Row],[NbJTW]]),FALSE),"")</f>
        <v/>
      </c>
      <c r="BR315" s="174" t="e">
        <f>IF(VLOOKUP(T_BilanSocial[[#This Row],[NumL]],T_TraitDi[#Data],COLUMN(T_TraitDi[[#This Row],[NbhTW]]),FALSE)=0,"",TEXT(IFERROR(VLOOKUP(T_BilanSocial[[#This Row],[NumL]],T_TraitDi[#Data],COLUMN(T_TraitDi[[#This Row],[NbhTW]]),FALSE),""),"[hh]:mm"))</f>
        <v>#VALUE!</v>
      </c>
      <c r="BS315" s="174" t="e">
        <f>IF(VLOOKUP(T_BilanSocial[[#This Row],[NumL]],T_TraitDi[#Data],COLUMN(T_TraitDi[[#This Row],[Nbhheb]]),FALSE)=0,"",TEXT(IFERROR(VLOOKUP($A315,T_TraitDi[#Data],COLUMN(T_TraitDi[[#This Row],[Nbhheb]]),FALSE),""),"[hh]:mm"))</f>
        <v>#VALUE!</v>
      </c>
      <c r="BT315" s="182" t="str">
        <f>IFERROR(VLOOKUP(VLOOKUP($A315,T_TraitDi[#Data],COLUMN(T_TraitDi[[#This Row],[Type1]]),FALSE),TypeTW,2,FALSE),"")</f>
        <v/>
      </c>
      <c r="BU315" s="182" t="str">
        <f>IFERROR(VLOOKUP($A315,T_TraitDi[#Data],COLUMN(T_TraitDi[[#This Row],[Rue1]]),FALSE),"")</f>
        <v/>
      </c>
      <c r="BV315" s="173" t="str">
        <f>IFERROR(VLOOKUP($A315,T_TraitDi[#Data],COLUMN(T_TraitDi[[#This Row],[CP1]]),FALSE),"")</f>
        <v/>
      </c>
      <c r="BW315" s="173" t="str">
        <f>IFERROR(VLOOKUP($A315,T_TraitDi[#Data],COLUMN(T_TraitDi[[#This Row],[VILLE1]]),FALSE),"")</f>
        <v/>
      </c>
      <c r="BX315" s="182" t="str">
        <f>IFERROR(VLOOKUP(VLOOKUP($A315,T_TraitDi[#Data],COLUMN(T_TraitDi[[#This Row],[Type2]]),FALSE),TypeTW,2,FALSE),"")</f>
        <v/>
      </c>
      <c r="BY315" s="182" t="str">
        <f>IFERROR(VLOOKUP($A315,T_TraitDi[#Data],COLUMN(T_TraitDi[[#This Row],[Rue2]]),FALSE),"")</f>
        <v/>
      </c>
      <c r="BZ315" s="173" t="str">
        <f>IFERROR(VLOOKUP($A315,T_TraitDi[#Data],COLUMN(T_TraitDi[[#This Row],[CP2]]),FALSE),"")</f>
        <v/>
      </c>
      <c r="CA315" s="173" t="str">
        <f>IFERROR(VLOOKUP($A315,T_TraitDi[#Data],COLUMN(T_TraitDi[[#This Row],[VILLE2]]),FALSE),"")</f>
        <v/>
      </c>
      <c r="CB315"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5" s="166" t="str">
        <f>IFERROR(IF(VLOOKUP(T_BilanSocial[[#This Row],[NumL]],T_TraitDi[#Data],COLUMN(T_TraitDi[[#This Row],[Plan]]),FALSE)="OK","Un planning spécifique de télétravail est annexé à la présente convention.",""),"")</f>
        <v/>
      </c>
      <c r="CD315" s="301"/>
      <c r="CE315" s="164" t="e">
        <f>IF(VLOOKUP(T_BilanSocial[[#This Row],[NumL]],T_suiviDi[#Data],COLUMN(T_suiviDi[[#This Row],[Entité]]),FALSE)="","",VLOOKUP(T_BilanSocial[[#This Row],[NumL]],T_suiviDi[#Data],COLUMN(T_suiviDi[[#This Row],[Entité]]),FALSE))</f>
        <v>#VALUE!</v>
      </c>
      <c r="CF315" s="164" t="str">
        <f>IF(VLOOKUP(T_BilanSocial[[#This Row],[NumL]],T_Commission[#Data],COLUMN(T_Commission[[#This Row],[envoi confirm TW]]),FALSE)="","",VLOOKUP(T_BilanSocial[[#This Row],[NumL]],T_Commission[#Data],COLUMN(T_Commission[[#This Row],[envoi confirm TW]]),FALSE))</f>
        <v>Oui</v>
      </c>
      <c r="CG31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5" s="339" t="str">
        <f>T_BilanSocial[[#This Row],[Nom]]&amp;T_BilanSocial[[#This Row],[Prenom]]</f>
        <v/>
      </c>
      <c r="CI315" s="339">
        <f>VLOOKUP(T_BilanSocial[[#This Row],[NumL]],T_Commission[#Data],COLUMN(T_Commission[Commentaire]),FALSE)</f>
        <v>0</v>
      </c>
      <c r="CJ315" s="339" t="str">
        <f>IF(VLOOKUP(T_BilanSocial[[#This Row],[NumL]],T_Commission[#Data],COLUMN(T_Commission[Encadrant Email]),FALSE)="","",VLOOKUP(T_BilanSocial[[#This Row],[NumL]],T_Commission[#Data],COLUMN(T_Commission[Encadrant Email]),FALSE))</f>
        <v/>
      </c>
      <c r="CK315" s="332" t="str">
        <f>IF(T_BilanSocial[[#This Row],[Final]]&lt;&gt;"",VLOOKUP(T_BilanSocial[[#This Row],[NumL]],T_suiviDi[#Data],COLUMN((T_suiviDi[Statut])),FALSE),"")</f>
        <v/>
      </c>
    </row>
    <row r="316" spans="1:89" s="50" customFormat="1" ht="21" customHeight="1" x14ac:dyDescent="0.25">
      <c r="A316" s="136">
        <v>313</v>
      </c>
      <c r="B316" s="330" t="str">
        <f t="shared" si="56"/>
        <v/>
      </c>
      <c r="C316" s="309"/>
      <c r="D316" s="95" t="e">
        <f>IF(VLOOKUP(T_BilanSocial[[#This Row],[NumL]],T_TraitDi[#Data],COLUMN(T_TraitDi[[#This Row],[WebC]]),FALSE)="","",VLOOKUP(T_BilanSocial[[#This Row],[NumL]],T_TraitDi[#Data],COLUMN(T_TraitDi[[#This Row],[WebC]]),FALSE))</f>
        <v>#VALUE!</v>
      </c>
      <c r="E316" s="95" t="str">
        <f t="shared" si="57"/>
        <v>12 janvier 2021</v>
      </c>
      <c r="F316" s="96" t="str">
        <f>IF(T_BilanSocial[[#This Row],[Final]]&lt;&gt;"",VLOOKUP(T_BilanSocial[[#This Row],[NumL]],T_suiviDi[#Data],COLUMN((T_suiviDi[Civ.])),FALSE),"")</f>
        <v/>
      </c>
      <c r="G316" s="96" t="str">
        <f>IF(T_BilanSocial[[#This Row],[Final]]&lt;&gt;"",VLOOKUP(T_BilanSocial[[#This Row],[NumL]],T_suiviDi[#Data],COLUMN((T_suiviDi[Nom])),FALSE),"")</f>
        <v/>
      </c>
      <c r="H316" s="96" t="str">
        <f>IF(T_BilanSocial[[#This Row],[Final]]&lt;&gt;"",VLOOKUP(T_BilanSocial[[#This Row],[NumL]],T_suiviDi[#Data],COLUMN((T_suiviDi[Prénom])),FALSE),"")</f>
        <v/>
      </c>
      <c r="I316" s="331" t="str">
        <f>IFERROR(VLOOKUP(T_BilanSocial[[#This Row],[Zone_Bilan]],T_P_BilanSocial[#Data],COLUMN(T_P_BilanSocial[[#This Row],[Numero_SIHAM]]),FALSE),"")</f>
        <v/>
      </c>
      <c r="J316" s="331" t="str">
        <f>IFERROR(VLOOKUP(T_BilanSocial[[#This Row],[Zone_Bilan]],T_P_BilanSocial[#Data],COLUMN(T_P_BilanSocial[[#This Row],[Sexe]]),FALSE),"")</f>
        <v/>
      </c>
      <c r="K316" s="294" t="str">
        <f>IFERROR(VLOOKUP(T_BilanSocial[[#This Row],[Zone_Bilan]],T_P_BilanSocial[#Data],COLUMN(T_P_BilanSocial[[#This Row],[Categorie]]),FALSE),"")</f>
        <v/>
      </c>
      <c r="L316" s="331" t="str">
        <f>IFERROR(VLOOKUP(T_BilanSocial[[#This Row],[Zone_Bilan]],T_P_BilanSocial[#Data],COLUMN(T_P_BilanSocial[[#This Row],[Statut]]),FALSE),"")</f>
        <v/>
      </c>
      <c r="M316" s="331" t="str">
        <f>IFERROR(VLOOKUP(T_BilanSocial[[#This Row],[Zone_Bilan]],T_P_BilanSocial[#Data],COLUMN(T_P_BilanSocial[[#This Row],[Filiere]]),FALSE),"")</f>
        <v/>
      </c>
      <c r="N316" s="331" t="e">
        <f>VLOOKUP(T_BilanSocial[[#This Row],[NumL]],T_TraitDi[#Data],COLUMN(T_TraitDi[EXP]),FALSE)</f>
        <v>#N/A</v>
      </c>
      <c r="O316" s="331" t="e">
        <f>VLOOKUP(T_BilanSocial[[#This Row],[NumL]],T_TraitDi[#Data],COLUMN(T_TraitDi[FORM]),FALSE)</f>
        <v>#N/A</v>
      </c>
      <c r="P316" s="96" t="str">
        <f>IF(T_BilanSocial[[#This Row],[Final]]&lt;&gt;"",VLOOKUP(T_BilanSocial[[#This Row],[NumL]],T_suiviDi[#Data],COLUMN((T_suiviDi[Email])),FALSE),"")</f>
        <v/>
      </c>
      <c r="Q316" s="96" t="e">
        <f t="shared" si="58"/>
        <v>#N/A</v>
      </c>
      <c r="R316" s="96" t="e">
        <f t="shared" si="59"/>
        <v>#N/A</v>
      </c>
      <c r="S316" s="96" t="str">
        <f t="shared" si="55"/>
        <v/>
      </c>
      <c r="T316" s="96" t="str">
        <f t="shared" si="60"/>
        <v>01 septembre 2021</v>
      </c>
      <c r="U316" s="96" t="str">
        <f t="shared" si="61"/>
        <v>30 novembre 2021</v>
      </c>
      <c r="V316" s="97">
        <f t="shared" si="62"/>
        <v>44530</v>
      </c>
      <c r="W316" s="176" t="e">
        <f>IF(VLOOKUP(T_BilanSocial[[#This Row],[NumL]],T_TraitDi[#Data],COLUMN(T_TraitDi[[#This Row],[M1]]),FALSE)="","",VLOOKUP(T_BilanSocial[[#This Row],[NumL]],T_TraitDi[#Data],COLUMN(T_TraitDi[[#This Row],[M1]]),FALSE))</f>
        <v>#VALUE!</v>
      </c>
      <c r="X316" s="96" t="str">
        <f t="shared" si="68"/>
        <v/>
      </c>
      <c r="Y316" s="96" t="str">
        <f t="shared" si="68"/>
        <v/>
      </c>
      <c r="Z316" s="96" t="str">
        <f t="shared" si="64"/>
        <v/>
      </c>
      <c r="AA316" s="176" t="e">
        <f>IF(VLOOKUP(T_BilanSocial[[#This Row],[NumL]],T_TraitDi[#Data],COLUMN(T_TraitDi[[#This Row],[M5]]),FALSE)="","",VLOOKUP(T_BilanSocial[[#This Row],[NumL]],T_TraitDi[#Data],COLUMN(T_TraitDi[[#This Row],[M5]]),FALSE))</f>
        <v>#VALUE!</v>
      </c>
      <c r="AB316" s="176" t="e">
        <f>IF(VLOOKUP(T_BilanSocial[[#This Row],[NumL]],T_TraitDi[#Data],COLUMN(T_TraitDi[[#This Row],[M6]]),FALSE)="","",VLOOKUP(T_BilanSocial[[#This Row],[NumL]],T_TraitDi[#Data],COLUMN(T_TraitDi[[#This Row],[M6]]),FALSE))</f>
        <v>#VALUE!</v>
      </c>
      <c r="AC316" s="96" t="e">
        <f t="shared" ref="AC316:AC327" si="69">W316&amp;X316&amp;Y316&amp;Z316&amp;AA316&amp;AB316</f>
        <v>#VALUE!</v>
      </c>
      <c r="AD316" s="97" t="str">
        <f t="shared" si="65"/>
        <v/>
      </c>
      <c r="AE316" s="294" t="e">
        <f>VLOOKUP(T_BilanSocial[[#This Row],[NumL]],T_TraitDi[#Data],COLUMN(T_TraitDi[[#This Row],[Reg Ponct]]),FALSE)</f>
        <v>#VALUE!</v>
      </c>
      <c r="AF316" s="294" t="e">
        <f>VLOOKUP(T_BilanSocial[NumL],T_TraitDi[#Data],COLUMN(T_TraitDi[[#This Row],[Jours flottants]]),FALSE)</f>
        <v>#VALUE!</v>
      </c>
      <c r="AG316" s="97" t="str">
        <f>IFERROR(VLOOKUP(T_BilanSocial[[#This Row],[NumL]],T_TraitDi[#Data],COLUMN(T_TraitDi[[#This Row],[Lundi]]),FALSE),"")</f>
        <v/>
      </c>
      <c r="AH316" s="172" t="e">
        <f>IF(VLOOKUP(T_BilanSocial[[#This Row],[NumL]],T_TraitDi[#Data],COLUMN(T_TraitDi[[#This Row],[Colonne3]]),FALSE)=0,"",TEXT(IFERROR(VLOOKUP(T_BilanSocial[[#This Row],[NumL]],T_TraitDi[#Data],COLUMN(T_TraitDi[[#This Row],[Colonne3]]),FALSE),""),"[hh]:mm"))</f>
        <v>#VALUE!</v>
      </c>
      <c r="AI316" s="172" t="e">
        <f>IF(VLOOKUP(T_BilanSocial[[#This Row],[NumL]],T_TraitDi[#Data],COLUMN(T_TraitDi[[#This Row],[Colonne4]]),FALSE)=0,"",TEXT(IFERROR(VLOOKUP(T_BilanSocial[[#This Row],[NumL]],T_TraitDi[#Data],COLUMN(T_TraitDi[[#This Row],[Colonne4]]),FALSE),""),"[hh]:mm"))</f>
        <v>#VALUE!</v>
      </c>
      <c r="AJ316" s="172" t="e">
        <f>IF(VLOOKUP(T_BilanSocial[[#This Row],[NumL]],T_TraitDi[#Data],COLUMN(T_TraitDi[[#This Row],[Colonne5]]),FALSE)=0,"",TEXT(IFERROR(VLOOKUP(T_BilanSocial[[#This Row],[NumL]],T_TraitDi[#Data],COLUMN(T_TraitDi[[#This Row],[Colonne5]]),FALSE),""),"[hh]:mm"))</f>
        <v>#VALUE!</v>
      </c>
      <c r="AK316" s="172" t="e">
        <f>IF(VLOOKUP(T_BilanSocial[[#This Row],[NumL]],T_TraitDi[#Data],COLUMN(T_TraitDi[[#This Row],[Colonne6]]),FALSE)=0,"",TEXT(IFERROR(VLOOKUP(T_BilanSocial[[#This Row],[NumL]],T_TraitDi[#Data],COLUMN(T_TraitDi[[#This Row],[Colonne6]]),FALSE),""),"[hh]:mm"))</f>
        <v>#VALUE!</v>
      </c>
      <c r="AL316" s="172" t="e">
        <f>IF(VLOOKUP(T_BilanSocial[[#This Row],[NumL]],T_TraitDi[#Data],COLUMN(T_TraitDi[[#This Row],[Colonne7]]),FALSE)=0,"",TEXT(IFERROR(VLOOKUP(T_BilanSocial[[#This Row],[NumL]],T_TraitDi[#Data],COLUMN(T_TraitDi[[#This Row],[Colonne7]]),FALSE),""),"[hh]:mm"))</f>
        <v>#VALUE!</v>
      </c>
      <c r="AM316" s="172" t="e">
        <f>IF(VLOOKUP(T_BilanSocial[[#This Row],[NumL]],T_TraitDi[#Data],COLUMN(T_TraitDi[[#This Row],[Colonne8]]),FALSE)=0,"",TEXT(IFERROR(VLOOKUP(T_BilanSocial[[#This Row],[NumL]],T_TraitDi[#Data],COLUMN(T_TraitDi[[#This Row],[Colonne8]]),FALSE),""),"[hh]:mm"))</f>
        <v>#VALUE!</v>
      </c>
      <c r="AN316" s="172" t="str">
        <f>IFERROR(VLOOKUP(T_BilanSocial[[#This Row],[NumL]],T_TraitDi[#Data],COLUMN(T_TraitDi[[#This Row],[Mardi]]),FALSE),"")</f>
        <v/>
      </c>
      <c r="AO316" s="172" t="e">
        <f>IF(VLOOKUP(T_BilanSocial[[#This Row],[NumL]],T_TraitDi[#Data],COLUMN(T_TraitDi[[#This Row],[Colonne1]]),FALSE)=0,"",TEXT(IFERROR(VLOOKUP(T_BilanSocial[[#This Row],[NumL]],T_TraitDi[#Data],COLUMN(T_TraitDi[[#This Row],[Colonne1]]),FALSE),""),"[hh]:mm"))</f>
        <v>#VALUE!</v>
      </c>
      <c r="AP316" s="172" t="e">
        <f>IF(VLOOKUP(T_BilanSocial[[#This Row],[NumL]],T_TraitDi[#Data],COLUMN(T_TraitDi[[#This Row],[Colonne9]]),FALSE)=0,"",TEXT(IFERROR(VLOOKUP(T_BilanSocial[[#This Row],[NumL]],T_TraitDi[#Data],COLUMN(T_TraitDi[[#This Row],[Colonne9]]),FALSE),""),"[hh]:mm"))</f>
        <v>#VALUE!</v>
      </c>
      <c r="AQ316" s="172" t="str">
        <f>IFERROR(VLOOKUP(T_BilanSocial[[#This Row],[NumL]],T_TraitDi[#Data],COLUMN(T_TraitDi[[#This Row],[Colonne10]]),FALSE),"")</f>
        <v/>
      </c>
      <c r="AR316" s="172" t="e">
        <f>IF(VLOOKUP(T_BilanSocial[[#This Row],[NumL]],T_TraitDi[#Data],COLUMN(T_TraitDi[[#This Row],[Colonne11]]),FALSE)=0,"",TEXT(IFERROR(VLOOKUP(T_BilanSocial[[#This Row],[NumL]],T_TraitDi[#Data],COLUMN(T_TraitDi[[#This Row],[Colonne11]]),FALSE),""),"[hh]:mm"))</f>
        <v>#VALUE!</v>
      </c>
      <c r="AS316" s="172" t="e">
        <f>IF(VLOOKUP(T_BilanSocial[[#This Row],[NumL]],T_TraitDi[#Data],COLUMN(T_TraitDi[[#This Row],[Colonne12]]),FALSE)=0,"",TEXT(IFERROR(VLOOKUP(T_BilanSocial[[#This Row],[NumL]],T_TraitDi[#Data],COLUMN(T_TraitDi[[#This Row],[Colonne12]]),FALSE),""),"[hh]:mm"))</f>
        <v>#VALUE!</v>
      </c>
      <c r="AT316" s="172" t="e">
        <f>IF(VLOOKUP(T_BilanSocial[[#This Row],[NumL]],T_TraitDi[#Data],COLUMN(T_TraitDi[[#This Row],[Colonne14]]),FALSE)=0,"",TEXT(IFERROR(VLOOKUP(T_BilanSocial[[#This Row],[NumL]],T_TraitDi[#Data],COLUMN(T_TraitDi[[#This Row],[Colonne14]]),FALSE),""),"[hh]:mm"))</f>
        <v>#VALUE!</v>
      </c>
      <c r="AU316" s="172" t="str">
        <f>IFERROR(VLOOKUP(T_BilanSocial[[#This Row],[NumL]],T_TraitDi[#Data],COLUMN(T_TraitDi[[#This Row],[Mercredi]]),FALSE),"")</f>
        <v/>
      </c>
      <c r="AV316" s="172" t="e">
        <f>IF(VLOOKUP(T_BilanSocial[[#This Row],[NumL]],T_TraitDi[#Data],COLUMN(T_TraitDi[[#This Row],[Colonne15]]),FALSE)=0,"",TEXT(IFERROR(VLOOKUP(T_BilanSocial[[#This Row],[NumL]],T_TraitDi[#Data],COLUMN(T_TraitDi[[#This Row],[Colonne15]]),FALSE),""),"[hh]:mm"))</f>
        <v>#VALUE!</v>
      </c>
      <c r="AW316" s="172" t="e">
        <f>IF(VLOOKUP(T_BilanSocial[[#This Row],[NumL]],T_TraitDi[#Data],COLUMN(T_TraitDi[[#This Row],[Colonne16]]),FALSE)=0,"",TEXT(IFERROR(VLOOKUP(T_BilanSocial[[#This Row],[NumL]],T_TraitDi[#Data],COLUMN(T_TraitDi[[#This Row],[Colonne16]]),FALSE),""),"[hh]:mm"))</f>
        <v>#VALUE!</v>
      </c>
      <c r="AX316" s="172" t="str">
        <f>IFERROR(VLOOKUP(T_BilanSocial[[#This Row],[NumL]],T_TraitDi[#Data],COLUMN(T_TraitDi[[#This Row],[Colonne17]]),FALSE),"")</f>
        <v/>
      </c>
      <c r="AY316" s="172" t="e">
        <f>IF(VLOOKUP(T_BilanSocial[[#This Row],[NumL]],T_TraitDi[#Data],COLUMN(T_TraitDi[[#This Row],[Colonne18]]),FALSE)=0,"",TEXT(IFERROR(VLOOKUP(T_BilanSocial[[#This Row],[NumL]],T_TraitDi[#Data],COLUMN(T_TraitDi[[#This Row],[Colonne18]]),FALSE),""),"[hh]:mm"))</f>
        <v>#VALUE!</v>
      </c>
      <c r="AZ316" s="172" t="e">
        <f>IF(VLOOKUP(T_BilanSocial[[#This Row],[NumL]],T_TraitDi[#Data],COLUMN(T_TraitDi[[#This Row],[Colonne19]]),FALSE)=0,"",TEXT(IFERROR(VLOOKUP(T_BilanSocial[[#This Row],[NumL]],T_TraitDi[#Data],COLUMN(T_TraitDi[[#This Row],[Colonne19]]),FALSE),""),"[hh]:mm"))</f>
        <v>#VALUE!</v>
      </c>
      <c r="BA316" s="172" t="e">
        <f>IF(VLOOKUP(T_BilanSocial[[#This Row],[NumL]],T_TraitDi[#Data],COLUMN(T_TraitDi[[#This Row],[Colonne20]]),FALSE)=0,"",TEXT(IFERROR(VLOOKUP(T_BilanSocial[[#This Row],[NumL]],T_TraitDi[#Data],COLUMN(T_TraitDi[[#This Row],[Colonne20]]),FALSE),""),"[hh]:mm"))</f>
        <v>#VALUE!</v>
      </c>
      <c r="BB316" s="178" t="str">
        <f>IFERROR(VLOOKUP(T_BilanSocial[[#This Row],[NumL]],T_TraitDi[#Data],COLUMN(T_TraitDi[[#This Row],[Jeudi]]),FALSE),"")</f>
        <v/>
      </c>
      <c r="BC316" s="178" t="e">
        <f>IF(VLOOKUP(T_BilanSocial[[#This Row],[NumL]],T_TraitDi[#Data],COLUMN(T_TraitDi[[#This Row],[Colonne21]]),FALSE)=0,"",TEXT(IFERROR(VLOOKUP(T_BilanSocial[[#This Row],[NumL]],T_TraitDi[#Data],COLUMN(T_TraitDi[[#This Row],[Colonne21]]),FALSE),""),"[hh]:mm"))</f>
        <v>#VALUE!</v>
      </c>
      <c r="BD316" s="178" t="e">
        <f>IF(VLOOKUP(T_BilanSocial[[#This Row],[NumL]],T_TraitDi[#Data],COLUMN(T_TraitDi[[#This Row],[Colonne22]]),FALSE)=0,"",TEXT(IFERROR(VLOOKUP(T_BilanSocial[[#This Row],[NumL]],T_TraitDi[#Data],COLUMN(T_TraitDi[[#This Row],[Colonne22]]),FALSE),""),"[hh]:mm"))</f>
        <v>#VALUE!</v>
      </c>
      <c r="BE316" s="178" t="str">
        <f>IFERROR(VLOOKUP(T_BilanSocial[[#This Row],[NumL]],T_TraitDi[#Data],COLUMN(T_TraitDi[[#This Row],[Colonne23]]),FALSE),"")</f>
        <v/>
      </c>
      <c r="BF316" s="178" t="e">
        <f>IF(VLOOKUP(T_BilanSocial[[#This Row],[NumL]],T_TraitDi[#Data],COLUMN(T_TraitDi[[#This Row],[Colonne24]]),FALSE)=0,"",TEXT(IFERROR(VLOOKUP(T_BilanSocial[[#This Row],[NumL]],T_TraitDi[#Data],COLUMN(T_TraitDi[[#This Row],[Colonne24]]),FALSE),""),"[hh]:mm"))</f>
        <v>#VALUE!</v>
      </c>
      <c r="BG316" s="178" t="e">
        <f>IF(VLOOKUP(T_BilanSocial[[#This Row],[NumL]],T_TraitDi[#Data],COLUMN(T_TraitDi[[#This Row],[Colonne25]]),FALSE)=0,"",TEXT(IFERROR(VLOOKUP(T_BilanSocial[[#This Row],[NumL]],T_TraitDi[#Data],COLUMN(T_TraitDi[[#This Row],[Colonne25]]),FALSE),""),"[hh]:mm"))</f>
        <v>#VALUE!</v>
      </c>
      <c r="BH316" s="178" t="e">
        <f>IF(VLOOKUP(T_BilanSocial[[#This Row],[NumL]],T_TraitDi[#Data],COLUMN(T_TraitDi[[#This Row],[Colonne26]]),FALSE)=0,"",TEXT(IFERROR(VLOOKUP(T_BilanSocial[[#This Row],[NumL]],T_TraitDi[#Data],COLUMN(T_TraitDi[[#This Row],[Colonne26]]),FALSE),""),"[hh]:mm"))</f>
        <v>#VALUE!</v>
      </c>
      <c r="BI316" s="172" t="str">
        <f>IFERROR(VLOOKUP(T_BilanSocial[[#This Row],[NumL]],T_TraitDi[#Data],COLUMN(T_TraitDi[[#This Row],[Vendredi]]),FALSE),"")</f>
        <v/>
      </c>
      <c r="BJ316" s="172" t="e">
        <f>IF(VLOOKUP(T_BilanSocial[[#This Row],[NumL]],T_TraitDi[#Data],COLUMN(T_TraitDi[[#This Row],[Colonne27]]),FALSE)=0,"",TEXT(IFERROR(VLOOKUP(T_BilanSocial[[#This Row],[NumL]],T_TraitDi[#Data],COLUMN(T_TraitDi[[#This Row],[Colonne27]]),FALSE),""),"[hh]:mm"))</f>
        <v>#VALUE!</v>
      </c>
      <c r="BK316" s="172" t="e">
        <f>IF(VLOOKUP(T_BilanSocial[[#This Row],[NumL]],T_TraitDi[#Data],COLUMN(T_TraitDi[[#This Row],[Colonne28]]),FALSE)=0,"",TEXT(IFERROR(VLOOKUP(T_BilanSocial[[#This Row],[NumL]],T_TraitDi[#Data],COLUMN(T_TraitDi[[#This Row],[Colonne28]]),FALSE),""),"[hh]:mm"))</f>
        <v>#VALUE!</v>
      </c>
      <c r="BL316" s="172" t="str">
        <f>IFERROR(VLOOKUP(T_BilanSocial[[#This Row],[NumL]],T_TraitDi[#Data],COLUMN(T_TraitDi[[#This Row],[Colonne29]]),FALSE),"")</f>
        <v/>
      </c>
      <c r="BM316" s="172" t="e">
        <f>IF(VLOOKUP(T_BilanSocial[[#This Row],[NumL]],T_TraitDi[#Data],COLUMN(T_TraitDi[[#This Row],[Colonne30]]),FALSE)=0,"",TEXT(IFERROR(VLOOKUP(T_BilanSocial[[#This Row],[NumL]],T_TraitDi[#Data],COLUMN(T_TraitDi[[#This Row],[Colonne30]]),FALSE),""),"[hh]:mm"))</f>
        <v>#VALUE!</v>
      </c>
      <c r="BN316" s="172" t="e">
        <f>IF(VLOOKUP(T_BilanSocial[[#This Row],[NumL]],T_TraitDi[#Data],COLUMN(T_TraitDi[[#This Row],[Colonne31]]),FALSE)=0,"",TEXT(IFERROR(VLOOKUP(T_BilanSocial[[#This Row],[NumL]],T_TraitDi[#Data],COLUMN(T_TraitDi[[#This Row],[Colonne31]]),FALSE),""),"[hh]:mm"))</f>
        <v>#VALUE!</v>
      </c>
      <c r="BO316" s="172" t="e">
        <f>IF(VLOOKUP(T_BilanSocial[[#This Row],[NumL]],T_TraitDi[#Data],COLUMN(T_TraitDi[[#This Row],[Colonne32]]),FALSE)=0,"",TEXT(IFERROR(VLOOKUP(T_BilanSocial[[#This Row],[NumL]],T_TraitDi[#Data],COLUMN(T_TraitDi[[#This Row],[Colonne32]]),FALSE),""),"[hh]:mm"))</f>
        <v>#VALUE!</v>
      </c>
      <c r="BP316" s="172" t="e">
        <f>VLOOKUP(T_BilanSocial[[#This Row],[NumL]],T_TraitDi[#Data],COLUMN(T_TraitDi[NbJTot]),FALSE)</f>
        <v>#N/A</v>
      </c>
      <c r="BQ316" s="174" t="str">
        <f>IFERROR(VLOOKUP(T_BilanSocial[[#This Row],[NumL]],T_TraitDi[#Data],COLUMN(T_TraitDi[[#This Row],[NbJTW]]),FALSE),"")</f>
        <v/>
      </c>
      <c r="BR316" s="174" t="e">
        <f>IF(VLOOKUP(T_BilanSocial[[#This Row],[NumL]],T_TraitDi[#Data],COLUMN(T_TraitDi[[#This Row],[NbhTW]]),FALSE)=0,"",TEXT(IFERROR(VLOOKUP(T_BilanSocial[[#This Row],[NumL]],T_TraitDi[#Data],COLUMN(T_TraitDi[[#This Row],[NbhTW]]),FALSE),""),"[hh]:mm"))</f>
        <v>#VALUE!</v>
      </c>
      <c r="BS316" s="174" t="e">
        <f>IF(VLOOKUP(T_BilanSocial[[#This Row],[NumL]],T_TraitDi[#Data],COLUMN(T_TraitDi[[#This Row],[Nbhheb]]),FALSE)=0,"",TEXT(IFERROR(VLOOKUP($A316,T_TraitDi[#Data],COLUMN(T_TraitDi[[#This Row],[Nbhheb]]),FALSE),""),"[hh]:mm"))</f>
        <v>#VALUE!</v>
      </c>
      <c r="BT316" s="182" t="str">
        <f>IFERROR(VLOOKUP(VLOOKUP($A316,T_TraitDi[#Data],COLUMN(T_TraitDi[[#This Row],[Type1]]),FALSE),TypeTW,2,FALSE),"")</f>
        <v/>
      </c>
      <c r="BU316" s="182" t="str">
        <f>IFERROR(VLOOKUP($A316,T_TraitDi[#Data],COLUMN(T_TraitDi[[#This Row],[Rue1]]),FALSE),"")</f>
        <v/>
      </c>
      <c r="BV316" s="173" t="str">
        <f>IFERROR(VLOOKUP($A316,T_TraitDi[#Data],COLUMN(T_TraitDi[[#This Row],[CP1]]),FALSE),"")</f>
        <v/>
      </c>
      <c r="BW316" s="173" t="str">
        <f>IFERROR(VLOOKUP($A316,T_TraitDi[#Data],COLUMN(T_TraitDi[[#This Row],[VILLE1]]),FALSE),"")</f>
        <v/>
      </c>
      <c r="BX316" s="182" t="str">
        <f>IFERROR(VLOOKUP(VLOOKUP($A316,T_TraitDi[#Data],COLUMN(T_TraitDi[[#This Row],[Type2]]),FALSE),TypeTW,2,FALSE),"")</f>
        <v/>
      </c>
      <c r="BY316" s="182" t="str">
        <f>IFERROR(VLOOKUP($A316,T_TraitDi[#Data],COLUMN(T_TraitDi[[#This Row],[Rue2]]),FALSE),"")</f>
        <v/>
      </c>
      <c r="BZ316" s="173" t="str">
        <f>IFERROR(VLOOKUP($A316,T_TraitDi[#Data],COLUMN(T_TraitDi[[#This Row],[CP2]]),FALSE),"")</f>
        <v/>
      </c>
      <c r="CA316" s="173" t="str">
        <f>IFERROR(VLOOKUP($A316,T_TraitDi[#Data],COLUMN(T_TraitDi[[#This Row],[VILLE2]]),FALSE),"")</f>
        <v/>
      </c>
      <c r="CB316"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6" s="166" t="str">
        <f>IFERROR(IF(VLOOKUP(T_BilanSocial[[#This Row],[NumL]],T_TraitDi[#Data],COLUMN(T_TraitDi[[#This Row],[Plan]]),FALSE)="OK","Un planning spécifique de télétravail est annexé à la présente convention.",""),"")</f>
        <v/>
      </c>
      <c r="CD316" s="301"/>
      <c r="CE316" s="164" t="e">
        <f>IF(VLOOKUP(T_BilanSocial[[#This Row],[NumL]],T_suiviDi[#Data],COLUMN(T_suiviDi[[#This Row],[Entité]]),FALSE)="","",VLOOKUP(T_BilanSocial[[#This Row],[NumL]],T_suiviDi[#Data],COLUMN(T_suiviDi[[#This Row],[Entité]]),FALSE))</f>
        <v>#VALUE!</v>
      </c>
      <c r="CF316" s="164" t="str">
        <f>IF(VLOOKUP(T_BilanSocial[[#This Row],[NumL]],T_Commission[#Data],COLUMN(T_Commission[[#This Row],[envoi confirm TW]]),FALSE)="","",VLOOKUP(T_BilanSocial[[#This Row],[NumL]],T_Commission[#Data],COLUMN(T_Commission[[#This Row],[envoi confirm TW]]),FALSE))</f>
        <v>Non</v>
      </c>
      <c r="CG31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6" s="339" t="str">
        <f>T_BilanSocial[[#This Row],[Nom]]&amp;T_BilanSocial[[#This Row],[Prenom]]</f>
        <v/>
      </c>
      <c r="CI316" s="339" t="str">
        <f>VLOOKUP(T_BilanSocial[[#This Row],[NumL]],T_Commission[#Data],COLUMN(T_Commission[Commentaire]),FALSE)</f>
        <v>Demande accordée sous réserve de fourniture des pièces demandées.</v>
      </c>
      <c r="CJ316" s="339" t="str">
        <f>IF(VLOOKUP(T_BilanSocial[[#This Row],[NumL]],T_Commission[#Data],COLUMN(T_Commission[Encadrant Email]),FALSE)="","",VLOOKUP(T_BilanSocial[[#This Row],[NumL]],T_Commission[#Data],COLUMN(T_Commission[Encadrant Email]),FALSE))</f>
        <v/>
      </c>
      <c r="CK316" s="332" t="str">
        <f>IF(T_BilanSocial[[#This Row],[Final]]&lt;&gt;"",VLOOKUP(T_BilanSocial[[#This Row],[NumL]],T_suiviDi[#Data],COLUMN((T_suiviDi[Statut])),FALSE),"")</f>
        <v/>
      </c>
    </row>
    <row r="317" spans="1:89" s="50" customFormat="1" ht="21" customHeight="1" x14ac:dyDescent="0.25">
      <c r="A317" s="136">
        <v>314</v>
      </c>
      <c r="B317" s="330" t="str">
        <f t="shared" si="56"/>
        <v/>
      </c>
      <c r="C317" s="309"/>
      <c r="D317" s="95" t="e">
        <f>IF(VLOOKUP(T_BilanSocial[[#This Row],[NumL]],T_TraitDi[#Data],COLUMN(T_TraitDi[[#This Row],[WebC]]),FALSE)="","",VLOOKUP(T_BilanSocial[[#This Row],[NumL]],T_TraitDi[#Data],COLUMN(T_TraitDi[[#This Row],[WebC]]),FALSE))</f>
        <v>#VALUE!</v>
      </c>
      <c r="E317" s="95" t="str">
        <f t="shared" si="57"/>
        <v>12 janvier 2021</v>
      </c>
      <c r="F317" s="96" t="str">
        <f>IF(T_BilanSocial[[#This Row],[Final]]&lt;&gt;"",VLOOKUP(T_BilanSocial[[#This Row],[NumL]],T_suiviDi[#Data],COLUMN((T_suiviDi[Civ.])),FALSE),"")</f>
        <v/>
      </c>
      <c r="G317" s="96" t="str">
        <f>IF(T_BilanSocial[[#This Row],[Final]]&lt;&gt;"",VLOOKUP(T_BilanSocial[[#This Row],[NumL]],T_suiviDi[#Data],COLUMN((T_suiviDi[Nom])),FALSE),"")</f>
        <v/>
      </c>
      <c r="H317" s="96" t="str">
        <f>IF(T_BilanSocial[[#This Row],[Final]]&lt;&gt;"",VLOOKUP(T_BilanSocial[[#This Row],[NumL]],T_suiviDi[#Data],COLUMN((T_suiviDi[Prénom])),FALSE),"")</f>
        <v/>
      </c>
      <c r="I317" s="331" t="str">
        <f>IFERROR(VLOOKUP(T_BilanSocial[[#This Row],[Zone_Bilan]],T_P_BilanSocial[#Data],COLUMN(T_P_BilanSocial[[#This Row],[Numero_SIHAM]]),FALSE),"")</f>
        <v/>
      </c>
      <c r="J317" s="331" t="str">
        <f>IFERROR(VLOOKUP(T_BilanSocial[[#This Row],[Zone_Bilan]],T_P_BilanSocial[#Data],COLUMN(T_P_BilanSocial[[#This Row],[Sexe]]),FALSE),"")</f>
        <v/>
      </c>
      <c r="K317" s="294" t="str">
        <f>IFERROR(VLOOKUP(T_BilanSocial[[#This Row],[Zone_Bilan]],T_P_BilanSocial[#Data],COLUMN(T_P_BilanSocial[[#This Row],[Categorie]]),FALSE),"")</f>
        <v/>
      </c>
      <c r="L317" s="331" t="str">
        <f>IFERROR(VLOOKUP(T_BilanSocial[[#This Row],[Zone_Bilan]],T_P_BilanSocial[#Data],COLUMN(T_P_BilanSocial[[#This Row],[Statut]]),FALSE),"")</f>
        <v/>
      </c>
      <c r="M317" s="331" t="str">
        <f>IFERROR(VLOOKUP(T_BilanSocial[[#This Row],[Zone_Bilan]],T_P_BilanSocial[#Data],COLUMN(T_P_BilanSocial[[#This Row],[Filiere]]),FALSE),"")</f>
        <v/>
      </c>
      <c r="N317" s="331" t="str">
        <f>VLOOKUP(T_BilanSocial[[#This Row],[NumL]],T_TraitDi[#Data],COLUMN(T_TraitDi[EXP]),FALSE)</f>
        <v>O</v>
      </c>
      <c r="O317" s="331" t="str">
        <f>VLOOKUP(T_BilanSocial[[#This Row],[NumL]],T_TraitDi[#Data],COLUMN(T_TraitDi[FORM]),FALSE)</f>
        <v>O</v>
      </c>
      <c r="P317" s="96" t="str">
        <f>IF(T_BilanSocial[[#This Row],[Final]]&lt;&gt;"",VLOOKUP(T_BilanSocial[[#This Row],[NumL]],T_suiviDi[#Data],COLUMN((T_suiviDi[Email])),FALSE),"")</f>
        <v/>
      </c>
      <c r="Q317" s="96" t="str">
        <f t="shared" si="58"/>
        <v>Pôle examen Licences MSH-TQM</v>
      </c>
      <c r="R317" s="96" t="str">
        <f t="shared" si="59"/>
        <v xml:space="preserve">Coordinatrice pôle examen Licences MSH-TQM </v>
      </c>
      <c r="S317" s="96" t="str">
        <f t="shared" si="55"/>
        <v/>
      </c>
      <c r="T317" s="96" t="str">
        <f t="shared" si="60"/>
        <v>01 septembre 2021</v>
      </c>
      <c r="U317" s="96" t="str">
        <f t="shared" si="61"/>
        <v>30 novembre 2021</v>
      </c>
      <c r="V317" s="97">
        <f t="shared" si="62"/>
        <v>44530</v>
      </c>
      <c r="W317" s="176" t="e">
        <f>IF(VLOOKUP(T_BilanSocial[[#This Row],[NumL]],T_TraitDi[#Data],COLUMN(T_TraitDi[[#This Row],[M1]]),FALSE)="","",VLOOKUP(T_BilanSocial[[#This Row],[NumL]],T_TraitDi[#Data],COLUMN(T_TraitDi[[#This Row],[M1]]),FALSE))</f>
        <v>#VALUE!</v>
      </c>
      <c r="X317" s="96" t="str">
        <f t="shared" si="68"/>
        <v xml:space="preserve"> - Suivi des mails </v>
      </c>
      <c r="Y317" s="96" t="str">
        <f t="shared" si="68"/>
        <v xml:space="preserve"> - Gestion des examens</v>
      </c>
      <c r="Z317" s="96" t="str">
        <f t="shared" si="64"/>
        <v/>
      </c>
      <c r="AA317" s="176" t="e">
        <f>IF(VLOOKUP(T_BilanSocial[[#This Row],[NumL]],T_TraitDi[#Data],COLUMN(T_TraitDi[[#This Row],[M5]]),FALSE)="","",VLOOKUP(T_BilanSocial[[#This Row],[NumL]],T_TraitDi[#Data],COLUMN(T_TraitDi[[#This Row],[M5]]),FALSE))</f>
        <v>#VALUE!</v>
      </c>
      <c r="AB317" s="176" t="e">
        <f>IF(VLOOKUP(T_BilanSocial[[#This Row],[NumL]],T_TraitDi[#Data],COLUMN(T_TraitDi[[#This Row],[M6]]),FALSE)="","",VLOOKUP(T_BilanSocial[[#This Row],[NumL]],T_TraitDi[#Data],COLUMN(T_TraitDi[[#This Row],[M6]]),FALSE))</f>
        <v>#VALUE!</v>
      </c>
      <c r="AC317" s="96" t="e">
        <f t="shared" si="69"/>
        <v>#VALUE!</v>
      </c>
      <c r="AD317" s="97" t="str">
        <f t="shared" si="65"/>
        <v>100%</v>
      </c>
      <c r="AE317" s="294" t="e">
        <f>VLOOKUP(T_BilanSocial[[#This Row],[NumL]],T_TraitDi[#Data],COLUMN(T_TraitDi[[#This Row],[Reg Ponct]]),FALSE)</f>
        <v>#VALUE!</v>
      </c>
      <c r="AF317" s="294" t="e">
        <f>VLOOKUP(T_BilanSocial[NumL],T_TraitDi[#Data],COLUMN(T_TraitDi[[#This Row],[Jours flottants]]),FALSE)</f>
        <v>#VALUE!</v>
      </c>
      <c r="AG317" s="97" t="str">
        <f>IFERROR(VLOOKUP(T_BilanSocial[[#This Row],[NumL]],T_TraitDi[#Data],COLUMN(T_TraitDi[[#This Row],[Lundi]]),FALSE),"")</f>
        <v/>
      </c>
      <c r="AH317" s="172" t="e">
        <f>IF(VLOOKUP(T_BilanSocial[[#This Row],[NumL]],T_TraitDi[#Data],COLUMN(T_TraitDi[[#This Row],[Colonne3]]),FALSE)=0,"",TEXT(IFERROR(VLOOKUP(T_BilanSocial[[#This Row],[NumL]],T_TraitDi[#Data],COLUMN(T_TraitDi[[#This Row],[Colonne3]]),FALSE),""),"[hh]:mm"))</f>
        <v>#VALUE!</v>
      </c>
      <c r="AI317" s="172" t="e">
        <f>IF(VLOOKUP(T_BilanSocial[[#This Row],[NumL]],T_TraitDi[#Data],COLUMN(T_TraitDi[[#This Row],[Colonne4]]),FALSE)=0,"",TEXT(IFERROR(VLOOKUP(T_BilanSocial[[#This Row],[NumL]],T_TraitDi[#Data],COLUMN(T_TraitDi[[#This Row],[Colonne4]]),FALSE),""),"[hh]:mm"))</f>
        <v>#VALUE!</v>
      </c>
      <c r="AJ317" s="172" t="e">
        <f>IF(VLOOKUP(T_BilanSocial[[#This Row],[NumL]],T_TraitDi[#Data],COLUMN(T_TraitDi[[#This Row],[Colonne5]]),FALSE)=0,"",TEXT(IFERROR(VLOOKUP(T_BilanSocial[[#This Row],[NumL]],T_TraitDi[#Data],COLUMN(T_TraitDi[[#This Row],[Colonne5]]),FALSE),""),"[hh]:mm"))</f>
        <v>#VALUE!</v>
      </c>
      <c r="AK317" s="172" t="e">
        <f>IF(VLOOKUP(T_BilanSocial[[#This Row],[NumL]],T_TraitDi[#Data],COLUMN(T_TraitDi[[#This Row],[Colonne6]]),FALSE)=0,"",TEXT(IFERROR(VLOOKUP(T_BilanSocial[[#This Row],[NumL]],T_TraitDi[#Data],COLUMN(T_TraitDi[[#This Row],[Colonne6]]),FALSE),""),"[hh]:mm"))</f>
        <v>#VALUE!</v>
      </c>
      <c r="AL317" s="172" t="e">
        <f>IF(VLOOKUP(T_BilanSocial[[#This Row],[NumL]],T_TraitDi[#Data],COLUMN(T_TraitDi[[#This Row],[Colonne7]]),FALSE)=0,"",TEXT(IFERROR(VLOOKUP(T_BilanSocial[[#This Row],[NumL]],T_TraitDi[#Data],COLUMN(T_TraitDi[[#This Row],[Colonne7]]),FALSE),""),"[hh]:mm"))</f>
        <v>#VALUE!</v>
      </c>
      <c r="AM317" s="172" t="e">
        <f>IF(VLOOKUP(T_BilanSocial[[#This Row],[NumL]],T_TraitDi[#Data],COLUMN(T_TraitDi[[#This Row],[Colonne8]]),FALSE)=0,"",TEXT(IFERROR(VLOOKUP(T_BilanSocial[[#This Row],[NumL]],T_TraitDi[#Data],COLUMN(T_TraitDi[[#This Row],[Colonne8]]),FALSE),""),"[hh]:mm"))</f>
        <v>#VALUE!</v>
      </c>
      <c r="AN317" s="172" t="str">
        <f>IFERROR(VLOOKUP(T_BilanSocial[[#This Row],[NumL]],T_TraitDi[#Data],COLUMN(T_TraitDi[[#This Row],[Mardi]]),FALSE),"")</f>
        <v/>
      </c>
      <c r="AO317" s="172" t="e">
        <f>IF(VLOOKUP(T_BilanSocial[[#This Row],[NumL]],T_TraitDi[#Data],COLUMN(T_TraitDi[[#This Row],[Colonne1]]),FALSE)=0,"",TEXT(IFERROR(VLOOKUP(T_BilanSocial[[#This Row],[NumL]],T_TraitDi[#Data],COLUMN(T_TraitDi[[#This Row],[Colonne1]]),FALSE),""),"[hh]:mm"))</f>
        <v>#VALUE!</v>
      </c>
      <c r="AP317" s="172" t="e">
        <f>IF(VLOOKUP(T_BilanSocial[[#This Row],[NumL]],T_TraitDi[#Data],COLUMN(T_TraitDi[[#This Row],[Colonne9]]),FALSE)=0,"",TEXT(IFERROR(VLOOKUP(T_BilanSocial[[#This Row],[NumL]],T_TraitDi[#Data],COLUMN(T_TraitDi[[#This Row],[Colonne9]]),FALSE),""),"[hh]:mm"))</f>
        <v>#VALUE!</v>
      </c>
      <c r="AQ317" s="172" t="str">
        <f>IFERROR(VLOOKUP(T_BilanSocial[[#This Row],[NumL]],T_TraitDi[#Data],COLUMN(T_TraitDi[[#This Row],[Colonne10]]),FALSE),"")</f>
        <v/>
      </c>
      <c r="AR317" s="172" t="e">
        <f>IF(VLOOKUP(T_BilanSocial[[#This Row],[NumL]],T_TraitDi[#Data],COLUMN(T_TraitDi[[#This Row],[Colonne11]]),FALSE)=0,"",TEXT(IFERROR(VLOOKUP(T_BilanSocial[[#This Row],[NumL]],T_TraitDi[#Data],COLUMN(T_TraitDi[[#This Row],[Colonne11]]),FALSE),""),"[hh]:mm"))</f>
        <v>#VALUE!</v>
      </c>
      <c r="AS317" s="172" t="e">
        <f>IF(VLOOKUP(T_BilanSocial[[#This Row],[NumL]],T_TraitDi[#Data],COLUMN(T_TraitDi[[#This Row],[Colonne12]]),FALSE)=0,"",TEXT(IFERROR(VLOOKUP(T_BilanSocial[[#This Row],[NumL]],T_TraitDi[#Data],COLUMN(T_TraitDi[[#This Row],[Colonne12]]),FALSE),""),"[hh]:mm"))</f>
        <v>#VALUE!</v>
      </c>
      <c r="AT317" s="172" t="e">
        <f>IF(VLOOKUP(T_BilanSocial[[#This Row],[NumL]],T_TraitDi[#Data],COLUMN(T_TraitDi[[#This Row],[Colonne14]]),FALSE)=0,"",TEXT(IFERROR(VLOOKUP(T_BilanSocial[[#This Row],[NumL]],T_TraitDi[#Data],COLUMN(T_TraitDi[[#This Row],[Colonne14]]),FALSE),""),"[hh]:mm"))</f>
        <v>#VALUE!</v>
      </c>
      <c r="AU317" s="172" t="str">
        <f>IFERROR(VLOOKUP(T_BilanSocial[[#This Row],[NumL]],T_TraitDi[#Data],COLUMN(T_TraitDi[[#This Row],[Mercredi]]),FALSE),"")</f>
        <v/>
      </c>
      <c r="AV317" s="172" t="e">
        <f>IF(VLOOKUP(T_BilanSocial[[#This Row],[NumL]],T_TraitDi[#Data],COLUMN(T_TraitDi[[#This Row],[Colonne15]]),FALSE)=0,"",TEXT(IFERROR(VLOOKUP(T_BilanSocial[[#This Row],[NumL]],T_TraitDi[#Data],COLUMN(T_TraitDi[[#This Row],[Colonne15]]),FALSE),""),"[hh]:mm"))</f>
        <v>#VALUE!</v>
      </c>
      <c r="AW317" s="172" t="e">
        <f>IF(VLOOKUP(T_BilanSocial[[#This Row],[NumL]],T_TraitDi[#Data],COLUMN(T_TraitDi[[#This Row],[Colonne16]]),FALSE)=0,"",TEXT(IFERROR(VLOOKUP(T_BilanSocial[[#This Row],[NumL]],T_TraitDi[#Data],COLUMN(T_TraitDi[[#This Row],[Colonne16]]),FALSE),""),"[hh]:mm"))</f>
        <v>#VALUE!</v>
      </c>
      <c r="AX317" s="172" t="str">
        <f>IFERROR(VLOOKUP(T_BilanSocial[[#This Row],[NumL]],T_TraitDi[#Data],COLUMN(T_TraitDi[[#This Row],[Colonne17]]),FALSE),"")</f>
        <v/>
      </c>
      <c r="AY317" s="172" t="e">
        <f>IF(VLOOKUP(T_BilanSocial[[#This Row],[NumL]],T_TraitDi[#Data],COLUMN(T_TraitDi[[#This Row],[Colonne18]]),FALSE)=0,"",TEXT(IFERROR(VLOOKUP(T_BilanSocial[[#This Row],[NumL]],T_TraitDi[#Data],COLUMN(T_TraitDi[[#This Row],[Colonne18]]),FALSE),""),"[hh]:mm"))</f>
        <v>#VALUE!</v>
      </c>
      <c r="AZ317" s="172" t="e">
        <f>IF(VLOOKUP(T_BilanSocial[[#This Row],[NumL]],T_TraitDi[#Data],COLUMN(T_TraitDi[[#This Row],[Colonne19]]),FALSE)=0,"",TEXT(IFERROR(VLOOKUP(T_BilanSocial[[#This Row],[NumL]],T_TraitDi[#Data],COLUMN(T_TraitDi[[#This Row],[Colonne19]]),FALSE),""),"[hh]:mm"))</f>
        <v>#VALUE!</v>
      </c>
      <c r="BA317" s="172" t="e">
        <f>IF(VLOOKUP(T_BilanSocial[[#This Row],[NumL]],T_TraitDi[#Data],COLUMN(T_TraitDi[[#This Row],[Colonne20]]),FALSE)=0,"",TEXT(IFERROR(VLOOKUP(T_BilanSocial[[#This Row],[NumL]],T_TraitDi[#Data],COLUMN(T_TraitDi[[#This Row],[Colonne20]]),FALSE),""),"[hh]:mm"))</f>
        <v>#VALUE!</v>
      </c>
      <c r="BB317" s="178" t="str">
        <f>IFERROR(VLOOKUP(T_BilanSocial[[#This Row],[NumL]],T_TraitDi[#Data],COLUMN(T_TraitDi[[#This Row],[Jeudi]]),FALSE),"")</f>
        <v/>
      </c>
      <c r="BC317" s="178" t="e">
        <f>IF(VLOOKUP(T_BilanSocial[[#This Row],[NumL]],T_TraitDi[#Data],COLUMN(T_TraitDi[[#This Row],[Colonne21]]),FALSE)=0,"",TEXT(IFERROR(VLOOKUP(T_BilanSocial[[#This Row],[NumL]],T_TraitDi[#Data],COLUMN(T_TraitDi[[#This Row],[Colonne21]]),FALSE),""),"[hh]:mm"))</f>
        <v>#VALUE!</v>
      </c>
      <c r="BD317" s="178" t="e">
        <f>IF(VLOOKUP(T_BilanSocial[[#This Row],[NumL]],T_TraitDi[#Data],COLUMN(T_TraitDi[[#This Row],[Colonne22]]),FALSE)=0,"",TEXT(IFERROR(VLOOKUP(T_BilanSocial[[#This Row],[NumL]],T_TraitDi[#Data],COLUMN(T_TraitDi[[#This Row],[Colonne22]]),FALSE),""),"[hh]:mm"))</f>
        <v>#VALUE!</v>
      </c>
      <c r="BE317" s="178" t="str">
        <f>IFERROR(VLOOKUP(T_BilanSocial[[#This Row],[NumL]],T_TraitDi[#Data],COLUMN(T_TraitDi[[#This Row],[Colonne23]]),FALSE),"")</f>
        <v/>
      </c>
      <c r="BF317" s="178" t="e">
        <f>IF(VLOOKUP(T_BilanSocial[[#This Row],[NumL]],T_TraitDi[#Data],COLUMN(T_TraitDi[[#This Row],[Colonne24]]),FALSE)=0,"",TEXT(IFERROR(VLOOKUP(T_BilanSocial[[#This Row],[NumL]],T_TraitDi[#Data],COLUMN(T_TraitDi[[#This Row],[Colonne24]]),FALSE),""),"[hh]:mm"))</f>
        <v>#VALUE!</v>
      </c>
      <c r="BG317" s="178" t="e">
        <f>IF(VLOOKUP(T_BilanSocial[[#This Row],[NumL]],T_TraitDi[#Data],COLUMN(T_TraitDi[[#This Row],[Colonne25]]),FALSE)=0,"",TEXT(IFERROR(VLOOKUP(T_BilanSocial[[#This Row],[NumL]],T_TraitDi[#Data],COLUMN(T_TraitDi[[#This Row],[Colonne25]]),FALSE),""),"[hh]:mm"))</f>
        <v>#VALUE!</v>
      </c>
      <c r="BH317" s="178" t="e">
        <f>IF(VLOOKUP(T_BilanSocial[[#This Row],[NumL]],T_TraitDi[#Data],COLUMN(T_TraitDi[[#This Row],[Colonne26]]),FALSE)=0,"",TEXT(IFERROR(VLOOKUP(T_BilanSocial[[#This Row],[NumL]],T_TraitDi[#Data],COLUMN(T_TraitDi[[#This Row],[Colonne26]]),FALSE),""),"[hh]:mm"))</f>
        <v>#VALUE!</v>
      </c>
      <c r="BI317" s="172" t="str">
        <f>IFERROR(VLOOKUP(T_BilanSocial[[#This Row],[NumL]],T_TraitDi[#Data],COLUMN(T_TraitDi[[#This Row],[Vendredi]]),FALSE),"")</f>
        <v/>
      </c>
      <c r="BJ317" s="172" t="e">
        <f>IF(VLOOKUP(T_BilanSocial[[#This Row],[NumL]],T_TraitDi[#Data],COLUMN(T_TraitDi[[#This Row],[Colonne27]]),FALSE)=0,"",TEXT(IFERROR(VLOOKUP(T_BilanSocial[[#This Row],[NumL]],T_TraitDi[#Data],COLUMN(T_TraitDi[[#This Row],[Colonne27]]),FALSE),""),"[hh]:mm"))</f>
        <v>#VALUE!</v>
      </c>
      <c r="BK317" s="172" t="e">
        <f>IF(VLOOKUP(T_BilanSocial[[#This Row],[NumL]],T_TraitDi[#Data],COLUMN(T_TraitDi[[#This Row],[Colonne28]]),FALSE)=0,"",TEXT(IFERROR(VLOOKUP(T_BilanSocial[[#This Row],[NumL]],T_TraitDi[#Data],COLUMN(T_TraitDi[[#This Row],[Colonne28]]),FALSE),""),"[hh]:mm"))</f>
        <v>#VALUE!</v>
      </c>
      <c r="BL317" s="172" t="str">
        <f>IFERROR(VLOOKUP(T_BilanSocial[[#This Row],[NumL]],T_TraitDi[#Data],COLUMN(T_TraitDi[[#This Row],[Colonne29]]),FALSE),"")</f>
        <v/>
      </c>
      <c r="BM317" s="172" t="e">
        <f>IF(VLOOKUP(T_BilanSocial[[#This Row],[NumL]],T_TraitDi[#Data],COLUMN(T_TraitDi[[#This Row],[Colonne30]]),FALSE)=0,"",TEXT(IFERROR(VLOOKUP(T_BilanSocial[[#This Row],[NumL]],T_TraitDi[#Data],COLUMN(T_TraitDi[[#This Row],[Colonne30]]),FALSE),""),"[hh]:mm"))</f>
        <v>#VALUE!</v>
      </c>
      <c r="BN317" s="172" t="e">
        <f>IF(VLOOKUP(T_BilanSocial[[#This Row],[NumL]],T_TraitDi[#Data],COLUMN(T_TraitDi[[#This Row],[Colonne31]]),FALSE)=0,"",TEXT(IFERROR(VLOOKUP(T_BilanSocial[[#This Row],[NumL]],T_TraitDi[#Data],COLUMN(T_TraitDi[[#This Row],[Colonne31]]),FALSE),""),"[hh]:mm"))</f>
        <v>#VALUE!</v>
      </c>
      <c r="BO317" s="172" t="e">
        <f>IF(VLOOKUP(T_BilanSocial[[#This Row],[NumL]],T_TraitDi[#Data],COLUMN(T_TraitDi[[#This Row],[Colonne32]]),FALSE)=0,"",TEXT(IFERROR(VLOOKUP(T_BilanSocial[[#This Row],[NumL]],T_TraitDi[#Data],COLUMN(T_TraitDi[[#This Row],[Colonne32]]),FALSE),""),"[hh]:mm"))</f>
        <v>#VALUE!</v>
      </c>
      <c r="BP317" s="172">
        <f>VLOOKUP(T_BilanSocial[[#This Row],[NumL]],T_TraitDi[#Data],COLUMN(T_TraitDi[NbJTot]),FALSE)</f>
        <v>4.5</v>
      </c>
      <c r="BQ317" s="174" t="str">
        <f>IFERROR(VLOOKUP(T_BilanSocial[[#This Row],[NumL]],T_TraitDi[#Data],COLUMN(T_TraitDi[[#This Row],[NbJTW]]),FALSE),"")</f>
        <v/>
      </c>
      <c r="BR317" s="174" t="e">
        <f>IF(VLOOKUP(T_BilanSocial[[#This Row],[NumL]],T_TraitDi[#Data],COLUMN(T_TraitDi[[#This Row],[NbhTW]]),FALSE)=0,"",TEXT(IFERROR(VLOOKUP(T_BilanSocial[[#This Row],[NumL]],T_TraitDi[#Data],COLUMN(T_TraitDi[[#This Row],[NbhTW]]),FALSE),""),"[hh]:mm"))</f>
        <v>#VALUE!</v>
      </c>
      <c r="BS317" s="174" t="e">
        <f>IF(VLOOKUP(T_BilanSocial[[#This Row],[NumL]],T_TraitDi[#Data],COLUMN(T_TraitDi[[#This Row],[Nbhheb]]),FALSE)=0,"",TEXT(IFERROR(VLOOKUP($A317,T_TraitDi[#Data],COLUMN(T_TraitDi[[#This Row],[Nbhheb]]),FALSE),""),"[hh]:mm"))</f>
        <v>#VALUE!</v>
      </c>
      <c r="BT317" s="182" t="str">
        <f>IFERROR(VLOOKUP(VLOOKUP($A317,T_TraitDi[#Data],COLUMN(T_TraitDi[[#This Row],[Type1]]),FALSE),TypeTW,2,FALSE),"")</f>
        <v/>
      </c>
      <c r="BU317" s="182" t="str">
        <f>IFERROR(VLOOKUP($A317,T_TraitDi[#Data],COLUMN(T_TraitDi[[#This Row],[Rue1]]),FALSE),"")</f>
        <v/>
      </c>
      <c r="BV317" s="173" t="str">
        <f>IFERROR(VLOOKUP($A317,T_TraitDi[#Data],COLUMN(T_TraitDi[[#This Row],[CP1]]),FALSE),"")</f>
        <v/>
      </c>
      <c r="BW317" s="173" t="str">
        <f>IFERROR(VLOOKUP($A317,T_TraitDi[#Data],COLUMN(T_TraitDi[[#This Row],[VILLE1]]),FALSE),"")</f>
        <v/>
      </c>
      <c r="BX317" s="182" t="str">
        <f>IFERROR(VLOOKUP(VLOOKUP($A317,T_TraitDi[#Data],COLUMN(T_TraitDi[[#This Row],[Type2]]),FALSE),TypeTW,2,FALSE),"")</f>
        <v/>
      </c>
      <c r="BY317" s="182" t="str">
        <f>IFERROR(VLOOKUP($A317,T_TraitDi[#Data],COLUMN(T_TraitDi[[#This Row],[Rue2]]),FALSE),"")</f>
        <v/>
      </c>
      <c r="BZ317" s="173" t="str">
        <f>IFERROR(VLOOKUP($A317,T_TraitDi[#Data],COLUMN(T_TraitDi[[#This Row],[CP2]]),FALSE),"")</f>
        <v/>
      </c>
      <c r="CA317" s="173" t="str">
        <f>IFERROR(VLOOKUP($A317,T_TraitDi[#Data],COLUMN(T_TraitDi[[#This Row],[VILLE2]]),FALSE),"")</f>
        <v/>
      </c>
      <c r="CB317"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7" s="166" t="str">
        <f>IFERROR(IF(VLOOKUP(T_BilanSocial[[#This Row],[NumL]],T_TraitDi[#Data],COLUMN(T_TraitDi[[#This Row],[Plan]]),FALSE)="OK","Un planning spécifique de télétravail est annexé à la présente convention.",""),"")</f>
        <v/>
      </c>
      <c r="CD317" s="301"/>
      <c r="CE317" s="164" t="e">
        <f>IF(VLOOKUP(T_BilanSocial[[#This Row],[NumL]],T_suiviDi[#Data],COLUMN(T_suiviDi[[#This Row],[Entité]]),FALSE)="","",VLOOKUP(T_BilanSocial[[#This Row],[NumL]],T_suiviDi[#Data],COLUMN(T_suiviDi[[#This Row],[Entité]]),FALSE))</f>
        <v>#VALUE!</v>
      </c>
      <c r="CF317" s="164" t="str">
        <f>IF(VLOOKUP(T_BilanSocial[[#This Row],[NumL]],T_Commission[#Data],COLUMN(T_Commission[[#This Row],[envoi confirm TW]]),FALSE)="","",VLOOKUP(T_BilanSocial[[#This Row],[NumL]],T_Commission[#Data],COLUMN(T_Commission[[#This Row],[envoi confirm TW]]),FALSE))</f>
        <v>Oui</v>
      </c>
      <c r="CG31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7" s="339" t="str">
        <f>T_BilanSocial[[#This Row],[Nom]]&amp;T_BilanSocial[[#This Row],[Prenom]]</f>
        <v/>
      </c>
      <c r="CI317" s="339">
        <f>VLOOKUP(T_BilanSocial[[#This Row],[NumL]],T_Commission[#Data],COLUMN(T_Commission[Commentaire]),FALSE)</f>
        <v>0</v>
      </c>
      <c r="CJ317" s="339" t="str">
        <f>IF(VLOOKUP(T_BilanSocial[[#This Row],[NumL]],T_Commission[#Data],COLUMN(T_Commission[Encadrant Email]),FALSE)="","",VLOOKUP(T_BilanSocial[[#This Row],[NumL]],T_Commission[#Data],COLUMN(T_Commission[Encadrant Email]),FALSE))</f>
        <v/>
      </c>
      <c r="CK317" s="332" t="str">
        <f>IF(T_BilanSocial[[#This Row],[Final]]&lt;&gt;"",VLOOKUP(T_BilanSocial[[#This Row],[NumL]],T_suiviDi[#Data],COLUMN((T_suiviDi[Statut])),FALSE),"")</f>
        <v/>
      </c>
    </row>
    <row r="318" spans="1:89" s="50" customFormat="1" ht="29.25" customHeight="1" x14ac:dyDescent="0.25">
      <c r="A318" s="136">
        <v>315</v>
      </c>
      <c r="B318" s="330" t="str">
        <f t="shared" si="56"/>
        <v/>
      </c>
      <c r="C318" s="309"/>
      <c r="D318" s="95" t="e">
        <f>IF(VLOOKUP(T_BilanSocial[[#This Row],[NumL]],T_TraitDi[#Data],COLUMN(T_TraitDi[[#This Row],[WebC]]),FALSE)="","",VLOOKUP(T_BilanSocial[[#This Row],[NumL]],T_TraitDi[#Data],COLUMN(T_TraitDi[[#This Row],[WebC]]),FALSE))</f>
        <v>#VALUE!</v>
      </c>
      <c r="E318" s="95" t="str">
        <f t="shared" si="57"/>
        <v>12 janvier 2021</v>
      </c>
      <c r="F318" s="96" t="str">
        <f>IF(T_BilanSocial[[#This Row],[Final]]&lt;&gt;"",VLOOKUP(T_BilanSocial[[#This Row],[NumL]],T_suiviDi[#Data],COLUMN((T_suiviDi[Civ.])),FALSE),"")</f>
        <v/>
      </c>
      <c r="G318" s="96" t="str">
        <f>IF(T_BilanSocial[[#This Row],[Final]]&lt;&gt;"",VLOOKUP(T_BilanSocial[[#This Row],[NumL]],T_suiviDi[#Data],COLUMN((T_suiviDi[Nom])),FALSE),"")</f>
        <v/>
      </c>
      <c r="H318" s="96" t="str">
        <f>IF(T_BilanSocial[[#This Row],[Final]]&lt;&gt;"",VLOOKUP(T_BilanSocial[[#This Row],[NumL]],T_suiviDi[#Data],COLUMN((T_suiviDi[Prénom])),FALSE),"")</f>
        <v/>
      </c>
      <c r="I318" s="331" t="str">
        <f>IFERROR(VLOOKUP(T_BilanSocial[[#This Row],[Zone_Bilan]],T_P_BilanSocial[#Data],COLUMN(T_P_BilanSocial[[#This Row],[Numero_SIHAM]]),FALSE),"")</f>
        <v/>
      </c>
      <c r="J318" s="331" t="str">
        <f>IFERROR(VLOOKUP(T_BilanSocial[[#This Row],[Zone_Bilan]],T_P_BilanSocial[#Data],COLUMN(T_P_BilanSocial[[#This Row],[Sexe]]),FALSE),"")</f>
        <v/>
      </c>
      <c r="K318" s="294" t="str">
        <f>IFERROR(VLOOKUP(T_BilanSocial[[#This Row],[Zone_Bilan]],T_P_BilanSocial[#Data],COLUMN(T_P_BilanSocial[[#This Row],[Categorie]]),FALSE),"")</f>
        <v/>
      </c>
      <c r="L318" s="331" t="str">
        <f>IFERROR(VLOOKUP(T_BilanSocial[[#This Row],[Zone_Bilan]],T_P_BilanSocial[#Data],COLUMN(T_P_BilanSocial[[#This Row],[Statut]]),FALSE),"")</f>
        <v/>
      </c>
      <c r="M318" s="331" t="str">
        <f>IFERROR(VLOOKUP(T_BilanSocial[[#This Row],[Zone_Bilan]],T_P_BilanSocial[#Data],COLUMN(T_P_BilanSocial[[#This Row],[Filiere]]),FALSE),"")</f>
        <v/>
      </c>
      <c r="N318" s="331" t="e">
        <f>VLOOKUP(T_BilanSocial[[#This Row],[NumL]],T_TraitDi[#Data],COLUMN(T_TraitDi[EXP]),FALSE)</f>
        <v>#N/A</v>
      </c>
      <c r="O318" s="331" t="e">
        <f>VLOOKUP(T_BilanSocial[[#This Row],[NumL]],T_TraitDi[#Data],COLUMN(T_TraitDi[FORM]),FALSE)</f>
        <v>#N/A</v>
      </c>
      <c r="P318" s="96" t="str">
        <f>IF(T_BilanSocial[[#This Row],[Final]]&lt;&gt;"",VLOOKUP(T_BilanSocial[[#This Row],[NumL]],T_suiviDi[#Data],COLUMN((T_suiviDi[Email])),FALSE),"")</f>
        <v/>
      </c>
      <c r="Q318" s="96" t="e">
        <f t="shared" si="58"/>
        <v>#N/A</v>
      </c>
      <c r="R318" s="96" t="e">
        <f t="shared" si="59"/>
        <v>#N/A</v>
      </c>
      <c r="S318" s="96" t="str">
        <f t="shared" si="55"/>
        <v/>
      </c>
      <c r="T318" s="96" t="str">
        <f t="shared" si="60"/>
        <v>01 septembre 2021</v>
      </c>
      <c r="U318" s="96" t="str">
        <f t="shared" si="61"/>
        <v>30 novembre 2021</v>
      </c>
      <c r="V318" s="97">
        <f t="shared" si="62"/>
        <v>44530</v>
      </c>
      <c r="W318" s="176" t="e">
        <f>IF(VLOOKUP(T_BilanSocial[[#This Row],[NumL]],T_TraitDi[#Data],COLUMN(T_TraitDi[[#This Row],[M1]]),FALSE)="","",VLOOKUP(T_BilanSocial[[#This Row],[NumL]],T_TraitDi[#Data],COLUMN(T_TraitDi[[#This Row],[M1]]),FALSE))</f>
        <v>#VALUE!</v>
      </c>
      <c r="X318" s="96" t="str">
        <f t="shared" si="68"/>
        <v/>
      </c>
      <c r="Y318" s="96" t="str">
        <f t="shared" si="68"/>
        <v/>
      </c>
      <c r="Z318" s="96" t="str">
        <f t="shared" si="64"/>
        <v/>
      </c>
      <c r="AA318" s="176" t="e">
        <f>IF(VLOOKUP(T_BilanSocial[[#This Row],[NumL]],T_TraitDi[#Data],COLUMN(T_TraitDi[[#This Row],[M5]]),FALSE)="","",VLOOKUP(T_BilanSocial[[#This Row],[NumL]],T_TraitDi[#Data],COLUMN(T_TraitDi[[#This Row],[M5]]),FALSE))</f>
        <v>#VALUE!</v>
      </c>
      <c r="AB318" s="176" t="e">
        <f>IF(VLOOKUP(T_BilanSocial[[#This Row],[NumL]],T_TraitDi[#Data],COLUMN(T_TraitDi[[#This Row],[M6]]),FALSE)="","",VLOOKUP(T_BilanSocial[[#This Row],[NumL]],T_TraitDi[#Data],COLUMN(T_TraitDi[[#This Row],[M6]]),FALSE))</f>
        <v>#VALUE!</v>
      </c>
      <c r="AC318" s="96" t="e">
        <f t="shared" si="69"/>
        <v>#VALUE!</v>
      </c>
      <c r="AD318" s="97" t="str">
        <f t="shared" si="65"/>
        <v/>
      </c>
      <c r="AE318" s="294" t="e">
        <f>VLOOKUP(T_BilanSocial[[#This Row],[NumL]],T_TraitDi[#Data],COLUMN(T_TraitDi[[#This Row],[Reg Ponct]]),FALSE)</f>
        <v>#VALUE!</v>
      </c>
      <c r="AF318" s="294" t="e">
        <f>VLOOKUP(T_BilanSocial[NumL],T_TraitDi[#Data],COLUMN(T_TraitDi[[#This Row],[Jours flottants]]),FALSE)</f>
        <v>#VALUE!</v>
      </c>
      <c r="AG318" s="97" t="str">
        <f>IFERROR(VLOOKUP(T_BilanSocial[[#This Row],[NumL]],T_TraitDi[#Data],COLUMN(T_TraitDi[[#This Row],[Lundi]]),FALSE),"")</f>
        <v/>
      </c>
      <c r="AH318" s="172" t="e">
        <f>IF(VLOOKUP(T_BilanSocial[[#This Row],[NumL]],T_TraitDi[#Data],COLUMN(T_TraitDi[[#This Row],[Colonne3]]),FALSE)=0,"",TEXT(IFERROR(VLOOKUP(T_BilanSocial[[#This Row],[NumL]],T_TraitDi[#Data],COLUMN(T_TraitDi[[#This Row],[Colonne3]]),FALSE),""),"[hh]:mm"))</f>
        <v>#VALUE!</v>
      </c>
      <c r="AI318" s="172" t="e">
        <f>IF(VLOOKUP(T_BilanSocial[[#This Row],[NumL]],T_TraitDi[#Data],COLUMN(T_TraitDi[[#This Row],[Colonne4]]),FALSE)=0,"",TEXT(IFERROR(VLOOKUP(T_BilanSocial[[#This Row],[NumL]],T_TraitDi[#Data],COLUMN(T_TraitDi[[#This Row],[Colonne4]]),FALSE),""),"[hh]:mm"))</f>
        <v>#VALUE!</v>
      </c>
      <c r="AJ318" s="172" t="e">
        <f>IF(VLOOKUP(T_BilanSocial[[#This Row],[NumL]],T_TraitDi[#Data],COLUMN(T_TraitDi[[#This Row],[Colonne5]]),FALSE)=0,"",TEXT(IFERROR(VLOOKUP(T_BilanSocial[[#This Row],[NumL]],T_TraitDi[#Data],COLUMN(T_TraitDi[[#This Row],[Colonne5]]),FALSE),""),"[hh]:mm"))</f>
        <v>#VALUE!</v>
      </c>
      <c r="AK318" s="172" t="e">
        <f>IF(VLOOKUP(T_BilanSocial[[#This Row],[NumL]],T_TraitDi[#Data],COLUMN(T_TraitDi[[#This Row],[Colonne6]]),FALSE)=0,"",TEXT(IFERROR(VLOOKUP(T_BilanSocial[[#This Row],[NumL]],T_TraitDi[#Data],COLUMN(T_TraitDi[[#This Row],[Colonne6]]),FALSE),""),"[hh]:mm"))</f>
        <v>#VALUE!</v>
      </c>
      <c r="AL318" s="172" t="e">
        <f>IF(VLOOKUP(T_BilanSocial[[#This Row],[NumL]],T_TraitDi[#Data],COLUMN(T_TraitDi[[#This Row],[Colonne7]]),FALSE)=0,"",TEXT(IFERROR(VLOOKUP(T_BilanSocial[[#This Row],[NumL]],T_TraitDi[#Data],COLUMN(T_TraitDi[[#This Row],[Colonne7]]),FALSE),""),"[hh]:mm"))</f>
        <v>#VALUE!</v>
      </c>
      <c r="AM318" s="172" t="e">
        <f>IF(VLOOKUP(T_BilanSocial[[#This Row],[NumL]],T_TraitDi[#Data],COLUMN(T_TraitDi[[#This Row],[Colonne8]]),FALSE)=0,"",TEXT(IFERROR(VLOOKUP(T_BilanSocial[[#This Row],[NumL]],T_TraitDi[#Data],COLUMN(T_TraitDi[[#This Row],[Colonne8]]),FALSE),""),"[hh]:mm"))</f>
        <v>#VALUE!</v>
      </c>
      <c r="AN318" s="172" t="str">
        <f>IFERROR(VLOOKUP(T_BilanSocial[[#This Row],[NumL]],T_TraitDi[#Data],COLUMN(T_TraitDi[[#This Row],[Mardi]]),FALSE),"")</f>
        <v/>
      </c>
      <c r="AO318" s="172" t="e">
        <f>IF(VLOOKUP(T_BilanSocial[[#This Row],[NumL]],T_TraitDi[#Data],COLUMN(T_TraitDi[[#This Row],[Colonne1]]),FALSE)=0,"",TEXT(IFERROR(VLOOKUP(T_BilanSocial[[#This Row],[NumL]],T_TraitDi[#Data],COLUMN(T_TraitDi[[#This Row],[Colonne1]]),FALSE),""),"[hh]:mm"))</f>
        <v>#VALUE!</v>
      </c>
      <c r="AP318" s="172" t="e">
        <f>IF(VLOOKUP(T_BilanSocial[[#This Row],[NumL]],T_TraitDi[#Data],COLUMN(T_TraitDi[[#This Row],[Colonne9]]),FALSE)=0,"",TEXT(IFERROR(VLOOKUP(T_BilanSocial[[#This Row],[NumL]],T_TraitDi[#Data],COLUMN(T_TraitDi[[#This Row],[Colonne9]]),FALSE),""),"[hh]:mm"))</f>
        <v>#VALUE!</v>
      </c>
      <c r="AQ318" s="172" t="str">
        <f>IFERROR(VLOOKUP(T_BilanSocial[[#This Row],[NumL]],T_TraitDi[#Data],COLUMN(T_TraitDi[[#This Row],[Colonne10]]),FALSE),"")</f>
        <v/>
      </c>
      <c r="AR318" s="172" t="e">
        <f>IF(VLOOKUP(T_BilanSocial[[#This Row],[NumL]],T_TraitDi[#Data],COLUMN(T_TraitDi[[#This Row],[Colonne11]]),FALSE)=0,"",TEXT(IFERROR(VLOOKUP(T_BilanSocial[[#This Row],[NumL]],T_TraitDi[#Data],COLUMN(T_TraitDi[[#This Row],[Colonne11]]),FALSE),""),"[hh]:mm"))</f>
        <v>#VALUE!</v>
      </c>
      <c r="AS318" s="172" t="e">
        <f>IF(VLOOKUP(T_BilanSocial[[#This Row],[NumL]],T_TraitDi[#Data],COLUMN(T_TraitDi[[#This Row],[Colonne12]]),FALSE)=0,"",TEXT(IFERROR(VLOOKUP(T_BilanSocial[[#This Row],[NumL]],T_TraitDi[#Data],COLUMN(T_TraitDi[[#This Row],[Colonne12]]),FALSE),""),"[hh]:mm"))</f>
        <v>#VALUE!</v>
      </c>
      <c r="AT318" s="172" t="e">
        <f>IF(VLOOKUP(T_BilanSocial[[#This Row],[NumL]],T_TraitDi[#Data],COLUMN(T_TraitDi[[#This Row],[Colonne14]]),FALSE)=0,"",TEXT(IFERROR(VLOOKUP(T_BilanSocial[[#This Row],[NumL]],T_TraitDi[#Data],COLUMN(T_TraitDi[[#This Row],[Colonne14]]),FALSE),""),"[hh]:mm"))</f>
        <v>#VALUE!</v>
      </c>
      <c r="AU318" s="172" t="str">
        <f>IFERROR(VLOOKUP(T_BilanSocial[[#This Row],[NumL]],T_TraitDi[#Data],COLUMN(T_TraitDi[[#This Row],[Mercredi]]),FALSE),"")</f>
        <v/>
      </c>
      <c r="AV318" s="172" t="e">
        <f>IF(VLOOKUP(T_BilanSocial[[#This Row],[NumL]],T_TraitDi[#Data],COLUMN(T_TraitDi[[#This Row],[Colonne15]]),FALSE)=0,"",TEXT(IFERROR(VLOOKUP(T_BilanSocial[[#This Row],[NumL]],T_TraitDi[#Data],COLUMN(T_TraitDi[[#This Row],[Colonne15]]),FALSE),""),"[hh]:mm"))</f>
        <v>#VALUE!</v>
      </c>
      <c r="AW318" s="172" t="e">
        <f>IF(VLOOKUP(T_BilanSocial[[#This Row],[NumL]],T_TraitDi[#Data],COLUMN(T_TraitDi[[#This Row],[Colonne16]]),FALSE)=0,"",TEXT(IFERROR(VLOOKUP(T_BilanSocial[[#This Row],[NumL]],T_TraitDi[#Data],COLUMN(T_TraitDi[[#This Row],[Colonne16]]),FALSE),""),"[hh]:mm"))</f>
        <v>#VALUE!</v>
      </c>
      <c r="AX318" s="172" t="str">
        <f>IFERROR(VLOOKUP(T_BilanSocial[[#This Row],[NumL]],T_TraitDi[#Data],COLUMN(T_TraitDi[[#This Row],[Colonne17]]),FALSE),"")</f>
        <v/>
      </c>
      <c r="AY318" s="172" t="e">
        <f>IF(VLOOKUP(T_BilanSocial[[#This Row],[NumL]],T_TraitDi[#Data],COLUMN(T_TraitDi[[#This Row],[Colonne18]]),FALSE)=0,"",TEXT(IFERROR(VLOOKUP(T_BilanSocial[[#This Row],[NumL]],T_TraitDi[#Data],COLUMN(T_TraitDi[[#This Row],[Colonne18]]),FALSE),""),"[hh]:mm"))</f>
        <v>#VALUE!</v>
      </c>
      <c r="AZ318" s="172" t="e">
        <f>IF(VLOOKUP(T_BilanSocial[[#This Row],[NumL]],T_TraitDi[#Data],COLUMN(T_TraitDi[[#This Row],[Colonne19]]),FALSE)=0,"",TEXT(IFERROR(VLOOKUP(T_BilanSocial[[#This Row],[NumL]],T_TraitDi[#Data],COLUMN(T_TraitDi[[#This Row],[Colonne19]]),FALSE),""),"[hh]:mm"))</f>
        <v>#VALUE!</v>
      </c>
      <c r="BA318" s="172" t="e">
        <f>IF(VLOOKUP(T_BilanSocial[[#This Row],[NumL]],T_TraitDi[#Data],COLUMN(T_TraitDi[[#This Row],[Colonne20]]),FALSE)=0,"",TEXT(IFERROR(VLOOKUP(T_BilanSocial[[#This Row],[NumL]],T_TraitDi[#Data],COLUMN(T_TraitDi[[#This Row],[Colonne20]]),FALSE),""),"[hh]:mm"))</f>
        <v>#VALUE!</v>
      </c>
      <c r="BB318" s="178" t="str">
        <f>IFERROR(VLOOKUP(T_BilanSocial[[#This Row],[NumL]],T_TraitDi[#Data],COLUMN(T_TraitDi[[#This Row],[Jeudi]]),FALSE),"")</f>
        <v/>
      </c>
      <c r="BC318" s="178" t="e">
        <f>IF(VLOOKUP(T_BilanSocial[[#This Row],[NumL]],T_TraitDi[#Data],COLUMN(T_TraitDi[[#This Row],[Colonne21]]),FALSE)=0,"",TEXT(IFERROR(VLOOKUP(T_BilanSocial[[#This Row],[NumL]],T_TraitDi[#Data],COLUMN(T_TraitDi[[#This Row],[Colonne21]]),FALSE),""),"[hh]:mm"))</f>
        <v>#VALUE!</v>
      </c>
      <c r="BD318" s="178" t="e">
        <f>IF(VLOOKUP(T_BilanSocial[[#This Row],[NumL]],T_TraitDi[#Data],COLUMN(T_TraitDi[[#This Row],[Colonne22]]),FALSE)=0,"",TEXT(IFERROR(VLOOKUP(T_BilanSocial[[#This Row],[NumL]],T_TraitDi[#Data],COLUMN(T_TraitDi[[#This Row],[Colonne22]]),FALSE),""),"[hh]:mm"))</f>
        <v>#VALUE!</v>
      </c>
      <c r="BE318" s="178" t="str">
        <f>IFERROR(VLOOKUP(T_BilanSocial[[#This Row],[NumL]],T_TraitDi[#Data],COLUMN(T_TraitDi[[#This Row],[Colonne23]]),FALSE),"")</f>
        <v/>
      </c>
      <c r="BF318" s="178" t="e">
        <f>IF(VLOOKUP(T_BilanSocial[[#This Row],[NumL]],T_TraitDi[#Data],COLUMN(T_TraitDi[[#This Row],[Colonne24]]),FALSE)=0,"",TEXT(IFERROR(VLOOKUP(T_BilanSocial[[#This Row],[NumL]],T_TraitDi[#Data],COLUMN(T_TraitDi[[#This Row],[Colonne24]]),FALSE),""),"[hh]:mm"))</f>
        <v>#VALUE!</v>
      </c>
      <c r="BG318" s="178" t="e">
        <f>IF(VLOOKUP(T_BilanSocial[[#This Row],[NumL]],T_TraitDi[#Data],COLUMN(T_TraitDi[[#This Row],[Colonne25]]),FALSE)=0,"",TEXT(IFERROR(VLOOKUP(T_BilanSocial[[#This Row],[NumL]],T_TraitDi[#Data],COLUMN(T_TraitDi[[#This Row],[Colonne25]]),FALSE),""),"[hh]:mm"))</f>
        <v>#VALUE!</v>
      </c>
      <c r="BH318" s="178" t="e">
        <f>IF(VLOOKUP(T_BilanSocial[[#This Row],[NumL]],T_TraitDi[#Data],COLUMN(T_TraitDi[[#This Row],[Colonne26]]),FALSE)=0,"",TEXT(IFERROR(VLOOKUP(T_BilanSocial[[#This Row],[NumL]],T_TraitDi[#Data],COLUMN(T_TraitDi[[#This Row],[Colonne26]]),FALSE),""),"[hh]:mm"))</f>
        <v>#VALUE!</v>
      </c>
      <c r="BI318" s="172" t="str">
        <f>IFERROR(VLOOKUP(T_BilanSocial[[#This Row],[NumL]],T_TraitDi[#Data],COLUMN(T_TraitDi[[#This Row],[Vendredi]]),FALSE),"")</f>
        <v/>
      </c>
      <c r="BJ318" s="172" t="e">
        <f>IF(VLOOKUP(T_BilanSocial[[#This Row],[NumL]],T_TraitDi[#Data],COLUMN(T_TraitDi[[#This Row],[Colonne27]]),FALSE)=0,"",TEXT(IFERROR(VLOOKUP(T_BilanSocial[[#This Row],[NumL]],T_TraitDi[#Data],COLUMN(T_TraitDi[[#This Row],[Colonne27]]),FALSE),""),"[hh]:mm"))</f>
        <v>#VALUE!</v>
      </c>
      <c r="BK318" s="172" t="e">
        <f>IF(VLOOKUP(T_BilanSocial[[#This Row],[NumL]],T_TraitDi[#Data],COLUMN(T_TraitDi[[#This Row],[Colonne28]]),FALSE)=0,"",TEXT(IFERROR(VLOOKUP(T_BilanSocial[[#This Row],[NumL]],T_TraitDi[#Data],COLUMN(T_TraitDi[[#This Row],[Colonne28]]),FALSE),""),"[hh]:mm"))</f>
        <v>#VALUE!</v>
      </c>
      <c r="BL318" s="172" t="str">
        <f>IFERROR(VLOOKUP(T_BilanSocial[[#This Row],[NumL]],T_TraitDi[#Data],COLUMN(T_TraitDi[[#This Row],[Colonne29]]),FALSE),"")</f>
        <v/>
      </c>
      <c r="BM318" s="172" t="e">
        <f>IF(VLOOKUP(T_BilanSocial[[#This Row],[NumL]],T_TraitDi[#Data],COLUMN(T_TraitDi[[#This Row],[Colonne30]]),FALSE)=0,"",TEXT(IFERROR(VLOOKUP(T_BilanSocial[[#This Row],[NumL]],T_TraitDi[#Data],COLUMN(T_TraitDi[[#This Row],[Colonne30]]),FALSE),""),"[hh]:mm"))</f>
        <v>#VALUE!</v>
      </c>
      <c r="BN318" s="172" t="e">
        <f>IF(VLOOKUP(T_BilanSocial[[#This Row],[NumL]],T_TraitDi[#Data],COLUMN(T_TraitDi[[#This Row],[Colonne31]]),FALSE)=0,"",TEXT(IFERROR(VLOOKUP(T_BilanSocial[[#This Row],[NumL]],T_TraitDi[#Data],COLUMN(T_TraitDi[[#This Row],[Colonne31]]),FALSE),""),"[hh]:mm"))</f>
        <v>#VALUE!</v>
      </c>
      <c r="BO318" s="172" t="e">
        <f>IF(VLOOKUP(T_BilanSocial[[#This Row],[NumL]],T_TraitDi[#Data],COLUMN(T_TraitDi[[#This Row],[Colonne32]]),FALSE)=0,"",TEXT(IFERROR(VLOOKUP(T_BilanSocial[[#This Row],[NumL]],T_TraitDi[#Data],COLUMN(T_TraitDi[[#This Row],[Colonne32]]),FALSE),""),"[hh]:mm"))</f>
        <v>#VALUE!</v>
      </c>
      <c r="BP318" s="172" t="e">
        <f>VLOOKUP(T_BilanSocial[[#This Row],[NumL]],T_TraitDi[#Data],COLUMN(T_TraitDi[NbJTot]),FALSE)</f>
        <v>#N/A</v>
      </c>
      <c r="BQ318" s="174" t="str">
        <f>IFERROR(VLOOKUP(T_BilanSocial[[#This Row],[NumL]],T_TraitDi[#Data],COLUMN(T_TraitDi[[#This Row],[NbJTW]]),FALSE),"")</f>
        <v/>
      </c>
      <c r="BR318" s="174" t="e">
        <f>IF(VLOOKUP(T_BilanSocial[[#This Row],[NumL]],T_TraitDi[#Data],COLUMN(T_TraitDi[[#This Row],[NbhTW]]),FALSE)=0,"",TEXT(IFERROR(VLOOKUP(T_BilanSocial[[#This Row],[NumL]],T_TraitDi[#Data],COLUMN(T_TraitDi[[#This Row],[NbhTW]]),FALSE),""),"[hh]:mm"))</f>
        <v>#VALUE!</v>
      </c>
      <c r="BS318" s="174" t="e">
        <f>IF(VLOOKUP(T_BilanSocial[[#This Row],[NumL]],T_TraitDi[#Data],COLUMN(T_TraitDi[[#This Row],[Nbhheb]]),FALSE)=0,"",TEXT(IFERROR(VLOOKUP($A318,T_TraitDi[#Data],COLUMN(T_TraitDi[[#This Row],[Nbhheb]]),FALSE),""),"[hh]:mm"))</f>
        <v>#VALUE!</v>
      </c>
      <c r="BT318" s="182" t="str">
        <f>IFERROR(VLOOKUP(VLOOKUP($A318,T_TraitDi[#Data],COLUMN(T_TraitDi[[#This Row],[Type1]]),FALSE),TypeTW,2,FALSE),"")</f>
        <v/>
      </c>
      <c r="BU318" s="182" t="str">
        <f>IFERROR(VLOOKUP($A318,T_TraitDi[#Data],COLUMN(T_TraitDi[[#This Row],[Rue1]]),FALSE),"")</f>
        <v/>
      </c>
      <c r="BV318" s="173" t="str">
        <f>IFERROR(VLOOKUP($A318,T_TraitDi[#Data],COLUMN(T_TraitDi[[#This Row],[CP1]]),FALSE),"")</f>
        <v/>
      </c>
      <c r="BW318" s="173" t="str">
        <f>IFERROR(VLOOKUP($A318,T_TraitDi[#Data],COLUMN(T_TraitDi[[#This Row],[VILLE1]]),FALSE),"")</f>
        <v/>
      </c>
      <c r="BX318" s="182" t="str">
        <f>IFERROR(VLOOKUP(VLOOKUP($A318,T_TraitDi[#Data],COLUMN(T_TraitDi[[#This Row],[Type2]]),FALSE),TypeTW,2,FALSE),"")</f>
        <v/>
      </c>
      <c r="BY318" s="182" t="str">
        <f>IFERROR(VLOOKUP($A318,T_TraitDi[#Data],COLUMN(T_TraitDi[[#This Row],[Rue2]]),FALSE),"")</f>
        <v/>
      </c>
      <c r="BZ318" s="173" t="str">
        <f>IFERROR(VLOOKUP($A318,T_TraitDi[#Data],COLUMN(T_TraitDi[[#This Row],[CP2]]),FALSE),"")</f>
        <v/>
      </c>
      <c r="CA318" s="173" t="str">
        <f>IFERROR(VLOOKUP($A318,T_TraitDi[#Data],COLUMN(T_TraitDi[[#This Row],[VILLE2]]),FALSE),"")</f>
        <v/>
      </c>
      <c r="CB318"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8" s="166" t="str">
        <f>IFERROR(IF(VLOOKUP(T_BilanSocial[[#This Row],[NumL]],T_TraitDi[#Data],COLUMN(T_TraitDi[[#This Row],[Plan]]),FALSE)="OK","Un planning spécifique de télétravail est annexé à la présente convention.",""),"")</f>
        <v/>
      </c>
      <c r="CD318" s="301"/>
      <c r="CE318" s="164" t="e">
        <f>IF(VLOOKUP(T_BilanSocial[[#This Row],[NumL]],T_suiviDi[#Data],COLUMN(T_suiviDi[[#This Row],[Entité]]),FALSE)="","",VLOOKUP(T_BilanSocial[[#This Row],[NumL]],T_suiviDi[#Data],COLUMN(T_suiviDi[[#This Row],[Entité]]),FALSE))</f>
        <v>#VALUE!</v>
      </c>
      <c r="CF318" s="164" t="str">
        <f>IF(VLOOKUP(T_BilanSocial[[#This Row],[NumL]],T_Commission[#Data],COLUMN(T_Commission[[#This Row],[envoi confirm TW]]),FALSE)="","",VLOOKUP(T_BilanSocial[[#This Row],[NumL]],T_Commission[#Data],COLUMN(T_Commission[[#This Row],[envoi confirm TW]]),FALSE))</f>
        <v>Oui</v>
      </c>
      <c r="CG31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8" s="339" t="str">
        <f>T_BilanSocial[[#This Row],[Nom]]&amp;T_BilanSocial[[#This Row],[Prenom]]</f>
        <v/>
      </c>
      <c r="CI318" s="339">
        <f>VLOOKUP(T_BilanSocial[[#This Row],[NumL]],T_Commission[#Data],COLUMN(T_Commission[Commentaire]),FALSE)</f>
        <v>0</v>
      </c>
      <c r="CJ318" s="339" t="str">
        <f>IF(VLOOKUP(T_BilanSocial[[#This Row],[NumL]],T_Commission[#Data],COLUMN(T_Commission[Encadrant Email]),FALSE)="","",VLOOKUP(T_BilanSocial[[#This Row],[NumL]],T_Commission[#Data],COLUMN(T_Commission[Encadrant Email]),FALSE))</f>
        <v/>
      </c>
      <c r="CK318" s="332" t="str">
        <f>IF(T_BilanSocial[[#This Row],[Final]]&lt;&gt;"",VLOOKUP(T_BilanSocial[[#This Row],[NumL]],T_suiviDi[#Data],COLUMN((T_suiviDi[Statut])),FALSE),"")</f>
        <v/>
      </c>
    </row>
    <row r="319" spans="1:89" s="50" customFormat="1" ht="21" customHeight="1" x14ac:dyDescent="0.25">
      <c r="A319" s="136">
        <v>316</v>
      </c>
      <c r="B319" s="330" t="str">
        <f t="shared" si="56"/>
        <v/>
      </c>
      <c r="C319" s="309"/>
      <c r="D319" s="95" t="e">
        <f>IF(VLOOKUP(T_BilanSocial[[#This Row],[NumL]],T_TraitDi[#Data],COLUMN(T_TraitDi[[#This Row],[WebC]]),FALSE)="","",VLOOKUP(T_BilanSocial[[#This Row],[NumL]],T_TraitDi[#Data],COLUMN(T_TraitDi[[#This Row],[WebC]]),FALSE))</f>
        <v>#VALUE!</v>
      </c>
      <c r="E319" s="95" t="str">
        <f t="shared" si="57"/>
        <v>12 janvier 2021</v>
      </c>
      <c r="F319" s="96" t="str">
        <f>IF(T_BilanSocial[[#This Row],[Final]]&lt;&gt;"",VLOOKUP(T_BilanSocial[[#This Row],[NumL]],T_suiviDi[#Data],COLUMN((T_suiviDi[Civ.])),FALSE),"")</f>
        <v/>
      </c>
      <c r="G319" s="96" t="str">
        <f>IF(T_BilanSocial[[#This Row],[Final]]&lt;&gt;"",VLOOKUP(T_BilanSocial[[#This Row],[NumL]],T_suiviDi[#Data],COLUMN((T_suiviDi[Nom])),FALSE),"")</f>
        <v/>
      </c>
      <c r="H319" s="96" t="str">
        <f>IF(T_BilanSocial[[#This Row],[Final]]&lt;&gt;"",VLOOKUP(T_BilanSocial[[#This Row],[NumL]],T_suiviDi[#Data],COLUMN((T_suiviDi[Prénom])),FALSE),"")</f>
        <v/>
      </c>
      <c r="I319" s="331" t="str">
        <f>IFERROR(VLOOKUP(T_BilanSocial[[#This Row],[Zone_Bilan]],T_P_BilanSocial[#Data],COLUMN(T_P_BilanSocial[[#This Row],[Numero_SIHAM]]),FALSE),"")</f>
        <v/>
      </c>
      <c r="J319" s="331" t="str">
        <f>IFERROR(VLOOKUP(T_BilanSocial[[#This Row],[Zone_Bilan]],T_P_BilanSocial[#Data],COLUMN(T_P_BilanSocial[[#This Row],[Sexe]]),FALSE),"")</f>
        <v/>
      </c>
      <c r="K319" s="294" t="str">
        <f>IFERROR(VLOOKUP(T_BilanSocial[[#This Row],[Zone_Bilan]],T_P_BilanSocial[#Data],COLUMN(T_P_BilanSocial[[#This Row],[Categorie]]),FALSE),"")</f>
        <v/>
      </c>
      <c r="L319" s="331" t="str">
        <f>IFERROR(VLOOKUP(T_BilanSocial[[#This Row],[Zone_Bilan]],T_P_BilanSocial[#Data],COLUMN(T_P_BilanSocial[[#This Row],[Statut]]),FALSE),"")</f>
        <v/>
      </c>
      <c r="M319" s="331" t="str">
        <f>IFERROR(VLOOKUP(T_BilanSocial[[#This Row],[Zone_Bilan]],T_P_BilanSocial[#Data],COLUMN(T_P_BilanSocial[[#This Row],[Filiere]]),FALSE),"")</f>
        <v/>
      </c>
      <c r="N319" s="331" t="e">
        <f>VLOOKUP(T_BilanSocial[[#This Row],[NumL]],T_TraitDi[#Data],COLUMN(T_TraitDi[EXP]),FALSE)</f>
        <v>#N/A</v>
      </c>
      <c r="O319" s="331" t="e">
        <f>VLOOKUP(T_BilanSocial[[#This Row],[NumL]],T_TraitDi[#Data],COLUMN(T_TraitDi[FORM]),FALSE)</f>
        <v>#N/A</v>
      </c>
      <c r="P319" s="96" t="str">
        <f>IF(T_BilanSocial[[#This Row],[Final]]&lt;&gt;"",VLOOKUP(T_BilanSocial[[#This Row],[NumL]],T_suiviDi[#Data],COLUMN((T_suiviDi[Email])),FALSE),"")</f>
        <v/>
      </c>
      <c r="Q319" s="96" t="e">
        <f t="shared" si="58"/>
        <v>#N/A</v>
      </c>
      <c r="R319" s="96" t="e">
        <f t="shared" si="59"/>
        <v>#N/A</v>
      </c>
      <c r="S319" s="96" t="str">
        <f t="shared" si="55"/>
        <v/>
      </c>
      <c r="T319" s="96" t="str">
        <f t="shared" si="60"/>
        <v>01 septembre 2021</v>
      </c>
      <c r="U319" s="96" t="str">
        <f t="shared" si="61"/>
        <v>30 novembre 2021</v>
      </c>
      <c r="V319" s="97">
        <f t="shared" si="62"/>
        <v>44530</v>
      </c>
      <c r="W319" s="176" t="e">
        <f>IF(VLOOKUP(T_BilanSocial[[#This Row],[NumL]],T_TraitDi[#Data],COLUMN(T_TraitDi[[#This Row],[M1]]),FALSE)="","",VLOOKUP(T_BilanSocial[[#This Row],[NumL]],T_TraitDi[#Data],COLUMN(T_TraitDi[[#This Row],[M1]]),FALSE))</f>
        <v>#VALUE!</v>
      </c>
      <c r="X319" s="96" t="str">
        <f t="shared" si="68"/>
        <v/>
      </c>
      <c r="Y319" s="96" t="str">
        <f t="shared" si="68"/>
        <v/>
      </c>
      <c r="Z319" s="96" t="str">
        <f t="shared" si="64"/>
        <v/>
      </c>
      <c r="AA319" s="176" t="e">
        <f>IF(VLOOKUP(T_BilanSocial[[#This Row],[NumL]],T_TraitDi[#Data],COLUMN(T_TraitDi[[#This Row],[M5]]),FALSE)="","",VLOOKUP(T_BilanSocial[[#This Row],[NumL]],T_TraitDi[#Data],COLUMN(T_TraitDi[[#This Row],[M5]]),FALSE))</f>
        <v>#VALUE!</v>
      </c>
      <c r="AB319" s="176" t="e">
        <f>IF(VLOOKUP(T_BilanSocial[[#This Row],[NumL]],T_TraitDi[#Data],COLUMN(T_TraitDi[[#This Row],[M6]]),FALSE)="","",VLOOKUP(T_BilanSocial[[#This Row],[NumL]],T_TraitDi[#Data],COLUMN(T_TraitDi[[#This Row],[M6]]),FALSE))</f>
        <v>#VALUE!</v>
      </c>
      <c r="AC319" s="96" t="e">
        <f t="shared" si="69"/>
        <v>#VALUE!</v>
      </c>
      <c r="AD319" s="97" t="str">
        <f t="shared" si="65"/>
        <v/>
      </c>
      <c r="AE319" s="294" t="e">
        <f>VLOOKUP(T_BilanSocial[[#This Row],[NumL]],T_TraitDi[#Data],COLUMN(T_TraitDi[[#This Row],[Reg Ponct]]),FALSE)</f>
        <v>#VALUE!</v>
      </c>
      <c r="AF319" s="294" t="e">
        <f>VLOOKUP(T_BilanSocial[NumL],T_TraitDi[#Data],COLUMN(T_TraitDi[[#This Row],[Jours flottants]]),FALSE)</f>
        <v>#VALUE!</v>
      </c>
      <c r="AG319" s="97" t="str">
        <f>IFERROR(VLOOKUP(T_BilanSocial[[#This Row],[NumL]],T_TraitDi[#Data],COLUMN(T_TraitDi[[#This Row],[Lundi]]),FALSE),"")</f>
        <v/>
      </c>
      <c r="AH319" s="172" t="e">
        <f>IF(VLOOKUP(T_BilanSocial[[#This Row],[NumL]],T_TraitDi[#Data],COLUMN(T_TraitDi[[#This Row],[Colonne3]]),FALSE)=0,"",TEXT(IFERROR(VLOOKUP(T_BilanSocial[[#This Row],[NumL]],T_TraitDi[#Data],COLUMN(T_TraitDi[[#This Row],[Colonne3]]),FALSE),""),"[hh]:mm"))</f>
        <v>#VALUE!</v>
      </c>
      <c r="AI319" s="172" t="e">
        <f>IF(VLOOKUP(T_BilanSocial[[#This Row],[NumL]],T_TraitDi[#Data],COLUMN(T_TraitDi[[#This Row],[Colonne4]]),FALSE)=0,"",TEXT(IFERROR(VLOOKUP(T_BilanSocial[[#This Row],[NumL]],T_TraitDi[#Data],COLUMN(T_TraitDi[[#This Row],[Colonne4]]),FALSE),""),"[hh]:mm"))</f>
        <v>#VALUE!</v>
      </c>
      <c r="AJ319" s="172" t="e">
        <f>IF(VLOOKUP(T_BilanSocial[[#This Row],[NumL]],T_TraitDi[#Data],COLUMN(T_TraitDi[[#This Row],[Colonne5]]),FALSE)=0,"",TEXT(IFERROR(VLOOKUP(T_BilanSocial[[#This Row],[NumL]],T_TraitDi[#Data],COLUMN(T_TraitDi[[#This Row],[Colonne5]]),FALSE),""),"[hh]:mm"))</f>
        <v>#VALUE!</v>
      </c>
      <c r="AK319" s="172" t="e">
        <f>IF(VLOOKUP(T_BilanSocial[[#This Row],[NumL]],T_TraitDi[#Data],COLUMN(T_TraitDi[[#This Row],[Colonne6]]),FALSE)=0,"",TEXT(IFERROR(VLOOKUP(T_BilanSocial[[#This Row],[NumL]],T_TraitDi[#Data],COLUMN(T_TraitDi[[#This Row],[Colonne6]]),FALSE),""),"[hh]:mm"))</f>
        <v>#VALUE!</v>
      </c>
      <c r="AL319" s="172" t="e">
        <f>IF(VLOOKUP(T_BilanSocial[[#This Row],[NumL]],T_TraitDi[#Data],COLUMN(T_TraitDi[[#This Row],[Colonne7]]),FALSE)=0,"",TEXT(IFERROR(VLOOKUP(T_BilanSocial[[#This Row],[NumL]],T_TraitDi[#Data],COLUMN(T_TraitDi[[#This Row],[Colonne7]]),FALSE),""),"[hh]:mm"))</f>
        <v>#VALUE!</v>
      </c>
      <c r="AM319" s="172" t="e">
        <f>IF(VLOOKUP(T_BilanSocial[[#This Row],[NumL]],T_TraitDi[#Data],COLUMN(T_TraitDi[[#This Row],[Colonne8]]),FALSE)=0,"",TEXT(IFERROR(VLOOKUP(T_BilanSocial[[#This Row],[NumL]],T_TraitDi[#Data],COLUMN(T_TraitDi[[#This Row],[Colonne8]]),FALSE),""),"[hh]:mm"))</f>
        <v>#VALUE!</v>
      </c>
      <c r="AN319" s="172" t="str">
        <f>IFERROR(VLOOKUP(T_BilanSocial[[#This Row],[NumL]],T_TraitDi[#Data],COLUMN(T_TraitDi[[#This Row],[Mardi]]),FALSE),"")</f>
        <v/>
      </c>
      <c r="AO319" s="172" t="e">
        <f>IF(VLOOKUP(T_BilanSocial[[#This Row],[NumL]],T_TraitDi[#Data],COLUMN(T_TraitDi[[#This Row],[Colonne1]]),FALSE)=0,"",TEXT(IFERROR(VLOOKUP(T_BilanSocial[[#This Row],[NumL]],T_TraitDi[#Data],COLUMN(T_TraitDi[[#This Row],[Colonne1]]),FALSE),""),"[hh]:mm"))</f>
        <v>#VALUE!</v>
      </c>
      <c r="AP319" s="172" t="e">
        <f>IF(VLOOKUP(T_BilanSocial[[#This Row],[NumL]],T_TraitDi[#Data],COLUMN(T_TraitDi[[#This Row],[Colonne9]]),FALSE)=0,"",TEXT(IFERROR(VLOOKUP(T_BilanSocial[[#This Row],[NumL]],T_TraitDi[#Data],COLUMN(T_TraitDi[[#This Row],[Colonne9]]),FALSE),""),"[hh]:mm"))</f>
        <v>#VALUE!</v>
      </c>
      <c r="AQ319" s="172" t="str">
        <f>IFERROR(VLOOKUP(T_BilanSocial[[#This Row],[NumL]],T_TraitDi[#Data],COLUMN(T_TraitDi[[#This Row],[Colonne10]]),FALSE),"")</f>
        <v/>
      </c>
      <c r="AR319" s="172" t="e">
        <f>IF(VLOOKUP(T_BilanSocial[[#This Row],[NumL]],T_TraitDi[#Data],COLUMN(T_TraitDi[[#This Row],[Colonne11]]),FALSE)=0,"",TEXT(IFERROR(VLOOKUP(T_BilanSocial[[#This Row],[NumL]],T_TraitDi[#Data],COLUMN(T_TraitDi[[#This Row],[Colonne11]]),FALSE),""),"[hh]:mm"))</f>
        <v>#VALUE!</v>
      </c>
      <c r="AS319" s="172" t="e">
        <f>IF(VLOOKUP(T_BilanSocial[[#This Row],[NumL]],T_TraitDi[#Data],COLUMN(T_TraitDi[[#This Row],[Colonne12]]),FALSE)=0,"",TEXT(IFERROR(VLOOKUP(T_BilanSocial[[#This Row],[NumL]],T_TraitDi[#Data],COLUMN(T_TraitDi[[#This Row],[Colonne12]]),FALSE),""),"[hh]:mm"))</f>
        <v>#VALUE!</v>
      </c>
      <c r="AT319" s="172" t="e">
        <f>IF(VLOOKUP(T_BilanSocial[[#This Row],[NumL]],T_TraitDi[#Data],COLUMN(T_TraitDi[[#This Row],[Colonne14]]),FALSE)=0,"",TEXT(IFERROR(VLOOKUP(T_BilanSocial[[#This Row],[NumL]],T_TraitDi[#Data],COLUMN(T_TraitDi[[#This Row],[Colonne14]]),FALSE),""),"[hh]:mm"))</f>
        <v>#VALUE!</v>
      </c>
      <c r="AU319" s="172" t="str">
        <f>IFERROR(VLOOKUP(T_BilanSocial[[#This Row],[NumL]],T_TraitDi[#Data],COLUMN(T_TraitDi[[#This Row],[Mercredi]]),FALSE),"")</f>
        <v/>
      </c>
      <c r="AV319" s="172" t="e">
        <f>IF(VLOOKUP(T_BilanSocial[[#This Row],[NumL]],T_TraitDi[#Data],COLUMN(T_TraitDi[[#This Row],[Colonne15]]),FALSE)=0,"",TEXT(IFERROR(VLOOKUP(T_BilanSocial[[#This Row],[NumL]],T_TraitDi[#Data],COLUMN(T_TraitDi[[#This Row],[Colonne15]]),FALSE),""),"[hh]:mm"))</f>
        <v>#VALUE!</v>
      </c>
      <c r="AW319" s="172" t="e">
        <f>IF(VLOOKUP(T_BilanSocial[[#This Row],[NumL]],T_TraitDi[#Data],COLUMN(T_TraitDi[[#This Row],[Colonne16]]),FALSE)=0,"",TEXT(IFERROR(VLOOKUP(T_BilanSocial[[#This Row],[NumL]],T_TraitDi[#Data],COLUMN(T_TraitDi[[#This Row],[Colonne16]]),FALSE),""),"[hh]:mm"))</f>
        <v>#VALUE!</v>
      </c>
      <c r="AX319" s="172" t="str">
        <f>IFERROR(VLOOKUP(T_BilanSocial[[#This Row],[NumL]],T_TraitDi[#Data],COLUMN(T_TraitDi[[#This Row],[Colonne17]]),FALSE),"")</f>
        <v/>
      </c>
      <c r="AY319" s="172" t="e">
        <f>IF(VLOOKUP(T_BilanSocial[[#This Row],[NumL]],T_TraitDi[#Data],COLUMN(T_TraitDi[[#This Row],[Colonne18]]),FALSE)=0,"",TEXT(IFERROR(VLOOKUP(T_BilanSocial[[#This Row],[NumL]],T_TraitDi[#Data],COLUMN(T_TraitDi[[#This Row],[Colonne18]]),FALSE),""),"[hh]:mm"))</f>
        <v>#VALUE!</v>
      </c>
      <c r="AZ319" s="172" t="e">
        <f>IF(VLOOKUP(T_BilanSocial[[#This Row],[NumL]],T_TraitDi[#Data],COLUMN(T_TraitDi[[#This Row],[Colonne19]]),FALSE)=0,"",TEXT(IFERROR(VLOOKUP(T_BilanSocial[[#This Row],[NumL]],T_TraitDi[#Data],COLUMN(T_TraitDi[[#This Row],[Colonne19]]),FALSE),""),"[hh]:mm"))</f>
        <v>#VALUE!</v>
      </c>
      <c r="BA319" s="172" t="e">
        <f>IF(VLOOKUP(T_BilanSocial[[#This Row],[NumL]],T_TraitDi[#Data],COLUMN(T_TraitDi[[#This Row],[Colonne20]]),FALSE)=0,"",TEXT(IFERROR(VLOOKUP(T_BilanSocial[[#This Row],[NumL]],T_TraitDi[#Data],COLUMN(T_TraitDi[[#This Row],[Colonne20]]),FALSE),""),"[hh]:mm"))</f>
        <v>#VALUE!</v>
      </c>
      <c r="BB319" s="178" t="str">
        <f>IFERROR(VLOOKUP(T_BilanSocial[[#This Row],[NumL]],T_TraitDi[#Data],COLUMN(T_TraitDi[[#This Row],[Jeudi]]),FALSE),"")</f>
        <v/>
      </c>
      <c r="BC319" s="178" t="e">
        <f>IF(VLOOKUP(T_BilanSocial[[#This Row],[NumL]],T_TraitDi[#Data],COLUMN(T_TraitDi[[#This Row],[Colonne21]]),FALSE)=0,"",TEXT(IFERROR(VLOOKUP(T_BilanSocial[[#This Row],[NumL]],T_TraitDi[#Data],COLUMN(T_TraitDi[[#This Row],[Colonne21]]),FALSE),""),"[hh]:mm"))</f>
        <v>#VALUE!</v>
      </c>
      <c r="BD319" s="178" t="e">
        <f>IF(VLOOKUP(T_BilanSocial[[#This Row],[NumL]],T_TraitDi[#Data],COLUMN(T_TraitDi[[#This Row],[Colonne22]]),FALSE)=0,"",TEXT(IFERROR(VLOOKUP(T_BilanSocial[[#This Row],[NumL]],T_TraitDi[#Data],COLUMN(T_TraitDi[[#This Row],[Colonne22]]),FALSE),""),"[hh]:mm"))</f>
        <v>#VALUE!</v>
      </c>
      <c r="BE319" s="178" t="str">
        <f>IFERROR(VLOOKUP(T_BilanSocial[[#This Row],[NumL]],T_TraitDi[#Data],COLUMN(T_TraitDi[[#This Row],[Colonne23]]),FALSE),"")</f>
        <v/>
      </c>
      <c r="BF319" s="178" t="e">
        <f>IF(VLOOKUP(T_BilanSocial[[#This Row],[NumL]],T_TraitDi[#Data],COLUMN(T_TraitDi[[#This Row],[Colonne24]]),FALSE)=0,"",TEXT(IFERROR(VLOOKUP(T_BilanSocial[[#This Row],[NumL]],T_TraitDi[#Data],COLUMN(T_TraitDi[[#This Row],[Colonne24]]),FALSE),""),"[hh]:mm"))</f>
        <v>#VALUE!</v>
      </c>
      <c r="BG319" s="178" t="e">
        <f>IF(VLOOKUP(T_BilanSocial[[#This Row],[NumL]],T_TraitDi[#Data],COLUMN(T_TraitDi[[#This Row],[Colonne25]]),FALSE)=0,"",TEXT(IFERROR(VLOOKUP(T_BilanSocial[[#This Row],[NumL]],T_TraitDi[#Data],COLUMN(T_TraitDi[[#This Row],[Colonne25]]),FALSE),""),"[hh]:mm"))</f>
        <v>#VALUE!</v>
      </c>
      <c r="BH319" s="178" t="e">
        <f>IF(VLOOKUP(T_BilanSocial[[#This Row],[NumL]],T_TraitDi[#Data],COLUMN(T_TraitDi[[#This Row],[Colonne26]]),FALSE)=0,"",TEXT(IFERROR(VLOOKUP(T_BilanSocial[[#This Row],[NumL]],T_TraitDi[#Data],COLUMN(T_TraitDi[[#This Row],[Colonne26]]),FALSE),""),"[hh]:mm"))</f>
        <v>#VALUE!</v>
      </c>
      <c r="BI319" s="172" t="str">
        <f>IFERROR(VLOOKUP(T_BilanSocial[[#This Row],[NumL]],T_TraitDi[#Data],COLUMN(T_TraitDi[[#This Row],[Vendredi]]),FALSE),"")</f>
        <v/>
      </c>
      <c r="BJ319" s="172" t="e">
        <f>IF(VLOOKUP(T_BilanSocial[[#This Row],[NumL]],T_TraitDi[#Data],COLUMN(T_TraitDi[[#This Row],[Colonne27]]),FALSE)=0,"",TEXT(IFERROR(VLOOKUP(T_BilanSocial[[#This Row],[NumL]],T_TraitDi[#Data],COLUMN(T_TraitDi[[#This Row],[Colonne27]]),FALSE),""),"[hh]:mm"))</f>
        <v>#VALUE!</v>
      </c>
      <c r="BK319" s="172" t="e">
        <f>IF(VLOOKUP(T_BilanSocial[[#This Row],[NumL]],T_TraitDi[#Data],COLUMN(T_TraitDi[[#This Row],[Colonne28]]),FALSE)=0,"",TEXT(IFERROR(VLOOKUP(T_BilanSocial[[#This Row],[NumL]],T_TraitDi[#Data],COLUMN(T_TraitDi[[#This Row],[Colonne28]]),FALSE),""),"[hh]:mm"))</f>
        <v>#VALUE!</v>
      </c>
      <c r="BL319" s="172" t="str">
        <f>IFERROR(VLOOKUP(T_BilanSocial[[#This Row],[NumL]],T_TraitDi[#Data],COLUMN(T_TraitDi[[#This Row],[Colonne29]]),FALSE),"")</f>
        <v/>
      </c>
      <c r="BM319" s="172" t="e">
        <f>IF(VLOOKUP(T_BilanSocial[[#This Row],[NumL]],T_TraitDi[#Data],COLUMN(T_TraitDi[[#This Row],[Colonne30]]),FALSE)=0,"",TEXT(IFERROR(VLOOKUP(T_BilanSocial[[#This Row],[NumL]],T_TraitDi[#Data],COLUMN(T_TraitDi[[#This Row],[Colonne30]]),FALSE),""),"[hh]:mm"))</f>
        <v>#VALUE!</v>
      </c>
      <c r="BN319" s="172" t="e">
        <f>IF(VLOOKUP(T_BilanSocial[[#This Row],[NumL]],T_TraitDi[#Data],COLUMN(T_TraitDi[[#This Row],[Colonne31]]),FALSE)=0,"",TEXT(IFERROR(VLOOKUP(T_BilanSocial[[#This Row],[NumL]],T_TraitDi[#Data],COLUMN(T_TraitDi[[#This Row],[Colonne31]]),FALSE),""),"[hh]:mm"))</f>
        <v>#VALUE!</v>
      </c>
      <c r="BO319" s="172" t="e">
        <f>IF(VLOOKUP(T_BilanSocial[[#This Row],[NumL]],T_TraitDi[#Data],COLUMN(T_TraitDi[[#This Row],[Colonne32]]),FALSE)=0,"",TEXT(IFERROR(VLOOKUP(T_BilanSocial[[#This Row],[NumL]],T_TraitDi[#Data],COLUMN(T_TraitDi[[#This Row],[Colonne32]]),FALSE),""),"[hh]:mm"))</f>
        <v>#VALUE!</v>
      </c>
      <c r="BP319" s="172" t="e">
        <f>VLOOKUP(T_BilanSocial[[#This Row],[NumL]],T_TraitDi[#Data],COLUMN(T_TraitDi[NbJTot]),FALSE)</f>
        <v>#N/A</v>
      </c>
      <c r="BQ319" s="174" t="str">
        <f>IFERROR(VLOOKUP(T_BilanSocial[[#This Row],[NumL]],T_TraitDi[#Data],COLUMN(T_TraitDi[[#This Row],[NbJTW]]),FALSE),"")</f>
        <v/>
      </c>
      <c r="BR319" s="174" t="e">
        <f>IF(VLOOKUP(T_BilanSocial[[#This Row],[NumL]],T_TraitDi[#Data],COLUMN(T_TraitDi[[#This Row],[NbhTW]]),FALSE)=0,"",TEXT(IFERROR(VLOOKUP(T_BilanSocial[[#This Row],[NumL]],T_TraitDi[#Data],COLUMN(T_TraitDi[[#This Row],[NbhTW]]),FALSE),""),"[hh]:mm"))</f>
        <v>#VALUE!</v>
      </c>
      <c r="BS319" s="174" t="e">
        <f>IF(VLOOKUP(T_BilanSocial[[#This Row],[NumL]],T_TraitDi[#Data],COLUMN(T_TraitDi[[#This Row],[Nbhheb]]),FALSE)=0,"",TEXT(IFERROR(VLOOKUP($A319,T_TraitDi[#Data],COLUMN(T_TraitDi[[#This Row],[Nbhheb]]),FALSE),""),"[hh]:mm"))</f>
        <v>#VALUE!</v>
      </c>
      <c r="BT319" s="182" t="str">
        <f>IFERROR(VLOOKUP(VLOOKUP($A319,T_TraitDi[#Data],COLUMN(T_TraitDi[[#This Row],[Type1]]),FALSE),TypeTW,2,FALSE),"")</f>
        <v/>
      </c>
      <c r="BU319" s="182" t="str">
        <f>IFERROR(VLOOKUP($A319,T_TraitDi[#Data],COLUMN(T_TraitDi[[#This Row],[Rue1]]),FALSE),"")</f>
        <v/>
      </c>
      <c r="BV319" s="173" t="str">
        <f>IFERROR(VLOOKUP($A319,T_TraitDi[#Data],COLUMN(T_TraitDi[[#This Row],[CP1]]),FALSE),"")</f>
        <v/>
      </c>
      <c r="BW319" s="173" t="str">
        <f>IFERROR(VLOOKUP($A319,T_TraitDi[#Data],COLUMN(T_TraitDi[[#This Row],[VILLE1]]),FALSE),"")</f>
        <v/>
      </c>
      <c r="BX319" s="182" t="str">
        <f>IFERROR(VLOOKUP(VLOOKUP($A319,T_TraitDi[#Data],COLUMN(T_TraitDi[[#This Row],[Type2]]),FALSE),TypeTW,2,FALSE),"")</f>
        <v/>
      </c>
      <c r="BY319" s="182" t="str">
        <f>IFERROR(VLOOKUP($A319,T_TraitDi[#Data],COLUMN(T_TraitDi[[#This Row],[Rue2]]),FALSE),"")</f>
        <v/>
      </c>
      <c r="BZ319" s="173" t="str">
        <f>IFERROR(VLOOKUP($A319,T_TraitDi[#Data],COLUMN(T_TraitDi[[#This Row],[CP2]]),FALSE),"")</f>
        <v/>
      </c>
      <c r="CA319" s="173" t="str">
        <f>IFERROR(VLOOKUP($A319,T_TraitDi[#Data],COLUMN(T_TraitDi[[#This Row],[VILLE2]]),FALSE),"")</f>
        <v/>
      </c>
      <c r="CB319"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19" s="166" t="str">
        <f>IFERROR(IF(VLOOKUP(T_BilanSocial[[#This Row],[NumL]],T_TraitDi[#Data],COLUMN(T_TraitDi[[#This Row],[Plan]]),FALSE)="OK","Un planning spécifique de télétravail est annexé à la présente convention.",""),"")</f>
        <v/>
      </c>
      <c r="CD319" s="301"/>
      <c r="CE319" s="164" t="e">
        <f>IF(VLOOKUP(T_BilanSocial[[#This Row],[NumL]],T_suiviDi[#Data],COLUMN(T_suiviDi[[#This Row],[Entité]]),FALSE)="","",VLOOKUP(T_BilanSocial[[#This Row],[NumL]],T_suiviDi[#Data],COLUMN(T_suiviDi[[#This Row],[Entité]]),FALSE))</f>
        <v>#VALUE!</v>
      </c>
      <c r="CF319" s="164" t="str">
        <f>IF(VLOOKUP(T_BilanSocial[[#This Row],[NumL]],T_Commission[#Data],COLUMN(T_Commission[[#This Row],[envoi confirm TW]]),FALSE)="","",VLOOKUP(T_BilanSocial[[#This Row],[NumL]],T_Commission[#Data],COLUMN(T_Commission[[#This Row],[envoi confirm TW]]),FALSE))</f>
        <v>Oui</v>
      </c>
      <c r="CG31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19" s="339" t="str">
        <f>T_BilanSocial[[#This Row],[Nom]]&amp;T_BilanSocial[[#This Row],[Prenom]]</f>
        <v/>
      </c>
      <c r="CI319" s="339">
        <f>VLOOKUP(T_BilanSocial[[#This Row],[NumL]],T_Commission[#Data],COLUMN(T_Commission[Commentaire]),FALSE)</f>
        <v>0</v>
      </c>
      <c r="CJ319" s="339" t="str">
        <f>IF(VLOOKUP(T_BilanSocial[[#This Row],[NumL]],T_Commission[#Data],COLUMN(T_Commission[Encadrant Email]),FALSE)="","",VLOOKUP(T_BilanSocial[[#This Row],[NumL]],T_Commission[#Data],COLUMN(T_Commission[Encadrant Email]),FALSE))</f>
        <v/>
      </c>
      <c r="CK319" s="332" t="str">
        <f>IF(T_BilanSocial[[#This Row],[Final]]&lt;&gt;"",VLOOKUP(T_BilanSocial[[#This Row],[NumL]],T_suiviDi[#Data],COLUMN((T_suiviDi[Statut])),FALSE),"")</f>
        <v/>
      </c>
    </row>
    <row r="320" spans="1:89" s="50" customFormat="1" ht="21" customHeight="1" x14ac:dyDescent="0.25">
      <c r="A320" s="136">
        <v>317</v>
      </c>
      <c r="B320" s="330" t="str">
        <f t="shared" si="56"/>
        <v/>
      </c>
      <c r="C320" s="309"/>
      <c r="D320" s="95" t="e">
        <f>IF(VLOOKUP(T_BilanSocial[[#This Row],[NumL]],T_TraitDi[#Data],COLUMN(T_TraitDi[[#This Row],[WebC]]),FALSE)="","",VLOOKUP(T_BilanSocial[[#This Row],[NumL]],T_TraitDi[#Data],COLUMN(T_TraitDi[[#This Row],[WebC]]),FALSE))</f>
        <v>#VALUE!</v>
      </c>
      <c r="E320" s="95" t="str">
        <f t="shared" si="57"/>
        <v>12 janvier 2021</v>
      </c>
      <c r="F320" s="96" t="str">
        <f>IF(T_BilanSocial[[#This Row],[Final]]&lt;&gt;"",VLOOKUP(T_BilanSocial[[#This Row],[NumL]],T_suiviDi[#Data],COLUMN((T_suiviDi[Civ.])),FALSE),"")</f>
        <v/>
      </c>
      <c r="G320" s="96" t="str">
        <f>IF(T_BilanSocial[[#This Row],[Final]]&lt;&gt;"",VLOOKUP(T_BilanSocial[[#This Row],[NumL]],T_suiviDi[#Data],COLUMN((T_suiviDi[Nom])),FALSE),"")</f>
        <v/>
      </c>
      <c r="H320" s="96" t="str">
        <f>IF(T_BilanSocial[[#This Row],[Final]]&lt;&gt;"",VLOOKUP(T_BilanSocial[[#This Row],[NumL]],T_suiviDi[#Data],COLUMN((T_suiviDi[Prénom])),FALSE),"")</f>
        <v/>
      </c>
      <c r="I320" s="331" t="str">
        <f>IFERROR(VLOOKUP(T_BilanSocial[[#This Row],[Zone_Bilan]],T_P_BilanSocial[#Data],COLUMN(T_P_BilanSocial[[#This Row],[Numero_SIHAM]]),FALSE),"")</f>
        <v/>
      </c>
      <c r="J320" s="331" t="str">
        <f>IFERROR(VLOOKUP(T_BilanSocial[[#This Row],[Zone_Bilan]],T_P_BilanSocial[#Data],COLUMN(T_P_BilanSocial[[#This Row],[Sexe]]),FALSE),"")</f>
        <v/>
      </c>
      <c r="K320" s="294" t="str">
        <f>IFERROR(VLOOKUP(T_BilanSocial[[#This Row],[Zone_Bilan]],T_P_BilanSocial[#Data],COLUMN(T_P_BilanSocial[[#This Row],[Categorie]]),FALSE),"")</f>
        <v/>
      </c>
      <c r="L320" s="331" t="str">
        <f>IFERROR(VLOOKUP(T_BilanSocial[[#This Row],[Zone_Bilan]],T_P_BilanSocial[#Data],COLUMN(T_P_BilanSocial[[#This Row],[Statut]]),FALSE),"")</f>
        <v/>
      </c>
      <c r="M320" s="331" t="str">
        <f>IFERROR(VLOOKUP(T_BilanSocial[[#This Row],[Zone_Bilan]],T_P_BilanSocial[#Data],COLUMN(T_P_BilanSocial[[#This Row],[Filiere]]),FALSE),"")</f>
        <v/>
      </c>
      <c r="N320" s="331" t="e">
        <f>VLOOKUP(T_BilanSocial[[#This Row],[NumL]],T_TraitDi[#Data],COLUMN(T_TraitDi[EXP]),FALSE)</f>
        <v>#N/A</v>
      </c>
      <c r="O320" s="331" t="e">
        <f>VLOOKUP(T_BilanSocial[[#This Row],[NumL]],T_TraitDi[#Data],COLUMN(T_TraitDi[FORM]),FALSE)</f>
        <v>#N/A</v>
      </c>
      <c r="P320" s="96" t="str">
        <f>IF(T_BilanSocial[[#This Row],[Final]]&lt;&gt;"",VLOOKUP(T_BilanSocial[[#This Row],[NumL]],T_suiviDi[#Data],COLUMN((T_suiviDi[Email])),FALSE),"")</f>
        <v/>
      </c>
      <c r="Q320" s="96" t="e">
        <f t="shared" si="58"/>
        <v>#N/A</v>
      </c>
      <c r="R320" s="96" t="e">
        <f t="shared" si="59"/>
        <v>#N/A</v>
      </c>
      <c r="S320" s="96" t="str">
        <f t="shared" si="55"/>
        <v/>
      </c>
      <c r="T320" s="96" t="str">
        <f t="shared" si="60"/>
        <v>01 septembre 2021</v>
      </c>
      <c r="U320" s="96" t="str">
        <f t="shared" si="61"/>
        <v>30 novembre 2021</v>
      </c>
      <c r="V320" s="97">
        <f t="shared" si="62"/>
        <v>44530</v>
      </c>
      <c r="W320" s="176" t="e">
        <f>IF(VLOOKUP(T_BilanSocial[[#This Row],[NumL]],T_TraitDi[#Data],COLUMN(T_TraitDi[[#This Row],[M1]]),FALSE)="","",VLOOKUP(T_BilanSocial[[#This Row],[NumL]],T_TraitDi[#Data],COLUMN(T_TraitDi[[#This Row],[M1]]),FALSE))</f>
        <v>#VALUE!</v>
      </c>
      <c r="X320" s="96" t="str">
        <f t="shared" si="68"/>
        <v/>
      </c>
      <c r="Y320" s="96" t="str">
        <f t="shared" si="68"/>
        <v/>
      </c>
      <c r="Z320" s="96" t="str">
        <f t="shared" si="64"/>
        <v/>
      </c>
      <c r="AA320" s="176" t="e">
        <f>IF(VLOOKUP(T_BilanSocial[[#This Row],[NumL]],T_TraitDi[#Data],COLUMN(T_TraitDi[[#This Row],[M5]]),FALSE)="","",VLOOKUP(T_BilanSocial[[#This Row],[NumL]],T_TraitDi[#Data],COLUMN(T_TraitDi[[#This Row],[M5]]),FALSE))</f>
        <v>#VALUE!</v>
      </c>
      <c r="AB320" s="176" t="e">
        <f>IF(VLOOKUP(T_BilanSocial[[#This Row],[NumL]],T_TraitDi[#Data],COLUMN(T_TraitDi[[#This Row],[M6]]),FALSE)="","",VLOOKUP(T_BilanSocial[[#This Row],[NumL]],T_TraitDi[#Data],COLUMN(T_TraitDi[[#This Row],[M6]]),FALSE))</f>
        <v>#VALUE!</v>
      </c>
      <c r="AC320" s="96" t="e">
        <f t="shared" si="69"/>
        <v>#VALUE!</v>
      </c>
      <c r="AD320" s="97" t="str">
        <f t="shared" si="65"/>
        <v/>
      </c>
      <c r="AE320" s="294" t="e">
        <f>VLOOKUP(T_BilanSocial[[#This Row],[NumL]],T_TraitDi[#Data],COLUMN(T_TraitDi[[#This Row],[Reg Ponct]]),FALSE)</f>
        <v>#VALUE!</v>
      </c>
      <c r="AF320" s="294" t="e">
        <f>VLOOKUP(T_BilanSocial[NumL],T_TraitDi[#Data],COLUMN(T_TraitDi[[#This Row],[Jours flottants]]),FALSE)</f>
        <v>#VALUE!</v>
      </c>
      <c r="AG320" s="97" t="str">
        <f>IFERROR(VLOOKUP(T_BilanSocial[[#This Row],[NumL]],T_TraitDi[#Data],COLUMN(T_TraitDi[[#This Row],[Lundi]]),FALSE),"")</f>
        <v/>
      </c>
      <c r="AH320" s="172" t="e">
        <f>IF(VLOOKUP(T_BilanSocial[[#This Row],[NumL]],T_TraitDi[#Data],COLUMN(T_TraitDi[[#This Row],[Colonne3]]),FALSE)=0,"",TEXT(IFERROR(VLOOKUP(T_BilanSocial[[#This Row],[NumL]],T_TraitDi[#Data],COLUMN(T_TraitDi[[#This Row],[Colonne3]]),FALSE),""),"[hh]:mm"))</f>
        <v>#VALUE!</v>
      </c>
      <c r="AI320" s="172" t="e">
        <f>IF(VLOOKUP(T_BilanSocial[[#This Row],[NumL]],T_TraitDi[#Data],COLUMN(T_TraitDi[[#This Row],[Colonne4]]),FALSE)=0,"",TEXT(IFERROR(VLOOKUP(T_BilanSocial[[#This Row],[NumL]],T_TraitDi[#Data],COLUMN(T_TraitDi[[#This Row],[Colonne4]]),FALSE),""),"[hh]:mm"))</f>
        <v>#VALUE!</v>
      </c>
      <c r="AJ320" s="172" t="e">
        <f>IF(VLOOKUP(T_BilanSocial[[#This Row],[NumL]],T_TraitDi[#Data],COLUMN(T_TraitDi[[#This Row],[Colonne5]]),FALSE)=0,"",TEXT(IFERROR(VLOOKUP(T_BilanSocial[[#This Row],[NumL]],T_TraitDi[#Data],COLUMN(T_TraitDi[[#This Row],[Colonne5]]),FALSE),""),"[hh]:mm"))</f>
        <v>#VALUE!</v>
      </c>
      <c r="AK320" s="172" t="e">
        <f>IF(VLOOKUP(T_BilanSocial[[#This Row],[NumL]],T_TraitDi[#Data],COLUMN(T_TraitDi[[#This Row],[Colonne6]]),FALSE)=0,"",TEXT(IFERROR(VLOOKUP(T_BilanSocial[[#This Row],[NumL]],T_TraitDi[#Data],COLUMN(T_TraitDi[[#This Row],[Colonne6]]),FALSE),""),"[hh]:mm"))</f>
        <v>#VALUE!</v>
      </c>
      <c r="AL320" s="172" t="e">
        <f>IF(VLOOKUP(T_BilanSocial[[#This Row],[NumL]],T_TraitDi[#Data],COLUMN(T_TraitDi[[#This Row],[Colonne7]]),FALSE)=0,"",TEXT(IFERROR(VLOOKUP(T_BilanSocial[[#This Row],[NumL]],T_TraitDi[#Data],COLUMN(T_TraitDi[[#This Row],[Colonne7]]),FALSE),""),"[hh]:mm"))</f>
        <v>#VALUE!</v>
      </c>
      <c r="AM320" s="172" t="e">
        <f>IF(VLOOKUP(T_BilanSocial[[#This Row],[NumL]],T_TraitDi[#Data],COLUMN(T_TraitDi[[#This Row],[Colonne8]]),FALSE)=0,"",TEXT(IFERROR(VLOOKUP(T_BilanSocial[[#This Row],[NumL]],T_TraitDi[#Data],COLUMN(T_TraitDi[[#This Row],[Colonne8]]),FALSE),""),"[hh]:mm"))</f>
        <v>#VALUE!</v>
      </c>
      <c r="AN320" s="172" t="str">
        <f>IFERROR(VLOOKUP(T_BilanSocial[[#This Row],[NumL]],T_TraitDi[#Data],COLUMN(T_TraitDi[[#This Row],[Mardi]]),FALSE),"")</f>
        <v/>
      </c>
      <c r="AO320" s="172" t="e">
        <f>IF(VLOOKUP(T_BilanSocial[[#This Row],[NumL]],T_TraitDi[#Data],COLUMN(T_TraitDi[[#This Row],[Colonne1]]),FALSE)=0,"",TEXT(IFERROR(VLOOKUP(T_BilanSocial[[#This Row],[NumL]],T_TraitDi[#Data],COLUMN(T_TraitDi[[#This Row],[Colonne1]]),FALSE),""),"[hh]:mm"))</f>
        <v>#VALUE!</v>
      </c>
      <c r="AP320" s="172" t="e">
        <f>IF(VLOOKUP(T_BilanSocial[[#This Row],[NumL]],T_TraitDi[#Data],COLUMN(T_TraitDi[[#This Row],[Colonne9]]),FALSE)=0,"",TEXT(IFERROR(VLOOKUP(T_BilanSocial[[#This Row],[NumL]],T_TraitDi[#Data],COLUMN(T_TraitDi[[#This Row],[Colonne9]]),FALSE),""),"[hh]:mm"))</f>
        <v>#VALUE!</v>
      </c>
      <c r="AQ320" s="172" t="str">
        <f>IFERROR(VLOOKUP(T_BilanSocial[[#This Row],[NumL]],T_TraitDi[#Data],COLUMN(T_TraitDi[[#This Row],[Colonne10]]),FALSE),"")</f>
        <v/>
      </c>
      <c r="AR320" s="172" t="e">
        <f>IF(VLOOKUP(T_BilanSocial[[#This Row],[NumL]],T_TraitDi[#Data],COLUMN(T_TraitDi[[#This Row],[Colonne11]]),FALSE)=0,"",TEXT(IFERROR(VLOOKUP(T_BilanSocial[[#This Row],[NumL]],T_TraitDi[#Data],COLUMN(T_TraitDi[[#This Row],[Colonne11]]),FALSE),""),"[hh]:mm"))</f>
        <v>#VALUE!</v>
      </c>
      <c r="AS320" s="172" t="e">
        <f>IF(VLOOKUP(T_BilanSocial[[#This Row],[NumL]],T_TraitDi[#Data],COLUMN(T_TraitDi[[#This Row],[Colonne12]]),FALSE)=0,"",TEXT(IFERROR(VLOOKUP(T_BilanSocial[[#This Row],[NumL]],T_TraitDi[#Data],COLUMN(T_TraitDi[[#This Row],[Colonne12]]),FALSE),""),"[hh]:mm"))</f>
        <v>#VALUE!</v>
      </c>
      <c r="AT320" s="172" t="e">
        <f>IF(VLOOKUP(T_BilanSocial[[#This Row],[NumL]],T_TraitDi[#Data],COLUMN(T_TraitDi[[#This Row],[Colonne14]]),FALSE)=0,"",TEXT(IFERROR(VLOOKUP(T_BilanSocial[[#This Row],[NumL]],T_TraitDi[#Data],COLUMN(T_TraitDi[[#This Row],[Colonne14]]),FALSE),""),"[hh]:mm"))</f>
        <v>#VALUE!</v>
      </c>
      <c r="AU320" s="172" t="str">
        <f>IFERROR(VLOOKUP(T_BilanSocial[[#This Row],[NumL]],T_TraitDi[#Data],COLUMN(T_TraitDi[[#This Row],[Mercredi]]),FALSE),"")</f>
        <v/>
      </c>
      <c r="AV320" s="172" t="e">
        <f>IF(VLOOKUP(T_BilanSocial[[#This Row],[NumL]],T_TraitDi[#Data],COLUMN(T_TraitDi[[#This Row],[Colonne15]]),FALSE)=0,"",TEXT(IFERROR(VLOOKUP(T_BilanSocial[[#This Row],[NumL]],T_TraitDi[#Data],COLUMN(T_TraitDi[[#This Row],[Colonne15]]),FALSE),""),"[hh]:mm"))</f>
        <v>#VALUE!</v>
      </c>
      <c r="AW320" s="172" t="e">
        <f>IF(VLOOKUP(T_BilanSocial[[#This Row],[NumL]],T_TraitDi[#Data],COLUMN(T_TraitDi[[#This Row],[Colonne16]]),FALSE)=0,"",TEXT(IFERROR(VLOOKUP(T_BilanSocial[[#This Row],[NumL]],T_TraitDi[#Data],COLUMN(T_TraitDi[[#This Row],[Colonne16]]),FALSE),""),"[hh]:mm"))</f>
        <v>#VALUE!</v>
      </c>
      <c r="AX320" s="172" t="str">
        <f>IFERROR(VLOOKUP(T_BilanSocial[[#This Row],[NumL]],T_TraitDi[#Data],COLUMN(T_TraitDi[[#This Row],[Colonne17]]),FALSE),"")</f>
        <v/>
      </c>
      <c r="AY320" s="172" t="e">
        <f>IF(VLOOKUP(T_BilanSocial[[#This Row],[NumL]],T_TraitDi[#Data],COLUMN(T_TraitDi[[#This Row],[Colonne18]]),FALSE)=0,"",TEXT(IFERROR(VLOOKUP(T_BilanSocial[[#This Row],[NumL]],T_TraitDi[#Data],COLUMN(T_TraitDi[[#This Row],[Colonne18]]),FALSE),""),"[hh]:mm"))</f>
        <v>#VALUE!</v>
      </c>
      <c r="AZ320" s="172" t="e">
        <f>IF(VLOOKUP(T_BilanSocial[[#This Row],[NumL]],T_TraitDi[#Data],COLUMN(T_TraitDi[[#This Row],[Colonne19]]),FALSE)=0,"",TEXT(IFERROR(VLOOKUP(T_BilanSocial[[#This Row],[NumL]],T_TraitDi[#Data],COLUMN(T_TraitDi[[#This Row],[Colonne19]]),FALSE),""),"[hh]:mm"))</f>
        <v>#VALUE!</v>
      </c>
      <c r="BA320" s="172" t="e">
        <f>IF(VLOOKUP(T_BilanSocial[[#This Row],[NumL]],T_TraitDi[#Data],COLUMN(T_TraitDi[[#This Row],[Colonne20]]),FALSE)=0,"",TEXT(IFERROR(VLOOKUP(T_BilanSocial[[#This Row],[NumL]],T_TraitDi[#Data],COLUMN(T_TraitDi[[#This Row],[Colonne20]]),FALSE),""),"[hh]:mm"))</f>
        <v>#VALUE!</v>
      </c>
      <c r="BB320" s="178" t="str">
        <f>IFERROR(VLOOKUP(T_BilanSocial[[#This Row],[NumL]],T_TraitDi[#Data],COLUMN(T_TraitDi[[#This Row],[Jeudi]]),FALSE),"")</f>
        <v/>
      </c>
      <c r="BC320" s="178" t="e">
        <f>IF(VLOOKUP(T_BilanSocial[[#This Row],[NumL]],T_TraitDi[#Data],COLUMN(T_TraitDi[[#This Row],[Colonne21]]),FALSE)=0,"",TEXT(IFERROR(VLOOKUP(T_BilanSocial[[#This Row],[NumL]],T_TraitDi[#Data],COLUMN(T_TraitDi[[#This Row],[Colonne21]]),FALSE),""),"[hh]:mm"))</f>
        <v>#VALUE!</v>
      </c>
      <c r="BD320" s="178" t="e">
        <f>IF(VLOOKUP(T_BilanSocial[[#This Row],[NumL]],T_TraitDi[#Data],COLUMN(T_TraitDi[[#This Row],[Colonne22]]),FALSE)=0,"",TEXT(IFERROR(VLOOKUP(T_BilanSocial[[#This Row],[NumL]],T_TraitDi[#Data],COLUMN(T_TraitDi[[#This Row],[Colonne22]]),FALSE),""),"[hh]:mm"))</f>
        <v>#VALUE!</v>
      </c>
      <c r="BE320" s="178" t="str">
        <f>IFERROR(VLOOKUP(T_BilanSocial[[#This Row],[NumL]],T_TraitDi[#Data],COLUMN(T_TraitDi[[#This Row],[Colonne23]]),FALSE),"")</f>
        <v/>
      </c>
      <c r="BF320" s="178" t="e">
        <f>IF(VLOOKUP(T_BilanSocial[[#This Row],[NumL]],T_TraitDi[#Data],COLUMN(T_TraitDi[[#This Row],[Colonne24]]),FALSE)=0,"",TEXT(IFERROR(VLOOKUP(T_BilanSocial[[#This Row],[NumL]],T_TraitDi[#Data],COLUMN(T_TraitDi[[#This Row],[Colonne24]]),FALSE),""),"[hh]:mm"))</f>
        <v>#VALUE!</v>
      </c>
      <c r="BG320" s="178" t="e">
        <f>IF(VLOOKUP(T_BilanSocial[[#This Row],[NumL]],T_TraitDi[#Data],COLUMN(T_TraitDi[[#This Row],[Colonne25]]),FALSE)=0,"",TEXT(IFERROR(VLOOKUP(T_BilanSocial[[#This Row],[NumL]],T_TraitDi[#Data],COLUMN(T_TraitDi[[#This Row],[Colonne25]]),FALSE),""),"[hh]:mm"))</f>
        <v>#VALUE!</v>
      </c>
      <c r="BH320" s="178" t="e">
        <f>IF(VLOOKUP(T_BilanSocial[[#This Row],[NumL]],T_TraitDi[#Data],COLUMN(T_TraitDi[[#This Row],[Colonne26]]),FALSE)=0,"",TEXT(IFERROR(VLOOKUP(T_BilanSocial[[#This Row],[NumL]],T_TraitDi[#Data],COLUMN(T_TraitDi[[#This Row],[Colonne26]]),FALSE),""),"[hh]:mm"))</f>
        <v>#VALUE!</v>
      </c>
      <c r="BI320" s="172" t="str">
        <f>IFERROR(VLOOKUP(T_BilanSocial[[#This Row],[NumL]],T_TraitDi[#Data],COLUMN(T_TraitDi[[#This Row],[Vendredi]]),FALSE),"")</f>
        <v/>
      </c>
      <c r="BJ320" s="172" t="e">
        <f>IF(VLOOKUP(T_BilanSocial[[#This Row],[NumL]],T_TraitDi[#Data],COLUMN(T_TraitDi[[#This Row],[Colonne27]]),FALSE)=0,"",TEXT(IFERROR(VLOOKUP(T_BilanSocial[[#This Row],[NumL]],T_TraitDi[#Data],COLUMN(T_TraitDi[[#This Row],[Colonne27]]),FALSE),""),"[hh]:mm"))</f>
        <v>#VALUE!</v>
      </c>
      <c r="BK320" s="172" t="e">
        <f>IF(VLOOKUP(T_BilanSocial[[#This Row],[NumL]],T_TraitDi[#Data],COLUMN(T_TraitDi[[#This Row],[Colonne28]]),FALSE)=0,"",TEXT(IFERROR(VLOOKUP(T_BilanSocial[[#This Row],[NumL]],T_TraitDi[#Data],COLUMN(T_TraitDi[[#This Row],[Colonne28]]),FALSE),""),"[hh]:mm"))</f>
        <v>#VALUE!</v>
      </c>
      <c r="BL320" s="172" t="str">
        <f>IFERROR(VLOOKUP(T_BilanSocial[[#This Row],[NumL]],T_TraitDi[#Data],COLUMN(T_TraitDi[[#This Row],[Colonne29]]),FALSE),"")</f>
        <v/>
      </c>
      <c r="BM320" s="172" t="e">
        <f>IF(VLOOKUP(T_BilanSocial[[#This Row],[NumL]],T_TraitDi[#Data],COLUMN(T_TraitDi[[#This Row],[Colonne30]]),FALSE)=0,"",TEXT(IFERROR(VLOOKUP(T_BilanSocial[[#This Row],[NumL]],T_TraitDi[#Data],COLUMN(T_TraitDi[[#This Row],[Colonne30]]),FALSE),""),"[hh]:mm"))</f>
        <v>#VALUE!</v>
      </c>
      <c r="BN320" s="172" t="e">
        <f>IF(VLOOKUP(T_BilanSocial[[#This Row],[NumL]],T_TraitDi[#Data],COLUMN(T_TraitDi[[#This Row],[Colonne31]]),FALSE)=0,"",TEXT(IFERROR(VLOOKUP(T_BilanSocial[[#This Row],[NumL]],T_TraitDi[#Data],COLUMN(T_TraitDi[[#This Row],[Colonne31]]),FALSE),""),"[hh]:mm"))</f>
        <v>#VALUE!</v>
      </c>
      <c r="BO320" s="172" t="e">
        <f>IF(VLOOKUP(T_BilanSocial[[#This Row],[NumL]],T_TraitDi[#Data],COLUMN(T_TraitDi[[#This Row],[Colonne32]]),FALSE)=0,"",TEXT(IFERROR(VLOOKUP(T_BilanSocial[[#This Row],[NumL]],T_TraitDi[#Data],COLUMN(T_TraitDi[[#This Row],[Colonne32]]),FALSE),""),"[hh]:mm"))</f>
        <v>#VALUE!</v>
      </c>
      <c r="BP320" s="172" t="e">
        <f>VLOOKUP(T_BilanSocial[[#This Row],[NumL]],T_TraitDi[#Data],COLUMN(T_TraitDi[NbJTot]),FALSE)</f>
        <v>#N/A</v>
      </c>
      <c r="BQ320" s="174" t="str">
        <f>IFERROR(VLOOKUP(T_BilanSocial[[#This Row],[NumL]],T_TraitDi[#Data],COLUMN(T_TraitDi[[#This Row],[NbJTW]]),FALSE),"")</f>
        <v/>
      </c>
      <c r="BR320" s="174" t="e">
        <f>IF(VLOOKUP(T_BilanSocial[[#This Row],[NumL]],T_TraitDi[#Data],COLUMN(T_TraitDi[[#This Row],[NbhTW]]),FALSE)=0,"",TEXT(IFERROR(VLOOKUP(T_BilanSocial[[#This Row],[NumL]],T_TraitDi[#Data],COLUMN(T_TraitDi[[#This Row],[NbhTW]]),FALSE),""),"[hh]:mm"))</f>
        <v>#VALUE!</v>
      </c>
      <c r="BS320" s="174" t="e">
        <f>IF(VLOOKUP(T_BilanSocial[[#This Row],[NumL]],T_TraitDi[#Data],COLUMN(T_TraitDi[[#This Row],[Nbhheb]]),FALSE)=0,"",TEXT(IFERROR(VLOOKUP($A320,T_TraitDi[#Data],COLUMN(T_TraitDi[[#This Row],[Nbhheb]]),FALSE),""),"[hh]:mm"))</f>
        <v>#VALUE!</v>
      </c>
      <c r="BT320" s="182" t="str">
        <f>IFERROR(VLOOKUP(VLOOKUP($A320,T_TraitDi[#Data],COLUMN(T_TraitDi[[#This Row],[Type1]]),FALSE),TypeTW,2,FALSE),"")</f>
        <v/>
      </c>
      <c r="BU320" s="182" t="str">
        <f>IFERROR(VLOOKUP($A320,T_TraitDi[#Data],COLUMN(T_TraitDi[[#This Row],[Rue1]]),FALSE),"")</f>
        <v/>
      </c>
      <c r="BV320" s="173" t="str">
        <f>IFERROR(VLOOKUP($A320,T_TraitDi[#Data],COLUMN(T_TraitDi[[#This Row],[CP1]]),FALSE),"")</f>
        <v/>
      </c>
      <c r="BW320" s="173" t="str">
        <f>IFERROR(VLOOKUP($A320,T_TraitDi[#Data],COLUMN(T_TraitDi[[#This Row],[VILLE1]]),FALSE),"")</f>
        <v/>
      </c>
      <c r="BX320" s="182" t="str">
        <f>IFERROR(VLOOKUP(VLOOKUP($A320,T_TraitDi[#Data],COLUMN(T_TraitDi[[#This Row],[Type2]]),FALSE),TypeTW,2,FALSE),"")</f>
        <v/>
      </c>
      <c r="BY320" s="182" t="str">
        <f>IFERROR(VLOOKUP($A320,T_TraitDi[#Data],COLUMN(T_TraitDi[[#This Row],[Rue2]]),FALSE),"")</f>
        <v/>
      </c>
      <c r="BZ320" s="173" t="str">
        <f>IFERROR(VLOOKUP($A320,T_TraitDi[#Data],COLUMN(T_TraitDi[[#This Row],[CP2]]),FALSE),"")</f>
        <v/>
      </c>
      <c r="CA320" s="173" t="str">
        <f>IFERROR(VLOOKUP($A320,T_TraitDi[#Data],COLUMN(T_TraitDi[[#This Row],[VILLE2]]),FALSE),"")</f>
        <v/>
      </c>
      <c r="CB320"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20" s="166" t="str">
        <f>IFERROR(IF(VLOOKUP(T_BilanSocial[[#This Row],[NumL]],T_TraitDi[#Data],COLUMN(T_TraitDi[[#This Row],[Plan]]),FALSE)="OK","Un planning spécifique de télétravail est annexé à la présente convention.",""),"")</f>
        <v/>
      </c>
      <c r="CD320" s="301"/>
      <c r="CE320" s="164" t="e">
        <f>IF(VLOOKUP(T_BilanSocial[[#This Row],[NumL]],T_suiviDi[#Data],COLUMN(T_suiviDi[[#This Row],[Entité]]),FALSE)="","",VLOOKUP(T_BilanSocial[[#This Row],[NumL]],T_suiviDi[#Data],COLUMN(T_suiviDi[[#This Row],[Entité]]),FALSE))</f>
        <v>#VALUE!</v>
      </c>
      <c r="CF320" s="164" t="str">
        <f>IF(VLOOKUP(T_BilanSocial[[#This Row],[NumL]],T_Commission[#Data],COLUMN(T_Commission[[#This Row],[envoi confirm TW]]),FALSE)="","",VLOOKUP(T_BilanSocial[[#This Row],[NumL]],T_Commission[#Data],COLUMN(T_Commission[[#This Row],[envoi confirm TW]]),FALSE))</f>
        <v>Oui</v>
      </c>
      <c r="CG32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0" s="339" t="str">
        <f>T_BilanSocial[[#This Row],[Nom]]&amp;T_BilanSocial[[#This Row],[Prenom]]</f>
        <v/>
      </c>
      <c r="CI320" s="339">
        <f>VLOOKUP(T_BilanSocial[[#This Row],[NumL]],T_Commission[#Data],COLUMN(T_Commission[Commentaire]),FALSE)</f>
        <v>0</v>
      </c>
      <c r="CJ320" s="339" t="str">
        <f>IF(VLOOKUP(T_BilanSocial[[#This Row],[NumL]],T_Commission[#Data],COLUMN(T_Commission[Encadrant Email]),FALSE)="","",VLOOKUP(T_BilanSocial[[#This Row],[NumL]],T_Commission[#Data],COLUMN(T_Commission[Encadrant Email]),FALSE))</f>
        <v/>
      </c>
      <c r="CK320" s="332" t="str">
        <f>IF(T_BilanSocial[[#This Row],[Final]]&lt;&gt;"",VLOOKUP(T_BilanSocial[[#This Row],[NumL]],T_suiviDi[#Data],COLUMN((T_suiviDi[Statut])),FALSE),"")</f>
        <v/>
      </c>
    </row>
    <row r="321" spans="1:89" s="50" customFormat="1" ht="21" customHeight="1" x14ac:dyDescent="0.25">
      <c r="A321" s="136">
        <v>318</v>
      </c>
      <c r="B321" s="330" t="str">
        <f t="shared" si="56"/>
        <v/>
      </c>
      <c r="C321" s="309"/>
      <c r="D321" s="95" t="e">
        <f>IF(VLOOKUP(T_BilanSocial[[#This Row],[NumL]],T_TraitDi[#Data],COLUMN(T_TraitDi[[#This Row],[WebC]]),FALSE)="","",VLOOKUP(T_BilanSocial[[#This Row],[NumL]],T_TraitDi[#Data],COLUMN(T_TraitDi[[#This Row],[WebC]]),FALSE))</f>
        <v>#VALUE!</v>
      </c>
      <c r="E321" s="95" t="str">
        <f t="shared" si="57"/>
        <v>12 janvier 2021</v>
      </c>
      <c r="F321" s="96" t="str">
        <f>IF(T_BilanSocial[[#This Row],[Final]]&lt;&gt;"",VLOOKUP(T_BilanSocial[[#This Row],[NumL]],T_suiviDi[#Data],COLUMN((T_suiviDi[Civ.])),FALSE),"")</f>
        <v/>
      </c>
      <c r="G321" s="96" t="str">
        <f>IF(T_BilanSocial[[#This Row],[Final]]&lt;&gt;"",VLOOKUP(T_BilanSocial[[#This Row],[NumL]],T_suiviDi[#Data],COLUMN((T_suiviDi[Nom])),FALSE),"")</f>
        <v/>
      </c>
      <c r="H321" s="96" t="str">
        <f>IF(T_BilanSocial[[#This Row],[Final]]&lt;&gt;"",VLOOKUP(T_BilanSocial[[#This Row],[NumL]],T_suiviDi[#Data],COLUMN((T_suiviDi[Prénom])),FALSE),"")</f>
        <v/>
      </c>
      <c r="I321" s="331" t="str">
        <f>IFERROR(VLOOKUP(T_BilanSocial[[#This Row],[Zone_Bilan]],T_P_BilanSocial[#Data],COLUMN(T_P_BilanSocial[[#This Row],[Numero_SIHAM]]),FALSE),"")</f>
        <v/>
      </c>
      <c r="J321" s="331" t="str">
        <f>IFERROR(VLOOKUP(T_BilanSocial[[#This Row],[Zone_Bilan]],T_P_BilanSocial[#Data],COLUMN(T_P_BilanSocial[[#This Row],[Sexe]]),FALSE),"")</f>
        <v/>
      </c>
      <c r="K321" s="294" t="str">
        <f>IFERROR(VLOOKUP(T_BilanSocial[[#This Row],[Zone_Bilan]],T_P_BilanSocial[#Data],COLUMN(T_P_BilanSocial[[#This Row],[Categorie]]),FALSE),"")</f>
        <v/>
      </c>
      <c r="L321" s="331" t="str">
        <f>IFERROR(VLOOKUP(T_BilanSocial[[#This Row],[Zone_Bilan]],T_P_BilanSocial[#Data],COLUMN(T_P_BilanSocial[[#This Row],[Statut]]),FALSE),"")</f>
        <v/>
      </c>
      <c r="M321" s="331" t="str">
        <f>IFERROR(VLOOKUP(T_BilanSocial[[#This Row],[Zone_Bilan]],T_P_BilanSocial[#Data],COLUMN(T_P_BilanSocial[[#This Row],[Filiere]]),FALSE),"")</f>
        <v/>
      </c>
      <c r="N321" s="331" t="e">
        <f>VLOOKUP(T_BilanSocial[[#This Row],[NumL]],T_TraitDi[#Data],COLUMN(T_TraitDi[EXP]),FALSE)</f>
        <v>#N/A</v>
      </c>
      <c r="O321" s="331" t="e">
        <f>VLOOKUP(T_BilanSocial[[#This Row],[NumL]],T_TraitDi[#Data],COLUMN(T_TraitDi[FORM]),FALSE)</f>
        <v>#N/A</v>
      </c>
      <c r="P321" s="96" t="str">
        <f>IF(T_BilanSocial[[#This Row],[Final]]&lt;&gt;"",VLOOKUP(T_BilanSocial[[#This Row],[NumL]],T_suiviDi[#Data],COLUMN((T_suiviDi[Email])),FALSE),"")</f>
        <v/>
      </c>
      <c r="Q321" s="96" t="e">
        <f t="shared" si="58"/>
        <v>#N/A</v>
      </c>
      <c r="R321" s="96" t="e">
        <f t="shared" si="59"/>
        <v>#N/A</v>
      </c>
      <c r="S321" s="96" t="str">
        <f t="shared" si="55"/>
        <v/>
      </c>
      <c r="T321" s="96" t="str">
        <f t="shared" si="60"/>
        <v>01 septembre 2021</v>
      </c>
      <c r="U321" s="96" t="str">
        <f t="shared" si="61"/>
        <v>30 novembre 2021</v>
      </c>
      <c r="V321" s="97">
        <f t="shared" si="62"/>
        <v>44530</v>
      </c>
      <c r="W321" s="176" t="e">
        <f>IF(VLOOKUP(T_BilanSocial[[#This Row],[NumL]],T_TraitDi[#Data],COLUMN(T_TraitDi[[#This Row],[M1]]),FALSE)="","",VLOOKUP(T_BilanSocial[[#This Row],[NumL]],T_TraitDi[#Data],COLUMN(T_TraitDi[[#This Row],[M1]]),FALSE))</f>
        <v>#VALUE!</v>
      </c>
      <c r="X321" s="96" t="str">
        <f t="shared" si="68"/>
        <v/>
      </c>
      <c r="Y321" s="96" t="str">
        <f t="shared" si="68"/>
        <v/>
      </c>
      <c r="Z321" s="96" t="str">
        <f t="shared" si="64"/>
        <v/>
      </c>
      <c r="AA321" s="176" t="e">
        <f>IF(VLOOKUP(T_BilanSocial[[#This Row],[NumL]],T_TraitDi[#Data],COLUMN(T_TraitDi[[#This Row],[M5]]),FALSE)="","",VLOOKUP(T_BilanSocial[[#This Row],[NumL]],T_TraitDi[#Data],COLUMN(T_TraitDi[[#This Row],[M5]]),FALSE))</f>
        <v>#VALUE!</v>
      </c>
      <c r="AB321" s="176" t="e">
        <f>IF(VLOOKUP(T_BilanSocial[[#This Row],[NumL]],T_TraitDi[#Data],COLUMN(T_TraitDi[[#This Row],[M6]]),FALSE)="","",VLOOKUP(T_BilanSocial[[#This Row],[NumL]],T_TraitDi[#Data],COLUMN(T_TraitDi[[#This Row],[M6]]),FALSE))</f>
        <v>#VALUE!</v>
      </c>
      <c r="AC321" s="96" t="e">
        <f t="shared" si="69"/>
        <v>#VALUE!</v>
      </c>
      <c r="AD321" s="97" t="str">
        <f t="shared" si="65"/>
        <v/>
      </c>
      <c r="AE321" s="294" t="e">
        <f>VLOOKUP(T_BilanSocial[[#This Row],[NumL]],T_TraitDi[#Data],COLUMN(T_TraitDi[[#This Row],[Reg Ponct]]),FALSE)</f>
        <v>#VALUE!</v>
      </c>
      <c r="AF321" s="294" t="e">
        <f>VLOOKUP(T_BilanSocial[NumL],T_TraitDi[#Data],COLUMN(T_TraitDi[[#This Row],[Jours flottants]]),FALSE)</f>
        <v>#VALUE!</v>
      </c>
      <c r="AG321" s="97" t="str">
        <f>IFERROR(VLOOKUP(T_BilanSocial[[#This Row],[NumL]],T_TraitDi[#Data],COLUMN(T_TraitDi[[#This Row],[Lundi]]),FALSE),"")</f>
        <v/>
      </c>
      <c r="AH321" s="172" t="e">
        <f>IF(VLOOKUP(T_BilanSocial[[#This Row],[NumL]],T_TraitDi[#Data],COLUMN(T_TraitDi[[#This Row],[Colonne3]]),FALSE)=0,"",TEXT(IFERROR(VLOOKUP(T_BilanSocial[[#This Row],[NumL]],T_TraitDi[#Data],COLUMN(T_TraitDi[[#This Row],[Colonne3]]),FALSE),""),"[hh]:mm"))</f>
        <v>#VALUE!</v>
      </c>
      <c r="AI321" s="172" t="e">
        <f>IF(VLOOKUP(T_BilanSocial[[#This Row],[NumL]],T_TraitDi[#Data],COLUMN(T_TraitDi[[#This Row],[Colonne4]]),FALSE)=0,"",TEXT(IFERROR(VLOOKUP(T_BilanSocial[[#This Row],[NumL]],T_TraitDi[#Data],COLUMN(T_TraitDi[[#This Row],[Colonne4]]),FALSE),""),"[hh]:mm"))</f>
        <v>#VALUE!</v>
      </c>
      <c r="AJ321" s="172" t="e">
        <f>IF(VLOOKUP(T_BilanSocial[[#This Row],[NumL]],T_TraitDi[#Data],COLUMN(T_TraitDi[[#This Row],[Colonne5]]),FALSE)=0,"",TEXT(IFERROR(VLOOKUP(T_BilanSocial[[#This Row],[NumL]],T_TraitDi[#Data],COLUMN(T_TraitDi[[#This Row],[Colonne5]]),FALSE),""),"[hh]:mm"))</f>
        <v>#VALUE!</v>
      </c>
      <c r="AK321" s="172" t="e">
        <f>IF(VLOOKUP(T_BilanSocial[[#This Row],[NumL]],T_TraitDi[#Data],COLUMN(T_TraitDi[[#This Row],[Colonne6]]),FALSE)=0,"",TEXT(IFERROR(VLOOKUP(T_BilanSocial[[#This Row],[NumL]],T_TraitDi[#Data],COLUMN(T_TraitDi[[#This Row],[Colonne6]]),FALSE),""),"[hh]:mm"))</f>
        <v>#VALUE!</v>
      </c>
      <c r="AL321" s="172" t="e">
        <f>IF(VLOOKUP(T_BilanSocial[[#This Row],[NumL]],T_TraitDi[#Data],COLUMN(T_TraitDi[[#This Row],[Colonne7]]),FALSE)=0,"",TEXT(IFERROR(VLOOKUP(T_BilanSocial[[#This Row],[NumL]],T_TraitDi[#Data],COLUMN(T_TraitDi[[#This Row],[Colonne7]]),FALSE),""),"[hh]:mm"))</f>
        <v>#VALUE!</v>
      </c>
      <c r="AM321" s="172" t="e">
        <f>IF(VLOOKUP(T_BilanSocial[[#This Row],[NumL]],T_TraitDi[#Data],COLUMN(T_TraitDi[[#This Row],[Colonne8]]),FALSE)=0,"",TEXT(IFERROR(VLOOKUP(T_BilanSocial[[#This Row],[NumL]],T_TraitDi[#Data],COLUMN(T_TraitDi[[#This Row],[Colonne8]]),FALSE),""),"[hh]:mm"))</f>
        <v>#VALUE!</v>
      </c>
      <c r="AN321" s="172" t="str">
        <f>IFERROR(VLOOKUP(T_BilanSocial[[#This Row],[NumL]],T_TraitDi[#Data],COLUMN(T_TraitDi[[#This Row],[Mardi]]),FALSE),"")</f>
        <v/>
      </c>
      <c r="AO321" s="172" t="e">
        <f>IF(VLOOKUP(T_BilanSocial[[#This Row],[NumL]],T_TraitDi[#Data],COLUMN(T_TraitDi[[#This Row],[Colonne1]]),FALSE)=0,"",TEXT(IFERROR(VLOOKUP(T_BilanSocial[[#This Row],[NumL]],T_TraitDi[#Data],COLUMN(T_TraitDi[[#This Row],[Colonne1]]),FALSE),""),"[hh]:mm"))</f>
        <v>#VALUE!</v>
      </c>
      <c r="AP321" s="172" t="e">
        <f>IF(VLOOKUP(T_BilanSocial[[#This Row],[NumL]],T_TraitDi[#Data],COLUMN(T_TraitDi[[#This Row],[Colonne9]]),FALSE)=0,"",TEXT(IFERROR(VLOOKUP(T_BilanSocial[[#This Row],[NumL]],T_TraitDi[#Data],COLUMN(T_TraitDi[[#This Row],[Colonne9]]),FALSE),""),"[hh]:mm"))</f>
        <v>#VALUE!</v>
      </c>
      <c r="AQ321" s="172" t="str">
        <f>IFERROR(VLOOKUP(T_BilanSocial[[#This Row],[NumL]],T_TraitDi[#Data],COLUMN(T_TraitDi[[#This Row],[Colonne10]]),FALSE),"")</f>
        <v/>
      </c>
      <c r="AR321" s="172" t="e">
        <f>IF(VLOOKUP(T_BilanSocial[[#This Row],[NumL]],T_TraitDi[#Data],COLUMN(T_TraitDi[[#This Row],[Colonne11]]),FALSE)=0,"",TEXT(IFERROR(VLOOKUP(T_BilanSocial[[#This Row],[NumL]],T_TraitDi[#Data],COLUMN(T_TraitDi[[#This Row],[Colonne11]]),FALSE),""),"[hh]:mm"))</f>
        <v>#VALUE!</v>
      </c>
      <c r="AS321" s="172" t="e">
        <f>IF(VLOOKUP(T_BilanSocial[[#This Row],[NumL]],T_TraitDi[#Data],COLUMN(T_TraitDi[[#This Row],[Colonne12]]),FALSE)=0,"",TEXT(IFERROR(VLOOKUP(T_BilanSocial[[#This Row],[NumL]],T_TraitDi[#Data],COLUMN(T_TraitDi[[#This Row],[Colonne12]]),FALSE),""),"[hh]:mm"))</f>
        <v>#VALUE!</v>
      </c>
      <c r="AT321" s="172" t="e">
        <f>IF(VLOOKUP(T_BilanSocial[[#This Row],[NumL]],T_TraitDi[#Data],COLUMN(T_TraitDi[[#This Row],[Colonne14]]),FALSE)=0,"",TEXT(IFERROR(VLOOKUP(T_BilanSocial[[#This Row],[NumL]],T_TraitDi[#Data],COLUMN(T_TraitDi[[#This Row],[Colonne14]]),FALSE),""),"[hh]:mm"))</f>
        <v>#VALUE!</v>
      </c>
      <c r="AU321" s="172" t="str">
        <f>IFERROR(VLOOKUP(T_BilanSocial[[#This Row],[NumL]],T_TraitDi[#Data],COLUMN(T_TraitDi[[#This Row],[Mercredi]]),FALSE),"")</f>
        <v/>
      </c>
      <c r="AV321" s="172" t="e">
        <f>IF(VLOOKUP(T_BilanSocial[[#This Row],[NumL]],T_TraitDi[#Data],COLUMN(T_TraitDi[[#This Row],[Colonne15]]),FALSE)=0,"",TEXT(IFERROR(VLOOKUP(T_BilanSocial[[#This Row],[NumL]],T_TraitDi[#Data],COLUMN(T_TraitDi[[#This Row],[Colonne15]]),FALSE),""),"[hh]:mm"))</f>
        <v>#VALUE!</v>
      </c>
      <c r="AW321" s="172" t="e">
        <f>IF(VLOOKUP(T_BilanSocial[[#This Row],[NumL]],T_TraitDi[#Data],COLUMN(T_TraitDi[[#This Row],[Colonne16]]),FALSE)=0,"",TEXT(IFERROR(VLOOKUP(T_BilanSocial[[#This Row],[NumL]],T_TraitDi[#Data],COLUMN(T_TraitDi[[#This Row],[Colonne16]]),FALSE),""),"[hh]:mm"))</f>
        <v>#VALUE!</v>
      </c>
      <c r="AX321" s="172" t="str">
        <f>IFERROR(VLOOKUP(T_BilanSocial[[#This Row],[NumL]],T_TraitDi[#Data],COLUMN(T_TraitDi[[#This Row],[Colonne17]]),FALSE),"")</f>
        <v/>
      </c>
      <c r="AY321" s="172" t="e">
        <f>IF(VLOOKUP(T_BilanSocial[[#This Row],[NumL]],T_TraitDi[#Data],COLUMN(T_TraitDi[[#This Row],[Colonne18]]),FALSE)=0,"",TEXT(IFERROR(VLOOKUP(T_BilanSocial[[#This Row],[NumL]],T_TraitDi[#Data],COLUMN(T_TraitDi[[#This Row],[Colonne18]]),FALSE),""),"[hh]:mm"))</f>
        <v>#VALUE!</v>
      </c>
      <c r="AZ321" s="172" t="e">
        <f>IF(VLOOKUP(T_BilanSocial[[#This Row],[NumL]],T_TraitDi[#Data],COLUMN(T_TraitDi[[#This Row],[Colonne19]]),FALSE)=0,"",TEXT(IFERROR(VLOOKUP(T_BilanSocial[[#This Row],[NumL]],T_TraitDi[#Data],COLUMN(T_TraitDi[[#This Row],[Colonne19]]),FALSE),""),"[hh]:mm"))</f>
        <v>#VALUE!</v>
      </c>
      <c r="BA321" s="172" t="e">
        <f>IF(VLOOKUP(T_BilanSocial[[#This Row],[NumL]],T_TraitDi[#Data],COLUMN(T_TraitDi[[#This Row],[Colonne20]]),FALSE)=0,"",TEXT(IFERROR(VLOOKUP(T_BilanSocial[[#This Row],[NumL]],T_TraitDi[#Data],COLUMN(T_TraitDi[[#This Row],[Colonne20]]),FALSE),""),"[hh]:mm"))</f>
        <v>#VALUE!</v>
      </c>
      <c r="BB321" s="178" t="str">
        <f>IFERROR(VLOOKUP(T_BilanSocial[[#This Row],[NumL]],T_TraitDi[#Data],COLUMN(T_TraitDi[[#This Row],[Jeudi]]),FALSE),"")</f>
        <v/>
      </c>
      <c r="BC321" s="178" t="e">
        <f>IF(VLOOKUP(T_BilanSocial[[#This Row],[NumL]],T_TraitDi[#Data],COLUMN(T_TraitDi[[#This Row],[Colonne21]]),FALSE)=0,"",TEXT(IFERROR(VLOOKUP(T_BilanSocial[[#This Row],[NumL]],T_TraitDi[#Data],COLUMN(T_TraitDi[[#This Row],[Colonne21]]),FALSE),""),"[hh]:mm"))</f>
        <v>#VALUE!</v>
      </c>
      <c r="BD321" s="178" t="e">
        <f>IF(VLOOKUP(T_BilanSocial[[#This Row],[NumL]],T_TraitDi[#Data],COLUMN(T_TraitDi[[#This Row],[Colonne22]]),FALSE)=0,"",TEXT(IFERROR(VLOOKUP(T_BilanSocial[[#This Row],[NumL]],T_TraitDi[#Data],COLUMN(T_TraitDi[[#This Row],[Colonne22]]),FALSE),""),"[hh]:mm"))</f>
        <v>#VALUE!</v>
      </c>
      <c r="BE321" s="178" t="str">
        <f>IFERROR(VLOOKUP(T_BilanSocial[[#This Row],[NumL]],T_TraitDi[#Data],COLUMN(T_TraitDi[[#This Row],[Colonne23]]),FALSE),"")</f>
        <v/>
      </c>
      <c r="BF321" s="178" t="e">
        <f>IF(VLOOKUP(T_BilanSocial[[#This Row],[NumL]],T_TraitDi[#Data],COLUMN(T_TraitDi[[#This Row],[Colonne24]]),FALSE)=0,"",TEXT(IFERROR(VLOOKUP(T_BilanSocial[[#This Row],[NumL]],T_TraitDi[#Data],COLUMN(T_TraitDi[[#This Row],[Colonne24]]),FALSE),""),"[hh]:mm"))</f>
        <v>#VALUE!</v>
      </c>
      <c r="BG321" s="178" t="e">
        <f>IF(VLOOKUP(T_BilanSocial[[#This Row],[NumL]],T_TraitDi[#Data],COLUMN(T_TraitDi[[#This Row],[Colonne25]]),FALSE)=0,"",TEXT(IFERROR(VLOOKUP(T_BilanSocial[[#This Row],[NumL]],T_TraitDi[#Data],COLUMN(T_TraitDi[[#This Row],[Colonne25]]),FALSE),""),"[hh]:mm"))</f>
        <v>#VALUE!</v>
      </c>
      <c r="BH321" s="178" t="e">
        <f>IF(VLOOKUP(T_BilanSocial[[#This Row],[NumL]],T_TraitDi[#Data],COLUMN(T_TraitDi[[#This Row],[Colonne26]]),FALSE)=0,"",TEXT(IFERROR(VLOOKUP(T_BilanSocial[[#This Row],[NumL]],T_TraitDi[#Data],COLUMN(T_TraitDi[[#This Row],[Colonne26]]),FALSE),""),"[hh]:mm"))</f>
        <v>#VALUE!</v>
      </c>
      <c r="BI321" s="172" t="str">
        <f>IFERROR(VLOOKUP(T_BilanSocial[[#This Row],[NumL]],T_TraitDi[#Data],COLUMN(T_TraitDi[[#This Row],[Vendredi]]),FALSE),"")</f>
        <v/>
      </c>
      <c r="BJ321" s="172" t="e">
        <f>IF(VLOOKUP(T_BilanSocial[[#This Row],[NumL]],T_TraitDi[#Data],COLUMN(T_TraitDi[[#This Row],[Colonne27]]),FALSE)=0,"",TEXT(IFERROR(VLOOKUP(T_BilanSocial[[#This Row],[NumL]],T_TraitDi[#Data],COLUMN(T_TraitDi[[#This Row],[Colonne27]]),FALSE),""),"[hh]:mm"))</f>
        <v>#VALUE!</v>
      </c>
      <c r="BK321" s="172" t="e">
        <f>IF(VLOOKUP(T_BilanSocial[[#This Row],[NumL]],T_TraitDi[#Data],COLUMN(T_TraitDi[[#This Row],[Colonne28]]),FALSE)=0,"",TEXT(IFERROR(VLOOKUP(T_BilanSocial[[#This Row],[NumL]],T_TraitDi[#Data],COLUMN(T_TraitDi[[#This Row],[Colonne28]]),FALSE),""),"[hh]:mm"))</f>
        <v>#VALUE!</v>
      </c>
      <c r="BL321" s="172" t="str">
        <f>IFERROR(VLOOKUP(T_BilanSocial[[#This Row],[NumL]],T_TraitDi[#Data],COLUMN(T_TraitDi[[#This Row],[Colonne29]]),FALSE),"")</f>
        <v/>
      </c>
      <c r="BM321" s="172" t="e">
        <f>IF(VLOOKUP(T_BilanSocial[[#This Row],[NumL]],T_TraitDi[#Data],COLUMN(T_TraitDi[[#This Row],[Colonne30]]),FALSE)=0,"",TEXT(IFERROR(VLOOKUP(T_BilanSocial[[#This Row],[NumL]],T_TraitDi[#Data],COLUMN(T_TraitDi[[#This Row],[Colonne30]]),FALSE),""),"[hh]:mm"))</f>
        <v>#VALUE!</v>
      </c>
      <c r="BN321" s="172" t="e">
        <f>IF(VLOOKUP(T_BilanSocial[[#This Row],[NumL]],T_TraitDi[#Data],COLUMN(T_TraitDi[[#This Row],[Colonne31]]),FALSE)=0,"",TEXT(IFERROR(VLOOKUP(T_BilanSocial[[#This Row],[NumL]],T_TraitDi[#Data],COLUMN(T_TraitDi[[#This Row],[Colonne31]]),FALSE),""),"[hh]:mm"))</f>
        <v>#VALUE!</v>
      </c>
      <c r="BO321" s="172" t="e">
        <f>IF(VLOOKUP(T_BilanSocial[[#This Row],[NumL]],T_TraitDi[#Data],COLUMN(T_TraitDi[[#This Row],[Colonne32]]),FALSE)=0,"",TEXT(IFERROR(VLOOKUP(T_BilanSocial[[#This Row],[NumL]],T_TraitDi[#Data],COLUMN(T_TraitDi[[#This Row],[Colonne32]]),FALSE),""),"[hh]:mm"))</f>
        <v>#VALUE!</v>
      </c>
      <c r="BP321" s="172" t="e">
        <f>VLOOKUP(T_BilanSocial[[#This Row],[NumL]],T_TraitDi[#Data],COLUMN(T_TraitDi[NbJTot]),FALSE)</f>
        <v>#N/A</v>
      </c>
      <c r="BQ321" s="174" t="str">
        <f>IFERROR(VLOOKUP(T_BilanSocial[[#This Row],[NumL]],T_TraitDi[#Data],COLUMN(T_TraitDi[[#This Row],[NbJTW]]),FALSE),"")</f>
        <v/>
      </c>
      <c r="BR321" s="174" t="e">
        <f>IF(VLOOKUP(T_BilanSocial[[#This Row],[NumL]],T_TraitDi[#Data],COLUMN(T_TraitDi[[#This Row],[NbhTW]]),FALSE)=0,"",TEXT(IFERROR(VLOOKUP(T_BilanSocial[[#This Row],[NumL]],T_TraitDi[#Data],COLUMN(T_TraitDi[[#This Row],[NbhTW]]),FALSE),""),"[hh]:mm"))</f>
        <v>#VALUE!</v>
      </c>
      <c r="BS321" s="174" t="e">
        <f>IF(VLOOKUP(T_BilanSocial[[#This Row],[NumL]],T_TraitDi[#Data],COLUMN(T_TraitDi[[#This Row],[Nbhheb]]),FALSE)=0,"",TEXT(IFERROR(VLOOKUP($A321,T_TraitDi[#Data],COLUMN(T_TraitDi[[#This Row],[Nbhheb]]),FALSE),""),"[hh]:mm"))</f>
        <v>#VALUE!</v>
      </c>
      <c r="BT321" s="182" t="str">
        <f>IFERROR(VLOOKUP(VLOOKUP($A321,T_TraitDi[#Data],COLUMN(T_TraitDi[[#This Row],[Type1]]),FALSE),TypeTW,2,FALSE),"")</f>
        <v/>
      </c>
      <c r="BU321" s="182" t="str">
        <f>IFERROR(VLOOKUP($A321,T_TraitDi[#Data],COLUMN(T_TraitDi[[#This Row],[Rue1]]),FALSE),"")</f>
        <v/>
      </c>
      <c r="BV321" s="173" t="str">
        <f>IFERROR(VLOOKUP($A321,T_TraitDi[#Data],COLUMN(T_TraitDi[[#This Row],[CP1]]),FALSE),"")</f>
        <v/>
      </c>
      <c r="BW321" s="173" t="str">
        <f>IFERROR(VLOOKUP($A321,T_TraitDi[#Data],COLUMN(T_TraitDi[[#This Row],[VILLE1]]),FALSE),"")</f>
        <v/>
      </c>
      <c r="BX321" s="182" t="str">
        <f>IFERROR(VLOOKUP(VLOOKUP($A321,T_TraitDi[#Data],COLUMN(T_TraitDi[[#This Row],[Type2]]),FALSE),TypeTW,2,FALSE),"")</f>
        <v/>
      </c>
      <c r="BY321" s="182" t="str">
        <f>IFERROR(VLOOKUP($A321,T_TraitDi[#Data],COLUMN(T_TraitDi[[#This Row],[Rue2]]),FALSE),"")</f>
        <v/>
      </c>
      <c r="BZ321" s="173" t="str">
        <f>IFERROR(VLOOKUP($A321,T_TraitDi[#Data],COLUMN(T_TraitDi[[#This Row],[CP2]]),FALSE),"")</f>
        <v/>
      </c>
      <c r="CA321" s="173" t="str">
        <f>IFERROR(VLOOKUP($A321,T_TraitDi[#Data],COLUMN(T_TraitDi[[#This Row],[VILLE2]]),FALSE),"")</f>
        <v/>
      </c>
      <c r="CB321" s="182" t="str">
        <f>IF(VLOOKUP(T_BilanSocial[[#This Row],[NumL]],T_Equipement[#Data],COLUMN(T_Equipement[[#This Row],[PC]]),FALSE)="","Aucun équipement spécifique directement lié au télétravail",VLOOKUP(T_BilanSocial[[#This Row],[NumL]],T_Equipement[#Data],COLUMN(T_Equipement[[#This Row],[PC]]),FALSE))</f>
        <v>Aucun équipement spécifique directement lié au télétravail</v>
      </c>
      <c r="CC321" s="166" t="str">
        <f>IFERROR(IF(VLOOKUP(T_BilanSocial[[#This Row],[NumL]],T_TraitDi[#Data],COLUMN(T_TraitDi[[#This Row],[Plan]]),FALSE)="OK","Un planning spécifique de télétravail est annexé à la présente convention.",""),"")</f>
        <v/>
      </c>
      <c r="CD321" s="301"/>
      <c r="CE321" s="164" t="e">
        <f>IF(VLOOKUP(T_BilanSocial[[#This Row],[NumL]],T_suiviDi[#Data],COLUMN(T_suiviDi[[#This Row],[Entité]]),FALSE)="","",VLOOKUP(T_BilanSocial[[#This Row],[NumL]],T_suiviDi[#Data],COLUMN(T_suiviDi[[#This Row],[Entité]]),FALSE))</f>
        <v>#VALUE!</v>
      </c>
      <c r="CF321" s="164" t="str">
        <f>IF(VLOOKUP(T_BilanSocial[[#This Row],[NumL]],T_Commission[#Data],COLUMN(T_Commission[[#This Row],[envoi confirm TW]]),FALSE)="","",VLOOKUP(T_BilanSocial[[#This Row],[NumL]],T_Commission[#Data],COLUMN(T_Commission[[#This Row],[envoi confirm TW]]),FALSE))</f>
        <v>Oui</v>
      </c>
      <c r="CG32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1" s="339" t="str">
        <f>T_BilanSocial[[#This Row],[Nom]]&amp;T_BilanSocial[[#This Row],[Prenom]]</f>
        <v/>
      </c>
      <c r="CI321" s="339">
        <f>VLOOKUP(T_BilanSocial[[#This Row],[NumL]],T_Commission[#Data],COLUMN(T_Commission[Commentaire]),FALSE)</f>
        <v>0</v>
      </c>
      <c r="CJ321" s="339" t="str">
        <f>IF(VLOOKUP(T_BilanSocial[[#This Row],[NumL]],T_Commission[#Data],COLUMN(T_Commission[Encadrant Email]),FALSE)="","",VLOOKUP(T_BilanSocial[[#This Row],[NumL]],T_Commission[#Data],COLUMN(T_Commission[Encadrant Email]),FALSE))</f>
        <v/>
      </c>
      <c r="CK321" s="332" t="str">
        <f>IF(T_BilanSocial[[#This Row],[Final]]&lt;&gt;"",VLOOKUP(T_BilanSocial[[#This Row],[NumL]],T_suiviDi[#Data],COLUMN((T_suiviDi[Statut])),FALSE),"")</f>
        <v/>
      </c>
    </row>
    <row r="322" spans="1:89" s="50" customFormat="1" ht="21" customHeight="1" x14ac:dyDescent="0.25">
      <c r="A322" s="136">
        <v>319</v>
      </c>
      <c r="B322" s="330" t="str">
        <f t="shared" si="56"/>
        <v/>
      </c>
      <c r="C322" s="309"/>
      <c r="D322" s="95" t="e">
        <f>IF(VLOOKUP(T_BilanSocial[[#This Row],[NumL]],T_TraitDi[#Data],COLUMN(T_TraitDi[[#This Row],[WebC]]),FALSE)="","",VLOOKUP(T_BilanSocial[[#This Row],[NumL]],T_TraitDi[#Data],COLUMN(T_TraitDi[[#This Row],[WebC]]),FALSE))</f>
        <v>#VALUE!</v>
      </c>
      <c r="E322" s="95" t="str">
        <f t="shared" si="57"/>
        <v>12 janvier 2021</v>
      </c>
      <c r="F322" s="96" t="str">
        <f>IF(T_BilanSocial[[#This Row],[Final]]&lt;&gt;"",VLOOKUP(T_BilanSocial[[#This Row],[NumL]],T_suiviDi[#Data],COLUMN((T_suiviDi[Civ.])),FALSE),"")</f>
        <v/>
      </c>
      <c r="G322" s="96" t="str">
        <f>IF(T_BilanSocial[[#This Row],[Final]]&lt;&gt;"",VLOOKUP(T_BilanSocial[[#This Row],[NumL]],T_suiviDi[#Data],COLUMN((T_suiviDi[Nom])),FALSE),"")</f>
        <v/>
      </c>
      <c r="H322" s="96" t="str">
        <f>IF(T_BilanSocial[[#This Row],[Final]]&lt;&gt;"",VLOOKUP(T_BilanSocial[[#This Row],[NumL]],T_suiviDi[#Data],COLUMN((T_suiviDi[Prénom])),FALSE),"")</f>
        <v/>
      </c>
      <c r="I322" s="331" t="str">
        <f>IFERROR(VLOOKUP(T_BilanSocial[[#This Row],[Zone_Bilan]],T_P_BilanSocial[#Data],COLUMN(T_P_BilanSocial[[#This Row],[Numero_SIHAM]]),FALSE),"")</f>
        <v/>
      </c>
      <c r="J322" s="331" t="str">
        <f>IFERROR(VLOOKUP(T_BilanSocial[[#This Row],[Zone_Bilan]],T_P_BilanSocial[#Data],COLUMN(T_P_BilanSocial[[#This Row],[Sexe]]),FALSE),"")</f>
        <v/>
      </c>
      <c r="K322" s="294" t="str">
        <f>IFERROR(VLOOKUP(T_BilanSocial[[#This Row],[Zone_Bilan]],T_P_BilanSocial[#Data],COLUMN(T_P_BilanSocial[[#This Row],[Categorie]]),FALSE),"")</f>
        <v/>
      </c>
      <c r="L322" s="331" t="str">
        <f>IFERROR(VLOOKUP(T_BilanSocial[[#This Row],[Zone_Bilan]],T_P_BilanSocial[#Data],COLUMN(T_P_BilanSocial[[#This Row],[Statut]]),FALSE),"")</f>
        <v/>
      </c>
      <c r="M322" s="331" t="str">
        <f>IFERROR(VLOOKUP(T_BilanSocial[[#This Row],[Zone_Bilan]],T_P_BilanSocial[#Data],COLUMN(T_P_BilanSocial[[#This Row],[Filiere]]),FALSE),"")</f>
        <v/>
      </c>
      <c r="N322" s="331" t="e">
        <f>VLOOKUP(T_BilanSocial[[#This Row],[NumL]],T_TraitDi[#Data],COLUMN(T_TraitDi[EXP]),FALSE)</f>
        <v>#N/A</v>
      </c>
      <c r="O322" s="331" t="e">
        <f>VLOOKUP(T_BilanSocial[[#This Row],[NumL]],T_TraitDi[#Data],COLUMN(T_TraitDi[FORM]),FALSE)</f>
        <v>#N/A</v>
      </c>
      <c r="P322" s="96" t="str">
        <f>IF(T_BilanSocial[[#This Row],[Final]]&lt;&gt;"",VLOOKUP(T_BilanSocial[[#This Row],[NumL]],T_suiviDi[#Data],COLUMN((T_suiviDi[Email])),FALSE),"")</f>
        <v/>
      </c>
      <c r="Q322" s="96" t="e">
        <f t="shared" si="58"/>
        <v>#N/A</v>
      </c>
      <c r="R322" s="96" t="e">
        <f t="shared" si="59"/>
        <v>#N/A</v>
      </c>
      <c r="S322" s="96" t="str">
        <f t="shared" si="55"/>
        <v/>
      </c>
      <c r="T322" s="96" t="str">
        <f t="shared" si="60"/>
        <v>01 septembre 2021</v>
      </c>
      <c r="U322" s="96" t="str">
        <f t="shared" si="61"/>
        <v>30 novembre 2021</v>
      </c>
      <c r="V322" s="97">
        <f t="shared" si="62"/>
        <v>44530</v>
      </c>
      <c r="W322" s="176" t="e">
        <f>IF(VLOOKUP(T_BilanSocial[[#This Row],[NumL]],T_TraitDi[#Data],COLUMN(T_TraitDi[[#This Row],[M1]]),FALSE)="","",VLOOKUP(T_BilanSocial[[#This Row],[NumL]],T_TraitDi[#Data],COLUMN(T_TraitDi[[#This Row],[M1]]),FALSE))</f>
        <v>#VALUE!</v>
      </c>
      <c r="X322" s="96" t="str">
        <f t="shared" si="68"/>
        <v/>
      </c>
      <c r="Y322" s="96" t="str">
        <f t="shared" si="68"/>
        <v/>
      </c>
      <c r="Z322" s="96" t="str">
        <f t="shared" si="64"/>
        <v/>
      </c>
      <c r="AA322" s="176" t="e">
        <f>IF(VLOOKUP(T_BilanSocial[[#This Row],[NumL]],T_TraitDi[#Data],COLUMN(T_TraitDi[[#This Row],[M5]]),FALSE)="","",VLOOKUP(T_BilanSocial[[#This Row],[NumL]],T_TraitDi[#Data],COLUMN(T_TraitDi[[#This Row],[M5]]),FALSE))</f>
        <v>#VALUE!</v>
      </c>
      <c r="AB322" s="176" t="e">
        <f>IF(VLOOKUP(T_BilanSocial[[#This Row],[NumL]],T_TraitDi[#Data],COLUMN(T_TraitDi[[#This Row],[M6]]),FALSE)="","",VLOOKUP(T_BilanSocial[[#This Row],[NumL]],T_TraitDi[#Data],COLUMN(T_TraitDi[[#This Row],[M6]]),FALSE))</f>
        <v>#VALUE!</v>
      </c>
      <c r="AC322" s="96" t="e">
        <f t="shared" si="69"/>
        <v>#VALUE!</v>
      </c>
      <c r="AD322" s="97" t="str">
        <f t="shared" si="65"/>
        <v/>
      </c>
      <c r="AE322" s="294" t="e">
        <f>VLOOKUP(T_BilanSocial[[#This Row],[NumL]],T_TraitDi[#Data],COLUMN(T_TraitDi[[#This Row],[Reg Ponct]]),FALSE)</f>
        <v>#VALUE!</v>
      </c>
      <c r="AF322" s="294" t="e">
        <f>VLOOKUP(T_BilanSocial[NumL],T_TraitDi[#Data],COLUMN(T_TraitDi[[#This Row],[Jours flottants]]),FALSE)</f>
        <v>#VALUE!</v>
      </c>
      <c r="AG322" s="97" t="str">
        <f>IFERROR(VLOOKUP(T_BilanSocial[[#This Row],[NumL]],T_TraitDi[#Data],COLUMN(T_TraitDi[[#This Row],[Lundi]]),FALSE),"")</f>
        <v/>
      </c>
      <c r="AH322" s="172" t="e">
        <f>IF(VLOOKUP(T_BilanSocial[[#This Row],[NumL]],T_TraitDi[#Data],COLUMN(T_TraitDi[[#This Row],[Colonne3]]),FALSE)=0,"",TEXT(IFERROR(VLOOKUP(T_BilanSocial[[#This Row],[NumL]],T_TraitDi[#Data],COLUMN(T_TraitDi[[#This Row],[Colonne3]]),FALSE),""),"[hh]:mm"))</f>
        <v>#VALUE!</v>
      </c>
      <c r="AI322" s="172" t="e">
        <f>IF(VLOOKUP(T_BilanSocial[[#This Row],[NumL]],T_TraitDi[#Data],COLUMN(T_TraitDi[[#This Row],[Colonne4]]),FALSE)=0,"",TEXT(IFERROR(VLOOKUP(T_BilanSocial[[#This Row],[NumL]],T_TraitDi[#Data],COLUMN(T_TraitDi[[#This Row],[Colonne4]]),FALSE),""),"[hh]:mm"))</f>
        <v>#VALUE!</v>
      </c>
      <c r="AJ322" s="172" t="e">
        <f>IF(VLOOKUP(T_BilanSocial[[#This Row],[NumL]],T_TraitDi[#Data],COLUMN(T_TraitDi[[#This Row],[Colonne5]]),FALSE)=0,"",TEXT(IFERROR(VLOOKUP(T_BilanSocial[[#This Row],[NumL]],T_TraitDi[#Data],COLUMN(T_TraitDi[[#This Row],[Colonne5]]),FALSE),""),"[hh]:mm"))</f>
        <v>#VALUE!</v>
      </c>
      <c r="AK322" s="172" t="e">
        <f>IF(VLOOKUP(T_BilanSocial[[#This Row],[NumL]],T_TraitDi[#Data],COLUMN(T_TraitDi[[#This Row],[Colonne6]]),FALSE)=0,"",TEXT(IFERROR(VLOOKUP(T_BilanSocial[[#This Row],[NumL]],T_TraitDi[#Data],COLUMN(T_TraitDi[[#This Row],[Colonne6]]),FALSE),""),"[hh]:mm"))</f>
        <v>#VALUE!</v>
      </c>
      <c r="AL322" s="172" t="e">
        <f>IF(VLOOKUP(T_BilanSocial[[#This Row],[NumL]],T_TraitDi[#Data],COLUMN(T_TraitDi[[#This Row],[Colonne7]]),FALSE)=0,"",TEXT(IFERROR(VLOOKUP(T_BilanSocial[[#This Row],[NumL]],T_TraitDi[#Data],COLUMN(T_TraitDi[[#This Row],[Colonne7]]),FALSE),""),"[hh]:mm"))</f>
        <v>#VALUE!</v>
      </c>
      <c r="AM322" s="172" t="e">
        <f>IF(VLOOKUP(T_BilanSocial[[#This Row],[NumL]],T_TraitDi[#Data],COLUMN(T_TraitDi[[#This Row],[Colonne8]]),FALSE)=0,"",TEXT(IFERROR(VLOOKUP(T_BilanSocial[[#This Row],[NumL]],T_TraitDi[#Data],COLUMN(T_TraitDi[[#This Row],[Colonne8]]),FALSE),""),"[hh]:mm"))</f>
        <v>#VALUE!</v>
      </c>
      <c r="AN322" s="172" t="str">
        <f>IFERROR(VLOOKUP(T_BilanSocial[[#This Row],[NumL]],T_TraitDi[#Data],COLUMN(T_TraitDi[[#This Row],[Mardi]]),FALSE),"")</f>
        <v/>
      </c>
      <c r="AO322" s="172" t="e">
        <f>IF(VLOOKUP(T_BilanSocial[[#This Row],[NumL]],T_TraitDi[#Data],COLUMN(T_TraitDi[[#This Row],[Colonne1]]),FALSE)=0,"",TEXT(IFERROR(VLOOKUP(T_BilanSocial[[#This Row],[NumL]],T_TraitDi[#Data],COLUMN(T_TraitDi[[#This Row],[Colonne1]]),FALSE),""),"[hh]:mm"))</f>
        <v>#VALUE!</v>
      </c>
      <c r="AP322" s="172" t="e">
        <f>IF(VLOOKUP(T_BilanSocial[[#This Row],[NumL]],T_TraitDi[#Data],COLUMN(T_TraitDi[[#This Row],[Colonne9]]),FALSE)=0,"",TEXT(IFERROR(VLOOKUP(T_BilanSocial[[#This Row],[NumL]],T_TraitDi[#Data],COLUMN(T_TraitDi[[#This Row],[Colonne9]]),FALSE),""),"[hh]:mm"))</f>
        <v>#VALUE!</v>
      </c>
      <c r="AQ322" s="172" t="str">
        <f>IFERROR(VLOOKUP(T_BilanSocial[[#This Row],[NumL]],T_TraitDi[#Data],COLUMN(T_TraitDi[[#This Row],[Colonne10]]),FALSE),"")</f>
        <v/>
      </c>
      <c r="AR322" s="172" t="e">
        <f>IF(VLOOKUP(T_BilanSocial[[#This Row],[NumL]],T_TraitDi[#Data],COLUMN(T_TraitDi[[#This Row],[Colonne11]]),FALSE)=0,"",TEXT(IFERROR(VLOOKUP(T_BilanSocial[[#This Row],[NumL]],T_TraitDi[#Data],COLUMN(T_TraitDi[[#This Row],[Colonne11]]),FALSE),""),"[hh]:mm"))</f>
        <v>#VALUE!</v>
      </c>
      <c r="AS322" s="172" t="e">
        <f>IF(VLOOKUP(T_BilanSocial[[#This Row],[NumL]],T_TraitDi[#Data],COLUMN(T_TraitDi[[#This Row],[Colonne12]]),FALSE)=0,"",TEXT(IFERROR(VLOOKUP(T_BilanSocial[[#This Row],[NumL]],T_TraitDi[#Data],COLUMN(T_TraitDi[[#This Row],[Colonne12]]),FALSE),""),"[hh]:mm"))</f>
        <v>#VALUE!</v>
      </c>
      <c r="AT322" s="172" t="e">
        <f>IF(VLOOKUP(T_BilanSocial[[#This Row],[NumL]],T_TraitDi[#Data],COLUMN(T_TraitDi[[#This Row],[Colonne14]]),FALSE)=0,"",TEXT(IFERROR(VLOOKUP(T_BilanSocial[[#This Row],[NumL]],T_TraitDi[#Data],COLUMN(T_TraitDi[[#This Row],[Colonne14]]),FALSE),""),"[hh]:mm"))</f>
        <v>#VALUE!</v>
      </c>
      <c r="AU322" s="172" t="str">
        <f>IFERROR(VLOOKUP(T_BilanSocial[[#This Row],[NumL]],T_TraitDi[#Data],COLUMN(T_TraitDi[[#This Row],[Mercredi]]),FALSE),"")</f>
        <v/>
      </c>
      <c r="AV322" s="172" t="e">
        <f>IF(VLOOKUP(T_BilanSocial[[#This Row],[NumL]],T_TraitDi[#Data],COLUMN(T_TraitDi[[#This Row],[Colonne15]]),FALSE)=0,"",TEXT(IFERROR(VLOOKUP(T_BilanSocial[[#This Row],[NumL]],T_TraitDi[#Data],COLUMN(T_TraitDi[[#This Row],[Colonne15]]),FALSE),""),"[hh]:mm"))</f>
        <v>#VALUE!</v>
      </c>
      <c r="AW322" s="172" t="e">
        <f>IF(VLOOKUP(T_BilanSocial[[#This Row],[NumL]],T_TraitDi[#Data],COLUMN(T_TraitDi[[#This Row],[Colonne16]]),FALSE)=0,"",TEXT(IFERROR(VLOOKUP(T_BilanSocial[[#This Row],[NumL]],T_TraitDi[#Data],COLUMN(T_TraitDi[[#This Row],[Colonne16]]),FALSE),""),"[hh]:mm"))</f>
        <v>#VALUE!</v>
      </c>
      <c r="AX322" s="172" t="str">
        <f>IFERROR(VLOOKUP(T_BilanSocial[[#This Row],[NumL]],T_TraitDi[#Data],COLUMN(T_TraitDi[[#This Row],[Colonne17]]),FALSE),"")</f>
        <v/>
      </c>
      <c r="AY322" s="172" t="e">
        <f>IF(VLOOKUP(T_BilanSocial[[#This Row],[NumL]],T_TraitDi[#Data],COLUMN(T_TraitDi[[#This Row],[Colonne18]]),FALSE)=0,"",TEXT(IFERROR(VLOOKUP(T_BilanSocial[[#This Row],[NumL]],T_TraitDi[#Data],COLUMN(T_TraitDi[[#This Row],[Colonne18]]),FALSE),""),"[hh]:mm"))</f>
        <v>#VALUE!</v>
      </c>
      <c r="AZ322" s="172" t="e">
        <f>IF(VLOOKUP(T_BilanSocial[[#This Row],[NumL]],T_TraitDi[#Data],COLUMN(T_TraitDi[[#This Row],[Colonne19]]),FALSE)=0,"",TEXT(IFERROR(VLOOKUP(T_BilanSocial[[#This Row],[NumL]],T_TraitDi[#Data],COLUMN(T_TraitDi[[#This Row],[Colonne19]]),FALSE),""),"[hh]:mm"))</f>
        <v>#VALUE!</v>
      </c>
      <c r="BA322" s="172" t="e">
        <f>IF(VLOOKUP(T_BilanSocial[[#This Row],[NumL]],T_TraitDi[#Data],COLUMN(T_TraitDi[[#This Row],[Colonne20]]),FALSE)=0,"",TEXT(IFERROR(VLOOKUP(T_BilanSocial[[#This Row],[NumL]],T_TraitDi[#Data],COLUMN(T_TraitDi[[#This Row],[Colonne20]]),FALSE),""),"[hh]:mm"))</f>
        <v>#VALUE!</v>
      </c>
      <c r="BB322" s="178" t="str">
        <f>IFERROR(VLOOKUP(T_BilanSocial[[#This Row],[NumL]],T_TraitDi[#Data],COLUMN(T_TraitDi[[#This Row],[Jeudi]]),FALSE),"")</f>
        <v/>
      </c>
      <c r="BC322" s="178" t="e">
        <f>IF(VLOOKUP(T_BilanSocial[[#This Row],[NumL]],T_TraitDi[#Data],COLUMN(T_TraitDi[[#This Row],[Colonne21]]),FALSE)=0,"",TEXT(IFERROR(VLOOKUP(T_BilanSocial[[#This Row],[NumL]],T_TraitDi[#Data],COLUMN(T_TraitDi[[#This Row],[Colonne21]]),FALSE),""),"[hh]:mm"))</f>
        <v>#VALUE!</v>
      </c>
      <c r="BD322" s="178" t="e">
        <f>IF(VLOOKUP(T_BilanSocial[[#This Row],[NumL]],T_TraitDi[#Data],COLUMN(T_TraitDi[[#This Row],[Colonne22]]),FALSE)=0,"",TEXT(IFERROR(VLOOKUP(T_BilanSocial[[#This Row],[NumL]],T_TraitDi[#Data],COLUMN(T_TraitDi[[#This Row],[Colonne22]]),FALSE),""),"[hh]:mm"))</f>
        <v>#VALUE!</v>
      </c>
      <c r="BE322" s="178" t="str">
        <f>IFERROR(VLOOKUP(T_BilanSocial[[#This Row],[NumL]],T_TraitDi[#Data],COLUMN(T_TraitDi[[#This Row],[Colonne23]]),FALSE),"")</f>
        <v/>
      </c>
      <c r="BF322" s="178" t="e">
        <f>IF(VLOOKUP(T_BilanSocial[[#This Row],[NumL]],T_TraitDi[#Data],COLUMN(T_TraitDi[[#This Row],[Colonne24]]),FALSE)=0,"",TEXT(IFERROR(VLOOKUP(T_BilanSocial[[#This Row],[NumL]],T_TraitDi[#Data],COLUMN(T_TraitDi[[#This Row],[Colonne24]]),FALSE),""),"[hh]:mm"))</f>
        <v>#VALUE!</v>
      </c>
      <c r="BG322" s="178" t="e">
        <f>IF(VLOOKUP(T_BilanSocial[[#This Row],[NumL]],T_TraitDi[#Data],COLUMN(T_TraitDi[[#This Row],[Colonne25]]),FALSE)=0,"",TEXT(IFERROR(VLOOKUP(T_BilanSocial[[#This Row],[NumL]],T_TraitDi[#Data],COLUMN(T_TraitDi[[#This Row],[Colonne25]]),FALSE),""),"[hh]:mm"))</f>
        <v>#VALUE!</v>
      </c>
      <c r="BH322" s="178" t="e">
        <f>IF(VLOOKUP(T_BilanSocial[[#This Row],[NumL]],T_TraitDi[#Data],COLUMN(T_TraitDi[[#This Row],[Colonne26]]),FALSE)=0,"",TEXT(IFERROR(VLOOKUP(T_BilanSocial[[#This Row],[NumL]],T_TraitDi[#Data],COLUMN(T_TraitDi[[#This Row],[Colonne26]]),FALSE),""),"[hh]:mm"))</f>
        <v>#VALUE!</v>
      </c>
      <c r="BI322" s="172" t="str">
        <f>IFERROR(VLOOKUP(T_BilanSocial[[#This Row],[NumL]],T_TraitDi[#Data],COLUMN(T_TraitDi[[#This Row],[Vendredi]]),FALSE),"")</f>
        <v/>
      </c>
      <c r="BJ322" s="172" t="e">
        <f>IF(VLOOKUP(T_BilanSocial[[#This Row],[NumL]],T_TraitDi[#Data],COLUMN(T_TraitDi[[#This Row],[Colonne27]]),FALSE)=0,"",TEXT(IFERROR(VLOOKUP(T_BilanSocial[[#This Row],[NumL]],T_TraitDi[#Data],COLUMN(T_TraitDi[[#This Row],[Colonne27]]),FALSE),""),"[hh]:mm"))</f>
        <v>#VALUE!</v>
      </c>
      <c r="BK322" s="172" t="e">
        <f>IF(VLOOKUP(T_BilanSocial[[#This Row],[NumL]],T_TraitDi[#Data],COLUMN(T_TraitDi[[#This Row],[Colonne28]]),FALSE)=0,"",TEXT(IFERROR(VLOOKUP(T_BilanSocial[[#This Row],[NumL]],T_TraitDi[#Data],COLUMN(T_TraitDi[[#This Row],[Colonne28]]),FALSE),""),"[hh]:mm"))</f>
        <v>#VALUE!</v>
      </c>
      <c r="BL322" s="172" t="str">
        <f>IFERROR(VLOOKUP(T_BilanSocial[[#This Row],[NumL]],T_TraitDi[#Data],COLUMN(T_TraitDi[[#This Row],[Colonne29]]),FALSE),"")</f>
        <v/>
      </c>
      <c r="BM322" s="172" t="e">
        <f>IF(VLOOKUP(T_BilanSocial[[#This Row],[NumL]],T_TraitDi[#Data],COLUMN(T_TraitDi[[#This Row],[Colonne30]]),FALSE)=0,"",TEXT(IFERROR(VLOOKUP(T_BilanSocial[[#This Row],[NumL]],T_TraitDi[#Data],COLUMN(T_TraitDi[[#This Row],[Colonne30]]),FALSE),""),"[hh]:mm"))</f>
        <v>#VALUE!</v>
      </c>
      <c r="BN322" s="172" t="e">
        <f>IF(VLOOKUP(T_BilanSocial[[#This Row],[NumL]],T_TraitDi[#Data],COLUMN(T_TraitDi[[#This Row],[Colonne31]]),FALSE)=0,"",TEXT(IFERROR(VLOOKUP(T_BilanSocial[[#This Row],[NumL]],T_TraitDi[#Data],COLUMN(T_TraitDi[[#This Row],[Colonne31]]),FALSE),""),"[hh]:mm"))</f>
        <v>#VALUE!</v>
      </c>
      <c r="BO322" s="172" t="e">
        <f>IF(VLOOKUP(T_BilanSocial[[#This Row],[NumL]],T_TraitDi[#Data],COLUMN(T_TraitDi[[#This Row],[Colonne32]]),FALSE)=0,"",TEXT(IFERROR(VLOOKUP(T_BilanSocial[[#This Row],[NumL]],T_TraitDi[#Data],COLUMN(T_TraitDi[[#This Row],[Colonne32]]),FALSE),""),"[hh]:mm"))</f>
        <v>#VALUE!</v>
      </c>
      <c r="BP322" s="172" t="e">
        <f>VLOOKUP(T_BilanSocial[[#This Row],[NumL]],T_TraitDi[#Data],COLUMN(T_TraitDi[NbJTot]),FALSE)</f>
        <v>#N/A</v>
      </c>
      <c r="BQ322" s="174" t="str">
        <f>IFERROR(VLOOKUP(T_BilanSocial[[#This Row],[NumL]],T_TraitDi[#Data],COLUMN(T_TraitDi[[#This Row],[NbJTW]]),FALSE),"")</f>
        <v/>
      </c>
      <c r="BR322" s="174" t="e">
        <f>IF(VLOOKUP(T_BilanSocial[[#This Row],[NumL]],T_TraitDi[#Data],COLUMN(T_TraitDi[[#This Row],[NbhTW]]),FALSE)=0,"",TEXT(IFERROR(VLOOKUP(T_BilanSocial[[#This Row],[NumL]],T_TraitDi[#Data],COLUMN(T_TraitDi[[#This Row],[NbhTW]]),FALSE),""),"[hh]:mm"))</f>
        <v>#VALUE!</v>
      </c>
      <c r="BS322" s="174" t="e">
        <f>IF(VLOOKUP(T_BilanSocial[[#This Row],[NumL]],T_TraitDi[#Data],COLUMN(T_TraitDi[[#This Row],[Nbhheb]]),FALSE)=0,"",TEXT(IFERROR(VLOOKUP($A322,T_TraitDi[#Data],COLUMN(T_TraitDi[[#This Row],[Nbhheb]]),FALSE),""),"[hh]:mm"))</f>
        <v>#VALUE!</v>
      </c>
      <c r="BT322" s="182" t="str">
        <f>IFERROR(VLOOKUP(VLOOKUP($A322,T_TraitDi[#Data],COLUMN(T_TraitDi[[#This Row],[Type1]]),FALSE),TypeTW,2,FALSE),"")</f>
        <v/>
      </c>
      <c r="BU322" s="182" t="str">
        <f>IFERROR(VLOOKUP($A322,T_TraitDi[#Data],COLUMN(T_TraitDi[[#This Row],[Rue1]]),FALSE),"")</f>
        <v/>
      </c>
      <c r="BV322" s="173" t="str">
        <f>IFERROR(VLOOKUP($A322,T_TraitDi[#Data],COLUMN(T_TraitDi[[#This Row],[CP1]]),FALSE),"")</f>
        <v/>
      </c>
      <c r="BW322" s="173" t="str">
        <f>IFERROR(VLOOKUP($A322,T_TraitDi[#Data],COLUMN(T_TraitDi[[#This Row],[VILLE1]]),FALSE),"")</f>
        <v/>
      </c>
      <c r="BX322" s="182" t="str">
        <f>IFERROR(VLOOKUP(VLOOKUP($A322,T_TraitDi[#Data],COLUMN(T_TraitDi[[#This Row],[Type2]]),FALSE),TypeTW,2,FALSE),"")</f>
        <v/>
      </c>
      <c r="BY322" s="182" t="str">
        <f>IFERROR(VLOOKUP($A322,T_TraitDi[#Data],COLUMN(T_TraitDi[[#This Row],[Rue2]]),FALSE),"")</f>
        <v/>
      </c>
      <c r="BZ322" s="173" t="str">
        <f>IFERROR(VLOOKUP($A322,T_TraitDi[#Data],COLUMN(T_TraitDi[[#This Row],[CP2]]),FALSE),"")</f>
        <v/>
      </c>
      <c r="CA322" s="173" t="str">
        <f>IFERROR(VLOOKUP($A322,T_TraitDi[#Data],COLUMN(T_TraitDi[[#This Row],[VILLE2]]),FALSE),"")</f>
        <v/>
      </c>
      <c r="CB322" s="182" t="e">
        <f>IF(VLOOKUP(T_BilanSocial[[#This Row],[NumL]],T_Equipement[#Data],COLUMN(T_Equipement[[#This Row],[PC]]),FALSE)="","Aucun équipement spécifique directement lié au télétravail",VLOOKUP(T_BilanSocial[[#This Row],[NumL]],T_Equipement[#Data],COLUMN(T_Equipement[[#This Row],[PC]]),FALSE))</f>
        <v>#VALUE!</v>
      </c>
      <c r="CC322" s="166" t="str">
        <f>IFERROR(IF(VLOOKUP(T_BilanSocial[[#This Row],[NumL]],T_TraitDi[#Data],COLUMN(T_TraitDi[[#This Row],[Plan]]),FALSE)="OK","Un planning spécifique de télétravail est annexé à la présente convention.",""),"")</f>
        <v/>
      </c>
      <c r="CD322" s="301"/>
      <c r="CE322" s="164" t="e">
        <f>IF(VLOOKUP(T_BilanSocial[[#This Row],[NumL]],T_suiviDi[#Data],COLUMN(T_suiviDi[[#This Row],[Entité]]),FALSE)="","",VLOOKUP(T_BilanSocial[[#This Row],[NumL]],T_suiviDi[#Data],COLUMN(T_suiviDi[[#This Row],[Entité]]),FALSE))</f>
        <v>#VALUE!</v>
      </c>
      <c r="CF322" s="164" t="str">
        <f>IF(VLOOKUP(T_BilanSocial[[#This Row],[NumL]],T_Commission[#Data],COLUMN(T_Commission[[#This Row],[envoi confirm TW]]),FALSE)="","",VLOOKUP(T_BilanSocial[[#This Row],[NumL]],T_Commission[#Data],COLUMN(T_Commission[[#This Row],[envoi confirm TW]]),FALSE))</f>
        <v>Oui</v>
      </c>
      <c r="CG32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2" s="339" t="str">
        <f>T_BilanSocial[[#This Row],[Nom]]&amp;T_BilanSocial[[#This Row],[Prenom]]</f>
        <v/>
      </c>
      <c r="CI322" s="339">
        <f>VLOOKUP(T_BilanSocial[[#This Row],[NumL]],T_Commission[#Data],COLUMN(T_Commission[Commentaire]),FALSE)</f>
        <v>0</v>
      </c>
      <c r="CJ322" s="339" t="str">
        <f>IF(VLOOKUP(T_BilanSocial[[#This Row],[NumL]],T_Commission[#Data],COLUMN(T_Commission[Encadrant Email]),FALSE)="","",VLOOKUP(T_BilanSocial[[#This Row],[NumL]],T_Commission[#Data],COLUMN(T_Commission[Encadrant Email]),FALSE))</f>
        <v/>
      </c>
      <c r="CK322" s="332" t="str">
        <f>IF(T_BilanSocial[[#This Row],[Final]]&lt;&gt;"",VLOOKUP(T_BilanSocial[[#This Row],[NumL]],T_suiviDi[#Data],COLUMN((T_suiviDi[Statut])),FALSE),"")</f>
        <v/>
      </c>
    </row>
    <row r="323" spans="1:89" s="50" customFormat="1" ht="29.25" customHeight="1" x14ac:dyDescent="0.25">
      <c r="A323" s="136">
        <v>320</v>
      </c>
      <c r="B323" s="330" t="str">
        <f t="shared" si="56"/>
        <v/>
      </c>
      <c r="C323" s="309"/>
      <c r="D323" s="95" t="e">
        <f>IF(VLOOKUP(T_BilanSocial[[#This Row],[NumL]],T_TraitDi[#Data],COLUMN(T_TraitDi[[#This Row],[WebC]]),FALSE)="","",VLOOKUP(T_BilanSocial[[#This Row],[NumL]],T_TraitDi[#Data],COLUMN(T_TraitDi[[#This Row],[WebC]]),FALSE))</f>
        <v>#VALUE!</v>
      </c>
      <c r="E323" s="95" t="str">
        <f t="shared" si="57"/>
        <v>12 janvier 2021</v>
      </c>
      <c r="F323" s="96" t="str">
        <f>IF(T_BilanSocial[[#This Row],[Final]]&lt;&gt;"",VLOOKUP(T_BilanSocial[[#This Row],[NumL]],T_suiviDi[#Data],COLUMN((T_suiviDi[Civ.])),FALSE),"")</f>
        <v/>
      </c>
      <c r="G323" s="96" t="str">
        <f>IF(T_BilanSocial[[#This Row],[Final]]&lt;&gt;"",VLOOKUP(T_BilanSocial[[#This Row],[NumL]],T_suiviDi[#Data],COLUMN((T_suiviDi[Nom])),FALSE),"")</f>
        <v/>
      </c>
      <c r="H323" s="96" t="str">
        <f>IF(T_BilanSocial[[#This Row],[Final]]&lt;&gt;"",VLOOKUP(T_BilanSocial[[#This Row],[NumL]],T_suiviDi[#Data],COLUMN((T_suiviDi[Prénom])),FALSE),"")</f>
        <v/>
      </c>
      <c r="I323" s="331" t="str">
        <f>IFERROR(VLOOKUP(T_BilanSocial[[#This Row],[Zone_Bilan]],T_P_BilanSocial[#Data],COLUMN(T_P_BilanSocial[[#This Row],[Numero_SIHAM]]),FALSE),"")</f>
        <v/>
      </c>
      <c r="J323" s="331" t="str">
        <f>IFERROR(VLOOKUP(T_BilanSocial[[#This Row],[Zone_Bilan]],T_P_BilanSocial[#Data],COLUMN(T_P_BilanSocial[[#This Row],[Sexe]]),FALSE),"")</f>
        <v/>
      </c>
      <c r="K323" s="294" t="str">
        <f>IFERROR(VLOOKUP(T_BilanSocial[[#This Row],[Zone_Bilan]],T_P_BilanSocial[#Data],COLUMN(T_P_BilanSocial[[#This Row],[Categorie]]),FALSE),"")</f>
        <v/>
      </c>
      <c r="L323" s="331" t="str">
        <f>IFERROR(VLOOKUP(T_BilanSocial[[#This Row],[Zone_Bilan]],T_P_BilanSocial[#Data],COLUMN(T_P_BilanSocial[[#This Row],[Statut]]),FALSE),"")</f>
        <v/>
      </c>
      <c r="M323" s="331" t="str">
        <f>IFERROR(VLOOKUP(T_BilanSocial[[#This Row],[Zone_Bilan]],T_P_BilanSocial[#Data],COLUMN(T_P_BilanSocial[[#This Row],[Filiere]]),FALSE),"")</f>
        <v/>
      </c>
      <c r="N323" s="331" t="e">
        <f>VLOOKUP(T_BilanSocial[[#This Row],[NumL]],T_TraitDi[#Data],COLUMN(T_TraitDi[EXP]),FALSE)</f>
        <v>#N/A</v>
      </c>
      <c r="O323" s="331" t="e">
        <f>VLOOKUP(T_BilanSocial[[#This Row],[NumL]],T_TraitDi[#Data],COLUMN(T_TraitDi[FORM]),FALSE)</f>
        <v>#N/A</v>
      </c>
      <c r="P323" s="96" t="str">
        <f>IF(T_BilanSocial[[#This Row],[Final]]&lt;&gt;"",VLOOKUP(T_BilanSocial[[#This Row],[NumL]],T_suiviDi[#Data],COLUMN((T_suiviDi[Email])),FALSE),"")</f>
        <v/>
      </c>
      <c r="Q323" s="96" t="e">
        <f t="shared" si="58"/>
        <v>#N/A</v>
      </c>
      <c r="R323" s="96" t="e">
        <f t="shared" si="59"/>
        <v>#N/A</v>
      </c>
      <c r="S323" s="96" t="str">
        <f t="shared" ref="S323:S347" si="70">IFERROR(VLOOKUP(VLOOKUP($A323,ListeDI,6,FALSE),Entite_convention,2,FALSE)&amp;IF(VLOOKUP($A323,ListeDI,7,FALSE)&lt;&gt;""," "&amp;VLOOKUP($A323,ListeDI,7,FALSE),""),"")</f>
        <v/>
      </c>
      <c r="T323" s="96" t="str">
        <f t="shared" si="60"/>
        <v>01 septembre 2021</v>
      </c>
      <c r="U323" s="96" t="str">
        <f t="shared" si="61"/>
        <v>30 novembre 2021</v>
      </c>
      <c r="V323" s="97">
        <f t="shared" si="62"/>
        <v>44530</v>
      </c>
      <c r="W323" s="176" t="e">
        <f>IF(VLOOKUP(T_BilanSocial[[#This Row],[NumL]],T_TraitDi[#Data],COLUMN(T_TraitDi[[#This Row],[M1]]),FALSE)="","",VLOOKUP(T_BilanSocial[[#This Row],[NumL]],T_TraitDi[#Data],COLUMN(T_TraitDi[[#This Row],[M1]]),FALSE))</f>
        <v>#VALUE!</v>
      </c>
      <c r="X323" s="96" t="str">
        <f t="shared" si="68"/>
        <v/>
      </c>
      <c r="Y323" s="96" t="str">
        <f t="shared" si="68"/>
        <v/>
      </c>
      <c r="Z323" s="96" t="str">
        <f t="shared" si="64"/>
        <v/>
      </c>
      <c r="AA323" s="176" t="e">
        <f>IF(VLOOKUP(T_BilanSocial[[#This Row],[NumL]],T_TraitDi[#Data],COLUMN(T_TraitDi[[#This Row],[M5]]),FALSE)="","",VLOOKUP(T_BilanSocial[[#This Row],[NumL]],T_TraitDi[#Data],COLUMN(T_TraitDi[[#This Row],[M5]]),FALSE))</f>
        <v>#VALUE!</v>
      </c>
      <c r="AB323" s="176" t="e">
        <f>IF(VLOOKUP(T_BilanSocial[[#This Row],[NumL]],T_TraitDi[#Data],COLUMN(T_TraitDi[[#This Row],[M6]]),FALSE)="","",VLOOKUP(T_BilanSocial[[#This Row],[NumL]],T_TraitDi[#Data],COLUMN(T_TraitDi[[#This Row],[M6]]),FALSE))</f>
        <v>#VALUE!</v>
      </c>
      <c r="AC323" s="96" t="e">
        <f t="shared" si="69"/>
        <v>#VALUE!</v>
      </c>
      <c r="AD323" s="97" t="str">
        <f t="shared" si="65"/>
        <v/>
      </c>
      <c r="AE323" s="294" t="e">
        <f>VLOOKUP(T_BilanSocial[[#This Row],[NumL]],T_TraitDi[#Data],COLUMN(T_TraitDi[[#This Row],[Reg Ponct]]),FALSE)</f>
        <v>#VALUE!</v>
      </c>
      <c r="AF323" s="294" t="e">
        <f>VLOOKUP(T_BilanSocial[NumL],T_TraitDi[#Data],COLUMN(T_TraitDi[[#This Row],[Jours flottants]]),FALSE)</f>
        <v>#VALUE!</v>
      </c>
      <c r="AG323" s="97" t="str">
        <f>IFERROR(VLOOKUP(T_BilanSocial[[#This Row],[NumL]],T_TraitDi[#Data],COLUMN(T_TraitDi[[#This Row],[Lundi]]),FALSE),"")</f>
        <v/>
      </c>
      <c r="AH323" s="172" t="e">
        <f>IF(VLOOKUP(T_BilanSocial[[#This Row],[NumL]],T_TraitDi[#Data],COLUMN(T_TraitDi[[#This Row],[Colonne3]]),FALSE)=0,"",TEXT(IFERROR(VLOOKUP(T_BilanSocial[[#This Row],[NumL]],T_TraitDi[#Data],COLUMN(T_TraitDi[[#This Row],[Colonne3]]),FALSE),""),"[hh]:mm"))</f>
        <v>#VALUE!</v>
      </c>
      <c r="AI323" s="172" t="e">
        <f>IF(VLOOKUP(T_BilanSocial[[#This Row],[NumL]],T_TraitDi[#Data],COLUMN(T_TraitDi[[#This Row],[Colonne4]]),FALSE)=0,"",TEXT(IFERROR(VLOOKUP(T_BilanSocial[[#This Row],[NumL]],T_TraitDi[#Data],COLUMN(T_TraitDi[[#This Row],[Colonne4]]),FALSE),""),"[hh]:mm"))</f>
        <v>#VALUE!</v>
      </c>
      <c r="AJ323" s="172" t="e">
        <f>IF(VLOOKUP(T_BilanSocial[[#This Row],[NumL]],T_TraitDi[#Data],COLUMN(T_TraitDi[[#This Row],[Colonne5]]),FALSE)=0,"",TEXT(IFERROR(VLOOKUP(T_BilanSocial[[#This Row],[NumL]],T_TraitDi[#Data],COLUMN(T_TraitDi[[#This Row],[Colonne5]]),FALSE),""),"[hh]:mm"))</f>
        <v>#VALUE!</v>
      </c>
      <c r="AK323" s="172" t="e">
        <f>IF(VLOOKUP(T_BilanSocial[[#This Row],[NumL]],T_TraitDi[#Data],COLUMN(T_TraitDi[[#This Row],[Colonne6]]),FALSE)=0,"",TEXT(IFERROR(VLOOKUP(T_BilanSocial[[#This Row],[NumL]],T_TraitDi[#Data],COLUMN(T_TraitDi[[#This Row],[Colonne6]]),FALSE),""),"[hh]:mm"))</f>
        <v>#VALUE!</v>
      </c>
      <c r="AL323" s="172" t="e">
        <f>IF(VLOOKUP(T_BilanSocial[[#This Row],[NumL]],T_TraitDi[#Data],COLUMN(T_TraitDi[[#This Row],[Colonne7]]),FALSE)=0,"",TEXT(IFERROR(VLOOKUP(T_BilanSocial[[#This Row],[NumL]],T_TraitDi[#Data],COLUMN(T_TraitDi[[#This Row],[Colonne7]]),FALSE),""),"[hh]:mm"))</f>
        <v>#VALUE!</v>
      </c>
      <c r="AM323" s="172" t="e">
        <f>IF(VLOOKUP(T_BilanSocial[[#This Row],[NumL]],T_TraitDi[#Data],COLUMN(T_TraitDi[[#This Row],[Colonne8]]),FALSE)=0,"",TEXT(IFERROR(VLOOKUP(T_BilanSocial[[#This Row],[NumL]],T_TraitDi[#Data],COLUMN(T_TraitDi[[#This Row],[Colonne8]]),FALSE),""),"[hh]:mm"))</f>
        <v>#VALUE!</v>
      </c>
      <c r="AN323" s="172" t="str">
        <f>IFERROR(VLOOKUP(T_BilanSocial[[#This Row],[NumL]],T_TraitDi[#Data],COLUMN(T_TraitDi[[#This Row],[Mardi]]),FALSE),"")</f>
        <v/>
      </c>
      <c r="AO323" s="172" t="e">
        <f>IF(VLOOKUP(T_BilanSocial[[#This Row],[NumL]],T_TraitDi[#Data],COLUMN(T_TraitDi[[#This Row],[Colonne1]]),FALSE)=0,"",TEXT(IFERROR(VLOOKUP(T_BilanSocial[[#This Row],[NumL]],T_TraitDi[#Data],COLUMN(T_TraitDi[[#This Row],[Colonne1]]),FALSE),""),"[hh]:mm"))</f>
        <v>#VALUE!</v>
      </c>
      <c r="AP323" s="172" t="e">
        <f>IF(VLOOKUP(T_BilanSocial[[#This Row],[NumL]],T_TraitDi[#Data],COLUMN(T_TraitDi[[#This Row],[Colonne9]]),FALSE)=0,"",TEXT(IFERROR(VLOOKUP(T_BilanSocial[[#This Row],[NumL]],T_TraitDi[#Data],COLUMN(T_TraitDi[[#This Row],[Colonne9]]),FALSE),""),"[hh]:mm"))</f>
        <v>#VALUE!</v>
      </c>
      <c r="AQ323" s="172" t="str">
        <f>IFERROR(VLOOKUP(T_BilanSocial[[#This Row],[NumL]],T_TraitDi[#Data],COLUMN(T_TraitDi[[#This Row],[Colonne10]]),FALSE),"")</f>
        <v/>
      </c>
      <c r="AR323" s="172" t="e">
        <f>IF(VLOOKUP(T_BilanSocial[[#This Row],[NumL]],T_TraitDi[#Data],COLUMN(T_TraitDi[[#This Row],[Colonne11]]),FALSE)=0,"",TEXT(IFERROR(VLOOKUP(T_BilanSocial[[#This Row],[NumL]],T_TraitDi[#Data],COLUMN(T_TraitDi[[#This Row],[Colonne11]]),FALSE),""),"[hh]:mm"))</f>
        <v>#VALUE!</v>
      </c>
      <c r="AS323" s="172" t="e">
        <f>IF(VLOOKUP(T_BilanSocial[[#This Row],[NumL]],T_TraitDi[#Data],COLUMN(T_TraitDi[[#This Row],[Colonne12]]),FALSE)=0,"",TEXT(IFERROR(VLOOKUP(T_BilanSocial[[#This Row],[NumL]],T_TraitDi[#Data],COLUMN(T_TraitDi[[#This Row],[Colonne12]]),FALSE),""),"[hh]:mm"))</f>
        <v>#VALUE!</v>
      </c>
      <c r="AT323" s="172" t="e">
        <f>IF(VLOOKUP(T_BilanSocial[[#This Row],[NumL]],T_TraitDi[#Data],COLUMN(T_TraitDi[[#This Row],[Colonne14]]),FALSE)=0,"",TEXT(IFERROR(VLOOKUP(T_BilanSocial[[#This Row],[NumL]],T_TraitDi[#Data],COLUMN(T_TraitDi[[#This Row],[Colonne14]]),FALSE),""),"[hh]:mm"))</f>
        <v>#VALUE!</v>
      </c>
      <c r="AU323" s="172" t="str">
        <f>IFERROR(VLOOKUP(T_BilanSocial[[#This Row],[NumL]],T_TraitDi[#Data],COLUMN(T_TraitDi[[#This Row],[Mercredi]]),FALSE),"")</f>
        <v/>
      </c>
      <c r="AV323" s="172" t="e">
        <f>IF(VLOOKUP(T_BilanSocial[[#This Row],[NumL]],T_TraitDi[#Data],COLUMN(T_TraitDi[[#This Row],[Colonne15]]),FALSE)=0,"",TEXT(IFERROR(VLOOKUP(T_BilanSocial[[#This Row],[NumL]],T_TraitDi[#Data],COLUMN(T_TraitDi[[#This Row],[Colonne15]]),FALSE),""),"[hh]:mm"))</f>
        <v>#VALUE!</v>
      </c>
      <c r="AW323" s="172" t="e">
        <f>IF(VLOOKUP(T_BilanSocial[[#This Row],[NumL]],T_TraitDi[#Data],COLUMN(T_TraitDi[[#This Row],[Colonne16]]),FALSE)=0,"",TEXT(IFERROR(VLOOKUP(T_BilanSocial[[#This Row],[NumL]],T_TraitDi[#Data],COLUMN(T_TraitDi[[#This Row],[Colonne16]]),FALSE),""),"[hh]:mm"))</f>
        <v>#VALUE!</v>
      </c>
      <c r="AX323" s="172" t="str">
        <f>IFERROR(VLOOKUP(T_BilanSocial[[#This Row],[NumL]],T_TraitDi[#Data],COLUMN(T_TraitDi[[#This Row],[Colonne17]]),FALSE),"")</f>
        <v/>
      </c>
      <c r="AY323" s="172" t="e">
        <f>IF(VLOOKUP(T_BilanSocial[[#This Row],[NumL]],T_TraitDi[#Data],COLUMN(T_TraitDi[[#This Row],[Colonne18]]),FALSE)=0,"",TEXT(IFERROR(VLOOKUP(T_BilanSocial[[#This Row],[NumL]],T_TraitDi[#Data],COLUMN(T_TraitDi[[#This Row],[Colonne18]]),FALSE),""),"[hh]:mm"))</f>
        <v>#VALUE!</v>
      </c>
      <c r="AZ323" s="172" t="e">
        <f>IF(VLOOKUP(T_BilanSocial[[#This Row],[NumL]],T_TraitDi[#Data],COLUMN(T_TraitDi[[#This Row],[Colonne19]]),FALSE)=0,"",TEXT(IFERROR(VLOOKUP(T_BilanSocial[[#This Row],[NumL]],T_TraitDi[#Data],COLUMN(T_TraitDi[[#This Row],[Colonne19]]),FALSE),""),"[hh]:mm"))</f>
        <v>#VALUE!</v>
      </c>
      <c r="BA323" s="172" t="e">
        <f>IF(VLOOKUP(T_BilanSocial[[#This Row],[NumL]],T_TraitDi[#Data],COLUMN(T_TraitDi[[#This Row],[Colonne20]]),FALSE)=0,"",TEXT(IFERROR(VLOOKUP(T_BilanSocial[[#This Row],[NumL]],T_TraitDi[#Data],COLUMN(T_TraitDi[[#This Row],[Colonne20]]),FALSE),""),"[hh]:mm"))</f>
        <v>#VALUE!</v>
      </c>
      <c r="BB323" s="178" t="str">
        <f>IFERROR(VLOOKUP(T_BilanSocial[[#This Row],[NumL]],T_TraitDi[#Data],COLUMN(T_TraitDi[[#This Row],[Jeudi]]),FALSE),"")</f>
        <v/>
      </c>
      <c r="BC323" s="178" t="e">
        <f>IF(VLOOKUP(T_BilanSocial[[#This Row],[NumL]],T_TraitDi[#Data],COLUMN(T_TraitDi[[#This Row],[Colonne21]]),FALSE)=0,"",TEXT(IFERROR(VLOOKUP(T_BilanSocial[[#This Row],[NumL]],T_TraitDi[#Data],COLUMN(T_TraitDi[[#This Row],[Colonne21]]),FALSE),""),"[hh]:mm"))</f>
        <v>#VALUE!</v>
      </c>
      <c r="BD323" s="178" t="e">
        <f>IF(VLOOKUP(T_BilanSocial[[#This Row],[NumL]],T_TraitDi[#Data],COLUMN(T_TraitDi[[#This Row],[Colonne22]]),FALSE)=0,"",TEXT(IFERROR(VLOOKUP(T_BilanSocial[[#This Row],[NumL]],T_TraitDi[#Data],COLUMN(T_TraitDi[[#This Row],[Colonne22]]),FALSE),""),"[hh]:mm"))</f>
        <v>#VALUE!</v>
      </c>
      <c r="BE323" s="178" t="str">
        <f>IFERROR(VLOOKUP(T_BilanSocial[[#This Row],[NumL]],T_TraitDi[#Data],COLUMN(T_TraitDi[[#This Row],[Colonne23]]),FALSE),"")</f>
        <v/>
      </c>
      <c r="BF323" s="178" t="e">
        <f>IF(VLOOKUP(T_BilanSocial[[#This Row],[NumL]],T_TraitDi[#Data],COLUMN(T_TraitDi[[#This Row],[Colonne24]]),FALSE)=0,"",TEXT(IFERROR(VLOOKUP(T_BilanSocial[[#This Row],[NumL]],T_TraitDi[#Data],COLUMN(T_TraitDi[[#This Row],[Colonne24]]),FALSE),""),"[hh]:mm"))</f>
        <v>#VALUE!</v>
      </c>
      <c r="BG323" s="178" t="e">
        <f>IF(VLOOKUP(T_BilanSocial[[#This Row],[NumL]],T_TraitDi[#Data],COLUMN(T_TraitDi[[#This Row],[Colonne25]]),FALSE)=0,"",TEXT(IFERROR(VLOOKUP(T_BilanSocial[[#This Row],[NumL]],T_TraitDi[#Data],COLUMN(T_TraitDi[[#This Row],[Colonne25]]),FALSE),""),"[hh]:mm"))</f>
        <v>#VALUE!</v>
      </c>
      <c r="BH323" s="178" t="e">
        <f>IF(VLOOKUP(T_BilanSocial[[#This Row],[NumL]],T_TraitDi[#Data],COLUMN(T_TraitDi[[#This Row],[Colonne26]]),FALSE)=0,"",TEXT(IFERROR(VLOOKUP(T_BilanSocial[[#This Row],[NumL]],T_TraitDi[#Data],COLUMN(T_TraitDi[[#This Row],[Colonne26]]),FALSE),""),"[hh]:mm"))</f>
        <v>#VALUE!</v>
      </c>
      <c r="BI323" s="172" t="str">
        <f>IFERROR(VLOOKUP(T_BilanSocial[[#This Row],[NumL]],T_TraitDi[#Data],COLUMN(T_TraitDi[[#This Row],[Vendredi]]),FALSE),"")</f>
        <v/>
      </c>
      <c r="BJ323" s="172" t="e">
        <f>IF(VLOOKUP(T_BilanSocial[[#This Row],[NumL]],T_TraitDi[#Data],COLUMN(T_TraitDi[[#This Row],[Colonne27]]),FALSE)=0,"",TEXT(IFERROR(VLOOKUP(T_BilanSocial[[#This Row],[NumL]],T_TraitDi[#Data],COLUMN(T_TraitDi[[#This Row],[Colonne27]]),FALSE),""),"[hh]:mm"))</f>
        <v>#VALUE!</v>
      </c>
      <c r="BK323" s="172" t="e">
        <f>IF(VLOOKUP(T_BilanSocial[[#This Row],[NumL]],T_TraitDi[#Data],COLUMN(T_TraitDi[[#This Row],[Colonne28]]),FALSE)=0,"",TEXT(IFERROR(VLOOKUP(T_BilanSocial[[#This Row],[NumL]],T_TraitDi[#Data],COLUMN(T_TraitDi[[#This Row],[Colonne28]]),FALSE),""),"[hh]:mm"))</f>
        <v>#VALUE!</v>
      </c>
      <c r="BL323" s="172" t="str">
        <f>IFERROR(VLOOKUP(T_BilanSocial[[#This Row],[NumL]],T_TraitDi[#Data],COLUMN(T_TraitDi[[#This Row],[Colonne29]]),FALSE),"")</f>
        <v/>
      </c>
      <c r="BM323" s="172" t="e">
        <f>IF(VLOOKUP(T_BilanSocial[[#This Row],[NumL]],T_TraitDi[#Data],COLUMN(T_TraitDi[[#This Row],[Colonne30]]),FALSE)=0,"",TEXT(IFERROR(VLOOKUP(T_BilanSocial[[#This Row],[NumL]],T_TraitDi[#Data],COLUMN(T_TraitDi[[#This Row],[Colonne30]]),FALSE),""),"[hh]:mm"))</f>
        <v>#VALUE!</v>
      </c>
      <c r="BN323" s="172" t="e">
        <f>IF(VLOOKUP(T_BilanSocial[[#This Row],[NumL]],T_TraitDi[#Data],COLUMN(T_TraitDi[[#This Row],[Colonne31]]),FALSE)=0,"",TEXT(IFERROR(VLOOKUP(T_BilanSocial[[#This Row],[NumL]],T_TraitDi[#Data],COLUMN(T_TraitDi[[#This Row],[Colonne31]]),FALSE),""),"[hh]:mm"))</f>
        <v>#VALUE!</v>
      </c>
      <c r="BO323" s="172" t="e">
        <f>IF(VLOOKUP(T_BilanSocial[[#This Row],[NumL]],T_TraitDi[#Data],COLUMN(T_TraitDi[[#This Row],[Colonne32]]),FALSE)=0,"",TEXT(IFERROR(VLOOKUP(T_BilanSocial[[#This Row],[NumL]],T_TraitDi[#Data],COLUMN(T_TraitDi[[#This Row],[Colonne32]]),FALSE),""),"[hh]:mm"))</f>
        <v>#VALUE!</v>
      </c>
      <c r="BP323" s="172" t="e">
        <f>VLOOKUP(T_BilanSocial[[#This Row],[NumL]],T_TraitDi[#Data],COLUMN(T_TraitDi[NbJTot]),FALSE)</f>
        <v>#N/A</v>
      </c>
      <c r="BQ323" s="174" t="str">
        <f>IFERROR(VLOOKUP(T_BilanSocial[[#This Row],[NumL]],T_TraitDi[#Data],COLUMN(T_TraitDi[[#This Row],[NbJTW]]),FALSE),"")</f>
        <v/>
      </c>
      <c r="BR323" s="174" t="e">
        <f>IF(VLOOKUP(T_BilanSocial[[#This Row],[NumL]],T_TraitDi[#Data],COLUMN(T_TraitDi[[#This Row],[NbhTW]]),FALSE)=0,"",TEXT(IFERROR(VLOOKUP(T_BilanSocial[[#This Row],[NumL]],T_TraitDi[#Data],COLUMN(T_TraitDi[[#This Row],[NbhTW]]),FALSE),""),"[hh]:mm"))</f>
        <v>#VALUE!</v>
      </c>
      <c r="BS323" s="174" t="e">
        <f>IF(VLOOKUP(T_BilanSocial[[#This Row],[NumL]],T_TraitDi[#Data],COLUMN(T_TraitDi[[#This Row],[Nbhheb]]),FALSE)=0,"",TEXT(IFERROR(VLOOKUP($A323,T_TraitDi[#Data],COLUMN(T_TraitDi[[#This Row],[Nbhheb]]),FALSE),""),"[hh]:mm"))</f>
        <v>#VALUE!</v>
      </c>
      <c r="BT323" s="182" t="str">
        <f>IFERROR(VLOOKUP(VLOOKUP($A323,T_TraitDi[#Data],COLUMN(T_TraitDi[[#This Row],[Type1]]),FALSE),TypeTW,2,FALSE),"")</f>
        <v/>
      </c>
      <c r="BU323" s="182" t="str">
        <f>IFERROR(VLOOKUP($A323,T_TraitDi[#Data],COLUMN(T_TraitDi[[#This Row],[Rue1]]),FALSE),"")</f>
        <v/>
      </c>
      <c r="BV323" s="173" t="str">
        <f>IFERROR(VLOOKUP($A323,T_TraitDi[#Data],COLUMN(T_TraitDi[[#This Row],[CP1]]),FALSE),"")</f>
        <v/>
      </c>
      <c r="BW323" s="173" t="str">
        <f>IFERROR(VLOOKUP($A323,T_TraitDi[#Data],COLUMN(T_TraitDi[[#This Row],[VILLE1]]),FALSE),"")</f>
        <v/>
      </c>
      <c r="BX323" s="182" t="str">
        <f>IFERROR(VLOOKUP(VLOOKUP($A323,T_TraitDi[#Data],COLUMN(T_TraitDi[[#This Row],[Type2]]),FALSE),TypeTW,2,FALSE),"")</f>
        <v/>
      </c>
      <c r="BY323" s="182" t="str">
        <f>IFERROR(VLOOKUP($A323,T_TraitDi[#Data],COLUMN(T_TraitDi[[#This Row],[Rue2]]),FALSE),"")</f>
        <v/>
      </c>
      <c r="BZ323" s="173" t="str">
        <f>IFERROR(VLOOKUP($A323,T_TraitDi[#Data],COLUMN(T_TraitDi[[#This Row],[CP2]]),FALSE),"")</f>
        <v/>
      </c>
      <c r="CA323" s="173" t="str">
        <f>IFERROR(VLOOKUP($A323,T_TraitDi[#Data],COLUMN(T_TraitDi[[#This Row],[VILLE2]]),FALSE),"")</f>
        <v/>
      </c>
      <c r="CB323" s="182" t="e">
        <f>IF(VLOOKUP(T_BilanSocial[[#This Row],[NumL]],T_Equipement[#Data],COLUMN(T_Equipement[[#This Row],[PC]]),FALSE)="","Aucun équipement spécifique directement lié au télétravail",VLOOKUP(T_BilanSocial[[#This Row],[NumL]],T_Equipement[#Data],COLUMN(T_Equipement[[#This Row],[PC]]),FALSE))</f>
        <v>#VALUE!</v>
      </c>
      <c r="CC323" s="166" t="str">
        <f>IFERROR(IF(VLOOKUP(T_BilanSocial[[#This Row],[NumL]],T_TraitDi[#Data],COLUMN(T_TraitDi[[#This Row],[Plan]]),FALSE)="OK","Un planning spécifique de télétravail est annexé à la présente convention.",""),"")</f>
        <v/>
      </c>
      <c r="CD323" s="301"/>
      <c r="CE323" s="164" t="e">
        <f>IF(VLOOKUP(T_BilanSocial[[#This Row],[NumL]],T_suiviDi[#Data],COLUMN(T_suiviDi[[#This Row],[Entité]]),FALSE)="","",VLOOKUP(T_BilanSocial[[#This Row],[NumL]],T_suiviDi[#Data],COLUMN(T_suiviDi[[#This Row],[Entité]]),FALSE))</f>
        <v>#VALUE!</v>
      </c>
      <c r="CF323" s="164" t="e">
        <f>IF(VLOOKUP(T_BilanSocial[[#This Row],[NumL]],T_Commission[#Data],COLUMN(T_Commission[[#This Row],[envoi confirm TW]]),FALSE)="","",VLOOKUP(T_BilanSocial[[#This Row],[NumL]],T_Commission[#Data],COLUMN(T_Commission[[#This Row],[envoi confirm TW]]),FALSE))</f>
        <v>#VALUE!</v>
      </c>
      <c r="CG32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3" s="339" t="str">
        <f>T_BilanSocial[[#This Row],[Nom]]&amp;T_BilanSocial[[#This Row],[Prenom]]</f>
        <v/>
      </c>
      <c r="CI323" s="339">
        <f>VLOOKUP(T_BilanSocial[[#This Row],[NumL]],T_Commission[#Data],COLUMN(T_Commission[Commentaire]),FALSE)</f>
        <v>0</v>
      </c>
      <c r="CJ323" s="339" t="str">
        <f>IF(VLOOKUP(T_BilanSocial[[#This Row],[NumL]],T_Commission[#Data],COLUMN(T_Commission[Encadrant Email]),FALSE)="","",VLOOKUP(T_BilanSocial[[#This Row],[NumL]],T_Commission[#Data],COLUMN(T_Commission[Encadrant Email]),FALSE))</f>
        <v/>
      </c>
      <c r="CK323" s="332" t="str">
        <f>IF(T_BilanSocial[[#This Row],[Final]]&lt;&gt;"",VLOOKUP(T_BilanSocial[[#This Row],[NumL]],T_suiviDi[#Data],COLUMN((T_suiviDi[Statut])),FALSE),"")</f>
        <v/>
      </c>
    </row>
    <row r="324" spans="1:89" s="50" customFormat="1" ht="21" customHeight="1" x14ac:dyDescent="0.25">
      <c r="A324" s="136">
        <v>321</v>
      </c>
      <c r="B324" s="330" t="str">
        <f t="shared" si="56"/>
        <v/>
      </c>
      <c r="C324" s="309"/>
      <c r="D324" s="95" t="e">
        <f>IF(VLOOKUP(T_BilanSocial[[#This Row],[NumL]],T_TraitDi[#Data],COLUMN(T_TraitDi[[#This Row],[WebC]]),FALSE)="","",VLOOKUP(T_BilanSocial[[#This Row],[NumL]],T_TraitDi[#Data],COLUMN(T_TraitDi[[#This Row],[WebC]]),FALSE))</f>
        <v>#VALUE!</v>
      </c>
      <c r="E324" s="95" t="str">
        <f t="shared" si="57"/>
        <v>12 janvier 2021</v>
      </c>
      <c r="F324" s="96" t="str">
        <f>IF(T_BilanSocial[[#This Row],[Final]]&lt;&gt;"",VLOOKUP(T_BilanSocial[[#This Row],[NumL]],T_suiviDi[#Data],COLUMN((T_suiviDi[Civ.])),FALSE),"")</f>
        <v/>
      </c>
      <c r="G324" s="96" t="str">
        <f>IF(T_BilanSocial[[#This Row],[Final]]&lt;&gt;"",VLOOKUP(T_BilanSocial[[#This Row],[NumL]],T_suiviDi[#Data],COLUMN((T_suiviDi[Nom])),FALSE),"")</f>
        <v/>
      </c>
      <c r="H324" s="96" t="str">
        <f>IF(T_BilanSocial[[#This Row],[Final]]&lt;&gt;"",VLOOKUP(T_BilanSocial[[#This Row],[NumL]],T_suiviDi[#Data],COLUMN((T_suiviDi[Prénom])),FALSE),"")</f>
        <v/>
      </c>
      <c r="I324" s="331" t="str">
        <f>IFERROR(VLOOKUP(T_BilanSocial[[#This Row],[Zone_Bilan]],T_P_BilanSocial[#Data],COLUMN(T_P_BilanSocial[[#This Row],[Numero_SIHAM]]),FALSE),"")</f>
        <v/>
      </c>
      <c r="J324" s="331" t="str">
        <f>IFERROR(VLOOKUP(T_BilanSocial[[#This Row],[Zone_Bilan]],T_P_BilanSocial[#Data],COLUMN(T_P_BilanSocial[[#This Row],[Sexe]]),FALSE),"")</f>
        <v/>
      </c>
      <c r="K324" s="294" t="str">
        <f>IFERROR(VLOOKUP(T_BilanSocial[[#This Row],[Zone_Bilan]],T_P_BilanSocial[#Data],COLUMN(T_P_BilanSocial[[#This Row],[Categorie]]),FALSE),"")</f>
        <v/>
      </c>
      <c r="L324" s="331" t="str">
        <f>IFERROR(VLOOKUP(T_BilanSocial[[#This Row],[Zone_Bilan]],T_P_BilanSocial[#Data],COLUMN(T_P_BilanSocial[[#This Row],[Statut]]),FALSE),"")</f>
        <v/>
      </c>
      <c r="M324" s="331" t="str">
        <f>IFERROR(VLOOKUP(T_BilanSocial[[#This Row],[Zone_Bilan]],T_P_BilanSocial[#Data],COLUMN(T_P_BilanSocial[[#This Row],[Filiere]]),FALSE),"")</f>
        <v/>
      </c>
      <c r="N324" s="331" t="e">
        <f>VLOOKUP(T_BilanSocial[[#This Row],[NumL]],T_TraitDi[#Data],COLUMN(T_TraitDi[EXP]),FALSE)</f>
        <v>#N/A</v>
      </c>
      <c r="O324" s="331" t="e">
        <f>VLOOKUP(T_BilanSocial[[#This Row],[NumL]],T_TraitDi[#Data],COLUMN(T_TraitDi[FORM]),FALSE)</f>
        <v>#N/A</v>
      </c>
      <c r="P324" s="96" t="str">
        <f>IF(T_BilanSocial[[#This Row],[Final]]&lt;&gt;"",VLOOKUP(T_BilanSocial[[#This Row],[NumL]],T_suiviDi[#Data],COLUMN((T_suiviDi[Email])),FALSE),"")</f>
        <v/>
      </c>
      <c r="Q324" s="96" t="e">
        <f t="shared" si="58"/>
        <v>#N/A</v>
      </c>
      <c r="R324" s="96" t="e">
        <f t="shared" si="59"/>
        <v>#N/A</v>
      </c>
      <c r="S324" s="96" t="str">
        <f t="shared" si="70"/>
        <v/>
      </c>
      <c r="T324" s="96" t="str">
        <f t="shared" si="60"/>
        <v>01 septembre 2021</v>
      </c>
      <c r="U324" s="96" t="str">
        <f t="shared" si="61"/>
        <v>30 novembre 2021</v>
      </c>
      <c r="V324" s="97">
        <f t="shared" si="62"/>
        <v>44530</v>
      </c>
      <c r="W324" s="176" t="e">
        <f>IF(VLOOKUP(T_BilanSocial[[#This Row],[NumL]],T_TraitDi[#Data],COLUMN(T_TraitDi[[#This Row],[M1]]),FALSE)="","",VLOOKUP(T_BilanSocial[[#This Row],[NumL]],T_TraitDi[#Data],COLUMN(T_TraitDi[[#This Row],[M1]]),FALSE))</f>
        <v>#VALUE!</v>
      </c>
      <c r="X324" s="96" t="str">
        <f t="shared" si="68"/>
        <v/>
      </c>
      <c r="Y324" s="96" t="str">
        <f t="shared" si="68"/>
        <v/>
      </c>
      <c r="Z324" s="96" t="str">
        <f t="shared" si="64"/>
        <v/>
      </c>
      <c r="AA324" s="176" t="e">
        <f>IF(VLOOKUP(T_BilanSocial[[#This Row],[NumL]],T_TraitDi[#Data],COLUMN(T_TraitDi[[#This Row],[M5]]),FALSE)="","",VLOOKUP(T_BilanSocial[[#This Row],[NumL]],T_TraitDi[#Data],COLUMN(T_TraitDi[[#This Row],[M5]]),FALSE))</f>
        <v>#VALUE!</v>
      </c>
      <c r="AB324" s="176" t="e">
        <f>IF(VLOOKUP(T_BilanSocial[[#This Row],[NumL]],T_TraitDi[#Data],COLUMN(T_TraitDi[[#This Row],[M6]]),FALSE)="","",VLOOKUP(T_BilanSocial[[#This Row],[NumL]],T_TraitDi[#Data],COLUMN(T_TraitDi[[#This Row],[M6]]),FALSE))</f>
        <v>#VALUE!</v>
      </c>
      <c r="AC324" s="96" t="e">
        <f t="shared" si="69"/>
        <v>#VALUE!</v>
      </c>
      <c r="AD324" s="97" t="str">
        <f t="shared" si="65"/>
        <v/>
      </c>
      <c r="AE324" s="294" t="e">
        <f>VLOOKUP(T_BilanSocial[[#This Row],[NumL]],T_TraitDi[#Data],COLUMN(T_TraitDi[[#This Row],[Reg Ponct]]),FALSE)</f>
        <v>#VALUE!</v>
      </c>
      <c r="AF324" s="294" t="e">
        <f>VLOOKUP(T_BilanSocial[NumL],T_TraitDi[#Data],COLUMN(T_TraitDi[[#This Row],[Jours flottants]]),FALSE)</f>
        <v>#VALUE!</v>
      </c>
      <c r="AG324" s="97" t="str">
        <f>IFERROR(VLOOKUP(T_BilanSocial[[#This Row],[NumL]],T_TraitDi[#Data],COLUMN(T_TraitDi[[#This Row],[Lundi]]),FALSE),"")</f>
        <v/>
      </c>
      <c r="AH324" s="172" t="e">
        <f>IF(VLOOKUP(T_BilanSocial[[#This Row],[NumL]],T_TraitDi[#Data],COLUMN(T_TraitDi[[#This Row],[Colonne3]]),FALSE)=0,"",TEXT(IFERROR(VLOOKUP(T_BilanSocial[[#This Row],[NumL]],T_TraitDi[#Data],COLUMN(T_TraitDi[[#This Row],[Colonne3]]),FALSE),""),"[hh]:mm"))</f>
        <v>#VALUE!</v>
      </c>
      <c r="AI324" s="172" t="e">
        <f>IF(VLOOKUP(T_BilanSocial[[#This Row],[NumL]],T_TraitDi[#Data],COLUMN(T_TraitDi[[#This Row],[Colonne4]]),FALSE)=0,"",TEXT(IFERROR(VLOOKUP(T_BilanSocial[[#This Row],[NumL]],T_TraitDi[#Data],COLUMN(T_TraitDi[[#This Row],[Colonne4]]),FALSE),""),"[hh]:mm"))</f>
        <v>#VALUE!</v>
      </c>
      <c r="AJ324" s="172" t="e">
        <f>IF(VLOOKUP(T_BilanSocial[[#This Row],[NumL]],T_TraitDi[#Data],COLUMN(T_TraitDi[[#This Row],[Colonne5]]),FALSE)=0,"",TEXT(IFERROR(VLOOKUP(T_BilanSocial[[#This Row],[NumL]],T_TraitDi[#Data],COLUMN(T_TraitDi[[#This Row],[Colonne5]]),FALSE),""),"[hh]:mm"))</f>
        <v>#VALUE!</v>
      </c>
      <c r="AK324" s="172" t="e">
        <f>IF(VLOOKUP(T_BilanSocial[[#This Row],[NumL]],T_TraitDi[#Data],COLUMN(T_TraitDi[[#This Row],[Colonne6]]),FALSE)=0,"",TEXT(IFERROR(VLOOKUP(T_BilanSocial[[#This Row],[NumL]],T_TraitDi[#Data],COLUMN(T_TraitDi[[#This Row],[Colonne6]]),FALSE),""),"[hh]:mm"))</f>
        <v>#VALUE!</v>
      </c>
      <c r="AL324" s="172" t="e">
        <f>IF(VLOOKUP(T_BilanSocial[[#This Row],[NumL]],T_TraitDi[#Data],COLUMN(T_TraitDi[[#This Row],[Colonne7]]),FALSE)=0,"",TEXT(IFERROR(VLOOKUP(T_BilanSocial[[#This Row],[NumL]],T_TraitDi[#Data],COLUMN(T_TraitDi[[#This Row],[Colonne7]]),FALSE),""),"[hh]:mm"))</f>
        <v>#VALUE!</v>
      </c>
      <c r="AM324" s="172" t="e">
        <f>IF(VLOOKUP(T_BilanSocial[[#This Row],[NumL]],T_TraitDi[#Data],COLUMN(T_TraitDi[[#This Row],[Colonne8]]),FALSE)=0,"",TEXT(IFERROR(VLOOKUP(T_BilanSocial[[#This Row],[NumL]],T_TraitDi[#Data],COLUMN(T_TraitDi[[#This Row],[Colonne8]]),FALSE),""),"[hh]:mm"))</f>
        <v>#VALUE!</v>
      </c>
      <c r="AN324" s="172" t="str">
        <f>IFERROR(VLOOKUP(T_BilanSocial[[#This Row],[NumL]],T_TraitDi[#Data],COLUMN(T_TraitDi[[#This Row],[Mardi]]),FALSE),"")</f>
        <v/>
      </c>
      <c r="AO324" s="172" t="e">
        <f>IF(VLOOKUP(T_BilanSocial[[#This Row],[NumL]],T_TraitDi[#Data],COLUMN(T_TraitDi[[#This Row],[Colonne1]]),FALSE)=0,"",TEXT(IFERROR(VLOOKUP(T_BilanSocial[[#This Row],[NumL]],T_TraitDi[#Data],COLUMN(T_TraitDi[[#This Row],[Colonne1]]),FALSE),""),"[hh]:mm"))</f>
        <v>#VALUE!</v>
      </c>
      <c r="AP324" s="172" t="e">
        <f>IF(VLOOKUP(T_BilanSocial[[#This Row],[NumL]],T_TraitDi[#Data],COLUMN(T_TraitDi[[#This Row],[Colonne9]]),FALSE)=0,"",TEXT(IFERROR(VLOOKUP(T_BilanSocial[[#This Row],[NumL]],T_TraitDi[#Data],COLUMN(T_TraitDi[[#This Row],[Colonne9]]),FALSE),""),"[hh]:mm"))</f>
        <v>#VALUE!</v>
      </c>
      <c r="AQ324" s="172" t="str">
        <f>IFERROR(VLOOKUP(T_BilanSocial[[#This Row],[NumL]],T_TraitDi[#Data],COLUMN(T_TraitDi[[#This Row],[Colonne10]]),FALSE),"")</f>
        <v/>
      </c>
      <c r="AR324" s="172" t="e">
        <f>IF(VLOOKUP(T_BilanSocial[[#This Row],[NumL]],T_TraitDi[#Data],COLUMN(T_TraitDi[[#This Row],[Colonne11]]),FALSE)=0,"",TEXT(IFERROR(VLOOKUP(T_BilanSocial[[#This Row],[NumL]],T_TraitDi[#Data],COLUMN(T_TraitDi[[#This Row],[Colonne11]]),FALSE),""),"[hh]:mm"))</f>
        <v>#VALUE!</v>
      </c>
      <c r="AS324" s="172" t="e">
        <f>IF(VLOOKUP(T_BilanSocial[[#This Row],[NumL]],T_TraitDi[#Data],COLUMN(T_TraitDi[[#This Row],[Colonne12]]),FALSE)=0,"",TEXT(IFERROR(VLOOKUP(T_BilanSocial[[#This Row],[NumL]],T_TraitDi[#Data],COLUMN(T_TraitDi[[#This Row],[Colonne12]]),FALSE),""),"[hh]:mm"))</f>
        <v>#VALUE!</v>
      </c>
      <c r="AT324" s="172" t="e">
        <f>IF(VLOOKUP(T_BilanSocial[[#This Row],[NumL]],T_TraitDi[#Data],COLUMN(T_TraitDi[[#This Row],[Colonne14]]),FALSE)=0,"",TEXT(IFERROR(VLOOKUP(T_BilanSocial[[#This Row],[NumL]],T_TraitDi[#Data],COLUMN(T_TraitDi[[#This Row],[Colonne14]]),FALSE),""),"[hh]:mm"))</f>
        <v>#VALUE!</v>
      </c>
      <c r="AU324" s="172" t="str">
        <f>IFERROR(VLOOKUP(T_BilanSocial[[#This Row],[NumL]],T_TraitDi[#Data],COLUMN(T_TraitDi[[#This Row],[Mercredi]]),FALSE),"")</f>
        <v/>
      </c>
      <c r="AV324" s="172" t="e">
        <f>IF(VLOOKUP(T_BilanSocial[[#This Row],[NumL]],T_TraitDi[#Data],COLUMN(T_TraitDi[[#This Row],[Colonne15]]),FALSE)=0,"",TEXT(IFERROR(VLOOKUP(T_BilanSocial[[#This Row],[NumL]],T_TraitDi[#Data],COLUMN(T_TraitDi[[#This Row],[Colonne15]]),FALSE),""),"[hh]:mm"))</f>
        <v>#VALUE!</v>
      </c>
      <c r="AW324" s="172" t="e">
        <f>IF(VLOOKUP(T_BilanSocial[[#This Row],[NumL]],T_TraitDi[#Data],COLUMN(T_TraitDi[[#This Row],[Colonne16]]),FALSE)=0,"",TEXT(IFERROR(VLOOKUP(T_BilanSocial[[#This Row],[NumL]],T_TraitDi[#Data],COLUMN(T_TraitDi[[#This Row],[Colonne16]]),FALSE),""),"[hh]:mm"))</f>
        <v>#VALUE!</v>
      </c>
      <c r="AX324" s="172" t="str">
        <f>IFERROR(VLOOKUP(T_BilanSocial[[#This Row],[NumL]],T_TraitDi[#Data],COLUMN(T_TraitDi[[#This Row],[Colonne17]]),FALSE),"")</f>
        <v/>
      </c>
      <c r="AY324" s="172" t="e">
        <f>IF(VLOOKUP(T_BilanSocial[[#This Row],[NumL]],T_TraitDi[#Data],COLUMN(T_TraitDi[[#This Row],[Colonne18]]),FALSE)=0,"",TEXT(IFERROR(VLOOKUP(T_BilanSocial[[#This Row],[NumL]],T_TraitDi[#Data],COLUMN(T_TraitDi[[#This Row],[Colonne18]]),FALSE),""),"[hh]:mm"))</f>
        <v>#VALUE!</v>
      </c>
      <c r="AZ324" s="172" t="e">
        <f>IF(VLOOKUP(T_BilanSocial[[#This Row],[NumL]],T_TraitDi[#Data],COLUMN(T_TraitDi[[#This Row],[Colonne19]]),FALSE)=0,"",TEXT(IFERROR(VLOOKUP(T_BilanSocial[[#This Row],[NumL]],T_TraitDi[#Data],COLUMN(T_TraitDi[[#This Row],[Colonne19]]),FALSE),""),"[hh]:mm"))</f>
        <v>#VALUE!</v>
      </c>
      <c r="BA324" s="172" t="e">
        <f>IF(VLOOKUP(T_BilanSocial[[#This Row],[NumL]],T_TraitDi[#Data],COLUMN(T_TraitDi[[#This Row],[Colonne20]]),FALSE)=0,"",TEXT(IFERROR(VLOOKUP(T_BilanSocial[[#This Row],[NumL]],T_TraitDi[#Data],COLUMN(T_TraitDi[[#This Row],[Colonne20]]),FALSE),""),"[hh]:mm"))</f>
        <v>#VALUE!</v>
      </c>
      <c r="BB324" s="178" t="str">
        <f>IFERROR(VLOOKUP(T_BilanSocial[[#This Row],[NumL]],T_TraitDi[#Data],COLUMN(T_TraitDi[[#This Row],[Jeudi]]),FALSE),"")</f>
        <v/>
      </c>
      <c r="BC324" s="178" t="e">
        <f>IF(VLOOKUP(T_BilanSocial[[#This Row],[NumL]],T_TraitDi[#Data],COLUMN(T_TraitDi[[#This Row],[Colonne21]]),FALSE)=0,"",TEXT(IFERROR(VLOOKUP(T_BilanSocial[[#This Row],[NumL]],T_TraitDi[#Data],COLUMN(T_TraitDi[[#This Row],[Colonne21]]),FALSE),""),"[hh]:mm"))</f>
        <v>#VALUE!</v>
      </c>
      <c r="BD324" s="178" t="e">
        <f>IF(VLOOKUP(T_BilanSocial[[#This Row],[NumL]],T_TraitDi[#Data],COLUMN(T_TraitDi[[#This Row],[Colonne22]]),FALSE)=0,"",TEXT(IFERROR(VLOOKUP(T_BilanSocial[[#This Row],[NumL]],T_TraitDi[#Data],COLUMN(T_TraitDi[[#This Row],[Colonne22]]),FALSE),""),"[hh]:mm"))</f>
        <v>#VALUE!</v>
      </c>
      <c r="BE324" s="178" t="str">
        <f>IFERROR(VLOOKUP(T_BilanSocial[[#This Row],[NumL]],T_TraitDi[#Data],COLUMN(T_TraitDi[[#This Row],[Colonne23]]),FALSE),"")</f>
        <v/>
      </c>
      <c r="BF324" s="178" t="e">
        <f>IF(VLOOKUP(T_BilanSocial[[#This Row],[NumL]],T_TraitDi[#Data],COLUMN(T_TraitDi[[#This Row],[Colonne24]]),FALSE)=0,"",TEXT(IFERROR(VLOOKUP(T_BilanSocial[[#This Row],[NumL]],T_TraitDi[#Data],COLUMN(T_TraitDi[[#This Row],[Colonne24]]),FALSE),""),"[hh]:mm"))</f>
        <v>#VALUE!</v>
      </c>
      <c r="BG324" s="178" t="e">
        <f>IF(VLOOKUP(T_BilanSocial[[#This Row],[NumL]],T_TraitDi[#Data],COLUMN(T_TraitDi[[#This Row],[Colonne25]]),FALSE)=0,"",TEXT(IFERROR(VLOOKUP(T_BilanSocial[[#This Row],[NumL]],T_TraitDi[#Data],COLUMN(T_TraitDi[[#This Row],[Colonne25]]),FALSE),""),"[hh]:mm"))</f>
        <v>#VALUE!</v>
      </c>
      <c r="BH324" s="178" t="e">
        <f>IF(VLOOKUP(T_BilanSocial[[#This Row],[NumL]],T_TraitDi[#Data],COLUMN(T_TraitDi[[#This Row],[Colonne26]]),FALSE)=0,"",TEXT(IFERROR(VLOOKUP(T_BilanSocial[[#This Row],[NumL]],T_TraitDi[#Data],COLUMN(T_TraitDi[[#This Row],[Colonne26]]),FALSE),""),"[hh]:mm"))</f>
        <v>#VALUE!</v>
      </c>
      <c r="BI324" s="172" t="str">
        <f>IFERROR(VLOOKUP(T_BilanSocial[[#This Row],[NumL]],T_TraitDi[#Data],COLUMN(T_TraitDi[[#This Row],[Vendredi]]),FALSE),"")</f>
        <v/>
      </c>
      <c r="BJ324" s="172" t="e">
        <f>IF(VLOOKUP(T_BilanSocial[[#This Row],[NumL]],T_TraitDi[#Data],COLUMN(T_TraitDi[[#This Row],[Colonne27]]),FALSE)=0,"",TEXT(IFERROR(VLOOKUP(T_BilanSocial[[#This Row],[NumL]],T_TraitDi[#Data],COLUMN(T_TraitDi[[#This Row],[Colonne27]]),FALSE),""),"[hh]:mm"))</f>
        <v>#VALUE!</v>
      </c>
      <c r="BK324" s="172" t="e">
        <f>IF(VLOOKUP(T_BilanSocial[[#This Row],[NumL]],T_TraitDi[#Data],COLUMN(T_TraitDi[[#This Row],[Colonne28]]),FALSE)=0,"",TEXT(IFERROR(VLOOKUP(T_BilanSocial[[#This Row],[NumL]],T_TraitDi[#Data],COLUMN(T_TraitDi[[#This Row],[Colonne28]]),FALSE),""),"[hh]:mm"))</f>
        <v>#VALUE!</v>
      </c>
      <c r="BL324" s="172" t="str">
        <f>IFERROR(VLOOKUP(T_BilanSocial[[#This Row],[NumL]],T_TraitDi[#Data],COLUMN(T_TraitDi[[#This Row],[Colonne29]]),FALSE),"")</f>
        <v/>
      </c>
      <c r="BM324" s="172" t="e">
        <f>IF(VLOOKUP(T_BilanSocial[[#This Row],[NumL]],T_TraitDi[#Data],COLUMN(T_TraitDi[[#This Row],[Colonne30]]),FALSE)=0,"",TEXT(IFERROR(VLOOKUP(T_BilanSocial[[#This Row],[NumL]],T_TraitDi[#Data],COLUMN(T_TraitDi[[#This Row],[Colonne30]]),FALSE),""),"[hh]:mm"))</f>
        <v>#VALUE!</v>
      </c>
      <c r="BN324" s="172" t="e">
        <f>IF(VLOOKUP(T_BilanSocial[[#This Row],[NumL]],T_TraitDi[#Data],COLUMN(T_TraitDi[[#This Row],[Colonne31]]),FALSE)=0,"",TEXT(IFERROR(VLOOKUP(T_BilanSocial[[#This Row],[NumL]],T_TraitDi[#Data],COLUMN(T_TraitDi[[#This Row],[Colonne31]]),FALSE),""),"[hh]:mm"))</f>
        <v>#VALUE!</v>
      </c>
      <c r="BO324" s="172" t="e">
        <f>IF(VLOOKUP(T_BilanSocial[[#This Row],[NumL]],T_TraitDi[#Data],COLUMN(T_TraitDi[[#This Row],[Colonne32]]),FALSE)=0,"",TEXT(IFERROR(VLOOKUP(T_BilanSocial[[#This Row],[NumL]],T_TraitDi[#Data],COLUMN(T_TraitDi[[#This Row],[Colonne32]]),FALSE),""),"[hh]:mm"))</f>
        <v>#VALUE!</v>
      </c>
      <c r="BP324" s="172" t="e">
        <f>VLOOKUP(T_BilanSocial[[#This Row],[NumL]],T_TraitDi[#Data],COLUMN(T_TraitDi[NbJTot]),FALSE)</f>
        <v>#N/A</v>
      </c>
      <c r="BQ324" s="174" t="str">
        <f>IFERROR(VLOOKUP(T_BilanSocial[[#This Row],[NumL]],T_TraitDi[#Data],COLUMN(T_TraitDi[[#This Row],[NbJTW]]),FALSE),"")</f>
        <v/>
      </c>
      <c r="BR324" s="174" t="e">
        <f>IF(VLOOKUP(T_BilanSocial[[#This Row],[NumL]],T_TraitDi[#Data],COLUMN(T_TraitDi[[#This Row],[NbhTW]]),FALSE)=0,"",TEXT(IFERROR(VLOOKUP(T_BilanSocial[[#This Row],[NumL]],T_TraitDi[#Data],COLUMN(T_TraitDi[[#This Row],[NbhTW]]),FALSE),""),"[hh]:mm"))</f>
        <v>#VALUE!</v>
      </c>
      <c r="BS324" s="174" t="e">
        <f>IF(VLOOKUP(T_BilanSocial[[#This Row],[NumL]],T_TraitDi[#Data],COLUMN(T_TraitDi[[#This Row],[Nbhheb]]),FALSE)=0,"",TEXT(IFERROR(VLOOKUP($A324,T_TraitDi[#Data],COLUMN(T_TraitDi[[#This Row],[Nbhheb]]),FALSE),""),"[hh]:mm"))</f>
        <v>#VALUE!</v>
      </c>
      <c r="BT324" s="182" t="str">
        <f>IFERROR(VLOOKUP(VLOOKUP($A324,T_TraitDi[#Data],COLUMN(T_TraitDi[[#This Row],[Type1]]),FALSE),TypeTW,2,FALSE),"")</f>
        <v/>
      </c>
      <c r="BU324" s="182" t="str">
        <f>IFERROR(VLOOKUP($A324,T_TraitDi[#Data],COLUMN(T_TraitDi[[#This Row],[Rue1]]),FALSE),"")</f>
        <v/>
      </c>
      <c r="BV324" s="173" t="str">
        <f>IFERROR(VLOOKUP($A324,T_TraitDi[#Data],COLUMN(T_TraitDi[[#This Row],[CP1]]),FALSE),"")</f>
        <v/>
      </c>
      <c r="BW324" s="173" t="str">
        <f>IFERROR(VLOOKUP($A324,T_TraitDi[#Data],COLUMN(T_TraitDi[[#This Row],[VILLE1]]),FALSE),"")</f>
        <v/>
      </c>
      <c r="BX324" s="182" t="str">
        <f>IFERROR(VLOOKUP(VLOOKUP($A324,T_TraitDi[#Data],COLUMN(T_TraitDi[[#This Row],[Type2]]),FALSE),TypeTW,2,FALSE),"")</f>
        <v/>
      </c>
      <c r="BY324" s="182" t="str">
        <f>IFERROR(VLOOKUP($A324,T_TraitDi[#Data],COLUMN(T_TraitDi[[#This Row],[Rue2]]),FALSE),"")</f>
        <v/>
      </c>
      <c r="BZ324" s="173" t="str">
        <f>IFERROR(VLOOKUP($A324,T_TraitDi[#Data],COLUMN(T_TraitDi[[#This Row],[CP2]]),FALSE),"")</f>
        <v/>
      </c>
      <c r="CA324" s="173" t="str">
        <f>IFERROR(VLOOKUP($A324,T_TraitDi[#Data],COLUMN(T_TraitDi[[#This Row],[VILLE2]]),FALSE),"")</f>
        <v/>
      </c>
      <c r="CB324" s="182" t="e">
        <f>IF(VLOOKUP(T_BilanSocial[[#This Row],[NumL]],T_Equipement[#Data],COLUMN(T_Equipement[[#This Row],[PC]]),FALSE)="","Aucun équipement spécifique directement lié au télétravail",VLOOKUP(T_BilanSocial[[#This Row],[NumL]],T_Equipement[#Data],COLUMN(T_Equipement[[#This Row],[PC]]),FALSE))</f>
        <v>#VALUE!</v>
      </c>
      <c r="CC324" s="166" t="str">
        <f>IFERROR(IF(VLOOKUP(T_BilanSocial[[#This Row],[NumL]],T_TraitDi[#Data],COLUMN(T_TraitDi[[#This Row],[Plan]]),FALSE)="OK","Un planning spécifique de télétravail est annexé à la présente convention.",""),"")</f>
        <v/>
      </c>
      <c r="CD324" s="301"/>
      <c r="CE324" s="164" t="e">
        <f>IF(VLOOKUP(T_BilanSocial[[#This Row],[NumL]],T_suiviDi[#Data],COLUMN(T_suiviDi[[#This Row],[Entité]]),FALSE)="","",VLOOKUP(T_BilanSocial[[#This Row],[NumL]],T_suiviDi[#Data],COLUMN(T_suiviDi[[#This Row],[Entité]]),FALSE))</f>
        <v>#VALUE!</v>
      </c>
      <c r="CF324" s="164" t="e">
        <f>IF(VLOOKUP(T_BilanSocial[[#This Row],[NumL]],T_Commission[#Data],COLUMN(T_Commission[[#This Row],[envoi confirm TW]]),FALSE)="","",VLOOKUP(T_BilanSocial[[#This Row],[NumL]],T_Commission[#Data],COLUMN(T_Commission[[#This Row],[envoi confirm TW]]),FALSE))</f>
        <v>#VALUE!</v>
      </c>
      <c r="CG32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4" s="339" t="str">
        <f>T_BilanSocial[[#This Row],[Nom]]&amp;T_BilanSocial[[#This Row],[Prenom]]</f>
        <v/>
      </c>
      <c r="CI324" s="339">
        <f>VLOOKUP(T_BilanSocial[[#This Row],[NumL]],T_Commission[#Data],COLUMN(T_Commission[Commentaire]),FALSE)</f>
        <v>0</v>
      </c>
      <c r="CJ324" s="339" t="str">
        <f>IF(VLOOKUP(T_BilanSocial[[#This Row],[NumL]],T_Commission[#Data],COLUMN(T_Commission[Encadrant Email]),FALSE)="","",VLOOKUP(T_BilanSocial[[#This Row],[NumL]],T_Commission[#Data],COLUMN(T_Commission[Encadrant Email]),FALSE))</f>
        <v/>
      </c>
      <c r="CK324" s="332" t="str">
        <f>IF(T_BilanSocial[[#This Row],[Final]]&lt;&gt;"",VLOOKUP(T_BilanSocial[[#This Row],[NumL]],T_suiviDi[#Data],COLUMN((T_suiviDi[Statut])),FALSE),"")</f>
        <v/>
      </c>
    </row>
    <row r="325" spans="1:89" s="50" customFormat="1" ht="21" customHeight="1" x14ac:dyDescent="0.25">
      <c r="A325" s="136">
        <v>322</v>
      </c>
      <c r="B325" s="330" t="str">
        <f t="shared" si="56"/>
        <v/>
      </c>
      <c r="C325" s="309"/>
      <c r="D325" s="95" t="e">
        <f>IF(VLOOKUP(T_BilanSocial[[#This Row],[NumL]],T_TraitDi[#Data],COLUMN(T_TraitDi[[#This Row],[WebC]]),FALSE)="","",VLOOKUP(T_BilanSocial[[#This Row],[NumL]],T_TraitDi[#Data],COLUMN(T_TraitDi[[#This Row],[WebC]]),FALSE))</f>
        <v>#VALUE!</v>
      </c>
      <c r="E325" s="95" t="str">
        <f t="shared" si="57"/>
        <v>12 janvier 2021</v>
      </c>
      <c r="F325" s="96" t="str">
        <f>IF(T_BilanSocial[[#This Row],[Final]]&lt;&gt;"",VLOOKUP(T_BilanSocial[[#This Row],[NumL]],T_suiviDi[#Data],COLUMN((T_suiviDi[Civ.])),FALSE),"")</f>
        <v/>
      </c>
      <c r="G325" s="96" t="str">
        <f>IF(T_BilanSocial[[#This Row],[Final]]&lt;&gt;"",VLOOKUP(T_BilanSocial[[#This Row],[NumL]],T_suiviDi[#Data],COLUMN((T_suiviDi[Nom])),FALSE),"")</f>
        <v/>
      </c>
      <c r="H325" s="96" t="str">
        <f>IF(T_BilanSocial[[#This Row],[Final]]&lt;&gt;"",VLOOKUP(T_BilanSocial[[#This Row],[NumL]],T_suiviDi[#Data],COLUMN((T_suiviDi[Prénom])),FALSE),"")</f>
        <v/>
      </c>
      <c r="I325" s="331" t="str">
        <f>IFERROR(VLOOKUP(T_BilanSocial[[#This Row],[Zone_Bilan]],T_P_BilanSocial[#Data],COLUMN(T_P_BilanSocial[[#This Row],[Numero_SIHAM]]),FALSE),"")</f>
        <v/>
      </c>
      <c r="J325" s="331" t="str">
        <f>IFERROR(VLOOKUP(T_BilanSocial[[#This Row],[Zone_Bilan]],T_P_BilanSocial[#Data],COLUMN(T_P_BilanSocial[[#This Row],[Sexe]]),FALSE),"")</f>
        <v/>
      </c>
      <c r="K325" s="294" t="str">
        <f>IFERROR(VLOOKUP(T_BilanSocial[[#This Row],[Zone_Bilan]],T_P_BilanSocial[#Data],COLUMN(T_P_BilanSocial[[#This Row],[Categorie]]),FALSE),"")</f>
        <v/>
      </c>
      <c r="L325" s="331" t="str">
        <f>IFERROR(VLOOKUP(T_BilanSocial[[#This Row],[Zone_Bilan]],T_P_BilanSocial[#Data],COLUMN(T_P_BilanSocial[[#This Row],[Statut]]),FALSE),"")</f>
        <v/>
      </c>
      <c r="M325" s="331" t="str">
        <f>IFERROR(VLOOKUP(T_BilanSocial[[#This Row],[Zone_Bilan]],T_P_BilanSocial[#Data],COLUMN(T_P_BilanSocial[[#This Row],[Filiere]]),FALSE),"")</f>
        <v/>
      </c>
      <c r="N325" s="331" t="e">
        <f>VLOOKUP(T_BilanSocial[[#This Row],[NumL]],T_TraitDi[#Data],COLUMN(T_TraitDi[EXP]),FALSE)</f>
        <v>#N/A</v>
      </c>
      <c r="O325" s="331" t="e">
        <f>VLOOKUP(T_BilanSocial[[#This Row],[NumL]],T_TraitDi[#Data],COLUMN(T_TraitDi[FORM]),FALSE)</f>
        <v>#N/A</v>
      </c>
      <c r="P325" s="96" t="str">
        <f>IF(T_BilanSocial[[#This Row],[Final]]&lt;&gt;"",VLOOKUP(T_BilanSocial[[#This Row],[NumL]],T_suiviDi[#Data],COLUMN((T_suiviDi[Email])),FALSE),"")</f>
        <v/>
      </c>
      <c r="Q325" s="96" t="e">
        <f t="shared" si="58"/>
        <v>#N/A</v>
      </c>
      <c r="R325" s="96" t="e">
        <f t="shared" si="59"/>
        <v>#N/A</v>
      </c>
      <c r="S325" s="96" t="str">
        <f t="shared" si="70"/>
        <v/>
      </c>
      <c r="T325" s="96" t="str">
        <f t="shared" si="60"/>
        <v>01 septembre 2021</v>
      </c>
      <c r="U325" s="96" t="str">
        <f t="shared" si="61"/>
        <v>30 novembre 2021</v>
      </c>
      <c r="V325" s="97">
        <f t="shared" si="62"/>
        <v>44530</v>
      </c>
      <c r="W325" s="176" t="e">
        <f>IF(VLOOKUP(T_BilanSocial[[#This Row],[NumL]],T_TraitDi[#Data],COLUMN(T_TraitDi[[#This Row],[M1]]),FALSE)="","",VLOOKUP(T_BilanSocial[[#This Row],[NumL]],T_TraitDi[#Data],COLUMN(T_TraitDi[[#This Row],[M1]]),FALSE))</f>
        <v>#VALUE!</v>
      </c>
      <c r="X325" s="96" t="str">
        <f t="shared" si="68"/>
        <v/>
      </c>
      <c r="Y325" s="96" t="str">
        <f t="shared" si="68"/>
        <v/>
      </c>
      <c r="Z325" s="96" t="str">
        <f t="shared" si="64"/>
        <v/>
      </c>
      <c r="AA325" s="176" t="e">
        <f>IF(VLOOKUP(T_BilanSocial[[#This Row],[NumL]],T_TraitDi[#Data],COLUMN(T_TraitDi[[#This Row],[M5]]),FALSE)="","",VLOOKUP(T_BilanSocial[[#This Row],[NumL]],T_TraitDi[#Data],COLUMN(T_TraitDi[[#This Row],[M5]]),FALSE))</f>
        <v>#VALUE!</v>
      </c>
      <c r="AB325" s="176" t="e">
        <f>IF(VLOOKUP(T_BilanSocial[[#This Row],[NumL]],T_TraitDi[#Data],COLUMN(T_TraitDi[[#This Row],[M6]]),FALSE)="","",VLOOKUP(T_BilanSocial[[#This Row],[NumL]],T_TraitDi[#Data],COLUMN(T_TraitDi[[#This Row],[M6]]),FALSE))</f>
        <v>#VALUE!</v>
      </c>
      <c r="AC325" s="96" t="e">
        <f t="shared" si="69"/>
        <v>#VALUE!</v>
      </c>
      <c r="AD325" s="97" t="str">
        <f t="shared" si="65"/>
        <v/>
      </c>
      <c r="AE325" s="294" t="e">
        <f>VLOOKUP(T_BilanSocial[[#This Row],[NumL]],T_TraitDi[#Data],COLUMN(T_TraitDi[[#This Row],[Reg Ponct]]),FALSE)</f>
        <v>#VALUE!</v>
      </c>
      <c r="AF325" s="294" t="e">
        <f>VLOOKUP(T_BilanSocial[NumL],T_TraitDi[#Data],COLUMN(T_TraitDi[[#This Row],[Jours flottants]]),FALSE)</f>
        <v>#VALUE!</v>
      </c>
      <c r="AG325" s="97" t="str">
        <f>IFERROR(VLOOKUP(T_BilanSocial[[#This Row],[NumL]],T_TraitDi[#Data],COLUMN(T_TraitDi[[#This Row],[Lundi]]),FALSE),"")</f>
        <v/>
      </c>
      <c r="AH325" s="172" t="e">
        <f>IF(VLOOKUP(T_BilanSocial[[#This Row],[NumL]],T_TraitDi[#Data],COLUMN(T_TraitDi[[#This Row],[Colonne3]]),FALSE)=0,"",TEXT(IFERROR(VLOOKUP(T_BilanSocial[[#This Row],[NumL]],T_TraitDi[#Data],COLUMN(T_TraitDi[[#This Row],[Colonne3]]),FALSE),""),"[hh]:mm"))</f>
        <v>#VALUE!</v>
      </c>
      <c r="AI325" s="172" t="e">
        <f>IF(VLOOKUP(T_BilanSocial[[#This Row],[NumL]],T_TraitDi[#Data],COLUMN(T_TraitDi[[#This Row],[Colonne4]]),FALSE)=0,"",TEXT(IFERROR(VLOOKUP(T_BilanSocial[[#This Row],[NumL]],T_TraitDi[#Data],COLUMN(T_TraitDi[[#This Row],[Colonne4]]),FALSE),""),"[hh]:mm"))</f>
        <v>#VALUE!</v>
      </c>
      <c r="AJ325" s="172" t="e">
        <f>IF(VLOOKUP(T_BilanSocial[[#This Row],[NumL]],T_TraitDi[#Data],COLUMN(T_TraitDi[[#This Row],[Colonne5]]),FALSE)=0,"",TEXT(IFERROR(VLOOKUP(T_BilanSocial[[#This Row],[NumL]],T_TraitDi[#Data],COLUMN(T_TraitDi[[#This Row],[Colonne5]]),FALSE),""),"[hh]:mm"))</f>
        <v>#VALUE!</v>
      </c>
      <c r="AK325" s="172" t="e">
        <f>IF(VLOOKUP(T_BilanSocial[[#This Row],[NumL]],T_TraitDi[#Data],COLUMN(T_TraitDi[[#This Row],[Colonne6]]),FALSE)=0,"",TEXT(IFERROR(VLOOKUP(T_BilanSocial[[#This Row],[NumL]],T_TraitDi[#Data],COLUMN(T_TraitDi[[#This Row],[Colonne6]]),FALSE),""),"[hh]:mm"))</f>
        <v>#VALUE!</v>
      </c>
      <c r="AL325" s="172" t="e">
        <f>IF(VLOOKUP(T_BilanSocial[[#This Row],[NumL]],T_TraitDi[#Data],COLUMN(T_TraitDi[[#This Row],[Colonne7]]),FALSE)=0,"",TEXT(IFERROR(VLOOKUP(T_BilanSocial[[#This Row],[NumL]],T_TraitDi[#Data],COLUMN(T_TraitDi[[#This Row],[Colonne7]]),FALSE),""),"[hh]:mm"))</f>
        <v>#VALUE!</v>
      </c>
      <c r="AM325" s="172" t="e">
        <f>IF(VLOOKUP(T_BilanSocial[[#This Row],[NumL]],T_TraitDi[#Data],COLUMN(T_TraitDi[[#This Row],[Colonne8]]),FALSE)=0,"",TEXT(IFERROR(VLOOKUP(T_BilanSocial[[#This Row],[NumL]],T_TraitDi[#Data],COLUMN(T_TraitDi[[#This Row],[Colonne8]]),FALSE),""),"[hh]:mm"))</f>
        <v>#VALUE!</v>
      </c>
      <c r="AN325" s="172" t="str">
        <f>IFERROR(VLOOKUP(T_BilanSocial[[#This Row],[NumL]],T_TraitDi[#Data],COLUMN(T_TraitDi[[#This Row],[Mardi]]),FALSE),"")</f>
        <v/>
      </c>
      <c r="AO325" s="172" t="e">
        <f>IF(VLOOKUP(T_BilanSocial[[#This Row],[NumL]],T_TraitDi[#Data],COLUMN(T_TraitDi[[#This Row],[Colonne1]]),FALSE)=0,"",TEXT(IFERROR(VLOOKUP(T_BilanSocial[[#This Row],[NumL]],T_TraitDi[#Data],COLUMN(T_TraitDi[[#This Row],[Colonne1]]),FALSE),""),"[hh]:mm"))</f>
        <v>#VALUE!</v>
      </c>
      <c r="AP325" s="172" t="e">
        <f>IF(VLOOKUP(T_BilanSocial[[#This Row],[NumL]],T_TraitDi[#Data],COLUMN(T_TraitDi[[#This Row],[Colonne9]]),FALSE)=0,"",TEXT(IFERROR(VLOOKUP(T_BilanSocial[[#This Row],[NumL]],T_TraitDi[#Data],COLUMN(T_TraitDi[[#This Row],[Colonne9]]),FALSE),""),"[hh]:mm"))</f>
        <v>#VALUE!</v>
      </c>
      <c r="AQ325" s="172" t="str">
        <f>IFERROR(VLOOKUP(T_BilanSocial[[#This Row],[NumL]],T_TraitDi[#Data],COLUMN(T_TraitDi[[#This Row],[Colonne10]]),FALSE),"")</f>
        <v/>
      </c>
      <c r="AR325" s="172" t="e">
        <f>IF(VLOOKUP(T_BilanSocial[[#This Row],[NumL]],T_TraitDi[#Data],COLUMN(T_TraitDi[[#This Row],[Colonne11]]),FALSE)=0,"",TEXT(IFERROR(VLOOKUP(T_BilanSocial[[#This Row],[NumL]],T_TraitDi[#Data],COLUMN(T_TraitDi[[#This Row],[Colonne11]]),FALSE),""),"[hh]:mm"))</f>
        <v>#VALUE!</v>
      </c>
      <c r="AS325" s="172" t="e">
        <f>IF(VLOOKUP(T_BilanSocial[[#This Row],[NumL]],T_TraitDi[#Data],COLUMN(T_TraitDi[[#This Row],[Colonne12]]),FALSE)=0,"",TEXT(IFERROR(VLOOKUP(T_BilanSocial[[#This Row],[NumL]],T_TraitDi[#Data],COLUMN(T_TraitDi[[#This Row],[Colonne12]]),FALSE),""),"[hh]:mm"))</f>
        <v>#VALUE!</v>
      </c>
      <c r="AT325" s="172" t="e">
        <f>IF(VLOOKUP(T_BilanSocial[[#This Row],[NumL]],T_TraitDi[#Data],COLUMN(T_TraitDi[[#This Row],[Colonne14]]),FALSE)=0,"",TEXT(IFERROR(VLOOKUP(T_BilanSocial[[#This Row],[NumL]],T_TraitDi[#Data],COLUMN(T_TraitDi[[#This Row],[Colonne14]]),FALSE),""),"[hh]:mm"))</f>
        <v>#VALUE!</v>
      </c>
      <c r="AU325" s="172" t="str">
        <f>IFERROR(VLOOKUP(T_BilanSocial[[#This Row],[NumL]],T_TraitDi[#Data],COLUMN(T_TraitDi[[#This Row],[Mercredi]]),FALSE),"")</f>
        <v/>
      </c>
      <c r="AV325" s="172" t="e">
        <f>IF(VLOOKUP(T_BilanSocial[[#This Row],[NumL]],T_TraitDi[#Data],COLUMN(T_TraitDi[[#This Row],[Colonne15]]),FALSE)=0,"",TEXT(IFERROR(VLOOKUP(T_BilanSocial[[#This Row],[NumL]],T_TraitDi[#Data],COLUMN(T_TraitDi[[#This Row],[Colonne15]]),FALSE),""),"[hh]:mm"))</f>
        <v>#VALUE!</v>
      </c>
      <c r="AW325" s="172" t="e">
        <f>IF(VLOOKUP(T_BilanSocial[[#This Row],[NumL]],T_TraitDi[#Data],COLUMN(T_TraitDi[[#This Row],[Colonne16]]),FALSE)=0,"",TEXT(IFERROR(VLOOKUP(T_BilanSocial[[#This Row],[NumL]],T_TraitDi[#Data],COLUMN(T_TraitDi[[#This Row],[Colonne16]]),FALSE),""),"[hh]:mm"))</f>
        <v>#VALUE!</v>
      </c>
      <c r="AX325" s="172" t="str">
        <f>IFERROR(VLOOKUP(T_BilanSocial[[#This Row],[NumL]],T_TraitDi[#Data],COLUMN(T_TraitDi[[#This Row],[Colonne17]]),FALSE),"")</f>
        <v/>
      </c>
      <c r="AY325" s="172" t="e">
        <f>IF(VLOOKUP(T_BilanSocial[[#This Row],[NumL]],T_TraitDi[#Data],COLUMN(T_TraitDi[[#This Row],[Colonne18]]),FALSE)=0,"",TEXT(IFERROR(VLOOKUP(T_BilanSocial[[#This Row],[NumL]],T_TraitDi[#Data],COLUMN(T_TraitDi[[#This Row],[Colonne18]]),FALSE),""),"[hh]:mm"))</f>
        <v>#VALUE!</v>
      </c>
      <c r="AZ325" s="172" t="e">
        <f>IF(VLOOKUP(T_BilanSocial[[#This Row],[NumL]],T_TraitDi[#Data],COLUMN(T_TraitDi[[#This Row],[Colonne19]]),FALSE)=0,"",TEXT(IFERROR(VLOOKUP(T_BilanSocial[[#This Row],[NumL]],T_TraitDi[#Data],COLUMN(T_TraitDi[[#This Row],[Colonne19]]),FALSE),""),"[hh]:mm"))</f>
        <v>#VALUE!</v>
      </c>
      <c r="BA325" s="172" t="e">
        <f>IF(VLOOKUP(T_BilanSocial[[#This Row],[NumL]],T_TraitDi[#Data],COLUMN(T_TraitDi[[#This Row],[Colonne20]]),FALSE)=0,"",TEXT(IFERROR(VLOOKUP(T_BilanSocial[[#This Row],[NumL]],T_TraitDi[#Data],COLUMN(T_TraitDi[[#This Row],[Colonne20]]),FALSE),""),"[hh]:mm"))</f>
        <v>#VALUE!</v>
      </c>
      <c r="BB325" s="178" t="str">
        <f>IFERROR(VLOOKUP(T_BilanSocial[[#This Row],[NumL]],T_TraitDi[#Data],COLUMN(T_TraitDi[[#This Row],[Jeudi]]),FALSE),"")</f>
        <v/>
      </c>
      <c r="BC325" s="178" t="e">
        <f>IF(VLOOKUP(T_BilanSocial[[#This Row],[NumL]],T_TraitDi[#Data],COLUMN(T_TraitDi[[#This Row],[Colonne21]]),FALSE)=0,"",TEXT(IFERROR(VLOOKUP(T_BilanSocial[[#This Row],[NumL]],T_TraitDi[#Data],COLUMN(T_TraitDi[[#This Row],[Colonne21]]),FALSE),""),"[hh]:mm"))</f>
        <v>#VALUE!</v>
      </c>
      <c r="BD325" s="178" t="e">
        <f>IF(VLOOKUP(T_BilanSocial[[#This Row],[NumL]],T_TraitDi[#Data],COLUMN(T_TraitDi[[#This Row],[Colonne22]]),FALSE)=0,"",TEXT(IFERROR(VLOOKUP(T_BilanSocial[[#This Row],[NumL]],T_TraitDi[#Data],COLUMN(T_TraitDi[[#This Row],[Colonne22]]),FALSE),""),"[hh]:mm"))</f>
        <v>#VALUE!</v>
      </c>
      <c r="BE325" s="178" t="str">
        <f>IFERROR(VLOOKUP(T_BilanSocial[[#This Row],[NumL]],T_TraitDi[#Data],COLUMN(T_TraitDi[[#This Row],[Colonne23]]),FALSE),"")</f>
        <v/>
      </c>
      <c r="BF325" s="178" t="e">
        <f>IF(VLOOKUP(T_BilanSocial[[#This Row],[NumL]],T_TraitDi[#Data],COLUMN(T_TraitDi[[#This Row],[Colonne24]]),FALSE)=0,"",TEXT(IFERROR(VLOOKUP(T_BilanSocial[[#This Row],[NumL]],T_TraitDi[#Data],COLUMN(T_TraitDi[[#This Row],[Colonne24]]),FALSE),""),"[hh]:mm"))</f>
        <v>#VALUE!</v>
      </c>
      <c r="BG325" s="178" t="e">
        <f>IF(VLOOKUP(T_BilanSocial[[#This Row],[NumL]],T_TraitDi[#Data],COLUMN(T_TraitDi[[#This Row],[Colonne25]]),FALSE)=0,"",TEXT(IFERROR(VLOOKUP(T_BilanSocial[[#This Row],[NumL]],T_TraitDi[#Data],COLUMN(T_TraitDi[[#This Row],[Colonne25]]),FALSE),""),"[hh]:mm"))</f>
        <v>#VALUE!</v>
      </c>
      <c r="BH325" s="178" t="e">
        <f>IF(VLOOKUP(T_BilanSocial[[#This Row],[NumL]],T_TraitDi[#Data],COLUMN(T_TraitDi[[#This Row],[Colonne26]]),FALSE)=0,"",TEXT(IFERROR(VLOOKUP(T_BilanSocial[[#This Row],[NumL]],T_TraitDi[#Data],COLUMN(T_TraitDi[[#This Row],[Colonne26]]),FALSE),""),"[hh]:mm"))</f>
        <v>#VALUE!</v>
      </c>
      <c r="BI325" s="172" t="str">
        <f>IFERROR(VLOOKUP(T_BilanSocial[[#This Row],[NumL]],T_TraitDi[#Data],COLUMN(T_TraitDi[[#This Row],[Vendredi]]),FALSE),"")</f>
        <v/>
      </c>
      <c r="BJ325" s="172" t="e">
        <f>IF(VLOOKUP(T_BilanSocial[[#This Row],[NumL]],T_TraitDi[#Data],COLUMN(T_TraitDi[[#This Row],[Colonne27]]),FALSE)=0,"",TEXT(IFERROR(VLOOKUP(T_BilanSocial[[#This Row],[NumL]],T_TraitDi[#Data],COLUMN(T_TraitDi[[#This Row],[Colonne27]]),FALSE),""),"[hh]:mm"))</f>
        <v>#VALUE!</v>
      </c>
      <c r="BK325" s="172" t="e">
        <f>IF(VLOOKUP(T_BilanSocial[[#This Row],[NumL]],T_TraitDi[#Data],COLUMN(T_TraitDi[[#This Row],[Colonne28]]),FALSE)=0,"",TEXT(IFERROR(VLOOKUP(T_BilanSocial[[#This Row],[NumL]],T_TraitDi[#Data],COLUMN(T_TraitDi[[#This Row],[Colonne28]]),FALSE),""),"[hh]:mm"))</f>
        <v>#VALUE!</v>
      </c>
      <c r="BL325" s="172" t="str">
        <f>IFERROR(VLOOKUP(T_BilanSocial[[#This Row],[NumL]],T_TraitDi[#Data],COLUMN(T_TraitDi[[#This Row],[Colonne29]]),FALSE),"")</f>
        <v/>
      </c>
      <c r="BM325" s="172" t="e">
        <f>IF(VLOOKUP(T_BilanSocial[[#This Row],[NumL]],T_TraitDi[#Data],COLUMN(T_TraitDi[[#This Row],[Colonne30]]),FALSE)=0,"",TEXT(IFERROR(VLOOKUP(T_BilanSocial[[#This Row],[NumL]],T_TraitDi[#Data],COLUMN(T_TraitDi[[#This Row],[Colonne30]]),FALSE),""),"[hh]:mm"))</f>
        <v>#VALUE!</v>
      </c>
      <c r="BN325" s="172" t="e">
        <f>IF(VLOOKUP(T_BilanSocial[[#This Row],[NumL]],T_TraitDi[#Data],COLUMN(T_TraitDi[[#This Row],[Colonne31]]),FALSE)=0,"",TEXT(IFERROR(VLOOKUP(T_BilanSocial[[#This Row],[NumL]],T_TraitDi[#Data],COLUMN(T_TraitDi[[#This Row],[Colonne31]]),FALSE),""),"[hh]:mm"))</f>
        <v>#VALUE!</v>
      </c>
      <c r="BO325" s="172" t="e">
        <f>IF(VLOOKUP(T_BilanSocial[[#This Row],[NumL]],T_TraitDi[#Data],COLUMN(T_TraitDi[[#This Row],[Colonne32]]),FALSE)=0,"",TEXT(IFERROR(VLOOKUP(T_BilanSocial[[#This Row],[NumL]],T_TraitDi[#Data],COLUMN(T_TraitDi[[#This Row],[Colonne32]]),FALSE),""),"[hh]:mm"))</f>
        <v>#VALUE!</v>
      </c>
      <c r="BP325" s="172" t="e">
        <f>VLOOKUP(T_BilanSocial[[#This Row],[NumL]],T_TraitDi[#Data],COLUMN(T_TraitDi[NbJTot]),FALSE)</f>
        <v>#N/A</v>
      </c>
      <c r="BQ325" s="174" t="str">
        <f>IFERROR(VLOOKUP(T_BilanSocial[[#This Row],[NumL]],T_TraitDi[#Data],COLUMN(T_TraitDi[[#This Row],[NbJTW]]),FALSE),"")</f>
        <v/>
      </c>
      <c r="BR325" s="174" t="e">
        <f>IF(VLOOKUP(T_BilanSocial[[#This Row],[NumL]],T_TraitDi[#Data],COLUMN(T_TraitDi[[#This Row],[NbhTW]]),FALSE)=0,"",TEXT(IFERROR(VLOOKUP(T_BilanSocial[[#This Row],[NumL]],T_TraitDi[#Data],COLUMN(T_TraitDi[[#This Row],[NbhTW]]),FALSE),""),"[hh]:mm"))</f>
        <v>#VALUE!</v>
      </c>
      <c r="BS325" s="174" t="e">
        <f>IF(VLOOKUP(T_BilanSocial[[#This Row],[NumL]],T_TraitDi[#Data],COLUMN(T_TraitDi[[#This Row],[Nbhheb]]),FALSE)=0,"",TEXT(IFERROR(VLOOKUP($A325,T_TraitDi[#Data],COLUMN(T_TraitDi[[#This Row],[Nbhheb]]),FALSE),""),"[hh]:mm"))</f>
        <v>#VALUE!</v>
      </c>
      <c r="BT325" s="182" t="str">
        <f>IFERROR(VLOOKUP(VLOOKUP($A325,T_TraitDi[#Data],COLUMN(T_TraitDi[[#This Row],[Type1]]),FALSE),TypeTW,2,FALSE),"")</f>
        <v/>
      </c>
      <c r="BU325" s="182" t="str">
        <f>IFERROR(VLOOKUP($A325,T_TraitDi[#Data],COLUMN(T_TraitDi[[#This Row],[Rue1]]),FALSE),"")</f>
        <v/>
      </c>
      <c r="BV325" s="173" t="str">
        <f>IFERROR(VLOOKUP($A325,T_TraitDi[#Data],COLUMN(T_TraitDi[[#This Row],[CP1]]),FALSE),"")</f>
        <v/>
      </c>
      <c r="BW325" s="173" t="str">
        <f>IFERROR(VLOOKUP($A325,T_TraitDi[#Data],COLUMN(T_TraitDi[[#This Row],[VILLE1]]),FALSE),"")</f>
        <v/>
      </c>
      <c r="BX325" s="182" t="str">
        <f>IFERROR(VLOOKUP(VLOOKUP($A325,T_TraitDi[#Data],COLUMN(T_TraitDi[[#This Row],[Type2]]),FALSE),TypeTW,2,FALSE),"")</f>
        <v/>
      </c>
      <c r="BY325" s="182" t="str">
        <f>IFERROR(VLOOKUP($A325,T_TraitDi[#Data],COLUMN(T_TraitDi[[#This Row],[Rue2]]),FALSE),"")</f>
        <v/>
      </c>
      <c r="BZ325" s="173" t="str">
        <f>IFERROR(VLOOKUP($A325,T_TraitDi[#Data],COLUMN(T_TraitDi[[#This Row],[CP2]]),FALSE),"")</f>
        <v/>
      </c>
      <c r="CA325" s="173" t="str">
        <f>IFERROR(VLOOKUP($A325,T_TraitDi[#Data],COLUMN(T_TraitDi[[#This Row],[VILLE2]]),FALSE),"")</f>
        <v/>
      </c>
      <c r="CB325" s="182" t="e">
        <f>IF(VLOOKUP(T_BilanSocial[[#This Row],[NumL]],T_Equipement[#Data],COLUMN(T_Equipement[[#This Row],[PC]]),FALSE)="","Aucun équipement spécifique directement lié au télétravail",VLOOKUP(T_BilanSocial[[#This Row],[NumL]],T_Equipement[#Data],COLUMN(T_Equipement[[#This Row],[PC]]),FALSE))</f>
        <v>#VALUE!</v>
      </c>
      <c r="CC325" s="166" t="str">
        <f>IFERROR(IF(VLOOKUP(T_BilanSocial[[#This Row],[NumL]],T_TraitDi[#Data],COLUMN(T_TraitDi[[#This Row],[Plan]]),FALSE)="OK","Un planning spécifique de télétravail est annexé à la présente convention.",""),"")</f>
        <v/>
      </c>
      <c r="CD325" s="301"/>
      <c r="CE325" s="164" t="e">
        <f>IF(VLOOKUP(T_BilanSocial[[#This Row],[NumL]],T_suiviDi[#Data],COLUMN(T_suiviDi[[#This Row],[Entité]]),FALSE)="","",VLOOKUP(T_BilanSocial[[#This Row],[NumL]],T_suiviDi[#Data],COLUMN(T_suiviDi[[#This Row],[Entité]]),FALSE))</f>
        <v>#VALUE!</v>
      </c>
      <c r="CF325" s="164" t="e">
        <f>IF(VLOOKUP(T_BilanSocial[[#This Row],[NumL]],T_Commission[#Data],COLUMN(T_Commission[[#This Row],[envoi confirm TW]]),FALSE)="","",VLOOKUP(T_BilanSocial[[#This Row],[NumL]],T_Commission[#Data],COLUMN(T_Commission[[#This Row],[envoi confirm TW]]),FALSE))</f>
        <v>#VALUE!</v>
      </c>
      <c r="CG32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5" s="339" t="str">
        <f>T_BilanSocial[[#This Row],[Nom]]&amp;T_BilanSocial[[#This Row],[Prenom]]</f>
        <v/>
      </c>
      <c r="CI325" s="339">
        <f>VLOOKUP(T_BilanSocial[[#This Row],[NumL]],T_Commission[#Data],COLUMN(T_Commission[Commentaire]),FALSE)</f>
        <v>0</v>
      </c>
      <c r="CJ325" s="339" t="str">
        <f>IF(VLOOKUP(T_BilanSocial[[#This Row],[NumL]],T_Commission[#Data],COLUMN(T_Commission[Encadrant Email]),FALSE)="","",VLOOKUP(T_BilanSocial[[#This Row],[NumL]],T_Commission[#Data],COLUMN(T_Commission[Encadrant Email]),FALSE))</f>
        <v/>
      </c>
      <c r="CK325" s="332" t="str">
        <f>IF(T_BilanSocial[[#This Row],[Final]]&lt;&gt;"",VLOOKUP(T_BilanSocial[[#This Row],[NumL]],T_suiviDi[#Data],COLUMN((T_suiviDi[Statut])),FALSE),"")</f>
        <v/>
      </c>
    </row>
    <row r="326" spans="1:89" s="50" customFormat="1" ht="21" customHeight="1" x14ac:dyDescent="0.25">
      <c r="A326" s="136">
        <v>323</v>
      </c>
      <c r="B326" s="330" t="str">
        <f t="shared" ref="B326:B347" si="71">VLOOKUP(A326,ComDI,15,FALSE)</f>
        <v/>
      </c>
      <c r="C326" s="309"/>
      <c r="D326" s="95" t="e">
        <f>IF(VLOOKUP(T_BilanSocial[[#This Row],[NumL]],T_TraitDi[#Data],COLUMN(T_TraitDi[[#This Row],[WebC]]),FALSE)="","",VLOOKUP(T_BilanSocial[[#This Row],[NumL]],T_TraitDi[#Data],COLUMN(T_TraitDi[[#This Row],[WebC]]),FALSE))</f>
        <v>#VALUE!</v>
      </c>
      <c r="E326" s="95" t="str">
        <f t="shared" ref="E326:E347" si="72">TEXT(DateEdition,"jj mmmm aaaa")</f>
        <v>12 janvier 2021</v>
      </c>
      <c r="F326" s="96" t="str">
        <f>IF(T_BilanSocial[[#This Row],[Final]]&lt;&gt;"",VLOOKUP(T_BilanSocial[[#This Row],[NumL]],T_suiviDi[#Data],COLUMN((T_suiviDi[Civ.])),FALSE),"")</f>
        <v/>
      </c>
      <c r="G326" s="96" t="str">
        <f>IF(T_BilanSocial[[#This Row],[Final]]&lt;&gt;"",VLOOKUP(T_BilanSocial[[#This Row],[NumL]],T_suiviDi[#Data],COLUMN((T_suiviDi[Nom])),FALSE),"")</f>
        <v/>
      </c>
      <c r="H326" s="96" t="str">
        <f>IF(T_BilanSocial[[#This Row],[Final]]&lt;&gt;"",VLOOKUP(T_BilanSocial[[#This Row],[NumL]],T_suiviDi[#Data],COLUMN((T_suiviDi[Prénom])),FALSE),"")</f>
        <v/>
      </c>
      <c r="I326" s="331" t="str">
        <f>IFERROR(VLOOKUP(T_BilanSocial[[#This Row],[Zone_Bilan]],T_P_BilanSocial[#Data],COLUMN(T_P_BilanSocial[[#This Row],[Numero_SIHAM]]),FALSE),"")</f>
        <v/>
      </c>
      <c r="J326" s="331" t="str">
        <f>IFERROR(VLOOKUP(T_BilanSocial[[#This Row],[Zone_Bilan]],T_P_BilanSocial[#Data],COLUMN(T_P_BilanSocial[[#This Row],[Sexe]]),FALSE),"")</f>
        <v/>
      </c>
      <c r="K326" s="294" t="str">
        <f>IFERROR(VLOOKUP(T_BilanSocial[[#This Row],[Zone_Bilan]],T_P_BilanSocial[#Data],COLUMN(T_P_BilanSocial[[#This Row],[Categorie]]),FALSE),"")</f>
        <v/>
      </c>
      <c r="L326" s="331" t="str">
        <f>IFERROR(VLOOKUP(T_BilanSocial[[#This Row],[Zone_Bilan]],T_P_BilanSocial[#Data],COLUMN(T_P_BilanSocial[[#This Row],[Statut]]),FALSE),"")</f>
        <v/>
      </c>
      <c r="M326" s="331" t="str">
        <f>IFERROR(VLOOKUP(T_BilanSocial[[#This Row],[Zone_Bilan]],T_P_BilanSocial[#Data],COLUMN(T_P_BilanSocial[[#This Row],[Filiere]]),FALSE),"")</f>
        <v/>
      </c>
      <c r="N326" s="331" t="e">
        <f>VLOOKUP(T_BilanSocial[[#This Row],[NumL]],T_TraitDi[#Data],COLUMN(T_TraitDi[EXP]),FALSE)</f>
        <v>#N/A</v>
      </c>
      <c r="O326" s="331" t="e">
        <f>VLOOKUP(T_BilanSocial[[#This Row],[NumL]],T_TraitDi[#Data],COLUMN(T_TraitDi[FORM]),FALSE)</f>
        <v>#N/A</v>
      </c>
      <c r="P326" s="96" t="str">
        <f>IF(T_BilanSocial[[#This Row],[Final]]&lt;&gt;"",VLOOKUP(T_BilanSocial[[#This Row],[NumL]],T_suiviDi[#Data],COLUMN((T_suiviDi[Email])),FALSE),"")</f>
        <v/>
      </c>
      <c r="Q326" s="96" t="e">
        <f t="shared" ref="Q326:Q347" si="73">IF(VLOOKUP($A326,ListeDI,8,FALSE)="","",VLOOKUP($A326,ListeDI,8,FALSE))</f>
        <v>#N/A</v>
      </c>
      <c r="R326" s="96" t="e">
        <f t="shared" ref="R326:R347" si="74">IF(VLOOKUP($A326,ListeDI,9,FALSE)="","",VLOOKUP($A326,ListeDI,9,FALSE))</f>
        <v>#N/A</v>
      </c>
      <c r="S326" s="96" t="str">
        <f t="shared" si="70"/>
        <v/>
      </c>
      <c r="T326" s="96" t="str">
        <f t="shared" ref="T326:T347" si="75">TEXT(Dateeffet,"jj mmmm aaaa")</f>
        <v>01 septembre 2021</v>
      </c>
      <c r="U326" s="96" t="str">
        <f t="shared" ref="U326:U347" si="76">TEXT(DateFinadapt,"jj mmmm aaaa")</f>
        <v>30 novembre 2021</v>
      </c>
      <c r="V326" s="97">
        <f t="shared" ref="V326:V347" si="77">Datebilan</f>
        <v>44530</v>
      </c>
      <c r="W326" s="176" t="e">
        <f>IF(VLOOKUP(T_BilanSocial[[#This Row],[NumL]],T_TraitDi[#Data],COLUMN(T_TraitDi[[#This Row],[M1]]),FALSE)="","",VLOOKUP(T_BilanSocial[[#This Row],[NumL]],T_TraitDi[#Data],COLUMN(T_TraitDi[[#This Row],[M1]]),FALSE))</f>
        <v>#VALUE!</v>
      </c>
      <c r="X326" s="96" t="str">
        <f t="shared" si="68"/>
        <v/>
      </c>
      <c r="Y326" s="96" t="str">
        <f t="shared" si="68"/>
        <v/>
      </c>
      <c r="Z326" s="96" t="str">
        <f t="shared" ref="Z326:Z347" si="78">IFERROR(IF(VLOOKUP($A326,TraitementDI,Z$3,FALSE)="",""," -"&amp;VLOOKUP($A326,TraitementDI,Z$3,FALSE)),"")</f>
        <v/>
      </c>
      <c r="AA326" s="176" t="e">
        <f>IF(VLOOKUP(T_BilanSocial[[#This Row],[NumL]],T_TraitDi[#Data],COLUMN(T_TraitDi[[#This Row],[M5]]),FALSE)="","",VLOOKUP(T_BilanSocial[[#This Row],[NumL]],T_TraitDi[#Data],COLUMN(T_TraitDi[[#This Row],[M5]]),FALSE))</f>
        <v>#VALUE!</v>
      </c>
      <c r="AB326" s="176" t="e">
        <f>IF(VLOOKUP(T_BilanSocial[[#This Row],[NumL]],T_TraitDi[#Data],COLUMN(T_TraitDi[[#This Row],[M6]]),FALSE)="","",VLOOKUP(T_BilanSocial[[#This Row],[NumL]],T_TraitDi[#Data],COLUMN(T_TraitDi[[#This Row],[M6]]),FALSE))</f>
        <v>#VALUE!</v>
      </c>
      <c r="AC326" s="96" t="e">
        <f t="shared" si="69"/>
        <v>#VALUE!</v>
      </c>
      <c r="AD326" s="97" t="str">
        <f t="shared" ref="AD326:AD347" si="79">IFERROR(TEXT(VLOOKUP($A326,TraitementDI,AD$3,FALSE),"###%"),"")</f>
        <v/>
      </c>
      <c r="AE326" s="294" t="e">
        <f>VLOOKUP(T_BilanSocial[[#This Row],[NumL]],T_TraitDi[#Data],COLUMN(T_TraitDi[[#This Row],[Reg Ponct]]),FALSE)</f>
        <v>#VALUE!</v>
      </c>
      <c r="AF326" s="294" t="e">
        <f>VLOOKUP(T_BilanSocial[NumL],T_TraitDi[#Data],COLUMN(T_TraitDi[[#This Row],[Jours flottants]]),FALSE)</f>
        <v>#VALUE!</v>
      </c>
      <c r="AG326" s="97" t="str">
        <f>IFERROR(VLOOKUP(T_BilanSocial[[#This Row],[NumL]],T_TraitDi[#Data],COLUMN(T_TraitDi[[#This Row],[Lundi]]),FALSE),"")</f>
        <v/>
      </c>
      <c r="AH326" s="172" t="e">
        <f>IF(VLOOKUP(T_BilanSocial[[#This Row],[NumL]],T_TraitDi[#Data],COLUMN(T_TraitDi[[#This Row],[Colonne3]]),FALSE)=0,"",TEXT(IFERROR(VLOOKUP(T_BilanSocial[[#This Row],[NumL]],T_TraitDi[#Data],COLUMN(T_TraitDi[[#This Row],[Colonne3]]),FALSE),""),"[hh]:mm"))</f>
        <v>#VALUE!</v>
      </c>
      <c r="AI326" s="172" t="e">
        <f>IF(VLOOKUP(T_BilanSocial[[#This Row],[NumL]],T_TraitDi[#Data],COLUMN(T_TraitDi[[#This Row],[Colonne4]]),FALSE)=0,"",TEXT(IFERROR(VLOOKUP(T_BilanSocial[[#This Row],[NumL]],T_TraitDi[#Data],COLUMN(T_TraitDi[[#This Row],[Colonne4]]),FALSE),""),"[hh]:mm"))</f>
        <v>#VALUE!</v>
      </c>
      <c r="AJ326" s="172" t="e">
        <f>IF(VLOOKUP(T_BilanSocial[[#This Row],[NumL]],T_TraitDi[#Data],COLUMN(T_TraitDi[[#This Row],[Colonne5]]),FALSE)=0,"",TEXT(IFERROR(VLOOKUP(T_BilanSocial[[#This Row],[NumL]],T_TraitDi[#Data],COLUMN(T_TraitDi[[#This Row],[Colonne5]]),FALSE),""),"[hh]:mm"))</f>
        <v>#VALUE!</v>
      </c>
      <c r="AK326" s="172" t="e">
        <f>IF(VLOOKUP(T_BilanSocial[[#This Row],[NumL]],T_TraitDi[#Data],COLUMN(T_TraitDi[[#This Row],[Colonne6]]),FALSE)=0,"",TEXT(IFERROR(VLOOKUP(T_BilanSocial[[#This Row],[NumL]],T_TraitDi[#Data],COLUMN(T_TraitDi[[#This Row],[Colonne6]]),FALSE),""),"[hh]:mm"))</f>
        <v>#VALUE!</v>
      </c>
      <c r="AL326" s="172" t="e">
        <f>IF(VLOOKUP(T_BilanSocial[[#This Row],[NumL]],T_TraitDi[#Data],COLUMN(T_TraitDi[[#This Row],[Colonne7]]),FALSE)=0,"",TEXT(IFERROR(VLOOKUP(T_BilanSocial[[#This Row],[NumL]],T_TraitDi[#Data],COLUMN(T_TraitDi[[#This Row],[Colonne7]]),FALSE),""),"[hh]:mm"))</f>
        <v>#VALUE!</v>
      </c>
      <c r="AM326" s="172" t="e">
        <f>IF(VLOOKUP(T_BilanSocial[[#This Row],[NumL]],T_TraitDi[#Data],COLUMN(T_TraitDi[[#This Row],[Colonne8]]),FALSE)=0,"",TEXT(IFERROR(VLOOKUP(T_BilanSocial[[#This Row],[NumL]],T_TraitDi[#Data],COLUMN(T_TraitDi[[#This Row],[Colonne8]]),FALSE),""),"[hh]:mm"))</f>
        <v>#VALUE!</v>
      </c>
      <c r="AN326" s="172" t="str">
        <f>IFERROR(VLOOKUP(T_BilanSocial[[#This Row],[NumL]],T_TraitDi[#Data],COLUMN(T_TraitDi[[#This Row],[Mardi]]),FALSE),"")</f>
        <v/>
      </c>
      <c r="AO326" s="172" t="e">
        <f>IF(VLOOKUP(T_BilanSocial[[#This Row],[NumL]],T_TraitDi[#Data],COLUMN(T_TraitDi[[#This Row],[Colonne1]]),FALSE)=0,"",TEXT(IFERROR(VLOOKUP(T_BilanSocial[[#This Row],[NumL]],T_TraitDi[#Data],COLUMN(T_TraitDi[[#This Row],[Colonne1]]),FALSE),""),"[hh]:mm"))</f>
        <v>#VALUE!</v>
      </c>
      <c r="AP326" s="172" t="e">
        <f>IF(VLOOKUP(T_BilanSocial[[#This Row],[NumL]],T_TraitDi[#Data],COLUMN(T_TraitDi[[#This Row],[Colonne9]]),FALSE)=0,"",TEXT(IFERROR(VLOOKUP(T_BilanSocial[[#This Row],[NumL]],T_TraitDi[#Data],COLUMN(T_TraitDi[[#This Row],[Colonne9]]),FALSE),""),"[hh]:mm"))</f>
        <v>#VALUE!</v>
      </c>
      <c r="AQ326" s="172" t="str">
        <f>IFERROR(VLOOKUP(T_BilanSocial[[#This Row],[NumL]],T_TraitDi[#Data],COLUMN(T_TraitDi[[#This Row],[Colonne10]]),FALSE),"")</f>
        <v/>
      </c>
      <c r="AR326" s="172" t="e">
        <f>IF(VLOOKUP(T_BilanSocial[[#This Row],[NumL]],T_TraitDi[#Data],COLUMN(T_TraitDi[[#This Row],[Colonne11]]),FALSE)=0,"",TEXT(IFERROR(VLOOKUP(T_BilanSocial[[#This Row],[NumL]],T_TraitDi[#Data],COLUMN(T_TraitDi[[#This Row],[Colonne11]]),FALSE),""),"[hh]:mm"))</f>
        <v>#VALUE!</v>
      </c>
      <c r="AS326" s="172" t="e">
        <f>IF(VLOOKUP(T_BilanSocial[[#This Row],[NumL]],T_TraitDi[#Data],COLUMN(T_TraitDi[[#This Row],[Colonne12]]),FALSE)=0,"",TEXT(IFERROR(VLOOKUP(T_BilanSocial[[#This Row],[NumL]],T_TraitDi[#Data],COLUMN(T_TraitDi[[#This Row],[Colonne12]]),FALSE),""),"[hh]:mm"))</f>
        <v>#VALUE!</v>
      </c>
      <c r="AT326" s="172" t="e">
        <f>IF(VLOOKUP(T_BilanSocial[[#This Row],[NumL]],T_TraitDi[#Data],COLUMN(T_TraitDi[[#This Row],[Colonne14]]),FALSE)=0,"",TEXT(IFERROR(VLOOKUP(T_BilanSocial[[#This Row],[NumL]],T_TraitDi[#Data],COLUMN(T_TraitDi[[#This Row],[Colonne14]]),FALSE),""),"[hh]:mm"))</f>
        <v>#VALUE!</v>
      </c>
      <c r="AU326" s="172" t="str">
        <f>IFERROR(VLOOKUP(T_BilanSocial[[#This Row],[NumL]],T_TraitDi[#Data],COLUMN(T_TraitDi[[#This Row],[Mercredi]]),FALSE),"")</f>
        <v/>
      </c>
      <c r="AV326" s="172" t="e">
        <f>IF(VLOOKUP(T_BilanSocial[[#This Row],[NumL]],T_TraitDi[#Data],COLUMN(T_TraitDi[[#This Row],[Colonne15]]),FALSE)=0,"",TEXT(IFERROR(VLOOKUP(T_BilanSocial[[#This Row],[NumL]],T_TraitDi[#Data],COLUMN(T_TraitDi[[#This Row],[Colonne15]]),FALSE),""),"[hh]:mm"))</f>
        <v>#VALUE!</v>
      </c>
      <c r="AW326" s="172" t="e">
        <f>IF(VLOOKUP(T_BilanSocial[[#This Row],[NumL]],T_TraitDi[#Data],COLUMN(T_TraitDi[[#This Row],[Colonne16]]),FALSE)=0,"",TEXT(IFERROR(VLOOKUP(T_BilanSocial[[#This Row],[NumL]],T_TraitDi[#Data],COLUMN(T_TraitDi[[#This Row],[Colonne16]]),FALSE),""),"[hh]:mm"))</f>
        <v>#VALUE!</v>
      </c>
      <c r="AX326" s="172" t="str">
        <f>IFERROR(VLOOKUP(T_BilanSocial[[#This Row],[NumL]],T_TraitDi[#Data],COLUMN(T_TraitDi[[#This Row],[Colonne17]]),FALSE),"")</f>
        <v/>
      </c>
      <c r="AY326" s="172" t="e">
        <f>IF(VLOOKUP(T_BilanSocial[[#This Row],[NumL]],T_TraitDi[#Data],COLUMN(T_TraitDi[[#This Row],[Colonne18]]),FALSE)=0,"",TEXT(IFERROR(VLOOKUP(T_BilanSocial[[#This Row],[NumL]],T_TraitDi[#Data],COLUMN(T_TraitDi[[#This Row],[Colonne18]]),FALSE),""),"[hh]:mm"))</f>
        <v>#VALUE!</v>
      </c>
      <c r="AZ326" s="172" t="e">
        <f>IF(VLOOKUP(T_BilanSocial[[#This Row],[NumL]],T_TraitDi[#Data],COLUMN(T_TraitDi[[#This Row],[Colonne19]]),FALSE)=0,"",TEXT(IFERROR(VLOOKUP(T_BilanSocial[[#This Row],[NumL]],T_TraitDi[#Data],COLUMN(T_TraitDi[[#This Row],[Colonne19]]),FALSE),""),"[hh]:mm"))</f>
        <v>#VALUE!</v>
      </c>
      <c r="BA326" s="172" t="e">
        <f>IF(VLOOKUP(T_BilanSocial[[#This Row],[NumL]],T_TraitDi[#Data],COLUMN(T_TraitDi[[#This Row],[Colonne20]]),FALSE)=0,"",TEXT(IFERROR(VLOOKUP(T_BilanSocial[[#This Row],[NumL]],T_TraitDi[#Data],COLUMN(T_TraitDi[[#This Row],[Colonne20]]),FALSE),""),"[hh]:mm"))</f>
        <v>#VALUE!</v>
      </c>
      <c r="BB326" s="178" t="str">
        <f>IFERROR(VLOOKUP(T_BilanSocial[[#This Row],[NumL]],T_TraitDi[#Data],COLUMN(T_TraitDi[[#This Row],[Jeudi]]),FALSE),"")</f>
        <v/>
      </c>
      <c r="BC326" s="178" t="e">
        <f>IF(VLOOKUP(T_BilanSocial[[#This Row],[NumL]],T_TraitDi[#Data],COLUMN(T_TraitDi[[#This Row],[Colonne21]]),FALSE)=0,"",TEXT(IFERROR(VLOOKUP(T_BilanSocial[[#This Row],[NumL]],T_TraitDi[#Data],COLUMN(T_TraitDi[[#This Row],[Colonne21]]),FALSE),""),"[hh]:mm"))</f>
        <v>#VALUE!</v>
      </c>
      <c r="BD326" s="178" t="e">
        <f>IF(VLOOKUP(T_BilanSocial[[#This Row],[NumL]],T_TraitDi[#Data],COLUMN(T_TraitDi[[#This Row],[Colonne22]]),FALSE)=0,"",TEXT(IFERROR(VLOOKUP(T_BilanSocial[[#This Row],[NumL]],T_TraitDi[#Data],COLUMN(T_TraitDi[[#This Row],[Colonne22]]),FALSE),""),"[hh]:mm"))</f>
        <v>#VALUE!</v>
      </c>
      <c r="BE326" s="178" t="str">
        <f>IFERROR(VLOOKUP(T_BilanSocial[[#This Row],[NumL]],T_TraitDi[#Data],COLUMN(T_TraitDi[[#This Row],[Colonne23]]),FALSE),"")</f>
        <v/>
      </c>
      <c r="BF326" s="178" t="e">
        <f>IF(VLOOKUP(T_BilanSocial[[#This Row],[NumL]],T_TraitDi[#Data],COLUMN(T_TraitDi[[#This Row],[Colonne24]]),FALSE)=0,"",TEXT(IFERROR(VLOOKUP(T_BilanSocial[[#This Row],[NumL]],T_TraitDi[#Data],COLUMN(T_TraitDi[[#This Row],[Colonne24]]),FALSE),""),"[hh]:mm"))</f>
        <v>#VALUE!</v>
      </c>
      <c r="BG326" s="178" t="e">
        <f>IF(VLOOKUP(T_BilanSocial[[#This Row],[NumL]],T_TraitDi[#Data],COLUMN(T_TraitDi[[#This Row],[Colonne25]]),FALSE)=0,"",TEXT(IFERROR(VLOOKUP(T_BilanSocial[[#This Row],[NumL]],T_TraitDi[#Data],COLUMN(T_TraitDi[[#This Row],[Colonne25]]),FALSE),""),"[hh]:mm"))</f>
        <v>#VALUE!</v>
      </c>
      <c r="BH326" s="178" t="e">
        <f>IF(VLOOKUP(T_BilanSocial[[#This Row],[NumL]],T_TraitDi[#Data],COLUMN(T_TraitDi[[#This Row],[Colonne26]]),FALSE)=0,"",TEXT(IFERROR(VLOOKUP(T_BilanSocial[[#This Row],[NumL]],T_TraitDi[#Data],COLUMN(T_TraitDi[[#This Row],[Colonne26]]),FALSE),""),"[hh]:mm"))</f>
        <v>#VALUE!</v>
      </c>
      <c r="BI326" s="172" t="str">
        <f>IFERROR(VLOOKUP(T_BilanSocial[[#This Row],[NumL]],T_TraitDi[#Data],COLUMN(T_TraitDi[[#This Row],[Vendredi]]),FALSE),"")</f>
        <v/>
      </c>
      <c r="BJ326" s="172" t="e">
        <f>IF(VLOOKUP(T_BilanSocial[[#This Row],[NumL]],T_TraitDi[#Data],COLUMN(T_TraitDi[[#This Row],[Colonne27]]),FALSE)=0,"",TEXT(IFERROR(VLOOKUP(T_BilanSocial[[#This Row],[NumL]],T_TraitDi[#Data],COLUMN(T_TraitDi[[#This Row],[Colonne27]]),FALSE),""),"[hh]:mm"))</f>
        <v>#VALUE!</v>
      </c>
      <c r="BK326" s="172" t="e">
        <f>IF(VLOOKUP(T_BilanSocial[[#This Row],[NumL]],T_TraitDi[#Data],COLUMN(T_TraitDi[[#This Row],[Colonne28]]),FALSE)=0,"",TEXT(IFERROR(VLOOKUP(T_BilanSocial[[#This Row],[NumL]],T_TraitDi[#Data],COLUMN(T_TraitDi[[#This Row],[Colonne28]]),FALSE),""),"[hh]:mm"))</f>
        <v>#VALUE!</v>
      </c>
      <c r="BL326" s="172" t="str">
        <f>IFERROR(VLOOKUP(T_BilanSocial[[#This Row],[NumL]],T_TraitDi[#Data],COLUMN(T_TraitDi[[#This Row],[Colonne29]]),FALSE),"")</f>
        <v/>
      </c>
      <c r="BM326" s="172" t="e">
        <f>IF(VLOOKUP(T_BilanSocial[[#This Row],[NumL]],T_TraitDi[#Data],COLUMN(T_TraitDi[[#This Row],[Colonne30]]),FALSE)=0,"",TEXT(IFERROR(VLOOKUP(T_BilanSocial[[#This Row],[NumL]],T_TraitDi[#Data],COLUMN(T_TraitDi[[#This Row],[Colonne30]]),FALSE),""),"[hh]:mm"))</f>
        <v>#VALUE!</v>
      </c>
      <c r="BN326" s="172" t="e">
        <f>IF(VLOOKUP(T_BilanSocial[[#This Row],[NumL]],T_TraitDi[#Data],COLUMN(T_TraitDi[[#This Row],[Colonne31]]),FALSE)=0,"",TEXT(IFERROR(VLOOKUP(T_BilanSocial[[#This Row],[NumL]],T_TraitDi[#Data],COLUMN(T_TraitDi[[#This Row],[Colonne31]]),FALSE),""),"[hh]:mm"))</f>
        <v>#VALUE!</v>
      </c>
      <c r="BO326" s="172" t="e">
        <f>IF(VLOOKUP(T_BilanSocial[[#This Row],[NumL]],T_TraitDi[#Data],COLUMN(T_TraitDi[[#This Row],[Colonne32]]),FALSE)=0,"",TEXT(IFERROR(VLOOKUP(T_BilanSocial[[#This Row],[NumL]],T_TraitDi[#Data],COLUMN(T_TraitDi[[#This Row],[Colonne32]]),FALSE),""),"[hh]:mm"))</f>
        <v>#VALUE!</v>
      </c>
      <c r="BP326" s="172" t="e">
        <f>VLOOKUP(T_BilanSocial[[#This Row],[NumL]],T_TraitDi[#Data],COLUMN(T_TraitDi[NbJTot]),FALSE)</f>
        <v>#N/A</v>
      </c>
      <c r="BQ326" s="174" t="str">
        <f>IFERROR(VLOOKUP(T_BilanSocial[[#This Row],[NumL]],T_TraitDi[#Data],COLUMN(T_TraitDi[[#This Row],[NbJTW]]),FALSE),"")</f>
        <v/>
      </c>
      <c r="BR326" s="174" t="e">
        <f>IF(VLOOKUP(T_BilanSocial[[#This Row],[NumL]],T_TraitDi[#Data],COLUMN(T_TraitDi[[#This Row],[NbhTW]]),FALSE)=0,"",TEXT(IFERROR(VLOOKUP(T_BilanSocial[[#This Row],[NumL]],T_TraitDi[#Data],COLUMN(T_TraitDi[[#This Row],[NbhTW]]),FALSE),""),"[hh]:mm"))</f>
        <v>#VALUE!</v>
      </c>
      <c r="BS326" s="174" t="e">
        <f>IF(VLOOKUP(T_BilanSocial[[#This Row],[NumL]],T_TraitDi[#Data],COLUMN(T_TraitDi[[#This Row],[Nbhheb]]),FALSE)=0,"",TEXT(IFERROR(VLOOKUP($A326,T_TraitDi[#Data],COLUMN(T_TraitDi[[#This Row],[Nbhheb]]),FALSE),""),"[hh]:mm"))</f>
        <v>#VALUE!</v>
      </c>
      <c r="BT326" s="182" t="str">
        <f>IFERROR(VLOOKUP(VLOOKUP($A326,T_TraitDi[#Data],COLUMN(T_TraitDi[[#This Row],[Type1]]),FALSE),TypeTW,2,FALSE),"")</f>
        <v/>
      </c>
      <c r="BU326" s="182" t="str">
        <f>IFERROR(VLOOKUP($A326,T_TraitDi[#Data],COLUMN(T_TraitDi[[#This Row],[Rue1]]),FALSE),"")</f>
        <v/>
      </c>
      <c r="BV326" s="173" t="str">
        <f>IFERROR(VLOOKUP($A326,T_TraitDi[#Data],COLUMN(T_TraitDi[[#This Row],[CP1]]),FALSE),"")</f>
        <v/>
      </c>
      <c r="BW326" s="173" t="str">
        <f>IFERROR(VLOOKUP($A326,T_TraitDi[#Data],COLUMN(T_TraitDi[[#This Row],[VILLE1]]),FALSE),"")</f>
        <v/>
      </c>
      <c r="BX326" s="182" t="str">
        <f>IFERROR(VLOOKUP(VLOOKUP($A326,T_TraitDi[#Data],COLUMN(T_TraitDi[[#This Row],[Type2]]),FALSE),TypeTW,2,FALSE),"")</f>
        <v/>
      </c>
      <c r="BY326" s="182" t="str">
        <f>IFERROR(VLOOKUP($A326,T_TraitDi[#Data],COLUMN(T_TraitDi[[#This Row],[Rue2]]),FALSE),"")</f>
        <v/>
      </c>
      <c r="BZ326" s="173" t="str">
        <f>IFERROR(VLOOKUP($A326,T_TraitDi[#Data],COLUMN(T_TraitDi[[#This Row],[CP2]]),FALSE),"")</f>
        <v/>
      </c>
      <c r="CA326" s="173" t="str">
        <f>IFERROR(VLOOKUP($A326,T_TraitDi[#Data],COLUMN(T_TraitDi[[#This Row],[VILLE2]]),FALSE),"")</f>
        <v/>
      </c>
      <c r="CB326" s="182" t="e">
        <f>IF(VLOOKUP(T_BilanSocial[[#This Row],[NumL]],T_Equipement[#Data],COLUMN(T_Equipement[[#This Row],[PC]]),FALSE)="","Aucun équipement spécifique directement lié au télétravail",VLOOKUP(T_BilanSocial[[#This Row],[NumL]],T_Equipement[#Data],COLUMN(T_Equipement[[#This Row],[PC]]),FALSE))</f>
        <v>#VALUE!</v>
      </c>
      <c r="CC326" s="166" t="str">
        <f>IFERROR(IF(VLOOKUP(T_BilanSocial[[#This Row],[NumL]],T_TraitDi[#Data],COLUMN(T_TraitDi[[#This Row],[Plan]]),FALSE)="OK","Un planning spécifique de télétravail est annexé à la présente convention.",""),"")</f>
        <v/>
      </c>
      <c r="CD326" s="301"/>
      <c r="CE326" s="164" t="e">
        <f>IF(VLOOKUP(T_BilanSocial[[#This Row],[NumL]],T_suiviDi[#Data],COLUMN(T_suiviDi[[#This Row],[Entité]]),FALSE)="","",VLOOKUP(T_BilanSocial[[#This Row],[NumL]],T_suiviDi[#Data],COLUMN(T_suiviDi[[#This Row],[Entité]]),FALSE))</f>
        <v>#VALUE!</v>
      </c>
      <c r="CF326" s="164" t="e">
        <f>IF(VLOOKUP(T_BilanSocial[[#This Row],[NumL]],T_Commission[#Data],COLUMN(T_Commission[[#This Row],[envoi confirm TW]]),FALSE)="","",VLOOKUP(T_BilanSocial[[#This Row],[NumL]],T_Commission[#Data],COLUMN(T_Commission[[#This Row],[envoi confirm TW]]),FALSE))</f>
        <v>#VALUE!</v>
      </c>
      <c r="CG32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6" s="339" t="str">
        <f>T_BilanSocial[[#This Row],[Nom]]&amp;T_BilanSocial[[#This Row],[Prenom]]</f>
        <v/>
      </c>
      <c r="CI326" s="339">
        <f>VLOOKUP(T_BilanSocial[[#This Row],[NumL]],T_Commission[#Data],COLUMN(T_Commission[Commentaire]),FALSE)</f>
        <v>0</v>
      </c>
      <c r="CJ326" s="339" t="str">
        <f>IF(VLOOKUP(T_BilanSocial[[#This Row],[NumL]],T_Commission[#Data],COLUMN(T_Commission[Encadrant Email]),FALSE)="","",VLOOKUP(T_BilanSocial[[#This Row],[NumL]],T_Commission[#Data],COLUMN(T_Commission[Encadrant Email]),FALSE))</f>
        <v/>
      </c>
      <c r="CK326" s="332" t="str">
        <f>IF(T_BilanSocial[[#This Row],[Final]]&lt;&gt;"",VLOOKUP(T_BilanSocial[[#This Row],[NumL]],T_suiviDi[#Data],COLUMN((T_suiviDi[Statut])),FALSE),"")</f>
        <v/>
      </c>
    </row>
    <row r="327" spans="1:89" s="50" customFormat="1" ht="21" customHeight="1" x14ac:dyDescent="0.25">
      <c r="A327" s="136">
        <v>324</v>
      </c>
      <c r="B327" s="330" t="str">
        <f t="shared" si="71"/>
        <v/>
      </c>
      <c r="C327" s="309"/>
      <c r="D327" s="95" t="e">
        <f>IF(VLOOKUP(T_BilanSocial[[#This Row],[NumL]],T_TraitDi[#Data],COLUMN(T_TraitDi[[#This Row],[WebC]]),FALSE)="","",VLOOKUP(T_BilanSocial[[#This Row],[NumL]],T_TraitDi[#Data],COLUMN(T_TraitDi[[#This Row],[WebC]]),FALSE))</f>
        <v>#VALUE!</v>
      </c>
      <c r="E327" s="95" t="str">
        <f t="shared" si="72"/>
        <v>12 janvier 2021</v>
      </c>
      <c r="F327" s="96" t="str">
        <f>IF(T_BilanSocial[[#This Row],[Final]]&lt;&gt;"",VLOOKUP(T_BilanSocial[[#This Row],[NumL]],T_suiviDi[#Data],COLUMN((T_suiviDi[Civ.])),FALSE),"")</f>
        <v/>
      </c>
      <c r="G327" s="96" t="str">
        <f>IF(T_BilanSocial[[#This Row],[Final]]&lt;&gt;"",VLOOKUP(T_BilanSocial[[#This Row],[NumL]],T_suiviDi[#Data],COLUMN((T_suiviDi[Nom])),FALSE),"")</f>
        <v/>
      </c>
      <c r="H327" s="96" t="str">
        <f>IF(T_BilanSocial[[#This Row],[Final]]&lt;&gt;"",VLOOKUP(T_BilanSocial[[#This Row],[NumL]],T_suiviDi[#Data],COLUMN((T_suiviDi[Prénom])),FALSE),"")</f>
        <v/>
      </c>
      <c r="I327" s="331" t="str">
        <f>IFERROR(VLOOKUP(T_BilanSocial[[#This Row],[Zone_Bilan]],T_P_BilanSocial[#Data],COLUMN(T_P_BilanSocial[[#This Row],[Numero_SIHAM]]),FALSE),"")</f>
        <v/>
      </c>
      <c r="J327" s="331" t="str">
        <f>IFERROR(VLOOKUP(T_BilanSocial[[#This Row],[Zone_Bilan]],T_P_BilanSocial[#Data],COLUMN(T_P_BilanSocial[[#This Row],[Sexe]]),FALSE),"")</f>
        <v/>
      </c>
      <c r="K327" s="294" t="str">
        <f>IFERROR(VLOOKUP(T_BilanSocial[[#This Row],[Zone_Bilan]],T_P_BilanSocial[#Data],COLUMN(T_P_BilanSocial[[#This Row],[Categorie]]),FALSE),"")</f>
        <v/>
      </c>
      <c r="L327" s="331" t="str">
        <f>IFERROR(VLOOKUP(T_BilanSocial[[#This Row],[Zone_Bilan]],T_P_BilanSocial[#Data],COLUMN(T_P_BilanSocial[[#This Row],[Statut]]),FALSE),"")</f>
        <v/>
      </c>
      <c r="M327" s="331" t="str">
        <f>IFERROR(VLOOKUP(T_BilanSocial[[#This Row],[Zone_Bilan]],T_P_BilanSocial[#Data],COLUMN(T_P_BilanSocial[[#This Row],[Filiere]]),FALSE),"")</f>
        <v/>
      </c>
      <c r="N327" s="331" t="e">
        <f>VLOOKUP(T_BilanSocial[[#This Row],[NumL]],T_TraitDi[#Data],COLUMN(T_TraitDi[EXP]),FALSE)</f>
        <v>#N/A</v>
      </c>
      <c r="O327" s="331" t="e">
        <f>VLOOKUP(T_BilanSocial[[#This Row],[NumL]],T_TraitDi[#Data],COLUMN(T_TraitDi[FORM]),FALSE)</f>
        <v>#N/A</v>
      </c>
      <c r="P327" s="96" t="str">
        <f>IF(T_BilanSocial[[#This Row],[Final]]&lt;&gt;"",VLOOKUP(T_BilanSocial[[#This Row],[NumL]],T_suiviDi[#Data],COLUMN((T_suiviDi[Email])),FALSE),"")</f>
        <v/>
      </c>
      <c r="Q327" s="96" t="e">
        <f t="shared" si="73"/>
        <v>#N/A</v>
      </c>
      <c r="R327" s="96" t="e">
        <f t="shared" si="74"/>
        <v>#N/A</v>
      </c>
      <c r="S327" s="96" t="str">
        <f t="shared" si="70"/>
        <v/>
      </c>
      <c r="T327" s="96" t="str">
        <f t="shared" si="75"/>
        <v>01 septembre 2021</v>
      </c>
      <c r="U327" s="96" t="str">
        <f t="shared" si="76"/>
        <v>30 novembre 2021</v>
      </c>
      <c r="V327" s="97">
        <f t="shared" si="77"/>
        <v>44530</v>
      </c>
      <c r="W327" s="176" t="e">
        <f>IF(VLOOKUP(T_BilanSocial[[#This Row],[NumL]],T_TraitDi[#Data],COLUMN(T_TraitDi[[#This Row],[M1]]),FALSE)="","",VLOOKUP(T_BilanSocial[[#This Row],[NumL]],T_TraitDi[#Data],COLUMN(T_TraitDi[[#This Row],[M1]]),FALSE))</f>
        <v>#VALUE!</v>
      </c>
      <c r="X327" s="96" t="str">
        <f t="shared" si="68"/>
        <v/>
      </c>
      <c r="Y327" s="96" t="str">
        <f t="shared" si="68"/>
        <v/>
      </c>
      <c r="Z327" s="96" t="str">
        <f t="shared" si="78"/>
        <v/>
      </c>
      <c r="AA327" s="176" t="e">
        <f>IF(VLOOKUP(T_BilanSocial[[#This Row],[NumL]],T_TraitDi[#Data],COLUMN(T_TraitDi[[#This Row],[M5]]),FALSE)="","",VLOOKUP(T_BilanSocial[[#This Row],[NumL]],T_TraitDi[#Data],COLUMN(T_TraitDi[[#This Row],[M5]]),FALSE))</f>
        <v>#VALUE!</v>
      </c>
      <c r="AB327" s="176" t="e">
        <f>IF(VLOOKUP(T_BilanSocial[[#This Row],[NumL]],T_TraitDi[#Data],COLUMN(T_TraitDi[[#This Row],[M6]]),FALSE)="","",VLOOKUP(T_BilanSocial[[#This Row],[NumL]],T_TraitDi[#Data],COLUMN(T_TraitDi[[#This Row],[M6]]),FALSE))</f>
        <v>#VALUE!</v>
      </c>
      <c r="AC327" s="96" t="e">
        <f t="shared" si="69"/>
        <v>#VALUE!</v>
      </c>
      <c r="AD327" s="97" t="str">
        <f t="shared" si="79"/>
        <v/>
      </c>
      <c r="AE327" s="294" t="e">
        <f>VLOOKUP(T_BilanSocial[[#This Row],[NumL]],T_TraitDi[#Data],COLUMN(T_TraitDi[[#This Row],[Reg Ponct]]),FALSE)</f>
        <v>#VALUE!</v>
      </c>
      <c r="AF327" s="294" t="e">
        <f>VLOOKUP(T_BilanSocial[NumL],T_TraitDi[#Data],COLUMN(T_TraitDi[[#This Row],[Jours flottants]]),FALSE)</f>
        <v>#VALUE!</v>
      </c>
      <c r="AG327" s="97" t="str">
        <f>IFERROR(VLOOKUP(T_BilanSocial[[#This Row],[NumL]],T_TraitDi[#Data],COLUMN(T_TraitDi[[#This Row],[Lundi]]),FALSE),"")</f>
        <v/>
      </c>
      <c r="AH327" s="172" t="e">
        <f>IF(VLOOKUP(T_BilanSocial[[#This Row],[NumL]],T_TraitDi[#Data],COLUMN(T_TraitDi[[#This Row],[Colonne3]]),FALSE)=0,"",TEXT(IFERROR(VLOOKUP(T_BilanSocial[[#This Row],[NumL]],T_TraitDi[#Data],COLUMN(T_TraitDi[[#This Row],[Colonne3]]),FALSE),""),"[hh]:mm"))</f>
        <v>#VALUE!</v>
      </c>
      <c r="AI327" s="172" t="e">
        <f>IF(VLOOKUP(T_BilanSocial[[#This Row],[NumL]],T_TraitDi[#Data],COLUMN(T_TraitDi[[#This Row],[Colonne4]]),FALSE)=0,"",TEXT(IFERROR(VLOOKUP(T_BilanSocial[[#This Row],[NumL]],T_TraitDi[#Data],COLUMN(T_TraitDi[[#This Row],[Colonne4]]),FALSE),""),"[hh]:mm"))</f>
        <v>#VALUE!</v>
      </c>
      <c r="AJ327" s="172" t="e">
        <f>IF(VLOOKUP(T_BilanSocial[[#This Row],[NumL]],T_TraitDi[#Data],COLUMN(T_TraitDi[[#This Row],[Colonne5]]),FALSE)=0,"",TEXT(IFERROR(VLOOKUP(T_BilanSocial[[#This Row],[NumL]],T_TraitDi[#Data],COLUMN(T_TraitDi[[#This Row],[Colonne5]]),FALSE),""),"[hh]:mm"))</f>
        <v>#VALUE!</v>
      </c>
      <c r="AK327" s="172" t="e">
        <f>IF(VLOOKUP(T_BilanSocial[[#This Row],[NumL]],T_TraitDi[#Data],COLUMN(T_TraitDi[[#This Row],[Colonne6]]),FALSE)=0,"",TEXT(IFERROR(VLOOKUP(T_BilanSocial[[#This Row],[NumL]],T_TraitDi[#Data],COLUMN(T_TraitDi[[#This Row],[Colonne6]]),FALSE),""),"[hh]:mm"))</f>
        <v>#VALUE!</v>
      </c>
      <c r="AL327" s="172" t="e">
        <f>IF(VLOOKUP(T_BilanSocial[[#This Row],[NumL]],T_TraitDi[#Data],COLUMN(T_TraitDi[[#This Row],[Colonne7]]),FALSE)=0,"",TEXT(IFERROR(VLOOKUP(T_BilanSocial[[#This Row],[NumL]],T_TraitDi[#Data],COLUMN(T_TraitDi[[#This Row],[Colonne7]]),FALSE),""),"[hh]:mm"))</f>
        <v>#VALUE!</v>
      </c>
      <c r="AM327" s="172" t="e">
        <f>IF(VLOOKUP(T_BilanSocial[[#This Row],[NumL]],T_TraitDi[#Data],COLUMN(T_TraitDi[[#This Row],[Colonne8]]),FALSE)=0,"",TEXT(IFERROR(VLOOKUP(T_BilanSocial[[#This Row],[NumL]],T_TraitDi[#Data],COLUMN(T_TraitDi[[#This Row],[Colonne8]]),FALSE),""),"[hh]:mm"))</f>
        <v>#VALUE!</v>
      </c>
      <c r="AN327" s="172" t="str">
        <f>IFERROR(VLOOKUP(T_BilanSocial[[#This Row],[NumL]],T_TraitDi[#Data],COLUMN(T_TraitDi[[#This Row],[Mardi]]),FALSE),"")</f>
        <v/>
      </c>
      <c r="AO327" s="172" t="e">
        <f>IF(VLOOKUP(T_BilanSocial[[#This Row],[NumL]],T_TraitDi[#Data],COLUMN(T_TraitDi[[#This Row],[Colonne1]]),FALSE)=0,"",TEXT(IFERROR(VLOOKUP(T_BilanSocial[[#This Row],[NumL]],T_TraitDi[#Data],COLUMN(T_TraitDi[[#This Row],[Colonne1]]),FALSE),""),"[hh]:mm"))</f>
        <v>#VALUE!</v>
      </c>
      <c r="AP327" s="172" t="e">
        <f>IF(VLOOKUP(T_BilanSocial[[#This Row],[NumL]],T_TraitDi[#Data],COLUMN(T_TraitDi[[#This Row],[Colonne9]]),FALSE)=0,"",TEXT(IFERROR(VLOOKUP(T_BilanSocial[[#This Row],[NumL]],T_TraitDi[#Data],COLUMN(T_TraitDi[[#This Row],[Colonne9]]),FALSE),""),"[hh]:mm"))</f>
        <v>#VALUE!</v>
      </c>
      <c r="AQ327" s="172" t="str">
        <f>IFERROR(VLOOKUP(T_BilanSocial[[#This Row],[NumL]],T_TraitDi[#Data],COLUMN(T_TraitDi[[#This Row],[Colonne10]]),FALSE),"")</f>
        <v/>
      </c>
      <c r="AR327" s="172" t="e">
        <f>IF(VLOOKUP(T_BilanSocial[[#This Row],[NumL]],T_TraitDi[#Data],COLUMN(T_TraitDi[[#This Row],[Colonne11]]),FALSE)=0,"",TEXT(IFERROR(VLOOKUP(T_BilanSocial[[#This Row],[NumL]],T_TraitDi[#Data],COLUMN(T_TraitDi[[#This Row],[Colonne11]]),FALSE),""),"[hh]:mm"))</f>
        <v>#VALUE!</v>
      </c>
      <c r="AS327" s="172" t="e">
        <f>IF(VLOOKUP(T_BilanSocial[[#This Row],[NumL]],T_TraitDi[#Data],COLUMN(T_TraitDi[[#This Row],[Colonne12]]),FALSE)=0,"",TEXT(IFERROR(VLOOKUP(T_BilanSocial[[#This Row],[NumL]],T_TraitDi[#Data],COLUMN(T_TraitDi[[#This Row],[Colonne12]]),FALSE),""),"[hh]:mm"))</f>
        <v>#VALUE!</v>
      </c>
      <c r="AT327" s="172" t="e">
        <f>IF(VLOOKUP(T_BilanSocial[[#This Row],[NumL]],T_TraitDi[#Data],COLUMN(T_TraitDi[[#This Row],[Colonne14]]),FALSE)=0,"",TEXT(IFERROR(VLOOKUP(T_BilanSocial[[#This Row],[NumL]],T_TraitDi[#Data],COLUMN(T_TraitDi[[#This Row],[Colonne14]]),FALSE),""),"[hh]:mm"))</f>
        <v>#VALUE!</v>
      </c>
      <c r="AU327" s="172" t="str">
        <f>IFERROR(VLOOKUP(T_BilanSocial[[#This Row],[NumL]],T_TraitDi[#Data],COLUMN(T_TraitDi[[#This Row],[Mercredi]]),FALSE),"")</f>
        <v/>
      </c>
      <c r="AV327" s="172" t="e">
        <f>IF(VLOOKUP(T_BilanSocial[[#This Row],[NumL]],T_TraitDi[#Data],COLUMN(T_TraitDi[[#This Row],[Colonne15]]),FALSE)=0,"",TEXT(IFERROR(VLOOKUP(T_BilanSocial[[#This Row],[NumL]],T_TraitDi[#Data],COLUMN(T_TraitDi[[#This Row],[Colonne15]]),FALSE),""),"[hh]:mm"))</f>
        <v>#VALUE!</v>
      </c>
      <c r="AW327" s="172" t="e">
        <f>IF(VLOOKUP(T_BilanSocial[[#This Row],[NumL]],T_TraitDi[#Data],COLUMN(T_TraitDi[[#This Row],[Colonne16]]),FALSE)=0,"",TEXT(IFERROR(VLOOKUP(T_BilanSocial[[#This Row],[NumL]],T_TraitDi[#Data],COLUMN(T_TraitDi[[#This Row],[Colonne16]]),FALSE),""),"[hh]:mm"))</f>
        <v>#VALUE!</v>
      </c>
      <c r="AX327" s="172" t="str">
        <f>IFERROR(VLOOKUP(T_BilanSocial[[#This Row],[NumL]],T_TraitDi[#Data],COLUMN(T_TraitDi[[#This Row],[Colonne17]]),FALSE),"")</f>
        <v/>
      </c>
      <c r="AY327" s="172" t="e">
        <f>IF(VLOOKUP(T_BilanSocial[[#This Row],[NumL]],T_TraitDi[#Data],COLUMN(T_TraitDi[[#This Row],[Colonne18]]),FALSE)=0,"",TEXT(IFERROR(VLOOKUP(T_BilanSocial[[#This Row],[NumL]],T_TraitDi[#Data],COLUMN(T_TraitDi[[#This Row],[Colonne18]]),FALSE),""),"[hh]:mm"))</f>
        <v>#VALUE!</v>
      </c>
      <c r="AZ327" s="172" t="e">
        <f>IF(VLOOKUP(T_BilanSocial[[#This Row],[NumL]],T_TraitDi[#Data],COLUMN(T_TraitDi[[#This Row],[Colonne19]]),FALSE)=0,"",TEXT(IFERROR(VLOOKUP(T_BilanSocial[[#This Row],[NumL]],T_TraitDi[#Data],COLUMN(T_TraitDi[[#This Row],[Colonne19]]),FALSE),""),"[hh]:mm"))</f>
        <v>#VALUE!</v>
      </c>
      <c r="BA327" s="172" t="e">
        <f>IF(VLOOKUP(T_BilanSocial[[#This Row],[NumL]],T_TraitDi[#Data],COLUMN(T_TraitDi[[#This Row],[Colonne20]]),FALSE)=0,"",TEXT(IFERROR(VLOOKUP(T_BilanSocial[[#This Row],[NumL]],T_TraitDi[#Data],COLUMN(T_TraitDi[[#This Row],[Colonne20]]),FALSE),""),"[hh]:mm"))</f>
        <v>#VALUE!</v>
      </c>
      <c r="BB327" s="178" t="str">
        <f>IFERROR(VLOOKUP(T_BilanSocial[[#This Row],[NumL]],T_TraitDi[#Data],COLUMN(T_TraitDi[[#This Row],[Jeudi]]),FALSE),"")</f>
        <v/>
      </c>
      <c r="BC327" s="178" t="e">
        <f>IF(VLOOKUP(T_BilanSocial[[#This Row],[NumL]],T_TraitDi[#Data],COLUMN(T_TraitDi[[#This Row],[Colonne21]]),FALSE)=0,"",TEXT(IFERROR(VLOOKUP(T_BilanSocial[[#This Row],[NumL]],T_TraitDi[#Data],COLUMN(T_TraitDi[[#This Row],[Colonne21]]),FALSE),""),"[hh]:mm"))</f>
        <v>#VALUE!</v>
      </c>
      <c r="BD327" s="178" t="e">
        <f>IF(VLOOKUP(T_BilanSocial[[#This Row],[NumL]],T_TraitDi[#Data],COLUMN(T_TraitDi[[#This Row],[Colonne22]]),FALSE)=0,"",TEXT(IFERROR(VLOOKUP(T_BilanSocial[[#This Row],[NumL]],T_TraitDi[#Data],COLUMN(T_TraitDi[[#This Row],[Colonne22]]),FALSE),""),"[hh]:mm"))</f>
        <v>#VALUE!</v>
      </c>
      <c r="BE327" s="178" t="str">
        <f>IFERROR(VLOOKUP(T_BilanSocial[[#This Row],[NumL]],T_TraitDi[#Data],COLUMN(T_TraitDi[[#This Row],[Colonne23]]),FALSE),"")</f>
        <v/>
      </c>
      <c r="BF327" s="178" t="e">
        <f>IF(VLOOKUP(T_BilanSocial[[#This Row],[NumL]],T_TraitDi[#Data],COLUMN(T_TraitDi[[#This Row],[Colonne24]]),FALSE)=0,"",TEXT(IFERROR(VLOOKUP(T_BilanSocial[[#This Row],[NumL]],T_TraitDi[#Data],COLUMN(T_TraitDi[[#This Row],[Colonne24]]),FALSE),""),"[hh]:mm"))</f>
        <v>#VALUE!</v>
      </c>
      <c r="BG327" s="178" t="e">
        <f>IF(VLOOKUP(T_BilanSocial[[#This Row],[NumL]],T_TraitDi[#Data],COLUMN(T_TraitDi[[#This Row],[Colonne25]]),FALSE)=0,"",TEXT(IFERROR(VLOOKUP(T_BilanSocial[[#This Row],[NumL]],T_TraitDi[#Data],COLUMN(T_TraitDi[[#This Row],[Colonne25]]),FALSE),""),"[hh]:mm"))</f>
        <v>#VALUE!</v>
      </c>
      <c r="BH327" s="178" t="e">
        <f>IF(VLOOKUP(T_BilanSocial[[#This Row],[NumL]],T_TraitDi[#Data],COLUMN(T_TraitDi[[#This Row],[Colonne26]]),FALSE)=0,"",TEXT(IFERROR(VLOOKUP(T_BilanSocial[[#This Row],[NumL]],T_TraitDi[#Data],COLUMN(T_TraitDi[[#This Row],[Colonne26]]),FALSE),""),"[hh]:mm"))</f>
        <v>#VALUE!</v>
      </c>
      <c r="BI327" s="172" t="str">
        <f>IFERROR(VLOOKUP(T_BilanSocial[[#This Row],[NumL]],T_TraitDi[#Data],COLUMN(T_TraitDi[[#This Row],[Vendredi]]),FALSE),"")</f>
        <v/>
      </c>
      <c r="BJ327" s="172" t="e">
        <f>IF(VLOOKUP(T_BilanSocial[[#This Row],[NumL]],T_TraitDi[#Data],COLUMN(T_TraitDi[[#This Row],[Colonne27]]),FALSE)=0,"",TEXT(IFERROR(VLOOKUP(T_BilanSocial[[#This Row],[NumL]],T_TraitDi[#Data],COLUMN(T_TraitDi[[#This Row],[Colonne27]]),FALSE),""),"[hh]:mm"))</f>
        <v>#VALUE!</v>
      </c>
      <c r="BK327" s="172" t="e">
        <f>IF(VLOOKUP(T_BilanSocial[[#This Row],[NumL]],T_TraitDi[#Data],COLUMN(T_TraitDi[[#This Row],[Colonne28]]),FALSE)=0,"",TEXT(IFERROR(VLOOKUP(T_BilanSocial[[#This Row],[NumL]],T_TraitDi[#Data],COLUMN(T_TraitDi[[#This Row],[Colonne28]]),FALSE),""),"[hh]:mm"))</f>
        <v>#VALUE!</v>
      </c>
      <c r="BL327" s="172" t="str">
        <f>IFERROR(VLOOKUP(T_BilanSocial[[#This Row],[NumL]],T_TraitDi[#Data],COLUMN(T_TraitDi[[#This Row],[Colonne29]]),FALSE),"")</f>
        <v/>
      </c>
      <c r="BM327" s="172" t="e">
        <f>IF(VLOOKUP(T_BilanSocial[[#This Row],[NumL]],T_TraitDi[#Data],COLUMN(T_TraitDi[[#This Row],[Colonne30]]),FALSE)=0,"",TEXT(IFERROR(VLOOKUP(T_BilanSocial[[#This Row],[NumL]],T_TraitDi[#Data],COLUMN(T_TraitDi[[#This Row],[Colonne30]]),FALSE),""),"[hh]:mm"))</f>
        <v>#VALUE!</v>
      </c>
      <c r="BN327" s="172" t="e">
        <f>IF(VLOOKUP(T_BilanSocial[[#This Row],[NumL]],T_TraitDi[#Data],COLUMN(T_TraitDi[[#This Row],[Colonne31]]),FALSE)=0,"",TEXT(IFERROR(VLOOKUP(T_BilanSocial[[#This Row],[NumL]],T_TraitDi[#Data],COLUMN(T_TraitDi[[#This Row],[Colonne31]]),FALSE),""),"[hh]:mm"))</f>
        <v>#VALUE!</v>
      </c>
      <c r="BO327" s="172" t="e">
        <f>IF(VLOOKUP(T_BilanSocial[[#This Row],[NumL]],T_TraitDi[#Data],COLUMN(T_TraitDi[[#This Row],[Colonne32]]),FALSE)=0,"",TEXT(IFERROR(VLOOKUP(T_BilanSocial[[#This Row],[NumL]],T_TraitDi[#Data],COLUMN(T_TraitDi[[#This Row],[Colonne32]]),FALSE),""),"[hh]:mm"))</f>
        <v>#VALUE!</v>
      </c>
      <c r="BP327" s="172" t="e">
        <f>VLOOKUP(T_BilanSocial[[#This Row],[NumL]],T_TraitDi[#Data],COLUMN(T_TraitDi[NbJTot]),FALSE)</f>
        <v>#N/A</v>
      </c>
      <c r="BQ327" s="174" t="str">
        <f>IFERROR(VLOOKUP(T_BilanSocial[[#This Row],[NumL]],T_TraitDi[#Data],COLUMN(T_TraitDi[[#This Row],[NbJTW]]),FALSE),"")</f>
        <v/>
      </c>
      <c r="BR327" s="174" t="e">
        <f>IF(VLOOKUP(T_BilanSocial[[#This Row],[NumL]],T_TraitDi[#Data],COLUMN(T_TraitDi[[#This Row],[NbhTW]]),FALSE)=0,"",TEXT(IFERROR(VLOOKUP(T_BilanSocial[[#This Row],[NumL]],T_TraitDi[#Data],COLUMN(T_TraitDi[[#This Row],[NbhTW]]),FALSE),""),"[hh]:mm"))</f>
        <v>#VALUE!</v>
      </c>
      <c r="BS327" s="174" t="e">
        <f>IF(VLOOKUP(T_BilanSocial[[#This Row],[NumL]],T_TraitDi[#Data],COLUMN(T_TraitDi[[#This Row],[Nbhheb]]),FALSE)=0,"",TEXT(IFERROR(VLOOKUP($A327,T_TraitDi[#Data],COLUMN(T_TraitDi[[#This Row],[Nbhheb]]),FALSE),""),"[hh]:mm"))</f>
        <v>#VALUE!</v>
      </c>
      <c r="BT327" s="182" t="str">
        <f>IFERROR(VLOOKUP(VLOOKUP($A327,T_TraitDi[#Data],COLUMN(T_TraitDi[[#This Row],[Type1]]),FALSE),TypeTW,2,FALSE),"")</f>
        <v/>
      </c>
      <c r="BU327" s="182" t="str">
        <f>IFERROR(VLOOKUP($A327,T_TraitDi[#Data],COLUMN(T_TraitDi[[#This Row],[Rue1]]),FALSE),"")</f>
        <v/>
      </c>
      <c r="BV327" s="173" t="str">
        <f>IFERROR(VLOOKUP($A327,T_TraitDi[#Data],COLUMN(T_TraitDi[[#This Row],[CP1]]),FALSE),"")</f>
        <v/>
      </c>
      <c r="BW327" s="173" t="str">
        <f>IFERROR(VLOOKUP($A327,T_TraitDi[#Data],COLUMN(T_TraitDi[[#This Row],[VILLE1]]),FALSE),"")</f>
        <v/>
      </c>
      <c r="BX327" s="182" t="str">
        <f>IFERROR(VLOOKUP(VLOOKUP($A327,T_TraitDi[#Data],COLUMN(T_TraitDi[[#This Row],[Type2]]),FALSE),TypeTW,2,FALSE),"")</f>
        <v/>
      </c>
      <c r="BY327" s="182" t="str">
        <f>IFERROR(VLOOKUP($A327,T_TraitDi[#Data],COLUMN(T_TraitDi[[#This Row],[Rue2]]),FALSE),"")</f>
        <v/>
      </c>
      <c r="BZ327" s="173" t="str">
        <f>IFERROR(VLOOKUP($A327,T_TraitDi[#Data],COLUMN(T_TraitDi[[#This Row],[CP2]]),FALSE),"")</f>
        <v/>
      </c>
      <c r="CA327" s="173" t="str">
        <f>IFERROR(VLOOKUP($A327,T_TraitDi[#Data],COLUMN(T_TraitDi[[#This Row],[VILLE2]]),FALSE),"")</f>
        <v/>
      </c>
      <c r="CB327" s="182" t="e">
        <f>IF(VLOOKUP(T_BilanSocial[[#This Row],[NumL]],T_Equipement[#Data],COLUMN(T_Equipement[[#This Row],[PC]]),FALSE)="","Aucun équipement spécifique directement lié au télétravail",VLOOKUP(T_BilanSocial[[#This Row],[NumL]],T_Equipement[#Data],COLUMN(T_Equipement[[#This Row],[PC]]),FALSE))</f>
        <v>#VALUE!</v>
      </c>
      <c r="CC327" s="166" t="str">
        <f>IFERROR(IF(VLOOKUP(T_BilanSocial[[#This Row],[NumL]],T_TraitDi[#Data],COLUMN(T_TraitDi[[#This Row],[Plan]]),FALSE)="OK","Un planning spécifique de télétravail est annexé à la présente convention.",""),"")</f>
        <v/>
      </c>
      <c r="CD327" s="301"/>
      <c r="CE327" s="164" t="e">
        <f>IF(VLOOKUP(T_BilanSocial[[#This Row],[NumL]],T_suiviDi[#Data],COLUMN(T_suiviDi[[#This Row],[Entité]]),FALSE)="","",VLOOKUP(T_BilanSocial[[#This Row],[NumL]],T_suiviDi[#Data],COLUMN(T_suiviDi[[#This Row],[Entité]]),FALSE))</f>
        <v>#VALUE!</v>
      </c>
      <c r="CF327" s="164" t="e">
        <f>IF(VLOOKUP(T_BilanSocial[[#This Row],[NumL]],T_Commission[#Data],COLUMN(T_Commission[[#This Row],[envoi confirm TW]]),FALSE)="","",VLOOKUP(T_BilanSocial[[#This Row],[NumL]],T_Commission[#Data],COLUMN(T_Commission[[#This Row],[envoi confirm TW]]),FALSE))</f>
        <v>#VALUE!</v>
      </c>
      <c r="CG32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7" s="339" t="str">
        <f>T_BilanSocial[[#This Row],[Nom]]&amp;T_BilanSocial[[#This Row],[Prenom]]</f>
        <v/>
      </c>
      <c r="CI327" s="339" t="str">
        <f>VLOOKUP(T_BilanSocial[[#This Row],[NumL]],T_Commission[#Data],COLUMN(T_Commission[Commentaire]),FALSE)</f>
        <v>Les missions de l'agent ne sont pas télétravaillables.</v>
      </c>
      <c r="CJ327" s="339" t="str">
        <f>IF(VLOOKUP(T_BilanSocial[[#This Row],[NumL]],T_Commission[#Data],COLUMN(T_Commission[Encadrant Email]),FALSE)="","",VLOOKUP(T_BilanSocial[[#This Row],[NumL]],T_Commission[#Data],COLUMN(T_Commission[Encadrant Email]),FALSE))</f>
        <v/>
      </c>
      <c r="CK327" s="332" t="str">
        <f>IF(T_BilanSocial[[#This Row],[Final]]&lt;&gt;"",VLOOKUP(T_BilanSocial[[#This Row],[NumL]],T_suiviDi[#Data],COLUMN((T_suiviDi[Statut])),FALSE),"")</f>
        <v/>
      </c>
    </row>
    <row r="328" spans="1:89" s="50" customFormat="1" ht="29.25" customHeight="1" x14ac:dyDescent="0.25">
      <c r="A328" s="136">
        <v>325</v>
      </c>
      <c r="B328" s="330" t="str">
        <f t="shared" si="71"/>
        <v/>
      </c>
      <c r="C328" s="309"/>
      <c r="D328" s="95" t="e">
        <f>IF(VLOOKUP(T_BilanSocial[[#This Row],[NumL]],T_TraitDi[#Data],COLUMN(T_TraitDi[[#This Row],[WebC]]),FALSE)="","",VLOOKUP(T_BilanSocial[[#This Row],[NumL]],T_TraitDi[#Data],COLUMN(T_TraitDi[[#This Row],[WebC]]),FALSE))</f>
        <v>#VALUE!</v>
      </c>
      <c r="E328" s="95" t="str">
        <f t="shared" si="72"/>
        <v>12 janvier 2021</v>
      </c>
      <c r="F328" s="96" t="str">
        <f>IF(T_BilanSocial[[#This Row],[Final]]&lt;&gt;"",VLOOKUP(T_BilanSocial[[#This Row],[NumL]],T_suiviDi[#Data],COLUMN((T_suiviDi[Civ.])),FALSE),"")</f>
        <v/>
      </c>
      <c r="G328" s="96" t="str">
        <f>IF(T_BilanSocial[[#This Row],[Final]]&lt;&gt;"",VLOOKUP(T_BilanSocial[[#This Row],[NumL]],T_suiviDi[#Data],COLUMN((T_suiviDi[Nom])),FALSE),"")</f>
        <v/>
      </c>
      <c r="H328" s="96" t="str">
        <f>IF(T_BilanSocial[[#This Row],[Final]]&lt;&gt;"",VLOOKUP(T_BilanSocial[[#This Row],[NumL]],T_suiviDi[#Data],COLUMN((T_suiviDi[Prénom])),FALSE),"")</f>
        <v/>
      </c>
      <c r="I328" s="331" t="str">
        <f>IFERROR(VLOOKUP(T_BilanSocial[[#This Row],[Zone_Bilan]],T_P_BilanSocial[#Data],COLUMN(T_P_BilanSocial[[#This Row],[Numero_SIHAM]]),FALSE),"")</f>
        <v/>
      </c>
      <c r="J328" s="331" t="str">
        <f>IFERROR(VLOOKUP(T_BilanSocial[[#This Row],[Zone_Bilan]],T_P_BilanSocial[#Data],COLUMN(T_P_BilanSocial[[#This Row],[Sexe]]),FALSE),"")</f>
        <v/>
      </c>
      <c r="K328" s="294" t="str">
        <f>IFERROR(VLOOKUP(T_BilanSocial[[#This Row],[Zone_Bilan]],T_P_BilanSocial[#Data],COLUMN(T_P_BilanSocial[[#This Row],[Categorie]]),FALSE),"")</f>
        <v/>
      </c>
      <c r="L328" s="331" t="str">
        <f>IFERROR(VLOOKUP(T_BilanSocial[[#This Row],[Zone_Bilan]],T_P_BilanSocial[#Data],COLUMN(T_P_BilanSocial[[#This Row],[Statut]]),FALSE),"")</f>
        <v/>
      </c>
      <c r="M328" s="331" t="str">
        <f>IFERROR(VLOOKUP(T_BilanSocial[[#This Row],[Zone_Bilan]],T_P_BilanSocial[#Data],COLUMN(T_P_BilanSocial[[#This Row],[Filiere]]),FALSE),"")</f>
        <v/>
      </c>
      <c r="N328" s="331" t="e">
        <f>VLOOKUP(T_BilanSocial[[#This Row],[NumL]],T_TraitDi[#Data],COLUMN(T_TraitDi[EXP]),FALSE)</f>
        <v>#N/A</v>
      </c>
      <c r="O328" s="331" t="e">
        <f>VLOOKUP(T_BilanSocial[[#This Row],[NumL]],T_TraitDi[#Data],COLUMN(T_TraitDi[FORM]),FALSE)</f>
        <v>#N/A</v>
      </c>
      <c r="P328" s="96" t="str">
        <f>IF(T_BilanSocial[[#This Row],[Final]]&lt;&gt;"",VLOOKUP(T_BilanSocial[[#This Row],[NumL]],T_suiviDi[#Data],COLUMN((T_suiviDi[Email])),FALSE),"")</f>
        <v/>
      </c>
      <c r="Q328" s="96" t="e">
        <f t="shared" si="73"/>
        <v>#N/A</v>
      </c>
      <c r="R328" s="96" t="e">
        <f t="shared" si="74"/>
        <v>#N/A</v>
      </c>
      <c r="S328" s="96" t="str">
        <f t="shared" si="70"/>
        <v/>
      </c>
      <c r="T328" s="96" t="str">
        <f t="shared" si="75"/>
        <v>01 septembre 2021</v>
      </c>
      <c r="U328" s="96" t="str">
        <f t="shared" si="76"/>
        <v>30 novembre 2021</v>
      </c>
      <c r="V328" s="97">
        <f t="shared" si="77"/>
        <v>44530</v>
      </c>
      <c r="W328" s="176" t="e">
        <f>IF(VLOOKUP(T_BilanSocial[[#This Row],[NumL]],T_TraitDi[#Data],COLUMN(T_TraitDi[[#This Row],[M1]]),FALSE)="","",VLOOKUP(T_BilanSocial[[#This Row],[NumL]],T_TraitDi[#Data],COLUMN(T_TraitDi[[#This Row],[M1]]),FALSE))</f>
        <v>#VALUE!</v>
      </c>
      <c r="X328" s="96" t="str">
        <f t="shared" si="68"/>
        <v/>
      </c>
      <c r="Y328" s="96" t="str">
        <f t="shared" si="68"/>
        <v/>
      </c>
      <c r="Z328" s="96" t="str">
        <f t="shared" si="78"/>
        <v/>
      </c>
      <c r="AA328" s="176" t="e">
        <f>IF(VLOOKUP(T_BilanSocial[[#This Row],[NumL]],T_TraitDi[#Data],COLUMN(T_TraitDi[[#This Row],[M5]]),FALSE)="","",VLOOKUP(T_BilanSocial[[#This Row],[NumL]],T_TraitDi[#Data],COLUMN(T_TraitDi[[#This Row],[M5]]),FALSE))</f>
        <v>#VALUE!</v>
      </c>
      <c r="AB328" s="176" t="e">
        <f>IF(VLOOKUP(T_BilanSocial[[#This Row],[NumL]],T_TraitDi[#Data],COLUMN(T_TraitDi[[#This Row],[M6]]),FALSE)="","",VLOOKUP(T_BilanSocial[[#This Row],[NumL]],T_TraitDi[#Data],COLUMN(T_TraitDi[[#This Row],[M6]]),FALSE))</f>
        <v>#VALUE!</v>
      </c>
      <c r="AC328" s="96" t="e">
        <f t="shared" ref="AC328:AC339" si="80">W328&amp;X328&amp;Y328&amp;Z328&amp;AA328&amp;AB328</f>
        <v>#VALUE!</v>
      </c>
      <c r="AD328" s="97" t="str">
        <f t="shared" si="79"/>
        <v/>
      </c>
      <c r="AE328" s="294" t="e">
        <f>VLOOKUP(T_BilanSocial[[#This Row],[NumL]],T_TraitDi[#Data],COLUMN(T_TraitDi[[#This Row],[Reg Ponct]]),FALSE)</f>
        <v>#VALUE!</v>
      </c>
      <c r="AF328" s="294" t="e">
        <f>VLOOKUP(T_BilanSocial[NumL],T_TraitDi[#Data],COLUMN(T_TraitDi[[#This Row],[Jours flottants]]),FALSE)</f>
        <v>#VALUE!</v>
      </c>
      <c r="AG328" s="97" t="str">
        <f>IFERROR(VLOOKUP(T_BilanSocial[[#This Row],[NumL]],T_TraitDi[#Data],COLUMN(T_TraitDi[[#This Row],[Lundi]]),FALSE),"")</f>
        <v/>
      </c>
      <c r="AH328" s="172" t="e">
        <f>IF(VLOOKUP(T_BilanSocial[[#This Row],[NumL]],T_TraitDi[#Data],COLUMN(T_TraitDi[[#This Row],[Colonne3]]),FALSE)=0,"",TEXT(IFERROR(VLOOKUP(T_BilanSocial[[#This Row],[NumL]],T_TraitDi[#Data],COLUMN(T_TraitDi[[#This Row],[Colonne3]]),FALSE),""),"[hh]:mm"))</f>
        <v>#VALUE!</v>
      </c>
      <c r="AI328" s="172" t="e">
        <f>IF(VLOOKUP(T_BilanSocial[[#This Row],[NumL]],T_TraitDi[#Data],COLUMN(T_TraitDi[[#This Row],[Colonne4]]),FALSE)=0,"",TEXT(IFERROR(VLOOKUP(T_BilanSocial[[#This Row],[NumL]],T_TraitDi[#Data],COLUMN(T_TraitDi[[#This Row],[Colonne4]]),FALSE),""),"[hh]:mm"))</f>
        <v>#VALUE!</v>
      </c>
      <c r="AJ328" s="172" t="e">
        <f>IF(VLOOKUP(T_BilanSocial[[#This Row],[NumL]],T_TraitDi[#Data],COLUMN(T_TraitDi[[#This Row],[Colonne5]]),FALSE)=0,"",TEXT(IFERROR(VLOOKUP(T_BilanSocial[[#This Row],[NumL]],T_TraitDi[#Data],COLUMN(T_TraitDi[[#This Row],[Colonne5]]),FALSE),""),"[hh]:mm"))</f>
        <v>#VALUE!</v>
      </c>
      <c r="AK328" s="172" t="e">
        <f>IF(VLOOKUP(T_BilanSocial[[#This Row],[NumL]],T_TraitDi[#Data],COLUMN(T_TraitDi[[#This Row],[Colonne6]]),FALSE)=0,"",TEXT(IFERROR(VLOOKUP(T_BilanSocial[[#This Row],[NumL]],T_TraitDi[#Data],COLUMN(T_TraitDi[[#This Row],[Colonne6]]),FALSE),""),"[hh]:mm"))</f>
        <v>#VALUE!</v>
      </c>
      <c r="AL328" s="172" t="e">
        <f>IF(VLOOKUP(T_BilanSocial[[#This Row],[NumL]],T_TraitDi[#Data],COLUMN(T_TraitDi[[#This Row],[Colonne7]]),FALSE)=0,"",TEXT(IFERROR(VLOOKUP(T_BilanSocial[[#This Row],[NumL]],T_TraitDi[#Data],COLUMN(T_TraitDi[[#This Row],[Colonne7]]),FALSE),""),"[hh]:mm"))</f>
        <v>#VALUE!</v>
      </c>
      <c r="AM328" s="172" t="e">
        <f>IF(VLOOKUP(T_BilanSocial[[#This Row],[NumL]],T_TraitDi[#Data],COLUMN(T_TraitDi[[#This Row],[Colonne8]]),FALSE)=0,"",TEXT(IFERROR(VLOOKUP(T_BilanSocial[[#This Row],[NumL]],T_TraitDi[#Data],COLUMN(T_TraitDi[[#This Row],[Colonne8]]),FALSE),""),"[hh]:mm"))</f>
        <v>#VALUE!</v>
      </c>
      <c r="AN328" s="172" t="str">
        <f>IFERROR(VLOOKUP(T_BilanSocial[[#This Row],[NumL]],T_TraitDi[#Data],COLUMN(T_TraitDi[[#This Row],[Mardi]]),FALSE),"")</f>
        <v/>
      </c>
      <c r="AO328" s="172" t="e">
        <f>IF(VLOOKUP(T_BilanSocial[[#This Row],[NumL]],T_TraitDi[#Data],COLUMN(T_TraitDi[[#This Row],[Colonne1]]),FALSE)=0,"",TEXT(IFERROR(VLOOKUP(T_BilanSocial[[#This Row],[NumL]],T_TraitDi[#Data],COLUMN(T_TraitDi[[#This Row],[Colonne1]]),FALSE),""),"[hh]:mm"))</f>
        <v>#VALUE!</v>
      </c>
      <c r="AP328" s="172" t="e">
        <f>IF(VLOOKUP(T_BilanSocial[[#This Row],[NumL]],T_TraitDi[#Data],COLUMN(T_TraitDi[[#This Row],[Colonne9]]),FALSE)=0,"",TEXT(IFERROR(VLOOKUP(T_BilanSocial[[#This Row],[NumL]],T_TraitDi[#Data],COLUMN(T_TraitDi[[#This Row],[Colonne9]]),FALSE),""),"[hh]:mm"))</f>
        <v>#VALUE!</v>
      </c>
      <c r="AQ328" s="172" t="str">
        <f>IFERROR(VLOOKUP(T_BilanSocial[[#This Row],[NumL]],T_TraitDi[#Data],COLUMN(T_TraitDi[[#This Row],[Colonne10]]),FALSE),"")</f>
        <v/>
      </c>
      <c r="AR328" s="172" t="e">
        <f>IF(VLOOKUP(T_BilanSocial[[#This Row],[NumL]],T_TraitDi[#Data],COLUMN(T_TraitDi[[#This Row],[Colonne11]]),FALSE)=0,"",TEXT(IFERROR(VLOOKUP(T_BilanSocial[[#This Row],[NumL]],T_TraitDi[#Data],COLUMN(T_TraitDi[[#This Row],[Colonne11]]),FALSE),""),"[hh]:mm"))</f>
        <v>#VALUE!</v>
      </c>
      <c r="AS328" s="172" t="e">
        <f>IF(VLOOKUP(T_BilanSocial[[#This Row],[NumL]],T_TraitDi[#Data],COLUMN(T_TraitDi[[#This Row],[Colonne12]]),FALSE)=0,"",TEXT(IFERROR(VLOOKUP(T_BilanSocial[[#This Row],[NumL]],T_TraitDi[#Data],COLUMN(T_TraitDi[[#This Row],[Colonne12]]),FALSE),""),"[hh]:mm"))</f>
        <v>#VALUE!</v>
      </c>
      <c r="AT328" s="172" t="e">
        <f>IF(VLOOKUP(T_BilanSocial[[#This Row],[NumL]],T_TraitDi[#Data],COLUMN(T_TraitDi[[#This Row],[Colonne14]]),FALSE)=0,"",TEXT(IFERROR(VLOOKUP(T_BilanSocial[[#This Row],[NumL]],T_TraitDi[#Data],COLUMN(T_TraitDi[[#This Row],[Colonne14]]),FALSE),""),"[hh]:mm"))</f>
        <v>#VALUE!</v>
      </c>
      <c r="AU328" s="172" t="str">
        <f>IFERROR(VLOOKUP(T_BilanSocial[[#This Row],[NumL]],T_TraitDi[#Data],COLUMN(T_TraitDi[[#This Row],[Mercredi]]),FALSE),"")</f>
        <v/>
      </c>
      <c r="AV328" s="172" t="e">
        <f>IF(VLOOKUP(T_BilanSocial[[#This Row],[NumL]],T_TraitDi[#Data],COLUMN(T_TraitDi[[#This Row],[Colonne15]]),FALSE)=0,"",TEXT(IFERROR(VLOOKUP(T_BilanSocial[[#This Row],[NumL]],T_TraitDi[#Data],COLUMN(T_TraitDi[[#This Row],[Colonne15]]),FALSE),""),"[hh]:mm"))</f>
        <v>#VALUE!</v>
      </c>
      <c r="AW328" s="172" t="e">
        <f>IF(VLOOKUP(T_BilanSocial[[#This Row],[NumL]],T_TraitDi[#Data],COLUMN(T_TraitDi[[#This Row],[Colonne16]]),FALSE)=0,"",TEXT(IFERROR(VLOOKUP(T_BilanSocial[[#This Row],[NumL]],T_TraitDi[#Data],COLUMN(T_TraitDi[[#This Row],[Colonne16]]),FALSE),""),"[hh]:mm"))</f>
        <v>#VALUE!</v>
      </c>
      <c r="AX328" s="172" t="str">
        <f>IFERROR(VLOOKUP(T_BilanSocial[[#This Row],[NumL]],T_TraitDi[#Data],COLUMN(T_TraitDi[[#This Row],[Colonne17]]),FALSE),"")</f>
        <v/>
      </c>
      <c r="AY328" s="172" t="e">
        <f>IF(VLOOKUP(T_BilanSocial[[#This Row],[NumL]],T_TraitDi[#Data],COLUMN(T_TraitDi[[#This Row],[Colonne18]]),FALSE)=0,"",TEXT(IFERROR(VLOOKUP(T_BilanSocial[[#This Row],[NumL]],T_TraitDi[#Data],COLUMN(T_TraitDi[[#This Row],[Colonne18]]),FALSE),""),"[hh]:mm"))</f>
        <v>#VALUE!</v>
      </c>
      <c r="AZ328" s="172" t="e">
        <f>IF(VLOOKUP(T_BilanSocial[[#This Row],[NumL]],T_TraitDi[#Data],COLUMN(T_TraitDi[[#This Row],[Colonne19]]),FALSE)=0,"",TEXT(IFERROR(VLOOKUP(T_BilanSocial[[#This Row],[NumL]],T_TraitDi[#Data],COLUMN(T_TraitDi[[#This Row],[Colonne19]]),FALSE),""),"[hh]:mm"))</f>
        <v>#VALUE!</v>
      </c>
      <c r="BA328" s="172" t="e">
        <f>IF(VLOOKUP(T_BilanSocial[[#This Row],[NumL]],T_TraitDi[#Data],COLUMN(T_TraitDi[[#This Row],[Colonne20]]),FALSE)=0,"",TEXT(IFERROR(VLOOKUP(T_BilanSocial[[#This Row],[NumL]],T_TraitDi[#Data],COLUMN(T_TraitDi[[#This Row],[Colonne20]]),FALSE),""),"[hh]:mm"))</f>
        <v>#VALUE!</v>
      </c>
      <c r="BB328" s="178" t="str">
        <f>IFERROR(VLOOKUP(T_BilanSocial[[#This Row],[NumL]],T_TraitDi[#Data],COLUMN(T_TraitDi[[#This Row],[Jeudi]]),FALSE),"")</f>
        <v/>
      </c>
      <c r="BC328" s="178" t="e">
        <f>IF(VLOOKUP(T_BilanSocial[[#This Row],[NumL]],T_TraitDi[#Data],COLUMN(T_TraitDi[[#This Row],[Colonne21]]),FALSE)=0,"",TEXT(IFERROR(VLOOKUP(T_BilanSocial[[#This Row],[NumL]],T_TraitDi[#Data],COLUMN(T_TraitDi[[#This Row],[Colonne21]]),FALSE),""),"[hh]:mm"))</f>
        <v>#VALUE!</v>
      </c>
      <c r="BD328" s="178" t="e">
        <f>IF(VLOOKUP(T_BilanSocial[[#This Row],[NumL]],T_TraitDi[#Data],COLUMN(T_TraitDi[[#This Row],[Colonne22]]),FALSE)=0,"",TEXT(IFERROR(VLOOKUP(T_BilanSocial[[#This Row],[NumL]],T_TraitDi[#Data],COLUMN(T_TraitDi[[#This Row],[Colonne22]]),FALSE),""),"[hh]:mm"))</f>
        <v>#VALUE!</v>
      </c>
      <c r="BE328" s="178" t="str">
        <f>IFERROR(VLOOKUP(T_BilanSocial[[#This Row],[NumL]],T_TraitDi[#Data],COLUMN(T_TraitDi[[#This Row],[Colonne23]]),FALSE),"")</f>
        <v/>
      </c>
      <c r="BF328" s="178" t="e">
        <f>IF(VLOOKUP(T_BilanSocial[[#This Row],[NumL]],T_TraitDi[#Data],COLUMN(T_TraitDi[[#This Row],[Colonne24]]),FALSE)=0,"",TEXT(IFERROR(VLOOKUP(T_BilanSocial[[#This Row],[NumL]],T_TraitDi[#Data],COLUMN(T_TraitDi[[#This Row],[Colonne24]]),FALSE),""),"[hh]:mm"))</f>
        <v>#VALUE!</v>
      </c>
      <c r="BG328" s="178" t="e">
        <f>IF(VLOOKUP(T_BilanSocial[[#This Row],[NumL]],T_TraitDi[#Data],COLUMN(T_TraitDi[[#This Row],[Colonne25]]),FALSE)=0,"",TEXT(IFERROR(VLOOKUP(T_BilanSocial[[#This Row],[NumL]],T_TraitDi[#Data],COLUMN(T_TraitDi[[#This Row],[Colonne25]]),FALSE),""),"[hh]:mm"))</f>
        <v>#VALUE!</v>
      </c>
      <c r="BH328" s="178" t="e">
        <f>IF(VLOOKUP(T_BilanSocial[[#This Row],[NumL]],T_TraitDi[#Data],COLUMN(T_TraitDi[[#This Row],[Colonne26]]),FALSE)=0,"",TEXT(IFERROR(VLOOKUP(T_BilanSocial[[#This Row],[NumL]],T_TraitDi[#Data],COLUMN(T_TraitDi[[#This Row],[Colonne26]]),FALSE),""),"[hh]:mm"))</f>
        <v>#VALUE!</v>
      </c>
      <c r="BI328" s="172" t="str">
        <f>IFERROR(VLOOKUP(T_BilanSocial[[#This Row],[NumL]],T_TraitDi[#Data],COLUMN(T_TraitDi[[#This Row],[Vendredi]]),FALSE),"")</f>
        <v/>
      </c>
      <c r="BJ328" s="172" t="e">
        <f>IF(VLOOKUP(T_BilanSocial[[#This Row],[NumL]],T_TraitDi[#Data],COLUMN(T_TraitDi[[#This Row],[Colonne27]]),FALSE)=0,"",TEXT(IFERROR(VLOOKUP(T_BilanSocial[[#This Row],[NumL]],T_TraitDi[#Data],COLUMN(T_TraitDi[[#This Row],[Colonne27]]),FALSE),""),"[hh]:mm"))</f>
        <v>#VALUE!</v>
      </c>
      <c r="BK328" s="172" t="e">
        <f>IF(VLOOKUP(T_BilanSocial[[#This Row],[NumL]],T_TraitDi[#Data],COLUMN(T_TraitDi[[#This Row],[Colonne28]]),FALSE)=0,"",TEXT(IFERROR(VLOOKUP(T_BilanSocial[[#This Row],[NumL]],T_TraitDi[#Data],COLUMN(T_TraitDi[[#This Row],[Colonne28]]),FALSE),""),"[hh]:mm"))</f>
        <v>#VALUE!</v>
      </c>
      <c r="BL328" s="172" t="str">
        <f>IFERROR(VLOOKUP(T_BilanSocial[[#This Row],[NumL]],T_TraitDi[#Data],COLUMN(T_TraitDi[[#This Row],[Colonne29]]),FALSE),"")</f>
        <v/>
      </c>
      <c r="BM328" s="172" t="e">
        <f>IF(VLOOKUP(T_BilanSocial[[#This Row],[NumL]],T_TraitDi[#Data],COLUMN(T_TraitDi[[#This Row],[Colonne30]]),FALSE)=0,"",TEXT(IFERROR(VLOOKUP(T_BilanSocial[[#This Row],[NumL]],T_TraitDi[#Data],COLUMN(T_TraitDi[[#This Row],[Colonne30]]),FALSE),""),"[hh]:mm"))</f>
        <v>#VALUE!</v>
      </c>
      <c r="BN328" s="172" t="e">
        <f>IF(VLOOKUP(T_BilanSocial[[#This Row],[NumL]],T_TraitDi[#Data],COLUMN(T_TraitDi[[#This Row],[Colonne31]]),FALSE)=0,"",TEXT(IFERROR(VLOOKUP(T_BilanSocial[[#This Row],[NumL]],T_TraitDi[#Data],COLUMN(T_TraitDi[[#This Row],[Colonne31]]),FALSE),""),"[hh]:mm"))</f>
        <v>#VALUE!</v>
      </c>
      <c r="BO328" s="172" t="e">
        <f>IF(VLOOKUP(T_BilanSocial[[#This Row],[NumL]],T_TraitDi[#Data],COLUMN(T_TraitDi[[#This Row],[Colonne32]]),FALSE)=0,"",TEXT(IFERROR(VLOOKUP(T_BilanSocial[[#This Row],[NumL]],T_TraitDi[#Data],COLUMN(T_TraitDi[[#This Row],[Colonne32]]),FALSE),""),"[hh]:mm"))</f>
        <v>#VALUE!</v>
      </c>
      <c r="BP328" s="172" t="e">
        <f>VLOOKUP(T_BilanSocial[[#This Row],[NumL]],T_TraitDi[#Data],COLUMN(T_TraitDi[NbJTot]),FALSE)</f>
        <v>#N/A</v>
      </c>
      <c r="BQ328" s="174" t="str">
        <f>IFERROR(VLOOKUP(T_BilanSocial[[#This Row],[NumL]],T_TraitDi[#Data],COLUMN(T_TraitDi[[#This Row],[NbJTW]]),FALSE),"")</f>
        <v/>
      </c>
      <c r="BR328" s="174" t="e">
        <f>IF(VLOOKUP(T_BilanSocial[[#This Row],[NumL]],T_TraitDi[#Data],COLUMN(T_TraitDi[[#This Row],[NbhTW]]),FALSE)=0,"",TEXT(IFERROR(VLOOKUP(T_BilanSocial[[#This Row],[NumL]],T_TraitDi[#Data],COLUMN(T_TraitDi[[#This Row],[NbhTW]]),FALSE),""),"[hh]:mm"))</f>
        <v>#VALUE!</v>
      </c>
      <c r="BS328" s="174" t="e">
        <f>IF(VLOOKUP(T_BilanSocial[[#This Row],[NumL]],T_TraitDi[#Data],COLUMN(T_TraitDi[[#This Row],[Nbhheb]]),FALSE)=0,"",TEXT(IFERROR(VLOOKUP($A328,T_TraitDi[#Data],COLUMN(T_TraitDi[[#This Row],[Nbhheb]]),FALSE),""),"[hh]:mm"))</f>
        <v>#VALUE!</v>
      </c>
      <c r="BT328" s="182" t="str">
        <f>IFERROR(VLOOKUP(VLOOKUP($A328,T_TraitDi[#Data],COLUMN(T_TraitDi[[#This Row],[Type1]]),FALSE),TypeTW,2,FALSE),"")</f>
        <v/>
      </c>
      <c r="BU328" s="182" t="str">
        <f>IFERROR(VLOOKUP($A328,T_TraitDi[#Data],COLUMN(T_TraitDi[[#This Row],[Rue1]]),FALSE),"")</f>
        <v/>
      </c>
      <c r="BV328" s="173" t="str">
        <f>IFERROR(VLOOKUP($A328,T_TraitDi[#Data],COLUMN(T_TraitDi[[#This Row],[CP1]]),FALSE),"")</f>
        <v/>
      </c>
      <c r="BW328" s="173" t="str">
        <f>IFERROR(VLOOKUP($A328,T_TraitDi[#Data],COLUMN(T_TraitDi[[#This Row],[VILLE1]]),FALSE),"")</f>
        <v/>
      </c>
      <c r="BX328" s="182" t="str">
        <f>IFERROR(VLOOKUP(VLOOKUP($A328,T_TraitDi[#Data],COLUMN(T_TraitDi[[#This Row],[Type2]]),FALSE),TypeTW,2,FALSE),"")</f>
        <v/>
      </c>
      <c r="BY328" s="182" t="str">
        <f>IFERROR(VLOOKUP($A328,T_TraitDi[#Data],COLUMN(T_TraitDi[[#This Row],[Rue2]]),FALSE),"")</f>
        <v/>
      </c>
      <c r="BZ328" s="173" t="str">
        <f>IFERROR(VLOOKUP($A328,T_TraitDi[#Data],COLUMN(T_TraitDi[[#This Row],[CP2]]),FALSE),"")</f>
        <v/>
      </c>
      <c r="CA328" s="173" t="str">
        <f>IFERROR(VLOOKUP($A328,T_TraitDi[#Data],COLUMN(T_TraitDi[[#This Row],[VILLE2]]),FALSE),"")</f>
        <v/>
      </c>
      <c r="CB328" s="182" t="e">
        <f>IF(VLOOKUP(T_BilanSocial[[#This Row],[NumL]],T_Equipement[#Data],COLUMN(T_Equipement[[#This Row],[PC]]),FALSE)="","Aucun équipement spécifique directement lié au télétravail",VLOOKUP(T_BilanSocial[[#This Row],[NumL]],T_Equipement[#Data],COLUMN(T_Equipement[[#This Row],[PC]]),FALSE))</f>
        <v>#VALUE!</v>
      </c>
      <c r="CC328" s="166" t="str">
        <f>IFERROR(IF(VLOOKUP(T_BilanSocial[[#This Row],[NumL]],T_TraitDi[#Data],COLUMN(T_TraitDi[[#This Row],[Plan]]),FALSE)="OK","Un planning spécifique de télétravail est annexé à la présente convention.",""),"")</f>
        <v/>
      </c>
      <c r="CD328" s="301"/>
      <c r="CE328" s="164" t="e">
        <f>IF(VLOOKUP(T_BilanSocial[[#This Row],[NumL]],T_suiviDi[#Data],COLUMN(T_suiviDi[[#This Row],[Entité]]),FALSE)="","",VLOOKUP(T_BilanSocial[[#This Row],[NumL]],T_suiviDi[#Data],COLUMN(T_suiviDi[[#This Row],[Entité]]),FALSE))</f>
        <v>#VALUE!</v>
      </c>
      <c r="CF328" s="164" t="e">
        <f>IF(VLOOKUP(T_BilanSocial[[#This Row],[NumL]],T_Commission[#Data],COLUMN(T_Commission[[#This Row],[envoi confirm TW]]),FALSE)="","",VLOOKUP(T_BilanSocial[[#This Row],[NumL]],T_Commission[#Data],COLUMN(T_Commission[[#This Row],[envoi confirm TW]]),FALSE))</f>
        <v>#VALUE!</v>
      </c>
      <c r="CG32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8" s="339" t="str">
        <f>T_BilanSocial[[#This Row],[Nom]]&amp;T_BilanSocial[[#This Row],[Prenom]]</f>
        <v/>
      </c>
      <c r="CI328" s="339">
        <f>VLOOKUP(T_BilanSocial[[#This Row],[NumL]],T_Commission[#Data],COLUMN(T_Commission[Commentaire]),FALSE)</f>
        <v>0</v>
      </c>
      <c r="CJ328" s="339" t="str">
        <f>IF(VLOOKUP(T_BilanSocial[[#This Row],[NumL]],T_Commission[#Data],COLUMN(T_Commission[Encadrant Email]),FALSE)="","",VLOOKUP(T_BilanSocial[[#This Row],[NumL]],T_Commission[#Data],COLUMN(T_Commission[Encadrant Email]),FALSE))</f>
        <v/>
      </c>
      <c r="CK328" s="332" t="str">
        <f>IF(T_BilanSocial[[#This Row],[Final]]&lt;&gt;"",VLOOKUP(T_BilanSocial[[#This Row],[NumL]],T_suiviDi[#Data],COLUMN((T_suiviDi[Statut])),FALSE),"")</f>
        <v/>
      </c>
    </row>
    <row r="329" spans="1:89" s="50" customFormat="1" ht="29.25" customHeight="1" x14ac:dyDescent="0.25">
      <c r="A329" s="136">
        <v>326</v>
      </c>
      <c r="B329" s="330" t="str">
        <f t="shared" si="71"/>
        <v/>
      </c>
      <c r="C329" s="309"/>
      <c r="D329" s="95" t="e">
        <f>IF(VLOOKUP(T_BilanSocial[[#This Row],[NumL]],T_TraitDi[#Data],COLUMN(T_TraitDi[[#This Row],[WebC]]),FALSE)="","",VLOOKUP(T_BilanSocial[[#This Row],[NumL]],T_TraitDi[#Data],COLUMN(T_TraitDi[[#This Row],[WebC]]),FALSE))</f>
        <v>#VALUE!</v>
      </c>
      <c r="E329" s="95" t="str">
        <f t="shared" si="72"/>
        <v>12 janvier 2021</v>
      </c>
      <c r="F329" s="96" t="str">
        <f>IF(T_BilanSocial[[#This Row],[Final]]&lt;&gt;"",VLOOKUP(T_BilanSocial[[#This Row],[NumL]],T_suiviDi[#Data],COLUMN((T_suiviDi[Civ.])),FALSE),"")</f>
        <v/>
      </c>
      <c r="G329" s="96" t="str">
        <f>IF(T_BilanSocial[[#This Row],[Final]]&lt;&gt;"",VLOOKUP(T_BilanSocial[[#This Row],[NumL]],T_suiviDi[#Data],COLUMN((T_suiviDi[Nom])),FALSE),"")</f>
        <v/>
      </c>
      <c r="H329" s="96" t="str">
        <f>IF(T_BilanSocial[[#This Row],[Final]]&lt;&gt;"",VLOOKUP(T_BilanSocial[[#This Row],[NumL]],T_suiviDi[#Data],COLUMN((T_suiviDi[Prénom])),FALSE),"")</f>
        <v/>
      </c>
      <c r="I329" s="331" t="str">
        <f>IFERROR(VLOOKUP(T_BilanSocial[[#This Row],[Zone_Bilan]],T_P_BilanSocial[#Data],COLUMN(T_P_BilanSocial[[#This Row],[Numero_SIHAM]]),FALSE),"")</f>
        <v/>
      </c>
      <c r="J329" s="331" t="str">
        <f>IFERROR(VLOOKUP(T_BilanSocial[[#This Row],[Zone_Bilan]],T_P_BilanSocial[#Data],COLUMN(T_P_BilanSocial[[#This Row],[Sexe]]),FALSE),"")</f>
        <v/>
      </c>
      <c r="K329" s="294" t="str">
        <f>IFERROR(VLOOKUP(T_BilanSocial[[#This Row],[Zone_Bilan]],T_P_BilanSocial[#Data],COLUMN(T_P_BilanSocial[[#This Row],[Categorie]]),FALSE),"")</f>
        <v/>
      </c>
      <c r="L329" s="331" t="str">
        <f>IFERROR(VLOOKUP(T_BilanSocial[[#This Row],[Zone_Bilan]],T_P_BilanSocial[#Data],COLUMN(T_P_BilanSocial[[#This Row],[Statut]]),FALSE),"")</f>
        <v/>
      </c>
      <c r="M329" s="331" t="str">
        <f>IFERROR(VLOOKUP(T_BilanSocial[[#This Row],[Zone_Bilan]],T_P_BilanSocial[#Data],COLUMN(T_P_BilanSocial[[#This Row],[Filiere]]),FALSE),"")</f>
        <v/>
      </c>
      <c r="N329" s="331" t="e">
        <f>VLOOKUP(T_BilanSocial[[#This Row],[NumL]],T_TraitDi[#Data],COLUMN(T_TraitDi[EXP]),FALSE)</f>
        <v>#N/A</v>
      </c>
      <c r="O329" s="331" t="e">
        <f>VLOOKUP(T_BilanSocial[[#This Row],[NumL]],T_TraitDi[#Data],COLUMN(T_TraitDi[FORM]),FALSE)</f>
        <v>#N/A</v>
      </c>
      <c r="P329" s="96" t="str">
        <f>IF(T_BilanSocial[[#This Row],[Final]]&lt;&gt;"",VLOOKUP(T_BilanSocial[[#This Row],[NumL]],T_suiviDi[#Data],COLUMN((T_suiviDi[Email])),FALSE),"")</f>
        <v/>
      </c>
      <c r="Q329" s="96" t="e">
        <f t="shared" si="73"/>
        <v>#N/A</v>
      </c>
      <c r="R329" s="96" t="e">
        <f t="shared" si="74"/>
        <v>#N/A</v>
      </c>
      <c r="S329" s="96" t="str">
        <f t="shared" si="70"/>
        <v/>
      </c>
      <c r="T329" s="96" t="str">
        <f t="shared" si="75"/>
        <v>01 septembre 2021</v>
      </c>
      <c r="U329" s="96" t="str">
        <f t="shared" si="76"/>
        <v>30 novembre 2021</v>
      </c>
      <c r="V329" s="97">
        <f t="shared" si="77"/>
        <v>44530</v>
      </c>
      <c r="W329" s="176" t="e">
        <f>IF(VLOOKUP(T_BilanSocial[[#This Row],[NumL]],T_TraitDi[#Data],COLUMN(T_TraitDi[[#This Row],[M1]]),FALSE)="","",VLOOKUP(T_BilanSocial[[#This Row],[NumL]],T_TraitDi[#Data],COLUMN(T_TraitDi[[#This Row],[M1]]),FALSE))</f>
        <v>#VALUE!</v>
      </c>
      <c r="X329" s="96" t="str">
        <f t="shared" si="68"/>
        <v/>
      </c>
      <c r="Y329" s="96" t="str">
        <f t="shared" si="68"/>
        <v/>
      </c>
      <c r="Z329" s="96" t="str">
        <f t="shared" si="78"/>
        <v/>
      </c>
      <c r="AA329" s="176" t="e">
        <f>IF(VLOOKUP(T_BilanSocial[[#This Row],[NumL]],T_TraitDi[#Data],COLUMN(T_TraitDi[[#This Row],[M5]]),FALSE)="","",VLOOKUP(T_BilanSocial[[#This Row],[NumL]],T_TraitDi[#Data],COLUMN(T_TraitDi[[#This Row],[M5]]),FALSE))</f>
        <v>#VALUE!</v>
      </c>
      <c r="AB329" s="176" t="e">
        <f>IF(VLOOKUP(T_BilanSocial[[#This Row],[NumL]],T_TraitDi[#Data],COLUMN(T_TraitDi[[#This Row],[M6]]),FALSE)="","",VLOOKUP(T_BilanSocial[[#This Row],[NumL]],T_TraitDi[#Data],COLUMN(T_TraitDi[[#This Row],[M6]]),FALSE))</f>
        <v>#VALUE!</v>
      </c>
      <c r="AC329" s="96" t="e">
        <f t="shared" si="80"/>
        <v>#VALUE!</v>
      </c>
      <c r="AD329" s="97" t="str">
        <f t="shared" si="79"/>
        <v/>
      </c>
      <c r="AE329" s="294" t="e">
        <f>VLOOKUP(T_BilanSocial[[#This Row],[NumL]],T_TraitDi[#Data],COLUMN(T_TraitDi[[#This Row],[Reg Ponct]]),FALSE)</f>
        <v>#VALUE!</v>
      </c>
      <c r="AF329" s="294" t="e">
        <f>VLOOKUP(T_BilanSocial[NumL],T_TraitDi[#Data],COLUMN(T_TraitDi[[#This Row],[Jours flottants]]),FALSE)</f>
        <v>#VALUE!</v>
      </c>
      <c r="AG329" s="97" t="str">
        <f>IFERROR(VLOOKUP(T_BilanSocial[[#This Row],[NumL]],T_TraitDi[#Data],COLUMN(T_TraitDi[[#This Row],[Lundi]]),FALSE),"")</f>
        <v/>
      </c>
      <c r="AH329" s="172" t="e">
        <f>IF(VLOOKUP(T_BilanSocial[[#This Row],[NumL]],T_TraitDi[#Data],COLUMN(T_TraitDi[[#This Row],[Colonne3]]),FALSE)=0,"",TEXT(IFERROR(VLOOKUP(T_BilanSocial[[#This Row],[NumL]],T_TraitDi[#Data],COLUMN(T_TraitDi[[#This Row],[Colonne3]]),FALSE),""),"[hh]:mm"))</f>
        <v>#VALUE!</v>
      </c>
      <c r="AI329" s="172" t="e">
        <f>IF(VLOOKUP(T_BilanSocial[[#This Row],[NumL]],T_TraitDi[#Data],COLUMN(T_TraitDi[[#This Row],[Colonne4]]),FALSE)=0,"",TEXT(IFERROR(VLOOKUP(T_BilanSocial[[#This Row],[NumL]],T_TraitDi[#Data],COLUMN(T_TraitDi[[#This Row],[Colonne4]]),FALSE),""),"[hh]:mm"))</f>
        <v>#VALUE!</v>
      </c>
      <c r="AJ329" s="172" t="e">
        <f>IF(VLOOKUP(T_BilanSocial[[#This Row],[NumL]],T_TraitDi[#Data],COLUMN(T_TraitDi[[#This Row],[Colonne5]]),FALSE)=0,"",TEXT(IFERROR(VLOOKUP(T_BilanSocial[[#This Row],[NumL]],T_TraitDi[#Data],COLUMN(T_TraitDi[[#This Row],[Colonne5]]),FALSE),""),"[hh]:mm"))</f>
        <v>#VALUE!</v>
      </c>
      <c r="AK329" s="172" t="e">
        <f>IF(VLOOKUP(T_BilanSocial[[#This Row],[NumL]],T_TraitDi[#Data],COLUMN(T_TraitDi[[#This Row],[Colonne6]]),FALSE)=0,"",TEXT(IFERROR(VLOOKUP(T_BilanSocial[[#This Row],[NumL]],T_TraitDi[#Data],COLUMN(T_TraitDi[[#This Row],[Colonne6]]),FALSE),""),"[hh]:mm"))</f>
        <v>#VALUE!</v>
      </c>
      <c r="AL329" s="172" t="e">
        <f>IF(VLOOKUP(T_BilanSocial[[#This Row],[NumL]],T_TraitDi[#Data],COLUMN(T_TraitDi[[#This Row],[Colonne7]]),FALSE)=0,"",TEXT(IFERROR(VLOOKUP(T_BilanSocial[[#This Row],[NumL]],T_TraitDi[#Data],COLUMN(T_TraitDi[[#This Row],[Colonne7]]),FALSE),""),"[hh]:mm"))</f>
        <v>#VALUE!</v>
      </c>
      <c r="AM329" s="172" t="e">
        <f>IF(VLOOKUP(T_BilanSocial[[#This Row],[NumL]],T_TraitDi[#Data],COLUMN(T_TraitDi[[#This Row],[Colonne8]]),FALSE)=0,"",TEXT(IFERROR(VLOOKUP(T_BilanSocial[[#This Row],[NumL]],T_TraitDi[#Data],COLUMN(T_TraitDi[[#This Row],[Colonne8]]),FALSE),""),"[hh]:mm"))</f>
        <v>#VALUE!</v>
      </c>
      <c r="AN329" s="172" t="str">
        <f>IFERROR(VLOOKUP(T_BilanSocial[[#This Row],[NumL]],T_TraitDi[#Data],COLUMN(T_TraitDi[[#This Row],[Mardi]]),FALSE),"")</f>
        <v/>
      </c>
      <c r="AO329" s="172" t="e">
        <f>IF(VLOOKUP(T_BilanSocial[[#This Row],[NumL]],T_TraitDi[#Data],COLUMN(T_TraitDi[[#This Row],[Colonne1]]),FALSE)=0,"",TEXT(IFERROR(VLOOKUP(T_BilanSocial[[#This Row],[NumL]],T_TraitDi[#Data],COLUMN(T_TraitDi[[#This Row],[Colonne1]]),FALSE),""),"[hh]:mm"))</f>
        <v>#VALUE!</v>
      </c>
      <c r="AP329" s="172" t="e">
        <f>IF(VLOOKUP(T_BilanSocial[[#This Row],[NumL]],T_TraitDi[#Data],COLUMN(T_TraitDi[[#This Row],[Colonne9]]),FALSE)=0,"",TEXT(IFERROR(VLOOKUP(T_BilanSocial[[#This Row],[NumL]],T_TraitDi[#Data],COLUMN(T_TraitDi[[#This Row],[Colonne9]]),FALSE),""),"[hh]:mm"))</f>
        <v>#VALUE!</v>
      </c>
      <c r="AQ329" s="172" t="str">
        <f>IFERROR(VLOOKUP(T_BilanSocial[[#This Row],[NumL]],T_TraitDi[#Data],COLUMN(T_TraitDi[[#This Row],[Colonne10]]),FALSE),"")</f>
        <v/>
      </c>
      <c r="AR329" s="172" t="e">
        <f>IF(VLOOKUP(T_BilanSocial[[#This Row],[NumL]],T_TraitDi[#Data],COLUMN(T_TraitDi[[#This Row],[Colonne11]]),FALSE)=0,"",TEXT(IFERROR(VLOOKUP(T_BilanSocial[[#This Row],[NumL]],T_TraitDi[#Data],COLUMN(T_TraitDi[[#This Row],[Colonne11]]),FALSE),""),"[hh]:mm"))</f>
        <v>#VALUE!</v>
      </c>
      <c r="AS329" s="172" t="e">
        <f>IF(VLOOKUP(T_BilanSocial[[#This Row],[NumL]],T_TraitDi[#Data],COLUMN(T_TraitDi[[#This Row],[Colonne12]]),FALSE)=0,"",TEXT(IFERROR(VLOOKUP(T_BilanSocial[[#This Row],[NumL]],T_TraitDi[#Data],COLUMN(T_TraitDi[[#This Row],[Colonne12]]),FALSE),""),"[hh]:mm"))</f>
        <v>#VALUE!</v>
      </c>
      <c r="AT329" s="172" t="e">
        <f>IF(VLOOKUP(T_BilanSocial[[#This Row],[NumL]],T_TraitDi[#Data],COLUMN(T_TraitDi[[#This Row],[Colonne14]]),FALSE)=0,"",TEXT(IFERROR(VLOOKUP(T_BilanSocial[[#This Row],[NumL]],T_TraitDi[#Data],COLUMN(T_TraitDi[[#This Row],[Colonne14]]),FALSE),""),"[hh]:mm"))</f>
        <v>#VALUE!</v>
      </c>
      <c r="AU329" s="172" t="str">
        <f>IFERROR(VLOOKUP(T_BilanSocial[[#This Row],[NumL]],T_TraitDi[#Data],COLUMN(T_TraitDi[[#This Row],[Mercredi]]),FALSE),"")</f>
        <v/>
      </c>
      <c r="AV329" s="172" t="e">
        <f>IF(VLOOKUP(T_BilanSocial[[#This Row],[NumL]],T_TraitDi[#Data],COLUMN(T_TraitDi[[#This Row],[Colonne15]]),FALSE)=0,"",TEXT(IFERROR(VLOOKUP(T_BilanSocial[[#This Row],[NumL]],T_TraitDi[#Data],COLUMN(T_TraitDi[[#This Row],[Colonne15]]),FALSE),""),"[hh]:mm"))</f>
        <v>#VALUE!</v>
      </c>
      <c r="AW329" s="172" t="e">
        <f>IF(VLOOKUP(T_BilanSocial[[#This Row],[NumL]],T_TraitDi[#Data],COLUMN(T_TraitDi[[#This Row],[Colonne16]]),FALSE)=0,"",TEXT(IFERROR(VLOOKUP(T_BilanSocial[[#This Row],[NumL]],T_TraitDi[#Data],COLUMN(T_TraitDi[[#This Row],[Colonne16]]),FALSE),""),"[hh]:mm"))</f>
        <v>#VALUE!</v>
      </c>
      <c r="AX329" s="172" t="str">
        <f>IFERROR(VLOOKUP(T_BilanSocial[[#This Row],[NumL]],T_TraitDi[#Data],COLUMN(T_TraitDi[[#This Row],[Colonne17]]),FALSE),"")</f>
        <v/>
      </c>
      <c r="AY329" s="172" t="e">
        <f>IF(VLOOKUP(T_BilanSocial[[#This Row],[NumL]],T_TraitDi[#Data],COLUMN(T_TraitDi[[#This Row],[Colonne18]]),FALSE)=0,"",TEXT(IFERROR(VLOOKUP(T_BilanSocial[[#This Row],[NumL]],T_TraitDi[#Data],COLUMN(T_TraitDi[[#This Row],[Colonne18]]),FALSE),""),"[hh]:mm"))</f>
        <v>#VALUE!</v>
      </c>
      <c r="AZ329" s="172" t="e">
        <f>IF(VLOOKUP(T_BilanSocial[[#This Row],[NumL]],T_TraitDi[#Data],COLUMN(T_TraitDi[[#This Row],[Colonne19]]),FALSE)=0,"",TEXT(IFERROR(VLOOKUP(T_BilanSocial[[#This Row],[NumL]],T_TraitDi[#Data],COLUMN(T_TraitDi[[#This Row],[Colonne19]]),FALSE),""),"[hh]:mm"))</f>
        <v>#VALUE!</v>
      </c>
      <c r="BA329" s="172" t="e">
        <f>IF(VLOOKUP(T_BilanSocial[[#This Row],[NumL]],T_TraitDi[#Data],COLUMN(T_TraitDi[[#This Row],[Colonne20]]),FALSE)=0,"",TEXT(IFERROR(VLOOKUP(T_BilanSocial[[#This Row],[NumL]],T_TraitDi[#Data],COLUMN(T_TraitDi[[#This Row],[Colonne20]]),FALSE),""),"[hh]:mm"))</f>
        <v>#VALUE!</v>
      </c>
      <c r="BB329" s="178" t="str">
        <f>IFERROR(VLOOKUP(T_BilanSocial[[#This Row],[NumL]],T_TraitDi[#Data],COLUMN(T_TraitDi[[#This Row],[Jeudi]]),FALSE),"")</f>
        <v/>
      </c>
      <c r="BC329" s="178" t="e">
        <f>IF(VLOOKUP(T_BilanSocial[[#This Row],[NumL]],T_TraitDi[#Data],COLUMN(T_TraitDi[[#This Row],[Colonne21]]),FALSE)=0,"",TEXT(IFERROR(VLOOKUP(T_BilanSocial[[#This Row],[NumL]],T_TraitDi[#Data],COLUMN(T_TraitDi[[#This Row],[Colonne21]]),FALSE),""),"[hh]:mm"))</f>
        <v>#VALUE!</v>
      </c>
      <c r="BD329" s="178" t="e">
        <f>IF(VLOOKUP(T_BilanSocial[[#This Row],[NumL]],T_TraitDi[#Data],COLUMN(T_TraitDi[[#This Row],[Colonne22]]),FALSE)=0,"",TEXT(IFERROR(VLOOKUP(T_BilanSocial[[#This Row],[NumL]],T_TraitDi[#Data],COLUMN(T_TraitDi[[#This Row],[Colonne22]]),FALSE),""),"[hh]:mm"))</f>
        <v>#VALUE!</v>
      </c>
      <c r="BE329" s="178" t="str">
        <f>IFERROR(VLOOKUP(T_BilanSocial[[#This Row],[NumL]],T_TraitDi[#Data],COLUMN(T_TraitDi[[#This Row],[Colonne23]]),FALSE),"")</f>
        <v/>
      </c>
      <c r="BF329" s="178" t="e">
        <f>IF(VLOOKUP(T_BilanSocial[[#This Row],[NumL]],T_TraitDi[#Data],COLUMN(T_TraitDi[[#This Row],[Colonne24]]),FALSE)=0,"",TEXT(IFERROR(VLOOKUP(T_BilanSocial[[#This Row],[NumL]],T_TraitDi[#Data],COLUMN(T_TraitDi[[#This Row],[Colonne24]]),FALSE),""),"[hh]:mm"))</f>
        <v>#VALUE!</v>
      </c>
      <c r="BG329" s="178" t="e">
        <f>IF(VLOOKUP(T_BilanSocial[[#This Row],[NumL]],T_TraitDi[#Data],COLUMN(T_TraitDi[[#This Row],[Colonne25]]),FALSE)=0,"",TEXT(IFERROR(VLOOKUP(T_BilanSocial[[#This Row],[NumL]],T_TraitDi[#Data],COLUMN(T_TraitDi[[#This Row],[Colonne25]]),FALSE),""),"[hh]:mm"))</f>
        <v>#VALUE!</v>
      </c>
      <c r="BH329" s="178" t="e">
        <f>IF(VLOOKUP(T_BilanSocial[[#This Row],[NumL]],T_TraitDi[#Data],COLUMN(T_TraitDi[[#This Row],[Colonne26]]),FALSE)=0,"",TEXT(IFERROR(VLOOKUP(T_BilanSocial[[#This Row],[NumL]],T_TraitDi[#Data],COLUMN(T_TraitDi[[#This Row],[Colonne26]]),FALSE),""),"[hh]:mm"))</f>
        <v>#VALUE!</v>
      </c>
      <c r="BI329" s="172" t="str">
        <f>IFERROR(VLOOKUP(T_BilanSocial[[#This Row],[NumL]],T_TraitDi[#Data],COLUMN(T_TraitDi[[#This Row],[Vendredi]]),FALSE),"")</f>
        <v/>
      </c>
      <c r="BJ329" s="172" t="e">
        <f>IF(VLOOKUP(T_BilanSocial[[#This Row],[NumL]],T_TraitDi[#Data],COLUMN(T_TraitDi[[#This Row],[Colonne27]]),FALSE)=0,"",TEXT(IFERROR(VLOOKUP(T_BilanSocial[[#This Row],[NumL]],T_TraitDi[#Data],COLUMN(T_TraitDi[[#This Row],[Colonne27]]),FALSE),""),"[hh]:mm"))</f>
        <v>#VALUE!</v>
      </c>
      <c r="BK329" s="172" t="e">
        <f>IF(VLOOKUP(T_BilanSocial[[#This Row],[NumL]],T_TraitDi[#Data],COLUMN(T_TraitDi[[#This Row],[Colonne28]]),FALSE)=0,"",TEXT(IFERROR(VLOOKUP(T_BilanSocial[[#This Row],[NumL]],T_TraitDi[#Data],COLUMN(T_TraitDi[[#This Row],[Colonne28]]),FALSE),""),"[hh]:mm"))</f>
        <v>#VALUE!</v>
      </c>
      <c r="BL329" s="172" t="str">
        <f>IFERROR(VLOOKUP(T_BilanSocial[[#This Row],[NumL]],T_TraitDi[#Data],COLUMN(T_TraitDi[[#This Row],[Colonne29]]),FALSE),"")</f>
        <v/>
      </c>
      <c r="BM329" s="172" t="e">
        <f>IF(VLOOKUP(T_BilanSocial[[#This Row],[NumL]],T_TraitDi[#Data],COLUMN(T_TraitDi[[#This Row],[Colonne30]]),FALSE)=0,"",TEXT(IFERROR(VLOOKUP(T_BilanSocial[[#This Row],[NumL]],T_TraitDi[#Data],COLUMN(T_TraitDi[[#This Row],[Colonne30]]),FALSE),""),"[hh]:mm"))</f>
        <v>#VALUE!</v>
      </c>
      <c r="BN329" s="172" t="e">
        <f>IF(VLOOKUP(T_BilanSocial[[#This Row],[NumL]],T_TraitDi[#Data],COLUMN(T_TraitDi[[#This Row],[Colonne31]]),FALSE)=0,"",TEXT(IFERROR(VLOOKUP(T_BilanSocial[[#This Row],[NumL]],T_TraitDi[#Data],COLUMN(T_TraitDi[[#This Row],[Colonne31]]),FALSE),""),"[hh]:mm"))</f>
        <v>#VALUE!</v>
      </c>
      <c r="BO329" s="172" t="e">
        <f>IF(VLOOKUP(T_BilanSocial[[#This Row],[NumL]],T_TraitDi[#Data],COLUMN(T_TraitDi[[#This Row],[Colonne32]]),FALSE)=0,"",TEXT(IFERROR(VLOOKUP(T_BilanSocial[[#This Row],[NumL]],T_TraitDi[#Data],COLUMN(T_TraitDi[[#This Row],[Colonne32]]),FALSE),""),"[hh]:mm"))</f>
        <v>#VALUE!</v>
      </c>
      <c r="BP329" s="172" t="e">
        <f>VLOOKUP(T_BilanSocial[[#This Row],[NumL]],T_TraitDi[#Data],COLUMN(T_TraitDi[NbJTot]),FALSE)</f>
        <v>#N/A</v>
      </c>
      <c r="BQ329" s="174" t="str">
        <f>IFERROR(VLOOKUP(T_BilanSocial[[#This Row],[NumL]],T_TraitDi[#Data],COLUMN(T_TraitDi[[#This Row],[NbJTW]]),FALSE),"")</f>
        <v/>
      </c>
      <c r="BR329" s="174" t="e">
        <f>IF(VLOOKUP(T_BilanSocial[[#This Row],[NumL]],T_TraitDi[#Data],COLUMN(T_TraitDi[[#This Row],[NbhTW]]),FALSE)=0,"",TEXT(IFERROR(VLOOKUP(T_BilanSocial[[#This Row],[NumL]],T_TraitDi[#Data],COLUMN(T_TraitDi[[#This Row],[NbhTW]]),FALSE),""),"[hh]:mm"))</f>
        <v>#VALUE!</v>
      </c>
      <c r="BS329" s="174" t="e">
        <f>IF(VLOOKUP(T_BilanSocial[[#This Row],[NumL]],T_TraitDi[#Data],COLUMN(T_TraitDi[[#This Row],[Nbhheb]]),FALSE)=0,"",TEXT(IFERROR(VLOOKUP($A329,T_TraitDi[#Data],COLUMN(T_TraitDi[[#This Row],[Nbhheb]]),FALSE),""),"[hh]:mm"))</f>
        <v>#VALUE!</v>
      </c>
      <c r="BT329" s="182" t="str">
        <f>IFERROR(VLOOKUP(VLOOKUP($A329,T_TraitDi[#Data],COLUMN(T_TraitDi[[#This Row],[Type1]]),FALSE),TypeTW,2,FALSE),"")</f>
        <v/>
      </c>
      <c r="BU329" s="182" t="str">
        <f>IFERROR(VLOOKUP($A329,T_TraitDi[#Data],COLUMN(T_TraitDi[[#This Row],[Rue1]]),FALSE),"")</f>
        <v/>
      </c>
      <c r="BV329" s="173" t="str">
        <f>IFERROR(VLOOKUP($A329,T_TraitDi[#Data],COLUMN(T_TraitDi[[#This Row],[CP1]]),FALSE),"")</f>
        <v/>
      </c>
      <c r="BW329" s="173" t="str">
        <f>IFERROR(VLOOKUP($A329,T_TraitDi[#Data],COLUMN(T_TraitDi[[#This Row],[VILLE1]]),FALSE),"")</f>
        <v/>
      </c>
      <c r="BX329" s="182" t="str">
        <f>IFERROR(VLOOKUP(VLOOKUP($A329,T_TraitDi[#Data],COLUMN(T_TraitDi[[#This Row],[Type2]]),FALSE),TypeTW,2,FALSE),"")</f>
        <v/>
      </c>
      <c r="BY329" s="182" t="str">
        <f>IFERROR(VLOOKUP($A329,T_TraitDi[#Data],COLUMN(T_TraitDi[[#This Row],[Rue2]]),FALSE),"")</f>
        <v/>
      </c>
      <c r="BZ329" s="173" t="str">
        <f>IFERROR(VLOOKUP($A329,T_TraitDi[#Data],COLUMN(T_TraitDi[[#This Row],[CP2]]),FALSE),"")</f>
        <v/>
      </c>
      <c r="CA329" s="173" t="str">
        <f>IFERROR(VLOOKUP($A329,T_TraitDi[#Data],COLUMN(T_TraitDi[[#This Row],[VILLE2]]),FALSE),"")</f>
        <v/>
      </c>
      <c r="CB329" s="182" t="e">
        <f>IF(VLOOKUP(T_BilanSocial[[#This Row],[NumL]],T_Equipement[#Data],COLUMN(T_Equipement[[#This Row],[PC]]),FALSE)="","Aucun équipement spécifique directement lié au télétravail",VLOOKUP(T_BilanSocial[[#This Row],[NumL]],T_Equipement[#Data],COLUMN(T_Equipement[[#This Row],[PC]]),FALSE))</f>
        <v>#VALUE!</v>
      </c>
      <c r="CC329" s="166" t="str">
        <f>IFERROR(IF(VLOOKUP(T_BilanSocial[[#This Row],[NumL]],T_TraitDi[#Data],COLUMN(T_TraitDi[[#This Row],[Plan]]),FALSE)="OK","Un planning spécifique de télétravail est annexé à la présente convention.",""),"")</f>
        <v/>
      </c>
      <c r="CD329" s="301"/>
      <c r="CE329" s="164" t="e">
        <f>IF(VLOOKUP(T_BilanSocial[[#This Row],[NumL]],T_suiviDi[#Data],COLUMN(T_suiviDi[[#This Row],[Entité]]),FALSE)="","",VLOOKUP(T_BilanSocial[[#This Row],[NumL]],T_suiviDi[#Data],COLUMN(T_suiviDi[[#This Row],[Entité]]),FALSE))</f>
        <v>#VALUE!</v>
      </c>
      <c r="CF329" s="164" t="e">
        <f>IF(VLOOKUP(T_BilanSocial[[#This Row],[NumL]],T_Commission[#Data],COLUMN(T_Commission[[#This Row],[envoi confirm TW]]),FALSE)="","",VLOOKUP(T_BilanSocial[[#This Row],[NumL]],T_Commission[#Data],COLUMN(T_Commission[[#This Row],[envoi confirm TW]]),FALSE))</f>
        <v>#VALUE!</v>
      </c>
      <c r="CG32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29" s="339" t="str">
        <f>T_BilanSocial[[#This Row],[Nom]]&amp;T_BilanSocial[[#This Row],[Prenom]]</f>
        <v/>
      </c>
      <c r="CI329" s="339">
        <f>VLOOKUP(T_BilanSocial[[#This Row],[NumL]],T_Commission[#Data],COLUMN(T_Commission[Commentaire]),FALSE)</f>
        <v>0</v>
      </c>
      <c r="CJ329" s="339" t="str">
        <f>IF(VLOOKUP(T_BilanSocial[[#This Row],[NumL]],T_Commission[#Data],COLUMN(T_Commission[Encadrant Email]),FALSE)="","",VLOOKUP(T_BilanSocial[[#This Row],[NumL]],T_Commission[#Data],COLUMN(T_Commission[Encadrant Email]),FALSE))</f>
        <v/>
      </c>
      <c r="CK329" s="332" t="str">
        <f>IF(T_BilanSocial[[#This Row],[Final]]&lt;&gt;"",VLOOKUP(T_BilanSocial[[#This Row],[NumL]],T_suiviDi[#Data],COLUMN((T_suiviDi[Statut])),FALSE),"")</f>
        <v/>
      </c>
    </row>
    <row r="330" spans="1:89" s="50" customFormat="1" ht="21" customHeight="1" x14ac:dyDescent="0.25">
      <c r="A330" s="136">
        <v>327</v>
      </c>
      <c r="B330" s="330" t="e">
        <f t="shared" si="71"/>
        <v>#N/A</v>
      </c>
      <c r="C330" s="309"/>
      <c r="D330" s="95" t="e">
        <f>IF(VLOOKUP(T_BilanSocial[[#This Row],[NumL]],T_TraitDi[#Data],COLUMN(T_TraitDi[[#This Row],[WebC]]),FALSE)="","",VLOOKUP(T_BilanSocial[[#This Row],[NumL]],T_TraitDi[#Data],COLUMN(T_TraitDi[[#This Row],[WebC]]),FALSE))</f>
        <v>#VALUE!</v>
      </c>
      <c r="E330" s="95" t="str">
        <f t="shared" si="72"/>
        <v>12 janvier 2021</v>
      </c>
      <c r="F330" s="96" t="e">
        <f>IF(T_BilanSocial[[#This Row],[Final]]&lt;&gt;"",VLOOKUP(T_BilanSocial[[#This Row],[NumL]],T_suiviDi[#Data],COLUMN((T_suiviDi[Civ.])),FALSE),"")</f>
        <v>#N/A</v>
      </c>
      <c r="G330" s="96" t="e">
        <f>IF(T_BilanSocial[[#This Row],[Final]]&lt;&gt;"",VLOOKUP(T_BilanSocial[[#This Row],[NumL]],T_suiviDi[#Data],COLUMN((T_suiviDi[Nom])),FALSE),"")</f>
        <v>#N/A</v>
      </c>
      <c r="H330" s="96" t="e">
        <f>IF(T_BilanSocial[[#This Row],[Final]]&lt;&gt;"",VLOOKUP(T_BilanSocial[[#This Row],[NumL]],T_suiviDi[#Data],COLUMN((T_suiviDi[Prénom])),FALSE),"")</f>
        <v>#N/A</v>
      </c>
      <c r="I330" s="331" t="str">
        <f>IFERROR(VLOOKUP(T_BilanSocial[[#This Row],[Zone_Bilan]],T_P_BilanSocial[#Data],COLUMN(T_P_BilanSocial[[#This Row],[Numero_SIHAM]]),FALSE),"")</f>
        <v/>
      </c>
      <c r="J330" s="331" t="str">
        <f>IFERROR(VLOOKUP(T_BilanSocial[[#This Row],[Zone_Bilan]],T_P_BilanSocial[#Data],COLUMN(T_P_BilanSocial[[#This Row],[Sexe]]),FALSE),"")</f>
        <v/>
      </c>
      <c r="K330" s="294" t="str">
        <f>IFERROR(VLOOKUP(T_BilanSocial[[#This Row],[Zone_Bilan]],T_P_BilanSocial[#Data],COLUMN(T_P_BilanSocial[[#This Row],[Categorie]]),FALSE),"")</f>
        <v/>
      </c>
      <c r="L330" s="331" t="str">
        <f>IFERROR(VLOOKUP(T_BilanSocial[[#This Row],[Zone_Bilan]],T_P_BilanSocial[#Data],COLUMN(T_P_BilanSocial[[#This Row],[Statut]]),FALSE),"")</f>
        <v/>
      </c>
      <c r="M330" s="331" t="str">
        <f>IFERROR(VLOOKUP(T_BilanSocial[[#This Row],[Zone_Bilan]],T_P_BilanSocial[#Data],COLUMN(T_P_BilanSocial[[#This Row],[Filiere]]),FALSE),"")</f>
        <v/>
      </c>
      <c r="N330" s="331" t="e">
        <f>VLOOKUP(T_BilanSocial[[#This Row],[NumL]],T_TraitDi[#Data],COLUMN(T_TraitDi[EXP]),FALSE)</f>
        <v>#N/A</v>
      </c>
      <c r="O330" s="331" t="e">
        <f>VLOOKUP(T_BilanSocial[[#This Row],[NumL]],T_TraitDi[#Data],COLUMN(T_TraitDi[FORM]),FALSE)</f>
        <v>#N/A</v>
      </c>
      <c r="P330" s="96" t="e">
        <f>IF(T_BilanSocial[[#This Row],[Final]]&lt;&gt;"",VLOOKUP(T_BilanSocial[[#This Row],[NumL]],T_suiviDi[#Data],COLUMN((T_suiviDi[Email])),FALSE),"")</f>
        <v>#N/A</v>
      </c>
      <c r="Q330" s="96" t="e">
        <f t="shared" si="73"/>
        <v>#N/A</v>
      </c>
      <c r="R330" s="96" t="e">
        <f t="shared" si="74"/>
        <v>#N/A</v>
      </c>
      <c r="S330" s="96" t="str">
        <f t="shared" si="70"/>
        <v/>
      </c>
      <c r="T330" s="96" t="str">
        <f t="shared" si="75"/>
        <v>01 septembre 2021</v>
      </c>
      <c r="U330" s="96" t="str">
        <f t="shared" si="76"/>
        <v>30 novembre 2021</v>
      </c>
      <c r="V330" s="97">
        <f t="shared" si="77"/>
        <v>44530</v>
      </c>
      <c r="W330" s="176" t="e">
        <f>IF(VLOOKUP(T_BilanSocial[[#This Row],[NumL]],T_TraitDi[#Data],COLUMN(T_TraitDi[[#This Row],[M1]]),FALSE)="","",VLOOKUP(T_BilanSocial[[#This Row],[NumL]],T_TraitDi[#Data],COLUMN(T_TraitDi[[#This Row],[M1]]),FALSE))</f>
        <v>#VALUE!</v>
      </c>
      <c r="X330" s="96" t="str">
        <f t="shared" si="68"/>
        <v/>
      </c>
      <c r="Y330" s="96" t="str">
        <f t="shared" si="68"/>
        <v/>
      </c>
      <c r="Z330" s="96" t="str">
        <f t="shared" si="78"/>
        <v/>
      </c>
      <c r="AA330" s="176" t="e">
        <f>IF(VLOOKUP(T_BilanSocial[[#This Row],[NumL]],T_TraitDi[#Data],COLUMN(T_TraitDi[[#This Row],[M5]]),FALSE)="","",VLOOKUP(T_BilanSocial[[#This Row],[NumL]],T_TraitDi[#Data],COLUMN(T_TraitDi[[#This Row],[M5]]),FALSE))</f>
        <v>#VALUE!</v>
      </c>
      <c r="AB330" s="176" t="e">
        <f>IF(VLOOKUP(T_BilanSocial[[#This Row],[NumL]],T_TraitDi[#Data],COLUMN(T_TraitDi[[#This Row],[M6]]),FALSE)="","",VLOOKUP(T_BilanSocial[[#This Row],[NumL]],T_TraitDi[#Data],COLUMN(T_TraitDi[[#This Row],[M6]]),FALSE))</f>
        <v>#VALUE!</v>
      </c>
      <c r="AC330" s="96" t="e">
        <f t="shared" si="80"/>
        <v>#VALUE!</v>
      </c>
      <c r="AD330" s="97" t="str">
        <f t="shared" si="79"/>
        <v/>
      </c>
      <c r="AE330" s="294" t="e">
        <f>VLOOKUP(T_BilanSocial[[#This Row],[NumL]],T_TraitDi[#Data],COLUMN(T_TraitDi[[#This Row],[Reg Ponct]]),FALSE)</f>
        <v>#VALUE!</v>
      </c>
      <c r="AF330" s="294" t="e">
        <f>VLOOKUP(T_BilanSocial[NumL],T_TraitDi[#Data],COLUMN(T_TraitDi[[#This Row],[Jours flottants]]),FALSE)</f>
        <v>#VALUE!</v>
      </c>
      <c r="AG330" s="97" t="str">
        <f>IFERROR(VLOOKUP(T_BilanSocial[[#This Row],[NumL]],T_TraitDi[#Data],COLUMN(T_TraitDi[[#This Row],[Lundi]]),FALSE),"")</f>
        <v/>
      </c>
      <c r="AH330" s="172" t="e">
        <f>IF(VLOOKUP(T_BilanSocial[[#This Row],[NumL]],T_TraitDi[#Data],COLUMN(T_TraitDi[[#This Row],[Colonne3]]),FALSE)=0,"",TEXT(IFERROR(VLOOKUP(T_BilanSocial[[#This Row],[NumL]],T_TraitDi[#Data],COLUMN(T_TraitDi[[#This Row],[Colonne3]]),FALSE),""),"[hh]:mm"))</f>
        <v>#VALUE!</v>
      </c>
      <c r="AI330" s="172" t="e">
        <f>IF(VLOOKUP(T_BilanSocial[[#This Row],[NumL]],T_TraitDi[#Data],COLUMN(T_TraitDi[[#This Row],[Colonne4]]),FALSE)=0,"",TEXT(IFERROR(VLOOKUP(T_BilanSocial[[#This Row],[NumL]],T_TraitDi[#Data],COLUMN(T_TraitDi[[#This Row],[Colonne4]]),FALSE),""),"[hh]:mm"))</f>
        <v>#VALUE!</v>
      </c>
      <c r="AJ330" s="172" t="e">
        <f>IF(VLOOKUP(T_BilanSocial[[#This Row],[NumL]],T_TraitDi[#Data],COLUMN(T_TraitDi[[#This Row],[Colonne5]]),FALSE)=0,"",TEXT(IFERROR(VLOOKUP(T_BilanSocial[[#This Row],[NumL]],T_TraitDi[#Data],COLUMN(T_TraitDi[[#This Row],[Colonne5]]),FALSE),""),"[hh]:mm"))</f>
        <v>#VALUE!</v>
      </c>
      <c r="AK330" s="172" t="e">
        <f>IF(VLOOKUP(T_BilanSocial[[#This Row],[NumL]],T_TraitDi[#Data],COLUMN(T_TraitDi[[#This Row],[Colonne6]]),FALSE)=0,"",TEXT(IFERROR(VLOOKUP(T_BilanSocial[[#This Row],[NumL]],T_TraitDi[#Data],COLUMN(T_TraitDi[[#This Row],[Colonne6]]),FALSE),""),"[hh]:mm"))</f>
        <v>#VALUE!</v>
      </c>
      <c r="AL330" s="172" t="e">
        <f>IF(VLOOKUP(T_BilanSocial[[#This Row],[NumL]],T_TraitDi[#Data],COLUMN(T_TraitDi[[#This Row],[Colonne7]]),FALSE)=0,"",TEXT(IFERROR(VLOOKUP(T_BilanSocial[[#This Row],[NumL]],T_TraitDi[#Data],COLUMN(T_TraitDi[[#This Row],[Colonne7]]),FALSE),""),"[hh]:mm"))</f>
        <v>#VALUE!</v>
      </c>
      <c r="AM330" s="172" t="e">
        <f>IF(VLOOKUP(T_BilanSocial[[#This Row],[NumL]],T_TraitDi[#Data],COLUMN(T_TraitDi[[#This Row],[Colonne8]]),FALSE)=0,"",TEXT(IFERROR(VLOOKUP(T_BilanSocial[[#This Row],[NumL]],T_TraitDi[#Data],COLUMN(T_TraitDi[[#This Row],[Colonne8]]),FALSE),""),"[hh]:mm"))</f>
        <v>#VALUE!</v>
      </c>
      <c r="AN330" s="172" t="str">
        <f>IFERROR(VLOOKUP(T_BilanSocial[[#This Row],[NumL]],T_TraitDi[#Data],COLUMN(T_TraitDi[[#This Row],[Mardi]]),FALSE),"")</f>
        <v/>
      </c>
      <c r="AO330" s="172" t="e">
        <f>IF(VLOOKUP(T_BilanSocial[[#This Row],[NumL]],T_TraitDi[#Data],COLUMN(T_TraitDi[[#This Row],[Colonne1]]),FALSE)=0,"",TEXT(IFERROR(VLOOKUP(T_BilanSocial[[#This Row],[NumL]],T_TraitDi[#Data],COLUMN(T_TraitDi[[#This Row],[Colonne1]]),FALSE),""),"[hh]:mm"))</f>
        <v>#VALUE!</v>
      </c>
      <c r="AP330" s="172" t="e">
        <f>IF(VLOOKUP(T_BilanSocial[[#This Row],[NumL]],T_TraitDi[#Data],COLUMN(T_TraitDi[[#This Row],[Colonne9]]),FALSE)=0,"",TEXT(IFERROR(VLOOKUP(T_BilanSocial[[#This Row],[NumL]],T_TraitDi[#Data],COLUMN(T_TraitDi[[#This Row],[Colonne9]]),FALSE),""),"[hh]:mm"))</f>
        <v>#VALUE!</v>
      </c>
      <c r="AQ330" s="172" t="str">
        <f>IFERROR(VLOOKUP(T_BilanSocial[[#This Row],[NumL]],T_TraitDi[#Data],COLUMN(T_TraitDi[[#This Row],[Colonne10]]),FALSE),"")</f>
        <v/>
      </c>
      <c r="AR330" s="172" t="e">
        <f>IF(VLOOKUP(T_BilanSocial[[#This Row],[NumL]],T_TraitDi[#Data],COLUMN(T_TraitDi[[#This Row],[Colonne11]]),FALSE)=0,"",TEXT(IFERROR(VLOOKUP(T_BilanSocial[[#This Row],[NumL]],T_TraitDi[#Data],COLUMN(T_TraitDi[[#This Row],[Colonne11]]),FALSE),""),"[hh]:mm"))</f>
        <v>#VALUE!</v>
      </c>
      <c r="AS330" s="172" t="e">
        <f>IF(VLOOKUP(T_BilanSocial[[#This Row],[NumL]],T_TraitDi[#Data],COLUMN(T_TraitDi[[#This Row],[Colonne12]]),FALSE)=0,"",TEXT(IFERROR(VLOOKUP(T_BilanSocial[[#This Row],[NumL]],T_TraitDi[#Data],COLUMN(T_TraitDi[[#This Row],[Colonne12]]),FALSE),""),"[hh]:mm"))</f>
        <v>#VALUE!</v>
      </c>
      <c r="AT330" s="172" t="e">
        <f>IF(VLOOKUP(T_BilanSocial[[#This Row],[NumL]],T_TraitDi[#Data],COLUMN(T_TraitDi[[#This Row],[Colonne14]]),FALSE)=0,"",TEXT(IFERROR(VLOOKUP(T_BilanSocial[[#This Row],[NumL]],T_TraitDi[#Data],COLUMN(T_TraitDi[[#This Row],[Colonne14]]),FALSE),""),"[hh]:mm"))</f>
        <v>#VALUE!</v>
      </c>
      <c r="AU330" s="172" t="str">
        <f>IFERROR(VLOOKUP(T_BilanSocial[[#This Row],[NumL]],T_TraitDi[#Data],COLUMN(T_TraitDi[[#This Row],[Mercredi]]),FALSE),"")</f>
        <v/>
      </c>
      <c r="AV330" s="172" t="e">
        <f>IF(VLOOKUP(T_BilanSocial[[#This Row],[NumL]],T_TraitDi[#Data],COLUMN(T_TraitDi[[#This Row],[Colonne15]]),FALSE)=0,"",TEXT(IFERROR(VLOOKUP(T_BilanSocial[[#This Row],[NumL]],T_TraitDi[#Data],COLUMN(T_TraitDi[[#This Row],[Colonne15]]),FALSE),""),"[hh]:mm"))</f>
        <v>#VALUE!</v>
      </c>
      <c r="AW330" s="172" t="e">
        <f>IF(VLOOKUP(T_BilanSocial[[#This Row],[NumL]],T_TraitDi[#Data],COLUMN(T_TraitDi[[#This Row],[Colonne16]]),FALSE)=0,"",TEXT(IFERROR(VLOOKUP(T_BilanSocial[[#This Row],[NumL]],T_TraitDi[#Data],COLUMN(T_TraitDi[[#This Row],[Colonne16]]),FALSE),""),"[hh]:mm"))</f>
        <v>#VALUE!</v>
      </c>
      <c r="AX330" s="172" t="str">
        <f>IFERROR(VLOOKUP(T_BilanSocial[[#This Row],[NumL]],T_TraitDi[#Data],COLUMN(T_TraitDi[[#This Row],[Colonne17]]),FALSE),"")</f>
        <v/>
      </c>
      <c r="AY330" s="172" t="e">
        <f>IF(VLOOKUP(T_BilanSocial[[#This Row],[NumL]],T_TraitDi[#Data],COLUMN(T_TraitDi[[#This Row],[Colonne18]]),FALSE)=0,"",TEXT(IFERROR(VLOOKUP(T_BilanSocial[[#This Row],[NumL]],T_TraitDi[#Data],COLUMN(T_TraitDi[[#This Row],[Colonne18]]),FALSE),""),"[hh]:mm"))</f>
        <v>#VALUE!</v>
      </c>
      <c r="AZ330" s="172" t="e">
        <f>IF(VLOOKUP(T_BilanSocial[[#This Row],[NumL]],T_TraitDi[#Data],COLUMN(T_TraitDi[[#This Row],[Colonne19]]),FALSE)=0,"",TEXT(IFERROR(VLOOKUP(T_BilanSocial[[#This Row],[NumL]],T_TraitDi[#Data],COLUMN(T_TraitDi[[#This Row],[Colonne19]]),FALSE),""),"[hh]:mm"))</f>
        <v>#VALUE!</v>
      </c>
      <c r="BA330" s="172" t="e">
        <f>IF(VLOOKUP(T_BilanSocial[[#This Row],[NumL]],T_TraitDi[#Data],COLUMN(T_TraitDi[[#This Row],[Colonne20]]),FALSE)=0,"",TEXT(IFERROR(VLOOKUP(T_BilanSocial[[#This Row],[NumL]],T_TraitDi[#Data],COLUMN(T_TraitDi[[#This Row],[Colonne20]]),FALSE),""),"[hh]:mm"))</f>
        <v>#VALUE!</v>
      </c>
      <c r="BB330" s="178" t="str">
        <f>IFERROR(VLOOKUP(T_BilanSocial[[#This Row],[NumL]],T_TraitDi[#Data],COLUMN(T_TraitDi[[#This Row],[Jeudi]]),FALSE),"")</f>
        <v/>
      </c>
      <c r="BC330" s="178" t="e">
        <f>IF(VLOOKUP(T_BilanSocial[[#This Row],[NumL]],T_TraitDi[#Data],COLUMN(T_TraitDi[[#This Row],[Colonne21]]),FALSE)=0,"",TEXT(IFERROR(VLOOKUP(T_BilanSocial[[#This Row],[NumL]],T_TraitDi[#Data],COLUMN(T_TraitDi[[#This Row],[Colonne21]]),FALSE),""),"[hh]:mm"))</f>
        <v>#VALUE!</v>
      </c>
      <c r="BD330" s="178" t="e">
        <f>IF(VLOOKUP(T_BilanSocial[[#This Row],[NumL]],T_TraitDi[#Data],COLUMN(T_TraitDi[[#This Row],[Colonne22]]),FALSE)=0,"",TEXT(IFERROR(VLOOKUP(T_BilanSocial[[#This Row],[NumL]],T_TraitDi[#Data],COLUMN(T_TraitDi[[#This Row],[Colonne22]]),FALSE),""),"[hh]:mm"))</f>
        <v>#VALUE!</v>
      </c>
      <c r="BE330" s="178" t="str">
        <f>IFERROR(VLOOKUP(T_BilanSocial[[#This Row],[NumL]],T_TraitDi[#Data],COLUMN(T_TraitDi[[#This Row],[Colonne23]]),FALSE),"")</f>
        <v/>
      </c>
      <c r="BF330" s="178" t="e">
        <f>IF(VLOOKUP(T_BilanSocial[[#This Row],[NumL]],T_TraitDi[#Data],COLUMN(T_TraitDi[[#This Row],[Colonne24]]),FALSE)=0,"",TEXT(IFERROR(VLOOKUP(T_BilanSocial[[#This Row],[NumL]],T_TraitDi[#Data],COLUMN(T_TraitDi[[#This Row],[Colonne24]]),FALSE),""),"[hh]:mm"))</f>
        <v>#VALUE!</v>
      </c>
      <c r="BG330" s="178" t="e">
        <f>IF(VLOOKUP(T_BilanSocial[[#This Row],[NumL]],T_TraitDi[#Data],COLUMN(T_TraitDi[[#This Row],[Colonne25]]),FALSE)=0,"",TEXT(IFERROR(VLOOKUP(T_BilanSocial[[#This Row],[NumL]],T_TraitDi[#Data],COLUMN(T_TraitDi[[#This Row],[Colonne25]]),FALSE),""),"[hh]:mm"))</f>
        <v>#VALUE!</v>
      </c>
      <c r="BH330" s="178" t="e">
        <f>IF(VLOOKUP(T_BilanSocial[[#This Row],[NumL]],T_TraitDi[#Data],COLUMN(T_TraitDi[[#This Row],[Colonne26]]),FALSE)=0,"",TEXT(IFERROR(VLOOKUP(T_BilanSocial[[#This Row],[NumL]],T_TraitDi[#Data],COLUMN(T_TraitDi[[#This Row],[Colonne26]]),FALSE),""),"[hh]:mm"))</f>
        <v>#VALUE!</v>
      </c>
      <c r="BI330" s="172" t="str">
        <f>IFERROR(VLOOKUP(T_BilanSocial[[#This Row],[NumL]],T_TraitDi[#Data],COLUMN(T_TraitDi[[#This Row],[Vendredi]]),FALSE),"")</f>
        <v/>
      </c>
      <c r="BJ330" s="172" t="e">
        <f>IF(VLOOKUP(T_BilanSocial[[#This Row],[NumL]],T_TraitDi[#Data],COLUMN(T_TraitDi[[#This Row],[Colonne27]]),FALSE)=0,"",TEXT(IFERROR(VLOOKUP(T_BilanSocial[[#This Row],[NumL]],T_TraitDi[#Data],COLUMN(T_TraitDi[[#This Row],[Colonne27]]),FALSE),""),"[hh]:mm"))</f>
        <v>#VALUE!</v>
      </c>
      <c r="BK330" s="172" t="e">
        <f>IF(VLOOKUP(T_BilanSocial[[#This Row],[NumL]],T_TraitDi[#Data],COLUMN(T_TraitDi[[#This Row],[Colonne28]]),FALSE)=0,"",TEXT(IFERROR(VLOOKUP(T_BilanSocial[[#This Row],[NumL]],T_TraitDi[#Data],COLUMN(T_TraitDi[[#This Row],[Colonne28]]),FALSE),""),"[hh]:mm"))</f>
        <v>#VALUE!</v>
      </c>
      <c r="BL330" s="172" t="str">
        <f>IFERROR(VLOOKUP(T_BilanSocial[[#This Row],[NumL]],T_TraitDi[#Data],COLUMN(T_TraitDi[[#This Row],[Colonne29]]),FALSE),"")</f>
        <v/>
      </c>
      <c r="BM330" s="172" t="e">
        <f>IF(VLOOKUP(T_BilanSocial[[#This Row],[NumL]],T_TraitDi[#Data],COLUMN(T_TraitDi[[#This Row],[Colonne30]]),FALSE)=0,"",TEXT(IFERROR(VLOOKUP(T_BilanSocial[[#This Row],[NumL]],T_TraitDi[#Data],COLUMN(T_TraitDi[[#This Row],[Colonne30]]),FALSE),""),"[hh]:mm"))</f>
        <v>#VALUE!</v>
      </c>
      <c r="BN330" s="172" t="e">
        <f>IF(VLOOKUP(T_BilanSocial[[#This Row],[NumL]],T_TraitDi[#Data],COLUMN(T_TraitDi[[#This Row],[Colonne31]]),FALSE)=0,"",TEXT(IFERROR(VLOOKUP(T_BilanSocial[[#This Row],[NumL]],T_TraitDi[#Data],COLUMN(T_TraitDi[[#This Row],[Colonne31]]),FALSE),""),"[hh]:mm"))</f>
        <v>#VALUE!</v>
      </c>
      <c r="BO330" s="172" t="e">
        <f>IF(VLOOKUP(T_BilanSocial[[#This Row],[NumL]],T_TraitDi[#Data],COLUMN(T_TraitDi[[#This Row],[Colonne32]]),FALSE)=0,"",TEXT(IFERROR(VLOOKUP(T_BilanSocial[[#This Row],[NumL]],T_TraitDi[#Data],COLUMN(T_TraitDi[[#This Row],[Colonne32]]),FALSE),""),"[hh]:mm"))</f>
        <v>#VALUE!</v>
      </c>
      <c r="BP330" s="172" t="e">
        <f>VLOOKUP(T_BilanSocial[[#This Row],[NumL]],T_TraitDi[#Data],COLUMN(T_TraitDi[NbJTot]),FALSE)</f>
        <v>#N/A</v>
      </c>
      <c r="BQ330" s="174" t="str">
        <f>IFERROR(VLOOKUP(T_BilanSocial[[#This Row],[NumL]],T_TraitDi[#Data],COLUMN(T_TraitDi[[#This Row],[NbJTW]]),FALSE),"")</f>
        <v/>
      </c>
      <c r="BR330" s="174" t="e">
        <f>IF(VLOOKUP(T_BilanSocial[[#This Row],[NumL]],T_TraitDi[#Data],COLUMN(T_TraitDi[[#This Row],[NbhTW]]),FALSE)=0,"",TEXT(IFERROR(VLOOKUP(T_BilanSocial[[#This Row],[NumL]],T_TraitDi[#Data],COLUMN(T_TraitDi[[#This Row],[NbhTW]]),FALSE),""),"[hh]:mm"))</f>
        <v>#VALUE!</v>
      </c>
      <c r="BS330" s="174" t="e">
        <f>IF(VLOOKUP(T_BilanSocial[[#This Row],[NumL]],T_TraitDi[#Data],COLUMN(T_TraitDi[[#This Row],[Nbhheb]]),FALSE)=0,"",TEXT(IFERROR(VLOOKUP($A330,T_TraitDi[#Data],COLUMN(T_TraitDi[[#This Row],[Nbhheb]]),FALSE),""),"[hh]:mm"))</f>
        <v>#VALUE!</v>
      </c>
      <c r="BT330" s="182" t="str">
        <f>IFERROR(VLOOKUP(VLOOKUP($A330,T_TraitDi[#Data],COLUMN(T_TraitDi[[#This Row],[Type1]]),FALSE),TypeTW,2,FALSE),"")</f>
        <v/>
      </c>
      <c r="BU330" s="182" t="str">
        <f>IFERROR(VLOOKUP($A330,T_TraitDi[#Data],COLUMN(T_TraitDi[[#This Row],[Rue1]]),FALSE),"")</f>
        <v/>
      </c>
      <c r="BV330" s="173" t="str">
        <f>IFERROR(VLOOKUP($A330,T_TraitDi[#Data],COLUMN(T_TraitDi[[#This Row],[CP1]]),FALSE),"")</f>
        <v/>
      </c>
      <c r="BW330" s="173" t="str">
        <f>IFERROR(VLOOKUP($A330,T_TraitDi[#Data],COLUMN(T_TraitDi[[#This Row],[VILLE1]]),FALSE),"")</f>
        <v/>
      </c>
      <c r="BX330" s="182" t="str">
        <f>IFERROR(VLOOKUP(VLOOKUP($A330,T_TraitDi[#Data],COLUMN(T_TraitDi[[#This Row],[Type2]]),FALSE),TypeTW,2,FALSE),"")</f>
        <v/>
      </c>
      <c r="BY330" s="182" t="str">
        <f>IFERROR(VLOOKUP($A330,T_TraitDi[#Data],COLUMN(T_TraitDi[[#This Row],[Rue2]]),FALSE),"")</f>
        <v/>
      </c>
      <c r="BZ330" s="173" t="str">
        <f>IFERROR(VLOOKUP($A330,T_TraitDi[#Data],COLUMN(T_TraitDi[[#This Row],[CP2]]),FALSE),"")</f>
        <v/>
      </c>
      <c r="CA330" s="173" t="str">
        <f>IFERROR(VLOOKUP($A330,T_TraitDi[#Data],COLUMN(T_TraitDi[[#This Row],[VILLE2]]),FALSE),"")</f>
        <v/>
      </c>
      <c r="CB330" s="182" t="e">
        <f>IF(VLOOKUP(T_BilanSocial[[#This Row],[NumL]],T_Equipement[#Data],COLUMN(T_Equipement[[#This Row],[PC]]),FALSE)="","Aucun équipement spécifique directement lié au télétravail",VLOOKUP(T_BilanSocial[[#This Row],[NumL]],T_Equipement[#Data],COLUMN(T_Equipement[[#This Row],[PC]]),FALSE))</f>
        <v>#VALUE!</v>
      </c>
      <c r="CC330" s="166" t="str">
        <f>IFERROR(IF(VLOOKUP(T_BilanSocial[[#This Row],[NumL]],T_TraitDi[#Data],COLUMN(T_TraitDi[[#This Row],[Plan]]),FALSE)="OK","Un planning spécifique de télétravail est annexé à la présente convention.",""),"")</f>
        <v/>
      </c>
      <c r="CD330" s="301"/>
      <c r="CE330" s="164" t="e">
        <f>IF(VLOOKUP(T_BilanSocial[[#This Row],[NumL]],T_suiviDi[#Data],COLUMN(T_suiviDi[[#This Row],[Entité]]),FALSE)="","",VLOOKUP(T_BilanSocial[[#This Row],[NumL]],T_suiviDi[#Data],COLUMN(T_suiviDi[[#This Row],[Entité]]),FALSE))</f>
        <v>#VALUE!</v>
      </c>
      <c r="CF330" s="164" t="e">
        <f>IF(VLOOKUP(T_BilanSocial[[#This Row],[NumL]],T_Commission[#Data],COLUMN(T_Commission[[#This Row],[envoi confirm TW]]),FALSE)="","",VLOOKUP(T_BilanSocial[[#This Row],[NumL]],T_Commission[#Data],COLUMN(T_Commission[[#This Row],[envoi confirm TW]]),FALSE))</f>
        <v>#VALUE!</v>
      </c>
      <c r="CG33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0" s="339" t="e">
        <f>T_BilanSocial[[#This Row],[Nom]]&amp;T_BilanSocial[[#This Row],[Prenom]]</f>
        <v>#N/A</v>
      </c>
      <c r="CI330" s="339" t="e">
        <f>VLOOKUP(T_BilanSocial[[#This Row],[NumL]],T_Commission[#Data],COLUMN(T_Commission[Commentaire]),FALSE)</f>
        <v>#N/A</v>
      </c>
      <c r="CJ330" s="339" t="e">
        <f>IF(VLOOKUP(T_BilanSocial[[#This Row],[NumL]],T_Commission[#Data],COLUMN(T_Commission[Encadrant Email]),FALSE)="","",VLOOKUP(T_BilanSocial[[#This Row],[NumL]],T_Commission[#Data],COLUMN(T_Commission[Encadrant Email]),FALSE))</f>
        <v>#N/A</v>
      </c>
      <c r="CK330" s="332" t="e">
        <f>IF(T_BilanSocial[[#This Row],[Final]]&lt;&gt;"",VLOOKUP(T_BilanSocial[[#This Row],[NumL]],T_suiviDi[#Data],COLUMN((T_suiviDi[Statut])),FALSE),"")</f>
        <v>#N/A</v>
      </c>
    </row>
    <row r="331" spans="1:89" s="50" customFormat="1" ht="21" customHeight="1" x14ac:dyDescent="0.25">
      <c r="A331" s="136">
        <v>328</v>
      </c>
      <c r="B331" s="330" t="str">
        <f t="shared" si="71"/>
        <v/>
      </c>
      <c r="C331" s="309"/>
      <c r="D331" s="95" t="e">
        <f>IF(VLOOKUP(T_BilanSocial[[#This Row],[NumL]],T_TraitDi[#Data],COLUMN(T_TraitDi[[#This Row],[WebC]]),FALSE)="","",VLOOKUP(T_BilanSocial[[#This Row],[NumL]],T_TraitDi[#Data],COLUMN(T_TraitDi[[#This Row],[WebC]]),FALSE))</f>
        <v>#VALUE!</v>
      </c>
      <c r="E331" s="95" t="str">
        <f t="shared" si="72"/>
        <v>12 janvier 2021</v>
      </c>
      <c r="F331" s="96" t="str">
        <f>IF(T_BilanSocial[[#This Row],[Final]]&lt;&gt;"",VLOOKUP(T_BilanSocial[[#This Row],[NumL]],T_suiviDi[#Data],COLUMN((T_suiviDi[Civ.])),FALSE),"")</f>
        <v/>
      </c>
      <c r="G331" s="96" t="str">
        <f>IF(T_BilanSocial[[#This Row],[Final]]&lt;&gt;"",VLOOKUP(T_BilanSocial[[#This Row],[NumL]],T_suiviDi[#Data],COLUMN((T_suiviDi[Nom])),FALSE),"")</f>
        <v/>
      </c>
      <c r="H331" s="96" t="str">
        <f>IF(T_BilanSocial[[#This Row],[Final]]&lt;&gt;"",VLOOKUP(T_BilanSocial[[#This Row],[NumL]],T_suiviDi[#Data],COLUMN((T_suiviDi[Prénom])),FALSE),"")</f>
        <v/>
      </c>
      <c r="I331" s="331" t="str">
        <f>IFERROR(VLOOKUP(T_BilanSocial[[#This Row],[Zone_Bilan]],T_P_BilanSocial[#Data],COLUMN(T_P_BilanSocial[[#This Row],[Numero_SIHAM]]),FALSE),"")</f>
        <v/>
      </c>
      <c r="J331" s="331" t="str">
        <f>IFERROR(VLOOKUP(T_BilanSocial[[#This Row],[Zone_Bilan]],T_P_BilanSocial[#Data],COLUMN(T_P_BilanSocial[[#This Row],[Sexe]]),FALSE),"")</f>
        <v/>
      </c>
      <c r="K331" s="294" t="str">
        <f>IFERROR(VLOOKUP(T_BilanSocial[[#This Row],[Zone_Bilan]],T_P_BilanSocial[#Data],COLUMN(T_P_BilanSocial[[#This Row],[Categorie]]),FALSE),"")</f>
        <v/>
      </c>
      <c r="L331" s="331" t="str">
        <f>IFERROR(VLOOKUP(T_BilanSocial[[#This Row],[Zone_Bilan]],T_P_BilanSocial[#Data],COLUMN(T_P_BilanSocial[[#This Row],[Statut]]),FALSE),"")</f>
        <v/>
      </c>
      <c r="M331" s="331" t="str">
        <f>IFERROR(VLOOKUP(T_BilanSocial[[#This Row],[Zone_Bilan]],T_P_BilanSocial[#Data],COLUMN(T_P_BilanSocial[[#This Row],[Filiere]]),FALSE),"")</f>
        <v/>
      </c>
      <c r="N331" s="331" t="e">
        <f>VLOOKUP(T_BilanSocial[[#This Row],[NumL]],T_TraitDi[#Data],COLUMN(T_TraitDi[EXP]),FALSE)</f>
        <v>#N/A</v>
      </c>
      <c r="O331" s="331" t="e">
        <f>VLOOKUP(T_BilanSocial[[#This Row],[NumL]],T_TraitDi[#Data],COLUMN(T_TraitDi[FORM]),FALSE)</f>
        <v>#N/A</v>
      </c>
      <c r="P331" s="96" t="str">
        <f>IF(T_BilanSocial[[#This Row],[Final]]&lt;&gt;"",VLOOKUP(T_BilanSocial[[#This Row],[NumL]],T_suiviDi[#Data],COLUMN((T_suiviDi[Email])),FALSE),"")</f>
        <v/>
      </c>
      <c r="Q331" s="96" t="e">
        <f t="shared" si="73"/>
        <v>#N/A</v>
      </c>
      <c r="R331" s="96" t="e">
        <f t="shared" si="74"/>
        <v>#N/A</v>
      </c>
      <c r="S331" s="96" t="str">
        <f t="shared" si="70"/>
        <v/>
      </c>
      <c r="T331" s="96" t="str">
        <f t="shared" si="75"/>
        <v>01 septembre 2021</v>
      </c>
      <c r="U331" s="96" t="str">
        <f t="shared" si="76"/>
        <v>30 novembre 2021</v>
      </c>
      <c r="V331" s="97">
        <f t="shared" si="77"/>
        <v>44530</v>
      </c>
      <c r="W331" s="176" t="e">
        <f>IF(VLOOKUP(T_BilanSocial[[#This Row],[NumL]],T_TraitDi[#Data],COLUMN(T_TraitDi[[#This Row],[M1]]),FALSE)="","",VLOOKUP(T_BilanSocial[[#This Row],[NumL]],T_TraitDi[#Data],COLUMN(T_TraitDi[[#This Row],[M1]]),FALSE))</f>
        <v>#VALUE!</v>
      </c>
      <c r="X331" s="96" t="str">
        <f t="shared" si="68"/>
        <v/>
      </c>
      <c r="Y331" s="96" t="str">
        <f t="shared" si="68"/>
        <v/>
      </c>
      <c r="Z331" s="96" t="str">
        <f t="shared" si="78"/>
        <v/>
      </c>
      <c r="AA331" s="176" t="e">
        <f>IF(VLOOKUP(T_BilanSocial[[#This Row],[NumL]],T_TraitDi[#Data],COLUMN(T_TraitDi[[#This Row],[M5]]),FALSE)="","",VLOOKUP(T_BilanSocial[[#This Row],[NumL]],T_TraitDi[#Data],COLUMN(T_TraitDi[[#This Row],[M5]]),FALSE))</f>
        <v>#VALUE!</v>
      </c>
      <c r="AB331" s="176" t="e">
        <f>IF(VLOOKUP(T_BilanSocial[[#This Row],[NumL]],T_TraitDi[#Data],COLUMN(T_TraitDi[[#This Row],[M6]]),FALSE)="","",VLOOKUP(T_BilanSocial[[#This Row],[NumL]],T_TraitDi[#Data],COLUMN(T_TraitDi[[#This Row],[M6]]),FALSE))</f>
        <v>#VALUE!</v>
      </c>
      <c r="AC331" s="96" t="e">
        <f t="shared" si="80"/>
        <v>#VALUE!</v>
      </c>
      <c r="AD331" s="97" t="str">
        <f t="shared" si="79"/>
        <v/>
      </c>
      <c r="AE331" s="294" t="e">
        <f>VLOOKUP(T_BilanSocial[[#This Row],[NumL]],T_TraitDi[#Data],COLUMN(T_TraitDi[[#This Row],[Reg Ponct]]),FALSE)</f>
        <v>#VALUE!</v>
      </c>
      <c r="AF331" s="294" t="e">
        <f>VLOOKUP(T_BilanSocial[NumL],T_TraitDi[#Data],COLUMN(T_TraitDi[[#This Row],[Jours flottants]]),FALSE)</f>
        <v>#VALUE!</v>
      </c>
      <c r="AG331" s="97" t="str">
        <f>IFERROR(VLOOKUP(T_BilanSocial[[#This Row],[NumL]],T_TraitDi[#Data],COLUMN(T_TraitDi[[#This Row],[Lundi]]),FALSE),"")</f>
        <v/>
      </c>
      <c r="AH331" s="172" t="e">
        <f>IF(VLOOKUP(T_BilanSocial[[#This Row],[NumL]],T_TraitDi[#Data],COLUMN(T_TraitDi[[#This Row],[Colonne3]]),FALSE)=0,"",TEXT(IFERROR(VLOOKUP(T_BilanSocial[[#This Row],[NumL]],T_TraitDi[#Data],COLUMN(T_TraitDi[[#This Row],[Colonne3]]),FALSE),""),"[hh]:mm"))</f>
        <v>#VALUE!</v>
      </c>
      <c r="AI331" s="172" t="e">
        <f>IF(VLOOKUP(T_BilanSocial[[#This Row],[NumL]],T_TraitDi[#Data],COLUMN(T_TraitDi[[#This Row],[Colonne4]]),FALSE)=0,"",TEXT(IFERROR(VLOOKUP(T_BilanSocial[[#This Row],[NumL]],T_TraitDi[#Data],COLUMN(T_TraitDi[[#This Row],[Colonne4]]),FALSE),""),"[hh]:mm"))</f>
        <v>#VALUE!</v>
      </c>
      <c r="AJ331" s="172" t="e">
        <f>IF(VLOOKUP(T_BilanSocial[[#This Row],[NumL]],T_TraitDi[#Data],COLUMN(T_TraitDi[[#This Row],[Colonne5]]),FALSE)=0,"",TEXT(IFERROR(VLOOKUP(T_BilanSocial[[#This Row],[NumL]],T_TraitDi[#Data],COLUMN(T_TraitDi[[#This Row],[Colonne5]]),FALSE),""),"[hh]:mm"))</f>
        <v>#VALUE!</v>
      </c>
      <c r="AK331" s="172" t="e">
        <f>IF(VLOOKUP(T_BilanSocial[[#This Row],[NumL]],T_TraitDi[#Data],COLUMN(T_TraitDi[[#This Row],[Colonne6]]),FALSE)=0,"",TEXT(IFERROR(VLOOKUP(T_BilanSocial[[#This Row],[NumL]],T_TraitDi[#Data],COLUMN(T_TraitDi[[#This Row],[Colonne6]]),FALSE),""),"[hh]:mm"))</f>
        <v>#VALUE!</v>
      </c>
      <c r="AL331" s="172" t="e">
        <f>IF(VLOOKUP(T_BilanSocial[[#This Row],[NumL]],T_TraitDi[#Data],COLUMN(T_TraitDi[[#This Row],[Colonne7]]),FALSE)=0,"",TEXT(IFERROR(VLOOKUP(T_BilanSocial[[#This Row],[NumL]],T_TraitDi[#Data],COLUMN(T_TraitDi[[#This Row],[Colonne7]]),FALSE),""),"[hh]:mm"))</f>
        <v>#VALUE!</v>
      </c>
      <c r="AM331" s="172" t="e">
        <f>IF(VLOOKUP(T_BilanSocial[[#This Row],[NumL]],T_TraitDi[#Data],COLUMN(T_TraitDi[[#This Row],[Colonne8]]),FALSE)=0,"",TEXT(IFERROR(VLOOKUP(T_BilanSocial[[#This Row],[NumL]],T_TraitDi[#Data],COLUMN(T_TraitDi[[#This Row],[Colonne8]]),FALSE),""),"[hh]:mm"))</f>
        <v>#VALUE!</v>
      </c>
      <c r="AN331" s="172" t="str">
        <f>IFERROR(VLOOKUP(T_BilanSocial[[#This Row],[NumL]],T_TraitDi[#Data],COLUMN(T_TraitDi[[#This Row],[Mardi]]),FALSE),"")</f>
        <v/>
      </c>
      <c r="AO331" s="172" t="e">
        <f>IF(VLOOKUP(T_BilanSocial[[#This Row],[NumL]],T_TraitDi[#Data],COLUMN(T_TraitDi[[#This Row],[Colonne1]]),FALSE)=0,"",TEXT(IFERROR(VLOOKUP(T_BilanSocial[[#This Row],[NumL]],T_TraitDi[#Data],COLUMN(T_TraitDi[[#This Row],[Colonne1]]),FALSE),""),"[hh]:mm"))</f>
        <v>#VALUE!</v>
      </c>
      <c r="AP331" s="172" t="e">
        <f>IF(VLOOKUP(T_BilanSocial[[#This Row],[NumL]],T_TraitDi[#Data],COLUMN(T_TraitDi[[#This Row],[Colonne9]]),FALSE)=0,"",TEXT(IFERROR(VLOOKUP(T_BilanSocial[[#This Row],[NumL]],T_TraitDi[#Data],COLUMN(T_TraitDi[[#This Row],[Colonne9]]),FALSE),""),"[hh]:mm"))</f>
        <v>#VALUE!</v>
      </c>
      <c r="AQ331" s="172" t="str">
        <f>IFERROR(VLOOKUP(T_BilanSocial[[#This Row],[NumL]],T_TraitDi[#Data],COLUMN(T_TraitDi[[#This Row],[Colonne10]]),FALSE),"")</f>
        <v/>
      </c>
      <c r="AR331" s="172" t="e">
        <f>IF(VLOOKUP(T_BilanSocial[[#This Row],[NumL]],T_TraitDi[#Data],COLUMN(T_TraitDi[[#This Row],[Colonne11]]),FALSE)=0,"",TEXT(IFERROR(VLOOKUP(T_BilanSocial[[#This Row],[NumL]],T_TraitDi[#Data],COLUMN(T_TraitDi[[#This Row],[Colonne11]]),FALSE),""),"[hh]:mm"))</f>
        <v>#VALUE!</v>
      </c>
      <c r="AS331" s="172" t="e">
        <f>IF(VLOOKUP(T_BilanSocial[[#This Row],[NumL]],T_TraitDi[#Data],COLUMN(T_TraitDi[[#This Row],[Colonne12]]),FALSE)=0,"",TEXT(IFERROR(VLOOKUP(T_BilanSocial[[#This Row],[NumL]],T_TraitDi[#Data],COLUMN(T_TraitDi[[#This Row],[Colonne12]]),FALSE),""),"[hh]:mm"))</f>
        <v>#VALUE!</v>
      </c>
      <c r="AT331" s="172" t="e">
        <f>IF(VLOOKUP(T_BilanSocial[[#This Row],[NumL]],T_TraitDi[#Data],COLUMN(T_TraitDi[[#This Row],[Colonne14]]),FALSE)=0,"",TEXT(IFERROR(VLOOKUP(T_BilanSocial[[#This Row],[NumL]],T_TraitDi[#Data],COLUMN(T_TraitDi[[#This Row],[Colonne14]]),FALSE),""),"[hh]:mm"))</f>
        <v>#VALUE!</v>
      </c>
      <c r="AU331" s="172" t="str">
        <f>IFERROR(VLOOKUP(T_BilanSocial[[#This Row],[NumL]],T_TraitDi[#Data],COLUMN(T_TraitDi[[#This Row],[Mercredi]]),FALSE),"")</f>
        <v/>
      </c>
      <c r="AV331" s="172" t="e">
        <f>IF(VLOOKUP(T_BilanSocial[[#This Row],[NumL]],T_TraitDi[#Data],COLUMN(T_TraitDi[[#This Row],[Colonne15]]),FALSE)=0,"",TEXT(IFERROR(VLOOKUP(T_BilanSocial[[#This Row],[NumL]],T_TraitDi[#Data],COLUMN(T_TraitDi[[#This Row],[Colonne15]]),FALSE),""),"[hh]:mm"))</f>
        <v>#VALUE!</v>
      </c>
      <c r="AW331" s="172" t="e">
        <f>IF(VLOOKUP(T_BilanSocial[[#This Row],[NumL]],T_TraitDi[#Data],COLUMN(T_TraitDi[[#This Row],[Colonne16]]),FALSE)=0,"",TEXT(IFERROR(VLOOKUP(T_BilanSocial[[#This Row],[NumL]],T_TraitDi[#Data],COLUMN(T_TraitDi[[#This Row],[Colonne16]]),FALSE),""),"[hh]:mm"))</f>
        <v>#VALUE!</v>
      </c>
      <c r="AX331" s="172" t="str">
        <f>IFERROR(VLOOKUP(T_BilanSocial[[#This Row],[NumL]],T_TraitDi[#Data],COLUMN(T_TraitDi[[#This Row],[Colonne17]]),FALSE),"")</f>
        <v/>
      </c>
      <c r="AY331" s="172" t="e">
        <f>IF(VLOOKUP(T_BilanSocial[[#This Row],[NumL]],T_TraitDi[#Data],COLUMN(T_TraitDi[[#This Row],[Colonne18]]),FALSE)=0,"",TEXT(IFERROR(VLOOKUP(T_BilanSocial[[#This Row],[NumL]],T_TraitDi[#Data],COLUMN(T_TraitDi[[#This Row],[Colonne18]]),FALSE),""),"[hh]:mm"))</f>
        <v>#VALUE!</v>
      </c>
      <c r="AZ331" s="172" t="e">
        <f>IF(VLOOKUP(T_BilanSocial[[#This Row],[NumL]],T_TraitDi[#Data],COLUMN(T_TraitDi[[#This Row],[Colonne19]]),FALSE)=0,"",TEXT(IFERROR(VLOOKUP(T_BilanSocial[[#This Row],[NumL]],T_TraitDi[#Data],COLUMN(T_TraitDi[[#This Row],[Colonne19]]),FALSE),""),"[hh]:mm"))</f>
        <v>#VALUE!</v>
      </c>
      <c r="BA331" s="172" t="e">
        <f>IF(VLOOKUP(T_BilanSocial[[#This Row],[NumL]],T_TraitDi[#Data],COLUMN(T_TraitDi[[#This Row],[Colonne20]]),FALSE)=0,"",TEXT(IFERROR(VLOOKUP(T_BilanSocial[[#This Row],[NumL]],T_TraitDi[#Data],COLUMN(T_TraitDi[[#This Row],[Colonne20]]),FALSE),""),"[hh]:mm"))</f>
        <v>#VALUE!</v>
      </c>
      <c r="BB331" s="178" t="str">
        <f>IFERROR(VLOOKUP(T_BilanSocial[[#This Row],[NumL]],T_TraitDi[#Data],COLUMN(T_TraitDi[[#This Row],[Jeudi]]),FALSE),"")</f>
        <v/>
      </c>
      <c r="BC331" s="178" t="e">
        <f>IF(VLOOKUP(T_BilanSocial[[#This Row],[NumL]],T_TraitDi[#Data],COLUMN(T_TraitDi[[#This Row],[Colonne21]]),FALSE)=0,"",TEXT(IFERROR(VLOOKUP(T_BilanSocial[[#This Row],[NumL]],T_TraitDi[#Data],COLUMN(T_TraitDi[[#This Row],[Colonne21]]),FALSE),""),"[hh]:mm"))</f>
        <v>#VALUE!</v>
      </c>
      <c r="BD331" s="178" t="e">
        <f>IF(VLOOKUP(T_BilanSocial[[#This Row],[NumL]],T_TraitDi[#Data],COLUMN(T_TraitDi[[#This Row],[Colonne22]]),FALSE)=0,"",TEXT(IFERROR(VLOOKUP(T_BilanSocial[[#This Row],[NumL]],T_TraitDi[#Data],COLUMN(T_TraitDi[[#This Row],[Colonne22]]),FALSE),""),"[hh]:mm"))</f>
        <v>#VALUE!</v>
      </c>
      <c r="BE331" s="178" t="str">
        <f>IFERROR(VLOOKUP(T_BilanSocial[[#This Row],[NumL]],T_TraitDi[#Data],COLUMN(T_TraitDi[[#This Row],[Colonne23]]),FALSE),"")</f>
        <v/>
      </c>
      <c r="BF331" s="178" t="e">
        <f>IF(VLOOKUP(T_BilanSocial[[#This Row],[NumL]],T_TraitDi[#Data],COLUMN(T_TraitDi[[#This Row],[Colonne24]]),FALSE)=0,"",TEXT(IFERROR(VLOOKUP(T_BilanSocial[[#This Row],[NumL]],T_TraitDi[#Data],COLUMN(T_TraitDi[[#This Row],[Colonne24]]),FALSE),""),"[hh]:mm"))</f>
        <v>#VALUE!</v>
      </c>
      <c r="BG331" s="178" t="e">
        <f>IF(VLOOKUP(T_BilanSocial[[#This Row],[NumL]],T_TraitDi[#Data],COLUMN(T_TraitDi[[#This Row],[Colonne25]]),FALSE)=0,"",TEXT(IFERROR(VLOOKUP(T_BilanSocial[[#This Row],[NumL]],T_TraitDi[#Data],COLUMN(T_TraitDi[[#This Row],[Colonne25]]),FALSE),""),"[hh]:mm"))</f>
        <v>#VALUE!</v>
      </c>
      <c r="BH331" s="178" t="e">
        <f>IF(VLOOKUP(T_BilanSocial[[#This Row],[NumL]],T_TraitDi[#Data],COLUMN(T_TraitDi[[#This Row],[Colonne26]]),FALSE)=0,"",TEXT(IFERROR(VLOOKUP(T_BilanSocial[[#This Row],[NumL]],T_TraitDi[#Data],COLUMN(T_TraitDi[[#This Row],[Colonne26]]),FALSE),""),"[hh]:mm"))</f>
        <v>#VALUE!</v>
      </c>
      <c r="BI331" s="172" t="str">
        <f>IFERROR(VLOOKUP(T_BilanSocial[[#This Row],[NumL]],T_TraitDi[#Data],COLUMN(T_TraitDi[[#This Row],[Vendredi]]),FALSE),"")</f>
        <v/>
      </c>
      <c r="BJ331" s="172" t="e">
        <f>IF(VLOOKUP(T_BilanSocial[[#This Row],[NumL]],T_TraitDi[#Data],COLUMN(T_TraitDi[[#This Row],[Colonne27]]),FALSE)=0,"",TEXT(IFERROR(VLOOKUP(T_BilanSocial[[#This Row],[NumL]],T_TraitDi[#Data],COLUMN(T_TraitDi[[#This Row],[Colonne27]]),FALSE),""),"[hh]:mm"))</f>
        <v>#VALUE!</v>
      </c>
      <c r="BK331" s="172" t="e">
        <f>IF(VLOOKUP(T_BilanSocial[[#This Row],[NumL]],T_TraitDi[#Data],COLUMN(T_TraitDi[[#This Row],[Colonne28]]),FALSE)=0,"",TEXT(IFERROR(VLOOKUP(T_BilanSocial[[#This Row],[NumL]],T_TraitDi[#Data],COLUMN(T_TraitDi[[#This Row],[Colonne28]]),FALSE),""),"[hh]:mm"))</f>
        <v>#VALUE!</v>
      </c>
      <c r="BL331" s="172" t="str">
        <f>IFERROR(VLOOKUP(T_BilanSocial[[#This Row],[NumL]],T_TraitDi[#Data],COLUMN(T_TraitDi[[#This Row],[Colonne29]]),FALSE),"")</f>
        <v/>
      </c>
      <c r="BM331" s="172" t="e">
        <f>IF(VLOOKUP(T_BilanSocial[[#This Row],[NumL]],T_TraitDi[#Data],COLUMN(T_TraitDi[[#This Row],[Colonne30]]),FALSE)=0,"",TEXT(IFERROR(VLOOKUP(T_BilanSocial[[#This Row],[NumL]],T_TraitDi[#Data],COLUMN(T_TraitDi[[#This Row],[Colonne30]]),FALSE),""),"[hh]:mm"))</f>
        <v>#VALUE!</v>
      </c>
      <c r="BN331" s="172" t="e">
        <f>IF(VLOOKUP(T_BilanSocial[[#This Row],[NumL]],T_TraitDi[#Data],COLUMN(T_TraitDi[[#This Row],[Colonne31]]),FALSE)=0,"",TEXT(IFERROR(VLOOKUP(T_BilanSocial[[#This Row],[NumL]],T_TraitDi[#Data],COLUMN(T_TraitDi[[#This Row],[Colonne31]]),FALSE),""),"[hh]:mm"))</f>
        <v>#VALUE!</v>
      </c>
      <c r="BO331" s="172" t="e">
        <f>IF(VLOOKUP(T_BilanSocial[[#This Row],[NumL]],T_TraitDi[#Data],COLUMN(T_TraitDi[[#This Row],[Colonne32]]),FALSE)=0,"",TEXT(IFERROR(VLOOKUP(T_BilanSocial[[#This Row],[NumL]],T_TraitDi[#Data],COLUMN(T_TraitDi[[#This Row],[Colonne32]]),FALSE),""),"[hh]:mm"))</f>
        <v>#VALUE!</v>
      </c>
      <c r="BP331" s="172" t="e">
        <f>VLOOKUP(T_BilanSocial[[#This Row],[NumL]],T_TraitDi[#Data],COLUMN(T_TraitDi[NbJTot]),FALSE)</f>
        <v>#N/A</v>
      </c>
      <c r="BQ331" s="174" t="str">
        <f>IFERROR(VLOOKUP(T_BilanSocial[[#This Row],[NumL]],T_TraitDi[#Data],COLUMN(T_TraitDi[[#This Row],[NbJTW]]),FALSE),"")</f>
        <v/>
      </c>
      <c r="BR331" s="174" t="e">
        <f>IF(VLOOKUP(T_BilanSocial[[#This Row],[NumL]],T_TraitDi[#Data],COLUMN(T_TraitDi[[#This Row],[NbhTW]]),FALSE)=0,"",TEXT(IFERROR(VLOOKUP(T_BilanSocial[[#This Row],[NumL]],T_TraitDi[#Data],COLUMN(T_TraitDi[[#This Row],[NbhTW]]),FALSE),""),"[hh]:mm"))</f>
        <v>#VALUE!</v>
      </c>
      <c r="BS331" s="174" t="e">
        <f>IF(VLOOKUP(T_BilanSocial[[#This Row],[NumL]],T_TraitDi[#Data],COLUMN(T_TraitDi[[#This Row],[Nbhheb]]),FALSE)=0,"",TEXT(IFERROR(VLOOKUP($A331,T_TraitDi[#Data],COLUMN(T_TraitDi[[#This Row],[Nbhheb]]),FALSE),""),"[hh]:mm"))</f>
        <v>#VALUE!</v>
      </c>
      <c r="BT331" s="182" t="str">
        <f>IFERROR(VLOOKUP(VLOOKUP($A331,T_TraitDi[#Data],COLUMN(T_TraitDi[[#This Row],[Type1]]),FALSE),TypeTW,2,FALSE),"")</f>
        <v/>
      </c>
      <c r="BU331" s="182" t="str">
        <f>IFERROR(VLOOKUP($A331,T_TraitDi[#Data],COLUMN(T_TraitDi[[#This Row],[Rue1]]),FALSE),"")</f>
        <v/>
      </c>
      <c r="BV331" s="173" t="str">
        <f>IFERROR(VLOOKUP($A331,T_TraitDi[#Data],COLUMN(T_TraitDi[[#This Row],[CP1]]),FALSE),"")</f>
        <v/>
      </c>
      <c r="BW331" s="173" t="str">
        <f>IFERROR(VLOOKUP($A331,T_TraitDi[#Data],COLUMN(T_TraitDi[[#This Row],[VILLE1]]),FALSE),"")</f>
        <v/>
      </c>
      <c r="BX331" s="182" t="str">
        <f>IFERROR(VLOOKUP(VLOOKUP($A331,T_TraitDi[#Data],COLUMN(T_TraitDi[[#This Row],[Type2]]),FALSE),TypeTW,2,FALSE),"")</f>
        <v/>
      </c>
      <c r="BY331" s="182" t="str">
        <f>IFERROR(VLOOKUP($A331,T_TraitDi[#Data],COLUMN(T_TraitDi[[#This Row],[Rue2]]),FALSE),"")</f>
        <v/>
      </c>
      <c r="BZ331" s="173" t="str">
        <f>IFERROR(VLOOKUP($A331,T_TraitDi[#Data],COLUMN(T_TraitDi[[#This Row],[CP2]]),FALSE),"")</f>
        <v/>
      </c>
      <c r="CA331" s="173" t="str">
        <f>IFERROR(VLOOKUP($A331,T_TraitDi[#Data],COLUMN(T_TraitDi[[#This Row],[VILLE2]]),FALSE),"")</f>
        <v/>
      </c>
      <c r="CB331" s="182" t="e">
        <f>IF(VLOOKUP(T_BilanSocial[[#This Row],[NumL]],T_Equipement[#Data],COLUMN(T_Equipement[[#This Row],[PC]]),FALSE)="","Aucun équipement spécifique directement lié au télétravail",VLOOKUP(T_BilanSocial[[#This Row],[NumL]],T_Equipement[#Data],COLUMN(T_Equipement[[#This Row],[PC]]),FALSE))</f>
        <v>#VALUE!</v>
      </c>
      <c r="CC331" s="166" t="str">
        <f>IFERROR(IF(VLOOKUP(T_BilanSocial[[#This Row],[NumL]],T_TraitDi[#Data],COLUMN(T_TraitDi[[#This Row],[Plan]]),FALSE)="OK","Un planning spécifique de télétravail est annexé à la présente convention.",""),"")</f>
        <v/>
      </c>
      <c r="CD331" s="301"/>
      <c r="CE331" s="164" t="e">
        <f>IF(VLOOKUP(T_BilanSocial[[#This Row],[NumL]],T_suiviDi[#Data],COLUMN(T_suiviDi[[#This Row],[Entité]]),FALSE)="","",VLOOKUP(T_BilanSocial[[#This Row],[NumL]],T_suiviDi[#Data],COLUMN(T_suiviDi[[#This Row],[Entité]]),FALSE))</f>
        <v>#VALUE!</v>
      </c>
      <c r="CF331" s="164" t="e">
        <f>IF(VLOOKUP(T_BilanSocial[[#This Row],[NumL]],T_Commission[#Data],COLUMN(T_Commission[[#This Row],[envoi confirm TW]]),FALSE)="","",VLOOKUP(T_BilanSocial[[#This Row],[NumL]],T_Commission[#Data],COLUMN(T_Commission[[#This Row],[envoi confirm TW]]),FALSE))</f>
        <v>#VALUE!</v>
      </c>
      <c r="CG33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1" s="339" t="str">
        <f>T_BilanSocial[[#This Row],[Nom]]&amp;T_BilanSocial[[#This Row],[Prenom]]</f>
        <v/>
      </c>
      <c r="CI331" s="339">
        <f>VLOOKUP(T_BilanSocial[[#This Row],[NumL]],T_Commission[#Data],COLUMN(T_Commission[Commentaire]),FALSE)</f>
        <v>0</v>
      </c>
      <c r="CJ331" s="339" t="str">
        <f>IF(VLOOKUP(T_BilanSocial[[#This Row],[NumL]],T_Commission[#Data],COLUMN(T_Commission[Encadrant Email]),FALSE)="","",VLOOKUP(T_BilanSocial[[#This Row],[NumL]],T_Commission[#Data],COLUMN(T_Commission[Encadrant Email]),FALSE))</f>
        <v/>
      </c>
      <c r="CK331" s="332" t="str">
        <f>IF(T_BilanSocial[[#This Row],[Final]]&lt;&gt;"",VLOOKUP(T_BilanSocial[[#This Row],[NumL]],T_suiviDi[#Data],COLUMN((T_suiviDi[Statut])),FALSE),"")</f>
        <v/>
      </c>
    </row>
    <row r="332" spans="1:89" s="50" customFormat="1" ht="21" customHeight="1" x14ac:dyDescent="0.25">
      <c r="A332" s="136">
        <v>329</v>
      </c>
      <c r="B332" s="330" t="str">
        <f t="shared" si="71"/>
        <v/>
      </c>
      <c r="C332" s="309"/>
      <c r="D332" s="95" t="e">
        <f>IF(VLOOKUP(T_BilanSocial[[#This Row],[NumL]],T_TraitDi[#Data],COLUMN(T_TraitDi[[#This Row],[WebC]]),FALSE)="","",VLOOKUP(T_BilanSocial[[#This Row],[NumL]],T_TraitDi[#Data],COLUMN(T_TraitDi[[#This Row],[WebC]]),FALSE))</f>
        <v>#VALUE!</v>
      </c>
      <c r="E332" s="95" t="str">
        <f t="shared" si="72"/>
        <v>12 janvier 2021</v>
      </c>
      <c r="F332" s="96" t="str">
        <f>IF(T_BilanSocial[[#This Row],[Final]]&lt;&gt;"",VLOOKUP(T_BilanSocial[[#This Row],[NumL]],T_suiviDi[#Data],COLUMN((T_suiviDi[Civ.])),FALSE),"")</f>
        <v/>
      </c>
      <c r="G332" s="96" t="str">
        <f>IF(T_BilanSocial[[#This Row],[Final]]&lt;&gt;"",VLOOKUP(T_BilanSocial[[#This Row],[NumL]],T_suiviDi[#Data],COLUMN((T_suiviDi[Nom])),FALSE),"")</f>
        <v/>
      </c>
      <c r="H332" s="96" t="str">
        <f>IF(T_BilanSocial[[#This Row],[Final]]&lt;&gt;"",VLOOKUP(T_BilanSocial[[#This Row],[NumL]],T_suiviDi[#Data],COLUMN((T_suiviDi[Prénom])),FALSE),"")</f>
        <v/>
      </c>
      <c r="I332" s="331" t="str">
        <f>IFERROR(VLOOKUP(T_BilanSocial[[#This Row],[Zone_Bilan]],T_P_BilanSocial[#Data],COLUMN(T_P_BilanSocial[[#This Row],[Numero_SIHAM]]),FALSE),"")</f>
        <v/>
      </c>
      <c r="J332" s="331" t="str">
        <f>IFERROR(VLOOKUP(T_BilanSocial[[#This Row],[Zone_Bilan]],T_P_BilanSocial[#Data],COLUMN(T_P_BilanSocial[[#This Row],[Sexe]]),FALSE),"")</f>
        <v/>
      </c>
      <c r="K332" s="294" t="str">
        <f>IFERROR(VLOOKUP(T_BilanSocial[[#This Row],[Zone_Bilan]],T_P_BilanSocial[#Data],COLUMN(T_P_BilanSocial[[#This Row],[Categorie]]),FALSE),"")</f>
        <v/>
      </c>
      <c r="L332" s="331" t="str">
        <f>IFERROR(VLOOKUP(T_BilanSocial[[#This Row],[Zone_Bilan]],T_P_BilanSocial[#Data],COLUMN(T_P_BilanSocial[[#This Row],[Statut]]),FALSE),"")</f>
        <v/>
      </c>
      <c r="M332" s="331" t="str">
        <f>IFERROR(VLOOKUP(T_BilanSocial[[#This Row],[Zone_Bilan]],T_P_BilanSocial[#Data],COLUMN(T_P_BilanSocial[[#This Row],[Filiere]]),FALSE),"")</f>
        <v/>
      </c>
      <c r="N332" s="331" t="e">
        <f>VLOOKUP(T_BilanSocial[[#This Row],[NumL]],T_TraitDi[#Data],COLUMN(T_TraitDi[EXP]),FALSE)</f>
        <v>#N/A</v>
      </c>
      <c r="O332" s="331" t="e">
        <f>VLOOKUP(T_BilanSocial[[#This Row],[NumL]],T_TraitDi[#Data],COLUMN(T_TraitDi[FORM]),FALSE)</f>
        <v>#N/A</v>
      </c>
      <c r="P332" s="96" t="str">
        <f>IF(T_BilanSocial[[#This Row],[Final]]&lt;&gt;"",VLOOKUP(T_BilanSocial[[#This Row],[NumL]],T_suiviDi[#Data],COLUMN((T_suiviDi[Email])),FALSE),"")</f>
        <v/>
      </c>
      <c r="Q332" s="96" t="e">
        <f t="shared" si="73"/>
        <v>#N/A</v>
      </c>
      <c r="R332" s="96" t="e">
        <f t="shared" si="74"/>
        <v>#N/A</v>
      </c>
      <c r="S332" s="96" t="str">
        <f t="shared" si="70"/>
        <v/>
      </c>
      <c r="T332" s="96" t="str">
        <f t="shared" si="75"/>
        <v>01 septembre 2021</v>
      </c>
      <c r="U332" s="96" t="str">
        <f t="shared" si="76"/>
        <v>30 novembre 2021</v>
      </c>
      <c r="V332" s="97">
        <f t="shared" si="77"/>
        <v>44530</v>
      </c>
      <c r="W332" s="176" t="e">
        <f>IF(VLOOKUP(T_BilanSocial[[#This Row],[NumL]],T_TraitDi[#Data],COLUMN(T_TraitDi[[#This Row],[M1]]),FALSE)="","",VLOOKUP(T_BilanSocial[[#This Row],[NumL]],T_TraitDi[#Data],COLUMN(T_TraitDi[[#This Row],[M1]]),FALSE))</f>
        <v>#VALUE!</v>
      </c>
      <c r="X332" s="96" t="str">
        <f t="shared" si="68"/>
        <v/>
      </c>
      <c r="Y332" s="96" t="str">
        <f t="shared" si="68"/>
        <v/>
      </c>
      <c r="Z332" s="96" t="str">
        <f t="shared" si="78"/>
        <v/>
      </c>
      <c r="AA332" s="176" t="e">
        <f>IF(VLOOKUP(T_BilanSocial[[#This Row],[NumL]],T_TraitDi[#Data],COLUMN(T_TraitDi[[#This Row],[M5]]),FALSE)="","",VLOOKUP(T_BilanSocial[[#This Row],[NumL]],T_TraitDi[#Data],COLUMN(T_TraitDi[[#This Row],[M5]]),FALSE))</f>
        <v>#VALUE!</v>
      </c>
      <c r="AB332" s="176" t="e">
        <f>IF(VLOOKUP(T_BilanSocial[[#This Row],[NumL]],T_TraitDi[#Data],COLUMN(T_TraitDi[[#This Row],[M6]]),FALSE)="","",VLOOKUP(T_BilanSocial[[#This Row],[NumL]],T_TraitDi[#Data],COLUMN(T_TraitDi[[#This Row],[M6]]),FALSE))</f>
        <v>#VALUE!</v>
      </c>
      <c r="AC332" s="96" t="e">
        <f t="shared" si="80"/>
        <v>#VALUE!</v>
      </c>
      <c r="AD332" s="97" t="str">
        <f t="shared" si="79"/>
        <v/>
      </c>
      <c r="AE332" s="294" t="e">
        <f>VLOOKUP(T_BilanSocial[[#This Row],[NumL]],T_TraitDi[#Data],COLUMN(T_TraitDi[[#This Row],[Reg Ponct]]),FALSE)</f>
        <v>#VALUE!</v>
      </c>
      <c r="AF332" s="294" t="e">
        <f>VLOOKUP(T_BilanSocial[NumL],T_TraitDi[#Data],COLUMN(T_TraitDi[[#This Row],[Jours flottants]]),FALSE)</f>
        <v>#VALUE!</v>
      </c>
      <c r="AG332" s="97" t="str">
        <f>IFERROR(VLOOKUP(T_BilanSocial[[#This Row],[NumL]],T_TraitDi[#Data],COLUMN(T_TraitDi[[#This Row],[Lundi]]),FALSE),"")</f>
        <v/>
      </c>
      <c r="AH332" s="172" t="e">
        <f>IF(VLOOKUP(T_BilanSocial[[#This Row],[NumL]],T_TraitDi[#Data],COLUMN(T_TraitDi[[#This Row],[Colonne3]]),FALSE)=0,"",TEXT(IFERROR(VLOOKUP(T_BilanSocial[[#This Row],[NumL]],T_TraitDi[#Data],COLUMN(T_TraitDi[[#This Row],[Colonne3]]),FALSE),""),"[hh]:mm"))</f>
        <v>#VALUE!</v>
      </c>
      <c r="AI332" s="172" t="e">
        <f>IF(VLOOKUP(T_BilanSocial[[#This Row],[NumL]],T_TraitDi[#Data],COLUMN(T_TraitDi[[#This Row],[Colonne4]]),FALSE)=0,"",TEXT(IFERROR(VLOOKUP(T_BilanSocial[[#This Row],[NumL]],T_TraitDi[#Data],COLUMN(T_TraitDi[[#This Row],[Colonne4]]),FALSE),""),"[hh]:mm"))</f>
        <v>#VALUE!</v>
      </c>
      <c r="AJ332" s="172" t="e">
        <f>IF(VLOOKUP(T_BilanSocial[[#This Row],[NumL]],T_TraitDi[#Data],COLUMN(T_TraitDi[[#This Row],[Colonne5]]),FALSE)=0,"",TEXT(IFERROR(VLOOKUP(T_BilanSocial[[#This Row],[NumL]],T_TraitDi[#Data],COLUMN(T_TraitDi[[#This Row],[Colonne5]]),FALSE),""),"[hh]:mm"))</f>
        <v>#VALUE!</v>
      </c>
      <c r="AK332" s="172" t="e">
        <f>IF(VLOOKUP(T_BilanSocial[[#This Row],[NumL]],T_TraitDi[#Data],COLUMN(T_TraitDi[[#This Row],[Colonne6]]),FALSE)=0,"",TEXT(IFERROR(VLOOKUP(T_BilanSocial[[#This Row],[NumL]],T_TraitDi[#Data],COLUMN(T_TraitDi[[#This Row],[Colonne6]]),FALSE),""),"[hh]:mm"))</f>
        <v>#VALUE!</v>
      </c>
      <c r="AL332" s="172" t="e">
        <f>IF(VLOOKUP(T_BilanSocial[[#This Row],[NumL]],T_TraitDi[#Data],COLUMN(T_TraitDi[[#This Row],[Colonne7]]),FALSE)=0,"",TEXT(IFERROR(VLOOKUP(T_BilanSocial[[#This Row],[NumL]],T_TraitDi[#Data],COLUMN(T_TraitDi[[#This Row],[Colonne7]]),FALSE),""),"[hh]:mm"))</f>
        <v>#VALUE!</v>
      </c>
      <c r="AM332" s="172" t="e">
        <f>IF(VLOOKUP(T_BilanSocial[[#This Row],[NumL]],T_TraitDi[#Data],COLUMN(T_TraitDi[[#This Row],[Colonne8]]),FALSE)=0,"",TEXT(IFERROR(VLOOKUP(T_BilanSocial[[#This Row],[NumL]],T_TraitDi[#Data],COLUMN(T_TraitDi[[#This Row],[Colonne8]]),FALSE),""),"[hh]:mm"))</f>
        <v>#VALUE!</v>
      </c>
      <c r="AN332" s="172" t="str">
        <f>IFERROR(VLOOKUP(T_BilanSocial[[#This Row],[NumL]],T_TraitDi[#Data],COLUMN(T_TraitDi[[#This Row],[Mardi]]),FALSE),"")</f>
        <v/>
      </c>
      <c r="AO332" s="172" t="e">
        <f>IF(VLOOKUP(T_BilanSocial[[#This Row],[NumL]],T_TraitDi[#Data],COLUMN(T_TraitDi[[#This Row],[Colonne1]]),FALSE)=0,"",TEXT(IFERROR(VLOOKUP(T_BilanSocial[[#This Row],[NumL]],T_TraitDi[#Data],COLUMN(T_TraitDi[[#This Row],[Colonne1]]),FALSE),""),"[hh]:mm"))</f>
        <v>#VALUE!</v>
      </c>
      <c r="AP332" s="172" t="e">
        <f>IF(VLOOKUP(T_BilanSocial[[#This Row],[NumL]],T_TraitDi[#Data],COLUMN(T_TraitDi[[#This Row],[Colonne9]]),FALSE)=0,"",TEXT(IFERROR(VLOOKUP(T_BilanSocial[[#This Row],[NumL]],T_TraitDi[#Data],COLUMN(T_TraitDi[[#This Row],[Colonne9]]),FALSE),""),"[hh]:mm"))</f>
        <v>#VALUE!</v>
      </c>
      <c r="AQ332" s="172" t="str">
        <f>IFERROR(VLOOKUP(T_BilanSocial[[#This Row],[NumL]],T_TraitDi[#Data],COLUMN(T_TraitDi[[#This Row],[Colonne10]]),FALSE),"")</f>
        <v/>
      </c>
      <c r="AR332" s="172" t="e">
        <f>IF(VLOOKUP(T_BilanSocial[[#This Row],[NumL]],T_TraitDi[#Data],COLUMN(T_TraitDi[[#This Row],[Colonne11]]),FALSE)=0,"",TEXT(IFERROR(VLOOKUP(T_BilanSocial[[#This Row],[NumL]],T_TraitDi[#Data],COLUMN(T_TraitDi[[#This Row],[Colonne11]]),FALSE),""),"[hh]:mm"))</f>
        <v>#VALUE!</v>
      </c>
      <c r="AS332" s="172" t="e">
        <f>IF(VLOOKUP(T_BilanSocial[[#This Row],[NumL]],T_TraitDi[#Data],COLUMN(T_TraitDi[[#This Row],[Colonne12]]),FALSE)=0,"",TEXT(IFERROR(VLOOKUP(T_BilanSocial[[#This Row],[NumL]],T_TraitDi[#Data],COLUMN(T_TraitDi[[#This Row],[Colonne12]]),FALSE),""),"[hh]:mm"))</f>
        <v>#VALUE!</v>
      </c>
      <c r="AT332" s="172" t="e">
        <f>IF(VLOOKUP(T_BilanSocial[[#This Row],[NumL]],T_TraitDi[#Data],COLUMN(T_TraitDi[[#This Row],[Colonne14]]),FALSE)=0,"",TEXT(IFERROR(VLOOKUP(T_BilanSocial[[#This Row],[NumL]],T_TraitDi[#Data],COLUMN(T_TraitDi[[#This Row],[Colonne14]]),FALSE),""),"[hh]:mm"))</f>
        <v>#VALUE!</v>
      </c>
      <c r="AU332" s="172" t="str">
        <f>IFERROR(VLOOKUP(T_BilanSocial[[#This Row],[NumL]],T_TraitDi[#Data],COLUMN(T_TraitDi[[#This Row],[Mercredi]]),FALSE),"")</f>
        <v/>
      </c>
      <c r="AV332" s="172" t="e">
        <f>IF(VLOOKUP(T_BilanSocial[[#This Row],[NumL]],T_TraitDi[#Data],COLUMN(T_TraitDi[[#This Row],[Colonne15]]),FALSE)=0,"",TEXT(IFERROR(VLOOKUP(T_BilanSocial[[#This Row],[NumL]],T_TraitDi[#Data],COLUMN(T_TraitDi[[#This Row],[Colonne15]]),FALSE),""),"[hh]:mm"))</f>
        <v>#VALUE!</v>
      </c>
      <c r="AW332" s="172" t="e">
        <f>IF(VLOOKUP(T_BilanSocial[[#This Row],[NumL]],T_TraitDi[#Data],COLUMN(T_TraitDi[[#This Row],[Colonne16]]),FALSE)=0,"",TEXT(IFERROR(VLOOKUP(T_BilanSocial[[#This Row],[NumL]],T_TraitDi[#Data],COLUMN(T_TraitDi[[#This Row],[Colonne16]]),FALSE),""),"[hh]:mm"))</f>
        <v>#VALUE!</v>
      </c>
      <c r="AX332" s="172" t="str">
        <f>IFERROR(VLOOKUP(T_BilanSocial[[#This Row],[NumL]],T_TraitDi[#Data],COLUMN(T_TraitDi[[#This Row],[Colonne17]]),FALSE),"")</f>
        <v/>
      </c>
      <c r="AY332" s="172" t="e">
        <f>IF(VLOOKUP(T_BilanSocial[[#This Row],[NumL]],T_TraitDi[#Data],COLUMN(T_TraitDi[[#This Row],[Colonne18]]),FALSE)=0,"",TEXT(IFERROR(VLOOKUP(T_BilanSocial[[#This Row],[NumL]],T_TraitDi[#Data],COLUMN(T_TraitDi[[#This Row],[Colonne18]]),FALSE),""),"[hh]:mm"))</f>
        <v>#VALUE!</v>
      </c>
      <c r="AZ332" s="172" t="e">
        <f>IF(VLOOKUP(T_BilanSocial[[#This Row],[NumL]],T_TraitDi[#Data],COLUMN(T_TraitDi[[#This Row],[Colonne19]]),FALSE)=0,"",TEXT(IFERROR(VLOOKUP(T_BilanSocial[[#This Row],[NumL]],T_TraitDi[#Data],COLUMN(T_TraitDi[[#This Row],[Colonne19]]),FALSE),""),"[hh]:mm"))</f>
        <v>#VALUE!</v>
      </c>
      <c r="BA332" s="172" t="e">
        <f>IF(VLOOKUP(T_BilanSocial[[#This Row],[NumL]],T_TraitDi[#Data],COLUMN(T_TraitDi[[#This Row],[Colonne20]]),FALSE)=0,"",TEXT(IFERROR(VLOOKUP(T_BilanSocial[[#This Row],[NumL]],T_TraitDi[#Data],COLUMN(T_TraitDi[[#This Row],[Colonne20]]),FALSE),""),"[hh]:mm"))</f>
        <v>#VALUE!</v>
      </c>
      <c r="BB332" s="178" t="str">
        <f>IFERROR(VLOOKUP(T_BilanSocial[[#This Row],[NumL]],T_TraitDi[#Data],COLUMN(T_TraitDi[[#This Row],[Jeudi]]),FALSE),"")</f>
        <v/>
      </c>
      <c r="BC332" s="178" t="e">
        <f>IF(VLOOKUP(T_BilanSocial[[#This Row],[NumL]],T_TraitDi[#Data],COLUMN(T_TraitDi[[#This Row],[Colonne21]]),FALSE)=0,"",TEXT(IFERROR(VLOOKUP(T_BilanSocial[[#This Row],[NumL]],T_TraitDi[#Data],COLUMN(T_TraitDi[[#This Row],[Colonne21]]),FALSE),""),"[hh]:mm"))</f>
        <v>#VALUE!</v>
      </c>
      <c r="BD332" s="178" t="e">
        <f>IF(VLOOKUP(T_BilanSocial[[#This Row],[NumL]],T_TraitDi[#Data],COLUMN(T_TraitDi[[#This Row],[Colonne22]]),FALSE)=0,"",TEXT(IFERROR(VLOOKUP(T_BilanSocial[[#This Row],[NumL]],T_TraitDi[#Data],COLUMN(T_TraitDi[[#This Row],[Colonne22]]),FALSE),""),"[hh]:mm"))</f>
        <v>#VALUE!</v>
      </c>
      <c r="BE332" s="178" t="str">
        <f>IFERROR(VLOOKUP(T_BilanSocial[[#This Row],[NumL]],T_TraitDi[#Data],COLUMN(T_TraitDi[[#This Row],[Colonne23]]),FALSE),"")</f>
        <v/>
      </c>
      <c r="BF332" s="178" t="e">
        <f>IF(VLOOKUP(T_BilanSocial[[#This Row],[NumL]],T_TraitDi[#Data],COLUMN(T_TraitDi[[#This Row],[Colonne24]]),FALSE)=0,"",TEXT(IFERROR(VLOOKUP(T_BilanSocial[[#This Row],[NumL]],T_TraitDi[#Data],COLUMN(T_TraitDi[[#This Row],[Colonne24]]),FALSE),""),"[hh]:mm"))</f>
        <v>#VALUE!</v>
      </c>
      <c r="BG332" s="178" t="e">
        <f>IF(VLOOKUP(T_BilanSocial[[#This Row],[NumL]],T_TraitDi[#Data],COLUMN(T_TraitDi[[#This Row],[Colonne25]]),FALSE)=0,"",TEXT(IFERROR(VLOOKUP(T_BilanSocial[[#This Row],[NumL]],T_TraitDi[#Data],COLUMN(T_TraitDi[[#This Row],[Colonne25]]),FALSE),""),"[hh]:mm"))</f>
        <v>#VALUE!</v>
      </c>
      <c r="BH332" s="178" t="e">
        <f>IF(VLOOKUP(T_BilanSocial[[#This Row],[NumL]],T_TraitDi[#Data],COLUMN(T_TraitDi[[#This Row],[Colonne26]]),FALSE)=0,"",TEXT(IFERROR(VLOOKUP(T_BilanSocial[[#This Row],[NumL]],T_TraitDi[#Data],COLUMN(T_TraitDi[[#This Row],[Colonne26]]),FALSE),""),"[hh]:mm"))</f>
        <v>#VALUE!</v>
      </c>
      <c r="BI332" s="172" t="str">
        <f>IFERROR(VLOOKUP(T_BilanSocial[[#This Row],[NumL]],T_TraitDi[#Data],COLUMN(T_TraitDi[[#This Row],[Vendredi]]),FALSE),"")</f>
        <v/>
      </c>
      <c r="BJ332" s="172" t="e">
        <f>IF(VLOOKUP(T_BilanSocial[[#This Row],[NumL]],T_TraitDi[#Data],COLUMN(T_TraitDi[[#This Row],[Colonne27]]),FALSE)=0,"",TEXT(IFERROR(VLOOKUP(T_BilanSocial[[#This Row],[NumL]],T_TraitDi[#Data],COLUMN(T_TraitDi[[#This Row],[Colonne27]]),FALSE),""),"[hh]:mm"))</f>
        <v>#VALUE!</v>
      </c>
      <c r="BK332" s="172" t="e">
        <f>IF(VLOOKUP(T_BilanSocial[[#This Row],[NumL]],T_TraitDi[#Data],COLUMN(T_TraitDi[[#This Row],[Colonne28]]),FALSE)=0,"",TEXT(IFERROR(VLOOKUP(T_BilanSocial[[#This Row],[NumL]],T_TraitDi[#Data],COLUMN(T_TraitDi[[#This Row],[Colonne28]]),FALSE),""),"[hh]:mm"))</f>
        <v>#VALUE!</v>
      </c>
      <c r="BL332" s="172" t="str">
        <f>IFERROR(VLOOKUP(T_BilanSocial[[#This Row],[NumL]],T_TraitDi[#Data],COLUMN(T_TraitDi[[#This Row],[Colonne29]]),FALSE),"")</f>
        <v/>
      </c>
      <c r="BM332" s="172" t="e">
        <f>IF(VLOOKUP(T_BilanSocial[[#This Row],[NumL]],T_TraitDi[#Data],COLUMN(T_TraitDi[[#This Row],[Colonne30]]),FALSE)=0,"",TEXT(IFERROR(VLOOKUP(T_BilanSocial[[#This Row],[NumL]],T_TraitDi[#Data],COLUMN(T_TraitDi[[#This Row],[Colonne30]]),FALSE),""),"[hh]:mm"))</f>
        <v>#VALUE!</v>
      </c>
      <c r="BN332" s="172" t="e">
        <f>IF(VLOOKUP(T_BilanSocial[[#This Row],[NumL]],T_TraitDi[#Data],COLUMN(T_TraitDi[[#This Row],[Colonne31]]),FALSE)=0,"",TEXT(IFERROR(VLOOKUP(T_BilanSocial[[#This Row],[NumL]],T_TraitDi[#Data],COLUMN(T_TraitDi[[#This Row],[Colonne31]]),FALSE),""),"[hh]:mm"))</f>
        <v>#VALUE!</v>
      </c>
      <c r="BO332" s="172" t="e">
        <f>IF(VLOOKUP(T_BilanSocial[[#This Row],[NumL]],T_TraitDi[#Data],COLUMN(T_TraitDi[[#This Row],[Colonne32]]),FALSE)=0,"",TEXT(IFERROR(VLOOKUP(T_BilanSocial[[#This Row],[NumL]],T_TraitDi[#Data],COLUMN(T_TraitDi[[#This Row],[Colonne32]]),FALSE),""),"[hh]:mm"))</f>
        <v>#VALUE!</v>
      </c>
      <c r="BP332" s="172" t="e">
        <f>VLOOKUP(T_BilanSocial[[#This Row],[NumL]],T_TraitDi[#Data],COLUMN(T_TraitDi[NbJTot]),FALSE)</f>
        <v>#N/A</v>
      </c>
      <c r="BQ332" s="174" t="str">
        <f>IFERROR(VLOOKUP(T_BilanSocial[[#This Row],[NumL]],T_TraitDi[#Data],COLUMN(T_TraitDi[[#This Row],[NbJTW]]),FALSE),"")</f>
        <v/>
      </c>
      <c r="BR332" s="174" t="e">
        <f>IF(VLOOKUP(T_BilanSocial[[#This Row],[NumL]],T_TraitDi[#Data],COLUMN(T_TraitDi[[#This Row],[NbhTW]]),FALSE)=0,"",TEXT(IFERROR(VLOOKUP(T_BilanSocial[[#This Row],[NumL]],T_TraitDi[#Data],COLUMN(T_TraitDi[[#This Row],[NbhTW]]),FALSE),""),"[hh]:mm"))</f>
        <v>#VALUE!</v>
      </c>
      <c r="BS332" s="174" t="e">
        <f>IF(VLOOKUP(T_BilanSocial[[#This Row],[NumL]],T_TraitDi[#Data],COLUMN(T_TraitDi[[#This Row],[Nbhheb]]),FALSE)=0,"",TEXT(IFERROR(VLOOKUP($A332,T_TraitDi[#Data],COLUMN(T_TraitDi[[#This Row],[Nbhheb]]),FALSE),""),"[hh]:mm"))</f>
        <v>#VALUE!</v>
      </c>
      <c r="BT332" s="182" t="str">
        <f>IFERROR(VLOOKUP(VLOOKUP($A332,T_TraitDi[#Data],COLUMN(T_TraitDi[[#This Row],[Type1]]),FALSE),TypeTW,2,FALSE),"")</f>
        <v/>
      </c>
      <c r="BU332" s="182" t="str">
        <f>IFERROR(VLOOKUP($A332,T_TraitDi[#Data],COLUMN(T_TraitDi[[#This Row],[Rue1]]),FALSE),"")</f>
        <v/>
      </c>
      <c r="BV332" s="173" t="str">
        <f>IFERROR(VLOOKUP($A332,T_TraitDi[#Data],COLUMN(T_TraitDi[[#This Row],[CP1]]),FALSE),"")</f>
        <v/>
      </c>
      <c r="BW332" s="173" t="str">
        <f>IFERROR(VLOOKUP($A332,T_TraitDi[#Data],COLUMN(T_TraitDi[[#This Row],[VILLE1]]),FALSE),"")</f>
        <v/>
      </c>
      <c r="BX332" s="182" t="str">
        <f>IFERROR(VLOOKUP(VLOOKUP($A332,T_TraitDi[#Data],COLUMN(T_TraitDi[[#This Row],[Type2]]),FALSE),TypeTW,2,FALSE),"")</f>
        <v/>
      </c>
      <c r="BY332" s="182" t="str">
        <f>IFERROR(VLOOKUP($A332,T_TraitDi[#Data],COLUMN(T_TraitDi[[#This Row],[Rue2]]),FALSE),"")</f>
        <v/>
      </c>
      <c r="BZ332" s="173" t="str">
        <f>IFERROR(VLOOKUP($A332,T_TraitDi[#Data],COLUMN(T_TraitDi[[#This Row],[CP2]]),FALSE),"")</f>
        <v/>
      </c>
      <c r="CA332" s="173" t="str">
        <f>IFERROR(VLOOKUP($A332,T_TraitDi[#Data],COLUMN(T_TraitDi[[#This Row],[VILLE2]]),FALSE),"")</f>
        <v/>
      </c>
      <c r="CB332" s="182" t="e">
        <f>IF(VLOOKUP(T_BilanSocial[[#This Row],[NumL]],T_Equipement[#Data],COLUMN(T_Equipement[[#This Row],[PC]]),FALSE)="","Aucun équipement spécifique directement lié au télétravail",VLOOKUP(T_BilanSocial[[#This Row],[NumL]],T_Equipement[#Data],COLUMN(T_Equipement[[#This Row],[PC]]),FALSE))</f>
        <v>#VALUE!</v>
      </c>
      <c r="CC332" s="166" t="str">
        <f>IFERROR(IF(VLOOKUP(T_BilanSocial[[#This Row],[NumL]],T_TraitDi[#Data],COLUMN(T_TraitDi[[#This Row],[Plan]]),FALSE)="OK","Un planning spécifique de télétravail est annexé à la présente convention.",""),"")</f>
        <v/>
      </c>
      <c r="CD332" s="301"/>
      <c r="CE332" s="164" t="e">
        <f>IF(VLOOKUP(T_BilanSocial[[#This Row],[NumL]],T_suiviDi[#Data],COLUMN(T_suiviDi[[#This Row],[Entité]]),FALSE)="","",VLOOKUP(T_BilanSocial[[#This Row],[NumL]],T_suiviDi[#Data],COLUMN(T_suiviDi[[#This Row],[Entité]]),FALSE))</f>
        <v>#VALUE!</v>
      </c>
      <c r="CF332" s="164" t="e">
        <f>IF(VLOOKUP(T_BilanSocial[[#This Row],[NumL]],T_Commission[#Data],COLUMN(T_Commission[[#This Row],[envoi confirm TW]]),FALSE)="","",VLOOKUP(T_BilanSocial[[#This Row],[NumL]],T_Commission[#Data],COLUMN(T_Commission[[#This Row],[envoi confirm TW]]),FALSE))</f>
        <v>#VALUE!</v>
      </c>
      <c r="CG33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2" s="339" t="str">
        <f>T_BilanSocial[[#This Row],[Nom]]&amp;T_BilanSocial[[#This Row],[Prenom]]</f>
        <v/>
      </c>
      <c r="CI332" s="339">
        <f>VLOOKUP(T_BilanSocial[[#This Row],[NumL]],T_Commission[#Data],COLUMN(T_Commission[Commentaire]),FALSE)</f>
        <v>0</v>
      </c>
      <c r="CJ332" s="339" t="str">
        <f>IF(VLOOKUP(T_BilanSocial[[#This Row],[NumL]],T_Commission[#Data],COLUMN(T_Commission[Encadrant Email]),FALSE)="","",VLOOKUP(T_BilanSocial[[#This Row],[NumL]],T_Commission[#Data],COLUMN(T_Commission[Encadrant Email]),FALSE))</f>
        <v/>
      </c>
      <c r="CK332" s="332" t="str">
        <f>IF(T_BilanSocial[[#This Row],[Final]]&lt;&gt;"",VLOOKUP(T_BilanSocial[[#This Row],[NumL]],T_suiviDi[#Data],COLUMN((T_suiviDi[Statut])),FALSE),"")</f>
        <v/>
      </c>
    </row>
    <row r="333" spans="1:89" s="50" customFormat="1" ht="21" customHeight="1" x14ac:dyDescent="0.25">
      <c r="A333" s="136">
        <v>330</v>
      </c>
      <c r="B333" s="330" t="str">
        <f t="shared" si="71"/>
        <v/>
      </c>
      <c r="C333" s="309"/>
      <c r="D333" s="95" t="e">
        <f>IF(VLOOKUP(T_BilanSocial[[#This Row],[NumL]],T_TraitDi[#Data],COLUMN(T_TraitDi[[#This Row],[WebC]]),FALSE)="","",VLOOKUP(T_BilanSocial[[#This Row],[NumL]],T_TraitDi[#Data],COLUMN(T_TraitDi[[#This Row],[WebC]]),FALSE))</f>
        <v>#VALUE!</v>
      </c>
      <c r="E333" s="95" t="str">
        <f t="shared" si="72"/>
        <v>12 janvier 2021</v>
      </c>
      <c r="F333" s="96" t="str">
        <f>IF(T_BilanSocial[[#This Row],[Final]]&lt;&gt;"",VLOOKUP(T_BilanSocial[[#This Row],[NumL]],T_suiviDi[#Data],COLUMN((T_suiviDi[Civ.])),FALSE),"")</f>
        <v/>
      </c>
      <c r="G333" s="96" t="str">
        <f>IF(T_BilanSocial[[#This Row],[Final]]&lt;&gt;"",VLOOKUP(T_BilanSocial[[#This Row],[NumL]],T_suiviDi[#Data],COLUMN((T_suiviDi[Nom])),FALSE),"")</f>
        <v/>
      </c>
      <c r="H333" s="96" t="str">
        <f>IF(T_BilanSocial[[#This Row],[Final]]&lt;&gt;"",VLOOKUP(T_BilanSocial[[#This Row],[NumL]],T_suiviDi[#Data],COLUMN((T_suiviDi[Prénom])),FALSE),"")</f>
        <v/>
      </c>
      <c r="I333" s="331" t="str">
        <f>IFERROR(VLOOKUP(T_BilanSocial[[#This Row],[Zone_Bilan]],T_P_BilanSocial[#Data],COLUMN(T_P_BilanSocial[[#This Row],[Numero_SIHAM]]),FALSE),"")</f>
        <v/>
      </c>
      <c r="J333" s="331" t="str">
        <f>IFERROR(VLOOKUP(T_BilanSocial[[#This Row],[Zone_Bilan]],T_P_BilanSocial[#Data],COLUMN(T_P_BilanSocial[[#This Row],[Sexe]]),FALSE),"")</f>
        <v/>
      </c>
      <c r="K333" s="294" t="str">
        <f>IFERROR(VLOOKUP(T_BilanSocial[[#This Row],[Zone_Bilan]],T_P_BilanSocial[#Data],COLUMN(T_P_BilanSocial[[#This Row],[Categorie]]),FALSE),"")</f>
        <v/>
      </c>
      <c r="L333" s="331" t="str">
        <f>IFERROR(VLOOKUP(T_BilanSocial[[#This Row],[Zone_Bilan]],T_P_BilanSocial[#Data],COLUMN(T_P_BilanSocial[[#This Row],[Statut]]),FALSE),"")</f>
        <v/>
      </c>
      <c r="M333" s="331" t="str">
        <f>IFERROR(VLOOKUP(T_BilanSocial[[#This Row],[Zone_Bilan]],T_P_BilanSocial[#Data],COLUMN(T_P_BilanSocial[[#This Row],[Filiere]]),FALSE),"")</f>
        <v/>
      </c>
      <c r="N333" s="331" t="e">
        <f>VLOOKUP(T_BilanSocial[[#This Row],[NumL]],T_TraitDi[#Data],COLUMN(T_TraitDi[EXP]),FALSE)</f>
        <v>#N/A</v>
      </c>
      <c r="O333" s="331" t="e">
        <f>VLOOKUP(T_BilanSocial[[#This Row],[NumL]],T_TraitDi[#Data],COLUMN(T_TraitDi[FORM]),FALSE)</f>
        <v>#N/A</v>
      </c>
      <c r="P333" s="96" t="str">
        <f>IF(T_BilanSocial[[#This Row],[Final]]&lt;&gt;"",VLOOKUP(T_BilanSocial[[#This Row],[NumL]],T_suiviDi[#Data],COLUMN((T_suiviDi[Email])),FALSE),"")</f>
        <v/>
      </c>
      <c r="Q333" s="96" t="e">
        <f t="shared" si="73"/>
        <v>#N/A</v>
      </c>
      <c r="R333" s="96" t="e">
        <f t="shared" si="74"/>
        <v>#N/A</v>
      </c>
      <c r="S333" s="96" t="str">
        <f t="shared" si="70"/>
        <v/>
      </c>
      <c r="T333" s="96" t="str">
        <f t="shared" si="75"/>
        <v>01 septembre 2021</v>
      </c>
      <c r="U333" s="96" t="str">
        <f t="shared" si="76"/>
        <v>30 novembre 2021</v>
      </c>
      <c r="V333" s="97">
        <f t="shared" si="77"/>
        <v>44530</v>
      </c>
      <c r="W333" s="176" t="e">
        <f>IF(VLOOKUP(T_BilanSocial[[#This Row],[NumL]],T_TraitDi[#Data],COLUMN(T_TraitDi[[#This Row],[M1]]),FALSE)="","",VLOOKUP(T_BilanSocial[[#This Row],[NumL]],T_TraitDi[#Data],COLUMN(T_TraitDi[[#This Row],[M1]]),FALSE))</f>
        <v>#VALUE!</v>
      </c>
      <c r="X333" s="96" t="str">
        <f t="shared" si="68"/>
        <v/>
      </c>
      <c r="Y333" s="96" t="str">
        <f t="shared" si="68"/>
        <v/>
      </c>
      <c r="Z333" s="96" t="str">
        <f t="shared" si="78"/>
        <v/>
      </c>
      <c r="AA333" s="176" t="e">
        <f>IF(VLOOKUP(T_BilanSocial[[#This Row],[NumL]],T_TraitDi[#Data],COLUMN(T_TraitDi[[#This Row],[M5]]),FALSE)="","",VLOOKUP(T_BilanSocial[[#This Row],[NumL]],T_TraitDi[#Data],COLUMN(T_TraitDi[[#This Row],[M5]]),FALSE))</f>
        <v>#VALUE!</v>
      </c>
      <c r="AB333" s="176" t="e">
        <f>IF(VLOOKUP(T_BilanSocial[[#This Row],[NumL]],T_TraitDi[#Data],COLUMN(T_TraitDi[[#This Row],[M6]]),FALSE)="","",VLOOKUP(T_BilanSocial[[#This Row],[NumL]],T_TraitDi[#Data],COLUMN(T_TraitDi[[#This Row],[M6]]),FALSE))</f>
        <v>#VALUE!</v>
      </c>
      <c r="AC333" s="96" t="e">
        <f t="shared" si="80"/>
        <v>#VALUE!</v>
      </c>
      <c r="AD333" s="97" t="str">
        <f t="shared" si="79"/>
        <v/>
      </c>
      <c r="AE333" s="294" t="e">
        <f>VLOOKUP(T_BilanSocial[[#This Row],[NumL]],T_TraitDi[#Data],COLUMN(T_TraitDi[[#This Row],[Reg Ponct]]),FALSE)</f>
        <v>#VALUE!</v>
      </c>
      <c r="AF333" s="294" t="e">
        <f>VLOOKUP(T_BilanSocial[NumL],T_TraitDi[#Data],COLUMN(T_TraitDi[[#This Row],[Jours flottants]]),FALSE)</f>
        <v>#VALUE!</v>
      </c>
      <c r="AG333" s="97" t="str">
        <f>IFERROR(VLOOKUP(T_BilanSocial[[#This Row],[NumL]],T_TraitDi[#Data],COLUMN(T_TraitDi[[#This Row],[Lundi]]),FALSE),"")</f>
        <v/>
      </c>
      <c r="AH333" s="172" t="e">
        <f>IF(VLOOKUP(T_BilanSocial[[#This Row],[NumL]],T_TraitDi[#Data],COLUMN(T_TraitDi[[#This Row],[Colonne3]]),FALSE)=0,"",TEXT(IFERROR(VLOOKUP(T_BilanSocial[[#This Row],[NumL]],T_TraitDi[#Data],COLUMN(T_TraitDi[[#This Row],[Colonne3]]),FALSE),""),"[hh]:mm"))</f>
        <v>#VALUE!</v>
      </c>
      <c r="AI333" s="172" t="e">
        <f>IF(VLOOKUP(T_BilanSocial[[#This Row],[NumL]],T_TraitDi[#Data],COLUMN(T_TraitDi[[#This Row],[Colonne4]]),FALSE)=0,"",TEXT(IFERROR(VLOOKUP(T_BilanSocial[[#This Row],[NumL]],T_TraitDi[#Data],COLUMN(T_TraitDi[[#This Row],[Colonne4]]),FALSE),""),"[hh]:mm"))</f>
        <v>#VALUE!</v>
      </c>
      <c r="AJ333" s="172" t="e">
        <f>IF(VLOOKUP(T_BilanSocial[[#This Row],[NumL]],T_TraitDi[#Data],COLUMN(T_TraitDi[[#This Row],[Colonne5]]),FALSE)=0,"",TEXT(IFERROR(VLOOKUP(T_BilanSocial[[#This Row],[NumL]],T_TraitDi[#Data],COLUMN(T_TraitDi[[#This Row],[Colonne5]]),FALSE),""),"[hh]:mm"))</f>
        <v>#VALUE!</v>
      </c>
      <c r="AK333" s="172" t="e">
        <f>IF(VLOOKUP(T_BilanSocial[[#This Row],[NumL]],T_TraitDi[#Data],COLUMN(T_TraitDi[[#This Row],[Colonne6]]),FALSE)=0,"",TEXT(IFERROR(VLOOKUP(T_BilanSocial[[#This Row],[NumL]],T_TraitDi[#Data],COLUMN(T_TraitDi[[#This Row],[Colonne6]]),FALSE),""),"[hh]:mm"))</f>
        <v>#VALUE!</v>
      </c>
      <c r="AL333" s="172" t="e">
        <f>IF(VLOOKUP(T_BilanSocial[[#This Row],[NumL]],T_TraitDi[#Data],COLUMN(T_TraitDi[[#This Row],[Colonne7]]),FALSE)=0,"",TEXT(IFERROR(VLOOKUP(T_BilanSocial[[#This Row],[NumL]],T_TraitDi[#Data],COLUMN(T_TraitDi[[#This Row],[Colonne7]]),FALSE),""),"[hh]:mm"))</f>
        <v>#VALUE!</v>
      </c>
      <c r="AM333" s="172" t="e">
        <f>IF(VLOOKUP(T_BilanSocial[[#This Row],[NumL]],T_TraitDi[#Data],COLUMN(T_TraitDi[[#This Row],[Colonne8]]),FALSE)=0,"",TEXT(IFERROR(VLOOKUP(T_BilanSocial[[#This Row],[NumL]],T_TraitDi[#Data],COLUMN(T_TraitDi[[#This Row],[Colonne8]]),FALSE),""),"[hh]:mm"))</f>
        <v>#VALUE!</v>
      </c>
      <c r="AN333" s="172" t="str">
        <f>IFERROR(VLOOKUP(T_BilanSocial[[#This Row],[NumL]],T_TraitDi[#Data],COLUMN(T_TraitDi[[#This Row],[Mardi]]),FALSE),"")</f>
        <v/>
      </c>
      <c r="AO333" s="172" t="e">
        <f>IF(VLOOKUP(T_BilanSocial[[#This Row],[NumL]],T_TraitDi[#Data],COLUMN(T_TraitDi[[#This Row],[Colonne1]]),FALSE)=0,"",TEXT(IFERROR(VLOOKUP(T_BilanSocial[[#This Row],[NumL]],T_TraitDi[#Data],COLUMN(T_TraitDi[[#This Row],[Colonne1]]),FALSE),""),"[hh]:mm"))</f>
        <v>#VALUE!</v>
      </c>
      <c r="AP333" s="172" t="e">
        <f>IF(VLOOKUP(T_BilanSocial[[#This Row],[NumL]],T_TraitDi[#Data],COLUMN(T_TraitDi[[#This Row],[Colonne9]]),FALSE)=0,"",TEXT(IFERROR(VLOOKUP(T_BilanSocial[[#This Row],[NumL]],T_TraitDi[#Data],COLUMN(T_TraitDi[[#This Row],[Colonne9]]),FALSE),""),"[hh]:mm"))</f>
        <v>#VALUE!</v>
      </c>
      <c r="AQ333" s="172" t="str">
        <f>IFERROR(VLOOKUP(T_BilanSocial[[#This Row],[NumL]],T_TraitDi[#Data],COLUMN(T_TraitDi[[#This Row],[Colonne10]]),FALSE),"")</f>
        <v/>
      </c>
      <c r="AR333" s="172" t="e">
        <f>IF(VLOOKUP(T_BilanSocial[[#This Row],[NumL]],T_TraitDi[#Data],COLUMN(T_TraitDi[[#This Row],[Colonne11]]),FALSE)=0,"",TEXT(IFERROR(VLOOKUP(T_BilanSocial[[#This Row],[NumL]],T_TraitDi[#Data],COLUMN(T_TraitDi[[#This Row],[Colonne11]]),FALSE),""),"[hh]:mm"))</f>
        <v>#VALUE!</v>
      </c>
      <c r="AS333" s="172" t="e">
        <f>IF(VLOOKUP(T_BilanSocial[[#This Row],[NumL]],T_TraitDi[#Data],COLUMN(T_TraitDi[[#This Row],[Colonne12]]),FALSE)=0,"",TEXT(IFERROR(VLOOKUP(T_BilanSocial[[#This Row],[NumL]],T_TraitDi[#Data],COLUMN(T_TraitDi[[#This Row],[Colonne12]]),FALSE),""),"[hh]:mm"))</f>
        <v>#VALUE!</v>
      </c>
      <c r="AT333" s="172" t="e">
        <f>IF(VLOOKUP(T_BilanSocial[[#This Row],[NumL]],T_TraitDi[#Data],COLUMN(T_TraitDi[[#This Row],[Colonne14]]),FALSE)=0,"",TEXT(IFERROR(VLOOKUP(T_BilanSocial[[#This Row],[NumL]],T_TraitDi[#Data],COLUMN(T_TraitDi[[#This Row],[Colonne14]]),FALSE),""),"[hh]:mm"))</f>
        <v>#VALUE!</v>
      </c>
      <c r="AU333" s="172" t="str">
        <f>IFERROR(VLOOKUP(T_BilanSocial[[#This Row],[NumL]],T_TraitDi[#Data],COLUMN(T_TraitDi[[#This Row],[Mercredi]]),FALSE),"")</f>
        <v/>
      </c>
      <c r="AV333" s="172" t="e">
        <f>IF(VLOOKUP(T_BilanSocial[[#This Row],[NumL]],T_TraitDi[#Data],COLUMN(T_TraitDi[[#This Row],[Colonne15]]),FALSE)=0,"",TEXT(IFERROR(VLOOKUP(T_BilanSocial[[#This Row],[NumL]],T_TraitDi[#Data],COLUMN(T_TraitDi[[#This Row],[Colonne15]]),FALSE),""),"[hh]:mm"))</f>
        <v>#VALUE!</v>
      </c>
      <c r="AW333" s="172" t="e">
        <f>IF(VLOOKUP(T_BilanSocial[[#This Row],[NumL]],T_TraitDi[#Data],COLUMN(T_TraitDi[[#This Row],[Colonne16]]),FALSE)=0,"",TEXT(IFERROR(VLOOKUP(T_BilanSocial[[#This Row],[NumL]],T_TraitDi[#Data],COLUMN(T_TraitDi[[#This Row],[Colonne16]]),FALSE),""),"[hh]:mm"))</f>
        <v>#VALUE!</v>
      </c>
      <c r="AX333" s="172" t="str">
        <f>IFERROR(VLOOKUP(T_BilanSocial[[#This Row],[NumL]],T_TraitDi[#Data],COLUMN(T_TraitDi[[#This Row],[Colonne17]]),FALSE),"")</f>
        <v/>
      </c>
      <c r="AY333" s="172" t="e">
        <f>IF(VLOOKUP(T_BilanSocial[[#This Row],[NumL]],T_TraitDi[#Data],COLUMN(T_TraitDi[[#This Row],[Colonne18]]),FALSE)=0,"",TEXT(IFERROR(VLOOKUP(T_BilanSocial[[#This Row],[NumL]],T_TraitDi[#Data],COLUMN(T_TraitDi[[#This Row],[Colonne18]]),FALSE),""),"[hh]:mm"))</f>
        <v>#VALUE!</v>
      </c>
      <c r="AZ333" s="172" t="e">
        <f>IF(VLOOKUP(T_BilanSocial[[#This Row],[NumL]],T_TraitDi[#Data],COLUMN(T_TraitDi[[#This Row],[Colonne19]]),FALSE)=0,"",TEXT(IFERROR(VLOOKUP(T_BilanSocial[[#This Row],[NumL]],T_TraitDi[#Data],COLUMN(T_TraitDi[[#This Row],[Colonne19]]),FALSE),""),"[hh]:mm"))</f>
        <v>#VALUE!</v>
      </c>
      <c r="BA333" s="172" t="e">
        <f>IF(VLOOKUP(T_BilanSocial[[#This Row],[NumL]],T_TraitDi[#Data],COLUMN(T_TraitDi[[#This Row],[Colonne20]]),FALSE)=0,"",TEXT(IFERROR(VLOOKUP(T_BilanSocial[[#This Row],[NumL]],T_TraitDi[#Data],COLUMN(T_TraitDi[[#This Row],[Colonne20]]),FALSE),""),"[hh]:mm"))</f>
        <v>#VALUE!</v>
      </c>
      <c r="BB333" s="178" t="str">
        <f>IFERROR(VLOOKUP(T_BilanSocial[[#This Row],[NumL]],T_TraitDi[#Data],COLUMN(T_TraitDi[[#This Row],[Jeudi]]),FALSE),"")</f>
        <v/>
      </c>
      <c r="BC333" s="178" t="e">
        <f>IF(VLOOKUP(T_BilanSocial[[#This Row],[NumL]],T_TraitDi[#Data],COLUMN(T_TraitDi[[#This Row],[Colonne21]]),FALSE)=0,"",TEXT(IFERROR(VLOOKUP(T_BilanSocial[[#This Row],[NumL]],T_TraitDi[#Data],COLUMN(T_TraitDi[[#This Row],[Colonne21]]),FALSE),""),"[hh]:mm"))</f>
        <v>#VALUE!</v>
      </c>
      <c r="BD333" s="178" t="e">
        <f>IF(VLOOKUP(T_BilanSocial[[#This Row],[NumL]],T_TraitDi[#Data],COLUMN(T_TraitDi[[#This Row],[Colonne22]]),FALSE)=0,"",TEXT(IFERROR(VLOOKUP(T_BilanSocial[[#This Row],[NumL]],T_TraitDi[#Data],COLUMN(T_TraitDi[[#This Row],[Colonne22]]),FALSE),""),"[hh]:mm"))</f>
        <v>#VALUE!</v>
      </c>
      <c r="BE333" s="178" t="str">
        <f>IFERROR(VLOOKUP(T_BilanSocial[[#This Row],[NumL]],T_TraitDi[#Data],COLUMN(T_TraitDi[[#This Row],[Colonne23]]),FALSE),"")</f>
        <v/>
      </c>
      <c r="BF333" s="178" t="e">
        <f>IF(VLOOKUP(T_BilanSocial[[#This Row],[NumL]],T_TraitDi[#Data],COLUMN(T_TraitDi[[#This Row],[Colonne24]]),FALSE)=0,"",TEXT(IFERROR(VLOOKUP(T_BilanSocial[[#This Row],[NumL]],T_TraitDi[#Data],COLUMN(T_TraitDi[[#This Row],[Colonne24]]),FALSE),""),"[hh]:mm"))</f>
        <v>#VALUE!</v>
      </c>
      <c r="BG333" s="178" t="e">
        <f>IF(VLOOKUP(T_BilanSocial[[#This Row],[NumL]],T_TraitDi[#Data],COLUMN(T_TraitDi[[#This Row],[Colonne25]]),FALSE)=0,"",TEXT(IFERROR(VLOOKUP(T_BilanSocial[[#This Row],[NumL]],T_TraitDi[#Data],COLUMN(T_TraitDi[[#This Row],[Colonne25]]),FALSE),""),"[hh]:mm"))</f>
        <v>#VALUE!</v>
      </c>
      <c r="BH333" s="178" t="e">
        <f>IF(VLOOKUP(T_BilanSocial[[#This Row],[NumL]],T_TraitDi[#Data],COLUMN(T_TraitDi[[#This Row],[Colonne26]]),FALSE)=0,"",TEXT(IFERROR(VLOOKUP(T_BilanSocial[[#This Row],[NumL]],T_TraitDi[#Data],COLUMN(T_TraitDi[[#This Row],[Colonne26]]),FALSE),""),"[hh]:mm"))</f>
        <v>#VALUE!</v>
      </c>
      <c r="BI333" s="172" t="str">
        <f>IFERROR(VLOOKUP(T_BilanSocial[[#This Row],[NumL]],T_TraitDi[#Data],COLUMN(T_TraitDi[[#This Row],[Vendredi]]),FALSE),"")</f>
        <v/>
      </c>
      <c r="BJ333" s="172" t="e">
        <f>IF(VLOOKUP(T_BilanSocial[[#This Row],[NumL]],T_TraitDi[#Data],COLUMN(T_TraitDi[[#This Row],[Colonne27]]),FALSE)=0,"",TEXT(IFERROR(VLOOKUP(T_BilanSocial[[#This Row],[NumL]],T_TraitDi[#Data],COLUMN(T_TraitDi[[#This Row],[Colonne27]]),FALSE),""),"[hh]:mm"))</f>
        <v>#VALUE!</v>
      </c>
      <c r="BK333" s="172" t="e">
        <f>IF(VLOOKUP(T_BilanSocial[[#This Row],[NumL]],T_TraitDi[#Data],COLUMN(T_TraitDi[[#This Row],[Colonne28]]),FALSE)=0,"",TEXT(IFERROR(VLOOKUP(T_BilanSocial[[#This Row],[NumL]],T_TraitDi[#Data],COLUMN(T_TraitDi[[#This Row],[Colonne28]]),FALSE),""),"[hh]:mm"))</f>
        <v>#VALUE!</v>
      </c>
      <c r="BL333" s="172" t="str">
        <f>IFERROR(VLOOKUP(T_BilanSocial[[#This Row],[NumL]],T_TraitDi[#Data],COLUMN(T_TraitDi[[#This Row],[Colonne29]]),FALSE),"")</f>
        <v/>
      </c>
      <c r="BM333" s="172" t="e">
        <f>IF(VLOOKUP(T_BilanSocial[[#This Row],[NumL]],T_TraitDi[#Data],COLUMN(T_TraitDi[[#This Row],[Colonne30]]),FALSE)=0,"",TEXT(IFERROR(VLOOKUP(T_BilanSocial[[#This Row],[NumL]],T_TraitDi[#Data],COLUMN(T_TraitDi[[#This Row],[Colonne30]]),FALSE),""),"[hh]:mm"))</f>
        <v>#VALUE!</v>
      </c>
      <c r="BN333" s="172" t="e">
        <f>IF(VLOOKUP(T_BilanSocial[[#This Row],[NumL]],T_TraitDi[#Data],COLUMN(T_TraitDi[[#This Row],[Colonne31]]),FALSE)=0,"",TEXT(IFERROR(VLOOKUP(T_BilanSocial[[#This Row],[NumL]],T_TraitDi[#Data],COLUMN(T_TraitDi[[#This Row],[Colonne31]]),FALSE),""),"[hh]:mm"))</f>
        <v>#VALUE!</v>
      </c>
      <c r="BO333" s="172" t="e">
        <f>IF(VLOOKUP(T_BilanSocial[[#This Row],[NumL]],T_TraitDi[#Data],COLUMN(T_TraitDi[[#This Row],[Colonne32]]),FALSE)=0,"",TEXT(IFERROR(VLOOKUP(T_BilanSocial[[#This Row],[NumL]],T_TraitDi[#Data],COLUMN(T_TraitDi[[#This Row],[Colonne32]]),FALSE),""),"[hh]:mm"))</f>
        <v>#VALUE!</v>
      </c>
      <c r="BP333" s="172" t="e">
        <f>VLOOKUP(T_BilanSocial[[#This Row],[NumL]],T_TraitDi[#Data],COLUMN(T_TraitDi[NbJTot]),FALSE)</f>
        <v>#N/A</v>
      </c>
      <c r="BQ333" s="174" t="str">
        <f>IFERROR(VLOOKUP(T_BilanSocial[[#This Row],[NumL]],T_TraitDi[#Data],COLUMN(T_TraitDi[[#This Row],[NbJTW]]),FALSE),"")</f>
        <v/>
      </c>
      <c r="BR333" s="174" t="e">
        <f>IF(VLOOKUP(T_BilanSocial[[#This Row],[NumL]],T_TraitDi[#Data],COLUMN(T_TraitDi[[#This Row],[NbhTW]]),FALSE)=0,"",TEXT(IFERROR(VLOOKUP(T_BilanSocial[[#This Row],[NumL]],T_TraitDi[#Data],COLUMN(T_TraitDi[[#This Row],[NbhTW]]),FALSE),""),"[hh]:mm"))</f>
        <v>#VALUE!</v>
      </c>
      <c r="BS333" s="174" t="e">
        <f>IF(VLOOKUP(T_BilanSocial[[#This Row],[NumL]],T_TraitDi[#Data],COLUMN(T_TraitDi[[#This Row],[Nbhheb]]),FALSE)=0,"",TEXT(IFERROR(VLOOKUP($A333,T_TraitDi[#Data],COLUMN(T_TraitDi[[#This Row],[Nbhheb]]),FALSE),""),"[hh]:mm"))</f>
        <v>#VALUE!</v>
      </c>
      <c r="BT333" s="182" t="str">
        <f>IFERROR(VLOOKUP(VLOOKUP($A333,T_TraitDi[#Data],COLUMN(T_TraitDi[[#This Row],[Type1]]),FALSE),TypeTW,2,FALSE),"")</f>
        <v/>
      </c>
      <c r="BU333" s="182" t="str">
        <f>IFERROR(VLOOKUP($A333,T_TraitDi[#Data],COLUMN(T_TraitDi[[#This Row],[Rue1]]),FALSE),"")</f>
        <v/>
      </c>
      <c r="BV333" s="173" t="str">
        <f>IFERROR(VLOOKUP($A333,T_TraitDi[#Data],COLUMN(T_TraitDi[[#This Row],[CP1]]),FALSE),"")</f>
        <v/>
      </c>
      <c r="BW333" s="173" t="str">
        <f>IFERROR(VLOOKUP($A333,T_TraitDi[#Data],COLUMN(T_TraitDi[[#This Row],[VILLE1]]),FALSE),"")</f>
        <v/>
      </c>
      <c r="BX333" s="182" t="str">
        <f>IFERROR(VLOOKUP(VLOOKUP($A333,T_TraitDi[#Data],COLUMN(T_TraitDi[[#This Row],[Type2]]),FALSE),TypeTW,2,FALSE),"")</f>
        <v/>
      </c>
      <c r="BY333" s="182" t="str">
        <f>IFERROR(VLOOKUP($A333,T_TraitDi[#Data],COLUMN(T_TraitDi[[#This Row],[Rue2]]),FALSE),"")</f>
        <v/>
      </c>
      <c r="BZ333" s="173" t="str">
        <f>IFERROR(VLOOKUP($A333,T_TraitDi[#Data],COLUMN(T_TraitDi[[#This Row],[CP2]]),FALSE),"")</f>
        <v/>
      </c>
      <c r="CA333" s="173" t="str">
        <f>IFERROR(VLOOKUP($A333,T_TraitDi[#Data],COLUMN(T_TraitDi[[#This Row],[VILLE2]]),FALSE),"")</f>
        <v/>
      </c>
      <c r="CB333" s="182" t="e">
        <f>IF(VLOOKUP(T_BilanSocial[[#This Row],[NumL]],T_Equipement[#Data],COLUMN(T_Equipement[[#This Row],[PC]]),FALSE)="","Aucun équipement spécifique directement lié au télétravail",VLOOKUP(T_BilanSocial[[#This Row],[NumL]],T_Equipement[#Data],COLUMN(T_Equipement[[#This Row],[PC]]),FALSE))</f>
        <v>#VALUE!</v>
      </c>
      <c r="CC333" s="166" t="str">
        <f>IFERROR(IF(VLOOKUP(T_BilanSocial[[#This Row],[NumL]],T_TraitDi[#Data],COLUMN(T_TraitDi[[#This Row],[Plan]]),FALSE)="OK","Un planning spécifique de télétravail est annexé à la présente convention.",""),"")</f>
        <v/>
      </c>
      <c r="CD333" s="301"/>
      <c r="CE333" s="164" t="e">
        <f>IF(VLOOKUP(T_BilanSocial[[#This Row],[NumL]],T_suiviDi[#Data],COLUMN(T_suiviDi[[#This Row],[Entité]]),FALSE)="","",VLOOKUP(T_BilanSocial[[#This Row],[NumL]],T_suiviDi[#Data],COLUMN(T_suiviDi[[#This Row],[Entité]]),FALSE))</f>
        <v>#VALUE!</v>
      </c>
      <c r="CF333" s="164" t="e">
        <f>IF(VLOOKUP(T_BilanSocial[[#This Row],[NumL]],T_Commission[#Data],COLUMN(T_Commission[[#This Row],[envoi confirm TW]]),FALSE)="","",VLOOKUP(T_BilanSocial[[#This Row],[NumL]],T_Commission[#Data],COLUMN(T_Commission[[#This Row],[envoi confirm TW]]),FALSE))</f>
        <v>#VALUE!</v>
      </c>
      <c r="CG33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3" s="339" t="str">
        <f>T_BilanSocial[[#This Row],[Nom]]&amp;T_BilanSocial[[#This Row],[Prenom]]</f>
        <v/>
      </c>
      <c r="CI333" s="339">
        <f>VLOOKUP(T_BilanSocial[[#This Row],[NumL]],T_Commission[#Data],COLUMN(T_Commission[Commentaire]),FALSE)</f>
        <v>0</v>
      </c>
      <c r="CJ333" s="339" t="str">
        <f>IF(VLOOKUP(T_BilanSocial[[#This Row],[NumL]],T_Commission[#Data],COLUMN(T_Commission[Encadrant Email]),FALSE)="","",VLOOKUP(T_BilanSocial[[#This Row],[NumL]],T_Commission[#Data],COLUMN(T_Commission[Encadrant Email]),FALSE))</f>
        <v/>
      </c>
      <c r="CK333" s="332" t="str">
        <f>IF(T_BilanSocial[[#This Row],[Final]]&lt;&gt;"",VLOOKUP(T_BilanSocial[[#This Row],[NumL]],T_suiviDi[#Data],COLUMN((T_suiviDi[Statut])),FALSE),"")</f>
        <v/>
      </c>
    </row>
    <row r="334" spans="1:89" s="50" customFormat="1" ht="21" customHeight="1" x14ac:dyDescent="0.25">
      <c r="A334" s="136">
        <v>331</v>
      </c>
      <c r="B334" s="330" t="str">
        <f t="shared" si="71"/>
        <v/>
      </c>
      <c r="C334" s="309"/>
      <c r="D334" s="95" t="e">
        <f>IF(VLOOKUP(T_BilanSocial[[#This Row],[NumL]],T_TraitDi[#Data],COLUMN(T_TraitDi[[#This Row],[WebC]]),FALSE)="","",VLOOKUP(T_BilanSocial[[#This Row],[NumL]],T_TraitDi[#Data],COLUMN(T_TraitDi[[#This Row],[WebC]]),FALSE))</f>
        <v>#VALUE!</v>
      </c>
      <c r="E334" s="95" t="str">
        <f t="shared" si="72"/>
        <v>12 janvier 2021</v>
      </c>
      <c r="F334" s="96" t="str">
        <f>IF(T_BilanSocial[[#This Row],[Final]]&lt;&gt;"",VLOOKUP(T_BilanSocial[[#This Row],[NumL]],T_suiviDi[#Data],COLUMN((T_suiviDi[Civ.])),FALSE),"")</f>
        <v/>
      </c>
      <c r="G334" s="96" t="str">
        <f>IF(T_BilanSocial[[#This Row],[Final]]&lt;&gt;"",VLOOKUP(T_BilanSocial[[#This Row],[NumL]],T_suiviDi[#Data],COLUMN((T_suiviDi[Nom])),FALSE),"")</f>
        <v/>
      </c>
      <c r="H334" s="96" t="str">
        <f>IF(T_BilanSocial[[#This Row],[Final]]&lt;&gt;"",VLOOKUP(T_BilanSocial[[#This Row],[NumL]],T_suiviDi[#Data],COLUMN((T_suiviDi[Prénom])),FALSE),"")</f>
        <v/>
      </c>
      <c r="I334" s="331" t="str">
        <f>IFERROR(VLOOKUP(T_BilanSocial[[#This Row],[Zone_Bilan]],T_P_BilanSocial[#Data],COLUMN(T_P_BilanSocial[[#This Row],[Numero_SIHAM]]),FALSE),"")</f>
        <v/>
      </c>
      <c r="J334" s="331" t="str">
        <f>IFERROR(VLOOKUP(T_BilanSocial[[#This Row],[Zone_Bilan]],T_P_BilanSocial[#Data],COLUMN(T_P_BilanSocial[[#This Row],[Sexe]]),FALSE),"")</f>
        <v/>
      </c>
      <c r="K334" s="294" t="str">
        <f>IFERROR(VLOOKUP(T_BilanSocial[[#This Row],[Zone_Bilan]],T_P_BilanSocial[#Data],COLUMN(T_P_BilanSocial[[#This Row],[Categorie]]),FALSE),"")</f>
        <v/>
      </c>
      <c r="L334" s="331" t="str">
        <f>IFERROR(VLOOKUP(T_BilanSocial[[#This Row],[Zone_Bilan]],T_P_BilanSocial[#Data],COLUMN(T_P_BilanSocial[[#This Row],[Statut]]),FALSE),"")</f>
        <v/>
      </c>
      <c r="M334" s="331" t="str">
        <f>IFERROR(VLOOKUP(T_BilanSocial[[#This Row],[Zone_Bilan]],T_P_BilanSocial[#Data],COLUMN(T_P_BilanSocial[[#This Row],[Filiere]]),FALSE),"")</f>
        <v/>
      </c>
      <c r="N334" s="331" t="e">
        <f>VLOOKUP(T_BilanSocial[[#This Row],[NumL]],T_TraitDi[#Data],COLUMN(T_TraitDi[EXP]),FALSE)</f>
        <v>#N/A</v>
      </c>
      <c r="O334" s="331" t="e">
        <f>VLOOKUP(T_BilanSocial[[#This Row],[NumL]],T_TraitDi[#Data],COLUMN(T_TraitDi[FORM]),FALSE)</f>
        <v>#N/A</v>
      </c>
      <c r="P334" s="96" t="str">
        <f>IF(T_BilanSocial[[#This Row],[Final]]&lt;&gt;"",VLOOKUP(T_BilanSocial[[#This Row],[NumL]],T_suiviDi[#Data],COLUMN((T_suiviDi[Email])),FALSE),"")</f>
        <v/>
      </c>
      <c r="Q334" s="96" t="e">
        <f t="shared" si="73"/>
        <v>#N/A</v>
      </c>
      <c r="R334" s="96" t="e">
        <f t="shared" si="74"/>
        <v>#N/A</v>
      </c>
      <c r="S334" s="96" t="str">
        <f t="shared" si="70"/>
        <v/>
      </c>
      <c r="T334" s="96" t="str">
        <f t="shared" si="75"/>
        <v>01 septembre 2021</v>
      </c>
      <c r="U334" s="96" t="str">
        <f t="shared" si="76"/>
        <v>30 novembre 2021</v>
      </c>
      <c r="V334" s="97">
        <f t="shared" si="77"/>
        <v>44530</v>
      </c>
      <c r="W334" s="176" t="e">
        <f>IF(VLOOKUP(T_BilanSocial[[#This Row],[NumL]],T_TraitDi[#Data],COLUMN(T_TraitDi[[#This Row],[M1]]),FALSE)="","",VLOOKUP(T_BilanSocial[[#This Row],[NumL]],T_TraitDi[#Data],COLUMN(T_TraitDi[[#This Row],[M1]]),FALSE))</f>
        <v>#VALUE!</v>
      </c>
      <c r="X334" s="96" t="str">
        <f t="shared" ref="X334:Y347" si="81">IFERROR(IF(VLOOKUP($A334,TraitementDI,X$3,FALSE)="",""," - "&amp;VLOOKUP($A334,TraitementDI,X$3,FALSE)),"")</f>
        <v/>
      </c>
      <c r="Y334" s="96" t="str">
        <f t="shared" si="81"/>
        <v/>
      </c>
      <c r="Z334" s="96" t="str">
        <f t="shared" si="78"/>
        <v/>
      </c>
      <c r="AA334" s="176" t="e">
        <f>IF(VLOOKUP(T_BilanSocial[[#This Row],[NumL]],T_TraitDi[#Data],COLUMN(T_TraitDi[[#This Row],[M5]]),FALSE)="","",VLOOKUP(T_BilanSocial[[#This Row],[NumL]],T_TraitDi[#Data],COLUMN(T_TraitDi[[#This Row],[M5]]),FALSE))</f>
        <v>#VALUE!</v>
      </c>
      <c r="AB334" s="176" t="e">
        <f>IF(VLOOKUP(T_BilanSocial[[#This Row],[NumL]],T_TraitDi[#Data],COLUMN(T_TraitDi[[#This Row],[M6]]),FALSE)="","",VLOOKUP(T_BilanSocial[[#This Row],[NumL]],T_TraitDi[#Data],COLUMN(T_TraitDi[[#This Row],[M6]]),FALSE))</f>
        <v>#VALUE!</v>
      </c>
      <c r="AC334" s="96" t="e">
        <f t="shared" si="80"/>
        <v>#VALUE!</v>
      </c>
      <c r="AD334" s="97" t="str">
        <f t="shared" si="79"/>
        <v/>
      </c>
      <c r="AE334" s="294" t="e">
        <f>VLOOKUP(T_BilanSocial[[#This Row],[NumL]],T_TraitDi[#Data],COLUMN(T_TraitDi[[#This Row],[Reg Ponct]]),FALSE)</f>
        <v>#VALUE!</v>
      </c>
      <c r="AF334" s="294" t="e">
        <f>VLOOKUP(T_BilanSocial[NumL],T_TraitDi[#Data],COLUMN(T_TraitDi[[#This Row],[Jours flottants]]),FALSE)</f>
        <v>#VALUE!</v>
      </c>
      <c r="AG334" s="97" t="str">
        <f>IFERROR(VLOOKUP(T_BilanSocial[[#This Row],[NumL]],T_TraitDi[#Data],COLUMN(T_TraitDi[[#This Row],[Lundi]]),FALSE),"")</f>
        <v/>
      </c>
      <c r="AH334" s="172" t="e">
        <f>IF(VLOOKUP(T_BilanSocial[[#This Row],[NumL]],T_TraitDi[#Data],COLUMN(T_TraitDi[[#This Row],[Colonne3]]),FALSE)=0,"",TEXT(IFERROR(VLOOKUP(T_BilanSocial[[#This Row],[NumL]],T_TraitDi[#Data],COLUMN(T_TraitDi[[#This Row],[Colonne3]]),FALSE),""),"[hh]:mm"))</f>
        <v>#VALUE!</v>
      </c>
      <c r="AI334" s="172" t="e">
        <f>IF(VLOOKUP(T_BilanSocial[[#This Row],[NumL]],T_TraitDi[#Data],COLUMN(T_TraitDi[[#This Row],[Colonne4]]),FALSE)=0,"",TEXT(IFERROR(VLOOKUP(T_BilanSocial[[#This Row],[NumL]],T_TraitDi[#Data],COLUMN(T_TraitDi[[#This Row],[Colonne4]]),FALSE),""),"[hh]:mm"))</f>
        <v>#VALUE!</v>
      </c>
      <c r="AJ334" s="172" t="e">
        <f>IF(VLOOKUP(T_BilanSocial[[#This Row],[NumL]],T_TraitDi[#Data],COLUMN(T_TraitDi[[#This Row],[Colonne5]]),FALSE)=0,"",TEXT(IFERROR(VLOOKUP(T_BilanSocial[[#This Row],[NumL]],T_TraitDi[#Data],COLUMN(T_TraitDi[[#This Row],[Colonne5]]),FALSE),""),"[hh]:mm"))</f>
        <v>#VALUE!</v>
      </c>
      <c r="AK334" s="172" t="e">
        <f>IF(VLOOKUP(T_BilanSocial[[#This Row],[NumL]],T_TraitDi[#Data],COLUMN(T_TraitDi[[#This Row],[Colonne6]]),FALSE)=0,"",TEXT(IFERROR(VLOOKUP(T_BilanSocial[[#This Row],[NumL]],T_TraitDi[#Data],COLUMN(T_TraitDi[[#This Row],[Colonne6]]),FALSE),""),"[hh]:mm"))</f>
        <v>#VALUE!</v>
      </c>
      <c r="AL334" s="172" t="e">
        <f>IF(VLOOKUP(T_BilanSocial[[#This Row],[NumL]],T_TraitDi[#Data],COLUMN(T_TraitDi[[#This Row],[Colonne7]]),FALSE)=0,"",TEXT(IFERROR(VLOOKUP(T_BilanSocial[[#This Row],[NumL]],T_TraitDi[#Data],COLUMN(T_TraitDi[[#This Row],[Colonne7]]),FALSE),""),"[hh]:mm"))</f>
        <v>#VALUE!</v>
      </c>
      <c r="AM334" s="172" t="e">
        <f>IF(VLOOKUP(T_BilanSocial[[#This Row],[NumL]],T_TraitDi[#Data],COLUMN(T_TraitDi[[#This Row],[Colonne8]]),FALSE)=0,"",TEXT(IFERROR(VLOOKUP(T_BilanSocial[[#This Row],[NumL]],T_TraitDi[#Data],COLUMN(T_TraitDi[[#This Row],[Colonne8]]),FALSE),""),"[hh]:mm"))</f>
        <v>#VALUE!</v>
      </c>
      <c r="AN334" s="172" t="str">
        <f>IFERROR(VLOOKUP(T_BilanSocial[[#This Row],[NumL]],T_TraitDi[#Data],COLUMN(T_TraitDi[[#This Row],[Mardi]]),FALSE),"")</f>
        <v/>
      </c>
      <c r="AO334" s="172" t="e">
        <f>IF(VLOOKUP(T_BilanSocial[[#This Row],[NumL]],T_TraitDi[#Data],COLUMN(T_TraitDi[[#This Row],[Colonne1]]),FALSE)=0,"",TEXT(IFERROR(VLOOKUP(T_BilanSocial[[#This Row],[NumL]],T_TraitDi[#Data],COLUMN(T_TraitDi[[#This Row],[Colonne1]]),FALSE),""),"[hh]:mm"))</f>
        <v>#VALUE!</v>
      </c>
      <c r="AP334" s="172" t="e">
        <f>IF(VLOOKUP(T_BilanSocial[[#This Row],[NumL]],T_TraitDi[#Data],COLUMN(T_TraitDi[[#This Row],[Colonne9]]),FALSE)=0,"",TEXT(IFERROR(VLOOKUP(T_BilanSocial[[#This Row],[NumL]],T_TraitDi[#Data],COLUMN(T_TraitDi[[#This Row],[Colonne9]]),FALSE),""),"[hh]:mm"))</f>
        <v>#VALUE!</v>
      </c>
      <c r="AQ334" s="172" t="str">
        <f>IFERROR(VLOOKUP(T_BilanSocial[[#This Row],[NumL]],T_TraitDi[#Data],COLUMN(T_TraitDi[[#This Row],[Colonne10]]),FALSE),"")</f>
        <v/>
      </c>
      <c r="AR334" s="172" t="e">
        <f>IF(VLOOKUP(T_BilanSocial[[#This Row],[NumL]],T_TraitDi[#Data],COLUMN(T_TraitDi[[#This Row],[Colonne11]]),FALSE)=0,"",TEXT(IFERROR(VLOOKUP(T_BilanSocial[[#This Row],[NumL]],T_TraitDi[#Data],COLUMN(T_TraitDi[[#This Row],[Colonne11]]),FALSE),""),"[hh]:mm"))</f>
        <v>#VALUE!</v>
      </c>
      <c r="AS334" s="172" t="e">
        <f>IF(VLOOKUP(T_BilanSocial[[#This Row],[NumL]],T_TraitDi[#Data],COLUMN(T_TraitDi[[#This Row],[Colonne12]]),FALSE)=0,"",TEXT(IFERROR(VLOOKUP(T_BilanSocial[[#This Row],[NumL]],T_TraitDi[#Data],COLUMN(T_TraitDi[[#This Row],[Colonne12]]),FALSE),""),"[hh]:mm"))</f>
        <v>#VALUE!</v>
      </c>
      <c r="AT334" s="172" t="e">
        <f>IF(VLOOKUP(T_BilanSocial[[#This Row],[NumL]],T_TraitDi[#Data],COLUMN(T_TraitDi[[#This Row],[Colonne14]]),FALSE)=0,"",TEXT(IFERROR(VLOOKUP(T_BilanSocial[[#This Row],[NumL]],T_TraitDi[#Data],COLUMN(T_TraitDi[[#This Row],[Colonne14]]),FALSE),""),"[hh]:mm"))</f>
        <v>#VALUE!</v>
      </c>
      <c r="AU334" s="172" t="str">
        <f>IFERROR(VLOOKUP(T_BilanSocial[[#This Row],[NumL]],T_TraitDi[#Data],COLUMN(T_TraitDi[[#This Row],[Mercredi]]),FALSE),"")</f>
        <v/>
      </c>
      <c r="AV334" s="172" t="e">
        <f>IF(VLOOKUP(T_BilanSocial[[#This Row],[NumL]],T_TraitDi[#Data],COLUMN(T_TraitDi[[#This Row],[Colonne15]]),FALSE)=0,"",TEXT(IFERROR(VLOOKUP(T_BilanSocial[[#This Row],[NumL]],T_TraitDi[#Data],COLUMN(T_TraitDi[[#This Row],[Colonne15]]),FALSE),""),"[hh]:mm"))</f>
        <v>#VALUE!</v>
      </c>
      <c r="AW334" s="172" t="e">
        <f>IF(VLOOKUP(T_BilanSocial[[#This Row],[NumL]],T_TraitDi[#Data],COLUMN(T_TraitDi[[#This Row],[Colonne16]]),FALSE)=0,"",TEXT(IFERROR(VLOOKUP(T_BilanSocial[[#This Row],[NumL]],T_TraitDi[#Data],COLUMN(T_TraitDi[[#This Row],[Colonne16]]),FALSE),""),"[hh]:mm"))</f>
        <v>#VALUE!</v>
      </c>
      <c r="AX334" s="172" t="str">
        <f>IFERROR(VLOOKUP(T_BilanSocial[[#This Row],[NumL]],T_TraitDi[#Data],COLUMN(T_TraitDi[[#This Row],[Colonne17]]),FALSE),"")</f>
        <v/>
      </c>
      <c r="AY334" s="172" t="e">
        <f>IF(VLOOKUP(T_BilanSocial[[#This Row],[NumL]],T_TraitDi[#Data],COLUMN(T_TraitDi[[#This Row],[Colonne18]]),FALSE)=0,"",TEXT(IFERROR(VLOOKUP(T_BilanSocial[[#This Row],[NumL]],T_TraitDi[#Data],COLUMN(T_TraitDi[[#This Row],[Colonne18]]),FALSE),""),"[hh]:mm"))</f>
        <v>#VALUE!</v>
      </c>
      <c r="AZ334" s="172" t="e">
        <f>IF(VLOOKUP(T_BilanSocial[[#This Row],[NumL]],T_TraitDi[#Data],COLUMN(T_TraitDi[[#This Row],[Colonne19]]),FALSE)=0,"",TEXT(IFERROR(VLOOKUP(T_BilanSocial[[#This Row],[NumL]],T_TraitDi[#Data],COLUMN(T_TraitDi[[#This Row],[Colonne19]]),FALSE),""),"[hh]:mm"))</f>
        <v>#VALUE!</v>
      </c>
      <c r="BA334" s="172" t="e">
        <f>IF(VLOOKUP(T_BilanSocial[[#This Row],[NumL]],T_TraitDi[#Data],COLUMN(T_TraitDi[[#This Row],[Colonne20]]),FALSE)=0,"",TEXT(IFERROR(VLOOKUP(T_BilanSocial[[#This Row],[NumL]],T_TraitDi[#Data],COLUMN(T_TraitDi[[#This Row],[Colonne20]]),FALSE),""),"[hh]:mm"))</f>
        <v>#VALUE!</v>
      </c>
      <c r="BB334" s="178" t="str">
        <f>IFERROR(VLOOKUP(T_BilanSocial[[#This Row],[NumL]],T_TraitDi[#Data],COLUMN(T_TraitDi[[#This Row],[Jeudi]]),FALSE),"")</f>
        <v/>
      </c>
      <c r="BC334" s="178" t="e">
        <f>IF(VLOOKUP(T_BilanSocial[[#This Row],[NumL]],T_TraitDi[#Data],COLUMN(T_TraitDi[[#This Row],[Colonne21]]),FALSE)=0,"",TEXT(IFERROR(VLOOKUP(T_BilanSocial[[#This Row],[NumL]],T_TraitDi[#Data],COLUMN(T_TraitDi[[#This Row],[Colonne21]]),FALSE),""),"[hh]:mm"))</f>
        <v>#VALUE!</v>
      </c>
      <c r="BD334" s="178" t="e">
        <f>IF(VLOOKUP(T_BilanSocial[[#This Row],[NumL]],T_TraitDi[#Data],COLUMN(T_TraitDi[[#This Row],[Colonne22]]),FALSE)=0,"",TEXT(IFERROR(VLOOKUP(T_BilanSocial[[#This Row],[NumL]],T_TraitDi[#Data],COLUMN(T_TraitDi[[#This Row],[Colonne22]]),FALSE),""),"[hh]:mm"))</f>
        <v>#VALUE!</v>
      </c>
      <c r="BE334" s="178" t="str">
        <f>IFERROR(VLOOKUP(T_BilanSocial[[#This Row],[NumL]],T_TraitDi[#Data],COLUMN(T_TraitDi[[#This Row],[Colonne23]]),FALSE),"")</f>
        <v/>
      </c>
      <c r="BF334" s="178" t="e">
        <f>IF(VLOOKUP(T_BilanSocial[[#This Row],[NumL]],T_TraitDi[#Data],COLUMN(T_TraitDi[[#This Row],[Colonne24]]),FALSE)=0,"",TEXT(IFERROR(VLOOKUP(T_BilanSocial[[#This Row],[NumL]],T_TraitDi[#Data],COLUMN(T_TraitDi[[#This Row],[Colonne24]]),FALSE),""),"[hh]:mm"))</f>
        <v>#VALUE!</v>
      </c>
      <c r="BG334" s="178" t="e">
        <f>IF(VLOOKUP(T_BilanSocial[[#This Row],[NumL]],T_TraitDi[#Data],COLUMN(T_TraitDi[[#This Row],[Colonne25]]),FALSE)=0,"",TEXT(IFERROR(VLOOKUP(T_BilanSocial[[#This Row],[NumL]],T_TraitDi[#Data],COLUMN(T_TraitDi[[#This Row],[Colonne25]]),FALSE),""),"[hh]:mm"))</f>
        <v>#VALUE!</v>
      </c>
      <c r="BH334" s="178" t="e">
        <f>IF(VLOOKUP(T_BilanSocial[[#This Row],[NumL]],T_TraitDi[#Data],COLUMN(T_TraitDi[[#This Row],[Colonne26]]),FALSE)=0,"",TEXT(IFERROR(VLOOKUP(T_BilanSocial[[#This Row],[NumL]],T_TraitDi[#Data],COLUMN(T_TraitDi[[#This Row],[Colonne26]]),FALSE),""),"[hh]:mm"))</f>
        <v>#VALUE!</v>
      </c>
      <c r="BI334" s="172" t="str">
        <f>IFERROR(VLOOKUP(T_BilanSocial[[#This Row],[NumL]],T_TraitDi[#Data],COLUMN(T_TraitDi[[#This Row],[Vendredi]]),FALSE),"")</f>
        <v/>
      </c>
      <c r="BJ334" s="172" t="e">
        <f>IF(VLOOKUP(T_BilanSocial[[#This Row],[NumL]],T_TraitDi[#Data],COLUMN(T_TraitDi[[#This Row],[Colonne27]]),FALSE)=0,"",TEXT(IFERROR(VLOOKUP(T_BilanSocial[[#This Row],[NumL]],T_TraitDi[#Data],COLUMN(T_TraitDi[[#This Row],[Colonne27]]),FALSE),""),"[hh]:mm"))</f>
        <v>#VALUE!</v>
      </c>
      <c r="BK334" s="172" t="e">
        <f>IF(VLOOKUP(T_BilanSocial[[#This Row],[NumL]],T_TraitDi[#Data],COLUMN(T_TraitDi[[#This Row],[Colonne28]]),FALSE)=0,"",TEXT(IFERROR(VLOOKUP(T_BilanSocial[[#This Row],[NumL]],T_TraitDi[#Data],COLUMN(T_TraitDi[[#This Row],[Colonne28]]),FALSE),""),"[hh]:mm"))</f>
        <v>#VALUE!</v>
      </c>
      <c r="BL334" s="172" t="str">
        <f>IFERROR(VLOOKUP(T_BilanSocial[[#This Row],[NumL]],T_TraitDi[#Data],COLUMN(T_TraitDi[[#This Row],[Colonne29]]),FALSE),"")</f>
        <v/>
      </c>
      <c r="BM334" s="172" t="e">
        <f>IF(VLOOKUP(T_BilanSocial[[#This Row],[NumL]],T_TraitDi[#Data],COLUMN(T_TraitDi[[#This Row],[Colonne30]]),FALSE)=0,"",TEXT(IFERROR(VLOOKUP(T_BilanSocial[[#This Row],[NumL]],T_TraitDi[#Data],COLUMN(T_TraitDi[[#This Row],[Colonne30]]),FALSE),""),"[hh]:mm"))</f>
        <v>#VALUE!</v>
      </c>
      <c r="BN334" s="172" t="e">
        <f>IF(VLOOKUP(T_BilanSocial[[#This Row],[NumL]],T_TraitDi[#Data],COLUMN(T_TraitDi[[#This Row],[Colonne31]]),FALSE)=0,"",TEXT(IFERROR(VLOOKUP(T_BilanSocial[[#This Row],[NumL]],T_TraitDi[#Data],COLUMN(T_TraitDi[[#This Row],[Colonne31]]),FALSE),""),"[hh]:mm"))</f>
        <v>#VALUE!</v>
      </c>
      <c r="BO334" s="172" t="e">
        <f>IF(VLOOKUP(T_BilanSocial[[#This Row],[NumL]],T_TraitDi[#Data],COLUMN(T_TraitDi[[#This Row],[Colonne32]]),FALSE)=0,"",TEXT(IFERROR(VLOOKUP(T_BilanSocial[[#This Row],[NumL]],T_TraitDi[#Data],COLUMN(T_TraitDi[[#This Row],[Colonne32]]),FALSE),""),"[hh]:mm"))</f>
        <v>#VALUE!</v>
      </c>
      <c r="BP334" s="172" t="e">
        <f>VLOOKUP(T_BilanSocial[[#This Row],[NumL]],T_TraitDi[#Data],COLUMN(T_TraitDi[NbJTot]),FALSE)</f>
        <v>#N/A</v>
      </c>
      <c r="BQ334" s="174" t="str">
        <f>IFERROR(VLOOKUP(T_BilanSocial[[#This Row],[NumL]],T_TraitDi[#Data],COLUMN(T_TraitDi[[#This Row],[NbJTW]]),FALSE),"")</f>
        <v/>
      </c>
      <c r="BR334" s="174" t="e">
        <f>IF(VLOOKUP(T_BilanSocial[[#This Row],[NumL]],T_TraitDi[#Data],COLUMN(T_TraitDi[[#This Row],[NbhTW]]),FALSE)=0,"",TEXT(IFERROR(VLOOKUP(T_BilanSocial[[#This Row],[NumL]],T_TraitDi[#Data],COLUMN(T_TraitDi[[#This Row],[NbhTW]]),FALSE),""),"[hh]:mm"))</f>
        <v>#VALUE!</v>
      </c>
      <c r="BS334" s="174" t="e">
        <f>IF(VLOOKUP(T_BilanSocial[[#This Row],[NumL]],T_TraitDi[#Data],COLUMN(T_TraitDi[[#This Row],[Nbhheb]]),FALSE)=0,"",TEXT(IFERROR(VLOOKUP($A334,T_TraitDi[#Data],COLUMN(T_TraitDi[[#This Row],[Nbhheb]]),FALSE),""),"[hh]:mm"))</f>
        <v>#VALUE!</v>
      </c>
      <c r="BT334" s="182" t="str">
        <f>IFERROR(VLOOKUP(VLOOKUP($A334,T_TraitDi[#Data],COLUMN(T_TraitDi[[#This Row],[Type1]]),FALSE),TypeTW,2,FALSE),"")</f>
        <v/>
      </c>
      <c r="BU334" s="182" t="str">
        <f>IFERROR(VLOOKUP($A334,T_TraitDi[#Data],COLUMN(T_TraitDi[[#This Row],[Rue1]]),FALSE),"")</f>
        <v/>
      </c>
      <c r="BV334" s="173" t="str">
        <f>IFERROR(VLOOKUP($A334,T_TraitDi[#Data],COLUMN(T_TraitDi[[#This Row],[CP1]]),FALSE),"")</f>
        <v/>
      </c>
      <c r="BW334" s="173" t="str">
        <f>IFERROR(VLOOKUP($A334,T_TraitDi[#Data],COLUMN(T_TraitDi[[#This Row],[VILLE1]]),FALSE),"")</f>
        <v/>
      </c>
      <c r="BX334" s="182" t="str">
        <f>IFERROR(VLOOKUP(VLOOKUP($A334,T_TraitDi[#Data],COLUMN(T_TraitDi[[#This Row],[Type2]]),FALSE),TypeTW,2,FALSE),"")</f>
        <v/>
      </c>
      <c r="BY334" s="182" t="str">
        <f>IFERROR(VLOOKUP($A334,T_TraitDi[#Data],COLUMN(T_TraitDi[[#This Row],[Rue2]]),FALSE),"")</f>
        <v/>
      </c>
      <c r="BZ334" s="173" t="str">
        <f>IFERROR(VLOOKUP($A334,T_TraitDi[#Data],COLUMN(T_TraitDi[[#This Row],[CP2]]),FALSE),"")</f>
        <v/>
      </c>
      <c r="CA334" s="173" t="str">
        <f>IFERROR(VLOOKUP($A334,T_TraitDi[#Data],COLUMN(T_TraitDi[[#This Row],[VILLE2]]),FALSE),"")</f>
        <v/>
      </c>
      <c r="CB334" s="182" t="e">
        <f>IF(VLOOKUP(T_BilanSocial[[#This Row],[NumL]],T_Equipement[#Data],COLUMN(T_Equipement[[#This Row],[PC]]),FALSE)="","Aucun équipement spécifique directement lié au télétravail",VLOOKUP(T_BilanSocial[[#This Row],[NumL]],T_Equipement[#Data],COLUMN(T_Equipement[[#This Row],[PC]]),FALSE))</f>
        <v>#VALUE!</v>
      </c>
      <c r="CC334" s="166" t="str">
        <f>IFERROR(IF(VLOOKUP(T_BilanSocial[[#This Row],[NumL]],T_TraitDi[#Data],COLUMN(T_TraitDi[[#This Row],[Plan]]),FALSE)="OK","Un planning spécifique de télétravail est annexé à la présente convention.",""),"")</f>
        <v/>
      </c>
      <c r="CD334" s="301"/>
      <c r="CE334" s="164" t="e">
        <f>IF(VLOOKUP(T_BilanSocial[[#This Row],[NumL]],T_suiviDi[#Data],COLUMN(T_suiviDi[[#This Row],[Entité]]),FALSE)="","",VLOOKUP(T_BilanSocial[[#This Row],[NumL]],T_suiviDi[#Data],COLUMN(T_suiviDi[[#This Row],[Entité]]),FALSE))</f>
        <v>#VALUE!</v>
      </c>
      <c r="CF334" s="164" t="e">
        <f>IF(VLOOKUP(T_BilanSocial[[#This Row],[NumL]],T_Commission[#Data],COLUMN(T_Commission[[#This Row],[envoi confirm TW]]),FALSE)="","",VLOOKUP(T_BilanSocial[[#This Row],[NumL]],T_Commission[#Data],COLUMN(T_Commission[[#This Row],[envoi confirm TW]]),FALSE))</f>
        <v>#VALUE!</v>
      </c>
      <c r="CG33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4" s="339" t="str">
        <f>T_BilanSocial[[#This Row],[Nom]]&amp;T_BilanSocial[[#This Row],[Prenom]]</f>
        <v/>
      </c>
      <c r="CI334" s="339">
        <f>VLOOKUP(T_BilanSocial[[#This Row],[NumL]],T_Commission[#Data],COLUMN(T_Commission[Commentaire]),FALSE)</f>
        <v>0</v>
      </c>
      <c r="CJ334" s="339" t="str">
        <f>IF(VLOOKUP(T_BilanSocial[[#This Row],[NumL]],T_Commission[#Data],COLUMN(T_Commission[Encadrant Email]),FALSE)="","",VLOOKUP(T_BilanSocial[[#This Row],[NumL]],T_Commission[#Data],COLUMN(T_Commission[Encadrant Email]),FALSE))</f>
        <v/>
      </c>
      <c r="CK334" s="332" t="str">
        <f>IF(T_BilanSocial[[#This Row],[Final]]&lt;&gt;"",VLOOKUP(T_BilanSocial[[#This Row],[NumL]],T_suiviDi[#Data],COLUMN((T_suiviDi[Statut])),FALSE),"")</f>
        <v/>
      </c>
    </row>
    <row r="335" spans="1:89" s="50" customFormat="1" ht="29.25" customHeight="1" x14ac:dyDescent="0.25">
      <c r="A335" s="136">
        <v>332</v>
      </c>
      <c r="B335" s="330" t="str">
        <f t="shared" si="71"/>
        <v/>
      </c>
      <c r="C335" s="309"/>
      <c r="D335" s="95" t="e">
        <f>IF(VLOOKUP(T_BilanSocial[[#This Row],[NumL]],T_TraitDi[#Data],COLUMN(T_TraitDi[[#This Row],[WebC]]),FALSE)="","",VLOOKUP(T_BilanSocial[[#This Row],[NumL]],T_TraitDi[#Data],COLUMN(T_TraitDi[[#This Row],[WebC]]),FALSE))</f>
        <v>#VALUE!</v>
      </c>
      <c r="E335" s="95" t="str">
        <f t="shared" si="72"/>
        <v>12 janvier 2021</v>
      </c>
      <c r="F335" s="96" t="str">
        <f>IF(T_BilanSocial[[#This Row],[Final]]&lt;&gt;"",VLOOKUP(T_BilanSocial[[#This Row],[NumL]],T_suiviDi[#Data],COLUMN((T_suiviDi[Civ.])),FALSE),"")</f>
        <v/>
      </c>
      <c r="G335" s="96" t="str">
        <f>IF(T_BilanSocial[[#This Row],[Final]]&lt;&gt;"",VLOOKUP(T_BilanSocial[[#This Row],[NumL]],T_suiviDi[#Data],COLUMN((T_suiviDi[Nom])),FALSE),"")</f>
        <v/>
      </c>
      <c r="H335" s="96" t="str">
        <f>IF(T_BilanSocial[[#This Row],[Final]]&lt;&gt;"",VLOOKUP(T_BilanSocial[[#This Row],[NumL]],T_suiviDi[#Data],COLUMN((T_suiviDi[Prénom])),FALSE),"")</f>
        <v/>
      </c>
      <c r="I335" s="331" t="str">
        <f>IFERROR(VLOOKUP(T_BilanSocial[[#This Row],[Zone_Bilan]],T_P_BilanSocial[#Data],COLUMN(T_P_BilanSocial[[#This Row],[Numero_SIHAM]]),FALSE),"")</f>
        <v/>
      </c>
      <c r="J335" s="331" t="str">
        <f>IFERROR(VLOOKUP(T_BilanSocial[[#This Row],[Zone_Bilan]],T_P_BilanSocial[#Data],COLUMN(T_P_BilanSocial[[#This Row],[Sexe]]),FALSE),"")</f>
        <v/>
      </c>
      <c r="K335" s="294" t="str">
        <f>IFERROR(VLOOKUP(T_BilanSocial[[#This Row],[Zone_Bilan]],T_P_BilanSocial[#Data],COLUMN(T_P_BilanSocial[[#This Row],[Categorie]]),FALSE),"")</f>
        <v/>
      </c>
      <c r="L335" s="331" t="str">
        <f>IFERROR(VLOOKUP(T_BilanSocial[[#This Row],[Zone_Bilan]],T_P_BilanSocial[#Data],COLUMN(T_P_BilanSocial[[#This Row],[Statut]]),FALSE),"")</f>
        <v/>
      </c>
      <c r="M335" s="331" t="str">
        <f>IFERROR(VLOOKUP(T_BilanSocial[[#This Row],[Zone_Bilan]],T_P_BilanSocial[#Data],COLUMN(T_P_BilanSocial[[#This Row],[Filiere]]),FALSE),"")</f>
        <v/>
      </c>
      <c r="N335" s="331" t="e">
        <f>VLOOKUP(T_BilanSocial[[#This Row],[NumL]],T_TraitDi[#Data],COLUMN(T_TraitDi[EXP]),FALSE)</f>
        <v>#N/A</v>
      </c>
      <c r="O335" s="331" t="e">
        <f>VLOOKUP(T_BilanSocial[[#This Row],[NumL]],T_TraitDi[#Data],COLUMN(T_TraitDi[FORM]),FALSE)</f>
        <v>#N/A</v>
      </c>
      <c r="P335" s="96" t="str">
        <f>IF(T_BilanSocial[[#This Row],[Final]]&lt;&gt;"",VLOOKUP(T_BilanSocial[[#This Row],[NumL]],T_suiviDi[#Data],COLUMN((T_suiviDi[Email])),FALSE),"")</f>
        <v/>
      </c>
      <c r="Q335" s="96" t="e">
        <f t="shared" si="73"/>
        <v>#N/A</v>
      </c>
      <c r="R335" s="96" t="e">
        <f t="shared" si="74"/>
        <v>#N/A</v>
      </c>
      <c r="S335" s="96" t="str">
        <f t="shared" si="70"/>
        <v/>
      </c>
      <c r="T335" s="96" t="str">
        <f t="shared" si="75"/>
        <v>01 septembre 2021</v>
      </c>
      <c r="U335" s="96" t="str">
        <f t="shared" si="76"/>
        <v>30 novembre 2021</v>
      </c>
      <c r="V335" s="97">
        <f t="shared" si="77"/>
        <v>44530</v>
      </c>
      <c r="W335" s="176" t="e">
        <f>IF(VLOOKUP(T_BilanSocial[[#This Row],[NumL]],T_TraitDi[#Data],COLUMN(T_TraitDi[[#This Row],[M1]]),FALSE)="","",VLOOKUP(T_BilanSocial[[#This Row],[NumL]],T_TraitDi[#Data],COLUMN(T_TraitDi[[#This Row],[M1]]),FALSE))</f>
        <v>#VALUE!</v>
      </c>
      <c r="X335" s="96" t="str">
        <f t="shared" si="81"/>
        <v/>
      </c>
      <c r="Y335" s="96" t="str">
        <f t="shared" si="81"/>
        <v/>
      </c>
      <c r="Z335" s="96" t="str">
        <f t="shared" si="78"/>
        <v/>
      </c>
      <c r="AA335" s="176" t="e">
        <f>IF(VLOOKUP(T_BilanSocial[[#This Row],[NumL]],T_TraitDi[#Data],COLUMN(T_TraitDi[[#This Row],[M5]]),FALSE)="","",VLOOKUP(T_BilanSocial[[#This Row],[NumL]],T_TraitDi[#Data],COLUMN(T_TraitDi[[#This Row],[M5]]),FALSE))</f>
        <v>#VALUE!</v>
      </c>
      <c r="AB335" s="176" t="e">
        <f>IF(VLOOKUP(T_BilanSocial[[#This Row],[NumL]],T_TraitDi[#Data],COLUMN(T_TraitDi[[#This Row],[M6]]),FALSE)="","",VLOOKUP(T_BilanSocial[[#This Row],[NumL]],T_TraitDi[#Data],COLUMN(T_TraitDi[[#This Row],[M6]]),FALSE))</f>
        <v>#VALUE!</v>
      </c>
      <c r="AC335" s="96" t="e">
        <f t="shared" si="80"/>
        <v>#VALUE!</v>
      </c>
      <c r="AD335" s="97" t="str">
        <f t="shared" si="79"/>
        <v/>
      </c>
      <c r="AE335" s="294" t="e">
        <f>VLOOKUP(T_BilanSocial[[#This Row],[NumL]],T_TraitDi[#Data],COLUMN(T_TraitDi[[#This Row],[Reg Ponct]]),FALSE)</f>
        <v>#VALUE!</v>
      </c>
      <c r="AF335" s="294" t="e">
        <f>VLOOKUP(T_BilanSocial[NumL],T_TraitDi[#Data],COLUMN(T_TraitDi[[#This Row],[Jours flottants]]),FALSE)</f>
        <v>#VALUE!</v>
      </c>
      <c r="AG335" s="97" t="str">
        <f>IFERROR(VLOOKUP(T_BilanSocial[[#This Row],[NumL]],T_TraitDi[#Data],COLUMN(T_TraitDi[[#This Row],[Lundi]]),FALSE),"")</f>
        <v/>
      </c>
      <c r="AH335" s="172" t="e">
        <f>IF(VLOOKUP(T_BilanSocial[[#This Row],[NumL]],T_TraitDi[#Data],COLUMN(T_TraitDi[[#This Row],[Colonne3]]),FALSE)=0,"",TEXT(IFERROR(VLOOKUP(T_BilanSocial[[#This Row],[NumL]],T_TraitDi[#Data],COLUMN(T_TraitDi[[#This Row],[Colonne3]]),FALSE),""),"[hh]:mm"))</f>
        <v>#VALUE!</v>
      </c>
      <c r="AI335" s="172" t="e">
        <f>IF(VLOOKUP(T_BilanSocial[[#This Row],[NumL]],T_TraitDi[#Data],COLUMN(T_TraitDi[[#This Row],[Colonne4]]),FALSE)=0,"",TEXT(IFERROR(VLOOKUP(T_BilanSocial[[#This Row],[NumL]],T_TraitDi[#Data],COLUMN(T_TraitDi[[#This Row],[Colonne4]]),FALSE),""),"[hh]:mm"))</f>
        <v>#VALUE!</v>
      </c>
      <c r="AJ335" s="172" t="e">
        <f>IF(VLOOKUP(T_BilanSocial[[#This Row],[NumL]],T_TraitDi[#Data],COLUMN(T_TraitDi[[#This Row],[Colonne5]]),FALSE)=0,"",TEXT(IFERROR(VLOOKUP(T_BilanSocial[[#This Row],[NumL]],T_TraitDi[#Data],COLUMN(T_TraitDi[[#This Row],[Colonne5]]),FALSE),""),"[hh]:mm"))</f>
        <v>#VALUE!</v>
      </c>
      <c r="AK335" s="172" t="e">
        <f>IF(VLOOKUP(T_BilanSocial[[#This Row],[NumL]],T_TraitDi[#Data],COLUMN(T_TraitDi[[#This Row],[Colonne6]]),FALSE)=0,"",TEXT(IFERROR(VLOOKUP(T_BilanSocial[[#This Row],[NumL]],T_TraitDi[#Data],COLUMN(T_TraitDi[[#This Row],[Colonne6]]),FALSE),""),"[hh]:mm"))</f>
        <v>#VALUE!</v>
      </c>
      <c r="AL335" s="172" t="e">
        <f>IF(VLOOKUP(T_BilanSocial[[#This Row],[NumL]],T_TraitDi[#Data],COLUMN(T_TraitDi[[#This Row],[Colonne7]]),FALSE)=0,"",TEXT(IFERROR(VLOOKUP(T_BilanSocial[[#This Row],[NumL]],T_TraitDi[#Data],COLUMN(T_TraitDi[[#This Row],[Colonne7]]),FALSE),""),"[hh]:mm"))</f>
        <v>#VALUE!</v>
      </c>
      <c r="AM335" s="172" t="e">
        <f>IF(VLOOKUP(T_BilanSocial[[#This Row],[NumL]],T_TraitDi[#Data],COLUMN(T_TraitDi[[#This Row],[Colonne8]]),FALSE)=0,"",TEXT(IFERROR(VLOOKUP(T_BilanSocial[[#This Row],[NumL]],T_TraitDi[#Data],COLUMN(T_TraitDi[[#This Row],[Colonne8]]),FALSE),""),"[hh]:mm"))</f>
        <v>#VALUE!</v>
      </c>
      <c r="AN335" s="172" t="str">
        <f>IFERROR(VLOOKUP(T_BilanSocial[[#This Row],[NumL]],T_TraitDi[#Data],COLUMN(T_TraitDi[[#This Row],[Mardi]]),FALSE),"")</f>
        <v/>
      </c>
      <c r="AO335" s="172" t="e">
        <f>IF(VLOOKUP(T_BilanSocial[[#This Row],[NumL]],T_TraitDi[#Data],COLUMN(T_TraitDi[[#This Row],[Colonne1]]),FALSE)=0,"",TEXT(IFERROR(VLOOKUP(T_BilanSocial[[#This Row],[NumL]],T_TraitDi[#Data],COLUMN(T_TraitDi[[#This Row],[Colonne1]]),FALSE),""),"[hh]:mm"))</f>
        <v>#VALUE!</v>
      </c>
      <c r="AP335" s="172" t="e">
        <f>IF(VLOOKUP(T_BilanSocial[[#This Row],[NumL]],T_TraitDi[#Data],COLUMN(T_TraitDi[[#This Row],[Colonne9]]),FALSE)=0,"",TEXT(IFERROR(VLOOKUP(T_BilanSocial[[#This Row],[NumL]],T_TraitDi[#Data],COLUMN(T_TraitDi[[#This Row],[Colonne9]]),FALSE),""),"[hh]:mm"))</f>
        <v>#VALUE!</v>
      </c>
      <c r="AQ335" s="172" t="str">
        <f>IFERROR(VLOOKUP(T_BilanSocial[[#This Row],[NumL]],T_TraitDi[#Data],COLUMN(T_TraitDi[[#This Row],[Colonne10]]),FALSE),"")</f>
        <v/>
      </c>
      <c r="AR335" s="172" t="e">
        <f>IF(VLOOKUP(T_BilanSocial[[#This Row],[NumL]],T_TraitDi[#Data],COLUMN(T_TraitDi[[#This Row],[Colonne11]]),FALSE)=0,"",TEXT(IFERROR(VLOOKUP(T_BilanSocial[[#This Row],[NumL]],T_TraitDi[#Data],COLUMN(T_TraitDi[[#This Row],[Colonne11]]),FALSE),""),"[hh]:mm"))</f>
        <v>#VALUE!</v>
      </c>
      <c r="AS335" s="172" t="e">
        <f>IF(VLOOKUP(T_BilanSocial[[#This Row],[NumL]],T_TraitDi[#Data],COLUMN(T_TraitDi[[#This Row],[Colonne12]]),FALSE)=0,"",TEXT(IFERROR(VLOOKUP(T_BilanSocial[[#This Row],[NumL]],T_TraitDi[#Data],COLUMN(T_TraitDi[[#This Row],[Colonne12]]),FALSE),""),"[hh]:mm"))</f>
        <v>#VALUE!</v>
      </c>
      <c r="AT335" s="172" t="e">
        <f>IF(VLOOKUP(T_BilanSocial[[#This Row],[NumL]],T_TraitDi[#Data],COLUMN(T_TraitDi[[#This Row],[Colonne14]]),FALSE)=0,"",TEXT(IFERROR(VLOOKUP(T_BilanSocial[[#This Row],[NumL]],T_TraitDi[#Data],COLUMN(T_TraitDi[[#This Row],[Colonne14]]),FALSE),""),"[hh]:mm"))</f>
        <v>#VALUE!</v>
      </c>
      <c r="AU335" s="172" t="str">
        <f>IFERROR(VLOOKUP(T_BilanSocial[[#This Row],[NumL]],T_TraitDi[#Data],COLUMN(T_TraitDi[[#This Row],[Mercredi]]),FALSE),"")</f>
        <v/>
      </c>
      <c r="AV335" s="172" t="e">
        <f>IF(VLOOKUP(T_BilanSocial[[#This Row],[NumL]],T_TraitDi[#Data],COLUMN(T_TraitDi[[#This Row],[Colonne15]]),FALSE)=0,"",TEXT(IFERROR(VLOOKUP(T_BilanSocial[[#This Row],[NumL]],T_TraitDi[#Data],COLUMN(T_TraitDi[[#This Row],[Colonne15]]),FALSE),""),"[hh]:mm"))</f>
        <v>#VALUE!</v>
      </c>
      <c r="AW335" s="172" t="e">
        <f>IF(VLOOKUP(T_BilanSocial[[#This Row],[NumL]],T_TraitDi[#Data],COLUMN(T_TraitDi[[#This Row],[Colonne16]]),FALSE)=0,"",TEXT(IFERROR(VLOOKUP(T_BilanSocial[[#This Row],[NumL]],T_TraitDi[#Data],COLUMN(T_TraitDi[[#This Row],[Colonne16]]),FALSE),""),"[hh]:mm"))</f>
        <v>#VALUE!</v>
      </c>
      <c r="AX335" s="172" t="str">
        <f>IFERROR(VLOOKUP(T_BilanSocial[[#This Row],[NumL]],T_TraitDi[#Data],COLUMN(T_TraitDi[[#This Row],[Colonne17]]),FALSE),"")</f>
        <v/>
      </c>
      <c r="AY335" s="172" t="e">
        <f>IF(VLOOKUP(T_BilanSocial[[#This Row],[NumL]],T_TraitDi[#Data],COLUMN(T_TraitDi[[#This Row],[Colonne18]]),FALSE)=0,"",TEXT(IFERROR(VLOOKUP(T_BilanSocial[[#This Row],[NumL]],T_TraitDi[#Data],COLUMN(T_TraitDi[[#This Row],[Colonne18]]),FALSE),""),"[hh]:mm"))</f>
        <v>#VALUE!</v>
      </c>
      <c r="AZ335" s="172" t="e">
        <f>IF(VLOOKUP(T_BilanSocial[[#This Row],[NumL]],T_TraitDi[#Data],COLUMN(T_TraitDi[[#This Row],[Colonne19]]),FALSE)=0,"",TEXT(IFERROR(VLOOKUP(T_BilanSocial[[#This Row],[NumL]],T_TraitDi[#Data],COLUMN(T_TraitDi[[#This Row],[Colonne19]]),FALSE),""),"[hh]:mm"))</f>
        <v>#VALUE!</v>
      </c>
      <c r="BA335" s="172" t="e">
        <f>IF(VLOOKUP(T_BilanSocial[[#This Row],[NumL]],T_TraitDi[#Data],COLUMN(T_TraitDi[[#This Row],[Colonne20]]),FALSE)=0,"",TEXT(IFERROR(VLOOKUP(T_BilanSocial[[#This Row],[NumL]],T_TraitDi[#Data],COLUMN(T_TraitDi[[#This Row],[Colonne20]]),FALSE),""),"[hh]:mm"))</f>
        <v>#VALUE!</v>
      </c>
      <c r="BB335" s="178" t="str">
        <f>IFERROR(VLOOKUP(T_BilanSocial[[#This Row],[NumL]],T_TraitDi[#Data],COLUMN(T_TraitDi[[#This Row],[Jeudi]]),FALSE),"")</f>
        <v/>
      </c>
      <c r="BC335" s="178" t="e">
        <f>IF(VLOOKUP(T_BilanSocial[[#This Row],[NumL]],T_TraitDi[#Data],COLUMN(T_TraitDi[[#This Row],[Colonne21]]),FALSE)=0,"",TEXT(IFERROR(VLOOKUP(T_BilanSocial[[#This Row],[NumL]],T_TraitDi[#Data],COLUMN(T_TraitDi[[#This Row],[Colonne21]]),FALSE),""),"[hh]:mm"))</f>
        <v>#VALUE!</v>
      </c>
      <c r="BD335" s="178" t="e">
        <f>IF(VLOOKUP(T_BilanSocial[[#This Row],[NumL]],T_TraitDi[#Data],COLUMN(T_TraitDi[[#This Row],[Colonne22]]),FALSE)=0,"",TEXT(IFERROR(VLOOKUP(T_BilanSocial[[#This Row],[NumL]],T_TraitDi[#Data],COLUMN(T_TraitDi[[#This Row],[Colonne22]]),FALSE),""),"[hh]:mm"))</f>
        <v>#VALUE!</v>
      </c>
      <c r="BE335" s="178" t="str">
        <f>IFERROR(VLOOKUP(T_BilanSocial[[#This Row],[NumL]],T_TraitDi[#Data],COLUMN(T_TraitDi[[#This Row],[Colonne23]]),FALSE),"")</f>
        <v/>
      </c>
      <c r="BF335" s="178" t="e">
        <f>IF(VLOOKUP(T_BilanSocial[[#This Row],[NumL]],T_TraitDi[#Data],COLUMN(T_TraitDi[[#This Row],[Colonne24]]),FALSE)=0,"",TEXT(IFERROR(VLOOKUP(T_BilanSocial[[#This Row],[NumL]],T_TraitDi[#Data],COLUMN(T_TraitDi[[#This Row],[Colonne24]]),FALSE),""),"[hh]:mm"))</f>
        <v>#VALUE!</v>
      </c>
      <c r="BG335" s="178" t="e">
        <f>IF(VLOOKUP(T_BilanSocial[[#This Row],[NumL]],T_TraitDi[#Data],COLUMN(T_TraitDi[[#This Row],[Colonne25]]),FALSE)=0,"",TEXT(IFERROR(VLOOKUP(T_BilanSocial[[#This Row],[NumL]],T_TraitDi[#Data],COLUMN(T_TraitDi[[#This Row],[Colonne25]]),FALSE),""),"[hh]:mm"))</f>
        <v>#VALUE!</v>
      </c>
      <c r="BH335" s="178" t="e">
        <f>IF(VLOOKUP(T_BilanSocial[[#This Row],[NumL]],T_TraitDi[#Data],COLUMN(T_TraitDi[[#This Row],[Colonne26]]),FALSE)=0,"",TEXT(IFERROR(VLOOKUP(T_BilanSocial[[#This Row],[NumL]],T_TraitDi[#Data],COLUMN(T_TraitDi[[#This Row],[Colonne26]]),FALSE),""),"[hh]:mm"))</f>
        <v>#VALUE!</v>
      </c>
      <c r="BI335" s="172" t="str">
        <f>IFERROR(VLOOKUP(T_BilanSocial[[#This Row],[NumL]],T_TraitDi[#Data],COLUMN(T_TraitDi[[#This Row],[Vendredi]]),FALSE),"")</f>
        <v/>
      </c>
      <c r="BJ335" s="172" t="e">
        <f>IF(VLOOKUP(T_BilanSocial[[#This Row],[NumL]],T_TraitDi[#Data],COLUMN(T_TraitDi[[#This Row],[Colonne27]]),FALSE)=0,"",TEXT(IFERROR(VLOOKUP(T_BilanSocial[[#This Row],[NumL]],T_TraitDi[#Data],COLUMN(T_TraitDi[[#This Row],[Colonne27]]),FALSE),""),"[hh]:mm"))</f>
        <v>#VALUE!</v>
      </c>
      <c r="BK335" s="172" t="e">
        <f>IF(VLOOKUP(T_BilanSocial[[#This Row],[NumL]],T_TraitDi[#Data],COLUMN(T_TraitDi[[#This Row],[Colonne28]]),FALSE)=0,"",TEXT(IFERROR(VLOOKUP(T_BilanSocial[[#This Row],[NumL]],T_TraitDi[#Data],COLUMN(T_TraitDi[[#This Row],[Colonne28]]),FALSE),""),"[hh]:mm"))</f>
        <v>#VALUE!</v>
      </c>
      <c r="BL335" s="172" t="str">
        <f>IFERROR(VLOOKUP(T_BilanSocial[[#This Row],[NumL]],T_TraitDi[#Data],COLUMN(T_TraitDi[[#This Row],[Colonne29]]),FALSE),"")</f>
        <v/>
      </c>
      <c r="BM335" s="172" t="e">
        <f>IF(VLOOKUP(T_BilanSocial[[#This Row],[NumL]],T_TraitDi[#Data],COLUMN(T_TraitDi[[#This Row],[Colonne30]]),FALSE)=0,"",TEXT(IFERROR(VLOOKUP(T_BilanSocial[[#This Row],[NumL]],T_TraitDi[#Data],COLUMN(T_TraitDi[[#This Row],[Colonne30]]),FALSE),""),"[hh]:mm"))</f>
        <v>#VALUE!</v>
      </c>
      <c r="BN335" s="172" t="e">
        <f>IF(VLOOKUP(T_BilanSocial[[#This Row],[NumL]],T_TraitDi[#Data],COLUMN(T_TraitDi[[#This Row],[Colonne31]]),FALSE)=0,"",TEXT(IFERROR(VLOOKUP(T_BilanSocial[[#This Row],[NumL]],T_TraitDi[#Data],COLUMN(T_TraitDi[[#This Row],[Colonne31]]),FALSE),""),"[hh]:mm"))</f>
        <v>#VALUE!</v>
      </c>
      <c r="BO335" s="172" t="e">
        <f>IF(VLOOKUP(T_BilanSocial[[#This Row],[NumL]],T_TraitDi[#Data],COLUMN(T_TraitDi[[#This Row],[Colonne32]]),FALSE)=0,"",TEXT(IFERROR(VLOOKUP(T_BilanSocial[[#This Row],[NumL]],T_TraitDi[#Data],COLUMN(T_TraitDi[[#This Row],[Colonne32]]),FALSE),""),"[hh]:mm"))</f>
        <v>#VALUE!</v>
      </c>
      <c r="BP335" s="172" t="e">
        <f>VLOOKUP(T_BilanSocial[[#This Row],[NumL]],T_TraitDi[#Data],COLUMN(T_TraitDi[NbJTot]),FALSE)</f>
        <v>#N/A</v>
      </c>
      <c r="BQ335" s="174" t="str">
        <f>IFERROR(VLOOKUP(T_BilanSocial[[#This Row],[NumL]],T_TraitDi[#Data],COLUMN(T_TraitDi[[#This Row],[NbJTW]]),FALSE),"")</f>
        <v/>
      </c>
      <c r="BR335" s="174" t="e">
        <f>IF(VLOOKUP(T_BilanSocial[[#This Row],[NumL]],T_TraitDi[#Data],COLUMN(T_TraitDi[[#This Row],[NbhTW]]),FALSE)=0,"",TEXT(IFERROR(VLOOKUP(T_BilanSocial[[#This Row],[NumL]],T_TraitDi[#Data],COLUMN(T_TraitDi[[#This Row],[NbhTW]]),FALSE),""),"[hh]:mm"))</f>
        <v>#VALUE!</v>
      </c>
      <c r="BS335" s="174" t="e">
        <f>IF(VLOOKUP(T_BilanSocial[[#This Row],[NumL]],T_TraitDi[#Data],COLUMN(T_TraitDi[[#This Row],[Nbhheb]]),FALSE)=0,"",TEXT(IFERROR(VLOOKUP($A335,T_TraitDi[#Data],COLUMN(T_TraitDi[[#This Row],[Nbhheb]]),FALSE),""),"[hh]:mm"))</f>
        <v>#VALUE!</v>
      </c>
      <c r="BT335" s="182" t="str">
        <f>IFERROR(VLOOKUP(VLOOKUP($A335,T_TraitDi[#Data],COLUMN(T_TraitDi[[#This Row],[Type1]]),FALSE),TypeTW,2,FALSE),"")</f>
        <v/>
      </c>
      <c r="BU335" s="182" t="str">
        <f>IFERROR(VLOOKUP($A335,T_TraitDi[#Data],COLUMN(T_TraitDi[[#This Row],[Rue1]]),FALSE),"")</f>
        <v/>
      </c>
      <c r="BV335" s="173" t="str">
        <f>IFERROR(VLOOKUP($A335,T_TraitDi[#Data],COLUMN(T_TraitDi[[#This Row],[CP1]]),FALSE),"")</f>
        <v/>
      </c>
      <c r="BW335" s="173" t="str">
        <f>IFERROR(VLOOKUP($A335,T_TraitDi[#Data],COLUMN(T_TraitDi[[#This Row],[VILLE1]]),FALSE),"")</f>
        <v/>
      </c>
      <c r="BX335" s="182" t="str">
        <f>IFERROR(VLOOKUP(VLOOKUP($A335,T_TraitDi[#Data],COLUMN(T_TraitDi[[#This Row],[Type2]]),FALSE),TypeTW,2,FALSE),"")</f>
        <v/>
      </c>
      <c r="BY335" s="182" t="str">
        <f>IFERROR(VLOOKUP($A335,T_TraitDi[#Data],COLUMN(T_TraitDi[[#This Row],[Rue2]]),FALSE),"")</f>
        <v/>
      </c>
      <c r="BZ335" s="173" t="str">
        <f>IFERROR(VLOOKUP($A335,T_TraitDi[#Data],COLUMN(T_TraitDi[[#This Row],[CP2]]),FALSE),"")</f>
        <v/>
      </c>
      <c r="CA335" s="173" t="str">
        <f>IFERROR(VLOOKUP($A335,T_TraitDi[#Data],COLUMN(T_TraitDi[[#This Row],[VILLE2]]),FALSE),"")</f>
        <v/>
      </c>
      <c r="CB335" s="182" t="e">
        <f>IF(VLOOKUP(T_BilanSocial[[#This Row],[NumL]],T_Equipement[#Data],COLUMN(T_Equipement[[#This Row],[PC]]),FALSE)="","Aucun équipement spécifique directement lié au télétravail",VLOOKUP(T_BilanSocial[[#This Row],[NumL]],T_Equipement[#Data],COLUMN(T_Equipement[[#This Row],[PC]]),FALSE))</f>
        <v>#VALUE!</v>
      </c>
      <c r="CC335" s="166" t="str">
        <f>IFERROR(IF(VLOOKUP(T_BilanSocial[[#This Row],[NumL]],T_TraitDi[#Data],COLUMN(T_TraitDi[[#This Row],[Plan]]),FALSE)="OK","Un planning spécifique de télétravail est annexé à la présente convention.",""),"")</f>
        <v/>
      </c>
      <c r="CD335" s="301"/>
      <c r="CE335" s="164" t="e">
        <f>IF(VLOOKUP(T_BilanSocial[[#This Row],[NumL]],T_suiviDi[#Data],COLUMN(T_suiviDi[[#This Row],[Entité]]),FALSE)="","",VLOOKUP(T_BilanSocial[[#This Row],[NumL]],T_suiviDi[#Data],COLUMN(T_suiviDi[[#This Row],[Entité]]),FALSE))</f>
        <v>#VALUE!</v>
      </c>
      <c r="CF335" s="164" t="e">
        <f>IF(VLOOKUP(T_BilanSocial[[#This Row],[NumL]],T_Commission[#Data],COLUMN(T_Commission[[#This Row],[envoi confirm TW]]),FALSE)="","",VLOOKUP(T_BilanSocial[[#This Row],[NumL]],T_Commission[#Data],COLUMN(T_Commission[[#This Row],[envoi confirm TW]]),FALSE))</f>
        <v>#VALUE!</v>
      </c>
      <c r="CG33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5" s="339" t="str">
        <f>T_BilanSocial[[#This Row],[Nom]]&amp;T_BilanSocial[[#This Row],[Prenom]]</f>
        <v/>
      </c>
      <c r="CI335" s="339">
        <f>VLOOKUP(T_BilanSocial[[#This Row],[NumL]],T_Commission[#Data],COLUMN(T_Commission[Commentaire]),FALSE)</f>
        <v>0</v>
      </c>
      <c r="CJ335" s="339" t="str">
        <f>IF(VLOOKUP(T_BilanSocial[[#This Row],[NumL]],T_Commission[#Data],COLUMN(T_Commission[Encadrant Email]),FALSE)="","",VLOOKUP(T_BilanSocial[[#This Row],[NumL]],T_Commission[#Data],COLUMN(T_Commission[Encadrant Email]),FALSE))</f>
        <v/>
      </c>
      <c r="CK335" s="332" t="str">
        <f>IF(T_BilanSocial[[#This Row],[Final]]&lt;&gt;"",VLOOKUP(T_BilanSocial[[#This Row],[NumL]],T_suiviDi[#Data],COLUMN((T_suiviDi[Statut])),FALSE),"")</f>
        <v/>
      </c>
    </row>
    <row r="336" spans="1:89" s="50" customFormat="1" ht="29.25" customHeight="1" x14ac:dyDescent="0.25">
      <c r="A336" s="136">
        <v>333</v>
      </c>
      <c r="B336" s="330" t="str">
        <f t="shared" si="71"/>
        <v/>
      </c>
      <c r="C336" s="309"/>
      <c r="D336" s="95" t="e">
        <f>IF(VLOOKUP(T_BilanSocial[[#This Row],[NumL]],T_TraitDi[#Data],COLUMN(T_TraitDi[[#This Row],[WebC]]),FALSE)="","",VLOOKUP(T_BilanSocial[[#This Row],[NumL]],T_TraitDi[#Data],COLUMN(T_TraitDi[[#This Row],[WebC]]),FALSE))</f>
        <v>#VALUE!</v>
      </c>
      <c r="E336" s="95" t="str">
        <f t="shared" si="72"/>
        <v>12 janvier 2021</v>
      </c>
      <c r="F336" s="96" t="str">
        <f>IF(T_BilanSocial[[#This Row],[Final]]&lt;&gt;"",VLOOKUP(T_BilanSocial[[#This Row],[NumL]],T_suiviDi[#Data],COLUMN((T_suiviDi[Civ.])),FALSE),"")</f>
        <v/>
      </c>
      <c r="G336" s="96" t="str">
        <f>IF(T_BilanSocial[[#This Row],[Final]]&lt;&gt;"",VLOOKUP(T_BilanSocial[[#This Row],[NumL]],T_suiviDi[#Data],COLUMN((T_suiviDi[Nom])),FALSE),"")</f>
        <v/>
      </c>
      <c r="H336" s="96" t="str">
        <f>IF(T_BilanSocial[[#This Row],[Final]]&lt;&gt;"",VLOOKUP(T_BilanSocial[[#This Row],[NumL]],T_suiviDi[#Data],COLUMN((T_suiviDi[Prénom])),FALSE),"")</f>
        <v/>
      </c>
      <c r="I336" s="331" t="str">
        <f>IFERROR(VLOOKUP(T_BilanSocial[[#This Row],[Zone_Bilan]],T_P_BilanSocial[#Data],COLUMN(T_P_BilanSocial[[#This Row],[Numero_SIHAM]]),FALSE),"")</f>
        <v/>
      </c>
      <c r="J336" s="331" t="str">
        <f>IFERROR(VLOOKUP(T_BilanSocial[[#This Row],[Zone_Bilan]],T_P_BilanSocial[#Data],COLUMN(T_P_BilanSocial[[#This Row],[Sexe]]),FALSE),"")</f>
        <v/>
      </c>
      <c r="K336" s="294" t="str">
        <f>IFERROR(VLOOKUP(T_BilanSocial[[#This Row],[Zone_Bilan]],T_P_BilanSocial[#Data],COLUMN(T_P_BilanSocial[[#This Row],[Categorie]]),FALSE),"")</f>
        <v/>
      </c>
      <c r="L336" s="331" t="str">
        <f>IFERROR(VLOOKUP(T_BilanSocial[[#This Row],[Zone_Bilan]],T_P_BilanSocial[#Data],COLUMN(T_P_BilanSocial[[#This Row],[Statut]]),FALSE),"")</f>
        <v/>
      </c>
      <c r="M336" s="331" t="str">
        <f>IFERROR(VLOOKUP(T_BilanSocial[[#This Row],[Zone_Bilan]],T_P_BilanSocial[#Data],COLUMN(T_P_BilanSocial[[#This Row],[Filiere]]),FALSE),"")</f>
        <v/>
      </c>
      <c r="N336" s="331" t="e">
        <f>VLOOKUP(T_BilanSocial[[#This Row],[NumL]],T_TraitDi[#Data],COLUMN(T_TraitDi[EXP]),FALSE)</f>
        <v>#N/A</v>
      </c>
      <c r="O336" s="331" t="e">
        <f>VLOOKUP(T_BilanSocial[[#This Row],[NumL]],T_TraitDi[#Data],COLUMN(T_TraitDi[FORM]),FALSE)</f>
        <v>#N/A</v>
      </c>
      <c r="P336" s="96" t="str">
        <f>IF(T_BilanSocial[[#This Row],[Final]]&lt;&gt;"",VLOOKUP(T_BilanSocial[[#This Row],[NumL]],T_suiviDi[#Data],COLUMN((T_suiviDi[Email])),FALSE),"")</f>
        <v/>
      </c>
      <c r="Q336" s="96" t="e">
        <f t="shared" si="73"/>
        <v>#N/A</v>
      </c>
      <c r="R336" s="96" t="e">
        <f t="shared" si="74"/>
        <v>#N/A</v>
      </c>
      <c r="S336" s="96" t="str">
        <f t="shared" si="70"/>
        <v/>
      </c>
      <c r="T336" s="96" t="str">
        <f t="shared" si="75"/>
        <v>01 septembre 2021</v>
      </c>
      <c r="U336" s="96" t="str">
        <f t="shared" si="76"/>
        <v>30 novembre 2021</v>
      </c>
      <c r="V336" s="97">
        <f t="shared" si="77"/>
        <v>44530</v>
      </c>
      <c r="W336" s="176" t="e">
        <f>IF(VLOOKUP(T_BilanSocial[[#This Row],[NumL]],T_TraitDi[#Data],COLUMN(T_TraitDi[[#This Row],[M1]]),FALSE)="","",VLOOKUP(T_BilanSocial[[#This Row],[NumL]],T_TraitDi[#Data],COLUMN(T_TraitDi[[#This Row],[M1]]),FALSE))</f>
        <v>#VALUE!</v>
      </c>
      <c r="X336" s="96" t="str">
        <f t="shared" si="81"/>
        <v/>
      </c>
      <c r="Y336" s="96" t="str">
        <f t="shared" si="81"/>
        <v/>
      </c>
      <c r="Z336" s="96" t="str">
        <f t="shared" si="78"/>
        <v/>
      </c>
      <c r="AA336" s="176" t="e">
        <f>IF(VLOOKUP(T_BilanSocial[[#This Row],[NumL]],T_TraitDi[#Data],COLUMN(T_TraitDi[[#This Row],[M5]]),FALSE)="","",VLOOKUP(T_BilanSocial[[#This Row],[NumL]],T_TraitDi[#Data],COLUMN(T_TraitDi[[#This Row],[M5]]),FALSE))</f>
        <v>#VALUE!</v>
      </c>
      <c r="AB336" s="176" t="e">
        <f>IF(VLOOKUP(T_BilanSocial[[#This Row],[NumL]],T_TraitDi[#Data],COLUMN(T_TraitDi[[#This Row],[M6]]),FALSE)="","",VLOOKUP(T_BilanSocial[[#This Row],[NumL]],T_TraitDi[#Data],COLUMN(T_TraitDi[[#This Row],[M6]]),FALSE))</f>
        <v>#VALUE!</v>
      </c>
      <c r="AC336" s="96" t="e">
        <f t="shared" si="80"/>
        <v>#VALUE!</v>
      </c>
      <c r="AD336" s="97" t="str">
        <f t="shared" si="79"/>
        <v/>
      </c>
      <c r="AE336" s="294" t="e">
        <f>VLOOKUP(T_BilanSocial[[#This Row],[NumL]],T_TraitDi[#Data],COLUMN(T_TraitDi[[#This Row],[Reg Ponct]]),FALSE)</f>
        <v>#VALUE!</v>
      </c>
      <c r="AF336" s="294" t="e">
        <f>VLOOKUP(T_BilanSocial[NumL],T_TraitDi[#Data],COLUMN(T_TraitDi[[#This Row],[Jours flottants]]),FALSE)</f>
        <v>#VALUE!</v>
      </c>
      <c r="AG336" s="97" t="str">
        <f>IFERROR(VLOOKUP(T_BilanSocial[[#This Row],[NumL]],T_TraitDi[#Data],COLUMN(T_TraitDi[[#This Row],[Lundi]]),FALSE),"")</f>
        <v/>
      </c>
      <c r="AH336" s="172" t="e">
        <f>IF(VLOOKUP(T_BilanSocial[[#This Row],[NumL]],T_TraitDi[#Data],COLUMN(T_TraitDi[[#This Row],[Colonne3]]),FALSE)=0,"",TEXT(IFERROR(VLOOKUP(T_BilanSocial[[#This Row],[NumL]],T_TraitDi[#Data],COLUMN(T_TraitDi[[#This Row],[Colonne3]]),FALSE),""),"[hh]:mm"))</f>
        <v>#VALUE!</v>
      </c>
      <c r="AI336" s="172" t="e">
        <f>IF(VLOOKUP(T_BilanSocial[[#This Row],[NumL]],T_TraitDi[#Data],COLUMN(T_TraitDi[[#This Row],[Colonne4]]),FALSE)=0,"",TEXT(IFERROR(VLOOKUP(T_BilanSocial[[#This Row],[NumL]],T_TraitDi[#Data],COLUMN(T_TraitDi[[#This Row],[Colonne4]]),FALSE),""),"[hh]:mm"))</f>
        <v>#VALUE!</v>
      </c>
      <c r="AJ336" s="172" t="e">
        <f>IF(VLOOKUP(T_BilanSocial[[#This Row],[NumL]],T_TraitDi[#Data],COLUMN(T_TraitDi[[#This Row],[Colonne5]]),FALSE)=0,"",TEXT(IFERROR(VLOOKUP(T_BilanSocial[[#This Row],[NumL]],T_TraitDi[#Data],COLUMN(T_TraitDi[[#This Row],[Colonne5]]),FALSE),""),"[hh]:mm"))</f>
        <v>#VALUE!</v>
      </c>
      <c r="AK336" s="172" t="e">
        <f>IF(VLOOKUP(T_BilanSocial[[#This Row],[NumL]],T_TraitDi[#Data],COLUMN(T_TraitDi[[#This Row],[Colonne6]]),FALSE)=0,"",TEXT(IFERROR(VLOOKUP(T_BilanSocial[[#This Row],[NumL]],T_TraitDi[#Data],COLUMN(T_TraitDi[[#This Row],[Colonne6]]),FALSE),""),"[hh]:mm"))</f>
        <v>#VALUE!</v>
      </c>
      <c r="AL336" s="172" t="e">
        <f>IF(VLOOKUP(T_BilanSocial[[#This Row],[NumL]],T_TraitDi[#Data],COLUMN(T_TraitDi[[#This Row],[Colonne7]]),FALSE)=0,"",TEXT(IFERROR(VLOOKUP(T_BilanSocial[[#This Row],[NumL]],T_TraitDi[#Data],COLUMN(T_TraitDi[[#This Row],[Colonne7]]),FALSE),""),"[hh]:mm"))</f>
        <v>#VALUE!</v>
      </c>
      <c r="AM336" s="172" t="e">
        <f>IF(VLOOKUP(T_BilanSocial[[#This Row],[NumL]],T_TraitDi[#Data],COLUMN(T_TraitDi[[#This Row],[Colonne8]]),FALSE)=0,"",TEXT(IFERROR(VLOOKUP(T_BilanSocial[[#This Row],[NumL]],T_TraitDi[#Data],COLUMN(T_TraitDi[[#This Row],[Colonne8]]),FALSE),""),"[hh]:mm"))</f>
        <v>#VALUE!</v>
      </c>
      <c r="AN336" s="172" t="str">
        <f>IFERROR(VLOOKUP(T_BilanSocial[[#This Row],[NumL]],T_TraitDi[#Data],COLUMN(T_TraitDi[[#This Row],[Mardi]]),FALSE),"")</f>
        <v/>
      </c>
      <c r="AO336" s="172" t="e">
        <f>IF(VLOOKUP(T_BilanSocial[[#This Row],[NumL]],T_TraitDi[#Data],COLUMN(T_TraitDi[[#This Row],[Colonne1]]),FALSE)=0,"",TEXT(IFERROR(VLOOKUP(T_BilanSocial[[#This Row],[NumL]],T_TraitDi[#Data],COLUMN(T_TraitDi[[#This Row],[Colonne1]]),FALSE),""),"[hh]:mm"))</f>
        <v>#VALUE!</v>
      </c>
      <c r="AP336" s="172" t="e">
        <f>IF(VLOOKUP(T_BilanSocial[[#This Row],[NumL]],T_TraitDi[#Data],COLUMN(T_TraitDi[[#This Row],[Colonne9]]),FALSE)=0,"",TEXT(IFERROR(VLOOKUP(T_BilanSocial[[#This Row],[NumL]],T_TraitDi[#Data],COLUMN(T_TraitDi[[#This Row],[Colonne9]]),FALSE),""),"[hh]:mm"))</f>
        <v>#VALUE!</v>
      </c>
      <c r="AQ336" s="172" t="str">
        <f>IFERROR(VLOOKUP(T_BilanSocial[[#This Row],[NumL]],T_TraitDi[#Data],COLUMN(T_TraitDi[[#This Row],[Colonne10]]),FALSE),"")</f>
        <v/>
      </c>
      <c r="AR336" s="172" t="e">
        <f>IF(VLOOKUP(T_BilanSocial[[#This Row],[NumL]],T_TraitDi[#Data],COLUMN(T_TraitDi[[#This Row],[Colonne11]]),FALSE)=0,"",TEXT(IFERROR(VLOOKUP(T_BilanSocial[[#This Row],[NumL]],T_TraitDi[#Data],COLUMN(T_TraitDi[[#This Row],[Colonne11]]),FALSE),""),"[hh]:mm"))</f>
        <v>#VALUE!</v>
      </c>
      <c r="AS336" s="172" t="e">
        <f>IF(VLOOKUP(T_BilanSocial[[#This Row],[NumL]],T_TraitDi[#Data],COLUMN(T_TraitDi[[#This Row],[Colonne12]]),FALSE)=0,"",TEXT(IFERROR(VLOOKUP(T_BilanSocial[[#This Row],[NumL]],T_TraitDi[#Data],COLUMN(T_TraitDi[[#This Row],[Colonne12]]),FALSE),""),"[hh]:mm"))</f>
        <v>#VALUE!</v>
      </c>
      <c r="AT336" s="172" t="e">
        <f>IF(VLOOKUP(T_BilanSocial[[#This Row],[NumL]],T_TraitDi[#Data],COLUMN(T_TraitDi[[#This Row],[Colonne14]]),FALSE)=0,"",TEXT(IFERROR(VLOOKUP(T_BilanSocial[[#This Row],[NumL]],T_TraitDi[#Data],COLUMN(T_TraitDi[[#This Row],[Colonne14]]),FALSE),""),"[hh]:mm"))</f>
        <v>#VALUE!</v>
      </c>
      <c r="AU336" s="172" t="str">
        <f>IFERROR(VLOOKUP(T_BilanSocial[[#This Row],[NumL]],T_TraitDi[#Data],COLUMN(T_TraitDi[[#This Row],[Mercredi]]),FALSE),"")</f>
        <v/>
      </c>
      <c r="AV336" s="172" t="e">
        <f>IF(VLOOKUP(T_BilanSocial[[#This Row],[NumL]],T_TraitDi[#Data],COLUMN(T_TraitDi[[#This Row],[Colonne15]]),FALSE)=0,"",TEXT(IFERROR(VLOOKUP(T_BilanSocial[[#This Row],[NumL]],T_TraitDi[#Data],COLUMN(T_TraitDi[[#This Row],[Colonne15]]),FALSE),""),"[hh]:mm"))</f>
        <v>#VALUE!</v>
      </c>
      <c r="AW336" s="172" t="e">
        <f>IF(VLOOKUP(T_BilanSocial[[#This Row],[NumL]],T_TraitDi[#Data],COLUMN(T_TraitDi[[#This Row],[Colonne16]]),FALSE)=0,"",TEXT(IFERROR(VLOOKUP(T_BilanSocial[[#This Row],[NumL]],T_TraitDi[#Data],COLUMN(T_TraitDi[[#This Row],[Colonne16]]),FALSE),""),"[hh]:mm"))</f>
        <v>#VALUE!</v>
      </c>
      <c r="AX336" s="172" t="str">
        <f>IFERROR(VLOOKUP(T_BilanSocial[[#This Row],[NumL]],T_TraitDi[#Data],COLUMN(T_TraitDi[[#This Row],[Colonne17]]),FALSE),"")</f>
        <v/>
      </c>
      <c r="AY336" s="172" t="e">
        <f>IF(VLOOKUP(T_BilanSocial[[#This Row],[NumL]],T_TraitDi[#Data],COLUMN(T_TraitDi[[#This Row],[Colonne18]]),FALSE)=0,"",TEXT(IFERROR(VLOOKUP(T_BilanSocial[[#This Row],[NumL]],T_TraitDi[#Data],COLUMN(T_TraitDi[[#This Row],[Colonne18]]),FALSE),""),"[hh]:mm"))</f>
        <v>#VALUE!</v>
      </c>
      <c r="AZ336" s="172" t="e">
        <f>IF(VLOOKUP(T_BilanSocial[[#This Row],[NumL]],T_TraitDi[#Data],COLUMN(T_TraitDi[[#This Row],[Colonne19]]),FALSE)=0,"",TEXT(IFERROR(VLOOKUP(T_BilanSocial[[#This Row],[NumL]],T_TraitDi[#Data],COLUMN(T_TraitDi[[#This Row],[Colonne19]]),FALSE),""),"[hh]:mm"))</f>
        <v>#VALUE!</v>
      </c>
      <c r="BA336" s="172" t="e">
        <f>IF(VLOOKUP(T_BilanSocial[[#This Row],[NumL]],T_TraitDi[#Data],COLUMN(T_TraitDi[[#This Row],[Colonne20]]),FALSE)=0,"",TEXT(IFERROR(VLOOKUP(T_BilanSocial[[#This Row],[NumL]],T_TraitDi[#Data],COLUMN(T_TraitDi[[#This Row],[Colonne20]]),FALSE),""),"[hh]:mm"))</f>
        <v>#VALUE!</v>
      </c>
      <c r="BB336" s="178" t="str">
        <f>IFERROR(VLOOKUP(T_BilanSocial[[#This Row],[NumL]],T_TraitDi[#Data],COLUMN(T_TraitDi[[#This Row],[Jeudi]]),FALSE),"")</f>
        <v/>
      </c>
      <c r="BC336" s="178" t="e">
        <f>IF(VLOOKUP(T_BilanSocial[[#This Row],[NumL]],T_TraitDi[#Data],COLUMN(T_TraitDi[[#This Row],[Colonne21]]),FALSE)=0,"",TEXT(IFERROR(VLOOKUP(T_BilanSocial[[#This Row],[NumL]],T_TraitDi[#Data],COLUMN(T_TraitDi[[#This Row],[Colonne21]]),FALSE),""),"[hh]:mm"))</f>
        <v>#VALUE!</v>
      </c>
      <c r="BD336" s="178" t="e">
        <f>IF(VLOOKUP(T_BilanSocial[[#This Row],[NumL]],T_TraitDi[#Data],COLUMN(T_TraitDi[[#This Row],[Colonne22]]),FALSE)=0,"",TEXT(IFERROR(VLOOKUP(T_BilanSocial[[#This Row],[NumL]],T_TraitDi[#Data],COLUMN(T_TraitDi[[#This Row],[Colonne22]]),FALSE),""),"[hh]:mm"))</f>
        <v>#VALUE!</v>
      </c>
      <c r="BE336" s="178" t="str">
        <f>IFERROR(VLOOKUP(T_BilanSocial[[#This Row],[NumL]],T_TraitDi[#Data],COLUMN(T_TraitDi[[#This Row],[Colonne23]]),FALSE),"")</f>
        <v/>
      </c>
      <c r="BF336" s="178" t="e">
        <f>IF(VLOOKUP(T_BilanSocial[[#This Row],[NumL]],T_TraitDi[#Data],COLUMN(T_TraitDi[[#This Row],[Colonne24]]),FALSE)=0,"",TEXT(IFERROR(VLOOKUP(T_BilanSocial[[#This Row],[NumL]],T_TraitDi[#Data],COLUMN(T_TraitDi[[#This Row],[Colonne24]]),FALSE),""),"[hh]:mm"))</f>
        <v>#VALUE!</v>
      </c>
      <c r="BG336" s="178" t="e">
        <f>IF(VLOOKUP(T_BilanSocial[[#This Row],[NumL]],T_TraitDi[#Data],COLUMN(T_TraitDi[[#This Row],[Colonne25]]),FALSE)=0,"",TEXT(IFERROR(VLOOKUP(T_BilanSocial[[#This Row],[NumL]],T_TraitDi[#Data],COLUMN(T_TraitDi[[#This Row],[Colonne25]]),FALSE),""),"[hh]:mm"))</f>
        <v>#VALUE!</v>
      </c>
      <c r="BH336" s="178" t="e">
        <f>IF(VLOOKUP(T_BilanSocial[[#This Row],[NumL]],T_TraitDi[#Data],COLUMN(T_TraitDi[[#This Row],[Colonne26]]),FALSE)=0,"",TEXT(IFERROR(VLOOKUP(T_BilanSocial[[#This Row],[NumL]],T_TraitDi[#Data],COLUMN(T_TraitDi[[#This Row],[Colonne26]]),FALSE),""),"[hh]:mm"))</f>
        <v>#VALUE!</v>
      </c>
      <c r="BI336" s="172" t="str">
        <f>IFERROR(VLOOKUP(T_BilanSocial[[#This Row],[NumL]],T_TraitDi[#Data],COLUMN(T_TraitDi[[#This Row],[Vendredi]]),FALSE),"")</f>
        <v/>
      </c>
      <c r="BJ336" s="172" t="e">
        <f>IF(VLOOKUP(T_BilanSocial[[#This Row],[NumL]],T_TraitDi[#Data],COLUMN(T_TraitDi[[#This Row],[Colonne27]]),FALSE)=0,"",TEXT(IFERROR(VLOOKUP(T_BilanSocial[[#This Row],[NumL]],T_TraitDi[#Data],COLUMN(T_TraitDi[[#This Row],[Colonne27]]),FALSE),""),"[hh]:mm"))</f>
        <v>#VALUE!</v>
      </c>
      <c r="BK336" s="172" t="e">
        <f>IF(VLOOKUP(T_BilanSocial[[#This Row],[NumL]],T_TraitDi[#Data],COLUMN(T_TraitDi[[#This Row],[Colonne28]]),FALSE)=0,"",TEXT(IFERROR(VLOOKUP(T_BilanSocial[[#This Row],[NumL]],T_TraitDi[#Data],COLUMN(T_TraitDi[[#This Row],[Colonne28]]),FALSE),""),"[hh]:mm"))</f>
        <v>#VALUE!</v>
      </c>
      <c r="BL336" s="172" t="str">
        <f>IFERROR(VLOOKUP(T_BilanSocial[[#This Row],[NumL]],T_TraitDi[#Data],COLUMN(T_TraitDi[[#This Row],[Colonne29]]),FALSE),"")</f>
        <v/>
      </c>
      <c r="BM336" s="172" t="e">
        <f>IF(VLOOKUP(T_BilanSocial[[#This Row],[NumL]],T_TraitDi[#Data],COLUMN(T_TraitDi[[#This Row],[Colonne30]]),FALSE)=0,"",TEXT(IFERROR(VLOOKUP(T_BilanSocial[[#This Row],[NumL]],T_TraitDi[#Data],COLUMN(T_TraitDi[[#This Row],[Colonne30]]),FALSE),""),"[hh]:mm"))</f>
        <v>#VALUE!</v>
      </c>
      <c r="BN336" s="172" t="e">
        <f>IF(VLOOKUP(T_BilanSocial[[#This Row],[NumL]],T_TraitDi[#Data],COLUMN(T_TraitDi[[#This Row],[Colonne31]]),FALSE)=0,"",TEXT(IFERROR(VLOOKUP(T_BilanSocial[[#This Row],[NumL]],T_TraitDi[#Data],COLUMN(T_TraitDi[[#This Row],[Colonne31]]),FALSE),""),"[hh]:mm"))</f>
        <v>#VALUE!</v>
      </c>
      <c r="BO336" s="172" t="e">
        <f>IF(VLOOKUP(T_BilanSocial[[#This Row],[NumL]],T_TraitDi[#Data],COLUMN(T_TraitDi[[#This Row],[Colonne32]]),FALSE)=0,"",TEXT(IFERROR(VLOOKUP(T_BilanSocial[[#This Row],[NumL]],T_TraitDi[#Data],COLUMN(T_TraitDi[[#This Row],[Colonne32]]),FALSE),""),"[hh]:mm"))</f>
        <v>#VALUE!</v>
      </c>
      <c r="BP336" s="172" t="e">
        <f>VLOOKUP(T_BilanSocial[[#This Row],[NumL]],T_TraitDi[#Data],COLUMN(T_TraitDi[NbJTot]),FALSE)</f>
        <v>#N/A</v>
      </c>
      <c r="BQ336" s="174" t="str">
        <f>IFERROR(VLOOKUP(T_BilanSocial[[#This Row],[NumL]],T_TraitDi[#Data],COLUMN(T_TraitDi[[#This Row],[NbJTW]]),FALSE),"")</f>
        <v/>
      </c>
      <c r="BR336" s="174" t="e">
        <f>IF(VLOOKUP(T_BilanSocial[[#This Row],[NumL]],T_TraitDi[#Data],COLUMN(T_TraitDi[[#This Row],[NbhTW]]),FALSE)=0,"",TEXT(IFERROR(VLOOKUP(T_BilanSocial[[#This Row],[NumL]],T_TraitDi[#Data],COLUMN(T_TraitDi[[#This Row],[NbhTW]]),FALSE),""),"[hh]:mm"))</f>
        <v>#VALUE!</v>
      </c>
      <c r="BS336" s="174" t="e">
        <f>IF(VLOOKUP(T_BilanSocial[[#This Row],[NumL]],T_TraitDi[#Data],COLUMN(T_TraitDi[[#This Row],[Nbhheb]]),FALSE)=0,"",TEXT(IFERROR(VLOOKUP($A336,T_TraitDi[#Data],COLUMN(T_TraitDi[[#This Row],[Nbhheb]]),FALSE),""),"[hh]:mm"))</f>
        <v>#VALUE!</v>
      </c>
      <c r="BT336" s="182" t="str">
        <f>IFERROR(VLOOKUP(VLOOKUP($A336,T_TraitDi[#Data],COLUMN(T_TraitDi[[#This Row],[Type1]]),FALSE),TypeTW,2,FALSE),"")</f>
        <v/>
      </c>
      <c r="BU336" s="182" t="str">
        <f>IFERROR(VLOOKUP($A336,T_TraitDi[#Data],COLUMN(T_TraitDi[[#This Row],[Rue1]]),FALSE),"")</f>
        <v/>
      </c>
      <c r="BV336" s="173" t="str">
        <f>IFERROR(VLOOKUP($A336,T_TraitDi[#Data],COLUMN(T_TraitDi[[#This Row],[CP1]]),FALSE),"")</f>
        <v/>
      </c>
      <c r="BW336" s="173" t="str">
        <f>IFERROR(VLOOKUP($A336,T_TraitDi[#Data],COLUMN(T_TraitDi[[#This Row],[VILLE1]]),FALSE),"")</f>
        <v/>
      </c>
      <c r="BX336" s="182" t="str">
        <f>IFERROR(VLOOKUP(VLOOKUP($A336,T_TraitDi[#Data],COLUMN(T_TraitDi[[#This Row],[Type2]]),FALSE),TypeTW,2,FALSE),"")</f>
        <v/>
      </c>
      <c r="BY336" s="182" t="str">
        <f>IFERROR(VLOOKUP($A336,T_TraitDi[#Data],COLUMN(T_TraitDi[[#This Row],[Rue2]]),FALSE),"")</f>
        <v/>
      </c>
      <c r="BZ336" s="173" t="str">
        <f>IFERROR(VLOOKUP($A336,T_TraitDi[#Data],COLUMN(T_TraitDi[[#This Row],[CP2]]),FALSE),"")</f>
        <v/>
      </c>
      <c r="CA336" s="173" t="str">
        <f>IFERROR(VLOOKUP($A336,T_TraitDi[#Data],COLUMN(T_TraitDi[[#This Row],[VILLE2]]),FALSE),"")</f>
        <v/>
      </c>
      <c r="CB336" s="182" t="e">
        <f>IF(VLOOKUP(T_BilanSocial[[#This Row],[NumL]],T_Equipement[#Data],COLUMN(T_Equipement[[#This Row],[PC]]),FALSE)="","Aucun équipement spécifique directement lié au télétravail",VLOOKUP(T_BilanSocial[[#This Row],[NumL]],T_Equipement[#Data],COLUMN(T_Equipement[[#This Row],[PC]]),FALSE))</f>
        <v>#VALUE!</v>
      </c>
      <c r="CC336" s="166" t="str">
        <f>IFERROR(IF(VLOOKUP(T_BilanSocial[[#This Row],[NumL]],T_TraitDi[#Data],COLUMN(T_TraitDi[[#This Row],[Plan]]),FALSE)="OK","Un planning spécifique de télétravail est annexé à la présente convention.",""),"")</f>
        <v/>
      </c>
      <c r="CD336" s="301"/>
      <c r="CE336" s="164" t="e">
        <f>IF(VLOOKUP(T_BilanSocial[[#This Row],[NumL]],T_suiviDi[#Data],COLUMN(T_suiviDi[[#This Row],[Entité]]),FALSE)="","",VLOOKUP(T_BilanSocial[[#This Row],[NumL]],T_suiviDi[#Data],COLUMN(T_suiviDi[[#This Row],[Entité]]),FALSE))</f>
        <v>#VALUE!</v>
      </c>
      <c r="CF336" s="164" t="e">
        <f>IF(VLOOKUP(T_BilanSocial[[#This Row],[NumL]],T_Commission[#Data],COLUMN(T_Commission[[#This Row],[envoi confirm TW]]),FALSE)="","",VLOOKUP(T_BilanSocial[[#This Row],[NumL]],T_Commission[#Data],COLUMN(T_Commission[[#This Row],[envoi confirm TW]]),FALSE))</f>
        <v>#VALUE!</v>
      </c>
      <c r="CG33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6" s="339" t="str">
        <f>T_BilanSocial[[#This Row],[Nom]]&amp;T_BilanSocial[[#This Row],[Prenom]]</f>
        <v/>
      </c>
      <c r="CI336" s="339">
        <f>VLOOKUP(T_BilanSocial[[#This Row],[NumL]],T_Commission[#Data],COLUMN(T_Commission[Commentaire]),FALSE)</f>
        <v>0</v>
      </c>
      <c r="CJ336" s="339" t="str">
        <f>IF(VLOOKUP(T_BilanSocial[[#This Row],[NumL]],T_Commission[#Data],COLUMN(T_Commission[Encadrant Email]),FALSE)="","",VLOOKUP(T_BilanSocial[[#This Row],[NumL]],T_Commission[#Data],COLUMN(T_Commission[Encadrant Email]),FALSE))</f>
        <v/>
      </c>
      <c r="CK336" s="332" t="str">
        <f>IF(T_BilanSocial[[#This Row],[Final]]&lt;&gt;"",VLOOKUP(T_BilanSocial[[#This Row],[NumL]],T_suiviDi[#Data],COLUMN((T_suiviDi[Statut])),FALSE),"")</f>
        <v/>
      </c>
    </row>
    <row r="337" spans="1:89" s="50" customFormat="1" ht="21" customHeight="1" x14ac:dyDescent="0.25">
      <c r="A337" s="136">
        <v>334</v>
      </c>
      <c r="B337" s="330" t="e">
        <f t="shared" si="71"/>
        <v>#N/A</v>
      </c>
      <c r="C337" s="309"/>
      <c r="D337" s="95" t="e">
        <f>IF(VLOOKUP(T_BilanSocial[[#This Row],[NumL]],T_TraitDi[#Data],COLUMN(T_TraitDi[[#This Row],[WebC]]),FALSE)="","",VLOOKUP(T_BilanSocial[[#This Row],[NumL]],T_TraitDi[#Data],COLUMN(T_TraitDi[[#This Row],[WebC]]),FALSE))</f>
        <v>#VALUE!</v>
      </c>
      <c r="E337" s="95" t="str">
        <f t="shared" si="72"/>
        <v>12 janvier 2021</v>
      </c>
      <c r="F337" s="96" t="e">
        <f>IF(T_BilanSocial[[#This Row],[Final]]&lt;&gt;"",VLOOKUP(T_BilanSocial[[#This Row],[NumL]],T_suiviDi[#Data],COLUMN((T_suiviDi[Civ.])),FALSE),"")</f>
        <v>#N/A</v>
      </c>
      <c r="G337" s="96" t="e">
        <f>IF(T_BilanSocial[[#This Row],[Final]]&lt;&gt;"",VLOOKUP(T_BilanSocial[[#This Row],[NumL]],T_suiviDi[#Data],COLUMN((T_suiviDi[Nom])),FALSE),"")</f>
        <v>#N/A</v>
      </c>
      <c r="H337" s="96" t="e">
        <f>IF(T_BilanSocial[[#This Row],[Final]]&lt;&gt;"",VLOOKUP(T_BilanSocial[[#This Row],[NumL]],T_suiviDi[#Data],COLUMN((T_suiviDi[Prénom])),FALSE),"")</f>
        <v>#N/A</v>
      </c>
      <c r="I337" s="331" t="str">
        <f>IFERROR(VLOOKUP(T_BilanSocial[[#This Row],[Zone_Bilan]],T_P_BilanSocial[#Data],COLUMN(T_P_BilanSocial[[#This Row],[Numero_SIHAM]]),FALSE),"")</f>
        <v/>
      </c>
      <c r="J337" s="331" t="str">
        <f>IFERROR(VLOOKUP(T_BilanSocial[[#This Row],[Zone_Bilan]],T_P_BilanSocial[#Data],COLUMN(T_P_BilanSocial[[#This Row],[Sexe]]),FALSE),"")</f>
        <v/>
      </c>
      <c r="K337" s="294" t="str">
        <f>IFERROR(VLOOKUP(T_BilanSocial[[#This Row],[Zone_Bilan]],T_P_BilanSocial[#Data],COLUMN(T_P_BilanSocial[[#This Row],[Categorie]]),FALSE),"")</f>
        <v/>
      </c>
      <c r="L337" s="331" t="str">
        <f>IFERROR(VLOOKUP(T_BilanSocial[[#This Row],[Zone_Bilan]],T_P_BilanSocial[#Data],COLUMN(T_P_BilanSocial[[#This Row],[Statut]]),FALSE),"")</f>
        <v/>
      </c>
      <c r="M337" s="331" t="str">
        <f>IFERROR(VLOOKUP(T_BilanSocial[[#This Row],[Zone_Bilan]],T_P_BilanSocial[#Data],COLUMN(T_P_BilanSocial[[#This Row],[Filiere]]),FALSE),"")</f>
        <v/>
      </c>
      <c r="N337" s="331" t="e">
        <f>VLOOKUP(T_BilanSocial[[#This Row],[NumL]],T_TraitDi[#Data],COLUMN(T_TraitDi[EXP]),FALSE)</f>
        <v>#N/A</v>
      </c>
      <c r="O337" s="331" t="e">
        <f>VLOOKUP(T_BilanSocial[[#This Row],[NumL]],T_TraitDi[#Data],COLUMN(T_TraitDi[FORM]),FALSE)</f>
        <v>#N/A</v>
      </c>
      <c r="P337" s="96" t="e">
        <f>IF(T_BilanSocial[[#This Row],[Final]]&lt;&gt;"",VLOOKUP(T_BilanSocial[[#This Row],[NumL]],T_suiviDi[#Data],COLUMN((T_suiviDi[Email])),FALSE),"")</f>
        <v>#N/A</v>
      </c>
      <c r="Q337" s="96" t="e">
        <f t="shared" si="73"/>
        <v>#N/A</v>
      </c>
      <c r="R337" s="96" t="e">
        <f t="shared" si="74"/>
        <v>#N/A</v>
      </c>
      <c r="S337" s="96" t="str">
        <f t="shared" si="70"/>
        <v/>
      </c>
      <c r="T337" s="96" t="str">
        <f t="shared" si="75"/>
        <v>01 septembre 2021</v>
      </c>
      <c r="U337" s="96" t="str">
        <f t="shared" si="76"/>
        <v>30 novembre 2021</v>
      </c>
      <c r="V337" s="97">
        <f t="shared" si="77"/>
        <v>44530</v>
      </c>
      <c r="W337" s="176" t="e">
        <f>IF(VLOOKUP(T_BilanSocial[[#This Row],[NumL]],T_TraitDi[#Data],COLUMN(T_TraitDi[[#This Row],[M1]]),FALSE)="","",VLOOKUP(T_BilanSocial[[#This Row],[NumL]],T_TraitDi[#Data],COLUMN(T_TraitDi[[#This Row],[M1]]),FALSE))</f>
        <v>#VALUE!</v>
      </c>
      <c r="X337" s="96" t="str">
        <f t="shared" si="81"/>
        <v/>
      </c>
      <c r="Y337" s="96" t="str">
        <f t="shared" si="81"/>
        <v/>
      </c>
      <c r="Z337" s="96" t="str">
        <f t="shared" si="78"/>
        <v/>
      </c>
      <c r="AA337" s="176" t="e">
        <f>IF(VLOOKUP(T_BilanSocial[[#This Row],[NumL]],T_TraitDi[#Data],COLUMN(T_TraitDi[[#This Row],[M5]]),FALSE)="","",VLOOKUP(T_BilanSocial[[#This Row],[NumL]],T_TraitDi[#Data],COLUMN(T_TraitDi[[#This Row],[M5]]),FALSE))</f>
        <v>#VALUE!</v>
      </c>
      <c r="AB337" s="176" t="e">
        <f>IF(VLOOKUP(T_BilanSocial[[#This Row],[NumL]],T_TraitDi[#Data],COLUMN(T_TraitDi[[#This Row],[M6]]),FALSE)="","",VLOOKUP(T_BilanSocial[[#This Row],[NumL]],T_TraitDi[#Data],COLUMN(T_TraitDi[[#This Row],[M6]]),FALSE))</f>
        <v>#VALUE!</v>
      </c>
      <c r="AC337" s="96" t="e">
        <f t="shared" si="80"/>
        <v>#VALUE!</v>
      </c>
      <c r="AD337" s="97" t="str">
        <f t="shared" si="79"/>
        <v/>
      </c>
      <c r="AE337" s="294" t="e">
        <f>VLOOKUP(T_BilanSocial[[#This Row],[NumL]],T_TraitDi[#Data],COLUMN(T_TraitDi[[#This Row],[Reg Ponct]]),FALSE)</f>
        <v>#VALUE!</v>
      </c>
      <c r="AF337" s="294" t="e">
        <f>VLOOKUP(T_BilanSocial[NumL],T_TraitDi[#Data],COLUMN(T_TraitDi[[#This Row],[Jours flottants]]),FALSE)</f>
        <v>#VALUE!</v>
      </c>
      <c r="AG337" s="97" t="str">
        <f>IFERROR(VLOOKUP(T_BilanSocial[[#This Row],[NumL]],T_TraitDi[#Data],COLUMN(T_TraitDi[[#This Row],[Lundi]]),FALSE),"")</f>
        <v/>
      </c>
      <c r="AH337" s="172" t="e">
        <f>IF(VLOOKUP(T_BilanSocial[[#This Row],[NumL]],T_TraitDi[#Data],COLUMN(T_TraitDi[[#This Row],[Colonne3]]),FALSE)=0,"",TEXT(IFERROR(VLOOKUP(T_BilanSocial[[#This Row],[NumL]],T_TraitDi[#Data],COLUMN(T_TraitDi[[#This Row],[Colonne3]]),FALSE),""),"[hh]:mm"))</f>
        <v>#VALUE!</v>
      </c>
      <c r="AI337" s="172" t="e">
        <f>IF(VLOOKUP(T_BilanSocial[[#This Row],[NumL]],T_TraitDi[#Data],COLUMN(T_TraitDi[[#This Row],[Colonne4]]),FALSE)=0,"",TEXT(IFERROR(VLOOKUP(T_BilanSocial[[#This Row],[NumL]],T_TraitDi[#Data],COLUMN(T_TraitDi[[#This Row],[Colonne4]]),FALSE),""),"[hh]:mm"))</f>
        <v>#VALUE!</v>
      </c>
      <c r="AJ337" s="172" t="e">
        <f>IF(VLOOKUP(T_BilanSocial[[#This Row],[NumL]],T_TraitDi[#Data],COLUMN(T_TraitDi[[#This Row],[Colonne5]]),FALSE)=0,"",TEXT(IFERROR(VLOOKUP(T_BilanSocial[[#This Row],[NumL]],T_TraitDi[#Data],COLUMN(T_TraitDi[[#This Row],[Colonne5]]),FALSE),""),"[hh]:mm"))</f>
        <v>#VALUE!</v>
      </c>
      <c r="AK337" s="172" t="e">
        <f>IF(VLOOKUP(T_BilanSocial[[#This Row],[NumL]],T_TraitDi[#Data],COLUMN(T_TraitDi[[#This Row],[Colonne6]]),FALSE)=0,"",TEXT(IFERROR(VLOOKUP(T_BilanSocial[[#This Row],[NumL]],T_TraitDi[#Data],COLUMN(T_TraitDi[[#This Row],[Colonne6]]),FALSE),""),"[hh]:mm"))</f>
        <v>#VALUE!</v>
      </c>
      <c r="AL337" s="172" t="e">
        <f>IF(VLOOKUP(T_BilanSocial[[#This Row],[NumL]],T_TraitDi[#Data],COLUMN(T_TraitDi[[#This Row],[Colonne7]]),FALSE)=0,"",TEXT(IFERROR(VLOOKUP(T_BilanSocial[[#This Row],[NumL]],T_TraitDi[#Data],COLUMN(T_TraitDi[[#This Row],[Colonne7]]),FALSE),""),"[hh]:mm"))</f>
        <v>#VALUE!</v>
      </c>
      <c r="AM337" s="172" t="e">
        <f>IF(VLOOKUP(T_BilanSocial[[#This Row],[NumL]],T_TraitDi[#Data],COLUMN(T_TraitDi[[#This Row],[Colonne8]]),FALSE)=0,"",TEXT(IFERROR(VLOOKUP(T_BilanSocial[[#This Row],[NumL]],T_TraitDi[#Data],COLUMN(T_TraitDi[[#This Row],[Colonne8]]),FALSE),""),"[hh]:mm"))</f>
        <v>#VALUE!</v>
      </c>
      <c r="AN337" s="172" t="str">
        <f>IFERROR(VLOOKUP(T_BilanSocial[[#This Row],[NumL]],T_TraitDi[#Data],COLUMN(T_TraitDi[[#This Row],[Mardi]]),FALSE),"")</f>
        <v/>
      </c>
      <c r="AO337" s="172" t="e">
        <f>IF(VLOOKUP(T_BilanSocial[[#This Row],[NumL]],T_TraitDi[#Data],COLUMN(T_TraitDi[[#This Row],[Colonne1]]),FALSE)=0,"",TEXT(IFERROR(VLOOKUP(T_BilanSocial[[#This Row],[NumL]],T_TraitDi[#Data],COLUMN(T_TraitDi[[#This Row],[Colonne1]]),FALSE),""),"[hh]:mm"))</f>
        <v>#VALUE!</v>
      </c>
      <c r="AP337" s="172" t="e">
        <f>IF(VLOOKUP(T_BilanSocial[[#This Row],[NumL]],T_TraitDi[#Data],COLUMN(T_TraitDi[[#This Row],[Colonne9]]),FALSE)=0,"",TEXT(IFERROR(VLOOKUP(T_BilanSocial[[#This Row],[NumL]],T_TraitDi[#Data],COLUMN(T_TraitDi[[#This Row],[Colonne9]]),FALSE),""),"[hh]:mm"))</f>
        <v>#VALUE!</v>
      </c>
      <c r="AQ337" s="172" t="str">
        <f>IFERROR(VLOOKUP(T_BilanSocial[[#This Row],[NumL]],T_TraitDi[#Data],COLUMN(T_TraitDi[[#This Row],[Colonne10]]),FALSE),"")</f>
        <v/>
      </c>
      <c r="AR337" s="172" t="e">
        <f>IF(VLOOKUP(T_BilanSocial[[#This Row],[NumL]],T_TraitDi[#Data],COLUMN(T_TraitDi[[#This Row],[Colonne11]]),FALSE)=0,"",TEXT(IFERROR(VLOOKUP(T_BilanSocial[[#This Row],[NumL]],T_TraitDi[#Data],COLUMN(T_TraitDi[[#This Row],[Colonne11]]),FALSE),""),"[hh]:mm"))</f>
        <v>#VALUE!</v>
      </c>
      <c r="AS337" s="172" t="e">
        <f>IF(VLOOKUP(T_BilanSocial[[#This Row],[NumL]],T_TraitDi[#Data],COLUMN(T_TraitDi[[#This Row],[Colonne12]]),FALSE)=0,"",TEXT(IFERROR(VLOOKUP(T_BilanSocial[[#This Row],[NumL]],T_TraitDi[#Data],COLUMN(T_TraitDi[[#This Row],[Colonne12]]),FALSE),""),"[hh]:mm"))</f>
        <v>#VALUE!</v>
      </c>
      <c r="AT337" s="172" t="e">
        <f>IF(VLOOKUP(T_BilanSocial[[#This Row],[NumL]],T_TraitDi[#Data],COLUMN(T_TraitDi[[#This Row],[Colonne14]]),FALSE)=0,"",TEXT(IFERROR(VLOOKUP(T_BilanSocial[[#This Row],[NumL]],T_TraitDi[#Data],COLUMN(T_TraitDi[[#This Row],[Colonne14]]),FALSE),""),"[hh]:mm"))</f>
        <v>#VALUE!</v>
      </c>
      <c r="AU337" s="172" t="str">
        <f>IFERROR(VLOOKUP(T_BilanSocial[[#This Row],[NumL]],T_TraitDi[#Data],COLUMN(T_TraitDi[[#This Row],[Mercredi]]),FALSE),"")</f>
        <v/>
      </c>
      <c r="AV337" s="172" t="e">
        <f>IF(VLOOKUP(T_BilanSocial[[#This Row],[NumL]],T_TraitDi[#Data],COLUMN(T_TraitDi[[#This Row],[Colonne15]]),FALSE)=0,"",TEXT(IFERROR(VLOOKUP(T_BilanSocial[[#This Row],[NumL]],T_TraitDi[#Data],COLUMN(T_TraitDi[[#This Row],[Colonne15]]),FALSE),""),"[hh]:mm"))</f>
        <v>#VALUE!</v>
      </c>
      <c r="AW337" s="172" t="e">
        <f>IF(VLOOKUP(T_BilanSocial[[#This Row],[NumL]],T_TraitDi[#Data],COLUMN(T_TraitDi[[#This Row],[Colonne16]]),FALSE)=0,"",TEXT(IFERROR(VLOOKUP(T_BilanSocial[[#This Row],[NumL]],T_TraitDi[#Data],COLUMN(T_TraitDi[[#This Row],[Colonne16]]),FALSE),""),"[hh]:mm"))</f>
        <v>#VALUE!</v>
      </c>
      <c r="AX337" s="172" t="str">
        <f>IFERROR(VLOOKUP(T_BilanSocial[[#This Row],[NumL]],T_TraitDi[#Data],COLUMN(T_TraitDi[[#This Row],[Colonne17]]),FALSE),"")</f>
        <v/>
      </c>
      <c r="AY337" s="172" t="e">
        <f>IF(VLOOKUP(T_BilanSocial[[#This Row],[NumL]],T_TraitDi[#Data],COLUMN(T_TraitDi[[#This Row],[Colonne18]]),FALSE)=0,"",TEXT(IFERROR(VLOOKUP(T_BilanSocial[[#This Row],[NumL]],T_TraitDi[#Data],COLUMN(T_TraitDi[[#This Row],[Colonne18]]),FALSE),""),"[hh]:mm"))</f>
        <v>#VALUE!</v>
      </c>
      <c r="AZ337" s="172" t="e">
        <f>IF(VLOOKUP(T_BilanSocial[[#This Row],[NumL]],T_TraitDi[#Data],COLUMN(T_TraitDi[[#This Row],[Colonne19]]),FALSE)=0,"",TEXT(IFERROR(VLOOKUP(T_BilanSocial[[#This Row],[NumL]],T_TraitDi[#Data],COLUMN(T_TraitDi[[#This Row],[Colonne19]]),FALSE),""),"[hh]:mm"))</f>
        <v>#VALUE!</v>
      </c>
      <c r="BA337" s="172" t="e">
        <f>IF(VLOOKUP(T_BilanSocial[[#This Row],[NumL]],T_TraitDi[#Data],COLUMN(T_TraitDi[[#This Row],[Colonne20]]),FALSE)=0,"",TEXT(IFERROR(VLOOKUP(T_BilanSocial[[#This Row],[NumL]],T_TraitDi[#Data],COLUMN(T_TraitDi[[#This Row],[Colonne20]]),FALSE),""),"[hh]:mm"))</f>
        <v>#VALUE!</v>
      </c>
      <c r="BB337" s="178" t="str">
        <f>IFERROR(VLOOKUP(T_BilanSocial[[#This Row],[NumL]],T_TraitDi[#Data],COLUMN(T_TraitDi[[#This Row],[Jeudi]]),FALSE),"")</f>
        <v/>
      </c>
      <c r="BC337" s="178" t="e">
        <f>IF(VLOOKUP(T_BilanSocial[[#This Row],[NumL]],T_TraitDi[#Data],COLUMN(T_TraitDi[[#This Row],[Colonne21]]),FALSE)=0,"",TEXT(IFERROR(VLOOKUP(T_BilanSocial[[#This Row],[NumL]],T_TraitDi[#Data],COLUMN(T_TraitDi[[#This Row],[Colonne21]]),FALSE),""),"[hh]:mm"))</f>
        <v>#VALUE!</v>
      </c>
      <c r="BD337" s="178" t="e">
        <f>IF(VLOOKUP(T_BilanSocial[[#This Row],[NumL]],T_TraitDi[#Data],COLUMN(T_TraitDi[[#This Row],[Colonne22]]),FALSE)=0,"",TEXT(IFERROR(VLOOKUP(T_BilanSocial[[#This Row],[NumL]],T_TraitDi[#Data],COLUMN(T_TraitDi[[#This Row],[Colonne22]]),FALSE),""),"[hh]:mm"))</f>
        <v>#VALUE!</v>
      </c>
      <c r="BE337" s="178" t="str">
        <f>IFERROR(VLOOKUP(T_BilanSocial[[#This Row],[NumL]],T_TraitDi[#Data],COLUMN(T_TraitDi[[#This Row],[Colonne23]]),FALSE),"")</f>
        <v/>
      </c>
      <c r="BF337" s="178" t="e">
        <f>IF(VLOOKUP(T_BilanSocial[[#This Row],[NumL]],T_TraitDi[#Data],COLUMN(T_TraitDi[[#This Row],[Colonne24]]),FALSE)=0,"",TEXT(IFERROR(VLOOKUP(T_BilanSocial[[#This Row],[NumL]],T_TraitDi[#Data],COLUMN(T_TraitDi[[#This Row],[Colonne24]]),FALSE),""),"[hh]:mm"))</f>
        <v>#VALUE!</v>
      </c>
      <c r="BG337" s="178" t="e">
        <f>IF(VLOOKUP(T_BilanSocial[[#This Row],[NumL]],T_TraitDi[#Data],COLUMN(T_TraitDi[[#This Row],[Colonne25]]),FALSE)=0,"",TEXT(IFERROR(VLOOKUP(T_BilanSocial[[#This Row],[NumL]],T_TraitDi[#Data],COLUMN(T_TraitDi[[#This Row],[Colonne25]]),FALSE),""),"[hh]:mm"))</f>
        <v>#VALUE!</v>
      </c>
      <c r="BH337" s="178" t="e">
        <f>IF(VLOOKUP(T_BilanSocial[[#This Row],[NumL]],T_TraitDi[#Data],COLUMN(T_TraitDi[[#This Row],[Colonne26]]),FALSE)=0,"",TEXT(IFERROR(VLOOKUP(T_BilanSocial[[#This Row],[NumL]],T_TraitDi[#Data],COLUMN(T_TraitDi[[#This Row],[Colonne26]]),FALSE),""),"[hh]:mm"))</f>
        <v>#VALUE!</v>
      </c>
      <c r="BI337" s="172" t="str">
        <f>IFERROR(VLOOKUP(T_BilanSocial[[#This Row],[NumL]],T_TraitDi[#Data],COLUMN(T_TraitDi[[#This Row],[Vendredi]]),FALSE),"")</f>
        <v/>
      </c>
      <c r="BJ337" s="172" t="e">
        <f>IF(VLOOKUP(T_BilanSocial[[#This Row],[NumL]],T_TraitDi[#Data],COLUMN(T_TraitDi[[#This Row],[Colonne27]]),FALSE)=0,"",TEXT(IFERROR(VLOOKUP(T_BilanSocial[[#This Row],[NumL]],T_TraitDi[#Data],COLUMN(T_TraitDi[[#This Row],[Colonne27]]),FALSE),""),"[hh]:mm"))</f>
        <v>#VALUE!</v>
      </c>
      <c r="BK337" s="172" t="e">
        <f>IF(VLOOKUP(T_BilanSocial[[#This Row],[NumL]],T_TraitDi[#Data],COLUMN(T_TraitDi[[#This Row],[Colonne28]]),FALSE)=0,"",TEXT(IFERROR(VLOOKUP(T_BilanSocial[[#This Row],[NumL]],T_TraitDi[#Data],COLUMN(T_TraitDi[[#This Row],[Colonne28]]),FALSE),""),"[hh]:mm"))</f>
        <v>#VALUE!</v>
      </c>
      <c r="BL337" s="172" t="str">
        <f>IFERROR(VLOOKUP(T_BilanSocial[[#This Row],[NumL]],T_TraitDi[#Data],COLUMN(T_TraitDi[[#This Row],[Colonne29]]),FALSE),"")</f>
        <v/>
      </c>
      <c r="BM337" s="172" t="e">
        <f>IF(VLOOKUP(T_BilanSocial[[#This Row],[NumL]],T_TraitDi[#Data],COLUMN(T_TraitDi[[#This Row],[Colonne30]]),FALSE)=0,"",TEXT(IFERROR(VLOOKUP(T_BilanSocial[[#This Row],[NumL]],T_TraitDi[#Data],COLUMN(T_TraitDi[[#This Row],[Colonne30]]),FALSE),""),"[hh]:mm"))</f>
        <v>#VALUE!</v>
      </c>
      <c r="BN337" s="172" t="e">
        <f>IF(VLOOKUP(T_BilanSocial[[#This Row],[NumL]],T_TraitDi[#Data],COLUMN(T_TraitDi[[#This Row],[Colonne31]]),FALSE)=0,"",TEXT(IFERROR(VLOOKUP(T_BilanSocial[[#This Row],[NumL]],T_TraitDi[#Data],COLUMN(T_TraitDi[[#This Row],[Colonne31]]),FALSE),""),"[hh]:mm"))</f>
        <v>#VALUE!</v>
      </c>
      <c r="BO337" s="172" t="e">
        <f>IF(VLOOKUP(T_BilanSocial[[#This Row],[NumL]],T_TraitDi[#Data],COLUMN(T_TraitDi[[#This Row],[Colonne32]]),FALSE)=0,"",TEXT(IFERROR(VLOOKUP(T_BilanSocial[[#This Row],[NumL]],T_TraitDi[#Data],COLUMN(T_TraitDi[[#This Row],[Colonne32]]),FALSE),""),"[hh]:mm"))</f>
        <v>#VALUE!</v>
      </c>
      <c r="BP337" s="172" t="e">
        <f>VLOOKUP(T_BilanSocial[[#This Row],[NumL]],T_TraitDi[#Data],COLUMN(T_TraitDi[NbJTot]),FALSE)</f>
        <v>#N/A</v>
      </c>
      <c r="BQ337" s="174" t="str">
        <f>IFERROR(VLOOKUP(T_BilanSocial[[#This Row],[NumL]],T_TraitDi[#Data],COLUMN(T_TraitDi[[#This Row],[NbJTW]]),FALSE),"")</f>
        <v/>
      </c>
      <c r="BR337" s="174" t="e">
        <f>IF(VLOOKUP(T_BilanSocial[[#This Row],[NumL]],T_TraitDi[#Data],COLUMN(T_TraitDi[[#This Row],[NbhTW]]),FALSE)=0,"",TEXT(IFERROR(VLOOKUP(T_BilanSocial[[#This Row],[NumL]],T_TraitDi[#Data],COLUMN(T_TraitDi[[#This Row],[NbhTW]]),FALSE),""),"[hh]:mm"))</f>
        <v>#VALUE!</v>
      </c>
      <c r="BS337" s="174" t="e">
        <f>IF(VLOOKUP(T_BilanSocial[[#This Row],[NumL]],T_TraitDi[#Data],COLUMN(T_TraitDi[[#This Row],[Nbhheb]]),FALSE)=0,"",TEXT(IFERROR(VLOOKUP($A337,T_TraitDi[#Data],COLUMN(T_TraitDi[[#This Row],[Nbhheb]]),FALSE),""),"[hh]:mm"))</f>
        <v>#VALUE!</v>
      </c>
      <c r="BT337" s="182" t="str">
        <f>IFERROR(VLOOKUP(VLOOKUP($A337,T_TraitDi[#Data],COLUMN(T_TraitDi[[#This Row],[Type1]]),FALSE),TypeTW,2,FALSE),"")</f>
        <v/>
      </c>
      <c r="BU337" s="182" t="str">
        <f>IFERROR(VLOOKUP($A337,T_TraitDi[#Data],COLUMN(T_TraitDi[[#This Row],[Rue1]]),FALSE),"")</f>
        <v/>
      </c>
      <c r="BV337" s="173" t="str">
        <f>IFERROR(VLOOKUP($A337,T_TraitDi[#Data],COLUMN(T_TraitDi[[#This Row],[CP1]]),FALSE),"")</f>
        <v/>
      </c>
      <c r="BW337" s="173" t="str">
        <f>IFERROR(VLOOKUP($A337,T_TraitDi[#Data],COLUMN(T_TraitDi[[#This Row],[VILLE1]]),FALSE),"")</f>
        <v/>
      </c>
      <c r="BX337" s="182" t="str">
        <f>IFERROR(VLOOKUP(VLOOKUP($A337,T_TraitDi[#Data],COLUMN(T_TraitDi[[#This Row],[Type2]]),FALSE),TypeTW,2,FALSE),"")</f>
        <v/>
      </c>
      <c r="BY337" s="182" t="str">
        <f>IFERROR(VLOOKUP($A337,T_TraitDi[#Data],COLUMN(T_TraitDi[[#This Row],[Rue2]]),FALSE),"")</f>
        <v/>
      </c>
      <c r="BZ337" s="173" t="str">
        <f>IFERROR(VLOOKUP($A337,T_TraitDi[#Data],COLUMN(T_TraitDi[[#This Row],[CP2]]),FALSE),"")</f>
        <v/>
      </c>
      <c r="CA337" s="173" t="str">
        <f>IFERROR(VLOOKUP($A337,T_TraitDi[#Data],COLUMN(T_TraitDi[[#This Row],[VILLE2]]),FALSE),"")</f>
        <v/>
      </c>
      <c r="CB337" s="182" t="e">
        <f>IF(VLOOKUP(T_BilanSocial[[#This Row],[NumL]],T_Equipement[#Data],COLUMN(T_Equipement[[#This Row],[PC]]),FALSE)="","Aucun équipement spécifique directement lié au télétravail",VLOOKUP(T_BilanSocial[[#This Row],[NumL]],T_Equipement[#Data],COLUMN(T_Equipement[[#This Row],[PC]]),FALSE))</f>
        <v>#VALUE!</v>
      </c>
      <c r="CC337" s="166" t="str">
        <f>IFERROR(IF(VLOOKUP(T_BilanSocial[[#This Row],[NumL]],T_TraitDi[#Data],COLUMN(T_TraitDi[[#This Row],[Plan]]),FALSE)="OK","Un planning spécifique de télétravail est annexé à la présente convention.",""),"")</f>
        <v/>
      </c>
      <c r="CD337" s="301"/>
      <c r="CE337" s="164" t="e">
        <f>IF(VLOOKUP(T_BilanSocial[[#This Row],[NumL]],T_suiviDi[#Data],COLUMN(T_suiviDi[[#This Row],[Entité]]),FALSE)="","",VLOOKUP(T_BilanSocial[[#This Row],[NumL]],T_suiviDi[#Data],COLUMN(T_suiviDi[[#This Row],[Entité]]),FALSE))</f>
        <v>#VALUE!</v>
      </c>
      <c r="CF337" s="164" t="e">
        <f>IF(VLOOKUP(T_BilanSocial[[#This Row],[NumL]],T_Commission[#Data],COLUMN(T_Commission[[#This Row],[envoi confirm TW]]),FALSE)="","",VLOOKUP(T_BilanSocial[[#This Row],[NumL]],T_Commission[#Data],COLUMN(T_Commission[[#This Row],[envoi confirm TW]]),FALSE))</f>
        <v>#VALUE!</v>
      </c>
      <c r="CG33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7" s="339" t="e">
        <f>T_BilanSocial[[#This Row],[Nom]]&amp;T_BilanSocial[[#This Row],[Prenom]]</f>
        <v>#N/A</v>
      </c>
      <c r="CI337" s="339" t="e">
        <f>VLOOKUP(T_BilanSocial[[#This Row],[NumL]],T_Commission[#Data],COLUMN(T_Commission[Commentaire]),FALSE)</f>
        <v>#N/A</v>
      </c>
      <c r="CJ337" s="339" t="e">
        <f>IF(VLOOKUP(T_BilanSocial[[#This Row],[NumL]],T_Commission[#Data],COLUMN(T_Commission[Encadrant Email]),FALSE)="","",VLOOKUP(T_BilanSocial[[#This Row],[NumL]],T_Commission[#Data],COLUMN(T_Commission[Encadrant Email]),FALSE))</f>
        <v>#N/A</v>
      </c>
      <c r="CK337" s="332" t="e">
        <f>IF(T_BilanSocial[[#This Row],[Final]]&lt;&gt;"",VLOOKUP(T_BilanSocial[[#This Row],[NumL]],T_suiviDi[#Data],COLUMN((T_suiviDi[Statut])),FALSE),"")</f>
        <v>#N/A</v>
      </c>
    </row>
    <row r="338" spans="1:89" s="50" customFormat="1" ht="29.25" customHeight="1" x14ac:dyDescent="0.25">
      <c r="A338" s="136">
        <v>335</v>
      </c>
      <c r="B338" s="330" t="str">
        <f t="shared" si="71"/>
        <v/>
      </c>
      <c r="C338" s="309"/>
      <c r="D338" s="95" t="e">
        <f>IF(VLOOKUP(T_BilanSocial[[#This Row],[NumL]],T_TraitDi[#Data],COLUMN(T_TraitDi[[#This Row],[WebC]]),FALSE)="","",VLOOKUP(T_BilanSocial[[#This Row],[NumL]],T_TraitDi[#Data],COLUMN(T_TraitDi[[#This Row],[WebC]]),FALSE))</f>
        <v>#VALUE!</v>
      </c>
      <c r="E338" s="95" t="str">
        <f t="shared" si="72"/>
        <v>12 janvier 2021</v>
      </c>
      <c r="F338" s="96" t="str">
        <f>IF(T_BilanSocial[[#This Row],[Final]]&lt;&gt;"",VLOOKUP(T_BilanSocial[[#This Row],[NumL]],T_suiviDi[#Data],COLUMN((T_suiviDi[Civ.])),FALSE),"")</f>
        <v/>
      </c>
      <c r="G338" s="96" t="str">
        <f>IF(T_BilanSocial[[#This Row],[Final]]&lt;&gt;"",VLOOKUP(T_BilanSocial[[#This Row],[NumL]],T_suiviDi[#Data],COLUMN((T_suiviDi[Nom])),FALSE),"")</f>
        <v/>
      </c>
      <c r="H338" s="96" t="str">
        <f>IF(T_BilanSocial[[#This Row],[Final]]&lt;&gt;"",VLOOKUP(T_BilanSocial[[#This Row],[NumL]],T_suiviDi[#Data],COLUMN((T_suiviDi[Prénom])),FALSE),"")</f>
        <v/>
      </c>
      <c r="I338" s="331" t="str">
        <f>IFERROR(VLOOKUP(T_BilanSocial[[#This Row],[Zone_Bilan]],T_P_BilanSocial[#Data],COLUMN(T_P_BilanSocial[[#This Row],[Numero_SIHAM]]),FALSE),"")</f>
        <v/>
      </c>
      <c r="J338" s="331" t="str">
        <f>IFERROR(VLOOKUP(T_BilanSocial[[#This Row],[Zone_Bilan]],T_P_BilanSocial[#Data],COLUMN(T_P_BilanSocial[[#This Row],[Sexe]]),FALSE),"")</f>
        <v/>
      </c>
      <c r="K338" s="294" t="str">
        <f>IFERROR(VLOOKUP(T_BilanSocial[[#This Row],[Zone_Bilan]],T_P_BilanSocial[#Data],COLUMN(T_P_BilanSocial[[#This Row],[Categorie]]),FALSE),"")</f>
        <v/>
      </c>
      <c r="L338" s="331" t="str">
        <f>IFERROR(VLOOKUP(T_BilanSocial[[#This Row],[Zone_Bilan]],T_P_BilanSocial[#Data],COLUMN(T_P_BilanSocial[[#This Row],[Statut]]),FALSE),"")</f>
        <v/>
      </c>
      <c r="M338" s="331" t="str">
        <f>IFERROR(VLOOKUP(T_BilanSocial[[#This Row],[Zone_Bilan]],T_P_BilanSocial[#Data],COLUMN(T_P_BilanSocial[[#This Row],[Filiere]]),FALSE),"")</f>
        <v/>
      </c>
      <c r="N338" s="331" t="e">
        <f>VLOOKUP(T_BilanSocial[[#This Row],[NumL]],T_TraitDi[#Data],COLUMN(T_TraitDi[EXP]),FALSE)</f>
        <v>#N/A</v>
      </c>
      <c r="O338" s="331" t="e">
        <f>VLOOKUP(T_BilanSocial[[#This Row],[NumL]],T_TraitDi[#Data],COLUMN(T_TraitDi[FORM]),FALSE)</f>
        <v>#N/A</v>
      </c>
      <c r="P338" s="96" t="str">
        <f>IF(T_BilanSocial[[#This Row],[Final]]&lt;&gt;"",VLOOKUP(T_BilanSocial[[#This Row],[NumL]],T_suiviDi[#Data],COLUMN((T_suiviDi[Email])),FALSE),"")</f>
        <v/>
      </c>
      <c r="Q338" s="96" t="e">
        <f t="shared" si="73"/>
        <v>#N/A</v>
      </c>
      <c r="R338" s="96" t="e">
        <f t="shared" si="74"/>
        <v>#N/A</v>
      </c>
      <c r="S338" s="96" t="str">
        <f t="shared" si="70"/>
        <v/>
      </c>
      <c r="T338" s="96" t="str">
        <f t="shared" si="75"/>
        <v>01 septembre 2021</v>
      </c>
      <c r="U338" s="96" t="str">
        <f t="shared" si="76"/>
        <v>30 novembre 2021</v>
      </c>
      <c r="V338" s="97">
        <f t="shared" si="77"/>
        <v>44530</v>
      </c>
      <c r="W338" s="176" t="e">
        <f>IF(VLOOKUP(T_BilanSocial[[#This Row],[NumL]],T_TraitDi[#Data],COLUMN(T_TraitDi[[#This Row],[M1]]),FALSE)="","",VLOOKUP(T_BilanSocial[[#This Row],[NumL]],T_TraitDi[#Data],COLUMN(T_TraitDi[[#This Row],[M1]]),FALSE))</f>
        <v>#VALUE!</v>
      </c>
      <c r="X338" s="96" t="str">
        <f t="shared" si="81"/>
        <v/>
      </c>
      <c r="Y338" s="96" t="str">
        <f t="shared" si="81"/>
        <v/>
      </c>
      <c r="Z338" s="96" t="str">
        <f t="shared" si="78"/>
        <v/>
      </c>
      <c r="AA338" s="176" t="e">
        <f>IF(VLOOKUP(T_BilanSocial[[#This Row],[NumL]],T_TraitDi[#Data],COLUMN(T_TraitDi[[#This Row],[M5]]),FALSE)="","",VLOOKUP(T_BilanSocial[[#This Row],[NumL]],T_TraitDi[#Data],COLUMN(T_TraitDi[[#This Row],[M5]]),FALSE))</f>
        <v>#VALUE!</v>
      </c>
      <c r="AB338" s="176" t="e">
        <f>IF(VLOOKUP(T_BilanSocial[[#This Row],[NumL]],T_TraitDi[#Data],COLUMN(T_TraitDi[[#This Row],[M6]]),FALSE)="","",VLOOKUP(T_BilanSocial[[#This Row],[NumL]],T_TraitDi[#Data],COLUMN(T_TraitDi[[#This Row],[M6]]),FALSE))</f>
        <v>#VALUE!</v>
      </c>
      <c r="AC338" s="96" t="e">
        <f t="shared" si="80"/>
        <v>#VALUE!</v>
      </c>
      <c r="AD338" s="97" t="str">
        <f t="shared" si="79"/>
        <v/>
      </c>
      <c r="AE338" s="294" t="e">
        <f>VLOOKUP(T_BilanSocial[[#This Row],[NumL]],T_TraitDi[#Data],COLUMN(T_TraitDi[[#This Row],[Reg Ponct]]),FALSE)</f>
        <v>#VALUE!</v>
      </c>
      <c r="AF338" s="294" t="e">
        <f>VLOOKUP(T_BilanSocial[NumL],T_TraitDi[#Data],COLUMN(T_TraitDi[[#This Row],[Jours flottants]]),FALSE)</f>
        <v>#VALUE!</v>
      </c>
      <c r="AG338" s="97" t="str">
        <f>IFERROR(VLOOKUP(T_BilanSocial[[#This Row],[NumL]],T_TraitDi[#Data],COLUMN(T_TraitDi[[#This Row],[Lundi]]),FALSE),"")</f>
        <v/>
      </c>
      <c r="AH338" s="172" t="e">
        <f>IF(VLOOKUP(T_BilanSocial[[#This Row],[NumL]],T_TraitDi[#Data],COLUMN(T_TraitDi[[#This Row],[Colonne3]]),FALSE)=0,"",TEXT(IFERROR(VLOOKUP(T_BilanSocial[[#This Row],[NumL]],T_TraitDi[#Data],COLUMN(T_TraitDi[[#This Row],[Colonne3]]),FALSE),""),"[hh]:mm"))</f>
        <v>#VALUE!</v>
      </c>
      <c r="AI338" s="172" t="e">
        <f>IF(VLOOKUP(T_BilanSocial[[#This Row],[NumL]],T_TraitDi[#Data],COLUMN(T_TraitDi[[#This Row],[Colonne4]]),FALSE)=0,"",TEXT(IFERROR(VLOOKUP(T_BilanSocial[[#This Row],[NumL]],T_TraitDi[#Data],COLUMN(T_TraitDi[[#This Row],[Colonne4]]),FALSE),""),"[hh]:mm"))</f>
        <v>#VALUE!</v>
      </c>
      <c r="AJ338" s="172" t="e">
        <f>IF(VLOOKUP(T_BilanSocial[[#This Row],[NumL]],T_TraitDi[#Data],COLUMN(T_TraitDi[[#This Row],[Colonne5]]),FALSE)=0,"",TEXT(IFERROR(VLOOKUP(T_BilanSocial[[#This Row],[NumL]],T_TraitDi[#Data],COLUMN(T_TraitDi[[#This Row],[Colonne5]]),FALSE),""),"[hh]:mm"))</f>
        <v>#VALUE!</v>
      </c>
      <c r="AK338" s="172" t="e">
        <f>IF(VLOOKUP(T_BilanSocial[[#This Row],[NumL]],T_TraitDi[#Data],COLUMN(T_TraitDi[[#This Row],[Colonne6]]),FALSE)=0,"",TEXT(IFERROR(VLOOKUP(T_BilanSocial[[#This Row],[NumL]],T_TraitDi[#Data],COLUMN(T_TraitDi[[#This Row],[Colonne6]]),FALSE),""),"[hh]:mm"))</f>
        <v>#VALUE!</v>
      </c>
      <c r="AL338" s="172" t="e">
        <f>IF(VLOOKUP(T_BilanSocial[[#This Row],[NumL]],T_TraitDi[#Data],COLUMN(T_TraitDi[[#This Row],[Colonne7]]),FALSE)=0,"",TEXT(IFERROR(VLOOKUP(T_BilanSocial[[#This Row],[NumL]],T_TraitDi[#Data],COLUMN(T_TraitDi[[#This Row],[Colonne7]]),FALSE),""),"[hh]:mm"))</f>
        <v>#VALUE!</v>
      </c>
      <c r="AM338" s="172" t="e">
        <f>IF(VLOOKUP(T_BilanSocial[[#This Row],[NumL]],T_TraitDi[#Data],COLUMN(T_TraitDi[[#This Row],[Colonne8]]),FALSE)=0,"",TEXT(IFERROR(VLOOKUP(T_BilanSocial[[#This Row],[NumL]],T_TraitDi[#Data],COLUMN(T_TraitDi[[#This Row],[Colonne8]]),FALSE),""),"[hh]:mm"))</f>
        <v>#VALUE!</v>
      </c>
      <c r="AN338" s="172" t="str">
        <f>IFERROR(VLOOKUP(T_BilanSocial[[#This Row],[NumL]],T_TraitDi[#Data],COLUMN(T_TraitDi[[#This Row],[Mardi]]),FALSE),"")</f>
        <v/>
      </c>
      <c r="AO338" s="172" t="e">
        <f>IF(VLOOKUP(T_BilanSocial[[#This Row],[NumL]],T_TraitDi[#Data],COLUMN(T_TraitDi[[#This Row],[Colonne1]]),FALSE)=0,"",TEXT(IFERROR(VLOOKUP(T_BilanSocial[[#This Row],[NumL]],T_TraitDi[#Data],COLUMN(T_TraitDi[[#This Row],[Colonne1]]),FALSE),""),"[hh]:mm"))</f>
        <v>#VALUE!</v>
      </c>
      <c r="AP338" s="172" t="e">
        <f>IF(VLOOKUP(T_BilanSocial[[#This Row],[NumL]],T_TraitDi[#Data],COLUMN(T_TraitDi[[#This Row],[Colonne9]]),FALSE)=0,"",TEXT(IFERROR(VLOOKUP(T_BilanSocial[[#This Row],[NumL]],T_TraitDi[#Data],COLUMN(T_TraitDi[[#This Row],[Colonne9]]),FALSE),""),"[hh]:mm"))</f>
        <v>#VALUE!</v>
      </c>
      <c r="AQ338" s="172" t="str">
        <f>IFERROR(VLOOKUP(T_BilanSocial[[#This Row],[NumL]],T_TraitDi[#Data],COLUMN(T_TraitDi[[#This Row],[Colonne10]]),FALSE),"")</f>
        <v/>
      </c>
      <c r="AR338" s="172" t="e">
        <f>IF(VLOOKUP(T_BilanSocial[[#This Row],[NumL]],T_TraitDi[#Data],COLUMN(T_TraitDi[[#This Row],[Colonne11]]),FALSE)=0,"",TEXT(IFERROR(VLOOKUP(T_BilanSocial[[#This Row],[NumL]],T_TraitDi[#Data],COLUMN(T_TraitDi[[#This Row],[Colonne11]]),FALSE),""),"[hh]:mm"))</f>
        <v>#VALUE!</v>
      </c>
      <c r="AS338" s="172" t="e">
        <f>IF(VLOOKUP(T_BilanSocial[[#This Row],[NumL]],T_TraitDi[#Data],COLUMN(T_TraitDi[[#This Row],[Colonne12]]),FALSE)=0,"",TEXT(IFERROR(VLOOKUP(T_BilanSocial[[#This Row],[NumL]],T_TraitDi[#Data],COLUMN(T_TraitDi[[#This Row],[Colonne12]]),FALSE),""),"[hh]:mm"))</f>
        <v>#VALUE!</v>
      </c>
      <c r="AT338" s="172" t="e">
        <f>IF(VLOOKUP(T_BilanSocial[[#This Row],[NumL]],T_TraitDi[#Data],COLUMN(T_TraitDi[[#This Row],[Colonne14]]),FALSE)=0,"",TEXT(IFERROR(VLOOKUP(T_BilanSocial[[#This Row],[NumL]],T_TraitDi[#Data],COLUMN(T_TraitDi[[#This Row],[Colonne14]]),FALSE),""),"[hh]:mm"))</f>
        <v>#VALUE!</v>
      </c>
      <c r="AU338" s="172" t="str">
        <f>IFERROR(VLOOKUP(T_BilanSocial[[#This Row],[NumL]],T_TraitDi[#Data],COLUMN(T_TraitDi[[#This Row],[Mercredi]]),FALSE),"")</f>
        <v/>
      </c>
      <c r="AV338" s="172" t="e">
        <f>IF(VLOOKUP(T_BilanSocial[[#This Row],[NumL]],T_TraitDi[#Data],COLUMN(T_TraitDi[[#This Row],[Colonne15]]),FALSE)=0,"",TEXT(IFERROR(VLOOKUP(T_BilanSocial[[#This Row],[NumL]],T_TraitDi[#Data],COLUMN(T_TraitDi[[#This Row],[Colonne15]]),FALSE),""),"[hh]:mm"))</f>
        <v>#VALUE!</v>
      </c>
      <c r="AW338" s="172" t="e">
        <f>IF(VLOOKUP(T_BilanSocial[[#This Row],[NumL]],T_TraitDi[#Data],COLUMN(T_TraitDi[[#This Row],[Colonne16]]),FALSE)=0,"",TEXT(IFERROR(VLOOKUP(T_BilanSocial[[#This Row],[NumL]],T_TraitDi[#Data],COLUMN(T_TraitDi[[#This Row],[Colonne16]]),FALSE),""),"[hh]:mm"))</f>
        <v>#VALUE!</v>
      </c>
      <c r="AX338" s="172" t="str">
        <f>IFERROR(VLOOKUP(T_BilanSocial[[#This Row],[NumL]],T_TraitDi[#Data],COLUMN(T_TraitDi[[#This Row],[Colonne17]]),FALSE),"")</f>
        <v/>
      </c>
      <c r="AY338" s="172" t="e">
        <f>IF(VLOOKUP(T_BilanSocial[[#This Row],[NumL]],T_TraitDi[#Data],COLUMN(T_TraitDi[[#This Row],[Colonne18]]),FALSE)=0,"",TEXT(IFERROR(VLOOKUP(T_BilanSocial[[#This Row],[NumL]],T_TraitDi[#Data],COLUMN(T_TraitDi[[#This Row],[Colonne18]]),FALSE),""),"[hh]:mm"))</f>
        <v>#VALUE!</v>
      </c>
      <c r="AZ338" s="172" t="e">
        <f>IF(VLOOKUP(T_BilanSocial[[#This Row],[NumL]],T_TraitDi[#Data],COLUMN(T_TraitDi[[#This Row],[Colonne19]]),FALSE)=0,"",TEXT(IFERROR(VLOOKUP(T_BilanSocial[[#This Row],[NumL]],T_TraitDi[#Data],COLUMN(T_TraitDi[[#This Row],[Colonne19]]),FALSE),""),"[hh]:mm"))</f>
        <v>#VALUE!</v>
      </c>
      <c r="BA338" s="172" t="e">
        <f>IF(VLOOKUP(T_BilanSocial[[#This Row],[NumL]],T_TraitDi[#Data],COLUMN(T_TraitDi[[#This Row],[Colonne20]]),FALSE)=0,"",TEXT(IFERROR(VLOOKUP(T_BilanSocial[[#This Row],[NumL]],T_TraitDi[#Data],COLUMN(T_TraitDi[[#This Row],[Colonne20]]),FALSE),""),"[hh]:mm"))</f>
        <v>#VALUE!</v>
      </c>
      <c r="BB338" s="178" t="str">
        <f>IFERROR(VLOOKUP(T_BilanSocial[[#This Row],[NumL]],T_TraitDi[#Data],COLUMN(T_TraitDi[[#This Row],[Jeudi]]),FALSE),"")</f>
        <v/>
      </c>
      <c r="BC338" s="178" t="e">
        <f>IF(VLOOKUP(T_BilanSocial[[#This Row],[NumL]],T_TraitDi[#Data],COLUMN(T_TraitDi[[#This Row],[Colonne21]]),FALSE)=0,"",TEXT(IFERROR(VLOOKUP(T_BilanSocial[[#This Row],[NumL]],T_TraitDi[#Data],COLUMN(T_TraitDi[[#This Row],[Colonne21]]),FALSE),""),"[hh]:mm"))</f>
        <v>#VALUE!</v>
      </c>
      <c r="BD338" s="178" t="e">
        <f>IF(VLOOKUP(T_BilanSocial[[#This Row],[NumL]],T_TraitDi[#Data],COLUMN(T_TraitDi[[#This Row],[Colonne22]]),FALSE)=0,"",TEXT(IFERROR(VLOOKUP(T_BilanSocial[[#This Row],[NumL]],T_TraitDi[#Data],COLUMN(T_TraitDi[[#This Row],[Colonne22]]),FALSE),""),"[hh]:mm"))</f>
        <v>#VALUE!</v>
      </c>
      <c r="BE338" s="178" t="str">
        <f>IFERROR(VLOOKUP(T_BilanSocial[[#This Row],[NumL]],T_TraitDi[#Data],COLUMN(T_TraitDi[[#This Row],[Colonne23]]),FALSE),"")</f>
        <v/>
      </c>
      <c r="BF338" s="178" t="e">
        <f>IF(VLOOKUP(T_BilanSocial[[#This Row],[NumL]],T_TraitDi[#Data],COLUMN(T_TraitDi[[#This Row],[Colonne24]]),FALSE)=0,"",TEXT(IFERROR(VLOOKUP(T_BilanSocial[[#This Row],[NumL]],T_TraitDi[#Data],COLUMN(T_TraitDi[[#This Row],[Colonne24]]),FALSE),""),"[hh]:mm"))</f>
        <v>#VALUE!</v>
      </c>
      <c r="BG338" s="178" t="e">
        <f>IF(VLOOKUP(T_BilanSocial[[#This Row],[NumL]],T_TraitDi[#Data],COLUMN(T_TraitDi[[#This Row],[Colonne25]]),FALSE)=0,"",TEXT(IFERROR(VLOOKUP(T_BilanSocial[[#This Row],[NumL]],T_TraitDi[#Data],COLUMN(T_TraitDi[[#This Row],[Colonne25]]),FALSE),""),"[hh]:mm"))</f>
        <v>#VALUE!</v>
      </c>
      <c r="BH338" s="178" t="e">
        <f>IF(VLOOKUP(T_BilanSocial[[#This Row],[NumL]],T_TraitDi[#Data],COLUMN(T_TraitDi[[#This Row],[Colonne26]]),FALSE)=0,"",TEXT(IFERROR(VLOOKUP(T_BilanSocial[[#This Row],[NumL]],T_TraitDi[#Data],COLUMN(T_TraitDi[[#This Row],[Colonne26]]),FALSE),""),"[hh]:mm"))</f>
        <v>#VALUE!</v>
      </c>
      <c r="BI338" s="172" t="str">
        <f>IFERROR(VLOOKUP(T_BilanSocial[[#This Row],[NumL]],T_TraitDi[#Data],COLUMN(T_TraitDi[[#This Row],[Vendredi]]),FALSE),"")</f>
        <v/>
      </c>
      <c r="BJ338" s="172" t="e">
        <f>IF(VLOOKUP(T_BilanSocial[[#This Row],[NumL]],T_TraitDi[#Data],COLUMN(T_TraitDi[[#This Row],[Colonne27]]),FALSE)=0,"",TEXT(IFERROR(VLOOKUP(T_BilanSocial[[#This Row],[NumL]],T_TraitDi[#Data],COLUMN(T_TraitDi[[#This Row],[Colonne27]]),FALSE),""),"[hh]:mm"))</f>
        <v>#VALUE!</v>
      </c>
      <c r="BK338" s="172" t="e">
        <f>IF(VLOOKUP(T_BilanSocial[[#This Row],[NumL]],T_TraitDi[#Data],COLUMN(T_TraitDi[[#This Row],[Colonne28]]),FALSE)=0,"",TEXT(IFERROR(VLOOKUP(T_BilanSocial[[#This Row],[NumL]],T_TraitDi[#Data],COLUMN(T_TraitDi[[#This Row],[Colonne28]]),FALSE),""),"[hh]:mm"))</f>
        <v>#VALUE!</v>
      </c>
      <c r="BL338" s="172" t="str">
        <f>IFERROR(VLOOKUP(T_BilanSocial[[#This Row],[NumL]],T_TraitDi[#Data],COLUMN(T_TraitDi[[#This Row],[Colonne29]]),FALSE),"")</f>
        <v/>
      </c>
      <c r="BM338" s="172" t="e">
        <f>IF(VLOOKUP(T_BilanSocial[[#This Row],[NumL]],T_TraitDi[#Data],COLUMN(T_TraitDi[[#This Row],[Colonne30]]),FALSE)=0,"",TEXT(IFERROR(VLOOKUP(T_BilanSocial[[#This Row],[NumL]],T_TraitDi[#Data],COLUMN(T_TraitDi[[#This Row],[Colonne30]]),FALSE),""),"[hh]:mm"))</f>
        <v>#VALUE!</v>
      </c>
      <c r="BN338" s="172" t="e">
        <f>IF(VLOOKUP(T_BilanSocial[[#This Row],[NumL]],T_TraitDi[#Data],COLUMN(T_TraitDi[[#This Row],[Colonne31]]),FALSE)=0,"",TEXT(IFERROR(VLOOKUP(T_BilanSocial[[#This Row],[NumL]],T_TraitDi[#Data],COLUMN(T_TraitDi[[#This Row],[Colonne31]]),FALSE),""),"[hh]:mm"))</f>
        <v>#VALUE!</v>
      </c>
      <c r="BO338" s="172" t="e">
        <f>IF(VLOOKUP(T_BilanSocial[[#This Row],[NumL]],T_TraitDi[#Data],COLUMN(T_TraitDi[[#This Row],[Colonne32]]),FALSE)=0,"",TEXT(IFERROR(VLOOKUP(T_BilanSocial[[#This Row],[NumL]],T_TraitDi[#Data],COLUMN(T_TraitDi[[#This Row],[Colonne32]]),FALSE),""),"[hh]:mm"))</f>
        <v>#VALUE!</v>
      </c>
      <c r="BP338" s="172" t="e">
        <f>VLOOKUP(T_BilanSocial[[#This Row],[NumL]],T_TraitDi[#Data],COLUMN(T_TraitDi[NbJTot]),FALSE)</f>
        <v>#N/A</v>
      </c>
      <c r="BQ338" s="174" t="str">
        <f>IFERROR(VLOOKUP(T_BilanSocial[[#This Row],[NumL]],T_TraitDi[#Data],COLUMN(T_TraitDi[[#This Row],[NbJTW]]),FALSE),"")</f>
        <v/>
      </c>
      <c r="BR338" s="174" t="e">
        <f>IF(VLOOKUP(T_BilanSocial[[#This Row],[NumL]],T_TraitDi[#Data],COLUMN(T_TraitDi[[#This Row],[NbhTW]]),FALSE)=0,"",TEXT(IFERROR(VLOOKUP(T_BilanSocial[[#This Row],[NumL]],T_TraitDi[#Data],COLUMN(T_TraitDi[[#This Row],[NbhTW]]),FALSE),""),"[hh]:mm"))</f>
        <v>#VALUE!</v>
      </c>
      <c r="BS338" s="174" t="e">
        <f>IF(VLOOKUP(T_BilanSocial[[#This Row],[NumL]],T_TraitDi[#Data],COLUMN(T_TraitDi[[#This Row],[Nbhheb]]),FALSE)=0,"",TEXT(IFERROR(VLOOKUP($A338,T_TraitDi[#Data],COLUMN(T_TraitDi[[#This Row],[Nbhheb]]),FALSE),""),"[hh]:mm"))</f>
        <v>#VALUE!</v>
      </c>
      <c r="BT338" s="182" t="str">
        <f>IFERROR(VLOOKUP(VLOOKUP($A338,T_TraitDi[#Data],COLUMN(T_TraitDi[[#This Row],[Type1]]),FALSE),TypeTW,2,FALSE),"")</f>
        <v/>
      </c>
      <c r="BU338" s="182" t="str">
        <f>IFERROR(VLOOKUP($A338,T_TraitDi[#Data],COLUMN(T_TraitDi[[#This Row],[Rue1]]),FALSE),"")</f>
        <v/>
      </c>
      <c r="BV338" s="173" t="str">
        <f>IFERROR(VLOOKUP($A338,T_TraitDi[#Data],COLUMN(T_TraitDi[[#This Row],[CP1]]),FALSE),"")</f>
        <v/>
      </c>
      <c r="BW338" s="173" t="str">
        <f>IFERROR(VLOOKUP($A338,T_TraitDi[#Data],COLUMN(T_TraitDi[[#This Row],[VILLE1]]),FALSE),"")</f>
        <v/>
      </c>
      <c r="BX338" s="182" t="str">
        <f>IFERROR(VLOOKUP(VLOOKUP($A338,T_TraitDi[#Data],COLUMN(T_TraitDi[[#This Row],[Type2]]),FALSE),TypeTW,2,FALSE),"")</f>
        <v/>
      </c>
      <c r="BY338" s="182" t="str">
        <f>IFERROR(VLOOKUP($A338,T_TraitDi[#Data],COLUMN(T_TraitDi[[#This Row],[Rue2]]),FALSE),"")</f>
        <v/>
      </c>
      <c r="BZ338" s="173" t="str">
        <f>IFERROR(VLOOKUP($A338,T_TraitDi[#Data],COLUMN(T_TraitDi[[#This Row],[CP2]]),FALSE),"")</f>
        <v/>
      </c>
      <c r="CA338" s="173" t="str">
        <f>IFERROR(VLOOKUP($A338,T_TraitDi[#Data],COLUMN(T_TraitDi[[#This Row],[VILLE2]]),FALSE),"")</f>
        <v/>
      </c>
      <c r="CB338" s="182" t="e">
        <f>IF(VLOOKUP(T_BilanSocial[[#This Row],[NumL]],T_Equipement[#Data],COLUMN(T_Equipement[[#This Row],[PC]]),FALSE)="","Aucun équipement spécifique directement lié au télétravail",VLOOKUP(T_BilanSocial[[#This Row],[NumL]],T_Equipement[#Data],COLUMN(T_Equipement[[#This Row],[PC]]),FALSE))</f>
        <v>#VALUE!</v>
      </c>
      <c r="CC338" s="166" t="str">
        <f>IFERROR(IF(VLOOKUP(T_BilanSocial[[#This Row],[NumL]],T_TraitDi[#Data],COLUMN(T_TraitDi[[#This Row],[Plan]]),FALSE)="OK","Un planning spécifique de télétravail est annexé à la présente convention.",""),"")</f>
        <v/>
      </c>
      <c r="CD338" s="301"/>
      <c r="CE338" s="164" t="e">
        <f>IF(VLOOKUP(T_BilanSocial[[#This Row],[NumL]],T_suiviDi[#Data],COLUMN(T_suiviDi[[#This Row],[Entité]]),FALSE)="","",VLOOKUP(T_BilanSocial[[#This Row],[NumL]],T_suiviDi[#Data],COLUMN(T_suiviDi[[#This Row],[Entité]]),FALSE))</f>
        <v>#VALUE!</v>
      </c>
      <c r="CF338" s="164" t="e">
        <f>IF(VLOOKUP(T_BilanSocial[[#This Row],[NumL]],T_Commission[#Data],COLUMN(T_Commission[[#This Row],[envoi confirm TW]]),FALSE)="","",VLOOKUP(T_BilanSocial[[#This Row],[NumL]],T_Commission[#Data],COLUMN(T_Commission[[#This Row],[envoi confirm TW]]),FALSE))</f>
        <v>#VALUE!</v>
      </c>
      <c r="CG33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8" s="339" t="str">
        <f>T_BilanSocial[[#This Row],[Nom]]&amp;T_BilanSocial[[#This Row],[Prenom]]</f>
        <v/>
      </c>
      <c r="CI338" s="339">
        <f>VLOOKUP(T_BilanSocial[[#This Row],[NumL]],T_Commission[#Data],COLUMN(T_Commission[Commentaire]),FALSE)</f>
        <v>0</v>
      </c>
      <c r="CJ338" s="339" t="str">
        <f>IF(VLOOKUP(T_BilanSocial[[#This Row],[NumL]],T_Commission[#Data],COLUMN(T_Commission[Encadrant Email]),FALSE)="","",VLOOKUP(T_BilanSocial[[#This Row],[NumL]],T_Commission[#Data],COLUMN(T_Commission[Encadrant Email]),FALSE))</f>
        <v/>
      </c>
      <c r="CK338" s="332" t="str">
        <f>IF(T_BilanSocial[[#This Row],[Final]]&lt;&gt;"",VLOOKUP(T_BilanSocial[[#This Row],[NumL]],T_suiviDi[#Data],COLUMN((T_suiviDi[Statut])),FALSE),"")</f>
        <v/>
      </c>
    </row>
    <row r="339" spans="1:89" s="50" customFormat="1" ht="29.25" customHeight="1" x14ac:dyDescent="0.25">
      <c r="A339" s="136">
        <v>336</v>
      </c>
      <c r="B339" s="330" t="str">
        <f t="shared" si="71"/>
        <v/>
      </c>
      <c r="C339" s="309"/>
      <c r="D339" s="95" t="e">
        <f>IF(VLOOKUP(T_BilanSocial[[#This Row],[NumL]],T_TraitDi[#Data],COLUMN(T_TraitDi[[#This Row],[WebC]]),FALSE)="","",VLOOKUP(T_BilanSocial[[#This Row],[NumL]],T_TraitDi[#Data],COLUMN(T_TraitDi[[#This Row],[WebC]]),FALSE))</f>
        <v>#VALUE!</v>
      </c>
      <c r="E339" s="95" t="str">
        <f t="shared" si="72"/>
        <v>12 janvier 2021</v>
      </c>
      <c r="F339" s="96" t="str">
        <f>IF(T_BilanSocial[[#This Row],[Final]]&lt;&gt;"",VLOOKUP(T_BilanSocial[[#This Row],[NumL]],T_suiviDi[#Data],COLUMN((T_suiviDi[Civ.])),FALSE),"")</f>
        <v/>
      </c>
      <c r="G339" s="96" t="str">
        <f>IF(T_BilanSocial[[#This Row],[Final]]&lt;&gt;"",VLOOKUP(T_BilanSocial[[#This Row],[NumL]],T_suiviDi[#Data],COLUMN((T_suiviDi[Nom])),FALSE),"")</f>
        <v/>
      </c>
      <c r="H339" s="96" t="str">
        <f>IF(T_BilanSocial[[#This Row],[Final]]&lt;&gt;"",VLOOKUP(T_BilanSocial[[#This Row],[NumL]],T_suiviDi[#Data],COLUMN((T_suiviDi[Prénom])),FALSE),"")</f>
        <v/>
      </c>
      <c r="I339" s="331" t="str">
        <f>IFERROR(VLOOKUP(T_BilanSocial[[#This Row],[Zone_Bilan]],T_P_BilanSocial[#Data],COLUMN(T_P_BilanSocial[[#This Row],[Numero_SIHAM]]),FALSE),"")</f>
        <v/>
      </c>
      <c r="J339" s="331" t="str">
        <f>IFERROR(VLOOKUP(T_BilanSocial[[#This Row],[Zone_Bilan]],T_P_BilanSocial[#Data],COLUMN(T_P_BilanSocial[[#This Row],[Sexe]]),FALSE),"")</f>
        <v/>
      </c>
      <c r="K339" s="294" t="str">
        <f>IFERROR(VLOOKUP(T_BilanSocial[[#This Row],[Zone_Bilan]],T_P_BilanSocial[#Data],COLUMN(T_P_BilanSocial[[#This Row],[Categorie]]),FALSE),"")</f>
        <v/>
      </c>
      <c r="L339" s="331" t="str">
        <f>IFERROR(VLOOKUP(T_BilanSocial[[#This Row],[Zone_Bilan]],T_P_BilanSocial[#Data],COLUMN(T_P_BilanSocial[[#This Row],[Statut]]),FALSE),"")</f>
        <v/>
      </c>
      <c r="M339" s="331" t="str">
        <f>IFERROR(VLOOKUP(T_BilanSocial[[#This Row],[Zone_Bilan]],T_P_BilanSocial[#Data],COLUMN(T_P_BilanSocial[[#This Row],[Filiere]]),FALSE),"")</f>
        <v/>
      </c>
      <c r="N339" s="331" t="e">
        <f>VLOOKUP(T_BilanSocial[[#This Row],[NumL]],T_TraitDi[#Data],COLUMN(T_TraitDi[EXP]),FALSE)</f>
        <v>#N/A</v>
      </c>
      <c r="O339" s="331" t="e">
        <f>VLOOKUP(T_BilanSocial[[#This Row],[NumL]],T_TraitDi[#Data],COLUMN(T_TraitDi[FORM]),FALSE)</f>
        <v>#N/A</v>
      </c>
      <c r="P339" s="96" t="str">
        <f>IF(T_BilanSocial[[#This Row],[Final]]&lt;&gt;"",VLOOKUP(T_BilanSocial[[#This Row],[NumL]],T_suiviDi[#Data],COLUMN((T_suiviDi[Email])),FALSE),"")</f>
        <v/>
      </c>
      <c r="Q339" s="96" t="e">
        <f t="shared" si="73"/>
        <v>#N/A</v>
      </c>
      <c r="R339" s="96" t="e">
        <f t="shared" si="74"/>
        <v>#N/A</v>
      </c>
      <c r="S339" s="96" t="str">
        <f t="shared" si="70"/>
        <v/>
      </c>
      <c r="T339" s="96" t="str">
        <f t="shared" si="75"/>
        <v>01 septembre 2021</v>
      </c>
      <c r="U339" s="96" t="str">
        <f t="shared" si="76"/>
        <v>30 novembre 2021</v>
      </c>
      <c r="V339" s="97">
        <f t="shared" si="77"/>
        <v>44530</v>
      </c>
      <c r="W339" s="176" t="e">
        <f>IF(VLOOKUP(T_BilanSocial[[#This Row],[NumL]],T_TraitDi[#Data],COLUMN(T_TraitDi[[#This Row],[M1]]),FALSE)="","",VLOOKUP(T_BilanSocial[[#This Row],[NumL]],T_TraitDi[#Data],COLUMN(T_TraitDi[[#This Row],[M1]]),FALSE))</f>
        <v>#VALUE!</v>
      </c>
      <c r="X339" s="96" t="str">
        <f t="shared" si="81"/>
        <v/>
      </c>
      <c r="Y339" s="96" t="str">
        <f t="shared" si="81"/>
        <v/>
      </c>
      <c r="Z339" s="96" t="str">
        <f t="shared" si="78"/>
        <v/>
      </c>
      <c r="AA339" s="176" t="e">
        <f>IF(VLOOKUP(T_BilanSocial[[#This Row],[NumL]],T_TraitDi[#Data],COLUMN(T_TraitDi[[#This Row],[M5]]),FALSE)="","",VLOOKUP(T_BilanSocial[[#This Row],[NumL]],T_TraitDi[#Data],COLUMN(T_TraitDi[[#This Row],[M5]]),FALSE))</f>
        <v>#VALUE!</v>
      </c>
      <c r="AB339" s="176" t="e">
        <f>IF(VLOOKUP(T_BilanSocial[[#This Row],[NumL]],T_TraitDi[#Data],COLUMN(T_TraitDi[[#This Row],[M6]]),FALSE)="","",VLOOKUP(T_BilanSocial[[#This Row],[NumL]],T_TraitDi[#Data],COLUMN(T_TraitDi[[#This Row],[M6]]),FALSE))</f>
        <v>#VALUE!</v>
      </c>
      <c r="AC339" s="96" t="e">
        <f t="shared" si="80"/>
        <v>#VALUE!</v>
      </c>
      <c r="AD339" s="97" t="str">
        <f t="shared" si="79"/>
        <v/>
      </c>
      <c r="AE339" s="294" t="e">
        <f>VLOOKUP(T_BilanSocial[[#This Row],[NumL]],T_TraitDi[#Data],COLUMN(T_TraitDi[[#This Row],[Reg Ponct]]),FALSE)</f>
        <v>#VALUE!</v>
      </c>
      <c r="AF339" s="294" t="e">
        <f>VLOOKUP(T_BilanSocial[NumL],T_TraitDi[#Data],COLUMN(T_TraitDi[[#This Row],[Jours flottants]]),FALSE)</f>
        <v>#VALUE!</v>
      </c>
      <c r="AG339" s="97" t="str">
        <f>IFERROR(VLOOKUP(T_BilanSocial[[#This Row],[NumL]],T_TraitDi[#Data],COLUMN(T_TraitDi[[#This Row],[Lundi]]),FALSE),"")</f>
        <v/>
      </c>
      <c r="AH339" s="172" t="e">
        <f>IF(VLOOKUP(T_BilanSocial[[#This Row],[NumL]],T_TraitDi[#Data],COLUMN(T_TraitDi[[#This Row],[Colonne3]]),FALSE)=0,"",TEXT(IFERROR(VLOOKUP(T_BilanSocial[[#This Row],[NumL]],T_TraitDi[#Data],COLUMN(T_TraitDi[[#This Row],[Colonne3]]),FALSE),""),"[hh]:mm"))</f>
        <v>#VALUE!</v>
      </c>
      <c r="AI339" s="172" t="e">
        <f>IF(VLOOKUP(T_BilanSocial[[#This Row],[NumL]],T_TraitDi[#Data],COLUMN(T_TraitDi[[#This Row],[Colonne4]]),FALSE)=0,"",TEXT(IFERROR(VLOOKUP(T_BilanSocial[[#This Row],[NumL]],T_TraitDi[#Data],COLUMN(T_TraitDi[[#This Row],[Colonne4]]),FALSE),""),"[hh]:mm"))</f>
        <v>#VALUE!</v>
      </c>
      <c r="AJ339" s="172" t="e">
        <f>IF(VLOOKUP(T_BilanSocial[[#This Row],[NumL]],T_TraitDi[#Data],COLUMN(T_TraitDi[[#This Row],[Colonne5]]),FALSE)=0,"",TEXT(IFERROR(VLOOKUP(T_BilanSocial[[#This Row],[NumL]],T_TraitDi[#Data],COLUMN(T_TraitDi[[#This Row],[Colonne5]]),FALSE),""),"[hh]:mm"))</f>
        <v>#VALUE!</v>
      </c>
      <c r="AK339" s="172" t="e">
        <f>IF(VLOOKUP(T_BilanSocial[[#This Row],[NumL]],T_TraitDi[#Data],COLUMN(T_TraitDi[[#This Row],[Colonne6]]),FALSE)=0,"",TEXT(IFERROR(VLOOKUP(T_BilanSocial[[#This Row],[NumL]],T_TraitDi[#Data],COLUMN(T_TraitDi[[#This Row],[Colonne6]]),FALSE),""),"[hh]:mm"))</f>
        <v>#VALUE!</v>
      </c>
      <c r="AL339" s="172" t="e">
        <f>IF(VLOOKUP(T_BilanSocial[[#This Row],[NumL]],T_TraitDi[#Data],COLUMN(T_TraitDi[[#This Row],[Colonne7]]),FALSE)=0,"",TEXT(IFERROR(VLOOKUP(T_BilanSocial[[#This Row],[NumL]],T_TraitDi[#Data],COLUMN(T_TraitDi[[#This Row],[Colonne7]]),FALSE),""),"[hh]:mm"))</f>
        <v>#VALUE!</v>
      </c>
      <c r="AM339" s="172" t="e">
        <f>IF(VLOOKUP(T_BilanSocial[[#This Row],[NumL]],T_TraitDi[#Data],COLUMN(T_TraitDi[[#This Row],[Colonne8]]),FALSE)=0,"",TEXT(IFERROR(VLOOKUP(T_BilanSocial[[#This Row],[NumL]],T_TraitDi[#Data],COLUMN(T_TraitDi[[#This Row],[Colonne8]]),FALSE),""),"[hh]:mm"))</f>
        <v>#VALUE!</v>
      </c>
      <c r="AN339" s="172" t="str">
        <f>IFERROR(VLOOKUP(T_BilanSocial[[#This Row],[NumL]],T_TraitDi[#Data],COLUMN(T_TraitDi[[#This Row],[Mardi]]),FALSE),"")</f>
        <v/>
      </c>
      <c r="AO339" s="172" t="e">
        <f>IF(VLOOKUP(T_BilanSocial[[#This Row],[NumL]],T_TraitDi[#Data],COLUMN(T_TraitDi[[#This Row],[Colonne1]]),FALSE)=0,"",TEXT(IFERROR(VLOOKUP(T_BilanSocial[[#This Row],[NumL]],T_TraitDi[#Data],COLUMN(T_TraitDi[[#This Row],[Colonne1]]),FALSE),""),"[hh]:mm"))</f>
        <v>#VALUE!</v>
      </c>
      <c r="AP339" s="172" t="e">
        <f>IF(VLOOKUP(T_BilanSocial[[#This Row],[NumL]],T_TraitDi[#Data],COLUMN(T_TraitDi[[#This Row],[Colonne9]]),FALSE)=0,"",TEXT(IFERROR(VLOOKUP(T_BilanSocial[[#This Row],[NumL]],T_TraitDi[#Data],COLUMN(T_TraitDi[[#This Row],[Colonne9]]),FALSE),""),"[hh]:mm"))</f>
        <v>#VALUE!</v>
      </c>
      <c r="AQ339" s="172" t="str">
        <f>IFERROR(VLOOKUP(T_BilanSocial[[#This Row],[NumL]],T_TraitDi[#Data],COLUMN(T_TraitDi[[#This Row],[Colonne10]]),FALSE),"")</f>
        <v/>
      </c>
      <c r="AR339" s="172" t="e">
        <f>IF(VLOOKUP(T_BilanSocial[[#This Row],[NumL]],T_TraitDi[#Data],COLUMN(T_TraitDi[[#This Row],[Colonne11]]),FALSE)=0,"",TEXT(IFERROR(VLOOKUP(T_BilanSocial[[#This Row],[NumL]],T_TraitDi[#Data],COLUMN(T_TraitDi[[#This Row],[Colonne11]]),FALSE),""),"[hh]:mm"))</f>
        <v>#VALUE!</v>
      </c>
      <c r="AS339" s="172" t="e">
        <f>IF(VLOOKUP(T_BilanSocial[[#This Row],[NumL]],T_TraitDi[#Data],COLUMN(T_TraitDi[[#This Row],[Colonne12]]),FALSE)=0,"",TEXT(IFERROR(VLOOKUP(T_BilanSocial[[#This Row],[NumL]],T_TraitDi[#Data],COLUMN(T_TraitDi[[#This Row],[Colonne12]]),FALSE),""),"[hh]:mm"))</f>
        <v>#VALUE!</v>
      </c>
      <c r="AT339" s="172" t="e">
        <f>IF(VLOOKUP(T_BilanSocial[[#This Row],[NumL]],T_TraitDi[#Data],COLUMN(T_TraitDi[[#This Row],[Colonne14]]),FALSE)=0,"",TEXT(IFERROR(VLOOKUP(T_BilanSocial[[#This Row],[NumL]],T_TraitDi[#Data],COLUMN(T_TraitDi[[#This Row],[Colonne14]]),FALSE),""),"[hh]:mm"))</f>
        <v>#VALUE!</v>
      </c>
      <c r="AU339" s="172" t="str">
        <f>IFERROR(VLOOKUP(T_BilanSocial[[#This Row],[NumL]],T_TraitDi[#Data],COLUMN(T_TraitDi[[#This Row],[Mercredi]]),FALSE),"")</f>
        <v/>
      </c>
      <c r="AV339" s="172" t="e">
        <f>IF(VLOOKUP(T_BilanSocial[[#This Row],[NumL]],T_TraitDi[#Data],COLUMN(T_TraitDi[[#This Row],[Colonne15]]),FALSE)=0,"",TEXT(IFERROR(VLOOKUP(T_BilanSocial[[#This Row],[NumL]],T_TraitDi[#Data],COLUMN(T_TraitDi[[#This Row],[Colonne15]]),FALSE),""),"[hh]:mm"))</f>
        <v>#VALUE!</v>
      </c>
      <c r="AW339" s="172" t="e">
        <f>IF(VLOOKUP(T_BilanSocial[[#This Row],[NumL]],T_TraitDi[#Data],COLUMN(T_TraitDi[[#This Row],[Colonne16]]),FALSE)=0,"",TEXT(IFERROR(VLOOKUP(T_BilanSocial[[#This Row],[NumL]],T_TraitDi[#Data],COLUMN(T_TraitDi[[#This Row],[Colonne16]]),FALSE),""),"[hh]:mm"))</f>
        <v>#VALUE!</v>
      </c>
      <c r="AX339" s="172" t="str">
        <f>IFERROR(VLOOKUP(T_BilanSocial[[#This Row],[NumL]],T_TraitDi[#Data],COLUMN(T_TraitDi[[#This Row],[Colonne17]]),FALSE),"")</f>
        <v/>
      </c>
      <c r="AY339" s="172" t="e">
        <f>IF(VLOOKUP(T_BilanSocial[[#This Row],[NumL]],T_TraitDi[#Data],COLUMN(T_TraitDi[[#This Row],[Colonne18]]),FALSE)=0,"",TEXT(IFERROR(VLOOKUP(T_BilanSocial[[#This Row],[NumL]],T_TraitDi[#Data],COLUMN(T_TraitDi[[#This Row],[Colonne18]]),FALSE),""),"[hh]:mm"))</f>
        <v>#VALUE!</v>
      </c>
      <c r="AZ339" s="172" t="e">
        <f>IF(VLOOKUP(T_BilanSocial[[#This Row],[NumL]],T_TraitDi[#Data],COLUMN(T_TraitDi[[#This Row],[Colonne19]]),FALSE)=0,"",TEXT(IFERROR(VLOOKUP(T_BilanSocial[[#This Row],[NumL]],T_TraitDi[#Data],COLUMN(T_TraitDi[[#This Row],[Colonne19]]),FALSE),""),"[hh]:mm"))</f>
        <v>#VALUE!</v>
      </c>
      <c r="BA339" s="172" t="e">
        <f>IF(VLOOKUP(T_BilanSocial[[#This Row],[NumL]],T_TraitDi[#Data],COLUMN(T_TraitDi[[#This Row],[Colonne20]]),FALSE)=0,"",TEXT(IFERROR(VLOOKUP(T_BilanSocial[[#This Row],[NumL]],T_TraitDi[#Data],COLUMN(T_TraitDi[[#This Row],[Colonne20]]),FALSE),""),"[hh]:mm"))</f>
        <v>#VALUE!</v>
      </c>
      <c r="BB339" s="178" t="str">
        <f>IFERROR(VLOOKUP(T_BilanSocial[[#This Row],[NumL]],T_TraitDi[#Data],COLUMN(T_TraitDi[[#This Row],[Jeudi]]),FALSE),"")</f>
        <v/>
      </c>
      <c r="BC339" s="178" t="e">
        <f>IF(VLOOKUP(T_BilanSocial[[#This Row],[NumL]],T_TraitDi[#Data],COLUMN(T_TraitDi[[#This Row],[Colonne21]]),FALSE)=0,"",TEXT(IFERROR(VLOOKUP(T_BilanSocial[[#This Row],[NumL]],T_TraitDi[#Data],COLUMN(T_TraitDi[[#This Row],[Colonne21]]),FALSE),""),"[hh]:mm"))</f>
        <v>#VALUE!</v>
      </c>
      <c r="BD339" s="178" t="e">
        <f>IF(VLOOKUP(T_BilanSocial[[#This Row],[NumL]],T_TraitDi[#Data],COLUMN(T_TraitDi[[#This Row],[Colonne22]]),FALSE)=0,"",TEXT(IFERROR(VLOOKUP(T_BilanSocial[[#This Row],[NumL]],T_TraitDi[#Data],COLUMN(T_TraitDi[[#This Row],[Colonne22]]),FALSE),""),"[hh]:mm"))</f>
        <v>#VALUE!</v>
      </c>
      <c r="BE339" s="178" t="str">
        <f>IFERROR(VLOOKUP(T_BilanSocial[[#This Row],[NumL]],T_TraitDi[#Data],COLUMN(T_TraitDi[[#This Row],[Colonne23]]),FALSE),"")</f>
        <v/>
      </c>
      <c r="BF339" s="178" t="e">
        <f>IF(VLOOKUP(T_BilanSocial[[#This Row],[NumL]],T_TraitDi[#Data],COLUMN(T_TraitDi[[#This Row],[Colonne24]]),FALSE)=0,"",TEXT(IFERROR(VLOOKUP(T_BilanSocial[[#This Row],[NumL]],T_TraitDi[#Data],COLUMN(T_TraitDi[[#This Row],[Colonne24]]),FALSE),""),"[hh]:mm"))</f>
        <v>#VALUE!</v>
      </c>
      <c r="BG339" s="178" t="e">
        <f>IF(VLOOKUP(T_BilanSocial[[#This Row],[NumL]],T_TraitDi[#Data],COLUMN(T_TraitDi[[#This Row],[Colonne25]]),FALSE)=0,"",TEXT(IFERROR(VLOOKUP(T_BilanSocial[[#This Row],[NumL]],T_TraitDi[#Data],COLUMN(T_TraitDi[[#This Row],[Colonne25]]),FALSE),""),"[hh]:mm"))</f>
        <v>#VALUE!</v>
      </c>
      <c r="BH339" s="178" t="e">
        <f>IF(VLOOKUP(T_BilanSocial[[#This Row],[NumL]],T_TraitDi[#Data],COLUMN(T_TraitDi[[#This Row],[Colonne26]]),FALSE)=0,"",TEXT(IFERROR(VLOOKUP(T_BilanSocial[[#This Row],[NumL]],T_TraitDi[#Data],COLUMN(T_TraitDi[[#This Row],[Colonne26]]),FALSE),""),"[hh]:mm"))</f>
        <v>#VALUE!</v>
      </c>
      <c r="BI339" s="172" t="str">
        <f>IFERROR(VLOOKUP(T_BilanSocial[[#This Row],[NumL]],T_TraitDi[#Data],COLUMN(T_TraitDi[[#This Row],[Vendredi]]),FALSE),"")</f>
        <v/>
      </c>
      <c r="BJ339" s="172" t="e">
        <f>IF(VLOOKUP(T_BilanSocial[[#This Row],[NumL]],T_TraitDi[#Data],COLUMN(T_TraitDi[[#This Row],[Colonne27]]),FALSE)=0,"",TEXT(IFERROR(VLOOKUP(T_BilanSocial[[#This Row],[NumL]],T_TraitDi[#Data],COLUMN(T_TraitDi[[#This Row],[Colonne27]]),FALSE),""),"[hh]:mm"))</f>
        <v>#VALUE!</v>
      </c>
      <c r="BK339" s="172" t="e">
        <f>IF(VLOOKUP(T_BilanSocial[[#This Row],[NumL]],T_TraitDi[#Data],COLUMN(T_TraitDi[[#This Row],[Colonne28]]),FALSE)=0,"",TEXT(IFERROR(VLOOKUP(T_BilanSocial[[#This Row],[NumL]],T_TraitDi[#Data],COLUMN(T_TraitDi[[#This Row],[Colonne28]]),FALSE),""),"[hh]:mm"))</f>
        <v>#VALUE!</v>
      </c>
      <c r="BL339" s="172" t="str">
        <f>IFERROR(VLOOKUP(T_BilanSocial[[#This Row],[NumL]],T_TraitDi[#Data],COLUMN(T_TraitDi[[#This Row],[Colonne29]]),FALSE),"")</f>
        <v/>
      </c>
      <c r="BM339" s="172" t="e">
        <f>IF(VLOOKUP(T_BilanSocial[[#This Row],[NumL]],T_TraitDi[#Data],COLUMN(T_TraitDi[[#This Row],[Colonne30]]),FALSE)=0,"",TEXT(IFERROR(VLOOKUP(T_BilanSocial[[#This Row],[NumL]],T_TraitDi[#Data],COLUMN(T_TraitDi[[#This Row],[Colonne30]]),FALSE),""),"[hh]:mm"))</f>
        <v>#VALUE!</v>
      </c>
      <c r="BN339" s="172" t="e">
        <f>IF(VLOOKUP(T_BilanSocial[[#This Row],[NumL]],T_TraitDi[#Data],COLUMN(T_TraitDi[[#This Row],[Colonne31]]),FALSE)=0,"",TEXT(IFERROR(VLOOKUP(T_BilanSocial[[#This Row],[NumL]],T_TraitDi[#Data],COLUMN(T_TraitDi[[#This Row],[Colonne31]]),FALSE),""),"[hh]:mm"))</f>
        <v>#VALUE!</v>
      </c>
      <c r="BO339" s="172" t="e">
        <f>IF(VLOOKUP(T_BilanSocial[[#This Row],[NumL]],T_TraitDi[#Data],COLUMN(T_TraitDi[[#This Row],[Colonne32]]),FALSE)=0,"",TEXT(IFERROR(VLOOKUP(T_BilanSocial[[#This Row],[NumL]],T_TraitDi[#Data],COLUMN(T_TraitDi[[#This Row],[Colonne32]]),FALSE),""),"[hh]:mm"))</f>
        <v>#VALUE!</v>
      </c>
      <c r="BP339" s="172" t="e">
        <f>VLOOKUP(T_BilanSocial[[#This Row],[NumL]],T_TraitDi[#Data],COLUMN(T_TraitDi[NbJTot]),FALSE)</f>
        <v>#N/A</v>
      </c>
      <c r="BQ339" s="174" t="str">
        <f>IFERROR(VLOOKUP(T_BilanSocial[[#This Row],[NumL]],T_TraitDi[#Data],COLUMN(T_TraitDi[[#This Row],[NbJTW]]),FALSE),"")</f>
        <v/>
      </c>
      <c r="BR339" s="174" t="e">
        <f>IF(VLOOKUP(T_BilanSocial[[#This Row],[NumL]],T_TraitDi[#Data],COLUMN(T_TraitDi[[#This Row],[NbhTW]]),FALSE)=0,"",TEXT(IFERROR(VLOOKUP(T_BilanSocial[[#This Row],[NumL]],T_TraitDi[#Data],COLUMN(T_TraitDi[[#This Row],[NbhTW]]),FALSE),""),"[hh]:mm"))</f>
        <v>#VALUE!</v>
      </c>
      <c r="BS339" s="174" t="e">
        <f>IF(VLOOKUP(T_BilanSocial[[#This Row],[NumL]],T_TraitDi[#Data],COLUMN(T_TraitDi[[#This Row],[Nbhheb]]),FALSE)=0,"",TEXT(IFERROR(VLOOKUP($A339,T_TraitDi[#Data],COLUMN(T_TraitDi[[#This Row],[Nbhheb]]),FALSE),""),"[hh]:mm"))</f>
        <v>#VALUE!</v>
      </c>
      <c r="BT339" s="182" t="str">
        <f>IFERROR(VLOOKUP(VLOOKUP($A339,T_TraitDi[#Data],COLUMN(T_TraitDi[[#This Row],[Type1]]),FALSE),TypeTW,2,FALSE),"")</f>
        <v/>
      </c>
      <c r="BU339" s="182" t="str">
        <f>IFERROR(VLOOKUP($A339,T_TraitDi[#Data],COLUMN(T_TraitDi[[#This Row],[Rue1]]),FALSE),"")</f>
        <v/>
      </c>
      <c r="BV339" s="173" t="str">
        <f>IFERROR(VLOOKUP($A339,T_TraitDi[#Data],COLUMN(T_TraitDi[[#This Row],[CP1]]),FALSE),"")</f>
        <v/>
      </c>
      <c r="BW339" s="173" t="str">
        <f>IFERROR(VLOOKUP($A339,T_TraitDi[#Data],COLUMN(T_TraitDi[[#This Row],[VILLE1]]),FALSE),"")</f>
        <v/>
      </c>
      <c r="BX339" s="182" t="str">
        <f>IFERROR(VLOOKUP(VLOOKUP($A339,T_TraitDi[#Data],COLUMN(T_TraitDi[[#This Row],[Type2]]),FALSE),TypeTW,2,FALSE),"")</f>
        <v/>
      </c>
      <c r="BY339" s="182" t="str">
        <f>IFERROR(VLOOKUP($A339,T_TraitDi[#Data],COLUMN(T_TraitDi[[#This Row],[Rue2]]),FALSE),"")</f>
        <v/>
      </c>
      <c r="BZ339" s="173" t="str">
        <f>IFERROR(VLOOKUP($A339,T_TraitDi[#Data],COLUMN(T_TraitDi[[#This Row],[CP2]]),FALSE),"")</f>
        <v/>
      </c>
      <c r="CA339" s="173" t="str">
        <f>IFERROR(VLOOKUP($A339,T_TraitDi[#Data],COLUMN(T_TraitDi[[#This Row],[VILLE2]]),FALSE),"")</f>
        <v/>
      </c>
      <c r="CB339" s="182" t="e">
        <f>IF(VLOOKUP(T_BilanSocial[[#This Row],[NumL]],T_Equipement[#Data],COLUMN(T_Equipement[[#This Row],[PC]]),FALSE)="","Aucun équipement spécifique directement lié au télétravail",VLOOKUP(T_BilanSocial[[#This Row],[NumL]],T_Equipement[#Data],COLUMN(T_Equipement[[#This Row],[PC]]),FALSE))</f>
        <v>#VALUE!</v>
      </c>
      <c r="CC339" s="166" t="str">
        <f>IFERROR(IF(VLOOKUP(T_BilanSocial[[#This Row],[NumL]],T_TraitDi[#Data],COLUMN(T_TraitDi[[#This Row],[Plan]]),FALSE)="OK","Un planning spécifique de télétravail est annexé à la présente convention.",""),"")</f>
        <v/>
      </c>
      <c r="CD339" s="301"/>
      <c r="CE339" s="164" t="e">
        <f>IF(VLOOKUP(T_BilanSocial[[#This Row],[NumL]],T_suiviDi[#Data],COLUMN(T_suiviDi[[#This Row],[Entité]]),FALSE)="","",VLOOKUP(T_BilanSocial[[#This Row],[NumL]],T_suiviDi[#Data],COLUMN(T_suiviDi[[#This Row],[Entité]]),FALSE))</f>
        <v>#VALUE!</v>
      </c>
      <c r="CF339" s="164" t="e">
        <f>IF(VLOOKUP(T_BilanSocial[[#This Row],[NumL]],T_Commission[#Data],COLUMN(T_Commission[[#This Row],[envoi confirm TW]]),FALSE)="","",VLOOKUP(T_BilanSocial[[#This Row],[NumL]],T_Commission[#Data],COLUMN(T_Commission[[#This Row],[envoi confirm TW]]),FALSE))</f>
        <v>#VALUE!</v>
      </c>
      <c r="CG33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39" s="339" t="str">
        <f>T_BilanSocial[[#This Row],[Nom]]&amp;T_BilanSocial[[#This Row],[Prenom]]</f>
        <v/>
      </c>
      <c r="CI339" s="339">
        <f>VLOOKUP(T_BilanSocial[[#This Row],[NumL]],T_Commission[#Data],COLUMN(T_Commission[Commentaire]),FALSE)</f>
        <v>0</v>
      </c>
      <c r="CJ339" s="339" t="str">
        <f>IF(VLOOKUP(T_BilanSocial[[#This Row],[NumL]],T_Commission[#Data],COLUMN(T_Commission[Encadrant Email]),FALSE)="","",VLOOKUP(T_BilanSocial[[#This Row],[NumL]],T_Commission[#Data],COLUMN(T_Commission[Encadrant Email]),FALSE))</f>
        <v/>
      </c>
      <c r="CK339" s="332" t="str">
        <f>IF(T_BilanSocial[[#This Row],[Final]]&lt;&gt;"",VLOOKUP(T_BilanSocial[[#This Row],[NumL]],T_suiviDi[#Data],COLUMN((T_suiviDi[Statut])),FALSE),"")</f>
        <v/>
      </c>
    </row>
    <row r="340" spans="1:89" s="50" customFormat="1" ht="21" customHeight="1" x14ac:dyDescent="0.25">
      <c r="A340" s="136">
        <v>337</v>
      </c>
      <c r="B340" s="330" t="str">
        <f t="shared" si="71"/>
        <v/>
      </c>
      <c r="C340" s="309"/>
      <c r="D340" s="95" t="e">
        <f>IF(VLOOKUP(T_BilanSocial[[#This Row],[NumL]],T_TraitDi[#Data],COLUMN(T_TraitDi[[#This Row],[WebC]]),FALSE)="","",VLOOKUP(T_BilanSocial[[#This Row],[NumL]],T_TraitDi[#Data],COLUMN(T_TraitDi[[#This Row],[WebC]]),FALSE))</f>
        <v>#VALUE!</v>
      </c>
      <c r="E340" s="95" t="str">
        <f t="shared" si="72"/>
        <v>12 janvier 2021</v>
      </c>
      <c r="F340" s="96" t="str">
        <f>IF(T_BilanSocial[[#This Row],[Final]]&lt;&gt;"",VLOOKUP(T_BilanSocial[[#This Row],[NumL]],T_suiviDi[#Data],COLUMN((T_suiviDi[Civ.])),FALSE),"")</f>
        <v/>
      </c>
      <c r="G340" s="96" t="str">
        <f>IF(T_BilanSocial[[#This Row],[Final]]&lt;&gt;"",VLOOKUP(T_BilanSocial[[#This Row],[NumL]],T_suiviDi[#Data],COLUMN((T_suiviDi[Nom])),FALSE),"")</f>
        <v/>
      </c>
      <c r="H340" s="96" t="str">
        <f>IF(T_BilanSocial[[#This Row],[Final]]&lt;&gt;"",VLOOKUP(T_BilanSocial[[#This Row],[NumL]],T_suiviDi[#Data],COLUMN((T_suiviDi[Prénom])),FALSE),"")</f>
        <v/>
      </c>
      <c r="I340" s="331" t="str">
        <f>IFERROR(VLOOKUP(T_BilanSocial[[#This Row],[Zone_Bilan]],T_P_BilanSocial[#Data],COLUMN(T_P_BilanSocial[[#This Row],[Numero_SIHAM]]),FALSE),"")</f>
        <v/>
      </c>
      <c r="J340" s="331" t="str">
        <f>IFERROR(VLOOKUP(T_BilanSocial[[#This Row],[Zone_Bilan]],T_P_BilanSocial[#Data],COLUMN(T_P_BilanSocial[[#This Row],[Sexe]]),FALSE),"")</f>
        <v/>
      </c>
      <c r="K340" s="294" t="str">
        <f>IFERROR(VLOOKUP(T_BilanSocial[[#This Row],[Zone_Bilan]],T_P_BilanSocial[#Data],COLUMN(T_P_BilanSocial[[#This Row],[Categorie]]),FALSE),"")</f>
        <v/>
      </c>
      <c r="L340" s="331" t="str">
        <f>IFERROR(VLOOKUP(T_BilanSocial[[#This Row],[Zone_Bilan]],T_P_BilanSocial[#Data],COLUMN(T_P_BilanSocial[[#This Row],[Statut]]),FALSE),"")</f>
        <v/>
      </c>
      <c r="M340" s="331" t="str">
        <f>IFERROR(VLOOKUP(T_BilanSocial[[#This Row],[Zone_Bilan]],T_P_BilanSocial[#Data],COLUMN(T_P_BilanSocial[[#This Row],[Filiere]]),FALSE),"")</f>
        <v/>
      </c>
      <c r="N340" s="331" t="e">
        <f>VLOOKUP(T_BilanSocial[[#This Row],[NumL]],T_TraitDi[#Data],COLUMN(T_TraitDi[EXP]),FALSE)</f>
        <v>#N/A</v>
      </c>
      <c r="O340" s="331" t="e">
        <f>VLOOKUP(T_BilanSocial[[#This Row],[NumL]],T_TraitDi[#Data],COLUMN(T_TraitDi[FORM]),FALSE)</f>
        <v>#N/A</v>
      </c>
      <c r="P340" s="96" t="str">
        <f>IF(T_BilanSocial[[#This Row],[Final]]&lt;&gt;"",VLOOKUP(T_BilanSocial[[#This Row],[NumL]],T_suiviDi[#Data],COLUMN((T_suiviDi[Email])),FALSE),"")</f>
        <v/>
      </c>
      <c r="Q340" s="96" t="e">
        <f t="shared" si="73"/>
        <v>#N/A</v>
      </c>
      <c r="R340" s="96" t="e">
        <f t="shared" si="74"/>
        <v>#N/A</v>
      </c>
      <c r="S340" s="96" t="str">
        <f t="shared" si="70"/>
        <v/>
      </c>
      <c r="T340" s="96" t="str">
        <f t="shared" si="75"/>
        <v>01 septembre 2021</v>
      </c>
      <c r="U340" s="96" t="str">
        <f t="shared" si="76"/>
        <v>30 novembre 2021</v>
      </c>
      <c r="V340" s="97">
        <f t="shared" si="77"/>
        <v>44530</v>
      </c>
      <c r="W340" s="176" t="e">
        <f>IF(VLOOKUP(T_BilanSocial[[#This Row],[NumL]],T_TraitDi[#Data],COLUMN(T_TraitDi[[#This Row],[M1]]),FALSE)="","",VLOOKUP(T_BilanSocial[[#This Row],[NumL]],T_TraitDi[#Data],COLUMN(T_TraitDi[[#This Row],[M1]]),FALSE))</f>
        <v>#VALUE!</v>
      </c>
      <c r="X340" s="96" t="str">
        <f t="shared" si="81"/>
        <v/>
      </c>
      <c r="Y340" s="96" t="str">
        <f t="shared" si="81"/>
        <v/>
      </c>
      <c r="Z340" s="96" t="str">
        <f t="shared" si="78"/>
        <v/>
      </c>
      <c r="AA340" s="176" t="e">
        <f>IF(VLOOKUP(T_BilanSocial[[#This Row],[NumL]],T_TraitDi[#Data],COLUMN(T_TraitDi[[#This Row],[M5]]),FALSE)="","",VLOOKUP(T_BilanSocial[[#This Row],[NumL]],T_TraitDi[#Data],COLUMN(T_TraitDi[[#This Row],[M5]]),FALSE))</f>
        <v>#VALUE!</v>
      </c>
      <c r="AB340" s="176" t="e">
        <f>IF(VLOOKUP(T_BilanSocial[[#This Row],[NumL]],T_TraitDi[#Data],COLUMN(T_TraitDi[[#This Row],[M6]]),FALSE)="","",VLOOKUP(T_BilanSocial[[#This Row],[NumL]],T_TraitDi[#Data],COLUMN(T_TraitDi[[#This Row],[M6]]),FALSE))</f>
        <v>#VALUE!</v>
      </c>
      <c r="AC340" s="96" t="e">
        <f t="shared" ref="AC340:AC346" si="82">W340&amp;X340&amp;Y340&amp;Z340&amp;AA340&amp;AB340</f>
        <v>#VALUE!</v>
      </c>
      <c r="AD340" s="97" t="str">
        <f t="shared" si="79"/>
        <v/>
      </c>
      <c r="AE340" s="294" t="e">
        <f>VLOOKUP(T_BilanSocial[[#This Row],[NumL]],T_TraitDi[#Data],COLUMN(T_TraitDi[[#This Row],[Reg Ponct]]),FALSE)</f>
        <v>#VALUE!</v>
      </c>
      <c r="AF340" s="294" t="e">
        <f>VLOOKUP(T_BilanSocial[NumL],T_TraitDi[#Data],COLUMN(T_TraitDi[[#This Row],[Jours flottants]]),FALSE)</f>
        <v>#VALUE!</v>
      </c>
      <c r="AG340" s="97" t="str">
        <f>IFERROR(VLOOKUP(T_BilanSocial[[#This Row],[NumL]],T_TraitDi[#Data],COLUMN(T_TraitDi[[#This Row],[Lundi]]),FALSE),"")</f>
        <v/>
      </c>
      <c r="AH340" s="172" t="e">
        <f>IF(VLOOKUP(T_BilanSocial[[#This Row],[NumL]],T_TraitDi[#Data],COLUMN(T_TraitDi[[#This Row],[Colonne3]]),FALSE)=0,"",TEXT(IFERROR(VLOOKUP(T_BilanSocial[[#This Row],[NumL]],T_TraitDi[#Data],COLUMN(T_TraitDi[[#This Row],[Colonne3]]),FALSE),""),"[hh]:mm"))</f>
        <v>#VALUE!</v>
      </c>
      <c r="AI340" s="172" t="e">
        <f>IF(VLOOKUP(T_BilanSocial[[#This Row],[NumL]],T_TraitDi[#Data],COLUMN(T_TraitDi[[#This Row],[Colonne4]]),FALSE)=0,"",TEXT(IFERROR(VLOOKUP(T_BilanSocial[[#This Row],[NumL]],T_TraitDi[#Data],COLUMN(T_TraitDi[[#This Row],[Colonne4]]),FALSE),""),"[hh]:mm"))</f>
        <v>#VALUE!</v>
      </c>
      <c r="AJ340" s="172" t="e">
        <f>IF(VLOOKUP(T_BilanSocial[[#This Row],[NumL]],T_TraitDi[#Data],COLUMN(T_TraitDi[[#This Row],[Colonne5]]),FALSE)=0,"",TEXT(IFERROR(VLOOKUP(T_BilanSocial[[#This Row],[NumL]],T_TraitDi[#Data],COLUMN(T_TraitDi[[#This Row],[Colonne5]]),FALSE),""),"[hh]:mm"))</f>
        <v>#VALUE!</v>
      </c>
      <c r="AK340" s="172" t="e">
        <f>IF(VLOOKUP(T_BilanSocial[[#This Row],[NumL]],T_TraitDi[#Data],COLUMN(T_TraitDi[[#This Row],[Colonne6]]),FALSE)=0,"",TEXT(IFERROR(VLOOKUP(T_BilanSocial[[#This Row],[NumL]],T_TraitDi[#Data],COLUMN(T_TraitDi[[#This Row],[Colonne6]]),FALSE),""),"[hh]:mm"))</f>
        <v>#VALUE!</v>
      </c>
      <c r="AL340" s="172" t="e">
        <f>IF(VLOOKUP(T_BilanSocial[[#This Row],[NumL]],T_TraitDi[#Data],COLUMN(T_TraitDi[[#This Row],[Colonne7]]),FALSE)=0,"",TEXT(IFERROR(VLOOKUP(T_BilanSocial[[#This Row],[NumL]],T_TraitDi[#Data],COLUMN(T_TraitDi[[#This Row],[Colonne7]]),FALSE),""),"[hh]:mm"))</f>
        <v>#VALUE!</v>
      </c>
      <c r="AM340" s="172" t="e">
        <f>IF(VLOOKUP(T_BilanSocial[[#This Row],[NumL]],T_TraitDi[#Data],COLUMN(T_TraitDi[[#This Row],[Colonne8]]),FALSE)=0,"",TEXT(IFERROR(VLOOKUP(T_BilanSocial[[#This Row],[NumL]],T_TraitDi[#Data],COLUMN(T_TraitDi[[#This Row],[Colonne8]]),FALSE),""),"[hh]:mm"))</f>
        <v>#VALUE!</v>
      </c>
      <c r="AN340" s="172" t="str">
        <f>IFERROR(VLOOKUP(T_BilanSocial[[#This Row],[NumL]],T_TraitDi[#Data],COLUMN(T_TraitDi[[#This Row],[Mardi]]),FALSE),"")</f>
        <v/>
      </c>
      <c r="AO340" s="172" t="e">
        <f>IF(VLOOKUP(T_BilanSocial[[#This Row],[NumL]],T_TraitDi[#Data],COLUMN(T_TraitDi[[#This Row],[Colonne1]]),FALSE)=0,"",TEXT(IFERROR(VLOOKUP(T_BilanSocial[[#This Row],[NumL]],T_TraitDi[#Data],COLUMN(T_TraitDi[[#This Row],[Colonne1]]),FALSE),""),"[hh]:mm"))</f>
        <v>#VALUE!</v>
      </c>
      <c r="AP340" s="172" t="e">
        <f>IF(VLOOKUP(T_BilanSocial[[#This Row],[NumL]],T_TraitDi[#Data],COLUMN(T_TraitDi[[#This Row],[Colonne9]]),FALSE)=0,"",TEXT(IFERROR(VLOOKUP(T_BilanSocial[[#This Row],[NumL]],T_TraitDi[#Data],COLUMN(T_TraitDi[[#This Row],[Colonne9]]),FALSE),""),"[hh]:mm"))</f>
        <v>#VALUE!</v>
      </c>
      <c r="AQ340" s="172" t="str">
        <f>IFERROR(VLOOKUP(T_BilanSocial[[#This Row],[NumL]],T_TraitDi[#Data],COLUMN(T_TraitDi[[#This Row],[Colonne10]]),FALSE),"")</f>
        <v/>
      </c>
      <c r="AR340" s="172" t="e">
        <f>IF(VLOOKUP(T_BilanSocial[[#This Row],[NumL]],T_TraitDi[#Data],COLUMN(T_TraitDi[[#This Row],[Colonne11]]),FALSE)=0,"",TEXT(IFERROR(VLOOKUP(T_BilanSocial[[#This Row],[NumL]],T_TraitDi[#Data],COLUMN(T_TraitDi[[#This Row],[Colonne11]]),FALSE),""),"[hh]:mm"))</f>
        <v>#VALUE!</v>
      </c>
      <c r="AS340" s="172" t="e">
        <f>IF(VLOOKUP(T_BilanSocial[[#This Row],[NumL]],T_TraitDi[#Data],COLUMN(T_TraitDi[[#This Row],[Colonne12]]),FALSE)=0,"",TEXT(IFERROR(VLOOKUP(T_BilanSocial[[#This Row],[NumL]],T_TraitDi[#Data],COLUMN(T_TraitDi[[#This Row],[Colonne12]]),FALSE),""),"[hh]:mm"))</f>
        <v>#VALUE!</v>
      </c>
      <c r="AT340" s="172" t="e">
        <f>IF(VLOOKUP(T_BilanSocial[[#This Row],[NumL]],T_TraitDi[#Data],COLUMN(T_TraitDi[[#This Row],[Colonne14]]),FALSE)=0,"",TEXT(IFERROR(VLOOKUP(T_BilanSocial[[#This Row],[NumL]],T_TraitDi[#Data],COLUMN(T_TraitDi[[#This Row],[Colonne14]]),FALSE),""),"[hh]:mm"))</f>
        <v>#VALUE!</v>
      </c>
      <c r="AU340" s="172" t="str">
        <f>IFERROR(VLOOKUP(T_BilanSocial[[#This Row],[NumL]],T_TraitDi[#Data],COLUMN(T_TraitDi[[#This Row],[Mercredi]]),FALSE),"")</f>
        <v/>
      </c>
      <c r="AV340" s="172" t="e">
        <f>IF(VLOOKUP(T_BilanSocial[[#This Row],[NumL]],T_TraitDi[#Data],COLUMN(T_TraitDi[[#This Row],[Colonne15]]),FALSE)=0,"",TEXT(IFERROR(VLOOKUP(T_BilanSocial[[#This Row],[NumL]],T_TraitDi[#Data],COLUMN(T_TraitDi[[#This Row],[Colonne15]]),FALSE),""),"[hh]:mm"))</f>
        <v>#VALUE!</v>
      </c>
      <c r="AW340" s="172" t="e">
        <f>IF(VLOOKUP(T_BilanSocial[[#This Row],[NumL]],T_TraitDi[#Data],COLUMN(T_TraitDi[[#This Row],[Colonne16]]),FALSE)=0,"",TEXT(IFERROR(VLOOKUP(T_BilanSocial[[#This Row],[NumL]],T_TraitDi[#Data],COLUMN(T_TraitDi[[#This Row],[Colonne16]]),FALSE),""),"[hh]:mm"))</f>
        <v>#VALUE!</v>
      </c>
      <c r="AX340" s="172" t="str">
        <f>IFERROR(VLOOKUP(T_BilanSocial[[#This Row],[NumL]],T_TraitDi[#Data],COLUMN(T_TraitDi[[#This Row],[Colonne17]]),FALSE),"")</f>
        <v/>
      </c>
      <c r="AY340" s="172" t="e">
        <f>IF(VLOOKUP(T_BilanSocial[[#This Row],[NumL]],T_TraitDi[#Data],COLUMN(T_TraitDi[[#This Row],[Colonne18]]),FALSE)=0,"",TEXT(IFERROR(VLOOKUP(T_BilanSocial[[#This Row],[NumL]],T_TraitDi[#Data],COLUMN(T_TraitDi[[#This Row],[Colonne18]]),FALSE),""),"[hh]:mm"))</f>
        <v>#VALUE!</v>
      </c>
      <c r="AZ340" s="172" t="e">
        <f>IF(VLOOKUP(T_BilanSocial[[#This Row],[NumL]],T_TraitDi[#Data],COLUMN(T_TraitDi[[#This Row],[Colonne19]]),FALSE)=0,"",TEXT(IFERROR(VLOOKUP(T_BilanSocial[[#This Row],[NumL]],T_TraitDi[#Data],COLUMN(T_TraitDi[[#This Row],[Colonne19]]),FALSE),""),"[hh]:mm"))</f>
        <v>#VALUE!</v>
      </c>
      <c r="BA340" s="172" t="e">
        <f>IF(VLOOKUP(T_BilanSocial[[#This Row],[NumL]],T_TraitDi[#Data],COLUMN(T_TraitDi[[#This Row],[Colonne20]]),FALSE)=0,"",TEXT(IFERROR(VLOOKUP(T_BilanSocial[[#This Row],[NumL]],T_TraitDi[#Data],COLUMN(T_TraitDi[[#This Row],[Colonne20]]),FALSE),""),"[hh]:mm"))</f>
        <v>#VALUE!</v>
      </c>
      <c r="BB340" s="178" t="str">
        <f>IFERROR(VLOOKUP(T_BilanSocial[[#This Row],[NumL]],T_TraitDi[#Data],COLUMN(T_TraitDi[[#This Row],[Jeudi]]),FALSE),"")</f>
        <v/>
      </c>
      <c r="BC340" s="178" t="e">
        <f>IF(VLOOKUP(T_BilanSocial[[#This Row],[NumL]],T_TraitDi[#Data],COLUMN(T_TraitDi[[#This Row],[Colonne21]]),FALSE)=0,"",TEXT(IFERROR(VLOOKUP(T_BilanSocial[[#This Row],[NumL]],T_TraitDi[#Data],COLUMN(T_TraitDi[[#This Row],[Colonne21]]),FALSE),""),"[hh]:mm"))</f>
        <v>#VALUE!</v>
      </c>
      <c r="BD340" s="178" t="e">
        <f>IF(VLOOKUP(T_BilanSocial[[#This Row],[NumL]],T_TraitDi[#Data],COLUMN(T_TraitDi[[#This Row],[Colonne22]]),FALSE)=0,"",TEXT(IFERROR(VLOOKUP(T_BilanSocial[[#This Row],[NumL]],T_TraitDi[#Data],COLUMN(T_TraitDi[[#This Row],[Colonne22]]),FALSE),""),"[hh]:mm"))</f>
        <v>#VALUE!</v>
      </c>
      <c r="BE340" s="178" t="str">
        <f>IFERROR(VLOOKUP(T_BilanSocial[[#This Row],[NumL]],T_TraitDi[#Data],COLUMN(T_TraitDi[[#This Row],[Colonne23]]),FALSE),"")</f>
        <v/>
      </c>
      <c r="BF340" s="178" t="e">
        <f>IF(VLOOKUP(T_BilanSocial[[#This Row],[NumL]],T_TraitDi[#Data],COLUMN(T_TraitDi[[#This Row],[Colonne24]]),FALSE)=0,"",TEXT(IFERROR(VLOOKUP(T_BilanSocial[[#This Row],[NumL]],T_TraitDi[#Data],COLUMN(T_TraitDi[[#This Row],[Colonne24]]),FALSE),""),"[hh]:mm"))</f>
        <v>#VALUE!</v>
      </c>
      <c r="BG340" s="178" t="e">
        <f>IF(VLOOKUP(T_BilanSocial[[#This Row],[NumL]],T_TraitDi[#Data],COLUMN(T_TraitDi[[#This Row],[Colonne25]]),FALSE)=0,"",TEXT(IFERROR(VLOOKUP(T_BilanSocial[[#This Row],[NumL]],T_TraitDi[#Data],COLUMN(T_TraitDi[[#This Row],[Colonne25]]),FALSE),""),"[hh]:mm"))</f>
        <v>#VALUE!</v>
      </c>
      <c r="BH340" s="178" t="e">
        <f>IF(VLOOKUP(T_BilanSocial[[#This Row],[NumL]],T_TraitDi[#Data],COLUMN(T_TraitDi[[#This Row],[Colonne26]]),FALSE)=0,"",TEXT(IFERROR(VLOOKUP(T_BilanSocial[[#This Row],[NumL]],T_TraitDi[#Data],COLUMN(T_TraitDi[[#This Row],[Colonne26]]),FALSE),""),"[hh]:mm"))</f>
        <v>#VALUE!</v>
      </c>
      <c r="BI340" s="172" t="str">
        <f>IFERROR(VLOOKUP(T_BilanSocial[[#This Row],[NumL]],T_TraitDi[#Data],COLUMN(T_TraitDi[[#This Row],[Vendredi]]),FALSE),"")</f>
        <v/>
      </c>
      <c r="BJ340" s="172" t="e">
        <f>IF(VLOOKUP(T_BilanSocial[[#This Row],[NumL]],T_TraitDi[#Data],COLUMN(T_TraitDi[[#This Row],[Colonne27]]),FALSE)=0,"",TEXT(IFERROR(VLOOKUP(T_BilanSocial[[#This Row],[NumL]],T_TraitDi[#Data],COLUMN(T_TraitDi[[#This Row],[Colonne27]]),FALSE),""),"[hh]:mm"))</f>
        <v>#VALUE!</v>
      </c>
      <c r="BK340" s="172" t="e">
        <f>IF(VLOOKUP(T_BilanSocial[[#This Row],[NumL]],T_TraitDi[#Data],COLUMN(T_TraitDi[[#This Row],[Colonne28]]),FALSE)=0,"",TEXT(IFERROR(VLOOKUP(T_BilanSocial[[#This Row],[NumL]],T_TraitDi[#Data],COLUMN(T_TraitDi[[#This Row],[Colonne28]]),FALSE),""),"[hh]:mm"))</f>
        <v>#VALUE!</v>
      </c>
      <c r="BL340" s="172" t="str">
        <f>IFERROR(VLOOKUP(T_BilanSocial[[#This Row],[NumL]],T_TraitDi[#Data],COLUMN(T_TraitDi[[#This Row],[Colonne29]]),FALSE),"")</f>
        <v/>
      </c>
      <c r="BM340" s="172" t="e">
        <f>IF(VLOOKUP(T_BilanSocial[[#This Row],[NumL]],T_TraitDi[#Data],COLUMN(T_TraitDi[[#This Row],[Colonne30]]),FALSE)=0,"",TEXT(IFERROR(VLOOKUP(T_BilanSocial[[#This Row],[NumL]],T_TraitDi[#Data],COLUMN(T_TraitDi[[#This Row],[Colonne30]]),FALSE),""),"[hh]:mm"))</f>
        <v>#VALUE!</v>
      </c>
      <c r="BN340" s="172" t="e">
        <f>IF(VLOOKUP(T_BilanSocial[[#This Row],[NumL]],T_TraitDi[#Data],COLUMN(T_TraitDi[[#This Row],[Colonne31]]),FALSE)=0,"",TEXT(IFERROR(VLOOKUP(T_BilanSocial[[#This Row],[NumL]],T_TraitDi[#Data],COLUMN(T_TraitDi[[#This Row],[Colonne31]]),FALSE),""),"[hh]:mm"))</f>
        <v>#VALUE!</v>
      </c>
      <c r="BO340" s="172" t="e">
        <f>IF(VLOOKUP(T_BilanSocial[[#This Row],[NumL]],T_TraitDi[#Data],COLUMN(T_TraitDi[[#This Row],[Colonne32]]),FALSE)=0,"",TEXT(IFERROR(VLOOKUP(T_BilanSocial[[#This Row],[NumL]],T_TraitDi[#Data],COLUMN(T_TraitDi[[#This Row],[Colonne32]]),FALSE),""),"[hh]:mm"))</f>
        <v>#VALUE!</v>
      </c>
      <c r="BP340" s="172" t="e">
        <f>VLOOKUP(T_BilanSocial[[#This Row],[NumL]],T_TraitDi[#Data],COLUMN(T_TraitDi[NbJTot]),FALSE)</f>
        <v>#N/A</v>
      </c>
      <c r="BQ340" s="174" t="str">
        <f>IFERROR(VLOOKUP(T_BilanSocial[[#This Row],[NumL]],T_TraitDi[#Data],COLUMN(T_TraitDi[[#This Row],[NbJTW]]),FALSE),"")</f>
        <v/>
      </c>
      <c r="BR340" s="174" t="e">
        <f>IF(VLOOKUP(T_BilanSocial[[#This Row],[NumL]],T_TraitDi[#Data],COLUMN(T_TraitDi[[#This Row],[NbhTW]]),FALSE)=0,"",TEXT(IFERROR(VLOOKUP(T_BilanSocial[[#This Row],[NumL]],T_TraitDi[#Data],COLUMN(T_TraitDi[[#This Row],[NbhTW]]),FALSE),""),"[hh]:mm"))</f>
        <v>#VALUE!</v>
      </c>
      <c r="BS340" s="174" t="e">
        <f>IF(VLOOKUP(T_BilanSocial[[#This Row],[NumL]],T_TraitDi[#Data],COLUMN(T_TraitDi[[#This Row],[Nbhheb]]),FALSE)=0,"",TEXT(IFERROR(VLOOKUP($A340,T_TraitDi[#Data],COLUMN(T_TraitDi[[#This Row],[Nbhheb]]),FALSE),""),"[hh]:mm"))</f>
        <v>#VALUE!</v>
      </c>
      <c r="BT340" s="182" t="str">
        <f>IFERROR(VLOOKUP(VLOOKUP($A340,T_TraitDi[#Data],COLUMN(T_TraitDi[[#This Row],[Type1]]),FALSE),TypeTW,2,FALSE),"")</f>
        <v/>
      </c>
      <c r="BU340" s="182" t="str">
        <f>IFERROR(VLOOKUP($A340,T_TraitDi[#Data],COLUMN(T_TraitDi[[#This Row],[Rue1]]),FALSE),"")</f>
        <v/>
      </c>
      <c r="BV340" s="173" t="str">
        <f>IFERROR(VLOOKUP($A340,T_TraitDi[#Data],COLUMN(T_TraitDi[[#This Row],[CP1]]),FALSE),"")</f>
        <v/>
      </c>
      <c r="BW340" s="173" t="str">
        <f>IFERROR(VLOOKUP($A340,T_TraitDi[#Data],COLUMN(T_TraitDi[[#This Row],[VILLE1]]),FALSE),"")</f>
        <v/>
      </c>
      <c r="BX340" s="182" t="str">
        <f>IFERROR(VLOOKUP(VLOOKUP($A340,T_TraitDi[#Data],COLUMN(T_TraitDi[[#This Row],[Type2]]),FALSE),TypeTW,2,FALSE),"")</f>
        <v/>
      </c>
      <c r="BY340" s="182" t="str">
        <f>IFERROR(VLOOKUP($A340,T_TraitDi[#Data],COLUMN(T_TraitDi[[#This Row],[Rue2]]),FALSE),"")</f>
        <v/>
      </c>
      <c r="BZ340" s="173" t="str">
        <f>IFERROR(VLOOKUP($A340,T_TraitDi[#Data],COLUMN(T_TraitDi[[#This Row],[CP2]]),FALSE),"")</f>
        <v/>
      </c>
      <c r="CA340" s="173" t="str">
        <f>IFERROR(VLOOKUP($A340,T_TraitDi[#Data],COLUMN(T_TraitDi[[#This Row],[VILLE2]]),FALSE),"")</f>
        <v/>
      </c>
      <c r="CB340" s="182" t="e">
        <f>IF(VLOOKUP(T_BilanSocial[[#This Row],[NumL]],T_Equipement[#Data],COLUMN(T_Equipement[[#This Row],[PC]]),FALSE)="","Aucun équipement spécifique directement lié au télétravail",VLOOKUP(T_BilanSocial[[#This Row],[NumL]],T_Equipement[#Data],COLUMN(T_Equipement[[#This Row],[PC]]),FALSE))</f>
        <v>#VALUE!</v>
      </c>
      <c r="CC340" s="166" t="str">
        <f>IFERROR(IF(VLOOKUP(T_BilanSocial[[#This Row],[NumL]],T_TraitDi[#Data],COLUMN(T_TraitDi[[#This Row],[Plan]]),FALSE)="OK","Un planning spécifique de télétravail est annexé à la présente convention.",""),"")</f>
        <v/>
      </c>
      <c r="CD340" s="301"/>
      <c r="CE340" s="164" t="e">
        <f>IF(VLOOKUP(T_BilanSocial[[#This Row],[NumL]],T_suiviDi[#Data],COLUMN(T_suiviDi[[#This Row],[Entité]]),FALSE)="","",VLOOKUP(T_BilanSocial[[#This Row],[NumL]],T_suiviDi[#Data],COLUMN(T_suiviDi[[#This Row],[Entité]]),FALSE))</f>
        <v>#VALUE!</v>
      </c>
      <c r="CF340" s="164" t="e">
        <f>IF(VLOOKUP(T_BilanSocial[[#This Row],[NumL]],T_Commission[#Data],COLUMN(T_Commission[[#This Row],[envoi confirm TW]]),FALSE)="","",VLOOKUP(T_BilanSocial[[#This Row],[NumL]],T_Commission[#Data],COLUMN(T_Commission[[#This Row],[envoi confirm TW]]),FALSE))</f>
        <v>#VALUE!</v>
      </c>
      <c r="CG34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0" s="339" t="str">
        <f>T_BilanSocial[[#This Row],[Nom]]&amp;T_BilanSocial[[#This Row],[Prenom]]</f>
        <v/>
      </c>
      <c r="CI340" s="339">
        <f>VLOOKUP(T_BilanSocial[[#This Row],[NumL]],T_Commission[#Data],COLUMN(T_Commission[Commentaire]),FALSE)</f>
        <v>0</v>
      </c>
      <c r="CJ340" s="339" t="str">
        <f>IF(VLOOKUP(T_BilanSocial[[#This Row],[NumL]],T_Commission[#Data],COLUMN(T_Commission[Encadrant Email]),FALSE)="","",VLOOKUP(T_BilanSocial[[#This Row],[NumL]],T_Commission[#Data],COLUMN(T_Commission[Encadrant Email]),FALSE))</f>
        <v/>
      </c>
      <c r="CK340" s="332" t="str">
        <f>IF(T_BilanSocial[[#This Row],[Final]]&lt;&gt;"",VLOOKUP(T_BilanSocial[[#This Row],[NumL]],T_suiviDi[#Data],COLUMN((T_suiviDi[Statut])),FALSE),"")</f>
        <v/>
      </c>
    </row>
    <row r="341" spans="1:89" s="50" customFormat="1" ht="21" customHeight="1" x14ac:dyDescent="0.25">
      <c r="A341" s="136">
        <v>338</v>
      </c>
      <c r="B341" s="330" t="str">
        <f t="shared" si="71"/>
        <v/>
      </c>
      <c r="C341" s="309"/>
      <c r="D341" s="95" t="e">
        <f>IF(VLOOKUP(T_BilanSocial[[#This Row],[NumL]],T_TraitDi[#Data],COLUMN(T_TraitDi[[#This Row],[WebC]]),FALSE)="","",VLOOKUP(T_BilanSocial[[#This Row],[NumL]],T_TraitDi[#Data],COLUMN(T_TraitDi[[#This Row],[WebC]]),FALSE))</f>
        <v>#VALUE!</v>
      </c>
      <c r="E341" s="95" t="str">
        <f t="shared" si="72"/>
        <v>12 janvier 2021</v>
      </c>
      <c r="F341" s="96" t="str">
        <f>IF(T_BilanSocial[[#This Row],[Final]]&lt;&gt;"",VLOOKUP(T_BilanSocial[[#This Row],[NumL]],T_suiviDi[#Data],COLUMN((T_suiviDi[Civ.])),FALSE),"")</f>
        <v/>
      </c>
      <c r="G341" s="96" t="str">
        <f>IF(T_BilanSocial[[#This Row],[Final]]&lt;&gt;"",VLOOKUP(T_BilanSocial[[#This Row],[NumL]],T_suiviDi[#Data],COLUMN((T_suiviDi[Nom])),FALSE),"")</f>
        <v/>
      </c>
      <c r="H341" s="96" t="str">
        <f>IF(T_BilanSocial[[#This Row],[Final]]&lt;&gt;"",VLOOKUP(T_BilanSocial[[#This Row],[NumL]],T_suiviDi[#Data],COLUMN((T_suiviDi[Prénom])),FALSE),"")</f>
        <v/>
      </c>
      <c r="I341" s="331" t="str">
        <f>IFERROR(VLOOKUP(T_BilanSocial[[#This Row],[Zone_Bilan]],T_P_BilanSocial[#Data],COLUMN(T_P_BilanSocial[[#This Row],[Numero_SIHAM]]),FALSE),"")</f>
        <v/>
      </c>
      <c r="J341" s="331" t="str">
        <f>IFERROR(VLOOKUP(T_BilanSocial[[#This Row],[Zone_Bilan]],T_P_BilanSocial[#Data],COLUMN(T_P_BilanSocial[[#This Row],[Sexe]]),FALSE),"")</f>
        <v/>
      </c>
      <c r="K341" s="294" t="str">
        <f>IFERROR(VLOOKUP(T_BilanSocial[[#This Row],[Zone_Bilan]],T_P_BilanSocial[#Data],COLUMN(T_P_BilanSocial[[#This Row],[Categorie]]),FALSE),"")</f>
        <v/>
      </c>
      <c r="L341" s="331" t="str">
        <f>IFERROR(VLOOKUP(T_BilanSocial[[#This Row],[Zone_Bilan]],T_P_BilanSocial[#Data],COLUMN(T_P_BilanSocial[[#This Row],[Statut]]),FALSE),"")</f>
        <v/>
      </c>
      <c r="M341" s="331" t="str">
        <f>IFERROR(VLOOKUP(T_BilanSocial[[#This Row],[Zone_Bilan]],T_P_BilanSocial[#Data],COLUMN(T_P_BilanSocial[[#This Row],[Filiere]]),FALSE),"")</f>
        <v/>
      </c>
      <c r="N341" s="331" t="e">
        <f>VLOOKUP(T_BilanSocial[[#This Row],[NumL]],T_TraitDi[#Data],COLUMN(T_TraitDi[EXP]),FALSE)</f>
        <v>#N/A</v>
      </c>
      <c r="O341" s="331" t="e">
        <f>VLOOKUP(T_BilanSocial[[#This Row],[NumL]],T_TraitDi[#Data],COLUMN(T_TraitDi[FORM]),FALSE)</f>
        <v>#N/A</v>
      </c>
      <c r="P341" s="96" t="str">
        <f>IF(T_BilanSocial[[#This Row],[Final]]&lt;&gt;"",VLOOKUP(T_BilanSocial[[#This Row],[NumL]],T_suiviDi[#Data],COLUMN((T_suiviDi[Email])),FALSE),"")</f>
        <v/>
      </c>
      <c r="Q341" s="96" t="e">
        <f t="shared" si="73"/>
        <v>#N/A</v>
      </c>
      <c r="R341" s="96" t="e">
        <f t="shared" si="74"/>
        <v>#N/A</v>
      </c>
      <c r="S341" s="96" t="str">
        <f t="shared" si="70"/>
        <v/>
      </c>
      <c r="T341" s="96" t="str">
        <f t="shared" si="75"/>
        <v>01 septembre 2021</v>
      </c>
      <c r="U341" s="96" t="str">
        <f t="shared" si="76"/>
        <v>30 novembre 2021</v>
      </c>
      <c r="V341" s="97">
        <f t="shared" si="77"/>
        <v>44530</v>
      </c>
      <c r="W341" s="176" t="e">
        <f>IF(VLOOKUP(T_BilanSocial[[#This Row],[NumL]],T_TraitDi[#Data],COLUMN(T_TraitDi[[#This Row],[M1]]),FALSE)="","",VLOOKUP(T_BilanSocial[[#This Row],[NumL]],T_TraitDi[#Data],COLUMN(T_TraitDi[[#This Row],[M1]]),FALSE))</f>
        <v>#VALUE!</v>
      </c>
      <c r="X341" s="96" t="str">
        <f t="shared" si="81"/>
        <v/>
      </c>
      <c r="Y341" s="96" t="str">
        <f t="shared" si="81"/>
        <v/>
      </c>
      <c r="Z341" s="96" t="str">
        <f t="shared" si="78"/>
        <v/>
      </c>
      <c r="AA341" s="176" t="e">
        <f>IF(VLOOKUP(T_BilanSocial[[#This Row],[NumL]],T_TraitDi[#Data],COLUMN(T_TraitDi[[#This Row],[M5]]),FALSE)="","",VLOOKUP(T_BilanSocial[[#This Row],[NumL]],T_TraitDi[#Data],COLUMN(T_TraitDi[[#This Row],[M5]]),FALSE))</f>
        <v>#VALUE!</v>
      </c>
      <c r="AB341" s="176" t="e">
        <f>IF(VLOOKUP(T_BilanSocial[[#This Row],[NumL]],T_TraitDi[#Data],COLUMN(T_TraitDi[[#This Row],[M6]]),FALSE)="","",VLOOKUP(T_BilanSocial[[#This Row],[NumL]],T_TraitDi[#Data],COLUMN(T_TraitDi[[#This Row],[M6]]),FALSE))</f>
        <v>#VALUE!</v>
      </c>
      <c r="AC341" s="96" t="e">
        <f t="shared" si="82"/>
        <v>#VALUE!</v>
      </c>
      <c r="AD341" s="97" t="str">
        <f t="shared" si="79"/>
        <v/>
      </c>
      <c r="AE341" s="294" t="e">
        <f>VLOOKUP(T_BilanSocial[[#This Row],[NumL]],T_TraitDi[#Data],COLUMN(T_TraitDi[[#This Row],[Reg Ponct]]),FALSE)</f>
        <v>#VALUE!</v>
      </c>
      <c r="AF341" s="294" t="e">
        <f>VLOOKUP(T_BilanSocial[NumL],T_TraitDi[#Data],COLUMN(T_TraitDi[[#This Row],[Jours flottants]]),FALSE)</f>
        <v>#VALUE!</v>
      </c>
      <c r="AG341" s="97" t="str">
        <f>IFERROR(VLOOKUP(T_BilanSocial[[#This Row],[NumL]],T_TraitDi[#Data],COLUMN(T_TraitDi[[#This Row],[Lundi]]),FALSE),"")</f>
        <v/>
      </c>
      <c r="AH341" s="172" t="e">
        <f>IF(VLOOKUP(T_BilanSocial[[#This Row],[NumL]],T_TraitDi[#Data],COLUMN(T_TraitDi[[#This Row],[Colonne3]]),FALSE)=0,"",TEXT(IFERROR(VLOOKUP(T_BilanSocial[[#This Row],[NumL]],T_TraitDi[#Data],COLUMN(T_TraitDi[[#This Row],[Colonne3]]),FALSE),""),"[hh]:mm"))</f>
        <v>#VALUE!</v>
      </c>
      <c r="AI341" s="172" t="e">
        <f>IF(VLOOKUP(T_BilanSocial[[#This Row],[NumL]],T_TraitDi[#Data],COLUMN(T_TraitDi[[#This Row],[Colonne4]]),FALSE)=0,"",TEXT(IFERROR(VLOOKUP(T_BilanSocial[[#This Row],[NumL]],T_TraitDi[#Data],COLUMN(T_TraitDi[[#This Row],[Colonne4]]),FALSE),""),"[hh]:mm"))</f>
        <v>#VALUE!</v>
      </c>
      <c r="AJ341" s="172" t="e">
        <f>IF(VLOOKUP(T_BilanSocial[[#This Row],[NumL]],T_TraitDi[#Data],COLUMN(T_TraitDi[[#This Row],[Colonne5]]),FALSE)=0,"",TEXT(IFERROR(VLOOKUP(T_BilanSocial[[#This Row],[NumL]],T_TraitDi[#Data],COLUMN(T_TraitDi[[#This Row],[Colonne5]]),FALSE),""),"[hh]:mm"))</f>
        <v>#VALUE!</v>
      </c>
      <c r="AK341" s="172" t="e">
        <f>IF(VLOOKUP(T_BilanSocial[[#This Row],[NumL]],T_TraitDi[#Data],COLUMN(T_TraitDi[[#This Row],[Colonne6]]),FALSE)=0,"",TEXT(IFERROR(VLOOKUP(T_BilanSocial[[#This Row],[NumL]],T_TraitDi[#Data],COLUMN(T_TraitDi[[#This Row],[Colonne6]]),FALSE),""),"[hh]:mm"))</f>
        <v>#VALUE!</v>
      </c>
      <c r="AL341" s="172" t="e">
        <f>IF(VLOOKUP(T_BilanSocial[[#This Row],[NumL]],T_TraitDi[#Data],COLUMN(T_TraitDi[[#This Row],[Colonne7]]),FALSE)=0,"",TEXT(IFERROR(VLOOKUP(T_BilanSocial[[#This Row],[NumL]],T_TraitDi[#Data],COLUMN(T_TraitDi[[#This Row],[Colonne7]]),FALSE),""),"[hh]:mm"))</f>
        <v>#VALUE!</v>
      </c>
      <c r="AM341" s="172" t="e">
        <f>IF(VLOOKUP(T_BilanSocial[[#This Row],[NumL]],T_TraitDi[#Data],COLUMN(T_TraitDi[[#This Row],[Colonne8]]),FALSE)=0,"",TEXT(IFERROR(VLOOKUP(T_BilanSocial[[#This Row],[NumL]],T_TraitDi[#Data],COLUMN(T_TraitDi[[#This Row],[Colonne8]]),FALSE),""),"[hh]:mm"))</f>
        <v>#VALUE!</v>
      </c>
      <c r="AN341" s="172" t="str">
        <f>IFERROR(VLOOKUP(T_BilanSocial[[#This Row],[NumL]],T_TraitDi[#Data],COLUMN(T_TraitDi[[#This Row],[Mardi]]),FALSE),"")</f>
        <v/>
      </c>
      <c r="AO341" s="172" t="e">
        <f>IF(VLOOKUP(T_BilanSocial[[#This Row],[NumL]],T_TraitDi[#Data],COLUMN(T_TraitDi[[#This Row],[Colonne1]]),FALSE)=0,"",TEXT(IFERROR(VLOOKUP(T_BilanSocial[[#This Row],[NumL]],T_TraitDi[#Data],COLUMN(T_TraitDi[[#This Row],[Colonne1]]),FALSE),""),"[hh]:mm"))</f>
        <v>#VALUE!</v>
      </c>
      <c r="AP341" s="172" t="e">
        <f>IF(VLOOKUP(T_BilanSocial[[#This Row],[NumL]],T_TraitDi[#Data],COLUMN(T_TraitDi[[#This Row],[Colonne9]]),FALSE)=0,"",TEXT(IFERROR(VLOOKUP(T_BilanSocial[[#This Row],[NumL]],T_TraitDi[#Data],COLUMN(T_TraitDi[[#This Row],[Colonne9]]),FALSE),""),"[hh]:mm"))</f>
        <v>#VALUE!</v>
      </c>
      <c r="AQ341" s="172" t="str">
        <f>IFERROR(VLOOKUP(T_BilanSocial[[#This Row],[NumL]],T_TraitDi[#Data],COLUMN(T_TraitDi[[#This Row],[Colonne10]]),FALSE),"")</f>
        <v/>
      </c>
      <c r="AR341" s="172" t="e">
        <f>IF(VLOOKUP(T_BilanSocial[[#This Row],[NumL]],T_TraitDi[#Data],COLUMN(T_TraitDi[[#This Row],[Colonne11]]),FALSE)=0,"",TEXT(IFERROR(VLOOKUP(T_BilanSocial[[#This Row],[NumL]],T_TraitDi[#Data],COLUMN(T_TraitDi[[#This Row],[Colonne11]]),FALSE),""),"[hh]:mm"))</f>
        <v>#VALUE!</v>
      </c>
      <c r="AS341" s="172" t="e">
        <f>IF(VLOOKUP(T_BilanSocial[[#This Row],[NumL]],T_TraitDi[#Data],COLUMN(T_TraitDi[[#This Row],[Colonne12]]),FALSE)=0,"",TEXT(IFERROR(VLOOKUP(T_BilanSocial[[#This Row],[NumL]],T_TraitDi[#Data],COLUMN(T_TraitDi[[#This Row],[Colonne12]]),FALSE),""),"[hh]:mm"))</f>
        <v>#VALUE!</v>
      </c>
      <c r="AT341" s="172" t="e">
        <f>IF(VLOOKUP(T_BilanSocial[[#This Row],[NumL]],T_TraitDi[#Data],COLUMN(T_TraitDi[[#This Row],[Colonne14]]),FALSE)=0,"",TEXT(IFERROR(VLOOKUP(T_BilanSocial[[#This Row],[NumL]],T_TraitDi[#Data],COLUMN(T_TraitDi[[#This Row],[Colonne14]]),FALSE),""),"[hh]:mm"))</f>
        <v>#VALUE!</v>
      </c>
      <c r="AU341" s="172" t="str">
        <f>IFERROR(VLOOKUP(T_BilanSocial[[#This Row],[NumL]],T_TraitDi[#Data],COLUMN(T_TraitDi[[#This Row],[Mercredi]]),FALSE),"")</f>
        <v/>
      </c>
      <c r="AV341" s="172" t="e">
        <f>IF(VLOOKUP(T_BilanSocial[[#This Row],[NumL]],T_TraitDi[#Data],COLUMN(T_TraitDi[[#This Row],[Colonne15]]),FALSE)=0,"",TEXT(IFERROR(VLOOKUP(T_BilanSocial[[#This Row],[NumL]],T_TraitDi[#Data],COLUMN(T_TraitDi[[#This Row],[Colonne15]]),FALSE),""),"[hh]:mm"))</f>
        <v>#VALUE!</v>
      </c>
      <c r="AW341" s="172" t="e">
        <f>IF(VLOOKUP(T_BilanSocial[[#This Row],[NumL]],T_TraitDi[#Data],COLUMN(T_TraitDi[[#This Row],[Colonne16]]),FALSE)=0,"",TEXT(IFERROR(VLOOKUP(T_BilanSocial[[#This Row],[NumL]],T_TraitDi[#Data],COLUMN(T_TraitDi[[#This Row],[Colonne16]]),FALSE),""),"[hh]:mm"))</f>
        <v>#VALUE!</v>
      </c>
      <c r="AX341" s="172" t="str">
        <f>IFERROR(VLOOKUP(T_BilanSocial[[#This Row],[NumL]],T_TraitDi[#Data],COLUMN(T_TraitDi[[#This Row],[Colonne17]]),FALSE),"")</f>
        <v/>
      </c>
      <c r="AY341" s="172" t="e">
        <f>IF(VLOOKUP(T_BilanSocial[[#This Row],[NumL]],T_TraitDi[#Data],COLUMN(T_TraitDi[[#This Row],[Colonne18]]),FALSE)=0,"",TEXT(IFERROR(VLOOKUP(T_BilanSocial[[#This Row],[NumL]],T_TraitDi[#Data],COLUMN(T_TraitDi[[#This Row],[Colonne18]]),FALSE),""),"[hh]:mm"))</f>
        <v>#VALUE!</v>
      </c>
      <c r="AZ341" s="172" t="e">
        <f>IF(VLOOKUP(T_BilanSocial[[#This Row],[NumL]],T_TraitDi[#Data],COLUMN(T_TraitDi[[#This Row],[Colonne19]]),FALSE)=0,"",TEXT(IFERROR(VLOOKUP(T_BilanSocial[[#This Row],[NumL]],T_TraitDi[#Data],COLUMN(T_TraitDi[[#This Row],[Colonne19]]),FALSE),""),"[hh]:mm"))</f>
        <v>#VALUE!</v>
      </c>
      <c r="BA341" s="172" t="e">
        <f>IF(VLOOKUP(T_BilanSocial[[#This Row],[NumL]],T_TraitDi[#Data],COLUMN(T_TraitDi[[#This Row],[Colonne20]]),FALSE)=0,"",TEXT(IFERROR(VLOOKUP(T_BilanSocial[[#This Row],[NumL]],T_TraitDi[#Data],COLUMN(T_TraitDi[[#This Row],[Colonne20]]),FALSE),""),"[hh]:mm"))</f>
        <v>#VALUE!</v>
      </c>
      <c r="BB341" s="178" t="str">
        <f>IFERROR(VLOOKUP(T_BilanSocial[[#This Row],[NumL]],T_TraitDi[#Data],COLUMN(T_TraitDi[[#This Row],[Jeudi]]),FALSE),"")</f>
        <v/>
      </c>
      <c r="BC341" s="178" t="e">
        <f>IF(VLOOKUP(T_BilanSocial[[#This Row],[NumL]],T_TraitDi[#Data],COLUMN(T_TraitDi[[#This Row],[Colonne21]]),FALSE)=0,"",TEXT(IFERROR(VLOOKUP(T_BilanSocial[[#This Row],[NumL]],T_TraitDi[#Data],COLUMN(T_TraitDi[[#This Row],[Colonne21]]),FALSE),""),"[hh]:mm"))</f>
        <v>#VALUE!</v>
      </c>
      <c r="BD341" s="178" t="e">
        <f>IF(VLOOKUP(T_BilanSocial[[#This Row],[NumL]],T_TraitDi[#Data],COLUMN(T_TraitDi[[#This Row],[Colonne22]]),FALSE)=0,"",TEXT(IFERROR(VLOOKUP(T_BilanSocial[[#This Row],[NumL]],T_TraitDi[#Data],COLUMN(T_TraitDi[[#This Row],[Colonne22]]),FALSE),""),"[hh]:mm"))</f>
        <v>#VALUE!</v>
      </c>
      <c r="BE341" s="178" t="str">
        <f>IFERROR(VLOOKUP(T_BilanSocial[[#This Row],[NumL]],T_TraitDi[#Data],COLUMN(T_TraitDi[[#This Row],[Colonne23]]),FALSE),"")</f>
        <v/>
      </c>
      <c r="BF341" s="178" t="e">
        <f>IF(VLOOKUP(T_BilanSocial[[#This Row],[NumL]],T_TraitDi[#Data],COLUMN(T_TraitDi[[#This Row],[Colonne24]]),FALSE)=0,"",TEXT(IFERROR(VLOOKUP(T_BilanSocial[[#This Row],[NumL]],T_TraitDi[#Data],COLUMN(T_TraitDi[[#This Row],[Colonne24]]),FALSE),""),"[hh]:mm"))</f>
        <v>#VALUE!</v>
      </c>
      <c r="BG341" s="178" t="e">
        <f>IF(VLOOKUP(T_BilanSocial[[#This Row],[NumL]],T_TraitDi[#Data],COLUMN(T_TraitDi[[#This Row],[Colonne25]]),FALSE)=0,"",TEXT(IFERROR(VLOOKUP(T_BilanSocial[[#This Row],[NumL]],T_TraitDi[#Data],COLUMN(T_TraitDi[[#This Row],[Colonne25]]),FALSE),""),"[hh]:mm"))</f>
        <v>#VALUE!</v>
      </c>
      <c r="BH341" s="178" t="e">
        <f>IF(VLOOKUP(T_BilanSocial[[#This Row],[NumL]],T_TraitDi[#Data],COLUMN(T_TraitDi[[#This Row],[Colonne26]]),FALSE)=0,"",TEXT(IFERROR(VLOOKUP(T_BilanSocial[[#This Row],[NumL]],T_TraitDi[#Data],COLUMN(T_TraitDi[[#This Row],[Colonne26]]),FALSE),""),"[hh]:mm"))</f>
        <v>#VALUE!</v>
      </c>
      <c r="BI341" s="172" t="str">
        <f>IFERROR(VLOOKUP(T_BilanSocial[[#This Row],[NumL]],T_TraitDi[#Data],COLUMN(T_TraitDi[[#This Row],[Vendredi]]),FALSE),"")</f>
        <v/>
      </c>
      <c r="BJ341" s="172" t="e">
        <f>IF(VLOOKUP(T_BilanSocial[[#This Row],[NumL]],T_TraitDi[#Data],COLUMN(T_TraitDi[[#This Row],[Colonne27]]),FALSE)=0,"",TEXT(IFERROR(VLOOKUP(T_BilanSocial[[#This Row],[NumL]],T_TraitDi[#Data],COLUMN(T_TraitDi[[#This Row],[Colonne27]]),FALSE),""),"[hh]:mm"))</f>
        <v>#VALUE!</v>
      </c>
      <c r="BK341" s="172" t="e">
        <f>IF(VLOOKUP(T_BilanSocial[[#This Row],[NumL]],T_TraitDi[#Data],COLUMN(T_TraitDi[[#This Row],[Colonne28]]),FALSE)=0,"",TEXT(IFERROR(VLOOKUP(T_BilanSocial[[#This Row],[NumL]],T_TraitDi[#Data],COLUMN(T_TraitDi[[#This Row],[Colonne28]]),FALSE),""),"[hh]:mm"))</f>
        <v>#VALUE!</v>
      </c>
      <c r="BL341" s="172" t="str">
        <f>IFERROR(VLOOKUP(T_BilanSocial[[#This Row],[NumL]],T_TraitDi[#Data],COLUMN(T_TraitDi[[#This Row],[Colonne29]]),FALSE),"")</f>
        <v/>
      </c>
      <c r="BM341" s="172" t="e">
        <f>IF(VLOOKUP(T_BilanSocial[[#This Row],[NumL]],T_TraitDi[#Data],COLUMN(T_TraitDi[[#This Row],[Colonne30]]),FALSE)=0,"",TEXT(IFERROR(VLOOKUP(T_BilanSocial[[#This Row],[NumL]],T_TraitDi[#Data],COLUMN(T_TraitDi[[#This Row],[Colonne30]]),FALSE),""),"[hh]:mm"))</f>
        <v>#VALUE!</v>
      </c>
      <c r="BN341" s="172" t="e">
        <f>IF(VLOOKUP(T_BilanSocial[[#This Row],[NumL]],T_TraitDi[#Data],COLUMN(T_TraitDi[[#This Row],[Colonne31]]),FALSE)=0,"",TEXT(IFERROR(VLOOKUP(T_BilanSocial[[#This Row],[NumL]],T_TraitDi[#Data],COLUMN(T_TraitDi[[#This Row],[Colonne31]]),FALSE),""),"[hh]:mm"))</f>
        <v>#VALUE!</v>
      </c>
      <c r="BO341" s="172" t="e">
        <f>IF(VLOOKUP(T_BilanSocial[[#This Row],[NumL]],T_TraitDi[#Data],COLUMN(T_TraitDi[[#This Row],[Colonne32]]),FALSE)=0,"",TEXT(IFERROR(VLOOKUP(T_BilanSocial[[#This Row],[NumL]],T_TraitDi[#Data],COLUMN(T_TraitDi[[#This Row],[Colonne32]]),FALSE),""),"[hh]:mm"))</f>
        <v>#VALUE!</v>
      </c>
      <c r="BP341" s="172" t="e">
        <f>VLOOKUP(T_BilanSocial[[#This Row],[NumL]],T_TraitDi[#Data],COLUMN(T_TraitDi[NbJTot]),FALSE)</f>
        <v>#N/A</v>
      </c>
      <c r="BQ341" s="174" t="str">
        <f>IFERROR(VLOOKUP(T_BilanSocial[[#This Row],[NumL]],T_TraitDi[#Data],COLUMN(T_TraitDi[[#This Row],[NbJTW]]),FALSE),"")</f>
        <v/>
      </c>
      <c r="BR341" s="174" t="e">
        <f>IF(VLOOKUP(T_BilanSocial[[#This Row],[NumL]],T_TraitDi[#Data],COLUMN(T_TraitDi[[#This Row],[NbhTW]]),FALSE)=0,"",TEXT(IFERROR(VLOOKUP(T_BilanSocial[[#This Row],[NumL]],T_TraitDi[#Data],COLUMN(T_TraitDi[[#This Row],[NbhTW]]),FALSE),""),"[hh]:mm"))</f>
        <v>#VALUE!</v>
      </c>
      <c r="BS341" s="174" t="e">
        <f>IF(VLOOKUP(T_BilanSocial[[#This Row],[NumL]],T_TraitDi[#Data],COLUMN(T_TraitDi[[#This Row],[Nbhheb]]),FALSE)=0,"",TEXT(IFERROR(VLOOKUP($A341,T_TraitDi[#Data],COLUMN(T_TraitDi[[#This Row],[Nbhheb]]),FALSE),""),"[hh]:mm"))</f>
        <v>#VALUE!</v>
      </c>
      <c r="BT341" s="182" t="str">
        <f>IFERROR(VLOOKUP(VLOOKUP($A341,T_TraitDi[#Data],COLUMN(T_TraitDi[[#This Row],[Type1]]),FALSE),TypeTW,2,FALSE),"")</f>
        <v/>
      </c>
      <c r="BU341" s="182" t="str">
        <f>IFERROR(VLOOKUP($A341,T_TraitDi[#Data],COLUMN(T_TraitDi[[#This Row],[Rue1]]),FALSE),"")</f>
        <v/>
      </c>
      <c r="BV341" s="173" t="str">
        <f>IFERROR(VLOOKUP($A341,T_TraitDi[#Data],COLUMN(T_TraitDi[[#This Row],[CP1]]),FALSE),"")</f>
        <v/>
      </c>
      <c r="BW341" s="173" t="str">
        <f>IFERROR(VLOOKUP($A341,T_TraitDi[#Data],COLUMN(T_TraitDi[[#This Row],[VILLE1]]),FALSE),"")</f>
        <v/>
      </c>
      <c r="BX341" s="182" t="str">
        <f>IFERROR(VLOOKUP(VLOOKUP($A341,T_TraitDi[#Data],COLUMN(T_TraitDi[[#This Row],[Type2]]),FALSE),TypeTW,2,FALSE),"")</f>
        <v/>
      </c>
      <c r="BY341" s="182" t="str">
        <f>IFERROR(VLOOKUP($A341,T_TraitDi[#Data],COLUMN(T_TraitDi[[#This Row],[Rue2]]),FALSE),"")</f>
        <v/>
      </c>
      <c r="BZ341" s="173" t="str">
        <f>IFERROR(VLOOKUP($A341,T_TraitDi[#Data],COLUMN(T_TraitDi[[#This Row],[CP2]]),FALSE),"")</f>
        <v/>
      </c>
      <c r="CA341" s="173" t="str">
        <f>IFERROR(VLOOKUP($A341,T_TraitDi[#Data],COLUMN(T_TraitDi[[#This Row],[VILLE2]]),FALSE),"")</f>
        <v/>
      </c>
      <c r="CB341" s="182" t="e">
        <f>IF(VLOOKUP(T_BilanSocial[[#This Row],[NumL]],T_Equipement[#Data],COLUMN(T_Equipement[[#This Row],[PC]]),FALSE)="","Aucun équipement spécifique directement lié au télétravail",VLOOKUP(T_BilanSocial[[#This Row],[NumL]],T_Equipement[#Data],COLUMN(T_Equipement[[#This Row],[PC]]),FALSE))</f>
        <v>#VALUE!</v>
      </c>
      <c r="CC341" s="166" t="str">
        <f>IFERROR(IF(VLOOKUP(T_BilanSocial[[#This Row],[NumL]],T_TraitDi[#Data],COLUMN(T_TraitDi[[#This Row],[Plan]]),FALSE)="OK","Un planning spécifique de télétravail est annexé à la présente convention.",""),"")</f>
        <v/>
      </c>
      <c r="CD341" s="301"/>
      <c r="CE341" s="164" t="e">
        <f>IF(VLOOKUP(T_BilanSocial[[#This Row],[NumL]],T_suiviDi[#Data],COLUMN(T_suiviDi[[#This Row],[Entité]]),FALSE)="","",VLOOKUP(T_BilanSocial[[#This Row],[NumL]],T_suiviDi[#Data],COLUMN(T_suiviDi[[#This Row],[Entité]]),FALSE))</f>
        <v>#VALUE!</v>
      </c>
      <c r="CF341" s="164" t="e">
        <f>IF(VLOOKUP(T_BilanSocial[[#This Row],[NumL]],T_Commission[#Data],COLUMN(T_Commission[[#This Row],[envoi confirm TW]]),FALSE)="","",VLOOKUP(T_BilanSocial[[#This Row],[NumL]],T_Commission[#Data],COLUMN(T_Commission[[#This Row],[envoi confirm TW]]),FALSE))</f>
        <v>#VALUE!</v>
      </c>
      <c r="CG34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1" s="339" t="str">
        <f>T_BilanSocial[[#This Row],[Nom]]&amp;T_BilanSocial[[#This Row],[Prenom]]</f>
        <v/>
      </c>
      <c r="CI341" s="339" t="str">
        <f>VLOOKUP(T_BilanSocial[[#This Row],[NumL]],T_Commission[#Data],COLUMN(T_Commission[Commentaire]),FALSE)</f>
        <v>Avis réservé du n+1 en raison de la quotité de l'agent  passage eventuel à 100 % et de l'organisation du service - Sous réserve de l'organisation au 01/09/2021</v>
      </c>
      <c r="CJ341" s="339" t="str">
        <f>IF(VLOOKUP(T_BilanSocial[[#This Row],[NumL]],T_Commission[#Data],COLUMN(T_Commission[Encadrant Email]),FALSE)="","",VLOOKUP(T_BilanSocial[[#This Row],[NumL]],T_Commission[#Data],COLUMN(T_Commission[Encadrant Email]),FALSE))</f>
        <v/>
      </c>
      <c r="CK341" s="332" t="str">
        <f>IF(T_BilanSocial[[#This Row],[Final]]&lt;&gt;"",VLOOKUP(T_BilanSocial[[#This Row],[NumL]],T_suiviDi[#Data],COLUMN((T_suiviDi[Statut])),FALSE),"")</f>
        <v/>
      </c>
    </row>
    <row r="342" spans="1:89" s="50" customFormat="1" ht="29.25" customHeight="1" x14ac:dyDescent="0.25">
      <c r="A342" s="136">
        <v>339</v>
      </c>
      <c r="B342" s="330" t="str">
        <f t="shared" si="71"/>
        <v/>
      </c>
      <c r="C342" s="309"/>
      <c r="D342" s="95" t="e">
        <f>IF(VLOOKUP(T_BilanSocial[[#This Row],[NumL]],T_TraitDi[#Data],COLUMN(T_TraitDi[[#This Row],[WebC]]),FALSE)="","",VLOOKUP(T_BilanSocial[[#This Row],[NumL]],T_TraitDi[#Data],COLUMN(T_TraitDi[[#This Row],[WebC]]),FALSE))</f>
        <v>#VALUE!</v>
      </c>
      <c r="E342" s="95" t="str">
        <f t="shared" si="72"/>
        <v>12 janvier 2021</v>
      </c>
      <c r="F342" s="96" t="str">
        <f>IF(T_BilanSocial[[#This Row],[Final]]&lt;&gt;"",VLOOKUP(T_BilanSocial[[#This Row],[NumL]],T_suiviDi[#Data],COLUMN((T_suiviDi[Civ.])),FALSE),"")</f>
        <v/>
      </c>
      <c r="G342" s="96" t="str">
        <f>IF(T_BilanSocial[[#This Row],[Final]]&lt;&gt;"",VLOOKUP(T_BilanSocial[[#This Row],[NumL]],T_suiviDi[#Data],COLUMN((T_suiviDi[Nom])),FALSE),"")</f>
        <v/>
      </c>
      <c r="H342" s="96" t="str">
        <f>IF(T_BilanSocial[[#This Row],[Final]]&lt;&gt;"",VLOOKUP(T_BilanSocial[[#This Row],[NumL]],T_suiviDi[#Data],COLUMN((T_suiviDi[Prénom])),FALSE),"")</f>
        <v/>
      </c>
      <c r="I342" s="331" t="str">
        <f>IFERROR(VLOOKUP(T_BilanSocial[[#This Row],[Zone_Bilan]],T_P_BilanSocial[#Data],COLUMN(T_P_BilanSocial[[#This Row],[Numero_SIHAM]]),FALSE),"")</f>
        <v/>
      </c>
      <c r="J342" s="331" t="str">
        <f>IFERROR(VLOOKUP(T_BilanSocial[[#This Row],[Zone_Bilan]],T_P_BilanSocial[#Data],COLUMN(T_P_BilanSocial[[#This Row],[Sexe]]),FALSE),"")</f>
        <v/>
      </c>
      <c r="K342" s="294" t="str">
        <f>IFERROR(VLOOKUP(T_BilanSocial[[#This Row],[Zone_Bilan]],T_P_BilanSocial[#Data],COLUMN(T_P_BilanSocial[[#This Row],[Categorie]]),FALSE),"")</f>
        <v/>
      </c>
      <c r="L342" s="331" t="str">
        <f>IFERROR(VLOOKUP(T_BilanSocial[[#This Row],[Zone_Bilan]],T_P_BilanSocial[#Data],COLUMN(T_P_BilanSocial[[#This Row],[Statut]]),FALSE),"")</f>
        <v/>
      </c>
      <c r="M342" s="331" t="str">
        <f>IFERROR(VLOOKUP(T_BilanSocial[[#This Row],[Zone_Bilan]],T_P_BilanSocial[#Data],COLUMN(T_P_BilanSocial[[#This Row],[Filiere]]),FALSE),"")</f>
        <v/>
      </c>
      <c r="N342" s="331" t="e">
        <f>VLOOKUP(T_BilanSocial[[#This Row],[NumL]],T_TraitDi[#Data],COLUMN(T_TraitDi[EXP]),FALSE)</f>
        <v>#N/A</v>
      </c>
      <c r="O342" s="331" t="e">
        <f>VLOOKUP(T_BilanSocial[[#This Row],[NumL]],T_TraitDi[#Data],COLUMN(T_TraitDi[FORM]),FALSE)</f>
        <v>#N/A</v>
      </c>
      <c r="P342" s="96" t="str">
        <f>IF(T_BilanSocial[[#This Row],[Final]]&lt;&gt;"",VLOOKUP(T_BilanSocial[[#This Row],[NumL]],T_suiviDi[#Data],COLUMN((T_suiviDi[Email])),FALSE),"")</f>
        <v/>
      </c>
      <c r="Q342" s="96" t="e">
        <f t="shared" si="73"/>
        <v>#N/A</v>
      </c>
      <c r="R342" s="96" t="e">
        <f t="shared" si="74"/>
        <v>#N/A</v>
      </c>
      <c r="S342" s="96" t="str">
        <f t="shared" si="70"/>
        <v/>
      </c>
      <c r="T342" s="96" t="str">
        <f t="shared" si="75"/>
        <v>01 septembre 2021</v>
      </c>
      <c r="U342" s="96" t="str">
        <f t="shared" si="76"/>
        <v>30 novembre 2021</v>
      </c>
      <c r="V342" s="97">
        <f t="shared" si="77"/>
        <v>44530</v>
      </c>
      <c r="W342" s="176" t="e">
        <f>IF(VLOOKUP(T_BilanSocial[[#This Row],[NumL]],T_TraitDi[#Data],COLUMN(T_TraitDi[[#This Row],[M1]]),FALSE)="","",VLOOKUP(T_BilanSocial[[#This Row],[NumL]],T_TraitDi[#Data],COLUMN(T_TraitDi[[#This Row],[M1]]),FALSE))</f>
        <v>#VALUE!</v>
      </c>
      <c r="X342" s="96" t="str">
        <f t="shared" si="81"/>
        <v/>
      </c>
      <c r="Y342" s="96" t="str">
        <f t="shared" si="81"/>
        <v/>
      </c>
      <c r="Z342" s="96" t="str">
        <f t="shared" si="78"/>
        <v/>
      </c>
      <c r="AA342" s="176" t="e">
        <f>IF(VLOOKUP(T_BilanSocial[[#This Row],[NumL]],T_TraitDi[#Data],COLUMN(T_TraitDi[[#This Row],[M5]]),FALSE)="","",VLOOKUP(T_BilanSocial[[#This Row],[NumL]],T_TraitDi[#Data],COLUMN(T_TraitDi[[#This Row],[M5]]),FALSE))</f>
        <v>#VALUE!</v>
      </c>
      <c r="AB342" s="176" t="e">
        <f>IF(VLOOKUP(T_BilanSocial[[#This Row],[NumL]],T_TraitDi[#Data],COLUMN(T_TraitDi[[#This Row],[M6]]),FALSE)="","",VLOOKUP(T_BilanSocial[[#This Row],[NumL]],T_TraitDi[#Data],COLUMN(T_TraitDi[[#This Row],[M6]]),FALSE))</f>
        <v>#VALUE!</v>
      </c>
      <c r="AC342" s="96" t="e">
        <f t="shared" si="82"/>
        <v>#VALUE!</v>
      </c>
      <c r="AD342" s="97" t="str">
        <f t="shared" si="79"/>
        <v/>
      </c>
      <c r="AE342" s="294" t="e">
        <f>VLOOKUP(T_BilanSocial[[#This Row],[NumL]],T_TraitDi[#Data],COLUMN(T_TraitDi[[#This Row],[Reg Ponct]]),FALSE)</f>
        <v>#VALUE!</v>
      </c>
      <c r="AF342" s="294" t="e">
        <f>VLOOKUP(T_BilanSocial[NumL],T_TraitDi[#Data],COLUMN(T_TraitDi[[#This Row],[Jours flottants]]),FALSE)</f>
        <v>#VALUE!</v>
      </c>
      <c r="AG342" s="97" t="str">
        <f>IFERROR(VLOOKUP(T_BilanSocial[[#This Row],[NumL]],T_TraitDi[#Data],COLUMN(T_TraitDi[[#This Row],[Lundi]]),FALSE),"")</f>
        <v/>
      </c>
      <c r="AH342" s="172" t="e">
        <f>IF(VLOOKUP(T_BilanSocial[[#This Row],[NumL]],T_TraitDi[#Data],COLUMN(T_TraitDi[[#This Row],[Colonne3]]),FALSE)=0,"",TEXT(IFERROR(VLOOKUP(T_BilanSocial[[#This Row],[NumL]],T_TraitDi[#Data],COLUMN(T_TraitDi[[#This Row],[Colonne3]]),FALSE),""),"[hh]:mm"))</f>
        <v>#VALUE!</v>
      </c>
      <c r="AI342" s="172" t="e">
        <f>IF(VLOOKUP(T_BilanSocial[[#This Row],[NumL]],T_TraitDi[#Data],COLUMN(T_TraitDi[[#This Row],[Colonne4]]),FALSE)=0,"",TEXT(IFERROR(VLOOKUP(T_BilanSocial[[#This Row],[NumL]],T_TraitDi[#Data],COLUMN(T_TraitDi[[#This Row],[Colonne4]]),FALSE),""),"[hh]:mm"))</f>
        <v>#VALUE!</v>
      </c>
      <c r="AJ342" s="172" t="e">
        <f>IF(VLOOKUP(T_BilanSocial[[#This Row],[NumL]],T_TraitDi[#Data],COLUMN(T_TraitDi[[#This Row],[Colonne5]]),FALSE)=0,"",TEXT(IFERROR(VLOOKUP(T_BilanSocial[[#This Row],[NumL]],T_TraitDi[#Data],COLUMN(T_TraitDi[[#This Row],[Colonne5]]),FALSE),""),"[hh]:mm"))</f>
        <v>#VALUE!</v>
      </c>
      <c r="AK342" s="172" t="e">
        <f>IF(VLOOKUP(T_BilanSocial[[#This Row],[NumL]],T_TraitDi[#Data],COLUMN(T_TraitDi[[#This Row],[Colonne6]]),FALSE)=0,"",TEXT(IFERROR(VLOOKUP(T_BilanSocial[[#This Row],[NumL]],T_TraitDi[#Data],COLUMN(T_TraitDi[[#This Row],[Colonne6]]),FALSE),""),"[hh]:mm"))</f>
        <v>#VALUE!</v>
      </c>
      <c r="AL342" s="172" t="e">
        <f>IF(VLOOKUP(T_BilanSocial[[#This Row],[NumL]],T_TraitDi[#Data],COLUMN(T_TraitDi[[#This Row],[Colonne7]]),FALSE)=0,"",TEXT(IFERROR(VLOOKUP(T_BilanSocial[[#This Row],[NumL]],T_TraitDi[#Data],COLUMN(T_TraitDi[[#This Row],[Colonne7]]),FALSE),""),"[hh]:mm"))</f>
        <v>#VALUE!</v>
      </c>
      <c r="AM342" s="172" t="e">
        <f>IF(VLOOKUP(T_BilanSocial[[#This Row],[NumL]],T_TraitDi[#Data],COLUMN(T_TraitDi[[#This Row],[Colonne8]]),FALSE)=0,"",TEXT(IFERROR(VLOOKUP(T_BilanSocial[[#This Row],[NumL]],T_TraitDi[#Data],COLUMN(T_TraitDi[[#This Row],[Colonne8]]),FALSE),""),"[hh]:mm"))</f>
        <v>#VALUE!</v>
      </c>
      <c r="AN342" s="172" t="str">
        <f>IFERROR(VLOOKUP(T_BilanSocial[[#This Row],[NumL]],T_TraitDi[#Data],COLUMN(T_TraitDi[[#This Row],[Mardi]]),FALSE),"")</f>
        <v/>
      </c>
      <c r="AO342" s="172" t="e">
        <f>IF(VLOOKUP(T_BilanSocial[[#This Row],[NumL]],T_TraitDi[#Data],COLUMN(T_TraitDi[[#This Row],[Colonne1]]),FALSE)=0,"",TEXT(IFERROR(VLOOKUP(T_BilanSocial[[#This Row],[NumL]],T_TraitDi[#Data],COLUMN(T_TraitDi[[#This Row],[Colonne1]]),FALSE),""),"[hh]:mm"))</f>
        <v>#VALUE!</v>
      </c>
      <c r="AP342" s="172" t="e">
        <f>IF(VLOOKUP(T_BilanSocial[[#This Row],[NumL]],T_TraitDi[#Data],COLUMN(T_TraitDi[[#This Row],[Colonne9]]),FALSE)=0,"",TEXT(IFERROR(VLOOKUP(T_BilanSocial[[#This Row],[NumL]],T_TraitDi[#Data],COLUMN(T_TraitDi[[#This Row],[Colonne9]]),FALSE),""),"[hh]:mm"))</f>
        <v>#VALUE!</v>
      </c>
      <c r="AQ342" s="172" t="str">
        <f>IFERROR(VLOOKUP(T_BilanSocial[[#This Row],[NumL]],T_TraitDi[#Data],COLUMN(T_TraitDi[[#This Row],[Colonne10]]),FALSE),"")</f>
        <v/>
      </c>
      <c r="AR342" s="172" t="e">
        <f>IF(VLOOKUP(T_BilanSocial[[#This Row],[NumL]],T_TraitDi[#Data],COLUMN(T_TraitDi[[#This Row],[Colonne11]]),FALSE)=0,"",TEXT(IFERROR(VLOOKUP(T_BilanSocial[[#This Row],[NumL]],T_TraitDi[#Data],COLUMN(T_TraitDi[[#This Row],[Colonne11]]),FALSE),""),"[hh]:mm"))</f>
        <v>#VALUE!</v>
      </c>
      <c r="AS342" s="172" t="e">
        <f>IF(VLOOKUP(T_BilanSocial[[#This Row],[NumL]],T_TraitDi[#Data],COLUMN(T_TraitDi[[#This Row],[Colonne12]]),FALSE)=0,"",TEXT(IFERROR(VLOOKUP(T_BilanSocial[[#This Row],[NumL]],T_TraitDi[#Data],COLUMN(T_TraitDi[[#This Row],[Colonne12]]),FALSE),""),"[hh]:mm"))</f>
        <v>#VALUE!</v>
      </c>
      <c r="AT342" s="172" t="e">
        <f>IF(VLOOKUP(T_BilanSocial[[#This Row],[NumL]],T_TraitDi[#Data],COLUMN(T_TraitDi[[#This Row],[Colonne14]]),FALSE)=0,"",TEXT(IFERROR(VLOOKUP(T_BilanSocial[[#This Row],[NumL]],T_TraitDi[#Data],COLUMN(T_TraitDi[[#This Row],[Colonne14]]),FALSE),""),"[hh]:mm"))</f>
        <v>#VALUE!</v>
      </c>
      <c r="AU342" s="172" t="str">
        <f>IFERROR(VLOOKUP(T_BilanSocial[[#This Row],[NumL]],T_TraitDi[#Data],COLUMN(T_TraitDi[[#This Row],[Mercredi]]),FALSE),"")</f>
        <v/>
      </c>
      <c r="AV342" s="172" t="e">
        <f>IF(VLOOKUP(T_BilanSocial[[#This Row],[NumL]],T_TraitDi[#Data],COLUMN(T_TraitDi[[#This Row],[Colonne15]]),FALSE)=0,"",TEXT(IFERROR(VLOOKUP(T_BilanSocial[[#This Row],[NumL]],T_TraitDi[#Data],COLUMN(T_TraitDi[[#This Row],[Colonne15]]),FALSE),""),"[hh]:mm"))</f>
        <v>#VALUE!</v>
      </c>
      <c r="AW342" s="172" t="e">
        <f>IF(VLOOKUP(T_BilanSocial[[#This Row],[NumL]],T_TraitDi[#Data],COLUMN(T_TraitDi[[#This Row],[Colonne16]]),FALSE)=0,"",TEXT(IFERROR(VLOOKUP(T_BilanSocial[[#This Row],[NumL]],T_TraitDi[#Data],COLUMN(T_TraitDi[[#This Row],[Colonne16]]),FALSE),""),"[hh]:mm"))</f>
        <v>#VALUE!</v>
      </c>
      <c r="AX342" s="172" t="str">
        <f>IFERROR(VLOOKUP(T_BilanSocial[[#This Row],[NumL]],T_TraitDi[#Data],COLUMN(T_TraitDi[[#This Row],[Colonne17]]),FALSE),"")</f>
        <v/>
      </c>
      <c r="AY342" s="172" t="e">
        <f>IF(VLOOKUP(T_BilanSocial[[#This Row],[NumL]],T_TraitDi[#Data],COLUMN(T_TraitDi[[#This Row],[Colonne18]]),FALSE)=0,"",TEXT(IFERROR(VLOOKUP(T_BilanSocial[[#This Row],[NumL]],T_TraitDi[#Data],COLUMN(T_TraitDi[[#This Row],[Colonne18]]),FALSE),""),"[hh]:mm"))</f>
        <v>#VALUE!</v>
      </c>
      <c r="AZ342" s="172" t="e">
        <f>IF(VLOOKUP(T_BilanSocial[[#This Row],[NumL]],T_TraitDi[#Data],COLUMN(T_TraitDi[[#This Row],[Colonne19]]),FALSE)=0,"",TEXT(IFERROR(VLOOKUP(T_BilanSocial[[#This Row],[NumL]],T_TraitDi[#Data],COLUMN(T_TraitDi[[#This Row],[Colonne19]]),FALSE),""),"[hh]:mm"))</f>
        <v>#VALUE!</v>
      </c>
      <c r="BA342" s="172" t="e">
        <f>IF(VLOOKUP(T_BilanSocial[[#This Row],[NumL]],T_TraitDi[#Data],COLUMN(T_TraitDi[[#This Row],[Colonne20]]),FALSE)=0,"",TEXT(IFERROR(VLOOKUP(T_BilanSocial[[#This Row],[NumL]],T_TraitDi[#Data],COLUMN(T_TraitDi[[#This Row],[Colonne20]]),FALSE),""),"[hh]:mm"))</f>
        <v>#VALUE!</v>
      </c>
      <c r="BB342" s="178" t="str">
        <f>IFERROR(VLOOKUP(T_BilanSocial[[#This Row],[NumL]],T_TraitDi[#Data],COLUMN(T_TraitDi[[#This Row],[Jeudi]]),FALSE),"")</f>
        <v/>
      </c>
      <c r="BC342" s="178" t="e">
        <f>IF(VLOOKUP(T_BilanSocial[[#This Row],[NumL]],T_TraitDi[#Data],COLUMN(T_TraitDi[[#This Row],[Colonne21]]),FALSE)=0,"",TEXT(IFERROR(VLOOKUP(T_BilanSocial[[#This Row],[NumL]],T_TraitDi[#Data],COLUMN(T_TraitDi[[#This Row],[Colonne21]]),FALSE),""),"[hh]:mm"))</f>
        <v>#VALUE!</v>
      </c>
      <c r="BD342" s="178" t="e">
        <f>IF(VLOOKUP(T_BilanSocial[[#This Row],[NumL]],T_TraitDi[#Data],COLUMN(T_TraitDi[[#This Row],[Colonne22]]),FALSE)=0,"",TEXT(IFERROR(VLOOKUP(T_BilanSocial[[#This Row],[NumL]],T_TraitDi[#Data],COLUMN(T_TraitDi[[#This Row],[Colonne22]]),FALSE),""),"[hh]:mm"))</f>
        <v>#VALUE!</v>
      </c>
      <c r="BE342" s="178" t="str">
        <f>IFERROR(VLOOKUP(T_BilanSocial[[#This Row],[NumL]],T_TraitDi[#Data],COLUMN(T_TraitDi[[#This Row],[Colonne23]]),FALSE),"")</f>
        <v/>
      </c>
      <c r="BF342" s="178" t="e">
        <f>IF(VLOOKUP(T_BilanSocial[[#This Row],[NumL]],T_TraitDi[#Data],COLUMN(T_TraitDi[[#This Row],[Colonne24]]),FALSE)=0,"",TEXT(IFERROR(VLOOKUP(T_BilanSocial[[#This Row],[NumL]],T_TraitDi[#Data],COLUMN(T_TraitDi[[#This Row],[Colonne24]]),FALSE),""),"[hh]:mm"))</f>
        <v>#VALUE!</v>
      </c>
      <c r="BG342" s="178" t="e">
        <f>IF(VLOOKUP(T_BilanSocial[[#This Row],[NumL]],T_TraitDi[#Data],COLUMN(T_TraitDi[[#This Row],[Colonne25]]),FALSE)=0,"",TEXT(IFERROR(VLOOKUP(T_BilanSocial[[#This Row],[NumL]],T_TraitDi[#Data],COLUMN(T_TraitDi[[#This Row],[Colonne25]]),FALSE),""),"[hh]:mm"))</f>
        <v>#VALUE!</v>
      </c>
      <c r="BH342" s="178" t="e">
        <f>IF(VLOOKUP(T_BilanSocial[[#This Row],[NumL]],T_TraitDi[#Data],COLUMN(T_TraitDi[[#This Row],[Colonne26]]),FALSE)=0,"",TEXT(IFERROR(VLOOKUP(T_BilanSocial[[#This Row],[NumL]],T_TraitDi[#Data],COLUMN(T_TraitDi[[#This Row],[Colonne26]]),FALSE),""),"[hh]:mm"))</f>
        <v>#VALUE!</v>
      </c>
      <c r="BI342" s="172" t="str">
        <f>IFERROR(VLOOKUP(T_BilanSocial[[#This Row],[NumL]],T_TraitDi[#Data],COLUMN(T_TraitDi[[#This Row],[Vendredi]]),FALSE),"")</f>
        <v/>
      </c>
      <c r="BJ342" s="172" t="e">
        <f>IF(VLOOKUP(T_BilanSocial[[#This Row],[NumL]],T_TraitDi[#Data],COLUMN(T_TraitDi[[#This Row],[Colonne27]]),FALSE)=0,"",TEXT(IFERROR(VLOOKUP(T_BilanSocial[[#This Row],[NumL]],T_TraitDi[#Data],COLUMN(T_TraitDi[[#This Row],[Colonne27]]),FALSE),""),"[hh]:mm"))</f>
        <v>#VALUE!</v>
      </c>
      <c r="BK342" s="172" t="e">
        <f>IF(VLOOKUP(T_BilanSocial[[#This Row],[NumL]],T_TraitDi[#Data],COLUMN(T_TraitDi[[#This Row],[Colonne28]]),FALSE)=0,"",TEXT(IFERROR(VLOOKUP(T_BilanSocial[[#This Row],[NumL]],T_TraitDi[#Data],COLUMN(T_TraitDi[[#This Row],[Colonne28]]),FALSE),""),"[hh]:mm"))</f>
        <v>#VALUE!</v>
      </c>
      <c r="BL342" s="172" t="str">
        <f>IFERROR(VLOOKUP(T_BilanSocial[[#This Row],[NumL]],T_TraitDi[#Data],COLUMN(T_TraitDi[[#This Row],[Colonne29]]),FALSE),"")</f>
        <v/>
      </c>
      <c r="BM342" s="172" t="e">
        <f>IF(VLOOKUP(T_BilanSocial[[#This Row],[NumL]],T_TraitDi[#Data],COLUMN(T_TraitDi[[#This Row],[Colonne30]]),FALSE)=0,"",TEXT(IFERROR(VLOOKUP(T_BilanSocial[[#This Row],[NumL]],T_TraitDi[#Data],COLUMN(T_TraitDi[[#This Row],[Colonne30]]),FALSE),""),"[hh]:mm"))</f>
        <v>#VALUE!</v>
      </c>
      <c r="BN342" s="172" t="e">
        <f>IF(VLOOKUP(T_BilanSocial[[#This Row],[NumL]],T_TraitDi[#Data],COLUMN(T_TraitDi[[#This Row],[Colonne31]]),FALSE)=0,"",TEXT(IFERROR(VLOOKUP(T_BilanSocial[[#This Row],[NumL]],T_TraitDi[#Data],COLUMN(T_TraitDi[[#This Row],[Colonne31]]),FALSE),""),"[hh]:mm"))</f>
        <v>#VALUE!</v>
      </c>
      <c r="BO342" s="172" t="e">
        <f>IF(VLOOKUP(T_BilanSocial[[#This Row],[NumL]],T_TraitDi[#Data],COLUMN(T_TraitDi[[#This Row],[Colonne32]]),FALSE)=0,"",TEXT(IFERROR(VLOOKUP(T_BilanSocial[[#This Row],[NumL]],T_TraitDi[#Data],COLUMN(T_TraitDi[[#This Row],[Colonne32]]),FALSE),""),"[hh]:mm"))</f>
        <v>#VALUE!</v>
      </c>
      <c r="BP342" s="172" t="e">
        <f>VLOOKUP(T_BilanSocial[[#This Row],[NumL]],T_TraitDi[#Data],COLUMN(T_TraitDi[NbJTot]),FALSE)</f>
        <v>#N/A</v>
      </c>
      <c r="BQ342" s="174" t="str">
        <f>IFERROR(VLOOKUP(T_BilanSocial[[#This Row],[NumL]],T_TraitDi[#Data],COLUMN(T_TraitDi[[#This Row],[NbJTW]]),FALSE),"")</f>
        <v/>
      </c>
      <c r="BR342" s="174" t="e">
        <f>IF(VLOOKUP(T_BilanSocial[[#This Row],[NumL]],T_TraitDi[#Data],COLUMN(T_TraitDi[[#This Row],[NbhTW]]),FALSE)=0,"",TEXT(IFERROR(VLOOKUP(T_BilanSocial[[#This Row],[NumL]],T_TraitDi[#Data],COLUMN(T_TraitDi[[#This Row],[NbhTW]]),FALSE),""),"[hh]:mm"))</f>
        <v>#VALUE!</v>
      </c>
      <c r="BS342" s="174" t="e">
        <f>IF(VLOOKUP(T_BilanSocial[[#This Row],[NumL]],T_TraitDi[#Data],COLUMN(T_TraitDi[[#This Row],[Nbhheb]]),FALSE)=0,"",TEXT(IFERROR(VLOOKUP($A342,T_TraitDi[#Data],COLUMN(T_TraitDi[[#This Row],[Nbhheb]]),FALSE),""),"[hh]:mm"))</f>
        <v>#VALUE!</v>
      </c>
      <c r="BT342" s="182" t="str">
        <f>IFERROR(VLOOKUP(VLOOKUP($A342,T_TraitDi[#Data],COLUMN(T_TraitDi[[#This Row],[Type1]]),FALSE),TypeTW,2,FALSE),"")</f>
        <v/>
      </c>
      <c r="BU342" s="182" t="str">
        <f>IFERROR(VLOOKUP($A342,T_TraitDi[#Data],COLUMN(T_TraitDi[[#This Row],[Rue1]]),FALSE),"")</f>
        <v/>
      </c>
      <c r="BV342" s="173" t="str">
        <f>IFERROR(VLOOKUP($A342,T_TraitDi[#Data],COLUMN(T_TraitDi[[#This Row],[CP1]]),FALSE),"")</f>
        <v/>
      </c>
      <c r="BW342" s="173" t="str">
        <f>IFERROR(VLOOKUP($A342,T_TraitDi[#Data],COLUMN(T_TraitDi[[#This Row],[VILLE1]]),FALSE),"")</f>
        <v/>
      </c>
      <c r="BX342" s="182" t="str">
        <f>IFERROR(VLOOKUP(VLOOKUP($A342,T_TraitDi[#Data],COLUMN(T_TraitDi[[#This Row],[Type2]]),FALSE),TypeTW,2,FALSE),"")</f>
        <v/>
      </c>
      <c r="BY342" s="182" t="str">
        <f>IFERROR(VLOOKUP($A342,T_TraitDi[#Data],COLUMN(T_TraitDi[[#This Row],[Rue2]]),FALSE),"")</f>
        <v/>
      </c>
      <c r="BZ342" s="173" t="str">
        <f>IFERROR(VLOOKUP($A342,T_TraitDi[#Data],COLUMN(T_TraitDi[[#This Row],[CP2]]),FALSE),"")</f>
        <v/>
      </c>
      <c r="CA342" s="173" t="str">
        <f>IFERROR(VLOOKUP($A342,T_TraitDi[#Data],COLUMN(T_TraitDi[[#This Row],[VILLE2]]),FALSE),"")</f>
        <v/>
      </c>
      <c r="CB342" s="182" t="e">
        <f>IF(VLOOKUP(T_BilanSocial[[#This Row],[NumL]],T_Equipement[#Data],COLUMN(T_Equipement[[#This Row],[PC]]),FALSE)="","Aucun équipement spécifique directement lié au télétravail",VLOOKUP(T_BilanSocial[[#This Row],[NumL]],T_Equipement[#Data],COLUMN(T_Equipement[[#This Row],[PC]]),FALSE))</f>
        <v>#VALUE!</v>
      </c>
      <c r="CC342" s="166" t="str">
        <f>IFERROR(IF(VLOOKUP(T_BilanSocial[[#This Row],[NumL]],T_TraitDi[#Data],COLUMN(T_TraitDi[[#This Row],[Plan]]),FALSE)="OK","Un planning spécifique de télétravail est annexé à la présente convention.",""),"")</f>
        <v/>
      </c>
      <c r="CD342" s="301"/>
      <c r="CE342" s="164" t="e">
        <f>IF(VLOOKUP(T_BilanSocial[[#This Row],[NumL]],T_suiviDi[#Data],COLUMN(T_suiviDi[[#This Row],[Entité]]),FALSE)="","",VLOOKUP(T_BilanSocial[[#This Row],[NumL]],T_suiviDi[#Data],COLUMN(T_suiviDi[[#This Row],[Entité]]),FALSE))</f>
        <v>#VALUE!</v>
      </c>
      <c r="CF342" s="164" t="e">
        <f>IF(VLOOKUP(T_BilanSocial[[#This Row],[NumL]],T_Commission[#Data],COLUMN(T_Commission[[#This Row],[envoi confirm TW]]),FALSE)="","",VLOOKUP(T_BilanSocial[[#This Row],[NumL]],T_Commission[#Data],COLUMN(T_Commission[[#This Row],[envoi confirm TW]]),FALSE))</f>
        <v>#VALUE!</v>
      </c>
      <c r="CG34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2" s="339" t="str">
        <f>T_BilanSocial[[#This Row],[Nom]]&amp;T_BilanSocial[[#This Row],[Prenom]]</f>
        <v/>
      </c>
      <c r="CI342" s="339" t="str">
        <f>VLOOKUP(T_BilanSocial[[#This Row],[NumL]],T_Commission[#Data],COLUMN(T_Commission[Commentaire]),FALSE)</f>
        <v>La demande de télétravail est accordée sous réserve de fourniture des pièces demandées.</v>
      </c>
      <c r="CJ342" s="339" t="str">
        <f>IF(VLOOKUP(T_BilanSocial[[#This Row],[NumL]],T_Commission[#Data],COLUMN(T_Commission[Encadrant Email]),FALSE)="","",VLOOKUP(T_BilanSocial[[#This Row],[NumL]],T_Commission[#Data],COLUMN(T_Commission[Encadrant Email]),FALSE))</f>
        <v/>
      </c>
      <c r="CK342" s="332" t="str">
        <f>IF(T_BilanSocial[[#This Row],[Final]]&lt;&gt;"",VLOOKUP(T_BilanSocial[[#This Row],[NumL]],T_suiviDi[#Data],COLUMN((T_suiviDi[Statut])),FALSE),"")</f>
        <v/>
      </c>
    </row>
    <row r="343" spans="1:89" s="50" customFormat="1" ht="21" customHeight="1" x14ac:dyDescent="0.25">
      <c r="A343" s="136">
        <v>340</v>
      </c>
      <c r="B343" s="330" t="str">
        <f t="shared" si="71"/>
        <v/>
      </c>
      <c r="C343" s="309"/>
      <c r="D343" s="95" t="e">
        <f>IF(VLOOKUP(T_BilanSocial[[#This Row],[NumL]],T_TraitDi[#Data],COLUMN(T_TraitDi[[#This Row],[WebC]]),FALSE)="","",VLOOKUP(T_BilanSocial[[#This Row],[NumL]],T_TraitDi[#Data],COLUMN(T_TraitDi[[#This Row],[WebC]]),FALSE))</f>
        <v>#VALUE!</v>
      </c>
      <c r="E343" s="95" t="str">
        <f t="shared" si="72"/>
        <v>12 janvier 2021</v>
      </c>
      <c r="F343" s="96" t="str">
        <f>IF(T_BilanSocial[[#This Row],[Final]]&lt;&gt;"",VLOOKUP(T_BilanSocial[[#This Row],[NumL]],T_suiviDi[#Data],COLUMN((T_suiviDi[Civ.])),FALSE),"")</f>
        <v/>
      </c>
      <c r="G343" s="96" t="str">
        <f>IF(T_BilanSocial[[#This Row],[Final]]&lt;&gt;"",VLOOKUP(T_BilanSocial[[#This Row],[NumL]],T_suiviDi[#Data],COLUMN((T_suiviDi[Nom])),FALSE),"")</f>
        <v/>
      </c>
      <c r="H343" s="96" t="str">
        <f>IF(T_BilanSocial[[#This Row],[Final]]&lt;&gt;"",VLOOKUP(T_BilanSocial[[#This Row],[NumL]],T_suiviDi[#Data],COLUMN((T_suiviDi[Prénom])),FALSE),"")</f>
        <v/>
      </c>
      <c r="I343" s="331" t="str">
        <f>IFERROR(VLOOKUP(T_BilanSocial[[#This Row],[Zone_Bilan]],T_P_BilanSocial[#Data],COLUMN(T_P_BilanSocial[[#This Row],[Numero_SIHAM]]),FALSE),"")</f>
        <v/>
      </c>
      <c r="J343" s="331" t="str">
        <f>IFERROR(VLOOKUP(T_BilanSocial[[#This Row],[Zone_Bilan]],T_P_BilanSocial[#Data],COLUMN(T_P_BilanSocial[[#This Row],[Sexe]]),FALSE),"")</f>
        <v/>
      </c>
      <c r="K343" s="294" t="str">
        <f>IFERROR(VLOOKUP(T_BilanSocial[[#This Row],[Zone_Bilan]],T_P_BilanSocial[#Data],COLUMN(T_P_BilanSocial[[#This Row],[Categorie]]),FALSE),"")</f>
        <v/>
      </c>
      <c r="L343" s="331" t="str">
        <f>IFERROR(VLOOKUP(T_BilanSocial[[#This Row],[Zone_Bilan]],T_P_BilanSocial[#Data],COLUMN(T_P_BilanSocial[[#This Row],[Statut]]),FALSE),"")</f>
        <v/>
      </c>
      <c r="M343" s="331" t="str">
        <f>IFERROR(VLOOKUP(T_BilanSocial[[#This Row],[Zone_Bilan]],T_P_BilanSocial[#Data],COLUMN(T_P_BilanSocial[[#This Row],[Filiere]]),FALSE),"")</f>
        <v/>
      </c>
      <c r="N343" s="331" t="str">
        <f>VLOOKUP(T_BilanSocial[[#This Row],[NumL]],T_TraitDi[#Data],COLUMN(T_TraitDi[EXP]),FALSE)</f>
        <v>O</v>
      </c>
      <c r="O343" s="331" t="str">
        <f>VLOOKUP(T_BilanSocial[[#This Row],[NumL]],T_TraitDi[#Data],COLUMN(T_TraitDi[FORM]),FALSE)</f>
        <v>N</v>
      </c>
      <c r="P343" s="96" t="str">
        <f>IF(T_BilanSocial[[#This Row],[Final]]&lt;&gt;"",VLOOKUP(T_BilanSocial[[#This Row],[NumL]],T_suiviDi[#Data],COLUMN((T_suiviDi[Email])),FALSE),"")</f>
        <v/>
      </c>
      <c r="Q343" s="96" t="str">
        <f t="shared" si="73"/>
        <v>Service des masters</v>
      </c>
      <c r="R343" s="96" t="str">
        <f t="shared" si="74"/>
        <v>Gestionnaire de scolarité</v>
      </c>
      <c r="S343" s="96" t="str">
        <f t="shared" si="70"/>
        <v/>
      </c>
      <c r="T343" s="96" t="str">
        <f t="shared" si="75"/>
        <v>01 septembre 2021</v>
      </c>
      <c r="U343" s="96" t="str">
        <f t="shared" si="76"/>
        <v>30 novembre 2021</v>
      </c>
      <c r="V343" s="97">
        <f t="shared" si="77"/>
        <v>44530</v>
      </c>
      <c r="W343" s="176" t="e">
        <f>IF(VLOOKUP(T_BilanSocial[[#This Row],[NumL]],T_TraitDi[#Data],COLUMN(T_TraitDi[[#This Row],[M1]]),FALSE)="","",VLOOKUP(T_BilanSocial[[#This Row],[NumL]],T_TraitDi[#Data],COLUMN(T_TraitDi[[#This Row],[M1]]),FALSE))</f>
        <v>#VALUE!</v>
      </c>
      <c r="X343" s="96" t="str">
        <f t="shared" si="81"/>
        <v xml:space="preserve"> - Préparation des examens</v>
      </c>
      <c r="Y343" s="96" t="str">
        <f t="shared" si="81"/>
        <v xml:space="preserve"> - Mise en place de l'emploi du temps</v>
      </c>
      <c r="Z343" s="96" t="str">
        <f t="shared" si="78"/>
        <v xml:space="preserve"> -Saisie des notes</v>
      </c>
      <c r="AA343" s="176" t="e">
        <f>IF(VLOOKUP(T_BilanSocial[[#This Row],[NumL]],T_TraitDi[#Data],COLUMN(T_TraitDi[[#This Row],[M5]]),FALSE)="","",VLOOKUP(T_BilanSocial[[#This Row],[NumL]],T_TraitDi[#Data],COLUMN(T_TraitDi[[#This Row],[M5]]),FALSE))</f>
        <v>#VALUE!</v>
      </c>
      <c r="AB343" s="176" t="e">
        <f>IF(VLOOKUP(T_BilanSocial[[#This Row],[NumL]],T_TraitDi[#Data],COLUMN(T_TraitDi[[#This Row],[M6]]),FALSE)="","",VLOOKUP(T_BilanSocial[[#This Row],[NumL]],T_TraitDi[#Data],COLUMN(T_TraitDi[[#This Row],[M6]]),FALSE))</f>
        <v>#VALUE!</v>
      </c>
      <c r="AC343" s="96" t="e">
        <f t="shared" si="82"/>
        <v>#VALUE!</v>
      </c>
      <c r="AD343" s="97" t="str">
        <f t="shared" si="79"/>
        <v>100%</v>
      </c>
      <c r="AE343" s="294" t="e">
        <f>VLOOKUP(T_BilanSocial[[#This Row],[NumL]],T_TraitDi[#Data],COLUMN(T_TraitDi[[#This Row],[Reg Ponct]]),FALSE)</f>
        <v>#VALUE!</v>
      </c>
      <c r="AF343" s="294" t="e">
        <f>VLOOKUP(T_BilanSocial[NumL],T_TraitDi[#Data],COLUMN(T_TraitDi[[#This Row],[Jours flottants]]),FALSE)</f>
        <v>#VALUE!</v>
      </c>
      <c r="AG343" s="97" t="str">
        <f>IFERROR(VLOOKUP(T_BilanSocial[[#This Row],[NumL]],T_TraitDi[#Data],COLUMN(T_TraitDi[[#This Row],[Lundi]]),FALSE),"")</f>
        <v/>
      </c>
      <c r="AH343" s="172" t="e">
        <f>IF(VLOOKUP(T_BilanSocial[[#This Row],[NumL]],T_TraitDi[#Data],COLUMN(T_TraitDi[[#This Row],[Colonne3]]),FALSE)=0,"",TEXT(IFERROR(VLOOKUP(T_BilanSocial[[#This Row],[NumL]],T_TraitDi[#Data],COLUMN(T_TraitDi[[#This Row],[Colonne3]]),FALSE),""),"[hh]:mm"))</f>
        <v>#VALUE!</v>
      </c>
      <c r="AI343" s="172" t="e">
        <f>IF(VLOOKUP(T_BilanSocial[[#This Row],[NumL]],T_TraitDi[#Data],COLUMN(T_TraitDi[[#This Row],[Colonne4]]),FALSE)=0,"",TEXT(IFERROR(VLOOKUP(T_BilanSocial[[#This Row],[NumL]],T_TraitDi[#Data],COLUMN(T_TraitDi[[#This Row],[Colonne4]]),FALSE),""),"[hh]:mm"))</f>
        <v>#VALUE!</v>
      </c>
      <c r="AJ343" s="172" t="e">
        <f>IF(VLOOKUP(T_BilanSocial[[#This Row],[NumL]],T_TraitDi[#Data],COLUMN(T_TraitDi[[#This Row],[Colonne5]]),FALSE)=0,"",TEXT(IFERROR(VLOOKUP(T_BilanSocial[[#This Row],[NumL]],T_TraitDi[#Data],COLUMN(T_TraitDi[[#This Row],[Colonne5]]),FALSE),""),"[hh]:mm"))</f>
        <v>#VALUE!</v>
      </c>
      <c r="AK343" s="172" t="e">
        <f>IF(VLOOKUP(T_BilanSocial[[#This Row],[NumL]],T_TraitDi[#Data],COLUMN(T_TraitDi[[#This Row],[Colonne6]]),FALSE)=0,"",TEXT(IFERROR(VLOOKUP(T_BilanSocial[[#This Row],[NumL]],T_TraitDi[#Data],COLUMN(T_TraitDi[[#This Row],[Colonne6]]),FALSE),""),"[hh]:mm"))</f>
        <v>#VALUE!</v>
      </c>
      <c r="AL343" s="172" t="e">
        <f>IF(VLOOKUP(T_BilanSocial[[#This Row],[NumL]],T_TraitDi[#Data],COLUMN(T_TraitDi[[#This Row],[Colonne7]]),FALSE)=0,"",TEXT(IFERROR(VLOOKUP(T_BilanSocial[[#This Row],[NumL]],T_TraitDi[#Data],COLUMN(T_TraitDi[[#This Row],[Colonne7]]),FALSE),""),"[hh]:mm"))</f>
        <v>#VALUE!</v>
      </c>
      <c r="AM343" s="172" t="e">
        <f>IF(VLOOKUP(T_BilanSocial[[#This Row],[NumL]],T_TraitDi[#Data],COLUMN(T_TraitDi[[#This Row],[Colonne8]]),FALSE)=0,"",TEXT(IFERROR(VLOOKUP(T_BilanSocial[[#This Row],[NumL]],T_TraitDi[#Data],COLUMN(T_TraitDi[[#This Row],[Colonne8]]),FALSE),""),"[hh]:mm"))</f>
        <v>#VALUE!</v>
      </c>
      <c r="AN343" s="172" t="str">
        <f>IFERROR(VLOOKUP(T_BilanSocial[[#This Row],[NumL]],T_TraitDi[#Data],COLUMN(T_TraitDi[[#This Row],[Mardi]]),FALSE),"")</f>
        <v/>
      </c>
      <c r="AO343" s="172" t="e">
        <f>IF(VLOOKUP(T_BilanSocial[[#This Row],[NumL]],T_TraitDi[#Data],COLUMN(T_TraitDi[[#This Row],[Colonne1]]),FALSE)=0,"",TEXT(IFERROR(VLOOKUP(T_BilanSocial[[#This Row],[NumL]],T_TraitDi[#Data],COLUMN(T_TraitDi[[#This Row],[Colonne1]]),FALSE),""),"[hh]:mm"))</f>
        <v>#VALUE!</v>
      </c>
      <c r="AP343" s="172" t="e">
        <f>IF(VLOOKUP(T_BilanSocial[[#This Row],[NumL]],T_TraitDi[#Data],COLUMN(T_TraitDi[[#This Row],[Colonne9]]),FALSE)=0,"",TEXT(IFERROR(VLOOKUP(T_BilanSocial[[#This Row],[NumL]],T_TraitDi[#Data],COLUMN(T_TraitDi[[#This Row],[Colonne9]]),FALSE),""),"[hh]:mm"))</f>
        <v>#VALUE!</v>
      </c>
      <c r="AQ343" s="172" t="str">
        <f>IFERROR(VLOOKUP(T_BilanSocial[[#This Row],[NumL]],T_TraitDi[#Data],COLUMN(T_TraitDi[[#This Row],[Colonne10]]),FALSE),"")</f>
        <v/>
      </c>
      <c r="AR343" s="172" t="e">
        <f>IF(VLOOKUP(T_BilanSocial[[#This Row],[NumL]],T_TraitDi[#Data],COLUMN(T_TraitDi[[#This Row],[Colonne11]]),FALSE)=0,"",TEXT(IFERROR(VLOOKUP(T_BilanSocial[[#This Row],[NumL]],T_TraitDi[#Data],COLUMN(T_TraitDi[[#This Row],[Colonne11]]),FALSE),""),"[hh]:mm"))</f>
        <v>#VALUE!</v>
      </c>
      <c r="AS343" s="172" t="e">
        <f>IF(VLOOKUP(T_BilanSocial[[#This Row],[NumL]],T_TraitDi[#Data],COLUMN(T_TraitDi[[#This Row],[Colonne12]]),FALSE)=0,"",TEXT(IFERROR(VLOOKUP(T_BilanSocial[[#This Row],[NumL]],T_TraitDi[#Data],COLUMN(T_TraitDi[[#This Row],[Colonne12]]),FALSE),""),"[hh]:mm"))</f>
        <v>#VALUE!</v>
      </c>
      <c r="AT343" s="172" t="e">
        <f>IF(VLOOKUP(T_BilanSocial[[#This Row],[NumL]],T_TraitDi[#Data],COLUMN(T_TraitDi[[#This Row],[Colonne14]]),FALSE)=0,"",TEXT(IFERROR(VLOOKUP(T_BilanSocial[[#This Row],[NumL]],T_TraitDi[#Data],COLUMN(T_TraitDi[[#This Row],[Colonne14]]),FALSE),""),"[hh]:mm"))</f>
        <v>#VALUE!</v>
      </c>
      <c r="AU343" s="172" t="str">
        <f>IFERROR(VLOOKUP(T_BilanSocial[[#This Row],[NumL]],T_TraitDi[#Data],COLUMN(T_TraitDi[[#This Row],[Mercredi]]),FALSE),"")</f>
        <v/>
      </c>
      <c r="AV343" s="172" t="e">
        <f>IF(VLOOKUP(T_BilanSocial[[#This Row],[NumL]],T_TraitDi[#Data],COLUMN(T_TraitDi[[#This Row],[Colonne15]]),FALSE)=0,"",TEXT(IFERROR(VLOOKUP(T_BilanSocial[[#This Row],[NumL]],T_TraitDi[#Data],COLUMN(T_TraitDi[[#This Row],[Colonne15]]),FALSE),""),"[hh]:mm"))</f>
        <v>#VALUE!</v>
      </c>
      <c r="AW343" s="172" t="e">
        <f>IF(VLOOKUP(T_BilanSocial[[#This Row],[NumL]],T_TraitDi[#Data],COLUMN(T_TraitDi[[#This Row],[Colonne16]]),FALSE)=0,"",TEXT(IFERROR(VLOOKUP(T_BilanSocial[[#This Row],[NumL]],T_TraitDi[#Data],COLUMN(T_TraitDi[[#This Row],[Colonne16]]),FALSE),""),"[hh]:mm"))</f>
        <v>#VALUE!</v>
      </c>
      <c r="AX343" s="172" t="str">
        <f>IFERROR(VLOOKUP(T_BilanSocial[[#This Row],[NumL]],T_TraitDi[#Data],COLUMN(T_TraitDi[[#This Row],[Colonne17]]),FALSE),"")</f>
        <v/>
      </c>
      <c r="AY343" s="172" t="e">
        <f>IF(VLOOKUP(T_BilanSocial[[#This Row],[NumL]],T_TraitDi[#Data],COLUMN(T_TraitDi[[#This Row],[Colonne18]]),FALSE)=0,"",TEXT(IFERROR(VLOOKUP(T_BilanSocial[[#This Row],[NumL]],T_TraitDi[#Data],COLUMN(T_TraitDi[[#This Row],[Colonne18]]),FALSE),""),"[hh]:mm"))</f>
        <v>#VALUE!</v>
      </c>
      <c r="AZ343" s="172" t="e">
        <f>IF(VLOOKUP(T_BilanSocial[[#This Row],[NumL]],T_TraitDi[#Data],COLUMN(T_TraitDi[[#This Row],[Colonne19]]),FALSE)=0,"",TEXT(IFERROR(VLOOKUP(T_BilanSocial[[#This Row],[NumL]],T_TraitDi[#Data],COLUMN(T_TraitDi[[#This Row],[Colonne19]]),FALSE),""),"[hh]:mm"))</f>
        <v>#VALUE!</v>
      </c>
      <c r="BA343" s="172" t="e">
        <f>IF(VLOOKUP(T_BilanSocial[[#This Row],[NumL]],T_TraitDi[#Data],COLUMN(T_TraitDi[[#This Row],[Colonne20]]),FALSE)=0,"",TEXT(IFERROR(VLOOKUP(T_BilanSocial[[#This Row],[NumL]],T_TraitDi[#Data],COLUMN(T_TraitDi[[#This Row],[Colonne20]]),FALSE),""),"[hh]:mm"))</f>
        <v>#VALUE!</v>
      </c>
      <c r="BB343" s="178" t="str">
        <f>IFERROR(VLOOKUP(T_BilanSocial[[#This Row],[NumL]],T_TraitDi[#Data],COLUMN(T_TraitDi[[#This Row],[Jeudi]]),FALSE),"")</f>
        <v/>
      </c>
      <c r="BC343" s="178" t="e">
        <f>IF(VLOOKUP(T_BilanSocial[[#This Row],[NumL]],T_TraitDi[#Data],COLUMN(T_TraitDi[[#This Row],[Colonne21]]),FALSE)=0,"",TEXT(IFERROR(VLOOKUP(T_BilanSocial[[#This Row],[NumL]],T_TraitDi[#Data],COLUMN(T_TraitDi[[#This Row],[Colonne21]]),FALSE),""),"[hh]:mm"))</f>
        <v>#VALUE!</v>
      </c>
      <c r="BD343" s="178" t="e">
        <f>IF(VLOOKUP(T_BilanSocial[[#This Row],[NumL]],T_TraitDi[#Data],COLUMN(T_TraitDi[[#This Row],[Colonne22]]),FALSE)=0,"",TEXT(IFERROR(VLOOKUP(T_BilanSocial[[#This Row],[NumL]],T_TraitDi[#Data],COLUMN(T_TraitDi[[#This Row],[Colonne22]]),FALSE),""),"[hh]:mm"))</f>
        <v>#VALUE!</v>
      </c>
      <c r="BE343" s="178" t="str">
        <f>IFERROR(VLOOKUP(T_BilanSocial[[#This Row],[NumL]],T_TraitDi[#Data],COLUMN(T_TraitDi[[#This Row],[Colonne23]]),FALSE),"")</f>
        <v/>
      </c>
      <c r="BF343" s="178" t="e">
        <f>IF(VLOOKUP(T_BilanSocial[[#This Row],[NumL]],T_TraitDi[#Data],COLUMN(T_TraitDi[[#This Row],[Colonne24]]),FALSE)=0,"",TEXT(IFERROR(VLOOKUP(T_BilanSocial[[#This Row],[NumL]],T_TraitDi[#Data],COLUMN(T_TraitDi[[#This Row],[Colonne24]]),FALSE),""),"[hh]:mm"))</f>
        <v>#VALUE!</v>
      </c>
      <c r="BG343" s="178" t="e">
        <f>IF(VLOOKUP(T_BilanSocial[[#This Row],[NumL]],T_TraitDi[#Data],COLUMN(T_TraitDi[[#This Row],[Colonne25]]),FALSE)=0,"",TEXT(IFERROR(VLOOKUP(T_BilanSocial[[#This Row],[NumL]],T_TraitDi[#Data],COLUMN(T_TraitDi[[#This Row],[Colonne25]]),FALSE),""),"[hh]:mm"))</f>
        <v>#VALUE!</v>
      </c>
      <c r="BH343" s="178" t="e">
        <f>IF(VLOOKUP(T_BilanSocial[[#This Row],[NumL]],T_TraitDi[#Data],COLUMN(T_TraitDi[[#This Row],[Colonne26]]),FALSE)=0,"",TEXT(IFERROR(VLOOKUP(T_BilanSocial[[#This Row],[NumL]],T_TraitDi[#Data],COLUMN(T_TraitDi[[#This Row],[Colonne26]]),FALSE),""),"[hh]:mm"))</f>
        <v>#VALUE!</v>
      </c>
      <c r="BI343" s="172" t="str">
        <f>IFERROR(VLOOKUP(T_BilanSocial[[#This Row],[NumL]],T_TraitDi[#Data],COLUMN(T_TraitDi[[#This Row],[Vendredi]]),FALSE),"")</f>
        <v/>
      </c>
      <c r="BJ343" s="172" t="e">
        <f>IF(VLOOKUP(T_BilanSocial[[#This Row],[NumL]],T_TraitDi[#Data],COLUMN(T_TraitDi[[#This Row],[Colonne27]]),FALSE)=0,"",TEXT(IFERROR(VLOOKUP(T_BilanSocial[[#This Row],[NumL]],T_TraitDi[#Data],COLUMN(T_TraitDi[[#This Row],[Colonne27]]),FALSE),""),"[hh]:mm"))</f>
        <v>#VALUE!</v>
      </c>
      <c r="BK343" s="172" t="e">
        <f>IF(VLOOKUP(T_BilanSocial[[#This Row],[NumL]],T_TraitDi[#Data],COLUMN(T_TraitDi[[#This Row],[Colonne28]]),FALSE)=0,"",TEXT(IFERROR(VLOOKUP(T_BilanSocial[[#This Row],[NumL]],T_TraitDi[#Data],COLUMN(T_TraitDi[[#This Row],[Colonne28]]),FALSE),""),"[hh]:mm"))</f>
        <v>#VALUE!</v>
      </c>
      <c r="BL343" s="172" t="str">
        <f>IFERROR(VLOOKUP(T_BilanSocial[[#This Row],[NumL]],T_TraitDi[#Data],COLUMN(T_TraitDi[[#This Row],[Colonne29]]),FALSE),"")</f>
        <v/>
      </c>
      <c r="BM343" s="172" t="e">
        <f>IF(VLOOKUP(T_BilanSocial[[#This Row],[NumL]],T_TraitDi[#Data],COLUMN(T_TraitDi[[#This Row],[Colonne30]]),FALSE)=0,"",TEXT(IFERROR(VLOOKUP(T_BilanSocial[[#This Row],[NumL]],T_TraitDi[#Data],COLUMN(T_TraitDi[[#This Row],[Colonne30]]),FALSE),""),"[hh]:mm"))</f>
        <v>#VALUE!</v>
      </c>
      <c r="BN343" s="172" t="e">
        <f>IF(VLOOKUP(T_BilanSocial[[#This Row],[NumL]],T_TraitDi[#Data],COLUMN(T_TraitDi[[#This Row],[Colonne31]]),FALSE)=0,"",TEXT(IFERROR(VLOOKUP(T_BilanSocial[[#This Row],[NumL]],T_TraitDi[#Data],COLUMN(T_TraitDi[[#This Row],[Colonne31]]),FALSE),""),"[hh]:mm"))</f>
        <v>#VALUE!</v>
      </c>
      <c r="BO343" s="172" t="e">
        <f>IF(VLOOKUP(T_BilanSocial[[#This Row],[NumL]],T_TraitDi[#Data],COLUMN(T_TraitDi[[#This Row],[Colonne32]]),FALSE)=0,"",TEXT(IFERROR(VLOOKUP(T_BilanSocial[[#This Row],[NumL]],T_TraitDi[#Data],COLUMN(T_TraitDi[[#This Row],[Colonne32]]),FALSE),""),"[hh]:mm"))</f>
        <v>#VALUE!</v>
      </c>
      <c r="BP343" s="172">
        <f>VLOOKUP(T_BilanSocial[[#This Row],[NumL]],T_TraitDi[#Data],COLUMN(T_TraitDi[NbJTot]),FALSE)</f>
        <v>4.5</v>
      </c>
      <c r="BQ343" s="174" t="str">
        <f>IFERROR(VLOOKUP(T_BilanSocial[[#This Row],[NumL]],T_TraitDi[#Data],COLUMN(T_TraitDi[[#This Row],[NbJTW]]),FALSE),"")</f>
        <v/>
      </c>
      <c r="BR343" s="174" t="e">
        <f>IF(VLOOKUP(T_BilanSocial[[#This Row],[NumL]],T_TraitDi[#Data],COLUMN(T_TraitDi[[#This Row],[NbhTW]]),FALSE)=0,"",TEXT(IFERROR(VLOOKUP(T_BilanSocial[[#This Row],[NumL]],T_TraitDi[#Data],COLUMN(T_TraitDi[[#This Row],[NbhTW]]),FALSE),""),"[hh]:mm"))</f>
        <v>#VALUE!</v>
      </c>
      <c r="BS343" s="174" t="e">
        <f>IF(VLOOKUP(T_BilanSocial[[#This Row],[NumL]],T_TraitDi[#Data],COLUMN(T_TraitDi[[#This Row],[Nbhheb]]),FALSE)=0,"",TEXT(IFERROR(VLOOKUP($A343,T_TraitDi[#Data],COLUMN(T_TraitDi[[#This Row],[Nbhheb]]),FALSE),""),"[hh]:mm"))</f>
        <v>#VALUE!</v>
      </c>
      <c r="BT343" s="182" t="str">
        <f>IFERROR(VLOOKUP(VLOOKUP($A343,T_TraitDi[#Data],COLUMN(T_TraitDi[[#This Row],[Type1]]),FALSE),TypeTW,2,FALSE),"")</f>
        <v/>
      </c>
      <c r="BU343" s="182" t="str">
        <f>IFERROR(VLOOKUP($A343,T_TraitDi[#Data],COLUMN(T_TraitDi[[#This Row],[Rue1]]),FALSE),"")</f>
        <v/>
      </c>
      <c r="BV343" s="173" t="str">
        <f>IFERROR(VLOOKUP($A343,T_TraitDi[#Data],COLUMN(T_TraitDi[[#This Row],[CP1]]),FALSE),"")</f>
        <v/>
      </c>
      <c r="BW343" s="173" t="str">
        <f>IFERROR(VLOOKUP($A343,T_TraitDi[#Data],COLUMN(T_TraitDi[[#This Row],[VILLE1]]),FALSE),"")</f>
        <v/>
      </c>
      <c r="BX343" s="182" t="str">
        <f>IFERROR(VLOOKUP(VLOOKUP($A343,T_TraitDi[#Data],COLUMN(T_TraitDi[[#This Row],[Type2]]),FALSE),TypeTW,2,FALSE),"")</f>
        <v/>
      </c>
      <c r="BY343" s="182" t="str">
        <f>IFERROR(VLOOKUP($A343,T_TraitDi[#Data],COLUMN(T_TraitDi[[#This Row],[Rue2]]),FALSE),"")</f>
        <v/>
      </c>
      <c r="BZ343" s="173" t="str">
        <f>IFERROR(VLOOKUP($A343,T_TraitDi[#Data],COLUMN(T_TraitDi[[#This Row],[CP2]]),FALSE),"")</f>
        <v/>
      </c>
      <c r="CA343" s="173" t="str">
        <f>IFERROR(VLOOKUP($A343,T_TraitDi[#Data],COLUMN(T_TraitDi[[#This Row],[VILLE2]]),FALSE),"")</f>
        <v/>
      </c>
      <c r="CB343" s="182" t="e">
        <f>IF(VLOOKUP(T_BilanSocial[[#This Row],[NumL]],T_Equipement[#Data],COLUMN(T_Equipement[[#This Row],[PC]]),FALSE)="","Aucun équipement spécifique directement lié au télétravail",VLOOKUP(T_BilanSocial[[#This Row],[NumL]],T_Equipement[#Data],COLUMN(T_Equipement[[#This Row],[PC]]),FALSE))</f>
        <v>#VALUE!</v>
      </c>
      <c r="CC343" s="166" t="str">
        <f>IFERROR(IF(VLOOKUP(T_BilanSocial[[#This Row],[NumL]],T_TraitDi[#Data],COLUMN(T_TraitDi[[#This Row],[Plan]]),FALSE)="OK","Un planning spécifique de télétravail est annexé à la présente convention.",""),"")</f>
        <v/>
      </c>
      <c r="CD343" s="301"/>
      <c r="CE343" s="164" t="e">
        <f>IF(VLOOKUP(T_BilanSocial[[#This Row],[NumL]],T_suiviDi[#Data],COLUMN(T_suiviDi[[#This Row],[Entité]]),FALSE)="","",VLOOKUP(T_BilanSocial[[#This Row],[NumL]],T_suiviDi[#Data],COLUMN(T_suiviDi[[#This Row],[Entité]]),FALSE))</f>
        <v>#VALUE!</v>
      </c>
      <c r="CF343" s="164" t="e">
        <f>IF(VLOOKUP(T_BilanSocial[[#This Row],[NumL]],T_Commission[#Data],COLUMN(T_Commission[[#This Row],[envoi confirm TW]]),FALSE)="","",VLOOKUP(T_BilanSocial[[#This Row],[NumL]],T_Commission[#Data],COLUMN(T_Commission[[#This Row],[envoi confirm TW]]),FALSE))</f>
        <v>#VALUE!</v>
      </c>
      <c r="CG34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3" s="339" t="str">
        <f>T_BilanSocial[[#This Row],[Nom]]&amp;T_BilanSocial[[#This Row],[Prenom]]</f>
        <v/>
      </c>
      <c r="CI343" s="339">
        <f>VLOOKUP(T_BilanSocial[[#This Row],[NumL]],T_Commission[#Data],COLUMN(T_Commission[Commentaire]),FALSE)</f>
        <v>0</v>
      </c>
      <c r="CJ343" s="339" t="str">
        <f>IF(VLOOKUP(T_BilanSocial[[#This Row],[NumL]],T_Commission[#Data],COLUMN(T_Commission[Encadrant Email]),FALSE)="","",VLOOKUP(T_BilanSocial[[#This Row],[NumL]],T_Commission[#Data],COLUMN(T_Commission[Encadrant Email]),FALSE))</f>
        <v/>
      </c>
      <c r="CK343" s="332" t="str">
        <f>IF(T_BilanSocial[[#This Row],[Final]]&lt;&gt;"",VLOOKUP(T_BilanSocial[[#This Row],[NumL]],T_suiviDi[#Data],COLUMN((T_suiviDi[Statut])),FALSE),"")</f>
        <v/>
      </c>
    </row>
    <row r="344" spans="1:89" s="50" customFormat="1" ht="21" customHeight="1" x14ac:dyDescent="0.25">
      <c r="A344" s="136">
        <v>341</v>
      </c>
      <c r="B344" s="330" t="e">
        <f t="shared" si="71"/>
        <v>#N/A</v>
      </c>
      <c r="C344" s="309"/>
      <c r="D344" s="95" t="e">
        <f>IF(VLOOKUP(T_BilanSocial[[#This Row],[NumL]],T_TraitDi[#Data],COLUMN(T_TraitDi[[#This Row],[WebC]]),FALSE)="","",VLOOKUP(T_BilanSocial[[#This Row],[NumL]],T_TraitDi[#Data],COLUMN(T_TraitDi[[#This Row],[WebC]]),FALSE))</f>
        <v>#VALUE!</v>
      </c>
      <c r="E344" s="95" t="str">
        <f t="shared" si="72"/>
        <v>12 janvier 2021</v>
      </c>
      <c r="F344" s="96" t="e">
        <f>IF(T_BilanSocial[[#This Row],[Final]]&lt;&gt;"",VLOOKUP(T_BilanSocial[[#This Row],[NumL]],T_suiviDi[#Data],COLUMN((T_suiviDi[Civ.])),FALSE),"")</f>
        <v>#N/A</v>
      </c>
      <c r="G344" s="96" t="e">
        <f>IF(T_BilanSocial[[#This Row],[Final]]&lt;&gt;"",VLOOKUP(T_BilanSocial[[#This Row],[NumL]],T_suiviDi[#Data],COLUMN((T_suiviDi[Nom])),FALSE),"")</f>
        <v>#N/A</v>
      </c>
      <c r="H344" s="96" t="e">
        <f>IF(T_BilanSocial[[#This Row],[Final]]&lt;&gt;"",VLOOKUP(T_BilanSocial[[#This Row],[NumL]],T_suiviDi[#Data],COLUMN((T_suiviDi[Prénom])),FALSE),"")</f>
        <v>#N/A</v>
      </c>
      <c r="I344" s="331" t="str">
        <f>IFERROR(VLOOKUP(T_BilanSocial[[#This Row],[Zone_Bilan]],T_P_BilanSocial[#Data],COLUMN(T_P_BilanSocial[[#This Row],[Numero_SIHAM]]),FALSE),"")</f>
        <v/>
      </c>
      <c r="J344" s="331" t="str">
        <f>IFERROR(VLOOKUP(T_BilanSocial[[#This Row],[Zone_Bilan]],T_P_BilanSocial[#Data],COLUMN(T_P_BilanSocial[[#This Row],[Sexe]]),FALSE),"")</f>
        <v/>
      </c>
      <c r="K344" s="294" t="str">
        <f>IFERROR(VLOOKUP(T_BilanSocial[[#This Row],[Zone_Bilan]],T_P_BilanSocial[#Data],COLUMN(T_P_BilanSocial[[#This Row],[Categorie]]),FALSE),"")</f>
        <v/>
      </c>
      <c r="L344" s="331" t="str">
        <f>IFERROR(VLOOKUP(T_BilanSocial[[#This Row],[Zone_Bilan]],T_P_BilanSocial[#Data],COLUMN(T_P_BilanSocial[[#This Row],[Statut]]),FALSE),"")</f>
        <v/>
      </c>
      <c r="M344" s="331" t="str">
        <f>IFERROR(VLOOKUP(T_BilanSocial[[#This Row],[Zone_Bilan]],T_P_BilanSocial[#Data],COLUMN(T_P_BilanSocial[[#This Row],[Filiere]]),FALSE),"")</f>
        <v/>
      </c>
      <c r="N344" s="331" t="e">
        <f>VLOOKUP(T_BilanSocial[[#This Row],[NumL]],T_TraitDi[#Data],COLUMN(T_TraitDi[EXP]),FALSE)</f>
        <v>#N/A</v>
      </c>
      <c r="O344" s="331" t="e">
        <f>VLOOKUP(T_BilanSocial[[#This Row],[NumL]],T_TraitDi[#Data],COLUMN(T_TraitDi[FORM]),FALSE)</f>
        <v>#N/A</v>
      </c>
      <c r="P344" s="96" t="e">
        <f>IF(T_BilanSocial[[#This Row],[Final]]&lt;&gt;"",VLOOKUP(T_BilanSocial[[#This Row],[NumL]],T_suiviDi[#Data],COLUMN((T_suiviDi[Email])),FALSE),"")</f>
        <v>#N/A</v>
      </c>
      <c r="Q344" s="96" t="e">
        <f t="shared" si="73"/>
        <v>#N/A</v>
      </c>
      <c r="R344" s="96" t="e">
        <f t="shared" si="74"/>
        <v>#N/A</v>
      </c>
      <c r="S344" s="96" t="str">
        <f t="shared" si="70"/>
        <v/>
      </c>
      <c r="T344" s="96" t="str">
        <f t="shared" si="75"/>
        <v>01 septembre 2021</v>
      </c>
      <c r="U344" s="96" t="str">
        <f t="shared" si="76"/>
        <v>30 novembre 2021</v>
      </c>
      <c r="V344" s="97">
        <f t="shared" si="77"/>
        <v>44530</v>
      </c>
      <c r="W344" s="176" t="e">
        <f>IF(VLOOKUP(T_BilanSocial[[#This Row],[NumL]],T_TraitDi[#Data],COLUMN(T_TraitDi[[#This Row],[M1]]),FALSE)="","",VLOOKUP(T_BilanSocial[[#This Row],[NumL]],T_TraitDi[#Data],COLUMN(T_TraitDi[[#This Row],[M1]]),FALSE))</f>
        <v>#VALUE!</v>
      </c>
      <c r="X344" s="96" t="str">
        <f t="shared" si="81"/>
        <v/>
      </c>
      <c r="Y344" s="96" t="str">
        <f t="shared" si="81"/>
        <v/>
      </c>
      <c r="Z344" s="96" t="str">
        <f t="shared" si="78"/>
        <v/>
      </c>
      <c r="AA344" s="176" t="e">
        <f>IF(VLOOKUP(T_BilanSocial[[#This Row],[NumL]],T_TraitDi[#Data],COLUMN(T_TraitDi[[#This Row],[M5]]),FALSE)="","",VLOOKUP(T_BilanSocial[[#This Row],[NumL]],T_TraitDi[#Data],COLUMN(T_TraitDi[[#This Row],[M5]]),FALSE))</f>
        <v>#VALUE!</v>
      </c>
      <c r="AB344" s="176" t="e">
        <f>IF(VLOOKUP(T_BilanSocial[[#This Row],[NumL]],T_TraitDi[#Data],COLUMN(T_TraitDi[[#This Row],[M6]]),FALSE)="","",VLOOKUP(T_BilanSocial[[#This Row],[NumL]],T_TraitDi[#Data],COLUMN(T_TraitDi[[#This Row],[M6]]),FALSE))</f>
        <v>#VALUE!</v>
      </c>
      <c r="AC344" s="96" t="e">
        <f t="shared" si="82"/>
        <v>#VALUE!</v>
      </c>
      <c r="AD344" s="97" t="str">
        <f t="shared" si="79"/>
        <v/>
      </c>
      <c r="AE344" s="294" t="e">
        <f>VLOOKUP(T_BilanSocial[[#This Row],[NumL]],T_TraitDi[#Data],COLUMN(T_TraitDi[[#This Row],[Reg Ponct]]),FALSE)</f>
        <v>#VALUE!</v>
      </c>
      <c r="AF344" s="294" t="e">
        <f>VLOOKUP(T_BilanSocial[NumL],T_TraitDi[#Data],COLUMN(T_TraitDi[[#This Row],[Jours flottants]]),FALSE)</f>
        <v>#VALUE!</v>
      </c>
      <c r="AG344" s="97" t="str">
        <f>IFERROR(VLOOKUP(T_BilanSocial[[#This Row],[NumL]],T_TraitDi[#Data],COLUMN(T_TraitDi[[#This Row],[Lundi]]),FALSE),"")</f>
        <v/>
      </c>
      <c r="AH344" s="172" t="e">
        <f>IF(VLOOKUP(T_BilanSocial[[#This Row],[NumL]],T_TraitDi[#Data],COLUMN(T_TraitDi[[#This Row],[Colonne3]]),FALSE)=0,"",TEXT(IFERROR(VLOOKUP(T_BilanSocial[[#This Row],[NumL]],T_TraitDi[#Data],COLUMN(T_TraitDi[[#This Row],[Colonne3]]),FALSE),""),"[hh]:mm"))</f>
        <v>#VALUE!</v>
      </c>
      <c r="AI344" s="172" t="e">
        <f>IF(VLOOKUP(T_BilanSocial[[#This Row],[NumL]],T_TraitDi[#Data],COLUMN(T_TraitDi[[#This Row],[Colonne4]]),FALSE)=0,"",TEXT(IFERROR(VLOOKUP(T_BilanSocial[[#This Row],[NumL]],T_TraitDi[#Data],COLUMN(T_TraitDi[[#This Row],[Colonne4]]),FALSE),""),"[hh]:mm"))</f>
        <v>#VALUE!</v>
      </c>
      <c r="AJ344" s="172" t="e">
        <f>IF(VLOOKUP(T_BilanSocial[[#This Row],[NumL]],T_TraitDi[#Data],COLUMN(T_TraitDi[[#This Row],[Colonne5]]),FALSE)=0,"",TEXT(IFERROR(VLOOKUP(T_BilanSocial[[#This Row],[NumL]],T_TraitDi[#Data],COLUMN(T_TraitDi[[#This Row],[Colonne5]]),FALSE),""),"[hh]:mm"))</f>
        <v>#VALUE!</v>
      </c>
      <c r="AK344" s="172" t="e">
        <f>IF(VLOOKUP(T_BilanSocial[[#This Row],[NumL]],T_TraitDi[#Data],COLUMN(T_TraitDi[[#This Row],[Colonne6]]),FALSE)=0,"",TEXT(IFERROR(VLOOKUP(T_BilanSocial[[#This Row],[NumL]],T_TraitDi[#Data],COLUMN(T_TraitDi[[#This Row],[Colonne6]]),FALSE),""),"[hh]:mm"))</f>
        <v>#VALUE!</v>
      </c>
      <c r="AL344" s="172" t="e">
        <f>IF(VLOOKUP(T_BilanSocial[[#This Row],[NumL]],T_TraitDi[#Data],COLUMN(T_TraitDi[[#This Row],[Colonne7]]),FALSE)=0,"",TEXT(IFERROR(VLOOKUP(T_BilanSocial[[#This Row],[NumL]],T_TraitDi[#Data],COLUMN(T_TraitDi[[#This Row],[Colonne7]]),FALSE),""),"[hh]:mm"))</f>
        <v>#VALUE!</v>
      </c>
      <c r="AM344" s="172" t="e">
        <f>IF(VLOOKUP(T_BilanSocial[[#This Row],[NumL]],T_TraitDi[#Data],COLUMN(T_TraitDi[[#This Row],[Colonne8]]),FALSE)=0,"",TEXT(IFERROR(VLOOKUP(T_BilanSocial[[#This Row],[NumL]],T_TraitDi[#Data],COLUMN(T_TraitDi[[#This Row],[Colonne8]]),FALSE),""),"[hh]:mm"))</f>
        <v>#VALUE!</v>
      </c>
      <c r="AN344" s="172" t="str">
        <f>IFERROR(VLOOKUP(T_BilanSocial[[#This Row],[NumL]],T_TraitDi[#Data],COLUMN(T_TraitDi[[#This Row],[Mardi]]),FALSE),"")</f>
        <v/>
      </c>
      <c r="AO344" s="172" t="e">
        <f>IF(VLOOKUP(T_BilanSocial[[#This Row],[NumL]],T_TraitDi[#Data],COLUMN(T_TraitDi[[#This Row],[Colonne1]]),FALSE)=0,"",TEXT(IFERROR(VLOOKUP(T_BilanSocial[[#This Row],[NumL]],T_TraitDi[#Data],COLUMN(T_TraitDi[[#This Row],[Colonne1]]),FALSE),""),"[hh]:mm"))</f>
        <v>#VALUE!</v>
      </c>
      <c r="AP344" s="172" t="e">
        <f>IF(VLOOKUP(T_BilanSocial[[#This Row],[NumL]],T_TraitDi[#Data],COLUMN(T_TraitDi[[#This Row],[Colonne9]]),FALSE)=0,"",TEXT(IFERROR(VLOOKUP(T_BilanSocial[[#This Row],[NumL]],T_TraitDi[#Data],COLUMN(T_TraitDi[[#This Row],[Colonne9]]),FALSE),""),"[hh]:mm"))</f>
        <v>#VALUE!</v>
      </c>
      <c r="AQ344" s="172" t="str">
        <f>IFERROR(VLOOKUP(T_BilanSocial[[#This Row],[NumL]],T_TraitDi[#Data],COLUMN(T_TraitDi[[#This Row],[Colonne10]]),FALSE),"")</f>
        <v/>
      </c>
      <c r="AR344" s="172" t="e">
        <f>IF(VLOOKUP(T_BilanSocial[[#This Row],[NumL]],T_TraitDi[#Data],COLUMN(T_TraitDi[[#This Row],[Colonne11]]),FALSE)=0,"",TEXT(IFERROR(VLOOKUP(T_BilanSocial[[#This Row],[NumL]],T_TraitDi[#Data],COLUMN(T_TraitDi[[#This Row],[Colonne11]]),FALSE),""),"[hh]:mm"))</f>
        <v>#VALUE!</v>
      </c>
      <c r="AS344" s="172" t="e">
        <f>IF(VLOOKUP(T_BilanSocial[[#This Row],[NumL]],T_TraitDi[#Data],COLUMN(T_TraitDi[[#This Row],[Colonne12]]),FALSE)=0,"",TEXT(IFERROR(VLOOKUP(T_BilanSocial[[#This Row],[NumL]],T_TraitDi[#Data],COLUMN(T_TraitDi[[#This Row],[Colonne12]]),FALSE),""),"[hh]:mm"))</f>
        <v>#VALUE!</v>
      </c>
      <c r="AT344" s="172" t="e">
        <f>IF(VLOOKUP(T_BilanSocial[[#This Row],[NumL]],T_TraitDi[#Data],COLUMN(T_TraitDi[[#This Row],[Colonne14]]),FALSE)=0,"",TEXT(IFERROR(VLOOKUP(T_BilanSocial[[#This Row],[NumL]],T_TraitDi[#Data],COLUMN(T_TraitDi[[#This Row],[Colonne14]]),FALSE),""),"[hh]:mm"))</f>
        <v>#VALUE!</v>
      </c>
      <c r="AU344" s="172" t="str">
        <f>IFERROR(VLOOKUP(T_BilanSocial[[#This Row],[NumL]],T_TraitDi[#Data],COLUMN(T_TraitDi[[#This Row],[Mercredi]]),FALSE),"")</f>
        <v/>
      </c>
      <c r="AV344" s="172" t="e">
        <f>IF(VLOOKUP(T_BilanSocial[[#This Row],[NumL]],T_TraitDi[#Data],COLUMN(T_TraitDi[[#This Row],[Colonne15]]),FALSE)=0,"",TEXT(IFERROR(VLOOKUP(T_BilanSocial[[#This Row],[NumL]],T_TraitDi[#Data],COLUMN(T_TraitDi[[#This Row],[Colonne15]]),FALSE),""),"[hh]:mm"))</f>
        <v>#VALUE!</v>
      </c>
      <c r="AW344" s="172" t="e">
        <f>IF(VLOOKUP(T_BilanSocial[[#This Row],[NumL]],T_TraitDi[#Data],COLUMN(T_TraitDi[[#This Row],[Colonne16]]),FALSE)=0,"",TEXT(IFERROR(VLOOKUP(T_BilanSocial[[#This Row],[NumL]],T_TraitDi[#Data],COLUMN(T_TraitDi[[#This Row],[Colonne16]]),FALSE),""),"[hh]:mm"))</f>
        <v>#VALUE!</v>
      </c>
      <c r="AX344" s="172" t="str">
        <f>IFERROR(VLOOKUP(T_BilanSocial[[#This Row],[NumL]],T_TraitDi[#Data],COLUMN(T_TraitDi[[#This Row],[Colonne17]]),FALSE),"")</f>
        <v/>
      </c>
      <c r="AY344" s="172" t="e">
        <f>IF(VLOOKUP(T_BilanSocial[[#This Row],[NumL]],T_TraitDi[#Data],COLUMN(T_TraitDi[[#This Row],[Colonne18]]),FALSE)=0,"",TEXT(IFERROR(VLOOKUP(T_BilanSocial[[#This Row],[NumL]],T_TraitDi[#Data],COLUMN(T_TraitDi[[#This Row],[Colonne18]]),FALSE),""),"[hh]:mm"))</f>
        <v>#VALUE!</v>
      </c>
      <c r="AZ344" s="172" t="e">
        <f>IF(VLOOKUP(T_BilanSocial[[#This Row],[NumL]],T_TraitDi[#Data],COLUMN(T_TraitDi[[#This Row],[Colonne19]]),FALSE)=0,"",TEXT(IFERROR(VLOOKUP(T_BilanSocial[[#This Row],[NumL]],T_TraitDi[#Data],COLUMN(T_TraitDi[[#This Row],[Colonne19]]),FALSE),""),"[hh]:mm"))</f>
        <v>#VALUE!</v>
      </c>
      <c r="BA344" s="172" t="e">
        <f>IF(VLOOKUP(T_BilanSocial[[#This Row],[NumL]],T_TraitDi[#Data],COLUMN(T_TraitDi[[#This Row],[Colonne20]]),FALSE)=0,"",TEXT(IFERROR(VLOOKUP(T_BilanSocial[[#This Row],[NumL]],T_TraitDi[#Data],COLUMN(T_TraitDi[[#This Row],[Colonne20]]),FALSE),""),"[hh]:mm"))</f>
        <v>#VALUE!</v>
      </c>
      <c r="BB344" s="178" t="str">
        <f>IFERROR(VLOOKUP(T_BilanSocial[[#This Row],[NumL]],T_TraitDi[#Data],COLUMN(T_TraitDi[[#This Row],[Jeudi]]),FALSE),"")</f>
        <v/>
      </c>
      <c r="BC344" s="178" t="e">
        <f>IF(VLOOKUP(T_BilanSocial[[#This Row],[NumL]],T_TraitDi[#Data],COLUMN(T_TraitDi[[#This Row],[Colonne21]]),FALSE)=0,"",TEXT(IFERROR(VLOOKUP(T_BilanSocial[[#This Row],[NumL]],T_TraitDi[#Data],COLUMN(T_TraitDi[[#This Row],[Colonne21]]),FALSE),""),"[hh]:mm"))</f>
        <v>#VALUE!</v>
      </c>
      <c r="BD344" s="178" t="e">
        <f>IF(VLOOKUP(T_BilanSocial[[#This Row],[NumL]],T_TraitDi[#Data],COLUMN(T_TraitDi[[#This Row],[Colonne22]]),FALSE)=0,"",TEXT(IFERROR(VLOOKUP(T_BilanSocial[[#This Row],[NumL]],T_TraitDi[#Data],COLUMN(T_TraitDi[[#This Row],[Colonne22]]),FALSE),""),"[hh]:mm"))</f>
        <v>#VALUE!</v>
      </c>
      <c r="BE344" s="178" t="str">
        <f>IFERROR(VLOOKUP(T_BilanSocial[[#This Row],[NumL]],T_TraitDi[#Data],COLUMN(T_TraitDi[[#This Row],[Colonne23]]),FALSE),"")</f>
        <v/>
      </c>
      <c r="BF344" s="178" t="e">
        <f>IF(VLOOKUP(T_BilanSocial[[#This Row],[NumL]],T_TraitDi[#Data],COLUMN(T_TraitDi[[#This Row],[Colonne24]]),FALSE)=0,"",TEXT(IFERROR(VLOOKUP(T_BilanSocial[[#This Row],[NumL]],T_TraitDi[#Data],COLUMN(T_TraitDi[[#This Row],[Colonne24]]),FALSE),""),"[hh]:mm"))</f>
        <v>#VALUE!</v>
      </c>
      <c r="BG344" s="178" t="e">
        <f>IF(VLOOKUP(T_BilanSocial[[#This Row],[NumL]],T_TraitDi[#Data],COLUMN(T_TraitDi[[#This Row],[Colonne25]]),FALSE)=0,"",TEXT(IFERROR(VLOOKUP(T_BilanSocial[[#This Row],[NumL]],T_TraitDi[#Data],COLUMN(T_TraitDi[[#This Row],[Colonne25]]),FALSE),""),"[hh]:mm"))</f>
        <v>#VALUE!</v>
      </c>
      <c r="BH344" s="178" t="e">
        <f>IF(VLOOKUP(T_BilanSocial[[#This Row],[NumL]],T_TraitDi[#Data],COLUMN(T_TraitDi[[#This Row],[Colonne26]]),FALSE)=0,"",TEXT(IFERROR(VLOOKUP(T_BilanSocial[[#This Row],[NumL]],T_TraitDi[#Data],COLUMN(T_TraitDi[[#This Row],[Colonne26]]),FALSE),""),"[hh]:mm"))</f>
        <v>#VALUE!</v>
      </c>
      <c r="BI344" s="172" t="str">
        <f>IFERROR(VLOOKUP(T_BilanSocial[[#This Row],[NumL]],T_TraitDi[#Data],COLUMN(T_TraitDi[[#This Row],[Vendredi]]),FALSE),"")</f>
        <v/>
      </c>
      <c r="BJ344" s="172" t="e">
        <f>IF(VLOOKUP(T_BilanSocial[[#This Row],[NumL]],T_TraitDi[#Data],COLUMN(T_TraitDi[[#This Row],[Colonne27]]),FALSE)=0,"",TEXT(IFERROR(VLOOKUP(T_BilanSocial[[#This Row],[NumL]],T_TraitDi[#Data],COLUMN(T_TraitDi[[#This Row],[Colonne27]]),FALSE),""),"[hh]:mm"))</f>
        <v>#VALUE!</v>
      </c>
      <c r="BK344" s="172" t="e">
        <f>IF(VLOOKUP(T_BilanSocial[[#This Row],[NumL]],T_TraitDi[#Data],COLUMN(T_TraitDi[[#This Row],[Colonne28]]),FALSE)=0,"",TEXT(IFERROR(VLOOKUP(T_BilanSocial[[#This Row],[NumL]],T_TraitDi[#Data],COLUMN(T_TraitDi[[#This Row],[Colonne28]]),FALSE),""),"[hh]:mm"))</f>
        <v>#VALUE!</v>
      </c>
      <c r="BL344" s="172" t="str">
        <f>IFERROR(VLOOKUP(T_BilanSocial[[#This Row],[NumL]],T_TraitDi[#Data],COLUMN(T_TraitDi[[#This Row],[Colonne29]]),FALSE),"")</f>
        <v/>
      </c>
      <c r="BM344" s="172" t="e">
        <f>IF(VLOOKUP(T_BilanSocial[[#This Row],[NumL]],T_TraitDi[#Data],COLUMN(T_TraitDi[[#This Row],[Colonne30]]),FALSE)=0,"",TEXT(IFERROR(VLOOKUP(T_BilanSocial[[#This Row],[NumL]],T_TraitDi[#Data],COLUMN(T_TraitDi[[#This Row],[Colonne30]]),FALSE),""),"[hh]:mm"))</f>
        <v>#VALUE!</v>
      </c>
      <c r="BN344" s="172" t="e">
        <f>IF(VLOOKUP(T_BilanSocial[[#This Row],[NumL]],T_TraitDi[#Data],COLUMN(T_TraitDi[[#This Row],[Colonne31]]),FALSE)=0,"",TEXT(IFERROR(VLOOKUP(T_BilanSocial[[#This Row],[NumL]],T_TraitDi[#Data],COLUMN(T_TraitDi[[#This Row],[Colonne31]]),FALSE),""),"[hh]:mm"))</f>
        <v>#VALUE!</v>
      </c>
      <c r="BO344" s="172" t="e">
        <f>IF(VLOOKUP(T_BilanSocial[[#This Row],[NumL]],T_TraitDi[#Data],COLUMN(T_TraitDi[[#This Row],[Colonne32]]),FALSE)=0,"",TEXT(IFERROR(VLOOKUP(T_BilanSocial[[#This Row],[NumL]],T_TraitDi[#Data],COLUMN(T_TraitDi[[#This Row],[Colonne32]]),FALSE),""),"[hh]:mm"))</f>
        <v>#VALUE!</v>
      </c>
      <c r="BP344" s="172" t="e">
        <f>VLOOKUP(T_BilanSocial[[#This Row],[NumL]],T_TraitDi[#Data],COLUMN(T_TraitDi[NbJTot]),FALSE)</f>
        <v>#N/A</v>
      </c>
      <c r="BQ344" s="174" t="str">
        <f>IFERROR(VLOOKUP(T_BilanSocial[[#This Row],[NumL]],T_TraitDi[#Data],COLUMN(T_TraitDi[[#This Row],[NbJTW]]),FALSE),"")</f>
        <v/>
      </c>
      <c r="BR344" s="174" t="e">
        <f>IF(VLOOKUP(T_BilanSocial[[#This Row],[NumL]],T_TraitDi[#Data],COLUMN(T_TraitDi[[#This Row],[NbhTW]]),FALSE)=0,"",TEXT(IFERROR(VLOOKUP(T_BilanSocial[[#This Row],[NumL]],T_TraitDi[#Data],COLUMN(T_TraitDi[[#This Row],[NbhTW]]),FALSE),""),"[hh]:mm"))</f>
        <v>#VALUE!</v>
      </c>
      <c r="BS344" s="174" t="e">
        <f>IF(VLOOKUP(T_BilanSocial[[#This Row],[NumL]],T_TraitDi[#Data],COLUMN(T_TraitDi[[#This Row],[Nbhheb]]),FALSE)=0,"",TEXT(IFERROR(VLOOKUP($A344,T_TraitDi[#Data],COLUMN(T_TraitDi[[#This Row],[Nbhheb]]),FALSE),""),"[hh]:mm"))</f>
        <v>#VALUE!</v>
      </c>
      <c r="BT344" s="182" t="str">
        <f>IFERROR(VLOOKUP(VLOOKUP($A344,T_TraitDi[#Data],COLUMN(T_TraitDi[[#This Row],[Type1]]),FALSE),TypeTW,2,FALSE),"")</f>
        <v/>
      </c>
      <c r="BU344" s="182" t="str">
        <f>IFERROR(VLOOKUP($A344,T_TraitDi[#Data],COLUMN(T_TraitDi[[#This Row],[Rue1]]),FALSE),"")</f>
        <v/>
      </c>
      <c r="BV344" s="173" t="str">
        <f>IFERROR(VLOOKUP($A344,T_TraitDi[#Data],COLUMN(T_TraitDi[[#This Row],[CP1]]),FALSE),"")</f>
        <v/>
      </c>
      <c r="BW344" s="173" t="str">
        <f>IFERROR(VLOOKUP($A344,T_TraitDi[#Data],COLUMN(T_TraitDi[[#This Row],[VILLE1]]),FALSE),"")</f>
        <v/>
      </c>
      <c r="BX344" s="182" t="str">
        <f>IFERROR(VLOOKUP(VLOOKUP($A344,T_TraitDi[#Data],COLUMN(T_TraitDi[[#This Row],[Type2]]),FALSE),TypeTW,2,FALSE),"")</f>
        <v/>
      </c>
      <c r="BY344" s="182" t="str">
        <f>IFERROR(VLOOKUP($A344,T_TraitDi[#Data],COLUMN(T_TraitDi[[#This Row],[Rue2]]),FALSE),"")</f>
        <v/>
      </c>
      <c r="BZ344" s="173" t="str">
        <f>IFERROR(VLOOKUP($A344,T_TraitDi[#Data],COLUMN(T_TraitDi[[#This Row],[CP2]]),FALSE),"")</f>
        <v/>
      </c>
      <c r="CA344" s="173" t="str">
        <f>IFERROR(VLOOKUP($A344,T_TraitDi[#Data],COLUMN(T_TraitDi[[#This Row],[VILLE2]]),FALSE),"")</f>
        <v/>
      </c>
      <c r="CB344" s="182" t="e">
        <f>IF(VLOOKUP(T_BilanSocial[[#This Row],[NumL]],T_Equipement[#Data],COLUMN(T_Equipement[[#This Row],[PC]]),FALSE)="","Aucun équipement spécifique directement lié au télétravail",VLOOKUP(T_BilanSocial[[#This Row],[NumL]],T_Equipement[#Data],COLUMN(T_Equipement[[#This Row],[PC]]),FALSE))</f>
        <v>#VALUE!</v>
      </c>
      <c r="CC344" s="166" t="str">
        <f>IFERROR(IF(VLOOKUP(T_BilanSocial[[#This Row],[NumL]],T_TraitDi[#Data],COLUMN(T_TraitDi[[#This Row],[Plan]]),FALSE)="OK","Un planning spécifique de télétravail est annexé à la présente convention.",""),"")</f>
        <v/>
      </c>
      <c r="CD344" s="301"/>
      <c r="CE344" s="164" t="e">
        <f>IF(VLOOKUP(T_BilanSocial[[#This Row],[NumL]],T_suiviDi[#Data],COLUMN(T_suiviDi[[#This Row],[Entité]]),FALSE)="","",VLOOKUP(T_BilanSocial[[#This Row],[NumL]],T_suiviDi[#Data],COLUMN(T_suiviDi[[#This Row],[Entité]]),FALSE))</f>
        <v>#VALUE!</v>
      </c>
      <c r="CF344" s="164" t="e">
        <f>IF(VLOOKUP(T_BilanSocial[[#This Row],[NumL]],T_Commission[#Data],COLUMN(T_Commission[[#This Row],[envoi confirm TW]]),FALSE)="","",VLOOKUP(T_BilanSocial[[#This Row],[NumL]],T_Commission[#Data],COLUMN(T_Commission[[#This Row],[envoi confirm TW]]),FALSE))</f>
        <v>#VALUE!</v>
      </c>
      <c r="CG34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4" s="339" t="e">
        <f>T_BilanSocial[[#This Row],[Nom]]&amp;T_BilanSocial[[#This Row],[Prenom]]</f>
        <v>#N/A</v>
      </c>
      <c r="CI344" s="339" t="e">
        <f>VLOOKUP(T_BilanSocial[[#This Row],[NumL]],T_Commission[#Data],COLUMN(T_Commission[Commentaire]),FALSE)</f>
        <v>#N/A</v>
      </c>
      <c r="CJ344" s="339" t="e">
        <f>IF(VLOOKUP(T_BilanSocial[[#This Row],[NumL]],T_Commission[#Data],COLUMN(T_Commission[Encadrant Email]),FALSE)="","",VLOOKUP(T_BilanSocial[[#This Row],[NumL]],T_Commission[#Data],COLUMN(T_Commission[Encadrant Email]),FALSE))</f>
        <v>#N/A</v>
      </c>
      <c r="CK344" s="332" t="e">
        <f>IF(T_BilanSocial[[#This Row],[Final]]&lt;&gt;"",VLOOKUP(T_BilanSocial[[#This Row],[NumL]],T_suiviDi[#Data],COLUMN((T_suiviDi[Statut])),FALSE),"")</f>
        <v>#N/A</v>
      </c>
    </row>
    <row r="345" spans="1:89" s="50" customFormat="1" ht="21" customHeight="1" x14ac:dyDescent="0.25">
      <c r="A345" s="136">
        <v>342</v>
      </c>
      <c r="B345" s="330" t="str">
        <f t="shared" si="71"/>
        <v/>
      </c>
      <c r="C345" s="309"/>
      <c r="D345" s="95" t="e">
        <f>IF(VLOOKUP(T_BilanSocial[[#This Row],[NumL]],T_TraitDi[#Data],COLUMN(T_TraitDi[[#This Row],[WebC]]),FALSE)="","",VLOOKUP(T_BilanSocial[[#This Row],[NumL]],T_TraitDi[#Data],COLUMN(T_TraitDi[[#This Row],[WebC]]),FALSE))</f>
        <v>#VALUE!</v>
      </c>
      <c r="E345" s="95" t="str">
        <f t="shared" si="72"/>
        <v>12 janvier 2021</v>
      </c>
      <c r="F345" s="96" t="str">
        <f>IF(T_BilanSocial[[#This Row],[Final]]&lt;&gt;"",VLOOKUP(T_BilanSocial[[#This Row],[NumL]],T_suiviDi[#Data],COLUMN((T_suiviDi[Civ.])),FALSE),"")</f>
        <v/>
      </c>
      <c r="G345" s="96" t="str">
        <f>IF(T_BilanSocial[[#This Row],[Final]]&lt;&gt;"",VLOOKUP(T_BilanSocial[[#This Row],[NumL]],T_suiviDi[#Data],COLUMN((T_suiviDi[Nom])),FALSE),"")</f>
        <v/>
      </c>
      <c r="H345" s="96" t="str">
        <f>IF(T_BilanSocial[[#This Row],[Final]]&lt;&gt;"",VLOOKUP(T_BilanSocial[[#This Row],[NumL]],T_suiviDi[#Data],COLUMN((T_suiviDi[Prénom])),FALSE),"")</f>
        <v/>
      </c>
      <c r="I345" s="331" t="str">
        <f>IFERROR(VLOOKUP(T_BilanSocial[[#This Row],[Zone_Bilan]],T_P_BilanSocial[#Data],COLUMN(T_P_BilanSocial[[#This Row],[Numero_SIHAM]]),FALSE),"")</f>
        <v/>
      </c>
      <c r="J345" s="331" t="str">
        <f>IFERROR(VLOOKUP(T_BilanSocial[[#This Row],[Zone_Bilan]],T_P_BilanSocial[#Data],COLUMN(T_P_BilanSocial[[#This Row],[Sexe]]),FALSE),"")</f>
        <v/>
      </c>
      <c r="K345" s="294" t="str">
        <f>IFERROR(VLOOKUP(T_BilanSocial[[#This Row],[Zone_Bilan]],T_P_BilanSocial[#Data],COLUMN(T_P_BilanSocial[[#This Row],[Categorie]]),FALSE),"")</f>
        <v/>
      </c>
      <c r="L345" s="331" t="str">
        <f>IFERROR(VLOOKUP(T_BilanSocial[[#This Row],[Zone_Bilan]],T_P_BilanSocial[#Data],COLUMN(T_P_BilanSocial[[#This Row],[Statut]]),FALSE),"")</f>
        <v/>
      </c>
      <c r="M345" s="331" t="str">
        <f>IFERROR(VLOOKUP(T_BilanSocial[[#This Row],[Zone_Bilan]],T_P_BilanSocial[#Data],COLUMN(T_P_BilanSocial[[#This Row],[Filiere]]),FALSE),"")</f>
        <v/>
      </c>
      <c r="N345" s="331" t="e">
        <f>VLOOKUP(T_BilanSocial[[#This Row],[NumL]],T_TraitDi[#Data],COLUMN(T_TraitDi[EXP]),FALSE)</f>
        <v>#N/A</v>
      </c>
      <c r="O345" s="331" t="e">
        <f>VLOOKUP(T_BilanSocial[[#This Row],[NumL]],T_TraitDi[#Data],COLUMN(T_TraitDi[FORM]),FALSE)</f>
        <v>#N/A</v>
      </c>
      <c r="P345" s="96" t="str">
        <f>IF(T_BilanSocial[[#This Row],[Final]]&lt;&gt;"",VLOOKUP(T_BilanSocial[[#This Row],[NumL]],T_suiviDi[#Data],COLUMN((T_suiviDi[Email])),FALSE),"")</f>
        <v/>
      </c>
      <c r="Q345" s="96" t="e">
        <f t="shared" si="73"/>
        <v>#N/A</v>
      </c>
      <c r="R345" s="96" t="e">
        <f t="shared" si="74"/>
        <v>#N/A</v>
      </c>
      <c r="S345" s="96" t="str">
        <f t="shared" si="70"/>
        <v/>
      </c>
      <c r="T345" s="96" t="str">
        <f t="shared" si="75"/>
        <v>01 septembre 2021</v>
      </c>
      <c r="U345" s="96" t="str">
        <f t="shared" si="76"/>
        <v>30 novembre 2021</v>
      </c>
      <c r="V345" s="97">
        <f t="shared" si="77"/>
        <v>44530</v>
      </c>
      <c r="W345" s="176" t="e">
        <f>IF(VLOOKUP(T_BilanSocial[[#This Row],[NumL]],T_TraitDi[#Data],COLUMN(T_TraitDi[[#This Row],[M1]]),FALSE)="","",VLOOKUP(T_BilanSocial[[#This Row],[NumL]],T_TraitDi[#Data],COLUMN(T_TraitDi[[#This Row],[M1]]),FALSE))</f>
        <v>#VALUE!</v>
      </c>
      <c r="X345" s="96" t="str">
        <f t="shared" si="81"/>
        <v/>
      </c>
      <c r="Y345" s="96" t="str">
        <f t="shared" si="81"/>
        <v/>
      </c>
      <c r="Z345" s="96" t="str">
        <f t="shared" si="78"/>
        <v/>
      </c>
      <c r="AA345" s="176" t="e">
        <f>IF(VLOOKUP(T_BilanSocial[[#This Row],[NumL]],T_TraitDi[#Data],COLUMN(T_TraitDi[[#This Row],[M5]]),FALSE)="","",VLOOKUP(T_BilanSocial[[#This Row],[NumL]],T_TraitDi[#Data],COLUMN(T_TraitDi[[#This Row],[M5]]),FALSE))</f>
        <v>#VALUE!</v>
      </c>
      <c r="AB345" s="176" t="e">
        <f>IF(VLOOKUP(T_BilanSocial[[#This Row],[NumL]],T_TraitDi[#Data],COLUMN(T_TraitDi[[#This Row],[M6]]),FALSE)="","",VLOOKUP(T_BilanSocial[[#This Row],[NumL]],T_TraitDi[#Data],COLUMN(T_TraitDi[[#This Row],[M6]]),FALSE))</f>
        <v>#VALUE!</v>
      </c>
      <c r="AC345" s="96" t="e">
        <f t="shared" si="82"/>
        <v>#VALUE!</v>
      </c>
      <c r="AD345" s="97" t="str">
        <f t="shared" si="79"/>
        <v/>
      </c>
      <c r="AE345" s="294" t="e">
        <f>VLOOKUP(T_BilanSocial[[#This Row],[NumL]],T_TraitDi[#Data],COLUMN(T_TraitDi[[#This Row],[Reg Ponct]]),FALSE)</f>
        <v>#VALUE!</v>
      </c>
      <c r="AF345" s="294" t="e">
        <f>VLOOKUP(T_BilanSocial[NumL],T_TraitDi[#Data],COLUMN(T_TraitDi[[#This Row],[Jours flottants]]),FALSE)</f>
        <v>#VALUE!</v>
      </c>
      <c r="AG345" s="97" t="str">
        <f>IFERROR(VLOOKUP(T_BilanSocial[[#This Row],[NumL]],T_TraitDi[#Data],COLUMN(T_TraitDi[[#This Row],[Lundi]]),FALSE),"")</f>
        <v/>
      </c>
      <c r="AH345" s="172" t="e">
        <f>IF(VLOOKUP(T_BilanSocial[[#This Row],[NumL]],T_TraitDi[#Data],COLUMN(T_TraitDi[[#This Row],[Colonne3]]),FALSE)=0,"",TEXT(IFERROR(VLOOKUP(T_BilanSocial[[#This Row],[NumL]],T_TraitDi[#Data],COLUMN(T_TraitDi[[#This Row],[Colonne3]]),FALSE),""),"[hh]:mm"))</f>
        <v>#VALUE!</v>
      </c>
      <c r="AI345" s="172" t="e">
        <f>IF(VLOOKUP(T_BilanSocial[[#This Row],[NumL]],T_TraitDi[#Data],COLUMN(T_TraitDi[[#This Row],[Colonne4]]),FALSE)=0,"",TEXT(IFERROR(VLOOKUP(T_BilanSocial[[#This Row],[NumL]],T_TraitDi[#Data],COLUMN(T_TraitDi[[#This Row],[Colonne4]]),FALSE),""),"[hh]:mm"))</f>
        <v>#VALUE!</v>
      </c>
      <c r="AJ345" s="172" t="e">
        <f>IF(VLOOKUP(T_BilanSocial[[#This Row],[NumL]],T_TraitDi[#Data],COLUMN(T_TraitDi[[#This Row],[Colonne5]]),FALSE)=0,"",TEXT(IFERROR(VLOOKUP(T_BilanSocial[[#This Row],[NumL]],T_TraitDi[#Data],COLUMN(T_TraitDi[[#This Row],[Colonne5]]),FALSE),""),"[hh]:mm"))</f>
        <v>#VALUE!</v>
      </c>
      <c r="AK345" s="172" t="e">
        <f>IF(VLOOKUP(T_BilanSocial[[#This Row],[NumL]],T_TraitDi[#Data],COLUMN(T_TraitDi[[#This Row],[Colonne6]]),FALSE)=0,"",TEXT(IFERROR(VLOOKUP(T_BilanSocial[[#This Row],[NumL]],T_TraitDi[#Data],COLUMN(T_TraitDi[[#This Row],[Colonne6]]),FALSE),""),"[hh]:mm"))</f>
        <v>#VALUE!</v>
      </c>
      <c r="AL345" s="172" t="e">
        <f>IF(VLOOKUP(T_BilanSocial[[#This Row],[NumL]],T_TraitDi[#Data],COLUMN(T_TraitDi[[#This Row],[Colonne7]]),FALSE)=0,"",TEXT(IFERROR(VLOOKUP(T_BilanSocial[[#This Row],[NumL]],T_TraitDi[#Data],COLUMN(T_TraitDi[[#This Row],[Colonne7]]),FALSE),""),"[hh]:mm"))</f>
        <v>#VALUE!</v>
      </c>
      <c r="AM345" s="172" t="e">
        <f>IF(VLOOKUP(T_BilanSocial[[#This Row],[NumL]],T_TraitDi[#Data],COLUMN(T_TraitDi[[#This Row],[Colonne8]]),FALSE)=0,"",TEXT(IFERROR(VLOOKUP(T_BilanSocial[[#This Row],[NumL]],T_TraitDi[#Data],COLUMN(T_TraitDi[[#This Row],[Colonne8]]),FALSE),""),"[hh]:mm"))</f>
        <v>#VALUE!</v>
      </c>
      <c r="AN345" s="172" t="str">
        <f>IFERROR(VLOOKUP(T_BilanSocial[[#This Row],[NumL]],T_TraitDi[#Data],COLUMN(T_TraitDi[[#This Row],[Mardi]]),FALSE),"")</f>
        <v/>
      </c>
      <c r="AO345" s="172" t="e">
        <f>IF(VLOOKUP(T_BilanSocial[[#This Row],[NumL]],T_TraitDi[#Data],COLUMN(T_TraitDi[[#This Row],[Colonne1]]),FALSE)=0,"",TEXT(IFERROR(VLOOKUP(T_BilanSocial[[#This Row],[NumL]],T_TraitDi[#Data],COLUMN(T_TraitDi[[#This Row],[Colonne1]]),FALSE),""),"[hh]:mm"))</f>
        <v>#VALUE!</v>
      </c>
      <c r="AP345" s="172" t="e">
        <f>IF(VLOOKUP(T_BilanSocial[[#This Row],[NumL]],T_TraitDi[#Data],COLUMN(T_TraitDi[[#This Row],[Colonne9]]),FALSE)=0,"",TEXT(IFERROR(VLOOKUP(T_BilanSocial[[#This Row],[NumL]],T_TraitDi[#Data],COLUMN(T_TraitDi[[#This Row],[Colonne9]]),FALSE),""),"[hh]:mm"))</f>
        <v>#VALUE!</v>
      </c>
      <c r="AQ345" s="172" t="str">
        <f>IFERROR(VLOOKUP(T_BilanSocial[[#This Row],[NumL]],T_TraitDi[#Data],COLUMN(T_TraitDi[[#This Row],[Colonne10]]),FALSE),"")</f>
        <v/>
      </c>
      <c r="AR345" s="172" t="e">
        <f>IF(VLOOKUP(T_BilanSocial[[#This Row],[NumL]],T_TraitDi[#Data],COLUMN(T_TraitDi[[#This Row],[Colonne11]]),FALSE)=0,"",TEXT(IFERROR(VLOOKUP(T_BilanSocial[[#This Row],[NumL]],T_TraitDi[#Data],COLUMN(T_TraitDi[[#This Row],[Colonne11]]),FALSE),""),"[hh]:mm"))</f>
        <v>#VALUE!</v>
      </c>
      <c r="AS345" s="172" t="e">
        <f>IF(VLOOKUP(T_BilanSocial[[#This Row],[NumL]],T_TraitDi[#Data],COLUMN(T_TraitDi[[#This Row],[Colonne12]]),FALSE)=0,"",TEXT(IFERROR(VLOOKUP(T_BilanSocial[[#This Row],[NumL]],T_TraitDi[#Data],COLUMN(T_TraitDi[[#This Row],[Colonne12]]),FALSE),""),"[hh]:mm"))</f>
        <v>#VALUE!</v>
      </c>
      <c r="AT345" s="172" t="e">
        <f>IF(VLOOKUP(T_BilanSocial[[#This Row],[NumL]],T_TraitDi[#Data],COLUMN(T_TraitDi[[#This Row],[Colonne14]]),FALSE)=0,"",TEXT(IFERROR(VLOOKUP(T_BilanSocial[[#This Row],[NumL]],T_TraitDi[#Data],COLUMN(T_TraitDi[[#This Row],[Colonne14]]),FALSE),""),"[hh]:mm"))</f>
        <v>#VALUE!</v>
      </c>
      <c r="AU345" s="172" t="str">
        <f>IFERROR(VLOOKUP(T_BilanSocial[[#This Row],[NumL]],T_TraitDi[#Data],COLUMN(T_TraitDi[[#This Row],[Mercredi]]),FALSE),"")</f>
        <v/>
      </c>
      <c r="AV345" s="172" t="e">
        <f>IF(VLOOKUP(T_BilanSocial[[#This Row],[NumL]],T_TraitDi[#Data],COLUMN(T_TraitDi[[#This Row],[Colonne15]]),FALSE)=0,"",TEXT(IFERROR(VLOOKUP(T_BilanSocial[[#This Row],[NumL]],T_TraitDi[#Data],COLUMN(T_TraitDi[[#This Row],[Colonne15]]),FALSE),""),"[hh]:mm"))</f>
        <v>#VALUE!</v>
      </c>
      <c r="AW345" s="172" t="e">
        <f>IF(VLOOKUP(T_BilanSocial[[#This Row],[NumL]],T_TraitDi[#Data],COLUMN(T_TraitDi[[#This Row],[Colonne16]]),FALSE)=0,"",TEXT(IFERROR(VLOOKUP(T_BilanSocial[[#This Row],[NumL]],T_TraitDi[#Data],COLUMN(T_TraitDi[[#This Row],[Colonne16]]),FALSE),""),"[hh]:mm"))</f>
        <v>#VALUE!</v>
      </c>
      <c r="AX345" s="172" t="str">
        <f>IFERROR(VLOOKUP(T_BilanSocial[[#This Row],[NumL]],T_TraitDi[#Data],COLUMN(T_TraitDi[[#This Row],[Colonne17]]),FALSE),"")</f>
        <v/>
      </c>
      <c r="AY345" s="172" t="e">
        <f>IF(VLOOKUP(T_BilanSocial[[#This Row],[NumL]],T_TraitDi[#Data],COLUMN(T_TraitDi[[#This Row],[Colonne18]]),FALSE)=0,"",TEXT(IFERROR(VLOOKUP(T_BilanSocial[[#This Row],[NumL]],T_TraitDi[#Data],COLUMN(T_TraitDi[[#This Row],[Colonne18]]),FALSE),""),"[hh]:mm"))</f>
        <v>#VALUE!</v>
      </c>
      <c r="AZ345" s="172" t="e">
        <f>IF(VLOOKUP(T_BilanSocial[[#This Row],[NumL]],T_TraitDi[#Data],COLUMN(T_TraitDi[[#This Row],[Colonne19]]),FALSE)=0,"",TEXT(IFERROR(VLOOKUP(T_BilanSocial[[#This Row],[NumL]],T_TraitDi[#Data],COLUMN(T_TraitDi[[#This Row],[Colonne19]]),FALSE),""),"[hh]:mm"))</f>
        <v>#VALUE!</v>
      </c>
      <c r="BA345" s="172" t="e">
        <f>IF(VLOOKUP(T_BilanSocial[[#This Row],[NumL]],T_TraitDi[#Data],COLUMN(T_TraitDi[[#This Row],[Colonne20]]),FALSE)=0,"",TEXT(IFERROR(VLOOKUP(T_BilanSocial[[#This Row],[NumL]],T_TraitDi[#Data],COLUMN(T_TraitDi[[#This Row],[Colonne20]]),FALSE),""),"[hh]:mm"))</f>
        <v>#VALUE!</v>
      </c>
      <c r="BB345" s="178" t="str">
        <f>IFERROR(VLOOKUP(T_BilanSocial[[#This Row],[NumL]],T_TraitDi[#Data],COLUMN(T_TraitDi[[#This Row],[Jeudi]]),FALSE),"")</f>
        <v/>
      </c>
      <c r="BC345" s="178" t="e">
        <f>IF(VLOOKUP(T_BilanSocial[[#This Row],[NumL]],T_TraitDi[#Data],COLUMN(T_TraitDi[[#This Row],[Colonne21]]),FALSE)=0,"",TEXT(IFERROR(VLOOKUP(T_BilanSocial[[#This Row],[NumL]],T_TraitDi[#Data],COLUMN(T_TraitDi[[#This Row],[Colonne21]]),FALSE),""),"[hh]:mm"))</f>
        <v>#VALUE!</v>
      </c>
      <c r="BD345" s="178" t="e">
        <f>IF(VLOOKUP(T_BilanSocial[[#This Row],[NumL]],T_TraitDi[#Data],COLUMN(T_TraitDi[[#This Row],[Colonne22]]),FALSE)=0,"",TEXT(IFERROR(VLOOKUP(T_BilanSocial[[#This Row],[NumL]],T_TraitDi[#Data],COLUMN(T_TraitDi[[#This Row],[Colonne22]]),FALSE),""),"[hh]:mm"))</f>
        <v>#VALUE!</v>
      </c>
      <c r="BE345" s="178" t="str">
        <f>IFERROR(VLOOKUP(T_BilanSocial[[#This Row],[NumL]],T_TraitDi[#Data],COLUMN(T_TraitDi[[#This Row],[Colonne23]]),FALSE),"")</f>
        <v/>
      </c>
      <c r="BF345" s="178" t="e">
        <f>IF(VLOOKUP(T_BilanSocial[[#This Row],[NumL]],T_TraitDi[#Data],COLUMN(T_TraitDi[[#This Row],[Colonne24]]),FALSE)=0,"",TEXT(IFERROR(VLOOKUP(T_BilanSocial[[#This Row],[NumL]],T_TraitDi[#Data],COLUMN(T_TraitDi[[#This Row],[Colonne24]]),FALSE),""),"[hh]:mm"))</f>
        <v>#VALUE!</v>
      </c>
      <c r="BG345" s="178" t="e">
        <f>IF(VLOOKUP(T_BilanSocial[[#This Row],[NumL]],T_TraitDi[#Data],COLUMN(T_TraitDi[[#This Row],[Colonne25]]),FALSE)=0,"",TEXT(IFERROR(VLOOKUP(T_BilanSocial[[#This Row],[NumL]],T_TraitDi[#Data],COLUMN(T_TraitDi[[#This Row],[Colonne25]]),FALSE),""),"[hh]:mm"))</f>
        <v>#VALUE!</v>
      </c>
      <c r="BH345" s="178" t="e">
        <f>IF(VLOOKUP(T_BilanSocial[[#This Row],[NumL]],T_TraitDi[#Data],COLUMN(T_TraitDi[[#This Row],[Colonne26]]),FALSE)=0,"",TEXT(IFERROR(VLOOKUP(T_BilanSocial[[#This Row],[NumL]],T_TraitDi[#Data],COLUMN(T_TraitDi[[#This Row],[Colonne26]]),FALSE),""),"[hh]:mm"))</f>
        <v>#VALUE!</v>
      </c>
      <c r="BI345" s="172" t="str">
        <f>IFERROR(VLOOKUP(T_BilanSocial[[#This Row],[NumL]],T_TraitDi[#Data],COLUMN(T_TraitDi[[#This Row],[Vendredi]]),FALSE),"")</f>
        <v/>
      </c>
      <c r="BJ345" s="172" t="e">
        <f>IF(VLOOKUP(T_BilanSocial[[#This Row],[NumL]],T_TraitDi[#Data],COLUMN(T_TraitDi[[#This Row],[Colonne27]]),FALSE)=0,"",TEXT(IFERROR(VLOOKUP(T_BilanSocial[[#This Row],[NumL]],T_TraitDi[#Data],COLUMN(T_TraitDi[[#This Row],[Colonne27]]),FALSE),""),"[hh]:mm"))</f>
        <v>#VALUE!</v>
      </c>
      <c r="BK345" s="172" t="e">
        <f>IF(VLOOKUP(T_BilanSocial[[#This Row],[NumL]],T_TraitDi[#Data],COLUMN(T_TraitDi[[#This Row],[Colonne28]]),FALSE)=0,"",TEXT(IFERROR(VLOOKUP(T_BilanSocial[[#This Row],[NumL]],T_TraitDi[#Data],COLUMN(T_TraitDi[[#This Row],[Colonne28]]),FALSE),""),"[hh]:mm"))</f>
        <v>#VALUE!</v>
      </c>
      <c r="BL345" s="172" t="str">
        <f>IFERROR(VLOOKUP(T_BilanSocial[[#This Row],[NumL]],T_TraitDi[#Data],COLUMN(T_TraitDi[[#This Row],[Colonne29]]),FALSE),"")</f>
        <v/>
      </c>
      <c r="BM345" s="172" t="e">
        <f>IF(VLOOKUP(T_BilanSocial[[#This Row],[NumL]],T_TraitDi[#Data],COLUMN(T_TraitDi[[#This Row],[Colonne30]]),FALSE)=0,"",TEXT(IFERROR(VLOOKUP(T_BilanSocial[[#This Row],[NumL]],T_TraitDi[#Data],COLUMN(T_TraitDi[[#This Row],[Colonne30]]),FALSE),""),"[hh]:mm"))</f>
        <v>#VALUE!</v>
      </c>
      <c r="BN345" s="172" t="e">
        <f>IF(VLOOKUP(T_BilanSocial[[#This Row],[NumL]],T_TraitDi[#Data],COLUMN(T_TraitDi[[#This Row],[Colonne31]]),FALSE)=0,"",TEXT(IFERROR(VLOOKUP(T_BilanSocial[[#This Row],[NumL]],T_TraitDi[#Data],COLUMN(T_TraitDi[[#This Row],[Colonne31]]),FALSE),""),"[hh]:mm"))</f>
        <v>#VALUE!</v>
      </c>
      <c r="BO345" s="172" t="e">
        <f>IF(VLOOKUP(T_BilanSocial[[#This Row],[NumL]],T_TraitDi[#Data],COLUMN(T_TraitDi[[#This Row],[Colonne32]]),FALSE)=0,"",TEXT(IFERROR(VLOOKUP(T_BilanSocial[[#This Row],[NumL]],T_TraitDi[#Data],COLUMN(T_TraitDi[[#This Row],[Colonne32]]),FALSE),""),"[hh]:mm"))</f>
        <v>#VALUE!</v>
      </c>
      <c r="BP345" s="172" t="e">
        <f>VLOOKUP(T_BilanSocial[[#This Row],[NumL]],T_TraitDi[#Data],COLUMN(T_TraitDi[NbJTot]),FALSE)</f>
        <v>#N/A</v>
      </c>
      <c r="BQ345" s="174" t="str">
        <f>IFERROR(VLOOKUP(T_BilanSocial[[#This Row],[NumL]],T_TraitDi[#Data],COLUMN(T_TraitDi[[#This Row],[NbJTW]]),FALSE),"")</f>
        <v/>
      </c>
      <c r="BR345" s="174" t="e">
        <f>IF(VLOOKUP(T_BilanSocial[[#This Row],[NumL]],T_TraitDi[#Data],COLUMN(T_TraitDi[[#This Row],[NbhTW]]),FALSE)=0,"",TEXT(IFERROR(VLOOKUP(T_BilanSocial[[#This Row],[NumL]],T_TraitDi[#Data],COLUMN(T_TraitDi[[#This Row],[NbhTW]]),FALSE),""),"[hh]:mm"))</f>
        <v>#VALUE!</v>
      </c>
      <c r="BS345" s="174" t="e">
        <f>IF(VLOOKUP(T_BilanSocial[[#This Row],[NumL]],T_TraitDi[#Data],COLUMN(T_TraitDi[[#This Row],[Nbhheb]]),FALSE)=0,"",TEXT(IFERROR(VLOOKUP($A345,T_TraitDi[#Data],COLUMN(T_TraitDi[[#This Row],[Nbhheb]]),FALSE),""),"[hh]:mm"))</f>
        <v>#VALUE!</v>
      </c>
      <c r="BT345" s="182" t="str">
        <f>IFERROR(VLOOKUP(VLOOKUP($A345,T_TraitDi[#Data],COLUMN(T_TraitDi[[#This Row],[Type1]]),FALSE),TypeTW,2,FALSE),"")</f>
        <v/>
      </c>
      <c r="BU345" s="182" t="str">
        <f>IFERROR(VLOOKUP($A345,T_TraitDi[#Data],COLUMN(T_TraitDi[[#This Row],[Rue1]]),FALSE),"")</f>
        <v/>
      </c>
      <c r="BV345" s="173" t="str">
        <f>IFERROR(VLOOKUP($A345,T_TraitDi[#Data],COLUMN(T_TraitDi[[#This Row],[CP1]]),FALSE),"")</f>
        <v/>
      </c>
      <c r="BW345" s="173" t="str">
        <f>IFERROR(VLOOKUP($A345,T_TraitDi[#Data],COLUMN(T_TraitDi[[#This Row],[VILLE1]]),FALSE),"")</f>
        <v/>
      </c>
      <c r="BX345" s="182" t="str">
        <f>IFERROR(VLOOKUP(VLOOKUP($A345,T_TraitDi[#Data],COLUMN(T_TraitDi[[#This Row],[Type2]]),FALSE),TypeTW,2,FALSE),"")</f>
        <v/>
      </c>
      <c r="BY345" s="182" t="str">
        <f>IFERROR(VLOOKUP($A345,T_TraitDi[#Data],COLUMN(T_TraitDi[[#This Row],[Rue2]]),FALSE),"")</f>
        <v/>
      </c>
      <c r="BZ345" s="173" t="str">
        <f>IFERROR(VLOOKUP($A345,T_TraitDi[#Data],COLUMN(T_TraitDi[[#This Row],[CP2]]),FALSE),"")</f>
        <v/>
      </c>
      <c r="CA345" s="173" t="str">
        <f>IFERROR(VLOOKUP($A345,T_TraitDi[#Data],COLUMN(T_TraitDi[[#This Row],[VILLE2]]),FALSE),"")</f>
        <v/>
      </c>
      <c r="CB345" s="182" t="e">
        <f>IF(VLOOKUP(T_BilanSocial[[#This Row],[NumL]],T_Equipement[#Data],COLUMN(T_Equipement[[#This Row],[PC]]),FALSE)="","Aucun équipement spécifique directement lié au télétravail",VLOOKUP(T_BilanSocial[[#This Row],[NumL]],T_Equipement[#Data],COLUMN(T_Equipement[[#This Row],[PC]]),FALSE))</f>
        <v>#VALUE!</v>
      </c>
      <c r="CC345" s="166" t="str">
        <f>IFERROR(IF(VLOOKUP(T_BilanSocial[[#This Row],[NumL]],T_TraitDi[#Data],COLUMN(T_TraitDi[[#This Row],[Plan]]),FALSE)="OK","Un planning spécifique de télétravail est annexé à la présente convention.",""),"")</f>
        <v/>
      </c>
      <c r="CD345" s="301"/>
      <c r="CE345" s="164" t="e">
        <f>IF(VLOOKUP(T_BilanSocial[[#This Row],[NumL]],T_suiviDi[#Data],COLUMN(T_suiviDi[[#This Row],[Entité]]),FALSE)="","",VLOOKUP(T_BilanSocial[[#This Row],[NumL]],T_suiviDi[#Data],COLUMN(T_suiviDi[[#This Row],[Entité]]),FALSE))</f>
        <v>#VALUE!</v>
      </c>
      <c r="CF345" s="164" t="e">
        <f>IF(VLOOKUP(T_BilanSocial[[#This Row],[NumL]],T_Commission[#Data],COLUMN(T_Commission[[#This Row],[envoi confirm TW]]),FALSE)="","",VLOOKUP(T_BilanSocial[[#This Row],[NumL]],T_Commission[#Data],COLUMN(T_Commission[[#This Row],[envoi confirm TW]]),FALSE))</f>
        <v>#VALUE!</v>
      </c>
      <c r="CG34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5" s="339" t="str">
        <f>T_BilanSocial[[#This Row],[Nom]]&amp;T_BilanSocial[[#This Row],[Prenom]]</f>
        <v/>
      </c>
      <c r="CI345" s="339">
        <f>VLOOKUP(T_BilanSocial[[#This Row],[NumL]],T_Commission[#Data],COLUMN(T_Commission[Commentaire]),FALSE)</f>
        <v>0</v>
      </c>
      <c r="CJ345" s="339" t="str">
        <f>IF(VLOOKUP(T_BilanSocial[[#This Row],[NumL]],T_Commission[#Data],COLUMN(T_Commission[Encadrant Email]),FALSE)="","",VLOOKUP(T_BilanSocial[[#This Row],[NumL]],T_Commission[#Data],COLUMN(T_Commission[Encadrant Email]),FALSE))</f>
        <v/>
      </c>
      <c r="CK345" s="332" t="str">
        <f>IF(T_BilanSocial[[#This Row],[Final]]&lt;&gt;"",VLOOKUP(T_BilanSocial[[#This Row],[NumL]],T_suiviDi[#Data],COLUMN((T_suiviDi[Statut])),FALSE),"")</f>
        <v/>
      </c>
    </row>
    <row r="346" spans="1:89" s="50" customFormat="1" ht="21" customHeight="1" x14ac:dyDescent="0.25">
      <c r="A346" s="136">
        <v>343</v>
      </c>
      <c r="B346" s="330" t="str">
        <f t="shared" si="71"/>
        <v/>
      </c>
      <c r="C346" s="309"/>
      <c r="D346" s="95" t="e">
        <f>IF(VLOOKUP(T_BilanSocial[[#This Row],[NumL]],T_TraitDi[#Data],COLUMN(T_TraitDi[[#This Row],[WebC]]),FALSE)="","",VLOOKUP(T_BilanSocial[[#This Row],[NumL]],T_TraitDi[#Data],COLUMN(T_TraitDi[[#This Row],[WebC]]),FALSE))</f>
        <v>#VALUE!</v>
      </c>
      <c r="E346" s="95" t="str">
        <f t="shared" si="72"/>
        <v>12 janvier 2021</v>
      </c>
      <c r="F346" s="96" t="str">
        <f>IF(T_BilanSocial[[#This Row],[Final]]&lt;&gt;"",VLOOKUP(T_BilanSocial[[#This Row],[NumL]],T_suiviDi[#Data],COLUMN((T_suiviDi[Civ.])),FALSE),"")</f>
        <v/>
      </c>
      <c r="G346" s="96" t="str">
        <f>IF(T_BilanSocial[[#This Row],[Final]]&lt;&gt;"",VLOOKUP(T_BilanSocial[[#This Row],[NumL]],T_suiviDi[#Data],COLUMN((T_suiviDi[Nom])),FALSE),"")</f>
        <v/>
      </c>
      <c r="H346" s="96" t="str">
        <f>IF(T_BilanSocial[[#This Row],[Final]]&lt;&gt;"",VLOOKUP(T_BilanSocial[[#This Row],[NumL]],T_suiviDi[#Data],COLUMN((T_suiviDi[Prénom])),FALSE),"")</f>
        <v/>
      </c>
      <c r="I346" s="331" t="str">
        <f>IFERROR(VLOOKUP(T_BilanSocial[[#This Row],[Zone_Bilan]],T_P_BilanSocial[#Data],COLUMN(T_P_BilanSocial[[#This Row],[Numero_SIHAM]]),FALSE),"")</f>
        <v/>
      </c>
      <c r="J346" s="331" t="str">
        <f>IFERROR(VLOOKUP(T_BilanSocial[[#This Row],[Zone_Bilan]],T_P_BilanSocial[#Data],COLUMN(T_P_BilanSocial[[#This Row],[Sexe]]),FALSE),"")</f>
        <v/>
      </c>
      <c r="K346" s="294" t="str">
        <f>IFERROR(VLOOKUP(T_BilanSocial[[#This Row],[Zone_Bilan]],T_P_BilanSocial[#Data],COLUMN(T_P_BilanSocial[[#This Row],[Categorie]]),FALSE),"")</f>
        <v/>
      </c>
      <c r="L346" s="331" t="str">
        <f>IFERROR(VLOOKUP(T_BilanSocial[[#This Row],[Zone_Bilan]],T_P_BilanSocial[#Data],COLUMN(T_P_BilanSocial[[#This Row],[Statut]]),FALSE),"")</f>
        <v/>
      </c>
      <c r="M346" s="331" t="str">
        <f>IFERROR(VLOOKUP(T_BilanSocial[[#This Row],[Zone_Bilan]],T_P_BilanSocial[#Data],COLUMN(T_P_BilanSocial[[#This Row],[Filiere]]),FALSE),"")</f>
        <v/>
      </c>
      <c r="N346" s="331" t="e">
        <f>VLOOKUP(T_BilanSocial[[#This Row],[NumL]],T_TraitDi[#Data],COLUMN(T_TraitDi[EXP]),FALSE)</f>
        <v>#N/A</v>
      </c>
      <c r="O346" s="331" t="e">
        <f>VLOOKUP(T_BilanSocial[[#This Row],[NumL]],T_TraitDi[#Data],COLUMN(T_TraitDi[FORM]),FALSE)</f>
        <v>#N/A</v>
      </c>
      <c r="P346" s="96" t="str">
        <f>IF(T_BilanSocial[[#This Row],[Final]]&lt;&gt;"",VLOOKUP(T_BilanSocial[[#This Row],[NumL]],T_suiviDi[#Data],COLUMN((T_suiviDi[Email])),FALSE),"")</f>
        <v/>
      </c>
      <c r="Q346" s="96" t="e">
        <f t="shared" si="73"/>
        <v>#N/A</v>
      </c>
      <c r="R346" s="96" t="e">
        <f t="shared" si="74"/>
        <v>#N/A</v>
      </c>
      <c r="S346" s="96" t="str">
        <f t="shared" si="70"/>
        <v/>
      </c>
      <c r="T346" s="96" t="str">
        <f t="shared" si="75"/>
        <v>01 septembre 2021</v>
      </c>
      <c r="U346" s="96" t="str">
        <f t="shared" si="76"/>
        <v>30 novembre 2021</v>
      </c>
      <c r="V346" s="97">
        <f t="shared" si="77"/>
        <v>44530</v>
      </c>
      <c r="W346" s="176" t="e">
        <f>IF(VLOOKUP(T_BilanSocial[[#This Row],[NumL]],T_TraitDi[#Data],COLUMN(T_TraitDi[[#This Row],[M1]]),FALSE)="","",VLOOKUP(T_BilanSocial[[#This Row],[NumL]],T_TraitDi[#Data],COLUMN(T_TraitDi[[#This Row],[M1]]),FALSE))</f>
        <v>#VALUE!</v>
      </c>
      <c r="X346" s="96" t="str">
        <f t="shared" si="81"/>
        <v/>
      </c>
      <c r="Y346" s="96" t="str">
        <f t="shared" si="81"/>
        <v/>
      </c>
      <c r="Z346" s="96" t="str">
        <f t="shared" si="78"/>
        <v/>
      </c>
      <c r="AA346" s="176" t="e">
        <f>IF(VLOOKUP(T_BilanSocial[[#This Row],[NumL]],T_TraitDi[#Data],COLUMN(T_TraitDi[[#This Row],[M5]]),FALSE)="","",VLOOKUP(T_BilanSocial[[#This Row],[NumL]],T_TraitDi[#Data],COLUMN(T_TraitDi[[#This Row],[M5]]),FALSE))</f>
        <v>#VALUE!</v>
      </c>
      <c r="AB346" s="176" t="e">
        <f>IF(VLOOKUP(T_BilanSocial[[#This Row],[NumL]],T_TraitDi[#Data],COLUMN(T_TraitDi[[#This Row],[M6]]),FALSE)="","",VLOOKUP(T_BilanSocial[[#This Row],[NumL]],T_TraitDi[#Data],COLUMN(T_TraitDi[[#This Row],[M6]]),FALSE))</f>
        <v>#VALUE!</v>
      </c>
      <c r="AC346" s="96" t="e">
        <f t="shared" si="82"/>
        <v>#VALUE!</v>
      </c>
      <c r="AD346" s="97" t="str">
        <f t="shared" si="79"/>
        <v/>
      </c>
      <c r="AE346" s="294" t="e">
        <f>VLOOKUP(T_BilanSocial[[#This Row],[NumL]],T_TraitDi[#Data],COLUMN(T_TraitDi[[#This Row],[Reg Ponct]]),FALSE)</f>
        <v>#VALUE!</v>
      </c>
      <c r="AF346" s="294" t="e">
        <f>VLOOKUP(T_BilanSocial[NumL],T_TraitDi[#Data],COLUMN(T_TraitDi[[#This Row],[Jours flottants]]),FALSE)</f>
        <v>#VALUE!</v>
      </c>
      <c r="AG346" s="97" t="str">
        <f>IFERROR(VLOOKUP(T_BilanSocial[[#This Row],[NumL]],T_TraitDi[#Data],COLUMN(T_TraitDi[[#This Row],[Lundi]]),FALSE),"")</f>
        <v/>
      </c>
      <c r="AH346" s="172" t="e">
        <f>IF(VLOOKUP(T_BilanSocial[[#This Row],[NumL]],T_TraitDi[#Data],COLUMN(T_TraitDi[[#This Row],[Colonne3]]),FALSE)=0,"",TEXT(IFERROR(VLOOKUP(T_BilanSocial[[#This Row],[NumL]],T_TraitDi[#Data],COLUMN(T_TraitDi[[#This Row],[Colonne3]]),FALSE),""),"[hh]:mm"))</f>
        <v>#VALUE!</v>
      </c>
      <c r="AI346" s="172" t="e">
        <f>IF(VLOOKUP(T_BilanSocial[[#This Row],[NumL]],T_TraitDi[#Data],COLUMN(T_TraitDi[[#This Row],[Colonne4]]),FALSE)=0,"",TEXT(IFERROR(VLOOKUP(T_BilanSocial[[#This Row],[NumL]],T_TraitDi[#Data],COLUMN(T_TraitDi[[#This Row],[Colonne4]]),FALSE),""),"[hh]:mm"))</f>
        <v>#VALUE!</v>
      </c>
      <c r="AJ346" s="172" t="e">
        <f>IF(VLOOKUP(T_BilanSocial[[#This Row],[NumL]],T_TraitDi[#Data],COLUMN(T_TraitDi[[#This Row],[Colonne5]]),FALSE)=0,"",TEXT(IFERROR(VLOOKUP(T_BilanSocial[[#This Row],[NumL]],T_TraitDi[#Data],COLUMN(T_TraitDi[[#This Row],[Colonne5]]),FALSE),""),"[hh]:mm"))</f>
        <v>#VALUE!</v>
      </c>
      <c r="AK346" s="172" t="e">
        <f>IF(VLOOKUP(T_BilanSocial[[#This Row],[NumL]],T_TraitDi[#Data],COLUMN(T_TraitDi[[#This Row],[Colonne6]]),FALSE)=0,"",TEXT(IFERROR(VLOOKUP(T_BilanSocial[[#This Row],[NumL]],T_TraitDi[#Data],COLUMN(T_TraitDi[[#This Row],[Colonne6]]),FALSE),""),"[hh]:mm"))</f>
        <v>#VALUE!</v>
      </c>
      <c r="AL346" s="172" t="e">
        <f>IF(VLOOKUP(T_BilanSocial[[#This Row],[NumL]],T_TraitDi[#Data],COLUMN(T_TraitDi[[#This Row],[Colonne7]]),FALSE)=0,"",TEXT(IFERROR(VLOOKUP(T_BilanSocial[[#This Row],[NumL]],T_TraitDi[#Data],COLUMN(T_TraitDi[[#This Row],[Colonne7]]),FALSE),""),"[hh]:mm"))</f>
        <v>#VALUE!</v>
      </c>
      <c r="AM346" s="172" t="e">
        <f>IF(VLOOKUP(T_BilanSocial[[#This Row],[NumL]],T_TraitDi[#Data],COLUMN(T_TraitDi[[#This Row],[Colonne8]]),FALSE)=0,"",TEXT(IFERROR(VLOOKUP(T_BilanSocial[[#This Row],[NumL]],T_TraitDi[#Data],COLUMN(T_TraitDi[[#This Row],[Colonne8]]),FALSE),""),"[hh]:mm"))</f>
        <v>#VALUE!</v>
      </c>
      <c r="AN346" s="172" t="str">
        <f>IFERROR(VLOOKUP(T_BilanSocial[[#This Row],[NumL]],T_TraitDi[#Data],COLUMN(T_TraitDi[[#This Row],[Mardi]]),FALSE),"")</f>
        <v/>
      </c>
      <c r="AO346" s="172" t="e">
        <f>IF(VLOOKUP(T_BilanSocial[[#This Row],[NumL]],T_TraitDi[#Data],COLUMN(T_TraitDi[[#This Row],[Colonne1]]),FALSE)=0,"",TEXT(IFERROR(VLOOKUP(T_BilanSocial[[#This Row],[NumL]],T_TraitDi[#Data],COLUMN(T_TraitDi[[#This Row],[Colonne1]]),FALSE),""),"[hh]:mm"))</f>
        <v>#VALUE!</v>
      </c>
      <c r="AP346" s="172" t="e">
        <f>IF(VLOOKUP(T_BilanSocial[[#This Row],[NumL]],T_TraitDi[#Data],COLUMN(T_TraitDi[[#This Row],[Colonne9]]),FALSE)=0,"",TEXT(IFERROR(VLOOKUP(T_BilanSocial[[#This Row],[NumL]],T_TraitDi[#Data],COLUMN(T_TraitDi[[#This Row],[Colonne9]]),FALSE),""),"[hh]:mm"))</f>
        <v>#VALUE!</v>
      </c>
      <c r="AQ346" s="172" t="str">
        <f>IFERROR(VLOOKUP(T_BilanSocial[[#This Row],[NumL]],T_TraitDi[#Data],COLUMN(T_TraitDi[[#This Row],[Colonne10]]),FALSE),"")</f>
        <v/>
      </c>
      <c r="AR346" s="172" t="e">
        <f>IF(VLOOKUP(T_BilanSocial[[#This Row],[NumL]],T_TraitDi[#Data],COLUMN(T_TraitDi[[#This Row],[Colonne11]]),FALSE)=0,"",TEXT(IFERROR(VLOOKUP(T_BilanSocial[[#This Row],[NumL]],T_TraitDi[#Data],COLUMN(T_TraitDi[[#This Row],[Colonne11]]),FALSE),""),"[hh]:mm"))</f>
        <v>#VALUE!</v>
      </c>
      <c r="AS346" s="172" t="e">
        <f>IF(VLOOKUP(T_BilanSocial[[#This Row],[NumL]],T_TraitDi[#Data],COLUMN(T_TraitDi[[#This Row],[Colonne12]]),FALSE)=0,"",TEXT(IFERROR(VLOOKUP(T_BilanSocial[[#This Row],[NumL]],T_TraitDi[#Data],COLUMN(T_TraitDi[[#This Row],[Colonne12]]),FALSE),""),"[hh]:mm"))</f>
        <v>#VALUE!</v>
      </c>
      <c r="AT346" s="172" t="e">
        <f>IF(VLOOKUP(T_BilanSocial[[#This Row],[NumL]],T_TraitDi[#Data],COLUMN(T_TraitDi[[#This Row],[Colonne14]]),FALSE)=0,"",TEXT(IFERROR(VLOOKUP(T_BilanSocial[[#This Row],[NumL]],T_TraitDi[#Data],COLUMN(T_TraitDi[[#This Row],[Colonne14]]),FALSE),""),"[hh]:mm"))</f>
        <v>#VALUE!</v>
      </c>
      <c r="AU346" s="172" t="str">
        <f>IFERROR(VLOOKUP(T_BilanSocial[[#This Row],[NumL]],T_TraitDi[#Data],COLUMN(T_TraitDi[[#This Row],[Mercredi]]),FALSE),"")</f>
        <v/>
      </c>
      <c r="AV346" s="172" t="e">
        <f>IF(VLOOKUP(T_BilanSocial[[#This Row],[NumL]],T_TraitDi[#Data],COLUMN(T_TraitDi[[#This Row],[Colonne15]]),FALSE)=0,"",TEXT(IFERROR(VLOOKUP(T_BilanSocial[[#This Row],[NumL]],T_TraitDi[#Data],COLUMN(T_TraitDi[[#This Row],[Colonne15]]),FALSE),""),"[hh]:mm"))</f>
        <v>#VALUE!</v>
      </c>
      <c r="AW346" s="172" t="e">
        <f>IF(VLOOKUP(T_BilanSocial[[#This Row],[NumL]],T_TraitDi[#Data],COLUMN(T_TraitDi[[#This Row],[Colonne16]]),FALSE)=0,"",TEXT(IFERROR(VLOOKUP(T_BilanSocial[[#This Row],[NumL]],T_TraitDi[#Data],COLUMN(T_TraitDi[[#This Row],[Colonne16]]),FALSE),""),"[hh]:mm"))</f>
        <v>#VALUE!</v>
      </c>
      <c r="AX346" s="172" t="str">
        <f>IFERROR(VLOOKUP(T_BilanSocial[[#This Row],[NumL]],T_TraitDi[#Data],COLUMN(T_TraitDi[[#This Row],[Colonne17]]),FALSE),"")</f>
        <v/>
      </c>
      <c r="AY346" s="172" t="e">
        <f>IF(VLOOKUP(T_BilanSocial[[#This Row],[NumL]],T_TraitDi[#Data],COLUMN(T_TraitDi[[#This Row],[Colonne18]]),FALSE)=0,"",TEXT(IFERROR(VLOOKUP(T_BilanSocial[[#This Row],[NumL]],T_TraitDi[#Data],COLUMN(T_TraitDi[[#This Row],[Colonne18]]),FALSE),""),"[hh]:mm"))</f>
        <v>#VALUE!</v>
      </c>
      <c r="AZ346" s="172" t="e">
        <f>IF(VLOOKUP(T_BilanSocial[[#This Row],[NumL]],T_TraitDi[#Data],COLUMN(T_TraitDi[[#This Row],[Colonne19]]),FALSE)=0,"",TEXT(IFERROR(VLOOKUP(T_BilanSocial[[#This Row],[NumL]],T_TraitDi[#Data],COLUMN(T_TraitDi[[#This Row],[Colonne19]]),FALSE),""),"[hh]:mm"))</f>
        <v>#VALUE!</v>
      </c>
      <c r="BA346" s="172" t="e">
        <f>IF(VLOOKUP(T_BilanSocial[[#This Row],[NumL]],T_TraitDi[#Data],COLUMN(T_TraitDi[[#This Row],[Colonne20]]),FALSE)=0,"",TEXT(IFERROR(VLOOKUP(T_BilanSocial[[#This Row],[NumL]],T_TraitDi[#Data],COLUMN(T_TraitDi[[#This Row],[Colonne20]]),FALSE),""),"[hh]:mm"))</f>
        <v>#VALUE!</v>
      </c>
      <c r="BB346" s="178" t="str">
        <f>IFERROR(VLOOKUP(T_BilanSocial[[#This Row],[NumL]],T_TraitDi[#Data],COLUMN(T_TraitDi[[#This Row],[Jeudi]]),FALSE),"")</f>
        <v/>
      </c>
      <c r="BC346" s="178" t="e">
        <f>IF(VLOOKUP(T_BilanSocial[[#This Row],[NumL]],T_TraitDi[#Data],COLUMN(T_TraitDi[[#This Row],[Colonne21]]),FALSE)=0,"",TEXT(IFERROR(VLOOKUP(T_BilanSocial[[#This Row],[NumL]],T_TraitDi[#Data],COLUMN(T_TraitDi[[#This Row],[Colonne21]]),FALSE),""),"[hh]:mm"))</f>
        <v>#VALUE!</v>
      </c>
      <c r="BD346" s="178" t="e">
        <f>IF(VLOOKUP(T_BilanSocial[[#This Row],[NumL]],T_TraitDi[#Data],COLUMN(T_TraitDi[[#This Row],[Colonne22]]),FALSE)=0,"",TEXT(IFERROR(VLOOKUP(T_BilanSocial[[#This Row],[NumL]],T_TraitDi[#Data],COLUMN(T_TraitDi[[#This Row],[Colonne22]]),FALSE),""),"[hh]:mm"))</f>
        <v>#VALUE!</v>
      </c>
      <c r="BE346" s="178" t="str">
        <f>IFERROR(VLOOKUP(T_BilanSocial[[#This Row],[NumL]],T_TraitDi[#Data],COLUMN(T_TraitDi[[#This Row],[Colonne23]]),FALSE),"")</f>
        <v/>
      </c>
      <c r="BF346" s="178" t="e">
        <f>IF(VLOOKUP(T_BilanSocial[[#This Row],[NumL]],T_TraitDi[#Data],COLUMN(T_TraitDi[[#This Row],[Colonne24]]),FALSE)=0,"",TEXT(IFERROR(VLOOKUP(T_BilanSocial[[#This Row],[NumL]],T_TraitDi[#Data],COLUMN(T_TraitDi[[#This Row],[Colonne24]]),FALSE),""),"[hh]:mm"))</f>
        <v>#VALUE!</v>
      </c>
      <c r="BG346" s="178" t="e">
        <f>IF(VLOOKUP(T_BilanSocial[[#This Row],[NumL]],T_TraitDi[#Data],COLUMN(T_TraitDi[[#This Row],[Colonne25]]),FALSE)=0,"",TEXT(IFERROR(VLOOKUP(T_BilanSocial[[#This Row],[NumL]],T_TraitDi[#Data],COLUMN(T_TraitDi[[#This Row],[Colonne25]]),FALSE),""),"[hh]:mm"))</f>
        <v>#VALUE!</v>
      </c>
      <c r="BH346" s="178" t="e">
        <f>IF(VLOOKUP(T_BilanSocial[[#This Row],[NumL]],T_TraitDi[#Data],COLUMN(T_TraitDi[[#This Row],[Colonne26]]),FALSE)=0,"",TEXT(IFERROR(VLOOKUP(T_BilanSocial[[#This Row],[NumL]],T_TraitDi[#Data],COLUMN(T_TraitDi[[#This Row],[Colonne26]]),FALSE),""),"[hh]:mm"))</f>
        <v>#VALUE!</v>
      </c>
      <c r="BI346" s="172" t="str">
        <f>IFERROR(VLOOKUP(T_BilanSocial[[#This Row],[NumL]],T_TraitDi[#Data],COLUMN(T_TraitDi[[#This Row],[Vendredi]]),FALSE),"")</f>
        <v/>
      </c>
      <c r="BJ346" s="172" t="e">
        <f>IF(VLOOKUP(T_BilanSocial[[#This Row],[NumL]],T_TraitDi[#Data],COLUMN(T_TraitDi[[#This Row],[Colonne27]]),FALSE)=0,"",TEXT(IFERROR(VLOOKUP(T_BilanSocial[[#This Row],[NumL]],T_TraitDi[#Data],COLUMN(T_TraitDi[[#This Row],[Colonne27]]),FALSE),""),"[hh]:mm"))</f>
        <v>#VALUE!</v>
      </c>
      <c r="BK346" s="172" t="e">
        <f>IF(VLOOKUP(T_BilanSocial[[#This Row],[NumL]],T_TraitDi[#Data],COLUMN(T_TraitDi[[#This Row],[Colonne28]]),FALSE)=0,"",TEXT(IFERROR(VLOOKUP(T_BilanSocial[[#This Row],[NumL]],T_TraitDi[#Data],COLUMN(T_TraitDi[[#This Row],[Colonne28]]),FALSE),""),"[hh]:mm"))</f>
        <v>#VALUE!</v>
      </c>
      <c r="BL346" s="172" t="str">
        <f>IFERROR(VLOOKUP(T_BilanSocial[[#This Row],[NumL]],T_TraitDi[#Data],COLUMN(T_TraitDi[[#This Row],[Colonne29]]),FALSE),"")</f>
        <v/>
      </c>
      <c r="BM346" s="172" t="e">
        <f>IF(VLOOKUP(T_BilanSocial[[#This Row],[NumL]],T_TraitDi[#Data],COLUMN(T_TraitDi[[#This Row],[Colonne30]]),FALSE)=0,"",TEXT(IFERROR(VLOOKUP(T_BilanSocial[[#This Row],[NumL]],T_TraitDi[#Data],COLUMN(T_TraitDi[[#This Row],[Colonne30]]),FALSE),""),"[hh]:mm"))</f>
        <v>#VALUE!</v>
      </c>
      <c r="BN346" s="172" t="e">
        <f>IF(VLOOKUP(T_BilanSocial[[#This Row],[NumL]],T_TraitDi[#Data],COLUMN(T_TraitDi[[#This Row],[Colonne31]]),FALSE)=0,"",TEXT(IFERROR(VLOOKUP(T_BilanSocial[[#This Row],[NumL]],T_TraitDi[#Data],COLUMN(T_TraitDi[[#This Row],[Colonne31]]),FALSE),""),"[hh]:mm"))</f>
        <v>#VALUE!</v>
      </c>
      <c r="BO346" s="172" t="e">
        <f>IF(VLOOKUP(T_BilanSocial[[#This Row],[NumL]],T_TraitDi[#Data],COLUMN(T_TraitDi[[#This Row],[Colonne32]]),FALSE)=0,"",TEXT(IFERROR(VLOOKUP(T_BilanSocial[[#This Row],[NumL]],T_TraitDi[#Data],COLUMN(T_TraitDi[[#This Row],[Colonne32]]),FALSE),""),"[hh]:mm"))</f>
        <v>#VALUE!</v>
      </c>
      <c r="BP346" s="172" t="e">
        <f>VLOOKUP(T_BilanSocial[[#This Row],[NumL]],T_TraitDi[#Data],COLUMN(T_TraitDi[NbJTot]),FALSE)</f>
        <v>#N/A</v>
      </c>
      <c r="BQ346" s="174" t="str">
        <f>IFERROR(VLOOKUP(T_BilanSocial[[#This Row],[NumL]],T_TraitDi[#Data],COLUMN(T_TraitDi[[#This Row],[NbJTW]]),FALSE),"")</f>
        <v/>
      </c>
      <c r="BR346" s="174" t="e">
        <f>IF(VLOOKUP(T_BilanSocial[[#This Row],[NumL]],T_TraitDi[#Data],COLUMN(T_TraitDi[[#This Row],[NbhTW]]),FALSE)=0,"",TEXT(IFERROR(VLOOKUP(T_BilanSocial[[#This Row],[NumL]],T_TraitDi[#Data],COLUMN(T_TraitDi[[#This Row],[NbhTW]]),FALSE),""),"[hh]:mm"))</f>
        <v>#VALUE!</v>
      </c>
      <c r="BS346" s="174" t="e">
        <f>IF(VLOOKUP(T_BilanSocial[[#This Row],[NumL]],T_TraitDi[#Data],COLUMN(T_TraitDi[[#This Row],[Nbhheb]]),FALSE)=0,"",TEXT(IFERROR(VLOOKUP($A346,T_TraitDi[#Data],COLUMN(T_TraitDi[[#This Row],[Nbhheb]]),FALSE),""),"[hh]:mm"))</f>
        <v>#VALUE!</v>
      </c>
      <c r="BT346" s="182" t="str">
        <f>IFERROR(VLOOKUP(VLOOKUP($A346,T_TraitDi[#Data],COLUMN(T_TraitDi[[#This Row],[Type1]]),FALSE),TypeTW,2,FALSE),"")</f>
        <v/>
      </c>
      <c r="BU346" s="182" t="str">
        <f>IFERROR(VLOOKUP($A346,T_TraitDi[#Data],COLUMN(T_TraitDi[[#This Row],[Rue1]]),FALSE),"")</f>
        <v/>
      </c>
      <c r="BV346" s="173" t="str">
        <f>IFERROR(VLOOKUP($A346,T_TraitDi[#Data],COLUMN(T_TraitDi[[#This Row],[CP1]]),FALSE),"")</f>
        <v/>
      </c>
      <c r="BW346" s="173" t="str">
        <f>IFERROR(VLOOKUP($A346,T_TraitDi[#Data],COLUMN(T_TraitDi[[#This Row],[VILLE1]]),FALSE),"")</f>
        <v/>
      </c>
      <c r="BX346" s="182" t="str">
        <f>IFERROR(VLOOKUP(VLOOKUP($A346,T_TraitDi[#Data],COLUMN(T_TraitDi[[#This Row],[Type2]]),FALSE),TypeTW,2,FALSE),"")</f>
        <v/>
      </c>
      <c r="BY346" s="182" t="str">
        <f>IFERROR(VLOOKUP($A346,T_TraitDi[#Data],COLUMN(T_TraitDi[[#This Row],[Rue2]]),FALSE),"")</f>
        <v/>
      </c>
      <c r="BZ346" s="173" t="str">
        <f>IFERROR(VLOOKUP($A346,T_TraitDi[#Data],COLUMN(T_TraitDi[[#This Row],[CP2]]),FALSE),"")</f>
        <v/>
      </c>
      <c r="CA346" s="173" t="str">
        <f>IFERROR(VLOOKUP($A346,T_TraitDi[#Data],COLUMN(T_TraitDi[[#This Row],[VILLE2]]),FALSE),"")</f>
        <v/>
      </c>
      <c r="CB346" s="182" t="e">
        <f>IF(VLOOKUP(T_BilanSocial[[#This Row],[NumL]],T_Equipement[#Data],COLUMN(T_Equipement[[#This Row],[PC]]),FALSE)="","Aucun équipement spécifique directement lié au télétravail",VLOOKUP(T_BilanSocial[[#This Row],[NumL]],T_Equipement[#Data],COLUMN(T_Equipement[[#This Row],[PC]]),FALSE))</f>
        <v>#VALUE!</v>
      </c>
      <c r="CC346" s="166" t="str">
        <f>IFERROR(IF(VLOOKUP(T_BilanSocial[[#This Row],[NumL]],T_TraitDi[#Data],COLUMN(T_TraitDi[[#This Row],[Plan]]),FALSE)="OK","Un planning spécifique de télétravail est annexé à la présente convention.",""),"")</f>
        <v/>
      </c>
      <c r="CD346" s="301"/>
      <c r="CE346" s="164" t="e">
        <f>IF(VLOOKUP(T_BilanSocial[[#This Row],[NumL]],T_suiviDi[#Data],COLUMN(T_suiviDi[[#This Row],[Entité]]),FALSE)="","",VLOOKUP(T_BilanSocial[[#This Row],[NumL]],T_suiviDi[#Data],COLUMN(T_suiviDi[[#This Row],[Entité]]),FALSE))</f>
        <v>#VALUE!</v>
      </c>
      <c r="CF346" s="164" t="e">
        <f>IF(VLOOKUP(T_BilanSocial[[#This Row],[NumL]],T_Commission[#Data],COLUMN(T_Commission[[#This Row],[envoi confirm TW]]),FALSE)="","",VLOOKUP(T_BilanSocial[[#This Row],[NumL]],T_Commission[#Data],COLUMN(T_Commission[[#This Row],[envoi confirm TW]]),FALSE))</f>
        <v>#VALUE!</v>
      </c>
      <c r="CG34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6" s="339" t="str">
        <f>T_BilanSocial[[#This Row],[Nom]]&amp;T_BilanSocial[[#This Row],[Prenom]]</f>
        <v/>
      </c>
      <c r="CI346" s="339">
        <f>VLOOKUP(T_BilanSocial[[#This Row],[NumL]],T_Commission[#Data],COLUMN(T_Commission[Commentaire]),FALSE)</f>
        <v>0</v>
      </c>
      <c r="CJ346" s="339" t="str">
        <f>IF(VLOOKUP(T_BilanSocial[[#This Row],[NumL]],T_Commission[#Data],COLUMN(T_Commission[Encadrant Email]),FALSE)="","",VLOOKUP(T_BilanSocial[[#This Row],[NumL]],T_Commission[#Data],COLUMN(T_Commission[Encadrant Email]),FALSE))</f>
        <v/>
      </c>
      <c r="CK346" s="332" t="str">
        <f>IF(T_BilanSocial[[#This Row],[Final]]&lt;&gt;"",VLOOKUP(T_BilanSocial[[#This Row],[NumL]],T_suiviDi[#Data],COLUMN((T_suiviDi[Statut])),FALSE),"")</f>
        <v/>
      </c>
    </row>
    <row r="347" spans="1:89" s="50" customFormat="1" ht="29.25" customHeight="1" x14ac:dyDescent="0.25">
      <c r="A347" s="136">
        <v>344</v>
      </c>
      <c r="B347" s="330" t="str">
        <f t="shared" si="71"/>
        <v/>
      </c>
      <c r="C347" s="309"/>
      <c r="D347" s="95" t="e">
        <f>IF(VLOOKUP(T_BilanSocial[[#This Row],[NumL]],T_TraitDi[#Data],COLUMN(T_TraitDi[[#This Row],[WebC]]),FALSE)="","",VLOOKUP(T_BilanSocial[[#This Row],[NumL]],T_TraitDi[#Data],COLUMN(T_TraitDi[[#This Row],[WebC]]),FALSE))</f>
        <v>#VALUE!</v>
      </c>
      <c r="E347" s="95" t="str">
        <f t="shared" si="72"/>
        <v>12 janvier 2021</v>
      </c>
      <c r="F347" s="96" t="str">
        <f>IF(T_BilanSocial[[#This Row],[Final]]&lt;&gt;"",VLOOKUP(T_BilanSocial[[#This Row],[NumL]],T_suiviDi[#Data],COLUMN((T_suiviDi[Civ.])),FALSE),"")</f>
        <v/>
      </c>
      <c r="G347" s="96" t="str">
        <f>IF(T_BilanSocial[[#This Row],[Final]]&lt;&gt;"",VLOOKUP(T_BilanSocial[[#This Row],[NumL]],T_suiviDi[#Data],COLUMN((T_suiviDi[Nom])),FALSE),"")</f>
        <v/>
      </c>
      <c r="H347" s="96" t="str">
        <f>IF(T_BilanSocial[[#This Row],[Final]]&lt;&gt;"",VLOOKUP(T_BilanSocial[[#This Row],[NumL]],T_suiviDi[#Data],COLUMN((T_suiviDi[Prénom])),FALSE),"")</f>
        <v/>
      </c>
      <c r="I347" s="331" t="str">
        <f>IFERROR(VLOOKUP(T_BilanSocial[[#This Row],[Zone_Bilan]],T_P_BilanSocial[#Data],COLUMN(T_P_BilanSocial[[#This Row],[Numero_SIHAM]]),FALSE),"")</f>
        <v/>
      </c>
      <c r="J347" s="331" t="str">
        <f>IFERROR(VLOOKUP(T_BilanSocial[[#This Row],[Zone_Bilan]],T_P_BilanSocial[#Data],COLUMN(T_P_BilanSocial[[#This Row],[Sexe]]),FALSE),"")</f>
        <v/>
      </c>
      <c r="K347" s="294" t="str">
        <f>IFERROR(VLOOKUP(T_BilanSocial[[#This Row],[Zone_Bilan]],T_P_BilanSocial[#Data],COLUMN(T_P_BilanSocial[[#This Row],[Categorie]]),FALSE),"")</f>
        <v/>
      </c>
      <c r="L347" s="331" t="str">
        <f>IFERROR(VLOOKUP(T_BilanSocial[[#This Row],[Zone_Bilan]],T_P_BilanSocial[#Data],COLUMN(T_P_BilanSocial[[#This Row],[Statut]]),FALSE),"")</f>
        <v/>
      </c>
      <c r="M347" s="331" t="str">
        <f>IFERROR(VLOOKUP(T_BilanSocial[[#This Row],[Zone_Bilan]],T_P_BilanSocial[#Data],COLUMN(T_P_BilanSocial[[#This Row],[Filiere]]),FALSE),"")</f>
        <v/>
      </c>
      <c r="N347" s="331" t="e">
        <f>VLOOKUP(T_BilanSocial[[#This Row],[NumL]],T_TraitDi[#Data],COLUMN(T_TraitDi[EXP]),FALSE)</f>
        <v>#N/A</v>
      </c>
      <c r="O347" s="331" t="e">
        <f>VLOOKUP(T_BilanSocial[[#This Row],[NumL]],T_TraitDi[#Data],COLUMN(T_TraitDi[FORM]),FALSE)</f>
        <v>#N/A</v>
      </c>
      <c r="P347" s="96" t="str">
        <f>IF(T_BilanSocial[[#This Row],[Final]]&lt;&gt;"",VLOOKUP(T_BilanSocial[[#This Row],[NumL]],T_suiviDi[#Data],COLUMN((T_suiviDi[Email])),FALSE),"")</f>
        <v/>
      </c>
      <c r="Q347" s="96" t="e">
        <f t="shared" si="73"/>
        <v>#N/A</v>
      </c>
      <c r="R347" s="96" t="e">
        <f t="shared" si="74"/>
        <v>#N/A</v>
      </c>
      <c r="S347" s="96" t="str">
        <f t="shared" si="70"/>
        <v/>
      </c>
      <c r="T347" s="96" t="str">
        <f t="shared" si="75"/>
        <v>01 septembre 2021</v>
      </c>
      <c r="U347" s="96" t="str">
        <f t="shared" si="76"/>
        <v>30 novembre 2021</v>
      </c>
      <c r="V347" s="97">
        <f t="shared" si="77"/>
        <v>44530</v>
      </c>
      <c r="W347" s="176" t="e">
        <f>IF(VLOOKUP(T_BilanSocial[[#This Row],[NumL]],T_TraitDi[#Data],COLUMN(T_TraitDi[[#This Row],[M1]]),FALSE)="","",VLOOKUP(T_BilanSocial[[#This Row],[NumL]],T_TraitDi[#Data],COLUMN(T_TraitDi[[#This Row],[M1]]),FALSE))</f>
        <v>#VALUE!</v>
      </c>
      <c r="X347" s="96" t="str">
        <f t="shared" si="81"/>
        <v/>
      </c>
      <c r="Y347" s="96" t="str">
        <f t="shared" si="81"/>
        <v/>
      </c>
      <c r="Z347" s="96" t="str">
        <f t="shared" si="78"/>
        <v/>
      </c>
      <c r="AA347" s="176" t="e">
        <f>IF(VLOOKUP(T_BilanSocial[[#This Row],[NumL]],T_TraitDi[#Data],COLUMN(T_TraitDi[[#This Row],[M5]]),FALSE)="","",VLOOKUP(T_BilanSocial[[#This Row],[NumL]],T_TraitDi[#Data],COLUMN(T_TraitDi[[#This Row],[M5]]),FALSE))</f>
        <v>#VALUE!</v>
      </c>
      <c r="AB347" s="176" t="e">
        <f>IF(VLOOKUP(T_BilanSocial[[#This Row],[NumL]],T_TraitDi[#Data],COLUMN(T_TraitDi[[#This Row],[M6]]),FALSE)="","",VLOOKUP(T_BilanSocial[[#This Row],[NumL]],T_TraitDi[#Data],COLUMN(T_TraitDi[[#This Row],[M6]]),FALSE))</f>
        <v>#VALUE!</v>
      </c>
      <c r="AC347" s="96" t="e">
        <f>W347&amp;X347&amp;Y347&amp;Z347&amp;AA347&amp;AB347</f>
        <v>#VALUE!</v>
      </c>
      <c r="AD347" s="97" t="str">
        <f t="shared" si="79"/>
        <v/>
      </c>
      <c r="AE347" s="294" t="e">
        <f>VLOOKUP(T_BilanSocial[[#This Row],[NumL]],T_TraitDi[#Data],COLUMN(T_TraitDi[[#This Row],[Reg Ponct]]),FALSE)</f>
        <v>#VALUE!</v>
      </c>
      <c r="AF347" s="294" t="e">
        <f>VLOOKUP(T_BilanSocial[NumL],T_TraitDi[#Data],COLUMN(T_TraitDi[[#This Row],[Jours flottants]]),FALSE)</f>
        <v>#VALUE!</v>
      </c>
      <c r="AG347" s="97" t="str">
        <f>IFERROR(VLOOKUP(T_BilanSocial[[#This Row],[NumL]],T_TraitDi[#Data],COLUMN(T_TraitDi[[#This Row],[Lundi]]),FALSE),"")</f>
        <v/>
      </c>
      <c r="AH347" s="172" t="e">
        <f>IF(VLOOKUP(T_BilanSocial[[#This Row],[NumL]],T_TraitDi[#Data],COLUMN(T_TraitDi[[#This Row],[Colonne3]]),FALSE)=0,"",TEXT(IFERROR(VLOOKUP(T_BilanSocial[[#This Row],[NumL]],T_TraitDi[#Data],COLUMN(T_TraitDi[[#This Row],[Colonne3]]),FALSE),""),"[hh]:mm"))</f>
        <v>#VALUE!</v>
      </c>
      <c r="AI347" s="172" t="e">
        <f>IF(VLOOKUP(T_BilanSocial[[#This Row],[NumL]],T_TraitDi[#Data],COLUMN(T_TraitDi[[#This Row],[Colonne4]]),FALSE)=0,"",TEXT(IFERROR(VLOOKUP(T_BilanSocial[[#This Row],[NumL]],T_TraitDi[#Data],COLUMN(T_TraitDi[[#This Row],[Colonne4]]),FALSE),""),"[hh]:mm"))</f>
        <v>#VALUE!</v>
      </c>
      <c r="AJ347" s="172" t="e">
        <f>IF(VLOOKUP(T_BilanSocial[[#This Row],[NumL]],T_TraitDi[#Data],COLUMN(T_TraitDi[[#This Row],[Colonne5]]),FALSE)=0,"",TEXT(IFERROR(VLOOKUP(T_BilanSocial[[#This Row],[NumL]],T_TraitDi[#Data],COLUMN(T_TraitDi[[#This Row],[Colonne5]]),FALSE),""),"[hh]:mm"))</f>
        <v>#VALUE!</v>
      </c>
      <c r="AK347" s="172" t="e">
        <f>IF(VLOOKUP(T_BilanSocial[[#This Row],[NumL]],T_TraitDi[#Data],COLUMN(T_TraitDi[[#This Row],[Colonne6]]),FALSE)=0,"",TEXT(IFERROR(VLOOKUP(T_BilanSocial[[#This Row],[NumL]],T_TraitDi[#Data],COLUMN(T_TraitDi[[#This Row],[Colonne6]]),FALSE),""),"[hh]:mm"))</f>
        <v>#VALUE!</v>
      </c>
      <c r="AL347" s="172" t="e">
        <f>IF(VLOOKUP(T_BilanSocial[[#This Row],[NumL]],T_TraitDi[#Data],COLUMN(T_TraitDi[[#This Row],[Colonne7]]),FALSE)=0,"",TEXT(IFERROR(VLOOKUP(T_BilanSocial[[#This Row],[NumL]],T_TraitDi[#Data],COLUMN(T_TraitDi[[#This Row],[Colonne7]]),FALSE),""),"[hh]:mm"))</f>
        <v>#VALUE!</v>
      </c>
      <c r="AM347" s="172" t="e">
        <f>IF(VLOOKUP(T_BilanSocial[[#This Row],[NumL]],T_TraitDi[#Data],COLUMN(T_TraitDi[[#This Row],[Colonne8]]),FALSE)=0,"",TEXT(IFERROR(VLOOKUP(T_BilanSocial[[#This Row],[NumL]],T_TraitDi[#Data],COLUMN(T_TraitDi[[#This Row],[Colonne8]]),FALSE),""),"[hh]:mm"))</f>
        <v>#VALUE!</v>
      </c>
      <c r="AN347" s="172" t="str">
        <f>IFERROR(VLOOKUP(T_BilanSocial[[#This Row],[NumL]],T_TraitDi[#Data],COLUMN(T_TraitDi[[#This Row],[Mardi]]),FALSE),"")</f>
        <v/>
      </c>
      <c r="AO347" s="172" t="e">
        <f>IF(VLOOKUP(T_BilanSocial[[#This Row],[NumL]],T_TraitDi[#Data],COLUMN(T_TraitDi[[#This Row],[Colonne1]]),FALSE)=0,"",TEXT(IFERROR(VLOOKUP(T_BilanSocial[[#This Row],[NumL]],T_TraitDi[#Data],COLUMN(T_TraitDi[[#This Row],[Colonne1]]),FALSE),""),"[hh]:mm"))</f>
        <v>#VALUE!</v>
      </c>
      <c r="AP347" s="172" t="e">
        <f>IF(VLOOKUP(T_BilanSocial[[#This Row],[NumL]],T_TraitDi[#Data],COLUMN(T_TraitDi[[#This Row],[Colonne9]]),FALSE)=0,"",TEXT(IFERROR(VLOOKUP(T_BilanSocial[[#This Row],[NumL]],T_TraitDi[#Data],COLUMN(T_TraitDi[[#This Row],[Colonne9]]),FALSE),""),"[hh]:mm"))</f>
        <v>#VALUE!</v>
      </c>
      <c r="AQ347" s="172" t="str">
        <f>IFERROR(VLOOKUP(T_BilanSocial[[#This Row],[NumL]],T_TraitDi[#Data],COLUMN(T_TraitDi[[#This Row],[Colonne10]]),FALSE),"")</f>
        <v/>
      </c>
      <c r="AR347" s="172" t="e">
        <f>IF(VLOOKUP(T_BilanSocial[[#This Row],[NumL]],T_TraitDi[#Data],COLUMN(T_TraitDi[[#This Row],[Colonne11]]),FALSE)=0,"",TEXT(IFERROR(VLOOKUP(T_BilanSocial[[#This Row],[NumL]],T_TraitDi[#Data],COLUMN(T_TraitDi[[#This Row],[Colonne11]]),FALSE),""),"[hh]:mm"))</f>
        <v>#VALUE!</v>
      </c>
      <c r="AS347" s="172" t="e">
        <f>IF(VLOOKUP(T_BilanSocial[[#This Row],[NumL]],T_TraitDi[#Data],COLUMN(T_TraitDi[[#This Row],[Colonne12]]),FALSE)=0,"",TEXT(IFERROR(VLOOKUP(T_BilanSocial[[#This Row],[NumL]],T_TraitDi[#Data],COLUMN(T_TraitDi[[#This Row],[Colonne12]]),FALSE),""),"[hh]:mm"))</f>
        <v>#VALUE!</v>
      </c>
      <c r="AT347" s="172" t="e">
        <f>IF(VLOOKUP(T_BilanSocial[[#This Row],[NumL]],T_TraitDi[#Data],COLUMN(T_TraitDi[[#This Row],[Colonne14]]),FALSE)=0,"",TEXT(IFERROR(VLOOKUP(T_BilanSocial[[#This Row],[NumL]],T_TraitDi[#Data],COLUMN(T_TraitDi[[#This Row],[Colonne14]]),FALSE),""),"[hh]:mm"))</f>
        <v>#VALUE!</v>
      </c>
      <c r="AU347" s="172" t="str">
        <f>IFERROR(VLOOKUP(T_BilanSocial[[#This Row],[NumL]],T_TraitDi[#Data],COLUMN(T_TraitDi[[#This Row],[Mercredi]]),FALSE),"")</f>
        <v/>
      </c>
      <c r="AV347" s="172" t="e">
        <f>IF(VLOOKUP(T_BilanSocial[[#This Row],[NumL]],T_TraitDi[#Data],COLUMN(T_TraitDi[[#This Row],[Colonne15]]),FALSE)=0,"",TEXT(IFERROR(VLOOKUP(T_BilanSocial[[#This Row],[NumL]],T_TraitDi[#Data],COLUMN(T_TraitDi[[#This Row],[Colonne15]]),FALSE),""),"[hh]:mm"))</f>
        <v>#VALUE!</v>
      </c>
      <c r="AW347" s="172" t="e">
        <f>IF(VLOOKUP(T_BilanSocial[[#This Row],[NumL]],T_TraitDi[#Data],COLUMN(T_TraitDi[[#This Row],[Colonne16]]),FALSE)=0,"",TEXT(IFERROR(VLOOKUP(T_BilanSocial[[#This Row],[NumL]],T_TraitDi[#Data],COLUMN(T_TraitDi[[#This Row],[Colonne16]]),FALSE),""),"[hh]:mm"))</f>
        <v>#VALUE!</v>
      </c>
      <c r="AX347" s="172" t="str">
        <f>IFERROR(VLOOKUP(T_BilanSocial[[#This Row],[NumL]],T_TraitDi[#Data],COLUMN(T_TraitDi[[#This Row],[Colonne17]]),FALSE),"")</f>
        <v/>
      </c>
      <c r="AY347" s="172" t="e">
        <f>IF(VLOOKUP(T_BilanSocial[[#This Row],[NumL]],T_TraitDi[#Data],COLUMN(T_TraitDi[[#This Row],[Colonne18]]),FALSE)=0,"",TEXT(IFERROR(VLOOKUP(T_BilanSocial[[#This Row],[NumL]],T_TraitDi[#Data],COLUMN(T_TraitDi[[#This Row],[Colonne18]]),FALSE),""),"[hh]:mm"))</f>
        <v>#VALUE!</v>
      </c>
      <c r="AZ347" s="172" t="e">
        <f>IF(VLOOKUP(T_BilanSocial[[#This Row],[NumL]],T_TraitDi[#Data],COLUMN(T_TraitDi[[#This Row],[Colonne19]]),FALSE)=0,"",TEXT(IFERROR(VLOOKUP(T_BilanSocial[[#This Row],[NumL]],T_TraitDi[#Data],COLUMN(T_TraitDi[[#This Row],[Colonne19]]),FALSE),""),"[hh]:mm"))</f>
        <v>#VALUE!</v>
      </c>
      <c r="BA347" s="172" t="e">
        <f>IF(VLOOKUP(T_BilanSocial[[#This Row],[NumL]],T_TraitDi[#Data],COLUMN(T_TraitDi[[#This Row],[Colonne20]]),FALSE)=0,"",TEXT(IFERROR(VLOOKUP(T_BilanSocial[[#This Row],[NumL]],T_TraitDi[#Data],COLUMN(T_TraitDi[[#This Row],[Colonne20]]),FALSE),""),"[hh]:mm"))</f>
        <v>#VALUE!</v>
      </c>
      <c r="BB347" s="178" t="str">
        <f>IFERROR(VLOOKUP(T_BilanSocial[[#This Row],[NumL]],T_TraitDi[#Data],COLUMN(T_TraitDi[[#This Row],[Jeudi]]),FALSE),"")</f>
        <v/>
      </c>
      <c r="BC347" s="178" t="e">
        <f>IF(VLOOKUP(T_BilanSocial[[#This Row],[NumL]],T_TraitDi[#Data],COLUMN(T_TraitDi[[#This Row],[Colonne21]]),FALSE)=0,"",TEXT(IFERROR(VLOOKUP(T_BilanSocial[[#This Row],[NumL]],T_TraitDi[#Data],COLUMN(T_TraitDi[[#This Row],[Colonne21]]),FALSE),""),"[hh]:mm"))</f>
        <v>#VALUE!</v>
      </c>
      <c r="BD347" s="178" t="e">
        <f>IF(VLOOKUP(T_BilanSocial[[#This Row],[NumL]],T_TraitDi[#Data],COLUMN(T_TraitDi[[#This Row],[Colonne22]]),FALSE)=0,"",TEXT(IFERROR(VLOOKUP(T_BilanSocial[[#This Row],[NumL]],T_TraitDi[#Data],COLUMN(T_TraitDi[[#This Row],[Colonne22]]),FALSE),""),"[hh]:mm"))</f>
        <v>#VALUE!</v>
      </c>
      <c r="BE347" s="178" t="str">
        <f>IFERROR(VLOOKUP(T_BilanSocial[[#This Row],[NumL]],T_TraitDi[#Data],COLUMN(T_TraitDi[[#This Row],[Colonne23]]),FALSE),"")</f>
        <v/>
      </c>
      <c r="BF347" s="178" t="e">
        <f>IF(VLOOKUP(T_BilanSocial[[#This Row],[NumL]],T_TraitDi[#Data],COLUMN(T_TraitDi[[#This Row],[Colonne24]]),FALSE)=0,"",TEXT(IFERROR(VLOOKUP(T_BilanSocial[[#This Row],[NumL]],T_TraitDi[#Data],COLUMN(T_TraitDi[[#This Row],[Colonne24]]),FALSE),""),"[hh]:mm"))</f>
        <v>#VALUE!</v>
      </c>
      <c r="BG347" s="178" t="e">
        <f>IF(VLOOKUP(T_BilanSocial[[#This Row],[NumL]],T_TraitDi[#Data],COLUMN(T_TraitDi[[#This Row],[Colonne25]]),FALSE)=0,"",TEXT(IFERROR(VLOOKUP(T_BilanSocial[[#This Row],[NumL]],T_TraitDi[#Data],COLUMN(T_TraitDi[[#This Row],[Colonne25]]),FALSE),""),"[hh]:mm"))</f>
        <v>#VALUE!</v>
      </c>
      <c r="BH347" s="178" t="e">
        <f>IF(VLOOKUP(T_BilanSocial[[#This Row],[NumL]],T_TraitDi[#Data],COLUMN(T_TraitDi[[#This Row],[Colonne26]]),FALSE)=0,"",TEXT(IFERROR(VLOOKUP(T_BilanSocial[[#This Row],[NumL]],T_TraitDi[#Data],COLUMN(T_TraitDi[[#This Row],[Colonne26]]),FALSE),""),"[hh]:mm"))</f>
        <v>#VALUE!</v>
      </c>
      <c r="BI347" s="172" t="str">
        <f>IFERROR(VLOOKUP(T_BilanSocial[[#This Row],[NumL]],T_TraitDi[#Data],COLUMN(T_TraitDi[[#This Row],[Vendredi]]),FALSE),"")</f>
        <v/>
      </c>
      <c r="BJ347" s="172" t="e">
        <f>IF(VLOOKUP(T_BilanSocial[[#This Row],[NumL]],T_TraitDi[#Data],COLUMN(T_TraitDi[[#This Row],[Colonne27]]),FALSE)=0,"",TEXT(IFERROR(VLOOKUP(T_BilanSocial[[#This Row],[NumL]],T_TraitDi[#Data],COLUMN(T_TraitDi[[#This Row],[Colonne27]]),FALSE),""),"[hh]:mm"))</f>
        <v>#VALUE!</v>
      </c>
      <c r="BK347" s="172" t="e">
        <f>IF(VLOOKUP(T_BilanSocial[[#This Row],[NumL]],T_TraitDi[#Data],COLUMN(T_TraitDi[[#This Row],[Colonne28]]),FALSE)=0,"",TEXT(IFERROR(VLOOKUP(T_BilanSocial[[#This Row],[NumL]],T_TraitDi[#Data],COLUMN(T_TraitDi[[#This Row],[Colonne28]]),FALSE),""),"[hh]:mm"))</f>
        <v>#VALUE!</v>
      </c>
      <c r="BL347" s="172" t="str">
        <f>IFERROR(VLOOKUP(T_BilanSocial[[#This Row],[NumL]],T_TraitDi[#Data],COLUMN(T_TraitDi[[#This Row],[Colonne29]]),FALSE),"")</f>
        <v/>
      </c>
      <c r="BM347" s="172" t="e">
        <f>IF(VLOOKUP(T_BilanSocial[[#This Row],[NumL]],T_TraitDi[#Data],COLUMN(T_TraitDi[[#This Row],[Colonne30]]),FALSE)=0,"",TEXT(IFERROR(VLOOKUP(T_BilanSocial[[#This Row],[NumL]],T_TraitDi[#Data],COLUMN(T_TraitDi[[#This Row],[Colonne30]]),FALSE),""),"[hh]:mm"))</f>
        <v>#VALUE!</v>
      </c>
      <c r="BN347" s="172" t="e">
        <f>IF(VLOOKUP(T_BilanSocial[[#This Row],[NumL]],T_TraitDi[#Data],COLUMN(T_TraitDi[[#This Row],[Colonne31]]),FALSE)=0,"",TEXT(IFERROR(VLOOKUP(T_BilanSocial[[#This Row],[NumL]],T_TraitDi[#Data],COLUMN(T_TraitDi[[#This Row],[Colonne31]]),FALSE),""),"[hh]:mm"))</f>
        <v>#VALUE!</v>
      </c>
      <c r="BO347" s="172" t="e">
        <f>IF(VLOOKUP(T_BilanSocial[[#This Row],[NumL]],T_TraitDi[#Data],COLUMN(T_TraitDi[[#This Row],[Colonne32]]),FALSE)=0,"",TEXT(IFERROR(VLOOKUP(T_BilanSocial[[#This Row],[NumL]],T_TraitDi[#Data],COLUMN(T_TraitDi[[#This Row],[Colonne32]]),FALSE),""),"[hh]:mm"))</f>
        <v>#VALUE!</v>
      </c>
      <c r="BP347" s="172" t="e">
        <f>VLOOKUP(T_BilanSocial[[#This Row],[NumL]],T_TraitDi[#Data],COLUMN(T_TraitDi[NbJTot]),FALSE)</f>
        <v>#N/A</v>
      </c>
      <c r="BQ347" s="174" t="str">
        <f>IFERROR(VLOOKUP(T_BilanSocial[[#This Row],[NumL]],T_TraitDi[#Data],COLUMN(T_TraitDi[[#This Row],[NbJTW]]),FALSE),"")</f>
        <v/>
      </c>
      <c r="BR347" s="174" t="e">
        <f>IF(VLOOKUP(T_BilanSocial[[#This Row],[NumL]],T_TraitDi[#Data],COLUMN(T_TraitDi[[#This Row],[NbhTW]]),FALSE)=0,"",TEXT(IFERROR(VLOOKUP(T_BilanSocial[[#This Row],[NumL]],T_TraitDi[#Data],COLUMN(T_TraitDi[[#This Row],[NbhTW]]),FALSE),""),"[hh]:mm"))</f>
        <v>#VALUE!</v>
      </c>
      <c r="BS347" s="174" t="e">
        <f>IF(VLOOKUP(T_BilanSocial[[#This Row],[NumL]],T_TraitDi[#Data],COLUMN(T_TraitDi[[#This Row],[Nbhheb]]),FALSE)=0,"",TEXT(IFERROR(VLOOKUP($A347,T_TraitDi[#Data],COLUMN(T_TraitDi[[#This Row],[Nbhheb]]),FALSE),""),"[hh]:mm"))</f>
        <v>#VALUE!</v>
      </c>
      <c r="BT347" s="182" t="str">
        <f>IFERROR(VLOOKUP(VLOOKUP($A347,T_TraitDi[#Data],COLUMN(T_TraitDi[[#This Row],[Type1]]),FALSE),TypeTW,2,FALSE),"")</f>
        <v/>
      </c>
      <c r="BU347" s="182" t="str">
        <f>IFERROR(VLOOKUP($A347,T_TraitDi[#Data],COLUMN(T_TraitDi[[#This Row],[Rue1]]),FALSE),"")</f>
        <v/>
      </c>
      <c r="BV347" s="173" t="str">
        <f>IFERROR(VLOOKUP($A347,T_TraitDi[#Data],COLUMN(T_TraitDi[[#This Row],[CP1]]),FALSE),"")</f>
        <v/>
      </c>
      <c r="BW347" s="173" t="str">
        <f>IFERROR(VLOOKUP($A347,T_TraitDi[#Data],COLUMN(T_TraitDi[[#This Row],[VILLE1]]),FALSE),"")</f>
        <v/>
      </c>
      <c r="BX347" s="182" t="str">
        <f>IFERROR(VLOOKUP(VLOOKUP($A347,T_TraitDi[#Data],COLUMN(T_TraitDi[[#This Row],[Type2]]),FALSE),TypeTW,2,FALSE),"")</f>
        <v/>
      </c>
      <c r="BY347" s="182" t="str">
        <f>IFERROR(VLOOKUP($A347,T_TraitDi[#Data],COLUMN(T_TraitDi[[#This Row],[Rue2]]),FALSE),"")</f>
        <v/>
      </c>
      <c r="BZ347" s="173" t="str">
        <f>IFERROR(VLOOKUP($A347,T_TraitDi[#Data],COLUMN(T_TraitDi[[#This Row],[CP2]]),FALSE),"")</f>
        <v/>
      </c>
      <c r="CA347" s="173" t="str">
        <f>IFERROR(VLOOKUP($A347,T_TraitDi[#Data],COLUMN(T_TraitDi[[#This Row],[VILLE2]]),FALSE),"")</f>
        <v/>
      </c>
      <c r="CB347" s="182" t="e">
        <f>IF(VLOOKUP(T_BilanSocial[[#This Row],[NumL]],T_Equipement[#Data],COLUMN(T_Equipement[[#This Row],[PC]]),FALSE)="","Aucun équipement spécifique directement lié au télétravail",VLOOKUP(T_BilanSocial[[#This Row],[NumL]],T_Equipement[#Data],COLUMN(T_Equipement[[#This Row],[PC]]),FALSE))</f>
        <v>#VALUE!</v>
      </c>
      <c r="CC347" s="166" t="str">
        <f>IFERROR(IF(VLOOKUP(T_BilanSocial[[#This Row],[NumL]],T_TraitDi[#Data],COLUMN(T_TraitDi[[#This Row],[Plan]]),FALSE)="OK","Un planning spécifique de télétravail est annexé à la présente convention.",""),"")</f>
        <v/>
      </c>
      <c r="CD347" s="301"/>
      <c r="CE347" s="164" t="e">
        <f>IF(VLOOKUP(T_BilanSocial[[#This Row],[NumL]],T_suiviDi[#Data],COLUMN(T_suiviDi[[#This Row],[Entité]]),FALSE)="","",VLOOKUP(T_BilanSocial[[#This Row],[NumL]],T_suiviDi[#Data],COLUMN(T_suiviDi[[#This Row],[Entité]]),FALSE))</f>
        <v>#VALUE!</v>
      </c>
      <c r="CF347" s="164" t="e">
        <f>IF(VLOOKUP(T_BilanSocial[[#This Row],[NumL]],T_Commission[#Data],COLUMN(T_Commission[[#This Row],[envoi confirm TW]]),FALSE)="","",VLOOKUP(T_BilanSocial[[#This Row],[NumL]],T_Commission[#Data],COLUMN(T_Commission[[#This Row],[envoi confirm TW]]),FALSE))</f>
        <v>#VALUE!</v>
      </c>
      <c r="CG34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7" s="339" t="str">
        <f>T_BilanSocial[[#This Row],[Nom]]&amp;T_BilanSocial[[#This Row],[Prenom]]</f>
        <v/>
      </c>
      <c r="CI347" s="339" t="str">
        <f>VLOOKUP(T_BilanSocial[[#This Row],[NumL]],T_Commission[#Data],COLUMN(T_Commission[Commentaire]),FALSE)</f>
        <v>Le télétravail est accordé dans la limite de 1 jour par semaine.</v>
      </c>
      <c r="CJ347" s="339" t="str">
        <f>IF(VLOOKUP(T_BilanSocial[[#This Row],[NumL]],T_Commission[#Data],COLUMN(T_Commission[Encadrant Email]),FALSE)="","",VLOOKUP(T_BilanSocial[[#This Row],[NumL]],T_Commission[#Data],COLUMN(T_Commission[Encadrant Email]),FALSE))</f>
        <v/>
      </c>
      <c r="CK347" s="332" t="str">
        <f>IF(T_BilanSocial[[#This Row],[Final]]&lt;&gt;"",VLOOKUP(T_BilanSocial[[#This Row],[NumL]],T_suiviDi[#Data],COLUMN((T_suiviDi[Statut])),FALSE),"")</f>
        <v/>
      </c>
    </row>
    <row r="348" spans="1:89" s="50" customFormat="1" ht="29.25" customHeight="1" x14ac:dyDescent="0.25">
      <c r="A348" s="136">
        <v>345</v>
      </c>
      <c r="B348" s="330" t="str">
        <f t="shared" ref="B348:B360" si="83">VLOOKUP(A348,ComDI,15,FALSE)</f>
        <v/>
      </c>
      <c r="C348" s="309"/>
      <c r="D348" s="95" t="e">
        <f t="shared" ref="D348:D360" si="84">IF(VLOOKUP($A348,TraitementDI,19,FALSE)="","",VLOOKUP($A348,TraitementDI,19,FALSE))</f>
        <v>#N/A</v>
      </c>
      <c r="E348" s="95" t="str">
        <f t="shared" ref="E348:E360" si="85">TEXT(DateEdition,"jj mmmm aaaa")</f>
        <v>12 janvier 2021</v>
      </c>
      <c r="F348" s="96" t="str">
        <f>IF(T_BilanSocial[[#This Row],[Final]]&lt;&gt;"",VLOOKUP(T_BilanSocial[[#This Row],[NumL]],T_suiviDi[#Data],COLUMN((T_suiviDi[Civ.])),FALSE),"")</f>
        <v/>
      </c>
      <c r="G348" s="96" t="str">
        <f>IF(T_BilanSocial[[#This Row],[Final]]&lt;&gt;"",VLOOKUP(T_BilanSocial[[#This Row],[NumL]],T_suiviDi[#Data],COLUMN((T_suiviDi[Nom])),FALSE),"")</f>
        <v/>
      </c>
      <c r="H348" s="96" t="str">
        <f>IF(T_BilanSocial[[#This Row],[Final]]&lt;&gt;"",VLOOKUP(T_BilanSocial[[#This Row],[NumL]],T_suiviDi[#Data],COLUMN((T_suiviDi[Prénom])),FALSE),"")</f>
        <v/>
      </c>
      <c r="I348" s="331" t="str">
        <f>IFERROR(VLOOKUP(T_BilanSocial[[#This Row],[Zone_Bilan]],T_P_BilanSocial[#Data],COLUMN(T_P_BilanSocial[[#This Row],[Numero_SIHAM]]),FALSE),"")</f>
        <v/>
      </c>
      <c r="J348" s="331" t="str">
        <f>IFERROR(VLOOKUP(T_BilanSocial[[#This Row],[Zone_Bilan]],T_P_BilanSocial[#Data],COLUMN(T_P_BilanSocial[[#This Row],[Sexe]]),FALSE),"")</f>
        <v/>
      </c>
      <c r="K348" s="294" t="str">
        <f>IFERROR(VLOOKUP(T_BilanSocial[[#This Row],[Zone_Bilan]],T_P_BilanSocial[#Data],COLUMN(T_P_BilanSocial[[#This Row],[Categorie]]),FALSE),"")</f>
        <v/>
      </c>
      <c r="L348" s="331" t="str">
        <f>IFERROR(VLOOKUP(T_BilanSocial[[#This Row],[Zone_Bilan]],T_P_BilanSocial[#Data],COLUMN(T_P_BilanSocial[[#This Row],[Statut]]),FALSE),"")</f>
        <v/>
      </c>
      <c r="M348" s="331" t="str">
        <f>IFERROR(VLOOKUP(T_BilanSocial[[#This Row],[Zone_Bilan]],T_P_BilanSocial[#Data],COLUMN(T_P_BilanSocial[[#This Row],[Filiere]]),FALSE),"")</f>
        <v/>
      </c>
      <c r="N348" s="331" t="e">
        <f>VLOOKUP(T_BilanSocial[[#This Row],[NumL]],T_TraitDi[#Data],COLUMN(T_TraitDi[EXP]),FALSE)</f>
        <v>#N/A</v>
      </c>
      <c r="O348" s="331" t="e">
        <f>VLOOKUP(T_BilanSocial[[#This Row],[NumL]],T_TraitDi[#Data],COLUMN(T_TraitDi[FORM]),FALSE)</f>
        <v>#N/A</v>
      </c>
      <c r="P348" s="96" t="e">
        <f t="shared" ref="P348:P360" si="86">VLOOKUP($A348,ListeDI,5,FALSE)</f>
        <v>#N/A</v>
      </c>
      <c r="Q348" s="96" t="e">
        <f t="shared" ref="Q348:Q360" si="87">IF(VLOOKUP($A348,ListeDI,8,FALSE)="","",VLOOKUP($A348,ListeDI,8,FALSE))</f>
        <v>#N/A</v>
      </c>
      <c r="R348" s="96" t="e">
        <f t="shared" ref="R348:R360" si="88">IF(VLOOKUP($A348,ListeDI,9,FALSE)="","",VLOOKUP($A348,ListeDI,9,FALSE))</f>
        <v>#N/A</v>
      </c>
      <c r="S348" s="96" t="str">
        <f t="shared" ref="S348:S360" si="89">IFERROR(VLOOKUP(VLOOKUP($A348,ListeDI,6,FALSE),Entite_convention,2,FALSE)&amp;IF(VLOOKUP($A348,ListeDI,7,FALSE)&lt;&gt;""," "&amp;VLOOKUP($A348,ListeDI,7,FALSE),""),"")</f>
        <v/>
      </c>
      <c r="T348" s="96" t="str">
        <f t="shared" ref="T348:T360" si="90">TEXT(Dateeffet,"jj mmmm aaaa")</f>
        <v>01 septembre 2021</v>
      </c>
      <c r="U348" s="96" t="str">
        <f t="shared" ref="U348:U360" si="91">TEXT(DateFinadapt,"jj mmmm aaaa")</f>
        <v>30 novembre 2021</v>
      </c>
      <c r="V348" s="97">
        <f t="shared" ref="V348:V360" si="92">Datebilan</f>
        <v>44530</v>
      </c>
      <c r="W348" s="150" t="str">
        <f t="shared" ref="W348:W360" si="93">IFERROR(IF(VLOOKUP($A348,TraitementDI,W$3,FALSE)="","",VLOOKUP($A348,TraitementDI,W$3,FALSE)),"")</f>
        <v/>
      </c>
      <c r="X348" s="96" t="str">
        <f t="shared" ref="X348:Y360" si="94">IFERROR(IF(VLOOKUP($A348,TraitementDI,X$3,FALSE)="",""," - "&amp;VLOOKUP($A348,TraitementDI,X$3,FALSE)),"")</f>
        <v/>
      </c>
      <c r="Y348" s="96" t="str">
        <f t="shared" si="94"/>
        <v/>
      </c>
      <c r="Z348" s="96" t="str">
        <f t="shared" ref="Z348:AA360" si="95">IFERROR(IF(VLOOKUP($A348,TraitementDI,Z$3,FALSE)="",""," -"&amp;VLOOKUP($A348,TraitementDI,Z$3,FALSE)),"")</f>
        <v/>
      </c>
      <c r="AA348" s="150" t="str">
        <f t="shared" si="95"/>
        <v/>
      </c>
      <c r="AB348" s="150" t="str">
        <f t="shared" ref="AB348:AB360" si="96">IFERROR(IF(VLOOKUP($A348,TraitementDI,AB$3,FALSE)="",""," - "&amp;VLOOKUP($A348,TraitementDI,AB$3,FALSE)),"")</f>
        <v/>
      </c>
      <c r="AC348" s="96" t="str">
        <f t="shared" ref="AC348:AC351" si="97">W348&amp;X348&amp;Y348&amp;Z348&amp;AA348&amp;AB348</f>
        <v/>
      </c>
      <c r="AD348" s="97" t="str">
        <f t="shared" ref="AD348:AD360" si="98">IFERROR(TEXT(VLOOKUP($A348,TraitementDI,AD$3,FALSE),"###%"),"")</f>
        <v/>
      </c>
      <c r="AE348" s="294" t="e">
        <f>VLOOKUP(T_BilanSocial[[#This Row],[NumL]],T_TraitDi[#Data],COLUMN(T_TraitDi[[#This Row],[Reg Ponct]]),FALSE)</f>
        <v>#VALUE!</v>
      </c>
      <c r="AF348" s="294" t="e">
        <f>VLOOKUP(T_BilanSocial[NumL],T_TraitDi[#Data],COLUMN(T_TraitDi[[#This Row],[Jours flottants]]),FALSE)</f>
        <v>#VALUE!</v>
      </c>
      <c r="AG348" s="97" t="str">
        <f t="shared" ref="AG348:AG360" si="99">IFERROR(VLOOKUP($A348,TraitementDI,AG$3,FALSE),"")</f>
        <v/>
      </c>
      <c r="AH348" s="95" t="e">
        <f t="shared" ref="AH348:AI360" si="100">IF(VLOOKUP($A348,TraitementDI,AH$3,FALSE)=0,"",TEXT(IFERROR(VLOOKUP($A348,TraitementDI,AH$3,FALSE),""),"[hh]:mm"))</f>
        <v>#N/A</v>
      </c>
      <c r="AI348" s="95" t="e">
        <f t="shared" si="100"/>
        <v>#N/A</v>
      </c>
      <c r="AJ348" s="95" t="str">
        <f t="shared" ref="AJ348:AJ360" si="101">IFERROR(VLOOKUP($A348,TraitementDI,AJ$3,FALSE),"")</f>
        <v/>
      </c>
      <c r="AK348" s="95" t="e">
        <f t="shared" ref="AK348:AM360" si="102">IF(VLOOKUP($A348,TraitementDI,AK$3,FALSE)=0,"",TEXT(IFERROR(VLOOKUP($A348,TraitementDI,AK$3,FALSE),""),"[hh]:mm"))</f>
        <v>#N/A</v>
      </c>
      <c r="AL348" s="95" t="e">
        <f t="shared" si="102"/>
        <v>#N/A</v>
      </c>
      <c r="AM348" s="95" t="e">
        <f t="shared" si="102"/>
        <v>#N/A</v>
      </c>
      <c r="AN348" s="95" t="str">
        <f t="shared" ref="AN348:AN360" si="103">IFERROR(VLOOKUP($A348,TraitementDI,AN$3,FALSE),"")</f>
        <v/>
      </c>
      <c r="AO348" s="95" t="e">
        <f t="shared" ref="AO348:AP360" si="104">IF(VLOOKUP($A348,TraitementDI,AO$3,FALSE)=0,"",TEXT(IFERROR(VLOOKUP($A348,TraitementDI,AO$3,FALSE),""),"[hh]:mm"))</f>
        <v>#N/A</v>
      </c>
      <c r="AP348" s="95" t="e">
        <f t="shared" si="104"/>
        <v>#N/A</v>
      </c>
      <c r="AQ348" s="95" t="str">
        <f t="shared" ref="AQ348:AQ360" si="105">IFERROR(VLOOKUP($A348,TraitementDI,AQ$3,FALSE),"")</f>
        <v/>
      </c>
      <c r="AR348" s="95" t="e">
        <f t="shared" ref="AR348:AT360" si="106">IF(VLOOKUP($A348,TraitementDI,AR$3,FALSE)=0,"",TEXT(IFERROR(VLOOKUP($A348,TraitementDI,AR$3,FALSE),""),"[hh]:mm"))</f>
        <v>#N/A</v>
      </c>
      <c r="AS348" s="95" t="e">
        <f t="shared" si="106"/>
        <v>#N/A</v>
      </c>
      <c r="AT348" s="95" t="e">
        <f t="shared" si="106"/>
        <v>#N/A</v>
      </c>
      <c r="AU348" s="95" t="str">
        <f t="shared" ref="AU348:AU360" si="107">IFERROR(VLOOKUP($A348,TraitementDI,AU$3,FALSE),"")</f>
        <v/>
      </c>
      <c r="AV348" s="95" t="e">
        <f t="shared" ref="AV348:AW360" si="108">IF(VLOOKUP($A348,TraitementDI,AV$3,FALSE)=0,"",TEXT(IFERROR(VLOOKUP($A348,TraitementDI,AV$3,FALSE),""),"[hh]:mm"))</f>
        <v>#N/A</v>
      </c>
      <c r="AW348" s="95" t="e">
        <f t="shared" si="108"/>
        <v>#N/A</v>
      </c>
      <c r="AX348" s="95" t="str">
        <f t="shared" ref="AX348:AX360" si="109">IFERROR(VLOOKUP($A348,TraitementDI,AX$3,FALSE),"")</f>
        <v/>
      </c>
      <c r="AY348" s="95" t="e">
        <f t="shared" ref="AY348:BA360" si="110">IF(VLOOKUP($A348,TraitementDI,AY$3,FALSE)=0,"",TEXT(IFERROR(VLOOKUP($A348,TraitementDI,AY$3,FALSE),""),"[hh]:mm"))</f>
        <v>#N/A</v>
      </c>
      <c r="AZ348" s="95" t="e">
        <f t="shared" si="110"/>
        <v>#N/A</v>
      </c>
      <c r="BA348" s="95" t="e">
        <f t="shared" si="110"/>
        <v>#N/A</v>
      </c>
      <c r="BB348" s="95" t="str">
        <f t="shared" ref="BB348:BB360" si="111">IFERROR(VLOOKUP($A348,TraitementDI,BB$3,FALSE),"")</f>
        <v/>
      </c>
      <c r="BC348" s="95" t="e">
        <f t="shared" ref="BC348:BD360" si="112">IF(VLOOKUP($A348,TraitementDI,BC$3,FALSE)=0,"",TEXT(IFERROR(VLOOKUP($A348,TraitementDI,BC$3,FALSE),""),"[hh]:mm"))</f>
        <v>#N/A</v>
      </c>
      <c r="BD348" s="95" t="e">
        <f t="shared" si="112"/>
        <v>#N/A</v>
      </c>
      <c r="BE348" s="95" t="str">
        <f t="shared" ref="BE348:BE360" si="113">IFERROR(VLOOKUP($A348,TraitementDI,BE$3,FALSE),"")</f>
        <v/>
      </c>
      <c r="BF348" s="95" t="e">
        <f t="shared" ref="BF348:BH360" si="114">IF(VLOOKUP($A348,TraitementDI,BF$3,FALSE)=0,"",TEXT(IFERROR(VLOOKUP($A348,TraitementDI,BF$3,FALSE),""),"[hh]:mm"))</f>
        <v>#N/A</v>
      </c>
      <c r="BG348" s="95" t="e">
        <f t="shared" si="114"/>
        <v>#N/A</v>
      </c>
      <c r="BH348" s="95" t="e">
        <f t="shared" si="114"/>
        <v>#N/A</v>
      </c>
      <c r="BI348" s="95" t="str">
        <f t="shared" ref="BI348:BI360" si="115">IFERROR(VLOOKUP($A348,TraitementDI,BI$3,FALSE),"")</f>
        <v/>
      </c>
      <c r="BJ348" s="95" t="e">
        <f t="shared" ref="BJ348:BK360" si="116">IF(VLOOKUP($A348,TraitementDI,BJ$3,FALSE)=0,"",TEXT(IFERROR(VLOOKUP($A348,TraitementDI,BJ$3,FALSE),""),"[hh]:mm"))</f>
        <v>#N/A</v>
      </c>
      <c r="BK348" s="95" t="e">
        <f t="shared" si="116"/>
        <v>#N/A</v>
      </c>
      <c r="BL348" s="95" t="str">
        <f t="shared" ref="BL348:BL360" si="117">IFERROR(VLOOKUP($A348,TraitementDI,BL$3,FALSE),"")</f>
        <v/>
      </c>
      <c r="BM348" s="95" t="e">
        <f t="shared" ref="BM348:BO360" si="118">IF(VLOOKUP($A348,TraitementDI,BM$3,FALSE)=0,"",TEXT(IFERROR(VLOOKUP($A348,TraitementDI,BM$3,FALSE),""),"[hh]:mm"))</f>
        <v>#N/A</v>
      </c>
      <c r="BN348" s="95" t="e">
        <f t="shared" si="118"/>
        <v>#N/A</v>
      </c>
      <c r="BO348" s="95" t="e">
        <f t="shared" si="118"/>
        <v>#N/A</v>
      </c>
      <c r="BP348" s="388" t="e">
        <f>VLOOKUP(T_BilanSocial[[#This Row],[NumL]],T_TraitDi[#Data],COLUMN(T_TraitDi[NbJTot]),FALSE)</f>
        <v>#N/A</v>
      </c>
      <c r="BQ348" s="174" t="str">
        <f>IFERROR(VLOOKUP(T_BilanSocial[[#This Row],[NumL]],T_TraitDi[#Data],COLUMN(T_TraitDi[[#This Row],[NbJTW]]),FALSE),"")</f>
        <v/>
      </c>
      <c r="BR348" s="95" t="e">
        <f t="shared" ref="BR348:BS360" si="119">IF(VLOOKUP($A348,TraitementDI,BR$3,FALSE)=0,"",TEXT(IFERROR(VLOOKUP($A348,TraitementDI,BR$3,FALSE),""),"[hh]:mm"))</f>
        <v>#N/A</v>
      </c>
      <c r="BS348" s="95" t="e">
        <f t="shared" si="119"/>
        <v>#N/A</v>
      </c>
      <c r="BT348" s="389" t="str">
        <f t="shared" ref="BT348:BT360" si="120">IFERROR(VLOOKUP(VLOOKUP($A348,TraitementDI,BT$3,FALSE),TypeTW,2,FALSE),"")</f>
        <v/>
      </c>
      <c r="BU348" s="390" t="str">
        <f t="shared" ref="BU348:BU360" si="121">IFERROR(VLOOKUP($A348,TraitementDI,BU$3,FALSE),"")</f>
        <v/>
      </c>
      <c r="BV348" s="391" t="str">
        <f t="shared" ref="BV348:BV360" si="122">IFERROR(TEXT(VLOOKUP($A348,TraitementDI,BV$3,FALSE),"#####"),"")</f>
        <v/>
      </c>
      <c r="BW348" s="150" t="str">
        <f t="shared" ref="BW348:BW360" si="123">IFERROR(VLOOKUP($A348,TraitementDI,BW$3,FALSE),"")</f>
        <v/>
      </c>
      <c r="BX348" s="173"/>
      <c r="BY348" s="392"/>
      <c r="BZ348" s="173"/>
      <c r="CA348" s="173"/>
      <c r="CB348" s="393" t="str">
        <f>IF(VLOOKUP(A348,'4- Equipement et formations'!A:S,12,FALSE)="","Aucun équipement spécifique directement lié au télétravail",VLOOKUP(A348,'4- Equipement et formations'!A:S,12,FALSE))</f>
        <v>Aucun équipement spécifique directement lié au télétravail</v>
      </c>
      <c r="CC348" s="394" t="str">
        <f t="shared" ref="CC348:CC360" si="124">IFERROR(IF(VLOOKUP(A348,TraitementDI,13,FALSE)="OK","Un planning spécifique de télétravail est annexé à la présente convention.",""),"")</f>
        <v/>
      </c>
      <c r="CD348" s="301"/>
      <c r="CE348" s="164" t="e">
        <f>IF(VLOOKUP(T_BilanSocial[[#This Row],[NumL]],T_suiviDi[#Data],COLUMN(T_suiviDi[[#This Row],[Entité]]),FALSE)="","",VLOOKUP(T_BilanSocial[[#This Row],[NumL]],T_suiviDi[#Data],COLUMN(T_suiviDi[[#This Row],[Entité]]),FALSE))</f>
        <v>#VALUE!</v>
      </c>
      <c r="CF348" s="164"/>
      <c r="CG34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8" s="339" t="str">
        <f>T_BilanSocial[[#This Row],[Nom]]&amp;T_BilanSocial[[#This Row],[Prenom]]</f>
        <v/>
      </c>
      <c r="CI348" s="339">
        <f>VLOOKUP(T_BilanSocial[[#This Row],[NumL]],T_Commission[#Data],COLUMN(T_Commission[Commentaire]),FALSE)</f>
        <v>0</v>
      </c>
      <c r="CJ348" s="339" t="str">
        <f>IF(VLOOKUP(T_BilanSocial[[#This Row],[NumL]],T_Commission[#Data],COLUMN(T_Commission[Encadrant Email]),FALSE)="","",VLOOKUP(T_BilanSocial[[#This Row],[NumL]],T_Commission[#Data],COLUMN(T_Commission[Encadrant Email]),FALSE))</f>
        <v/>
      </c>
      <c r="CK348" s="332" t="str">
        <f>IF(T_BilanSocial[[#This Row],[Final]]&lt;&gt;"",VLOOKUP(T_BilanSocial[[#This Row],[NumL]],T_suiviDi[#Data],COLUMN((T_suiviDi[Statut])),FALSE),"")</f>
        <v/>
      </c>
    </row>
    <row r="349" spans="1:89" s="50" customFormat="1" ht="29.25" customHeight="1" x14ac:dyDescent="0.25">
      <c r="A349" s="136">
        <v>346</v>
      </c>
      <c r="B349" s="330" t="str">
        <f t="shared" si="83"/>
        <v/>
      </c>
      <c r="C349" s="309"/>
      <c r="D349" s="95">
        <f t="shared" si="84"/>
        <v>1</v>
      </c>
      <c r="E349" s="95" t="str">
        <f t="shared" si="85"/>
        <v>12 janvier 2021</v>
      </c>
      <c r="F349" s="96" t="str">
        <f>IF(T_BilanSocial[[#This Row],[Final]]&lt;&gt;"",VLOOKUP(T_BilanSocial[[#This Row],[NumL]],T_suiviDi[#Data],COLUMN((T_suiviDi[Civ.])),FALSE),"")</f>
        <v/>
      </c>
      <c r="G349" s="96" t="str">
        <f>IF(T_BilanSocial[[#This Row],[Final]]&lt;&gt;"",VLOOKUP(T_BilanSocial[[#This Row],[NumL]],T_suiviDi[#Data],COLUMN((T_suiviDi[Nom])),FALSE),"")</f>
        <v/>
      </c>
      <c r="H349" s="96" t="str">
        <f>IF(T_BilanSocial[[#This Row],[Final]]&lt;&gt;"",VLOOKUP(T_BilanSocial[[#This Row],[NumL]],T_suiviDi[#Data],COLUMN((T_suiviDi[Prénom])),FALSE),"")</f>
        <v/>
      </c>
      <c r="I349" s="331" t="str">
        <f>IFERROR(VLOOKUP(T_BilanSocial[[#This Row],[Zone_Bilan]],T_P_BilanSocial[#Data],COLUMN(T_P_BilanSocial[[#This Row],[Numero_SIHAM]]),FALSE),"")</f>
        <v/>
      </c>
      <c r="J349" s="331" t="str">
        <f>IFERROR(VLOOKUP(T_BilanSocial[[#This Row],[Zone_Bilan]],T_P_BilanSocial[#Data],COLUMN(T_P_BilanSocial[[#This Row],[Sexe]]),FALSE),"")</f>
        <v/>
      </c>
      <c r="K349" s="294" t="str">
        <f>IFERROR(VLOOKUP(T_BilanSocial[[#This Row],[Zone_Bilan]],T_P_BilanSocial[#Data],COLUMN(T_P_BilanSocial[[#This Row],[Categorie]]),FALSE),"")</f>
        <v/>
      </c>
      <c r="L349" s="331" t="str">
        <f>IFERROR(VLOOKUP(T_BilanSocial[[#This Row],[Zone_Bilan]],T_P_BilanSocial[#Data],COLUMN(T_P_BilanSocial[[#This Row],[Statut]]),FALSE),"")</f>
        <v/>
      </c>
      <c r="M349" s="331" t="str">
        <f>IFERROR(VLOOKUP(T_BilanSocial[[#This Row],[Zone_Bilan]],T_P_BilanSocial[#Data],COLUMN(T_P_BilanSocial[[#This Row],[Filiere]]),FALSE),"")</f>
        <v/>
      </c>
      <c r="N349" s="331" t="str">
        <f>VLOOKUP(T_BilanSocial[[#This Row],[NumL]],T_TraitDi[#Data],COLUMN(T_TraitDi[EXP]),FALSE)</f>
        <v>N</v>
      </c>
      <c r="O349" s="331" t="str">
        <f>VLOOKUP(T_BilanSocial[[#This Row],[NumL]],T_TraitDi[#Data],COLUMN(T_TraitDi[FORM]),FALSE)</f>
        <v>N</v>
      </c>
      <c r="P349" s="96" t="str">
        <f t="shared" si="86"/>
        <v>Julie</v>
      </c>
      <c r="Q349" s="96" t="str">
        <f t="shared" si="87"/>
        <v/>
      </c>
      <c r="R349" s="96" t="str">
        <f t="shared" si="88"/>
        <v/>
      </c>
      <c r="S349" s="96" t="str">
        <f t="shared" si="89"/>
        <v/>
      </c>
      <c r="T349" s="96" t="str">
        <f t="shared" si="90"/>
        <v>01 septembre 2021</v>
      </c>
      <c r="U349" s="96" t="str">
        <f t="shared" si="91"/>
        <v>30 novembre 2021</v>
      </c>
      <c r="V349" s="97">
        <f t="shared" si="92"/>
        <v>44530</v>
      </c>
      <c r="W349" s="150" t="str">
        <f t="shared" si="93"/>
        <v>N</v>
      </c>
      <c r="X349" s="96" t="str">
        <f t="shared" si="94"/>
        <v xml:space="preserve"> - Préparation des plannings des examens</v>
      </c>
      <c r="Y349" s="96" t="str">
        <f t="shared" si="94"/>
        <v xml:space="preserve"> - Mise en TD des étudiants</v>
      </c>
      <c r="Z349" s="96" t="str">
        <f t="shared" si="95"/>
        <v xml:space="preserve"> -Saisie des notes de TD et organisation des délibérations</v>
      </c>
      <c r="AA349" s="150" t="str">
        <f t="shared" si="95"/>
        <v/>
      </c>
      <c r="AB349" s="150" t="str">
        <f t="shared" si="96"/>
        <v/>
      </c>
      <c r="AC349" s="96" t="str">
        <f t="shared" si="97"/>
        <v>N - Préparation des plannings des examens - Mise en TD des étudiants -Saisie des notes de TD et organisation des délibérations</v>
      </c>
      <c r="AD349" s="97" t="str">
        <f t="shared" si="98"/>
        <v>100%</v>
      </c>
      <c r="AE349" s="294" t="e">
        <f>VLOOKUP(T_BilanSocial[[#This Row],[NumL]],T_TraitDi[#Data],COLUMN(T_TraitDi[[#This Row],[Reg Ponct]]),FALSE)</f>
        <v>#VALUE!</v>
      </c>
      <c r="AF349" s="294" t="e">
        <f>VLOOKUP(T_BilanSocial[NumL],T_TraitDi[#Data],COLUMN(T_TraitDi[[#This Row],[Jours flottants]]),FALSE)</f>
        <v>#VALUE!</v>
      </c>
      <c r="AG349" s="97">
        <f t="shared" si="99"/>
        <v>0.31250000000000006</v>
      </c>
      <c r="AH349" s="95" t="str">
        <f t="shared" si="100"/>
        <v>S</v>
      </c>
      <c r="AI349" s="95" t="str">
        <f t="shared" si="100"/>
        <v>08:30</v>
      </c>
      <c r="AJ349" s="95">
        <f t="shared" si="101"/>
        <v>0.5</v>
      </c>
      <c r="AK349" s="95" t="str">
        <f t="shared" si="102"/>
        <v>S</v>
      </c>
      <c r="AL349" s="95" t="str">
        <f t="shared" si="102"/>
        <v>13:00</v>
      </c>
      <c r="AM349" s="95" t="str">
        <f t="shared" si="102"/>
        <v>17:00</v>
      </c>
      <c r="AN349" s="95">
        <f t="shared" si="103"/>
        <v>0.31250000000000006</v>
      </c>
      <c r="AO349" s="95" t="str">
        <f t="shared" si="104"/>
        <v>S</v>
      </c>
      <c r="AP349" s="95" t="str">
        <f t="shared" si="104"/>
        <v>08:30</v>
      </c>
      <c r="AQ349" s="95">
        <f t="shared" si="105"/>
        <v>0.5</v>
      </c>
      <c r="AR349" s="95" t="str">
        <f t="shared" si="106"/>
        <v>S</v>
      </c>
      <c r="AS349" s="95" t="str">
        <f t="shared" si="106"/>
        <v>13:00</v>
      </c>
      <c r="AT349" s="95" t="str">
        <f t="shared" si="106"/>
        <v>17:00</v>
      </c>
      <c r="AU349" s="95">
        <f t="shared" si="107"/>
        <v>0.31250000000000006</v>
      </c>
      <c r="AV349" s="95" t="str">
        <f t="shared" si="108"/>
        <v>S</v>
      </c>
      <c r="AW349" s="95" t="str">
        <f t="shared" si="108"/>
        <v>08:30</v>
      </c>
      <c r="AX349" s="95">
        <f t="shared" si="109"/>
        <v>0.5</v>
      </c>
      <c r="AY349" s="95" t="str">
        <f t="shared" si="110"/>
        <v>S</v>
      </c>
      <c r="AZ349" s="95" t="str">
        <f t="shared" si="110"/>
        <v>13:00</v>
      </c>
      <c r="BA349" s="95" t="str">
        <f t="shared" si="110"/>
        <v>17:00</v>
      </c>
      <c r="BB349" s="95">
        <f t="shared" si="111"/>
        <v>0.31250000000000006</v>
      </c>
      <c r="BC349" s="95" t="str">
        <f t="shared" si="112"/>
        <v>T</v>
      </c>
      <c r="BD349" s="95" t="str">
        <f t="shared" si="112"/>
        <v>08:30</v>
      </c>
      <c r="BE349" s="95">
        <f t="shared" si="113"/>
        <v>0.5</v>
      </c>
      <c r="BF349" s="95" t="str">
        <f t="shared" si="114"/>
        <v>T</v>
      </c>
      <c r="BG349" s="95" t="str">
        <f t="shared" si="114"/>
        <v>13:00</v>
      </c>
      <c r="BH349" s="95" t="str">
        <f t="shared" si="114"/>
        <v>17:00</v>
      </c>
      <c r="BI349" s="95">
        <f t="shared" si="115"/>
        <v>0.31250000000000006</v>
      </c>
      <c r="BJ349" s="95" t="str">
        <f t="shared" si="116"/>
        <v>S</v>
      </c>
      <c r="BK349" s="95" t="str">
        <f t="shared" si="116"/>
        <v>08:30</v>
      </c>
      <c r="BL349" s="95">
        <f t="shared" si="117"/>
        <v>0.5</v>
      </c>
      <c r="BM349" s="95" t="str">
        <f t="shared" si="118"/>
        <v>S</v>
      </c>
      <c r="BN349" s="95" t="str">
        <f t="shared" si="118"/>
        <v>13:00</v>
      </c>
      <c r="BO349" s="95" t="str">
        <f t="shared" si="118"/>
        <v>16:35</v>
      </c>
      <c r="BP349" s="388">
        <f>VLOOKUP(T_BilanSocial[[#This Row],[NumL]],T_TraitDi[#Data],COLUMN(T_TraitDi[NbJTot]),FALSE)</f>
        <v>5</v>
      </c>
      <c r="BQ349" s="174" t="str">
        <f>IFERROR(VLOOKUP(T_BilanSocial[[#This Row],[NumL]],T_TraitDi[#Data],COLUMN(T_TraitDi[[#This Row],[NbJTW]]),FALSE),"")</f>
        <v/>
      </c>
      <c r="BR349" s="95" t="str">
        <f t="shared" si="119"/>
        <v>37:05</v>
      </c>
      <c r="BS349" s="95" t="str">
        <f t="shared" si="119"/>
        <v>96:00</v>
      </c>
      <c r="BT349" s="389" t="str">
        <f t="shared" si="120"/>
        <v/>
      </c>
      <c r="BU349" s="390" t="str">
        <f t="shared" si="121"/>
        <v/>
      </c>
      <c r="BV349" s="391" t="str">
        <f t="shared" si="122"/>
        <v/>
      </c>
      <c r="BW349" s="150" t="str">
        <f t="shared" si="123"/>
        <v/>
      </c>
      <c r="BX349" s="173"/>
      <c r="BY349" s="392"/>
      <c r="BZ349" s="173"/>
      <c r="CA349" s="173"/>
      <c r="CB349" s="393" t="str">
        <f>IF(VLOOKUP(A349,'4- Equipement et formations'!A:S,12,FALSE)="","Aucun équipement spécifique directement lié au télétravail",VLOOKUP(A349,'4- Equipement et formations'!A:S,12,FALSE))</f>
        <v>Aucun équipement spécifique directement lié au télétravail</v>
      </c>
      <c r="CC349" s="394" t="str">
        <f t="shared" si="124"/>
        <v>Un planning spécifique de télétravail est annexé à la présente convention.</v>
      </c>
      <c r="CD349" s="301"/>
      <c r="CE349" s="164" t="e">
        <f>IF(VLOOKUP(T_BilanSocial[[#This Row],[NumL]],T_suiviDi[#Data],COLUMN(T_suiviDi[[#This Row],[Entité]]),FALSE)="","",VLOOKUP(T_BilanSocial[[#This Row],[NumL]],T_suiviDi[#Data],COLUMN(T_suiviDi[[#This Row],[Entité]]),FALSE))</f>
        <v>#VALUE!</v>
      </c>
      <c r="CF349" s="164"/>
      <c r="CG34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49" s="339" t="str">
        <f>T_BilanSocial[[#This Row],[Nom]]&amp;T_BilanSocial[[#This Row],[Prenom]]</f>
        <v/>
      </c>
      <c r="CI349" s="339">
        <f>VLOOKUP(T_BilanSocial[[#This Row],[NumL]],T_Commission[#Data],COLUMN(T_Commission[Commentaire]),FALSE)</f>
        <v>0</v>
      </c>
      <c r="CJ349" s="339" t="str">
        <f>IF(VLOOKUP(T_BilanSocial[[#This Row],[NumL]],T_Commission[#Data],COLUMN(T_Commission[Encadrant Email]),FALSE)="","",VLOOKUP(T_BilanSocial[[#This Row],[NumL]],T_Commission[#Data],COLUMN(T_Commission[Encadrant Email]),FALSE))</f>
        <v/>
      </c>
      <c r="CK349" s="332" t="str">
        <f>IF(T_BilanSocial[[#This Row],[Final]]&lt;&gt;"",VLOOKUP(T_BilanSocial[[#This Row],[NumL]],T_suiviDi[#Data],COLUMN((T_suiviDi[Statut])),FALSE),"")</f>
        <v/>
      </c>
    </row>
    <row r="350" spans="1:89" ht="29.25" customHeight="1" x14ac:dyDescent="0.25">
      <c r="A350" s="136">
        <v>347</v>
      </c>
      <c r="B350" s="330" t="str">
        <f t="shared" si="83"/>
        <v/>
      </c>
      <c r="C350" s="309"/>
      <c r="D350" s="95" t="e">
        <f t="shared" si="84"/>
        <v>#N/A</v>
      </c>
      <c r="E350" s="95" t="str">
        <f t="shared" si="85"/>
        <v>12 janvier 2021</v>
      </c>
      <c r="F350" s="96" t="str">
        <f>IF(T_BilanSocial[[#This Row],[Final]]&lt;&gt;"",VLOOKUP(T_BilanSocial[[#This Row],[NumL]],T_suiviDi[#Data],COLUMN((T_suiviDi[Civ.])),FALSE),"")</f>
        <v/>
      </c>
      <c r="G350" s="96" t="str">
        <f>IF(T_BilanSocial[[#This Row],[Final]]&lt;&gt;"",VLOOKUP(T_BilanSocial[[#This Row],[NumL]],T_suiviDi[#Data],COLUMN((T_suiviDi[Nom])),FALSE),"")</f>
        <v/>
      </c>
      <c r="H350" s="96" t="str">
        <f>IF(T_BilanSocial[[#This Row],[Final]]&lt;&gt;"",VLOOKUP(T_BilanSocial[[#This Row],[NumL]],T_suiviDi[#Data],COLUMN((T_suiviDi[Prénom])),FALSE),"")</f>
        <v/>
      </c>
      <c r="I350" s="331" t="str">
        <f>IFERROR(VLOOKUP(T_BilanSocial[[#This Row],[Zone_Bilan]],T_P_BilanSocial[#Data],COLUMN(T_P_BilanSocial[[#This Row],[Numero_SIHAM]]),FALSE),"")</f>
        <v/>
      </c>
      <c r="J350" s="331" t="str">
        <f>IFERROR(VLOOKUP(T_BilanSocial[[#This Row],[Zone_Bilan]],T_P_BilanSocial[#Data],COLUMN(T_P_BilanSocial[[#This Row],[Sexe]]),FALSE),"")</f>
        <v/>
      </c>
      <c r="K350" s="294" t="str">
        <f>IFERROR(VLOOKUP(T_BilanSocial[[#This Row],[Zone_Bilan]],T_P_BilanSocial[#Data],COLUMN(T_P_BilanSocial[[#This Row],[Categorie]]),FALSE),"")</f>
        <v/>
      </c>
      <c r="L350" s="331" t="str">
        <f>IFERROR(VLOOKUP(T_BilanSocial[[#This Row],[Zone_Bilan]],T_P_BilanSocial[#Data],COLUMN(T_P_BilanSocial[[#This Row],[Statut]]),FALSE),"")</f>
        <v/>
      </c>
      <c r="M350" s="331" t="str">
        <f>IFERROR(VLOOKUP(T_BilanSocial[[#This Row],[Zone_Bilan]],T_P_BilanSocial[#Data],COLUMN(T_P_BilanSocial[[#This Row],[Filiere]]),FALSE),"")</f>
        <v/>
      </c>
      <c r="N350" s="331" t="e">
        <f>VLOOKUP(T_BilanSocial[[#This Row],[NumL]],T_TraitDi[#Data],COLUMN(T_TraitDi[EXP]),FALSE)</f>
        <v>#N/A</v>
      </c>
      <c r="O350" s="331" t="e">
        <f>VLOOKUP(T_BilanSocial[[#This Row],[NumL]],T_TraitDi[#Data],COLUMN(T_TraitDi[FORM]),FALSE)</f>
        <v>#N/A</v>
      </c>
      <c r="P350" s="96" t="e">
        <f t="shared" si="86"/>
        <v>#N/A</v>
      </c>
      <c r="Q350" s="96" t="e">
        <f t="shared" si="87"/>
        <v>#N/A</v>
      </c>
      <c r="R350" s="96" t="e">
        <f t="shared" si="88"/>
        <v>#N/A</v>
      </c>
      <c r="S350" s="96" t="str">
        <f t="shared" si="89"/>
        <v/>
      </c>
      <c r="T350" s="96" t="str">
        <f t="shared" si="90"/>
        <v>01 septembre 2021</v>
      </c>
      <c r="U350" s="96" t="str">
        <f t="shared" si="91"/>
        <v>30 novembre 2021</v>
      </c>
      <c r="V350" s="97">
        <f t="shared" si="92"/>
        <v>44530</v>
      </c>
      <c r="W350" s="150" t="str">
        <f t="shared" si="93"/>
        <v/>
      </c>
      <c r="X350" s="96" t="str">
        <f t="shared" si="94"/>
        <v/>
      </c>
      <c r="Y350" s="96" t="str">
        <f t="shared" si="94"/>
        <v/>
      </c>
      <c r="Z350" s="96" t="str">
        <f t="shared" si="95"/>
        <v/>
      </c>
      <c r="AA350" s="150" t="str">
        <f t="shared" si="95"/>
        <v/>
      </c>
      <c r="AB350" s="150" t="str">
        <f t="shared" si="96"/>
        <v/>
      </c>
      <c r="AC350" s="96" t="str">
        <f t="shared" si="97"/>
        <v/>
      </c>
      <c r="AD350" s="97" t="str">
        <f t="shared" si="98"/>
        <v/>
      </c>
      <c r="AE350" s="294" t="e">
        <f>VLOOKUP(T_BilanSocial[[#This Row],[NumL]],T_TraitDi[#Data],COLUMN(T_TraitDi[[#This Row],[Reg Ponct]]),FALSE)</f>
        <v>#VALUE!</v>
      </c>
      <c r="AF350" s="294" t="e">
        <f>VLOOKUP(T_BilanSocial[NumL],T_TraitDi[#Data],COLUMN(T_TraitDi[[#This Row],[Jours flottants]]),FALSE)</f>
        <v>#VALUE!</v>
      </c>
      <c r="AG350" s="97" t="str">
        <f t="shared" si="99"/>
        <v/>
      </c>
      <c r="AH350" s="95" t="e">
        <f t="shared" si="100"/>
        <v>#N/A</v>
      </c>
      <c r="AI350" s="95" t="e">
        <f t="shared" si="100"/>
        <v>#N/A</v>
      </c>
      <c r="AJ350" s="95" t="str">
        <f t="shared" si="101"/>
        <v/>
      </c>
      <c r="AK350" s="95" t="e">
        <f t="shared" si="102"/>
        <v>#N/A</v>
      </c>
      <c r="AL350" s="95" t="e">
        <f t="shared" si="102"/>
        <v>#N/A</v>
      </c>
      <c r="AM350" s="95" t="e">
        <f t="shared" si="102"/>
        <v>#N/A</v>
      </c>
      <c r="AN350" s="95" t="str">
        <f t="shared" si="103"/>
        <v/>
      </c>
      <c r="AO350" s="95" t="e">
        <f t="shared" si="104"/>
        <v>#N/A</v>
      </c>
      <c r="AP350" s="95" t="e">
        <f t="shared" si="104"/>
        <v>#N/A</v>
      </c>
      <c r="AQ350" s="95" t="str">
        <f t="shared" si="105"/>
        <v/>
      </c>
      <c r="AR350" s="95" t="e">
        <f t="shared" si="106"/>
        <v>#N/A</v>
      </c>
      <c r="AS350" s="95" t="e">
        <f t="shared" si="106"/>
        <v>#N/A</v>
      </c>
      <c r="AT350" s="95" t="e">
        <f t="shared" si="106"/>
        <v>#N/A</v>
      </c>
      <c r="AU350" s="95" t="str">
        <f t="shared" si="107"/>
        <v/>
      </c>
      <c r="AV350" s="95" t="e">
        <f t="shared" si="108"/>
        <v>#N/A</v>
      </c>
      <c r="AW350" s="95" t="e">
        <f t="shared" si="108"/>
        <v>#N/A</v>
      </c>
      <c r="AX350" s="95" t="str">
        <f t="shared" si="109"/>
        <v/>
      </c>
      <c r="AY350" s="95" t="e">
        <f t="shared" si="110"/>
        <v>#N/A</v>
      </c>
      <c r="AZ350" s="95" t="e">
        <f t="shared" si="110"/>
        <v>#N/A</v>
      </c>
      <c r="BA350" s="95" t="e">
        <f t="shared" si="110"/>
        <v>#N/A</v>
      </c>
      <c r="BB350" s="95" t="str">
        <f t="shared" si="111"/>
        <v/>
      </c>
      <c r="BC350" s="95" t="e">
        <f t="shared" si="112"/>
        <v>#N/A</v>
      </c>
      <c r="BD350" s="95" t="e">
        <f t="shared" si="112"/>
        <v>#N/A</v>
      </c>
      <c r="BE350" s="95" t="str">
        <f t="shared" si="113"/>
        <v/>
      </c>
      <c r="BF350" s="95" t="e">
        <f t="shared" si="114"/>
        <v>#N/A</v>
      </c>
      <c r="BG350" s="95" t="e">
        <f t="shared" si="114"/>
        <v>#N/A</v>
      </c>
      <c r="BH350" s="95" t="e">
        <f t="shared" si="114"/>
        <v>#N/A</v>
      </c>
      <c r="BI350" s="95" t="str">
        <f t="shared" si="115"/>
        <v/>
      </c>
      <c r="BJ350" s="95" t="e">
        <f t="shared" si="116"/>
        <v>#N/A</v>
      </c>
      <c r="BK350" s="95" t="e">
        <f t="shared" si="116"/>
        <v>#N/A</v>
      </c>
      <c r="BL350" s="95" t="str">
        <f t="shared" si="117"/>
        <v/>
      </c>
      <c r="BM350" s="95" t="e">
        <f t="shared" si="118"/>
        <v>#N/A</v>
      </c>
      <c r="BN350" s="95" t="e">
        <f t="shared" si="118"/>
        <v>#N/A</v>
      </c>
      <c r="BO350" s="95" t="e">
        <f t="shared" si="118"/>
        <v>#N/A</v>
      </c>
      <c r="BP350" s="388" t="e">
        <f>VLOOKUP(T_BilanSocial[[#This Row],[NumL]],T_TraitDi[#Data],COLUMN(T_TraitDi[NbJTot]),FALSE)</f>
        <v>#N/A</v>
      </c>
      <c r="BQ350" s="174" t="str">
        <f>IFERROR(VLOOKUP(T_BilanSocial[[#This Row],[NumL]],T_TraitDi[#Data],COLUMN(T_TraitDi[[#This Row],[NbJTW]]),FALSE),"")</f>
        <v/>
      </c>
      <c r="BR350" s="95" t="e">
        <f t="shared" si="119"/>
        <v>#N/A</v>
      </c>
      <c r="BS350" s="95" t="e">
        <f t="shared" si="119"/>
        <v>#N/A</v>
      </c>
      <c r="BT350" s="389" t="str">
        <f t="shared" si="120"/>
        <v/>
      </c>
      <c r="BU350" s="390" t="str">
        <f t="shared" si="121"/>
        <v/>
      </c>
      <c r="BV350" s="391" t="str">
        <f t="shared" si="122"/>
        <v/>
      </c>
      <c r="BW350" s="150" t="str">
        <f t="shared" si="123"/>
        <v/>
      </c>
      <c r="BX350" s="173"/>
      <c r="BY350" s="392"/>
      <c r="BZ350" s="173"/>
      <c r="CA350" s="173"/>
      <c r="CB350" s="393" t="str">
        <f>IF(VLOOKUP(A350,'4- Equipement et formations'!A:S,12,FALSE)="","Aucun équipement spécifique directement lié au télétravail",VLOOKUP(A350,'4- Equipement et formations'!A:S,12,FALSE))</f>
        <v>Aucun équipement spécifique directement lié au télétravail</v>
      </c>
      <c r="CC350" s="394" t="str">
        <f t="shared" si="124"/>
        <v/>
      </c>
      <c r="CD350" s="301"/>
      <c r="CE350" s="164" t="e">
        <f>IF(VLOOKUP(T_BilanSocial[[#This Row],[NumL]],T_suiviDi[#Data],COLUMN(T_suiviDi[[#This Row],[Entité]]),FALSE)="","",VLOOKUP(T_BilanSocial[[#This Row],[NumL]],T_suiviDi[#Data],COLUMN(T_suiviDi[[#This Row],[Entité]]),FALSE))</f>
        <v>#VALUE!</v>
      </c>
      <c r="CF350" s="164"/>
      <c r="CG35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0" s="339" t="str">
        <f>T_BilanSocial[[#This Row],[Nom]]&amp;T_BilanSocial[[#This Row],[Prenom]]</f>
        <v/>
      </c>
      <c r="CI350" s="339">
        <f>VLOOKUP(T_BilanSocial[[#This Row],[NumL]],T_Commission[#Data],COLUMN(T_Commission[Commentaire]),FALSE)</f>
        <v>0</v>
      </c>
      <c r="CJ350" s="339" t="str">
        <f>IF(VLOOKUP(T_BilanSocial[[#This Row],[NumL]],T_Commission[#Data],COLUMN(T_Commission[Encadrant Email]),FALSE)="","",VLOOKUP(T_BilanSocial[[#This Row],[NumL]],T_Commission[#Data],COLUMN(T_Commission[Encadrant Email]),FALSE))</f>
        <v/>
      </c>
      <c r="CK350" s="332" t="str">
        <f>IF(T_BilanSocial[[#This Row],[Final]]&lt;&gt;"",VLOOKUP(T_BilanSocial[[#This Row],[NumL]],T_suiviDi[#Data],COLUMN((T_suiviDi[Statut])),FALSE),"")</f>
        <v/>
      </c>
    </row>
    <row r="351" spans="1:89" ht="29.25" customHeight="1" x14ac:dyDescent="0.25">
      <c r="A351" s="136">
        <v>348</v>
      </c>
      <c r="B351" s="330" t="str">
        <f t="shared" si="83"/>
        <v/>
      </c>
      <c r="C351" s="309"/>
      <c r="D351" s="95" t="e">
        <f t="shared" si="84"/>
        <v>#N/A</v>
      </c>
      <c r="E351" s="95" t="str">
        <f t="shared" si="85"/>
        <v>12 janvier 2021</v>
      </c>
      <c r="F351" s="96" t="str">
        <f>IF(T_BilanSocial[[#This Row],[Final]]&lt;&gt;"",VLOOKUP(T_BilanSocial[[#This Row],[NumL]],T_suiviDi[#Data],COLUMN((T_suiviDi[Civ.])),FALSE),"")</f>
        <v/>
      </c>
      <c r="G351" s="96" t="str">
        <f>IF(T_BilanSocial[[#This Row],[Final]]&lt;&gt;"",VLOOKUP(T_BilanSocial[[#This Row],[NumL]],T_suiviDi[#Data],COLUMN((T_suiviDi[Nom])),FALSE),"")</f>
        <v/>
      </c>
      <c r="H351" s="96" t="str">
        <f>IF(T_BilanSocial[[#This Row],[Final]]&lt;&gt;"",VLOOKUP(T_BilanSocial[[#This Row],[NumL]],T_suiviDi[#Data],COLUMN((T_suiviDi[Prénom])),FALSE),"")</f>
        <v/>
      </c>
      <c r="I351" s="331" t="str">
        <f>IFERROR(VLOOKUP(T_BilanSocial[[#This Row],[Zone_Bilan]],T_P_BilanSocial[#Data],COLUMN(T_P_BilanSocial[[#This Row],[Numero_SIHAM]]),FALSE),"")</f>
        <v/>
      </c>
      <c r="J351" s="331" t="str">
        <f>IFERROR(VLOOKUP(T_BilanSocial[[#This Row],[Zone_Bilan]],T_P_BilanSocial[#Data],COLUMN(T_P_BilanSocial[[#This Row],[Sexe]]),FALSE),"")</f>
        <v/>
      </c>
      <c r="K351" s="294" t="str">
        <f>IFERROR(VLOOKUP(T_BilanSocial[[#This Row],[Zone_Bilan]],T_P_BilanSocial[#Data],COLUMN(T_P_BilanSocial[[#This Row],[Categorie]]),FALSE),"")</f>
        <v/>
      </c>
      <c r="L351" s="331" t="str">
        <f>IFERROR(VLOOKUP(T_BilanSocial[[#This Row],[Zone_Bilan]],T_P_BilanSocial[#Data],COLUMN(T_P_BilanSocial[[#This Row],[Statut]]),FALSE),"")</f>
        <v/>
      </c>
      <c r="M351" s="331" t="str">
        <f>IFERROR(VLOOKUP(T_BilanSocial[[#This Row],[Zone_Bilan]],T_P_BilanSocial[#Data],COLUMN(T_P_BilanSocial[[#This Row],[Filiere]]),FALSE),"")</f>
        <v/>
      </c>
      <c r="N351" s="331" t="e">
        <f>VLOOKUP(T_BilanSocial[[#This Row],[NumL]],T_TraitDi[#Data],COLUMN(T_TraitDi[EXP]),FALSE)</f>
        <v>#N/A</v>
      </c>
      <c r="O351" s="331" t="e">
        <f>VLOOKUP(T_BilanSocial[[#This Row],[NumL]],T_TraitDi[#Data],COLUMN(T_TraitDi[FORM]),FALSE)</f>
        <v>#N/A</v>
      </c>
      <c r="P351" s="96" t="e">
        <f t="shared" si="86"/>
        <v>#N/A</v>
      </c>
      <c r="Q351" s="96" t="e">
        <f t="shared" si="87"/>
        <v>#N/A</v>
      </c>
      <c r="R351" s="96" t="e">
        <f t="shared" si="88"/>
        <v>#N/A</v>
      </c>
      <c r="S351" s="96" t="str">
        <f t="shared" si="89"/>
        <v/>
      </c>
      <c r="T351" s="96" t="str">
        <f t="shared" si="90"/>
        <v>01 septembre 2021</v>
      </c>
      <c r="U351" s="96" t="str">
        <f t="shared" si="91"/>
        <v>30 novembre 2021</v>
      </c>
      <c r="V351" s="97">
        <f t="shared" si="92"/>
        <v>44530</v>
      </c>
      <c r="W351" s="150" t="str">
        <f t="shared" si="93"/>
        <v/>
      </c>
      <c r="X351" s="96" t="str">
        <f t="shared" si="94"/>
        <v/>
      </c>
      <c r="Y351" s="96" t="str">
        <f t="shared" si="94"/>
        <v/>
      </c>
      <c r="Z351" s="96" t="str">
        <f t="shared" si="95"/>
        <v/>
      </c>
      <c r="AA351" s="150" t="str">
        <f t="shared" si="95"/>
        <v/>
      </c>
      <c r="AB351" s="150" t="str">
        <f t="shared" si="96"/>
        <v/>
      </c>
      <c r="AC351" s="96" t="str">
        <f t="shared" si="97"/>
        <v/>
      </c>
      <c r="AD351" s="97" t="str">
        <f t="shared" si="98"/>
        <v/>
      </c>
      <c r="AE351" s="294" t="e">
        <f>VLOOKUP(T_BilanSocial[[#This Row],[NumL]],T_TraitDi[#Data],COLUMN(T_TraitDi[[#This Row],[Reg Ponct]]),FALSE)</f>
        <v>#VALUE!</v>
      </c>
      <c r="AF351" s="294" t="e">
        <f>VLOOKUP(T_BilanSocial[NumL],T_TraitDi[#Data],COLUMN(T_TraitDi[[#This Row],[Jours flottants]]),FALSE)</f>
        <v>#VALUE!</v>
      </c>
      <c r="AG351" s="97" t="str">
        <f t="shared" si="99"/>
        <v/>
      </c>
      <c r="AH351" s="95" t="e">
        <f t="shared" si="100"/>
        <v>#N/A</v>
      </c>
      <c r="AI351" s="95" t="e">
        <f t="shared" si="100"/>
        <v>#N/A</v>
      </c>
      <c r="AJ351" s="95" t="str">
        <f t="shared" si="101"/>
        <v/>
      </c>
      <c r="AK351" s="95" t="e">
        <f t="shared" si="102"/>
        <v>#N/A</v>
      </c>
      <c r="AL351" s="95" t="e">
        <f t="shared" si="102"/>
        <v>#N/A</v>
      </c>
      <c r="AM351" s="95" t="e">
        <f t="shared" si="102"/>
        <v>#N/A</v>
      </c>
      <c r="AN351" s="95" t="str">
        <f t="shared" si="103"/>
        <v/>
      </c>
      <c r="AO351" s="95" t="e">
        <f t="shared" si="104"/>
        <v>#N/A</v>
      </c>
      <c r="AP351" s="95" t="e">
        <f t="shared" si="104"/>
        <v>#N/A</v>
      </c>
      <c r="AQ351" s="95" t="str">
        <f t="shared" si="105"/>
        <v/>
      </c>
      <c r="AR351" s="95" t="e">
        <f t="shared" si="106"/>
        <v>#N/A</v>
      </c>
      <c r="AS351" s="95" t="e">
        <f t="shared" si="106"/>
        <v>#N/A</v>
      </c>
      <c r="AT351" s="95" t="e">
        <f t="shared" si="106"/>
        <v>#N/A</v>
      </c>
      <c r="AU351" s="95" t="str">
        <f t="shared" si="107"/>
        <v/>
      </c>
      <c r="AV351" s="95" t="e">
        <f t="shared" si="108"/>
        <v>#N/A</v>
      </c>
      <c r="AW351" s="95" t="e">
        <f t="shared" si="108"/>
        <v>#N/A</v>
      </c>
      <c r="AX351" s="95" t="str">
        <f t="shared" si="109"/>
        <v/>
      </c>
      <c r="AY351" s="95" t="e">
        <f t="shared" si="110"/>
        <v>#N/A</v>
      </c>
      <c r="AZ351" s="95" t="e">
        <f t="shared" si="110"/>
        <v>#N/A</v>
      </c>
      <c r="BA351" s="95" t="e">
        <f t="shared" si="110"/>
        <v>#N/A</v>
      </c>
      <c r="BB351" s="95" t="str">
        <f t="shared" si="111"/>
        <v/>
      </c>
      <c r="BC351" s="95" t="e">
        <f t="shared" si="112"/>
        <v>#N/A</v>
      </c>
      <c r="BD351" s="95" t="e">
        <f t="shared" si="112"/>
        <v>#N/A</v>
      </c>
      <c r="BE351" s="95" t="str">
        <f t="shared" si="113"/>
        <v/>
      </c>
      <c r="BF351" s="95" t="e">
        <f t="shared" si="114"/>
        <v>#N/A</v>
      </c>
      <c r="BG351" s="95" t="e">
        <f t="shared" si="114"/>
        <v>#N/A</v>
      </c>
      <c r="BH351" s="95" t="e">
        <f t="shared" si="114"/>
        <v>#N/A</v>
      </c>
      <c r="BI351" s="95" t="str">
        <f t="shared" si="115"/>
        <v/>
      </c>
      <c r="BJ351" s="95" t="e">
        <f t="shared" si="116"/>
        <v>#N/A</v>
      </c>
      <c r="BK351" s="95" t="e">
        <f t="shared" si="116"/>
        <v>#N/A</v>
      </c>
      <c r="BL351" s="95" t="str">
        <f t="shared" si="117"/>
        <v/>
      </c>
      <c r="BM351" s="95" t="e">
        <f t="shared" si="118"/>
        <v>#N/A</v>
      </c>
      <c r="BN351" s="95" t="e">
        <f t="shared" si="118"/>
        <v>#N/A</v>
      </c>
      <c r="BO351" s="95" t="e">
        <f t="shared" si="118"/>
        <v>#N/A</v>
      </c>
      <c r="BP351" s="388" t="e">
        <f>VLOOKUP(T_BilanSocial[[#This Row],[NumL]],T_TraitDi[#Data],COLUMN(T_TraitDi[NbJTot]),FALSE)</f>
        <v>#N/A</v>
      </c>
      <c r="BQ351" s="174" t="str">
        <f>IFERROR(VLOOKUP(T_BilanSocial[[#This Row],[NumL]],T_TraitDi[#Data],COLUMN(T_TraitDi[[#This Row],[NbJTW]]),FALSE),"")</f>
        <v/>
      </c>
      <c r="BR351" s="95" t="e">
        <f t="shared" si="119"/>
        <v>#N/A</v>
      </c>
      <c r="BS351" s="95" t="e">
        <f t="shared" si="119"/>
        <v>#N/A</v>
      </c>
      <c r="BT351" s="389" t="str">
        <f t="shared" si="120"/>
        <v/>
      </c>
      <c r="BU351" s="390" t="str">
        <f t="shared" si="121"/>
        <v/>
      </c>
      <c r="BV351" s="391" t="str">
        <f t="shared" si="122"/>
        <v/>
      </c>
      <c r="BW351" s="150" t="str">
        <f t="shared" si="123"/>
        <v/>
      </c>
      <c r="BX351" s="173"/>
      <c r="BY351" s="392"/>
      <c r="BZ351" s="173"/>
      <c r="CA351" s="173"/>
      <c r="CB351" s="393" t="str">
        <f>IF(VLOOKUP(A351,'4- Equipement et formations'!A:S,12,FALSE)="","Aucun équipement spécifique directement lié au télétravail",VLOOKUP(A351,'4- Equipement et formations'!A:S,12,FALSE))</f>
        <v>Aucun équipement spécifique directement lié au télétravail</v>
      </c>
      <c r="CC351" s="394" t="str">
        <f t="shared" si="124"/>
        <v/>
      </c>
      <c r="CD351" s="301"/>
      <c r="CE351" s="164" t="e">
        <f>IF(VLOOKUP(T_BilanSocial[[#This Row],[NumL]],T_suiviDi[#Data],COLUMN(T_suiviDi[[#This Row],[Entité]]),FALSE)="","",VLOOKUP(T_BilanSocial[[#This Row],[NumL]],T_suiviDi[#Data],COLUMN(T_suiviDi[[#This Row],[Entité]]),FALSE))</f>
        <v>#VALUE!</v>
      </c>
      <c r="CF351" s="164"/>
      <c r="CG351"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1" s="339" t="str">
        <f>T_BilanSocial[[#This Row],[Nom]]&amp;T_BilanSocial[[#This Row],[Prenom]]</f>
        <v/>
      </c>
      <c r="CI351" s="339">
        <f>VLOOKUP(T_BilanSocial[[#This Row],[NumL]],T_Commission[#Data],COLUMN(T_Commission[Commentaire]),FALSE)</f>
        <v>0</v>
      </c>
      <c r="CJ351" s="339" t="str">
        <f>IF(VLOOKUP(T_BilanSocial[[#This Row],[NumL]],T_Commission[#Data],COLUMN(T_Commission[Encadrant Email]),FALSE)="","",VLOOKUP(T_BilanSocial[[#This Row],[NumL]],T_Commission[#Data],COLUMN(T_Commission[Encadrant Email]),FALSE))</f>
        <v/>
      </c>
      <c r="CK351" s="332" t="str">
        <f>IF(T_BilanSocial[[#This Row],[Final]]&lt;&gt;"",VLOOKUP(T_BilanSocial[[#This Row],[NumL]],T_suiviDi[#Data],COLUMN((T_suiviDi[Statut])),FALSE),"")</f>
        <v/>
      </c>
    </row>
    <row r="352" spans="1:89" ht="29.25" customHeight="1" x14ac:dyDescent="0.25">
      <c r="A352" s="136">
        <v>349</v>
      </c>
      <c r="B352" s="330" t="str">
        <f t="shared" si="83"/>
        <v/>
      </c>
      <c r="C352" s="309"/>
      <c r="D352" s="95" t="e">
        <f t="shared" si="84"/>
        <v>#N/A</v>
      </c>
      <c r="E352" s="95" t="str">
        <f t="shared" si="85"/>
        <v>12 janvier 2021</v>
      </c>
      <c r="F352" s="96" t="str">
        <f>IF(T_BilanSocial[[#This Row],[Final]]&lt;&gt;"",VLOOKUP(T_BilanSocial[[#This Row],[NumL]],T_suiviDi[#Data],COLUMN((T_suiviDi[Civ.])),FALSE),"")</f>
        <v/>
      </c>
      <c r="G352" s="96" t="str">
        <f>IF(T_BilanSocial[[#This Row],[Final]]&lt;&gt;"",VLOOKUP(T_BilanSocial[[#This Row],[NumL]],T_suiviDi[#Data],COLUMN((T_suiviDi[Nom])),FALSE),"")</f>
        <v/>
      </c>
      <c r="H352" s="96" t="str">
        <f>IF(T_BilanSocial[[#This Row],[Final]]&lt;&gt;"",VLOOKUP(T_BilanSocial[[#This Row],[NumL]],T_suiviDi[#Data],COLUMN((T_suiviDi[Prénom])),FALSE),"")</f>
        <v/>
      </c>
      <c r="I352" s="331" t="str">
        <f>IFERROR(VLOOKUP(T_BilanSocial[[#This Row],[Zone_Bilan]],T_P_BilanSocial[#Data],COLUMN(T_P_BilanSocial[[#This Row],[Numero_SIHAM]]),FALSE),"")</f>
        <v/>
      </c>
      <c r="J352" s="331" t="str">
        <f>IFERROR(VLOOKUP(T_BilanSocial[[#This Row],[Zone_Bilan]],T_P_BilanSocial[#Data],COLUMN(T_P_BilanSocial[[#This Row],[Sexe]]),FALSE),"")</f>
        <v/>
      </c>
      <c r="K352" s="294" t="str">
        <f>IFERROR(VLOOKUP(T_BilanSocial[[#This Row],[Zone_Bilan]],T_P_BilanSocial[#Data],COLUMN(T_P_BilanSocial[[#This Row],[Categorie]]),FALSE),"")</f>
        <v/>
      </c>
      <c r="L352" s="331" t="str">
        <f>IFERROR(VLOOKUP(T_BilanSocial[[#This Row],[Zone_Bilan]],T_P_BilanSocial[#Data],COLUMN(T_P_BilanSocial[[#This Row],[Statut]]),FALSE),"")</f>
        <v/>
      </c>
      <c r="M352" s="331" t="str">
        <f>IFERROR(VLOOKUP(T_BilanSocial[[#This Row],[Zone_Bilan]],T_P_BilanSocial[#Data],COLUMN(T_P_BilanSocial[[#This Row],[Filiere]]),FALSE),"")</f>
        <v/>
      </c>
      <c r="N352" s="331" t="e">
        <f>VLOOKUP(T_BilanSocial[[#This Row],[NumL]],T_TraitDi[#Data],COLUMN(T_TraitDi[EXP]),FALSE)</f>
        <v>#N/A</v>
      </c>
      <c r="O352" s="331" t="e">
        <f>VLOOKUP(T_BilanSocial[[#This Row],[NumL]],T_TraitDi[#Data],COLUMN(T_TraitDi[FORM]),FALSE)</f>
        <v>#N/A</v>
      </c>
      <c r="P352" s="96" t="e">
        <f t="shared" si="86"/>
        <v>#N/A</v>
      </c>
      <c r="Q352" s="96" t="e">
        <f t="shared" si="87"/>
        <v>#N/A</v>
      </c>
      <c r="R352" s="96" t="e">
        <f t="shared" si="88"/>
        <v>#N/A</v>
      </c>
      <c r="S352" s="96" t="str">
        <f t="shared" si="89"/>
        <v/>
      </c>
      <c r="T352" s="96" t="str">
        <f t="shared" si="90"/>
        <v>01 septembre 2021</v>
      </c>
      <c r="U352" s="96" t="str">
        <f t="shared" si="91"/>
        <v>30 novembre 2021</v>
      </c>
      <c r="V352" s="97">
        <f t="shared" si="92"/>
        <v>44530</v>
      </c>
      <c r="W352" s="150" t="str">
        <f t="shared" si="93"/>
        <v/>
      </c>
      <c r="X352" s="96" t="str">
        <f t="shared" si="94"/>
        <v/>
      </c>
      <c r="Y352" s="96" t="str">
        <f t="shared" si="94"/>
        <v/>
      </c>
      <c r="Z352" s="96" t="str">
        <f t="shared" si="95"/>
        <v/>
      </c>
      <c r="AA352" s="150" t="str">
        <f t="shared" si="95"/>
        <v/>
      </c>
      <c r="AB352" s="150" t="str">
        <f t="shared" si="96"/>
        <v/>
      </c>
      <c r="AC352" s="96" t="str">
        <f t="shared" ref="AC352:AC356" si="125">W352&amp;X352&amp;Y352&amp;Z352&amp;AA352&amp;AB352</f>
        <v/>
      </c>
      <c r="AD352" s="97" t="str">
        <f t="shared" si="98"/>
        <v/>
      </c>
      <c r="AE352" s="294" t="e">
        <f>VLOOKUP(T_BilanSocial[[#This Row],[NumL]],T_TraitDi[#Data],COLUMN(T_TraitDi[[#This Row],[Reg Ponct]]),FALSE)</f>
        <v>#VALUE!</v>
      </c>
      <c r="AF352" s="294" t="e">
        <f>VLOOKUP(T_BilanSocial[NumL],T_TraitDi[#Data],COLUMN(T_TraitDi[[#This Row],[Jours flottants]]),FALSE)</f>
        <v>#VALUE!</v>
      </c>
      <c r="AG352" s="97" t="str">
        <f t="shared" si="99"/>
        <v/>
      </c>
      <c r="AH352" s="95" t="e">
        <f t="shared" si="100"/>
        <v>#N/A</v>
      </c>
      <c r="AI352" s="95" t="e">
        <f t="shared" si="100"/>
        <v>#N/A</v>
      </c>
      <c r="AJ352" s="95" t="str">
        <f t="shared" si="101"/>
        <v/>
      </c>
      <c r="AK352" s="95" t="e">
        <f t="shared" si="102"/>
        <v>#N/A</v>
      </c>
      <c r="AL352" s="95" t="e">
        <f t="shared" si="102"/>
        <v>#N/A</v>
      </c>
      <c r="AM352" s="95" t="e">
        <f t="shared" si="102"/>
        <v>#N/A</v>
      </c>
      <c r="AN352" s="95" t="str">
        <f t="shared" si="103"/>
        <v/>
      </c>
      <c r="AO352" s="95" t="e">
        <f t="shared" si="104"/>
        <v>#N/A</v>
      </c>
      <c r="AP352" s="95" t="e">
        <f t="shared" si="104"/>
        <v>#N/A</v>
      </c>
      <c r="AQ352" s="95" t="str">
        <f t="shared" si="105"/>
        <v/>
      </c>
      <c r="AR352" s="95" t="e">
        <f t="shared" si="106"/>
        <v>#N/A</v>
      </c>
      <c r="AS352" s="95" t="e">
        <f t="shared" si="106"/>
        <v>#N/A</v>
      </c>
      <c r="AT352" s="95" t="e">
        <f t="shared" si="106"/>
        <v>#N/A</v>
      </c>
      <c r="AU352" s="95" t="str">
        <f t="shared" si="107"/>
        <v/>
      </c>
      <c r="AV352" s="95" t="e">
        <f t="shared" si="108"/>
        <v>#N/A</v>
      </c>
      <c r="AW352" s="95" t="e">
        <f t="shared" si="108"/>
        <v>#N/A</v>
      </c>
      <c r="AX352" s="95" t="str">
        <f t="shared" si="109"/>
        <v/>
      </c>
      <c r="AY352" s="95" t="e">
        <f t="shared" si="110"/>
        <v>#N/A</v>
      </c>
      <c r="AZ352" s="95" t="e">
        <f t="shared" si="110"/>
        <v>#N/A</v>
      </c>
      <c r="BA352" s="95" t="e">
        <f t="shared" si="110"/>
        <v>#N/A</v>
      </c>
      <c r="BB352" s="95" t="str">
        <f t="shared" si="111"/>
        <v/>
      </c>
      <c r="BC352" s="95" t="e">
        <f t="shared" si="112"/>
        <v>#N/A</v>
      </c>
      <c r="BD352" s="95" t="e">
        <f t="shared" si="112"/>
        <v>#N/A</v>
      </c>
      <c r="BE352" s="95" t="str">
        <f t="shared" si="113"/>
        <v/>
      </c>
      <c r="BF352" s="95" t="e">
        <f t="shared" si="114"/>
        <v>#N/A</v>
      </c>
      <c r="BG352" s="95" t="e">
        <f t="shared" si="114"/>
        <v>#N/A</v>
      </c>
      <c r="BH352" s="95" t="e">
        <f t="shared" si="114"/>
        <v>#N/A</v>
      </c>
      <c r="BI352" s="95" t="str">
        <f t="shared" si="115"/>
        <v/>
      </c>
      <c r="BJ352" s="95" t="e">
        <f t="shared" si="116"/>
        <v>#N/A</v>
      </c>
      <c r="BK352" s="95" t="e">
        <f t="shared" si="116"/>
        <v>#N/A</v>
      </c>
      <c r="BL352" s="95" t="str">
        <f t="shared" si="117"/>
        <v/>
      </c>
      <c r="BM352" s="95" t="e">
        <f t="shared" si="118"/>
        <v>#N/A</v>
      </c>
      <c r="BN352" s="95" t="e">
        <f t="shared" si="118"/>
        <v>#N/A</v>
      </c>
      <c r="BO352" s="95" t="e">
        <f t="shared" si="118"/>
        <v>#N/A</v>
      </c>
      <c r="BP352" s="388" t="e">
        <f>VLOOKUP(T_BilanSocial[[#This Row],[NumL]],T_TraitDi[#Data],COLUMN(T_TraitDi[NbJTot]),FALSE)</f>
        <v>#N/A</v>
      </c>
      <c r="BQ352" s="174" t="str">
        <f>IFERROR(VLOOKUP(T_BilanSocial[[#This Row],[NumL]],T_TraitDi[#Data],COLUMN(T_TraitDi[[#This Row],[NbJTW]]),FALSE),"")</f>
        <v/>
      </c>
      <c r="BR352" s="95" t="e">
        <f t="shared" si="119"/>
        <v>#N/A</v>
      </c>
      <c r="BS352" s="95" t="e">
        <f t="shared" si="119"/>
        <v>#N/A</v>
      </c>
      <c r="BT352" s="389" t="str">
        <f t="shared" si="120"/>
        <v/>
      </c>
      <c r="BU352" s="390" t="str">
        <f t="shared" si="121"/>
        <v/>
      </c>
      <c r="BV352" s="391" t="str">
        <f t="shared" si="122"/>
        <v/>
      </c>
      <c r="BW352" s="150" t="str">
        <f t="shared" si="123"/>
        <v/>
      </c>
      <c r="BX352" s="173"/>
      <c r="BY352" s="392"/>
      <c r="BZ352" s="173"/>
      <c r="CA352" s="173"/>
      <c r="CB352" s="393" t="str">
        <f>IF(VLOOKUP(A352,'4- Equipement et formations'!A:S,12,FALSE)="","Aucun équipement spécifique directement lié au télétravail",VLOOKUP(A352,'4- Equipement et formations'!A:S,12,FALSE))</f>
        <v>Aucun équipement spécifique directement lié au télétravail</v>
      </c>
      <c r="CC352" s="394" t="str">
        <f t="shared" si="124"/>
        <v/>
      </c>
      <c r="CD352" s="301"/>
      <c r="CE352" s="164" t="e">
        <f>IF(VLOOKUP(T_BilanSocial[[#This Row],[NumL]],T_suiviDi[#Data],COLUMN(T_suiviDi[[#This Row],[Entité]]),FALSE)="","",VLOOKUP(T_BilanSocial[[#This Row],[NumL]],T_suiviDi[#Data],COLUMN(T_suiviDi[[#This Row],[Entité]]),FALSE))</f>
        <v>#VALUE!</v>
      </c>
      <c r="CF352" s="164"/>
      <c r="CG352"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2" s="339" t="str">
        <f>T_BilanSocial[[#This Row],[Nom]]&amp;T_BilanSocial[[#This Row],[Prenom]]</f>
        <v/>
      </c>
      <c r="CI352" s="339" t="str">
        <f>VLOOKUP(T_BilanSocial[[#This Row],[NumL]],T_Commission[#Data],COLUMN(T_Commission[Commentaire]),FALSE)</f>
        <v>L'agent occupe son poste actuel depuis moins d'un an et n'a pu explorer ses fonctions dans un fonctionnement normal de l'université.</v>
      </c>
      <c r="CJ352" s="339" t="str">
        <f>IF(VLOOKUP(T_BilanSocial[[#This Row],[NumL]],T_Commission[#Data],COLUMN(T_Commission[Encadrant Email]),FALSE)="","",VLOOKUP(T_BilanSocial[[#This Row],[NumL]],T_Commission[#Data],COLUMN(T_Commission[Encadrant Email]),FALSE))</f>
        <v/>
      </c>
      <c r="CK352" s="332" t="str">
        <f>IF(T_BilanSocial[[#This Row],[Final]]&lt;&gt;"",VLOOKUP(T_BilanSocial[[#This Row],[NumL]],T_suiviDi[#Data],COLUMN((T_suiviDi[Statut])),FALSE),"")</f>
        <v/>
      </c>
    </row>
    <row r="353" spans="1:89" ht="29.25" customHeight="1" x14ac:dyDescent="0.25">
      <c r="A353" s="136">
        <v>350</v>
      </c>
      <c r="B353" s="330" t="str">
        <f t="shared" si="83"/>
        <v/>
      </c>
      <c r="C353" s="309"/>
      <c r="D353" s="95" t="e">
        <f t="shared" si="84"/>
        <v>#N/A</v>
      </c>
      <c r="E353" s="95" t="str">
        <f t="shared" si="85"/>
        <v>12 janvier 2021</v>
      </c>
      <c r="F353" s="96" t="str">
        <f>IF(T_BilanSocial[[#This Row],[Final]]&lt;&gt;"",VLOOKUP(T_BilanSocial[[#This Row],[NumL]],T_suiviDi[#Data],COLUMN((T_suiviDi[Civ.])),FALSE),"")</f>
        <v/>
      </c>
      <c r="G353" s="96" t="str">
        <f>IF(T_BilanSocial[[#This Row],[Final]]&lt;&gt;"",VLOOKUP(T_BilanSocial[[#This Row],[NumL]],T_suiviDi[#Data],COLUMN((T_suiviDi[Nom])),FALSE),"")</f>
        <v/>
      </c>
      <c r="H353" s="96" t="str">
        <f>IF(T_BilanSocial[[#This Row],[Final]]&lt;&gt;"",VLOOKUP(T_BilanSocial[[#This Row],[NumL]],T_suiviDi[#Data],COLUMN((T_suiviDi[Prénom])),FALSE),"")</f>
        <v/>
      </c>
      <c r="I353" s="331" t="str">
        <f>IFERROR(VLOOKUP(T_BilanSocial[[#This Row],[Zone_Bilan]],T_P_BilanSocial[#Data],COLUMN(T_P_BilanSocial[[#This Row],[Numero_SIHAM]]),FALSE),"")</f>
        <v/>
      </c>
      <c r="J353" s="331" t="str">
        <f>IFERROR(VLOOKUP(T_BilanSocial[[#This Row],[Zone_Bilan]],T_P_BilanSocial[#Data],COLUMN(T_P_BilanSocial[[#This Row],[Sexe]]),FALSE),"")</f>
        <v/>
      </c>
      <c r="K353" s="294" t="str">
        <f>IFERROR(VLOOKUP(T_BilanSocial[[#This Row],[Zone_Bilan]],T_P_BilanSocial[#Data],COLUMN(T_P_BilanSocial[[#This Row],[Categorie]]),FALSE),"")</f>
        <v/>
      </c>
      <c r="L353" s="331" t="str">
        <f>IFERROR(VLOOKUP(T_BilanSocial[[#This Row],[Zone_Bilan]],T_P_BilanSocial[#Data],COLUMN(T_P_BilanSocial[[#This Row],[Statut]]),FALSE),"")</f>
        <v/>
      </c>
      <c r="M353" s="331" t="str">
        <f>IFERROR(VLOOKUP(T_BilanSocial[[#This Row],[Zone_Bilan]],T_P_BilanSocial[#Data],COLUMN(T_P_BilanSocial[[#This Row],[Filiere]]),FALSE),"")</f>
        <v/>
      </c>
      <c r="N353" s="331" t="e">
        <f>VLOOKUP(T_BilanSocial[[#This Row],[NumL]],T_TraitDi[#Data],COLUMN(T_TraitDi[EXP]),FALSE)</f>
        <v>#N/A</v>
      </c>
      <c r="O353" s="331" t="e">
        <f>VLOOKUP(T_BilanSocial[[#This Row],[NumL]],T_TraitDi[#Data],COLUMN(T_TraitDi[FORM]),FALSE)</f>
        <v>#N/A</v>
      </c>
      <c r="P353" s="96" t="e">
        <f t="shared" si="86"/>
        <v>#N/A</v>
      </c>
      <c r="Q353" s="96" t="e">
        <f t="shared" si="87"/>
        <v>#N/A</v>
      </c>
      <c r="R353" s="96" t="e">
        <f t="shared" si="88"/>
        <v>#N/A</v>
      </c>
      <c r="S353" s="96" t="str">
        <f t="shared" si="89"/>
        <v/>
      </c>
      <c r="T353" s="96" t="str">
        <f t="shared" si="90"/>
        <v>01 septembre 2021</v>
      </c>
      <c r="U353" s="96" t="str">
        <f t="shared" si="91"/>
        <v>30 novembre 2021</v>
      </c>
      <c r="V353" s="97">
        <f t="shared" si="92"/>
        <v>44530</v>
      </c>
      <c r="W353" s="150" t="str">
        <f t="shared" si="93"/>
        <v/>
      </c>
      <c r="X353" s="96" t="str">
        <f t="shared" si="94"/>
        <v/>
      </c>
      <c r="Y353" s="96" t="str">
        <f t="shared" si="94"/>
        <v/>
      </c>
      <c r="Z353" s="96" t="str">
        <f t="shared" si="95"/>
        <v/>
      </c>
      <c r="AA353" s="150" t="str">
        <f t="shared" si="95"/>
        <v/>
      </c>
      <c r="AB353" s="150" t="str">
        <f t="shared" si="96"/>
        <v/>
      </c>
      <c r="AC353" s="96" t="str">
        <f t="shared" si="125"/>
        <v/>
      </c>
      <c r="AD353" s="97" t="str">
        <f t="shared" si="98"/>
        <v/>
      </c>
      <c r="AE353" s="294" t="e">
        <f>VLOOKUP(T_BilanSocial[[#This Row],[NumL]],T_TraitDi[#Data],COLUMN(T_TraitDi[[#This Row],[Reg Ponct]]),FALSE)</f>
        <v>#VALUE!</v>
      </c>
      <c r="AF353" s="294" t="e">
        <f>VLOOKUP(T_BilanSocial[NumL],T_TraitDi[#Data],COLUMN(T_TraitDi[[#This Row],[Jours flottants]]),FALSE)</f>
        <v>#VALUE!</v>
      </c>
      <c r="AG353" s="97" t="str">
        <f t="shared" si="99"/>
        <v/>
      </c>
      <c r="AH353" s="95" t="e">
        <f t="shared" si="100"/>
        <v>#N/A</v>
      </c>
      <c r="AI353" s="95" t="e">
        <f t="shared" si="100"/>
        <v>#N/A</v>
      </c>
      <c r="AJ353" s="95" t="str">
        <f t="shared" si="101"/>
        <v/>
      </c>
      <c r="AK353" s="95" t="e">
        <f t="shared" si="102"/>
        <v>#N/A</v>
      </c>
      <c r="AL353" s="95" t="e">
        <f t="shared" si="102"/>
        <v>#N/A</v>
      </c>
      <c r="AM353" s="95" t="e">
        <f t="shared" si="102"/>
        <v>#N/A</v>
      </c>
      <c r="AN353" s="95" t="str">
        <f t="shared" si="103"/>
        <v/>
      </c>
      <c r="AO353" s="95" t="e">
        <f t="shared" si="104"/>
        <v>#N/A</v>
      </c>
      <c r="AP353" s="95" t="e">
        <f t="shared" si="104"/>
        <v>#N/A</v>
      </c>
      <c r="AQ353" s="95" t="str">
        <f t="shared" si="105"/>
        <v/>
      </c>
      <c r="AR353" s="95" t="e">
        <f t="shared" si="106"/>
        <v>#N/A</v>
      </c>
      <c r="AS353" s="95" t="e">
        <f t="shared" si="106"/>
        <v>#N/A</v>
      </c>
      <c r="AT353" s="95" t="e">
        <f t="shared" si="106"/>
        <v>#N/A</v>
      </c>
      <c r="AU353" s="95" t="str">
        <f t="shared" si="107"/>
        <v/>
      </c>
      <c r="AV353" s="95" t="e">
        <f t="shared" si="108"/>
        <v>#N/A</v>
      </c>
      <c r="AW353" s="95" t="e">
        <f t="shared" si="108"/>
        <v>#N/A</v>
      </c>
      <c r="AX353" s="95" t="str">
        <f t="shared" si="109"/>
        <v/>
      </c>
      <c r="AY353" s="95" t="e">
        <f t="shared" si="110"/>
        <v>#N/A</v>
      </c>
      <c r="AZ353" s="95" t="e">
        <f t="shared" si="110"/>
        <v>#N/A</v>
      </c>
      <c r="BA353" s="95" t="e">
        <f t="shared" si="110"/>
        <v>#N/A</v>
      </c>
      <c r="BB353" s="95" t="str">
        <f t="shared" si="111"/>
        <v/>
      </c>
      <c r="BC353" s="95" t="e">
        <f t="shared" si="112"/>
        <v>#N/A</v>
      </c>
      <c r="BD353" s="95" t="e">
        <f t="shared" si="112"/>
        <v>#N/A</v>
      </c>
      <c r="BE353" s="95" t="str">
        <f t="shared" si="113"/>
        <v/>
      </c>
      <c r="BF353" s="95" t="e">
        <f t="shared" si="114"/>
        <v>#N/A</v>
      </c>
      <c r="BG353" s="95" t="e">
        <f t="shared" si="114"/>
        <v>#N/A</v>
      </c>
      <c r="BH353" s="95" t="e">
        <f t="shared" si="114"/>
        <v>#N/A</v>
      </c>
      <c r="BI353" s="95" t="str">
        <f t="shared" si="115"/>
        <v/>
      </c>
      <c r="BJ353" s="95" t="e">
        <f t="shared" si="116"/>
        <v>#N/A</v>
      </c>
      <c r="BK353" s="95" t="e">
        <f t="shared" si="116"/>
        <v>#N/A</v>
      </c>
      <c r="BL353" s="95" t="str">
        <f t="shared" si="117"/>
        <v/>
      </c>
      <c r="BM353" s="95" t="e">
        <f t="shared" si="118"/>
        <v>#N/A</v>
      </c>
      <c r="BN353" s="95" t="e">
        <f t="shared" si="118"/>
        <v>#N/A</v>
      </c>
      <c r="BO353" s="95" t="e">
        <f t="shared" si="118"/>
        <v>#N/A</v>
      </c>
      <c r="BP353" s="388" t="e">
        <f>VLOOKUP(T_BilanSocial[[#This Row],[NumL]],T_TraitDi[#Data],COLUMN(T_TraitDi[NbJTot]),FALSE)</f>
        <v>#N/A</v>
      </c>
      <c r="BQ353" s="174" t="str">
        <f>IFERROR(VLOOKUP(T_BilanSocial[[#This Row],[NumL]],T_TraitDi[#Data],COLUMN(T_TraitDi[[#This Row],[NbJTW]]),FALSE),"")</f>
        <v/>
      </c>
      <c r="BR353" s="95" t="e">
        <f t="shared" si="119"/>
        <v>#N/A</v>
      </c>
      <c r="BS353" s="95" t="e">
        <f t="shared" si="119"/>
        <v>#N/A</v>
      </c>
      <c r="BT353" s="389" t="str">
        <f t="shared" si="120"/>
        <v/>
      </c>
      <c r="BU353" s="390" t="str">
        <f t="shared" si="121"/>
        <v/>
      </c>
      <c r="BV353" s="391" t="str">
        <f t="shared" si="122"/>
        <v/>
      </c>
      <c r="BW353" s="150" t="str">
        <f t="shared" si="123"/>
        <v/>
      </c>
      <c r="BX353" s="173"/>
      <c r="BY353" s="392"/>
      <c r="BZ353" s="173"/>
      <c r="CA353" s="173"/>
      <c r="CB353" s="393" t="str">
        <f>IF(VLOOKUP(A353,'4- Equipement et formations'!A:S,12,FALSE)="","Aucun équipement spécifique directement lié au télétravail",VLOOKUP(A353,'4- Equipement et formations'!A:S,12,FALSE))</f>
        <v>Aucun équipement spécifique directement lié au télétravail</v>
      </c>
      <c r="CC353" s="394" t="str">
        <f t="shared" si="124"/>
        <v/>
      </c>
      <c r="CD353" s="301"/>
      <c r="CE353" s="164" t="e">
        <f>IF(VLOOKUP(T_BilanSocial[[#This Row],[NumL]],T_suiviDi[#Data],COLUMN(T_suiviDi[[#This Row],[Entité]]),FALSE)="","",VLOOKUP(T_BilanSocial[[#This Row],[NumL]],T_suiviDi[#Data],COLUMN(T_suiviDi[[#This Row],[Entité]]),FALSE))</f>
        <v>#VALUE!</v>
      </c>
      <c r="CF353" s="164"/>
      <c r="CG353"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3" s="339" t="str">
        <f>T_BilanSocial[[#This Row],[Nom]]&amp;T_BilanSocial[[#This Row],[Prenom]]</f>
        <v/>
      </c>
      <c r="CI353" s="339">
        <f>VLOOKUP(T_BilanSocial[[#This Row],[NumL]],T_Commission[#Data],COLUMN(T_Commission[Commentaire]),FALSE)</f>
        <v>0</v>
      </c>
      <c r="CJ353" s="339" t="str">
        <f>IF(VLOOKUP(T_BilanSocial[[#This Row],[NumL]],T_Commission[#Data],COLUMN(T_Commission[Encadrant Email]),FALSE)="","",VLOOKUP(T_BilanSocial[[#This Row],[NumL]],T_Commission[#Data],COLUMN(T_Commission[Encadrant Email]),FALSE))</f>
        <v/>
      </c>
      <c r="CK353" s="332" t="str">
        <f>IF(T_BilanSocial[[#This Row],[Final]]&lt;&gt;"",VLOOKUP(T_BilanSocial[[#This Row],[NumL]],T_suiviDi[#Data],COLUMN((T_suiviDi[Statut])),FALSE),"")</f>
        <v/>
      </c>
    </row>
    <row r="354" spans="1:89" ht="29.25" customHeight="1" x14ac:dyDescent="0.25">
      <c r="A354" s="136">
        <v>351</v>
      </c>
      <c r="B354" s="330" t="str">
        <f t="shared" si="83"/>
        <v/>
      </c>
      <c r="C354" s="309"/>
      <c r="D354" s="95" t="e">
        <f t="shared" si="84"/>
        <v>#N/A</v>
      </c>
      <c r="E354" s="95" t="str">
        <f t="shared" si="85"/>
        <v>12 janvier 2021</v>
      </c>
      <c r="F354" s="96" t="str">
        <f>IF(T_BilanSocial[[#This Row],[Final]]&lt;&gt;"",VLOOKUP(T_BilanSocial[[#This Row],[NumL]],T_suiviDi[#Data],COLUMN((T_suiviDi[Civ.])),FALSE),"")</f>
        <v/>
      </c>
      <c r="G354" s="96" t="str">
        <f>IF(T_BilanSocial[[#This Row],[Final]]&lt;&gt;"",VLOOKUP(T_BilanSocial[[#This Row],[NumL]],T_suiviDi[#Data],COLUMN((T_suiviDi[Nom])),FALSE),"")</f>
        <v/>
      </c>
      <c r="H354" s="96" t="str">
        <f>IF(T_BilanSocial[[#This Row],[Final]]&lt;&gt;"",VLOOKUP(T_BilanSocial[[#This Row],[NumL]],T_suiviDi[#Data],COLUMN((T_suiviDi[Prénom])),FALSE),"")</f>
        <v/>
      </c>
      <c r="I354" s="331" t="str">
        <f>IFERROR(VLOOKUP(T_BilanSocial[[#This Row],[Zone_Bilan]],T_P_BilanSocial[#Data],COLUMN(T_P_BilanSocial[[#This Row],[Numero_SIHAM]]),FALSE),"")</f>
        <v/>
      </c>
      <c r="J354" s="331" t="str">
        <f>IFERROR(VLOOKUP(T_BilanSocial[[#This Row],[Zone_Bilan]],T_P_BilanSocial[#Data],COLUMN(T_P_BilanSocial[[#This Row],[Sexe]]),FALSE),"")</f>
        <v/>
      </c>
      <c r="K354" s="294" t="str">
        <f>IFERROR(VLOOKUP(T_BilanSocial[[#This Row],[Zone_Bilan]],T_P_BilanSocial[#Data],COLUMN(T_P_BilanSocial[[#This Row],[Categorie]]),FALSE),"")</f>
        <v/>
      </c>
      <c r="L354" s="331" t="str">
        <f>IFERROR(VLOOKUP(T_BilanSocial[[#This Row],[Zone_Bilan]],T_P_BilanSocial[#Data],COLUMN(T_P_BilanSocial[[#This Row],[Statut]]),FALSE),"")</f>
        <v/>
      </c>
      <c r="M354" s="331" t="str">
        <f>IFERROR(VLOOKUP(T_BilanSocial[[#This Row],[Zone_Bilan]],T_P_BilanSocial[#Data],COLUMN(T_P_BilanSocial[[#This Row],[Filiere]]),FALSE),"")</f>
        <v/>
      </c>
      <c r="N354" s="331" t="e">
        <f>VLOOKUP(T_BilanSocial[[#This Row],[NumL]],T_TraitDi[#Data],COLUMN(T_TraitDi[EXP]),FALSE)</f>
        <v>#N/A</v>
      </c>
      <c r="O354" s="331" t="e">
        <f>VLOOKUP(T_BilanSocial[[#This Row],[NumL]],T_TraitDi[#Data],COLUMN(T_TraitDi[FORM]),FALSE)</f>
        <v>#N/A</v>
      </c>
      <c r="P354" s="96" t="e">
        <f t="shared" si="86"/>
        <v>#N/A</v>
      </c>
      <c r="Q354" s="96" t="e">
        <f t="shared" si="87"/>
        <v>#N/A</v>
      </c>
      <c r="R354" s="96" t="e">
        <f t="shared" si="88"/>
        <v>#N/A</v>
      </c>
      <c r="S354" s="96" t="str">
        <f t="shared" si="89"/>
        <v/>
      </c>
      <c r="T354" s="96" t="str">
        <f t="shared" si="90"/>
        <v>01 septembre 2021</v>
      </c>
      <c r="U354" s="96" t="str">
        <f t="shared" si="91"/>
        <v>30 novembre 2021</v>
      </c>
      <c r="V354" s="97">
        <f t="shared" si="92"/>
        <v>44530</v>
      </c>
      <c r="W354" s="150" t="str">
        <f t="shared" si="93"/>
        <v/>
      </c>
      <c r="X354" s="96" t="str">
        <f t="shared" si="94"/>
        <v/>
      </c>
      <c r="Y354" s="96" t="str">
        <f t="shared" si="94"/>
        <v/>
      </c>
      <c r="Z354" s="96" t="str">
        <f t="shared" si="95"/>
        <v/>
      </c>
      <c r="AA354" s="150" t="str">
        <f t="shared" si="95"/>
        <v/>
      </c>
      <c r="AB354" s="150" t="str">
        <f t="shared" si="96"/>
        <v/>
      </c>
      <c r="AC354" s="96" t="str">
        <f t="shared" si="125"/>
        <v/>
      </c>
      <c r="AD354" s="97" t="str">
        <f t="shared" si="98"/>
        <v/>
      </c>
      <c r="AE354" s="294" t="e">
        <f>VLOOKUP(T_BilanSocial[[#This Row],[NumL]],T_TraitDi[#Data],COLUMN(T_TraitDi[[#This Row],[Reg Ponct]]),FALSE)</f>
        <v>#VALUE!</v>
      </c>
      <c r="AF354" s="294" t="e">
        <f>VLOOKUP(T_BilanSocial[NumL],T_TraitDi[#Data],COLUMN(T_TraitDi[[#This Row],[Jours flottants]]),FALSE)</f>
        <v>#VALUE!</v>
      </c>
      <c r="AG354" s="97" t="str">
        <f t="shared" si="99"/>
        <v/>
      </c>
      <c r="AH354" s="95" t="e">
        <f t="shared" si="100"/>
        <v>#N/A</v>
      </c>
      <c r="AI354" s="95" t="e">
        <f t="shared" si="100"/>
        <v>#N/A</v>
      </c>
      <c r="AJ354" s="95" t="str">
        <f t="shared" si="101"/>
        <v/>
      </c>
      <c r="AK354" s="95" t="e">
        <f t="shared" si="102"/>
        <v>#N/A</v>
      </c>
      <c r="AL354" s="95" t="e">
        <f t="shared" si="102"/>
        <v>#N/A</v>
      </c>
      <c r="AM354" s="95" t="e">
        <f t="shared" si="102"/>
        <v>#N/A</v>
      </c>
      <c r="AN354" s="95" t="str">
        <f t="shared" si="103"/>
        <v/>
      </c>
      <c r="AO354" s="95" t="e">
        <f t="shared" si="104"/>
        <v>#N/A</v>
      </c>
      <c r="AP354" s="95" t="e">
        <f t="shared" si="104"/>
        <v>#N/A</v>
      </c>
      <c r="AQ354" s="95" t="str">
        <f t="shared" si="105"/>
        <v/>
      </c>
      <c r="AR354" s="95" t="e">
        <f t="shared" si="106"/>
        <v>#N/A</v>
      </c>
      <c r="AS354" s="95" t="e">
        <f t="shared" si="106"/>
        <v>#N/A</v>
      </c>
      <c r="AT354" s="95" t="e">
        <f t="shared" si="106"/>
        <v>#N/A</v>
      </c>
      <c r="AU354" s="95" t="str">
        <f t="shared" si="107"/>
        <v/>
      </c>
      <c r="AV354" s="95" t="e">
        <f t="shared" si="108"/>
        <v>#N/A</v>
      </c>
      <c r="AW354" s="95" t="e">
        <f t="shared" si="108"/>
        <v>#N/A</v>
      </c>
      <c r="AX354" s="95" t="str">
        <f t="shared" si="109"/>
        <v/>
      </c>
      <c r="AY354" s="95" t="e">
        <f t="shared" si="110"/>
        <v>#N/A</v>
      </c>
      <c r="AZ354" s="95" t="e">
        <f t="shared" si="110"/>
        <v>#N/A</v>
      </c>
      <c r="BA354" s="95" t="e">
        <f t="shared" si="110"/>
        <v>#N/A</v>
      </c>
      <c r="BB354" s="95" t="str">
        <f t="shared" si="111"/>
        <v/>
      </c>
      <c r="BC354" s="95" t="e">
        <f t="shared" si="112"/>
        <v>#N/A</v>
      </c>
      <c r="BD354" s="95" t="e">
        <f t="shared" si="112"/>
        <v>#N/A</v>
      </c>
      <c r="BE354" s="95" t="str">
        <f t="shared" si="113"/>
        <v/>
      </c>
      <c r="BF354" s="95" t="e">
        <f t="shared" si="114"/>
        <v>#N/A</v>
      </c>
      <c r="BG354" s="95" t="e">
        <f t="shared" si="114"/>
        <v>#N/A</v>
      </c>
      <c r="BH354" s="95" t="e">
        <f t="shared" si="114"/>
        <v>#N/A</v>
      </c>
      <c r="BI354" s="95" t="str">
        <f t="shared" si="115"/>
        <v/>
      </c>
      <c r="BJ354" s="95" t="e">
        <f t="shared" si="116"/>
        <v>#N/A</v>
      </c>
      <c r="BK354" s="95" t="e">
        <f t="shared" si="116"/>
        <v>#N/A</v>
      </c>
      <c r="BL354" s="95" t="str">
        <f t="shared" si="117"/>
        <v/>
      </c>
      <c r="BM354" s="95" t="e">
        <f t="shared" si="118"/>
        <v>#N/A</v>
      </c>
      <c r="BN354" s="95" t="e">
        <f t="shared" si="118"/>
        <v>#N/A</v>
      </c>
      <c r="BO354" s="95" t="e">
        <f t="shared" si="118"/>
        <v>#N/A</v>
      </c>
      <c r="BP354" s="388" t="e">
        <f>VLOOKUP(T_BilanSocial[[#This Row],[NumL]],T_TraitDi[#Data],COLUMN(T_TraitDi[NbJTot]),FALSE)</f>
        <v>#N/A</v>
      </c>
      <c r="BQ354" s="174" t="str">
        <f>IFERROR(VLOOKUP(T_BilanSocial[[#This Row],[NumL]],T_TraitDi[#Data],COLUMN(T_TraitDi[[#This Row],[NbJTW]]),FALSE),"")</f>
        <v/>
      </c>
      <c r="BR354" s="95" t="e">
        <f t="shared" si="119"/>
        <v>#N/A</v>
      </c>
      <c r="BS354" s="95" t="e">
        <f t="shared" si="119"/>
        <v>#N/A</v>
      </c>
      <c r="BT354" s="389" t="str">
        <f t="shared" si="120"/>
        <v/>
      </c>
      <c r="BU354" s="390" t="str">
        <f t="shared" si="121"/>
        <v/>
      </c>
      <c r="BV354" s="391" t="str">
        <f t="shared" si="122"/>
        <v/>
      </c>
      <c r="BW354" s="150" t="str">
        <f t="shared" si="123"/>
        <v/>
      </c>
      <c r="BX354" s="173"/>
      <c r="BY354" s="392"/>
      <c r="BZ354" s="173"/>
      <c r="CA354" s="173"/>
      <c r="CB354" s="393" t="str">
        <f>IF(VLOOKUP(A354,'4- Equipement et formations'!A:S,12,FALSE)="","Aucun équipement spécifique directement lié au télétravail",VLOOKUP(A354,'4- Equipement et formations'!A:S,12,FALSE))</f>
        <v>Aucun équipement spécifique directement lié au télétravail</v>
      </c>
      <c r="CC354" s="394" t="str">
        <f t="shared" si="124"/>
        <v/>
      </c>
      <c r="CD354" s="301"/>
      <c r="CE354" s="164" t="e">
        <f>IF(VLOOKUP(T_BilanSocial[[#This Row],[NumL]],T_suiviDi[#Data],COLUMN(T_suiviDi[[#This Row],[Entité]]),FALSE)="","",VLOOKUP(T_BilanSocial[[#This Row],[NumL]],T_suiviDi[#Data],COLUMN(T_suiviDi[[#This Row],[Entité]]),FALSE))</f>
        <v>#VALUE!</v>
      </c>
      <c r="CF354" s="164"/>
      <c r="CG354"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4" s="339" t="str">
        <f>T_BilanSocial[[#This Row],[Nom]]&amp;T_BilanSocial[[#This Row],[Prenom]]</f>
        <v/>
      </c>
      <c r="CI354" s="339">
        <f>VLOOKUP(T_BilanSocial[[#This Row],[NumL]],T_Commission[#Data],COLUMN(T_Commission[Commentaire]),FALSE)</f>
        <v>0</v>
      </c>
      <c r="CJ354" s="339" t="str">
        <f>IF(VLOOKUP(T_BilanSocial[[#This Row],[NumL]],T_Commission[#Data],COLUMN(T_Commission[Encadrant Email]),FALSE)="","",VLOOKUP(T_BilanSocial[[#This Row],[NumL]],T_Commission[#Data],COLUMN(T_Commission[Encadrant Email]),FALSE))</f>
        <v/>
      </c>
      <c r="CK354" s="332" t="str">
        <f>IF(T_BilanSocial[[#This Row],[Final]]&lt;&gt;"",VLOOKUP(T_BilanSocial[[#This Row],[NumL]],T_suiviDi[#Data],COLUMN((T_suiviDi[Statut])),FALSE),"")</f>
        <v/>
      </c>
    </row>
    <row r="355" spans="1:89" ht="29.25" customHeight="1" x14ac:dyDescent="0.25">
      <c r="A355" s="136">
        <v>352</v>
      </c>
      <c r="B355" s="330" t="str">
        <f t="shared" si="83"/>
        <v/>
      </c>
      <c r="C355" s="309"/>
      <c r="D355" s="95" t="e">
        <f t="shared" si="84"/>
        <v>#N/A</v>
      </c>
      <c r="E355" s="95" t="str">
        <f t="shared" si="85"/>
        <v>12 janvier 2021</v>
      </c>
      <c r="F355" s="96" t="str">
        <f>IF(T_BilanSocial[[#This Row],[Final]]&lt;&gt;"",VLOOKUP(T_BilanSocial[[#This Row],[NumL]],T_suiviDi[#Data],COLUMN((T_suiviDi[Civ.])),FALSE),"")</f>
        <v/>
      </c>
      <c r="G355" s="96" t="str">
        <f>IF(T_BilanSocial[[#This Row],[Final]]&lt;&gt;"",VLOOKUP(T_BilanSocial[[#This Row],[NumL]],T_suiviDi[#Data],COLUMN((T_suiviDi[Nom])),FALSE),"")</f>
        <v/>
      </c>
      <c r="H355" s="96" t="str">
        <f>IF(T_BilanSocial[[#This Row],[Final]]&lt;&gt;"",VLOOKUP(T_BilanSocial[[#This Row],[NumL]],T_suiviDi[#Data],COLUMN((T_suiviDi[Prénom])),FALSE),"")</f>
        <v/>
      </c>
      <c r="I355" s="331" t="str">
        <f>IFERROR(VLOOKUP(T_BilanSocial[[#This Row],[Zone_Bilan]],T_P_BilanSocial[#Data],COLUMN(T_P_BilanSocial[[#This Row],[Numero_SIHAM]]),FALSE),"")</f>
        <v/>
      </c>
      <c r="J355" s="331" t="str">
        <f>IFERROR(VLOOKUP(T_BilanSocial[[#This Row],[Zone_Bilan]],T_P_BilanSocial[#Data],COLUMN(T_P_BilanSocial[[#This Row],[Sexe]]),FALSE),"")</f>
        <v/>
      </c>
      <c r="K355" s="294" t="str">
        <f>IFERROR(VLOOKUP(T_BilanSocial[[#This Row],[Zone_Bilan]],T_P_BilanSocial[#Data],COLUMN(T_P_BilanSocial[[#This Row],[Categorie]]),FALSE),"")</f>
        <v/>
      </c>
      <c r="L355" s="331" t="str">
        <f>IFERROR(VLOOKUP(T_BilanSocial[[#This Row],[Zone_Bilan]],T_P_BilanSocial[#Data],COLUMN(T_P_BilanSocial[[#This Row],[Statut]]),FALSE),"")</f>
        <v/>
      </c>
      <c r="M355" s="331" t="str">
        <f>IFERROR(VLOOKUP(T_BilanSocial[[#This Row],[Zone_Bilan]],T_P_BilanSocial[#Data],COLUMN(T_P_BilanSocial[[#This Row],[Filiere]]),FALSE),"")</f>
        <v/>
      </c>
      <c r="N355" s="331" t="e">
        <f>VLOOKUP(T_BilanSocial[[#This Row],[NumL]],T_TraitDi[#Data],COLUMN(T_TraitDi[EXP]),FALSE)</f>
        <v>#N/A</v>
      </c>
      <c r="O355" s="331" t="e">
        <f>VLOOKUP(T_BilanSocial[[#This Row],[NumL]],T_TraitDi[#Data],COLUMN(T_TraitDi[FORM]),FALSE)</f>
        <v>#N/A</v>
      </c>
      <c r="P355" s="96" t="e">
        <f t="shared" si="86"/>
        <v>#N/A</v>
      </c>
      <c r="Q355" s="96" t="e">
        <f t="shared" si="87"/>
        <v>#N/A</v>
      </c>
      <c r="R355" s="96" t="e">
        <f t="shared" si="88"/>
        <v>#N/A</v>
      </c>
      <c r="S355" s="96" t="str">
        <f t="shared" si="89"/>
        <v/>
      </c>
      <c r="T355" s="96" t="str">
        <f t="shared" si="90"/>
        <v>01 septembre 2021</v>
      </c>
      <c r="U355" s="96" t="str">
        <f t="shared" si="91"/>
        <v>30 novembre 2021</v>
      </c>
      <c r="V355" s="97">
        <f t="shared" si="92"/>
        <v>44530</v>
      </c>
      <c r="W355" s="150" t="str">
        <f t="shared" si="93"/>
        <v/>
      </c>
      <c r="X355" s="96" t="str">
        <f t="shared" si="94"/>
        <v/>
      </c>
      <c r="Y355" s="96" t="str">
        <f t="shared" si="94"/>
        <v/>
      </c>
      <c r="Z355" s="96" t="str">
        <f t="shared" si="95"/>
        <v/>
      </c>
      <c r="AA355" s="150" t="str">
        <f t="shared" si="95"/>
        <v/>
      </c>
      <c r="AB355" s="150" t="str">
        <f t="shared" si="96"/>
        <v/>
      </c>
      <c r="AC355" s="96" t="str">
        <f t="shared" si="125"/>
        <v/>
      </c>
      <c r="AD355" s="97" t="str">
        <f t="shared" si="98"/>
        <v/>
      </c>
      <c r="AE355" s="294" t="e">
        <f>VLOOKUP(T_BilanSocial[[#This Row],[NumL]],T_TraitDi[#Data],COLUMN(T_TraitDi[[#This Row],[Reg Ponct]]),FALSE)</f>
        <v>#VALUE!</v>
      </c>
      <c r="AF355" s="294" t="e">
        <f>VLOOKUP(T_BilanSocial[NumL],T_TraitDi[#Data],COLUMN(T_TraitDi[[#This Row],[Jours flottants]]),FALSE)</f>
        <v>#VALUE!</v>
      </c>
      <c r="AG355" s="97" t="str">
        <f t="shared" si="99"/>
        <v/>
      </c>
      <c r="AH355" s="95" t="e">
        <f t="shared" si="100"/>
        <v>#N/A</v>
      </c>
      <c r="AI355" s="95" t="e">
        <f t="shared" si="100"/>
        <v>#N/A</v>
      </c>
      <c r="AJ355" s="95" t="str">
        <f t="shared" si="101"/>
        <v/>
      </c>
      <c r="AK355" s="95" t="e">
        <f t="shared" si="102"/>
        <v>#N/A</v>
      </c>
      <c r="AL355" s="95" t="e">
        <f t="shared" si="102"/>
        <v>#N/A</v>
      </c>
      <c r="AM355" s="95" t="e">
        <f t="shared" si="102"/>
        <v>#N/A</v>
      </c>
      <c r="AN355" s="95" t="str">
        <f t="shared" si="103"/>
        <v/>
      </c>
      <c r="AO355" s="95" t="e">
        <f t="shared" si="104"/>
        <v>#N/A</v>
      </c>
      <c r="AP355" s="95" t="e">
        <f t="shared" si="104"/>
        <v>#N/A</v>
      </c>
      <c r="AQ355" s="95" t="str">
        <f t="shared" si="105"/>
        <v/>
      </c>
      <c r="AR355" s="95" t="e">
        <f t="shared" si="106"/>
        <v>#N/A</v>
      </c>
      <c r="AS355" s="95" t="e">
        <f t="shared" si="106"/>
        <v>#N/A</v>
      </c>
      <c r="AT355" s="95" t="e">
        <f t="shared" si="106"/>
        <v>#N/A</v>
      </c>
      <c r="AU355" s="95" t="str">
        <f t="shared" si="107"/>
        <v/>
      </c>
      <c r="AV355" s="95" t="e">
        <f t="shared" si="108"/>
        <v>#N/A</v>
      </c>
      <c r="AW355" s="95" t="e">
        <f t="shared" si="108"/>
        <v>#N/A</v>
      </c>
      <c r="AX355" s="95" t="str">
        <f t="shared" si="109"/>
        <v/>
      </c>
      <c r="AY355" s="95" t="e">
        <f t="shared" si="110"/>
        <v>#N/A</v>
      </c>
      <c r="AZ355" s="95" t="e">
        <f t="shared" si="110"/>
        <v>#N/A</v>
      </c>
      <c r="BA355" s="95" t="e">
        <f t="shared" si="110"/>
        <v>#N/A</v>
      </c>
      <c r="BB355" s="95" t="str">
        <f t="shared" si="111"/>
        <v/>
      </c>
      <c r="BC355" s="95" t="e">
        <f t="shared" si="112"/>
        <v>#N/A</v>
      </c>
      <c r="BD355" s="95" t="e">
        <f t="shared" si="112"/>
        <v>#N/A</v>
      </c>
      <c r="BE355" s="95" t="str">
        <f t="shared" si="113"/>
        <v/>
      </c>
      <c r="BF355" s="95" t="e">
        <f t="shared" si="114"/>
        <v>#N/A</v>
      </c>
      <c r="BG355" s="95" t="e">
        <f t="shared" si="114"/>
        <v>#N/A</v>
      </c>
      <c r="BH355" s="95" t="e">
        <f t="shared" si="114"/>
        <v>#N/A</v>
      </c>
      <c r="BI355" s="95" t="str">
        <f t="shared" si="115"/>
        <v/>
      </c>
      <c r="BJ355" s="95" t="e">
        <f t="shared" si="116"/>
        <v>#N/A</v>
      </c>
      <c r="BK355" s="95" t="e">
        <f t="shared" si="116"/>
        <v>#N/A</v>
      </c>
      <c r="BL355" s="95" t="str">
        <f t="shared" si="117"/>
        <v/>
      </c>
      <c r="BM355" s="95" t="e">
        <f t="shared" si="118"/>
        <v>#N/A</v>
      </c>
      <c r="BN355" s="95" t="e">
        <f t="shared" si="118"/>
        <v>#N/A</v>
      </c>
      <c r="BO355" s="95" t="e">
        <f t="shared" si="118"/>
        <v>#N/A</v>
      </c>
      <c r="BP355" s="388" t="e">
        <f>VLOOKUP(T_BilanSocial[[#This Row],[NumL]],T_TraitDi[#Data],COLUMN(T_TraitDi[NbJTot]),FALSE)</f>
        <v>#N/A</v>
      </c>
      <c r="BQ355" s="174" t="str">
        <f>IFERROR(VLOOKUP(T_BilanSocial[[#This Row],[NumL]],T_TraitDi[#Data],COLUMN(T_TraitDi[[#This Row],[NbJTW]]),FALSE),"")</f>
        <v/>
      </c>
      <c r="BR355" s="95" t="e">
        <f t="shared" si="119"/>
        <v>#N/A</v>
      </c>
      <c r="BS355" s="95" t="e">
        <f t="shared" si="119"/>
        <v>#N/A</v>
      </c>
      <c r="BT355" s="389" t="str">
        <f t="shared" si="120"/>
        <v/>
      </c>
      <c r="BU355" s="390" t="str">
        <f t="shared" si="121"/>
        <v/>
      </c>
      <c r="BV355" s="391" t="str">
        <f t="shared" si="122"/>
        <v/>
      </c>
      <c r="BW355" s="150" t="str">
        <f t="shared" si="123"/>
        <v/>
      </c>
      <c r="BX355" s="173"/>
      <c r="BY355" s="392"/>
      <c r="BZ355" s="173"/>
      <c r="CA355" s="173"/>
      <c r="CB355" s="393" t="str">
        <f>IF(VLOOKUP(A355,'4- Equipement et formations'!A:S,12,FALSE)="","Aucun équipement spécifique directement lié au télétravail",VLOOKUP(A355,'4- Equipement et formations'!A:S,12,FALSE))</f>
        <v>Aucun équipement spécifique directement lié au télétravail</v>
      </c>
      <c r="CC355" s="394" t="str">
        <f t="shared" si="124"/>
        <v/>
      </c>
      <c r="CD355" s="301"/>
      <c r="CE355" s="164" t="e">
        <f>IF(VLOOKUP(T_BilanSocial[[#This Row],[NumL]],T_suiviDi[#Data],COLUMN(T_suiviDi[[#This Row],[Entité]]),FALSE)="","",VLOOKUP(T_BilanSocial[[#This Row],[NumL]],T_suiviDi[#Data],COLUMN(T_suiviDi[[#This Row],[Entité]]),FALSE))</f>
        <v>#VALUE!</v>
      </c>
      <c r="CF355" s="164"/>
      <c r="CG355"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5" s="339" t="str">
        <f>T_BilanSocial[[#This Row],[Nom]]&amp;T_BilanSocial[[#This Row],[Prenom]]</f>
        <v/>
      </c>
      <c r="CI355" s="339">
        <f>VLOOKUP(T_BilanSocial[[#This Row],[NumL]],T_Commission[#Data],COLUMN(T_Commission[Commentaire]),FALSE)</f>
        <v>0</v>
      </c>
      <c r="CJ355" s="339" t="str">
        <f>IF(VLOOKUP(T_BilanSocial[[#This Row],[NumL]],T_Commission[#Data],COLUMN(T_Commission[Encadrant Email]),FALSE)="","",VLOOKUP(T_BilanSocial[[#This Row],[NumL]],T_Commission[#Data],COLUMN(T_Commission[Encadrant Email]),FALSE))</f>
        <v/>
      </c>
      <c r="CK355" s="332" t="str">
        <f>IF(T_BilanSocial[[#This Row],[Final]]&lt;&gt;"",VLOOKUP(T_BilanSocial[[#This Row],[NumL]],T_suiviDi[#Data],COLUMN((T_suiviDi[Statut])),FALSE),"")</f>
        <v/>
      </c>
    </row>
    <row r="356" spans="1:89" ht="29.25" customHeight="1" x14ac:dyDescent="0.25">
      <c r="A356" s="136">
        <v>353</v>
      </c>
      <c r="B356" s="330" t="str">
        <f t="shared" si="83"/>
        <v/>
      </c>
      <c r="C356" s="309"/>
      <c r="D356" s="95" t="e">
        <f t="shared" si="84"/>
        <v>#N/A</v>
      </c>
      <c r="E356" s="95" t="str">
        <f t="shared" si="85"/>
        <v>12 janvier 2021</v>
      </c>
      <c r="F356" s="96" t="str">
        <f>IF(T_BilanSocial[[#This Row],[Final]]&lt;&gt;"",VLOOKUP(T_BilanSocial[[#This Row],[NumL]],T_suiviDi[#Data],COLUMN((T_suiviDi[Civ.])),FALSE),"")</f>
        <v/>
      </c>
      <c r="G356" s="96" t="str">
        <f>IF(T_BilanSocial[[#This Row],[Final]]&lt;&gt;"",VLOOKUP(T_BilanSocial[[#This Row],[NumL]],T_suiviDi[#Data],COLUMN((T_suiviDi[Nom])),FALSE),"")</f>
        <v/>
      </c>
      <c r="H356" s="96" t="str">
        <f>IF(T_BilanSocial[[#This Row],[Final]]&lt;&gt;"",VLOOKUP(T_BilanSocial[[#This Row],[NumL]],T_suiviDi[#Data],COLUMN((T_suiviDi[Prénom])),FALSE),"")</f>
        <v/>
      </c>
      <c r="I356" s="331" t="str">
        <f>IFERROR(VLOOKUP(T_BilanSocial[[#This Row],[Zone_Bilan]],T_P_BilanSocial[#Data],COLUMN(T_P_BilanSocial[[#This Row],[Numero_SIHAM]]),FALSE),"")</f>
        <v/>
      </c>
      <c r="J356" s="331" t="str">
        <f>IFERROR(VLOOKUP(T_BilanSocial[[#This Row],[Zone_Bilan]],T_P_BilanSocial[#Data],COLUMN(T_P_BilanSocial[[#This Row],[Sexe]]),FALSE),"")</f>
        <v/>
      </c>
      <c r="K356" s="294" t="str">
        <f>IFERROR(VLOOKUP(T_BilanSocial[[#This Row],[Zone_Bilan]],T_P_BilanSocial[#Data],COLUMN(T_P_BilanSocial[[#This Row],[Categorie]]),FALSE),"")</f>
        <v/>
      </c>
      <c r="L356" s="331" t="str">
        <f>IFERROR(VLOOKUP(T_BilanSocial[[#This Row],[Zone_Bilan]],T_P_BilanSocial[#Data],COLUMN(T_P_BilanSocial[[#This Row],[Statut]]),FALSE),"")</f>
        <v/>
      </c>
      <c r="M356" s="331" t="str">
        <f>IFERROR(VLOOKUP(T_BilanSocial[[#This Row],[Zone_Bilan]],T_P_BilanSocial[#Data],COLUMN(T_P_BilanSocial[[#This Row],[Filiere]]),FALSE),"")</f>
        <v/>
      </c>
      <c r="N356" s="331" t="e">
        <f>VLOOKUP(T_BilanSocial[[#This Row],[NumL]],T_TraitDi[#Data],COLUMN(T_TraitDi[EXP]),FALSE)</f>
        <v>#N/A</v>
      </c>
      <c r="O356" s="331" t="e">
        <f>VLOOKUP(T_BilanSocial[[#This Row],[NumL]],T_TraitDi[#Data],COLUMN(T_TraitDi[FORM]),FALSE)</f>
        <v>#N/A</v>
      </c>
      <c r="P356" s="96" t="e">
        <f t="shared" si="86"/>
        <v>#N/A</v>
      </c>
      <c r="Q356" s="96" t="e">
        <f t="shared" si="87"/>
        <v>#N/A</v>
      </c>
      <c r="R356" s="96" t="e">
        <f t="shared" si="88"/>
        <v>#N/A</v>
      </c>
      <c r="S356" s="96" t="str">
        <f t="shared" si="89"/>
        <v/>
      </c>
      <c r="T356" s="96" t="str">
        <f t="shared" si="90"/>
        <v>01 septembre 2021</v>
      </c>
      <c r="U356" s="96" t="str">
        <f t="shared" si="91"/>
        <v>30 novembre 2021</v>
      </c>
      <c r="V356" s="97">
        <f t="shared" si="92"/>
        <v>44530</v>
      </c>
      <c r="W356" s="150" t="str">
        <f t="shared" si="93"/>
        <v/>
      </c>
      <c r="X356" s="96" t="str">
        <f t="shared" si="94"/>
        <v/>
      </c>
      <c r="Y356" s="96" t="str">
        <f t="shared" si="94"/>
        <v/>
      </c>
      <c r="Z356" s="96" t="str">
        <f t="shared" si="95"/>
        <v/>
      </c>
      <c r="AA356" s="150" t="str">
        <f t="shared" si="95"/>
        <v/>
      </c>
      <c r="AB356" s="150" t="str">
        <f t="shared" si="96"/>
        <v/>
      </c>
      <c r="AC356" s="96" t="str">
        <f t="shared" si="125"/>
        <v/>
      </c>
      <c r="AD356" s="97" t="str">
        <f t="shared" si="98"/>
        <v/>
      </c>
      <c r="AE356" s="294" t="e">
        <f>VLOOKUP(T_BilanSocial[[#This Row],[NumL]],T_TraitDi[#Data],COLUMN(T_TraitDi[[#This Row],[Reg Ponct]]),FALSE)</f>
        <v>#VALUE!</v>
      </c>
      <c r="AF356" s="294" t="e">
        <f>VLOOKUP(T_BilanSocial[NumL],T_TraitDi[#Data],COLUMN(T_TraitDi[[#This Row],[Jours flottants]]),FALSE)</f>
        <v>#VALUE!</v>
      </c>
      <c r="AG356" s="97" t="str">
        <f t="shared" si="99"/>
        <v/>
      </c>
      <c r="AH356" s="95" t="e">
        <f t="shared" si="100"/>
        <v>#N/A</v>
      </c>
      <c r="AI356" s="95" t="e">
        <f t="shared" si="100"/>
        <v>#N/A</v>
      </c>
      <c r="AJ356" s="95" t="str">
        <f t="shared" si="101"/>
        <v/>
      </c>
      <c r="AK356" s="95" t="e">
        <f t="shared" si="102"/>
        <v>#N/A</v>
      </c>
      <c r="AL356" s="95" t="e">
        <f t="shared" si="102"/>
        <v>#N/A</v>
      </c>
      <c r="AM356" s="95" t="e">
        <f t="shared" si="102"/>
        <v>#N/A</v>
      </c>
      <c r="AN356" s="95" t="str">
        <f t="shared" si="103"/>
        <v/>
      </c>
      <c r="AO356" s="95" t="e">
        <f t="shared" si="104"/>
        <v>#N/A</v>
      </c>
      <c r="AP356" s="95" t="e">
        <f t="shared" si="104"/>
        <v>#N/A</v>
      </c>
      <c r="AQ356" s="95" t="str">
        <f t="shared" si="105"/>
        <v/>
      </c>
      <c r="AR356" s="95" t="e">
        <f t="shared" si="106"/>
        <v>#N/A</v>
      </c>
      <c r="AS356" s="95" t="e">
        <f t="shared" si="106"/>
        <v>#N/A</v>
      </c>
      <c r="AT356" s="95" t="e">
        <f t="shared" si="106"/>
        <v>#N/A</v>
      </c>
      <c r="AU356" s="95" t="str">
        <f t="shared" si="107"/>
        <v/>
      </c>
      <c r="AV356" s="95" t="e">
        <f t="shared" si="108"/>
        <v>#N/A</v>
      </c>
      <c r="AW356" s="95" t="e">
        <f t="shared" si="108"/>
        <v>#N/A</v>
      </c>
      <c r="AX356" s="95" t="str">
        <f t="shared" si="109"/>
        <v/>
      </c>
      <c r="AY356" s="95" t="e">
        <f t="shared" si="110"/>
        <v>#N/A</v>
      </c>
      <c r="AZ356" s="95" t="e">
        <f t="shared" si="110"/>
        <v>#N/A</v>
      </c>
      <c r="BA356" s="95" t="e">
        <f t="shared" si="110"/>
        <v>#N/A</v>
      </c>
      <c r="BB356" s="95" t="str">
        <f t="shared" si="111"/>
        <v/>
      </c>
      <c r="BC356" s="95" t="e">
        <f t="shared" si="112"/>
        <v>#N/A</v>
      </c>
      <c r="BD356" s="95" t="e">
        <f t="shared" si="112"/>
        <v>#N/A</v>
      </c>
      <c r="BE356" s="95" t="str">
        <f t="shared" si="113"/>
        <v/>
      </c>
      <c r="BF356" s="95" t="e">
        <f t="shared" si="114"/>
        <v>#N/A</v>
      </c>
      <c r="BG356" s="95" t="e">
        <f t="shared" si="114"/>
        <v>#N/A</v>
      </c>
      <c r="BH356" s="95" t="e">
        <f t="shared" si="114"/>
        <v>#N/A</v>
      </c>
      <c r="BI356" s="95" t="str">
        <f t="shared" si="115"/>
        <v/>
      </c>
      <c r="BJ356" s="95" t="e">
        <f t="shared" si="116"/>
        <v>#N/A</v>
      </c>
      <c r="BK356" s="95" t="e">
        <f t="shared" si="116"/>
        <v>#N/A</v>
      </c>
      <c r="BL356" s="95" t="str">
        <f t="shared" si="117"/>
        <v/>
      </c>
      <c r="BM356" s="95" t="e">
        <f t="shared" si="118"/>
        <v>#N/A</v>
      </c>
      <c r="BN356" s="95" t="e">
        <f t="shared" si="118"/>
        <v>#N/A</v>
      </c>
      <c r="BO356" s="95" t="e">
        <f t="shared" si="118"/>
        <v>#N/A</v>
      </c>
      <c r="BP356" s="388" t="e">
        <f>VLOOKUP(T_BilanSocial[[#This Row],[NumL]],T_TraitDi[#Data],COLUMN(T_TraitDi[NbJTot]),FALSE)</f>
        <v>#N/A</v>
      </c>
      <c r="BQ356" s="174" t="str">
        <f>IFERROR(VLOOKUP(T_BilanSocial[[#This Row],[NumL]],T_TraitDi[#Data],COLUMN(T_TraitDi[[#This Row],[NbJTW]]),FALSE),"")</f>
        <v/>
      </c>
      <c r="BR356" s="95" t="e">
        <f t="shared" si="119"/>
        <v>#N/A</v>
      </c>
      <c r="BS356" s="95" t="e">
        <f t="shared" si="119"/>
        <v>#N/A</v>
      </c>
      <c r="BT356" s="389" t="str">
        <f t="shared" si="120"/>
        <v/>
      </c>
      <c r="BU356" s="390" t="str">
        <f t="shared" si="121"/>
        <v/>
      </c>
      <c r="BV356" s="391" t="str">
        <f t="shared" si="122"/>
        <v/>
      </c>
      <c r="BW356" s="150" t="str">
        <f t="shared" si="123"/>
        <v/>
      </c>
      <c r="BX356" s="173"/>
      <c r="BY356" s="392"/>
      <c r="BZ356" s="173"/>
      <c r="CA356" s="173"/>
      <c r="CB356" s="393" t="str">
        <f>IF(VLOOKUP(A356,'4- Equipement et formations'!A:S,12,FALSE)="","Aucun équipement spécifique directement lié au télétravail",VLOOKUP(A356,'4- Equipement et formations'!A:S,12,FALSE))</f>
        <v>Aucun équipement spécifique directement lié au télétravail</v>
      </c>
      <c r="CC356" s="394" t="str">
        <f t="shared" si="124"/>
        <v/>
      </c>
      <c r="CD356" s="301"/>
      <c r="CE356" s="164" t="e">
        <f>IF(VLOOKUP(T_BilanSocial[[#This Row],[NumL]],T_suiviDi[#Data],COLUMN(T_suiviDi[[#This Row],[Entité]]),FALSE)="","",VLOOKUP(T_BilanSocial[[#This Row],[NumL]],T_suiviDi[#Data],COLUMN(T_suiviDi[[#This Row],[Entité]]),FALSE))</f>
        <v>#VALUE!</v>
      </c>
      <c r="CF356" s="164"/>
      <c r="CG356"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6" s="339" t="str">
        <f>T_BilanSocial[[#This Row],[Nom]]&amp;T_BilanSocial[[#This Row],[Prenom]]</f>
        <v/>
      </c>
      <c r="CI356" s="339">
        <f>VLOOKUP(T_BilanSocial[[#This Row],[NumL]],T_Commission[#Data],COLUMN(T_Commission[Commentaire]),FALSE)</f>
        <v>0</v>
      </c>
      <c r="CJ356" s="339" t="str">
        <f>IF(VLOOKUP(T_BilanSocial[[#This Row],[NumL]],T_Commission[#Data],COLUMN(T_Commission[Encadrant Email]),FALSE)="","",VLOOKUP(T_BilanSocial[[#This Row],[NumL]],T_Commission[#Data],COLUMN(T_Commission[Encadrant Email]),FALSE))</f>
        <v/>
      </c>
      <c r="CK356" s="332" t="str">
        <f>IF(T_BilanSocial[[#This Row],[Final]]&lt;&gt;"",VLOOKUP(T_BilanSocial[[#This Row],[NumL]],T_suiviDi[#Data],COLUMN((T_suiviDi[Statut])),FALSE),"")</f>
        <v/>
      </c>
    </row>
    <row r="357" spans="1:89" ht="29.25" customHeight="1" x14ac:dyDescent="0.25">
      <c r="A357" s="136">
        <v>354</v>
      </c>
      <c r="B357" s="330" t="str">
        <f t="shared" si="83"/>
        <v/>
      </c>
      <c r="C357" s="309"/>
      <c r="D357" s="95" t="e">
        <f t="shared" si="84"/>
        <v>#N/A</v>
      </c>
      <c r="E357" s="95" t="str">
        <f t="shared" si="85"/>
        <v>12 janvier 2021</v>
      </c>
      <c r="F357" s="96" t="str">
        <f>IF(T_BilanSocial[[#This Row],[Final]]&lt;&gt;"",VLOOKUP(T_BilanSocial[[#This Row],[NumL]],T_suiviDi[#Data],COLUMN((T_suiviDi[Civ.])),FALSE),"")</f>
        <v/>
      </c>
      <c r="G357" s="96" t="str">
        <f>IF(T_BilanSocial[[#This Row],[Final]]&lt;&gt;"",VLOOKUP(T_BilanSocial[[#This Row],[NumL]],T_suiviDi[#Data],COLUMN((T_suiviDi[Nom])),FALSE),"")</f>
        <v/>
      </c>
      <c r="H357" s="96" t="str">
        <f>IF(T_BilanSocial[[#This Row],[Final]]&lt;&gt;"",VLOOKUP(T_BilanSocial[[#This Row],[NumL]],T_suiviDi[#Data],COLUMN((T_suiviDi[Prénom])),FALSE),"")</f>
        <v/>
      </c>
      <c r="I357" s="331" t="str">
        <f>IFERROR(VLOOKUP(T_BilanSocial[[#This Row],[Zone_Bilan]],T_P_BilanSocial[#Data],COLUMN(T_P_BilanSocial[[#This Row],[Numero_SIHAM]]),FALSE),"")</f>
        <v/>
      </c>
      <c r="J357" s="331" t="str">
        <f>IFERROR(VLOOKUP(T_BilanSocial[[#This Row],[Zone_Bilan]],T_P_BilanSocial[#Data],COLUMN(T_P_BilanSocial[[#This Row],[Sexe]]),FALSE),"")</f>
        <v/>
      </c>
      <c r="K357" s="294" t="str">
        <f>IFERROR(VLOOKUP(T_BilanSocial[[#This Row],[Zone_Bilan]],T_P_BilanSocial[#Data],COLUMN(T_P_BilanSocial[[#This Row],[Categorie]]),FALSE),"")</f>
        <v/>
      </c>
      <c r="L357" s="331" t="str">
        <f>IFERROR(VLOOKUP(T_BilanSocial[[#This Row],[Zone_Bilan]],T_P_BilanSocial[#Data],COLUMN(T_P_BilanSocial[[#This Row],[Statut]]),FALSE),"")</f>
        <v/>
      </c>
      <c r="M357" s="331" t="str">
        <f>IFERROR(VLOOKUP(T_BilanSocial[[#This Row],[Zone_Bilan]],T_P_BilanSocial[#Data],COLUMN(T_P_BilanSocial[[#This Row],[Filiere]]),FALSE),"")</f>
        <v/>
      </c>
      <c r="N357" s="331" t="e">
        <f>VLOOKUP(T_BilanSocial[[#This Row],[NumL]],T_TraitDi[#Data],COLUMN(T_TraitDi[EXP]),FALSE)</f>
        <v>#N/A</v>
      </c>
      <c r="O357" s="331" t="e">
        <f>VLOOKUP(T_BilanSocial[[#This Row],[NumL]],T_TraitDi[#Data],COLUMN(T_TraitDi[FORM]),FALSE)</f>
        <v>#N/A</v>
      </c>
      <c r="P357" s="96" t="e">
        <f t="shared" si="86"/>
        <v>#N/A</v>
      </c>
      <c r="Q357" s="96" t="e">
        <f t="shared" si="87"/>
        <v>#N/A</v>
      </c>
      <c r="R357" s="96" t="e">
        <f t="shared" si="88"/>
        <v>#N/A</v>
      </c>
      <c r="S357" s="96" t="str">
        <f t="shared" si="89"/>
        <v/>
      </c>
      <c r="T357" s="96" t="str">
        <f t="shared" si="90"/>
        <v>01 septembre 2021</v>
      </c>
      <c r="U357" s="96" t="str">
        <f t="shared" si="91"/>
        <v>30 novembre 2021</v>
      </c>
      <c r="V357" s="97">
        <f t="shared" si="92"/>
        <v>44530</v>
      </c>
      <c r="W357" s="150" t="str">
        <f t="shared" si="93"/>
        <v/>
      </c>
      <c r="X357" s="96" t="str">
        <f t="shared" si="94"/>
        <v/>
      </c>
      <c r="Y357" s="96" t="str">
        <f t="shared" si="94"/>
        <v/>
      </c>
      <c r="Z357" s="96" t="str">
        <f t="shared" si="95"/>
        <v/>
      </c>
      <c r="AA357" s="150" t="str">
        <f t="shared" si="95"/>
        <v/>
      </c>
      <c r="AB357" s="150" t="str">
        <f t="shared" si="96"/>
        <v/>
      </c>
      <c r="AC357" s="96" t="str">
        <f t="shared" ref="AC357:AC360" si="126">W357&amp;X357&amp;Y357&amp;Z357&amp;AA357&amp;AB357</f>
        <v/>
      </c>
      <c r="AD357" s="97" t="str">
        <f t="shared" si="98"/>
        <v/>
      </c>
      <c r="AE357" s="294" t="e">
        <f>VLOOKUP(T_BilanSocial[[#This Row],[NumL]],T_TraitDi[#Data],COLUMN(T_TraitDi[[#This Row],[Reg Ponct]]),FALSE)</f>
        <v>#VALUE!</v>
      </c>
      <c r="AF357" s="294" t="e">
        <f>VLOOKUP(T_BilanSocial[NumL],T_TraitDi[#Data],COLUMN(T_TraitDi[[#This Row],[Jours flottants]]),FALSE)</f>
        <v>#VALUE!</v>
      </c>
      <c r="AG357" s="97" t="str">
        <f t="shared" si="99"/>
        <v/>
      </c>
      <c r="AH357" s="95" t="e">
        <f t="shared" si="100"/>
        <v>#N/A</v>
      </c>
      <c r="AI357" s="95" t="e">
        <f t="shared" si="100"/>
        <v>#N/A</v>
      </c>
      <c r="AJ357" s="95" t="str">
        <f t="shared" si="101"/>
        <v/>
      </c>
      <c r="AK357" s="95" t="e">
        <f t="shared" si="102"/>
        <v>#N/A</v>
      </c>
      <c r="AL357" s="95" t="e">
        <f t="shared" si="102"/>
        <v>#N/A</v>
      </c>
      <c r="AM357" s="95" t="e">
        <f t="shared" si="102"/>
        <v>#N/A</v>
      </c>
      <c r="AN357" s="95" t="str">
        <f t="shared" si="103"/>
        <v/>
      </c>
      <c r="AO357" s="95" t="e">
        <f t="shared" si="104"/>
        <v>#N/A</v>
      </c>
      <c r="AP357" s="95" t="e">
        <f t="shared" si="104"/>
        <v>#N/A</v>
      </c>
      <c r="AQ357" s="95" t="str">
        <f t="shared" si="105"/>
        <v/>
      </c>
      <c r="AR357" s="95" t="e">
        <f t="shared" si="106"/>
        <v>#N/A</v>
      </c>
      <c r="AS357" s="95" t="e">
        <f t="shared" si="106"/>
        <v>#N/A</v>
      </c>
      <c r="AT357" s="95" t="e">
        <f t="shared" si="106"/>
        <v>#N/A</v>
      </c>
      <c r="AU357" s="95" t="str">
        <f t="shared" si="107"/>
        <v/>
      </c>
      <c r="AV357" s="95" t="e">
        <f t="shared" si="108"/>
        <v>#N/A</v>
      </c>
      <c r="AW357" s="95" t="e">
        <f t="shared" si="108"/>
        <v>#N/A</v>
      </c>
      <c r="AX357" s="95" t="str">
        <f t="shared" si="109"/>
        <v/>
      </c>
      <c r="AY357" s="95" t="e">
        <f t="shared" si="110"/>
        <v>#N/A</v>
      </c>
      <c r="AZ357" s="95" t="e">
        <f t="shared" si="110"/>
        <v>#N/A</v>
      </c>
      <c r="BA357" s="95" t="e">
        <f t="shared" si="110"/>
        <v>#N/A</v>
      </c>
      <c r="BB357" s="95" t="str">
        <f t="shared" si="111"/>
        <v/>
      </c>
      <c r="BC357" s="95" t="e">
        <f t="shared" si="112"/>
        <v>#N/A</v>
      </c>
      <c r="BD357" s="95" t="e">
        <f t="shared" si="112"/>
        <v>#N/A</v>
      </c>
      <c r="BE357" s="95" t="str">
        <f t="shared" si="113"/>
        <v/>
      </c>
      <c r="BF357" s="95" t="e">
        <f t="shared" si="114"/>
        <v>#N/A</v>
      </c>
      <c r="BG357" s="95" t="e">
        <f t="shared" si="114"/>
        <v>#N/A</v>
      </c>
      <c r="BH357" s="95" t="e">
        <f t="shared" si="114"/>
        <v>#N/A</v>
      </c>
      <c r="BI357" s="95" t="str">
        <f t="shared" si="115"/>
        <v/>
      </c>
      <c r="BJ357" s="95" t="e">
        <f t="shared" si="116"/>
        <v>#N/A</v>
      </c>
      <c r="BK357" s="95" t="e">
        <f t="shared" si="116"/>
        <v>#N/A</v>
      </c>
      <c r="BL357" s="95" t="str">
        <f t="shared" si="117"/>
        <v/>
      </c>
      <c r="BM357" s="95" t="e">
        <f t="shared" si="118"/>
        <v>#N/A</v>
      </c>
      <c r="BN357" s="95" t="e">
        <f t="shared" si="118"/>
        <v>#N/A</v>
      </c>
      <c r="BO357" s="95" t="e">
        <f t="shared" si="118"/>
        <v>#N/A</v>
      </c>
      <c r="BP357" s="388" t="e">
        <f>VLOOKUP(T_BilanSocial[[#This Row],[NumL]],T_TraitDi[#Data],COLUMN(T_TraitDi[NbJTot]),FALSE)</f>
        <v>#N/A</v>
      </c>
      <c r="BQ357" s="174" t="str">
        <f>IFERROR(VLOOKUP(T_BilanSocial[[#This Row],[NumL]],T_TraitDi[#Data],COLUMN(T_TraitDi[[#This Row],[NbJTW]]),FALSE),"")</f>
        <v/>
      </c>
      <c r="BR357" s="95" t="e">
        <f t="shared" si="119"/>
        <v>#N/A</v>
      </c>
      <c r="BS357" s="95" t="e">
        <f t="shared" si="119"/>
        <v>#N/A</v>
      </c>
      <c r="BT357" s="389" t="str">
        <f t="shared" si="120"/>
        <v/>
      </c>
      <c r="BU357" s="390" t="str">
        <f t="shared" si="121"/>
        <v/>
      </c>
      <c r="BV357" s="391" t="str">
        <f t="shared" si="122"/>
        <v/>
      </c>
      <c r="BW357" s="150" t="str">
        <f t="shared" si="123"/>
        <v/>
      </c>
      <c r="BX357" s="173"/>
      <c r="BY357" s="392"/>
      <c r="BZ357" s="173"/>
      <c r="CA357" s="173"/>
      <c r="CB357" s="393" t="str">
        <f>IF(VLOOKUP(A357,'4- Equipement et formations'!A:S,12,FALSE)="","Aucun équipement spécifique directement lié au télétravail",VLOOKUP(A357,'4- Equipement et formations'!A:S,12,FALSE))</f>
        <v>Aucun équipement spécifique directement lié au télétravail</v>
      </c>
      <c r="CC357" s="394" t="str">
        <f t="shared" si="124"/>
        <v/>
      </c>
      <c r="CD357" s="301"/>
      <c r="CE357" s="164" t="e">
        <f>IF(VLOOKUP(T_BilanSocial[[#This Row],[NumL]],T_suiviDi[#Data],COLUMN(T_suiviDi[[#This Row],[Entité]]),FALSE)="","",VLOOKUP(T_BilanSocial[[#This Row],[NumL]],T_suiviDi[#Data],COLUMN(T_suiviDi[[#This Row],[Entité]]),FALSE))</f>
        <v>#VALUE!</v>
      </c>
      <c r="CF357" s="164"/>
      <c r="CG357"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7" s="339" t="str">
        <f>T_BilanSocial[[#This Row],[Nom]]&amp;T_BilanSocial[[#This Row],[Prenom]]</f>
        <v/>
      </c>
      <c r="CI357" s="339" t="str">
        <f>VLOOKUP(T_BilanSocial[[#This Row],[NumL]],T_Commission[#Data],COLUMN(T_Commission[Commentaire]),FALSE)</f>
        <v>La charte de télétravail en vigueur à l'université ne permet pas de télétravailler en dessous d'une quotité de travail de 80 %.</v>
      </c>
      <c r="CJ357" s="339" t="str">
        <f>IF(VLOOKUP(T_BilanSocial[[#This Row],[NumL]],T_Commission[#Data],COLUMN(T_Commission[Encadrant Email]),FALSE)="","",VLOOKUP(T_BilanSocial[[#This Row],[NumL]],T_Commission[#Data],COLUMN(T_Commission[Encadrant Email]),FALSE))</f>
        <v/>
      </c>
      <c r="CK357" s="332" t="str">
        <f>IF(T_BilanSocial[[#This Row],[Final]]&lt;&gt;"",VLOOKUP(T_BilanSocial[[#This Row],[NumL]],T_suiviDi[#Data],COLUMN((T_suiviDi[Statut])),FALSE),"")</f>
        <v/>
      </c>
    </row>
    <row r="358" spans="1:89" ht="29.25" customHeight="1" x14ac:dyDescent="0.25">
      <c r="A358" s="136">
        <v>355</v>
      </c>
      <c r="B358" s="330" t="str">
        <f t="shared" si="83"/>
        <v/>
      </c>
      <c r="C358" s="309"/>
      <c r="D358" s="95" t="e">
        <f t="shared" si="84"/>
        <v>#N/A</v>
      </c>
      <c r="E358" s="95" t="str">
        <f t="shared" si="85"/>
        <v>12 janvier 2021</v>
      </c>
      <c r="F358" s="96" t="str">
        <f>IF(T_BilanSocial[[#This Row],[Final]]&lt;&gt;"",VLOOKUP(T_BilanSocial[[#This Row],[NumL]],T_suiviDi[#Data],COLUMN((T_suiviDi[Civ.])),FALSE),"")</f>
        <v/>
      </c>
      <c r="G358" s="96" t="str">
        <f>IF(T_BilanSocial[[#This Row],[Final]]&lt;&gt;"",VLOOKUP(T_BilanSocial[[#This Row],[NumL]],T_suiviDi[#Data],COLUMN((T_suiviDi[Nom])),FALSE),"")</f>
        <v/>
      </c>
      <c r="H358" s="96" t="str">
        <f>IF(T_BilanSocial[[#This Row],[Final]]&lt;&gt;"",VLOOKUP(T_BilanSocial[[#This Row],[NumL]],T_suiviDi[#Data],COLUMN((T_suiviDi[Prénom])),FALSE),"")</f>
        <v/>
      </c>
      <c r="I358" s="331" t="str">
        <f>IFERROR(VLOOKUP(T_BilanSocial[[#This Row],[Zone_Bilan]],T_P_BilanSocial[#Data],COLUMN(T_P_BilanSocial[[#This Row],[Numero_SIHAM]]),FALSE),"")</f>
        <v/>
      </c>
      <c r="J358" s="331" t="str">
        <f>IFERROR(VLOOKUP(T_BilanSocial[[#This Row],[Zone_Bilan]],T_P_BilanSocial[#Data],COLUMN(T_P_BilanSocial[[#This Row],[Sexe]]),FALSE),"")</f>
        <v/>
      </c>
      <c r="K358" s="294" t="str">
        <f>IFERROR(VLOOKUP(T_BilanSocial[[#This Row],[Zone_Bilan]],T_P_BilanSocial[#Data],COLUMN(T_P_BilanSocial[[#This Row],[Categorie]]),FALSE),"")</f>
        <v/>
      </c>
      <c r="L358" s="331" t="str">
        <f>IFERROR(VLOOKUP(T_BilanSocial[[#This Row],[Zone_Bilan]],T_P_BilanSocial[#Data],COLUMN(T_P_BilanSocial[[#This Row],[Statut]]),FALSE),"")</f>
        <v/>
      </c>
      <c r="M358" s="331" t="str">
        <f>IFERROR(VLOOKUP(T_BilanSocial[[#This Row],[Zone_Bilan]],T_P_BilanSocial[#Data],COLUMN(T_P_BilanSocial[[#This Row],[Filiere]]),FALSE),"")</f>
        <v/>
      </c>
      <c r="N358" s="331" t="e">
        <f>VLOOKUP(T_BilanSocial[[#This Row],[NumL]],T_TraitDi[#Data],COLUMN(T_TraitDi[EXP]),FALSE)</f>
        <v>#N/A</v>
      </c>
      <c r="O358" s="331" t="e">
        <f>VLOOKUP(T_BilanSocial[[#This Row],[NumL]],T_TraitDi[#Data],COLUMN(T_TraitDi[FORM]),FALSE)</f>
        <v>#N/A</v>
      </c>
      <c r="P358" s="96" t="e">
        <f t="shared" si="86"/>
        <v>#N/A</v>
      </c>
      <c r="Q358" s="96" t="e">
        <f t="shared" si="87"/>
        <v>#N/A</v>
      </c>
      <c r="R358" s="96" t="e">
        <f t="shared" si="88"/>
        <v>#N/A</v>
      </c>
      <c r="S358" s="96" t="str">
        <f t="shared" si="89"/>
        <v/>
      </c>
      <c r="T358" s="96" t="str">
        <f t="shared" si="90"/>
        <v>01 septembre 2021</v>
      </c>
      <c r="U358" s="96" t="str">
        <f t="shared" si="91"/>
        <v>30 novembre 2021</v>
      </c>
      <c r="V358" s="97">
        <f t="shared" si="92"/>
        <v>44530</v>
      </c>
      <c r="W358" s="150" t="str">
        <f t="shared" si="93"/>
        <v/>
      </c>
      <c r="X358" s="96" t="str">
        <f t="shared" si="94"/>
        <v/>
      </c>
      <c r="Y358" s="96" t="str">
        <f t="shared" si="94"/>
        <v/>
      </c>
      <c r="Z358" s="96" t="str">
        <f t="shared" si="95"/>
        <v/>
      </c>
      <c r="AA358" s="150" t="str">
        <f t="shared" si="95"/>
        <v/>
      </c>
      <c r="AB358" s="150" t="str">
        <f t="shared" si="96"/>
        <v/>
      </c>
      <c r="AC358" s="96" t="str">
        <f t="shared" si="126"/>
        <v/>
      </c>
      <c r="AD358" s="97" t="str">
        <f t="shared" si="98"/>
        <v/>
      </c>
      <c r="AE358" s="294" t="e">
        <f>VLOOKUP(T_BilanSocial[[#This Row],[NumL]],T_TraitDi[#Data],COLUMN(T_TraitDi[[#This Row],[Reg Ponct]]),FALSE)</f>
        <v>#VALUE!</v>
      </c>
      <c r="AF358" s="294" t="e">
        <f>VLOOKUP(T_BilanSocial[NumL],T_TraitDi[#Data],COLUMN(T_TraitDi[[#This Row],[Jours flottants]]),FALSE)</f>
        <v>#VALUE!</v>
      </c>
      <c r="AG358" s="97" t="str">
        <f t="shared" si="99"/>
        <v/>
      </c>
      <c r="AH358" s="95" t="e">
        <f t="shared" si="100"/>
        <v>#N/A</v>
      </c>
      <c r="AI358" s="95" t="e">
        <f t="shared" si="100"/>
        <v>#N/A</v>
      </c>
      <c r="AJ358" s="95" t="str">
        <f t="shared" si="101"/>
        <v/>
      </c>
      <c r="AK358" s="95" t="e">
        <f t="shared" si="102"/>
        <v>#N/A</v>
      </c>
      <c r="AL358" s="95" t="e">
        <f t="shared" si="102"/>
        <v>#N/A</v>
      </c>
      <c r="AM358" s="95" t="e">
        <f t="shared" si="102"/>
        <v>#N/A</v>
      </c>
      <c r="AN358" s="95" t="str">
        <f t="shared" si="103"/>
        <v/>
      </c>
      <c r="AO358" s="95" t="e">
        <f t="shared" si="104"/>
        <v>#N/A</v>
      </c>
      <c r="AP358" s="95" t="e">
        <f t="shared" si="104"/>
        <v>#N/A</v>
      </c>
      <c r="AQ358" s="95" t="str">
        <f t="shared" si="105"/>
        <v/>
      </c>
      <c r="AR358" s="95" t="e">
        <f t="shared" si="106"/>
        <v>#N/A</v>
      </c>
      <c r="AS358" s="95" t="e">
        <f t="shared" si="106"/>
        <v>#N/A</v>
      </c>
      <c r="AT358" s="95" t="e">
        <f t="shared" si="106"/>
        <v>#N/A</v>
      </c>
      <c r="AU358" s="95" t="str">
        <f t="shared" si="107"/>
        <v/>
      </c>
      <c r="AV358" s="95" t="e">
        <f t="shared" si="108"/>
        <v>#N/A</v>
      </c>
      <c r="AW358" s="95" t="e">
        <f t="shared" si="108"/>
        <v>#N/A</v>
      </c>
      <c r="AX358" s="95" t="str">
        <f t="shared" si="109"/>
        <v/>
      </c>
      <c r="AY358" s="95" t="e">
        <f t="shared" si="110"/>
        <v>#N/A</v>
      </c>
      <c r="AZ358" s="95" t="e">
        <f t="shared" si="110"/>
        <v>#N/A</v>
      </c>
      <c r="BA358" s="95" t="e">
        <f t="shared" si="110"/>
        <v>#N/A</v>
      </c>
      <c r="BB358" s="95" t="str">
        <f t="shared" si="111"/>
        <v/>
      </c>
      <c r="BC358" s="95" t="e">
        <f t="shared" si="112"/>
        <v>#N/A</v>
      </c>
      <c r="BD358" s="95" t="e">
        <f t="shared" si="112"/>
        <v>#N/A</v>
      </c>
      <c r="BE358" s="95" t="str">
        <f t="shared" si="113"/>
        <v/>
      </c>
      <c r="BF358" s="95" t="e">
        <f t="shared" si="114"/>
        <v>#N/A</v>
      </c>
      <c r="BG358" s="95" t="e">
        <f t="shared" si="114"/>
        <v>#N/A</v>
      </c>
      <c r="BH358" s="95" t="e">
        <f t="shared" si="114"/>
        <v>#N/A</v>
      </c>
      <c r="BI358" s="95" t="str">
        <f t="shared" si="115"/>
        <v/>
      </c>
      <c r="BJ358" s="95" t="e">
        <f t="shared" si="116"/>
        <v>#N/A</v>
      </c>
      <c r="BK358" s="95" t="e">
        <f t="shared" si="116"/>
        <v>#N/A</v>
      </c>
      <c r="BL358" s="95" t="str">
        <f t="shared" si="117"/>
        <v/>
      </c>
      <c r="BM358" s="95" t="e">
        <f t="shared" si="118"/>
        <v>#N/A</v>
      </c>
      <c r="BN358" s="95" t="e">
        <f t="shared" si="118"/>
        <v>#N/A</v>
      </c>
      <c r="BO358" s="95" t="e">
        <f t="shared" si="118"/>
        <v>#N/A</v>
      </c>
      <c r="BP358" s="388" t="e">
        <f>VLOOKUP(T_BilanSocial[[#This Row],[NumL]],T_TraitDi[#Data],COLUMN(T_TraitDi[NbJTot]),FALSE)</f>
        <v>#N/A</v>
      </c>
      <c r="BQ358" s="174" t="str">
        <f>IFERROR(VLOOKUP(T_BilanSocial[[#This Row],[NumL]],T_TraitDi[#Data],COLUMN(T_TraitDi[[#This Row],[NbJTW]]),FALSE),"")</f>
        <v/>
      </c>
      <c r="BR358" s="95" t="e">
        <f t="shared" si="119"/>
        <v>#N/A</v>
      </c>
      <c r="BS358" s="95" t="e">
        <f t="shared" si="119"/>
        <v>#N/A</v>
      </c>
      <c r="BT358" s="389" t="str">
        <f t="shared" si="120"/>
        <v/>
      </c>
      <c r="BU358" s="390" t="str">
        <f t="shared" si="121"/>
        <v/>
      </c>
      <c r="BV358" s="391" t="str">
        <f t="shared" si="122"/>
        <v/>
      </c>
      <c r="BW358" s="150" t="str">
        <f t="shared" si="123"/>
        <v/>
      </c>
      <c r="BX358" s="173"/>
      <c r="BY358" s="392"/>
      <c r="BZ358" s="173"/>
      <c r="CA358" s="173"/>
      <c r="CB358" s="393" t="str">
        <f>IF(VLOOKUP(A358,'4- Equipement et formations'!A:S,12,FALSE)="","Aucun équipement spécifique directement lié au télétravail",VLOOKUP(A358,'4- Equipement et formations'!A:S,12,FALSE))</f>
        <v>Aucun équipement spécifique directement lié au télétravail</v>
      </c>
      <c r="CC358" s="394" t="str">
        <f t="shared" si="124"/>
        <v/>
      </c>
      <c r="CD358" s="301"/>
      <c r="CE358" s="164" t="e">
        <f>IF(VLOOKUP(T_BilanSocial[[#This Row],[NumL]],T_suiviDi[#Data],COLUMN(T_suiviDi[[#This Row],[Entité]]),FALSE)="","",VLOOKUP(T_BilanSocial[[#This Row],[NumL]],T_suiviDi[#Data],COLUMN(T_suiviDi[[#This Row],[Entité]]),FALSE))</f>
        <v>#VALUE!</v>
      </c>
      <c r="CF358" s="164"/>
      <c r="CG358"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8" s="339" t="str">
        <f>T_BilanSocial[[#This Row],[Nom]]&amp;T_BilanSocial[[#This Row],[Prenom]]</f>
        <v/>
      </c>
      <c r="CI358" s="339">
        <f>VLOOKUP(T_BilanSocial[[#This Row],[NumL]],T_Commission[#Data],COLUMN(T_Commission[Commentaire]),FALSE)</f>
        <v>0</v>
      </c>
      <c r="CJ358" s="339" t="str">
        <f>IF(VLOOKUP(T_BilanSocial[[#This Row],[NumL]],T_Commission[#Data],COLUMN(T_Commission[Encadrant Email]),FALSE)="","",VLOOKUP(T_BilanSocial[[#This Row],[NumL]],T_Commission[#Data],COLUMN(T_Commission[Encadrant Email]),FALSE))</f>
        <v/>
      </c>
      <c r="CK358" s="332" t="str">
        <f>IF(T_BilanSocial[[#This Row],[Final]]&lt;&gt;"",VLOOKUP(T_BilanSocial[[#This Row],[NumL]],T_suiviDi[#Data],COLUMN((T_suiviDi[Statut])),FALSE),"")</f>
        <v/>
      </c>
    </row>
    <row r="359" spans="1:89" ht="29.25" customHeight="1" x14ac:dyDescent="0.25">
      <c r="A359" s="136">
        <v>356</v>
      </c>
      <c r="B359" s="330" t="str">
        <f t="shared" si="83"/>
        <v/>
      </c>
      <c r="C359" s="309"/>
      <c r="D359" s="95" t="e">
        <f t="shared" si="84"/>
        <v>#N/A</v>
      </c>
      <c r="E359" s="95" t="str">
        <f t="shared" si="85"/>
        <v>12 janvier 2021</v>
      </c>
      <c r="F359" s="96" t="str">
        <f>IF(T_BilanSocial[[#This Row],[Final]]&lt;&gt;"",VLOOKUP(T_BilanSocial[[#This Row],[NumL]],T_suiviDi[#Data],COLUMN((T_suiviDi[Civ.])),FALSE),"")</f>
        <v/>
      </c>
      <c r="G359" s="96" t="str">
        <f>IF(T_BilanSocial[[#This Row],[Final]]&lt;&gt;"",VLOOKUP(T_BilanSocial[[#This Row],[NumL]],T_suiviDi[#Data],COLUMN((T_suiviDi[Nom])),FALSE),"")</f>
        <v/>
      </c>
      <c r="H359" s="96" t="str">
        <f>IF(T_BilanSocial[[#This Row],[Final]]&lt;&gt;"",VLOOKUP(T_BilanSocial[[#This Row],[NumL]],T_suiviDi[#Data],COLUMN((T_suiviDi[Prénom])),FALSE),"")</f>
        <v/>
      </c>
      <c r="I359" s="331" t="str">
        <f>IFERROR(VLOOKUP(T_BilanSocial[[#This Row],[Zone_Bilan]],T_P_BilanSocial[#Data],COLUMN(T_P_BilanSocial[[#This Row],[Numero_SIHAM]]),FALSE),"")</f>
        <v/>
      </c>
      <c r="J359" s="331" t="str">
        <f>IFERROR(VLOOKUP(T_BilanSocial[[#This Row],[Zone_Bilan]],T_P_BilanSocial[#Data],COLUMN(T_P_BilanSocial[[#This Row],[Sexe]]),FALSE),"")</f>
        <v/>
      </c>
      <c r="K359" s="294" t="str">
        <f>IFERROR(VLOOKUP(T_BilanSocial[[#This Row],[Zone_Bilan]],T_P_BilanSocial[#Data],COLUMN(T_P_BilanSocial[[#This Row],[Categorie]]),FALSE),"")</f>
        <v/>
      </c>
      <c r="L359" s="331" t="str">
        <f>IFERROR(VLOOKUP(T_BilanSocial[[#This Row],[Zone_Bilan]],T_P_BilanSocial[#Data],COLUMN(T_P_BilanSocial[[#This Row],[Statut]]),FALSE),"")</f>
        <v/>
      </c>
      <c r="M359" s="331" t="str">
        <f>IFERROR(VLOOKUP(T_BilanSocial[[#This Row],[Zone_Bilan]],T_P_BilanSocial[#Data],COLUMN(T_P_BilanSocial[[#This Row],[Filiere]]),FALSE),"")</f>
        <v/>
      </c>
      <c r="N359" s="331" t="e">
        <f>VLOOKUP(T_BilanSocial[[#This Row],[NumL]],T_TraitDi[#Data],COLUMN(T_TraitDi[EXP]),FALSE)</f>
        <v>#N/A</v>
      </c>
      <c r="O359" s="331" t="e">
        <f>VLOOKUP(T_BilanSocial[[#This Row],[NumL]],T_TraitDi[#Data],COLUMN(T_TraitDi[FORM]),FALSE)</f>
        <v>#N/A</v>
      </c>
      <c r="P359" s="96" t="e">
        <f t="shared" si="86"/>
        <v>#N/A</v>
      </c>
      <c r="Q359" s="96" t="e">
        <f t="shared" si="87"/>
        <v>#N/A</v>
      </c>
      <c r="R359" s="96" t="e">
        <f t="shared" si="88"/>
        <v>#N/A</v>
      </c>
      <c r="S359" s="96" t="str">
        <f t="shared" si="89"/>
        <v/>
      </c>
      <c r="T359" s="96" t="str">
        <f t="shared" si="90"/>
        <v>01 septembre 2021</v>
      </c>
      <c r="U359" s="96" t="str">
        <f t="shared" si="91"/>
        <v>30 novembre 2021</v>
      </c>
      <c r="V359" s="97">
        <f t="shared" si="92"/>
        <v>44530</v>
      </c>
      <c r="W359" s="150" t="str">
        <f t="shared" si="93"/>
        <v/>
      </c>
      <c r="X359" s="96" t="str">
        <f t="shared" si="94"/>
        <v/>
      </c>
      <c r="Y359" s="96" t="str">
        <f t="shared" si="94"/>
        <v/>
      </c>
      <c r="Z359" s="96" t="str">
        <f t="shared" si="95"/>
        <v/>
      </c>
      <c r="AA359" s="150" t="str">
        <f t="shared" si="95"/>
        <v/>
      </c>
      <c r="AB359" s="150" t="str">
        <f t="shared" si="96"/>
        <v/>
      </c>
      <c r="AC359" s="96" t="str">
        <f t="shared" si="126"/>
        <v/>
      </c>
      <c r="AD359" s="97" t="str">
        <f t="shared" si="98"/>
        <v/>
      </c>
      <c r="AE359" s="294" t="e">
        <f>VLOOKUP(T_BilanSocial[[#This Row],[NumL]],T_TraitDi[#Data],COLUMN(T_TraitDi[[#This Row],[Reg Ponct]]),FALSE)</f>
        <v>#VALUE!</v>
      </c>
      <c r="AF359" s="294" t="e">
        <f>VLOOKUP(T_BilanSocial[NumL],T_TraitDi[#Data],COLUMN(T_TraitDi[[#This Row],[Jours flottants]]),FALSE)</f>
        <v>#VALUE!</v>
      </c>
      <c r="AG359" s="97" t="str">
        <f t="shared" si="99"/>
        <v/>
      </c>
      <c r="AH359" s="95" t="e">
        <f t="shared" si="100"/>
        <v>#N/A</v>
      </c>
      <c r="AI359" s="95" t="e">
        <f t="shared" si="100"/>
        <v>#N/A</v>
      </c>
      <c r="AJ359" s="95" t="str">
        <f t="shared" si="101"/>
        <v/>
      </c>
      <c r="AK359" s="95" t="e">
        <f t="shared" si="102"/>
        <v>#N/A</v>
      </c>
      <c r="AL359" s="95" t="e">
        <f t="shared" si="102"/>
        <v>#N/A</v>
      </c>
      <c r="AM359" s="95" t="e">
        <f t="shared" si="102"/>
        <v>#N/A</v>
      </c>
      <c r="AN359" s="95" t="str">
        <f t="shared" si="103"/>
        <v/>
      </c>
      <c r="AO359" s="95" t="e">
        <f t="shared" si="104"/>
        <v>#N/A</v>
      </c>
      <c r="AP359" s="95" t="e">
        <f t="shared" si="104"/>
        <v>#N/A</v>
      </c>
      <c r="AQ359" s="95" t="str">
        <f t="shared" si="105"/>
        <v/>
      </c>
      <c r="AR359" s="95" t="e">
        <f t="shared" si="106"/>
        <v>#N/A</v>
      </c>
      <c r="AS359" s="95" t="e">
        <f t="shared" si="106"/>
        <v>#N/A</v>
      </c>
      <c r="AT359" s="95" t="e">
        <f t="shared" si="106"/>
        <v>#N/A</v>
      </c>
      <c r="AU359" s="95" t="str">
        <f t="shared" si="107"/>
        <v/>
      </c>
      <c r="AV359" s="95" t="e">
        <f t="shared" si="108"/>
        <v>#N/A</v>
      </c>
      <c r="AW359" s="95" t="e">
        <f t="shared" si="108"/>
        <v>#N/A</v>
      </c>
      <c r="AX359" s="95" t="str">
        <f t="shared" si="109"/>
        <v/>
      </c>
      <c r="AY359" s="95" t="e">
        <f t="shared" si="110"/>
        <v>#N/A</v>
      </c>
      <c r="AZ359" s="95" t="e">
        <f t="shared" si="110"/>
        <v>#N/A</v>
      </c>
      <c r="BA359" s="95" t="e">
        <f t="shared" si="110"/>
        <v>#N/A</v>
      </c>
      <c r="BB359" s="95" t="str">
        <f t="shared" si="111"/>
        <v/>
      </c>
      <c r="BC359" s="95" t="e">
        <f t="shared" si="112"/>
        <v>#N/A</v>
      </c>
      <c r="BD359" s="95" t="e">
        <f t="shared" si="112"/>
        <v>#N/A</v>
      </c>
      <c r="BE359" s="95" t="str">
        <f t="shared" si="113"/>
        <v/>
      </c>
      <c r="BF359" s="95" t="e">
        <f t="shared" si="114"/>
        <v>#N/A</v>
      </c>
      <c r="BG359" s="95" t="e">
        <f t="shared" si="114"/>
        <v>#N/A</v>
      </c>
      <c r="BH359" s="95" t="e">
        <f t="shared" si="114"/>
        <v>#N/A</v>
      </c>
      <c r="BI359" s="95" t="str">
        <f t="shared" si="115"/>
        <v/>
      </c>
      <c r="BJ359" s="95" t="e">
        <f t="shared" si="116"/>
        <v>#N/A</v>
      </c>
      <c r="BK359" s="95" t="e">
        <f t="shared" si="116"/>
        <v>#N/A</v>
      </c>
      <c r="BL359" s="95" t="str">
        <f t="shared" si="117"/>
        <v/>
      </c>
      <c r="BM359" s="95" t="e">
        <f t="shared" si="118"/>
        <v>#N/A</v>
      </c>
      <c r="BN359" s="95" t="e">
        <f t="shared" si="118"/>
        <v>#N/A</v>
      </c>
      <c r="BO359" s="95" t="e">
        <f t="shared" si="118"/>
        <v>#N/A</v>
      </c>
      <c r="BP359" s="388" t="e">
        <f>VLOOKUP(T_BilanSocial[[#This Row],[NumL]],T_TraitDi[#Data],COLUMN(T_TraitDi[NbJTot]),FALSE)</f>
        <v>#N/A</v>
      </c>
      <c r="BQ359" s="174" t="str">
        <f>IFERROR(VLOOKUP(T_BilanSocial[[#This Row],[NumL]],T_TraitDi[#Data],COLUMN(T_TraitDi[[#This Row],[NbJTW]]),FALSE),"")</f>
        <v/>
      </c>
      <c r="BR359" s="95" t="e">
        <f t="shared" si="119"/>
        <v>#N/A</v>
      </c>
      <c r="BS359" s="95" t="e">
        <f t="shared" si="119"/>
        <v>#N/A</v>
      </c>
      <c r="BT359" s="389" t="str">
        <f t="shared" si="120"/>
        <v/>
      </c>
      <c r="BU359" s="390" t="str">
        <f t="shared" si="121"/>
        <v/>
      </c>
      <c r="BV359" s="391" t="str">
        <f t="shared" si="122"/>
        <v/>
      </c>
      <c r="BW359" s="150" t="str">
        <f t="shared" si="123"/>
        <v/>
      </c>
      <c r="BX359" s="173"/>
      <c r="BY359" s="392"/>
      <c r="BZ359" s="173"/>
      <c r="CA359" s="173"/>
      <c r="CB359" s="393" t="str">
        <f>IF(VLOOKUP(A359,'4- Equipement et formations'!A:S,12,FALSE)="","Aucun équipement spécifique directement lié au télétravail",VLOOKUP(A359,'4- Equipement et formations'!A:S,12,FALSE))</f>
        <v>Aucun équipement spécifique directement lié au télétravail</v>
      </c>
      <c r="CC359" s="394" t="str">
        <f t="shared" si="124"/>
        <v/>
      </c>
      <c r="CD359" s="301"/>
      <c r="CE359" s="164" t="e">
        <f>IF(VLOOKUP(T_BilanSocial[[#This Row],[NumL]],T_suiviDi[#Data],COLUMN(T_suiviDi[[#This Row],[Entité]]),FALSE)="","",VLOOKUP(T_BilanSocial[[#This Row],[NumL]],T_suiviDi[#Data],COLUMN(T_suiviDi[[#This Row],[Entité]]),FALSE))</f>
        <v>#VALUE!</v>
      </c>
      <c r="CF359" s="164"/>
      <c r="CG359"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59" s="339" t="str">
        <f>T_BilanSocial[[#This Row],[Nom]]&amp;T_BilanSocial[[#This Row],[Prenom]]</f>
        <v/>
      </c>
      <c r="CI359" s="339">
        <f>VLOOKUP(T_BilanSocial[[#This Row],[NumL]],T_Commission[#Data],COLUMN(T_Commission[Commentaire]),FALSE)</f>
        <v>0</v>
      </c>
      <c r="CJ359" s="339" t="str">
        <f>IF(VLOOKUP(T_BilanSocial[[#This Row],[NumL]],T_Commission[#Data],COLUMN(T_Commission[Encadrant Email]),FALSE)="","",VLOOKUP(T_BilanSocial[[#This Row],[NumL]],T_Commission[#Data],COLUMN(T_Commission[Encadrant Email]),FALSE))</f>
        <v/>
      </c>
      <c r="CK359" s="332" t="str">
        <f>IF(T_BilanSocial[[#This Row],[Final]]&lt;&gt;"",VLOOKUP(T_BilanSocial[[#This Row],[NumL]],T_suiviDi[#Data],COLUMN((T_suiviDi[Statut])),FALSE),"")</f>
        <v/>
      </c>
    </row>
    <row r="360" spans="1:89" ht="29.25" customHeight="1" x14ac:dyDescent="0.25">
      <c r="A360" s="136"/>
      <c r="B360" s="330" t="str">
        <f t="shared" si="83"/>
        <v/>
      </c>
      <c r="C360" s="309"/>
      <c r="D360" s="95" t="str">
        <f t="shared" si="84"/>
        <v/>
      </c>
      <c r="E360" s="95" t="str">
        <f t="shared" si="85"/>
        <v>12 janvier 2021</v>
      </c>
      <c r="F360" s="96" t="str">
        <f>IF(T_BilanSocial[[#This Row],[Final]]&lt;&gt;"",VLOOKUP(T_BilanSocial[[#This Row],[NumL]],T_suiviDi[#Data],COLUMN((T_suiviDi[Civ.])),FALSE),"")</f>
        <v/>
      </c>
      <c r="G360" s="96" t="str">
        <f>IF(T_BilanSocial[[#This Row],[Final]]&lt;&gt;"",VLOOKUP(T_BilanSocial[[#This Row],[NumL]],T_suiviDi[#Data],COLUMN((T_suiviDi[Nom])),FALSE),"")</f>
        <v/>
      </c>
      <c r="H360" s="96" t="str">
        <f>IF(T_BilanSocial[[#This Row],[Final]]&lt;&gt;"",VLOOKUP(T_BilanSocial[[#This Row],[NumL]],T_suiviDi[#Data],COLUMN((T_suiviDi[Prénom])),FALSE),"")</f>
        <v/>
      </c>
      <c r="I360" s="331" t="str">
        <f>IFERROR(VLOOKUP(T_BilanSocial[[#This Row],[Zone_Bilan]],T_P_BilanSocial[#Data],COLUMN(T_P_BilanSocial[[#This Row],[Numero_SIHAM]]),FALSE),"")</f>
        <v/>
      </c>
      <c r="J360" s="331" t="str">
        <f>IFERROR(VLOOKUP(T_BilanSocial[[#This Row],[Zone_Bilan]],T_P_BilanSocial[#Data],COLUMN(T_P_BilanSocial[[#This Row],[Sexe]]),FALSE),"")</f>
        <v/>
      </c>
      <c r="K360" s="294" t="str">
        <f>IFERROR(VLOOKUP(T_BilanSocial[[#This Row],[Zone_Bilan]],T_P_BilanSocial[#Data],COLUMN(T_P_BilanSocial[[#This Row],[Categorie]]),FALSE),"")</f>
        <v/>
      </c>
      <c r="L360" s="331" t="str">
        <f>IFERROR(VLOOKUP(T_BilanSocial[[#This Row],[Zone_Bilan]],T_P_BilanSocial[#Data],COLUMN(T_P_BilanSocial[[#This Row],[Statut]]),FALSE),"")</f>
        <v/>
      </c>
      <c r="M360" s="331" t="str">
        <f>IFERROR(VLOOKUP(T_BilanSocial[[#This Row],[Zone_Bilan]],T_P_BilanSocial[#Data],COLUMN(T_P_BilanSocial[[#This Row],[Filiere]]),FALSE),"")</f>
        <v/>
      </c>
      <c r="N360" s="331">
        <f>VLOOKUP(T_BilanSocial[[#This Row],[NumL]],T_TraitDi[#Data],COLUMN(T_TraitDi[EXP]),FALSE)</f>
        <v>0</v>
      </c>
      <c r="O360" s="331">
        <f>VLOOKUP(T_BilanSocial[[#This Row],[NumL]],T_TraitDi[#Data],COLUMN(T_TraitDi[FORM]),FALSE)</f>
        <v>0</v>
      </c>
      <c r="P360" s="96" t="e">
        <f t="shared" si="86"/>
        <v>#N/A</v>
      </c>
      <c r="Q360" s="96" t="e">
        <f t="shared" si="87"/>
        <v>#N/A</v>
      </c>
      <c r="R360" s="96" t="e">
        <f t="shared" si="88"/>
        <v>#N/A</v>
      </c>
      <c r="S360" s="96" t="str">
        <f t="shared" si="89"/>
        <v/>
      </c>
      <c r="T360" s="96" t="str">
        <f t="shared" si="90"/>
        <v>01 septembre 2021</v>
      </c>
      <c r="U360" s="96" t="str">
        <f t="shared" si="91"/>
        <v>30 novembre 2021</v>
      </c>
      <c r="V360" s="97">
        <f t="shared" si="92"/>
        <v>44530</v>
      </c>
      <c r="W360" s="150" t="str">
        <f t="shared" si="93"/>
        <v/>
      </c>
      <c r="X360" s="96" t="str">
        <f t="shared" si="94"/>
        <v/>
      </c>
      <c r="Y360" s="96" t="str">
        <f t="shared" si="94"/>
        <v/>
      </c>
      <c r="Z360" s="96" t="str">
        <f t="shared" si="95"/>
        <v/>
      </c>
      <c r="AA360" s="150" t="str">
        <f t="shared" si="95"/>
        <v/>
      </c>
      <c r="AB360" s="150" t="str">
        <f t="shared" si="96"/>
        <v/>
      </c>
      <c r="AC360" s="96" t="str">
        <f t="shared" si="126"/>
        <v/>
      </c>
      <c r="AD360" s="97" t="str">
        <f t="shared" si="98"/>
        <v>%</v>
      </c>
      <c r="AE360" s="294" t="e">
        <f>VLOOKUP(T_BilanSocial[[#This Row],[NumL]],T_TraitDi[#Data],COLUMN(T_TraitDi[[#This Row],[Reg Ponct]]),FALSE)</f>
        <v>#VALUE!</v>
      </c>
      <c r="AF360" s="294" t="e">
        <f>VLOOKUP(T_BilanSocial[NumL],T_TraitDi[#Data],COLUMN(T_TraitDi[[#This Row],[Jours flottants]]),FALSE)</f>
        <v>#VALUE!</v>
      </c>
      <c r="AG360" s="97" t="str">
        <f t="shared" si="99"/>
        <v/>
      </c>
      <c r="AH360" s="95" t="str">
        <f t="shared" si="100"/>
        <v/>
      </c>
      <c r="AI360" s="95" t="str">
        <f t="shared" si="100"/>
        <v/>
      </c>
      <c r="AJ360" s="95">
        <f t="shared" si="101"/>
        <v>0</v>
      </c>
      <c r="AK360" s="95" t="str">
        <f t="shared" si="102"/>
        <v/>
      </c>
      <c r="AL360" s="95" t="str">
        <f t="shared" si="102"/>
        <v/>
      </c>
      <c r="AM360" s="95" t="str">
        <f t="shared" si="102"/>
        <v/>
      </c>
      <c r="AN360" s="95" t="str">
        <f t="shared" si="103"/>
        <v/>
      </c>
      <c r="AO360" s="95" t="str">
        <f t="shared" si="104"/>
        <v/>
      </c>
      <c r="AP360" s="95" t="str">
        <f t="shared" si="104"/>
        <v/>
      </c>
      <c r="AQ360" s="95">
        <f t="shared" si="105"/>
        <v>0</v>
      </c>
      <c r="AR360" s="95" t="str">
        <f t="shared" si="106"/>
        <v/>
      </c>
      <c r="AS360" s="95" t="str">
        <f t="shared" si="106"/>
        <v/>
      </c>
      <c r="AT360" s="95" t="str">
        <f t="shared" si="106"/>
        <v/>
      </c>
      <c r="AU360" s="95" t="str">
        <f t="shared" si="107"/>
        <v/>
      </c>
      <c r="AV360" s="95" t="str">
        <f t="shared" si="108"/>
        <v/>
      </c>
      <c r="AW360" s="95" t="str">
        <f t="shared" si="108"/>
        <v/>
      </c>
      <c r="AX360" s="95">
        <f t="shared" si="109"/>
        <v>0</v>
      </c>
      <c r="AY360" s="95" t="str">
        <f t="shared" si="110"/>
        <v/>
      </c>
      <c r="AZ360" s="95" t="str">
        <f t="shared" si="110"/>
        <v/>
      </c>
      <c r="BA360" s="95" t="str">
        <f t="shared" si="110"/>
        <v/>
      </c>
      <c r="BB360" s="95" t="str">
        <f t="shared" si="111"/>
        <v/>
      </c>
      <c r="BC360" s="95" t="str">
        <f t="shared" si="112"/>
        <v/>
      </c>
      <c r="BD360" s="95" t="str">
        <f t="shared" si="112"/>
        <v/>
      </c>
      <c r="BE360" s="95">
        <f t="shared" si="113"/>
        <v>0</v>
      </c>
      <c r="BF360" s="95" t="str">
        <f t="shared" si="114"/>
        <v/>
      </c>
      <c r="BG360" s="95" t="str">
        <f t="shared" si="114"/>
        <v/>
      </c>
      <c r="BH360" s="95" t="str">
        <f t="shared" si="114"/>
        <v/>
      </c>
      <c r="BI360" s="95" t="str">
        <f t="shared" si="115"/>
        <v/>
      </c>
      <c r="BJ360" s="95" t="str">
        <f t="shared" si="116"/>
        <v/>
      </c>
      <c r="BK360" s="95" t="str">
        <f t="shared" si="116"/>
        <v/>
      </c>
      <c r="BL360" s="95">
        <f t="shared" si="117"/>
        <v>0</v>
      </c>
      <c r="BM360" s="95" t="str">
        <f t="shared" si="118"/>
        <v/>
      </c>
      <c r="BN360" s="95" t="str">
        <f t="shared" si="118"/>
        <v/>
      </c>
      <c r="BO360" s="95" t="str">
        <f t="shared" si="118"/>
        <v/>
      </c>
      <c r="BP360" s="388" t="str">
        <f>VLOOKUP(T_BilanSocial[[#This Row],[NumL]],T_TraitDi[#Data],COLUMN(T_TraitDi[NbJTot]),FALSE)</f>
        <v/>
      </c>
      <c r="BQ360" s="174" t="str">
        <f>IFERROR(VLOOKUP(T_BilanSocial[[#This Row],[NumL]],T_TraitDi[#Data],COLUMN(T_TraitDi[[#This Row],[NbJTW]]),FALSE),"")</f>
        <v/>
      </c>
      <c r="BR360" s="95" t="str">
        <f t="shared" si="119"/>
        <v/>
      </c>
      <c r="BS360" s="95" t="str">
        <f t="shared" si="119"/>
        <v/>
      </c>
      <c r="BT360" s="389" t="str">
        <f t="shared" si="120"/>
        <v/>
      </c>
      <c r="BU360" s="390" t="str">
        <f t="shared" si="121"/>
        <v/>
      </c>
      <c r="BV360" s="391" t="str">
        <f t="shared" si="122"/>
        <v/>
      </c>
      <c r="BW360" s="150" t="str">
        <f t="shared" si="123"/>
        <v/>
      </c>
      <c r="BX360" s="173"/>
      <c r="BY360" s="392"/>
      <c r="BZ360" s="173"/>
      <c r="CA360" s="173"/>
      <c r="CB360" s="393" t="str">
        <f>IF(VLOOKUP(A360,'4- Equipement et formations'!A:S,12,FALSE)="","Aucun équipement spécifique directement lié au télétravail",VLOOKUP(A360,'4- Equipement et formations'!A:S,12,FALSE))</f>
        <v>Aucun équipement spécifique directement lié au télétravail</v>
      </c>
      <c r="CC360" s="394" t="str">
        <f t="shared" si="124"/>
        <v/>
      </c>
      <c r="CD360" s="301"/>
      <c r="CE360" s="164" t="e">
        <f>IF(VLOOKUP(T_BilanSocial[[#This Row],[NumL]],T_suiviDi[#Data],COLUMN(T_suiviDi[[#This Row],[Entité]]),FALSE)="","",VLOOKUP(T_BilanSocial[[#This Row],[NumL]],T_suiviDi[#Data],COLUMN(T_suiviDi[[#This Row],[Entité]]),FALSE))</f>
        <v>#VALUE!</v>
      </c>
      <c r="CF360" s="164"/>
      <c r="CG360" s="302" t="str">
        <f>IFERROR(VLOOKUP(VLOOKUP(T_BilanSocial[[#This Row],[NumL]],T_suiviDi[#Data],COLUMN(T_suiviDi[[#This Row],[Entité]]),FALSE),Entite_convention,2,FALSE)&amp;IF(VLOOKUP(T_BilanSocial[[#This Row],[NumL]],T_suiviDi[#Data],COLUMN(T_suiviDi[[#This Row],[Service ]]),FALSE)&lt;&gt;""," "&amp;VLOOKUP(T_BilanSocial[[#This Row],[NumL]],T_suiviDi[#Data],COLUMN(T_suiviDi[[#This Row],[Service ]]),FALSE),""),"")</f>
        <v/>
      </c>
      <c r="CH360" s="339" t="str">
        <f>T_BilanSocial[[#This Row],[Nom]]&amp;T_BilanSocial[[#This Row],[Prenom]]</f>
        <v/>
      </c>
      <c r="CI360" s="339">
        <f>VLOOKUP(T_BilanSocial[[#This Row],[NumL]],T_Commission[#Data],COLUMN(T_Commission[Commentaire]),FALSE)</f>
        <v>0</v>
      </c>
      <c r="CJ360" s="339" t="str">
        <f>IF(VLOOKUP(T_BilanSocial[[#This Row],[NumL]],T_Commission[#Data],COLUMN(T_Commission[Encadrant Email]),FALSE)="","",VLOOKUP(T_BilanSocial[[#This Row],[NumL]],T_Commission[#Data],COLUMN(T_Commission[Encadrant Email]),FALSE))</f>
        <v/>
      </c>
      <c r="CK360" s="332" t="str">
        <f>IF(T_BilanSocial[[#This Row],[Final]]&lt;&gt;"",VLOOKUP(T_BilanSocial[[#This Row],[NumL]],T_suiviDi[#Data],COLUMN((T_suiviDi[Statut])),FALSE),"")</f>
        <v/>
      </c>
    </row>
    <row r="361" spans="1:89" ht="29.25" customHeight="1" x14ac:dyDescent="0.25">
      <c r="C361" s="1"/>
      <c r="D361" s="1"/>
      <c r="E361" s="1"/>
      <c r="G361" s="1" t="s">
        <v>2988</v>
      </c>
      <c r="I361" s="1">
        <v>0</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Y361" s="50"/>
      <c r="BZ361" s="50"/>
      <c r="CA361" s="50"/>
      <c r="CB361" s="50"/>
      <c r="CC361" s="221"/>
      <c r="CD361" s="50"/>
      <c r="CE361" s="50"/>
      <c r="CF361" s="50"/>
      <c r="CG361" s="50"/>
      <c r="CI361" s="50"/>
      <c r="CJ361" s="50"/>
      <c r="CK361" s="50"/>
    </row>
    <row r="362" spans="1:89" ht="29.25" customHeight="1" x14ac:dyDescent="0.25">
      <c r="BL362" s="149"/>
      <c r="BM362" s="222"/>
      <c r="BQ362" s="221"/>
      <c r="BR362" s="50"/>
      <c r="BS362" s="50"/>
      <c r="BT362" s="50"/>
      <c r="BU362" s="50"/>
      <c r="BV362" s="50"/>
      <c r="BY362" s="50"/>
      <c r="BZ362" s="50"/>
      <c r="CA362" s="50"/>
      <c r="CB362" s="50"/>
      <c r="CC362" s="221"/>
      <c r="CD362" s="50"/>
      <c r="CE362" s="50"/>
      <c r="CF362" s="50"/>
      <c r="CG362" s="50"/>
      <c r="CI362" s="50"/>
      <c r="CJ362" s="50"/>
      <c r="CK362" s="50"/>
    </row>
    <row r="363" spans="1:89" ht="29.25" customHeight="1" x14ac:dyDescent="0.25">
      <c r="BL363" s="149"/>
      <c r="BM363" s="222"/>
      <c r="BQ363" s="221"/>
      <c r="BR363" s="50"/>
      <c r="BS363" s="50"/>
      <c r="BT363" s="50"/>
      <c r="BU363" s="50"/>
      <c r="BV363" s="50"/>
      <c r="BY363" s="50"/>
      <c r="BZ363" s="50"/>
      <c r="CA363" s="50"/>
      <c r="CB363" s="50"/>
      <c r="CC363" s="221"/>
      <c r="CD363" s="50"/>
      <c r="CE363" s="50"/>
      <c r="CF363" s="50"/>
      <c r="CG363" s="50"/>
      <c r="CI363" s="50"/>
      <c r="CJ363" s="50"/>
    </row>
    <row r="364" spans="1:89" ht="29.25" customHeight="1" x14ac:dyDescent="0.25">
      <c r="BL364" s="149"/>
      <c r="BM364" s="222"/>
      <c r="BQ364" s="221"/>
      <c r="BR364" s="50"/>
      <c r="BS364" s="50"/>
      <c r="BT364" s="50"/>
      <c r="BU364" s="50"/>
      <c r="BV364" s="50"/>
      <c r="BY364" s="50"/>
      <c r="BZ364" s="50"/>
      <c r="CA364" s="50"/>
      <c r="CB364" s="50"/>
      <c r="CC364" s="221"/>
      <c r="CD364" s="50"/>
      <c r="CE364" s="50"/>
      <c r="CF364" s="50"/>
      <c r="CG364" s="50"/>
      <c r="CI364" s="50"/>
      <c r="CJ364" s="50"/>
    </row>
    <row r="365" spans="1:89" ht="29.25" customHeight="1" x14ac:dyDescent="0.25">
      <c r="BL365" s="149"/>
      <c r="BM365" s="222"/>
      <c r="BQ365" s="221"/>
      <c r="BR365" s="50"/>
      <c r="BS365" s="50"/>
      <c r="BT365" s="50"/>
      <c r="BU365" s="50"/>
      <c r="BV365" s="50"/>
      <c r="BY365" s="50"/>
      <c r="BZ365" s="50"/>
      <c r="CA365" s="50"/>
      <c r="CB365" s="50"/>
      <c r="CC365" s="221"/>
      <c r="CD365" s="50"/>
      <c r="CE365" s="50"/>
      <c r="CF365" s="50"/>
      <c r="CG365" s="50"/>
      <c r="CI365" s="50"/>
      <c r="CJ365" s="50"/>
    </row>
    <row r="366" spans="1:89" ht="29.25" customHeight="1" x14ac:dyDescent="0.25">
      <c r="BL366" s="149"/>
      <c r="BM366" s="222"/>
      <c r="BQ366" s="221"/>
      <c r="BR366" s="50"/>
      <c r="BS366" s="50"/>
      <c r="BT366" s="50"/>
      <c r="BU366" s="50"/>
      <c r="BV366" s="50"/>
      <c r="BY366" s="50"/>
      <c r="BZ366" s="50"/>
      <c r="CA366" s="50"/>
      <c r="CB366" s="50"/>
      <c r="CC366" s="221"/>
      <c r="CD366" s="50"/>
      <c r="CE366" s="50"/>
      <c r="CF366" s="50"/>
      <c r="CG366" s="50"/>
      <c r="CI366" s="50"/>
      <c r="CJ366" s="50"/>
    </row>
    <row r="367" spans="1:89" ht="29.25" customHeight="1" x14ac:dyDescent="0.25">
      <c r="BL367" s="149"/>
      <c r="BM367" s="222"/>
      <c r="BQ367" s="221"/>
      <c r="BR367" s="50"/>
      <c r="BS367" s="50"/>
      <c r="BT367" s="50"/>
      <c r="BU367" s="50"/>
      <c r="BV367" s="50"/>
      <c r="BY367" s="50"/>
      <c r="BZ367" s="50"/>
      <c r="CA367" s="50"/>
      <c r="CB367" s="50"/>
      <c r="CC367" s="221"/>
      <c r="CD367" s="50"/>
      <c r="CE367" s="50"/>
      <c r="CF367" s="50"/>
      <c r="CG367" s="50"/>
      <c r="CI367" s="50"/>
      <c r="CJ367" s="50"/>
    </row>
    <row r="368" spans="1:89" ht="29.25" customHeight="1" x14ac:dyDescent="0.25">
      <c r="BL368" s="149"/>
      <c r="BM368" s="222"/>
      <c r="BQ368" s="221"/>
      <c r="BR368" s="50"/>
      <c r="BS368" s="50"/>
      <c r="BT368" s="50"/>
      <c r="BU368" s="50"/>
      <c r="BV368" s="50"/>
      <c r="BY368" s="50"/>
      <c r="BZ368" s="50"/>
      <c r="CA368" s="50"/>
      <c r="CB368" s="50"/>
      <c r="CC368" s="221"/>
      <c r="CD368" s="50"/>
      <c r="CE368" s="50"/>
      <c r="CF368" s="50"/>
      <c r="CG368" s="50"/>
      <c r="CI368" s="50"/>
      <c r="CJ368" s="50"/>
    </row>
    <row r="369" spans="64:88" ht="29.25" customHeight="1" x14ac:dyDescent="0.25">
      <c r="BL369" s="149"/>
      <c r="BM369" s="222"/>
      <c r="BQ369" s="221"/>
      <c r="BR369" s="50"/>
      <c r="BS369" s="50"/>
      <c r="BT369" s="50"/>
      <c r="BU369" s="50"/>
      <c r="BV369" s="50"/>
      <c r="BY369" s="50"/>
      <c r="BZ369" s="50"/>
      <c r="CA369" s="50"/>
      <c r="CB369" s="50"/>
      <c r="CC369" s="221"/>
      <c r="CD369" s="50"/>
      <c r="CE369" s="50"/>
      <c r="CF369" s="50"/>
      <c r="CG369" s="50"/>
      <c r="CI369" s="50"/>
      <c r="CJ369" s="50"/>
    </row>
    <row r="370" spans="64:88" ht="29.25" customHeight="1" x14ac:dyDescent="0.25">
      <c r="BL370" s="149"/>
      <c r="BM370" s="222"/>
      <c r="BQ370" s="221"/>
      <c r="BR370" s="50"/>
      <c r="BS370" s="50"/>
      <c r="BT370" s="50"/>
      <c r="BU370" s="50"/>
      <c r="BV370" s="50"/>
      <c r="BY370" s="50"/>
      <c r="BZ370" s="50"/>
      <c r="CA370" s="50"/>
      <c r="CB370" s="50"/>
      <c r="CC370" s="221"/>
      <c r="CD370" s="50"/>
      <c r="CE370" s="50"/>
      <c r="CF370" s="50"/>
      <c r="CG370" s="50"/>
      <c r="CI370" s="50"/>
      <c r="CJ370" s="50"/>
    </row>
    <row r="371" spans="64:88" ht="29.25" customHeight="1" x14ac:dyDescent="0.25">
      <c r="BL371" s="149"/>
      <c r="BM371" s="222"/>
      <c r="BQ371" s="221"/>
      <c r="BR371" s="50"/>
      <c r="BS371" s="50"/>
      <c r="BT371" s="50"/>
      <c r="BU371" s="50"/>
      <c r="BV371" s="50"/>
      <c r="BY371" s="50"/>
      <c r="BZ371" s="50"/>
      <c r="CA371" s="50"/>
      <c r="CB371" s="50"/>
      <c r="CC371" s="221"/>
      <c r="CD371" s="50"/>
      <c r="CE371" s="50"/>
      <c r="CF371" s="50"/>
      <c r="CG371" s="50"/>
      <c r="CI371" s="50"/>
      <c r="CJ371" s="50"/>
    </row>
    <row r="372" spans="64:88" ht="29.25" customHeight="1" x14ac:dyDescent="0.25">
      <c r="BL372" s="149"/>
      <c r="BM372" s="222"/>
      <c r="BQ372" s="221"/>
      <c r="BR372" s="50"/>
      <c r="BS372" s="50"/>
      <c r="BT372" s="50"/>
      <c r="BU372" s="50"/>
      <c r="BV372" s="50"/>
      <c r="BY372" s="50"/>
      <c r="BZ372" s="50"/>
      <c r="CA372" s="50"/>
      <c r="CB372" s="50"/>
      <c r="CC372" s="221"/>
      <c r="CD372" s="50"/>
      <c r="CE372" s="50"/>
      <c r="CF372" s="50"/>
      <c r="CG372" s="50"/>
      <c r="CI372" s="50"/>
      <c r="CJ372" s="50"/>
    </row>
    <row r="373" spans="64:88" ht="29.25" customHeight="1" x14ac:dyDescent="0.25">
      <c r="BL373" s="149"/>
      <c r="BM373" s="222"/>
      <c r="BQ373" s="221"/>
      <c r="BR373" s="50"/>
      <c r="BS373" s="50"/>
      <c r="BT373" s="50"/>
      <c r="BU373" s="50"/>
      <c r="BV373" s="50"/>
      <c r="BY373" s="50"/>
      <c r="BZ373" s="50"/>
      <c r="CA373" s="50"/>
      <c r="CB373" s="50"/>
      <c r="CC373" s="221"/>
      <c r="CD373" s="50"/>
      <c r="CE373" s="50"/>
      <c r="CF373" s="50"/>
      <c r="CG373" s="50"/>
      <c r="CI373" s="50"/>
      <c r="CJ373" s="50"/>
    </row>
    <row r="374" spans="64:88" ht="29.25" customHeight="1" x14ac:dyDescent="0.25">
      <c r="BL374" s="149"/>
      <c r="BM374" s="222"/>
      <c r="BQ374" s="221"/>
      <c r="BR374" s="50"/>
      <c r="BS374" s="50"/>
      <c r="BT374" s="50"/>
      <c r="BU374" s="50"/>
      <c r="BV374" s="50"/>
      <c r="BY374" s="50"/>
      <c r="BZ374" s="50"/>
      <c r="CA374" s="50"/>
      <c r="CB374" s="50"/>
      <c r="CC374" s="221"/>
      <c r="CD374" s="50"/>
      <c r="CE374" s="50"/>
      <c r="CF374" s="50"/>
      <c r="CG374" s="50"/>
      <c r="CI374" s="50"/>
      <c r="CJ374" s="50"/>
    </row>
    <row r="375" spans="64:88" ht="29.25" customHeight="1" x14ac:dyDescent="0.25">
      <c r="BL375" s="149"/>
      <c r="BM375" s="222"/>
      <c r="BQ375" s="221"/>
      <c r="BR375" s="50"/>
      <c r="BS375" s="50"/>
      <c r="BT375" s="50"/>
      <c r="BU375" s="50"/>
      <c r="BV375" s="50"/>
      <c r="BY375" s="50"/>
      <c r="BZ375" s="50"/>
      <c r="CA375" s="50"/>
      <c r="CB375" s="50"/>
      <c r="CC375" s="221"/>
      <c r="CD375" s="50"/>
      <c r="CE375" s="50"/>
      <c r="CF375" s="50"/>
      <c r="CG375" s="50"/>
      <c r="CI375" s="50"/>
      <c r="CJ375" s="50"/>
    </row>
    <row r="376" spans="64:88" ht="29.25" customHeight="1" x14ac:dyDescent="0.25">
      <c r="BL376" s="149"/>
      <c r="BM376" s="222"/>
      <c r="BQ376" s="221"/>
      <c r="BR376" s="50"/>
      <c r="BS376" s="50"/>
      <c r="BT376" s="50"/>
      <c r="BU376" s="50"/>
      <c r="BV376" s="50"/>
      <c r="BY376" s="50"/>
      <c r="BZ376" s="50"/>
      <c r="CA376" s="50"/>
      <c r="CB376" s="50"/>
      <c r="CC376" s="221"/>
      <c r="CD376" s="50"/>
      <c r="CE376" s="50"/>
      <c r="CF376" s="50"/>
      <c r="CG376" s="50"/>
      <c r="CI376" s="50"/>
      <c r="CJ376" s="50"/>
    </row>
    <row r="377" spans="64:88" ht="29.25" customHeight="1" x14ac:dyDescent="0.25">
      <c r="BL377" s="149"/>
      <c r="BM377" s="222"/>
      <c r="BQ377" s="221"/>
      <c r="BR377" s="50"/>
      <c r="BS377" s="50"/>
      <c r="BT377" s="50"/>
      <c r="BU377" s="50"/>
      <c r="BV377" s="50"/>
      <c r="BY377" s="50"/>
      <c r="BZ377" s="50"/>
      <c r="CA377" s="50"/>
      <c r="CB377" s="50"/>
      <c r="CC377" s="221"/>
      <c r="CD377" s="50"/>
      <c r="CE377" s="50"/>
      <c r="CF377" s="50"/>
      <c r="CG377" s="50"/>
      <c r="CI377" s="50"/>
      <c r="CJ377" s="50"/>
    </row>
    <row r="378" spans="64:88" ht="29.25" customHeight="1" x14ac:dyDescent="0.25">
      <c r="BL378" s="149"/>
      <c r="BM378" s="222"/>
      <c r="BQ378" s="221"/>
      <c r="BR378" s="50"/>
      <c r="BS378" s="50"/>
      <c r="BT378" s="50"/>
      <c r="BU378" s="50"/>
      <c r="BV378" s="50"/>
      <c r="BY378" s="50"/>
      <c r="BZ378" s="50"/>
      <c r="CA378" s="50"/>
      <c r="CB378" s="50"/>
      <c r="CC378" s="221"/>
      <c r="CD378" s="50"/>
      <c r="CE378" s="50"/>
      <c r="CF378" s="50"/>
      <c r="CG378" s="50"/>
      <c r="CI378" s="50"/>
      <c r="CJ378" s="50"/>
    </row>
    <row r="379" spans="64:88" ht="29.25" customHeight="1" x14ac:dyDescent="0.25">
      <c r="BL379" s="149"/>
      <c r="BM379" s="222"/>
      <c r="BQ379" s="221"/>
      <c r="BR379" s="50"/>
      <c r="BS379" s="50"/>
      <c r="BT379" s="50"/>
      <c r="BU379" s="50"/>
      <c r="BV379" s="50"/>
      <c r="BY379" s="50"/>
      <c r="BZ379" s="50"/>
      <c r="CA379" s="50"/>
      <c r="CB379" s="50"/>
      <c r="CC379" s="221"/>
      <c r="CD379" s="50"/>
      <c r="CE379" s="50"/>
      <c r="CF379" s="50"/>
      <c r="CG379" s="50"/>
      <c r="CI379" s="50"/>
      <c r="CJ379" s="50"/>
    </row>
    <row r="380" spans="64:88" ht="29.25" customHeight="1" x14ac:dyDescent="0.25">
      <c r="BL380" s="149"/>
      <c r="BM380" s="222"/>
      <c r="BQ380" s="221"/>
      <c r="BR380" s="50"/>
      <c r="BS380" s="50"/>
      <c r="BT380" s="50"/>
      <c r="BU380" s="50"/>
      <c r="BV380" s="50"/>
      <c r="BY380" s="50"/>
      <c r="BZ380" s="50"/>
      <c r="CA380" s="50"/>
      <c r="CB380" s="50"/>
      <c r="CC380" s="221"/>
      <c r="CD380" s="50"/>
      <c r="CE380" s="50"/>
      <c r="CF380" s="50"/>
      <c r="CG380" s="50"/>
      <c r="CI380" s="50"/>
      <c r="CJ380" s="50"/>
    </row>
    <row r="381" spans="64:88" ht="29.25" customHeight="1" x14ac:dyDescent="0.25">
      <c r="BL381" s="149"/>
      <c r="BM381" s="222"/>
      <c r="BQ381" s="221"/>
      <c r="BR381" s="50"/>
      <c r="BS381" s="50"/>
      <c r="BT381" s="50"/>
      <c r="BU381" s="50"/>
      <c r="BV381" s="50"/>
      <c r="BY381" s="50"/>
      <c r="BZ381" s="50"/>
      <c r="CA381" s="50"/>
      <c r="CB381" s="50"/>
      <c r="CC381" s="221"/>
      <c r="CD381" s="50"/>
      <c r="CE381" s="50"/>
      <c r="CF381" s="50"/>
      <c r="CG381" s="50"/>
      <c r="CI381" s="50"/>
      <c r="CJ381" s="50"/>
    </row>
    <row r="382" spans="64:88" ht="29.25" customHeight="1" x14ac:dyDescent="0.25">
      <c r="BL382" s="149"/>
      <c r="BM382" s="222"/>
      <c r="BQ382" s="221"/>
      <c r="BR382" s="50"/>
      <c r="BS382" s="50"/>
      <c r="BT382" s="50"/>
      <c r="BU382" s="50"/>
      <c r="BV382" s="50"/>
      <c r="BY382" s="50"/>
      <c r="BZ382" s="50"/>
      <c r="CA382" s="50"/>
      <c r="CB382" s="50"/>
      <c r="CC382" s="221"/>
      <c r="CD382" s="50"/>
      <c r="CE382" s="50"/>
      <c r="CF382" s="50"/>
      <c r="CG382" s="50"/>
      <c r="CI382" s="50"/>
      <c r="CJ382" s="50"/>
    </row>
    <row r="383" spans="64:88" ht="29.25" customHeight="1" x14ac:dyDescent="0.25">
      <c r="BL383" s="149"/>
      <c r="BM383" s="222"/>
      <c r="BQ383" s="221"/>
      <c r="BR383" s="50"/>
      <c r="BS383" s="50"/>
      <c r="BT383" s="50"/>
      <c r="BU383" s="50"/>
      <c r="BV383" s="50"/>
      <c r="BY383" s="50"/>
      <c r="BZ383" s="50"/>
      <c r="CA383" s="50"/>
      <c r="CB383" s="50"/>
      <c r="CC383" s="221"/>
      <c r="CD383" s="50"/>
      <c r="CE383" s="50"/>
      <c r="CF383" s="50"/>
      <c r="CG383" s="50"/>
      <c r="CI383" s="50"/>
      <c r="CJ383" s="50"/>
    </row>
    <row r="384" spans="64:88" ht="29.25" customHeight="1" x14ac:dyDescent="0.25">
      <c r="BL384" s="149"/>
      <c r="BM384" s="222"/>
      <c r="BQ384" s="221"/>
      <c r="BR384" s="50"/>
      <c r="BS384" s="50"/>
      <c r="BT384" s="50"/>
      <c r="BU384" s="50"/>
      <c r="BV384" s="50"/>
      <c r="BY384" s="50"/>
      <c r="BZ384" s="50"/>
      <c r="CA384" s="50"/>
      <c r="CB384" s="50"/>
      <c r="CC384" s="221"/>
      <c r="CD384" s="50"/>
      <c r="CE384" s="50"/>
      <c r="CF384" s="50"/>
      <c r="CG384" s="50"/>
      <c r="CI384" s="50"/>
      <c r="CJ384" s="50"/>
    </row>
    <row r="385" spans="64:88" ht="29.25" customHeight="1" x14ac:dyDescent="0.25">
      <c r="BL385" s="149"/>
      <c r="BM385" s="222"/>
      <c r="BQ385" s="221"/>
      <c r="BR385" s="50"/>
      <c r="BS385" s="50"/>
      <c r="BT385" s="50"/>
      <c r="BU385" s="50"/>
      <c r="BV385" s="50"/>
      <c r="BY385" s="50"/>
      <c r="BZ385" s="50"/>
      <c r="CA385" s="50"/>
      <c r="CB385" s="50"/>
      <c r="CC385" s="221"/>
      <c r="CD385" s="50"/>
      <c r="CE385" s="50"/>
      <c r="CF385" s="50"/>
      <c r="CG385" s="50"/>
      <c r="CI385" s="50"/>
      <c r="CJ385" s="50"/>
    </row>
    <row r="386" spans="64:88" ht="29.25" customHeight="1" x14ac:dyDescent="0.25">
      <c r="BL386" s="149"/>
      <c r="BM386" s="222"/>
      <c r="BQ386" s="221"/>
      <c r="BR386" s="50"/>
      <c r="BS386" s="50"/>
      <c r="BT386" s="50"/>
      <c r="BU386" s="50"/>
      <c r="BV386" s="50"/>
      <c r="BY386" s="50"/>
      <c r="BZ386" s="50"/>
      <c r="CA386" s="50"/>
      <c r="CB386" s="50"/>
      <c r="CC386" s="221"/>
      <c r="CD386" s="50"/>
      <c r="CE386" s="50"/>
      <c r="CF386" s="50"/>
      <c r="CG386" s="50"/>
      <c r="CI386" s="50"/>
      <c r="CJ386" s="50"/>
    </row>
    <row r="387" spans="64:88" ht="29.25" customHeight="1" x14ac:dyDescent="0.25">
      <c r="BL387" s="149"/>
      <c r="BM387" s="222"/>
      <c r="BQ387" s="221"/>
      <c r="BR387" s="50"/>
      <c r="BS387" s="50"/>
      <c r="BT387" s="50"/>
      <c r="BU387" s="50"/>
      <c r="BV387" s="50"/>
      <c r="BY387" s="50"/>
      <c r="BZ387" s="50"/>
      <c r="CA387" s="50"/>
      <c r="CB387" s="50"/>
      <c r="CC387" s="221"/>
      <c r="CD387" s="50"/>
      <c r="CE387" s="50"/>
      <c r="CF387" s="50"/>
      <c r="CG387" s="50"/>
      <c r="CI387" s="50"/>
      <c r="CJ387" s="50"/>
    </row>
    <row r="388" spans="64:88" ht="29.25" customHeight="1" x14ac:dyDescent="0.25">
      <c r="BL388" s="149"/>
      <c r="BM388" s="222"/>
      <c r="BQ388" s="221"/>
      <c r="BR388" s="50"/>
      <c r="BS388" s="50"/>
      <c r="BT388" s="50"/>
      <c r="BU388" s="50"/>
      <c r="BV388" s="50"/>
      <c r="BY388" s="50"/>
      <c r="BZ388" s="50"/>
      <c r="CA388" s="50"/>
      <c r="CB388" s="50"/>
      <c r="CC388" s="221"/>
      <c r="CD388" s="50"/>
      <c r="CE388" s="50"/>
      <c r="CF388" s="50"/>
      <c r="CG388" s="50"/>
      <c r="CI388" s="50"/>
      <c r="CJ388" s="50"/>
    </row>
    <row r="389" spans="64:88" ht="29.25" customHeight="1" x14ac:dyDescent="0.25">
      <c r="BL389" s="149"/>
      <c r="BM389" s="222"/>
      <c r="BQ389" s="221"/>
      <c r="BR389" s="50"/>
      <c r="BS389" s="50"/>
      <c r="BT389" s="50"/>
      <c r="BU389" s="50"/>
      <c r="BV389" s="50"/>
      <c r="BY389" s="50"/>
      <c r="BZ389" s="50"/>
      <c r="CA389" s="50"/>
      <c r="CB389" s="50"/>
      <c r="CC389" s="221"/>
      <c r="CD389" s="50"/>
      <c r="CE389" s="50"/>
      <c r="CF389" s="50"/>
      <c r="CG389" s="50"/>
      <c r="CI389" s="50"/>
      <c r="CJ389" s="50"/>
    </row>
    <row r="390" spans="64:88" ht="29.25" customHeight="1" x14ac:dyDescent="0.25">
      <c r="BL390" s="149"/>
      <c r="BM390" s="222"/>
      <c r="BQ390" s="221"/>
      <c r="BR390" s="50"/>
      <c r="BS390" s="50"/>
      <c r="BT390" s="50"/>
      <c r="BU390" s="50"/>
      <c r="BV390" s="50"/>
      <c r="BY390" s="50"/>
      <c r="BZ390" s="50"/>
      <c r="CA390" s="50"/>
      <c r="CB390" s="50"/>
      <c r="CC390" s="221"/>
      <c r="CD390" s="50"/>
      <c r="CE390" s="50"/>
      <c r="CF390" s="50"/>
      <c r="CG390" s="50"/>
      <c r="CI390" s="50"/>
      <c r="CJ390" s="50"/>
    </row>
    <row r="391" spans="64:88" ht="29.25" customHeight="1" x14ac:dyDescent="0.25">
      <c r="BL391" s="149"/>
      <c r="BM391" s="222"/>
      <c r="BQ391" s="221"/>
      <c r="BR391" s="50"/>
      <c r="BS391" s="50"/>
      <c r="BT391" s="50"/>
      <c r="BU391" s="50"/>
      <c r="BV391" s="50"/>
      <c r="BY391" s="50"/>
      <c r="BZ391" s="50"/>
      <c r="CA391" s="50"/>
      <c r="CB391" s="50"/>
      <c r="CC391" s="221"/>
      <c r="CD391" s="50"/>
      <c r="CE391" s="50"/>
      <c r="CF391" s="50"/>
      <c r="CG391" s="50"/>
      <c r="CI391" s="50"/>
      <c r="CJ391" s="50"/>
    </row>
    <row r="392" spans="64:88" ht="29.25" customHeight="1" x14ac:dyDescent="0.25">
      <c r="BL392" s="149"/>
      <c r="BM392" s="222"/>
      <c r="BQ392" s="221"/>
      <c r="BR392" s="50"/>
      <c r="BS392" s="50"/>
      <c r="BT392" s="50"/>
      <c r="BU392" s="50"/>
      <c r="BV392" s="50"/>
      <c r="BY392" s="50"/>
      <c r="BZ392" s="50"/>
      <c r="CA392" s="50"/>
      <c r="CB392" s="50"/>
      <c r="CC392" s="221"/>
      <c r="CD392" s="50"/>
      <c r="CE392" s="50"/>
      <c r="CF392" s="50"/>
      <c r="CG392" s="50"/>
      <c r="CI392" s="50"/>
      <c r="CJ392" s="50"/>
    </row>
    <row r="393" spans="64:88" ht="29.25" customHeight="1" x14ac:dyDescent="0.25">
      <c r="BL393" s="149"/>
      <c r="BM393" s="222"/>
      <c r="BQ393" s="221"/>
      <c r="BR393" s="50"/>
      <c r="BS393" s="50"/>
      <c r="BT393" s="50"/>
      <c r="BU393" s="50"/>
      <c r="BV393" s="50"/>
      <c r="BY393" s="50"/>
      <c r="BZ393" s="50"/>
      <c r="CA393" s="50"/>
      <c r="CB393" s="50"/>
      <c r="CC393" s="221"/>
      <c r="CD393" s="50"/>
      <c r="CE393" s="50"/>
      <c r="CF393" s="50"/>
      <c r="CG393" s="50"/>
      <c r="CI393" s="50"/>
      <c r="CJ393" s="50"/>
    </row>
    <row r="394" spans="64:88" ht="29.25" customHeight="1" x14ac:dyDescent="0.25">
      <c r="BL394" s="149"/>
      <c r="BM394" s="222"/>
      <c r="BQ394" s="221"/>
      <c r="BR394" s="50"/>
      <c r="BS394" s="50"/>
      <c r="BT394" s="50"/>
      <c r="BU394" s="50"/>
      <c r="BV394" s="50"/>
      <c r="BY394" s="50"/>
      <c r="BZ394" s="50"/>
      <c r="CA394" s="50"/>
      <c r="CB394" s="50"/>
      <c r="CC394" s="221"/>
      <c r="CD394" s="50"/>
      <c r="CE394" s="50"/>
      <c r="CF394" s="50"/>
      <c r="CG394" s="50"/>
      <c r="CI394" s="50"/>
      <c r="CJ394" s="50"/>
    </row>
    <row r="395" spans="64:88" ht="29.25" customHeight="1" x14ac:dyDescent="0.25">
      <c r="BL395" s="149"/>
      <c r="BM395" s="222"/>
      <c r="BQ395" s="221"/>
      <c r="BR395" s="50"/>
      <c r="BS395" s="50"/>
      <c r="BT395" s="50"/>
      <c r="BU395" s="50"/>
      <c r="BV395" s="50"/>
      <c r="BY395" s="50"/>
      <c r="BZ395" s="50"/>
      <c r="CA395" s="50"/>
      <c r="CB395" s="50"/>
      <c r="CC395" s="221"/>
      <c r="CD395" s="50"/>
      <c r="CE395" s="50"/>
      <c r="CF395" s="50"/>
      <c r="CG395" s="50"/>
      <c r="CI395" s="50"/>
      <c r="CJ395" s="50"/>
    </row>
    <row r="396" spans="64:88" ht="29.25" customHeight="1" x14ac:dyDescent="0.25">
      <c r="BL396" s="149"/>
      <c r="BM396" s="222"/>
      <c r="BQ396" s="221"/>
      <c r="BR396" s="50"/>
      <c r="BS396" s="50"/>
      <c r="BT396" s="50"/>
      <c r="BU396" s="50"/>
      <c r="BV396" s="50"/>
      <c r="BY396" s="50"/>
      <c r="BZ396" s="50"/>
      <c r="CA396" s="50"/>
      <c r="CB396" s="50"/>
      <c r="CC396" s="221"/>
      <c r="CD396" s="50"/>
      <c r="CE396" s="50"/>
      <c r="CF396" s="50"/>
      <c r="CG396" s="50"/>
      <c r="CI396" s="50"/>
      <c r="CJ396" s="50"/>
    </row>
    <row r="397" spans="64:88" ht="29.25" customHeight="1" x14ac:dyDescent="0.25">
      <c r="BL397" s="149"/>
      <c r="BM397" s="222"/>
      <c r="BQ397" s="221"/>
      <c r="BR397" s="50"/>
      <c r="BS397" s="50"/>
      <c r="BT397" s="50"/>
      <c r="BU397" s="50"/>
      <c r="BV397" s="50"/>
      <c r="BY397" s="50"/>
      <c r="BZ397" s="50"/>
      <c r="CA397" s="50"/>
      <c r="CB397" s="50"/>
      <c r="CC397" s="221"/>
      <c r="CD397" s="50"/>
      <c r="CE397" s="50"/>
      <c r="CF397" s="50"/>
      <c r="CG397" s="50"/>
      <c r="CI397" s="50"/>
      <c r="CJ397" s="50"/>
    </row>
    <row r="398" spans="64:88" ht="29.25" customHeight="1" x14ac:dyDescent="0.25">
      <c r="BL398" s="149"/>
      <c r="BM398" s="222"/>
      <c r="BQ398" s="221"/>
      <c r="BR398" s="50"/>
      <c r="BS398" s="50"/>
      <c r="BT398" s="50"/>
      <c r="BU398" s="50"/>
      <c r="BV398" s="50"/>
      <c r="BY398" s="50"/>
      <c r="BZ398" s="50"/>
      <c r="CA398" s="50"/>
      <c r="CB398" s="50"/>
      <c r="CC398" s="221"/>
      <c r="CD398" s="50"/>
      <c r="CE398" s="50"/>
      <c r="CF398" s="50"/>
      <c r="CG398" s="50"/>
      <c r="CI398" s="50"/>
      <c r="CJ398" s="50"/>
    </row>
    <row r="399" spans="64:88" ht="29.25" customHeight="1" x14ac:dyDescent="0.25">
      <c r="BL399" s="149"/>
      <c r="BM399" s="222"/>
      <c r="BQ399" s="221"/>
      <c r="BR399" s="50"/>
      <c r="BS399" s="50"/>
      <c r="BT399" s="50"/>
      <c r="BU399" s="50"/>
      <c r="BV399" s="50"/>
      <c r="BY399" s="50"/>
      <c r="BZ399" s="50"/>
      <c r="CA399" s="50"/>
      <c r="CB399" s="50"/>
      <c r="CC399" s="221"/>
      <c r="CD399" s="50"/>
      <c r="CE399" s="50"/>
      <c r="CF399" s="50"/>
      <c r="CG399" s="50"/>
      <c r="CI399" s="50"/>
      <c r="CJ399" s="50"/>
    </row>
    <row r="400" spans="64:88" ht="29.25" customHeight="1" x14ac:dyDescent="0.25">
      <c r="BL400" s="149"/>
      <c r="BM400" s="222"/>
      <c r="BQ400" s="221"/>
      <c r="BR400" s="50"/>
      <c r="BS400" s="50"/>
      <c r="BT400" s="50"/>
      <c r="BU400" s="50"/>
      <c r="BV400" s="50"/>
      <c r="BY400" s="50"/>
      <c r="BZ400" s="50"/>
      <c r="CA400" s="50"/>
      <c r="CB400" s="50"/>
      <c r="CC400" s="221"/>
      <c r="CD400" s="50"/>
      <c r="CE400" s="50"/>
      <c r="CF400" s="50"/>
      <c r="CG400" s="50"/>
      <c r="CI400" s="50"/>
      <c r="CJ400" s="50"/>
    </row>
    <row r="401" spans="64:88" ht="29.25" customHeight="1" x14ac:dyDescent="0.25">
      <c r="BL401" s="149"/>
      <c r="BM401" s="222"/>
      <c r="BQ401" s="221"/>
      <c r="BR401" s="50"/>
      <c r="BS401" s="50"/>
      <c r="BT401" s="50"/>
      <c r="BU401" s="50"/>
      <c r="BV401" s="50"/>
      <c r="BY401" s="50"/>
      <c r="BZ401" s="50"/>
      <c r="CA401" s="50"/>
      <c r="CB401" s="50"/>
      <c r="CC401" s="221"/>
      <c r="CD401" s="50"/>
      <c r="CE401" s="50"/>
      <c r="CF401" s="50"/>
      <c r="CG401" s="50"/>
      <c r="CI401" s="50"/>
      <c r="CJ401" s="50"/>
    </row>
    <row r="402" spans="64:88" ht="29.25" customHeight="1" x14ac:dyDescent="0.25">
      <c r="BL402" s="149"/>
      <c r="BM402" s="222"/>
      <c r="BQ402" s="221"/>
      <c r="BR402" s="50"/>
      <c r="BS402" s="50"/>
      <c r="BT402" s="50"/>
      <c r="BU402" s="50"/>
      <c r="BV402" s="50"/>
      <c r="BY402" s="50"/>
      <c r="BZ402" s="50"/>
      <c r="CA402" s="50"/>
      <c r="CB402" s="50"/>
      <c r="CC402" s="221"/>
      <c r="CD402" s="50"/>
      <c r="CE402" s="50"/>
      <c r="CF402" s="50"/>
      <c r="CG402" s="50"/>
      <c r="CI402" s="50"/>
      <c r="CJ402" s="50"/>
    </row>
    <row r="403" spans="64:88" ht="29.25" customHeight="1" x14ac:dyDescent="0.25">
      <c r="BL403" s="149"/>
      <c r="BM403" s="222"/>
      <c r="BQ403" s="221"/>
      <c r="BR403" s="50"/>
      <c r="BS403" s="50"/>
      <c r="BT403" s="50"/>
      <c r="BU403" s="50"/>
      <c r="BV403" s="50"/>
      <c r="BY403" s="50"/>
      <c r="BZ403" s="50"/>
      <c r="CA403" s="50"/>
      <c r="CB403" s="50"/>
      <c r="CC403" s="221"/>
      <c r="CD403" s="50"/>
      <c r="CE403" s="50"/>
      <c r="CF403" s="50"/>
      <c r="CG403" s="50"/>
      <c r="CI403" s="50"/>
      <c r="CJ403" s="50"/>
    </row>
    <row r="404" spans="64:88" ht="29.25" customHeight="1" x14ac:dyDescent="0.25">
      <c r="BL404" s="149"/>
      <c r="BM404" s="222"/>
      <c r="BQ404" s="221"/>
      <c r="BR404" s="50"/>
      <c r="BS404" s="50"/>
      <c r="BT404" s="50"/>
      <c r="BU404" s="50"/>
      <c r="BV404" s="50"/>
      <c r="BY404" s="50"/>
      <c r="BZ404" s="50"/>
      <c r="CA404" s="50"/>
      <c r="CB404" s="50"/>
      <c r="CC404" s="221"/>
      <c r="CD404" s="50"/>
      <c r="CE404" s="50"/>
      <c r="CF404" s="50"/>
      <c r="CG404" s="50"/>
      <c r="CI404" s="50"/>
      <c r="CJ404" s="50"/>
    </row>
    <row r="405" spans="64:88" ht="29.25" customHeight="1" x14ac:dyDescent="0.25">
      <c r="BL405" s="149"/>
      <c r="BM405" s="222"/>
      <c r="BQ405" s="221"/>
      <c r="BR405" s="50"/>
      <c r="BS405" s="50"/>
      <c r="BT405" s="50"/>
      <c r="BU405" s="50"/>
      <c r="BV405" s="50"/>
      <c r="BY405" s="50"/>
      <c r="BZ405" s="50"/>
      <c r="CA405" s="50"/>
      <c r="CB405" s="50"/>
      <c r="CC405" s="221"/>
      <c r="CD405" s="50"/>
      <c r="CE405" s="50"/>
      <c r="CF405" s="50"/>
      <c r="CG405" s="50"/>
      <c r="CI405" s="50"/>
      <c r="CJ405" s="50"/>
    </row>
    <row r="406" spans="64:88" ht="29.25" customHeight="1" x14ac:dyDescent="0.25">
      <c r="BL406" s="149"/>
      <c r="BM406" s="222"/>
      <c r="BQ406" s="221"/>
      <c r="BR406" s="50"/>
      <c r="BS406" s="50"/>
      <c r="BT406" s="50"/>
      <c r="BU406" s="50"/>
      <c r="BV406" s="50"/>
      <c r="BY406" s="50"/>
      <c r="BZ406" s="50"/>
      <c r="CA406" s="50"/>
      <c r="CB406" s="50"/>
      <c r="CC406" s="221"/>
      <c r="CD406" s="50"/>
      <c r="CE406" s="50"/>
      <c r="CF406" s="50"/>
      <c r="CG406" s="50"/>
      <c r="CI406" s="50"/>
      <c r="CJ406" s="50"/>
    </row>
    <row r="407" spans="64:88" ht="29.25" customHeight="1" x14ac:dyDescent="0.25">
      <c r="BL407" s="149"/>
      <c r="BM407" s="222"/>
      <c r="BQ407" s="221"/>
      <c r="BR407" s="50"/>
      <c r="BS407" s="50"/>
      <c r="BT407" s="50"/>
      <c r="BU407" s="50"/>
      <c r="BV407" s="50"/>
      <c r="BY407" s="50"/>
      <c r="BZ407" s="50"/>
      <c r="CA407" s="50"/>
      <c r="CB407" s="50"/>
      <c r="CC407" s="221"/>
      <c r="CD407" s="50"/>
      <c r="CE407" s="50"/>
      <c r="CF407" s="50"/>
      <c r="CG407" s="50"/>
      <c r="CI407" s="50"/>
      <c r="CJ407" s="50"/>
    </row>
    <row r="408" spans="64:88" ht="29.25" customHeight="1" x14ac:dyDescent="0.25">
      <c r="BL408" s="149"/>
      <c r="BM408" s="222"/>
      <c r="BQ408" s="221"/>
      <c r="BR408" s="50"/>
      <c r="BS408" s="50"/>
      <c r="BT408" s="50"/>
      <c r="BU408" s="50"/>
      <c r="BV408" s="50"/>
      <c r="BY408" s="50"/>
      <c r="BZ408" s="50"/>
      <c r="CA408" s="50"/>
      <c r="CB408" s="50"/>
      <c r="CC408" s="221"/>
      <c r="CD408" s="50"/>
      <c r="CE408" s="50"/>
      <c r="CF408" s="50"/>
      <c r="CG408" s="50"/>
      <c r="CI408" s="50"/>
      <c r="CJ408" s="50"/>
    </row>
    <row r="409" spans="64:88" ht="29.25" customHeight="1" x14ac:dyDescent="0.25">
      <c r="BL409" s="149"/>
      <c r="BM409" s="222"/>
      <c r="BQ409" s="221"/>
      <c r="BR409" s="50"/>
      <c r="BS409" s="50"/>
      <c r="BT409" s="50"/>
      <c r="BU409" s="50"/>
      <c r="BV409" s="50"/>
      <c r="BY409" s="50"/>
      <c r="BZ409" s="50"/>
      <c r="CA409" s="50"/>
      <c r="CB409" s="50"/>
      <c r="CC409" s="221"/>
      <c r="CD409" s="50"/>
      <c r="CE409" s="50"/>
      <c r="CF409" s="50"/>
      <c r="CG409" s="50"/>
      <c r="CI409" s="50"/>
      <c r="CJ409" s="50"/>
    </row>
    <row r="410" spans="64:88" ht="29.25" customHeight="1" x14ac:dyDescent="0.25">
      <c r="BL410" s="149"/>
      <c r="BM410" s="222"/>
      <c r="BQ410" s="221"/>
      <c r="BR410" s="50"/>
      <c r="BS410" s="50"/>
      <c r="BT410" s="50"/>
      <c r="BU410" s="50"/>
      <c r="BV410" s="50"/>
      <c r="BY410" s="50"/>
      <c r="BZ410" s="50"/>
      <c r="CA410" s="50"/>
      <c r="CB410" s="50"/>
      <c r="CC410" s="221"/>
      <c r="CD410" s="50"/>
      <c r="CE410" s="50"/>
      <c r="CF410" s="50"/>
      <c r="CG410" s="50"/>
      <c r="CI410" s="50"/>
      <c r="CJ410" s="50"/>
    </row>
    <row r="411" spans="64:88" ht="29.25" customHeight="1" x14ac:dyDescent="0.25">
      <c r="BL411" s="149"/>
      <c r="BM411" s="222"/>
      <c r="BQ411" s="221"/>
      <c r="BR411" s="50"/>
      <c r="BS411" s="50"/>
      <c r="BT411" s="50"/>
      <c r="BU411" s="50"/>
      <c r="BV411" s="50"/>
      <c r="BY411" s="50"/>
      <c r="BZ411" s="50"/>
      <c r="CA411" s="50"/>
      <c r="CB411" s="50"/>
      <c r="CC411" s="221"/>
      <c r="CD411" s="50"/>
      <c r="CE411" s="50"/>
      <c r="CF411" s="50"/>
      <c r="CG411" s="50"/>
      <c r="CI411" s="50"/>
      <c r="CJ411" s="50"/>
    </row>
    <row r="412" spans="64:88" ht="29.25" customHeight="1" x14ac:dyDescent="0.25">
      <c r="BL412" s="149"/>
      <c r="BM412" s="222"/>
      <c r="BQ412" s="221"/>
      <c r="BR412" s="50"/>
      <c r="BS412" s="50"/>
      <c r="BT412" s="50"/>
      <c r="BU412" s="50"/>
      <c r="BV412" s="50"/>
      <c r="BY412" s="50"/>
      <c r="BZ412" s="50"/>
      <c r="CA412" s="50"/>
      <c r="CB412" s="50"/>
      <c r="CC412" s="221"/>
      <c r="CD412" s="50"/>
      <c r="CE412" s="50"/>
      <c r="CF412" s="50"/>
      <c r="CG412" s="50"/>
      <c r="CI412" s="50"/>
      <c r="CJ412" s="50"/>
    </row>
    <row r="413" spans="64:88" ht="29.25" customHeight="1" x14ac:dyDescent="0.25">
      <c r="BL413" s="149"/>
      <c r="BM413" s="222"/>
      <c r="BQ413" s="221"/>
      <c r="BR413" s="50"/>
      <c r="BS413" s="50"/>
      <c r="BT413" s="50"/>
      <c r="BU413" s="50"/>
      <c r="BV413" s="50"/>
      <c r="BY413" s="50"/>
      <c r="BZ413" s="50"/>
      <c r="CA413" s="50"/>
      <c r="CB413" s="50"/>
      <c r="CC413" s="221"/>
      <c r="CD413" s="50"/>
      <c r="CE413" s="50"/>
      <c r="CF413" s="50"/>
      <c r="CG413" s="50"/>
      <c r="CI413" s="50"/>
      <c r="CJ413" s="50"/>
    </row>
    <row r="414" spans="64:88" ht="29.25" customHeight="1" x14ac:dyDescent="0.25">
      <c r="BL414" s="149"/>
      <c r="BM414" s="222"/>
      <c r="BQ414" s="221"/>
      <c r="BR414" s="50"/>
      <c r="BS414" s="50"/>
      <c r="BT414" s="50"/>
      <c r="BU414" s="50"/>
      <c r="BV414" s="50"/>
      <c r="BY414" s="50"/>
      <c r="BZ414" s="50"/>
      <c r="CA414" s="50"/>
      <c r="CB414" s="50"/>
      <c r="CC414" s="221"/>
      <c r="CD414" s="50"/>
      <c r="CE414" s="50"/>
      <c r="CF414" s="50"/>
      <c r="CG414" s="50"/>
      <c r="CI414" s="50"/>
      <c r="CJ414" s="50"/>
    </row>
    <row r="415" spans="64:88" ht="29.25" customHeight="1" x14ac:dyDescent="0.25">
      <c r="BL415" s="149"/>
      <c r="BM415" s="222"/>
      <c r="BQ415" s="221"/>
      <c r="BR415" s="50"/>
      <c r="BS415" s="50"/>
      <c r="BT415" s="50"/>
      <c r="BU415" s="50"/>
      <c r="BV415" s="50"/>
      <c r="BY415" s="50"/>
      <c r="BZ415" s="50"/>
      <c r="CA415" s="50"/>
      <c r="CB415" s="50"/>
      <c r="CC415" s="221"/>
      <c r="CD415" s="50"/>
      <c r="CE415" s="50"/>
      <c r="CF415" s="50"/>
      <c r="CG415" s="50"/>
      <c r="CI415" s="50"/>
      <c r="CJ415" s="50"/>
    </row>
    <row r="416" spans="64:88" ht="29.25" customHeight="1" x14ac:dyDescent="0.25">
      <c r="BL416" s="149"/>
      <c r="BM416" s="222"/>
    </row>
    <row r="417" spans="64:65" ht="29.25" customHeight="1" x14ac:dyDescent="0.25">
      <c r="BL417" s="149"/>
      <c r="BM417" s="222"/>
    </row>
    <row r="418" spans="64:65" ht="29.25" customHeight="1" x14ac:dyDescent="0.25">
      <c r="BL418" s="149"/>
      <c r="BM418" s="222"/>
    </row>
    <row r="419" spans="64:65" ht="29.25" customHeight="1" x14ac:dyDescent="0.25">
      <c r="BL419" s="149"/>
      <c r="BM419" s="222"/>
    </row>
    <row r="420" spans="64:65" ht="29.25" customHeight="1" x14ac:dyDescent="0.25">
      <c r="BL420" s="149"/>
      <c r="BM420" s="222"/>
    </row>
    <row r="421" spans="64:65" ht="29.25" customHeight="1" x14ac:dyDescent="0.25">
      <c r="BL421" s="149"/>
      <c r="BM421" s="222"/>
    </row>
    <row r="422" spans="64:65" ht="29.25" customHeight="1" x14ac:dyDescent="0.25">
      <c r="BL422" s="149"/>
      <c r="BM422" s="222"/>
    </row>
    <row r="423" spans="64:65" ht="29.25" customHeight="1" x14ac:dyDescent="0.25">
      <c r="BL423" s="149"/>
      <c r="BM423" s="222"/>
    </row>
    <row r="424" spans="64:65" ht="29.25" customHeight="1" x14ac:dyDescent="0.25">
      <c r="BL424" s="149"/>
      <c r="BM424" s="222"/>
    </row>
    <row r="425" spans="64:65" ht="29.25" customHeight="1" x14ac:dyDescent="0.25">
      <c r="BL425" s="149"/>
      <c r="BM425" s="222"/>
    </row>
    <row r="426" spans="64:65" ht="29.25" customHeight="1" x14ac:dyDescent="0.25">
      <c r="BL426" s="149"/>
      <c r="BM426" s="222"/>
    </row>
    <row r="427" spans="64:65" ht="29.25" customHeight="1" x14ac:dyDescent="0.25">
      <c r="BL427" s="149"/>
      <c r="BM427" s="222"/>
    </row>
    <row r="428" spans="64:65" ht="29.25" customHeight="1" x14ac:dyDescent="0.25">
      <c r="BL428" s="149"/>
      <c r="BM428" s="222"/>
    </row>
    <row r="429" spans="64:65" ht="29.25" customHeight="1" x14ac:dyDescent="0.25">
      <c r="BL429" s="149"/>
      <c r="BM429" s="222"/>
    </row>
    <row r="430" spans="64:65" ht="29.25" customHeight="1" x14ac:dyDescent="0.25">
      <c r="BL430" s="149"/>
      <c r="BM430" s="222"/>
    </row>
    <row r="431" spans="64:65" ht="29.25" customHeight="1" x14ac:dyDescent="0.25">
      <c r="BL431" s="149"/>
      <c r="BM431" s="222"/>
    </row>
    <row r="432" spans="64:65" ht="29.25" customHeight="1" x14ac:dyDescent="0.25">
      <c r="BL432" s="149"/>
      <c r="BM432" s="222"/>
    </row>
    <row r="433" spans="64:65" ht="29.25" customHeight="1" x14ac:dyDescent="0.25">
      <c r="BL433" s="149"/>
      <c r="BM433" s="222"/>
    </row>
    <row r="434" spans="64:65" ht="29.25" customHeight="1" x14ac:dyDescent="0.25">
      <c r="BL434" s="149"/>
      <c r="BM434" s="222"/>
    </row>
    <row r="435" spans="64:65" ht="29.25" customHeight="1" x14ac:dyDescent="0.25">
      <c r="BL435" s="149"/>
      <c r="BM435" s="222"/>
    </row>
    <row r="436" spans="64:65" ht="29.25" customHeight="1" x14ac:dyDescent="0.25">
      <c r="BL436" s="149"/>
      <c r="BM436" s="222"/>
    </row>
    <row r="437" spans="64:65" ht="29.25" customHeight="1" x14ac:dyDescent="0.25">
      <c r="BL437" s="149"/>
      <c r="BM437" s="222"/>
    </row>
    <row r="438" spans="64:65" ht="29.25" customHeight="1" x14ac:dyDescent="0.25">
      <c r="BL438" s="149"/>
      <c r="BM438" s="222"/>
    </row>
    <row r="439" spans="64:65" ht="29.25" customHeight="1" x14ac:dyDescent="0.25">
      <c r="BL439" s="149"/>
      <c r="BM439" s="222"/>
    </row>
    <row r="440" spans="64:65" ht="29.25" customHeight="1" x14ac:dyDescent="0.25">
      <c r="BL440" s="149"/>
      <c r="BM440" s="222"/>
    </row>
    <row r="441" spans="64:65" ht="29.25" customHeight="1" x14ac:dyDescent="0.25">
      <c r="BL441" s="149"/>
      <c r="BM441" s="222"/>
    </row>
    <row r="442" spans="64:65" ht="29.25" customHeight="1" x14ac:dyDescent="0.25">
      <c r="BL442" s="149"/>
      <c r="BM442" s="222"/>
    </row>
    <row r="443" spans="64:65" ht="29.25" customHeight="1" x14ac:dyDescent="0.25">
      <c r="BL443" s="149"/>
      <c r="BM443" s="222"/>
    </row>
    <row r="444" spans="64:65" ht="29.25" customHeight="1" x14ac:dyDescent="0.25">
      <c r="BL444" s="149"/>
      <c r="BM444" s="222"/>
    </row>
    <row r="445" spans="64:65" ht="29.25" customHeight="1" x14ac:dyDescent="0.25">
      <c r="BL445" s="149"/>
      <c r="BM445" s="222"/>
    </row>
    <row r="446" spans="64:65" ht="29.25" customHeight="1" x14ac:dyDescent="0.25">
      <c r="BL446" s="149"/>
      <c r="BM446" s="222"/>
    </row>
    <row r="447" spans="64:65" ht="29.25" customHeight="1" x14ac:dyDescent="0.25">
      <c r="BL447" s="149"/>
      <c r="BM447" s="222"/>
    </row>
    <row r="448" spans="64:65" ht="29.25" customHeight="1" x14ac:dyDescent="0.25">
      <c r="BL448" s="149"/>
      <c r="BM448" s="222"/>
    </row>
    <row r="449" spans="64:65" ht="29.25" customHeight="1" x14ac:dyDescent="0.25">
      <c r="BL449" s="149"/>
      <c r="BM449" s="222"/>
    </row>
    <row r="450" spans="64:65" ht="29.25" customHeight="1" x14ac:dyDescent="0.25">
      <c r="BL450" s="149"/>
      <c r="BM450" s="222"/>
    </row>
    <row r="451" spans="64:65" ht="29.25" customHeight="1" x14ac:dyDescent="0.25">
      <c r="BL451" s="149"/>
      <c r="BM451" s="222"/>
    </row>
    <row r="452" spans="64:65" ht="29.25" customHeight="1" x14ac:dyDescent="0.25">
      <c r="BL452" s="149"/>
      <c r="BM452" s="222"/>
    </row>
    <row r="453" spans="64:65" ht="29.25" customHeight="1" x14ac:dyDescent="0.25">
      <c r="BL453" s="149"/>
      <c r="BM453" s="222"/>
    </row>
    <row r="454" spans="64:65" ht="29.25" customHeight="1" x14ac:dyDescent="0.25">
      <c r="BL454" s="149"/>
      <c r="BM454" s="222"/>
    </row>
    <row r="455" spans="64:65" ht="29.25" customHeight="1" x14ac:dyDescent="0.25">
      <c r="BL455" s="149"/>
      <c r="BM455" s="222"/>
    </row>
    <row r="456" spans="64:65" ht="29.25" customHeight="1" x14ac:dyDescent="0.25">
      <c r="BL456" s="149"/>
      <c r="BM456" s="222"/>
    </row>
    <row r="457" spans="64:65" ht="29.25" customHeight="1" x14ac:dyDescent="0.25">
      <c r="BL457" s="149"/>
      <c r="BM457" s="222"/>
    </row>
    <row r="458" spans="64:65" ht="29.25" customHeight="1" x14ac:dyDescent="0.25">
      <c r="BL458" s="149"/>
      <c r="BM458" s="222"/>
    </row>
    <row r="459" spans="64:65" ht="29.25" customHeight="1" x14ac:dyDescent="0.25">
      <c r="BL459" s="149"/>
      <c r="BM459" s="222"/>
    </row>
    <row r="460" spans="64:65" ht="29.25" customHeight="1" x14ac:dyDescent="0.25">
      <c r="BL460" s="149"/>
      <c r="BM460" s="222"/>
    </row>
    <row r="461" spans="64:65" ht="29.25" customHeight="1" x14ac:dyDescent="0.25">
      <c r="BL461" s="149"/>
      <c r="BM461" s="222"/>
    </row>
    <row r="462" spans="64:65" ht="29.25" customHeight="1" x14ac:dyDescent="0.25">
      <c r="BL462" s="149"/>
      <c r="BM462" s="222"/>
    </row>
    <row r="463" spans="64:65" ht="29.25" customHeight="1" x14ac:dyDescent="0.25">
      <c r="BL463" s="149"/>
      <c r="BM463" s="222"/>
    </row>
    <row r="464" spans="64:65" ht="29.25" customHeight="1" x14ac:dyDescent="0.25">
      <c r="BL464" s="149"/>
      <c r="BM464" s="222"/>
    </row>
    <row r="465" spans="64:65" ht="29.25" customHeight="1" x14ac:dyDescent="0.25">
      <c r="BL465" s="149"/>
      <c r="BM465" s="222"/>
    </row>
    <row r="466" spans="64:65" ht="29.25" customHeight="1" x14ac:dyDescent="0.25">
      <c r="BL466" s="149"/>
      <c r="BM466" s="222"/>
    </row>
    <row r="467" spans="64:65" ht="29.25" customHeight="1" x14ac:dyDescent="0.25">
      <c r="BL467" s="149"/>
      <c r="BM467" s="222"/>
    </row>
    <row r="468" spans="64:65" ht="29.25" customHeight="1" x14ac:dyDescent="0.25">
      <c r="BL468" s="149"/>
      <c r="BM468" s="222"/>
    </row>
    <row r="469" spans="64:65" ht="29.25" customHeight="1" x14ac:dyDescent="0.25">
      <c r="BL469" s="149"/>
      <c r="BM469" s="222"/>
    </row>
    <row r="470" spans="64:65" ht="29.25" customHeight="1" x14ac:dyDescent="0.25">
      <c r="BL470" s="149"/>
      <c r="BM470" s="222"/>
    </row>
    <row r="471" spans="64:65" ht="29.25" customHeight="1" x14ac:dyDescent="0.25">
      <c r="BL471" s="149"/>
      <c r="BM471" s="222"/>
    </row>
    <row r="472" spans="64:65" ht="29.25" customHeight="1" x14ac:dyDescent="0.25">
      <c r="BL472" s="149"/>
      <c r="BM472" s="222"/>
    </row>
    <row r="473" spans="64:65" ht="29.25" customHeight="1" x14ac:dyDescent="0.25">
      <c r="BL473" s="149"/>
      <c r="BM473" s="222"/>
    </row>
    <row r="474" spans="64:65" ht="29.25" customHeight="1" x14ac:dyDescent="0.25">
      <c r="BL474" s="149"/>
      <c r="BM474" s="222"/>
    </row>
    <row r="475" spans="64:65" ht="29.25" customHeight="1" x14ac:dyDescent="0.25">
      <c r="BL475" s="149"/>
      <c r="BM475" s="222"/>
    </row>
    <row r="476" spans="64:65" ht="29.25" customHeight="1" x14ac:dyDescent="0.25">
      <c r="BL476" s="149"/>
      <c r="BM476" s="222"/>
    </row>
    <row r="477" spans="64:65" ht="29.25" customHeight="1" x14ac:dyDescent="0.25">
      <c r="BL477" s="149"/>
      <c r="BM477" s="222"/>
    </row>
    <row r="478" spans="64:65" ht="29.25" customHeight="1" x14ac:dyDescent="0.25">
      <c r="BL478" s="149"/>
      <c r="BM478" s="222"/>
    </row>
    <row r="479" spans="64:65" ht="29.25" customHeight="1" x14ac:dyDescent="0.25">
      <c r="BL479" s="149"/>
      <c r="BM479" s="222"/>
    </row>
    <row r="480" spans="64:65" ht="29.25" customHeight="1" x14ac:dyDescent="0.25">
      <c r="BL480" s="149"/>
      <c r="BM480" s="222"/>
    </row>
    <row r="481" spans="64:65" ht="29.25" customHeight="1" x14ac:dyDescent="0.25">
      <c r="BL481" s="149"/>
      <c r="BM481" s="222"/>
    </row>
    <row r="482" spans="64:65" ht="29.25" customHeight="1" x14ac:dyDescent="0.25">
      <c r="BL482" s="149"/>
      <c r="BM482" s="222"/>
    </row>
    <row r="483" spans="64:65" ht="29.25" customHeight="1" x14ac:dyDescent="0.25">
      <c r="BL483" s="149"/>
      <c r="BM483" s="222"/>
    </row>
    <row r="484" spans="64:65" ht="29.25" customHeight="1" x14ac:dyDescent="0.25">
      <c r="BL484" s="149"/>
      <c r="BM484" s="222"/>
    </row>
    <row r="485" spans="64:65" ht="29.25" customHeight="1" x14ac:dyDescent="0.25">
      <c r="BL485" s="149"/>
      <c r="BM485" s="222"/>
    </row>
    <row r="486" spans="64:65" ht="29.25" customHeight="1" x14ac:dyDescent="0.25">
      <c r="BL486" s="149"/>
      <c r="BM486" s="222"/>
    </row>
    <row r="487" spans="64:65" ht="29.25" customHeight="1" x14ac:dyDescent="0.25">
      <c r="BL487" s="149"/>
      <c r="BM487" s="222"/>
    </row>
    <row r="488" spans="64:65" ht="29.25" customHeight="1" x14ac:dyDescent="0.25">
      <c r="BL488" s="149"/>
      <c r="BM488" s="222"/>
    </row>
    <row r="489" spans="64:65" ht="29.25" customHeight="1" x14ac:dyDescent="0.25">
      <c r="BL489" s="149"/>
      <c r="BM489" s="222"/>
    </row>
    <row r="490" spans="64:65" ht="29.25" customHeight="1" x14ac:dyDescent="0.25">
      <c r="BL490" s="149"/>
      <c r="BM490" s="222"/>
    </row>
    <row r="491" spans="64:65" ht="29.25" customHeight="1" x14ac:dyDescent="0.25">
      <c r="BL491" s="149"/>
      <c r="BM491" s="222"/>
    </row>
    <row r="492" spans="64:65" ht="29.25" customHeight="1" x14ac:dyDescent="0.25">
      <c r="BL492" s="149"/>
      <c r="BM492" s="222"/>
    </row>
    <row r="493" spans="64:65" ht="29.25" customHeight="1" x14ac:dyDescent="0.25">
      <c r="BL493" s="149"/>
      <c r="BM493" s="222"/>
    </row>
    <row r="494" spans="64:65" ht="29.25" customHeight="1" x14ac:dyDescent="0.25">
      <c r="BL494" s="149"/>
      <c r="BM494" s="222"/>
    </row>
    <row r="495" spans="64:65" ht="29.25" customHeight="1" x14ac:dyDescent="0.25">
      <c r="BL495" s="149"/>
      <c r="BM495" s="222"/>
    </row>
    <row r="496" spans="64:65" ht="29.25" customHeight="1" x14ac:dyDescent="0.25">
      <c r="BL496" s="149"/>
      <c r="BM496" s="222"/>
    </row>
    <row r="497" spans="64:65" ht="29.25" customHeight="1" x14ac:dyDescent="0.25">
      <c r="BL497" s="149"/>
      <c r="BM497" s="222"/>
    </row>
    <row r="498" spans="64:65" ht="29.25" customHeight="1" x14ac:dyDescent="0.25">
      <c r="BL498" s="149"/>
      <c r="BM498" s="222"/>
    </row>
    <row r="499" spans="64:65" ht="29.25" customHeight="1" x14ac:dyDescent="0.25">
      <c r="BL499" s="149"/>
      <c r="BM499" s="222"/>
    </row>
    <row r="500" spans="64:65" ht="29.25" customHeight="1" x14ac:dyDescent="0.25">
      <c r="BL500" s="149"/>
      <c r="BM500" s="222"/>
    </row>
    <row r="501" spans="64:65" ht="29.25" customHeight="1" x14ac:dyDescent="0.25">
      <c r="BL501" s="149"/>
      <c r="BM501" s="222"/>
    </row>
    <row r="502" spans="64:65" ht="29.25" customHeight="1" x14ac:dyDescent="0.25">
      <c r="BL502" s="149"/>
      <c r="BM502" s="222"/>
    </row>
    <row r="503" spans="64:65" ht="29.25" customHeight="1" x14ac:dyDescent="0.25">
      <c r="BL503" s="149"/>
      <c r="BM503" s="222"/>
    </row>
    <row r="504" spans="64:65" ht="29.25" customHeight="1" x14ac:dyDescent="0.25">
      <c r="BL504" s="149"/>
      <c r="BM504" s="222"/>
    </row>
    <row r="505" spans="64:65" ht="29.25" customHeight="1" x14ac:dyDescent="0.25">
      <c r="BL505" s="149"/>
      <c r="BM505" s="222"/>
    </row>
    <row r="506" spans="64:65" ht="29.25" customHeight="1" x14ac:dyDescent="0.25">
      <c r="BL506" s="149"/>
      <c r="BM506" s="222"/>
    </row>
    <row r="507" spans="64:65" ht="29.25" customHeight="1" x14ac:dyDescent="0.25">
      <c r="BL507" s="149"/>
      <c r="BM507" s="222"/>
    </row>
    <row r="508" spans="64:65" ht="29.25" customHeight="1" x14ac:dyDescent="0.25">
      <c r="BL508" s="149"/>
      <c r="BM508" s="222"/>
    </row>
    <row r="509" spans="64:65" ht="29.25" customHeight="1" x14ac:dyDescent="0.25">
      <c r="BL509" s="149"/>
      <c r="BM509" s="222"/>
    </row>
    <row r="510" spans="64:65" ht="29.25" customHeight="1" x14ac:dyDescent="0.25">
      <c r="BL510" s="149"/>
      <c r="BM510" s="222"/>
    </row>
    <row r="511" spans="64:65" ht="29.25" customHeight="1" x14ac:dyDescent="0.25">
      <c r="BL511" s="149"/>
      <c r="BM511" s="222"/>
    </row>
    <row r="512" spans="64:65" ht="29.25" customHeight="1" x14ac:dyDescent="0.25">
      <c r="BL512" s="149"/>
      <c r="BM512" s="222"/>
    </row>
    <row r="513" spans="64:65" ht="29.25" customHeight="1" x14ac:dyDescent="0.25">
      <c r="BL513" s="149"/>
      <c r="BM513" s="222"/>
    </row>
    <row r="514" spans="64:65" ht="29.25" customHeight="1" x14ac:dyDescent="0.25">
      <c r="BL514" s="149"/>
      <c r="BM514" s="222"/>
    </row>
    <row r="515" spans="64:65" ht="29.25" customHeight="1" x14ac:dyDescent="0.25">
      <c r="BL515" s="149"/>
      <c r="BM515" s="222"/>
    </row>
    <row r="516" spans="64:65" ht="29.25" customHeight="1" x14ac:dyDescent="0.25">
      <c r="BL516" s="149"/>
      <c r="BM516" s="222"/>
    </row>
    <row r="517" spans="64:65" ht="29.25" customHeight="1" x14ac:dyDescent="0.25">
      <c r="BL517" s="149"/>
      <c r="BM517" s="222"/>
    </row>
    <row r="518" spans="64:65" ht="29.25" customHeight="1" x14ac:dyDescent="0.25">
      <c r="BL518" s="149"/>
      <c r="BM518" s="222"/>
    </row>
    <row r="519" spans="64:65" ht="29.25" customHeight="1" x14ac:dyDescent="0.25">
      <c r="BL519" s="149"/>
      <c r="BM519" s="222"/>
    </row>
    <row r="520" spans="64:65" ht="29.25" customHeight="1" x14ac:dyDescent="0.25">
      <c r="BL520" s="149"/>
      <c r="BM520" s="222"/>
    </row>
    <row r="521" spans="64:65" ht="29.25" customHeight="1" x14ac:dyDescent="0.25">
      <c r="BL521" s="149"/>
      <c r="BM521" s="222"/>
    </row>
    <row r="522" spans="64:65" ht="29.25" customHeight="1" x14ac:dyDescent="0.25">
      <c r="BL522" s="149"/>
      <c r="BM522" s="222"/>
    </row>
    <row r="523" spans="64:65" ht="29.25" customHeight="1" x14ac:dyDescent="0.25">
      <c r="BL523" s="149"/>
      <c r="BM523" s="222"/>
    </row>
    <row r="524" spans="64:65" ht="29.25" customHeight="1" x14ac:dyDescent="0.25">
      <c r="BL524" s="149"/>
      <c r="BM524" s="222"/>
    </row>
    <row r="525" spans="64:65" ht="29.25" customHeight="1" x14ac:dyDescent="0.25">
      <c r="BL525" s="149"/>
      <c r="BM525" s="222"/>
    </row>
    <row r="526" spans="64:65" ht="29.25" customHeight="1" x14ac:dyDescent="0.25">
      <c r="BL526" s="149"/>
      <c r="BM526" s="222"/>
    </row>
    <row r="527" spans="64:65" ht="29.25" customHeight="1" x14ac:dyDescent="0.25">
      <c r="BL527" s="149"/>
      <c r="BM527" s="222"/>
    </row>
    <row r="528" spans="64:65" ht="29.25" customHeight="1" x14ac:dyDescent="0.25">
      <c r="BL528" s="149"/>
      <c r="BM528" s="222"/>
    </row>
    <row r="529" spans="64:65" ht="29.25" customHeight="1" x14ac:dyDescent="0.25">
      <c r="BL529" s="149"/>
      <c r="BM529" s="222"/>
    </row>
    <row r="530" spans="64:65" ht="29.25" customHeight="1" x14ac:dyDescent="0.25">
      <c r="BL530" s="149"/>
      <c r="BM530" s="222"/>
    </row>
    <row r="531" spans="64:65" ht="29.25" customHeight="1" x14ac:dyDescent="0.25">
      <c r="BL531" s="149"/>
      <c r="BM531" s="222"/>
    </row>
    <row r="532" spans="64:65" ht="29.25" customHeight="1" x14ac:dyDescent="0.25">
      <c r="BL532" s="149"/>
      <c r="BM532" s="222"/>
    </row>
    <row r="533" spans="64:65" ht="29.25" customHeight="1" x14ac:dyDescent="0.25">
      <c r="BL533" s="149"/>
      <c r="BM533" s="222"/>
    </row>
    <row r="534" spans="64:65" ht="29.25" customHeight="1" x14ac:dyDescent="0.25">
      <c r="BL534" s="149"/>
      <c r="BM534" s="222"/>
    </row>
    <row r="535" spans="64:65" ht="29.25" customHeight="1" x14ac:dyDescent="0.25">
      <c r="BL535" s="149"/>
      <c r="BM535" s="222"/>
    </row>
    <row r="536" spans="64:65" ht="29.25" customHeight="1" x14ac:dyDescent="0.25">
      <c r="BL536" s="149"/>
      <c r="BM536" s="222"/>
    </row>
    <row r="537" spans="64:65" ht="29.25" customHeight="1" x14ac:dyDescent="0.25">
      <c r="BL537" s="149"/>
      <c r="BM537" s="222"/>
    </row>
    <row r="538" spans="64:65" ht="29.25" customHeight="1" x14ac:dyDescent="0.25">
      <c r="BL538" s="149"/>
      <c r="BM538" s="222"/>
    </row>
    <row r="539" spans="64:65" ht="29.25" customHeight="1" x14ac:dyDescent="0.25">
      <c r="BL539" s="149"/>
      <c r="BM539" s="222"/>
    </row>
    <row r="540" spans="64:65" ht="29.25" customHeight="1" x14ac:dyDescent="0.25">
      <c r="BL540" s="149"/>
      <c r="BM540" s="222"/>
    </row>
  </sheetData>
  <sheetProtection sort="0" autoFilter="0" pivotTables="0"/>
  <conditionalFormatting sqref="B362:C1048576 B294:C360 B2:C2 B286:B293">
    <cfRule type="iconSet" priority="11">
      <iconSet iconSet="4TrafficLights" showValue="0" reverse="1">
        <cfvo type="percent" val="0"/>
        <cfvo type="num" val="2"/>
        <cfvo type="num" val="3"/>
        <cfvo type="num" val="4"/>
      </iconSet>
    </cfRule>
  </conditionalFormatting>
  <conditionalFormatting sqref="W2 BQ2:BS2 BU2:BW2 CB2:CC2 BX2:CA3 BU4:BW360 BY4:CA360 W348:W360 AA348:AB360 BR348:BS360">
    <cfRule type="containsBlanks" dxfId="325" priority="10">
      <formula>LEN(TRIM(W2))=0</formula>
    </cfRule>
  </conditionalFormatting>
  <conditionalFormatting sqref="CD2">
    <cfRule type="containsBlanks" dxfId="324" priority="9">
      <formula>LEN(TRIM(CD2))=0</formula>
    </cfRule>
  </conditionalFormatting>
  <conditionalFormatting sqref="B283:B285 B3:C3">
    <cfRule type="iconSet" priority="8">
      <iconSet iconSet="4TrafficLights" showValue="0" reverse="1">
        <cfvo type="percent" val="0"/>
        <cfvo type="num" val="2"/>
        <cfvo type="num" val="3"/>
        <cfvo type="num" val="4"/>
      </iconSet>
    </cfRule>
  </conditionalFormatting>
  <conditionalFormatting sqref="BU3:BW3 BQ3:BS3 W3:AB3">
    <cfRule type="containsBlanks" dxfId="323" priority="7">
      <formula>LEN(TRIM(W3))=0</formula>
    </cfRule>
  </conditionalFormatting>
  <conditionalFormatting sqref="W4:AB293 W294:W347 AA294:AB347 BR4:BS347">
    <cfRule type="containsBlanks" dxfId="322" priority="6">
      <formula>LEN(TRIM(W4))=0</formula>
    </cfRule>
  </conditionalFormatting>
  <conditionalFormatting sqref="BQ4:BQ360">
    <cfRule type="cellIs" dxfId="321" priority="5" operator="equal">
      <formula>""</formula>
    </cfRule>
  </conditionalFormatting>
  <conditionalFormatting sqref="B4:B282">
    <cfRule type="iconSet" priority="12">
      <iconSet iconSet="4TrafficLights" showValue="0" reverse="1">
        <cfvo type="percent" val="0"/>
        <cfvo type="num" val="2"/>
        <cfvo type="num" val="3"/>
        <cfvo type="num" val="4"/>
      </iconSet>
    </cfRule>
  </conditionalFormatting>
  <conditionalFormatting sqref="Q4:S293 CE4:CF4 CE5:CE293 CF5:CF360">
    <cfRule type="cellIs" dxfId="320" priority="4" operator="equal">
      <formula>""</formula>
    </cfRule>
  </conditionalFormatting>
  <conditionalFormatting sqref="BU4:BW360 BY4:CA360">
    <cfRule type="cellIs" dxfId="319" priority="3" operator="equal">
      <formula>0</formula>
    </cfRule>
  </conditionalFormatting>
  <conditionalFormatting sqref="C4:C168 C170:C293">
    <cfRule type="iconSet" priority="2">
      <iconSet iconSet="4TrafficLights" showValue="0" reverse="1">
        <cfvo type="percent" val="0"/>
        <cfvo type="num" val="2"/>
        <cfvo type="num" val="3"/>
        <cfvo type="num" val="4"/>
      </iconSet>
    </cfRule>
  </conditionalFormatting>
  <conditionalFormatting sqref="C169">
    <cfRule type="iconSet" priority="1">
      <iconSet iconSet="4TrafficLights" showValue="0" reverse="1">
        <cfvo type="percent" val="0"/>
        <cfvo type="num" val="2"/>
        <cfvo type="num" val="3"/>
        <cfvo type="num" val="4"/>
      </iconSet>
    </cfRule>
  </conditionalFormatting>
  <dataValidations count="4">
    <dataValidation allowBlank="1" showInputMessage="1" showErrorMessage="1" promptTitle="Contrôle" prompt="Les informations ci-dessous sont intégrées au publipostage de la convention. _x000a_En cas de problème, la cellule est affichée en rose. Vous devez alors consulter la feuille 1, 2, 3 ou 4 pour ajouter l'information manquante. _x000a_" sqref="CE2:CF2 F2:H2 P2:CC2" xr:uid="{000803BC-0D0F-4DFC-BC82-9064C78DBF2E}"/>
    <dataValidation type="list" allowBlank="1" showInputMessage="1" showErrorMessage="1" prompt="Etat de gestion des convention : à Editer (filtre pour le publipostage), éditée, Signée)_x000a__x000a_SEULES LES CONVENTIONS EN VERT PEUVENT ÊTRE EDITEES !_x000a_ " sqref="C4:C293" xr:uid="{CB508898-F1EE-4C5C-9931-D758B720BB11}">
      <formula1>EtatMailing3</formula1>
    </dataValidation>
    <dataValidation allowBlank="1" showInputMessage="1" showErrorMessage="1" promptTitle="Précision d'affichage" prompt="Etat final de la demande. _x000a__x000a_Pour etre en &quot;vert&quot;, un demandeur doit :_x000a_- avoir un dossier complet (PJ) _x000a_- avoir un avis positif de la commission_x000a__x000a_SEULES LES CONVENTIONS EN VERT PEUVENT ÊTRE EDITEES !_x000a_" sqref="B289:B293" xr:uid="{3F163AA1-A817-4522-AC90-C05B75BA88AD}"/>
    <dataValidation allowBlank="1" showInputMessage="1" showErrorMessage="1" promptTitle="Contrôle" prompt="1- L'édition des conventions doivent être fait au plus tard 15 jours avant la date de démarrage effectif du télétravail_x000a__x000a_2- La campagne peut se cloturer lorsque toutes les conventions ont été reçues signées. _x000a_" sqref="C2:D2" xr:uid="{D4CD92E5-1B57-43D0-9778-D65D60E85D5E}"/>
  </dataValidations>
  <hyperlinks>
    <hyperlink ref="CD4" r:id="rId1" xr:uid="{D72F69FD-9F73-4D31-86B3-955ED38211D7}"/>
    <hyperlink ref="CD7" r:id="rId2" xr:uid="{D00FD29B-83F3-49EF-A1D4-1B3F3E0E417D}"/>
    <hyperlink ref="CD27" r:id="rId3" xr:uid="{F212E5CD-B792-4DF8-BFC0-720DBD35B0A9}"/>
    <hyperlink ref="CD39" r:id="rId4" xr:uid="{9BB30813-47D3-4EE8-AEF7-C07B356D450F}"/>
    <hyperlink ref="CD47" r:id="rId5" xr:uid="{869B4975-CB80-41A3-8B41-0CA79079A772}"/>
    <hyperlink ref="CD48" r:id="rId6" xr:uid="{AC999CC9-7A1B-49F4-8BBC-1459BE600435}"/>
    <hyperlink ref="CD49" r:id="rId7" xr:uid="{FF34B9BE-5019-40FC-BE67-44386CAB1ED9}"/>
    <hyperlink ref="CD76" r:id="rId8" xr:uid="{44187695-709D-4838-A153-CFA0940653AD}"/>
    <hyperlink ref="CD94" r:id="rId9" xr:uid="{C5718F0C-4775-4940-8C9C-0A412F606212}"/>
    <hyperlink ref="CD116" r:id="rId10" xr:uid="{68B4394E-F40F-4C12-9C36-12B3275FC3F5}"/>
    <hyperlink ref="CD155" r:id="rId11" xr:uid="{EE351528-0FE9-49D3-8358-88F24A845B3A}"/>
    <hyperlink ref="CD157" r:id="rId12" xr:uid="{02078982-C664-419D-AAEF-908E3DE89ABE}"/>
    <hyperlink ref="CD223" r:id="rId13" xr:uid="{54FC7AB1-92CA-4C38-B330-38973A75FF82}"/>
    <hyperlink ref="CD231" r:id="rId14" xr:uid="{5D164816-684D-4D26-B095-5CA1E356EA2A}"/>
    <hyperlink ref="CD105" r:id="rId15" xr:uid="{6BE6F84A-7C33-4E46-A4D5-A61353D901E3}"/>
    <hyperlink ref="CD136" r:id="rId16" xr:uid="{933A92D9-6B1A-4AA7-BBAA-BC54463D4463}"/>
    <hyperlink ref="CD190" r:id="rId17" xr:uid="{25DD7268-0B3E-420C-BBC9-4B7F8DA7A83B}"/>
    <hyperlink ref="CD191" r:id="rId18" xr:uid="{5E10A817-7605-43FF-BD39-286F5FE3A523}"/>
    <hyperlink ref="CD193" r:id="rId19" xr:uid="{B446A84E-02EC-4C0A-A4D4-CAF97B361FF6}"/>
    <hyperlink ref="CD195" r:id="rId20" xr:uid="{1C71D3D9-412C-43CF-80FC-82417CE7A996}"/>
    <hyperlink ref="CD216" r:id="rId21" xr:uid="{1FAD16CB-3C15-4DB9-9742-8C50AA3D6111}"/>
    <hyperlink ref="CD262" r:id="rId22" xr:uid="{80CA7B6F-2E65-4BBD-9E80-DA1AEB9FE159}"/>
    <hyperlink ref="CD32" r:id="rId23" xr:uid="{4C9D3A0A-5D41-4FF5-BAAA-224A284DC24E}"/>
    <hyperlink ref="CD36" r:id="rId24" xr:uid="{BA9F82F9-31BA-42BB-A10B-6DA1E1CEE182}"/>
    <hyperlink ref="CD51" r:id="rId25" xr:uid="{A74DAE7C-2B71-45FA-8FAA-C37411FD8A7D}"/>
    <hyperlink ref="CD86" r:id="rId26" xr:uid="{3CD563AB-710F-4B7F-B386-32C262FED6D0}"/>
    <hyperlink ref="CD119" r:id="rId27" xr:uid="{203643C8-D6A8-4BC9-868D-4A6D04517EF8}"/>
    <hyperlink ref="CD131" r:id="rId28" xr:uid="{CF9ABECE-5A2A-4DD3-840E-5B38BA635075}"/>
    <hyperlink ref="CD172" r:id="rId29" xr:uid="{12A49841-D233-4B54-9D27-9A9C40BA9925}"/>
    <hyperlink ref="CD179" r:id="rId30" xr:uid="{57252722-4DEB-452B-A4AA-5504DD26D3DC}"/>
    <hyperlink ref="CD197" r:id="rId31" xr:uid="{FCFB32F5-E5B8-4C2D-BFF3-DDB4F65E25A2}"/>
    <hyperlink ref="CD212" r:id="rId32" xr:uid="{C443467C-4E9D-4FFB-BE26-A1BEFAB8592B}"/>
    <hyperlink ref="CD214" r:id="rId33" xr:uid="{B6477630-3D3F-4BD3-849F-C71F8825F6F0}"/>
    <hyperlink ref="CD224" r:id="rId34" xr:uid="{BD6B56C7-FC0C-4E3F-AE07-234DCA3CFF63}"/>
    <hyperlink ref="CD54" r:id="rId35" xr:uid="{55AFE6A8-4968-4A98-96EF-536A3E8941CA}"/>
    <hyperlink ref="CD213" r:id="rId36" xr:uid="{ACCCCF72-6BA3-41F5-9A92-64522C73E550}"/>
    <hyperlink ref="CD10" r:id="rId37" xr:uid="{EB8B6B47-A16A-461C-B10A-CC87ECE4821D}"/>
    <hyperlink ref="CD14" r:id="rId38" xr:uid="{68AFE56E-0B5A-4CD1-9BA4-DC59B046646F}"/>
    <hyperlink ref="CD21" r:id="rId39" xr:uid="{CF44BEEA-D035-40F3-8EE2-474D20FFE7F6}"/>
    <hyperlink ref="CD23" r:id="rId40" xr:uid="{0558537E-68EB-4C20-BC0D-FE40B2FC00B0}"/>
    <hyperlink ref="CD28" r:id="rId41" xr:uid="{F12E69C7-21F2-4673-8094-B5CEA2F44A93}"/>
    <hyperlink ref="CD33" r:id="rId42" xr:uid="{19D47ED2-1048-4451-8962-2A1DCAC8870E}"/>
    <hyperlink ref="CD37" r:id="rId43" xr:uid="{253F02DF-87DE-4CE8-84FE-2B6CB56F6A1F}"/>
    <hyperlink ref="CD42" r:id="rId44" xr:uid="{50A49184-5B2D-4709-BBAC-FFDFD5256FA9}"/>
    <hyperlink ref="CD52" r:id="rId45" xr:uid="{C20A6AC2-07CD-4E66-B547-247EBDFAC4F8}"/>
    <hyperlink ref="CD55" r:id="rId46" xr:uid="{D21D73FD-B6D6-4B3C-BA45-4B616327A17E}"/>
    <hyperlink ref="CD68" r:id="rId47" xr:uid="{4C15B039-F92C-4219-A2A0-09430813BE41}"/>
    <hyperlink ref="CD72" r:id="rId48" xr:uid="{9CA98B04-3AB3-4C5C-9D04-6CA0D9A3A8CD}"/>
    <hyperlink ref="CD78" r:id="rId49" xr:uid="{33BBFD01-23C3-4FA9-8D16-D16168A3116E}"/>
    <hyperlink ref="CD90" r:id="rId50" xr:uid="{3D2E6F9C-2CF0-4529-B09D-A035FE5873E1}"/>
    <hyperlink ref="CD93" r:id="rId51" xr:uid="{41705178-7FA3-4F02-A0CE-71AADB97B6A7}"/>
    <hyperlink ref="CD115" r:id="rId52" xr:uid="{E9E8AC8B-DD13-4993-B5EF-7B1DDB751429}"/>
    <hyperlink ref="CD117" r:id="rId53" xr:uid="{D71A86BE-A027-4378-940F-CC4F45480E52}"/>
    <hyperlink ref="CD120" r:id="rId54" xr:uid="{B085465A-4837-47F6-8502-547671420CA1}"/>
    <hyperlink ref="CD122" r:id="rId55" xr:uid="{E41F8962-636B-4FF0-8B3F-3D755AE9928D}"/>
    <hyperlink ref="CD127" r:id="rId56" xr:uid="{CC74CE7F-BDE5-4BFA-B0CF-8BB7698E8D17}"/>
    <hyperlink ref="CD132" r:id="rId57" xr:uid="{BD436605-7A6F-4526-A417-1CA8B739F614}"/>
    <hyperlink ref="CD133" r:id="rId58" xr:uid="{235AB75D-1493-4817-8A78-15D0AEDBF39F}"/>
    <hyperlink ref="CD139" r:id="rId59" xr:uid="{4C6D932B-E580-4049-9F74-ED472227DDEA}"/>
    <hyperlink ref="CD142" r:id="rId60" xr:uid="{E4CAA3E9-DEF1-4178-BCA7-507B6A4ED8BE}"/>
    <hyperlink ref="CD144" r:id="rId61" xr:uid="{F34ADC77-A480-4D8B-88A1-B9A979BC0BFC}"/>
    <hyperlink ref="CD151" r:id="rId62" xr:uid="{635D80E9-0EAD-4429-A9F3-78EBBB04F145}"/>
    <hyperlink ref="CD154" r:id="rId63" xr:uid="{7F4FC159-439B-4BF1-8F57-EE92103C08D5}"/>
    <hyperlink ref="CD199" r:id="rId64" xr:uid="{C0AE5629-451D-43DB-BBB1-5275CCDBDEF0}"/>
    <hyperlink ref="CD200" r:id="rId65" xr:uid="{1BA14809-C31B-4CC1-8FFF-1719BF0802E3}"/>
    <hyperlink ref="CD201" r:id="rId66" xr:uid="{335B0E6A-905F-4B2A-B6E3-4E832261B675}"/>
    <hyperlink ref="CD202" r:id="rId67" xr:uid="{CEEF6319-6DDA-42FE-B9C8-5FA930B8453A}"/>
    <hyperlink ref="CD206" r:id="rId68" xr:uid="{A1BFFF3C-FFC1-40E0-94EE-FACEF6464EDE}"/>
    <hyperlink ref="CD211" r:id="rId69" xr:uid="{4C1741B8-6CF1-45F9-AA42-C80E1B74E2A8}"/>
    <hyperlink ref="CD221" r:id="rId70" xr:uid="{9A33391B-7934-4866-B38F-50733C29BD61}"/>
    <hyperlink ref="CD233" r:id="rId71" xr:uid="{06ECD3FD-B683-4EAD-A37D-767E32EFEC85}"/>
    <hyperlink ref="CD234" r:id="rId72" xr:uid="{8904FC28-AE8C-4348-8BCB-3FC975ED3D23}"/>
    <hyperlink ref="CD9" r:id="rId73" xr:uid="{A4F68DA6-05B1-4C35-82C4-DE4DBD00C6A6}"/>
    <hyperlink ref="CD12" r:id="rId74" xr:uid="{E6C9F185-2EF2-4FD0-93E3-77325D235BE5}"/>
    <hyperlink ref="CD20" r:id="rId75" xr:uid="{D464B6C7-A15E-48B6-9E45-8A2F2234DFD2}"/>
    <hyperlink ref="CD26" r:id="rId76" xr:uid="{76BF07C9-589A-481E-A2D9-24CF30189295}"/>
    <hyperlink ref="CD40" r:id="rId77" xr:uid="{FB081D94-9CA1-486A-A346-747764C64E3E}"/>
    <hyperlink ref="CD43" r:id="rId78" xr:uid="{777494A7-667A-4E82-B3E5-571E3332841B}"/>
    <hyperlink ref="CD64" r:id="rId79" xr:uid="{E9D39777-B07C-4742-83A3-FDBF81C6B53D}"/>
    <hyperlink ref="CD70" r:id="rId80" xr:uid="{B5FD7805-7EDD-40ED-A0FE-2210E252B613}"/>
    <hyperlink ref="CD71" r:id="rId81" xr:uid="{0310C9ED-9C19-4CBD-A51F-D3147584EA8C}"/>
    <hyperlink ref="CD73" r:id="rId82" xr:uid="{C0603D8F-FE2D-46BC-999E-BAACC2DCCEB7}"/>
    <hyperlink ref="CD83" r:id="rId83" xr:uid="{CECC0654-6DC8-44B6-BC4C-404992D8807D}"/>
    <hyperlink ref="CD84" r:id="rId84" xr:uid="{9653F6EB-3070-44FD-87CF-1B76908F2D99}"/>
    <hyperlink ref="CD85" r:id="rId85" xr:uid="{5026D2F5-89DE-486F-85B7-73DB52006F46}"/>
    <hyperlink ref="CD97" r:id="rId86" xr:uid="{26846D32-750E-4329-A935-B316227A505E}"/>
    <hyperlink ref="CD106" r:id="rId87" xr:uid="{A9A987B8-E9B7-46D1-8DAF-B8D852508F81}"/>
    <hyperlink ref="CD107" r:id="rId88" xr:uid="{7D3A9882-8BEB-46B0-9458-D886687B3489}"/>
    <hyperlink ref="CD108" r:id="rId89" xr:uid="{896A1387-A3F3-43C0-A954-8014944821BE}"/>
    <hyperlink ref="CD109" r:id="rId90" xr:uid="{6B2A270F-0C9D-42BC-B468-381DFE01B195}"/>
    <hyperlink ref="CD110" r:id="rId91" xr:uid="{A87CE1A4-21C5-46A6-AC73-B2E69528CB82}"/>
    <hyperlink ref="CD114" r:id="rId92" xr:uid="{BE49D56D-EB2D-4A3D-B86B-1A43239FBF39}"/>
    <hyperlink ref="CD125" r:id="rId93" xr:uid="{3B2AE7D9-F682-463A-A7A4-E39F4A7963F0}"/>
    <hyperlink ref="CD150" r:id="rId94" xr:uid="{2D79CB7A-0738-4667-9261-325E002EF542}"/>
    <hyperlink ref="CD161" r:id="rId95" xr:uid="{8DE67393-FBF3-46FA-AC25-ADA0C0B591DC}"/>
    <hyperlink ref="CD182" r:id="rId96" xr:uid="{FDD75DB2-EEDA-4E90-AD84-06F4F6B441D0}"/>
    <hyperlink ref="CD183" r:id="rId97" xr:uid="{D2BE222A-22AD-4337-8DFE-14C21D9A6A23}"/>
    <hyperlink ref="CD187" r:id="rId98" xr:uid="{2448C049-4733-467C-988D-9819782F8C87}"/>
    <hyperlink ref="CD207" r:id="rId99" xr:uid="{D1FD8E41-31FF-41F3-94A3-880577EA0EFB}"/>
    <hyperlink ref="CD210" r:id="rId100" xr:uid="{63751D60-2AD6-47CF-99EC-7E3131D1BDBE}"/>
    <hyperlink ref="CD217" r:id="rId101" xr:uid="{451F836A-F3F4-419D-92A4-9678C1E8A962}"/>
    <hyperlink ref="CD222" r:id="rId102" xr:uid="{04AF143A-3A52-4ACF-9FAE-1B060D11E4F7}"/>
    <hyperlink ref="CD243" r:id="rId103" xr:uid="{8F198F21-3295-434A-8206-5F85B0D4EA37}"/>
    <hyperlink ref="CD244" r:id="rId104" xr:uid="{0F476018-761E-4ADA-BC3C-719675FB24E2}"/>
    <hyperlink ref="CD162" r:id="rId105" xr:uid="{5AEEEB5F-1B6F-4F34-BAA7-DCB7B5BE21AB}"/>
    <hyperlink ref="CD185" r:id="rId106" xr:uid="{1DA5E283-768B-44BF-812A-0DA15F39411E}"/>
    <hyperlink ref="CD186" r:id="rId107" xr:uid="{839B3022-EA82-4D46-8955-9803736F5165}"/>
    <hyperlink ref="CD247" r:id="rId108" xr:uid="{DC1D0EB8-F4A8-489B-ADF1-4CF7394A6C3C}"/>
    <hyperlink ref="CD249" r:id="rId109" xr:uid="{96CD3091-6C28-4F12-8F38-E93C6F28F0B1}"/>
    <hyperlink ref="CD250" r:id="rId110" xr:uid="{9E9180AD-CF98-45A8-A921-1F52F824037A}"/>
    <hyperlink ref="CD251" r:id="rId111" xr:uid="{06F75D02-7B05-41D1-94FA-AA35E8AC9C48}"/>
    <hyperlink ref="CD254" r:id="rId112" xr:uid="{4D633DB8-E676-44C7-A016-300CA8F18748}"/>
    <hyperlink ref="CD257" r:id="rId113" xr:uid="{2580B5EC-B474-44E4-B839-9DEFD3057880}"/>
    <hyperlink ref="CD258" r:id="rId114" xr:uid="{4232BE13-B2A9-49AD-A4E3-0AC6DD8EF62D}"/>
    <hyperlink ref="CD263" r:id="rId115" xr:uid="{1449C183-5E47-41D8-9A98-FA0AF6930988}"/>
    <hyperlink ref="CD15" r:id="rId116" xr:uid="{A64BB799-679C-4051-986B-8BFC443D7EBF}"/>
    <hyperlink ref="CD18" r:id="rId117" xr:uid="{E60C4140-127F-41E7-ACAE-30688CD2501B}"/>
    <hyperlink ref="CD56" r:id="rId118" xr:uid="{376420E6-9985-4DCF-A760-6ABA5B1F65FB}"/>
    <hyperlink ref="CD57" r:id="rId119" xr:uid="{0B001C21-7BD9-4172-B27C-540A240D619A}"/>
    <hyperlink ref="CD58" r:id="rId120" xr:uid="{77D8EACD-0A70-4A8B-9809-2C0EE842F2D3}"/>
    <hyperlink ref="CD62" r:id="rId121" xr:uid="{E03E1A60-12EC-456D-9A9C-DBBAFB0FCC80}"/>
    <hyperlink ref="CD63" r:id="rId122" xr:uid="{6E442BA0-7AB7-4F14-84E2-FF95D8620F59}"/>
    <hyperlink ref="CD89" r:id="rId123" xr:uid="{EDB9E5AC-C3F8-4FD2-B7B5-E3D8FA9536E1}"/>
    <hyperlink ref="CD96" r:id="rId124" xr:uid="{C69DA8F0-C477-40F2-B671-33D67132083F}"/>
    <hyperlink ref="CD101" r:id="rId125" xr:uid="{3611919A-256A-4D17-8478-59D5A0AD58C3}"/>
    <hyperlink ref="CD111" r:id="rId126" xr:uid="{98720021-22D4-4D1D-A3E5-A92547668408}"/>
    <hyperlink ref="CD113" r:id="rId127" xr:uid="{8DCC05D5-50BB-47A3-9334-094956E8D6C6}"/>
    <hyperlink ref="CD118" r:id="rId128" xr:uid="{2ED0E60E-17D8-451A-9FE3-9E555BAA1425}"/>
    <hyperlink ref="CD169" r:id="rId129" xr:uid="{2955254A-84CD-45EE-859E-8303086AAB3F}"/>
    <hyperlink ref="CD177" r:id="rId130" xr:uid="{1E02DCC7-D565-4F35-8FCC-54C670070E31}"/>
    <hyperlink ref="CD181" r:id="rId131" xr:uid="{D9BDA0EA-3864-459F-887F-5511B06A09D2}"/>
    <hyperlink ref="CD184" r:id="rId132" xr:uid="{6E6E27A9-ED16-4887-8281-901D8BA6918A}"/>
    <hyperlink ref="CD205" r:id="rId133" xr:uid="{B741DF47-31CC-4CC6-938D-E88B732CA3AA}"/>
    <hyperlink ref="CD209" r:id="rId134" xr:uid="{0CFD56A2-B2C5-4C92-91D6-B8D8A274D5B8}"/>
    <hyperlink ref="CD228" r:id="rId135" xr:uid="{2097F359-B0C1-4313-A703-471DA9A778AC}"/>
    <hyperlink ref="CD236" r:id="rId136" xr:uid="{B90DFED9-4F0F-44BA-A691-719B68E1406D}"/>
    <hyperlink ref="CD237" r:id="rId137" xr:uid="{4D2C274A-6124-4C27-82AF-C6D21F7DE815}"/>
    <hyperlink ref="CD240" r:id="rId138" xr:uid="{B43CD28C-7EA4-41F2-A28E-5819AE4A4A28}"/>
    <hyperlink ref="CD245" r:id="rId139" xr:uid="{CF07D2EC-5123-4985-8BD3-EC27CBCD1621}"/>
    <hyperlink ref="CD253" r:id="rId140" xr:uid="{9B124096-7B28-4ED2-8EFE-4C4A5CB5EEF3}"/>
    <hyperlink ref="CD29" r:id="rId141" xr:uid="{987F48F3-74B5-45C6-BD92-81A7D1398A59}"/>
    <hyperlink ref="CD50" r:id="rId142" xr:uid="{D30D71E7-4413-4ECC-9E43-54E44EF28A5B}"/>
    <hyperlink ref="CD173" r:id="rId143" xr:uid="{4FDEF2F6-47AA-4F55-BA2D-08E10946D731}"/>
    <hyperlink ref="CD242" r:id="rId144" xr:uid="{7DD61C85-EE50-4BB1-903C-2EBC5FF19583}"/>
    <hyperlink ref="CD278" r:id="rId145" xr:uid="{3D376F9F-DFA5-4143-8D90-21B4546FB7A7}"/>
    <hyperlink ref="CD38" r:id="rId146" xr:uid="{68607360-885B-4DFC-A116-9566B1897513}"/>
    <hyperlink ref="CD59" r:id="rId147" xr:uid="{C1A6CAAB-ABEC-41FB-9AD6-50096C8CC077}"/>
    <hyperlink ref="CD102" r:id="rId148" xr:uid="{06D098D4-A2B5-4B73-8F27-A0CCB6831059}"/>
    <hyperlink ref="CD171" r:id="rId149" xr:uid="{D0369C29-0335-45B7-880D-B022916632A9}"/>
    <hyperlink ref="CD248" r:id="rId150" xr:uid="{A13D41DB-F443-4C06-AB2F-E8C49FD42EE5}"/>
    <hyperlink ref="CD255" r:id="rId151" xr:uid="{9ED1016D-B922-464B-A5AC-883644DA0D1E}"/>
    <hyperlink ref="CD13" r:id="rId152" xr:uid="{CE1AAF70-0ED1-4813-8CB0-D1A624B943F1}"/>
    <hyperlink ref="CD24" r:id="rId153" xr:uid="{6A74C975-83E5-4DEA-8B17-29D7D7CAAE33}"/>
    <hyperlink ref="CD35" r:id="rId154" xr:uid="{564AF7F1-DE90-4B47-BE5B-9BF5ED4A8BB8}"/>
    <hyperlink ref="CD60" r:id="rId155" xr:uid="{D0C52C7A-0891-4ECE-AEA6-C1307AE323D7}"/>
    <hyperlink ref="CD91" r:id="rId156" xr:uid="{D5FF781D-934F-43C6-B397-33238A408603}"/>
    <hyperlink ref="CD123" r:id="rId157" xr:uid="{354A7247-225E-4F71-8D7A-992800E7C14F}"/>
    <hyperlink ref="CD129" r:id="rId158" xr:uid="{66B6D69D-CB0E-4F0B-ABA2-9DD02E005350}"/>
    <hyperlink ref="CD149" r:id="rId159" xr:uid="{FCBAA25E-73EB-46DC-A6D2-746E18FE0E8A}"/>
    <hyperlink ref="CD163" r:id="rId160" xr:uid="{2C23FF28-D6D8-4A5C-8B3D-51D23F522B38}"/>
    <hyperlink ref="CD275" r:id="rId161" xr:uid="{6F3CAB74-B98C-4811-9D58-CFB28E8BA523}"/>
    <hyperlink ref="CD276" r:id="rId162" xr:uid="{D72EF295-247D-4280-B828-E10B6BF96A48}"/>
    <hyperlink ref="CD277" r:id="rId163" xr:uid="{32BC5C52-2532-47B6-87E8-3AFD7827CC55}"/>
    <hyperlink ref="CD104" r:id="rId164" xr:uid="{404588D0-459C-4806-BFC3-69D5AB2D2BF3}"/>
    <hyperlink ref="CD124" r:id="rId165" xr:uid="{7DAD17BA-87F5-4F10-8DEF-A7F12B60AFB7}"/>
    <hyperlink ref="CD126" r:id="rId166" xr:uid="{623C2F8C-AEB0-4FAE-9639-852C8F28D66F}"/>
    <hyperlink ref="CD134" r:id="rId167" xr:uid="{FFB2EA56-61EC-4DA3-AEF2-BB83AAA3B70B}"/>
    <hyperlink ref="CD137" r:id="rId168" xr:uid="{908CC1C6-2F39-4FFE-AC09-37F3E03226B9}"/>
    <hyperlink ref="CD141" r:id="rId169" xr:uid="{A8962715-D224-456C-B5B6-49380468A210}"/>
    <hyperlink ref="CD174" r:id="rId170" xr:uid="{C7E1A75B-0A2E-4320-A55B-A6D25F45ADE4}"/>
    <hyperlink ref="CD241" r:id="rId171" xr:uid="{274F5908-E169-4031-AAA5-5C27C0862247}"/>
    <hyperlink ref="CD287" r:id="rId172" xr:uid="{09FA0A93-81A3-4949-BB1E-6DA5A337F04B}"/>
    <hyperlink ref="CD288" r:id="rId173" xr:uid="{E3B09411-D95A-4CFC-AA2A-FAB882F20F10}"/>
    <hyperlink ref="CD259" r:id="rId174" xr:uid="{70444ABA-51DC-4440-8253-54108CA47C3F}"/>
  </hyperlinks>
  <pageMargins left="0.19685039370078741" right="0.19685039370078741" top="0.31496062992125984" bottom="0.27559055118110237" header="0.15748031496062992" footer="0.15748031496062992"/>
  <pageSetup paperSize="9" scale="90" orientation="landscape" horizontalDpi="4294967293" verticalDpi="1200" r:id="rId175"/>
  <headerFooter>
    <oddHeader>&amp;C&amp;9TW nouveaux</oddHeader>
    <oddFooter>&amp;R&amp;9&amp;D</oddFooter>
  </headerFooter>
  <drawing r:id="rId176"/>
  <legacyDrawing r:id="rId177"/>
  <tableParts count="1">
    <tablePart r:id="rId17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A4A7-0C57-43DA-9664-412A216D1FE7}">
  <sheetPr codeName="Feuil11"/>
  <dimension ref="A1:P781"/>
  <sheetViews>
    <sheetView topLeftCell="A731" workbookViewId="0">
      <selection activeCell="A740" sqref="A740"/>
    </sheetView>
  </sheetViews>
  <sheetFormatPr baseColWidth="10" defaultColWidth="11.5703125" defaultRowHeight="15" x14ac:dyDescent="0.25"/>
  <cols>
    <col min="1" max="1" width="24.7109375" style="240" customWidth="1"/>
    <col min="2" max="2" width="20.7109375" style="240" customWidth="1"/>
    <col min="3" max="4" width="26.28515625" style="240" customWidth="1"/>
    <col min="5" max="5" width="15.42578125" style="240" customWidth="1"/>
    <col min="6" max="6" width="10.140625" style="240" customWidth="1"/>
    <col min="7" max="8" width="15.42578125" style="240" customWidth="1"/>
    <col min="9" max="9" width="15.42578125" style="240" hidden="1" customWidth="1"/>
    <col min="10" max="10" width="15.42578125" style="240" customWidth="1"/>
    <col min="11" max="11" width="26.28515625" style="240" customWidth="1"/>
    <col min="12" max="12" width="4.7109375" style="240" customWidth="1"/>
    <col min="13" max="16384" width="11.5703125" style="240"/>
  </cols>
  <sheetData>
    <row r="1" spans="1:16" s="226" customFormat="1" ht="21.4" customHeight="1" x14ac:dyDescent="0.2">
      <c r="A1" s="223" t="s">
        <v>2989</v>
      </c>
      <c r="B1" s="224" t="s">
        <v>2990</v>
      </c>
      <c r="C1" s="223" t="s">
        <v>0</v>
      </c>
      <c r="D1" s="223" t="s">
        <v>124</v>
      </c>
      <c r="E1" s="223" t="s">
        <v>2991</v>
      </c>
      <c r="F1" s="223" t="s">
        <v>2992</v>
      </c>
      <c r="G1" s="223" t="s">
        <v>2993</v>
      </c>
      <c r="H1" s="223" t="s">
        <v>2994</v>
      </c>
      <c r="I1" s="223" t="s">
        <v>2995</v>
      </c>
      <c r="J1" s="223" t="s">
        <v>2996</v>
      </c>
      <c r="K1" s="225" t="s">
        <v>1174</v>
      </c>
      <c r="L1" s="410" t="s">
        <v>1173</v>
      </c>
      <c r="M1" s="411"/>
      <c r="N1" s="411"/>
      <c r="O1" s="411"/>
      <c r="P1" s="411"/>
    </row>
    <row r="2" spans="1:16" s="226" customFormat="1" ht="9.6" customHeight="1" x14ac:dyDescent="0.2">
      <c r="A2" s="227" t="str">
        <f>T_P_BilanSocial[[#This Row],[Nom]]&amp;T_P_BilanSocial[[#This Row],[Prenom]]</f>
        <v>ABEUDJEDJANOMO LAURANE</v>
      </c>
      <c r="B2" s="228" t="s">
        <v>2644</v>
      </c>
      <c r="C2" s="229" t="s">
        <v>2645</v>
      </c>
      <c r="D2" s="229" t="s">
        <v>2646</v>
      </c>
      <c r="E2" s="229" t="s">
        <v>1184</v>
      </c>
      <c r="F2" s="230" t="s">
        <v>308</v>
      </c>
      <c r="G2" s="229" t="s">
        <v>1476</v>
      </c>
      <c r="H2" s="229" t="s">
        <v>1794</v>
      </c>
      <c r="I2" s="229" t="s">
        <v>1180</v>
      </c>
      <c r="J2" s="229" t="s">
        <v>892</v>
      </c>
      <c r="K2" s="231" t="s">
        <v>2185</v>
      </c>
    </row>
    <row r="3" spans="1:16" s="226" customFormat="1" ht="9.6" customHeight="1" x14ac:dyDescent="0.2">
      <c r="A3" s="229" t="str">
        <f>T_P_BilanSocial[[#This Row],[Nom]]&amp;T_P_BilanSocial[[#This Row],[Prenom]]</f>
        <v>ABGRALLCÉCILE</v>
      </c>
      <c r="B3" s="228" t="s">
        <v>1813</v>
      </c>
      <c r="C3" s="229" t="s">
        <v>723</v>
      </c>
      <c r="D3" s="229" t="s">
        <v>1685</v>
      </c>
      <c r="E3" s="229" t="s">
        <v>1184</v>
      </c>
      <c r="F3" s="230" t="s">
        <v>45</v>
      </c>
      <c r="G3" s="229" t="s">
        <v>1178</v>
      </c>
      <c r="H3" s="229" t="s">
        <v>1179</v>
      </c>
      <c r="I3" s="229" t="s">
        <v>1180</v>
      </c>
      <c r="J3" s="229" t="s">
        <v>376</v>
      </c>
      <c r="K3" s="231" t="s">
        <v>341</v>
      </c>
    </row>
    <row r="4" spans="1:16" s="226" customFormat="1" ht="9.6" customHeight="1" x14ac:dyDescent="0.2">
      <c r="A4" s="229" t="str">
        <f>T_P_BilanSocial[[#This Row],[Nom]]&amp;T_P_BilanSocial[[#This Row],[Prenom]]</f>
        <v>ABRIALANNE-SOPHIE</v>
      </c>
      <c r="B4" s="228" t="s">
        <v>2844</v>
      </c>
      <c r="C4" s="229" t="s">
        <v>1058</v>
      </c>
      <c r="D4" s="229" t="s">
        <v>1614</v>
      </c>
      <c r="E4" s="229" t="s">
        <v>1184</v>
      </c>
      <c r="F4" s="230" t="s">
        <v>308</v>
      </c>
      <c r="G4" s="229" t="s">
        <v>1476</v>
      </c>
      <c r="H4" s="229" t="s">
        <v>1794</v>
      </c>
      <c r="I4" s="229" t="s">
        <v>1180</v>
      </c>
      <c r="J4" s="229" t="s">
        <v>376</v>
      </c>
      <c r="K4" s="231" t="s">
        <v>341</v>
      </c>
    </row>
    <row r="5" spans="1:16" s="226" customFormat="1" ht="9.6" customHeight="1" x14ac:dyDescent="0.2">
      <c r="A5" s="229" t="str">
        <f>T_P_BilanSocial[[#This Row],[Nom]]&amp;T_P_BilanSocial[[#This Row],[Prenom]]</f>
        <v>ADAFERSARAH</v>
      </c>
      <c r="B5" s="228" t="s">
        <v>1502</v>
      </c>
      <c r="C5" s="229" t="s">
        <v>634</v>
      </c>
      <c r="D5" s="229" t="s">
        <v>1503</v>
      </c>
      <c r="E5" s="229" t="s">
        <v>1184</v>
      </c>
      <c r="F5" s="230" t="s">
        <v>445</v>
      </c>
      <c r="G5" s="229" t="s">
        <v>1178</v>
      </c>
      <c r="H5" s="229" t="s">
        <v>1204</v>
      </c>
      <c r="I5" s="229" t="s">
        <v>1180</v>
      </c>
      <c r="J5" s="229" t="s">
        <v>607</v>
      </c>
      <c r="K5" s="231" t="s">
        <v>608</v>
      </c>
    </row>
    <row r="6" spans="1:16" s="226" customFormat="1" ht="9.6" customHeight="1" x14ac:dyDescent="0.2">
      <c r="A6" s="229" t="str">
        <f>T_P_BilanSocial[[#This Row],[Nom]]&amp;T_P_BilanSocial[[#This Row],[Prenom]]</f>
        <v>ADRIANTESSA</v>
      </c>
      <c r="B6" s="228" t="s">
        <v>2182</v>
      </c>
      <c r="C6" s="229" t="s">
        <v>2183</v>
      </c>
      <c r="D6" s="229" t="s">
        <v>2184</v>
      </c>
      <c r="E6" s="229" t="s">
        <v>1184</v>
      </c>
      <c r="F6" s="230" t="s">
        <v>308</v>
      </c>
      <c r="G6" s="229" t="s">
        <v>1476</v>
      </c>
      <c r="H6" s="229" t="s">
        <v>1477</v>
      </c>
      <c r="I6" s="229" t="s">
        <v>1180</v>
      </c>
      <c r="J6" s="229" t="s">
        <v>892</v>
      </c>
      <c r="K6" s="231" t="s">
        <v>2185</v>
      </c>
    </row>
    <row r="7" spans="1:16" s="226" customFormat="1" ht="9.6" customHeight="1" x14ac:dyDescent="0.2">
      <c r="A7" s="229" t="str">
        <f>T_P_BilanSocial[[#This Row],[Nom]]&amp;T_P_BilanSocial[[#This Row],[Prenom]]</f>
        <v>AGERONCORALIE</v>
      </c>
      <c r="B7" s="228" t="s">
        <v>2396</v>
      </c>
      <c r="C7" s="229" t="s">
        <v>2397</v>
      </c>
      <c r="D7" s="229" t="s">
        <v>2398</v>
      </c>
      <c r="E7" s="229" t="s">
        <v>1184</v>
      </c>
      <c r="F7" s="230" t="s">
        <v>45</v>
      </c>
      <c r="G7" s="229" t="s">
        <v>1476</v>
      </c>
      <c r="H7" s="229" t="s">
        <v>1794</v>
      </c>
      <c r="I7" s="229" t="s">
        <v>1180</v>
      </c>
      <c r="J7" s="229" t="s">
        <v>340</v>
      </c>
      <c r="K7" s="231" t="s">
        <v>341</v>
      </c>
    </row>
    <row r="8" spans="1:16" s="226" customFormat="1" ht="9.6" customHeight="1" x14ac:dyDescent="0.2">
      <c r="A8" s="229" t="str">
        <f>T_P_BilanSocial[[#This Row],[Nom]]&amp;T_P_BilanSocial[[#This Row],[Prenom]]</f>
        <v>AGIERJULIE</v>
      </c>
      <c r="B8" s="228" t="s">
        <v>2121</v>
      </c>
      <c r="C8" s="229" t="s">
        <v>2122</v>
      </c>
      <c r="D8" s="229" t="s">
        <v>1857</v>
      </c>
      <c r="E8" s="229" t="s">
        <v>1184</v>
      </c>
      <c r="F8" s="230" t="s">
        <v>45</v>
      </c>
      <c r="G8" s="229" t="s">
        <v>1178</v>
      </c>
      <c r="H8" s="229" t="s">
        <v>1204</v>
      </c>
      <c r="I8" s="229" t="s">
        <v>1180</v>
      </c>
      <c r="J8" s="229" t="s">
        <v>376</v>
      </c>
      <c r="K8" s="231" t="s">
        <v>341</v>
      </c>
    </row>
    <row r="9" spans="1:16" s="226" customFormat="1" ht="9.6" customHeight="1" x14ac:dyDescent="0.2">
      <c r="A9" s="229" t="str">
        <f>T_P_BilanSocial[[#This Row],[Nom]]&amp;T_P_BilanSocial[[#This Row],[Prenom]]</f>
        <v>AIMEJEAN-MICHEL</v>
      </c>
      <c r="B9" s="228" t="s">
        <v>1659</v>
      </c>
      <c r="C9" s="229" t="s">
        <v>1660</v>
      </c>
      <c r="D9" s="229" t="s">
        <v>1661</v>
      </c>
      <c r="E9" s="229" t="s">
        <v>1177</v>
      </c>
      <c r="F9" s="230" t="s">
        <v>45</v>
      </c>
      <c r="G9" s="229" t="s">
        <v>1178</v>
      </c>
      <c r="H9" s="229" t="s">
        <v>1204</v>
      </c>
      <c r="I9" s="229" t="s">
        <v>1180</v>
      </c>
      <c r="J9" s="229" t="s">
        <v>411</v>
      </c>
      <c r="K9" s="231" t="s">
        <v>341</v>
      </c>
    </row>
    <row r="10" spans="1:16" s="226" customFormat="1" ht="9.6" customHeight="1" x14ac:dyDescent="0.2">
      <c r="A10" s="229" t="str">
        <f>T_P_BilanSocial[[#This Row],[Nom]]&amp;T_P_BilanSocial[[#This Row],[Prenom]]</f>
        <v>ALLEMONIEREMARIE</v>
      </c>
      <c r="B10" s="228" t="s">
        <v>2742</v>
      </c>
      <c r="C10" s="233" t="s">
        <v>3007</v>
      </c>
      <c r="D10" s="229" t="s">
        <v>2090</v>
      </c>
      <c r="E10" s="229" t="s">
        <v>1184</v>
      </c>
      <c r="F10" s="230" t="s">
        <v>45</v>
      </c>
      <c r="G10" s="229" t="s">
        <v>1476</v>
      </c>
      <c r="H10" s="229" t="s">
        <v>1794</v>
      </c>
      <c r="I10" s="229" t="s">
        <v>1180</v>
      </c>
      <c r="J10" s="229" t="s">
        <v>1121</v>
      </c>
      <c r="K10" s="234" t="s">
        <v>1122</v>
      </c>
    </row>
    <row r="11" spans="1:16" s="226" customFormat="1" ht="9.6" customHeight="1" x14ac:dyDescent="0.2">
      <c r="A11" s="229" t="str">
        <f>T_P_BilanSocial[[#This Row],[Nom]]&amp;T_P_BilanSocial[[#This Row],[Prenom]]</f>
        <v>AMATETIPHAINE</v>
      </c>
      <c r="B11" s="228" t="s">
        <v>2268</v>
      </c>
      <c r="C11" s="229" t="s">
        <v>2269</v>
      </c>
      <c r="D11" s="229" t="s">
        <v>2270</v>
      </c>
      <c r="E11" s="229" t="s">
        <v>1184</v>
      </c>
      <c r="F11" s="230" t="s">
        <v>45</v>
      </c>
      <c r="G11" s="229" t="s">
        <v>1476</v>
      </c>
      <c r="H11" s="229" t="s">
        <v>1794</v>
      </c>
      <c r="I11" s="229" t="s">
        <v>1180</v>
      </c>
      <c r="J11" s="229" t="s">
        <v>353</v>
      </c>
      <c r="K11" s="231" t="s">
        <v>354</v>
      </c>
    </row>
    <row r="12" spans="1:16" s="226" customFormat="1" ht="9.6" customHeight="1" x14ac:dyDescent="0.2">
      <c r="A12" s="229" t="str">
        <f>T_P_BilanSocial[[#This Row],[Nom]]&amp;T_P_BilanSocial[[#This Row],[Prenom]]</f>
        <v>AMENEIRO ALVAREZMANUEL</v>
      </c>
      <c r="B12" s="228" t="s">
        <v>2677</v>
      </c>
      <c r="C12" s="229" t="s">
        <v>381</v>
      </c>
      <c r="D12" s="229" t="s">
        <v>2678</v>
      </c>
      <c r="E12" s="229" t="s">
        <v>1177</v>
      </c>
      <c r="F12" s="230" t="s">
        <v>445</v>
      </c>
      <c r="G12" s="229" t="s">
        <v>1178</v>
      </c>
      <c r="H12" s="229" t="s">
        <v>1204</v>
      </c>
      <c r="I12" s="229" t="s">
        <v>1180</v>
      </c>
      <c r="J12" s="229" t="s">
        <v>390</v>
      </c>
      <c r="K12" s="231" t="s">
        <v>391</v>
      </c>
    </row>
    <row r="13" spans="1:16" s="226" customFormat="1" ht="9.6" customHeight="1" x14ac:dyDescent="0.2">
      <c r="A13" s="229" t="str">
        <f>T_P_BilanSocial[[#This Row],[Nom]]&amp;T_P_BilanSocial[[#This Row],[Prenom]]</f>
        <v>AMERRAHMOUNA</v>
      </c>
      <c r="B13" s="228" t="s">
        <v>2580</v>
      </c>
      <c r="C13" s="229" t="s">
        <v>2581</v>
      </c>
      <c r="D13" s="229" t="s">
        <v>2582</v>
      </c>
      <c r="E13" s="229" t="s">
        <v>1184</v>
      </c>
      <c r="F13" s="230" t="s">
        <v>45</v>
      </c>
      <c r="G13" s="229" t="s">
        <v>1178</v>
      </c>
      <c r="H13" s="229" t="s">
        <v>1435</v>
      </c>
      <c r="I13" s="229" t="s">
        <v>1180</v>
      </c>
      <c r="J13" s="229" t="s">
        <v>320</v>
      </c>
      <c r="K13" s="231" t="s">
        <v>321</v>
      </c>
    </row>
    <row r="14" spans="1:16" s="226" customFormat="1" ht="9.6" customHeight="1" x14ac:dyDescent="0.2">
      <c r="A14" s="229" t="str">
        <f>T_P_BilanSocial[[#This Row],[Nom]]&amp;T_P_BilanSocial[[#This Row],[Prenom]]</f>
        <v>AMRANESOUAD</v>
      </c>
      <c r="B14" s="228" t="s">
        <v>1454</v>
      </c>
      <c r="C14" s="229" t="s">
        <v>907</v>
      </c>
      <c r="D14" s="229" t="s">
        <v>1455</v>
      </c>
      <c r="E14" s="229" t="s">
        <v>1184</v>
      </c>
      <c r="F14" s="230" t="s">
        <v>445</v>
      </c>
      <c r="G14" s="229" t="s">
        <v>1178</v>
      </c>
      <c r="H14" s="229" t="s">
        <v>1435</v>
      </c>
      <c r="I14" s="229" t="s">
        <v>1180</v>
      </c>
      <c r="J14" s="229" t="s">
        <v>353</v>
      </c>
      <c r="K14" s="231" t="s">
        <v>354</v>
      </c>
    </row>
    <row r="15" spans="1:16" s="226" customFormat="1" ht="9.6" customHeight="1" x14ac:dyDescent="0.2">
      <c r="A15" s="229" t="str">
        <f>T_P_BilanSocial[[#This Row],[Nom]]&amp;T_P_BilanSocial[[#This Row],[Prenom]]</f>
        <v>ANDREALEXANDRE</v>
      </c>
      <c r="B15" s="228" t="s">
        <v>2553</v>
      </c>
      <c r="C15" s="229" t="s">
        <v>2554</v>
      </c>
      <c r="D15" s="229" t="s">
        <v>2230</v>
      </c>
      <c r="E15" s="229" t="s">
        <v>1177</v>
      </c>
      <c r="F15" s="230" t="s">
        <v>308</v>
      </c>
      <c r="G15" s="229" t="s">
        <v>1476</v>
      </c>
      <c r="H15" s="229" t="s">
        <v>1794</v>
      </c>
      <c r="I15" s="229" t="s">
        <v>1180</v>
      </c>
      <c r="J15" s="229" t="s">
        <v>376</v>
      </c>
      <c r="K15" s="231" t="s">
        <v>341</v>
      </c>
    </row>
    <row r="16" spans="1:16" s="226" customFormat="1" ht="9.6" customHeight="1" x14ac:dyDescent="0.2">
      <c r="A16" s="229" t="str">
        <f>T_P_BilanSocial[[#This Row],[Nom]]&amp;T_P_BilanSocial[[#This Row],[Prenom]]</f>
        <v>ANGLADAEMILIE</v>
      </c>
      <c r="B16" s="228" t="s">
        <v>2560</v>
      </c>
      <c r="C16" s="229" t="s">
        <v>2561</v>
      </c>
      <c r="D16" s="229" t="s">
        <v>2190</v>
      </c>
      <c r="E16" s="229" t="s">
        <v>1184</v>
      </c>
      <c r="F16" s="230" t="s">
        <v>308</v>
      </c>
      <c r="G16" s="229" t="s">
        <v>1178</v>
      </c>
      <c r="H16" s="229" t="s">
        <v>1204</v>
      </c>
      <c r="I16" s="229" t="s">
        <v>1180</v>
      </c>
      <c r="J16" s="229" t="s">
        <v>498</v>
      </c>
      <c r="K16" s="231" t="s">
        <v>693</v>
      </c>
    </row>
    <row r="17" spans="1:11" s="226" customFormat="1" ht="9.6" customHeight="1" x14ac:dyDescent="0.2">
      <c r="A17" s="229" t="str">
        <f>T_P_BilanSocial[[#This Row],[Nom]]&amp;T_P_BilanSocial[[#This Row],[Prenom]]</f>
        <v>AOUCHICHEKATIA</v>
      </c>
      <c r="B17" s="228" t="s">
        <v>2874</v>
      </c>
      <c r="C17" s="229" t="s">
        <v>2875</v>
      </c>
      <c r="D17" s="229" t="s">
        <v>2244</v>
      </c>
      <c r="E17" s="229" t="s">
        <v>1184</v>
      </c>
      <c r="F17" s="230" t="s">
        <v>45</v>
      </c>
      <c r="G17" s="229" t="s">
        <v>1476</v>
      </c>
      <c r="H17" s="229" t="s">
        <v>1794</v>
      </c>
      <c r="I17" s="229" t="s">
        <v>1180</v>
      </c>
      <c r="J17" s="229" t="s">
        <v>626</v>
      </c>
      <c r="K17" s="231" t="s">
        <v>341</v>
      </c>
    </row>
    <row r="18" spans="1:11" s="226" customFormat="1" ht="9.6" customHeight="1" x14ac:dyDescent="0.2">
      <c r="A18" s="229" t="str">
        <f>T_P_BilanSocial[[#This Row],[Nom]]&amp;T_P_BilanSocial[[#This Row],[Prenom]]</f>
        <v>ARAYA OPAZOPABLO</v>
      </c>
      <c r="B18" s="228" t="s">
        <v>2068</v>
      </c>
      <c r="C18" s="229" t="s">
        <v>2069</v>
      </c>
      <c r="D18" s="229" t="s">
        <v>2070</v>
      </c>
      <c r="E18" s="229" t="s">
        <v>1177</v>
      </c>
      <c r="F18" s="230" t="s">
        <v>445</v>
      </c>
      <c r="G18" s="229" t="s">
        <v>1476</v>
      </c>
      <c r="H18" s="229" t="s">
        <v>1477</v>
      </c>
      <c r="I18" s="229" t="s">
        <v>1180</v>
      </c>
      <c r="J18" s="229" t="s">
        <v>944</v>
      </c>
      <c r="K18" s="231" t="s">
        <v>945</v>
      </c>
    </row>
    <row r="19" spans="1:11" s="226" customFormat="1" ht="9.6" customHeight="1" x14ac:dyDescent="0.2">
      <c r="A19" s="229" t="str">
        <f>T_P_BilanSocial[[#This Row],[Nom]]&amp;T_P_BilanSocial[[#This Row],[Prenom]]</f>
        <v>ARCIEROALINE</v>
      </c>
      <c r="B19" s="228" t="s">
        <v>2458</v>
      </c>
      <c r="C19" s="229" t="s">
        <v>2459</v>
      </c>
      <c r="D19" s="229" t="s">
        <v>1704</v>
      </c>
      <c r="E19" s="229" t="s">
        <v>1184</v>
      </c>
      <c r="F19" s="230" t="s">
        <v>308</v>
      </c>
      <c r="G19" s="229" t="s">
        <v>1476</v>
      </c>
      <c r="H19" s="229" t="s">
        <v>1477</v>
      </c>
      <c r="I19" s="229" t="s">
        <v>1180</v>
      </c>
      <c r="J19" s="229" t="s">
        <v>684</v>
      </c>
      <c r="K19" s="231" t="s">
        <v>341</v>
      </c>
    </row>
    <row r="20" spans="1:11" s="226" customFormat="1" ht="9.6" customHeight="1" x14ac:dyDescent="0.2">
      <c r="A20" s="229" t="str">
        <f>T_P_BilanSocial[[#This Row],[Nom]]&amp;T_P_BilanSocial[[#This Row],[Prenom]]</f>
        <v>ARGENTIERJEAN-LUC</v>
      </c>
      <c r="B20" s="228" t="s">
        <v>2627</v>
      </c>
      <c r="C20" s="229" t="s">
        <v>2628</v>
      </c>
      <c r="D20" s="229" t="s">
        <v>1991</v>
      </c>
      <c r="E20" s="229" t="s">
        <v>1177</v>
      </c>
      <c r="F20" s="230" t="s">
        <v>308</v>
      </c>
      <c r="G20" s="229" t="s">
        <v>1178</v>
      </c>
      <c r="H20" s="229" t="s">
        <v>1179</v>
      </c>
      <c r="I20" s="229"/>
      <c r="J20" s="229"/>
      <c r="K20" s="231"/>
    </row>
    <row r="21" spans="1:11" s="226" customFormat="1" ht="9.6" customHeight="1" x14ac:dyDescent="0.2">
      <c r="A21" s="229" t="str">
        <f>T_P_BilanSocial[[#This Row],[Nom]]&amp;T_P_BilanSocial[[#This Row],[Prenom]]</f>
        <v>ARMATAADELINE</v>
      </c>
      <c r="B21" s="228" t="s">
        <v>2157</v>
      </c>
      <c r="C21" s="229" t="s">
        <v>2158</v>
      </c>
      <c r="D21" s="229" t="s">
        <v>2159</v>
      </c>
      <c r="E21" s="229" t="s">
        <v>1184</v>
      </c>
      <c r="F21" s="230" t="s">
        <v>45</v>
      </c>
      <c r="G21" s="229" t="s">
        <v>1476</v>
      </c>
      <c r="H21" s="229" t="s">
        <v>1794</v>
      </c>
      <c r="I21" s="229" t="s">
        <v>1180</v>
      </c>
      <c r="J21" s="229" t="s">
        <v>376</v>
      </c>
      <c r="K21" s="231" t="s">
        <v>341</v>
      </c>
    </row>
    <row r="22" spans="1:11" s="226" customFormat="1" ht="9.6" customHeight="1" x14ac:dyDescent="0.2">
      <c r="A22" s="229" t="str">
        <f>T_P_BilanSocial[[#This Row],[Nom]]&amp;T_P_BilanSocial[[#This Row],[Prenom]]</f>
        <v>ARNAUDJEAN-BAPTISTE</v>
      </c>
      <c r="B22" s="228" t="s">
        <v>1748</v>
      </c>
      <c r="C22" s="229" t="s">
        <v>586</v>
      </c>
      <c r="D22" s="229" t="s">
        <v>1749</v>
      </c>
      <c r="E22" s="229" t="s">
        <v>1177</v>
      </c>
      <c r="F22" s="230" t="s">
        <v>45</v>
      </c>
      <c r="G22" s="229" t="s">
        <v>1178</v>
      </c>
      <c r="H22" s="229" t="s">
        <v>1204</v>
      </c>
      <c r="I22" s="229" t="s">
        <v>1180</v>
      </c>
      <c r="J22" s="229" t="s">
        <v>340</v>
      </c>
      <c r="K22" s="231" t="s">
        <v>341</v>
      </c>
    </row>
    <row r="23" spans="1:11" s="226" customFormat="1" ht="9.6" customHeight="1" x14ac:dyDescent="0.2">
      <c r="A23" s="229" t="str">
        <f>T_P_BilanSocial[[#This Row],[Nom]]&amp;T_P_BilanSocial[[#This Row],[Prenom]]</f>
        <v>ARONICASABRINA</v>
      </c>
      <c r="B23" s="228" t="s">
        <v>1765</v>
      </c>
      <c r="C23" s="229" t="s">
        <v>1766</v>
      </c>
      <c r="D23" s="229" t="s">
        <v>1767</v>
      </c>
      <c r="E23" s="229" t="s">
        <v>1184</v>
      </c>
      <c r="F23" s="230" t="s">
        <v>45</v>
      </c>
      <c r="G23" s="229" t="s">
        <v>1178</v>
      </c>
      <c r="H23" s="229" t="s">
        <v>1179</v>
      </c>
      <c r="I23" s="229" t="s">
        <v>1180</v>
      </c>
      <c r="J23" s="229" t="s">
        <v>611</v>
      </c>
      <c r="K23" s="231" t="s">
        <v>341</v>
      </c>
    </row>
    <row r="24" spans="1:11" s="226" customFormat="1" ht="9.6" customHeight="1" x14ac:dyDescent="0.2">
      <c r="A24" s="229" t="str">
        <f>T_P_BilanSocial[[#This Row],[Nom]]&amp;T_P_BilanSocial[[#This Row],[Prenom]]</f>
        <v>ASSOUSMALIKA</v>
      </c>
      <c r="B24" s="228" t="s">
        <v>1545</v>
      </c>
      <c r="C24" s="229" t="s">
        <v>1546</v>
      </c>
      <c r="D24" s="229" t="s">
        <v>1547</v>
      </c>
      <c r="E24" s="229" t="s">
        <v>1184</v>
      </c>
      <c r="F24" s="230" t="s">
        <v>45</v>
      </c>
      <c r="G24" s="229" t="s">
        <v>1178</v>
      </c>
      <c r="H24" s="229" t="s">
        <v>1179</v>
      </c>
      <c r="I24" s="229" t="s">
        <v>1180</v>
      </c>
      <c r="J24" s="229" t="s">
        <v>481</v>
      </c>
      <c r="K24" s="231" t="s">
        <v>341</v>
      </c>
    </row>
    <row r="25" spans="1:11" s="226" customFormat="1" ht="9.6" customHeight="1" x14ac:dyDescent="0.2">
      <c r="A25" s="229" t="str">
        <f>T_P_BilanSocial[[#This Row],[Nom]]&amp;T_P_BilanSocial[[#This Row],[Prenom]]</f>
        <v>ASTIERANNIE</v>
      </c>
      <c r="B25" s="228" t="s">
        <v>1787</v>
      </c>
      <c r="C25" s="229" t="s">
        <v>909</v>
      </c>
      <c r="D25" s="229" t="s">
        <v>1680</v>
      </c>
      <c r="E25" s="229" t="s">
        <v>1184</v>
      </c>
      <c r="F25" s="230" t="s">
        <v>445</v>
      </c>
      <c r="G25" s="229" t="s">
        <v>1178</v>
      </c>
      <c r="H25" s="229" t="s">
        <v>1179</v>
      </c>
      <c r="I25" s="229" t="s">
        <v>1180</v>
      </c>
      <c r="J25" s="229" t="s">
        <v>420</v>
      </c>
      <c r="K25" s="231" t="s">
        <v>421</v>
      </c>
    </row>
    <row r="26" spans="1:11" s="226" customFormat="1" ht="9.6" customHeight="1" x14ac:dyDescent="0.2">
      <c r="A26" s="229" t="str">
        <f>T_P_BilanSocial[[#This Row],[Nom]]&amp;T_P_BilanSocial[[#This Row],[Prenom]]</f>
        <v>ASTREOUDLIONEL</v>
      </c>
      <c r="B26" s="228" t="s">
        <v>1668</v>
      </c>
      <c r="C26" s="229" t="s">
        <v>568</v>
      </c>
      <c r="D26" s="229" t="s">
        <v>1669</v>
      </c>
      <c r="E26" s="229" t="s">
        <v>1177</v>
      </c>
      <c r="F26" s="230" t="s">
        <v>445</v>
      </c>
      <c r="G26" s="229" t="s">
        <v>1178</v>
      </c>
      <c r="H26" s="229" t="s">
        <v>1179</v>
      </c>
      <c r="I26" s="229" t="s">
        <v>1180</v>
      </c>
      <c r="J26" s="233" t="s">
        <v>471</v>
      </c>
      <c r="K26" s="234" t="s">
        <v>341</v>
      </c>
    </row>
    <row r="27" spans="1:11" s="226" customFormat="1" ht="9.6" customHeight="1" x14ac:dyDescent="0.2">
      <c r="A27" s="229" t="str">
        <f>T_P_BilanSocial[[#This Row],[Nom]]&amp;T_P_BilanSocial[[#This Row],[Prenom]]</f>
        <v>AULAGNONBRIGITTE</v>
      </c>
      <c r="B27" s="228" t="s">
        <v>1636</v>
      </c>
      <c r="C27" s="229" t="s">
        <v>1637</v>
      </c>
      <c r="D27" s="229" t="s">
        <v>1188</v>
      </c>
      <c r="E27" s="229" t="s">
        <v>1184</v>
      </c>
      <c r="F27" s="230" t="s">
        <v>445</v>
      </c>
      <c r="G27" s="229" t="s">
        <v>1178</v>
      </c>
      <c r="H27" s="229" t="s">
        <v>1179</v>
      </c>
      <c r="I27" s="229" t="s">
        <v>1180</v>
      </c>
      <c r="J27" s="229" t="s">
        <v>481</v>
      </c>
      <c r="K27" s="231" t="s">
        <v>341</v>
      </c>
    </row>
    <row r="28" spans="1:11" s="226" customFormat="1" ht="9.6" customHeight="1" x14ac:dyDescent="0.2">
      <c r="A28" s="229" t="str">
        <f>T_P_BilanSocial[[#This Row],[Nom]]&amp;T_P_BilanSocial[[#This Row],[Prenom]]</f>
        <v>AULASJEAN-LUC</v>
      </c>
      <c r="B28" s="228" t="s">
        <v>2439</v>
      </c>
      <c r="C28" s="229" t="s">
        <v>2440</v>
      </c>
      <c r="D28" s="229" t="s">
        <v>1991</v>
      </c>
      <c r="E28" s="229" t="s">
        <v>1177</v>
      </c>
      <c r="F28" s="230" t="s">
        <v>445</v>
      </c>
      <c r="G28" s="229" t="s">
        <v>1178</v>
      </c>
      <c r="H28" s="229" t="s">
        <v>1204</v>
      </c>
      <c r="I28" s="229" t="s">
        <v>1180</v>
      </c>
      <c r="J28" s="229" t="s">
        <v>353</v>
      </c>
      <c r="K28" s="231" t="s">
        <v>354</v>
      </c>
    </row>
    <row r="29" spans="1:11" s="226" customFormat="1" ht="9.6" customHeight="1" x14ac:dyDescent="0.2">
      <c r="A29" s="229" t="str">
        <f>T_P_BilanSocial[[#This Row],[Nom]]&amp;T_P_BilanSocial[[#This Row],[Prenom]]</f>
        <v>AUTHIERMARIE-CÉCILE</v>
      </c>
      <c r="B29" s="228" t="s">
        <v>1605</v>
      </c>
      <c r="C29" s="229" t="s">
        <v>1606</v>
      </c>
      <c r="D29" s="229" t="s">
        <v>1607</v>
      </c>
      <c r="E29" s="229" t="s">
        <v>1184</v>
      </c>
      <c r="F29" s="230" t="s">
        <v>45</v>
      </c>
      <c r="G29" s="229" t="s">
        <v>1178</v>
      </c>
      <c r="H29" s="229" t="s">
        <v>1435</v>
      </c>
      <c r="I29" s="229" t="s">
        <v>1180</v>
      </c>
      <c r="J29" s="229" t="s">
        <v>963</v>
      </c>
      <c r="K29" s="231" t="s">
        <v>1608</v>
      </c>
    </row>
    <row r="30" spans="1:11" s="226" customFormat="1" ht="9.6" customHeight="1" x14ac:dyDescent="0.2">
      <c r="A30" s="229" t="str">
        <f>T_P_BilanSocial[[#This Row],[Nom]]&amp;T_P_BilanSocial[[#This Row],[Prenom]]</f>
        <v>AUTIN-GAILLARDCHRISTELLE</v>
      </c>
      <c r="B30" s="228" t="s">
        <v>1314</v>
      </c>
      <c r="C30" s="229" t="s">
        <v>1019</v>
      </c>
      <c r="D30" s="229" t="s">
        <v>1315</v>
      </c>
      <c r="E30" s="229" t="s">
        <v>1184</v>
      </c>
      <c r="F30" s="230" t="s">
        <v>308</v>
      </c>
      <c r="G30" s="229" t="s">
        <v>1178</v>
      </c>
      <c r="H30" s="229" t="s">
        <v>1204</v>
      </c>
      <c r="I30" s="229" t="s">
        <v>1180</v>
      </c>
      <c r="J30" s="229" t="s">
        <v>1022</v>
      </c>
      <c r="K30" s="231" t="s">
        <v>1023</v>
      </c>
    </row>
    <row r="31" spans="1:11" s="226" customFormat="1" ht="9.6" customHeight="1" x14ac:dyDescent="0.2">
      <c r="A31" s="229" t="str">
        <f>T_P_BilanSocial[[#This Row],[Nom]]&amp;T_P_BilanSocial[[#This Row],[Prenom]]</f>
        <v>BACHELETLAURENT</v>
      </c>
      <c r="B31" s="228" t="s">
        <v>2027</v>
      </c>
      <c r="C31" s="229" t="s">
        <v>2028</v>
      </c>
      <c r="D31" s="229" t="s">
        <v>1799</v>
      </c>
      <c r="E31" s="229" t="s">
        <v>1177</v>
      </c>
      <c r="F31" s="230" t="s">
        <v>45</v>
      </c>
      <c r="G31" s="229" t="s">
        <v>1476</v>
      </c>
      <c r="H31" s="229" t="s">
        <v>1477</v>
      </c>
      <c r="I31" s="229" t="s">
        <v>1180</v>
      </c>
      <c r="J31" s="229" t="s">
        <v>841</v>
      </c>
      <c r="K31" s="231" t="s">
        <v>842</v>
      </c>
    </row>
    <row r="32" spans="1:11" s="226" customFormat="1" ht="9.6" customHeight="1" x14ac:dyDescent="0.2">
      <c r="A32" s="229" t="str">
        <f>T_P_BilanSocial[[#This Row],[Nom]]&amp;T_P_BilanSocial[[#This Row],[Prenom]]</f>
        <v>BADAKHCHBABAK</v>
      </c>
      <c r="B32" s="228" t="s">
        <v>2025</v>
      </c>
      <c r="C32" s="229" t="s">
        <v>810</v>
      </c>
      <c r="D32" s="229" t="s">
        <v>2026</v>
      </c>
      <c r="E32" s="229" t="s">
        <v>1177</v>
      </c>
      <c r="F32" s="230" t="s">
        <v>445</v>
      </c>
      <c r="G32" s="229" t="s">
        <v>1476</v>
      </c>
      <c r="H32" s="229" t="s">
        <v>1477</v>
      </c>
      <c r="I32" s="229" t="s">
        <v>1180</v>
      </c>
      <c r="J32" s="229" t="s">
        <v>665</v>
      </c>
      <c r="K32" s="231" t="s">
        <v>1306</v>
      </c>
    </row>
    <row r="33" spans="1:11" s="226" customFormat="1" ht="9.6" customHeight="1" x14ac:dyDescent="0.2">
      <c r="A33" s="229" t="str">
        <f>T_P_BilanSocial[[#This Row],[Nom]]&amp;T_P_BilanSocial[[#This Row],[Prenom]]</f>
        <v>BADIMILIDIA</v>
      </c>
      <c r="B33" s="228" t="s">
        <v>2105</v>
      </c>
      <c r="C33" s="229" t="s">
        <v>2106</v>
      </c>
      <c r="D33" s="229" t="s">
        <v>2107</v>
      </c>
      <c r="E33" s="229" t="s">
        <v>1184</v>
      </c>
      <c r="F33" s="230" t="s">
        <v>45</v>
      </c>
      <c r="G33" s="229" t="s">
        <v>1476</v>
      </c>
      <c r="H33" s="229" t="s">
        <v>1794</v>
      </c>
      <c r="I33" s="229" t="s">
        <v>1180</v>
      </c>
      <c r="J33" s="229" t="s">
        <v>520</v>
      </c>
      <c r="K33" s="231" t="s">
        <v>341</v>
      </c>
    </row>
    <row r="34" spans="1:11" s="226" customFormat="1" ht="9.6" customHeight="1" x14ac:dyDescent="0.2">
      <c r="A34" s="229" t="str">
        <f>T_P_BilanSocial[[#This Row],[Nom]]&amp;T_P_BilanSocial[[#This Row],[Prenom]]</f>
        <v>BALLIAUGENEVIÈVE</v>
      </c>
      <c r="B34" s="228" t="s">
        <v>1646</v>
      </c>
      <c r="C34" s="229" t="s">
        <v>1647</v>
      </c>
      <c r="D34" s="229" t="s">
        <v>1648</v>
      </c>
      <c r="E34" s="229" t="s">
        <v>3011</v>
      </c>
      <c r="F34" s="230" t="s">
        <v>45</v>
      </c>
      <c r="G34" s="229" t="s">
        <v>1178</v>
      </c>
      <c r="H34" s="229" t="s">
        <v>1435</v>
      </c>
      <c r="I34" s="229" t="s">
        <v>1180</v>
      </c>
      <c r="J34" s="229" t="s">
        <v>340</v>
      </c>
      <c r="K34" s="231" t="s">
        <v>341</v>
      </c>
    </row>
    <row r="35" spans="1:11" s="226" customFormat="1" ht="9.6" customHeight="1" x14ac:dyDescent="0.2">
      <c r="A35" s="229" t="str">
        <f>T_P_BilanSocial[[#This Row],[Nom]]&amp;T_P_BilanSocial[[#This Row],[Prenom]]</f>
        <v>BANDIERLORINE</v>
      </c>
      <c r="B35" s="228" t="s">
        <v>2598</v>
      </c>
      <c r="C35" s="229" t="s">
        <v>866</v>
      </c>
      <c r="D35" s="229" t="s">
        <v>2599</v>
      </c>
      <c r="E35" s="229" t="s">
        <v>1184</v>
      </c>
      <c r="F35" s="230" t="s">
        <v>445</v>
      </c>
      <c r="G35" s="229" t="s">
        <v>1476</v>
      </c>
      <c r="H35" s="229" t="s">
        <v>1794</v>
      </c>
      <c r="I35" s="229" t="s">
        <v>1180</v>
      </c>
      <c r="J35" s="229" t="s">
        <v>481</v>
      </c>
      <c r="K35" s="231" t="s">
        <v>341</v>
      </c>
    </row>
    <row r="36" spans="1:11" s="226" customFormat="1" ht="9.6" customHeight="1" x14ac:dyDescent="0.2">
      <c r="A36" s="229" t="str">
        <f>T_P_BilanSocial[[#This Row],[Nom]]&amp;T_P_BilanSocial[[#This Row],[Prenom]]</f>
        <v>BARATINAUDE</v>
      </c>
      <c r="B36" s="228" t="s">
        <v>2793</v>
      </c>
      <c r="C36" s="229" t="s">
        <v>1052</v>
      </c>
      <c r="D36" s="229" t="s">
        <v>1644</v>
      </c>
      <c r="E36" s="229" t="s">
        <v>1184</v>
      </c>
      <c r="F36" s="230" t="s">
        <v>445</v>
      </c>
      <c r="G36" s="229" t="s">
        <v>1178</v>
      </c>
      <c r="H36" s="229" t="s">
        <v>1435</v>
      </c>
      <c r="I36" s="229" t="s">
        <v>1180</v>
      </c>
      <c r="J36" s="229" t="s">
        <v>340</v>
      </c>
      <c r="K36" s="231" t="s">
        <v>341</v>
      </c>
    </row>
    <row r="37" spans="1:11" s="226" customFormat="1" ht="9.6" customHeight="1" x14ac:dyDescent="0.2">
      <c r="A37" s="229" t="str">
        <f>T_P_BilanSocial[[#This Row],[Nom]]&amp;T_P_BilanSocial[[#This Row],[Prenom]]</f>
        <v>BARAT-STRANIERILISE</v>
      </c>
      <c r="B37" s="228" t="s">
        <v>2428</v>
      </c>
      <c r="C37" s="229" t="s">
        <v>685</v>
      </c>
      <c r="D37" s="229" t="s">
        <v>2429</v>
      </c>
      <c r="E37" s="229" t="s">
        <v>1184</v>
      </c>
      <c r="F37" s="230" t="s">
        <v>445</v>
      </c>
      <c r="G37" s="229" t="s">
        <v>1178</v>
      </c>
      <c r="H37" s="229" t="s">
        <v>1204</v>
      </c>
      <c r="I37" s="229" t="s">
        <v>1180</v>
      </c>
      <c r="J37" s="229" t="s">
        <v>340</v>
      </c>
      <c r="K37" s="231" t="s">
        <v>341</v>
      </c>
    </row>
    <row r="38" spans="1:11" s="226" customFormat="1" ht="9.6" customHeight="1" x14ac:dyDescent="0.2">
      <c r="A38" s="229" t="str">
        <f>T_P_BilanSocial[[#This Row],[Nom]]&amp;T_P_BilanSocial[[#This Row],[Prenom]]</f>
        <v>BARBIERJORDAN</v>
      </c>
      <c r="B38" s="228" t="s">
        <v>2536</v>
      </c>
      <c r="C38" s="229" t="s">
        <v>2537</v>
      </c>
      <c r="D38" s="229" t="s">
        <v>2538</v>
      </c>
      <c r="E38" s="229" t="s">
        <v>1177</v>
      </c>
      <c r="F38" s="230" t="s">
        <v>45</v>
      </c>
      <c r="G38" s="229" t="s">
        <v>1476</v>
      </c>
      <c r="H38" s="229" t="s">
        <v>1794</v>
      </c>
      <c r="I38" s="229" t="s">
        <v>1180</v>
      </c>
      <c r="J38" s="229" t="s">
        <v>320</v>
      </c>
      <c r="K38" s="231" t="s">
        <v>321</v>
      </c>
    </row>
    <row r="39" spans="1:11" s="226" customFormat="1" ht="9.6" customHeight="1" x14ac:dyDescent="0.2">
      <c r="A39" s="229" t="str">
        <f>T_P_BilanSocial[[#This Row],[Nom]]&amp;T_P_BilanSocial[[#This Row],[Prenom]]</f>
        <v>BARBIERANAÏS</v>
      </c>
      <c r="B39" s="228" t="s">
        <v>2706</v>
      </c>
      <c r="C39" s="229" t="s">
        <v>2537</v>
      </c>
      <c r="D39" s="229" t="s">
        <v>2707</v>
      </c>
      <c r="E39" s="229" t="s">
        <v>1184</v>
      </c>
      <c r="F39" s="230" t="s">
        <v>308</v>
      </c>
      <c r="G39" s="229" t="s">
        <v>1476</v>
      </c>
      <c r="H39" s="229" t="s">
        <v>1794</v>
      </c>
      <c r="I39" s="229" t="s">
        <v>1180</v>
      </c>
      <c r="J39" s="229" t="s">
        <v>531</v>
      </c>
      <c r="K39" s="231" t="s">
        <v>532</v>
      </c>
    </row>
    <row r="40" spans="1:11" s="226" customFormat="1" ht="9.6" customHeight="1" x14ac:dyDescent="0.2">
      <c r="A40" s="229" t="str">
        <f>T_P_BilanSocial[[#This Row],[Nom]]&amp;T_P_BilanSocial[[#This Row],[Prenom]]</f>
        <v>BAROUMARIANNE</v>
      </c>
      <c r="B40" s="228" t="s">
        <v>1216</v>
      </c>
      <c r="C40" s="229" t="s">
        <v>464</v>
      </c>
      <c r="D40" s="229" t="s">
        <v>1217</v>
      </c>
      <c r="E40" s="229" t="s">
        <v>1184</v>
      </c>
      <c r="F40" s="230" t="s">
        <v>45</v>
      </c>
      <c r="G40" s="229" t="s">
        <v>1178</v>
      </c>
      <c r="H40" s="229" t="s">
        <v>1179</v>
      </c>
      <c r="I40" s="229" t="s">
        <v>1180</v>
      </c>
      <c r="J40" s="229" t="s">
        <v>477</v>
      </c>
      <c r="K40" s="231" t="s">
        <v>1218</v>
      </c>
    </row>
    <row r="41" spans="1:11" s="226" customFormat="1" ht="9.6" customHeight="1" x14ac:dyDescent="0.2">
      <c r="A41" s="229" t="str">
        <f>T_P_BilanSocial[[#This Row],[Nom]]&amp;T_P_BilanSocial[[#This Row],[Prenom]]</f>
        <v>BAROUSANDRINE</v>
      </c>
      <c r="B41" s="228" t="s">
        <v>1730</v>
      </c>
      <c r="C41" s="229" t="s">
        <v>464</v>
      </c>
      <c r="D41" s="229" t="s">
        <v>1200</v>
      </c>
      <c r="E41" s="229" t="s">
        <v>1184</v>
      </c>
      <c r="F41" s="230" t="s">
        <v>45</v>
      </c>
      <c r="G41" s="229" t="s">
        <v>1178</v>
      </c>
      <c r="H41" s="229" t="s">
        <v>1204</v>
      </c>
      <c r="I41" s="229" t="s">
        <v>1180</v>
      </c>
      <c r="J41" s="229" t="s">
        <v>471</v>
      </c>
      <c r="K41" s="231" t="s">
        <v>341</v>
      </c>
    </row>
    <row r="42" spans="1:11" s="226" customFormat="1" ht="9.6" customHeight="1" x14ac:dyDescent="0.2">
      <c r="A42" s="229" t="str">
        <f>T_P_BilanSocial[[#This Row],[Nom]]&amp;T_P_BilanSocial[[#This Row],[Prenom]]</f>
        <v>BARTHETEMILIE</v>
      </c>
      <c r="B42" s="228" t="s">
        <v>2188</v>
      </c>
      <c r="C42" s="229" t="s">
        <v>2189</v>
      </c>
      <c r="D42" s="229" t="s">
        <v>2190</v>
      </c>
      <c r="E42" s="229" t="s">
        <v>1184</v>
      </c>
      <c r="F42" s="230" t="s">
        <v>308</v>
      </c>
      <c r="G42" s="229" t="s">
        <v>1178</v>
      </c>
      <c r="H42" s="229" t="s">
        <v>1435</v>
      </c>
      <c r="I42" s="229" t="s">
        <v>1180</v>
      </c>
      <c r="J42" s="229" t="s">
        <v>520</v>
      </c>
      <c r="K42" s="231" t="s">
        <v>341</v>
      </c>
    </row>
    <row r="43" spans="1:11" s="226" customFormat="1" ht="9.6" customHeight="1" x14ac:dyDescent="0.2">
      <c r="A43" s="229" t="str">
        <f>T_P_BilanSocial[[#This Row],[Nom]]&amp;T_P_BilanSocial[[#This Row],[Prenom]]</f>
        <v>BASFLORENT</v>
      </c>
      <c r="B43" s="228" t="s">
        <v>1389</v>
      </c>
      <c r="C43" s="229" t="s">
        <v>1390</v>
      </c>
      <c r="D43" s="229" t="s">
        <v>1391</v>
      </c>
      <c r="E43" s="229" t="s">
        <v>1177</v>
      </c>
      <c r="F43" s="230" t="s">
        <v>45</v>
      </c>
      <c r="G43" s="229" t="s">
        <v>1178</v>
      </c>
      <c r="H43" s="229" t="s">
        <v>1204</v>
      </c>
      <c r="I43" s="229" t="s">
        <v>1180</v>
      </c>
      <c r="J43" s="229" t="s">
        <v>736</v>
      </c>
      <c r="K43" s="231" t="s">
        <v>737</v>
      </c>
    </row>
    <row r="44" spans="1:11" s="226" customFormat="1" ht="9.6" customHeight="1" x14ac:dyDescent="0.2">
      <c r="A44" s="229" t="str">
        <f>T_P_BilanSocial[[#This Row],[Nom]]&amp;T_P_BilanSocial[[#This Row],[Prenom]]</f>
        <v>BASSETDOMINIQUE</v>
      </c>
      <c r="B44" s="228" t="s">
        <v>1219</v>
      </c>
      <c r="C44" s="229" t="s">
        <v>1220</v>
      </c>
      <c r="D44" s="229" t="s">
        <v>1221</v>
      </c>
      <c r="E44" s="229" t="s">
        <v>1184</v>
      </c>
      <c r="F44" s="230" t="s">
        <v>445</v>
      </c>
      <c r="G44" s="229" t="s">
        <v>1178</v>
      </c>
      <c r="H44" s="229" t="s">
        <v>1179</v>
      </c>
      <c r="I44" s="229" t="s">
        <v>1180</v>
      </c>
      <c r="J44" s="229" t="s">
        <v>376</v>
      </c>
      <c r="K44" s="231" t="s">
        <v>341</v>
      </c>
    </row>
    <row r="45" spans="1:11" s="226" customFormat="1" ht="9.6" customHeight="1" x14ac:dyDescent="0.2">
      <c r="A45" s="229" t="str">
        <f>T_P_BilanSocial[[#This Row],[Nom]]&amp;T_P_BilanSocial[[#This Row],[Prenom]]</f>
        <v>BASTIDEANNE-LAURE</v>
      </c>
      <c r="B45" s="228" t="s">
        <v>1609</v>
      </c>
      <c r="C45" s="229" t="s">
        <v>641</v>
      </c>
      <c r="D45" s="229" t="s">
        <v>1610</v>
      </c>
      <c r="E45" s="229" t="s">
        <v>1184</v>
      </c>
      <c r="F45" s="230" t="s">
        <v>445</v>
      </c>
      <c r="G45" s="229" t="s">
        <v>1178</v>
      </c>
      <c r="H45" s="229" t="s">
        <v>1179</v>
      </c>
      <c r="I45" s="229" t="s">
        <v>1180</v>
      </c>
      <c r="J45" s="229" t="s">
        <v>471</v>
      </c>
      <c r="K45" s="231" t="s">
        <v>341</v>
      </c>
    </row>
    <row r="46" spans="1:11" s="226" customFormat="1" ht="9.6" customHeight="1" x14ac:dyDescent="0.2">
      <c r="A46" s="229" t="str">
        <f>T_P_BilanSocial[[#This Row],[Nom]]&amp;T_P_BilanSocial[[#This Row],[Prenom]]</f>
        <v>BASTIENMARIE-FRANÇOISE</v>
      </c>
      <c r="B46" s="228" t="s">
        <v>1438</v>
      </c>
      <c r="C46" s="229" t="s">
        <v>1439</v>
      </c>
      <c r="D46" s="229" t="s">
        <v>1440</v>
      </c>
      <c r="E46" s="229" t="s">
        <v>1184</v>
      </c>
      <c r="F46" s="230" t="s">
        <v>445</v>
      </c>
      <c r="G46" s="229" t="s">
        <v>1178</v>
      </c>
      <c r="H46" s="229" t="s">
        <v>1435</v>
      </c>
      <c r="I46" s="229" t="s">
        <v>1180</v>
      </c>
      <c r="J46" s="229" t="s">
        <v>684</v>
      </c>
      <c r="K46" s="231" t="s">
        <v>341</v>
      </c>
    </row>
    <row r="47" spans="1:11" s="226" customFormat="1" ht="9.6" customHeight="1" x14ac:dyDescent="0.2">
      <c r="A47" s="229" t="str">
        <f>T_P_BilanSocial[[#This Row],[Nom]]&amp;T_P_BilanSocial[[#This Row],[Prenom]]</f>
        <v>BAUDETLAURENCE</v>
      </c>
      <c r="B47" s="228" t="s">
        <v>1657</v>
      </c>
      <c r="C47" s="229" t="s">
        <v>1658</v>
      </c>
      <c r="D47" s="229" t="s">
        <v>1282</v>
      </c>
      <c r="E47" s="229" t="s">
        <v>1184</v>
      </c>
      <c r="F47" s="230" t="s">
        <v>445</v>
      </c>
      <c r="G47" s="229" t="s">
        <v>1178</v>
      </c>
      <c r="H47" s="229" t="s">
        <v>1435</v>
      </c>
      <c r="I47" s="229" t="s">
        <v>1180</v>
      </c>
      <c r="J47" s="229" t="s">
        <v>376</v>
      </c>
      <c r="K47" s="231" t="s">
        <v>341</v>
      </c>
    </row>
    <row r="48" spans="1:11" s="226" customFormat="1" ht="9.6" customHeight="1" x14ac:dyDescent="0.2">
      <c r="A48" s="229" t="str">
        <f>T_P_BilanSocial[[#This Row],[Nom]]&amp;T_P_BilanSocial[[#This Row],[Prenom]]</f>
        <v>BAYOUDELODIE</v>
      </c>
      <c r="B48" s="228" t="s">
        <v>2179</v>
      </c>
      <c r="C48" s="229" t="s">
        <v>847</v>
      </c>
      <c r="D48" s="229" t="s">
        <v>1968</v>
      </c>
      <c r="E48" s="229" t="s">
        <v>1184</v>
      </c>
      <c r="F48" s="230" t="s">
        <v>445</v>
      </c>
      <c r="G48" s="229" t="s">
        <v>1178</v>
      </c>
      <c r="H48" s="229" t="s">
        <v>1204</v>
      </c>
      <c r="I48" s="229" t="s">
        <v>1180</v>
      </c>
      <c r="J48" s="233" t="s">
        <v>353</v>
      </c>
      <c r="K48" s="234" t="s">
        <v>354</v>
      </c>
    </row>
    <row r="49" spans="1:11" s="226" customFormat="1" ht="9.6" customHeight="1" x14ac:dyDescent="0.2">
      <c r="A49" s="229" t="str">
        <f>T_P_BilanSocial[[#This Row],[Nom]]&amp;T_P_BilanSocial[[#This Row],[Prenom]]</f>
        <v>BEAUDSOLINE</v>
      </c>
      <c r="B49" s="228" t="s">
        <v>1894</v>
      </c>
      <c r="C49" s="229" t="s">
        <v>1895</v>
      </c>
      <c r="D49" s="229" t="s">
        <v>1896</v>
      </c>
      <c r="E49" s="229" t="s">
        <v>1184</v>
      </c>
      <c r="F49" s="230" t="s">
        <v>308</v>
      </c>
      <c r="G49" s="229" t="s">
        <v>1178</v>
      </c>
      <c r="H49" s="229" t="s">
        <v>1204</v>
      </c>
      <c r="I49" s="229" t="s">
        <v>1180</v>
      </c>
      <c r="J49" s="229" t="s">
        <v>481</v>
      </c>
      <c r="K49" s="231" t="s">
        <v>341</v>
      </c>
    </row>
    <row r="50" spans="1:11" s="226" customFormat="1" ht="9.6" customHeight="1" x14ac:dyDescent="0.2">
      <c r="A50" s="229" t="str">
        <f>T_P_BilanSocial[[#This Row],[Nom]]&amp;T_P_BilanSocial[[#This Row],[Prenom]]</f>
        <v>BECQUARTMOANA</v>
      </c>
      <c r="B50" s="228" t="s">
        <v>2711</v>
      </c>
      <c r="C50" s="229" t="s">
        <v>2712</v>
      </c>
      <c r="D50" s="229" t="s">
        <v>2713</v>
      </c>
      <c r="E50" s="229" t="s">
        <v>1184</v>
      </c>
      <c r="F50" s="230" t="s">
        <v>45</v>
      </c>
      <c r="G50" s="229" t="s">
        <v>1476</v>
      </c>
      <c r="H50" s="229" t="s">
        <v>1794</v>
      </c>
      <c r="I50" s="229" t="s">
        <v>1180</v>
      </c>
      <c r="J50" s="229" t="s">
        <v>626</v>
      </c>
      <c r="K50" s="231" t="s">
        <v>341</v>
      </c>
    </row>
    <row r="51" spans="1:11" s="226" customFormat="1" ht="9.6" customHeight="1" x14ac:dyDescent="0.2">
      <c r="A51" s="229" t="str">
        <f>T_P_BilanSocial[[#This Row],[Nom]]&amp;T_P_BilanSocial[[#This Row],[Prenom]]</f>
        <v>BELEZYLILIAN</v>
      </c>
      <c r="B51" s="228" t="s">
        <v>2318</v>
      </c>
      <c r="C51" s="229" t="s">
        <v>2319</v>
      </c>
      <c r="D51" s="229" t="s">
        <v>2320</v>
      </c>
      <c r="E51" s="229" t="s">
        <v>1177</v>
      </c>
      <c r="F51" s="230" t="s">
        <v>445</v>
      </c>
      <c r="G51" s="229" t="s">
        <v>1178</v>
      </c>
      <c r="H51" s="229" t="s">
        <v>1204</v>
      </c>
      <c r="I51" s="229" t="s">
        <v>1180</v>
      </c>
      <c r="J51" s="229" t="s">
        <v>2321</v>
      </c>
      <c r="K51" s="231" t="s">
        <v>2322</v>
      </c>
    </row>
    <row r="52" spans="1:11" s="226" customFormat="1" ht="9.6" customHeight="1" x14ac:dyDescent="0.2">
      <c r="A52" s="229" t="str">
        <f>T_P_BilanSocial[[#This Row],[Nom]]&amp;T_P_BilanSocial[[#This Row],[Prenom]]</f>
        <v>BELLANGEONODILE</v>
      </c>
      <c r="B52" s="228" t="s">
        <v>1897</v>
      </c>
      <c r="C52" s="229" t="s">
        <v>1898</v>
      </c>
      <c r="D52" s="229" t="s">
        <v>1899</v>
      </c>
      <c r="E52" s="229" t="s">
        <v>1184</v>
      </c>
      <c r="F52" s="230" t="s">
        <v>45</v>
      </c>
      <c r="G52" s="229" t="s">
        <v>1178</v>
      </c>
      <c r="H52" s="229" t="s">
        <v>1204</v>
      </c>
      <c r="I52" s="229" t="s">
        <v>1180</v>
      </c>
      <c r="J52" s="229" t="s">
        <v>411</v>
      </c>
      <c r="K52" s="231" t="s">
        <v>341</v>
      </c>
    </row>
    <row r="53" spans="1:11" s="226" customFormat="1" ht="9.6" customHeight="1" x14ac:dyDescent="0.2">
      <c r="A53" s="229" t="str">
        <f>T_P_BilanSocial[[#This Row],[Nom]]&amp;T_P_BilanSocial[[#This Row],[Prenom]]</f>
        <v>BELLETCécile</v>
      </c>
      <c r="B53" s="228" t="s">
        <v>1866</v>
      </c>
      <c r="C53" s="229" t="s">
        <v>921</v>
      </c>
      <c r="D53" s="233" t="s">
        <v>358</v>
      </c>
      <c r="E53" s="229" t="s">
        <v>1184</v>
      </c>
      <c r="F53" s="230" t="s">
        <v>45</v>
      </c>
      <c r="G53" s="229" t="s">
        <v>1178</v>
      </c>
      <c r="H53" s="229" t="s">
        <v>1179</v>
      </c>
      <c r="I53" s="229" t="s">
        <v>1180</v>
      </c>
      <c r="J53" s="229" t="s">
        <v>398</v>
      </c>
      <c r="K53" s="231" t="s">
        <v>895</v>
      </c>
    </row>
    <row r="54" spans="1:11" s="226" customFormat="1" ht="9.6" customHeight="1" x14ac:dyDescent="0.2">
      <c r="A54" s="229" t="str">
        <f>T_P_BilanSocial[[#This Row],[Nom]]&amp;T_P_BilanSocial[[#This Row],[Prenom]]</f>
        <v>BELOTLAETITIA</v>
      </c>
      <c r="B54" s="228" t="s">
        <v>1797</v>
      </c>
      <c r="C54" s="229" t="s">
        <v>802</v>
      </c>
      <c r="D54" s="233" t="s">
        <v>2042</v>
      </c>
      <c r="E54" s="229" t="s">
        <v>1184</v>
      </c>
      <c r="F54" s="230" t="s">
        <v>445</v>
      </c>
      <c r="G54" s="229" t="s">
        <v>1178</v>
      </c>
      <c r="H54" s="229" t="s">
        <v>1204</v>
      </c>
      <c r="I54" s="229" t="s">
        <v>1180</v>
      </c>
      <c r="J54" s="229" t="s">
        <v>805</v>
      </c>
      <c r="K54" s="231" t="s">
        <v>806</v>
      </c>
    </row>
    <row r="55" spans="1:11" s="226" customFormat="1" ht="9.6" customHeight="1" x14ac:dyDescent="0.2">
      <c r="A55" s="229" t="str">
        <f>T_P_BilanSocial[[#This Row],[Nom]]&amp;T_P_BilanSocial[[#This Row],[Prenom]]</f>
        <v>BENEYTONAUDREY</v>
      </c>
      <c r="B55" s="228" t="s">
        <v>2545</v>
      </c>
      <c r="C55" s="229" t="s">
        <v>982</v>
      </c>
      <c r="D55" s="229" t="s">
        <v>2546</v>
      </c>
      <c r="E55" s="229" t="s">
        <v>1184</v>
      </c>
      <c r="F55" s="230" t="s">
        <v>45</v>
      </c>
      <c r="G55" s="229" t="s">
        <v>1178</v>
      </c>
      <c r="H55" s="229" t="s">
        <v>1204</v>
      </c>
      <c r="I55" s="229" t="s">
        <v>1180</v>
      </c>
      <c r="J55" s="229" t="s">
        <v>1092</v>
      </c>
      <c r="K55" s="231" t="s">
        <v>1093</v>
      </c>
    </row>
    <row r="56" spans="1:11" s="226" customFormat="1" ht="9.6" customHeight="1" x14ac:dyDescent="0.2">
      <c r="A56" s="229" t="str">
        <f>T_P_BilanSocial[[#This Row],[Nom]]&amp;T_P_BilanSocial[[#This Row],[Prenom]]</f>
        <v>BENGHAZISABRINA</v>
      </c>
      <c r="B56" s="228" t="s">
        <v>2460</v>
      </c>
      <c r="C56" s="229" t="s">
        <v>2461</v>
      </c>
      <c r="D56" s="229" t="s">
        <v>1767</v>
      </c>
      <c r="E56" s="229" t="s">
        <v>1184</v>
      </c>
      <c r="F56" s="230" t="s">
        <v>308</v>
      </c>
      <c r="G56" s="229" t="s">
        <v>1476</v>
      </c>
      <c r="H56" s="229" t="s">
        <v>1794</v>
      </c>
      <c r="I56" s="229" t="s">
        <v>1180</v>
      </c>
      <c r="J56" s="229" t="s">
        <v>520</v>
      </c>
      <c r="K56" s="231" t="s">
        <v>341</v>
      </c>
    </row>
    <row r="57" spans="1:11" s="226" customFormat="1" ht="9.6" customHeight="1" x14ac:dyDescent="0.2">
      <c r="A57" s="229" t="str">
        <f>T_P_BilanSocial[[#This Row],[Nom]]&amp;T_P_BilanSocial[[#This Row],[Prenom]]</f>
        <v>BENITHAFABIENNE</v>
      </c>
      <c r="B57" s="228" t="s">
        <v>1554</v>
      </c>
      <c r="C57" s="229" t="s">
        <v>1555</v>
      </c>
      <c r="D57" s="229" t="s">
        <v>1543</v>
      </c>
      <c r="E57" s="229" t="s">
        <v>1184</v>
      </c>
      <c r="F57" s="230" t="s">
        <v>45</v>
      </c>
      <c r="G57" s="229" t="s">
        <v>1178</v>
      </c>
      <c r="H57" s="229" t="s">
        <v>1204</v>
      </c>
      <c r="I57" s="229" t="s">
        <v>1180</v>
      </c>
      <c r="J57" s="229" t="s">
        <v>411</v>
      </c>
      <c r="K57" s="231" t="s">
        <v>341</v>
      </c>
    </row>
    <row r="58" spans="1:11" s="226" customFormat="1" ht="9.6" customHeight="1" x14ac:dyDescent="0.2">
      <c r="A58" s="229" t="str">
        <f>T_P_BilanSocial[[#This Row],[Nom]]&amp;T_P_BilanSocial[[#This Row],[Prenom]]</f>
        <v>BENMESSAOUDSALIMA</v>
      </c>
      <c r="B58" s="228" t="s">
        <v>2859</v>
      </c>
      <c r="C58" s="229" t="s">
        <v>2860</v>
      </c>
      <c r="D58" s="229" t="s">
        <v>2861</v>
      </c>
      <c r="E58" s="229" t="s">
        <v>1184</v>
      </c>
      <c r="F58" s="230" t="s">
        <v>45</v>
      </c>
      <c r="G58" s="229" t="s">
        <v>1476</v>
      </c>
      <c r="H58" s="229" t="s">
        <v>1794</v>
      </c>
      <c r="I58" s="229" t="s">
        <v>1180</v>
      </c>
      <c r="J58" s="229" t="s">
        <v>340</v>
      </c>
      <c r="K58" s="231" t="s">
        <v>341</v>
      </c>
    </row>
    <row r="59" spans="1:11" s="226" customFormat="1" ht="9.6" customHeight="1" x14ac:dyDescent="0.2">
      <c r="A59" s="229" t="str">
        <f>T_P_BilanSocial[[#This Row],[Nom]]&amp;T_P_BilanSocial[[#This Row],[Prenom]]</f>
        <v>BENOITLUDOVIC</v>
      </c>
      <c r="B59" s="228" t="s">
        <v>2010</v>
      </c>
      <c r="C59" s="229" t="s">
        <v>2011</v>
      </c>
      <c r="D59" s="229" t="s">
        <v>2012</v>
      </c>
      <c r="E59" s="229" t="s">
        <v>1177</v>
      </c>
      <c r="F59" s="230" t="s">
        <v>45</v>
      </c>
      <c r="G59" s="229" t="s">
        <v>1178</v>
      </c>
      <c r="H59" s="229" t="s">
        <v>1204</v>
      </c>
      <c r="I59" s="229" t="s">
        <v>1180</v>
      </c>
      <c r="J59" s="229" t="s">
        <v>892</v>
      </c>
      <c r="K59" s="231" t="s">
        <v>893</v>
      </c>
    </row>
    <row r="60" spans="1:11" s="226" customFormat="1" ht="9.6" customHeight="1" x14ac:dyDescent="0.2">
      <c r="A60" s="229" t="str">
        <f>T_P_BilanSocial[[#This Row],[Nom]]&amp;T_P_BilanSocial[[#This Row],[Prenom]]</f>
        <v>BERGAMASCHI GAIGNEROTSTÉPHANIE</v>
      </c>
      <c r="B60" s="228" t="s">
        <v>2567</v>
      </c>
      <c r="C60" s="233" t="s">
        <v>902</v>
      </c>
      <c r="D60" s="229" t="s">
        <v>1261</v>
      </c>
      <c r="E60" s="229" t="s">
        <v>1184</v>
      </c>
      <c r="F60" s="230" t="s">
        <v>445</v>
      </c>
      <c r="G60" s="229" t="s">
        <v>1476</v>
      </c>
      <c r="H60" s="229" t="s">
        <v>1794</v>
      </c>
      <c r="I60" s="229" t="s">
        <v>1180</v>
      </c>
      <c r="J60" s="229" t="s">
        <v>481</v>
      </c>
      <c r="K60" s="231" t="s">
        <v>341</v>
      </c>
    </row>
    <row r="61" spans="1:11" s="226" customFormat="1" ht="9.6" customHeight="1" x14ac:dyDescent="0.2">
      <c r="A61" s="229" t="str">
        <f>T_P_BilanSocial[[#This Row],[Nom]]&amp;T_P_BilanSocial[[#This Row],[Prenom]]</f>
        <v>BERGHEAUDYANN</v>
      </c>
      <c r="B61" s="228" t="s">
        <v>1283</v>
      </c>
      <c r="C61" s="229" t="s">
        <v>436</v>
      </c>
      <c r="D61" s="229" t="s">
        <v>1284</v>
      </c>
      <c r="E61" s="229" t="s">
        <v>1177</v>
      </c>
      <c r="F61" s="230" t="s">
        <v>308</v>
      </c>
      <c r="G61" s="229" t="s">
        <v>1178</v>
      </c>
      <c r="H61" s="229" t="s">
        <v>1204</v>
      </c>
      <c r="I61" s="229" t="s">
        <v>1180</v>
      </c>
      <c r="J61" s="229" t="s">
        <v>626</v>
      </c>
      <c r="K61" s="231" t="s">
        <v>341</v>
      </c>
    </row>
    <row r="62" spans="1:11" s="226" customFormat="1" ht="9.6" customHeight="1" x14ac:dyDescent="0.2">
      <c r="A62" s="229" t="str">
        <f>T_P_BilanSocial[[#This Row],[Nom]]&amp;T_P_BilanSocial[[#This Row],[Prenom]]</f>
        <v>BERJOANDAMIEN</v>
      </c>
      <c r="B62" s="228" t="s">
        <v>2601</v>
      </c>
      <c r="C62" s="229" t="s">
        <v>378</v>
      </c>
      <c r="D62" s="229" t="s">
        <v>1928</v>
      </c>
      <c r="E62" s="229" t="s">
        <v>1177</v>
      </c>
      <c r="F62" s="230" t="s">
        <v>308</v>
      </c>
      <c r="G62" s="229" t="s">
        <v>1178</v>
      </c>
      <c r="H62" s="229" t="s">
        <v>1204</v>
      </c>
      <c r="I62" s="229" t="s">
        <v>1180</v>
      </c>
      <c r="J62" s="229" t="s">
        <v>353</v>
      </c>
      <c r="K62" s="231" t="s">
        <v>354</v>
      </c>
    </row>
    <row r="63" spans="1:11" s="226" customFormat="1" ht="9.6" customHeight="1" x14ac:dyDescent="0.2">
      <c r="A63" s="229" t="str">
        <f>T_P_BilanSocial[[#This Row],[Nom]]&amp;T_P_BilanSocial[[#This Row],[Prenom]]</f>
        <v>BERLANDIMARIE-JOSÉ</v>
      </c>
      <c r="B63" s="228" t="s">
        <v>2035</v>
      </c>
      <c r="C63" s="229" t="s">
        <v>610</v>
      </c>
      <c r="D63" s="233" t="s">
        <v>3000</v>
      </c>
      <c r="E63" s="229" t="s">
        <v>1184</v>
      </c>
      <c r="F63" s="230" t="s">
        <v>308</v>
      </c>
      <c r="G63" s="229" t="s">
        <v>1178</v>
      </c>
      <c r="H63" s="229" t="s">
        <v>1204</v>
      </c>
      <c r="I63" s="229" t="s">
        <v>1180</v>
      </c>
      <c r="J63" s="229" t="s">
        <v>611</v>
      </c>
      <c r="K63" s="231" t="s">
        <v>341</v>
      </c>
    </row>
    <row r="64" spans="1:11" s="226" customFormat="1" ht="9.6" customHeight="1" x14ac:dyDescent="0.2">
      <c r="A64" s="229" t="str">
        <f>T_P_BilanSocial[[#This Row],[Nom]]&amp;T_P_BilanSocial[[#This Row],[Prenom]]</f>
        <v>BERLIETANDRÉ</v>
      </c>
      <c r="B64" s="228" t="s">
        <v>1372</v>
      </c>
      <c r="C64" s="229" t="s">
        <v>1373</v>
      </c>
      <c r="D64" s="229" t="s">
        <v>1292</v>
      </c>
      <c r="E64" s="229" t="s">
        <v>1177</v>
      </c>
      <c r="F64" s="230" t="s">
        <v>45</v>
      </c>
      <c r="G64" s="229" t="s">
        <v>1178</v>
      </c>
      <c r="H64" s="229" t="s">
        <v>1204</v>
      </c>
      <c r="I64" s="229" t="s">
        <v>1180</v>
      </c>
      <c r="J64" s="229" t="s">
        <v>815</v>
      </c>
      <c r="K64" s="231" t="s">
        <v>794</v>
      </c>
    </row>
    <row r="65" spans="1:11" s="226" customFormat="1" ht="9.6" customHeight="1" x14ac:dyDescent="0.2">
      <c r="A65" s="229" t="str">
        <f>T_P_BilanSocial[[#This Row],[Nom]]&amp;T_P_BilanSocial[[#This Row],[Prenom]]</f>
        <v>BERNECLAUDE</v>
      </c>
      <c r="B65" s="228" t="s">
        <v>2058</v>
      </c>
      <c r="C65" s="229" t="s">
        <v>2059</v>
      </c>
      <c r="D65" s="229" t="s">
        <v>2060</v>
      </c>
      <c r="E65" s="229" t="s">
        <v>1184</v>
      </c>
      <c r="F65" s="230" t="s">
        <v>308</v>
      </c>
      <c r="G65" s="229" t="s">
        <v>1178</v>
      </c>
      <c r="H65" s="229" t="s">
        <v>1435</v>
      </c>
      <c r="I65" s="229" t="s">
        <v>1180</v>
      </c>
      <c r="J65" s="229" t="s">
        <v>376</v>
      </c>
      <c r="K65" s="231" t="s">
        <v>341</v>
      </c>
    </row>
    <row r="66" spans="1:11" s="226" customFormat="1" ht="9.6" customHeight="1" x14ac:dyDescent="0.2">
      <c r="A66" s="229" t="str">
        <f>T_P_BilanSocial[[#This Row],[Nom]]&amp;T_P_BilanSocial[[#This Row],[Prenom]]</f>
        <v>BERNIGAUDFLORENCE</v>
      </c>
      <c r="B66" s="228" t="s">
        <v>1465</v>
      </c>
      <c r="C66" s="229" t="s">
        <v>1466</v>
      </c>
      <c r="D66" s="229" t="s">
        <v>1241</v>
      </c>
      <c r="E66" s="229" t="s">
        <v>1184</v>
      </c>
      <c r="F66" s="230" t="s">
        <v>445</v>
      </c>
      <c r="G66" s="229" t="s">
        <v>1178</v>
      </c>
      <c r="H66" s="229" t="s">
        <v>1204</v>
      </c>
      <c r="I66" s="229" t="s">
        <v>1180</v>
      </c>
      <c r="J66" s="229" t="s">
        <v>481</v>
      </c>
      <c r="K66" s="231" t="s">
        <v>341</v>
      </c>
    </row>
    <row r="67" spans="1:11" s="226" customFormat="1" ht="9.6" customHeight="1" x14ac:dyDescent="0.2">
      <c r="A67" s="229" t="str">
        <f>T_P_BilanSocial[[#This Row],[Nom]]&amp;T_P_BilanSocial[[#This Row],[Prenom]]</f>
        <v>BEROUD COURTIALISABELLE</v>
      </c>
      <c r="B67" s="228" t="s">
        <v>1437</v>
      </c>
      <c r="C67" s="229" t="s">
        <v>1040</v>
      </c>
      <c r="D67" s="229" t="s">
        <v>1224</v>
      </c>
      <c r="E67" s="229" t="s">
        <v>1184</v>
      </c>
      <c r="F67" s="230" t="s">
        <v>445</v>
      </c>
      <c r="G67" s="229" t="s">
        <v>1178</v>
      </c>
      <c r="H67" s="229" t="s">
        <v>1435</v>
      </c>
      <c r="I67" s="229" t="s">
        <v>1180</v>
      </c>
      <c r="J67" s="229" t="s">
        <v>398</v>
      </c>
      <c r="K67" s="231" t="s">
        <v>1298</v>
      </c>
    </row>
    <row r="68" spans="1:11" s="226" customFormat="1" ht="9.6" customHeight="1" x14ac:dyDescent="0.2">
      <c r="A68" s="229" t="str">
        <f>T_P_BilanSocial[[#This Row],[Nom]]&amp;T_P_BilanSocial[[#This Row],[Prenom]]</f>
        <v>BERTHIERANNE-SOPHIE</v>
      </c>
      <c r="B68" s="228" t="s">
        <v>2124</v>
      </c>
      <c r="C68" s="229" t="s">
        <v>894</v>
      </c>
      <c r="D68" s="229" t="s">
        <v>1614</v>
      </c>
      <c r="E68" s="229" t="s">
        <v>1184</v>
      </c>
      <c r="F68" s="230" t="s">
        <v>308</v>
      </c>
      <c r="G68" s="229" t="s">
        <v>1476</v>
      </c>
      <c r="H68" s="229" t="s">
        <v>1477</v>
      </c>
      <c r="I68" s="229" t="s">
        <v>1180</v>
      </c>
      <c r="J68" s="229" t="s">
        <v>398</v>
      </c>
      <c r="K68" s="231" t="s">
        <v>895</v>
      </c>
    </row>
    <row r="69" spans="1:11" s="226" customFormat="1" ht="9.6" customHeight="1" x14ac:dyDescent="0.2">
      <c r="A69" s="229" t="str">
        <f>T_P_BilanSocial[[#This Row],[Nom]]&amp;T_P_BilanSocial[[#This Row],[Prenom]]</f>
        <v>BERTHOLONVIOLAINE</v>
      </c>
      <c r="B69" s="228" t="s">
        <v>2838</v>
      </c>
      <c r="C69" s="229" t="s">
        <v>2839</v>
      </c>
      <c r="D69" s="229" t="s">
        <v>2840</v>
      </c>
      <c r="E69" s="229" t="s">
        <v>1184</v>
      </c>
      <c r="F69" s="230" t="s">
        <v>45</v>
      </c>
      <c r="G69" s="229" t="s">
        <v>1476</v>
      </c>
      <c r="H69" s="229" t="s">
        <v>1794</v>
      </c>
      <c r="I69" s="229" t="s">
        <v>1180</v>
      </c>
      <c r="J69" s="229" t="s">
        <v>471</v>
      </c>
      <c r="K69" s="231" t="s">
        <v>341</v>
      </c>
    </row>
    <row r="70" spans="1:11" s="226" customFormat="1" ht="9.6" customHeight="1" x14ac:dyDescent="0.2">
      <c r="A70" s="229" t="str">
        <f>T_P_BilanSocial[[#This Row],[Nom]]&amp;T_P_BilanSocial[[#This Row],[Prenom]]</f>
        <v>BERTRANDVALÉRIE</v>
      </c>
      <c r="B70" s="228" t="s">
        <v>1436</v>
      </c>
      <c r="C70" s="229" t="s">
        <v>864</v>
      </c>
      <c r="D70" s="229" t="s">
        <v>1308</v>
      </c>
      <c r="E70" s="229" t="s">
        <v>1184</v>
      </c>
      <c r="F70" s="230" t="s">
        <v>308</v>
      </c>
      <c r="G70" s="229" t="s">
        <v>1178</v>
      </c>
      <c r="H70" s="229" t="s">
        <v>1435</v>
      </c>
      <c r="I70" s="229" t="s">
        <v>1180</v>
      </c>
      <c r="J70" s="229" t="s">
        <v>340</v>
      </c>
      <c r="K70" s="231" t="s">
        <v>341</v>
      </c>
    </row>
    <row r="71" spans="1:11" s="226" customFormat="1" ht="9.6" customHeight="1" x14ac:dyDescent="0.2">
      <c r="A71" s="229" t="str">
        <f>T_P_BilanSocial[[#This Row],[Nom]]&amp;T_P_BilanSocial[[#This Row],[Prenom]]</f>
        <v>BESOIN BRUNELFLORENCE</v>
      </c>
      <c r="B71" s="228" t="s">
        <v>2301</v>
      </c>
      <c r="C71" s="233" t="s">
        <v>823</v>
      </c>
      <c r="D71" s="229" t="s">
        <v>1241</v>
      </c>
      <c r="E71" s="229" t="s">
        <v>1184</v>
      </c>
      <c r="F71" s="230" t="s">
        <v>45</v>
      </c>
      <c r="G71" s="229" t="s">
        <v>1178</v>
      </c>
      <c r="H71" s="229" t="s">
        <v>1179</v>
      </c>
      <c r="I71" s="229" t="s">
        <v>1180</v>
      </c>
      <c r="J71" s="229" t="s">
        <v>309</v>
      </c>
      <c r="K71" s="231" t="s">
        <v>1854</v>
      </c>
    </row>
    <row r="72" spans="1:11" s="226" customFormat="1" ht="9.6" customHeight="1" x14ac:dyDescent="0.2">
      <c r="A72" s="229" t="str">
        <f>T_P_BilanSocial[[#This Row],[Nom]]&amp;T_P_BilanSocial[[#This Row],[Prenom]]</f>
        <v>BETSCHERAURÉLIEN</v>
      </c>
      <c r="B72" s="228" t="s">
        <v>2758</v>
      </c>
      <c r="C72" s="229" t="s">
        <v>2759</v>
      </c>
      <c r="D72" s="229" t="s">
        <v>1812</v>
      </c>
      <c r="E72" s="229" t="s">
        <v>1177</v>
      </c>
      <c r="F72" s="230" t="s">
        <v>308</v>
      </c>
      <c r="G72" s="229" t="s">
        <v>1476</v>
      </c>
      <c r="H72" s="229" t="s">
        <v>1794</v>
      </c>
      <c r="I72" s="229" t="s">
        <v>1180</v>
      </c>
      <c r="J72" s="229" t="s">
        <v>376</v>
      </c>
      <c r="K72" s="231" t="s">
        <v>341</v>
      </c>
    </row>
    <row r="73" spans="1:11" s="226" customFormat="1" ht="9.6" customHeight="1" x14ac:dyDescent="0.2">
      <c r="A73" s="229" t="str">
        <f>T_P_BilanSocial[[#This Row],[Nom]]&amp;T_P_BilanSocial[[#This Row],[Prenom]]</f>
        <v>BIARDJEAN-PAUL</v>
      </c>
      <c r="B73" s="228" t="s">
        <v>1357</v>
      </c>
      <c r="C73" s="229" t="s">
        <v>1358</v>
      </c>
      <c r="D73" s="229" t="s">
        <v>1359</v>
      </c>
      <c r="E73" s="229" t="s">
        <v>1177</v>
      </c>
      <c r="F73" s="230" t="s">
        <v>45</v>
      </c>
      <c r="G73" s="229" t="s">
        <v>1178</v>
      </c>
      <c r="H73" s="229" t="s">
        <v>1204</v>
      </c>
      <c r="I73" s="229" t="s">
        <v>1180</v>
      </c>
      <c r="J73" s="229" t="s">
        <v>531</v>
      </c>
      <c r="K73" s="231" t="s">
        <v>532</v>
      </c>
    </row>
    <row r="74" spans="1:11" s="226" customFormat="1" ht="9.6" customHeight="1" x14ac:dyDescent="0.2">
      <c r="A74" s="229" t="str">
        <f>T_P_BilanSocial[[#This Row],[Nom]]&amp;T_P_BilanSocial[[#This Row],[Prenom]]</f>
        <v>BICHATPHILIPPE</v>
      </c>
      <c r="B74" s="228" t="s">
        <v>1467</v>
      </c>
      <c r="C74" s="229" t="s">
        <v>1468</v>
      </c>
      <c r="D74" s="229" t="s">
        <v>1339</v>
      </c>
      <c r="E74" s="229" t="s">
        <v>1177</v>
      </c>
      <c r="F74" s="230" t="s">
        <v>308</v>
      </c>
      <c r="G74" s="229" t="s">
        <v>1178</v>
      </c>
      <c r="H74" s="229" t="s">
        <v>1204</v>
      </c>
      <c r="I74" s="229" t="s">
        <v>1180</v>
      </c>
      <c r="J74" s="229" t="s">
        <v>607</v>
      </c>
      <c r="K74" s="231" t="s">
        <v>608</v>
      </c>
    </row>
    <row r="75" spans="1:11" s="226" customFormat="1" ht="9.6" customHeight="1" x14ac:dyDescent="0.2">
      <c r="A75" s="229" t="str">
        <f>T_P_BilanSocial[[#This Row],[Nom]]&amp;T_P_BilanSocial[[#This Row],[Prenom]]</f>
        <v>BILLIERASGérald</v>
      </c>
      <c r="B75" s="228" t="s">
        <v>2700</v>
      </c>
      <c r="C75" s="229" t="s">
        <v>670</v>
      </c>
      <c r="D75" s="233" t="s">
        <v>671</v>
      </c>
      <c r="E75" s="229" t="s">
        <v>1177</v>
      </c>
      <c r="F75" s="230" t="s">
        <v>308</v>
      </c>
      <c r="G75" s="229" t="s">
        <v>1476</v>
      </c>
      <c r="H75" s="229" t="s">
        <v>1794</v>
      </c>
      <c r="I75" s="229" t="s">
        <v>1180</v>
      </c>
      <c r="J75" s="229" t="s">
        <v>320</v>
      </c>
      <c r="K75" s="231" t="s">
        <v>321</v>
      </c>
    </row>
    <row r="76" spans="1:11" s="226" customFormat="1" ht="9.6" customHeight="1" x14ac:dyDescent="0.2">
      <c r="A76" s="229" t="str">
        <f>T_P_BilanSocial[[#This Row],[Nom]]&amp;T_P_BilanSocial[[#This Row],[Prenom]]</f>
        <v>BINET-TIESSENEugénie</v>
      </c>
      <c r="B76" s="228" t="s">
        <v>2473</v>
      </c>
      <c r="C76" s="233" t="s">
        <v>396</v>
      </c>
      <c r="D76" s="233" t="s">
        <v>1002</v>
      </c>
      <c r="E76" s="229" t="s">
        <v>1184</v>
      </c>
      <c r="F76" s="230" t="s">
        <v>308</v>
      </c>
      <c r="G76" s="229" t="s">
        <v>1476</v>
      </c>
      <c r="H76" s="229" t="s">
        <v>1477</v>
      </c>
      <c r="I76" s="229" t="s">
        <v>1180</v>
      </c>
      <c r="J76" s="229" t="s">
        <v>411</v>
      </c>
      <c r="K76" s="231" t="s">
        <v>341</v>
      </c>
    </row>
    <row r="77" spans="1:11" s="226" customFormat="1" ht="9.6" customHeight="1" x14ac:dyDescent="0.2">
      <c r="A77" s="229" t="str">
        <f>T_P_BilanSocial[[#This Row],[Nom]]&amp;T_P_BilanSocial[[#This Row],[Prenom]]</f>
        <v>BLAIRONALEXANDRE</v>
      </c>
      <c r="B77" s="228" t="s">
        <v>2533</v>
      </c>
      <c r="C77" s="229" t="s">
        <v>2534</v>
      </c>
      <c r="D77" s="229" t="s">
        <v>2230</v>
      </c>
      <c r="E77" s="229" t="s">
        <v>1177</v>
      </c>
      <c r="F77" s="230" t="s">
        <v>45</v>
      </c>
      <c r="G77" s="229" t="s">
        <v>1476</v>
      </c>
      <c r="H77" s="229" t="s">
        <v>1794</v>
      </c>
      <c r="I77" s="229" t="s">
        <v>1180</v>
      </c>
      <c r="J77" s="229" t="s">
        <v>1141</v>
      </c>
      <c r="K77" s="231" t="s">
        <v>2535</v>
      </c>
    </row>
    <row r="78" spans="1:11" s="226" customFormat="1" ht="9.6" customHeight="1" x14ac:dyDescent="0.2">
      <c r="A78" s="229" t="str">
        <f>T_P_BilanSocial[[#This Row],[Nom]]&amp;T_P_BilanSocial[[#This Row],[Prenom]]</f>
        <v>BLANCRACHEL</v>
      </c>
      <c r="B78" s="228" t="s">
        <v>1181</v>
      </c>
      <c r="C78" s="229" t="s">
        <v>1182</v>
      </c>
      <c r="D78" s="229" t="s">
        <v>1183</v>
      </c>
      <c r="E78" s="229" t="s">
        <v>1184</v>
      </c>
      <c r="F78" s="230" t="s">
        <v>308</v>
      </c>
      <c r="G78" s="229" t="s">
        <v>1178</v>
      </c>
      <c r="H78" s="229" t="s">
        <v>1179</v>
      </c>
      <c r="I78" s="229" t="s">
        <v>1180</v>
      </c>
      <c r="J78" s="229" t="s">
        <v>411</v>
      </c>
      <c r="K78" s="231" t="s">
        <v>341</v>
      </c>
    </row>
    <row r="79" spans="1:11" s="226" customFormat="1" ht="9.6" customHeight="1" x14ac:dyDescent="0.2">
      <c r="A79" s="229" t="str">
        <f>T_P_BilanSocial[[#This Row],[Nom]]&amp;T_P_BilanSocial[[#This Row],[Prenom]]</f>
        <v>BLANCHETMANON</v>
      </c>
      <c r="B79" s="228" t="s">
        <v>2766</v>
      </c>
      <c r="C79" s="229" t="s">
        <v>2767</v>
      </c>
      <c r="D79" s="229" t="s">
        <v>1191</v>
      </c>
      <c r="E79" s="229" t="s">
        <v>1184</v>
      </c>
      <c r="F79" s="230" t="s">
        <v>308</v>
      </c>
      <c r="G79" s="229" t="s">
        <v>1476</v>
      </c>
      <c r="H79" s="229" t="s">
        <v>1794</v>
      </c>
      <c r="I79" s="229" t="s">
        <v>1180</v>
      </c>
      <c r="J79" s="229" t="s">
        <v>416</v>
      </c>
      <c r="K79" s="231" t="s">
        <v>2768</v>
      </c>
    </row>
    <row r="80" spans="1:11" s="226" customFormat="1" ht="9.6" customHeight="1" x14ac:dyDescent="0.2">
      <c r="A80" s="229" t="str">
        <f>T_P_BilanSocial[[#This Row],[Nom]]&amp;T_P_BilanSocial[[#This Row],[Prenom]]</f>
        <v>BLANQUERMICHELLE</v>
      </c>
      <c r="B80" s="228" t="s">
        <v>1472</v>
      </c>
      <c r="C80" s="229" t="s">
        <v>1473</v>
      </c>
      <c r="D80" s="229" t="s">
        <v>1474</v>
      </c>
      <c r="E80" s="229" t="s">
        <v>1184</v>
      </c>
      <c r="F80" s="230" t="s">
        <v>308</v>
      </c>
      <c r="G80" s="229" t="s">
        <v>1178</v>
      </c>
      <c r="H80" s="229" t="s">
        <v>1204</v>
      </c>
      <c r="I80" s="229" t="s">
        <v>1180</v>
      </c>
      <c r="J80" s="229" t="s">
        <v>618</v>
      </c>
      <c r="K80" s="231" t="s">
        <v>619</v>
      </c>
    </row>
    <row r="81" spans="1:11" s="226" customFormat="1" ht="9.6" customHeight="1" x14ac:dyDescent="0.2">
      <c r="A81" s="229" t="str">
        <f>T_P_BilanSocial[[#This Row],[Nom]]&amp;T_P_BilanSocial[[#This Row],[Prenom]]</f>
        <v>BLASCOELISABETH</v>
      </c>
      <c r="B81" s="228" t="s">
        <v>2304</v>
      </c>
      <c r="C81" s="229" t="s">
        <v>613</v>
      </c>
      <c r="D81" s="229" t="s">
        <v>1511</v>
      </c>
      <c r="E81" s="229" t="s">
        <v>1184</v>
      </c>
      <c r="F81" s="230" t="s">
        <v>445</v>
      </c>
      <c r="G81" s="229" t="s">
        <v>1178</v>
      </c>
      <c r="H81" s="229" t="s">
        <v>1179</v>
      </c>
      <c r="I81" s="229" t="s">
        <v>1180</v>
      </c>
      <c r="J81" s="229" t="s">
        <v>411</v>
      </c>
      <c r="K81" s="231" t="s">
        <v>341</v>
      </c>
    </row>
    <row r="82" spans="1:11" s="226" customFormat="1" ht="9.6" customHeight="1" x14ac:dyDescent="0.2">
      <c r="A82" s="229" t="str">
        <f>T_P_BilanSocial[[#This Row],[Nom]]&amp;T_P_BilanSocial[[#This Row],[Prenom]]</f>
        <v>BLAUFABRICE</v>
      </c>
      <c r="B82" s="228" t="s">
        <v>1744</v>
      </c>
      <c r="C82" s="229" t="s">
        <v>694</v>
      </c>
      <c r="D82" s="229" t="s">
        <v>1482</v>
      </c>
      <c r="E82" s="229" t="s">
        <v>1177</v>
      </c>
      <c r="F82" s="230" t="s">
        <v>445</v>
      </c>
      <c r="G82" s="229" t="s">
        <v>1178</v>
      </c>
      <c r="H82" s="229" t="s">
        <v>1204</v>
      </c>
      <c r="I82" s="229" t="s">
        <v>1180</v>
      </c>
      <c r="J82" s="229" t="s">
        <v>449</v>
      </c>
      <c r="K82" s="232" t="s">
        <v>2997</v>
      </c>
    </row>
    <row r="83" spans="1:11" s="226" customFormat="1" ht="9.6" customHeight="1" x14ac:dyDescent="0.2">
      <c r="A83" s="229" t="str">
        <f>T_P_BilanSocial[[#This Row],[Nom]]&amp;T_P_BilanSocial[[#This Row],[Prenom]]</f>
        <v>BLINTHOMAS</v>
      </c>
      <c r="B83" s="228" t="s">
        <v>2136</v>
      </c>
      <c r="C83" s="229" t="s">
        <v>2137</v>
      </c>
      <c r="D83" s="229" t="s">
        <v>2138</v>
      </c>
      <c r="E83" s="229" t="s">
        <v>1177</v>
      </c>
      <c r="F83" s="230" t="s">
        <v>308</v>
      </c>
      <c r="G83" s="229" t="s">
        <v>1178</v>
      </c>
      <c r="H83" s="229" t="s">
        <v>1179</v>
      </c>
      <c r="I83" s="229" t="s">
        <v>1180</v>
      </c>
      <c r="J83" s="229" t="s">
        <v>481</v>
      </c>
      <c r="K83" s="231" t="s">
        <v>341</v>
      </c>
    </row>
    <row r="84" spans="1:11" s="226" customFormat="1" ht="9.6" customHeight="1" x14ac:dyDescent="0.2">
      <c r="A84" s="229" t="str">
        <f>T_P_BilanSocial[[#This Row],[Nom]]&amp;T_P_BilanSocial[[#This Row],[Prenom]]</f>
        <v>BLONDEAUALICIA</v>
      </c>
      <c r="B84" s="228" t="s">
        <v>2833</v>
      </c>
      <c r="C84" s="229" t="s">
        <v>575</v>
      </c>
      <c r="D84" s="229" t="s">
        <v>2062</v>
      </c>
      <c r="E84" s="229" t="s">
        <v>1184</v>
      </c>
      <c r="F84" s="230" t="s">
        <v>45</v>
      </c>
      <c r="G84" s="229" t="s">
        <v>1476</v>
      </c>
      <c r="H84" s="229" t="s">
        <v>1794</v>
      </c>
      <c r="I84" s="229" t="s">
        <v>1180</v>
      </c>
      <c r="J84" s="229" t="s">
        <v>353</v>
      </c>
      <c r="K84" s="231" t="s">
        <v>354</v>
      </c>
    </row>
    <row r="85" spans="1:11" s="226" customFormat="1" ht="9.6" customHeight="1" x14ac:dyDescent="0.2">
      <c r="A85" s="229" t="str">
        <f>T_P_BilanSocial[[#This Row],[Nom]]&amp;T_P_BilanSocial[[#This Row],[Prenom]]</f>
        <v>BOCHONELSA</v>
      </c>
      <c r="B85" s="228" t="s">
        <v>1960</v>
      </c>
      <c r="C85" s="229" t="s">
        <v>1961</v>
      </c>
      <c r="D85" s="229" t="s">
        <v>1962</v>
      </c>
      <c r="E85" s="229" t="s">
        <v>1184</v>
      </c>
      <c r="F85" s="230" t="s">
        <v>445</v>
      </c>
      <c r="G85" s="229" t="s">
        <v>1178</v>
      </c>
      <c r="H85" s="229" t="s">
        <v>1204</v>
      </c>
      <c r="I85" s="229" t="s">
        <v>1180</v>
      </c>
      <c r="J85" s="229" t="s">
        <v>1963</v>
      </c>
      <c r="K85" s="231" t="s">
        <v>1964</v>
      </c>
    </row>
    <row r="86" spans="1:11" s="226" customFormat="1" ht="9.6" customHeight="1" x14ac:dyDescent="0.2">
      <c r="A86" s="229" t="str">
        <f>T_P_BilanSocial[[#This Row],[Nom]]&amp;T_P_BilanSocial[[#This Row],[Prenom]]</f>
        <v>BOCQUIERALEXANDRE</v>
      </c>
      <c r="B86" s="228" t="s">
        <v>2229</v>
      </c>
      <c r="C86" s="229" t="s">
        <v>355</v>
      </c>
      <c r="D86" s="229" t="s">
        <v>2230</v>
      </c>
      <c r="E86" s="229" t="s">
        <v>1177</v>
      </c>
      <c r="F86" s="230" t="s">
        <v>445</v>
      </c>
      <c r="G86" s="229" t="s">
        <v>1178</v>
      </c>
      <c r="H86" s="229" t="s">
        <v>1204</v>
      </c>
      <c r="I86" s="229" t="s">
        <v>1180</v>
      </c>
      <c r="J86" s="233" t="s">
        <v>353</v>
      </c>
      <c r="K86" s="234" t="s">
        <v>354</v>
      </c>
    </row>
    <row r="87" spans="1:11" s="226" customFormat="1" ht="9.6" customHeight="1" x14ac:dyDescent="0.2">
      <c r="A87" s="229" t="str">
        <f>T_P_BilanSocial[[#This Row],[Nom]]&amp;T_P_BilanSocial[[#This Row],[Prenom]]</f>
        <v>BODOYISABELLE</v>
      </c>
      <c r="B87" s="228" t="s">
        <v>2166</v>
      </c>
      <c r="C87" s="229" t="s">
        <v>2167</v>
      </c>
      <c r="D87" s="229" t="s">
        <v>1224</v>
      </c>
      <c r="E87" s="229" t="s">
        <v>1184</v>
      </c>
      <c r="F87" s="230" t="s">
        <v>308</v>
      </c>
      <c r="G87" s="229" t="s">
        <v>1476</v>
      </c>
      <c r="H87" s="229" t="s">
        <v>1477</v>
      </c>
      <c r="I87" s="229" t="s">
        <v>1180</v>
      </c>
      <c r="J87" s="229" t="s">
        <v>477</v>
      </c>
      <c r="K87" s="231" t="s">
        <v>478</v>
      </c>
    </row>
    <row r="88" spans="1:11" s="226" customFormat="1" ht="9.6" customHeight="1" x14ac:dyDescent="0.2">
      <c r="A88" s="229" t="str">
        <f>T_P_BilanSocial[[#This Row],[Nom]]&amp;T_P_BilanSocial[[#This Row],[Prenom]]</f>
        <v>BODRIJÉRÔME</v>
      </c>
      <c r="B88" s="228" t="s">
        <v>1615</v>
      </c>
      <c r="C88" s="229" t="s">
        <v>1616</v>
      </c>
      <c r="D88" s="229" t="s">
        <v>1617</v>
      </c>
      <c r="E88" s="229" t="s">
        <v>1177</v>
      </c>
      <c r="F88" s="230" t="s">
        <v>308</v>
      </c>
      <c r="G88" s="229" t="s">
        <v>1178</v>
      </c>
      <c r="H88" s="229" t="s">
        <v>1204</v>
      </c>
      <c r="I88" s="229" t="s">
        <v>1180</v>
      </c>
      <c r="J88" s="229" t="s">
        <v>376</v>
      </c>
      <c r="K88" s="231" t="s">
        <v>341</v>
      </c>
    </row>
    <row r="89" spans="1:11" s="226" customFormat="1" ht="9.6" customHeight="1" x14ac:dyDescent="0.2">
      <c r="A89" s="229" t="str">
        <f>T_P_BilanSocial[[#This Row],[Nom]]&amp;T_P_BilanSocial[[#This Row],[Prenom]]</f>
        <v>BOEUFSAMUEL</v>
      </c>
      <c r="B89" s="228" t="s">
        <v>1832</v>
      </c>
      <c r="C89" s="229" t="s">
        <v>1833</v>
      </c>
      <c r="D89" s="229" t="s">
        <v>1834</v>
      </c>
      <c r="E89" s="229" t="s">
        <v>1177</v>
      </c>
      <c r="F89" s="230" t="s">
        <v>445</v>
      </c>
      <c r="G89" s="229" t="s">
        <v>1476</v>
      </c>
      <c r="H89" s="229" t="s">
        <v>1477</v>
      </c>
      <c r="I89" s="229" t="s">
        <v>1180</v>
      </c>
      <c r="J89" s="229" t="s">
        <v>353</v>
      </c>
      <c r="K89" s="231" t="s">
        <v>354</v>
      </c>
    </row>
    <row r="90" spans="1:11" s="226" customFormat="1" ht="9.6" customHeight="1" x14ac:dyDescent="0.2">
      <c r="A90" s="229" t="str">
        <f>T_P_BilanSocial[[#This Row],[Nom]]&amp;T_P_BilanSocial[[#This Row],[Prenom]]</f>
        <v>BOINONANNE-LAURE</v>
      </c>
      <c r="B90" s="228" t="s">
        <v>1731</v>
      </c>
      <c r="C90" s="229" t="s">
        <v>435</v>
      </c>
      <c r="D90" s="235" t="s">
        <v>1610</v>
      </c>
      <c r="E90" s="229" t="s">
        <v>1184</v>
      </c>
      <c r="F90" s="230" t="s">
        <v>308</v>
      </c>
      <c r="G90" s="229" t="s">
        <v>1178</v>
      </c>
      <c r="H90" s="229" t="s">
        <v>1204</v>
      </c>
      <c r="I90" s="229" t="s">
        <v>1180</v>
      </c>
      <c r="J90" s="229" t="s">
        <v>438</v>
      </c>
      <c r="K90" s="231" t="s">
        <v>439</v>
      </c>
    </row>
    <row r="91" spans="1:11" s="226" customFormat="1" ht="9.6" customHeight="1" x14ac:dyDescent="0.2">
      <c r="A91" s="229" t="str">
        <f>T_P_BilanSocial[[#This Row],[Nom]]&amp;T_P_BilanSocial[[#This Row],[Prenom]]</f>
        <v>BOISSONNETDELPHINE</v>
      </c>
      <c r="B91" s="228" t="s">
        <v>1193</v>
      </c>
      <c r="C91" s="229" t="s">
        <v>1194</v>
      </c>
      <c r="D91" s="229" t="s">
        <v>1195</v>
      </c>
      <c r="E91" s="229" t="s">
        <v>1184</v>
      </c>
      <c r="F91" s="230" t="s">
        <v>445</v>
      </c>
      <c r="G91" s="229" t="s">
        <v>1178</v>
      </c>
      <c r="H91" s="229" t="s">
        <v>1179</v>
      </c>
      <c r="I91" s="229" t="s">
        <v>1180</v>
      </c>
      <c r="J91" s="229" t="s">
        <v>1196</v>
      </c>
      <c r="K91" s="231" t="s">
        <v>1197</v>
      </c>
    </row>
    <row r="92" spans="1:11" s="226" customFormat="1" ht="9.6" customHeight="1" x14ac:dyDescent="0.2">
      <c r="A92" s="229" t="str">
        <f>T_P_BilanSocial[[#This Row],[Nom]]&amp;T_P_BilanSocial[[#This Row],[Prenom]]</f>
        <v>BOLLONDÉBORAH</v>
      </c>
      <c r="B92" s="228" t="s">
        <v>2210</v>
      </c>
      <c r="C92" s="229" t="s">
        <v>2211</v>
      </c>
      <c r="D92" s="229" t="s">
        <v>2212</v>
      </c>
      <c r="E92" s="229" t="s">
        <v>1184</v>
      </c>
      <c r="F92" s="230" t="s">
        <v>45</v>
      </c>
      <c r="G92" s="229" t="s">
        <v>1476</v>
      </c>
      <c r="H92" s="229" t="s">
        <v>1477</v>
      </c>
      <c r="I92" s="229" t="s">
        <v>1180</v>
      </c>
      <c r="J92" s="229" t="s">
        <v>520</v>
      </c>
      <c r="K92" s="231" t="s">
        <v>341</v>
      </c>
    </row>
    <row r="93" spans="1:11" s="226" customFormat="1" ht="9.6" customHeight="1" x14ac:dyDescent="0.2">
      <c r="A93" s="229" t="str">
        <f>T_P_BilanSocial[[#This Row],[Nom]]&amp;T_P_BilanSocial[[#This Row],[Prenom]]</f>
        <v>BONGIOVANNILAETITIA</v>
      </c>
      <c r="B93" s="228" t="s">
        <v>2040</v>
      </c>
      <c r="C93" s="229" t="s">
        <v>2041</v>
      </c>
      <c r="D93" s="229" t="s">
        <v>2042</v>
      </c>
      <c r="E93" s="229" t="s">
        <v>1184</v>
      </c>
      <c r="F93" s="230" t="s">
        <v>45</v>
      </c>
      <c r="G93" s="229" t="s">
        <v>1178</v>
      </c>
      <c r="H93" s="229" t="s">
        <v>1204</v>
      </c>
      <c r="I93" s="229" t="s">
        <v>1180</v>
      </c>
      <c r="J93" s="229" t="s">
        <v>1461</v>
      </c>
      <c r="K93" s="231" t="s">
        <v>1462</v>
      </c>
    </row>
    <row r="94" spans="1:11" s="226" customFormat="1" ht="9.6" customHeight="1" x14ac:dyDescent="0.2">
      <c r="A94" s="229" t="str">
        <f>T_P_BilanSocial[[#This Row],[Nom]]&amp;T_P_BilanSocial[[#This Row],[Prenom]]</f>
        <v>BONHOMMELAURENCE</v>
      </c>
      <c r="B94" s="228" t="s">
        <v>1475</v>
      </c>
      <c r="C94" s="229" t="s">
        <v>972</v>
      </c>
      <c r="D94" s="229" t="s">
        <v>1282</v>
      </c>
      <c r="E94" s="229" t="s">
        <v>1184</v>
      </c>
      <c r="F94" s="230" t="s">
        <v>445</v>
      </c>
      <c r="G94" s="229" t="s">
        <v>1476</v>
      </c>
      <c r="H94" s="229" t="s">
        <v>1477</v>
      </c>
      <c r="I94" s="229" t="s">
        <v>1180</v>
      </c>
      <c r="J94" s="229" t="s">
        <v>1083</v>
      </c>
      <c r="K94" s="231" t="s">
        <v>1478</v>
      </c>
    </row>
    <row r="95" spans="1:11" s="226" customFormat="1" ht="9.6" customHeight="1" x14ac:dyDescent="0.2">
      <c r="A95" s="229" t="str">
        <f>T_P_BilanSocial[[#This Row],[Nom]]&amp;T_P_BilanSocial[[#This Row],[Prenom]]</f>
        <v>BONICALZIFRANÇOIS</v>
      </c>
      <c r="B95" s="228" t="s">
        <v>1285</v>
      </c>
      <c r="C95" s="229" t="s">
        <v>606</v>
      </c>
      <c r="D95" s="229" t="s">
        <v>1286</v>
      </c>
      <c r="E95" s="229" t="s">
        <v>1177</v>
      </c>
      <c r="F95" s="230" t="s">
        <v>308</v>
      </c>
      <c r="G95" s="229" t="s">
        <v>1178</v>
      </c>
      <c r="H95" s="229" t="s">
        <v>1204</v>
      </c>
      <c r="I95" s="229" t="s">
        <v>1180</v>
      </c>
      <c r="J95" s="229" t="s">
        <v>607</v>
      </c>
      <c r="K95" s="231" t="s">
        <v>608</v>
      </c>
    </row>
    <row r="96" spans="1:11" s="226" customFormat="1" ht="9.6" customHeight="1" x14ac:dyDescent="0.2">
      <c r="A96" s="229" t="str">
        <f>T_P_BilanSocial[[#This Row],[Nom]]&amp;T_P_BilanSocial[[#This Row],[Prenom]]</f>
        <v>BONNAMOURCHANTAL</v>
      </c>
      <c r="B96" s="228" t="s">
        <v>1409</v>
      </c>
      <c r="C96" s="229" t="s">
        <v>1410</v>
      </c>
      <c r="D96" s="229" t="s">
        <v>1259</v>
      </c>
      <c r="E96" s="229" t="s">
        <v>1184</v>
      </c>
      <c r="F96" s="230" t="s">
        <v>445</v>
      </c>
      <c r="G96" s="229" t="s">
        <v>1178</v>
      </c>
      <c r="H96" s="229" t="s">
        <v>1204</v>
      </c>
      <c r="I96" s="229" t="s">
        <v>1180</v>
      </c>
      <c r="J96" s="229" t="s">
        <v>665</v>
      </c>
      <c r="K96" s="231" t="s">
        <v>1411</v>
      </c>
    </row>
    <row r="97" spans="1:11" s="226" customFormat="1" ht="9.6" customHeight="1" x14ac:dyDescent="0.2">
      <c r="A97" s="229" t="str">
        <f>T_P_BilanSocial[[#This Row],[Nom]]&amp;T_P_BilanSocial[[#This Row],[Prenom]]</f>
        <v>BONNETJEAN-FRANÇOIS</v>
      </c>
      <c r="B97" s="228" t="s">
        <v>1412</v>
      </c>
      <c r="C97" s="229" t="s">
        <v>1413</v>
      </c>
      <c r="D97" s="229" t="s">
        <v>1414</v>
      </c>
      <c r="E97" s="229" t="s">
        <v>1177</v>
      </c>
      <c r="F97" s="230" t="s">
        <v>45</v>
      </c>
      <c r="G97" s="229" t="s">
        <v>1178</v>
      </c>
      <c r="H97" s="229" t="s">
        <v>1204</v>
      </c>
      <c r="I97" s="229" t="s">
        <v>1180</v>
      </c>
      <c r="J97" s="229" t="s">
        <v>340</v>
      </c>
      <c r="K97" s="231" t="s">
        <v>341</v>
      </c>
    </row>
    <row r="98" spans="1:11" s="226" customFormat="1" ht="9.6" customHeight="1" x14ac:dyDescent="0.2">
      <c r="A98" s="229" t="str">
        <f>T_P_BilanSocial[[#This Row],[Nom]]&amp;T_P_BilanSocial[[#This Row],[Prenom]]</f>
        <v>BONNINCHRISTINE</v>
      </c>
      <c r="B98" s="228" t="s">
        <v>2705</v>
      </c>
      <c r="C98" s="229" t="s">
        <v>492</v>
      </c>
      <c r="D98" s="229" t="s">
        <v>1447</v>
      </c>
      <c r="E98" s="229" t="s">
        <v>1184</v>
      </c>
      <c r="F98" s="230" t="s">
        <v>45</v>
      </c>
      <c r="G98" s="229" t="s">
        <v>1178</v>
      </c>
      <c r="H98" s="229" t="s">
        <v>1204</v>
      </c>
      <c r="I98" s="229" t="s">
        <v>1180</v>
      </c>
      <c r="J98" s="229" t="s">
        <v>376</v>
      </c>
      <c r="K98" s="231" t="s">
        <v>341</v>
      </c>
    </row>
    <row r="99" spans="1:11" s="226" customFormat="1" ht="9.6" customHeight="1" x14ac:dyDescent="0.2">
      <c r="A99" s="229" t="str">
        <f>T_P_BilanSocial[[#This Row],[Nom]]&amp;T_P_BilanSocial[[#This Row],[Prenom]]</f>
        <v>BONODJONATHAN</v>
      </c>
      <c r="B99" s="228" t="s">
        <v>2329</v>
      </c>
      <c r="C99" s="229" t="s">
        <v>2330</v>
      </c>
      <c r="D99" s="229" t="s">
        <v>1408</v>
      </c>
      <c r="E99" s="229" t="s">
        <v>1177</v>
      </c>
      <c r="F99" s="230" t="s">
        <v>45</v>
      </c>
      <c r="G99" s="229" t="s">
        <v>1476</v>
      </c>
      <c r="H99" s="229" t="s">
        <v>1477</v>
      </c>
      <c r="I99" s="229" t="s">
        <v>1180</v>
      </c>
      <c r="J99" s="229" t="s">
        <v>2331</v>
      </c>
      <c r="K99" s="231" t="s">
        <v>2332</v>
      </c>
    </row>
    <row r="100" spans="1:11" s="226" customFormat="1" ht="9.6" customHeight="1" x14ac:dyDescent="0.2">
      <c r="A100" s="229" t="str">
        <f>T_P_BilanSocial[[#This Row],[Nom]]&amp;T_P_BilanSocial[[#This Row],[Prenom]]</f>
        <v>BOUANANILEÏLA</v>
      </c>
      <c r="B100" s="228" t="s">
        <v>2051</v>
      </c>
      <c r="C100" s="229" t="s">
        <v>2052</v>
      </c>
      <c r="D100" s="229" t="s">
        <v>2053</v>
      </c>
      <c r="E100" s="229" t="s">
        <v>1184</v>
      </c>
      <c r="F100" s="230" t="s">
        <v>445</v>
      </c>
      <c r="G100" s="229" t="s">
        <v>1476</v>
      </c>
      <c r="H100" s="229" t="s">
        <v>1477</v>
      </c>
      <c r="I100" s="229" t="s">
        <v>1180</v>
      </c>
      <c r="J100" s="229" t="s">
        <v>684</v>
      </c>
      <c r="K100" s="231" t="s">
        <v>341</v>
      </c>
    </row>
    <row r="101" spans="1:11" s="226" customFormat="1" ht="9.6" customHeight="1" x14ac:dyDescent="0.2">
      <c r="A101" s="229" t="str">
        <f>T_P_BilanSocial[[#This Row],[Nom]]&amp;T_P_BilanSocial[[#This Row],[Prenom]]</f>
        <v>BOUCHERMarie-Thérèse</v>
      </c>
      <c r="B101" s="228" t="s">
        <v>2156</v>
      </c>
      <c r="C101" s="229" t="s">
        <v>885</v>
      </c>
      <c r="D101" s="233" t="s">
        <v>886</v>
      </c>
      <c r="E101" s="229" t="s">
        <v>1184</v>
      </c>
      <c r="F101" s="230" t="s">
        <v>308</v>
      </c>
      <c r="G101" s="229" t="s">
        <v>1178</v>
      </c>
      <c r="H101" s="229" t="s">
        <v>1204</v>
      </c>
      <c r="I101" s="229" t="s">
        <v>1180</v>
      </c>
      <c r="J101" s="229" t="s">
        <v>622</v>
      </c>
      <c r="K101" s="231" t="s">
        <v>887</v>
      </c>
    </row>
    <row r="102" spans="1:11" s="226" customFormat="1" ht="9.6" customHeight="1" x14ac:dyDescent="0.2">
      <c r="A102" s="229" t="str">
        <f>T_P_BilanSocial[[#This Row],[Nom]]&amp;T_P_BilanSocial[[#This Row],[Prenom]]</f>
        <v>BOUDJEMAKHELAF</v>
      </c>
      <c r="B102" s="228" t="s">
        <v>1360</v>
      </c>
      <c r="C102" s="229" t="s">
        <v>1361</v>
      </c>
      <c r="D102" s="229" t="s">
        <v>1362</v>
      </c>
      <c r="E102" s="229" t="s">
        <v>1177</v>
      </c>
      <c r="F102" s="230" t="s">
        <v>445</v>
      </c>
      <c r="G102" s="229" t="s">
        <v>1178</v>
      </c>
      <c r="H102" s="229" t="s">
        <v>1204</v>
      </c>
      <c r="I102" s="229" t="s">
        <v>1180</v>
      </c>
      <c r="J102" s="229" t="s">
        <v>416</v>
      </c>
      <c r="K102" s="231" t="s">
        <v>1363</v>
      </c>
    </row>
    <row r="103" spans="1:11" s="226" customFormat="1" ht="9.6" customHeight="1" x14ac:dyDescent="0.2">
      <c r="A103" s="229" t="str">
        <f>T_P_BilanSocial[[#This Row],[Nom]]&amp;T_P_BilanSocial[[#This Row],[Prenom]]</f>
        <v>BOUDJEMA-JORDAKATIA</v>
      </c>
      <c r="B103" s="228" t="s">
        <v>2243</v>
      </c>
      <c r="C103" s="233" t="s">
        <v>3025</v>
      </c>
      <c r="D103" s="229" t="s">
        <v>2244</v>
      </c>
      <c r="E103" s="229" t="s">
        <v>1184</v>
      </c>
      <c r="F103" s="230" t="s">
        <v>45</v>
      </c>
      <c r="G103" s="229" t="s">
        <v>1476</v>
      </c>
      <c r="H103" s="229" t="s">
        <v>1477</v>
      </c>
      <c r="I103" s="229" t="s">
        <v>1180</v>
      </c>
      <c r="J103" s="233" t="s">
        <v>353</v>
      </c>
      <c r="K103" s="234" t="s">
        <v>354</v>
      </c>
    </row>
    <row r="104" spans="1:11" s="226" customFormat="1" ht="9.6" customHeight="1" x14ac:dyDescent="0.2">
      <c r="A104" s="229" t="str">
        <f>T_P_BilanSocial[[#This Row],[Nom]]&amp;T_P_BilanSocial[[#This Row],[Prenom]]</f>
        <v>BOUISSONIA</v>
      </c>
      <c r="B104" s="228" t="s">
        <v>2079</v>
      </c>
      <c r="C104" s="229" t="s">
        <v>942</v>
      </c>
      <c r="D104" s="229" t="s">
        <v>1244</v>
      </c>
      <c r="E104" s="229" t="s">
        <v>1184</v>
      </c>
      <c r="F104" s="230" t="s">
        <v>308</v>
      </c>
      <c r="G104" s="229" t="s">
        <v>1178</v>
      </c>
      <c r="H104" s="229" t="s">
        <v>1204</v>
      </c>
      <c r="I104" s="229" t="s">
        <v>1180</v>
      </c>
      <c r="J104" s="229" t="s">
        <v>944</v>
      </c>
      <c r="K104" s="231" t="s">
        <v>945</v>
      </c>
    </row>
    <row r="105" spans="1:11" s="226" customFormat="1" ht="9.6" customHeight="1" x14ac:dyDescent="0.2">
      <c r="A105" s="229" t="str">
        <f>T_P_BilanSocial[[#This Row],[Nom]]&amp;T_P_BilanSocial[[#This Row],[Prenom]]</f>
        <v>BOUKHARIYAMINA</v>
      </c>
      <c r="B105" s="228" t="s">
        <v>1591</v>
      </c>
      <c r="C105" s="229" t="s">
        <v>901</v>
      </c>
      <c r="D105" s="229" t="s">
        <v>1592</v>
      </c>
      <c r="E105" s="229" t="s">
        <v>1184</v>
      </c>
      <c r="F105" s="230" t="s">
        <v>45</v>
      </c>
      <c r="G105" s="229" t="s">
        <v>1178</v>
      </c>
      <c r="H105" s="229" t="s">
        <v>1204</v>
      </c>
      <c r="I105" s="229" t="s">
        <v>1180</v>
      </c>
      <c r="J105" s="229" t="s">
        <v>841</v>
      </c>
      <c r="K105" s="231" t="s">
        <v>842</v>
      </c>
    </row>
    <row r="106" spans="1:11" s="226" customFormat="1" ht="9.6" customHeight="1" x14ac:dyDescent="0.2">
      <c r="A106" s="229" t="str">
        <f>T_P_BilanSocial[[#This Row],[Nom]]&amp;T_P_BilanSocial[[#This Row],[Prenom]]</f>
        <v>BOURGET-MESSINLAURENCE</v>
      </c>
      <c r="B106" s="228" t="s">
        <v>1602</v>
      </c>
      <c r="C106" s="229" t="s">
        <v>935</v>
      </c>
      <c r="D106" s="229" t="s">
        <v>1282</v>
      </c>
      <c r="E106" s="229" t="s">
        <v>1184</v>
      </c>
      <c r="F106" s="230" t="s">
        <v>308</v>
      </c>
      <c r="G106" s="229" t="s">
        <v>1178</v>
      </c>
      <c r="H106" s="229" t="s">
        <v>1435</v>
      </c>
      <c r="I106" s="229" t="s">
        <v>1180</v>
      </c>
      <c r="J106" s="229" t="s">
        <v>611</v>
      </c>
      <c r="K106" s="231" t="s">
        <v>341</v>
      </c>
    </row>
    <row r="107" spans="1:11" s="226" customFormat="1" ht="9.6" customHeight="1" x14ac:dyDescent="0.2">
      <c r="A107" s="229" t="str">
        <f>T_P_BilanSocial[[#This Row],[Nom]]&amp;T_P_BilanSocial[[#This Row],[Prenom]]</f>
        <v>BOURGOINANNE</v>
      </c>
      <c r="B107" s="228" t="s">
        <v>2208</v>
      </c>
      <c r="C107" s="229" t="s">
        <v>562</v>
      </c>
      <c r="D107" s="229" t="s">
        <v>1257</v>
      </c>
      <c r="E107" s="229" t="s">
        <v>1184</v>
      </c>
      <c r="F107" s="230" t="s">
        <v>308</v>
      </c>
      <c r="G107" s="229" t="s">
        <v>1476</v>
      </c>
      <c r="H107" s="229" t="s">
        <v>1477</v>
      </c>
      <c r="I107" s="229" t="s">
        <v>1180</v>
      </c>
      <c r="J107" s="229" t="s">
        <v>566</v>
      </c>
      <c r="K107" s="232" t="s">
        <v>3003</v>
      </c>
    </row>
    <row r="108" spans="1:11" s="226" customFormat="1" ht="9.6" customHeight="1" x14ac:dyDescent="0.2">
      <c r="A108" s="229" t="str">
        <f>T_P_BilanSocial[[#This Row],[Nom]]&amp;T_P_BilanSocial[[#This Row],[Prenom]]</f>
        <v>BOURICGILDAS</v>
      </c>
      <c r="B108" s="228" t="s">
        <v>2794</v>
      </c>
      <c r="C108" s="229" t="s">
        <v>1050</v>
      </c>
      <c r="D108" s="229" t="s">
        <v>2795</v>
      </c>
      <c r="E108" s="229" t="s">
        <v>1177</v>
      </c>
      <c r="F108" s="230" t="s">
        <v>45</v>
      </c>
      <c r="G108" s="229" t="s">
        <v>1178</v>
      </c>
      <c r="H108" s="229" t="s">
        <v>1435</v>
      </c>
      <c r="I108" s="229" t="s">
        <v>1180</v>
      </c>
      <c r="J108" s="229" t="s">
        <v>1141</v>
      </c>
      <c r="K108" s="231" t="s">
        <v>1142</v>
      </c>
    </row>
    <row r="109" spans="1:11" s="226" customFormat="1" ht="9.6" customHeight="1" x14ac:dyDescent="0.2">
      <c r="A109" s="229" t="str">
        <f>T_P_BilanSocial[[#This Row],[Nom]]&amp;T_P_BilanSocial[[#This Row],[Prenom]]</f>
        <v>BOUTARDRACHEL</v>
      </c>
      <c r="B109" s="228" t="s">
        <v>2518</v>
      </c>
      <c r="C109" s="229" t="s">
        <v>2519</v>
      </c>
      <c r="D109" s="229" t="s">
        <v>1183</v>
      </c>
      <c r="E109" s="229" t="s">
        <v>1184</v>
      </c>
      <c r="F109" s="230" t="s">
        <v>445</v>
      </c>
      <c r="G109" s="229" t="s">
        <v>1178</v>
      </c>
      <c r="H109" s="229" t="s">
        <v>1204</v>
      </c>
      <c r="I109" s="229" t="s">
        <v>1180</v>
      </c>
      <c r="J109" s="229" t="s">
        <v>611</v>
      </c>
      <c r="K109" s="231" t="s">
        <v>341</v>
      </c>
    </row>
    <row r="110" spans="1:11" s="226" customFormat="1" ht="9.6" customHeight="1" x14ac:dyDescent="0.2">
      <c r="A110" s="229" t="str">
        <f>T_P_BilanSocial[[#This Row],[Nom]]&amp;T_P_BilanSocial[[#This Row],[Prenom]]</f>
        <v>BOUTOTSANDRINE</v>
      </c>
      <c r="B110" s="228" t="s">
        <v>2024</v>
      </c>
      <c r="C110" s="229" t="s">
        <v>482</v>
      </c>
      <c r="D110" s="229" t="s">
        <v>1200</v>
      </c>
      <c r="E110" s="229" t="s">
        <v>1184</v>
      </c>
      <c r="F110" s="230" t="s">
        <v>45</v>
      </c>
      <c r="G110" s="229" t="s">
        <v>1476</v>
      </c>
      <c r="H110" s="229" t="s">
        <v>1477</v>
      </c>
      <c r="I110" s="229" t="s">
        <v>1180</v>
      </c>
      <c r="J110" s="229" t="s">
        <v>449</v>
      </c>
      <c r="K110" s="232" t="s">
        <v>2997</v>
      </c>
    </row>
    <row r="111" spans="1:11" s="226" customFormat="1" ht="9.6" customHeight="1" x14ac:dyDescent="0.2">
      <c r="A111" s="229" t="str">
        <f>T_P_BilanSocial[[#This Row],[Nom]]&amp;T_P_BilanSocial[[#This Row],[Prenom]]</f>
        <v>BOUVIERBENJAMIN</v>
      </c>
      <c r="B111" s="228" t="s">
        <v>1800</v>
      </c>
      <c r="C111" s="229" t="s">
        <v>547</v>
      </c>
      <c r="D111" s="229" t="s">
        <v>1801</v>
      </c>
      <c r="E111" s="229" t="s">
        <v>1177</v>
      </c>
      <c r="F111" s="230" t="s">
        <v>445</v>
      </c>
      <c r="G111" s="229" t="s">
        <v>1178</v>
      </c>
      <c r="H111" s="229" t="s">
        <v>1204</v>
      </c>
      <c r="I111" s="229" t="s">
        <v>1180</v>
      </c>
      <c r="J111" s="229" t="s">
        <v>353</v>
      </c>
      <c r="K111" s="231" t="s">
        <v>354</v>
      </c>
    </row>
    <row r="112" spans="1:11" s="226" customFormat="1" ht="9.6" customHeight="1" x14ac:dyDescent="0.2">
      <c r="A112" s="229" t="str">
        <f>T_P_BilanSocial[[#This Row],[Nom]]&amp;T_P_BilanSocial[[#This Row],[Prenom]]</f>
        <v>BOUVIERMARTINE</v>
      </c>
      <c r="B112" s="228" t="s">
        <v>2187</v>
      </c>
      <c r="C112" s="229" t="s">
        <v>547</v>
      </c>
      <c r="D112" s="229" t="s">
        <v>1267</v>
      </c>
      <c r="E112" s="229" t="s">
        <v>1184</v>
      </c>
      <c r="F112" s="230" t="s">
        <v>308</v>
      </c>
      <c r="G112" s="229" t="s">
        <v>1178</v>
      </c>
      <c r="H112" s="229" t="s">
        <v>1204</v>
      </c>
      <c r="I112" s="229" t="s">
        <v>1180</v>
      </c>
      <c r="J112" s="229" t="s">
        <v>420</v>
      </c>
      <c r="K112" s="231" t="s">
        <v>421</v>
      </c>
    </row>
    <row r="113" spans="1:11" s="226" customFormat="1" ht="9.6" customHeight="1" x14ac:dyDescent="0.2">
      <c r="A113" s="229" t="str">
        <f>T_P_BilanSocial[[#This Row],[Nom]]&amp;T_P_BilanSocial[[#This Row],[Prenom]]</f>
        <v>BOUZIDIFATEN-YASMINE</v>
      </c>
      <c r="B113" s="228" t="s">
        <v>2117</v>
      </c>
      <c r="C113" s="229" t="s">
        <v>1004</v>
      </c>
      <c r="D113" s="229" t="s">
        <v>2118</v>
      </c>
      <c r="E113" s="229" t="s">
        <v>1184</v>
      </c>
      <c r="F113" s="230" t="s">
        <v>45</v>
      </c>
      <c r="G113" s="229" t="s">
        <v>1476</v>
      </c>
      <c r="H113" s="229" t="s">
        <v>1794</v>
      </c>
      <c r="I113" s="229" t="s">
        <v>1180</v>
      </c>
      <c r="J113" s="229" t="s">
        <v>353</v>
      </c>
      <c r="K113" s="231" t="s">
        <v>354</v>
      </c>
    </row>
    <row r="114" spans="1:11" s="226" customFormat="1" ht="9.6" customHeight="1" x14ac:dyDescent="0.2">
      <c r="A114" s="229" t="str">
        <f>T_P_BilanSocial[[#This Row],[Nom]]&amp;T_P_BilanSocial[[#This Row],[Prenom]]</f>
        <v>BOYERPAULINE</v>
      </c>
      <c r="B114" s="228" t="s">
        <v>2363</v>
      </c>
      <c r="C114" s="229" t="s">
        <v>2364</v>
      </c>
      <c r="D114" s="229" t="s">
        <v>2365</v>
      </c>
      <c r="E114" s="229" t="s">
        <v>1184</v>
      </c>
      <c r="F114" s="230" t="s">
        <v>45</v>
      </c>
      <c r="G114" s="229" t="s">
        <v>1476</v>
      </c>
      <c r="H114" s="229" t="s">
        <v>1477</v>
      </c>
      <c r="I114" s="229" t="s">
        <v>1180</v>
      </c>
      <c r="J114" s="229" t="s">
        <v>1726</v>
      </c>
      <c r="K114" s="231" t="s">
        <v>2366</v>
      </c>
    </row>
    <row r="115" spans="1:11" s="226" customFormat="1" ht="9.6" customHeight="1" x14ac:dyDescent="0.2">
      <c r="A115" s="229" t="str">
        <f>T_P_BilanSocial[[#This Row],[Nom]]&amp;T_P_BilanSocial[[#This Row],[Prenom]]</f>
        <v>BREARTTHIERRY</v>
      </c>
      <c r="B115" s="228" t="s">
        <v>1316</v>
      </c>
      <c r="C115" s="229" t="s">
        <v>796</v>
      </c>
      <c r="D115" s="229" t="s">
        <v>1317</v>
      </c>
      <c r="E115" s="229" t="s">
        <v>1177</v>
      </c>
      <c r="F115" s="230" t="s">
        <v>308</v>
      </c>
      <c r="G115" s="229" t="s">
        <v>1178</v>
      </c>
      <c r="H115" s="229" t="s">
        <v>1204</v>
      </c>
      <c r="I115" s="229" t="s">
        <v>1180</v>
      </c>
      <c r="J115" s="229" t="s">
        <v>797</v>
      </c>
      <c r="K115" s="231" t="s">
        <v>798</v>
      </c>
    </row>
    <row r="116" spans="1:11" s="226" customFormat="1" ht="9.6" customHeight="1" x14ac:dyDescent="0.2">
      <c r="A116" s="229" t="str">
        <f>T_P_BilanSocial[[#This Row],[Nom]]&amp;T_P_BilanSocial[[#This Row],[Prenom]]</f>
        <v>BRETONVIRGINIE</v>
      </c>
      <c r="B116" s="228" t="s">
        <v>1861</v>
      </c>
      <c r="C116" s="229" t="s">
        <v>1862</v>
      </c>
      <c r="D116" s="229" t="s">
        <v>1341</v>
      </c>
      <c r="E116" s="229" t="s">
        <v>1184</v>
      </c>
      <c r="F116" s="230" t="s">
        <v>308</v>
      </c>
      <c r="G116" s="229" t="s">
        <v>1178</v>
      </c>
      <c r="H116" s="229" t="s">
        <v>1435</v>
      </c>
      <c r="I116" s="229" t="s">
        <v>1180</v>
      </c>
      <c r="J116" s="229" t="s">
        <v>471</v>
      </c>
      <c r="K116" s="231" t="s">
        <v>341</v>
      </c>
    </row>
    <row r="117" spans="1:11" s="226" customFormat="1" ht="9.6" customHeight="1" x14ac:dyDescent="0.2">
      <c r="A117" s="229" t="str">
        <f>T_P_BilanSocial[[#This Row],[Nom]]&amp;T_P_BilanSocial[[#This Row],[Prenom]]</f>
        <v>BRIDOUXVALÉRIE</v>
      </c>
      <c r="B117" s="228" t="s">
        <v>2632</v>
      </c>
      <c r="C117" s="229" t="s">
        <v>2633</v>
      </c>
      <c r="D117" s="229" t="s">
        <v>1308</v>
      </c>
      <c r="E117" s="229" t="s">
        <v>1184</v>
      </c>
      <c r="F117" s="230" t="s">
        <v>445</v>
      </c>
      <c r="G117" s="229" t="s">
        <v>1476</v>
      </c>
      <c r="H117" s="229" t="s">
        <v>1794</v>
      </c>
      <c r="I117" s="229" t="s">
        <v>1180</v>
      </c>
      <c r="J117" s="229" t="s">
        <v>626</v>
      </c>
      <c r="K117" s="231" t="s">
        <v>341</v>
      </c>
    </row>
    <row r="118" spans="1:11" s="226" customFormat="1" ht="9.6" customHeight="1" x14ac:dyDescent="0.2">
      <c r="A118" s="229" t="str">
        <f>T_P_BilanSocial[[#This Row],[Nom]]&amp;T_P_BilanSocial[[#This Row],[Prenom]]</f>
        <v>BRINGUIERCATHERINE</v>
      </c>
      <c r="B118" s="228" t="s">
        <v>1364</v>
      </c>
      <c r="C118" s="229" t="s">
        <v>1365</v>
      </c>
      <c r="D118" s="229" t="s">
        <v>1203</v>
      </c>
      <c r="E118" s="229" t="s">
        <v>1184</v>
      </c>
      <c r="F118" s="230" t="s">
        <v>445</v>
      </c>
      <c r="G118" s="229" t="s">
        <v>1178</v>
      </c>
      <c r="H118" s="229" t="s">
        <v>1204</v>
      </c>
      <c r="I118" s="229" t="s">
        <v>1180</v>
      </c>
      <c r="J118" s="229" t="s">
        <v>340</v>
      </c>
      <c r="K118" s="231" t="s">
        <v>341</v>
      </c>
    </row>
    <row r="119" spans="1:11" s="226" customFormat="1" ht="9.6" customHeight="1" x14ac:dyDescent="0.2">
      <c r="A119" s="229" t="str">
        <f>T_P_BilanSocial[[#This Row],[Nom]]&amp;T_P_BilanSocial[[#This Row],[Prenom]]</f>
        <v>BRINGUIERGABRIEL</v>
      </c>
      <c r="B119" s="228" t="s">
        <v>1586</v>
      </c>
      <c r="C119" s="229" t="s">
        <v>1365</v>
      </c>
      <c r="D119" s="229" t="s">
        <v>1587</v>
      </c>
      <c r="E119" s="229" t="s">
        <v>1177</v>
      </c>
      <c r="F119" s="230" t="s">
        <v>45</v>
      </c>
      <c r="G119" s="229" t="s">
        <v>1178</v>
      </c>
      <c r="H119" s="229" t="s">
        <v>1204</v>
      </c>
      <c r="I119" s="229" t="s">
        <v>1180</v>
      </c>
      <c r="J119" s="229" t="s">
        <v>353</v>
      </c>
      <c r="K119" s="231" t="s">
        <v>354</v>
      </c>
    </row>
    <row r="120" spans="1:11" s="226" customFormat="1" ht="9.6" customHeight="1" x14ac:dyDescent="0.2">
      <c r="A120" s="229" t="str">
        <f>T_P_BilanSocial[[#This Row],[Nom]]&amp;T_P_BilanSocial[[#This Row],[Prenom]]</f>
        <v>BROSSARDMAXIME</v>
      </c>
      <c r="B120" s="228" t="s">
        <v>2982</v>
      </c>
      <c r="C120" s="229" t="s">
        <v>2983</v>
      </c>
      <c r="D120" s="229" t="s">
        <v>2291</v>
      </c>
      <c r="E120" s="229" t="s">
        <v>1177</v>
      </c>
      <c r="F120" s="230" t="s">
        <v>45</v>
      </c>
      <c r="G120" s="229" t="s">
        <v>1476</v>
      </c>
      <c r="H120" s="229" t="s">
        <v>1794</v>
      </c>
      <c r="I120" s="229" t="s">
        <v>1180</v>
      </c>
      <c r="J120" s="229" t="s">
        <v>353</v>
      </c>
      <c r="K120" s="231" t="s">
        <v>354</v>
      </c>
    </row>
    <row r="121" spans="1:11" s="226" customFormat="1" ht="9.6" customHeight="1" x14ac:dyDescent="0.2">
      <c r="A121" s="229" t="str">
        <f>T_P_BilanSocial[[#This Row],[Nom]]&amp;T_P_BilanSocial[[#This Row],[Prenom]]</f>
        <v>BROSSIERISABELLE</v>
      </c>
      <c r="B121" s="228" t="s">
        <v>2476</v>
      </c>
      <c r="C121" s="229" t="s">
        <v>2477</v>
      </c>
      <c r="D121" s="229" t="s">
        <v>1224</v>
      </c>
      <c r="E121" s="229" t="s">
        <v>1184</v>
      </c>
      <c r="F121" s="230" t="s">
        <v>45</v>
      </c>
      <c r="G121" s="229" t="s">
        <v>1476</v>
      </c>
      <c r="H121" s="229" t="s">
        <v>1794</v>
      </c>
      <c r="I121" s="229" t="s">
        <v>1180</v>
      </c>
      <c r="J121" s="229" t="s">
        <v>481</v>
      </c>
      <c r="K121" s="231" t="s">
        <v>341</v>
      </c>
    </row>
    <row r="122" spans="1:11" s="226" customFormat="1" ht="9.6" customHeight="1" x14ac:dyDescent="0.2">
      <c r="A122" s="229" t="str">
        <f>T_P_BilanSocial[[#This Row],[Nom]]&amp;T_P_BilanSocial[[#This Row],[Prenom]]</f>
        <v>BRUEREStéphane</v>
      </c>
      <c r="B122" s="228" t="s">
        <v>2392</v>
      </c>
      <c r="C122" s="229" t="s">
        <v>1051</v>
      </c>
      <c r="D122" s="233" t="s">
        <v>870</v>
      </c>
      <c r="E122" s="229" t="s">
        <v>1177</v>
      </c>
      <c r="F122" s="230" t="s">
        <v>308</v>
      </c>
      <c r="G122" s="229" t="s">
        <v>1178</v>
      </c>
      <c r="H122" s="229" t="s">
        <v>1435</v>
      </c>
      <c r="I122" s="229" t="s">
        <v>1180</v>
      </c>
      <c r="J122" s="229" t="s">
        <v>376</v>
      </c>
      <c r="K122" s="231" t="s">
        <v>2393</v>
      </c>
    </row>
    <row r="123" spans="1:11" s="226" customFormat="1" ht="9.6" customHeight="1" x14ac:dyDescent="0.2">
      <c r="A123" s="229" t="str">
        <f>T_P_BilanSocial[[#This Row],[Nom]]&amp;T_P_BilanSocial[[#This Row],[Prenom]]</f>
        <v>BRUNDOMINIQUE</v>
      </c>
      <c r="B123" s="228" t="s">
        <v>1376</v>
      </c>
      <c r="C123" s="229" t="s">
        <v>1377</v>
      </c>
      <c r="D123" s="229" t="s">
        <v>1221</v>
      </c>
      <c r="E123" s="229" t="s">
        <v>1177</v>
      </c>
      <c r="F123" s="230" t="s">
        <v>45</v>
      </c>
      <c r="G123" s="229" t="s">
        <v>1178</v>
      </c>
      <c r="H123" s="229" t="s">
        <v>1204</v>
      </c>
      <c r="I123" s="229" t="s">
        <v>1180</v>
      </c>
      <c r="J123" s="229" t="s">
        <v>1378</v>
      </c>
      <c r="K123" s="231" t="s">
        <v>1379</v>
      </c>
    </row>
    <row r="124" spans="1:11" s="226" customFormat="1" ht="9.6" customHeight="1" x14ac:dyDescent="0.2">
      <c r="A124" s="229" t="str">
        <f>T_P_BilanSocial[[#This Row],[Nom]]&amp;T_P_BilanSocial[[#This Row],[Prenom]]</f>
        <v>BRUNETSANDRINE</v>
      </c>
      <c r="B124" s="228" t="s">
        <v>1198</v>
      </c>
      <c r="C124" s="229" t="s">
        <v>1199</v>
      </c>
      <c r="D124" s="229" t="s">
        <v>1200</v>
      </c>
      <c r="E124" s="229" t="s">
        <v>1184</v>
      </c>
      <c r="F124" s="230" t="s">
        <v>445</v>
      </c>
      <c r="G124" s="229" t="s">
        <v>1178</v>
      </c>
      <c r="H124" s="229" t="s">
        <v>1179</v>
      </c>
      <c r="I124" s="229" t="s">
        <v>1180</v>
      </c>
      <c r="J124" s="229" t="s">
        <v>1148</v>
      </c>
      <c r="K124" s="231" t="s">
        <v>1201</v>
      </c>
    </row>
    <row r="125" spans="1:11" s="226" customFormat="1" ht="9.6" customHeight="1" x14ac:dyDescent="0.2">
      <c r="A125" s="229" t="str">
        <f>T_P_BilanSocial[[#This Row],[Nom]]&amp;T_P_BilanSocial[[#This Row],[Prenom]]</f>
        <v>BRUSCHETJEAN-LOUP</v>
      </c>
      <c r="B125" s="228" t="s">
        <v>1287</v>
      </c>
      <c r="C125" s="229" t="s">
        <v>1288</v>
      </c>
      <c r="D125" s="229" t="s">
        <v>1289</v>
      </c>
      <c r="E125" s="229" t="s">
        <v>1177</v>
      </c>
      <c r="F125" s="230" t="s">
        <v>308</v>
      </c>
      <c r="G125" s="229" t="s">
        <v>1178</v>
      </c>
      <c r="H125" s="229" t="s">
        <v>1204</v>
      </c>
      <c r="I125" s="229" t="s">
        <v>1180</v>
      </c>
      <c r="J125" s="229" t="s">
        <v>438</v>
      </c>
      <c r="K125" s="231" t="s">
        <v>439</v>
      </c>
    </row>
    <row r="126" spans="1:11" s="226" customFormat="1" ht="9.6" customHeight="1" x14ac:dyDescent="0.2">
      <c r="A126" s="229" t="str">
        <f>T_P_BilanSocial[[#This Row],[Nom]]&amp;T_P_BilanSocial[[#This Row],[Prenom]]</f>
        <v>BRUYASEMMANUELLE</v>
      </c>
      <c r="B126" s="228" t="s">
        <v>1623</v>
      </c>
      <c r="C126" s="229" t="s">
        <v>614</v>
      </c>
      <c r="D126" s="229" t="s">
        <v>1624</v>
      </c>
      <c r="E126" s="229" t="s">
        <v>1184</v>
      </c>
      <c r="F126" s="230" t="s">
        <v>308</v>
      </c>
      <c r="G126" s="229" t="s">
        <v>1178</v>
      </c>
      <c r="H126" s="229" t="s">
        <v>1204</v>
      </c>
      <c r="I126" s="229" t="s">
        <v>1180</v>
      </c>
      <c r="J126" s="229" t="s">
        <v>520</v>
      </c>
      <c r="K126" s="231" t="s">
        <v>341</v>
      </c>
    </row>
    <row r="127" spans="1:11" s="226" customFormat="1" ht="9.6" customHeight="1" x14ac:dyDescent="0.2">
      <c r="A127" s="229" t="str">
        <f>T_P_BilanSocial[[#This Row],[Nom]]&amp;T_P_BilanSocial[[#This Row],[Prenom]]</f>
        <v>BRUYEREVALERIE</v>
      </c>
      <c r="B127" s="228" t="s">
        <v>2345</v>
      </c>
      <c r="C127" s="229" t="s">
        <v>2346</v>
      </c>
      <c r="D127" s="229" t="s">
        <v>1905</v>
      </c>
      <c r="E127" s="229" t="s">
        <v>1184</v>
      </c>
      <c r="F127" s="230" t="s">
        <v>445</v>
      </c>
      <c r="G127" s="229" t="s">
        <v>1178</v>
      </c>
      <c r="H127" s="229" t="s">
        <v>1204</v>
      </c>
      <c r="I127" s="229" t="s">
        <v>1180</v>
      </c>
      <c r="J127" s="229" t="s">
        <v>2347</v>
      </c>
      <c r="K127" s="231" t="s">
        <v>2348</v>
      </c>
    </row>
    <row r="128" spans="1:11" s="226" customFormat="1" ht="9.6" customHeight="1" x14ac:dyDescent="0.2">
      <c r="A128" s="229" t="str">
        <f>T_P_BilanSocial[[#This Row],[Nom]]&amp;T_P_BilanSocial[[#This Row],[Prenom]]</f>
        <v>BUCCONOÉMIE</v>
      </c>
      <c r="B128" s="228" t="s">
        <v>2681</v>
      </c>
      <c r="C128" s="229" t="s">
        <v>2682</v>
      </c>
      <c r="D128" s="229" t="s">
        <v>2506</v>
      </c>
      <c r="E128" s="229" t="s">
        <v>1184</v>
      </c>
      <c r="F128" s="230" t="s">
        <v>45</v>
      </c>
      <c r="G128" s="229" t="s">
        <v>1178</v>
      </c>
      <c r="H128" s="229" t="s">
        <v>1179</v>
      </c>
      <c r="I128" s="229" t="s">
        <v>1180</v>
      </c>
      <c r="J128" s="229" t="s">
        <v>2683</v>
      </c>
      <c r="K128" s="231" t="s">
        <v>2684</v>
      </c>
    </row>
    <row r="129" spans="1:11" s="226" customFormat="1" ht="9.6" customHeight="1" x14ac:dyDescent="0.2">
      <c r="A129" s="229" t="str">
        <f>T_P_BilanSocial[[#This Row],[Nom]]&amp;T_P_BilanSocial[[#This Row],[Prenom]]</f>
        <v>BUCURDOREL</v>
      </c>
      <c r="B129" s="228" t="s">
        <v>1995</v>
      </c>
      <c r="C129" s="229" t="s">
        <v>1996</v>
      </c>
      <c r="D129" s="229" t="s">
        <v>1997</v>
      </c>
      <c r="E129" s="229" t="s">
        <v>1177</v>
      </c>
      <c r="F129" s="230" t="s">
        <v>45</v>
      </c>
      <c r="G129" s="229" t="s">
        <v>1476</v>
      </c>
      <c r="H129" s="229" t="s">
        <v>1477</v>
      </c>
      <c r="I129" s="229" t="s">
        <v>1180</v>
      </c>
      <c r="J129" s="229" t="s">
        <v>411</v>
      </c>
      <c r="K129" s="231" t="s">
        <v>341</v>
      </c>
    </row>
    <row r="130" spans="1:11" s="226" customFormat="1" ht="9.6" customHeight="1" x14ac:dyDescent="0.2">
      <c r="A130" s="229" t="str">
        <f>T_P_BilanSocial[[#This Row],[Nom]]&amp;T_P_BilanSocial[[#This Row],[Prenom]]</f>
        <v>BUFFETMARINE</v>
      </c>
      <c r="B130" s="228" t="s">
        <v>2842</v>
      </c>
      <c r="C130" s="229" t="s">
        <v>954</v>
      </c>
      <c r="D130" s="229" t="s">
        <v>2843</v>
      </c>
      <c r="E130" s="229" t="s">
        <v>1184</v>
      </c>
      <c r="F130" s="230" t="s">
        <v>45</v>
      </c>
      <c r="G130" s="229" t="s">
        <v>1476</v>
      </c>
      <c r="H130" s="229" t="s">
        <v>1794</v>
      </c>
      <c r="I130" s="229" t="s">
        <v>1180</v>
      </c>
      <c r="J130" s="229" t="s">
        <v>376</v>
      </c>
      <c r="K130" s="231" t="s">
        <v>341</v>
      </c>
    </row>
    <row r="131" spans="1:11" s="226" customFormat="1" ht="9.6" customHeight="1" x14ac:dyDescent="0.2">
      <c r="A131" s="229" t="str">
        <f>T_P_BilanSocial[[#This Row],[Nom]]&amp;T_P_BilanSocial[[#This Row],[Prenom]]</f>
        <v>BUGINLÉA</v>
      </c>
      <c r="B131" s="228" t="s">
        <v>2900</v>
      </c>
      <c r="C131" s="229" t="s">
        <v>349</v>
      </c>
      <c r="D131" s="229" t="s">
        <v>2901</v>
      </c>
      <c r="E131" s="229" t="s">
        <v>1184</v>
      </c>
      <c r="F131" s="230" t="s">
        <v>308</v>
      </c>
      <c r="G131" s="229" t="s">
        <v>1476</v>
      </c>
      <c r="H131" s="229" t="s">
        <v>1794</v>
      </c>
      <c r="I131" s="229" t="s">
        <v>1180</v>
      </c>
      <c r="J131" s="229" t="s">
        <v>353</v>
      </c>
      <c r="K131" s="231" t="s">
        <v>354</v>
      </c>
    </row>
    <row r="132" spans="1:11" s="226" customFormat="1" ht="9.6" customHeight="1" x14ac:dyDescent="0.2">
      <c r="A132" s="229" t="str">
        <f>T_P_BilanSocial[[#This Row],[Nom]]&amp;T_P_BilanSocial[[#This Row],[Prenom]]</f>
        <v>BUGUETEMILIE</v>
      </c>
      <c r="B132" s="228" t="s">
        <v>2387</v>
      </c>
      <c r="C132" s="229" t="s">
        <v>658</v>
      </c>
      <c r="D132" s="229" t="s">
        <v>2190</v>
      </c>
      <c r="E132" s="229" t="s">
        <v>1184</v>
      </c>
      <c r="F132" s="230" t="s">
        <v>445</v>
      </c>
      <c r="G132" s="229" t="s">
        <v>1476</v>
      </c>
      <c r="H132" s="229" t="s">
        <v>1477</v>
      </c>
      <c r="I132" s="229" t="s">
        <v>1180</v>
      </c>
      <c r="J132" s="229" t="s">
        <v>665</v>
      </c>
      <c r="K132" s="231" t="s">
        <v>1306</v>
      </c>
    </row>
    <row r="133" spans="1:11" s="226" customFormat="1" ht="9.6" customHeight="1" x14ac:dyDescent="0.2">
      <c r="A133" s="229" t="str">
        <f>T_P_BilanSocial[[#This Row],[Nom]]&amp;T_P_BilanSocial[[#This Row],[Prenom]]</f>
        <v>BUISSIERCHRISTELLE</v>
      </c>
      <c r="B133" s="228" t="s">
        <v>1559</v>
      </c>
      <c r="C133" s="229" t="s">
        <v>1560</v>
      </c>
      <c r="D133" s="229" t="s">
        <v>1315</v>
      </c>
      <c r="E133" s="229" t="s">
        <v>1184</v>
      </c>
      <c r="F133" s="230" t="s">
        <v>45</v>
      </c>
      <c r="G133" s="229" t="s">
        <v>1178</v>
      </c>
      <c r="H133" s="229" t="s">
        <v>1179</v>
      </c>
      <c r="I133" s="229" t="s">
        <v>1180</v>
      </c>
      <c r="J133" s="229" t="s">
        <v>1561</v>
      </c>
      <c r="K133" s="231" t="s">
        <v>1562</v>
      </c>
    </row>
    <row r="134" spans="1:11" s="226" customFormat="1" ht="9.6" customHeight="1" x14ac:dyDescent="0.2">
      <c r="A134" s="229" t="str">
        <f>T_P_BilanSocial[[#This Row],[Nom]]&amp;T_P_BilanSocial[[#This Row],[Prenom]]</f>
        <v>BUISSONANDRÉ</v>
      </c>
      <c r="B134" s="228" t="s">
        <v>1290</v>
      </c>
      <c r="C134" s="229" t="s">
        <v>1291</v>
      </c>
      <c r="D134" s="229" t="s">
        <v>1292</v>
      </c>
      <c r="E134" s="229" t="s">
        <v>1177</v>
      </c>
      <c r="F134" s="230" t="s">
        <v>308</v>
      </c>
      <c r="G134" s="229" t="s">
        <v>1178</v>
      </c>
      <c r="H134" s="229" t="s">
        <v>1204</v>
      </c>
      <c r="I134" s="229" t="s">
        <v>1180</v>
      </c>
      <c r="J134" s="229" t="s">
        <v>1022</v>
      </c>
      <c r="K134" s="231" t="s">
        <v>1023</v>
      </c>
    </row>
    <row r="135" spans="1:11" s="226" customFormat="1" ht="9.6" customHeight="1" x14ac:dyDescent="0.2">
      <c r="A135" s="229" t="str">
        <f>T_P_BilanSocial[[#This Row],[Nom]]&amp;T_P_BilanSocial[[#This Row],[Prenom]]</f>
        <v>BUISSONFLORIANNE</v>
      </c>
      <c r="B135" s="228" t="s">
        <v>1750</v>
      </c>
      <c r="C135" s="229" t="s">
        <v>1291</v>
      </c>
      <c r="D135" s="229" t="s">
        <v>1751</v>
      </c>
      <c r="E135" s="229" t="s">
        <v>1184</v>
      </c>
      <c r="F135" s="230" t="s">
        <v>308</v>
      </c>
      <c r="G135" s="229" t="s">
        <v>1178</v>
      </c>
      <c r="H135" s="229" t="s">
        <v>1204</v>
      </c>
      <c r="I135" s="229" t="s">
        <v>1180</v>
      </c>
      <c r="J135" s="229" t="s">
        <v>790</v>
      </c>
      <c r="K135" s="231" t="s">
        <v>791</v>
      </c>
    </row>
    <row r="136" spans="1:11" s="226" customFormat="1" ht="9.6" customHeight="1" x14ac:dyDescent="0.2">
      <c r="A136" s="229" t="str">
        <f>T_P_BilanSocial[[#This Row],[Nom]]&amp;T_P_BilanSocial[[#This Row],[Prenom]]</f>
        <v>BULTEAUJULIEN</v>
      </c>
      <c r="B136" s="228" t="s">
        <v>2093</v>
      </c>
      <c r="C136" s="229" t="s">
        <v>2094</v>
      </c>
      <c r="D136" s="229" t="s">
        <v>2095</v>
      </c>
      <c r="E136" s="229" t="s">
        <v>1177</v>
      </c>
      <c r="F136" s="230" t="s">
        <v>45</v>
      </c>
      <c r="G136" s="229" t="s">
        <v>1178</v>
      </c>
      <c r="H136" s="229" t="s">
        <v>1435</v>
      </c>
      <c r="I136" s="229" t="s">
        <v>1180</v>
      </c>
      <c r="J136" s="229" t="s">
        <v>353</v>
      </c>
      <c r="K136" s="231" t="s">
        <v>354</v>
      </c>
    </row>
    <row r="137" spans="1:11" s="226" customFormat="1" ht="9.6" customHeight="1" x14ac:dyDescent="0.2">
      <c r="A137" s="229" t="str">
        <f>T_P_BilanSocial[[#This Row],[Nom]]&amp;T_P_BilanSocial[[#This Row],[Prenom]]</f>
        <v>BURDINVALÉRIE</v>
      </c>
      <c r="B137" s="228" t="s">
        <v>2165</v>
      </c>
      <c r="C137" s="229" t="s">
        <v>975</v>
      </c>
      <c r="D137" s="229" t="s">
        <v>1308</v>
      </c>
      <c r="E137" s="229" t="s">
        <v>1184</v>
      </c>
      <c r="F137" s="230" t="s">
        <v>445</v>
      </c>
      <c r="G137" s="229" t="s">
        <v>1476</v>
      </c>
      <c r="H137" s="229" t="s">
        <v>1477</v>
      </c>
      <c r="I137" s="229" t="s">
        <v>1180</v>
      </c>
      <c r="J137" s="229" t="s">
        <v>376</v>
      </c>
      <c r="K137" s="231" t="s">
        <v>341</v>
      </c>
    </row>
    <row r="138" spans="1:11" s="226" customFormat="1" ht="9.6" customHeight="1" x14ac:dyDescent="0.2">
      <c r="A138" s="229" t="str">
        <f>T_P_BilanSocial[[#This Row],[Nom]]&amp;T_P_BilanSocial[[#This Row],[Prenom]]</f>
        <v>BURLETRAPHAËL</v>
      </c>
      <c r="B138" s="228" t="s">
        <v>2823</v>
      </c>
      <c r="C138" s="229" t="s">
        <v>2824</v>
      </c>
      <c r="D138" s="229" t="s">
        <v>2825</v>
      </c>
      <c r="E138" s="229" t="s">
        <v>1177</v>
      </c>
      <c r="F138" s="230" t="s">
        <v>45</v>
      </c>
      <c r="G138" s="229" t="s">
        <v>1476</v>
      </c>
      <c r="H138" s="229" t="s">
        <v>1794</v>
      </c>
      <c r="I138" s="229" t="s">
        <v>1180</v>
      </c>
      <c r="J138" s="229" t="s">
        <v>376</v>
      </c>
      <c r="K138" s="231" t="s">
        <v>341</v>
      </c>
    </row>
    <row r="139" spans="1:11" s="226" customFormat="1" ht="9.6" customHeight="1" x14ac:dyDescent="0.2">
      <c r="A139" s="229" t="str">
        <f>T_P_BilanSocial[[#This Row],[Nom]]&amp;T_P_BilanSocial[[#This Row],[Prenom]]</f>
        <v>BUTTINANNABEL</v>
      </c>
      <c r="B139" s="228" t="s">
        <v>1251</v>
      </c>
      <c r="C139" s="229" t="s">
        <v>1252</v>
      </c>
      <c r="D139" s="229" t="s">
        <v>1253</v>
      </c>
      <c r="E139" s="229" t="s">
        <v>1184</v>
      </c>
      <c r="F139" s="230" t="s">
        <v>45</v>
      </c>
      <c r="G139" s="229" t="s">
        <v>1178</v>
      </c>
      <c r="H139" s="229" t="s">
        <v>1179</v>
      </c>
      <c r="I139" s="229" t="s">
        <v>1180</v>
      </c>
      <c r="J139" s="229" t="s">
        <v>376</v>
      </c>
      <c r="K139" s="231" t="s">
        <v>341</v>
      </c>
    </row>
    <row r="140" spans="1:11" s="226" customFormat="1" ht="9.6" customHeight="1" x14ac:dyDescent="0.2">
      <c r="A140" s="229" t="str">
        <f>T_P_BilanSocial[[#This Row],[Nom]]&amp;T_P_BilanSocial[[#This Row],[Prenom]]</f>
        <v>CAILLOTJEAN-FRANCOIS</v>
      </c>
      <c r="B140" s="228" t="s">
        <v>2323</v>
      </c>
      <c r="C140" s="229" t="s">
        <v>2324</v>
      </c>
      <c r="D140" s="229" t="s">
        <v>2325</v>
      </c>
      <c r="E140" s="229" t="s">
        <v>1177</v>
      </c>
      <c r="F140" s="230" t="s">
        <v>45</v>
      </c>
      <c r="G140" s="229" t="s">
        <v>1178</v>
      </c>
      <c r="H140" s="229" t="s">
        <v>1435</v>
      </c>
      <c r="I140" s="229" t="s">
        <v>1180</v>
      </c>
      <c r="J140" s="229" t="s">
        <v>477</v>
      </c>
      <c r="K140" s="231" t="s">
        <v>1444</v>
      </c>
    </row>
    <row r="141" spans="1:11" s="226" customFormat="1" ht="9.6" customHeight="1" x14ac:dyDescent="0.2">
      <c r="A141" s="229" t="str">
        <f>T_P_BilanSocial[[#This Row],[Nom]]&amp;T_P_BilanSocial[[#This Row],[Prenom]]</f>
        <v>CANIZARESELSA</v>
      </c>
      <c r="B141" s="228" t="s">
        <v>2902</v>
      </c>
      <c r="C141" s="229" t="s">
        <v>2903</v>
      </c>
      <c r="D141" s="229" t="s">
        <v>1962</v>
      </c>
      <c r="E141" s="229" t="s">
        <v>1184</v>
      </c>
      <c r="F141" s="230" t="s">
        <v>45</v>
      </c>
      <c r="G141" s="229" t="s">
        <v>1476</v>
      </c>
      <c r="H141" s="229" t="s">
        <v>1794</v>
      </c>
      <c r="I141" s="229" t="s">
        <v>1180</v>
      </c>
      <c r="J141" s="229" t="s">
        <v>329</v>
      </c>
      <c r="K141" s="231" t="s">
        <v>501</v>
      </c>
    </row>
    <row r="142" spans="1:11" s="226" customFormat="1" ht="9.6" customHeight="1" x14ac:dyDescent="0.2">
      <c r="A142" s="229" t="str">
        <f>T_P_BilanSocial[[#This Row],[Nom]]&amp;T_P_BilanSocial[[#This Row],[Prenom]]</f>
        <v>CANOVOPIERRETTE</v>
      </c>
      <c r="B142" s="228" t="s">
        <v>1662</v>
      </c>
      <c r="C142" s="229" t="s">
        <v>1663</v>
      </c>
      <c r="D142" s="229" t="s">
        <v>1664</v>
      </c>
      <c r="E142" s="229" t="s">
        <v>1184</v>
      </c>
      <c r="F142" s="230" t="s">
        <v>445</v>
      </c>
      <c r="G142" s="229" t="s">
        <v>1178</v>
      </c>
      <c r="H142" s="229" t="s">
        <v>1204</v>
      </c>
      <c r="I142" s="229" t="s">
        <v>1180</v>
      </c>
      <c r="J142" s="229" t="s">
        <v>376</v>
      </c>
      <c r="K142" s="231" t="s">
        <v>341</v>
      </c>
    </row>
    <row r="143" spans="1:11" s="226" customFormat="1" ht="9.6" customHeight="1" x14ac:dyDescent="0.2">
      <c r="A143" s="229" t="str">
        <f>T_P_BilanSocial[[#This Row],[Nom]]&amp;T_P_BilanSocial[[#This Row],[Prenom]]</f>
        <v>CAOXUEYANG</v>
      </c>
      <c r="B143" s="228" t="s">
        <v>2790</v>
      </c>
      <c r="C143" s="229" t="s">
        <v>833</v>
      </c>
      <c r="D143" s="229" t="s">
        <v>2791</v>
      </c>
      <c r="E143" s="229" t="s">
        <v>1184</v>
      </c>
      <c r="F143" s="230" t="s">
        <v>45</v>
      </c>
      <c r="G143" s="229" t="s">
        <v>1476</v>
      </c>
      <c r="H143" s="229" t="s">
        <v>1794</v>
      </c>
      <c r="I143" s="229" t="s">
        <v>1180</v>
      </c>
      <c r="J143" s="229" t="s">
        <v>376</v>
      </c>
      <c r="K143" s="231" t="s">
        <v>341</v>
      </c>
    </row>
    <row r="144" spans="1:11" s="226" customFormat="1" ht="9.6" customHeight="1" x14ac:dyDescent="0.2">
      <c r="A144" s="229" t="str">
        <f>T_P_BilanSocial[[#This Row],[Nom]]&amp;T_P_BilanSocial[[#This Row],[Prenom]]</f>
        <v>CAPUANOJEAN-LOUIS</v>
      </c>
      <c r="B144" s="228" t="s">
        <v>2942</v>
      </c>
      <c r="C144" s="229" t="s">
        <v>877</v>
      </c>
      <c r="D144" s="229" t="s">
        <v>2943</v>
      </c>
      <c r="E144" s="229" t="s">
        <v>1177</v>
      </c>
      <c r="F144" s="230" t="s">
        <v>308</v>
      </c>
      <c r="G144" s="229" t="s">
        <v>1178</v>
      </c>
      <c r="H144" s="229" t="s">
        <v>1179</v>
      </c>
      <c r="I144" s="229" t="s">
        <v>1180</v>
      </c>
      <c r="J144" s="229" t="s">
        <v>1022</v>
      </c>
      <c r="K144" s="231" t="s">
        <v>1023</v>
      </c>
    </row>
    <row r="145" spans="1:11" s="226" customFormat="1" ht="9.6" customHeight="1" x14ac:dyDescent="0.2">
      <c r="A145" s="229" t="str">
        <f>T_P_BilanSocial[[#This Row],[Nom]]&amp;T_P_BilanSocial[[#This Row],[Prenom]]</f>
        <v>CARITOUXNATHALIE</v>
      </c>
      <c r="B145" s="228" t="s">
        <v>1432</v>
      </c>
      <c r="C145" s="229" t="s">
        <v>1433</v>
      </c>
      <c r="D145" s="229" t="s">
        <v>1434</v>
      </c>
      <c r="E145" s="229" t="s">
        <v>1184</v>
      </c>
      <c r="F145" s="230" t="s">
        <v>308</v>
      </c>
      <c r="G145" s="229" t="s">
        <v>1178</v>
      </c>
      <c r="H145" s="229" t="s">
        <v>1435</v>
      </c>
      <c r="I145" s="229" t="s">
        <v>1180</v>
      </c>
      <c r="J145" s="229" t="s">
        <v>340</v>
      </c>
      <c r="K145" s="231" t="s">
        <v>341</v>
      </c>
    </row>
    <row r="146" spans="1:11" s="226" customFormat="1" ht="9.6" customHeight="1" x14ac:dyDescent="0.2">
      <c r="A146" s="229" t="str">
        <f>T_P_BilanSocial[[#This Row],[Nom]]&amp;T_P_BilanSocial[[#This Row],[Prenom]]</f>
        <v>CARLINOLAURENCE</v>
      </c>
      <c r="B146" s="228" t="s">
        <v>2852</v>
      </c>
      <c r="C146" s="229" t="s">
        <v>2853</v>
      </c>
      <c r="D146" s="229" t="s">
        <v>1282</v>
      </c>
      <c r="E146" s="229" t="s">
        <v>1184</v>
      </c>
      <c r="F146" s="230" t="s">
        <v>45</v>
      </c>
      <c r="G146" s="229" t="s">
        <v>1476</v>
      </c>
      <c r="H146" s="229" t="s">
        <v>1794</v>
      </c>
      <c r="I146" s="229" t="s">
        <v>1180</v>
      </c>
      <c r="J146" s="229" t="s">
        <v>1011</v>
      </c>
      <c r="K146" s="231" t="s">
        <v>1012</v>
      </c>
    </row>
    <row r="147" spans="1:11" s="226" customFormat="1" ht="9.6" customHeight="1" x14ac:dyDescent="0.2">
      <c r="A147" s="229" t="str">
        <f>T_P_BilanSocial[[#This Row],[Nom]]&amp;T_P_BilanSocial[[#This Row],[Prenom]]</f>
        <v>CARNEVALIROMAIN</v>
      </c>
      <c r="B147" s="228" t="s">
        <v>2160</v>
      </c>
      <c r="C147" s="229" t="s">
        <v>1130</v>
      </c>
      <c r="D147" s="229" t="s">
        <v>2161</v>
      </c>
      <c r="E147" s="229" t="s">
        <v>1177</v>
      </c>
      <c r="F147" s="230" t="s">
        <v>45</v>
      </c>
      <c r="G147" s="229" t="s">
        <v>1178</v>
      </c>
      <c r="H147" s="229" t="s">
        <v>1204</v>
      </c>
      <c r="I147" s="229" t="s">
        <v>1180</v>
      </c>
      <c r="J147" s="229" t="s">
        <v>684</v>
      </c>
      <c r="K147" s="231" t="s">
        <v>341</v>
      </c>
    </row>
    <row r="148" spans="1:11" s="226" customFormat="1" ht="9.6" customHeight="1" x14ac:dyDescent="0.2">
      <c r="A148" s="229" t="str">
        <f>T_P_BilanSocial[[#This Row],[Nom]]&amp;T_P_BilanSocial[[#This Row],[Prenom]]</f>
        <v>CARTIERAURORE</v>
      </c>
      <c r="B148" s="228" t="s">
        <v>2929</v>
      </c>
      <c r="C148" s="229" t="s">
        <v>943</v>
      </c>
      <c r="D148" s="229" t="s">
        <v>1780</v>
      </c>
      <c r="E148" s="229" t="s">
        <v>1184</v>
      </c>
      <c r="F148" s="230" t="s">
        <v>308</v>
      </c>
      <c r="G148" s="229" t="s">
        <v>1178</v>
      </c>
      <c r="H148" s="229" t="s">
        <v>1435</v>
      </c>
      <c r="I148" s="229" t="s">
        <v>1180</v>
      </c>
      <c r="J148" s="229" t="s">
        <v>411</v>
      </c>
      <c r="K148" s="231" t="s">
        <v>341</v>
      </c>
    </row>
    <row r="149" spans="1:11" s="226" customFormat="1" ht="9.6" customHeight="1" x14ac:dyDescent="0.2">
      <c r="A149" s="229" t="str">
        <f>T_P_BilanSocial[[#This Row],[Nom]]&amp;T_P_BilanSocial[[#This Row],[Prenom]]</f>
        <v>CASSIOISABELLE</v>
      </c>
      <c r="B149" s="228" t="s">
        <v>2659</v>
      </c>
      <c r="C149" s="229" t="s">
        <v>2660</v>
      </c>
      <c r="D149" s="229" t="s">
        <v>1224</v>
      </c>
      <c r="E149" s="229" t="s">
        <v>1184</v>
      </c>
      <c r="F149" s="230" t="s">
        <v>45</v>
      </c>
      <c r="G149" s="229" t="s">
        <v>1476</v>
      </c>
      <c r="H149" s="229" t="s">
        <v>1794</v>
      </c>
      <c r="I149" s="229" t="s">
        <v>1180</v>
      </c>
      <c r="J149" s="229" t="s">
        <v>684</v>
      </c>
      <c r="K149" s="231" t="s">
        <v>341</v>
      </c>
    </row>
    <row r="150" spans="1:11" s="226" customFormat="1" ht="9.6" customHeight="1" x14ac:dyDescent="0.2">
      <c r="A150" s="229" t="str">
        <f>T_P_BilanSocial[[#This Row],[Nom]]&amp;T_P_BilanSocial[[#This Row],[Prenom]]</f>
        <v>CASTEL-FERRYISABELLE</v>
      </c>
      <c r="B150" s="228" t="s">
        <v>2382</v>
      </c>
      <c r="C150" s="229" t="s">
        <v>651</v>
      </c>
      <c r="D150" s="229" t="s">
        <v>1224</v>
      </c>
      <c r="E150" s="229" t="s">
        <v>1184</v>
      </c>
      <c r="F150" s="230" t="s">
        <v>45</v>
      </c>
      <c r="G150" s="229" t="s">
        <v>1476</v>
      </c>
      <c r="H150" s="229" t="s">
        <v>1477</v>
      </c>
      <c r="I150" s="229" t="s">
        <v>1180</v>
      </c>
      <c r="J150" s="229" t="s">
        <v>652</v>
      </c>
      <c r="K150" s="231" t="s">
        <v>2383</v>
      </c>
    </row>
    <row r="151" spans="1:11" s="226" customFormat="1" ht="9.6" customHeight="1" x14ac:dyDescent="0.2">
      <c r="A151" s="229" t="str">
        <f>T_P_BilanSocial[[#This Row],[Nom]]&amp;T_P_BilanSocial[[#This Row],[Prenom]]</f>
        <v>CAUCHYLAURENCE</v>
      </c>
      <c r="B151" s="228" t="s">
        <v>1281</v>
      </c>
      <c r="C151" s="229" t="s">
        <v>359</v>
      </c>
      <c r="D151" s="229" t="s">
        <v>1282</v>
      </c>
      <c r="E151" s="229" t="s">
        <v>1184</v>
      </c>
      <c r="F151" s="230" t="s">
        <v>308</v>
      </c>
      <c r="G151" s="229" t="s">
        <v>1178</v>
      </c>
      <c r="H151" s="229" t="s">
        <v>1204</v>
      </c>
      <c r="I151" s="229" t="s">
        <v>1180</v>
      </c>
      <c r="J151" s="229" t="s">
        <v>487</v>
      </c>
      <c r="K151" s="231" t="s">
        <v>612</v>
      </c>
    </row>
    <row r="152" spans="1:11" s="226" customFormat="1" ht="9.6" customHeight="1" x14ac:dyDescent="0.2">
      <c r="A152" s="229" t="str">
        <f>T_P_BilanSocial[[#This Row],[Nom]]&amp;T_P_BilanSocial[[#This Row],[Prenom]]</f>
        <v>CAUZLOSQUYJULIEN</v>
      </c>
      <c r="B152" s="228" t="s">
        <v>2701</v>
      </c>
      <c r="C152" s="229" t="s">
        <v>603</v>
      </c>
      <c r="D152" s="229" t="s">
        <v>2095</v>
      </c>
      <c r="E152" s="229" t="s">
        <v>1177</v>
      </c>
      <c r="F152" s="230" t="s">
        <v>308</v>
      </c>
      <c r="G152" s="229" t="s">
        <v>1476</v>
      </c>
      <c r="H152" s="229" t="s">
        <v>1794</v>
      </c>
      <c r="I152" s="229" t="s">
        <v>1180</v>
      </c>
      <c r="J152" s="229" t="s">
        <v>353</v>
      </c>
      <c r="K152" s="231" t="s">
        <v>354</v>
      </c>
    </row>
    <row r="153" spans="1:11" s="226" customFormat="1" ht="9.6" customHeight="1" x14ac:dyDescent="0.2">
      <c r="A153" s="229" t="str">
        <f>T_P_BilanSocial[[#This Row],[Nom]]&amp;T_P_BilanSocial[[#This Row],[Prenom]]</f>
        <v>CAZALENSBRUNO</v>
      </c>
      <c r="B153" s="228" t="s">
        <v>1630</v>
      </c>
      <c r="C153" s="229" t="s">
        <v>1631</v>
      </c>
      <c r="D153" s="229" t="s">
        <v>1632</v>
      </c>
      <c r="E153" s="229" t="s">
        <v>1177</v>
      </c>
      <c r="F153" s="230" t="s">
        <v>45</v>
      </c>
      <c r="G153" s="229" t="s">
        <v>1178</v>
      </c>
      <c r="H153" s="229" t="s">
        <v>1204</v>
      </c>
      <c r="I153" s="229" t="s">
        <v>1180</v>
      </c>
      <c r="J153" s="229" t="s">
        <v>376</v>
      </c>
      <c r="K153" s="231" t="s">
        <v>341</v>
      </c>
    </row>
    <row r="154" spans="1:11" s="226" customFormat="1" ht="9.6" customHeight="1" x14ac:dyDescent="0.2">
      <c r="A154" s="229" t="str">
        <f>T_P_BilanSocial[[#This Row],[Nom]]&amp;T_P_BilanSocial[[#This Row],[Prenom]]</f>
        <v>CAZENEUVEHERVÉ</v>
      </c>
      <c r="B154" s="228" t="s">
        <v>2266</v>
      </c>
      <c r="C154" s="229" t="s">
        <v>433</v>
      </c>
      <c r="D154" s="229" t="s">
        <v>1176</v>
      </c>
      <c r="E154" s="229" t="s">
        <v>1177</v>
      </c>
      <c r="F154" s="230" t="s">
        <v>308</v>
      </c>
      <c r="G154" s="229" t="s">
        <v>1476</v>
      </c>
      <c r="H154" s="229" t="s">
        <v>1477</v>
      </c>
      <c r="I154" s="229" t="s">
        <v>1180</v>
      </c>
      <c r="J154" s="229" t="s">
        <v>411</v>
      </c>
      <c r="K154" s="231" t="s">
        <v>341</v>
      </c>
    </row>
    <row r="155" spans="1:11" s="226" customFormat="1" ht="9.6" customHeight="1" x14ac:dyDescent="0.2">
      <c r="A155" s="229" t="str">
        <f>T_P_BilanSocial[[#This Row],[Nom]]&amp;T_P_BilanSocial[[#This Row],[Prenom]]</f>
        <v>CHABRILLATBENJAMIN</v>
      </c>
      <c r="B155" s="228" t="s">
        <v>2369</v>
      </c>
      <c r="C155" s="229" t="s">
        <v>2370</v>
      </c>
      <c r="D155" s="229" t="s">
        <v>1801</v>
      </c>
      <c r="E155" s="229" t="s">
        <v>1177</v>
      </c>
      <c r="F155" s="230" t="s">
        <v>308</v>
      </c>
      <c r="G155" s="229" t="s">
        <v>1178</v>
      </c>
      <c r="H155" s="229" t="s">
        <v>1204</v>
      </c>
      <c r="I155" s="229" t="s">
        <v>1180</v>
      </c>
      <c r="J155" s="229" t="s">
        <v>665</v>
      </c>
      <c r="K155" s="231" t="s">
        <v>1306</v>
      </c>
    </row>
    <row r="156" spans="1:11" s="226" customFormat="1" ht="9.6" customHeight="1" x14ac:dyDescent="0.2">
      <c r="A156" s="229" t="str">
        <f>T_P_BilanSocial[[#This Row],[Nom]]&amp;T_P_BilanSocial[[#This Row],[Prenom]]</f>
        <v>CHADIERCHRISTINE</v>
      </c>
      <c r="B156" s="228" t="s">
        <v>1479</v>
      </c>
      <c r="C156" s="229" t="s">
        <v>1085</v>
      </c>
      <c r="D156" s="229" t="s">
        <v>1447</v>
      </c>
      <c r="E156" s="229" t="s">
        <v>1184</v>
      </c>
      <c r="F156" s="230" t="s">
        <v>308</v>
      </c>
      <c r="G156" s="229" t="s">
        <v>1476</v>
      </c>
      <c r="H156" s="229" t="s">
        <v>1477</v>
      </c>
      <c r="I156" s="229" t="s">
        <v>1180</v>
      </c>
      <c r="J156" s="229" t="s">
        <v>376</v>
      </c>
      <c r="K156" s="231" t="s">
        <v>341</v>
      </c>
    </row>
    <row r="157" spans="1:11" s="226" customFormat="1" ht="9.6" customHeight="1" x14ac:dyDescent="0.2">
      <c r="A157" s="229" t="str">
        <f>T_P_BilanSocial[[#This Row],[Nom]]&amp;T_P_BilanSocial[[#This Row],[Prenom]]</f>
        <v>CHAMBONVINCENT</v>
      </c>
      <c r="B157" s="228" t="s">
        <v>1705</v>
      </c>
      <c r="C157" s="229" t="s">
        <v>1706</v>
      </c>
      <c r="D157" s="229" t="s">
        <v>876</v>
      </c>
      <c r="E157" s="229" t="s">
        <v>1177</v>
      </c>
      <c r="F157" s="230" t="s">
        <v>445</v>
      </c>
      <c r="G157" s="229" t="s">
        <v>1178</v>
      </c>
      <c r="H157" s="229" t="s">
        <v>1204</v>
      </c>
      <c r="I157" s="229" t="s">
        <v>1180</v>
      </c>
      <c r="J157" s="229" t="s">
        <v>1196</v>
      </c>
      <c r="K157" s="231" t="s">
        <v>1707</v>
      </c>
    </row>
    <row r="158" spans="1:11" s="226" customFormat="1" ht="9.6" customHeight="1" x14ac:dyDescent="0.2">
      <c r="A158" s="229" t="str">
        <f>T_P_BilanSocial[[#This Row],[Nom]]&amp;T_P_BilanSocial[[#This Row],[Prenom]]</f>
        <v>CHAMPANEYSOPHIE</v>
      </c>
      <c r="B158" s="228" t="s">
        <v>1953</v>
      </c>
      <c r="C158" s="229" t="s">
        <v>1954</v>
      </c>
      <c r="D158" s="229" t="s">
        <v>1255</v>
      </c>
      <c r="E158" s="229" t="s">
        <v>1184</v>
      </c>
      <c r="F158" s="230" t="s">
        <v>308</v>
      </c>
      <c r="G158" s="229" t="s">
        <v>1178</v>
      </c>
      <c r="H158" s="229" t="s">
        <v>1204</v>
      </c>
      <c r="I158" s="229" t="s">
        <v>1180</v>
      </c>
      <c r="J158" s="229" t="s">
        <v>1955</v>
      </c>
      <c r="K158" s="231" t="s">
        <v>1956</v>
      </c>
    </row>
    <row r="159" spans="1:11" s="226" customFormat="1" ht="9.6" customHeight="1" x14ac:dyDescent="0.2">
      <c r="A159" s="229" t="str">
        <f>T_P_BilanSocial[[#This Row],[Nom]]&amp;T_P_BilanSocial[[#This Row],[Prenom]]</f>
        <v>CHAMPENOISROMAIN</v>
      </c>
      <c r="B159" s="228" t="s">
        <v>2647</v>
      </c>
      <c r="C159" s="229" t="s">
        <v>966</v>
      </c>
      <c r="D159" s="229" t="s">
        <v>2161</v>
      </c>
      <c r="E159" s="229" t="s">
        <v>1177</v>
      </c>
      <c r="F159" s="230" t="s">
        <v>45</v>
      </c>
      <c r="G159" s="229" t="s">
        <v>1476</v>
      </c>
      <c r="H159" s="229" t="s">
        <v>1794</v>
      </c>
      <c r="I159" s="229" t="s">
        <v>1180</v>
      </c>
      <c r="J159" s="229" t="s">
        <v>626</v>
      </c>
      <c r="K159" s="231" t="s">
        <v>341</v>
      </c>
    </row>
    <row r="160" spans="1:11" s="226" customFormat="1" ht="9.6" customHeight="1" x14ac:dyDescent="0.2">
      <c r="A160" s="229" t="str">
        <f>T_P_BilanSocial[[#This Row],[Nom]]&amp;T_P_BilanSocial[[#This Row],[Prenom]]</f>
        <v>CHAMSYASMINA</v>
      </c>
      <c r="B160" s="228" t="s">
        <v>1708</v>
      </c>
      <c r="C160" s="229" t="s">
        <v>711</v>
      </c>
      <c r="D160" s="229" t="s">
        <v>1709</v>
      </c>
      <c r="E160" s="229" t="s">
        <v>1184</v>
      </c>
      <c r="F160" s="230" t="s">
        <v>308</v>
      </c>
      <c r="G160" s="229" t="s">
        <v>1178</v>
      </c>
      <c r="H160" s="229" t="s">
        <v>1204</v>
      </c>
      <c r="I160" s="229" t="s">
        <v>1180</v>
      </c>
      <c r="J160" s="229" t="s">
        <v>471</v>
      </c>
      <c r="K160" s="231" t="s">
        <v>341</v>
      </c>
    </row>
    <row r="161" spans="1:11" s="226" customFormat="1" ht="9.6" customHeight="1" x14ac:dyDescent="0.2">
      <c r="A161" s="229" t="str">
        <f>T_P_BilanSocial[[#This Row],[Nom]]&amp;T_P_BilanSocial[[#This Row],[Prenom]]</f>
        <v>CHAPIRONCÉDRIC</v>
      </c>
      <c r="B161" s="228" t="s">
        <v>2629</v>
      </c>
      <c r="C161" s="229" t="s">
        <v>2630</v>
      </c>
      <c r="D161" s="229" t="s">
        <v>2631</v>
      </c>
      <c r="E161" s="229" t="s">
        <v>1177</v>
      </c>
      <c r="F161" s="230" t="s">
        <v>45</v>
      </c>
      <c r="G161" s="229" t="s">
        <v>1476</v>
      </c>
      <c r="H161" s="229" t="s">
        <v>1794</v>
      </c>
      <c r="I161" s="229" t="s">
        <v>1180</v>
      </c>
      <c r="J161" s="229" t="s">
        <v>423</v>
      </c>
      <c r="K161" s="231" t="s">
        <v>424</v>
      </c>
    </row>
    <row r="162" spans="1:11" s="226" customFormat="1" ht="9.6" customHeight="1" x14ac:dyDescent="0.2">
      <c r="A162" s="229" t="str">
        <f>T_P_BilanSocial[[#This Row],[Nom]]&amp;T_P_BilanSocial[[#This Row],[Prenom]]</f>
        <v>CHARBONNIERJESSICA</v>
      </c>
      <c r="B162" s="228" t="s">
        <v>2399</v>
      </c>
      <c r="C162" s="229" t="s">
        <v>1010</v>
      </c>
      <c r="D162" s="229" t="s">
        <v>2285</v>
      </c>
      <c r="E162" s="229" t="s">
        <v>1184</v>
      </c>
      <c r="F162" s="230" t="s">
        <v>45</v>
      </c>
      <c r="G162" s="229" t="s">
        <v>1178</v>
      </c>
      <c r="H162" s="229" t="s">
        <v>1179</v>
      </c>
      <c r="I162" s="229" t="s">
        <v>1180</v>
      </c>
      <c r="J162" s="229" t="s">
        <v>1011</v>
      </c>
      <c r="K162" s="231" t="s">
        <v>1012</v>
      </c>
    </row>
    <row r="163" spans="1:11" s="226" customFormat="1" ht="9.6" customHeight="1" x14ac:dyDescent="0.2">
      <c r="A163" s="229" t="str">
        <f>T_P_BilanSocial[[#This Row],[Nom]]&amp;T_P_BilanSocial[[#This Row],[Prenom]]</f>
        <v>CHARLASJOSEPH-MICHEL</v>
      </c>
      <c r="B163" s="228" t="s">
        <v>1852</v>
      </c>
      <c r="C163" s="229" t="s">
        <v>295</v>
      </c>
      <c r="D163" s="229" t="s">
        <v>1853</v>
      </c>
      <c r="E163" s="229" t="s">
        <v>1177</v>
      </c>
      <c r="F163" s="230" t="s">
        <v>308</v>
      </c>
      <c r="G163" s="229" t="s">
        <v>1178</v>
      </c>
      <c r="H163" s="229" t="s">
        <v>1179</v>
      </c>
      <c r="I163" s="229" t="s">
        <v>1180</v>
      </c>
      <c r="J163" s="229" t="s">
        <v>309</v>
      </c>
      <c r="K163" s="231" t="s">
        <v>1854</v>
      </c>
    </row>
    <row r="164" spans="1:11" s="226" customFormat="1" ht="9.6" customHeight="1" x14ac:dyDescent="0.2">
      <c r="A164" s="229" t="str">
        <f>T_P_BilanSocial[[#This Row],[Nom]]&amp;T_P_BilanSocial[[#This Row],[Prenom]]</f>
        <v>CHAUVINMICHAËL</v>
      </c>
      <c r="B164" s="228" t="s">
        <v>2493</v>
      </c>
      <c r="C164" s="229" t="s">
        <v>2494</v>
      </c>
      <c r="D164" s="229" t="s">
        <v>2425</v>
      </c>
      <c r="E164" s="229" t="s">
        <v>1177</v>
      </c>
      <c r="F164" s="230" t="s">
        <v>45</v>
      </c>
      <c r="G164" s="229" t="s">
        <v>1476</v>
      </c>
      <c r="H164" s="229" t="s">
        <v>1794</v>
      </c>
      <c r="I164" s="229" t="s">
        <v>1180</v>
      </c>
      <c r="J164" s="229" t="s">
        <v>1079</v>
      </c>
      <c r="K164" s="231" t="s">
        <v>2495</v>
      </c>
    </row>
    <row r="165" spans="1:11" s="226" customFormat="1" ht="9.6" customHeight="1" x14ac:dyDescent="0.2">
      <c r="A165" s="229" t="str">
        <f>T_P_BilanSocial[[#This Row],[Nom]]&amp;T_P_BilanSocial[[#This Row],[Prenom]]</f>
        <v>CHAZALLETDELPHINE</v>
      </c>
      <c r="B165" s="228" t="s">
        <v>2723</v>
      </c>
      <c r="C165" s="229" t="s">
        <v>2724</v>
      </c>
      <c r="D165" s="229" t="s">
        <v>1195</v>
      </c>
      <c r="E165" s="229" t="s">
        <v>1184</v>
      </c>
      <c r="F165" s="230" t="s">
        <v>445</v>
      </c>
      <c r="G165" s="229" t="s">
        <v>1476</v>
      </c>
      <c r="H165" s="229" t="s">
        <v>1794</v>
      </c>
      <c r="I165" s="229" t="s">
        <v>1180</v>
      </c>
      <c r="J165" s="229" t="s">
        <v>2725</v>
      </c>
      <c r="K165" s="231" t="s">
        <v>2726</v>
      </c>
    </row>
    <row r="166" spans="1:11" s="226" customFormat="1" ht="9.6" customHeight="1" x14ac:dyDescent="0.2">
      <c r="A166" s="229" t="str">
        <f>T_P_BilanSocial[[#This Row],[Nom]]&amp;T_P_BilanSocial[[#This Row],[Prenom]]</f>
        <v>CHERAITIANINA</v>
      </c>
      <c r="B166" s="228" t="s">
        <v>2003</v>
      </c>
      <c r="C166" s="229" t="s">
        <v>2004</v>
      </c>
      <c r="D166" s="229" t="s">
        <v>2005</v>
      </c>
      <c r="E166" s="229" t="s">
        <v>1184</v>
      </c>
      <c r="F166" s="230" t="s">
        <v>45</v>
      </c>
      <c r="G166" s="229" t="s">
        <v>1476</v>
      </c>
      <c r="H166" s="229" t="s">
        <v>1477</v>
      </c>
      <c r="I166" s="229" t="s">
        <v>1180</v>
      </c>
      <c r="J166" s="229" t="s">
        <v>717</v>
      </c>
      <c r="K166" s="231" t="s">
        <v>718</v>
      </c>
    </row>
    <row r="167" spans="1:11" s="226" customFormat="1" ht="9.6" customHeight="1" x14ac:dyDescent="0.2">
      <c r="A167" s="229" t="str">
        <f>T_P_BilanSocial[[#This Row],[Nom]]&amp;T_P_BilanSocial[[#This Row],[Prenom]]</f>
        <v>CHEVALLIERCAMILLE</v>
      </c>
      <c r="B167" s="228" t="s">
        <v>2832</v>
      </c>
      <c r="C167" s="229" t="s">
        <v>799</v>
      </c>
      <c r="D167" s="229" t="s">
        <v>2665</v>
      </c>
      <c r="E167" s="229" t="s">
        <v>1184</v>
      </c>
      <c r="F167" s="230" t="s">
        <v>445</v>
      </c>
      <c r="G167" s="229" t="s">
        <v>1476</v>
      </c>
      <c r="H167" s="229" t="s">
        <v>1794</v>
      </c>
      <c r="I167" s="229" t="s">
        <v>1180</v>
      </c>
      <c r="J167" s="229" t="s">
        <v>340</v>
      </c>
      <c r="K167" s="231" t="s">
        <v>341</v>
      </c>
    </row>
    <row r="168" spans="1:11" s="226" customFormat="1" ht="9.6" customHeight="1" x14ac:dyDescent="0.2">
      <c r="A168" s="229" t="str">
        <f>T_P_BilanSocial[[#This Row],[Nom]]&amp;T_P_BilanSocial[[#This Row],[Prenom]]</f>
        <v>CHIKHIRACHIDA</v>
      </c>
      <c r="B168" s="228" t="s">
        <v>1538</v>
      </c>
      <c r="C168" s="229" t="s">
        <v>1539</v>
      </c>
      <c r="D168" s="229" t="s">
        <v>1540</v>
      </c>
      <c r="E168" s="229" t="s">
        <v>1184</v>
      </c>
      <c r="F168" s="230" t="s">
        <v>45</v>
      </c>
      <c r="G168" s="229" t="s">
        <v>1178</v>
      </c>
      <c r="H168" s="229" t="s">
        <v>1204</v>
      </c>
      <c r="I168" s="229" t="s">
        <v>1180</v>
      </c>
      <c r="J168" s="229" t="s">
        <v>340</v>
      </c>
      <c r="K168" s="231" t="s">
        <v>341</v>
      </c>
    </row>
    <row r="169" spans="1:11" s="226" customFormat="1" ht="9.6" customHeight="1" x14ac:dyDescent="0.2">
      <c r="A169" s="229" t="str">
        <f>T_P_BilanSocial[[#This Row],[Nom]]&amp;T_P_BilanSocial[[#This Row],[Prenom]]</f>
        <v>CHIKHIFARIDA</v>
      </c>
      <c r="B169" s="228" t="s">
        <v>2367</v>
      </c>
      <c r="C169" s="229" t="s">
        <v>1539</v>
      </c>
      <c r="D169" s="229" t="s">
        <v>2368</v>
      </c>
      <c r="E169" s="229" t="s">
        <v>1184</v>
      </c>
      <c r="F169" s="230" t="s">
        <v>445</v>
      </c>
      <c r="G169" s="229" t="s">
        <v>1178</v>
      </c>
      <c r="H169" s="229" t="s">
        <v>1204</v>
      </c>
      <c r="I169" s="229" t="s">
        <v>1180</v>
      </c>
      <c r="J169" s="229" t="s">
        <v>626</v>
      </c>
      <c r="K169" s="231" t="s">
        <v>341</v>
      </c>
    </row>
    <row r="170" spans="1:11" s="226" customFormat="1" ht="9.6" customHeight="1" x14ac:dyDescent="0.2">
      <c r="A170" s="229" t="str">
        <f>T_P_BilanSocial[[#This Row],[Nom]]&amp;T_P_BilanSocial[[#This Row],[Prenom]]</f>
        <v>CHILLETLAURENT</v>
      </c>
      <c r="B170" s="228" t="s">
        <v>1808</v>
      </c>
      <c r="C170" s="229" t="s">
        <v>1809</v>
      </c>
      <c r="D170" s="229" t="s">
        <v>1799</v>
      </c>
      <c r="E170" s="229" t="s">
        <v>1177</v>
      </c>
      <c r="F170" s="230" t="s">
        <v>45</v>
      </c>
      <c r="G170" s="229" t="s">
        <v>1178</v>
      </c>
      <c r="H170" s="229" t="s">
        <v>1204</v>
      </c>
      <c r="I170" s="229" t="s">
        <v>1180</v>
      </c>
      <c r="J170" s="229" t="s">
        <v>411</v>
      </c>
      <c r="K170" s="231" t="s">
        <v>341</v>
      </c>
    </row>
    <row r="171" spans="1:11" s="226" customFormat="1" ht="9.6" customHeight="1" x14ac:dyDescent="0.2">
      <c r="A171" s="229" t="str">
        <f>T_P_BilanSocial[[#This Row],[Nom]]&amp;T_P_BilanSocial[[#This Row],[Prenom]]</f>
        <v>CHIROUZECHRISTIAN</v>
      </c>
      <c r="B171" s="228" t="s">
        <v>1721</v>
      </c>
      <c r="C171" s="229" t="s">
        <v>1722</v>
      </c>
      <c r="D171" s="229" t="s">
        <v>1369</v>
      </c>
      <c r="E171" s="229" t="s">
        <v>1177</v>
      </c>
      <c r="F171" s="230" t="s">
        <v>308</v>
      </c>
      <c r="G171" s="229" t="s">
        <v>1178</v>
      </c>
      <c r="H171" s="229" t="s">
        <v>1179</v>
      </c>
      <c r="I171" s="229" t="s">
        <v>1180</v>
      </c>
      <c r="J171" s="229" t="s">
        <v>340</v>
      </c>
      <c r="K171" s="231" t="s">
        <v>341</v>
      </c>
    </row>
    <row r="172" spans="1:11" s="226" customFormat="1" ht="9.6" customHeight="1" x14ac:dyDescent="0.2">
      <c r="A172" s="229" t="str">
        <f>T_P_BilanSocial[[#This Row],[Nom]]&amp;T_P_BilanSocial[[#This Row],[Prenom]]</f>
        <v>CHOMBARNOÉMIE</v>
      </c>
      <c r="B172" s="228" t="s">
        <v>2504</v>
      </c>
      <c r="C172" s="229" t="s">
        <v>2505</v>
      </c>
      <c r="D172" s="229" t="s">
        <v>2506</v>
      </c>
      <c r="E172" s="229" t="s">
        <v>1184</v>
      </c>
      <c r="F172" s="230" t="s">
        <v>45</v>
      </c>
      <c r="G172" s="229" t="s">
        <v>1476</v>
      </c>
      <c r="H172" s="229" t="s">
        <v>1794</v>
      </c>
      <c r="I172" s="229" t="s">
        <v>1180</v>
      </c>
      <c r="J172" s="229" t="s">
        <v>684</v>
      </c>
      <c r="K172" s="231" t="s">
        <v>341</v>
      </c>
    </row>
    <row r="173" spans="1:11" s="226" customFormat="1" ht="9.6" customHeight="1" x14ac:dyDescent="0.2">
      <c r="A173" s="229" t="str">
        <f>T_P_BilanSocial[[#This Row],[Nom]]&amp;T_P_BilanSocial[[#This Row],[Prenom]]</f>
        <v>CHOURFILINDA</v>
      </c>
      <c r="B173" s="228" t="s">
        <v>1653</v>
      </c>
      <c r="C173" s="229" t="s">
        <v>1055</v>
      </c>
      <c r="D173" s="229" t="s">
        <v>1654</v>
      </c>
      <c r="E173" s="229" t="s">
        <v>1184</v>
      </c>
      <c r="F173" s="230" t="s">
        <v>45</v>
      </c>
      <c r="G173" s="229" t="s">
        <v>1178</v>
      </c>
      <c r="H173" s="229" t="s">
        <v>1179</v>
      </c>
      <c r="I173" s="229" t="s">
        <v>1180</v>
      </c>
      <c r="J173" s="229" t="s">
        <v>607</v>
      </c>
      <c r="K173" s="231" t="s">
        <v>608</v>
      </c>
    </row>
    <row r="174" spans="1:11" s="226" customFormat="1" ht="9.6" customHeight="1" x14ac:dyDescent="0.2">
      <c r="A174" s="229" t="str">
        <f>T_P_BilanSocial[[#This Row],[Nom]]&amp;T_P_BilanSocial[[#This Row],[Prenom]]</f>
        <v>CHRISTINLIONEL</v>
      </c>
      <c r="B174" s="228" t="s">
        <v>2360</v>
      </c>
      <c r="C174" s="229" t="s">
        <v>514</v>
      </c>
      <c r="D174" s="229" t="s">
        <v>1669</v>
      </c>
      <c r="E174" s="229" t="s">
        <v>1177</v>
      </c>
      <c r="F174" s="230" t="s">
        <v>45</v>
      </c>
      <c r="G174" s="229" t="s">
        <v>1476</v>
      </c>
      <c r="H174" s="229" t="s">
        <v>1477</v>
      </c>
      <c r="I174" s="229" t="s">
        <v>1180</v>
      </c>
      <c r="J174" s="229" t="s">
        <v>2361</v>
      </c>
      <c r="K174" s="231" t="s">
        <v>2362</v>
      </c>
    </row>
    <row r="175" spans="1:11" s="226" customFormat="1" ht="9.6" customHeight="1" x14ac:dyDescent="0.2">
      <c r="A175" s="229" t="str">
        <f>T_P_BilanSocial[[#This Row],[Nom]]&amp;T_P_BilanSocial[[#This Row],[Prenom]]</f>
        <v>CHRISTINDIDIER</v>
      </c>
      <c r="B175" s="228" t="s">
        <v>2961</v>
      </c>
      <c r="C175" s="229" t="s">
        <v>514</v>
      </c>
      <c r="D175" s="229" t="s">
        <v>2692</v>
      </c>
      <c r="E175" s="229" t="s">
        <v>1177</v>
      </c>
      <c r="F175" s="230" t="s">
        <v>308</v>
      </c>
      <c r="G175" s="229" t="s">
        <v>1178</v>
      </c>
      <c r="H175" s="229" t="s">
        <v>1204</v>
      </c>
      <c r="I175" s="229" t="s">
        <v>1180</v>
      </c>
      <c r="J175" s="229" t="s">
        <v>775</v>
      </c>
      <c r="K175" s="231" t="s">
        <v>2962</v>
      </c>
    </row>
    <row r="176" spans="1:11" s="226" customFormat="1" ht="9.6" customHeight="1" x14ac:dyDescent="0.2">
      <c r="A176" s="229" t="str">
        <f>T_P_BilanSocial[[#This Row],[Nom]]&amp;T_P_BilanSocial[[#This Row],[Prenom]]</f>
        <v>CIOBANOIUOANA</v>
      </c>
      <c r="B176" s="228" t="s">
        <v>2800</v>
      </c>
      <c r="C176" s="229" t="s">
        <v>2801</v>
      </c>
      <c r="D176" s="229" t="s">
        <v>2802</v>
      </c>
      <c r="E176" s="229" t="s">
        <v>1184</v>
      </c>
      <c r="F176" s="230" t="s">
        <v>308</v>
      </c>
      <c r="G176" s="229" t="s">
        <v>1476</v>
      </c>
      <c r="H176" s="229" t="s">
        <v>1794</v>
      </c>
      <c r="I176" s="229" t="s">
        <v>1180</v>
      </c>
      <c r="J176" s="229" t="s">
        <v>353</v>
      </c>
      <c r="K176" s="231" t="s">
        <v>354</v>
      </c>
    </row>
    <row r="177" spans="1:11" s="226" customFormat="1" ht="9.6" customHeight="1" x14ac:dyDescent="0.2">
      <c r="A177" s="229" t="str">
        <f>T_P_BilanSocial[[#This Row],[Nom]]&amp;T_P_BilanSocial[[#This Row],[Prenom]]</f>
        <v>CLAITTEISABELLE</v>
      </c>
      <c r="B177" s="228" t="s">
        <v>2193</v>
      </c>
      <c r="C177" s="229" t="s">
        <v>959</v>
      </c>
      <c r="D177" s="229" t="s">
        <v>1224</v>
      </c>
      <c r="E177" s="229" t="s">
        <v>1184</v>
      </c>
      <c r="F177" s="230" t="s">
        <v>445</v>
      </c>
      <c r="G177" s="229" t="s">
        <v>1178</v>
      </c>
      <c r="H177" s="229" t="s">
        <v>1204</v>
      </c>
      <c r="I177" s="229" t="s">
        <v>1180</v>
      </c>
      <c r="J177" s="229" t="s">
        <v>963</v>
      </c>
      <c r="K177" s="231" t="s">
        <v>964</v>
      </c>
    </row>
    <row r="178" spans="1:11" s="226" customFormat="1" ht="9.6" customHeight="1" x14ac:dyDescent="0.2">
      <c r="A178" s="229" t="str">
        <f>T_P_BilanSocial[[#This Row],[Nom]]&amp;T_P_BilanSocial[[#This Row],[Prenom]]</f>
        <v>CLARETMARIE</v>
      </c>
      <c r="B178" s="228" t="s">
        <v>2491</v>
      </c>
      <c r="C178" s="229" t="s">
        <v>2492</v>
      </c>
      <c r="D178" s="229" t="s">
        <v>2090</v>
      </c>
      <c r="E178" s="229" t="s">
        <v>1184</v>
      </c>
      <c r="F178" s="230" t="s">
        <v>45</v>
      </c>
      <c r="G178" s="229" t="s">
        <v>1476</v>
      </c>
      <c r="H178" s="229" t="s">
        <v>1794</v>
      </c>
      <c r="I178" s="229" t="s">
        <v>1180</v>
      </c>
      <c r="J178" s="229" t="s">
        <v>520</v>
      </c>
      <c r="K178" s="231" t="s">
        <v>341</v>
      </c>
    </row>
    <row r="179" spans="1:11" s="226" customFormat="1" ht="9.6" customHeight="1" x14ac:dyDescent="0.2">
      <c r="A179" s="229" t="str">
        <f>T_P_BilanSocial[[#This Row],[Nom]]&amp;T_P_BilanSocial[[#This Row],[Prenom]]</f>
        <v>CLAUSSEANNE</v>
      </c>
      <c r="B179" s="228" t="s">
        <v>2600</v>
      </c>
      <c r="C179" s="229" t="s">
        <v>708</v>
      </c>
      <c r="D179" s="229" t="s">
        <v>1257</v>
      </c>
      <c r="E179" s="229" t="s">
        <v>1184</v>
      </c>
      <c r="F179" s="230" t="s">
        <v>308</v>
      </c>
      <c r="G179" s="229" t="s">
        <v>1476</v>
      </c>
      <c r="H179" s="229" t="s">
        <v>1794</v>
      </c>
      <c r="I179" s="229" t="s">
        <v>1180</v>
      </c>
      <c r="J179" s="229" t="s">
        <v>411</v>
      </c>
      <c r="K179" s="231" t="s">
        <v>341</v>
      </c>
    </row>
    <row r="180" spans="1:11" s="226" customFormat="1" ht="9.6" customHeight="1" x14ac:dyDescent="0.2">
      <c r="A180" s="229" t="str">
        <f>T_P_BilanSocial[[#This Row],[Nom]]&amp;T_P_BilanSocial[[#This Row],[Prenom]]</f>
        <v>CLERCRené</v>
      </c>
      <c r="B180" s="228" t="s">
        <v>1849</v>
      </c>
      <c r="C180" s="229" t="s">
        <v>845</v>
      </c>
      <c r="D180" s="233" t="s">
        <v>846</v>
      </c>
      <c r="E180" s="229" t="s">
        <v>1177</v>
      </c>
      <c r="F180" s="230" t="s">
        <v>445</v>
      </c>
      <c r="G180" s="229" t="s">
        <v>1178</v>
      </c>
      <c r="H180" s="229" t="s">
        <v>1204</v>
      </c>
      <c r="I180" s="229" t="s">
        <v>1180</v>
      </c>
      <c r="J180" s="229" t="s">
        <v>498</v>
      </c>
      <c r="K180" s="231" t="s">
        <v>499</v>
      </c>
    </row>
    <row r="181" spans="1:11" s="226" customFormat="1" ht="9.6" customHeight="1" x14ac:dyDescent="0.2">
      <c r="A181" s="229" t="str">
        <f>T_P_BilanSocial[[#This Row],[Nom]]&amp;T_P_BilanSocial[[#This Row],[Prenom]]</f>
        <v>CLERINMARIE</v>
      </c>
      <c r="B181" s="228" t="s">
        <v>2819</v>
      </c>
      <c r="C181" s="229" t="s">
        <v>2820</v>
      </c>
      <c r="D181" s="229" t="s">
        <v>2090</v>
      </c>
      <c r="E181" s="229" t="s">
        <v>1184</v>
      </c>
      <c r="F181" s="230" t="s">
        <v>445</v>
      </c>
      <c r="G181" s="229" t="s">
        <v>1476</v>
      </c>
      <c r="H181" s="229" t="s">
        <v>1794</v>
      </c>
      <c r="I181" s="229" t="s">
        <v>1180</v>
      </c>
      <c r="J181" s="229" t="s">
        <v>353</v>
      </c>
      <c r="K181" s="231" t="s">
        <v>354</v>
      </c>
    </row>
    <row r="182" spans="1:11" s="226" customFormat="1" ht="9.6" customHeight="1" x14ac:dyDescent="0.2">
      <c r="A182" s="229" t="str">
        <f>T_P_BilanSocial[[#This Row],[Nom]]&amp;T_P_BilanSocial[[#This Row],[Prenom]]</f>
        <v>CLOSAANTONIO</v>
      </c>
      <c r="B182" s="228" t="s">
        <v>1640</v>
      </c>
      <c r="C182" s="229" t="s">
        <v>860</v>
      </c>
      <c r="D182" s="229" t="s">
        <v>1641</v>
      </c>
      <c r="E182" s="229" t="s">
        <v>1177</v>
      </c>
      <c r="F182" s="230" t="s">
        <v>445</v>
      </c>
      <c r="G182" s="229" t="s">
        <v>1178</v>
      </c>
      <c r="H182" s="229" t="s">
        <v>1179</v>
      </c>
      <c r="I182" s="229" t="s">
        <v>1180</v>
      </c>
      <c r="J182" s="229" t="s">
        <v>508</v>
      </c>
      <c r="K182" s="231" t="s">
        <v>509</v>
      </c>
    </row>
    <row r="183" spans="1:11" s="226" customFormat="1" ht="9.6" customHeight="1" x14ac:dyDescent="0.2">
      <c r="A183" s="229" t="str">
        <f>T_P_BilanSocial[[#This Row],[Nom]]&amp;T_P_BilanSocial[[#This Row],[Prenom]]</f>
        <v>CODINAALEXANDRA</v>
      </c>
      <c r="B183" s="228" t="s">
        <v>2247</v>
      </c>
      <c r="C183" s="229" t="s">
        <v>502</v>
      </c>
      <c r="D183" s="229" t="s">
        <v>1470</v>
      </c>
      <c r="E183" s="229" t="s">
        <v>1184</v>
      </c>
      <c r="F183" s="230" t="s">
        <v>308</v>
      </c>
      <c r="G183" s="229" t="s">
        <v>1178</v>
      </c>
      <c r="H183" s="229" t="s">
        <v>1204</v>
      </c>
      <c r="I183" s="229" t="s">
        <v>1180</v>
      </c>
      <c r="J183" s="229" t="s">
        <v>503</v>
      </c>
      <c r="K183" s="231" t="s">
        <v>504</v>
      </c>
    </row>
    <row r="184" spans="1:11" s="226" customFormat="1" ht="9.6" customHeight="1" x14ac:dyDescent="0.2">
      <c r="A184" s="229" t="str">
        <f>T_P_BilanSocial[[#This Row],[Nom]]&amp;T_P_BilanSocial[[#This Row],[Prenom]]</f>
        <v>COLBERNARD</v>
      </c>
      <c r="B184" s="228" t="s">
        <v>1719</v>
      </c>
      <c r="C184" s="229" t="s">
        <v>371</v>
      </c>
      <c r="D184" s="229" t="s">
        <v>1720</v>
      </c>
      <c r="E184" s="229" t="s">
        <v>1177</v>
      </c>
      <c r="F184" s="230" t="s">
        <v>308</v>
      </c>
      <c r="G184" s="229" t="s">
        <v>1178</v>
      </c>
      <c r="H184" s="229" t="s">
        <v>1179</v>
      </c>
      <c r="I184" s="229" t="s">
        <v>1180</v>
      </c>
      <c r="J184" s="229" t="s">
        <v>340</v>
      </c>
      <c r="K184" s="231" t="s">
        <v>341</v>
      </c>
    </row>
    <row r="185" spans="1:11" s="226" customFormat="1" ht="9.6" customHeight="1" x14ac:dyDescent="0.2">
      <c r="A185" s="229" t="str">
        <f>T_P_BilanSocial[[#This Row],[Nom]]&amp;T_P_BilanSocial[[#This Row],[Prenom]]</f>
        <v>COLASCécile</v>
      </c>
      <c r="B185" s="228" t="s">
        <v>2695</v>
      </c>
      <c r="C185" s="229" t="s">
        <v>1097</v>
      </c>
      <c r="D185" s="229" t="s">
        <v>358</v>
      </c>
      <c r="E185" s="229" t="s">
        <v>1184</v>
      </c>
      <c r="F185" s="230" t="s">
        <v>45</v>
      </c>
      <c r="G185" s="229" t="s">
        <v>1476</v>
      </c>
      <c r="H185" s="229" t="s">
        <v>1794</v>
      </c>
      <c r="I185" s="229" t="s">
        <v>1180</v>
      </c>
      <c r="J185" s="229" t="s">
        <v>665</v>
      </c>
      <c r="K185" s="231" t="s">
        <v>1306</v>
      </c>
    </row>
    <row r="186" spans="1:11" s="226" customFormat="1" ht="9.6" customHeight="1" x14ac:dyDescent="0.2">
      <c r="A186" s="229" t="str">
        <f>T_P_BilanSocial[[#This Row],[Nom]]&amp;T_P_BilanSocial[[#This Row],[Prenom]]</f>
        <v>COLLIGNONBERTILLE</v>
      </c>
      <c r="B186" s="228" t="s">
        <v>2444</v>
      </c>
      <c r="C186" s="229" t="s">
        <v>2445</v>
      </c>
      <c r="D186" s="229" t="s">
        <v>2446</v>
      </c>
      <c r="E186" s="229" t="s">
        <v>1184</v>
      </c>
      <c r="F186" s="230" t="s">
        <v>308</v>
      </c>
      <c r="G186" s="229" t="s">
        <v>1476</v>
      </c>
      <c r="H186" s="229" t="s">
        <v>1477</v>
      </c>
      <c r="I186" s="229" t="s">
        <v>1180</v>
      </c>
      <c r="J186" s="229" t="s">
        <v>353</v>
      </c>
      <c r="K186" s="231" t="s">
        <v>354</v>
      </c>
    </row>
    <row r="187" spans="1:11" s="226" customFormat="1" ht="9.6" customHeight="1" x14ac:dyDescent="0.2">
      <c r="A187" s="229" t="str">
        <f>T_P_BilanSocial[[#This Row],[Nom]]&amp;T_P_BilanSocial[[#This Row],[Prenom]]</f>
        <v>COLOMBMAGALY</v>
      </c>
      <c r="B187" s="228" t="s">
        <v>1791</v>
      </c>
      <c r="C187" s="229" t="s">
        <v>1792</v>
      </c>
      <c r="D187" s="229" t="s">
        <v>1793</v>
      </c>
      <c r="E187" s="229" t="s">
        <v>1184</v>
      </c>
      <c r="F187" s="230" t="s">
        <v>45</v>
      </c>
      <c r="G187" s="229" t="s">
        <v>1476</v>
      </c>
      <c r="H187" s="229" t="s">
        <v>1794</v>
      </c>
      <c r="I187" s="229" t="s">
        <v>1180</v>
      </c>
      <c r="J187" s="229" t="s">
        <v>622</v>
      </c>
      <c r="K187" s="231" t="s">
        <v>623</v>
      </c>
    </row>
    <row r="188" spans="1:11" s="226" customFormat="1" ht="9.6" customHeight="1" x14ac:dyDescent="0.2">
      <c r="A188" s="229" t="str">
        <f>T_P_BilanSocial[[#This Row],[Nom]]&amp;T_P_BilanSocial[[#This Row],[Prenom]]</f>
        <v>COLOMBIERFABRICE</v>
      </c>
      <c r="B188" s="228" t="s">
        <v>1480</v>
      </c>
      <c r="C188" s="229" t="s">
        <v>1481</v>
      </c>
      <c r="D188" s="229" t="s">
        <v>1482</v>
      </c>
      <c r="E188" s="229" t="s">
        <v>1177</v>
      </c>
      <c r="F188" s="230" t="s">
        <v>308</v>
      </c>
      <c r="G188" s="229" t="s">
        <v>1476</v>
      </c>
      <c r="H188" s="229" t="s">
        <v>1477</v>
      </c>
      <c r="I188" s="229" t="s">
        <v>1180</v>
      </c>
      <c r="J188" s="229" t="s">
        <v>535</v>
      </c>
      <c r="K188" s="231" t="s">
        <v>536</v>
      </c>
    </row>
    <row r="189" spans="1:11" s="226" customFormat="1" ht="9.6" customHeight="1" x14ac:dyDescent="0.2">
      <c r="A189" s="229" t="str">
        <f>T_P_BilanSocial[[#This Row],[Nom]]&amp;T_P_BilanSocial[[#This Row],[Prenom]]</f>
        <v>COLONNETTEMÉLANIE</v>
      </c>
      <c r="B189" s="228" t="s">
        <v>2785</v>
      </c>
      <c r="C189" s="229" t="s">
        <v>2786</v>
      </c>
      <c r="D189" s="229" t="s">
        <v>1747</v>
      </c>
      <c r="E189" s="229" t="s">
        <v>1184</v>
      </c>
      <c r="F189" s="230" t="s">
        <v>445</v>
      </c>
      <c r="G189" s="229" t="s">
        <v>1476</v>
      </c>
      <c r="H189" s="229" t="s">
        <v>1794</v>
      </c>
      <c r="I189" s="229" t="s">
        <v>1180</v>
      </c>
      <c r="J189" s="229" t="s">
        <v>329</v>
      </c>
      <c r="K189" s="231" t="s">
        <v>501</v>
      </c>
    </row>
    <row r="190" spans="1:11" s="226" customFormat="1" ht="9.6" customHeight="1" x14ac:dyDescent="0.2">
      <c r="A190" s="229" t="str">
        <f>T_P_BilanSocial[[#This Row],[Nom]]&amp;T_P_BilanSocial[[#This Row],[Prenom]]</f>
        <v>COMBARETLAURA</v>
      </c>
      <c r="B190" s="228" t="s">
        <v>2770</v>
      </c>
      <c r="C190" s="229" t="s">
        <v>2771</v>
      </c>
      <c r="D190" s="229" t="s">
        <v>2259</v>
      </c>
      <c r="E190" s="229" t="s">
        <v>1184</v>
      </c>
      <c r="F190" s="230" t="s">
        <v>45</v>
      </c>
      <c r="G190" s="229" t="s">
        <v>1476</v>
      </c>
      <c r="H190" s="229" t="s">
        <v>1794</v>
      </c>
      <c r="I190" s="229" t="s">
        <v>1180</v>
      </c>
      <c r="J190" s="229" t="s">
        <v>702</v>
      </c>
      <c r="K190" s="231" t="s">
        <v>2772</v>
      </c>
    </row>
    <row r="191" spans="1:11" s="226" customFormat="1" ht="9.6" customHeight="1" x14ac:dyDescent="0.2">
      <c r="A191" s="229" t="str">
        <f>T_P_BilanSocial[[#This Row],[Nom]]&amp;T_P_BilanSocial[[#This Row],[Prenom]]</f>
        <v>COMBRE-JEANVIRGINIE</v>
      </c>
      <c r="B191" s="228" t="s">
        <v>1816</v>
      </c>
      <c r="C191" s="229" t="s">
        <v>1153</v>
      </c>
      <c r="D191" s="229" t="s">
        <v>1341</v>
      </c>
      <c r="E191" s="229" t="s">
        <v>1184</v>
      </c>
      <c r="F191" s="230" t="s">
        <v>445</v>
      </c>
      <c r="G191" s="229" t="s">
        <v>1178</v>
      </c>
      <c r="H191" s="229" t="s">
        <v>1204</v>
      </c>
      <c r="I191" s="229" t="s">
        <v>1180</v>
      </c>
      <c r="J191" s="229" t="s">
        <v>420</v>
      </c>
      <c r="K191" s="231" t="s">
        <v>421</v>
      </c>
    </row>
    <row r="192" spans="1:11" s="226" customFormat="1" ht="9.6" customHeight="1" x14ac:dyDescent="0.2">
      <c r="A192" s="229" t="str">
        <f>T_P_BilanSocial[[#This Row],[Nom]]&amp;T_P_BilanSocial[[#This Row],[Prenom]]</f>
        <v>CONDEMINEYVES</v>
      </c>
      <c r="B192" s="228" t="s">
        <v>2100</v>
      </c>
      <c r="C192" s="229" t="s">
        <v>418</v>
      </c>
      <c r="D192" s="229" t="s">
        <v>1405</v>
      </c>
      <c r="E192" s="229" t="s">
        <v>1177</v>
      </c>
      <c r="F192" s="230" t="s">
        <v>308</v>
      </c>
      <c r="G192" s="229" t="s">
        <v>1178</v>
      </c>
      <c r="H192" s="229" t="s">
        <v>1204</v>
      </c>
      <c r="I192" s="229" t="s">
        <v>1180</v>
      </c>
      <c r="J192" s="229" t="s">
        <v>353</v>
      </c>
      <c r="K192" s="231" t="s">
        <v>354</v>
      </c>
    </row>
    <row r="193" spans="1:11" s="226" customFormat="1" ht="9.6" customHeight="1" x14ac:dyDescent="0.2">
      <c r="A193" s="229" t="str">
        <f>T_P_BilanSocial[[#This Row],[Nom]]&amp;T_P_BilanSocial[[#This Row],[Prenom]]</f>
        <v>CONTATEMMANUELLE</v>
      </c>
      <c r="B193" s="228" t="s">
        <v>1900</v>
      </c>
      <c r="C193" s="229" t="s">
        <v>1901</v>
      </c>
      <c r="D193" s="229" t="s">
        <v>1624</v>
      </c>
      <c r="E193" s="229" t="s">
        <v>1184</v>
      </c>
      <c r="F193" s="230" t="s">
        <v>45</v>
      </c>
      <c r="G193" s="229" t="s">
        <v>1178</v>
      </c>
      <c r="H193" s="229" t="s">
        <v>1435</v>
      </c>
      <c r="I193" s="229" t="s">
        <v>1180</v>
      </c>
      <c r="J193" s="229" t="s">
        <v>340</v>
      </c>
      <c r="K193" s="231" t="s">
        <v>341</v>
      </c>
    </row>
    <row r="194" spans="1:11" s="226" customFormat="1" ht="9.6" customHeight="1" x14ac:dyDescent="0.2">
      <c r="A194" s="229" t="str">
        <f>T_P_BilanSocial[[#This Row],[Nom]]&amp;T_P_BilanSocial[[#This Row],[Prenom]]</f>
        <v>CONVERSYJORIS</v>
      </c>
      <c r="B194" s="228" t="s">
        <v>2333</v>
      </c>
      <c r="C194" s="229" t="s">
        <v>2334</v>
      </c>
      <c r="D194" s="229" t="s">
        <v>2335</v>
      </c>
      <c r="E194" s="229" t="s">
        <v>1177</v>
      </c>
      <c r="F194" s="230" t="s">
        <v>45</v>
      </c>
      <c r="G194" s="229" t="s">
        <v>1476</v>
      </c>
      <c r="H194" s="229" t="s">
        <v>1794</v>
      </c>
      <c r="I194" s="229" t="s">
        <v>1180</v>
      </c>
      <c r="J194" s="229" t="s">
        <v>2336</v>
      </c>
      <c r="K194" s="231" t="s">
        <v>2337</v>
      </c>
    </row>
    <row r="195" spans="1:11" s="226" customFormat="1" ht="9.6" customHeight="1" x14ac:dyDescent="0.2">
      <c r="A195" s="229" t="str">
        <f>T_P_BilanSocial[[#This Row],[Nom]]&amp;T_P_BilanSocial[[#This Row],[Prenom]]</f>
        <v>CORDIERLAURA</v>
      </c>
      <c r="B195" s="228" t="s">
        <v>2258</v>
      </c>
      <c r="C195" s="229" t="s">
        <v>699</v>
      </c>
      <c r="D195" s="229" t="s">
        <v>2259</v>
      </c>
      <c r="E195" s="229" t="s">
        <v>1184</v>
      </c>
      <c r="F195" s="230" t="s">
        <v>308</v>
      </c>
      <c r="G195" s="229" t="s">
        <v>1476</v>
      </c>
      <c r="H195" s="229" t="s">
        <v>1794</v>
      </c>
      <c r="I195" s="229" t="s">
        <v>1180</v>
      </c>
      <c r="J195" s="229" t="s">
        <v>353</v>
      </c>
      <c r="K195" s="231" t="s">
        <v>354</v>
      </c>
    </row>
    <row r="196" spans="1:11" s="226" customFormat="1" ht="9.6" customHeight="1" x14ac:dyDescent="0.2">
      <c r="A196" s="229" t="str">
        <f>T_P_BilanSocial[[#This Row],[Nom]]&amp;T_P_BilanSocial[[#This Row],[Prenom]]</f>
        <v>CORNETCAROLE</v>
      </c>
      <c r="B196" s="228" t="s">
        <v>1840</v>
      </c>
      <c r="C196" s="229" t="s">
        <v>448</v>
      </c>
      <c r="D196" s="229" t="s">
        <v>1388</v>
      </c>
      <c r="E196" s="229" t="s">
        <v>1184</v>
      </c>
      <c r="F196" s="230" t="s">
        <v>45</v>
      </c>
      <c r="G196" s="229" t="s">
        <v>1178</v>
      </c>
      <c r="H196" s="229" t="s">
        <v>1204</v>
      </c>
      <c r="I196" s="229" t="s">
        <v>1180</v>
      </c>
      <c r="J196" s="229" t="s">
        <v>449</v>
      </c>
      <c r="K196" s="231" t="s">
        <v>1841</v>
      </c>
    </row>
    <row r="197" spans="1:11" s="226" customFormat="1" ht="9.6" customHeight="1" x14ac:dyDescent="0.2">
      <c r="A197" s="229" t="str">
        <f>T_P_BilanSocial[[#This Row],[Nom]]&amp;T_P_BilanSocial[[#This Row],[Prenom]]</f>
        <v>CORTICCHIATOMIREILLE</v>
      </c>
      <c r="B197" s="228" t="s">
        <v>1618</v>
      </c>
      <c r="C197" s="229" t="s">
        <v>1619</v>
      </c>
      <c r="D197" s="229" t="s">
        <v>1620</v>
      </c>
      <c r="E197" s="229" t="s">
        <v>1184</v>
      </c>
      <c r="F197" s="230" t="s">
        <v>45</v>
      </c>
      <c r="G197" s="229" t="s">
        <v>1178</v>
      </c>
      <c r="H197" s="229" t="s">
        <v>1204</v>
      </c>
      <c r="I197" s="229" t="s">
        <v>1180</v>
      </c>
      <c r="J197" s="229" t="s">
        <v>607</v>
      </c>
      <c r="K197" s="231" t="s">
        <v>1382</v>
      </c>
    </row>
    <row r="198" spans="1:11" s="226" customFormat="1" ht="9.6" customHeight="1" x14ac:dyDescent="0.2">
      <c r="A198" s="229" t="str">
        <f>T_P_BilanSocial[[#This Row],[Nom]]&amp;T_P_BilanSocial[[#This Row],[Prenom]]</f>
        <v>COSSAISNINA</v>
      </c>
      <c r="B198" s="228" t="s">
        <v>2910</v>
      </c>
      <c r="C198" s="229" t="s">
        <v>2911</v>
      </c>
      <c r="D198" s="229" t="s">
        <v>2005</v>
      </c>
      <c r="E198" s="229" t="s">
        <v>1184</v>
      </c>
      <c r="F198" s="230" t="s">
        <v>308</v>
      </c>
      <c r="G198" s="229" t="s">
        <v>1476</v>
      </c>
      <c r="H198" s="229" t="s">
        <v>1794</v>
      </c>
      <c r="I198" s="229" t="s">
        <v>1180</v>
      </c>
      <c r="J198" s="229" t="s">
        <v>376</v>
      </c>
      <c r="K198" s="231" t="s">
        <v>341</v>
      </c>
    </row>
    <row r="199" spans="1:11" s="226" customFormat="1" ht="9.6" customHeight="1" x14ac:dyDescent="0.2">
      <c r="A199" s="229" t="str">
        <f>T_P_BilanSocial[[#This Row],[Nom]]&amp;T_P_BilanSocial[[#This Row],[Prenom]]</f>
        <v>COTTELUDOVIC</v>
      </c>
      <c r="B199" s="228" t="s">
        <v>2585</v>
      </c>
      <c r="C199" s="229" t="s">
        <v>2586</v>
      </c>
      <c r="D199" s="229" t="s">
        <v>2012</v>
      </c>
      <c r="E199" s="229" t="s">
        <v>1177</v>
      </c>
      <c r="F199" s="230" t="s">
        <v>45</v>
      </c>
      <c r="G199" s="229" t="s">
        <v>1476</v>
      </c>
      <c r="H199" s="229" t="s">
        <v>1794</v>
      </c>
      <c r="I199" s="229" t="s">
        <v>1180</v>
      </c>
      <c r="J199" s="229" t="s">
        <v>2587</v>
      </c>
      <c r="K199" s="231" t="s">
        <v>2588</v>
      </c>
    </row>
    <row r="200" spans="1:11" s="226" customFormat="1" ht="9.6" customHeight="1" x14ac:dyDescent="0.2">
      <c r="A200" s="229" t="str">
        <f>T_P_BilanSocial[[#This Row],[Nom]]&amp;T_P_BilanSocial[[#This Row],[Prenom]]</f>
        <v>COUDURIER-CURVEURAMÉLIE</v>
      </c>
      <c r="B200" s="228" t="s">
        <v>2739</v>
      </c>
      <c r="C200" s="229" t="s">
        <v>2740</v>
      </c>
      <c r="D200" s="229" t="s">
        <v>2741</v>
      </c>
      <c r="E200" s="229" t="s">
        <v>1184</v>
      </c>
      <c r="F200" s="230" t="s">
        <v>308</v>
      </c>
      <c r="G200" s="229" t="s">
        <v>1476</v>
      </c>
      <c r="H200" s="229" t="s">
        <v>1794</v>
      </c>
      <c r="I200" s="229" t="s">
        <v>1180</v>
      </c>
      <c r="J200" s="229" t="s">
        <v>340</v>
      </c>
      <c r="K200" s="231" t="s">
        <v>341</v>
      </c>
    </row>
    <row r="201" spans="1:11" s="226" customFormat="1" ht="9.6" customHeight="1" x14ac:dyDescent="0.2">
      <c r="A201" s="229" t="str">
        <f>T_P_BilanSocial[[#This Row],[Nom]]&amp;T_P_BilanSocial[[#This Row],[Prenom]]</f>
        <v>COUPATGHISLAINE</v>
      </c>
      <c r="B201" s="228" t="s">
        <v>1483</v>
      </c>
      <c r="C201" s="229" t="s">
        <v>1484</v>
      </c>
      <c r="D201" s="229" t="s">
        <v>1485</v>
      </c>
      <c r="E201" s="229" t="s">
        <v>1184</v>
      </c>
      <c r="F201" s="230" t="s">
        <v>308</v>
      </c>
      <c r="G201" s="229" t="s">
        <v>1178</v>
      </c>
      <c r="H201" s="229" t="s">
        <v>1204</v>
      </c>
      <c r="I201" s="229" t="s">
        <v>1180</v>
      </c>
      <c r="J201" s="229" t="s">
        <v>411</v>
      </c>
      <c r="K201" s="231" t="s">
        <v>341</v>
      </c>
    </row>
    <row r="202" spans="1:11" s="226" customFormat="1" ht="9.6" customHeight="1" x14ac:dyDescent="0.2">
      <c r="A202" s="229" t="str">
        <f>T_P_BilanSocial[[#This Row],[Nom]]&amp;T_P_BilanSocial[[#This Row],[Prenom]]</f>
        <v>COURBON-FILIPPINICATHERINE</v>
      </c>
      <c r="B202" s="228" t="s">
        <v>1202</v>
      </c>
      <c r="C202" s="229" t="s">
        <v>997</v>
      </c>
      <c r="D202" s="229" t="s">
        <v>1203</v>
      </c>
      <c r="E202" s="229" t="s">
        <v>1184</v>
      </c>
      <c r="F202" s="230" t="s">
        <v>308</v>
      </c>
      <c r="G202" s="229" t="s">
        <v>1178</v>
      </c>
      <c r="H202" s="229" t="s">
        <v>1204</v>
      </c>
      <c r="I202" s="229" t="s">
        <v>1180</v>
      </c>
      <c r="J202" s="229" t="s">
        <v>790</v>
      </c>
      <c r="K202" s="231" t="s">
        <v>1205</v>
      </c>
    </row>
    <row r="203" spans="1:11" s="226" customFormat="1" ht="9.6" customHeight="1" x14ac:dyDescent="0.2">
      <c r="A203" s="229" t="str">
        <f>T_P_BilanSocial[[#This Row],[Nom]]&amp;T_P_BilanSocial[[#This Row],[Prenom]]</f>
        <v>COURTIALGILLES</v>
      </c>
      <c r="B203" s="228" t="s">
        <v>1427</v>
      </c>
      <c r="C203" s="229" t="s">
        <v>1048</v>
      </c>
      <c r="D203" s="229" t="s">
        <v>1428</v>
      </c>
      <c r="E203" s="229" t="s">
        <v>1177</v>
      </c>
      <c r="F203" s="230" t="s">
        <v>45</v>
      </c>
      <c r="G203" s="229" t="s">
        <v>1178</v>
      </c>
      <c r="H203" s="229" t="s">
        <v>1179</v>
      </c>
      <c r="I203" s="229" t="s">
        <v>1180</v>
      </c>
      <c r="J203" s="229" t="s">
        <v>398</v>
      </c>
      <c r="K203" s="231" t="s">
        <v>895</v>
      </c>
    </row>
    <row r="204" spans="1:11" s="226" customFormat="1" ht="9.6" customHeight="1" x14ac:dyDescent="0.2">
      <c r="A204" s="229" t="str">
        <f>T_P_BilanSocial[[#This Row],[Nom]]&amp;T_P_BilanSocial[[#This Row],[Prenom]]</f>
        <v>COUTURIERNICOLAS</v>
      </c>
      <c r="B204" s="228" t="s">
        <v>2248</v>
      </c>
      <c r="C204" s="229" t="s">
        <v>2249</v>
      </c>
      <c r="D204" s="229" t="s">
        <v>2250</v>
      </c>
      <c r="E204" s="229" t="s">
        <v>1177</v>
      </c>
      <c r="F204" s="230" t="s">
        <v>45</v>
      </c>
      <c r="G204" s="229" t="s">
        <v>1476</v>
      </c>
      <c r="H204" s="229" t="s">
        <v>1794</v>
      </c>
      <c r="I204" s="229" t="s">
        <v>1180</v>
      </c>
      <c r="J204" s="229" t="s">
        <v>376</v>
      </c>
      <c r="K204" s="231" t="s">
        <v>341</v>
      </c>
    </row>
    <row r="205" spans="1:11" s="226" customFormat="1" ht="9.6" customHeight="1" x14ac:dyDescent="0.2">
      <c r="A205" s="229" t="str">
        <f>T_P_BilanSocial[[#This Row],[Nom]]&amp;T_P_BilanSocial[[#This Row],[Prenom]]</f>
        <v>COUVERT-VICINISOPHIE</v>
      </c>
      <c r="B205" s="228" t="s">
        <v>1785</v>
      </c>
      <c r="C205" s="229" t="s">
        <v>1786</v>
      </c>
      <c r="D205" s="229" t="s">
        <v>1255</v>
      </c>
      <c r="E205" s="229" t="s">
        <v>1184</v>
      </c>
      <c r="F205" s="230" t="s">
        <v>445</v>
      </c>
      <c r="G205" s="229" t="s">
        <v>1178</v>
      </c>
      <c r="H205" s="229" t="s">
        <v>1204</v>
      </c>
      <c r="I205" s="229" t="s">
        <v>1180</v>
      </c>
      <c r="J205" s="229" t="s">
        <v>531</v>
      </c>
      <c r="K205" s="231" t="s">
        <v>532</v>
      </c>
    </row>
    <row r="206" spans="1:11" s="226" customFormat="1" ht="9.6" customHeight="1" x14ac:dyDescent="0.2">
      <c r="A206" s="229" t="str">
        <f>T_P_BilanSocial[[#This Row],[Nom]]&amp;T_P_BilanSocial[[#This Row],[Prenom]]</f>
        <v>CREMERCLÉMENCE</v>
      </c>
      <c r="B206" s="228" t="s">
        <v>2542</v>
      </c>
      <c r="C206" s="229" t="s">
        <v>2543</v>
      </c>
      <c r="D206" s="229" t="s">
        <v>2544</v>
      </c>
      <c r="E206" s="229" t="s">
        <v>1184</v>
      </c>
      <c r="F206" s="230" t="s">
        <v>45</v>
      </c>
      <c r="G206" s="229" t="s">
        <v>1476</v>
      </c>
      <c r="H206" s="229" t="s">
        <v>1794</v>
      </c>
      <c r="I206" s="229" t="s">
        <v>1180</v>
      </c>
      <c r="J206" s="229" t="s">
        <v>471</v>
      </c>
      <c r="K206" s="231" t="s">
        <v>341</v>
      </c>
    </row>
    <row r="207" spans="1:11" s="226" customFormat="1" ht="9.6" customHeight="1" x14ac:dyDescent="0.2">
      <c r="A207" s="229" t="str">
        <f>T_P_BilanSocial[[#This Row],[Nom]]&amp;T_P_BilanSocial[[#This Row],[Prenom]]</f>
        <v>CROUZETOLIVIER</v>
      </c>
      <c r="B207" s="228" t="s">
        <v>1456</v>
      </c>
      <c r="C207" s="229" t="s">
        <v>1054</v>
      </c>
      <c r="D207" s="229" t="s">
        <v>1278</v>
      </c>
      <c r="E207" s="229" t="s">
        <v>1177</v>
      </c>
      <c r="F207" s="230" t="s">
        <v>445</v>
      </c>
      <c r="G207" s="229" t="s">
        <v>1178</v>
      </c>
      <c r="H207" s="229" t="s">
        <v>1435</v>
      </c>
      <c r="I207" s="229" t="s">
        <v>1180</v>
      </c>
      <c r="J207" s="229" t="s">
        <v>376</v>
      </c>
      <c r="K207" s="231" t="s">
        <v>341</v>
      </c>
    </row>
    <row r="208" spans="1:11" s="226" customFormat="1" ht="9.6" customHeight="1" x14ac:dyDescent="0.2">
      <c r="A208" s="229" t="str">
        <f>T_P_BilanSocial[[#This Row],[Nom]]&amp;T_P_BilanSocial[[#This Row],[Prenom]]</f>
        <v>CUEILLECLAIRE</v>
      </c>
      <c r="B208" s="228" t="s">
        <v>1732</v>
      </c>
      <c r="C208" s="229" t="s">
        <v>1733</v>
      </c>
      <c r="D208" s="229" t="s">
        <v>1652</v>
      </c>
      <c r="E208" s="229" t="s">
        <v>1184</v>
      </c>
      <c r="F208" s="230" t="s">
        <v>45</v>
      </c>
      <c r="G208" s="229" t="s">
        <v>1476</v>
      </c>
      <c r="H208" s="229" t="s">
        <v>1477</v>
      </c>
      <c r="I208" s="229" t="s">
        <v>1180</v>
      </c>
      <c r="J208" s="229" t="s">
        <v>376</v>
      </c>
      <c r="K208" s="231" t="s">
        <v>341</v>
      </c>
    </row>
    <row r="209" spans="1:11" s="226" customFormat="1" ht="9.6" customHeight="1" x14ac:dyDescent="0.2">
      <c r="A209" s="229" t="str">
        <f>T_P_BilanSocial[[#This Row],[Nom]]&amp;T_P_BilanSocial[[#This Row],[Prenom]]</f>
        <v>CYPRIENNEJEAN-CLAUDE</v>
      </c>
      <c r="B209" s="228" t="s">
        <v>1759</v>
      </c>
      <c r="C209" s="229" t="s">
        <v>1760</v>
      </c>
      <c r="D209" s="229" t="s">
        <v>1761</v>
      </c>
      <c r="E209" s="229" t="s">
        <v>1177</v>
      </c>
      <c r="F209" s="230" t="s">
        <v>45</v>
      </c>
      <c r="G209" s="229" t="s">
        <v>1178</v>
      </c>
      <c r="H209" s="229" t="s">
        <v>1204</v>
      </c>
      <c r="I209" s="229" t="s">
        <v>1180</v>
      </c>
      <c r="J209" s="229" t="s">
        <v>487</v>
      </c>
      <c r="K209" s="231" t="s">
        <v>488</v>
      </c>
    </row>
    <row r="210" spans="1:11" s="226" customFormat="1" ht="9.6" customHeight="1" x14ac:dyDescent="0.2">
      <c r="A210" s="229" t="str">
        <f>T_P_BilanSocial[[#This Row],[Nom]]&amp;T_P_BilanSocial[[#This Row],[Prenom]]</f>
        <v>DA SILVACHRYSTÈLE</v>
      </c>
      <c r="B210" s="228" t="s">
        <v>1655</v>
      </c>
      <c r="C210" s="229" t="s">
        <v>691</v>
      </c>
      <c r="D210" s="229" t="s">
        <v>1656</v>
      </c>
      <c r="E210" s="229" t="s">
        <v>1184</v>
      </c>
      <c r="F210" s="230" t="s">
        <v>445</v>
      </c>
      <c r="G210" s="229" t="s">
        <v>1178</v>
      </c>
      <c r="H210" s="229" t="s">
        <v>1204</v>
      </c>
      <c r="I210" s="229" t="s">
        <v>1180</v>
      </c>
      <c r="J210" s="229" t="s">
        <v>498</v>
      </c>
      <c r="K210" s="231" t="s">
        <v>693</v>
      </c>
    </row>
    <row r="211" spans="1:11" s="226" customFormat="1" ht="9.6" customHeight="1" x14ac:dyDescent="0.2">
      <c r="A211" s="229" t="str">
        <f>T_P_BilanSocial[[#This Row],[Nom]]&amp;T_P_BilanSocial[[#This Row],[Prenom]]</f>
        <v>DALLEAUBERTRAND</v>
      </c>
      <c r="B211" s="228" t="s">
        <v>2780</v>
      </c>
      <c r="C211" s="229" t="s">
        <v>582</v>
      </c>
      <c r="D211" s="229" t="s">
        <v>864</v>
      </c>
      <c r="E211" s="229" t="s">
        <v>1177</v>
      </c>
      <c r="F211" s="230" t="s">
        <v>445</v>
      </c>
      <c r="G211" s="229" t="s">
        <v>1476</v>
      </c>
      <c r="H211" s="229" t="s">
        <v>1794</v>
      </c>
      <c r="I211" s="229" t="s">
        <v>1180</v>
      </c>
      <c r="J211" s="229" t="s">
        <v>411</v>
      </c>
      <c r="K211" s="231" t="s">
        <v>341</v>
      </c>
    </row>
    <row r="212" spans="1:11" s="226" customFormat="1" ht="9.6" customHeight="1" x14ac:dyDescent="0.2">
      <c r="A212" s="229" t="str">
        <f>T_P_BilanSocial[[#This Row],[Nom]]&amp;T_P_BilanSocial[[#This Row],[Prenom]]</f>
        <v>DANGHONG KHANH</v>
      </c>
      <c r="B212" s="228" t="s">
        <v>2401</v>
      </c>
      <c r="C212" s="229" t="s">
        <v>989</v>
      </c>
      <c r="D212" s="229" t="s">
        <v>2402</v>
      </c>
      <c r="E212" s="229" t="s">
        <v>1184</v>
      </c>
      <c r="F212" s="230" t="s">
        <v>308</v>
      </c>
      <c r="G212" s="229" t="s">
        <v>1476</v>
      </c>
      <c r="H212" s="229" t="s">
        <v>1794</v>
      </c>
      <c r="I212" s="229" t="s">
        <v>1180</v>
      </c>
      <c r="J212" s="229" t="s">
        <v>353</v>
      </c>
      <c r="K212" s="231" t="s">
        <v>354</v>
      </c>
    </row>
    <row r="213" spans="1:11" s="226" customFormat="1" ht="9.6" customHeight="1" x14ac:dyDescent="0.2">
      <c r="A213" s="229" t="str">
        <f>T_P_BilanSocial[[#This Row],[Nom]]&amp;T_P_BilanSocial[[#This Row],[Prenom]]</f>
        <v>D'ANGELAERIC</v>
      </c>
      <c r="B213" s="228" t="s">
        <v>2294</v>
      </c>
      <c r="C213" s="229" t="s">
        <v>2295</v>
      </c>
      <c r="D213" s="229" t="s">
        <v>1313</v>
      </c>
      <c r="E213" s="229" t="s">
        <v>1177</v>
      </c>
      <c r="F213" s="230" t="s">
        <v>45</v>
      </c>
      <c r="G213" s="229" t="s">
        <v>1476</v>
      </c>
      <c r="H213" s="229" t="s">
        <v>1477</v>
      </c>
      <c r="I213" s="229" t="s">
        <v>1180</v>
      </c>
      <c r="J213" s="229" t="s">
        <v>340</v>
      </c>
      <c r="K213" s="231" t="s">
        <v>341</v>
      </c>
    </row>
    <row r="214" spans="1:11" s="226" customFormat="1" ht="9.6" customHeight="1" x14ac:dyDescent="0.2">
      <c r="A214" s="229" t="str">
        <f>T_P_BilanSocial[[#This Row],[Nom]]&amp;T_P_BilanSocial[[#This Row],[Prenom]]</f>
        <v>DANIELEMURIEL</v>
      </c>
      <c r="B214" s="228" t="s">
        <v>1714</v>
      </c>
      <c r="C214" s="229" t="s">
        <v>1715</v>
      </c>
      <c r="D214" s="229" t="s">
        <v>1716</v>
      </c>
      <c r="E214" s="229" t="s">
        <v>1184</v>
      </c>
      <c r="F214" s="230" t="s">
        <v>445</v>
      </c>
      <c r="G214" s="229" t="s">
        <v>1178</v>
      </c>
      <c r="H214" s="229" t="s">
        <v>1179</v>
      </c>
      <c r="I214" s="229" t="s">
        <v>1180</v>
      </c>
      <c r="J214" s="229" t="s">
        <v>1717</v>
      </c>
      <c r="K214" s="231" t="s">
        <v>1718</v>
      </c>
    </row>
    <row r="215" spans="1:11" s="226" customFormat="1" ht="9.6" customHeight="1" x14ac:dyDescent="0.2">
      <c r="A215" s="229" t="str">
        <f>T_P_BilanSocial[[#This Row],[Nom]]&amp;T_P_BilanSocial[[#This Row],[Prenom]]</f>
        <v>DARLINCHRISTINE</v>
      </c>
      <c r="B215" s="228" t="s">
        <v>1823</v>
      </c>
      <c r="C215" s="229" t="s">
        <v>1018</v>
      </c>
      <c r="D215" s="229" t="s">
        <v>1447</v>
      </c>
      <c r="E215" s="229" t="s">
        <v>1184</v>
      </c>
      <c r="F215" s="230" t="s">
        <v>308</v>
      </c>
      <c r="G215" s="229" t="s">
        <v>1178</v>
      </c>
      <c r="H215" s="229" t="s">
        <v>1435</v>
      </c>
      <c r="I215" s="229" t="s">
        <v>1180</v>
      </c>
      <c r="J215" s="229" t="s">
        <v>508</v>
      </c>
      <c r="K215" s="231" t="s">
        <v>509</v>
      </c>
    </row>
    <row r="216" spans="1:11" s="226" customFormat="1" ht="9.6" customHeight="1" x14ac:dyDescent="0.2">
      <c r="A216" s="229" t="str">
        <f>T_P_BilanSocial[[#This Row],[Nom]]&amp;T_P_BilanSocial[[#This Row],[Prenom]]</f>
        <v>DAUTREPPEXAVIER</v>
      </c>
      <c r="B216" s="228" t="s">
        <v>2037</v>
      </c>
      <c r="C216" s="229" t="s">
        <v>2038</v>
      </c>
      <c r="D216" s="229" t="s">
        <v>2039</v>
      </c>
      <c r="E216" s="229" t="s">
        <v>1177</v>
      </c>
      <c r="F216" s="230" t="s">
        <v>45</v>
      </c>
      <c r="G216" s="229" t="s">
        <v>1476</v>
      </c>
      <c r="H216" s="229" t="s">
        <v>1477</v>
      </c>
      <c r="I216" s="229" t="s">
        <v>1180</v>
      </c>
      <c r="J216" s="229" t="s">
        <v>340</v>
      </c>
      <c r="K216" s="231" t="s">
        <v>341</v>
      </c>
    </row>
    <row r="217" spans="1:11" s="226" customFormat="1" ht="9.6" customHeight="1" x14ac:dyDescent="0.2">
      <c r="A217" s="229" t="str">
        <f>T_P_BilanSocial[[#This Row],[Nom]]&amp;T_P_BilanSocial[[#This Row],[Prenom]]</f>
        <v>DAVANTUREHENRI</v>
      </c>
      <c r="B217" s="228" t="s">
        <v>2447</v>
      </c>
      <c r="C217" s="229" t="s">
        <v>2448</v>
      </c>
      <c r="D217" s="229" t="s">
        <v>2449</v>
      </c>
      <c r="E217" s="229" t="s">
        <v>1177</v>
      </c>
      <c r="F217" s="230" t="s">
        <v>308</v>
      </c>
      <c r="G217" s="229" t="s">
        <v>1178</v>
      </c>
      <c r="H217" s="229" t="s">
        <v>1204</v>
      </c>
      <c r="I217" s="229" t="s">
        <v>1180</v>
      </c>
      <c r="J217" s="229" t="s">
        <v>320</v>
      </c>
      <c r="K217" s="231" t="s">
        <v>321</v>
      </c>
    </row>
    <row r="218" spans="1:11" s="226" customFormat="1" ht="9.6" customHeight="1" x14ac:dyDescent="0.2">
      <c r="A218" s="229" t="str">
        <f>T_P_BilanSocial[[#This Row],[Nom]]&amp;T_P_BilanSocial[[#This Row],[Prenom]]</f>
        <v>DAVASSOUJESSICA</v>
      </c>
      <c r="B218" s="228" t="s">
        <v>2284</v>
      </c>
      <c r="C218" s="229" t="s">
        <v>755</v>
      </c>
      <c r="D218" s="229" t="s">
        <v>2285</v>
      </c>
      <c r="E218" s="229" t="s">
        <v>1184</v>
      </c>
      <c r="F218" s="230" t="s">
        <v>45</v>
      </c>
      <c r="G218" s="229" t="s">
        <v>1178</v>
      </c>
      <c r="H218" s="229" t="s">
        <v>1204</v>
      </c>
      <c r="I218" s="229" t="s">
        <v>1180</v>
      </c>
      <c r="J218" s="229" t="s">
        <v>607</v>
      </c>
      <c r="K218" s="231" t="s">
        <v>608</v>
      </c>
    </row>
    <row r="219" spans="1:11" s="226" customFormat="1" ht="9.6" customHeight="1" x14ac:dyDescent="0.2">
      <c r="A219" s="229" t="str">
        <f>T_P_BilanSocial[[#This Row],[Nom]]&amp;T_P_BilanSocial[[#This Row],[Prenom]]</f>
        <v>DAVENNESAHRA</v>
      </c>
      <c r="B219" s="228" t="s">
        <v>2743</v>
      </c>
      <c r="C219" s="229" t="s">
        <v>745</v>
      </c>
      <c r="D219" s="229" t="s">
        <v>2744</v>
      </c>
      <c r="E219" s="229" t="s">
        <v>1184</v>
      </c>
      <c r="F219" s="230" t="s">
        <v>45</v>
      </c>
      <c r="G219" s="229" t="s">
        <v>1476</v>
      </c>
      <c r="H219" s="229" t="s">
        <v>1794</v>
      </c>
      <c r="I219" s="229" t="s">
        <v>1180</v>
      </c>
      <c r="J219" s="229" t="s">
        <v>353</v>
      </c>
      <c r="K219" s="231" t="s">
        <v>354</v>
      </c>
    </row>
    <row r="220" spans="1:11" s="226" customFormat="1" ht="9.6" customHeight="1" x14ac:dyDescent="0.2">
      <c r="A220" s="229" t="str">
        <f>T_P_BilanSocial[[#This Row],[Nom]]&amp;T_P_BilanSocial[[#This Row],[Prenom]]</f>
        <v>DAVIDSANDRINE</v>
      </c>
      <c r="B220" s="228" t="s">
        <v>1528</v>
      </c>
      <c r="C220" s="229" t="s">
        <v>350</v>
      </c>
      <c r="D220" s="229" t="s">
        <v>1200</v>
      </c>
      <c r="E220" s="229" t="s">
        <v>1184</v>
      </c>
      <c r="F220" s="230" t="s">
        <v>308</v>
      </c>
      <c r="G220" s="229" t="s">
        <v>1178</v>
      </c>
      <c r="H220" s="229" t="s">
        <v>1204</v>
      </c>
      <c r="I220" s="229" t="s">
        <v>1180</v>
      </c>
      <c r="J220" s="229" t="s">
        <v>376</v>
      </c>
      <c r="K220" s="231" t="s">
        <v>341</v>
      </c>
    </row>
    <row r="221" spans="1:11" s="226" customFormat="1" ht="9.6" customHeight="1" x14ac:dyDescent="0.2">
      <c r="A221" s="229" t="str">
        <f>T_P_BilanSocial[[#This Row],[Nom]]&amp;T_P_BilanSocial[[#This Row],[Prenom]]</f>
        <v>DAVYCLAIRE</v>
      </c>
      <c r="B221" s="228" t="s">
        <v>1651</v>
      </c>
      <c r="C221" s="229" t="s">
        <v>863</v>
      </c>
      <c r="D221" s="229" t="s">
        <v>1652</v>
      </c>
      <c r="E221" s="229" t="s">
        <v>1184</v>
      </c>
      <c r="F221" s="230" t="s">
        <v>45</v>
      </c>
      <c r="G221" s="229" t="s">
        <v>1178</v>
      </c>
      <c r="H221" s="229" t="s">
        <v>1435</v>
      </c>
      <c r="I221" s="229" t="s">
        <v>1180</v>
      </c>
      <c r="J221" s="229" t="s">
        <v>340</v>
      </c>
      <c r="K221" s="231" t="s">
        <v>341</v>
      </c>
    </row>
    <row r="222" spans="1:11" s="226" customFormat="1" ht="9.6" customHeight="1" x14ac:dyDescent="0.2">
      <c r="A222" s="229" t="str">
        <f>T_P_BilanSocial[[#This Row],[Nom]]&amp;T_P_BilanSocial[[#This Row],[Prenom]]</f>
        <v>DE BIASIFLORENCE</v>
      </c>
      <c r="B222" s="228" t="s">
        <v>1806</v>
      </c>
      <c r="C222" s="229" t="s">
        <v>1807</v>
      </c>
      <c r="D222" s="229" t="s">
        <v>1241</v>
      </c>
      <c r="E222" s="229" t="s">
        <v>1184</v>
      </c>
      <c r="F222" s="230" t="s">
        <v>45</v>
      </c>
      <c r="G222" s="229" t="s">
        <v>1178</v>
      </c>
      <c r="H222" s="229" t="s">
        <v>1204</v>
      </c>
      <c r="I222" s="229" t="s">
        <v>1180</v>
      </c>
      <c r="J222" s="229" t="s">
        <v>353</v>
      </c>
      <c r="K222" s="231" t="s">
        <v>354</v>
      </c>
    </row>
    <row r="223" spans="1:11" s="226" customFormat="1" ht="9.6" customHeight="1" x14ac:dyDescent="0.2">
      <c r="A223" s="229" t="str">
        <f>T_P_BilanSocial[[#This Row],[Nom]]&amp;T_P_BilanSocial[[#This Row],[Prenom]]</f>
        <v>DE CAMPOS-VALETTEMAEVA</v>
      </c>
      <c r="B223" s="228" t="s">
        <v>2389</v>
      </c>
      <c r="C223" s="229" t="s">
        <v>2390</v>
      </c>
      <c r="D223" s="229" t="s">
        <v>2391</v>
      </c>
      <c r="E223" s="229" t="s">
        <v>1184</v>
      </c>
      <c r="F223" s="230" t="s">
        <v>45</v>
      </c>
      <c r="G223" s="229" t="s">
        <v>1476</v>
      </c>
      <c r="H223" s="229" t="s">
        <v>1794</v>
      </c>
      <c r="I223" s="229" t="s">
        <v>1180</v>
      </c>
      <c r="J223" s="229" t="s">
        <v>626</v>
      </c>
      <c r="K223" s="231" t="s">
        <v>341</v>
      </c>
    </row>
    <row r="224" spans="1:11" s="226" customFormat="1" ht="9.6" customHeight="1" x14ac:dyDescent="0.2">
      <c r="A224" s="229" t="str">
        <f>T_P_BilanSocial[[#This Row],[Nom]]&amp;T_P_BilanSocial[[#This Row],[Prenom]]</f>
        <v>DE FILIPPOCHARLES</v>
      </c>
      <c r="B224" s="228" t="s">
        <v>2086</v>
      </c>
      <c r="C224" s="229" t="s">
        <v>2087</v>
      </c>
      <c r="D224" s="229" t="s">
        <v>2088</v>
      </c>
      <c r="E224" s="229" t="s">
        <v>1177</v>
      </c>
      <c r="F224" s="230" t="s">
        <v>445</v>
      </c>
      <c r="G224" s="229" t="s">
        <v>1476</v>
      </c>
      <c r="H224" s="229" t="s">
        <v>1477</v>
      </c>
      <c r="I224" s="229" t="s">
        <v>1180</v>
      </c>
      <c r="J224" s="229" t="s">
        <v>398</v>
      </c>
      <c r="K224" s="231" t="s">
        <v>1298</v>
      </c>
    </row>
    <row r="225" spans="1:11" s="226" customFormat="1" ht="9.6" customHeight="1" x14ac:dyDescent="0.2">
      <c r="A225" s="229" t="str">
        <f>T_P_BilanSocial[[#This Row],[Nom]]&amp;T_P_BilanSocial[[#This Row],[Prenom]]</f>
        <v>DE GROULARDBRIGITTE</v>
      </c>
      <c r="B225" s="228" t="s">
        <v>2528</v>
      </c>
      <c r="C225" s="229" t="s">
        <v>2529</v>
      </c>
      <c r="D225" s="229" t="s">
        <v>1188</v>
      </c>
      <c r="E225" s="229" t="s">
        <v>1184</v>
      </c>
      <c r="F225" s="230" t="s">
        <v>445</v>
      </c>
      <c r="G225" s="229" t="s">
        <v>1476</v>
      </c>
      <c r="H225" s="229" t="s">
        <v>1794</v>
      </c>
      <c r="I225" s="229" t="s">
        <v>1180</v>
      </c>
      <c r="J225" s="229" t="s">
        <v>481</v>
      </c>
      <c r="K225" s="231" t="s">
        <v>341</v>
      </c>
    </row>
    <row r="226" spans="1:11" s="226" customFormat="1" ht="9.6" customHeight="1" x14ac:dyDescent="0.2">
      <c r="A226" s="229" t="str">
        <f>T_P_BilanSocial[[#This Row],[Nom]]&amp;T_P_BilanSocial[[#This Row],[Prenom]]</f>
        <v>DE JESUSCARLOS</v>
      </c>
      <c r="B226" s="228" t="s">
        <v>1824</v>
      </c>
      <c r="C226" s="229" t="s">
        <v>1825</v>
      </c>
      <c r="D226" s="229" t="s">
        <v>1826</v>
      </c>
      <c r="E226" s="229" t="s">
        <v>1177</v>
      </c>
      <c r="F226" s="230" t="s">
        <v>45</v>
      </c>
      <c r="G226" s="229" t="s">
        <v>1476</v>
      </c>
      <c r="H226" s="229" t="s">
        <v>1477</v>
      </c>
      <c r="I226" s="229" t="s">
        <v>1180</v>
      </c>
      <c r="J226" s="229" t="s">
        <v>411</v>
      </c>
      <c r="K226" s="231" t="s">
        <v>341</v>
      </c>
    </row>
    <row r="227" spans="1:11" s="226" customFormat="1" ht="9.6" customHeight="1" x14ac:dyDescent="0.2">
      <c r="A227" s="229" t="str">
        <f>T_P_BilanSocial[[#This Row],[Nom]]&amp;T_P_BilanSocial[[#This Row],[Prenom]]</f>
        <v>DE LUCACÉCILE</v>
      </c>
      <c r="B227" s="228" t="s">
        <v>1683</v>
      </c>
      <c r="C227" s="229" t="s">
        <v>1684</v>
      </c>
      <c r="D227" s="229" t="s">
        <v>1685</v>
      </c>
      <c r="E227" s="229" t="s">
        <v>1184</v>
      </c>
      <c r="F227" s="230" t="s">
        <v>45</v>
      </c>
      <c r="G227" s="229" t="s">
        <v>1178</v>
      </c>
      <c r="H227" s="229" t="s">
        <v>1204</v>
      </c>
      <c r="I227" s="229" t="s">
        <v>1180</v>
      </c>
      <c r="J227" s="229" t="s">
        <v>1686</v>
      </c>
      <c r="K227" s="231" t="s">
        <v>1687</v>
      </c>
    </row>
    <row r="228" spans="1:11" s="226" customFormat="1" ht="9.6" customHeight="1" x14ac:dyDescent="0.2">
      <c r="A228" s="229" t="str">
        <f>T_P_BilanSocial[[#This Row],[Nom]]&amp;T_P_BilanSocial[[#This Row],[Prenom]]</f>
        <v>DE NAGY BUDAN ROZAINDAVID-KRISZTIAN</v>
      </c>
      <c r="B228" s="228" t="s">
        <v>1625</v>
      </c>
      <c r="C228" s="229" t="s">
        <v>752</v>
      </c>
      <c r="D228" s="229" t="s">
        <v>1626</v>
      </c>
      <c r="E228" s="229" t="s">
        <v>1177</v>
      </c>
      <c r="F228" s="230" t="s">
        <v>445</v>
      </c>
      <c r="G228" s="229" t="s">
        <v>1178</v>
      </c>
      <c r="H228" s="229" t="s">
        <v>1204</v>
      </c>
      <c r="I228" s="229" t="s">
        <v>1180</v>
      </c>
      <c r="J228" s="229" t="s">
        <v>376</v>
      </c>
      <c r="K228" s="231" t="s">
        <v>341</v>
      </c>
    </row>
    <row r="229" spans="1:11" s="226" customFormat="1" ht="9.6" customHeight="1" x14ac:dyDescent="0.2">
      <c r="A229" s="229" t="str">
        <f>T_P_BilanSocial[[#This Row],[Nom]]&amp;T_P_BilanSocial[[#This Row],[Prenom]]</f>
        <v>DE NAGY BUDAN ROZAINNATHALIE</v>
      </c>
      <c r="B229" s="228" t="s">
        <v>1650</v>
      </c>
      <c r="C229" s="229" t="s">
        <v>752</v>
      </c>
      <c r="D229" s="229" t="s">
        <v>1434</v>
      </c>
      <c r="E229" s="229" t="s">
        <v>1184</v>
      </c>
      <c r="F229" s="230" t="s">
        <v>45</v>
      </c>
      <c r="G229" s="229" t="s">
        <v>1178</v>
      </c>
      <c r="H229" s="229" t="s">
        <v>1204</v>
      </c>
      <c r="I229" s="229" t="s">
        <v>1180</v>
      </c>
      <c r="J229" s="229" t="s">
        <v>376</v>
      </c>
      <c r="K229" s="231" t="s">
        <v>341</v>
      </c>
    </row>
    <row r="230" spans="1:11" s="226" customFormat="1" ht="9.6" customHeight="1" x14ac:dyDescent="0.2">
      <c r="A230" s="229" t="str">
        <f>T_P_BilanSocial[[#This Row],[Nom]]&amp;T_P_BilanSocial[[#This Row],[Prenom]]</f>
        <v>DE NOIROT DE TOURNAYSOPHIE</v>
      </c>
      <c r="B230" s="228" t="s">
        <v>2963</v>
      </c>
      <c r="C230" s="229" t="s">
        <v>2964</v>
      </c>
      <c r="D230" s="229" t="s">
        <v>1255</v>
      </c>
      <c r="E230" s="229" t="s">
        <v>1184</v>
      </c>
      <c r="F230" s="230" t="s">
        <v>445</v>
      </c>
      <c r="G230" s="229" t="s">
        <v>1476</v>
      </c>
      <c r="H230" s="229" t="s">
        <v>1794</v>
      </c>
      <c r="I230" s="229" t="s">
        <v>1180</v>
      </c>
      <c r="J230" s="229" t="s">
        <v>471</v>
      </c>
      <c r="K230" s="231" t="s">
        <v>341</v>
      </c>
    </row>
    <row r="231" spans="1:11" s="226" customFormat="1" ht="9.6" customHeight="1" x14ac:dyDescent="0.2">
      <c r="A231" s="229" t="str">
        <f>T_P_BilanSocial[[#This Row],[Nom]]&amp;T_P_BilanSocial[[#This Row],[Prenom]]</f>
        <v>DE OCHANDIANOJEAN-LUC</v>
      </c>
      <c r="B231" s="228" t="s">
        <v>1990</v>
      </c>
      <c r="C231" s="229" t="s">
        <v>947</v>
      </c>
      <c r="D231" s="229" t="s">
        <v>1991</v>
      </c>
      <c r="E231" s="229" t="s">
        <v>1177</v>
      </c>
      <c r="F231" s="230" t="s">
        <v>308</v>
      </c>
      <c r="G231" s="229" t="s">
        <v>1178</v>
      </c>
      <c r="H231" s="229" t="s">
        <v>1435</v>
      </c>
      <c r="I231" s="229" t="s">
        <v>1180</v>
      </c>
      <c r="J231" s="229" t="s">
        <v>353</v>
      </c>
      <c r="K231" s="231" t="s">
        <v>354</v>
      </c>
    </row>
    <row r="232" spans="1:11" s="226" customFormat="1" ht="9.6" customHeight="1" x14ac:dyDescent="0.2">
      <c r="A232" s="229" t="str">
        <f>T_P_BilanSocial[[#This Row],[Nom]]&amp;T_P_BilanSocial[[#This Row],[Prenom]]</f>
        <v>DE SANTASAMANTHA</v>
      </c>
      <c r="B232" s="228" t="s">
        <v>2878</v>
      </c>
      <c r="C232" s="229" t="s">
        <v>2879</v>
      </c>
      <c r="D232" s="229" t="s">
        <v>2880</v>
      </c>
      <c r="E232" s="229" t="s">
        <v>1184</v>
      </c>
      <c r="F232" s="230" t="s">
        <v>308</v>
      </c>
      <c r="G232" s="229" t="s">
        <v>1476</v>
      </c>
      <c r="H232" s="229" t="s">
        <v>1794</v>
      </c>
      <c r="I232" s="229" t="s">
        <v>1180</v>
      </c>
      <c r="J232" s="229" t="s">
        <v>329</v>
      </c>
      <c r="K232" s="231" t="s">
        <v>501</v>
      </c>
    </row>
    <row r="233" spans="1:11" s="226" customFormat="1" ht="9.6" customHeight="1" x14ac:dyDescent="0.2">
      <c r="A233" s="229" t="str">
        <f>T_P_BilanSocial[[#This Row],[Nom]]&amp;T_P_BilanSocial[[#This Row],[Prenom]]</f>
        <v>DEBAYLE-REVOLSYLVIE</v>
      </c>
      <c r="B233" s="228" t="s">
        <v>1366</v>
      </c>
      <c r="C233" s="229" t="s">
        <v>472</v>
      </c>
      <c r="D233" s="229" t="s">
        <v>1305</v>
      </c>
      <c r="E233" s="229" t="s">
        <v>1184</v>
      </c>
      <c r="F233" s="230" t="s">
        <v>45</v>
      </c>
      <c r="G233" s="229" t="s">
        <v>1178</v>
      </c>
      <c r="H233" s="229" t="s">
        <v>1204</v>
      </c>
      <c r="I233" s="229" t="s">
        <v>1180</v>
      </c>
      <c r="J233" s="229" t="s">
        <v>340</v>
      </c>
      <c r="K233" s="231" t="s">
        <v>341</v>
      </c>
    </row>
    <row r="234" spans="1:11" s="226" customFormat="1" ht="9.6" customHeight="1" x14ac:dyDescent="0.2">
      <c r="A234" s="229" t="str">
        <f>T_P_BilanSocial[[#This Row],[Nom]]&amp;T_P_BilanSocial[[#This Row],[Prenom]]</f>
        <v>DEBOUTTECORALIE</v>
      </c>
      <c r="B234" s="228" t="s">
        <v>2403</v>
      </c>
      <c r="C234" s="229" t="s">
        <v>2404</v>
      </c>
      <c r="D234" s="229" t="s">
        <v>2398</v>
      </c>
      <c r="E234" s="229" t="s">
        <v>1184</v>
      </c>
      <c r="F234" s="230" t="s">
        <v>45</v>
      </c>
      <c r="G234" s="229" t="s">
        <v>1476</v>
      </c>
      <c r="H234" s="229" t="s">
        <v>1794</v>
      </c>
      <c r="I234" s="229" t="s">
        <v>1180</v>
      </c>
      <c r="J234" s="229" t="s">
        <v>1686</v>
      </c>
      <c r="K234" s="231" t="s">
        <v>1687</v>
      </c>
    </row>
    <row r="235" spans="1:11" s="226" customFormat="1" ht="9.6" customHeight="1" x14ac:dyDescent="0.2">
      <c r="A235" s="229" t="str">
        <f>T_P_BilanSocial[[#This Row],[Nom]]&amp;T_P_BilanSocial[[#This Row],[Prenom]]</f>
        <v>DEBROISEMALWINA</v>
      </c>
      <c r="B235" s="228" t="s">
        <v>2029</v>
      </c>
      <c r="C235" s="229" t="s">
        <v>991</v>
      </c>
      <c r="D235" s="229" t="s">
        <v>2030</v>
      </c>
      <c r="E235" s="229" t="s">
        <v>1184</v>
      </c>
      <c r="F235" s="230" t="s">
        <v>308</v>
      </c>
      <c r="G235" s="229" t="s">
        <v>1476</v>
      </c>
      <c r="H235" s="229" t="s">
        <v>1477</v>
      </c>
      <c r="I235" s="229" t="s">
        <v>1180</v>
      </c>
      <c r="J235" s="229" t="s">
        <v>1083</v>
      </c>
      <c r="K235" s="232" t="s">
        <v>1084</v>
      </c>
    </row>
    <row r="236" spans="1:11" s="226" customFormat="1" ht="9.6" customHeight="1" x14ac:dyDescent="0.2">
      <c r="A236" s="229" t="str">
        <f>T_P_BilanSocial[[#This Row],[Nom]]&amp;T_P_BilanSocial[[#This Row],[Prenom]]</f>
        <v>DEGUEURCEFLORE</v>
      </c>
      <c r="B236" s="228" t="s">
        <v>1633</v>
      </c>
      <c r="C236" s="229" t="s">
        <v>1634</v>
      </c>
      <c r="D236" s="229" t="s">
        <v>1635</v>
      </c>
      <c r="E236" s="229" t="s">
        <v>1184</v>
      </c>
      <c r="F236" s="230" t="s">
        <v>45</v>
      </c>
      <c r="G236" s="229" t="s">
        <v>1178</v>
      </c>
      <c r="H236" s="229" t="s">
        <v>1204</v>
      </c>
      <c r="I236" s="229" t="s">
        <v>1180</v>
      </c>
      <c r="J236" s="229" t="s">
        <v>775</v>
      </c>
      <c r="K236" s="231" t="s">
        <v>1350</v>
      </c>
    </row>
    <row r="237" spans="1:11" s="226" customFormat="1" ht="9.6" customHeight="1" x14ac:dyDescent="0.2">
      <c r="A237" s="229" t="str">
        <f>T_P_BilanSocial[[#This Row],[Nom]]&amp;T_P_BilanSocial[[#This Row],[Prenom]]</f>
        <v>DELAVALJEAN-BAPTISTE</v>
      </c>
      <c r="B237" s="228" t="s">
        <v>2327</v>
      </c>
      <c r="C237" s="229" t="s">
        <v>2328</v>
      </c>
      <c r="D237" s="229" t="s">
        <v>1749</v>
      </c>
      <c r="E237" s="229" t="s">
        <v>1177</v>
      </c>
      <c r="F237" s="230" t="s">
        <v>445</v>
      </c>
      <c r="G237" s="229" t="s">
        <v>1178</v>
      </c>
      <c r="H237" s="229" t="s">
        <v>1435</v>
      </c>
      <c r="I237" s="229" t="s">
        <v>1180</v>
      </c>
      <c r="J237" s="229" t="s">
        <v>353</v>
      </c>
      <c r="K237" s="231" t="s">
        <v>354</v>
      </c>
    </row>
    <row r="238" spans="1:11" s="226" customFormat="1" ht="9.6" customHeight="1" x14ac:dyDescent="0.2">
      <c r="A238" s="229" t="str">
        <f>T_P_BilanSocial[[#This Row],[Nom]]&amp;T_P_BilanSocial[[#This Row],[Prenom]]</f>
        <v>DELHOMMEAUSANDRINE</v>
      </c>
      <c r="B238" s="228" t="s">
        <v>1603</v>
      </c>
      <c r="C238" s="229" t="s">
        <v>1604</v>
      </c>
      <c r="D238" s="229" t="s">
        <v>1200</v>
      </c>
      <c r="E238" s="229" t="s">
        <v>1184</v>
      </c>
      <c r="F238" s="230" t="s">
        <v>308</v>
      </c>
      <c r="G238" s="229" t="s">
        <v>1178</v>
      </c>
      <c r="H238" s="229" t="s">
        <v>1179</v>
      </c>
      <c r="I238" s="229" t="s">
        <v>1180</v>
      </c>
      <c r="J238" s="229" t="s">
        <v>736</v>
      </c>
      <c r="K238" s="231" t="s">
        <v>737</v>
      </c>
    </row>
    <row r="239" spans="1:11" s="226" customFormat="1" ht="9.6" customHeight="1" x14ac:dyDescent="0.2">
      <c r="A239" s="229" t="str">
        <f>T_P_BilanSocial[[#This Row],[Nom]]&amp;T_P_BilanSocial[[#This Row],[Prenom]]</f>
        <v>DELHONFREDERIQUE</v>
      </c>
      <c r="B239" s="228" t="s">
        <v>2046</v>
      </c>
      <c r="C239" s="229" t="s">
        <v>2047</v>
      </c>
      <c r="D239" s="229" t="s">
        <v>1952</v>
      </c>
      <c r="E239" s="229" t="s">
        <v>1184</v>
      </c>
      <c r="F239" s="230" t="s">
        <v>45</v>
      </c>
      <c r="G239" s="229" t="s">
        <v>1178</v>
      </c>
      <c r="H239" s="229" t="s">
        <v>1204</v>
      </c>
      <c r="I239" s="229" t="s">
        <v>1180</v>
      </c>
      <c r="J239" s="229" t="s">
        <v>1076</v>
      </c>
      <c r="K239" s="231" t="s">
        <v>2048</v>
      </c>
    </row>
    <row r="240" spans="1:11" s="226" customFormat="1" ht="9.6" customHeight="1" x14ac:dyDescent="0.2">
      <c r="A240" s="229" t="str">
        <f>T_P_BilanSocial[[#This Row],[Nom]]&amp;T_P_BilanSocial[[#This Row],[Prenom]]</f>
        <v>DELOCHEMARIE-EDITH</v>
      </c>
      <c r="B240" s="228" t="s">
        <v>1486</v>
      </c>
      <c r="C240" s="229" t="s">
        <v>1137</v>
      </c>
      <c r="D240" s="229" t="s">
        <v>1487</v>
      </c>
      <c r="E240" s="229" t="s">
        <v>1184</v>
      </c>
      <c r="F240" s="230" t="s">
        <v>445</v>
      </c>
      <c r="G240" s="229" t="s">
        <v>1178</v>
      </c>
      <c r="H240" s="229" t="s">
        <v>1204</v>
      </c>
      <c r="I240" s="229" t="s">
        <v>1180</v>
      </c>
      <c r="J240" s="233" t="s">
        <v>340</v>
      </c>
      <c r="K240" s="231" t="s">
        <v>341</v>
      </c>
    </row>
    <row r="241" spans="1:11" s="226" customFormat="1" ht="9.6" customHeight="1" x14ac:dyDescent="0.2">
      <c r="A241" s="229" t="str">
        <f>T_P_BilanSocial[[#This Row],[Nom]]&amp;T_P_BilanSocial[[#This Row],[Prenom]]</f>
        <v>DELPLANQUEMAGALI</v>
      </c>
      <c r="B241" s="228" t="s">
        <v>1544</v>
      </c>
      <c r="C241" s="229" t="s">
        <v>579</v>
      </c>
      <c r="D241" s="229" t="s">
        <v>1301</v>
      </c>
      <c r="E241" s="229" t="s">
        <v>1184</v>
      </c>
      <c r="F241" s="230" t="s">
        <v>45</v>
      </c>
      <c r="G241" s="229" t="s">
        <v>1178</v>
      </c>
      <c r="H241" s="229" t="s">
        <v>1204</v>
      </c>
      <c r="I241" s="229" t="s">
        <v>1180</v>
      </c>
      <c r="J241" s="229" t="s">
        <v>566</v>
      </c>
      <c r="K241" s="231" t="s">
        <v>581</v>
      </c>
    </row>
    <row r="242" spans="1:11" s="226" customFormat="1" ht="9.6" customHeight="1" x14ac:dyDescent="0.2">
      <c r="A242" s="229" t="str">
        <f>T_P_BilanSocial[[#This Row],[Nom]]&amp;T_P_BilanSocial[[#This Row],[Prenom]]</f>
        <v>DEMARSAURÉLIEN</v>
      </c>
      <c r="B242" s="228" t="s">
        <v>1810</v>
      </c>
      <c r="C242" s="229" t="s">
        <v>1811</v>
      </c>
      <c r="D242" s="229" t="s">
        <v>1812</v>
      </c>
      <c r="E242" s="229" t="s">
        <v>1177</v>
      </c>
      <c r="F242" s="230" t="s">
        <v>445</v>
      </c>
      <c r="G242" s="229" t="s">
        <v>1476</v>
      </c>
      <c r="H242" s="229" t="s">
        <v>1477</v>
      </c>
      <c r="I242" s="229" t="s">
        <v>1180</v>
      </c>
      <c r="J242" s="229" t="s">
        <v>340</v>
      </c>
      <c r="K242" s="231" t="s">
        <v>341</v>
      </c>
    </row>
    <row r="243" spans="1:11" s="226" customFormat="1" ht="9.6" customHeight="1" x14ac:dyDescent="0.2">
      <c r="A243" s="229" t="str">
        <f>T_P_BilanSocial[[#This Row],[Nom]]&amp;T_P_BilanSocial[[#This Row],[Prenom]]</f>
        <v>DERVEAUOLIVIER</v>
      </c>
      <c r="B243" s="228" t="s">
        <v>1739</v>
      </c>
      <c r="C243" s="229" t="s">
        <v>1740</v>
      </c>
      <c r="D243" s="229" t="s">
        <v>1278</v>
      </c>
      <c r="E243" s="229" t="s">
        <v>1177</v>
      </c>
      <c r="F243" s="230" t="s">
        <v>45</v>
      </c>
      <c r="G243" s="229" t="s">
        <v>1178</v>
      </c>
      <c r="H243" s="229" t="s">
        <v>1204</v>
      </c>
      <c r="I243" s="229" t="s">
        <v>1180</v>
      </c>
      <c r="J243" s="229" t="s">
        <v>1717</v>
      </c>
      <c r="K243" s="231" t="s">
        <v>1741</v>
      </c>
    </row>
    <row r="244" spans="1:11" s="226" customFormat="1" ht="9.6" customHeight="1" x14ac:dyDescent="0.2">
      <c r="A244" s="229" t="str">
        <f>T_P_BilanSocial[[#This Row],[Nom]]&amp;T_P_BilanSocial[[#This Row],[Prenom]]</f>
        <v>DESNOUESFABIENNE</v>
      </c>
      <c r="B244" s="228" t="s">
        <v>2520</v>
      </c>
      <c r="C244" s="229" t="s">
        <v>545</v>
      </c>
      <c r="D244" s="229" t="s">
        <v>1543</v>
      </c>
      <c r="E244" s="229" t="s">
        <v>1184</v>
      </c>
      <c r="F244" s="230" t="s">
        <v>308</v>
      </c>
      <c r="G244" s="229" t="s">
        <v>1178</v>
      </c>
      <c r="H244" s="229" t="s">
        <v>1179</v>
      </c>
      <c r="I244" s="229" t="s">
        <v>1180</v>
      </c>
      <c r="J244" s="229" t="s">
        <v>411</v>
      </c>
      <c r="K244" s="231" t="s">
        <v>2521</v>
      </c>
    </row>
    <row r="245" spans="1:11" s="226" customFormat="1" ht="9.6" customHeight="1" x14ac:dyDescent="0.2">
      <c r="A245" s="229" t="str">
        <f>T_P_BilanSocial[[#This Row],[Nom]]&amp;T_P_BilanSocial[[#This Row],[Prenom]]</f>
        <v>DESPLANSMATHILDE</v>
      </c>
      <c r="B245" s="228" t="s">
        <v>2452</v>
      </c>
      <c r="C245" s="229" t="s">
        <v>739</v>
      </c>
      <c r="D245" s="229" t="s">
        <v>2453</v>
      </c>
      <c r="E245" s="229" t="s">
        <v>1184</v>
      </c>
      <c r="F245" s="230" t="s">
        <v>308</v>
      </c>
      <c r="G245" s="229" t="s">
        <v>1476</v>
      </c>
      <c r="H245" s="229" t="s">
        <v>1477</v>
      </c>
      <c r="I245" s="229" t="s">
        <v>1180</v>
      </c>
      <c r="J245" s="229" t="s">
        <v>340</v>
      </c>
      <c r="K245" s="231" t="s">
        <v>341</v>
      </c>
    </row>
    <row r="246" spans="1:11" s="226" customFormat="1" ht="9.6" customHeight="1" x14ac:dyDescent="0.2">
      <c r="A246" s="229" t="str">
        <f>T_P_BilanSocial[[#This Row],[Nom]]&amp;T_P_BilanSocial[[#This Row],[Prenom]]</f>
        <v>DESROUSSEAUXVIRGINIE</v>
      </c>
      <c r="B246" s="228" t="s">
        <v>1340</v>
      </c>
      <c r="C246" s="229" t="s">
        <v>364</v>
      </c>
      <c r="D246" s="229" t="s">
        <v>1341</v>
      </c>
      <c r="E246" s="229" t="s">
        <v>1184</v>
      </c>
      <c r="F246" s="230" t="s">
        <v>45</v>
      </c>
      <c r="G246" s="229" t="s">
        <v>1178</v>
      </c>
      <c r="H246" s="229" t="s">
        <v>1204</v>
      </c>
      <c r="I246" s="229" t="s">
        <v>1180</v>
      </c>
      <c r="J246" s="229" t="s">
        <v>368</v>
      </c>
      <c r="K246" s="231" t="s">
        <v>369</v>
      </c>
    </row>
    <row r="247" spans="1:11" s="226" customFormat="1" ht="9.6" customHeight="1" x14ac:dyDescent="0.2">
      <c r="A247" s="229" t="str">
        <f>T_P_BilanSocial[[#This Row],[Nom]]&amp;T_P_BilanSocial[[#This Row],[Prenom]]</f>
        <v>DESSAUVELAURENCE</v>
      </c>
      <c r="B247" s="228" t="s">
        <v>1940</v>
      </c>
      <c r="C247" s="229" t="s">
        <v>1941</v>
      </c>
      <c r="D247" s="229" t="s">
        <v>1282</v>
      </c>
      <c r="E247" s="229" t="s">
        <v>1184</v>
      </c>
      <c r="F247" s="230" t="s">
        <v>45</v>
      </c>
      <c r="G247" s="229" t="s">
        <v>1178</v>
      </c>
      <c r="H247" s="229" t="s">
        <v>1204</v>
      </c>
      <c r="I247" s="229" t="s">
        <v>1180</v>
      </c>
      <c r="J247" s="229" t="s">
        <v>411</v>
      </c>
      <c r="K247" s="231" t="s">
        <v>341</v>
      </c>
    </row>
    <row r="248" spans="1:11" s="226" customFormat="1" ht="9.6" customHeight="1" x14ac:dyDescent="0.2">
      <c r="A248" s="229" t="str">
        <f>T_P_BilanSocial[[#This Row],[Nom]]&amp;T_P_BilanSocial[[#This Row],[Prenom]]</f>
        <v>DESSIRIERGISELLE</v>
      </c>
      <c r="B248" s="228" t="s">
        <v>1600</v>
      </c>
      <c r="C248" s="229" t="s">
        <v>544</v>
      </c>
      <c r="D248" s="229" t="s">
        <v>1601</v>
      </c>
      <c r="E248" s="229" t="s">
        <v>1184</v>
      </c>
      <c r="F248" s="230" t="s">
        <v>308</v>
      </c>
      <c r="G248" s="229" t="s">
        <v>1178</v>
      </c>
      <c r="H248" s="229" t="s">
        <v>1179</v>
      </c>
      <c r="I248" s="229" t="s">
        <v>1180</v>
      </c>
      <c r="J248" s="229" t="s">
        <v>376</v>
      </c>
      <c r="K248" s="231" t="s">
        <v>341</v>
      </c>
    </row>
    <row r="249" spans="1:11" s="226" customFormat="1" ht="9.6" customHeight="1" x14ac:dyDescent="0.2">
      <c r="A249" s="229" t="str">
        <f>T_P_BilanSocial[[#This Row],[Nom]]&amp;T_P_BilanSocial[[#This Row],[Prenom]]</f>
        <v>DETHYREBENOIT</v>
      </c>
      <c r="B249" s="228" t="s">
        <v>2450</v>
      </c>
      <c r="C249" s="229" t="s">
        <v>2451</v>
      </c>
      <c r="D249" s="229" t="s">
        <v>2011</v>
      </c>
      <c r="E249" s="229" t="s">
        <v>1177</v>
      </c>
      <c r="F249" s="230" t="s">
        <v>45</v>
      </c>
      <c r="G249" s="229" t="s">
        <v>1476</v>
      </c>
      <c r="H249" s="229" t="s">
        <v>1477</v>
      </c>
      <c r="I249" s="229" t="s">
        <v>1180</v>
      </c>
      <c r="J249" s="229" t="s">
        <v>376</v>
      </c>
      <c r="K249" s="231" t="s">
        <v>341</v>
      </c>
    </row>
    <row r="250" spans="1:11" s="226" customFormat="1" ht="9.6" customHeight="1" x14ac:dyDescent="0.2">
      <c r="A250" s="229" t="str">
        <f>T_P_BilanSocial[[#This Row],[Nom]]&amp;T_P_BilanSocial[[#This Row],[Prenom]]</f>
        <v>DICKOSABANE</v>
      </c>
      <c r="B250" s="228" t="s">
        <v>2592</v>
      </c>
      <c r="C250" s="229" t="s">
        <v>2593</v>
      </c>
      <c r="D250" s="229" t="s">
        <v>2594</v>
      </c>
      <c r="E250" s="229" t="s">
        <v>1177</v>
      </c>
      <c r="F250" s="230" t="s">
        <v>445</v>
      </c>
      <c r="G250" s="229" t="s">
        <v>1476</v>
      </c>
      <c r="H250" s="229" t="s">
        <v>1794</v>
      </c>
      <c r="I250" s="229" t="s">
        <v>1180</v>
      </c>
      <c r="J250" s="229" t="s">
        <v>398</v>
      </c>
      <c r="K250" s="231" t="s">
        <v>895</v>
      </c>
    </row>
    <row r="251" spans="1:11" s="226" customFormat="1" ht="9.6" customHeight="1" x14ac:dyDescent="0.2">
      <c r="A251" s="229" t="str">
        <f>T_P_BilanSocial[[#This Row],[Nom]]&amp;T_P_BilanSocial[[#This Row],[Prenom]]</f>
        <v>DIETERLENFANNIE</v>
      </c>
      <c r="B251" s="228" t="s">
        <v>2508</v>
      </c>
      <c r="C251" s="229" t="s">
        <v>2509</v>
      </c>
      <c r="D251" s="229" t="s">
        <v>2510</v>
      </c>
      <c r="E251" s="229" t="s">
        <v>1184</v>
      </c>
      <c r="F251" s="230" t="s">
        <v>45</v>
      </c>
      <c r="G251" s="229" t="s">
        <v>1476</v>
      </c>
      <c r="H251" s="229" t="s">
        <v>1794</v>
      </c>
      <c r="I251" s="229" t="s">
        <v>1180</v>
      </c>
      <c r="J251" s="229" t="s">
        <v>340</v>
      </c>
      <c r="K251" s="231" t="s">
        <v>341</v>
      </c>
    </row>
    <row r="252" spans="1:11" s="226" customFormat="1" ht="9.6" customHeight="1" x14ac:dyDescent="0.2">
      <c r="A252" s="229" t="str">
        <f>T_P_BilanSocial[[#This Row],[Nom]]&amp;T_P_BilanSocial[[#This Row],[Prenom]]</f>
        <v>DIJOUDEMMA</v>
      </c>
      <c r="B252" s="228" t="s">
        <v>2889</v>
      </c>
      <c r="C252" s="229" t="s">
        <v>2890</v>
      </c>
      <c r="D252" s="229" t="s">
        <v>2891</v>
      </c>
      <c r="E252" s="229" t="s">
        <v>1184</v>
      </c>
      <c r="F252" s="230" t="s">
        <v>45</v>
      </c>
      <c r="G252" s="229" t="s">
        <v>1476</v>
      </c>
      <c r="H252" s="229" t="s">
        <v>1794</v>
      </c>
      <c r="I252" s="229" t="s">
        <v>1180</v>
      </c>
      <c r="J252" s="229" t="s">
        <v>340</v>
      </c>
      <c r="K252" s="231" t="s">
        <v>341</v>
      </c>
    </row>
    <row r="253" spans="1:11" s="226" customFormat="1" ht="9.6" customHeight="1" x14ac:dyDescent="0.2">
      <c r="A253" s="229" t="str">
        <f>T_P_BilanSocial[[#This Row],[Nom]]&amp;T_P_BilanSocial[[#This Row],[Prenom]]</f>
        <v>DILMIYACINE</v>
      </c>
      <c r="B253" s="228" t="s">
        <v>2668</v>
      </c>
      <c r="C253" s="229" t="s">
        <v>2669</v>
      </c>
      <c r="D253" s="229" t="s">
        <v>2670</v>
      </c>
      <c r="E253" s="229" t="s">
        <v>1177</v>
      </c>
      <c r="F253" s="230" t="s">
        <v>445</v>
      </c>
      <c r="G253" s="229" t="s">
        <v>1476</v>
      </c>
      <c r="H253" s="229" t="s">
        <v>1794</v>
      </c>
      <c r="I253" s="229" t="s">
        <v>1180</v>
      </c>
      <c r="J253" s="229" t="s">
        <v>320</v>
      </c>
      <c r="K253" s="231" t="s">
        <v>321</v>
      </c>
    </row>
    <row r="254" spans="1:11" s="226" customFormat="1" ht="9.6" customHeight="1" x14ac:dyDescent="0.2">
      <c r="A254" s="229" t="str">
        <f>T_P_BilanSocial[[#This Row],[Nom]]&amp;T_P_BilanSocial[[#This Row],[Prenom]]</f>
        <v>DIOPMEGUEYE</v>
      </c>
      <c r="B254" s="228" t="s">
        <v>2638</v>
      </c>
      <c r="C254" s="229" t="s">
        <v>2639</v>
      </c>
      <c r="D254" s="229" t="s">
        <v>2640</v>
      </c>
      <c r="E254" s="229" t="s">
        <v>1177</v>
      </c>
      <c r="F254" s="230" t="s">
        <v>45</v>
      </c>
      <c r="G254" s="229" t="s">
        <v>1476</v>
      </c>
      <c r="H254" s="229" t="s">
        <v>1794</v>
      </c>
      <c r="I254" s="229" t="s">
        <v>1180</v>
      </c>
      <c r="J254" s="229" t="s">
        <v>329</v>
      </c>
      <c r="K254" s="231" t="s">
        <v>1903</v>
      </c>
    </row>
    <row r="255" spans="1:11" s="226" customFormat="1" ht="9.6" customHeight="1" x14ac:dyDescent="0.2">
      <c r="A255" s="229" t="str">
        <f>T_P_BilanSocial[[#This Row],[Nom]]&amp;T_P_BilanSocial[[#This Row],[Prenom]]</f>
        <v>DJELLALILHAMZA</v>
      </c>
      <c r="B255" s="228" t="s">
        <v>2656</v>
      </c>
      <c r="C255" s="229" t="s">
        <v>2657</v>
      </c>
      <c r="D255" s="229" t="s">
        <v>2658</v>
      </c>
      <c r="E255" s="229" t="s">
        <v>1177</v>
      </c>
      <c r="F255" s="230" t="s">
        <v>45</v>
      </c>
      <c r="G255" s="229" t="s">
        <v>1476</v>
      </c>
      <c r="H255" s="229" t="s">
        <v>1794</v>
      </c>
      <c r="I255" s="229" t="s">
        <v>1180</v>
      </c>
      <c r="J255" s="229" t="s">
        <v>320</v>
      </c>
      <c r="K255" s="231" t="s">
        <v>321</v>
      </c>
    </row>
    <row r="256" spans="1:11" s="226" customFormat="1" ht="9.6" customHeight="1" x14ac:dyDescent="0.2">
      <c r="A256" s="229" t="str">
        <f>T_P_BilanSocial[[#This Row],[Nom]]&amp;T_P_BilanSocial[[#This Row],[Prenom]]</f>
        <v>DOENSVINCENT</v>
      </c>
      <c r="B256" s="228" t="s">
        <v>1293</v>
      </c>
      <c r="C256" s="229" t="s">
        <v>1294</v>
      </c>
      <c r="D256" s="229" t="s">
        <v>876</v>
      </c>
      <c r="E256" s="229" t="s">
        <v>1177</v>
      </c>
      <c r="F256" s="230" t="s">
        <v>308</v>
      </c>
      <c r="G256" s="229" t="s">
        <v>1178</v>
      </c>
      <c r="H256" s="229" t="s">
        <v>1204</v>
      </c>
      <c r="I256" s="229" t="s">
        <v>1180</v>
      </c>
      <c r="J256" s="229" t="s">
        <v>411</v>
      </c>
      <c r="K256" s="231" t="s">
        <v>341</v>
      </c>
    </row>
    <row r="257" spans="1:11" s="226" customFormat="1" ht="9.6" customHeight="1" x14ac:dyDescent="0.2">
      <c r="A257" s="229" t="str">
        <f>T_P_BilanSocial[[#This Row],[Nom]]&amp;T_P_BilanSocial[[#This Row],[Prenom]]</f>
        <v>DOLEPIERRE</v>
      </c>
      <c r="B257" s="228" t="s">
        <v>1295</v>
      </c>
      <c r="C257" s="229" t="s">
        <v>1296</v>
      </c>
      <c r="D257" s="229" t="s">
        <v>1297</v>
      </c>
      <c r="E257" s="229" t="s">
        <v>1177</v>
      </c>
      <c r="F257" s="230" t="s">
        <v>308</v>
      </c>
      <c r="G257" s="229" t="s">
        <v>1178</v>
      </c>
      <c r="H257" s="229" t="s">
        <v>1204</v>
      </c>
      <c r="I257" s="229" t="s">
        <v>1180</v>
      </c>
      <c r="J257" s="229" t="s">
        <v>398</v>
      </c>
      <c r="K257" s="231" t="s">
        <v>1298</v>
      </c>
    </row>
    <row r="258" spans="1:11" s="226" customFormat="1" ht="9.6" customHeight="1" x14ac:dyDescent="0.2">
      <c r="A258" s="229" t="str">
        <f>T_P_BilanSocial[[#This Row],[Nom]]&amp;T_P_BilanSocial[[#This Row],[Prenom]]</f>
        <v>DONJONNATHALIE</v>
      </c>
      <c r="B258" s="228" t="s">
        <v>2267</v>
      </c>
      <c r="C258" s="229" t="s">
        <v>387</v>
      </c>
      <c r="D258" s="229" t="s">
        <v>1434</v>
      </c>
      <c r="E258" s="229" t="s">
        <v>1184</v>
      </c>
      <c r="F258" s="230" t="s">
        <v>308</v>
      </c>
      <c r="G258" s="229" t="s">
        <v>1178</v>
      </c>
      <c r="H258" s="229" t="s">
        <v>1204</v>
      </c>
      <c r="I258" s="229" t="s">
        <v>1180</v>
      </c>
      <c r="J258" s="229" t="s">
        <v>481</v>
      </c>
      <c r="K258" s="231" t="s">
        <v>341</v>
      </c>
    </row>
    <row r="259" spans="1:11" s="226" customFormat="1" ht="9.6" customHeight="1" x14ac:dyDescent="0.2">
      <c r="A259" s="229" t="str">
        <f>T_P_BilanSocial[[#This Row],[Nom]]&amp;T_P_BilanSocial[[#This Row],[Prenom]]</f>
        <v>DONZELBERNARD</v>
      </c>
      <c r="B259" s="228" t="s">
        <v>1724</v>
      </c>
      <c r="C259" s="229" t="s">
        <v>1725</v>
      </c>
      <c r="D259" s="229" t="s">
        <v>1720</v>
      </c>
      <c r="E259" s="229" t="s">
        <v>1177</v>
      </c>
      <c r="F259" s="230" t="s">
        <v>445</v>
      </c>
      <c r="G259" s="229" t="s">
        <v>1178</v>
      </c>
      <c r="H259" s="229" t="s">
        <v>1179</v>
      </c>
      <c r="I259" s="229" t="s">
        <v>1180</v>
      </c>
      <c r="J259" s="229" t="s">
        <v>1726</v>
      </c>
      <c r="K259" s="231" t="s">
        <v>1727</v>
      </c>
    </row>
    <row r="260" spans="1:11" s="226" customFormat="1" ht="9.6" customHeight="1" x14ac:dyDescent="0.2">
      <c r="A260" s="229" t="str">
        <f>T_P_BilanSocial[[#This Row],[Nom]]&amp;T_P_BilanSocial[[#This Row],[Prenom]]</f>
        <v>DORLEANSFRANCK</v>
      </c>
      <c r="B260" s="228" t="s">
        <v>2314</v>
      </c>
      <c r="C260" s="229" t="s">
        <v>2315</v>
      </c>
      <c r="D260" s="229" t="s">
        <v>1784</v>
      </c>
      <c r="E260" s="229" t="s">
        <v>1177</v>
      </c>
      <c r="F260" s="230" t="s">
        <v>45</v>
      </c>
      <c r="G260" s="229" t="s">
        <v>1178</v>
      </c>
      <c r="H260" s="229" t="s">
        <v>1204</v>
      </c>
      <c r="I260" s="229" t="s">
        <v>1180</v>
      </c>
      <c r="J260" s="229" t="s">
        <v>2316</v>
      </c>
      <c r="K260" s="231" t="s">
        <v>2317</v>
      </c>
    </row>
    <row r="261" spans="1:11" s="226" customFormat="1" ht="9.6" customHeight="1" x14ac:dyDescent="0.2">
      <c r="A261" s="229" t="str">
        <f>T_P_BilanSocial[[#This Row],[Nom]]&amp;T_P_BilanSocial[[#This Row],[Prenom]]</f>
        <v>DOUBLETELSA</v>
      </c>
      <c r="B261" s="228" t="s">
        <v>2507</v>
      </c>
      <c r="C261" s="229" t="s">
        <v>1030</v>
      </c>
      <c r="D261" s="229" t="s">
        <v>1962</v>
      </c>
      <c r="E261" s="229" t="s">
        <v>1184</v>
      </c>
      <c r="F261" s="230" t="s">
        <v>308</v>
      </c>
      <c r="G261" s="229" t="s">
        <v>1178</v>
      </c>
      <c r="H261" s="229" t="s">
        <v>1435</v>
      </c>
      <c r="I261" s="229" t="s">
        <v>1180</v>
      </c>
      <c r="J261" s="229" t="s">
        <v>340</v>
      </c>
      <c r="K261" s="231" t="s">
        <v>341</v>
      </c>
    </row>
    <row r="262" spans="1:11" s="226" customFormat="1" ht="9.6" customHeight="1" x14ac:dyDescent="0.2">
      <c r="A262" s="229" t="str">
        <f>T_P_BilanSocial[[#This Row],[Nom]]&amp;T_P_BilanSocial[[#This Row],[Prenom]]</f>
        <v>DOUETEMILIE</v>
      </c>
      <c r="B262" s="228" t="s">
        <v>2499</v>
      </c>
      <c r="C262" s="229" t="s">
        <v>1059</v>
      </c>
      <c r="D262" s="229" t="s">
        <v>2190</v>
      </c>
      <c r="E262" s="229" t="s">
        <v>1184</v>
      </c>
      <c r="F262" s="230" t="s">
        <v>45</v>
      </c>
      <c r="G262" s="229" t="s">
        <v>1476</v>
      </c>
      <c r="H262" s="229" t="s">
        <v>1794</v>
      </c>
      <c r="I262" s="229" t="s">
        <v>1180</v>
      </c>
      <c r="J262" s="229" t="s">
        <v>376</v>
      </c>
      <c r="K262" s="231" t="s">
        <v>341</v>
      </c>
    </row>
    <row r="263" spans="1:11" s="226" customFormat="1" ht="9.6" customHeight="1" x14ac:dyDescent="0.2">
      <c r="A263" s="229" t="str">
        <f>T_P_BilanSocial[[#This Row],[Nom]]&amp;T_P_BilanSocial[[#This Row],[Prenom]]</f>
        <v>DUARTECARINA</v>
      </c>
      <c r="B263" s="228" t="s">
        <v>1694</v>
      </c>
      <c r="C263" s="229" t="s">
        <v>1695</v>
      </c>
      <c r="D263" s="229" t="s">
        <v>1696</v>
      </c>
      <c r="E263" s="229" t="s">
        <v>1184</v>
      </c>
      <c r="F263" s="230" t="s">
        <v>45</v>
      </c>
      <c r="G263" s="229" t="s">
        <v>1178</v>
      </c>
      <c r="H263" s="229" t="s">
        <v>1204</v>
      </c>
      <c r="I263" s="229" t="s">
        <v>1180</v>
      </c>
      <c r="J263" s="229" t="s">
        <v>618</v>
      </c>
      <c r="K263" s="231" t="s">
        <v>619</v>
      </c>
    </row>
    <row r="264" spans="1:11" s="226" customFormat="1" ht="9.6" customHeight="1" x14ac:dyDescent="0.2">
      <c r="A264" s="229" t="str">
        <f>T_P_BilanSocial[[#This Row],[Nom]]&amp;T_P_BilanSocial[[#This Row],[Prenom]]</f>
        <v>DUBOULOZ-MONETValérie</v>
      </c>
      <c r="B264" s="228" t="s">
        <v>2527</v>
      </c>
      <c r="C264" s="229" t="s">
        <v>676</v>
      </c>
      <c r="D264" s="233" t="s">
        <v>621</v>
      </c>
      <c r="E264" s="229" t="s">
        <v>1184</v>
      </c>
      <c r="F264" s="230" t="s">
        <v>308</v>
      </c>
      <c r="G264" s="229" t="s">
        <v>1476</v>
      </c>
      <c r="H264" s="229" t="s">
        <v>1477</v>
      </c>
      <c r="I264" s="229" t="s">
        <v>1180</v>
      </c>
      <c r="J264" s="229" t="s">
        <v>684</v>
      </c>
      <c r="K264" s="231" t="s">
        <v>341</v>
      </c>
    </row>
    <row r="265" spans="1:11" s="226" customFormat="1" ht="9.6" customHeight="1" x14ac:dyDescent="0.2">
      <c r="A265" s="229" t="str">
        <f>T_P_BilanSocial[[#This Row],[Nom]]&amp;T_P_BilanSocial[[#This Row],[Prenom]]</f>
        <v>DUCHANAUDVALÉRIE</v>
      </c>
      <c r="B265" s="228" t="s">
        <v>1541</v>
      </c>
      <c r="C265" s="229" t="s">
        <v>672</v>
      </c>
      <c r="D265" s="229" t="s">
        <v>1308</v>
      </c>
      <c r="E265" s="229" t="s">
        <v>1184</v>
      </c>
      <c r="F265" s="230" t="s">
        <v>445</v>
      </c>
      <c r="G265" s="229" t="s">
        <v>1178</v>
      </c>
      <c r="H265" s="229" t="s">
        <v>1204</v>
      </c>
      <c r="I265" s="229" t="s">
        <v>1180</v>
      </c>
      <c r="J265" s="229" t="s">
        <v>674</v>
      </c>
      <c r="K265" s="232" t="s">
        <v>675</v>
      </c>
    </row>
    <row r="266" spans="1:11" s="226" customFormat="1" ht="9.6" customHeight="1" x14ac:dyDescent="0.2">
      <c r="A266" s="229" t="str">
        <f>T_P_BilanSocial[[#This Row],[Nom]]&amp;T_P_BilanSocial[[#This Row],[Prenom]]</f>
        <v>DUCHETEspérance</v>
      </c>
      <c r="B266" s="228" t="s">
        <v>1723</v>
      </c>
      <c r="C266" s="229" t="s">
        <v>554</v>
      </c>
      <c r="D266" s="235" t="s">
        <v>555</v>
      </c>
      <c r="E266" s="229" t="s">
        <v>1184</v>
      </c>
      <c r="F266" s="230" t="s">
        <v>45</v>
      </c>
      <c r="G266" s="229" t="s">
        <v>1178</v>
      </c>
      <c r="H266" s="229" t="s">
        <v>1204</v>
      </c>
      <c r="I266" s="229" t="s">
        <v>1180</v>
      </c>
      <c r="J266" s="229" t="s">
        <v>329</v>
      </c>
      <c r="K266" s="231" t="s">
        <v>330</v>
      </c>
    </row>
    <row r="267" spans="1:11" s="226" customFormat="1" ht="9.6" customHeight="1" x14ac:dyDescent="0.2">
      <c r="A267" s="229" t="str">
        <f>T_P_BilanSocial[[#This Row],[Nom]]&amp;T_P_BilanSocial[[#This Row],[Prenom]]</f>
        <v>DUCOURTIOUXDANUTA</v>
      </c>
      <c r="B267" s="228" t="s">
        <v>1318</v>
      </c>
      <c r="C267" s="229" t="s">
        <v>1319</v>
      </c>
      <c r="D267" s="229" t="s">
        <v>1320</v>
      </c>
      <c r="E267" s="229" t="s">
        <v>1184</v>
      </c>
      <c r="F267" s="230" t="s">
        <v>308</v>
      </c>
      <c r="G267" s="229" t="s">
        <v>1178</v>
      </c>
      <c r="H267" s="229" t="s">
        <v>1204</v>
      </c>
      <c r="I267" s="229" t="s">
        <v>1180</v>
      </c>
      <c r="J267" s="229" t="s">
        <v>376</v>
      </c>
      <c r="K267" s="231" t="s">
        <v>341</v>
      </c>
    </row>
    <row r="268" spans="1:11" s="226" customFormat="1" ht="9.6" customHeight="1" x14ac:dyDescent="0.2">
      <c r="A268" s="229" t="str">
        <f>T_P_BilanSocial[[#This Row],[Nom]]&amp;T_P_BilanSocial[[#This Row],[Prenom]]</f>
        <v>DUCOURTIOUXMARTIN</v>
      </c>
      <c r="B268" s="228" t="s">
        <v>1965</v>
      </c>
      <c r="C268" s="229" t="s">
        <v>1319</v>
      </c>
      <c r="D268" s="229" t="s">
        <v>1628</v>
      </c>
      <c r="E268" s="229" t="s">
        <v>1177</v>
      </c>
      <c r="F268" s="230" t="s">
        <v>45</v>
      </c>
      <c r="G268" s="229" t="s">
        <v>1476</v>
      </c>
      <c r="H268" s="229" t="s">
        <v>1794</v>
      </c>
      <c r="I268" s="229" t="s">
        <v>1180</v>
      </c>
      <c r="J268" s="229" t="s">
        <v>376</v>
      </c>
      <c r="K268" s="231" t="s">
        <v>341</v>
      </c>
    </row>
    <row r="269" spans="1:11" s="226" customFormat="1" ht="9.6" customHeight="1" x14ac:dyDescent="0.2">
      <c r="A269" s="229" t="str">
        <f>T_P_BilanSocial[[#This Row],[Nom]]&amp;T_P_BilanSocial[[#This Row],[Prenom]]</f>
        <v>DULGERERIC</v>
      </c>
      <c r="B269" s="228" t="s">
        <v>2957</v>
      </c>
      <c r="C269" s="229" t="s">
        <v>2958</v>
      </c>
      <c r="D269" s="229" t="s">
        <v>1313</v>
      </c>
      <c r="E269" s="229" t="s">
        <v>1177</v>
      </c>
      <c r="F269" s="230" t="s">
        <v>45</v>
      </c>
      <c r="G269" s="229" t="s">
        <v>1476</v>
      </c>
      <c r="H269" s="229" t="s">
        <v>1794</v>
      </c>
      <c r="I269" s="229" t="s">
        <v>1180</v>
      </c>
      <c r="J269" s="229" t="s">
        <v>1726</v>
      </c>
      <c r="K269" s="231" t="s">
        <v>2366</v>
      </c>
    </row>
    <row r="270" spans="1:11" s="226" customFormat="1" ht="9.6" customHeight="1" x14ac:dyDescent="0.2">
      <c r="A270" s="229" t="str">
        <f>T_P_BilanSocial[[#This Row],[Nom]]&amp;T_P_BilanSocial[[#This Row],[Prenom]]</f>
        <v>DUMASODILE</v>
      </c>
      <c r="B270" s="228" t="s">
        <v>2547</v>
      </c>
      <c r="C270" s="229" t="s">
        <v>988</v>
      </c>
      <c r="D270" s="229" t="s">
        <v>1899</v>
      </c>
      <c r="E270" s="229" t="s">
        <v>1184</v>
      </c>
      <c r="F270" s="230" t="s">
        <v>45</v>
      </c>
      <c r="G270" s="229" t="s">
        <v>1476</v>
      </c>
      <c r="H270" s="229" t="s">
        <v>1794</v>
      </c>
      <c r="I270" s="229" t="s">
        <v>1180</v>
      </c>
      <c r="J270" s="229" t="s">
        <v>376</v>
      </c>
      <c r="K270" s="231" t="s">
        <v>341</v>
      </c>
    </row>
    <row r="271" spans="1:11" s="226" customFormat="1" ht="9.6" customHeight="1" x14ac:dyDescent="0.2">
      <c r="A271" s="229" t="str">
        <f>T_P_BilanSocial[[#This Row],[Nom]]&amp;T_P_BilanSocial[[#This Row],[Prenom]]</f>
        <v>DUMASALEXANE</v>
      </c>
      <c r="B271" s="228" t="s">
        <v>2892</v>
      </c>
      <c r="C271" s="229" t="s">
        <v>988</v>
      </c>
      <c r="D271" s="229" t="s">
        <v>2893</v>
      </c>
      <c r="E271" s="229" t="s">
        <v>1184</v>
      </c>
      <c r="F271" s="230" t="s">
        <v>45</v>
      </c>
      <c r="G271" s="229" t="s">
        <v>1476</v>
      </c>
      <c r="H271" s="229" t="s">
        <v>1794</v>
      </c>
      <c r="I271" s="229" t="s">
        <v>1180</v>
      </c>
      <c r="J271" s="229" t="s">
        <v>2894</v>
      </c>
      <c r="K271" s="231" t="s">
        <v>2895</v>
      </c>
    </row>
    <row r="272" spans="1:11" s="226" customFormat="1" ht="9.6" customHeight="1" x14ac:dyDescent="0.2">
      <c r="A272" s="229" t="str">
        <f>T_P_BilanSocial[[#This Row],[Nom]]&amp;T_P_BilanSocial[[#This Row],[Prenom]]</f>
        <v>DUPEYROUXCLEMENT</v>
      </c>
      <c r="B272" s="228" t="s">
        <v>2623</v>
      </c>
      <c r="C272" s="229" t="s">
        <v>2624</v>
      </c>
      <c r="D272" s="229" t="s">
        <v>2625</v>
      </c>
      <c r="E272" s="229" t="s">
        <v>1177</v>
      </c>
      <c r="F272" s="230" t="s">
        <v>45</v>
      </c>
      <c r="G272" s="229" t="s">
        <v>1476</v>
      </c>
      <c r="H272" s="229" t="s">
        <v>1794</v>
      </c>
      <c r="I272" s="229" t="s">
        <v>1180</v>
      </c>
      <c r="J272" s="229" t="s">
        <v>2292</v>
      </c>
      <c r="K272" s="231" t="s">
        <v>2626</v>
      </c>
    </row>
    <row r="273" spans="1:11" s="226" customFormat="1" ht="9.6" customHeight="1" x14ac:dyDescent="0.2">
      <c r="A273" s="229" t="str">
        <f>T_P_BilanSocial[[#This Row],[Nom]]&amp;T_P_BilanSocial[[#This Row],[Prenom]]</f>
        <v>DUPOIZATANGÉLIQUE</v>
      </c>
      <c r="B273" s="228" t="s">
        <v>2595</v>
      </c>
      <c r="C273" s="229" t="s">
        <v>2596</v>
      </c>
      <c r="D273" s="229" t="s">
        <v>2597</v>
      </c>
      <c r="E273" s="229" t="s">
        <v>1184</v>
      </c>
      <c r="F273" s="230" t="s">
        <v>45</v>
      </c>
      <c r="G273" s="229" t="s">
        <v>1476</v>
      </c>
      <c r="H273" s="229" t="s">
        <v>1794</v>
      </c>
      <c r="I273" s="229" t="s">
        <v>1180</v>
      </c>
      <c r="J273" s="229" t="s">
        <v>815</v>
      </c>
      <c r="K273" s="231" t="s">
        <v>794</v>
      </c>
    </row>
    <row r="274" spans="1:11" s="226" customFormat="1" ht="9.6" customHeight="1" x14ac:dyDescent="0.2">
      <c r="A274" s="229" t="str">
        <f>T_P_BilanSocial[[#This Row],[Nom]]&amp;T_P_BilanSocial[[#This Row],[Prenom]]</f>
        <v>DURAND-PETITANNE</v>
      </c>
      <c r="B274" s="228" t="s">
        <v>1256</v>
      </c>
      <c r="C274" s="229" t="s">
        <v>649</v>
      </c>
      <c r="D274" s="229" t="s">
        <v>1257</v>
      </c>
      <c r="E274" s="229" t="s">
        <v>1184</v>
      </c>
      <c r="F274" s="230" t="s">
        <v>445</v>
      </c>
      <c r="G274" s="229" t="s">
        <v>1178</v>
      </c>
      <c r="H274" s="229" t="s">
        <v>1204</v>
      </c>
      <c r="I274" s="229" t="s">
        <v>1180</v>
      </c>
      <c r="J274" s="229" t="s">
        <v>611</v>
      </c>
      <c r="K274" s="231" t="s">
        <v>341</v>
      </c>
    </row>
    <row r="275" spans="1:11" s="226" customFormat="1" ht="9.6" customHeight="1" x14ac:dyDescent="0.2">
      <c r="A275" s="229" t="str">
        <f>T_P_BilanSocial[[#This Row],[Nom]]&amp;T_P_BilanSocial[[#This Row],[Prenom]]</f>
        <v>DURIEUXVANESSA</v>
      </c>
      <c r="B275" s="228" t="s">
        <v>1491</v>
      </c>
      <c r="C275" s="229" t="s">
        <v>1492</v>
      </c>
      <c r="D275" s="229" t="s">
        <v>1493</v>
      </c>
      <c r="E275" s="229" t="s">
        <v>1184</v>
      </c>
      <c r="F275" s="230" t="s">
        <v>445</v>
      </c>
      <c r="G275" s="229" t="s">
        <v>1476</v>
      </c>
      <c r="H275" s="229" t="s">
        <v>1477</v>
      </c>
      <c r="I275" s="229" t="s">
        <v>1180</v>
      </c>
      <c r="J275" s="229" t="s">
        <v>1022</v>
      </c>
      <c r="K275" s="231" t="s">
        <v>1023</v>
      </c>
    </row>
    <row r="276" spans="1:11" s="226" customFormat="1" ht="9.6" customHeight="1" x14ac:dyDescent="0.2">
      <c r="A276" s="229" t="str">
        <f>T_P_BilanSocial[[#This Row],[Nom]]&amp;T_P_BilanSocial[[#This Row],[Prenom]]</f>
        <v>DUTILLEULVALERIE</v>
      </c>
      <c r="B276" s="228" t="s">
        <v>2175</v>
      </c>
      <c r="C276" s="229" t="s">
        <v>2176</v>
      </c>
      <c r="D276" s="229" t="s">
        <v>1905</v>
      </c>
      <c r="E276" s="229" t="s">
        <v>1184</v>
      </c>
      <c r="F276" s="230" t="s">
        <v>308</v>
      </c>
      <c r="G276" s="229" t="s">
        <v>1476</v>
      </c>
      <c r="H276" s="229" t="s">
        <v>1477</v>
      </c>
      <c r="I276" s="229" t="s">
        <v>1180</v>
      </c>
      <c r="J276" s="229" t="s">
        <v>376</v>
      </c>
      <c r="K276" s="231" t="s">
        <v>341</v>
      </c>
    </row>
    <row r="277" spans="1:11" s="226" customFormat="1" ht="9.6" customHeight="1" x14ac:dyDescent="0.2">
      <c r="A277" s="229" t="str">
        <f>T_P_BilanSocial[[#This Row],[Nom]]&amp;T_P_BilanSocial[[#This Row],[Prenom]]</f>
        <v>DUVAUCHELLEMARIE</v>
      </c>
      <c r="B277" s="228" t="s">
        <v>2970</v>
      </c>
      <c r="C277" s="229" t="s">
        <v>2971</v>
      </c>
      <c r="D277" s="229" t="s">
        <v>2090</v>
      </c>
      <c r="E277" s="229" t="s">
        <v>1184</v>
      </c>
      <c r="F277" s="230" t="s">
        <v>445</v>
      </c>
      <c r="G277" s="229" t="s">
        <v>1476</v>
      </c>
      <c r="H277" s="229" t="s">
        <v>1794</v>
      </c>
      <c r="I277" s="229"/>
      <c r="J277" s="229"/>
      <c r="K277" s="231"/>
    </row>
    <row r="278" spans="1:11" s="226" customFormat="1" ht="9.6" customHeight="1" x14ac:dyDescent="0.2">
      <c r="A278" s="229" t="str">
        <f>T_P_BilanSocial[[#This Row],[Nom]]&amp;T_P_BilanSocial[[#This Row],[Prenom]]</f>
        <v>DUVIVIERFLORENCE</v>
      </c>
      <c r="B278" s="228" t="s">
        <v>2008</v>
      </c>
      <c r="C278" s="229" t="s">
        <v>2009</v>
      </c>
      <c r="D278" s="229" t="s">
        <v>1241</v>
      </c>
      <c r="E278" s="229" t="s">
        <v>1184</v>
      </c>
      <c r="F278" s="230" t="s">
        <v>45</v>
      </c>
      <c r="G278" s="229" t="s">
        <v>1476</v>
      </c>
      <c r="H278" s="229" t="s">
        <v>1794</v>
      </c>
      <c r="I278" s="229" t="s">
        <v>1180</v>
      </c>
      <c r="J278" s="229" t="s">
        <v>376</v>
      </c>
      <c r="K278" s="231" t="s">
        <v>341</v>
      </c>
    </row>
    <row r="279" spans="1:11" s="226" customFormat="1" ht="9.6" customHeight="1" x14ac:dyDescent="0.2">
      <c r="A279" s="229" t="str">
        <f>T_P_BilanSocial[[#This Row],[Nom]]&amp;T_P_BilanSocial[[#This Row],[Prenom]]</f>
        <v>EDOMARIA-PAULA</v>
      </c>
      <c r="B279" s="228" t="s">
        <v>2241</v>
      </c>
      <c r="C279" s="229" t="s">
        <v>978</v>
      </c>
      <c r="D279" s="229" t="s">
        <v>2242</v>
      </c>
      <c r="E279" s="229" t="s">
        <v>1184</v>
      </c>
      <c r="F279" s="230" t="s">
        <v>308</v>
      </c>
      <c r="G279" s="229" t="s">
        <v>1476</v>
      </c>
      <c r="H279" s="229" t="s">
        <v>1477</v>
      </c>
      <c r="I279" s="229" t="s">
        <v>1180</v>
      </c>
      <c r="J279" s="229" t="s">
        <v>1099</v>
      </c>
      <c r="K279" s="231" t="s">
        <v>1100</v>
      </c>
    </row>
    <row r="280" spans="1:11" s="226" customFormat="1" ht="9.6" customHeight="1" x14ac:dyDescent="0.2">
      <c r="A280" s="229" t="str">
        <f>T_P_BilanSocial[[#This Row],[Nom]]&amp;T_P_BilanSocial[[#This Row],[Prenom]]</f>
        <v>EDOMANAÏS</v>
      </c>
      <c r="B280" s="228" t="s">
        <v>2881</v>
      </c>
      <c r="C280" s="229" t="s">
        <v>872</v>
      </c>
      <c r="D280" s="229" t="s">
        <v>2707</v>
      </c>
      <c r="E280" s="229" t="s">
        <v>1184</v>
      </c>
      <c r="F280" s="230" t="s">
        <v>445</v>
      </c>
      <c r="G280" s="229" t="s">
        <v>1476</v>
      </c>
      <c r="H280" s="229" t="s">
        <v>1794</v>
      </c>
      <c r="I280" s="229" t="s">
        <v>1180</v>
      </c>
      <c r="J280" s="229" t="s">
        <v>320</v>
      </c>
      <c r="K280" s="231" t="s">
        <v>321</v>
      </c>
    </row>
    <row r="281" spans="1:11" s="226" customFormat="1" ht="9.6" customHeight="1" x14ac:dyDescent="0.2">
      <c r="A281" s="229" t="str">
        <f>T_P_BilanSocial[[#This Row],[Nom]]&amp;T_P_BilanSocial[[#This Row],[Prenom]]</f>
        <v>EGGERTHIERRY</v>
      </c>
      <c r="B281" s="228" t="s">
        <v>1845</v>
      </c>
      <c r="C281" s="229" t="s">
        <v>1846</v>
      </c>
      <c r="D281" s="229" t="s">
        <v>1317</v>
      </c>
      <c r="E281" s="229" t="s">
        <v>1177</v>
      </c>
      <c r="F281" s="230" t="s">
        <v>445</v>
      </c>
      <c r="G281" s="229" t="s">
        <v>1178</v>
      </c>
      <c r="H281" s="229" t="s">
        <v>1204</v>
      </c>
      <c r="I281" s="229" t="s">
        <v>1180</v>
      </c>
      <c r="J281" s="229" t="s">
        <v>520</v>
      </c>
      <c r="K281" s="231" t="s">
        <v>341</v>
      </c>
    </row>
    <row r="282" spans="1:11" s="226" customFormat="1" ht="9.6" customHeight="1" x14ac:dyDescent="0.2">
      <c r="A282" s="229" t="str">
        <f>T_P_BilanSocial[[#This Row],[Nom]]&amp;T_P_BilanSocial[[#This Row],[Prenom]]</f>
        <v>EL AJMIHOUAIDA</v>
      </c>
      <c r="B282" s="228" t="s">
        <v>2119</v>
      </c>
      <c r="C282" s="229" t="s">
        <v>976</v>
      </c>
      <c r="D282" s="229" t="s">
        <v>2120</v>
      </c>
      <c r="E282" s="229" t="s">
        <v>1184</v>
      </c>
      <c r="F282" s="230" t="s">
        <v>445</v>
      </c>
      <c r="G282" s="229" t="s">
        <v>1178</v>
      </c>
      <c r="H282" s="229" t="s">
        <v>1179</v>
      </c>
      <c r="I282" s="229" t="s">
        <v>1180</v>
      </c>
      <c r="J282" s="229" t="s">
        <v>376</v>
      </c>
      <c r="K282" s="231" t="s">
        <v>341</v>
      </c>
    </row>
    <row r="283" spans="1:11" s="226" customFormat="1" ht="9.6" customHeight="1" x14ac:dyDescent="0.2">
      <c r="A283" s="229" t="str">
        <f>T_P_BilanSocial[[#This Row],[Nom]]&amp;T_P_BilanSocial[[#This Row],[Prenom]]</f>
        <v>EL GALAISABAH</v>
      </c>
      <c r="B283" s="228" t="s">
        <v>2125</v>
      </c>
      <c r="C283" s="229" t="s">
        <v>971</v>
      </c>
      <c r="D283" s="229" t="s">
        <v>2126</v>
      </c>
      <c r="E283" s="229" t="s">
        <v>1184</v>
      </c>
      <c r="F283" s="230" t="s">
        <v>445</v>
      </c>
      <c r="G283" s="229" t="s">
        <v>1178</v>
      </c>
      <c r="H283" s="229" t="s">
        <v>1204</v>
      </c>
      <c r="I283" s="229" t="s">
        <v>1180</v>
      </c>
      <c r="J283" s="229" t="s">
        <v>611</v>
      </c>
      <c r="K283" s="231" t="s">
        <v>341</v>
      </c>
    </row>
    <row r="284" spans="1:11" s="226" customFormat="1" ht="9.6" customHeight="1" x14ac:dyDescent="0.2">
      <c r="A284" s="229" t="str">
        <f>T_P_BilanSocial[[#This Row],[Nom]]&amp;T_P_BilanSocial[[#This Row],[Prenom]]</f>
        <v>ELIEBRUNO</v>
      </c>
      <c r="B284" s="228" t="s">
        <v>1756</v>
      </c>
      <c r="C284" s="229" t="s">
        <v>735</v>
      </c>
      <c r="D284" s="229" t="s">
        <v>1632</v>
      </c>
      <c r="E284" s="229" t="s">
        <v>1177</v>
      </c>
      <c r="F284" s="230" t="s">
        <v>445</v>
      </c>
      <c r="G284" s="229" t="s">
        <v>1178</v>
      </c>
      <c r="H284" s="229" t="s">
        <v>1204</v>
      </c>
      <c r="I284" s="229" t="s">
        <v>1180</v>
      </c>
      <c r="J284" s="229" t="s">
        <v>736</v>
      </c>
      <c r="K284" s="231" t="s">
        <v>737</v>
      </c>
    </row>
    <row r="285" spans="1:11" s="226" customFormat="1" ht="9.6" customHeight="1" x14ac:dyDescent="0.2">
      <c r="A285" s="229" t="str">
        <f>T_P_BilanSocial[[#This Row],[Nom]]&amp;T_P_BilanSocial[[#This Row],[Prenom]]</f>
        <v>ELISABETHFABRICE</v>
      </c>
      <c r="B285" s="228" t="s">
        <v>2591</v>
      </c>
      <c r="C285" s="229" t="s">
        <v>1511</v>
      </c>
      <c r="D285" s="229" t="s">
        <v>1482</v>
      </c>
      <c r="E285" s="229" t="s">
        <v>1177</v>
      </c>
      <c r="F285" s="230" t="s">
        <v>45</v>
      </c>
      <c r="G285" s="229" t="s">
        <v>1476</v>
      </c>
      <c r="H285" s="229" t="s">
        <v>1794</v>
      </c>
      <c r="I285" s="229" t="s">
        <v>1180</v>
      </c>
      <c r="J285" s="229" t="s">
        <v>376</v>
      </c>
      <c r="K285" s="231" t="s">
        <v>341</v>
      </c>
    </row>
    <row r="286" spans="1:11" s="226" customFormat="1" ht="9.6" customHeight="1" x14ac:dyDescent="0.2">
      <c r="A286" s="229" t="str">
        <f>T_P_BilanSocial[[#This Row],[Nom]]&amp;T_P_BilanSocial[[#This Row],[Prenom]]</f>
        <v>ESPAZAANTOINE</v>
      </c>
      <c r="B286" s="228" t="s">
        <v>2236</v>
      </c>
      <c r="C286" s="229" t="s">
        <v>2237</v>
      </c>
      <c r="D286" s="229" t="s">
        <v>2238</v>
      </c>
      <c r="E286" s="229" t="s">
        <v>1177</v>
      </c>
      <c r="F286" s="230" t="s">
        <v>308</v>
      </c>
      <c r="G286" s="229" t="s">
        <v>1178</v>
      </c>
      <c r="H286" s="229" t="s">
        <v>1204</v>
      </c>
      <c r="I286" s="229" t="s">
        <v>1180</v>
      </c>
      <c r="J286" s="229" t="s">
        <v>376</v>
      </c>
      <c r="K286" s="231" t="s">
        <v>341</v>
      </c>
    </row>
    <row r="287" spans="1:11" s="226" customFormat="1" ht="9.6" customHeight="1" x14ac:dyDescent="0.2">
      <c r="A287" s="229" t="str">
        <f>T_P_BilanSocial[[#This Row],[Nom]]&amp;T_P_BilanSocial[[#This Row],[Prenom]]</f>
        <v>ESPELDANIEL</v>
      </c>
      <c r="B287" s="228" t="s">
        <v>1775</v>
      </c>
      <c r="C287" s="229" t="s">
        <v>1776</v>
      </c>
      <c r="D287" s="229" t="s">
        <v>1777</v>
      </c>
      <c r="E287" s="229" t="s">
        <v>1177</v>
      </c>
      <c r="F287" s="230" t="s">
        <v>308</v>
      </c>
      <c r="G287" s="229" t="s">
        <v>1178</v>
      </c>
      <c r="H287" s="229" t="s">
        <v>1179</v>
      </c>
      <c r="I287" s="229" t="s">
        <v>1180</v>
      </c>
      <c r="J287" s="229" t="s">
        <v>1561</v>
      </c>
      <c r="K287" s="231" t="s">
        <v>1562</v>
      </c>
    </row>
    <row r="288" spans="1:11" s="226" customFormat="1" ht="9.6" customHeight="1" x14ac:dyDescent="0.2">
      <c r="A288" s="229" t="str">
        <f>T_P_BilanSocial[[#This Row],[Nom]]&amp;T_P_BilanSocial[[#This Row],[Prenom]]</f>
        <v>ETIEVANTCECILE</v>
      </c>
      <c r="B288" s="228" t="s">
        <v>2482</v>
      </c>
      <c r="C288" s="229" t="s">
        <v>2483</v>
      </c>
      <c r="D288" s="229" t="s">
        <v>1867</v>
      </c>
      <c r="E288" s="229" t="s">
        <v>1184</v>
      </c>
      <c r="F288" s="230" t="s">
        <v>308</v>
      </c>
      <c r="G288" s="229" t="s">
        <v>1476</v>
      </c>
      <c r="H288" s="229" t="s">
        <v>1794</v>
      </c>
      <c r="I288" s="229" t="s">
        <v>1180</v>
      </c>
      <c r="J288" s="229" t="s">
        <v>2484</v>
      </c>
      <c r="K288" s="231" t="s">
        <v>2485</v>
      </c>
    </row>
    <row r="289" spans="1:11" s="226" customFormat="1" ht="9.6" customHeight="1" x14ac:dyDescent="0.2">
      <c r="A289" s="229" t="str">
        <f>T_P_BilanSocial[[#This Row],[Nom]]&amp;T_P_BilanSocial[[#This Row],[Prenom]]</f>
        <v>FABREARMELLE</v>
      </c>
      <c r="B289" s="228" t="s">
        <v>1185</v>
      </c>
      <c r="C289" s="229" t="s">
        <v>932</v>
      </c>
      <c r="D289" s="229" t="s">
        <v>1186</v>
      </c>
      <c r="E289" s="229" t="s">
        <v>1184</v>
      </c>
      <c r="F289" s="230" t="s">
        <v>308</v>
      </c>
      <c r="G289" s="229" t="s">
        <v>1178</v>
      </c>
      <c r="H289" s="229" t="s">
        <v>1179</v>
      </c>
      <c r="I289" s="229" t="s">
        <v>1180</v>
      </c>
      <c r="J289" s="229" t="s">
        <v>353</v>
      </c>
      <c r="K289" s="231" t="s">
        <v>354</v>
      </c>
    </row>
    <row r="290" spans="1:11" s="226" customFormat="1" ht="9.6" customHeight="1" x14ac:dyDescent="0.2">
      <c r="A290" s="229" t="str">
        <f>T_P_BilanSocial[[#This Row],[Nom]]&amp;T_P_BilanSocial[[#This Row],[Prenom]]</f>
        <v>FANTOUSSINAIMA</v>
      </c>
      <c r="B290" s="228" t="s">
        <v>2944</v>
      </c>
      <c r="C290" s="229" t="s">
        <v>2945</v>
      </c>
      <c r="D290" s="229" t="s">
        <v>2946</v>
      </c>
      <c r="E290" s="229" t="s">
        <v>1184</v>
      </c>
      <c r="F290" s="230" t="s">
        <v>445</v>
      </c>
      <c r="G290" s="229" t="s">
        <v>1476</v>
      </c>
      <c r="H290" s="229" t="s">
        <v>1794</v>
      </c>
      <c r="I290" s="229" t="s">
        <v>1180</v>
      </c>
      <c r="J290" s="229" t="s">
        <v>559</v>
      </c>
      <c r="K290" s="231" t="s">
        <v>560</v>
      </c>
    </row>
    <row r="291" spans="1:11" s="226" customFormat="1" ht="9.6" customHeight="1" x14ac:dyDescent="0.2">
      <c r="A291" s="229" t="str">
        <f>T_P_BilanSocial[[#This Row],[Nom]]&amp;T_P_BilanSocial[[#This Row],[Prenom]]</f>
        <v>FAUREDANIELLE</v>
      </c>
      <c r="B291" s="228" t="s">
        <v>1226</v>
      </c>
      <c r="C291" s="229" t="s">
        <v>1227</v>
      </c>
      <c r="D291" s="229" t="s">
        <v>1228</v>
      </c>
      <c r="E291" s="229" t="s">
        <v>1184</v>
      </c>
      <c r="F291" s="230" t="s">
        <v>445</v>
      </c>
      <c r="G291" s="229" t="s">
        <v>1178</v>
      </c>
      <c r="H291" s="229" t="s">
        <v>1179</v>
      </c>
      <c r="I291" s="229" t="s">
        <v>1180</v>
      </c>
      <c r="J291" s="229" t="s">
        <v>607</v>
      </c>
      <c r="K291" s="231" t="s">
        <v>608</v>
      </c>
    </row>
    <row r="292" spans="1:11" s="226" customFormat="1" ht="9.6" customHeight="1" x14ac:dyDescent="0.2">
      <c r="A292" s="229" t="str">
        <f>T_P_BilanSocial[[#This Row],[Nom]]&amp;T_P_BilanSocial[[#This Row],[Prenom]]</f>
        <v>FAYECHEIKH OUSMANE</v>
      </c>
      <c r="B292" s="228" t="s">
        <v>2829</v>
      </c>
      <c r="C292" s="229" t="s">
        <v>2830</v>
      </c>
      <c r="D292" s="229" t="s">
        <v>2831</v>
      </c>
      <c r="E292" s="229" t="s">
        <v>1177</v>
      </c>
      <c r="F292" s="230" t="s">
        <v>308</v>
      </c>
      <c r="G292" s="229" t="s">
        <v>1476</v>
      </c>
      <c r="H292" s="229" t="s">
        <v>1794</v>
      </c>
      <c r="I292" s="229" t="s">
        <v>1180</v>
      </c>
      <c r="J292" s="229" t="s">
        <v>353</v>
      </c>
      <c r="K292" s="231" t="s">
        <v>354</v>
      </c>
    </row>
    <row r="293" spans="1:11" s="226" customFormat="1" ht="9.6" customHeight="1" x14ac:dyDescent="0.2">
      <c r="A293" s="229" t="str">
        <f>T_P_BilanSocial[[#This Row],[Nom]]&amp;T_P_BilanSocial[[#This Row],[Prenom]]</f>
        <v>FEBVRETVÉRONIQUE</v>
      </c>
      <c r="B293" s="228" t="s">
        <v>1699</v>
      </c>
      <c r="C293" s="229" t="s">
        <v>946</v>
      </c>
      <c r="D293" s="229" t="s">
        <v>1237</v>
      </c>
      <c r="E293" s="229" t="s">
        <v>1184</v>
      </c>
      <c r="F293" s="230" t="s">
        <v>45</v>
      </c>
      <c r="G293" s="229" t="s">
        <v>1178</v>
      </c>
      <c r="H293" s="229" t="s">
        <v>1435</v>
      </c>
      <c r="I293" s="229" t="s">
        <v>1180</v>
      </c>
      <c r="J293" s="229" t="s">
        <v>320</v>
      </c>
      <c r="K293" s="231" t="s">
        <v>341</v>
      </c>
    </row>
    <row r="294" spans="1:11" s="226" customFormat="1" ht="9.6" customHeight="1" x14ac:dyDescent="0.2">
      <c r="A294" s="229" t="str">
        <f>T_P_BilanSocial[[#This Row],[Nom]]&amp;T_P_BilanSocial[[#This Row],[Prenom]]</f>
        <v>FEREZMURIELLE</v>
      </c>
      <c r="B294" s="228" t="s">
        <v>1383</v>
      </c>
      <c r="C294" s="229" t="s">
        <v>1384</v>
      </c>
      <c r="D294" s="229" t="s">
        <v>1385</v>
      </c>
      <c r="E294" s="229" t="s">
        <v>1184</v>
      </c>
      <c r="F294" s="230" t="s">
        <v>45</v>
      </c>
      <c r="G294" s="229" t="s">
        <v>1178</v>
      </c>
      <c r="H294" s="229" t="s">
        <v>1204</v>
      </c>
      <c r="I294" s="229" t="s">
        <v>1180</v>
      </c>
      <c r="J294" s="229" t="s">
        <v>841</v>
      </c>
      <c r="K294" s="231" t="s">
        <v>842</v>
      </c>
    </row>
    <row r="295" spans="1:11" s="226" customFormat="1" ht="9.6" customHeight="1" x14ac:dyDescent="0.2">
      <c r="A295" s="229" t="str">
        <f>T_P_BilanSocial[[#This Row],[Nom]]&amp;T_P_BilanSocial[[#This Row],[Prenom]]</f>
        <v>FERNANDESJÉRÉMIE</v>
      </c>
      <c r="B295" s="228" t="s">
        <v>2264</v>
      </c>
      <c r="C295" s="229" t="s">
        <v>840</v>
      </c>
      <c r="D295" s="229" t="s">
        <v>2265</v>
      </c>
      <c r="E295" s="229" t="s">
        <v>1177</v>
      </c>
      <c r="F295" s="230" t="s">
        <v>308</v>
      </c>
      <c r="G295" s="229" t="s">
        <v>1476</v>
      </c>
      <c r="H295" s="229" t="s">
        <v>1477</v>
      </c>
      <c r="I295" s="229" t="s">
        <v>1180</v>
      </c>
      <c r="J295" s="229" t="s">
        <v>841</v>
      </c>
      <c r="K295" s="231" t="s">
        <v>842</v>
      </c>
    </row>
    <row r="296" spans="1:11" s="226" customFormat="1" ht="9.6" customHeight="1" x14ac:dyDescent="0.2">
      <c r="A296" s="229" t="str">
        <f>T_P_BilanSocial[[#This Row],[Nom]]&amp;T_P_BilanSocial[[#This Row],[Prenom]]</f>
        <v>FERNANEMARGOT</v>
      </c>
      <c r="B296" s="228" t="s">
        <v>2965</v>
      </c>
      <c r="C296" s="229" t="s">
        <v>2966</v>
      </c>
      <c r="D296" s="229" t="s">
        <v>2967</v>
      </c>
      <c r="E296" s="229" t="s">
        <v>1184</v>
      </c>
      <c r="F296" s="230" t="s">
        <v>308</v>
      </c>
      <c r="G296" s="229" t="s">
        <v>1476</v>
      </c>
      <c r="H296" s="229" t="s">
        <v>1794</v>
      </c>
      <c r="I296" s="229" t="s">
        <v>1180</v>
      </c>
      <c r="J296" s="229" t="s">
        <v>626</v>
      </c>
      <c r="K296" s="231" t="s">
        <v>341</v>
      </c>
    </row>
    <row r="297" spans="1:11" s="226" customFormat="1" ht="9.6" customHeight="1" x14ac:dyDescent="0.2">
      <c r="A297" s="229" t="str">
        <f>T_P_BilanSocial[[#This Row],[Nom]]&amp;T_P_BilanSocial[[#This Row],[Prenom]]</f>
        <v>FERRANTECHRISTINE</v>
      </c>
      <c r="B297" s="228" t="s">
        <v>1457</v>
      </c>
      <c r="C297" s="229" t="s">
        <v>1458</v>
      </c>
      <c r="D297" s="229" t="s">
        <v>1447</v>
      </c>
      <c r="E297" s="229" t="s">
        <v>1184</v>
      </c>
      <c r="F297" s="230" t="s">
        <v>45</v>
      </c>
      <c r="G297" s="229" t="s">
        <v>1178</v>
      </c>
      <c r="H297" s="229" t="s">
        <v>1435</v>
      </c>
      <c r="I297" s="229" t="s">
        <v>1180</v>
      </c>
      <c r="J297" s="229" t="s">
        <v>340</v>
      </c>
      <c r="K297" s="231" t="s">
        <v>341</v>
      </c>
    </row>
    <row r="298" spans="1:11" s="226" customFormat="1" ht="9.6" customHeight="1" x14ac:dyDescent="0.2">
      <c r="A298" s="229" t="str">
        <f>T_P_BilanSocial[[#This Row],[Nom]]&amp;T_P_BilanSocial[[#This Row],[Prenom]]</f>
        <v>FERREIRO CASILLASFATIMA</v>
      </c>
      <c r="B298" s="228" t="s">
        <v>1931</v>
      </c>
      <c r="C298" s="229" t="s">
        <v>1932</v>
      </c>
      <c r="D298" s="229" t="s">
        <v>1933</v>
      </c>
      <c r="E298" s="229" t="s">
        <v>1184</v>
      </c>
      <c r="F298" s="230" t="s">
        <v>445</v>
      </c>
      <c r="G298" s="229" t="s">
        <v>1178</v>
      </c>
      <c r="H298" s="229" t="s">
        <v>1204</v>
      </c>
      <c r="I298" s="229" t="s">
        <v>1180</v>
      </c>
      <c r="J298" s="229" t="s">
        <v>481</v>
      </c>
      <c r="K298" s="231" t="s">
        <v>341</v>
      </c>
    </row>
    <row r="299" spans="1:11" s="226" customFormat="1" ht="9.6" customHeight="1" x14ac:dyDescent="0.2">
      <c r="A299" s="229" t="str">
        <f>T_P_BilanSocial[[#This Row],[Nom]]&amp;T_P_BilanSocial[[#This Row],[Prenom]]</f>
        <v>FERRERONSFABIENNE</v>
      </c>
      <c r="B299" s="228" t="s">
        <v>2789</v>
      </c>
      <c r="C299" s="229" t="s">
        <v>829</v>
      </c>
      <c r="D299" s="229" t="s">
        <v>1543</v>
      </c>
      <c r="E299" s="229" t="s">
        <v>1184</v>
      </c>
      <c r="F299" s="230" t="s">
        <v>45</v>
      </c>
      <c r="G299" s="229" t="s">
        <v>1476</v>
      </c>
      <c r="H299" s="229" t="s">
        <v>1794</v>
      </c>
      <c r="I299" s="229" t="s">
        <v>1180</v>
      </c>
      <c r="J299" s="229" t="s">
        <v>420</v>
      </c>
      <c r="K299" s="231" t="s">
        <v>421</v>
      </c>
    </row>
    <row r="300" spans="1:11" s="226" customFormat="1" ht="9.6" customHeight="1" x14ac:dyDescent="0.2">
      <c r="A300" s="229" t="str">
        <f>T_P_BilanSocial[[#This Row],[Nom]]&amp;T_P_BilanSocial[[#This Row],[Prenom]]</f>
        <v>FERRETELISE</v>
      </c>
      <c r="B300" s="228" t="s">
        <v>2468</v>
      </c>
      <c r="C300" s="229" t="s">
        <v>2469</v>
      </c>
      <c r="D300" s="229" t="s">
        <v>1677</v>
      </c>
      <c r="E300" s="229" t="s">
        <v>1184</v>
      </c>
      <c r="F300" s="230" t="s">
        <v>308</v>
      </c>
      <c r="G300" s="229" t="s">
        <v>1476</v>
      </c>
      <c r="H300" s="229" t="s">
        <v>1794</v>
      </c>
      <c r="I300" s="229" t="s">
        <v>1180</v>
      </c>
      <c r="J300" s="229" t="s">
        <v>665</v>
      </c>
      <c r="K300" s="231" t="s">
        <v>1306</v>
      </c>
    </row>
    <row r="301" spans="1:11" s="226" customFormat="1" ht="9.6" customHeight="1" x14ac:dyDescent="0.2">
      <c r="A301" s="229" t="str">
        <f>T_P_BilanSocial[[#This Row],[Nom]]&amp;T_P_BilanSocial[[#This Row],[Prenom]]</f>
        <v>FERRY-FERCHATANNICK</v>
      </c>
      <c r="B301" s="228" t="s">
        <v>1214</v>
      </c>
      <c r="C301" s="233" t="s">
        <v>786</v>
      </c>
      <c r="D301" s="229" t="s">
        <v>1215</v>
      </c>
      <c r="E301" s="229" t="s">
        <v>1184</v>
      </c>
      <c r="F301" s="230" t="s">
        <v>45</v>
      </c>
      <c r="G301" s="229" t="s">
        <v>1178</v>
      </c>
      <c r="H301" s="229" t="s">
        <v>1179</v>
      </c>
      <c r="I301" s="229" t="s">
        <v>1180</v>
      </c>
      <c r="J301" s="229" t="s">
        <v>376</v>
      </c>
      <c r="K301" s="231" t="s">
        <v>341</v>
      </c>
    </row>
    <row r="302" spans="1:11" s="226" customFormat="1" ht="9.6" customHeight="1" x14ac:dyDescent="0.2">
      <c r="A302" s="229" t="str">
        <f>T_P_BilanSocial[[#This Row],[Nom]]&amp;T_P_BilanSocial[[#This Row],[Prenom]]</f>
        <v>FILLONLAURENT</v>
      </c>
      <c r="B302" s="228" t="s">
        <v>1798</v>
      </c>
      <c r="C302" s="229" t="s">
        <v>485</v>
      </c>
      <c r="D302" s="229" t="s">
        <v>1799</v>
      </c>
      <c r="E302" s="229" t="s">
        <v>1177</v>
      </c>
      <c r="F302" s="230" t="s">
        <v>445</v>
      </c>
      <c r="G302" s="229" t="s">
        <v>1178</v>
      </c>
      <c r="H302" s="229" t="s">
        <v>1204</v>
      </c>
      <c r="I302" s="229" t="s">
        <v>1180</v>
      </c>
      <c r="J302" s="229" t="s">
        <v>841</v>
      </c>
      <c r="K302" s="231" t="s">
        <v>842</v>
      </c>
    </row>
    <row r="303" spans="1:11" s="226" customFormat="1" ht="9.6" customHeight="1" x14ac:dyDescent="0.2">
      <c r="A303" s="229" t="str">
        <f>T_P_BilanSocial[[#This Row],[Nom]]&amp;T_P_BilanSocial[[#This Row],[Prenom]]</f>
        <v>FINIGUERNIYOAN</v>
      </c>
      <c r="B303" s="228" t="s">
        <v>2530</v>
      </c>
      <c r="C303" s="229" t="s">
        <v>2531</v>
      </c>
      <c r="D303" s="229" t="s">
        <v>2532</v>
      </c>
      <c r="E303" s="229" t="s">
        <v>1177</v>
      </c>
      <c r="F303" s="230" t="s">
        <v>45</v>
      </c>
      <c r="G303" s="229" t="s">
        <v>1476</v>
      </c>
      <c r="H303" s="229" t="s">
        <v>1794</v>
      </c>
      <c r="I303" s="229" t="s">
        <v>1180</v>
      </c>
      <c r="J303" s="229" t="s">
        <v>340</v>
      </c>
      <c r="K303" s="231" t="s">
        <v>341</v>
      </c>
    </row>
    <row r="304" spans="1:11" s="226" customFormat="1" ht="9.6" customHeight="1" x14ac:dyDescent="0.2">
      <c r="A304" s="229" t="str">
        <f>T_P_BilanSocial[[#This Row],[Nom]]&amp;T_P_BilanSocial[[#This Row],[Prenom]]</f>
        <v>FLECHETMAGALI</v>
      </c>
      <c r="B304" s="228" t="s">
        <v>1565</v>
      </c>
      <c r="C304" s="229" t="s">
        <v>753</v>
      </c>
      <c r="D304" s="229" t="s">
        <v>1301</v>
      </c>
      <c r="E304" s="229" t="s">
        <v>1184</v>
      </c>
      <c r="F304" s="230" t="s">
        <v>445</v>
      </c>
      <c r="G304" s="229" t="s">
        <v>1178</v>
      </c>
      <c r="H304" s="229" t="s">
        <v>1204</v>
      </c>
      <c r="I304" s="229" t="s">
        <v>1180</v>
      </c>
      <c r="J304" s="229" t="s">
        <v>420</v>
      </c>
      <c r="K304" s="231" t="s">
        <v>421</v>
      </c>
    </row>
    <row r="305" spans="1:11" s="226" customFormat="1" ht="9.6" customHeight="1" x14ac:dyDescent="0.2">
      <c r="A305" s="229" t="str">
        <f>T_P_BilanSocial[[#This Row],[Nom]]&amp;T_P_BilanSocial[[#This Row],[Prenom]]</f>
        <v>FOLLOT-NGBANDY-ZEBAETHAN</v>
      </c>
      <c r="B305" s="228" t="s">
        <v>2953</v>
      </c>
      <c r="C305" s="229" t="s">
        <v>2954</v>
      </c>
      <c r="D305" s="229" t="s">
        <v>2955</v>
      </c>
      <c r="E305" s="229" t="s">
        <v>1177</v>
      </c>
      <c r="F305" s="230" t="s">
        <v>45</v>
      </c>
      <c r="G305" s="229" t="s">
        <v>1476</v>
      </c>
      <c r="H305" s="229" t="s">
        <v>1794</v>
      </c>
      <c r="I305" s="229" t="s">
        <v>1180</v>
      </c>
      <c r="J305" s="229" t="s">
        <v>353</v>
      </c>
      <c r="K305" s="231" t="s">
        <v>354</v>
      </c>
    </row>
    <row r="306" spans="1:11" s="226" customFormat="1" ht="9.6" customHeight="1" x14ac:dyDescent="0.2">
      <c r="A306" s="229" t="str">
        <f>T_P_BilanSocial[[#This Row],[Nom]]&amp;T_P_BilanSocial[[#This Row],[Prenom]]</f>
        <v>FONTAINEFREDERIQUE</v>
      </c>
      <c r="B306" s="228" t="s">
        <v>2500</v>
      </c>
      <c r="C306" s="229" t="s">
        <v>2501</v>
      </c>
      <c r="D306" s="229" t="s">
        <v>1952</v>
      </c>
      <c r="E306" s="229" t="s">
        <v>1184</v>
      </c>
      <c r="F306" s="230" t="s">
        <v>45</v>
      </c>
      <c r="G306" s="229" t="s">
        <v>1178</v>
      </c>
      <c r="H306" s="229" t="s">
        <v>1204</v>
      </c>
      <c r="I306" s="229" t="s">
        <v>1180</v>
      </c>
      <c r="J306" s="229" t="s">
        <v>420</v>
      </c>
      <c r="K306" s="231" t="s">
        <v>421</v>
      </c>
    </row>
    <row r="307" spans="1:11" s="226" customFormat="1" ht="9.6" customHeight="1" x14ac:dyDescent="0.2">
      <c r="A307" s="229" t="str">
        <f>T_P_BilanSocial[[#This Row],[Nom]]&amp;T_P_BilanSocial[[#This Row],[Prenom]]</f>
        <v>FORESTANTHONY</v>
      </c>
      <c r="B307" s="228" t="s">
        <v>2180</v>
      </c>
      <c r="C307" s="229" t="s">
        <v>696</v>
      </c>
      <c r="D307" s="229" t="s">
        <v>2181</v>
      </c>
      <c r="E307" s="229" t="s">
        <v>1177</v>
      </c>
      <c r="F307" s="230" t="s">
        <v>308</v>
      </c>
      <c r="G307" s="229" t="s">
        <v>1476</v>
      </c>
      <c r="H307" s="229" t="s">
        <v>1477</v>
      </c>
      <c r="I307" s="229" t="s">
        <v>1180</v>
      </c>
      <c r="J307" s="229" t="s">
        <v>697</v>
      </c>
      <c r="K307" s="231" t="s">
        <v>698</v>
      </c>
    </row>
    <row r="308" spans="1:11" s="226" customFormat="1" ht="9.6" customHeight="1" x14ac:dyDescent="0.2">
      <c r="A308" s="229" t="str">
        <f>T_P_BilanSocial[[#This Row],[Nom]]&amp;T_P_BilanSocial[[#This Row],[Prenom]]</f>
        <v>FOUILLOUXDAVID</v>
      </c>
      <c r="B308" s="228" t="s">
        <v>1329</v>
      </c>
      <c r="C308" s="229" t="s">
        <v>605</v>
      </c>
      <c r="D308" s="229" t="s">
        <v>350</v>
      </c>
      <c r="E308" s="229" t="s">
        <v>1177</v>
      </c>
      <c r="F308" s="230" t="s">
        <v>308</v>
      </c>
      <c r="G308" s="229" t="s">
        <v>1178</v>
      </c>
      <c r="H308" s="229" t="s">
        <v>1204</v>
      </c>
      <c r="I308" s="229" t="s">
        <v>1180</v>
      </c>
      <c r="J308" s="229" t="s">
        <v>420</v>
      </c>
      <c r="K308" s="231" t="s">
        <v>1330</v>
      </c>
    </row>
    <row r="309" spans="1:11" s="226" customFormat="1" ht="9.6" customHeight="1" x14ac:dyDescent="0.2">
      <c r="A309" s="229" t="str">
        <f>T_P_BilanSocial[[#This Row],[Nom]]&amp;T_P_BilanSocial[[#This Row],[Prenom]]</f>
        <v>FOURNIERREBECCA</v>
      </c>
      <c r="B309" s="228" t="s">
        <v>2951</v>
      </c>
      <c r="C309" s="229" t="s">
        <v>795</v>
      </c>
      <c r="D309" s="229" t="s">
        <v>2952</v>
      </c>
      <c r="E309" s="229" t="s">
        <v>1184</v>
      </c>
      <c r="F309" s="230" t="s">
        <v>308</v>
      </c>
      <c r="G309" s="229" t="s">
        <v>1476</v>
      </c>
      <c r="H309" s="229" t="s">
        <v>1794</v>
      </c>
      <c r="I309" s="229" t="s">
        <v>1180</v>
      </c>
      <c r="J309" s="229" t="s">
        <v>376</v>
      </c>
      <c r="K309" s="231" t="s">
        <v>341</v>
      </c>
    </row>
    <row r="310" spans="1:11" s="226" customFormat="1" ht="9.6" customHeight="1" x14ac:dyDescent="0.2">
      <c r="A310" s="229" t="str">
        <f>T_P_BilanSocial[[#This Row],[Nom]]&amp;T_P_BilanSocial[[#This Row],[Prenom]]</f>
        <v>FRADIN-CARTACATERINA</v>
      </c>
      <c r="B310" s="228" t="s">
        <v>1550</v>
      </c>
      <c r="C310" s="229" t="s">
        <v>1551</v>
      </c>
      <c r="D310" s="229" t="s">
        <v>1552</v>
      </c>
      <c r="E310" s="229" t="s">
        <v>1184</v>
      </c>
      <c r="F310" s="230" t="s">
        <v>45</v>
      </c>
      <c r="G310" s="229" t="s">
        <v>1178</v>
      </c>
      <c r="H310" s="229" t="s">
        <v>1204</v>
      </c>
      <c r="I310" s="229" t="s">
        <v>1180</v>
      </c>
      <c r="J310" s="229" t="s">
        <v>408</v>
      </c>
      <c r="K310" s="231" t="s">
        <v>1553</v>
      </c>
    </row>
    <row r="311" spans="1:11" s="226" customFormat="1" ht="9.6" customHeight="1" x14ac:dyDescent="0.2">
      <c r="A311" s="229" t="str">
        <f>T_P_BilanSocial[[#This Row],[Nom]]&amp;T_P_BilanSocial[[#This Row],[Prenom]]</f>
        <v>FRAGNEPHILIPPE</v>
      </c>
      <c r="B311" s="228" t="s">
        <v>1789</v>
      </c>
      <c r="C311" s="229" t="s">
        <v>1790</v>
      </c>
      <c r="D311" s="229" t="s">
        <v>1339</v>
      </c>
      <c r="E311" s="229" t="s">
        <v>1177</v>
      </c>
      <c r="F311" s="230" t="s">
        <v>445</v>
      </c>
      <c r="G311" s="229" t="s">
        <v>1178</v>
      </c>
      <c r="H311" s="229" t="s">
        <v>1204</v>
      </c>
      <c r="I311" s="229" t="s">
        <v>1180</v>
      </c>
      <c r="J311" s="229" t="s">
        <v>607</v>
      </c>
      <c r="K311" s="231" t="s">
        <v>608</v>
      </c>
    </row>
    <row r="312" spans="1:11" s="226" customFormat="1" ht="9.6" customHeight="1" x14ac:dyDescent="0.2">
      <c r="A312" s="229" t="str">
        <f>T_P_BilanSocial[[#This Row],[Nom]]&amp;T_P_BilanSocial[[#This Row],[Prenom]]</f>
        <v>FRANCHINICAROLE</v>
      </c>
      <c r="B312" s="228" t="s">
        <v>2312</v>
      </c>
      <c r="C312" s="229" t="s">
        <v>2313</v>
      </c>
      <c r="D312" s="229" t="s">
        <v>1388</v>
      </c>
      <c r="E312" s="229" t="s">
        <v>1184</v>
      </c>
      <c r="F312" s="230" t="s">
        <v>45</v>
      </c>
      <c r="G312" s="229" t="s">
        <v>1178</v>
      </c>
      <c r="H312" s="229" t="s">
        <v>1204</v>
      </c>
      <c r="I312" s="229" t="s">
        <v>1180</v>
      </c>
      <c r="J312" s="229" t="s">
        <v>481</v>
      </c>
      <c r="K312" s="231" t="s">
        <v>341</v>
      </c>
    </row>
    <row r="313" spans="1:11" s="226" customFormat="1" ht="9.6" customHeight="1" x14ac:dyDescent="0.2">
      <c r="A313" s="229" t="str">
        <f>T_P_BilanSocial[[#This Row],[Nom]]&amp;T_P_BilanSocial[[#This Row],[Prenom]]</f>
        <v>FRASCAGÉRALDINE</v>
      </c>
      <c r="B313" s="228" t="s">
        <v>2251</v>
      </c>
      <c r="C313" s="229" t="s">
        <v>839</v>
      </c>
      <c r="D313" s="229" t="s">
        <v>1612</v>
      </c>
      <c r="E313" s="229" t="s">
        <v>1184</v>
      </c>
      <c r="F313" s="230" t="s">
        <v>445</v>
      </c>
      <c r="G313" s="229" t="s">
        <v>1178</v>
      </c>
      <c r="H313" s="229" t="s">
        <v>1204</v>
      </c>
      <c r="I313" s="229" t="s">
        <v>1180</v>
      </c>
      <c r="J313" s="229" t="s">
        <v>2252</v>
      </c>
      <c r="K313" s="231" t="s">
        <v>2253</v>
      </c>
    </row>
    <row r="314" spans="1:11" s="226" customFormat="1" ht="9.6" customHeight="1" x14ac:dyDescent="0.2">
      <c r="A314" s="229" t="str">
        <f>T_P_BilanSocial[[#This Row],[Nom]]&amp;T_P_BilanSocial[[#This Row],[Prenom]]</f>
        <v>FREGIERCAMILLE</v>
      </c>
      <c r="B314" s="228" t="s">
        <v>2663</v>
      </c>
      <c r="C314" s="229" t="s">
        <v>2664</v>
      </c>
      <c r="D314" s="229" t="s">
        <v>2665</v>
      </c>
      <c r="E314" s="229" t="s">
        <v>1184</v>
      </c>
      <c r="F314" s="230" t="s">
        <v>308</v>
      </c>
      <c r="G314" s="229" t="s">
        <v>1476</v>
      </c>
      <c r="H314" s="229" t="s">
        <v>1794</v>
      </c>
      <c r="I314" s="229" t="s">
        <v>1180</v>
      </c>
      <c r="J314" s="229" t="s">
        <v>626</v>
      </c>
      <c r="K314" s="231" t="s">
        <v>341</v>
      </c>
    </row>
    <row r="315" spans="1:11" s="226" customFormat="1" ht="9.6" customHeight="1" x14ac:dyDescent="0.2">
      <c r="A315" s="229" t="str">
        <f>T_P_BilanSocial[[#This Row],[Nom]]&amp;T_P_BilanSocial[[#This Row],[Prenom]]</f>
        <v>FULBERTAUDE</v>
      </c>
      <c r="B315" s="228" t="s">
        <v>1642</v>
      </c>
      <c r="C315" s="229" t="s">
        <v>1643</v>
      </c>
      <c r="D315" s="229" t="s">
        <v>1644</v>
      </c>
      <c r="E315" s="229" t="s">
        <v>1184</v>
      </c>
      <c r="F315" s="230" t="s">
        <v>45</v>
      </c>
      <c r="G315" s="229" t="s">
        <v>1178</v>
      </c>
      <c r="H315" s="229" t="s">
        <v>1179</v>
      </c>
      <c r="I315" s="229" t="s">
        <v>1180</v>
      </c>
      <c r="J315" s="229" t="s">
        <v>353</v>
      </c>
      <c r="K315" s="231" t="s">
        <v>354</v>
      </c>
    </row>
    <row r="316" spans="1:11" s="226" customFormat="1" ht="9.6" customHeight="1" x14ac:dyDescent="0.2">
      <c r="A316" s="229" t="str">
        <f>T_P_BilanSocial[[#This Row],[Nom]]&amp;T_P_BilanSocial[[#This Row],[Prenom]]</f>
        <v>FURRERAURÉLIE</v>
      </c>
      <c r="B316" s="228" t="s">
        <v>2084</v>
      </c>
      <c r="C316" s="229" t="s">
        <v>792</v>
      </c>
      <c r="D316" s="229" t="s">
        <v>2085</v>
      </c>
      <c r="E316" s="229" t="s">
        <v>1184</v>
      </c>
      <c r="F316" s="230" t="s">
        <v>45</v>
      </c>
      <c r="G316" s="229" t="s">
        <v>1178</v>
      </c>
      <c r="H316" s="229" t="s">
        <v>1204</v>
      </c>
      <c r="I316" s="229" t="s">
        <v>1180</v>
      </c>
      <c r="J316" s="229" t="s">
        <v>815</v>
      </c>
      <c r="K316" s="231" t="s">
        <v>794</v>
      </c>
    </row>
    <row r="317" spans="1:11" s="226" customFormat="1" ht="9.6" customHeight="1" x14ac:dyDescent="0.2">
      <c r="A317" s="229" t="str">
        <f>T_P_BilanSocial[[#This Row],[Nom]]&amp;T_P_BilanSocial[[#This Row],[Prenom]]</f>
        <v>FURRERCHRISTELLE</v>
      </c>
      <c r="B317" s="228" t="s">
        <v>2388</v>
      </c>
      <c r="C317" s="229" t="s">
        <v>792</v>
      </c>
      <c r="D317" s="229" t="s">
        <v>1315</v>
      </c>
      <c r="E317" s="229" t="s">
        <v>1184</v>
      </c>
      <c r="F317" s="230" t="s">
        <v>45</v>
      </c>
      <c r="G317" s="229" t="s">
        <v>1476</v>
      </c>
      <c r="H317" s="229" t="s">
        <v>1477</v>
      </c>
      <c r="I317" s="229" t="s">
        <v>1180</v>
      </c>
      <c r="J317" s="229" t="s">
        <v>684</v>
      </c>
      <c r="K317" s="231" t="s">
        <v>341</v>
      </c>
    </row>
    <row r="318" spans="1:11" s="226" customFormat="1" ht="9.6" customHeight="1" x14ac:dyDescent="0.2">
      <c r="A318" s="229" t="str">
        <f>T_P_BilanSocial[[#This Row],[Nom]]&amp;T_P_BilanSocial[[#This Row],[Prenom]]</f>
        <v>GADOUSEBASTIEN</v>
      </c>
      <c r="B318" s="228" t="s">
        <v>2307</v>
      </c>
      <c r="C318" s="229" t="s">
        <v>1047</v>
      </c>
      <c r="D318" s="229" t="s">
        <v>2308</v>
      </c>
      <c r="E318" s="229" t="s">
        <v>1177</v>
      </c>
      <c r="F318" s="230" t="s">
        <v>45</v>
      </c>
      <c r="G318" s="229" t="s">
        <v>1178</v>
      </c>
      <c r="H318" s="229" t="s">
        <v>1435</v>
      </c>
      <c r="I318" s="229" t="s">
        <v>1180</v>
      </c>
      <c r="J318" s="229" t="s">
        <v>1079</v>
      </c>
      <c r="K318" s="231" t="s">
        <v>2309</v>
      </c>
    </row>
    <row r="319" spans="1:11" s="226" customFormat="1" ht="9.6" customHeight="1" x14ac:dyDescent="0.2">
      <c r="A319" s="229" t="str">
        <f>T_P_BilanSocial[[#This Row],[Nom]]&amp;T_P_BilanSocial[[#This Row],[Prenom]]</f>
        <v>GAJECKISTEPHANIE</v>
      </c>
      <c r="B319" s="228" t="s">
        <v>2854</v>
      </c>
      <c r="C319" s="229" t="s">
        <v>2855</v>
      </c>
      <c r="D319" s="229" t="s">
        <v>2856</v>
      </c>
      <c r="E319" s="229" t="s">
        <v>1184</v>
      </c>
      <c r="F319" s="230" t="s">
        <v>445</v>
      </c>
      <c r="G319" s="229" t="s">
        <v>1476</v>
      </c>
      <c r="H319" s="229" t="s">
        <v>1794</v>
      </c>
      <c r="I319" s="229" t="s">
        <v>1180</v>
      </c>
      <c r="J319" s="229" t="s">
        <v>815</v>
      </c>
      <c r="K319" s="231" t="s">
        <v>794</v>
      </c>
    </row>
    <row r="320" spans="1:11" s="226" customFormat="1" ht="9.6" customHeight="1" x14ac:dyDescent="0.2">
      <c r="A320" s="229" t="str">
        <f>T_P_BilanSocial[[#This Row],[Nom]]&amp;T_P_BilanSocial[[#This Row],[Prenom]]</f>
        <v>GALEAPATRICIA</v>
      </c>
      <c r="B320" s="228" t="s">
        <v>1863</v>
      </c>
      <c r="C320" s="229" t="s">
        <v>1864</v>
      </c>
      <c r="D320" s="229" t="s">
        <v>1536</v>
      </c>
      <c r="E320" s="229" t="s">
        <v>1184</v>
      </c>
      <c r="F320" s="230" t="s">
        <v>445</v>
      </c>
      <c r="G320" s="229" t="s">
        <v>1178</v>
      </c>
      <c r="H320" s="229" t="s">
        <v>1179</v>
      </c>
      <c r="I320" s="229" t="s">
        <v>1180</v>
      </c>
      <c r="J320" s="229" t="s">
        <v>1083</v>
      </c>
      <c r="K320" s="231" t="s">
        <v>1865</v>
      </c>
    </row>
    <row r="321" spans="1:11" s="226" customFormat="1" ht="9.6" customHeight="1" x14ac:dyDescent="0.2">
      <c r="A321" s="229" t="str">
        <f>T_P_BilanSocial[[#This Row],[Nom]]&amp;T_P_BilanSocial[[#This Row],[Prenom]]</f>
        <v>GALLEGORICHARD</v>
      </c>
      <c r="B321" s="228" t="s">
        <v>1342</v>
      </c>
      <c r="C321" s="229" t="s">
        <v>1343</v>
      </c>
      <c r="D321" s="229" t="s">
        <v>521</v>
      </c>
      <c r="E321" s="229" t="s">
        <v>1177</v>
      </c>
      <c r="F321" s="230" t="s">
        <v>445</v>
      </c>
      <c r="G321" s="229" t="s">
        <v>1178</v>
      </c>
      <c r="H321" s="229" t="s">
        <v>1204</v>
      </c>
      <c r="I321" s="229" t="s">
        <v>1180</v>
      </c>
      <c r="J321" s="229" t="s">
        <v>340</v>
      </c>
      <c r="K321" s="231" t="s">
        <v>341</v>
      </c>
    </row>
    <row r="322" spans="1:11" s="226" customFormat="1" ht="9.6" customHeight="1" x14ac:dyDescent="0.2">
      <c r="A322" s="229" t="str">
        <f>T_P_BilanSocial[[#This Row],[Nom]]&amp;T_P_BilanSocial[[#This Row],[Prenom]]</f>
        <v>GALLETLAURENT</v>
      </c>
      <c r="B322" s="228" t="s">
        <v>2696</v>
      </c>
      <c r="C322" s="229" t="s">
        <v>2697</v>
      </c>
      <c r="D322" s="229" t="s">
        <v>1799</v>
      </c>
      <c r="E322" s="229" t="s">
        <v>1177</v>
      </c>
      <c r="F322" s="230" t="s">
        <v>308</v>
      </c>
      <c r="G322" s="229" t="s">
        <v>1476</v>
      </c>
      <c r="H322" s="229" t="s">
        <v>1794</v>
      </c>
      <c r="I322" s="229" t="s">
        <v>1180</v>
      </c>
      <c r="J322" s="229" t="s">
        <v>376</v>
      </c>
      <c r="K322" s="231" t="s">
        <v>341</v>
      </c>
    </row>
    <row r="323" spans="1:11" s="226" customFormat="1" ht="9.6" customHeight="1" x14ac:dyDescent="0.2">
      <c r="A323" s="229" t="str">
        <f>T_P_BilanSocial[[#This Row],[Nom]]&amp;T_P_BilanSocial[[#This Row],[Prenom]]</f>
        <v>GAMBAROTAJEAN</v>
      </c>
      <c r="B323" s="228" t="s">
        <v>1578</v>
      </c>
      <c r="C323" s="229" t="s">
        <v>1579</v>
      </c>
      <c r="D323" s="229" t="s">
        <v>1247</v>
      </c>
      <c r="E323" s="229" t="s">
        <v>1177</v>
      </c>
      <c r="F323" s="230" t="s">
        <v>308</v>
      </c>
      <c r="G323" s="229" t="s">
        <v>1178</v>
      </c>
      <c r="H323" s="229" t="s">
        <v>1204</v>
      </c>
      <c r="I323" s="229" t="s">
        <v>1180</v>
      </c>
      <c r="J323" s="229" t="s">
        <v>340</v>
      </c>
      <c r="K323" s="231" t="s">
        <v>341</v>
      </c>
    </row>
    <row r="324" spans="1:11" s="226" customFormat="1" ht="9.6" customHeight="1" x14ac:dyDescent="0.2">
      <c r="A324" s="229" t="str">
        <f>T_P_BilanSocial[[#This Row],[Nom]]&amp;T_P_BilanSocial[[#This Row],[Prenom]]</f>
        <v>GAMONDISABELLE</v>
      </c>
      <c r="B324" s="228" t="s">
        <v>2841</v>
      </c>
      <c r="C324" s="229" t="s">
        <v>473</v>
      </c>
      <c r="D324" s="229" t="s">
        <v>1224</v>
      </c>
      <c r="E324" s="229" t="s">
        <v>1184</v>
      </c>
      <c r="F324" s="230" t="s">
        <v>445</v>
      </c>
      <c r="G324" s="229" t="s">
        <v>1178</v>
      </c>
      <c r="H324" s="229" t="s">
        <v>1179</v>
      </c>
      <c r="I324" s="229" t="s">
        <v>1180</v>
      </c>
      <c r="J324" s="229" t="s">
        <v>376</v>
      </c>
      <c r="K324" s="231" t="s">
        <v>341</v>
      </c>
    </row>
    <row r="325" spans="1:11" s="226" customFormat="1" ht="9.6" customHeight="1" x14ac:dyDescent="0.2">
      <c r="A325" s="229" t="str">
        <f>T_P_BilanSocial[[#This Row],[Nom]]&amp;T_P_BilanSocial[[#This Row],[Prenom]]</f>
        <v>GARCIABRIGITTE</v>
      </c>
      <c r="B325" s="228" t="s">
        <v>1187</v>
      </c>
      <c r="C325" s="229" t="s">
        <v>334</v>
      </c>
      <c r="D325" s="229" t="s">
        <v>1188</v>
      </c>
      <c r="E325" s="229" t="s">
        <v>1184</v>
      </c>
      <c r="F325" s="230" t="s">
        <v>308</v>
      </c>
      <c r="G325" s="229" t="s">
        <v>1178</v>
      </c>
      <c r="H325" s="229" t="s">
        <v>1179</v>
      </c>
      <c r="I325" s="229" t="s">
        <v>1180</v>
      </c>
      <c r="J325" s="229" t="s">
        <v>340</v>
      </c>
      <c r="K325" s="231" t="s">
        <v>341</v>
      </c>
    </row>
    <row r="326" spans="1:11" s="226" customFormat="1" ht="9.6" customHeight="1" x14ac:dyDescent="0.2">
      <c r="A326" s="229" t="str">
        <f>T_P_BilanSocial[[#This Row],[Nom]]&amp;T_P_BilanSocial[[#This Row],[Prenom]]</f>
        <v>GARCIA-VEROVINCENT</v>
      </c>
      <c r="B326" s="228" t="s">
        <v>1802</v>
      </c>
      <c r="C326" s="229" t="s">
        <v>1803</v>
      </c>
      <c r="D326" s="229" t="s">
        <v>876</v>
      </c>
      <c r="E326" s="229" t="s">
        <v>1177</v>
      </c>
      <c r="F326" s="230" t="s">
        <v>45</v>
      </c>
      <c r="G326" s="229" t="s">
        <v>1178</v>
      </c>
      <c r="H326" s="229" t="s">
        <v>1204</v>
      </c>
      <c r="I326" s="229" t="s">
        <v>1180</v>
      </c>
      <c r="J326" s="229" t="s">
        <v>1804</v>
      </c>
      <c r="K326" s="231" t="s">
        <v>1805</v>
      </c>
    </row>
    <row r="327" spans="1:11" s="226" customFormat="1" ht="9.6" customHeight="1" x14ac:dyDescent="0.2">
      <c r="A327" s="229" t="str">
        <f>T_P_BilanSocial[[#This Row],[Nom]]&amp;T_P_BilanSocial[[#This Row],[Prenom]]</f>
        <v>GARNIERYANN</v>
      </c>
      <c r="B327" s="228" t="s">
        <v>1529</v>
      </c>
      <c r="C327" s="229" t="s">
        <v>1530</v>
      </c>
      <c r="D327" s="229" t="s">
        <v>1284</v>
      </c>
      <c r="E327" s="229" t="s">
        <v>1177</v>
      </c>
      <c r="F327" s="230" t="s">
        <v>308</v>
      </c>
      <c r="G327" s="229" t="s">
        <v>1178</v>
      </c>
      <c r="H327" s="229" t="s">
        <v>1204</v>
      </c>
      <c r="I327" s="229" t="s">
        <v>1180</v>
      </c>
      <c r="J327" s="229" t="s">
        <v>411</v>
      </c>
      <c r="K327" s="231" t="s">
        <v>341</v>
      </c>
    </row>
    <row r="328" spans="1:11" s="226" customFormat="1" ht="9.6" customHeight="1" x14ac:dyDescent="0.2">
      <c r="A328" s="229" t="str">
        <f>T_P_BilanSocial[[#This Row],[Nom]]&amp;T_P_BilanSocial[[#This Row],[Prenom]]</f>
        <v>GARRIDO BARBAALMUDENA</v>
      </c>
      <c r="B328" s="228" t="s">
        <v>2563</v>
      </c>
      <c r="C328" s="229" t="s">
        <v>2564</v>
      </c>
      <c r="D328" s="229" t="s">
        <v>2565</v>
      </c>
      <c r="E328" s="229" t="s">
        <v>1184</v>
      </c>
      <c r="F328" s="230" t="s">
        <v>308</v>
      </c>
      <c r="G328" s="229" t="s">
        <v>1476</v>
      </c>
      <c r="H328" s="229" t="s">
        <v>1794</v>
      </c>
      <c r="I328" s="229" t="s">
        <v>1180</v>
      </c>
      <c r="J328" s="229" t="s">
        <v>481</v>
      </c>
      <c r="K328" s="231" t="s">
        <v>341</v>
      </c>
    </row>
    <row r="329" spans="1:11" s="226" customFormat="1" ht="9.6" customHeight="1" x14ac:dyDescent="0.2">
      <c r="A329" s="229" t="str">
        <f>T_P_BilanSocial[[#This Row],[Nom]]&amp;T_P_BilanSocial[[#This Row],[Prenom]]</f>
        <v>GASMIALEXANDRA</v>
      </c>
      <c r="B329" s="228" t="s">
        <v>1469</v>
      </c>
      <c r="C329" s="229" t="s">
        <v>985</v>
      </c>
      <c r="D329" s="229" t="s">
        <v>1470</v>
      </c>
      <c r="E329" s="229" t="s">
        <v>1184</v>
      </c>
      <c r="F329" s="230" t="s">
        <v>45</v>
      </c>
      <c r="G329" s="229" t="s">
        <v>1178</v>
      </c>
      <c r="H329" s="229" t="s">
        <v>1179</v>
      </c>
      <c r="I329" s="229" t="s">
        <v>1180</v>
      </c>
      <c r="J329" s="229" t="s">
        <v>416</v>
      </c>
      <c r="K329" s="231" t="s">
        <v>1471</v>
      </c>
    </row>
    <row r="330" spans="1:11" s="226" customFormat="1" ht="9.6" customHeight="1" x14ac:dyDescent="0.2">
      <c r="A330" s="229" t="str">
        <f>T_P_BilanSocial[[#This Row],[Nom]]&amp;T_P_BilanSocial[[#This Row],[Prenom]]</f>
        <v>GASMIMABROUKA</v>
      </c>
      <c r="B330" s="228" t="s">
        <v>2109</v>
      </c>
      <c r="C330" s="229" t="s">
        <v>985</v>
      </c>
      <c r="D330" s="229" t="s">
        <v>2110</v>
      </c>
      <c r="E330" s="229" t="s">
        <v>1184</v>
      </c>
      <c r="F330" s="230" t="s">
        <v>45</v>
      </c>
      <c r="G330" s="229" t="s">
        <v>1178</v>
      </c>
      <c r="H330" s="229" t="s">
        <v>1179</v>
      </c>
      <c r="I330" s="229" t="s">
        <v>1180</v>
      </c>
      <c r="J330" s="229" t="s">
        <v>566</v>
      </c>
      <c r="K330" s="231" t="s">
        <v>1154</v>
      </c>
    </row>
    <row r="331" spans="1:11" s="226" customFormat="1" ht="9.6" customHeight="1" x14ac:dyDescent="0.2">
      <c r="A331" s="229" t="str">
        <f>T_P_BilanSocial[[#This Row],[Nom]]&amp;T_P_BilanSocial[[#This Row],[Prenom]]</f>
        <v>GASMINABILA</v>
      </c>
      <c r="B331" s="228" t="s">
        <v>2173</v>
      </c>
      <c r="C331" s="229" t="s">
        <v>985</v>
      </c>
      <c r="D331" s="229" t="s">
        <v>2174</v>
      </c>
      <c r="E331" s="229" t="s">
        <v>1184</v>
      </c>
      <c r="F331" s="230" t="s">
        <v>45</v>
      </c>
      <c r="G331" s="229" t="s">
        <v>1178</v>
      </c>
      <c r="H331" s="229" t="s">
        <v>1204</v>
      </c>
      <c r="I331" s="229" t="s">
        <v>1180</v>
      </c>
      <c r="J331" s="229" t="s">
        <v>398</v>
      </c>
      <c r="K331" s="231" t="s">
        <v>895</v>
      </c>
    </row>
    <row r="332" spans="1:11" s="226" customFormat="1" ht="9.6" customHeight="1" x14ac:dyDescent="0.2">
      <c r="A332" s="229" t="str">
        <f>T_P_BilanSocial[[#This Row],[Nom]]&amp;T_P_BilanSocial[[#This Row],[Prenom]]</f>
        <v>GATHIERSÉBASTIEN</v>
      </c>
      <c r="B332" s="228" t="s">
        <v>2748</v>
      </c>
      <c r="C332" s="229" t="s">
        <v>2749</v>
      </c>
      <c r="D332" s="229" t="s">
        <v>2735</v>
      </c>
      <c r="E332" s="229" t="s">
        <v>1177</v>
      </c>
      <c r="F332" s="230" t="s">
        <v>308</v>
      </c>
      <c r="G332" s="229" t="s">
        <v>1476</v>
      </c>
      <c r="H332" s="229" t="s">
        <v>1794</v>
      </c>
      <c r="I332" s="229" t="s">
        <v>1180</v>
      </c>
      <c r="J332" s="229" t="s">
        <v>2750</v>
      </c>
      <c r="K332" s="231" t="s">
        <v>2751</v>
      </c>
    </row>
    <row r="333" spans="1:11" s="226" customFormat="1" ht="9.6" customHeight="1" x14ac:dyDescent="0.2">
      <c r="A333" s="229" t="str">
        <f>T_P_BilanSocial[[#This Row],[Nom]]&amp;T_P_BilanSocial[[#This Row],[Prenom]]</f>
        <v>GAUTHIERGILBERT</v>
      </c>
      <c r="B333" s="228" t="s">
        <v>1666</v>
      </c>
      <c r="C333" s="229" t="s">
        <v>556</v>
      </c>
      <c r="D333" s="229" t="s">
        <v>1667</v>
      </c>
      <c r="E333" s="229" t="s">
        <v>1177</v>
      </c>
      <c r="F333" s="230" t="s">
        <v>445</v>
      </c>
      <c r="G333" s="229" t="s">
        <v>1178</v>
      </c>
      <c r="H333" s="229" t="s">
        <v>1179</v>
      </c>
      <c r="I333" s="229" t="s">
        <v>1180</v>
      </c>
      <c r="J333" s="229" t="s">
        <v>559</v>
      </c>
      <c r="K333" s="231" t="s">
        <v>560</v>
      </c>
    </row>
    <row r="334" spans="1:11" s="226" customFormat="1" ht="9.6" customHeight="1" x14ac:dyDescent="0.2">
      <c r="A334" s="229" t="str">
        <f>T_P_BilanSocial[[#This Row],[Nom]]&amp;T_P_BilanSocial[[#This Row],[Prenom]]</f>
        <v>GAVENDCATHERINE</v>
      </c>
      <c r="B334" s="228" t="s">
        <v>1817</v>
      </c>
      <c r="C334" s="229" t="s">
        <v>517</v>
      </c>
      <c r="D334" s="229" t="s">
        <v>1203</v>
      </c>
      <c r="E334" s="229" t="s">
        <v>1184</v>
      </c>
      <c r="F334" s="230" t="s">
        <v>308</v>
      </c>
      <c r="G334" s="229" t="s">
        <v>1178</v>
      </c>
      <c r="H334" s="229" t="s">
        <v>1204</v>
      </c>
      <c r="I334" s="229" t="s">
        <v>1180</v>
      </c>
      <c r="J334" s="229" t="s">
        <v>376</v>
      </c>
      <c r="K334" s="231" t="s">
        <v>341</v>
      </c>
    </row>
    <row r="335" spans="1:11" s="226" customFormat="1" ht="9.6" customHeight="1" x14ac:dyDescent="0.2">
      <c r="A335" s="229" t="str">
        <f>T_P_BilanSocial[[#This Row],[Nom]]&amp;T_P_BilanSocial[[#This Row],[Prenom]]</f>
        <v>GAVOUYERECHANTAL</v>
      </c>
      <c r="B335" s="228" t="s">
        <v>2573</v>
      </c>
      <c r="C335" s="229" t="s">
        <v>2574</v>
      </c>
      <c r="D335" s="229" t="s">
        <v>1259</v>
      </c>
      <c r="E335" s="229" t="s">
        <v>1184</v>
      </c>
      <c r="F335" s="230" t="s">
        <v>445</v>
      </c>
      <c r="G335" s="229" t="s">
        <v>1178</v>
      </c>
      <c r="H335" s="229" t="s">
        <v>1435</v>
      </c>
      <c r="I335" s="229" t="s">
        <v>1180</v>
      </c>
      <c r="J335" s="229" t="s">
        <v>471</v>
      </c>
      <c r="K335" s="231" t="s">
        <v>341</v>
      </c>
    </row>
    <row r="336" spans="1:11" s="226" customFormat="1" ht="9.6" customHeight="1" x14ac:dyDescent="0.2">
      <c r="A336" s="229" t="str">
        <f>T_P_BilanSocial[[#This Row],[Nom]]&amp;T_P_BilanSocial[[#This Row],[Prenom]]</f>
        <v>GERLANDFRéDéRIC</v>
      </c>
      <c r="B336" s="228" t="s">
        <v>1870</v>
      </c>
      <c r="C336" s="229" t="s">
        <v>395</v>
      </c>
      <c r="D336" s="233" t="s">
        <v>2998</v>
      </c>
      <c r="E336" s="229" t="s">
        <v>1177</v>
      </c>
      <c r="F336" s="230" t="s">
        <v>308</v>
      </c>
      <c r="G336" s="229" t="s">
        <v>1178</v>
      </c>
      <c r="H336" s="229" t="s">
        <v>1204</v>
      </c>
      <c r="I336" s="229" t="s">
        <v>1180</v>
      </c>
      <c r="J336" s="229" t="s">
        <v>309</v>
      </c>
      <c r="K336" s="232" t="s">
        <v>1583</v>
      </c>
    </row>
    <row r="337" spans="1:11" s="226" customFormat="1" ht="9.6" customHeight="1" x14ac:dyDescent="0.2">
      <c r="A337" s="229" t="str">
        <f>T_P_BilanSocial[[#This Row],[Nom]]&amp;T_P_BilanSocial[[#This Row],[Prenom]]</f>
        <v>GERME-CESCOPATRICIA</v>
      </c>
      <c r="B337" s="228" t="s">
        <v>1713</v>
      </c>
      <c r="C337" s="229" t="s">
        <v>627</v>
      </c>
      <c r="D337" s="229" t="s">
        <v>1536</v>
      </c>
      <c r="E337" s="229" t="s">
        <v>1184</v>
      </c>
      <c r="F337" s="230" t="s">
        <v>308</v>
      </c>
      <c r="G337" s="229" t="s">
        <v>1178</v>
      </c>
      <c r="H337" s="229" t="s">
        <v>1435</v>
      </c>
      <c r="I337" s="229" t="s">
        <v>1180</v>
      </c>
      <c r="J337" s="229" t="s">
        <v>471</v>
      </c>
      <c r="K337" s="231" t="s">
        <v>341</v>
      </c>
    </row>
    <row r="338" spans="1:11" s="226" customFormat="1" ht="9.6" customHeight="1" x14ac:dyDescent="0.2">
      <c r="A338" s="229" t="str">
        <f>T_P_BilanSocial[[#This Row],[Nom]]&amp;T_P_BilanSocial[[#This Row],[Prenom]]</f>
        <v>GERVASONIVÉRONIQUE</v>
      </c>
      <c r="B338" s="228" t="s">
        <v>1773</v>
      </c>
      <c r="C338" s="229" t="s">
        <v>1774</v>
      </c>
      <c r="D338" s="229" t="s">
        <v>1237</v>
      </c>
      <c r="E338" s="229" t="s">
        <v>1184</v>
      </c>
      <c r="F338" s="230" t="s">
        <v>308</v>
      </c>
      <c r="G338" s="229" t="s">
        <v>1178</v>
      </c>
      <c r="H338" s="229" t="s">
        <v>1204</v>
      </c>
      <c r="I338" s="229" t="s">
        <v>1180</v>
      </c>
      <c r="J338" s="229" t="s">
        <v>520</v>
      </c>
      <c r="K338" s="231" t="s">
        <v>341</v>
      </c>
    </row>
    <row r="339" spans="1:11" s="226" customFormat="1" ht="9.6" customHeight="1" x14ac:dyDescent="0.2">
      <c r="A339" s="229" t="str">
        <f>T_P_BilanSocial[[#This Row],[Nom]]&amp;T_P_BilanSocial[[#This Row],[Prenom]]</f>
        <v>GHEDHAIFIYASSINE</v>
      </c>
      <c r="B339" s="228" t="s">
        <v>1580</v>
      </c>
      <c r="C339" s="229" t="s">
        <v>1581</v>
      </c>
      <c r="D339" s="229" t="s">
        <v>1582</v>
      </c>
      <c r="E339" s="229" t="s">
        <v>1177</v>
      </c>
      <c r="F339" s="230" t="s">
        <v>45</v>
      </c>
      <c r="G339" s="229" t="s">
        <v>1178</v>
      </c>
      <c r="H339" s="229" t="s">
        <v>1204</v>
      </c>
      <c r="I339" s="229" t="s">
        <v>1180</v>
      </c>
      <c r="J339" s="229" t="s">
        <v>309</v>
      </c>
      <c r="K339" s="231" t="s">
        <v>1583</v>
      </c>
    </row>
    <row r="340" spans="1:11" s="226" customFormat="1" ht="9.6" customHeight="1" x14ac:dyDescent="0.2">
      <c r="A340" s="229" t="str">
        <f>T_P_BilanSocial[[#This Row],[Nom]]&amp;T_P_BilanSocial[[#This Row],[Prenom]]</f>
        <v>GHIOTTILAURENCE</v>
      </c>
      <c r="B340" s="228" t="s">
        <v>1665</v>
      </c>
      <c r="C340" s="229" t="s">
        <v>615</v>
      </c>
      <c r="D340" s="229" t="s">
        <v>1282</v>
      </c>
      <c r="E340" s="229" t="s">
        <v>1184</v>
      </c>
      <c r="F340" s="230" t="s">
        <v>308</v>
      </c>
      <c r="G340" s="229" t="s">
        <v>1178</v>
      </c>
      <c r="H340" s="229" t="s">
        <v>1204</v>
      </c>
      <c r="I340" s="229" t="s">
        <v>1180</v>
      </c>
      <c r="J340" s="229" t="s">
        <v>320</v>
      </c>
      <c r="K340" s="231" t="s">
        <v>321</v>
      </c>
    </row>
    <row r="341" spans="1:11" s="226" customFormat="1" ht="9.6" customHeight="1" x14ac:dyDescent="0.2">
      <c r="A341" s="229" t="str">
        <f>T_P_BilanSocial[[#This Row],[Nom]]&amp;T_P_BilanSocial[[#This Row],[Prenom]]</f>
        <v>GILLEYOANN</v>
      </c>
      <c r="B341" s="228" t="s">
        <v>1757</v>
      </c>
      <c r="C341" s="229" t="s">
        <v>871</v>
      </c>
      <c r="D341" s="229" t="s">
        <v>1758</v>
      </c>
      <c r="E341" s="229" t="s">
        <v>1177</v>
      </c>
      <c r="F341" s="230" t="s">
        <v>445</v>
      </c>
      <c r="G341" s="229" t="s">
        <v>1178</v>
      </c>
      <c r="H341" s="229" t="s">
        <v>1204</v>
      </c>
      <c r="I341" s="229" t="s">
        <v>1180</v>
      </c>
      <c r="J341" s="229" t="s">
        <v>736</v>
      </c>
      <c r="K341" s="231" t="s">
        <v>737</v>
      </c>
    </row>
    <row r="342" spans="1:11" s="226" customFormat="1" ht="9.6" customHeight="1" x14ac:dyDescent="0.2">
      <c r="A342" s="229" t="str">
        <f>T_P_BilanSocial[[#This Row],[Nom]]&amp;T_P_BilanSocial[[#This Row],[Prenom]]</f>
        <v>GIRARDMARIE-CECILE</v>
      </c>
      <c r="B342" s="228" t="s">
        <v>2773</v>
      </c>
      <c r="C342" s="229" t="s">
        <v>590</v>
      </c>
      <c r="D342" s="229" t="s">
        <v>2774</v>
      </c>
      <c r="E342" s="229" t="s">
        <v>1184</v>
      </c>
      <c r="F342" s="230" t="s">
        <v>308</v>
      </c>
      <c r="G342" s="229" t="s">
        <v>1178</v>
      </c>
      <c r="H342" s="229" t="s">
        <v>1204</v>
      </c>
      <c r="I342" s="229" t="s">
        <v>1180</v>
      </c>
      <c r="J342" s="229" t="s">
        <v>611</v>
      </c>
      <c r="K342" s="231" t="s">
        <v>341</v>
      </c>
    </row>
    <row r="343" spans="1:11" s="226" customFormat="1" ht="9.6" customHeight="1" x14ac:dyDescent="0.2">
      <c r="A343" s="229" t="str">
        <f>T_P_BilanSocial[[#This Row],[Nom]]&amp;T_P_BilanSocial[[#This Row],[Prenom]]</f>
        <v>GIRAUDJOHANA</v>
      </c>
      <c r="B343" s="228" t="s">
        <v>2515</v>
      </c>
      <c r="C343" s="229" t="s">
        <v>2516</v>
      </c>
      <c r="D343" s="229" t="s">
        <v>2517</v>
      </c>
      <c r="E343" s="229" t="s">
        <v>1184</v>
      </c>
      <c r="F343" s="230" t="s">
        <v>45</v>
      </c>
      <c r="G343" s="229" t="s">
        <v>1476</v>
      </c>
      <c r="H343" s="229" t="s">
        <v>1794</v>
      </c>
      <c r="I343" s="229" t="s">
        <v>1180</v>
      </c>
      <c r="J343" s="229" t="s">
        <v>2103</v>
      </c>
      <c r="K343" s="231" t="s">
        <v>2104</v>
      </c>
    </row>
    <row r="344" spans="1:11" s="226" customFormat="1" ht="9.6" customHeight="1" x14ac:dyDescent="0.2">
      <c r="A344" s="229" t="str">
        <f>T_P_BilanSocial[[#This Row],[Nom]]&amp;T_P_BilanSocial[[#This Row],[Prenom]]</f>
        <v>GIRIERCAROLE</v>
      </c>
      <c r="B344" s="228" t="s">
        <v>1386</v>
      </c>
      <c r="C344" s="229" t="s">
        <v>1387</v>
      </c>
      <c r="D344" s="229" t="s">
        <v>1388</v>
      </c>
      <c r="E344" s="229" t="s">
        <v>1184</v>
      </c>
      <c r="F344" s="230" t="s">
        <v>45</v>
      </c>
      <c r="G344" s="229" t="s">
        <v>1178</v>
      </c>
      <c r="H344" s="229" t="s">
        <v>1204</v>
      </c>
      <c r="I344" s="229" t="s">
        <v>1180</v>
      </c>
      <c r="J344" s="229" t="s">
        <v>411</v>
      </c>
      <c r="K344" s="231" t="s">
        <v>341</v>
      </c>
    </row>
    <row r="345" spans="1:11" s="226" customFormat="1" ht="9.6" customHeight="1" x14ac:dyDescent="0.2">
      <c r="A345" s="229" t="str">
        <f>T_P_BilanSocial[[#This Row],[Nom]]&amp;T_P_BilanSocial[[#This Row],[Prenom]]</f>
        <v>GIRODJEAN LOUIS</v>
      </c>
      <c r="B345" s="228" t="s">
        <v>2224</v>
      </c>
      <c r="C345" s="229" t="s">
        <v>2225</v>
      </c>
      <c r="D345" s="229" t="s">
        <v>2226</v>
      </c>
      <c r="E345" s="229" t="s">
        <v>1177</v>
      </c>
      <c r="F345" s="230" t="s">
        <v>45</v>
      </c>
      <c r="G345" s="229" t="s">
        <v>1476</v>
      </c>
      <c r="H345" s="229" t="s">
        <v>1477</v>
      </c>
      <c r="I345" s="229" t="s">
        <v>1180</v>
      </c>
      <c r="J345" s="229" t="s">
        <v>2227</v>
      </c>
      <c r="K345" s="231" t="s">
        <v>2228</v>
      </c>
    </row>
    <row r="346" spans="1:11" s="226" customFormat="1" ht="9.6" customHeight="1" x14ac:dyDescent="0.2">
      <c r="A346" s="229" t="str">
        <f>T_P_BilanSocial[[#This Row],[Nom]]&amp;T_P_BilanSocial[[#This Row],[Prenom]]</f>
        <v>GIUPPONIGENEVIÈVE</v>
      </c>
      <c r="B346" s="228" t="s">
        <v>1754</v>
      </c>
      <c r="C346" s="229" t="s">
        <v>1755</v>
      </c>
      <c r="D346" s="229" t="s">
        <v>1648</v>
      </c>
      <c r="E346" s="229" t="s">
        <v>1184</v>
      </c>
      <c r="F346" s="230" t="s">
        <v>45</v>
      </c>
      <c r="G346" s="229" t="s">
        <v>1476</v>
      </c>
      <c r="H346" s="229" t="s">
        <v>1477</v>
      </c>
      <c r="I346" s="229" t="s">
        <v>1180</v>
      </c>
      <c r="J346" s="229" t="s">
        <v>398</v>
      </c>
      <c r="K346" s="231" t="s">
        <v>1298</v>
      </c>
    </row>
    <row r="347" spans="1:11" s="226" customFormat="1" ht="9.6" customHeight="1" x14ac:dyDescent="0.2">
      <c r="A347" s="229" t="str">
        <f>T_P_BilanSocial[[#This Row],[Nom]]&amp;T_P_BilanSocial[[#This Row],[Prenom]]</f>
        <v>GLAVIAUXAURORE</v>
      </c>
      <c r="B347" s="228" t="s">
        <v>2978</v>
      </c>
      <c r="C347" s="229" t="s">
        <v>2979</v>
      </c>
      <c r="D347" s="229" t="s">
        <v>1780</v>
      </c>
      <c r="E347" s="229" t="s">
        <v>1184</v>
      </c>
      <c r="F347" s="230" t="s">
        <v>308</v>
      </c>
      <c r="G347" s="229" t="s">
        <v>1476</v>
      </c>
      <c r="H347" s="229" t="s">
        <v>1794</v>
      </c>
      <c r="I347" s="229" t="s">
        <v>1180</v>
      </c>
      <c r="J347" s="229" t="s">
        <v>2980</v>
      </c>
      <c r="K347" s="231" t="s">
        <v>2981</v>
      </c>
    </row>
    <row r="348" spans="1:11" s="226" customFormat="1" ht="9.6" customHeight="1" x14ac:dyDescent="0.2">
      <c r="A348" s="229" t="str">
        <f>T_P_BilanSocial[[#This Row],[Nom]]&amp;T_P_BilanSocial[[#This Row],[Prenom]]</f>
        <v>GLEPINANNE</v>
      </c>
      <c r="B348" s="228" t="s">
        <v>2486</v>
      </c>
      <c r="C348" s="229" t="s">
        <v>526</v>
      </c>
      <c r="D348" s="229" t="s">
        <v>1257</v>
      </c>
      <c r="E348" s="229" t="s">
        <v>1184</v>
      </c>
      <c r="F348" s="230" t="s">
        <v>45</v>
      </c>
      <c r="G348" s="229" t="s">
        <v>1476</v>
      </c>
      <c r="H348" s="229" t="s">
        <v>1794</v>
      </c>
      <c r="I348" s="229" t="s">
        <v>1180</v>
      </c>
      <c r="J348" s="229" t="s">
        <v>340</v>
      </c>
      <c r="K348" s="231" t="s">
        <v>341</v>
      </c>
    </row>
    <row r="349" spans="1:11" s="226" customFormat="1" ht="9.6" customHeight="1" x14ac:dyDescent="0.2">
      <c r="A349" s="229" t="str">
        <f>T_P_BilanSocial[[#This Row],[Nom]]&amp;T_P_BilanSocial[[#This Row],[Prenom]]</f>
        <v>GODINEAUGUILLAUME</v>
      </c>
      <c r="B349" s="228" t="s">
        <v>1649</v>
      </c>
      <c r="C349" s="229" t="s">
        <v>430</v>
      </c>
      <c r="D349" s="229" t="s">
        <v>506</v>
      </c>
      <c r="E349" s="229" t="s">
        <v>1177</v>
      </c>
      <c r="F349" s="230" t="s">
        <v>308</v>
      </c>
      <c r="G349" s="229" t="s">
        <v>1178</v>
      </c>
      <c r="H349" s="229" t="s">
        <v>1204</v>
      </c>
      <c r="I349" s="229" t="s">
        <v>1180</v>
      </c>
      <c r="J349" s="229" t="s">
        <v>481</v>
      </c>
      <c r="K349" s="231" t="s">
        <v>341</v>
      </c>
    </row>
    <row r="350" spans="1:11" s="226" customFormat="1" ht="9.6" customHeight="1" x14ac:dyDescent="0.2">
      <c r="A350" s="229" t="str">
        <f>T_P_BilanSocial[[#This Row],[Nom]]&amp;T_P_BilanSocial[[#This Row],[Prenom]]</f>
        <v>GOLLIONSYLVIANE</v>
      </c>
      <c r="B350" s="228" t="s">
        <v>1206</v>
      </c>
      <c r="C350" s="229" t="s">
        <v>384</v>
      </c>
      <c r="D350" s="229" t="s">
        <v>1207</v>
      </c>
      <c r="E350" s="229" t="s">
        <v>1184</v>
      </c>
      <c r="F350" s="230" t="s">
        <v>308</v>
      </c>
      <c r="G350" s="229" t="s">
        <v>1178</v>
      </c>
      <c r="H350" s="229" t="s">
        <v>1204</v>
      </c>
      <c r="I350" s="229" t="s">
        <v>1180</v>
      </c>
      <c r="J350" s="229" t="s">
        <v>320</v>
      </c>
      <c r="K350" s="231" t="s">
        <v>321</v>
      </c>
    </row>
    <row r="351" spans="1:11" s="226" customFormat="1" ht="9.6" customHeight="1" x14ac:dyDescent="0.2">
      <c r="A351" s="229" t="str">
        <f>T_P_BilanSocial[[#This Row],[Nom]]&amp;T_P_BilanSocial[[#This Row],[Prenom]]</f>
        <v>GOLLIONAMANDINE</v>
      </c>
      <c r="B351" s="228" t="s">
        <v>1742</v>
      </c>
      <c r="C351" s="229" t="s">
        <v>384</v>
      </c>
      <c r="D351" s="229" t="s">
        <v>1743</v>
      </c>
      <c r="E351" s="229" t="s">
        <v>1184</v>
      </c>
      <c r="F351" s="230" t="s">
        <v>445</v>
      </c>
      <c r="G351" s="229" t="s">
        <v>1178</v>
      </c>
      <c r="H351" s="229" t="s">
        <v>1204</v>
      </c>
      <c r="I351" s="229" t="s">
        <v>1180</v>
      </c>
      <c r="J351" s="229" t="s">
        <v>309</v>
      </c>
      <c r="K351" s="231" t="s">
        <v>824</v>
      </c>
    </row>
    <row r="352" spans="1:11" s="226" customFormat="1" ht="9.6" customHeight="1" x14ac:dyDescent="0.2">
      <c r="A352" s="229" t="str">
        <f>T_P_BilanSocial[[#This Row],[Nom]]&amp;T_P_BilanSocial[[#This Row],[Prenom]]</f>
        <v>GOMESMICKAEL</v>
      </c>
      <c r="B352" s="228" t="s">
        <v>2205</v>
      </c>
      <c r="C352" s="229" t="s">
        <v>2206</v>
      </c>
      <c r="D352" s="229" t="s">
        <v>2207</v>
      </c>
      <c r="E352" s="229" t="s">
        <v>1177</v>
      </c>
      <c r="F352" s="230" t="s">
        <v>45</v>
      </c>
      <c r="G352" s="229" t="s">
        <v>1476</v>
      </c>
      <c r="H352" s="229" t="s">
        <v>1794</v>
      </c>
      <c r="I352" s="229" t="s">
        <v>1180</v>
      </c>
      <c r="J352" s="229" t="s">
        <v>471</v>
      </c>
      <c r="K352" s="231" t="s">
        <v>341</v>
      </c>
    </row>
    <row r="353" spans="1:11" s="226" customFormat="1" ht="9.6" customHeight="1" x14ac:dyDescent="0.2">
      <c r="A353" s="229" t="str">
        <f>T_P_BilanSocial[[#This Row],[Nom]]&amp;T_P_BilanSocial[[#This Row],[Prenom]]</f>
        <v>GOMES PEREIRAJORGE</v>
      </c>
      <c r="B353" s="228" t="s">
        <v>1429</v>
      </c>
      <c r="C353" s="229" t="s">
        <v>1430</v>
      </c>
      <c r="D353" s="229" t="s">
        <v>1431</v>
      </c>
      <c r="E353" s="229" t="s">
        <v>1177</v>
      </c>
      <c r="F353" s="230" t="s">
        <v>45</v>
      </c>
      <c r="G353" s="229" t="s">
        <v>1178</v>
      </c>
      <c r="H353" s="229" t="s">
        <v>1204</v>
      </c>
      <c r="I353" s="229" t="s">
        <v>1180</v>
      </c>
      <c r="J353" s="229" t="s">
        <v>411</v>
      </c>
      <c r="K353" s="231" t="s">
        <v>341</v>
      </c>
    </row>
    <row r="354" spans="1:11" s="226" customFormat="1" ht="9.6" customHeight="1" x14ac:dyDescent="0.2">
      <c r="A354" s="229" t="str">
        <f>T_P_BilanSocial[[#This Row],[Nom]]&amp;T_P_BilanSocial[[#This Row],[Prenom]]</f>
        <v>GOONOOURSULA</v>
      </c>
      <c r="B354" s="228" t="s">
        <v>2420</v>
      </c>
      <c r="C354" s="229" t="s">
        <v>2421</v>
      </c>
      <c r="D354" s="229" t="s">
        <v>2422</v>
      </c>
      <c r="E354" s="229" t="s">
        <v>1184</v>
      </c>
      <c r="F354" s="230" t="s">
        <v>45</v>
      </c>
      <c r="G354" s="229" t="s">
        <v>1476</v>
      </c>
      <c r="H354" s="229" t="s">
        <v>1794</v>
      </c>
      <c r="I354" s="229" t="s">
        <v>1180</v>
      </c>
      <c r="J354" s="229" t="s">
        <v>684</v>
      </c>
      <c r="K354" s="231" t="s">
        <v>341</v>
      </c>
    </row>
    <row r="355" spans="1:11" s="226" customFormat="1" ht="9.6" customHeight="1" x14ac:dyDescent="0.2">
      <c r="A355" s="229" t="str">
        <f>T_P_BilanSocial[[#This Row],[Nom]]&amp;T_P_BilanSocial[[#This Row],[Prenom]]</f>
        <v>GOROKHOVSKIFRANCOISE</v>
      </c>
      <c r="B355" s="228" t="s">
        <v>1980</v>
      </c>
      <c r="C355" s="229" t="s">
        <v>1981</v>
      </c>
      <c r="D355" s="229" t="s">
        <v>1982</v>
      </c>
      <c r="E355" s="229" t="s">
        <v>1184</v>
      </c>
      <c r="F355" s="230" t="s">
        <v>445</v>
      </c>
      <c r="G355" s="229" t="s">
        <v>1178</v>
      </c>
      <c r="H355" s="229" t="s">
        <v>1179</v>
      </c>
      <c r="I355" s="229" t="s">
        <v>1180</v>
      </c>
      <c r="J355" s="229" t="s">
        <v>626</v>
      </c>
      <c r="K355" s="231" t="s">
        <v>341</v>
      </c>
    </row>
    <row r="356" spans="1:11" s="226" customFormat="1" ht="9.6" customHeight="1" x14ac:dyDescent="0.2">
      <c r="A356" s="229" t="str">
        <f>T_P_BilanSocial[[#This Row],[Nom]]&amp;T_P_BilanSocial[[#This Row],[Prenom]]</f>
        <v>GOSSELINALINE</v>
      </c>
      <c r="B356" s="228" t="s">
        <v>1702</v>
      </c>
      <c r="C356" s="229" t="s">
        <v>1703</v>
      </c>
      <c r="D356" s="229" t="s">
        <v>1704</v>
      </c>
      <c r="E356" s="229" t="s">
        <v>1184</v>
      </c>
      <c r="F356" s="230" t="s">
        <v>308</v>
      </c>
      <c r="G356" s="229" t="s">
        <v>1178</v>
      </c>
      <c r="H356" s="229" t="s">
        <v>1204</v>
      </c>
      <c r="I356" s="229" t="s">
        <v>1180</v>
      </c>
      <c r="J356" s="229" t="s">
        <v>376</v>
      </c>
      <c r="K356" s="231" t="s">
        <v>341</v>
      </c>
    </row>
    <row r="357" spans="1:11" s="226" customFormat="1" ht="9.6" customHeight="1" x14ac:dyDescent="0.2">
      <c r="A357" s="229" t="str">
        <f>T_P_BilanSocial[[#This Row],[Nom]]&amp;T_P_BilanSocial[[#This Row],[Prenom]]</f>
        <v>GOUDETMARTINE</v>
      </c>
      <c r="B357" s="228" t="s">
        <v>1331</v>
      </c>
      <c r="C357" s="229" t="s">
        <v>890</v>
      </c>
      <c r="D357" s="229" t="s">
        <v>1267</v>
      </c>
      <c r="E357" s="229" t="s">
        <v>1184</v>
      </c>
      <c r="F357" s="230" t="s">
        <v>308</v>
      </c>
      <c r="G357" s="229" t="s">
        <v>1178</v>
      </c>
      <c r="H357" s="229" t="s">
        <v>1204</v>
      </c>
      <c r="I357" s="229" t="s">
        <v>1180</v>
      </c>
      <c r="J357" s="229" t="s">
        <v>1141</v>
      </c>
      <c r="K357" s="231" t="s">
        <v>1192</v>
      </c>
    </row>
    <row r="358" spans="1:11" s="226" customFormat="1" ht="9.6" customHeight="1" x14ac:dyDescent="0.2">
      <c r="A358" s="229" t="str">
        <f>T_P_BilanSocial[[#This Row],[Nom]]&amp;T_P_BilanSocial[[#This Row],[Prenom]]</f>
        <v>GOUPYSANDRINE</v>
      </c>
      <c r="B358" s="228" t="s">
        <v>1494</v>
      </c>
      <c r="C358" s="229" t="s">
        <v>1495</v>
      </c>
      <c r="D358" s="229" t="s">
        <v>1200</v>
      </c>
      <c r="E358" s="229" t="s">
        <v>1184</v>
      </c>
      <c r="F358" s="230" t="s">
        <v>445</v>
      </c>
      <c r="G358" s="229" t="s">
        <v>1178</v>
      </c>
      <c r="H358" s="229" t="s">
        <v>1204</v>
      </c>
      <c r="I358" s="229" t="s">
        <v>1180</v>
      </c>
      <c r="J358" s="229" t="s">
        <v>1011</v>
      </c>
      <c r="K358" s="231" t="s">
        <v>1012</v>
      </c>
    </row>
    <row r="359" spans="1:11" s="226" customFormat="1" ht="9.6" customHeight="1" x14ac:dyDescent="0.2">
      <c r="A359" s="229" t="str">
        <f>T_P_BilanSocial[[#This Row],[Nom]]&amp;T_P_BilanSocial[[#This Row],[Prenom]]</f>
        <v>GOUTTEFARDEPIERRE</v>
      </c>
      <c r="B359" s="228" t="s">
        <v>2671</v>
      </c>
      <c r="C359" s="229" t="s">
        <v>2672</v>
      </c>
      <c r="D359" s="229" t="s">
        <v>1297</v>
      </c>
      <c r="E359" s="229" t="s">
        <v>1177</v>
      </c>
      <c r="F359" s="230" t="s">
        <v>45</v>
      </c>
      <c r="G359" s="229" t="s">
        <v>1476</v>
      </c>
      <c r="H359" s="229" t="s">
        <v>1794</v>
      </c>
      <c r="I359" s="229" t="s">
        <v>1180</v>
      </c>
      <c r="J359" s="229" t="s">
        <v>376</v>
      </c>
      <c r="K359" s="231" t="s">
        <v>341</v>
      </c>
    </row>
    <row r="360" spans="1:11" s="226" customFormat="1" ht="9.6" customHeight="1" x14ac:dyDescent="0.2">
      <c r="A360" s="229" t="str">
        <f>T_P_BilanSocial[[#This Row],[Nom]]&amp;T_P_BilanSocial[[#This Row],[Prenom]]</f>
        <v>GRAS POIXSYLVIANE</v>
      </c>
      <c r="B360" s="228" t="s">
        <v>2296</v>
      </c>
      <c r="C360" s="229" t="s">
        <v>2297</v>
      </c>
      <c r="D360" s="229" t="s">
        <v>1207</v>
      </c>
      <c r="E360" s="229" t="s">
        <v>1184</v>
      </c>
      <c r="F360" s="230" t="s">
        <v>45</v>
      </c>
      <c r="G360" s="229" t="s">
        <v>1476</v>
      </c>
      <c r="H360" s="229" t="s">
        <v>1477</v>
      </c>
      <c r="I360" s="229" t="s">
        <v>1180</v>
      </c>
      <c r="J360" s="229" t="s">
        <v>656</v>
      </c>
      <c r="K360" s="231" t="s">
        <v>2298</v>
      </c>
    </row>
    <row r="361" spans="1:11" s="226" customFormat="1" ht="9.6" customHeight="1" x14ac:dyDescent="0.2">
      <c r="A361" s="229" t="str">
        <f>T_P_BilanSocial[[#This Row],[Nom]]&amp;T_P_BilanSocial[[#This Row],[Prenom]]</f>
        <v>GRECHDanIèle</v>
      </c>
      <c r="B361" s="228" t="s">
        <v>2371</v>
      </c>
      <c r="C361" s="229" t="s">
        <v>412</v>
      </c>
      <c r="D361" s="235" t="s">
        <v>3004</v>
      </c>
      <c r="E361" s="229" t="s">
        <v>1184</v>
      </c>
      <c r="F361" s="230" t="s">
        <v>308</v>
      </c>
      <c r="G361" s="229" t="s">
        <v>1178</v>
      </c>
      <c r="H361" s="229" t="s">
        <v>1204</v>
      </c>
      <c r="I361" s="229" t="s">
        <v>1180</v>
      </c>
      <c r="J361" s="229" t="s">
        <v>416</v>
      </c>
      <c r="K361" s="231" t="s">
        <v>2372</v>
      </c>
    </row>
    <row r="362" spans="1:11" s="226" customFormat="1" ht="9.6" customHeight="1" x14ac:dyDescent="0.2">
      <c r="A362" s="229" t="str">
        <f>T_P_BilanSocial[[#This Row],[Nom]]&amp;T_P_BilanSocial[[#This Row],[Prenom]]</f>
        <v>GRECODELPHINE</v>
      </c>
      <c r="B362" s="228" t="s">
        <v>1919</v>
      </c>
      <c r="C362" s="229" t="s">
        <v>400</v>
      </c>
      <c r="D362" s="229" t="s">
        <v>1195</v>
      </c>
      <c r="E362" s="229" t="s">
        <v>1184</v>
      </c>
      <c r="F362" s="230" t="s">
        <v>308</v>
      </c>
      <c r="G362" s="229" t="s">
        <v>1178</v>
      </c>
      <c r="H362" s="229" t="s">
        <v>1204</v>
      </c>
      <c r="I362" s="229" t="s">
        <v>1180</v>
      </c>
      <c r="J362" s="229" t="s">
        <v>408</v>
      </c>
      <c r="K362" s="232" t="s">
        <v>2999</v>
      </c>
    </row>
    <row r="363" spans="1:11" s="226" customFormat="1" ht="9.6" customHeight="1" x14ac:dyDescent="0.2">
      <c r="A363" s="229" t="str">
        <f>T_P_BilanSocial[[#This Row],[Nom]]&amp;T_P_BilanSocial[[#This Row],[Prenom]]</f>
        <v>GRINANDNICOLE</v>
      </c>
      <c r="B363" s="228" t="s">
        <v>1496</v>
      </c>
      <c r="C363" s="229" t="s">
        <v>1497</v>
      </c>
      <c r="D363" s="229" t="s">
        <v>1498</v>
      </c>
      <c r="E363" s="229" t="s">
        <v>1184</v>
      </c>
      <c r="F363" s="230" t="s">
        <v>308</v>
      </c>
      <c r="G363" s="229" t="s">
        <v>1476</v>
      </c>
      <c r="H363" s="229" t="s">
        <v>1477</v>
      </c>
      <c r="I363" s="229" t="s">
        <v>1180</v>
      </c>
      <c r="J363" s="229" t="s">
        <v>481</v>
      </c>
      <c r="K363" s="231" t="s">
        <v>341</v>
      </c>
    </row>
    <row r="364" spans="1:11" s="226" customFormat="1" ht="9.6" customHeight="1" x14ac:dyDescent="0.2">
      <c r="A364" s="229" t="str">
        <f>T_P_BilanSocial[[#This Row],[Nom]]&amp;T_P_BilanSocial[[#This Row],[Prenom]]</f>
        <v>GROLLEAUFLORIAN</v>
      </c>
      <c r="B364" s="228" t="s">
        <v>2745</v>
      </c>
      <c r="C364" s="229" t="s">
        <v>2746</v>
      </c>
      <c r="D364" s="229" t="s">
        <v>2747</v>
      </c>
      <c r="E364" s="229" t="s">
        <v>1177</v>
      </c>
      <c r="F364" s="230" t="s">
        <v>45</v>
      </c>
      <c r="G364" s="229" t="s">
        <v>1476</v>
      </c>
      <c r="H364" s="229" t="s">
        <v>1794</v>
      </c>
      <c r="I364" s="229" t="s">
        <v>1180</v>
      </c>
      <c r="J364" s="229" t="s">
        <v>1079</v>
      </c>
      <c r="K364" s="231" t="s">
        <v>2495</v>
      </c>
    </row>
    <row r="365" spans="1:11" s="226" customFormat="1" ht="9.6" customHeight="1" x14ac:dyDescent="0.2">
      <c r="A365" s="229" t="str">
        <f>T_P_BilanSocial[[#This Row],[Nom]]&amp;T_P_BilanSocial[[#This Row],[Prenom]]</f>
        <v>GUEHOANNE-SOPHIE</v>
      </c>
      <c r="B365" s="228" t="s">
        <v>1613</v>
      </c>
      <c r="C365" s="229" t="s">
        <v>874</v>
      </c>
      <c r="D365" s="229" t="s">
        <v>1614</v>
      </c>
      <c r="E365" s="229" t="s">
        <v>1184</v>
      </c>
      <c r="F365" s="230" t="s">
        <v>308</v>
      </c>
      <c r="G365" s="229" t="s">
        <v>1178</v>
      </c>
      <c r="H365" s="229" t="s">
        <v>1204</v>
      </c>
      <c r="I365" s="229" t="s">
        <v>1180</v>
      </c>
      <c r="J365" s="229" t="s">
        <v>376</v>
      </c>
      <c r="K365" s="231" t="s">
        <v>341</v>
      </c>
    </row>
    <row r="366" spans="1:11" s="226" customFormat="1" ht="9.6" customHeight="1" x14ac:dyDescent="0.2">
      <c r="A366" s="229" t="str">
        <f>T_P_BilanSocial[[#This Row],[Nom]]&amp;T_P_BilanSocial[[#This Row],[Prenom]]</f>
        <v>GUEMARDMORGANE</v>
      </c>
      <c r="B366" s="228" t="s">
        <v>2949</v>
      </c>
      <c r="C366" s="229" t="s">
        <v>2950</v>
      </c>
      <c r="D366" s="229" t="s">
        <v>1908</v>
      </c>
      <c r="E366" s="229" t="s">
        <v>1184</v>
      </c>
      <c r="F366" s="230" t="s">
        <v>45</v>
      </c>
      <c r="G366" s="229" t="s">
        <v>1476</v>
      </c>
      <c r="H366" s="229" t="s">
        <v>1794</v>
      </c>
      <c r="I366" s="229" t="s">
        <v>1180</v>
      </c>
      <c r="J366" s="229" t="s">
        <v>411</v>
      </c>
      <c r="K366" s="231" t="s">
        <v>341</v>
      </c>
    </row>
    <row r="367" spans="1:11" s="226" customFormat="1" ht="9.6" customHeight="1" x14ac:dyDescent="0.2">
      <c r="A367" s="229" t="str">
        <f>T_P_BilanSocial[[#This Row],[Nom]]&amp;T_P_BilanSocial[[#This Row],[Prenom]]</f>
        <v>GUEMIZANAIL</v>
      </c>
      <c r="B367" s="228" t="s">
        <v>2441</v>
      </c>
      <c r="C367" s="229" t="s">
        <v>2442</v>
      </c>
      <c r="D367" s="229" t="s">
        <v>2443</v>
      </c>
      <c r="E367" s="229" t="s">
        <v>1177</v>
      </c>
      <c r="F367" s="230" t="s">
        <v>45</v>
      </c>
      <c r="G367" s="229" t="s">
        <v>1476</v>
      </c>
      <c r="H367" s="229" t="s">
        <v>1477</v>
      </c>
      <c r="I367" s="229" t="s">
        <v>1180</v>
      </c>
      <c r="J367" s="229" t="s">
        <v>329</v>
      </c>
      <c r="K367" s="231" t="s">
        <v>1903</v>
      </c>
    </row>
    <row r="368" spans="1:11" s="226" customFormat="1" ht="9.6" customHeight="1" x14ac:dyDescent="0.2">
      <c r="A368" s="229" t="str">
        <f>T_P_BilanSocial[[#This Row],[Nom]]&amp;T_P_BilanSocial[[#This Row],[Prenom]]</f>
        <v>GUEMIZAJYHANE</v>
      </c>
      <c r="B368" s="228" t="s">
        <v>2805</v>
      </c>
      <c r="C368" s="229" t="s">
        <v>2442</v>
      </c>
      <c r="D368" s="229" t="s">
        <v>2806</v>
      </c>
      <c r="E368" s="229" t="s">
        <v>1184</v>
      </c>
      <c r="F368" s="230" t="s">
        <v>45</v>
      </c>
      <c r="G368" s="229" t="s">
        <v>1476</v>
      </c>
      <c r="H368" s="229" t="s">
        <v>1794</v>
      </c>
      <c r="I368" s="229" t="s">
        <v>1180</v>
      </c>
      <c r="J368" s="229" t="s">
        <v>329</v>
      </c>
      <c r="K368" s="231" t="s">
        <v>501</v>
      </c>
    </row>
    <row r="369" spans="1:11" s="226" customFormat="1" ht="9.6" customHeight="1" x14ac:dyDescent="0.2">
      <c r="A369" s="229" t="str">
        <f>T_P_BilanSocial[[#This Row],[Nom]]&amp;T_P_BilanSocial[[#This Row],[Prenom]]</f>
        <v>GUENARDFABIENNE</v>
      </c>
      <c r="B369" s="228" t="s">
        <v>1542</v>
      </c>
      <c r="C369" s="229" t="s">
        <v>638</v>
      </c>
      <c r="D369" s="229" t="s">
        <v>1543</v>
      </c>
      <c r="E369" s="229" t="s">
        <v>1184</v>
      </c>
      <c r="F369" s="230" t="s">
        <v>445</v>
      </c>
      <c r="G369" s="229" t="s">
        <v>1178</v>
      </c>
      <c r="H369" s="229" t="s">
        <v>1179</v>
      </c>
      <c r="I369" s="229" t="s">
        <v>1180</v>
      </c>
      <c r="J369" s="229" t="s">
        <v>639</v>
      </c>
      <c r="K369" s="231" t="s">
        <v>640</v>
      </c>
    </row>
    <row r="370" spans="1:11" s="226" customFormat="1" ht="9.6" customHeight="1" x14ac:dyDescent="0.2">
      <c r="A370" s="229" t="str">
        <f>T_P_BilanSocial[[#This Row],[Nom]]&amp;T_P_BilanSocial[[#This Row],[Prenom]]</f>
        <v>GUERINMARGAUX</v>
      </c>
      <c r="B370" s="228" t="s">
        <v>2013</v>
      </c>
      <c r="C370" s="229" t="s">
        <v>2014</v>
      </c>
      <c r="D370" s="229" t="s">
        <v>2015</v>
      </c>
      <c r="E370" s="229" t="s">
        <v>1184</v>
      </c>
      <c r="F370" s="230" t="s">
        <v>45</v>
      </c>
      <c r="G370" s="229" t="s">
        <v>1476</v>
      </c>
      <c r="H370" s="229" t="s">
        <v>1477</v>
      </c>
      <c r="I370" s="229" t="s">
        <v>1180</v>
      </c>
      <c r="J370" s="229" t="s">
        <v>471</v>
      </c>
      <c r="K370" s="231" t="s">
        <v>341</v>
      </c>
    </row>
    <row r="371" spans="1:11" s="226" customFormat="1" ht="9.6" customHeight="1" x14ac:dyDescent="0.2">
      <c r="A371" s="229" t="str">
        <f>T_P_BilanSocial[[#This Row],[Nom]]&amp;T_P_BilanSocial[[#This Row],[Prenom]]</f>
        <v>GUETATMICHÈLE</v>
      </c>
      <c r="B371" s="228" t="s">
        <v>1211</v>
      </c>
      <c r="C371" s="229" t="s">
        <v>1212</v>
      </c>
      <c r="D371" s="229" t="s">
        <v>1213</v>
      </c>
      <c r="E371" s="229" t="s">
        <v>1184</v>
      </c>
      <c r="F371" s="230" t="s">
        <v>445</v>
      </c>
      <c r="G371" s="229" t="s">
        <v>1178</v>
      </c>
      <c r="H371" s="229" t="s">
        <v>1179</v>
      </c>
      <c r="I371" s="229" t="s">
        <v>1180</v>
      </c>
      <c r="J371" s="229" t="s">
        <v>340</v>
      </c>
      <c r="K371" s="231" t="s">
        <v>341</v>
      </c>
    </row>
    <row r="372" spans="1:11" s="226" customFormat="1" ht="9.6" customHeight="1" x14ac:dyDescent="0.2">
      <c r="A372" s="229" t="str">
        <f>T_P_BilanSocial[[#This Row],[Nom]]&amp;T_P_BilanSocial[[#This Row],[Prenom]]</f>
        <v>GUEYEOUSMANE</v>
      </c>
      <c r="B372" s="228" t="s">
        <v>1998</v>
      </c>
      <c r="C372" s="229" t="s">
        <v>974</v>
      </c>
      <c r="D372" s="229" t="s">
        <v>1999</v>
      </c>
      <c r="E372" s="229" t="s">
        <v>1177</v>
      </c>
      <c r="F372" s="230" t="s">
        <v>45</v>
      </c>
      <c r="G372" s="229" t="s">
        <v>1476</v>
      </c>
      <c r="H372" s="229" t="s">
        <v>1477</v>
      </c>
      <c r="I372" s="229" t="s">
        <v>1180</v>
      </c>
      <c r="J372" s="229" t="s">
        <v>443</v>
      </c>
      <c r="K372" s="231" t="s">
        <v>2000</v>
      </c>
    </row>
    <row r="373" spans="1:11" s="226" customFormat="1" ht="9.6" customHeight="1" x14ac:dyDescent="0.2">
      <c r="A373" s="229" t="str">
        <f>T_P_BilanSocial[[#This Row],[Nom]]&amp;T_P_BilanSocial[[#This Row],[Prenom]]</f>
        <v>GUICHONCAROLE</v>
      </c>
      <c r="B373" s="228" t="s">
        <v>1459</v>
      </c>
      <c r="C373" s="229" t="s">
        <v>1460</v>
      </c>
      <c r="D373" s="229" t="s">
        <v>1388</v>
      </c>
      <c r="E373" s="229" t="s">
        <v>1184</v>
      </c>
      <c r="F373" s="230" t="s">
        <v>45</v>
      </c>
      <c r="G373" s="229" t="s">
        <v>1178</v>
      </c>
      <c r="H373" s="229" t="s">
        <v>1435</v>
      </c>
      <c r="I373" s="229" t="s">
        <v>1180</v>
      </c>
      <c r="J373" s="229" t="s">
        <v>1461</v>
      </c>
      <c r="K373" s="231" t="s">
        <v>1462</v>
      </c>
    </row>
    <row r="374" spans="1:11" s="226" customFormat="1" ht="9.6" customHeight="1" x14ac:dyDescent="0.2">
      <c r="A374" s="229" t="str">
        <f>T_P_BilanSocial[[#This Row],[Nom]]&amp;T_P_BilanSocial[[#This Row],[Prenom]]</f>
        <v>GUILLARDSOPHIE</v>
      </c>
      <c r="B374" s="228" t="s">
        <v>2815</v>
      </c>
      <c r="C374" s="229" t="s">
        <v>512</v>
      </c>
      <c r="D374" s="229" t="s">
        <v>1255</v>
      </c>
      <c r="E374" s="229" t="s">
        <v>1184</v>
      </c>
      <c r="F374" s="230" t="s">
        <v>308</v>
      </c>
      <c r="G374" s="229" t="s">
        <v>1476</v>
      </c>
      <c r="H374" s="229" t="s">
        <v>1794</v>
      </c>
      <c r="I374" s="229" t="s">
        <v>1180</v>
      </c>
      <c r="J374" s="229" t="s">
        <v>340</v>
      </c>
      <c r="K374" s="231" t="s">
        <v>341</v>
      </c>
    </row>
    <row r="375" spans="1:11" s="226" customFormat="1" ht="9.6" customHeight="1" x14ac:dyDescent="0.2">
      <c r="A375" s="229" t="str">
        <f>T_P_BilanSocial[[#This Row],[Nom]]&amp;T_P_BilanSocial[[#This Row],[Prenom]]</f>
        <v>GUILLARDHUE SHEN</v>
      </c>
      <c r="B375" s="228" t="s">
        <v>2862</v>
      </c>
      <c r="C375" s="229" t="s">
        <v>512</v>
      </c>
      <c r="D375" s="229" t="s">
        <v>2863</v>
      </c>
      <c r="E375" s="229" t="s">
        <v>1184</v>
      </c>
      <c r="F375" s="230" t="s">
        <v>45</v>
      </c>
      <c r="G375" s="229" t="s">
        <v>1476</v>
      </c>
      <c r="H375" s="229" t="s">
        <v>1794</v>
      </c>
      <c r="I375" s="229" t="s">
        <v>1180</v>
      </c>
      <c r="J375" s="229" t="s">
        <v>376</v>
      </c>
      <c r="K375" s="231" t="s">
        <v>341</v>
      </c>
    </row>
    <row r="376" spans="1:11" s="226" customFormat="1" ht="9.6" customHeight="1" x14ac:dyDescent="0.2">
      <c r="A376" s="229" t="str">
        <f>T_P_BilanSocial[[#This Row],[Nom]]&amp;T_P_BilanSocial[[#This Row],[Prenom]]</f>
        <v>GUILLAUMEMARIE</v>
      </c>
      <c r="B376" s="228" t="s">
        <v>2089</v>
      </c>
      <c r="C376" s="229" t="s">
        <v>506</v>
      </c>
      <c r="D376" s="229" t="s">
        <v>2090</v>
      </c>
      <c r="E376" s="229" t="s">
        <v>1184</v>
      </c>
      <c r="F376" s="230" t="s">
        <v>308</v>
      </c>
      <c r="G376" s="229" t="s">
        <v>1178</v>
      </c>
      <c r="H376" s="229" t="s">
        <v>1204</v>
      </c>
      <c r="I376" s="229" t="s">
        <v>1180</v>
      </c>
      <c r="J376" s="229" t="s">
        <v>376</v>
      </c>
      <c r="K376" s="231" t="s">
        <v>341</v>
      </c>
    </row>
    <row r="377" spans="1:11" s="226" customFormat="1" ht="9.6" customHeight="1" x14ac:dyDescent="0.2">
      <c r="A377" s="229" t="str">
        <f>T_P_BilanSocial[[#This Row],[Nom]]&amp;T_P_BilanSocial[[#This Row],[Prenom]]</f>
        <v>GUILLAUMEKILDINE</v>
      </c>
      <c r="B377" s="228" t="s">
        <v>2661</v>
      </c>
      <c r="C377" s="229" t="s">
        <v>506</v>
      </c>
      <c r="D377" s="229" t="s">
        <v>2662</v>
      </c>
      <c r="E377" s="229" t="s">
        <v>1184</v>
      </c>
      <c r="F377" s="230" t="s">
        <v>45</v>
      </c>
      <c r="G377" s="229" t="s">
        <v>1476</v>
      </c>
      <c r="H377" s="229" t="s">
        <v>1794</v>
      </c>
      <c r="I377" s="229" t="s">
        <v>1180</v>
      </c>
      <c r="J377" s="229" t="s">
        <v>320</v>
      </c>
      <c r="K377" s="231" t="s">
        <v>321</v>
      </c>
    </row>
    <row r="378" spans="1:11" s="226" customFormat="1" ht="9.6" customHeight="1" x14ac:dyDescent="0.2">
      <c r="A378" s="229" t="str">
        <f>T_P_BilanSocial[[#This Row],[Nom]]&amp;T_P_BilanSocial[[#This Row],[Prenom]]</f>
        <v>GUILLEN GAMEROMARIE-THÉRÈSE</v>
      </c>
      <c r="B378" s="228" t="s">
        <v>1728</v>
      </c>
      <c r="C378" s="233" t="s">
        <v>1104</v>
      </c>
      <c r="D378" s="229" t="s">
        <v>1729</v>
      </c>
      <c r="E378" s="229" t="s">
        <v>1184</v>
      </c>
      <c r="F378" s="230" t="s">
        <v>445</v>
      </c>
      <c r="G378" s="229" t="s">
        <v>1178</v>
      </c>
      <c r="H378" s="229" t="s">
        <v>1204</v>
      </c>
      <c r="I378" s="229" t="s">
        <v>1180</v>
      </c>
      <c r="J378" s="229" t="s">
        <v>477</v>
      </c>
      <c r="K378" s="231" t="s">
        <v>637</v>
      </c>
    </row>
    <row r="379" spans="1:11" s="226" customFormat="1" ht="9.6" customHeight="1" x14ac:dyDescent="0.2">
      <c r="A379" s="229" t="str">
        <f>T_P_BilanSocial[[#This Row],[Nom]]&amp;T_P_BilanSocial[[#This Row],[Prenom]]</f>
        <v>GUILLIN BLANCCÉLINE</v>
      </c>
      <c r="B379" s="228" t="s">
        <v>1670</v>
      </c>
      <c r="C379" s="229" t="s">
        <v>530</v>
      </c>
      <c r="D379" s="229" t="s">
        <v>1671</v>
      </c>
      <c r="E379" s="229" t="s">
        <v>1184</v>
      </c>
      <c r="F379" s="230" t="s">
        <v>445</v>
      </c>
      <c r="G379" s="229" t="s">
        <v>1178</v>
      </c>
      <c r="H379" s="229" t="s">
        <v>1179</v>
      </c>
      <c r="I379" s="229" t="s">
        <v>1180</v>
      </c>
      <c r="J379" s="229" t="s">
        <v>531</v>
      </c>
      <c r="K379" s="231" t="s">
        <v>532</v>
      </c>
    </row>
    <row r="380" spans="1:11" s="226" customFormat="1" ht="9.6" customHeight="1" x14ac:dyDescent="0.2">
      <c r="A380" s="229" t="str">
        <f>T_P_BilanSocial[[#This Row],[Nom]]&amp;T_P_BilanSocial[[#This Row],[Prenom]]</f>
        <v>GURDEBEKEMARION</v>
      </c>
      <c r="B380" s="228" t="s">
        <v>2947</v>
      </c>
      <c r="C380" s="229" t="s">
        <v>2948</v>
      </c>
      <c r="D380" s="229" t="s">
        <v>564</v>
      </c>
      <c r="E380" s="229" t="s">
        <v>1184</v>
      </c>
      <c r="F380" s="230" t="s">
        <v>45</v>
      </c>
      <c r="G380" s="229" t="s">
        <v>1476</v>
      </c>
      <c r="H380" s="229" t="s">
        <v>1794</v>
      </c>
      <c r="I380" s="229" t="s">
        <v>1180</v>
      </c>
      <c r="J380" s="229" t="s">
        <v>376</v>
      </c>
      <c r="K380" s="231" t="s">
        <v>341</v>
      </c>
    </row>
    <row r="381" spans="1:11" s="226" customFormat="1" ht="9.6" customHeight="1" x14ac:dyDescent="0.2">
      <c r="A381" s="229" t="str">
        <f>T_P_BilanSocial[[#This Row],[Nom]]&amp;T_P_BilanSocial[[#This Row],[Prenom]]</f>
        <v>GUTIERREZMAUDE</v>
      </c>
      <c r="B381" s="228" t="s">
        <v>2730</v>
      </c>
      <c r="C381" s="229" t="s">
        <v>1171</v>
      </c>
      <c r="D381" s="229" t="s">
        <v>2731</v>
      </c>
      <c r="E381" s="229" t="s">
        <v>1184</v>
      </c>
      <c r="F381" s="230" t="s">
        <v>308</v>
      </c>
      <c r="G381" s="229" t="s">
        <v>1476</v>
      </c>
      <c r="H381" s="229" t="s">
        <v>1794</v>
      </c>
      <c r="I381" s="229" t="s">
        <v>1180</v>
      </c>
      <c r="J381" s="229" t="s">
        <v>618</v>
      </c>
      <c r="K381" s="231" t="s">
        <v>785</v>
      </c>
    </row>
    <row r="382" spans="1:11" s="226" customFormat="1" ht="9.6" customHeight="1" x14ac:dyDescent="0.2">
      <c r="A382" s="229" t="str">
        <f>T_P_BilanSocial[[#This Row],[Nom]]&amp;T_P_BilanSocial[[#This Row],[Prenom]]</f>
        <v>GUYOTLAURENT</v>
      </c>
      <c r="B382" s="228" t="s">
        <v>2539</v>
      </c>
      <c r="C382" s="229" t="s">
        <v>2540</v>
      </c>
      <c r="D382" s="229" t="s">
        <v>1799</v>
      </c>
      <c r="E382" s="229" t="s">
        <v>1177</v>
      </c>
      <c r="F382" s="230" t="s">
        <v>445</v>
      </c>
      <c r="G382" s="229" t="s">
        <v>1178</v>
      </c>
      <c r="H382" s="229" t="s">
        <v>1204</v>
      </c>
      <c r="I382" s="229" t="s">
        <v>1180</v>
      </c>
      <c r="J382" s="229" t="s">
        <v>2336</v>
      </c>
      <c r="K382" s="231" t="s">
        <v>2541</v>
      </c>
    </row>
    <row r="383" spans="1:11" s="226" customFormat="1" ht="9.6" customHeight="1" x14ac:dyDescent="0.2">
      <c r="A383" s="229" t="str">
        <f>T_P_BilanSocial[[#This Row],[Nom]]&amp;T_P_BilanSocial[[#This Row],[Prenom]]</f>
        <v>HABBAZ-RAHEMDIDIER</v>
      </c>
      <c r="B383" s="228" t="s">
        <v>2691</v>
      </c>
      <c r="C383" s="229" t="s">
        <v>744</v>
      </c>
      <c r="D383" s="229" t="s">
        <v>2692</v>
      </c>
      <c r="E383" s="229" t="s">
        <v>1177</v>
      </c>
      <c r="F383" s="230" t="s">
        <v>45</v>
      </c>
      <c r="G383" s="229" t="s">
        <v>1476</v>
      </c>
      <c r="H383" s="229" t="s">
        <v>1794</v>
      </c>
      <c r="I383" s="229" t="s">
        <v>1180</v>
      </c>
      <c r="J383" s="229" t="s">
        <v>353</v>
      </c>
      <c r="K383" s="231" t="s">
        <v>354</v>
      </c>
    </row>
    <row r="384" spans="1:11" s="226" customFormat="1" ht="9.6" customHeight="1" x14ac:dyDescent="0.2">
      <c r="A384" s="229" t="str">
        <f>T_P_BilanSocial[[#This Row],[Nom]]&amp;T_P_BilanSocial[[#This Row],[Prenom]]</f>
        <v>HAMDADSAURIA</v>
      </c>
      <c r="B384" s="228" t="s">
        <v>2349</v>
      </c>
      <c r="C384" s="229" t="s">
        <v>2350</v>
      </c>
      <c r="D384" s="229" t="s">
        <v>2351</v>
      </c>
      <c r="E384" s="229" t="s">
        <v>1184</v>
      </c>
      <c r="F384" s="230" t="s">
        <v>45</v>
      </c>
      <c r="G384" s="229" t="s">
        <v>1178</v>
      </c>
      <c r="H384" s="229" t="s">
        <v>1204</v>
      </c>
      <c r="I384" s="229" t="s">
        <v>1180</v>
      </c>
      <c r="J384" s="229" t="s">
        <v>790</v>
      </c>
      <c r="K384" s="231" t="s">
        <v>1205</v>
      </c>
    </row>
    <row r="385" spans="1:11" s="226" customFormat="1" ht="9.6" customHeight="1" x14ac:dyDescent="0.2">
      <c r="A385" s="229" t="str">
        <f>T_P_BilanSocial[[#This Row],[Nom]]&amp;T_P_BilanSocial[[#This Row],[Prenom]]</f>
        <v>HAMDADOUMORGANE</v>
      </c>
      <c r="B385" s="228" t="s">
        <v>2462</v>
      </c>
      <c r="C385" s="229" t="s">
        <v>313</v>
      </c>
      <c r="D385" s="229" t="s">
        <v>1908</v>
      </c>
      <c r="E385" s="229" t="s">
        <v>1184</v>
      </c>
      <c r="F385" s="230" t="s">
        <v>45</v>
      </c>
      <c r="G385" s="229" t="s">
        <v>1476</v>
      </c>
      <c r="H385" s="229" t="s">
        <v>1477</v>
      </c>
      <c r="I385" s="229" t="s">
        <v>1180</v>
      </c>
      <c r="J385" s="229" t="s">
        <v>320</v>
      </c>
      <c r="K385" s="231" t="s">
        <v>321</v>
      </c>
    </row>
    <row r="386" spans="1:11" s="226" customFormat="1" ht="9.6" customHeight="1" x14ac:dyDescent="0.2">
      <c r="A386" s="229" t="str">
        <f>T_P_BilanSocial[[#This Row],[Nom]]&amp;T_P_BilanSocial[[#This Row],[Prenom]]</f>
        <v>HAMDADOUALI CHAKIB</v>
      </c>
      <c r="B386" s="228" t="s">
        <v>2752</v>
      </c>
      <c r="C386" s="229" t="s">
        <v>313</v>
      </c>
      <c r="D386" s="229" t="s">
        <v>2753</v>
      </c>
      <c r="E386" s="229" t="s">
        <v>1177</v>
      </c>
      <c r="F386" s="230" t="s">
        <v>45</v>
      </c>
      <c r="G386" s="229" t="s">
        <v>1476</v>
      </c>
      <c r="H386" s="229" t="s">
        <v>1794</v>
      </c>
      <c r="I386" s="229" t="s">
        <v>1180</v>
      </c>
      <c r="J386" s="229" t="s">
        <v>320</v>
      </c>
      <c r="K386" s="231" t="s">
        <v>321</v>
      </c>
    </row>
    <row r="387" spans="1:11" s="226" customFormat="1" ht="9.6" customHeight="1" x14ac:dyDescent="0.2">
      <c r="A387" s="229" t="str">
        <f>T_P_BilanSocial[[#This Row],[Nom]]&amp;T_P_BilanSocial[[#This Row],[Prenom]]</f>
        <v>HANOTINAXEL</v>
      </c>
      <c r="B387" s="228" t="s">
        <v>2882</v>
      </c>
      <c r="C387" s="229" t="s">
        <v>2883</v>
      </c>
      <c r="D387" s="229" t="s">
        <v>2884</v>
      </c>
      <c r="E387" s="229" t="s">
        <v>1177</v>
      </c>
      <c r="F387" s="230" t="s">
        <v>45</v>
      </c>
      <c r="G387" s="229" t="s">
        <v>1476</v>
      </c>
      <c r="H387" s="229" t="s">
        <v>1794</v>
      </c>
      <c r="I387" s="229" t="s">
        <v>1180</v>
      </c>
      <c r="J387" s="229" t="s">
        <v>353</v>
      </c>
      <c r="K387" s="231" t="s">
        <v>354</v>
      </c>
    </row>
    <row r="388" spans="1:11" s="226" customFormat="1" ht="9.6" customHeight="1" x14ac:dyDescent="0.2">
      <c r="A388" s="229" t="str">
        <f>T_P_BilanSocial[[#This Row],[Nom]]&amp;T_P_BilanSocial[[#This Row],[Prenom]]</f>
        <v>HARBUTALAURINE</v>
      </c>
      <c r="B388" s="228" t="s">
        <v>2826</v>
      </c>
      <c r="C388" s="229" t="s">
        <v>2827</v>
      </c>
      <c r="D388" s="229" t="s">
        <v>2828</v>
      </c>
      <c r="E388" s="229" t="s">
        <v>1184</v>
      </c>
      <c r="F388" s="230" t="s">
        <v>45</v>
      </c>
      <c r="G388" s="229" t="s">
        <v>1476</v>
      </c>
      <c r="H388" s="229" t="s">
        <v>1794</v>
      </c>
      <c r="I388" s="229" t="s">
        <v>1180</v>
      </c>
      <c r="J388" s="229" t="s">
        <v>376</v>
      </c>
      <c r="K388" s="231" t="s">
        <v>341</v>
      </c>
    </row>
    <row r="389" spans="1:11" s="226" customFormat="1" ht="9.6" customHeight="1" x14ac:dyDescent="0.2">
      <c r="A389" s="229" t="str">
        <f>T_P_BilanSocial[[#This Row],[Nom]]&amp;T_P_BilanSocial[[#This Row],[Prenom]]</f>
        <v>HARDYCLARA</v>
      </c>
      <c r="B389" s="228" t="s">
        <v>2720</v>
      </c>
      <c r="C389" s="229" t="s">
        <v>2721</v>
      </c>
      <c r="D389" s="229" t="s">
        <v>2722</v>
      </c>
      <c r="E389" s="229" t="s">
        <v>1184</v>
      </c>
      <c r="F389" s="230" t="s">
        <v>308</v>
      </c>
      <c r="G389" s="229" t="s">
        <v>1476</v>
      </c>
      <c r="H389" s="229" t="s">
        <v>1794</v>
      </c>
      <c r="I389" s="229" t="s">
        <v>1180</v>
      </c>
      <c r="J389" s="229" t="s">
        <v>340</v>
      </c>
      <c r="K389" s="231" t="s">
        <v>341</v>
      </c>
    </row>
    <row r="390" spans="1:11" s="226" customFormat="1" ht="9.6" customHeight="1" x14ac:dyDescent="0.2">
      <c r="A390" s="229" t="str">
        <f>T_P_BilanSocial[[#This Row],[Nom]]&amp;T_P_BilanSocial[[#This Row],[Prenom]]</f>
        <v>HARPETCLAIRE</v>
      </c>
      <c r="B390" s="228" t="s">
        <v>2001</v>
      </c>
      <c r="C390" s="229" t="s">
        <v>2002</v>
      </c>
      <c r="D390" s="229" t="s">
        <v>1652</v>
      </c>
      <c r="E390" s="229" t="s">
        <v>1184</v>
      </c>
      <c r="F390" s="230" t="s">
        <v>308</v>
      </c>
      <c r="G390" s="229" t="s">
        <v>1178</v>
      </c>
      <c r="H390" s="229" t="s">
        <v>1204</v>
      </c>
      <c r="I390" s="229" t="s">
        <v>1180</v>
      </c>
      <c r="J390" s="229" t="s">
        <v>398</v>
      </c>
      <c r="K390" s="231" t="s">
        <v>399</v>
      </c>
    </row>
    <row r="391" spans="1:11" s="226" customFormat="1" ht="9.6" customHeight="1" x14ac:dyDescent="0.2">
      <c r="A391" s="229" t="str">
        <f>T_P_BilanSocial[[#This Row],[Nom]]&amp;T_P_BilanSocial[[#This Row],[Prenom]]</f>
        <v>HDIASLAH</v>
      </c>
      <c r="B391" s="228" t="s">
        <v>2082</v>
      </c>
      <c r="C391" s="229" t="s">
        <v>669</v>
      </c>
      <c r="D391" s="229" t="s">
        <v>2083</v>
      </c>
      <c r="E391" s="229" t="s">
        <v>1177</v>
      </c>
      <c r="F391" s="230" t="s">
        <v>45</v>
      </c>
      <c r="G391" s="229" t="s">
        <v>1178</v>
      </c>
      <c r="H391" s="229" t="s">
        <v>1204</v>
      </c>
      <c r="I391" s="229" t="s">
        <v>1180</v>
      </c>
      <c r="J391" s="229" t="s">
        <v>353</v>
      </c>
      <c r="K391" s="231" t="s">
        <v>354</v>
      </c>
    </row>
    <row r="392" spans="1:11" s="226" customFormat="1" ht="9.6" customHeight="1" x14ac:dyDescent="0.2">
      <c r="A392" s="229" t="str">
        <f>T_P_BilanSocial[[#This Row],[Nom]]&amp;T_P_BilanSocial[[#This Row],[Prenom]]</f>
        <v>HEDDAJIWALID</v>
      </c>
      <c r="B392" s="228" t="s">
        <v>2032</v>
      </c>
      <c r="C392" s="229" t="s">
        <v>377</v>
      </c>
      <c r="D392" s="229" t="s">
        <v>2033</v>
      </c>
      <c r="E392" s="229" t="s">
        <v>1177</v>
      </c>
      <c r="F392" s="230" t="s">
        <v>445</v>
      </c>
      <c r="G392" s="229" t="s">
        <v>1178</v>
      </c>
      <c r="H392" s="229" t="s">
        <v>1204</v>
      </c>
      <c r="I392" s="229" t="s">
        <v>1180</v>
      </c>
      <c r="J392" s="229" t="s">
        <v>379</v>
      </c>
      <c r="K392" s="231" t="s">
        <v>2034</v>
      </c>
    </row>
    <row r="393" spans="1:11" s="226" customFormat="1" ht="9.6" customHeight="1" x14ac:dyDescent="0.2">
      <c r="A393" s="229" t="str">
        <f>T_P_BilanSocial[[#This Row],[Nom]]&amp;T_P_BilanSocial[[#This Row],[Prenom]]</f>
        <v>HERCHETSANDRINE</v>
      </c>
      <c r="B393" s="228" t="s">
        <v>2099</v>
      </c>
      <c r="C393" s="229" t="s">
        <v>764</v>
      </c>
      <c r="D393" s="229" t="s">
        <v>1200</v>
      </c>
      <c r="E393" s="229" t="s">
        <v>1184</v>
      </c>
      <c r="F393" s="230" t="s">
        <v>445</v>
      </c>
      <c r="G393" s="229" t="s">
        <v>1178</v>
      </c>
      <c r="H393" s="229" t="s">
        <v>1204</v>
      </c>
      <c r="I393" s="229" t="s">
        <v>1180</v>
      </c>
      <c r="J393" s="229" t="s">
        <v>411</v>
      </c>
      <c r="K393" s="231" t="s">
        <v>341</v>
      </c>
    </row>
    <row r="394" spans="1:11" s="226" customFormat="1" ht="9.6" customHeight="1" x14ac:dyDescent="0.2">
      <c r="A394" s="229" t="str">
        <f>T_P_BilanSocial[[#This Row],[Nom]]&amp;T_P_BilanSocial[[#This Row],[Prenom]]</f>
        <v>HERNANDEZPEGGY</v>
      </c>
      <c r="B394" s="228" t="s">
        <v>2275</v>
      </c>
      <c r="C394" s="229" t="s">
        <v>1068</v>
      </c>
      <c r="D394" s="229" t="s">
        <v>2276</v>
      </c>
      <c r="E394" s="229" t="s">
        <v>1184</v>
      </c>
      <c r="F394" s="230" t="s">
        <v>45</v>
      </c>
      <c r="G394" s="229" t="s">
        <v>1476</v>
      </c>
      <c r="H394" s="229" t="s">
        <v>1794</v>
      </c>
      <c r="I394" s="229" t="s">
        <v>1180</v>
      </c>
      <c r="J394" s="229" t="s">
        <v>1083</v>
      </c>
      <c r="K394" s="231" t="s">
        <v>2277</v>
      </c>
    </row>
    <row r="395" spans="1:11" s="226" customFormat="1" ht="9.6" customHeight="1" x14ac:dyDescent="0.2">
      <c r="A395" s="229" t="str">
        <f>T_P_BilanSocial[[#This Row],[Nom]]&amp;T_P_BilanSocial[[#This Row],[Prenom]]</f>
        <v>HEURARD DE FONTGALLANDSOPHIE</v>
      </c>
      <c r="B395" s="228" t="s">
        <v>1563</v>
      </c>
      <c r="C395" s="229" t="s">
        <v>1564</v>
      </c>
      <c r="D395" s="229" t="s">
        <v>1255</v>
      </c>
      <c r="E395" s="229" t="s">
        <v>1184</v>
      </c>
      <c r="F395" s="230" t="s">
        <v>308</v>
      </c>
      <c r="G395" s="229" t="s">
        <v>1178</v>
      </c>
      <c r="H395" s="229" t="s">
        <v>1435</v>
      </c>
      <c r="I395" s="229" t="s">
        <v>1180</v>
      </c>
      <c r="J395" s="229" t="s">
        <v>611</v>
      </c>
      <c r="K395" s="231" t="s">
        <v>341</v>
      </c>
    </row>
    <row r="396" spans="1:11" s="226" customFormat="1" ht="9.6" customHeight="1" x14ac:dyDescent="0.2">
      <c r="A396" s="229" t="str">
        <f>T_P_BilanSocial[[#This Row],[Nom]]&amp;T_P_BilanSocial[[#This Row],[Prenom]]</f>
        <v>HMIMIDFATIMA</v>
      </c>
      <c r="B396" s="228" t="s">
        <v>2925</v>
      </c>
      <c r="C396" s="229" t="s">
        <v>960</v>
      </c>
      <c r="D396" s="229" t="s">
        <v>1933</v>
      </c>
      <c r="E396" s="229" t="s">
        <v>1184</v>
      </c>
      <c r="F396" s="230" t="s">
        <v>308</v>
      </c>
      <c r="G396" s="229" t="s">
        <v>1178</v>
      </c>
      <c r="H396" s="229" t="s">
        <v>1179</v>
      </c>
      <c r="I396" s="229" t="s">
        <v>1180</v>
      </c>
      <c r="J396" s="229" t="s">
        <v>775</v>
      </c>
      <c r="K396" s="231" t="s">
        <v>1350</v>
      </c>
    </row>
    <row r="397" spans="1:11" s="226" customFormat="1" ht="9.6" customHeight="1" x14ac:dyDescent="0.2">
      <c r="A397" s="229" t="str">
        <f>T_P_BilanSocial[[#This Row],[Nom]]&amp;T_P_BilanSocial[[#This Row],[Prenom]]</f>
        <v>HOHMANNPIERRE</v>
      </c>
      <c r="B397" s="228" t="s">
        <v>1672</v>
      </c>
      <c r="C397" s="229" t="s">
        <v>939</v>
      </c>
      <c r="D397" s="229" t="s">
        <v>1297</v>
      </c>
      <c r="E397" s="229" t="s">
        <v>1177</v>
      </c>
      <c r="F397" s="230" t="s">
        <v>445</v>
      </c>
      <c r="G397" s="229" t="s">
        <v>1178</v>
      </c>
      <c r="H397" s="229" t="s">
        <v>1179</v>
      </c>
      <c r="I397" s="229" t="s">
        <v>1180</v>
      </c>
      <c r="J397" s="229" t="s">
        <v>552</v>
      </c>
      <c r="K397" s="231" t="s">
        <v>1673</v>
      </c>
    </row>
    <row r="398" spans="1:11" s="226" customFormat="1" ht="9.6" customHeight="1" x14ac:dyDescent="0.2">
      <c r="A398" s="229" t="str">
        <f>T_P_BilanSocial[[#This Row],[Nom]]&amp;T_P_BilanSocial[[#This Row],[Prenom]]</f>
        <v>HOLTERBACH-HALLEREMMANUEL</v>
      </c>
      <c r="B398" s="228" t="s">
        <v>2887</v>
      </c>
      <c r="C398" s="229" t="s">
        <v>2888</v>
      </c>
      <c r="D398" s="229" t="s">
        <v>1577</v>
      </c>
      <c r="E398" s="229" t="s">
        <v>1177</v>
      </c>
      <c r="F398" s="230" t="s">
        <v>45</v>
      </c>
      <c r="G398" s="229" t="s">
        <v>1476</v>
      </c>
      <c r="H398" s="229" t="s">
        <v>1794</v>
      </c>
      <c r="I398" s="229" t="s">
        <v>1180</v>
      </c>
      <c r="J398" s="229" t="s">
        <v>376</v>
      </c>
      <c r="K398" s="231" t="s">
        <v>341</v>
      </c>
    </row>
    <row r="399" spans="1:11" s="226" customFormat="1" ht="9.6" customHeight="1" x14ac:dyDescent="0.2">
      <c r="A399" s="229" t="str">
        <f>T_P_BilanSocial[[#This Row],[Nom]]&amp;T_P_BilanSocial[[#This Row],[Prenom]]</f>
        <v>HUINLESLIE</v>
      </c>
      <c r="B399" s="228" t="s">
        <v>2153</v>
      </c>
      <c r="C399" s="229" t="s">
        <v>2154</v>
      </c>
      <c r="D399" s="229" t="s">
        <v>2155</v>
      </c>
      <c r="E399" s="229" t="s">
        <v>1184</v>
      </c>
      <c r="F399" s="230" t="s">
        <v>308</v>
      </c>
      <c r="G399" s="229" t="s">
        <v>1476</v>
      </c>
      <c r="H399" s="229" t="s">
        <v>1794</v>
      </c>
      <c r="I399" s="229" t="s">
        <v>1180</v>
      </c>
      <c r="J399" s="229" t="s">
        <v>353</v>
      </c>
      <c r="K399" s="231" t="s">
        <v>354</v>
      </c>
    </row>
    <row r="400" spans="1:11" s="226" customFormat="1" ht="9.6" customHeight="1" x14ac:dyDescent="0.2">
      <c r="A400" s="229" t="str">
        <f>T_P_BilanSocial[[#This Row],[Nom]]&amp;T_P_BilanSocial[[#This Row],[Prenom]]</f>
        <v>HUNOTALEXANDRE</v>
      </c>
      <c r="B400" s="228" t="s">
        <v>2245</v>
      </c>
      <c r="C400" s="229" t="s">
        <v>2246</v>
      </c>
      <c r="D400" s="229" t="s">
        <v>2230</v>
      </c>
      <c r="E400" s="229" t="s">
        <v>1177</v>
      </c>
      <c r="F400" s="230" t="s">
        <v>45</v>
      </c>
      <c r="G400" s="229" t="s">
        <v>1476</v>
      </c>
      <c r="H400" s="229" t="s">
        <v>1477</v>
      </c>
      <c r="I400" s="229" t="s">
        <v>1180</v>
      </c>
      <c r="J400" s="229" t="s">
        <v>376</v>
      </c>
      <c r="K400" s="231" t="s">
        <v>341</v>
      </c>
    </row>
    <row r="401" spans="1:11" s="226" customFormat="1" ht="9.6" customHeight="1" x14ac:dyDescent="0.2">
      <c r="A401" s="229" t="str">
        <f>T_P_BilanSocial[[#This Row],[Nom]]&amp;T_P_BilanSocial[[#This Row],[Prenom]]</f>
        <v>IKANITHA</v>
      </c>
      <c r="B401" s="228" t="s">
        <v>2548</v>
      </c>
      <c r="C401" s="229" t="s">
        <v>446</v>
      </c>
      <c r="D401" s="229" t="s">
        <v>2549</v>
      </c>
      <c r="E401" s="229" t="s">
        <v>1184</v>
      </c>
      <c r="F401" s="230" t="s">
        <v>45</v>
      </c>
      <c r="G401" s="229" t="s">
        <v>1476</v>
      </c>
      <c r="H401" s="229" t="s">
        <v>1794</v>
      </c>
      <c r="I401" s="229" t="s">
        <v>1180</v>
      </c>
      <c r="J401" s="229" t="s">
        <v>411</v>
      </c>
      <c r="K401" s="231" t="s">
        <v>341</v>
      </c>
    </row>
    <row r="402" spans="1:11" s="226" customFormat="1" ht="9.6" customHeight="1" x14ac:dyDescent="0.2">
      <c r="A402" s="229" t="str">
        <f>T_P_BilanSocial[[#This Row],[Nom]]&amp;T_P_BilanSocial[[#This Row],[Prenom]]</f>
        <v>IBRAHIM ALIFOURAFIQUA</v>
      </c>
      <c r="B402" s="228" t="s">
        <v>2760</v>
      </c>
      <c r="C402" s="229" t="s">
        <v>2761</v>
      </c>
      <c r="D402" s="229" t="s">
        <v>2762</v>
      </c>
      <c r="E402" s="229" t="s">
        <v>1184</v>
      </c>
      <c r="F402" s="230" t="s">
        <v>445</v>
      </c>
      <c r="G402" s="229" t="s">
        <v>1476</v>
      </c>
      <c r="H402" s="229" t="s">
        <v>1794</v>
      </c>
      <c r="I402" s="229"/>
      <c r="J402" s="229"/>
      <c r="K402" s="231"/>
    </row>
    <row r="403" spans="1:11" s="226" customFormat="1" ht="9.6" customHeight="1" x14ac:dyDescent="0.2">
      <c r="A403" s="229" t="str">
        <f>T_P_BilanSocial[[#This Row],[Nom]]&amp;T_P_BilanSocial[[#This Row],[Prenom]]</f>
        <v>ICHIMGEORGIANA-SABINA</v>
      </c>
      <c r="B403" s="228" t="s">
        <v>2816</v>
      </c>
      <c r="C403" s="229" t="s">
        <v>2817</v>
      </c>
      <c r="D403" s="229" t="s">
        <v>2818</v>
      </c>
      <c r="E403" s="229" t="s">
        <v>1184</v>
      </c>
      <c r="F403" s="230" t="s">
        <v>308</v>
      </c>
      <c r="G403" s="229" t="s">
        <v>1476</v>
      </c>
      <c r="H403" s="229" t="s">
        <v>1794</v>
      </c>
      <c r="I403" s="229" t="s">
        <v>1180</v>
      </c>
      <c r="J403" s="229" t="s">
        <v>353</v>
      </c>
      <c r="K403" s="231" t="s">
        <v>354</v>
      </c>
    </row>
    <row r="404" spans="1:11" s="226" customFormat="1" ht="9.6" customHeight="1" x14ac:dyDescent="0.2">
      <c r="A404" s="229" t="str">
        <f>T_P_BilanSocial[[#This Row],[Nom]]&amp;T_P_BilanSocial[[#This Row],[Prenom]]</f>
        <v>IMBERTSTÉPHANIE</v>
      </c>
      <c r="B404" s="228" t="s">
        <v>2813</v>
      </c>
      <c r="C404" s="229" t="s">
        <v>2814</v>
      </c>
      <c r="D404" s="229" t="s">
        <v>1261</v>
      </c>
      <c r="E404" s="229" t="s">
        <v>1184</v>
      </c>
      <c r="F404" s="230" t="s">
        <v>308</v>
      </c>
      <c r="G404" s="229" t="s">
        <v>1476</v>
      </c>
      <c r="H404" s="229" t="s">
        <v>1794</v>
      </c>
      <c r="I404" s="229" t="s">
        <v>1180</v>
      </c>
      <c r="J404" s="229" t="s">
        <v>471</v>
      </c>
      <c r="K404" s="231" t="s">
        <v>341</v>
      </c>
    </row>
    <row r="405" spans="1:11" s="226" customFormat="1" ht="9.6" customHeight="1" x14ac:dyDescent="0.2">
      <c r="A405" s="229" t="str">
        <f>T_P_BilanSocial[[#This Row],[Nom]]&amp;T_P_BilanSocial[[#This Row],[Prenom]]</f>
        <v>IVANOFF-TRINADTZATYGERMAIN</v>
      </c>
      <c r="B405" s="228" t="s">
        <v>2065</v>
      </c>
      <c r="C405" s="229" t="s">
        <v>2066</v>
      </c>
      <c r="D405" s="229" t="s">
        <v>2067</v>
      </c>
      <c r="E405" s="229" t="s">
        <v>1177</v>
      </c>
      <c r="F405" s="230" t="s">
        <v>445</v>
      </c>
      <c r="G405" s="229" t="s">
        <v>1476</v>
      </c>
      <c r="H405" s="229" t="s">
        <v>1477</v>
      </c>
      <c r="I405" s="229" t="s">
        <v>1180</v>
      </c>
      <c r="J405" s="229" t="s">
        <v>376</v>
      </c>
      <c r="K405" s="231" t="s">
        <v>341</v>
      </c>
    </row>
    <row r="406" spans="1:11" s="226" customFormat="1" ht="9.6" customHeight="1" x14ac:dyDescent="0.2">
      <c r="A406" s="229" t="str">
        <f>T_P_BilanSocial[[#This Row],[Nom]]&amp;T_P_BilanSocial[[#This Row],[Prenom]]</f>
        <v>IVANOFF-TRINADTZATYELEONORA</v>
      </c>
      <c r="B406" s="228" t="s">
        <v>2151</v>
      </c>
      <c r="C406" s="229" t="s">
        <v>2066</v>
      </c>
      <c r="D406" s="229" t="s">
        <v>2152</v>
      </c>
      <c r="E406" s="229" t="s">
        <v>1184</v>
      </c>
      <c r="F406" s="230" t="s">
        <v>45</v>
      </c>
      <c r="G406" s="229" t="s">
        <v>1476</v>
      </c>
      <c r="H406" s="229" t="s">
        <v>1794</v>
      </c>
      <c r="I406" s="229" t="s">
        <v>1180</v>
      </c>
      <c r="J406" s="229" t="s">
        <v>611</v>
      </c>
      <c r="K406" s="231" t="s">
        <v>341</v>
      </c>
    </row>
    <row r="407" spans="1:11" s="226" customFormat="1" ht="9.6" customHeight="1" x14ac:dyDescent="0.2">
      <c r="A407" s="229" t="str">
        <f>T_P_BilanSocial[[#This Row],[Nom]]&amp;T_P_BilanSocial[[#This Row],[Prenom]]</f>
        <v>JACQUOTCHANTAL</v>
      </c>
      <c r="B407" s="228" t="s">
        <v>1321</v>
      </c>
      <c r="C407" s="229" t="s">
        <v>375</v>
      </c>
      <c r="D407" s="229" t="s">
        <v>1259</v>
      </c>
      <c r="E407" s="229" t="s">
        <v>1184</v>
      </c>
      <c r="F407" s="230" t="s">
        <v>308</v>
      </c>
      <c r="G407" s="229" t="s">
        <v>1178</v>
      </c>
      <c r="H407" s="229" t="s">
        <v>1204</v>
      </c>
      <c r="I407" s="229" t="s">
        <v>1180</v>
      </c>
      <c r="J407" s="229" t="s">
        <v>1322</v>
      </c>
      <c r="K407" s="231" t="s">
        <v>1323</v>
      </c>
    </row>
    <row r="408" spans="1:11" s="226" customFormat="1" ht="9.6" customHeight="1" x14ac:dyDescent="0.2">
      <c r="A408" s="229" t="str">
        <f>T_P_BilanSocial[[#This Row],[Nom]]&amp;T_P_BilanSocial[[#This Row],[Prenom]]</f>
        <v>JACQUOTFREDERIC</v>
      </c>
      <c r="B408" s="228" t="s">
        <v>2977</v>
      </c>
      <c r="C408" s="229" t="s">
        <v>375</v>
      </c>
      <c r="D408" s="229" t="s">
        <v>1871</v>
      </c>
      <c r="E408" s="229" t="s">
        <v>1177</v>
      </c>
      <c r="F408" s="230" t="s">
        <v>308</v>
      </c>
      <c r="G408" s="229" t="s">
        <v>1178</v>
      </c>
      <c r="H408" s="229" t="s">
        <v>1204</v>
      </c>
      <c r="I408" s="229" t="s">
        <v>1180</v>
      </c>
      <c r="J408" s="229" t="s">
        <v>520</v>
      </c>
      <c r="K408" s="231" t="s">
        <v>341</v>
      </c>
    </row>
    <row r="409" spans="1:11" s="226" customFormat="1" ht="9.6" customHeight="1" x14ac:dyDescent="0.2">
      <c r="A409" s="229" t="str">
        <f>T_P_BilanSocial[[#This Row],[Nom]]&amp;T_P_BilanSocial[[#This Row],[Prenom]]</f>
        <v>JAFALIANANNIE</v>
      </c>
      <c r="B409" s="228" t="s">
        <v>1678</v>
      </c>
      <c r="C409" s="229" t="s">
        <v>1679</v>
      </c>
      <c r="D409" s="229" t="s">
        <v>1680</v>
      </c>
      <c r="E409" s="229" t="s">
        <v>1184</v>
      </c>
      <c r="F409" s="230" t="s">
        <v>308</v>
      </c>
      <c r="G409" s="229" t="s">
        <v>1178</v>
      </c>
      <c r="H409" s="229" t="s">
        <v>1204</v>
      </c>
      <c r="I409" s="229" t="s">
        <v>1180</v>
      </c>
      <c r="J409" s="229" t="s">
        <v>1681</v>
      </c>
      <c r="K409" s="231" t="s">
        <v>1682</v>
      </c>
    </row>
    <row r="410" spans="1:11" s="226" customFormat="1" ht="9.6" customHeight="1" x14ac:dyDescent="0.2">
      <c r="A410" s="229" t="str">
        <f>T_P_BilanSocial[[#This Row],[Nom]]&amp;T_P_BilanSocial[[#This Row],[Prenom]]</f>
        <v>JALICONLAURENT</v>
      </c>
      <c r="B410" s="228" t="s">
        <v>2147</v>
      </c>
      <c r="C410" s="229" t="s">
        <v>604</v>
      </c>
      <c r="D410" s="229" t="s">
        <v>1799</v>
      </c>
      <c r="E410" s="229" t="s">
        <v>1177</v>
      </c>
      <c r="F410" s="230" t="s">
        <v>445</v>
      </c>
      <c r="G410" s="229" t="s">
        <v>1178</v>
      </c>
      <c r="H410" s="229" t="s">
        <v>1204</v>
      </c>
      <c r="I410" s="229" t="s">
        <v>1180</v>
      </c>
      <c r="J410" s="229" t="s">
        <v>667</v>
      </c>
      <c r="K410" s="231" t="s">
        <v>668</v>
      </c>
    </row>
    <row r="411" spans="1:11" s="226" customFormat="1" ht="9.6" customHeight="1" x14ac:dyDescent="0.2">
      <c r="A411" s="229" t="str">
        <f>T_P_BilanSocial[[#This Row],[Nom]]&amp;T_P_BilanSocial[[#This Row],[Prenom]]</f>
        <v>JANDOTGÉRALDINE</v>
      </c>
      <c r="B411" s="228" t="s">
        <v>1611</v>
      </c>
      <c r="C411" s="229" t="s">
        <v>511</v>
      </c>
      <c r="D411" s="229" t="s">
        <v>1612</v>
      </c>
      <c r="E411" s="229" t="s">
        <v>1184</v>
      </c>
      <c r="F411" s="230" t="s">
        <v>45</v>
      </c>
      <c r="G411" s="229" t="s">
        <v>1178</v>
      </c>
      <c r="H411" s="229" t="s">
        <v>1179</v>
      </c>
      <c r="I411" s="229" t="s">
        <v>1180</v>
      </c>
      <c r="J411" s="229" t="s">
        <v>340</v>
      </c>
      <c r="K411" s="231" t="s">
        <v>341</v>
      </c>
    </row>
    <row r="412" spans="1:11" s="226" customFormat="1" ht="9.6" customHeight="1" x14ac:dyDescent="0.2">
      <c r="A412" s="229" t="str">
        <f>T_P_BilanSocial[[#This Row],[Nom]]&amp;T_P_BilanSocial[[#This Row],[Prenom]]</f>
        <v>JANERELISABETH</v>
      </c>
      <c r="B412" s="228" t="s">
        <v>2384</v>
      </c>
      <c r="C412" s="229" t="s">
        <v>2385</v>
      </c>
      <c r="D412" s="229" t="s">
        <v>1511</v>
      </c>
      <c r="E412" s="229" t="s">
        <v>1184</v>
      </c>
      <c r="F412" s="230" t="s">
        <v>445</v>
      </c>
      <c r="G412" s="229" t="s">
        <v>1178</v>
      </c>
      <c r="H412" s="229" t="s">
        <v>1435</v>
      </c>
      <c r="I412" s="229" t="s">
        <v>1180</v>
      </c>
      <c r="J412" s="229" t="s">
        <v>340</v>
      </c>
      <c r="K412" s="231" t="s">
        <v>341</v>
      </c>
    </row>
    <row r="413" spans="1:11" s="226" customFormat="1" ht="9.6" customHeight="1" x14ac:dyDescent="0.2">
      <c r="A413" s="229" t="str">
        <f>T_P_BilanSocial[[#This Row],[Nom]]&amp;T_P_BilanSocial[[#This Row],[Prenom]]</f>
        <v>JANVIERHOUDA</v>
      </c>
      <c r="B413" s="228" t="s">
        <v>2213</v>
      </c>
      <c r="C413" s="229" t="s">
        <v>920</v>
      </c>
      <c r="D413" s="229" t="s">
        <v>2214</v>
      </c>
      <c r="E413" s="229" t="s">
        <v>1184</v>
      </c>
      <c r="F413" s="230" t="s">
        <v>445</v>
      </c>
      <c r="G413" s="229" t="s">
        <v>1178</v>
      </c>
      <c r="H413" s="229" t="s">
        <v>1204</v>
      </c>
      <c r="I413" s="229" t="s">
        <v>1180</v>
      </c>
      <c r="J413" s="229" t="s">
        <v>353</v>
      </c>
      <c r="K413" s="231" t="s">
        <v>354</v>
      </c>
    </row>
    <row r="414" spans="1:11" s="226" customFormat="1" ht="9.6" customHeight="1" x14ac:dyDescent="0.2">
      <c r="A414" s="229" t="str">
        <f>T_P_BilanSocial[[#This Row],[Nom]]&amp;T_P_BilanSocial[[#This Row],[Prenom]]</f>
        <v>JAYFABIEN</v>
      </c>
      <c r="B414" s="228" t="s">
        <v>1270</v>
      </c>
      <c r="C414" s="229" t="s">
        <v>1271</v>
      </c>
      <c r="D414" s="229" t="s">
        <v>1272</v>
      </c>
      <c r="E414" s="229" t="s">
        <v>1177</v>
      </c>
      <c r="F414" s="230" t="s">
        <v>45</v>
      </c>
      <c r="G414" s="229" t="s">
        <v>1178</v>
      </c>
      <c r="H414" s="229" t="s">
        <v>1179</v>
      </c>
      <c r="I414" s="229" t="s">
        <v>1180</v>
      </c>
      <c r="J414" s="229" t="s">
        <v>340</v>
      </c>
      <c r="K414" s="231" t="s">
        <v>341</v>
      </c>
    </row>
    <row r="415" spans="1:11" s="226" customFormat="1" ht="9.6" customHeight="1" x14ac:dyDescent="0.2">
      <c r="A415" s="229" t="str">
        <f>T_P_BilanSocial[[#This Row],[Nom]]&amp;T_P_BilanSocial[[#This Row],[Prenom]]</f>
        <v>JENDOUBIYLHèME</v>
      </c>
      <c r="B415" s="228" t="s">
        <v>2123</v>
      </c>
      <c r="C415" s="229" t="s">
        <v>647</v>
      </c>
      <c r="D415" s="233" t="s">
        <v>3012</v>
      </c>
      <c r="E415" s="229" t="s">
        <v>1184</v>
      </c>
      <c r="F415" s="230" t="s">
        <v>45</v>
      </c>
      <c r="G415" s="229" t="s">
        <v>1476</v>
      </c>
      <c r="H415" s="229" t="s">
        <v>1477</v>
      </c>
      <c r="I415" s="229" t="s">
        <v>1180</v>
      </c>
      <c r="J415" s="229" t="s">
        <v>353</v>
      </c>
      <c r="K415" s="231" t="s">
        <v>354</v>
      </c>
    </row>
    <row r="416" spans="1:11" s="226" customFormat="1" ht="9.6" customHeight="1" x14ac:dyDescent="0.2">
      <c r="A416" s="229" t="str">
        <f>T_P_BilanSocial[[#This Row],[Nom]]&amp;T_P_BilanSocial[[#This Row],[Prenom]]</f>
        <v>JOHNSONMICHAEL</v>
      </c>
      <c r="B416" s="228" t="s">
        <v>2934</v>
      </c>
      <c r="C416" s="229" t="s">
        <v>2935</v>
      </c>
      <c r="D416" s="229" t="s">
        <v>2936</v>
      </c>
      <c r="E416" s="229" t="s">
        <v>1177</v>
      </c>
      <c r="F416" s="230" t="s">
        <v>308</v>
      </c>
      <c r="G416" s="229" t="s">
        <v>1476</v>
      </c>
      <c r="H416" s="229" t="s">
        <v>1794</v>
      </c>
      <c r="I416" s="229" t="s">
        <v>1180</v>
      </c>
      <c r="J416" s="229" t="s">
        <v>2937</v>
      </c>
      <c r="K416" s="231" t="s">
        <v>2938</v>
      </c>
    </row>
    <row r="417" spans="1:11" s="226" customFormat="1" ht="9.6" customHeight="1" x14ac:dyDescent="0.2">
      <c r="A417" s="229" t="str">
        <f>T_P_BilanSocial[[#This Row],[Nom]]&amp;T_P_BilanSocial[[#This Row],[Prenom]]</f>
        <v>JOLLETMÉLANIE</v>
      </c>
      <c r="B417" s="228" t="s">
        <v>1745</v>
      </c>
      <c r="C417" s="229" t="s">
        <v>1746</v>
      </c>
      <c r="D417" s="229" t="s">
        <v>1747</v>
      </c>
      <c r="E417" s="229" t="s">
        <v>1184</v>
      </c>
      <c r="F417" s="230" t="s">
        <v>308</v>
      </c>
      <c r="G417" s="229" t="s">
        <v>1178</v>
      </c>
      <c r="H417" s="229" t="s">
        <v>1204</v>
      </c>
      <c r="I417" s="229" t="s">
        <v>1180</v>
      </c>
      <c r="J417" s="229" t="s">
        <v>639</v>
      </c>
      <c r="K417" s="231" t="s">
        <v>640</v>
      </c>
    </row>
    <row r="418" spans="1:11" s="226" customFormat="1" ht="9.6" customHeight="1" x14ac:dyDescent="0.2">
      <c r="A418" s="229" t="str">
        <f>T_P_BilanSocial[[#This Row],[Nom]]&amp;T_P_BilanSocial[[#This Row],[Prenom]]</f>
        <v>JOLYMARIELLE</v>
      </c>
      <c r="B418" s="228" t="s">
        <v>2355</v>
      </c>
      <c r="C418" s="229" t="s">
        <v>1140</v>
      </c>
      <c r="D418" s="229" t="s">
        <v>2356</v>
      </c>
      <c r="E418" s="229" t="s">
        <v>1184</v>
      </c>
      <c r="F418" s="230" t="s">
        <v>45</v>
      </c>
      <c r="G418" s="229" t="s">
        <v>1476</v>
      </c>
      <c r="H418" s="229" t="s">
        <v>1477</v>
      </c>
      <c r="I418" s="229" t="s">
        <v>1180</v>
      </c>
      <c r="J418" s="229" t="s">
        <v>815</v>
      </c>
      <c r="K418" s="231" t="s">
        <v>794</v>
      </c>
    </row>
    <row r="419" spans="1:11" s="226" customFormat="1" ht="9.6" customHeight="1" x14ac:dyDescent="0.2">
      <c r="A419" s="229" t="str">
        <f>T_P_BilanSocial[[#This Row],[Nom]]&amp;T_P_BilanSocial[[#This Row],[Prenom]]</f>
        <v>JOLYDIANE</v>
      </c>
      <c r="B419" s="228" t="s">
        <v>2921</v>
      </c>
      <c r="C419" s="229" t="s">
        <v>1140</v>
      </c>
      <c r="D419" s="229" t="s">
        <v>2922</v>
      </c>
      <c r="E419" s="229" t="s">
        <v>1184</v>
      </c>
      <c r="F419" s="230" t="s">
        <v>308</v>
      </c>
      <c r="G419" s="229" t="s">
        <v>1178</v>
      </c>
      <c r="H419" s="229" t="s">
        <v>1204</v>
      </c>
      <c r="I419" s="229" t="s">
        <v>1180</v>
      </c>
      <c r="J419" s="229" t="s">
        <v>2923</v>
      </c>
      <c r="K419" s="231" t="s">
        <v>2924</v>
      </c>
    </row>
    <row r="420" spans="1:11" s="226" customFormat="1" ht="9.6" customHeight="1" x14ac:dyDescent="0.2">
      <c r="A420" s="229" t="str">
        <f>T_P_BilanSocial[[#This Row],[Nom]]&amp;T_P_BilanSocial[[#This Row],[Prenom]]</f>
        <v>JOUINEAUEMMANUELLE</v>
      </c>
      <c r="B420" s="228" t="s">
        <v>2754</v>
      </c>
      <c r="C420" s="229" t="s">
        <v>2755</v>
      </c>
      <c r="D420" s="229" t="s">
        <v>1624</v>
      </c>
      <c r="E420" s="229" t="s">
        <v>1184</v>
      </c>
      <c r="F420" s="230" t="s">
        <v>308</v>
      </c>
      <c r="G420" s="229" t="s">
        <v>1476</v>
      </c>
      <c r="H420" s="229" t="s">
        <v>1794</v>
      </c>
      <c r="I420" s="229" t="s">
        <v>1180</v>
      </c>
      <c r="J420" s="229" t="s">
        <v>626</v>
      </c>
      <c r="K420" s="231" t="s">
        <v>341</v>
      </c>
    </row>
    <row r="421" spans="1:11" s="226" customFormat="1" ht="9.6" customHeight="1" x14ac:dyDescent="0.2">
      <c r="A421" s="229" t="str">
        <f>T_P_BilanSocial[[#This Row],[Nom]]&amp;T_P_BilanSocial[[#This Row],[Prenom]]</f>
        <v>JOURDANPIERRE-YVES</v>
      </c>
      <c r="B421" s="228" t="s">
        <v>2488</v>
      </c>
      <c r="C421" s="229" t="s">
        <v>2489</v>
      </c>
      <c r="D421" s="229" t="s">
        <v>2490</v>
      </c>
      <c r="E421" s="229" t="s">
        <v>1177</v>
      </c>
      <c r="F421" s="230" t="s">
        <v>308</v>
      </c>
      <c r="G421" s="229" t="s">
        <v>1476</v>
      </c>
      <c r="H421" s="229" t="s">
        <v>1477</v>
      </c>
      <c r="I421" s="229" t="s">
        <v>1180</v>
      </c>
      <c r="J421" s="229" t="s">
        <v>353</v>
      </c>
      <c r="K421" s="231" t="s">
        <v>354</v>
      </c>
    </row>
    <row r="422" spans="1:11" s="226" customFormat="1" ht="9.6" customHeight="1" x14ac:dyDescent="0.2">
      <c r="A422" s="229" t="str">
        <f>T_P_BilanSocial[[#This Row],[Nom]]&amp;T_P_BilanSocial[[#This Row],[Prenom]]</f>
        <v>JULLIEN-COTTARTODILE</v>
      </c>
      <c r="B422" s="228" t="s">
        <v>2306</v>
      </c>
      <c r="C422" s="233" t="s">
        <v>948</v>
      </c>
      <c r="D422" s="229" t="s">
        <v>1899</v>
      </c>
      <c r="E422" s="229" t="s">
        <v>1184</v>
      </c>
      <c r="F422" s="230" t="s">
        <v>308</v>
      </c>
      <c r="G422" s="229" t="s">
        <v>1178</v>
      </c>
      <c r="H422" s="229" t="s">
        <v>1435</v>
      </c>
      <c r="I422" s="229" t="s">
        <v>1180</v>
      </c>
      <c r="J422" s="229" t="s">
        <v>353</v>
      </c>
      <c r="K422" s="231" t="s">
        <v>354</v>
      </c>
    </row>
    <row r="423" spans="1:11" s="226" customFormat="1" ht="9.6" customHeight="1" x14ac:dyDescent="0.2">
      <c r="A423" s="229" t="str">
        <f>T_P_BilanSocial[[#This Row],[Nom]]&amp;T_P_BilanSocial[[#This Row],[Prenom]]</f>
        <v>KAROMUHAMED</v>
      </c>
      <c r="B423" s="228" t="s">
        <v>2478</v>
      </c>
      <c r="C423" s="229" t="s">
        <v>2479</v>
      </c>
      <c r="D423" s="229" t="s">
        <v>2480</v>
      </c>
      <c r="E423" s="229" t="s">
        <v>1177</v>
      </c>
      <c r="F423" s="230" t="s">
        <v>45</v>
      </c>
      <c r="G423" s="229" t="s">
        <v>1476</v>
      </c>
      <c r="H423" s="229" t="s">
        <v>1794</v>
      </c>
      <c r="I423" s="229" t="s">
        <v>1180</v>
      </c>
      <c r="J423" s="229" t="s">
        <v>1148</v>
      </c>
      <c r="K423" s="231" t="s">
        <v>2481</v>
      </c>
    </row>
    <row r="424" spans="1:11" s="226" customFormat="1" ht="9.6" customHeight="1" x14ac:dyDescent="0.2">
      <c r="A424" s="229" t="str">
        <f>T_P_BilanSocial[[#This Row],[Nom]]&amp;T_P_BilanSocial[[#This Row],[Prenom]]</f>
        <v>KAYSERADRIEN</v>
      </c>
      <c r="B424" s="228" t="s">
        <v>2651</v>
      </c>
      <c r="C424" s="229" t="s">
        <v>2652</v>
      </c>
      <c r="D424" s="229" t="s">
        <v>2131</v>
      </c>
      <c r="E424" s="229" t="s">
        <v>1177</v>
      </c>
      <c r="F424" s="230" t="s">
        <v>308</v>
      </c>
      <c r="G424" s="229" t="s">
        <v>1476</v>
      </c>
      <c r="H424" s="229" t="s">
        <v>1794</v>
      </c>
      <c r="I424" s="229" t="s">
        <v>1180</v>
      </c>
      <c r="J424" s="229" t="s">
        <v>353</v>
      </c>
      <c r="K424" s="231" t="s">
        <v>354</v>
      </c>
    </row>
    <row r="425" spans="1:11" s="226" customFormat="1" ht="9.6" customHeight="1" x14ac:dyDescent="0.2">
      <c r="A425" s="229" t="str">
        <f>T_P_BilanSocial[[#This Row],[Nom]]&amp;T_P_BilanSocial[[#This Row],[Prenom]]</f>
        <v>KEALASARAH</v>
      </c>
      <c r="B425" s="228" t="s">
        <v>2614</v>
      </c>
      <c r="C425" s="229" t="s">
        <v>1150</v>
      </c>
      <c r="D425" s="229" t="s">
        <v>1503</v>
      </c>
      <c r="E425" s="229" t="s">
        <v>1184</v>
      </c>
      <c r="F425" s="230" t="s">
        <v>45</v>
      </c>
      <c r="G425" s="229" t="s">
        <v>1476</v>
      </c>
      <c r="H425" s="229" t="s">
        <v>1794</v>
      </c>
      <c r="I425" s="229" t="s">
        <v>1180</v>
      </c>
      <c r="J425" s="229" t="s">
        <v>1151</v>
      </c>
      <c r="K425" s="231" t="s">
        <v>2615</v>
      </c>
    </row>
    <row r="426" spans="1:11" s="226" customFormat="1" ht="9.6" customHeight="1" x14ac:dyDescent="0.2">
      <c r="A426" s="229" t="str">
        <f>T_P_BilanSocial[[#This Row],[Nom]]&amp;T_P_BilanSocial[[#This Row],[Prenom]]</f>
        <v>KEBIBKARIM</v>
      </c>
      <c r="B426" s="228" t="s">
        <v>1913</v>
      </c>
      <c r="C426" s="229" t="s">
        <v>1914</v>
      </c>
      <c r="D426" s="229" t="s">
        <v>1915</v>
      </c>
      <c r="E426" s="229" t="s">
        <v>1177</v>
      </c>
      <c r="F426" s="230" t="s">
        <v>45</v>
      </c>
      <c r="G426" s="229" t="s">
        <v>1178</v>
      </c>
      <c r="H426" s="229" t="s">
        <v>1204</v>
      </c>
      <c r="I426" s="229" t="s">
        <v>1180</v>
      </c>
      <c r="J426" s="229" t="s">
        <v>607</v>
      </c>
      <c r="K426" s="231" t="s">
        <v>608</v>
      </c>
    </row>
    <row r="427" spans="1:11" s="226" customFormat="1" ht="9.6" customHeight="1" x14ac:dyDescent="0.2">
      <c r="A427" s="229" t="str">
        <f>T_P_BilanSocial[[#This Row],[Nom]]&amp;T_P_BilanSocial[[#This Row],[Prenom]]</f>
        <v>KECHIRACHID</v>
      </c>
      <c r="B427" s="228" t="s">
        <v>2687</v>
      </c>
      <c r="C427" s="229" t="s">
        <v>2688</v>
      </c>
      <c r="D427" s="229" t="s">
        <v>1772</v>
      </c>
      <c r="E427" s="229" t="s">
        <v>1177</v>
      </c>
      <c r="F427" s="230" t="s">
        <v>45</v>
      </c>
      <c r="G427" s="229" t="s">
        <v>1178</v>
      </c>
      <c r="H427" s="229" t="s">
        <v>1179</v>
      </c>
      <c r="I427" s="229" t="s">
        <v>1180</v>
      </c>
      <c r="J427" s="229" t="s">
        <v>2689</v>
      </c>
      <c r="K427" s="231" t="s">
        <v>2690</v>
      </c>
    </row>
    <row r="428" spans="1:11" s="226" customFormat="1" ht="9.6" customHeight="1" x14ac:dyDescent="0.2">
      <c r="A428" s="229" t="str">
        <f>T_P_BilanSocial[[#This Row],[Nom]]&amp;T_P_BilanSocial[[#This Row],[Prenom]]</f>
        <v>KELOUMGIANCECILE</v>
      </c>
      <c r="B428" s="228" t="s">
        <v>2616</v>
      </c>
      <c r="C428" s="229" t="s">
        <v>357</v>
      </c>
      <c r="D428" s="229" t="s">
        <v>1867</v>
      </c>
      <c r="E428" s="229" t="s">
        <v>1184</v>
      </c>
      <c r="F428" s="230" t="s">
        <v>308</v>
      </c>
      <c r="G428" s="229" t="s">
        <v>1178</v>
      </c>
      <c r="H428" s="229" t="s">
        <v>1204</v>
      </c>
      <c r="I428" s="229" t="s">
        <v>1180</v>
      </c>
      <c r="J428" s="229" t="s">
        <v>340</v>
      </c>
      <c r="K428" s="231" t="s">
        <v>341</v>
      </c>
    </row>
    <row r="429" spans="1:11" s="226" customFormat="1" ht="9.6" customHeight="1" x14ac:dyDescent="0.2">
      <c r="A429" s="229" t="str">
        <f>T_P_BilanSocial[[#This Row],[Nom]]&amp;T_P_BilanSocial[[#This Row],[Prenom]]</f>
        <v>KENOUSSIMEHDI</v>
      </c>
      <c r="B429" s="228" t="s">
        <v>2968</v>
      </c>
      <c r="C429" s="229" t="s">
        <v>2969</v>
      </c>
      <c r="D429" s="229" t="s">
        <v>2643</v>
      </c>
      <c r="E429" s="229" t="s">
        <v>1177</v>
      </c>
      <c r="F429" s="230" t="s">
        <v>45</v>
      </c>
      <c r="G429" s="229" t="s">
        <v>1476</v>
      </c>
      <c r="H429" s="229" t="s">
        <v>1794</v>
      </c>
      <c r="I429" s="229" t="s">
        <v>1180</v>
      </c>
      <c r="J429" s="229" t="s">
        <v>481</v>
      </c>
      <c r="K429" s="231" t="s">
        <v>341</v>
      </c>
    </row>
    <row r="430" spans="1:11" s="226" customFormat="1" ht="9.6" customHeight="1" x14ac:dyDescent="0.2">
      <c r="A430" s="229" t="str">
        <f>T_P_BilanSocial[[#This Row],[Nom]]&amp;T_P_BilanSocial[[#This Row],[Prenom]]</f>
        <v>KHAMASSIEMMANUELLE</v>
      </c>
      <c r="B430" s="228" t="s">
        <v>1902</v>
      </c>
      <c r="C430" s="229" t="s">
        <v>370</v>
      </c>
      <c r="D430" s="229" t="s">
        <v>1624</v>
      </c>
      <c r="E430" s="229" t="s">
        <v>1184</v>
      </c>
      <c r="F430" s="230" t="s">
        <v>445</v>
      </c>
      <c r="G430" s="229" t="s">
        <v>1476</v>
      </c>
      <c r="H430" s="229" t="s">
        <v>1477</v>
      </c>
      <c r="I430" s="229" t="s">
        <v>1180</v>
      </c>
      <c r="J430" s="229" t="s">
        <v>329</v>
      </c>
      <c r="K430" s="231" t="s">
        <v>1903</v>
      </c>
    </row>
    <row r="431" spans="1:11" s="226" customFormat="1" ht="9.6" customHeight="1" x14ac:dyDescent="0.2">
      <c r="A431" s="229" t="str">
        <f>T_P_BilanSocial[[#This Row],[Nom]]&amp;T_P_BilanSocial[[#This Row],[Prenom]]</f>
        <v>KLAIAHLEM</v>
      </c>
      <c r="B431" s="228" t="s">
        <v>1957</v>
      </c>
      <c r="C431" s="229" t="s">
        <v>1958</v>
      </c>
      <c r="D431" s="229" t="s">
        <v>1959</v>
      </c>
      <c r="E431" s="229" t="s">
        <v>1184</v>
      </c>
      <c r="F431" s="230" t="s">
        <v>45</v>
      </c>
      <c r="G431" s="229" t="s">
        <v>1476</v>
      </c>
      <c r="H431" s="229" t="s">
        <v>1794</v>
      </c>
      <c r="I431" s="229" t="s">
        <v>1180</v>
      </c>
      <c r="J431" s="229" t="s">
        <v>376</v>
      </c>
      <c r="K431" s="231" t="s">
        <v>341</v>
      </c>
    </row>
    <row r="432" spans="1:11" s="226" customFormat="1" ht="9.6" customHeight="1" x14ac:dyDescent="0.2">
      <c r="A432" s="229" t="str">
        <f>T_P_BilanSocial[[#This Row],[Nom]]&amp;T_P_BilanSocial[[#This Row],[Prenom]]</f>
        <v>KOUAHLAKENZA</v>
      </c>
      <c r="B432" s="228" t="s">
        <v>2864</v>
      </c>
      <c r="C432" s="229" t="s">
        <v>1060</v>
      </c>
      <c r="D432" s="229" t="s">
        <v>2865</v>
      </c>
      <c r="E432" s="229" t="s">
        <v>1184</v>
      </c>
      <c r="F432" s="230" t="s">
        <v>45</v>
      </c>
      <c r="G432" s="229" t="s">
        <v>1476</v>
      </c>
      <c r="H432" s="229" t="s">
        <v>1794</v>
      </c>
      <c r="I432" s="229" t="s">
        <v>1180</v>
      </c>
      <c r="J432" s="229" t="s">
        <v>1101</v>
      </c>
      <c r="K432" s="231" t="s">
        <v>1102</v>
      </c>
    </row>
    <row r="433" spans="1:11" s="226" customFormat="1" ht="9.6" customHeight="1" x14ac:dyDescent="0.2">
      <c r="A433" s="229" t="str">
        <f>T_P_BilanSocial[[#This Row],[Nom]]&amp;T_P_BilanSocial[[#This Row],[Prenom]]</f>
        <v>KRAWIECGUILLAUME</v>
      </c>
      <c r="B433" s="228" t="s">
        <v>1882</v>
      </c>
      <c r="C433" s="229" t="s">
        <v>934</v>
      </c>
      <c r="D433" s="229" t="s">
        <v>506</v>
      </c>
      <c r="E433" s="229" t="s">
        <v>1177</v>
      </c>
      <c r="F433" s="230" t="s">
        <v>308</v>
      </c>
      <c r="G433" s="229" t="s">
        <v>1178</v>
      </c>
      <c r="H433" s="229" t="s">
        <v>1204</v>
      </c>
      <c r="I433" s="229" t="s">
        <v>1180</v>
      </c>
      <c r="J433" s="229" t="s">
        <v>398</v>
      </c>
      <c r="K433" s="231" t="s">
        <v>895</v>
      </c>
    </row>
    <row r="434" spans="1:11" s="226" customFormat="1" ht="9.6" customHeight="1" x14ac:dyDescent="0.2">
      <c r="A434" s="229" t="str">
        <f>T_P_BilanSocial[[#This Row],[Nom]]&amp;T_P_BilanSocial[[#This Row],[Prenom]]</f>
        <v>KRIDHOUDA</v>
      </c>
      <c r="B434" s="228" t="s">
        <v>2394</v>
      </c>
      <c r="C434" s="229" t="s">
        <v>2395</v>
      </c>
      <c r="D434" s="229" t="s">
        <v>2214</v>
      </c>
      <c r="E434" s="229" t="s">
        <v>1184</v>
      </c>
      <c r="F434" s="230" t="s">
        <v>45</v>
      </c>
      <c r="G434" s="229" t="s">
        <v>1178</v>
      </c>
      <c r="H434" s="229" t="s">
        <v>1179</v>
      </c>
      <c r="I434" s="229" t="s">
        <v>1180</v>
      </c>
      <c r="J434" s="229" t="s">
        <v>1804</v>
      </c>
      <c r="K434" s="231" t="s">
        <v>1805</v>
      </c>
    </row>
    <row r="435" spans="1:11" s="226" customFormat="1" ht="9.6" customHeight="1" x14ac:dyDescent="0.2">
      <c r="A435" s="229" t="str">
        <f>T_P_BilanSocial[[#This Row],[Nom]]&amp;T_P_BilanSocial[[#This Row],[Prenom]]</f>
        <v>LABBEELISABETH</v>
      </c>
      <c r="B435" s="228" t="s">
        <v>1945</v>
      </c>
      <c r="C435" s="229" t="s">
        <v>1946</v>
      </c>
      <c r="D435" s="229" t="s">
        <v>1511</v>
      </c>
      <c r="E435" s="229" t="s">
        <v>1184</v>
      </c>
      <c r="F435" s="230" t="s">
        <v>445</v>
      </c>
      <c r="G435" s="229" t="s">
        <v>1476</v>
      </c>
      <c r="H435" s="229" t="s">
        <v>1477</v>
      </c>
      <c r="I435" s="229" t="s">
        <v>1180</v>
      </c>
      <c r="J435" s="229" t="s">
        <v>1148</v>
      </c>
      <c r="K435" s="231" t="s">
        <v>1947</v>
      </c>
    </row>
    <row r="436" spans="1:11" s="226" customFormat="1" ht="9.6" customHeight="1" x14ac:dyDescent="0.2">
      <c r="A436" s="229" t="str">
        <f>T_P_BilanSocial[[#This Row],[Nom]]&amp;T_P_BilanSocial[[#This Row],[Prenom]]</f>
        <v>LABROSSEVINCENT</v>
      </c>
      <c r="B436" s="228" t="s">
        <v>1920</v>
      </c>
      <c r="C436" s="229" t="s">
        <v>1921</v>
      </c>
      <c r="D436" s="229" t="s">
        <v>876</v>
      </c>
      <c r="E436" s="229" t="s">
        <v>1177</v>
      </c>
      <c r="F436" s="230" t="s">
        <v>45</v>
      </c>
      <c r="G436" s="229" t="s">
        <v>1178</v>
      </c>
      <c r="H436" s="229" t="s">
        <v>1204</v>
      </c>
      <c r="I436" s="229" t="s">
        <v>1180</v>
      </c>
      <c r="J436" s="229" t="s">
        <v>411</v>
      </c>
      <c r="K436" s="231" t="s">
        <v>341</v>
      </c>
    </row>
    <row r="437" spans="1:11" s="226" customFormat="1" ht="9.6" customHeight="1" x14ac:dyDescent="0.2">
      <c r="A437" s="229" t="str">
        <f>T_P_BilanSocial[[#This Row],[Nom]]&amp;T_P_BilanSocial[[#This Row],[Prenom]]</f>
        <v>LACHKARDOMINIQUE</v>
      </c>
      <c r="B437" s="228" t="s">
        <v>2056</v>
      </c>
      <c r="C437" s="229" t="s">
        <v>2057</v>
      </c>
      <c r="D437" s="229" t="s">
        <v>1221</v>
      </c>
      <c r="E437" s="229" t="s">
        <v>1184</v>
      </c>
      <c r="F437" s="230" t="s">
        <v>45</v>
      </c>
      <c r="G437" s="229" t="s">
        <v>1476</v>
      </c>
      <c r="H437" s="229" t="s">
        <v>1477</v>
      </c>
      <c r="I437" s="229" t="s">
        <v>1180</v>
      </c>
      <c r="J437" s="229" t="s">
        <v>353</v>
      </c>
      <c r="K437" s="231" t="s">
        <v>354</v>
      </c>
    </row>
    <row r="438" spans="1:11" s="226" customFormat="1" ht="9.6" customHeight="1" x14ac:dyDescent="0.2">
      <c r="A438" s="229" t="str">
        <f>T_P_BilanSocial[[#This Row],[Nom]]&amp;T_P_BilanSocial[[#This Row],[Prenom]]</f>
        <v>LADREYTKATIA</v>
      </c>
      <c r="B438" s="228" t="s">
        <v>2358</v>
      </c>
      <c r="C438" s="229" t="s">
        <v>2359</v>
      </c>
      <c r="D438" s="229" t="s">
        <v>2244</v>
      </c>
      <c r="E438" s="229" t="s">
        <v>1184</v>
      </c>
      <c r="F438" s="230" t="s">
        <v>45</v>
      </c>
      <c r="G438" s="229" t="s">
        <v>1476</v>
      </c>
      <c r="H438" s="229" t="s">
        <v>1477</v>
      </c>
      <c r="I438" s="229" t="s">
        <v>1180</v>
      </c>
      <c r="J438" s="229" t="s">
        <v>477</v>
      </c>
      <c r="K438" s="231" t="s">
        <v>637</v>
      </c>
    </row>
    <row r="439" spans="1:11" s="226" customFormat="1" ht="9.6" customHeight="1" x14ac:dyDescent="0.2">
      <c r="A439" s="229" t="str">
        <f>T_P_BilanSocial[[#This Row],[Nom]]&amp;T_P_BilanSocial[[#This Row],[Prenom]]</f>
        <v>LAFAYFABIEN</v>
      </c>
      <c r="B439" s="228" t="s">
        <v>1645</v>
      </c>
      <c r="C439" s="229" t="s">
        <v>759</v>
      </c>
      <c r="D439" s="229" t="s">
        <v>1272</v>
      </c>
      <c r="E439" s="229" t="s">
        <v>1177</v>
      </c>
      <c r="F439" s="230" t="s">
        <v>308</v>
      </c>
      <c r="G439" s="229" t="s">
        <v>1178</v>
      </c>
      <c r="H439" s="229" t="s">
        <v>1204</v>
      </c>
      <c r="I439" s="229" t="s">
        <v>1180</v>
      </c>
      <c r="J439" s="229" t="s">
        <v>626</v>
      </c>
      <c r="K439" s="231" t="s">
        <v>341</v>
      </c>
    </row>
    <row r="440" spans="1:11" s="226" customFormat="1" ht="9.6" customHeight="1" x14ac:dyDescent="0.2">
      <c r="A440" s="229" t="str">
        <f>T_P_BilanSocial[[#This Row],[Nom]]&amp;T_P_BilanSocial[[#This Row],[Prenom]]</f>
        <v>LAFFITEBRIGITTE</v>
      </c>
      <c r="B440" s="228" t="s">
        <v>1463</v>
      </c>
      <c r="C440" s="229" t="s">
        <v>1464</v>
      </c>
      <c r="D440" s="229" t="s">
        <v>1188</v>
      </c>
      <c r="E440" s="229" t="s">
        <v>1184</v>
      </c>
      <c r="F440" s="230" t="s">
        <v>445</v>
      </c>
      <c r="G440" s="229" t="s">
        <v>1178</v>
      </c>
      <c r="H440" s="229" t="s">
        <v>1435</v>
      </c>
      <c r="I440" s="229" t="s">
        <v>1180</v>
      </c>
      <c r="J440" s="229" t="s">
        <v>665</v>
      </c>
      <c r="K440" s="231" t="s">
        <v>1306</v>
      </c>
    </row>
    <row r="441" spans="1:11" s="226" customFormat="1" ht="9.6" customHeight="1" x14ac:dyDescent="0.2">
      <c r="A441" s="229" t="str">
        <f>T_P_BilanSocial[[#This Row],[Nom]]&amp;T_P_BilanSocial[[#This Row],[Prenom]]</f>
        <v>LAFISANDRA</v>
      </c>
      <c r="B441" s="228" t="s">
        <v>1827</v>
      </c>
      <c r="C441" s="229" t="s">
        <v>1828</v>
      </c>
      <c r="D441" s="229" t="s">
        <v>1829</v>
      </c>
      <c r="E441" s="229" t="s">
        <v>1184</v>
      </c>
      <c r="F441" s="230" t="s">
        <v>45</v>
      </c>
      <c r="G441" s="229" t="s">
        <v>1178</v>
      </c>
      <c r="H441" s="229" t="s">
        <v>1179</v>
      </c>
      <c r="I441" s="229" t="s">
        <v>1180</v>
      </c>
      <c r="J441" s="229" t="s">
        <v>1804</v>
      </c>
      <c r="K441" s="231" t="s">
        <v>1830</v>
      </c>
    </row>
    <row r="442" spans="1:11" s="226" customFormat="1" ht="9.6" customHeight="1" x14ac:dyDescent="0.2">
      <c r="A442" s="229" t="str">
        <f>T_P_BilanSocial[[#This Row],[Nom]]&amp;T_P_BilanSocial[[#This Row],[Prenom]]</f>
        <v>LAGREESANDRINE</v>
      </c>
      <c r="B442" s="228" t="s">
        <v>2566</v>
      </c>
      <c r="C442" s="235" t="s">
        <v>801</v>
      </c>
      <c r="D442" s="229" t="s">
        <v>1200</v>
      </c>
      <c r="E442" s="229" t="s">
        <v>1184</v>
      </c>
      <c r="F442" s="230" t="s">
        <v>308</v>
      </c>
      <c r="G442" s="229" t="s">
        <v>1476</v>
      </c>
      <c r="H442" s="229" t="s">
        <v>1477</v>
      </c>
      <c r="I442" s="229" t="s">
        <v>1180</v>
      </c>
      <c r="J442" s="229" t="s">
        <v>411</v>
      </c>
      <c r="K442" s="231" t="s">
        <v>341</v>
      </c>
    </row>
    <row r="443" spans="1:11" s="226" customFormat="1" ht="9.6" customHeight="1" x14ac:dyDescent="0.2">
      <c r="A443" s="229" t="str">
        <f>T_P_BilanSocial[[#This Row],[Nom]]&amp;T_P_BilanSocial[[#This Row],[Prenom]]</f>
        <v>LAMBERTSTEFAN</v>
      </c>
      <c r="B443" s="228" t="s">
        <v>2016</v>
      </c>
      <c r="C443" s="229" t="s">
        <v>2017</v>
      </c>
      <c r="D443" s="229" t="s">
        <v>2018</v>
      </c>
      <c r="E443" s="229" t="s">
        <v>1177</v>
      </c>
      <c r="F443" s="230" t="s">
        <v>308</v>
      </c>
      <c r="G443" s="229" t="s">
        <v>1178</v>
      </c>
      <c r="H443" s="229" t="s">
        <v>1204</v>
      </c>
      <c r="I443" s="229" t="s">
        <v>1180</v>
      </c>
      <c r="J443" s="229" t="s">
        <v>2019</v>
      </c>
      <c r="K443" s="231" t="s">
        <v>2020</v>
      </c>
    </row>
    <row r="444" spans="1:11" s="226" customFormat="1" ht="9.6" customHeight="1" x14ac:dyDescent="0.2">
      <c r="A444" s="229" t="str">
        <f>T_P_BilanSocial[[#This Row],[Nom]]&amp;T_P_BilanSocial[[#This Row],[Prenom]]</f>
        <v>LAMOURIYANNIS</v>
      </c>
      <c r="B444" s="228" t="s">
        <v>2620</v>
      </c>
      <c r="C444" s="229" t="s">
        <v>2621</v>
      </c>
      <c r="D444" s="229" t="s">
        <v>2622</v>
      </c>
      <c r="E444" s="229" t="s">
        <v>1177</v>
      </c>
      <c r="F444" s="230" t="s">
        <v>308</v>
      </c>
      <c r="G444" s="229" t="s">
        <v>1178</v>
      </c>
      <c r="H444" s="229" t="s">
        <v>1204</v>
      </c>
      <c r="I444" s="229" t="s">
        <v>1180</v>
      </c>
      <c r="J444" s="229" t="s">
        <v>376</v>
      </c>
      <c r="K444" s="231" t="s">
        <v>341</v>
      </c>
    </row>
    <row r="445" spans="1:11" s="226" customFormat="1" ht="9.6" customHeight="1" x14ac:dyDescent="0.2">
      <c r="A445" s="229" t="str">
        <f>T_P_BilanSocial[[#This Row],[Nom]]&amp;T_P_BilanSocial[[#This Row],[Prenom]]</f>
        <v>LANCHACATHERINE</v>
      </c>
      <c r="B445" s="228" t="s">
        <v>1872</v>
      </c>
      <c r="C445" s="229" t="s">
        <v>1873</v>
      </c>
      <c r="D445" s="229" t="s">
        <v>1203</v>
      </c>
      <c r="E445" s="229" t="s">
        <v>1184</v>
      </c>
      <c r="F445" s="230" t="s">
        <v>308</v>
      </c>
      <c r="G445" s="229" t="s">
        <v>1178</v>
      </c>
      <c r="H445" s="229" t="s">
        <v>1435</v>
      </c>
      <c r="I445" s="229" t="s">
        <v>1180</v>
      </c>
      <c r="J445" s="229" t="s">
        <v>471</v>
      </c>
      <c r="K445" s="231" t="s">
        <v>341</v>
      </c>
    </row>
    <row r="446" spans="1:11" s="226" customFormat="1" ht="9.6" customHeight="1" x14ac:dyDescent="0.2">
      <c r="A446" s="229" t="str">
        <f>T_P_BilanSocial[[#This Row],[Nom]]&amp;T_P_BilanSocial[[#This Row],[Prenom]]</f>
        <v>LARATTENOELLE</v>
      </c>
      <c r="B446" s="228" t="s">
        <v>2299</v>
      </c>
      <c r="C446" s="229" t="s">
        <v>1066</v>
      </c>
      <c r="D446" s="229" t="s">
        <v>2300</v>
      </c>
      <c r="E446" s="229" t="s">
        <v>1184</v>
      </c>
      <c r="F446" s="230" t="s">
        <v>45</v>
      </c>
      <c r="G446" s="229" t="s">
        <v>1178</v>
      </c>
      <c r="H446" s="229" t="s">
        <v>1179</v>
      </c>
      <c r="I446" s="229" t="s">
        <v>1180</v>
      </c>
      <c r="J446" s="229" t="s">
        <v>552</v>
      </c>
      <c r="K446" s="231" t="s">
        <v>941</v>
      </c>
    </row>
    <row r="447" spans="1:11" s="226" customFormat="1" ht="9.6" customHeight="1" x14ac:dyDescent="0.2">
      <c r="A447" s="229" t="str">
        <f>T_P_BilanSocial[[#This Row],[Nom]]&amp;T_P_BilanSocial[[#This Row],[Prenom]]</f>
        <v>LARDETPHILIPPE</v>
      </c>
      <c r="B447" s="228" t="s">
        <v>1392</v>
      </c>
      <c r="C447" s="229" t="s">
        <v>1393</v>
      </c>
      <c r="D447" s="229" t="s">
        <v>1339</v>
      </c>
      <c r="E447" s="229" t="s">
        <v>1177</v>
      </c>
      <c r="F447" s="230" t="s">
        <v>45</v>
      </c>
      <c r="G447" s="229" t="s">
        <v>1178</v>
      </c>
      <c r="H447" s="229" t="s">
        <v>1204</v>
      </c>
      <c r="I447" s="229" t="s">
        <v>1180</v>
      </c>
      <c r="J447" s="229" t="s">
        <v>340</v>
      </c>
      <c r="K447" s="231" t="s">
        <v>341</v>
      </c>
    </row>
    <row r="448" spans="1:11" s="226" customFormat="1" ht="9.6" customHeight="1" x14ac:dyDescent="0.2">
      <c r="A448" s="229" t="str">
        <f>T_P_BilanSocial[[#This Row],[Nom]]&amp;T_P_BilanSocial[[#This Row],[Prenom]]</f>
        <v>LARDYMARINE</v>
      </c>
      <c r="B448" s="228" t="s">
        <v>2920</v>
      </c>
      <c r="C448" s="229" t="s">
        <v>1006</v>
      </c>
      <c r="D448" s="229" t="s">
        <v>2843</v>
      </c>
      <c r="E448" s="229" t="s">
        <v>1184</v>
      </c>
      <c r="F448" s="230" t="s">
        <v>308</v>
      </c>
      <c r="G448" s="229" t="s">
        <v>1476</v>
      </c>
      <c r="H448" s="229" t="s">
        <v>1794</v>
      </c>
      <c r="I448" s="229" t="s">
        <v>1180</v>
      </c>
      <c r="J448" s="229" t="s">
        <v>340</v>
      </c>
      <c r="K448" s="231" t="s">
        <v>341</v>
      </c>
    </row>
    <row r="449" spans="1:11" s="226" customFormat="1" ht="9.6" customHeight="1" x14ac:dyDescent="0.2">
      <c r="A449" s="229" t="str">
        <f>T_P_BilanSocial[[#This Row],[Nom]]&amp;T_P_BilanSocial[[#This Row],[Prenom]]</f>
        <v>LAREDOFRANCE</v>
      </c>
      <c r="B449" s="228" t="s">
        <v>1876</v>
      </c>
      <c r="C449" s="229" t="s">
        <v>1877</v>
      </c>
      <c r="D449" s="229" t="s">
        <v>1878</v>
      </c>
      <c r="E449" s="229" t="s">
        <v>1184</v>
      </c>
      <c r="F449" s="230" t="s">
        <v>308</v>
      </c>
      <c r="G449" s="229" t="s">
        <v>1476</v>
      </c>
      <c r="H449" s="229" t="s">
        <v>1477</v>
      </c>
      <c r="I449" s="229" t="s">
        <v>1180</v>
      </c>
      <c r="J449" s="229" t="s">
        <v>376</v>
      </c>
      <c r="K449" s="231" t="s">
        <v>341</v>
      </c>
    </row>
    <row r="450" spans="1:11" s="226" customFormat="1" ht="9.6" customHeight="1" x14ac:dyDescent="0.2">
      <c r="A450" s="229" t="str">
        <f>T_P_BilanSocial[[#This Row],[Nom]]&amp;T_P_BilanSocial[[#This Row],[Prenom]]</f>
        <v>LASCARKARINE</v>
      </c>
      <c r="B450" s="228" t="s">
        <v>1229</v>
      </c>
      <c r="C450" s="229" t="s">
        <v>1230</v>
      </c>
      <c r="D450" s="229" t="s">
        <v>1231</v>
      </c>
      <c r="E450" s="229" t="s">
        <v>1184</v>
      </c>
      <c r="F450" s="230" t="s">
        <v>45</v>
      </c>
      <c r="G450" s="229" t="s">
        <v>1178</v>
      </c>
      <c r="H450" s="229" t="s">
        <v>1179</v>
      </c>
      <c r="I450" s="229" t="s">
        <v>1180</v>
      </c>
      <c r="J450" s="229" t="s">
        <v>815</v>
      </c>
      <c r="K450" s="231" t="s">
        <v>794</v>
      </c>
    </row>
    <row r="451" spans="1:11" s="226" customFormat="1" ht="9.6" customHeight="1" x14ac:dyDescent="0.2">
      <c r="A451" s="229" t="str">
        <f>T_P_BilanSocial[[#This Row],[Nom]]&amp;T_P_BilanSocial[[#This Row],[Prenom]]</f>
        <v>LASTRICANI-JOLIVETMAGALI</v>
      </c>
      <c r="B451" s="228" t="s">
        <v>1394</v>
      </c>
      <c r="C451" s="229" t="s">
        <v>1395</v>
      </c>
      <c r="D451" s="229" t="s">
        <v>1301</v>
      </c>
      <c r="E451" s="229" t="s">
        <v>1184</v>
      </c>
      <c r="F451" s="230" t="s">
        <v>445</v>
      </c>
      <c r="G451" s="229" t="s">
        <v>1178</v>
      </c>
      <c r="H451" s="229" t="s">
        <v>1204</v>
      </c>
      <c r="I451" s="229" t="s">
        <v>1180</v>
      </c>
      <c r="J451" s="229" t="s">
        <v>607</v>
      </c>
      <c r="K451" s="231" t="s">
        <v>608</v>
      </c>
    </row>
    <row r="452" spans="1:11" s="226" customFormat="1" ht="9.6" customHeight="1" x14ac:dyDescent="0.2">
      <c r="A452" s="229" t="str">
        <f>T_P_BilanSocial[[#This Row],[Nom]]&amp;T_P_BilanSocial[[#This Row],[Prenom]]</f>
        <v>LAVAUDMélanie</v>
      </c>
      <c r="B452" s="228" t="s">
        <v>2221</v>
      </c>
      <c r="C452" s="229" t="s">
        <v>2222</v>
      </c>
      <c r="D452" s="229" t="s">
        <v>574</v>
      </c>
      <c r="E452" s="229" t="s">
        <v>1184</v>
      </c>
      <c r="F452" s="230" t="s">
        <v>445</v>
      </c>
      <c r="G452" s="229" t="s">
        <v>1178</v>
      </c>
      <c r="H452" s="229" t="s">
        <v>1204</v>
      </c>
      <c r="I452" s="229" t="s">
        <v>1180</v>
      </c>
      <c r="J452" s="229" t="s">
        <v>390</v>
      </c>
      <c r="K452" s="231" t="s">
        <v>391</v>
      </c>
    </row>
    <row r="453" spans="1:11" s="226" customFormat="1" ht="9.6" customHeight="1" x14ac:dyDescent="0.2">
      <c r="A453" s="229" t="str">
        <f>T_P_BilanSocial[[#This Row],[Nom]]&amp;T_P_BilanSocial[[#This Row],[Prenom]]</f>
        <v>LAVOUE LESNEMARINA</v>
      </c>
      <c r="B453" s="228" t="s">
        <v>1847</v>
      </c>
      <c r="C453" s="233" t="s">
        <v>494</v>
      </c>
      <c r="D453" s="229" t="s">
        <v>1848</v>
      </c>
      <c r="E453" s="229" t="s">
        <v>1184</v>
      </c>
      <c r="F453" s="230" t="s">
        <v>445</v>
      </c>
      <c r="G453" s="229" t="s">
        <v>1178</v>
      </c>
      <c r="H453" s="229" t="s">
        <v>1204</v>
      </c>
      <c r="I453" s="229" t="s">
        <v>1180</v>
      </c>
      <c r="J453" s="229" t="s">
        <v>487</v>
      </c>
      <c r="K453" s="232" t="s">
        <v>488</v>
      </c>
    </row>
    <row r="454" spans="1:11" s="226" customFormat="1" ht="9.6" customHeight="1" x14ac:dyDescent="0.2">
      <c r="A454" s="229" t="str">
        <f>T_P_BilanSocial[[#This Row],[Nom]]&amp;T_P_BilanSocial[[#This Row],[Prenom]]</f>
        <v>LAZZARONICELINE</v>
      </c>
      <c r="B454" s="228" t="s">
        <v>1984</v>
      </c>
      <c r="C454" s="229" t="s">
        <v>1985</v>
      </c>
      <c r="D454" s="229" t="s">
        <v>1986</v>
      </c>
      <c r="E454" s="229" t="s">
        <v>1184</v>
      </c>
      <c r="F454" s="230" t="s">
        <v>445</v>
      </c>
      <c r="G454" s="229" t="s">
        <v>1178</v>
      </c>
      <c r="H454" s="229" t="s">
        <v>1435</v>
      </c>
      <c r="I454" s="229" t="s">
        <v>1180</v>
      </c>
      <c r="J454" s="229" t="s">
        <v>376</v>
      </c>
      <c r="K454" s="231" t="s">
        <v>341</v>
      </c>
    </row>
    <row r="455" spans="1:11" s="226" customFormat="1" ht="9.6" customHeight="1" x14ac:dyDescent="0.2">
      <c r="A455" s="229" t="str">
        <f>T_P_BilanSocial[[#This Row],[Nom]]&amp;T_P_BilanSocial[[#This Row],[Prenom]]</f>
        <v>LE BARREAULUCIE</v>
      </c>
      <c r="B455" s="228" t="s">
        <v>2006</v>
      </c>
      <c r="C455" s="229" t="s">
        <v>2007</v>
      </c>
      <c r="D455" s="229" t="s">
        <v>1912</v>
      </c>
      <c r="E455" s="229" t="s">
        <v>1184</v>
      </c>
      <c r="F455" s="230" t="s">
        <v>308</v>
      </c>
      <c r="G455" s="229" t="s">
        <v>1476</v>
      </c>
      <c r="H455" s="229" t="s">
        <v>1794</v>
      </c>
      <c r="I455" s="229" t="s">
        <v>1180</v>
      </c>
      <c r="J455" s="229" t="s">
        <v>340</v>
      </c>
      <c r="K455" s="231" t="s">
        <v>341</v>
      </c>
    </row>
    <row r="456" spans="1:11" s="226" customFormat="1" ht="9.6" customHeight="1" x14ac:dyDescent="0.2">
      <c r="A456" s="229" t="str">
        <f>T_P_BilanSocial[[#This Row],[Nom]]&amp;T_P_BilanSocial[[#This Row],[Prenom]]</f>
        <v>LE GOUESTRELAURA</v>
      </c>
      <c r="B456" s="228" t="s">
        <v>2803</v>
      </c>
      <c r="C456" s="229" t="s">
        <v>834</v>
      </c>
      <c r="D456" s="229" t="s">
        <v>2259</v>
      </c>
      <c r="E456" s="229" t="s">
        <v>1184</v>
      </c>
      <c r="F456" s="230" t="s">
        <v>45</v>
      </c>
      <c r="G456" s="229" t="s">
        <v>1178</v>
      </c>
      <c r="H456" s="229" t="s">
        <v>1204</v>
      </c>
      <c r="I456" s="229" t="s">
        <v>1180</v>
      </c>
      <c r="J456" s="229" t="s">
        <v>837</v>
      </c>
      <c r="K456" s="231" t="s">
        <v>2804</v>
      </c>
    </row>
    <row r="457" spans="1:11" s="226" customFormat="1" ht="9.6" customHeight="1" x14ac:dyDescent="0.2">
      <c r="A457" s="229" t="str">
        <f>T_P_BilanSocial[[#This Row],[Nom]]&amp;T_P_BilanSocial[[#This Row],[Prenom]]</f>
        <v>LE NAOURLAURENT</v>
      </c>
      <c r="B457" s="228" t="s">
        <v>2885</v>
      </c>
      <c r="C457" s="229" t="s">
        <v>962</v>
      </c>
      <c r="D457" s="229" t="s">
        <v>1799</v>
      </c>
      <c r="E457" s="229" t="s">
        <v>1177</v>
      </c>
      <c r="F457" s="230" t="s">
        <v>308</v>
      </c>
      <c r="G457" s="229" t="s">
        <v>1178</v>
      </c>
      <c r="H457" s="229" t="s">
        <v>1179</v>
      </c>
      <c r="I457" s="229" t="s">
        <v>1180</v>
      </c>
      <c r="J457" s="229" t="s">
        <v>944</v>
      </c>
      <c r="K457" s="231" t="s">
        <v>2886</v>
      </c>
    </row>
    <row r="458" spans="1:11" s="226" customFormat="1" ht="9.6" customHeight="1" x14ac:dyDescent="0.2">
      <c r="A458" s="229" t="str">
        <f>T_P_BilanSocial[[#This Row],[Nom]]&amp;T_P_BilanSocial[[#This Row],[Prenom]]</f>
        <v>LEBEAUTIFENN</v>
      </c>
      <c r="B458" s="228" t="s">
        <v>2127</v>
      </c>
      <c r="C458" s="229" t="s">
        <v>337</v>
      </c>
      <c r="D458" s="229" t="s">
        <v>2128</v>
      </c>
      <c r="E458" s="229" t="s">
        <v>1184</v>
      </c>
      <c r="F458" s="230" t="s">
        <v>308</v>
      </c>
      <c r="G458" s="229" t="s">
        <v>1178</v>
      </c>
      <c r="H458" s="229" t="s">
        <v>1179</v>
      </c>
      <c r="I458" s="229" t="s">
        <v>1180</v>
      </c>
      <c r="J458" s="229" t="s">
        <v>520</v>
      </c>
      <c r="K458" s="231" t="s">
        <v>341</v>
      </c>
    </row>
    <row r="459" spans="1:11" s="226" customFormat="1" ht="9.6" customHeight="1" x14ac:dyDescent="0.2">
      <c r="A459" s="229" t="str">
        <f>T_P_BilanSocial[[#This Row],[Nom]]&amp;T_P_BilanSocial[[#This Row],[Prenom]]</f>
        <v>LEBOUCCHRISTOPHE</v>
      </c>
      <c r="B459" s="228" t="s">
        <v>1938</v>
      </c>
      <c r="C459" s="229" t="s">
        <v>832</v>
      </c>
      <c r="D459" s="229" t="s">
        <v>1939</v>
      </c>
      <c r="E459" s="229" t="s">
        <v>1177</v>
      </c>
      <c r="F459" s="230" t="s">
        <v>445</v>
      </c>
      <c r="G459" s="229" t="s">
        <v>1178</v>
      </c>
      <c r="H459" s="229" t="s">
        <v>1204</v>
      </c>
      <c r="I459" s="229" t="s">
        <v>1180</v>
      </c>
      <c r="J459" s="229" t="s">
        <v>411</v>
      </c>
      <c r="K459" s="231" t="s">
        <v>341</v>
      </c>
    </row>
    <row r="460" spans="1:11" s="226" customFormat="1" ht="9.6" customHeight="1" x14ac:dyDescent="0.2">
      <c r="A460" s="229" t="str">
        <f>T_P_BilanSocial[[#This Row],[Nom]]&amp;T_P_BilanSocial[[#This Row],[Prenom]]</f>
        <v>LEBOUTEILLERELODIE</v>
      </c>
      <c r="B460" s="228" t="s">
        <v>2868</v>
      </c>
      <c r="C460" s="229" t="s">
        <v>2869</v>
      </c>
      <c r="D460" s="229" t="s">
        <v>1968</v>
      </c>
      <c r="E460" s="229" t="s">
        <v>1184</v>
      </c>
      <c r="F460" s="230" t="s">
        <v>45</v>
      </c>
      <c r="G460" s="229" t="s">
        <v>1476</v>
      </c>
      <c r="H460" s="229" t="s">
        <v>1794</v>
      </c>
      <c r="I460" s="229" t="s">
        <v>1180</v>
      </c>
      <c r="J460" s="229" t="s">
        <v>622</v>
      </c>
      <c r="K460" s="231" t="s">
        <v>623</v>
      </c>
    </row>
    <row r="461" spans="1:11" s="226" customFormat="1" ht="9.6" customHeight="1" x14ac:dyDescent="0.2">
      <c r="A461" s="229" t="str">
        <f>T_P_BilanSocial[[#This Row],[Nom]]&amp;T_P_BilanSocial[[#This Row],[Prenom]]</f>
        <v>LECLEREELISE</v>
      </c>
      <c r="B461" s="228" t="s">
        <v>2821</v>
      </c>
      <c r="C461" s="229" t="s">
        <v>2822</v>
      </c>
      <c r="D461" s="229" t="s">
        <v>1677</v>
      </c>
      <c r="E461" s="229" t="s">
        <v>1184</v>
      </c>
      <c r="F461" s="230" t="s">
        <v>445</v>
      </c>
      <c r="G461" s="229" t="s">
        <v>1476</v>
      </c>
      <c r="H461" s="229" t="s">
        <v>1794</v>
      </c>
      <c r="I461" s="229" t="s">
        <v>1180</v>
      </c>
      <c r="J461" s="229" t="s">
        <v>376</v>
      </c>
      <c r="K461" s="231" t="s">
        <v>341</v>
      </c>
    </row>
    <row r="462" spans="1:11" s="226" customFormat="1" ht="9.6" customHeight="1" x14ac:dyDescent="0.2">
      <c r="A462" s="229" t="str">
        <f>T_P_BilanSocial[[#This Row],[Nom]]&amp;T_P_BilanSocial[[#This Row],[Prenom]]</f>
        <v>LEDEANCYRILLE</v>
      </c>
      <c r="B462" s="228" t="s">
        <v>1584</v>
      </c>
      <c r="C462" s="229" t="s">
        <v>709</v>
      </c>
      <c r="D462" s="229" t="s">
        <v>1585</v>
      </c>
      <c r="E462" s="229" t="s">
        <v>1177</v>
      </c>
      <c r="F462" s="230" t="s">
        <v>308</v>
      </c>
      <c r="G462" s="229" t="s">
        <v>1178</v>
      </c>
      <c r="H462" s="229" t="s">
        <v>1204</v>
      </c>
      <c r="I462" s="229" t="s">
        <v>1180</v>
      </c>
      <c r="J462" s="229" t="s">
        <v>471</v>
      </c>
      <c r="K462" s="231" t="s">
        <v>341</v>
      </c>
    </row>
    <row r="463" spans="1:11" s="226" customFormat="1" ht="9.6" customHeight="1" x14ac:dyDescent="0.2">
      <c r="A463" s="229" t="str">
        <f>T_P_BilanSocial[[#This Row],[Nom]]&amp;T_P_BilanSocial[[#This Row],[Prenom]]</f>
        <v>LEGROSELISE</v>
      </c>
      <c r="B463" s="228" t="s">
        <v>1676</v>
      </c>
      <c r="C463" s="229" t="s">
        <v>609</v>
      </c>
      <c r="D463" s="229" t="s">
        <v>1677</v>
      </c>
      <c r="E463" s="229" t="s">
        <v>1184</v>
      </c>
      <c r="F463" s="230" t="s">
        <v>45</v>
      </c>
      <c r="G463" s="229" t="s">
        <v>1178</v>
      </c>
      <c r="H463" s="229" t="s">
        <v>1204</v>
      </c>
      <c r="I463" s="229" t="s">
        <v>1180</v>
      </c>
      <c r="J463" s="229" t="s">
        <v>471</v>
      </c>
      <c r="K463" s="231" t="s">
        <v>341</v>
      </c>
    </row>
    <row r="464" spans="1:11" s="226" customFormat="1" ht="9.6" customHeight="1" x14ac:dyDescent="0.2">
      <c r="A464" s="229" t="str">
        <f>T_P_BilanSocial[[#This Row],[Nom]]&amp;T_P_BilanSocial[[#This Row],[Prenom]]</f>
        <v>LEMOINEFRANÇOIS</v>
      </c>
      <c r="B464" s="228" t="s">
        <v>1837</v>
      </c>
      <c r="C464" s="229" t="s">
        <v>1838</v>
      </c>
      <c r="D464" s="229" t="s">
        <v>1286</v>
      </c>
      <c r="E464" s="229" t="s">
        <v>1177</v>
      </c>
      <c r="F464" s="230" t="s">
        <v>308</v>
      </c>
      <c r="G464" s="229" t="s">
        <v>1178</v>
      </c>
      <c r="H464" s="229" t="s">
        <v>1204</v>
      </c>
      <c r="I464" s="229" t="s">
        <v>1180</v>
      </c>
      <c r="J464" s="229" t="s">
        <v>944</v>
      </c>
      <c r="K464" s="231" t="s">
        <v>1839</v>
      </c>
    </row>
    <row r="465" spans="1:11" s="226" customFormat="1" ht="9.6" customHeight="1" x14ac:dyDescent="0.2">
      <c r="A465" s="229" t="str">
        <f>T_P_BilanSocial[[#This Row],[Nom]]&amp;T_P_BilanSocial[[#This Row],[Prenom]]</f>
        <v>LENOËLAUDREY</v>
      </c>
      <c r="B465" s="228" t="s">
        <v>2972</v>
      </c>
      <c r="C465" s="229" t="s">
        <v>2973</v>
      </c>
      <c r="D465" s="229" t="s">
        <v>2546</v>
      </c>
      <c r="E465" s="229" t="s">
        <v>1184</v>
      </c>
      <c r="F465" s="230" t="s">
        <v>308</v>
      </c>
      <c r="G465" s="229" t="s">
        <v>1476</v>
      </c>
      <c r="H465" s="229" t="s">
        <v>1794</v>
      </c>
      <c r="I465" s="229" t="s">
        <v>1180</v>
      </c>
      <c r="J465" s="229" t="s">
        <v>471</v>
      </c>
      <c r="K465" s="231" t="s">
        <v>341</v>
      </c>
    </row>
    <row r="466" spans="1:11" s="226" customFormat="1" ht="9.6" customHeight="1" x14ac:dyDescent="0.2">
      <c r="A466" s="229" t="str">
        <f>T_P_BilanSocial[[#This Row],[Nom]]&amp;T_P_BilanSocial[[#This Row],[Prenom]]</f>
        <v>LEVEQUEMATHIEU</v>
      </c>
      <c r="B466" s="228" t="s">
        <v>2550</v>
      </c>
      <c r="C466" s="229" t="s">
        <v>2551</v>
      </c>
      <c r="D466" s="229" t="s">
        <v>1557</v>
      </c>
      <c r="E466" s="229" t="s">
        <v>1177</v>
      </c>
      <c r="F466" s="230" t="s">
        <v>45</v>
      </c>
      <c r="G466" s="229" t="s">
        <v>1476</v>
      </c>
      <c r="H466" s="229" t="s">
        <v>1794</v>
      </c>
      <c r="I466" s="229" t="s">
        <v>1180</v>
      </c>
      <c r="J466" s="229" t="s">
        <v>420</v>
      </c>
      <c r="K466" s="231" t="s">
        <v>421</v>
      </c>
    </row>
    <row r="467" spans="1:11" s="226" customFormat="1" ht="9.6" customHeight="1" x14ac:dyDescent="0.2">
      <c r="A467" s="229" t="str">
        <f>T_P_BilanSocial[[#This Row],[Nom]]&amp;T_P_BilanSocial[[#This Row],[Prenom]]</f>
        <v>LIBERADOSOPHIE</v>
      </c>
      <c r="B467" s="228" t="s">
        <v>2215</v>
      </c>
      <c r="C467" s="229" t="s">
        <v>993</v>
      </c>
      <c r="D467" s="229" t="s">
        <v>1255</v>
      </c>
      <c r="E467" s="229" t="s">
        <v>1184</v>
      </c>
      <c r="F467" s="230" t="s">
        <v>308</v>
      </c>
      <c r="G467" s="229" t="s">
        <v>1178</v>
      </c>
      <c r="H467" s="229" t="s">
        <v>1204</v>
      </c>
      <c r="I467" s="229" t="s">
        <v>1180</v>
      </c>
      <c r="J467" s="229" t="s">
        <v>626</v>
      </c>
      <c r="K467" s="231" t="s">
        <v>341</v>
      </c>
    </row>
    <row r="468" spans="1:11" s="226" customFormat="1" ht="9.6" customHeight="1" x14ac:dyDescent="0.2">
      <c r="A468" s="229" t="str">
        <f>T_P_BilanSocial[[#This Row],[Nom]]&amp;T_P_BilanSocial[[#This Row],[Prenom]]</f>
        <v>LISCHETTIHÉLÈNE</v>
      </c>
      <c r="B468" s="228" t="s">
        <v>2091</v>
      </c>
      <c r="C468" s="229" t="s">
        <v>1039</v>
      </c>
      <c r="D468" s="229" t="s">
        <v>2092</v>
      </c>
      <c r="E468" s="229" t="s">
        <v>1184</v>
      </c>
      <c r="F468" s="230" t="s">
        <v>45</v>
      </c>
      <c r="G468" s="229" t="s">
        <v>1476</v>
      </c>
      <c r="H468" s="229" t="s">
        <v>1477</v>
      </c>
      <c r="I468" s="229" t="s">
        <v>1180</v>
      </c>
      <c r="J468" s="229" t="s">
        <v>340</v>
      </c>
      <c r="K468" s="231" t="s">
        <v>341</v>
      </c>
    </row>
    <row r="469" spans="1:11" s="226" customFormat="1" ht="9.6" customHeight="1" x14ac:dyDescent="0.2">
      <c r="A469" s="229" t="str">
        <f>T_P_BilanSocial[[#This Row],[Nom]]&amp;T_P_BilanSocial[[#This Row],[Prenom]]</f>
        <v>LISSOUCKFÉLIX</v>
      </c>
      <c r="B469" s="228" t="s">
        <v>1588</v>
      </c>
      <c r="C469" s="229" t="s">
        <v>1589</v>
      </c>
      <c r="D469" s="229" t="s">
        <v>1590</v>
      </c>
      <c r="E469" s="229" t="s">
        <v>1177</v>
      </c>
      <c r="F469" s="230" t="s">
        <v>445</v>
      </c>
      <c r="G469" s="229" t="s">
        <v>1476</v>
      </c>
      <c r="H469" s="229" t="s">
        <v>1477</v>
      </c>
      <c r="I469" s="229" t="s">
        <v>1180</v>
      </c>
      <c r="J469" s="229" t="s">
        <v>376</v>
      </c>
      <c r="K469" s="231" t="s">
        <v>341</v>
      </c>
    </row>
    <row r="470" spans="1:11" s="226" customFormat="1" ht="9.6" customHeight="1" x14ac:dyDescent="0.2">
      <c r="A470" s="229" t="str">
        <f>T_P_BilanSocial[[#This Row],[Nom]]&amp;T_P_BilanSocial[[#This Row],[Prenom]]</f>
        <v>LOMBARD-DONNETAURÉLIE</v>
      </c>
      <c r="B470" s="228" t="s">
        <v>2896</v>
      </c>
      <c r="C470" s="229" t="s">
        <v>2897</v>
      </c>
      <c r="D470" s="229" t="s">
        <v>2085</v>
      </c>
      <c r="E470" s="229" t="s">
        <v>1184</v>
      </c>
      <c r="F470" s="230" t="s">
        <v>445</v>
      </c>
      <c r="G470" s="229" t="s">
        <v>1476</v>
      </c>
      <c r="H470" s="229" t="s">
        <v>1794</v>
      </c>
      <c r="I470" s="229" t="s">
        <v>1180</v>
      </c>
      <c r="J470" s="229" t="s">
        <v>481</v>
      </c>
      <c r="K470" s="231" t="s">
        <v>341</v>
      </c>
    </row>
    <row r="471" spans="1:11" s="226" customFormat="1" ht="9.6" customHeight="1" x14ac:dyDescent="0.2">
      <c r="A471" s="229" t="str">
        <f>T_P_BilanSocial[[#This Row],[Nom]]&amp;T_P_BilanSocial[[#This Row],[Prenom]]</f>
        <v>LOPEZCATHERINE</v>
      </c>
      <c r="B471" s="228" t="s">
        <v>2434</v>
      </c>
      <c r="C471" s="229" t="s">
        <v>616</v>
      </c>
      <c r="D471" s="229" t="s">
        <v>1203</v>
      </c>
      <c r="E471" s="229" t="s">
        <v>1184</v>
      </c>
      <c r="F471" s="230" t="s">
        <v>308</v>
      </c>
      <c r="G471" s="229" t="s">
        <v>1178</v>
      </c>
      <c r="H471" s="229" t="s">
        <v>1204</v>
      </c>
      <c r="I471" s="229" t="s">
        <v>1180</v>
      </c>
      <c r="J471" s="229" t="s">
        <v>420</v>
      </c>
      <c r="K471" s="231" t="s">
        <v>421</v>
      </c>
    </row>
    <row r="472" spans="1:11" s="226" customFormat="1" ht="9.6" customHeight="1" x14ac:dyDescent="0.2">
      <c r="A472" s="229" t="str">
        <f>T_P_BilanSocial[[#This Row],[Nom]]&amp;T_P_BilanSocial[[#This Row],[Prenom]]</f>
        <v>LOUGLAITHIFATIMA</v>
      </c>
      <c r="B472" s="228" t="s">
        <v>2417</v>
      </c>
      <c r="C472" s="229" t="s">
        <v>2418</v>
      </c>
      <c r="D472" s="229" t="s">
        <v>1933</v>
      </c>
      <c r="E472" s="229" t="s">
        <v>1184</v>
      </c>
      <c r="F472" s="230" t="s">
        <v>308</v>
      </c>
      <c r="G472" s="229" t="s">
        <v>1178</v>
      </c>
      <c r="H472" s="229" t="s">
        <v>1179</v>
      </c>
      <c r="I472" s="229" t="s">
        <v>1180</v>
      </c>
      <c r="J472" s="229" t="s">
        <v>498</v>
      </c>
      <c r="K472" s="231" t="s">
        <v>2419</v>
      </c>
    </row>
    <row r="473" spans="1:11" s="226" customFormat="1" ht="9.6" customHeight="1" x14ac:dyDescent="0.2">
      <c r="A473" s="229" t="str">
        <f>T_P_BilanSocial[[#This Row],[Nom]]&amp;T_P_BilanSocial[[#This Row],[Prenom]]</f>
        <v>LOUIS-SIDNEYRODOLPHE</v>
      </c>
      <c r="B473" s="228" t="s">
        <v>2470</v>
      </c>
      <c r="C473" s="229" t="s">
        <v>2471</v>
      </c>
      <c r="D473" s="229" t="s">
        <v>2472</v>
      </c>
      <c r="E473" s="229" t="s">
        <v>1177</v>
      </c>
      <c r="F473" s="230" t="s">
        <v>308</v>
      </c>
      <c r="G473" s="229" t="s">
        <v>1178</v>
      </c>
      <c r="H473" s="229" t="s">
        <v>1204</v>
      </c>
      <c r="I473" s="229" t="s">
        <v>1180</v>
      </c>
      <c r="J473" s="229" t="s">
        <v>607</v>
      </c>
      <c r="K473" s="231" t="s">
        <v>608</v>
      </c>
    </row>
    <row r="474" spans="1:11" s="226" customFormat="1" ht="9.6" customHeight="1" x14ac:dyDescent="0.2">
      <c r="A474" s="229" t="str">
        <f>T_P_BilanSocial[[#This Row],[Nom]]&amp;T_P_BilanSocial[[#This Row],[Prenom]]</f>
        <v>LOZANORIOSFrédérique</v>
      </c>
      <c r="B474" s="228" t="s">
        <v>1951</v>
      </c>
      <c r="C474" s="229" t="s">
        <v>965</v>
      </c>
      <c r="D474" s="233" t="s">
        <v>491</v>
      </c>
      <c r="E474" s="229" t="s">
        <v>1184</v>
      </c>
      <c r="F474" s="230" t="s">
        <v>308</v>
      </c>
      <c r="G474" s="229" t="s">
        <v>1178</v>
      </c>
      <c r="H474" s="229" t="s">
        <v>1204</v>
      </c>
      <c r="I474" s="229" t="s">
        <v>1180</v>
      </c>
      <c r="J474" s="229" t="s">
        <v>411</v>
      </c>
      <c r="K474" s="231" t="s">
        <v>341</v>
      </c>
    </row>
    <row r="475" spans="1:11" s="226" customFormat="1" ht="9.6" customHeight="1" x14ac:dyDescent="0.2">
      <c r="A475" s="229" t="str">
        <f>T_P_BilanSocial[[#This Row],[Nom]]&amp;T_P_BilanSocial[[#This Row],[Prenom]]</f>
        <v>LUANGVANNASYSOPHIE</v>
      </c>
      <c r="B475" s="228" t="s">
        <v>2717</v>
      </c>
      <c r="C475" s="229" t="s">
        <v>2718</v>
      </c>
      <c r="D475" s="229" t="s">
        <v>1255</v>
      </c>
      <c r="E475" s="229" t="s">
        <v>1184</v>
      </c>
      <c r="F475" s="230" t="s">
        <v>445</v>
      </c>
      <c r="G475" s="229" t="s">
        <v>1178</v>
      </c>
      <c r="H475" s="229" t="s">
        <v>1204</v>
      </c>
      <c r="I475" s="229" t="s">
        <v>1180</v>
      </c>
      <c r="J475" s="229" t="s">
        <v>408</v>
      </c>
      <c r="K475" s="231" t="s">
        <v>2719</v>
      </c>
    </row>
    <row r="476" spans="1:11" s="226" customFormat="1" ht="9.6" customHeight="1" x14ac:dyDescent="0.2">
      <c r="A476" s="229" t="str">
        <f>T_P_BilanSocial[[#This Row],[Nom]]&amp;T_P_BilanSocial[[#This Row],[Prenom]]</f>
        <v>LUCZAKLÉA</v>
      </c>
      <c r="B476" s="228" t="s">
        <v>2698</v>
      </c>
      <c r="C476" s="229" t="s">
        <v>2699</v>
      </c>
      <c r="D476" s="229" t="s">
        <v>2901</v>
      </c>
      <c r="E476" s="229" t="s">
        <v>1184</v>
      </c>
      <c r="F476" s="230" t="s">
        <v>445</v>
      </c>
      <c r="G476" s="229" t="s">
        <v>1476</v>
      </c>
      <c r="H476" s="229" t="s">
        <v>1794</v>
      </c>
      <c r="I476" s="229" t="s">
        <v>1180</v>
      </c>
      <c r="J476" s="229" t="s">
        <v>607</v>
      </c>
      <c r="K476" s="231" t="s">
        <v>608</v>
      </c>
    </row>
    <row r="477" spans="1:11" s="226" customFormat="1" ht="9.6" customHeight="1" x14ac:dyDescent="0.2">
      <c r="A477" s="229" t="str">
        <f>T_P_BilanSocial[[#This Row],[Nom]]&amp;T_P_BilanSocial[[#This Row],[Prenom]]</f>
        <v>LYONNETCHRISTINE</v>
      </c>
      <c r="B477" s="228" t="s">
        <v>1445</v>
      </c>
      <c r="C477" s="229" t="s">
        <v>1446</v>
      </c>
      <c r="D477" s="229" t="s">
        <v>1447</v>
      </c>
      <c r="E477" s="229" t="s">
        <v>1184</v>
      </c>
      <c r="F477" s="230" t="s">
        <v>45</v>
      </c>
      <c r="G477" s="229" t="s">
        <v>1178</v>
      </c>
      <c r="H477" s="229" t="s">
        <v>1435</v>
      </c>
      <c r="I477" s="229" t="s">
        <v>1180</v>
      </c>
      <c r="J477" s="229" t="s">
        <v>944</v>
      </c>
      <c r="K477" s="231" t="s">
        <v>1448</v>
      </c>
    </row>
    <row r="478" spans="1:11" s="226" customFormat="1" ht="9.6" customHeight="1" x14ac:dyDescent="0.2">
      <c r="A478" s="229" t="str">
        <f>T_P_BilanSocial[[#This Row],[Nom]]&amp;T_P_BilanSocial[[#This Row],[Prenom]]</f>
        <v>MACHABERTOLIVIER</v>
      </c>
      <c r="B478" s="228" t="s">
        <v>2602</v>
      </c>
      <c r="C478" s="229" t="s">
        <v>707</v>
      </c>
      <c r="D478" s="229" t="s">
        <v>1278</v>
      </c>
      <c r="E478" s="229" t="s">
        <v>1177</v>
      </c>
      <c r="F478" s="230" t="s">
        <v>308</v>
      </c>
      <c r="G478" s="229" t="s">
        <v>1476</v>
      </c>
      <c r="H478" s="229" t="s">
        <v>1794</v>
      </c>
      <c r="I478" s="229" t="s">
        <v>1180</v>
      </c>
      <c r="J478" s="229" t="s">
        <v>656</v>
      </c>
      <c r="K478" s="231" t="s">
        <v>1264</v>
      </c>
    </row>
    <row r="479" spans="1:11" s="226" customFormat="1" ht="9.6" customHeight="1" x14ac:dyDescent="0.2">
      <c r="A479" s="229" t="str">
        <f>T_P_BilanSocial[[#This Row],[Nom]]&amp;T_P_BilanSocial[[#This Row],[Prenom]]</f>
        <v>MACHETCHRISTINE</v>
      </c>
      <c r="B479" s="228" t="s">
        <v>1537</v>
      </c>
      <c r="C479" s="229" t="s">
        <v>1063</v>
      </c>
      <c r="D479" s="229" t="s">
        <v>1447</v>
      </c>
      <c r="E479" s="229" t="s">
        <v>1184</v>
      </c>
      <c r="F479" s="230" t="s">
        <v>45</v>
      </c>
      <c r="G479" s="229" t="s">
        <v>1178</v>
      </c>
      <c r="H479" s="229" t="s">
        <v>1179</v>
      </c>
      <c r="I479" s="229" t="s">
        <v>1180</v>
      </c>
      <c r="J479" s="229" t="s">
        <v>320</v>
      </c>
      <c r="K479" s="231" t="s">
        <v>321</v>
      </c>
    </row>
    <row r="480" spans="1:11" s="226" customFormat="1" ht="9.6" customHeight="1" x14ac:dyDescent="0.2">
      <c r="A480" s="229" t="str">
        <f>T_P_BilanSocial[[#This Row],[Nom]]&amp;T_P_BilanSocial[[#This Row],[Prenom]]</f>
        <v>MAEYHIEUXISABELLE</v>
      </c>
      <c r="B480" s="228" t="s">
        <v>2231</v>
      </c>
      <c r="C480" s="229" t="s">
        <v>1069</v>
      </c>
      <c r="D480" s="229" t="s">
        <v>1224</v>
      </c>
      <c r="E480" s="229" t="s">
        <v>1184</v>
      </c>
      <c r="F480" s="230" t="s">
        <v>308</v>
      </c>
      <c r="G480" s="229" t="s">
        <v>1178</v>
      </c>
      <c r="H480" s="229" t="s">
        <v>1204</v>
      </c>
      <c r="I480" s="229" t="s">
        <v>1180</v>
      </c>
      <c r="J480" s="229" t="s">
        <v>1013</v>
      </c>
      <c r="K480" s="231" t="s">
        <v>2232</v>
      </c>
    </row>
    <row r="481" spans="1:11" s="226" customFormat="1" ht="9.6" customHeight="1" x14ac:dyDescent="0.2">
      <c r="A481" s="229" t="str">
        <f>T_P_BilanSocial[[#This Row],[Nom]]&amp;T_P_BilanSocial[[#This Row],[Prenom]]</f>
        <v>MAINSELCHLOÉ</v>
      </c>
      <c r="B481" s="228" t="s">
        <v>2512</v>
      </c>
      <c r="C481" s="229" t="s">
        <v>2513</v>
      </c>
      <c r="D481" s="229" t="s">
        <v>2514</v>
      </c>
      <c r="E481" s="229" t="s">
        <v>1184</v>
      </c>
      <c r="F481" s="230" t="s">
        <v>45</v>
      </c>
      <c r="G481" s="229" t="s">
        <v>1476</v>
      </c>
      <c r="H481" s="229" t="s">
        <v>1794</v>
      </c>
      <c r="I481" s="229" t="s">
        <v>1180</v>
      </c>
      <c r="J481" s="229" t="s">
        <v>353</v>
      </c>
      <c r="K481" s="231" t="s">
        <v>354</v>
      </c>
    </row>
    <row r="482" spans="1:11" s="226" customFormat="1" ht="9.6" customHeight="1" x14ac:dyDescent="0.2">
      <c r="A482" s="229" t="str">
        <f>T_P_BilanSocial[[#This Row],[Nom]]&amp;T_P_BilanSocial[[#This Row],[Prenom]]</f>
        <v>MAISONNEUVECHRISTIAN</v>
      </c>
      <c r="B482" s="228" t="s">
        <v>1367</v>
      </c>
      <c r="C482" s="229" t="s">
        <v>1368</v>
      </c>
      <c r="D482" s="229" t="s">
        <v>1369</v>
      </c>
      <c r="E482" s="229" t="s">
        <v>1177</v>
      </c>
      <c r="F482" s="230" t="s">
        <v>45</v>
      </c>
      <c r="G482" s="229" t="s">
        <v>1178</v>
      </c>
      <c r="H482" s="229" t="s">
        <v>1204</v>
      </c>
      <c r="I482" s="229" t="s">
        <v>1180</v>
      </c>
      <c r="J482" s="229" t="s">
        <v>353</v>
      </c>
      <c r="K482" s="231" t="s">
        <v>354</v>
      </c>
    </row>
    <row r="483" spans="1:11" s="226" customFormat="1" ht="9.6" customHeight="1" x14ac:dyDescent="0.2">
      <c r="A483" s="229" t="str">
        <f>T_P_BilanSocial[[#This Row],[Nom]]&amp;T_P_BilanSocial[[#This Row],[Prenom]]</f>
        <v>MANCEAUSTÉPHANE</v>
      </c>
      <c r="B483" s="228" t="s">
        <v>1344</v>
      </c>
      <c r="C483" s="229" t="s">
        <v>721</v>
      </c>
      <c r="D483" s="229" t="s">
        <v>1345</v>
      </c>
      <c r="E483" s="229" t="s">
        <v>1177</v>
      </c>
      <c r="F483" s="230" t="s">
        <v>308</v>
      </c>
      <c r="G483" s="229" t="s">
        <v>1178</v>
      </c>
      <c r="H483" s="229" t="s">
        <v>1204</v>
      </c>
      <c r="I483" s="229" t="s">
        <v>1180</v>
      </c>
      <c r="J483" s="229" t="s">
        <v>353</v>
      </c>
      <c r="K483" s="231" t="s">
        <v>354</v>
      </c>
    </row>
    <row r="484" spans="1:11" s="226" customFormat="1" ht="9.6" customHeight="1" x14ac:dyDescent="0.2">
      <c r="A484" s="229" t="str">
        <f>T_P_BilanSocial[[#This Row],[Nom]]&amp;T_P_BilanSocial[[#This Row],[Prenom]]</f>
        <v>MANCEAUSILVA</v>
      </c>
      <c r="B484" s="228" t="s">
        <v>1700</v>
      </c>
      <c r="C484" s="229" t="s">
        <v>721</v>
      </c>
      <c r="D484" s="229" t="s">
        <v>1701</v>
      </c>
      <c r="E484" s="229" t="s">
        <v>1184</v>
      </c>
      <c r="F484" s="230" t="s">
        <v>445</v>
      </c>
      <c r="G484" s="229" t="s">
        <v>1178</v>
      </c>
      <c r="H484" s="229" t="s">
        <v>1204</v>
      </c>
      <c r="I484" s="229" t="s">
        <v>1180</v>
      </c>
      <c r="J484" s="229" t="s">
        <v>353</v>
      </c>
      <c r="K484" s="231" t="s">
        <v>354</v>
      </c>
    </row>
    <row r="485" spans="1:11" s="226" customFormat="1" ht="9.6" customHeight="1" x14ac:dyDescent="0.2">
      <c r="A485" s="229" t="str">
        <f>T_P_BilanSocial[[#This Row],[Nom]]&amp;T_P_BilanSocial[[#This Row],[Prenom]]</f>
        <v>MANCINALILIA</v>
      </c>
      <c r="B485" s="228" t="s">
        <v>2866</v>
      </c>
      <c r="C485" s="229" t="s">
        <v>2867</v>
      </c>
      <c r="D485" s="229" t="s">
        <v>2846</v>
      </c>
      <c r="E485" s="229" t="s">
        <v>1184</v>
      </c>
      <c r="F485" s="230" t="s">
        <v>445</v>
      </c>
      <c r="G485" s="229" t="s">
        <v>1476</v>
      </c>
      <c r="H485" s="229" t="s">
        <v>1794</v>
      </c>
      <c r="I485" s="229" t="s">
        <v>1180</v>
      </c>
      <c r="J485" s="229" t="s">
        <v>566</v>
      </c>
      <c r="K485" s="231" t="s">
        <v>581</v>
      </c>
    </row>
    <row r="486" spans="1:11" s="226" customFormat="1" ht="9.6" customHeight="1" x14ac:dyDescent="0.2">
      <c r="A486" s="229" t="str">
        <f>T_P_BilanSocial[[#This Row],[Nom]]&amp;T_P_BilanSocial[[#This Row],[Prenom]]</f>
        <v>MANGUEEMMANUELLE</v>
      </c>
      <c r="B486" s="228" t="s">
        <v>2456</v>
      </c>
      <c r="C486" s="229" t="s">
        <v>2457</v>
      </c>
      <c r="D486" s="229" t="s">
        <v>1624</v>
      </c>
      <c r="E486" s="229" t="s">
        <v>1184</v>
      </c>
      <c r="F486" s="230" t="s">
        <v>308</v>
      </c>
      <c r="G486" s="229" t="s">
        <v>1476</v>
      </c>
      <c r="H486" s="229" t="s">
        <v>1794</v>
      </c>
      <c r="I486" s="229" t="s">
        <v>1180</v>
      </c>
      <c r="J486" s="229" t="s">
        <v>340</v>
      </c>
      <c r="K486" s="231" t="s">
        <v>341</v>
      </c>
    </row>
    <row r="487" spans="1:11" s="226" customFormat="1" ht="9.6" customHeight="1" x14ac:dyDescent="0.2">
      <c r="A487" s="229" t="str">
        <f>T_P_BilanSocial[[#This Row],[Nom]]&amp;T_P_BilanSocial[[#This Row],[Prenom]]</f>
        <v>MARCELLIERVALÉRIE</v>
      </c>
      <c r="B487" s="228" t="s">
        <v>1421</v>
      </c>
      <c r="C487" s="229" t="s">
        <v>1422</v>
      </c>
      <c r="D487" s="229" t="s">
        <v>1308</v>
      </c>
      <c r="E487" s="229" t="s">
        <v>1184</v>
      </c>
      <c r="F487" s="230" t="s">
        <v>45</v>
      </c>
      <c r="G487" s="229" t="s">
        <v>1178</v>
      </c>
      <c r="H487" s="229" t="s">
        <v>1204</v>
      </c>
      <c r="I487" s="229" t="s">
        <v>1180</v>
      </c>
      <c r="J487" s="229" t="s">
        <v>622</v>
      </c>
      <c r="K487" s="231" t="s">
        <v>1423</v>
      </c>
    </row>
    <row r="488" spans="1:11" s="226" customFormat="1" ht="9.6" customHeight="1" x14ac:dyDescent="0.2">
      <c r="A488" s="229" t="str">
        <f>T_P_BilanSocial[[#This Row],[Nom]]&amp;T_P_BilanSocial[[#This Row],[Prenom]]</f>
        <v>MARCHANDPATRICK</v>
      </c>
      <c r="B488" s="228" t="s">
        <v>1593</v>
      </c>
      <c r="C488" s="229" t="s">
        <v>1594</v>
      </c>
      <c r="D488" s="229" t="s">
        <v>1595</v>
      </c>
      <c r="E488" s="229" t="s">
        <v>1177</v>
      </c>
      <c r="F488" s="230" t="s">
        <v>45</v>
      </c>
      <c r="G488" s="229" t="s">
        <v>1178</v>
      </c>
      <c r="H488" s="229" t="s">
        <v>1204</v>
      </c>
      <c r="I488" s="229" t="s">
        <v>1180</v>
      </c>
      <c r="J488" s="229" t="s">
        <v>1596</v>
      </c>
      <c r="K488" s="231" t="s">
        <v>1597</v>
      </c>
    </row>
    <row r="489" spans="1:11" s="226" customFormat="1" ht="9.6" customHeight="1" x14ac:dyDescent="0.2">
      <c r="A489" s="229" t="str">
        <f>T_P_BilanSocial[[#This Row],[Nom]]&amp;T_P_BilanSocial[[#This Row],[Prenom]]</f>
        <v>MARGAINNEPATRICE</v>
      </c>
      <c r="B489" s="228" t="s">
        <v>1690</v>
      </c>
      <c r="C489" s="229" t="s">
        <v>1691</v>
      </c>
      <c r="D489" s="229" t="s">
        <v>1692</v>
      </c>
      <c r="E489" s="229" t="s">
        <v>1177</v>
      </c>
      <c r="F489" s="230" t="s">
        <v>45</v>
      </c>
      <c r="G489" s="229" t="s">
        <v>1178</v>
      </c>
      <c r="H489" s="229" t="s">
        <v>1204</v>
      </c>
      <c r="I489" s="229" t="s">
        <v>1180</v>
      </c>
      <c r="J489" s="229" t="s">
        <v>667</v>
      </c>
      <c r="K489" s="231" t="s">
        <v>1693</v>
      </c>
    </row>
    <row r="490" spans="1:11" s="226" customFormat="1" ht="9.6" customHeight="1" x14ac:dyDescent="0.2">
      <c r="A490" s="229" t="str">
        <f>T_P_BilanSocial[[#This Row],[Nom]]&amp;T_P_BilanSocial[[#This Row],[Prenom]]</f>
        <v>MARIE-LOUISENATHALIE</v>
      </c>
      <c r="B490" s="228" t="s">
        <v>2552</v>
      </c>
      <c r="C490" s="229" t="s">
        <v>546</v>
      </c>
      <c r="D490" s="229" t="s">
        <v>1434</v>
      </c>
      <c r="E490" s="229" t="s">
        <v>1184</v>
      </c>
      <c r="F490" s="230" t="s">
        <v>445</v>
      </c>
      <c r="G490" s="229" t="s">
        <v>1178</v>
      </c>
      <c r="H490" s="229" t="s">
        <v>1179</v>
      </c>
      <c r="I490" s="229" t="s">
        <v>1180</v>
      </c>
      <c r="J490" s="229" t="s">
        <v>487</v>
      </c>
      <c r="K490" s="231" t="s">
        <v>488</v>
      </c>
    </row>
    <row r="491" spans="1:11" s="226" customFormat="1" ht="9.6" customHeight="1" x14ac:dyDescent="0.2">
      <c r="A491" s="229" t="str">
        <f>T_P_BilanSocial[[#This Row],[Nom]]&amp;T_P_BilanSocial[[#This Row],[Prenom]]</f>
        <v>MARIONJEAN-BAPTISTE</v>
      </c>
      <c r="B491" s="228" t="s">
        <v>1831</v>
      </c>
      <c r="C491" s="229" t="s">
        <v>564</v>
      </c>
      <c r="D491" s="229" t="s">
        <v>1749</v>
      </c>
      <c r="E491" s="229" t="s">
        <v>1177</v>
      </c>
      <c r="F491" s="230" t="s">
        <v>308</v>
      </c>
      <c r="G491" s="229" t="s">
        <v>1178</v>
      </c>
      <c r="H491" s="229" t="s">
        <v>1204</v>
      </c>
      <c r="I491" s="229" t="s">
        <v>1180</v>
      </c>
      <c r="J491" s="229" t="s">
        <v>353</v>
      </c>
      <c r="K491" s="231" t="s">
        <v>354</v>
      </c>
    </row>
    <row r="492" spans="1:11" s="226" customFormat="1" ht="9.6" customHeight="1" x14ac:dyDescent="0.2">
      <c r="A492" s="229" t="str">
        <f>T_P_BilanSocial[[#This Row],[Nom]]&amp;T_P_BilanSocial[[#This Row],[Prenom]]</f>
        <v>MARMOURILILIA</v>
      </c>
      <c r="B492" s="228" t="s">
        <v>2845</v>
      </c>
      <c r="C492" s="229" t="s">
        <v>1064</v>
      </c>
      <c r="D492" s="229" t="s">
        <v>2846</v>
      </c>
      <c r="E492" s="229" t="s">
        <v>1184</v>
      </c>
      <c r="F492" s="230" t="s">
        <v>45</v>
      </c>
      <c r="G492" s="229" t="s">
        <v>1476</v>
      </c>
      <c r="H492" s="229" t="s">
        <v>1794</v>
      </c>
      <c r="I492" s="229" t="s">
        <v>1180</v>
      </c>
      <c r="J492" s="229" t="s">
        <v>411</v>
      </c>
      <c r="K492" s="231" t="s">
        <v>341</v>
      </c>
    </row>
    <row r="493" spans="1:11" s="226" customFormat="1" ht="9.6" customHeight="1" x14ac:dyDescent="0.2">
      <c r="A493" s="229" t="str">
        <f>T_P_BilanSocial[[#This Row],[Nom]]&amp;T_P_BilanSocial[[#This Row],[Prenom]]</f>
        <v>MARSANFRÉDÉRIQUE</v>
      </c>
      <c r="B493" s="228" t="s">
        <v>2263</v>
      </c>
      <c r="C493" s="229" t="s">
        <v>490</v>
      </c>
      <c r="D493" s="229" t="s">
        <v>1534</v>
      </c>
      <c r="E493" s="229" t="s">
        <v>1184</v>
      </c>
      <c r="F493" s="230" t="s">
        <v>308</v>
      </c>
      <c r="G493" s="229" t="s">
        <v>1476</v>
      </c>
      <c r="H493" s="229" t="s">
        <v>1477</v>
      </c>
      <c r="I493" s="229" t="s">
        <v>1180</v>
      </c>
      <c r="J493" s="229" t="s">
        <v>535</v>
      </c>
      <c r="K493" s="231" t="s">
        <v>536</v>
      </c>
    </row>
    <row r="494" spans="1:11" s="226" customFormat="1" ht="9.6" customHeight="1" x14ac:dyDescent="0.2">
      <c r="A494" s="229" t="str">
        <f>T_P_BilanSocial[[#This Row],[Nom]]&amp;T_P_BilanSocial[[#This Row],[Prenom]]</f>
        <v>MARTELValérie</v>
      </c>
      <c r="B494" s="228" t="s">
        <v>1904</v>
      </c>
      <c r="C494" s="229" t="s">
        <v>620</v>
      </c>
      <c r="D494" s="229" t="s">
        <v>621</v>
      </c>
      <c r="E494" s="229" t="s">
        <v>1184</v>
      </c>
      <c r="F494" s="230" t="s">
        <v>308</v>
      </c>
      <c r="G494" s="229" t="s">
        <v>1178</v>
      </c>
      <c r="H494" s="229" t="s">
        <v>1204</v>
      </c>
      <c r="I494" s="229" t="s">
        <v>1180</v>
      </c>
      <c r="J494" s="229" t="s">
        <v>622</v>
      </c>
      <c r="K494" s="231" t="s">
        <v>623</v>
      </c>
    </row>
    <row r="495" spans="1:11" s="226" customFormat="1" ht="9.6" customHeight="1" x14ac:dyDescent="0.2">
      <c r="A495" s="229" t="str">
        <f>T_P_BilanSocial[[#This Row],[Nom]]&amp;T_P_BilanSocial[[#This Row],[Prenom]]</f>
        <v>MARTINFRÉDÉRIC</v>
      </c>
      <c r="B495" s="228" t="s">
        <v>1627</v>
      </c>
      <c r="C495" s="229" t="s">
        <v>1628</v>
      </c>
      <c r="D495" s="229" t="s">
        <v>1629</v>
      </c>
      <c r="E495" s="229" t="s">
        <v>1177</v>
      </c>
      <c r="F495" s="230" t="s">
        <v>45</v>
      </c>
      <c r="G495" s="229" t="s">
        <v>1178</v>
      </c>
      <c r="H495" s="229" t="s">
        <v>1204</v>
      </c>
      <c r="I495" s="229" t="s">
        <v>1180</v>
      </c>
      <c r="J495" s="229" t="s">
        <v>340</v>
      </c>
      <c r="K495" s="231" t="s">
        <v>341</v>
      </c>
    </row>
    <row r="496" spans="1:11" s="226" customFormat="1" ht="9.6" customHeight="1" x14ac:dyDescent="0.2">
      <c r="A496" s="229" t="str">
        <f>T_P_BilanSocial[[#This Row],[Nom]]&amp;T_P_BilanSocial[[#This Row],[Prenom]]</f>
        <v>MARTINMURIEL</v>
      </c>
      <c r="B496" s="228" t="s">
        <v>2021</v>
      </c>
      <c r="C496" s="229" t="s">
        <v>1628</v>
      </c>
      <c r="D496" s="229" t="s">
        <v>1716</v>
      </c>
      <c r="E496" s="229" t="s">
        <v>1184</v>
      </c>
      <c r="F496" s="230" t="s">
        <v>308</v>
      </c>
      <c r="G496" s="229" t="s">
        <v>1178</v>
      </c>
      <c r="H496" s="229" t="s">
        <v>1204</v>
      </c>
      <c r="I496" s="229" t="s">
        <v>1180</v>
      </c>
      <c r="J496" s="229" t="s">
        <v>477</v>
      </c>
      <c r="K496" s="231" t="s">
        <v>637</v>
      </c>
    </row>
    <row r="497" spans="1:11" s="226" customFormat="1" ht="9.6" customHeight="1" x14ac:dyDescent="0.2">
      <c r="A497" s="229" t="str">
        <f>T_P_BilanSocial[[#This Row],[Nom]]&amp;T_P_BilanSocial[[#This Row],[Prenom]]</f>
        <v>MARTINFLORIAN</v>
      </c>
      <c r="B497" s="228" t="s">
        <v>2930</v>
      </c>
      <c r="C497" s="229" t="s">
        <v>1628</v>
      </c>
      <c r="D497" s="229" t="s">
        <v>2747</v>
      </c>
      <c r="E497" s="229" t="s">
        <v>1177</v>
      </c>
      <c r="F497" s="230" t="s">
        <v>45</v>
      </c>
      <c r="G497" s="229" t="s">
        <v>1476</v>
      </c>
      <c r="H497" s="229" t="s">
        <v>1794</v>
      </c>
      <c r="I497" s="229" t="s">
        <v>1180</v>
      </c>
      <c r="J497" s="229" t="s">
        <v>2336</v>
      </c>
      <c r="K497" s="231" t="s">
        <v>2337</v>
      </c>
    </row>
    <row r="498" spans="1:11" s="226" customFormat="1" ht="9.6" customHeight="1" x14ac:dyDescent="0.2">
      <c r="A498" s="229" t="str">
        <f>T_P_BilanSocial[[#This Row],[Nom]]&amp;T_P_BilanSocial[[#This Row],[Prenom]]</f>
        <v>MARTINEZMARC</v>
      </c>
      <c r="B498" s="228" t="s">
        <v>2168</v>
      </c>
      <c r="C498" s="229" t="s">
        <v>629</v>
      </c>
      <c r="D498" s="229" t="s">
        <v>2169</v>
      </c>
      <c r="E498" s="229" t="s">
        <v>1177</v>
      </c>
      <c r="F498" s="230" t="s">
        <v>308</v>
      </c>
      <c r="G498" s="229" t="s">
        <v>1178</v>
      </c>
      <c r="H498" s="229" t="s">
        <v>1435</v>
      </c>
      <c r="I498" s="229" t="s">
        <v>1180</v>
      </c>
      <c r="J498" s="229" t="s">
        <v>611</v>
      </c>
      <c r="K498" s="231" t="s">
        <v>341</v>
      </c>
    </row>
    <row r="499" spans="1:11" s="226" customFormat="1" ht="9.6" customHeight="1" x14ac:dyDescent="0.2">
      <c r="A499" s="229" t="str">
        <f>T_P_BilanSocial[[#This Row],[Nom]]&amp;T_P_BilanSocial[[#This Row],[Prenom]]</f>
        <v>MARTINEZMADELINE</v>
      </c>
      <c r="B499" s="228" t="s">
        <v>2410</v>
      </c>
      <c r="C499" s="229" t="s">
        <v>629</v>
      </c>
      <c r="D499" s="229" t="s">
        <v>2411</v>
      </c>
      <c r="E499" s="229" t="s">
        <v>1184</v>
      </c>
      <c r="F499" s="230" t="s">
        <v>445</v>
      </c>
      <c r="G499" s="229" t="s">
        <v>1178</v>
      </c>
      <c r="H499" s="229" t="s">
        <v>1204</v>
      </c>
      <c r="I499" s="229" t="s">
        <v>1180</v>
      </c>
      <c r="J499" s="229" t="s">
        <v>611</v>
      </c>
      <c r="K499" s="231" t="s">
        <v>341</v>
      </c>
    </row>
    <row r="500" spans="1:11" s="226" customFormat="1" ht="9.6" customHeight="1" x14ac:dyDescent="0.2">
      <c r="A500" s="229" t="str">
        <f>T_P_BilanSocial[[#This Row],[Nom]]&amp;T_P_BilanSocial[[#This Row],[Prenom]]</f>
        <v>MARTORANAChloé</v>
      </c>
      <c r="B500" s="228" t="s">
        <v>2702</v>
      </c>
      <c r="C500" s="229" t="s">
        <v>2703</v>
      </c>
      <c r="D500" s="233" t="s">
        <v>701</v>
      </c>
      <c r="E500" s="229" t="s">
        <v>1184</v>
      </c>
      <c r="F500" s="230" t="s">
        <v>45</v>
      </c>
      <c r="G500" s="229" t="s">
        <v>1476</v>
      </c>
      <c r="H500" s="229" t="s">
        <v>1794</v>
      </c>
      <c r="I500" s="229" t="s">
        <v>1180</v>
      </c>
      <c r="J500" s="229" t="s">
        <v>702</v>
      </c>
      <c r="K500" s="231" t="s">
        <v>2704</v>
      </c>
    </row>
    <row r="501" spans="1:11" s="226" customFormat="1" ht="9.6" customHeight="1" x14ac:dyDescent="0.2">
      <c r="A501" s="229" t="str">
        <f>T_P_BilanSocial[[#This Row],[Nom]]&amp;T_P_BilanSocial[[#This Row],[Prenom]]</f>
        <v>MATEOMICHAËL</v>
      </c>
      <c r="B501" s="228" t="s">
        <v>2423</v>
      </c>
      <c r="C501" s="229" t="s">
        <v>2424</v>
      </c>
      <c r="D501" s="229" t="s">
        <v>2425</v>
      </c>
      <c r="E501" s="229" t="s">
        <v>1177</v>
      </c>
      <c r="F501" s="230" t="s">
        <v>45</v>
      </c>
      <c r="G501" s="229" t="s">
        <v>1476</v>
      </c>
      <c r="H501" s="229" t="s">
        <v>1477</v>
      </c>
      <c r="I501" s="229" t="s">
        <v>1180</v>
      </c>
      <c r="J501" s="229" t="s">
        <v>411</v>
      </c>
      <c r="K501" s="231" t="s">
        <v>341</v>
      </c>
    </row>
    <row r="502" spans="1:11" s="226" customFormat="1" ht="9.6" customHeight="1" x14ac:dyDescent="0.2">
      <c r="A502" s="229" t="str">
        <f>T_P_BilanSocial[[#This Row],[Nom]]&amp;T_P_BilanSocial[[#This Row],[Prenom]]</f>
        <v>MATHIEUMARIE-PAULE</v>
      </c>
      <c r="B502" s="228" t="s">
        <v>1556</v>
      </c>
      <c r="C502" s="229" t="s">
        <v>1557</v>
      </c>
      <c r="D502" s="229" t="s">
        <v>1558</v>
      </c>
      <c r="E502" s="229" t="s">
        <v>1184</v>
      </c>
      <c r="F502" s="230" t="s">
        <v>308</v>
      </c>
      <c r="G502" s="229" t="s">
        <v>1476</v>
      </c>
      <c r="H502" s="229" t="s">
        <v>1477</v>
      </c>
      <c r="I502" s="229" t="s">
        <v>1180</v>
      </c>
      <c r="J502" s="229" t="s">
        <v>566</v>
      </c>
      <c r="K502" s="231" t="s">
        <v>1154</v>
      </c>
    </row>
    <row r="503" spans="1:11" s="226" customFormat="1" ht="9.6" customHeight="1" x14ac:dyDescent="0.2">
      <c r="A503" s="229" t="str">
        <f>T_P_BilanSocial[[#This Row],[Nom]]&amp;T_P_BilanSocial[[#This Row],[Prenom]]</f>
        <v>MAURINCHARLOTTE</v>
      </c>
      <c r="B503" s="228" t="s">
        <v>2857</v>
      </c>
      <c r="C503" s="229" t="s">
        <v>2858</v>
      </c>
      <c r="D503" s="229" t="s">
        <v>2797</v>
      </c>
      <c r="E503" s="229" t="s">
        <v>1184</v>
      </c>
      <c r="F503" s="230" t="s">
        <v>445</v>
      </c>
      <c r="G503" s="229" t="s">
        <v>1476</v>
      </c>
      <c r="H503" s="229" t="s">
        <v>1794</v>
      </c>
      <c r="I503" s="229" t="s">
        <v>1180</v>
      </c>
      <c r="J503" s="229" t="s">
        <v>481</v>
      </c>
      <c r="K503" s="231" t="s">
        <v>341</v>
      </c>
    </row>
    <row r="504" spans="1:11" s="226" customFormat="1" ht="9.6" customHeight="1" x14ac:dyDescent="0.2">
      <c r="A504" s="229" t="str">
        <f>T_P_BilanSocial[[#This Row],[Nom]]&amp;T_P_BilanSocial[[#This Row],[Prenom]]</f>
        <v>MAZZONEADRIEN</v>
      </c>
      <c r="B504" s="228" t="s">
        <v>2129</v>
      </c>
      <c r="C504" s="229" t="s">
        <v>2130</v>
      </c>
      <c r="D504" s="229" t="s">
        <v>2131</v>
      </c>
      <c r="E504" s="229" t="s">
        <v>1177</v>
      </c>
      <c r="F504" s="230" t="s">
        <v>445</v>
      </c>
      <c r="G504" s="229" t="s">
        <v>1476</v>
      </c>
      <c r="H504" s="229" t="s">
        <v>1477</v>
      </c>
      <c r="I504" s="229" t="s">
        <v>1180</v>
      </c>
      <c r="J504" s="229" t="s">
        <v>411</v>
      </c>
      <c r="K504" s="231" t="s">
        <v>341</v>
      </c>
    </row>
    <row r="505" spans="1:11" s="226" customFormat="1" ht="9.6" customHeight="1" x14ac:dyDescent="0.2">
      <c r="A505" s="229" t="str">
        <f>T_P_BilanSocial[[#This Row],[Nom]]&amp;T_P_BilanSocial[[#This Row],[Prenom]]</f>
        <v>MEALLIERAMÉLIE</v>
      </c>
      <c r="B505" s="228" t="s">
        <v>2775</v>
      </c>
      <c r="C505" s="229" t="s">
        <v>2776</v>
      </c>
      <c r="D505" s="229" t="s">
        <v>2741</v>
      </c>
      <c r="E505" s="229" t="s">
        <v>1184</v>
      </c>
      <c r="F505" s="230" t="s">
        <v>445</v>
      </c>
      <c r="G505" s="229" t="s">
        <v>1476</v>
      </c>
      <c r="H505" s="229" t="s">
        <v>1794</v>
      </c>
      <c r="I505" s="229" t="s">
        <v>1180</v>
      </c>
      <c r="J505" s="229" t="s">
        <v>520</v>
      </c>
      <c r="K505" s="231" t="s">
        <v>341</v>
      </c>
    </row>
    <row r="506" spans="1:11" s="226" customFormat="1" ht="9.6" customHeight="1" x14ac:dyDescent="0.2">
      <c r="A506" s="229" t="str">
        <f>T_P_BilanSocial[[#This Row],[Nom]]&amp;T_P_BilanSocial[[#This Row],[Prenom]]</f>
        <v>MEBKHOUTSONIA</v>
      </c>
      <c r="B506" s="228" t="s">
        <v>2836</v>
      </c>
      <c r="C506" s="229" t="s">
        <v>2837</v>
      </c>
      <c r="D506" s="229" t="s">
        <v>1244</v>
      </c>
      <c r="E506" s="229" t="s">
        <v>1184</v>
      </c>
      <c r="F506" s="230" t="s">
        <v>45</v>
      </c>
      <c r="G506" s="229" t="s">
        <v>1476</v>
      </c>
      <c r="H506" s="229" t="s">
        <v>1794</v>
      </c>
      <c r="I506" s="229" t="s">
        <v>1180</v>
      </c>
      <c r="J506" s="229" t="s">
        <v>353</v>
      </c>
      <c r="K506" s="231" t="s">
        <v>354</v>
      </c>
    </row>
    <row r="507" spans="1:11" s="226" customFormat="1" ht="9.6" customHeight="1" x14ac:dyDescent="0.2">
      <c r="A507" s="229" t="str">
        <f>T_P_BilanSocial[[#This Row],[Nom]]&amp;T_P_BilanSocial[[#This Row],[Prenom]]</f>
        <v>MEDINAWILFRID</v>
      </c>
      <c r="B507" s="228" t="s">
        <v>1346</v>
      </c>
      <c r="C507" s="229" t="s">
        <v>940</v>
      </c>
      <c r="D507" s="229" t="s">
        <v>1347</v>
      </c>
      <c r="E507" s="229" t="s">
        <v>1177</v>
      </c>
      <c r="F507" s="230" t="s">
        <v>308</v>
      </c>
      <c r="G507" s="229" t="s">
        <v>1178</v>
      </c>
      <c r="H507" s="229" t="s">
        <v>1204</v>
      </c>
      <c r="I507" s="229" t="s">
        <v>1180</v>
      </c>
      <c r="J507" s="229" t="s">
        <v>1013</v>
      </c>
      <c r="K507" s="231" t="s">
        <v>1348</v>
      </c>
    </row>
    <row r="508" spans="1:11" s="226" customFormat="1" ht="9.6" customHeight="1" x14ac:dyDescent="0.2">
      <c r="A508" s="229" t="str">
        <f>T_P_BilanSocial[[#This Row],[Nom]]&amp;T_P_BilanSocial[[#This Row],[Prenom]]</f>
        <v>MEDKOURSOFIA</v>
      </c>
      <c r="B508" s="228" t="s">
        <v>2617</v>
      </c>
      <c r="C508" s="229" t="s">
        <v>994</v>
      </c>
      <c r="D508" s="229" t="s">
        <v>2618</v>
      </c>
      <c r="E508" s="229" t="s">
        <v>1184</v>
      </c>
      <c r="F508" s="230" t="s">
        <v>445</v>
      </c>
      <c r="G508" s="229" t="s">
        <v>1476</v>
      </c>
      <c r="H508" s="229" t="s">
        <v>1794</v>
      </c>
      <c r="I508" s="229" t="s">
        <v>1180</v>
      </c>
      <c r="J508" s="229" t="s">
        <v>320</v>
      </c>
      <c r="K508" s="231" t="s">
        <v>321</v>
      </c>
    </row>
    <row r="509" spans="1:11" s="226" customFormat="1" ht="9.6" customHeight="1" x14ac:dyDescent="0.2">
      <c r="A509" s="229" t="str">
        <f>T_P_BilanSocial[[#This Row],[Nom]]&amp;T_P_BilanSocial[[#This Row],[Prenom]]</f>
        <v>RAY MEKHLOUFISOPHIE</v>
      </c>
      <c r="B509" s="228" t="s">
        <v>2113</v>
      </c>
      <c r="C509" s="233" t="s">
        <v>480</v>
      </c>
      <c r="D509" s="229" t="s">
        <v>1255</v>
      </c>
      <c r="E509" s="229" t="s">
        <v>1184</v>
      </c>
      <c r="F509" s="230" t="s">
        <v>45</v>
      </c>
      <c r="G509" s="229" t="s">
        <v>1178</v>
      </c>
      <c r="H509" s="229" t="s">
        <v>1204</v>
      </c>
      <c r="I509" s="229" t="s">
        <v>1180</v>
      </c>
      <c r="J509" s="229" t="s">
        <v>481</v>
      </c>
      <c r="K509" s="231" t="s">
        <v>341</v>
      </c>
    </row>
    <row r="510" spans="1:11" s="226" customFormat="1" ht="9.6" customHeight="1" x14ac:dyDescent="0.2">
      <c r="A510" s="229" t="str">
        <f>T_P_BilanSocial[[#This Row],[Nom]]&amp;T_P_BilanSocial[[#This Row],[Prenom]]</f>
        <v>MEKKIHEDI</v>
      </c>
      <c r="B510" s="228" t="s">
        <v>2373</v>
      </c>
      <c r="C510" s="229" t="s">
        <v>2374</v>
      </c>
      <c r="D510" s="229" t="s">
        <v>2375</v>
      </c>
      <c r="E510" s="229" t="s">
        <v>1177</v>
      </c>
      <c r="F510" s="230" t="s">
        <v>45</v>
      </c>
      <c r="G510" s="229" t="s">
        <v>1476</v>
      </c>
      <c r="H510" s="229" t="s">
        <v>1477</v>
      </c>
      <c r="I510" s="229" t="s">
        <v>1180</v>
      </c>
      <c r="J510" s="229" t="s">
        <v>376</v>
      </c>
      <c r="K510" s="231" t="s">
        <v>341</v>
      </c>
    </row>
    <row r="511" spans="1:11" s="226" customFormat="1" ht="9.6" customHeight="1" x14ac:dyDescent="0.2">
      <c r="A511" s="229" t="str">
        <f>T_P_BilanSocial[[#This Row],[Nom]]&amp;T_P_BilanSocial[[#This Row],[Prenom]]</f>
        <v>MELONSANDRINE</v>
      </c>
      <c r="B511" s="228" t="s">
        <v>1638</v>
      </c>
      <c r="C511" s="229" t="s">
        <v>1639</v>
      </c>
      <c r="D511" s="229" t="s">
        <v>1200</v>
      </c>
      <c r="E511" s="229" t="s">
        <v>1184</v>
      </c>
      <c r="F511" s="230" t="s">
        <v>445</v>
      </c>
      <c r="G511" s="229" t="s">
        <v>1178</v>
      </c>
      <c r="H511" s="229" t="s">
        <v>1179</v>
      </c>
      <c r="I511" s="229" t="s">
        <v>1180</v>
      </c>
      <c r="J511" s="229" t="s">
        <v>353</v>
      </c>
      <c r="K511" s="231" t="s">
        <v>354</v>
      </c>
    </row>
    <row r="512" spans="1:11" s="226" customFormat="1" ht="9.6" customHeight="1" x14ac:dyDescent="0.2">
      <c r="A512" s="229" t="str">
        <f>T_P_BilanSocial[[#This Row],[Nom]]&amp;T_P_BilanSocial[[#This Row],[Prenom]]</f>
        <v>MENESES GUTIERREZMARIANA</v>
      </c>
      <c r="B512" s="228" t="s">
        <v>2912</v>
      </c>
      <c r="C512" s="229" t="s">
        <v>2913</v>
      </c>
      <c r="D512" s="229" t="s">
        <v>2914</v>
      </c>
      <c r="E512" s="229" t="s">
        <v>1184</v>
      </c>
      <c r="F512" s="230" t="s">
        <v>45</v>
      </c>
      <c r="G512" s="229" t="s">
        <v>1476</v>
      </c>
      <c r="H512" s="229" t="s">
        <v>1794</v>
      </c>
      <c r="I512" s="229" t="s">
        <v>1180</v>
      </c>
      <c r="J512" s="229" t="s">
        <v>411</v>
      </c>
      <c r="K512" s="231" t="s">
        <v>341</v>
      </c>
    </row>
    <row r="513" spans="1:11" s="226" customFormat="1" ht="9.6" customHeight="1" x14ac:dyDescent="0.2">
      <c r="A513" s="229" t="str">
        <f>T_P_BilanSocial[[#This Row],[Nom]]&amp;T_P_BilanSocial[[#This Row],[Prenom]]</f>
        <v>MENNELLADOROTHÉE</v>
      </c>
      <c r="B513" s="228" t="s">
        <v>2412</v>
      </c>
      <c r="C513" s="229" t="s">
        <v>1015</v>
      </c>
      <c r="D513" s="229" t="s">
        <v>2413</v>
      </c>
      <c r="E513" s="229" t="s">
        <v>1184</v>
      </c>
      <c r="F513" s="230" t="s">
        <v>45</v>
      </c>
      <c r="G513" s="229" t="s">
        <v>1178</v>
      </c>
      <c r="H513" s="229" t="s">
        <v>1179</v>
      </c>
      <c r="I513" s="229" t="s">
        <v>1180</v>
      </c>
      <c r="J513" s="229" t="s">
        <v>1013</v>
      </c>
      <c r="K513" s="231" t="s">
        <v>1016</v>
      </c>
    </row>
    <row r="514" spans="1:11" s="226" customFormat="1" ht="9.6" customHeight="1" x14ac:dyDescent="0.2">
      <c r="A514" s="229" t="str">
        <f>T_P_BilanSocial[[#This Row],[Nom]]&amp;T_P_BilanSocial[[#This Row],[Prenom]]</f>
        <v>MERCIERPIERRIC</v>
      </c>
      <c r="B514" s="228" t="s">
        <v>1850</v>
      </c>
      <c r="C514" s="229" t="s">
        <v>301</v>
      </c>
      <c r="D514" s="229" t="s">
        <v>1851</v>
      </c>
      <c r="E514" s="229" t="s">
        <v>1177</v>
      </c>
      <c r="F514" s="230" t="s">
        <v>308</v>
      </c>
      <c r="G514" s="229" t="s">
        <v>1178</v>
      </c>
      <c r="H514" s="229" t="s">
        <v>1179</v>
      </c>
      <c r="I514" s="229" t="s">
        <v>1180</v>
      </c>
      <c r="J514" s="229" t="s">
        <v>340</v>
      </c>
      <c r="K514" s="231" t="s">
        <v>341</v>
      </c>
    </row>
    <row r="515" spans="1:11" s="226" customFormat="1" ht="9.6" customHeight="1" x14ac:dyDescent="0.2">
      <c r="A515" s="229" t="str">
        <f>T_P_BilanSocial[[#This Row],[Nom]]&amp;T_P_BilanSocial[[#This Row],[Prenom]]</f>
        <v>MERIDJAYOLENE</v>
      </c>
      <c r="B515" s="228" t="s">
        <v>2338</v>
      </c>
      <c r="C515" s="229" t="s">
        <v>2339</v>
      </c>
      <c r="D515" s="229" t="s">
        <v>2340</v>
      </c>
      <c r="E515" s="229" t="s">
        <v>1184</v>
      </c>
      <c r="F515" s="230" t="s">
        <v>45</v>
      </c>
      <c r="G515" s="229" t="s">
        <v>1178</v>
      </c>
      <c r="H515" s="229" t="s">
        <v>1179</v>
      </c>
      <c r="I515" s="229" t="s">
        <v>1180</v>
      </c>
      <c r="J515" s="229" t="s">
        <v>2341</v>
      </c>
      <c r="K515" s="231" t="s">
        <v>2342</v>
      </c>
    </row>
    <row r="516" spans="1:11" s="226" customFormat="1" ht="9.6" customHeight="1" x14ac:dyDescent="0.2">
      <c r="A516" s="229" t="str">
        <f>T_P_BilanSocial[[#This Row],[Nom]]&amp;T_P_BilanSocial[[#This Row],[Prenom]]</f>
        <v>MERONOAURÉLIEN</v>
      </c>
      <c r="B516" s="228" t="s">
        <v>2209</v>
      </c>
      <c r="C516" s="229" t="s">
        <v>1003</v>
      </c>
      <c r="D516" s="229" t="s">
        <v>1812</v>
      </c>
      <c r="E516" s="229" t="s">
        <v>1177</v>
      </c>
      <c r="F516" s="230" t="s">
        <v>308</v>
      </c>
      <c r="G516" s="229" t="s">
        <v>1178</v>
      </c>
      <c r="H516" s="229" t="s">
        <v>1204</v>
      </c>
      <c r="I516" s="229" t="s">
        <v>1180</v>
      </c>
      <c r="J516" s="229" t="s">
        <v>353</v>
      </c>
      <c r="K516" s="231" t="s">
        <v>354</v>
      </c>
    </row>
    <row r="517" spans="1:11" s="226" customFormat="1" ht="9.6" customHeight="1" x14ac:dyDescent="0.2">
      <c r="A517" s="229" t="str">
        <f>T_P_BilanSocial[[#This Row],[Nom]]&amp;T_P_BilanSocial[[#This Row],[Prenom]]</f>
        <v>MERROUCHEFATMA</v>
      </c>
      <c r="B517" s="228" t="s">
        <v>2043</v>
      </c>
      <c r="C517" s="229" t="s">
        <v>2044</v>
      </c>
      <c r="D517" s="229" t="s">
        <v>2045</v>
      </c>
      <c r="E517" s="229" t="s">
        <v>1184</v>
      </c>
      <c r="F517" s="230" t="s">
        <v>445</v>
      </c>
      <c r="G517" s="229" t="s">
        <v>1178</v>
      </c>
      <c r="H517" s="229" t="s">
        <v>1204</v>
      </c>
      <c r="I517" s="229" t="s">
        <v>1180</v>
      </c>
      <c r="J517" s="229" t="s">
        <v>843</v>
      </c>
      <c r="K517" s="231" t="s">
        <v>1735</v>
      </c>
    </row>
    <row r="518" spans="1:11" s="226" customFormat="1" ht="9.6" customHeight="1" x14ac:dyDescent="0.2">
      <c r="A518" s="229" t="str">
        <f>T_P_BilanSocial[[#This Row],[Nom]]&amp;T_P_BilanSocial[[#This Row],[Prenom]]</f>
        <v>MESSAOUDENEDJAMEL</v>
      </c>
      <c r="B518" s="228" t="s">
        <v>1566</v>
      </c>
      <c r="C518" s="229" t="s">
        <v>1567</v>
      </c>
      <c r="D518" s="229" t="s">
        <v>1568</v>
      </c>
      <c r="E518" s="229" t="s">
        <v>1177</v>
      </c>
      <c r="F518" s="230" t="s">
        <v>45</v>
      </c>
      <c r="G518" s="229" t="s">
        <v>1178</v>
      </c>
      <c r="H518" s="229" t="s">
        <v>1204</v>
      </c>
      <c r="I518" s="229" t="s">
        <v>1180</v>
      </c>
      <c r="J518" s="229" t="s">
        <v>353</v>
      </c>
      <c r="K518" s="231" t="s">
        <v>354</v>
      </c>
    </row>
    <row r="519" spans="1:11" s="226" customFormat="1" ht="9.6" customHeight="1" x14ac:dyDescent="0.2">
      <c r="A519" s="229" t="str">
        <f>T_P_BilanSocial[[#This Row],[Nom]]&amp;T_P_BilanSocial[[#This Row],[Prenom]]</f>
        <v>MESSIGAKOKOUGAN</v>
      </c>
      <c r="B519" s="228" t="s">
        <v>2570</v>
      </c>
      <c r="C519" s="229" t="s">
        <v>2571</v>
      </c>
      <c r="D519" s="229" t="s">
        <v>2572</v>
      </c>
      <c r="E519" s="229" t="s">
        <v>1177</v>
      </c>
      <c r="F519" s="230" t="s">
        <v>45</v>
      </c>
      <c r="G519" s="229" t="s">
        <v>1476</v>
      </c>
      <c r="H519" s="229" t="s">
        <v>1794</v>
      </c>
      <c r="I519" s="229" t="s">
        <v>1180</v>
      </c>
      <c r="J519" s="229" t="s">
        <v>626</v>
      </c>
      <c r="K519" s="231" t="s">
        <v>341</v>
      </c>
    </row>
    <row r="520" spans="1:11" s="226" customFormat="1" ht="9.6" customHeight="1" x14ac:dyDescent="0.2">
      <c r="A520" s="229" t="str">
        <f>T_P_BilanSocial[[#This Row],[Nom]]&amp;T_P_BilanSocial[[#This Row],[Prenom]]</f>
        <v>MESSONNIERMARTINE</v>
      </c>
      <c r="B520" s="228" t="s">
        <v>1265</v>
      </c>
      <c r="C520" s="229" t="s">
        <v>1266</v>
      </c>
      <c r="D520" s="229" t="s">
        <v>1267</v>
      </c>
      <c r="E520" s="229" t="s">
        <v>1184</v>
      </c>
      <c r="F520" s="230" t="s">
        <v>445</v>
      </c>
      <c r="G520" s="229" t="s">
        <v>1178</v>
      </c>
      <c r="H520" s="229" t="s">
        <v>1204</v>
      </c>
      <c r="I520" s="229" t="s">
        <v>1180</v>
      </c>
      <c r="J520" s="229" t="s">
        <v>1268</v>
      </c>
      <c r="K520" s="231" t="s">
        <v>1269</v>
      </c>
    </row>
    <row r="521" spans="1:11" s="226" customFormat="1" ht="9.6" customHeight="1" x14ac:dyDescent="0.2">
      <c r="A521" s="229" t="str">
        <f>T_P_BilanSocial[[#This Row],[Nom]]&amp;T_P_BilanSocial[[#This Row],[Prenom]]</f>
        <v>METHIVIERLOiC</v>
      </c>
      <c r="B521" s="228" t="s">
        <v>2464</v>
      </c>
      <c r="C521" s="229" t="s">
        <v>1049</v>
      </c>
      <c r="D521" s="229" t="s">
        <v>3013</v>
      </c>
      <c r="E521" s="229" t="s">
        <v>1177</v>
      </c>
      <c r="F521" s="230" t="s">
        <v>308</v>
      </c>
      <c r="G521" s="229" t="s">
        <v>1178</v>
      </c>
      <c r="H521" s="229" t="s">
        <v>1204</v>
      </c>
      <c r="I521" s="229" t="s">
        <v>1180</v>
      </c>
      <c r="J521" s="229" t="s">
        <v>531</v>
      </c>
      <c r="K521" s="231" t="s">
        <v>532</v>
      </c>
    </row>
    <row r="522" spans="1:11" s="226" customFormat="1" ht="9.6" customHeight="1" x14ac:dyDescent="0.2">
      <c r="A522" s="229" t="str">
        <f>T_P_BilanSocial[[#This Row],[Nom]]&amp;T_P_BilanSocial[[#This Row],[Prenom]]</f>
        <v>MEUSNIERMANON</v>
      </c>
      <c r="B522" s="228" t="s">
        <v>1189</v>
      </c>
      <c r="C522" s="229" t="s">
        <v>1190</v>
      </c>
      <c r="D522" s="229" t="s">
        <v>1191</v>
      </c>
      <c r="E522" s="229" t="s">
        <v>1184</v>
      </c>
      <c r="F522" s="230" t="s">
        <v>308</v>
      </c>
      <c r="G522" s="229" t="s">
        <v>1178</v>
      </c>
      <c r="H522" s="229" t="s">
        <v>1179</v>
      </c>
      <c r="I522" s="229" t="s">
        <v>1180</v>
      </c>
      <c r="J522" s="229" t="s">
        <v>1141</v>
      </c>
      <c r="K522" s="231" t="s">
        <v>1192</v>
      </c>
    </row>
    <row r="523" spans="1:11" s="226" customFormat="1" ht="9.6" customHeight="1" x14ac:dyDescent="0.2">
      <c r="A523" s="229" t="str">
        <f>T_P_BilanSocial[[#This Row],[Nom]]&amp;T_P_BilanSocial[[#This Row],[Prenom]]</f>
        <v>MEYNET-BRUNELCOLETTE</v>
      </c>
      <c r="B523" s="228" t="s">
        <v>2555</v>
      </c>
      <c r="C523" s="229" t="s">
        <v>2556</v>
      </c>
      <c r="D523" s="229" t="s">
        <v>2557</v>
      </c>
      <c r="E523" s="229" t="s">
        <v>1184</v>
      </c>
      <c r="F523" s="230" t="s">
        <v>308</v>
      </c>
      <c r="G523" s="229" t="s">
        <v>1476</v>
      </c>
      <c r="H523" s="229" t="s">
        <v>1477</v>
      </c>
      <c r="I523" s="229" t="s">
        <v>1180</v>
      </c>
      <c r="J523" s="229" t="s">
        <v>2558</v>
      </c>
      <c r="K523" s="231" t="s">
        <v>2559</v>
      </c>
    </row>
    <row r="524" spans="1:11" s="226" customFormat="1" ht="9.6" customHeight="1" x14ac:dyDescent="0.2">
      <c r="A524" s="229" t="str">
        <f>T_P_BilanSocial[[#This Row],[Nom]]&amp;T_P_BilanSocial[[#This Row],[Prenom]]</f>
        <v>MEYNIERGLORIA-ROSE</v>
      </c>
      <c r="B524" s="228" t="s">
        <v>2218</v>
      </c>
      <c r="C524" s="229" t="s">
        <v>2219</v>
      </c>
      <c r="D524" s="229" t="s">
        <v>2220</v>
      </c>
      <c r="E524" s="229" t="s">
        <v>1184</v>
      </c>
      <c r="F524" s="230" t="s">
        <v>45</v>
      </c>
      <c r="G524" s="229" t="s">
        <v>1178</v>
      </c>
      <c r="H524" s="229" t="s">
        <v>1204</v>
      </c>
      <c r="I524" s="229" t="s">
        <v>1180</v>
      </c>
      <c r="J524" s="229" t="s">
        <v>353</v>
      </c>
      <c r="K524" s="231" t="s">
        <v>354</v>
      </c>
    </row>
    <row r="525" spans="1:11" s="226" customFormat="1" ht="9.6" customHeight="1" x14ac:dyDescent="0.2">
      <c r="A525" s="229" t="str">
        <f>T_P_BilanSocial[[#This Row],[Nom]]&amp;T_P_BilanSocial[[#This Row],[Prenom]]</f>
        <v>MEYNIER-POZZIADELINE</v>
      </c>
      <c r="B525" s="228" t="s">
        <v>2876</v>
      </c>
      <c r="C525" s="229" t="s">
        <v>2877</v>
      </c>
      <c r="D525" s="229" t="s">
        <v>2159</v>
      </c>
      <c r="E525" s="229" t="s">
        <v>1184</v>
      </c>
      <c r="F525" s="230" t="s">
        <v>445</v>
      </c>
      <c r="G525" s="229" t="s">
        <v>1476</v>
      </c>
      <c r="H525" s="229" t="s">
        <v>1794</v>
      </c>
      <c r="I525" s="229" t="s">
        <v>1180</v>
      </c>
      <c r="J525" s="229" t="s">
        <v>398</v>
      </c>
      <c r="K525" s="231" t="s">
        <v>1298</v>
      </c>
    </row>
    <row r="526" spans="1:11" s="226" customFormat="1" ht="9.6" customHeight="1" x14ac:dyDescent="0.2">
      <c r="A526" s="229" t="str">
        <f>T_P_BilanSocial[[#This Row],[Nom]]&amp;T_P_BilanSocial[[#This Row],[Prenom]]</f>
        <v>MEZERREBNACERA</v>
      </c>
      <c r="B526" s="228" t="s">
        <v>1302</v>
      </c>
      <c r="C526" s="229" t="s">
        <v>1044</v>
      </c>
      <c r="D526" s="229" t="s">
        <v>3014</v>
      </c>
      <c r="E526" s="229" t="s">
        <v>1184</v>
      </c>
      <c r="F526" s="230" t="s">
        <v>308</v>
      </c>
      <c r="G526" s="229" t="s">
        <v>1178</v>
      </c>
      <c r="H526" s="229" t="s">
        <v>1204</v>
      </c>
      <c r="I526" s="229" t="s">
        <v>1180</v>
      </c>
      <c r="J526" s="229" t="s">
        <v>376</v>
      </c>
      <c r="K526" s="231" t="s">
        <v>341</v>
      </c>
    </row>
    <row r="527" spans="1:11" s="226" customFormat="1" ht="9.6" customHeight="1" x14ac:dyDescent="0.2">
      <c r="A527" s="229" t="str">
        <f>T_P_BilanSocial[[#This Row],[Nom]]&amp;T_P_BilanSocial[[#This Row],[Prenom]]</f>
        <v>MEZRAKIANRUZANNA</v>
      </c>
      <c r="B527" s="228" t="s">
        <v>2931</v>
      </c>
      <c r="C527" s="229" t="s">
        <v>2932</v>
      </c>
      <c r="D527" s="229" t="s">
        <v>2933</v>
      </c>
      <c r="E527" s="229" t="s">
        <v>1184</v>
      </c>
      <c r="F527" s="230" t="s">
        <v>308</v>
      </c>
      <c r="G527" s="229" t="s">
        <v>1476</v>
      </c>
      <c r="H527" s="229" t="s">
        <v>1794</v>
      </c>
      <c r="I527" s="229" t="s">
        <v>1180</v>
      </c>
      <c r="J527" s="229" t="s">
        <v>376</v>
      </c>
      <c r="K527" s="231" t="s">
        <v>341</v>
      </c>
    </row>
    <row r="528" spans="1:11" s="226" customFormat="1" ht="9.6" customHeight="1" x14ac:dyDescent="0.2">
      <c r="A528" s="229" t="str">
        <f>T_P_BilanSocial[[#This Row],[Nom]]&amp;T_P_BilanSocial[[#This Row],[Prenom]]</f>
        <v>MICOUDALEXANDRE</v>
      </c>
      <c r="B528" s="228" t="s">
        <v>2302</v>
      </c>
      <c r="C528" s="229" t="s">
        <v>2303</v>
      </c>
      <c r="D528" s="229" t="s">
        <v>2230</v>
      </c>
      <c r="E528" s="229" t="s">
        <v>1177</v>
      </c>
      <c r="F528" s="230" t="s">
        <v>445</v>
      </c>
      <c r="G528" s="229" t="s">
        <v>1178</v>
      </c>
      <c r="H528" s="229" t="s">
        <v>1204</v>
      </c>
      <c r="I528" s="229" t="s">
        <v>1180</v>
      </c>
      <c r="J528" s="229" t="s">
        <v>376</v>
      </c>
      <c r="K528" s="231" t="s">
        <v>341</v>
      </c>
    </row>
    <row r="529" spans="1:11" s="226" customFormat="1" ht="9.6" customHeight="1" x14ac:dyDescent="0.2">
      <c r="A529" s="229" t="str">
        <f>T_P_BilanSocial[[#This Row],[Nom]]&amp;T_P_BilanSocial[[#This Row],[Prenom]]</f>
        <v>MIGNOTLIONEL</v>
      </c>
      <c r="B529" s="228" t="s">
        <v>2283</v>
      </c>
      <c r="C529" s="229" t="s">
        <v>875</v>
      </c>
      <c r="D529" s="229" t="s">
        <v>1669</v>
      </c>
      <c r="E529" s="229" t="s">
        <v>1177</v>
      </c>
      <c r="F529" s="230" t="s">
        <v>308</v>
      </c>
      <c r="G529" s="229" t="s">
        <v>1476</v>
      </c>
      <c r="H529" s="229" t="s">
        <v>1477</v>
      </c>
      <c r="I529" s="229" t="s">
        <v>1180</v>
      </c>
      <c r="J529" s="229" t="s">
        <v>398</v>
      </c>
      <c r="K529" s="232" t="s">
        <v>399</v>
      </c>
    </row>
    <row r="530" spans="1:11" s="226" customFormat="1" ht="9.6" customHeight="1" x14ac:dyDescent="0.2">
      <c r="A530" s="229" t="str">
        <f>T_P_BilanSocial[[#This Row],[Nom]]&amp;T_P_BilanSocial[[#This Row],[Prenom]]</f>
        <v>MIQUELJEAN-LOUP</v>
      </c>
      <c r="B530" s="228" t="s">
        <v>1349</v>
      </c>
      <c r="C530" s="229" t="s">
        <v>771</v>
      </c>
      <c r="D530" s="229" t="s">
        <v>1289</v>
      </c>
      <c r="E530" s="229" t="s">
        <v>1177</v>
      </c>
      <c r="F530" s="230" t="s">
        <v>445</v>
      </c>
      <c r="G530" s="229" t="s">
        <v>1178</v>
      </c>
      <c r="H530" s="229" t="s">
        <v>1204</v>
      </c>
      <c r="I530" s="229" t="s">
        <v>1180</v>
      </c>
      <c r="J530" s="229" t="s">
        <v>775</v>
      </c>
      <c r="K530" s="231" t="s">
        <v>1350</v>
      </c>
    </row>
    <row r="531" spans="1:11" s="226" customFormat="1" ht="9.6" customHeight="1" x14ac:dyDescent="0.2">
      <c r="A531" s="229" t="str">
        <f>T_P_BilanSocial[[#This Row],[Nom]]&amp;T_P_BilanSocial[[#This Row],[Prenom]]</f>
        <v>MOHAMEDSAMIRA</v>
      </c>
      <c r="B531" s="228" t="s">
        <v>1499</v>
      </c>
      <c r="C531" s="229" t="s">
        <v>1500</v>
      </c>
      <c r="D531" s="229" t="s">
        <v>1501</v>
      </c>
      <c r="E531" s="229" t="s">
        <v>1184</v>
      </c>
      <c r="F531" s="230" t="s">
        <v>445</v>
      </c>
      <c r="G531" s="229" t="s">
        <v>1178</v>
      </c>
      <c r="H531" s="229" t="s">
        <v>1204</v>
      </c>
      <c r="I531" s="229"/>
      <c r="J531" s="229"/>
      <c r="K531" s="231"/>
    </row>
    <row r="532" spans="1:11" s="226" customFormat="1" ht="9.6" customHeight="1" x14ac:dyDescent="0.2">
      <c r="A532" s="229" t="str">
        <f>T_P_BilanSocial[[#This Row],[Nom]]&amp;T_P_BilanSocial[[#This Row],[Prenom]]</f>
        <v>MOHAMMEDIIMANE</v>
      </c>
      <c r="B532" s="228" t="s">
        <v>1548</v>
      </c>
      <c r="C532" s="229" t="s">
        <v>441</v>
      </c>
      <c r="D532" s="229" t="s">
        <v>1549</v>
      </c>
      <c r="E532" s="229" t="s">
        <v>1184</v>
      </c>
      <c r="F532" s="230" t="s">
        <v>445</v>
      </c>
      <c r="G532" s="229" t="s">
        <v>1178</v>
      </c>
      <c r="H532" s="229" t="s">
        <v>1204</v>
      </c>
      <c r="I532" s="229" t="s">
        <v>1180</v>
      </c>
      <c r="J532" s="229" t="s">
        <v>329</v>
      </c>
      <c r="K532" s="231" t="s">
        <v>330</v>
      </c>
    </row>
    <row r="533" spans="1:11" s="226" customFormat="1" ht="9.6" customHeight="1" x14ac:dyDescent="0.2">
      <c r="A533" s="229" t="str">
        <f>T_P_BilanSocial[[#This Row],[Nom]]&amp;T_P_BilanSocial[[#This Row],[Prenom]]</f>
        <v>MOHAMMEDIANISSA</v>
      </c>
      <c r="B533" s="228" t="s">
        <v>2177</v>
      </c>
      <c r="C533" s="229" t="s">
        <v>441</v>
      </c>
      <c r="D533" s="229" t="s">
        <v>2178</v>
      </c>
      <c r="E533" s="229" t="s">
        <v>1184</v>
      </c>
      <c r="F533" s="230" t="s">
        <v>45</v>
      </c>
      <c r="G533" s="229" t="s">
        <v>1476</v>
      </c>
      <c r="H533" s="229" t="s">
        <v>1794</v>
      </c>
      <c r="I533" s="229" t="s">
        <v>1180</v>
      </c>
      <c r="J533" s="229" t="s">
        <v>329</v>
      </c>
      <c r="K533" s="231" t="s">
        <v>1903</v>
      </c>
    </row>
    <row r="534" spans="1:11" s="226" customFormat="1" ht="9.6" customHeight="1" x14ac:dyDescent="0.2">
      <c r="A534" s="229" t="str">
        <f>T_P_BilanSocial[[#This Row],[Nom]]&amp;T_P_BilanSocial[[#This Row],[Prenom]]</f>
        <v>MOINE-GARNIERCHRISTIANNE</v>
      </c>
      <c r="B534" s="228" t="s">
        <v>2080</v>
      </c>
      <c r="C534" s="229" t="s">
        <v>342</v>
      </c>
      <c r="D534" s="229" t="s">
        <v>2081</v>
      </c>
      <c r="E534" s="229" t="s">
        <v>1184</v>
      </c>
      <c r="F534" s="230" t="s">
        <v>445</v>
      </c>
      <c r="G534" s="229" t="s">
        <v>1178</v>
      </c>
      <c r="H534" s="229" t="s">
        <v>1204</v>
      </c>
      <c r="I534" s="229" t="s">
        <v>1180</v>
      </c>
      <c r="J534" s="229" t="s">
        <v>320</v>
      </c>
      <c r="K534" s="231" t="s">
        <v>321</v>
      </c>
    </row>
    <row r="535" spans="1:11" s="226" customFormat="1" ht="9.6" customHeight="1" x14ac:dyDescent="0.2">
      <c r="A535" s="229" t="str">
        <f>T_P_BilanSocial[[#This Row],[Nom]]&amp;T_P_BilanSocial[[#This Row],[Prenom]]</f>
        <v>MOKDADKAMEL</v>
      </c>
      <c r="B535" s="228" t="s">
        <v>2114</v>
      </c>
      <c r="C535" s="229" t="s">
        <v>2115</v>
      </c>
      <c r="D535" s="229" t="s">
        <v>2116</v>
      </c>
      <c r="E535" s="229" t="s">
        <v>1177</v>
      </c>
      <c r="F535" s="230" t="s">
        <v>45</v>
      </c>
      <c r="G535" s="229" t="s">
        <v>1178</v>
      </c>
      <c r="H535" s="229" t="s">
        <v>1204</v>
      </c>
      <c r="I535" s="229" t="s">
        <v>1180</v>
      </c>
      <c r="J535" s="229" t="s">
        <v>309</v>
      </c>
      <c r="K535" s="231" t="s">
        <v>1583</v>
      </c>
    </row>
    <row r="536" spans="1:11" s="226" customFormat="1" ht="9.6" customHeight="1" x14ac:dyDescent="0.2">
      <c r="A536" s="229" t="str">
        <f>T_P_BilanSocial[[#This Row],[Nom]]&amp;T_P_BilanSocial[[#This Row],[Prenom]]</f>
        <v>MOLHOHARRY</v>
      </c>
      <c r="B536" s="228" t="s">
        <v>1942</v>
      </c>
      <c r="C536" s="229" t="s">
        <v>1943</v>
      </c>
      <c r="D536" s="229" t="s">
        <v>1944</v>
      </c>
      <c r="E536" s="229" t="s">
        <v>1177</v>
      </c>
      <c r="F536" s="230" t="s">
        <v>45</v>
      </c>
      <c r="G536" s="229" t="s">
        <v>1476</v>
      </c>
      <c r="H536" s="229" t="s">
        <v>1477</v>
      </c>
      <c r="I536" s="229" t="s">
        <v>1180</v>
      </c>
      <c r="J536" s="229" t="s">
        <v>340</v>
      </c>
      <c r="K536" s="231" t="s">
        <v>341</v>
      </c>
    </row>
    <row r="537" spans="1:11" s="226" customFormat="1" ht="9.6" customHeight="1" x14ac:dyDescent="0.2">
      <c r="A537" s="229" t="str">
        <f>T_P_BilanSocial[[#This Row],[Nom]]&amp;T_P_BilanSocial[[#This Row],[Prenom]]</f>
        <v>MOLINAMAGALIE</v>
      </c>
      <c r="B537" s="228" t="s">
        <v>2170</v>
      </c>
      <c r="C537" s="229" t="s">
        <v>738</v>
      </c>
      <c r="D537" s="229" t="s">
        <v>2171</v>
      </c>
      <c r="E537" s="229" t="s">
        <v>1184</v>
      </c>
      <c r="F537" s="230" t="s">
        <v>445</v>
      </c>
      <c r="G537" s="229" t="s">
        <v>1476</v>
      </c>
      <c r="H537" s="229" t="s">
        <v>1477</v>
      </c>
      <c r="I537" s="229" t="s">
        <v>1180</v>
      </c>
      <c r="J537" s="229" t="s">
        <v>443</v>
      </c>
      <c r="K537" s="231" t="s">
        <v>2172</v>
      </c>
    </row>
    <row r="538" spans="1:11" s="226" customFormat="1" ht="9.6" customHeight="1" x14ac:dyDescent="0.2">
      <c r="A538" s="229" t="str">
        <f>T_P_BilanSocial[[#This Row],[Nom]]&amp;T_P_BilanSocial[[#This Row],[Prenom]]</f>
        <v>MONGHEALZORHA</v>
      </c>
      <c r="B538" s="228" t="s">
        <v>2414</v>
      </c>
      <c r="C538" s="229" t="s">
        <v>2415</v>
      </c>
      <c r="D538" s="229" t="s">
        <v>2416</v>
      </c>
      <c r="E538" s="229" t="s">
        <v>1184</v>
      </c>
      <c r="F538" s="230" t="s">
        <v>45</v>
      </c>
      <c r="G538" s="229" t="s">
        <v>1178</v>
      </c>
      <c r="H538" s="229" t="s">
        <v>1204</v>
      </c>
      <c r="I538" s="229" t="s">
        <v>1180</v>
      </c>
      <c r="J538" s="229" t="s">
        <v>607</v>
      </c>
      <c r="K538" s="231" t="s">
        <v>1382</v>
      </c>
    </row>
    <row r="539" spans="1:11" s="226" customFormat="1" ht="9.6" customHeight="1" x14ac:dyDescent="0.2">
      <c r="A539" s="229" t="str">
        <f>T_P_BilanSocial[[#This Row],[Nom]]&amp;T_P_BilanSocial[[#This Row],[Prenom]]</f>
        <v>MONNETSOPHIE</v>
      </c>
      <c r="B539" s="228" t="s">
        <v>2433</v>
      </c>
      <c r="C539" s="229" t="s">
        <v>1086</v>
      </c>
      <c r="D539" s="229" t="s">
        <v>1255</v>
      </c>
      <c r="E539" s="229" t="s">
        <v>1184</v>
      </c>
      <c r="F539" s="230" t="s">
        <v>308</v>
      </c>
      <c r="G539" s="229" t="s">
        <v>1178</v>
      </c>
      <c r="H539" s="229" t="s">
        <v>1179</v>
      </c>
      <c r="I539" s="229" t="s">
        <v>1180</v>
      </c>
      <c r="J539" s="229" t="s">
        <v>376</v>
      </c>
      <c r="K539" s="231" t="s">
        <v>341</v>
      </c>
    </row>
    <row r="540" spans="1:11" s="226" customFormat="1" ht="9.6" customHeight="1" x14ac:dyDescent="0.2">
      <c r="A540" s="229" t="str">
        <f>T_P_BilanSocial[[#This Row],[Nom]]&amp;T_P_BilanSocial[[#This Row],[Prenom]]</f>
        <v>MONTELMAXIME</v>
      </c>
      <c r="B540" s="228" t="s">
        <v>2289</v>
      </c>
      <c r="C540" s="229" t="s">
        <v>2290</v>
      </c>
      <c r="D540" s="229" t="s">
        <v>2291</v>
      </c>
      <c r="E540" s="229" t="s">
        <v>1177</v>
      </c>
      <c r="F540" s="230" t="s">
        <v>45</v>
      </c>
      <c r="G540" s="229" t="s">
        <v>1178</v>
      </c>
      <c r="H540" s="229" t="s">
        <v>1204</v>
      </c>
      <c r="I540" s="229" t="s">
        <v>1180</v>
      </c>
      <c r="J540" s="229" t="s">
        <v>2292</v>
      </c>
      <c r="K540" s="231" t="s">
        <v>2293</v>
      </c>
    </row>
    <row r="541" spans="1:11" s="226" customFormat="1" ht="9.6" customHeight="1" x14ac:dyDescent="0.2">
      <c r="A541" s="229" t="str">
        <f>T_P_BilanSocial[[#This Row],[Nom]]&amp;T_P_BilanSocial[[#This Row],[Prenom]]</f>
        <v>MORANELODIE</v>
      </c>
      <c r="B541" s="228" t="s">
        <v>2194</v>
      </c>
      <c r="C541" s="229" t="s">
        <v>2195</v>
      </c>
      <c r="D541" s="229" t="s">
        <v>1968</v>
      </c>
      <c r="E541" s="229" t="s">
        <v>1184</v>
      </c>
      <c r="F541" s="230" t="s">
        <v>45</v>
      </c>
      <c r="G541" s="229" t="s">
        <v>1178</v>
      </c>
      <c r="H541" s="229" t="s">
        <v>1204</v>
      </c>
      <c r="I541" s="229" t="s">
        <v>1180</v>
      </c>
      <c r="J541" s="229" t="s">
        <v>618</v>
      </c>
      <c r="K541" s="231" t="s">
        <v>2196</v>
      </c>
    </row>
    <row r="542" spans="1:11" s="226" customFormat="1" ht="9.6" customHeight="1" x14ac:dyDescent="0.2">
      <c r="A542" s="229" t="str">
        <f>T_P_BilanSocial[[#This Row],[Nom]]&amp;T_P_BilanSocial[[#This Row],[Prenom]]</f>
        <v>MOREAUYVES</v>
      </c>
      <c r="B542" s="228" t="s">
        <v>1922</v>
      </c>
      <c r="C542" s="229" t="s">
        <v>1923</v>
      </c>
      <c r="D542" s="229" t="s">
        <v>1405</v>
      </c>
      <c r="E542" s="229" t="s">
        <v>1177</v>
      </c>
      <c r="F542" s="230" t="s">
        <v>308</v>
      </c>
      <c r="G542" s="229" t="s">
        <v>1178</v>
      </c>
      <c r="H542" s="229" t="s">
        <v>1204</v>
      </c>
      <c r="I542" s="229" t="s">
        <v>1180</v>
      </c>
      <c r="J542" s="229" t="s">
        <v>684</v>
      </c>
      <c r="K542" s="231" t="s">
        <v>341</v>
      </c>
    </row>
    <row r="543" spans="1:11" s="226" customFormat="1" ht="9.6" customHeight="1" x14ac:dyDescent="0.2">
      <c r="A543" s="229" t="str">
        <f>T_P_BilanSocial[[#This Row],[Nom]]&amp;T_P_BilanSocial[[#This Row],[Prenom]]</f>
        <v>MOREAUGUILLAUME</v>
      </c>
      <c r="B543" s="228" t="s">
        <v>2357</v>
      </c>
      <c r="C543" s="229" t="s">
        <v>1923</v>
      </c>
      <c r="D543" s="229" t="s">
        <v>506</v>
      </c>
      <c r="E543" s="229" t="s">
        <v>1177</v>
      </c>
      <c r="F543" s="230" t="s">
        <v>45</v>
      </c>
      <c r="G543" s="229" t="s">
        <v>1476</v>
      </c>
      <c r="H543" s="229" t="s">
        <v>1477</v>
      </c>
      <c r="I543" s="229" t="s">
        <v>1180</v>
      </c>
      <c r="J543" s="229" t="s">
        <v>477</v>
      </c>
      <c r="K543" s="231" t="s">
        <v>1444</v>
      </c>
    </row>
    <row r="544" spans="1:11" s="226" customFormat="1" ht="9.6" customHeight="1" x14ac:dyDescent="0.2">
      <c r="A544" s="229" t="str">
        <f>T_P_BilanSocial[[#This Row],[Nom]]&amp;T_P_BilanSocial[[#This Row],[Prenom]]</f>
        <v>MOREIRAJOAQUIM</v>
      </c>
      <c r="B544" s="228" t="s">
        <v>2076</v>
      </c>
      <c r="C544" s="229" t="s">
        <v>2077</v>
      </c>
      <c r="D544" s="229" t="s">
        <v>2078</v>
      </c>
      <c r="E544" s="229" t="s">
        <v>1177</v>
      </c>
      <c r="F544" s="230" t="s">
        <v>45</v>
      </c>
      <c r="G544" s="229" t="s">
        <v>1476</v>
      </c>
      <c r="H544" s="229" t="s">
        <v>1477</v>
      </c>
      <c r="I544" s="229" t="s">
        <v>1180</v>
      </c>
      <c r="J544" s="229" t="s">
        <v>340</v>
      </c>
      <c r="K544" s="231" t="s">
        <v>341</v>
      </c>
    </row>
    <row r="545" spans="1:11" s="226" customFormat="1" ht="9.6" customHeight="1" x14ac:dyDescent="0.2">
      <c r="A545" s="229" t="str">
        <f>T_P_BilanSocial[[#This Row],[Nom]]&amp;T_P_BilanSocial[[#This Row],[Prenom]]</f>
        <v>MORELCLAIRE</v>
      </c>
      <c r="B545" s="228" t="s">
        <v>1815</v>
      </c>
      <c r="C545" s="229" t="s">
        <v>410</v>
      </c>
      <c r="D545" s="229" t="s">
        <v>1652</v>
      </c>
      <c r="E545" s="229" t="s">
        <v>1184</v>
      </c>
      <c r="F545" s="230" t="s">
        <v>445</v>
      </c>
      <c r="G545" s="229" t="s">
        <v>1178</v>
      </c>
      <c r="H545" s="229" t="s">
        <v>1204</v>
      </c>
      <c r="I545" s="229" t="s">
        <v>1180</v>
      </c>
      <c r="J545" s="229" t="s">
        <v>411</v>
      </c>
      <c r="K545" s="231" t="s">
        <v>341</v>
      </c>
    </row>
    <row r="546" spans="1:11" s="226" customFormat="1" ht="9.6" customHeight="1" x14ac:dyDescent="0.2">
      <c r="A546" s="229" t="str">
        <f>T_P_BilanSocial[[#This Row],[Nom]]&amp;T_P_BilanSocial[[#This Row],[Prenom]]</f>
        <v>MOUCHELJEREMY</v>
      </c>
      <c r="B546" s="228" t="s">
        <v>2974</v>
      </c>
      <c r="C546" s="229" t="s">
        <v>2975</v>
      </c>
      <c r="D546" s="229" t="s">
        <v>2976</v>
      </c>
      <c r="E546" s="229" t="s">
        <v>1177</v>
      </c>
      <c r="F546" s="230" t="s">
        <v>308</v>
      </c>
      <c r="G546" s="229" t="s">
        <v>1476</v>
      </c>
      <c r="H546" s="229" t="s">
        <v>1794</v>
      </c>
      <c r="I546" s="229" t="s">
        <v>1180</v>
      </c>
      <c r="J546" s="229" t="s">
        <v>684</v>
      </c>
      <c r="K546" s="231" t="s">
        <v>341</v>
      </c>
    </row>
    <row r="547" spans="1:11" s="226" customFormat="1" ht="9.6" customHeight="1" x14ac:dyDescent="0.2">
      <c r="A547" s="229" t="str">
        <f>T_P_BilanSocial[[#This Row],[Nom]]&amp;T_P_BilanSocial[[#This Row],[Prenom]]</f>
        <v>MOUNOUSSAMYSANDRINE</v>
      </c>
      <c r="B547" s="228" t="s">
        <v>2904</v>
      </c>
      <c r="C547" s="229" t="s">
        <v>2905</v>
      </c>
      <c r="D547" s="229" t="s">
        <v>1200</v>
      </c>
      <c r="E547" s="229" t="s">
        <v>1184</v>
      </c>
      <c r="F547" s="230" t="s">
        <v>45</v>
      </c>
      <c r="G547" s="229" t="s">
        <v>1476</v>
      </c>
      <c r="H547" s="229" t="s">
        <v>1794</v>
      </c>
      <c r="I547" s="229" t="s">
        <v>1180</v>
      </c>
      <c r="J547" s="229" t="s">
        <v>837</v>
      </c>
      <c r="K547" s="231" t="s">
        <v>2804</v>
      </c>
    </row>
    <row r="548" spans="1:11" s="226" customFormat="1" ht="9.6" customHeight="1" x14ac:dyDescent="0.2">
      <c r="A548" s="229" t="str">
        <f>T_P_BilanSocial[[#This Row],[Nom]]&amp;T_P_BilanSocial[[#This Row],[Prenom]]</f>
        <v>MUETCINDY</v>
      </c>
      <c r="B548" s="228" t="s">
        <v>2807</v>
      </c>
      <c r="C548" s="229" t="s">
        <v>2808</v>
      </c>
      <c r="D548" s="229" t="s">
        <v>2809</v>
      </c>
      <c r="E548" s="229" t="s">
        <v>1184</v>
      </c>
      <c r="F548" s="230" t="s">
        <v>45</v>
      </c>
      <c r="G548" s="229" t="s">
        <v>1476</v>
      </c>
      <c r="H548" s="229" t="s">
        <v>1794</v>
      </c>
      <c r="I548" s="229" t="s">
        <v>1180</v>
      </c>
      <c r="J548" s="229" t="s">
        <v>1138</v>
      </c>
      <c r="K548" s="231" t="s">
        <v>2810</v>
      </c>
    </row>
    <row r="549" spans="1:11" s="226" customFormat="1" ht="9.6" customHeight="1" x14ac:dyDescent="0.2">
      <c r="A549" s="229" t="str">
        <f>T_P_BilanSocial[[#This Row],[Nom]]&amp;T_P_BilanSocial[[#This Row],[Prenom]]</f>
        <v>MUGNIERGeneviève</v>
      </c>
      <c r="B549" s="228" t="s">
        <v>2049</v>
      </c>
      <c r="C549" s="229" t="s">
        <v>756</v>
      </c>
      <c r="D549" s="235" t="s">
        <v>522</v>
      </c>
      <c r="E549" s="229" t="s">
        <v>1184</v>
      </c>
      <c r="F549" s="230" t="s">
        <v>445</v>
      </c>
      <c r="G549" s="229" t="s">
        <v>1178</v>
      </c>
      <c r="H549" s="229" t="s">
        <v>1179</v>
      </c>
      <c r="I549" s="229" t="s">
        <v>1180</v>
      </c>
      <c r="J549" s="229" t="s">
        <v>780</v>
      </c>
      <c r="K549" s="231" t="s">
        <v>2050</v>
      </c>
    </row>
    <row r="550" spans="1:11" s="226" customFormat="1" ht="9.6" customHeight="1" x14ac:dyDescent="0.2">
      <c r="A550" s="229" t="str">
        <f>T_P_BilanSocial[[#This Row],[Nom]]&amp;T_P_BilanSocial[[#This Row],[Prenom]]</f>
        <v>MUINOBARBARA</v>
      </c>
      <c r="B550" s="228" t="s">
        <v>1992</v>
      </c>
      <c r="C550" s="229" t="s">
        <v>1993</v>
      </c>
      <c r="D550" s="229" t="s">
        <v>1994</v>
      </c>
      <c r="E550" s="229" t="s">
        <v>1184</v>
      </c>
      <c r="F550" s="230" t="s">
        <v>308</v>
      </c>
      <c r="G550" s="229" t="s">
        <v>1476</v>
      </c>
      <c r="H550" s="229" t="s">
        <v>1477</v>
      </c>
      <c r="I550" s="229" t="s">
        <v>1180</v>
      </c>
      <c r="J550" s="229" t="s">
        <v>340</v>
      </c>
      <c r="K550" s="231" t="s">
        <v>341</v>
      </c>
    </row>
    <row r="551" spans="1:11" s="226" customFormat="1" ht="9.6" customHeight="1" x14ac:dyDescent="0.2">
      <c r="A551" s="229" t="str">
        <f>T_P_BilanSocial[[#This Row],[Nom]]&amp;T_P_BilanSocial[[#This Row],[Prenom]]</f>
        <v>MUNERAJONATHAN</v>
      </c>
      <c r="B551" s="228" t="s">
        <v>2474</v>
      </c>
      <c r="C551" s="229" t="s">
        <v>2475</v>
      </c>
      <c r="D551" s="229" t="s">
        <v>1408</v>
      </c>
      <c r="E551" s="229" t="s">
        <v>1177</v>
      </c>
      <c r="F551" s="230" t="s">
        <v>45</v>
      </c>
      <c r="G551" s="229" t="s">
        <v>1178</v>
      </c>
      <c r="H551" s="229" t="s">
        <v>1204</v>
      </c>
      <c r="I551" s="229" t="s">
        <v>1180</v>
      </c>
      <c r="J551" s="229" t="s">
        <v>411</v>
      </c>
      <c r="K551" s="231" t="s">
        <v>341</v>
      </c>
    </row>
    <row r="552" spans="1:11" s="226" customFormat="1" ht="9.6" customHeight="1" x14ac:dyDescent="0.2">
      <c r="A552" s="229" t="str">
        <f>T_P_BilanSocial[[#This Row],[Nom]]&amp;T_P_BilanSocial[[#This Row],[Prenom]]</f>
        <v>MUNSCHPASCALE</v>
      </c>
      <c r="B552" s="228" t="s">
        <v>2502</v>
      </c>
      <c r="C552" s="229" t="s">
        <v>2503</v>
      </c>
      <c r="D552" s="229" t="s">
        <v>1311</v>
      </c>
      <c r="E552" s="229" t="s">
        <v>1184</v>
      </c>
      <c r="F552" s="230" t="s">
        <v>45</v>
      </c>
      <c r="G552" s="229" t="s">
        <v>1178</v>
      </c>
      <c r="H552" s="229" t="s">
        <v>1204</v>
      </c>
      <c r="I552" s="229" t="s">
        <v>1180</v>
      </c>
      <c r="J552" s="229" t="s">
        <v>353</v>
      </c>
      <c r="K552" s="231" t="s">
        <v>354</v>
      </c>
    </row>
    <row r="553" spans="1:11" s="226" customFormat="1" ht="9.6" customHeight="1" x14ac:dyDescent="0.2">
      <c r="A553" s="229" t="str">
        <f>T_P_BilanSocial[[#This Row],[Nom]]&amp;T_P_BilanSocial[[#This Row],[Prenom]]</f>
        <v>MUSYCHRISTEL</v>
      </c>
      <c r="B553" s="228" t="s">
        <v>2197</v>
      </c>
      <c r="C553" s="229" t="s">
        <v>881</v>
      </c>
      <c r="D553" s="229" t="s">
        <v>1782</v>
      </c>
      <c r="E553" s="229" t="s">
        <v>1184</v>
      </c>
      <c r="F553" s="230" t="s">
        <v>445</v>
      </c>
      <c r="G553" s="229" t="s">
        <v>1178</v>
      </c>
      <c r="H553" s="229" t="s">
        <v>1204</v>
      </c>
      <c r="I553" s="229" t="s">
        <v>1180</v>
      </c>
      <c r="J553" s="229" t="s">
        <v>340</v>
      </c>
      <c r="K553" s="231" t="s">
        <v>341</v>
      </c>
    </row>
    <row r="554" spans="1:11" s="226" customFormat="1" ht="9.6" customHeight="1" x14ac:dyDescent="0.2">
      <c r="A554" s="229" t="str">
        <f>T_P_BilanSocial[[#This Row],[Nom]]&amp;T_P_BilanSocial[[#This Row],[Prenom]]</f>
        <v>NADERGEORGES</v>
      </c>
      <c r="B554" s="228" t="s">
        <v>2675</v>
      </c>
      <c r="C554" s="229" t="s">
        <v>928</v>
      </c>
      <c r="D554" s="229" t="s">
        <v>2676</v>
      </c>
      <c r="E554" s="229" t="s">
        <v>1177</v>
      </c>
      <c r="F554" s="230" t="s">
        <v>445</v>
      </c>
      <c r="G554" s="229" t="s">
        <v>1178</v>
      </c>
      <c r="H554" s="229" t="s">
        <v>1204</v>
      </c>
      <c r="I554" s="229" t="s">
        <v>1180</v>
      </c>
      <c r="J554" s="229" t="s">
        <v>892</v>
      </c>
      <c r="K554" s="231" t="s">
        <v>893</v>
      </c>
    </row>
    <row r="555" spans="1:11" s="226" customFormat="1" ht="9.6" customHeight="1" x14ac:dyDescent="0.2">
      <c r="A555" s="229" t="str">
        <f>T_P_BilanSocial[[#This Row],[Nom]]&amp;T_P_BilanSocial[[#This Row],[Prenom]]</f>
        <v>NALLETGUY</v>
      </c>
      <c r="B555" s="228" t="s">
        <v>2148</v>
      </c>
      <c r="C555" s="229" t="s">
        <v>2149</v>
      </c>
      <c r="D555" s="229" t="s">
        <v>1506</v>
      </c>
      <c r="E555" s="229" t="s">
        <v>1177</v>
      </c>
      <c r="F555" s="230" t="s">
        <v>445</v>
      </c>
      <c r="G555" s="229" t="s">
        <v>1178</v>
      </c>
      <c r="H555" s="229" t="s">
        <v>1435</v>
      </c>
      <c r="I555" s="229" t="s">
        <v>1180</v>
      </c>
      <c r="J555" s="229" t="s">
        <v>626</v>
      </c>
      <c r="K555" s="231" t="s">
        <v>2150</v>
      </c>
    </row>
    <row r="556" spans="1:11" s="226" customFormat="1" ht="9.6" customHeight="1" x14ac:dyDescent="0.2">
      <c r="A556" s="229" t="str">
        <f>T_P_BilanSocial[[#This Row],[Nom]]&amp;T_P_BilanSocial[[#This Row],[Prenom]]</f>
        <v>NARDONEBRIGITTE</v>
      </c>
      <c r="B556" s="228" t="s">
        <v>1248</v>
      </c>
      <c r="C556" s="229" t="s">
        <v>1249</v>
      </c>
      <c r="D556" s="229" t="s">
        <v>1188</v>
      </c>
      <c r="E556" s="229" t="s">
        <v>1184</v>
      </c>
      <c r="F556" s="230" t="s">
        <v>45</v>
      </c>
      <c r="G556" s="229" t="s">
        <v>1178</v>
      </c>
      <c r="H556" s="229" t="s">
        <v>1179</v>
      </c>
      <c r="I556" s="229" t="s">
        <v>1180</v>
      </c>
      <c r="J556" s="229" t="s">
        <v>841</v>
      </c>
      <c r="K556" s="231" t="s">
        <v>842</v>
      </c>
    </row>
    <row r="557" spans="1:11" s="226" customFormat="1" ht="9.6" customHeight="1" x14ac:dyDescent="0.2">
      <c r="A557" s="229" t="str">
        <f>T_P_BilanSocial[[#This Row],[Nom]]&amp;T_P_BilanSocial[[#This Row],[Prenom]]</f>
        <v>NAVARROJONATHAN</v>
      </c>
      <c r="B557" s="228" t="s">
        <v>2787</v>
      </c>
      <c r="C557" s="229" t="s">
        <v>2788</v>
      </c>
      <c r="D557" s="229" t="s">
        <v>1408</v>
      </c>
      <c r="E557" s="229" t="s">
        <v>1177</v>
      </c>
      <c r="F557" s="230" t="s">
        <v>45</v>
      </c>
      <c r="G557" s="229" t="s">
        <v>1476</v>
      </c>
      <c r="H557" s="229" t="s">
        <v>1794</v>
      </c>
      <c r="I557" s="229" t="s">
        <v>1180</v>
      </c>
      <c r="J557" s="229" t="s">
        <v>684</v>
      </c>
      <c r="K557" s="231" t="s">
        <v>341</v>
      </c>
    </row>
    <row r="558" spans="1:11" s="226" customFormat="1" ht="9.6" customHeight="1" x14ac:dyDescent="0.2">
      <c r="A558" s="229" t="str">
        <f>T_P_BilanSocial[[#This Row],[Nom]]&amp;T_P_BilanSocial[[#This Row],[Prenom]]</f>
        <v>NEGEMERIC</v>
      </c>
      <c r="B558" s="228" t="s">
        <v>2811</v>
      </c>
      <c r="C558" s="229" t="s">
        <v>2812</v>
      </c>
      <c r="D558" s="229" t="s">
        <v>1313</v>
      </c>
      <c r="E558" s="229" t="s">
        <v>1177</v>
      </c>
      <c r="F558" s="230" t="s">
        <v>445</v>
      </c>
      <c r="G558" s="229" t="s">
        <v>1476</v>
      </c>
      <c r="H558" s="229" t="s">
        <v>1794</v>
      </c>
      <c r="I558" s="229" t="s">
        <v>1180</v>
      </c>
      <c r="J558" s="229" t="s">
        <v>353</v>
      </c>
      <c r="K558" s="231" t="s">
        <v>354</v>
      </c>
    </row>
    <row r="559" spans="1:11" s="226" customFormat="1" ht="9.6" customHeight="1" x14ac:dyDescent="0.2">
      <c r="A559" s="229" t="str">
        <f>T_P_BilanSocial[[#This Row],[Nom]]&amp;T_P_BilanSocial[[#This Row],[Prenom]]</f>
        <v>NEUVILLEELSA</v>
      </c>
      <c r="B559" s="228" t="s">
        <v>2198</v>
      </c>
      <c r="C559" s="229" t="s">
        <v>2199</v>
      </c>
      <c r="D559" s="229" t="s">
        <v>1962</v>
      </c>
      <c r="E559" s="229" t="s">
        <v>1184</v>
      </c>
      <c r="F559" s="230" t="s">
        <v>308</v>
      </c>
      <c r="G559" s="229" t="s">
        <v>1178</v>
      </c>
      <c r="H559" s="229" t="s">
        <v>1435</v>
      </c>
      <c r="I559" s="229" t="s">
        <v>1180</v>
      </c>
      <c r="J559" s="229" t="s">
        <v>2200</v>
      </c>
      <c r="K559" s="231" t="s">
        <v>2201</v>
      </c>
    </row>
    <row r="560" spans="1:11" s="226" customFormat="1" ht="9.6" customHeight="1" x14ac:dyDescent="0.2">
      <c r="A560" s="229" t="str">
        <f>T_P_BilanSocial[[#This Row],[Nom]]&amp;T_P_BilanSocial[[#This Row],[Prenom]]</f>
        <v>NGUYENMORGANE</v>
      </c>
      <c r="B560" s="228" t="s">
        <v>1906</v>
      </c>
      <c r="C560" s="229" t="s">
        <v>1907</v>
      </c>
      <c r="D560" s="229" t="s">
        <v>1908</v>
      </c>
      <c r="E560" s="229" t="s">
        <v>1184</v>
      </c>
      <c r="F560" s="230" t="s">
        <v>445</v>
      </c>
      <c r="G560" s="229" t="s">
        <v>1178</v>
      </c>
      <c r="H560" s="229" t="s">
        <v>1204</v>
      </c>
      <c r="I560" s="229" t="s">
        <v>1180</v>
      </c>
      <c r="J560" s="229" t="s">
        <v>340</v>
      </c>
      <c r="K560" s="231" t="s">
        <v>341</v>
      </c>
    </row>
    <row r="561" spans="1:11" s="226" customFormat="1" ht="9.6" customHeight="1" x14ac:dyDescent="0.2">
      <c r="A561" s="229" t="str">
        <f>T_P_BilanSocial[[#This Row],[Nom]]&amp;T_P_BilanSocial[[#This Row],[Prenom]]</f>
        <v>NIGAYJEAN-FLORENT</v>
      </c>
      <c r="B561" s="228" t="s">
        <v>1351</v>
      </c>
      <c r="C561" s="229" t="s">
        <v>1352</v>
      </c>
      <c r="D561" s="229" t="s">
        <v>1353</v>
      </c>
      <c r="E561" s="229" t="s">
        <v>1177</v>
      </c>
      <c r="F561" s="230" t="s">
        <v>308</v>
      </c>
      <c r="G561" s="229" t="s">
        <v>1178</v>
      </c>
      <c r="H561" s="229" t="s">
        <v>1204</v>
      </c>
      <c r="I561" s="229" t="s">
        <v>1180</v>
      </c>
      <c r="J561" s="229" t="s">
        <v>1354</v>
      </c>
      <c r="K561" s="231" t="s">
        <v>1355</v>
      </c>
    </row>
    <row r="562" spans="1:11" s="226" customFormat="1" ht="9.6" customHeight="1" x14ac:dyDescent="0.2">
      <c r="A562" s="229" t="str">
        <f>T_P_BilanSocial[[#This Row],[Nom]]&amp;T_P_BilanSocial[[#This Row],[Prenom]]</f>
        <v>NIGLISCHARLENE</v>
      </c>
      <c r="B562" s="228" t="s">
        <v>2939</v>
      </c>
      <c r="C562" s="229" t="s">
        <v>2940</v>
      </c>
      <c r="D562" s="229" t="s">
        <v>2941</v>
      </c>
      <c r="E562" s="229" t="s">
        <v>1184</v>
      </c>
      <c r="F562" s="230" t="s">
        <v>45</v>
      </c>
      <c r="G562" s="229" t="s">
        <v>1476</v>
      </c>
      <c r="H562" s="229" t="s">
        <v>1794</v>
      </c>
      <c r="I562" s="229" t="s">
        <v>1180</v>
      </c>
      <c r="J562" s="229" t="s">
        <v>611</v>
      </c>
      <c r="K562" s="231" t="s">
        <v>341</v>
      </c>
    </row>
    <row r="563" spans="1:11" s="226" customFormat="1" ht="9.6" customHeight="1" x14ac:dyDescent="0.2">
      <c r="A563" s="229" t="str">
        <f>T_P_BilanSocial[[#This Row],[Nom]]&amp;T_P_BilanSocial[[#This Row],[Prenom]]</f>
        <v>NOYELCHRISTIANE</v>
      </c>
      <c r="B563" s="228" t="s">
        <v>1415</v>
      </c>
      <c r="C563" s="229" t="s">
        <v>1416</v>
      </c>
      <c r="D563" s="229" t="s">
        <v>1417</v>
      </c>
      <c r="E563" s="229" t="s">
        <v>1184</v>
      </c>
      <c r="F563" s="230" t="s">
        <v>445</v>
      </c>
      <c r="G563" s="229" t="s">
        <v>1178</v>
      </c>
      <c r="H563" s="229" t="s">
        <v>1204</v>
      </c>
      <c r="I563" s="229" t="s">
        <v>1180</v>
      </c>
      <c r="J563" s="229" t="s">
        <v>411</v>
      </c>
      <c r="K563" s="231" t="s">
        <v>341</v>
      </c>
    </row>
    <row r="564" spans="1:11" s="226" customFormat="1" ht="9.6" customHeight="1" x14ac:dyDescent="0.2">
      <c r="A564" s="229" t="str">
        <f>T_P_BilanSocial[[#This Row],[Nom]]&amp;T_P_BilanSocial[[#This Row],[Prenom]]</f>
        <v>NTWARIELODIE</v>
      </c>
      <c r="B564" s="228" t="s">
        <v>1966</v>
      </c>
      <c r="C564" s="229" t="s">
        <v>1967</v>
      </c>
      <c r="D564" s="229" t="s">
        <v>1968</v>
      </c>
      <c r="E564" s="229" t="s">
        <v>1184</v>
      </c>
      <c r="F564" s="230" t="s">
        <v>45</v>
      </c>
      <c r="G564" s="229" t="s">
        <v>1178</v>
      </c>
      <c r="H564" s="229" t="s">
        <v>1204</v>
      </c>
      <c r="I564" s="229" t="s">
        <v>1180</v>
      </c>
      <c r="J564" s="229" t="s">
        <v>411</v>
      </c>
      <c r="K564" s="231" t="s">
        <v>341</v>
      </c>
    </row>
    <row r="565" spans="1:11" s="226" customFormat="1" ht="9.6" customHeight="1" x14ac:dyDescent="0.2">
      <c r="A565" s="229" t="str">
        <f>T_P_BilanSocial[[#This Row],[Nom]]&amp;T_P_BilanSocial[[#This Row],[Prenom]]</f>
        <v>OBRESHKOVADOROTEYA</v>
      </c>
      <c r="B565" s="228" t="s">
        <v>1879</v>
      </c>
      <c r="C565" s="229" t="s">
        <v>1880</v>
      </c>
      <c r="D565" s="229" t="s">
        <v>1881</v>
      </c>
      <c r="E565" s="229" t="s">
        <v>1184</v>
      </c>
      <c r="F565" s="230" t="s">
        <v>445</v>
      </c>
      <c r="G565" s="229" t="s">
        <v>1178</v>
      </c>
      <c r="H565" s="229" t="s">
        <v>1204</v>
      </c>
      <c r="I565" s="229" t="s">
        <v>1180</v>
      </c>
      <c r="J565" s="229" t="s">
        <v>411</v>
      </c>
      <c r="K565" s="231" t="s">
        <v>341</v>
      </c>
    </row>
    <row r="566" spans="1:11" s="226" customFormat="1" ht="9.6" customHeight="1" x14ac:dyDescent="0.2">
      <c r="A566" s="229" t="str">
        <f>T_P_BilanSocial[[#This Row],[Nom]]&amp;T_P_BilanSocial[[#This Row],[Prenom]]</f>
        <v>O'CONNORALICIA</v>
      </c>
      <c r="B566" s="228" t="s">
        <v>2061</v>
      </c>
      <c r="C566" s="229" t="s">
        <v>483</v>
      </c>
      <c r="D566" s="229" t="s">
        <v>2062</v>
      </c>
      <c r="E566" s="229" t="s">
        <v>1184</v>
      </c>
      <c r="F566" s="230" t="s">
        <v>45</v>
      </c>
      <c r="G566" s="229" t="s">
        <v>1476</v>
      </c>
      <c r="H566" s="229" t="s">
        <v>1477</v>
      </c>
      <c r="I566" s="229" t="s">
        <v>1180</v>
      </c>
      <c r="J566" s="229" t="s">
        <v>376</v>
      </c>
      <c r="K566" s="231" t="s">
        <v>341</v>
      </c>
    </row>
    <row r="567" spans="1:11" s="226" customFormat="1" ht="9.6" customHeight="1" x14ac:dyDescent="0.2">
      <c r="A567" s="229" t="str">
        <f>T_P_BilanSocial[[#This Row],[Nom]]&amp;T_P_BilanSocial[[#This Row],[Prenom]]</f>
        <v>OLAGNONGUY</v>
      </c>
      <c r="B567" s="228" t="s">
        <v>1504</v>
      </c>
      <c r="C567" s="229" t="s">
        <v>1505</v>
      </c>
      <c r="D567" s="229" t="s">
        <v>1506</v>
      </c>
      <c r="E567" s="229" t="s">
        <v>1177</v>
      </c>
      <c r="F567" s="230" t="s">
        <v>308</v>
      </c>
      <c r="G567" s="229" t="s">
        <v>1178</v>
      </c>
      <c r="H567" s="229" t="s">
        <v>1204</v>
      </c>
      <c r="I567" s="229" t="s">
        <v>1180</v>
      </c>
      <c r="J567" s="229" t="s">
        <v>471</v>
      </c>
      <c r="K567" s="231" t="s">
        <v>341</v>
      </c>
    </row>
    <row r="568" spans="1:11" s="226" customFormat="1" ht="9.6" customHeight="1" x14ac:dyDescent="0.2">
      <c r="A568" s="229" t="str">
        <f>T_P_BilanSocial[[#This Row],[Nom]]&amp;T_P_BilanSocial[[#This Row],[Prenom]]</f>
        <v>ORTILLEZCORINNE</v>
      </c>
      <c r="B568" s="228" t="s">
        <v>1250</v>
      </c>
      <c r="C568" s="229" t="s">
        <v>830</v>
      </c>
      <c r="D568" s="229" t="s">
        <v>1239</v>
      </c>
      <c r="E568" s="229" t="s">
        <v>1184</v>
      </c>
      <c r="F568" s="230" t="s">
        <v>45</v>
      </c>
      <c r="G568" s="229" t="s">
        <v>1178</v>
      </c>
      <c r="H568" s="229" t="s">
        <v>1179</v>
      </c>
      <c r="I568" s="229" t="s">
        <v>1180</v>
      </c>
      <c r="J568" s="229" t="s">
        <v>684</v>
      </c>
      <c r="K568" s="231" t="s">
        <v>341</v>
      </c>
    </row>
    <row r="569" spans="1:11" s="226" customFormat="1" ht="9.6" customHeight="1" x14ac:dyDescent="0.2">
      <c r="A569" s="229" t="str">
        <f>T_P_BilanSocial[[#This Row],[Nom]]&amp;T_P_BilanSocial[[#This Row],[Prenom]]</f>
        <v>ORTILLEZCHANTAL</v>
      </c>
      <c r="B569" s="228" t="s">
        <v>1258</v>
      </c>
      <c r="C569" s="229" t="s">
        <v>830</v>
      </c>
      <c r="D569" s="229" t="s">
        <v>1259</v>
      </c>
      <c r="E569" s="229" t="s">
        <v>1184</v>
      </c>
      <c r="F569" s="230" t="s">
        <v>445</v>
      </c>
      <c r="G569" s="229" t="s">
        <v>1178</v>
      </c>
      <c r="H569" s="229" t="s">
        <v>1179</v>
      </c>
      <c r="I569" s="229" t="s">
        <v>1180</v>
      </c>
      <c r="J569" s="229" t="s">
        <v>566</v>
      </c>
      <c r="K569" s="231" t="s">
        <v>831</v>
      </c>
    </row>
    <row r="570" spans="1:11" s="226" customFormat="1" ht="9.6" customHeight="1" x14ac:dyDescent="0.2">
      <c r="A570" s="229" t="str">
        <f>T_P_BilanSocial[[#This Row],[Nom]]&amp;T_P_BilanSocial[[#This Row],[Prenom]]</f>
        <v>OUASSOUJAMILA</v>
      </c>
      <c r="B570" s="228" t="s">
        <v>2233</v>
      </c>
      <c r="C570" s="229" t="s">
        <v>2234</v>
      </c>
      <c r="D570" s="229" t="s">
        <v>2235</v>
      </c>
      <c r="E570" s="229" t="s">
        <v>1184</v>
      </c>
      <c r="F570" s="230" t="s">
        <v>308</v>
      </c>
      <c r="G570" s="229" t="s">
        <v>1178</v>
      </c>
      <c r="H570" s="229" t="s">
        <v>1204</v>
      </c>
      <c r="I570" s="229" t="s">
        <v>1180</v>
      </c>
      <c r="J570" s="229" t="s">
        <v>353</v>
      </c>
      <c r="K570" s="231" t="s">
        <v>354</v>
      </c>
    </row>
    <row r="571" spans="1:11" s="226" customFormat="1" ht="9.6" customHeight="1" x14ac:dyDescent="0.2">
      <c r="A571" s="229" t="str">
        <f>T_P_BilanSocial[[#This Row],[Nom]]&amp;T_P_BilanSocial[[#This Row],[Prenom]]</f>
        <v>OURAGHEMEHDI</v>
      </c>
      <c r="B571" s="228" t="s">
        <v>2641</v>
      </c>
      <c r="C571" s="229" t="s">
        <v>2642</v>
      </c>
      <c r="D571" s="229" t="s">
        <v>2643</v>
      </c>
      <c r="E571" s="229" t="s">
        <v>1177</v>
      </c>
      <c r="F571" s="230" t="s">
        <v>45</v>
      </c>
      <c r="G571" s="229" t="s">
        <v>1476</v>
      </c>
      <c r="H571" s="229" t="s">
        <v>1794</v>
      </c>
      <c r="I571" s="229" t="s">
        <v>1180</v>
      </c>
      <c r="J571" s="229" t="s">
        <v>376</v>
      </c>
      <c r="K571" s="231" t="s">
        <v>341</v>
      </c>
    </row>
    <row r="572" spans="1:11" s="226" customFormat="1" ht="9.6" customHeight="1" x14ac:dyDescent="0.2">
      <c r="A572" s="229" t="str">
        <f>T_P_BilanSocial[[#This Row],[Nom]]&amp;T_P_BilanSocial[[#This Row],[Prenom]]</f>
        <v>OVEFRANÇOIS</v>
      </c>
      <c r="B572" s="228" t="s">
        <v>1507</v>
      </c>
      <c r="C572" s="229" t="s">
        <v>774</v>
      </c>
      <c r="D572" s="229" t="s">
        <v>1286</v>
      </c>
      <c r="E572" s="229" t="s">
        <v>1177</v>
      </c>
      <c r="F572" s="230" t="s">
        <v>308</v>
      </c>
      <c r="G572" s="229" t="s">
        <v>1476</v>
      </c>
      <c r="H572" s="229" t="s">
        <v>1477</v>
      </c>
      <c r="I572" s="229" t="s">
        <v>1180</v>
      </c>
      <c r="J572" s="229" t="s">
        <v>626</v>
      </c>
      <c r="K572" s="231" t="s">
        <v>341</v>
      </c>
    </row>
    <row r="573" spans="1:11" s="226" customFormat="1" ht="9.6" customHeight="1" x14ac:dyDescent="0.2">
      <c r="A573" s="229" t="str">
        <f>T_P_BilanSocial[[#This Row],[Nom]]&amp;T_P_BilanSocial[[#This Row],[Prenom]]</f>
        <v>PACARDMELVYN</v>
      </c>
      <c r="B573" s="228" t="s">
        <v>2653</v>
      </c>
      <c r="C573" s="229" t="s">
        <v>2654</v>
      </c>
      <c r="D573" s="229" t="s">
        <v>2655</v>
      </c>
      <c r="E573" s="229" t="s">
        <v>1177</v>
      </c>
      <c r="F573" s="230" t="s">
        <v>45</v>
      </c>
      <c r="G573" s="229" t="s">
        <v>1178</v>
      </c>
      <c r="H573" s="229" t="s">
        <v>1179</v>
      </c>
      <c r="I573" s="229" t="s">
        <v>1180</v>
      </c>
      <c r="J573" s="229" t="s">
        <v>353</v>
      </c>
      <c r="K573" s="231" t="s">
        <v>354</v>
      </c>
    </row>
    <row r="574" spans="1:11" s="226" customFormat="1" ht="9.6" customHeight="1" x14ac:dyDescent="0.2">
      <c r="A574" s="229" t="str">
        <f>T_P_BilanSocial[[#This Row],[Nom]]&amp;T_P_BilanSocial[[#This Row],[Prenom]]</f>
        <v>PACHECOPHILIPPE</v>
      </c>
      <c r="B574" s="228" t="s">
        <v>1396</v>
      </c>
      <c r="C574" s="229" t="s">
        <v>1397</v>
      </c>
      <c r="D574" s="229" t="s">
        <v>1339</v>
      </c>
      <c r="E574" s="229" t="s">
        <v>1177</v>
      </c>
      <c r="F574" s="230" t="s">
        <v>45</v>
      </c>
      <c r="G574" s="229" t="s">
        <v>1178</v>
      </c>
      <c r="H574" s="229" t="s">
        <v>1204</v>
      </c>
      <c r="I574" s="229" t="s">
        <v>1180</v>
      </c>
      <c r="J574" s="229" t="s">
        <v>340</v>
      </c>
      <c r="K574" s="231" t="s">
        <v>341</v>
      </c>
    </row>
    <row r="575" spans="1:11" s="226" customFormat="1" ht="9.6" customHeight="1" x14ac:dyDescent="0.2">
      <c r="A575" s="229" t="str">
        <f>T_P_BilanSocial[[#This Row],[Nom]]&amp;T_P_BilanSocial[[#This Row],[Prenom]]</f>
        <v>PANCINIJACQUELINE</v>
      </c>
      <c r="B575" s="228" t="s">
        <v>1424</v>
      </c>
      <c r="C575" s="229" t="s">
        <v>1425</v>
      </c>
      <c r="D575" s="229" t="s">
        <v>1426</v>
      </c>
      <c r="E575" s="229" t="s">
        <v>1184</v>
      </c>
      <c r="F575" s="230" t="s">
        <v>45</v>
      </c>
      <c r="G575" s="229" t="s">
        <v>1178</v>
      </c>
      <c r="H575" s="229" t="s">
        <v>1179</v>
      </c>
      <c r="I575" s="229" t="s">
        <v>1180</v>
      </c>
      <c r="J575" s="229" t="s">
        <v>892</v>
      </c>
      <c r="K575" s="231" t="s">
        <v>893</v>
      </c>
    </row>
    <row r="576" spans="1:11" s="226" customFormat="1" ht="9.6" customHeight="1" x14ac:dyDescent="0.2">
      <c r="A576" s="229" t="str">
        <f>T_P_BilanSocial[[#This Row],[Nom]]&amp;T_P_BilanSocial[[#This Row],[Prenom]]</f>
        <v>PANTELSARAH</v>
      </c>
      <c r="B576" s="228" t="s">
        <v>2191</v>
      </c>
      <c r="C576" s="229" t="s">
        <v>2192</v>
      </c>
      <c r="D576" s="229" t="s">
        <v>1503</v>
      </c>
      <c r="E576" s="229" t="s">
        <v>1184</v>
      </c>
      <c r="F576" s="230" t="s">
        <v>445</v>
      </c>
      <c r="G576" s="229" t="s">
        <v>1476</v>
      </c>
      <c r="H576" s="229" t="s">
        <v>1477</v>
      </c>
      <c r="I576" s="229" t="s">
        <v>1180</v>
      </c>
      <c r="J576" s="229" t="s">
        <v>353</v>
      </c>
      <c r="K576" s="231" t="s">
        <v>354</v>
      </c>
    </row>
    <row r="577" spans="1:11" s="226" customFormat="1" ht="9.6" customHeight="1" x14ac:dyDescent="0.2">
      <c r="A577" s="229" t="str">
        <f>T_P_BilanSocial[[#This Row],[Nom]]&amp;T_P_BilanSocial[[#This Row],[Prenom]]</f>
        <v>PAPARELLAEMMANUELLE</v>
      </c>
      <c r="B577" s="228" t="s">
        <v>2603</v>
      </c>
      <c r="C577" s="229" t="s">
        <v>2604</v>
      </c>
      <c r="D577" s="229" t="s">
        <v>1624</v>
      </c>
      <c r="E577" s="229" t="s">
        <v>1184</v>
      </c>
      <c r="F577" s="230" t="s">
        <v>45</v>
      </c>
      <c r="G577" s="229" t="s">
        <v>1476</v>
      </c>
      <c r="H577" s="229" t="s">
        <v>1794</v>
      </c>
      <c r="I577" s="229" t="s">
        <v>1180</v>
      </c>
      <c r="J577" s="229" t="s">
        <v>353</v>
      </c>
      <c r="K577" s="231" t="s">
        <v>354</v>
      </c>
    </row>
    <row r="578" spans="1:11" s="226" customFormat="1" ht="9.6" customHeight="1" x14ac:dyDescent="0.2">
      <c r="A578" s="229" t="str">
        <f>T_P_BilanSocial[[#This Row],[Nom]]&amp;T_P_BilanSocial[[#This Row],[Prenom]]</f>
        <v>PARMENTIERCATHERINE</v>
      </c>
      <c r="B578" s="228" t="s">
        <v>1303</v>
      </c>
      <c r="C578" s="229" t="s">
        <v>692</v>
      </c>
      <c r="D578" s="229" t="s">
        <v>1203</v>
      </c>
      <c r="E578" s="229" t="s">
        <v>1184</v>
      </c>
      <c r="F578" s="230" t="s">
        <v>308</v>
      </c>
      <c r="G578" s="229" t="s">
        <v>1178</v>
      </c>
      <c r="H578" s="229" t="s">
        <v>1204</v>
      </c>
      <c r="I578" s="229" t="s">
        <v>1180</v>
      </c>
      <c r="J578" s="229" t="s">
        <v>340</v>
      </c>
      <c r="K578" s="231" t="s">
        <v>341</v>
      </c>
    </row>
    <row r="579" spans="1:11" s="226" customFormat="1" ht="9.6" customHeight="1" x14ac:dyDescent="0.2">
      <c r="A579" s="229" t="str">
        <f>T_P_BilanSocial[[#This Row],[Nom]]&amp;T_P_BilanSocial[[#This Row],[Prenom]]</f>
        <v>PARNIERECÉLINE</v>
      </c>
      <c r="B579" s="228" t="s">
        <v>2376</v>
      </c>
      <c r="C579" s="229" t="s">
        <v>2377</v>
      </c>
      <c r="D579" s="229" t="s">
        <v>1671</v>
      </c>
      <c r="E579" s="229" t="s">
        <v>1184</v>
      </c>
      <c r="F579" s="230" t="s">
        <v>45</v>
      </c>
      <c r="G579" s="229" t="s">
        <v>1476</v>
      </c>
      <c r="H579" s="229" t="s">
        <v>1477</v>
      </c>
      <c r="I579" s="229" t="s">
        <v>1180</v>
      </c>
      <c r="J579" s="229" t="s">
        <v>1079</v>
      </c>
      <c r="K579" s="231" t="s">
        <v>2378</v>
      </c>
    </row>
    <row r="580" spans="1:11" s="226" customFormat="1" ht="9.6" customHeight="1" x14ac:dyDescent="0.2">
      <c r="A580" s="229" t="str">
        <f>T_P_BilanSocial[[#This Row],[Nom]]&amp;T_P_BilanSocial[[#This Row],[Prenom]]</f>
        <v>PATELGIRISH</v>
      </c>
      <c r="B580" s="228" t="s">
        <v>2405</v>
      </c>
      <c r="C580" s="229" t="s">
        <v>2406</v>
      </c>
      <c r="D580" s="229" t="s">
        <v>2407</v>
      </c>
      <c r="E580" s="229" t="s">
        <v>1177</v>
      </c>
      <c r="F580" s="230" t="s">
        <v>45</v>
      </c>
      <c r="G580" s="229" t="s">
        <v>1476</v>
      </c>
      <c r="H580" s="229" t="s">
        <v>1477</v>
      </c>
      <c r="I580" s="229" t="s">
        <v>1180</v>
      </c>
      <c r="J580" s="229" t="s">
        <v>340</v>
      </c>
      <c r="K580" s="231" t="s">
        <v>341</v>
      </c>
    </row>
    <row r="581" spans="1:11" s="226" customFormat="1" ht="9.6" customHeight="1" x14ac:dyDescent="0.2">
      <c r="A581" s="229" t="str">
        <f>T_P_BilanSocial[[#This Row],[Nom]]&amp;T_P_BilanSocial[[#This Row],[Prenom]]</f>
        <v>PELAZZO-PLATVALÉRIE</v>
      </c>
      <c r="B581" s="228" t="s">
        <v>1307</v>
      </c>
      <c r="C581" s="233" t="s">
        <v>968</v>
      </c>
      <c r="D581" s="229" t="s">
        <v>1308</v>
      </c>
      <c r="E581" s="229" t="s">
        <v>1184</v>
      </c>
      <c r="F581" s="230" t="s">
        <v>308</v>
      </c>
      <c r="G581" s="229" t="s">
        <v>1178</v>
      </c>
      <c r="H581" s="229" t="s">
        <v>1204</v>
      </c>
      <c r="I581" s="229" t="s">
        <v>1180</v>
      </c>
      <c r="J581" s="229" t="s">
        <v>520</v>
      </c>
      <c r="K581" s="231" t="s">
        <v>341</v>
      </c>
    </row>
    <row r="582" spans="1:11" s="226" customFormat="1" ht="9.6" customHeight="1" x14ac:dyDescent="0.2">
      <c r="A582" s="229" t="str">
        <f>T_P_BilanSocial[[#This Row],[Nom]]&amp;T_P_BilanSocial[[#This Row],[Prenom]]</f>
        <v>PELLETIERQUENTIN</v>
      </c>
      <c r="B582" s="228" t="s">
        <v>2254</v>
      </c>
      <c r="C582" s="229" t="s">
        <v>2255</v>
      </c>
      <c r="D582" s="229" t="s">
        <v>2256</v>
      </c>
      <c r="E582" s="229" t="s">
        <v>1177</v>
      </c>
      <c r="F582" s="230" t="s">
        <v>45</v>
      </c>
      <c r="G582" s="229" t="s">
        <v>1178</v>
      </c>
      <c r="H582" s="229" t="s">
        <v>1204</v>
      </c>
      <c r="I582" s="229" t="s">
        <v>1180</v>
      </c>
      <c r="J582" s="229" t="s">
        <v>1079</v>
      </c>
      <c r="K582" s="231" t="s">
        <v>2257</v>
      </c>
    </row>
    <row r="583" spans="1:11" s="226" customFormat="1" ht="9.6" customHeight="1" x14ac:dyDescent="0.2">
      <c r="A583" s="229" t="str">
        <f>T_P_BilanSocial[[#This Row],[Nom]]&amp;T_P_BilanSocial[[#This Row],[Prenom]]</f>
        <v>PELLISSIERGAËLLE</v>
      </c>
      <c r="B583" s="228" t="s">
        <v>1380</v>
      </c>
      <c r="C583" s="229" t="s">
        <v>1070</v>
      </c>
      <c r="D583" s="229" t="s">
        <v>1381</v>
      </c>
      <c r="E583" s="229" t="s">
        <v>1184</v>
      </c>
      <c r="F583" s="230" t="s">
        <v>308</v>
      </c>
      <c r="G583" s="229" t="s">
        <v>1178</v>
      </c>
      <c r="H583" s="229" t="s">
        <v>1204</v>
      </c>
      <c r="I583" s="229" t="s">
        <v>1180</v>
      </c>
      <c r="J583" s="229" t="s">
        <v>607</v>
      </c>
      <c r="K583" s="231" t="s">
        <v>1382</v>
      </c>
    </row>
    <row r="584" spans="1:11" s="226" customFormat="1" ht="9.6" customHeight="1" x14ac:dyDescent="0.2">
      <c r="A584" s="229" t="str">
        <f>T_P_BilanSocial[[#This Row],[Nom]]&amp;T_P_BilanSocial[[#This Row],[Prenom]]</f>
        <v>PEREIRA DE JESUSARMINDO</v>
      </c>
      <c r="B584" s="228" t="s">
        <v>1398</v>
      </c>
      <c r="C584" s="229" t="s">
        <v>1399</v>
      </c>
      <c r="D584" s="229" t="s">
        <v>1400</v>
      </c>
      <c r="E584" s="229" t="s">
        <v>1177</v>
      </c>
      <c r="F584" s="230" t="s">
        <v>45</v>
      </c>
      <c r="G584" s="229" t="s">
        <v>1178</v>
      </c>
      <c r="H584" s="229" t="s">
        <v>1204</v>
      </c>
      <c r="I584" s="229" t="s">
        <v>1180</v>
      </c>
      <c r="J584" s="229" t="s">
        <v>1401</v>
      </c>
      <c r="K584" s="231" t="s">
        <v>1402</v>
      </c>
    </row>
    <row r="585" spans="1:11" s="226" customFormat="1" ht="9.6" customHeight="1" x14ac:dyDescent="0.2">
      <c r="A585" s="229" t="str">
        <f>T_P_BilanSocial[[#This Row],[Nom]]&amp;T_P_BilanSocial[[#This Row],[Prenom]]</f>
        <v>PEREZCORINNE</v>
      </c>
      <c r="B585" s="228" t="s">
        <v>1508</v>
      </c>
      <c r="C585" s="229" t="s">
        <v>1509</v>
      </c>
      <c r="D585" s="229" t="s">
        <v>1239</v>
      </c>
      <c r="E585" s="229" t="s">
        <v>1184</v>
      </c>
      <c r="F585" s="230" t="s">
        <v>45</v>
      </c>
      <c r="G585" s="229" t="s">
        <v>1476</v>
      </c>
      <c r="H585" s="229" t="s">
        <v>1477</v>
      </c>
      <c r="I585" s="229" t="s">
        <v>1180</v>
      </c>
      <c r="J585" s="229" t="s">
        <v>1011</v>
      </c>
      <c r="K585" s="231" t="s">
        <v>1012</v>
      </c>
    </row>
    <row r="586" spans="1:11" s="226" customFormat="1" ht="9.6" customHeight="1" x14ac:dyDescent="0.2">
      <c r="A586" s="229" t="str">
        <f>T_P_BilanSocial[[#This Row],[Nom]]&amp;T_P_BilanSocial[[#This Row],[Prenom]]</f>
        <v>PEREZJULIE</v>
      </c>
      <c r="B586" s="228" t="s">
        <v>2145</v>
      </c>
      <c r="C586" s="229" t="s">
        <v>1509</v>
      </c>
      <c r="D586" s="229" t="s">
        <v>1857</v>
      </c>
      <c r="E586" s="229" t="s">
        <v>1184</v>
      </c>
      <c r="F586" s="230" t="s">
        <v>445</v>
      </c>
      <c r="G586" s="229" t="s">
        <v>1476</v>
      </c>
      <c r="H586" s="229" t="s">
        <v>1477</v>
      </c>
      <c r="I586" s="229" t="s">
        <v>1180</v>
      </c>
      <c r="J586" s="229" t="s">
        <v>340</v>
      </c>
      <c r="K586" s="231" t="s">
        <v>341</v>
      </c>
    </row>
    <row r="587" spans="1:11" s="226" customFormat="1" ht="9.6" customHeight="1" x14ac:dyDescent="0.2">
      <c r="A587" s="229" t="str">
        <f>T_P_BilanSocial[[#This Row],[Nom]]&amp;T_P_BilanSocial[[#This Row],[Prenom]]</f>
        <v>PEROMBELONANNE-PIERRE ELODIE</v>
      </c>
      <c r="B587" s="228" t="s">
        <v>2870</v>
      </c>
      <c r="C587" s="229" t="s">
        <v>949</v>
      </c>
      <c r="D587" s="233" t="s">
        <v>3015</v>
      </c>
      <c r="E587" s="229" t="s">
        <v>1184</v>
      </c>
      <c r="F587" s="230" t="s">
        <v>45</v>
      </c>
      <c r="G587" s="229" t="s">
        <v>1476</v>
      </c>
      <c r="H587" s="229" t="s">
        <v>1794</v>
      </c>
      <c r="I587" s="229" t="s">
        <v>1180</v>
      </c>
      <c r="J587" s="229" t="s">
        <v>376</v>
      </c>
      <c r="K587" s="231" t="s">
        <v>341</v>
      </c>
    </row>
    <row r="588" spans="1:11" s="226" customFormat="1" ht="9.6" customHeight="1" x14ac:dyDescent="0.2">
      <c r="A588" s="229" t="str">
        <f>T_P_BilanSocial[[#This Row],[Nom]]&amp;T_P_BilanSocial[[#This Row],[Prenom]]</f>
        <v>PERRARDMARCELLINE</v>
      </c>
      <c r="B588" s="228" t="s">
        <v>2379</v>
      </c>
      <c r="C588" s="229" t="s">
        <v>2380</v>
      </c>
      <c r="D588" s="229" t="s">
        <v>2381</v>
      </c>
      <c r="E588" s="229" t="s">
        <v>1184</v>
      </c>
      <c r="F588" s="230" t="s">
        <v>308</v>
      </c>
      <c r="G588" s="229" t="s">
        <v>1476</v>
      </c>
      <c r="H588" s="229" t="s">
        <v>1477</v>
      </c>
      <c r="I588" s="229" t="s">
        <v>1180</v>
      </c>
      <c r="J588" s="229" t="s">
        <v>607</v>
      </c>
      <c r="K588" s="231" t="s">
        <v>608</v>
      </c>
    </row>
    <row r="589" spans="1:11" s="226" customFormat="1" ht="9.6" customHeight="1" x14ac:dyDescent="0.2">
      <c r="A589" s="229" t="str">
        <f>T_P_BilanSocial[[#This Row],[Nom]]&amp;T_P_BilanSocial[[#This Row],[Prenom]]</f>
        <v>PERRAUTJONATHAN</v>
      </c>
      <c r="B589" s="228" t="s">
        <v>2466</v>
      </c>
      <c r="C589" s="229" t="s">
        <v>2467</v>
      </c>
      <c r="D589" s="229" t="s">
        <v>1408</v>
      </c>
      <c r="E589" s="229" t="s">
        <v>1177</v>
      </c>
      <c r="F589" s="230" t="s">
        <v>445</v>
      </c>
      <c r="G589" s="229" t="s">
        <v>1178</v>
      </c>
      <c r="H589" s="229" t="s">
        <v>1204</v>
      </c>
      <c r="I589" s="229" t="s">
        <v>1180</v>
      </c>
      <c r="J589" s="229" t="s">
        <v>411</v>
      </c>
      <c r="K589" s="231" t="s">
        <v>341</v>
      </c>
    </row>
    <row r="590" spans="1:11" s="226" customFormat="1" ht="9.6" customHeight="1" x14ac:dyDescent="0.2">
      <c r="A590" s="229" t="str">
        <f>T_P_BilanSocial[[#This Row],[Nom]]&amp;T_P_BilanSocial[[#This Row],[Prenom]]</f>
        <v>PERRIERLAETITIA</v>
      </c>
      <c r="B590" s="228" t="s">
        <v>2073</v>
      </c>
      <c r="C590" s="229" t="s">
        <v>422</v>
      </c>
      <c r="D590" s="229" t="s">
        <v>2042</v>
      </c>
      <c r="E590" s="229" t="s">
        <v>1184</v>
      </c>
      <c r="F590" s="230" t="s">
        <v>445</v>
      </c>
      <c r="G590" s="229" t="s">
        <v>1178</v>
      </c>
      <c r="H590" s="229" t="s">
        <v>1179</v>
      </c>
      <c r="I590" s="229" t="s">
        <v>1180</v>
      </c>
      <c r="J590" s="229" t="s">
        <v>423</v>
      </c>
      <c r="K590" s="231" t="s">
        <v>424</v>
      </c>
    </row>
    <row r="591" spans="1:11" s="226" customFormat="1" ht="9.6" customHeight="1" x14ac:dyDescent="0.2">
      <c r="A591" s="229" t="str">
        <f>T_P_BilanSocial[[#This Row],[Nom]]&amp;T_P_BilanSocial[[#This Row],[Prenom]]</f>
        <v>PERRIERMARIE</v>
      </c>
      <c r="B591" s="228" t="s">
        <v>2463</v>
      </c>
      <c r="C591" s="229" t="s">
        <v>422</v>
      </c>
      <c r="D591" s="229" t="s">
        <v>2090</v>
      </c>
      <c r="E591" s="229" t="s">
        <v>1184</v>
      </c>
      <c r="F591" s="230" t="s">
        <v>45</v>
      </c>
      <c r="G591" s="229" t="s">
        <v>1476</v>
      </c>
      <c r="H591" s="229" t="s">
        <v>1477</v>
      </c>
      <c r="I591" s="229" t="s">
        <v>1180</v>
      </c>
      <c r="J591" s="229" t="s">
        <v>411</v>
      </c>
      <c r="K591" s="231" t="s">
        <v>341</v>
      </c>
    </row>
    <row r="592" spans="1:11" s="226" customFormat="1" ht="9.6" customHeight="1" x14ac:dyDescent="0.2">
      <c r="A592" s="229" t="str">
        <f>T_P_BilanSocial[[#This Row],[Nom]]&amp;T_P_BilanSocial[[#This Row],[Prenom]]</f>
        <v>PERRIERROMANE</v>
      </c>
      <c r="B592" s="228" t="s">
        <v>2984</v>
      </c>
      <c r="C592" s="229" t="s">
        <v>422</v>
      </c>
      <c r="D592" s="229" t="s">
        <v>2765</v>
      </c>
      <c r="E592" s="229" t="s">
        <v>1184</v>
      </c>
      <c r="F592" s="230" t="s">
        <v>445</v>
      </c>
      <c r="G592" s="229" t="s">
        <v>1476</v>
      </c>
      <c r="H592" s="229" t="s">
        <v>1794</v>
      </c>
      <c r="I592" s="229" t="s">
        <v>1180</v>
      </c>
      <c r="J592" s="229" t="s">
        <v>416</v>
      </c>
      <c r="K592" s="231" t="s">
        <v>1363</v>
      </c>
    </row>
    <row r="593" spans="1:11" s="226" customFormat="1" ht="9.6" customHeight="1" x14ac:dyDescent="0.2">
      <c r="A593" s="229" t="str">
        <f>T_P_BilanSocial[[#This Row],[Nom]]&amp;T_P_BilanSocial[[#This Row],[Prenom]]</f>
        <v>PERRINELISABETH</v>
      </c>
      <c r="B593" s="228" t="s">
        <v>1510</v>
      </c>
      <c r="C593" s="229" t="s">
        <v>713</v>
      </c>
      <c r="D593" s="229" t="s">
        <v>1511</v>
      </c>
      <c r="E593" s="229" t="s">
        <v>1184</v>
      </c>
      <c r="F593" s="230" t="s">
        <v>45</v>
      </c>
      <c r="G593" s="229" t="s">
        <v>1178</v>
      </c>
      <c r="H593" s="229" t="s">
        <v>1179</v>
      </c>
      <c r="I593" s="229" t="s">
        <v>1180</v>
      </c>
      <c r="J593" s="229" t="s">
        <v>411</v>
      </c>
      <c r="K593" s="231" t="s">
        <v>341</v>
      </c>
    </row>
    <row r="594" spans="1:11" s="226" customFormat="1" ht="9.6" customHeight="1" x14ac:dyDescent="0.2">
      <c r="A594" s="229" t="str">
        <f>T_P_BilanSocial[[#This Row],[Nom]]&amp;T_P_BilanSocial[[#This Row],[Prenom]]</f>
        <v>PERRINEMILY</v>
      </c>
      <c r="B594" s="228" t="s">
        <v>2426</v>
      </c>
      <c r="C594" s="229" t="s">
        <v>713</v>
      </c>
      <c r="D594" s="229" t="s">
        <v>2427</v>
      </c>
      <c r="E594" s="229" t="s">
        <v>1184</v>
      </c>
      <c r="F594" s="230" t="s">
        <v>45</v>
      </c>
      <c r="G594" s="229" t="s">
        <v>1476</v>
      </c>
      <c r="H594" s="229" t="s">
        <v>1794</v>
      </c>
      <c r="I594" s="229" t="s">
        <v>1180</v>
      </c>
      <c r="J594" s="229" t="s">
        <v>717</v>
      </c>
      <c r="K594" s="231" t="s">
        <v>718</v>
      </c>
    </row>
    <row r="595" spans="1:11" s="226" customFormat="1" ht="9.6" customHeight="1" x14ac:dyDescent="0.2">
      <c r="A595" s="229" t="str">
        <f>T_P_BilanSocial[[#This Row],[Nom]]&amp;T_P_BilanSocial[[#This Row],[Prenom]]</f>
        <v>PERRINALICE</v>
      </c>
      <c r="B595" s="228" t="s">
        <v>2685</v>
      </c>
      <c r="C595" s="229" t="s">
        <v>713</v>
      </c>
      <c r="D595" s="229" t="s">
        <v>2686</v>
      </c>
      <c r="E595" s="229" t="s">
        <v>1184</v>
      </c>
      <c r="F595" s="230" t="s">
        <v>445</v>
      </c>
      <c r="G595" s="229" t="s">
        <v>1476</v>
      </c>
      <c r="H595" s="229" t="s">
        <v>1794</v>
      </c>
      <c r="I595" s="229" t="s">
        <v>1180</v>
      </c>
      <c r="J595" s="229" t="s">
        <v>684</v>
      </c>
      <c r="K595" s="231" t="s">
        <v>341</v>
      </c>
    </row>
    <row r="596" spans="1:11" s="226" customFormat="1" ht="9.6" customHeight="1" x14ac:dyDescent="0.2">
      <c r="A596" s="229" t="str">
        <f>T_P_BilanSocial[[#This Row],[Nom]]&amp;T_P_BilanSocial[[#This Row],[Prenom]]</f>
        <v>PERROTINFRANCK</v>
      </c>
      <c r="B596" s="228" t="s">
        <v>1783</v>
      </c>
      <c r="C596" s="229" t="s">
        <v>413</v>
      </c>
      <c r="D596" s="229" t="s">
        <v>1784</v>
      </c>
      <c r="E596" s="229" t="s">
        <v>1177</v>
      </c>
      <c r="F596" s="230" t="s">
        <v>308</v>
      </c>
      <c r="G596" s="229" t="s">
        <v>1178</v>
      </c>
      <c r="H596" s="229" t="s">
        <v>1179</v>
      </c>
      <c r="I596" s="229" t="s">
        <v>1180</v>
      </c>
      <c r="J596" s="229" t="s">
        <v>376</v>
      </c>
      <c r="K596" s="231" t="s">
        <v>341</v>
      </c>
    </row>
    <row r="597" spans="1:11" s="226" customFormat="1" ht="9.6" customHeight="1" x14ac:dyDescent="0.2">
      <c r="A597" s="229" t="str">
        <f>T_P_BilanSocial[[#This Row],[Nom]]&amp;T_P_BilanSocial[[#This Row],[Prenom]]</f>
        <v>PERRUCHOT DE LA BUSSIEREMARIE</v>
      </c>
      <c r="B597" s="228" t="s">
        <v>2899</v>
      </c>
      <c r="C597" s="229" t="s">
        <v>879</v>
      </c>
      <c r="D597" s="229" t="s">
        <v>2090</v>
      </c>
      <c r="E597" s="229" t="s">
        <v>1184</v>
      </c>
      <c r="F597" s="230" t="s">
        <v>45</v>
      </c>
      <c r="G597" s="229" t="s">
        <v>1476</v>
      </c>
      <c r="H597" s="229" t="s">
        <v>1794</v>
      </c>
      <c r="I597" s="229" t="s">
        <v>1180</v>
      </c>
      <c r="J597" s="229" t="s">
        <v>340</v>
      </c>
      <c r="K597" s="231" t="s">
        <v>341</v>
      </c>
    </row>
    <row r="598" spans="1:11" s="226" customFormat="1" ht="9.6" customHeight="1" x14ac:dyDescent="0.2">
      <c r="A598" s="229" t="str">
        <f>T_P_BilanSocial[[#This Row],[Nom]]&amp;T_P_BilanSocial[[#This Row],[Prenom]]</f>
        <v>PESMARTINE</v>
      </c>
      <c r="B598" s="228" t="s">
        <v>1512</v>
      </c>
      <c r="C598" s="229" t="s">
        <v>1513</v>
      </c>
      <c r="D598" s="229" t="s">
        <v>1267</v>
      </c>
      <c r="E598" s="229" t="s">
        <v>1184</v>
      </c>
      <c r="F598" s="230" t="s">
        <v>308</v>
      </c>
      <c r="G598" s="229" t="s">
        <v>1178</v>
      </c>
      <c r="H598" s="229" t="s">
        <v>1204</v>
      </c>
      <c r="I598" s="229" t="s">
        <v>1180</v>
      </c>
      <c r="J598" s="229" t="s">
        <v>1514</v>
      </c>
      <c r="K598" s="231" t="s">
        <v>1515</v>
      </c>
    </row>
    <row r="599" spans="1:11" s="226" customFormat="1" ht="9.6" customHeight="1" x14ac:dyDescent="0.2">
      <c r="A599" s="229" t="str">
        <f>T_P_BilanSocial[[#This Row],[Nom]]&amp;T_P_BilanSocial[[#This Row],[Prenom]]</f>
        <v>PETITERIC</v>
      </c>
      <c r="B599" s="228" t="s">
        <v>1332</v>
      </c>
      <c r="C599" s="229" t="s">
        <v>856</v>
      </c>
      <c r="D599" s="229" t="s">
        <v>1313</v>
      </c>
      <c r="E599" s="229" t="s">
        <v>1177</v>
      </c>
      <c r="F599" s="230" t="s">
        <v>445</v>
      </c>
      <c r="G599" s="229" t="s">
        <v>1178</v>
      </c>
      <c r="H599" s="229" t="s">
        <v>1204</v>
      </c>
      <c r="I599" s="229" t="s">
        <v>1180</v>
      </c>
      <c r="J599" s="229" t="s">
        <v>611</v>
      </c>
      <c r="K599" s="231" t="s">
        <v>341</v>
      </c>
    </row>
    <row r="600" spans="1:11" s="226" customFormat="1" ht="9.6" customHeight="1" x14ac:dyDescent="0.2">
      <c r="A600" s="229" t="str">
        <f>T_P_BilanSocial[[#This Row],[Nom]]&amp;T_P_BilanSocial[[#This Row],[Prenom]]</f>
        <v>PETITROMAIN</v>
      </c>
      <c r="B600" s="228" t="s">
        <v>2956</v>
      </c>
      <c r="C600" s="229" t="s">
        <v>856</v>
      </c>
      <c r="D600" s="229" t="s">
        <v>2161</v>
      </c>
      <c r="E600" s="229" t="s">
        <v>1177</v>
      </c>
      <c r="F600" s="230" t="s">
        <v>45</v>
      </c>
      <c r="G600" s="229" t="s">
        <v>1476</v>
      </c>
      <c r="H600" s="229" t="s">
        <v>1794</v>
      </c>
      <c r="I600" s="229" t="s">
        <v>1180</v>
      </c>
      <c r="J600" s="229" t="s">
        <v>353</v>
      </c>
      <c r="K600" s="231" t="s">
        <v>354</v>
      </c>
    </row>
    <row r="601" spans="1:11" s="226" customFormat="1" ht="9.6" customHeight="1" x14ac:dyDescent="0.2">
      <c r="A601" s="229" t="str">
        <f>T_P_BilanSocial[[#This Row],[Nom]]&amp;T_P_BilanSocial[[#This Row],[Prenom]]</f>
        <v>PETRELCLAIRE</v>
      </c>
      <c r="B601" s="228" t="s">
        <v>1835</v>
      </c>
      <c r="C601" s="229" t="s">
        <v>1836</v>
      </c>
      <c r="D601" s="229" t="s">
        <v>1652</v>
      </c>
      <c r="E601" s="229" t="s">
        <v>1184</v>
      </c>
      <c r="F601" s="230" t="s">
        <v>445</v>
      </c>
      <c r="G601" s="229" t="s">
        <v>1178</v>
      </c>
      <c r="H601" s="229" t="s">
        <v>1204</v>
      </c>
      <c r="I601" s="229" t="s">
        <v>1180</v>
      </c>
      <c r="J601" s="229" t="s">
        <v>411</v>
      </c>
      <c r="K601" s="231" t="s">
        <v>341</v>
      </c>
    </row>
    <row r="602" spans="1:11" s="226" customFormat="1" ht="9.6" customHeight="1" x14ac:dyDescent="0.2">
      <c r="A602" s="229" t="str">
        <f>T_P_BilanSocial[[#This Row],[Nom]]&amp;T_P_BilanSocial[[#This Row],[Prenom]]</f>
        <v>PETRUCCISTESSY</v>
      </c>
      <c r="B602" s="228" t="s">
        <v>2985</v>
      </c>
      <c r="C602" s="229" t="s">
        <v>2986</v>
      </c>
      <c r="D602" s="229" t="s">
        <v>2987</v>
      </c>
      <c r="E602" s="229" t="s">
        <v>1184</v>
      </c>
      <c r="F602" s="230" t="s">
        <v>308</v>
      </c>
      <c r="G602" s="229" t="s">
        <v>1476</v>
      </c>
      <c r="H602" s="229" t="s">
        <v>1794</v>
      </c>
      <c r="I602" s="229" t="s">
        <v>1180</v>
      </c>
      <c r="J602" s="229" t="s">
        <v>443</v>
      </c>
      <c r="K602" s="231" t="s">
        <v>2172</v>
      </c>
    </row>
    <row r="603" spans="1:11" s="226" customFormat="1" ht="9.6" customHeight="1" x14ac:dyDescent="0.2">
      <c r="A603" s="229" t="str">
        <f>T_P_BilanSocial[[#This Row],[Nom]]&amp;T_P_BilanSocial[[#This Row],[Prenom]]</f>
        <v>PEYSIEUXNATHALIE</v>
      </c>
      <c r="B603" s="228" t="s">
        <v>2031</v>
      </c>
      <c r="C603" s="229" t="s">
        <v>822</v>
      </c>
      <c r="D603" s="229" t="s">
        <v>1434</v>
      </c>
      <c r="E603" s="229" t="s">
        <v>1184</v>
      </c>
      <c r="F603" s="230" t="s">
        <v>45</v>
      </c>
      <c r="G603" s="229" t="s">
        <v>1178</v>
      </c>
      <c r="H603" s="229" t="s">
        <v>1204</v>
      </c>
      <c r="I603" s="229" t="s">
        <v>1180</v>
      </c>
      <c r="J603" s="229" t="s">
        <v>340</v>
      </c>
      <c r="K603" s="231" t="s">
        <v>341</v>
      </c>
    </row>
    <row r="604" spans="1:11" s="226" customFormat="1" ht="9.6" customHeight="1" x14ac:dyDescent="0.2">
      <c r="A604" s="229" t="str">
        <f>T_P_BilanSocial[[#This Row],[Nom]]&amp;T_P_BilanSocial[[#This Row],[Prenom]]</f>
        <v>PHILIBERTDENIS</v>
      </c>
      <c r="B604" s="228" t="s">
        <v>1449</v>
      </c>
      <c r="C604" s="229" t="s">
        <v>1450</v>
      </c>
      <c r="D604" s="229" t="s">
        <v>1451</v>
      </c>
      <c r="E604" s="229" t="s">
        <v>1177</v>
      </c>
      <c r="F604" s="230" t="s">
        <v>45</v>
      </c>
      <c r="G604" s="229" t="s">
        <v>1178</v>
      </c>
      <c r="H604" s="229" t="s">
        <v>1435</v>
      </c>
      <c r="I604" s="229" t="s">
        <v>1180</v>
      </c>
      <c r="J604" s="229" t="s">
        <v>398</v>
      </c>
      <c r="K604" s="231" t="s">
        <v>1298</v>
      </c>
    </row>
    <row r="605" spans="1:11" s="226" customFormat="1" ht="9.6" customHeight="1" x14ac:dyDescent="0.2">
      <c r="A605" s="229" t="str">
        <f>T_P_BilanSocial[[#This Row],[Nom]]&amp;T_P_BilanSocial[[#This Row],[Prenom]]</f>
        <v>PIASERLUCILE</v>
      </c>
      <c r="B605" s="228" t="s">
        <v>1441</v>
      </c>
      <c r="C605" s="229" t="s">
        <v>1442</v>
      </c>
      <c r="D605" s="229" t="s">
        <v>1443</v>
      </c>
      <c r="E605" s="229" t="s">
        <v>1184</v>
      </c>
      <c r="F605" s="230" t="s">
        <v>445</v>
      </c>
      <c r="G605" s="229" t="s">
        <v>1178</v>
      </c>
      <c r="H605" s="229" t="s">
        <v>1435</v>
      </c>
      <c r="I605" s="229" t="s">
        <v>1180</v>
      </c>
      <c r="J605" s="229" t="s">
        <v>477</v>
      </c>
      <c r="K605" s="231" t="s">
        <v>1444</v>
      </c>
    </row>
    <row r="606" spans="1:11" s="226" customFormat="1" ht="9.6" customHeight="1" x14ac:dyDescent="0.2">
      <c r="A606" s="229" t="str">
        <f>T_P_BilanSocial[[#This Row],[Nom]]&amp;T_P_BilanSocial[[#This Row],[Prenom]]</f>
        <v>PICARDROMANE</v>
      </c>
      <c r="B606" s="228" t="s">
        <v>2763</v>
      </c>
      <c r="C606" s="229" t="s">
        <v>2764</v>
      </c>
      <c r="D606" s="229" t="s">
        <v>2765</v>
      </c>
      <c r="E606" s="229" t="s">
        <v>1184</v>
      </c>
      <c r="F606" s="230" t="s">
        <v>308</v>
      </c>
      <c r="G606" s="229" t="s">
        <v>1476</v>
      </c>
      <c r="H606" s="229" t="s">
        <v>1794</v>
      </c>
      <c r="I606" s="229" t="s">
        <v>1180</v>
      </c>
      <c r="J606" s="229" t="s">
        <v>420</v>
      </c>
      <c r="K606" s="231" t="s">
        <v>421</v>
      </c>
    </row>
    <row r="607" spans="1:11" s="226" customFormat="1" ht="9.6" customHeight="1" x14ac:dyDescent="0.2">
      <c r="A607" s="229" t="str">
        <f>T_P_BilanSocial[[#This Row],[Nom]]&amp;T_P_BilanSocial[[#This Row],[Prenom]]</f>
        <v>PICHONLAURE-ANNE</v>
      </c>
      <c r="B607" s="228" t="s">
        <v>1324</v>
      </c>
      <c r="C607" s="229" t="s">
        <v>513</v>
      </c>
      <c r="D607" s="229" t="s">
        <v>1325</v>
      </c>
      <c r="E607" s="229" t="s">
        <v>1184</v>
      </c>
      <c r="F607" s="230" t="s">
        <v>308</v>
      </c>
      <c r="G607" s="229" t="s">
        <v>1178</v>
      </c>
      <c r="H607" s="229" t="s">
        <v>1204</v>
      </c>
      <c r="I607" s="229" t="s">
        <v>1180</v>
      </c>
      <c r="J607" s="229" t="s">
        <v>340</v>
      </c>
      <c r="K607" s="231" t="s">
        <v>341</v>
      </c>
    </row>
    <row r="608" spans="1:11" s="226" customFormat="1" ht="9.6" customHeight="1" x14ac:dyDescent="0.2">
      <c r="A608" s="229" t="str">
        <f>T_P_BilanSocial[[#This Row],[Nom]]&amp;T_P_BilanSocial[[#This Row],[Prenom]]</f>
        <v>PICODSYLVIE</v>
      </c>
      <c r="B608" s="228" t="s">
        <v>1304</v>
      </c>
      <c r="C608" s="229" t="s">
        <v>429</v>
      </c>
      <c r="D608" s="229" t="s">
        <v>1305</v>
      </c>
      <c r="E608" s="229" t="s">
        <v>1184</v>
      </c>
      <c r="F608" s="230" t="s">
        <v>308</v>
      </c>
      <c r="G608" s="229" t="s">
        <v>1178</v>
      </c>
      <c r="H608" s="229" t="s">
        <v>1204</v>
      </c>
      <c r="I608" s="229" t="s">
        <v>1180</v>
      </c>
      <c r="J608" s="229" t="s">
        <v>665</v>
      </c>
      <c r="K608" s="231" t="s">
        <v>1306</v>
      </c>
    </row>
    <row r="609" spans="1:11" s="226" customFormat="1" ht="9.6" customHeight="1" x14ac:dyDescent="0.2">
      <c r="A609" s="229" t="str">
        <f>T_P_BilanSocial[[#This Row],[Nom]]&amp;T_P_BilanSocial[[#This Row],[Prenom]]</f>
        <v>PIEGAYGAETAN</v>
      </c>
      <c r="B609" s="228" t="s">
        <v>2525</v>
      </c>
      <c r="C609" s="229" t="s">
        <v>365</v>
      </c>
      <c r="D609" s="229" t="s">
        <v>2526</v>
      </c>
      <c r="E609" s="229" t="s">
        <v>1177</v>
      </c>
      <c r="F609" s="230" t="s">
        <v>308</v>
      </c>
      <c r="G609" s="229" t="s">
        <v>1178</v>
      </c>
      <c r="H609" s="229" t="s">
        <v>1204</v>
      </c>
      <c r="I609" s="229" t="s">
        <v>1180</v>
      </c>
      <c r="J609" s="229" t="s">
        <v>420</v>
      </c>
      <c r="K609" s="231" t="s">
        <v>421</v>
      </c>
    </row>
    <row r="610" spans="1:11" s="226" customFormat="1" ht="9.6" customHeight="1" x14ac:dyDescent="0.2">
      <c r="A610" s="229" t="str">
        <f>T_P_BilanSocial[[#This Row],[Nom]]&amp;T_P_BilanSocial[[#This Row],[Prenom]]</f>
        <v>PIERRATCÉCILE</v>
      </c>
      <c r="B610" s="228" t="s">
        <v>2487</v>
      </c>
      <c r="C610" s="229" t="s">
        <v>1017</v>
      </c>
      <c r="D610" s="229" t="s">
        <v>1685</v>
      </c>
      <c r="E610" s="229" t="s">
        <v>1184</v>
      </c>
      <c r="F610" s="230" t="s">
        <v>45</v>
      </c>
      <c r="G610" s="229" t="s">
        <v>1178</v>
      </c>
      <c r="H610" s="229" t="s">
        <v>1204</v>
      </c>
      <c r="I610" s="229" t="s">
        <v>1180</v>
      </c>
      <c r="J610" s="229" t="s">
        <v>498</v>
      </c>
      <c r="K610" s="231" t="s">
        <v>499</v>
      </c>
    </row>
    <row r="611" spans="1:11" s="226" customFormat="1" ht="9.6" customHeight="1" x14ac:dyDescent="0.2">
      <c r="A611" s="229" t="str">
        <f>T_P_BilanSocial[[#This Row],[Nom]]&amp;T_P_BilanSocial[[#This Row],[Prenom]]</f>
        <v>PIQUANDMARIE-CHRISTINE</v>
      </c>
      <c r="B611" s="228" t="s">
        <v>1232</v>
      </c>
      <c r="C611" s="229" t="s">
        <v>1233</v>
      </c>
      <c r="D611" s="229" t="s">
        <v>1234</v>
      </c>
      <c r="E611" s="229" t="s">
        <v>1184</v>
      </c>
      <c r="F611" s="230" t="s">
        <v>45</v>
      </c>
      <c r="G611" s="229" t="s">
        <v>1178</v>
      </c>
      <c r="H611" s="229" t="s">
        <v>1179</v>
      </c>
      <c r="I611" s="229" t="s">
        <v>1180</v>
      </c>
      <c r="J611" s="229" t="s">
        <v>376</v>
      </c>
      <c r="K611" s="231" t="s">
        <v>341</v>
      </c>
    </row>
    <row r="612" spans="1:11" s="226" customFormat="1" ht="9.6" customHeight="1" x14ac:dyDescent="0.2">
      <c r="A612" s="229" t="str">
        <f>T_P_BilanSocial[[#This Row],[Nom]]&amp;T_P_BilanSocial[[#This Row],[Prenom]]</f>
        <v>PIRIOUELODIE</v>
      </c>
      <c r="B612" s="228" t="s">
        <v>2666</v>
      </c>
      <c r="C612" s="229" t="s">
        <v>2667</v>
      </c>
      <c r="D612" s="229" t="s">
        <v>1968</v>
      </c>
      <c r="E612" s="229" t="s">
        <v>1184</v>
      </c>
      <c r="F612" s="230" t="s">
        <v>45</v>
      </c>
      <c r="G612" s="229" t="s">
        <v>1476</v>
      </c>
      <c r="H612" s="229" t="s">
        <v>1794</v>
      </c>
      <c r="I612" s="229" t="s">
        <v>1180</v>
      </c>
      <c r="J612" s="229" t="s">
        <v>398</v>
      </c>
      <c r="K612" s="231" t="s">
        <v>1298</v>
      </c>
    </row>
    <row r="613" spans="1:11" s="226" customFormat="1" ht="9.6" customHeight="1" x14ac:dyDescent="0.2">
      <c r="A613" s="229" t="str">
        <f>T_P_BilanSocial[[#This Row],[Nom]]&amp;T_P_BilanSocial[[#This Row],[Prenom]]</f>
        <v>PISTONPATRICIA</v>
      </c>
      <c r="B613" s="228" t="s">
        <v>1535</v>
      </c>
      <c r="C613" s="229" t="s">
        <v>516</v>
      </c>
      <c r="D613" s="229" t="s">
        <v>1536</v>
      </c>
      <c r="E613" s="229" t="s">
        <v>1184</v>
      </c>
      <c r="F613" s="230" t="s">
        <v>308</v>
      </c>
      <c r="G613" s="229" t="s">
        <v>1178</v>
      </c>
      <c r="H613" s="229" t="s">
        <v>1204</v>
      </c>
      <c r="I613" s="229" t="s">
        <v>1180</v>
      </c>
      <c r="J613" s="229" t="s">
        <v>376</v>
      </c>
      <c r="K613" s="231" t="s">
        <v>341</v>
      </c>
    </row>
    <row r="614" spans="1:11" s="226" customFormat="1" ht="9.6" customHeight="1" x14ac:dyDescent="0.2">
      <c r="A614" s="229" t="str">
        <f>T_P_BilanSocial[[#This Row],[Nom]]&amp;T_P_BilanSocial[[#This Row],[Prenom]]</f>
        <v>PLASSONANNE</v>
      </c>
      <c r="B614" s="228" t="s">
        <v>2959</v>
      </c>
      <c r="C614" s="229" t="s">
        <v>2960</v>
      </c>
      <c r="D614" s="229" t="s">
        <v>1257</v>
      </c>
      <c r="E614" s="229" t="s">
        <v>1184</v>
      </c>
      <c r="F614" s="230" t="s">
        <v>308</v>
      </c>
      <c r="G614" s="229" t="s">
        <v>1178</v>
      </c>
      <c r="H614" s="229" t="s">
        <v>1204</v>
      </c>
      <c r="I614" s="229" t="s">
        <v>1180</v>
      </c>
      <c r="J614" s="229" t="s">
        <v>930</v>
      </c>
      <c r="K614" s="231" t="s">
        <v>2613</v>
      </c>
    </row>
    <row r="615" spans="1:11" s="226" customFormat="1" ht="9.6" customHeight="1" x14ac:dyDescent="0.2">
      <c r="A615" s="229" t="str">
        <f>T_P_BilanSocial[[#This Row],[Nom]]&amp;T_P_BilanSocial[[#This Row],[Prenom]]</f>
        <v>POIGNETDOMINIQUE</v>
      </c>
      <c r="B615" s="228" t="s">
        <v>1874</v>
      </c>
      <c r="C615" s="229" t="s">
        <v>1875</v>
      </c>
      <c r="D615" s="229" t="s">
        <v>1221</v>
      </c>
      <c r="E615" s="229" t="s">
        <v>1184</v>
      </c>
      <c r="F615" s="230" t="s">
        <v>445</v>
      </c>
      <c r="G615" s="229" t="s">
        <v>1178</v>
      </c>
      <c r="H615" s="229" t="s">
        <v>1179</v>
      </c>
      <c r="I615" s="229" t="s">
        <v>1180</v>
      </c>
      <c r="J615" s="229" t="s">
        <v>353</v>
      </c>
      <c r="K615" s="231" t="s">
        <v>354</v>
      </c>
    </row>
    <row r="616" spans="1:11" s="226" customFormat="1" ht="9.6" customHeight="1" x14ac:dyDescent="0.2">
      <c r="A616" s="229" t="str">
        <f>T_P_BilanSocial[[#This Row],[Nom]]&amp;T_P_BilanSocial[[#This Row],[Prenom]]</f>
        <v>POISSONYVES</v>
      </c>
      <c r="B616" s="228" t="s">
        <v>1403</v>
      </c>
      <c r="C616" s="229" t="s">
        <v>1404</v>
      </c>
      <c r="D616" s="229" t="s">
        <v>1405</v>
      </c>
      <c r="E616" s="229" t="s">
        <v>1177</v>
      </c>
      <c r="F616" s="230" t="s">
        <v>45</v>
      </c>
      <c r="G616" s="229" t="s">
        <v>1178</v>
      </c>
      <c r="H616" s="229" t="s">
        <v>1204</v>
      </c>
      <c r="I616" s="229" t="s">
        <v>1180</v>
      </c>
      <c r="J616" s="229" t="s">
        <v>340</v>
      </c>
      <c r="K616" s="231" t="s">
        <v>341</v>
      </c>
    </row>
    <row r="617" spans="1:11" s="226" customFormat="1" ht="9.6" customHeight="1" x14ac:dyDescent="0.2">
      <c r="A617" s="229" t="str">
        <f>T_P_BilanSocial[[#This Row],[Nom]]&amp;T_P_BilanSocial[[#This Row],[Prenom]]</f>
        <v>POIZATPIERRE</v>
      </c>
      <c r="B617" s="228" t="s">
        <v>1936</v>
      </c>
      <c r="C617" s="229" t="s">
        <v>1937</v>
      </c>
      <c r="D617" s="229" t="s">
        <v>1297</v>
      </c>
      <c r="E617" s="229" t="s">
        <v>1177</v>
      </c>
      <c r="F617" s="230" t="s">
        <v>308</v>
      </c>
      <c r="G617" s="229" t="s">
        <v>1476</v>
      </c>
      <c r="H617" s="229" t="s">
        <v>1477</v>
      </c>
      <c r="I617" s="229" t="s">
        <v>1180</v>
      </c>
      <c r="J617" s="229" t="s">
        <v>843</v>
      </c>
      <c r="K617" s="231" t="s">
        <v>1735</v>
      </c>
    </row>
    <row r="618" spans="1:11" s="226" customFormat="1" ht="9.6" customHeight="1" x14ac:dyDescent="0.2">
      <c r="A618" s="229" t="str">
        <f>T_P_BilanSocial[[#This Row],[Nom]]&amp;T_P_BilanSocial[[#This Row],[Prenom]]</f>
        <v>POMMERUELSébastien</v>
      </c>
      <c r="B618" s="228" t="s">
        <v>2562</v>
      </c>
      <c r="C618" s="229" t="s">
        <v>746</v>
      </c>
      <c r="D618" s="233" t="s">
        <v>747</v>
      </c>
      <c r="E618" s="229" t="s">
        <v>1177</v>
      </c>
      <c r="F618" s="230" t="s">
        <v>45</v>
      </c>
      <c r="G618" s="229" t="s">
        <v>1476</v>
      </c>
      <c r="H618" s="229" t="s">
        <v>1794</v>
      </c>
      <c r="I618" s="229" t="s">
        <v>1180</v>
      </c>
      <c r="J618" s="229" t="s">
        <v>420</v>
      </c>
      <c r="K618" s="231" t="s">
        <v>421</v>
      </c>
    </row>
    <row r="619" spans="1:11" s="226" customFormat="1" ht="9.6" customHeight="1" x14ac:dyDescent="0.2">
      <c r="A619" s="229" t="str">
        <f>T_P_BilanSocial[[#This Row],[Nom]]&amp;T_P_BilanSocial[[#This Row],[Prenom]]</f>
        <v>PONCETSTÉPHANIE</v>
      </c>
      <c r="B619" s="228" t="s">
        <v>1260</v>
      </c>
      <c r="C619" s="229" t="s">
        <v>496</v>
      </c>
      <c r="D619" s="229" t="s">
        <v>1261</v>
      </c>
      <c r="E619" s="229" t="s">
        <v>1184</v>
      </c>
      <c r="F619" s="230" t="s">
        <v>308</v>
      </c>
      <c r="G619" s="229" t="s">
        <v>1178</v>
      </c>
      <c r="H619" s="229" t="s">
        <v>1204</v>
      </c>
      <c r="I619" s="229" t="s">
        <v>1180</v>
      </c>
      <c r="J619" s="229" t="s">
        <v>340</v>
      </c>
      <c r="K619" s="231" t="s">
        <v>341</v>
      </c>
    </row>
    <row r="620" spans="1:11" s="226" customFormat="1" ht="9.6" customHeight="1" x14ac:dyDescent="0.2">
      <c r="A620" s="229" t="str">
        <f>T_P_BilanSocial[[#This Row],[Nom]]&amp;T_P_BilanSocial[[#This Row],[Prenom]]</f>
        <v>PONCETADELE</v>
      </c>
      <c r="B620" s="228" t="s">
        <v>2063</v>
      </c>
      <c r="C620" s="229" t="s">
        <v>496</v>
      </c>
      <c r="D620" s="229" t="s">
        <v>2064</v>
      </c>
      <c r="E620" s="229" t="s">
        <v>1184</v>
      </c>
      <c r="F620" s="230" t="s">
        <v>445</v>
      </c>
      <c r="G620" s="229" t="s">
        <v>1476</v>
      </c>
      <c r="H620" s="229" t="s">
        <v>1477</v>
      </c>
      <c r="I620" s="229" t="s">
        <v>1180</v>
      </c>
      <c r="J620" s="229" t="s">
        <v>376</v>
      </c>
      <c r="K620" s="231" t="s">
        <v>341</v>
      </c>
    </row>
    <row r="621" spans="1:11" s="226" customFormat="1" ht="9.6" customHeight="1" x14ac:dyDescent="0.2">
      <c r="A621" s="229" t="str">
        <f>T_P_BilanSocial[[#This Row],[Nom]]&amp;T_P_BilanSocial[[#This Row],[Prenom]]</f>
        <v>PONSERIC</v>
      </c>
      <c r="B621" s="228" t="s">
        <v>1983</v>
      </c>
      <c r="C621" s="229" t="s">
        <v>1007</v>
      </c>
      <c r="D621" s="229" t="s">
        <v>1313</v>
      </c>
      <c r="E621" s="229" t="s">
        <v>1177</v>
      </c>
      <c r="F621" s="230" t="s">
        <v>308</v>
      </c>
      <c r="G621" s="229" t="s">
        <v>1178</v>
      </c>
      <c r="H621" s="229" t="s">
        <v>1179</v>
      </c>
      <c r="I621" s="229" t="s">
        <v>1180</v>
      </c>
      <c r="J621" s="229" t="s">
        <v>353</v>
      </c>
      <c r="K621" s="231" t="s">
        <v>354</v>
      </c>
    </row>
    <row r="622" spans="1:11" s="226" customFormat="1" ht="9.6" customHeight="1" x14ac:dyDescent="0.2">
      <c r="A622" s="229" t="str">
        <f>T_P_BilanSocial[[#This Row],[Nom]]&amp;T_P_BilanSocial[[#This Row],[Prenom]]</f>
        <v>PONSOTCHRISTEL</v>
      </c>
      <c r="B622" s="228" t="s">
        <v>1781</v>
      </c>
      <c r="C622" s="229" t="s">
        <v>681</v>
      </c>
      <c r="D622" s="229" t="s">
        <v>1782</v>
      </c>
      <c r="E622" s="229" t="s">
        <v>1184</v>
      </c>
      <c r="F622" s="230" t="s">
        <v>308</v>
      </c>
      <c r="G622" s="229" t="s">
        <v>1178</v>
      </c>
      <c r="H622" s="229" t="s">
        <v>1179</v>
      </c>
      <c r="I622" s="229" t="s">
        <v>1180</v>
      </c>
      <c r="J622" s="229" t="s">
        <v>790</v>
      </c>
      <c r="K622" s="231" t="s">
        <v>1205</v>
      </c>
    </row>
    <row r="623" spans="1:11" s="226" customFormat="1" ht="9.6" customHeight="1" x14ac:dyDescent="0.2">
      <c r="A623" s="229" t="str">
        <f>T_P_BilanSocial[[#This Row],[Nom]]&amp;T_P_BilanSocial[[#This Row],[Prenom]]</f>
        <v>PONTIEUXALINE</v>
      </c>
      <c r="B623" s="228" t="s">
        <v>2583</v>
      </c>
      <c r="C623" s="229" t="s">
        <v>2584</v>
      </c>
      <c r="D623" s="229" t="s">
        <v>1704</v>
      </c>
      <c r="E623" s="229" t="s">
        <v>1184</v>
      </c>
      <c r="F623" s="230" t="s">
        <v>45</v>
      </c>
      <c r="G623" s="229" t="s">
        <v>1476</v>
      </c>
      <c r="H623" s="229" t="s">
        <v>1794</v>
      </c>
      <c r="I623" s="229" t="s">
        <v>1180</v>
      </c>
      <c r="J623" s="229" t="s">
        <v>340</v>
      </c>
      <c r="K623" s="231" t="s">
        <v>341</v>
      </c>
    </row>
    <row r="624" spans="1:11" s="226" customFormat="1" ht="9.6" customHeight="1" x14ac:dyDescent="0.2">
      <c r="A624" s="229" t="str">
        <f>T_P_BilanSocial[[#This Row],[Nom]]&amp;T_P_BilanSocial[[#This Row],[Prenom]]</f>
        <v>PORRETTAVÉRONIQUE</v>
      </c>
      <c r="B624" s="228" t="s">
        <v>1235</v>
      </c>
      <c r="C624" s="229" t="s">
        <v>1236</v>
      </c>
      <c r="D624" s="229" t="s">
        <v>1237</v>
      </c>
      <c r="E624" s="229" t="s">
        <v>1184</v>
      </c>
      <c r="F624" s="230" t="s">
        <v>45</v>
      </c>
      <c r="G624" s="229" t="s">
        <v>1178</v>
      </c>
      <c r="H624" s="229" t="s">
        <v>1179</v>
      </c>
      <c r="I624" s="229" t="s">
        <v>1180</v>
      </c>
      <c r="J624" s="229" t="s">
        <v>481</v>
      </c>
      <c r="K624" s="231" t="s">
        <v>341</v>
      </c>
    </row>
    <row r="625" spans="1:11" s="226" customFormat="1" ht="9.6" customHeight="1" x14ac:dyDescent="0.2">
      <c r="A625" s="229" t="str">
        <f>T_P_BilanSocial[[#This Row],[Nom]]&amp;T_P_BilanSocial[[#This Row],[Prenom]]</f>
        <v>POULETANNELISE</v>
      </c>
      <c r="B625" s="228" t="s">
        <v>1333</v>
      </c>
      <c r="C625" s="229" t="s">
        <v>1334</v>
      </c>
      <c r="D625" s="229" t="s">
        <v>1335</v>
      </c>
      <c r="E625" s="229" t="s">
        <v>1184</v>
      </c>
      <c r="F625" s="230" t="s">
        <v>445</v>
      </c>
      <c r="G625" s="229" t="s">
        <v>1178</v>
      </c>
      <c r="H625" s="229" t="s">
        <v>1204</v>
      </c>
      <c r="I625" s="229" t="s">
        <v>1180</v>
      </c>
      <c r="J625" s="229" t="s">
        <v>398</v>
      </c>
      <c r="K625" s="231" t="s">
        <v>895</v>
      </c>
    </row>
    <row r="626" spans="1:11" s="226" customFormat="1" ht="9.6" customHeight="1" x14ac:dyDescent="0.2">
      <c r="A626" s="229" t="str">
        <f>T_P_BilanSocial[[#This Row],[Nom]]&amp;T_P_BilanSocial[[#This Row],[Prenom]]</f>
        <v>POYETNATHALIE</v>
      </c>
      <c r="B626" s="228" t="s">
        <v>2146</v>
      </c>
      <c r="C626" s="229" t="s">
        <v>331</v>
      </c>
      <c r="D626" s="229" t="s">
        <v>1434</v>
      </c>
      <c r="E626" s="229" t="s">
        <v>1184</v>
      </c>
      <c r="F626" s="230" t="s">
        <v>45</v>
      </c>
      <c r="G626" s="229" t="s">
        <v>1178</v>
      </c>
      <c r="H626" s="229" t="s">
        <v>1179</v>
      </c>
      <c r="I626" s="229" t="s">
        <v>1180</v>
      </c>
      <c r="J626" s="229" t="s">
        <v>340</v>
      </c>
      <c r="K626" s="231" t="s">
        <v>341</v>
      </c>
    </row>
    <row r="627" spans="1:11" s="226" customFormat="1" ht="9.6" customHeight="1" x14ac:dyDescent="0.2">
      <c r="A627" s="229" t="str">
        <f>T_P_BilanSocial[[#This Row],[Nom]]&amp;T_P_BilanSocial[[#This Row],[Prenom]]</f>
        <v>POZETLUCIEN</v>
      </c>
      <c r="B627" s="228" t="s">
        <v>1762</v>
      </c>
      <c r="C627" s="229" t="s">
        <v>1763</v>
      </c>
      <c r="D627" s="229" t="s">
        <v>1764</v>
      </c>
      <c r="E627" s="229" t="s">
        <v>1177</v>
      </c>
      <c r="F627" s="230" t="s">
        <v>45</v>
      </c>
      <c r="G627" s="229" t="s">
        <v>1178</v>
      </c>
      <c r="H627" s="229" t="s">
        <v>1204</v>
      </c>
      <c r="I627" s="229" t="s">
        <v>1180</v>
      </c>
      <c r="J627" s="229" t="s">
        <v>411</v>
      </c>
      <c r="K627" s="231" t="s">
        <v>341</v>
      </c>
    </row>
    <row r="628" spans="1:11" s="226" customFormat="1" ht="9.6" customHeight="1" x14ac:dyDescent="0.2">
      <c r="A628" s="229" t="str">
        <f>T_P_BilanSocial[[#This Row],[Nom]]&amp;T_P_BilanSocial[[#This Row],[Prenom]]</f>
        <v>PRAVAZARIANE</v>
      </c>
      <c r="B628" s="228" t="s">
        <v>2736</v>
      </c>
      <c r="C628" s="229" t="s">
        <v>2737</v>
      </c>
      <c r="D628" s="229" t="s">
        <v>2738</v>
      </c>
      <c r="E628" s="229" t="s">
        <v>1184</v>
      </c>
      <c r="F628" s="230" t="s">
        <v>45</v>
      </c>
      <c r="G628" s="229" t="s">
        <v>1476</v>
      </c>
      <c r="H628" s="229" t="s">
        <v>1794</v>
      </c>
      <c r="I628" s="229" t="s">
        <v>1180</v>
      </c>
      <c r="J628" s="229" t="s">
        <v>340</v>
      </c>
      <c r="K628" s="231" t="s">
        <v>341</v>
      </c>
    </row>
    <row r="629" spans="1:11" s="226" customFormat="1" ht="9.6" customHeight="1" x14ac:dyDescent="0.2">
      <c r="A629" s="229" t="str">
        <f>T_P_BilanSocial[[#This Row],[Nom]]&amp;T_P_BilanSocial[[#This Row],[Prenom]]</f>
        <v>PRAZBRIGITTE</v>
      </c>
      <c r="B629" s="228" t="s">
        <v>1356</v>
      </c>
      <c r="C629" s="229" t="s">
        <v>495</v>
      </c>
      <c r="D629" s="229" t="s">
        <v>1188</v>
      </c>
      <c r="E629" s="229" t="s">
        <v>1184</v>
      </c>
      <c r="F629" s="230" t="s">
        <v>445</v>
      </c>
      <c r="G629" s="229" t="s">
        <v>1178</v>
      </c>
      <c r="H629" s="229" t="s">
        <v>1204</v>
      </c>
      <c r="I629" s="229" t="s">
        <v>1180</v>
      </c>
      <c r="J629" s="229" t="s">
        <v>498</v>
      </c>
      <c r="K629" s="231" t="s">
        <v>499</v>
      </c>
    </row>
    <row r="630" spans="1:11" s="226" customFormat="1" ht="9.6" customHeight="1" x14ac:dyDescent="0.2">
      <c r="A630" s="229" t="str">
        <f>T_P_BilanSocial[[#This Row],[Nom]]&amp;T_P_BilanSocial[[#This Row],[Prenom]]</f>
        <v>PROBINCORENTIN</v>
      </c>
      <c r="B630" s="228" t="s">
        <v>2727</v>
      </c>
      <c r="C630" s="229" t="s">
        <v>2728</v>
      </c>
      <c r="D630" s="229" t="s">
        <v>2729</v>
      </c>
      <c r="E630" s="229" t="s">
        <v>1177</v>
      </c>
      <c r="F630" s="230" t="s">
        <v>45</v>
      </c>
      <c r="G630" s="229" t="s">
        <v>1476</v>
      </c>
      <c r="H630" s="229" t="s">
        <v>1794</v>
      </c>
      <c r="I630" s="229" t="s">
        <v>1180</v>
      </c>
      <c r="J630" s="229" t="s">
        <v>353</v>
      </c>
      <c r="K630" s="231" t="s">
        <v>354</v>
      </c>
    </row>
    <row r="631" spans="1:11" s="226" customFormat="1" ht="9.6" customHeight="1" x14ac:dyDescent="0.2">
      <c r="A631" s="229" t="str">
        <f>T_P_BilanSocial[[#This Row],[Nom]]&amp;T_P_BilanSocial[[#This Row],[Prenom]]</f>
        <v>PROSTPATRICE</v>
      </c>
      <c r="B631" s="228" t="s">
        <v>2216</v>
      </c>
      <c r="C631" s="229" t="s">
        <v>2217</v>
      </c>
      <c r="D631" s="229" t="s">
        <v>1692</v>
      </c>
      <c r="E631" s="229" t="s">
        <v>1177</v>
      </c>
      <c r="F631" s="230" t="s">
        <v>445</v>
      </c>
      <c r="G631" s="229" t="s">
        <v>1178</v>
      </c>
      <c r="H631" s="229" t="s">
        <v>1204</v>
      </c>
      <c r="I631" s="229" t="s">
        <v>1180</v>
      </c>
      <c r="J631" s="229" t="s">
        <v>376</v>
      </c>
      <c r="K631" s="231" t="s">
        <v>341</v>
      </c>
    </row>
    <row r="632" spans="1:11" s="226" customFormat="1" ht="9.6" customHeight="1" x14ac:dyDescent="0.2">
      <c r="A632" s="229" t="str">
        <f>T_P_BilanSocial[[#This Row],[Nom]]&amp;T_P_BilanSocial[[#This Row],[Prenom]]</f>
        <v>PRUVOTGAETAN</v>
      </c>
      <c r="B632" s="228" t="s">
        <v>2756</v>
      </c>
      <c r="C632" s="229" t="s">
        <v>2757</v>
      </c>
      <c r="D632" s="229" t="s">
        <v>2526</v>
      </c>
      <c r="E632" s="229" t="s">
        <v>1177</v>
      </c>
      <c r="F632" s="230" t="s">
        <v>45</v>
      </c>
      <c r="G632" s="229" t="s">
        <v>1476</v>
      </c>
      <c r="H632" s="229" t="s">
        <v>1794</v>
      </c>
      <c r="I632" s="229" t="s">
        <v>1180</v>
      </c>
      <c r="J632" s="229" t="s">
        <v>353</v>
      </c>
      <c r="K632" s="231" t="s">
        <v>354</v>
      </c>
    </row>
    <row r="633" spans="1:11" s="226" customFormat="1" ht="9.6" customHeight="1" x14ac:dyDescent="0.2">
      <c r="A633" s="229" t="str">
        <f>T_P_BilanSocial[[#This Row],[Nom]]&amp;T_P_BilanSocial[[#This Row],[Prenom]]</f>
        <v>RAJONDANY</v>
      </c>
      <c r="B633" s="228" t="s">
        <v>2074</v>
      </c>
      <c r="C633" s="229" t="s">
        <v>1061</v>
      </c>
      <c r="D633" s="229" t="s">
        <v>2075</v>
      </c>
      <c r="E633" s="229" t="s">
        <v>1177</v>
      </c>
      <c r="F633" s="230" t="s">
        <v>445</v>
      </c>
      <c r="G633" s="229" t="s">
        <v>1476</v>
      </c>
      <c r="H633" s="229" t="s">
        <v>1477</v>
      </c>
      <c r="I633" s="229" t="s">
        <v>1180</v>
      </c>
      <c r="J633" s="229" t="s">
        <v>376</v>
      </c>
      <c r="K633" s="231" t="s">
        <v>341</v>
      </c>
    </row>
    <row r="634" spans="1:11" s="226" customFormat="1" ht="9.6" customHeight="1" x14ac:dyDescent="0.2">
      <c r="A634" s="229" t="str">
        <f>T_P_BilanSocial[[#This Row],[Nom]]&amp;T_P_BilanSocial[[#This Row],[Prenom]]</f>
        <v>RAMIANDRISOANALISOA</v>
      </c>
      <c r="B634" s="228" t="s">
        <v>2134</v>
      </c>
      <c r="C634" s="229" t="s">
        <v>977</v>
      </c>
      <c r="D634" s="229" t="s">
        <v>2135</v>
      </c>
      <c r="E634" s="229" t="s">
        <v>1184</v>
      </c>
      <c r="F634" s="230" t="s">
        <v>308</v>
      </c>
      <c r="G634" s="229" t="s">
        <v>1178</v>
      </c>
      <c r="H634" s="229" t="s">
        <v>1179</v>
      </c>
      <c r="I634" s="229" t="s">
        <v>1180</v>
      </c>
      <c r="J634" s="233" t="s">
        <v>376</v>
      </c>
      <c r="K634" s="231" t="s">
        <v>341</v>
      </c>
    </row>
    <row r="635" spans="1:11" s="226" customFormat="1" ht="9.6" customHeight="1" x14ac:dyDescent="0.2">
      <c r="A635" s="229" t="str">
        <f>T_P_BilanSocial[[#This Row],[Nom]]&amp;T_P_BilanSocial[[#This Row],[Prenom]]</f>
        <v>RANDY-GAVANTANDRÉE</v>
      </c>
      <c r="B635" s="228" t="s">
        <v>1418</v>
      </c>
      <c r="C635" s="229" t="s">
        <v>1419</v>
      </c>
      <c r="D635" s="229" t="s">
        <v>1420</v>
      </c>
      <c r="E635" s="229" t="s">
        <v>1184</v>
      </c>
      <c r="F635" s="230" t="s">
        <v>445</v>
      </c>
      <c r="G635" s="229" t="s">
        <v>1178</v>
      </c>
      <c r="H635" s="229" t="s">
        <v>1204</v>
      </c>
      <c r="I635" s="229" t="s">
        <v>1180</v>
      </c>
      <c r="J635" s="229" t="s">
        <v>340</v>
      </c>
      <c r="K635" s="231" t="s">
        <v>341</v>
      </c>
    </row>
    <row r="636" spans="1:11" s="226" customFormat="1" ht="9.6" customHeight="1" x14ac:dyDescent="0.2">
      <c r="A636" s="229" t="str">
        <f>T_P_BilanSocial[[#This Row],[Nom]]&amp;T_P_BilanSocial[[#This Row],[Prenom]]</f>
        <v>RAULTDOMINIQUE</v>
      </c>
      <c r="B636" s="228" t="s">
        <v>1262</v>
      </c>
      <c r="C636" s="229" t="s">
        <v>1263</v>
      </c>
      <c r="D636" s="229" t="s">
        <v>1221</v>
      </c>
      <c r="E636" s="229" t="s">
        <v>1184</v>
      </c>
      <c r="F636" s="230" t="s">
        <v>308</v>
      </c>
      <c r="G636" s="229" t="s">
        <v>1178</v>
      </c>
      <c r="H636" s="229" t="s">
        <v>1204</v>
      </c>
      <c r="I636" s="229" t="s">
        <v>1180</v>
      </c>
      <c r="J636" s="229" t="s">
        <v>656</v>
      </c>
      <c r="K636" s="231" t="s">
        <v>1264</v>
      </c>
    </row>
    <row r="637" spans="1:11" s="226" customFormat="1" ht="9.6" customHeight="1" x14ac:dyDescent="0.2">
      <c r="A637" s="229" t="str">
        <f>T_P_BilanSocial[[#This Row],[Nom]]&amp;T_P_BilanSocial[[#This Row],[Prenom]]</f>
        <v>REALAETITIA</v>
      </c>
      <c r="B637" s="228" t="s">
        <v>2186</v>
      </c>
      <c r="C637" s="229" t="s">
        <v>323</v>
      </c>
      <c r="D637" s="229" t="s">
        <v>2042</v>
      </c>
      <c r="E637" s="229" t="s">
        <v>1184</v>
      </c>
      <c r="F637" s="230" t="s">
        <v>45</v>
      </c>
      <c r="G637" s="229" t="s">
        <v>1178</v>
      </c>
      <c r="H637" s="229" t="s">
        <v>1204</v>
      </c>
      <c r="I637" s="229" t="s">
        <v>1180</v>
      </c>
      <c r="J637" s="229" t="s">
        <v>329</v>
      </c>
      <c r="K637" s="231" t="s">
        <v>501</v>
      </c>
    </row>
    <row r="638" spans="1:11" s="226" customFormat="1" ht="9.6" customHeight="1" x14ac:dyDescent="0.2">
      <c r="A638" s="229" t="str">
        <f>T_P_BilanSocial[[#This Row],[Nom]]&amp;T_P_BilanSocial[[#This Row],[Prenom]]</f>
        <v>RECHATINCHARLOTTE</v>
      </c>
      <c r="B638" s="228" t="s">
        <v>2796</v>
      </c>
      <c r="C638" s="229" t="s">
        <v>704</v>
      </c>
      <c r="D638" s="229" t="s">
        <v>2797</v>
      </c>
      <c r="E638" s="229" t="s">
        <v>1184</v>
      </c>
      <c r="F638" s="230" t="s">
        <v>45</v>
      </c>
      <c r="G638" s="229" t="s">
        <v>1178</v>
      </c>
      <c r="H638" s="229" t="s">
        <v>1179</v>
      </c>
      <c r="I638" s="229" t="s">
        <v>1180</v>
      </c>
      <c r="J638" s="229" t="s">
        <v>1378</v>
      </c>
      <c r="K638" s="231" t="s">
        <v>1698</v>
      </c>
    </row>
    <row r="639" spans="1:11" s="226" customFormat="1" ht="9.6" customHeight="1" x14ac:dyDescent="0.2">
      <c r="A639" s="229" t="str">
        <f>T_P_BilanSocial[[#This Row],[Nom]]&amp;T_P_BilanSocial[[#This Row],[Prenom]]</f>
        <v>REMANDEEMMANUELLE</v>
      </c>
      <c r="B639" s="228" t="s">
        <v>2636</v>
      </c>
      <c r="C639" s="229" t="s">
        <v>722</v>
      </c>
      <c r="D639" s="229" t="s">
        <v>1624</v>
      </c>
      <c r="E639" s="229" t="s">
        <v>1184</v>
      </c>
      <c r="F639" s="230" t="s">
        <v>308</v>
      </c>
      <c r="G639" s="229" t="s">
        <v>1476</v>
      </c>
      <c r="H639" s="229" t="s">
        <v>1794</v>
      </c>
      <c r="I639" s="229" t="s">
        <v>1180</v>
      </c>
      <c r="J639" s="229" t="s">
        <v>2637</v>
      </c>
      <c r="K639" s="231" t="s">
        <v>1682</v>
      </c>
    </row>
    <row r="640" spans="1:11" s="226" customFormat="1" ht="9.6" customHeight="1" x14ac:dyDescent="0.2">
      <c r="A640" s="229" t="str">
        <f>T_P_BilanSocial[[#This Row],[Nom]]&amp;T_P_BilanSocial[[#This Row],[Prenom]]</f>
        <v>RENARDHERVÉ</v>
      </c>
      <c r="B640" s="228" t="s">
        <v>2036</v>
      </c>
      <c r="C640" s="229" t="s">
        <v>1143</v>
      </c>
      <c r="D640" s="229" t="s">
        <v>1176</v>
      </c>
      <c r="E640" s="229" t="s">
        <v>1177</v>
      </c>
      <c r="F640" s="230" t="s">
        <v>308</v>
      </c>
      <c r="G640" s="229" t="s">
        <v>1178</v>
      </c>
      <c r="H640" s="229" t="s">
        <v>1435</v>
      </c>
      <c r="I640" s="229" t="s">
        <v>1180</v>
      </c>
      <c r="J640" s="229" t="s">
        <v>353</v>
      </c>
      <c r="K640" s="231" t="s">
        <v>354</v>
      </c>
    </row>
    <row r="641" spans="1:11" s="226" customFormat="1" ht="9.6" customHeight="1" x14ac:dyDescent="0.2">
      <c r="A641" s="229" t="str">
        <f>T_P_BilanSocial[[#This Row],[Nom]]&amp;T_P_BilanSocial[[#This Row],[Prenom]]</f>
        <v>RENOUDCORINNE</v>
      </c>
      <c r="B641" s="228" t="s">
        <v>1238</v>
      </c>
      <c r="C641" s="229" t="s">
        <v>519</v>
      </c>
      <c r="D641" s="229" t="s">
        <v>1239</v>
      </c>
      <c r="E641" s="229" t="s">
        <v>1184</v>
      </c>
      <c r="F641" s="230" t="s">
        <v>445</v>
      </c>
      <c r="G641" s="229" t="s">
        <v>1178</v>
      </c>
      <c r="H641" s="229" t="s">
        <v>1204</v>
      </c>
      <c r="I641" s="229" t="s">
        <v>1180</v>
      </c>
      <c r="J641" s="229" t="s">
        <v>520</v>
      </c>
      <c r="K641" s="231" t="s">
        <v>341</v>
      </c>
    </row>
    <row r="642" spans="1:11" s="226" customFormat="1" ht="9.6" customHeight="1" x14ac:dyDescent="0.2">
      <c r="A642" s="229" t="str">
        <f>T_P_BilanSocial[[#This Row],[Nom]]&amp;T_P_BilanSocial[[#This Row],[Prenom]]</f>
        <v>REROLLELUDOVIC</v>
      </c>
      <c r="B642" s="228" t="s">
        <v>2634</v>
      </c>
      <c r="C642" s="229" t="s">
        <v>2635</v>
      </c>
      <c r="D642" s="229" t="s">
        <v>2012</v>
      </c>
      <c r="E642" s="229" t="s">
        <v>1177</v>
      </c>
      <c r="F642" s="230" t="s">
        <v>308</v>
      </c>
      <c r="G642" s="229" t="s">
        <v>1476</v>
      </c>
      <c r="H642" s="229" t="s">
        <v>1794</v>
      </c>
      <c r="I642" s="229" t="s">
        <v>1180</v>
      </c>
      <c r="J642" s="229" t="s">
        <v>611</v>
      </c>
      <c r="K642" s="231" t="s">
        <v>341</v>
      </c>
    </row>
    <row r="643" spans="1:11" s="226" customFormat="1" ht="9.6" customHeight="1" x14ac:dyDescent="0.2">
      <c r="A643" s="229" t="str">
        <f>T_P_BilanSocial[[#This Row],[Nom]]&amp;T_P_BilanSocial[[#This Row],[Prenom]]</f>
        <v>REVERANDGRAZIELLA</v>
      </c>
      <c r="B643" s="228" t="s">
        <v>1821</v>
      </c>
      <c r="C643" s="229" t="s">
        <v>855</v>
      </c>
      <c r="D643" s="229" t="s">
        <v>1822</v>
      </c>
      <c r="E643" s="229" t="s">
        <v>1184</v>
      </c>
      <c r="F643" s="230" t="s">
        <v>45</v>
      </c>
      <c r="G643" s="229" t="s">
        <v>1178</v>
      </c>
      <c r="H643" s="229" t="s">
        <v>1204</v>
      </c>
      <c r="I643" s="229" t="s">
        <v>1180</v>
      </c>
      <c r="J643" s="229" t="s">
        <v>411</v>
      </c>
      <c r="K643" s="231" t="s">
        <v>341</v>
      </c>
    </row>
    <row r="644" spans="1:11" s="226" customFormat="1" ht="9.6" customHeight="1" x14ac:dyDescent="0.2">
      <c r="A644" s="229" t="str">
        <f>T_P_BilanSocial[[#This Row],[Nom]]&amp;T_P_BilanSocial[[#This Row],[Prenom]]</f>
        <v>REYFRANÇOIS</v>
      </c>
      <c r="B644" s="228" t="s">
        <v>2792</v>
      </c>
      <c r="C644" s="229" t="s">
        <v>896</v>
      </c>
      <c r="D644" s="229" t="s">
        <v>1286</v>
      </c>
      <c r="E644" s="229" t="s">
        <v>1177</v>
      </c>
      <c r="F644" s="230" t="s">
        <v>445</v>
      </c>
      <c r="G644" s="229" t="s">
        <v>1476</v>
      </c>
      <c r="H644" s="229" t="s">
        <v>1794</v>
      </c>
      <c r="I644" s="229" t="s">
        <v>1180</v>
      </c>
      <c r="J644" s="229" t="s">
        <v>320</v>
      </c>
      <c r="K644" s="231" t="s">
        <v>321</v>
      </c>
    </row>
    <row r="645" spans="1:11" s="226" customFormat="1" ht="9.6" customHeight="1" x14ac:dyDescent="0.2">
      <c r="A645" s="229" t="str">
        <f>T_P_BilanSocial[[#This Row],[Nom]]&amp;T_P_BilanSocial[[#This Row],[Prenom]]</f>
        <v>REYMONDVALERIE</v>
      </c>
      <c r="B645" s="228" t="s">
        <v>1950</v>
      </c>
      <c r="C645" s="229" t="s">
        <v>937</v>
      </c>
      <c r="D645" s="229" t="s">
        <v>1905</v>
      </c>
      <c r="E645" s="229" t="s">
        <v>1184</v>
      </c>
      <c r="F645" s="230" t="s">
        <v>308</v>
      </c>
      <c r="G645" s="229" t="s">
        <v>1178</v>
      </c>
      <c r="H645" s="229" t="s">
        <v>1179</v>
      </c>
      <c r="I645" s="229" t="s">
        <v>1180</v>
      </c>
      <c r="J645" s="229" t="s">
        <v>309</v>
      </c>
      <c r="K645" s="231" t="s">
        <v>1854</v>
      </c>
    </row>
    <row r="646" spans="1:11" s="226" customFormat="1" ht="9.6" customHeight="1" x14ac:dyDescent="0.2">
      <c r="A646" s="229" t="str">
        <f>T_P_BilanSocial[[#This Row],[Nom]]&amp;T_P_BilanSocial[[#This Row],[Prenom]]</f>
        <v>RICHARDVINCENT-Marie</v>
      </c>
      <c r="B646" s="228" t="s">
        <v>1734</v>
      </c>
      <c r="C646" s="229" t="s">
        <v>521</v>
      </c>
      <c r="D646" s="233" t="s">
        <v>3017</v>
      </c>
      <c r="E646" s="229" t="s">
        <v>1177</v>
      </c>
      <c r="F646" s="230" t="s">
        <v>308</v>
      </c>
      <c r="G646" s="229" t="s">
        <v>1178</v>
      </c>
      <c r="H646" s="229" t="s">
        <v>1204</v>
      </c>
      <c r="I646" s="229" t="s">
        <v>1180</v>
      </c>
      <c r="J646" s="229" t="s">
        <v>843</v>
      </c>
      <c r="K646" s="231" t="s">
        <v>1735</v>
      </c>
    </row>
    <row r="647" spans="1:11" s="226" customFormat="1" ht="9.6" customHeight="1" x14ac:dyDescent="0.2">
      <c r="A647" s="229" t="str">
        <f>T_P_BilanSocial[[#This Row],[Nom]]&amp;T_P_BilanSocial[[#This Row],[Prenom]]</f>
        <v>RICHARDGeneviève</v>
      </c>
      <c r="B647" s="228" t="s">
        <v>1788</v>
      </c>
      <c r="C647" s="229" t="s">
        <v>521</v>
      </c>
      <c r="D647" s="229" t="s">
        <v>522</v>
      </c>
      <c r="E647" s="229" t="s">
        <v>1184</v>
      </c>
      <c r="F647" s="230" t="s">
        <v>445</v>
      </c>
      <c r="G647" s="229" t="s">
        <v>1178</v>
      </c>
      <c r="H647" s="229" t="s">
        <v>1179</v>
      </c>
      <c r="I647" s="229" t="s">
        <v>1180</v>
      </c>
      <c r="J647" s="233" t="s">
        <v>524</v>
      </c>
      <c r="K647" s="234" t="s">
        <v>525</v>
      </c>
    </row>
    <row r="648" spans="1:11" s="226" customFormat="1" ht="9.6" customHeight="1" x14ac:dyDescent="0.2">
      <c r="A648" s="229" t="str">
        <f>T_P_BilanSocial[[#This Row],[Nom]]&amp;T_P_BilanSocial[[#This Row],[Prenom]]</f>
        <v>RICHARDISABELLE</v>
      </c>
      <c r="B648" s="228" t="s">
        <v>1860</v>
      </c>
      <c r="C648" s="229" t="s">
        <v>521</v>
      </c>
      <c r="D648" s="229" t="s">
        <v>1224</v>
      </c>
      <c r="E648" s="229" t="s">
        <v>1184</v>
      </c>
      <c r="F648" s="230" t="s">
        <v>308</v>
      </c>
      <c r="G648" s="229" t="s">
        <v>1178</v>
      </c>
      <c r="H648" s="229" t="s">
        <v>1204</v>
      </c>
      <c r="I648" s="229" t="s">
        <v>1180</v>
      </c>
      <c r="J648" s="229" t="s">
        <v>411</v>
      </c>
      <c r="K648" s="231" t="s">
        <v>341</v>
      </c>
    </row>
    <row r="649" spans="1:11" s="226" customFormat="1" ht="9.6" customHeight="1" x14ac:dyDescent="0.2">
      <c r="A649" s="229" t="str">
        <f>T_P_BilanSocial[[#This Row],[Nom]]&amp;T_P_BilanSocial[[#This Row],[Prenom]]</f>
        <v>RICHE-KUNEGELLUCIE</v>
      </c>
      <c r="B649" s="228" t="s">
        <v>1924</v>
      </c>
      <c r="C649" s="229" t="s">
        <v>1925</v>
      </c>
      <c r="D649" s="229" t="s">
        <v>1912</v>
      </c>
      <c r="E649" s="229" t="s">
        <v>1184</v>
      </c>
      <c r="F649" s="230" t="s">
        <v>308</v>
      </c>
      <c r="G649" s="229" t="s">
        <v>1178</v>
      </c>
      <c r="H649" s="229" t="s">
        <v>1204</v>
      </c>
      <c r="I649" s="229" t="s">
        <v>1180</v>
      </c>
      <c r="J649" s="229" t="s">
        <v>775</v>
      </c>
      <c r="K649" s="231" t="s">
        <v>1926</v>
      </c>
    </row>
    <row r="650" spans="1:11" s="226" customFormat="1" ht="9.6" customHeight="1" x14ac:dyDescent="0.2">
      <c r="A650" s="229" t="str">
        <f>T_P_BilanSocial[[#This Row],[Nom]]&amp;T_P_BilanSocial[[#This Row],[Prenom]]</f>
        <v>RIGAULTCHRISTIAN</v>
      </c>
      <c r="B650" s="228" t="s">
        <v>1934</v>
      </c>
      <c r="C650" s="229" t="s">
        <v>1935</v>
      </c>
      <c r="D650" s="229" t="s">
        <v>1369</v>
      </c>
      <c r="E650" s="229" t="s">
        <v>1177</v>
      </c>
      <c r="F650" s="230" t="s">
        <v>308</v>
      </c>
      <c r="G650" s="229" t="s">
        <v>1178</v>
      </c>
      <c r="H650" s="229" t="s">
        <v>1435</v>
      </c>
      <c r="I650" s="229" t="s">
        <v>1180</v>
      </c>
      <c r="J650" s="229" t="s">
        <v>471</v>
      </c>
      <c r="K650" s="231" t="s">
        <v>341</v>
      </c>
    </row>
    <row r="651" spans="1:11" s="226" customFormat="1" ht="9.6" customHeight="1" x14ac:dyDescent="0.2">
      <c r="A651" s="229" t="str">
        <f>T_P_BilanSocial[[#This Row],[Nom]]&amp;T_P_BilanSocial[[#This Row],[Prenom]]</f>
        <v>RINALDIPASCAL</v>
      </c>
      <c r="B651" s="228" t="s">
        <v>1516</v>
      </c>
      <c r="C651" s="229" t="s">
        <v>397</v>
      </c>
      <c r="D651" s="229" t="s">
        <v>434</v>
      </c>
      <c r="E651" s="229" t="s">
        <v>1177</v>
      </c>
      <c r="F651" s="230" t="s">
        <v>445</v>
      </c>
      <c r="G651" s="229" t="s">
        <v>1178</v>
      </c>
      <c r="H651" s="229" t="s">
        <v>1204</v>
      </c>
      <c r="I651" s="229" t="s">
        <v>1180</v>
      </c>
      <c r="J651" s="229" t="s">
        <v>398</v>
      </c>
      <c r="K651" s="231" t="s">
        <v>1298</v>
      </c>
    </row>
    <row r="652" spans="1:11" s="226" customFormat="1" ht="9.6" customHeight="1" x14ac:dyDescent="0.2">
      <c r="A652" s="229" t="str">
        <f>T_P_BilanSocial[[#This Row],[Nom]]&amp;T_P_BilanSocial[[#This Row],[Prenom]]</f>
        <v>RINDONEJULIETTE</v>
      </c>
      <c r="B652" s="228" t="s">
        <v>2430</v>
      </c>
      <c r="C652" s="229" t="s">
        <v>2431</v>
      </c>
      <c r="D652" s="229" t="s">
        <v>2432</v>
      </c>
      <c r="E652" s="229" t="s">
        <v>1184</v>
      </c>
      <c r="F652" s="230" t="s">
        <v>445</v>
      </c>
      <c r="G652" s="229" t="s">
        <v>1476</v>
      </c>
      <c r="H652" s="229" t="s">
        <v>1794</v>
      </c>
      <c r="I652" s="229" t="s">
        <v>1180</v>
      </c>
      <c r="J652" s="229" t="s">
        <v>411</v>
      </c>
      <c r="K652" s="231" t="s">
        <v>341</v>
      </c>
    </row>
    <row r="653" spans="1:11" s="226" customFormat="1" ht="9.6" customHeight="1" x14ac:dyDescent="0.2">
      <c r="A653" s="229" t="str">
        <f>T_P_BilanSocial[[#This Row],[Nom]]&amp;T_P_BilanSocial[[#This Row],[Prenom]]</f>
        <v>RIPAMONTIERI</v>
      </c>
      <c r="B653" s="228" t="s">
        <v>2782</v>
      </c>
      <c r="C653" s="229" t="s">
        <v>2783</v>
      </c>
      <c r="D653" s="229" t="s">
        <v>2784</v>
      </c>
      <c r="E653" s="229" t="s">
        <v>1184</v>
      </c>
      <c r="F653" s="230" t="s">
        <v>45</v>
      </c>
      <c r="G653" s="229" t="s">
        <v>1476</v>
      </c>
      <c r="H653" s="229" t="s">
        <v>1794</v>
      </c>
      <c r="I653" s="229" t="s">
        <v>1180</v>
      </c>
      <c r="J653" s="229" t="s">
        <v>353</v>
      </c>
      <c r="K653" s="231" t="s">
        <v>354</v>
      </c>
    </row>
    <row r="654" spans="1:11" s="226" customFormat="1" ht="9.6" customHeight="1" x14ac:dyDescent="0.2">
      <c r="A654" s="229" t="str">
        <f>T_P_BilanSocial[[#This Row],[Nom]]&amp;T_P_BilanSocial[[#This Row],[Prenom]]</f>
        <v>RIVALAURIE</v>
      </c>
      <c r="B654" s="228" t="s">
        <v>2111</v>
      </c>
      <c r="C654" s="229" t="s">
        <v>809</v>
      </c>
      <c r="D654" s="229" t="s">
        <v>2112</v>
      </c>
      <c r="E654" s="229" t="s">
        <v>1184</v>
      </c>
      <c r="F654" s="230" t="s">
        <v>308</v>
      </c>
      <c r="G654" s="229" t="s">
        <v>1476</v>
      </c>
      <c r="H654" s="229" t="s">
        <v>1477</v>
      </c>
      <c r="I654" s="229" t="s">
        <v>1180</v>
      </c>
      <c r="J654" s="229" t="s">
        <v>376</v>
      </c>
      <c r="K654" s="231" t="s">
        <v>341</v>
      </c>
    </row>
    <row r="655" spans="1:11" s="226" customFormat="1" ht="9.6" customHeight="1" x14ac:dyDescent="0.2">
      <c r="A655" s="229" t="str">
        <f>T_P_BilanSocial[[#This Row],[Nom]]&amp;T_P_BilanSocial[[#This Row],[Prenom]]</f>
        <v>ROBBETHIERRY</v>
      </c>
      <c r="B655" s="228" t="s">
        <v>2343</v>
      </c>
      <c r="C655" s="229" t="s">
        <v>2344</v>
      </c>
      <c r="D655" s="229" t="s">
        <v>1317</v>
      </c>
      <c r="E655" s="229" t="s">
        <v>1177</v>
      </c>
      <c r="F655" s="230" t="s">
        <v>445</v>
      </c>
      <c r="G655" s="229" t="s">
        <v>1178</v>
      </c>
      <c r="H655" s="229" t="s">
        <v>1204</v>
      </c>
      <c r="I655" s="229" t="s">
        <v>1180</v>
      </c>
      <c r="J655" s="229" t="s">
        <v>1121</v>
      </c>
      <c r="K655" s="231" t="s">
        <v>1122</v>
      </c>
    </row>
    <row r="656" spans="1:11" s="226" customFormat="1" ht="9.6" customHeight="1" x14ac:dyDescent="0.2">
      <c r="A656" s="229" t="str">
        <f>T_P_BilanSocial[[#This Row],[Nom]]&amp;T_P_BilanSocial[[#This Row],[Prenom]]</f>
        <v>ROBERTRAPHAEL</v>
      </c>
      <c r="B656" s="228" t="s">
        <v>1987</v>
      </c>
      <c r="C656" s="229" t="s">
        <v>1988</v>
      </c>
      <c r="D656" s="229" t="s">
        <v>1989</v>
      </c>
      <c r="E656" s="229" t="s">
        <v>1177</v>
      </c>
      <c r="F656" s="230" t="s">
        <v>45</v>
      </c>
      <c r="G656" s="229" t="s">
        <v>1178</v>
      </c>
      <c r="H656" s="229" t="s">
        <v>1435</v>
      </c>
      <c r="I656" s="229" t="s">
        <v>1180</v>
      </c>
      <c r="J656" s="229" t="s">
        <v>329</v>
      </c>
      <c r="K656" s="231" t="s">
        <v>330</v>
      </c>
    </row>
    <row r="657" spans="1:11" s="226" customFormat="1" ht="9.6" customHeight="1" x14ac:dyDescent="0.2">
      <c r="A657" s="229" t="str">
        <f>T_P_BilanSocial[[#This Row],[Nom]]&amp;T_P_BilanSocial[[#This Row],[Prenom]]</f>
        <v>ROBLESCAMILLE</v>
      </c>
      <c r="B657" s="228" t="s">
        <v>2871</v>
      </c>
      <c r="C657" s="229" t="s">
        <v>730</v>
      </c>
      <c r="D657" s="229" t="s">
        <v>2665</v>
      </c>
      <c r="E657" s="229" t="s">
        <v>1184</v>
      </c>
      <c r="F657" s="230" t="s">
        <v>445</v>
      </c>
      <c r="G657" s="229" t="s">
        <v>1476</v>
      </c>
      <c r="H657" s="229" t="s">
        <v>1794</v>
      </c>
      <c r="I657" s="229" t="s">
        <v>1180</v>
      </c>
      <c r="J657" s="229" t="s">
        <v>626</v>
      </c>
      <c r="K657" s="231" t="s">
        <v>341</v>
      </c>
    </row>
    <row r="658" spans="1:11" s="226" customFormat="1" ht="9.6" customHeight="1" x14ac:dyDescent="0.2">
      <c r="A658" s="229" t="str">
        <f>T_P_BilanSocial[[#This Row],[Nom]]&amp;T_P_BilanSocial[[#This Row],[Prenom]]</f>
        <v>ROCARDESTELLE</v>
      </c>
      <c r="B658" s="228" t="s">
        <v>1972</v>
      </c>
      <c r="C658" s="229" t="s">
        <v>1973</v>
      </c>
      <c r="D658" s="229" t="s">
        <v>1974</v>
      </c>
      <c r="E658" s="229" t="s">
        <v>1184</v>
      </c>
      <c r="F658" s="230" t="s">
        <v>445</v>
      </c>
      <c r="G658" s="229" t="s">
        <v>1178</v>
      </c>
      <c r="H658" s="229" t="s">
        <v>1179</v>
      </c>
      <c r="I658" s="229" t="s">
        <v>1180</v>
      </c>
      <c r="J658" s="229" t="s">
        <v>1975</v>
      </c>
      <c r="K658" s="231" t="s">
        <v>1976</v>
      </c>
    </row>
    <row r="659" spans="1:11" s="226" customFormat="1" ht="9.6" customHeight="1" x14ac:dyDescent="0.2">
      <c r="A659" s="229" t="str">
        <f>T_P_BilanSocial[[#This Row],[Nom]]&amp;T_P_BilanSocial[[#This Row],[Prenom]]</f>
        <v>ROCHEDENIS</v>
      </c>
      <c r="B659" s="228" t="s">
        <v>2435</v>
      </c>
      <c r="C659" s="229" t="s">
        <v>2436</v>
      </c>
      <c r="D659" s="229" t="s">
        <v>1451</v>
      </c>
      <c r="E659" s="229" t="s">
        <v>1177</v>
      </c>
      <c r="F659" s="230" t="s">
        <v>445</v>
      </c>
      <c r="G659" s="229" t="s">
        <v>1178</v>
      </c>
      <c r="H659" s="229" t="s">
        <v>1204</v>
      </c>
      <c r="I659" s="229" t="s">
        <v>1180</v>
      </c>
      <c r="J659" s="229" t="s">
        <v>2437</v>
      </c>
      <c r="K659" s="231" t="s">
        <v>2438</v>
      </c>
    </row>
    <row r="660" spans="1:11" s="226" customFormat="1" ht="9.6" customHeight="1" x14ac:dyDescent="0.2">
      <c r="A660" s="229" t="str">
        <f>T_P_BilanSocial[[#This Row],[Nom]]&amp;T_P_BilanSocial[[#This Row],[Prenom]]</f>
        <v>ROGER-DALBERTPASCALE</v>
      </c>
      <c r="B660" s="228" t="s">
        <v>1309</v>
      </c>
      <c r="C660" s="229" t="s">
        <v>1310</v>
      </c>
      <c r="D660" s="229" t="s">
        <v>1311</v>
      </c>
      <c r="E660" s="229" t="s">
        <v>1184</v>
      </c>
      <c r="F660" s="230" t="s">
        <v>308</v>
      </c>
      <c r="G660" s="229" t="s">
        <v>1178</v>
      </c>
      <c r="H660" s="229" t="s">
        <v>1204</v>
      </c>
      <c r="I660" s="229" t="s">
        <v>1180</v>
      </c>
      <c r="J660" s="229" t="s">
        <v>611</v>
      </c>
      <c r="K660" s="231" t="s">
        <v>341</v>
      </c>
    </row>
    <row r="661" spans="1:11" s="226" customFormat="1" ht="9.6" customHeight="1" x14ac:dyDescent="0.2">
      <c r="A661" s="229" t="str">
        <f>T_P_BilanSocial[[#This Row],[Nom]]&amp;T_P_BilanSocial[[#This Row],[Prenom]]</f>
        <v>ROJASMARLENE</v>
      </c>
      <c r="B661" s="228" t="s">
        <v>2278</v>
      </c>
      <c r="C661" s="229" t="s">
        <v>2279</v>
      </c>
      <c r="D661" s="229" t="s">
        <v>2280</v>
      </c>
      <c r="E661" s="229" t="s">
        <v>1184</v>
      </c>
      <c r="F661" s="230" t="s">
        <v>308</v>
      </c>
      <c r="G661" s="229" t="s">
        <v>1476</v>
      </c>
      <c r="H661" s="229" t="s">
        <v>1477</v>
      </c>
      <c r="I661" s="229" t="s">
        <v>1180</v>
      </c>
      <c r="J661" s="229" t="s">
        <v>2281</v>
      </c>
      <c r="K661" s="231" t="s">
        <v>2282</v>
      </c>
    </row>
    <row r="662" spans="1:11" s="226" customFormat="1" ht="9.6" customHeight="1" x14ac:dyDescent="0.2">
      <c r="A662" s="229" t="str">
        <f>T_P_BilanSocial[[#This Row],[Nom]]&amp;T_P_BilanSocial[[#This Row],[Prenom]]</f>
        <v>ROLLANDJEAN MICHEL</v>
      </c>
      <c r="B662" s="228" t="s">
        <v>1916</v>
      </c>
      <c r="C662" s="229" t="s">
        <v>1917</v>
      </c>
      <c r="D662" s="229" t="s">
        <v>1918</v>
      </c>
      <c r="E662" s="229" t="s">
        <v>1177</v>
      </c>
      <c r="F662" s="230" t="s">
        <v>45</v>
      </c>
      <c r="G662" s="229" t="s">
        <v>1476</v>
      </c>
      <c r="H662" s="229" t="s">
        <v>1477</v>
      </c>
      <c r="I662" s="229" t="s">
        <v>1180</v>
      </c>
      <c r="J662" s="229" t="s">
        <v>340</v>
      </c>
      <c r="K662" s="231" t="s">
        <v>341</v>
      </c>
    </row>
    <row r="663" spans="1:11" s="226" customFormat="1" ht="9.6" customHeight="1" x14ac:dyDescent="0.2">
      <c r="A663" s="229" t="str">
        <f>T_P_BilanSocial[[#This Row],[Nom]]&amp;T_P_BilanSocial[[#This Row],[Prenom]]</f>
        <v>ROMERO-PERETTISOPHIE</v>
      </c>
      <c r="B663" s="228" t="s">
        <v>1254</v>
      </c>
      <c r="C663" s="233" t="s">
        <v>538</v>
      </c>
      <c r="D663" s="229" t="s">
        <v>1255</v>
      </c>
      <c r="E663" s="229" t="s">
        <v>1184</v>
      </c>
      <c r="F663" s="230" t="s">
        <v>45</v>
      </c>
      <c r="G663" s="229" t="s">
        <v>1178</v>
      </c>
      <c r="H663" s="229" t="s">
        <v>1204</v>
      </c>
      <c r="I663" s="229" t="s">
        <v>1180</v>
      </c>
      <c r="J663" s="229" t="s">
        <v>320</v>
      </c>
      <c r="K663" s="231" t="s">
        <v>321</v>
      </c>
    </row>
    <row r="664" spans="1:11" s="226" customFormat="1" ht="9.6" customHeight="1" x14ac:dyDescent="0.2">
      <c r="A664" s="229" t="str">
        <f>T_P_BilanSocial[[#This Row],[Nom]]&amp;T_P_BilanSocial[[#This Row],[Prenom]]</f>
        <v>ROSSIMATHILDE</v>
      </c>
      <c r="B664" s="228" t="s">
        <v>2679</v>
      </c>
      <c r="C664" s="229" t="s">
        <v>2680</v>
      </c>
      <c r="D664" s="229" t="s">
        <v>2453</v>
      </c>
      <c r="E664" s="229" t="s">
        <v>1184</v>
      </c>
      <c r="F664" s="230" t="s">
        <v>308</v>
      </c>
      <c r="G664" s="229" t="s">
        <v>1476</v>
      </c>
      <c r="H664" s="229" t="s">
        <v>1794</v>
      </c>
      <c r="I664" s="229" t="s">
        <v>1180</v>
      </c>
      <c r="J664" s="229" t="s">
        <v>353</v>
      </c>
      <c r="K664" s="231" t="s">
        <v>354</v>
      </c>
    </row>
    <row r="665" spans="1:11" s="226" customFormat="1" ht="9.6" customHeight="1" x14ac:dyDescent="0.2">
      <c r="A665" s="229" t="str">
        <f>T_P_BilanSocial[[#This Row],[Nom]]&amp;T_P_BilanSocial[[#This Row],[Prenom]]</f>
        <v>ROSTNATHANAËL</v>
      </c>
      <c r="B665" s="228" t="s">
        <v>1818</v>
      </c>
      <c r="C665" s="229" t="s">
        <v>1819</v>
      </c>
      <c r="D665" s="229" t="s">
        <v>1820</v>
      </c>
      <c r="E665" s="229" t="s">
        <v>1177</v>
      </c>
      <c r="F665" s="230" t="s">
        <v>445</v>
      </c>
      <c r="G665" s="229" t="s">
        <v>1178</v>
      </c>
      <c r="H665" s="229" t="s">
        <v>1204</v>
      </c>
      <c r="I665" s="229" t="s">
        <v>1180</v>
      </c>
      <c r="J665" s="229" t="s">
        <v>815</v>
      </c>
      <c r="K665" s="231" t="s">
        <v>794</v>
      </c>
    </row>
    <row r="666" spans="1:11" s="226" customFormat="1" ht="9.6" customHeight="1" x14ac:dyDescent="0.2">
      <c r="A666" s="229" t="str">
        <f>T_P_BilanSocial[[#This Row],[Nom]]&amp;T_P_BilanSocial[[#This Row],[Prenom]]</f>
        <v>ROUANET-TOURINELJEAN-PIERRE</v>
      </c>
      <c r="B666" s="228" t="s">
        <v>1452</v>
      </c>
      <c r="C666" s="229" t="s">
        <v>1029</v>
      </c>
      <c r="D666" s="229" t="s">
        <v>1453</v>
      </c>
      <c r="E666" s="229" t="s">
        <v>1177</v>
      </c>
      <c r="F666" s="230" t="s">
        <v>445</v>
      </c>
      <c r="G666" s="229" t="s">
        <v>1178</v>
      </c>
      <c r="H666" s="229" t="s">
        <v>1435</v>
      </c>
      <c r="I666" s="229" t="s">
        <v>1180</v>
      </c>
      <c r="J666" s="229" t="s">
        <v>520</v>
      </c>
      <c r="K666" s="231" t="s">
        <v>341</v>
      </c>
    </row>
    <row r="667" spans="1:11" s="226" customFormat="1" ht="9.6" customHeight="1" x14ac:dyDescent="0.2">
      <c r="A667" s="229" t="str">
        <f>T_P_BilanSocial[[#This Row],[Nom]]&amp;T_P_BilanSocial[[#This Row],[Prenom]]</f>
        <v>ROUSSELJULIEN</v>
      </c>
      <c r="B667" s="228" t="s">
        <v>2732</v>
      </c>
      <c r="C667" s="229" t="s">
        <v>2733</v>
      </c>
      <c r="D667" s="229" t="s">
        <v>2095</v>
      </c>
      <c r="E667" s="229" t="s">
        <v>1177</v>
      </c>
      <c r="F667" s="230" t="s">
        <v>308</v>
      </c>
      <c r="G667" s="229" t="s">
        <v>1178</v>
      </c>
      <c r="H667" s="229" t="s">
        <v>1204</v>
      </c>
      <c r="I667" s="229" t="s">
        <v>1180</v>
      </c>
      <c r="J667" s="229" t="s">
        <v>665</v>
      </c>
      <c r="K667" s="231" t="s">
        <v>1306</v>
      </c>
    </row>
    <row r="668" spans="1:11" s="226" customFormat="1" ht="9.6" customHeight="1" x14ac:dyDescent="0.2">
      <c r="A668" s="229" t="str">
        <f>T_P_BilanSocial[[#This Row],[Nom]]&amp;T_P_BilanSocial[[#This Row],[Prenom]]</f>
        <v>ROVIRAEMMANUEL</v>
      </c>
      <c r="B668" s="228" t="s">
        <v>1575</v>
      </c>
      <c r="C668" s="229" t="s">
        <v>1576</v>
      </c>
      <c r="D668" s="229" t="s">
        <v>1577</v>
      </c>
      <c r="E668" s="229" t="s">
        <v>1177</v>
      </c>
      <c r="F668" s="230" t="s">
        <v>45</v>
      </c>
      <c r="G668" s="229" t="s">
        <v>1178</v>
      </c>
      <c r="H668" s="229" t="s">
        <v>1204</v>
      </c>
      <c r="I668" s="229" t="s">
        <v>1180</v>
      </c>
      <c r="J668" s="229" t="s">
        <v>471</v>
      </c>
      <c r="K668" s="231" t="s">
        <v>341</v>
      </c>
    </row>
    <row r="669" spans="1:11" s="226" customFormat="1" ht="9.6" customHeight="1" x14ac:dyDescent="0.2">
      <c r="A669" s="229" t="str">
        <f>T_P_BilanSocial[[#This Row],[Nom]]&amp;T_P_BilanSocial[[#This Row],[Prenom]]</f>
        <v>ROYOLIVIER</v>
      </c>
      <c r="B669" s="228" t="s">
        <v>1276</v>
      </c>
      <c r="C669" s="229" t="s">
        <v>1277</v>
      </c>
      <c r="D669" s="229" t="s">
        <v>1278</v>
      </c>
      <c r="E669" s="229" t="s">
        <v>1177</v>
      </c>
      <c r="F669" s="230" t="s">
        <v>45</v>
      </c>
      <c r="G669" s="229" t="s">
        <v>1178</v>
      </c>
      <c r="H669" s="229" t="s">
        <v>1204</v>
      </c>
      <c r="I669" s="229" t="s">
        <v>1180</v>
      </c>
      <c r="J669" s="229" t="s">
        <v>1279</v>
      </c>
      <c r="K669" s="231" t="s">
        <v>1280</v>
      </c>
    </row>
    <row r="670" spans="1:11" s="226" customFormat="1" ht="9.6" customHeight="1" x14ac:dyDescent="0.2">
      <c r="A670" s="229" t="str">
        <f>T_P_BilanSocial[[#This Row],[Nom]]&amp;T_P_BilanSocial[[#This Row],[Prenom]]</f>
        <v>RUEDAISABELLE</v>
      </c>
      <c r="B670" s="228" t="s">
        <v>1222</v>
      </c>
      <c r="C670" s="229" t="s">
        <v>1223</v>
      </c>
      <c r="D670" s="229" t="s">
        <v>1224</v>
      </c>
      <c r="E670" s="229" t="s">
        <v>1184</v>
      </c>
      <c r="F670" s="230" t="s">
        <v>45</v>
      </c>
      <c r="G670" s="229" t="s">
        <v>1178</v>
      </c>
      <c r="H670" s="229" t="s">
        <v>1179</v>
      </c>
      <c r="I670" s="229" t="s">
        <v>1180</v>
      </c>
      <c r="J670" s="229" t="s">
        <v>390</v>
      </c>
      <c r="K670" s="231" t="s">
        <v>1225</v>
      </c>
    </row>
    <row r="671" spans="1:11" s="226" customFormat="1" ht="9.6" customHeight="1" x14ac:dyDescent="0.2">
      <c r="A671" s="229" t="str">
        <f>T_P_BilanSocial[[#This Row],[Nom]]&amp;T_P_BilanSocial[[#This Row],[Prenom]]</f>
        <v>RUEDAHERVÉ</v>
      </c>
      <c r="B671" s="228" t="s">
        <v>1336</v>
      </c>
      <c r="C671" s="229" t="s">
        <v>1223</v>
      </c>
      <c r="D671" s="229" t="s">
        <v>1176</v>
      </c>
      <c r="E671" s="229" t="s">
        <v>1177</v>
      </c>
      <c r="F671" s="230" t="s">
        <v>445</v>
      </c>
      <c r="G671" s="229" t="s">
        <v>1178</v>
      </c>
      <c r="H671" s="229" t="s">
        <v>1204</v>
      </c>
      <c r="I671" s="229" t="s">
        <v>1180</v>
      </c>
      <c r="J671" s="229" t="s">
        <v>390</v>
      </c>
      <c r="K671" s="231" t="s">
        <v>1337</v>
      </c>
    </row>
    <row r="672" spans="1:11" s="226" customFormat="1" ht="9.6" customHeight="1" x14ac:dyDescent="0.2">
      <c r="A672" s="229" t="str">
        <f>T_P_BilanSocial[[#This Row],[Nom]]&amp;T_P_BilanSocial[[#This Row],[Prenom]]</f>
        <v>RUILLATMAGALI</v>
      </c>
      <c r="B672" s="228" t="s">
        <v>1299</v>
      </c>
      <c r="C672" s="229" t="s">
        <v>1300</v>
      </c>
      <c r="D672" s="229" t="s">
        <v>1301</v>
      </c>
      <c r="E672" s="229" t="s">
        <v>1184</v>
      </c>
      <c r="F672" s="230" t="s">
        <v>308</v>
      </c>
      <c r="G672" s="229" t="s">
        <v>1178</v>
      </c>
      <c r="H672" s="229" t="s">
        <v>1204</v>
      </c>
      <c r="I672" s="229" t="s">
        <v>1180</v>
      </c>
      <c r="J672" s="229" t="s">
        <v>353</v>
      </c>
      <c r="K672" s="232" t="s">
        <v>354</v>
      </c>
    </row>
    <row r="673" spans="1:11" s="226" customFormat="1" ht="9.6" customHeight="1" x14ac:dyDescent="0.2">
      <c r="A673" s="229" t="str">
        <f>T_P_BilanSocial[[#This Row],[Nom]]&amp;T_P_BilanSocial[[#This Row],[Prenom]]</f>
        <v>RUZJONATHAN</v>
      </c>
      <c r="B673" s="228" t="s">
        <v>1406</v>
      </c>
      <c r="C673" s="229" t="s">
        <v>1407</v>
      </c>
      <c r="D673" s="229" t="s">
        <v>1408</v>
      </c>
      <c r="E673" s="229" t="s">
        <v>1177</v>
      </c>
      <c r="F673" s="230" t="s">
        <v>445</v>
      </c>
      <c r="G673" s="229" t="s">
        <v>1178</v>
      </c>
      <c r="H673" s="229" t="s">
        <v>1204</v>
      </c>
      <c r="I673" s="229" t="s">
        <v>1180</v>
      </c>
      <c r="J673" s="229" t="s">
        <v>411</v>
      </c>
      <c r="K673" s="231" t="s">
        <v>341</v>
      </c>
    </row>
    <row r="674" spans="1:11" s="226" customFormat="1" ht="9.6" customHeight="1" x14ac:dyDescent="0.2">
      <c r="A674" s="229" t="str">
        <f>T_P_BilanSocial[[#This Row],[Nom]]&amp;T_P_BilanSocial[[#This Row],[Prenom]]</f>
        <v>SABLÉLIONEL</v>
      </c>
      <c r="B674" s="228" t="s">
        <v>1868</v>
      </c>
      <c r="C674" s="229" t="s">
        <v>1869</v>
      </c>
      <c r="D674" s="229" t="s">
        <v>1669</v>
      </c>
      <c r="E674" s="229" t="s">
        <v>1177</v>
      </c>
      <c r="F674" s="230" t="s">
        <v>445</v>
      </c>
      <c r="G674" s="229" t="s">
        <v>1476</v>
      </c>
      <c r="H674" s="229" t="s">
        <v>1477</v>
      </c>
      <c r="I674" s="229" t="s">
        <v>1180</v>
      </c>
      <c r="J674" s="229" t="s">
        <v>376</v>
      </c>
      <c r="K674" s="231" t="s">
        <v>341</v>
      </c>
    </row>
    <row r="675" spans="1:11" s="226" customFormat="1" ht="9.6" customHeight="1" x14ac:dyDescent="0.2">
      <c r="A675" s="229" t="str">
        <f>T_P_BilanSocial[[#This Row],[Nom]]&amp;T_P_BilanSocial[[#This Row],[Prenom]]</f>
        <v>SAHLIALIDA</v>
      </c>
      <c r="B675" s="228" t="s">
        <v>1370</v>
      </c>
      <c r="C675" s="229" t="s">
        <v>821</v>
      </c>
      <c r="D675" s="229" t="s">
        <v>1371</v>
      </c>
      <c r="E675" s="229" t="s">
        <v>1184</v>
      </c>
      <c r="F675" s="230" t="s">
        <v>445</v>
      </c>
      <c r="G675" s="229" t="s">
        <v>1178</v>
      </c>
      <c r="H675" s="229" t="s">
        <v>1204</v>
      </c>
      <c r="I675" s="229" t="s">
        <v>1180</v>
      </c>
      <c r="J675" s="229" t="s">
        <v>481</v>
      </c>
      <c r="K675" s="231" t="s">
        <v>341</v>
      </c>
    </row>
    <row r="676" spans="1:11" s="226" customFormat="1" ht="9.6" customHeight="1" x14ac:dyDescent="0.2">
      <c r="A676" s="229" t="str">
        <f>T_P_BilanSocial[[#This Row],[Nom]]&amp;T_P_BilanSocial[[#This Row],[Prenom]]</f>
        <v>SALERNOGÉRARD</v>
      </c>
      <c r="B676" s="228" t="s">
        <v>1326</v>
      </c>
      <c r="C676" s="229" t="s">
        <v>1327</v>
      </c>
      <c r="D676" s="229" t="s">
        <v>1328</v>
      </c>
      <c r="E676" s="229" t="s">
        <v>1177</v>
      </c>
      <c r="F676" s="230" t="s">
        <v>308</v>
      </c>
      <c r="G676" s="229" t="s">
        <v>1178</v>
      </c>
      <c r="H676" s="229" t="s">
        <v>1204</v>
      </c>
      <c r="I676" s="229" t="s">
        <v>1180</v>
      </c>
      <c r="J676" s="229" t="s">
        <v>376</v>
      </c>
      <c r="K676" s="231" t="s">
        <v>341</v>
      </c>
    </row>
    <row r="677" spans="1:11" s="226" customFormat="1" ht="9.6" customHeight="1" x14ac:dyDescent="0.2">
      <c r="A677" s="229" t="str">
        <f>T_P_BilanSocial[[#This Row],[Nom]]&amp;T_P_BilanSocial[[#This Row],[Prenom]]</f>
        <v>SALMIRACHID</v>
      </c>
      <c r="B677" s="228" t="s">
        <v>1770</v>
      </c>
      <c r="C677" s="229" t="s">
        <v>1771</v>
      </c>
      <c r="D677" s="229" t="s">
        <v>1772</v>
      </c>
      <c r="E677" s="229" t="s">
        <v>1177</v>
      </c>
      <c r="F677" s="230" t="s">
        <v>45</v>
      </c>
      <c r="G677" s="229" t="s">
        <v>1178</v>
      </c>
      <c r="H677" s="229" t="s">
        <v>1204</v>
      </c>
      <c r="I677" s="229" t="s">
        <v>1180</v>
      </c>
      <c r="J677" s="229" t="s">
        <v>471</v>
      </c>
      <c r="K677" s="231" t="s">
        <v>341</v>
      </c>
    </row>
    <row r="678" spans="1:11" s="226" customFormat="1" ht="9.6" customHeight="1" x14ac:dyDescent="0.2">
      <c r="A678" s="229" t="str">
        <f>T_P_BilanSocial[[#This Row],[Nom]]&amp;T_P_BilanSocial[[#This Row],[Prenom]]</f>
        <v>SALUZZIMARIO</v>
      </c>
      <c r="B678" s="228" t="s">
        <v>1273</v>
      </c>
      <c r="C678" s="229" t="s">
        <v>1274</v>
      </c>
      <c r="D678" s="229" t="s">
        <v>1275</v>
      </c>
      <c r="E678" s="229" t="s">
        <v>1177</v>
      </c>
      <c r="F678" s="230" t="s">
        <v>308</v>
      </c>
      <c r="G678" s="229" t="s">
        <v>1178</v>
      </c>
      <c r="H678" s="229" t="s">
        <v>1204</v>
      </c>
      <c r="I678" s="229" t="s">
        <v>1180</v>
      </c>
      <c r="J678" s="229" t="s">
        <v>607</v>
      </c>
      <c r="K678" s="231" t="s">
        <v>608</v>
      </c>
    </row>
    <row r="679" spans="1:11" s="226" customFormat="1" ht="9.6" customHeight="1" x14ac:dyDescent="0.2">
      <c r="A679" s="229" t="str">
        <f>T_P_BilanSocial[[#This Row],[Nom]]&amp;T_P_BilanSocial[[#This Row],[Prenom]]</f>
        <v>SANCHEZEMILIEN</v>
      </c>
      <c r="B679" s="228" t="s">
        <v>2286</v>
      </c>
      <c r="C679" s="229" t="s">
        <v>2287</v>
      </c>
      <c r="D679" s="229" t="s">
        <v>2288</v>
      </c>
      <c r="E679" s="229" t="s">
        <v>1177</v>
      </c>
      <c r="F679" s="230" t="s">
        <v>308</v>
      </c>
      <c r="G679" s="229" t="s">
        <v>1476</v>
      </c>
      <c r="H679" s="229" t="s">
        <v>1477</v>
      </c>
      <c r="I679" s="229" t="s">
        <v>1180</v>
      </c>
      <c r="J679" s="229" t="s">
        <v>353</v>
      </c>
      <c r="K679" s="231" t="s">
        <v>354</v>
      </c>
    </row>
    <row r="680" spans="1:11" s="226" customFormat="1" ht="9.6" customHeight="1" x14ac:dyDescent="0.2">
      <c r="A680" s="229" t="str">
        <f>T_P_BilanSocial[[#This Row],[Nom]]&amp;T_P_BilanSocial[[#This Row],[Prenom]]</f>
        <v>SANDIDNOUHAL</v>
      </c>
      <c r="B680" s="228" t="s">
        <v>2162</v>
      </c>
      <c r="C680" s="229" t="s">
        <v>2163</v>
      </c>
      <c r="D680" s="229" t="s">
        <v>2164</v>
      </c>
      <c r="E680" s="229" t="s">
        <v>1184</v>
      </c>
      <c r="F680" s="230" t="s">
        <v>45</v>
      </c>
      <c r="G680" s="229" t="s">
        <v>1476</v>
      </c>
      <c r="H680" s="229" t="s">
        <v>1477</v>
      </c>
      <c r="I680" s="229" t="s">
        <v>1180</v>
      </c>
      <c r="J680" s="229" t="s">
        <v>411</v>
      </c>
      <c r="K680" s="231" t="s">
        <v>341</v>
      </c>
    </row>
    <row r="681" spans="1:11" s="226" customFormat="1" ht="9.6" customHeight="1" x14ac:dyDescent="0.2">
      <c r="A681" s="229" t="str">
        <f>T_P_BilanSocial[[#This Row],[Nom]]&amp;T_P_BilanSocial[[#This Row],[Prenom]]</f>
        <v>SANTOS-COTTINISABELLE</v>
      </c>
      <c r="B681" s="228" t="s">
        <v>2769</v>
      </c>
      <c r="C681" s="229" t="s">
        <v>655</v>
      </c>
      <c r="D681" s="229" t="s">
        <v>1224</v>
      </c>
      <c r="E681" s="229" t="s">
        <v>1184</v>
      </c>
      <c r="F681" s="230" t="s">
        <v>45</v>
      </c>
      <c r="G681" s="229" t="s">
        <v>1476</v>
      </c>
      <c r="H681" s="229" t="s">
        <v>1794</v>
      </c>
      <c r="I681" s="229" t="s">
        <v>1180</v>
      </c>
      <c r="J681" s="229" t="s">
        <v>340</v>
      </c>
      <c r="K681" s="231" t="s">
        <v>341</v>
      </c>
    </row>
    <row r="682" spans="1:11" s="226" customFormat="1" ht="9.6" customHeight="1" x14ac:dyDescent="0.2">
      <c r="A682" s="229" t="str">
        <f>T_P_BilanSocial[[#This Row],[Nom]]&amp;T_P_BilanSocial[[#This Row],[Prenom]]</f>
        <v>SARDELLITTIKARINE</v>
      </c>
      <c r="B682" s="228" t="s">
        <v>2605</v>
      </c>
      <c r="C682" s="229" t="s">
        <v>2606</v>
      </c>
      <c r="D682" s="229" t="s">
        <v>1231</v>
      </c>
      <c r="E682" s="229" t="s">
        <v>1184</v>
      </c>
      <c r="F682" s="230" t="s">
        <v>45</v>
      </c>
      <c r="G682" s="229" t="s">
        <v>1476</v>
      </c>
      <c r="H682" s="229" t="s">
        <v>1794</v>
      </c>
      <c r="I682" s="229" t="s">
        <v>1180</v>
      </c>
      <c r="J682" s="229" t="s">
        <v>340</v>
      </c>
      <c r="K682" s="231" t="s">
        <v>341</v>
      </c>
    </row>
    <row r="683" spans="1:11" s="226" customFormat="1" ht="9.6" customHeight="1" x14ac:dyDescent="0.2">
      <c r="A683" s="229" t="str">
        <f>T_P_BilanSocial[[#This Row],[Nom]]&amp;T_P_BilanSocial[[#This Row],[Prenom]]</f>
        <v>SARRDJIBRIL NIANG</v>
      </c>
      <c r="B683" s="228" t="s">
        <v>2714</v>
      </c>
      <c r="C683" s="229" t="s">
        <v>2715</v>
      </c>
      <c r="D683" s="229" t="s">
        <v>2716</v>
      </c>
      <c r="E683" s="229" t="s">
        <v>1177</v>
      </c>
      <c r="F683" s="230" t="s">
        <v>445</v>
      </c>
      <c r="G683" s="229" t="s">
        <v>1476</v>
      </c>
      <c r="H683" s="229" t="s">
        <v>1794</v>
      </c>
      <c r="I683" s="229" t="s">
        <v>1180</v>
      </c>
      <c r="J683" s="229" t="s">
        <v>411</v>
      </c>
      <c r="K683" s="231" t="s">
        <v>341</v>
      </c>
    </row>
    <row r="684" spans="1:11" s="226" customFormat="1" ht="9.6" customHeight="1" x14ac:dyDescent="0.2">
      <c r="A684" s="229" t="str">
        <f>T_P_BilanSocial[[#This Row],[Nom]]&amp;T_P_BilanSocial[[#This Row],[Prenom]]</f>
        <v>SAVOYBLANDINE</v>
      </c>
      <c r="B684" s="228" t="s">
        <v>1208</v>
      </c>
      <c r="C684" s="229" t="s">
        <v>1209</v>
      </c>
      <c r="D684" s="229" t="s">
        <v>1210</v>
      </c>
      <c r="E684" s="229" t="s">
        <v>1184</v>
      </c>
      <c r="F684" s="230" t="s">
        <v>445</v>
      </c>
      <c r="G684" s="229" t="s">
        <v>1178</v>
      </c>
      <c r="H684" s="229" t="s">
        <v>1179</v>
      </c>
      <c r="I684" s="229" t="s">
        <v>1180</v>
      </c>
      <c r="J684" s="229" t="s">
        <v>353</v>
      </c>
      <c r="K684" s="231" t="s">
        <v>354</v>
      </c>
    </row>
    <row r="685" spans="1:11" s="226" customFormat="1" ht="9.6" customHeight="1" x14ac:dyDescent="0.2">
      <c r="A685" s="229" t="str">
        <f>T_P_BilanSocial[[#This Row],[Nom]]&amp;T_P_BilanSocial[[#This Row],[Prenom]]</f>
        <v>SCHLESINGERORIANE</v>
      </c>
      <c r="B685" s="228" t="s">
        <v>2847</v>
      </c>
      <c r="C685" s="229" t="s">
        <v>2848</v>
      </c>
      <c r="D685" s="229" t="s">
        <v>2849</v>
      </c>
      <c r="E685" s="229" t="s">
        <v>1184</v>
      </c>
      <c r="F685" s="230" t="s">
        <v>308</v>
      </c>
      <c r="G685" s="229" t="s">
        <v>1476</v>
      </c>
      <c r="H685" s="229" t="s">
        <v>1794</v>
      </c>
      <c r="I685" s="229" t="s">
        <v>1180</v>
      </c>
      <c r="J685" s="229" t="s">
        <v>376</v>
      </c>
      <c r="K685" s="231" t="s">
        <v>341</v>
      </c>
    </row>
    <row r="686" spans="1:11" s="226" customFormat="1" ht="9.6" customHeight="1" x14ac:dyDescent="0.2">
      <c r="A686" s="229" t="str">
        <f>T_P_BilanSocial[[#This Row],[Nom]]&amp;T_P_BilanSocial[[#This Row],[Prenom]]</f>
        <v>SCHMITTMARIE-ISABELLE</v>
      </c>
      <c r="B686" s="228" t="s">
        <v>2850</v>
      </c>
      <c r="C686" s="229" t="s">
        <v>973</v>
      </c>
      <c r="D686" s="229" t="s">
        <v>2851</v>
      </c>
      <c r="E686" s="229" t="s">
        <v>1184</v>
      </c>
      <c r="F686" s="230" t="s">
        <v>445</v>
      </c>
      <c r="G686" s="229" t="s">
        <v>1476</v>
      </c>
      <c r="H686" s="229" t="s">
        <v>1794</v>
      </c>
      <c r="I686" s="229" t="s">
        <v>1180</v>
      </c>
      <c r="J686" s="229" t="s">
        <v>481</v>
      </c>
      <c r="K686" s="231" t="s">
        <v>341</v>
      </c>
    </row>
    <row r="687" spans="1:11" s="226" customFormat="1" ht="9.6" customHeight="1" x14ac:dyDescent="0.2">
      <c r="A687" s="229" t="str">
        <f>T_P_BilanSocial[[#This Row],[Nom]]&amp;T_P_BilanSocial[[#This Row],[Prenom]]</f>
        <v>SEBEINOURA</v>
      </c>
      <c r="B687" s="228" t="s">
        <v>2271</v>
      </c>
      <c r="C687" s="229" t="s">
        <v>1000</v>
      </c>
      <c r="D687" s="229" t="s">
        <v>2272</v>
      </c>
      <c r="E687" s="229" t="s">
        <v>1184</v>
      </c>
      <c r="F687" s="230" t="s">
        <v>45</v>
      </c>
      <c r="G687" s="229" t="s">
        <v>1476</v>
      </c>
      <c r="H687" s="229" t="s">
        <v>1477</v>
      </c>
      <c r="I687" s="229" t="s">
        <v>1180</v>
      </c>
      <c r="J687" s="229" t="s">
        <v>2273</v>
      </c>
      <c r="K687" s="231" t="s">
        <v>2274</v>
      </c>
    </row>
    <row r="688" spans="1:11" s="226" customFormat="1" ht="9.6" customHeight="1" x14ac:dyDescent="0.2">
      <c r="A688" s="229" t="str">
        <f>T_P_BilanSocial[[#This Row],[Nom]]&amp;T_P_BilanSocial[[#This Row],[Prenom]]</f>
        <v>SEGAUDSARAH</v>
      </c>
      <c r="B688" s="228" t="s">
        <v>1674</v>
      </c>
      <c r="C688" s="229" t="s">
        <v>1675</v>
      </c>
      <c r="D688" s="229" t="s">
        <v>1503</v>
      </c>
      <c r="E688" s="229" t="s">
        <v>1184</v>
      </c>
      <c r="F688" s="230" t="s">
        <v>45</v>
      </c>
      <c r="G688" s="229" t="s">
        <v>1178</v>
      </c>
      <c r="H688" s="229" t="s">
        <v>1179</v>
      </c>
      <c r="I688" s="229" t="s">
        <v>1180</v>
      </c>
      <c r="J688" s="229" t="s">
        <v>1011</v>
      </c>
      <c r="K688" s="231" t="s">
        <v>1012</v>
      </c>
    </row>
    <row r="689" spans="1:11" s="226" customFormat="1" ht="9.6" customHeight="1" x14ac:dyDescent="0.2">
      <c r="A689" s="229" t="str">
        <f>T_P_BilanSocial[[#This Row],[Nom]]&amp;T_P_BilanSocial[[#This Row],[Prenom]]</f>
        <v>SEGUELAAgnès</v>
      </c>
      <c r="B689" s="228" t="s">
        <v>2132</v>
      </c>
      <c r="C689" s="229" t="s">
        <v>597</v>
      </c>
      <c r="D689" s="235" t="s">
        <v>598</v>
      </c>
      <c r="E689" s="229" t="s">
        <v>1184</v>
      </c>
      <c r="F689" s="230" t="s">
        <v>445</v>
      </c>
      <c r="G689" s="229" t="s">
        <v>1178</v>
      </c>
      <c r="H689" s="229" t="s">
        <v>1179</v>
      </c>
      <c r="I689" s="229" t="s">
        <v>1180</v>
      </c>
      <c r="J689" s="229" t="s">
        <v>537</v>
      </c>
      <c r="K689" s="231" t="s">
        <v>2133</v>
      </c>
    </row>
    <row r="690" spans="1:11" s="226" customFormat="1" ht="9.6" customHeight="1" x14ac:dyDescent="0.2">
      <c r="A690" s="229" t="str">
        <f>T_P_BilanSocial[[#This Row],[Nom]]&amp;T_P_BilanSocial[[#This Row],[Prenom]]</f>
        <v>SENECLAUZEMELANIE</v>
      </c>
      <c r="B690" s="228" t="s">
        <v>2578</v>
      </c>
      <c r="C690" s="229" t="s">
        <v>2579</v>
      </c>
      <c r="D690" s="229" t="s">
        <v>2223</v>
      </c>
      <c r="E690" s="229" t="s">
        <v>1184</v>
      </c>
      <c r="F690" s="230" t="s">
        <v>45</v>
      </c>
      <c r="G690" s="229" t="s">
        <v>1178</v>
      </c>
      <c r="H690" s="229" t="s">
        <v>1179</v>
      </c>
      <c r="I690" s="229" t="s">
        <v>1180</v>
      </c>
      <c r="J690" s="229" t="s">
        <v>611</v>
      </c>
      <c r="K690" s="231" t="s">
        <v>341</v>
      </c>
    </row>
    <row r="691" spans="1:11" s="226" customFormat="1" ht="9.6" customHeight="1" x14ac:dyDescent="0.2">
      <c r="A691" s="229" t="str">
        <f>T_P_BilanSocial[[#This Row],[Nom]]&amp;T_P_BilanSocial[[#This Row],[Prenom]]</f>
        <v>SIAGIANPASCALE</v>
      </c>
      <c r="B691" s="228" t="s">
        <v>2022</v>
      </c>
      <c r="C691" s="229" t="s">
        <v>2023</v>
      </c>
      <c r="D691" s="229" t="s">
        <v>1311</v>
      </c>
      <c r="E691" s="229" t="s">
        <v>1184</v>
      </c>
      <c r="F691" s="230" t="s">
        <v>445</v>
      </c>
      <c r="G691" s="229" t="s">
        <v>1178</v>
      </c>
      <c r="H691" s="229" t="s">
        <v>1435</v>
      </c>
      <c r="I691" s="229" t="s">
        <v>1180</v>
      </c>
      <c r="J691" s="229" t="s">
        <v>611</v>
      </c>
      <c r="K691" s="231" t="s">
        <v>341</v>
      </c>
    </row>
    <row r="692" spans="1:11" s="226" customFormat="1" ht="9.6" customHeight="1" x14ac:dyDescent="0.2">
      <c r="A692" s="229" t="str">
        <f>T_P_BilanSocial[[#This Row],[Nom]]&amp;T_P_BilanSocial[[#This Row],[Prenom]]</f>
        <v>SICARDARNAUD</v>
      </c>
      <c r="B692" s="228" t="s">
        <v>2872</v>
      </c>
      <c r="C692" s="229" t="s">
        <v>2873</v>
      </c>
      <c r="D692" s="229" t="s">
        <v>586</v>
      </c>
      <c r="E692" s="229" t="s">
        <v>1177</v>
      </c>
      <c r="F692" s="230" t="s">
        <v>45</v>
      </c>
      <c r="G692" s="229" t="s">
        <v>1476</v>
      </c>
      <c r="H692" s="229" t="s">
        <v>1794</v>
      </c>
      <c r="I692" s="229" t="s">
        <v>1180</v>
      </c>
      <c r="J692" s="229" t="s">
        <v>411</v>
      </c>
      <c r="K692" s="231" t="s">
        <v>341</v>
      </c>
    </row>
    <row r="693" spans="1:11" s="226" customFormat="1" ht="9.6" customHeight="1" x14ac:dyDescent="0.2">
      <c r="A693" s="229" t="str">
        <f>T_P_BilanSocial[[#This Row],[Nom]]&amp;T_P_BilanSocial[[#This Row],[Prenom]]</f>
        <v>SIMONDONDA-MARINA</v>
      </c>
      <c r="B693" s="228" t="s">
        <v>2310</v>
      </c>
      <c r="C693" s="229" t="s">
        <v>1112</v>
      </c>
      <c r="D693" s="229" t="s">
        <v>2311</v>
      </c>
      <c r="E693" s="229" t="s">
        <v>1184</v>
      </c>
      <c r="F693" s="230" t="s">
        <v>45</v>
      </c>
      <c r="G693" s="229" t="s">
        <v>1178</v>
      </c>
      <c r="H693" s="229" t="s">
        <v>1179</v>
      </c>
      <c r="I693" s="229" t="s">
        <v>1180</v>
      </c>
      <c r="J693" s="229" t="s">
        <v>416</v>
      </c>
      <c r="K693" s="231" t="s">
        <v>1363</v>
      </c>
    </row>
    <row r="694" spans="1:11" s="226" customFormat="1" ht="9.6" customHeight="1" x14ac:dyDescent="0.2">
      <c r="A694" s="229" t="str">
        <f>T_P_BilanSocial[[#This Row],[Nom]]&amp;T_P_BilanSocial[[#This Row],[Prenom]]</f>
        <v>SINDEZINGUEMARION</v>
      </c>
      <c r="B694" s="228" t="s">
        <v>2326</v>
      </c>
      <c r="C694" s="229" t="s">
        <v>328</v>
      </c>
      <c r="D694" s="229" t="s">
        <v>564</v>
      </c>
      <c r="E694" s="229" t="s">
        <v>1184</v>
      </c>
      <c r="F694" s="230" t="s">
        <v>308</v>
      </c>
      <c r="G694" s="229" t="s">
        <v>1476</v>
      </c>
      <c r="H694" s="229" t="s">
        <v>1794</v>
      </c>
      <c r="I694" s="229" t="s">
        <v>1180</v>
      </c>
      <c r="J694" s="229" t="s">
        <v>340</v>
      </c>
      <c r="K694" s="231" t="s">
        <v>341</v>
      </c>
    </row>
    <row r="695" spans="1:11" s="226" customFormat="1" ht="9.6" customHeight="1" x14ac:dyDescent="0.2">
      <c r="A695" s="229" t="str">
        <f>T_P_BilanSocial[[#This Row],[Nom]]&amp;T_P_BilanSocial[[#This Row],[Prenom]]</f>
        <v>SINZKARINE</v>
      </c>
      <c r="B695" s="228" t="s">
        <v>2386</v>
      </c>
      <c r="C695" s="229" t="s">
        <v>505</v>
      </c>
      <c r="D695" s="229" t="s">
        <v>1231</v>
      </c>
      <c r="E695" s="229" t="s">
        <v>1184</v>
      </c>
      <c r="F695" s="230" t="s">
        <v>45</v>
      </c>
      <c r="G695" s="229" t="s">
        <v>1178</v>
      </c>
      <c r="H695" s="229" t="s">
        <v>1204</v>
      </c>
      <c r="I695" s="229" t="s">
        <v>1180</v>
      </c>
      <c r="J695" s="229" t="s">
        <v>508</v>
      </c>
      <c r="K695" s="231" t="s">
        <v>509</v>
      </c>
    </row>
    <row r="696" spans="1:11" s="226" customFormat="1" ht="9.6" customHeight="1" x14ac:dyDescent="0.2">
      <c r="A696" s="229" t="str">
        <f>T_P_BilanSocial[[#This Row],[Nom]]&amp;T_P_BilanSocial[[#This Row],[Prenom]]</f>
        <v>SIZARETTHOMAS</v>
      </c>
      <c r="B696" s="228" t="s">
        <v>2673</v>
      </c>
      <c r="C696" s="229" t="s">
        <v>2674</v>
      </c>
      <c r="D696" s="229" t="s">
        <v>2138</v>
      </c>
      <c r="E696" s="229" t="s">
        <v>1177</v>
      </c>
      <c r="F696" s="230" t="s">
        <v>445</v>
      </c>
      <c r="G696" s="229" t="s">
        <v>1178</v>
      </c>
      <c r="H696" s="229" t="s">
        <v>1435</v>
      </c>
      <c r="I696" s="229" t="s">
        <v>1180</v>
      </c>
      <c r="J696" s="229" t="s">
        <v>471</v>
      </c>
      <c r="K696" s="231" t="s">
        <v>341</v>
      </c>
    </row>
    <row r="697" spans="1:11" s="226" customFormat="1" ht="9.6" customHeight="1" x14ac:dyDescent="0.2">
      <c r="A697" s="229" t="str">
        <f>T_P_BilanSocial[[#This Row],[Nom]]&amp;T_P_BilanSocial[[#This Row],[Prenom]]</f>
        <v>SOBAIHINORDINE</v>
      </c>
      <c r="B697" s="228" t="s">
        <v>2096</v>
      </c>
      <c r="C697" s="229" t="s">
        <v>2097</v>
      </c>
      <c r="D697" s="229" t="s">
        <v>2098</v>
      </c>
      <c r="E697" s="229" t="s">
        <v>1177</v>
      </c>
      <c r="F697" s="230" t="s">
        <v>45</v>
      </c>
      <c r="G697" s="229" t="s">
        <v>1476</v>
      </c>
      <c r="H697" s="229" t="s">
        <v>1477</v>
      </c>
      <c r="I697" s="229" t="s">
        <v>1180</v>
      </c>
      <c r="J697" s="229" t="s">
        <v>340</v>
      </c>
      <c r="K697" s="231" t="s">
        <v>341</v>
      </c>
    </row>
    <row r="698" spans="1:11" s="226" customFormat="1" ht="9.6" customHeight="1" x14ac:dyDescent="0.2">
      <c r="A698" s="229" t="str">
        <f>T_P_BilanSocial[[#This Row],[Nom]]&amp;T_P_BilanSocial[[#This Row],[Prenom]]</f>
        <v>SOGNOHERVÉ</v>
      </c>
      <c r="B698" s="228" t="s">
        <v>1175</v>
      </c>
      <c r="C698" s="229" t="s">
        <v>346</v>
      </c>
      <c r="D698" s="229" t="s">
        <v>1176</v>
      </c>
      <c r="E698" s="229" t="s">
        <v>1177</v>
      </c>
      <c r="F698" s="230" t="s">
        <v>308</v>
      </c>
      <c r="G698" s="229" t="s">
        <v>1178</v>
      </c>
      <c r="H698" s="229" t="s">
        <v>1179</v>
      </c>
      <c r="I698" s="229" t="s">
        <v>1180</v>
      </c>
      <c r="J698" s="229" t="s">
        <v>411</v>
      </c>
      <c r="K698" s="231" t="s">
        <v>341</v>
      </c>
    </row>
    <row r="699" spans="1:11" s="226" customFormat="1" ht="9.6" customHeight="1" x14ac:dyDescent="0.2">
      <c r="A699" s="229" t="str">
        <f>T_P_BilanSocial[[#This Row],[Nom]]&amp;T_P_BilanSocial[[#This Row],[Prenom]]</f>
        <v>SOKLIONEL</v>
      </c>
      <c r="B699" s="228" t="s">
        <v>2260</v>
      </c>
      <c r="C699" s="229" t="s">
        <v>2261</v>
      </c>
      <c r="D699" s="229" t="s">
        <v>1669</v>
      </c>
      <c r="E699" s="229" t="s">
        <v>1177</v>
      </c>
      <c r="F699" s="230" t="s">
        <v>45</v>
      </c>
      <c r="G699" s="229" t="s">
        <v>1476</v>
      </c>
      <c r="H699" s="229" t="s">
        <v>1794</v>
      </c>
      <c r="I699" s="229" t="s">
        <v>1180</v>
      </c>
      <c r="J699" s="229" t="s">
        <v>837</v>
      </c>
      <c r="K699" s="231" t="s">
        <v>2262</v>
      </c>
    </row>
    <row r="700" spans="1:11" s="226" customFormat="1" ht="9.6" customHeight="1" x14ac:dyDescent="0.2">
      <c r="A700" s="229" t="str">
        <f>T_P_BilanSocial[[#This Row],[Nom]]&amp;T_P_BilanSocial[[#This Row],[Prenom]]</f>
        <v>SOLEILLANDERIC</v>
      </c>
      <c r="B700" s="228" t="s">
        <v>1312</v>
      </c>
      <c r="C700" s="229" t="s">
        <v>427</v>
      </c>
      <c r="D700" s="229" t="s">
        <v>1313</v>
      </c>
      <c r="E700" s="229" t="s">
        <v>1177</v>
      </c>
      <c r="F700" s="230" t="s">
        <v>308</v>
      </c>
      <c r="G700" s="229" t="s">
        <v>1178</v>
      </c>
      <c r="H700" s="229" t="s">
        <v>1204</v>
      </c>
      <c r="I700" s="229" t="s">
        <v>1180</v>
      </c>
      <c r="J700" s="229" t="s">
        <v>320</v>
      </c>
      <c r="K700" s="231" t="s">
        <v>321</v>
      </c>
    </row>
    <row r="701" spans="1:11" s="226" customFormat="1" ht="9.6" customHeight="1" x14ac:dyDescent="0.2">
      <c r="A701" s="229" t="str">
        <f>T_P_BilanSocial[[#This Row],[Nom]]&amp;T_P_BilanSocial[[#This Row],[Prenom]]</f>
        <v>SOLEILLANDLUCIE</v>
      </c>
      <c r="B701" s="228" t="s">
        <v>1911</v>
      </c>
      <c r="C701" s="229" t="s">
        <v>427</v>
      </c>
      <c r="D701" s="229" t="s">
        <v>1912</v>
      </c>
      <c r="E701" s="229" t="s">
        <v>1184</v>
      </c>
      <c r="F701" s="230" t="s">
        <v>45</v>
      </c>
      <c r="G701" s="229" t="s">
        <v>1178</v>
      </c>
      <c r="H701" s="229" t="s">
        <v>1204</v>
      </c>
      <c r="I701" s="229" t="s">
        <v>1180</v>
      </c>
      <c r="J701" s="229" t="s">
        <v>1022</v>
      </c>
      <c r="K701" s="231" t="s">
        <v>1023</v>
      </c>
    </row>
    <row r="702" spans="1:11" s="226" customFormat="1" ht="9.6" customHeight="1" x14ac:dyDescent="0.2">
      <c r="A702" s="229" t="str">
        <f>T_P_BilanSocial[[#This Row],[Nom]]&amp;T_P_BilanSocial[[#This Row],[Prenom]]</f>
        <v>SOLIGNAC-DAHANFLORENCE</v>
      </c>
      <c r="B702" s="228" t="s">
        <v>1240</v>
      </c>
      <c r="C702" s="229" t="s">
        <v>710</v>
      </c>
      <c r="D702" s="229" t="s">
        <v>1241</v>
      </c>
      <c r="E702" s="229" t="s">
        <v>1184</v>
      </c>
      <c r="F702" s="230" t="s">
        <v>45</v>
      </c>
      <c r="G702" s="229" t="s">
        <v>1178</v>
      </c>
      <c r="H702" s="229" t="s">
        <v>1179</v>
      </c>
      <c r="I702" s="229" t="s">
        <v>1180</v>
      </c>
      <c r="J702" s="229" t="s">
        <v>552</v>
      </c>
      <c r="K702" s="231" t="s">
        <v>712</v>
      </c>
    </row>
    <row r="703" spans="1:11" s="226" customFormat="1" ht="9.6" customHeight="1" x14ac:dyDescent="0.2">
      <c r="A703" s="229" t="str">
        <f>T_P_BilanSocial[[#This Row],[Nom]]&amp;T_P_BilanSocial[[#This Row],[Prenom]]</f>
        <v>SORAMJESSY</v>
      </c>
      <c r="B703" s="228" t="s">
        <v>2708</v>
      </c>
      <c r="C703" s="229" t="s">
        <v>2709</v>
      </c>
      <c r="D703" s="229" t="s">
        <v>2710</v>
      </c>
      <c r="E703" s="229" t="s">
        <v>1184</v>
      </c>
      <c r="F703" s="230" t="s">
        <v>45</v>
      </c>
      <c r="G703" s="229" t="s">
        <v>1476</v>
      </c>
      <c r="H703" s="229" t="s">
        <v>1794</v>
      </c>
      <c r="I703" s="229" t="s">
        <v>1180</v>
      </c>
      <c r="J703" s="229" t="s">
        <v>340</v>
      </c>
      <c r="K703" s="231" t="s">
        <v>341</v>
      </c>
    </row>
    <row r="704" spans="1:11" s="226" customFormat="1" ht="9.6" customHeight="1" x14ac:dyDescent="0.2">
      <c r="A704" s="229" t="str">
        <f>T_P_BilanSocial[[#This Row],[Nom]]&amp;T_P_BilanSocial[[#This Row],[Prenom]]</f>
        <v>SOUCHERMATHIEU</v>
      </c>
      <c r="B704" s="228" t="s">
        <v>2143</v>
      </c>
      <c r="C704" s="229" t="s">
        <v>2144</v>
      </c>
      <c r="D704" s="229" t="s">
        <v>1557</v>
      </c>
      <c r="E704" s="229" t="s">
        <v>1177</v>
      </c>
      <c r="F704" s="230" t="s">
        <v>308</v>
      </c>
      <c r="G704" s="229" t="s">
        <v>1476</v>
      </c>
      <c r="H704" s="229" t="s">
        <v>1477</v>
      </c>
      <c r="I704" s="229" t="s">
        <v>1180</v>
      </c>
      <c r="J704" s="229" t="s">
        <v>340</v>
      </c>
      <c r="K704" s="231" t="s">
        <v>341</v>
      </c>
    </row>
    <row r="705" spans="1:11" s="226" customFormat="1" ht="9.6" customHeight="1" x14ac:dyDescent="0.2">
      <c r="A705" s="229" t="str">
        <f>T_P_BilanSocial[[#This Row],[Nom]]&amp;T_P_BilanSocial[[#This Row],[Prenom]]</f>
        <v>SOULIEREFRANCINE</v>
      </c>
      <c r="B705" s="228" t="s">
        <v>2352</v>
      </c>
      <c r="C705" s="229" t="s">
        <v>2353</v>
      </c>
      <c r="D705" s="229" t="s">
        <v>2354</v>
      </c>
      <c r="E705" s="229" t="s">
        <v>1184</v>
      </c>
      <c r="F705" s="230" t="s">
        <v>45</v>
      </c>
      <c r="G705" s="229" t="s">
        <v>1476</v>
      </c>
      <c r="H705" s="229" t="s">
        <v>1477</v>
      </c>
      <c r="I705" s="229" t="s">
        <v>1180</v>
      </c>
      <c r="J705" s="229" t="s">
        <v>376</v>
      </c>
      <c r="K705" s="231" t="s">
        <v>341</v>
      </c>
    </row>
    <row r="706" spans="1:11" s="226" customFormat="1" ht="9.6" customHeight="1" x14ac:dyDescent="0.2">
      <c r="A706" s="229" t="str">
        <f>T_P_BilanSocial[[#This Row],[Nom]]&amp;T_P_BilanSocial[[#This Row],[Prenom]]</f>
        <v>SOY-RAVASSONSÉVERINE</v>
      </c>
      <c r="B706" s="228" t="s">
        <v>1573</v>
      </c>
      <c r="C706" s="233" t="s">
        <v>719</v>
      </c>
      <c r="D706" s="229" t="s">
        <v>1574</v>
      </c>
      <c r="E706" s="229" t="s">
        <v>1184</v>
      </c>
      <c r="F706" s="230" t="s">
        <v>45</v>
      </c>
      <c r="G706" s="229" t="s">
        <v>1178</v>
      </c>
      <c r="H706" s="229" t="s">
        <v>1204</v>
      </c>
      <c r="I706" s="229" t="s">
        <v>1180</v>
      </c>
      <c r="J706" s="229" t="s">
        <v>665</v>
      </c>
      <c r="K706" s="231" t="s">
        <v>1306</v>
      </c>
    </row>
    <row r="707" spans="1:11" s="226" customFormat="1" ht="9.6" customHeight="1" x14ac:dyDescent="0.2">
      <c r="A707" s="229" t="str">
        <f>T_P_BilanSocial[[#This Row],[Nom]]&amp;T_P_BilanSocial[[#This Row],[Prenom]]</f>
        <v>STOIANANCA-LAURA</v>
      </c>
      <c r="B707" s="228" t="s">
        <v>2071</v>
      </c>
      <c r="C707" s="229" t="s">
        <v>1062</v>
      </c>
      <c r="D707" s="229" t="s">
        <v>2072</v>
      </c>
      <c r="E707" s="229" t="s">
        <v>1184</v>
      </c>
      <c r="F707" s="230" t="s">
        <v>445</v>
      </c>
      <c r="G707" s="229" t="s">
        <v>1178</v>
      </c>
      <c r="H707" s="229" t="s">
        <v>1204</v>
      </c>
      <c r="I707" s="229" t="s">
        <v>1180</v>
      </c>
      <c r="J707" s="229" t="s">
        <v>665</v>
      </c>
      <c r="K707" s="231" t="s">
        <v>1306</v>
      </c>
    </row>
    <row r="708" spans="1:11" s="226" customFormat="1" ht="9.6" customHeight="1" x14ac:dyDescent="0.2">
      <c r="A708" s="229" t="str">
        <f>T_P_BilanSocial[[#This Row],[Nom]]&amp;T_P_BilanSocial[[#This Row],[Prenom]]</f>
        <v>STOLTZJEAN-CHARLES</v>
      </c>
      <c r="B708" s="228" t="s">
        <v>2522</v>
      </c>
      <c r="C708" s="229" t="s">
        <v>2523</v>
      </c>
      <c r="D708" s="229" t="s">
        <v>2524</v>
      </c>
      <c r="E708" s="229" t="s">
        <v>1177</v>
      </c>
      <c r="F708" s="230" t="s">
        <v>445</v>
      </c>
      <c r="G708" s="229" t="s">
        <v>1178</v>
      </c>
      <c r="H708" s="229" t="s">
        <v>1204</v>
      </c>
      <c r="I708" s="229" t="s">
        <v>1180</v>
      </c>
      <c r="J708" s="233" t="s">
        <v>420</v>
      </c>
      <c r="K708" s="234" t="s">
        <v>421</v>
      </c>
    </row>
    <row r="709" spans="1:11" s="226" customFormat="1" ht="9.6" customHeight="1" x14ac:dyDescent="0.2">
      <c r="A709" s="229" t="str">
        <f>T_P_BilanSocial[[#This Row],[Nom]]&amp;T_P_BilanSocial[[#This Row],[Prenom]]</f>
        <v>SUDARIKOVATATIANA</v>
      </c>
      <c r="B709" s="228" t="s">
        <v>1842</v>
      </c>
      <c r="C709" s="229" t="s">
        <v>1843</v>
      </c>
      <c r="D709" s="229" t="s">
        <v>1844</v>
      </c>
      <c r="E709" s="229" t="s">
        <v>1184</v>
      </c>
      <c r="F709" s="230" t="s">
        <v>45</v>
      </c>
      <c r="G709" s="229" t="s">
        <v>1476</v>
      </c>
      <c r="H709" s="229" t="s">
        <v>1477</v>
      </c>
      <c r="I709" s="229" t="s">
        <v>1180</v>
      </c>
      <c r="J709" s="229" t="s">
        <v>320</v>
      </c>
      <c r="K709" s="231" t="s">
        <v>321</v>
      </c>
    </row>
    <row r="710" spans="1:11" s="226" customFormat="1" ht="9.6" customHeight="1" x14ac:dyDescent="0.2">
      <c r="A710" s="229" t="str">
        <f>T_P_BilanSocial[[#This Row],[Nom]]&amp;T_P_BilanSocial[[#This Row],[Prenom]]</f>
        <v>SUDREAURORE</v>
      </c>
      <c r="B710" s="228" t="s">
        <v>1778</v>
      </c>
      <c r="C710" s="229" t="s">
        <v>1779</v>
      </c>
      <c r="D710" s="229" t="s">
        <v>1780</v>
      </c>
      <c r="E710" s="229" t="s">
        <v>1184</v>
      </c>
      <c r="F710" s="230" t="s">
        <v>308</v>
      </c>
      <c r="G710" s="229" t="s">
        <v>1476</v>
      </c>
      <c r="H710" s="229" t="s">
        <v>1477</v>
      </c>
      <c r="I710" s="229" t="s">
        <v>1180</v>
      </c>
      <c r="J710" s="229" t="s">
        <v>340</v>
      </c>
      <c r="K710" s="231" t="s">
        <v>341</v>
      </c>
    </row>
    <row r="711" spans="1:11" s="226" customFormat="1" ht="9.6" customHeight="1" x14ac:dyDescent="0.2">
      <c r="A711" s="229" t="str">
        <f>T_P_BilanSocial[[#This Row],[Nom]]&amp;T_P_BilanSocial[[#This Row],[Prenom]]</f>
        <v>SUTTONALEISTER</v>
      </c>
      <c r="B711" s="228" t="s">
        <v>2693</v>
      </c>
      <c r="C711" s="229" t="s">
        <v>1038</v>
      </c>
      <c r="D711" s="229" t="s">
        <v>2694</v>
      </c>
      <c r="E711" s="229" t="s">
        <v>1177</v>
      </c>
      <c r="F711" s="230" t="s">
        <v>445</v>
      </c>
      <c r="G711" s="229" t="s">
        <v>1476</v>
      </c>
      <c r="H711" s="229" t="s">
        <v>1794</v>
      </c>
      <c r="I711" s="229" t="s">
        <v>1180</v>
      </c>
      <c r="J711" s="229" t="s">
        <v>411</v>
      </c>
      <c r="K711" s="231" t="s">
        <v>341</v>
      </c>
    </row>
    <row r="712" spans="1:11" s="226" customFormat="1" ht="9.6" customHeight="1" x14ac:dyDescent="0.2">
      <c r="A712" s="229" t="str">
        <f>T_P_BilanSocial[[#This Row],[Nom]]&amp;T_P_BilanSocial[[#This Row],[Prenom]]</f>
        <v>SYLVESTREJULIE</v>
      </c>
      <c r="B712" s="228" t="s">
        <v>1855</v>
      </c>
      <c r="C712" s="229" t="s">
        <v>1856</v>
      </c>
      <c r="D712" s="229" t="s">
        <v>1857</v>
      </c>
      <c r="E712" s="229" t="s">
        <v>1184</v>
      </c>
      <c r="F712" s="230" t="s">
        <v>308</v>
      </c>
      <c r="G712" s="229" t="s">
        <v>1476</v>
      </c>
      <c r="H712" s="229" t="s">
        <v>1477</v>
      </c>
      <c r="I712" s="229" t="s">
        <v>1180</v>
      </c>
      <c r="J712" s="229" t="s">
        <v>481</v>
      </c>
      <c r="K712" s="231" t="s">
        <v>341</v>
      </c>
    </row>
    <row r="713" spans="1:11" s="226" customFormat="1" ht="9.6" customHeight="1" x14ac:dyDescent="0.2">
      <c r="A713" s="229" t="str">
        <f>T_P_BilanSocial[[#This Row],[Nom]]&amp;T_P_BilanSocial[[#This Row],[Prenom]]</f>
        <v>TABUTEAUANGELIQUE</v>
      </c>
      <c r="B713" s="228" t="s">
        <v>1886</v>
      </c>
      <c r="C713" s="229" t="s">
        <v>1887</v>
      </c>
      <c r="D713" s="229" t="s">
        <v>1888</v>
      </c>
      <c r="E713" s="229" t="s">
        <v>1184</v>
      </c>
      <c r="F713" s="230" t="s">
        <v>308</v>
      </c>
      <c r="G713" s="229" t="s">
        <v>1178</v>
      </c>
      <c r="H713" s="229" t="s">
        <v>1204</v>
      </c>
      <c r="I713" s="229" t="s">
        <v>1180</v>
      </c>
      <c r="J713" s="229" t="s">
        <v>1889</v>
      </c>
      <c r="K713" s="231" t="s">
        <v>1890</v>
      </c>
    </row>
    <row r="714" spans="1:11" s="226" customFormat="1" ht="9.6" customHeight="1" x14ac:dyDescent="0.2">
      <c r="A714" s="229" t="str">
        <f>T_P_BilanSocial[[#This Row],[Nom]]&amp;T_P_BilanSocial[[#This Row],[Prenom]]</f>
        <v>TAKIOCTAVE</v>
      </c>
      <c r="B714" s="228" t="s">
        <v>2777</v>
      </c>
      <c r="C714" s="229" t="s">
        <v>2778</v>
      </c>
      <c r="D714" s="229" t="s">
        <v>2779</v>
      </c>
      <c r="E714" s="229" t="s">
        <v>1177</v>
      </c>
      <c r="F714" s="230" t="s">
        <v>45</v>
      </c>
      <c r="G714" s="229" t="s">
        <v>1476</v>
      </c>
      <c r="H714" s="229" t="s">
        <v>1794</v>
      </c>
      <c r="I714" s="229" t="s">
        <v>1180</v>
      </c>
      <c r="J714" s="229" t="s">
        <v>398</v>
      </c>
      <c r="K714" s="231" t="s">
        <v>1298</v>
      </c>
    </row>
    <row r="715" spans="1:11" s="226" customFormat="1" ht="9.6" customHeight="1" x14ac:dyDescent="0.2">
      <c r="A715" s="229" t="str">
        <f>T_P_BilanSocial[[#This Row],[Nom]]&amp;T_P_BilanSocial[[#This Row],[Prenom]]</f>
        <v>TANZILLIDOMINIQUE</v>
      </c>
      <c r="B715" s="228" t="s">
        <v>2202</v>
      </c>
      <c r="C715" s="229" t="s">
        <v>2203</v>
      </c>
      <c r="D715" s="229" t="s">
        <v>1221</v>
      </c>
      <c r="E715" s="229" t="s">
        <v>1184</v>
      </c>
      <c r="F715" s="230" t="s">
        <v>45</v>
      </c>
      <c r="G715" s="229" t="s">
        <v>1178</v>
      </c>
      <c r="H715" s="229" t="s">
        <v>1179</v>
      </c>
      <c r="I715" s="229" t="s">
        <v>1180</v>
      </c>
      <c r="J715" s="229" t="s">
        <v>702</v>
      </c>
      <c r="K715" s="231" t="s">
        <v>2204</v>
      </c>
    </row>
    <row r="716" spans="1:11" s="226" customFormat="1" ht="9.6" customHeight="1" x14ac:dyDescent="0.2">
      <c r="A716" s="229" t="str">
        <f>T_P_BilanSocial[[#This Row],[Nom]]&amp;T_P_BilanSocial[[#This Row],[Prenom]]</f>
        <v>TARQUISVALÉRIE</v>
      </c>
      <c r="B716" s="228" t="s">
        <v>1598</v>
      </c>
      <c r="C716" s="229" t="s">
        <v>1599</v>
      </c>
      <c r="D716" s="229" t="s">
        <v>1308</v>
      </c>
      <c r="E716" s="229" t="s">
        <v>1184</v>
      </c>
      <c r="F716" s="230" t="s">
        <v>45</v>
      </c>
      <c r="G716" s="229" t="s">
        <v>1178</v>
      </c>
      <c r="H716" s="229" t="s">
        <v>1179</v>
      </c>
      <c r="I716" s="229" t="s">
        <v>1180</v>
      </c>
      <c r="J716" s="229" t="s">
        <v>411</v>
      </c>
      <c r="K716" s="231" t="s">
        <v>341</v>
      </c>
    </row>
    <row r="717" spans="1:11" s="226" customFormat="1" ht="9.6" customHeight="1" x14ac:dyDescent="0.2">
      <c r="A717" s="229" t="str">
        <f>T_P_BilanSocial[[#This Row],[Nom]]&amp;T_P_BilanSocial[[#This Row],[Prenom]]</f>
        <v>TCHAMAY DEN</v>
      </c>
      <c r="B717" s="228" t="s">
        <v>1969</v>
      </c>
      <c r="C717" s="229" t="s">
        <v>1970</v>
      </c>
      <c r="D717" s="229" t="s">
        <v>1971</v>
      </c>
      <c r="E717" s="229" t="s">
        <v>1184</v>
      </c>
      <c r="F717" s="230" t="s">
        <v>308</v>
      </c>
      <c r="G717" s="229" t="s">
        <v>1476</v>
      </c>
      <c r="H717" s="229" t="s">
        <v>1794</v>
      </c>
      <c r="I717" s="229" t="s">
        <v>1180</v>
      </c>
      <c r="J717" s="229" t="s">
        <v>481</v>
      </c>
      <c r="K717" s="231" t="s">
        <v>341</v>
      </c>
    </row>
    <row r="718" spans="1:11" s="226" customFormat="1" ht="9.6" customHeight="1" x14ac:dyDescent="0.2">
      <c r="A718" s="229" t="str">
        <f>T_P_BilanSocial[[#This Row],[Nom]]&amp;T_P_BilanSocial[[#This Row],[Prenom]]</f>
        <v>TEDESCOSONIA</v>
      </c>
      <c r="B718" s="228" t="s">
        <v>1242</v>
      </c>
      <c r="C718" s="229" t="s">
        <v>1243</v>
      </c>
      <c r="D718" s="229" t="s">
        <v>1244</v>
      </c>
      <c r="E718" s="229" t="s">
        <v>1184</v>
      </c>
      <c r="F718" s="230" t="s">
        <v>45</v>
      </c>
      <c r="G718" s="229" t="s">
        <v>1178</v>
      </c>
      <c r="H718" s="229" t="s">
        <v>1179</v>
      </c>
      <c r="I718" s="229" t="s">
        <v>1180</v>
      </c>
      <c r="J718" s="229" t="s">
        <v>892</v>
      </c>
      <c r="K718" s="231" t="s">
        <v>893</v>
      </c>
    </row>
    <row r="719" spans="1:11" s="226" customFormat="1" ht="9.6" customHeight="1" x14ac:dyDescent="0.2">
      <c r="A719" s="229" t="str">
        <f>T_P_BilanSocial[[#This Row],[Nom]]&amp;T_P_BilanSocial[[#This Row],[Prenom]]</f>
        <v>TEMPEREVALÉRIE</v>
      </c>
      <c r="B719" s="228" t="s">
        <v>1517</v>
      </c>
      <c r="C719" s="229" t="s">
        <v>897</v>
      </c>
      <c r="D719" s="229" t="s">
        <v>1308</v>
      </c>
      <c r="E719" s="229" t="s">
        <v>1184</v>
      </c>
      <c r="F719" s="230" t="s">
        <v>445</v>
      </c>
      <c r="G719" s="229" t="s">
        <v>1178</v>
      </c>
      <c r="H719" s="229" t="s">
        <v>1204</v>
      </c>
      <c r="I719" s="229" t="s">
        <v>1180</v>
      </c>
      <c r="J719" s="229" t="s">
        <v>1514</v>
      </c>
      <c r="K719" s="231" t="s">
        <v>1518</v>
      </c>
    </row>
    <row r="720" spans="1:11" s="226" customFormat="1" ht="9.6" customHeight="1" x14ac:dyDescent="0.2">
      <c r="A720" s="229" t="str">
        <f>T_P_BilanSocial[[#This Row],[Nom]]&amp;T_P_BilanSocial[[#This Row],[Prenom]]</f>
        <v>TENTORINIYANN</v>
      </c>
      <c r="B720" s="228" t="s">
        <v>1948</v>
      </c>
      <c r="C720" s="229" t="s">
        <v>1949</v>
      </c>
      <c r="D720" s="229" t="s">
        <v>1284</v>
      </c>
      <c r="E720" s="229" t="s">
        <v>1177</v>
      </c>
      <c r="F720" s="230" t="s">
        <v>308</v>
      </c>
      <c r="G720" s="229" t="s">
        <v>1178</v>
      </c>
      <c r="H720" s="229" t="s">
        <v>1179</v>
      </c>
      <c r="I720" s="229" t="s">
        <v>1180</v>
      </c>
      <c r="J720" s="229" t="s">
        <v>353</v>
      </c>
      <c r="K720" s="231" t="s">
        <v>354</v>
      </c>
    </row>
    <row r="721" spans="1:11" s="226" customFormat="1" ht="9.6" customHeight="1" x14ac:dyDescent="0.2">
      <c r="A721" s="229" t="str">
        <f>T_P_BilanSocial[[#This Row],[Nom]]&amp;T_P_BilanSocial[[#This Row],[Prenom]]</f>
        <v>TESSIERLUCIE</v>
      </c>
      <c r="B721" s="228" t="s">
        <v>1977</v>
      </c>
      <c r="C721" s="229" t="s">
        <v>1978</v>
      </c>
      <c r="D721" s="229" t="s">
        <v>1912</v>
      </c>
      <c r="E721" s="229" t="s">
        <v>1184</v>
      </c>
      <c r="F721" s="230" t="s">
        <v>45</v>
      </c>
      <c r="G721" s="229" t="s">
        <v>1178</v>
      </c>
      <c r="H721" s="229" t="s">
        <v>1204</v>
      </c>
      <c r="I721" s="229" t="s">
        <v>1180</v>
      </c>
      <c r="J721" s="229" t="s">
        <v>566</v>
      </c>
      <c r="K721" s="231" t="s">
        <v>1979</v>
      </c>
    </row>
    <row r="722" spans="1:11" s="226" customFormat="1" ht="9.6" customHeight="1" x14ac:dyDescent="0.2">
      <c r="A722" s="229" t="str">
        <f>T_P_BilanSocial[[#This Row],[Nom]]&amp;T_P_BilanSocial[[#This Row],[Prenom]]</f>
        <v>THALAMASMARGAUX</v>
      </c>
      <c r="B722" s="228" t="s">
        <v>2408</v>
      </c>
      <c r="C722" s="229" t="s">
        <v>2409</v>
      </c>
      <c r="D722" s="229" t="s">
        <v>2015</v>
      </c>
      <c r="E722" s="229" t="s">
        <v>1184</v>
      </c>
      <c r="F722" s="230" t="s">
        <v>445</v>
      </c>
      <c r="G722" s="229" t="s">
        <v>1476</v>
      </c>
      <c r="H722" s="229" t="s">
        <v>1477</v>
      </c>
      <c r="I722" s="229" t="s">
        <v>1180</v>
      </c>
      <c r="J722" s="229" t="s">
        <v>376</v>
      </c>
      <c r="K722" s="231" t="s">
        <v>341</v>
      </c>
    </row>
    <row r="723" spans="1:11" s="226" customFormat="1" ht="9.6" customHeight="1" x14ac:dyDescent="0.2">
      <c r="A723" s="229" t="str">
        <f>T_P_BilanSocial[[#This Row],[Nom]]&amp;T_P_BilanSocial[[#This Row],[Prenom]]</f>
        <v>THALAMAS-COMMERSONVALÉRIE</v>
      </c>
      <c r="B723" s="228" t="s">
        <v>1688</v>
      </c>
      <c r="C723" s="229" t="s">
        <v>1689</v>
      </c>
      <c r="D723" s="229" t="s">
        <v>1308</v>
      </c>
      <c r="E723" s="229" t="s">
        <v>1184</v>
      </c>
      <c r="F723" s="230" t="s">
        <v>445</v>
      </c>
      <c r="G723" s="229" t="s">
        <v>1178</v>
      </c>
      <c r="H723" s="229" t="s">
        <v>1204</v>
      </c>
      <c r="I723" s="229" t="s">
        <v>1180</v>
      </c>
      <c r="J723" s="229" t="s">
        <v>340</v>
      </c>
      <c r="K723" s="231" t="s">
        <v>341</v>
      </c>
    </row>
    <row r="724" spans="1:11" s="226" customFormat="1" ht="9.6" customHeight="1" x14ac:dyDescent="0.2">
      <c r="A724" s="229" t="str">
        <f>T_P_BilanSocial[[#This Row],[Nom]]&amp;T_P_BilanSocial[[#This Row],[Prenom]]</f>
        <v>THENOZ FERNANDESSERGE</v>
      </c>
      <c r="B724" s="228" t="s">
        <v>2575</v>
      </c>
      <c r="C724" s="229" t="s">
        <v>2576</v>
      </c>
      <c r="D724" s="229" t="s">
        <v>2577</v>
      </c>
      <c r="E724" s="229" t="s">
        <v>1177</v>
      </c>
      <c r="F724" s="230" t="s">
        <v>308</v>
      </c>
      <c r="G724" s="229" t="s">
        <v>1178</v>
      </c>
      <c r="H724" s="229" t="s">
        <v>1179</v>
      </c>
      <c r="I724" s="229" t="s">
        <v>1180</v>
      </c>
      <c r="J724" s="229" t="s">
        <v>353</v>
      </c>
      <c r="K724" s="231" t="s">
        <v>354</v>
      </c>
    </row>
    <row r="725" spans="1:11" s="226" customFormat="1" ht="9.6" customHeight="1" x14ac:dyDescent="0.2">
      <c r="A725" s="229" t="str">
        <f>T_P_BilanSocial[[#This Row],[Nom]]&amp;T_P_BilanSocial[[#This Row],[Prenom]]</f>
        <v>THIEVENAZESTELLE</v>
      </c>
      <c r="B725" s="228" t="s">
        <v>2305</v>
      </c>
      <c r="C725" s="229" t="s">
        <v>440</v>
      </c>
      <c r="D725" s="229" t="s">
        <v>1974</v>
      </c>
      <c r="E725" s="229" t="s">
        <v>1184</v>
      </c>
      <c r="F725" s="230" t="s">
        <v>445</v>
      </c>
      <c r="G725" s="229" t="s">
        <v>1476</v>
      </c>
      <c r="H725" s="229" t="s">
        <v>1477</v>
      </c>
      <c r="I725" s="229" t="s">
        <v>1180</v>
      </c>
      <c r="J725" s="233" t="s">
        <v>443</v>
      </c>
      <c r="K725" s="234" t="s">
        <v>444</v>
      </c>
    </row>
    <row r="726" spans="1:11" s="226" customFormat="1" ht="9.6" customHeight="1" x14ac:dyDescent="0.2">
      <c r="A726" s="229" t="str">
        <f>T_P_BilanSocial[[#This Row],[Nom]]&amp;T_P_BilanSocial[[#This Row],[Prenom]]</f>
        <v>THIVANTERIC</v>
      </c>
      <c r="B726" s="228" t="s">
        <v>1621</v>
      </c>
      <c r="C726" s="229" t="s">
        <v>1622</v>
      </c>
      <c r="D726" s="229" t="s">
        <v>1313</v>
      </c>
      <c r="E726" s="229" t="s">
        <v>1177</v>
      </c>
      <c r="F726" s="230" t="s">
        <v>308</v>
      </c>
      <c r="G726" s="229" t="s">
        <v>1178</v>
      </c>
      <c r="H726" s="229" t="s">
        <v>1204</v>
      </c>
      <c r="I726" s="229" t="s">
        <v>1180</v>
      </c>
      <c r="J726" s="229" t="s">
        <v>481</v>
      </c>
      <c r="K726" s="231" t="s">
        <v>341</v>
      </c>
    </row>
    <row r="727" spans="1:11" s="226" customFormat="1" ht="9.6" customHeight="1" x14ac:dyDescent="0.2">
      <c r="A727" s="229" t="str">
        <f>T_P_BilanSocial[[#This Row],[Nom]]&amp;T_P_BilanSocial[[#This Row],[Prenom]]</f>
        <v>THIVICHON-PRINCEMOULKHEIR</v>
      </c>
      <c r="B727" s="228" t="s">
        <v>1520</v>
      </c>
      <c r="C727" s="229" t="s">
        <v>929</v>
      </c>
      <c r="D727" s="229" t="s">
        <v>1521</v>
      </c>
      <c r="E727" s="229" t="s">
        <v>1184</v>
      </c>
      <c r="F727" s="230" t="s">
        <v>445</v>
      </c>
      <c r="G727" s="229" t="s">
        <v>1178</v>
      </c>
      <c r="H727" s="229" t="s">
        <v>1204</v>
      </c>
      <c r="I727" s="229" t="s">
        <v>1180</v>
      </c>
      <c r="J727" s="229" t="s">
        <v>930</v>
      </c>
      <c r="K727" s="231" t="s">
        <v>1522</v>
      </c>
    </row>
    <row r="728" spans="1:11" s="226" customFormat="1" ht="9.6" customHeight="1" x14ac:dyDescent="0.2">
      <c r="A728" s="229" t="str">
        <f>T_P_BilanSocial[[#This Row],[Nom]]&amp;T_P_BilanSocial[[#This Row],[Prenom]]</f>
        <v>THOLLOTANNE-LAURE</v>
      </c>
      <c r="B728" s="228" t="s">
        <v>2781</v>
      </c>
      <c r="C728" s="229" t="s">
        <v>751</v>
      </c>
      <c r="D728" s="233" t="s">
        <v>1610</v>
      </c>
      <c r="E728" s="229" t="s">
        <v>1184</v>
      </c>
      <c r="F728" s="230" t="s">
        <v>308</v>
      </c>
      <c r="G728" s="229" t="s">
        <v>1476</v>
      </c>
      <c r="H728" s="229" t="s">
        <v>1794</v>
      </c>
      <c r="I728" s="229" t="s">
        <v>1180</v>
      </c>
      <c r="J728" s="229" t="s">
        <v>535</v>
      </c>
      <c r="K728" s="231" t="s">
        <v>536</v>
      </c>
    </row>
    <row r="729" spans="1:11" s="226" customFormat="1" ht="9.6" customHeight="1" x14ac:dyDescent="0.2">
      <c r="A729" s="229" t="str">
        <f>T_P_BilanSocial[[#This Row],[Nom]]&amp;T_P_BilanSocial[[#This Row],[Prenom]]</f>
        <v>THOLYLAURENCE</v>
      </c>
      <c r="B729" s="228" t="s">
        <v>1519</v>
      </c>
      <c r="C729" s="229" t="s">
        <v>1046</v>
      </c>
      <c r="D729" s="229" t="s">
        <v>1282</v>
      </c>
      <c r="E729" s="229" t="s">
        <v>1184</v>
      </c>
      <c r="F729" s="230" t="s">
        <v>45</v>
      </c>
      <c r="G729" s="229" t="s">
        <v>1178</v>
      </c>
      <c r="H729" s="229" t="s">
        <v>1179</v>
      </c>
      <c r="I729" s="229" t="s">
        <v>1180</v>
      </c>
      <c r="J729" s="229" t="s">
        <v>611</v>
      </c>
      <c r="K729" s="231" t="s">
        <v>341</v>
      </c>
    </row>
    <row r="730" spans="1:11" s="226" customFormat="1" ht="9.6" customHeight="1" x14ac:dyDescent="0.2">
      <c r="A730" s="229" t="str">
        <f>T_P_BilanSocial[[#This Row],[Nom]]&amp;T_P_BilanSocial[[#This Row],[Prenom]]</f>
        <v>TOPALIANPHILIPPE</v>
      </c>
      <c r="B730" s="228" t="s">
        <v>1338</v>
      </c>
      <c r="C730" s="229" t="s">
        <v>474</v>
      </c>
      <c r="D730" s="229" t="s">
        <v>1339</v>
      </c>
      <c r="E730" s="229" t="s">
        <v>1177</v>
      </c>
      <c r="F730" s="230" t="s">
        <v>445</v>
      </c>
      <c r="G730" s="229" t="s">
        <v>1178</v>
      </c>
      <c r="H730" s="229" t="s">
        <v>1204</v>
      </c>
      <c r="I730" s="229" t="s">
        <v>1180</v>
      </c>
      <c r="J730" s="229" t="s">
        <v>477</v>
      </c>
      <c r="K730" s="232" t="s">
        <v>478</v>
      </c>
    </row>
    <row r="731" spans="1:11" s="226" customFormat="1" ht="9.6" customHeight="1" x14ac:dyDescent="0.2">
      <c r="A731" s="229" t="str">
        <f>T_P_BilanSocial[[#This Row],[Nom]]&amp;T_P_BilanSocial[[#This Row],[Prenom]]</f>
        <v>TORNAREMAXENCE</v>
      </c>
      <c r="B731" s="228" t="s">
        <v>2906</v>
      </c>
      <c r="C731" s="229" t="s">
        <v>2907</v>
      </c>
      <c r="D731" s="229" t="s">
        <v>2908</v>
      </c>
      <c r="E731" s="229" t="s">
        <v>1177</v>
      </c>
      <c r="F731" s="230" t="s">
        <v>45</v>
      </c>
      <c r="G731" s="229" t="s">
        <v>1476</v>
      </c>
      <c r="H731" s="229" t="s">
        <v>1794</v>
      </c>
      <c r="I731" s="229" t="s">
        <v>1180</v>
      </c>
      <c r="J731" s="229" t="s">
        <v>2273</v>
      </c>
      <c r="K731" s="231" t="s">
        <v>2909</v>
      </c>
    </row>
    <row r="732" spans="1:11" s="226" customFormat="1" ht="9.6" customHeight="1" x14ac:dyDescent="0.2">
      <c r="A732" s="229" t="str">
        <f>T_P_BilanSocial[[#This Row],[Nom]]&amp;T_P_BilanSocial[[#This Row],[Prenom]]</f>
        <v>TORREALBA ORTIGOZAANGELICA MARIA</v>
      </c>
      <c r="B732" s="228" t="s">
        <v>2496</v>
      </c>
      <c r="C732" s="229" t="s">
        <v>2497</v>
      </c>
      <c r="D732" s="229" t="s">
        <v>2498</v>
      </c>
      <c r="E732" s="229" t="s">
        <v>1184</v>
      </c>
      <c r="F732" s="230" t="s">
        <v>308</v>
      </c>
      <c r="G732" s="229" t="s">
        <v>1476</v>
      </c>
      <c r="H732" s="229" t="s">
        <v>1794</v>
      </c>
      <c r="I732" s="229" t="s">
        <v>1180</v>
      </c>
      <c r="J732" s="229" t="s">
        <v>340</v>
      </c>
      <c r="K732" s="231" t="s">
        <v>341</v>
      </c>
    </row>
    <row r="733" spans="1:11" s="226" customFormat="1" ht="9.6" customHeight="1" x14ac:dyDescent="0.2">
      <c r="A733" s="229" t="str">
        <f>T_P_BilanSocial[[#This Row],[Nom]]&amp;T_P_BilanSocial[[#This Row],[Prenom]]</f>
        <v>TOUATISHEHERAZADE</v>
      </c>
      <c r="B733" s="228" t="s">
        <v>2607</v>
      </c>
      <c r="C733" s="229" t="s">
        <v>2608</v>
      </c>
      <c r="D733" s="229" t="s">
        <v>2609</v>
      </c>
      <c r="E733" s="229" t="s">
        <v>1184</v>
      </c>
      <c r="F733" s="230" t="s">
        <v>45</v>
      </c>
      <c r="G733" s="229" t="s">
        <v>1476</v>
      </c>
      <c r="H733" s="229" t="s">
        <v>1794</v>
      </c>
      <c r="I733" s="229" t="s">
        <v>1180</v>
      </c>
      <c r="J733" s="229" t="s">
        <v>843</v>
      </c>
      <c r="K733" s="231" t="s">
        <v>1735</v>
      </c>
    </row>
    <row r="734" spans="1:11" s="226" customFormat="1" ht="9.6" customHeight="1" x14ac:dyDescent="0.2">
      <c r="A734" s="229" t="str">
        <f>T_P_BilanSocial[[#This Row],[Nom]]&amp;T_P_BilanSocial[[#This Row],[Prenom]]</f>
        <v>TOURNIERFLORENCE</v>
      </c>
      <c r="B734" s="228" t="s">
        <v>2465</v>
      </c>
      <c r="C734" s="229" t="s">
        <v>992</v>
      </c>
      <c r="D734" s="229" t="s">
        <v>1241</v>
      </c>
      <c r="E734" s="229" t="s">
        <v>1184</v>
      </c>
      <c r="F734" s="230" t="s">
        <v>45</v>
      </c>
      <c r="G734" s="229" t="s">
        <v>1178</v>
      </c>
      <c r="H734" s="229" t="s">
        <v>1204</v>
      </c>
      <c r="I734" s="229" t="s">
        <v>1180</v>
      </c>
      <c r="J734" s="229" t="s">
        <v>340</v>
      </c>
      <c r="K734" s="231" t="s">
        <v>341</v>
      </c>
    </row>
    <row r="735" spans="1:11" s="226" customFormat="1" ht="9.6" customHeight="1" x14ac:dyDescent="0.2">
      <c r="A735" s="229" t="str">
        <f>T_P_BilanSocial[[#This Row],[Nom]]&amp;T_P_BilanSocial[[#This Row],[Prenom]]</f>
        <v>TOURNIGANDMICKAËL</v>
      </c>
      <c r="B735" s="228" t="s">
        <v>1736</v>
      </c>
      <c r="C735" s="229" t="s">
        <v>1737</v>
      </c>
      <c r="D735" s="229" t="s">
        <v>1738</v>
      </c>
      <c r="E735" s="229" t="s">
        <v>1177</v>
      </c>
      <c r="F735" s="230" t="s">
        <v>45</v>
      </c>
      <c r="G735" s="229" t="s">
        <v>1178</v>
      </c>
      <c r="H735" s="229" t="s">
        <v>1204</v>
      </c>
      <c r="I735" s="229" t="s">
        <v>1180</v>
      </c>
      <c r="J735" s="229" t="s">
        <v>411</v>
      </c>
      <c r="K735" s="231" t="s">
        <v>341</v>
      </c>
    </row>
    <row r="736" spans="1:11" s="226" customFormat="1" ht="9.6" customHeight="1" x14ac:dyDescent="0.2">
      <c r="A736" s="229" t="str">
        <f>T_P_BilanSocial[[#This Row],[Nom]]&amp;T_P_BilanSocial[[#This Row],[Prenom]]</f>
        <v>TRANCHANDBERNARD</v>
      </c>
      <c r="B736" s="228" t="s">
        <v>2454</v>
      </c>
      <c r="C736" s="229" t="s">
        <v>2455</v>
      </c>
      <c r="D736" s="229" t="s">
        <v>1720</v>
      </c>
      <c r="E736" s="229" t="s">
        <v>1177</v>
      </c>
      <c r="F736" s="230" t="s">
        <v>45</v>
      </c>
      <c r="G736" s="229" t="s">
        <v>1476</v>
      </c>
      <c r="H736" s="229" t="s">
        <v>1477</v>
      </c>
      <c r="I736" s="229" t="s">
        <v>1180</v>
      </c>
      <c r="J736" s="229" t="s">
        <v>684</v>
      </c>
      <c r="K736" s="231" t="s">
        <v>341</v>
      </c>
    </row>
    <row r="737" spans="1:11" s="226" customFormat="1" ht="9.6" customHeight="1" x14ac:dyDescent="0.2">
      <c r="A737" s="229" t="str">
        <f>T_P_BilanSocial[[#This Row],[Nom]]&amp;T_P_BilanSocial[[#This Row],[Prenom]]</f>
        <v>TROUILLOUDFRÉDÉRIQUE</v>
      </c>
      <c r="B737" s="228" t="s">
        <v>1533</v>
      </c>
      <c r="C737" s="229" t="s">
        <v>617</v>
      </c>
      <c r="D737" s="229" t="s">
        <v>1534</v>
      </c>
      <c r="E737" s="229" t="s">
        <v>1184</v>
      </c>
      <c r="F737" s="230" t="s">
        <v>445</v>
      </c>
      <c r="G737" s="229" t="s">
        <v>1178</v>
      </c>
      <c r="H737" s="229" t="s">
        <v>1204</v>
      </c>
      <c r="I737" s="229" t="s">
        <v>1180</v>
      </c>
      <c r="J737" s="229" t="s">
        <v>618</v>
      </c>
      <c r="K737" s="231" t="s">
        <v>619</v>
      </c>
    </row>
    <row r="738" spans="1:11" s="226" customFormat="1" ht="9.6" customHeight="1" x14ac:dyDescent="0.2">
      <c r="A738" s="229" t="str">
        <f>T_P_BilanSocial[[#This Row],[Nom]]&amp;T_P_BilanSocial[[#This Row],[Prenom]]</f>
        <v>TRUGLIADORIAN</v>
      </c>
      <c r="B738" s="228" t="s">
        <v>2915</v>
      </c>
      <c r="C738" s="229" t="s">
        <v>2916</v>
      </c>
      <c r="D738" s="229" t="s">
        <v>2917</v>
      </c>
      <c r="E738" s="229" t="s">
        <v>1177</v>
      </c>
      <c r="F738" s="230" t="s">
        <v>308</v>
      </c>
      <c r="G738" s="229" t="s">
        <v>1476</v>
      </c>
      <c r="H738" s="229" t="s">
        <v>1794</v>
      </c>
      <c r="I738" s="229" t="s">
        <v>1180</v>
      </c>
      <c r="J738" s="229" t="s">
        <v>353</v>
      </c>
      <c r="K738" s="231" t="s">
        <v>354</v>
      </c>
    </row>
    <row r="739" spans="1:11" s="226" customFormat="1" ht="9.6" customHeight="1" x14ac:dyDescent="0.2">
      <c r="A739" s="229" t="str">
        <f>T_P_BilanSocial[[#This Row],[Nom]]&amp;T_P_BilanSocial[[#This Row],[Prenom]]</f>
        <v>TURINEMELODY</v>
      </c>
      <c r="B739" s="228" t="s">
        <v>2589</v>
      </c>
      <c r="C739" s="229" t="s">
        <v>999</v>
      </c>
      <c r="D739" s="229" t="s">
        <v>2590</v>
      </c>
      <c r="E739" s="229" t="s">
        <v>1184</v>
      </c>
      <c r="F739" s="230" t="s">
        <v>45</v>
      </c>
      <c r="G739" s="229" t="s">
        <v>1476</v>
      </c>
      <c r="H739" s="229" t="s">
        <v>1794</v>
      </c>
      <c r="I739" s="229" t="s">
        <v>1180</v>
      </c>
      <c r="J739" s="233" t="s">
        <v>3005</v>
      </c>
      <c r="K739" s="234" t="s">
        <v>3006</v>
      </c>
    </row>
    <row r="740" spans="1:11" s="226" customFormat="1" ht="9.6" customHeight="1" x14ac:dyDescent="0.2">
      <c r="A740" s="229" t="str">
        <f>T_P_BilanSocial[[#This Row],[Nom]]&amp;T_P_BilanSocial[[#This Row],[Prenom]]</f>
        <v>USECHE GUERREROGAeL DÉSIRÉE</v>
      </c>
      <c r="B740" s="228" t="s">
        <v>2569</v>
      </c>
      <c r="C740" s="229" t="s">
        <v>750</v>
      </c>
      <c r="D740" s="229" t="s">
        <v>3018</v>
      </c>
      <c r="E740" s="229" t="s">
        <v>1184</v>
      </c>
      <c r="F740" s="230" t="s">
        <v>308</v>
      </c>
      <c r="G740" s="229" t="s">
        <v>1476</v>
      </c>
      <c r="H740" s="229" t="s">
        <v>1794</v>
      </c>
      <c r="I740" s="229" t="s">
        <v>1180</v>
      </c>
      <c r="J740" s="229" t="s">
        <v>376</v>
      </c>
      <c r="K740" s="231" t="s">
        <v>341</v>
      </c>
    </row>
    <row r="741" spans="1:11" s="226" customFormat="1" ht="9.6" customHeight="1" x14ac:dyDescent="0.2">
      <c r="A741" s="229" t="str">
        <f>T_P_BilanSocial[[#This Row],[Nom]]&amp;T_P_BilanSocial[[#This Row],[Prenom]]</f>
        <v>VALENTINOLIVIER</v>
      </c>
      <c r="B741" s="228" t="s">
        <v>2239</v>
      </c>
      <c r="C741" s="229" t="s">
        <v>2240</v>
      </c>
      <c r="D741" s="229" t="s">
        <v>1278</v>
      </c>
      <c r="E741" s="229" t="s">
        <v>1177</v>
      </c>
      <c r="F741" s="230" t="s">
        <v>308</v>
      </c>
      <c r="G741" s="229" t="s">
        <v>1178</v>
      </c>
      <c r="H741" s="229" t="s">
        <v>1204</v>
      </c>
      <c r="I741" s="229" t="s">
        <v>1180</v>
      </c>
      <c r="J741" s="229" t="s">
        <v>376</v>
      </c>
      <c r="K741" s="231" t="s">
        <v>341</v>
      </c>
    </row>
    <row r="742" spans="1:11" s="226" customFormat="1" ht="9.6" customHeight="1" x14ac:dyDescent="0.2">
      <c r="A742" s="229" t="str">
        <f>T_P_BilanSocial[[#This Row],[Nom]]&amp;T_P_BilanSocial[[#This Row],[Prenom]]</f>
        <v>VALEROJEAN</v>
      </c>
      <c r="B742" s="228" t="s">
        <v>1245</v>
      </c>
      <c r="C742" s="229" t="s">
        <v>1246</v>
      </c>
      <c r="D742" s="229" t="s">
        <v>1247</v>
      </c>
      <c r="E742" s="229" t="s">
        <v>1177</v>
      </c>
      <c r="F742" s="230" t="s">
        <v>45</v>
      </c>
      <c r="G742" s="229" t="s">
        <v>1178</v>
      </c>
      <c r="H742" s="229" t="s">
        <v>1179</v>
      </c>
      <c r="I742" s="229" t="s">
        <v>1180</v>
      </c>
      <c r="J742" s="229" t="s">
        <v>411</v>
      </c>
      <c r="K742" s="231" t="s">
        <v>341</v>
      </c>
    </row>
    <row r="743" spans="1:11" s="226" customFormat="1" ht="9.6" customHeight="1" x14ac:dyDescent="0.2">
      <c r="A743" s="229" t="str">
        <f>T_P_BilanSocial[[#This Row],[Nom]]&amp;T_P_BilanSocial[[#This Row],[Prenom]]</f>
        <v>VALETTEFANNY</v>
      </c>
      <c r="B743" s="228" t="s">
        <v>1488</v>
      </c>
      <c r="C743" s="229" t="s">
        <v>969</v>
      </c>
      <c r="D743" s="229" t="s">
        <v>1489</v>
      </c>
      <c r="E743" s="229" t="s">
        <v>1184</v>
      </c>
      <c r="F743" s="230" t="s">
        <v>308</v>
      </c>
      <c r="G743" s="229" t="s">
        <v>1178</v>
      </c>
      <c r="H743" s="229" t="s">
        <v>1204</v>
      </c>
      <c r="I743" s="229" t="s">
        <v>1180</v>
      </c>
      <c r="J743" s="229" t="s">
        <v>1076</v>
      </c>
      <c r="K743" s="231" t="s">
        <v>1490</v>
      </c>
    </row>
    <row r="744" spans="1:11" s="226" customFormat="1" ht="9.6" customHeight="1" x14ac:dyDescent="0.2">
      <c r="A744" s="229" t="str">
        <f>T_P_BilanSocial[[#This Row],[Nom]]&amp;T_P_BilanSocial[[#This Row],[Prenom]]</f>
        <v>VALETTESÉBASTIEN</v>
      </c>
      <c r="B744" s="228" t="s">
        <v>2734</v>
      </c>
      <c r="C744" s="229" t="s">
        <v>969</v>
      </c>
      <c r="D744" s="229" t="s">
        <v>2735</v>
      </c>
      <c r="E744" s="229" t="s">
        <v>1177</v>
      </c>
      <c r="F744" s="230" t="s">
        <v>445</v>
      </c>
      <c r="G744" s="229" t="s">
        <v>1476</v>
      </c>
      <c r="H744" s="229" t="s">
        <v>1794</v>
      </c>
      <c r="I744" s="229" t="s">
        <v>1180</v>
      </c>
      <c r="J744" s="229" t="s">
        <v>481</v>
      </c>
      <c r="K744" s="231" t="s">
        <v>341</v>
      </c>
    </row>
    <row r="745" spans="1:11" s="226" customFormat="1" ht="9.6" customHeight="1" x14ac:dyDescent="0.2">
      <c r="A745" s="229" t="str">
        <f>T_P_BilanSocial[[#This Row],[Nom]]&amp;T_P_BilanSocial[[#This Row],[Prenom]]</f>
        <v>VALLATDAMIEN</v>
      </c>
      <c r="B745" s="228" t="s">
        <v>1927</v>
      </c>
      <c r="C745" s="229" t="s">
        <v>743</v>
      </c>
      <c r="D745" s="229" t="s">
        <v>1928</v>
      </c>
      <c r="E745" s="229" t="s">
        <v>1177</v>
      </c>
      <c r="F745" s="230" t="s">
        <v>308</v>
      </c>
      <c r="G745" s="229" t="s">
        <v>1178</v>
      </c>
      <c r="H745" s="229" t="s">
        <v>1204</v>
      </c>
      <c r="I745" s="229" t="s">
        <v>1180</v>
      </c>
      <c r="J745" s="229" t="s">
        <v>340</v>
      </c>
      <c r="K745" s="231" t="s">
        <v>341</v>
      </c>
    </row>
    <row r="746" spans="1:11" s="226" customFormat="1" ht="9.6" customHeight="1" x14ac:dyDescent="0.2">
      <c r="A746" s="229" t="str">
        <f>T_P_BilanSocial[[#This Row],[Nom]]&amp;T_P_BilanSocial[[#This Row],[Prenom]]</f>
        <v>VALLIERCHRISTINE</v>
      </c>
      <c r="B746" s="228" t="s">
        <v>1814</v>
      </c>
      <c r="C746" s="229" t="s">
        <v>936</v>
      </c>
      <c r="D746" s="229" t="s">
        <v>1447</v>
      </c>
      <c r="E746" s="229" t="s">
        <v>1184</v>
      </c>
      <c r="F746" s="230" t="s">
        <v>445</v>
      </c>
      <c r="G746" s="229" t="s">
        <v>1178</v>
      </c>
      <c r="H746" s="229" t="s">
        <v>1204</v>
      </c>
      <c r="I746" s="229" t="s">
        <v>1180</v>
      </c>
      <c r="J746" s="229" t="s">
        <v>398</v>
      </c>
      <c r="K746" s="231" t="s">
        <v>1298</v>
      </c>
    </row>
    <row r="747" spans="1:11" s="226" customFormat="1" ht="9.6" customHeight="1" x14ac:dyDescent="0.2">
      <c r="A747" s="229" t="str">
        <f>T_P_BilanSocial[[#This Row],[Nom]]&amp;T_P_BilanSocial[[#This Row],[Prenom]]</f>
        <v>VARVIERTEDDY</v>
      </c>
      <c r="B747" s="228" t="s">
        <v>1569</v>
      </c>
      <c r="C747" s="229" t="s">
        <v>1570</v>
      </c>
      <c r="D747" s="229" t="s">
        <v>1571</v>
      </c>
      <c r="E747" s="229" t="s">
        <v>1177</v>
      </c>
      <c r="F747" s="230" t="s">
        <v>308</v>
      </c>
      <c r="G747" s="229" t="s">
        <v>1178</v>
      </c>
      <c r="H747" s="229" t="s">
        <v>1204</v>
      </c>
      <c r="I747" s="229" t="s">
        <v>1180</v>
      </c>
      <c r="J747" s="229" t="s">
        <v>1083</v>
      </c>
      <c r="K747" s="231" t="s">
        <v>1572</v>
      </c>
    </row>
    <row r="748" spans="1:11" s="226" customFormat="1" ht="9.6" customHeight="1" x14ac:dyDescent="0.2">
      <c r="A748" s="229" t="str">
        <f>T_P_BilanSocial[[#This Row],[Nom]]&amp;T_P_BilanSocial[[#This Row],[Prenom]]</f>
        <v>VASCHALDEPIERRE-GUY</v>
      </c>
      <c r="B748" s="228" t="s">
        <v>1523</v>
      </c>
      <c r="C748" s="229" t="s">
        <v>757</v>
      </c>
      <c r="D748" s="229" t="s">
        <v>1524</v>
      </c>
      <c r="E748" s="229" t="s">
        <v>1177</v>
      </c>
      <c r="F748" s="230" t="s">
        <v>308</v>
      </c>
      <c r="G748" s="229" t="s">
        <v>1178</v>
      </c>
      <c r="H748" s="229" t="s">
        <v>1204</v>
      </c>
      <c r="I748" s="229" t="s">
        <v>1180</v>
      </c>
      <c r="J748" s="229" t="s">
        <v>762</v>
      </c>
      <c r="K748" s="231" t="s">
        <v>763</v>
      </c>
    </row>
    <row r="749" spans="1:11" s="226" customFormat="1" ht="9.6" customHeight="1" x14ac:dyDescent="0.2">
      <c r="A749" s="229" t="str">
        <f>T_P_BilanSocial[[#This Row],[Nom]]&amp;T_P_BilanSocial[[#This Row],[Prenom]]</f>
        <v>VASILEVALIDIYA</v>
      </c>
      <c r="B749" s="228" t="s">
        <v>1883</v>
      </c>
      <c r="C749" s="229" t="s">
        <v>1884</v>
      </c>
      <c r="D749" s="229" t="s">
        <v>1885</v>
      </c>
      <c r="E749" s="229" t="s">
        <v>1184</v>
      </c>
      <c r="F749" s="230" t="s">
        <v>45</v>
      </c>
      <c r="G749" s="229" t="s">
        <v>1178</v>
      </c>
      <c r="H749" s="229" t="s">
        <v>1204</v>
      </c>
      <c r="I749" s="229" t="s">
        <v>1180</v>
      </c>
      <c r="J749" s="229" t="s">
        <v>353</v>
      </c>
      <c r="K749" s="231" t="s">
        <v>354</v>
      </c>
    </row>
    <row r="750" spans="1:11" s="226" customFormat="1" ht="9.6" customHeight="1" x14ac:dyDescent="0.2">
      <c r="A750" s="229" t="str">
        <f>T_P_BilanSocial[[#This Row],[Nom]]&amp;T_P_BilanSocial[[#This Row],[Prenom]]</f>
        <v>VAUTRIN-VILLONDVéronique</v>
      </c>
      <c r="B750" s="228" t="s">
        <v>2568</v>
      </c>
      <c r="C750" s="229" t="s">
        <v>550</v>
      </c>
      <c r="D750" s="235" t="s">
        <v>551</v>
      </c>
      <c r="E750" s="229" t="s">
        <v>1184</v>
      </c>
      <c r="F750" s="230" t="s">
        <v>445</v>
      </c>
      <c r="G750" s="229" t="s">
        <v>1178</v>
      </c>
      <c r="H750" s="229" t="s">
        <v>1179</v>
      </c>
      <c r="I750" s="229" t="s">
        <v>1180</v>
      </c>
      <c r="J750" s="229" t="s">
        <v>552</v>
      </c>
      <c r="K750" s="231" t="s">
        <v>553</v>
      </c>
    </row>
    <row r="751" spans="1:11" s="226" customFormat="1" ht="9.6" customHeight="1" x14ac:dyDescent="0.2">
      <c r="A751" s="229" t="str">
        <f>T_P_BilanSocial[[#This Row],[Nom]]&amp;T_P_BilanSocial[[#This Row],[Prenom]]</f>
        <v>VEGADAVID</v>
      </c>
      <c r="B751" s="228" t="s">
        <v>2101</v>
      </c>
      <c r="C751" s="229" t="s">
        <v>2102</v>
      </c>
      <c r="D751" s="229" t="s">
        <v>350</v>
      </c>
      <c r="E751" s="229" t="s">
        <v>1177</v>
      </c>
      <c r="F751" s="230" t="s">
        <v>45</v>
      </c>
      <c r="G751" s="229" t="s">
        <v>1178</v>
      </c>
      <c r="H751" s="229" t="s">
        <v>1204</v>
      </c>
      <c r="I751" s="229" t="s">
        <v>1180</v>
      </c>
      <c r="J751" s="229" t="s">
        <v>2103</v>
      </c>
      <c r="K751" s="231" t="s">
        <v>2104</v>
      </c>
    </row>
    <row r="752" spans="1:11" s="226" customFormat="1" ht="9.6" customHeight="1" x14ac:dyDescent="0.2">
      <c r="A752" s="229" t="str">
        <f>T_P_BilanSocial[[#This Row],[Nom]]&amp;T_P_BilanSocial[[#This Row],[Prenom]]</f>
        <v>VENIERDAVID</v>
      </c>
      <c r="B752" s="228" t="s">
        <v>1531</v>
      </c>
      <c r="C752" s="229" t="s">
        <v>1532</v>
      </c>
      <c r="D752" s="229" t="s">
        <v>350</v>
      </c>
      <c r="E752" s="229" t="s">
        <v>1177</v>
      </c>
      <c r="F752" s="230" t="s">
        <v>445</v>
      </c>
      <c r="G752" s="229" t="s">
        <v>1178</v>
      </c>
      <c r="H752" s="229" t="s">
        <v>1204</v>
      </c>
      <c r="I752" s="229" t="s">
        <v>1180</v>
      </c>
      <c r="J752" s="229" t="s">
        <v>353</v>
      </c>
      <c r="K752" s="231" t="s">
        <v>354</v>
      </c>
    </row>
    <row r="753" spans="1:11" s="226" customFormat="1" ht="9.6" customHeight="1" x14ac:dyDescent="0.2">
      <c r="A753" s="229" t="str">
        <f>T_P_BilanSocial[[#This Row],[Nom]]&amp;T_P_BilanSocial[[#This Row],[Prenom]]</f>
        <v>VERLETEMMANUELLE</v>
      </c>
      <c r="B753" s="228" t="s">
        <v>2139</v>
      </c>
      <c r="C753" s="229" t="s">
        <v>2140</v>
      </c>
      <c r="D753" s="229" t="s">
        <v>1624</v>
      </c>
      <c r="E753" s="229" t="s">
        <v>1184</v>
      </c>
      <c r="F753" s="230" t="s">
        <v>45</v>
      </c>
      <c r="G753" s="229" t="s">
        <v>1178</v>
      </c>
      <c r="H753" s="229" t="s">
        <v>1204</v>
      </c>
      <c r="I753" s="229" t="s">
        <v>1180</v>
      </c>
      <c r="J753" s="229" t="s">
        <v>2141</v>
      </c>
      <c r="K753" s="231" t="s">
        <v>2142</v>
      </c>
    </row>
    <row r="754" spans="1:11" s="226" customFormat="1" ht="9.6" customHeight="1" x14ac:dyDescent="0.2">
      <c r="A754" s="229" t="str">
        <f>T_P_BilanSocial[[#This Row],[Nom]]&amp;T_P_BilanSocial[[#This Row],[Prenom]]</f>
        <v>VERNAY-MERCIERFLORENCE</v>
      </c>
      <c r="B754" s="228" t="s">
        <v>2834</v>
      </c>
      <c r="C754" s="229" t="s">
        <v>2835</v>
      </c>
      <c r="D754" s="229" t="s">
        <v>1241</v>
      </c>
      <c r="E754" s="229" t="s">
        <v>1184</v>
      </c>
      <c r="F754" s="230" t="s">
        <v>45</v>
      </c>
      <c r="G754" s="229" t="s">
        <v>1476</v>
      </c>
      <c r="H754" s="229" t="s">
        <v>1794</v>
      </c>
      <c r="I754" s="229" t="s">
        <v>1180</v>
      </c>
      <c r="J754" s="229" t="s">
        <v>481</v>
      </c>
      <c r="K754" s="231" t="s">
        <v>341</v>
      </c>
    </row>
    <row r="755" spans="1:11" s="226" customFormat="1" ht="9.6" customHeight="1" x14ac:dyDescent="0.2">
      <c r="A755" s="229" t="str">
        <f>T_P_BilanSocial[[#This Row],[Nom]]&amp;T_P_BilanSocial[[#This Row],[Prenom]]</f>
        <v>VERONSOPHIE</v>
      </c>
      <c r="B755" s="228" t="s">
        <v>1752</v>
      </c>
      <c r="C755" s="229" t="s">
        <v>1753</v>
      </c>
      <c r="D755" s="229" t="s">
        <v>1255</v>
      </c>
      <c r="E755" s="229" t="s">
        <v>1184</v>
      </c>
      <c r="F755" s="230" t="s">
        <v>308</v>
      </c>
      <c r="G755" s="229" t="s">
        <v>1178</v>
      </c>
      <c r="H755" s="229" t="s">
        <v>1204</v>
      </c>
      <c r="I755" s="229" t="s">
        <v>1180</v>
      </c>
      <c r="J755" s="229" t="s">
        <v>411</v>
      </c>
      <c r="K755" s="231" t="s">
        <v>341</v>
      </c>
    </row>
    <row r="756" spans="1:11" s="226" customFormat="1" ht="9.6" customHeight="1" x14ac:dyDescent="0.2">
      <c r="A756" s="229" t="str">
        <f>T_P_BilanSocial[[#This Row],[Nom]]&amp;T_P_BilanSocial[[#This Row],[Prenom]]</f>
        <v>VESCOVOJEAN-ALBERT</v>
      </c>
      <c r="B756" s="228" t="s">
        <v>1891</v>
      </c>
      <c r="C756" s="229" t="s">
        <v>1892</v>
      </c>
      <c r="D756" s="229" t="s">
        <v>1893</v>
      </c>
      <c r="E756" s="229" t="s">
        <v>1177</v>
      </c>
      <c r="F756" s="230" t="s">
        <v>308</v>
      </c>
      <c r="G756" s="229" t="s">
        <v>1178</v>
      </c>
      <c r="H756" s="229" t="s">
        <v>1204</v>
      </c>
      <c r="I756" s="229" t="s">
        <v>1180</v>
      </c>
      <c r="J756" s="229" t="s">
        <v>353</v>
      </c>
      <c r="K756" s="231" t="s">
        <v>354</v>
      </c>
    </row>
    <row r="757" spans="1:11" s="226" customFormat="1" ht="9.6" customHeight="1" x14ac:dyDescent="0.2">
      <c r="A757" s="229" t="str">
        <f>T_P_BilanSocial[[#This Row],[Nom]]&amp;T_P_BilanSocial[[#This Row],[Prenom]]</f>
        <v>VIALARONLAURENCE</v>
      </c>
      <c r="B757" s="228" t="s">
        <v>1697</v>
      </c>
      <c r="C757" s="229" t="s">
        <v>953</v>
      </c>
      <c r="D757" s="229" t="s">
        <v>1282</v>
      </c>
      <c r="E757" s="229" t="s">
        <v>1184</v>
      </c>
      <c r="F757" s="230" t="s">
        <v>308</v>
      </c>
      <c r="G757" s="229" t="s">
        <v>1178</v>
      </c>
      <c r="H757" s="229" t="s">
        <v>1435</v>
      </c>
      <c r="I757" s="229" t="s">
        <v>1180</v>
      </c>
      <c r="J757" s="233" t="s">
        <v>1378</v>
      </c>
      <c r="K757" s="231" t="s">
        <v>1698</v>
      </c>
    </row>
    <row r="758" spans="1:11" s="226" customFormat="1" ht="9.6" customHeight="1" x14ac:dyDescent="0.2">
      <c r="A758" s="229" t="str">
        <f>T_P_BilanSocial[[#This Row],[Nom]]&amp;T_P_BilanSocial[[#This Row],[Prenom]]</f>
        <v>VICTOIREISABELLE</v>
      </c>
      <c r="B758" s="228" t="s">
        <v>2400</v>
      </c>
      <c r="C758" s="229" t="s">
        <v>984</v>
      </c>
      <c r="D758" s="229" t="s">
        <v>1224</v>
      </c>
      <c r="E758" s="229" t="s">
        <v>1184</v>
      </c>
      <c r="F758" s="230" t="s">
        <v>445</v>
      </c>
      <c r="G758" s="229" t="s">
        <v>1178</v>
      </c>
      <c r="H758" s="229" t="s">
        <v>1179</v>
      </c>
      <c r="I758" s="229" t="s">
        <v>1180</v>
      </c>
      <c r="J758" s="229" t="s">
        <v>611</v>
      </c>
      <c r="K758" s="231" t="s">
        <v>341</v>
      </c>
    </row>
    <row r="759" spans="1:11" s="226" customFormat="1" ht="9.6" customHeight="1" x14ac:dyDescent="0.2">
      <c r="A759" s="229" t="str">
        <f>T_P_BilanSocial[[#This Row],[Nom]]&amp;T_P_BilanSocial[[#This Row],[Prenom]]</f>
        <v>VIDBERGERIC</v>
      </c>
      <c r="B759" s="228" t="s">
        <v>2108</v>
      </c>
      <c r="C759" s="229" t="s">
        <v>539</v>
      </c>
      <c r="D759" s="229" t="s">
        <v>1313</v>
      </c>
      <c r="E759" s="229" t="s">
        <v>1177</v>
      </c>
      <c r="F759" s="230" t="s">
        <v>308</v>
      </c>
      <c r="G759" s="229" t="s">
        <v>1476</v>
      </c>
      <c r="H759" s="229" t="s">
        <v>1794</v>
      </c>
      <c r="I759" s="229" t="s">
        <v>1180</v>
      </c>
      <c r="J759" s="229" t="s">
        <v>498</v>
      </c>
      <c r="K759" s="234" t="s">
        <v>543</v>
      </c>
    </row>
    <row r="760" spans="1:11" s="226" customFormat="1" ht="9.6" customHeight="1" x14ac:dyDescent="0.2">
      <c r="A760" s="229" t="str">
        <f>T_P_BilanSocial[[#This Row],[Nom]]&amp;T_P_BilanSocial[[#This Row],[Prenom]]</f>
        <v>VIEUXBRUNO</v>
      </c>
      <c r="B760" s="228" t="s">
        <v>1858</v>
      </c>
      <c r="C760" s="229" t="s">
        <v>1859</v>
      </c>
      <c r="D760" s="229" t="s">
        <v>1632</v>
      </c>
      <c r="E760" s="229" t="s">
        <v>1177</v>
      </c>
      <c r="F760" s="230" t="s">
        <v>45</v>
      </c>
      <c r="G760" s="229" t="s">
        <v>1178</v>
      </c>
      <c r="H760" s="229" t="s">
        <v>1204</v>
      </c>
      <c r="I760" s="229" t="s">
        <v>1180</v>
      </c>
      <c r="J760" s="229" t="s">
        <v>944</v>
      </c>
      <c r="K760" s="231" t="s">
        <v>945</v>
      </c>
    </row>
    <row r="761" spans="1:11" s="226" customFormat="1" ht="9.6" customHeight="1" x14ac:dyDescent="0.2">
      <c r="A761" s="229" t="str">
        <f>T_P_BilanSocial[[#This Row],[Nom]]&amp;T_P_BilanSocial[[#This Row],[Prenom]]</f>
        <v>VIGNERESSETHIBAUD</v>
      </c>
      <c r="B761" s="228" t="s">
        <v>2619</v>
      </c>
      <c r="C761" s="229" t="s">
        <v>1056</v>
      </c>
      <c r="D761" s="229" t="s">
        <v>1057</v>
      </c>
      <c r="E761" s="229" t="s">
        <v>1177</v>
      </c>
      <c r="F761" s="230" t="s">
        <v>308</v>
      </c>
      <c r="G761" s="229" t="s">
        <v>1178</v>
      </c>
      <c r="H761" s="229" t="s">
        <v>1204</v>
      </c>
      <c r="I761" s="229" t="s">
        <v>1180</v>
      </c>
      <c r="J761" s="229" t="s">
        <v>340</v>
      </c>
      <c r="K761" s="231" t="s">
        <v>341</v>
      </c>
    </row>
    <row r="762" spans="1:11" s="226" customFormat="1" ht="9.6" customHeight="1" x14ac:dyDescent="0.2">
      <c r="A762" s="229" t="str">
        <f>T_P_BilanSocial[[#This Row],[Nom]]&amp;T_P_BilanSocial[[#This Row],[Prenom]]</f>
        <v>VILAINCAMILLE</v>
      </c>
      <c r="B762" s="228" t="s">
        <v>2898</v>
      </c>
      <c r="C762" s="229" t="s">
        <v>1172</v>
      </c>
      <c r="D762" s="229" t="s">
        <v>2665</v>
      </c>
      <c r="E762" s="229" t="s">
        <v>1184</v>
      </c>
      <c r="F762" s="230" t="s">
        <v>308</v>
      </c>
      <c r="G762" s="229" t="s">
        <v>1178</v>
      </c>
      <c r="H762" s="229" t="s">
        <v>1179</v>
      </c>
      <c r="I762" s="229" t="s">
        <v>1180</v>
      </c>
      <c r="J762" s="229" t="s">
        <v>340</v>
      </c>
      <c r="K762" s="231" t="s">
        <v>341</v>
      </c>
    </row>
    <row r="763" spans="1:11" s="226" customFormat="1" ht="9.6" customHeight="1" x14ac:dyDescent="0.2">
      <c r="A763" s="229" t="str">
        <f>T_P_BilanSocial[[#This Row],[Nom]]&amp;T_P_BilanSocial[[#This Row],[Prenom]]</f>
        <v>VILETTE-BILLONSÉVERINE</v>
      </c>
      <c r="B763" s="228" t="s">
        <v>1795</v>
      </c>
      <c r="C763" s="229" t="s">
        <v>1796</v>
      </c>
      <c r="D763" s="229" t="s">
        <v>1574</v>
      </c>
      <c r="E763" s="229" t="s">
        <v>1184</v>
      </c>
      <c r="F763" s="230" t="s">
        <v>445</v>
      </c>
      <c r="G763" s="229" t="s">
        <v>1178</v>
      </c>
      <c r="H763" s="229" t="s">
        <v>1435</v>
      </c>
      <c r="I763" s="229" t="s">
        <v>1180</v>
      </c>
      <c r="J763" s="229" t="s">
        <v>376</v>
      </c>
      <c r="K763" s="231" t="s">
        <v>341</v>
      </c>
    </row>
    <row r="764" spans="1:11" s="226" customFormat="1" ht="9.6" customHeight="1" x14ac:dyDescent="0.2">
      <c r="A764" s="229" t="str">
        <f>T_P_BilanSocial[[#This Row],[Nom]]&amp;T_P_BilanSocial[[#This Row],[Prenom]]</f>
        <v>VINCENTMARLÈNE</v>
      </c>
      <c r="B764" s="228" t="s">
        <v>1374</v>
      </c>
      <c r="C764" s="229" t="s">
        <v>876</v>
      </c>
      <c r="D764" s="229" t="s">
        <v>1375</v>
      </c>
      <c r="E764" s="229" t="s">
        <v>1184</v>
      </c>
      <c r="F764" s="230" t="s">
        <v>45</v>
      </c>
      <c r="G764" s="229" t="s">
        <v>1178</v>
      </c>
      <c r="H764" s="229" t="s">
        <v>1179</v>
      </c>
      <c r="I764" s="229" t="s">
        <v>1180</v>
      </c>
      <c r="J764" s="229" t="s">
        <v>805</v>
      </c>
      <c r="K764" s="231" t="s">
        <v>806</v>
      </c>
    </row>
    <row r="765" spans="1:11" s="226" customFormat="1" ht="9.6" customHeight="1" x14ac:dyDescent="0.2">
      <c r="A765" s="229" t="str">
        <f>T_P_BilanSocial[[#This Row],[Nom]]&amp;T_P_BilanSocial[[#This Row],[Prenom]]</f>
        <v>VITOZTHIERRY</v>
      </c>
      <c r="B765" s="228" t="s">
        <v>1525</v>
      </c>
      <c r="C765" s="229" t="s">
        <v>1526</v>
      </c>
      <c r="D765" s="229" t="s">
        <v>1317</v>
      </c>
      <c r="E765" s="229" t="s">
        <v>1177</v>
      </c>
      <c r="F765" s="230" t="s">
        <v>308</v>
      </c>
      <c r="G765" s="229" t="s">
        <v>1476</v>
      </c>
      <c r="H765" s="229" t="s">
        <v>1477</v>
      </c>
      <c r="I765" s="229" t="s">
        <v>1180</v>
      </c>
      <c r="J765" s="229" t="s">
        <v>1141</v>
      </c>
      <c r="K765" s="231" t="s">
        <v>1527</v>
      </c>
    </row>
    <row r="766" spans="1:11" s="226" customFormat="1" ht="9.6" customHeight="1" x14ac:dyDescent="0.2">
      <c r="A766" s="229" t="str">
        <f>T_P_BilanSocial[[#This Row],[Nom]]&amp;T_P_BilanSocial[[#This Row],[Prenom]]</f>
        <v>VULCAINCATHERINE</v>
      </c>
      <c r="B766" s="228" t="s">
        <v>1929</v>
      </c>
      <c r="C766" s="229" t="s">
        <v>1930</v>
      </c>
      <c r="D766" s="229" t="s">
        <v>1203</v>
      </c>
      <c r="E766" s="229" t="s">
        <v>1184</v>
      </c>
      <c r="F766" s="230" t="s">
        <v>308</v>
      </c>
      <c r="G766" s="229" t="s">
        <v>1178</v>
      </c>
      <c r="H766" s="229" t="s">
        <v>1204</v>
      </c>
      <c r="I766" s="229" t="s">
        <v>1180</v>
      </c>
      <c r="J766" s="229" t="s">
        <v>353</v>
      </c>
      <c r="K766" s="231" t="s">
        <v>354</v>
      </c>
    </row>
    <row r="767" spans="1:11" s="226" customFormat="1" ht="9.6" customHeight="1" x14ac:dyDescent="0.2">
      <c r="A767" s="229" t="str">
        <f>T_P_BilanSocial[[#This Row],[Nom]]&amp;T_P_BilanSocial[[#This Row],[Prenom]]</f>
        <v>WAWRZYNIAKSOPHIE</v>
      </c>
      <c r="B767" s="228" t="s">
        <v>2511</v>
      </c>
      <c r="C767" s="229" t="s">
        <v>905</v>
      </c>
      <c r="D767" s="229" t="s">
        <v>1255</v>
      </c>
      <c r="E767" s="229" t="s">
        <v>1184</v>
      </c>
      <c r="F767" s="230" t="s">
        <v>45</v>
      </c>
      <c r="G767" s="229" t="s">
        <v>1178</v>
      </c>
      <c r="H767" s="229" t="s">
        <v>1435</v>
      </c>
      <c r="I767" s="229" t="s">
        <v>1180</v>
      </c>
      <c r="J767" s="229" t="s">
        <v>471</v>
      </c>
      <c r="K767" s="231" t="s">
        <v>341</v>
      </c>
    </row>
    <row r="768" spans="1:11" s="226" customFormat="1" ht="9.6" customHeight="1" x14ac:dyDescent="0.2">
      <c r="A768" s="229" t="str">
        <f>T_P_BilanSocial[[#This Row],[Nom]]&amp;T_P_BilanSocial[[#This Row],[Prenom]]</f>
        <v>WEHBECARLA</v>
      </c>
      <c r="B768" s="228" t="s">
        <v>1909</v>
      </c>
      <c r="C768" s="229" t="s">
        <v>998</v>
      </c>
      <c r="D768" s="229" t="s">
        <v>1910</v>
      </c>
      <c r="E768" s="229" t="s">
        <v>1184</v>
      </c>
      <c r="F768" s="230" t="s">
        <v>308</v>
      </c>
      <c r="G768" s="229" t="s">
        <v>1476</v>
      </c>
      <c r="H768" s="229" t="s">
        <v>1477</v>
      </c>
      <c r="I768" s="229" t="s">
        <v>1180</v>
      </c>
      <c r="J768" s="229" t="s">
        <v>1072</v>
      </c>
      <c r="K768" s="231" t="s">
        <v>1073</v>
      </c>
    </row>
    <row r="769" spans="1:11" s="226" customFormat="1" ht="9.6" customHeight="1" x14ac:dyDescent="0.2">
      <c r="A769" s="229" t="str">
        <f>T_P_BilanSocial[[#This Row],[Nom]]&amp;T_P_BilanSocial[[#This Row],[Prenom]]</f>
        <v>WESSEL-LAREALANNE-SOPHIE</v>
      </c>
      <c r="B769" s="228" t="s">
        <v>1769</v>
      </c>
      <c r="C769" s="229" t="s">
        <v>766</v>
      </c>
      <c r="D769" s="229" t="s">
        <v>1614</v>
      </c>
      <c r="E769" s="229" t="s">
        <v>1184</v>
      </c>
      <c r="F769" s="230" t="s">
        <v>308</v>
      </c>
      <c r="G769" s="229" t="s">
        <v>1178</v>
      </c>
      <c r="H769" s="229" t="s">
        <v>1204</v>
      </c>
      <c r="I769" s="229" t="s">
        <v>1180</v>
      </c>
      <c r="J769" s="229" t="s">
        <v>622</v>
      </c>
      <c r="K769" s="231" t="s">
        <v>623</v>
      </c>
    </row>
    <row r="770" spans="1:11" s="226" customFormat="1" ht="9.6" customHeight="1" x14ac:dyDescent="0.2">
      <c r="A770" s="229" t="str">
        <f>T_P_BilanSocial[[#This Row],[Nom]]&amp;T_P_BilanSocial[[#This Row],[Prenom]]</f>
        <v>YANGXIAO Lucien</v>
      </c>
      <c r="B770" s="228" t="s">
        <v>1768</v>
      </c>
      <c r="C770" s="229" t="s">
        <v>777</v>
      </c>
      <c r="D770" s="233" t="s">
        <v>3019</v>
      </c>
      <c r="E770" s="229" t="s">
        <v>1177</v>
      </c>
      <c r="F770" s="230" t="s">
        <v>445</v>
      </c>
      <c r="G770" s="229" t="s">
        <v>1178</v>
      </c>
      <c r="H770" s="229" t="s">
        <v>1204</v>
      </c>
      <c r="I770" s="229" t="s">
        <v>1180</v>
      </c>
      <c r="J770" s="229" t="s">
        <v>780</v>
      </c>
      <c r="K770" s="231" t="s">
        <v>781</v>
      </c>
    </row>
    <row r="771" spans="1:11" s="226" customFormat="1" ht="9.6" customHeight="1" x14ac:dyDescent="0.2">
      <c r="A771" s="229" t="str">
        <f>T_P_BilanSocial[[#This Row],[Nom]]&amp;T_P_BilanSocial[[#This Row],[Prenom]]</f>
        <v>YANIBADAKO YANOUBATAN</v>
      </c>
      <c r="B771" s="228" t="s">
        <v>2610</v>
      </c>
      <c r="C771" s="229" t="s">
        <v>2611</v>
      </c>
      <c r="D771" s="229" t="s">
        <v>2612</v>
      </c>
      <c r="E771" s="229" t="s">
        <v>1177</v>
      </c>
      <c r="F771" s="230" t="s">
        <v>45</v>
      </c>
      <c r="G771" s="229" t="s">
        <v>1476</v>
      </c>
      <c r="H771" s="229" t="s">
        <v>1794</v>
      </c>
      <c r="I771" s="229" t="s">
        <v>1180</v>
      </c>
      <c r="J771" s="229" t="s">
        <v>930</v>
      </c>
      <c r="K771" s="231" t="s">
        <v>2613</v>
      </c>
    </row>
    <row r="772" spans="1:11" s="226" customFormat="1" ht="9.6" customHeight="1" x14ac:dyDescent="0.2">
      <c r="A772" s="229" t="str">
        <f>T_P_BilanSocial[[#This Row],[Nom]]&amp;T_P_BilanSocial[[#This Row],[Prenom]]</f>
        <v>YATOUJISAMIA</v>
      </c>
      <c r="B772" s="228" t="s">
        <v>2648</v>
      </c>
      <c r="C772" s="229" t="s">
        <v>2649</v>
      </c>
      <c r="D772" s="229" t="s">
        <v>2650</v>
      </c>
      <c r="E772" s="229" t="s">
        <v>1184</v>
      </c>
      <c r="F772" s="230" t="s">
        <v>45</v>
      </c>
      <c r="G772" s="229" t="s">
        <v>1476</v>
      </c>
      <c r="H772" s="229" t="s">
        <v>1794</v>
      </c>
      <c r="I772" s="229" t="s">
        <v>1180</v>
      </c>
      <c r="J772" s="229" t="s">
        <v>411</v>
      </c>
      <c r="K772" s="231" t="s">
        <v>341</v>
      </c>
    </row>
    <row r="773" spans="1:11" s="226" customFormat="1" ht="9.6" customHeight="1" x14ac:dyDescent="0.2">
      <c r="A773" s="229" t="str">
        <f>T_P_BilanSocial[[#This Row],[Nom]]&amp;T_P_BilanSocial[[#This Row],[Prenom]]</f>
        <v>ZAATRIFATIHA</v>
      </c>
      <c r="B773" s="228" t="s">
        <v>1710</v>
      </c>
      <c r="C773" s="229" t="s">
        <v>1711</v>
      </c>
      <c r="D773" s="229" t="s">
        <v>1712</v>
      </c>
      <c r="E773" s="229" t="s">
        <v>1184</v>
      </c>
      <c r="F773" s="230" t="s">
        <v>45</v>
      </c>
      <c r="G773" s="229" t="s">
        <v>1178</v>
      </c>
      <c r="H773" s="229" t="s">
        <v>1179</v>
      </c>
      <c r="I773" s="229" t="s">
        <v>1180</v>
      </c>
      <c r="J773" s="229" t="s">
        <v>611</v>
      </c>
      <c r="K773" s="231" t="s">
        <v>341</v>
      </c>
    </row>
    <row r="774" spans="1:11" s="226" customFormat="1" ht="9.6" customHeight="1" x14ac:dyDescent="0.2">
      <c r="A774" s="229" t="str">
        <f>T_P_BilanSocial[[#This Row],[Nom]]&amp;T_P_BilanSocial[[#This Row],[Prenom]]</f>
        <v>ZAIDILYDIE</v>
      </c>
      <c r="B774" s="228" t="s">
        <v>2918</v>
      </c>
      <c r="C774" s="229" t="s">
        <v>986</v>
      </c>
      <c r="D774" s="229" t="s">
        <v>2919</v>
      </c>
      <c r="E774" s="229" t="s">
        <v>1184</v>
      </c>
      <c r="F774" s="230" t="s">
        <v>45</v>
      </c>
      <c r="G774" s="229" t="s">
        <v>1476</v>
      </c>
      <c r="H774" s="229" t="s">
        <v>1794</v>
      </c>
      <c r="I774" s="229" t="s">
        <v>1180</v>
      </c>
      <c r="J774" s="229" t="s">
        <v>376</v>
      </c>
      <c r="K774" s="231" t="s">
        <v>341</v>
      </c>
    </row>
    <row r="775" spans="1:11" s="226" customFormat="1" ht="9.6" customHeight="1" x14ac:dyDescent="0.2">
      <c r="A775" s="229" t="str">
        <f>T_P_BilanSocial[[#This Row],[Nom]]&amp;T_P_BilanSocial[[#This Row],[Prenom]]</f>
        <v>ZERARIFARIDA</v>
      </c>
      <c r="B775" s="228" t="s">
        <v>2798</v>
      </c>
      <c r="C775" s="229" t="s">
        <v>2799</v>
      </c>
      <c r="D775" s="229" t="s">
        <v>2368</v>
      </c>
      <c r="E775" s="229" t="s">
        <v>1184</v>
      </c>
      <c r="F775" s="230" t="s">
        <v>445</v>
      </c>
      <c r="G775" s="229" t="s">
        <v>1178</v>
      </c>
      <c r="H775" s="229" t="s">
        <v>1435</v>
      </c>
      <c r="I775" s="229" t="s">
        <v>1180</v>
      </c>
      <c r="J775" s="229" t="s">
        <v>607</v>
      </c>
      <c r="K775" s="231" t="s">
        <v>608</v>
      </c>
    </row>
    <row r="776" spans="1:11" s="226" customFormat="1" ht="9.6" customHeight="1" x14ac:dyDescent="0.2">
      <c r="A776" s="229" t="str">
        <f>T_P_BilanSocial[[#This Row],[Nom]]&amp;T_P_BilanSocial[[#This Row],[Prenom]]</f>
        <v>ZIRZINEDINE</v>
      </c>
      <c r="B776" s="228" t="s">
        <v>2926</v>
      </c>
      <c r="C776" s="229" t="s">
        <v>2927</v>
      </c>
      <c r="D776" s="229" t="s">
        <v>2928</v>
      </c>
      <c r="E776" s="229" t="s">
        <v>1177</v>
      </c>
      <c r="F776" s="230" t="s">
        <v>45</v>
      </c>
      <c r="G776" s="229" t="s">
        <v>1476</v>
      </c>
      <c r="H776" s="229" t="s">
        <v>1794</v>
      </c>
      <c r="I776" s="229" t="s">
        <v>1180</v>
      </c>
      <c r="J776" s="229" t="s">
        <v>353</v>
      </c>
      <c r="K776" s="231" t="s">
        <v>354</v>
      </c>
    </row>
    <row r="777" spans="1:11" s="226" customFormat="1" ht="9.6" customHeight="1" x14ac:dyDescent="0.2">
      <c r="A777" s="236" t="str">
        <f>T_P_BilanSocial[[#This Row],[Nom]]&amp;T_P_BilanSocial[[#This Row],[Prenom]]</f>
        <v>ZULIANSÉVERINE</v>
      </c>
      <c r="B777" s="237" t="s">
        <v>2054</v>
      </c>
      <c r="C777" s="236" t="s">
        <v>2055</v>
      </c>
      <c r="D777" s="236" t="s">
        <v>1574</v>
      </c>
      <c r="E777" s="236" t="s">
        <v>1184</v>
      </c>
      <c r="F777" s="238" t="s">
        <v>445</v>
      </c>
      <c r="G777" s="236" t="s">
        <v>1178</v>
      </c>
      <c r="H777" s="236" t="s">
        <v>1204</v>
      </c>
      <c r="I777" s="236" t="s">
        <v>1180</v>
      </c>
      <c r="J777" s="246" t="s">
        <v>3001</v>
      </c>
      <c r="K777" s="247" t="s">
        <v>3002</v>
      </c>
    </row>
    <row r="778" spans="1:11" x14ac:dyDescent="0.25">
      <c r="A778" s="246" t="str">
        <f>T_P_BilanSocial[[#This Row],[Nom]]&amp;T_P_BilanSocial[[#This Row],[Prenom]]</f>
        <v>BAUDMorgane</v>
      </c>
      <c r="B778" s="248" t="s">
        <v>3020</v>
      </c>
      <c r="C778" s="246" t="s">
        <v>1116</v>
      </c>
      <c r="D778" s="246" t="s">
        <v>314</v>
      </c>
      <c r="E778" s="246" t="s">
        <v>1184</v>
      </c>
      <c r="F778" s="249" t="s">
        <v>45</v>
      </c>
      <c r="G778" s="246" t="s">
        <v>1476</v>
      </c>
      <c r="H778" s="246" t="s">
        <v>1204</v>
      </c>
      <c r="I778" s="246"/>
      <c r="J778" s="246"/>
      <c r="K778" s="247"/>
    </row>
    <row r="779" spans="1:11" x14ac:dyDescent="0.25">
      <c r="A779" s="246" t="str">
        <f>T_P_BilanSocial[[#This Row],[Nom]]&amp;T_P_BilanSocial[[#This Row],[Prenom]]</f>
        <v>BIJAKOWSKICécile</v>
      </c>
      <c r="B779" s="250" t="s">
        <v>3021</v>
      </c>
      <c r="C779" s="246" t="s">
        <v>3022</v>
      </c>
      <c r="D779" s="246" t="s">
        <v>358</v>
      </c>
      <c r="E779" s="246" t="s">
        <v>1184</v>
      </c>
      <c r="F779" s="249" t="s">
        <v>308</v>
      </c>
      <c r="G779" s="246" t="s">
        <v>1178</v>
      </c>
      <c r="H779" s="246" t="s">
        <v>1435</v>
      </c>
      <c r="I779" s="236"/>
      <c r="J779" s="236"/>
      <c r="K779" s="239"/>
    </row>
    <row r="780" spans="1:11" x14ac:dyDescent="0.25">
      <c r="A780" s="246" t="str">
        <f>T_P_BilanSocial[[#This Row],[Nom]]&amp;T_P_BilanSocial[[#This Row],[Prenom]]</f>
        <v>DEROUENVanessa</v>
      </c>
      <c r="B780" s="248" t="s">
        <v>3023</v>
      </c>
      <c r="C780" s="246" t="s">
        <v>898</v>
      </c>
      <c r="D780" s="246" t="s">
        <v>899</v>
      </c>
      <c r="E780" s="246" t="s">
        <v>1184</v>
      </c>
      <c r="F780" s="249" t="s">
        <v>308</v>
      </c>
      <c r="G780" s="246" t="s">
        <v>1178</v>
      </c>
      <c r="H780" s="246" t="s">
        <v>1435</v>
      </c>
      <c r="I780" s="236"/>
      <c r="J780" s="236"/>
      <c r="K780" s="239"/>
    </row>
    <row r="781" spans="1:11" x14ac:dyDescent="0.25">
      <c r="A781" s="246" t="str">
        <f>T_P_BilanSocial[[#This Row],[Nom]]&amp;T_P_BilanSocial[[#This Row],[Prenom]]</f>
        <v>GASPARININoé</v>
      </c>
      <c r="B781" s="248" t="s">
        <v>3024</v>
      </c>
      <c r="C781" s="246" t="s">
        <v>995</v>
      </c>
      <c r="D781" s="246" t="s">
        <v>996</v>
      </c>
      <c r="E781" s="246" t="s">
        <v>1184</v>
      </c>
      <c r="F781" s="249" t="s">
        <v>308</v>
      </c>
      <c r="G781" s="246" t="s">
        <v>1476</v>
      </c>
      <c r="H781" s="246" t="s">
        <v>1204</v>
      </c>
      <c r="I781" s="236"/>
      <c r="J781" s="236"/>
      <c r="K781" s="239"/>
    </row>
  </sheetData>
  <sheetProtection sort="0" autoFilter="0"/>
  <mergeCells count="1">
    <mergeCell ref="L1:P1"/>
  </mergeCells>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1AB7-ED69-4959-9D2C-75CB02BB7999}">
  <sheetPr codeName="Feuil12">
    <tabColor rgb="FFFF33CC"/>
  </sheetPr>
  <dimension ref="A1:BF296"/>
  <sheetViews>
    <sheetView zoomScale="98" zoomScaleNormal="98" workbookViewId="0">
      <selection activeCell="I10" sqref="I10"/>
    </sheetView>
  </sheetViews>
  <sheetFormatPr baseColWidth="10" defaultColWidth="9.140625" defaultRowHeight="21.75" customHeight="1" x14ac:dyDescent="0.25"/>
  <cols>
    <col min="1" max="1" width="5.28515625" style="15" customWidth="1"/>
    <col min="2" max="2" width="8" style="113" customWidth="1"/>
    <col min="3" max="3" width="7.7109375" style="12" customWidth="1"/>
    <col min="4" max="4" width="20.42578125" style="12" customWidth="1"/>
    <col min="5" max="5" width="17.28515625" style="12" customWidth="1"/>
    <col min="6" max="6" width="16.42578125" style="12" customWidth="1"/>
    <col min="7" max="7" width="10.7109375" style="11" customWidth="1"/>
    <col min="8" max="8" width="12.28515625" style="12" customWidth="1"/>
    <col min="9" max="9" width="20.42578125" style="12" customWidth="1"/>
    <col min="10" max="12" width="7.85546875" style="12" hidden="1" customWidth="1"/>
    <col min="13" max="17" width="8.85546875" style="12" hidden="1" customWidth="1"/>
    <col min="18" max="18" width="7.140625" style="28" hidden="1" customWidth="1"/>
    <col min="19" max="19" width="10.42578125" style="28" hidden="1" customWidth="1"/>
    <col min="20" max="20" width="10.42578125" style="12" hidden="1" customWidth="1"/>
    <col min="21" max="21" width="7.140625" style="28" hidden="1" customWidth="1"/>
    <col min="22" max="22" width="10.42578125" style="28" hidden="1" customWidth="1"/>
    <col min="23" max="23" width="10.42578125" style="11" hidden="1" customWidth="1"/>
    <col min="24" max="24" width="7.85546875" style="12" hidden="1" customWidth="1"/>
    <col min="25" max="25" width="7.140625" style="28" hidden="1" customWidth="1"/>
    <col min="26" max="26" width="10.42578125" style="28" hidden="1" customWidth="1"/>
    <col min="27" max="27" width="10.42578125" style="12" hidden="1" customWidth="1"/>
    <col min="28" max="28" width="7.140625" style="28" hidden="1" customWidth="1"/>
    <col min="29" max="29" width="10.42578125" style="28" hidden="1" customWidth="1"/>
    <col min="30" max="30" width="10.42578125" style="11" hidden="1" customWidth="1"/>
    <col min="31" max="31" width="7.85546875" style="12" hidden="1" customWidth="1"/>
    <col min="32" max="32" width="7.140625" style="28" hidden="1" customWidth="1"/>
    <col min="33" max="33" width="10.42578125" style="28" hidden="1" customWidth="1"/>
    <col min="34" max="34" width="10.42578125" style="12" hidden="1" customWidth="1"/>
    <col min="35" max="35" width="7.140625" style="28" hidden="1" customWidth="1"/>
    <col min="36" max="36" width="10.42578125" style="28" hidden="1" customWidth="1"/>
    <col min="37" max="37" width="10.42578125" style="11" hidden="1" customWidth="1"/>
    <col min="38" max="38" width="7.85546875" style="12" hidden="1" customWidth="1"/>
    <col min="39" max="39" width="7.140625" style="28" hidden="1" customWidth="1"/>
    <col min="40" max="40" width="10.42578125" style="28" hidden="1" customWidth="1"/>
    <col min="41" max="41" width="10.42578125" style="12" hidden="1" customWidth="1"/>
    <col min="42" max="42" width="7.140625" style="28" hidden="1" customWidth="1"/>
    <col min="43" max="43" width="10.42578125" style="28" hidden="1" customWidth="1"/>
    <col min="44" max="44" width="10.42578125" style="11" hidden="1" customWidth="1"/>
    <col min="45" max="45" width="7.85546875" style="12" hidden="1" customWidth="1"/>
    <col min="46" max="46" width="7.140625" style="28" hidden="1" customWidth="1"/>
    <col min="47" max="47" width="10.42578125" style="28" hidden="1" customWidth="1"/>
    <col min="48" max="48" width="10.42578125" style="12" hidden="1" customWidth="1"/>
    <col min="49" max="49" width="7.140625" style="28" hidden="1" customWidth="1"/>
    <col min="50" max="50" width="10.42578125" style="28" hidden="1" customWidth="1"/>
    <col min="51" max="51" width="10.42578125" style="11" hidden="1" customWidth="1"/>
    <col min="52" max="52" width="7.85546875" style="11" hidden="1" customWidth="1"/>
    <col min="53" max="53" width="9.140625" style="43" customWidth="1"/>
    <col min="54" max="54" width="14" style="12" customWidth="1"/>
    <col min="55" max="56" width="6.85546875" style="12" hidden="1" customWidth="1"/>
    <col min="57" max="57" width="10.28515625" style="12" customWidth="1"/>
    <col min="58" max="58" width="19.7109375" style="12" customWidth="1"/>
    <col min="59" max="16384" width="9.140625" style="12"/>
  </cols>
  <sheetData>
    <row r="1" spans="1:58" ht="21.75" customHeight="1" x14ac:dyDescent="0.25">
      <c r="A1" s="157" t="s">
        <v>236</v>
      </c>
      <c r="B1" s="127" t="s">
        <v>230</v>
      </c>
      <c r="C1" s="127" t="s">
        <v>75</v>
      </c>
      <c r="D1" s="127" t="s">
        <v>0</v>
      </c>
      <c r="E1" s="127" t="s">
        <v>1</v>
      </c>
      <c r="F1" s="241" t="s">
        <v>3008</v>
      </c>
      <c r="G1" s="241" t="s">
        <v>2991</v>
      </c>
      <c r="H1" s="241" t="s">
        <v>3009</v>
      </c>
      <c r="I1" s="241" t="s">
        <v>2993</v>
      </c>
      <c r="J1" s="241" t="s">
        <v>3010</v>
      </c>
      <c r="K1" s="128" t="s">
        <v>47</v>
      </c>
      <c r="L1" s="128" t="s">
        <v>510</v>
      </c>
      <c r="M1" s="214" t="s">
        <v>212</v>
      </c>
      <c r="N1" s="127" t="s">
        <v>52</v>
      </c>
      <c r="O1" s="127" t="s">
        <v>51</v>
      </c>
      <c r="P1" s="128" t="s">
        <v>46</v>
      </c>
      <c r="Q1" s="128" t="s">
        <v>99</v>
      </c>
      <c r="R1" s="127" t="s">
        <v>53</v>
      </c>
      <c r="S1" s="132" t="s">
        <v>101</v>
      </c>
      <c r="T1" s="133" t="s">
        <v>238</v>
      </c>
      <c r="U1" s="133" t="s">
        <v>239</v>
      </c>
      <c r="V1" s="133" t="s">
        <v>240</v>
      </c>
      <c r="W1" s="133" t="s">
        <v>241</v>
      </c>
      <c r="X1" s="133" t="s">
        <v>242</v>
      </c>
      <c r="Y1" s="133" t="s">
        <v>232</v>
      </c>
      <c r="Z1" s="132" t="s">
        <v>102</v>
      </c>
      <c r="AA1" s="133" t="s">
        <v>276</v>
      </c>
      <c r="AB1" s="133" t="s">
        <v>243</v>
      </c>
      <c r="AC1" s="133" t="s">
        <v>234</v>
      </c>
      <c r="AD1" s="133" t="s">
        <v>244</v>
      </c>
      <c r="AE1" s="133" t="s">
        <v>245</v>
      </c>
      <c r="AF1" s="133" t="s">
        <v>247</v>
      </c>
      <c r="AG1" s="132" t="s">
        <v>103</v>
      </c>
      <c r="AH1" s="133" t="s">
        <v>248</v>
      </c>
      <c r="AI1" s="133" t="s">
        <v>249</v>
      </c>
      <c r="AJ1" s="133" t="s">
        <v>250</v>
      </c>
      <c r="AK1" s="133" t="s">
        <v>251</v>
      </c>
      <c r="AL1" s="133" t="s">
        <v>252</v>
      </c>
      <c r="AM1" s="133" t="s">
        <v>253</v>
      </c>
      <c r="AN1" s="132" t="s">
        <v>104</v>
      </c>
      <c r="AO1" s="133" t="s">
        <v>254</v>
      </c>
      <c r="AP1" s="133" t="s">
        <v>255</v>
      </c>
      <c r="AQ1" s="133" t="s">
        <v>256</v>
      </c>
      <c r="AR1" s="133" t="s">
        <v>257</v>
      </c>
      <c r="AS1" s="133" t="s">
        <v>258</v>
      </c>
      <c r="AT1" s="133" t="s">
        <v>259</v>
      </c>
      <c r="AU1" s="132" t="s">
        <v>105</v>
      </c>
      <c r="AV1" s="133" t="s">
        <v>260</v>
      </c>
      <c r="AW1" s="133" t="s">
        <v>261</v>
      </c>
      <c r="AX1" s="133" t="s">
        <v>262</v>
      </c>
      <c r="AY1" s="133" t="s">
        <v>263</v>
      </c>
      <c r="AZ1" s="133" t="s">
        <v>264</v>
      </c>
      <c r="BA1" s="134" t="s">
        <v>265</v>
      </c>
      <c r="BB1" s="129" t="s">
        <v>293</v>
      </c>
      <c r="BC1" s="128" t="s">
        <v>294</v>
      </c>
      <c r="BD1" s="128" t="s">
        <v>66</v>
      </c>
      <c r="BE1" s="128" t="s">
        <v>67</v>
      </c>
      <c r="BF1" s="241" t="s">
        <v>2989</v>
      </c>
    </row>
    <row r="2" spans="1:58" ht="21.75" hidden="1" customHeight="1" x14ac:dyDescent="0.25">
      <c r="A2" s="90">
        <v>0</v>
      </c>
      <c r="B2" s="126"/>
      <c r="C2" s="126" t="str">
        <f>VLOOKUP(T_BilanSocial2[[#This Row],[NumL]],T_Commission[#Data],COLUMN(T_Commission[FINAL]),FALSE)</f>
        <v/>
      </c>
      <c r="D2" s="19" t="str">
        <f t="shared" ref="D2:D65" si="0">IFERROR(IF(VLOOKUP(A2,ListeDI,3,FALSE)&lt;&gt;"",VLOOKUP(A2,ListeDI,3,FALSE),""),"")</f>
        <v/>
      </c>
      <c r="E2" s="19" t="str">
        <f t="shared" ref="E2:E65" si="1">IFERROR(IF(VLOOKUP(A2,ListeDI,4,FALSE)&lt;&gt;"",VLOOKUP(A2,ListeDI,4,FALSE),""),"")</f>
        <v/>
      </c>
      <c r="F2" s="242" t="str">
        <f>IFERROR(VLOOKUP(T_BilanSocial2[[#This Row],[Zone_Bilan]],T_P_BilanSocial[#Data],COLUMN(T_P_BilanSocial[[#This Row],[Numero_SIHAM]]),FALSE),"")</f>
        <v/>
      </c>
      <c r="G2" s="242" t="str">
        <f>IFERROR(VLOOKUP(T_BilanSocial2[[#This Row],[Zone_Bilan]],T_P_BilanSocial[#Data],COLUMN(T_P_BilanSocial[[#This Row],[Sexe]]),FALSE),"")</f>
        <v/>
      </c>
      <c r="H2" s="243" t="str">
        <f>IFERROR(VLOOKUP(T_BilanSocial2[[#This Row],[Zone_Bilan]],T_P_BilanSocial[#Data],COLUMN(T_P_BilanSocial[[#This Row],[Categorie]]),FALSE),"")</f>
        <v/>
      </c>
      <c r="I2" s="242" t="str">
        <f>IFERROR(VLOOKUP(T_BilanSocial2[[#This Row],[Zone_Bilan]],T_P_BilanSocial[#Data],COLUMN(T_P_BilanSocial[[#This Row],[Statut]]),FALSE),"")</f>
        <v/>
      </c>
      <c r="J2" s="242" t="str">
        <f>IFERROR(VLOOKUP(T_BilanSocial2[[#This Row],[Zone_Bilan]],T_P_BilanSocial[#Data],COLUMN(T_P_BilanSocial[[#This Row],[Filiere]]),FALSE),"")</f>
        <v/>
      </c>
      <c r="K2" s="78"/>
      <c r="L2" s="213"/>
      <c r="M2" s="78"/>
      <c r="N2" s="79" t="str">
        <f>IF((AND(T_BilanSocial2[[#This Row],[Nom]]&lt;&gt;"",T_BilanSocial2[[#This Row],[Reg Ponct]]="R")),(COUNTIF(S2:AX2,"S")+COUNTIF(S2:AX2,"T"))/2,"")</f>
        <v/>
      </c>
      <c r="O2" s="79" t="str">
        <f>IF((AND(T_BilanSocial2[[#This Row],[Nom]]&lt;&gt;"",T_BilanSocial2[[#This Row],[Reg Ponct]]="R")),COUNTIF(S2:AX2,"S")/2,"")</f>
        <v/>
      </c>
      <c r="P2" s="80" t="str">
        <f>IF((AND(T_BilanSocial2[[#This Row],[Nom]]&lt;&gt;"",T_BilanSocial2[[#This Row],[Reg Ponct]]="R")),COUNTIF(S2:AX2,"t")/2,"")</f>
        <v/>
      </c>
      <c r="Q2" s="81" t="str">
        <f t="shared" ref="Q2:Q65" si="2">IF(D2&lt;&gt;"",Y2+AF2+AM2+AT2+BA2,"")</f>
        <v/>
      </c>
      <c r="R2" s="82" t="str">
        <f>IF((AND(T_BilanSocial2[[#This Row],[Nom]]&lt;&gt;"",T_BilanSocial2[[#This Row],[Reg Ponct]]="R")),IF(S2="T",U2-T2,0)+IF(V2="T",X2-W2,0)+IF(Z2="T",AB2-AA2,0)+IF(AC2="T",AE2-AD2,0)+IF(AG2="T",AI2-AH2,0)+IF(AJ2="T",AL2-AK2,0)+IF(AN2="T",AP2-AO2,0)+IF(AQ2="T",AS2-AR2,0)+IF(AU2="T",AW2-AV2,0)+IF(AX2="T",AZ2-AY2,0),"")</f>
        <v/>
      </c>
      <c r="S2" s="36"/>
      <c r="T2" s="37"/>
      <c r="U2" s="37"/>
      <c r="V2" s="21"/>
      <c r="W2" s="37"/>
      <c r="X2" s="37"/>
      <c r="Y2" s="38" t="str">
        <f t="shared" ref="Y2:Y65" si="3">IF(D2&lt;&gt;"",(U2-T2)+(X2-W2),"")</f>
        <v/>
      </c>
      <c r="Z2" s="36"/>
      <c r="AA2" s="37"/>
      <c r="AB2" s="37"/>
      <c r="AC2" s="21"/>
      <c r="AD2" s="37"/>
      <c r="AE2" s="37"/>
      <c r="AF2" s="38" t="str">
        <f t="shared" ref="AF2:AF65" si="4">IF(D2&lt;&gt;"",(AB2-AA2)+(AE2-AD2),"")</f>
        <v/>
      </c>
      <c r="AG2" s="36"/>
      <c r="AH2" s="37"/>
      <c r="AI2" s="37"/>
      <c r="AJ2" s="21"/>
      <c r="AK2" s="37"/>
      <c r="AL2" s="37"/>
      <c r="AM2" s="38" t="str">
        <f t="shared" ref="AM2:AM65" si="5">IF(D2&lt;&gt;"",(AI2-AH2)+(AL2-AK2),"")</f>
        <v/>
      </c>
      <c r="AN2" s="36"/>
      <c r="AO2" s="37"/>
      <c r="AP2" s="37"/>
      <c r="AQ2" s="21"/>
      <c r="AR2" s="37"/>
      <c r="AS2" s="37"/>
      <c r="AT2" s="38" t="str">
        <f t="shared" ref="AT2:AT65" si="6">IF(D2&lt;&gt;"",(AP2-AO2)+(AS2-AR2),"")</f>
        <v/>
      </c>
      <c r="AU2" s="36"/>
      <c r="AV2" s="37"/>
      <c r="AW2" s="37"/>
      <c r="AX2" s="21"/>
      <c r="AY2" s="37"/>
      <c r="AZ2" s="37"/>
      <c r="BA2" s="39" t="str">
        <f t="shared" ref="BA2:BA65" si="7">IF(D2&lt;&gt;"",(AW2-AV2)+(AZ2-AY2),"")</f>
        <v/>
      </c>
      <c r="BB2" s="46"/>
      <c r="BC2" s="31"/>
      <c r="BD2" s="16"/>
      <c r="BE2" s="16"/>
      <c r="BF2" s="244" t="str">
        <f>T_BilanSocial2[[#This Row],[Nom]]&amp;T_BilanSocial2[[#This Row],[Prénom]]</f>
        <v/>
      </c>
    </row>
    <row r="3" spans="1:58" ht="21.75" hidden="1" customHeight="1" x14ac:dyDescent="0.25">
      <c r="A3" s="90">
        <v>107</v>
      </c>
      <c r="B3" s="126" t="s">
        <v>311</v>
      </c>
      <c r="C3" s="126">
        <f>VLOOKUP(T_BilanSocial2[[#This Row],[NumL]],T_Commission[#Data],COLUMN(T_Commission[FINAL]),FALSE)</f>
        <v>1</v>
      </c>
      <c r="D3" s="19" t="str">
        <f t="shared" si="0"/>
        <v>Mme</v>
      </c>
      <c r="E3" s="19" t="str">
        <f t="shared" si="1"/>
        <v>A</v>
      </c>
      <c r="F3" s="242" t="str">
        <f>IFERROR(VLOOKUP(T_BilanSocial2[[#This Row],[Zone_Bilan]],T_P_BilanSocial[#Data],COLUMN(T_P_BilanSocial[[#This Row],[Numero_SIHAM]]),FALSE),"")</f>
        <v/>
      </c>
      <c r="G3" s="242" t="str">
        <f>IFERROR(VLOOKUP(T_BilanSocial2[[#This Row],[Zone_Bilan]],T_P_BilanSocial[#Data],COLUMN(T_P_BilanSocial[[#This Row],[Sexe]]),FALSE),"")</f>
        <v/>
      </c>
      <c r="H3" s="243" t="str">
        <f>IFERROR(VLOOKUP(T_BilanSocial2[[#This Row],[Zone_Bilan]],T_P_BilanSocial[#Data],COLUMN(T_P_BilanSocial[[#This Row],[Categorie]]),FALSE),"")</f>
        <v/>
      </c>
      <c r="I3" s="242" t="str">
        <f>IFERROR(VLOOKUP(T_BilanSocial2[[#This Row],[Zone_Bilan]],T_P_BilanSocial[#Data],COLUMN(T_P_BilanSocial[[#This Row],[Statut]]),FALSE),"")</f>
        <v/>
      </c>
      <c r="J3" s="242" t="str">
        <f>IFERROR(VLOOKUP(T_BilanSocial2[[#This Row],[Zone_Bilan]],T_P_BilanSocial[#Data],COLUMN(T_P_BilanSocial[[#This Row],[Filiere]]),FALSE),"")</f>
        <v/>
      </c>
      <c r="K3" s="78">
        <v>1</v>
      </c>
      <c r="L3" s="213">
        <v>1.5451388888888891</v>
      </c>
      <c r="M3" s="78" t="s">
        <v>210</v>
      </c>
      <c r="N3" s="79">
        <f>IF((AND(T_BilanSocial2[[#This Row],[Nom]]&lt;&gt;"",T_BilanSocial2[[#This Row],[Reg Ponct]]="R")),(COUNTIF(S3:AX3,"S")+COUNTIF(S3:AX3,"T"))/2,"")</f>
        <v>4.5</v>
      </c>
      <c r="O3" s="79">
        <f>IF((AND(T_BilanSocial2[[#This Row],[Nom]]&lt;&gt;"",T_BilanSocial2[[#This Row],[Reg Ponct]]="R")),COUNTIF(S3:AX3,"S")/2,"")</f>
        <v>3</v>
      </c>
      <c r="P3" s="80">
        <f>IF((AND(T_BilanSocial2[[#This Row],[Nom]]&lt;&gt;"",T_BilanSocial2[[#This Row],[Reg Ponct]]="R")),COUNTIF(S3:AX3,"t")/2,"")</f>
        <v>1.5</v>
      </c>
      <c r="Q3" s="81">
        <f t="shared" si="2"/>
        <v>1.5451388888888893</v>
      </c>
      <c r="R3" s="82">
        <f>IF((AND(T_BilanSocial2[[#This Row],[Nom]]&lt;&gt;"",T_BilanSocial2[[#This Row],[Reg Ponct]]="R")),IF(S3="T",U3-T3,0)+IF(V3="T",X3-W3,0)+IF(Z3="T",AB3-AA3,0)+IF(AC3="T",AE3-AD3,0)+IF(AG3="T",AI3-AH3,0)+IF(AJ3="T",AL3-AK3,0)+IF(AN3="T",AP3-AO3,0)+IF(AQ3="T",AS3-AR3,0)+IF(AU3="T",AW3-AV3,0)+IF(AX3="T",AZ3-AY3,0),"")</f>
        <v>0.52083333333333348</v>
      </c>
      <c r="S3" s="36" t="s">
        <v>307</v>
      </c>
      <c r="T3" s="37">
        <v>0.33333333333333331</v>
      </c>
      <c r="U3" s="37">
        <v>0.5</v>
      </c>
      <c r="V3" s="21" t="s">
        <v>307</v>
      </c>
      <c r="W3" s="37">
        <v>0.54166666666666663</v>
      </c>
      <c r="X3" s="37">
        <v>0.70833333333333337</v>
      </c>
      <c r="Y3" s="38">
        <f t="shared" si="3"/>
        <v>0.33333333333333343</v>
      </c>
      <c r="Z3" s="36" t="s">
        <v>306</v>
      </c>
      <c r="AA3" s="37">
        <v>0.33333333333333331</v>
      </c>
      <c r="AB3" s="37">
        <v>0.5</v>
      </c>
      <c r="AC3" s="21" t="s">
        <v>306</v>
      </c>
      <c r="AD3" s="37">
        <v>0.54166666666666663</v>
      </c>
      <c r="AE3" s="37">
        <v>0.70833333333333337</v>
      </c>
      <c r="AF3" s="38">
        <f t="shared" si="4"/>
        <v>0.33333333333333343</v>
      </c>
      <c r="AG3" s="36" t="s">
        <v>306</v>
      </c>
      <c r="AH3" s="37">
        <v>0.33333333333333331</v>
      </c>
      <c r="AI3" s="37">
        <v>0.5</v>
      </c>
      <c r="AJ3" s="21" t="s">
        <v>306</v>
      </c>
      <c r="AK3" s="37">
        <v>0.54166666666666663</v>
      </c>
      <c r="AL3" s="37">
        <v>0.73263888888888884</v>
      </c>
      <c r="AM3" s="38">
        <f t="shared" si="5"/>
        <v>0.3576388888888889</v>
      </c>
      <c r="AN3" s="36" t="s">
        <v>306</v>
      </c>
      <c r="AO3" s="37">
        <v>0.33333333333333331</v>
      </c>
      <c r="AP3" s="37">
        <v>0.5</v>
      </c>
      <c r="AQ3" s="21" t="s">
        <v>306</v>
      </c>
      <c r="AR3" s="37">
        <v>0.54166666666666663</v>
      </c>
      <c r="AS3" s="37">
        <v>0.70833333333333337</v>
      </c>
      <c r="AT3" s="38">
        <f t="shared" si="6"/>
        <v>0.33333333333333343</v>
      </c>
      <c r="AU3" s="36" t="s">
        <v>307</v>
      </c>
      <c r="AV3" s="37">
        <v>0.33333333333333331</v>
      </c>
      <c r="AW3" s="37">
        <v>0.52083333333333337</v>
      </c>
      <c r="AX3" s="21" t="s">
        <v>308</v>
      </c>
      <c r="AY3" s="37"/>
      <c r="AZ3" s="37"/>
      <c r="BA3" s="39">
        <f t="shared" si="7"/>
        <v>0.18750000000000006</v>
      </c>
      <c r="BB3" s="46" t="s">
        <v>376</v>
      </c>
      <c r="BC3" s="31" t="s">
        <v>341</v>
      </c>
      <c r="BD3" s="16" t="s">
        <v>311</v>
      </c>
      <c r="BE3" s="16" t="s">
        <v>311</v>
      </c>
      <c r="BF3" s="244" t="str">
        <f>T_BilanSocial2[[#This Row],[Nom]]&amp;T_BilanSocial2[[#This Row],[Prénom]]</f>
        <v>MmeA</v>
      </c>
    </row>
    <row r="4" spans="1:58" ht="21.75" hidden="1" customHeight="1" x14ac:dyDescent="0.25">
      <c r="A4" s="90">
        <v>264</v>
      </c>
      <c r="B4" s="126" t="s">
        <v>311</v>
      </c>
      <c r="C4" s="126">
        <f>VLOOKUP(T_BilanSocial2[[#This Row],[NumL]],T_Commission[#Data],COLUMN(T_Commission[FINAL]),FALSE)</f>
        <v>1</v>
      </c>
      <c r="D4" s="19" t="str">
        <f t="shared" si="0"/>
        <v>Mme</v>
      </c>
      <c r="E4" s="19" t="str">
        <f t="shared" si="1"/>
        <v>A</v>
      </c>
      <c r="F4" s="242" t="str">
        <f>IFERROR(VLOOKUP(T_BilanSocial2[[#This Row],[Zone_Bilan]],T_P_BilanSocial[#Data],COLUMN(T_P_BilanSocial[[#This Row],[Numero_SIHAM]]),FALSE),"")</f>
        <v/>
      </c>
      <c r="G4" s="242" t="str">
        <f>IFERROR(VLOOKUP(T_BilanSocial2[[#This Row],[Zone_Bilan]],T_P_BilanSocial[#Data],COLUMN(T_P_BilanSocial[[#This Row],[Sexe]]),FALSE),"")</f>
        <v/>
      </c>
      <c r="H4" s="243" t="str">
        <f>IFERROR(VLOOKUP(T_BilanSocial2[[#This Row],[Zone_Bilan]],T_P_BilanSocial[#Data],COLUMN(T_P_BilanSocial[[#This Row],[Categorie]]),FALSE),"")</f>
        <v/>
      </c>
      <c r="I4" s="242" t="str">
        <f>IFERROR(VLOOKUP(T_BilanSocial2[[#This Row],[Zone_Bilan]],T_P_BilanSocial[#Data],COLUMN(T_P_BilanSocial[[#This Row],[Statut]]),FALSE),"")</f>
        <v/>
      </c>
      <c r="J4" s="242" t="str">
        <f>IFERROR(VLOOKUP(T_BilanSocial2[[#This Row],[Zone_Bilan]],T_P_BilanSocial[#Data],COLUMN(T_P_BilanSocial[[#This Row],[Filiere]]),FALSE),"")</f>
        <v/>
      </c>
      <c r="K4" s="78">
        <v>1</v>
      </c>
      <c r="L4" s="213">
        <v>1.5451388888888891</v>
      </c>
      <c r="M4" s="78" t="s">
        <v>211</v>
      </c>
      <c r="N4" s="79" t="str">
        <f>IF((AND(T_BilanSocial2[[#This Row],[Nom]]&lt;&gt;"",T_BilanSocial2[[#This Row],[Reg Ponct]]="R")),(COUNTIF(S4:AX4,"S")+COUNTIF(S4:AX4,"T"))/2,"")</f>
        <v/>
      </c>
      <c r="O4" s="79" t="str">
        <f>IF((AND(T_BilanSocial2[[#This Row],[Nom]]&lt;&gt;"",T_BilanSocial2[[#This Row],[Reg Ponct]]="R")),COUNTIF(S4:AX4,"S")/2,"")</f>
        <v/>
      </c>
      <c r="P4" s="80" t="str">
        <f>IF((AND(T_BilanSocial2[[#This Row],[Nom]]&lt;&gt;"",T_BilanSocial2[[#This Row],[Reg Ponct]]="R")),COUNTIF(S4:AX4,"t")/2,"")</f>
        <v/>
      </c>
      <c r="Q4" s="81">
        <f t="shared" si="2"/>
        <v>0</v>
      </c>
      <c r="R4" s="82" t="str">
        <f>IF((AND(T_BilanSocial2[[#This Row],[Nom]]&lt;&gt;"",T_BilanSocial2[[#This Row],[Reg Ponct]]="R")),IF(S4="T",U4-T4,0)+IF(V4="T",X4-W4,0)+IF(Z4="T",AB4-AA4,0)+IF(AC4="T",AE4-AD4,0)+IF(AG4="T",AI4-AH4,0)+IF(AJ4="T",AL4-AK4,0)+IF(AN4="T",AP4-AO4,0)+IF(AQ4="T",AS4-AR4,0)+IF(AU4="T",AW4-AV4,0)+IF(AX4="T",AZ4-AY4,0),"")</f>
        <v/>
      </c>
      <c r="S4" s="36"/>
      <c r="T4" s="37"/>
      <c r="U4" s="37"/>
      <c r="V4" s="21"/>
      <c r="W4" s="37"/>
      <c r="X4" s="37"/>
      <c r="Y4" s="38">
        <f t="shared" si="3"/>
        <v>0</v>
      </c>
      <c r="Z4" s="36"/>
      <c r="AA4" s="37"/>
      <c r="AB4" s="37"/>
      <c r="AC4" s="21"/>
      <c r="AD4" s="37"/>
      <c r="AE4" s="37"/>
      <c r="AF4" s="38">
        <f t="shared" si="4"/>
        <v>0</v>
      </c>
      <c r="AG4" s="36"/>
      <c r="AH4" s="37"/>
      <c r="AI4" s="37"/>
      <c r="AJ4" s="21"/>
      <c r="AK4" s="37"/>
      <c r="AL4" s="37"/>
      <c r="AM4" s="38">
        <f t="shared" si="5"/>
        <v>0</v>
      </c>
      <c r="AN4" s="36"/>
      <c r="AO4" s="37"/>
      <c r="AP4" s="37"/>
      <c r="AQ4" s="21"/>
      <c r="AR4" s="37"/>
      <c r="AS4" s="37"/>
      <c r="AT4" s="38">
        <f t="shared" si="6"/>
        <v>0</v>
      </c>
      <c r="AU4" s="36"/>
      <c r="AV4" s="37"/>
      <c r="AW4" s="37"/>
      <c r="AX4" s="21"/>
      <c r="AY4" s="37"/>
      <c r="AZ4" s="37"/>
      <c r="BA4" s="39">
        <f t="shared" si="7"/>
        <v>0</v>
      </c>
      <c r="BB4" s="46" t="s">
        <v>376</v>
      </c>
      <c r="BC4" s="31" t="s">
        <v>341</v>
      </c>
      <c r="BD4" s="16" t="s">
        <v>311</v>
      </c>
      <c r="BE4" s="16" t="s">
        <v>311</v>
      </c>
      <c r="BF4" s="244" t="str">
        <f>T_BilanSocial2[[#This Row],[Nom]]&amp;T_BilanSocial2[[#This Row],[Prénom]]</f>
        <v>MmeA</v>
      </c>
    </row>
    <row r="5" spans="1:58" ht="21.75" hidden="1" customHeight="1" x14ac:dyDescent="0.25">
      <c r="A5" s="90">
        <v>221</v>
      </c>
      <c r="B5" s="126" t="s">
        <v>311</v>
      </c>
      <c r="C5" s="126">
        <f>VLOOKUP(T_BilanSocial2[[#This Row],[NumL]],T_Commission[#Data],COLUMN(T_Commission[FINAL]),FALSE)</f>
        <v>1</v>
      </c>
      <c r="D5" s="19" t="str">
        <f t="shared" si="0"/>
        <v>Mme</v>
      </c>
      <c r="E5" s="19" t="str">
        <f t="shared" si="1"/>
        <v>A</v>
      </c>
      <c r="F5" s="242" t="str">
        <f>IFERROR(VLOOKUP(T_BilanSocial2[[#This Row],[Zone_Bilan]],T_P_BilanSocial[#Data],COLUMN(T_P_BilanSocial[[#This Row],[Numero_SIHAM]]),FALSE),"")</f>
        <v/>
      </c>
      <c r="G5" s="242" t="str">
        <f>IFERROR(VLOOKUP(T_BilanSocial2[[#This Row],[Zone_Bilan]],T_P_BilanSocial[#Data],COLUMN(T_P_BilanSocial[[#This Row],[Sexe]]),FALSE),"")</f>
        <v/>
      </c>
      <c r="H5" s="243" t="str">
        <f>IFERROR(VLOOKUP(T_BilanSocial2[[#This Row],[Zone_Bilan]],T_P_BilanSocial[#Data],COLUMN(T_P_BilanSocial[[#This Row],[Categorie]]),FALSE),"")</f>
        <v/>
      </c>
      <c r="I5" s="242" t="str">
        <f>IFERROR(VLOOKUP(T_BilanSocial2[[#This Row],[Zone_Bilan]],T_P_BilanSocial[#Data],COLUMN(T_P_BilanSocial[[#This Row],[Statut]]),FALSE),"")</f>
        <v/>
      </c>
      <c r="J5" s="242" t="str">
        <f>IFERROR(VLOOKUP(T_BilanSocial2[[#This Row],[Zone_Bilan]],T_P_BilanSocial[#Data],COLUMN(T_P_BilanSocial[[#This Row],[Filiere]]),FALSE),"")</f>
        <v/>
      </c>
      <c r="K5" s="78">
        <v>1</v>
      </c>
      <c r="L5" s="213">
        <v>1.5451388888888891</v>
      </c>
      <c r="M5" s="78" t="s">
        <v>210</v>
      </c>
      <c r="N5" s="79">
        <f>IF((AND(T_BilanSocial2[[#This Row],[Nom]]&lt;&gt;"",T_BilanSocial2[[#This Row],[Reg Ponct]]="R")),(COUNTIF(S5:AX5,"S")+COUNTIF(S5:AX5,"T"))/2,"")</f>
        <v>4.5</v>
      </c>
      <c r="O5" s="79">
        <f>IF((AND(T_BilanSocial2[[#This Row],[Nom]]&lt;&gt;"",T_BilanSocial2[[#This Row],[Reg Ponct]]="R")),COUNTIF(S5:AX5,"S")/2,"")</f>
        <v>4</v>
      </c>
      <c r="P5" s="80">
        <f>IF((AND(T_BilanSocial2[[#This Row],[Nom]]&lt;&gt;"",T_BilanSocial2[[#This Row],[Reg Ponct]]="R")),COUNTIF(S5:AX5,"t")/2,"")</f>
        <v>0.5</v>
      </c>
      <c r="Q5" s="81">
        <f t="shared" si="2"/>
        <v>1.5451388888888891</v>
      </c>
      <c r="R5" s="82">
        <f>IF((AND(T_BilanSocial2[[#This Row],[Nom]]&lt;&gt;"",T_BilanSocial2[[#This Row],[Reg Ponct]]="R")),IF(S5="T",U5-T5,0)+IF(V5="T",X5-W5,0)+IF(Z5="T",AB5-AA5,0)+IF(AC5="T",AE5-AD5,0)+IF(AG5="T",AI5-AH5,0)+IF(AJ5="T",AL5-AK5,0)+IF(AN5="T",AP5-AO5,0)+IF(AQ5="T",AS5-AR5,0)+IF(AU5="T",AW5-AV5,0)+IF(AX5="T",AZ5-AY5,0),"")</f>
        <v>0.1701388888888889</v>
      </c>
      <c r="S5" s="36" t="s">
        <v>306</v>
      </c>
      <c r="T5" s="37">
        <v>0.36458333333333331</v>
      </c>
      <c r="U5" s="37">
        <v>0.52083333333333337</v>
      </c>
      <c r="V5" s="21" t="s">
        <v>306</v>
      </c>
      <c r="W5" s="37">
        <v>0.5625</v>
      </c>
      <c r="X5" s="37">
        <v>0.75</v>
      </c>
      <c r="Y5" s="38">
        <f t="shared" si="3"/>
        <v>0.34375000000000006</v>
      </c>
      <c r="Z5" s="36" t="s">
        <v>306</v>
      </c>
      <c r="AA5" s="37">
        <v>0.36458333333333331</v>
      </c>
      <c r="AB5" s="37">
        <v>0.52083333333333337</v>
      </c>
      <c r="AC5" s="21" t="s">
        <v>306</v>
      </c>
      <c r="AD5" s="37">
        <v>0.5625</v>
      </c>
      <c r="AE5" s="37">
        <v>0.75</v>
      </c>
      <c r="AF5" s="38">
        <f t="shared" si="4"/>
        <v>0.34375000000000006</v>
      </c>
      <c r="AG5" s="36" t="s">
        <v>306</v>
      </c>
      <c r="AH5" s="37">
        <v>0.36458333333333331</v>
      </c>
      <c r="AI5" s="37">
        <v>0.52083333333333337</v>
      </c>
      <c r="AJ5" s="21" t="s">
        <v>306</v>
      </c>
      <c r="AK5" s="37">
        <v>0.5625</v>
      </c>
      <c r="AL5" s="37">
        <v>0.75</v>
      </c>
      <c r="AM5" s="38">
        <f t="shared" si="5"/>
        <v>0.34375000000000006</v>
      </c>
      <c r="AN5" s="36" t="s">
        <v>306</v>
      </c>
      <c r="AO5" s="37">
        <v>0.36458333333333331</v>
      </c>
      <c r="AP5" s="37">
        <v>0.52083333333333337</v>
      </c>
      <c r="AQ5" s="21" t="s">
        <v>306</v>
      </c>
      <c r="AR5" s="37">
        <v>0.5625</v>
      </c>
      <c r="AS5" s="37">
        <v>0.75</v>
      </c>
      <c r="AT5" s="38">
        <f t="shared" si="6"/>
        <v>0.34375000000000006</v>
      </c>
      <c r="AU5" s="36" t="s">
        <v>307</v>
      </c>
      <c r="AV5" s="37">
        <v>0.36458333333333331</v>
      </c>
      <c r="AW5" s="37">
        <v>0.53472222222222221</v>
      </c>
      <c r="AX5" s="21" t="s">
        <v>308</v>
      </c>
      <c r="AY5" s="37"/>
      <c r="AZ5" s="37"/>
      <c r="BA5" s="39">
        <f t="shared" si="7"/>
        <v>0.1701388888888889</v>
      </c>
      <c r="BB5" s="46" t="s">
        <v>1121</v>
      </c>
      <c r="BC5" s="31" t="s">
        <v>1122</v>
      </c>
      <c r="BD5" s="16" t="s">
        <v>311</v>
      </c>
      <c r="BE5" s="16" t="s">
        <v>311</v>
      </c>
      <c r="BF5" s="244" t="str">
        <f>T_BilanSocial2[[#This Row],[Nom]]&amp;T_BilanSocial2[[#This Row],[Prénom]]</f>
        <v>MmeA</v>
      </c>
    </row>
    <row r="6" spans="1:58" ht="21.75" customHeight="1" x14ac:dyDescent="0.25">
      <c r="A6" s="90">
        <v>12</v>
      </c>
      <c r="B6" s="126" t="s">
        <v>311</v>
      </c>
      <c r="C6" s="126">
        <f>VLOOKUP(T_BilanSocial2[[#This Row],[NumL]],T_Commission[#Data],COLUMN(T_Commission[FINAL]),FALSE)</f>
        <v>1</v>
      </c>
      <c r="D6" s="19" t="str">
        <f t="shared" si="0"/>
        <v>M.</v>
      </c>
      <c r="E6" s="19" t="str">
        <f t="shared" si="1"/>
        <v>A</v>
      </c>
      <c r="F6" s="242" t="str">
        <f>IFERROR(VLOOKUP(T_BilanSocial2[[#This Row],[Zone_Bilan]],T_P_BilanSocial[#Data],COLUMN(T_P_BilanSocial[[#This Row],[Numero_SIHAM]]),FALSE),"")</f>
        <v/>
      </c>
      <c r="G6" s="242" t="str">
        <f>IFERROR(VLOOKUP(T_BilanSocial2[[#This Row],[Zone_Bilan]],T_P_BilanSocial[#Data],COLUMN(T_P_BilanSocial[[#This Row],[Sexe]]),FALSE),"")</f>
        <v/>
      </c>
      <c r="H6" s="243" t="str">
        <f>IFERROR(VLOOKUP(T_BilanSocial2[[#This Row],[Zone_Bilan]],T_P_BilanSocial[#Data],COLUMN(T_P_BilanSocial[[#This Row],[Categorie]]),FALSE),"")</f>
        <v/>
      </c>
      <c r="I6" s="242" t="str">
        <f>IFERROR(VLOOKUP(T_BilanSocial2[[#This Row],[Zone_Bilan]],T_P_BilanSocial[#Data],COLUMN(T_P_BilanSocial[[#This Row],[Statut]]),FALSE),"")</f>
        <v/>
      </c>
      <c r="J6" s="242" t="str">
        <f>IFERROR(VLOOKUP(T_BilanSocial2[[#This Row],[Zone_Bilan]],T_P_BilanSocial[#Data],COLUMN(T_P_BilanSocial[[#This Row],[Filiere]]),FALSE),"")</f>
        <v/>
      </c>
      <c r="K6" s="78">
        <v>1</v>
      </c>
      <c r="L6" s="213">
        <v>1.5451388888888891</v>
      </c>
      <c r="M6" s="78" t="s">
        <v>210</v>
      </c>
      <c r="N6" s="79">
        <f>IF((AND(T_BilanSocial2[[#This Row],[Nom]]&lt;&gt;"",T_BilanSocial2[[#This Row],[Reg Ponct]]="R")),(COUNTIF(S6:AX6,"S")+COUNTIF(S6:AX6,"T"))/2,"")</f>
        <v>5</v>
      </c>
      <c r="O6" s="79">
        <f>IF((AND(T_BilanSocial2[[#This Row],[Nom]]&lt;&gt;"",T_BilanSocial2[[#This Row],[Reg Ponct]]="R")),COUNTIF(S6:AX6,"S")/2,"")</f>
        <v>4</v>
      </c>
      <c r="P6" s="80">
        <f>IF((AND(T_BilanSocial2[[#This Row],[Nom]]&lt;&gt;"",T_BilanSocial2[[#This Row],[Reg Ponct]]="R")),COUNTIF(S6:AX6,"t")/2,"")</f>
        <v>1</v>
      </c>
      <c r="Q6" s="81">
        <f t="shared" si="2"/>
        <v>1.5451388888888888</v>
      </c>
      <c r="R6" s="82">
        <f>IF((AND(T_BilanSocial2[[#This Row],[Nom]]&lt;&gt;"",T_BilanSocial2[[#This Row],[Reg Ponct]]="R")),IF(S6="T",U6-T6,0)+IF(V6="T",X6-W6,0)+IF(Z6="T",AB6-AA6,0)+IF(AC6="T",AE6-AD6,0)+IF(AG6="T",AI6-AH6,0)+IF(AJ6="T",AL6-AK6,0)+IF(AN6="T",AP6-AO6,0)+IF(AQ6="T",AS6-AR6,0)+IF(AU6="T",AW6-AV6,0)+IF(AX6="T",AZ6-AY6,0),"")</f>
        <v>0.3125</v>
      </c>
      <c r="S6" s="36" t="s">
        <v>306</v>
      </c>
      <c r="T6" s="37">
        <v>0.32291666666666669</v>
      </c>
      <c r="U6" s="37">
        <v>0.5</v>
      </c>
      <c r="V6" s="21" t="s">
        <v>306</v>
      </c>
      <c r="W6" s="37">
        <v>0.54166666666666663</v>
      </c>
      <c r="X6" s="37">
        <v>0.67708333333333337</v>
      </c>
      <c r="Y6" s="38">
        <f t="shared" si="3"/>
        <v>0.31250000000000006</v>
      </c>
      <c r="Z6" s="36" t="s">
        <v>307</v>
      </c>
      <c r="AA6" s="37">
        <v>0.3125</v>
      </c>
      <c r="AB6" s="37">
        <v>0.5</v>
      </c>
      <c r="AC6" s="21" t="s">
        <v>307</v>
      </c>
      <c r="AD6" s="37">
        <v>0.54166666666666663</v>
      </c>
      <c r="AE6" s="37">
        <v>0.66666666666666663</v>
      </c>
      <c r="AF6" s="38">
        <f t="shared" si="4"/>
        <v>0.3125</v>
      </c>
      <c r="AG6" s="36" t="s">
        <v>306</v>
      </c>
      <c r="AH6" s="37">
        <v>0.3125</v>
      </c>
      <c r="AI6" s="37">
        <v>0.5</v>
      </c>
      <c r="AJ6" s="21" t="s">
        <v>306</v>
      </c>
      <c r="AK6" s="37">
        <v>0.54166666666666663</v>
      </c>
      <c r="AL6" s="37">
        <v>0.66666666666666663</v>
      </c>
      <c r="AM6" s="38">
        <f t="shared" si="5"/>
        <v>0.3125</v>
      </c>
      <c r="AN6" s="36" t="s">
        <v>306</v>
      </c>
      <c r="AO6" s="37">
        <v>0.3125</v>
      </c>
      <c r="AP6" s="37">
        <v>0.5</v>
      </c>
      <c r="AQ6" s="21" t="s">
        <v>306</v>
      </c>
      <c r="AR6" s="37">
        <v>0.54166666666666663</v>
      </c>
      <c r="AS6" s="37">
        <v>0.66666666666666663</v>
      </c>
      <c r="AT6" s="38">
        <f t="shared" si="6"/>
        <v>0.3125</v>
      </c>
      <c r="AU6" s="36" t="s">
        <v>306</v>
      </c>
      <c r="AV6" s="37">
        <v>0.3298611111111111</v>
      </c>
      <c r="AW6" s="37">
        <v>0.5</v>
      </c>
      <c r="AX6" s="21" t="s">
        <v>306</v>
      </c>
      <c r="AY6" s="37">
        <v>0.54166666666666663</v>
      </c>
      <c r="AZ6" s="37">
        <v>0.66666666666666663</v>
      </c>
      <c r="BA6" s="39">
        <f t="shared" si="7"/>
        <v>0.2951388888888889</v>
      </c>
      <c r="BB6" s="46" t="s">
        <v>390</v>
      </c>
      <c r="BC6" s="31" t="s">
        <v>391</v>
      </c>
      <c r="BD6" s="16" t="s">
        <v>311</v>
      </c>
      <c r="BE6" s="16" t="s">
        <v>311</v>
      </c>
      <c r="BF6" s="244" t="str">
        <f>T_BilanSocial2[[#This Row],[Nom]]&amp;T_BilanSocial2[[#This Row],[Prénom]]</f>
        <v>M.A</v>
      </c>
    </row>
    <row r="7" spans="1:58" ht="21.75" hidden="1" customHeight="1" x14ac:dyDescent="0.25">
      <c r="A7" s="90">
        <v>234</v>
      </c>
      <c r="B7" s="126" t="s">
        <v>311</v>
      </c>
      <c r="C7" s="126">
        <f>VLOOKUP(T_BilanSocial2[[#This Row],[NumL]],T_Commission[#Data],COLUMN(T_Commission[FINAL]),FALSE)</f>
        <v>1</v>
      </c>
      <c r="D7" s="19" t="str">
        <f t="shared" si="0"/>
        <v>Mme</v>
      </c>
      <c r="E7" s="19" t="str">
        <f t="shared" si="1"/>
        <v>A</v>
      </c>
      <c r="F7" s="242" t="str">
        <f>IFERROR(VLOOKUP(T_BilanSocial2[[#This Row],[Zone_Bilan]],T_P_BilanSocial[#Data],COLUMN(T_P_BilanSocial[[#This Row],[Numero_SIHAM]]),FALSE),"")</f>
        <v/>
      </c>
      <c r="G7" s="242" t="str">
        <f>IFERROR(VLOOKUP(T_BilanSocial2[[#This Row],[Zone_Bilan]],T_P_BilanSocial[#Data],COLUMN(T_P_BilanSocial[[#This Row],[Sexe]]),FALSE),"")</f>
        <v/>
      </c>
      <c r="H7" s="243" t="str">
        <f>IFERROR(VLOOKUP(T_BilanSocial2[[#This Row],[Zone_Bilan]],T_P_BilanSocial[#Data],COLUMN(T_P_BilanSocial[[#This Row],[Categorie]]),FALSE),"")</f>
        <v/>
      </c>
      <c r="I7" s="242" t="str">
        <f>IFERROR(VLOOKUP(T_BilanSocial2[[#This Row],[Zone_Bilan]],T_P_BilanSocial[#Data],COLUMN(T_P_BilanSocial[[#This Row],[Statut]]),FALSE),"")</f>
        <v/>
      </c>
      <c r="J7" s="242" t="str">
        <f>IFERROR(VLOOKUP(T_BilanSocial2[[#This Row],[Zone_Bilan]],T_P_BilanSocial[#Data],COLUMN(T_P_BilanSocial[[#This Row],[Filiere]]),FALSE),"")</f>
        <v/>
      </c>
      <c r="K7" s="78">
        <v>1</v>
      </c>
      <c r="L7" s="213">
        <v>1.5451388888888891</v>
      </c>
      <c r="M7" s="78" t="s">
        <v>210</v>
      </c>
      <c r="N7" s="79">
        <f>IF((AND(T_BilanSocial2[[#This Row],[Nom]]&lt;&gt;"",T_BilanSocial2[[#This Row],[Reg Ponct]]="R")),(COUNTIF(S7:AX7,"S")+COUNTIF(S7:AX7,"T"))/2,"")</f>
        <v>4.5</v>
      </c>
      <c r="O7" s="79">
        <f>IF((AND(T_BilanSocial2[[#This Row],[Nom]]&lt;&gt;"",T_BilanSocial2[[#This Row],[Reg Ponct]]="R")),COUNTIF(S7:AX7,"S")/2,"")</f>
        <v>2.5</v>
      </c>
      <c r="P7" s="80">
        <f>IF((AND(T_BilanSocial2[[#This Row],[Nom]]&lt;&gt;"",T_BilanSocial2[[#This Row],[Reg Ponct]]="R")),COUNTIF(S7:AX7,"t")/2,"")</f>
        <v>2</v>
      </c>
      <c r="Q7" s="81">
        <f t="shared" si="2"/>
        <v>1.5451388888888891</v>
      </c>
      <c r="R7" s="82">
        <f>IF((AND(T_BilanSocial2[[#This Row],[Nom]]&lt;&gt;"",T_BilanSocial2[[#This Row],[Reg Ponct]]="R")),IF(S7="T",U7-T7,0)+IF(V7="T",X7-W7,0)+IF(Z7="T",AB7-AA7,0)+IF(AC7="T",AE7-AD7,0)+IF(AG7="T",AI7-AH7,0)+IF(AJ7="T",AL7-AK7,0)+IF(AN7="T",AP7-AO7,0)+IF(AQ7="T",AS7-AR7,0)+IF(AU7="T",AW7-AV7,0)+IF(AX7="T",AZ7-AY7,0),"")</f>
        <v>0.66666666666666685</v>
      </c>
      <c r="S7" s="36" t="s">
        <v>307</v>
      </c>
      <c r="T7" s="37">
        <v>0.33333333333333331</v>
      </c>
      <c r="U7" s="37">
        <v>0.52083333333333337</v>
      </c>
      <c r="V7" s="21" t="s">
        <v>307</v>
      </c>
      <c r="W7" s="37">
        <v>0.5625</v>
      </c>
      <c r="X7" s="37">
        <v>0.70833333333333337</v>
      </c>
      <c r="Y7" s="38">
        <f t="shared" si="3"/>
        <v>0.33333333333333343</v>
      </c>
      <c r="Z7" s="36" t="s">
        <v>307</v>
      </c>
      <c r="AA7" s="37">
        <v>0.33333333333333331</v>
      </c>
      <c r="AB7" s="37">
        <v>0.52083333333333337</v>
      </c>
      <c r="AC7" s="21" t="s">
        <v>307</v>
      </c>
      <c r="AD7" s="37">
        <v>0.5625</v>
      </c>
      <c r="AE7" s="37">
        <v>0.70833333333333337</v>
      </c>
      <c r="AF7" s="38">
        <f t="shared" si="4"/>
        <v>0.33333333333333343</v>
      </c>
      <c r="AG7" s="36" t="s">
        <v>306</v>
      </c>
      <c r="AH7" s="37">
        <v>0.33333333333333331</v>
      </c>
      <c r="AI7" s="37">
        <v>0.52083333333333337</v>
      </c>
      <c r="AJ7" s="21" t="s">
        <v>306</v>
      </c>
      <c r="AK7" s="37">
        <v>0.5625</v>
      </c>
      <c r="AL7" s="37">
        <v>0.72916666666666663</v>
      </c>
      <c r="AM7" s="38">
        <f t="shared" si="5"/>
        <v>0.35416666666666669</v>
      </c>
      <c r="AN7" s="36" t="s">
        <v>306</v>
      </c>
      <c r="AO7" s="37">
        <v>0.33333333333333331</v>
      </c>
      <c r="AP7" s="37">
        <v>0.52083333333333337</v>
      </c>
      <c r="AQ7" s="21" t="s">
        <v>306</v>
      </c>
      <c r="AR7" s="37">
        <v>0.5625</v>
      </c>
      <c r="AS7" s="37">
        <v>0.72916666666666663</v>
      </c>
      <c r="AT7" s="38">
        <f t="shared" si="6"/>
        <v>0.35416666666666669</v>
      </c>
      <c r="AU7" s="36" t="s">
        <v>306</v>
      </c>
      <c r="AV7" s="37">
        <v>0.35416666666666669</v>
      </c>
      <c r="AW7" s="37">
        <v>0.52430555555555558</v>
      </c>
      <c r="AX7" s="21" t="s">
        <v>308</v>
      </c>
      <c r="AY7" s="37"/>
      <c r="AZ7" s="37"/>
      <c r="BA7" s="39">
        <f t="shared" si="7"/>
        <v>0.1701388888888889</v>
      </c>
      <c r="BB7" s="46" t="s">
        <v>684</v>
      </c>
      <c r="BC7" s="31" t="s">
        <v>341</v>
      </c>
      <c r="BD7" s="16" t="s">
        <v>311</v>
      </c>
      <c r="BE7" s="16" t="s">
        <v>311</v>
      </c>
      <c r="BF7" s="244" t="str">
        <f>T_BilanSocial2[[#This Row],[Nom]]&amp;T_BilanSocial2[[#This Row],[Prénom]]</f>
        <v>MmeA</v>
      </c>
    </row>
    <row r="8" spans="1:58" ht="21.75" customHeight="1" x14ac:dyDescent="0.25">
      <c r="A8" s="90">
        <v>62</v>
      </c>
      <c r="B8" s="126" t="s">
        <v>311</v>
      </c>
      <c r="C8" s="126">
        <f>VLOOKUP(T_BilanSocial2[[#This Row],[NumL]],T_Commission[#Data],COLUMN(T_Commission[FINAL]),FALSE)</f>
        <v>1</v>
      </c>
      <c r="D8" s="19" t="str">
        <f t="shared" si="0"/>
        <v>Mme</v>
      </c>
      <c r="E8" s="19" t="str">
        <f t="shared" si="1"/>
        <v>A</v>
      </c>
      <c r="F8" s="242" t="str">
        <f>IFERROR(VLOOKUP(T_BilanSocial2[[#This Row],[Zone_Bilan]],T_P_BilanSocial[#Data],COLUMN(T_P_BilanSocial[[#This Row],[Numero_SIHAM]]),FALSE),"")</f>
        <v/>
      </c>
      <c r="G8" s="242" t="str">
        <f>IFERROR(VLOOKUP(T_BilanSocial2[[#This Row],[Zone_Bilan]],T_P_BilanSocial[#Data],COLUMN(T_P_BilanSocial[[#This Row],[Sexe]]),FALSE),"")</f>
        <v/>
      </c>
      <c r="H8" s="243" t="str">
        <f>IFERROR(VLOOKUP(T_BilanSocial2[[#This Row],[Zone_Bilan]],T_P_BilanSocial[#Data],COLUMN(T_P_BilanSocial[[#This Row],[Categorie]]),FALSE),"")</f>
        <v/>
      </c>
      <c r="I8" s="242" t="str">
        <f>IFERROR(VLOOKUP(T_BilanSocial2[[#This Row],[Zone_Bilan]],T_P_BilanSocial[#Data],COLUMN(T_P_BilanSocial[[#This Row],[Statut]]),FALSE),"")</f>
        <v/>
      </c>
      <c r="J8" s="242" t="str">
        <f>IFERROR(VLOOKUP(T_BilanSocial2[[#This Row],[Zone_Bilan]],T_P_BilanSocial[#Data],COLUMN(T_P_BilanSocial[[#This Row],[Filiere]]),FALSE),"")</f>
        <v/>
      </c>
      <c r="K8" s="78">
        <v>1</v>
      </c>
      <c r="L8" s="213">
        <v>1.5451388888888891</v>
      </c>
      <c r="M8" s="78" t="s">
        <v>210</v>
      </c>
      <c r="N8" s="79">
        <f>IF((AND(T_BilanSocial2[[#This Row],[Nom]]&lt;&gt;"",T_BilanSocial2[[#This Row],[Reg Ponct]]="R")),(COUNTIF(S8:AX8,"S")+COUNTIF(S8:AX8,"T"))/2,"")</f>
        <v>4.5</v>
      </c>
      <c r="O8" s="79">
        <f>IF((AND(T_BilanSocial2[[#This Row],[Nom]]&lt;&gt;"",T_BilanSocial2[[#This Row],[Reg Ponct]]="R")),COUNTIF(S8:AX8,"S")/2,"")</f>
        <v>3.5</v>
      </c>
      <c r="P8" s="80">
        <f>IF((AND(T_BilanSocial2[[#This Row],[Nom]]&lt;&gt;"",T_BilanSocial2[[#This Row],[Reg Ponct]]="R")),COUNTIF(S8:AX8,"t")/2,"")</f>
        <v>1</v>
      </c>
      <c r="Q8" s="81">
        <f t="shared" si="2"/>
        <v>1.5451388888888891</v>
      </c>
      <c r="R8" s="82">
        <f>IF((AND(T_BilanSocial2[[#This Row],[Nom]]&lt;&gt;"",T_BilanSocial2[[#This Row],[Reg Ponct]]="R")),IF(S8="T",U8-T8,0)+IF(V8="T",X8-W8,0)+IF(Z8="T",AB8-AA8,0)+IF(AC8="T",AE8-AD8,0)+IF(AG8="T",AI8-AH8,0)+IF(AJ8="T",AL8-AK8,0)+IF(AN8="T",AP8-AO8,0)+IF(AQ8="T",AS8-AR8,0)+IF(AU8="T",AW8-AV8,0)+IF(AX8="T",AZ8-AY8,0),"")</f>
        <v>0.31250000000000006</v>
      </c>
      <c r="S8" s="36" t="s">
        <v>306</v>
      </c>
      <c r="T8" s="37">
        <v>0.35416666666666669</v>
      </c>
      <c r="U8" s="37">
        <v>0.5</v>
      </c>
      <c r="V8" s="21" t="s">
        <v>306</v>
      </c>
      <c r="W8" s="37">
        <v>0.54166666666666663</v>
      </c>
      <c r="X8" s="37">
        <v>0.75</v>
      </c>
      <c r="Y8" s="38">
        <f t="shared" si="3"/>
        <v>0.35416666666666669</v>
      </c>
      <c r="Z8" s="36" t="s">
        <v>306</v>
      </c>
      <c r="AA8" s="37">
        <v>0.35416666666666669</v>
      </c>
      <c r="AB8" s="37">
        <v>0.5</v>
      </c>
      <c r="AC8" s="21" t="s">
        <v>306</v>
      </c>
      <c r="AD8" s="37">
        <v>0.54166666666666663</v>
      </c>
      <c r="AE8" s="37">
        <v>0.75</v>
      </c>
      <c r="AF8" s="38">
        <f t="shared" si="4"/>
        <v>0.35416666666666669</v>
      </c>
      <c r="AG8" s="36" t="s">
        <v>306</v>
      </c>
      <c r="AH8" s="37">
        <v>0.35416666666666669</v>
      </c>
      <c r="AI8" s="37">
        <v>0.5</v>
      </c>
      <c r="AJ8" s="21" t="s">
        <v>306</v>
      </c>
      <c r="AK8" s="37">
        <v>0.54166666666666663</v>
      </c>
      <c r="AL8" s="37">
        <v>0.72916666666666663</v>
      </c>
      <c r="AM8" s="38">
        <f t="shared" si="5"/>
        <v>0.33333333333333331</v>
      </c>
      <c r="AN8" s="36" t="s">
        <v>306</v>
      </c>
      <c r="AO8" s="37">
        <v>0.35416666666666669</v>
      </c>
      <c r="AP8" s="37">
        <v>0.54513888888888895</v>
      </c>
      <c r="AQ8" s="21" t="s">
        <v>308</v>
      </c>
      <c r="AR8" s="37"/>
      <c r="AS8" s="37"/>
      <c r="AT8" s="38">
        <f t="shared" si="6"/>
        <v>0.19097222222222227</v>
      </c>
      <c r="AU8" s="36" t="s">
        <v>307</v>
      </c>
      <c r="AV8" s="37">
        <v>0.35416666666666669</v>
      </c>
      <c r="AW8" s="37">
        <v>0.52083333333333337</v>
      </c>
      <c r="AX8" s="21" t="s">
        <v>307</v>
      </c>
      <c r="AY8" s="37">
        <v>0.5625</v>
      </c>
      <c r="AZ8" s="37">
        <v>0.70833333333333337</v>
      </c>
      <c r="BA8" s="39">
        <f t="shared" si="7"/>
        <v>0.31250000000000006</v>
      </c>
      <c r="BB8" s="46" t="s">
        <v>340</v>
      </c>
      <c r="BC8" s="31" t="s">
        <v>341</v>
      </c>
      <c r="BD8" s="16" t="s">
        <v>311</v>
      </c>
      <c r="BE8" s="16" t="s">
        <v>311</v>
      </c>
      <c r="BF8" s="244" t="str">
        <f>T_BilanSocial2[[#This Row],[Nom]]&amp;T_BilanSocial2[[#This Row],[Prénom]]</f>
        <v>MmeA</v>
      </c>
    </row>
    <row r="9" spans="1:58" ht="21.75" hidden="1" customHeight="1" x14ac:dyDescent="0.25">
      <c r="A9" s="90">
        <v>176</v>
      </c>
      <c r="B9" s="126" t="s">
        <v>311</v>
      </c>
      <c r="C9" s="126">
        <f>VLOOKUP(T_BilanSocial2[[#This Row],[NumL]],T_Commission[#Data],COLUMN(T_Commission[FINAL]),FALSE)</f>
        <v>1</v>
      </c>
      <c r="D9" s="19" t="str">
        <f t="shared" si="0"/>
        <v>Mme</v>
      </c>
      <c r="E9" s="19" t="str">
        <f t="shared" si="1"/>
        <v>A</v>
      </c>
      <c r="F9" s="242" t="str">
        <f>IFERROR(VLOOKUP(T_BilanSocial2[[#This Row],[Zone_Bilan]],T_P_BilanSocial[#Data],COLUMN(T_P_BilanSocial[[#This Row],[Numero_SIHAM]]),FALSE),"")</f>
        <v/>
      </c>
      <c r="G9" s="242" t="str">
        <f>IFERROR(VLOOKUP(T_BilanSocial2[[#This Row],[Zone_Bilan]],T_P_BilanSocial[#Data],COLUMN(T_P_BilanSocial[[#This Row],[Sexe]]),FALSE),"")</f>
        <v/>
      </c>
      <c r="H9" s="243" t="str">
        <f>IFERROR(VLOOKUP(T_BilanSocial2[[#This Row],[Zone_Bilan]],T_P_BilanSocial[#Data],COLUMN(T_P_BilanSocial[[#This Row],[Categorie]]),FALSE),"")</f>
        <v/>
      </c>
      <c r="I9" s="242" t="str">
        <f>IFERROR(VLOOKUP(T_BilanSocial2[[#This Row],[Zone_Bilan]],T_P_BilanSocial[#Data],COLUMN(T_P_BilanSocial[[#This Row],[Statut]]),FALSE),"")</f>
        <v/>
      </c>
      <c r="J9" s="242" t="str">
        <f>IFERROR(VLOOKUP(T_BilanSocial2[[#This Row],[Zone_Bilan]],T_P_BilanSocial[#Data],COLUMN(T_P_BilanSocial[[#This Row],[Filiere]]),FALSE),"")</f>
        <v/>
      </c>
      <c r="K9" s="78">
        <v>1</v>
      </c>
      <c r="L9" s="213">
        <v>1.5451388888888891</v>
      </c>
      <c r="M9" s="78" t="s">
        <v>210</v>
      </c>
      <c r="N9" s="79">
        <f>IF((AND(T_BilanSocial2[[#This Row],[Nom]]&lt;&gt;"",T_BilanSocial2[[#This Row],[Reg Ponct]]="R")),(COUNTIF(S9:AX9,"S")+COUNTIF(S9:AX9,"T"))/2,"")</f>
        <v>4.5</v>
      </c>
      <c r="O9" s="79">
        <f>IF((AND(T_BilanSocial2[[#This Row],[Nom]]&lt;&gt;"",T_BilanSocial2[[#This Row],[Reg Ponct]]="R")),COUNTIF(S9:AX9,"S")/2,"")</f>
        <v>3.5</v>
      </c>
      <c r="P9" s="80">
        <f>IF((AND(T_BilanSocial2[[#This Row],[Nom]]&lt;&gt;"",T_BilanSocial2[[#This Row],[Reg Ponct]]="R")),COUNTIF(S9:AX9,"t")/2,"")</f>
        <v>1</v>
      </c>
      <c r="Q9" s="81">
        <f t="shared" si="2"/>
        <v>1.5451388888888893</v>
      </c>
      <c r="R9" s="82">
        <f>IF((AND(T_BilanSocial2[[#This Row],[Nom]]&lt;&gt;"",T_BilanSocial2[[#This Row],[Reg Ponct]]="R")),IF(S9="T",U9-T9,0)+IF(V9="T",X9-W9,0)+IF(Z9="T",AB9-AA9,0)+IF(AC9="T",AE9-AD9,0)+IF(AG9="T",AI9-AH9,0)+IF(AJ9="T",AL9-AK9,0)+IF(AN9="T",AP9-AO9,0)+IF(AQ9="T",AS9-AR9,0)+IF(AU9="T",AW9-AV9,0)+IF(AX9="T",AZ9-AY9,0),"")</f>
        <v>0.34722222222222227</v>
      </c>
      <c r="S9" s="36" t="s">
        <v>306</v>
      </c>
      <c r="T9" s="37">
        <v>0.35416666666666669</v>
      </c>
      <c r="U9" s="37">
        <v>0.52083333333333337</v>
      </c>
      <c r="V9" s="21" t="s">
        <v>306</v>
      </c>
      <c r="W9" s="37">
        <v>0.5625</v>
      </c>
      <c r="X9" s="37">
        <v>0.73958333333333337</v>
      </c>
      <c r="Y9" s="38">
        <f t="shared" si="3"/>
        <v>0.34375000000000006</v>
      </c>
      <c r="Z9" s="36" t="s">
        <v>306</v>
      </c>
      <c r="AA9" s="37">
        <v>0.35416666666666669</v>
      </c>
      <c r="AB9" s="37">
        <v>0.52083333333333337</v>
      </c>
      <c r="AC9" s="21" t="s">
        <v>306</v>
      </c>
      <c r="AD9" s="37">
        <v>0.5625</v>
      </c>
      <c r="AE9" s="37">
        <v>0.73958333333333337</v>
      </c>
      <c r="AF9" s="38">
        <f t="shared" si="4"/>
        <v>0.34375000000000006</v>
      </c>
      <c r="AG9" s="36" t="s">
        <v>306</v>
      </c>
      <c r="AH9" s="37">
        <v>0.35416666666666669</v>
      </c>
      <c r="AI9" s="37">
        <v>0.52083333333333337</v>
      </c>
      <c r="AJ9" s="21" t="s">
        <v>306</v>
      </c>
      <c r="AK9" s="37">
        <v>0.5625</v>
      </c>
      <c r="AL9" s="37">
        <v>0.73958333333333337</v>
      </c>
      <c r="AM9" s="38">
        <f t="shared" si="5"/>
        <v>0.34375000000000006</v>
      </c>
      <c r="AN9" s="36" t="s">
        <v>307</v>
      </c>
      <c r="AO9" s="37">
        <v>0.33333333333333331</v>
      </c>
      <c r="AP9" s="37">
        <v>0.5</v>
      </c>
      <c r="AQ9" s="21" t="s">
        <v>307</v>
      </c>
      <c r="AR9" s="37">
        <v>0.54166666666666663</v>
      </c>
      <c r="AS9" s="37">
        <v>0.72222222222222221</v>
      </c>
      <c r="AT9" s="38">
        <f t="shared" si="6"/>
        <v>0.34722222222222227</v>
      </c>
      <c r="AU9" s="36" t="s">
        <v>306</v>
      </c>
      <c r="AV9" s="37">
        <v>0.35416666666666669</v>
      </c>
      <c r="AW9" s="37">
        <v>0.52083333333333337</v>
      </c>
      <c r="AX9" s="21" t="s">
        <v>308</v>
      </c>
      <c r="AY9" s="37"/>
      <c r="AZ9" s="37"/>
      <c r="BA9" s="39">
        <f t="shared" si="7"/>
        <v>0.16666666666666669</v>
      </c>
      <c r="BB9" s="46" t="s">
        <v>420</v>
      </c>
      <c r="BC9" s="31" t="s">
        <v>421</v>
      </c>
      <c r="BD9" s="16" t="s">
        <v>311</v>
      </c>
      <c r="BE9" s="16" t="s">
        <v>311</v>
      </c>
      <c r="BF9" s="244" t="str">
        <f>T_BilanSocial2[[#This Row],[Nom]]&amp;T_BilanSocial2[[#This Row],[Prénom]]</f>
        <v>MmeA</v>
      </c>
    </row>
    <row r="10" spans="1:58" ht="21.75" customHeight="1" x14ac:dyDescent="0.25">
      <c r="A10" s="90">
        <v>57</v>
      </c>
      <c r="B10" s="126" t="s">
        <v>210</v>
      </c>
      <c r="C10" s="126">
        <f>VLOOKUP(T_BilanSocial2[[#This Row],[NumL]],T_Commission[#Data],COLUMN(T_Commission[FINAL]),FALSE)</f>
        <v>1</v>
      </c>
      <c r="D10" s="19" t="str">
        <f t="shared" si="0"/>
        <v>M.</v>
      </c>
      <c r="E10" s="19" t="str">
        <f t="shared" si="1"/>
        <v>A</v>
      </c>
      <c r="F10" s="242" t="str">
        <f>IFERROR(VLOOKUP(T_BilanSocial2[[#This Row],[Zone_Bilan]],T_P_BilanSocial[#Data],COLUMN(T_P_BilanSocial[[#This Row],[Numero_SIHAM]]),FALSE),"")</f>
        <v/>
      </c>
      <c r="G10" s="242" t="str">
        <f>IFERROR(VLOOKUP(T_BilanSocial2[[#This Row],[Zone_Bilan]],T_P_BilanSocial[#Data],COLUMN(T_P_BilanSocial[[#This Row],[Sexe]]),FALSE),"")</f>
        <v/>
      </c>
      <c r="H10" s="243" t="str">
        <f>IFERROR(VLOOKUP(T_BilanSocial2[[#This Row],[Zone_Bilan]],T_P_BilanSocial[#Data],COLUMN(T_P_BilanSocial[[#This Row],[Categorie]]),FALSE),"")</f>
        <v/>
      </c>
      <c r="I10" s="242" t="str">
        <f>IFERROR(VLOOKUP(T_BilanSocial2[[#This Row],[Zone_Bilan]],T_P_BilanSocial[#Data],COLUMN(T_P_BilanSocial[[#This Row],[Statut]]),FALSE),"")</f>
        <v/>
      </c>
      <c r="J10" s="242" t="str">
        <f>IFERROR(VLOOKUP(T_BilanSocial2[[#This Row],[Zone_Bilan]],T_P_BilanSocial[#Data],COLUMN(T_P_BilanSocial[[#This Row],[Filiere]]),FALSE),"")</f>
        <v/>
      </c>
      <c r="K10" s="78">
        <v>1</v>
      </c>
      <c r="L10" s="213">
        <v>1.5451388888888891</v>
      </c>
      <c r="M10" s="78" t="s">
        <v>210</v>
      </c>
      <c r="N10" s="79">
        <f>IF((AND(T_BilanSocial2[[#This Row],[Nom]]&lt;&gt;"",T_BilanSocial2[[#This Row],[Reg Ponct]]="R")),(COUNTIF(S10:AX10,"S")+COUNTIF(S10:AX10,"T"))/2,"")</f>
        <v>4.5</v>
      </c>
      <c r="O10" s="79">
        <f>IF((AND(T_BilanSocial2[[#This Row],[Nom]]&lt;&gt;"",T_BilanSocial2[[#This Row],[Reg Ponct]]="R")),COUNTIF(S10:AX10,"S")/2,"")</f>
        <v>3</v>
      </c>
      <c r="P10" s="80">
        <f>IF((AND(T_BilanSocial2[[#This Row],[Nom]]&lt;&gt;"",T_BilanSocial2[[#This Row],[Reg Ponct]]="R")),COUNTIF(S10:AX10,"t")/2,"")</f>
        <v>1.5</v>
      </c>
      <c r="Q10" s="81">
        <f t="shared" si="2"/>
        <v>1.5451388888888893</v>
      </c>
      <c r="R10" s="82">
        <f>IF((AND(T_BilanSocial2[[#This Row],[Nom]]&lt;&gt;"",T_BilanSocial2[[#This Row],[Reg Ponct]]="R")),IF(S10="T",U10-T10,0)+IF(V10="T",X10-W10,0)+IF(Z10="T",AB10-AA10,0)+IF(AC10="T",AE10-AD10,0)+IF(AG10="T",AI10-AH10,0)+IF(AJ10="T",AL10-AK10,0)+IF(AN10="T",AP10-AO10,0)+IF(AQ10="T",AS10-AR10,0)+IF(AU10="T",AW10-AV10,0)+IF(AX10="T",AZ10-AY10,0),"")</f>
        <v>0.54166666666666674</v>
      </c>
      <c r="S10" s="36" t="s">
        <v>306</v>
      </c>
      <c r="T10" s="37">
        <v>0.33333333333333331</v>
      </c>
      <c r="U10" s="37">
        <v>0.52083333333333337</v>
      </c>
      <c r="V10" s="21" t="s">
        <v>306</v>
      </c>
      <c r="W10" s="37">
        <v>0.5625</v>
      </c>
      <c r="X10" s="37">
        <v>0.71180555555555547</v>
      </c>
      <c r="Y10" s="38">
        <f t="shared" si="3"/>
        <v>0.33680555555555552</v>
      </c>
      <c r="Z10" s="36" t="s">
        <v>307</v>
      </c>
      <c r="AA10" s="37">
        <v>0.3125</v>
      </c>
      <c r="AB10" s="37">
        <v>0.5</v>
      </c>
      <c r="AC10" s="21" t="s">
        <v>307</v>
      </c>
      <c r="AD10" s="37">
        <v>0.54166666666666663</v>
      </c>
      <c r="AE10" s="37">
        <v>0.70833333333333337</v>
      </c>
      <c r="AF10" s="38">
        <f t="shared" si="4"/>
        <v>0.35416666666666674</v>
      </c>
      <c r="AG10" s="36" t="s">
        <v>306</v>
      </c>
      <c r="AH10" s="37">
        <v>0.33333333333333331</v>
      </c>
      <c r="AI10" s="37">
        <v>0.52083333333333337</v>
      </c>
      <c r="AJ10" s="21" t="s">
        <v>306</v>
      </c>
      <c r="AK10" s="37">
        <v>0.5625</v>
      </c>
      <c r="AL10" s="37">
        <v>0.70833333333333337</v>
      </c>
      <c r="AM10" s="38">
        <f t="shared" si="5"/>
        <v>0.33333333333333343</v>
      </c>
      <c r="AN10" s="36" t="s">
        <v>306</v>
      </c>
      <c r="AO10" s="37">
        <v>0.3125</v>
      </c>
      <c r="AP10" s="37">
        <v>0.52083333333333337</v>
      </c>
      <c r="AQ10" s="21" t="s">
        <v>306</v>
      </c>
      <c r="AR10" s="37">
        <v>0.5625</v>
      </c>
      <c r="AS10" s="37">
        <v>0.6875</v>
      </c>
      <c r="AT10" s="38">
        <f t="shared" si="6"/>
        <v>0.33333333333333337</v>
      </c>
      <c r="AU10" s="36" t="s">
        <v>307</v>
      </c>
      <c r="AV10" s="37">
        <v>0.33333333333333331</v>
      </c>
      <c r="AW10" s="37">
        <v>0.52083333333333337</v>
      </c>
      <c r="AX10" s="21" t="s">
        <v>308</v>
      </c>
      <c r="AY10" s="37"/>
      <c r="AZ10" s="37"/>
      <c r="BA10" s="39">
        <f t="shared" si="7"/>
        <v>0.18750000000000006</v>
      </c>
      <c r="BB10" s="46" t="s">
        <v>471</v>
      </c>
      <c r="BC10" s="31" t="s">
        <v>341</v>
      </c>
      <c r="BD10" s="16" t="s">
        <v>311</v>
      </c>
      <c r="BE10" s="16" t="s">
        <v>322</v>
      </c>
      <c r="BF10" s="244" t="str">
        <f>T_BilanSocial2[[#This Row],[Nom]]&amp;T_BilanSocial2[[#This Row],[Prénom]]</f>
        <v>M.A</v>
      </c>
    </row>
    <row r="11" spans="1:58" ht="21.75" hidden="1" customHeight="1" x14ac:dyDescent="0.25">
      <c r="A11" s="90">
        <v>245</v>
      </c>
      <c r="B11" s="126" t="s">
        <v>311</v>
      </c>
      <c r="C11" s="126">
        <f>VLOOKUP(T_BilanSocial2[[#This Row],[NumL]],T_Commission[#Data],COLUMN(T_Commission[FINAL]),FALSE)</f>
        <v>1</v>
      </c>
      <c r="D11" s="19" t="str">
        <f t="shared" si="0"/>
        <v>Mme</v>
      </c>
      <c r="E11" s="19" t="str">
        <f t="shared" si="1"/>
        <v>A</v>
      </c>
      <c r="F11" s="242" t="str">
        <f>IFERROR(VLOOKUP(T_BilanSocial2[[#This Row],[Zone_Bilan]],T_P_BilanSocial[#Data],COLUMN(T_P_BilanSocial[[#This Row],[Numero_SIHAM]]),FALSE),"")</f>
        <v/>
      </c>
      <c r="G11" s="242" t="str">
        <f>IFERROR(VLOOKUP(T_BilanSocial2[[#This Row],[Zone_Bilan]],T_P_BilanSocial[#Data],COLUMN(T_P_BilanSocial[[#This Row],[Sexe]]),FALSE),"")</f>
        <v/>
      </c>
      <c r="H11" s="243" t="str">
        <f>IFERROR(VLOOKUP(T_BilanSocial2[[#This Row],[Zone_Bilan]],T_P_BilanSocial[#Data],COLUMN(T_P_BilanSocial[[#This Row],[Categorie]]),FALSE),"")</f>
        <v/>
      </c>
      <c r="I11" s="242" t="str">
        <f>IFERROR(VLOOKUP(T_BilanSocial2[[#This Row],[Zone_Bilan]],T_P_BilanSocial[#Data],COLUMN(T_P_BilanSocial[[#This Row],[Statut]]),FALSE),"")</f>
        <v/>
      </c>
      <c r="J11" s="242" t="str">
        <f>IFERROR(VLOOKUP(T_BilanSocial2[[#This Row],[Zone_Bilan]],T_P_BilanSocial[#Data],COLUMN(T_P_BilanSocial[[#This Row],[Filiere]]),FALSE),"")</f>
        <v/>
      </c>
      <c r="K11" s="78">
        <v>0.8</v>
      </c>
      <c r="L11" s="213">
        <v>1.2361111111111112</v>
      </c>
      <c r="M11" s="78" t="s">
        <v>210</v>
      </c>
      <c r="N11" s="79">
        <f>IF((AND(T_BilanSocial2[[#This Row],[Nom]]&lt;&gt;"",T_BilanSocial2[[#This Row],[Reg Ponct]]="R")),(COUNTIF(S11:AX11,"S")+COUNTIF(S11:AX11,"T"))/2,"")</f>
        <v>4</v>
      </c>
      <c r="O11" s="79">
        <f>IF((AND(T_BilanSocial2[[#This Row],[Nom]]&lt;&gt;"",T_BilanSocial2[[#This Row],[Reg Ponct]]="R")),COUNTIF(S11:AX11,"S")/2,"")</f>
        <v>3</v>
      </c>
      <c r="P11" s="80">
        <f>IF((AND(T_BilanSocial2[[#This Row],[Nom]]&lt;&gt;"",T_BilanSocial2[[#This Row],[Reg Ponct]]="R")),COUNTIF(S11:AX11,"t")/2,"")</f>
        <v>1</v>
      </c>
      <c r="Q11" s="81">
        <f t="shared" si="2"/>
        <v>1.2361111111111112</v>
      </c>
      <c r="R11" s="82">
        <f>IF((AND(T_BilanSocial2[[#This Row],[Nom]]&lt;&gt;"",T_BilanSocial2[[#This Row],[Reg Ponct]]="R")),IF(S11="T",U11-T11,0)+IF(V11="T",X11-W11,0)+IF(Z11="T",AB11-AA11,0)+IF(AC11="T",AE11-AD11,0)+IF(AG11="T",AI11-AH11,0)+IF(AJ11="T",AL11-AK11,0)+IF(AN11="T",AP11-AO11,0)+IF(AQ11="T",AS11-AR11,0)+IF(AU11="T",AW11-AV11,0)+IF(AX11="T",AZ11-AY11,0),"")</f>
        <v>0.3125</v>
      </c>
      <c r="S11" s="36" t="s">
        <v>307</v>
      </c>
      <c r="T11" s="37">
        <v>0.34375</v>
      </c>
      <c r="U11" s="37">
        <v>0.5</v>
      </c>
      <c r="V11" s="21" t="s">
        <v>308</v>
      </c>
      <c r="W11" s="37"/>
      <c r="X11" s="37"/>
      <c r="Y11" s="38">
        <f t="shared" si="3"/>
        <v>0.15625</v>
      </c>
      <c r="Z11" s="36" t="s">
        <v>306</v>
      </c>
      <c r="AA11" s="37">
        <v>0.33333333333333331</v>
      </c>
      <c r="AB11" s="37">
        <v>0.53125</v>
      </c>
      <c r="AC11" s="21" t="s">
        <v>306</v>
      </c>
      <c r="AD11" s="37">
        <v>0.57291666666666663</v>
      </c>
      <c r="AE11" s="37">
        <v>0.79166666666666663</v>
      </c>
      <c r="AF11" s="38">
        <f t="shared" si="4"/>
        <v>0.41666666666666669</v>
      </c>
      <c r="AG11" s="36" t="s">
        <v>306</v>
      </c>
      <c r="AH11" s="37">
        <v>0.34722222222222227</v>
      </c>
      <c r="AI11" s="37">
        <v>0.48958333333333331</v>
      </c>
      <c r="AJ11" s="21" t="s">
        <v>306</v>
      </c>
      <c r="AK11" s="37">
        <v>0.58333333333333337</v>
      </c>
      <c r="AL11" s="37">
        <v>0.625</v>
      </c>
      <c r="AM11" s="38">
        <f t="shared" si="5"/>
        <v>0.18402777777777768</v>
      </c>
      <c r="AN11" s="36" t="s">
        <v>307</v>
      </c>
      <c r="AO11" s="37">
        <v>0.34375</v>
      </c>
      <c r="AP11" s="37">
        <v>0.5</v>
      </c>
      <c r="AQ11" s="21" t="s">
        <v>308</v>
      </c>
      <c r="AR11" s="37"/>
      <c r="AS11" s="37"/>
      <c r="AT11" s="38">
        <f t="shared" si="6"/>
        <v>0.15625</v>
      </c>
      <c r="AU11" s="36" t="s">
        <v>306</v>
      </c>
      <c r="AV11" s="37">
        <v>0.34375</v>
      </c>
      <c r="AW11" s="37">
        <v>0.54166666666666663</v>
      </c>
      <c r="AX11" s="21" t="s">
        <v>306</v>
      </c>
      <c r="AY11" s="37">
        <v>0.58333333333333337</v>
      </c>
      <c r="AZ11" s="37">
        <v>0.70833333333333337</v>
      </c>
      <c r="BA11" s="39">
        <f t="shared" si="7"/>
        <v>0.32291666666666663</v>
      </c>
      <c r="BB11" s="46" t="s">
        <v>1022</v>
      </c>
      <c r="BC11" s="31" t="s">
        <v>1023</v>
      </c>
      <c r="BD11" s="16" t="s">
        <v>311</v>
      </c>
      <c r="BE11" s="16" t="s">
        <v>311</v>
      </c>
      <c r="BF11" s="244" t="str">
        <f>T_BilanSocial2[[#This Row],[Nom]]&amp;T_BilanSocial2[[#This Row],[Prénom]]</f>
        <v>MmeA</v>
      </c>
    </row>
    <row r="12" spans="1:58" ht="21.75" customHeight="1" x14ac:dyDescent="0.25">
      <c r="A12" s="90">
        <v>137</v>
      </c>
      <c r="B12" s="126" t="s">
        <v>311</v>
      </c>
      <c r="C12" s="126">
        <f>VLOOKUP(T_BilanSocial2[[#This Row],[NumL]],T_Commission[#Data],COLUMN(T_Commission[FINAL]),FALSE)</f>
        <v>1</v>
      </c>
      <c r="D12" s="19" t="str">
        <f t="shared" si="0"/>
        <v>M.</v>
      </c>
      <c r="E12" s="19" t="str">
        <f t="shared" si="1"/>
        <v>A</v>
      </c>
      <c r="F12" s="242" t="str">
        <f>IFERROR(VLOOKUP(T_BilanSocial2[[#This Row],[Zone_Bilan]],T_P_BilanSocial[#Data],COLUMN(T_P_BilanSocial[[#This Row],[Numero_SIHAM]]),FALSE),"")</f>
        <v/>
      </c>
      <c r="G12" s="242" t="str">
        <f>IFERROR(VLOOKUP(T_BilanSocial2[[#This Row],[Zone_Bilan]],T_P_BilanSocial[#Data],COLUMN(T_P_BilanSocial[[#This Row],[Sexe]]),FALSE),"")</f>
        <v/>
      </c>
      <c r="H12" s="243" t="str">
        <f>IFERROR(VLOOKUP(T_BilanSocial2[[#This Row],[Zone_Bilan]],T_P_BilanSocial[#Data],COLUMN(T_P_BilanSocial[[#This Row],[Categorie]]),FALSE),"")</f>
        <v/>
      </c>
      <c r="I12" s="242" t="str">
        <f>IFERROR(VLOOKUP(T_BilanSocial2[[#This Row],[Zone_Bilan]],T_P_BilanSocial[#Data],COLUMN(T_P_BilanSocial[[#This Row],[Statut]]),FALSE),"")</f>
        <v/>
      </c>
      <c r="J12" s="242" t="str">
        <f>IFERROR(VLOOKUP(T_BilanSocial2[[#This Row],[Zone_Bilan]],T_P_BilanSocial[#Data],COLUMN(T_P_BilanSocial[[#This Row],[Filiere]]),FALSE),"")</f>
        <v/>
      </c>
      <c r="K12" s="78">
        <v>1</v>
      </c>
      <c r="L12" s="213">
        <v>1.5451388888888891</v>
      </c>
      <c r="M12" s="78" t="s">
        <v>210</v>
      </c>
      <c r="N12" s="79">
        <f>IF((AND(T_BilanSocial2[[#This Row],[Nom]]&lt;&gt;"",T_BilanSocial2[[#This Row],[Reg Ponct]]="R")),(COUNTIF(S12:AX12,"S")+COUNTIF(S12:AX12,"T"))/2,"")</f>
        <v>4.5</v>
      </c>
      <c r="O12" s="79">
        <f>IF((AND(T_BilanSocial2[[#This Row],[Nom]]&lt;&gt;"",T_BilanSocial2[[#This Row],[Reg Ponct]]="R")),COUNTIF(S12:AX12,"S")/2,"")</f>
        <v>3</v>
      </c>
      <c r="P12" s="80">
        <f>IF((AND(T_BilanSocial2[[#This Row],[Nom]]&lt;&gt;"",T_BilanSocial2[[#This Row],[Reg Ponct]]="R")),COUNTIF(S12:AX12,"t")/2,"")</f>
        <v>1.5</v>
      </c>
      <c r="Q12" s="81">
        <f t="shared" si="2"/>
        <v>1.5451388888888893</v>
      </c>
      <c r="R12" s="82">
        <f>IF((AND(T_BilanSocial2[[#This Row],[Nom]]&lt;&gt;"",T_BilanSocial2[[#This Row],[Reg Ponct]]="R")),IF(S12="T",U12-T12,0)+IF(V12="T",X12-W12,0)+IF(Z12="T",AB12-AA12,0)+IF(AC12="T",AE12-AD12,0)+IF(AG12="T",AI12-AH12,0)+IF(AJ12="T",AL12-AK12,0)+IF(AN12="T",AP12-AO12,0)+IF(AQ12="T",AS12-AR12,0)+IF(AU12="T",AW12-AV12,0)+IF(AX12="T",AZ12-AY12,0),"")</f>
        <v>0.48263888888888895</v>
      </c>
      <c r="S12" s="36" t="s">
        <v>306</v>
      </c>
      <c r="T12" s="37">
        <v>0.375</v>
      </c>
      <c r="U12" s="37">
        <v>0.52083333333333337</v>
      </c>
      <c r="V12" s="21" t="s">
        <v>306</v>
      </c>
      <c r="W12" s="37">
        <v>0.5625</v>
      </c>
      <c r="X12" s="37">
        <v>0.77083333333333337</v>
      </c>
      <c r="Y12" s="38">
        <f t="shared" si="3"/>
        <v>0.35416666666666674</v>
      </c>
      <c r="Z12" s="36" t="s">
        <v>307</v>
      </c>
      <c r="AA12" s="37">
        <v>0.375</v>
      </c>
      <c r="AB12" s="37">
        <v>0.52083333333333337</v>
      </c>
      <c r="AC12" s="21" t="s">
        <v>307</v>
      </c>
      <c r="AD12" s="37">
        <v>0.5625</v>
      </c>
      <c r="AE12" s="37">
        <v>0.77083333333333337</v>
      </c>
      <c r="AF12" s="38">
        <f t="shared" si="4"/>
        <v>0.35416666666666674</v>
      </c>
      <c r="AG12" s="36" t="s">
        <v>306</v>
      </c>
      <c r="AH12" s="37">
        <v>0.375</v>
      </c>
      <c r="AI12" s="37">
        <v>0.52083333333333337</v>
      </c>
      <c r="AJ12" s="21" t="s">
        <v>306</v>
      </c>
      <c r="AK12" s="37">
        <v>0.5625</v>
      </c>
      <c r="AL12" s="37">
        <v>0.77083333333333337</v>
      </c>
      <c r="AM12" s="38">
        <f t="shared" si="5"/>
        <v>0.35416666666666674</v>
      </c>
      <c r="AN12" s="36" t="s">
        <v>306</v>
      </c>
      <c r="AO12" s="37">
        <v>0.375</v>
      </c>
      <c r="AP12" s="37">
        <v>0.52083333333333337</v>
      </c>
      <c r="AQ12" s="21" t="s">
        <v>306</v>
      </c>
      <c r="AR12" s="37">
        <v>0.5625</v>
      </c>
      <c r="AS12" s="37">
        <v>0.77083333333333337</v>
      </c>
      <c r="AT12" s="38">
        <f t="shared" si="6"/>
        <v>0.35416666666666674</v>
      </c>
      <c r="AU12" s="36" t="s">
        <v>307</v>
      </c>
      <c r="AV12" s="37">
        <v>0.375</v>
      </c>
      <c r="AW12" s="37">
        <v>0.50347222222222221</v>
      </c>
      <c r="AX12" s="21" t="s">
        <v>308</v>
      </c>
      <c r="AY12" s="37"/>
      <c r="AZ12" s="37"/>
      <c r="BA12" s="39">
        <f t="shared" si="7"/>
        <v>0.12847222222222221</v>
      </c>
      <c r="BB12" s="46" t="s">
        <v>815</v>
      </c>
      <c r="BC12" s="31" t="s">
        <v>794</v>
      </c>
      <c r="BD12" s="16" t="s">
        <v>311</v>
      </c>
      <c r="BE12" s="16" t="s">
        <v>311</v>
      </c>
      <c r="BF12" s="244" t="str">
        <f>T_BilanSocial2[[#This Row],[Nom]]&amp;T_BilanSocial2[[#This Row],[Prénom]]</f>
        <v>M.A</v>
      </c>
    </row>
    <row r="13" spans="1:58" ht="21.75" hidden="1" customHeight="1" x14ac:dyDescent="0.25">
      <c r="A13" s="90">
        <v>159</v>
      </c>
      <c r="B13" s="126" t="s">
        <v>311</v>
      </c>
      <c r="C13" s="126" t="e">
        <f>VLOOKUP(T_BilanSocial2[[#This Row],[NumL]],T_Commission[#Data],COLUMN(T_Commission[FINAL]),FALSE)</f>
        <v>#N/A</v>
      </c>
      <c r="D13" s="19" t="str">
        <f t="shared" si="0"/>
        <v>Mme</v>
      </c>
      <c r="E13" s="19" t="str">
        <f t="shared" si="1"/>
        <v>A</v>
      </c>
      <c r="F13" s="242" t="str">
        <f>IFERROR(VLOOKUP(T_BilanSocial2[[#This Row],[Zone_Bilan]],T_P_BilanSocial[#Data],COLUMN(T_P_BilanSocial[[#This Row],[Numero_SIHAM]]),FALSE),"")</f>
        <v/>
      </c>
      <c r="G13" s="242" t="str">
        <f>IFERROR(VLOOKUP(T_BilanSocial2[[#This Row],[Zone_Bilan]],T_P_BilanSocial[#Data],COLUMN(T_P_BilanSocial[[#This Row],[Sexe]]),FALSE),"")</f>
        <v/>
      </c>
      <c r="H13" s="243" t="str">
        <f>IFERROR(VLOOKUP(T_BilanSocial2[[#This Row],[Zone_Bilan]],T_P_BilanSocial[#Data],COLUMN(T_P_BilanSocial[[#This Row],[Categorie]]),FALSE),"")</f>
        <v/>
      </c>
      <c r="I13" s="242" t="str">
        <f>IFERROR(VLOOKUP(T_BilanSocial2[[#This Row],[Zone_Bilan]],T_P_BilanSocial[#Data],COLUMN(T_P_BilanSocial[[#This Row],[Statut]]),FALSE),"")</f>
        <v/>
      </c>
      <c r="J13" s="242" t="str">
        <f>IFERROR(VLOOKUP(T_BilanSocial2[[#This Row],[Zone_Bilan]],T_P_BilanSocial[#Data],COLUMN(T_P_BilanSocial[[#This Row],[Filiere]]),FALSE),"")</f>
        <v/>
      </c>
      <c r="K13" s="78">
        <v>1</v>
      </c>
      <c r="L13" s="213">
        <v>1.5451388888888891</v>
      </c>
      <c r="M13" s="78" t="s">
        <v>210</v>
      </c>
      <c r="N13" s="79">
        <f>IF((AND(T_BilanSocial2[[#This Row],[Nom]]&lt;&gt;"",T_BilanSocial2[[#This Row],[Reg Ponct]]="R")),(COUNTIF(S13:AX13,"S")+COUNTIF(S13:AX13,"T"))/2,"")</f>
        <v>5</v>
      </c>
      <c r="O13" s="79">
        <f>IF((AND(T_BilanSocial2[[#This Row],[Nom]]&lt;&gt;"",T_BilanSocial2[[#This Row],[Reg Ponct]]="R")),COUNTIF(S13:AX13,"S")/2,"")</f>
        <v>4</v>
      </c>
      <c r="P13" s="80">
        <f>IF((AND(T_BilanSocial2[[#This Row],[Nom]]&lt;&gt;"",T_BilanSocial2[[#This Row],[Reg Ponct]]="R")),COUNTIF(S13:AX13,"t")/2,"")</f>
        <v>1</v>
      </c>
      <c r="Q13" s="81">
        <f t="shared" si="2"/>
        <v>1.5451388888888891</v>
      </c>
      <c r="R13" s="82">
        <f>IF((AND(T_BilanSocial2[[#This Row],[Nom]]&lt;&gt;"",T_BilanSocial2[[#This Row],[Reg Ponct]]="R")),IF(S13="T",U13-T13,0)+IF(V13="T",X13-W13,0)+IF(Z13="T",AB13-AA13,0)+IF(AC13="T",AE13-AD13,0)+IF(AG13="T",AI13-AH13,0)+IF(AJ13="T",AL13-AK13,0)+IF(AN13="T",AP13-AO13,0)+IF(AQ13="T",AS13-AR13,0)+IF(AU13="T",AW13-AV13,0)+IF(AX13="T",AZ13-AY13,0),"")</f>
        <v>0.29166666666666674</v>
      </c>
      <c r="S13" s="36" t="s">
        <v>307</v>
      </c>
      <c r="T13" s="37">
        <v>0.375</v>
      </c>
      <c r="U13" s="37">
        <v>0.5</v>
      </c>
      <c r="V13" s="21" t="s">
        <v>307</v>
      </c>
      <c r="W13" s="37">
        <v>0.54166666666666663</v>
      </c>
      <c r="X13" s="37">
        <v>0.70833333333333337</v>
      </c>
      <c r="Y13" s="38">
        <f t="shared" si="3"/>
        <v>0.29166666666666674</v>
      </c>
      <c r="Z13" s="36" t="s">
        <v>306</v>
      </c>
      <c r="AA13" s="37">
        <v>0.34375</v>
      </c>
      <c r="AB13" s="37">
        <v>0.5</v>
      </c>
      <c r="AC13" s="21" t="s">
        <v>306</v>
      </c>
      <c r="AD13" s="37">
        <v>0.54166666666666663</v>
      </c>
      <c r="AE13" s="37">
        <v>0.68055555555555547</v>
      </c>
      <c r="AF13" s="38">
        <f t="shared" si="4"/>
        <v>0.29513888888888884</v>
      </c>
      <c r="AG13" s="36" t="s">
        <v>306</v>
      </c>
      <c r="AH13" s="37">
        <v>0.375</v>
      </c>
      <c r="AI13" s="37">
        <v>0.5</v>
      </c>
      <c r="AJ13" s="21" t="s">
        <v>306</v>
      </c>
      <c r="AK13" s="37">
        <v>0.54166666666666663</v>
      </c>
      <c r="AL13" s="37">
        <v>0.77083333333333337</v>
      </c>
      <c r="AM13" s="38">
        <f t="shared" si="5"/>
        <v>0.35416666666666674</v>
      </c>
      <c r="AN13" s="36" t="s">
        <v>306</v>
      </c>
      <c r="AO13" s="37">
        <v>0.375</v>
      </c>
      <c r="AP13" s="37">
        <v>0.5</v>
      </c>
      <c r="AQ13" s="21" t="s">
        <v>306</v>
      </c>
      <c r="AR13" s="37">
        <v>0.54166666666666663</v>
      </c>
      <c r="AS13" s="37">
        <v>0.66666666666666663</v>
      </c>
      <c r="AT13" s="38">
        <f t="shared" si="6"/>
        <v>0.25</v>
      </c>
      <c r="AU13" s="36" t="s">
        <v>306</v>
      </c>
      <c r="AV13" s="37">
        <v>0.39583333333333331</v>
      </c>
      <c r="AW13" s="37">
        <v>0.5</v>
      </c>
      <c r="AX13" s="21" t="s">
        <v>306</v>
      </c>
      <c r="AY13" s="37">
        <v>0.54166666666666663</v>
      </c>
      <c r="AZ13" s="37">
        <v>0.79166666666666663</v>
      </c>
      <c r="BA13" s="39">
        <f t="shared" si="7"/>
        <v>0.35416666666666669</v>
      </c>
      <c r="BB13" s="46" t="s">
        <v>481</v>
      </c>
      <c r="BC13" s="31" t="s">
        <v>341</v>
      </c>
      <c r="BD13" s="16" t="s">
        <v>311</v>
      </c>
      <c r="BE13" s="16" t="s">
        <v>311</v>
      </c>
      <c r="BF13" s="244" t="str">
        <f>T_BilanSocial2[[#This Row],[Nom]]&amp;T_BilanSocial2[[#This Row],[Prénom]]</f>
        <v>MmeA</v>
      </c>
    </row>
    <row r="14" spans="1:58" ht="21.75" hidden="1" customHeight="1" x14ac:dyDescent="0.25">
      <c r="A14" s="90">
        <v>259</v>
      </c>
      <c r="B14" s="126" t="s">
        <v>311</v>
      </c>
      <c r="C14" s="126">
        <f>VLOOKUP(T_BilanSocial2[[#This Row],[NumL]],T_Commission[#Data],COLUMN(T_Commission[FINAL]),FALSE)</f>
        <v>1</v>
      </c>
      <c r="D14" s="19" t="str">
        <f t="shared" si="0"/>
        <v>Mme</v>
      </c>
      <c r="E14" s="19" t="str">
        <f t="shared" si="1"/>
        <v>A</v>
      </c>
      <c r="F14" s="242" t="str">
        <f>IFERROR(VLOOKUP(T_BilanSocial2[[#This Row],[Zone_Bilan]],T_P_BilanSocial[#Data],COLUMN(T_P_BilanSocial[[#This Row],[Numero_SIHAM]]),FALSE),"")</f>
        <v/>
      </c>
      <c r="G14" s="242" t="str">
        <f>IFERROR(VLOOKUP(T_BilanSocial2[[#This Row],[Zone_Bilan]],T_P_BilanSocial[#Data],COLUMN(T_P_BilanSocial[[#This Row],[Sexe]]),FALSE),"")</f>
        <v/>
      </c>
      <c r="H14" s="243" t="str">
        <f>IFERROR(VLOOKUP(T_BilanSocial2[[#This Row],[Zone_Bilan]],T_P_BilanSocial[#Data],COLUMN(T_P_BilanSocial[[#This Row],[Categorie]]),FALSE),"")</f>
        <v/>
      </c>
      <c r="I14" s="242" t="str">
        <f>IFERROR(VLOOKUP(T_BilanSocial2[[#This Row],[Zone_Bilan]],T_P_BilanSocial[#Data],COLUMN(T_P_BilanSocial[[#This Row],[Statut]]),FALSE),"")</f>
        <v/>
      </c>
      <c r="J14" s="242" t="str">
        <f>IFERROR(VLOOKUP(T_BilanSocial2[[#This Row],[Zone_Bilan]],T_P_BilanSocial[#Data],COLUMN(T_P_BilanSocial[[#This Row],[Filiere]]),FALSE),"")</f>
        <v/>
      </c>
      <c r="K14" s="78">
        <v>1</v>
      </c>
      <c r="L14" s="213">
        <v>1.5451388888888891</v>
      </c>
      <c r="M14" s="78" t="s">
        <v>210</v>
      </c>
      <c r="N14" s="79">
        <f>IF((AND(T_BilanSocial2[[#This Row],[Nom]]&lt;&gt;"",T_BilanSocial2[[#This Row],[Reg Ponct]]="R")),(COUNTIF(S14:AX14,"S")+COUNTIF(S14:AX14,"T"))/2,"")</f>
        <v>4.5</v>
      </c>
      <c r="O14" s="79">
        <f>IF((AND(T_BilanSocial2[[#This Row],[Nom]]&lt;&gt;"",T_BilanSocial2[[#This Row],[Reg Ponct]]="R")),COUNTIF(S14:AX14,"S")/2,"")</f>
        <v>3.5</v>
      </c>
      <c r="P14" s="80">
        <f>IF((AND(T_BilanSocial2[[#This Row],[Nom]]&lt;&gt;"",T_BilanSocial2[[#This Row],[Reg Ponct]]="R")),COUNTIF(S14:AX14,"t")/2,"")</f>
        <v>1</v>
      </c>
      <c r="Q14" s="81">
        <f t="shared" si="2"/>
        <v>1.5451388888888888</v>
      </c>
      <c r="R14" s="82">
        <f>IF((AND(T_BilanSocial2[[#This Row],[Nom]]&lt;&gt;"",T_BilanSocial2[[#This Row],[Reg Ponct]]="R")),IF(S14="T",U14-T14,0)+IF(V14="T",X14-W14,0)+IF(Z14="T",AB14-AA14,0)+IF(AC14="T",AE14-AD14,0)+IF(AG14="T",AI14-AH14,0)+IF(AJ14="T",AL14-AK14,0)+IF(AN14="T",AP14-AO14,0)+IF(AQ14="T",AS14-AR14,0)+IF(AU14="T",AW14-AV14,0)+IF(AX14="T",AZ14-AY14,0),"")</f>
        <v>0.31250000000000006</v>
      </c>
      <c r="S14" s="36" t="s">
        <v>306</v>
      </c>
      <c r="T14" s="37">
        <v>0.35416666666666669</v>
      </c>
      <c r="U14" s="37">
        <v>0.5</v>
      </c>
      <c r="V14" s="21" t="s">
        <v>306</v>
      </c>
      <c r="W14" s="37">
        <v>0.54166666666666663</v>
      </c>
      <c r="X14" s="37">
        <v>0.79166666666666663</v>
      </c>
      <c r="Y14" s="38">
        <f t="shared" si="3"/>
        <v>0.39583333333333331</v>
      </c>
      <c r="Z14" s="36" t="s">
        <v>306</v>
      </c>
      <c r="AA14" s="37">
        <v>0.33333333333333331</v>
      </c>
      <c r="AB14" s="37">
        <v>0.54166666666666663</v>
      </c>
      <c r="AC14" s="21" t="s">
        <v>306</v>
      </c>
      <c r="AD14" s="37">
        <v>0.58333333333333337</v>
      </c>
      <c r="AE14" s="37">
        <v>0.71180555555555547</v>
      </c>
      <c r="AF14" s="38">
        <f t="shared" si="4"/>
        <v>0.33680555555555541</v>
      </c>
      <c r="AG14" s="36" t="s">
        <v>306</v>
      </c>
      <c r="AH14" s="37">
        <v>0.35416666666666669</v>
      </c>
      <c r="AI14" s="37">
        <v>0.5</v>
      </c>
      <c r="AJ14" s="21" t="s">
        <v>306</v>
      </c>
      <c r="AK14" s="37">
        <v>0.54166666666666663</v>
      </c>
      <c r="AL14" s="37">
        <v>0.70833333333333337</v>
      </c>
      <c r="AM14" s="38">
        <f t="shared" si="5"/>
        <v>0.31250000000000006</v>
      </c>
      <c r="AN14" s="36" t="s">
        <v>306</v>
      </c>
      <c r="AO14" s="37">
        <v>0.35416666666666669</v>
      </c>
      <c r="AP14" s="37">
        <v>0.54166666666666663</v>
      </c>
      <c r="AQ14" s="21" t="s">
        <v>308</v>
      </c>
      <c r="AR14" s="37"/>
      <c r="AS14" s="37"/>
      <c r="AT14" s="38">
        <f t="shared" si="6"/>
        <v>0.18749999999999994</v>
      </c>
      <c r="AU14" s="36" t="s">
        <v>307</v>
      </c>
      <c r="AV14" s="37">
        <v>0.35416666666666669</v>
      </c>
      <c r="AW14" s="37">
        <v>0.5</v>
      </c>
      <c r="AX14" s="21" t="s">
        <v>307</v>
      </c>
      <c r="AY14" s="37">
        <v>0.54166666666666663</v>
      </c>
      <c r="AZ14" s="37">
        <v>0.70833333333333337</v>
      </c>
      <c r="BA14" s="39">
        <f t="shared" si="7"/>
        <v>0.31250000000000006</v>
      </c>
      <c r="BB14" s="46" t="s">
        <v>944</v>
      </c>
      <c r="BC14" s="31" t="s">
        <v>1164</v>
      </c>
      <c r="BD14" s="16" t="s">
        <v>311</v>
      </c>
      <c r="BE14" s="16" t="s">
        <v>311</v>
      </c>
      <c r="BF14" s="244" t="str">
        <f>T_BilanSocial2[[#This Row],[Nom]]&amp;T_BilanSocial2[[#This Row],[Prénom]]</f>
        <v>MmeA</v>
      </c>
    </row>
    <row r="15" spans="1:58" ht="21.75" hidden="1" customHeight="1" x14ac:dyDescent="0.25">
      <c r="A15" s="90">
        <v>92</v>
      </c>
      <c r="B15" s="126" t="s">
        <v>311</v>
      </c>
      <c r="C15" s="126" t="e">
        <f>VLOOKUP(T_BilanSocial2[[#This Row],[NumL]],T_Commission[#Data],COLUMN(T_Commission[FINAL]),FALSE)</f>
        <v>#N/A</v>
      </c>
      <c r="D15" s="19" t="str">
        <f t="shared" si="0"/>
        <v>Mme</v>
      </c>
      <c r="E15" s="19" t="str">
        <f t="shared" si="1"/>
        <v>A</v>
      </c>
      <c r="F15" s="242" t="str">
        <f>IFERROR(VLOOKUP(T_BilanSocial2[[#This Row],[Zone_Bilan]],T_P_BilanSocial[#Data],COLUMN(T_P_BilanSocial[[#This Row],[Numero_SIHAM]]),FALSE),"")</f>
        <v/>
      </c>
      <c r="G15" s="242" t="str">
        <f>IFERROR(VLOOKUP(T_BilanSocial2[[#This Row],[Zone_Bilan]],T_P_BilanSocial[#Data],COLUMN(T_P_BilanSocial[[#This Row],[Sexe]]),FALSE),"")</f>
        <v/>
      </c>
      <c r="H15" s="243" t="str">
        <f>IFERROR(VLOOKUP(T_BilanSocial2[[#This Row],[Zone_Bilan]],T_P_BilanSocial[#Data],COLUMN(T_P_BilanSocial[[#This Row],[Categorie]]),FALSE),"")</f>
        <v/>
      </c>
      <c r="I15" s="242" t="str">
        <f>IFERROR(VLOOKUP(T_BilanSocial2[[#This Row],[Zone_Bilan]],T_P_BilanSocial[#Data],COLUMN(T_P_BilanSocial[[#This Row],[Statut]]),FALSE),"")</f>
        <v/>
      </c>
      <c r="J15" s="242" t="str">
        <f>IFERROR(VLOOKUP(T_BilanSocial2[[#This Row],[Zone_Bilan]],T_P_BilanSocial[#Data],COLUMN(T_P_BilanSocial[[#This Row],[Filiere]]),FALSE),"")</f>
        <v/>
      </c>
      <c r="K15" s="78">
        <v>1</v>
      </c>
      <c r="L15" s="213">
        <v>1.5451388888888891</v>
      </c>
      <c r="M15" s="78" t="s">
        <v>210</v>
      </c>
      <c r="N15" s="79">
        <f>IF((AND(T_BilanSocial2[[#This Row],[Nom]]&lt;&gt;"",T_BilanSocial2[[#This Row],[Reg Ponct]]="R")),(COUNTIF(S15:AX15,"S")+COUNTIF(S15:AX15,"T"))/2,"")</f>
        <v>4.5</v>
      </c>
      <c r="O15" s="79">
        <f>IF((AND(T_BilanSocial2[[#This Row],[Nom]]&lt;&gt;"",T_BilanSocial2[[#This Row],[Reg Ponct]]="R")),COUNTIF(S15:AX15,"S")/2,"")</f>
        <v>4</v>
      </c>
      <c r="P15" s="80">
        <f>IF((AND(T_BilanSocial2[[#This Row],[Nom]]&lt;&gt;"",T_BilanSocial2[[#This Row],[Reg Ponct]]="R")),COUNTIF(S15:AX15,"t")/2,"")</f>
        <v>0.5</v>
      </c>
      <c r="Q15" s="81">
        <f t="shared" si="2"/>
        <v>1.5451388888888893</v>
      </c>
      <c r="R15" s="82">
        <f>IF((AND(T_BilanSocial2[[#This Row],[Nom]]&lt;&gt;"",T_BilanSocial2[[#This Row],[Reg Ponct]]="R")),IF(S15="T",U15-T15,0)+IF(V15="T",X15-W15,0)+IF(Z15="T",AB15-AA15,0)+IF(AC15="T",AE15-AD15,0)+IF(AG15="T",AI15-AH15,0)+IF(AJ15="T",AL15-AK15,0)+IF(AN15="T",AP15-AO15,0)+IF(AQ15="T",AS15-AR15,0)+IF(AU15="T",AW15-AV15,0)+IF(AX15="T",AZ15-AY15,0),"")</f>
        <v>0.18750000000000006</v>
      </c>
      <c r="S15" s="36" t="s">
        <v>306</v>
      </c>
      <c r="T15" s="37">
        <v>0.33333333333333331</v>
      </c>
      <c r="U15" s="37">
        <v>0.52083333333333337</v>
      </c>
      <c r="V15" s="21" t="s">
        <v>306</v>
      </c>
      <c r="W15" s="37">
        <v>0.5625</v>
      </c>
      <c r="X15" s="37">
        <v>0.70833333333333337</v>
      </c>
      <c r="Y15" s="38">
        <f t="shared" si="3"/>
        <v>0.33333333333333343</v>
      </c>
      <c r="Z15" s="36" t="s">
        <v>306</v>
      </c>
      <c r="AA15" s="37">
        <v>0.3263888888888889</v>
      </c>
      <c r="AB15" s="37">
        <v>0.52083333333333337</v>
      </c>
      <c r="AC15" s="21" t="s">
        <v>306</v>
      </c>
      <c r="AD15" s="37">
        <v>0.5625</v>
      </c>
      <c r="AE15" s="37">
        <v>0.70833333333333337</v>
      </c>
      <c r="AF15" s="38">
        <f t="shared" si="4"/>
        <v>0.34027777777777785</v>
      </c>
      <c r="AG15" s="36" t="s">
        <v>307</v>
      </c>
      <c r="AH15" s="37">
        <v>0.33333333333333331</v>
      </c>
      <c r="AI15" s="37">
        <v>0.52083333333333337</v>
      </c>
      <c r="AJ15" s="21" t="s">
        <v>308</v>
      </c>
      <c r="AK15" s="37"/>
      <c r="AL15" s="37"/>
      <c r="AM15" s="38">
        <f t="shared" si="5"/>
        <v>0.18750000000000006</v>
      </c>
      <c r="AN15" s="36" t="s">
        <v>306</v>
      </c>
      <c r="AO15" s="37">
        <v>0.3263888888888889</v>
      </c>
      <c r="AP15" s="37">
        <v>0.52083333333333337</v>
      </c>
      <c r="AQ15" s="21" t="s">
        <v>306</v>
      </c>
      <c r="AR15" s="37">
        <v>0.5625</v>
      </c>
      <c r="AS15" s="37">
        <v>0.70833333333333337</v>
      </c>
      <c r="AT15" s="38">
        <f t="shared" si="6"/>
        <v>0.34027777777777785</v>
      </c>
      <c r="AU15" s="36" t="s">
        <v>306</v>
      </c>
      <c r="AV15" s="37">
        <v>0.32291666666666669</v>
      </c>
      <c r="AW15" s="37">
        <v>0.52083333333333337</v>
      </c>
      <c r="AX15" s="21" t="s">
        <v>306</v>
      </c>
      <c r="AY15" s="37">
        <v>0.5625</v>
      </c>
      <c r="AZ15" s="37">
        <v>0.70833333333333337</v>
      </c>
      <c r="BA15" s="39">
        <f t="shared" si="7"/>
        <v>0.34375000000000006</v>
      </c>
      <c r="BB15" s="46" t="s">
        <v>340</v>
      </c>
      <c r="BC15" s="31" t="s">
        <v>341</v>
      </c>
      <c r="BD15" s="16" t="s">
        <v>311</v>
      </c>
      <c r="BE15" s="16" t="s">
        <v>311</v>
      </c>
      <c r="BF15" s="244" t="str">
        <f>T_BilanSocial2[[#This Row],[Nom]]&amp;T_BilanSocial2[[#This Row],[Prénom]]</f>
        <v>MmeA</v>
      </c>
    </row>
    <row r="16" spans="1:58" ht="21.75" hidden="1" customHeight="1" x14ac:dyDescent="0.25">
      <c r="A16" s="90">
        <v>78</v>
      </c>
      <c r="B16" s="126" t="s">
        <v>311</v>
      </c>
      <c r="C16" s="126">
        <f>VLOOKUP(T_BilanSocial2[[#This Row],[NumL]],T_Commission[#Data],COLUMN(T_Commission[FINAL]),FALSE)</f>
        <v>1</v>
      </c>
      <c r="D16" s="19" t="str">
        <f t="shared" si="0"/>
        <v>Mme</v>
      </c>
      <c r="E16" s="19" t="str">
        <f t="shared" si="1"/>
        <v>A</v>
      </c>
      <c r="F16" s="242" t="str">
        <f>IFERROR(VLOOKUP(T_BilanSocial2[[#This Row],[Zone_Bilan]],T_P_BilanSocial[#Data],COLUMN(T_P_BilanSocial[[#This Row],[Numero_SIHAM]]),FALSE),"")</f>
        <v/>
      </c>
      <c r="G16" s="242" t="str">
        <f>IFERROR(VLOOKUP(T_BilanSocial2[[#This Row],[Zone_Bilan]],T_P_BilanSocial[#Data],COLUMN(T_P_BilanSocial[[#This Row],[Sexe]]),FALSE),"")</f>
        <v/>
      </c>
      <c r="H16" s="243" t="str">
        <f>IFERROR(VLOOKUP(T_BilanSocial2[[#This Row],[Zone_Bilan]],T_P_BilanSocial[#Data],COLUMN(T_P_BilanSocial[[#This Row],[Categorie]]),FALSE),"")</f>
        <v/>
      </c>
      <c r="I16" s="242" t="str">
        <f>IFERROR(VLOOKUP(T_BilanSocial2[[#This Row],[Zone_Bilan]],T_P_BilanSocial[#Data],COLUMN(T_P_BilanSocial[[#This Row],[Statut]]),FALSE),"")</f>
        <v/>
      </c>
      <c r="J16" s="242" t="str">
        <f>IFERROR(VLOOKUP(T_BilanSocial2[[#This Row],[Zone_Bilan]],T_P_BilanSocial[#Data],COLUMN(T_P_BilanSocial[[#This Row],[Filiere]]),FALSE),"")</f>
        <v/>
      </c>
      <c r="K16" s="78">
        <v>1</v>
      </c>
      <c r="L16" s="213">
        <v>1.5451388888888891</v>
      </c>
      <c r="M16" s="78" t="s">
        <v>211</v>
      </c>
      <c r="N16" s="79" t="str">
        <f>IF((AND(T_BilanSocial2[[#This Row],[Nom]]&lt;&gt;"",T_BilanSocial2[[#This Row],[Reg Ponct]]="R")),(COUNTIF(S16:AX16,"S")+COUNTIF(S16:AX16,"T"))/2,"")</f>
        <v/>
      </c>
      <c r="O16" s="79" t="str">
        <f>IF((AND(T_BilanSocial2[[#This Row],[Nom]]&lt;&gt;"",T_BilanSocial2[[#This Row],[Reg Ponct]]="R")),COUNTIF(S16:AX16,"S")/2,"")</f>
        <v/>
      </c>
      <c r="P16" s="80" t="str">
        <f>IF((AND(T_BilanSocial2[[#This Row],[Nom]]&lt;&gt;"",T_BilanSocial2[[#This Row],[Reg Ponct]]="R")),COUNTIF(S16:AX16,"t")/2,"")</f>
        <v/>
      </c>
      <c r="Q16" s="81">
        <f t="shared" si="2"/>
        <v>0</v>
      </c>
      <c r="R16" s="82" t="str">
        <f>IF((AND(T_BilanSocial2[[#This Row],[Nom]]&lt;&gt;"",T_BilanSocial2[[#This Row],[Reg Ponct]]="R")),IF(S16="T",U16-T16,0)+IF(V16="T",X16-W16,0)+IF(Z16="T",AB16-AA16,0)+IF(AC16="T",AE16-AD16,0)+IF(AG16="T",AI16-AH16,0)+IF(AJ16="T",AL16-AK16,0)+IF(AN16="T",AP16-AO16,0)+IF(AQ16="T",AS16-AR16,0)+IF(AU16="T",AW16-AV16,0)+IF(AX16="T",AZ16-AY16,0),"")</f>
        <v/>
      </c>
      <c r="S16" s="36"/>
      <c r="T16" s="37"/>
      <c r="U16" s="37"/>
      <c r="V16" s="21"/>
      <c r="W16" s="37"/>
      <c r="X16" s="37"/>
      <c r="Y16" s="38">
        <f t="shared" si="3"/>
        <v>0</v>
      </c>
      <c r="Z16" s="36"/>
      <c r="AA16" s="37"/>
      <c r="AB16" s="37"/>
      <c r="AC16" s="21"/>
      <c r="AD16" s="37"/>
      <c r="AE16" s="37"/>
      <c r="AF16" s="38">
        <f t="shared" si="4"/>
        <v>0</v>
      </c>
      <c r="AG16" s="36"/>
      <c r="AH16" s="37"/>
      <c r="AI16" s="37"/>
      <c r="AJ16" s="21"/>
      <c r="AK16" s="37"/>
      <c r="AL16" s="37"/>
      <c r="AM16" s="38">
        <f t="shared" si="5"/>
        <v>0</v>
      </c>
      <c r="AN16" s="36"/>
      <c r="AO16" s="37"/>
      <c r="AP16" s="37"/>
      <c r="AQ16" s="21"/>
      <c r="AR16" s="37"/>
      <c r="AS16" s="37"/>
      <c r="AT16" s="38">
        <f t="shared" si="6"/>
        <v>0</v>
      </c>
      <c r="AU16" s="36"/>
      <c r="AV16" s="37"/>
      <c r="AW16" s="37"/>
      <c r="AX16" s="21"/>
      <c r="AY16" s="37"/>
      <c r="AZ16" s="37"/>
      <c r="BA16" s="39">
        <f t="shared" si="7"/>
        <v>0</v>
      </c>
      <c r="BB16" s="46" t="s">
        <v>477</v>
      </c>
      <c r="BC16" s="31" t="s">
        <v>637</v>
      </c>
      <c r="BD16" s="16" t="s">
        <v>311</v>
      </c>
      <c r="BE16" s="16" t="s">
        <v>311</v>
      </c>
      <c r="BF16" s="244" t="str">
        <f>T_BilanSocial2[[#This Row],[Nom]]&amp;T_BilanSocial2[[#This Row],[Prénom]]</f>
        <v>MmeA</v>
      </c>
    </row>
    <row r="17" spans="1:58" ht="21.75" hidden="1" customHeight="1" x14ac:dyDescent="0.25">
      <c r="A17" s="90">
        <v>27</v>
      </c>
      <c r="B17" s="126" t="s">
        <v>311</v>
      </c>
      <c r="C17" s="126" t="e">
        <f>VLOOKUP(T_BilanSocial2[[#This Row],[NumL]],T_Commission[#Data],COLUMN(T_Commission[FINAL]),FALSE)</f>
        <v>#N/A</v>
      </c>
      <c r="D17" s="19" t="str">
        <f t="shared" si="0"/>
        <v>Mme</v>
      </c>
      <c r="E17" s="19" t="str">
        <f t="shared" si="1"/>
        <v>A</v>
      </c>
      <c r="F17" s="242" t="str">
        <f>IFERROR(VLOOKUP(T_BilanSocial2[[#This Row],[Zone_Bilan]],T_P_BilanSocial[#Data],COLUMN(T_P_BilanSocial[[#This Row],[Numero_SIHAM]]),FALSE),"")</f>
        <v/>
      </c>
      <c r="G17" s="242" t="str">
        <f>IFERROR(VLOOKUP(T_BilanSocial2[[#This Row],[Zone_Bilan]],T_P_BilanSocial[#Data],COLUMN(T_P_BilanSocial[[#This Row],[Sexe]]),FALSE),"")</f>
        <v/>
      </c>
      <c r="H17" s="243" t="str">
        <f>IFERROR(VLOOKUP(T_BilanSocial2[[#This Row],[Zone_Bilan]],T_P_BilanSocial[#Data],COLUMN(T_P_BilanSocial[[#This Row],[Categorie]]),FALSE),"")</f>
        <v/>
      </c>
      <c r="I17" s="242" t="str">
        <f>IFERROR(VLOOKUP(T_BilanSocial2[[#This Row],[Zone_Bilan]],T_P_BilanSocial[#Data],COLUMN(T_P_BilanSocial[[#This Row],[Statut]]),FALSE),"")</f>
        <v/>
      </c>
      <c r="J17" s="242" t="str">
        <f>IFERROR(VLOOKUP(T_BilanSocial2[[#This Row],[Zone_Bilan]],T_P_BilanSocial[#Data],COLUMN(T_P_BilanSocial[[#This Row],[Filiere]]),FALSE),"")</f>
        <v/>
      </c>
      <c r="K17" s="78">
        <v>0.8</v>
      </c>
      <c r="L17" s="213">
        <v>1.2361111111111112</v>
      </c>
      <c r="M17" s="78" t="s">
        <v>210</v>
      </c>
      <c r="N17" s="79">
        <f>IF((AND(T_BilanSocial2[[#This Row],[Nom]]&lt;&gt;"",T_BilanSocial2[[#This Row],[Reg Ponct]]="R")),(COUNTIF(S17:AX17,"S")+COUNTIF(S17:AX17,"T"))/2,"")</f>
        <v>4</v>
      </c>
      <c r="O17" s="79">
        <f>IF((AND(T_BilanSocial2[[#This Row],[Nom]]&lt;&gt;"",T_BilanSocial2[[#This Row],[Reg Ponct]]="R")),COUNTIF(S17:AX17,"S")/2,"")</f>
        <v>3</v>
      </c>
      <c r="P17" s="80">
        <f>IF((AND(T_BilanSocial2[[#This Row],[Nom]]&lt;&gt;"",T_BilanSocial2[[#This Row],[Reg Ponct]]="R")),COUNTIF(S17:AX17,"t")/2,"")</f>
        <v>1</v>
      </c>
      <c r="Q17" s="81">
        <f t="shared" si="2"/>
        <v>1.2361111111111114</v>
      </c>
      <c r="R17" s="82">
        <f>IF((AND(T_BilanSocial2[[#This Row],[Nom]]&lt;&gt;"",T_BilanSocial2[[#This Row],[Reg Ponct]]="R")),IF(S17="T",U17-T17,0)+IF(V17="T",X17-W17,0)+IF(Z17="T",AB17-AA17,0)+IF(AC17="T",AE17-AD17,0)+IF(AG17="T",AI17-AH17,0)+IF(AJ17="T",AL17-AK17,0)+IF(AN17="T",AP17-AO17,0)+IF(AQ17="T",AS17-AR17,0)+IF(AU17="T",AW17-AV17,0)+IF(AX17="T",AZ17-AY17,0),"")</f>
        <v>0.31250000000000006</v>
      </c>
      <c r="S17" s="36" t="s">
        <v>308</v>
      </c>
      <c r="T17" s="37"/>
      <c r="U17" s="37"/>
      <c r="V17" s="21" t="s">
        <v>308</v>
      </c>
      <c r="W17" s="37"/>
      <c r="X17" s="37"/>
      <c r="Y17" s="38">
        <f t="shared" si="3"/>
        <v>0</v>
      </c>
      <c r="Z17" s="36" t="s">
        <v>306</v>
      </c>
      <c r="AA17" s="37">
        <v>0.39583333333333331</v>
      </c>
      <c r="AB17" s="37">
        <v>0.52083333333333337</v>
      </c>
      <c r="AC17" s="21" t="s">
        <v>306</v>
      </c>
      <c r="AD17" s="37">
        <v>0.5625</v>
      </c>
      <c r="AE17" s="37">
        <v>0.75</v>
      </c>
      <c r="AF17" s="38">
        <f t="shared" si="4"/>
        <v>0.31250000000000006</v>
      </c>
      <c r="AG17" s="36" t="s">
        <v>306</v>
      </c>
      <c r="AH17" s="37">
        <v>0.39583333333333331</v>
      </c>
      <c r="AI17" s="37">
        <v>0.52083333333333337</v>
      </c>
      <c r="AJ17" s="21" t="s">
        <v>306</v>
      </c>
      <c r="AK17" s="37">
        <v>0.5625</v>
      </c>
      <c r="AL17" s="37">
        <v>0.75</v>
      </c>
      <c r="AM17" s="38">
        <f t="shared" si="5"/>
        <v>0.31250000000000006</v>
      </c>
      <c r="AN17" s="36" t="s">
        <v>307</v>
      </c>
      <c r="AO17" s="37">
        <v>0.39583333333333331</v>
      </c>
      <c r="AP17" s="37">
        <v>0.52083333333333337</v>
      </c>
      <c r="AQ17" s="21" t="s">
        <v>307</v>
      </c>
      <c r="AR17" s="37">
        <v>0.5625</v>
      </c>
      <c r="AS17" s="37">
        <v>0.75</v>
      </c>
      <c r="AT17" s="38">
        <f t="shared" si="6"/>
        <v>0.31250000000000006</v>
      </c>
      <c r="AU17" s="36" t="s">
        <v>306</v>
      </c>
      <c r="AV17" s="37">
        <v>0.39583333333333331</v>
      </c>
      <c r="AW17" s="37">
        <v>0.52083333333333337</v>
      </c>
      <c r="AX17" s="21" t="s">
        <v>306</v>
      </c>
      <c r="AY17" s="37">
        <v>0.5625</v>
      </c>
      <c r="AZ17" s="37">
        <v>0.73611111111111116</v>
      </c>
      <c r="BA17" s="39">
        <f t="shared" si="7"/>
        <v>0.29861111111111122</v>
      </c>
      <c r="BB17" s="46" t="s">
        <v>471</v>
      </c>
      <c r="BC17" s="31" t="s">
        <v>341</v>
      </c>
      <c r="BD17" s="16" t="s">
        <v>311</v>
      </c>
      <c r="BE17" s="16" t="s">
        <v>311</v>
      </c>
      <c r="BF17" s="244" t="str">
        <f>T_BilanSocial2[[#This Row],[Nom]]&amp;T_BilanSocial2[[#This Row],[Prénom]]</f>
        <v>MmeA</v>
      </c>
    </row>
    <row r="18" spans="1:58" ht="21.75" hidden="1" customHeight="1" x14ac:dyDescent="0.25">
      <c r="A18" s="90">
        <v>80</v>
      </c>
      <c r="B18" s="126" t="s">
        <v>210</v>
      </c>
      <c r="C18" s="126">
        <f>VLOOKUP(T_BilanSocial2[[#This Row],[NumL]],T_Commission[#Data],COLUMN(T_Commission[FINAL]),FALSE)</f>
        <v>1</v>
      </c>
      <c r="D18" s="19" t="str">
        <f t="shared" si="0"/>
        <v>Mme</v>
      </c>
      <c r="E18" s="19" t="str">
        <f t="shared" si="1"/>
        <v>A</v>
      </c>
      <c r="F18" s="242" t="str">
        <f>IFERROR(VLOOKUP(T_BilanSocial2[[#This Row],[Zone_Bilan]],T_P_BilanSocial[#Data],COLUMN(T_P_BilanSocial[[#This Row],[Numero_SIHAM]]),FALSE),"")</f>
        <v/>
      </c>
      <c r="G18" s="242" t="str">
        <f>IFERROR(VLOOKUP(T_BilanSocial2[[#This Row],[Zone_Bilan]],T_P_BilanSocial[#Data],COLUMN(T_P_BilanSocial[[#This Row],[Sexe]]),FALSE),"")</f>
        <v/>
      </c>
      <c r="H18" s="243" t="str">
        <f>IFERROR(VLOOKUP(T_BilanSocial2[[#This Row],[Zone_Bilan]],T_P_BilanSocial[#Data],COLUMN(T_P_BilanSocial[[#This Row],[Categorie]]),FALSE),"")</f>
        <v/>
      </c>
      <c r="I18" s="242" t="str">
        <f>IFERROR(VLOOKUP(T_BilanSocial2[[#This Row],[Zone_Bilan]],T_P_BilanSocial[#Data],COLUMN(T_P_BilanSocial[[#This Row],[Statut]]),FALSE),"")</f>
        <v/>
      </c>
      <c r="J18" s="242" t="str">
        <f>IFERROR(VLOOKUP(T_BilanSocial2[[#This Row],[Zone_Bilan]],T_P_BilanSocial[#Data],COLUMN(T_P_BilanSocial[[#This Row],[Filiere]]),FALSE),"")</f>
        <v/>
      </c>
      <c r="K18" s="78">
        <v>1</v>
      </c>
      <c r="L18" s="213">
        <v>1.5451388888888891</v>
      </c>
      <c r="M18" s="78" t="s">
        <v>210</v>
      </c>
      <c r="N18" s="79">
        <f>IF((AND(T_BilanSocial2[[#This Row],[Nom]]&lt;&gt;"",T_BilanSocial2[[#This Row],[Reg Ponct]]="R")),(COUNTIF(S18:AX18,"S")+COUNTIF(S18:AX18,"T"))/2,"")</f>
        <v>4.5</v>
      </c>
      <c r="O18" s="79">
        <f>IF((AND(T_BilanSocial2[[#This Row],[Nom]]&lt;&gt;"",T_BilanSocial2[[#This Row],[Reg Ponct]]="R")),COUNTIF(S18:AX18,"S")/2,"")</f>
        <v>2.5</v>
      </c>
      <c r="P18" s="80">
        <f>IF((AND(T_BilanSocial2[[#This Row],[Nom]]&lt;&gt;"",T_BilanSocial2[[#This Row],[Reg Ponct]]="R")),COUNTIF(S18:AX18,"t")/2,"")</f>
        <v>2</v>
      </c>
      <c r="Q18" s="81">
        <f t="shared" si="2"/>
        <v>1.5451388888888893</v>
      </c>
      <c r="R18" s="82">
        <f>IF((AND(T_BilanSocial2[[#This Row],[Nom]]&lt;&gt;"",T_BilanSocial2[[#This Row],[Reg Ponct]]="R")),IF(S18="T",U18-T18,0)+IF(V18="T",X18-W18,0)+IF(Z18="T",AB18-AA18,0)+IF(AC18="T",AE18-AD18,0)+IF(AG18="T",AI18-AH18,0)+IF(AJ18="T",AL18-AK18,0)+IF(AN18="T",AP18-AO18,0)+IF(AQ18="T",AS18-AR18,0)+IF(AU18="T",AW18-AV18,0)+IF(AX18="T",AZ18-AY18,0),"")</f>
        <v>0.68750000000000011</v>
      </c>
      <c r="S18" s="36" t="s">
        <v>307</v>
      </c>
      <c r="T18" s="37">
        <v>0.3125</v>
      </c>
      <c r="U18" s="37">
        <v>0.5</v>
      </c>
      <c r="V18" s="21" t="s">
        <v>307</v>
      </c>
      <c r="W18" s="37">
        <v>0.54166666666666663</v>
      </c>
      <c r="X18" s="37">
        <v>0.70833333333333337</v>
      </c>
      <c r="Y18" s="38">
        <f t="shared" si="3"/>
        <v>0.35416666666666674</v>
      </c>
      <c r="Z18" s="36" t="s">
        <v>306</v>
      </c>
      <c r="AA18" s="37">
        <v>0.33333333333333331</v>
      </c>
      <c r="AB18" s="37">
        <v>0.5</v>
      </c>
      <c r="AC18" s="21" t="s">
        <v>306</v>
      </c>
      <c r="AD18" s="37">
        <v>0.54166666666666663</v>
      </c>
      <c r="AE18" s="37">
        <v>0.70833333333333337</v>
      </c>
      <c r="AF18" s="38">
        <f t="shared" si="4"/>
        <v>0.33333333333333343</v>
      </c>
      <c r="AG18" s="36" t="s">
        <v>306</v>
      </c>
      <c r="AH18" s="37">
        <v>0.33333333333333331</v>
      </c>
      <c r="AI18" s="37">
        <v>0.5</v>
      </c>
      <c r="AJ18" s="21" t="s">
        <v>306</v>
      </c>
      <c r="AK18" s="37">
        <v>0.54166666666666663</v>
      </c>
      <c r="AL18" s="37">
        <v>0.70833333333333337</v>
      </c>
      <c r="AM18" s="38">
        <f t="shared" si="5"/>
        <v>0.33333333333333343</v>
      </c>
      <c r="AN18" s="36" t="s">
        <v>306</v>
      </c>
      <c r="AO18" s="37">
        <v>0.33333333333333331</v>
      </c>
      <c r="AP18" s="37">
        <v>0.52430555555555558</v>
      </c>
      <c r="AQ18" s="21" t="s">
        <v>308</v>
      </c>
      <c r="AR18" s="37"/>
      <c r="AS18" s="37"/>
      <c r="AT18" s="38">
        <f t="shared" si="6"/>
        <v>0.19097222222222227</v>
      </c>
      <c r="AU18" s="36" t="s">
        <v>307</v>
      </c>
      <c r="AV18" s="37">
        <v>0.3125</v>
      </c>
      <c r="AW18" s="37">
        <v>0.5</v>
      </c>
      <c r="AX18" s="21" t="s">
        <v>307</v>
      </c>
      <c r="AY18" s="37">
        <v>0.54166666666666663</v>
      </c>
      <c r="AZ18" s="37">
        <v>0.6875</v>
      </c>
      <c r="BA18" s="39">
        <f t="shared" si="7"/>
        <v>0.33333333333333337</v>
      </c>
      <c r="BB18" s="46" t="s">
        <v>471</v>
      </c>
      <c r="BC18" s="31" t="s">
        <v>341</v>
      </c>
      <c r="BD18" s="16" t="s">
        <v>311</v>
      </c>
      <c r="BE18" s="16" t="s">
        <v>322</v>
      </c>
      <c r="BF18" s="244" t="str">
        <f>T_BilanSocial2[[#This Row],[Nom]]&amp;T_BilanSocial2[[#This Row],[Prénom]]</f>
        <v>MmeA</v>
      </c>
    </row>
    <row r="19" spans="1:58" ht="21.75" hidden="1" customHeight="1" x14ac:dyDescent="0.25">
      <c r="A19" s="90">
        <v>280</v>
      </c>
      <c r="B19" s="126" t="s">
        <v>311</v>
      </c>
      <c r="C19" s="126">
        <f>VLOOKUP(T_BilanSocial2[[#This Row],[NumL]],T_Commission[#Data],COLUMN(T_Commission[FINAL]),FALSE)</f>
        <v>1</v>
      </c>
      <c r="D19" s="245" t="str">
        <f t="shared" si="0"/>
        <v>Mme</v>
      </c>
      <c r="E19" s="19" t="str">
        <f t="shared" si="1"/>
        <v>A</v>
      </c>
      <c r="F19" s="242" t="str">
        <f>IFERROR(VLOOKUP(T_BilanSocial2[[#This Row],[Zone_Bilan]],T_P_BilanSocial[#Data],COLUMN(T_P_BilanSocial[[#This Row],[Numero_SIHAM]]),FALSE),"")</f>
        <v/>
      </c>
      <c r="G19" s="242" t="str">
        <f>IFERROR(VLOOKUP(T_BilanSocial2[[#This Row],[Zone_Bilan]],T_P_BilanSocial[#Data],COLUMN(T_P_BilanSocial[[#This Row],[Sexe]]),FALSE),"")</f>
        <v/>
      </c>
      <c r="H19" s="243" t="str">
        <f>IFERROR(VLOOKUP(T_BilanSocial2[[#This Row],[Zone_Bilan]],T_P_BilanSocial[#Data],COLUMN(T_P_BilanSocial[[#This Row],[Categorie]]),FALSE),"")</f>
        <v/>
      </c>
      <c r="I19" s="242" t="str">
        <f>IFERROR(VLOOKUP(T_BilanSocial2[[#This Row],[Zone_Bilan]],T_P_BilanSocial[#Data],COLUMN(T_P_BilanSocial[[#This Row],[Statut]]),FALSE),"")</f>
        <v/>
      </c>
      <c r="J19" s="242" t="str">
        <f>IFERROR(VLOOKUP(T_BilanSocial2[[#This Row],[Zone_Bilan]],T_P_BilanSocial[#Data],COLUMN(T_P_BilanSocial[[#This Row],[Filiere]]),FALSE),"")</f>
        <v/>
      </c>
      <c r="K19" s="78">
        <v>1</v>
      </c>
      <c r="L19" s="213">
        <v>1.5451388888888891</v>
      </c>
      <c r="M19" s="78" t="s">
        <v>210</v>
      </c>
      <c r="N19" s="79">
        <f>IF((AND(T_BilanSocial2[[#This Row],[Nom]]&lt;&gt;"",T_BilanSocial2[[#This Row],[Reg Ponct]]="R")),(COUNTIF(S19:AX19,"S")+COUNTIF(S19:AX19,"T"))/2,"")</f>
        <v>5</v>
      </c>
      <c r="O19" s="79">
        <f>IF((AND(T_BilanSocial2[[#This Row],[Nom]]&lt;&gt;"",T_BilanSocial2[[#This Row],[Reg Ponct]]="R")),COUNTIF(S19:AX19,"S")/2,"")</f>
        <v>4</v>
      </c>
      <c r="P19" s="80">
        <f>IF((AND(T_BilanSocial2[[#This Row],[Nom]]&lt;&gt;"",T_BilanSocial2[[#This Row],[Reg Ponct]]="R")),COUNTIF(S19:AX19,"t")/2,"")</f>
        <v>1</v>
      </c>
      <c r="Q19" s="81">
        <f t="shared" si="2"/>
        <v>1.5451388888888891</v>
      </c>
      <c r="R19" s="82">
        <f>IF((AND(T_BilanSocial2[[#This Row],[Nom]]&lt;&gt;"",T_BilanSocial2[[#This Row],[Reg Ponct]]="R")),IF(S19="T",U19-T19,0)+IF(V19="T",X19-W19,0)+IF(Z19="T",AB19-AA19,0)+IF(AC19="T",AE19-AD19,0)+IF(AG19="T",AI19-AH19,0)+IF(AJ19="T",AL19-AK19,0)+IF(AN19="T",AP19-AO19,0)+IF(AQ19="T",AS19-AR19,0)+IF(AU19="T",AW19-AV19,0)+IF(AX19="T",AZ19-AY19,0),"")</f>
        <v>0.35416666666666669</v>
      </c>
      <c r="S19" s="36" t="s">
        <v>306</v>
      </c>
      <c r="T19" s="37">
        <v>0.33333333333333331</v>
      </c>
      <c r="U19" s="37">
        <v>0.5</v>
      </c>
      <c r="V19" s="21" t="s">
        <v>306</v>
      </c>
      <c r="W19" s="37">
        <v>0.54166666666666663</v>
      </c>
      <c r="X19" s="37">
        <v>0.67013888888888884</v>
      </c>
      <c r="Y19" s="38">
        <f t="shared" si="3"/>
        <v>0.2951388888888889</v>
      </c>
      <c r="Z19" s="36" t="s">
        <v>307</v>
      </c>
      <c r="AA19" s="37">
        <v>0.33333333333333331</v>
      </c>
      <c r="AB19" s="37">
        <v>0.5</v>
      </c>
      <c r="AC19" s="21" t="s">
        <v>307</v>
      </c>
      <c r="AD19" s="37">
        <v>0.54166666666666663</v>
      </c>
      <c r="AE19" s="37">
        <v>0.72916666666666663</v>
      </c>
      <c r="AF19" s="38">
        <f t="shared" si="4"/>
        <v>0.35416666666666669</v>
      </c>
      <c r="AG19" s="36" t="s">
        <v>306</v>
      </c>
      <c r="AH19" s="37">
        <v>0.35416666666666669</v>
      </c>
      <c r="AI19" s="37">
        <v>0.5</v>
      </c>
      <c r="AJ19" s="21" t="s">
        <v>306</v>
      </c>
      <c r="AK19" s="37">
        <v>0.54166666666666663</v>
      </c>
      <c r="AL19" s="37">
        <v>0.66666666666666663</v>
      </c>
      <c r="AM19" s="38">
        <f t="shared" si="5"/>
        <v>0.27083333333333331</v>
      </c>
      <c r="AN19" s="36" t="s">
        <v>306</v>
      </c>
      <c r="AO19" s="37">
        <v>0.33333333333333331</v>
      </c>
      <c r="AP19" s="37">
        <v>0.5</v>
      </c>
      <c r="AQ19" s="21" t="s">
        <v>306</v>
      </c>
      <c r="AR19" s="37">
        <v>0.54166666666666663</v>
      </c>
      <c r="AS19" s="37">
        <v>0.70833333333333337</v>
      </c>
      <c r="AT19" s="38">
        <f t="shared" si="6"/>
        <v>0.33333333333333343</v>
      </c>
      <c r="AU19" s="36" t="s">
        <v>306</v>
      </c>
      <c r="AV19" s="37">
        <v>0.33333333333333331</v>
      </c>
      <c r="AW19" s="37">
        <v>0.5</v>
      </c>
      <c r="AX19" s="21" t="s">
        <v>306</v>
      </c>
      <c r="AY19" s="37">
        <v>0.54166666666666663</v>
      </c>
      <c r="AZ19" s="37">
        <v>0.66666666666666663</v>
      </c>
      <c r="BA19" s="39">
        <f t="shared" si="7"/>
        <v>0.29166666666666669</v>
      </c>
      <c r="BB19" s="46" t="s">
        <v>379</v>
      </c>
      <c r="BC19" s="31" t="s">
        <v>1158</v>
      </c>
      <c r="BD19" s="16" t="s">
        <v>311</v>
      </c>
      <c r="BE19" s="16" t="s">
        <v>311</v>
      </c>
      <c r="BF19" s="244" t="str">
        <f>T_BilanSocial2[[#This Row],[Nom]]&amp;T_BilanSocial2[[#This Row],[Prénom]]</f>
        <v>MmeA</v>
      </c>
    </row>
    <row r="20" spans="1:58" ht="21.75" hidden="1" customHeight="1" x14ac:dyDescent="0.25">
      <c r="A20" s="90">
        <v>152</v>
      </c>
      <c r="B20" s="126" t="s">
        <v>210</v>
      </c>
      <c r="C20" s="126">
        <f>VLOOKUP(T_BilanSocial2[[#This Row],[NumL]],T_Commission[#Data],COLUMN(T_Commission[FINAL]),FALSE)</f>
        <v>1</v>
      </c>
      <c r="D20" s="19" t="str">
        <f t="shared" si="0"/>
        <v>Mme</v>
      </c>
      <c r="E20" s="19" t="str">
        <f t="shared" si="1"/>
        <v>A</v>
      </c>
      <c r="F20" s="242" t="str">
        <f>IFERROR(VLOOKUP(T_BilanSocial2[[#This Row],[Zone_Bilan]],T_P_BilanSocial[#Data],COLUMN(T_P_BilanSocial[[#This Row],[Numero_SIHAM]]),FALSE),"")</f>
        <v/>
      </c>
      <c r="G20" s="242" t="str">
        <f>IFERROR(VLOOKUP(T_BilanSocial2[[#This Row],[Zone_Bilan]],T_P_BilanSocial[#Data],COLUMN(T_P_BilanSocial[[#This Row],[Sexe]]),FALSE),"")</f>
        <v/>
      </c>
      <c r="H20" s="243" t="str">
        <f>IFERROR(VLOOKUP(T_BilanSocial2[[#This Row],[Zone_Bilan]],T_P_BilanSocial[#Data],COLUMN(T_P_BilanSocial[[#This Row],[Categorie]]),FALSE),"")</f>
        <v/>
      </c>
      <c r="I20" s="242" t="str">
        <f>IFERROR(VLOOKUP(T_BilanSocial2[[#This Row],[Zone_Bilan]],T_P_BilanSocial[#Data],COLUMN(T_P_BilanSocial[[#This Row],[Statut]]),FALSE),"")</f>
        <v/>
      </c>
      <c r="J20" s="242" t="str">
        <f>IFERROR(VLOOKUP(T_BilanSocial2[[#This Row],[Zone_Bilan]],T_P_BilanSocial[#Data],COLUMN(T_P_BilanSocial[[#This Row],[Filiere]]),FALSE),"")</f>
        <v/>
      </c>
      <c r="K20" s="78">
        <v>1</v>
      </c>
      <c r="L20" s="213">
        <v>1.5451388888888891</v>
      </c>
      <c r="M20" s="78" t="s">
        <v>210</v>
      </c>
      <c r="N20" s="79">
        <f>IF((AND(T_BilanSocial2[[#This Row],[Nom]]&lt;&gt;"",T_BilanSocial2[[#This Row],[Reg Ponct]]="R")),(COUNTIF(S20:AX20,"S")+COUNTIF(S20:AX20,"T"))/2,"")</f>
        <v>5</v>
      </c>
      <c r="O20" s="79">
        <f>IF((AND(T_BilanSocial2[[#This Row],[Nom]]&lt;&gt;"",T_BilanSocial2[[#This Row],[Reg Ponct]]="R")),COUNTIF(S20:AX20,"S")/2,"")</f>
        <v>4</v>
      </c>
      <c r="P20" s="80">
        <f>IF((AND(T_BilanSocial2[[#This Row],[Nom]]&lt;&gt;"",T_BilanSocial2[[#This Row],[Reg Ponct]]="R")),COUNTIF(S20:AX20,"t")/2,"")</f>
        <v>1</v>
      </c>
      <c r="Q20" s="81">
        <f t="shared" si="2"/>
        <v>1.5451388888888891</v>
      </c>
      <c r="R20" s="82">
        <f>IF((AND(T_BilanSocial2[[#This Row],[Nom]]&lt;&gt;"",T_BilanSocial2[[#This Row],[Reg Ponct]]="R")),IF(S20="T",U20-T20,0)+IF(V20="T",X20-W20,0)+IF(Z20="T",AB20-AA20,0)+IF(AC20="T",AE20-AD20,0)+IF(AG20="T",AI20-AH20,0)+IF(AJ20="T",AL20-AK20,0)+IF(AN20="T",AP20-AO20,0)+IF(AQ20="T",AS20-AR20,0)+IF(AU20="T",AW20-AV20,0)+IF(AX20="T",AZ20-AY20,0),"")</f>
        <v>0.29861111111111116</v>
      </c>
      <c r="S20" s="36" t="s">
        <v>306</v>
      </c>
      <c r="T20" s="37">
        <v>0.36805555555555558</v>
      </c>
      <c r="U20" s="37">
        <v>0.5</v>
      </c>
      <c r="V20" s="21" t="s">
        <v>306</v>
      </c>
      <c r="W20" s="37">
        <v>0.54166666666666663</v>
      </c>
      <c r="X20" s="37">
        <v>0.73958333333333337</v>
      </c>
      <c r="Y20" s="38">
        <f t="shared" si="3"/>
        <v>0.32986111111111116</v>
      </c>
      <c r="Z20" s="36" t="s">
        <v>306</v>
      </c>
      <c r="AA20" s="37">
        <v>0.36805555555555558</v>
      </c>
      <c r="AB20" s="37">
        <v>0.5</v>
      </c>
      <c r="AC20" s="21" t="s">
        <v>306</v>
      </c>
      <c r="AD20" s="37">
        <v>0.54166666666666663</v>
      </c>
      <c r="AE20" s="37">
        <v>0.70833333333333337</v>
      </c>
      <c r="AF20" s="38">
        <f t="shared" si="4"/>
        <v>0.29861111111111116</v>
      </c>
      <c r="AG20" s="36" t="s">
        <v>307</v>
      </c>
      <c r="AH20" s="37">
        <v>0.36805555555555558</v>
      </c>
      <c r="AI20" s="37">
        <v>0.52083333333333337</v>
      </c>
      <c r="AJ20" s="21" t="s">
        <v>307</v>
      </c>
      <c r="AK20" s="37">
        <v>0.5625</v>
      </c>
      <c r="AL20" s="37">
        <v>0.70833333333333337</v>
      </c>
      <c r="AM20" s="38">
        <f t="shared" si="5"/>
        <v>0.29861111111111116</v>
      </c>
      <c r="AN20" s="36" t="s">
        <v>306</v>
      </c>
      <c r="AO20" s="37">
        <v>0.36805555555555558</v>
      </c>
      <c r="AP20" s="37">
        <v>0.5</v>
      </c>
      <c r="AQ20" s="21" t="s">
        <v>306</v>
      </c>
      <c r="AR20" s="37">
        <v>0.54166666666666663</v>
      </c>
      <c r="AS20" s="37">
        <v>0.73958333333333337</v>
      </c>
      <c r="AT20" s="38">
        <f t="shared" si="6"/>
        <v>0.32986111111111116</v>
      </c>
      <c r="AU20" s="36" t="s">
        <v>306</v>
      </c>
      <c r="AV20" s="37">
        <v>0.36805555555555558</v>
      </c>
      <c r="AW20" s="37">
        <v>0.5</v>
      </c>
      <c r="AX20" s="21" t="s">
        <v>306</v>
      </c>
      <c r="AY20" s="37">
        <v>0.54166666666666663</v>
      </c>
      <c r="AZ20" s="37">
        <v>0.69791666666666663</v>
      </c>
      <c r="BA20" s="39">
        <f t="shared" si="7"/>
        <v>0.28819444444444442</v>
      </c>
      <c r="BB20" s="46" t="s">
        <v>353</v>
      </c>
      <c r="BC20" s="31" t="s">
        <v>354</v>
      </c>
      <c r="BD20" s="16" t="s">
        <v>322</v>
      </c>
      <c r="BE20" s="16" t="s">
        <v>322</v>
      </c>
      <c r="BF20" s="244" t="str">
        <f>T_BilanSocial2[[#This Row],[Nom]]&amp;T_BilanSocial2[[#This Row],[Prénom]]</f>
        <v>MmeA</v>
      </c>
    </row>
    <row r="21" spans="1:58" ht="21.75" hidden="1" customHeight="1" x14ac:dyDescent="0.25">
      <c r="A21" s="90">
        <v>178</v>
      </c>
      <c r="B21" s="126" t="s">
        <v>311</v>
      </c>
      <c r="C21" s="126">
        <f>VLOOKUP(T_BilanSocial2[[#This Row],[NumL]],T_Commission[#Data],COLUMN(T_Commission[FINAL]),FALSE)</f>
        <v>1</v>
      </c>
      <c r="D21" s="19" t="str">
        <f t="shared" si="0"/>
        <v>Mme</v>
      </c>
      <c r="E21" s="19" t="str">
        <f t="shared" si="1"/>
        <v>A</v>
      </c>
      <c r="F21" s="242" t="str">
        <f>IFERROR(VLOOKUP(T_BilanSocial2[[#This Row],[Zone_Bilan]],T_P_BilanSocial[#Data],COLUMN(T_P_BilanSocial[[#This Row],[Numero_SIHAM]]),FALSE),"")</f>
        <v/>
      </c>
      <c r="G21" s="242" t="str">
        <f>IFERROR(VLOOKUP(T_BilanSocial2[[#This Row],[Zone_Bilan]],T_P_BilanSocial[#Data],COLUMN(T_P_BilanSocial[[#This Row],[Sexe]]),FALSE),"")</f>
        <v/>
      </c>
      <c r="H21" s="243" t="str">
        <f>IFERROR(VLOOKUP(T_BilanSocial2[[#This Row],[Zone_Bilan]],T_P_BilanSocial[#Data],COLUMN(T_P_BilanSocial[[#This Row],[Categorie]]),FALSE),"")</f>
        <v/>
      </c>
      <c r="I21" s="242" t="str">
        <f>IFERROR(VLOOKUP(T_BilanSocial2[[#This Row],[Zone_Bilan]],T_P_BilanSocial[#Data],COLUMN(T_P_BilanSocial[[#This Row],[Statut]]),FALSE),"")</f>
        <v/>
      </c>
      <c r="J21" s="242" t="str">
        <f>IFERROR(VLOOKUP(T_BilanSocial2[[#This Row],[Zone_Bilan]],T_P_BilanSocial[#Data],COLUMN(T_P_BilanSocial[[#This Row],[Filiere]]),FALSE),"")</f>
        <v/>
      </c>
      <c r="K21" s="78">
        <v>1</v>
      </c>
      <c r="L21" s="213">
        <v>1.5451388888888891</v>
      </c>
      <c r="M21" s="78" t="s">
        <v>210</v>
      </c>
      <c r="N21" s="79">
        <f>IF((AND(T_BilanSocial2[[#This Row],[Nom]]&lt;&gt;"",T_BilanSocial2[[#This Row],[Reg Ponct]]="R")),(COUNTIF(S21:AX21,"S")+COUNTIF(S21:AX21,"T"))/2,"")</f>
        <v>4.5</v>
      </c>
      <c r="O21" s="79">
        <f>IF((AND(T_BilanSocial2[[#This Row],[Nom]]&lt;&gt;"",T_BilanSocial2[[#This Row],[Reg Ponct]]="R")),COUNTIF(S21:AX21,"S")/2,"")</f>
        <v>3.5</v>
      </c>
      <c r="P21" s="80">
        <f>IF((AND(T_BilanSocial2[[#This Row],[Nom]]&lt;&gt;"",T_BilanSocial2[[#This Row],[Reg Ponct]]="R")),COUNTIF(S21:AX21,"t")/2,"")</f>
        <v>1</v>
      </c>
      <c r="Q21" s="81">
        <f t="shared" si="2"/>
        <v>1.5451388888888886</v>
      </c>
      <c r="R21" s="82">
        <f>IF((AND(T_BilanSocial2[[#This Row],[Nom]]&lt;&gt;"",T_BilanSocial2[[#This Row],[Reg Ponct]]="R")),IF(S21="T",U21-T21,0)+IF(V21="T",X21-W21,0)+IF(Z21="T",AB21-AA21,0)+IF(AC21="T",AE21-AD21,0)+IF(AG21="T",AI21-AH21,0)+IF(AJ21="T",AL21-AK21,0)+IF(AN21="T",AP21-AO21,0)+IF(AQ21="T",AS21-AR21,0)+IF(AU21="T",AW21-AV21,0)+IF(AX21="T",AZ21-AY21,0),"")</f>
        <v>0.33333333333333331</v>
      </c>
      <c r="S21" s="36" t="s">
        <v>306</v>
      </c>
      <c r="T21" s="37">
        <v>0.35416666666666669</v>
      </c>
      <c r="U21" s="37">
        <v>0.52083333333333337</v>
      </c>
      <c r="V21" s="21" t="s">
        <v>306</v>
      </c>
      <c r="W21" s="37">
        <v>0.5625</v>
      </c>
      <c r="X21" s="37">
        <v>0.72916666666666663</v>
      </c>
      <c r="Y21" s="38">
        <f t="shared" si="3"/>
        <v>0.33333333333333331</v>
      </c>
      <c r="Z21" s="36" t="s">
        <v>306</v>
      </c>
      <c r="AA21" s="37">
        <v>0.35416666666666669</v>
      </c>
      <c r="AB21" s="37">
        <v>0.52083333333333337</v>
      </c>
      <c r="AC21" s="21" t="s">
        <v>306</v>
      </c>
      <c r="AD21" s="37">
        <v>0.5625</v>
      </c>
      <c r="AE21" s="37">
        <v>0.72916666666666663</v>
      </c>
      <c r="AF21" s="38">
        <f t="shared" si="4"/>
        <v>0.33333333333333331</v>
      </c>
      <c r="AG21" s="36" t="s">
        <v>306</v>
      </c>
      <c r="AH21" s="37">
        <v>0.35416666666666669</v>
      </c>
      <c r="AI21" s="37">
        <v>0.56597222222222221</v>
      </c>
      <c r="AJ21" s="21" t="s">
        <v>308</v>
      </c>
      <c r="AK21" s="37"/>
      <c r="AL21" s="37"/>
      <c r="AM21" s="38">
        <f t="shared" si="5"/>
        <v>0.21180555555555552</v>
      </c>
      <c r="AN21" s="36" t="s">
        <v>307</v>
      </c>
      <c r="AO21" s="37">
        <v>0.35416666666666669</v>
      </c>
      <c r="AP21" s="37">
        <v>0.52083333333333337</v>
      </c>
      <c r="AQ21" s="21" t="s">
        <v>307</v>
      </c>
      <c r="AR21" s="37">
        <v>0.5625</v>
      </c>
      <c r="AS21" s="37">
        <v>0.72916666666666663</v>
      </c>
      <c r="AT21" s="38">
        <f t="shared" si="6"/>
        <v>0.33333333333333331</v>
      </c>
      <c r="AU21" s="36" t="s">
        <v>306</v>
      </c>
      <c r="AV21" s="37">
        <v>0.35416666666666669</v>
      </c>
      <c r="AW21" s="37">
        <v>0.52083333333333337</v>
      </c>
      <c r="AX21" s="21" t="s">
        <v>306</v>
      </c>
      <c r="AY21" s="37">
        <v>0.5625</v>
      </c>
      <c r="AZ21" s="37">
        <v>0.72916666666666663</v>
      </c>
      <c r="BA21" s="39">
        <f t="shared" si="7"/>
        <v>0.33333333333333331</v>
      </c>
      <c r="BB21" s="46" t="s">
        <v>398</v>
      </c>
      <c r="BC21" s="31" t="s">
        <v>399</v>
      </c>
      <c r="BD21" s="16" t="s">
        <v>311</v>
      </c>
      <c r="BE21" s="16" t="s">
        <v>311</v>
      </c>
      <c r="BF21" s="244" t="str">
        <f>T_BilanSocial2[[#This Row],[Nom]]&amp;T_BilanSocial2[[#This Row],[Prénom]]</f>
        <v>MmeA</v>
      </c>
    </row>
    <row r="22" spans="1:58" ht="21.75" hidden="1" customHeight="1" x14ac:dyDescent="0.25">
      <c r="A22" s="90">
        <v>134</v>
      </c>
      <c r="B22" s="126" t="s">
        <v>311</v>
      </c>
      <c r="C22" s="126">
        <f>VLOOKUP(T_BilanSocial2[[#This Row],[NumL]],T_Commission[#Data],COLUMN(T_Commission[FINAL]),FALSE)</f>
        <v>1</v>
      </c>
      <c r="D22" s="19" t="str">
        <f t="shared" si="0"/>
        <v>Mme</v>
      </c>
      <c r="E22" s="19" t="str">
        <f t="shared" si="1"/>
        <v>A</v>
      </c>
      <c r="F22" s="242" t="str">
        <f>IFERROR(VLOOKUP(T_BilanSocial2[[#This Row],[Zone_Bilan]],T_P_BilanSocial[#Data],COLUMN(T_P_BilanSocial[[#This Row],[Numero_SIHAM]]),FALSE),"")</f>
        <v/>
      </c>
      <c r="G22" s="242" t="str">
        <f>IFERROR(VLOOKUP(T_BilanSocial2[[#This Row],[Zone_Bilan]],T_P_BilanSocial[#Data],COLUMN(T_P_BilanSocial[[#This Row],[Sexe]]),FALSE),"")</f>
        <v/>
      </c>
      <c r="H22" s="243" t="str">
        <f>IFERROR(VLOOKUP(T_BilanSocial2[[#This Row],[Zone_Bilan]],T_P_BilanSocial[#Data],COLUMN(T_P_BilanSocial[[#This Row],[Categorie]]),FALSE),"")</f>
        <v/>
      </c>
      <c r="I22" s="242" t="str">
        <f>IFERROR(VLOOKUP(T_BilanSocial2[[#This Row],[Zone_Bilan]],T_P_BilanSocial[#Data],COLUMN(T_P_BilanSocial[[#This Row],[Statut]]),FALSE),"")</f>
        <v/>
      </c>
      <c r="J22" s="242" t="str">
        <f>IFERROR(VLOOKUP(T_BilanSocial2[[#This Row],[Zone_Bilan]],T_P_BilanSocial[#Data],COLUMN(T_P_BilanSocial[[#This Row],[Filiere]]),FALSE),"")</f>
        <v/>
      </c>
      <c r="K22" s="78">
        <v>0.8</v>
      </c>
      <c r="L22" s="213">
        <v>1.2361111111111112</v>
      </c>
      <c r="M22" s="78" t="s">
        <v>210</v>
      </c>
      <c r="N22" s="79">
        <f>IF((AND(T_BilanSocial2[[#This Row],[Nom]]&lt;&gt;"",T_BilanSocial2[[#This Row],[Reg Ponct]]="R")),(COUNTIF(S22:AX22,"S")+COUNTIF(S22:AX22,"T"))/2,"")</f>
        <v>4</v>
      </c>
      <c r="O22" s="79">
        <f>IF((AND(T_BilanSocial2[[#This Row],[Nom]]&lt;&gt;"",T_BilanSocial2[[#This Row],[Reg Ponct]]="R")),COUNTIF(S22:AX22,"S")/2,"")</f>
        <v>3.5</v>
      </c>
      <c r="P22" s="80">
        <f>IF((AND(T_BilanSocial2[[#This Row],[Nom]]&lt;&gt;"",T_BilanSocial2[[#This Row],[Reg Ponct]]="R")),COUNTIF(S22:AX22,"t")/2,"")</f>
        <v>0.5</v>
      </c>
      <c r="Q22" s="81">
        <f t="shared" si="2"/>
        <v>1.2361111111111112</v>
      </c>
      <c r="R22" s="82">
        <f>IF((AND(T_BilanSocial2[[#This Row],[Nom]]&lt;&gt;"",T_BilanSocial2[[#This Row],[Reg Ponct]]="R")),IF(S22="T",U22-T22,0)+IF(V22="T",X22-W22,0)+IF(Z22="T",AB22-AA22,0)+IF(AC22="T",AE22-AD22,0)+IF(AG22="T",AI22-AH22,0)+IF(AJ22="T",AL22-AK22,0)+IF(AN22="T",AP22-AO22,0)+IF(AQ22="T",AS22-AR22,0)+IF(AU22="T",AW22-AV22,0)+IF(AX22="T",AZ22-AY22,0),"")</f>
        <v>0.12847222222222221</v>
      </c>
      <c r="S22" s="36" t="s">
        <v>306</v>
      </c>
      <c r="T22" s="37">
        <v>0.33333333333333331</v>
      </c>
      <c r="U22" s="37">
        <v>0.52083333333333337</v>
      </c>
      <c r="V22" s="21" t="s">
        <v>306</v>
      </c>
      <c r="W22" s="37">
        <v>0.5625</v>
      </c>
      <c r="X22" s="37">
        <v>0.69097222222222221</v>
      </c>
      <c r="Y22" s="38">
        <f t="shared" si="3"/>
        <v>0.31597222222222227</v>
      </c>
      <c r="Z22" s="36" t="s">
        <v>306</v>
      </c>
      <c r="AA22" s="37">
        <v>0.33333333333333331</v>
      </c>
      <c r="AB22" s="37">
        <v>0.5</v>
      </c>
      <c r="AC22" s="21" t="s">
        <v>306</v>
      </c>
      <c r="AD22" s="37">
        <v>0.55555555555555558</v>
      </c>
      <c r="AE22" s="37">
        <v>0.69097222222222221</v>
      </c>
      <c r="AF22" s="38">
        <f t="shared" si="4"/>
        <v>0.30208333333333331</v>
      </c>
      <c r="AG22" s="36" t="s">
        <v>308</v>
      </c>
      <c r="AH22" s="37"/>
      <c r="AI22" s="37"/>
      <c r="AJ22" s="21" t="s">
        <v>308</v>
      </c>
      <c r="AK22" s="37"/>
      <c r="AL22" s="37"/>
      <c r="AM22" s="38">
        <f t="shared" si="5"/>
        <v>0</v>
      </c>
      <c r="AN22" s="36" t="s">
        <v>306</v>
      </c>
      <c r="AO22" s="37">
        <v>0.33333333333333331</v>
      </c>
      <c r="AP22" s="37">
        <v>0.5</v>
      </c>
      <c r="AQ22" s="21" t="s">
        <v>306</v>
      </c>
      <c r="AR22" s="37">
        <v>0.55555555555555558</v>
      </c>
      <c r="AS22" s="37">
        <v>0.69097222222222221</v>
      </c>
      <c r="AT22" s="38">
        <f t="shared" si="6"/>
        <v>0.30208333333333331</v>
      </c>
      <c r="AU22" s="36" t="s">
        <v>306</v>
      </c>
      <c r="AV22" s="37">
        <v>0.33333333333333331</v>
      </c>
      <c r="AW22" s="37">
        <v>0.52083333333333337</v>
      </c>
      <c r="AX22" s="21" t="s">
        <v>307</v>
      </c>
      <c r="AY22" s="37">
        <v>0.5625</v>
      </c>
      <c r="AZ22" s="37">
        <v>0.69097222222222221</v>
      </c>
      <c r="BA22" s="39">
        <f t="shared" si="7"/>
        <v>0.31597222222222227</v>
      </c>
      <c r="BB22" s="46" t="s">
        <v>805</v>
      </c>
      <c r="BC22" s="31" t="s">
        <v>806</v>
      </c>
      <c r="BD22" s="16" t="s">
        <v>311</v>
      </c>
      <c r="BE22" s="16" t="s">
        <v>311</v>
      </c>
      <c r="BF22" s="244" t="str">
        <f>T_BilanSocial2[[#This Row],[Nom]]&amp;T_BilanSocial2[[#This Row],[Prénom]]</f>
        <v>MmeA</v>
      </c>
    </row>
    <row r="23" spans="1:58" ht="21.75" hidden="1" customHeight="1" x14ac:dyDescent="0.25">
      <c r="A23" s="90">
        <v>212</v>
      </c>
      <c r="B23" s="126" t="s">
        <v>311</v>
      </c>
      <c r="C23" s="126">
        <f>VLOOKUP(T_BilanSocial2[[#This Row],[NumL]],T_Commission[#Data],COLUMN(T_Commission[FINAL]),FALSE)</f>
        <v>1</v>
      </c>
      <c r="D23" s="19" t="str">
        <f t="shared" si="0"/>
        <v>Mme</v>
      </c>
      <c r="E23" s="19" t="str">
        <f t="shared" si="1"/>
        <v>A</v>
      </c>
      <c r="F23" s="242" t="str">
        <f>IFERROR(VLOOKUP(T_BilanSocial2[[#This Row],[Zone_Bilan]],T_P_BilanSocial[#Data],COLUMN(T_P_BilanSocial[[#This Row],[Numero_SIHAM]]),FALSE),"")</f>
        <v/>
      </c>
      <c r="G23" s="242" t="str">
        <f>IFERROR(VLOOKUP(T_BilanSocial2[[#This Row],[Zone_Bilan]],T_P_BilanSocial[#Data],COLUMN(T_P_BilanSocial[[#This Row],[Sexe]]),FALSE),"")</f>
        <v/>
      </c>
      <c r="H23" s="243" t="str">
        <f>IFERROR(VLOOKUP(T_BilanSocial2[[#This Row],[Zone_Bilan]],T_P_BilanSocial[#Data],COLUMN(T_P_BilanSocial[[#This Row],[Categorie]]),FALSE),"")</f>
        <v/>
      </c>
      <c r="I23" s="242" t="str">
        <f>IFERROR(VLOOKUP(T_BilanSocial2[[#This Row],[Zone_Bilan]],T_P_BilanSocial[#Data],COLUMN(T_P_BilanSocial[[#This Row],[Statut]]),FALSE),"")</f>
        <v/>
      </c>
      <c r="J23" s="242" t="str">
        <f>IFERROR(VLOOKUP(T_BilanSocial2[[#This Row],[Zone_Bilan]],T_P_BilanSocial[#Data],COLUMN(T_P_BilanSocial[[#This Row],[Filiere]]),FALSE),"")</f>
        <v/>
      </c>
      <c r="K23" s="78">
        <v>1</v>
      </c>
      <c r="L23" s="213">
        <v>1.5451388888888891</v>
      </c>
      <c r="M23" s="78" t="s">
        <v>210</v>
      </c>
      <c r="N23" s="79">
        <f>IF((AND(T_BilanSocial2[[#This Row],[Nom]]&lt;&gt;"",T_BilanSocial2[[#This Row],[Reg Ponct]]="R")),(COUNTIF(S23:AX23,"S")+COUNTIF(S23:AX23,"T"))/2,"")</f>
        <v>5</v>
      </c>
      <c r="O23" s="79">
        <f>IF((AND(T_BilanSocial2[[#This Row],[Nom]]&lt;&gt;"",T_BilanSocial2[[#This Row],[Reg Ponct]]="R")),COUNTIF(S23:AX23,"S")/2,"")</f>
        <v>4</v>
      </c>
      <c r="P23" s="80">
        <f>IF((AND(T_BilanSocial2[[#This Row],[Nom]]&lt;&gt;"",T_BilanSocial2[[#This Row],[Reg Ponct]]="R")),COUNTIF(S23:AX23,"t")/2,"")</f>
        <v>1</v>
      </c>
      <c r="Q23" s="81">
        <f t="shared" si="2"/>
        <v>1.5451388888888884</v>
      </c>
      <c r="R23" s="82">
        <f>IF((AND(T_BilanSocial2[[#This Row],[Nom]]&lt;&gt;"",T_BilanSocial2[[#This Row],[Reg Ponct]]="R")),IF(S23="T",U23-T23,0)+IF(V23="T",X23-W23,0)+IF(Z23="T",AB23-AA23,0)+IF(AC23="T",AE23-AD23,0)+IF(AG23="T",AI23-AH23,0)+IF(AJ23="T",AL23-AK23,0)+IF(AN23="T",AP23-AO23,0)+IF(AQ23="T",AS23-AR23,0)+IF(AU23="T",AW23-AV23,0)+IF(AX23="T",AZ23-AY23,0),"")</f>
        <v>0.29166666666666657</v>
      </c>
      <c r="S23" s="36" t="s">
        <v>306</v>
      </c>
      <c r="T23" s="37">
        <v>0.32291666666666669</v>
      </c>
      <c r="U23" s="37">
        <v>0.51041666666666663</v>
      </c>
      <c r="V23" s="21" t="s">
        <v>306</v>
      </c>
      <c r="W23" s="37">
        <v>0.55208333333333337</v>
      </c>
      <c r="X23" s="37">
        <v>0.67708333333333337</v>
      </c>
      <c r="Y23" s="38">
        <f t="shared" si="3"/>
        <v>0.31249999999999994</v>
      </c>
      <c r="Z23" s="36" t="s">
        <v>306</v>
      </c>
      <c r="AA23" s="37">
        <v>0.32291666666666669</v>
      </c>
      <c r="AB23" s="37">
        <v>0.51041666666666663</v>
      </c>
      <c r="AC23" s="21" t="s">
        <v>306</v>
      </c>
      <c r="AD23" s="37">
        <v>0.55208333333333337</v>
      </c>
      <c r="AE23" s="37">
        <v>0.67708333333333337</v>
      </c>
      <c r="AF23" s="38">
        <f t="shared" si="4"/>
        <v>0.31249999999999994</v>
      </c>
      <c r="AG23" s="36" t="s">
        <v>306</v>
      </c>
      <c r="AH23" s="37">
        <v>0.32291666666666669</v>
      </c>
      <c r="AI23" s="37">
        <v>0.51041666666666663</v>
      </c>
      <c r="AJ23" s="21" t="s">
        <v>306</v>
      </c>
      <c r="AK23" s="37">
        <v>0.55208333333333337</v>
      </c>
      <c r="AL23" s="37">
        <v>0.68055555555555547</v>
      </c>
      <c r="AM23" s="38">
        <f t="shared" si="5"/>
        <v>0.31597222222222204</v>
      </c>
      <c r="AN23" s="36" t="s">
        <v>306</v>
      </c>
      <c r="AO23" s="37">
        <v>0.32291666666666669</v>
      </c>
      <c r="AP23" s="37">
        <v>0.51041666666666663</v>
      </c>
      <c r="AQ23" s="21" t="s">
        <v>306</v>
      </c>
      <c r="AR23" s="37">
        <v>0.55208333333333337</v>
      </c>
      <c r="AS23" s="37">
        <v>0.67708333333333337</v>
      </c>
      <c r="AT23" s="38">
        <f t="shared" si="6"/>
        <v>0.31249999999999994</v>
      </c>
      <c r="AU23" s="36" t="s">
        <v>307</v>
      </c>
      <c r="AV23" s="37">
        <v>0.32291666666666669</v>
      </c>
      <c r="AW23" s="37">
        <v>0.51041666666666663</v>
      </c>
      <c r="AX23" s="21" t="s">
        <v>307</v>
      </c>
      <c r="AY23" s="37">
        <v>0.55208333333333337</v>
      </c>
      <c r="AZ23" s="37">
        <v>0.65625</v>
      </c>
      <c r="BA23" s="39">
        <f t="shared" si="7"/>
        <v>0.29166666666666657</v>
      </c>
      <c r="BB23" s="46" t="s">
        <v>1092</v>
      </c>
      <c r="BC23" s="31" t="s">
        <v>1093</v>
      </c>
      <c r="BD23" s="16" t="s">
        <v>311</v>
      </c>
      <c r="BE23" s="16" t="s">
        <v>311</v>
      </c>
      <c r="BF23" s="244" t="str">
        <f>T_BilanSocial2[[#This Row],[Nom]]&amp;T_BilanSocial2[[#This Row],[Prénom]]</f>
        <v>MmeA</v>
      </c>
    </row>
    <row r="24" spans="1:58" ht="21.75" hidden="1" customHeight="1" x14ac:dyDescent="0.25">
      <c r="A24" s="90">
        <v>174</v>
      </c>
      <c r="B24" s="126" t="s">
        <v>311</v>
      </c>
      <c r="C24" s="126" t="str">
        <f>VLOOKUP(T_BilanSocial2[[#This Row],[NumL]],T_Commission[#Data],COLUMN(T_Commission[FINAL]),FALSE)</f>
        <v/>
      </c>
      <c r="D24" s="19" t="str">
        <f t="shared" si="0"/>
        <v/>
      </c>
      <c r="E24" s="19" t="str">
        <f t="shared" si="1"/>
        <v/>
      </c>
      <c r="F24" s="242" t="str">
        <f>IFERROR(VLOOKUP(T_BilanSocial2[[#This Row],[Zone_Bilan]],T_P_BilanSocial[#Data],COLUMN(T_P_BilanSocial[[#This Row],[Numero_SIHAM]]),FALSE),"")</f>
        <v/>
      </c>
      <c r="G24" s="242" t="str">
        <f>IFERROR(VLOOKUP(T_BilanSocial2[[#This Row],[Zone_Bilan]],T_P_BilanSocial[#Data],COLUMN(T_P_BilanSocial[[#This Row],[Sexe]]),FALSE),"")</f>
        <v/>
      </c>
      <c r="H24" s="243" t="str">
        <f>IFERROR(VLOOKUP(T_BilanSocial2[[#This Row],[Zone_Bilan]],T_P_BilanSocial[#Data],COLUMN(T_P_BilanSocial[[#This Row],[Categorie]]),FALSE),"")</f>
        <v/>
      </c>
      <c r="I24" s="242" t="str">
        <f>IFERROR(VLOOKUP(T_BilanSocial2[[#This Row],[Zone_Bilan]],T_P_BilanSocial[#Data],COLUMN(T_P_BilanSocial[[#This Row],[Statut]]),FALSE),"")</f>
        <v/>
      </c>
      <c r="J24" s="242" t="str">
        <f>IFERROR(VLOOKUP(T_BilanSocial2[[#This Row],[Zone_Bilan]],T_P_BilanSocial[#Data],COLUMN(T_P_BilanSocial[[#This Row],[Filiere]]),FALSE),"")</f>
        <v/>
      </c>
      <c r="K24" s="78">
        <v>1</v>
      </c>
      <c r="L24" s="213">
        <v>1.5451388888888891</v>
      </c>
      <c r="M24" s="78" t="s">
        <v>210</v>
      </c>
      <c r="N24" s="79" t="str">
        <f>IF((AND(T_BilanSocial2[[#This Row],[Nom]]&lt;&gt;"",T_BilanSocial2[[#This Row],[Reg Ponct]]="R")),(COUNTIF(S24:AX24,"S")+COUNTIF(S24:AX24,"T"))/2,"")</f>
        <v/>
      </c>
      <c r="O24" s="79" t="str">
        <f>IF((AND(T_BilanSocial2[[#This Row],[Nom]]&lt;&gt;"",T_BilanSocial2[[#This Row],[Reg Ponct]]="R")),COUNTIF(S24:AX24,"S")/2,"")</f>
        <v/>
      </c>
      <c r="P24" s="80" t="str">
        <f>IF((AND(T_BilanSocial2[[#This Row],[Nom]]&lt;&gt;"",T_BilanSocial2[[#This Row],[Reg Ponct]]="R")),COUNTIF(S24:AX24,"t")/2,"")</f>
        <v/>
      </c>
      <c r="Q24" s="81" t="str">
        <f t="shared" si="2"/>
        <v/>
      </c>
      <c r="R24" s="82" t="str">
        <f>IF((AND(T_BilanSocial2[[#This Row],[Nom]]&lt;&gt;"",T_BilanSocial2[[#This Row],[Reg Ponct]]="R")),IF(S24="T",U24-T24,0)+IF(V24="T",X24-W24,0)+IF(Z24="T",AB24-AA24,0)+IF(AC24="T",AE24-AD24,0)+IF(AG24="T",AI24-AH24,0)+IF(AJ24="T",AL24-AK24,0)+IF(AN24="T",AP24-AO24,0)+IF(AQ24="T",AS24-AR24,0)+IF(AU24="T",AW24-AV24,0)+IF(AX24="T",AZ24-AY24,0),"")</f>
        <v/>
      </c>
      <c r="S24" s="36" t="s">
        <v>306</v>
      </c>
      <c r="T24" s="37">
        <v>0.33333333333333331</v>
      </c>
      <c r="U24" s="37">
        <v>0.52083333333333337</v>
      </c>
      <c r="V24" s="21" t="s">
        <v>306</v>
      </c>
      <c r="W24" s="37">
        <v>0.5625</v>
      </c>
      <c r="X24" s="37">
        <v>0.72916666666666663</v>
      </c>
      <c r="Y24" s="38" t="str">
        <f t="shared" si="3"/>
        <v/>
      </c>
      <c r="Z24" s="36" t="s">
        <v>307</v>
      </c>
      <c r="AA24" s="37">
        <v>0.33333333333333331</v>
      </c>
      <c r="AB24" s="37">
        <v>0.52083333333333337</v>
      </c>
      <c r="AC24" s="21" t="s">
        <v>307</v>
      </c>
      <c r="AD24" s="37">
        <v>0.5625</v>
      </c>
      <c r="AE24" s="37">
        <v>0.70833333333333337</v>
      </c>
      <c r="AF24" s="38" t="str">
        <f t="shared" si="4"/>
        <v/>
      </c>
      <c r="AG24" s="36" t="s">
        <v>306</v>
      </c>
      <c r="AH24" s="37">
        <v>0.33333333333333331</v>
      </c>
      <c r="AI24" s="37">
        <v>0.52083333333333337</v>
      </c>
      <c r="AJ24" s="21" t="s">
        <v>306</v>
      </c>
      <c r="AK24" s="37">
        <v>0.5625</v>
      </c>
      <c r="AL24" s="37">
        <v>0.70833333333333337</v>
      </c>
      <c r="AM24" s="38" t="str">
        <f t="shared" si="5"/>
        <v/>
      </c>
      <c r="AN24" s="36" t="s">
        <v>306</v>
      </c>
      <c r="AO24" s="37">
        <v>0.33333333333333331</v>
      </c>
      <c r="AP24" s="37">
        <v>0.52083333333333337</v>
      </c>
      <c r="AQ24" s="21" t="s">
        <v>306</v>
      </c>
      <c r="AR24" s="37">
        <v>0.5625</v>
      </c>
      <c r="AS24" s="37">
        <v>0.72916666666666663</v>
      </c>
      <c r="AT24" s="38" t="str">
        <f t="shared" si="6"/>
        <v/>
      </c>
      <c r="AU24" s="36" t="s">
        <v>306</v>
      </c>
      <c r="AV24" s="37">
        <v>0.33333333333333331</v>
      </c>
      <c r="AW24" s="37">
        <v>0.50347222222222221</v>
      </c>
      <c r="AX24" s="21" t="s">
        <v>306</v>
      </c>
      <c r="AY24" s="37"/>
      <c r="AZ24" s="37"/>
      <c r="BA24" s="39" t="str">
        <f t="shared" si="7"/>
        <v/>
      </c>
      <c r="BB24" s="46" t="s">
        <v>481</v>
      </c>
      <c r="BC24" s="31" t="s">
        <v>341</v>
      </c>
      <c r="BD24" s="16" t="s">
        <v>311</v>
      </c>
      <c r="BE24" s="16" t="s">
        <v>311</v>
      </c>
      <c r="BF24" s="244" t="str">
        <f>T_BilanSocial2[[#This Row],[Nom]]&amp;T_BilanSocial2[[#This Row],[Prénom]]</f>
        <v/>
      </c>
    </row>
    <row r="25" spans="1:58" ht="21.75" customHeight="1" x14ac:dyDescent="0.25">
      <c r="A25" s="90">
        <v>76</v>
      </c>
      <c r="B25" s="126" t="s">
        <v>311</v>
      </c>
      <c r="C25" s="126">
        <f>VLOOKUP(T_BilanSocial2[[#This Row],[NumL]],T_Commission[#Data],COLUMN(T_Commission[FINAL]),FALSE)</f>
        <v>1</v>
      </c>
      <c r="D25" s="19" t="str">
        <f t="shared" si="0"/>
        <v>M.</v>
      </c>
      <c r="E25" s="19" t="str">
        <f t="shared" si="1"/>
        <v>A</v>
      </c>
      <c r="F25" s="242" t="str">
        <f>IFERROR(VLOOKUP(T_BilanSocial2[[#This Row],[Zone_Bilan]],T_P_BilanSocial[#Data],COLUMN(T_P_BilanSocial[[#This Row],[Numero_SIHAM]]),FALSE),"")</f>
        <v/>
      </c>
      <c r="G25" s="242" t="str">
        <f>IFERROR(VLOOKUP(T_BilanSocial2[[#This Row],[Zone_Bilan]],T_P_BilanSocial[#Data],COLUMN(T_P_BilanSocial[[#This Row],[Sexe]]),FALSE),"")</f>
        <v/>
      </c>
      <c r="H25" s="243" t="str">
        <f>IFERROR(VLOOKUP(T_BilanSocial2[[#This Row],[Zone_Bilan]],T_P_BilanSocial[#Data],COLUMN(T_P_BilanSocial[[#This Row],[Categorie]]),FALSE),"")</f>
        <v/>
      </c>
      <c r="I25" s="242" t="str">
        <f>IFERROR(VLOOKUP(T_BilanSocial2[[#This Row],[Zone_Bilan]],T_P_BilanSocial[#Data],COLUMN(T_P_BilanSocial[[#This Row],[Statut]]),FALSE),"")</f>
        <v/>
      </c>
      <c r="J25" s="242" t="str">
        <f>IFERROR(VLOOKUP(T_BilanSocial2[[#This Row],[Zone_Bilan]],T_P_BilanSocial[#Data],COLUMN(T_P_BilanSocial[[#This Row],[Filiere]]),FALSE),"")</f>
        <v/>
      </c>
      <c r="K25" s="78">
        <v>1</v>
      </c>
      <c r="L25" s="213">
        <v>1.5451388888888891</v>
      </c>
      <c r="M25" s="78" t="s">
        <v>211</v>
      </c>
      <c r="N25" s="79" t="str">
        <f>IF((AND(T_BilanSocial2[[#This Row],[Nom]]&lt;&gt;"",T_BilanSocial2[[#This Row],[Reg Ponct]]="R")),(COUNTIF(S25:AX25,"S")+COUNTIF(S25:AX25,"T"))/2,"")</f>
        <v/>
      </c>
      <c r="O25" s="79" t="str">
        <f>IF((AND(T_BilanSocial2[[#This Row],[Nom]]&lt;&gt;"",T_BilanSocial2[[#This Row],[Reg Ponct]]="R")),COUNTIF(S25:AX25,"S")/2,"")</f>
        <v/>
      </c>
      <c r="P25" s="80" t="str">
        <f>IF((AND(T_BilanSocial2[[#This Row],[Nom]]&lt;&gt;"",T_BilanSocial2[[#This Row],[Reg Ponct]]="R")),COUNTIF(S25:AX25,"t")/2,"")</f>
        <v/>
      </c>
      <c r="Q25" s="81">
        <f t="shared" si="2"/>
        <v>0</v>
      </c>
      <c r="R25" s="82" t="str">
        <f>IF((AND(T_BilanSocial2[[#This Row],[Nom]]&lt;&gt;"",T_BilanSocial2[[#This Row],[Reg Ponct]]="R")),IF(S25="T",U25-T25,0)+IF(V25="T",X25-W25,0)+IF(Z25="T",AB25-AA25,0)+IF(AC25="T",AE25-AD25,0)+IF(AG25="T",AI25-AH25,0)+IF(AJ25="T",AL25-AK25,0)+IF(AN25="T",AP25-AO25,0)+IF(AQ25="T",AS25-AR25,0)+IF(AU25="T",AW25-AV25,0)+IF(AX25="T",AZ25-AY25,0),"")</f>
        <v/>
      </c>
      <c r="S25" s="36"/>
      <c r="T25" s="37"/>
      <c r="U25" s="37"/>
      <c r="V25" s="21"/>
      <c r="W25" s="37"/>
      <c r="X25" s="37"/>
      <c r="Y25" s="38">
        <f t="shared" si="3"/>
        <v>0</v>
      </c>
      <c r="Z25" s="36"/>
      <c r="AA25" s="37"/>
      <c r="AB25" s="37"/>
      <c r="AC25" s="21"/>
      <c r="AD25" s="37"/>
      <c r="AE25" s="37"/>
      <c r="AF25" s="38">
        <f t="shared" si="4"/>
        <v>0</v>
      </c>
      <c r="AG25" s="36"/>
      <c r="AH25" s="37"/>
      <c r="AI25" s="37"/>
      <c r="AJ25" s="21"/>
      <c r="AK25" s="37"/>
      <c r="AL25" s="37"/>
      <c r="AM25" s="38">
        <f t="shared" si="5"/>
        <v>0</v>
      </c>
      <c r="AN25" s="36"/>
      <c r="AO25" s="37"/>
      <c r="AP25" s="37"/>
      <c r="AQ25" s="21"/>
      <c r="AR25" s="37"/>
      <c r="AS25" s="37"/>
      <c r="AT25" s="38">
        <f t="shared" si="6"/>
        <v>0</v>
      </c>
      <c r="AU25" s="36"/>
      <c r="AV25" s="37"/>
      <c r="AW25" s="37"/>
      <c r="AX25" s="21"/>
      <c r="AY25" s="37"/>
      <c r="AZ25" s="37"/>
      <c r="BA25" s="39">
        <f t="shared" si="7"/>
        <v>0</v>
      </c>
      <c r="BB25" s="46" t="s">
        <v>626</v>
      </c>
      <c r="BC25" s="31" t="s">
        <v>341</v>
      </c>
      <c r="BD25" s="16" t="s">
        <v>311</v>
      </c>
      <c r="BE25" s="16" t="s">
        <v>311</v>
      </c>
      <c r="BF25" s="244" t="str">
        <f>T_BilanSocial2[[#This Row],[Nom]]&amp;T_BilanSocial2[[#This Row],[Prénom]]</f>
        <v>M.A</v>
      </c>
    </row>
    <row r="26" spans="1:58" ht="21.75" customHeight="1" x14ac:dyDescent="0.25">
      <c r="A26" s="90">
        <v>278</v>
      </c>
      <c r="B26" s="126" t="s">
        <v>311</v>
      </c>
      <c r="C26" s="126" t="str">
        <f>VLOOKUP(T_BilanSocial2[[#This Row],[NumL]],T_Commission[#Data],COLUMN(T_Commission[FINAL]),FALSE)</f>
        <v/>
      </c>
      <c r="D26" s="19" t="str">
        <f t="shared" si="0"/>
        <v/>
      </c>
      <c r="E26" s="19" t="str">
        <f t="shared" si="1"/>
        <v/>
      </c>
      <c r="F26" s="242" t="str">
        <f>IFERROR(VLOOKUP(T_BilanSocial2[[#This Row],[Zone_Bilan]],T_P_BilanSocial[#Data],COLUMN(T_P_BilanSocial[[#This Row],[Numero_SIHAM]]),FALSE),"")</f>
        <v/>
      </c>
      <c r="G26" s="242" t="str">
        <f>IFERROR(VLOOKUP(T_BilanSocial2[[#This Row],[Zone_Bilan]],T_P_BilanSocial[#Data],COLUMN(T_P_BilanSocial[[#This Row],[Sexe]]),FALSE),"")</f>
        <v/>
      </c>
      <c r="H26" s="243" t="str">
        <f>IFERROR(VLOOKUP(T_BilanSocial2[[#This Row],[Zone_Bilan]],T_P_BilanSocial[#Data],COLUMN(T_P_BilanSocial[[#This Row],[Categorie]]),FALSE),"")</f>
        <v/>
      </c>
      <c r="I26" s="242" t="str">
        <f>IFERROR(VLOOKUP(T_BilanSocial2[[#This Row],[Zone_Bilan]],T_P_BilanSocial[#Data],COLUMN(T_P_BilanSocial[[#This Row],[Statut]]),FALSE),"")</f>
        <v/>
      </c>
      <c r="J26" s="242" t="str">
        <f>IFERROR(VLOOKUP(T_BilanSocial2[[#This Row],[Zone_Bilan]],T_P_BilanSocial[#Data],COLUMN(T_P_BilanSocial[[#This Row],[Filiere]]),FALSE),"")</f>
        <v/>
      </c>
      <c r="K26" s="78">
        <v>1</v>
      </c>
      <c r="L26" s="213">
        <v>1.5451388888888891</v>
      </c>
      <c r="M26" s="78" t="s">
        <v>211</v>
      </c>
      <c r="N26" s="79" t="str">
        <f>IF((AND(T_BilanSocial2[[#This Row],[Nom]]&lt;&gt;"",T_BilanSocial2[[#This Row],[Reg Ponct]]="R")),(COUNTIF(S26:AX26,"S")+COUNTIF(S26:AX26,"T"))/2,"")</f>
        <v/>
      </c>
      <c r="O26" s="79" t="str">
        <f>IF((AND(T_BilanSocial2[[#This Row],[Nom]]&lt;&gt;"",T_BilanSocial2[[#This Row],[Reg Ponct]]="R")),COUNTIF(S26:AX26,"S")/2,"")</f>
        <v/>
      </c>
      <c r="P26" s="80" t="str">
        <f>IF((AND(T_BilanSocial2[[#This Row],[Nom]]&lt;&gt;"",T_BilanSocial2[[#This Row],[Reg Ponct]]="R")),COUNTIF(S26:AX26,"t")/2,"")</f>
        <v/>
      </c>
      <c r="Q26" s="81" t="str">
        <f t="shared" si="2"/>
        <v/>
      </c>
      <c r="R26" s="82" t="str">
        <f>IF((AND(T_BilanSocial2[[#This Row],[Nom]]&lt;&gt;"",T_BilanSocial2[[#This Row],[Reg Ponct]]="R")),IF(S26="T",U26-T26,0)+IF(V26="T",X26-W26,0)+IF(Z26="T",AB26-AA26,0)+IF(AC26="T",AE26-AD26,0)+IF(AG26="T",AI26-AH26,0)+IF(AJ26="T",AL26-AK26,0)+IF(AN26="T",AP26-AO26,0)+IF(AQ26="T",AS26-AR26,0)+IF(AU26="T",AW26-AV26,0)+IF(AX26="T",AZ26-AY26,0),"")</f>
        <v/>
      </c>
      <c r="S26" s="36"/>
      <c r="T26" s="37"/>
      <c r="U26" s="37"/>
      <c r="V26" s="21"/>
      <c r="W26" s="37"/>
      <c r="X26" s="37"/>
      <c r="Y26" s="38" t="str">
        <f t="shared" si="3"/>
        <v/>
      </c>
      <c r="Z26" s="36"/>
      <c r="AA26" s="37"/>
      <c r="AB26" s="37"/>
      <c r="AC26" s="21"/>
      <c r="AD26" s="37"/>
      <c r="AE26" s="37"/>
      <c r="AF26" s="38" t="str">
        <f t="shared" si="4"/>
        <v/>
      </c>
      <c r="AG26" s="36"/>
      <c r="AH26" s="37"/>
      <c r="AI26" s="37"/>
      <c r="AJ26" s="21"/>
      <c r="AK26" s="37"/>
      <c r="AL26" s="37"/>
      <c r="AM26" s="38" t="str">
        <f t="shared" si="5"/>
        <v/>
      </c>
      <c r="AN26" s="36"/>
      <c r="AO26" s="37"/>
      <c r="AP26" s="37"/>
      <c r="AQ26" s="21"/>
      <c r="AR26" s="37"/>
      <c r="AS26" s="37"/>
      <c r="AT26" s="38" t="str">
        <f t="shared" si="6"/>
        <v/>
      </c>
      <c r="AU26" s="36"/>
      <c r="AV26" s="37"/>
      <c r="AW26" s="37"/>
      <c r="AX26" s="21"/>
      <c r="AY26" s="37"/>
      <c r="AZ26" s="37"/>
      <c r="BA26" s="39" t="str">
        <f t="shared" si="7"/>
        <v/>
      </c>
      <c r="BB26" s="46" t="s">
        <v>353</v>
      </c>
      <c r="BC26" s="31" t="s">
        <v>354</v>
      </c>
      <c r="BD26" s="16" t="s">
        <v>311</v>
      </c>
      <c r="BE26" s="16" t="s">
        <v>311</v>
      </c>
      <c r="BF26" s="244" t="str">
        <f>T_BilanSocial2[[#This Row],[Nom]]&amp;T_BilanSocial2[[#This Row],[Prénom]]</f>
        <v/>
      </c>
    </row>
    <row r="27" spans="1:58" ht="21.75" hidden="1" customHeight="1" x14ac:dyDescent="0.25">
      <c r="A27" s="90">
        <v>68</v>
      </c>
      <c r="B27" s="126" t="s">
        <v>311</v>
      </c>
      <c r="C27" s="126" t="str">
        <f>VLOOKUP(T_BilanSocial2[[#This Row],[NumL]],T_Commission[#Data],COLUMN(T_Commission[FINAL]),FALSE)</f>
        <v/>
      </c>
      <c r="D27" s="19" t="str">
        <f t="shared" si="0"/>
        <v/>
      </c>
      <c r="E27" s="19" t="str">
        <f t="shared" si="1"/>
        <v/>
      </c>
      <c r="F27" s="242" t="str">
        <f>IFERROR(VLOOKUP(T_BilanSocial2[[#This Row],[Zone_Bilan]],T_P_BilanSocial[#Data],COLUMN(T_P_BilanSocial[[#This Row],[Numero_SIHAM]]),FALSE),"")</f>
        <v/>
      </c>
      <c r="G27" s="242" t="str">
        <f>IFERROR(VLOOKUP(T_BilanSocial2[[#This Row],[Zone_Bilan]],T_P_BilanSocial[#Data],COLUMN(T_P_BilanSocial[[#This Row],[Sexe]]),FALSE),"")</f>
        <v/>
      </c>
      <c r="H27" s="243" t="str">
        <f>IFERROR(VLOOKUP(T_BilanSocial2[[#This Row],[Zone_Bilan]],T_P_BilanSocial[#Data],COLUMN(T_P_BilanSocial[[#This Row],[Categorie]]),FALSE),"")</f>
        <v/>
      </c>
      <c r="I27" s="242" t="str">
        <f>IFERROR(VLOOKUP(T_BilanSocial2[[#This Row],[Zone_Bilan]],T_P_BilanSocial[#Data],COLUMN(T_P_BilanSocial[[#This Row],[Statut]]),FALSE),"")</f>
        <v/>
      </c>
      <c r="J27" s="242" t="str">
        <f>IFERROR(VLOOKUP(T_BilanSocial2[[#This Row],[Zone_Bilan]],T_P_BilanSocial[#Data],COLUMN(T_P_BilanSocial[[#This Row],[Filiere]]),FALSE),"")</f>
        <v/>
      </c>
      <c r="K27" s="78">
        <v>1</v>
      </c>
      <c r="L27" s="213">
        <v>1.5451388888888891</v>
      </c>
      <c r="M27" s="78" t="s">
        <v>210</v>
      </c>
      <c r="N27" s="79" t="str">
        <f>IF((AND(T_BilanSocial2[[#This Row],[Nom]]&lt;&gt;"",T_BilanSocial2[[#This Row],[Reg Ponct]]="R")),(COUNTIF(S27:AX27,"S")+COUNTIF(S27:AX27,"T"))/2,"")</f>
        <v/>
      </c>
      <c r="O27" s="79" t="str">
        <f>IF((AND(T_BilanSocial2[[#This Row],[Nom]]&lt;&gt;"",T_BilanSocial2[[#This Row],[Reg Ponct]]="R")),COUNTIF(S27:AX27,"S")/2,"")</f>
        <v/>
      </c>
      <c r="P27" s="80" t="str">
        <f>IF((AND(T_BilanSocial2[[#This Row],[Nom]]&lt;&gt;"",T_BilanSocial2[[#This Row],[Reg Ponct]]="R")),COUNTIF(S27:AX27,"t")/2,"")</f>
        <v/>
      </c>
      <c r="Q27" s="81" t="str">
        <f t="shared" si="2"/>
        <v/>
      </c>
      <c r="R27" s="82" t="str">
        <f>IF((AND(T_BilanSocial2[[#This Row],[Nom]]&lt;&gt;"",T_BilanSocial2[[#This Row],[Reg Ponct]]="R")),IF(S27="T",U27-T27,0)+IF(V27="T",X27-W27,0)+IF(Z27="T",AB27-AA27,0)+IF(AC27="T",AE27-AD27,0)+IF(AG27="T",AI27-AH27,0)+IF(AJ27="T",AL27-AK27,0)+IF(AN27="T",AP27-AO27,0)+IF(AQ27="T",AS27-AR27,0)+IF(AU27="T",AW27-AV27,0)+IF(AX27="T",AZ27-AY27,0),"")</f>
        <v/>
      </c>
      <c r="S27" s="36" t="s">
        <v>307</v>
      </c>
      <c r="T27" s="37">
        <v>0.3125</v>
      </c>
      <c r="U27" s="37">
        <v>0.52083333333333337</v>
      </c>
      <c r="V27" s="21" t="s">
        <v>307</v>
      </c>
      <c r="W27" s="37">
        <v>0.5625</v>
      </c>
      <c r="X27" s="37">
        <v>0.6875</v>
      </c>
      <c r="Y27" s="38" t="str">
        <f t="shared" si="3"/>
        <v/>
      </c>
      <c r="Z27" s="36" t="s">
        <v>306</v>
      </c>
      <c r="AA27" s="37">
        <v>0.35416666666666669</v>
      </c>
      <c r="AB27" s="37">
        <v>0.52083333333333337</v>
      </c>
      <c r="AC27" s="21" t="s">
        <v>306</v>
      </c>
      <c r="AD27" s="37">
        <v>0.5625</v>
      </c>
      <c r="AE27" s="37">
        <v>0.72916666666666663</v>
      </c>
      <c r="AF27" s="38" t="str">
        <f t="shared" si="4"/>
        <v/>
      </c>
      <c r="AG27" s="36" t="s">
        <v>306</v>
      </c>
      <c r="AH27" s="37">
        <v>0.35416666666666669</v>
      </c>
      <c r="AI27" s="37">
        <v>0.52083333333333337</v>
      </c>
      <c r="AJ27" s="21" t="s">
        <v>306</v>
      </c>
      <c r="AK27" s="37">
        <v>0.5625</v>
      </c>
      <c r="AL27" s="37">
        <v>0.72916666666666663</v>
      </c>
      <c r="AM27" s="38" t="str">
        <f t="shared" si="5"/>
        <v/>
      </c>
      <c r="AN27" s="36" t="s">
        <v>306</v>
      </c>
      <c r="AO27" s="37">
        <v>0.35416666666666669</v>
      </c>
      <c r="AP27" s="37">
        <v>0.52083333333333337</v>
      </c>
      <c r="AQ27" s="21" t="s">
        <v>306</v>
      </c>
      <c r="AR27" s="37">
        <v>0.5625</v>
      </c>
      <c r="AS27" s="37">
        <v>0.62152777777777779</v>
      </c>
      <c r="AT27" s="38" t="str">
        <f t="shared" si="6"/>
        <v/>
      </c>
      <c r="AU27" s="36" t="s">
        <v>307</v>
      </c>
      <c r="AV27" s="37">
        <v>0.31597222222222221</v>
      </c>
      <c r="AW27" s="37">
        <v>0.52083333333333337</v>
      </c>
      <c r="AX27" s="21" t="s">
        <v>307</v>
      </c>
      <c r="AY27" s="37">
        <v>0.5625</v>
      </c>
      <c r="AZ27" s="37">
        <v>0.67708333333333337</v>
      </c>
      <c r="BA27" s="39" t="str">
        <f t="shared" si="7"/>
        <v/>
      </c>
      <c r="BB27" s="46" t="s">
        <v>611</v>
      </c>
      <c r="BC27" s="31" t="s">
        <v>341</v>
      </c>
      <c r="BD27" s="16" t="s">
        <v>311</v>
      </c>
      <c r="BE27" s="16" t="s">
        <v>311</v>
      </c>
      <c r="BF27" s="244" t="str">
        <f>T_BilanSocial2[[#This Row],[Nom]]&amp;T_BilanSocial2[[#This Row],[Prénom]]</f>
        <v/>
      </c>
    </row>
    <row r="28" spans="1:58" ht="21.75" hidden="1" customHeight="1" x14ac:dyDescent="0.25">
      <c r="A28" s="90">
        <v>251</v>
      </c>
      <c r="B28" s="126" t="s">
        <v>311</v>
      </c>
      <c r="C28" s="126" t="str">
        <f>VLOOKUP(T_BilanSocial2[[#This Row],[NumL]],T_Commission[#Data],COLUMN(T_Commission[FINAL]),FALSE)</f>
        <v/>
      </c>
      <c r="D28" s="19" t="str">
        <f t="shared" si="0"/>
        <v/>
      </c>
      <c r="E28" s="19" t="str">
        <f t="shared" si="1"/>
        <v/>
      </c>
      <c r="F28" s="242" t="str">
        <f>IFERROR(VLOOKUP(T_BilanSocial2[[#This Row],[Zone_Bilan]],T_P_BilanSocial[#Data],COLUMN(T_P_BilanSocial[[#This Row],[Numero_SIHAM]]),FALSE),"")</f>
        <v/>
      </c>
      <c r="G28" s="242" t="str">
        <f>IFERROR(VLOOKUP(T_BilanSocial2[[#This Row],[Zone_Bilan]],T_P_BilanSocial[#Data],COLUMN(T_P_BilanSocial[[#This Row],[Sexe]]),FALSE),"")</f>
        <v/>
      </c>
      <c r="H28" s="243" t="str">
        <f>IFERROR(VLOOKUP(T_BilanSocial2[[#This Row],[Zone_Bilan]],T_P_BilanSocial[#Data],COLUMN(T_P_BilanSocial[[#This Row],[Categorie]]),FALSE),"")</f>
        <v/>
      </c>
      <c r="I28" s="242" t="str">
        <f>IFERROR(VLOOKUP(T_BilanSocial2[[#This Row],[Zone_Bilan]],T_P_BilanSocial[#Data],COLUMN(T_P_BilanSocial[[#This Row],[Statut]]),FALSE),"")</f>
        <v/>
      </c>
      <c r="J28" s="242" t="str">
        <f>IFERROR(VLOOKUP(T_BilanSocial2[[#This Row],[Zone_Bilan]],T_P_BilanSocial[#Data],COLUMN(T_P_BilanSocial[[#This Row],[Filiere]]),FALSE),"")</f>
        <v/>
      </c>
      <c r="K28" s="78">
        <v>1</v>
      </c>
      <c r="L28" s="213">
        <v>1.5451388888888891</v>
      </c>
      <c r="M28" s="78" t="s">
        <v>210</v>
      </c>
      <c r="N28" s="79" t="str">
        <f>IF((AND(T_BilanSocial2[[#This Row],[Nom]]&lt;&gt;"",T_BilanSocial2[[#This Row],[Reg Ponct]]="R")),(COUNTIF(S28:AX28,"S")+COUNTIF(S28:AX28,"T"))/2,"")</f>
        <v/>
      </c>
      <c r="O28" s="79" t="str">
        <f>IF((AND(T_BilanSocial2[[#This Row],[Nom]]&lt;&gt;"",T_BilanSocial2[[#This Row],[Reg Ponct]]="R")),COUNTIF(S28:AX28,"S")/2,"")</f>
        <v/>
      </c>
      <c r="P28" s="80" t="str">
        <f>IF((AND(T_BilanSocial2[[#This Row],[Nom]]&lt;&gt;"",T_BilanSocial2[[#This Row],[Reg Ponct]]="R")),COUNTIF(S28:AX28,"t")/2,"")</f>
        <v/>
      </c>
      <c r="Q28" s="81" t="str">
        <f t="shared" si="2"/>
        <v/>
      </c>
      <c r="R28" s="82" t="str">
        <f>IF((AND(T_BilanSocial2[[#This Row],[Nom]]&lt;&gt;"",T_BilanSocial2[[#This Row],[Reg Ponct]]="R")),IF(S28="T",U28-T28,0)+IF(V28="T",X28-W28,0)+IF(Z28="T",AB28-AA28,0)+IF(AC28="T",AE28-AD28,0)+IF(AG28="T",AI28-AH28,0)+IF(AJ28="T",AL28-AK28,0)+IF(AN28="T",AP28-AO28,0)+IF(AQ28="T",AS28-AR28,0)+IF(AU28="T",AW28-AV28,0)+IF(AX28="T",AZ28-AY28,0),"")</f>
        <v/>
      </c>
      <c r="S28" s="36" t="s">
        <v>306</v>
      </c>
      <c r="T28" s="37">
        <v>0.39583333333333331</v>
      </c>
      <c r="U28" s="37">
        <v>0.5</v>
      </c>
      <c r="V28" s="21" t="s">
        <v>306</v>
      </c>
      <c r="W28" s="37">
        <v>0.54166666666666663</v>
      </c>
      <c r="X28" s="37">
        <v>0.79166666666666663</v>
      </c>
      <c r="Y28" s="38" t="str">
        <f t="shared" si="3"/>
        <v/>
      </c>
      <c r="Z28" s="36" t="s">
        <v>306</v>
      </c>
      <c r="AA28" s="37">
        <v>0.39583333333333331</v>
      </c>
      <c r="AB28" s="37">
        <v>0.5</v>
      </c>
      <c r="AC28" s="21" t="s">
        <v>306</v>
      </c>
      <c r="AD28" s="37">
        <v>0.54166666666666663</v>
      </c>
      <c r="AE28" s="37">
        <v>0.78125</v>
      </c>
      <c r="AF28" s="38" t="str">
        <f t="shared" si="4"/>
        <v/>
      </c>
      <c r="AG28" s="36" t="s">
        <v>306</v>
      </c>
      <c r="AH28" s="37">
        <v>0.39583333333333331</v>
      </c>
      <c r="AI28" s="37">
        <v>0.5</v>
      </c>
      <c r="AJ28" s="21" t="s">
        <v>306</v>
      </c>
      <c r="AK28" s="37">
        <v>0.54166666666666663</v>
      </c>
      <c r="AL28" s="37">
        <v>0.78472222222222221</v>
      </c>
      <c r="AM28" s="38" t="str">
        <f t="shared" si="5"/>
        <v/>
      </c>
      <c r="AN28" s="36" t="s">
        <v>307</v>
      </c>
      <c r="AO28" s="37">
        <v>0.375</v>
      </c>
      <c r="AP28" s="37">
        <v>0.5</v>
      </c>
      <c r="AQ28" s="21" t="s">
        <v>306</v>
      </c>
      <c r="AR28" s="37">
        <v>0.58333333333333337</v>
      </c>
      <c r="AS28" s="37">
        <v>0.79166666666666663</v>
      </c>
      <c r="AT28" s="38" t="str">
        <f t="shared" si="6"/>
        <v/>
      </c>
      <c r="AU28" s="36" t="s">
        <v>307</v>
      </c>
      <c r="AV28" s="37">
        <v>0.375</v>
      </c>
      <c r="AW28" s="37">
        <v>0.54166666666666663</v>
      </c>
      <c r="AX28" s="21" t="s">
        <v>308</v>
      </c>
      <c r="AY28" s="37"/>
      <c r="AZ28" s="37"/>
      <c r="BA28" s="39" t="str">
        <f t="shared" si="7"/>
        <v/>
      </c>
      <c r="BB28" s="46" t="s">
        <v>398</v>
      </c>
      <c r="BC28" s="31" t="s">
        <v>399</v>
      </c>
      <c r="BD28" s="16" t="s">
        <v>311</v>
      </c>
      <c r="BE28" s="16" t="s">
        <v>311</v>
      </c>
      <c r="BF28" s="244" t="str">
        <f>T_BilanSocial2[[#This Row],[Nom]]&amp;T_BilanSocial2[[#This Row],[Prénom]]</f>
        <v/>
      </c>
    </row>
    <row r="29" spans="1:58" ht="21.75" hidden="1" customHeight="1" x14ac:dyDescent="0.25">
      <c r="A29" s="90">
        <v>170</v>
      </c>
      <c r="B29" s="126" t="s">
        <v>311</v>
      </c>
      <c r="C29" s="126" t="str">
        <f>VLOOKUP(T_BilanSocial2[[#This Row],[NumL]],T_Commission[#Data],COLUMN(T_Commission[FINAL]),FALSE)</f>
        <v/>
      </c>
      <c r="D29" s="19" t="str">
        <f t="shared" si="0"/>
        <v/>
      </c>
      <c r="E29" s="19" t="str">
        <f t="shared" si="1"/>
        <v/>
      </c>
      <c r="F29" s="242" t="str">
        <f>IFERROR(VLOOKUP(T_BilanSocial2[[#This Row],[Zone_Bilan]],T_P_BilanSocial[#Data],COLUMN(T_P_BilanSocial[[#This Row],[Numero_SIHAM]]),FALSE),"")</f>
        <v/>
      </c>
      <c r="G29" s="242" t="str">
        <f>IFERROR(VLOOKUP(T_BilanSocial2[[#This Row],[Zone_Bilan]],T_P_BilanSocial[#Data],COLUMN(T_P_BilanSocial[[#This Row],[Sexe]]),FALSE),"")</f>
        <v/>
      </c>
      <c r="H29" s="243" t="str">
        <f>IFERROR(VLOOKUP(T_BilanSocial2[[#This Row],[Zone_Bilan]],T_P_BilanSocial[#Data],COLUMN(T_P_BilanSocial[[#This Row],[Categorie]]),FALSE),"")</f>
        <v/>
      </c>
      <c r="I29" s="242" t="str">
        <f>IFERROR(VLOOKUP(T_BilanSocial2[[#This Row],[Zone_Bilan]],T_P_BilanSocial[#Data],COLUMN(T_P_BilanSocial[[#This Row],[Statut]]),FALSE),"")</f>
        <v/>
      </c>
      <c r="J29" s="242" t="str">
        <f>IFERROR(VLOOKUP(T_BilanSocial2[[#This Row],[Zone_Bilan]],T_P_BilanSocial[#Data],COLUMN(T_P_BilanSocial[[#This Row],[Filiere]]),FALSE),"")</f>
        <v/>
      </c>
      <c r="K29" s="78">
        <v>1</v>
      </c>
      <c r="L29" s="213">
        <v>1.5451388888888891</v>
      </c>
      <c r="M29" s="78" t="s">
        <v>210</v>
      </c>
      <c r="N29" s="79" t="str">
        <f>IF((AND(T_BilanSocial2[[#This Row],[Nom]]&lt;&gt;"",T_BilanSocial2[[#This Row],[Reg Ponct]]="R")),(COUNTIF(S29:AX29,"S")+COUNTIF(S29:AX29,"T"))/2,"")</f>
        <v/>
      </c>
      <c r="O29" s="79" t="str">
        <f>IF((AND(T_BilanSocial2[[#This Row],[Nom]]&lt;&gt;"",T_BilanSocial2[[#This Row],[Reg Ponct]]="R")),COUNTIF(S29:AX29,"S")/2,"")</f>
        <v/>
      </c>
      <c r="P29" s="80" t="str">
        <f>IF((AND(T_BilanSocial2[[#This Row],[Nom]]&lt;&gt;"",T_BilanSocial2[[#This Row],[Reg Ponct]]="R")),COUNTIF(S29:AX29,"t")/2,"")</f>
        <v/>
      </c>
      <c r="Q29" s="81" t="str">
        <f t="shared" si="2"/>
        <v/>
      </c>
      <c r="R29" s="82" t="str">
        <f>IF((AND(T_BilanSocial2[[#This Row],[Nom]]&lt;&gt;"",T_BilanSocial2[[#This Row],[Reg Ponct]]="R")),IF(S29="T",U29-T29,0)+IF(V29="T",X29-W29,0)+IF(Z29="T",AB29-AA29,0)+IF(AC29="T",AE29-AD29,0)+IF(AG29="T",AI29-AH29,0)+IF(AJ29="T",AL29-AK29,0)+IF(AN29="T",AP29-AO29,0)+IF(AQ29="T",AS29-AR29,0)+IF(AU29="T",AW29-AV29,0)+IF(AX29="T",AZ29-AY29,0),"")</f>
        <v/>
      </c>
      <c r="S29" s="36" t="s">
        <v>306</v>
      </c>
      <c r="T29" s="37">
        <v>0.35416666666666669</v>
      </c>
      <c r="U29" s="37">
        <v>0.52083333333333337</v>
      </c>
      <c r="V29" s="21" t="s">
        <v>306</v>
      </c>
      <c r="W29" s="37">
        <v>0.5625</v>
      </c>
      <c r="X29" s="37">
        <v>0.72916666666666663</v>
      </c>
      <c r="Y29" s="38" t="str">
        <f t="shared" si="3"/>
        <v/>
      </c>
      <c r="Z29" s="36" t="s">
        <v>306</v>
      </c>
      <c r="AA29" s="37">
        <v>0.35416666666666669</v>
      </c>
      <c r="AB29" s="37">
        <v>0.52083333333333337</v>
      </c>
      <c r="AC29" s="21" t="s">
        <v>306</v>
      </c>
      <c r="AD29" s="37">
        <v>0.5625</v>
      </c>
      <c r="AE29" s="37">
        <v>0.73611111111111116</v>
      </c>
      <c r="AF29" s="38" t="str">
        <f t="shared" si="4"/>
        <v/>
      </c>
      <c r="AG29" s="36" t="s">
        <v>307</v>
      </c>
      <c r="AH29" s="37">
        <v>0.33333333333333331</v>
      </c>
      <c r="AI29" s="37">
        <v>0.52083333333333337</v>
      </c>
      <c r="AJ29" s="21" t="s">
        <v>308</v>
      </c>
      <c r="AK29" s="37"/>
      <c r="AL29" s="37"/>
      <c r="AM29" s="38" t="str">
        <f t="shared" si="5"/>
        <v/>
      </c>
      <c r="AN29" s="36" t="s">
        <v>306</v>
      </c>
      <c r="AO29" s="37">
        <v>0.35416666666666669</v>
      </c>
      <c r="AP29" s="37">
        <v>0.52083333333333337</v>
      </c>
      <c r="AQ29" s="21" t="s">
        <v>306</v>
      </c>
      <c r="AR29" s="37">
        <v>0.5625</v>
      </c>
      <c r="AS29" s="37">
        <v>0.72916666666666663</v>
      </c>
      <c r="AT29" s="38" t="str">
        <f t="shared" si="6"/>
        <v/>
      </c>
      <c r="AU29" s="36" t="s">
        <v>307</v>
      </c>
      <c r="AV29" s="37">
        <v>0.34027777777777773</v>
      </c>
      <c r="AW29" s="37">
        <v>0.52083333333333337</v>
      </c>
      <c r="AX29" s="21" t="s">
        <v>307</v>
      </c>
      <c r="AY29" s="37">
        <v>0.5625</v>
      </c>
      <c r="AZ29" s="37">
        <v>0.73263888888888884</v>
      </c>
      <c r="BA29" s="39" t="str">
        <f t="shared" si="7"/>
        <v/>
      </c>
      <c r="BB29" s="46" t="s">
        <v>398</v>
      </c>
      <c r="BC29" s="31" t="s">
        <v>895</v>
      </c>
      <c r="BD29" s="16" t="s">
        <v>322</v>
      </c>
      <c r="BE29" s="16" t="s">
        <v>311</v>
      </c>
      <c r="BF29" s="244" t="str">
        <f>T_BilanSocial2[[#This Row],[Nom]]&amp;T_BilanSocial2[[#This Row],[Prénom]]</f>
        <v/>
      </c>
    </row>
    <row r="30" spans="1:58" ht="21.75" hidden="1" customHeight="1" x14ac:dyDescent="0.25">
      <c r="A30" s="90">
        <v>213</v>
      </c>
      <c r="B30" s="126" t="s">
        <v>311</v>
      </c>
      <c r="C30" s="126" t="str">
        <f>VLOOKUP(T_BilanSocial2[[#This Row],[NumL]],T_Commission[#Data],COLUMN(T_Commission[FINAL]),FALSE)</f>
        <v/>
      </c>
      <c r="D30" s="19" t="str">
        <f t="shared" si="0"/>
        <v/>
      </c>
      <c r="E30" s="19" t="str">
        <f t="shared" si="1"/>
        <v/>
      </c>
      <c r="F30" s="242" t="str">
        <f>IFERROR(VLOOKUP(T_BilanSocial2[[#This Row],[Zone_Bilan]],T_P_BilanSocial[#Data],COLUMN(T_P_BilanSocial[[#This Row],[Numero_SIHAM]]),FALSE),"")</f>
        <v/>
      </c>
      <c r="G30" s="242" t="str">
        <f>IFERROR(VLOOKUP(T_BilanSocial2[[#This Row],[Zone_Bilan]],T_P_BilanSocial[#Data],COLUMN(T_P_BilanSocial[[#This Row],[Sexe]]),FALSE),"")</f>
        <v/>
      </c>
      <c r="H30" s="243" t="str">
        <f>IFERROR(VLOOKUP(T_BilanSocial2[[#This Row],[Zone_Bilan]],T_P_BilanSocial[#Data],COLUMN(T_P_BilanSocial[[#This Row],[Categorie]]),FALSE),"")</f>
        <v/>
      </c>
      <c r="I30" s="242" t="str">
        <f>IFERROR(VLOOKUP(T_BilanSocial2[[#This Row],[Zone_Bilan]],T_P_BilanSocial[#Data],COLUMN(T_P_BilanSocial[[#This Row],[Statut]]),FALSE),"")</f>
        <v/>
      </c>
      <c r="J30" s="242" t="str">
        <f>IFERROR(VLOOKUP(T_BilanSocial2[[#This Row],[Zone_Bilan]],T_P_BilanSocial[#Data],COLUMN(T_P_BilanSocial[[#This Row],[Filiere]]),FALSE),"")</f>
        <v/>
      </c>
      <c r="K30" s="78">
        <v>1</v>
      </c>
      <c r="L30" s="213">
        <v>1.5451388888888891</v>
      </c>
      <c r="M30" s="78" t="s">
        <v>210</v>
      </c>
      <c r="N30" s="79" t="str">
        <f>IF((AND(T_BilanSocial2[[#This Row],[Nom]]&lt;&gt;"",T_BilanSocial2[[#This Row],[Reg Ponct]]="R")),(COUNTIF(S30:AX30,"S")+COUNTIF(S30:AX30,"T"))/2,"")</f>
        <v/>
      </c>
      <c r="O30" s="79" t="str">
        <f>IF((AND(T_BilanSocial2[[#This Row],[Nom]]&lt;&gt;"",T_BilanSocial2[[#This Row],[Reg Ponct]]="R")),COUNTIF(S30:AX30,"S")/2,"")</f>
        <v/>
      </c>
      <c r="P30" s="80" t="str">
        <f>IF((AND(T_BilanSocial2[[#This Row],[Nom]]&lt;&gt;"",T_BilanSocial2[[#This Row],[Reg Ponct]]="R")),COUNTIF(S30:AX30,"t")/2,"")</f>
        <v/>
      </c>
      <c r="Q30" s="81" t="str">
        <f t="shared" si="2"/>
        <v/>
      </c>
      <c r="R30" s="82" t="str">
        <f>IF((AND(T_BilanSocial2[[#This Row],[Nom]]&lt;&gt;"",T_BilanSocial2[[#This Row],[Reg Ponct]]="R")),IF(S30="T",U30-T30,0)+IF(V30="T",X30-W30,0)+IF(Z30="T",AB30-AA30,0)+IF(AC30="T",AE30-AD30,0)+IF(AG30="T",AI30-AH30,0)+IF(AJ30="T",AL30-AK30,0)+IF(AN30="T",AP30-AO30,0)+IF(AQ30="T",AS30-AR30,0)+IF(AU30="T",AW30-AV30,0)+IF(AX30="T",AZ30-AY30,0),"")</f>
        <v/>
      </c>
      <c r="S30" s="36" t="s">
        <v>306</v>
      </c>
      <c r="T30" s="37">
        <v>0.37152777777777773</v>
      </c>
      <c r="U30" s="37">
        <v>0.5</v>
      </c>
      <c r="V30" s="21" t="s">
        <v>306</v>
      </c>
      <c r="W30" s="37">
        <v>0.54166666666666663</v>
      </c>
      <c r="X30" s="37">
        <v>0.79166666666666663</v>
      </c>
      <c r="Y30" s="38" t="str">
        <f t="shared" si="3"/>
        <v/>
      </c>
      <c r="Z30" s="36" t="s">
        <v>306</v>
      </c>
      <c r="AA30" s="37">
        <v>0.35416666666666669</v>
      </c>
      <c r="AB30" s="37">
        <v>0.5</v>
      </c>
      <c r="AC30" s="21" t="s">
        <v>306</v>
      </c>
      <c r="AD30" s="37">
        <v>0.54166666666666663</v>
      </c>
      <c r="AE30" s="37">
        <v>0.75</v>
      </c>
      <c r="AF30" s="38" t="str">
        <f t="shared" si="4"/>
        <v/>
      </c>
      <c r="AG30" s="36" t="s">
        <v>307</v>
      </c>
      <c r="AH30" s="37">
        <v>0.35416666666666669</v>
      </c>
      <c r="AI30" s="37">
        <v>0.5</v>
      </c>
      <c r="AJ30" s="21" t="s">
        <v>308</v>
      </c>
      <c r="AK30" s="37"/>
      <c r="AL30" s="37"/>
      <c r="AM30" s="38" t="str">
        <f t="shared" si="5"/>
        <v/>
      </c>
      <c r="AN30" s="36" t="s">
        <v>306</v>
      </c>
      <c r="AO30" s="37">
        <v>0.35416666666666669</v>
      </c>
      <c r="AP30" s="37">
        <v>0.5</v>
      </c>
      <c r="AQ30" s="21" t="s">
        <v>306</v>
      </c>
      <c r="AR30" s="37">
        <v>0.54166666666666663</v>
      </c>
      <c r="AS30" s="37">
        <v>0.75</v>
      </c>
      <c r="AT30" s="38" t="str">
        <f t="shared" si="6"/>
        <v/>
      </c>
      <c r="AU30" s="36" t="s">
        <v>306</v>
      </c>
      <c r="AV30" s="37">
        <v>0.35416666666666669</v>
      </c>
      <c r="AW30" s="37">
        <v>0.5</v>
      </c>
      <c r="AX30" s="21" t="s">
        <v>306</v>
      </c>
      <c r="AY30" s="37">
        <v>0.54166666666666663</v>
      </c>
      <c r="AZ30" s="37">
        <v>0.70833333333333337</v>
      </c>
      <c r="BA30" s="39" t="str">
        <f t="shared" si="7"/>
        <v/>
      </c>
      <c r="BB30" s="46" t="s">
        <v>340</v>
      </c>
      <c r="BC30" s="31" t="s">
        <v>341</v>
      </c>
      <c r="BD30" s="16" t="s">
        <v>311</v>
      </c>
      <c r="BE30" s="16" t="s">
        <v>322</v>
      </c>
      <c r="BF30" s="244" t="str">
        <f>T_BilanSocial2[[#This Row],[Nom]]&amp;T_BilanSocial2[[#This Row],[Prénom]]</f>
        <v/>
      </c>
    </row>
    <row r="31" spans="1:58" ht="21.75" hidden="1" customHeight="1" x14ac:dyDescent="0.25">
      <c r="A31" s="90">
        <v>140</v>
      </c>
      <c r="B31" s="126" t="s">
        <v>311</v>
      </c>
      <c r="C31" s="126" t="str">
        <f>VLOOKUP(T_BilanSocial2[[#This Row],[NumL]],T_Commission[#Data],COLUMN(T_Commission[FINAL]),FALSE)</f>
        <v/>
      </c>
      <c r="D31" s="19" t="str">
        <f t="shared" si="0"/>
        <v/>
      </c>
      <c r="E31" s="19" t="str">
        <f t="shared" si="1"/>
        <v/>
      </c>
      <c r="F31" s="242" t="str">
        <f>IFERROR(VLOOKUP(T_BilanSocial2[[#This Row],[Zone_Bilan]],T_P_BilanSocial[#Data],COLUMN(T_P_BilanSocial[[#This Row],[Numero_SIHAM]]),FALSE),"")</f>
        <v/>
      </c>
      <c r="G31" s="242" t="str">
        <f>IFERROR(VLOOKUP(T_BilanSocial2[[#This Row],[Zone_Bilan]],T_P_BilanSocial[#Data],COLUMN(T_P_BilanSocial[[#This Row],[Sexe]]),FALSE),"")</f>
        <v/>
      </c>
      <c r="H31" s="243" t="str">
        <f>IFERROR(VLOOKUP(T_BilanSocial2[[#This Row],[Zone_Bilan]],T_P_BilanSocial[#Data],COLUMN(T_P_BilanSocial[[#This Row],[Categorie]]),FALSE),"")</f>
        <v/>
      </c>
      <c r="I31" s="242" t="str">
        <f>IFERROR(VLOOKUP(T_BilanSocial2[[#This Row],[Zone_Bilan]],T_P_BilanSocial[#Data],COLUMN(T_P_BilanSocial[[#This Row],[Statut]]),FALSE),"")</f>
        <v/>
      </c>
      <c r="J31" s="242" t="str">
        <f>IFERROR(VLOOKUP(T_BilanSocial2[[#This Row],[Zone_Bilan]],T_P_BilanSocial[#Data],COLUMN(T_P_BilanSocial[[#This Row],[Filiere]]),FALSE),"")</f>
        <v/>
      </c>
      <c r="K31" s="78">
        <v>1</v>
      </c>
      <c r="L31" s="213">
        <v>1.5451388888888891</v>
      </c>
      <c r="M31" s="78" t="s">
        <v>211</v>
      </c>
      <c r="N31" s="79" t="str">
        <f>IF((AND(T_BilanSocial2[[#This Row],[Nom]]&lt;&gt;"",T_BilanSocial2[[#This Row],[Reg Ponct]]="R")),(COUNTIF(S31:AX31,"S")+COUNTIF(S31:AX31,"T"))/2,"")</f>
        <v/>
      </c>
      <c r="O31" s="79" t="str">
        <f>IF((AND(T_BilanSocial2[[#This Row],[Nom]]&lt;&gt;"",T_BilanSocial2[[#This Row],[Reg Ponct]]="R")),COUNTIF(S31:AX31,"S")/2,"")</f>
        <v/>
      </c>
      <c r="P31" s="80" t="str">
        <f>IF((AND(T_BilanSocial2[[#This Row],[Nom]]&lt;&gt;"",T_BilanSocial2[[#This Row],[Reg Ponct]]="R")),COUNTIF(S31:AX31,"t")/2,"")</f>
        <v/>
      </c>
      <c r="Q31" s="81" t="str">
        <f t="shared" si="2"/>
        <v/>
      </c>
      <c r="R31" s="82" t="str">
        <f>IF((AND(T_BilanSocial2[[#This Row],[Nom]]&lt;&gt;"",T_BilanSocial2[[#This Row],[Reg Ponct]]="R")),IF(S31="T",U31-T31,0)+IF(V31="T",X31-W31,0)+IF(Z31="T",AB31-AA31,0)+IF(AC31="T",AE31-AD31,0)+IF(AG31="T",AI31-AH31,0)+IF(AJ31="T",AL31-AK31,0)+IF(AN31="T",AP31-AO31,0)+IF(AQ31="T",AS31-AR31,0)+IF(AU31="T",AW31-AV31,0)+IF(AX31="T",AZ31-AY31,0),"")</f>
        <v/>
      </c>
      <c r="S31" s="36"/>
      <c r="T31" s="37"/>
      <c r="U31" s="37"/>
      <c r="V31" s="21"/>
      <c r="W31" s="37"/>
      <c r="X31" s="37"/>
      <c r="Y31" s="38" t="str">
        <f t="shared" si="3"/>
        <v/>
      </c>
      <c r="Z31" s="36"/>
      <c r="AA31" s="37"/>
      <c r="AB31" s="37"/>
      <c r="AC31" s="21"/>
      <c r="AD31" s="37"/>
      <c r="AE31" s="37"/>
      <c r="AF31" s="38" t="str">
        <f t="shared" si="4"/>
        <v/>
      </c>
      <c r="AG31" s="36"/>
      <c r="AH31" s="37"/>
      <c r="AI31" s="37"/>
      <c r="AJ31" s="21"/>
      <c r="AK31" s="37"/>
      <c r="AL31" s="37"/>
      <c r="AM31" s="38" t="str">
        <f t="shared" si="5"/>
        <v/>
      </c>
      <c r="AN31" s="36"/>
      <c r="AO31" s="37"/>
      <c r="AP31" s="37"/>
      <c r="AQ31" s="21"/>
      <c r="AR31" s="37"/>
      <c r="AS31" s="37"/>
      <c r="AT31" s="38" t="str">
        <f t="shared" si="6"/>
        <v/>
      </c>
      <c r="AU31" s="36"/>
      <c r="AV31" s="37"/>
      <c r="AW31" s="37"/>
      <c r="AX31" s="21"/>
      <c r="AY31" s="37"/>
      <c r="AZ31" s="37"/>
      <c r="BA31" s="39" t="str">
        <f t="shared" si="7"/>
        <v/>
      </c>
      <c r="BB31" s="46" t="s">
        <v>309</v>
      </c>
      <c r="BC31" s="31" t="s">
        <v>824</v>
      </c>
      <c r="BD31" s="16" t="s">
        <v>311</v>
      </c>
      <c r="BE31" s="16" t="s">
        <v>311</v>
      </c>
      <c r="BF31" s="244" t="str">
        <f>T_BilanSocial2[[#This Row],[Nom]]&amp;T_BilanSocial2[[#This Row],[Prénom]]</f>
        <v/>
      </c>
    </row>
    <row r="32" spans="1:58" ht="21.75" hidden="1" customHeight="1" x14ac:dyDescent="0.25">
      <c r="A32" s="90">
        <v>185</v>
      </c>
      <c r="B32" s="126" t="s">
        <v>311</v>
      </c>
      <c r="C32" s="126" t="str">
        <f>VLOOKUP(T_BilanSocial2[[#This Row],[NumL]],T_Commission[#Data],COLUMN(T_Commission[FINAL]),FALSE)</f>
        <v/>
      </c>
      <c r="D32" s="19" t="str">
        <f t="shared" si="0"/>
        <v/>
      </c>
      <c r="E32" s="19" t="str">
        <f t="shared" si="1"/>
        <v/>
      </c>
      <c r="F32" s="242" t="str">
        <f>IFERROR(VLOOKUP(T_BilanSocial2[[#This Row],[Zone_Bilan]],T_P_BilanSocial[#Data],COLUMN(T_P_BilanSocial[[#This Row],[Numero_SIHAM]]),FALSE),"")</f>
        <v/>
      </c>
      <c r="G32" s="242" t="str">
        <f>IFERROR(VLOOKUP(T_BilanSocial2[[#This Row],[Zone_Bilan]],T_P_BilanSocial[#Data],COLUMN(T_P_BilanSocial[[#This Row],[Sexe]]),FALSE),"")</f>
        <v/>
      </c>
      <c r="H32" s="243" t="str">
        <f>IFERROR(VLOOKUP(T_BilanSocial2[[#This Row],[Zone_Bilan]],T_P_BilanSocial[#Data],COLUMN(T_P_BilanSocial[[#This Row],[Categorie]]),FALSE),"")</f>
        <v/>
      </c>
      <c r="I32" s="242" t="str">
        <f>IFERROR(VLOOKUP(T_BilanSocial2[[#This Row],[Zone_Bilan]],T_P_BilanSocial[#Data],COLUMN(T_P_BilanSocial[[#This Row],[Statut]]),FALSE),"")</f>
        <v/>
      </c>
      <c r="J32" s="242" t="str">
        <f>IFERROR(VLOOKUP(T_BilanSocial2[[#This Row],[Zone_Bilan]],T_P_BilanSocial[#Data],COLUMN(T_P_BilanSocial[[#This Row],[Filiere]]),FALSE),"")</f>
        <v/>
      </c>
      <c r="K32" s="78">
        <v>1</v>
      </c>
      <c r="L32" s="213">
        <v>1.5451388888888891</v>
      </c>
      <c r="M32" s="78" t="s">
        <v>210</v>
      </c>
      <c r="N32" s="79" t="str">
        <f>IF((AND(T_BilanSocial2[[#This Row],[Nom]]&lt;&gt;"",T_BilanSocial2[[#This Row],[Reg Ponct]]="R")),(COUNTIF(S32:AX32,"S")+COUNTIF(S32:AX32,"T"))/2,"")</f>
        <v/>
      </c>
      <c r="O32" s="79" t="str">
        <f>IF((AND(T_BilanSocial2[[#This Row],[Nom]]&lt;&gt;"",T_BilanSocial2[[#This Row],[Reg Ponct]]="R")),COUNTIF(S32:AX32,"S")/2,"")</f>
        <v/>
      </c>
      <c r="P32" s="80" t="str">
        <f>IF((AND(T_BilanSocial2[[#This Row],[Nom]]&lt;&gt;"",T_BilanSocial2[[#This Row],[Reg Ponct]]="R")),COUNTIF(S32:AX32,"t")/2,"")</f>
        <v/>
      </c>
      <c r="Q32" s="81" t="str">
        <f t="shared" si="2"/>
        <v/>
      </c>
      <c r="R32" s="82" t="str">
        <f>IF((AND(T_BilanSocial2[[#This Row],[Nom]]&lt;&gt;"",T_BilanSocial2[[#This Row],[Reg Ponct]]="R")),IF(S32="T",U32-T32,0)+IF(V32="T",X32-W32,0)+IF(Z32="T",AB32-AA32,0)+IF(AC32="T",AE32-AD32,0)+IF(AG32="T",AI32-AH32,0)+IF(AJ32="T",AL32-AK32,0)+IF(AN32="T",AP32-AO32,0)+IF(AQ32="T",AS32-AR32,0)+IF(AU32="T",AW32-AV32,0)+IF(AX32="T",AZ32-AY32,0),"")</f>
        <v/>
      </c>
      <c r="S32" s="36" t="s">
        <v>306</v>
      </c>
      <c r="T32" s="37">
        <v>0.375</v>
      </c>
      <c r="U32" s="37">
        <v>0.5</v>
      </c>
      <c r="V32" s="21" t="s">
        <v>306</v>
      </c>
      <c r="W32" s="37">
        <v>0.54166666666666663</v>
      </c>
      <c r="X32" s="37">
        <v>0.70833333333333337</v>
      </c>
      <c r="Y32" s="38" t="str">
        <f t="shared" si="3"/>
        <v/>
      </c>
      <c r="Z32" s="36" t="s">
        <v>307</v>
      </c>
      <c r="AA32" s="37">
        <v>0.375</v>
      </c>
      <c r="AB32" s="37">
        <v>0.5</v>
      </c>
      <c r="AC32" s="21" t="s">
        <v>307</v>
      </c>
      <c r="AD32" s="37">
        <v>0.54166666666666663</v>
      </c>
      <c r="AE32" s="37">
        <v>0.70833333333333337</v>
      </c>
      <c r="AF32" s="38" t="str">
        <f t="shared" si="4"/>
        <v/>
      </c>
      <c r="AG32" s="36" t="s">
        <v>306</v>
      </c>
      <c r="AH32" s="37">
        <v>0.33333333333333331</v>
      </c>
      <c r="AI32" s="37">
        <v>0.5</v>
      </c>
      <c r="AJ32" s="21" t="s">
        <v>306</v>
      </c>
      <c r="AK32" s="37">
        <v>0.54166666666666663</v>
      </c>
      <c r="AL32" s="37">
        <v>0.70833333333333337</v>
      </c>
      <c r="AM32" s="38" t="str">
        <f t="shared" si="5"/>
        <v/>
      </c>
      <c r="AN32" s="36" t="s">
        <v>306</v>
      </c>
      <c r="AO32" s="37">
        <v>0.41319444444444442</v>
      </c>
      <c r="AP32" s="37">
        <v>0.54166666666666663</v>
      </c>
      <c r="AQ32" s="21" t="s">
        <v>306</v>
      </c>
      <c r="AR32" s="37">
        <v>0.58333333333333337</v>
      </c>
      <c r="AS32" s="37">
        <v>0.79166666666666663</v>
      </c>
      <c r="AT32" s="38" t="str">
        <f t="shared" si="6"/>
        <v/>
      </c>
      <c r="AU32" s="36" t="s">
        <v>306</v>
      </c>
      <c r="AV32" s="37">
        <v>0.375</v>
      </c>
      <c r="AW32" s="37">
        <v>0.5</v>
      </c>
      <c r="AX32" s="21" t="s">
        <v>306</v>
      </c>
      <c r="AY32" s="37">
        <v>0.54166666666666663</v>
      </c>
      <c r="AZ32" s="37">
        <v>0.70833333333333337</v>
      </c>
      <c r="BA32" s="39" t="str">
        <f t="shared" si="7"/>
        <v/>
      </c>
      <c r="BB32" s="46" t="s">
        <v>665</v>
      </c>
      <c r="BC32" s="31" t="s">
        <v>720</v>
      </c>
      <c r="BD32" s="16" t="s">
        <v>322</v>
      </c>
      <c r="BE32" s="16" t="s">
        <v>311</v>
      </c>
      <c r="BF32" s="244" t="str">
        <f>T_BilanSocial2[[#This Row],[Nom]]&amp;T_BilanSocial2[[#This Row],[Prénom]]</f>
        <v/>
      </c>
    </row>
    <row r="33" spans="1:58" ht="21.75" customHeight="1" x14ac:dyDescent="0.25">
      <c r="A33" s="90">
        <v>89</v>
      </c>
      <c r="B33" s="126" t="s">
        <v>311</v>
      </c>
      <c r="C33" s="126" t="str">
        <f>VLOOKUP(T_BilanSocial2[[#This Row],[NumL]],T_Commission[#Data],COLUMN(T_Commission[FINAL]),FALSE)</f>
        <v/>
      </c>
      <c r="D33" s="19" t="str">
        <f t="shared" si="0"/>
        <v/>
      </c>
      <c r="E33" s="19" t="str">
        <f t="shared" si="1"/>
        <v/>
      </c>
      <c r="F33" s="242" t="str">
        <f>IFERROR(VLOOKUP(T_BilanSocial2[[#This Row],[Zone_Bilan]],T_P_BilanSocial[#Data],COLUMN(T_P_BilanSocial[[#This Row],[Numero_SIHAM]]),FALSE),"")</f>
        <v/>
      </c>
      <c r="G33" s="242" t="str">
        <f>IFERROR(VLOOKUP(T_BilanSocial2[[#This Row],[Zone_Bilan]],T_P_BilanSocial[#Data],COLUMN(T_P_BilanSocial[[#This Row],[Sexe]]),FALSE),"")</f>
        <v/>
      </c>
      <c r="H33" s="243" t="str">
        <f>IFERROR(VLOOKUP(T_BilanSocial2[[#This Row],[Zone_Bilan]],T_P_BilanSocial[#Data],COLUMN(T_P_BilanSocial[[#This Row],[Categorie]]),FALSE),"")</f>
        <v/>
      </c>
      <c r="I33" s="242" t="str">
        <f>IFERROR(VLOOKUP(T_BilanSocial2[[#This Row],[Zone_Bilan]],T_P_BilanSocial[#Data],COLUMN(T_P_BilanSocial[[#This Row],[Statut]]),FALSE),"")</f>
        <v/>
      </c>
      <c r="J33" s="242" t="str">
        <f>IFERROR(VLOOKUP(T_BilanSocial2[[#This Row],[Zone_Bilan]],T_P_BilanSocial[#Data],COLUMN(T_P_BilanSocial[[#This Row],[Filiere]]),FALSE),"")</f>
        <v/>
      </c>
      <c r="K33" s="78">
        <v>1</v>
      </c>
      <c r="L33" s="213">
        <v>1.5451388888888891</v>
      </c>
      <c r="M33" s="78" t="s">
        <v>211</v>
      </c>
      <c r="N33" s="79" t="str">
        <f>IF((AND(T_BilanSocial2[[#This Row],[Nom]]&lt;&gt;"",T_BilanSocial2[[#This Row],[Reg Ponct]]="R")),(COUNTIF(S33:AX33,"S")+COUNTIF(S33:AX33,"T"))/2,"")</f>
        <v/>
      </c>
      <c r="O33" s="79" t="str">
        <f>IF((AND(T_BilanSocial2[[#This Row],[Nom]]&lt;&gt;"",T_BilanSocial2[[#This Row],[Reg Ponct]]="R")),COUNTIF(S33:AX33,"S")/2,"")</f>
        <v/>
      </c>
      <c r="P33" s="80" t="str">
        <f>IF((AND(T_BilanSocial2[[#This Row],[Nom]]&lt;&gt;"",T_BilanSocial2[[#This Row],[Reg Ponct]]="R")),COUNTIF(S33:AX33,"t")/2,"")</f>
        <v/>
      </c>
      <c r="Q33" s="81" t="str">
        <f t="shared" si="2"/>
        <v/>
      </c>
      <c r="R33" s="82" t="str">
        <f>IF((AND(T_BilanSocial2[[#This Row],[Nom]]&lt;&gt;"",T_BilanSocial2[[#This Row],[Reg Ponct]]="R")),IF(S33="T",U33-T33,0)+IF(V33="T",X33-W33,0)+IF(Z33="T",AB33-AA33,0)+IF(AC33="T",AE33-AD33,0)+IF(AG33="T",AI33-AH33,0)+IF(AJ33="T",AL33-AK33,0)+IF(AN33="T",AP33-AO33,0)+IF(AQ33="T",AS33-AR33,0)+IF(AU33="T",AW33-AV33,0)+IF(AX33="T",AZ33-AY33,0),"")</f>
        <v/>
      </c>
      <c r="S33" s="36"/>
      <c r="T33" s="37"/>
      <c r="U33" s="37"/>
      <c r="V33" s="21"/>
      <c r="W33" s="37"/>
      <c r="X33" s="37"/>
      <c r="Y33" s="38" t="str">
        <f t="shared" si="3"/>
        <v/>
      </c>
      <c r="Z33" s="36"/>
      <c r="AA33" s="37"/>
      <c r="AB33" s="37"/>
      <c r="AC33" s="21"/>
      <c r="AD33" s="37"/>
      <c r="AE33" s="37"/>
      <c r="AF33" s="38" t="str">
        <f t="shared" si="4"/>
        <v/>
      </c>
      <c r="AG33" s="36"/>
      <c r="AH33" s="37"/>
      <c r="AI33" s="37"/>
      <c r="AJ33" s="21"/>
      <c r="AK33" s="37"/>
      <c r="AL33" s="37"/>
      <c r="AM33" s="38" t="str">
        <f t="shared" si="5"/>
        <v/>
      </c>
      <c r="AN33" s="36"/>
      <c r="AO33" s="37"/>
      <c r="AP33" s="37"/>
      <c r="AQ33" s="21"/>
      <c r="AR33" s="37"/>
      <c r="AS33" s="37"/>
      <c r="AT33" s="38" t="str">
        <f t="shared" si="6"/>
        <v/>
      </c>
      <c r="AU33" s="36"/>
      <c r="AV33" s="37"/>
      <c r="AW33" s="37"/>
      <c r="AX33" s="21"/>
      <c r="AY33" s="37"/>
      <c r="AZ33" s="37"/>
      <c r="BA33" s="39" t="str">
        <f t="shared" si="7"/>
        <v/>
      </c>
      <c r="BB33" s="46" t="s">
        <v>320</v>
      </c>
      <c r="BC33" s="31" t="s">
        <v>321</v>
      </c>
      <c r="BD33" s="16" t="s">
        <v>311</v>
      </c>
      <c r="BE33" s="16" t="s">
        <v>311</v>
      </c>
      <c r="BF33" s="244" t="str">
        <f>T_BilanSocial2[[#This Row],[Nom]]&amp;T_BilanSocial2[[#This Row],[Prénom]]</f>
        <v/>
      </c>
    </row>
    <row r="34" spans="1:58" ht="21.75" hidden="1" customHeight="1" x14ac:dyDescent="0.25">
      <c r="A34" s="90">
        <v>235</v>
      </c>
      <c r="B34" s="126" t="s">
        <v>311</v>
      </c>
      <c r="C34" s="126" t="str">
        <f>VLOOKUP(T_BilanSocial2[[#This Row],[NumL]],T_Commission[#Data],COLUMN(T_Commission[FINAL]),FALSE)</f>
        <v/>
      </c>
      <c r="D34" s="19" t="str">
        <f t="shared" si="0"/>
        <v/>
      </c>
      <c r="E34" s="19" t="str">
        <f t="shared" si="1"/>
        <v/>
      </c>
      <c r="F34" s="242" t="str">
        <f>IFERROR(VLOOKUP(T_BilanSocial2[[#This Row],[Zone_Bilan]],T_P_BilanSocial[#Data],COLUMN(T_P_BilanSocial[[#This Row],[Numero_SIHAM]]),FALSE),"")</f>
        <v/>
      </c>
      <c r="G34" s="242" t="str">
        <f>IFERROR(VLOOKUP(T_BilanSocial2[[#This Row],[Zone_Bilan]],T_P_BilanSocial[#Data],COLUMN(T_P_BilanSocial[[#This Row],[Sexe]]),FALSE),"")</f>
        <v/>
      </c>
      <c r="H34" s="243" t="str">
        <f>IFERROR(VLOOKUP(T_BilanSocial2[[#This Row],[Zone_Bilan]],T_P_BilanSocial[#Data],COLUMN(T_P_BilanSocial[[#This Row],[Categorie]]),FALSE),"")</f>
        <v/>
      </c>
      <c r="I34" s="242" t="str">
        <f>IFERROR(VLOOKUP(T_BilanSocial2[[#This Row],[Zone_Bilan]],T_P_BilanSocial[#Data],COLUMN(T_P_BilanSocial[[#This Row],[Statut]]),FALSE),"")</f>
        <v/>
      </c>
      <c r="J34" s="242" t="str">
        <f>IFERROR(VLOOKUP(T_BilanSocial2[[#This Row],[Zone_Bilan]],T_P_BilanSocial[#Data],COLUMN(T_P_BilanSocial[[#This Row],[Filiere]]),FALSE),"")</f>
        <v/>
      </c>
      <c r="K34" s="78">
        <v>1</v>
      </c>
      <c r="L34" s="213">
        <v>1.5451388888888891</v>
      </c>
      <c r="M34" s="78" t="s">
        <v>211</v>
      </c>
      <c r="N34" s="79" t="str">
        <f>IF((AND(T_BilanSocial2[[#This Row],[Nom]]&lt;&gt;"",T_BilanSocial2[[#This Row],[Reg Ponct]]="R")),(COUNTIF(S34:AX34,"S")+COUNTIF(S34:AX34,"T"))/2,"")</f>
        <v/>
      </c>
      <c r="O34" s="79" t="str">
        <f>IF((AND(T_BilanSocial2[[#This Row],[Nom]]&lt;&gt;"",T_BilanSocial2[[#This Row],[Reg Ponct]]="R")),COUNTIF(S34:AX34,"S")/2,"")</f>
        <v/>
      </c>
      <c r="P34" s="80" t="str">
        <f>IF((AND(T_BilanSocial2[[#This Row],[Nom]]&lt;&gt;"",T_BilanSocial2[[#This Row],[Reg Ponct]]="R")),COUNTIF(S34:AX34,"t")/2,"")</f>
        <v/>
      </c>
      <c r="Q34" s="81" t="str">
        <f t="shared" si="2"/>
        <v/>
      </c>
      <c r="R34" s="82" t="str">
        <f>IF((AND(T_BilanSocial2[[#This Row],[Nom]]&lt;&gt;"",T_BilanSocial2[[#This Row],[Reg Ponct]]="R")),IF(S34="T",U34-T34,0)+IF(V34="T",X34-W34,0)+IF(Z34="T",AB34-AA34,0)+IF(AC34="T",AE34-AD34,0)+IF(AG34="T",AI34-AH34,0)+IF(AJ34="T",AL34-AK34,0)+IF(AN34="T",AP34-AO34,0)+IF(AQ34="T",AS34-AR34,0)+IF(AU34="T",AW34-AV34,0)+IF(AX34="T",AZ34-AY34,0),"")</f>
        <v/>
      </c>
      <c r="S34" s="36"/>
      <c r="T34" s="37"/>
      <c r="U34" s="37"/>
      <c r="V34" s="21"/>
      <c r="W34" s="37"/>
      <c r="X34" s="37"/>
      <c r="Y34" s="38" t="str">
        <f t="shared" si="3"/>
        <v/>
      </c>
      <c r="Z34" s="36"/>
      <c r="AA34" s="37"/>
      <c r="AB34" s="37"/>
      <c r="AC34" s="21"/>
      <c r="AD34" s="37"/>
      <c r="AE34" s="37"/>
      <c r="AF34" s="38" t="str">
        <f t="shared" si="4"/>
        <v/>
      </c>
      <c r="AG34" s="36"/>
      <c r="AH34" s="37"/>
      <c r="AI34" s="37"/>
      <c r="AJ34" s="21"/>
      <c r="AK34" s="37"/>
      <c r="AL34" s="37"/>
      <c r="AM34" s="38" t="str">
        <f t="shared" si="5"/>
        <v/>
      </c>
      <c r="AN34" s="36"/>
      <c r="AO34" s="37"/>
      <c r="AP34" s="37"/>
      <c r="AQ34" s="21"/>
      <c r="AR34" s="37"/>
      <c r="AS34" s="37"/>
      <c r="AT34" s="38" t="str">
        <f t="shared" si="6"/>
        <v/>
      </c>
      <c r="AU34" s="36"/>
      <c r="AV34" s="37"/>
      <c r="AW34" s="37"/>
      <c r="AX34" s="21"/>
      <c r="AY34" s="37"/>
      <c r="AZ34" s="37"/>
      <c r="BA34" s="39" t="str">
        <f t="shared" si="7"/>
        <v/>
      </c>
      <c r="BB34" s="46" t="s">
        <v>411</v>
      </c>
      <c r="BC34" s="31" t="s">
        <v>341</v>
      </c>
      <c r="BD34" s="16" t="s">
        <v>322</v>
      </c>
      <c r="BE34" s="16" t="s">
        <v>311</v>
      </c>
      <c r="BF34" s="244" t="str">
        <f>T_BilanSocial2[[#This Row],[Nom]]&amp;T_BilanSocial2[[#This Row],[Prénom]]</f>
        <v/>
      </c>
    </row>
    <row r="35" spans="1:58" ht="21.75" hidden="1" customHeight="1" x14ac:dyDescent="0.25">
      <c r="A35" s="90">
        <v>70</v>
      </c>
      <c r="B35" s="126" t="s">
        <v>311</v>
      </c>
      <c r="C35" s="126" t="str">
        <f>VLOOKUP(T_BilanSocial2[[#This Row],[NumL]],T_Commission[#Data],COLUMN(T_Commission[FINAL]),FALSE)</f>
        <v/>
      </c>
      <c r="D35" s="19" t="str">
        <f t="shared" si="0"/>
        <v/>
      </c>
      <c r="E35" s="19" t="str">
        <f t="shared" si="1"/>
        <v/>
      </c>
      <c r="F35" s="242" t="str">
        <f>IFERROR(VLOOKUP(T_BilanSocial2[[#This Row],[Zone_Bilan]],T_P_BilanSocial[#Data],COLUMN(T_P_BilanSocial[[#This Row],[Numero_SIHAM]]),FALSE),"")</f>
        <v/>
      </c>
      <c r="G35" s="242" t="str">
        <f>IFERROR(VLOOKUP(T_BilanSocial2[[#This Row],[Zone_Bilan]],T_P_BilanSocial[#Data],COLUMN(T_P_BilanSocial[[#This Row],[Sexe]]),FALSE),"")</f>
        <v/>
      </c>
      <c r="H35" s="243" t="str">
        <f>IFERROR(VLOOKUP(T_BilanSocial2[[#This Row],[Zone_Bilan]],T_P_BilanSocial[#Data],COLUMN(T_P_BilanSocial[[#This Row],[Categorie]]),FALSE),"")</f>
        <v/>
      </c>
      <c r="I35" s="242" t="str">
        <f>IFERROR(VLOOKUP(T_BilanSocial2[[#This Row],[Zone_Bilan]],T_P_BilanSocial[#Data],COLUMN(T_P_BilanSocial[[#This Row],[Statut]]),FALSE),"")</f>
        <v/>
      </c>
      <c r="J35" s="242" t="str">
        <f>IFERROR(VLOOKUP(T_BilanSocial2[[#This Row],[Zone_Bilan]],T_P_BilanSocial[#Data],COLUMN(T_P_BilanSocial[[#This Row],[Filiere]]),FALSE),"")</f>
        <v/>
      </c>
      <c r="K35" s="78">
        <v>1</v>
      </c>
      <c r="L35" s="213">
        <v>1.5451388888888891</v>
      </c>
      <c r="M35" s="78" t="s">
        <v>210</v>
      </c>
      <c r="N35" s="79" t="str">
        <f>IF((AND(T_BilanSocial2[[#This Row],[Nom]]&lt;&gt;"",T_BilanSocial2[[#This Row],[Reg Ponct]]="R")),(COUNTIF(S35:AX35,"S")+COUNTIF(S35:AX35,"T"))/2,"")</f>
        <v/>
      </c>
      <c r="O35" s="79" t="str">
        <f>IF((AND(T_BilanSocial2[[#This Row],[Nom]]&lt;&gt;"",T_BilanSocial2[[#This Row],[Reg Ponct]]="R")),COUNTIF(S35:AX35,"S")/2,"")</f>
        <v/>
      </c>
      <c r="P35" s="80" t="str">
        <f>IF((AND(T_BilanSocial2[[#This Row],[Nom]]&lt;&gt;"",T_BilanSocial2[[#This Row],[Reg Ponct]]="R")),COUNTIF(S35:AX35,"t")/2,"")</f>
        <v/>
      </c>
      <c r="Q35" s="81" t="str">
        <f t="shared" si="2"/>
        <v/>
      </c>
      <c r="R35" s="82" t="str">
        <f>IF((AND(T_BilanSocial2[[#This Row],[Nom]]&lt;&gt;"",T_BilanSocial2[[#This Row],[Reg Ponct]]="R")),IF(S35="T",U35-T35,0)+IF(V35="T",X35-W35,0)+IF(Z35="T",AB35-AA35,0)+IF(AC35="T",AE35-AD35,0)+IF(AG35="T",AI35-AH35,0)+IF(AJ35="T",AL35-AK35,0)+IF(AN35="T",AP35-AO35,0)+IF(AQ35="T",AS35-AR35,0)+IF(AU35="T",AW35-AV35,0)+IF(AX35="T",AZ35-AY35,0),"")</f>
        <v/>
      </c>
      <c r="S35" s="36" t="s">
        <v>307</v>
      </c>
      <c r="T35" s="37">
        <v>0.33333333333333331</v>
      </c>
      <c r="U35" s="37">
        <v>0.52083333333333337</v>
      </c>
      <c r="V35" s="21" t="s">
        <v>307</v>
      </c>
      <c r="W35" s="37">
        <v>0.5625</v>
      </c>
      <c r="X35" s="37">
        <v>0.72222222222222221</v>
      </c>
      <c r="Y35" s="38" t="str">
        <f t="shared" si="3"/>
        <v/>
      </c>
      <c r="Z35" s="36" t="s">
        <v>306</v>
      </c>
      <c r="AA35" s="37">
        <v>0.33333333333333331</v>
      </c>
      <c r="AB35" s="37">
        <v>0.52083333333333337</v>
      </c>
      <c r="AC35" s="21" t="s">
        <v>306</v>
      </c>
      <c r="AD35" s="37">
        <v>0.5625</v>
      </c>
      <c r="AE35" s="37">
        <v>0.71875</v>
      </c>
      <c r="AF35" s="38" t="str">
        <f t="shared" si="4"/>
        <v/>
      </c>
      <c r="AG35" s="36" t="s">
        <v>306</v>
      </c>
      <c r="AH35" s="37">
        <v>0.33333333333333331</v>
      </c>
      <c r="AI35" s="37">
        <v>0.52083333333333337</v>
      </c>
      <c r="AJ35" s="21" t="s">
        <v>308</v>
      </c>
      <c r="AK35" s="37"/>
      <c r="AL35" s="37"/>
      <c r="AM35" s="38" t="str">
        <f t="shared" si="5"/>
        <v/>
      </c>
      <c r="AN35" s="36" t="s">
        <v>306</v>
      </c>
      <c r="AO35" s="37">
        <v>0.33333333333333331</v>
      </c>
      <c r="AP35" s="37">
        <v>0.52083333333333337</v>
      </c>
      <c r="AQ35" s="21" t="s">
        <v>306</v>
      </c>
      <c r="AR35" s="37">
        <v>0.5625</v>
      </c>
      <c r="AS35" s="37">
        <v>0.70833333333333337</v>
      </c>
      <c r="AT35" s="38" t="str">
        <f t="shared" si="6"/>
        <v/>
      </c>
      <c r="AU35" s="36" t="s">
        <v>306</v>
      </c>
      <c r="AV35" s="37">
        <v>0.33333333333333331</v>
      </c>
      <c r="AW35" s="37">
        <v>0.52083333333333337</v>
      </c>
      <c r="AX35" s="21" t="s">
        <v>306</v>
      </c>
      <c r="AY35" s="37">
        <v>0.5625</v>
      </c>
      <c r="AZ35" s="37">
        <v>0.70833333333333337</v>
      </c>
      <c r="BA35" s="39" t="str">
        <f t="shared" si="7"/>
        <v/>
      </c>
      <c r="BB35" s="46" t="s">
        <v>411</v>
      </c>
      <c r="BC35" s="31" t="s">
        <v>341</v>
      </c>
      <c r="BD35" s="16" t="s">
        <v>311</v>
      </c>
      <c r="BE35" s="16" t="s">
        <v>311</v>
      </c>
      <c r="BF35" s="244" t="str">
        <f>T_BilanSocial2[[#This Row],[Nom]]&amp;T_BilanSocial2[[#This Row],[Prénom]]</f>
        <v/>
      </c>
    </row>
    <row r="36" spans="1:58" ht="21.75" customHeight="1" x14ac:dyDescent="0.25">
      <c r="A36" s="90">
        <v>94</v>
      </c>
      <c r="B36" s="126" t="s">
        <v>210</v>
      </c>
      <c r="C36" s="126" t="str">
        <f>VLOOKUP(T_BilanSocial2[[#This Row],[NumL]],T_Commission[#Data],COLUMN(T_Commission[FINAL]),FALSE)</f>
        <v/>
      </c>
      <c r="D36" s="19" t="str">
        <f t="shared" si="0"/>
        <v/>
      </c>
      <c r="E36" s="19" t="str">
        <f t="shared" si="1"/>
        <v/>
      </c>
      <c r="F36" s="242" t="str">
        <f>IFERROR(VLOOKUP(T_BilanSocial2[[#This Row],[Zone_Bilan]],T_P_BilanSocial[#Data],COLUMN(T_P_BilanSocial[[#This Row],[Numero_SIHAM]]),FALSE),"")</f>
        <v/>
      </c>
      <c r="G36" s="242" t="str">
        <f>IFERROR(VLOOKUP(T_BilanSocial2[[#This Row],[Zone_Bilan]],T_P_BilanSocial[#Data],COLUMN(T_P_BilanSocial[[#This Row],[Sexe]]),FALSE),"")</f>
        <v/>
      </c>
      <c r="H36" s="243" t="str">
        <f>IFERROR(VLOOKUP(T_BilanSocial2[[#This Row],[Zone_Bilan]],T_P_BilanSocial[#Data],COLUMN(T_P_BilanSocial[[#This Row],[Categorie]]),FALSE),"")</f>
        <v/>
      </c>
      <c r="I36" s="242" t="str">
        <f>IFERROR(VLOOKUP(T_BilanSocial2[[#This Row],[Zone_Bilan]],T_P_BilanSocial[#Data],COLUMN(T_P_BilanSocial[[#This Row],[Statut]]),FALSE),"")</f>
        <v/>
      </c>
      <c r="J36" s="242" t="str">
        <f>IFERROR(VLOOKUP(T_BilanSocial2[[#This Row],[Zone_Bilan]],T_P_BilanSocial[#Data],COLUMN(T_P_BilanSocial[[#This Row],[Filiere]]),FALSE),"")</f>
        <v/>
      </c>
      <c r="K36" s="78">
        <v>1</v>
      </c>
      <c r="L36" s="213">
        <v>1.5451388888888891</v>
      </c>
      <c r="M36" s="78" t="s">
        <v>210</v>
      </c>
      <c r="N36" s="79" t="str">
        <f>IF((AND(T_BilanSocial2[[#This Row],[Nom]]&lt;&gt;"",T_BilanSocial2[[#This Row],[Reg Ponct]]="R")),(COUNTIF(S36:AX36,"S")+COUNTIF(S36:AX36,"T"))/2,"")</f>
        <v/>
      </c>
      <c r="O36" s="79" t="str">
        <f>IF((AND(T_BilanSocial2[[#This Row],[Nom]]&lt;&gt;"",T_BilanSocial2[[#This Row],[Reg Ponct]]="R")),COUNTIF(S36:AX36,"S")/2,"")</f>
        <v/>
      </c>
      <c r="P36" s="80" t="str">
        <f>IF((AND(T_BilanSocial2[[#This Row],[Nom]]&lt;&gt;"",T_BilanSocial2[[#This Row],[Reg Ponct]]="R")),COUNTIF(S36:AX36,"t")/2,"")</f>
        <v/>
      </c>
      <c r="Q36" s="81" t="str">
        <f t="shared" si="2"/>
        <v/>
      </c>
      <c r="R36" s="82" t="str">
        <f>IF((AND(T_BilanSocial2[[#This Row],[Nom]]&lt;&gt;"",T_BilanSocial2[[#This Row],[Reg Ponct]]="R")),IF(S36="T",U36-T36,0)+IF(V36="T",X36-W36,0)+IF(Z36="T",AB36-AA36,0)+IF(AC36="T",AE36-AD36,0)+IF(AG36="T",AI36-AH36,0)+IF(AJ36="T",AL36-AK36,0)+IF(AN36="T",AP36-AO36,0)+IF(AQ36="T",AS36-AR36,0)+IF(AU36="T",AW36-AV36,0)+IF(AX36="T",AZ36-AY36,0),"")</f>
        <v/>
      </c>
      <c r="S36" s="36" t="s">
        <v>307</v>
      </c>
      <c r="T36" s="37">
        <v>0.375</v>
      </c>
      <c r="U36" s="37">
        <v>0.5</v>
      </c>
      <c r="V36" s="21" t="s">
        <v>307</v>
      </c>
      <c r="W36" s="37">
        <v>0.54166666666666663</v>
      </c>
      <c r="X36" s="37">
        <v>0.69791666666666663</v>
      </c>
      <c r="Y36" s="38" t="str">
        <f t="shared" si="3"/>
        <v/>
      </c>
      <c r="Z36" s="36" t="s">
        <v>306</v>
      </c>
      <c r="AA36" s="37">
        <v>0.375</v>
      </c>
      <c r="AB36" s="37">
        <v>0.5</v>
      </c>
      <c r="AC36" s="21" t="s">
        <v>306</v>
      </c>
      <c r="AD36" s="37">
        <v>0.54166666666666663</v>
      </c>
      <c r="AE36" s="37">
        <v>0.74652777777777779</v>
      </c>
      <c r="AF36" s="38" t="str">
        <f t="shared" si="4"/>
        <v/>
      </c>
      <c r="AG36" s="36" t="s">
        <v>307</v>
      </c>
      <c r="AH36" s="37">
        <v>0.33333333333333331</v>
      </c>
      <c r="AI36" s="37">
        <v>0.5</v>
      </c>
      <c r="AJ36" s="21" t="s">
        <v>307</v>
      </c>
      <c r="AK36" s="37">
        <v>0.54166666666666663</v>
      </c>
      <c r="AL36" s="37">
        <v>0.70486111111111116</v>
      </c>
      <c r="AM36" s="38" t="str">
        <f t="shared" si="5"/>
        <v/>
      </c>
      <c r="AN36" s="36" t="s">
        <v>306</v>
      </c>
      <c r="AO36" s="37">
        <v>0.375</v>
      </c>
      <c r="AP36" s="37">
        <v>0.5</v>
      </c>
      <c r="AQ36" s="21" t="s">
        <v>306</v>
      </c>
      <c r="AR36" s="37">
        <v>0.54166666666666663</v>
      </c>
      <c r="AS36" s="37">
        <v>0.69791666666666663</v>
      </c>
      <c r="AT36" s="38" t="str">
        <f t="shared" si="6"/>
        <v/>
      </c>
      <c r="AU36" s="36" t="s">
        <v>306</v>
      </c>
      <c r="AV36" s="37">
        <v>0.38541666666666669</v>
      </c>
      <c r="AW36" s="37">
        <v>0.54166666666666663</v>
      </c>
      <c r="AX36" s="21" t="s">
        <v>306</v>
      </c>
      <c r="AY36" s="37">
        <v>0.58333333333333337</v>
      </c>
      <c r="AZ36" s="37">
        <v>0.75</v>
      </c>
      <c r="BA36" s="39" t="str">
        <f t="shared" si="7"/>
        <v/>
      </c>
      <c r="BB36" s="46" t="s">
        <v>449</v>
      </c>
      <c r="BC36" s="31" t="s">
        <v>695</v>
      </c>
      <c r="BD36" s="16" t="s">
        <v>311</v>
      </c>
      <c r="BE36" s="16" t="s">
        <v>322</v>
      </c>
      <c r="BF36" s="244" t="str">
        <f>T_BilanSocial2[[#This Row],[Nom]]&amp;T_BilanSocial2[[#This Row],[Prénom]]</f>
        <v/>
      </c>
    </row>
    <row r="37" spans="1:58" ht="21.75" hidden="1" customHeight="1" x14ac:dyDescent="0.25">
      <c r="A37" s="90">
        <v>59</v>
      </c>
      <c r="B37" s="126" t="s">
        <v>311</v>
      </c>
      <c r="C37" s="126" t="e">
        <f>VLOOKUP(T_BilanSocial2[[#This Row],[NumL]],T_Commission[#Data],COLUMN(T_Commission[FINAL]),FALSE)</f>
        <v>#N/A</v>
      </c>
      <c r="D37" s="19" t="str">
        <f t="shared" si="0"/>
        <v/>
      </c>
      <c r="E37" s="19" t="str">
        <f t="shared" si="1"/>
        <v/>
      </c>
      <c r="F37" s="242" t="str">
        <f>IFERROR(VLOOKUP(T_BilanSocial2[[#This Row],[Zone_Bilan]],T_P_BilanSocial[#Data],COLUMN(T_P_BilanSocial[[#This Row],[Numero_SIHAM]]),FALSE),"")</f>
        <v/>
      </c>
      <c r="G37" s="242" t="str">
        <f>IFERROR(VLOOKUP(T_BilanSocial2[[#This Row],[Zone_Bilan]],T_P_BilanSocial[#Data],COLUMN(T_P_BilanSocial[[#This Row],[Sexe]]),FALSE),"")</f>
        <v/>
      </c>
      <c r="H37" s="243" t="str">
        <f>IFERROR(VLOOKUP(T_BilanSocial2[[#This Row],[Zone_Bilan]],T_P_BilanSocial[#Data],COLUMN(T_P_BilanSocial[[#This Row],[Categorie]]),FALSE),"")</f>
        <v/>
      </c>
      <c r="I37" s="242" t="str">
        <f>IFERROR(VLOOKUP(T_BilanSocial2[[#This Row],[Zone_Bilan]],T_P_BilanSocial[#Data],COLUMN(T_P_BilanSocial[[#This Row],[Statut]]),FALSE),"")</f>
        <v/>
      </c>
      <c r="J37" s="242" t="str">
        <f>IFERROR(VLOOKUP(T_BilanSocial2[[#This Row],[Zone_Bilan]],T_P_BilanSocial[#Data],COLUMN(T_P_BilanSocial[[#This Row],[Filiere]]),FALSE),"")</f>
        <v/>
      </c>
      <c r="K37" s="78">
        <v>1</v>
      </c>
      <c r="L37" s="213">
        <v>1.5451388888888891</v>
      </c>
      <c r="M37" s="78" t="s">
        <v>210</v>
      </c>
      <c r="N37" s="79" t="str">
        <f>IF((AND(T_BilanSocial2[[#This Row],[Nom]]&lt;&gt;"",T_BilanSocial2[[#This Row],[Reg Ponct]]="R")),(COUNTIF(S37:AX37,"S")+COUNTIF(S37:AX37,"T"))/2,"")</f>
        <v/>
      </c>
      <c r="O37" s="79" t="str">
        <f>IF((AND(T_BilanSocial2[[#This Row],[Nom]]&lt;&gt;"",T_BilanSocial2[[#This Row],[Reg Ponct]]="R")),COUNTIF(S37:AX37,"S")/2,"")</f>
        <v/>
      </c>
      <c r="P37" s="80" t="str">
        <f>IF((AND(T_BilanSocial2[[#This Row],[Nom]]&lt;&gt;"",T_BilanSocial2[[#This Row],[Reg Ponct]]="R")),COUNTIF(S37:AX37,"t")/2,"")</f>
        <v/>
      </c>
      <c r="Q37" s="81" t="str">
        <f t="shared" si="2"/>
        <v/>
      </c>
      <c r="R37" s="82" t="str">
        <f>IF((AND(T_BilanSocial2[[#This Row],[Nom]]&lt;&gt;"",T_BilanSocial2[[#This Row],[Reg Ponct]]="R")),IF(S37="T",U37-T37,0)+IF(V37="T",X37-W37,0)+IF(Z37="T",AB37-AA37,0)+IF(AC37="T",AE37-AD37,0)+IF(AG37="T",AI37-AH37,0)+IF(AJ37="T",AL37-AK37,0)+IF(AN37="T",AP37-AO37,0)+IF(AQ37="T",AS37-AR37,0)+IF(AU37="T",AW37-AV37,0)+IF(AX37="T",AZ37-AY37,0),"")</f>
        <v/>
      </c>
      <c r="S37" s="36" t="s">
        <v>306</v>
      </c>
      <c r="T37" s="37">
        <v>0.32291666666666669</v>
      </c>
      <c r="U37" s="37">
        <v>0.52083333333333337</v>
      </c>
      <c r="V37" s="21" t="s">
        <v>306</v>
      </c>
      <c r="W37" s="37">
        <v>0.5625</v>
      </c>
      <c r="X37" s="37">
        <v>0.6875</v>
      </c>
      <c r="Y37" s="38" t="str">
        <f t="shared" si="3"/>
        <v/>
      </c>
      <c r="Z37" s="36" t="s">
        <v>306</v>
      </c>
      <c r="AA37" s="37">
        <v>0.32291666666666669</v>
      </c>
      <c r="AB37" s="37">
        <v>0.52083333333333337</v>
      </c>
      <c r="AC37" s="21" t="s">
        <v>306</v>
      </c>
      <c r="AD37" s="37">
        <v>0.5625</v>
      </c>
      <c r="AE37" s="37">
        <v>0.68055555555555547</v>
      </c>
      <c r="AF37" s="38" t="str">
        <f t="shared" si="4"/>
        <v/>
      </c>
      <c r="AG37" s="36" t="s">
        <v>307</v>
      </c>
      <c r="AH37" s="37">
        <v>0.32291666666666669</v>
      </c>
      <c r="AI37" s="37">
        <v>0.52083333333333337</v>
      </c>
      <c r="AJ37" s="21" t="s">
        <v>307</v>
      </c>
      <c r="AK37" s="37">
        <v>0.5625</v>
      </c>
      <c r="AL37" s="37">
        <v>0.66666666666666663</v>
      </c>
      <c r="AM37" s="38" t="str">
        <f t="shared" si="5"/>
        <v/>
      </c>
      <c r="AN37" s="36" t="s">
        <v>306</v>
      </c>
      <c r="AO37" s="37">
        <v>0.32291666666666669</v>
      </c>
      <c r="AP37" s="37">
        <v>0.52083333333333337</v>
      </c>
      <c r="AQ37" s="21" t="s">
        <v>306</v>
      </c>
      <c r="AR37" s="37">
        <v>0.5625</v>
      </c>
      <c r="AS37" s="37">
        <v>0.66666666666666663</v>
      </c>
      <c r="AT37" s="38" t="str">
        <f t="shared" si="6"/>
        <v/>
      </c>
      <c r="AU37" s="36" t="s">
        <v>306</v>
      </c>
      <c r="AV37" s="37">
        <v>0.32291666666666669</v>
      </c>
      <c r="AW37" s="37">
        <v>0.52083333333333337</v>
      </c>
      <c r="AX37" s="21" t="s">
        <v>306</v>
      </c>
      <c r="AY37" s="37">
        <v>0.5625</v>
      </c>
      <c r="AZ37" s="37">
        <v>0.66666666666666663</v>
      </c>
      <c r="BA37" s="39" t="str">
        <f t="shared" si="7"/>
        <v/>
      </c>
      <c r="BB37" s="46" t="s">
        <v>329</v>
      </c>
      <c r="BC37" s="31" t="s">
        <v>330</v>
      </c>
      <c r="BD37" s="16" t="s">
        <v>311</v>
      </c>
      <c r="BE37" s="16" t="s">
        <v>311</v>
      </c>
      <c r="BF37" s="244" t="str">
        <f>T_BilanSocial2[[#This Row],[Nom]]&amp;T_BilanSocial2[[#This Row],[Prénom]]</f>
        <v/>
      </c>
    </row>
    <row r="38" spans="1:58" ht="21.75" customHeight="1" x14ac:dyDescent="0.25">
      <c r="A38" s="90">
        <v>7</v>
      </c>
      <c r="B38" s="126" t="s">
        <v>210</v>
      </c>
      <c r="C38" s="126" t="str">
        <f>VLOOKUP(T_BilanSocial2[[#This Row],[NumL]],T_Commission[#Data],COLUMN(T_Commission[FINAL]),FALSE)</f>
        <v/>
      </c>
      <c r="D38" s="19" t="str">
        <f t="shared" si="0"/>
        <v/>
      </c>
      <c r="E38" s="19" t="str">
        <f t="shared" si="1"/>
        <v/>
      </c>
      <c r="F38" s="242" t="str">
        <f>IFERROR(VLOOKUP(T_BilanSocial2[[#This Row],[Zone_Bilan]],T_P_BilanSocial[#Data],COLUMN(T_P_BilanSocial[[#This Row],[Numero_SIHAM]]),FALSE),"")</f>
        <v/>
      </c>
      <c r="G38" s="242" t="str">
        <f>IFERROR(VLOOKUP(T_BilanSocial2[[#This Row],[Zone_Bilan]],T_P_BilanSocial[#Data],COLUMN(T_P_BilanSocial[[#This Row],[Sexe]]),FALSE),"")</f>
        <v/>
      </c>
      <c r="H38" s="243" t="str">
        <f>IFERROR(VLOOKUP(T_BilanSocial2[[#This Row],[Zone_Bilan]],T_P_BilanSocial[#Data],COLUMN(T_P_BilanSocial[[#This Row],[Categorie]]),FALSE),"")</f>
        <v/>
      </c>
      <c r="I38" s="242" t="str">
        <f>IFERROR(VLOOKUP(T_BilanSocial2[[#This Row],[Zone_Bilan]],T_P_BilanSocial[#Data],COLUMN(T_P_BilanSocial[[#This Row],[Statut]]),FALSE),"")</f>
        <v/>
      </c>
      <c r="J38" s="242" t="str">
        <f>IFERROR(VLOOKUP(T_BilanSocial2[[#This Row],[Zone_Bilan]],T_P_BilanSocial[#Data],COLUMN(T_P_BilanSocial[[#This Row],[Filiere]]),FALSE),"")</f>
        <v/>
      </c>
      <c r="K38" s="78">
        <v>1</v>
      </c>
      <c r="L38" s="213">
        <v>1.5451388888888891</v>
      </c>
      <c r="M38" s="78" t="s">
        <v>210</v>
      </c>
      <c r="N38" s="79" t="str">
        <f>IF((AND(T_BilanSocial2[[#This Row],[Nom]]&lt;&gt;"",T_BilanSocial2[[#This Row],[Reg Ponct]]="R")),(COUNTIF(S38:AX38,"S")+COUNTIF(S38:AX38,"T"))/2,"")</f>
        <v/>
      </c>
      <c r="O38" s="79" t="str">
        <f>IF((AND(T_BilanSocial2[[#This Row],[Nom]]&lt;&gt;"",T_BilanSocial2[[#This Row],[Reg Ponct]]="R")),COUNTIF(S38:AX38,"S")/2,"")</f>
        <v/>
      </c>
      <c r="P38" s="80" t="str">
        <f>IF((AND(T_BilanSocial2[[#This Row],[Nom]]&lt;&gt;"",T_BilanSocial2[[#This Row],[Reg Ponct]]="R")),COUNTIF(S38:AX38,"t")/2,"")</f>
        <v/>
      </c>
      <c r="Q38" s="81" t="str">
        <f t="shared" si="2"/>
        <v/>
      </c>
      <c r="R38" s="82" t="str">
        <f>IF((AND(T_BilanSocial2[[#This Row],[Nom]]&lt;&gt;"",T_BilanSocial2[[#This Row],[Reg Ponct]]="R")),IF(S38="T",U38-T38,0)+IF(V38="T",X38-W38,0)+IF(Z38="T",AB38-AA38,0)+IF(AC38="T",AE38-AD38,0)+IF(AG38="T",AI38-AH38,0)+IF(AJ38="T",AL38-AK38,0)+IF(AN38="T",AP38-AO38,0)+IF(AQ38="T",AS38-AR38,0)+IF(AU38="T",AW38-AV38,0)+IF(AX38="T",AZ38-AY38,0),"")</f>
        <v/>
      </c>
      <c r="S38" s="36" t="s">
        <v>306</v>
      </c>
      <c r="T38" s="37">
        <v>0.35416666666666669</v>
      </c>
      <c r="U38" s="37">
        <v>0.50694444444444442</v>
      </c>
      <c r="V38" s="21" t="s">
        <v>306</v>
      </c>
      <c r="W38" s="37">
        <v>0.54861111111111105</v>
      </c>
      <c r="X38" s="37">
        <v>0.73958333333333337</v>
      </c>
      <c r="Y38" s="38" t="str">
        <f t="shared" si="3"/>
        <v/>
      </c>
      <c r="Z38" s="36" t="s">
        <v>306</v>
      </c>
      <c r="AA38" s="37">
        <v>0.35416666666666669</v>
      </c>
      <c r="AB38" s="37">
        <v>0.52083333333333337</v>
      </c>
      <c r="AC38" s="21" t="s">
        <v>306</v>
      </c>
      <c r="AD38" s="37">
        <v>0.5625</v>
      </c>
      <c r="AE38" s="37">
        <v>0.73958333333333337</v>
      </c>
      <c r="AF38" s="38" t="str">
        <f t="shared" si="4"/>
        <v/>
      </c>
      <c r="AG38" s="36" t="s">
        <v>307</v>
      </c>
      <c r="AH38" s="37">
        <v>0.35416666666666669</v>
      </c>
      <c r="AI38" s="37">
        <v>0.53472222222222221</v>
      </c>
      <c r="AJ38" s="21" t="s">
        <v>307</v>
      </c>
      <c r="AK38" s="37">
        <v>0.57638888888888895</v>
      </c>
      <c r="AL38" s="37">
        <v>0.73958333333333337</v>
      </c>
      <c r="AM38" s="38" t="str">
        <f t="shared" si="5"/>
        <v/>
      </c>
      <c r="AN38" s="36" t="s">
        <v>306</v>
      </c>
      <c r="AO38" s="37">
        <v>0.375</v>
      </c>
      <c r="AP38" s="37">
        <v>0.53472222222222221</v>
      </c>
      <c r="AQ38" s="21" t="s">
        <v>306</v>
      </c>
      <c r="AR38" s="37">
        <v>0.57638888888888895</v>
      </c>
      <c r="AS38" s="37">
        <v>0.73958333333333337</v>
      </c>
      <c r="AT38" s="38" t="str">
        <f t="shared" si="6"/>
        <v/>
      </c>
      <c r="AU38" s="36" t="s">
        <v>307</v>
      </c>
      <c r="AV38" s="37">
        <v>0.35416666666666669</v>
      </c>
      <c r="AW38" s="37">
        <v>0.54513888888888895</v>
      </c>
      <c r="AX38" s="21" t="s">
        <v>308</v>
      </c>
      <c r="AY38" s="37"/>
      <c r="AZ38" s="37"/>
      <c r="BA38" s="39" t="str">
        <f t="shared" si="7"/>
        <v/>
      </c>
      <c r="BB38" s="46" t="s">
        <v>362</v>
      </c>
      <c r="BC38" s="31" t="s">
        <v>363</v>
      </c>
      <c r="BD38" s="16" t="s">
        <v>311</v>
      </c>
      <c r="BE38" s="16" t="s">
        <v>322</v>
      </c>
      <c r="BF38" s="244" t="str">
        <f>T_BilanSocial2[[#This Row],[Nom]]&amp;T_BilanSocial2[[#This Row],[Prénom]]</f>
        <v/>
      </c>
    </row>
    <row r="39" spans="1:58" ht="21.75" customHeight="1" x14ac:dyDescent="0.25">
      <c r="A39" s="90">
        <v>150</v>
      </c>
      <c r="B39" s="126" t="s">
        <v>210</v>
      </c>
      <c r="C39" s="126" t="str">
        <f>VLOOKUP(T_BilanSocial2[[#This Row],[NumL]],T_Commission[#Data],COLUMN(T_Commission[FINAL]),FALSE)</f>
        <v/>
      </c>
      <c r="D39" s="19" t="str">
        <f t="shared" si="0"/>
        <v/>
      </c>
      <c r="E39" s="19" t="str">
        <f t="shared" si="1"/>
        <v/>
      </c>
      <c r="F39" s="242" t="str">
        <f>IFERROR(VLOOKUP(T_BilanSocial2[[#This Row],[Zone_Bilan]],T_P_BilanSocial[#Data],COLUMN(T_P_BilanSocial[[#This Row],[Numero_SIHAM]]),FALSE),"")</f>
        <v/>
      </c>
      <c r="G39" s="242" t="str">
        <f>IFERROR(VLOOKUP(T_BilanSocial2[[#This Row],[Zone_Bilan]],T_P_BilanSocial[#Data],COLUMN(T_P_BilanSocial[[#This Row],[Sexe]]),FALSE),"")</f>
        <v/>
      </c>
      <c r="H39" s="243" t="str">
        <f>IFERROR(VLOOKUP(T_BilanSocial2[[#This Row],[Zone_Bilan]],T_P_BilanSocial[#Data],COLUMN(T_P_BilanSocial[[#This Row],[Categorie]]),FALSE),"")</f>
        <v/>
      </c>
      <c r="I39" s="242" t="str">
        <f>IFERROR(VLOOKUP(T_BilanSocial2[[#This Row],[Zone_Bilan]],T_P_BilanSocial[#Data],COLUMN(T_P_BilanSocial[[#This Row],[Statut]]),FALSE),"")</f>
        <v/>
      </c>
      <c r="J39" s="242" t="str">
        <f>IFERROR(VLOOKUP(T_BilanSocial2[[#This Row],[Zone_Bilan]],T_P_BilanSocial[#Data],COLUMN(T_P_BilanSocial[[#This Row],[Filiere]]),FALSE),"")</f>
        <v/>
      </c>
      <c r="K39" s="78">
        <v>1</v>
      </c>
      <c r="L39" s="213">
        <v>1.5451388888888891</v>
      </c>
      <c r="M39" s="78" t="s">
        <v>210</v>
      </c>
      <c r="N39" s="79" t="str">
        <f>IF((AND(T_BilanSocial2[[#This Row],[Nom]]&lt;&gt;"",T_BilanSocial2[[#This Row],[Reg Ponct]]="R")),(COUNTIF(S39:AX39,"S")+COUNTIF(S39:AX39,"T"))/2,"")</f>
        <v/>
      </c>
      <c r="O39" s="79" t="str">
        <f>IF((AND(T_BilanSocial2[[#This Row],[Nom]]&lt;&gt;"",T_BilanSocial2[[#This Row],[Reg Ponct]]="R")),COUNTIF(S39:AX39,"S")/2,"")</f>
        <v/>
      </c>
      <c r="P39" s="80" t="str">
        <f>IF((AND(T_BilanSocial2[[#This Row],[Nom]]&lt;&gt;"",T_BilanSocial2[[#This Row],[Reg Ponct]]="R")),COUNTIF(S39:AX39,"t")/2,"")</f>
        <v/>
      </c>
      <c r="Q39" s="81" t="str">
        <f t="shared" si="2"/>
        <v/>
      </c>
      <c r="R39" s="82" t="str">
        <f>IF((AND(T_BilanSocial2[[#This Row],[Nom]]&lt;&gt;"",T_BilanSocial2[[#This Row],[Reg Ponct]]="R")),IF(S39="T",U39-T39,0)+IF(V39="T",X39-W39,0)+IF(Z39="T",AB39-AA39,0)+IF(AC39="T",AE39-AD39,0)+IF(AG39="T",AI39-AH39,0)+IF(AJ39="T",AL39-AK39,0)+IF(AN39="T",AP39-AO39,0)+IF(AQ39="T",AS39-AR39,0)+IF(AU39="T",AW39-AV39,0)+IF(AX39="T",AZ39-AY39,0),"")</f>
        <v/>
      </c>
      <c r="S39" s="36" t="s">
        <v>306</v>
      </c>
      <c r="T39" s="37">
        <v>0.375</v>
      </c>
      <c r="U39" s="37">
        <v>0.5</v>
      </c>
      <c r="V39" s="21" t="s">
        <v>306</v>
      </c>
      <c r="W39" s="37">
        <v>0.54166666666666663</v>
      </c>
      <c r="X39" s="37">
        <v>0.75</v>
      </c>
      <c r="Y39" s="38" t="str">
        <f t="shared" si="3"/>
        <v/>
      </c>
      <c r="Z39" s="36" t="s">
        <v>306</v>
      </c>
      <c r="AA39" s="37">
        <v>0.375</v>
      </c>
      <c r="AB39" s="37">
        <v>0.5</v>
      </c>
      <c r="AC39" s="21" t="s">
        <v>306</v>
      </c>
      <c r="AD39" s="37">
        <v>0.54166666666666663</v>
      </c>
      <c r="AE39" s="37">
        <v>0.75</v>
      </c>
      <c r="AF39" s="38" t="str">
        <f t="shared" si="4"/>
        <v/>
      </c>
      <c r="AG39" s="36" t="s">
        <v>307</v>
      </c>
      <c r="AH39" s="37">
        <v>0.33333333333333331</v>
      </c>
      <c r="AI39" s="37">
        <v>0.52083333333333337</v>
      </c>
      <c r="AJ39" s="21" t="s">
        <v>308</v>
      </c>
      <c r="AK39" s="37"/>
      <c r="AL39" s="37"/>
      <c r="AM39" s="38" t="str">
        <f t="shared" si="5"/>
        <v/>
      </c>
      <c r="AN39" s="36" t="s">
        <v>306</v>
      </c>
      <c r="AO39" s="37">
        <v>0.375</v>
      </c>
      <c r="AP39" s="37">
        <v>0.5</v>
      </c>
      <c r="AQ39" s="21" t="s">
        <v>306</v>
      </c>
      <c r="AR39" s="37">
        <v>0.54166666666666663</v>
      </c>
      <c r="AS39" s="37">
        <v>0.75</v>
      </c>
      <c r="AT39" s="38" t="str">
        <f t="shared" si="6"/>
        <v/>
      </c>
      <c r="AU39" s="36" t="s">
        <v>307</v>
      </c>
      <c r="AV39" s="37">
        <v>0.375</v>
      </c>
      <c r="AW39" s="37">
        <v>0.5</v>
      </c>
      <c r="AX39" s="21" t="s">
        <v>307</v>
      </c>
      <c r="AY39" s="37">
        <v>0.54166666666666663</v>
      </c>
      <c r="AZ39" s="37">
        <v>0.77430555555555547</v>
      </c>
      <c r="BA39" s="39" t="str">
        <f t="shared" si="7"/>
        <v/>
      </c>
      <c r="BB39" s="46" t="s">
        <v>353</v>
      </c>
      <c r="BC39" s="31" t="s">
        <v>354</v>
      </c>
      <c r="BD39" s="16" t="s">
        <v>322</v>
      </c>
      <c r="BE39" s="16" t="s">
        <v>322</v>
      </c>
      <c r="BF39" s="244" t="str">
        <f>T_BilanSocial2[[#This Row],[Nom]]&amp;T_BilanSocial2[[#This Row],[Prénom]]</f>
        <v/>
      </c>
    </row>
    <row r="40" spans="1:58" ht="21.75" hidden="1" customHeight="1" x14ac:dyDescent="0.25">
      <c r="A40" s="90">
        <v>23</v>
      </c>
      <c r="B40" s="126" t="s">
        <v>210</v>
      </c>
      <c r="C40" s="126" t="str">
        <f>VLOOKUP(T_BilanSocial2[[#This Row],[NumL]],T_Commission[#Data],COLUMN(T_Commission[FINAL]),FALSE)</f>
        <v/>
      </c>
      <c r="D40" s="19" t="str">
        <f t="shared" si="0"/>
        <v/>
      </c>
      <c r="E40" s="19" t="str">
        <f t="shared" si="1"/>
        <v/>
      </c>
      <c r="F40" s="242" t="str">
        <f>IFERROR(VLOOKUP(T_BilanSocial2[[#This Row],[Zone_Bilan]],T_P_BilanSocial[#Data],COLUMN(T_P_BilanSocial[[#This Row],[Numero_SIHAM]]),FALSE),"")</f>
        <v/>
      </c>
      <c r="G40" s="242" t="str">
        <f>IFERROR(VLOOKUP(T_BilanSocial2[[#This Row],[Zone_Bilan]],T_P_BilanSocial[#Data],COLUMN(T_P_BilanSocial[[#This Row],[Sexe]]),FALSE),"")</f>
        <v/>
      </c>
      <c r="H40" s="243" t="str">
        <f>IFERROR(VLOOKUP(T_BilanSocial2[[#This Row],[Zone_Bilan]],T_P_BilanSocial[#Data],COLUMN(T_P_BilanSocial[[#This Row],[Categorie]]),FALSE),"")</f>
        <v/>
      </c>
      <c r="I40" s="242" t="str">
        <f>IFERROR(VLOOKUP(T_BilanSocial2[[#This Row],[Zone_Bilan]],T_P_BilanSocial[#Data],COLUMN(T_P_BilanSocial[[#This Row],[Statut]]),FALSE),"")</f>
        <v/>
      </c>
      <c r="J40" s="242" t="str">
        <f>IFERROR(VLOOKUP(T_BilanSocial2[[#This Row],[Zone_Bilan]],T_P_BilanSocial[#Data],COLUMN(T_P_BilanSocial[[#This Row],[Filiere]]),FALSE),"")</f>
        <v/>
      </c>
      <c r="K40" s="78">
        <v>0.8</v>
      </c>
      <c r="L40" s="213">
        <v>1.2361111111111112</v>
      </c>
      <c r="M40" s="78" t="s">
        <v>210</v>
      </c>
      <c r="N40" s="79" t="str">
        <f>IF((AND(T_BilanSocial2[[#This Row],[Nom]]&lt;&gt;"",T_BilanSocial2[[#This Row],[Reg Ponct]]="R")),(COUNTIF(S40:AX40,"S")+COUNTIF(S40:AX40,"T"))/2,"")</f>
        <v/>
      </c>
      <c r="O40" s="79" t="str">
        <f>IF((AND(T_BilanSocial2[[#This Row],[Nom]]&lt;&gt;"",T_BilanSocial2[[#This Row],[Reg Ponct]]="R")),COUNTIF(S40:AX40,"S")/2,"")</f>
        <v/>
      </c>
      <c r="P40" s="80" t="str">
        <f>IF((AND(T_BilanSocial2[[#This Row],[Nom]]&lt;&gt;"",T_BilanSocial2[[#This Row],[Reg Ponct]]="R")),COUNTIF(S40:AX40,"t")/2,"")</f>
        <v/>
      </c>
      <c r="Q40" s="81" t="str">
        <f t="shared" si="2"/>
        <v/>
      </c>
      <c r="R40" s="82" t="str">
        <f>IF((AND(T_BilanSocial2[[#This Row],[Nom]]&lt;&gt;"",T_BilanSocial2[[#This Row],[Reg Ponct]]="R")),IF(S40="T",U40-T40,0)+IF(V40="T",X40-W40,0)+IF(Z40="T",AB40-AA40,0)+IF(AC40="T",AE40-AD40,0)+IF(AG40="T",AI40-AH40,0)+IF(AJ40="T",AL40-AK40,0)+IF(AN40="T",AP40-AO40,0)+IF(AQ40="T",AS40-AR40,0)+IF(AU40="T",AW40-AV40,0)+IF(AX40="T",AZ40-AY40,0),"")</f>
        <v/>
      </c>
      <c r="S40" s="36" t="s">
        <v>306</v>
      </c>
      <c r="T40" s="37">
        <v>0.33333333333333331</v>
      </c>
      <c r="U40" s="37">
        <v>0.5</v>
      </c>
      <c r="V40" s="21" t="s">
        <v>306</v>
      </c>
      <c r="W40" s="37">
        <v>0.54166666666666663</v>
      </c>
      <c r="X40" s="37">
        <v>0.6875</v>
      </c>
      <c r="Y40" s="38" t="str">
        <f t="shared" si="3"/>
        <v/>
      </c>
      <c r="Z40" s="36" t="s">
        <v>306</v>
      </c>
      <c r="AA40" s="37">
        <v>0.33333333333333331</v>
      </c>
      <c r="AB40" s="37">
        <v>0.5</v>
      </c>
      <c r="AC40" s="21" t="s">
        <v>306</v>
      </c>
      <c r="AD40" s="37">
        <v>0.54166666666666663</v>
      </c>
      <c r="AE40" s="37">
        <v>0.6875</v>
      </c>
      <c r="AF40" s="38" t="str">
        <f t="shared" si="4"/>
        <v/>
      </c>
      <c r="AG40" s="36" t="s">
        <v>308</v>
      </c>
      <c r="AH40" s="37"/>
      <c r="AI40" s="37"/>
      <c r="AJ40" s="21" t="s">
        <v>308</v>
      </c>
      <c r="AK40" s="37"/>
      <c r="AL40" s="37"/>
      <c r="AM40" s="38" t="str">
        <f t="shared" si="5"/>
        <v/>
      </c>
      <c r="AN40" s="36" t="s">
        <v>306</v>
      </c>
      <c r="AO40" s="37">
        <v>0.32291666666666669</v>
      </c>
      <c r="AP40" s="37">
        <v>0.5</v>
      </c>
      <c r="AQ40" s="21" t="s">
        <v>306</v>
      </c>
      <c r="AR40" s="37">
        <v>0.54166666666666663</v>
      </c>
      <c r="AS40" s="37">
        <v>0.66319444444444442</v>
      </c>
      <c r="AT40" s="38" t="str">
        <f t="shared" si="6"/>
        <v/>
      </c>
      <c r="AU40" s="36" t="s">
        <v>307</v>
      </c>
      <c r="AV40" s="37">
        <v>0.3125</v>
      </c>
      <c r="AW40" s="37">
        <v>0.5</v>
      </c>
      <c r="AX40" s="21" t="s">
        <v>307</v>
      </c>
      <c r="AY40" s="37">
        <v>0.54166666666666663</v>
      </c>
      <c r="AZ40" s="37">
        <v>0.66666666666666663</v>
      </c>
      <c r="BA40" s="39" t="str">
        <f t="shared" si="7"/>
        <v/>
      </c>
      <c r="BB40" s="46" t="s">
        <v>438</v>
      </c>
      <c r="BC40" s="31" t="s">
        <v>439</v>
      </c>
      <c r="BD40" s="16" t="s">
        <v>322</v>
      </c>
      <c r="BE40" s="16" t="s">
        <v>322</v>
      </c>
      <c r="BF40" s="244" t="str">
        <f>T_BilanSocial2[[#This Row],[Nom]]&amp;T_BilanSocial2[[#This Row],[Prénom]]</f>
        <v/>
      </c>
    </row>
    <row r="41" spans="1:58" ht="21.75" hidden="1" customHeight="1" x14ac:dyDescent="0.25">
      <c r="A41" s="90">
        <v>202</v>
      </c>
      <c r="B41" s="126" t="s">
        <v>311</v>
      </c>
      <c r="C41" s="126" t="str">
        <f>VLOOKUP(T_BilanSocial2[[#This Row],[NumL]],T_Commission[#Data],COLUMN(T_Commission[FINAL]),FALSE)</f>
        <v/>
      </c>
      <c r="D41" s="19" t="str">
        <f t="shared" si="0"/>
        <v/>
      </c>
      <c r="E41" s="19" t="str">
        <f t="shared" si="1"/>
        <v/>
      </c>
      <c r="F41" s="242" t="str">
        <f>IFERROR(VLOOKUP(T_BilanSocial2[[#This Row],[Zone_Bilan]],T_P_BilanSocial[#Data],COLUMN(T_P_BilanSocial[[#This Row],[Numero_SIHAM]]),FALSE),"")</f>
        <v/>
      </c>
      <c r="G41" s="242" t="str">
        <f>IFERROR(VLOOKUP(T_BilanSocial2[[#This Row],[Zone_Bilan]],T_P_BilanSocial[#Data],COLUMN(T_P_BilanSocial[[#This Row],[Sexe]]),FALSE),"")</f>
        <v/>
      </c>
      <c r="H41" s="243" t="str">
        <f>IFERROR(VLOOKUP(T_BilanSocial2[[#This Row],[Zone_Bilan]],T_P_BilanSocial[#Data],COLUMN(T_P_BilanSocial[[#This Row],[Categorie]]),FALSE),"")</f>
        <v/>
      </c>
      <c r="I41" s="242" t="str">
        <f>IFERROR(VLOOKUP(T_BilanSocial2[[#This Row],[Zone_Bilan]],T_P_BilanSocial[#Data],COLUMN(T_P_BilanSocial[[#This Row],[Statut]]),FALSE),"")</f>
        <v/>
      </c>
      <c r="J41" s="242" t="str">
        <f>IFERROR(VLOOKUP(T_BilanSocial2[[#This Row],[Zone_Bilan]],T_P_BilanSocial[#Data],COLUMN(T_P_BilanSocial[[#This Row],[Filiere]]),FALSE),"")</f>
        <v/>
      </c>
      <c r="K41" s="78">
        <v>0.8</v>
      </c>
      <c r="L41" s="213">
        <v>1.2361111111111112</v>
      </c>
      <c r="M41" s="78" t="s">
        <v>210</v>
      </c>
      <c r="N41" s="79" t="str">
        <f>IF((AND(T_BilanSocial2[[#This Row],[Nom]]&lt;&gt;"",T_BilanSocial2[[#This Row],[Reg Ponct]]="R")),(COUNTIF(S41:AX41,"S")+COUNTIF(S41:AX41,"T"))/2,"")</f>
        <v/>
      </c>
      <c r="O41" s="79" t="str">
        <f>IF((AND(T_BilanSocial2[[#This Row],[Nom]]&lt;&gt;"",T_BilanSocial2[[#This Row],[Reg Ponct]]="R")),COUNTIF(S41:AX41,"S")/2,"")</f>
        <v/>
      </c>
      <c r="P41" s="80" t="str">
        <f>IF((AND(T_BilanSocial2[[#This Row],[Nom]]&lt;&gt;"",T_BilanSocial2[[#This Row],[Reg Ponct]]="R")),COUNTIF(S41:AX41,"t")/2,"")</f>
        <v/>
      </c>
      <c r="Q41" s="81" t="str">
        <f t="shared" si="2"/>
        <v/>
      </c>
      <c r="R41" s="82" t="str">
        <f>IF((AND(T_BilanSocial2[[#This Row],[Nom]]&lt;&gt;"",T_BilanSocial2[[#This Row],[Reg Ponct]]="R")),IF(S41="T",U41-T41,0)+IF(V41="T",X41-W41,0)+IF(Z41="T",AB41-AA41,0)+IF(AC41="T",AE41-AD41,0)+IF(AG41="T",AI41-AH41,0)+IF(AJ41="T",AL41-AK41,0)+IF(AN41="T",AP41-AO41,0)+IF(AQ41="T",AS41-AR41,0)+IF(AU41="T",AW41-AV41,0)+IF(AX41="T",AZ41-AY41,0),"")</f>
        <v/>
      </c>
      <c r="S41" s="36" t="s">
        <v>306</v>
      </c>
      <c r="T41" s="37">
        <v>0.34027777777777773</v>
      </c>
      <c r="U41" s="37">
        <v>0.52083333333333337</v>
      </c>
      <c r="V41" s="21" t="s">
        <v>306</v>
      </c>
      <c r="W41" s="37">
        <v>0.5625</v>
      </c>
      <c r="X41" s="37">
        <v>0.68055555555555547</v>
      </c>
      <c r="Y41" s="38" t="str">
        <f t="shared" si="3"/>
        <v/>
      </c>
      <c r="Z41" s="36" t="s">
        <v>307</v>
      </c>
      <c r="AA41" s="37">
        <v>0.34027777777777773</v>
      </c>
      <c r="AB41" s="37">
        <v>0.52083333333333337</v>
      </c>
      <c r="AC41" s="21" t="s">
        <v>308</v>
      </c>
      <c r="AD41" s="37"/>
      <c r="AE41" s="37"/>
      <c r="AF41" s="38" t="str">
        <f t="shared" si="4"/>
        <v/>
      </c>
      <c r="AG41" s="36" t="s">
        <v>306</v>
      </c>
      <c r="AH41" s="37">
        <v>0.34027777777777773</v>
      </c>
      <c r="AI41" s="37">
        <v>0.51041666666666663</v>
      </c>
      <c r="AJ41" s="21" t="s">
        <v>308</v>
      </c>
      <c r="AK41" s="37"/>
      <c r="AL41" s="37"/>
      <c r="AM41" s="38" t="str">
        <f t="shared" si="5"/>
        <v/>
      </c>
      <c r="AN41" s="36" t="s">
        <v>306</v>
      </c>
      <c r="AO41" s="37">
        <v>0.34027777777777773</v>
      </c>
      <c r="AP41" s="37">
        <v>0.52083333333333337</v>
      </c>
      <c r="AQ41" s="21" t="s">
        <v>306</v>
      </c>
      <c r="AR41" s="37">
        <v>0.5625</v>
      </c>
      <c r="AS41" s="37">
        <v>0.67361111111111116</v>
      </c>
      <c r="AT41" s="38" t="str">
        <f t="shared" si="6"/>
        <v/>
      </c>
      <c r="AU41" s="36" t="s">
        <v>306</v>
      </c>
      <c r="AV41" s="37">
        <v>0.34027777777777773</v>
      </c>
      <c r="AW41" s="37">
        <v>0.52083333333333337</v>
      </c>
      <c r="AX41" s="21" t="s">
        <v>306</v>
      </c>
      <c r="AY41" s="37">
        <v>0.5625</v>
      </c>
      <c r="AZ41" s="37">
        <v>0.67708333333333337</v>
      </c>
      <c r="BA41" s="39" t="str">
        <f t="shared" si="7"/>
        <v/>
      </c>
      <c r="BB41" s="46" t="s">
        <v>1083</v>
      </c>
      <c r="BC41" s="31" t="s">
        <v>1084</v>
      </c>
      <c r="BD41" s="16" t="s">
        <v>311</v>
      </c>
      <c r="BE41" s="16" t="s">
        <v>322</v>
      </c>
      <c r="BF41" s="244" t="str">
        <f>T_BilanSocial2[[#This Row],[Nom]]&amp;T_BilanSocial2[[#This Row],[Prénom]]</f>
        <v/>
      </c>
    </row>
    <row r="42" spans="1:58" ht="21.75" customHeight="1" x14ac:dyDescent="0.25">
      <c r="A42" s="90">
        <v>66</v>
      </c>
      <c r="B42" s="126" t="s">
        <v>210</v>
      </c>
      <c r="C42" s="126" t="str">
        <f>VLOOKUP(T_BilanSocial2[[#This Row],[NumL]],T_Commission[#Data],COLUMN(T_Commission[FINAL]),FALSE)</f>
        <v/>
      </c>
      <c r="D42" s="19" t="str">
        <f t="shared" si="0"/>
        <v/>
      </c>
      <c r="E42" s="19" t="str">
        <f t="shared" si="1"/>
        <v/>
      </c>
      <c r="F42" s="242" t="str">
        <f>IFERROR(VLOOKUP(T_BilanSocial2[[#This Row],[Zone_Bilan]],T_P_BilanSocial[#Data],COLUMN(T_P_BilanSocial[[#This Row],[Numero_SIHAM]]),FALSE),"")</f>
        <v/>
      </c>
      <c r="G42" s="242" t="str">
        <f>IFERROR(VLOOKUP(T_BilanSocial2[[#This Row],[Zone_Bilan]],T_P_BilanSocial[#Data],COLUMN(T_P_BilanSocial[[#This Row],[Sexe]]),FALSE),"")</f>
        <v/>
      </c>
      <c r="H42" s="243" t="str">
        <f>IFERROR(VLOOKUP(T_BilanSocial2[[#This Row],[Zone_Bilan]],T_P_BilanSocial[#Data],COLUMN(T_P_BilanSocial[[#This Row],[Categorie]]),FALSE),"")</f>
        <v/>
      </c>
      <c r="I42" s="242" t="str">
        <f>IFERROR(VLOOKUP(T_BilanSocial2[[#This Row],[Zone_Bilan]],T_P_BilanSocial[#Data],COLUMN(T_P_BilanSocial[[#This Row],[Statut]]),FALSE),"")</f>
        <v/>
      </c>
      <c r="J42" s="242" t="str">
        <f>IFERROR(VLOOKUP(T_BilanSocial2[[#This Row],[Zone_Bilan]],T_P_BilanSocial[#Data],COLUMN(T_P_BilanSocial[[#This Row],[Filiere]]),FALSE),"")</f>
        <v/>
      </c>
      <c r="K42" s="78">
        <v>1</v>
      </c>
      <c r="L42" s="213">
        <v>1.5451388888888891</v>
      </c>
      <c r="M42" s="78" t="s">
        <v>210</v>
      </c>
      <c r="N42" s="79" t="str">
        <f>IF((AND(T_BilanSocial2[[#This Row],[Nom]]&lt;&gt;"",T_BilanSocial2[[#This Row],[Reg Ponct]]="R")),(COUNTIF(S42:AX42,"S")+COUNTIF(S42:AX42,"T"))/2,"")</f>
        <v/>
      </c>
      <c r="O42" s="79" t="str">
        <f>IF((AND(T_BilanSocial2[[#This Row],[Nom]]&lt;&gt;"",T_BilanSocial2[[#This Row],[Reg Ponct]]="R")),COUNTIF(S42:AX42,"S")/2,"")</f>
        <v/>
      </c>
      <c r="P42" s="80" t="str">
        <f>IF((AND(T_BilanSocial2[[#This Row],[Nom]]&lt;&gt;"",T_BilanSocial2[[#This Row],[Reg Ponct]]="R")),COUNTIF(S42:AX42,"t")/2,"")</f>
        <v/>
      </c>
      <c r="Q42" s="81" t="str">
        <f t="shared" si="2"/>
        <v/>
      </c>
      <c r="R42" s="82" t="str">
        <f>IF((AND(T_BilanSocial2[[#This Row],[Nom]]&lt;&gt;"",T_BilanSocial2[[#This Row],[Reg Ponct]]="R")),IF(S42="T",U42-T42,0)+IF(V42="T",X42-W42,0)+IF(Z42="T",AB42-AA42,0)+IF(AC42="T",AE42-AD42,0)+IF(AG42="T",AI42-AH42,0)+IF(AJ42="T",AL42-AK42,0)+IF(AN42="T",AP42-AO42,0)+IF(AQ42="T",AS42-AR42,0)+IF(AU42="T",AW42-AV42,0)+IF(AX42="T",AZ42-AY42,0),"")</f>
        <v/>
      </c>
      <c r="S42" s="36" t="s">
        <v>306</v>
      </c>
      <c r="T42" s="37">
        <v>0.375</v>
      </c>
      <c r="U42" s="37">
        <v>0.51041666666666663</v>
      </c>
      <c r="V42" s="21" t="s">
        <v>306</v>
      </c>
      <c r="W42" s="37">
        <v>0.55208333333333337</v>
      </c>
      <c r="X42" s="37">
        <v>0.77083333333333337</v>
      </c>
      <c r="Y42" s="38" t="str">
        <f t="shared" si="3"/>
        <v/>
      </c>
      <c r="Z42" s="36" t="s">
        <v>306</v>
      </c>
      <c r="AA42" s="37">
        <v>0.375</v>
      </c>
      <c r="AB42" s="37">
        <v>0.51041666666666663</v>
      </c>
      <c r="AC42" s="21" t="s">
        <v>306</v>
      </c>
      <c r="AD42" s="37">
        <v>0.55208333333333337</v>
      </c>
      <c r="AE42" s="37">
        <v>0.77083333333333337</v>
      </c>
      <c r="AF42" s="38" t="str">
        <f t="shared" si="4"/>
        <v/>
      </c>
      <c r="AG42" s="36" t="s">
        <v>307</v>
      </c>
      <c r="AH42" s="37">
        <v>0.375</v>
      </c>
      <c r="AI42" s="37">
        <v>0.51041666666666663</v>
      </c>
      <c r="AJ42" s="21" t="s">
        <v>307</v>
      </c>
      <c r="AK42" s="37">
        <v>0.55208333333333337</v>
      </c>
      <c r="AL42" s="37">
        <v>0.77083333333333337</v>
      </c>
      <c r="AM42" s="38" t="str">
        <f t="shared" si="5"/>
        <v/>
      </c>
      <c r="AN42" s="36" t="s">
        <v>306</v>
      </c>
      <c r="AO42" s="37">
        <v>0.375</v>
      </c>
      <c r="AP42" s="37">
        <v>0.51041666666666663</v>
      </c>
      <c r="AQ42" s="21" t="s">
        <v>306</v>
      </c>
      <c r="AR42" s="37">
        <v>0.55208333333333337</v>
      </c>
      <c r="AS42" s="37">
        <v>0.77430555555555547</v>
      </c>
      <c r="AT42" s="38" t="str">
        <f t="shared" si="6"/>
        <v/>
      </c>
      <c r="AU42" s="36" t="s">
        <v>307</v>
      </c>
      <c r="AV42" s="37">
        <v>0.375</v>
      </c>
      <c r="AW42" s="37">
        <v>0.5</v>
      </c>
      <c r="AX42" s="21" t="s">
        <v>308</v>
      </c>
      <c r="AY42" s="37"/>
      <c r="AZ42" s="37"/>
      <c r="BA42" s="39" t="str">
        <f t="shared" si="7"/>
        <v/>
      </c>
      <c r="BB42" s="46" t="s">
        <v>607</v>
      </c>
      <c r="BC42" s="31" t="s">
        <v>608</v>
      </c>
      <c r="BD42" s="16" t="s">
        <v>311</v>
      </c>
      <c r="BE42" s="16" t="s">
        <v>322</v>
      </c>
      <c r="BF42" s="244" t="str">
        <f>T_BilanSocial2[[#This Row],[Nom]]&amp;T_BilanSocial2[[#This Row],[Prénom]]</f>
        <v/>
      </c>
    </row>
    <row r="43" spans="1:58" ht="21.75" hidden="1" customHeight="1" x14ac:dyDescent="0.25">
      <c r="A43" s="90">
        <v>36</v>
      </c>
      <c r="B43" s="126" t="s">
        <v>311</v>
      </c>
      <c r="C43" s="126" t="str">
        <f>VLOOKUP(T_BilanSocial2[[#This Row],[NumL]],T_Commission[#Data],COLUMN(T_Commission[FINAL]),FALSE)</f>
        <v/>
      </c>
      <c r="D43" s="19" t="str">
        <f t="shared" si="0"/>
        <v/>
      </c>
      <c r="E43" s="19" t="str">
        <f t="shared" si="1"/>
        <v/>
      </c>
      <c r="F43" s="242" t="str">
        <f>IFERROR(VLOOKUP(T_BilanSocial2[[#This Row],[Zone_Bilan]],T_P_BilanSocial[#Data],COLUMN(T_P_BilanSocial[[#This Row],[Numero_SIHAM]]),FALSE),"")</f>
        <v/>
      </c>
      <c r="G43" s="242" t="str">
        <f>IFERROR(VLOOKUP(T_BilanSocial2[[#This Row],[Zone_Bilan]],T_P_BilanSocial[#Data],COLUMN(T_P_BilanSocial[[#This Row],[Sexe]]),FALSE),"")</f>
        <v/>
      </c>
      <c r="H43" s="243" t="str">
        <f>IFERROR(VLOOKUP(T_BilanSocial2[[#This Row],[Zone_Bilan]],T_P_BilanSocial[#Data],COLUMN(T_P_BilanSocial[[#This Row],[Categorie]]),FALSE),"")</f>
        <v/>
      </c>
      <c r="I43" s="242" t="str">
        <f>IFERROR(VLOOKUP(T_BilanSocial2[[#This Row],[Zone_Bilan]],T_P_BilanSocial[#Data],COLUMN(T_P_BilanSocial[[#This Row],[Statut]]),FALSE),"")</f>
        <v/>
      </c>
      <c r="J43" s="242" t="str">
        <f>IFERROR(VLOOKUP(T_BilanSocial2[[#This Row],[Zone_Bilan]],T_P_BilanSocial[#Data],COLUMN(T_P_BilanSocial[[#This Row],[Filiere]]),FALSE),"")</f>
        <v/>
      </c>
      <c r="K43" s="78">
        <v>1</v>
      </c>
      <c r="L43" s="213">
        <v>1.5451388888888891</v>
      </c>
      <c r="M43" s="78" t="s">
        <v>210</v>
      </c>
      <c r="N43" s="79" t="str">
        <f>IF((AND(T_BilanSocial2[[#This Row],[Nom]]&lt;&gt;"",T_BilanSocial2[[#This Row],[Reg Ponct]]="R")),(COUNTIF(S43:AX43,"S")+COUNTIF(S43:AX43,"T"))/2,"")</f>
        <v/>
      </c>
      <c r="O43" s="79" t="str">
        <f>IF((AND(T_BilanSocial2[[#This Row],[Nom]]&lt;&gt;"",T_BilanSocial2[[#This Row],[Reg Ponct]]="R")),COUNTIF(S43:AX43,"S")/2,"")</f>
        <v/>
      </c>
      <c r="P43" s="80" t="str">
        <f>IF((AND(T_BilanSocial2[[#This Row],[Nom]]&lt;&gt;"",T_BilanSocial2[[#This Row],[Reg Ponct]]="R")),COUNTIF(S43:AX43,"t")/2,"")</f>
        <v/>
      </c>
      <c r="Q43" s="81" t="str">
        <f t="shared" si="2"/>
        <v/>
      </c>
      <c r="R43" s="82" t="str">
        <f>IF((AND(T_BilanSocial2[[#This Row],[Nom]]&lt;&gt;"",T_BilanSocial2[[#This Row],[Reg Ponct]]="R")),IF(S43="T",U43-T43,0)+IF(V43="T",X43-W43,0)+IF(Z43="T",AB43-AA43,0)+IF(AC43="T",AE43-AD43,0)+IF(AG43="T",AI43-AH43,0)+IF(AJ43="T",AL43-AK43,0)+IF(AN43="T",AP43-AO43,0)+IF(AQ43="T",AS43-AR43,0)+IF(AU43="T",AW43-AV43,0)+IF(AX43="T",AZ43-AY43,0),"")</f>
        <v/>
      </c>
      <c r="S43" s="36" t="s">
        <v>306</v>
      </c>
      <c r="T43" s="37">
        <v>0.32291666666666669</v>
      </c>
      <c r="U43" s="37">
        <v>0.5</v>
      </c>
      <c r="V43" s="21" t="s">
        <v>306</v>
      </c>
      <c r="W43" s="37">
        <v>0.54166666666666663</v>
      </c>
      <c r="X43" s="37">
        <v>0.6875</v>
      </c>
      <c r="Y43" s="38" t="str">
        <f t="shared" si="3"/>
        <v/>
      </c>
      <c r="Z43" s="36" t="s">
        <v>306</v>
      </c>
      <c r="AA43" s="37">
        <v>0.32291666666666669</v>
      </c>
      <c r="AB43" s="37">
        <v>0.5</v>
      </c>
      <c r="AC43" s="21" t="s">
        <v>306</v>
      </c>
      <c r="AD43" s="37">
        <v>0.54166666666666663</v>
      </c>
      <c r="AE43" s="37">
        <v>0.6875</v>
      </c>
      <c r="AF43" s="38" t="str">
        <f t="shared" si="4"/>
        <v/>
      </c>
      <c r="AG43" s="36" t="s">
        <v>306</v>
      </c>
      <c r="AH43" s="37">
        <v>0.35069444444444442</v>
      </c>
      <c r="AI43" s="37">
        <v>0.5</v>
      </c>
      <c r="AJ43" s="21" t="s">
        <v>306</v>
      </c>
      <c r="AK43" s="37">
        <v>0.54166666666666663</v>
      </c>
      <c r="AL43" s="37">
        <v>0.66666666666666663</v>
      </c>
      <c r="AM43" s="38" t="str">
        <f t="shared" si="5"/>
        <v/>
      </c>
      <c r="AN43" s="36" t="s">
        <v>306</v>
      </c>
      <c r="AO43" s="37">
        <v>0.32291666666666669</v>
      </c>
      <c r="AP43" s="37">
        <v>0.5</v>
      </c>
      <c r="AQ43" s="21" t="s">
        <v>306</v>
      </c>
      <c r="AR43" s="37">
        <v>0.54166666666666663</v>
      </c>
      <c r="AS43" s="37">
        <v>0.6875</v>
      </c>
      <c r="AT43" s="38" t="str">
        <f t="shared" si="6"/>
        <v/>
      </c>
      <c r="AU43" s="36" t="s">
        <v>307</v>
      </c>
      <c r="AV43" s="37">
        <v>0.33333333333333331</v>
      </c>
      <c r="AW43" s="37">
        <v>0.5</v>
      </c>
      <c r="AX43" s="21" t="s">
        <v>307</v>
      </c>
      <c r="AY43" s="37">
        <v>0.54166666666666663</v>
      </c>
      <c r="AZ43" s="37">
        <v>0.67708333333333337</v>
      </c>
      <c r="BA43" s="39" t="str">
        <f t="shared" si="7"/>
        <v/>
      </c>
      <c r="BB43" s="46" t="s">
        <v>376</v>
      </c>
      <c r="BC43" s="31" t="s">
        <v>341</v>
      </c>
      <c r="BD43" s="16" t="s">
        <v>311</v>
      </c>
      <c r="BE43" s="16" t="s">
        <v>311</v>
      </c>
      <c r="BF43" s="244" t="str">
        <f>T_BilanSocial2[[#This Row],[Nom]]&amp;T_BilanSocial2[[#This Row],[Prénom]]</f>
        <v/>
      </c>
    </row>
    <row r="44" spans="1:58" ht="21.75" hidden="1" customHeight="1" x14ac:dyDescent="0.25">
      <c r="A44" s="90">
        <v>168</v>
      </c>
      <c r="B44" s="126" t="s">
        <v>311</v>
      </c>
      <c r="C44" s="126" t="str">
        <f>VLOOKUP(T_BilanSocial2[[#This Row],[NumL]],T_Commission[#Data],COLUMN(T_Commission[FINAL]),FALSE)</f>
        <v/>
      </c>
      <c r="D44" s="19" t="str">
        <f t="shared" si="0"/>
        <v/>
      </c>
      <c r="E44" s="19" t="str">
        <f t="shared" si="1"/>
        <v/>
      </c>
      <c r="F44" s="242" t="str">
        <f>IFERROR(VLOOKUP(T_BilanSocial2[[#This Row],[Zone_Bilan]],T_P_BilanSocial[#Data],COLUMN(T_P_BilanSocial[[#This Row],[Numero_SIHAM]]),FALSE),"")</f>
        <v/>
      </c>
      <c r="G44" s="242" t="str">
        <f>IFERROR(VLOOKUP(T_BilanSocial2[[#This Row],[Zone_Bilan]],T_P_BilanSocial[#Data],COLUMN(T_P_BilanSocial[[#This Row],[Sexe]]),FALSE),"")</f>
        <v/>
      </c>
      <c r="H44" s="243" t="str">
        <f>IFERROR(VLOOKUP(T_BilanSocial2[[#This Row],[Zone_Bilan]],T_P_BilanSocial[#Data],COLUMN(T_P_BilanSocial[[#This Row],[Categorie]]),FALSE),"")</f>
        <v/>
      </c>
      <c r="I44" s="242" t="str">
        <f>IFERROR(VLOOKUP(T_BilanSocial2[[#This Row],[Zone_Bilan]],T_P_BilanSocial[#Data],COLUMN(T_P_BilanSocial[[#This Row],[Statut]]),FALSE),"")</f>
        <v/>
      </c>
      <c r="J44" s="242" t="str">
        <f>IFERROR(VLOOKUP(T_BilanSocial2[[#This Row],[Zone_Bilan]],T_P_BilanSocial[#Data],COLUMN(T_P_BilanSocial[[#This Row],[Filiere]]),FALSE),"")</f>
        <v/>
      </c>
      <c r="K44" s="78">
        <v>1</v>
      </c>
      <c r="L44" s="213">
        <v>1.5451388888888891</v>
      </c>
      <c r="M44" s="78" t="s">
        <v>210</v>
      </c>
      <c r="N44" s="79" t="str">
        <f>IF((AND(T_BilanSocial2[[#This Row],[Nom]]&lt;&gt;"",T_BilanSocial2[[#This Row],[Reg Ponct]]="R")),(COUNTIF(S44:AX44,"S")+COUNTIF(S44:AX44,"T"))/2,"")</f>
        <v/>
      </c>
      <c r="O44" s="79" t="str">
        <f>IF((AND(T_BilanSocial2[[#This Row],[Nom]]&lt;&gt;"",T_BilanSocial2[[#This Row],[Reg Ponct]]="R")),COUNTIF(S44:AX44,"S")/2,"")</f>
        <v/>
      </c>
      <c r="P44" s="80" t="str">
        <f>IF((AND(T_BilanSocial2[[#This Row],[Nom]]&lt;&gt;"",T_BilanSocial2[[#This Row],[Reg Ponct]]="R")),COUNTIF(S44:AX44,"t")/2,"")</f>
        <v/>
      </c>
      <c r="Q44" s="81" t="str">
        <f t="shared" si="2"/>
        <v/>
      </c>
      <c r="R44" s="82" t="str">
        <f>IF((AND(T_BilanSocial2[[#This Row],[Nom]]&lt;&gt;"",T_BilanSocial2[[#This Row],[Reg Ponct]]="R")),IF(S44="T",U44-T44,0)+IF(V44="T",X44-W44,0)+IF(Z44="T",AB44-AA44,0)+IF(AC44="T",AE44-AD44,0)+IF(AG44="T",AI44-AH44,0)+IF(AJ44="T",AL44-AK44,0)+IF(AN44="T",AP44-AO44,0)+IF(AQ44="T",AS44-AR44,0)+IF(AU44="T",AW44-AV44,0)+IF(AX44="T",AZ44-AY44,0),"")</f>
        <v/>
      </c>
      <c r="S44" s="36" t="s">
        <v>307</v>
      </c>
      <c r="T44" s="37">
        <v>0.33333333333333331</v>
      </c>
      <c r="U44" s="37">
        <v>0.52083333333333337</v>
      </c>
      <c r="V44" s="21" t="s">
        <v>307</v>
      </c>
      <c r="W44" s="37">
        <v>0.5625</v>
      </c>
      <c r="X44" s="37">
        <v>0.70833333333333337</v>
      </c>
      <c r="Y44" s="38" t="str">
        <f t="shared" si="3"/>
        <v/>
      </c>
      <c r="Z44" s="36" t="s">
        <v>306</v>
      </c>
      <c r="AA44" s="37">
        <v>0.33333333333333331</v>
      </c>
      <c r="AB44" s="37">
        <v>0.52083333333333337</v>
      </c>
      <c r="AC44" s="21" t="s">
        <v>306</v>
      </c>
      <c r="AD44" s="37">
        <v>0.5625</v>
      </c>
      <c r="AE44" s="37">
        <v>0.70833333333333337</v>
      </c>
      <c r="AF44" s="38" t="str">
        <f t="shared" si="4"/>
        <v/>
      </c>
      <c r="AG44" s="36" t="s">
        <v>306</v>
      </c>
      <c r="AH44" s="37">
        <v>0.33333333333333331</v>
      </c>
      <c r="AI44" s="37">
        <v>0.52083333333333337</v>
      </c>
      <c r="AJ44" s="21" t="s">
        <v>306</v>
      </c>
      <c r="AK44" s="37">
        <v>0.5625</v>
      </c>
      <c r="AL44" s="37">
        <v>0.70833333333333337</v>
      </c>
      <c r="AM44" s="38" t="str">
        <f t="shared" si="5"/>
        <v/>
      </c>
      <c r="AN44" s="36" t="s">
        <v>306</v>
      </c>
      <c r="AO44" s="37">
        <v>0.32291666666666669</v>
      </c>
      <c r="AP44" s="37">
        <v>0.53472222222222221</v>
      </c>
      <c r="AQ44" s="21" t="s">
        <v>306</v>
      </c>
      <c r="AR44" s="37"/>
      <c r="AS44" s="37"/>
      <c r="AT44" s="38" t="str">
        <f t="shared" si="6"/>
        <v/>
      </c>
      <c r="AU44" s="36" t="s">
        <v>306</v>
      </c>
      <c r="AV44" s="37">
        <v>0.33333333333333331</v>
      </c>
      <c r="AW44" s="37">
        <v>0.52083333333333337</v>
      </c>
      <c r="AX44" s="21" t="s">
        <v>306</v>
      </c>
      <c r="AY44" s="37">
        <v>0.5625</v>
      </c>
      <c r="AZ44" s="37">
        <v>0.70833333333333337</v>
      </c>
      <c r="BA44" s="39" t="str">
        <f t="shared" si="7"/>
        <v/>
      </c>
      <c r="BB44" s="46" t="s">
        <v>622</v>
      </c>
      <c r="BC44" s="31" t="s">
        <v>887</v>
      </c>
      <c r="BD44" s="16" t="s">
        <v>322</v>
      </c>
      <c r="BE44" s="16" t="s">
        <v>311</v>
      </c>
      <c r="BF44" s="244" t="str">
        <f>T_BilanSocial2[[#This Row],[Nom]]&amp;T_BilanSocial2[[#This Row],[Prénom]]</f>
        <v/>
      </c>
    </row>
    <row r="45" spans="1:58" ht="21.75" hidden="1" customHeight="1" x14ac:dyDescent="0.25">
      <c r="A45" s="90">
        <v>187</v>
      </c>
      <c r="B45" s="126" t="s">
        <v>210</v>
      </c>
      <c r="C45" s="126" t="str">
        <f>VLOOKUP(T_BilanSocial2[[#This Row],[NumL]],T_Commission[#Data],COLUMN(T_Commission[FINAL]),FALSE)</f>
        <v/>
      </c>
      <c r="D45" s="19" t="str">
        <f t="shared" si="0"/>
        <v/>
      </c>
      <c r="E45" s="19" t="str">
        <f t="shared" si="1"/>
        <v/>
      </c>
      <c r="F45" s="242" t="str">
        <f>IFERROR(VLOOKUP(T_BilanSocial2[[#This Row],[Zone_Bilan]],T_P_BilanSocial[#Data],COLUMN(T_P_BilanSocial[[#This Row],[Numero_SIHAM]]),FALSE),"")</f>
        <v/>
      </c>
      <c r="G45" s="242" t="str">
        <f>IFERROR(VLOOKUP(T_BilanSocial2[[#This Row],[Zone_Bilan]],T_P_BilanSocial[#Data],COLUMN(T_P_BilanSocial[[#This Row],[Sexe]]),FALSE),"")</f>
        <v/>
      </c>
      <c r="H45" s="243" t="str">
        <f>IFERROR(VLOOKUP(T_BilanSocial2[[#This Row],[Zone_Bilan]],T_P_BilanSocial[#Data],COLUMN(T_P_BilanSocial[[#This Row],[Categorie]]),FALSE),"")</f>
        <v/>
      </c>
      <c r="I45" s="242" t="str">
        <f>IFERROR(VLOOKUP(T_BilanSocial2[[#This Row],[Zone_Bilan]],T_P_BilanSocial[#Data],COLUMN(T_P_BilanSocial[[#This Row],[Statut]]),FALSE),"")</f>
        <v/>
      </c>
      <c r="J45" s="242" t="str">
        <f>IFERROR(VLOOKUP(T_BilanSocial2[[#This Row],[Zone_Bilan]],T_P_BilanSocial[#Data],COLUMN(T_P_BilanSocial[[#This Row],[Filiere]]),FALSE),"")</f>
        <v/>
      </c>
      <c r="K45" s="78">
        <v>0.8</v>
      </c>
      <c r="L45" s="213">
        <v>1.2361111111111112</v>
      </c>
      <c r="M45" s="78" t="s">
        <v>210</v>
      </c>
      <c r="N45" s="79" t="str">
        <f>IF((AND(T_BilanSocial2[[#This Row],[Nom]]&lt;&gt;"",T_BilanSocial2[[#This Row],[Reg Ponct]]="R")),(COUNTIF(S45:AX45,"S")+COUNTIF(S45:AX45,"T"))/2,"")</f>
        <v/>
      </c>
      <c r="O45" s="79" t="str">
        <f>IF((AND(T_BilanSocial2[[#This Row],[Nom]]&lt;&gt;"",T_BilanSocial2[[#This Row],[Reg Ponct]]="R")),COUNTIF(S45:AX45,"S")/2,"")</f>
        <v/>
      </c>
      <c r="P45" s="80" t="str">
        <f>IF((AND(T_BilanSocial2[[#This Row],[Nom]]&lt;&gt;"",T_BilanSocial2[[#This Row],[Reg Ponct]]="R")),COUNTIF(S45:AX45,"t")/2,"")</f>
        <v/>
      </c>
      <c r="Q45" s="81" t="str">
        <f t="shared" si="2"/>
        <v/>
      </c>
      <c r="R45" s="82" t="str">
        <f>IF((AND(T_BilanSocial2[[#This Row],[Nom]]&lt;&gt;"",T_BilanSocial2[[#This Row],[Reg Ponct]]="R")),IF(S45="T",U45-T45,0)+IF(V45="T",X45-W45,0)+IF(Z45="T",AB45-AA45,0)+IF(AC45="T",AE45-AD45,0)+IF(AG45="T",AI45-AH45,0)+IF(AJ45="T",AL45-AK45,0)+IF(AN45="T",AP45-AO45,0)+IF(AQ45="T",AS45-AR45,0)+IF(AU45="T",AW45-AV45,0)+IF(AX45="T",AZ45-AY45,0),"")</f>
        <v/>
      </c>
      <c r="S45" s="36" t="s">
        <v>306</v>
      </c>
      <c r="T45" s="37">
        <v>0.375</v>
      </c>
      <c r="U45" s="37">
        <v>0.5</v>
      </c>
      <c r="V45" s="21" t="s">
        <v>306</v>
      </c>
      <c r="W45" s="37">
        <v>0.54166666666666663</v>
      </c>
      <c r="X45" s="37">
        <v>0.79166666666666663</v>
      </c>
      <c r="Y45" s="38" t="str">
        <f t="shared" si="3"/>
        <v/>
      </c>
      <c r="Z45" s="36" t="s">
        <v>307</v>
      </c>
      <c r="AA45" s="37">
        <v>0.375</v>
      </c>
      <c r="AB45" s="37">
        <v>0.5</v>
      </c>
      <c r="AC45" s="21" t="s">
        <v>307</v>
      </c>
      <c r="AD45" s="37">
        <v>0.54166666666666663</v>
      </c>
      <c r="AE45" s="37">
        <v>0.66666666666666663</v>
      </c>
      <c r="AF45" s="38" t="str">
        <f t="shared" si="4"/>
        <v/>
      </c>
      <c r="AG45" s="36" t="s">
        <v>306</v>
      </c>
      <c r="AH45" s="37">
        <v>0.33333333333333331</v>
      </c>
      <c r="AI45" s="37">
        <v>0.5</v>
      </c>
      <c r="AJ45" s="21" t="s">
        <v>306</v>
      </c>
      <c r="AK45" s="37">
        <v>0.54166666666666663</v>
      </c>
      <c r="AL45" s="37">
        <v>0.69444444444444453</v>
      </c>
      <c r="AM45" s="38" t="str">
        <f t="shared" si="5"/>
        <v/>
      </c>
      <c r="AN45" s="36" t="s">
        <v>306</v>
      </c>
      <c r="AO45" s="37">
        <v>0.41666666666666669</v>
      </c>
      <c r="AP45" s="37">
        <v>0.5</v>
      </c>
      <c r="AQ45" s="21" t="s">
        <v>306</v>
      </c>
      <c r="AR45" s="37">
        <v>0.54166666666666663</v>
      </c>
      <c r="AS45" s="37">
        <v>0.75</v>
      </c>
      <c r="AT45" s="38" t="str">
        <f t="shared" si="6"/>
        <v/>
      </c>
      <c r="AU45" s="36" t="s">
        <v>308</v>
      </c>
      <c r="AV45" s="37"/>
      <c r="AW45" s="37"/>
      <c r="AX45" s="21" t="s">
        <v>308</v>
      </c>
      <c r="AY45" s="37"/>
      <c r="AZ45" s="37"/>
      <c r="BA45" s="39" t="str">
        <f t="shared" si="7"/>
        <v/>
      </c>
      <c r="BB45" s="46" t="s">
        <v>944</v>
      </c>
      <c r="BC45" s="31" t="s">
        <v>945</v>
      </c>
      <c r="BD45" s="16" t="s">
        <v>322</v>
      </c>
      <c r="BE45" s="16" t="s">
        <v>322</v>
      </c>
      <c r="BF45" s="244" t="str">
        <f>T_BilanSocial2[[#This Row],[Nom]]&amp;T_BilanSocial2[[#This Row],[Prénom]]</f>
        <v/>
      </c>
    </row>
    <row r="46" spans="1:58" ht="21.75" hidden="1" customHeight="1" x14ac:dyDescent="0.25">
      <c r="A46" s="90">
        <v>173</v>
      </c>
      <c r="B46" s="126" t="s">
        <v>311</v>
      </c>
      <c r="C46" s="126" t="str">
        <f>VLOOKUP(T_BilanSocial2[[#This Row],[NumL]],T_Commission[#Data],COLUMN(T_Commission[FINAL]),FALSE)</f>
        <v/>
      </c>
      <c r="D46" s="19" t="str">
        <f t="shared" si="0"/>
        <v/>
      </c>
      <c r="E46" s="19" t="str">
        <f t="shared" si="1"/>
        <v/>
      </c>
      <c r="F46" s="242" t="str">
        <f>IFERROR(VLOOKUP(T_BilanSocial2[[#This Row],[Zone_Bilan]],T_P_BilanSocial[#Data],COLUMN(T_P_BilanSocial[[#This Row],[Numero_SIHAM]]),FALSE),"")</f>
        <v/>
      </c>
      <c r="G46" s="242" t="str">
        <f>IFERROR(VLOOKUP(T_BilanSocial2[[#This Row],[Zone_Bilan]],T_P_BilanSocial[#Data],COLUMN(T_P_BilanSocial[[#This Row],[Sexe]]),FALSE),"")</f>
        <v/>
      </c>
      <c r="H46" s="243" t="str">
        <f>IFERROR(VLOOKUP(T_BilanSocial2[[#This Row],[Zone_Bilan]],T_P_BilanSocial[#Data],COLUMN(T_P_BilanSocial[[#This Row],[Categorie]]),FALSE),"")</f>
        <v/>
      </c>
      <c r="I46" s="242" t="str">
        <f>IFERROR(VLOOKUP(T_BilanSocial2[[#This Row],[Zone_Bilan]],T_P_BilanSocial[#Data],COLUMN(T_P_BilanSocial[[#This Row],[Statut]]),FALSE),"")</f>
        <v/>
      </c>
      <c r="J46" s="242" t="str">
        <f>IFERROR(VLOOKUP(T_BilanSocial2[[#This Row],[Zone_Bilan]],T_P_BilanSocial[#Data],COLUMN(T_P_BilanSocial[[#This Row],[Filiere]]),FALSE),"")</f>
        <v/>
      </c>
      <c r="K46" s="78">
        <v>1</v>
      </c>
      <c r="L46" s="213">
        <v>1.5451388888888891</v>
      </c>
      <c r="M46" s="78" t="s">
        <v>210</v>
      </c>
      <c r="N46" s="79" t="str">
        <f>IF((AND(T_BilanSocial2[[#This Row],[Nom]]&lt;&gt;"",T_BilanSocial2[[#This Row],[Reg Ponct]]="R")),(COUNTIF(S46:AX46,"S")+COUNTIF(S46:AX46,"T"))/2,"")</f>
        <v/>
      </c>
      <c r="O46" s="79" t="str">
        <f>IF((AND(T_BilanSocial2[[#This Row],[Nom]]&lt;&gt;"",T_BilanSocial2[[#This Row],[Reg Ponct]]="R")),COUNTIF(S46:AX46,"S")/2,"")</f>
        <v/>
      </c>
      <c r="P46" s="80" t="str">
        <f>IF((AND(T_BilanSocial2[[#This Row],[Nom]]&lt;&gt;"",T_BilanSocial2[[#This Row],[Reg Ponct]]="R")),COUNTIF(S46:AX46,"t")/2,"")</f>
        <v/>
      </c>
      <c r="Q46" s="81" t="str">
        <f t="shared" si="2"/>
        <v/>
      </c>
      <c r="R46" s="82" t="str">
        <f>IF((AND(T_BilanSocial2[[#This Row],[Nom]]&lt;&gt;"",T_BilanSocial2[[#This Row],[Reg Ponct]]="R")),IF(S46="T",U46-T46,0)+IF(V46="T",X46-W46,0)+IF(Z46="T",AB46-AA46,0)+IF(AC46="T",AE46-AD46,0)+IF(AG46="T",AI46-AH46,0)+IF(AJ46="T",AL46-AK46,0)+IF(AN46="T",AP46-AO46,0)+IF(AQ46="T",AS46-AR46,0)+IF(AU46="T",AW46-AV46,0)+IF(AX46="T",AZ46-AY46,0),"")</f>
        <v/>
      </c>
      <c r="S46" s="36" t="s">
        <v>307</v>
      </c>
      <c r="T46" s="37">
        <v>0.35416666666666669</v>
      </c>
      <c r="U46" s="37">
        <v>0.52083333333333337</v>
      </c>
      <c r="V46" s="21" t="s">
        <v>307</v>
      </c>
      <c r="W46" s="37">
        <v>0.5625</v>
      </c>
      <c r="X46" s="37">
        <v>0.72222222222222221</v>
      </c>
      <c r="Y46" s="38" t="str">
        <f t="shared" si="3"/>
        <v/>
      </c>
      <c r="Z46" s="36" t="s">
        <v>306</v>
      </c>
      <c r="AA46" s="37">
        <v>0.35416666666666669</v>
      </c>
      <c r="AB46" s="37">
        <v>0.52083333333333337</v>
      </c>
      <c r="AC46" s="21" t="s">
        <v>306</v>
      </c>
      <c r="AD46" s="37">
        <v>0.5625</v>
      </c>
      <c r="AE46" s="37">
        <v>0.71875</v>
      </c>
      <c r="AF46" s="38" t="str">
        <f t="shared" si="4"/>
        <v/>
      </c>
      <c r="AG46" s="36" t="s">
        <v>306</v>
      </c>
      <c r="AH46" s="37">
        <v>0.375</v>
      </c>
      <c r="AI46" s="37">
        <v>0.52083333333333337</v>
      </c>
      <c r="AJ46" s="21" t="s">
        <v>306</v>
      </c>
      <c r="AK46" s="37">
        <v>0.5625</v>
      </c>
      <c r="AL46" s="37">
        <v>0.66666666666666663</v>
      </c>
      <c r="AM46" s="38" t="str">
        <f t="shared" si="5"/>
        <v/>
      </c>
      <c r="AN46" s="36" t="s">
        <v>306</v>
      </c>
      <c r="AO46" s="37">
        <v>0.35416666666666669</v>
      </c>
      <c r="AP46" s="37">
        <v>0.52083333333333337</v>
      </c>
      <c r="AQ46" s="21" t="s">
        <v>306</v>
      </c>
      <c r="AR46" s="37">
        <v>0.5625</v>
      </c>
      <c r="AS46" s="37">
        <v>0.71875</v>
      </c>
      <c r="AT46" s="38" t="str">
        <f t="shared" si="6"/>
        <v/>
      </c>
      <c r="AU46" s="36" t="s">
        <v>307</v>
      </c>
      <c r="AV46" s="37">
        <v>0.35416666666666669</v>
      </c>
      <c r="AW46" s="37">
        <v>0.52083333333333337</v>
      </c>
      <c r="AX46" s="21" t="s">
        <v>307</v>
      </c>
      <c r="AY46" s="37">
        <v>0.5625</v>
      </c>
      <c r="AZ46" s="37">
        <v>0.71875</v>
      </c>
      <c r="BA46" s="39" t="str">
        <f t="shared" si="7"/>
        <v/>
      </c>
      <c r="BB46" s="46" t="s">
        <v>841</v>
      </c>
      <c r="BC46" s="31" t="s">
        <v>842</v>
      </c>
      <c r="BD46" s="16" t="s">
        <v>311</v>
      </c>
      <c r="BE46" s="16" t="s">
        <v>311</v>
      </c>
      <c r="BF46" s="244" t="str">
        <f>T_BilanSocial2[[#This Row],[Nom]]&amp;T_BilanSocial2[[#This Row],[Prénom]]</f>
        <v/>
      </c>
    </row>
    <row r="47" spans="1:58" ht="21.75" hidden="1" customHeight="1" x14ac:dyDescent="0.25">
      <c r="A47" s="90">
        <v>184</v>
      </c>
      <c r="B47" s="126" t="s">
        <v>311</v>
      </c>
      <c r="C47" s="126" t="str">
        <f>VLOOKUP(T_BilanSocial2[[#This Row],[NumL]],T_Commission[#Data],COLUMN(T_Commission[FINAL]),FALSE)</f>
        <v/>
      </c>
      <c r="D47" s="19" t="str">
        <f t="shared" si="0"/>
        <v/>
      </c>
      <c r="E47" s="19" t="str">
        <f t="shared" si="1"/>
        <v/>
      </c>
      <c r="F47" s="242" t="str">
        <f>IFERROR(VLOOKUP(T_BilanSocial2[[#This Row],[Zone_Bilan]],T_P_BilanSocial[#Data],COLUMN(T_P_BilanSocial[[#This Row],[Numero_SIHAM]]),FALSE),"")</f>
        <v/>
      </c>
      <c r="G47" s="242" t="str">
        <f>IFERROR(VLOOKUP(T_BilanSocial2[[#This Row],[Zone_Bilan]],T_P_BilanSocial[#Data],COLUMN(T_P_BilanSocial[[#This Row],[Sexe]]),FALSE),"")</f>
        <v/>
      </c>
      <c r="H47" s="243" t="str">
        <f>IFERROR(VLOOKUP(T_BilanSocial2[[#This Row],[Zone_Bilan]],T_P_BilanSocial[#Data],COLUMN(T_P_BilanSocial[[#This Row],[Categorie]]),FALSE),"")</f>
        <v/>
      </c>
      <c r="I47" s="242" t="str">
        <f>IFERROR(VLOOKUP(T_BilanSocial2[[#This Row],[Zone_Bilan]],T_P_BilanSocial[#Data],COLUMN(T_P_BilanSocial[[#This Row],[Statut]]),FALSE),"")</f>
        <v/>
      </c>
      <c r="J47" s="242" t="str">
        <f>IFERROR(VLOOKUP(T_BilanSocial2[[#This Row],[Zone_Bilan]],T_P_BilanSocial[#Data],COLUMN(T_P_BilanSocial[[#This Row],[Filiere]]),FALSE),"")</f>
        <v/>
      </c>
      <c r="K47" s="78">
        <v>1</v>
      </c>
      <c r="L47" s="213">
        <v>1.5451388888888891</v>
      </c>
      <c r="M47" s="78" t="s">
        <v>210</v>
      </c>
      <c r="N47" s="79" t="str">
        <f>IF((AND(T_BilanSocial2[[#This Row],[Nom]]&lt;&gt;"",T_BilanSocial2[[#This Row],[Reg Ponct]]="R")),(COUNTIF(S47:AX47,"S")+COUNTIF(S47:AX47,"T"))/2,"")</f>
        <v/>
      </c>
      <c r="O47" s="79" t="str">
        <f>IF((AND(T_BilanSocial2[[#This Row],[Nom]]&lt;&gt;"",T_BilanSocial2[[#This Row],[Reg Ponct]]="R")),COUNTIF(S47:AX47,"S")/2,"")</f>
        <v/>
      </c>
      <c r="P47" s="80" t="str">
        <f>IF((AND(T_BilanSocial2[[#This Row],[Nom]]&lt;&gt;"",T_BilanSocial2[[#This Row],[Reg Ponct]]="R")),COUNTIF(S47:AX47,"t")/2,"")</f>
        <v/>
      </c>
      <c r="Q47" s="81" t="str">
        <f t="shared" si="2"/>
        <v/>
      </c>
      <c r="R47" s="82" t="str">
        <f>IF((AND(T_BilanSocial2[[#This Row],[Nom]]&lt;&gt;"",T_BilanSocial2[[#This Row],[Reg Ponct]]="R")),IF(S47="T",U47-T47,0)+IF(V47="T",X47-W47,0)+IF(Z47="T",AB47-AA47,0)+IF(AC47="T",AE47-AD47,0)+IF(AG47="T",AI47-AH47,0)+IF(AJ47="T",AL47-AK47,0)+IF(AN47="T",AP47-AO47,0)+IF(AQ47="T",AS47-AR47,0)+IF(AU47="T",AW47-AV47,0)+IF(AX47="T",AZ47-AY47,0),"")</f>
        <v/>
      </c>
      <c r="S47" s="36" t="s">
        <v>306</v>
      </c>
      <c r="T47" s="37">
        <v>0.33333333333333331</v>
      </c>
      <c r="U47" s="37">
        <v>0.5</v>
      </c>
      <c r="V47" s="21" t="s">
        <v>306</v>
      </c>
      <c r="W47" s="37">
        <v>0.54166666666666663</v>
      </c>
      <c r="X47" s="37">
        <v>0.66666666666666663</v>
      </c>
      <c r="Y47" s="38" t="str">
        <f t="shared" si="3"/>
        <v/>
      </c>
      <c r="Z47" s="36" t="s">
        <v>306</v>
      </c>
      <c r="AA47" s="37">
        <v>0.33333333333333331</v>
      </c>
      <c r="AB47" s="37">
        <v>0.5</v>
      </c>
      <c r="AC47" s="21" t="s">
        <v>306</v>
      </c>
      <c r="AD47" s="37">
        <v>0.54166666666666663</v>
      </c>
      <c r="AE47" s="37">
        <v>0.79166666666666663</v>
      </c>
      <c r="AF47" s="38" t="str">
        <f t="shared" si="4"/>
        <v/>
      </c>
      <c r="AG47" s="36" t="s">
        <v>306</v>
      </c>
      <c r="AH47" s="37">
        <v>0.33333333333333331</v>
      </c>
      <c r="AI47" s="37">
        <v>0.54513888888888895</v>
      </c>
      <c r="AJ47" s="21" t="s">
        <v>308</v>
      </c>
      <c r="AK47" s="37"/>
      <c r="AL47" s="37"/>
      <c r="AM47" s="38" t="str">
        <f t="shared" si="5"/>
        <v/>
      </c>
      <c r="AN47" s="36" t="s">
        <v>306</v>
      </c>
      <c r="AO47" s="37">
        <v>0.33333333333333331</v>
      </c>
      <c r="AP47" s="37">
        <v>0.5</v>
      </c>
      <c r="AQ47" s="21" t="s">
        <v>306</v>
      </c>
      <c r="AR47" s="37">
        <v>0.54166666666666663</v>
      </c>
      <c r="AS47" s="37">
        <v>0.66666666666666663</v>
      </c>
      <c r="AT47" s="38" t="str">
        <f t="shared" si="6"/>
        <v/>
      </c>
      <c r="AU47" s="36" t="s">
        <v>307</v>
      </c>
      <c r="AV47" s="37">
        <v>0.33333333333333331</v>
      </c>
      <c r="AW47" s="37">
        <v>0.5</v>
      </c>
      <c r="AX47" s="21" t="s">
        <v>307</v>
      </c>
      <c r="AY47" s="37">
        <v>0.54166666666666663</v>
      </c>
      <c r="AZ47" s="37">
        <v>0.70833333333333337</v>
      </c>
      <c r="BA47" s="39" t="str">
        <f t="shared" si="7"/>
        <v/>
      </c>
      <c r="BB47" s="46" t="s">
        <v>611</v>
      </c>
      <c r="BC47" s="31" t="s">
        <v>341</v>
      </c>
      <c r="BD47" s="16" t="s">
        <v>311</v>
      </c>
      <c r="BE47" s="16" t="s">
        <v>311</v>
      </c>
      <c r="BF47" s="244" t="str">
        <f>T_BilanSocial2[[#This Row],[Nom]]&amp;T_BilanSocial2[[#This Row],[Prénom]]</f>
        <v/>
      </c>
    </row>
    <row r="48" spans="1:58" ht="21.75" hidden="1" customHeight="1" x14ac:dyDescent="0.25">
      <c r="A48" s="90">
        <v>56</v>
      </c>
      <c r="B48" s="126" t="s">
        <v>210</v>
      </c>
      <c r="C48" s="126" t="str">
        <f>VLOOKUP(T_BilanSocial2[[#This Row],[NumL]],T_Commission[#Data],COLUMN(T_Commission[FINAL]),FALSE)</f>
        <v/>
      </c>
      <c r="D48" s="19" t="str">
        <f t="shared" si="0"/>
        <v/>
      </c>
      <c r="E48" s="19" t="str">
        <f t="shared" si="1"/>
        <v/>
      </c>
      <c r="F48" s="242" t="str">
        <f>IFERROR(VLOOKUP(T_BilanSocial2[[#This Row],[Zone_Bilan]],T_P_BilanSocial[#Data],COLUMN(T_P_BilanSocial[[#This Row],[Numero_SIHAM]]),FALSE),"")</f>
        <v/>
      </c>
      <c r="G48" s="242" t="str">
        <f>IFERROR(VLOOKUP(T_BilanSocial2[[#This Row],[Zone_Bilan]],T_P_BilanSocial[#Data],COLUMN(T_P_BilanSocial[[#This Row],[Sexe]]),FALSE),"")</f>
        <v/>
      </c>
      <c r="H48" s="243" t="str">
        <f>IFERROR(VLOOKUP(T_BilanSocial2[[#This Row],[Zone_Bilan]],T_P_BilanSocial[#Data],COLUMN(T_P_BilanSocial[[#This Row],[Categorie]]),FALSE),"")</f>
        <v/>
      </c>
      <c r="I48" s="242" t="str">
        <f>IFERROR(VLOOKUP(T_BilanSocial2[[#This Row],[Zone_Bilan]],T_P_BilanSocial[#Data],COLUMN(T_P_BilanSocial[[#This Row],[Statut]]),FALSE),"")</f>
        <v/>
      </c>
      <c r="J48" s="242" t="str">
        <f>IFERROR(VLOOKUP(T_BilanSocial2[[#This Row],[Zone_Bilan]],T_P_BilanSocial[#Data],COLUMN(T_P_BilanSocial[[#This Row],[Filiere]]),FALSE),"")</f>
        <v/>
      </c>
      <c r="K48" s="78">
        <v>1</v>
      </c>
      <c r="L48" s="213">
        <v>1.5451388888888891</v>
      </c>
      <c r="M48" s="78" t="s">
        <v>210</v>
      </c>
      <c r="N48" s="79" t="str">
        <f>IF((AND(T_BilanSocial2[[#This Row],[Nom]]&lt;&gt;"",T_BilanSocial2[[#This Row],[Reg Ponct]]="R")),(COUNTIF(S48:AX48,"S")+COUNTIF(S48:AX48,"T"))/2,"")</f>
        <v/>
      </c>
      <c r="O48" s="79" t="str">
        <f>IF((AND(T_BilanSocial2[[#This Row],[Nom]]&lt;&gt;"",T_BilanSocial2[[#This Row],[Reg Ponct]]="R")),COUNTIF(S48:AX48,"S")/2,"")</f>
        <v/>
      </c>
      <c r="P48" s="80" t="str">
        <f>IF((AND(T_BilanSocial2[[#This Row],[Nom]]&lt;&gt;"",T_BilanSocial2[[#This Row],[Reg Ponct]]="R")),COUNTIF(S48:AX48,"t")/2,"")</f>
        <v/>
      </c>
      <c r="Q48" s="81" t="str">
        <f t="shared" si="2"/>
        <v/>
      </c>
      <c r="R48" s="82" t="str">
        <f>IF((AND(T_BilanSocial2[[#This Row],[Nom]]&lt;&gt;"",T_BilanSocial2[[#This Row],[Reg Ponct]]="R")),IF(S48="T",U48-T48,0)+IF(V48="T",X48-W48,0)+IF(Z48="T",AB48-AA48,0)+IF(AC48="T",AE48-AD48,0)+IF(AG48="T",AI48-AH48,0)+IF(AJ48="T",AL48-AK48,0)+IF(AN48="T",AP48-AO48,0)+IF(AQ48="T",AS48-AR48,0)+IF(AU48="T",AW48-AV48,0)+IF(AX48="T",AZ48-AY48,0),"")</f>
        <v/>
      </c>
      <c r="S48" s="36" t="s">
        <v>306</v>
      </c>
      <c r="T48" s="37">
        <v>0.35416666666666669</v>
      </c>
      <c r="U48" s="37">
        <v>0.52083333333333337</v>
      </c>
      <c r="V48" s="21" t="s">
        <v>306</v>
      </c>
      <c r="W48" s="37">
        <v>0.5625</v>
      </c>
      <c r="X48" s="37">
        <v>0.73958333333333337</v>
      </c>
      <c r="Y48" s="38" t="str">
        <f t="shared" si="3"/>
        <v/>
      </c>
      <c r="Z48" s="36" t="s">
        <v>306</v>
      </c>
      <c r="AA48" s="37">
        <v>0.35416666666666669</v>
      </c>
      <c r="AB48" s="37">
        <v>0.52083333333333337</v>
      </c>
      <c r="AC48" s="21" t="s">
        <v>306</v>
      </c>
      <c r="AD48" s="37">
        <v>0.5625</v>
      </c>
      <c r="AE48" s="37">
        <v>0.73958333333333337</v>
      </c>
      <c r="AF48" s="38" t="str">
        <f t="shared" si="4"/>
        <v/>
      </c>
      <c r="AG48" s="36" t="s">
        <v>307</v>
      </c>
      <c r="AH48" s="37">
        <v>0.33333333333333331</v>
      </c>
      <c r="AI48" s="37">
        <v>0.52083333333333337</v>
      </c>
      <c r="AJ48" s="21" t="s">
        <v>308</v>
      </c>
      <c r="AK48" s="37"/>
      <c r="AL48" s="37"/>
      <c r="AM48" s="38" t="str">
        <f t="shared" si="5"/>
        <v/>
      </c>
      <c r="AN48" s="36" t="s">
        <v>306</v>
      </c>
      <c r="AO48" s="37">
        <v>0.35416666666666669</v>
      </c>
      <c r="AP48" s="37">
        <v>0.52083333333333337</v>
      </c>
      <c r="AQ48" s="21" t="s">
        <v>306</v>
      </c>
      <c r="AR48" s="37">
        <v>0.5625</v>
      </c>
      <c r="AS48" s="37">
        <v>0.72222222222222221</v>
      </c>
      <c r="AT48" s="38" t="str">
        <f t="shared" si="6"/>
        <v/>
      </c>
      <c r="AU48" s="36" t="s">
        <v>306</v>
      </c>
      <c r="AV48" s="37">
        <v>0.34375</v>
      </c>
      <c r="AW48" s="37">
        <v>0.52083333333333337</v>
      </c>
      <c r="AX48" s="21" t="s">
        <v>306</v>
      </c>
      <c r="AY48" s="37">
        <v>0.5625</v>
      </c>
      <c r="AZ48" s="37">
        <v>0.72916666666666663</v>
      </c>
      <c r="BA48" s="39" t="str">
        <f t="shared" si="7"/>
        <v/>
      </c>
      <c r="BB48" s="46" t="s">
        <v>566</v>
      </c>
      <c r="BC48" s="31" t="s">
        <v>567</v>
      </c>
      <c r="BD48" s="16" t="s">
        <v>322</v>
      </c>
      <c r="BE48" s="16" t="s">
        <v>322</v>
      </c>
      <c r="BF48" s="244" t="str">
        <f>T_BilanSocial2[[#This Row],[Nom]]&amp;T_BilanSocial2[[#This Row],[Prénom]]</f>
        <v/>
      </c>
    </row>
    <row r="49" spans="1:58" ht="21.75" customHeight="1" x14ac:dyDescent="0.25">
      <c r="A49" s="90">
        <v>257</v>
      </c>
      <c r="B49" s="126" t="s">
        <v>311</v>
      </c>
      <c r="C49" s="126" t="str">
        <f>VLOOKUP(T_BilanSocial2[[#This Row],[NumL]],T_Commission[#Data],COLUMN(T_Commission[FINAL]),FALSE)</f>
        <v/>
      </c>
      <c r="D49" s="19" t="str">
        <f t="shared" si="0"/>
        <v/>
      </c>
      <c r="E49" s="19" t="str">
        <f t="shared" si="1"/>
        <v/>
      </c>
      <c r="F49" s="242" t="str">
        <f>IFERROR(VLOOKUP(T_BilanSocial2[[#This Row],[Zone_Bilan]],T_P_BilanSocial[#Data],COLUMN(T_P_BilanSocial[[#This Row],[Numero_SIHAM]]),FALSE),"")</f>
        <v/>
      </c>
      <c r="G49" s="242" t="str">
        <f>IFERROR(VLOOKUP(T_BilanSocial2[[#This Row],[Zone_Bilan]],T_P_BilanSocial[#Data],COLUMN(T_P_BilanSocial[[#This Row],[Sexe]]),FALSE),"")</f>
        <v/>
      </c>
      <c r="H49" s="243" t="str">
        <f>IFERROR(VLOOKUP(T_BilanSocial2[[#This Row],[Zone_Bilan]],T_P_BilanSocial[#Data],COLUMN(T_P_BilanSocial[[#This Row],[Categorie]]),FALSE),"")</f>
        <v/>
      </c>
      <c r="I49" s="242" t="str">
        <f>IFERROR(VLOOKUP(T_BilanSocial2[[#This Row],[Zone_Bilan]],T_P_BilanSocial[#Data],COLUMN(T_P_BilanSocial[[#This Row],[Statut]]),FALSE),"")</f>
        <v/>
      </c>
      <c r="J49" s="242" t="str">
        <f>IFERROR(VLOOKUP(T_BilanSocial2[[#This Row],[Zone_Bilan]],T_P_BilanSocial[#Data],COLUMN(T_P_BilanSocial[[#This Row],[Filiere]]),FALSE),"")</f>
        <v/>
      </c>
      <c r="K49" s="78">
        <v>0.8</v>
      </c>
      <c r="L49" s="213">
        <v>1.2361111111111112</v>
      </c>
      <c r="M49" s="78" t="s">
        <v>211</v>
      </c>
      <c r="N49" s="79" t="str">
        <f>IF((AND(T_BilanSocial2[[#This Row],[Nom]]&lt;&gt;"",T_BilanSocial2[[#This Row],[Reg Ponct]]="R")),(COUNTIF(S49:AX49,"S")+COUNTIF(S49:AX49,"T"))/2,"")</f>
        <v/>
      </c>
      <c r="O49" s="79" t="str">
        <f>IF((AND(T_BilanSocial2[[#This Row],[Nom]]&lt;&gt;"",T_BilanSocial2[[#This Row],[Reg Ponct]]="R")),COUNTIF(S49:AX49,"S")/2,"")</f>
        <v/>
      </c>
      <c r="P49" s="80" t="str">
        <f>IF((AND(T_BilanSocial2[[#This Row],[Nom]]&lt;&gt;"",T_BilanSocial2[[#This Row],[Reg Ponct]]="R")),COUNTIF(S49:AX49,"t")/2,"")</f>
        <v/>
      </c>
      <c r="Q49" s="81" t="str">
        <f t="shared" si="2"/>
        <v/>
      </c>
      <c r="R49" s="82" t="str">
        <f>IF((AND(T_BilanSocial2[[#This Row],[Nom]]&lt;&gt;"",T_BilanSocial2[[#This Row],[Reg Ponct]]="R")),IF(S49="T",U49-T49,0)+IF(V49="T",X49-W49,0)+IF(Z49="T",AB49-AA49,0)+IF(AC49="T",AE49-AD49,0)+IF(AG49="T",AI49-AH49,0)+IF(AJ49="T",AL49-AK49,0)+IF(AN49="T",AP49-AO49,0)+IF(AQ49="T",AS49-AR49,0)+IF(AU49="T",AW49-AV49,0)+IF(AX49="T",AZ49-AY49,0),"")</f>
        <v/>
      </c>
      <c r="S49" s="36"/>
      <c r="T49" s="37"/>
      <c r="U49" s="37"/>
      <c r="V49" s="21"/>
      <c r="W49" s="37"/>
      <c r="X49" s="37"/>
      <c r="Y49" s="38" t="str">
        <f t="shared" si="3"/>
        <v/>
      </c>
      <c r="Z49" s="36"/>
      <c r="AA49" s="37"/>
      <c r="AB49" s="37"/>
      <c r="AC49" s="21"/>
      <c r="AD49" s="37"/>
      <c r="AE49" s="37"/>
      <c r="AF49" s="38" t="str">
        <f t="shared" si="4"/>
        <v/>
      </c>
      <c r="AG49" s="36"/>
      <c r="AH49" s="37"/>
      <c r="AI49" s="37"/>
      <c r="AJ49" s="21"/>
      <c r="AK49" s="37"/>
      <c r="AL49" s="37"/>
      <c r="AM49" s="38" t="str">
        <f t="shared" si="5"/>
        <v/>
      </c>
      <c r="AN49" s="36"/>
      <c r="AO49" s="37"/>
      <c r="AP49" s="37"/>
      <c r="AQ49" s="21"/>
      <c r="AR49" s="37"/>
      <c r="AS49" s="37"/>
      <c r="AT49" s="38" t="str">
        <f t="shared" si="6"/>
        <v/>
      </c>
      <c r="AU49" s="36"/>
      <c r="AV49" s="37"/>
      <c r="AW49" s="37"/>
      <c r="AX49" s="21"/>
      <c r="AY49" s="37"/>
      <c r="AZ49" s="37"/>
      <c r="BA49" s="39" t="str">
        <f t="shared" si="7"/>
        <v/>
      </c>
      <c r="BB49" s="46" t="s">
        <v>1141</v>
      </c>
      <c r="BC49" s="31" t="s">
        <v>1142</v>
      </c>
      <c r="BD49" s="16" t="s">
        <v>311</v>
      </c>
      <c r="BE49" s="16" t="s">
        <v>311</v>
      </c>
      <c r="BF49" s="244" t="str">
        <f>T_BilanSocial2[[#This Row],[Nom]]&amp;T_BilanSocial2[[#This Row],[Prénom]]</f>
        <v/>
      </c>
    </row>
    <row r="50" spans="1:58" ht="21.75" hidden="1" customHeight="1" x14ac:dyDescent="0.25">
      <c r="A50" s="90">
        <v>32</v>
      </c>
      <c r="B50" s="126" t="s">
        <v>210</v>
      </c>
      <c r="C50" s="126" t="str">
        <f>VLOOKUP(T_BilanSocial2[[#This Row],[NumL]],T_Commission[#Data],COLUMN(T_Commission[FINAL]),FALSE)</f>
        <v/>
      </c>
      <c r="D50" s="19" t="str">
        <f t="shared" si="0"/>
        <v/>
      </c>
      <c r="E50" s="19" t="str">
        <f t="shared" si="1"/>
        <v/>
      </c>
      <c r="F50" s="242" t="str">
        <f>IFERROR(VLOOKUP(T_BilanSocial2[[#This Row],[Zone_Bilan]],T_P_BilanSocial[#Data],COLUMN(T_P_BilanSocial[[#This Row],[Numero_SIHAM]]),FALSE),"")</f>
        <v/>
      </c>
      <c r="G50" s="242" t="str">
        <f>IFERROR(VLOOKUP(T_BilanSocial2[[#This Row],[Zone_Bilan]],T_P_BilanSocial[#Data],COLUMN(T_P_BilanSocial[[#This Row],[Sexe]]),FALSE),"")</f>
        <v/>
      </c>
      <c r="H50" s="243" t="str">
        <f>IFERROR(VLOOKUP(T_BilanSocial2[[#This Row],[Zone_Bilan]],T_P_BilanSocial[#Data],COLUMN(T_P_BilanSocial[[#This Row],[Categorie]]),FALSE),"")</f>
        <v/>
      </c>
      <c r="I50" s="242" t="str">
        <f>IFERROR(VLOOKUP(T_BilanSocial2[[#This Row],[Zone_Bilan]],T_P_BilanSocial[#Data],COLUMN(T_P_BilanSocial[[#This Row],[Statut]]),FALSE),"")</f>
        <v/>
      </c>
      <c r="J50" s="242" t="str">
        <f>IFERROR(VLOOKUP(T_BilanSocial2[[#This Row],[Zone_Bilan]],T_P_BilanSocial[#Data],COLUMN(T_P_BilanSocial[[#This Row],[Filiere]]),FALSE),"")</f>
        <v/>
      </c>
      <c r="K50" s="78">
        <v>1</v>
      </c>
      <c r="L50" s="213">
        <v>1.5451388888888891</v>
      </c>
      <c r="M50" s="78" t="s">
        <v>210</v>
      </c>
      <c r="N50" s="79" t="str">
        <f>IF((AND(T_BilanSocial2[[#This Row],[Nom]]&lt;&gt;"",T_BilanSocial2[[#This Row],[Reg Ponct]]="R")),(COUNTIF(S50:AX50,"S")+COUNTIF(S50:AX50,"T"))/2,"")</f>
        <v/>
      </c>
      <c r="O50" s="79" t="str">
        <f>IF((AND(T_BilanSocial2[[#This Row],[Nom]]&lt;&gt;"",T_BilanSocial2[[#This Row],[Reg Ponct]]="R")),COUNTIF(S50:AX50,"S")/2,"")</f>
        <v/>
      </c>
      <c r="P50" s="80" t="str">
        <f>IF((AND(T_BilanSocial2[[#This Row],[Nom]]&lt;&gt;"",T_BilanSocial2[[#This Row],[Reg Ponct]]="R")),COUNTIF(S50:AX50,"t")/2,"")</f>
        <v/>
      </c>
      <c r="Q50" s="81" t="str">
        <f t="shared" si="2"/>
        <v/>
      </c>
      <c r="R50" s="82" t="str">
        <f>IF((AND(T_BilanSocial2[[#This Row],[Nom]]&lt;&gt;"",T_BilanSocial2[[#This Row],[Reg Ponct]]="R")),IF(S50="T",U50-T50,0)+IF(V50="T",X50-W50,0)+IF(Z50="T",AB50-AA50,0)+IF(AC50="T",AE50-AD50,0)+IF(AG50="T",AI50-AH50,0)+IF(AJ50="T",AL50-AK50,0)+IF(AN50="T",AP50-AO50,0)+IF(AQ50="T",AS50-AR50,0)+IF(AU50="T",AW50-AV50,0)+IF(AX50="T",AZ50-AY50,0),"")</f>
        <v/>
      </c>
      <c r="S50" s="36" t="s">
        <v>306</v>
      </c>
      <c r="T50" s="37">
        <v>0.31944444444444448</v>
      </c>
      <c r="U50" s="37">
        <v>0.52083333333333337</v>
      </c>
      <c r="V50" s="21" t="s">
        <v>306</v>
      </c>
      <c r="W50" s="37">
        <v>0.5625</v>
      </c>
      <c r="X50" s="37">
        <v>0.69791666666666663</v>
      </c>
      <c r="Y50" s="38" t="str">
        <f t="shared" si="3"/>
        <v/>
      </c>
      <c r="Z50" s="36" t="s">
        <v>306</v>
      </c>
      <c r="AA50" s="37">
        <v>0.31944444444444448</v>
      </c>
      <c r="AB50" s="37">
        <v>0.52083333333333337</v>
      </c>
      <c r="AC50" s="21" t="s">
        <v>306</v>
      </c>
      <c r="AD50" s="37">
        <v>0.5625</v>
      </c>
      <c r="AE50" s="37">
        <v>0.69791666666666663</v>
      </c>
      <c r="AF50" s="38" t="str">
        <f t="shared" si="4"/>
        <v/>
      </c>
      <c r="AG50" s="36" t="s">
        <v>307</v>
      </c>
      <c r="AH50" s="37">
        <v>0.33333333333333331</v>
      </c>
      <c r="AI50" s="37">
        <v>0.54166666666666663</v>
      </c>
      <c r="AJ50" s="21" t="s">
        <v>307</v>
      </c>
      <c r="AK50" s="37">
        <v>0.58333333333333337</v>
      </c>
      <c r="AL50" s="37">
        <v>0.72222222222222221</v>
      </c>
      <c r="AM50" s="38" t="str">
        <f t="shared" si="5"/>
        <v/>
      </c>
      <c r="AN50" s="36" t="s">
        <v>306</v>
      </c>
      <c r="AO50" s="37">
        <v>0.31944444444444448</v>
      </c>
      <c r="AP50" s="37">
        <v>0.52083333333333337</v>
      </c>
      <c r="AQ50" s="21" t="s">
        <v>306</v>
      </c>
      <c r="AR50" s="37">
        <v>0.5625</v>
      </c>
      <c r="AS50" s="37">
        <v>0.69791666666666663</v>
      </c>
      <c r="AT50" s="38" t="str">
        <f t="shared" si="6"/>
        <v/>
      </c>
      <c r="AU50" s="36" t="s">
        <v>307</v>
      </c>
      <c r="AV50" s="37">
        <v>0.33333333333333331</v>
      </c>
      <c r="AW50" s="37">
        <v>0.52083333333333337</v>
      </c>
      <c r="AX50" s="21" t="s">
        <v>308</v>
      </c>
      <c r="AY50" s="37"/>
      <c r="AZ50" s="37"/>
      <c r="BA50" s="39" t="str">
        <f t="shared" si="7"/>
        <v/>
      </c>
      <c r="BB50" s="46" t="s">
        <v>449</v>
      </c>
      <c r="BC50" s="31" t="s">
        <v>450</v>
      </c>
      <c r="BD50" s="16" t="s">
        <v>311</v>
      </c>
      <c r="BE50" s="16" t="s">
        <v>322</v>
      </c>
      <c r="BF50" s="244" t="str">
        <f>T_BilanSocial2[[#This Row],[Nom]]&amp;T_BilanSocial2[[#This Row],[Prénom]]</f>
        <v/>
      </c>
    </row>
    <row r="51" spans="1:58" ht="21.75" hidden="1" customHeight="1" x14ac:dyDescent="0.25">
      <c r="A51" s="90">
        <v>237</v>
      </c>
      <c r="B51" s="126" t="s">
        <v>311</v>
      </c>
      <c r="C51" s="126" t="e">
        <f>VLOOKUP(T_BilanSocial2[[#This Row],[NumL]],T_Commission[#Data],COLUMN(T_Commission[FINAL]),FALSE)</f>
        <v>#N/A</v>
      </c>
      <c r="D51" s="19" t="str">
        <f t="shared" si="0"/>
        <v/>
      </c>
      <c r="E51" s="19" t="str">
        <f t="shared" si="1"/>
        <v/>
      </c>
      <c r="F51" s="242" t="str">
        <f>IFERROR(VLOOKUP(T_BilanSocial2[[#This Row],[Zone_Bilan]],T_P_BilanSocial[#Data],COLUMN(T_P_BilanSocial[[#This Row],[Numero_SIHAM]]),FALSE),"")</f>
        <v/>
      </c>
      <c r="G51" s="242" t="str">
        <f>IFERROR(VLOOKUP(T_BilanSocial2[[#This Row],[Zone_Bilan]],T_P_BilanSocial[#Data],COLUMN(T_P_BilanSocial[[#This Row],[Sexe]]),FALSE),"")</f>
        <v/>
      </c>
      <c r="H51" s="243" t="str">
        <f>IFERROR(VLOOKUP(T_BilanSocial2[[#This Row],[Zone_Bilan]],T_P_BilanSocial[#Data],COLUMN(T_P_BilanSocial[[#This Row],[Categorie]]),FALSE),"")</f>
        <v/>
      </c>
      <c r="I51" s="242" t="str">
        <f>IFERROR(VLOOKUP(T_BilanSocial2[[#This Row],[Zone_Bilan]],T_P_BilanSocial[#Data],COLUMN(T_P_BilanSocial[[#This Row],[Statut]]),FALSE),"")</f>
        <v/>
      </c>
      <c r="J51" s="242" t="str">
        <f>IFERROR(VLOOKUP(T_BilanSocial2[[#This Row],[Zone_Bilan]],T_P_BilanSocial[#Data],COLUMN(T_P_BilanSocial[[#This Row],[Filiere]]),FALSE),"")</f>
        <v/>
      </c>
      <c r="K51" s="78">
        <v>1</v>
      </c>
      <c r="L51" s="213">
        <v>1.5451388888888891</v>
      </c>
      <c r="M51" s="78" t="s">
        <v>210</v>
      </c>
      <c r="N51" s="79" t="str">
        <f>IF((AND(T_BilanSocial2[[#This Row],[Nom]]&lt;&gt;"",T_BilanSocial2[[#This Row],[Reg Ponct]]="R")),(COUNTIF(S51:AX51,"S")+COUNTIF(S51:AX51,"T"))/2,"")</f>
        <v/>
      </c>
      <c r="O51" s="79" t="str">
        <f>IF((AND(T_BilanSocial2[[#This Row],[Nom]]&lt;&gt;"",T_BilanSocial2[[#This Row],[Reg Ponct]]="R")),COUNTIF(S51:AX51,"S")/2,"")</f>
        <v/>
      </c>
      <c r="P51" s="80" t="str">
        <f>IF((AND(T_BilanSocial2[[#This Row],[Nom]]&lt;&gt;"",T_BilanSocial2[[#This Row],[Reg Ponct]]="R")),COUNTIF(S51:AX51,"t")/2,"")</f>
        <v/>
      </c>
      <c r="Q51" s="81" t="str">
        <f t="shared" si="2"/>
        <v/>
      </c>
      <c r="R51" s="82" t="str">
        <f>IF((AND(T_BilanSocial2[[#This Row],[Nom]]&lt;&gt;"",T_BilanSocial2[[#This Row],[Reg Ponct]]="R")),IF(S51="T",U51-T51,0)+IF(V51="T",X51-W51,0)+IF(Z51="T",AB51-AA51,0)+IF(AC51="T",AE51-AD51,0)+IF(AG51="T",AI51-AH51,0)+IF(AJ51="T",AL51-AK51,0)+IF(AN51="T",AP51-AO51,0)+IF(AQ51="T",AS51-AR51,0)+IF(AU51="T",AW51-AV51,0)+IF(AX51="T",AZ51-AY51,0),"")</f>
        <v/>
      </c>
      <c r="S51" s="36" t="s">
        <v>306</v>
      </c>
      <c r="T51" s="37">
        <v>0.375</v>
      </c>
      <c r="U51" s="37">
        <v>0.52083333333333337</v>
      </c>
      <c r="V51" s="21" t="s">
        <v>306</v>
      </c>
      <c r="W51" s="37">
        <v>0.5625</v>
      </c>
      <c r="X51" s="37">
        <v>0.72916666666666663</v>
      </c>
      <c r="Y51" s="38" t="str">
        <f t="shared" si="3"/>
        <v/>
      </c>
      <c r="Z51" s="36" t="s">
        <v>306</v>
      </c>
      <c r="AA51" s="37">
        <v>0.375</v>
      </c>
      <c r="AB51" s="37">
        <v>0.52083333333333337</v>
      </c>
      <c r="AC51" s="21" t="s">
        <v>306</v>
      </c>
      <c r="AD51" s="37">
        <v>0.5625</v>
      </c>
      <c r="AE51" s="37">
        <v>0.72916666666666663</v>
      </c>
      <c r="AF51" s="38" t="str">
        <f t="shared" si="4"/>
        <v/>
      </c>
      <c r="AG51" s="36" t="s">
        <v>306</v>
      </c>
      <c r="AH51" s="37">
        <v>0.375</v>
      </c>
      <c r="AI51" s="37">
        <v>0.52083333333333337</v>
      </c>
      <c r="AJ51" s="21" t="s">
        <v>306</v>
      </c>
      <c r="AK51" s="37">
        <v>0.5625</v>
      </c>
      <c r="AL51" s="37">
        <v>0.72916666666666663</v>
      </c>
      <c r="AM51" s="38" t="str">
        <f t="shared" si="5"/>
        <v/>
      </c>
      <c r="AN51" s="36" t="s">
        <v>306</v>
      </c>
      <c r="AO51" s="37">
        <v>0.375</v>
      </c>
      <c r="AP51" s="37">
        <v>0.52083333333333337</v>
      </c>
      <c r="AQ51" s="21" t="s">
        <v>306</v>
      </c>
      <c r="AR51" s="37">
        <v>0.5625</v>
      </c>
      <c r="AS51" s="37">
        <v>0.72916666666666663</v>
      </c>
      <c r="AT51" s="38" t="str">
        <f t="shared" si="6"/>
        <v/>
      </c>
      <c r="AU51" s="36" t="s">
        <v>307</v>
      </c>
      <c r="AV51" s="37">
        <v>0.375</v>
      </c>
      <c r="AW51" s="37">
        <v>0.52083333333333337</v>
      </c>
      <c r="AX51" s="21" t="s">
        <v>307</v>
      </c>
      <c r="AY51" s="37">
        <v>0.5625</v>
      </c>
      <c r="AZ51" s="37">
        <v>0.71180555555555547</v>
      </c>
      <c r="BA51" s="39" t="str">
        <f t="shared" si="7"/>
        <v/>
      </c>
      <c r="BB51" s="46" t="s">
        <v>353</v>
      </c>
      <c r="BC51" s="31" t="s">
        <v>354</v>
      </c>
      <c r="BD51" s="16" t="s">
        <v>311</v>
      </c>
      <c r="BE51" s="16" t="s">
        <v>311</v>
      </c>
      <c r="BF51" s="244" t="str">
        <f>T_BilanSocial2[[#This Row],[Nom]]&amp;T_BilanSocial2[[#This Row],[Prénom]]</f>
        <v/>
      </c>
    </row>
    <row r="52" spans="1:58" ht="21.75" customHeight="1" x14ac:dyDescent="0.25">
      <c r="A52" s="90">
        <v>130</v>
      </c>
      <c r="B52" s="126" t="s">
        <v>210</v>
      </c>
      <c r="C52" s="126" t="str">
        <f>VLOOKUP(T_BilanSocial2[[#This Row],[NumL]],T_Commission[#Data],COLUMN(T_Commission[FINAL]),FALSE)</f>
        <v/>
      </c>
      <c r="D52" s="19" t="str">
        <f t="shared" si="0"/>
        <v/>
      </c>
      <c r="E52" s="19" t="str">
        <f t="shared" si="1"/>
        <v/>
      </c>
      <c r="F52" s="242" t="str">
        <f>IFERROR(VLOOKUP(T_BilanSocial2[[#This Row],[Zone_Bilan]],T_P_BilanSocial[#Data],COLUMN(T_P_BilanSocial[[#This Row],[Numero_SIHAM]]),FALSE),"")</f>
        <v/>
      </c>
      <c r="G52" s="242" t="str">
        <f>IFERROR(VLOOKUP(T_BilanSocial2[[#This Row],[Zone_Bilan]],T_P_BilanSocial[#Data],COLUMN(T_P_BilanSocial[[#This Row],[Sexe]]),FALSE),"")</f>
        <v/>
      </c>
      <c r="H52" s="243" t="str">
        <f>IFERROR(VLOOKUP(T_BilanSocial2[[#This Row],[Zone_Bilan]],T_P_BilanSocial[#Data],COLUMN(T_P_BilanSocial[[#This Row],[Categorie]]),FALSE),"")</f>
        <v/>
      </c>
      <c r="I52" s="242" t="str">
        <f>IFERROR(VLOOKUP(T_BilanSocial2[[#This Row],[Zone_Bilan]],T_P_BilanSocial[#Data],COLUMN(T_P_BilanSocial[[#This Row],[Statut]]),FALSE),"")</f>
        <v/>
      </c>
      <c r="J52" s="242" t="str">
        <f>IFERROR(VLOOKUP(T_BilanSocial2[[#This Row],[Zone_Bilan]],T_P_BilanSocial[#Data],COLUMN(T_P_BilanSocial[[#This Row],[Filiere]]),FALSE),"")</f>
        <v/>
      </c>
      <c r="K52" s="78">
        <v>1</v>
      </c>
      <c r="L52" s="213">
        <v>1.5451388888888891</v>
      </c>
      <c r="M52" s="78" t="s">
        <v>210</v>
      </c>
      <c r="N52" s="79" t="str">
        <f>IF((AND(T_BilanSocial2[[#This Row],[Nom]]&lt;&gt;"",T_BilanSocial2[[#This Row],[Reg Ponct]]="R")),(COUNTIF(S52:AX52,"S")+COUNTIF(S52:AX52,"T"))/2,"")</f>
        <v/>
      </c>
      <c r="O52" s="79" t="str">
        <f>IF((AND(T_BilanSocial2[[#This Row],[Nom]]&lt;&gt;"",T_BilanSocial2[[#This Row],[Reg Ponct]]="R")),COUNTIF(S52:AX52,"S")/2,"")</f>
        <v/>
      </c>
      <c r="P52" s="80" t="str">
        <f>IF((AND(T_BilanSocial2[[#This Row],[Nom]]&lt;&gt;"",T_BilanSocial2[[#This Row],[Reg Ponct]]="R")),COUNTIF(S52:AX52,"t")/2,"")</f>
        <v/>
      </c>
      <c r="Q52" s="81" t="str">
        <f t="shared" si="2"/>
        <v/>
      </c>
      <c r="R52" s="82" t="str">
        <f>IF((AND(T_BilanSocial2[[#This Row],[Nom]]&lt;&gt;"",T_BilanSocial2[[#This Row],[Reg Ponct]]="R")),IF(S52="T",U52-T52,0)+IF(V52="T",X52-W52,0)+IF(Z52="T",AB52-AA52,0)+IF(AC52="T",AE52-AD52,0)+IF(AG52="T",AI52-AH52,0)+IF(AJ52="T",AL52-AK52,0)+IF(AN52="T",AP52-AO52,0)+IF(AQ52="T",AS52-AR52,0)+IF(AU52="T",AW52-AV52,0)+IF(AX52="T",AZ52-AY52,0),"")</f>
        <v/>
      </c>
      <c r="S52" s="36" t="s">
        <v>307</v>
      </c>
      <c r="T52" s="37">
        <v>0.3125</v>
      </c>
      <c r="U52" s="37">
        <v>0.5</v>
      </c>
      <c r="V52" s="21" t="s">
        <v>307</v>
      </c>
      <c r="W52" s="37">
        <v>0.54166666666666663</v>
      </c>
      <c r="X52" s="37">
        <v>0.66666666666666663</v>
      </c>
      <c r="Y52" s="38" t="str">
        <f t="shared" si="3"/>
        <v/>
      </c>
      <c r="Z52" s="36" t="s">
        <v>307</v>
      </c>
      <c r="AA52" s="37">
        <v>0.3125</v>
      </c>
      <c r="AB52" s="37">
        <v>0.5</v>
      </c>
      <c r="AC52" s="21" t="s">
        <v>307</v>
      </c>
      <c r="AD52" s="37">
        <v>0.54166666666666663</v>
      </c>
      <c r="AE52" s="37">
        <v>0.66666666666666663</v>
      </c>
      <c r="AF52" s="38" t="str">
        <f t="shared" si="4"/>
        <v/>
      </c>
      <c r="AG52" s="36" t="s">
        <v>306</v>
      </c>
      <c r="AH52" s="37">
        <v>0.33333333333333331</v>
      </c>
      <c r="AI52" s="37">
        <v>0.5</v>
      </c>
      <c r="AJ52" s="21" t="s">
        <v>306</v>
      </c>
      <c r="AK52" s="37">
        <v>0.54166666666666663</v>
      </c>
      <c r="AL52" s="37">
        <v>0.69791666666666663</v>
      </c>
      <c r="AM52" s="38" t="str">
        <f t="shared" si="5"/>
        <v/>
      </c>
      <c r="AN52" s="36" t="s">
        <v>306</v>
      </c>
      <c r="AO52" s="37">
        <v>0.33333333333333331</v>
      </c>
      <c r="AP52" s="37">
        <v>0.5</v>
      </c>
      <c r="AQ52" s="21" t="s">
        <v>306</v>
      </c>
      <c r="AR52" s="37">
        <v>0.54166666666666663</v>
      </c>
      <c r="AS52" s="37">
        <v>0.69791666666666663</v>
      </c>
      <c r="AT52" s="38" t="str">
        <f t="shared" si="6"/>
        <v/>
      </c>
      <c r="AU52" s="36" t="s">
        <v>306</v>
      </c>
      <c r="AV52" s="37">
        <v>0.33333333333333331</v>
      </c>
      <c r="AW52" s="37">
        <v>0.5</v>
      </c>
      <c r="AX52" s="21" t="s">
        <v>306</v>
      </c>
      <c r="AY52" s="37">
        <v>0.54166666666666663</v>
      </c>
      <c r="AZ52" s="37">
        <v>0.64930555555555558</v>
      </c>
      <c r="BA52" s="39" t="str">
        <f t="shared" si="7"/>
        <v/>
      </c>
      <c r="BB52" s="46" t="s">
        <v>797</v>
      </c>
      <c r="BC52" s="31" t="s">
        <v>798</v>
      </c>
      <c r="BD52" s="16" t="s">
        <v>322</v>
      </c>
      <c r="BE52" s="16" t="s">
        <v>322</v>
      </c>
      <c r="BF52" s="244" t="str">
        <f>T_BilanSocial2[[#This Row],[Nom]]&amp;T_BilanSocial2[[#This Row],[Prénom]]</f>
        <v/>
      </c>
    </row>
    <row r="53" spans="1:58" ht="21.75" customHeight="1" x14ac:dyDescent="0.25">
      <c r="A53" s="90">
        <v>258</v>
      </c>
      <c r="B53" s="126" t="s">
        <v>311</v>
      </c>
      <c r="C53" s="126" t="str">
        <f>VLOOKUP(T_BilanSocial2[[#This Row],[NumL]],T_Commission[#Data],COLUMN(T_Commission[FINAL]),FALSE)</f>
        <v/>
      </c>
      <c r="D53" s="19" t="str">
        <f t="shared" si="0"/>
        <v/>
      </c>
      <c r="E53" s="19" t="str">
        <f t="shared" si="1"/>
        <v/>
      </c>
      <c r="F53" s="242" t="str">
        <f>IFERROR(VLOOKUP(T_BilanSocial2[[#This Row],[Zone_Bilan]],T_P_BilanSocial[#Data],COLUMN(T_P_BilanSocial[[#This Row],[Numero_SIHAM]]),FALSE),"")</f>
        <v/>
      </c>
      <c r="G53" s="242" t="str">
        <f>IFERROR(VLOOKUP(T_BilanSocial2[[#This Row],[Zone_Bilan]],T_P_BilanSocial[#Data],COLUMN(T_P_BilanSocial[[#This Row],[Sexe]]),FALSE),"")</f>
        <v/>
      </c>
      <c r="H53" s="243" t="str">
        <f>IFERROR(VLOOKUP(T_BilanSocial2[[#This Row],[Zone_Bilan]],T_P_BilanSocial[#Data],COLUMN(T_P_BilanSocial[[#This Row],[Categorie]]),FALSE),"")</f>
        <v/>
      </c>
      <c r="I53" s="242" t="str">
        <f>IFERROR(VLOOKUP(T_BilanSocial2[[#This Row],[Zone_Bilan]],T_P_BilanSocial[#Data],COLUMN(T_P_BilanSocial[[#This Row],[Statut]]),FALSE),"")</f>
        <v/>
      </c>
      <c r="J53" s="242" t="str">
        <f>IFERROR(VLOOKUP(T_BilanSocial2[[#This Row],[Zone_Bilan]],T_P_BilanSocial[#Data],COLUMN(T_P_BilanSocial[[#This Row],[Filiere]]),FALSE),"")</f>
        <v/>
      </c>
      <c r="K53" s="78">
        <v>1</v>
      </c>
      <c r="L53" s="213">
        <v>1.5451388888888891</v>
      </c>
      <c r="M53" s="78" t="s">
        <v>211</v>
      </c>
      <c r="N53" s="79" t="str">
        <f>IF((AND(T_BilanSocial2[[#This Row],[Nom]]&lt;&gt;"",T_BilanSocial2[[#This Row],[Reg Ponct]]="R")),(COUNTIF(S53:AX53,"S")+COUNTIF(S53:AX53,"T"))/2,"")</f>
        <v/>
      </c>
      <c r="O53" s="79" t="str">
        <f>IF((AND(T_BilanSocial2[[#This Row],[Nom]]&lt;&gt;"",T_BilanSocial2[[#This Row],[Reg Ponct]]="R")),COUNTIF(S53:AX53,"S")/2,"")</f>
        <v/>
      </c>
      <c r="P53" s="80" t="str">
        <f>IF((AND(T_BilanSocial2[[#This Row],[Nom]]&lt;&gt;"",T_BilanSocial2[[#This Row],[Reg Ponct]]="R")),COUNTIF(S53:AX53,"t")/2,"")</f>
        <v/>
      </c>
      <c r="Q53" s="81" t="str">
        <f t="shared" si="2"/>
        <v/>
      </c>
      <c r="R53" s="82" t="str">
        <f>IF((AND(T_BilanSocial2[[#This Row],[Nom]]&lt;&gt;"",T_BilanSocial2[[#This Row],[Reg Ponct]]="R")),IF(S53="T",U53-T53,0)+IF(V53="T",X53-W53,0)+IF(Z53="T",AB53-AA53,0)+IF(AC53="T",AE53-AD53,0)+IF(AG53="T",AI53-AH53,0)+IF(AJ53="T",AL53-AK53,0)+IF(AN53="T",AP53-AO53,0)+IF(AQ53="T",AS53-AR53,0)+IF(AU53="T",AW53-AV53,0)+IF(AX53="T",AZ53-AY53,0),"")</f>
        <v/>
      </c>
      <c r="S53" s="36"/>
      <c r="T53" s="37"/>
      <c r="U53" s="37"/>
      <c r="V53" s="21"/>
      <c r="W53" s="37"/>
      <c r="X53" s="37"/>
      <c r="Y53" s="38" t="str">
        <f t="shared" si="3"/>
        <v/>
      </c>
      <c r="Z53" s="36"/>
      <c r="AA53" s="37"/>
      <c r="AB53" s="37"/>
      <c r="AC53" s="21"/>
      <c r="AD53" s="37"/>
      <c r="AE53" s="37"/>
      <c r="AF53" s="38" t="str">
        <f t="shared" si="4"/>
        <v/>
      </c>
      <c r="AG53" s="36"/>
      <c r="AH53" s="37"/>
      <c r="AI53" s="37"/>
      <c r="AJ53" s="21"/>
      <c r="AK53" s="37"/>
      <c r="AL53" s="37"/>
      <c r="AM53" s="38" t="str">
        <f t="shared" si="5"/>
        <v/>
      </c>
      <c r="AN53" s="36"/>
      <c r="AO53" s="37"/>
      <c r="AP53" s="37"/>
      <c r="AQ53" s="21"/>
      <c r="AR53" s="37"/>
      <c r="AS53" s="37"/>
      <c r="AT53" s="38" t="str">
        <f t="shared" si="6"/>
        <v/>
      </c>
      <c r="AU53" s="36"/>
      <c r="AV53" s="37"/>
      <c r="AW53" s="37"/>
      <c r="AX53" s="21"/>
      <c r="AY53" s="37"/>
      <c r="AZ53" s="37"/>
      <c r="BA53" s="39" t="str">
        <f t="shared" si="7"/>
        <v/>
      </c>
      <c r="BB53" s="46" t="s">
        <v>376</v>
      </c>
      <c r="BC53" s="31" t="s">
        <v>341</v>
      </c>
      <c r="BD53" s="16" t="s">
        <v>311</v>
      </c>
      <c r="BE53" s="16" t="s">
        <v>311</v>
      </c>
      <c r="BF53" s="244" t="str">
        <f>T_BilanSocial2[[#This Row],[Nom]]&amp;T_BilanSocial2[[#This Row],[Prénom]]</f>
        <v/>
      </c>
    </row>
    <row r="54" spans="1:58" ht="21.75" hidden="1" customHeight="1" x14ac:dyDescent="0.25">
      <c r="A54" s="90">
        <v>71</v>
      </c>
      <c r="B54" s="126" t="s">
        <v>210</v>
      </c>
      <c r="C54" s="126" t="str">
        <f>VLOOKUP(T_BilanSocial2[[#This Row],[NumL]],T_Commission[#Data],COLUMN(T_Commission[FINAL]),FALSE)</f>
        <v/>
      </c>
      <c r="D54" s="19" t="str">
        <f t="shared" si="0"/>
        <v/>
      </c>
      <c r="E54" s="19" t="str">
        <f t="shared" si="1"/>
        <v/>
      </c>
      <c r="F54" s="242" t="str">
        <f>IFERROR(VLOOKUP(T_BilanSocial2[[#This Row],[Zone_Bilan]],T_P_BilanSocial[#Data],COLUMN(T_P_BilanSocial[[#This Row],[Numero_SIHAM]]),FALSE),"")</f>
        <v/>
      </c>
      <c r="G54" s="242" t="str">
        <f>IFERROR(VLOOKUP(T_BilanSocial2[[#This Row],[Zone_Bilan]],T_P_BilanSocial[#Data],COLUMN(T_P_BilanSocial[[#This Row],[Sexe]]),FALSE),"")</f>
        <v/>
      </c>
      <c r="H54" s="243" t="str">
        <f>IFERROR(VLOOKUP(T_BilanSocial2[[#This Row],[Zone_Bilan]],T_P_BilanSocial[#Data],COLUMN(T_P_BilanSocial[[#This Row],[Categorie]]),FALSE),"")</f>
        <v/>
      </c>
      <c r="I54" s="242" t="str">
        <f>IFERROR(VLOOKUP(T_BilanSocial2[[#This Row],[Zone_Bilan]],T_P_BilanSocial[#Data],COLUMN(T_P_BilanSocial[[#This Row],[Statut]]),FALSE),"")</f>
        <v/>
      </c>
      <c r="J54" s="242" t="str">
        <f>IFERROR(VLOOKUP(T_BilanSocial2[[#This Row],[Zone_Bilan]],T_P_BilanSocial[#Data],COLUMN(T_P_BilanSocial[[#This Row],[Filiere]]),FALSE),"")</f>
        <v/>
      </c>
      <c r="K54" s="78">
        <v>1</v>
      </c>
      <c r="L54" s="213">
        <v>1.5451388888888891</v>
      </c>
      <c r="M54" s="78" t="s">
        <v>210</v>
      </c>
      <c r="N54" s="79" t="str">
        <f>IF((AND(T_BilanSocial2[[#This Row],[Nom]]&lt;&gt;"",T_BilanSocial2[[#This Row],[Reg Ponct]]="R")),(COUNTIF(S54:AX54,"S")+COUNTIF(S54:AX54,"T"))/2,"")</f>
        <v/>
      </c>
      <c r="O54" s="79" t="str">
        <f>IF((AND(T_BilanSocial2[[#This Row],[Nom]]&lt;&gt;"",T_BilanSocial2[[#This Row],[Reg Ponct]]="R")),COUNTIF(S54:AX54,"S")/2,"")</f>
        <v/>
      </c>
      <c r="P54" s="80" t="str">
        <f>IF((AND(T_BilanSocial2[[#This Row],[Nom]]&lt;&gt;"",T_BilanSocial2[[#This Row],[Reg Ponct]]="R")),COUNTIF(S54:AX54,"t")/2,"")</f>
        <v/>
      </c>
      <c r="Q54" s="81" t="str">
        <f t="shared" si="2"/>
        <v/>
      </c>
      <c r="R54" s="82" t="str">
        <f>IF((AND(T_BilanSocial2[[#This Row],[Nom]]&lt;&gt;"",T_BilanSocial2[[#This Row],[Reg Ponct]]="R")),IF(S54="T",U54-T54,0)+IF(V54="T",X54-W54,0)+IF(Z54="T",AB54-AA54,0)+IF(AC54="T",AE54-AD54,0)+IF(AG54="T",AI54-AH54,0)+IF(AJ54="T",AL54-AK54,0)+IF(AN54="T",AP54-AO54,0)+IF(AQ54="T",AS54-AR54,0)+IF(AU54="T",AW54-AV54,0)+IF(AX54="T",AZ54-AY54,0),"")</f>
        <v/>
      </c>
      <c r="S54" s="36" t="s">
        <v>306</v>
      </c>
      <c r="T54" s="37">
        <v>0.375</v>
      </c>
      <c r="U54" s="37">
        <v>0.52083333333333337</v>
      </c>
      <c r="V54" s="21" t="s">
        <v>306</v>
      </c>
      <c r="W54" s="37">
        <v>0.5625</v>
      </c>
      <c r="X54" s="37">
        <v>0.76041666666666663</v>
      </c>
      <c r="Y54" s="38" t="str">
        <f t="shared" si="3"/>
        <v/>
      </c>
      <c r="Z54" s="36" t="s">
        <v>307</v>
      </c>
      <c r="AA54" s="37">
        <v>0.35416666666666669</v>
      </c>
      <c r="AB54" s="37">
        <v>0.52083333333333337</v>
      </c>
      <c r="AC54" s="21" t="s">
        <v>307</v>
      </c>
      <c r="AD54" s="37">
        <v>0.5625</v>
      </c>
      <c r="AE54" s="37">
        <v>0.73958333333333337</v>
      </c>
      <c r="AF54" s="38" t="str">
        <f t="shared" si="4"/>
        <v/>
      </c>
      <c r="AG54" s="36" t="s">
        <v>306</v>
      </c>
      <c r="AH54" s="37">
        <v>0.375</v>
      </c>
      <c r="AI54" s="37">
        <v>0.52083333333333337</v>
      </c>
      <c r="AJ54" s="21" t="s">
        <v>306</v>
      </c>
      <c r="AK54" s="37">
        <v>0.5625</v>
      </c>
      <c r="AL54" s="37">
        <v>0.76041666666666663</v>
      </c>
      <c r="AM54" s="38" t="str">
        <f t="shared" si="5"/>
        <v/>
      </c>
      <c r="AN54" s="36" t="s">
        <v>306</v>
      </c>
      <c r="AO54" s="37">
        <v>0.375</v>
      </c>
      <c r="AP54" s="37">
        <v>0.52083333333333337</v>
      </c>
      <c r="AQ54" s="21" t="s">
        <v>306</v>
      </c>
      <c r="AR54" s="37">
        <v>0.5625</v>
      </c>
      <c r="AS54" s="37">
        <v>0.76041666666666663</v>
      </c>
      <c r="AT54" s="38" t="str">
        <f t="shared" si="6"/>
        <v/>
      </c>
      <c r="AU54" s="36" t="s">
        <v>307</v>
      </c>
      <c r="AV54" s="37">
        <v>0.35416666666666669</v>
      </c>
      <c r="AW54" s="37">
        <v>0.52430555555555558</v>
      </c>
      <c r="AX54" s="21" t="s">
        <v>308</v>
      </c>
      <c r="AY54" s="37"/>
      <c r="AZ54" s="37"/>
      <c r="BA54" s="39" t="str">
        <f t="shared" si="7"/>
        <v/>
      </c>
      <c r="BB54" s="46" t="s">
        <v>520</v>
      </c>
      <c r="BC54" s="31" t="s">
        <v>341</v>
      </c>
      <c r="BD54" s="16" t="s">
        <v>322</v>
      </c>
      <c r="BE54" s="16" t="s">
        <v>322</v>
      </c>
      <c r="BF54" s="244" t="str">
        <f>T_BilanSocial2[[#This Row],[Nom]]&amp;T_BilanSocial2[[#This Row],[Prénom]]</f>
        <v/>
      </c>
    </row>
    <row r="55" spans="1:58" ht="21.75" hidden="1" customHeight="1" x14ac:dyDescent="0.25">
      <c r="A55" s="90">
        <v>193</v>
      </c>
      <c r="B55" s="126" t="s">
        <v>311</v>
      </c>
      <c r="C55" s="126" t="e">
        <f>VLOOKUP(T_BilanSocial2[[#This Row],[NumL]],T_Commission[#Data],COLUMN(T_Commission[FINAL]),FALSE)</f>
        <v>#N/A</v>
      </c>
      <c r="D55" s="19" t="str">
        <f t="shared" si="0"/>
        <v/>
      </c>
      <c r="E55" s="19" t="str">
        <f t="shared" si="1"/>
        <v/>
      </c>
      <c r="F55" s="242" t="str">
        <f>IFERROR(VLOOKUP(T_BilanSocial2[[#This Row],[Zone_Bilan]],T_P_BilanSocial[#Data],COLUMN(T_P_BilanSocial[[#This Row],[Numero_SIHAM]]),FALSE),"")</f>
        <v/>
      </c>
      <c r="G55" s="242" t="str">
        <f>IFERROR(VLOOKUP(T_BilanSocial2[[#This Row],[Zone_Bilan]],T_P_BilanSocial[#Data],COLUMN(T_P_BilanSocial[[#This Row],[Sexe]]),FALSE),"")</f>
        <v/>
      </c>
      <c r="H55" s="243" t="str">
        <f>IFERROR(VLOOKUP(T_BilanSocial2[[#This Row],[Zone_Bilan]],T_P_BilanSocial[#Data],COLUMN(T_P_BilanSocial[[#This Row],[Categorie]]),FALSE),"")</f>
        <v/>
      </c>
      <c r="I55" s="242" t="str">
        <f>IFERROR(VLOOKUP(T_BilanSocial2[[#This Row],[Zone_Bilan]],T_P_BilanSocial[#Data],COLUMN(T_P_BilanSocial[[#This Row],[Statut]]),FALSE),"")</f>
        <v/>
      </c>
      <c r="J55" s="242" t="str">
        <f>IFERROR(VLOOKUP(T_BilanSocial2[[#This Row],[Zone_Bilan]],T_P_BilanSocial[#Data],COLUMN(T_P_BilanSocial[[#This Row],[Filiere]]),FALSE),"")</f>
        <v/>
      </c>
      <c r="K55" s="78">
        <v>1</v>
      </c>
      <c r="L55" s="213">
        <v>1.5451388888888891</v>
      </c>
      <c r="M55" s="78" t="s">
        <v>210</v>
      </c>
      <c r="N55" s="79" t="str">
        <f>IF((AND(T_BilanSocial2[[#This Row],[Nom]]&lt;&gt;"",T_BilanSocial2[[#This Row],[Reg Ponct]]="R")),(COUNTIF(S55:AX55,"S")+COUNTIF(S55:AX55,"T"))/2,"")</f>
        <v/>
      </c>
      <c r="O55" s="79" t="str">
        <f>IF((AND(T_BilanSocial2[[#This Row],[Nom]]&lt;&gt;"",T_BilanSocial2[[#This Row],[Reg Ponct]]="R")),COUNTIF(S55:AX55,"S")/2,"")</f>
        <v/>
      </c>
      <c r="P55" s="80" t="str">
        <f>IF((AND(T_BilanSocial2[[#This Row],[Nom]]&lt;&gt;"",T_BilanSocial2[[#This Row],[Reg Ponct]]="R")),COUNTIF(S55:AX55,"t")/2,"")</f>
        <v/>
      </c>
      <c r="Q55" s="81" t="str">
        <f t="shared" si="2"/>
        <v/>
      </c>
      <c r="R55" s="82" t="str">
        <f>IF((AND(T_BilanSocial2[[#This Row],[Nom]]&lt;&gt;"",T_BilanSocial2[[#This Row],[Reg Ponct]]="R")),IF(S55="T",U55-T55,0)+IF(V55="T",X55-W55,0)+IF(Z55="T",AB55-AA55,0)+IF(AC55="T",AE55-AD55,0)+IF(AG55="T",AI55-AH55,0)+IF(AJ55="T",AL55-AK55,0)+IF(AN55="T",AP55-AO55,0)+IF(AQ55="T",AS55-AR55,0)+IF(AU55="T",AW55-AV55,0)+IF(AX55="T",AZ55-AY55,0),"")</f>
        <v/>
      </c>
      <c r="S55" s="36" t="s">
        <v>306</v>
      </c>
      <c r="T55" s="37">
        <v>0.33333333333333331</v>
      </c>
      <c r="U55" s="37">
        <v>0.52083333333333337</v>
      </c>
      <c r="V55" s="21" t="s">
        <v>306</v>
      </c>
      <c r="W55" s="37">
        <v>0.5625</v>
      </c>
      <c r="X55" s="37">
        <v>0.73263888888888884</v>
      </c>
      <c r="Y55" s="38" t="str">
        <f t="shared" si="3"/>
        <v/>
      </c>
      <c r="Z55" s="36" t="s">
        <v>306</v>
      </c>
      <c r="AA55" s="37">
        <v>0.33333333333333331</v>
      </c>
      <c r="AB55" s="37">
        <v>0.52083333333333337</v>
      </c>
      <c r="AC55" s="21" t="s">
        <v>306</v>
      </c>
      <c r="AD55" s="37">
        <v>0.5625</v>
      </c>
      <c r="AE55" s="37">
        <v>0.70833333333333337</v>
      </c>
      <c r="AF55" s="38" t="str">
        <f t="shared" si="4"/>
        <v/>
      </c>
      <c r="AG55" s="36" t="s">
        <v>307</v>
      </c>
      <c r="AH55" s="37">
        <v>0.33333333333333331</v>
      </c>
      <c r="AI55" s="37">
        <v>0.52083333333333337</v>
      </c>
      <c r="AJ55" s="21" t="s">
        <v>307</v>
      </c>
      <c r="AK55" s="37">
        <v>0.5625</v>
      </c>
      <c r="AL55" s="37">
        <v>0.70833333333333337</v>
      </c>
      <c r="AM55" s="38" t="str">
        <f t="shared" si="5"/>
        <v/>
      </c>
      <c r="AN55" s="36" t="s">
        <v>306</v>
      </c>
      <c r="AO55" s="37">
        <v>0.33333333333333331</v>
      </c>
      <c r="AP55" s="37">
        <v>0.52083333333333337</v>
      </c>
      <c r="AQ55" s="21" t="s">
        <v>306</v>
      </c>
      <c r="AR55" s="37">
        <v>0.5625</v>
      </c>
      <c r="AS55" s="37">
        <v>0.70833333333333337</v>
      </c>
      <c r="AT55" s="38" t="str">
        <f t="shared" si="6"/>
        <v/>
      </c>
      <c r="AU55" s="36" t="s">
        <v>307</v>
      </c>
      <c r="AV55" s="37">
        <v>0.33333333333333331</v>
      </c>
      <c r="AW55" s="37">
        <v>0.52083333333333337</v>
      </c>
      <c r="AX55" s="21" t="s">
        <v>308</v>
      </c>
      <c r="AY55" s="37"/>
      <c r="AZ55" s="37"/>
      <c r="BA55" s="39" t="str">
        <f t="shared" si="7"/>
        <v/>
      </c>
      <c r="BB55" s="46" t="s">
        <v>376</v>
      </c>
      <c r="BC55" s="31" t="s">
        <v>341</v>
      </c>
      <c r="BD55" s="16" t="s">
        <v>322</v>
      </c>
      <c r="BE55" s="16" t="s">
        <v>311</v>
      </c>
      <c r="BF55" s="244" t="str">
        <f>T_BilanSocial2[[#This Row],[Nom]]&amp;T_BilanSocial2[[#This Row],[Prénom]]</f>
        <v/>
      </c>
    </row>
    <row r="56" spans="1:58" ht="21.75" hidden="1" customHeight="1" x14ac:dyDescent="0.25">
      <c r="A56" s="90">
        <v>6</v>
      </c>
      <c r="B56" s="126" t="s">
        <v>311</v>
      </c>
      <c r="C56" s="126" t="str">
        <f>VLOOKUP(T_BilanSocial2[[#This Row],[NumL]],T_Commission[#Data],COLUMN(T_Commission[FINAL]),FALSE)</f>
        <v/>
      </c>
      <c r="D56" s="19" t="str">
        <f t="shared" si="0"/>
        <v/>
      </c>
      <c r="E56" s="19" t="str">
        <f t="shared" si="1"/>
        <v/>
      </c>
      <c r="F56" s="242" t="str">
        <f>IFERROR(VLOOKUP(T_BilanSocial2[[#This Row],[Zone_Bilan]],T_P_BilanSocial[#Data],COLUMN(T_P_BilanSocial[[#This Row],[Numero_SIHAM]]),FALSE),"")</f>
        <v/>
      </c>
      <c r="G56" s="242" t="str">
        <f>IFERROR(VLOOKUP(T_BilanSocial2[[#This Row],[Zone_Bilan]],T_P_BilanSocial[#Data],COLUMN(T_P_BilanSocial[[#This Row],[Sexe]]),FALSE),"")</f>
        <v/>
      </c>
      <c r="H56" s="243" t="str">
        <f>IFERROR(VLOOKUP(T_BilanSocial2[[#This Row],[Zone_Bilan]],T_P_BilanSocial[#Data],COLUMN(T_P_BilanSocial[[#This Row],[Categorie]]),FALSE),"")</f>
        <v/>
      </c>
      <c r="I56" s="242" t="str">
        <f>IFERROR(VLOOKUP(T_BilanSocial2[[#This Row],[Zone_Bilan]],T_P_BilanSocial[#Data],COLUMN(T_P_BilanSocial[[#This Row],[Statut]]),FALSE),"")</f>
        <v/>
      </c>
      <c r="J56" s="242" t="str">
        <f>IFERROR(VLOOKUP(T_BilanSocial2[[#This Row],[Zone_Bilan]],T_P_BilanSocial[#Data],COLUMN(T_P_BilanSocial[[#This Row],[Filiere]]),FALSE),"")</f>
        <v/>
      </c>
      <c r="K56" s="78">
        <v>1</v>
      </c>
      <c r="L56" s="213">
        <v>1.5451388888888891</v>
      </c>
      <c r="M56" s="78" t="s">
        <v>210</v>
      </c>
      <c r="N56" s="79" t="str">
        <f>IF((AND(T_BilanSocial2[[#This Row],[Nom]]&lt;&gt;"",T_BilanSocial2[[#This Row],[Reg Ponct]]="R")),(COUNTIF(S56:AX56,"S")+COUNTIF(S56:AX56,"T"))/2,"")</f>
        <v/>
      </c>
      <c r="O56" s="79" t="str">
        <f>IF((AND(T_BilanSocial2[[#This Row],[Nom]]&lt;&gt;"",T_BilanSocial2[[#This Row],[Reg Ponct]]="R")),COUNTIF(S56:AX56,"S")/2,"")</f>
        <v/>
      </c>
      <c r="P56" s="80" t="str">
        <f>IF((AND(T_BilanSocial2[[#This Row],[Nom]]&lt;&gt;"",T_BilanSocial2[[#This Row],[Reg Ponct]]="R")),COUNTIF(S56:AX56,"t")/2,"")</f>
        <v/>
      </c>
      <c r="Q56" s="81" t="str">
        <f t="shared" si="2"/>
        <v/>
      </c>
      <c r="R56" s="82" t="str">
        <f>IF((AND(T_BilanSocial2[[#This Row],[Nom]]&lt;&gt;"",T_BilanSocial2[[#This Row],[Reg Ponct]]="R")),IF(S56="T",U56-T56,0)+IF(V56="T",X56-W56,0)+IF(Z56="T",AB56-AA56,0)+IF(AC56="T",AE56-AD56,0)+IF(AG56="T",AI56-AH56,0)+IF(AJ56="T",AL56-AK56,0)+IF(AN56="T",AP56-AO56,0)+IF(AQ56="T",AS56-AR56,0)+IF(AU56="T",AW56-AV56,0)+IF(AX56="T",AZ56-AY56,0),"")</f>
        <v/>
      </c>
      <c r="S56" s="36" t="s">
        <v>306</v>
      </c>
      <c r="T56" s="37">
        <v>0.35416666666666669</v>
      </c>
      <c r="U56" s="37">
        <v>0.52083333333333337</v>
      </c>
      <c r="V56" s="21" t="s">
        <v>306</v>
      </c>
      <c r="W56" s="37">
        <v>0.56597222222222221</v>
      </c>
      <c r="X56" s="37">
        <v>0.70833333333333337</v>
      </c>
      <c r="Y56" s="38" t="str">
        <f t="shared" si="3"/>
        <v/>
      </c>
      <c r="Z56" s="36" t="s">
        <v>306</v>
      </c>
      <c r="AA56" s="37">
        <v>0.35416666666666669</v>
      </c>
      <c r="AB56" s="37">
        <v>0.52083333333333337</v>
      </c>
      <c r="AC56" s="21" t="s">
        <v>306</v>
      </c>
      <c r="AD56" s="37">
        <v>0.56597222222222221</v>
      </c>
      <c r="AE56" s="37">
        <v>0.70833333333333337</v>
      </c>
      <c r="AF56" s="38" t="str">
        <f t="shared" si="4"/>
        <v/>
      </c>
      <c r="AG56" s="36" t="s">
        <v>307</v>
      </c>
      <c r="AH56" s="37">
        <v>0.33333333333333331</v>
      </c>
      <c r="AI56" s="37">
        <v>0.52083333333333337</v>
      </c>
      <c r="AJ56" s="21" t="s">
        <v>307</v>
      </c>
      <c r="AK56" s="37">
        <v>0.56597222222222221</v>
      </c>
      <c r="AL56" s="37">
        <v>0.6875</v>
      </c>
      <c r="AM56" s="38" t="str">
        <f t="shared" si="5"/>
        <v/>
      </c>
      <c r="AN56" s="36" t="s">
        <v>306</v>
      </c>
      <c r="AO56" s="37">
        <v>0.35416666666666669</v>
      </c>
      <c r="AP56" s="37">
        <v>0.52083333333333337</v>
      </c>
      <c r="AQ56" s="21" t="s">
        <v>306</v>
      </c>
      <c r="AR56" s="37">
        <v>0.56597222222222221</v>
      </c>
      <c r="AS56" s="37">
        <v>0.70833333333333337</v>
      </c>
      <c r="AT56" s="38" t="str">
        <f t="shared" si="6"/>
        <v/>
      </c>
      <c r="AU56" s="36" t="s">
        <v>306</v>
      </c>
      <c r="AV56" s="37">
        <v>0.33333333333333331</v>
      </c>
      <c r="AW56" s="37">
        <v>0.52083333333333337</v>
      </c>
      <c r="AX56" s="21" t="s">
        <v>306</v>
      </c>
      <c r="AY56" s="37">
        <v>0.56597222222222221</v>
      </c>
      <c r="AZ56" s="37">
        <v>0.6875</v>
      </c>
      <c r="BA56" s="39" t="str">
        <f t="shared" si="7"/>
        <v/>
      </c>
      <c r="BB56" s="46" t="s">
        <v>353</v>
      </c>
      <c r="BC56" s="31" t="s">
        <v>354</v>
      </c>
      <c r="BD56" s="16" t="s">
        <v>322</v>
      </c>
      <c r="BE56" s="16" t="s">
        <v>311</v>
      </c>
      <c r="BF56" s="244" t="str">
        <f>T_BilanSocial2[[#This Row],[Nom]]&amp;T_BilanSocial2[[#This Row],[Prénom]]</f>
        <v/>
      </c>
    </row>
    <row r="57" spans="1:58" ht="21.75" hidden="1" customHeight="1" x14ac:dyDescent="0.25">
      <c r="A57" s="90">
        <v>86</v>
      </c>
      <c r="B57" s="126" t="s">
        <v>311</v>
      </c>
      <c r="C57" s="126" t="e">
        <f>VLOOKUP(T_BilanSocial2[[#This Row],[NumL]],T_Commission[#Data],COLUMN(T_Commission[FINAL]),FALSE)</f>
        <v>#N/A</v>
      </c>
      <c r="D57" s="19" t="str">
        <f t="shared" si="0"/>
        <v/>
      </c>
      <c r="E57" s="19" t="str">
        <f t="shared" si="1"/>
        <v/>
      </c>
      <c r="F57" s="242" t="str">
        <f>IFERROR(VLOOKUP(T_BilanSocial2[[#This Row],[Zone_Bilan]],T_P_BilanSocial[#Data],COLUMN(T_P_BilanSocial[[#This Row],[Numero_SIHAM]]),FALSE),"")</f>
        <v/>
      </c>
      <c r="G57" s="242" t="str">
        <f>IFERROR(VLOOKUP(T_BilanSocial2[[#This Row],[Zone_Bilan]],T_P_BilanSocial[#Data],COLUMN(T_P_BilanSocial[[#This Row],[Sexe]]),FALSE),"")</f>
        <v/>
      </c>
      <c r="H57" s="243" t="str">
        <f>IFERROR(VLOOKUP(T_BilanSocial2[[#This Row],[Zone_Bilan]],T_P_BilanSocial[#Data],COLUMN(T_P_BilanSocial[[#This Row],[Categorie]]),FALSE),"")</f>
        <v/>
      </c>
      <c r="I57" s="242" t="str">
        <f>IFERROR(VLOOKUP(T_BilanSocial2[[#This Row],[Zone_Bilan]],T_P_BilanSocial[#Data],COLUMN(T_P_BilanSocial[[#This Row],[Statut]]),FALSE),"")</f>
        <v/>
      </c>
      <c r="J57" s="242" t="str">
        <f>IFERROR(VLOOKUP(T_BilanSocial2[[#This Row],[Zone_Bilan]],T_P_BilanSocial[#Data],COLUMN(T_P_BilanSocial[[#This Row],[Filiere]]),FALSE),"")</f>
        <v/>
      </c>
      <c r="K57" s="78">
        <v>0.8</v>
      </c>
      <c r="L57" s="213">
        <v>1.2361111111111112</v>
      </c>
      <c r="M57" s="78" t="s">
        <v>210</v>
      </c>
      <c r="N57" s="79" t="str">
        <f>IF((AND(T_BilanSocial2[[#This Row],[Nom]]&lt;&gt;"",T_BilanSocial2[[#This Row],[Reg Ponct]]="R")),(COUNTIF(S57:AX57,"S")+COUNTIF(S57:AX57,"T"))/2,"")</f>
        <v/>
      </c>
      <c r="O57" s="79" t="str">
        <f>IF((AND(T_BilanSocial2[[#This Row],[Nom]]&lt;&gt;"",T_BilanSocial2[[#This Row],[Reg Ponct]]="R")),COUNTIF(S57:AX57,"S")/2,"")</f>
        <v/>
      </c>
      <c r="P57" s="80" t="str">
        <f>IF((AND(T_BilanSocial2[[#This Row],[Nom]]&lt;&gt;"",T_BilanSocial2[[#This Row],[Reg Ponct]]="R")),COUNTIF(S57:AX57,"t")/2,"")</f>
        <v/>
      </c>
      <c r="Q57" s="81" t="str">
        <f t="shared" si="2"/>
        <v/>
      </c>
      <c r="R57" s="82" t="str">
        <f>IF((AND(T_BilanSocial2[[#This Row],[Nom]]&lt;&gt;"",T_BilanSocial2[[#This Row],[Reg Ponct]]="R")),IF(S57="T",U57-T57,0)+IF(V57="T",X57-W57,0)+IF(Z57="T",AB57-AA57,0)+IF(AC57="T",AE57-AD57,0)+IF(AG57="T",AI57-AH57,0)+IF(AJ57="T",AL57-AK57,0)+IF(AN57="T",AP57-AO57,0)+IF(AQ57="T",AS57-AR57,0)+IF(AU57="T",AW57-AV57,0)+IF(AX57="T",AZ57-AY57,0),"")</f>
        <v/>
      </c>
      <c r="S57" s="36" t="s">
        <v>306</v>
      </c>
      <c r="T57" s="37">
        <v>0.375</v>
      </c>
      <c r="U57" s="37">
        <v>0.52083333333333337</v>
      </c>
      <c r="V57" s="21" t="s">
        <v>306</v>
      </c>
      <c r="W57" s="37">
        <v>0.5625</v>
      </c>
      <c r="X57" s="37">
        <v>0.64930555555555558</v>
      </c>
      <c r="Y57" s="38" t="str">
        <f t="shared" si="3"/>
        <v/>
      </c>
      <c r="Z57" s="36" t="s">
        <v>307</v>
      </c>
      <c r="AA57" s="37">
        <v>0.375</v>
      </c>
      <c r="AB57" s="37">
        <v>0.52083333333333337</v>
      </c>
      <c r="AC57" s="21" t="s">
        <v>307</v>
      </c>
      <c r="AD57" s="37">
        <v>0.5625</v>
      </c>
      <c r="AE57" s="37">
        <v>0.64930555555555558</v>
      </c>
      <c r="AF57" s="38" t="str">
        <f t="shared" si="4"/>
        <v/>
      </c>
      <c r="AG57" s="36" t="s">
        <v>306</v>
      </c>
      <c r="AH57" s="37">
        <v>0.375</v>
      </c>
      <c r="AI57" s="37">
        <v>0.52083333333333337</v>
      </c>
      <c r="AJ57" s="21" t="s">
        <v>306</v>
      </c>
      <c r="AK57" s="37">
        <v>0.5625</v>
      </c>
      <c r="AL57" s="37">
        <v>0.72222222222222221</v>
      </c>
      <c r="AM57" s="38" t="str">
        <f t="shared" si="5"/>
        <v/>
      </c>
      <c r="AN57" s="36" t="s">
        <v>306</v>
      </c>
      <c r="AO57" s="37">
        <v>0.375</v>
      </c>
      <c r="AP57" s="37">
        <v>0.52083333333333337</v>
      </c>
      <c r="AQ57" s="21" t="s">
        <v>306</v>
      </c>
      <c r="AR57" s="37">
        <v>0.5625</v>
      </c>
      <c r="AS57" s="37">
        <v>0.64930555555555558</v>
      </c>
      <c r="AT57" s="38" t="str">
        <f t="shared" si="6"/>
        <v/>
      </c>
      <c r="AU57" s="36" t="s">
        <v>306</v>
      </c>
      <c r="AV57" s="37">
        <v>0.375</v>
      </c>
      <c r="AW57" s="37">
        <v>0.52083333333333337</v>
      </c>
      <c r="AX57" s="21" t="s">
        <v>306</v>
      </c>
      <c r="AY57" s="37">
        <v>0.5625</v>
      </c>
      <c r="AZ57" s="37">
        <v>0.64930555555555558</v>
      </c>
      <c r="BA57" s="39" t="str">
        <f t="shared" si="7"/>
        <v/>
      </c>
      <c r="BB57" s="46" t="s">
        <v>665</v>
      </c>
      <c r="BC57" s="31" t="s">
        <v>666</v>
      </c>
      <c r="BD57" s="16" t="s">
        <v>322</v>
      </c>
      <c r="BE57" s="16" t="s">
        <v>311</v>
      </c>
      <c r="BF57" s="244" t="str">
        <f>T_BilanSocial2[[#This Row],[Nom]]&amp;T_BilanSocial2[[#This Row],[Prénom]]</f>
        <v/>
      </c>
    </row>
    <row r="58" spans="1:58" ht="21.75" hidden="1" customHeight="1" x14ac:dyDescent="0.25">
      <c r="A58" s="90">
        <v>126</v>
      </c>
      <c r="B58" s="126" t="s">
        <v>210</v>
      </c>
      <c r="C58" s="126" t="str">
        <f>VLOOKUP(T_BilanSocial2[[#This Row],[NumL]],T_Commission[#Data],COLUMN(T_Commission[FINAL]),FALSE)</f>
        <v/>
      </c>
      <c r="D58" s="19" t="str">
        <f t="shared" si="0"/>
        <v/>
      </c>
      <c r="E58" s="19" t="str">
        <f t="shared" si="1"/>
        <v/>
      </c>
      <c r="F58" s="242" t="str">
        <f>IFERROR(VLOOKUP(T_BilanSocial2[[#This Row],[Zone_Bilan]],T_P_BilanSocial[#Data],COLUMN(T_P_BilanSocial[[#This Row],[Numero_SIHAM]]),FALSE),"")</f>
        <v/>
      </c>
      <c r="G58" s="242" t="str">
        <f>IFERROR(VLOOKUP(T_BilanSocial2[[#This Row],[Zone_Bilan]],T_P_BilanSocial[#Data],COLUMN(T_P_BilanSocial[[#This Row],[Sexe]]),FALSE),"")</f>
        <v/>
      </c>
      <c r="H58" s="243" t="str">
        <f>IFERROR(VLOOKUP(T_BilanSocial2[[#This Row],[Zone_Bilan]],T_P_BilanSocial[#Data],COLUMN(T_P_BilanSocial[[#This Row],[Categorie]]),FALSE),"")</f>
        <v/>
      </c>
      <c r="I58" s="242" t="str">
        <f>IFERROR(VLOOKUP(T_BilanSocial2[[#This Row],[Zone_Bilan]],T_P_BilanSocial[#Data],COLUMN(T_P_BilanSocial[[#This Row],[Statut]]),FALSE),"")</f>
        <v/>
      </c>
      <c r="J58" s="242" t="str">
        <f>IFERROR(VLOOKUP(T_BilanSocial2[[#This Row],[Zone_Bilan]],T_P_BilanSocial[#Data],COLUMN(T_P_BilanSocial[[#This Row],[Filiere]]),FALSE),"")</f>
        <v/>
      </c>
      <c r="K58" s="78">
        <v>1</v>
      </c>
      <c r="L58" s="213">
        <v>1.5451388888888891</v>
      </c>
      <c r="M58" s="78" t="s">
        <v>210</v>
      </c>
      <c r="N58" s="79" t="str">
        <f>IF((AND(T_BilanSocial2[[#This Row],[Nom]]&lt;&gt;"",T_BilanSocial2[[#This Row],[Reg Ponct]]="R")),(COUNTIF(S58:AX58,"S")+COUNTIF(S58:AX58,"T"))/2,"")</f>
        <v/>
      </c>
      <c r="O58" s="79" t="str">
        <f>IF((AND(T_BilanSocial2[[#This Row],[Nom]]&lt;&gt;"",T_BilanSocial2[[#This Row],[Reg Ponct]]="R")),COUNTIF(S58:AX58,"S")/2,"")</f>
        <v/>
      </c>
      <c r="P58" s="80" t="str">
        <f>IF((AND(T_BilanSocial2[[#This Row],[Nom]]&lt;&gt;"",T_BilanSocial2[[#This Row],[Reg Ponct]]="R")),COUNTIF(S58:AX58,"t")/2,"")</f>
        <v/>
      </c>
      <c r="Q58" s="81" t="str">
        <f t="shared" si="2"/>
        <v/>
      </c>
      <c r="R58" s="82" t="str">
        <f>IF((AND(T_BilanSocial2[[#This Row],[Nom]]&lt;&gt;"",T_BilanSocial2[[#This Row],[Reg Ponct]]="R")),IF(S58="T",U58-T58,0)+IF(V58="T",X58-W58,0)+IF(Z58="T",AB58-AA58,0)+IF(AC58="T",AE58-AD58,0)+IF(AG58="T",AI58-AH58,0)+IF(AJ58="T",AL58-AK58,0)+IF(AN58="T",AP58-AO58,0)+IF(AQ58="T",AS58-AR58,0)+IF(AU58="T",AW58-AV58,0)+IF(AX58="T",AZ58-AY58,0),"")</f>
        <v/>
      </c>
      <c r="S58" s="36" t="s">
        <v>306</v>
      </c>
      <c r="T58" s="37">
        <v>0.35416666666666669</v>
      </c>
      <c r="U58" s="37">
        <v>0.51041666666666663</v>
      </c>
      <c r="V58" s="21" t="s">
        <v>306</v>
      </c>
      <c r="W58" s="37">
        <v>0.55208333333333337</v>
      </c>
      <c r="X58" s="37">
        <v>0.75</v>
      </c>
      <c r="Y58" s="38" t="str">
        <f t="shared" si="3"/>
        <v/>
      </c>
      <c r="Z58" s="36" t="s">
        <v>306</v>
      </c>
      <c r="AA58" s="37">
        <v>0.35416666666666669</v>
      </c>
      <c r="AB58" s="37">
        <v>0.51041666666666663</v>
      </c>
      <c r="AC58" s="21" t="s">
        <v>306</v>
      </c>
      <c r="AD58" s="37">
        <v>0.55208333333333337</v>
      </c>
      <c r="AE58" s="37">
        <v>0.75</v>
      </c>
      <c r="AF58" s="38" t="str">
        <f t="shared" si="4"/>
        <v/>
      </c>
      <c r="AG58" s="36" t="s">
        <v>307</v>
      </c>
      <c r="AH58" s="37">
        <v>0.33333333333333331</v>
      </c>
      <c r="AI58" s="37">
        <v>0.51041666666666663</v>
      </c>
      <c r="AJ58" s="21" t="s">
        <v>307</v>
      </c>
      <c r="AK58" s="37">
        <v>0.55208333333333337</v>
      </c>
      <c r="AL58" s="37">
        <v>0.72916666666666663</v>
      </c>
      <c r="AM58" s="38" t="str">
        <f t="shared" si="5"/>
        <v/>
      </c>
      <c r="AN58" s="36" t="s">
        <v>306</v>
      </c>
      <c r="AO58" s="37">
        <v>0.35416666666666669</v>
      </c>
      <c r="AP58" s="37">
        <v>0.51041666666666663</v>
      </c>
      <c r="AQ58" s="21" t="s">
        <v>306</v>
      </c>
      <c r="AR58" s="37">
        <v>0.55208333333333337</v>
      </c>
      <c r="AS58" s="37">
        <v>0.75</v>
      </c>
      <c r="AT58" s="38" t="str">
        <f t="shared" si="6"/>
        <v/>
      </c>
      <c r="AU58" s="36" t="s">
        <v>307</v>
      </c>
      <c r="AV58" s="37">
        <v>0.35416666666666669</v>
      </c>
      <c r="AW58" s="37">
        <v>0.4826388888888889</v>
      </c>
      <c r="AX58" s="21" t="s">
        <v>308</v>
      </c>
      <c r="AY58" s="37"/>
      <c r="AZ58" s="37"/>
      <c r="BA58" s="39" t="str">
        <f t="shared" si="7"/>
        <v/>
      </c>
      <c r="BB58" s="46" t="s">
        <v>790</v>
      </c>
      <c r="BC58" s="31" t="s">
        <v>791</v>
      </c>
      <c r="BD58" s="16" t="s">
        <v>322</v>
      </c>
      <c r="BE58" s="16" t="s">
        <v>322</v>
      </c>
      <c r="BF58" s="244" t="str">
        <f>T_BilanSocial2[[#This Row],[Nom]]&amp;T_BilanSocial2[[#This Row],[Prénom]]</f>
        <v/>
      </c>
    </row>
    <row r="59" spans="1:58" ht="21.75" hidden="1" customHeight="1" x14ac:dyDescent="0.25">
      <c r="A59" s="90">
        <v>205</v>
      </c>
      <c r="B59" s="126" t="s">
        <v>311</v>
      </c>
      <c r="C59" s="126" t="str">
        <f>VLOOKUP(T_BilanSocial2[[#This Row],[NumL]],T_Commission[#Data],COLUMN(T_Commission[FINAL]),FALSE)</f>
        <v/>
      </c>
      <c r="D59" s="19" t="str">
        <f t="shared" si="0"/>
        <v/>
      </c>
      <c r="E59" s="19" t="str">
        <f t="shared" si="1"/>
        <v/>
      </c>
      <c r="F59" s="242" t="str">
        <f>IFERROR(VLOOKUP(T_BilanSocial2[[#This Row],[Zone_Bilan]],T_P_BilanSocial[#Data],COLUMN(T_P_BilanSocial[[#This Row],[Numero_SIHAM]]),FALSE),"")</f>
        <v/>
      </c>
      <c r="G59" s="242" t="str">
        <f>IFERROR(VLOOKUP(T_BilanSocial2[[#This Row],[Zone_Bilan]],T_P_BilanSocial[#Data],COLUMN(T_P_BilanSocial[[#This Row],[Sexe]]),FALSE),"")</f>
        <v/>
      </c>
      <c r="H59" s="243" t="str">
        <f>IFERROR(VLOOKUP(T_BilanSocial2[[#This Row],[Zone_Bilan]],T_P_BilanSocial[#Data],COLUMN(T_P_BilanSocial[[#This Row],[Categorie]]),FALSE),"")</f>
        <v/>
      </c>
      <c r="I59" s="242" t="str">
        <f>IFERROR(VLOOKUP(T_BilanSocial2[[#This Row],[Zone_Bilan]],T_P_BilanSocial[#Data],COLUMN(T_P_BilanSocial[[#This Row],[Statut]]),FALSE),"")</f>
        <v/>
      </c>
      <c r="J59" s="242" t="str">
        <f>IFERROR(VLOOKUP(T_BilanSocial2[[#This Row],[Zone_Bilan]],T_P_BilanSocial[#Data],COLUMN(T_P_BilanSocial[[#This Row],[Filiere]]),FALSE),"")</f>
        <v/>
      </c>
      <c r="K59" s="78">
        <v>1</v>
      </c>
      <c r="L59" s="213">
        <v>1.5451388888888891</v>
      </c>
      <c r="M59" s="78" t="s">
        <v>211</v>
      </c>
      <c r="N59" s="79" t="str">
        <f>IF((AND(T_BilanSocial2[[#This Row],[Nom]]&lt;&gt;"",T_BilanSocial2[[#This Row],[Reg Ponct]]="R")),(COUNTIF(S59:AX59,"S")+COUNTIF(S59:AX59,"T"))/2,"")</f>
        <v/>
      </c>
      <c r="O59" s="79" t="str">
        <f>IF((AND(T_BilanSocial2[[#This Row],[Nom]]&lt;&gt;"",T_BilanSocial2[[#This Row],[Reg Ponct]]="R")),COUNTIF(S59:AX59,"S")/2,"")</f>
        <v/>
      </c>
      <c r="P59" s="80" t="str">
        <f>IF((AND(T_BilanSocial2[[#This Row],[Nom]]&lt;&gt;"",T_BilanSocial2[[#This Row],[Reg Ponct]]="R")),COUNTIF(S59:AX59,"t")/2,"")</f>
        <v/>
      </c>
      <c r="Q59" s="81" t="str">
        <f t="shared" si="2"/>
        <v/>
      </c>
      <c r="R59" s="82" t="str">
        <f>IF((AND(T_BilanSocial2[[#This Row],[Nom]]&lt;&gt;"",T_BilanSocial2[[#This Row],[Reg Ponct]]="R")),IF(S59="T",U59-T59,0)+IF(V59="T",X59-W59,0)+IF(Z59="T",AB59-AA59,0)+IF(AC59="T",AE59-AD59,0)+IF(AG59="T",AI59-AH59,0)+IF(AJ59="T",AL59-AK59,0)+IF(AN59="T",AP59-AO59,0)+IF(AQ59="T",AS59-AR59,0)+IF(AU59="T",AW59-AV59,0)+IF(AX59="T",AZ59-AY59,0),"")</f>
        <v/>
      </c>
      <c r="S59" s="36"/>
      <c r="T59" s="37"/>
      <c r="U59" s="37"/>
      <c r="V59" s="21"/>
      <c r="W59" s="37"/>
      <c r="X59" s="37"/>
      <c r="Y59" s="38" t="str">
        <f t="shared" si="3"/>
        <v/>
      </c>
      <c r="Z59" s="36"/>
      <c r="AA59" s="37"/>
      <c r="AB59" s="37"/>
      <c r="AC59" s="21"/>
      <c r="AD59" s="37"/>
      <c r="AE59" s="37"/>
      <c r="AF59" s="38" t="str">
        <f t="shared" si="4"/>
        <v/>
      </c>
      <c r="AG59" s="36"/>
      <c r="AH59" s="37"/>
      <c r="AI59" s="37"/>
      <c r="AJ59" s="21"/>
      <c r="AK59" s="37"/>
      <c r="AL59" s="37"/>
      <c r="AM59" s="38" t="str">
        <f t="shared" si="5"/>
        <v/>
      </c>
      <c r="AN59" s="36"/>
      <c r="AO59" s="37"/>
      <c r="AP59" s="37"/>
      <c r="AQ59" s="21"/>
      <c r="AR59" s="37"/>
      <c r="AS59" s="37"/>
      <c r="AT59" s="38" t="str">
        <f t="shared" si="6"/>
        <v/>
      </c>
      <c r="AU59" s="36"/>
      <c r="AV59" s="37"/>
      <c r="AW59" s="37"/>
      <c r="AX59" s="21"/>
      <c r="AY59" s="37"/>
      <c r="AZ59" s="37"/>
      <c r="BA59" s="39" t="str">
        <f t="shared" si="7"/>
        <v/>
      </c>
      <c r="BB59" s="46" t="s">
        <v>376</v>
      </c>
      <c r="BC59" s="31" t="s">
        <v>341</v>
      </c>
      <c r="BD59" s="16" t="s">
        <v>311</v>
      </c>
      <c r="BE59" s="16" t="s">
        <v>311</v>
      </c>
      <c r="BF59" s="244" t="str">
        <f>T_BilanSocial2[[#This Row],[Nom]]&amp;T_BilanSocial2[[#This Row],[Prénom]]</f>
        <v/>
      </c>
    </row>
    <row r="60" spans="1:58" ht="21.75" hidden="1" customHeight="1" x14ac:dyDescent="0.25">
      <c r="A60" s="90">
        <v>145</v>
      </c>
      <c r="B60" s="126" t="s">
        <v>311</v>
      </c>
      <c r="C60" s="126" t="str">
        <f>VLOOKUP(T_BilanSocial2[[#This Row],[NumL]],T_Commission[#Data],COLUMN(T_Commission[FINAL]),FALSE)</f>
        <v/>
      </c>
      <c r="D60" s="19" t="str">
        <f t="shared" si="0"/>
        <v/>
      </c>
      <c r="E60" s="19" t="str">
        <f t="shared" si="1"/>
        <v/>
      </c>
      <c r="F60" s="242" t="str">
        <f>IFERROR(VLOOKUP(T_BilanSocial2[[#This Row],[Zone_Bilan]],T_P_BilanSocial[#Data],COLUMN(T_P_BilanSocial[[#This Row],[Numero_SIHAM]]),FALSE),"")</f>
        <v/>
      </c>
      <c r="G60" s="242" t="str">
        <f>IFERROR(VLOOKUP(T_BilanSocial2[[#This Row],[Zone_Bilan]],T_P_BilanSocial[#Data],COLUMN(T_P_BilanSocial[[#This Row],[Sexe]]),FALSE),"")</f>
        <v/>
      </c>
      <c r="H60" s="243" t="str">
        <f>IFERROR(VLOOKUP(T_BilanSocial2[[#This Row],[Zone_Bilan]],T_P_BilanSocial[#Data],COLUMN(T_P_BilanSocial[[#This Row],[Categorie]]),FALSE),"")</f>
        <v/>
      </c>
      <c r="I60" s="242" t="str">
        <f>IFERROR(VLOOKUP(T_BilanSocial2[[#This Row],[Zone_Bilan]],T_P_BilanSocial[#Data],COLUMN(T_P_BilanSocial[[#This Row],[Statut]]),FALSE),"")</f>
        <v/>
      </c>
      <c r="J60" s="242" t="str">
        <f>IFERROR(VLOOKUP(T_BilanSocial2[[#This Row],[Zone_Bilan]],T_P_BilanSocial[#Data],COLUMN(T_P_BilanSocial[[#This Row],[Filiere]]),FALSE),"")</f>
        <v/>
      </c>
      <c r="K60" s="78">
        <v>1</v>
      </c>
      <c r="L60" s="213">
        <v>1.5451388888888891</v>
      </c>
      <c r="M60" s="78" t="s">
        <v>211</v>
      </c>
      <c r="N60" s="79" t="str">
        <f>IF((AND(T_BilanSocial2[[#This Row],[Nom]]&lt;&gt;"",T_BilanSocial2[[#This Row],[Reg Ponct]]="R")),(COUNTIF(S60:AX60,"S")+COUNTIF(S60:AX60,"T"))/2,"")</f>
        <v/>
      </c>
      <c r="O60" s="79" t="str">
        <f>IF((AND(T_BilanSocial2[[#This Row],[Nom]]&lt;&gt;"",T_BilanSocial2[[#This Row],[Reg Ponct]]="R")),COUNTIF(S60:AX60,"S")/2,"")</f>
        <v/>
      </c>
      <c r="P60" s="80" t="str">
        <f>IF((AND(T_BilanSocial2[[#This Row],[Nom]]&lt;&gt;"",T_BilanSocial2[[#This Row],[Reg Ponct]]="R")),COUNTIF(S60:AX60,"t")/2,"")</f>
        <v/>
      </c>
      <c r="Q60" s="81" t="str">
        <f t="shared" si="2"/>
        <v/>
      </c>
      <c r="R60" s="82" t="str">
        <f>IF((AND(T_BilanSocial2[[#This Row],[Nom]]&lt;&gt;"",T_BilanSocial2[[#This Row],[Reg Ponct]]="R")),IF(S60="T",U60-T60,0)+IF(V60="T",X60-W60,0)+IF(Z60="T",AB60-AA60,0)+IF(AC60="T",AE60-AD60,0)+IF(AG60="T",AI60-AH60,0)+IF(AJ60="T",AL60-AK60,0)+IF(AN60="T",AP60-AO60,0)+IF(AQ60="T",AS60-AR60,0)+IF(AU60="T",AW60-AV60,0)+IF(AX60="T",AZ60-AY60,0),"")</f>
        <v/>
      </c>
      <c r="S60" s="36"/>
      <c r="T60" s="37"/>
      <c r="U60" s="37"/>
      <c r="V60" s="21"/>
      <c r="W60" s="37"/>
      <c r="X60" s="37"/>
      <c r="Y60" s="38" t="str">
        <f t="shared" si="3"/>
        <v/>
      </c>
      <c r="Z60" s="36"/>
      <c r="AA60" s="37"/>
      <c r="AB60" s="37"/>
      <c r="AC60" s="21"/>
      <c r="AD60" s="37"/>
      <c r="AE60" s="37"/>
      <c r="AF60" s="38" t="str">
        <f t="shared" si="4"/>
        <v/>
      </c>
      <c r="AG60" s="36"/>
      <c r="AH60" s="37"/>
      <c r="AI60" s="37"/>
      <c r="AJ60" s="21"/>
      <c r="AK60" s="37"/>
      <c r="AL60" s="37"/>
      <c r="AM60" s="38" t="str">
        <f t="shared" si="5"/>
        <v/>
      </c>
      <c r="AN60" s="36"/>
      <c r="AO60" s="37"/>
      <c r="AP60" s="37"/>
      <c r="AQ60" s="21"/>
      <c r="AR60" s="37"/>
      <c r="AS60" s="37"/>
      <c r="AT60" s="38" t="str">
        <f t="shared" si="6"/>
        <v/>
      </c>
      <c r="AU60" s="36"/>
      <c r="AV60" s="37"/>
      <c r="AW60" s="37"/>
      <c r="AX60" s="21"/>
      <c r="AY60" s="37"/>
      <c r="AZ60" s="37"/>
      <c r="BA60" s="39" t="str">
        <f t="shared" si="7"/>
        <v/>
      </c>
      <c r="BB60" s="46" t="s">
        <v>340</v>
      </c>
      <c r="BC60" s="31" t="s">
        <v>341</v>
      </c>
      <c r="BD60" s="16" t="s">
        <v>311</v>
      </c>
      <c r="BE60" s="16" t="s">
        <v>311</v>
      </c>
      <c r="BF60" s="244" t="str">
        <f>T_BilanSocial2[[#This Row],[Nom]]&amp;T_BilanSocial2[[#This Row],[Prénom]]</f>
        <v/>
      </c>
    </row>
    <row r="61" spans="1:58" ht="21.75" customHeight="1" x14ac:dyDescent="0.25">
      <c r="A61" s="90">
        <v>231</v>
      </c>
      <c r="B61" s="126" t="s">
        <v>311</v>
      </c>
      <c r="C61" s="126" t="str">
        <f>VLOOKUP(T_BilanSocial2[[#This Row],[NumL]],T_Commission[#Data],COLUMN(T_Commission[FINAL]),FALSE)</f>
        <v/>
      </c>
      <c r="D61" s="19" t="str">
        <f t="shared" si="0"/>
        <v/>
      </c>
      <c r="E61" s="19" t="str">
        <f t="shared" si="1"/>
        <v/>
      </c>
      <c r="F61" s="242" t="str">
        <f>IFERROR(VLOOKUP(T_BilanSocial2[[#This Row],[Zone_Bilan]],T_P_BilanSocial[#Data],COLUMN(T_P_BilanSocial[[#This Row],[Numero_SIHAM]]),FALSE),"")</f>
        <v/>
      </c>
      <c r="G61" s="242" t="str">
        <f>IFERROR(VLOOKUP(T_BilanSocial2[[#This Row],[Zone_Bilan]],T_P_BilanSocial[#Data],COLUMN(T_P_BilanSocial[[#This Row],[Sexe]]),FALSE),"")</f>
        <v/>
      </c>
      <c r="H61" s="243" t="str">
        <f>IFERROR(VLOOKUP(T_BilanSocial2[[#This Row],[Zone_Bilan]],T_P_BilanSocial[#Data],COLUMN(T_P_BilanSocial[[#This Row],[Categorie]]),FALSE),"")</f>
        <v/>
      </c>
      <c r="I61" s="242" t="str">
        <f>IFERROR(VLOOKUP(T_BilanSocial2[[#This Row],[Zone_Bilan]],T_P_BilanSocial[#Data],COLUMN(T_P_BilanSocial[[#This Row],[Statut]]),FALSE),"")</f>
        <v/>
      </c>
      <c r="J61" s="242" t="str">
        <f>IFERROR(VLOOKUP(T_BilanSocial2[[#This Row],[Zone_Bilan]],T_P_BilanSocial[#Data],COLUMN(T_P_BilanSocial[[#This Row],[Filiere]]),FALSE),"")</f>
        <v/>
      </c>
      <c r="K61" s="78">
        <v>1</v>
      </c>
      <c r="L61" s="213">
        <v>1.5451388888888891</v>
      </c>
      <c r="M61" s="78" t="s">
        <v>210</v>
      </c>
      <c r="N61" s="79" t="str">
        <f>IF((AND(T_BilanSocial2[[#This Row],[Nom]]&lt;&gt;"",T_BilanSocial2[[#This Row],[Reg Ponct]]="R")),(COUNTIF(S61:AX61,"S")+COUNTIF(S61:AX61,"T"))/2,"")</f>
        <v/>
      </c>
      <c r="O61" s="79" t="str">
        <f>IF((AND(T_BilanSocial2[[#This Row],[Nom]]&lt;&gt;"",T_BilanSocial2[[#This Row],[Reg Ponct]]="R")),COUNTIF(S61:AX61,"S")/2,"")</f>
        <v/>
      </c>
      <c r="P61" s="80" t="str">
        <f>IF((AND(T_BilanSocial2[[#This Row],[Nom]]&lt;&gt;"",T_BilanSocial2[[#This Row],[Reg Ponct]]="R")),COUNTIF(S61:AX61,"t")/2,"")</f>
        <v/>
      </c>
      <c r="Q61" s="81" t="str">
        <f t="shared" si="2"/>
        <v/>
      </c>
      <c r="R61" s="82" t="str">
        <f>IF((AND(T_BilanSocial2[[#This Row],[Nom]]&lt;&gt;"",T_BilanSocial2[[#This Row],[Reg Ponct]]="R")),IF(S61="T",U61-T61,0)+IF(V61="T",X61-W61,0)+IF(Z61="T",AB61-AA61,0)+IF(AC61="T",AE61-AD61,0)+IF(AG61="T",AI61-AH61,0)+IF(AJ61="T",AL61-AK61,0)+IF(AN61="T",AP61-AO61,0)+IF(AQ61="T",AS61-AR61,0)+IF(AU61="T",AW61-AV61,0)+IF(AX61="T",AZ61-AY61,0),"")</f>
        <v/>
      </c>
      <c r="S61" s="36" t="s">
        <v>306</v>
      </c>
      <c r="T61" s="37">
        <v>0.35416666666666669</v>
      </c>
      <c r="U61" s="37">
        <v>0.52083333333333337</v>
      </c>
      <c r="V61" s="21" t="s">
        <v>306</v>
      </c>
      <c r="W61" s="37">
        <v>0.5625</v>
      </c>
      <c r="X61" s="37">
        <v>0.73958333333333337</v>
      </c>
      <c r="Y61" s="38" t="str">
        <f t="shared" si="3"/>
        <v/>
      </c>
      <c r="Z61" s="36" t="s">
        <v>306</v>
      </c>
      <c r="AA61" s="37">
        <v>0.35416666666666669</v>
      </c>
      <c r="AB61" s="37">
        <v>0.52083333333333337</v>
      </c>
      <c r="AC61" s="21" t="s">
        <v>306</v>
      </c>
      <c r="AD61" s="37">
        <v>0.5625</v>
      </c>
      <c r="AE61" s="37">
        <v>0.73958333333333337</v>
      </c>
      <c r="AF61" s="38" t="str">
        <f t="shared" si="4"/>
        <v/>
      </c>
      <c r="AG61" s="36" t="s">
        <v>306</v>
      </c>
      <c r="AH61" s="37">
        <v>0.35416666666666669</v>
      </c>
      <c r="AI61" s="37">
        <v>0.52083333333333337</v>
      </c>
      <c r="AJ61" s="21" t="s">
        <v>306</v>
      </c>
      <c r="AK61" s="37">
        <v>0.5625</v>
      </c>
      <c r="AL61" s="37">
        <v>0.73958333333333337</v>
      </c>
      <c r="AM61" s="38" t="str">
        <f t="shared" si="5"/>
        <v/>
      </c>
      <c r="AN61" s="36" t="s">
        <v>306</v>
      </c>
      <c r="AO61" s="37">
        <v>0.35416666666666669</v>
      </c>
      <c r="AP61" s="37">
        <v>0.52083333333333337</v>
      </c>
      <c r="AQ61" s="21" t="s">
        <v>306</v>
      </c>
      <c r="AR61" s="37">
        <v>0.5625</v>
      </c>
      <c r="AS61" s="37">
        <v>0.73958333333333337</v>
      </c>
      <c r="AT61" s="38" t="str">
        <f t="shared" si="6"/>
        <v/>
      </c>
      <c r="AU61" s="36" t="s">
        <v>307</v>
      </c>
      <c r="AV61" s="37">
        <v>0.35416666666666669</v>
      </c>
      <c r="AW61" s="37">
        <v>0.52430555555555558</v>
      </c>
      <c r="AX61" s="21" t="s">
        <v>308</v>
      </c>
      <c r="AY61" s="37"/>
      <c r="AZ61" s="37"/>
      <c r="BA61" s="39" t="str">
        <f t="shared" si="7"/>
        <v/>
      </c>
      <c r="BB61" s="46" t="s">
        <v>1022</v>
      </c>
      <c r="BC61" s="31" t="s">
        <v>1023</v>
      </c>
      <c r="BD61" s="16" t="s">
        <v>311</v>
      </c>
      <c r="BE61" s="16" t="s">
        <v>311</v>
      </c>
      <c r="BF61" s="244" t="str">
        <f>T_BilanSocial2[[#This Row],[Nom]]&amp;T_BilanSocial2[[#This Row],[Prénom]]</f>
        <v/>
      </c>
    </row>
    <row r="62" spans="1:58" ht="21.75" customHeight="1" x14ac:dyDescent="0.25">
      <c r="A62" s="90">
        <v>282</v>
      </c>
      <c r="B62" s="126" t="s">
        <v>311</v>
      </c>
      <c r="C62" s="126" t="e">
        <f>VLOOKUP(T_BilanSocial2[[#This Row],[NumL]],T_Commission[#Data],COLUMN(T_Commission[FINAL]),FALSE)</f>
        <v>#N/A</v>
      </c>
      <c r="D62" s="19" t="str">
        <f t="shared" si="0"/>
        <v/>
      </c>
      <c r="E62" s="19" t="str">
        <f t="shared" si="1"/>
        <v/>
      </c>
      <c r="F62" s="242" t="str">
        <f>IFERROR(VLOOKUP(T_BilanSocial2[[#This Row],[Zone_Bilan]],T_P_BilanSocial[#Data],COLUMN(T_P_BilanSocial[[#This Row],[Numero_SIHAM]]),FALSE),"")</f>
        <v/>
      </c>
      <c r="G62" s="242" t="str">
        <f>IFERROR(VLOOKUP(T_BilanSocial2[[#This Row],[Zone_Bilan]],T_P_BilanSocial[#Data],COLUMN(T_P_BilanSocial[[#This Row],[Sexe]]),FALSE),"")</f>
        <v/>
      </c>
      <c r="H62" s="243" t="str">
        <f>IFERROR(VLOOKUP(T_BilanSocial2[[#This Row],[Zone_Bilan]],T_P_BilanSocial[#Data],COLUMN(T_P_BilanSocial[[#This Row],[Categorie]]),FALSE),"")</f>
        <v/>
      </c>
      <c r="I62" s="242" t="str">
        <f>IFERROR(VLOOKUP(T_BilanSocial2[[#This Row],[Zone_Bilan]],T_P_BilanSocial[#Data],COLUMN(T_P_BilanSocial[[#This Row],[Statut]]),FALSE),"")</f>
        <v/>
      </c>
      <c r="J62" s="242" t="str">
        <f>IFERROR(VLOOKUP(T_BilanSocial2[[#This Row],[Zone_Bilan]],T_P_BilanSocial[#Data],COLUMN(T_P_BilanSocial[[#This Row],[Filiere]]),FALSE),"")</f>
        <v/>
      </c>
      <c r="K62" s="78">
        <v>1</v>
      </c>
      <c r="L62" s="213">
        <v>1.5451388888888891</v>
      </c>
      <c r="M62" s="78" t="s">
        <v>210</v>
      </c>
      <c r="N62" s="79" t="str">
        <f>IF((AND(T_BilanSocial2[[#This Row],[Nom]]&lt;&gt;"",T_BilanSocial2[[#This Row],[Reg Ponct]]="R")),(COUNTIF(S62:AX62,"S")+COUNTIF(S62:AX62,"T"))/2,"")</f>
        <v/>
      </c>
      <c r="O62" s="79" t="str">
        <f>IF((AND(T_BilanSocial2[[#This Row],[Nom]]&lt;&gt;"",T_BilanSocial2[[#This Row],[Reg Ponct]]="R")),COUNTIF(S62:AX62,"S")/2,"")</f>
        <v/>
      </c>
      <c r="P62" s="80" t="str">
        <f>IF((AND(T_BilanSocial2[[#This Row],[Nom]]&lt;&gt;"",T_BilanSocial2[[#This Row],[Reg Ponct]]="R")),COUNTIF(S62:AX62,"t")/2,"")</f>
        <v/>
      </c>
      <c r="Q62" s="81" t="str">
        <f t="shared" si="2"/>
        <v/>
      </c>
      <c r="R62" s="82" t="str">
        <f>IF((AND(T_BilanSocial2[[#This Row],[Nom]]&lt;&gt;"",T_BilanSocial2[[#This Row],[Reg Ponct]]="R")),IF(S62="T",U62-T62,0)+IF(V62="T",X62-W62,0)+IF(Z62="T",AB62-AA62,0)+IF(AC62="T",AE62-AD62,0)+IF(AG62="T",AI62-AH62,0)+IF(AJ62="T",AL62-AK62,0)+IF(AN62="T",AP62-AO62,0)+IF(AQ62="T",AS62-AR62,0)+IF(AU62="T",AW62-AV62,0)+IF(AX62="T",AZ62-AY62,0),"")</f>
        <v/>
      </c>
      <c r="S62" s="36" t="s">
        <v>306</v>
      </c>
      <c r="T62" s="37">
        <v>0.34375</v>
      </c>
      <c r="U62" s="37">
        <v>0.54166666666666663</v>
      </c>
      <c r="V62" s="21" t="s">
        <v>306</v>
      </c>
      <c r="W62" s="37">
        <v>0.58333333333333337</v>
      </c>
      <c r="X62" s="37">
        <v>0.72916666666666663</v>
      </c>
      <c r="Y62" s="38" t="str">
        <f t="shared" si="3"/>
        <v/>
      </c>
      <c r="Z62" s="36" t="s">
        <v>306</v>
      </c>
      <c r="AA62" s="37">
        <v>0.34375</v>
      </c>
      <c r="AB62" s="37">
        <v>0.54166666666666663</v>
      </c>
      <c r="AC62" s="21" t="s">
        <v>306</v>
      </c>
      <c r="AD62" s="37">
        <v>0.58333333333333337</v>
      </c>
      <c r="AE62" s="37">
        <v>0.72916666666666663</v>
      </c>
      <c r="AF62" s="38" t="str">
        <f t="shared" si="4"/>
        <v/>
      </c>
      <c r="AG62" s="36" t="s">
        <v>306</v>
      </c>
      <c r="AH62" s="37">
        <v>0.34375</v>
      </c>
      <c r="AI62" s="37">
        <v>0.54166666666666663</v>
      </c>
      <c r="AJ62" s="21" t="s">
        <v>308</v>
      </c>
      <c r="AK62" s="37"/>
      <c r="AL62" s="37"/>
      <c r="AM62" s="38" t="str">
        <f t="shared" si="5"/>
        <v/>
      </c>
      <c r="AN62" s="36" t="s">
        <v>306</v>
      </c>
      <c r="AO62" s="37">
        <v>0.34375</v>
      </c>
      <c r="AP62" s="37">
        <v>0.54166666666666663</v>
      </c>
      <c r="AQ62" s="21" t="s">
        <v>306</v>
      </c>
      <c r="AR62" s="37">
        <v>0.58333333333333337</v>
      </c>
      <c r="AS62" s="37">
        <v>0.72916666666666663</v>
      </c>
      <c r="AT62" s="38" t="str">
        <f t="shared" si="6"/>
        <v/>
      </c>
      <c r="AU62" s="36" t="s">
        <v>307</v>
      </c>
      <c r="AV62" s="37">
        <v>0.34375</v>
      </c>
      <c r="AW62" s="37">
        <v>0.54166666666666663</v>
      </c>
      <c r="AX62" s="21" t="s">
        <v>307</v>
      </c>
      <c r="AY62" s="37">
        <v>0.58333333333333337</v>
      </c>
      <c r="AZ62" s="37">
        <v>0.70138888888888884</v>
      </c>
      <c r="BA62" s="39" t="str">
        <f t="shared" si="7"/>
        <v/>
      </c>
      <c r="BB62" s="46" t="s">
        <v>684</v>
      </c>
      <c r="BC62" s="31" t="s">
        <v>341</v>
      </c>
      <c r="BD62" s="16" t="s">
        <v>311</v>
      </c>
      <c r="BE62" s="16" t="s">
        <v>311</v>
      </c>
      <c r="BF62" s="244" t="str">
        <f>T_BilanSocial2[[#This Row],[Nom]]&amp;T_BilanSocial2[[#This Row],[Prénom]]</f>
        <v/>
      </c>
    </row>
    <row r="63" spans="1:58" ht="21.75" hidden="1" customHeight="1" x14ac:dyDescent="0.25">
      <c r="A63" s="90">
        <v>247</v>
      </c>
      <c r="B63" s="126" t="s">
        <v>311</v>
      </c>
      <c r="C63" s="126" t="str">
        <f>VLOOKUP(T_BilanSocial2[[#This Row],[NumL]],T_Commission[#Data],COLUMN(T_Commission[FINAL]),FALSE)</f>
        <v/>
      </c>
      <c r="D63" s="19" t="str">
        <f t="shared" si="0"/>
        <v/>
      </c>
      <c r="E63" s="19" t="str">
        <f t="shared" si="1"/>
        <v/>
      </c>
      <c r="F63" s="242" t="str">
        <f>IFERROR(VLOOKUP(T_BilanSocial2[[#This Row],[Zone_Bilan]],T_P_BilanSocial[#Data],COLUMN(T_P_BilanSocial[[#This Row],[Numero_SIHAM]]),FALSE),"")</f>
        <v/>
      </c>
      <c r="G63" s="242" t="str">
        <f>IFERROR(VLOOKUP(T_BilanSocial2[[#This Row],[Zone_Bilan]],T_P_BilanSocial[#Data],COLUMN(T_P_BilanSocial[[#This Row],[Sexe]]),FALSE),"")</f>
        <v/>
      </c>
      <c r="H63" s="243" t="str">
        <f>IFERROR(VLOOKUP(T_BilanSocial2[[#This Row],[Zone_Bilan]],T_P_BilanSocial[#Data],COLUMN(T_P_BilanSocial[[#This Row],[Categorie]]),FALSE),"")</f>
        <v/>
      </c>
      <c r="I63" s="242" t="str">
        <f>IFERROR(VLOOKUP(T_BilanSocial2[[#This Row],[Zone_Bilan]],T_P_BilanSocial[#Data],COLUMN(T_P_BilanSocial[[#This Row],[Statut]]),FALSE),"")</f>
        <v/>
      </c>
      <c r="J63" s="242" t="str">
        <f>IFERROR(VLOOKUP(T_BilanSocial2[[#This Row],[Zone_Bilan]],T_P_BilanSocial[#Data],COLUMN(T_P_BilanSocial[[#This Row],[Filiere]]),FALSE),"")</f>
        <v/>
      </c>
      <c r="K63" s="78">
        <v>1</v>
      </c>
      <c r="L63" s="213">
        <v>1.5451388888888891</v>
      </c>
      <c r="M63" s="78" t="s">
        <v>210</v>
      </c>
      <c r="N63" s="79" t="str">
        <f>IF((AND(T_BilanSocial2[[#This Row],[Nom]]&lt;&gt;"",T_BilanSocial2[[#This Row],[Reg Ponct]]="R")),(COUNTIF(S63:AX63,"S")+COUNTIF(S63:AX63,"T"))/2,"")</f>
        <v/>
      </c>
      <c r="O63" s="79" t="str">
        <f>IF((AND(T_BilanSocial2[[#This Row],[Nom]]&lt;&gt;"",T_BilanSocial2[[#This Row],[Reg Ponct]]="R")),COUNTIF(S63:AX63,"S")/2,"")</f>
        <v/>
      </c>
      <c r="P63" s="80" t="str">
        <f>IF((AND(T_BilanSocial2[[#This Row],[Nom]]&lt;&gt;"",T_BilanSocial2[[#This Row],[Reg Ponct]]="R")),COUNTIF(S63:AX63,"t")/2,"")</f>
        <v/>
      </c>
      <c r="Q63" s="81" t="str">
        <f t="shared" si="2"/>
        <v/>
      </c>
      <c r="R63" s="82" t="str">
        <f>IF((AND(T_BilanSocial2[[#This Row],[Nom]]&lt;&gt;"",T_BilanSocial2[[#This Row],[Reg Ponct]]="R")),IF(S63="T",U63-T63,0)+IF(V63="T",X63-W63,0)+IF(Z63="T",AB63-AA63,0)+IF(AC63="T",AE63-AD63,0)+IF(AG63="T",AI63-AH63,0)+IF(AJ63="T",AL63-AK63,0)+IF(AN63="T",AP63-AO63,0)+IF(AQ63="T",AS63-AR63,0)+IF(AU63="T",AW63-AV63,0)+IF(AX63="T",AZ63-AY63,0),"")</f>
        <v/>
      </c>
      <c r="S63" s="36" t="s">
        <v>306</v>
      </c>
      <c r="T63" s="37">
        <v>0.38541666666666669</v>
      </c>
      <c r="U63" s="37">
        <v>0.54166666666666663</v>
      </c>
      <c r="V63" s="21" t="s">
        <v>306</v>
      </c>
      <c r="W63" s="37">
        <v>0.58333333333333337</v>
      </c>
      <c r="X63" s="37">
        <v>0.79166666666666663</v>
      </c>
      <c r="Y63" s="38" t="str">
        <f t="shared" si="3"/>
        <v/>
      </c>
      <c r="Z63" s="36" t="s">
        <v>306</v>
      </c>
      <c r="AA63" s="37">
        <v>0.375</v>
      </c>
      <c r="AB63" s="37">
        <v>0.54166666666666663</v>
      </c>
      <c r="AC63" s="21" t="s">
        <v>306</v>
      </c>
      <c r="AD63" s="37">
        <v>0.58333333333333337</v>
      </c>
      <c r="AE63" s="37">
        <v>0.73958333333333337</v>
      </c>
      <c r="AF63" s="38" t="str">
        <f t="shared" si="4"/>
        <v/>
      </c>
      <c r="AG63" s="36" t="s">
        <v>307</v>
      </c>
      <c r="AH63" s="37">
        <v>0.375</v>
      </c>
      <c r="AI63" s="37">
        <v>0.5</v>
      </c>
      <c r="AJ63" s="21" t="s">
        <v>307</v>
      </c>
      <c r="AK63" s="37">
        <v>0.54166666666666663</v>
      </c>
      <c r="AL63" s="37">
        <v>0.625</v>
      </c>
      <c r="AM63" s="38" t="str">
        <f t="shared" si="5"/>
        <v/>
      </c>
      <c r="AN63" s="36" t="s">
        <v>306</v>
      </c>
      <c r="AO63" s="37">
        <v>0.34375</v>
      </c>
      <c r="AP63" s="37">
        <v>0.54166666666666663</v>
      </c>
      <c r="AQ63" s="21" t="s">
        <v>306</v>
      </c>
      <c r="AR63" s="37">
        <v>0.58333333333333337</v>
      </c>
      <c r="AS63" s="37">
        <v>0.72916666666666663</v>
      </c>
      <c r="AT63" s="38" t="str">
        <f t="shared" si="6"/>
        <v/>
      </c>
      <c r="AU63" s="36" t="s">
        <v>306</v>
      </c>
      <c r="AV63" s="37">
        <v>0.36805555555555558</v>
      </c>
      <c r="AW63" s="37">
        <v>0.54166666666666663</v>
      </c>
      <c r="AX63" s="21" t="s">
        <v>306</v>
      </c>
      <c r="AY63" s="37">
        <v>0.58333333333333337</v>
      </c>
      <c r="AZ63" s="37">
        <v>0.71527777777777779</v>
      </c>
      <c r="BA63" s="39" t="str">
        <f t="shared" si="7"/>
        <v/>
      </c>
      <c r="BB63" s="46" t="s">
        <v>1033</v>
      </c>
      <c r="BC63" s="31" t="s">
        <v>1034</v>
      </c>
      <c r="BD63" s="16" t="s">
        <v>311</v>
      </c>
      <c r="BE63" s="16" t="s">
        <v>311</v>
      </c>
      <c r="BF63" s="244" t="str">
        <f>T_BilanSocial2[[#This Row],[Nom]]&amp;T_BilanSocial2[[#This Row],[Prénom]]</f>
        <v/>
      </c>
    </row>
    <row r="64" spans="1:58" ht="21.75" hidden="1" customHeight="1" x14ac:dyDescent="0.25">
      <c r="A64" s="90">
        <v>84</v>
      </c>
      <c r="B64" s="126" t="s">
        <v>311</v>
      </c>
      <c r="C64" s="126" t="str">
        <f>VLOOKUP(T_BilanSocial2[[#This Row],[NumL]],T_Commission[#Data],COLUMN(T_Commission[FINAL]),FALSE)</f>
        <v/>
      </c>
      <c r="D64" s="19" t="str">
        <f t="shared" si="0"/>
        <v/>
      </c>
      <c r="E64" s="19" t="str">
        <f t="shared" si="1"/>
        <v/>
      </c>
      <c r="F64" s="242" t="str">
        <f>IFERROR(VLOOKUP(T_BilanSocial2[[#This Row],[Zone_Bilan]],T_P_BilanSocial[#Data],COLUMN(T_P_BilanSocial[[#This Row],[Numero_SIHAM]]),FALSE),"")</f>
        <v/>
      </c>
      <c r="G64" s="242" t="str">
        <f>IFERROR(VLOOKUP(T_BilanSocial2[[#This Row],[Zone_Bilan]],T_P_BilanSocial[#Data],COLUMN(T_P_BilanSocial[[#This Row],[Sexe]]),FALSE),"")</f>
        <v/>
      </c>
      <c r="H64" s="243" t="str">
        <f>IFERROR(VLOOKUP(T_BilanSocial2[[#This Row],[Zone_Bilan]],T_P_BilanSocial[#Data],COLUMN(T_P_BilanSocial[[#This Row],[Categorie]]),FALSE),"")</f>
        <v/>
      </c>
      <c r="I64" s="242" t="str">
        <f>IFERROR(VLOOKUP(T_BilanSocial2[[#This Row],[Zone_Bilan]],T_P_BilanSocial[#Data],COLUMN(T_P_BilanSocial[[#This Row],[Statut]]),FALSE),"")</f>
        <v/>
      </c>
      <c r="J64" s="242" t="str">
        <f>IFERROR(VLOOKUP(T_BilanSocial2[[#This Row],[Zone_Bilan]],T_P_BilanSocial[#Data],COLUMN(T_P_BilanSocial[[#This Row],[Filiere]]),FALSE),"")</f>
        <v/>
      </c>
      <c r="K64" s="78">
        <v>1</v>
      </c>
      <c r="L64" s="213">
        <v>1.5451388888888891</v>
      </c>
      <c r="M64" s="78" t="s">
        <v>210</v>
      </c>
      <c r="N64" s="79" t="str">
        <f>IF((AND(T_BilanSocial2[[#This Row],[Nom]]&lt;&gt;"",T_BilanSocial2[[#This Row],[Reg Ponct]]="R")),(COUNTIF(S64:AX64,"S")+COUNTIF(S64:AX64,"T"))/2,"")</f>
        <v/>
      </c>
      <c r="O64" s="79" t="str">
        <f>IF((AND(T_BilanSocial2[[#This Row],[Nom]]&lt;&gt;"",T_BilanSocial2[[#This Row],[Reg Ponct]]="R")),COUNTIF(S64:AX64,"S")/2,"")</f>
        <v/>
      </c>
      <c r="P64" s="80" t="str">
        <f>IF((AND(T_BilanSocial2[[#This Row],[Nom]]&lt;&gt;"",T_BilanSocial2[[#This Row],[Reg Ponct]]="R")),COUNTIF(S64:AX64,"t")/2,"")</f>
        <v/>
      </c>
      <c r="Q64" s="81" t="str">
        <f t="shared" si="2"/>
        <v/>
      </c>
      <c r="R64" s="82" t="str">
        <f>IF((AND(T_BilanSocial2[[#This Row],[Nom]]&lt;&gt;"",T_BilanSocial2[[#This Row],[Reg Ponct]]="R")),IF(S64="T",U64-T64,0)+IF(V64="T",X64-W64,0)+IF(Z64="T",AB64-AA64,0)+IF(AC64="T",AE64-AD64,0)+IF(AG64="T",AI64-AH64,0)+IF(AJ64="T",AL64-AK64,0)+IF(AN64="T",AP64-AO64,0)+IF(AQ64="T",AS64-AR64,0)+IF(AU64="T",AW64-AV64,0)+IF(AX64="T",AZ64-AY64,0),"")</f>
        <v/>
      </c>
      <c r="S64" s="36" t="s">
        <v>306</v>
      </c>
      <c r="T64" s="37">
        <v>0.32291666666666669</v>
      </c>
      <c r="U64" s="37">
        <v>0.52083333333333337</v>
      </c>
      <c r="V64" s="21" t="s">
        <v>306</v>
      </c>
      <c r="W64" s="37">
        <v>0.5625</v>
      </c>
      <c r="X64" s="37">
        <v>0.70833333333333337</v>
      </c>
      <c r="Y64" s="38" t="str">
        <f t="shared" si="3"/>
        <v/>
      </c>
      <c r="Z64" s="36" t="s">
        <v>306</v>
      </c>
      <c r="AA64" s="37">
        <v>0.32291666666666669</v>
      </c>
      <c r="AB64" s="37">
        <v>0.52083333333333337</v>
      </c>
      <c r="AC64" s="21" t="s">
        <v>306</v>
      </c>
      <c r="AD64" s="37">
        <v>0.5625</v>
      </c>
      <c r="AE64" s="37">
        <v>0.70833333333333337</v>
      </c>
      <c r="AF64" s="38" t="str">
        <f t="shared" si="4"/>
        <v/>
      </c>
      <c r="AG64" s="36" t="s">
        <v>307</v>
      </c>
      <c r="AH64" s="37">
        <v>0.32291666666666669</v>
      </c>
      <c r="AI64" s="37">
        <v>0.49305555555555558</v>
      </c>
      <c r="AJ64" s="21" t="s">
        <v>308</v>
      </c>
      <c r="AK64" s="37"/>
      <c r="AL64" s="37"/>
      <c r="AM64" s="38" t="str">
        <f t="shared" si="5"/>
        <v/>
      </c>
      <c r="AN64" s="36" t="s">
        <v>306</v>
      </c>
      <c r="AO64" s="37">
        <v>0.32291666666666669</v>
      </c>
      <c r="AP64" s="37">
        <v>0.52083333333333337</v>
      </c>
      <c r="AQ64" s="21" t="s">
        <v>306</v>
      </c>
      <c r="AR64" s="37">
        <v>0.5625</v>
      </c>
      <c r="AS64" s="37">
        <v>0.70833333333333337</v>
      </c>
      <c r="AT64" s="38" t="str">
        <f t="shared" si="6"/>
        <v/>
      </c>
      <c r="AU64" s="36" t="s">
        <v>306</v>
      </c>
      <c r="AV64" s="37">
        <v>0.32291666666666669</v>
      </c>
      <c r="AW64" s="37">
        <v>0.52083333333333337</v>
      </c>
      <c r="AX64" s="21" t="s">
        <v>306</v>
      </c>
      <c r="AY64" s="37">
        <v>0.5625</v>
      </c>
      <c r="AZ64" s="37">
        <v>0.70833333333333337</v>
      </c>
      <c r="BA64" s="39" t="str">
        <f t="shared" si="7"/>
        <v/>
      </c>
      <c r="BB64" s="46" t="s">
        <v>652</v>
      </c>
      <c r="BC64" s="31" t="s">
        <v>653</v>
      </c>
      <c r="BD64" s="16" t="s">
        <v>311</v>
      </c>
      <c r="BE64" s="16" t="s">
        <v>311</v>
      </c>
      <c r="BF64" s="244" t="str">
        <f>T_BilanSocial2[[#This Row],[Nom]]&amp;T_BilanSocial2[[#This Row],[Prénom]]</f>
        <v/>
      </c>
    </row>
    <row r="65" spans="1:58" ht="21.75" hidden="1" customHeight="1" x14ac:dyDescent="0.25">
      <c r="A65" s="90">
        <v>69</v>
      </c>
      <c r="B65" s="126" t="s">
        <v>210</v>
      </c>
      <c r="C65" s="126" t="str">
        <f>VLOOKUP(T_BilanSocial2[[#This Row],[NumL]],T_Commission[#Data],COLUMN(T_Commission[FINAL]),FALSE)</f>
        <v/>
      </c>
      <c r="D65" s="19" t="str">
        <f t="shared" si="0"/>
        <v/>
      </c>
      <c r="E65" s="19" t="str">
        <f t="shared" si="1"/>
        <v/>
      </c>
      <c r="F65" s="242" t="str">
        <f>IFERROR(VLOOKUP(T_BilanSocial2[[#This Row],[Zone_Bilan]],T_P_BilanSocial[#Data],COLUMN(T_P_BilanSocial[[#This Row],[Numero_SIHAM]]),FALSE),"")</f>
        <v/>
      </c>
      <c r="G65" s="242" t="str">
        <f>IFERROR(VLOOKUP(T_BilanSocial2[[#This Row],[Zone_Bilan]],T_P_BilanSocial[#Data],COLUMN(T_P_BilanSocial[[#This Row],[Sexe]]),FALSE),"")</f>
        <v/>
      </c>
      <c r="H65" s="243" t="str">
        <f>IFERROR(VLOOKUP(T_BilanSocial2[[#This Row],[Zone_Bilan]],T_P_BilanSocial[#Data],COLUMN(T_P_BilanSocial[[#This Row],[Categorie]]),FALSE),"")</f>
        <v/>
      </c>
      <c r="I65" s="242" t="str">
        <f>IFERROR(VLOOKUP(T_BilanSocial2[[#This Row],[Zone_Bilan]],T_P_BilanSocial[#Data],COLUMN(T_P_BilanSocial[[#This Row],[Statut]]),FALSE),"")</f>
        <v/>
      </c>
      <c r="J65" s="242" t="str">
        <f>IFERROR(VLOOKUP(T_BilanSocial2[[#This Row],[Zone_Bilan]],T_P_BilanSocial[#Data],COLUMN(T_P_BilanSocial[[#This Row],[Filiere]]),FALSE),"")</f>
        <v/>
      </c>
      <c r="K65" s="78">
        <v>1</v>
      </c>
      <c r="L65" s="213">
        <v>1.5451388888888891</v>
      </c>
      <c r="M65" s="78" t="s">
        <v>210</v>
      </c>
      <c r="N65" s="79" t="str">
        <f>IF((AND(T_BilanSocial2[[#This Row],[Nom]]&lt;&gt;"",T_BilanSocial2[[#This Row],[Reg Ponct]]="R")),(COUNTIF(S65:AX65,"S")+COUNTIF(S65:AX65,"T"))/2,"")</f>
        <v/>
      </c>
      <c r="O65" s="79" t="str">
        <f>IF((AND(T_BilanSocial2[[#This Row],[Nom]]&lt;&gt;"",T_BilanSocial2[[#This Row],[Reg Ponct]]="R")),COUNTIF(S65:AX65,"S")/2,"")</f>
        <v/>
      </c>
      <c r="P65" s="80" t="str">
        <f>IF((AND(T_BilanSocial2[[#This Row],[Nom]]&lt;&gt;"",T_BilanSocial2[[#This Row],[Reg Ponct]]="R")),COUNTIF(S65:AX65,"t")/2,"")</f>
        <v/>
      </c>
      <c r="Q65" s="81" t="str">
        <f t="shared" si="2"/>
        <v/>
      </c>
      <c r="R65" s="82" t="str">
        <f>IF((AND(T_BilanSocial2[[#This Row],[Nom]]&lt;&gt;"",T_BilanSocial2[[#This Row],[Reg Ponct]]="R")),IF(S65="T",U65-T65,0)+IF(V65="T",X65-W65,0)+IF(Z65="T",AB65-AA65,0)+IF(AC65="T",AE65-AD65,0)+IF(AG65="T",AI65-AH65,0)+IF(AJ65="T",AL65-AK65,0)+IF(AN65="T",AP65-AO65,0)+IF(AQ65="T",AS65-AR65,0)+IF(AU65="T",AW65-AV65,0)+IF(AX65="T",AZ65-AY65,0),"")</f>
        <v/>
      </c>
      <c r="S65" s="36" t="s">
        <v>306</v>
      </c>
      <c r="T65" s="37">
        <v>0.375</v>
      </c>
      <c r="U65" s="37">
        <v>0.52083333333333337</v>
      </c>
      <c r="V65" s="21" t="s">
        <v>306</v>
      </c>
      <c r="W65" s="37">
        <v>0.57291666666666663</v>
      </c>
      <c r="X65" s="37">
        <v>0.77083333333333337</v>
      </c>
      <c r="Y65" s="38" t="str">
        <f t="shared" si="3"/>
        <v/>
      </c>
      <c r="Z65" s="36" t="s">
        <v>306</v>
      </c>
      <c r="AA65" s="37">
        <v>0.375</v>
      </c>
      <c r="AB65" s="37">
        <v>0.52083333333333337</v>
      </c>
      <c r="AC65" s="21" t="s">
        <v>307</v>
      </c>
      <c r="AD65" s="37">
        <v>0.57291666666666663</v>
      </c>
      <c r="AE65" s="37">
        <v>0.77083333333333337</v>
      </c>
      <c r="AF65" s="38" t="str">
        <f t="shared" si="4"/>
        <v/>
      </c>
      <c r="AG65" s="36" t="s">
        <v>306</v>
      </c>
      <c r="AH65" s="37">
        <v>0.33333333333333331</v>
      </c>
      <c r="AI65" s="37">
        <v>0.50347222222222221</v>
      </c>
      <c r="AJ65" s="21" t="s">
        <v>308</v>
      </c>
      <c r="AK65" s="37"/>
      <c r="AL65" s="37"/>
      <c r="AM65" s="38" t="str">
        <f t="shared" si="5"/>
        <v/>
      </c>
      <c r="AN65" s="36" t="s">
        <v>306</v>
      </c>
      <c r="AO65" s="37">
        <v>0.375</v>
      </c>
      <c r="AP65" s="37">
        <v>0.52083333333333337</v>
      </c>
      <c r="AQ65" s="21" t="s">
        <v>307</v>
      </c>
      <c r="AR65" s="37">
        <v>0.57291666666666663</v>
      </c>
      <c r="AS65" s="37">
        <v>0.77083333333333337</v>
      </c>
      <c r="AT65" s="38" t="str">
        <f t="shared" si="6"/>
        <v/>
      </c>
      <c r="AU65" s="36" t="s">
        <v>306</v>
      </c>
      <c r="AV65" s="37">
        <v>0.375</v>
      </c>
      <c r="AW65" s="37">
        <v>0.52083333333333337</v>
      </c>
      <c r="AX65" s="21" t="s">
        <v>307</v>
      </c>
      <c r="AY65" s="37">
        <v>0.57291666666666663</v>
      </c>
      <c r="AZ65" s="37">
        <v>0.77083333333333337</v>
      </c>
      <c r="BA65" s="39" t="str">
        <f t="shared" si="7"/>
        <v/>
      </c>
      <c r="BB65" s="46" t="s">
        <v>487</v>
      </c>
      <c r="BC65" s="31" t="s">
        <v>612</v>
      </c>
      <c r="BD65" s="16" t="s">
        <v>322</v>
      </c>
      <c r="BE65" s="16" t="s">
        <v>322</v>
      </c>
      <c r="BF65" s="244" t="str">
        <f>T_BilanSocial2[[#This Row],[Nom]]&amp;T_BilanSocial2[[#This Row],[Prénom]]</f>
        <v/>
      </c>
    </row>
    <row r="66" spans="1:58" ht="21.75" customHeight="1" x14ac:dyDescent="0.25">
      <c r="A66" s="90">
        <v>64</v>
      </c>
      <c r="B66" s="126" t="s">
        <v>311</v>
      </c>
      <c r="C66" s="126" t="str">
        <f>VLOOKUP(T_BilanSocial2[[#This Row],[NumL]],T_Commission[#Data],COLUMN(T_Commission[FINAL]),FALSE)</f>
        <v/>
      </c>
      <c r="D66" s="19" t="str">
        <f t="shared" ref="D66:D129" si="8">IFERROR(IF(VLOOKUP(A66,ListeDI,3,FALSE)&lt;&gt;"",VLOOKUP(A66,ListeDI,3,FALSE),""),"")</f>
        <v/>
      </c>
      <c r="E66" s="19" t="str">
        <f t="shared" ref="E66:E129" si="9">IFERROR(IF(VLOOKUP(A66,ListeDI,4,FALSE)&lt;&gt;"",VLOOKUP(A66,ListeDI,4,FALSE),""),"")</f>
        <v/>
      </c>
      <c r="F66" s="242" t="str">
        <f>IFERROR(VLOOKUP(T_BilanSocial2[[#This Row],[Zone_Bilan]],T_P_BilanSocial[#Data],COLUMN(T_P_BilanSocial[[#This Row],[Numero_SIHAM]]),FALSE),"")</f>
        <v/>
      </c>
      <c r="G66" s="242" t="str">
        <f>IFERROR(VLOOKUP(T_BilanSocial2[[#This Row],[Zone_Bilan]],T_P_BilanSocial[#Data],COLUMN(T_P_BilanSocial[[#This Row],[Sexe]]),FALSE),"")</f>
        <v/>
      </c>
      <c r="H66" s="243" t="str">
        <f>IFERROR(VLOOKUP(T_BilanSocial2[[#This Row],[Zone_Bilan]],T_P_BilanSocial[#Data],COLUMN(T_P_BilanSocial[[#This Row],[Categorie]]),FALSE),"")</f>
        <v/>
      </c>
      <c r="I66" s="242" t="str">
        <f>IFERROR(VLOOKUP(T_BilanSocial2[[#This Row],[Zone_Bilan]],T_P_BilanSocial[#Data],COLUMN(T_P_BilanSocial[[#This Row],[Statut]]),FALSE),"")</f>
        <v/>
      </c>
      <c r="J66" s="242" t="str">
        <f>IFERROR(VLOOKUP(T_BilanSocial2[[#This Row],[Zone_Bilan]],T_P_BilanSocial[#Data],COLUMN(T_P_BilanSocial[[#This Row],[Filiere]]),FALSE),"")</f>
        <v/>
      </c>
      <c r="K66" s="78">
        <v>1</v>
      </c>
      <c r="L66" s="213">
        <v>1.5451388888888891</v>
      </c>
      <c r="M66" s="78" t="s">
        <v>211</v>
      </c>
      <c r="N66" s="79" t="str">
        <f>IF((AND(T_BilanSocial2[[#This Row],[Nom]]&lt;&gt;"",T_BilanSocial2[[#This Row],[Reg Ponct]]="R")),(COUNTIF(S66:AX66,"S")+COUNTIF(S66:AX66,"T"))/2,"")</f>
        <v/>
      </c>
      <c r="O66" s="79" t="str">
        <f>IF((AND(T_BilanSocial2[[#This Row],[Nom]]&lt;&gt;"",T_BilanSocial2[[#This Row],[Reg Ponct]]="R")),COUNTIF(S66:AX66,"S")/2,"")</f>
        <v/>
      </c>
      <c r="P66" s="80" t="str">
        <f>IF((AND(T_BilanSocial2[[#This Row],[Nom]]&lt;&gt;"",T_BilanSocial2[[#This Row],[Reg Ponct]]="R")),COUNTIF(S66:AX66,"t")/2,"")</f>
        <v/>
      </c>
      <c r="Q66" s="81" t="str">
        <f t="shared" ref="Q66:Q129" si="10">IF(D66&lt;&gt;"",Y66+AF66+AM66+AT66+BA66,"")</f>
        <v/>
      </c>
      <c r="R66" s="82" t="str">
        <f>IF((AND(T_BilanSocial2[[#This Row],[Nom]]&lt;&gt;"",T_BilanSocial2[[#This Row],[Reg Ponct]]="R")),IF(S66="T",U66-T66,0)+IF(V66="T",X66-W66,0)+IF(Z66="T",AB66-AA66,0)+IF(AC66="T",AE66-AD66,0)+IF(AG66="T",AI66-AH66,0)+IF(AJ66="T",AL66-AK66,0)+IF(AN66="T",AP66-AO66,0)+IF(AQ66="T",AS66-AR66,0)+IF(AU66="T",AW66-AV66,0)+IF(AX66="T",AZ66-AY66,0),"")</f>
        <v/>
      </c>
      <c r="S66" s="36"/>
      <c r="T66" s="37"/>
      <c r="U66" s="37"/>
      <c r="V66" s="21"/>
      <c r="W66" s="37"/>
      <c r="X66" s="37"/>
      <c r="Y66" s="38" t="str">
        <f t="shared" ref="Y66:Y129" si="11">IF(D66&lt;&gt;"",(U66-T66)+(X66-W66),"")</f>
        <v/>
      </c>
      <c r="Z66" s="36"/>
      <c r="AA66" s="37"/>
      <c r="AB66" s="37"/>
      <c r="AC66" s="21"/>
      <c r="AD66" s="37"/>
      <c r="AE66" s="37"/>
      <c r="AF66" s="38" t="str">
        <f t="shared" ref="AF66:AF129" si="12">IF(D66&lt;&gt;"",(AB66-AA66)+(AE66-AD66),"")</f>
        <v/>
      </c>
      <c r="AG66" s="36"/>
      <c r="AH66" s="37"/>
      <c r="AI66" s="37"/>
      <c r="AJ66" s="21"/>
      <c r="AK66" s="37"/>
      <c r="AL66" s="37"/>
      <c r="AM66" s="38" t="str">
        <f t="shared" ref="AM66:AM129" si="13">IF(D66&lt;&gt;"",(AI66-AH66)+(AL66-AK66),"")</f>
        <v/>
      </c>
      <c r="AN66" s="36"/>
      <c r="AO66" s="37"/>
      <c r="AP66" s="37"/>
      <c r="AQ66" s="21"/>
      <c r="AR66" s="37"/>
      <c r="AS66" s="37"/>
      <c r="AT66" s="38" t="str">
        <f t="shared" ref="AT66:AT129" si="14">IF(D66&lt;&gt;"",(AP66-AO66)+(AS66-AR66),"")</f>
        <v/>
      </c>
      <c r="AU66" s="36"/>
      <c r="AV66" s="37"/>
      <c r="AW66" s="37"/>
      <c r="AX66" s="21"/>
      <c r="AY66" s="37"/>
      <c r="AZ66" s="37"/>
      <c r="BA66" s="39" t="str">
        <f t="shared" ref="BA66:BA129" si="15">IF(D66&lt;&gt;"",(AW66-AV66)+(AZ66-AY66),"")</f>
        <v/>
      </c>
      <c r="BB66" s="46" t="s">
        <v>353</v>
      </c>
      <c r="BC66" s="31" t="s">
        <v>354</v>
      </c>
      <c r="BD66" s="16" t="s">
        <v>311</v>
      </c>
      <c r="BE66" s="16" t="s">
        <v>311</v>
      </c>
      <c r="BF66" s="244" t="str">
        <f>T_BilanSocial2[[#This Row],[Nom]]&amp;T_BilanSocial2[[#This Row],[Prénom]]</f>
        <v/>
      </c>
    </row>
    <row r="67" spans="1:58" ht="21.75" customHeight="1" x14ac:dyDescent="0.25">
      <c r="A67" s="90">
        <v>22</v>
      </c>
      <c r="B67" s="126" t="s">
        <v>311</v>
      </c>
      <c r="C67" s="126" t="str">
        <f>VLOOKUP(T_BilanSocial2[[#This Row],[NumL]],T_Commission[#Data],COLUMN(T_Commission[FINAL]),FALSE)</f>
        <v/>
      </c>
      <c r="D67" s="19" t="str">
        <f t="shared" si="8"/>
        <v/>
      </c>
      <c r="E67" s="19" t="str">
        <f t="shared" si="9"/>
        <v/>
      </c>
      <c r="F67" s="242" t="str">
        <f>IFERROR(VLOOKUP(T_BilanSocial2[[#This Row],[Zone_Bilan]],T_P_BilanSocial[#Data],COLUMN(T_P_BilanSocial[[#This Row],[Numero_SIHAM]]),FALSE),"")</f>
        <v/>
      </c>
      <c r="G67" s="242" t="str">
        <f>IFERROR(VLOOKUP(T_BilanSocial2[[#This Row],[Zone_Bilan]],T_P_BilanSocial[#Data],COLUMN(T_P_BilanSocial[[#This Row],[Sexe]]),FALSE),"")</f>
        <v/>
      </c>
      <c r="H67" s="243" t="str">
        <f>IFERROR(VLOOKUP(T_BilanSocial2[[#This Row],[Zone_Bilan]],T_P_BilanSocial[#Data],COLUMN(T_P_BilanSocial[[#This Row],[Categorie]]),FALSE),"")</f>
        <v/>
      </c>
      <c r="I67" s="242" t="str">
        <f>IFERROR(VLOOKUP(T_BilanSocial2[[#This Row],[Zone_Bilan]],T_P_BilanSocial[#Data],COLUMN(T_P_BilanSocial[[#This Row],[Statut]]),FALSE),"")</f>
        <v/>
      </c>
      <c r="J67" s="242" t="str">
        <f>IFERROR(VLOOKUP(T_BilanSocial2[[#This Row],[Zone_Bilan]],T_P_BilanSocial[#Data],COLUMN(T_P_BilanSocial[[#This Row],[Filiere]]),FALSE),"")</f>
        <v/>
      </c>
      <c r="K67" s="78">
        <v>1</v>
      </c>
      <c r="L67" s="213">
        <v>1.5451388888888891</v>
      </c>
      <c r="M67" s="78" t="s">
        <v>210</v>
      </c>
      <c r="N67" s="79" t="str">
        <f>IF((AND(T_BilanSocial2[[#This Row],[Nom]]&lt;&gt;"",T_BilanSocial2[[#This Row],[Reg Ponct]]="R")),(COUNTIF(S67:AX67,"S")+COUNTIF(S67:AX67,"T"))/2,"")</f>
        <v/>
      </c>
      <c r="O67" s="79" t="str">
        <f>IF((AND(T_BilanSocial2[[#This Row],[Nom]]&lt;&gt;"",T_BilanSocial2[[#This Row],[Reg Ponct]]="R")),COUNTIF(S67:AX67,"S")/2,"")</f>
        <v/>
      </c>
      <c r="P67" s="80" t="str">
        <f>IF((AND(T_BilanSocial2[[#This Row],[Nom]]&lt;&gt;"",T_BilanSocial2[[#This Row],[Reg Ponct]]="R")),COUNTIF(S67:AX67,"t")/2,"")</f>
        <v/>
      </c>
      <c r="Q67" s="81" t="str">
        <f t="shared" si="10"/>
        <v/>
      </c>
      <c r="R67" s="82" t="str">
        <f>IF((AND(T_BilanSocial2[[#This Row],[Nom]]&lt;&gt;"",T_BilanSocial2[[#This Row],[Reg Ponct]]="R")),IF(S67="T",U67-T67,0)+IF(V67="T",X67-W67,0)+IF(Z67="T",AB67-AA67,0)+IF(AC67="T",AE67-AD67,0)+IF(AG67="T",AI67-AH67,0)+IF(AJ67="T",AL67-AK67,0)+IF(AN67="T",AP67-AO67,0)+IF(AQ67="T",AS67-AR67,0)+IF(AU67="T",AW67-AV67,0)+IF(AX67="T",AZ67-AY67,0),"")</f>
        <v/>
      </c>
      <c r="S67" s="36" t="s">
        <v>306</v>
      </c>
      <c r="T67" s="37">
        <v>0.375</v>
      </c>
      <c r="U67" s="37">
        <v>0.54166666666666663</v>
      </c>
      <c r="V67" s="21" t="s">
        <v>306</v>
      </c>
      <c r="W67" s="37">
        <v>0.58333333333333337</v>
      </c>
      <c r="X67" s="37">
        <v>0.72916666666666663</v>
      </c>
      <c r="Y67" s="38" t="str">
        <f t="shared" si="11"/>
        <v/>
      </c>
      <c r="Z67" s="36" t="s">
        <v>307</v>
      </c>
      <c r="AA67" s="37">
        <v>0.35416666666666669</v>
      </c>
      <c r="AB67" s="37">
        <v>0.52083333333333337</v>
      </c>
      <c r="AC67" s="21" t="s">
        <v>307</v>
      </c>
      <c r="AD67" s="37">
        <v>0.58333333333333337</v>
      </c>
      <c r="AE67" s="37">
        <v>0.72916666666666663</v>
      </c>
      <c r="AF67" s="38" t="str">
        <f t="shared" si="12"/>
        <v/>
      </c>
      <c r="AG67" s="36" t="s">
        <v>306</v>
      </c>
      <c r="AH67" s="37">
        <v>0.375</v>
      </c>
      <c r="AI67" s="37">
        <v>0.54166666666666663</v>
      </c>
      <c r="AJ67" s="21" t="s">
        <v>306</v>
      </c>
      <c r="AK67" s="37">
        <v>0.58333333333333337</v>
      </c>
      <c r="AL67" s="37">
        <v>0.72916666666666663</v>
      </c>
      <c r="AM67" s="38" t="str">
        <f t="shared" si="13"/>
        <v/>
      </c>
      <c r="AN67" s="36" t="s">
        <v>306</v>
      </c>
      <c r="AO67" s="37">
        <v>0.375</v>
      </c>
      <c r="AP67" s="37">
        <v>0.54166666666666663</v>
      </c>
      <c r="AQ67" s="21" t="s">
        <v>306</v>
      </c>
      <c r="AR67" s="37">
        <v>0.58333333333333337</v>
      </c>
      <c r="AS67" s="37">
        <v>0.72916666666666663</v>
      </c>
      <c r="AT67" s="38" t="str">
        <f t="shared" si="14"/>
        <v/>
      </c>
      <c r="AU67" s="36" t="s">
        <v>306</v>
      </c>
      <c r="AV67" s="37">
        <v>0.375</v>
      </c>
      <c r="AW67" s="37">
        <v>0.54166666666666663</v>
      </c>
      <c r="AX67" s="21" t="s">
        <v>306</v>
      </c>
      <c r="AY67" s="37">
        <v>0.58333333333333337</v>
      </c>
      <c r="AZ67" s="37">
        <v>0.71180555555555547</v>
      </c>
      <c r="BA67" s="39" t="str">
        <f t="shared" si="15"/>
        <v/>
      </c>
      <c r="BB67" s="46" t="s">
        <v>320</v>
      </c>
      <c r="BC67" s="31" t="s">
        <v>321</v>
      </c>
      <c r="BD67" s="16" t="s">
        <v>322</v>
      </c>
      <c r="BE67" s="16" t="s">
        <v>311</v>
      </c>
      <c r="BF67" s="244" t="str">
        <f>T_BilanSocial2[[#This Row],[Nom]]&amp;T_BilanSocial2[[#This Row],[Prénom]]</f>
        <v/>
      </c>
    </row>
    <row r="68" spans="1:58" ht="21.75" hidden="1" customHeight="1" x14ac:dyDescent="0.25">
      <c r="A68" s="90">
        <v>277</v>
      </c>
      <c r="B68" s="126" t="s">
        <v>311</v>
      </c>
      <c r="C68" s="126" t="str">
        <f>VLOOKUP(T_BilanSocial2[[#This Row],[NumL]],T_Commission[#Data],COLUMN(T_Commission[FINAL]),FALSE)</f>
        <v/>
      </c>
      <c r="D68" s="19" t="str">
        <f t="shared" si="8"/>
        <v/>
      </c>
      <c r="E68" s="19" t="str">
        <f t="shared" si="9"/>
        <v/>
      </c>
      <c r="F68" s="242" t="str">
        <f>IFERROR(VLOOKUP(T_BilanSocial2[[#This Row],[Zone_Bilan]],T_P_BilanSocial[#Data],COLUMN(T_P_BilanSocial[[#This Row],[Numero_SIHAM]]),FALSE),"")</f>
        <v/>
      </c>
      <c r="G68" s="242" t="str">
        <f>IFERROR(VLOOKUP(T_BilanSocial2[[#This Row],[Zone_Bilan]],T_P_BilanSocial[#Data],COLUMN(T_P_BilanSocial[[#This Row],[Sexe]]),FALSE),"")</f>
        <v/>
      </c>
      <c r="H68" s="243" t="str">
        <f>IFERROR(VLOOKUP(T_BilanSocial2[[#This Row],[Zone_Bilan]],T_P_BilanSocial[#Data],COLUMN(T_P_BilanSocial[[#This Row],[Categorie]]),FALSE),"")</f>
        <v/>
      </c>
      <c r="I68" s="242" t="str">
        <f>IFERROR(VLOOKUP(T_BilanSocial2[[#This Row],[Zone_Bilan]],T_P_BilanSocial[#Data],COLUMN(T_P_BilanSocial[[#This Row],[Statut]]),FALSE),"")</f>
        <v/>
      </c>
      <c r="J68" s="242" t="str">
        <f>IFERROR(VLOOKUP(T_BilanSocial2[[#This Row],[Zone_Bilan]],T_P_BilanSocial[#Data],COLUMN(T_P_BilanSocial[[#This Row],[Filiere]]),FALSE),"")</f>
        <v/>
      </c>
      <c r="K68" s="78">
        <v>1</v>
      </c>
      <c r="L68" s="213">
        <v>1.5451388888888891</v>
      </c>
      <c r="M68" s="78" t="s">
        <v>210</v>
      </c>
      <c r="N68" s="79" t="str">
        <f>IF((AND(T_BilanSocial2[[#This Row],[Nom]]&lt;&gt;"",T_BilanSocial2[[#This Row],[Reg Ponct]]="R")),(COUNTIF(S68:AX68,"S")+COUNTIF(S68:AX68,"T"))/2,"")</f>
        <v/>
      </c>
      <c r="O68" s="79" t="str">
        <f>IF((AND(T_BilanSocial2[[#This Row],[Nom]]&lt;&gt;"",T_BilanSocial2[[#This Row],[Reg Ponct]]="R")),COUNTIF(S68:AX68,"S")/2,"")</f>
        <v/>
      </c>
      <c r="P68" s="80" t="str">
        <f>IF((AND(T_BilanSocial2[[#This Row],[Nom]]&lt;&gt;"",T_BilanSocial2[[#This Row],[Reg Ponct]]="R")),COUNTIF(S68:AX68,"t")/2,"")</f>
        <v/>
      </c>
      <c r="Q68" s="81" t="str">
        <f t="shared" si="10"/>
        <v/>
      </c>
      <c r="R68" s="82" t="str">
        <f>IF((AND(T_BilanSocial2[[#This Row],[Nom]]&lt;&gt;"",T_BilanSocial2[[#This Row],[Reg Ponct]]="R")),IF(S68="T",U68-T68,0)+IF(V68="T",X68-W68,0)+IF(Z68="T",AB68-AA68,0)+IF(AC68="T",AE68-AD68,0)+IF(AG68="T",AI68-AH68,0)+IF(AJ68="T",AL68-AK68,0)+IF(AN68="T",AP68-AO68,0)+IF(AQ68="T",AS68-AR68,0)+IF(AU68="T",AW68-AV68,0)+IF(AX68="T",AZ68-AY68,0),"")</f>
        <v/>
      </c>
      <c r="S68" s="36" t="s">
        <v>307</v>
      </c>
      <c r="T68" s="37">
        <v>0.36458333333333331</v>
      </c>
      <c r="U68" s="37">
        <v>0.51041666666666663</v>
      </c>
      <c r="V68" s="21" t="s">
        <v>307</v>
      </c>
      <c r="W68" s="37">
        <v>0.55208333333333337</v>
      </c>
      <c r="X68" s="37">
        <v>0.72916666666666663</v>
      </c>
      <c r="Y68" s="38" t="str">
        <f t="shared" si="11"/>
        <v/>
      </c>
      <c r="Z68" s="36" t="s">
        <v>306</v>
      </c>
      <c r="AA68" s="37">
        <v>0.36458333333333331</v>
      </c>
      <c r="AB68" s="37">
        <v>0.51041666666666663</v>
      </c>
      <c r="AC68" s="21" t="s">
        <v>306</v>
      </c>
      <c r="AD68" s="37">
        <v>0.55208333333333337</v>
      </c>
      <c r="AE68" s="37">
        <v>0.75</v>
      </c>
      <c r="AF68" s="38" t="str">
        <f t="shared" si="12"/>
        <v/>
      </c>
      <c r="AG68" s="36" t="s">
        <v>306</v>
      </c>
      <c r="AH68" s="37">
        <v>0.36458333333333331</v>
      </c>
      <c r="AI68" s="37">
        <v>0.51041666666666663</v>
      </c>
      <c r="AJ68" s="21" t="s">
        <v>306</v>
      </c>
      <c r="AK68" s="37">
        <v>0.55208333333333337</v>
      </c>
      <c r="AL68" s="37">
        <v>0.61805555555555558</v>
      </c>
      <c r="AM68" s="38" t="str">
        <f t="shared" si="13"/>
        <v/>
      </c>
      <c r="AN68" s="36" t="s">
        <v>306</v>
      </c>
      <c r="AO68" s="37">
        <v>0.36458333333333331</v>
      </c>
      <c r="AP68" s="37">
        <v>0.51041666666666663</v>
      </c>
      <c r="AQ68" s="21" t="s">
        <v>306</v>
      </c>
      <c r="AR68" s="37">
        <v>0.55208333333333337</v>
      </c>
      <c r="AS68" s="37">
        <v>0.75</v>
      </c>
      <c r="AT68" s="38" t="str">
        <f t="shared" si="14"/>
        <v/>
      </c>
      <c r="AU68" s="36" t="s">
        <v>307</v>
      </c>
      <c r="AV68" s="37">
        <v>0.36458333333333331</v>
      </c>
      <c r="AW68" s="37">
        <v>0.51041666666666663</v>
      </c>
      <c r="AX68" s="21" t="s">
        <v>307</v>
      </c>
      <c r="AY68" s="37">
        <v>0.55208333333333337</v>
      </c>
      <c r="AZ68" s="37">
        <v>0.72916666666666663</v>
      </c>
      <c r="BA68" s="39" t="str">
        <f t="shared" si="15"/>
        <v/>
      </c>
      <c r="BB68" s="46" t="s">
        <v>376</v>
      </c>
      <c r="BC68" s="31" t="s">
        <v>341</v>
      </c>
      <c r="BD68" s="16" t="s">
        <v>311</v>
      </c>
      <c r="BE68" s="16" t="s">
        <v>311</v>
      </c>
      <c r="BF68" s="244" t="str">
        <f>T_BilanSocial2[[#This Row],[Nom]]&amp;T_BilanSocial2[[#This Row],[Prénom]]</f>
        <v/>
      </c>
    </row>
    <row r="69" spans="1:58" ht="21.75" customHeight="1" x14ac:dyDescent="0.25">
      <c r="A69" s="90">
        <v>197</v>
      </c>
      <c r="B69" s="126" t="s">
        <v>311</v>
      </c>
      <c r="C69" s="126" t="e">
        <f>VLOOKUP(T_BilanSocial2[[#This Row],[NumL]],T_Commission[#Data],COLUMN(T_Commission[FINAL]),FALSE)</f>
        <v>#N/A</v>
      </c>
      <c r="D69" s="19" t="str">
        <f t="shared" si="8"/>
        <v/>
      </c>
      <c r="E69" s="19" t="str">
        <f t="shared" si="9"/>
        <v/>
      </c>
      <c r="F69" s="242" t="str">
        <f>IFERROR(VLOOKUP(T_BilanSocial2[[#This Row],[Zone_Bilan]],T_P_BilanSocial[#Data],COLUMN(T_P_BilanSocial[[#This Row],[Numero_SIHAM]]),FALSE),"")</f>
        <v/>
      </c>
      <c r="G69" s="242" t="str">
        <f>IFERROR(VLOOKUP(T_BilanSocial2[[#This Row],[Zone_Bilan]],T_P_BilanSocial[#Data],COLUMN(T_P_BilanSocial[[#This Row],[Sexe]]),FALSE),"")</f>
        <v/>
      </c>
      <c r="H69" s="243" t="str">
        <f>IFERROR(VLOOKUP(T_BilanSocial2[[#This Row],[Zone_Bilan]],T_P_BilanSocial[#Data],COLUMN(T_P_BilanSocial[[#This Row],[Categorie]]),FALSE),"")</f>
        <v/>
      </c>
      <c r="I69" s="242" t="str">
        <f>IFERROR(VLOOKUP(T_BilanSocial2[[#This Row],[Zone_Bilan]],T_P_BilanSocial[#Data],COLUMN(T_P_BilanSocial[[#This Row],[Statut]]),FALSE),"")</f>
        <v/>
      </c>
      <c r="J69" s="242" t="str">
        <f>IFERROR(VLOOKUP(T_BilanSocial2[[#This Row],[Zone_Bilan]],T_P_BilanSocial[#Data],COLUMN(T_P_BilanSocial[[#This Row],[Filiere]]),FALSE),"")</f>
        <v/>
      </c>
      <c r="K69" s="78">
        <v>1</v>
      </c>
      <c r="L69" s="213">
        <v>1.5451388888888891</v>
      </c>
      <c r="M69" s="78" t="s">
        <v>210</v>
      </c>
      <c r="N69" s="79" t="str">
        <f>IF((AND(T_BilanSocial2[[#This Row],[Nom]]&lt;&gt;"",T_BilanSocial2[[#This Row],[Reg Ponct]]="R")),(COUNTIF(S69:AX69,"S")+COUNTIF(S69:AX69,"T"))/2,"")</f>
        <v/>
      </c>
      <c r="O69" s="79" t="str">
        <f>IF((AND(T_BilanSocial2[[#This Row],[Nom]]&lt;&gt;"",T_BilanSocial2[[#This Row],[Reg Ponct]]="R")),COUNTIF(S69:AX69,"S")/2,"")</f>
        <v/>
      </c>
      <c r="P69" s="80" t="str">
        <f>IF((AND(T_BilanSocial2[[#This Row],[Nom]]&lt;&gt;"",T_BilanSocial2[[#This Row],[Reg Ponct]]="R")),COUNTIF(S69:AX69,"t")/2,"")</f>
        <v/>
      </c>
      <c r="Q69" s="81" t="str">
        <f t="shared" si="10"/>
        <v/>
      </c>
      <c r="R69" s="82" t="str">
        <f>IF((AND(T_BilanSocial2[[#This Row],[Nom]]&lt;&gt;"",T_BilanSocial2[[#This Row],[Reg Ponct]]="R")),IF(S69="T",U69-T69,0)+IF(V69="T",X69-W69,0)+IF(Z69="T",AB69-AA69,0)+IF(AC69="T",AE69-AD69,0)+IF(AG69="T",AI69-AH69,0)+IF(AJ69="T",AL69-AK69,0)+IF(AN69="T",AP69-AO69,0)+IF(AQ69="T",AS69-AR69,0)+IF(AU69="T",AW69-AV69,0)+IF(AX69="T",AZ69-AY69,0),"")</f>
        <v/>
      </c>
      <c r="S69" s="36" t="s">
        <v>307</v>
      </c>
      <c r="T69" s="37">
        <v>0.375</v>
      </c>
      <c r="U69" s="37">
        <v>0.52083333333333337</v>
      </c>
      <c r="V69" s="21" t="s">
        <v>307</v>
      </c>
      <c r="W69" s="37">
        <v>0.5625</v>
      </c>
      <c r="X69" s="37">
        <v>0.71180555555555547</v>
      </c>
      <c r="Y69" s="38" t="str">
        <f t="shared" si="11"/>
        <v/>
      </c>
      <c r="Z69" s="36" t="s">
        <v>306</v>
      </c>
      <c r="AA69" s="37">
        <v>0.375</v>
      </c>
      <c r="AB69" s="37">
        <v>0.52083333333333337</v>
      </c>
      <c r="AC69" s="21" t="s">
        <v>306</v>
      </c>
      <c r="AD69" s="37">
        <v>0.5625</v>
      </c>
      <c r="AE69" s="37">
        <v>0.72916666666666663</v>
      </c>
      <c r="AF69" s="38" t="str">
        <f t="shared" si="12"/>
        <v/>
      </c>
      <c r="AG69" s="36" t="s">
        <v>306</v>
      </c>
      <c r="AH69" s="37">
        <v>0.375</v>
      </c>
      <c r="AI69" s="37">
        <v>0.52083333333333337</v>
      </c>
      <c r="AJ69" s="21" t="s">
        <v>306</v>
      </c>
      <c r="AK69" s="37">
        <v>0.5625</v>
      </c>
      <c r="AL69" s="37">
        <v>0.72916666666666663</v>
      </c>
      <c r="AM69" s="38" t="str">
        <f t="shared" si="13"/>
        <v/>
      </c>
      <c r="AN69" s="36" t="s">
        <v>307</v>
      </c>
      <c r="AO69" s="37">
        <v>0.375</v>
      </c>
      <c r="AP69" s="37">
        <v>0.52083333333333337</v>
      </c>
      <c r="AQ69" s="21" t="s">
        <v>307</v>
      </c>
      <c r="AR69" s="37">
        <v>0.5625</v>
      </c>
      <c r="AS69" s="37">
        <v>0.72916666666666663</v>
      </c>
      <c r="AT69" s="38" t="str">
        <f t="shared" si="14"/>
        <v/>
      </c>
      <c r="AU69" s="36" t="s">
        <v>306</v>
      </c>
      <c r="AV69" s="37">
        <v>0.375</v>
      </c>
      <c r="AW69" s="37">
        <v>0.52083333333333337</v>
      </c>
      <c r="AX69" s="21" t="s">
        <v>306</v>
      </c>
      <c r="AY69" s="37">
        <v>0.5625</v>
      </c>
      <c r="AZ69" s="37">
        <v>0.72916666666666663</v>
      </c>
      <c r="BA69" s="39" t="str">
        <f t="shared" si="15"/>
        <v/>
      </c>
      <c r="BB69" s="46" t="s">
        <v>626</v>
      </c>
      <c r="BC69" s="31" t="s">
        <v>341</v>
      </c>
      <c r="BD69" s="16" t="s">
        <v>311</v>
      </c>
      <c r="BE69" s="16" t="s">
        <v>311</v>
      </c>
      <c r="BF69" s="244" t="str">
        <f>T_BilanSocial2[[#This Row],[Nom]]&amp;T_BilanSocial2[[#This Row],[Prénom]]</f>
        <v/>
      </c>
    </row>
    <row r="70" spans="1:58" ht="21.75" hidden="1" customHeight="1" x14ac:dyDescent="0.25">
      <c r="A70" s="90">
        <v>240</v>
      </c>
      <c r="B70" s="126" t="s">
        <v>311</v>
      </c>
      <c r="C70" s="126" t="str">
        <f>VLOOKUP(T_BilanSocial2[[#This Row],[NumL]],T_Commission[#Data],COLUMN(T_Commission[FINAL]),FALSE)</f>
        <v/>
      </c>
      <c r="D70" s="19" t="str">
        <f t="shared" si="8"/>
        <v/>
      </c>
      <c r="E70" s="19" t="str">
        <f t="shared" si="9"/>
        <v/>
      </c>
      <c r="F70" s="242" t="str">
        <f>IFERROR(VLOOKUP(T_BilanSocial2[[#This Row],[Zone_Bilan]],T_P_BilanSocial[#Data],COLUMN(T_P_BilanSocial[[#This Row],[Numero_SIHAM]]),FALSE),"")</f>
        <v/>
      </c>
      <c r="G70" s="242" t="str">
        <f>IFERROR(VLOOKUP(T_BilanSocial2[[#This Row],[Zone_Bilan]],T_P_BilanSocial[#Data],COLUMN(T_P_BilanSocial[[#This Row],[Sexe]]),FALSE),"")</f>
        <v/>
      </c>
      <c r="H70" s="243" t="str">
        <f>IFERROR(VLOOKUP(T_BilanSocial2[[#This Row],[Zone_Bilan]],T_P_BilanSocial[#Data],COLUMN(T_P_BilanSocial[[#This Row],[Categorie]]),FALSE),"")</f>
        <v/>
      </c>
      <c r="I70" s="242" t="str">
        <f>IFERROR(VLOOKUP(T_BilanSocial2[[#This Row],[Zone_Bilan]],T_P_BilanSocial[#Data],COLUMN(T_P_BilanSocial[[#This Row],[Statut]]),FALSE),"")</f>
        <v/>
      </c>
      <c r="J70" s="242" t="str">
        <f>IFERROR(VLOOKUP(T_BilanSocial2[[#This Row],[Zone_Bilan]],T_P_BilanSocial[#Data],COLUMN(T_P_BilanSocial[[#This Row],[Filiere]]),FALSE),"")</f>
        <v/>
      </c>
      <c r="K70" s="78">
        <v>1</v>
      </c>
      <c r="L70" s="213">
        <v>1.5451388888888891</v>
      </c>
      <c r="M70" s="78" t="s">
        <v>210</v>
      </c>
      <c r="N70" s="79" t="str">
        <f>IF((AND(T_BilanSocial2[[#This Row],[Nom]]&lt;&gt;"",T_BilanSocial2[[#This Row],[Reg Ponct]]="R")),(COUNTIF(S70:AX70,"S")+COUNTIF(S70:AX70,"T"))/2,"")</f>
        <v/>
      </c>
      <c r="O70" s="79" t="str">
        <f>IF((AND(T_BilanSocial2[[#This Row],[Nom]]&lt;&gt;"",T_BilanSocial2[[#This Row],[Reg Ponct]]="R")),COUNTIF(S70:AX70,"S")/2,"")</f>
        <v/>
      </c>
      <c r="P70" s="80" t="str">
        <f>IF((AND(T_BilanSocial2[[#This Row],[Nom]]&lt;&gt;"",T_BilanSocial2[[#This Row],[Reg Ponct]]="R")),COUNTIF(S70:AX70,"t")/2,"")</f>
        <v/>
      </c>
      <c r="Q70" s="81" t="str">
        <f t="shared" si="10"/>
        <v/>
      </c>
      <c r="R70" s="82" t="str">
        <f>IF((AND(T_BilanSocial2[[#This Row],[Nom]]&lt;&gt;"",T_BilanSocial2[[#This Row],[Reg Ponct]]="R")),IF(S70="T",U70-T70,0)+IF(V70="T",X70-W70,0)+IF(Z70="T",AB70-AA70,0)+IF(AC70="T",AE70-AD70,0)+IF(AG70="T",AI70-AH70,0)+IF(AJ70="T",AL70-AK70,0)+IF(AN70="T",AP70-AO70,0)+IF(AQ70="T",AS70-AR70,0)+IF(AU70="T",AW70-AV70,0)+IF(AX70="T",AZ70-AY70,0),"")</f>
        <v/>
      </c>
      <c r="S70" s="36" t="s">
        <v>306</v>
      </c>
      <c r="T70" s="37">
        <v>0.32291666666666669</v>
      </c>
      <c r="U70" s="37">
        <v>0.52083333333333337</v>
      </c>
      <c r="V70" s="21" t="s">
        <v>306</v>
      </c>
      <c r="W70" s="37">
        <v>0.5625</v>
      </c>
      <c r="X70" s="37">
        <v>0.72916666666666663</v>
      </c>
      <c r="Y70" s="38" t="str">
        <f t="shared" si="11"/>
        <v/>
      </c>
      <c r="Z70" s="36" t="s">
        <v>306</v>
      </c>
      <c r="AA70" s="37">
        <v>0.32291666666666669</v>
      </c>
      <c r="AB70" s="37">
        <v>0.52083333333333337</v>
      </c>
      <c r="AC70" s="21" t="s">
        <v>306</v>
      </c>
      <c r="AD70" s="37">
        <v>0.5625</v>
      </c>
      <c r="AE70" s="37">
        <v>0.6875</v>
      </c>
      <c r="AF70" s="38" t="str">
        <f t="shared" si="12"/>
        <v/>
      </c>
      <c r="AG70" s="36" t="s">
        <v>306</v>
      </c>
      <c r="AH70" s="37">
        <v>0.32291666666666669</v>
      </c>
      <c r="AI70" s="37">
        <v>0.52083333333333337</v>
      </c>
      <c r="AJ70" s="21" t="s">
        <v>306</v>
      </c>
      <c r="AK70" s="37">
        <v>0.5625</v>
      </c>
      <c r="AL70" s="37">
        <v>0.6875</v>
      </c>
      <c r="AM70" s="38" t="str">
        <f t="shared" si="13"/>
        <v/>
      </c>
      <c r="AN70" s="36" t="s">
        <v>307</v>
      </c>
      <c r="AO70" s="37">
        <v>0.32291666666666669</v>
      </c>
      <c r="AP70" s="37">
        <v>0.5</v>
      </c>
      <c r="AQ70" s="21" t="s">
        <v>307</v>
      </c>
      <c r="AR70" s="37">
        <v>0.54166666666666663</v>
      </c>
      <c r="AS70" s="37">
        <v>0.57638888888888895</v>
      </c>
      <c r="AT70" s="38" t="str">
        <f t="shared" si="14"/>
        <v/>
      </c>
      <c r="AU70" s="36" t="s">
        <v>306</v>
      </c>
      <c r="AV70" s="37">
        <v>0.32291666666666669</v>
      </c>
      <c r="AW70" s="37">
        <v>0.52083333333333337</v>
      </c>
      <c r="AX70" s="21" t="s">
        <v>306</v>
      </c>
      <c r="AY70" s="37">
        <v>0.5625</v>
      </c>
      <c r="AZ70" s="37">
        <v>0.6875</v>
      </c>
      <c r="BA70" s="39" t="str">
        <f t="shared" si="15"/>
        <v/>
      </c>
      <c r="BB70" s="46" t="s">
        <v>1011</v>
      </c>
      <c r="BC70" s="31" t="s">
        <v>1012</v>
      </c>
      <c r="BD70" s="16" t="s">
        <v>311</v>
      </c>
      <c r="BE70" s="16" t="s">
        <v>311</v>
      </c>
      <c r="BF70" s="244" t="str">
        <f>T_BilanSocial2[[#This Row],[Nom]]&amp;T_BilanSocial2[[#This Row],[Prénom]]</f>
        <v/>
      </c>
    </row>
    <row r="71" spans="1:58" ht="21.75" customHeight="1" x14ac:dyDescent="0.25">
      <c r="A71" s="90">
        <v>1</v>
      </c>
      <c r="B71" s="126" t="s">
        <v>311</v>
      </c>
      <c r="C71" s="126" t="str">
        <f>VLOOKUP(T_BilanSocial2[[#This Row],[NumL]],T_Commission[#Data],COLUMN(T_Commission[FINAL]),FALSE)</f>
        <v/>
      </c>
      <c r="D71" s="19" t="str">
        <f t="shared" si="8"/>
        <v/>
      </c>
      <c r="E71" s="19" t="str">
        <f t="shared" si="9"/>
        <v/>
      </c>
      <c r="F71" s="242" t="str">
        <f>IFERROR(VLOOKUP(T_BilanSocial2[[#This Row],[Zone_Bilan]],T_P_BilanSocial[#Data],COLUMN(T_P_BilanSocial[[#This Row],[Numero_SIHAM]]),FALSE),"")</f>
        <v/>
      </c>
      <c r="G71" s="242" t="str">
        <f>IFERROR(VLOOKUP(T_BilanSocial2[[#This Row],[Zone_Bilan]],T_P_BilanSocial[#Data],COLUMN(T_P_BilanSocial[[#This Row],[Sexe]]),FALSE),"")</f>
        <v/>
      </c>
      <c r="H71" s="243" t="str">
        <f>IFERROR(VLOOKUP(T_BilanSocial2[[#This Row],[Zone_Bilan]],T_P_BilanSocial[#Data],COLUMN(T_P_BilanSocial[[#This Row],[Categorie]]),FALSE),"")</f>
        <v/>
      </c>
      <c r="I71" s="242" t="str">
        <f>IFERROR(VLOOKUP(T_BilanSocial2[[#This Row],[Zone_Bilan]],T_P_BilanSocial[#Data],COLUMN(T_P_BilanSocial[[#This Row],[Statut]]),FALSE),"")</f>
        <v/>
      </c>
      <c r="J71" s="242" t="str">
        <f>IFERROR(VLOOKUP(T_BilanSocial2[[#This Row],[Zone_Bilan]],T_P_BilanSocial[#Data],COLUMN(T_P_BilanSocial[[#This Row],[Filiere]]),FALSE),"")</f>
        <v/>
      </c>
      <c r="K71" s="78">
        <v>1</v>
      </c>
      <c r="L71" s="213">
        <v>1.5451388888888891</v>
      </c>
      <c r="M71" s="78" t="s">
        <v>210</v>
      </c>
      <c r="N71" s="79" t="str">
        <f>IF((AND(T_BilanSocial2[[#This Row],[Nom]]&lt;&gt;"",T_BilanSocial2[[#This Row],[Reg Ponct]]="R")),(COUNTIF(S71:AX71,"S")+COUNTIF(S71:AX71,"T"))/2,"")</f>
        <v/>
      </c>
      <c r="O71" s="79" t="str">
        <f>IF((AND(T_BilanSocial2[[#This Row],[Nom]]&lt;&gt;"",T_BilanSocial2[[#This Row],[Reg Ponct]]="R")),COUNTIF(S71:AX71,"S")/2,"")</f>
        <v/>
      </c>
      <c r="P71" s="80" t="str">
        <f>IF((AND(T_BilanSocial2[[#This Row],[Nom]]&lt;&gt;"",T_BilanSocial2[[#This Row],[Reg Ponct]]="R")),COUNTIF(S71:AX71,"t")/2,"")</f>
        <v/>
      </c>
      <c r="Q71" s="81" t="str">
        <f t="shared" si="10"/>
        <v/>
      </c>
      <c r="R71" s="82" t="str">
        <f>IF((AND(T_BilanSocial2[[#This Row],[Nom]]&lt;&gt;"",T_BilanSocial2[[#This Row],[Reg Ponct]]="R")),IF(S71="T",U71-T71,0)+IF(V71="T",X71-W71,0)+IF(Z71="T",AB71-AA71,0)+IF(AC71="T",AE71-AD71,0)+IF(AG71="T",AI71-AH71,0)+IF(AJ71="T",AL71-AK71,0)+IF(AN71="T",AP71-AO71,0)+IF(AQ71="T",AS71-AR71,0)+IF(AU71="T",AW71-AV71,0)+IF(AX71="T",AZ71-AY71,0),"")</f>
        <v/>
      </c>
      <c r="S71" s="36" t="s">
        <v>306</v>
      </c>
      <c r="T71" s="37">
        <v>0.3125</v>
      </c>
      <c r="U71" s="37">
        <v>0.5</v>
      </c>
      <c r="V71" s="21" t="s">
        <v>306</v>
      </c>
      <c r="W71" s="37">
        <v>0.54166666666666663</v>
      </c>
      <c r="X71" s="37">
        <v>0.69097222222222221</v>
      </c>
      <c r="Y71" s="38" t="str">
        <f t="shared" si="11"/>
        <v/>
      </c>
      <c r="Z71" s="36" t="s">
        <v>306</v>
      </c>
      <c r="AA71" s="37">
        <v>0.3125</v>
      </c>
      <c r="AB71" s="37">
        <v>0.5</v>
      </c>
      <c r="AC71" s="21" t="s">
        <v>306</v>
      </c>
      <c r="AD71" s="37">
        <v>0.54166666666666663</v>
      </c>
      <c r="AE71" s="37">
        <v>0.69097222222222221</v>
      </c>
      <c r="AF71" s="38" t="str">
        <f t="shared" si="12"/>
        <v/>
      </c>
      <c r="AG71" s="36" t="s">
        <v>306</v>
      </c>
      <c r="AH71" s="37">
        <v>0.3125</v>
      </c>
      <c r="AI71" s="37">
        <v>0.51041666666666663</v>
      </c>
      <c r="AJ71" s="21" t="s">
        <v>308</v>
      </c>
      <c r="AK71" s="37"/>
      <c r="AL71" s="37"/>
      <c r="AM71" s="38" t="str">
        <f t="shared" si="13"/>
        <v/>
      </c>
      <c r="AN71" s="36" t="s">
        <v>307</v>
      </c>
      <c r="AO71" s="37">
        <v>0.3125</v>
      </c>
      <c r="AP71" s="37">
        <v>0.5</v>
      </c>
      <c r="AQ71" s="21" t="s">
        <v>307</v>
      </c>
      <c r="AR71" s="37">
        <v>0.54166666666666663</v>
      </c>
      <c r="AS71" s="37">
        <v>0.69097222222222221</v>
      </c>
      <c r="AT71" s="38" t="str">
        <f t="shared" si="14"/>
        <v/>
      </c>
      <c r="AU71" s="36" t="s">
        <v>306</v>
      </c>
      <c r="AV71" s="37">
        <v>0.3125</v>
      </c>
      <c r="AW71" s="37">
        <v>0.5</v>
      </c>
      <c r="AX71" s="21" t="s">
        <v>306</v>
      </c>
      <c r="AY71" s="37">
        <v>0.54166666666666663</v>
      </c>
      <c r="AZ71" s="37">
        <v>0.69097222222222221</v>
      </c>
      <c r="BA71" s="39" t="str">
        <f t="shared" si="15"/>
        <v/>
      </c>
      <c r="BB71" s="46" t="s">
        <v>309</v>
      </c>
      <c r="BC71" s="31" t="s">
        <v>310</v>
      </c>
      <c r="BD71" s="16" t="s">
        <v>311</v>
      </c>
      <c r="BE71" s="16" t="s">
        <v>311</v>
      </c>
      <c r="BF71" s="244" t="str">
        <f>T_BilanSocial2[[#This Row],[Nom]]&amp;T_BilanSocial2[[#This Row],[Prénom]]</f>
        <v/>
      </c>
    </row>
    <row r="72" spans="1:58" ht="21.75" hidden="1" customHeight="1" x14ac:dyDescent="0.25">
      <c r="A72" s="90">
        <v>131</v>
      </c>
      <c r="B72" s="126" t="s">
        <v>311</v>
      </c>
      <c r="C72" s="126" t="str">
        <f>VLOOKUP(T_BilanSocial2[[#This Row],[NumL]],T_Commission[#Data],COLUMN(T_Commission[FINAL]),FALSE)</f>
        <v/>
      </c>
      <c r="D72" s="19" t="str">
        <f t="shared" si="8"/>
        <v/>
      </c>
      <c r="E72" s="19" t="str">
        <f t="shared" si="9"/>
        <v/>
      </c>
      <c r="F72" s="242" t="str">
        <f>IFERROR(VLOOKUP(T_BilanSocial2[[#This Row],[Zone_Bilan]],T_P_BilanSocial[#Data],COLUMN(T_P_BilanSocial[[#This Row],[Numero_SIHAM]]),FALSE),"")</f>
        <v/>
      </c>
      <c r="G72" s="242" t="str">
        <f>IFERROR(VLOOKUP(T_BilanSocial2[[#This Row],[Zone_Bilan]],T_P_BilanSocial[#Data],COLUMN(T_P_BilanSocial[[#This Row],[Sexe]]),FALSE),"")</f>
        <v/>
      </c>
      <c r="H72" s="243" t="str">
        <f>IFERROR(VLOOKUP(T_BilanSocial2[[#This Row],[Zone_Bilan]],T_P_BilanSocial[#Data],COLUMN(T_P_BilanSocial[[#This Row],[Categorie]]),FALSE),"")</f>
        <v/>
      </c>
      <c r="I72" s="242" t="str">
        <f>IFERROR(VLOOKUP(T_BilanSocial2[[#This Row],[Zone_Bilan]],T_P_BilanSocial[#Data],COLUMN(T_P_BilanSocial[[#This Row],[Statut]]),FALSE),"")</f>
        <v/>
      </c>
      <c r="J72" s="242" t="str">
        <f>IFERROR(VLOOKUP(T_BilanSocial2[[#This Row],[Zone_Bilan]],T_P_BilanSocial[#Data],COLUMN(T_P_BilanSocial[[#This Row],[Filiere]]),FALSE),"")</f>
        <v/>
      </c>
      <c r="K72" s="78">
        <v>0.9</v>
      </c>
      <c r="L72" s="213">
        <v>1.3923611111111109</v>
      </c>
      <c r="M72" s="78" t="s">
        <v>210</v>
      </c>
      <c r="N72" s="79" t="str">
        <f>IF((AND(T_BilanSocial2[[#This Row],[Nom]]&lt;&gt;"",T_BilanSocial2[[#This Row],[Reg Ponct]]="R")),(COUNTIF(S72:AX72,"S")+COUNTIF(S72:AX72,"T"))/2,"")</f>
        <v/>
      </c>
      <c r="O72" s="79" t="str">
        <f>IF((AND(T_BilanSocial2[[#This Row],[Nom]]&lt;&gt;"",T_BilanSocial2[[#This Row],[Reg Ponct]]="R")),COUNTIF(S72:AX72,"S")/2,"")</f>
        <v/>
      </c>
      <c r="P72" s="80" t="str">
        <f>IF((AND(T_BilanSocial2[[#This Row],[Nom]]&lt;&gt;"",T_BilanSocial2[[#This Row],[Reg Ponct]]="R")),COUNTIF(S72:AX72,"t")/2,"")</f>
        <v/>
      </c>
      <c r="Q72" s="81" t="str">
        <f t="shared" si="10"/>
        <v/>
      </c>
      <c r="R72" s="82" t="str">
        <f>IF((AND(T_BilanSocial2[[#This Row],[Nom]]&lt;&gt;"",T_BilanSocial2[[#This Row],[Reg Ponct]]="R")),IF(S72="T",U72-T72,0)+IF(V72="T",X72-W72,0)+IF(Z72="T",AB72-AA72,0)+IF(AC72="T",AE72-AD72,0)+IF(AG72="T",AI72-AH72,0)+IF(AJ72="T",AL72-AK72,0)+IF(AN72="T",AP72-AO72,0)+IF(AQ72="T",AS72-AR72,0)+IF(AU72="T",AW72-AV72,0)+IF(AX72="T",AZ72-AY72,0),"")</f>
        <v/>
      </c>
      <c r="S72" s="36" t="s">
        <v>306</v>
      </c>
      <c r="T72" s="37">
        <v>0.33333333333333331</v>
      </c>
      <c r="U72" s="37">
        <v>0.52083333333333337</v>
      </c>
      <c r="V72" s="21" t="s">
        <v>306</v>
      </c>
      <c r="W72" s="37">
        <v>0.5625</v>
      </c>
      <c r="X72" s="37">
        <v>0.70833333333333337</v>
      </c>
      <c r="Y72" s="38" t="str">
        <f t="shared" si="11"/>
        <v/>
      </c>
      <c r="Z72" s="36" t="s">
        <v>306</v>
      </c>
      <c r="AA72" s="37">
        <v>0.35416666666666669</v>
      </c>
      <c r="AB72" s="37">
        <v>0.52083333333333337</v>
      </c>
      <c r="AC72" s="21" t="s">
        <v>306</v>
      </c>
      <c r="AD72" s="37">
        <v>0.5625</v>
      </c>
      <c r="AE72" s="37">
        <v>0.68402777777777779</v>
      </c>
      <c r="AF72" s="38" t="str">
        <f t="shared" si="12"/>
        <v/>
      </c>
      <c r="AG72" s="36" t="s">
        <v>306</v>
      </c>
      <c r="AH72" s="37">
        <v>0.33333333333333331</v>
      </c>
      <c r="AI72" s="37">
        <v>0.52083333333333337</v>
      </c>
      <c r="AJ72" s="21" t="s">
        <v>306</v>
      </c>
      <c r="AK72" s="37">
        <v>0.5625</v>
      </c>
      <c r="AL72" s="37">
        <v>0.66666666666666663</v>
      </c>
      <c r="AM72" s="38" t="str">
        <f t="shared" si="13"/>
        <v/>
      </c>
      <c r="AN72" s="36" t="s">
        <v>307</v>
      </c>
      <c r="AO72" s="37">
        <v>0.33333333333333331</v>
      </c>
      <c r="AP72" s="37">
        <v>0.52083333333333337</v>
      </c>
      <c r="AQ72" s="21" t="s">
        <v>308</v>
      </c>
      <c r="AR72" s="37"/>
      <c r="AS72" s="37"/>
      <c r="AT72" s="38" t="str">
        <f t="shared" si="14"/>
        <v/>
      </c>
      <c r="AU72" s="36" t="s">
        <v>306</v>
      </c>
      <c r="AV72" s="37">
        <v>0.33333333333333331</v>
      </c>
      <c r="AW72" s="37">
        <v>0.52083333333333337</v>
      </c>
      <c r="AX72" s="21" t="s">
        <v>306</v>
      </c>
      <c r="AY72" s="37">
        <v>0.5625</v>
      </c>
      <c r="AZ72" s="37">
        <v>0.66666666666666663</v>
      </c>
      <c r="BA72" s="39" t="str">
        <f t="shared" si="15"/>
        <v/>
      </c>
      <c r="BB72" s="46" t="s">
        <v>340</v>
      </c>
      <c r="BC72" s="31" t="s">
        <v>341</v>
      </c>
      <c r="BD72" s="16" t="s">
        <v>322</v>
      </c>
      <c r="BE72" s="16" t="s">
        <v>311</v>
      </c>
      <c r="BF72" s="244" t="str">
        <f>T_BilanSocial2[[#This Row],[Nom]]&amp;T_BilanSocial2[[#This Row],[Prénom]]</f>
        <v/>
      </c>
    </row>
    <row r="73" spans="1:58" ht="21.75" hidden="1" customHeight="1" x14ac:dyDescent="0.25">
      <c r="A73" s="90">
        <v>261</v>
      </c>
      <c r="B73" s="126" t="s">
        <v>311</v>
      </c>
      <c r="C73" s="126" t="str">
        <f>VLOOKUP(T_BilanSocial2[[#This Row],[NumL]],T_Commission[#Data],COLUMN(T_Commission[FINAL]),FALSE)</f>
        <v/>
      </c>
      <c r="D73" s="19" t="str">
        <f t="shared" si="8"/>
        <v/>
      </c>
      <c r="E73" s="19" t="str">
        <f t="shared" si="9"/>
        <v/>
      </c>
      <c r="F73" s="242" t="str">
        <f>IFERROR(VLOOKUP(T_BilanSocial2[[#This Row],[Zone_Bilan]],T_P_BilanSocial[#Data],COLUMN(T_P_BilanSocial[[#This Row],[Numero_SIHAM]]),FALSE),"")</f>
        <v/>
      </c>
      <c r="G73" s="242" t="str">
        <f>IFERROR(VLOOKUP(T_BilanSocial2[[#This Row],[Zone_Bilan]],T_P_BilanSocial[#Data],COLUMN(T_P_BilanSocial[[#This Row],[Sexe]]),FALSE),"")</f>
        <v/>
      </c>
      <c r="H73" s="243" t="str">
        <f>IFERROR(VLOOKUP(T_BilanSocial2[[#This Row],[Zone_Bilan]],T_P_BilanSocial[#Data],COLUMN(T_P_BilanSocial[[#This Row],[Categorie]]),FALSE),"")</f>
        <v/>
      </c>
      <c r="I73" s="242" t="str">
        <f>IFERROR(VLOOKUP(T_BilanSocial2[[#This Row],[Zone_Bilan]],T_P_BilanSocial[#Data],COLUMN(T_P_BilanSocial[[#This Row],[Statut]]),FALSE),"")</f>
        <v/>
      </c>
      <c r="J73" s="242" t="str">
        <f>IFERROR(VLOOKUP(T_BilanSocial2[[#This Row],[Zone_Bilan]],T_P_BilanSocial[#Data],COLUMN(T_P_BilanSocial[[#This Row],[Filiere]]),FALSE),"")</f>
        <v/>
      </c>
      <c r="K73" s="78">
        <v>0.8</v>
      </c>
      <c r="L73" s="213">
        <v>1.2361111111111112</v>
      </c>
      <c r="M73" s="78" t="s">
        <v>210</v>
      </c>
      <c r="N73" s="79" t="str">
        <f>IF((AND(T_BilanSocial2[[#This Row],[Nom]]&lt;&gt;"",T_BilanSocial2[[#This Row],[Reg Ponct]]="R")),(COUNTIF(S73:AX73,"S")+COUNTIF(S73:AX73,"T"))/2,"")</f>
        <v/>
      </c>
      <c r="O73" s="79" t="str">
        <f>IF((AND(T_BilanSocial2[[#This Row],[Nom]]&lt;&gt;"",T_BilanSocial2[[#This Row],[Reg Ponct]]="R")),COUNTIF(S73:AX73,"S")/2,"")</f>
        <v/>
      </c>
      <c r="P73" s="80" t="str">
        <f>IF((AND(T_BilanSocial2[[#This Row],[Nom]]&lt;&gt;"",T_BilanSocial2[[#This Row],[Reg Ponct]]="R")),COUNTIF(S73:AX73,"t")/2,"")</f>
        <v/>
      </c>
      <c r="Q73" s="81" t="str">
        <f t="shared" si="10"/>
        <v/>
      </c>
      <c r="R73" s="82" t="str">
        <f>IF((AND(T_BilanSocial2[[#This Row],[Nom]]&lt;&gt;"",T_BilanSocial2[[#This Row],[Reg Ponct]]="R")),IF(S73="T",U73-T73,0)+IF(V73="T",X73-W73,0)+IF(Z73="T",AB73-AA73,0)+IF(AC73="T",AE73-AD73,0)+IF(AG73="T",AI73-AH73,0)+IF(AJ73="T",AL73-AK73,0)+IF(AN73="T",AP73-AO73,0)+IF(AQ73="T",AS73-AR73,0)+IF(AU73="T",AW73-AV73,0)+IF(AX73="T",AZ73-AY73,0),"")</f>
        <v/>
      </c>
      <c r="S73" s="36" t="s">
        <v>306</v>
      </c>
      <c r="T73" s="37">
        <v>0.36805555555555558</v>
      </c>
      <c r="U73" s="37">
        <v>0.52083333333333337</v>
      </c>
      <c r="V73" s="21" t="s">
        <v>306</v>
      </c>
      <c r="W73" s="37">
        <v>0.5625</v>
      </c>
      <c r="X73" s="37">
        <v>0.72222222222222221</v>
      </c>
      <c r="Y73" s="38" t="str">
        <f t="shared" si="11"/>
        <v/>
      </c>
      <c r="Z73" s="36" t="s">
        <v>306</v>
      </c>
      <c r="AA73" s="37">
        <v>0.36805555555555558</v>
      </c>
      <c r="AB73" s="37">
        <v>0.52083333333333337</v>
      </c>
      <c r="AC73" s="21" t="s">
        <v>306</v>
      </c>
      <c r="AD73" s="37">
        <v>0.5625</v>
      </c>
      <c r="AE73" s="37">
        <v>0.72222222222222221</v>
      </c>
      <c r="AF73" s="38" t="str">
        <f t="shared" si="12"/>
        <v/>
      </c>
      <c r="AG73" s="36" t="s">
        <v>308</v>
      </c>
      <c r="AH73" s="37"/>
      <c r="AI73" s="37"/>
      <c r="AJ73" s="21" t="s">
        <v>308</v>
      </c>
      <c r="AK73" s="37"/>
      <c r="AL73" s="37"/>
      <c r="AM73" s="38" t="str">
        <f t="shared" si="13"/>
        <v/>
      </c>
      <c r="AN73" s="36" t="s">
        <v>306</v>
      </c>
      <c r="AO73" s="37">
        <v>0.375</v>
      </c>
      <c r="AP73" s="37">
        <v>0.52083333333333337</v>
      </c>
      <c r="AQ73" s="21" t="s">
        <v>306</v>
      </c>
      <c r="AR73" s="37">
        <v>0.5625</v>
      </c>
      <c r="AS73" s="37">
        <v>0.72222222222222221</v>
      </c>
      <c r="AT73" s="38" t="str">
        <f t="shared" si="14"/>
        <v/>
      </c>
      <c r="AU73" s="36" t="s">
        <v>307</v>
      </c>
      <c r="AV73" s="37">
        <v>0.375</v>
      </c>
      <c r="AW73" s="37">
        <v>0.52083333333333337</v>
      </c>
      <c r="AX73" s="21" t="s">
        <v>307</v>
      </c>
      <c r="AY73" s="37">
        <v>0.5625</v>
      </c>
      <c r="AZ73" s="37">
        <v>0.72222222222222221</v>
      </c>
      <c r="BA73" s="39" t="str">
        <f t="shared" si="15"/>
        <v/>
      </c>
      <c r="BB73" s="46" t="s">
        <v>607</v>
      </c>
      <c r="BC73" s="31" t="s">
        <v>608</v>
      </c>
      <c r="BD73" s="16" t="s">
        <v>311</v>
      </c>
      <c r="BE73" s="16" t="s">
        <v>311</v>
      </c>
      <c r="BF73" s="244" t="str">
        <f>T_BilanSocial2[[#This Row],[Nom]]&amp;T_BilanSocial2[[#This Row],[Prénom]]</f>
        <v/>
      </c>
    </row>
    <row r="74" spans="1:58" ht="21.75" hidden="1" customHeight="1" x14ac:dyDescent="0.25">
      <c r="A74" s="90">
        <v>194</v>
      </c>
      <c r="B74" s="126" t="s">
        <v>311</v>
      </c>
      <c r="C74" s="126" t="str">
        <f>VLOOKUP(T_BilanSocial2[[#This Row],[NumL]],T_Commission[#Data],COLUMN(T_Commission[FINAL]),FALSE)</f>
        <v/>
      </c>
      <c r="D74" s="19" t="str">
        <f t="shared" si="8"/>
        <v/>
      </c>
      <c r="E74" s="19" t="str">
        <f t="shared" si="9"/>
        <v/>
      </c>
      <c r="F74" s="242" t="str">
        <f>IFERROR(VLOOKUP(T_BilanSocial2[[#This Row],[Zone_Bilan]],T_P_BilanSocial[#Data],COLUMN(T_P_BilanSocial[[#This Row],[Numero_SIHAM]]),FALSE),"")</f>
        <v/>
      </c>
      <c r="G74" s="242" t="str">
        <f>IFERROR(VLOOKUP(T_BilanSocial2[[#This Row],[Zone_Bilan]],T_P_BilanSocial[#Data],COLUMN(T_P_BilanSocial[[#This Row],[Sexe]]),FALSE),"")</f>
        <v/>
      </c>
      <c r="H74" s="243" t="str">
        <f>IFERROR(VLOOKUP(T_BilanSocial2[[#This Row],[Zone_Bilan]],T_P_BilanSocial[#Data],COLUMN(T_P_BilanSocial[[#This Row],[Categorie]]),FALSE),"")</f>
        <v/>
      </c>
      <c r="I74" s="242" t="str">
        <f>IFERROR(VLOOKUP(T_BilanSocial2[[#This Row],[Zone_Bilan]],T_P_BilanSocial[#Data],COLUMN(T_P_BilanSocial[[#This Row],[Statut]]),FALSE),"")</f>
        <v/>
      </c>
      <c r="J74" s="242" t="str">
        <f>IFERROR(VLOOKUP(T_BilanSocial2[[#This Row],[Zone_Bilan]],T_P_BilanSocial[#Data],COLUMN(T_P_BilanSocial[[#This Row],[Filiere]]),FALSE),"")</f>
        <v/>
      </c>
      <c r="K74" s="78">
        <v>1</v>
      </c>
      <c r="L74" s="213">
        <v>1.5451388888888891</v>
      </c>
      <c r="M74" s="78" t="s">
        <v>210</v>
      </c>
      <c r="N74" s="79" t="str">
        <f>IF((AND(T_BilanSocial2[[#This Row],[Nom]]&lt;&gt;"",T_BilanSocial2[[#This Row],[Reg Ponct]]="R")),(COUNTIF(S74:AX74,"S")+COUNTIF(S74:AX74,"T"))/2,"")</f>
        <v/>
      </c>
      <c r="O74" s="79" t="str">
        <f>IF((AND(T_BilanSocial2[[#This Row],[Nom]]&lt;&gt;"",T_BilanSocial2[[#This Row],[Reg Ponct]]="R")),COUNTIF(S74:AX74,"S")/2,"")</f>
        <v/>
      </c>
      <c r="P74" s="80" t="str">
        <f>IF((AND(T_BilanSocial2[[#This Row],[Nom]]&lt;&gt;"",T_BilanSocial2[[#This Row],[Reg Ponct]]="R")),COUNTIF(S74:AX74,"t")/2,"")</f>
        <v/>
      </c>
      <c r="Q74" s="81" t="str">
        <f t="shared" si="10"/>
        <v/>
      </c>
      <c r="R74" s="82" t="str">
        <f>IF((AND(T_BilanSocial2[[#This Row],[Nom]]&lt;&gt;"",T_BilanSocial2[[#This Row],[Reg Ponct]]="R")),IF(S74="T",U74-T74,0)+IF(V74="T",X74-W74,0)+IF(Z74="T",AB74-AA74,0)+IF(AC74="T",AE74-AD74,0)+IF(AG74="T",AI74-AH74,0)+IF(AJ74="T",AL74-AK74,0)+IF(AN74="T",AP74-AO74,0)+IF(AQ74="T",AS74-AR74,0)+IF(AU74="T",AW74-AV74,0)+IF(AX74="T",AZ74-AY74,0),"")</f>
        <v/>
      </c>
      <c r="S74" s="36" t="s">
        <v>306</v>
      </c>
      <c r="T74" s="37">
        <v>0.3125</v>
      </c>
      <c r="U74" s="37">
        <v>0.52083333333333337</v>
      </c>
      <c r="V74" s="21" t="s">
        <v>306</v>
      </c>
      <c r="W74" s="37">
        <v>0.5625</v>
      </c>
      <c r="X74" s="37">
        <v>0.66666666666666663</v>
      </c>
      <c r="Y74" s="38" t="str">
        <f t="shared" si="11"/>
        <v/>
      </c>
      <c r="Z74" s="36" t="s">
        <v>306</v>
      </c>
      <c r="AA74" s="37">
        <v>0.3125</v>
      </c>
      <c r="AB74" s="37">
        <v>0.52083333333333337</v>
      </c>
      <c r="AC74" s="21" t="s">
        <v>306</v>
      </c>
      <c r="AD74" s="37">
        <v>0.5625</v>
      </c>
      <c r="AE74" s="37">
        <v>0.66666666666666663</v>
      </c>
      <c r="AF74" s="38" t="str">
        <f t="shared" si="12"/>
        <v/>
      </c>
      <c r="AG74" s="36" t="s">
        <v>306</v>
      </c>
      <c r="AH74" s="37">
        <v>0.3125</v>
      </c>
      <c r="AI74" s="37">
        <v>0.52083333333333337</v>
      </c>
      <c r="AJ74" s="21" t="s">
        <v>306</v>
      </c>
      <c r="AK74" s="37">
        <v>0.5625</v>
      </c>
      <c r="AL74" s="37">
        <v>0.66666666666666663</v>
      </c>
      <c r="AM74" s="38" t="str">
        <f t="shared" si="13"/>
        <v/>
      </c>
      <c r="AN74" s="36" t="s">
        <v>306</v>
      </c>
      <c r="AO74" s="37">
        <v>0.3125</v>
      </c>
      <c r="AP74" s="37">
        <v>0.52083333333333337</v>
      </c>
      <c r="AQ74" s="21" t="s">
        <v>306</v>
      </c>
      <c r="AR74" s="37">
        <v>0.5625</v>
      </c>
      <c r="AS74" s="37">
        <v>0.66319444444444442</v>
      </c>
      <c r="AT74" s="38" t="str">
        <f t="shared" si="14"/>
        <v/>
      </c>
      <c r="AU74" s="36" t="s">
        <v>307</v>
      </c>
      <c r="AV74" s="37">
        <v>0.32291666666666669</v>
      </c>
      <c r="AW74" s="37">
        <v>0.52083333333333337</v>
      </c>
      <c r="AX74" s="21" t="s">
        <v>307</v>
      </c>
      <c r="AY74" s="37">
        <v>0.5625</v>
      </c>
      <c r="AZ74" s="37">
        <v>0.66319444444444442</v>
      </c>
      <c r="BA74" s="39" t="str">
        <f t="shared" si="15"/>
        <v/>
      </c>
      <c r="BB74" s="46" t="s">
        <v>963</v>
      </c>
      <c r="BC74" s="31" t="s">
        <v>964</v>
      </c>
      <c r="BD74" s="16" t="s">
        <v>311</v>
      </c>
      <c r="BE74" s="16" t="s">
        <v>311</v>
      </c>
      <c r="BF74" s="244" t="str">
        <f>T_BilanSocial2[[#This Row],[Nom]]&amp;T_BilanSocial2[[#This Row],[Prénom]]</f>
        <v/>
      </c>
    </row>
    <row r="75" spans="1:58" ht="21.75" hidden="1" customHeight="1" x14ac:dyDescent="0.25">
      <c r="A75" s="90">
        <v>100</v>
      </c>
      <c r="B75" s="126" t="s">
        <v>311</v>
      </c>
      <c r="C75" s="126" t="str">
        <f>VLOOKUP(T_BilanSocial2[[#This Row],[NumL]],T_Commission[#Data],COLUMN(T_Commission[FINAL]),FALSE)</f>
        <v/>
      </c>
      <c r="D75" s="19" t="str">
        <f t="shared" si="8"/>
        <v/>
      </c>
      <c r="E75" s="19" t="str">
        <f t="shared" si="9"/>
        <v/>
      </c>
      <c r="F75" s="242" t="str">
        <f>IFERROR(VLOOKUP(T_BilanSocial2[[#This Row],[Zone_Bilan]],T_P_BilanSocial[#Data],COLUMN(T_P_BilanSocial[[#This Row],[Numero_SIHAM]]),FALSE),"")</f>
        <v/>
      </c>
      <c r="G75" s="242" t="str">
        <f>IFERROR(VLOOKUP(T_BilanSocial2[[#This Row],[Zone_Bilan]],T_P_BilanSocial[#Data],COLUMN(T_P_BilanSocial[[#This Row],[Sexe]]),FALSE),"")</f>
        <v/>
      </c>
      <c r="H75" s="243" t="str">
        <f>IFERROR(VLOOKUP(T_BilanSocial2[[#This Row],[Zone_Bilan]],T_P_BilanSocial[#Data],COLUMN(T_P_BilanSocial[[#This Row],[Categorie]]),FALSE),"")</f>
        <v/>
      </c>
      <c r="I75" s="242" t="str">
        <f>IFERROR(VLOOKUP(T_BilanSocial2[[#This Row],[Zone_Bilan]],T_P_BilanSocial[#Data],COLUMN(T_P_BilanSocial[[#This Row],[Statut]]),FALSE),"")</f>
        <v/>
      </c>
      <c r="J75" s="242" t="str">
        <f>IFERROR(VLOOKUP(T_BilanSocial2[[#This Row],[Zone_Bilan]],T_P_BilanSocial[#Data],COLUMN(T_P_BilanSocial[[#This Row],[Filiere]]),FALSE),"")</f>
        <v/>
      </c>
      <c r="K75" s="78">
        <v>0.8</v>
      </c>
      <c r="L75" s="213">
        <v>1.2361111111111112</v>
      </c>
      <c r="M75" s="78" t="s">
        <v>211</v>
      </c>
      <c r="N75" s="79" t="str">
        <f>IF((AND(T_BilanSocial2[[#This Row],[Nom]]&lt;&gt;"",T_BilanSocial2[[#This Row],[Reg Ponct]]="R")),(COUNTIF(S75:AX75,"S")+COUNTIF(S75:AX75,"T"))/2,"")</f>
        <v/>
      </c>
      <c r="O75" s="79" t="str">
        <f>IF((AND(T_BilanSocial2[[#This Row],[Nom]]&lt;&gt;"",T_BilanSocial2[[#This Row],[Reg Ponct]]="R")),COUNTIF(S75:AX75,"S")/2,"")</f>
        <v/>
      </c>
      <c r="P75" s="80" t="str">
        <f>IF((AND(T_BilanSocial2[[#This Row],[Nom]]&lt;&gt;"",T_BilanSocial2[[#This Row],[Reg Ponct]]="R")),COUNTIF(S75:AX75,"t")/2,"")</f>
        <v/>
      </c>
      <c r="Q75" s="81" t="str">
        <f t="shared" si="10"/>
        <v/>
      </c>
      <c r="R75" s="82" t="str">
        <f>IF((AND(T_BilanSocial2[[#This Row],[Nom]]&lt;&gt;"",T_BilanSocial2[[#This Row],[Reg Ponct]]="R")),IF(S75="T",U75-T75,0)+IF(V75="T",X75-W75,0)+IF(Z75="T",AB75-AA75,0)+IF(AC75="T",AE75-AD75,0)+IF(AG75="T",AI75-AH75,0)+IF(AJ75="T",AL75-AK75,0)+IF(AN75="T",AP75-AO75,0)+IF(AQ75="T",AS75-AR75,0)+IF(AU75="T",AW75-AV75,0)+IF(AX75="T",AZ75-AY75,0),"")</f>
        <v/>
      </c>
      <c r="S75" s="36"/>
      <c r="T75" s="37"/>
      <c r="U75" s="37"/>
      <c r="V75" s="21"/>
      <c r="W75" s="37"/>
      <c r="X75" s="37"/>
      <c r="Y75" s="38" t="str">
        <f t="shared" si="11"/>
        <v/>
      </c>
      <c r="Z75" s="36"/>
      <c r="AA75" s="37"/>
      <c r="AB75" s="37"/>
      <c r="AC75" s="21"/>
      <c r="AD75" s="37"/>
      <c r="AE75" s="37"/>
      <c r="AF75" s="38" t="str">
        <f t="shared" si="12"/>
        <v/>
      </c>
      <c r="AG75" s="36"/>
      <c r="AH75" s="37"/>
      <c r="AI75" s="37"/>
      <c r="AJ75" s="21"/>
      <c r="AK75" s="37"/>
      <c r="AL75" s="37"/>
      <c r="AM75" s="38" t="str">
        <f t="shared" si="13"/>
        <v/>
      </c>
      <c r="AN75" s="36"/>
      <c r="AO75" s="37"/>
      <c r="AP75" s="37"/>
      <c r="AQ75" s="21"/>
      <c r="AR75" s="37"/>
      <c r="AS75" s="37"/>
      <c r="AT75" s="38" t="str">
        <f t="shared" si="14"/>
        <v/>
      </c>
      <c r="AU75" s="36"/>
      <c r="AV75" s="37"/>
      <c r="AW75" s="37"/>
      <c r="AX75" s="21"/>
      <c r="AY75" s="37"/>
      <c r="AZ75" s="37"/>
      <c r="BA75" s="39" t="str">
        <f t="shared" si="15"/>
        <v/>
      </c>
      <c r="BB75" s="46" t="s">
        <v>411</v>
      </c>
      <c r="BC75" s="31" t="s">
        <v>341</v>
      </c>
      <c r="BD75" s="16" t="s">
        <v>322</v>
      </c>
      <c r="BE75" s="16" t="s">
        <v>311</v>
      </c>
      <c r="BF75" s="244" t="str">
        <f>T_BilanSocial2[[#This Row],[Nom]]&amp;T_BilanSocial2[[#This Row],[Prénom]]</f>
        <v/>
      </c>
    </row>
    <row r="76" spans="1:58" ht="21.75" customHeight="1" x14ac:dyDescent="0.25">
      <c r="A76" s="90">
        <v>151</v>
      </c>
      <c r="B76" s="126" t="s">
        <v>210</v>
      </c>
      <c r="C76" s="126" t="str">
        <f>VLOOKUP(T_BilanSocial2[[#This Row],[NumL]],T_Commission[#Data],COLUMN(T_Commission[FINAL]),FALSE)</f>
        <v/>
      </c>
      <c r="D76" s="19" t="str">
        <f t="shared" si="8"/>
        <v/>
      </c>
      <c r="E76" s="19" t="str">
        <f t="shared" si="9"/>
        <v/>
      </c>
      <c r="F76" s="242" t="str">
        <f>IFERROR(VLOOKUP(T_BilanSocial2[[#This Row],[Zone_Bilan]],T_P_BilanSocial[#Data],COLUMN(T_P_BilanSocial[[#This Row],[Numero_SIHAM]]),FALSE),"")</f>
        <v/>
      </c>
      <c r="G76" s="242" t="str">
        <f>IFERROR(VLOOKUP(T_BilanSocial2[[#This Row],[Zone_Bilan]],T_P_BilanSocial[#Data],COLUMN(T_P_BilanSocial[[#This Row],[Sexe]]),FALSE),"")</f>
        <v/>
      </c>
      <c r="H76" s="243" t="str">
        <f>IFERROR(VLOOKUP(T_BilanSocial2[[#This Row],[Zone_Bilan]],T_P_BilanSocial[#Data],COLUMN(T_P_BilanSocial[[#This Row],[Categorie]]),FALSE),"")</f>
        <v/>
      </c>
      <c r="I76" s="242" t="str">
        <f>IFERROR(VLOOKUP(T_BilanSocial2[[#This Row],[Zone_Bilan]],T_P_BilanSocial[#Data],COLUMN(T_P_BilanSocial[[#This Row],[Statut]]),FALSE),"")</f>
        <v/>
      </c>
      <c r="J76" s="242" t="str">
        <f>IFERROR(VLOOKUP(T_BilanSocial2[[#This Row],[Zone_Bilan]],T_P_BilanSocial[#Data],COLUMN(T_P_BilanSocial[[#This Row],[Filiere]]),FALSE),"")</f>
        <v/>
      </c>
      <c r="K76" s="78">
        <v>1</v>
      </c>
      <c r="L76" s="213">
        <v>1.5451388888888891</v>
      </c>
      <c r="M76" s="78" t="s">
        <v>210</v>
      </c>
      <c r="N76" s="79" t="str">
        <f>IF((AND(T_BilanSocial2[[#This Row],[Nom]]&lt;&gt;"",T_BilanSocial2[[#This Row],[Reg Ponct]]="R")),(COUNTIF(S76:AX76,"S")+COUNTIF(S76:AX76,"T"))/2,"")</f>
        <v/>
      </c>
      <c r="O76" s="79" t="str">
        <f>IF((AND(T_BilanSocial2[[#This Row],[Nom]]&lt;&gt;"",T_BilanSocial2[[#This Row],[Reg Ponct]]="R")),COUNTIF(S76:AX76,"S")/2,"")</f>
        <v/>
      </c>
      <c r="P76" s="80" t="str">
        <f>IF((AND(T_BilanSocial2[[#This Row],[Nom]]&lt;&gt;"",T_BilanSocial2[[#This Row],[Reg Ponct]]="R")),COUNTIF(S76:AX76,"t")/2,"")</f>
        <v/>
      </c>
      <c r="Q76" s="81" t="str">
        <f t="shared" si="10"/>
        <v/>
      </c>
      <c r="R76" s="82" t="str">
        <f>IF((AND(T_BilanSocial2[[#This Row],[Nom]]&lt;&gt;"",T_BilanSocial2[[#This Row],[Reg Ponct]]="R")),IF(S76="T",U76-T76,0)+IF(V76="T",X76-W76,0)+IF(Z76="T",AB76-AA76,0)+IF(AC76="T",AE76-AD76,0)+IF(AG76="T",AI76-AH76,0)+IF(AJ76="T",AL76-AK76,0)+IF(AN76="T",AP76-AO76,0)+IF(AQ76="T",AS76-AR76,0)+IF(AU76="T",AW76-AV76,0)+IF(AX76="T",AZ76-AY76,0),"")</f>
        <v/>
      </c>
      <c r="S76" s="36" t="s">
        <v>306</v>
      </c>
      <c r="T76" s="37">
        <v>0.3125</v>
      </c>
      <c r="U76" s="37">
        <v>0.52083333333333337</v>
      </c>
      <c r="V76" s="21" t="s">
        <v>306</v>
      </c>
      <c r="W76" s="37">
        <v>0.5625</v>
      </c>
      <c r="X76" s="37">
        <v>0.66666666666666663</v>
      </c>
      <c r="Y76" s="38" t="str">
        <f t="shared" si="11"/>
        <v/>
      </c>
      <c r="Z76" s="36" t="s">
        <v>306</v>
      </c>
      <c r="AA76" s="37">
        <v>0.3125</v>
      </c>
      <c r="AB76" s="37">
        <v>0.52083333333333337</v>
      </c>
      <c r="AC76" s="21" t="s">
        <v>306</v>
      </c>
      <c r="AD76" s="37">
        <v>0.5625</v>
      </c>
      <c r="AE76" s="37">
        <v>0.66666666666666663</v>
      </c>
      <c r="AF76" s="38" t="str">
        <f t="shared" si="12"/>
        <v/>
      </c>
      <c r="AG76" s="36" t="s">
        <v>307</v>
      </c>
      <c r="AH76" s="37">
        <v>0.33333333333333331</v>
      </c>
      <c r="AI76" s="37">
        <v>0.52083333333333337</v>
      </c>
      <c r="AJ76" s="21" t="s">
        <v>307</v>
      </c>
      <c r="AK76" s="37">
        <v>0.5625</v>
      </c>
      <c r="AL76" s="37">
        <v>0.67013888888888884</v>
      </c>
      <c r="AM76" s="38" t="str">
        <f t="shared" si="13"/>
        <v/>
      </c>
      <c r="AN76" s="36" t="s">
        <v>306</v>
      </c>
      <c r="AO76" s="37">
        <v>0.3125</v>
      </c>
      <c r="AP76" s="37">
        <v>0.52083333333333337</v>
      </c>
      <c r="AQ76" s="21" t="s">
        <v>306</v>
      </c>
      <c r="AR76" s="37">
        <v>0.5625</v>
      </c>
      <c r="AS76" s="37">
        <v>0.66666666666666663</v>
      </c>
      <c r="AT76" s="38" t="str">
        <f t="shared" si="14"/>
        <v/>
      </c>
      <c r="AU76" s="36" t="s">
        <v>306</v>
      </c>
      <c r="AV76" s="37">
        <v>0.3125</v>
      </c>
      <c r="AW76" s="37">
        <v>0.52083333333333337</v>
      </c>
      <c r="AX76" s="21" t="s">
        <v>306</v>
      </c>
      <c r="AY76" s="37">
        <v>0.5625</v>
      </c>
      <c r="AZ76" s="37">
        <v>0.66666666666666663</v>
      </c>
      <c r="BA76" s="39" t="str">
        <f t="shared" si="15"/>
        <v/>
      </c>
      <c r="BB76" s="46" t="s">
        <v>705</v>
      </c>
      <c r="BC76" s="31" t="s">
        <v>706</v>
      </c>
      <c r="BD76" s="16" t="s">
        <v>322</v>
      </c>
      <c r="BE76" s="16" t="s">
        <v>311</v>
      </c>
      <c r="BF76" s="244" t="str">
        <f>T_BilanSocial2[[#This Row],[Nom]]&amp;T_BilanSocial2[[#This Row],[Prénom]]</f>
        <v/>
      </c>
    </row>
    <row r="77" spans="1:58" ht="21.75" customHeight="1" x14ac:dyDescent="0.25">
      <c r="A77" s="90">
        <v>157</v>
      </c>
      <c r="B77" s="126" t="s">
        <v>311</v>
      </c>
      <c r="C77" s="126" t="str">
        <f>VLOOKUP(T_BilanSocial2[[#This Row],[NumL]],T_Commission[#Data],COLUMN(T_Commission[FINAL]),FALSE)</f>
        <v/>
      </c>
      <c r="D77" s="19" t="str">
        <f t="shared" si="8"/>
        <v/>
      </c>
      <c r="E77" s="19" t="str">
        <f t="shared" si="9"/>
        <v/>
      </c>
      <c r="F77" s="242" t="str">
        <f>IFERROR(VLOOKUP(T_BilanSocial2[[#This Row],[Zone_Bilan]],T_P_BilanSocial[#Data],COLUMN(T_P_BilanSocial[[#This Row],[Numero_SIHAM]]),FALSE),"")</f>
        <v/>
      </c>
      <c r="G77" s="242" t="str">
        <f>IFERROR(VLOOKUP(T_BilanSocial2[[#This Row],[Zone_Bilan]],T_P_BilanSocial[#Data],COLUMN(T_P_BilanSocial[[#This Row],[Sexe]]),FALSE),"")</f>
        <v/>
      </c>
      <c r="H77" s="243" t="str">
        <f>IFERROR(VLOOKUP(T_BilanSocial2[[#This Row],[Zone_Bilan]],T_P_BilanSocial[#Data],COLUMN(T_P_BilanSocial[[#This Row],[Categorie]]),FALSE),"")</f>
        <v/>
      </c>
      <c r="I77" s="242" t="str">
        <f>IFERROR(VLOOKUP(T_BilanSocial2[[#This Row],[Zone_Bilan]],T_P_BilanSocial[#Data],COLUMN(T_P_BilanSocial[[#This Row],[Statut]]),FALSE),"")</f>
        <v/>
      </c>
      <c r="J77" s="242" t="str">
        <f>IFERROR(VLOOKUP(T_BilanSocial2[[#This Row],[Zone_Bilan]],T_P_BilanSocial[#Data],COLUMN(T_P_BilanSocial[[#This Row],[Filiere]]),FALSE),"")</f>
        <v/>
      </c>
      <c r="K77" s="78">
        <v>1</v>
      </c>
      <c r="L77" s="213">
        <v>1.5451388888888891</v>
      </c>
      <c r="M77" s="78" t="s">
        <v>210</v>
      </c>
      <c r="N77" s="79" t="str">
        <f>IF((AND(T_BilanSocial2[[#This Row],[Nom]]&lt;&gt;"",T_BilanSocial2[[#This Row],[Reg Ponct]]="R")),(COUNTIF(S77:AX77,"S")+COUNTIF(S77:AX77,"T"))/2,"")</f>
        <v/>
      </c>
      <c r="O77" s="79" t="str">
        <f>IF((AND(T_BilanSocial2[[#This Row],[Nom]]&lt;&gt;"",T_BilanSocial2[[#This Row],[Reg Ponct]]="R")),COUNTIF(S77:AX77,"S")/2,"")</f>
        <v/>
      </c>
      <c r="P77" s="80" t="str">
        <f>IF((AND(T_BilanSocial2[[#This Row],[Nom]]&lt;&gt;"",T_BilanSocial2[[#This Row],[Reg Ponct]]="R")),COUNTIF(S77:AX77,"t")/2,"")</f>
        <v/>
      </c>
      <c r="Q77" s="81" t="str">
        <f t="shared" si="10"/>
        <v/>
      </c>
      <c r="R77" s="82" t="str">
        <f>IF((AND(T_BilanSocial2[[#This Row],[Nom]]&lt;&gt;"",T_BilanSocial2[[#This Row],[Reg Ponct]]="R")),IF(S77="T",U77-T77,0)+IF(V77="T",X77-W77,0)+IF(Z77="T",AB77-AA77,0)+IF(AC77="T",AE77-AD77,0)+IF(AG77="T",AI77-AH77,0)+IF(AJ77="T",AL77-AK77,0)+IF(AN77="T",AP77-AO77,0)+IF(AQ77="T",AS77-AR77,0)+IF(AU77="T",AW77-AV77,0)+IF(AX77="T",AZ77-AY77,0),"")</f>
        <v/>
      </c>
      <c r="S77" s="36" t="s">
        <v>306</v>
      </c>
      <c r="T77" s="37">
        <v>0.33333333333333331</v>
      </c>
      <c r="U77" s="37">
        <v>0.52083333333333337</v>
      </c>
      <c r="V77" s="21" t="s">
        <v>306</v>
      </c>
      <c r="W77" s="37">
        <v>0.5625</v>
      </c>
      <c r="X77" s="37">
        <v>0.73958333333333337</v>
      </c>
      <c r="Y77" s="38" t="str">
        <f t="shared" si="11"/>
        <v/>
      </c>
      <c r="Z77" s="36" t="s">
        <v>306</v>
      </c>
      <c r="AA77" s="37">
        <v>0.33333333333333331</v>
      </c>
      <c r="AB77" s="37">
        <v>0.52083333333333337</v>
      </c>
      <c r="AC77" s="21" t="s">
        <v>307</v>
      </c>
      <c r="AD77" s="37">
        <v>0.5625</v>
      </c>
      <c r="AE77" s="37">
        <v>0.73958333333333337</v>
      </c>
      <c r="AF77" s="38" t="str">
        <f t="shared" si="12"/>
        <v/>
      </c>
      <c r="AG77" s="36" t="s">
        <v>306</v>
      </c>
      <c r="AH77" s="37">
        <v>0.33333333333333331</v>
      </c>
      <c r="AI77" s="37">
        <v>0.52083333333333337</v>
      </c>
      <c r="AJ77" s="21" t="s">
        <v>306</v>
      </c>
      <c r="AK77" s="37">
        <v>0.5625</v>
      </c>
      <c r="AL77" s="37">
        <v>0.6875</v>
      </c>
      <c r="AM77" s="38" t="str">
        <f t="shared" si="13"/>
        <v/>
      </c>
      <c r="AN77" s="36" t="s">
        <v>307</v>
      </c>
      <c r="AO77" s="37">
        <v>0.33333333333333331</v>
      </c>
      <c r="AP77" s="37">
        <v>0.52083333333333337</v>
      </c>
      <c r="AQ77" s="21" t="s">
        <v>307</v>
      </c>
      <c r="AR77" s="37">
        <v>0.5625</v>
      </c>
      <c r="AS77" s="37">
        <v>0.6875</v>
      </c>
      <c r="AT77" s="38" t="str">
        <f t="shared" si="14"/>
        <v/>
      </c>
      <c r="AU77" s="36" t="s">
        <v>307</v>
      </c>
      <c r="AV77" s="37">
        <v>0.33333333333333331</v>
      </c>
      <c r="AW77" s="37">
        <v>0.52430555555555558</v>
      </c>
      <c r="AX77" s="21" t="s">
        <v>308</v>
      </c>
      <c r="AY77" s="37"/>
      <c r="AZ77" s="37"/>
      <c r="BA77" s="39" t="str">
        <f t="shared" si="15"/>
        <v/>
      </c>
      <c r="BB77" s="46" t="s">
        <v>508</v>
      </c>
      <c r="BC77" s="31" t="s">
        <v>509</v>
      </c>
      <c r="BD77" s="16" t="s">
        <v>311</v>
      </c>
      <c r="BE77" s="16" t="s">
        <v>311</v>
      </c>
      <c r="BF77" s="244" t="str">
        <f>T_BilanSocial2[[#This Row],[Nom]]&amp;T_BilanSocial2[[#This Row],[Prénom]]</f>
        <v/>
      </c>
    </row>
    <row r="78" spans="1:58" ht="21.75" hidden="1" customHeight="1" x14ac:dyDescent="0.25">
      <c r="A78" s="90">
        <v>39</v>
      </c>
      <c r="B78" s="126" t="s">
        <v>210</v>
      </c>
      <c r="C78" s="126" t="str">
        <f>VLOOKUP(T_BilanSocial2[[#This Row],[NumL]],T_Commission[#Data],COLUMN(T_Commission[FINAL]),FALSE)</f>
        <v/>
      </c>
      <c r="D78" s="19" t="str">
        <f t="shared" si="8"/>
        <v/>
      </c>
      <c r="E78" s="19" t="str">
        <f t="shared" si="9"/>
        <v/>
      </c>
      <c r="F78" s="242" t="str">
        <f>IFERROR(VLOOKUP(T_BilanSocial2[[#This Row],[Zone_Bilan]],T_P_BilanSocial[#Data],COLUMN(T_P_BilanSocial[[#This Row],[Numero_SIHAM]]),FALSE),"")</f>
        <v/>
      </c>
      <c r="G78" s="242" t="str">
        <f>IFERROR(VLOOKUP(T_BilanSocial2[[#This Row],[Zone_Bilan]],T_P_BilanSocial[#Data],COLUMN(T_P_BilanSocial[[#This Row],[Sexe]]),FALSE),"")</f>
        <v/>
      </c>
      <c r="H78" s="243" t="str">
        <f>IFERROR(VLOOKUP(T_BilanSocial2[[#This Row],[Zone_Bilan]],T_P_BilanSocial[#Data],COLUMN(T_P_BilanSocial[[#This Row],[Categorie]]),FALSE),"")</f>
        <v/>
      </c>
      <c r="I78" s="242" t="str">
        <f>IFERROR(VLOOKUP(T_BilanSocial2[[#This Row],[Zone_Bilan]],T_P_BilanSocial[#Data],COLUMN(T_P_BilanSocial[[#This Row],[Statut]]),FALSE),"")</f>
        <v/>
      </c>
      <c r="J78" s="242" t="str">
        <f>IFERROR(VLOOKUP(T_BilanSocial2[[#This Row],[Zone_Bilan]],T_P_BilanSocial[#Data],COLUMN(T_P_BilanSocial[[#This Row],[Filiere]]),FALSE),"")</f>
        <v/>
      </c>
      <c r="K78" s="78">
        <v>1</v>
      </c>
      <c r="L78" s="213">
        <v>1.5451388888888891</v>
      </c>
      <c r="M78" s="78" t="s">
        <v>210</v>
      </c>
      <c r="N78" s="79" t="str">
        <f>IF((AND(T_BilanSocial2[[#This Row],[Nom]]&lt;&gt;"",T_BilanSocial2[[#This Row],[Reg Ponct]]="R")),(COUNTIF(S78:AX78,"S")+COUNTIF(S78:AX78,"T"))/2,"")</f>
        <v/>
      </c>
      <c r="O78" s="79" t="str">
        <f>IF((AND(T_BilanSocial2[[#This Row],[Nom]]&lt;&gt;"",T_BilanSocial2[[#This Row],[Reg Ponct]]="R")),COUNTIF(S78:AX78,"S")/2,"")</f>
        <v/>
      </c>
      <c r="P78" s="80" t="str">
        <f>IF((AND(T_BilanSocial2[[#This Row],[Nom]]&lt;&gt;"",T_BilanSocial2[[#This Row],[Reg Ponct]]="R")),COUNTIF(S78:AX78,"t")/2,"")</f>
        <v/>
      </c>
      <c r="Q78" s="81" t="str">
        <f t="shared" si="10"/>
        <v/>
      </c>
      <c r="R78" s="82" t="str">
        <f>IF((AND(T_BilanSocial2[[#This Row],[Nom]]&lt;&gt;"",T_BilanSocial2[[#This Row],[Reg Ponct]]="R")),IF(S78="T",U78-T78,0)+IF(V78="T",X78-W78,0)+IF(Z78="T",AB78-AA78,0)+IF(AC78="T",AE78-AD78,0)+IF(AG78="T",AI78-AH78,0)+IF(AJ78="T",AL78-AK78,0)+IF(AN78="T",AP78-AO78,0)+IF(AQ78="T",AS78-AR78,0)+IF(AU78="T",AW78-AV78,0)+IF(AX78="T",AZ78-AY78,0),"")</f>
        <v/>
      </c>
      <c r="S78" s="36" t="s">
        <v>306</v>
      </c>
      <c r="T78" s="37">
        <v>0.33333333333333331</v>
      </c>
      <c r="U78" s="37">
        <v>0.5</v>
      </c>
      <c r="V78" s="21" t="s">
        <v>306</v>
      </c>
      <c r="W78" s="37">
        <v>0.54166666666666663</v>
      </c>
      <c r="X78" s="37">
        <v>0.69444444444444453</v>
      </c>
      <c r="Y78" s="38" t="str">
        <f t="shared" si="11"/>
        <v/>
      </c>
      <c r="Z78" s="36" t="s">
        <v>306</v>
      </c>
      <c r="AA78" s="37">
        <v>0.33333333333333331</v>
      </c>
      <c r="AB78" s="37">
        <v>0.5</v>
      </c>
      <c r="AC78" s="21" t="s">
        <v>306</v>
      </c>
      <c r="AD78" s="37">
        <v>0.54166666666666663</v>
      </c>
      <c r="AE78" s="37">
        <v>0.69444444444444453</v>
      </c>
      <c r="AF78" s="38" t="str">
        <f t="shared" si="12"/>
        <v/>
      </c>
      <c r="AG78" s="36" t="s">
        <v>307</v>
      </c>
      <c r="AH78" s="37">
        <v>0.33333333333333331</v>
      </c>
      <c r="AI78" s="37">
        <v>0.52083333333333337</v>
      </c>
      <c r="AJ78" s="21" t="s">
        <v>308</v>
      </c>
      <c r="AK78" s="37"/>
      <c r="AL78" s="37"/>
      <c r="AM78" s="38" t="str">
        <f t="shared" si="13"/>
        <v/>
      </c>
      <c r="AN78" s="36" t="s">
        <v>306</v>
      </c>
      <c r="AO78" s="37">
        <v>0.33333333333333331</v>
      </c>
      <c r="AP78" s="37">
        <v>0.5</v>
      </c>
      <c r="AQ78" s="21" t="s">
        <v>306</v>
      </c>
      <c r="AR78" s="37">
        <v>0.54166666666666663</v>
      </c>
      <c r="AS78" s="37">
        <v>0.71875</v>
      </c>
      <c r="AT78" s="38" t="str">
        <f t="shared" si="14"/>
        <v/>
      </c>
      <c r="AU78" s="36" t="s">
        <v>307</v>
      </c>
      <c r="AV78" s="37">
        <v>0.3125</v>
      </c>
      <c r="AW78" s="37">
        <v>0.5</v>
      </c>
      <c r="AX78" s="21" t="s">
        <v>307</v>
      </c>
      <c r="AY78" s="37">
        <v>0.54166666666666663</v>
      </c>
      <c r="AZ78" s="37">
        <v>0.72916666666666663</v>
      </c>
      <c r="BA78" s="39" t="str">
        <f t="shared" si="15"/>
        <v/>
      </c>
      <c r="BB78" s="46" t="s">
        <v>503</v>
      </c>
      <c r="BC78" s="31" t="s">
        <v>504</v>
      </c>
      <c r="BD78" s="16" t="s">
        <v>322</v>
      </c>
      <c r="BE78" s="16" t="s">
        <v>322</v>
      </c>
      <c r="BF78" s="244" t="str">
        <f>T_BilanSocial2[[#This Row],[Nom]]&amp;T_BilanSocial2[[#This Row],[Prénom]]</f>
        <v/>
      </c>
    </row>
    <row r="79" spans="1:58" ht="21.75" hidden="1" customHeight="1" x14ac:dyDescent="0.25">
      <c r="A79" s="90">
        <v>279</v>
      </c>
      <c r="B79" s="126" t="s">
        <v>311</v>
      </c>
      <c r="C79" s="126" t="str">
        <f>VLOOKUP(T_BilanSocial2[[#This Row],[NumL]],T_Commission[#Data],COLUMN(T_Commission[FINAL]),FALSE)</f>
        <v/>
      </c>
      <c r="D79" s="19" t="str">
        <f t="shared" si="8"/>
        <v/>
      </c>
      <c r="E79" s="19" t="str">
        <f t="shared" si="9"/>
        <v/>
      </c>
      <c r="F79" s="242" t="str">
        <f>IFERROR(VLOOKUP(T_BilanSocial2[[#This Row],[Zone_Bilan]],T_P_BilanSocial[#Data],COLUMN(T_P_BilanSocial[[#This Row],[Numero_SIHAM]]),FALSE),"")</f>
        <v/>
      </c>
      <c r="G79" s="242" t="str">
        <f>IFERROR(VLOOKUP(T_BilanSocial2[[#This Row],[Zone_Bilan]],T_P_BilanSocial[#Data],COLUMN(T_P_BilanSocial[[#This Row],[Sexe]]),FALSE),"")</f>
        <v/>
      </c>
      <c r="H79" s="243" t="str">
        <f>IFERROR(VLOOKUP(T_BilanSocial2[[#This Row],[Zone_Bilan]],T_P_BilanSocial[#Data],COLUMN(T_P_BilanSocial[[#This Row],[Categorie]]),FALSE),"")</f>
        <v/>
      </c>
      <c r="I79" s="242" t="str">
        <f>IFERROR(VLOOKUP(T_BilanSocial2[[#This Row],[Zone_Bilan]],T_P_BilanSocial[#Data],COLUMN(T_P_BilanSocial[[#This Row],[Statut]]),FALSE),"")</f>
        <v/>
      </c>
      <c r="J79" s="242" t="str">
        <f>IFERROR(VLOOKUP(T_BilanSocial2[[#This Row],[Zone_Bilan]],T_P_BilanSocial[#Data],COLUMN(T_P_BilanSocial[[#This Row],[Filiere]]),FALSE),"")</f>
        <v/>
      </c>
      <c r="K79" s="78"/>
      <c r="L79" s="213"/>
      <c r="M79" s="78"/>
      <c r="N79" s="79" t="str">
        <f>IF((AND(T_BilanSocial2[[#This Row],[Nom]]&lt;&gt;"",T_BilanSocial2[[#This Row],[Reg Ponct]]="R")),(COUNTIF(S79:AX79,"S")+COUNTIF(S79:AX79,"T"))/2,"")</f>
        <v/>
      </c>
      <c r="O79" s="79" t="str">
        <f>IF((AND(T_BilanSocial2[[#This Row],[Nom]]&lt;&gt;"",T_BilanSocial2[[#This Row],[Reg Ponct]]="R")),COUNTIF(S79:AX79,"S")/2,"")</f>
        <v/>
      </c>
      <c r="P79" s="80" t="str">
        <f>IF((AND(T_BilanSocial2[[#This Row],[Nom]]&lt;&gt;"",T_BilanSocial2[[#This Row],[Reg Ponct]]="R")),COUNTIF(S79:AX79,"t")/2,"")</f>
        <v/>
      </c>
      <c r="Q79" s="81" t="str">
        <f t="shared" si="10"/>
        <v/>
      </c>
      <c r="R79" s="82" t="str">
        <f>IF((AND(T_BilanSocial2[[#This Row],[Nom]]&lt;&gt;"",T_BilanSocial2[[#This Row],[Reg Ponct]]="R")),IF(S79="T",U79-T79,0)+IF(V79="T",X79-W79,0)+IF(Z79="T",AB79-AA79,0)+IF(AC79="T",AE79-AD79,0)+IF(AG79="T",AI79-AH79,0)+IF(AJ79="T",AL79-AK79,0)+IF(AN79="T",AP79-AO79,0)+IF(AQ79="T",AS79-AR79,0)+IF(AU79="T",AW79-AV79,0)+IF(AX79="T",AZ79-AY79,0),"")</f>
        <v/>
      </c>
      <c r="S79" s="36"/>
      <c r="T79" s="37"/>
      <c r="U79" s="37"/>
      <c r="V79" s="21"/>
      <c r="W79" s="37"/>
      <c r="X79" s="37"/>
      <c r="Y79" s="38" t="str">
        <f t="shared" si="11"/>
        <v/>
      </c>
      <c r="Z79" s="36"/>
      <c r="AA79" s="37"/>
      <c r="AB79" s="37"/>
      <c r="AC79" s="21"/>
      <c r="AD79" s="37"/>
      <c r="AE79" s="37"/>
      <c r="AF79" s="38" t="str">
        <f t="shared" si="12"/>
        <v/>
      </c>
      <c r="AG79" s="36"/>
      <c r="AH79" s="37"/>
      <c r="AI79" s="37"/>
      <c r="AJ79" s="21"/>
      <c r="AK79" s="37"/>
      <c r="AL79" s="37"/>
      <c r="AM79" s="38" t="str">
        <f t="shared" si="13"/>
        <v/>
      </c>
      <c r="AN79" s="36"/>
      <c r="AO79" s="37"/>
      <c r="AP79" s="37"/>
      <c r="AQ79" s="21"/>
      <c r="AR79" s="37"/>
      <c r="AS79" s="37"/>
      <c r="AT79" s="38" t="str">
        <f t="shared" si="14"/>
        <v/>
      </c>
      <c r="AU79" s="36"/>
      <c r="AV79" s="37"/>
      <c r="AW79" s="37"/>
      <c r="AX79" s="21"/>
      <c r="AY79" s="37"/>
      <c r="AZ79" s="37"/>
      <c r="BA79" s="39" t="str">
        <f t="shared" si="15"/>
        <v/>
      </c>
      <c r="BB79" s="46"/>
      <c r="BC79" s="31"/>
      <c r="BD79" s="16"/>
      <c r="BE79" s="16"/>
      <c r="BF79" s="244" t="str">
        <f>T_BilanSocial2[[#This Row],[Nom]]&amp;T_BilanSocial2[[#This Row],[Prénom]]</f>
        <v/>
      </c>
    </row>
    <row r="80" spans="1:58" ht="21.75" hidden="1" customHeight="1" x14ac:dyDescent="0.25">
      <c r="A80" s="90">
        <v>286</v>
      </c>
      <c r="B80" s="126" t="s">
        <v>311</v>
      </c>
      <c r="C80" s="126" t="str">
        <f>VLOOKUP(T_BilanSocial2[[#This Row],[NumL]],T_Commission[#Data],COLUMN(T_Commission[FINAL]),FALSE)</f>
        <v/>
      </c>
      <c r="D80" s="19" t="str">
        <f t="shared" si="8"/>
        <v/>
      </c>
      <c r="E80" s="19" t="str">
        <f t="shared" si="9"/>
        <v/>
      </c>
      <c r="F80" s="242" t="str">
        <f>IFERROR(VLOOKUP(T_BilanSocial2[[#This Row],[Zone_Bilan]],T_P_BilanSocial[#Data],COLUMN(T_P_BilanSocial[[#This Row],[Numero_SIHAM]]),FALSE),"")</f>
        <v/>
      </c>
      <c r="G80" s="242" t="str">
        <f>IFERROR(VLOOKUP(T_BilanSocial2[[#This Row],[Zone_Bilan]],T_P_BilanSocial[#Data],COLUMN(T_P_BilanSocial[[#This Row],[Sexe]]),FALSE),"")</f>
        <v/>
      </c>
      <c r="H80" s="243" t="str">
        <f>IFERROR(VLOOKUP(T_BilanSocial2[[#This Row],[Zone_Bilan]],T_P_BilanSocial[#Data],COLUMN(T_P_BilanSocial[[#This Row],[Categorie]]),FALSE),"")</f>
        <v/>
      </c>
      <c r="I80" s="242" t="str">
        <f>IFERROR(VLOOKUP(T_BilanSocial2[[#This Row],[Zone_Bilan]],T_P_BilanSocial[#Data],COLUMN(T_P_BilanSocial[[#This Row],[Statut]]),FALSE),"")</f>
        <v/>
      </c>
      <c r="J80" s="242" t="str">
        <f>IFERROR(VLOOKUP(T_BilanSocial2[[#This Row],[Zone_Bilan]],T_P_BilanSocial[#Data],COLUMN(T_P_BilanSocial[[#This Row],[Filiere]]),FALSE),"")</f>
        <v/>
      </c>
      <c r="K80" s="78">
        <v>1</v>
      </c>
      <c r="L80" s="213">
        <v>1.5451388888888891</v>
      </c>
      <c r="M80" s="78" t="s">
        <v>211</v>
      </c>
      <c r="N80" s="79" t="str">
        <f>IF((AND(T_BilanSocial2[[#This Row],[Nom]]&lt;&gt;"",T_BilanSocial2[[#This Row],[Reg Ponct]]="R")),(COUNTIF(S80:AX80,"S")+COUNTIF(S80:AX80,"T"))/2,"")</f>
        <v/>
      </c>
      <c r="O80" s="79" t="str">
        <f>IF((AND(T_BilanSocial2[[#This Row],[Nom]]&lt;&gt;"",T_BilanSocial2[[#This Row],[Reg Ponct]]="R")),COUNTIF(S80:AX80,"S")/2,"")</f>
        <v/>
      </c>
      <c r="P80" s="80" t="str">
        <f>IF((AND(T_BilanSocial2[[#This Row],[Nom]]&lt;&gt;"",T_BilanSocial2[[#This Row],[Reg Ponct]]="R")),COUNTIF(S80:AX80,"t")/2,"")</f>
        <v/>
      </c>
      <c r="Q80" s="81" t="str">
        <f t="shared" si="10"/>
        <v/>
      </c>
      <c r="R80" s="82" t="str">
        <f>IF((AND(T_BilanSocial2[[#This Row],[Nom]]&lt;&gt;"",T_BilanSocial2[[#This Row],[Reg Ponct]]="R")),IF(S80="T",U80-T80,0)+IF(V80="T",X80-W80,0)+IF(Z80="T",AB80-AA80,0)+IF(AC80="T",AE80-AD80,0)+IF(AG80="T",AI80-AH80,0)+IF(AJ80="T",AL80-AK80,0)+IF(AN80="T",AP80-AO80,0)+IF(AQ80="T",AS80-AR80,0)+IF(AU80="T",AW80-AV80,0)+IF(AX80="T",AZ80-AY80,0),"")</f>
        <v/>
      </c>
      <c r="S80" s="36"/>
      <c r="T80" s="37"/>
      <c r="U80" s="37"/>
      <c r="V80" s="21"/>
      <c r="W80" s="37"/>
      <c r="X80" s="37"/>
      <c r="Y80" s="38" t="str">
        <f t="shared" si="11"/>
        <v/>
      </c>
      <c r="Z80" s="36"/>
      <c r="AA80" s="37"/>
      <c r="AB80" s="37"/>
      <c r="AC80" s="21"/>
      <c r="AD80" s="37"/>
      <c r="AE80" s="37"/>
      <c r="AF80" s="38" t="str">
        <f t="shared" si="12"/>
        <v/>
      </c>
      <c r="AG80" s="36"/>
      <c r="AH80" s="37"/>
      <c r="AI80" s="37"/>
      <c r="AJ80" s="21"/>
      <c r="AK80" s="37"/>
      <c r="AL80" s="37"/>
      <c r="AM80" s="38" t="str">
        <f t="shared" si="13"/>
        <v/>
      </c>
      <c r="AN80" s="36"/>
      <c r="AO80" s="37"/>
      <c r="AP80" s="37"/>
      <c r="AQ80" s="21"/>
      <c r="AR80" s="37"/>
      <c r="AS80" s="37"/>
      <c r="AT80" s="38" t="str">
        <f t="shared" si="14"/>
        <v/>
      </c>
      <c r="AU80" s="36"/>
      <c r="AV80" s="37"/>
      <c r="AW80" s="37"/>
      <c r="AX80" s="21"/>
      <c r="AY80" s="37"/>
      <c r="AZ80" s="37"/>
      <c r="BA80" s="39" t="str">
        <f t="shared" si="15"/>
        <v/>
      </c>
      <c r="BB80" s="46" t="s">
        <v>420</v>
      </c>
      <c r="BC80" s="31" t="s">
        <v>421</v>
      </c>
      <c r="BD80" s="16" t="s">
        <v>311</v>
      </c>
      <c r="BE80" s="16" t="s">
        <v>311</v>
      </c>
      <c r="BF80" s="244" t="str">
        <f>T_BilanSocial2[[#This Row],[Nom]]&amp;T_BilanSocial2[[#This Row],[Prénom]]</f>
        <v/>
      </c>
    </row>
    <row r="81" spans="1:58" ht="21.75" hidden="1" customHeight="1" x14ac:dyDescent="0.25">
      <c r="A81" s="90">
        <v>96</v>
      </c>
      <c r="B81" s="126" t="s">
        <v>210</v>
      </c>
      <c r="C81" s="126" t="str">
        <f>VLOOKUP(T_BilanSocial2[[#This Row],[NumL]],T_Commission[#Data],COLUMN(T_Commission[FINAL]),FALSE)</f>
        <v/>
      </c>
      <c r="D81" s="19" t="str">
        <f t="shared" si="8"/>
        <v/>
      </c>
      <c r="E81" s="19" t="str">
        <f t="shared" si="9"/>
        <v/>
      </c>
      <c r="F81" s="242" t="str">
        <f>IFERROR(VLOOKUP(T_BilanSocial2[[#This Row],[Zone_Bilan]],T_P_BilanSocial[#Data],COLUMN(T_P_BilanSocial[[#This Row],[Numero_SIHAM]]),FALSE),"")</f>
        <v/>
      </c>
      <c r="G81" s="242" t="str">
        <f>IFERROR(VLOOKUP(T_BilanSocial2[[#This Row],[Zone_Bilan]],T_P_BilanSocial[#Data],COLUMN(T_P_BilanSocial[[#This Row],[Sexe]]),FALSE),"")</f>
        <v/>
      </c>
      <c r="H81" s="243" t="str">
        <f>IFERROR(VLOOKUP(T_BilanSocial2[[#This Row],[Zone_Bilan]],T_P_BilanSocial[#Data],COLUMN(T_P_BilanSocial[[#This Row],[Categorie]]),FALSE),"")</f>
        <v/>
      </c>
      <c r="I81" s="242" t="str">
        <f>IFERROR(VLOOKUP(T_BilanSocial2[[#This Row],[Zone_Bilan]],T_P_BilanSocial[#Data],COLUMN(T_P_BilanSocial[[#This Row],[Statut]]),FALSE),"")</f>
        <v/>
      </c>
      <c r="J81" s="242" t="str">
        <f>IFERROR(VLOOKUP(T_BilanSocial2[[#This Row],[Zone_Bilan]],T_P_BilanSocial[#Data],COLUMN(T_P_BilanSocial[[#This Row],[Filiere]]),FALSE),"")</f>
        <v/>
      </c>
      <c r="K81" s="78">
        <v>1</v>
      </c>
      <c r="L81" s="213">
        <v>1.5451388888888891</v>
      </c>
      <c r="M81" s="78" t="s">
        <v>210</v>
      </c>
      <c r="N81" s="79" t="str">
        <f>IF((AND(T_BilanSocial2[[#This Row],[Nom]]&lt;&gt;"",T_BilanSocial2[[#This Row],[Reg Ponct]]="R")),(COUNTIF(S81:AX81,"S")+COUNTIF(S81:AX81,"T"))/2,"")</f>
        <v/>
      </c>
      <c r="O81" s="79" t="str">
        <f>IF((AND(T_BilanSocial2[[#This Row],[Nom]]&lt;&gt;"",T_BilanSocial2[[#This Row],[Reg Ponct]]="R")),COUNTIF(S81:AX81,"S")/2,"")</f>
        <v/>
      </c>
      <c r="P81" s="80" t="str">
        <f>IF((AND(T_BilanSocial2[[#This Row],[Nom]]&lt;&gt;"",T_BilanSocial2[[#This Row],[Reg Ponct]]="R")),COUNTIF(S81:AX81,"t")/2,"")</f>
        <v/>
      </c>
      <c r="Q81" s="81" t="str">
        <f t="shared" si="10"/>
        <v/>
      </c>
      <c r="R81" s="82" t="str">
        <f>IF((AND(T_BilanSocial2[[#This Row],[Nom]]&lt;&gt;"",T_BilanSocial2[[#This Row],[Reg Ponct]]="R")),IF(S81="T",U81-T81,0)+IF(V81="T",X81-W81,0)+IF(Z81="T",AB81-AA81,0)+IF(AC81="T",AE81-AD81,0)+IF(AG81="T",AI81-AH81,0)+IF(AJ81="T",AL81-AK81,0)+IF(AN81="T",AP81-AO81,0)+IF(AQ81="T",AS81-AR81,0)+IF(AU81="T",AW81-AV81,0)+IF(AX81="T",AZ81-AY81,0),"")</f>
        <v/>
      </c>
      <c r="S81" s="36" t="s">
        <v>306</v>
      </c>
      <c r="T81" s="37">
        <v>0.375</v>
      </c>
      <c r="U81" s="37">
        <v>0.52083333333333337</v>
      </c>
      <c r="V81" s="21" t="s">
        <v>306</v>
      </c>
      <c r="W81" s="37">
        <v>0.5625</v>
      </c>
      <c r="X81" s="37">
        <v>0.76041666666666663</v>
      </c>
      <c r="Y81" s="38" t="str">
        <f t="shared" si="11"/>
        <v/>
      </c>
      <c r="Z81" s="36" t="s">
        <v>306</v>
      </c>
      <c r="AA81" s="37">
        <v>0.375</v>
      </c>
      <c r="AB81" s="37">
        <v>0.52083333333333337</v>
      </c>
      <c r="AC81" s="21" t="s">
        <v>306</v>
      </c>
      <c r="AD81" s="37">
        <v>0.5625</v>
      </c>
      <c r="AE81" s="37">
        <v>0.77083333333333337</v>
      </c>
      <c r="AF81" s="38" t="str">
        <f t="shared" si="12"/>
        <v/>
      </c>
      <c r="AG81" s="36" t="s">
        <v>307</v>
      </c>
      <c r="AH81" s="37">
        <v>0.375</v>
      </c>
      <c r="AI81" s="37">
        <v>0.54166666666666663</v>
      </c>
      <c r="AJ81" s="21" t="s">
        <v>308</v>
      </c>
      <c r="AK81" s="37"/>
      <c r="AL81" s="37"/>
      <c r="AM81" s="38" t="str">
        <f t="shared" si="13"/>
        <v/>
      </c>
      <c r="AN81" s="36" t="s">
        <v>306</v>
      </c>
      <c r="AO81" s="37">
        <v>0.375</v>
      </c>
      <c r="AP81" s="37">
        <v>0.52083333333333337</v>
      </c>
      <c r="AQ81" s="21" t="s">
        <v>306</v>
      </c>
      <c r="AR81" s="37">
        <v>0.5625</v>
      </c>
      <c r="AS81" s="37">
        <v>0.77083333333333337</v>
      </c>
      <c r="AT81" s="38" t="str">
        <f t="shared" si="14"/>
        <v/>
      </c>
      <c r="AU81" s="36" t="s">
        <v>307</v>
      </c>
      <c r="AV81" s="37">
        <v>0.375</v>
      </c>
      <c r="AW81" s="37">
        <v>0.52083333333333337</v>
      </c>
      <c r="AX81" s="21" t="s">
        <v>307</v>
      </c>
      <c r="AY81" s="37">
        <v>0.5625</v>
      </c>
      <c r="AZ81" s="37">
        <v>0.74305555555555547</v>
      </c>
      <c r="BA81" s="39" t="str">
        <f t="shared" si="15"/>
        <v/>
      </c>
      <c r="BB81" s="46" t="s">
        <v>611</v>
      </c>
      <c r="BC81" s="31" t="s">
        <v>341</v>
      </c>
      <c r="BD81" s="16" t="s">
        <v>322</v>
      </c>
      <c r="BE81" s="16" t="s">
        <v>322</v>
      </c>
      <c r="BF81" s="244" t="str">
        <f>T_BilanSocial2[[#This Row],[Nom]]&amp;T_BilanSocial2[[#This Row],[Prénom]]</f>
        <v/>
      </c>
    </row>
    <row r="82" spans="1:58" ht="21.75" hidden="1" customHeight="1" x14ac:dyDescent="0.25">
      <c r="A82" s="90">
        <v>24</v>
      </c>
      <c r="B82" s="126" t="s">
        <v>311</v>
      </c>
      <c r="C82" s="126" t="str">
        <f>VLOOKUP(T_BilanSocial2[[#This Row],[NumL]],T_Commission[#Data],COLUMN(T_Commission[FINAL]),FALSE)</f>
        <v/>
      </c>
      <c r="D82" s="19" t="str">
        <f t="shared" si="8"/>
        <v/>
      </c>
      <c r="E82" s="19" t="str">
        <f t="shared" si="9"/>
        <v/>
      </c>
      <c r="F82" s="242" t="str">
        <f>IFERROR(VLOOKUP(T_BilanSocial2[[#This Row],[Zone_Bilan]],T_P_BilanSocial[#Data],COLUMN(T_P_BilanSocial[[#This Row],[Numero_SIHAM]]),FALSE),"")</f>
        <v/>
      </c>
      <c r="G82" s="242" t="str">
        <f>IFERROR(VLOOKUP(T_BilanSocial2[[#This Row],[Zone_Bilan]],T_P_BilanSocial[#Data],COLUMN(T_P_BilanSocial[[#This Row],[Sexe]]),FALSE),"")</f>
        <v/>
      </c>
      <c r="H82" s="243" t="str">
        <f>IFERROR(VLOOKUP(T_BilanSocial2[[#This Row],[Zone_Bilan]],T_P_BilanSocial[#Data],COLUMN(T_P_BilanSocial[[#This Row],[Categorie]]),FALSE),"")</f>
        <v/>
      </c>
      <c r="I82" s="242" t="str">
        <f>IFERROR(VLOOKUP(T_BilanSocial2[[#This Row],[Zone_Bilan]],T_P_BilanSocial[#Data],COLUMN(T_P_BilanSocial[[#This Row],[Statut]]),FALSE),"")</f>
        <v/>
      </c>
      <c r="J82" s="242" t="str">
        <f>IFERROR(VLOOKUP(T_BilanSocial2[[#This Row],[Zone_Bilan]],T_P_BilanSocial[#Data],COLUMN(T_P_BilanSocial[[#This Row],[Filiere]]),FALSE),"")</f>
        <v/>
      </c>
      <c r="K82" s="78">
        <v>1</v>
      </c>
      <c r="L82" s="213">
        <v>1.4583333333333333</v>
      </c>
      <c r="M82" s="78" t="s">
        <v>210</v>
      </c>
      <c r="N82" s="79" t="str">
        <f>IF((AND(T_BilanSocial2[[#This Row],[Nom]]&lt;&gt;"",T_BilanSocial2[[#This Row],[Reg Ponct]]="R")),(COUNTIF(S82:AX82,"S")+COUNTIF(S82:AX82,"T"))/2,"")</f>
        <v/>
      </c>
      <c r="O82" s="79" t="str">
        <f>IF((AND(T_BilanSocial2[[#This Row],[Nom]]&lt;&gt;"",T_BilanSocial2[[#This Row],[Reg Ponct]]="R")),COUNTIF(S82:AX82,"S")/2,"")</f>
        <v/>
      </c>
      <c r="P82" s="80" t="str">
        <f>IF((AND(T_BilanSocial2[[#This Row],[Nom]]&lt;&gt;"",T_BilanSocial2[[#This Row],[Reg Ponct]]="R")),COUNTIF(S82:AX82,"t")/2,"")</f>
        <v/>
      </c>
      <c r="Q82" s="81" t="str">
        <f t="shared" si="10"/>
        <v/>
      </c>
      <c r="R82" s="82" t="str">
        <f>IF((AND(T_BilanSocial2[[#This Row],[Nom]]&lt;&gt;"",T_BilanSocial2[[#This Row],[Reg Ponct]]="R")),IF(S82="T",U82-T82,0)+IF(V82="T",X82-W82,0)+IF(Z82="T",AB82-AA82,0)+IF(AC82="T",AE82-AD82,0)+IF(AG82="T",AI82-AH82,0)+IF(AJ82="T",AL82-AK82,0)+IF(AN82="T",AP82-AO82,0)+IF(AQ82="T",AS82-AR82,0)+IF(AU82="T",AW82-AV82,0)+IF(AX82="T",AZ82-AY82,0),"")</f>
        <v/>
      </c>
      <c r="S82" s="36" t="s">
        <v>306</v>
      </c>
      <c r="T82" s="37">
        <v>0.33680555555555558</v>
      </c>
      <c r="U82" s="37">
        <v>0.52083333333333337</v>
      </c>
      <c r="V82" s="21" t="s">
        <v>306</v>
      </c>
      <c r="W82" s="37">
        <v>0.5625</v>
      </c>
      <c r="X82" s="37">
        <v>0.69791666666666663</v>
      </c>
      <c r="Y82" s="38" t="str">
        <f t="shared" si="11"/>
        <v/>
      </c>
      <c r="Z82" s="36" t="s">
        <v>306</v>
      </c>
      <c r="AA82" s="37">
        <v>0.34027777777777773</v>
      </c>
      <c r="AB82" s="37">
        <v>0.52083333333333337</v>
      </c>
      <c r="AC82" s="21" t="s">
        <v>306</v>
      </c>
      <c r="AD82" s="37">
        <v>0.5625</v>
      </c>
      <c r="AE82" s="37">
        <v>0.69791666666666663</v>
      </c>
      <c r="AF82" s="38" t="str">
        <f t="shared" si="12"/>
        <v/>
      </c>
      <c r="AG82" s="36" t="s">
        <v>307</v>
      </c>
      <c r="AH82" s="37">
        <v>0.33333333333333331</v>
      </c>
      <c r="AI82" s="37">
        <v>0.52083333333333337</v>
      </c>
      <c r="AJ82" s="21" t="s">
        <v>308</v>
      </c>
      <c r="AK82" s="37"/>
      <c r="AL82" s="37"/>
      <c r="AM82" s="38" t="str">
        <f t="shared" si="13"/>
        <v/>
      </c>
      <c r="AN82" s="36" t="s">
        <v>306</v>
      </c>
      <c r="AO82" s="37">
        <v>0.34027777777777773</v>
      </c>
      <c r="AP82" s="37">
        <v>0.52083333333333337</v>
      </c>
      <c r="AQ82" s="21" t="s">
        <v>306</v>
      </c>
      <c r="AR82" s="37">
        <v>0.5625</v>
      </c>
      <c r="AS82" s="37">
        <v>0.69791666666666663</v>
      </c>
      <c r="AT82" s="38" t="str">
        <f t="shared" si="14"/>
        <v/>
      </c>
      <c r="AU82" s="36" t="s">
        <v>306</v>
      </c>
      <c r="AV82" s="37">
        <v>0.33680555555555558</v>
      </c>
      <c r="AW82" s="37">
        <v>0.52083333333333337</v>
      </c>
      <c r="AX82" s="21" t="s">
        <v>306</v>
      </c>
      <c r="AY82" s="37">
        <v>0.5625</v>
      </c>
      <c r="AZ82" s="37">
        <v>0.69791666666666663</v>
      </c>
      <c r="BA82" s="39" t="str">
        <f t="shared" si="15"/>
        <v/>
      </c>
      <c r="BB82" s="46" t="s">
        <v>449</v>
      </c>
      <c r="BC82" s="31" t="s">
        <v>450</v>
      </c>
      <c r="BD82" s="16" t="s">
        <v>311</v>
      </c>
      <c r="BE82" s="16" t="s">
        <v>311</v>
      </c>
      <c r="BF82" s="244" t="str">
        <f>T_BilanSocial2[[#This Row],[Nom]]&amp;T_BilanSocial2[[#This Row],[Prénom]]</f>
        <v/>
      </c>
    </row>
    <row r="83" spans="1:58" ht="21.75" hidden="1" customHeight="1" x14ac:dyDescent="0.25">
      <c r="A83" s="90">
        <v>227</v>
      </c>
      <c r="B83" s="126" t="s">
        <v>311</v>
      </c>
      <c r="C83" s="126" t="str">
        <f>VLOOKUP(T_BilanSocial2[[#This Row],[NumL]],T_Commission[#Data],COLUMN(T_Commission[FINAL]),FALSE)</f>
        <v/>
      </c>
      <c r="D83" s="19" t="str">
        <f t="shared" si="8"/>
        <v/>
      </c>
      <c r="E83" s="19" t="str">
        <f t="shared" si="9"/>
        <v/>
      </c>
      <c r="F83" s="242" t="str">
        <f>IFERROR(VLOOKUP(T_BilanSocial2[[#This Row],[Zone_Bilan]],T_P_BilanSocial[#Data],COLUMN(T_P_BilanSocial[[#This Row],[Numero_SIHAM]]),FALSE),"")</f>
        <v/>
      </c>
      <c r="G83" s="242" t="str">
        <f>IFERROR(VLOOKUP(T_BilanSocial2[[#This Row],[Zone_Bilan]],T_P_BilanSocial[#Data],COLUMN(T_P_BilanSocial[[#This Row],[Sexe]]),FALSE),"")</f>
        <v/>
      </c>
      <c r="H83" s="243" t="str">
        <f>IFERROR(VLOOKUP(T_BilanSocial2[[#This Row],[Zone_Bilan]],T_P_BilanSocial[#Data],COLUMN(T_P_BilanSocial[[#This Row],[Categorie]]),FALSE),"")</f>
        <v/>
      </c>
      <c r="I83" s="242" t="str">
        <f>IFERROR(VLOOKUP(T_BilanSocial2[[#This Row],[Zone_Bilan]],T_P_BilanSocial[#Data],COLUMN(T_P_BilanSocial[[#This Row],[Statut]]),FALSE),"")</f>
        <v/>
      </c>
      <c r="J83" s="242" t="str">
        <f>IFERROR(VLOOKUP(T_BilanSocial2[[#This Row],[Zone_Bilan]],T_P_BilanSocial[#Data],COLUMN(T_P_BilanSocial[[#This Row],[Filiere]]),FALSE),"")</f>
        <v/>
      </c>
      <c r="K83" s="78">
        <v>1</v>
      </c>
      <c r="L83" s="213">
        <v>1.5451388888888891</v>
      </c>
      <c r="M83" s="78" t="s">
        <v>210</v>
      </c>
      <c r="N83" s="79" t="str">
        <f>IF((AND(T_BilanSocial2[[#This Row],[Nom]]&lt;&gt;"",T_BilanSocial2[[#This Row],[Reg Ponct]]="R")),(COUNTIF(S83:AX83,"S")+COUNTIF(S83:AX83,"T"))/2,"")</f>
        <v/>
      </c>
      <c r="O83" s="79" t="str">
        <f>IF((AND(T_BilanSocial2[[#This Row],[Nom]]&lt;&gt;"",T_BilanSocial2[[#This Row],[Reg Ponct]]="R")),COUNTIF(S83:AX83,"S")/2,"")</f>
        <v/>
      </c>
      <c r="P83" s="80" t="str">
        <f>IF((AND(T_BilanSocial2[[#This Row],[Nom]]&lt;&gt;"",T_BilanSocial2[[#This Row],[Reg Ponct]]="R")),COUNTIF(S83:AX83,"t")/2,"")</f>
        <v/>
      </c>
      <c r="Q83" s="81" t="str">
        <f t="shared" si="10"/>
        <v/>
      </c>
      <c r="R83" s="82" t="str">
        <f>IF((AND(T_BilanSocial2[[#This Row],[Nom]]&lt;&gt;"",T_BilanSocial2[[#This Row],[Reg Ponct]]="R")),IF(S83="T",U83-T83,0)+IF(V83="T",X83-W83,0)+IF(Z83="T",AB83-AA83,0)+IF(AC83="T",AE83-AD83,0)+IF(AG83="T",AI83-AH83,0)+IF(AJ83="T",AL83-AK83,0)+IF(AN83="T",AP83-AO83,0)+IF(AQ83="T",AS83-AR83,0)+IF(AU83="T",AW83-AV83,0)+IF(AX83="T",AZ83-AY83,0),"")</f>
        <v/>
      </c>
      <c r="S83" s="36" t="s">
        <v>306</v>
      </c>
      <c r="T83" s="37">
        <v>0.375</v>
      </c>
      <c r="U83" s="37">
        <v>0.52083333333333337</v>
      </c>
      <c r="V83" s="21" t="s">
        <v>306</v>
      </c>
      <c r="W83" s="37">
        <v>0.5625</v>
      </c>
      <c r="X83" s="37">
        <v>0.72916666666666663</v>
      </c>
      <c r="Y83" s="38" t="str">
        <f t="shared" si="11"/>
        <v/>
      </c>
      <c r="Z83" s="36" t="s">
        <v>307</v>
      </c>
      <c r="AA83" s="37">
        <v>0.375</v>
      </c>
      <c r="AB83" s="37">
        <v>0.52083333333333337</v>
      </c>
      <c r="AC83" s="21" t="s">
        <v>307</v>
      </c>
      <c r="AD83" s="37">
        <v>0.5625</v>
      </c>
      <c r="AE83" s="37">
        <v>0.72916666666666663</v>
      </c>
      <c r="AF83" s="38" t="str">
        <f t="shared" si="12"/>
        <v/>
      </c>
      <c r="AG83" s="36" t="s">
        <v>306</v>
      </c>
      <c r="AH83" s="37">
        <v>0.35416666666666669</v>
      </c>
      <c r="AI83" s="37">
        <v>0.52083333333333337</v>
      </c>
      <c r="AJ83" s="21" t="s">
        <v>306</v>
      </c>
      <c r="AK83" s="37">
        <v>0.5625</v>
      </c>
      <c r="AL83" s="37">
        <v>0.71180555555555547</v>
      </c>
      <c r="AM83" s="38" t="str">
        <f t="shared" si="13"/>
        <v/>
      </c>
      <c r="AN83" s="36" t="s">
        <v>306</v>
      </c>
      <c r="AO83" s="37">
        <v>0.375</v>
      </c>
      <c r="AP83" s="37">
        <v>0.52083333333333337</v>
      </c>
      <c r="AQ83" s="21" t="s">
        <v>306</v>
      </c>
      <c r="AR83" s="37">
        <v>0.5625</v>
      </c>
      <c r="AS83" s="37">
        <v>0.72916666666666663</v>
      </c>
      <c r="AT83" s="38" t="str">
        <f t="shared" si="14"/>
        <v/>
      </c>
      <c r="AU83" s="36" t="s">
        <v>306</v>
      </c>
      <c r="AV83" s="37">
        <v>0.375</v>
      </c>
      <c r="AW83" s="37">
        <v>0.52083333333333337</v>
      </c>
      <c r="AX83" s="21" t="s">
        <v>306</v>
      </c>
      <c r="AY83" s="37">
        <v>0.5625</v>
      </c>
      <c r="AZ83" s="37">
        <v>0.70833333333333337</v>
      </c>
      <c r="BA83" s="39" t="str">
        <f t="shared" si="15"/>
        <v/>
      </c>
      <c r="BB83" s="46" t="s">
        <v>353</v>
      </c>
      <c r="BC83" s="31" t="s">
        <v>354</v>
      </c>
      <c r="BD83" s="16" t="s">
        <v>311</v>
      </c>
      <c r="BE83" s="16" t="s">
        <v>311</v>
      </c>
      <c r="BF83" s="244" t="str">
        <f>T_BilanSocial2[[#This Row],[Nom]]&amp;T_BilanSocial2[[#This Row],[Prénom]]</f>
        <v/>
      </c>
    </row>
    <row r="84" spans="1:58" ht="21.75" hidden="1" customHeight="1" x14ac:dyDescent="0.25">
      <c r="A84" s="90">
        <v>228</v>
      </c>
      <c r="B84" s="126" t="s">
        <v>311</v>
      </c>
      <c r="C84" s="126" t="str">
        <f>VLOOKUP(T_BilanSocial2[[#This Row],[NumL]],T_Commission[#Data],COLUMN(T_Commission[FINAL]),FALSE)</f>
        <v/>
      </c>
      <c r="D84" s="19" t="str">
        <f t="shared" si="8"/>
        <v/>
      </c>
      <c r="E84" s="19" t="str">
        <f t="shared" si="9"/>
        <v/>
      </c>
      <c r="F84" s="242" t="str">
        <f>IFERROR(VLOOKUP(T_BilanSocial2[[#This Row],[Zone_Bilan]],T_P_BilanSocial[#Data],COLUMN(T_P_BilanSocial[[#This Row],[Numero_SIHAM]]),FALSE),"")</f>
        <v/>
      </c>
      <c r="G84" s="242" t="str">
        <f>IFERROR(VLOOKUP(T_BilanSocial2[[#This Row],[Zone_Bilan]],T_P_BilanSocial[#Data],COLUMN(T_P_BilanSocial[[#This Row],[Sexe]]),FALSE),"")</f>
        <v/>
      </c>
      <c r="H84" s="243" t="str">
        <f>IFERROR(VLOOKUP(T_BilanSocial2[[#This Row],[Zone_Bilan]],T_P_BilanSocial[#Data],COLUMN(T_P_BilanSocial[[#This Row],[Categorie]]),FALSE),"")</f>
        <v/>
      </c>
      <c r="I84" s="242" t="str">
        <f>IFERROR(VLOOKUP(T_BilanSocial2[[#This Row],[Zone_Bilan]],T_P_BilanSocial[#Data],COLUMN(T_P_BilanSocial[[#This Row],[Statut]]),FALSE),"")</f>
        <v/>
      </c>
      <c r="J84" s="242" t="str">
        <f>IFERROR(VLOOKUP(T_BilanSocial2[[#This Row],[Zone_Bilan]],T_P_BilanSocial[#Data],COLUMN(T_P_BilanSocial[[#This Row],[Filiere]]),FALSE),"")</f>
        <v/>
      </c>
      <c r="K84" s="78">
        <v>0.8</v>
      </c>
      <c r="L84" s="213">
        <v>1.2361111111111112</v>
      </c>
      <c r="M84" s="78" t="s">
        <v>210</v>
      </c>
      <c r="N84" s="79" t="str">
        <f>IF((AND(T_BilanSocial2[[#This Row],[Nom]]&lt;&gt;"",T_BilanSocial2[[#This Row],[Reg Ponct]]="R")),(COUNTIF(S84:AX84,"S")+COUNTIF(S84:AX84,"T"))/2,"")</f>
        <v/>
      </c>
      <c r="O84" s="79" t="str">
        <f>IF((AND(T_BilanSocial2[[#This Row],[Nom]]&lt;&gt;"",T_BilanSocial2[[#This Row],[Reg Ponct]]="R")),COUNTIF(S84:AX84,"S")/2,"")</f>
        <v/>
      </c>
      <c r="P84" s="80" t="str">
        <f>IF((AND(T_BilanSocial2[[#This Row],[Nom]]&lt;&gt;"",T_BilanSocial2[[#This Row],[Reg Ponct]]="R")),COUNTIF(S84:AX84,"t")/2,"")</f>
        <v/>
      </c>
      <c r="Q84" s="81" t="str">
        <f t="shared" si="10"/>
        <v/>
      </c>
      <c r="R84" s="82" t="str">
        <f>IF((AND(T_BilanSocial2[[#This Row],[Nom]]&lt;&gt;"",T_BilanSocial2[[#This Row],[Reg Ponct]]="R")),IF(S84="T",U84-T84,0)+IF(V84="T",X84-W84,0)+IF(Z84="T",AB84-AA84,0)+IF(AC84="T",AE84-AD84,0)+IF(AG84="T",AI84-AH84,0)+IF(AJ84="T",AL84-AK84,0)+IF(AN84="T",AP84-AO84,0)+IF(AQ84="T",AS84-AR84,0)+IF(AU84="T",AW84-AV84,0)+IF(AX84="T",AZ84-AY84,0),"")</f>
        <v/>
      </c>
      <c r="S84" s="36" t="s">
        <v>306</v>
      </c>
      <c r="T84" s="37">
        <v>0.33333333333333331</v>
      </c>
      <c r="U84" s="37">
        <v>0.5</v>
      </c>
      <c r="V84" s="21" t="s">
        <v>306</v>
      </c>
      <c r="W84" s="37">
        <v>0.54166666666666663</v>
      </c>
      <c r="X84" s="37">
        <v>0.66666666666666663</v>
      </c>
      <c r="Y84" s="38" t="str">
        <f t="shared" si="11"/>
        <v/>
      </c>
      <c r="Z84" s="36" t="s">
        <v>306</v>
      </c>
      <c r="AA84" s="37">
        <v>0.33333333333333331</v>
      </c>
      <c r="AB84" s="37">
        <v>0.5</v>
      </c>
      <c r="AC84" s="21" t="s">
        <v>306</v>
      </c>
      <c r="AD84" s="37">
        <v>0.54166666666666663</v>
      </c>
      <c r="AE84" s="37">
        <v>0.70833333333333337</v>
      </c>
      <c r="AF84" s="38" t="str">
        <f t="shared" si="12"/>
        <v/>
      </c>
      <c r="AG84" s="36" t="s">
        <v>308</v>
      </c>
      <c r="AH84" s="37"/>
      <c r="AI84" s="37"/>
      <c r="AJ84" s="21" t="s">
        <v>308</v>
      </c>
      <c r="AK84" s="37"/>
      <c r="AL84" s="37"/>
      <c r="AM84" s="38" t="str">
        <f t="shared" si="13"/>
        <v/>
      </c>
      <c r="AN84" s="36" t="s">
        <v>306</v>
      </c>
      <c r="AO84" s="37">
        <v>0.33333333333333331</v>
      </c>
      <c r="AP84" s="37">
        <v>0.5</v>
      </c>
      <c r="AQ84" s="21" t="s">
        <v>306</v>
      </c>
      <c r="AR84" s="37">
        <v>0.54166666666666663</v>
      </c>
      <c r="AS84" s="37">
        <v>0.66666666666666663</v>
      </c>
      <c r="AT84" s="38" t="str">
        <f t="shared" si="14"/>
        <v/>
      </c>
      <c r="AU84" s="36" t="s">
        <v>307</v>
      </c>
      <c r="AV84" s="37">
        <v>0.33333333333333331</v>
      </c>
      <c r="AW84" s="37">
        <v>0.5</v>
      </c>
      <c r="AX84" s="21" t="s">
        <v>307</v>
      </c>
      <c r="AY84" s="37">
        <v>0.54166666666666663</v>
      </c>
      <c r="AZ84" s="37">
        <v>0.69444444444444453</v>
      </c>
      <c r="BA84" s="39" t="str">
        <f t="shared" si="15"/>
        <v/>
      </c>
      <c r="BB84" s="46" t="s">
        <v>790</v>
      </c>
      <c r="BC84" s="31" t="s">
        <v>1009</v>
      </c>
      <c r="BD84" s="16" t="s">
        <v>311</v>
      </c>
      <c r="BE84" s="16" t="s">
        <v>311</v>
      </c>
      <c r="BF84" s="244" t="str">
        <f>T_BilanSocial2[[#This Row],[Nom]]&amp;T_BilanSocial2[[#This Row],[Prénom]]</f>
        <v/>
      </c>
    </row>
    <row r="85" spans="1:58" ht="21.75" customHeight="1" x14ac:dyDescent="0.25">
      <c r="A85" s="90">
        <v>255</v>
      </c>
      <c r="B85" s="126" t="s">
        <v>311</v>
      </c>
      <c r="C85" s="126" t="str">
        <f>VLOOKUP(T_BilanSocial2[[#This Row],[NumL]],T_Commission[#Data],COLUMN(T_Commission[FINAL]),FALSE)</f>
        <v/>
      </c>
      <c r="D85" s="19" t="str">
        <f t="shared" si="8"/>
        <v/>
      </c>
      <c r="E85" s="19" t="str">
        <f t="shared" si="9"/>
        <v/>
      </c>
      <c r="F85" s="242" t="str">
        <f>IFERROR(VLOOKUP(T_BilanSocial2[[#This Row],[Zone_Bilan]],T_P_BilanSocial[#Data],COLUMN(T_P_BilanSocial[[#This Row],[Numero_SIHAM]]),FALSE),"")</f>
        <v/>
      </c>
      <c r="G85" s="242" t="str">
        <f>IFERROR(VLOOKUP(T_BilanSocial2[[#This Row],[Zone_Bilan]],T_P_BilanSocial[#Data],COLUMN(T_P_BilanSocial[[#This Row],[Sexe]]),FALSE),"")</f>
        <v/>
      </c>
      <c r="H85" s="243" t="str">
        <f>IFERROR(VLOOKUP(T_BilanSocial2[[#This Row],[Zone_Bilan]],T_P_BilanSocial[#Data],COLUMN(T_P_BilanSocial[[#This Row],[Categorie]]),FALSE),"")</f>
        <v/>
      </c>
      <c r="I85" s="242" t="str">
        <f>IFERROR(VLOOKUP(T_BilanSocial2[[#This Row],[Zone_Bilan]],T_P_BilanSocial[#Data],COLUMN(T_P_BilanSocial[[#This Row],[Statut]]),FALSE),"")</f>
        <v/>
      </c>
      <c r="J85" s="242" t="str">
        <f>IFERROR(VLOOKUP(T_BilanSocial2[[#This Row],[Zone_Bilan]],T_P_BilanSocial[#Data],COLUMN(T_P_BilanSocial[[#This Row],[Filiere]]),FALSE),"")</f>
        <v/>
      </c>
      <c r="K85" s="78">
        <v>1</v>
      </c>
      <c r="L85" s="213">
        <v>1.5451388888888891</v>
      </c>
      <c r="M85" s="78" t="s">
        <v>210</v>
      </c>
      <c r="N85" s="79" t="str">
        <f>IF((AND(T_BilanSocial2[[#This Row],[Nom]]&lt;&gt;"",T_BilanSocial2[[#This Row],[Reg Ponct]]="R")),(COUNTIF(S85:AX85,"S")+COUNTIF(S85:AX85,"T"))/2,"")</f>
        <v/>
      </c>
      <c r="O85" s="79" t="str">
        <f>IF((AND(T_BilanSocial2[[#This Row],[Nom]]&lt;&gt;"",T_BilanSocial2[[#This Row],[Reg Ponct]]="R")),COUNTIF(S85:AX85,"S")/2,"")</f>
        <v/>
      </c>
      <c r="P85" s="80" t="str">
        <f>IF((AND(T_BilanSocial2[[#This Row],[Nom]]&lt;&gt;"",T_BilanSocial2[[#This Row],[Reg Ponct]]="R")),COUNTIF(S85:AX85,"t")/2,"")</f>
        <v/>
      </c>
      <c r="Q85" s="81" t="str">
        <f t="shared" si="10"/>
        <v/>
      </c>
      <c r="R85" s="82" t="str">
        <f>IF((AND(T_BilanSocial2[[#This Row],[Nom]]&lt;&gt;"",T_BilanSocial2[[#This Row],[Reg Ponct]]="R")),IF(S85="T",U85-T85,0)+IF(V85="T",X85-W85,0)+IF(Z85="T",AB85-AA85,0)+IF(AC85="T",AE85-AD85,0)+IF(AG85="T",AI85-AH85,0)+IF(AJ85="T",AL85-AK85,0)+IF(AN85="T",AP85-AO85,0)+IF(AQ85="T",AS85-AR85,0)+IF(AU85="T",AW85-AV85,0)+IF(AX85="T",AZ85-AY85,0),"")</f>
        <v/>
      </c>
      <c r="S85" s="36" t="s">
        <v>306</v>
      </c>
      <c r="T85" s="37">
        <v>0.39583333333333331</v>
      </c>
      <c r="U85" s="37">
        <v>0.5</v>
      </c>
      <c r="V85" s="21" t="s">
        <v>306</v>
      </c>
      <c r="W85" s="37">
        <v>0.54166666666666663</v>
      </c>
      <c r="X85" s="37">
        <v>0.79166666666666663</v>
      </c>
      <c r="Y85" s="38" t="str">
        <f t="shared" si="11"/>
        <v/>
      </c>
      <c r="Z85" s="36" t="s">
        <v>306</v>
      </c>
      <c r="AA85" s="37">
        <v>0.39583333333333331</v>
      </c>
      <c r="AB85" s="37">
        <v>0.5</v>
      </c>
      <c r="AC85" s="21" t="s">
        <v>306</v>
      </c>
      <c r="AD85" s="37">
        <v>0.54166666666666663</v>
      </c>
      <c r="AE85" s="37">
        <v>0.78125</v>
      </c>
      <c r="AF85" s="38" t="str">
        <f t="shared" si="12"/>
        <v/>
      </c>
      <c r="AG85" s="36" t="s">
        <v>306</v>
      </c>
      <c r="AH85" s="37">
        <v>0.39583333333333331</v>
      </c>
      <c r="AI85" s="37">
        <v>0.5</v>
      </c>
      <c r="AJ85" s="21" t="s">
        <v>306</v>
      </c>
      <c r="AK85" s="37">
        <v>0.54166666666666663</v>
      </c>
      <c r="AL85" s="37">
        <v>0.78472222222222221</v>
      </c>
      <c r="AM85" s="38" t="str">
        <f t="shared" si="13"/>
        <v/>
      </c>
      <c r="AN85" s="36" t="s">
        <v>307</v>
      </c>
      <c r="AO85" s="37">
        <v>0.375</v>
      </c>
      <c r="AP85" s="37">
        <v>0.5</v>
      </c>
      <c r="AQ85" s="21" t="s">
        <v>306</v>
      </c>
      <c r="AR85" s="37">
        <v>0.58333333333333337</v>
      </c>
      <c r="AS85" s="37">
        <v>0.79166666666666663</v>
      </c>
      <c r="AT85" s="38" t="str">
        <f t="shared" si="14"/>
        <v/>
      </c>
      <c r="AU85" s="36" t="s">
        <v>307</v>
      </c>
      <c r="AV85" s="37">
        <v>0.375</v>
      </c>
      <c r="AW85" s="37">
        <v>0.54166666666666663</v>
      </c>
      <c r="AX85" s="21" t="s">
        <v>308</v>
      </c>
      <c r="AY85" s="37"/>
      <c r="AZ85" s="37"/>
      <c r="BA85" s="39" t="str">
        <f t="shared" si="15"/>
        <v/>
      </c>
      <c r="BB85" s="46" t="s">
        <v>398</v>
      </c>
      <c r="BC85" s="31" t="s">
        <v>399</v>
      </c>
      <c r="BD85" s="16" t="s">
        <v>311</v>
      </c>
      <c r="BE85" s="16" t="s">
        <v>311</v>
      </c>
      <c r="BF85" s="244" t="str">
        <f>T_BilanSocial2[[#This Row],[Nom]]&amp;T_BilanSocial2[[#This Row],[Prénom]]</f>
        <v/>
      </c>
    </row>
    <row r="86" spans="1:58" ht="21.75" customHeight="1" x14ac:dyDescent="0.25">
      <c r="A86" s="90">
        <v>260</v>
      </c>
      <c r="B86" s="126" t="s">
        <v>311</v>
      </c>
      <c r="C86" s="126" t="str">
        <f>VLOOKUP(T_BilanSocial2[[#This Row],[NumL]],T_Commission[#Data],COLUMN(T_Commission[FINAL]),FALSE)</f>
        <v/>
      </c>
      <c r="D86" s="19" t="str">
        <f t="shared" si="8"/>
        <v/>
      </c>
      <c r="E86" s="19" t="str">
        <f t="shared" si="9"/>
        <v/>
      </c>
      <c r="F86" s="242" t="str">
        <f>IFERROR(VLOOKUP(T_BilanSocial2[[#This Row],[Zone_Bilan]],T_P_BilanSocial[#Data],COLUMN(T_P_BilanSocial[[#This Row],[Numero_SIHAM]]),FALSE),"")</f>
        <v/>
      </c>
      <c r="G86" s="242" t="str">
        <f>IFERROR(VLOOKUP(T_BilanSocial2[[#This Row],[Zone_Bilan]],T_P_BilanSocial[#Data],COLUMN(T_P_BilanSocial[[#This Row],[Sexe]]),FALSE),"")</f>
        <v/>
      </c>
      <c r="H86" s="243" t="str">
        <f>IFERROR(VLOOKUP(T_BilanSocial2[[#This Row],[Zone_Bilan]],T_P_BilanSocial[#Data],COLUMN(T_P_BilanSocial[[#This Row],[Categorie]]),FALSE),"")</f>
        <v/>
      </c>
      <c r="I86" s="242" t="str">
        <f>IFERROR(VLOOKUP(T_BilanSocial2[[#This Row],[Zone_Bilan]],T_P_BilanSocial[#Data],COLUMN(T_P_BilanSocial[[#This Row],[Statut]]),FALSE),"")</f>
        <v/>
      </c>
      <c r="J86" s="242" t="str">
        <f>IFERROR(VLOOKUP(T_BilanSocial2[[#This Row],[Zone_Bilan]],T_P_BilanSocial[#Data],COLUMN(T_P_BilanSocial[[#This Row],[Filiere]]),FALSE),"")</f>
        <v/>
      </c>
      <c r="K86" s="78">
        <v>1</v>
      </c>
      <c r="L86" s="213">
        <v>1.5451388888888891</v>
      </c>
      <c r="M86" s="78" t="s">
        <v>210</v>
      </c>
      <c r="N86" s="79" t="str">
        <f>IF((AND(T_BilanSocial2[[#This Row],[Nom]]&lt;&gt;"",T_BilanSocial2[[#This Row],[Reg Ponct]]="R")),(COUNTIF(S86:AX86,"S")+COUNTIF(S86:AX86,"T"))/2,"")</f>
        <v/>
      </c>
      <c r="O86" s="79" t="str">
        <f>IF((AND(T_BilanSocial2[[#This Row],[Nom]]&lt;&gt;"",T_BilanSocial2[[#This Row],[Reg Ponct]]="R")),COUNTIF(S86:AX86,"S")/2,"")</f>
        <v/>
      </c>
      <c r="P86" s="80" t="str">
        <f>IF((AND(T_BilanSocial2[[#This Row],[Nom]]&lt;&gt;"",T_BilanSocial2[[#This Row],[Reg Ponct]]="R")),COUNTIF(S86:AX86,"t")/2,"")</f>
        <v/>
      </c>
      <c r="Q86" s="81" t="str">
        <f t="shared" si="10"/>
        <v/>
      </c>
      <c r="R86" s="82" t="str">
        <f>IF((AND(T_BilanSocial2[[#This Row],[Nom]]&lt;&gt;"",T_BilanSocial2[[#This Row],[Reg Ponct]]="R")),IF(S86="T",U86-T86,0)+IF(V86="T",X86-W86,0)+IF(Z86="T",AB86-AA86,0)+IF(AC86="T",AE86-AD86,0)+IF(AG86="T",AI86-AH86,0)+IF(AJ86="T",AL86-AK86,0)+IF(AN86="T",AP86-AO86,0)+IF(AQ86="T",AS86-AR86,0)+IF(AU86="T",AW86-AV86,0)+IF(AX86="T",AZ86-AY86,0),"")</f>
        <v/>
      </c>
      <c r="S86" s="36" t="s">
        <v>306</v>
      </c>
      <c r="T86" s="37">
        <v>0.375</v>
      </c>
      <c r="U86" s="37">
        <v>0.54166666666666663</v>
      </c>
      <c r="V86" s="21" t="s">
        <v>306</v>
      </c>
      <c r="W86" s="37">
        <v>0.58333333333333337</v>
      </c>
      <c r="X86" s="37">
        <v>0.72916666666666663</v>
      </c>
      <c r="Y86" s="38" t="str">
        <f t="shared" si="11"/>
        <v/>
      </c>
      <c r="Z86" s="36" t="s">
        <v>306</v>
      </c>
      <c r="AA86" s="37">
        <v>0.375</v>
      </c>
      <c r="AB86" s="37">
        <v>0.54166666666666663</v>
      </c>
      <c r="AC86" s="21" t="s">
        <v>306</v>
      </c>
      <c r="AD86" s="37">
        <v>0.58333333333333337</v>
      </c>
      <c r="AE86" s="37">
        <v>0.72916666666666663</v>
      </c>
      <c r="AF86" s="38" t="str">
        <f t="shared" si="12"/>
        <v/>
      </c>
      <c r="AG86" s="36" t="s">
        <v>306</v>
      </c>
      <c r="AH86" s="37">
        <v>0.375</v>
      </c>
      <c r="AI86" s="37">
        <v>0.54166666666666663</v>
      </c>
      <c r="AJ86" s="21" t="s">
        <v>306</v>
      </c>
      <c r="AK86" s="37">
        <v>0.58333333333333337</v>
      </c>
      <c r="AL86" s="37">
        <v>0.72916666666666663</v>
      </c>
      <c r="AM86" s="38" t="str">
        <f t="shared" si="13"/>
        <v/>
      </c>
      <c r="AN86" s="36" t="s">
        <v>307</v>
      </c>
      <c r="AO86" s="37">
        <v>0.375</v>
      </c>
      <c r="AP86" s="37">
        <v>0.54166666666666663</v>
      </c>
      <c r="AQ86" s="21" t="s">
        <v>307</v>
      </c>
      <c r="AR86" s="37">
        <v>0.58333333333333337</v>
      </c>
      <c r="AS86" s="37">
        <v>0.71180555555555547</v>
      </c>
      <c r="AT86" s="38" t="str">
        <f t="shared" si="14"/>
        <v/>
      </c>
      <c r="AU86" s="36" t="s">
        <v>306</v>
      </c>
      <c r="AV86" s="37">
        <v>0.375</v>
      </c>
      <c r="AW86" s="37">
        <v>0.54166666666666663</v>
      </c>
      <c r="AX86" s="21" t="s">
        <v>306</v>
      </c>
      <c r="AY86" s="37">
        <v>0.58333333333333337</v>
      </c>
      <c r="AZ86" s="37">
        <v>0.72916666666666663</v>
      </c>
      <c r="BA86" s="39" t="str">
        <f t="shared" si="15"/>
        <v/>
      </c>
      <c r="BB86" s="46" t="s">
        <v>376</v>
      </c>
      <c r="BC86" s="31" t="s">
        <v>341</v>
      </c>
      <c r="BD86" s="16" t="s">
        <v>311</v>
      </c>
      <c r="BE86" s="16" t="s">
        <v>311</v>
      </c>
      <c r="BF86" s="244" t="str">
        <f>T_BilanSocial2[[#This Row],[Nom]]&amp;T_BilanSocial2[[#This Row],[Prénom]]</f>
        <v/>
      </c>
    </row>
    <row r="87" spans="1:58" ht="21.75" hidden="1" customHeight="1" x14ac:dyDescent="0.25">
      <c r="A87" s="90">
        <v>93</v>
      </c>
      <c r="B87" s="126" t="s">
        <v>311</v>
      </c>
      <c r="C87" s="126" t="str">
        <f>VLOOKUP(T_BilanSocial2[[#This Row],[NumL]],T_Commission[#Data],COLUMN(T_Commission[FINAL]),FALSE)</f>
        <v/>
      </c>
      <c r="D87" s="19" t="str">
        <f t="shared" si="8"/>
        <v/>
      </c>
      <c r="E87" s="19" t="str">
        <f t="shared" si="9"/>
        <v/>
      </c>
      <c r="F87" s="242" t="str">
        <f>IFERROR(VLOOKUP(T_BilanSocial2[[#This Row],[Zone_Bilan]],T_P_BilanSocial[#Data],COLUMN(T_P_BilanSocial[[#This Row],[Numero_SIHAM]]),FALSE),"")</f>
        <v/>
      </c>
      <c r="G87" s="242" t="str">
        <f>IFERROR(VLOOKUP(T_BilanSocial2[[#This Row],[Zone_Bilan]],T_P_BilanSocial[#Data],COLUMN(T_P_BilanSocial[[#This Row],[Sexe]]),FALSE),"")</f>
        <v/>
      </c>
      <c r="H87" s="243" t="str">
        <f>IFERROR(VLOOKUP(T_BilanSocial2[[#This Row],[Zone_Bilan]],T_P_BilanSocial[#Data],COLUMN(T_P_BilanSocial[[#This Row],[Categorie]]),FALSE),"")</f>
        <v/>
      </c>
      <c r="I87" s="242" t="str">
        <f>IFERROR(VLOOKUP(T_BilanSocial2[[#This Row],[Zone_Bilan]],T_P_BilanSocial[#Data],COLUMN(T_P_BilanSocial[[#This Row],[Statut]]),FALSE),"")</f>
        <v/>
      </c>
      <c r="J87" s="242" t="str">
        <f>IFERROR(VLOOKUP(T_BilanSocial2[[#This Row],[Zone_Bilan]],T_P_BilanSocial[#Data],COLUMN(T_P_BilanSocial[[#This Row],[Filiere]]),FALSE),"")</f>
        <v/>
      </c>
      <c r="K87" s="78">
        <v>0.8</v>
      </c>
      <c r="L87" s="213">
        <v>1.2361111111111112</v>
      </c>
      <c r="M87" s="78" t="s">
        <v>210</v>
      </c>
      <c r="N87" s="79" t="str">
        <f>IF((AND(T_BilanSocial2[[#This Row],[Nom]]&lt;&gt;"",T_BilanSocial2[[#This Row],[Reg Ponct]]="R")),(COUNTIF(S87:AX87,"S")+COUNTIF(S87:AX87,"T"))/2,"")</f>
        <v/>
      </c>
      <c r="O87" s="79" t="str">
        <f>IF((AND(T_BilanSocial2[[#This Row],[Nom]]&lt;&gt;"",T_BilanSocial2[[#This Row],[Reg Ponct]]="R")),COUNTIF(S87:AX87,"S")/2,"")</f>
        <v/>
      </c>
      <c r="P87" s="80" t="str">
        <f>IF((AND(T_BilanSocial2[[#This Row],[Nom]]&lt;&gt;"",T_BilanSocial2[[#This Row],[Reg Ponct]]="R")),COUNTIF(S87:AX87,"t")/2,"")</f>
        <v/>
      </c>
      <c r="Q87" s="81" t="str">
        <f t="shared" si="10"/>
        <v/>
      </c>
      <c r="R87" s="82" t="str">
        <f>IF((AND(T_BilanSocial2[[#This Row],[Nom]]&lt;&gt;"",T_BilanSocial2[[#This Row],[Reg Ponct]]="R")),IF(S87="T",U87-T87,0)+IF(V87="T",X87-W87,0)+IF(Z87="T",AB87-AA87,0)+IF(AC87="T",AE87-AD87,0)+IF(AG87="T",AI87-AH87,0)+IF(AJ87="T",AL87-AK87,0)+IF(AN87="T",AP87-AO87,0)+IF(AQ87="T",AS87-AR87,0)+IF(AU87="T",AW87-AV87,0)+IF(AX87="T",AZ87-AY87,0),"")</f>
        <v/>
      </c>
      <c r="S87" s="36" t="s">
        <v>307</v>
      </c>
      <c r="T87" s="37">
        <v>0.35416666666666669</v>
      </c>
      <c r="U87" s="37">
        <v>0.52083333333333337</v>
      </c>
      <c r="V87" s="21" t="s">
        <v>307</v>
      </c>
      <c r="W87" s="37">
        <v>0.5625</v>
      </c>
      <c r="X87" s="37">
        <v>0.68402777777777779</v>
      </c>
      <c r="Y87" s="38" t="str">
        <f t="shared" si="11"/>
        <v/>
      </c>
      <c r="Z87" s="36" t="s">
        <v>306</v>
      </c>
      <c r="AA87" s="37">
        <v>0.34375</v>
      </c>
      <c r="AB87" s="37">
        <v>0.52083333333333337</v>
      </c>
      <c r="AC87" s="21" t="s">
        <v>306</v>
      </c>
      <c r="AD87" s="37">
        <v>0.5625</v>
      </c>
      <c r="AE87" s="37">
        <v>0.65972222222222221</v>
      </c>
      <c r="AF87" s="38" t="str">
        <f t="shared" si="12"/>
        <v/>
      </c>
      <c r="AG87" s="36" t="s">
        <v>308</v>
      </c>
      <c r="AH87" s="37"/>
      <c r="AI87" s="37"/>
      <c r="AJ87" s="21" t="s">
        <v>308</v>
      </c>
      <c r="AK87" s="37"/>
      <c r="AL87" s="37"/>
      <c r="AM87" s="38" t="str">
        <f t="shared" si="13"/>
        <v/>
      </c>
      <c r="AN87" s="36" t="s">
        <v>306</v>
      </c>
      <c r="AO87" s="37">
        <v>0.34375</v>
      </c>
      <c r="AP87" s="37">
        <v>0.52083333333333337</v>
      </c>
      <c r="AQ87" s="21" t="s">
        <v>306</v>
      </c>
      <c r="AR87" s="37">
        <v>0.5625</v>
      </c>
      <c r="AS87" s="37">
        <v>0.72222222222222221</v>
      </c>
      <c r="AT87" s="38" t="str">
        <f t="shared" si="14"/>
        <v/>
      </c>
      <c r="AU87" s="36" t="s">
        <v>306</v>
      </c>
      <c r="AV87" s="37">
        <v>0.34375</v>
      </c>
      <c r="AW87" s="37">
        <v>0.52083333333333337</v>
      </c>
      <c r="AX87" s="21" t="s">
        <v>306</v>
      </c>
      <c r="AY87" s="37">
        <v>0.5625</v>
      </c>
      <c r="AZ87" s="37">
        <v>0.72222222222222221</v>
      </c>
      <c r="BA87" s="39" t="str">
        <f t="shared" si="15"/>
        <v/>
      </c>
      <c r="BB87" s="46" t="s">
        <v>498</v>
      </c>
      <c r="BC87" s="31" t="s">
        <v>693</v>
      </c>
      <c r="BD87" s="16" t="s">
        <v>311</v>
      </c>
      <c r="BE87" s="16" t="s">
        <v>311</v>
      </c>
      <c r="BF87" s="244" t="str">
        <f>T_BilanSocial2[[#This Row],[Nom]]&amp;T_BilanSocial2[[#This Row],[Prénom]]</f>
        <v/>
      </c>
    </row>
    <row r="88" spans="1:58" ht="21.75" customHeight="1" x14ac:dyDescent="0.25">
      <c r="A88" s="90">
        <v>61</v>
      </c>
      <c r="B88" s="126" t="s">
        <v>311</v>
      </c>
      <c r="C88" s="126" t="e">
        <f>VLOOKUP(T_BilanSocial2[[#This Row],[NumL]],T_Commission[#Data],COLUMN(T_Commission[FINAL]),FALSE)</f>
        <v>#N/A</v>
      </c>
      <c r="D88" s="19" t="str">
        <f t="shared" si="8"/>
        <v/>
      </c>
      <c r="E88" s="19" t="str">
        <f t="shared" si="9"/>
        <v/>
      </c>
      <c r="F88" s="242" t="str">
        <f>IFERROR(VLOOKUP(T_BilanSocial2[[#This Row],[Zone_Bilan]],T_P_BilanSocial[#Data],COLUMN(T_P_BilanSocial[[#This Row],[Numero_SIHAM]]),FALSE),"")</f>
        <v/>
      </c>
      <c r="G88" s="242" t="str">
        <f>IFERROR(VLOOKUP(T_BilanSocial2[[#This Row],[Zone_Bilan]],T_P_BilanSocial[#Data],COLUMN(T_P_BilanSocial[[#This Row],[Sexe]]),FALSE),"")</f>
        <v/>
      </c>
      <c r="H88" s="243" t="str">
        <f>IFERROR(VLOOKUP(T_BilanSocial2[[#This Row],[Zone_Bilan]],T_P_BilanSocial[#Data],COLUMN(T_P_BilanSocial[[#This Row],[Categorie]]),FALSE),"")</f>
        <v/>
      </c>
      <c r="I88" s="242" t="str">
        <f>IFERROR(VLOOKUP(T_BilanSocial2[[#This Row],[Zone_Bilan]],T_P_BilanSocial[#Data],COLUMN(T_P_BilanSocial[[#This Row],[Statut]]),FALSE),"")</f>
        <v/>
      </c>
      <c r="J88" s="242" t="str">
        <f>IFERROR(VLOOKUP(T_BilanSocial2[[#This Row],[Zone_Bilan]],T_P_BilanSocial[#Data],COLUMN(T_P_BilanSocial[[#This Row],[Filiere]]),FALSE),"")</f>
        <v/>
      </c>
      <c r="K88" s="78">
        <v>1</v>
      </c>
      <c r="L88" s="213">
        <v>1.5451388888888891</v>
      </c>
      <c r="M88" s="78" t="s">
        <v>210</v>
      </c>
      <c r="N88" s="79" t="str">
        <f>IF((AND(T_BilanSocial2[[#This Row],[Nom]]&lt;&gt;"",T_BilanSocial2[[#This Row],[Reg Ponct]]="R")),(COUNTIF(S88:AX88,"S")+COUNTIF(S88:AX88,"T"))/2,"")</f>
        <v/>
      </c>
      <c r="O88" s="79" t="str">
        <f>IF((AND(T_BilanSocial2[[#This Row],[Nom]]&lt;&gt;"",T_BilanSocial2[[#This Row],[Reg Ponct]]="R")),COUNTIF(S88:AX88,"S")/2,"")</f>
        <v/>
      </c>
      <c r="P88" s="80" t="str">
        <f>IF((AND(T_BilanSocial2[[#This Row],[Nom]]&lt;&gt;"",T_BilanSocial2[[#This Row],[Reg Ponct]]="R")),COUNTIF(S88:AX88,"t")/2,"")</f>
        <v/>
      </c>
      <c r="Q88" s="81" t="str">
        <f t="shared" si="10"/>
        <v/>
      </c>
      <c r="R88" s="82" t="str">
        <f>IF((AND(T_BilanSocial2[[#This Row],[Nom]]&lt;&gt;"",T_BilanSocial2[[#This Row],[Reg Ponct]]="R")),IF(S88="T",U88-T88,0)+IF(V88="T",X88-W88,0)+IF(Z88="T",AB88-AA88,0)+IF(AC88="T",AE88-AD88,0)+IF(AG88="T",AI88-AH88,0)+IF(AJ88="T",AL88-AK88,0)+IF(AN88="T",AP88-AO88,0)+IF(AQ88="T",AS88-AR88,0)+IF(AU88="T",AW88-AV88,0)+IF(AX88="T",AZ88-AY88,0),"")</f>
        <v/>
      </c>
      <c r="S88" s="36" t="s">
        <v>306</v>
      </c>
      <c r="T88" s="37">
        <v>0.375</v>
      </c>
      <c r="U88" s="37">
        <v>0.5</v>
      </c>
      <c r="V88" s="21" t="s">
        <v>306</v>
      </c>
      <c r="W88" s="37">
        <v>0.54166666666666663</v>
      </c>
      <c r="X88" s="37">
        <v>0.75</v>
      </c>
      <c r="Y88" s="38" t="str">
        <f t="shared" si="11"/>
        <v/>
      </c>
      <c r="Z88" s="36" t="s">
        <v>306</v>
      </c>
      <c r="AA88" s="37">
        <v>0.375</v>
      </c>
      <c r="AB88" s="37">
        <v>0.5</v>
      </c>
      <c r="AC88" s="21" t="s">
        <v>306</v>
      </c>
      <c r="AD88" s="37">
        <v>0.54166666666666663</v>
      </c>
      <c r="AE88" s="37">
        <v>0.70833333333333337</v>
      </c>
      <c r="AF88" s="38" t="str">
        <f t="shared" si="12"/>
        <v/>
      </c>
      <c r="AG88" s="36" t="s">
        <v>306</v>
      </c>
      <c r="AH88" s="37">
        <v>0.33333333333333331</v>
      </c>
      <c r="AI88" s="37">
        <v>0.5</v>
      </c>
      <c r="AJ88" s="21" t="s">
        <v>306</v>
      </c>
      <c r="AK88" s="37">
        <v>0.54166666666666663</v>
      </c>
      <c r="AL88" s="37">
        <v>0.71180555555555547</v>
      </c>
      <c r="AM88" s="38" t="str">
        <f t="shared" si="13"/>
        <v/>
      </c>
      <c r="AN88" s="36" t="s">
        <v>307</v>
      </c>
      <c r="AO88" s="37">
        <v>0.375</v>
      </c>
      <c r="AP88" s="37">
        <v>0.54166666666666663</v>
      </c>
      <c r="AQ88" s="21" t="s">
        <v>307</v>
      </c>
      <c r="AR88" s="37">
        <v>0.58333333333333337</v>
      </c>
      <c r="AS88" s="37">
        <v>0.75</v>
      </c>
      <c r="AT88" s="38" t="str">
        <f t="shared" si="14"/>
        <v/>
      </c>
      <c r="AU88" s="36" t="s">
        <v>306</v>
      </c>
      <c r="AV88" s="37">
        <v>0.375</v>
      </c>
      <c r="AW88" s="37">
        <v>0.5</v>
      </c>
      <c r="AX88" s="21" t="s">
        <v>306</v>
      </c>
      <c r="AY88" s="37">
        <v>0.54166666666666663</v>
      </c>
      <c r="AZ88" s="37">
        <v>0.66666666666666663</v>
      </c>
      <c r="BA88" s="39" t="str">
        <f t="shared" si="15"/>
        <v/>
      </c>
      <c r="BB88" s="46" t="s">
        <v>411</v>
      </c>
      <c r="BC88" s="31" t="s">
        <v>341</v>
      </c>
      <c r="BD88" s="16" t="s">
        <v>311</v>
      </c>
      <c r="BE88" s="16" t="s">
        <v>322</v>
      </c>
      <c r="BF88" s="244" t="str">
        <f>T_BilanSocial2[[#This Row],[Nom]]&amp;T_BilanSocial2[[#This Row],[Prénom]]</f>
        <v/>
      </c>
    </row>
    <row r="89" spans="1:58" ht="21.75" hidden="1" customHeight="1" x14ac:dyDescent="0.25">
      <c r="A89" s="90">
        <v>220</v>
      </c>
      <c r="B89" s="126" t="s">
        <v>210</v>
      </c>
      <c r="C89" s="126" t="str">
        <f>VLOOKUP(T_BilanSocial2[[#This Row],[NumL]],T_Commission[#Data],COLUMN(T_Commission[FINAL]),FALSE)</f>
        <v/>
      </c>
      <c r="D89" s="19" t="str">
        <f t="shared" si="8"/>
        <v/>
      </c>
      <c r="E89" s="19" t="str">
        <f t="shared" si="9"/>
        <v/>
      </c>
      <c r="F89" s="242" t="str">
        <f>IFERROR(VLOOKUP(T_BilanSocial2[[#This Row],[Zone_Bilan]],T_P_BilanSocial[#Data],COLUMN(T_P_BilanSocial[[#This Row],[Numero_SIHAM]]),FALSE),"")</f>
        <v/>
      </c>
      <c r="G89" s="242" t="str">
        <f>IFERROR(VLOOKUP(T_BilanSocial2[[#This Row],[Zone_Bilan]],T_P_BilanSocial[#Data],COLUMN(T_P_BilanSocial[[#This Row],[Sexe]]),FALSE),"")</f>
        <v/>
      </c>
      <c r="H89" s="243" t="str">
        <f>IFERROR(VLOOKUP(T_BilanSocial2[[#This Row],[Zone_Bilan]],T_P_BilanSocial[#Data],COLUMN(T_P_BilanSocial[[#This Row],[Categorie]]),FALSE),"")</f>
        <v/>
      </c>
      <c r="I89" s="242" t="str">
        <f>IFERROR(VLOOKUP(T_BilanSocial2[[#This Row],[Zone_Bilan]],T_P_BilanSocial[#Data],COLUMN(T_P_BilanSocial[[#This Row],[Statut]]),FALSE),"")</f>
        <v/>
      </c>
      <c r="J89" s="242" t="str">
        <f>IFERROR(VLOOKUP(T_BilanSocial2[[#This Row],[Zone_Bilan]],T_P_BilanSocial[#Data],COLUMN(T_P_BilanSocial[[#This Row],[Filiere]]),FALSE),"")</f>
        <v/>
      </c>
      <c r="K89" s="78">
        <v>1</v>
      </c>
      <c r="L89" s="213">
        <v>1.5451388888888891</v>
      </c>
      <c r="M89" s="78" t="s">
        <v>210</v>
      </c>
      <c r="N89" s="79" t="str">
        <f>IF((AND(T_BilanSocial2[[#This Row],[Nom]]&lt;&gt;"",T_BilanSocial2[[#This Row],[Reg Ponct]]="R")),(COUNTIF(S89:AX89,"S")+COUNTIF(S89:AX89,"T"))/2,"")</f>
        <v/>
      </c>
      <c r="O89" s="79" t="str">
        <f>IF((AND(T_BilanSocial2[[#This Row],[Nom]]&lt;&gt;"",T_BilanSocial2[[#This Row],[Reg Ponct]]="R")),COUNTIF(S89:AX89,"S")/2,"")</f>
        <v/>
      </c>
      <c r="P89" s="80" t="str">
        <f>IF((AND(T_BilanSocial2[[#This Row],[Nom]]&lt;&gt;"",T_BilanSocial2[[#This Row],[Reg Ponct]]="R")),COUNTIF(S89:AX89,"t")/2,"")</f>
        <v/>
      </c>
      <c r="Q89" s="81" t="str">
        <f t="shared" si="10"/>
        <v/>
      </c>
      <c r="R89" s="82" t="str">
        <f>IF((AND(T_BilanSocial2[[#This Row],[Nom]]&lt;&gt;"",T_BilanSocial2[[#This Row],[Reg Ponct]]="R")),IF(S89="T",U89-T89,0)+IF(V89="T",X89-W89,0)+IF(Z89="T",AB89-AA89,0)+IF(AC89="T",AE89-AD89,0)+IF(AG89="T",AI89-AH89,0)+IF(AJ89="T",AL89-AK89,0)+IF(AN89="T",AP89-AO89,0)+IF(AQ89="T",AS89-AR89,0)+IF(AU89="T",AW89-AV89,0)+IF(AX89="T",AZ89-AY89,0),"")</f>
        <v/>
      </c>
      <c r="S89" s="36" t="s">
        <v>306</v>
      </c>
      <c r="T89" s="37">
        <v>0.38541666666666669</v>
      </c>
      <c r="U89" s="37">
        <v>0.53125</v>
      </c>
      <c r="V89" s="21" t="s">
        <v>306</v>
      </c>
      <c r="W89" s="37">
        <v>0.57291666666666663</v>
      </c>
      <c r="X89" s="37">
        <v>0.73611111111111116</v>
      </c>
      <c r="Y89" s="38" t="str">
        <f t="shared" si="11"/>
        <v/>
      </c>
      <c r="Z89" s="36" t="s">
        <v>306</v>
      </c>
      <c r="AA89" s="37">
        <v>0.38541666666666669</v>
      </c>
      <c r="AB89" s="37">
        <v>0.53125</v>
      </c>
      <c r="AC89" s="21" t="s">
        <v>306</v>
      </c>
      <c r="AD89" s="37">
        <v>0.57291666666666663</v>
      </c>
      <c r="AE89" s="37">
        <v>0.73611111111111116</v>
      </c>
      <c r="AF89" s="38" t="str">
        <f t="shared" si="12"/>
        <v/>
      </c>
      <c r="AG89" s="36" t="s">
        <v>307</v>
      </c>
      <c r="AH89" s="37">
        <v>0.36458333333333331</v>
      </c>
      <c r="AI89" s="37">
        <v>0.53125</v>
      </c>
      <c r="AJ89" s="21" t="s">
        <v>307</v>
      </c>
      <c r="AK89" s="37">
        <v>0.57291666666666663</v>
      </c>
      <c r="AL89" s="37">
        <v>0.71527777777777779</v>
      </c>
      <c r="AM89" s="38" t="str">
        <f t="shared" si="13"/>
        <v/>
      </c>
      <c r="AN89" s="36" t="s">
        <v>306</v>
      </c>
      <c r="AO89" s="37">
        <v>0.38541666666666669</v>
      </c>
      <c r="AP89" s="37">
        <v>0.53125</v>
      </c>
      <c r="AQ89" s="21" t="s">
        <v>306</v>
      </c>
      <c r="AR89" s="37">
        <v>0.57291666666666663</v>
      </c>
      <c r="AS89" s="37">
        <v>0.73611111111111116</v>
      </c>
      <c r="AT89" s="38" t="str">
        <f t="shared" si="14"/>
        <v/>
      </c>
      <c r="AU89" s="36" t="s">
        <v>306</v>
      </c>
      <c r="AV89" s="37">
        <v>0.38541666666666669</v>
      </c>
      <c r="AW89" s="37">
        <v>0.53125</v>
      </c>
      <c r="AX89" s="21" t="s">
        <v>306</v>
      </c>
      <c r="AY89" s="37">
        <v>0.57291666666666663</v>
      </c>
      <c r="AZ89" s="37">
        <v>0.73611111111111116</v>
      </c>
      <c r="BA89" s="39" t="str">
        <f t="shared" si="15"/>
        <v/>
      </c>
      <c r="BB89" s="46" t="s">
        <v>353</v>
      </c>
      <c r="BC89" s="31" t="s">
        <v>354</v>
      </c>
      <c r="BD89" s="16" t="s">
        <v>322</v>
      </c>
      <c r="BE89" s="16" t="s">
        <v>311</v>
      </c>
      <c r="BF89" s="244" t="str">
        <f>T_BilanSocial2[[#This Row],[Nom]]&amp;T_BilanSocial2[[#This Row],[Prénom]]</f>
        <v/>
      </c>
    </row>
    <row r="90" spans="1:58" ht="21.75" hidden="1" customHeight="1" x14ac:dyDescent="0.25">
      <c r="A90" s="90">
        <v>244</v>
      </c>
      <c r="B90" s="126" t="s">
        <v>210</v>
      </c>
      <c r="C90" s="126" t="str">
        <f>VLOOKUP(T_BilanSocial2[[#This Row],[NumL]],T_Commission[#Data],COLUMN(T_Commission[FINAL]),FALSE)</f>
        <v/>
      </c>
      <c r="D90" s="19" t="str">
        <f t="shared" si="8"/>
        <v/>
      </c>
      <c r="E90" s="19" t="str">
        <f t="shared" si="9"/>
        <v/>
      </c>
      <c r="F90" s="242" t="str">
        <f>IFERROR(VLOOKUP(T_BilanSocial2[[#This Row],[Zone_Bilan]],T_P_BilanSocial[#Data],COLUMN(T_P_BilanSocial[[#This Row],[Numero_SIHAM]]),FALSE),"")</f>
        <v/>
      </c>
      <c r="G90" s="242" t="str">
        <f>IFERROR(VLOOKUP(T_BilanSocial2[[#This Row],[Zone_Bilan]],T_P_BilanSocial[#Data],COLUMN(T_P_BilanSocial[[#This Row],[Sexe]]),FALSE),"")</f>
        <v/>
      </c>
      <c r="H90" s="243" t="str">
        <f>IFERROR(VLOOKUP(T_BilanSocial2[[#This Row],[Zone_Bilan]],T_P_BilanSocial[#Data],COLUMN(T_P_BilanSocial[[#This Row],[Categorie]]),FALSE),"")</f>
        <v/>
      </c>
      <c r="I90" s="242" t="str">
        <f>IFERROR(VLOOKUP(T_BilanSocial2[[#This Row],[Zone_Bilan]],T_P_BilanSocial[#Data],COLUMN(T_P_BilanSocial[[#This Row],[Statut]]),FALSE),"")</f>
        <v/>
      </c>
      <c r="J90" s="242" t="str">
        <f>IFERROR(VLOOKUP(T_BilanSocial2[[#This Row],[Zone_Bilan]],T_P_BilanSocial[#Data],COLUMN(T_P_BilanSocial[[#This Row],[Filiere]]),FALSE),"")</f>
        <v/>
      </c>
      <c r="K90" s="78">
        <v>1</v>
      </c>
      <c r="L90" s="213">
        <v>1.5451388888888891</v>
      </c>
      <c r="M90" s="78" t="s">
        <v>210</v>
      </c>
      <c r="N90" s="79" t="str">
        <f>IF((AND(T_BilanSocial2[[#This Row],[Nom]]&lt;&gt;"",T_BilanSocial2[[#This Row],[Reg Ponct]]="R")),(COUNTIF(S90:AX90,"S")+COUNTIF(S90:AX90,"T"))/2,"")</f>
        <v/>
      </c>
      <c r="O90" s="79" t="str">
        <f>IF((AND(T_BilanSocial2[[#This Row],[Nom]]&lt;&gt;"",T_BilanSocial2[[#This Row],[Reg Ponct]]="R")),COUNTIF(S90:AX90,"S")/2,"")</f>
        <v/>
      </c>
      <c r="P90" s="80" t="str">
        <f>IF((AND(T_BilanSocial2[[#This Row],[Nom]]&lt;&gt;"",T_BilanSocial2[[#This Row],[Reg Ponct]]="R")),COUNTIF(S90:AX90,"t")/2,"")</f>
        <v/>
      </c>
      <c r="Q90" s="81" t="str">
        <f t="shared" si="10"/>
        <v/>
      </c>
      <c r="R90" s="82" t="str">
        <f>IF((AND(T_BilanSocial2[[#This Row],[Nom]]&lt;&gt;"",T_BilanSocial2[[#This Row],[Reg Ponct]]="R")),IF(S90="T",U90-T90,0)+IF(V90="T",X90-W90,0)+IF(Z90="T",AB90-AA90,0)+IF(AC90="T",AE90-AD90,0)+IF(AG90="T",AI90-AH90,0)+IF(AJ90="T",AL90-AK90,0)+IF(AN90="T",AP90-AO90,0)+IF(AQ90="T",AS90-AR90,0)+IF(AU90="T",AW90-AV90,0)+IF(AX90="T",AZ90-AY90,0),"")</f>
        <v/>
      </c>
      <c r="S90" s="36" t="s">
        <v>307</v>
      </c>
      <c r="T90" s="37">
        <v>0.33680555555555558</v>
      </c>
      <c r="U90" s="37">
        <v>0.5</v>
      </c>
      <c r="V90" s="21" t="s">
        <v>307</v>
      </c>
      <c r="W90" s="37">
        <v>0.54166666666666663</v>
      </c>
      <c r="X90" s="37">
        <v>0.70833333333333337</v>
      </c>
      <c r="Y90" s="38" t="str">
        <f t="shared" si="11"/>
        <v/>
      </c>
      <c r="Z90" s="36" t="s">
        <v>306</v>
      </c>
      <c r="AA90" s="37">
        <v>0.34375</v>
      </c>
      <c r="AB90" s="37">
        <v>0.5</v>
      </c>
      <c r="AC90" s="21" t="s">
        <v>306</v>
      </c>
      <c r="AD90" s="37">
        <v>0.54166666666666663</v>
      </c>
      <c r="AE90" s="37">
        <v>0.79166666666666663</v>
      </c>
      <c r="AF90" s="38" t="str">
        <f t="shared" si="12"/>
        <v/>
      </c>
      <c r="AG90" s="36" t="s">
        <v>306</v>
      </c>
      <c r="AH90" s="37">
        <v>0.34375</v>
      </c>
      <c r="AI90" s="37">
        <v>0.49652777777777773</v>
      </c>
      <c r="AJ90" s="21" t="s">
        <v>308</v>
      </c>
      <c r="AK90" s="37"/>
      <c r="AL90" s="37"/>
      <c r="AM90" s="38" t="str">
        <f t="shared" si="13"/>
        <v/>
      </c>
      <c r="AN90" s="36" t="s">
        <v>306</v>
      </c>
      <c r="AO90" s="37">
        <v>0.34375</v>
      </c>
      <c r="AP90" s="37">
        <v>0.5</v>
      </c>
      <c r="AQ90" s="21" t="s">
        <v>306</v>
      </c>
      <c r="AR90" s="37">
        <v>0.54166666666666663</v>
      </c>
      <c r="AS90" s="37">
        <v>0.70833333333333337</v>
      </c>
      <c r="AT90" s="38" t="str">
        <f t="shared" si="14"/>
        <v/>
      </c>
      <c r="AU90" s="36" t="s">
        <v>306</v>
      </c>
      <c r="AV90" s="37">
        <v>0.33333333333333331</v>
      </c>
      <c r="AW90" s="37">
        <v>0.54166666666666663</v>
      </c>
      <c r="AX90" s="21" t="s">
        <v>306</v>
      </c>
      <c r="AY90" s="37">
        <v>0.58333333333333337</v>
      </c>
      <c r="AZ90" s="37">
        <v>0.70833333333333337</v>
      </c>
      <c r="BA90" s="39" t="str">
        <f t="shared" si="15"/>
        <v/>
      </c>
      <c r="BB90" s="46" t="s">
        <v>508</v>
      </c>
      <c r="BC90" s="31" t="s">
        <v>509</v>
      </c>
      <c r="BD90" s="16" t="s">
        <v>322</v>
      </c>
      <c r="BE90" s="16" t="s">
        <v>322</v>
      </c>
      <c r="BF90" s="244" t="str">
        <f>T_BilanSocial2[[#This Row],[Nom]]&amp;T_BilanSocial2[[#This Row],[Prénom]]</f>
        <v/>
      </c>
    </row>
    <row r="91" spans="1:58" ht="21.75" hidden="1" customHeight="1" x14ac:dyDescent="0.25">
      <c r="A91" s="90">
        <v>119</v>
      </c>
      <c r="B91" s="126" t="s">
        <v>311</v>
      </c>
      <c r="C91" s="126" t="str">
        <f>VLOOKUP(T_BilanSocial2[[#This Row],[NumL]],T_Commission[#Data],COLUMN(T_Commission[FINAL]),FALSE)</f>
        <v/>
      </c>
      <c r="D91" s="19" t="str">
        <f t="shared" si="8"/>
        <v/>
      </c>
      <c r="E91" s="19" t="str">
        <f t="shared" si="9"/>
        <v/>
      </c>
      <c r="F91" s="242" t="str">
        <f>IFERROR(VLOOKUP(T_BilanSocial2[[#This Row],[Zone_Bilan]],T_P_BilanSocial[#Data],COLUMN(T_P_BilanSocial[[#This Row],[Numero_SIHAM]]),FALSE),"")</f>
        <v/>
      </c>
      <c r="G91" s="242" t="str">
        <f>IFERROR(VLOOKUP(T_BilanSocial2[[#This Row],[Zone_Bilan]],T_P_BilanSocial[#Data],COLUMN(T_P_BilanSocial[[#This Row],[Sexe]]),FALSE),"")</f>
        <v/>
      </c>
      <c r="H91" s="243" t="str">
        <f>IFERROR(VLOOKUP(T_BilanSocial2[[#This Row],[Zone_Bilan]],T_P_BilanSocial[#Data],COLUMN(T_P_BilanSocial[[#This Row],[Categorie]]),FALSE),"")</f>
        <v/>
      </c>
      <c r="I91" s="242" t="str">
        <f>IFERROR(VLOOKUP(T_BilanSocial2[[#This Row],[Zone_Bilan]],T_P_BilanSocial[#Data],COLUMN(T_P_BilanSocial[[#This Row],[Statut]]),FALSE),"")</f>
        <v/>
      </c>
      <c r="J91" s="242" t="str">
        <f>IFERROR(VLOOKUP(T_BilanSocial2[[#This Row],[Zone_Bilan]],T_P_BilanSocial[#Data],COLUMN(T_P_BilanSocial[[#This Row],[Filiere]]),FALSE),"")</f>
        <v/>
      </c>
      <c r="K91" s="78">
        <v>1</v>
      </c>
      <c r="L91" s="213">
        <v>1.5451388888888891</v>
      </c>
      <c r="M91" s="78" t="s">
        <v>210</v>
      </c>
      <c r="N91" s="79" t="str">
        <f>IF((AND(T_BilanSocial2[[#This Row],[Nom]]&lt;&gt;"",T_BilanSocial2[[#This Row],[Reg Ponct]]="R")),(COUNTIF(S91:AX91,"S")+COUNTIF(S91:AX91,"T"))/2,"")</f>
        <v/>
      </c>
      <c r="O91" s="79" t="str">
        <f>IF((AND(T_BilanSocial2[[#This Row],[Nom]]&lt;&gt;"",T_BilanSocial2[[#This Row],[Reg Ponct]]="R")),COUNTIF(S91:AX91,"S")/2,"")</f>
        <v/>
      </c>
      <c r="P91" s="80" t="str">
        <f>IF((AND(T_BilanSocial2[[#This Row],[Nom]]&lt;&gt;"",T_BilanSocial2[[#This Row],[Reg Ponct]]="R")),COUNTIF(S91:AX91,"t")/2,"")</f>
        <v/>
      </c>
      <c r="Q91" s="81" t="str">
        <f t="shared" si="10"/>
        <v/>
      </c>
      <c r="R91" s="82" t="str">
        <f>IF((AND(T_BilanSocial2[[#This Row],[Nom]]&lt;&gt;"",T_BilanSocial2[[#This Row],[Reg Ponct]]="R")),IF(S91="T",U91-T91,0)+IF(V91="T",X91-W91,0)+IF(Z91="T",AB91-AA91,0)+IF(AC91="T",AE91-AD91,0)+IF(AG91="T",AI91-AH91,0)+IF(AJ91="T",AL91-AK91,0)+IF(AN91="T",AP91-AO91,0)+IF(AQ91="T",AS91-AR91,0)+IF(AU91="T",AW91-AV91,0)+IF(AX91="T",AZ91-AY91,0),"")</f>
        <v/>
      </c>
      <c r="S91" s="36" t="s">
        <v>306</v>
      </c>
      <c r="T91" s="37">
        <v>0.33333333333333331</v>
      </c>
      <c r="U91" s="37">
        <v>0.5</v>
      </c>
      <c r="V91" s="21" t="s">
        <v>306</v>
      </c>
      <c r="W91" s="37">
        <v>0.5625</v>
      </c>
      <c r="X91" s="37">
        <v>0.70833333333333337</v>
      </c>
      <c r="Y91" s="38" t="str">
        <f t="shared" si="11"/>
        <v/>
      </c>
      <c r="Z91" s="36" t="s">
        <v>307</v>
      </c>
      <c r="AA91" s="37">
        <v>0.33333333333333331</v>
      </c>
      <c r="AB91" s="37">
        <v>0.5</v>
      </c>
      <c r="AC91" s="21" t="s">
        <v>307</v>
      </c>
      <c r="AD91" s="37">
        <v>0.5625</v>
      </c>
      <c r="AE91" s="37">
        <v>0.72916666666666663</v>
      </c>
      <c r="AF91" s="38" t="str">
        <f t="shared" si="12"/>
        <v/>
      </c>
      <c r="AG91" s="36" t="s">
        <v>306</v>
      </c>
      <c r="AH91" s="37">
        <v>0.37152777777777773</v>
      </c>
      <c r="AI91" s="37">
        <v>0.52083333333333337</v>
      </c>
      <c r="AJ91" s="21" t="s">
        <v>306</v>
      </c>
      <c r="AK91" s="37">
        <v>0.5625</v>
      </c>
      <c r="AL91" s="37">
        <v>0.70833333333333337</v>
      </c>
      <c r="AM91" s="38" t="str">
        <f t="shared" si="13"/>
        <v/>
      </c>
      <c r="AN91" s="36" t="s">
        <v>306</v>
      </c>
      <c r="AO91" s="37">
        <v>0.375</v>
      </c>
      <c r="AP91" s="37">
        <v>0.52083333333333337</v>
      </c>
      <c r="AQ91" s="21" t="s">
        <v>306</v>
      </c>
      <c r="AR91" s="37">
        <v>0.5625</v>
      </c>
      <c r="AS91" s="37">
        <v>0.72916666666666663</v>
      </c>
      <c r="AT91" s="38" t="str">
        <f t="shared" si="14"/>
        <v/>
      </c>
      <c r="AU91" s="36" t="s">
        <v>306</v>
      </c>
      <c r="AV91" s="37">
        <v>0.375</v>
      </c>
      <c r="AW91" s="37">
        <v>0.52083333333333337</v>
      </c>
      <c r="AX91" s="21" t="s">
        <v>306</v>
      </c>
      <c r="AY91" s="37">
        <v>0.5625</v>
      </c>
      <c r="AZ91" s="37">
        <v>0.70833333333333337</v>
      </c>
      <c r="BA91" s="39" t="str">
        <f t="shared" si="15"/>
        <v/>
      </c>
      <c r="BB91" s="46" t="s">
        <v>607</v>
      </c>
      <c r="BC91" s="31" t="s">
        <v>608</v>
      </c>
      <c r="BD91" s="16" t="s">
        <v>311</v>
      </c>
      <c r="BE91" s="16" t="s">
        <v>311</v>
      </c>
      <c r="BF91" s="244" t="str">
        <f>T_BilanSocial2[[#This Row],[Nom]]&amp;T_BilanSocial2[[#This Row],[Prénom]]</f>
        <v/>
      </c>
    </row>
    <row r="92" spans="1:58" ht="21.75" hidden="1" customHeight="1" x14ac:dyDescent="0.25">
      <c r="A92" s="90">
        <v>113</v>
      </c>
      <c r="B92" s="126" t="s">
        <v>311</v>
      </c>
      <c r="C92" s="126" t="str">
        <f>VLOOKUP(T_BilanSocial2[[#This Row],[NumL]],T_Commission[#Data],COLUMN(T_Commission[FINAL]),FALSE)</f>
        <v/>
      </c>
      <c r="D92" s="19" t="str">
        <f t="shared" si="8"/>
        <v/>
      </c>
      <c r="E92" s="19" t="str">
        <f t="shared" si="9"/>
        <v/>
      </c>
      <c r="F92" s="242" t="str">
        <f>IFERROR(VLOOKUP(T_BilanSocial2[[#This Row],[Zone_Bilan]],T_P_BilanSocial[#Data],COLUMN(T_P_BilanSocial[[#This Row],[Numero_SIHAM]]),FALSE),"")</f>
        <v/>
      </c>
      <c r="G92" s="242" t="str">
        <f>IFERROR(VLOOKUP(T_BilanSocial2[[#This Row],[Zone_Bilan]],T_P_BilanSocial[#Data],COLUMN(T_P_BilanSocial[[#This Row],[Sexe]]),FALSE),"")</f>
        <v/>
      </c>
      <c r="H92" s="243" t="str">
        <f>IFERROR(VLOOKUP(T_BilanSocial2[[#This Row],[Zone_Bilan]],T_P_BilanSocial[#Data],COLUMN(T_P_BilanSocial[[#This Row],[Categorie]]),FALSE),"")</f>
        <v/>
      </c>
      <c r="I92" s="242" t="str">
        <f>IFERROR(VLOOKUP(T_BilanSocial2[[#This Row],[Zone_Bilan]],T_P_BilanSocial[#Data],COLUMN(T_P_BilanSocial[[#This Row],[Statut]]),FALSE),"")</f>
        <v/>
      </c>
      <c r="J92" s="242" t="str">
        <f>IFERROR(VLOOKUP(T_BilanSocial2[[#This Row],[Zone_Bilan]],T_P_BilanSocial[#Data],COLUMN(T_P_BilanSocial[[#This Row],[Filiere]]),FALSE),"")</f>
        <v/>
      </c>
      <c r="K92" s="78">
        <v>1</v>
      </c>
      <c r="L92" s="213">
        <v>1.5451388888888891</v>
      </c>
      <c r="M92" s="78" t="s">
        <v>210</v>
      </c>
      <c r="N92" s="79" t="str">
        <f>IF((AND(T_BilanSocial2[[#This Row],[Nom]]&lt;&gt;"",T_BilanSocial2[[#This Row],[Reg Ponct]]="R")),(COUNTIF(S92:AX92,"S")+COUNTIF(S92:AX92,"T"))/2,"")</f>
        <v/>
      </c>
      <c r="O92" s="79" t="str">
        <f>IF((AND(T_BilanSocial2[[#This Row],[Nom]]&lt;&gt;"",T_BilanSocial2[[#This Row],[Reg Ponct]]="R")),COUNTIF(S92:AX92,"S")/2,"")</f>
        <v/>
      </c>
      <c r="P92" s="80" t="str">
        <f>IF((AND(T_BilanSocial2[[#This Row],[Nom]]&lt;&gt;"",T_BilanSocial2[[#This Row],[Reg Ponct]]="R")),COUNTIF(S92:AX92,"t")/2,"")</f>
        <v/>
      </c>
      <c r="Q92" s="81" t="str">
        <f t="shared" si="10"/>
        <v/>
      </c>
      <c r="R92" s="82" t="str">
        <f>IF((AND(T_BilanSocial2[[#This Row],[Nom]]&lt;&gt;"",T_BilanSocial2[[#This Row],[Reg Ponct]]="R")),IF(S92="T",U92-T92,0)+IF(V92="T",X92-W92,0)+IF(Z92="T",AB92-AA92,0)+IF(AC92="T",AE92-AD92,0)+IF(AG92="T",AI92-AH92,0)+IF(AJ92="T",AL92-AK92,0)+IF(AN92="T",AP92-AO92,0)+IF(AQ92="T",AS92-AR92,0)+IF(AU92="T",AW92-AV92,0)+IF(AX92="T",AZ92-AY92,0),"")</f>
        <v/>
      </c>
      <c r="S92" s="36" t="s">
        <v>307</v>
      </c>
      <c r="T92" s="37">
        <v>0.35416666666666669</v>
      </c>
      <c r="U92" s="37">
        <v>0.5</v>
      </c>
      <c r="V92" s="21" t="s">
        <v>307</v>
      </c>
      <c r="W92" s="37">
        <v>0.54166666666666663</v>
      </c>
      <c r="X92" s="37">
        <v>0.70833333333333337</v>
      </c>
      <c r="Y92" s="38" t="str">
        <f t="shared" si="11"/>
        <v/>
      </c>
      <c r="Z92" s="36" t="s">
        <v>306</v>
      </c>
      <c r="AA92" s="37">
        <v>0.35416666666666669</v>
      </c>
      <c r="AB92" s="37">
        <v>0.5</v>
      </c>
      <c r="AC92" s="21" t="s">
        <v>306</v>
      </c>
      <c r="AD92" s="37">
        <v>0.54166666666666663</v>
      </c>
      <c r="AE92" s="37">
        <v>0.70833333333333337</v>
      </c>
      <c r="AF92" s="38" t="str">
        <f t="shared" si="12"/>
        <v/>
      </c>
      <c r="AG92" s="36" t="s">
        <v>306</v>
      </c>
      <c r="AH92" s="37">
        <v>0.35416666666666669</v>
      </c>
      <c r="AI92" s="37">
        <v>0.5</v>
      </c>
      <c r="AJ92" s="21" t="s">
        <v>306</v>
      </c>
      <c r="AK92" s="37">
        <v>0.54166666666666663</v>
      </c>
      <c r="AL92" s="37">
        <v>0.70833333333333337</v>
      </c>
      <c r="AM92" s="38" t="str">
        <f t="shared" si="13"/>
        <v/>
      </c>
      <c r="AN92" s="36" t="s">
        <v>306</v>
      </c>
      <c r="AO92" s="37">
        <v>0.35416666666666669</v>
      </c>
      <c r="AP92" s="37">
        <v>0.5</v>
      </c>
      <c r="AQ92" s="21" t="s">
        <v>306</v>
      </c>
      <c r="AR92" s="37">
        <v>0.54166666666666663</v>
      </c>
      <c r="AS92" s="37">
        <v>0.70833333333333337</v>
      </c>
      <c r="AT92" s="38" t="str">
        <f t="shared" si="14"/>
        <v/>
      </c>
      <c r="AU92" s="36" t="s">
        <v>306</v>
      </c>
      <c r="AV92" s="37">
        <v>0.35416666666666669</v>
      </c>
      <c r="AW92" s="37">
        <v>0.5</v>
      </c>
      <c r="AX92" s="21" t="s">
        <v>306</v>
      </c>
      <c r="AY92" s="37">
        <v>0.54166666666666663</v>
      </c>
      <c r="AZ92" s="37">
        <v>0.69097222222222221</v>
      </c>
      <c r="BA92" s="39" t="str">
        <f t="shared" si="15"/>
        <v/>
      </c>
      <c r="BB92" s="46" t="s">
        <v>353</v>
      </c>
      <c r="BC92" s="31" t="s">
        <v>354</v>
      </c>
      <c r="BD92" s="16" t="s">
        <v>311</v>
      </c>
      <c r="BE92" s="16" t="s">
        <v>311</v>
      </c>
      <c r="BF92" s="244" t="str">
        <f>T_BilanSocial2[[#This Row],[Nom]]&amp;T_BilanSocial2[[#This Row],[Prénom]]</f>
        <v/>
      </c>
    </row>
    <row r="93" spans="1:58" ht="21.75" hidden="1" customHeight="1" x14ac:dyDescent="0.25">
      <c r="A93" s="90">
        <v>156</v>
      </c>
      <c r="B93" s="126" t="s">
        <v>311</v>
      </c>
      <c r="C93" s="126" t="e">
        <f>VLOOKUP(T_BilanSocial2[[#This Row],[NumL]],T_Commission[#Data],COLUMN(T_Commission[FINAL]),FALSE)</f>
        <v>#N/A</v>
      </c>
      <c r="D93" s="19" t="str">
        <f t="shared" si="8"/>
        <v/>
      </c>
      <c r="E93" s="19" t="str">
        <f t="shared" si="9"/>
        <v/>
      </c>
      <c r="F93" s="242" t="str">
        <f>IFERROR(VLOOKUP(T_BilanSocial2[[#This Row],[Zone_Bilan]],T_P_BilanSocial[#Data],COLUMN(T_P_BilanSocial[[#This Row],[Numero_SIHAM]]),FALSE),"")</f>
        <v/>
      </c>
      <c r="G93" s="242" t="str">
        <f>IFERROR(VLOOKUP(T_BilanSocial2[[#This Row],[Zone_Bilan]],T_P_BilanSocial[#Data],COLUMN(T_P_BilanSocial[[#This Row],[Sexe]]),FALSE),"")</f>
        <v/>
      </c>
      <c r="H93" s="243" t="str">
        <f>IFERROR(VLOOKUP(T_BilanSocial2[[#This Row],[Zone_Bilan]],T_P_BilanSocial[#Data],COLUMN(T_P_BilanSocial[[#This Row],[Categorie]]),FALSE),"")</f>
        <v/>
      </c>
      <c r="I93" s="242" t="str">
        <f>IFERROR(VLOOKUP(T_BilanSocial2[[#This Row],[Zone_Bilan]],T_P_BilanSocial[#Data],COLUMN(T_P_BilanSocial[[#This Row],[Statut]]),FALSE),"")</f>
        <v/>
      </c>
      <c r="J93" s="242" t="str">
        <f>IFERROR(VLOOKUP(T_BilanSocial2[[#This Row],[Zone_Bilan]],T_P_BilanSocial[#Data],COLUMN(T_P_BilanSocial[[#This Row],[Filiere]]),FALSE),"")</f>
        <v/>
      </c>
      <c r="K93" s="78">
        <v>1</v>
      </c>
      <c r="L93" s="213">
        <v>1.5451388888888891</v>
      </c>
      <c r="M93" s="78" t="s">
        <v>211</v>
      </c>
      <c r="N93" s="79" t="str">
        <f>IF((AND(T_BilanSocial2[[#This Row],[Nom]]&lt;&gt;"",T_BilanSocial2[[#This Row],[Reg Ponct]]="R")),(COUNTIF(S93:AX93,"S")+COUNTIF(S93:AX93,"T"))/2,"")</f>
        <v/>
      </c>
      <c r="O93" s="79" t="str">
        <f>IF((AND(T_BilanSocial2[[#This Row],[Nom]]&lt;&gt;"",T_BilanSocial2[[#This Row],[Reg Ponct]]="R")),COUNTIF(S93:AX93,"S")/2,"")</f>
        <v/>
      </c>
      <c r="P93" s="80" t="str">
        <f>IF((AND(T_BilanSocial2[[#This Row],[Nom]]&lt;&gt;"",T_BilanSocial2[[#This Row],[Reg Ponct]]="R")),COUNTIF(S93:AX93,"t")/2,"")</f>
        <v/>
      </c>
      <c r="Q93" s="81" t="str">
        <f t="shared" si="10"/>
        <v/>
      </c>
      <c r="R93" s="82" t="str">
        <f>IF((AND(T_BilanSocial2[[#This Row],[Nom]]&lt;&gt;"",T_BilanSocial2[[#This Row],[Reg Ponct]]="R")),IF(S93="T",U93-T93,0)+IF(V93="T",X93-W93,0)+IF(Z93="T",AB93-AA93,0)+IF(AC93="T",AE93-AD93,0)+IF(AG93="T",AI93-AH93,0)+IF(AJ93="T",AL93-AK93,0)+IF(AN93="T",AP93-AO93,0)+IF(AQ93="T",AS93-AR93,0)+IF(AU93="T",AW93-AV93,0)+IF(AX93="T",AZ93-AY93,0),"")</f>
        <v/>
      </c>
      <c r="S93" s="36"/>
      <c r="T93" s="37"/>
      <c r="U93" s="37"/>
      <c r="V93" s="21"/>
      <c r="W93" s="37"/>
      <c r="X93" s="37"/>
      <c r="Y93" s="38" t="str">
        <f t="shared" si="11"/>
        <v/>
      </c>
      <c r="Z93" s="36"/>
      <c r="AA93" s="37"/>
      <c r="AB93" s="37"/>
      <c r="AC93" s="21"/>
      <c r="AD93" s="37"/>
      <c r="AE93" s="37"/>
      <c r="AF93" s="38" t="str">
        <f t="shared" si="12"/>
        <v/>
      </c>
      <c r="AG93" s="36"/>
      <c r="AH93" s="37"/>
      <c r="AI93" s="37"/>
      <c r="AJ93" s="21"/>
      <c r="AK93" s="37"/>
      <c r="AL93" s="37"/>
      <c r="AM93" s="38" t="str">
        <f t="shared" si="13"/>
        <v/>
      </c>
      <c r="AN93" s="36"/>
      <c r="AO93" s="37"/>
      <c r="AP93" s="37"/>
      <c r="AQ93" s="21"/>
      <c r="AR93" s="37"/>
      <c r="AS93" s="37"/>
      <c r="AT93" s="38" t="str">
        <f t="shared" si="14"/>
        <v/>
      </c>
      <c r="AU93" s="36"/>
      <c r="AV93" s="37"/>
      <c r="AW93" s="37"/>
      <c r="AX93" s="21"/>
      <c r="AY93" s="37"/>
      <c r="AZ93" s="37"/>
      <c r="BA93" s="39" t="str">
        <f t="shared" si="15"/>
        <v/>
      </c>
      <c r="BB93" s="46" t="s">
        <v>376</v>
      </c>
      <c r="BC93" s="31" t="s">
        <v>341</v>
      </c>
      <c r="BD93" s="16" t="s">
        <v>311</v>
      </c>
      <c r="BE93" s="16" t="s">
        <v>322</v>
      </c>
      <c r="BF93" s="244" t="str">
        <f>T_BilanSocial2[[#This Row],[Nom]]&amp;T_BilanSocial2[[#This Row],[Prénom]]</f>
        <v/>
      </c>
    </row>
    <row r="94" spans="1:58" ht="21.75" hidden="1" customHeight="1" x14ac:dyDescent="0.25">
      <c r="A94" s="90">
        <v>158</v>
      </c>
      <c r="B94" s="126" t="s">
        <v>311</v>
      </c>
      <c r="C94" s="126" t="str">
        <f>VLOOKUP(T_BilanSocial2[[#This Row],[NumL]],T_Commission[#Data],COLUMN(T_Commission[FINAL]),FALSE)</f>
        <v/>
      </c>
      <c r="D94" s="19" t="str">
        <f t="shared" si="8"/>
        <v/>
      </c>
      <c r="E94" s="19" t="str">
        <f t="shared" si="9"/>
        <v/>
      </c>
      <c r="F94" s="242" t="str">
        <f>IFERROR(VLOOKUP(T_BilanSocial2[[#This Row],[Zone_Bilan]],T_P_BilanSocial[#Data],COLUMN(T_P_BilanSocial[[#This Row],[Numero_SIHAM]]),FALSE),"")</f>
        <v/>
      </c>
      <c r="G94" s="242" t="str">
        <f>IFERROR(VLOOKUP(T_BilanSocial2[[#This Row],[Zone_Bilan]],T_P_BilanSocial[#Data],COLUMN(T_P_BilanSocial[[#This Row],[Sexe]]),FALSE),"")</f>
        <v/>
      </c>
      <c r="H94" s="243" t="str">
        <f>IFERROR(VLOOKUP(T_BilanSocial2[[#This Row],[Zone_Bilan]],T_P_BilanSocial[#Data],COLUMN(T_P_BilanSocial[[#This Row],[Categorie]]),FALSE),"")</f>
        <v/>
      </c>
      <c r="I94" s="242" t="str">
        <f>IFERROR(VLOOKUP(T_BilanSocial2[[#This Row],[Zone_Bilan]],T_P_BilanSocial[#Data],COLUMN(T_P_BilanSocial[[#This Row],[Statut]]),FALSE),"")</f>
        <v/>
      </c>
      <c r="J94" s="242" t="str">
        <f>IFERROR(VLOOKUP(T_BilanSocial2[[#This Row],[Zone_Bilan]],T_P_BilanSocial[#Data],COLUMN(T_P_BilanSocial[[#This Row],[Filiere]]),FALSE),"")</f>
        <v/>
      </c>
      <c r="K94" s="78">
        <v>0.8</v>
      </c>
      <c r="L94" s="213">
        <v>1.2361111111111112</v>
      </c>
      <c r="M94" s="78" t="s">
        <v>210</v>
      </c>
      <c r="N94" s="79" t="str">
        <f>IF((AND(T_BilanSocial2[[#This Row],[Nom]]&lt;&gt;"",T_BilanSocial2[[#This Row],[Reg Ponct]]="R")),(COUNTIF(S94:AX94,"S")+COUNTIF(S94:AX94,"T"))/2,"")</f>
        <v/>
      </c>
      <c r="O94" s="79" t="str">
        <f>IF((AND(T_BilanSocial2[[#This Row],[Nom]]&lt;&gt;"",T_BilanSocial2[[#This Row],[Reg Ponct]]="R")),COUNTIF(S94:AX94,"S")/2,"")</f>
        <v/>
      </c>
      <c r="P94" s="80" t="str">
        <f>IF((AND(T_BilanSocial2[[#This Row],[Nom]]&lt;&gt;"",T_BilanSocial2[[#This Row],[Reg Ponct]]="R")),COUNTIF(S94:AX94,"t")/2,"")</f>
        <v/>
      </c>
      <c r="Q94" s="81" t="str">
        <f t="shared" si="10"/>
        <v/>
      </c>
      <c r="R94" s="82" t="str">
        <f>IF((AND(T_BilanSocial2[[#This Row],[Nom]]&lt;&gt;"",T_BilanSocial2[[#This Row],[Reg Ponct]]="R")),IF(S94="T",U94-T94,0)+IF(V94="T",X94-W94,0)+IF(Z94="T",AB94-AA94,0)+IF(AC94="T",AE94-AD94,0)+IF(AG94="T",AI94-AH94,0)+IF(AJ94="T",AL94-AK94,0)+IF(AN94="T",AP94-AO94,0)+IF(AQ94="T",AS94-AR94,0)+IF(AU94="T",AW94-AV94,0)+IF(AX94="T",AZ94-AY94,0),"")</f>
        <v/>
      </c>
      <c r="S94" s="36" t="s">
        <v>308</v>
      </c>
      <c r="T94" s="37"/>
      <c r="U94" s="37"/>
      <c r="V94" s="21" t="s">
        <v>308</v>
      </c>
      <c r="W94" s="37"/>
      <c r="X94" s="37"/>
      <c r="Y94" s="38" t="str">
        <f t="shared" si="11"/>
        <v/>
      </c>
      <c r="Z94" s="36" t="s">
        <v>306</v>
      </c>
      <c r="AA94" s="37">
        <v>0.35416666666666669</v>
      </c>
      <c r="AB94" s="37">
        <v>0.5</v>
      </c>
      <c r="AC94" s="21" t="s">
        <v>306</v>
      </c>
      <c r="AD94" s="37">
        <v>0.54166666666666663</v>
      </c>
      <c r="AE94" s="37">
        <v>0.625</v>
      </c>
      <c r="AF94" s="38" t="str">
        <f t="shared" si="12"/>
        <v/>
      </c>
      <c r="AG94" s="36" t="s">
        <v>306</v>
      </c>
      <c r="AH94" s="37">
        <v>0.35416666666666669</v>
      </c>
      <c r="AI94" s="37">
        <v>0.5</v>
      </c>
      <c r="AJ94" s="21" t="s">
        <v>306</v>
      </c>
      <c r="AK94" s="37">
        <v>0.54166666666666663</v>
      </c>
      <c r="AL94" s="37">
        <v>0.67361111111111116</v>
      </c>
      <c r="AM94" s="38" t="str">
        <f t="shared" si="13"/>
        <v/>
      </c>
      <c r="AN94" s="36" t="s">
        <v>307</v>
      </c>
      <c r="AO94" s="37">
        <v>0.35416666666666669</v>
      </c>
      <c r="AP94" s="37">
        <v>0.54166666666666663</v>
      </c>
      <c r="AQ94" s="21" t="s">
        <v>306</v>
      </c>
      <c r="AR94" s="37">
        <v>0.58333333333333337</v>
      </c>
      <c r="AS94" s="37">
        <v>0.79166666666666663</v>
      </c>
      <c r="AT94" s="38" t="str">
        <f t="shared" si="14"/>
        <v/>
      </c>
      <c r="AU94" s="36" t="s">
        <v>306</v>
      </c>
      <c r="AV94" s="37">
        <v>0.34375</v>
      </c>
      <c r="AW94" s="37">
        <v>0.5</v>
      </c>
      <c r="AX94" s="21" t="s">
        <v>306</v>
      </c>
      <c r="AY94" s="37">
        <v>0.54166666666666663</v>
      </c>
      <c r="AZ94" s="37">
        <v>0.71875</v>
      </c>
      <c r="BA94" s="39" t="str">
        <f t="shared" si="15"/>
        <v/>
      </c>
      <c r="BB94" s="46" t="s">
        <v>340</v>
      </c>
      <c r="BC94" s="31" t="s">
        <v>341</v>
      </c>
      <c r="BD94" s="16" t="s">
        <v>311</v>
      </c>
      <c r="BE94" s="16" t="s">
        <v>311</v>
      </c>
      <c r="BF94" s="244" t="str">
        <f>T_BilanSocial2[[#This Row],[Nom]]&amp;T_BilanSocial2[[#This Row],[Prénom]]</f>
        <v/>
      </c>
    </row>
    <row r="95" spans="1:58" ht="21.75" hidden="1" customHeight="1" x14ac:dyDescent="0.25">
      <c r="A95" s="90">
        <v>118</v>
      </c>
      <c r="B95" s="126" t="s">
        <v>311</v>
      </c>
      <c r="C95" s="126" t="str">
        <f>VLOOKUP(T_BilanSocial2[[#This Row],[NumL]],T_Commission[#Data],COLUMN(T_Commission[FINAL]),FALSE)</f>
        <v/>
      </c>
      <c r="D95" s="19" t="str">
        <f t="shared" si="8"/>
        <v/>
      </c>
      <c r="E95" s="19" t="str">
        <f t="shared" si="9"/>
        <v/>
      </c>
      <c r="F95" s="242" t="str">
        <f>IFERROR(VLOOKUP(T_BilanSocial2[[#This Row],[Zone_Bilan]],T_P_BilanSocial[#Data],COLUMN(T_P_BilanSocial[[#This Row],[Numero_SIHAM]]),FALSE),"")</f>
        <v/>
      </c>
      <c r="G95" s="242" t="str">
        <f>IFERROR(VLOOKUP(T_BilanSocial2[[#This Row],[Zone_Bilan]],T_P_BilanSocial[#Data],COLUMN(T_P_BilanSocial[[#This Row],[Sexe]]),FALSE),"")</f>
        <v/>
      </c>
      <c r="H95" s="243" t="str">
        <f>IFERROR(VLOOKUP(T_BilanSocial2[[#This Row],[Zone_Bilan]],T_P_BilanSocial[#Data],COLUMN(T_P_BilanSocial[[#This Row],[Categorie]]),FALSE),"")</f>
        <v/>
      </c>
      <c r="I95" s="242" t="str">
        <f>IFERROR(VLOOKUP(T_BilanSocial2[[#This Row],[Zone_Bilan]],T_P_BilanSocial[#Data],COLUMN(T_P_BilanSocial[[#This Row],[Statut]]),FALSE),"")</f>
        <v/>
      </c>
      <c r="J95" s="242" t="str">
        <f>IFERROR(VLOOKUP(T_BilanSocial2[[#This Row],[Zone_Bilan]],T_P_BilanSocial[#Data],COLUMN(T_P_BilanSocial[[#This Row],[Filiere]]),FALSE),"")</f>
        <v/>
      </c>
      <c r="K95" s="78">
        <v>0.8</v>
      </c>
      <c r="L95" s="213">
        <v>1.2361111111111112</v>
      </c>
      <c r="M95" s="78" t="s">
        <v>210</v>
      </c>
      <c r="N95" s="79" t="str">
        <f>IF((AND(T_BilanSocial2[[#This Row],[Nom]]&lt;&gt;"",T_BilanSocial2[[#This Row],[Reg Ponct]]="R")),(COUNTIF(S95:AX95,"S")+COUNTIF(S95:AX95,"T"))/2,"")</f>
        <v/>
      </c>
      <c r="O95" s="79" t="str">
        <f>IF((AND(T_BilanSocial2[[#This Row],[Nom]]&lt;&gt;"",T_BilanSocial2[[#This Row],[Reg Ponct]]="R")),COUNTIF(S95:AX95,"S")/2,"")</f>
        <v/>
      </c>
      <c r="P95" s="80" t="str">
        <f>IF((AND(T_BilanSocial2[[#This Row],[Nom]]&lt;&gt;"",T_BilanSocial2[[#This Row],[Reg Ponct]]="R")),COUNTIF(S95:AX95,"t")/2,"")</f>
        <v/>
      </c>
      <c r="Q95" s="81" t="str">
        <f t="shared" si="10"/>
        <v/>
      </c>
      <c r="R95" s="82" t="str">
        <f>IF((AND(T_BilanSocial2[[#This Row],[Nom]]&lt;&gt;"",T_BilanSocial2[[#This Row],[Reg Ponct]]="R")),IF(S95="T",U95-T95,0)+IF(V95="T",X95-W95,0)+IF(Z95="T",AB95-AA95,0)+IF(AC95="T",AE95-AD95,0)+IF(AG95="T",AI95-AH95,0)+IF(AJ95="T",AL95-AK95,0)+IF(AN95="T",AP95-AO95,0)+IF(AQ95="T",AS95-AR95,0)+IF(AU95="T",AW95-AV95,0)+IF(AX95="T",AZ95-AY95,0),"")</f>
        <v/>
      </c>
      <c r="S95" s="36" t="s">
        <v>306</v>
      </c>
      <c r="T95" s="37">
        <v>0.40277777777777773</v>
      </c>
      <c r="U95" s="37">
        <v>0.5</v>
      </c>
      <c r="V95" s="21" t="s">
        <v>306</v>
      </c>
      <c r="W95" s="37">
        <v>0.54166666666666663</v>
      </c>
      <c r="X95" s="37">
        <v>0.71527777777777779</v>
      </c>
      <c r="Y95" s="38" t="str">
        <f t="shared" si="11"/>
        <v/>
      </c>
      <c r="Z95" s="36" t="s">
        <v>306</v>
      </c>
      <c r="AA95" s="37">
        <v>0.3263888888888889</v>
      </c>
      <c r="AB95" s="37">
        <v>0.5</v>
      </c>
      <c r="AC95" s="21" t="s">
        <v>306</v>
      </c>
      <c r="AD95" s="37">
        <v>0.54166666666666663</v>
      </c>
      <c r="AE95" s="37">
        <v>0.72222222222222221</v>
      </c>
      <c r="AF95" s="38" t="str">
        <f t="shared" si="12"/>
        <v/>
      </c>
      <c r="AG95" s="36" t="s">
        <v>307</v>
      </c>
      <c r="AH95" s="37">
        <v>0.3263888888888889</v>
      </c>
      <c r="AI95" s="37">
        <v>0.45833333333333331</v>
      </c>
      <c r="AJ95" s="21" t="s">
        <v>308</v>
      </c>
      <c r="AK95" s="37"/>
      <c r="AL95" s="37"/>
      <c r="AM95" s="38" t="str">
        <f t="shared" si="13"/>
        <v/>
      </c>
      <c r="AN95" s="36" t="s">
        <v>306</v>
      </c>
      <c r="AO95" s="37">
        <v>0.3263888888888889</v>
      </c>
      <c r="AP95" s="37">
        <v>0.5</v>
      </c>
      <c r="AQ95" s="21" t="s">
        <v>306</v>
      </c>
      <c r="AR95" s="37">
        <v>0.54166666666666663</v>
      </c>
      <c r="AS95" s="37">
        <v>0.71527777777777779</v>
      </c>
      <c r="AT95" s="38" t="str">
        <f t="shared" si="14"/>
        <v/>
      </c>
      <c r="AU95" s="36" t="s">
        <v>307</v>
      </c>
      <c r="AV95" s="37">
        <v>0.3263888888888889</v>
      </c>
      <c r="AW95" s="37">
        <v>0.45833333333333331</v>
      </c>
      <c r="AX95" s="21" t="s">
        <v>308</v>
      </c>
      <c r="AY95" s="37"/>
      <c r="AZ95" s="37"/>
      <c r="BA95" s="39" t="str">
        <f t="shared" si="15"/>
        <v/>
      </c>
      <c r="BB95" s="46" t="s">
        <v>376</v>
      </c>
      <c r="BC95" s="31" t="s">
        <v>341</v>
      </c>
      <c r="BD95" s="16" t="s">
        <v>311</v>
      </c>
      <c r="BE95" s="16" t="s">
        <v>311</v>
      </c>
      <c r="BF95" s="244" t="str">
        <f>T_BilanSocial2[[#This Row],[Nom]]&amp;T_BilanSocial2[[#This Row],[Prénom]]</f>
        <v/>
      </c>
    </row>
    <row r="96" spans="1:58" ht="21.75" customHeight="1" x14ac:dyDescent="0.25">
      <c r="A96" s="90">
        <v>160</v>
      </c>
      <c r="B96" s="126" t="s">
        <v>311</v>
      </c>
      <c r="C96" s="126" t="str">
        <f>VLOOKUP(T_BilanSocial2[[#This Row],[NumL]],T_Commission[#Data],COLUMN(T_Commission[FINAL]),FALSE)</f>
        <v/>
      </c>
      <c r="D96" s="19" t="str">
        <f t="shared" si="8"/>
        <v/>
      </c>
      <c r="E96" s="19" t="str">
        <f t="shared" si="9"/>
        <v/>
      </c>
      <c r="F96" s="242" t="str">
        <f>IFERROR(VLOOKUP(T_BilanSocial2[[#This Row],[Zone_Bilan]],T_P_BilanSocial[#Data],COLUMN(T_P_BilanSocial[[#This Row],[Numero_SIHAM]]),FALSE),"")</f>
        <v/>
      </c>
      <c r="G96" s="242" t="str">
        <f>IFERROR(VLOOKUP(T_BilanSocial2[[#This Row],[Zone_Bilan]],T_P_BilanSocial[#Data],COLUMN(T_P_BilanSocial[[#This Row],[Sexe]]),FALSE),"")</f>
        <v/>
      </c>
      <c r="H96" s="243" t="str">
        <f>IFERROR(VLOOKUP(T_BilanSocial2[[#This Row],[Zone_Bilan]],T_P_BilanSocial[#Data],COLUMN(T_P_BilanSocial[[#This Row],[Categorie]]),FALSE),"")</f>
        <v/>
      </c>
      <c r="I96" s="242" t="str">
        <f>IFERROR(VLOOKUP(T_BilanSocial2[[#This Row],[Zone_Bilan]],T_P_BilanSocial[#Data],COLUMN(T_P_BilanSocial[[#This Row],[Statut]]),FALSE),"")</f>
        <v/>
      </c>
      <c r="J96" s="242" t="str">
        <f>IFERROR(VLOOKUP(T_BilanSocial2[[#This Row],[Zone_Bilan]],T_P_BilanSocial[#Data],COLUMN(T_P_BilanSocial[[#This Row],[Filiere]]),FALSE),"")</f>
        <v/>
      </c>
      <c r="K96" s="78">
        <v>1</v>
      </c>
      <c r="L96" s="213">
        <v>1.5451388888888891</v>
      </c>
      <c r="M96" s="78" t="s">
        <v>210</v>
      </c>
      <c r="N96" s="79" t="str">
        <f>IF((AND(T_BilanSocial2[[#This Row],[Nom]]&lt;&gt;"",T_BilanSocial2[[#This Row],[Reg Ponct]]="R")),(COUNTIF(S96:AX96,"S")+COUNTIF(S96:AX96,"T"))/2,"")</f>
        <v/>
      </c>
      <c r="O96" s="79" t="str">
        <f>IF((AND(T_BilanSocial2[[#This Row],[Nom]]&lt;&gt;"",T_BilanSocial2[[#This Row],[Reg Ponct]]="R")),COUNTIF(S96:AX96,"S")/2,"")</f>
        <v/>
      </c>
      <c r="P96" s="80" t="str">
        <f>IF((AND(T_BilanSocial2[[#This Row],[Nom]]&lt;&gt;"",T_BilanSocial2[[#This Row],[Reg Ponct]]="R")),COUNTIF(S96:AX96,"t")/2,"")</f>
        <v/>
      </c>
      <c r="Q96" s="81" t="str">
        <f t="shared" si="10"/>
        <v/>
      </c>
      <c r="R96" s="82" t="str">
        <f>IF((AND(T_BilanSocial2[[#This Row],[Nom]]&lt;&gt;"",T_BilanSocial2[[#This Row],[Reg Ponct]]="R")),IF(S96="T",U96-T96,0)+IF(V96="T",X96-W96,0)+IF(Z96="T",AB96-AA96,0)+IF(AC96="T",AE96-AD96,0)+IF(AG96="T",AI96-AH96,0)+IF(AJ96="T",AL96-AK96,0)+IF(AN96="T",AP96-AO96,0)+IF(AQ96="T",AS96-AR96,0)+IF(AU96="T",AW96-AV96,0)+IF(AX96="T",AZ96-AY96,0),"")</f>
        <v/>
      </c>
      <c r="S96" s="36" t="s">
        <v>306</v>
      </c>
      <c r="T96" s="37">
        <v>0.40277777777777773</v>
      </c>
      <c r="U96" s="37">
        <v>0.5</v>
      </c>
      <c r="V96" s="21" t="s">
        <v>306</v>
      </c>
      <c r="W96" s="37">
        <v>0.54166666666666663</v>
      </c>
      <c r="X96" s="37">
        <v>0.71527777777777779</v>
      </c>
      <c r="Y96" s="38" t="str">
        <f t="shared" si="11"/>
        <v/>
      </c>
      <c r="Z96" s="36" t="s">
        <v>306</v>
      </c>
      <c r="AA96" s="37">
        <v>0.33333333333333331</v>
      </c>
      <c r="AB96" s="37">
        <v>0.5</v>
      </c>
      <c r="AC96" s="21" t="s">
        <v>306</v>
      </c>
      <c r="AD96" s="37">
        <v>0.54166666666666663</v>
      </c>
      <c r="AE96" s="37">
        <v>0.71527777777777779</v>
      </c>
      <c r="AF96" s="38" t="str">
        <f t="shared" si="12"/>
        <v/>
      </c>
      <c r="AG96" s="36" t="s">
        <v>307</v>
      </c>
      <c r="AH96" s="37">
        <v>0.33333333333333331</v>
      </c>
      <c r="AI96" s="37">
        <v>0.52083333333333337</v>
      </c>
      <c r="AJ96" s="21" t="s">
        <v>307</v>
      </c>
      <c r="AK96" s="37">
        <v>0.5625</v>
      </c>
      <c r="AL96" s="37">
        <v>0.73958333333333337</v>
      </c>
      <c r="AM96" s="38" t="str">
        <f t="shared" si="13"/>
        <v/>
      </c>
      <c r="AN96" s="36" t="s">
        <v>306</v>
      </c>
      <c r="AO96" s="37">
        <v>0.33333333333333331</v>
      </c>
      <c r="AP96" s="37">
        <v>0.5</v>
      </c>
      <c r="AQ96" s="21" t="s">
        <v>306</v>
      </c>
      <c r="AR96" s="37">
        <v>0.54166666666666663</v>
      </c>
      <c r="AS96" s="37">
        <v>0.71527777777777779</v>
      </c>
      <c r="AT96" s="38" t="str">
        <f t="shared" si="14"/>
        <v/>
      </c>
      <c r="AU96" s="36" t="s">
        <v>307</v>
      </c>
      <c r="AV96" s="37">
        <v>0.33333333333333331</v>
      </c>
      <c r="AW96" s="37">
        <v>0.47916666666666669</v>
      </c>
      <c r="AX96" s="21" t="s">
        <v>306</v>
      </c>
      <c r="AY96" s="37">
        <v>0.52083333333333337</v>
      </c>
      <c r="AZ96" s="37">
        <v>0.60416666666666663</v>
      </c>
      <c r="BA96" s="39" t="str">
        <f t="shared" si="15"/>
        <v/>
      </c>
      <c r="BB96" s="46" t="s">
        <v>376</v>
      </c>
      <c r="BC96" s="31" t="s">
        <v>341</v>
      </c>
      <c r="BD96" s="16" t="s">
        <v>322</v>
      </c>
      <c r="BE96" s="16" t="s">
        <v>322</v>
      </c>
      <c r="BF96" s="244" t="str">
        <f>T_BilanSocial2[[#This Row],[Nom]]&amp;T_BilanSocial2[[#This Row],[Prénom]]</f>
        <v/>
      </c>
    </row>
    <row r="97" spans="1:58" ht="21.75" customHeight="1" x14ac:dyDescent="0.25">
      <c r="A97" s="90">
        <v>189</v>
      </c>
      <c r="B97" s="126" t="s">
        <v>311</v>
      </c>
      <c r="C97" s="126" t="str">
        <f>VLOOKUP(T_BilanSocial2[[#This Row],[NumL]],T_Commission[#Data],COLUMN(T_Commission[FINAL]),FALSE)</f>
        <v/>
      </c>
      <c r="D97" s="19" t="str">
        <f t="shared" si="8"/>
        <v/>
      </c>
      <c r="E97" s="19" t="str">
        <f t="shared" si="9"/>
        <v/>
      </c>
      <c r="F97" s="242" t="str">
        <f>IFERROR(VLOOKUP(T_BilanSocial2[[#This Row],[Zone_Bilan]],T_P_BilanSocial[#Data],COLUMN(T_P_BilanSocial[[#This Row],[Numero_SIHAM]]),FALSE),"")</f>
        <v/>
      </c>
      <c r="G97" s="242" t="str">
        <f>IFERROR(VLOOKUP(T_BilanSocial2[[#This Row],[Zone_Bilan]],T_P_BilanSocial[#Data],COLUMN(T_P_BilanSocial[[#This Row],[Sexe]]),FALSE),"")</f>
        <v/>
      </c>
      <c r="H97" s="243" t="str">
        <f>IFERROR(VLOOKUP(T_BilanSocial2[[#This Row],[Zone_Bilan]],T_P_BilanSocial[#Data],COLUMN(T_P_BilanSocial[[#This Row],[Categorie]]),FALSE),"")</f>
        <v/>
      </c>
      <c r="I97" s="242" t="str">
        <f>IFERROR(VLOOKUP(T_BilanSocial2[[#This Row],[Zone_Bilan]],T_P_BilanSocial[#Data],COLUMN(T_P_BilanSocial[[#This Row],[Statut]]),FALSE),"")</f>
        <v/>
      </c>
      <c r="J97" s="242" t="str">
        <f>IFERROR(VLOOKUP(T_BilanSocial2[[#This Row],[Zone_Bilan]],T_P_BilanSocial[#Data],COLUMN(T_P_BilanSocial[[#This Row],[Filiere]]),FALSE),"")</f>
        <v/>
      </c>
      <c r="K97" s="78">
        <v>1</v>
      </c>
      <c r="L97" s="213">
        <v>1.5451388888888891</v>
      </c>
      <c r="M97" s="78" t="s">
        <v>211</v>
      </c>
      <c r="N97" s="79" t="str">
        <f>IF((AND(T_BilanSocial2[[#This Row],[Nom]]&lt;&gt;"",T_BilanSocial2[[#This Row],[Reg Ponct]]="R")),(COUNTIF(S97:AX97,"S")+COUNTIF(S97:AX97,"T"))/2,"")</f>
        <v/>
      </c>
      <c r="O97" s="79" t="str">
        <f>IF((AND(T_BilanSocial2[[#This Row],[Nom]]&lt;&gt;"",T_BilanSocial2[[#This Row],[Reg Ponct]]="R")),COUNTIF(S97:AX97,"S")/2,"")</f>
        <v/>
      </c>
      <c r="P97" s="80" t="str">
        <f>IF((AND(T_BilanSocial2[[#This Row],[Nom]]&lt;&gt;"",T_BilanSocial2[[#This Row],[Reg Ponct]]="R")),COUNTIF(S97:AX97,"t")/2,"")</f>
        <v/>
      </c>
      <c r="Q97" s="81" t="str">
        <f t="shared" si="10"/>
        <v/>
      </c>
      <c r="R97" s="82" t="str">
        <f>IF((AND(T_BilanSocial2[[#This Row],[Nom]]&lt;&gt;"",T_BilanSocial2[[#This Row],[Reg Ponct]]="R")),IF(S97="T",U97-T97,0)+IF(V97="T",X97-W97,0)+IF(Z97="T",AB97-AA97,0)+IF(AC97="T",AE97-AD97,0)+IF(AG97="T",AI97-AH97,0)+IF(AJ97="T",AL97-AK97,0)+IF(AN97="T",AP97-AO97,0)+IF(AQ97="T",AS97-AR97,0)+IF(AU97="T",AW97-AV97,0)+IF(AX97="T",AZ97-AY97,0),"")</f>
        <v/>
      </c>
      <c r="S97" s="36"/>
      <c r="T97" s="37"/>
      <c r="U97" s="37"/>
      <c r="V97" s="21"/>
      <c r="W97" s="37"/>
      <c r="X97" s="37"/>
      <c r="Y97" s="38" t="str">
        <f t="shared" si="11"/>
        <v/>
      </c>
      <c r="Z97" s="36"/>
      <c r="AA97" s="37"/>
      <c r="AB97" s="37"/>
      <c r="AC97" s="21"/>
      <c r="AD97" s="37"/>
      <c r="AE97" s="37"/>
      <c r="AF97" s="38" t="str">
        <f t="shared" si="12"/>
        <v/>
      </c>
      <c r="AG97" s="36"/>
      <c r="AH97" s="37"/>
      <c r="AI97" s="37"/>
      <c r="AJ97" s="21"/>
      <c r="AK97" s="37"/>
      <c r="AL97" s="37"/>
      <c r="AM97" s="38" t="str">
        <f t="shared" si="13"/>
        <v/>
      </c>
      <c r="AN97" s="36"/>
      <c r="AO97" s="37"/>
      <c r="AP97" s="37"/>
      <c r="AQ97" s="21"/>
      <c r="AR97" s="37"/>
      <c r="AS97" s="37"/>
      <c r="AT97" s="38" t="str">
        <f t="shared" si="14"/>
        <v/>
      </c>
      <c r="AU97" s="36"/>
      <c r="AV97" s="37"/>
      <c r="AW97" s="37"/>
      <c r="AX97" s="21"/>
      <c r="AY97" s="37"/>
      <c r="AZ97" s="37"/>
      <c r="BA97" s="39" t="str">
        <f t="shared" si="15"/>
        <v/>
      </c>
      <c r="BB97" s="46" t="s">
        <v>353</v>
      </c>
      <c r="BC97" s="31" t="s">
        <v>354</v>
      </c>
      <c r="BD97" s="16" t="s">
        <v>311</v>
      </c>
      <c r="BE97" s="16" t="s">
        <v>311</v>
      </c>
      <c r="BF97" s="244" t="str">
        <f>T_BilanSocial2[[#This Row],[Nom]]&amp;T_BilanSocial2[[#This Row],[Prénom]]</f>
        <v/>
      </c>
    </row>
    <row r="98" spans="1:58" ht="21.75" hidden="1" customHeight="1" x14ac:dyDescent="0.25">
      <c r="A98" s="90">
        <v>28</v>
      </c>
      <c r="B98" s="126" t="s">
        <v>311</v>
      </c>
      <c r="C98" s="126" t="str">
        <f>VLOOKUP(T_BilanSocial2[[#This Row],[NumL]],T_Commission[#Data],COLUMN(T_Commission[FINAL]),FALSE)</f>
        <v/>
      </c>
      <c r="D98" s="19" t="str">
        <f t="shared" si="8"/>
        <v/>
      </c>
      <c r="E98" s="19" t="str">
        <f t="shared" si="9"/>
        <v/>
      </c>
      <c r="F98" s="242" t="str">
        <f>IFERROR(VLOOKUP(T_BilanSocial2[[#This Row],[Zone_Bilan]],T_P_BilanSocial[#Data],COLUMN(T_P_BilanSocial[[#This Row],[Numero_SIHAM]]),FALSE),"")</f>
        <v/>
      </c>
      <c r="G98" s="242" t="str">
        <f>IFERROR(VLOOKUP(T_BilanSocial2[[#This Row],[Zone_Bilan]],T_P_BilanSocial[#Data],COLUMN(T_P_BilanSocial[[#This Row],[Sexe]]),FALSE),"")</f>
        <v/>
      </c>
      <c r="H98" s="243" t="str">
        <f>IFERROR(VLOOKUP(T_BilanSocial2[[#This Row],[Zone_Bilan]],T_P_BilanSocial[#Data],COLUMN(T_P_BilanSocial[[#This Row],[Categorie]]),FALSE),"")</f>
        <v/>
      </c>
      <c r="I98" s="242" t="str">
        <f>IFERROR(VLOOKUP(T_BilanSocial2[[#This Row],[Zone_Bilan]],T_P_BilanSocial[#Data],COLUMN(T_P_BilanSocial[[#This Row],[Statut]]),FALSE),"")</f>
        <v/>
      </c>
      <c r="J98" s="242" t="str">
        <f>IFERROR(VLOOKUP(T_BilanSocial2[[#This Row],[Zone_Bilan]],T_P_BilanSocial[#Data],COLUMN(T_P_BilanSocial[[#This Row],[Filiere]]),FALSE),"")</f>
        <v/>
      </c>
      <c r="K98" s="78">
        <v>0.8</v>
      </c>
      <c r="L98" s="213">
        <v>1.2361111111111112</v>
      </c>
      <c r="M98" s="78" t="s">
        <v>210</v>
      </c>
      <c r="N98" s="79" t="str">
        <f>IF((AND(T_BilanSocial2[[#This Row],[Nom]]&lt;&gt;"",T_BilanSocial2[[#This Row],[Reg Ponct]]="R")),(COUNTIF(S98:AX98,"S")+COUNTIF(S98:AX98,"T"))/2,"")</f>
        <v/>
      </c>
      <c r="O98" s="79" t="str">
        <f>IF((AND(T_BilanSocial2[[#This Row],[Nom]]&lt;&gt;"",T_BilanSocial2[[#This Row],[Reg Ponct]]="R")),COUNTIF(S98:AX98,"S")/2,"")</f>
        <v/>
      </c>
      <c r="P98" s="80" t="str">
        <f>IF((AND(T_BilanSocial2[[#This Row],[Nom]]&lt;&gt;"",T_BilanSocial2[[#This Row],[Reg Ponct]]="R")),COUNTIF(S98:AX98,"t")/2,"")</f>
        <v/>
      </c>
      <c r="Q98" s="81" t="str">
        <f t="shared" si="10"/>
        <v/>
      </c>
      <c r="R98" s="82" t="str">
        <f>IF((AND(T_BilanSocial2[[#This Row],[Nom]]&lt;&gt;"",T_BilanSocial2[[#This Row],[Reg Ponct]]="R")),IF(S98="T",U98-T98,0)+IF(V98="T",X98-W98,0)+IF(Z98="T",AB98-AA98,0)+IF(AC98="T",AE98-AD98,0)+IF(AG98="T",AI98-AH98,0)+IF(AJ98="T",AL98-AK98,0)+IF(AN98="T",AP98-AO98,0)+IF(AQ98="T",AS98-AR98,0)+IF(AU98="T",AW98-AV98,0)+IF(AX98="T",AZ98-AY98,0),"")</f>
        <v/>
      </c>
      <c r="S98" s="36" t="s">
        <v>306</v>
      </c>
      <c r="T98" s="37">
        <v>0.35416666666666669</v>
      </c>
      <c r="U98" s="37">
        <v>0.52083333333333337</v>
      </c>
      <c r="V98" s="21" t="s">
        <v>306</v>
      </c>
      <c r="W98" s="37">
        <v>0.5625</v>
      </c>
      <c r="X98" s="37">
        <v>0.70833333333333337</v>
      </c>
      <c r="Y98" s="38" t="str">
        <f t="shared" si="11"/>
        <v/>
      </c>
      <c r="Z98" s="36" t="s">
        <v>306</v>
      </c>
      <c r="AA98" s="37">
        <v>0.34375</v>
      </c>
      <c r="AB98" s="37">
        <v>0.52083333333333337</v>
      </c>
      <c r="AC98" s="21" t="s">
        <v>307</v>
      </c>
      <c r="AD98" s="37">
        <v>0.5625</v>
      </c>
      <c r="AE98" s="37">
        <v>0.69791666666666663</v>
      </c>
      <c r="AF98" s="38" t="str">
        <f t="shared" si="12"/>
        <v/>
      </c>
      <c r="AG98" s="36" t="s">
        <v>307</v>
      </c>
      <c r="AH98" s="37">
        <v>0.34375</v>
      </c>
      <c r="AI98" s="37">
        <v>0.4861111111111111</v>
      </c>
      <c r="AJ98" s="21" t="s">
        <v>308</v>
      </c>
      <c r="AK98" s="37"/>
      <c r="AL98" s="37"/>
      <c r="AM98" s="38" t="str">
        <f t="shared" si="13"/>
        <v/>
      </c>
      <c r="AN98" s="36" t="s">
        <v>306</v>
      </c>
      <c r="AO98" s="37">
        <v>0.35416666666666669</v>
      </c>
      <c r="AP98" s="37">
        <v>0.52083333333333337</v>
      </c>
      <c r="AQ98" s="21" t="s">
        <v>306</v>
      </c>
      <c r="AR98" s="37">
        <v>0.5625</v>
      </c>
      <c r="AS98" s="37">
        <v>0.69791666666666663</v>
      </c>
      <c r="AT98" s="38" t="str">
        <f t="shared" si="14"/>
        <v/>
      </c>
      <c r="AU98" s="36" t="s">
        <v>306</v>
      </c>
      <c r="AV98" s="37">
        <v>0.34375</v>
      </c>
      <c r="AW98" s="37">
        <v>0.51041666666666663</v>
      </c>
      <c r="AX98" s="21" t="s">
        <v>308</v>
      </c>
      <c r="AY98" s="37"/>
      <c r="AZ98" s="37"/>
      <c r="BA98" s="39" t="str">
        <f t="shared" si="15"/>
        <v/>
      </c>
      <c r="BB98" s="46" t="s">
        <v>340</v>
      </c>
      <c r="BC98" s="31" t="s">
        <v>341</v>
      </c>
      <c r="BD98" s="16" t="s">
        <v>311</v>
      </c>
      <c r="BE98" s="16" t="s">
        <v>311</v>
      </c>
      <c r="BF98" s="244" t="str">
        <f>T_BilanSocial2[[#This Row],[Nom]]&amp;T_BilanSocial2[[#This Row],[Prénom]]</f>
        <v/>
      </c>
    </row>
    <row r="99" spans="1:58" ht="21.75" hidden="1" customHeight="1" x14ac:dyDescent="0.25">
      <c r="A99" s="90">
        <v>222</v>
      </c>
      <c r="B99" s="126" t="s">
        <v>210</v>
      </c>
      <c r="C99" s="126" t="str">
        <f>VLOOKUP(T_BilanSocial2[[#This Row],[NumL]],T_Commission[#Data],COLUMN(T_Commission[FINAL]),FALSE)</f>
        <v/>
      </c>
      <c r="D99" s="19" t="str">
        <f t="shared" si="8"/>
        <v/>
      </c>
      <c r="E99" s="19" t="str">
        <f t="shared" si="9"/>
        <v/>
      </c>
      <c r="F99" s="242" t="str">
        <f>IFERROR(VLOOKUP(T_BilanSocial2[[#This Row],[Zone_Bilan]],T_P_BilanSocial[#Data],COLUMN(T_P_BilanSocial[[#This Row],[Numero_SIHAM]]),FALSE),"")</f>
        <v/>
      </c>
      <c r="G99" s="242" t="str">
        <f>IFERROR(VLOOKUP(T_BilanSocial2[[#This Row],[Zone_Bilan]],T_P_BilanSocial[#Data],COLUMN(T_P_BilanSocial[[#This Row],[Sexe]]),FALSE),"")</f>
        <v/>
      </c>
      <c r="H99" s="243" t="str">
        <f>IFERROR(VLOOKUP(T_BilanSocial2[[#This Row],[Zone_Bilan]],T_P_BilanSocial[#Data],COLUMN(T_P_BilanSocial[[#This Row],[Categorie]]),FALSE),"")</f>
        <v/>
      </c>
      <c r="I99" s="242" t="str">
        <f>IFERROR(VLOOKUP(T_BilanSocial2[[#This Row],[Zone_Bilan]],T_P_BilanSocial[#Data],COLUMN(T_P_BilanSocial[[#This Row],[Statut]]),FALSE),"")</f>
        <v/>
      </c>
      <c r="J99" s="242" t="str">
        <f>IFERROR(VLOOKUP(T_BilanSocial2[[#This Row],[Zone_Bilan]],T_P_BilanSocial[#Data],COLUMN(T_P_BilanSocial[[#This Row],[Filiere]]),FALSE),"")</f>
        <v/>
      </c>
      <c r="K99" s="78">
        <v>1</v>
      </c>
      <c r="L99" s="213">
        <v>1.5451388888888891</v>
      </c>
      <c r="M99" s="78" t="s">
        <v>210</v>
      </c>
      <c r="N99" s="79" t="str">
        <f>IF((AND(T_BilanSocial2[[#This Row],[Nom]]&lt;&gt;"",T_BilanSocial2[[#This Row],[Reg Ponct]]="R")),(COUNTIF(S99:AX99,"S")+COUNTIF(S99:AX99,"T"))/2,"")</f>
        <v/>
      </c>
      <c r="O99" s="79" t="str">
        <f>IF((AND(T_BilanSocial2[[#This Row],[Nom]]&lt;&gt;"",T_BilanSocial2[[#This Row],[Reg Ponct]]="R")),COUNTIF(S99:AX99,"S")/2,"")</f>
        <v/>
      </c>
      <c r="P99" s="80" t="str">
        <f>IF((AND(T_BilanSocial2[[#This Row],[Nom]]&lt;&gt;"",T_BilanSocial2[[#This Row],[Reg Ponct]]="R")),COUNTIF(S99:AX99,"t")/2,"")</f>
        <v/>
      </c>
      <c r="Q99" s="81" t="str">
        <f t="shared" si="10"/>
        <v/>
      </c>
      <c r="R99" s="82" t="str">
        <f>IF((AND(T_BilanSocial2[[#This Row],[Nom]]&lt;&gt;"",T_BilanSocial2[[#This Row],[Reg Ponct]]="R")),IF(S99="T",U99-T99,0)+IF(V99="T",X99-W99,0)+IF(Z99="T",AB99-AA99,0)+IF(AC99="T",AE99-AD99,0)+IF(AG99="T",AI99-AH99,0)+IF(AJ99="T",AL99-AK99,0)+IF(AN99="T",AP99-AO99,0)+IF(AQ99="T",AS99-AR99,0)+IF(AU99="T",AW99-AV99,0)+IF(AX99="T",AZ99-AY99,0),"")</f>
        <v/>
      </c>
      <c r="S99" s="36" t="s">
        <v>306</v>
      </c>
      <c r="T99" s="37">
        <v>0.3888888888888889</v>
      </c>
      <c r="U99" s="37">
        <v>0.52083333333333337</v>
      </c>
      <c r="V99" s="21" t="s">
        <v>306</v>
      </c>
      <c r="W99" s="37">
        <v>0.5625</v>
      </c>
      <c r="X99" s="37">
        <v>0.77083333333333337</v>
      </c>
      <c r="Y99" s="38" t="str">
        <f t="shared" si="11"/>
        <v/>
      </c>
      <c r="Z99" s="36" t="s">
        <v>306</v>
      </c>
      <c r="AA99" s="37">
        <v>0.38541666666666669</v>
      </c>
      <c r="AB99" s="37">
        <v>0.52083333333333337</v>
      </c>
      <c r="AC99" s="21" t="s">
        <v>306</v>
      </c>
      <c r="AD99" s="37">
        <v>0.5625</v>
      </c>
      <c r="AE99" s="37">
        <v>0.77083333333333337</v>
      </c>
      <c r="AF99" s="38" t="str">
        <f t="shared" si="12"/>
        <v/>
      </c>
      <c r="AG99" s="36" t="s">
        <v>307</v>
      </c>
      <c r="AH99" s="37">
        <v>0.3576388888888889</v>
      </c>
      <c r="AI99" s="37">
        <v>0.52083333333333337</v>
      </c>
      <c r="AJ99" s="21" t="s">
        <v>307</v>
      </c>
      <c r="AK99" s="37">
        <v>0.5625</v>
      </c>
      <c r="AL99" s="37">
        <v>0.73958333333333337</v>
      </c>
      <c r="AM99" s="38" t="str">
        <f t="shared" si="13"/>
        <v/>
      </c>
      <c r="AN99" s="36" t="s">
        <v>306</v>
      </c>
      <c r="AO99" s="37">
        <v>0.38541666666666669</v>
      </c>
      <c r="AP99" s="37">
        <v>0.52083333333333337</v>
      </c>
      <c r="AQ99" s="21" t="s">
        <v>306</v>
      </c>
      <c r="AR99" s="37">
        <v>0.5625</v>
      </c>
      <c r="AS99" s="37">
        <v>0.77083333333333337</v>
      </c>
      <c r="AT99" s="38" t="str">
        <f t="shared" si="14"/>
        <v/>
      </c>
      <c r="AU99" s="36" t="s">
        <v>307</v>
      </c>
      <c r="AV99" s="37">
        <v>0.3576388888888889</v>
      </c>
      <c r="AW99" s="37">
        <v>0.53472222222222221</v>
      </c>
      <c r="AX99" s="21" t="s">
        <v>308</v>
      </c>
      <c r="AY99" s="37"/>
      <c r="AZ99" s="37"/>
      <c r="BA99" s="39" t="str">
        <f t="shared" si="15"/>
        <v/>
      </c>
      <c r="BB99" s="46" t="s">
        <v>1083</v>
      </c>
      <c r="BC99" s="31" t="s">
        <v>1084</v>
      </c>
      <c r="BD99" s="16" t="s">
        <v>322</v>
      </c>
      <c r="BE99" s="16" t="s">
        <v>322</v>
      </c>
      <c r="BF99" s="244" t="str">
        <f>T_BilanSocial2[[#This Row],[Nom]]&amp;T_BilanSocial2[[#This Row],[Prénom]]</f>
        <v/>
      </c>
    </row>
    <row r="100" spans="1:58" ht="21.75" hidden="1" customHeight="1" x14ac:dyDescent="0.25">
      <c r="A100" s="90">
        <v>283</v>
      </c>
      <c r="B100" s="126" t="s">
        <v>210</v>
      </c>
      <c r="C100" s="126" t="str">
        <f>VLOOKUP(T_BilanSocial2[[#This Row],[NumL]],T_Commission[#Data],COLUMN(T_Commission[FINAL]),FALSE)</f>
        <v/>
      </c>
      <c r="D100" s="19" t="str">
        <f t="shared" si="8"/>
        <v/>
      </c>
      <c r="E100" s="19" t="str">
        <f t="shared" si="9"/>
        <v/>
      </c>
      <c r="F100" s="242" t="str">
        <f>IFERROR(VLOOKUP(T_BilanSocial2[[#This Row],[Zone_Bilan]],T_P_BilanSocial[#Data],COLUMN(T_P_BilanSocial[[#This Row],[Numero_SIHAM]]),FALSE),"")</f>
        <v/>
      </c>
      <c r="G100" s="242" t="str">
        <f>IFERROR(VLOOKUP(T_BilanSocial2[[#This Row],[Zone_Bilan]],T_P_BilanSocial[#Data],COLUMN(T_P_BilanSocial[[#This Row],[Sexe]]),FALSE),"")</f>
        <v/>
      </c>
      <c r="H100" s="243" t="str">
        <f>IFERROR(VLOOKUP(T_BilanSocial2[[#This Row],[Zone_Bilan]],T_P_BilanSocial[#Data],COLUMN(T_P_BilanSocial[[#This Row],[Categorie]]),FALSE),"")</f>
        <v/>
      </c>
      <c r="I100" s="242" t="str">
        <f>IFERROR(VLOOKUP(T_BilanSocial2[[#This Row],[Zone_Bilan]],T_P_BilanSocial[#Data],COLUMN(T_P_BilanSocial[[#This Row],[Statut]]),FALSE),"")</f>
        <v/>
      </c>
      <c r="J100" s="242" t="str">
        <f>IFERROR(VLOOKUP(T_BilanSocial2[[#This Row],[Zone_Bilan]],T_P_BilanSocial[#Data],COLUMN(T_P_BilanSocial[[#This Row],[Filiere]]),FALSE),"")</f>
        <v/>
      </c>
      <c r="K100" s="78">
        <v>1</v>
      </c>
      <c r="L100" s="213">
        <v>1.5451388888888891</v>
      </c>
      <c r="M100" s="78" t="s">
        <v>210</v>
      </c>
      <c r="N100" s="79" t="str">
        <f>IF((AND(T_BilanSocial2[[#This Row],[Nom]]&lt;&gt;"",T_BilanSocial2[[#This Row],[Reg Ponct]]="R")),(COUNTIF(S100:AX100,"S")+COUNTIF(S100:AX100,"T"))/2,"")</f>
        <v/>
      </c>
      <c r="O100" s="79" t="str">
        <f>IF((AND(T_BilanSocial2[[#This Row],[Nom]]&lt;&gt;"",T_BilanSocial2[[#This Row],[Reg Ponct]]="R")),COUNTIF(S100:AX100,"S")/2,"")</f>
        <v/>
      </c>
      <c r="P100" s="80" t="str">
        <f>IF((AND(T_BilanSocial2[[#This Row],[Nom]]&lt;&gt;"",T_BilanSocial2[[#This Row],[Reg Ponct]]="R")),COUNTIF(S100:AX100,"t")/2,"")</f>
        <v/>
      </c>
      <c r="Q100" s="81" t="str">
        <f t="shared" si="10"/>
        <v/>
      </c>
      <c r="R100" s="82" t="str">
        <f>IF((AND(T_BilanSocial2[[#This Row],[Nom]]&lt;&gt;"",T_BilanSocial2[[#This Row],[Reg Ponct]]="R")),IF(S100="T",U100-T100,0)+IF(V100="T",X100-W100,0)+IF(Z100="T",AB100-AA100,0)+IF(AC100="T",AE100-AD100,0)+IF(AG100="T",AI100-AH100,0)+IF(AJ100="T",AL100-AK100,0)+IF(AN100="T",AP100-AO100,0)+IF(AQ100="T",AS100-AR100,0)+IF(AU100="T",AW100-AV100,0)+IF(AX100="T",AZ100-AY100,0),"")</f>
        <v/>
      </c>
      <c r="S100" s="36" t="s">
        <v>306</v>
      </c>
      <c r="T100" s="37">
        <v>0.33333333333333331</v>
      </c>
      <c r="U100" s="37">
        <v>0.51041666666666663</v>
      </c>
      <c r="V100" s="21" t="s">
        <v>306</v>
      </c>
      <c r="W100" s="37">
        <v>0.57291666666666663</v>
      </c>
      <c r="X100" s="37">
        <v>0.71875</v>
      </c>
      <c r="Y100" s="38" t="str">
        <f t="shared" si="11"/>
        <v/>
      </c>
      <c r="Z100" s="36" t="s">
        <v>306</v>
      </c>
      <c r="AA100" s="37">
        <v>0.32291666666666669</v>
      </c>
      <c r="AB100" s="37">
        <v>0.52083333333333337</v>
      </c>
      <c r="AC100" s="21" t="s">
        <v>306</v>
      </c>
      <c r="AD100" s="37">
        <v>0.5625</v>
      </c>
      <c r="AE100" s="37">
        <v>0.71875</v>
      </c>
      <c r="AF100" s="38" t="str">
        <f t="shared" si="12"/>
        <v/>
      </c>
      <c r="AG100" s="36" t="s">
        <v>306</v>
      </c>
      <c r="AH100" s="37">
        <v>0.32291666666666669</v>
      </c>
      <c r="AI100" s="37">
        <v>0.5</v>
      </c>
      <c r="AJ100" s="21" t="s">
        <v>307</v>
      </c>
      <c r="AK100" s="37">
        <v>0.54166666666666663</v>
      </c>
      <c r="AL100" s="37">
        <v>0.70138888888888884</v>
      </c>
      <c r="AM100" s="38" t="str">
        <f t="shared" si="13"/>
        <v/>
      </c>
      <c r="AN100" s="36" t="s">
        <v>306</v>
      </c>
      <c r="AO100" s="37">
        <v>0.32291666666666669</v>
      </c>
      <c r="AP100" s="37">
        <v>0.51041666666666663</v>
      </c>
      <c r="AQ100" s="21" t="s">
        <v>306</v>
      </c>
      <c r="AR100" s="37">
        <v>0.5625</v>
      </c>
      <c r="AS100" s="37">
        <v>0.71875</v>
      </c>
      <c r="AT100" s="38" t="str">
        <f t="shared" si="14"/>
        <v/>
      </c>
      <c r="AU100" s="36" t="s">
        <v>307</v>
      </c>
      <c r="AV100" s="37">
        <v>0.32291666666666669</v>
      </c>
      <c r="AW100" s="37">
        <v>0.51041666666666663</v>
      </c>
      <c r="AX100" s="21" t="s">
        <v>308</v>
      </c>
      <c r="AY100" s="37"/>
      <c r="AZ100" s="37"/>
      <c r="BA100" s="39" t="str">
        <f t="shared" si="15"/>
        <v/>
      </c>
      <c r="BB100" s="46" t="s">
        <v>1138</v>
      </c>
      <c r="BC100" s="31" t="s">
        <v>1139</v>
      </c>
      <c r="BD100" s="16" t="s">
        <v>322</v>
      </c>
      <c r="BE100" s="16" t="s">
        <v>322</v>
      </c>
      <c r="BF100" s="244" t="str">
        <f>T_BilanSocial2[[#This Row],[Nom]]&amp;T_BilanSocial2[[#This Row],[Prénom]]</f>
        <v/>
      </c>
    </row>
    <row r="101" spans="1:58" ht="21.75" hidden="1" customHeight="1" x14ac:dyDescent="0.25">
      <c r="A101" s="90">
        <v>60</v>
      </c>
      <c r="B101" s="126" t="s">
        <v>311</v>
      </c>
      <c r="C101" s="126" t="str">
        <f>VLOOKUP(T_BilanSocial2[[#This Row],[NumL]],T_Commission[#Data],COLUMN(T_Commission[FINAL]),FALSE)</f>
        <v/>
      </c>
      <c r="D101" s="19" t="str">
        <f t="shared" si="8"/>
        <v/>
      </c>
      <c r="E101" s="19" t="str">
        <f t="shared" si="9"/>
        <v/>
      </c>
      <c r="F101" s="242" t="str">
        <f>IFERROR(VLOOKUP(T_BilanSocial2[[#This Row],[Zone_Bilan]],T_P_BilanSocial[#Data],COLUMN(T_P_BilanSocial[[#This Row],[Numero_SIHAM]]),FALSE),"")</f>
        <v/>
      </c>
      <c r="G101" s="242" t="str">
        <f>IFERROR(VLOOKUP(T_BilanSocial2[[#This Row],[Zone_Bilan]],T_P_BilanSocial[#Data],COLUMN(T_P_BilanSocial[[#This Row],[Sexe]]),FALSE),"")</f>
        <v/>
      </c>
      <c r="H101" s="243" t="str">
        <f>IFERROR(VLOOKUP(T_BilanSocial2[[#This Row],[Zone_Bilan]],T_P_BilanSocial[#Data],COLUMN(T_P_BilanSocial[[#This Row],[Categorie]]),FALSE),"")</f>
        <v/>
      </c>
      <c r="I101" s="242" t="str">
        <f>IFERROR(VLOOKUP(T_BilanSocial2[[#This Row],[Zone_Bilan]],T_P_BilanSocial[#Data],COLUMN(T_P_BilanSocial[[#This Row],[Statut]]),FALSE),"")</f>
        <v/>
      </c>
      <c r="J101" s="242" t="str">
        <f>IFERROR(VLOOKUP(T_BilanSocial2[[#This Row],[Zone_Bilan]],T_P_BilanSocial[#Data],COLUMN(T_P_BilanSocial[[#This Row],[Filiere]]),FALSE),"")</f>
        <v/>
      </c>
      <c r="K101" s="78">
        <v>1</v>
      </c>
      <c r="L101" s="213">
        <v>1.5451388888888891</v>
      </c>
      <c r="M101" s="78" t="s">
        <v>210</v>
      </c>
      <c r="N101" s="79" t="str">
        <f>IF((AND(T_BilanSocial2[[#This Row],[Nom]]&lt;&gt;"",T_BilanSocial2[[#This Row],[Reg Ponct]]="R")),(COUNTIF(S101:AX101,"S")+COUNTIF(S101:AX101,"T"))/2,"")</f>
        <v/>
      </c>
      <c r="O101" s="79" t="str">
        <f>IF((AND(T_BilanSocial2[[#This Row],[Nom]]&lt;&gt;"",T_BilanSocial2[[#This Row],[Reg Ponct]]="R")),COUNTIF(S101:AX101,"S")/2,"")</f>
        <v/>
      </c>
      <c r="P101" s="80" t="str">
        <f>IF((AND(T_BilanSocial2[[#This Row],[Nom]]&lt;&gt;"",T_BilanSocial2[[#This Row],[Reg Ponct]]="R")),COUNTIF(S101:AX101,"t")/2,"")</f>
        <v/>
      </c>
      <c r="Q101" s="81" t="str">
        <f t="shared" si="10"/>
        <v/>
      </c>
      <c r="R101" s="82" t="str">
        <f>IF((AND(T_BilanSocial2[[#This Row],[Nom]]&lt;&gt;"",T_BilanSocial2[[#This Row],[Reg Ponct]]="R")),IF(S101="T",U101-T101,0)+IF(V101="T",X101-W101,0)+IF(Z101="T",AB101-AA101,0)+IF(AC101="T",AE101-AD101,0)+IF(AG101="T",AI101-AH101,0)+IF(AJ101="T",AL101-AK101,0)+IF(AN101="T",AP101-AO101,0)+IF(AQ101="T",AS101-AR101,0)+IF(AU101="T",AW101-AV101,0)+IF(AX101="T",AZ101-AY101,0),"")</f>
        <v/>
      </c>
      <c r="S101" s="36" t="s">
        <v>306</v>
      </c>
      <c r="T101" s="37">
        <v>0.32291666666666669</v>
      </c>
      <c r="U101" s="37">
        <v>0.52083333333333337</v>
      </c>
      <c r="V101" s="21" t="s">
        <v>306</v>
      </c>
      <c r="W101" s="37">
        <v>0.5625</v>
      </c>
      <c r="X101" s="37">
        <v>0.67013888888888884</v>
      </c>
      <c r="Y101" s="38" t="str">
        <f t="shared" si="11"/>
        <v/>
      </c>
      <c r="Z101" s="36" t="s">
        <v>307</v>
      </c>
      <c r="AA101" s="37">
        <v>0.32291666666666669</v>
      </c>
      <c r="AB101" s="37">
        <v>0.52083333333333337</v>
      </c>
      <c r="AC101" s="21" t="s">
        <v>307</v>
      </c>
      <c r="AD101" s="37">
        <v>0.5625</v>
      </c>
      <c r="AE101" s="37">
        <v>0.73958333333333337</v>
      </c>
      <c r="AF101" s="38" t="str">
        <f t="shared" si="12"/>
        <v/>
      </c>
      <c r="AG101" s="36" t="s">
        <v>306</v>
      </c>
      <c r="AH101" s="37">
        <v>0.32291666666666669</v>
      </c>
      <c r="AI101" s="37">
        <v>0.47916666666666669</v>
      </c>
      <c r="AJ101" s="21" t="s">
        <v>308</v>
      </c>
      <c r="AK101" s="37"/>
      <c r="AL101" s="37"/>
      <c r="AM101" s="38" t="str">
        <f t="shared" si="13"/>
        <v/>
      </c>
      <c r="AN101" s="36" t="s">
        <v>306</v>
      </c>
      <c r="AO101" s="37">
        <v>0.32291666666666669</v>
      </c>
      <c r="AP101" s="37">
        <v>0.52083333333333337</v>
      </c>
      <c r="AQ101" s="21" t="s">
        <v>306</v>
      </c>
      <c r="AR101" s="37">
        <v>0.5625</v>
      </c>
      <c r="AS101" s="37">
        <v>0.76736111111111116</v>
      </c>
      <c r="AT101" s="38" t="str">
        <f t="shared" si="14"/>
        <v/>
      </c>
      <c r="AU101" s="36" t="s">
        <v>306</v>
      </c>
      <c r="AV101" s="37">
        <v>0.32291666666666669</v>
      </c>
      <c r="AW101" s="37">
        <v>0.52083333333333337</v>
      </c>
      <c r="AX101" s="21" t="s">
        <v>306</v>
      </c>
      <c r="AY101" s="37">
        <v>0.5625</v>
      </c>
      <c r="AZ101" s="37">
        <v>0.67013888888888884</v>
      </c>
      <c r="BA101" s="39" t="str">
        <f t="shared" si="15"/>
        <v/>
      </c>
      <c r="BB101" s="46" t="s">
        <v>566</v>
      </c>
      <c r="BC101" s="31" t="s">
        <v>581</v>
      </c>
      <c r="BD101" s="16" t="s">
        <v>311</v>
      </c>
      <c r="BE101" s="16" t="s">
        <v>311</v>
      </c>
      <c r="BF101" s="244" t="str">
        <f>T_BilanSocial2[[#This Row],[Nom]]&amp;T_BilanSocial2[[#This Row],[Prénom]]</f>
        <v/>
      </c>
    </row>
    <row r="102" spans="1:58" ht="21.75" hidden="1" customHeight="1" x14ac:dyDescent="0.25">
      <c r="A102" s="90">
        <v>172</v>
      </c>
      <c r="B102" s="126" t="s">
        <v>311</v>
      </c>
      <c r="C102" s="126" t="str">
        <f>VLOOKUP(T_BilanSocial2[[#This Row],[NumL]],T_Commission[#Data],COLUMN(T_Commission[FINAL]),FALSE)</f>
        <v/>
      </c>
      <c r="D102" s="19" t="str">
        <f t="shared" si="8"/>
        <v/>
      </c>
      <c r="E102" s="19" t="str">
        <f t="shared" si="9"/>
        <v/>
      </c>
      <c r="F102" s="242" t="str">
        <f>IFERROR(VLOOKUP(T_BilanSocial2[[#This Row],[Zone_Bilan]],T_P_BilanSocial[#Data],COLUMN(T_P_BilanSocial[[#This Row],[Numero_SIHAM]]),FALSE),"")</f>
        <v/>
      </c>
      <c r="G102" s="242" t="str">
        <f>IFERROR(VLOOKUP(T_BilanSocial2[[#This Row],[Zone_Bilan]],T_P_BilanSocial[#Data],COLUMN(T_P_BilanSocial[[#This Row],[Sexe]]),FALSE),"")</f>
        <v/>
      </c>
      <c r="H102" s="243" t="str">
        <f>IFERROR(VLOOKUP(T_BilanSocial2[[#This Row],[Zone_Bilan]],T_P_BilanSocial[#Data],COLUMN(T_P_BilanSocial[[#This Row],[Categorie]]),FALSE),"")</f>
        <v/>
      </c>
      <c r="I102" s="242" t="str">
        <f>IFERROR(VLOOKUP(T_BilanSocial2[[#This Row],[Zone_Bilan]],T_P_BilanSocial[#Data],COLUMN(T_P_BilanSocial[[#This Row],[Statut]]),FALSE),"")</f>
        <v/>
      </c>
      <c r="J102" s="242" t="str">
        <f>IFERROR(VLOOKUP(T_BilanSocial2[[#This Row],[Zone_Bilan]],T_P_BilanSocial[#Data],COLUMN(T_P_BilanSocial[[#This Row],[Filiere]]),FALSE),"")</f>
        <v/>
      </c>
      <c r="K102" s="78">
        <v>1</v>
      </c>
      <c r="L102" s="213">
        <v>1.5451388888888891</v>
      </c>
      <c r="M102" s="78" t="s">
        <v>210</v>
      </c>
      <c r="N102" s="79" t="str">
        <f>IF((AND(T_BilanSocial2[[#This Row],[Nom]]&lt;&gt;"",T_BilanSocial2[[#This Row],[Reg Ponct]]="R")),(COUNTIF(S102:AX102,"S")+COUNTIF(S102:AX102,"T"))/2,"")</f>
        <v/>
      </c>
      <c r="O102" s="79" t="str">
        <f>IF((AND(T_BilanSocial2[[#This Row],[Nom]]&lt;&gt;"",T_BilanSocial2[[#This Row],[Reg Ponct]]="R")),COUNTIF(S102:AX102,"S")/2,"")</f>
        <v/>
      </c>
      <c r="P102" s="80" t="str">
        <f>IF((AND(T_BilanSocial2[[#This Row],[Nom]]&lt;&gt;"",T_BilanSocial2[[#This Row],[Reg Ponct]]="R")),COUNTIF(S102:AX102,"t")/2,"")</f>
        <v/>
      </c>
      <c r="Q102" s="81" t="str">
        <f t="shared" si="10"/>
        <v/>
      </c>
      <c r="R102" s="82" t="str">
        <f>IF((AND(T_BilanSocial2[[#This Row],[Nom]]&lt;&gt;"",T_BilanSocial2[[#This Row],[Reg Ponct]]="R")),IF(S102="T",U102-T102,0)+IF(V102="T",X102-W102,0)+IF(Z102="T",AB102-AA102,0)+IF(AC102="T",AE102-AD102,0)+IF(AG102="T",AI102-AH102,0)+IF(AJ102="T",AL102-AK102,0)+IF(AN102="T",AP102-AO102,0)+IF(AQ102="T",AS102-AR102,0)+IF(AU102="T",AW102-AV102,0)+IF(AX102="T",AZ102-AY102,0),"")</f>
        <v/>
      </c>
      <c r="S102" s="36" t="s">
        <v>306</v>
      </c>
      <c r="T102" s="37">
        <v>0.36458333333333331</v>
      </c>
      <c r="U102" s="37">
        <v>0.54166666666666663</v>
      </c>
      <c r="V102" s="21" t="s">
        <v>306</v>
      </c>
      <c r="W102" s="37">
        <v>0.58333333333333337</v>
      </c>
      <c r="X102" s="37">
        <v>0.73958333333333337</v>
      </c>
      <c r="Y102" s="38" t="str">
        <f t="shared" si="11"/>
        <v/>
      </c>
      <c r="Z102" s="36" t="s">
        <v>306</v>
      </c>
      <c r="AA102" s="37">
        <v>0.36458333333333331</v>
      </c>
      <c r="AB102" s="37">
        <v>0.5</v>
      </c>
      <c r="AC102" s="21" t="s">
        <v>306</v>
      </c>
      <c r="AD102" s="37">
        <v>0.54166666666666663</v>
      </c>
      <c r="AE102" s="37">
        <v>0.79166666666666663</v>
      </c>
      <c r="AF102" s="38" t="str">
        <f t="shared" si="12"/>
        <v/>
      </c>
      <c r="AG102" s="36" t="s">
        <v>306</v>
      </c>
      <c r="AH102" s="37">
        <v>0.36458333333333331</v>
      </c>
      <c r="AI102" s="37">
        <v>0.49305555555555558</v>
      </c>
      <c r="AJ102" s="21" t="s">
        <v>308</v>
      </c>
      <c r="AK102" s="37"/>
      <c r="AL102" s="37"/>
      <c r="AM102" s="38" t="str">
        <f t="shared" si="13"/>
        <v/>
      </c>
      <c r="AN102" s="36" t="s">
        <v>307</v>
      </c>
      <c r="AO102" s="37">
        <v>0.36458333333333331</v>
      </c>
      <c r="AP102" s="37">
        <v>0.54166666666666663</v>
      </c>
      <c r="AQ102" s="21" t="s">
        <v>307</v>
      </c>
      <c r="AR102" s="37">
        <v>0.58333333333333337</v>
      </c>
      <c r="AS102" s="37">
        <v>0.73958333333333337</v>
      </c>
      <c r="AT102" s="38" t="str">
        <f t="shared" si="14"/>
        <v/>
      </c>
      <c r="AU102" s="36" t="s">
        <v>306</v>
      </c>
      <c r="AV102" s="37">
        <v>0.33333333333333331</v>
      </c>
      <c r="AW102" s="37">
        <v>0.5</v>
      </c>
      <c r="AX102" s="21" t="s">
        <v>306</v>
      </c>
      <c r="AY102" s="37">
        <v>0.54166666666666663</v>
      </c>
      <c r="AZ102" s="37">
        <v>0.73958333333333337</v>
      </c>
      <c r="BA102" s="39" t="str">
        <f t="shared" si="15"/>
        <v/>
      </c>
      <c r="BB102" s="46" t="s">
        <v>376</v>
      </c>
      <c r="BC102" s="31" t="s">
        <v>341</v>
      </c>
      <c r="BD102" s="16" t="s">
        <v>322</v>
      </c>
      <c r="BE102" s="16" t="s">
        <v>311</v>
      </c>
      <c r="BF102" s="244" t="str">
        <f>T_BilanSocial2[[#This Row],[Nom]]&amp;T_BilanSocial2[[#This Row],[Prénom]]</f>
        <v/>
      </c>
    </row>
    <row r="103" spans="1:58" ht="21.75" hidden="1" customHeight="1" x14ac:dyDescent="0.25">
      <c r="A103" s="90">
        <v>114</v>
      </c>
      <c r="B103" s="126" t="s">
        <v>311</v>
      </c>
      <c r="C103" s="126" t="str">
        <f>VLOOKUP(T_BilanSocial2[[#This Row],[NumL]],T_Commission[#Data],COLUMN(T_Commission[FINAL]),FALSE)</f>
        <v/>
      </c>
      <c r="D103" s="19" t="str">
        <f t="shared" si="8"/>
        <v/>
      </c>
      <c r="E103" s="19" t="str">
        <f t="shared" si="9"/>
        <v/>
      </c>
      <c r="F103" s="242" t="str">
        <f>IFERROR(VLOOKUP(T_BilanSocial2[[#This Row],[Zone_Bilan]],T_P_BilanSocial[#Data],COLUMN(T_P_BilanSocial[[#This Row],[Numero_SIHAM]]),FALSE),"")</f>
        <v/>
      </c>
      <c r="G103" s="242" t="str">
        <f>IFERROR(VLOOKUP(T_BilanSocial2[[#This Row],[Zone_Bilan]],T_P_BilanSocial[#Data],COLUMN(T_P_BilanSocial[[#This Row],[Sexe]]),FALSE),"")</f>
        <v/>
      </c>
      <c r="H103" s="243" t="str">
        <f>IFERROR(VLOOKUP(T_BilanSocial2[[#This Row],[Zone_Bilan]],T_P_BilanSocial[#Data],COLUMN(T_P_BilanSocial[[#This Row],[Categorie]]),FALSE),"")</f>
        <v/>
      </c>
      <c r="I103" s="242" t="str">
        <f>IFERROR(VLOOKUP(T_BilanSocial2[[#This Row],[Zone_Bilan]],T_P_BilanSocial[#Data],COLUMN(T_P_BilanSocial[[#This Row],[Statut]]),FALSE),"")</f>
        <v/>
      </c>
      <c r="J103" s="242" t="str">
        <f>IFERROR(VLOOKUP(T_BilanSocial2[[#This Row],[Zone_Bilan]],T_P_BilanSocial[#Data],COLUMN(T_P_BilanSocial[[#This Row],[Filiere]]),FALSE),"")</f>
        <v/>
      </c>
      <c r="K103" s="78">
        <v>1</v>
      </c>
      <c r="L103" s="213">
        <v>1.5451388888888891</v>
      </c>
      <c r="M103" s="78" t="s">
        <v>210</v>
      </c>
      <c r="N103" s="79" t="str">
        <f>IF((AND(T_BilanSocial2[[#This Row],[Nom]]&lt;&gt;"",T_BilanSocial2[[#This Row],[Reg Ponct]]="R")),(COUNTIF(S103:AX103,"S")+COUNTIF(S103:AX103,"T"))/2,"")</f>
        <v/>
      </c>
      <c r="O103" s="79" t="str">
        <f>IF((AND(T_BilanSocial2[[#This Row],[Nom]]&lt;&gt;"",T_BilanSocial2[[#This Row],[Reg Ponct]]="R")),COUNTIF(S103:AX103,"S")/2,"")</f>
        <v/>
      </c>
      <c r="P103" s="80" t="str">
        <f>IF((AND(T_BilanSocial2[[#This Row],[Nom]]&lt;&gt;"",T_BilanSocial2[[#This Row],[Reg Ponct]]="R")),COUNTIF(S103:AX103,"t")/2,"")</f>
        <v/>
      </c>
      <c r="Q103" s="81" t="str">
        <f t="shared" si="10"/>
        <v/>
      </c>
      <c r="R103" s="82" t="str">
        <f>IF((AND(T_BilanSocial2[[#This Row],[Nom]]&lt;&gt;"",T_BilanSocial2[[#This Row],[Reg Ponct]]="R")),IF(S103="T",U103-T103,0)+IF(V103="T",X103-W103,0)+IF(Z103="T",AB103-AA103,0)+IF(AC103="T",AE103-AD103,0)+IF(AG103="T",AI103-AH103,0)+IF(AJ103="T",AL103-AK103,0)+IF(AN103="T",AP103-AO103,0)+IF(AQ103="T",AS103-AR103,0)+IF(AU103="T",AW103-AV103,0)+IF(AX103="T",AZ103-AY103,0),"")</f>
        <v/>
      </c>
      <c r="S103" s="36" t="s">
        <v>306</v>
      </c>
      <c r="T103" s="37">
        <v>0.35416666666666669</v>
      </c>
      <c r="U103" s="37">
        <v>0.52083333333333337</v>
      </c>
      <c r="V103" s="21" t="s">
        <v>306</v>
      </c>
      <c r="W103" s="37">
        <v>0.5625</v>
      </c>
      <c r="X103" s="37">
        <v>0.75</v>
      </c>
      <c r="Y103" s="38" t="str">
        <f t="shared" si="11"/>
        <v/>
      </c>
      <c r="Z103" s="36" t="s">
        <v>306</v>
      </c>
      <c r="AA103" s="37">
        <v>0.35416666666666669</v>
      </c>
      <c r="AB103" s="37">
        <v>0.52083333333333337</v>
      </c>
      <c r="AC103" s="21" t="s">
        <v>306</v>
      </c>
      <c r="AD103" s="37">
        <v>0.5625</v>
      </c>
      <c r="AE103" s="37">
        <v>0.75</v>
      </c>
      <c r="AF103" s="38" t="str">
        <f t="shared" si="12"/>
        <v/>
      </c>
      <c r="AG103" s="36" t="s">
        <v>306</v>
      </c>
      <c r="AH103" s="37">
        <v>0.35416666666666669</v>
      </c>
      <c r="AI103" s="37">
        <v>0.52083333333333337</v>
      </c>
      <c r="AJ103" s="21" t="s">
        <v>306</v>
      </c>
      <c r="AK103" s="37">
        <v>0.5625</v>
      </c>
      <c r="AL103" s="37">
        <v>0.72916666666666663</v>
      </c>
      <c r="AM103" s="38" t="str">
        <f t="shared" si="13"/>
        <v/>
      </c>
      <c r="AN103" s="36" t="s">
        <v>306</v>
      </c>
      <c r="AO103" s="37">
        <v>0.35416666666666669</v>
      </c>
      <c r="AP103" s="37">
        <v>0.52083333333333337</v>
      </c>
      <c r="AQ103" s="21" t="s">
        <v>306</v>
      </c>
      <c r="AR103" s="37">
        <v>0.5625</v>
      </c>
      <c r="AS103" s="37">
        <v>0.75</v>
      </c>
      <c r="AT103" s="38" t="str">
        <f t="shared" si="14"/>
        <v/>
      </c>
      <c r="AU103" s="36" t="s">
        <v>307</v>
      </c>
      <c r="AV103" s="37">
        <v>0.35416666666666669</v>
      </c>
      <c r="AW103" s="37">
        <v>0.50347222222222221</v>
      </c>
      <c r="AX103" s="21" t="s">
        <v>308</v>
      </c>
      <c r="AY103" s="37"/>
      <c r="AZ103" s="37"/>
      <c r="BA103" s="39" t="str">
        <f t="shared" si="15"/>
        <v/>
      </c>
      <c r="BB103" s="46" t="s">
        <v>340</v>
      </c>
      <c r="BC103" s="31" t="s">
        <v>341</v>
      </c>
      <c r="BD103" s="16" t="s">
        <v>311</v>
      </c>
      <c r="BE103" s="16" t="s">
        <v>311</v>
      </c>
      <c r="BF103" s="244" t="str">
        <f>T_BilanSocial2[[#This Row],[Nom]]&amp;T_BilanSocial2[[#This Row],[Prénom]]</f>
        <v/>
      </c>
    </row>
    <row r="104" spans="1:58" ht="21.75" hidden="1" customHeight="1" x14ac:dyDescent="0.25">
      <c r="A104" s="90">
        <v>8</v>
      </c>
      <c r="B104" s="126" t="s">
        <v>311</v>
      </c>
      <c r="C104" s="126" t="str">
        <f>VLOOKUP(T_BilanSocial2[[#This Row],[NumL]],T_Commission[#Data],COLUMN(T_Commission[FINAL]),FALSE)</f>
        <v/>
      </c>
      <c r="D104" s="19" t="str">
        <f t="shared" si="8"/>
        <v/>
      </c>
      <c r="E104" s="19" t="str">
        <f t="shared" si="9"/>
        <v/>
      </c>
      <c r="F104" s="242" t="str">
        <f>IFERROR(VLOOKUP(T_BilanSocial2[[#This Row],[Zone_Bilan]],T_P_BilanSocial[#Data],COLUMN(T_P_BilanSocial[[#This Row],[Numero_SIHAM]]),FALSE),"")</f>
        <v/>
      </c>
      <c r="G104" s="242" t="str">
        <f>IFERROR(VLOOKUP(T_BilanSocial2[[#This Row],[Zone_Bilan]],T_P_BilanSocial[#Data],COLUMN(T_P_BilanSocial[[#This Row],[Sexe]]),FALSE),"")</f>
        <v/>
      </c>
      <c r="H104" s="243" t="str">
        <f>IFERROR(VLOOKUP(T_BilanSocial2[[#This Row],[Zone_Bilan]],T_P_BilanSocial[#Data],COLUMN(T_P_BilanSocial[[#This Row],[Categorie]]),FALSE),"")</f>
        <v/>
      </c>
      <c r="I104" s="242" t="str">
        <f>IFERROR(VLOOKUP(T_BilanSocial2[[#This Row],[Zone_Bilan]],T_P_BilanSocial[#Data],COLUMN(T_P_BilanSocial[[#This Row],[Statut]]),FALSE),"")</f>
        <v/>
      </c>
      <c r="J104" s="242" t="str">
        <f>IFERROR(VLOOKUP(T_BilanSocial2[[#This Row],[Zone_Bilan]],T_P_BilanSocial[#Data],COLUMN(T_P_BilanSocial[[#This Row],[Filiere]]),FALSE),"")</f>
        <v/>
      </c>
      <c r="K104" s="78">
        <v>0.8</v>
      </c>
      <c r="L104" s="213">
        <v>1.2361111111111112</v>
      </c>
      <c r="M104" s="78" t="s">
        <v>210</v>
      </c>
      <c r="N104" s="79" t="str">
        <f>IF((AND(T_BilanSocial2[[#This Row],[Nom]]&lt;&gt;"",T_BilanSocial2[[#This Row],[Reg Ponct]]="R")),(COUNTIF(S104:AX104,"S")+COUNTIF(S104:AX104,"T"))/2,"")</f>
        <v/>
      </c>
      <c r="O104" s="79" t="str">
        <f>IF((AND(T_BilanSocial2[[#This Row],[Nom]]&lt;&gt;"",T_BilanSocial2[[#This Row],[Reg Ponct]]="R")),COUNTIF(S104:AX104,"S")/2,"")</f>
        <v/>
      </c>
      <c r="P104" s="80" t="str">
        <f>IF((AND(T_BilanSocial2[[#This Row],[Nom]]&lt;&gt;"",T_BilanSocial2[[#This Row],[Reg Ponct]]="R")),COUNTIF(S104:AX104,"t")/2,"")</f>
        <v/>
      </c>
      <c r="Q104" s="81" t="str">
        <f t="shared" si="10"/>
        <v/>
      </c>
      <c r="R104" s="82" t="str">
        <f>IF((AND(T_BilanSocial2[[#This Row],[Nom]]&lt;&gt;"",T_BilanSocial2[[#This Row],[Reg Ponct]]="R")),IF(S104="T",U104-T104,0)+IF(V104="T",X104-W104,0)+IF(Z104="T",AB104-AA104,0)+IF(AC104="T",AE104-AD104,0)+IF(AG104="T",AI104-AH104,0)+IF(AJ104="T",AL104-AK104,0)+IF(AN104="T",AP104-AO104,0)+IF(AQ104="T",AS104-AR104,0)+IF(AU104="T",AW104-AV104,0)+IF(AX104="T",AZ104-AY104,0),"")</f>
        <v/>
      </c>
      <c r="S104" s="36" t="s">
        <v>306</v>
      </c>
      <c r="T104" s="37">
        <v>0.37152777777777773</v>
      </c>
      <c r="U104" s="37">
        <v>0.5</v>
      </c>
      <c r="V104" s="21" t="s">
        <v>306</v>
      </c>
      <c r="W104" s="37">
        <v>0.54166666666666663</v>
      </c>
      <c r="X104" s="37">
        <v>0.67013888888888884</v>
      </c>
      <c r="Y104" s="38" t="str">
        <f t="shared" si="11"/>
        <v/>
      </c>
      <c r="Z104" s="36" t="s">
        <v>306</v>
      </c>
      <c r="AA104" s="37">
        <v>0.3125</v>
      </c>
      <c r="AB104" s="37">
        <v>0.5</v>
      </c>
      <c r="AC104" s="21" t="s">
        <v>306</v>
      </c>
      <c r="AD104" s="37">
        <v>0.54166666666666663</v>
      </c>
      <c r="AE104" s="37">
        <v>0.67013888888888884</v>
      </c>
      <c r="AF104" s="38" t="str">
        <f t="shared" si="12"/>
        <v/>
      </c>
      <c r="AG104" s="36" t="s">
        <v>308</v>
      </c>
      <c r="AH104" s="37"/>
      <c r="AI104" s="37"/>
      <c r="AJ104" s="21" t="s">
        <v>308</v>
      </c>
      <c r="AK104" s="37"/>
      <c r="AL104" s="37"/>
      <c r="AM104" s="38" t="str">
        <f t="shared" si="13"/>
        <v/>
      </c>
      <c r="AN104" s="36" t="s">
        <v>307</v>
      </c>
      <c r="AO104" s="37">
        <v>0.3125</v>
      </c>
      <c r="AP104" s="37">
        <v>0.5</v>
      </c>
      <c r="AQ104" s="21" t="s">
        <v>307</v>
      </c>
      <c r="AR104" s="37">
        <v>0.54166666666666663</v>
      </c>
      <c r="AS104" s="37">
        <v>0.72916666666666663</v>
      </c>
      <c r="AT104" s="38" t="str">
        <f t="shared" si="14"/>
        <v/>
      </c>
      <c r="AU104" s="36" t="s">
        <v>306</v>
      </c>
      <c r="AV104" s="37">
        <v>0.37152777777777773</v>
      </c>
      <c r="AW104" s="37">
        <v>0.5</v>
      </c>
      <c r="AX104" s="21" t="s">
        <v>306</v>
      </c>
      <c r="AY104" s="37">
        <v>0.54166666666666663</v>
      </c>
      <c r="AZ104" s="37">
        <v>0.70138888888888884</v>
      </c>
      <c r="BA104" s="39" t="str">
        <f t="shared" si="15"/>
        <v/>
      </c>
      <c r="BB104" s="46" t="s">
        <v>368</v>
      </c>
      <c r="BC104" s="31" t="s">
        <v>369</v>
      </c>
      <c r="BD104" s="16" t="s">
        <v>311</v>
      </c>
      <c r="BE104" s="16" t="s">
        <v>311</v>
      </c>
      <c r="BF104" s="244" t="str">
        <f>T_BilanSocial2[[#This Row],[Nom]]&amp;T_BilanSocial2[[#This Row],[Prénom]]</f>
        <v/>
      </c>
    </row>
    <row r="105" spans="1:58" ht="21.75" hidden="1" customHeight="1" x14ac:dyDescent="0.25">
      <c r="A105" s="90">
        <v>51</v>
      </c>
      <c r="B105" s="126" t="s">
        <v>311</v>
      </c>
      <c r="C105" s="126" t="str">
        <f>VLOOKUP(T_BilanSocial2[[#This Row],[NumL]],T_Commission[#Data],COLUMN(T_Commission[FINAL]),FALSE)</f>
        <v/>
      </c>
      <c r="D105" s="19" t="str">
        <f t="shared" si="8"/>
        <v/>
      </c>
      <c r="E105" s="19" t="str">
        <f t="shared" si="9"/>
        <v/>
      </c>
      <c r="F105" s="242" t="str">
        <f>IFERROR(VLOOKUP(T_BilanSocial2[[#This Row],[Zone_Bilan]],T_P_BilanSocial[#Data],COLUMN(T_P_BilanSocial[[#This Row],[Numero_SIHAM]]),FALSE),"")</f>
        <v/>
      </c>
      <c r="G105" s="242" t="str">
        <f>IFERROR(VLOOKUP(T_BilanSocial2[[#This Row],[Zone_Bilan]],T_P_BilanSocial[#Data],COLUMN(T_P_BilanSocial[[#This Row],[Sexe]]),FALSE),"")</f>
        <v/>
      </c>
      <c r="H105" s="243" t="str">
        <f>IFERROR(VLOOKUP(T_BilanSocial2[[#This Row],[Zone_Bilan]],T_P_BilanSocial[#Data],COLUMN(T_P_BilanSocial[[#This Row],[Categorie]]),FALSE),"")</f>
        <v/>
      </c>
      <c r="I105" s="242" t="str">
        <f>IFERROR(VLOOKUP(T_BilanSocial2[[#This Row],[Zone_Bilan]],T_P_BilanSocial[#Data],COLUMN(T_P_BilanSocial[[#This Row],[Statut]]),FALSE),"")</f>
        <v/>
      </c>
      <c r="J105" s="242" t="str">
        <f>IFERROR(VLOOKUP(T_BilanSocial2[[#This Row],[Zone_Bilan]],T_P_BilanSocial[#Data],COLUMN(T_P_BilanSocial[[#This Row],[Filiere]]),FALSE),"")</f>
        <v/>
      </c>
      <c r="K105" s="78">
        <v>1</v>
      </c>
      <c r="L105" s="213">
        <v>1.5451388888888891</v>
      </c>
      <c r="M105" s="78" t="s">
        <v>210</v>
      </c>
      <c r="N105" s="79" t="str">
        <f>IF((AND(T_BilanSocial2[[#This Row],[Nom]]&lt;&gt;"",T_BilanSocial2[[#This Row],[Reg Ponct]]="R")),(COUNTIF(S105:AX105,"S")+COUNTIF(S105:AX105,"T"))/2,"")</f>
        <v/>
      </c>
      <c r="O105" s="79" t="str">
        <f>IF((AND(T_BilanSocial2[[#This Row],[Nom]]&lt;&gt;"",T_BilanSocial2[[#This Row],[Reg Ponct]]="R")),COUNTIF(S105:AX105,"S")/2,"")</f>
        <v/>
      </c>
      <c r="P105" s="80" t="str">
        <f>IF((AND(T_BilanSocial2[[#This Row],[Nom]]&lt;&gt;"",T_BilanSocial2[[#This Row],[Reg Ponct]]="R")),COUNTIF(S105:AX105,"t")/2,"")</f>
        <v/>
      </c>
      <c r="Q105" s="81" t="str">
        <f t="shared" si="10"/>
        <v/>
      </c>
      <c r="R105" s="82" t="str">
        <f>IF((AND(T_BilanSocial2[[#This Row],[Nom]]&lt;&gt;"",T_BilanSocial2[[#This Row],[Reg Ponct]]="R")),IF(S105="T",U105-T105,0)+IF(V105="T",X105-W105,0)+IF(Z105="T",AB105-AA105,0)+IF(AC105="T",AE105-AD105,0)+IF(AG105="T",AI105-AH105,0)+IF(AJ105="T",AL105-AK105,0)+IF(AN105="T",AP105-AO105,0)+IF(AQ105="T",AS105-AR105,0)+IF(AU105="T",AW105-AV105,0)+IF(AX105="T",AZ105-AY105,0),"")</f>
        <v/>
      </c>
      <c r="S105" s="36" t="s">
        <v>307</v>
      </c>
      <c r="T105" s="37">
        <v>0.35416666666666669</v>
      </c>
      <c r="U105" s="37">
        <v>0.52083333333333337</v>
      </c>
      <c r="V105" s="21" t="s">
        <v>307</v>
      </c>
      <c r="W105" s="37">
        <v>0.5625</v>
      </c>
      <c r="X105" s="37">
        <v>0.73263888888888884</v>
      </c>
      <c r="Y105" s="38" t="str">
        <f t="shared" si="11"/>
        <v/>
      </c>
      <c r="Z105" s="36" t="s">
        <v>306</v>
      </c>
      <c r="AA105" s="37">
        <v>0.33333333333333331</v>
      </c>
      <c r="AB105" s="37">
        <v>0.52083333333333337</v>
      </c>
      <c r="AC105" s="21" t="s">
        <v>306</v>
      </c>
      <c r="AD105" s="37">
        <v>0.5625</v>
      </c>
      <c r="AE105" s="37">
        <v>0.69097222222222221</v>
      </c>
      <c r="AF105" s="38" t="str">
        <f t="shared" si="12"/>
        <v/>
      </c>
      <c r="AG105" s="36" t="s">
        <v>306</v>
      </c>
      <c r="AH105" s="37">
        <v>0.33333333333333331</v>
      </c>
      <c r="AI105" s="37">
        <v>0.51041666666666663</v>
      </c>
      <c r="AJ105" s="21" t="s">
        <v>308</v>
      </c>
      <c r="AK105" s="37"/>
      <c r="AL105" s="37"/>
      <c r="AM105" s="38" t="str">
        <f t="shared" si="13"/>
        <v/>
      </c>
      <c r="AN105" s="36" t="s">
        <v>306</v>
      </c>
      <c r="AO105" s="37">
        <v>0.33333333333333331</v>
      </c>
      <c r="AP105" s="37">
        <v>0.52083333333333337</v>
      </c>
      <c r="AQ105" s="21" t="s">
        <v>306</v>
      </c>
      <c r="AR105" s="37">
        <v>0.5625</v>
      </c>
      <c r="AS105" s="37">
        <v>0.74305555555555547</v>
      </c>
      <c r="AT105" s="38" t="str">
        <f t="shared" si="14"/>
        <v/>
      </c>
      <c r="AU105" s="36" t="s">
        <v>306</v>
      </c>
      <c r="AV105" s="37">
        <v>0.35416666666666669</v>
      </c>
      <c r="AW105" s="37">
        <v>0.52083333333333337</v>
      </c>
      <c r="AX105" s="21" t="s">
        <v>306</v>
      </c>
      <c r="AY105" s="37">
        <v>0.5625</v>
      </c>
      <c r="AZ105" s="37">
        <v>0.74305555555555547</v>
      </c>
      <c r="BA105" s="39" t="str">
        <f t="shared" si="15"/>
        <v/>
      </c>
      <c r="BB105" s="46" t="s">
        <v>376</v>
      </c>
      <c r="BC105" s="31" t="s">
        <v>341</v>
      </c>
      <c r="BD105" s="16" t="s">
        <v>311</v>
      </c>
      <c r="BE105" s="16" t="s">
        <v>311</v>
      </c>
      <c r="BF105" s="244" t="str">
        <f>T_BilanSocial2[[#This Row],[Nom]]&amp;T_BilanSocial2[[#This Row],[Prénom]]</f>
        <v/>
      </c>
    </row>
    <row r="106" spans="1:58" ht="21.75" hidden="1" customHeight="1" x14ac:dyDescent="0.25">
      <c r="A106" s="90">
        <v>164</v>
      </c>
      <c r="B106" s="126" t="s">
        <v>311</v>
      </c>
      <c r="C106" s="126" t="str">
        <f>VLOOKUP(T_BilanSocial2[[#This Row],[NumL]],T_Commission[#Data],COLUMN(T_Commission[FINAL]),FALSE)</f>
        <v/>
      </c>
      <c r="D106" s="19" t="str">
        <f t="shared" si="8"/>
        <v/>
      </c>
      <c r="E106" s="19" t="str">
        <f t="shared" si="9"/>
        <v/>
      </c>
      <c r="F106" s="242" t="str">
        <f>IFERROR(VLOOKUP(T_BilanSocial2[[#This Row],[Zone_Bilan]],T_P_BilanSocial[#Data],COLUMN(T_P_BilanSocial[[#This Row],[Numero_SIHAM]]),FALSE),"")</f>
        <v/>
      </c>
      <c r="G106" s="242" t="str">
        <f>IFERROR(VLOOKUP(T_BilanSocial2[[#This Row],[Zone_Bilan]],T_P_BilanSocial[#Data],COLUMN(T_P_BilanSocial[[#This Row],[Sexe]]),FALSE),"")</f>
        <v/>
      </c>
      <c r="H106" s="243" t="str">
        <f>IFERROR(VLOOKUP(T_BilanSocial2[[#This Row],[Zone_Bilan]],T_P_BilanSocial[#Data],COLUMN(T_P_BilanSocial[[#This Row],[Categorie]]),FALSE),"")</f>
        <v/>
      </c>
      <c r="I106" s="242" t="str">
        <f>IFERROR(VLOOKUP(T_BilanSocial2[[#This Row],[Zone_Bilan]],T_P_BilanSocial[#Data],COLUMN(T_P_BilanSocial[[#This Row],[Statut]]),FALSE),"")</f>
        <v/>
      </c>
      <c r="J106" s="242" t="str">
        <f>IFERROR(VLOOKUP(T_BilanSocial2[[#This Row],[Zone_Bilan]],T_P_BilanSocial[#Data],COLUMN(T_P_BilanSocial[[#This Row],[Filiere]]),FALSE),"")</f>
        <v/>
      </c>
      <c r="K106" s="78">
        <v>1</v>
      </c>
      <c r="L106" s="213">
        <v>1.5451388888888891</v>
      </c>
      <c r="M106" s="78" t="s">
        <v>211</v>
      </c>
      <c r="N106" s="79" t="str">
        <f>IF((AND(T_BilanSocial2[[#This Row],[Nom]]&lt;&gt;"",T_BilanSocial2[[#This Row],[Reg Ponct]]="R")),(COUNTIF(S106:AX106,"S")+COUNTIF(S106:AX106,"T"))/2,"")</f>
        <v/>
      </c>
      <c r="O106" s="79" t="str">
        <f>IF((AND(T_BilanSocial2[[#This Row],[Nom]]&lt;&gt;"",T_BilanSocial2[[#This Row],[Reg Ponct]]="R")),COUNTIF(S106:AX106,"S")/2,"")</f>
        <v/>
      </c>
      <c r="P106" s="80" t="str">
        <f>IF((AND(T_BilanSocial2[[#This Row],[Nom]]&lt;&gt;"",T_BilanSocial2[[#This Row],[Reg Ponct]]="R")),COUNTIF(S106:AX106,"t")/2,"")</f>
        <v/>
      </c>
      <c r="Q106" s="81" t="str">
        <f t="shared" si="10"/>
        <v/>
      </c>
      <c r="R106" s="82" t="str">
        <f>IF((AND(T_BilanSocial2[[#This Row],[Nom]]&lt;&gt;"",T_BilanSocial2[[#This Row],[Reg Ponct]]="R")),IF(S106="T",U106-T106,0)+IF(V106="T",X106-W106,0)+IF(Z106="T",AB106-AA106,0)+IF(AC106="T",AE106-AD106,0)+IF(AG106="T",AI106-AH106,0)+IF(AJ106="T",AL106-AK106,0)+IF(AN106="T",AP106-AO106,0)+IF(AQ106="T",AS106-AR106,0)+IF(AU106="T",AW106-AV106,0)+IF(AX106="T",AZ106-AY106,0),"")</f>
        <v/>
      </c>
      <c r="S106" s="36"/>
      <c r="T106" s="37"/>
      <c r="U106" s="37"/>
      <c r="V106" s="21"/>
      <c r="W106" s="37"/>
      <c r="X106" s="37"/>
      <c r="Y106" s="38" t="str">
        <f t="shared" si="11"/>
        <v/>
      </c>
      <c r="Z106" s="36"/>
      <c r="AA106" s="37"/>
      <c r="AB106" s="37"/>
      <c r="AC106" s="21"/>
      <c r="AD106" s="37"/>
      <c r="AE106" s="37"/>
      <c r="AF106" s="38" t="str">
        <f t="shared" si="12"/>
        <v/>
      </c>
      <c r="AG106" s="36"/>
      <c r="AH106" s="37"/>
      <c r="AI106" s="37"/>
      <c r="AJ106" s="21"/>
      <c r="AK106" s="37"/>
      <c r="AL106" s="37"/>
      <c r="AM106" s="38" t="str">
        <f t="shared" si="13"/>
        <v/>
      </c>
      <c r="AN106" s="36"/>
      <c r="AO106" s="37"/>
      <c r="AP106" s="37"/>
      <c r="AQ106" s="21"/>
      <c r="AR106" s="37"/>
      <c r="AS106" s="37"/>
      <c r="AT106" s="38" t="str">
        <f t="shared" si="14"/>
        <v/>
      </c>
      <c r="AU106" s="36"/>
      <c r="AV106" s="37"/>
      <c r="AW106" s="37"/>
      <c r="AX106" s="21"/>
      <c r="AY106" s="37"/>
      <c r="AZ106" s="37"/>
      <c r="BA106" s="39" t="str">
        <f t="shared" si="15"/>
        <v/>
      </c>
      <c r="BB106" s="46" t="s">
        <v>481</v>
      </c>
      <c r="BC106" s="31" t="s">
        <v>341</v>
      </c>
      <c r="BD106" s="16" t="s">
        <v>311</v>
      </c>
      <c r="BE106" s="16" t="s">
        <v>311</v>
      </c>
      <c r="BF106" s="244" t="str">
        <f>T_BilanSocial2[[#This Row],[Nom]]&amp;T_BilanSocial2[[#This Row],[Prénom]]</f>
        <v/>
      </c>
    </row>
    <row r="107" spans="1:58" ht="21.75" hidden="1" customHeight="1" x14ac:dyDescent="0.25">
      <c r="A107" s="90">
        <v>248</v>
      </c>
      <c r="B107" s="126" t="s">
        <v>311</v>
      </c>
      <c r="C107" s="126" t="str">
        <f>VLOOKUP(T_BilanSocial2[[#This Row],[NumL]],T_Commission[#Data],COLUMN(T_Commission[FINAL]),FALSE)</f>
        <v/>
      </c>
      <c r="D107" s="19" t="str">
        <f t="shared" si="8"/>
        <v/>
      </c>
      <c r="E107" s="19" t="str">
        <f t="shared" si="9"/>
        <v/>
      </c>
      <c r="F107" s="242" t="str">
        <f>IFERROR(VLOOKUP(T_BilanSocial2[[#This Row],[Zone_Bilan]],T_P_BilanSocial[#Data],COLUMN(T_P_BilanSocial[[#This Row],[Numero_SIHAM]]),FALSE),"")</f>
        <v/>
      </c>
      <c r="G107" s="242" t="str">
        <f>IFERROR(VLOOKUP(T_BilanSocial2[[#This Row],[Zone_Bilan]],T_P_BilanSocial[#Data],COLUMN(T_P_BilanSocial[[#This Row],[Sexe]]),FALSE),"")</f>
        <v/>
      </c>
      <c r="H107" s="243" t="str">
        <f>IFERROR(VLOOKUP(T_BilanSocial2[[#This Row],[Zone_Bilan]],T_P_BilanSocial[#Data],COLUMN(T_P_BilanSocial[[#This Row],[Categorie]]),FALSE),"")</f>
        <v/>
      </c>
      <c r="I107" s="242" t="str">
        <f>IFERROR(VLOOKUP(T_BilanSocial2[[#This Row],[Zone_Bilan]],T_P_BilanSocial[#Data],COLUMN(T_P_BilanSocial[[#This Row],[Statut]]),FALSE),"")</f>
        <v/>
      </c>
      <c r="J107" s="242" t="str">
        <f>IFERROR(VLOOKUP(T_BilanSocial2[[#This Row],[Zone_Bilan]],T_P_BilanSocial[#Data],COLUMN(T_P_BilanSocial[[#This Row],[Filiere]]),FALSE),"")</f>
        <v/>
      </c>
      <c r="K107" s="78">
        <v>1</v>
      </c>
      <c r="L107" s="213">
        <v>1.5451388888888891</v>
      </c>
      <c r="M107" s="78" t="s">
        <v>210</v>
      </c>
      <c r="N107" s="79" t="str">
        <f>IF((AND(T_BilanSocial2[[#This Row],[Nom]]&lt;&gt;"",T_BilanSocial2[[#This Row],[Reg Ponct]]="R")),(COUNTIF(S107:AX107,"S")+COUNTIF(S107:AX107,"T"))/2,"")</f>
        <v/>
      </c>
      <c r="O107" s="79" t="str">
        <f>IF((AND(T_BilanSocial2[[#This Row],[Nom]]&lt;&gt;"",T_BilanSocial2[[#This Row],[Reg Ponct]]="R")),COUNTIF(S107:AX107,"S")/2,"")</f>
        <v/>
      </c>
      <c r="P107" s="80" t="str">
        <f>IF((AND(T_BilanSocial2[[#This Row],[Nom]]&lt;&gt;"",T_BilanSocial2[[#This Row],[Reg Ponct]]="R")),COUNTIF(S107:AX107,"t")/2,"")</f>
        <v/>
      </c>
      <c r="Q107" s="81" t="str">
        <f t="shared" si="10"/>
        <v/>
      </c>
      <c r="R107" s="82" t="str">
        <f>IF((AND(T_BilanSocial2[[#This Row],[Nom]]&lt;&gt;"",T_BilanSocial2[[#This Row],[Reg Ponct]]="R")),IF(S107="T",U107-T107,0)+IF(V107="T",X107-W107,0)+IF(Z107="T",AB107-AA107,0)+IF(AC107="T",AE107-AD107,0)+IF(AG107="T",AI107-AH107,0)+IF(AJ107="T",AL107-AK107,0)+IF(AN107="T",AP107-AO107,0)+IF(AQ107="T",AS107-AR107,0)+IF(AU107="T",AW107-AV107,0)+IF(AX107="T",AZ107-AY107,0),"")</f>
        <v/>
      </c>
      <c r="S107" s="36" t="s">
        <v>307</v>
      </c>
      <c r="T107" s="37">
        <v>0.375</v>
      </c>
      <c r="U107" s="37">
        <v>0.5</v>
      </c>
      <c r="V107" s="21" t="s">
        <v>307</v>
      </c>
      <c r="W107" s="37">
        <v>0.54166666666666663</v>
      </c>
      <c r="X107" s="37">
        <v>0.72916666666666663</v>
      </c>
      <c r="Y107" s="38" t="str">
        <f t="shared" si="11"/>
        <v/>
      </c>
      <c r="Z107" s="36" t="s">
        <v>306</v>
      </c>
      <c r="AA107" s="37">
        <v>0.375</v>
      </c>
      <c r="AB107" s="37">
        <v>0.54166666666666663</v>
      </c>
      <c r="AC107" s="21" t="s">
        <v>306</v>
      </c>
      <c r="AD107" s="37">
        <v>0.58333333333333337</v>
      </c>
      <c r="AE107" s="37">
        <v>0.79166666666666663</v>
      </c>
      <c r="AF107" s="38" t="str">
        <f t="shared" si="12"/>
        <v/>
      </c>
      <c r="AG107" s="36" t="s">
        <v>306</v>
      </c>
      <c r="AH107" s="37">
        <v>0.35416666666666669</v>
      </c>
      <c r="AI107" s="37">
        <v>0.54166666666666663</v>
      </c>
      <c r="AJ107" s="21" t="s">
        <v>306</v>
      </c>
      <c r="AK107" s="37">
        <v>0.58333333333333337</v>
      </c>
      <c r="AL107" s="37">
        <v>0.71180555555555547</v>
      </c>
      <c r="AM107" s="38" t="str">
        <f t="shared" si="13"/>
        <v/>
      </c>
      <c r="AN107" s="36" t="s">
        <v>306</v>
      </c>
      <c r="AO107" s="37">
        <v>0.35416666666666669</v>
      </c>
      <c r="AP107" s="37">
        <v>0.54166666666666663</v>
      </c>
      <c r="AQ107" s="21" t="s">
        <v>308</v>
      </c>
      <c r="AR107" s="37"/>
      <c r="AS107" s="37"/>
      <c r="AT107" s="38" t="str">
        <f t="shared" si="14"/>
        <v/>
      </c>
      <c r="AU107" s="36" t="s">
        <v>306</v>
      </c>
      <c r="AV107" s="37">
        <v>0.33333333333333331</v>
      </c>
      <c r="AW107" s="37">
        <v>0.54166666666666663</v>
      </c>
      <c r="AX107" s="21" t="s">
        <v>306</v>
      </c>
      <c r="AY107" s="37">
        <v>0.58333333333333337</v>
      </c>
      <c r="AZ107" s="37">
        <v>0.72916666666666663</v>
      </c>
      <c r="BA107" s="39" t="str">
        <f t="shared" si="15"/>
        <v/>
      </c>
      <c r="BB107" s="46" t="s">
        <v>340</v>
      </c>
      <c r="BC107" s="31" t="s">
        <v>341</v>
      </c>
      <c r="BD107" s="16" t="s">
        <v>311</v>
      </c>
      <c r="BE107" s="16" t="s">
        <v>311</v>
      </c>
      <c r="BF107" s="244" t="str">
        <f>T_BilanSocial2[[#This Row],[Nom]]&amp;T_BilanSocial2[[#This Row],[Prénom]]</f>
        <v/>
      </c>
    </row>
    <row r="108" spans="1:58" ht="21.75" hidden="1" customHeight="1" x14ac:dyDescent="0.25">
      <c r="A108" s="90">
        <v>266</v>
      </c>
      <c r="B108" s="126" t="s">
        <v>311</v>
      </c>
      <c r="C108" s="126" t="str">
        <f>VLOOKUP(T_BilanSocial2[[#This Row],[NumL]],T_Commission[#Data],COLUMN(T_Commission[FINAL]),FALSE)</f>
        <v/>
      </c>
      <c r="D108" s="19" t="str">
        <f t="shared" si="8"/>
        <v/>
      </c>
      <c r="E108" s="19" t="str">
        <f t="shared" si="9"/>
        <v/>
      </c>
      <c r="F108" s="242" t="str">
        <f>IFERROR(VLOOKUP(T_BilanSocial2[[#This Row],[Zone_Bilan]],T_P_BilanSocial[#Data],COLUMN(T_P_BilanSocial[[#This Row],[Numero_SIHAM]]),FALSE),"")</f>
        <v/>
      </c>
      <c r="G108" s="242" t="str">
        <f>IFERROR(VLOOKUP(T_BilanSocial2[[#This Row],[Zone_Bilan]],T_P_BilanSocial[#Data],COLUMN(T_P_BilanSocial[[#This Row],[Sexe]]),FALSE),"")</f>
        <v/>
      </c>
      <c r="H108" s="243" t="str">
        <f>IFERROR(VLOOKUP(T_BilanSocial2[[#This Row],[Zone_Bilan]],T_P_BilanSocial[#Data],COLUMN(T_P_BilanSocial[[#This Row],[Categorie]]),FALSE),"")</f>
        <v/>
      </c>
      <c r="I108" s="242" t="str">
        <f>IFERROR(VLOOKUP(T_BilanSocial2[[#This Row],[Zone_Bilan]],T_P_BilanSocial[#Data],COLUMN(T_P_BilanSocial[[#This Row],[Statut]]),FALSE),"")</f>
        <v/>
      </c>
      <c r="J108" s="242" t="str">
        <f>IFERROR(VLOOKUP(T_BilanSocial2[[#This Row],[Zone_Bilan]],T_P_BilanSocial[#Data],COLUMN(T_P_BilanSocial[[#This Row],[Filiere]]),FALSE),"")</f>
        <v/>
      </c>
      <c r="K108" s="78">
        <v>1</v>
      </c>
      <c r="L108" s="213">
        <v>1.5451388888888891</v>
      </c>
      <c r="M108" s="78" t="s">
        <v>210</v>
      </c>
      <c r="N108" s="79" t="str">
        <f>IF((AND(T_BilanSocial2[[#This Row],[Nom]]&lt;&gt;"",T_BilanSocial2[[#This Row],[Reg Ponct]]="R")),(COUNTIF(S108:AX108,"S")+COUNTIF(S108:AX108,"T"))/2,"")</f>
        <v/>
      </c>
      <c r="O108" s="79" t="str">
        <f>IF((AND(T_BilanSocial2[[#This Row],[Nom]]&lt;&gt;"",T_BilanSocial2[[#This Row],[Reg Ponct]]="R")),COUNTIF(S108:AX108,"S")/2,"")</f>
        <v/>
      </c>
      <c r="P108" s="80" t="str">
        <f>IF((AND(T_BilanSocial2[[#This Row],[Nom]]&lt;&gt;"",T_BilanSocial2[[#This Row],[Reg Ponct]]="R")),COUNTIF(S108:AX108,"t")/2,"")</f>
        <v/>
      </c>
      <c r="Q108" s="81" t="str">
        <f t="shared" si="10"/>
        <v/>
      </c>
      <c r="R108" s="82" t="str">
        <f>IF((AND(T_BilanSocial2[[#This Row],[Nom]]&lt;&gt;"",T_BilanSocial2[[#This Row],[Reg Ponct]]="R")),IF(S108="T",U108-T108,0)+IF(V108="T",X108-W108,0)+IF(Z108="T",AB108-AA108,0)+IF(AC108="T",AE108-AD108,0)+IF(AG108="T",AI108-AH108,0)+IF(AJ108="T",AL108-AK108,0)+IF(AN108="T",AP108-AO108,0)+IF(AQ108="T",AS108-AR108,0)+IF(AU108="T",AW108-AV108,0)+IF(AX108="T",AZ108-AY108,0),"")</f>
        <v/>
      </c>
      <c r="S108" s="36" t="s">
        <v>306</v>
      </c>
      <c r="T108" s="37">
        <v>0.34722222222222227</v>
      </c>
      <c r="U108" s="37">
        <v>0.52083333333333337</v>
      </c>
      <c r="V108" s="21" t="s">
        <v>306</v>
      </c>
      <c r="W108" s="37">
        <v>0.5625</v>
      </c>
      <c r="X108" s="37">
        <v>0.75</v>
      </c>
      <c r="Y108" s="38" t="str">
        <f t="shared" si="11"/>
        <v/>
      </c>
      <c r="Z108" s="36" t="s">
        <v>306</v>
      </c>
      <c r="AA108" s="37">
        <v>0.35069444444444442</v>
      </c>
      <c r="AB108" s="37">
        <v>0.52083333333333337</v>
      </c>
      <c r="AC108" s="21" t="s">
        <v>306</v>
      </c>
      <c r="AD108" s="37">
        <v>0.5625</v>
      </c>
      <c r="AE108" s="37">
        <v>0.73958333333333337</v>
      </c>
      <c r="AF108" s="38" t="str">
        <f t="shared" si="12"/>
        <v/>
      </c>
      <c r="AG108" s="36" t="s">
        <v>306</v>
      </c>
      <c r="AH108" s="37">
        <v>0.3576388888888889</v>
      </c>
      <c r="AI108" s="37">
        <v>0.52083333333333337</v>
      </c>
      <c r="AJ108" s="21" t="s">
        <v>306</v>
      </c>
      <c r="AK108" s="37">
        <v>0.5625</v>
      </c>
      <c r="AL108" s="37">
        <v>0.67708333333333337</v>
      </c>
      <c r="AM108" s="38" t="str">
        <f t="shared" si="13"/>
        <v/>
      </c>
      <c r="AN108" s="36" t="s">
        <v>306</v>
      </c>
      <c r="AO108" s="37">
        <v>0.35069444444444442</v>
      </c>
      <c r="AP108" s="37">
        <v>0.52083333333333337</v>
      </c>
      <c r="AQ108" s="21" t="s">
        <v>306</v>
      </c>
      <c r="AR108" s="37">
        <v>0.5625</v>
      </c>
      <c r="AS108" s="37">
        <v>0.67708333333333337</v>
      </c>
      <c r="AT108" s="38" t="str">
        <f t="shared" si="14"/>
        <v/>
      </c>
      <c r="AU108" s="36" t="s">
        <v>307</v>
      </c>
      <c r="AV108" s="37">
        <v>0.35069444444444442</v>
      </c>
      <c r="AW108" s="37">
        <v>0.52083333333333337</v>
      </c>
      <c r="AX108" s="21" t="s">
        <v>307</v>
      </c>
      <c r="AY108" s="37">
        <v>0.5625</v>
      </c>
      <c r="AZ108" s="37">
        <v>0.66666666666666663</v>
      </c>
      <c r="BA108" s="39" t="str">
        <f t="shared" si="15"/>
        <v/>
      </c>
      <c r="BB108" s="46" t="s">
        <v>376</v>
      </c>
      <c r="BC108" s="31" t="s">
        <v>341</v>
      </c>
      <c r="BD108" s="16" t="s">
        <v>311</v>
      </c>
      <c r="BE108" s="16" t="s">
        <v>311</v>
      </c>
      <c r="BF108" s="244" t="str">
        <f>T_BilanSocial2[[#This Row],[Nom]]&amp;T_BilanSocial2[[#This Row],[Prénom]]</f>
        <v/>
      </c>
    </row>
    <row r="109" spans="1:58" ht="21.75" hidden="1" customHeight="1" x14ac:dyDescent="0.25">
      <c r="A109" s="90">
        <v>91</v>
      </c>
      <c r="B109" s="126" t="s">
        <v>311</v>
      </c>
      <c r="C109" s="126" t="e">
        <f>VLOOKUP(T_BilanSocial2[[#This Row],[NumL]],T_Commission[#Data],COLUMN(T_Commission[FINAL]),FALSE)</f>
        <v>#N/A</v>
      </c>
      <c r="D109" s="19" t="str">
        <f t="shared" si="8"/>
        <v/>
      </c>
      <c r="E109" s="19" t="str">
        <f t="shared" si="9"/>
        <v/>
      </c>
      <c r="F109" s="242" t="str">
        <f>IFERROR(VLOOKUP(T_BilanSocial2[[#This Row],[Zone_Bilan]],T_P_BilanSocial[#Data],COLUMN(T_P_BilanSocial[[#This Row],[Numero_SIHAM]]),FALSE),"")</f>
        <v/>
      </c>
      <c r="G109" s="242" t="str">
        <f>IFERROR(VLOOKUP(T_BilanSocial2[[#This Row],[Zone_Bilan]],T_P_BilanSocial[#Data],COLUMN(T_P_BilanSocial[[#This Row],[Sexe]]),FALSE),"")</f>
        <v/>
      </c>
      <c r="H109" s="243" t="str">
        <f>IFERROR(VLOOKUP(T_BilanSocial2[[#This Row],[Zone_Bilan]],T_P_BilanSocial[#Data],COLUMN(T_P_BilanSocial[[#This Row],[Categorie]]),FALSE),"")</f>
        <v/>
      </c>
      <c r="I109" s="242" t="str">
        <f>IFERROR(VLOOKUP(T_BilanSocial2[[#This Row],[Zone_Bilan]],T_P_BilanSocial[#Data],COLUMN(T_P_BilanSocial[[#This Row],[Statut]]),FALSE),"")</f>
        <v/>
      </c>
      <c r="J109" s="242" t="str">
        <f>IFERROR(VLOOKUP(T_BilanSocial2[[#This Row],[Zone_Bilan]],T_P_BilanSocial[#Data],COLUMN(T_P_BilanSocial[[#This Row],[Filiere]]),FALSE),"")</f>
        <v/>
      </c>
      <c r="K109" s="78">
        <v>0.8</v>
      </c>
      <c r="L109" s="213">
        <v>1.2361111111111112</v>
      </c>
      <c r="M109" s="78" t="s">
        <v>210</v>
      </c>
      <c r="N109" s="79" t="str">
        <f>IF((AND(T_BilanSocial2[[#This Row],[Nom]]&lt;&gt;"",T_BilanSocial2[[#This Row],[Reg Ponct]]="R")),(COUNTIF(S109:AX109,"S")+COUNTIF(S109:AX109,"T"))/2,"")</f>
        <v/>
      </c>
      <c r="O109" s="79" t="str">
        <f>IF((AND(T_BilanSocial2[[#This Row],[Nom]]&lt;&gt;"",T_BilanSocial2[[#This Row],[Reg Ponct]]="R")),COUNTIF(S109:AX109,"S")/2,"")</f>
        <v/>
      </c>
      <c r="P109" s="80" t="str">
        <f>IF((AND(T_BilanSocial2[[#This Row],[Nom]]&lt;&gt;"",T_BilanSocial2[[#This Row],[Reg Ponct]]="R")),COUNTIF(S109:AX109,"t")/2,"")</f>
        <v/>
      </c>
      <c r="Q109" s="81" t="str">
        <f t="shared" si="10"/>
        <v/>
      </c>
      <c r="R109" s="82" t="str">
        <f>IF((AND(T_BilanSocial2[[#This Row],[Nom]]&lt;&gt;"",T_BilanSocial2[[#This Row],[Reg Ponct]]="R")),IF(S109="T",U109-T109,0)+IF(V109="T",X109-W109,0)+IF(Z109="T",AB109-AA109,0)+IF(AC109="T",AE109-AD109,0)+IF(AG109="T",AI109-AH109,0)+IF(AJ109="T",AL109-AK109,0)+IF(AN109="T",AP109-AO109,0)+IF(AQ109="T",AS109-AR109,0)+IF(AU109="T",AW109-AV109,0)+IF(AX109="T",AZ109-AY109,0),"")</f>
        <v/>
      </c>
      <c r="S109" s="36" t="s">
        <v>307</v>
      </c>
      <c r="T109" s="37">
        <v>0.35416666666666669</v>
      </c>
      <c r="U109" s="37">
        <v>0.52083333333333337</v>
      </c>
      <c r="V109" s="21" t="s">
        <v>307</v>
      </c>
      <c r="W109" s="37">
        <v>0.5625</v>
      </c>
      <c r="X109" s="37">
        <v>0.70486111111111116</v>
      </c>
      <c r="Y109" s="38" t="str">
        <f t="shared" si="11"/>
        <v/>
      </c>
      <c r="Z109" s="36" t="s">
        <v>306</v>
      </c>
      <c r="AA109" s="37">
        <v>0.35416666666666669</v>
      </c>
      <c r="AB109" s="37">
        <v>0.52083333333333337</v>
      </c>
      <c r="AC109" s="21" t="s">
        <v>306</v>
      </c>
      <c r="AD109" s="37">
        <v>0.5625</v>
      </c>
      <c r="AE109" s="37">
        <v>0.70486111111111116</v>
      </c>
      <c r="AF109" s="38" t="str">
        <f t="shared" si="12"/>
        <v/>
      </c>
      <c r="AG109" s="36" t="s">
        <v>308</v>
      </c>
      <c r="AH109" s="37"/>
      <c r="AI109" s="37"/>
      <c r="AJ109" s="21" t="s">
        <v>308</v>
      </c>
      <c r="AK109" s="37"/>
      <c r="AL109" s="37"/>
      <c r="AM109" s="38" t="str">
        <f t="shared" si="13"/>
        <v/>
      </c>
      <c r="AN109" s="36" t="s">
        <v>306</v>
      </c>
      <c r="AO109" s="37">
        <v>0.35416666666666669</v>
      </c>
      <c r="AP109" s="37">
        <v>0.52083333333333337</v>
      </c>
      <c r="AQ109" s="21" t="s">
        <v>306</v>
      </c>
      <c r="AR109" s="37">
        <v>0.5625</v>
      </c>
      <c r="AS109" s="37">
        <v>0.70486111111111116</v>
      </c>
      <c r="AT109" s="38" t="str">
        <f t="shared" si="14"/>
        <v/>
      </c>
      <c r="AU109" s="36" t="s">
        <v>306</v>
      </c>
      <c r="AV109" s="37">
        <v>0.33333333333333331</v>
      </c>
      <c r="AW109" s="37">
        <v>0.52083333333333337</v>
      </c>
      <c r="AX109" s="21" t="s">
        <v>306</v>
      </c>
      <c r="AY109" s="37">
        <v>0.5625</v>
      </c>
      <c r="AZ109" s="37">
        <v>0.68402777777777779</v>
      </c>
      <c r="BA109" s="39" t="str">
        <f t="shared" si="15"/>
        <v/>
      </c>
      <c r="BB109" s="46" t="s">
        <v>684</v>
      </c>
      <c r="BC109" s="31" t="s">
        <v>341</v>
      </c>
      <c r="BD109" s="16" t="s">
        <v>311</v>
      </c>
      <c r="BE109" s="16" t="s">
        <v>311</v>
      </c>
      <c r="BF109" s="244" t="str">
        <f>T_BilanSocial2[[#This Row],[Nom]]&amp;T_BilanSocial2[[#This Row],[Prénom]]</f>
        <v/>
      </c>
    </row>
    <row r="110" spans="1:58" ht="21.75" hidden="1" customHeight="1" x14ac:dyDescent="0.25">
      <c r="A110" s="90">
        <v>90</v>
      </c>
      <c r="B110" s="126" t="s">
        <v>210</v>
      </c>
      <c r="C110" s="126" t="str">
        <f>VLOOKUP(T_BilanSocial2[[#This Row],[NumL]],T_Commission[#Data],COLUMN(T_Commission[FINAL]),FALSE)</f>
        <v/>
      </c>
      <c r="D110" s="19" t="str">
        <f t="shared" si="8"/>
        <v/>
      </c>
      <c r="E110" s="19" t="str">
        <f t="shared" si="9"/>
        <v/>
      </c>
      <c r="F110" s="242" t="str">
        <f>IFERROR(VLOOKUP(T_BilanSocial2[[#This Row],[Zone_Bilan]],T_P_BilanSocial[#Data],COLUMN(T_P_BilanSocial[[#This Row],[Numero_SIHAM]]),FALSE),"")</f>
        <v/>
      </c>
      <c r="G110" s="242" t="str">
        <f>IFERROR(VLOOKUP(T_BilanSocial2[[#This Row],[Zone_Bilan]],T_P_BilanSocial[#Data],COLUMN(T_P_BilanSocial[[#This Row],[Sexe]]),FALSE),"")</f>
        <v/>
      </c>
      <c r="H110" s="243" t="str">
        <f>IFERROR(VLOOKUP(T_BilanSocial2[[#This Row],[Zone_Bilan]],T_P_BilanSocial[#Data],COLUMN(T_P_BilanSocial[[#This Row],[Categorie]]),FALSE),"")</f>
        <v/>
      </c>
      <c r="I110" s="242" t="str">
        <f>IFERROR(VLOOKUP(T_BilanSocial2[[#This Row],[Zone_Bilan]],T_P_BilanSocial[#Data],COLUMN(T_P_BilanSocial[[#This Row],[Statut]]),FALSE),"")</f>
        <v/>
      </c>
      <c r="J110" s="242" t="str">
        <f>IFERROR(VLOOKUP(T_BilanSocial2[[#This Row],[Zone_Bilan]],T_P_BilanSocial[#Data],COLUMN(T_P_BilanSocial[[#This Row],[Filiere]]),FALSE),"")</f>
        <v/>
      </c>
      <c r="K110" s="78">
        <v>0.8</v>
      </c>
      <c r="L110" s="213">
        <v>1.2361111111111112</v>
      </c>
      <c r="M110" s="78" t="s">
        <v>210</v>
      </c>
      <c r="N110" s="79" t="str">
        <f>IF((AND(T_BilanSocial2[[#This Row],[Nom]]&lt;&gt;"",T_BilanSocial2[[#This Row],[Reg Ponct]]="R")),(COUNTIF(S110:AX110,"S")+COUNTIF(S110:AX110,"T"))/2,"")</f>
        <v/>
      </c>
      <c r="O110" s="79" t="str">
        <f>IF((AND(T_BilanSocial2[[#This Row],[Nom]]&lt;&gt;"",T_BilanSocial2[[#This Row],[Reg Ponct]]="R")),COUNTIF(S110:AX110,"S")/2,"")</f>
        <v/>
      </c>
      <c r="P110" s="80" t="str">
        <f>IF((AND(T_BilanSocial2[[#This Row],[Nom]]&lt;&gt;"",T_BilanSocial2[[#This Row],[Reg Ponct]]="R")),COUNTIF(S110:AX110,"t")/2,"")</f>
        <v/>
      </c>
      <c r="Q110" s="81" t="str">
        <f t="shared" si="10"/>
        <v/>
      </c>
      <c r="R110" s="82" t="str">
        <f>IF((AND(T_BilanSocial2[[#This Row],[Nom]]&lt;&gt;"",T_BilanSocial2[[#This Row],[Reg Ponct]]="R")),IF(S110="T",U110-T110,0)+IF(V110="T",X110-W110,0)+IF(Z110="T",AB110-AA110,0)+IF(AC110="T",AE110-AD110,0)+IF(AG110="T",AI110-AH110,0)+IF(AJ110="T",AL110-AK110,0)+IF(AN110="T",AP110-AO110,0)+IF(AQ110="T",AS110-AR110,0)+IF(AU110="T",AW110-AV110,0)+IF(AX110="T",AZ110-AY110,0),"")</f>
        <v/>
      </c>
      <c r="S110" s="36" t="s">
        <v>306</v>
      </c>
      <c r="T110" s="37">
        <v>0.31944444444444448</v>
      </c>
      <c r="U110" s="37">
        <v>0.47916666666666669</v>
      </c>
      <c r="V110" s="21" t="s">
        <v>306</v>
      </c>
      <c r="W110" s="37">
        <v>0.52083333333333337</v>
      </c>
      <c r="X110" s="37">
        <v>0.67361111111111116</v>
      </c>
      <c r="Y110" s="38" t="str">
        <f t="shared" si="11"/>
        <v/>
      </c>
      <c r="Z110" s="36" t="s">
        <v>307</v>
      </c>
      <c r="AA110" s="37">
        <v>0.3125</v>
      </c>
      <c r="AB110" s="37">
        <v>0.47916666666666669</v>
      </c>
      <c r="AC110" s="21" t="s">
        <v>307</v>
      </c>
      <c r="AD110" s="37">
        <v>0.52083333333333337</v>
      </c>
      <c r="AE110" s="37">
        <v>0.66666666666666663</v>
      </c>
      <c r="AF110" s="38" t="str">
        <f t="shared" si="12"/>
        <v/>
      </c>
      <c r="AG110" s="36" t="s">
        <v>308</v>
      </c>
      <c r="AH110" s="37"/>
      <c r="AI110" s="37"/>
      <c r="AJ110" s="21" t="s">
        <v>308</v>
      </c>
      <c r="AK110" s="37"/>
      <c r="AL110" s="37"/>
      <c r="AM110" s="38" t="str">
        <f t="shared" si="13"/>
        <v/>
      </c>
      <c r="AN110" s="36" t="s">
        <v>306</v>
      </c>
      <c r="AO110" s="37">
        <v>0.31944444444444448</v>
      </c>
      <c r="AP110" s="37">
        <v>0.47916666666666669</v>
      </c>
      <c r="AQ110" s="21" t="s">
        <v>306</v>
      </c>
      <c r="AR110" s="37">
        <v>0.52083333333333337</v>
      </c>
      <c r="AS110" s="37">
        <v>0.66666666666666663</v>
      </c>
      <c r="AT110" s="38" t="str">
        <f t="shared" si="14"/>
        <v/>
      </c>
      <c r="AU110" s="36" t="s">
        <v>306</v>
      </c>
      <c r="AV110" s="37">
        <v>0.31944444444444448</v>
      </c>
      <c r="AW110" s="37">
        <v>0.47916666666666669</v>
      </c>
      <c r="AX110" s="21" t="s">
        <v>306</v>
      </c>
      <c r="AY110" s="37">
        <v>0.52083333333333337</v>
      </c>
      <c r="AZ110" s="37">
        <v>0.66666666666666663</v>
      </c>
      <c r="BA110" s="39" t="str">
        <f t="shared" si="15"/>
        <v/>
      </c>
      <c r="BB110" s="46" t="s">
        <v>674</v>
      </c>
      <c r="BC110" s="31" t="s">
        <v>675</v>
      </c>
      <c r="BD110" s="16" t="s">
        <v>322</v>
      </c>
      <c r="BE110" s="16" t="s">
        <v>322</v>
      </c>
      <c r="BF110" s="244" t="str">
        <f>T_BilanSocial2[[#This Row],[Nom]]&amp;T_BilanSocial2[[#This Row],[Prénom]]</f>
        <v/>
      </c>
    </row>
    <row r="111" spans="1:58" ht="21.75" hidden="1" customHeight="1" x14ac:dyDescent="0.25">
      <c r="A111" s="90">
        <v>54</v>
      </c>
      <c r="B111" s="126" t="s">
        <v>210</v>
      </c>
      <c r="C111" s="126" t="str">
        <f>VLOOKUP(T_BilanSocial2[[#This Row],[NumL]],T_Commission[#Data],COLUMN(T_Commission[FINAL]),FALSE)</f>
        <v/>
      </c>
      <c r="D111" s="19" t="str">
        <f t="shared" si="8"/>
        <v/>
      </c>
      <c r="E111" s="19" t="str">
        <f t="shared" si="9"/>
        <v/>
      </c>
      <c r="F111" s="242" t="str">
        <f>IFERROR(VLOOKUP(T_BilanSocial2[[#This Row],[Zone_Bilan]],T_P_BilanSocial[#Data],COLUMN(T_P_BilanSocial[[#This Row],[Numero_SIHAM]]),FALSE),"")</f>
        <v/>
      </c>
      <c r="G111" s="242" t="str">
        <f>IFERROR(VLOOKUP(T_BilanSocial2[[#This Row],[Zone_Bilan]],T_P_BilanSocial[#Data],COLUMN(T_P_BilanSocial[[#This Row],[Sexe]]),FALSE),"")</f>
        <v/>
      </c>
      <c r="H111" s="243" t="str">
        <f>IFERROR(VLOOKUP(T_BilanSocial2[[#This Row],[Zone_Bilan]],T_P_BilanSocial[#Data],COLUMN(T_P_BilanSocial[[#This Row],[Categorie]]),FALSE),"")</f>
        <v/>
      </c>
      <c r="I111" s="242" t="str">
        <f>IFERROR(VLOOKUP(T_BilanSocial2[[#This Row],[Zone_Bilan]],T_P_BilanSocial[#Data],COLUMN(T_P_BilanSocial[[#This Row],[Statut]]),FALSE),"")</f>
        <v/>
      </c>
      <c r="J111" s="242" t="str">
        <f>IFERROR(VLOOKUP(T_BilanSocial2[[#This Row],[Zone_Bilan]],T_P_BilanSocial[#Data],COLUMN(T_P_BilanSocial[[#This Row],[Filiere]]),FALSE),"")</f>
        <v/>
      </c>
      <c r="K111" s="78">
        <v>1</v>
      </c>
      <c r="L111" s="213">
        <v>1.5451388888888891</v>
      </c>
      <c r="M111" s="78" t="s">
        <v>210</v>
      </c>
      <c r="N111" s="79" t="str">
        <f>IF((AND(T_BilanSocial2[[#This Row],[Nom]]&lt;&gt;"",T_BilanSocial2[[#This Row],[Reg Ponct]]="R")),(COUNTIF(S111:AX111,"S")+COUNTIF(S111:AX111,"T"))/2,"")</f>
        <v/>
      </c>
      <c r="O111" s="79" t="str">
        <f>IF((AND(T_BilanSocial2[[#This Row],[Nom]]&lt;&gt;"",T_BilanSocial2[[#This Row],[Reg Ponct]]="R")),COUNTIF(S111:AX111,"S")/2,"")</f>
        <v/>
      </c>
      <c r="P111" s="80" t="str">
        <f>IF((AND(T_BilanSocial2[[#This Row],[Nom]]&lt;&gt;"",T_BilanSocial2[[#This Row],[Reg Ponct]]="R")),COUNTIF(S111:AX111,"t")/2,"")</f>
        <v/>
      </c>
      <c r="Q111" s="81" t="str">
        <f t="shared" si="10"/>
        <v/>
      </c>
      <c r="R111" s="82" t="str">
        <f>IF((AND(T_BilanSocial2[[#This Row],[Nom]]&lt;&gt;"",T_BilanSocial2[[#This Row],[Reg Ponct]]="R")),IF(S111="T",U111-T111,0)+IF(V111="T",X111-W111,0)+IF(Z111="T",AB111-AA111,0)+IF(AC111="T",AE111-AD111,0)+IF(AG111="T",AI111-AH111,0)+IF(AJ111="T",AL111-AK111,0)+IF(AN111="T",AP111-AO111,0)+IF(AQ111="T",AS111-AR111,0)+IF(AU111="T",AW111-AV111,0)+IF(AX111="T",AZ111-AY111,0),"")</f>
        <v/>
      </c>
      <c r="S111" s="36" t="s">
        <v>306</v>
      </c>
      <c r="T111" s="37">
        <v>0.32291666666666669</v>
      </c>
      <c r="U111" s="37">
        <v>0.5</v>
      </c>
      <c r="V111" s="21" t="s">
        <v>306</v>
      </c>
      <c r="W111" s="37">
        <v>0.54166666666666663</v>
      </c>
      <c r="X111" s="37">
        <v>0.70138888888888884</v>
      </c>
      <c r="Y111" s="38" t="str">
        <f t="shared" si="11"/>
        <v/>
      </c>
      <c r="Z111" s="36" t="s">
        <v>306</v>
      </c>
      <c r="AA111" s="37">
        <v>0.32291666666666669</v>
      </c>
      <c r="AB111" s="37">
        <v>0.5</v>
      </c>
      <c r="AC111" s="21" t="s">
        <v>306</v>
      </c>
      <c r="AD111" s="37">
        <v>0.54166666666666663</v>
      </c>
      <c r="AE111" s="37">
        <v>0.69791666666666663</v>
      </c>
      <c r="AF111" s="38" t="str">
        <f t="shared" si="12"/>
        <v/>
      </c>
      <c r="AG111" s="36" t="s">
        <v>307</v>
      </c>
      <c r="AH111" s="37">
        <v>0.32291666666666669</v>
      </c>
      <c r="AI111" s="37">
        <v>0.5</v>
      </c>
      <c r="AJ111" s="21" t="s">
        <v>307</v>
      </c>
      <c r="AK111" s="37">
        <v>0.54166666666666663</v>
      </c>
      <c r="AL111" s="37">
        <v>0.70833333333333337</v>
      </c>
      <c r="AM111" s="38" t="str">
        <f t="shared" si="13"/>
        <v/>
      </c>
      <c r="AN111" s="36" t="s">
        <v>306</v>
      </c>
      <c r="AO111" s="37">
        <v>0.32291666666666669</v>
      </c>
      <c r="AP111" s="37">
        <v>0.5</v>
      </c>
      <c r="AQ111" s="21" t="s">
        <v>306</v>
      </c>
      <c r="AR111" s="37">
        <v>0.54166666666666663</v>
      </c>
      <c r="AS111" s="37">
        <v>0.69791666666666663</v>
      </c>
      <c r="AT111" s="38" t="str">
        <f t="shared" si="14"/>
        <v/>
      </c>
      <c r="AU111" s="36" t="s">
        <v>307</v>
      </c>
      <c r="AV111" s="37">
        <v>0.32291666666666669</v>
      </c>
      <c r="AW111" s="37">
        <v>0.52083333333333337</v>
      </c>
      <c r="AX111" s="21" t="s">
        <v>308</v>
      </c>
      <c r="AY111" s="37"/>
      <c r="AZ111" s="37"/>
      <c r="BA111" s="39" t="str">
        <f t="shared" si="15"/>
        <v/>
      </c>
      <c r="BB111" s="46" t="s">
        <v>329</v>
      </c>
      <c r="BC111" s="31" t="s">
        <v>330</v>
      </c>
      <c r="BD111" s="16" t="s">
        <v>322</v>
      </c>
      <c r="BE111" s="16" t="s">
        <v>322</v>
      </c>
      <c r="BF111" s="244" t="str">
        <f>T_BilanSocial2[[#This Row],[Nom]]&amp;T_BilanSocial2[[#This Row],[Prénom]]</f>
        <v/>
      </c>
    </row>
    <row r="112" spans="1:58" ht="21.75" hidden="1" customHeight="1" x14ac:dyDescent="0.25">
      <c r="A112" s="90">
        <v>218</v>
      </c>
      <c r="B112" s="126" t="s">
        <v>311</v>
      </c>
      <c r="C112" s="126" t="str">
        <f>VLOOKUP(T_BilanSocial2[[#This Row],[NumL]],T_Commission[#Data],COLUMN(T_Commission[FINAL]),FALSE)</f>
        <v/>
      </c>
      <c r="D112" s="19" t="str">
        <f t="shared" si="8"/>
        <v/>
      </c>
      <c r="E112" s="19" t="str">
        <f t="shared" si="9"/>
        <v/>
      </c>
      <c r="F112" s="242" t="str">
        <f>IFERROR(VLOOKUP(T_BilanSocial2[[#This Row],[Zone_Bilan]],T_P_BilanSocial[#Data],COLUMN(T_P_BilanSocial[[#This Row],[Numero_SIHAM]]),FALSE),"")</f>
        <v/>
      </c>
      <c r="G112" s="242" t="str">
        <f>IFERROR(VLOOKUP(T_BilanSocial2[[#This Row],[Zone_Bilan]],T_P_BilanSocial[#Data],COLUMN(T_P_BilanSocial[[#This Row],[Sexe]]),FALSE),"")</f>
        <v/>
      </c>
      <c r="H112" s="243" t="str">
        <f>IFERROR(VLOOKUP(T_BilanSocial2[[#This Row],[Zone_Bilan]],T_P_BilanSocial[#Data],COLUMN(T_P_BilanSocial[[#This Row],[Categorie]]),FALSE),"")</f>
        <v/>
      </c>
      <c r="I112" s="242" t="str">
        <f>IFERROR(VLOOKUP(T_BilanSocial2[[#This Row],[Zone_Bilan]],T_P_BilanSocial[#Data],COLUMN(T_P_BilanSocial[[#This Row],[Statut]]),FALSE),"")</f>
        <v/>
      </c>
      <c r="J112" s="242" t="str">
        <f>IFERROR(VLOOKUP(T_BilanSocial2[[#This Row],[Zone_Bilan]],T_P_BilanSocial[#Data],COLUMN(T_P_BilanSocial[[#This Row],[Filiere]]),FALSE),"")</f>
        <v/>
      </c>
      <c r="K112" s="78">
        <v>1</v>
      </c>
      <c r="L112" s="213">
        <v>1.5451388888888891</v>
      </c>
      <c r="M112" s="78" t="s">
        <v>210</v>
      </c>
      <c r="N112" s="79" t="str">
        <f>IF((AND(T_BilanSocial2[[#This Row],[Nom]]&lt;&gt;"",T_BilanSocial2[[#This Row],[Reg Ponct]]="R")),(COUNTIF(S112:AX112,"S")+COUNTIF(S112:AX112,"T"))/2,"")</f>
        <v/>
      </c>
      <c r="O112" s="79" t="str">
        <f>IF((AND(T_BilanSocial2[[#This Row],[Nom]]&lt;&gt;"",T_BilanSocial2[[#This Row],[Reg Ponct]]="R")),COUNTIF(S112:AX112,"S")/2,"")</f>
        <v/>
      </c>
      <c r="P112" s="80" t="str">
        <f>IF((AND(T_BilanSocial2[[#This Row],[Nom]]&lt;&gt;"",T_BilanSocial2[[#This Row],[Reg Ponct]]="R")),COUNTIF(S112:AX112,"t")/2,"")</f>
        <v/>
      </c>
      <c r="Q112" s="81" t="str">
        <f t="shared" si="10"/>
        <v/>
      </c>
      <c r="R112" s="82" t="str">
        <f>IF((AND(T_BilanSocial2[[#This Row],[Nom]]&lt;&gt;"",T_BilanSocial2[[#This Row],[Reg Ponct]]="R")),IF(S112="T",U112-T112,0)+IF(V112="T",X112-W112,0)+IF(Z112="T",AB112-AA112,0)+IF(AC112="T",AE112-AD112,0)+IF(AG112="T",AI112-AH112,0)+IF(AJ112="T",AL112-AK112,0)+IF(AN112="T",AP112-AO112,0)+IF(AQ112="T",AS112-AR112,0)+IF(AU112="T",AW112-AV112,0)+IF(AX112="T",AZ112-AY112,0),"")</f>
        <v/>
      </c>
      <c r="S112" s="36" t="s">
        <v>306</v>
      </c>
      <c r="T112" s="37">
        <v>0.35416666666666669</v>
      </c>
      <c r="U112" s="37">
        <v>0.52083333333333337</v>
      </c>
      <c r="V112" s="21" t="s">
        <v>306</v>
      </c>
      <c r="W112" s="37">
        <v>0.5625</v>
      </c>
      <c r="X112" s="37">
        <v>0.72916666666666663</v>
      </c>
      <c r="Y112" s="38" t="str">
        <f t="shared" si="11"/>
        <v/>
      </c>
      <c r="Z112" s="36" t="s">
        <v>307</v>
      </c>
      <c r="AA112" s="37">
        <v>0.35416666666666669</v>
      </c>
      <c r="AB112" s="37">
        <v>0.52083333333333337</v>
      </c>
      <c r="AC112" s="21" t="s">
        <v>307</v>
      </c>
      <c r="AD112" s="37">
        <v>0.5625</v>
      </c>
      <c r="AE112" s="37">
        <v>0.72916666666666663</v>
      </c>
      <c r="AF112" s="38" t="str">
        <f t="shared" si="12"/>
        <v/>
      </c>
      <c r="AG112" s="36" t="s">
        <v>306</v>
      </c>
      <c r="AH112" s="37">
        <v>0.33333333333333331</v>
      </c>
      <c r="AI112" s="37">
        <v>0.52430555555555558</v>
      </c>
      <c r="AJ112" s="21" t="s">
        <v>308</v>
      </c>
      <c r="AK112" s="37"/>
      <c r="AL112" s="37"/>
      <c r="AM112" s="38" t="str">
        <f t="shared" si="13"/>
        <v/>
      </c>
      <c r="AN112" s="36" t="s">
        <v>306</v>
      </c>
      <c r="AO112" s="37">
        <v>0.33333333333333331</v>
      </c>
      <c r="AP112" s="37">
        <v>0.52083333333333337</v>
      </c>
      <c r="AQ112" s="21" t="s">
        <v>306</v>
      </c>
      <c r="AR112" s="37">
        <v>0.5625</v>
      </c>
      <c r="AS112" s="37">
        <v>0.72916666666666663</v>
      </c>
      <c r="AT112" s="38" t="str">
        <f t="shared" si="14"/>
        <v/>
      </c>
      <c r="AU112" s="36" t="s">
        <v>306</v>
      </c>
      <c r="AV112" s="37">
        <v>0.33333333333333331</v>
      </c>
      <c r="AW112" s="37">
        <v>0.52083333333333337</v>
      </c>
      <c r="AX112" s="21" t="s">
        <v>306</v>
      </c>
      <c r="AY112" s="37">
        <v>0.5625</v>
      </c>
      <c r="AZ112" s="37">
        <v>0.70833333333333337</v>
      </c>
      <c r="BA112" s="39" t="str">
        <f t="shared" si="15"/>
        <v/>
      </c>
      <c r="BB112" s="46" t="s">
        <v>376</v>
      </c>
      <c r="BC112" s="31" t="s">
        <v>341</v>
      </c>
      <c r="BD112" s="16" t="s">
        <v>311</v>
      </c>
      <c r="BE112" s="16" t="s">
        <v>311</v>
      </c>
      <c r="BF112" s="244" t="str">
        <f>T_BilanSocial2[[#This Row],[Nom]]&amp;T_BilanSocial2[[#This Row],[Prénom]]</f>
        <v/>
      </c>
    </row>
    <row r="113" spans="1:58" ht="21.75" hidden="1" customHeight="1" x14ac:dyDescent="0.25">
      <c r="A113" s="90">
        <v>83</v>
      </c>
      <c r="B113" s="126" t="s">
        <v>311</v>
      </c>
      <c r="C113" s="126" t="str">
        <f>VLOOKUP(T_BilanSocial2[[#This Row],[NumL]],T_Commission[#Data],COLUMN(T_Commission[FINAL]),FALSE)</f>
        <v/>
      </c>
      <c r="D113" s="19" t="str">
        <f t="shared" si="8"/>
        <v/>
      </c>
      <c r="E113" s="19" t="str">
        <f t="shared" si="9"/>
        <v/>
      </c>
      <c r="F113" s="242" t="str">
        <f>IFERROR(VLOOKUP(T_BilanSocial2[[#This Row],[Zone_Bilan]],T_P_BilanSocial[#Data],COLUMN(T_P_BilanSocial[[#This Row],[Numero_SIHAM]]),FALSE),"")</f>
        <v/>
      </c>
      <c r="G113" s="242" t="str">
        <f>IFERROR(VLOOKUP(T_BilanSocial2[[#This Row],[Zone_Bilan]],T_P_BilanSocial[#Data],COLUMN(T_P_BilanSocial[[#This Row],[Sexe]]),FALSE),"")</f>
        <v/>
      </c>
      <c r="H113" s="243" t="str">
        <f>IFERROR(VLOOKUP(T_BilanSocial2[[#This Row],[Zone_Bilan]],T_P_BilanSocial[#Data],COLUMN(T_P_BilanSocial[[#This Row],[Categorie]]),FALSE),"")</f>
        <v/>
      </c>
      <c r="I113" s="242" t="str">
        <f>IFERROR(VLOOKUP(T_BilanSocial2[[#This Row],[Zone_Bilan]],T_P_BilanSocial[#Data],COLUMN(T_P_BilanSocial[[#This Row],[Statut]]),FALSE),"")</f>
        <v/>
      </c>
      <c r="J113" s="242" t="str">
        <f>IFERROR(VLOOKUP(T_BilanSocial2[[#This Row],[Zone_Bilan]],T_P_BilanSocial[#Data],COLUMN(T_P_BilanSocial[[#This Row],[Filiere]]),FALSE),"")</f>
        <v/>
      </c>
      <c r="K113" s="78">
        <v>1</v>
      </c>
      <c r="L113" s="213">
        <v>1.5451388888888891</v>
      </c>
      <c r="M113" s="78" t="s">
        <v>210</v>
      </c>
      <c r="N113" s="79" t="str">
        <f>IF((AND(T_BilanSocial2[[#This Row],[Nom]]&lt;&gt;"",T_BilanSocial2[[#This Row],[Reg Ponct]]="R")),(COUNTIF(S113:AX113,"S")+COUNTIF(S113:AX113,"T"))/2,"")</f>
        <v/>
      </c>
      <c r="O113" s="79" t="str">
        <f>IF((AND(T_BilanSocial2[[#This Row],[Nom]]&lt;&gt;"",T_BilanSocial2[[#This Row],[Reg Ponct]]="R")),COUNTIF(S113:AX113,"S")/2,"")</f>
        <v/>
      </c>
      <c r="P113" s="80" t="str">
        <f>IF((AND(T_BilanSocial2[[#This Row],[Nom]]&lt;&gt;"",T_BilanSocial2[[#This Row],[Reg Ponct]]="R")),COUNTIF(S113:AX113,"t")/2,"")</f>
        <v/>
      </c>
      <c r="Q113" s="81" t="str">
        <f t="shared" si="10"/>
        <v/>
      </c>
      <c r="R113" s="82" t="str">
        <f>IF((AND(T_BilanSocial2[[#This Row],[Nom]]&lt;&gt;"",T_BilanSocial2[[#This Row],[Reg Ponct]]="R")),IF(S113="T",U113-T113,0)+IF(V113="T",X113-W113,0)+IF(Z113="T",AB113-AA113,0)+IF(AC113="T",AE113-AD113,0)+IF(AG113="T",AI113-AH113,0)+IF(AJ113="T",AL113-AK113,0)+IF(AN113="T",AP113-AO113,0)+IF(AQ113="T",AS113-AR113,0)+IF(AU113="T",AW113-AV113,0)+IF(AX113="T",AZ113-AY113,0),"")</f>
        <v/>
      </c>
      <c r="S113" s="36" t="s">
        <v>306</v>
      </c>
      <c r="T113" s="37">
        <v>0.3263888888888889</v>
      </c>
      <c r="U113" s="37">
        <v>0.5</v>
      </c>
      <c r="V113" s="21" t="s">
        <v>306</v>
      </c>
      <c r="W113" s="37">
        <v>0.54166666666666663</v>
      </c>
      <c r="X113" s="37">
        <v>0.71875</v>
      </c>
      <c r="Y113" s="38" t="str">
        <f t="shared" si="11"/>
        <v/>
      </c>
      <c r="Z113" s="36" t="s">
        <v>306</v>
      </c>
      <c r="AA113" s="37">
        <v>0.3263888888888889</v>
      </c>
      <c r="AB113" s="37">
        <v>0.5</v>
      </c>
      <c r="AC113" s="21" t="s">
        <v>306</v>
      </c>
      <c r="AD113" s="37">
        <v>0.54166666666666663</v>
      </c>
      <c r="AE113" s="37">
        <v>0.71875</v>
      </c>
      <c r="AF113" s="38" t="str">
        <f t="shared" si="12"/>
        <v/>
      </c>
      <c r="AG113" s="36" t="s">
        <v>306</v>
      </c>
      <c r="AH113" s="37">
        <v>0.3263888888888889</v>
      </c>
      <c r="AI113" s="37">
        <v>0.5</v>
      </c>
      <c r="AJ113" s="21" t="s">
        <v>306</v>
      </c>
      <c r="AK113" s="37">
        <v>0.54166666666666663</v>
      </c>
      <c r="AL113" s="37">
        <v>0.71875</v>
      </c>
      <c r="AM113" s="38" t="str">
        <f t="shared" si="13"/>
        <v/>
      </c>
      <c r="AN113" s="36" t="s">
        <v>306</v>
      </c>
      <c r="AO113" s="37">
        <v>0.3263888888888889</v>
      </c>
      <c r="AP113" s="37">
        <v>0.5</v>
      </c>
      <c r="AQ113" s="21" t="s">
        <v>308</v>
      </c>
      <c r="AR113" s="37"/>
      <c r="AS113" s="37"/>
      <c r="AT113" s="38" t="str">
        <f t="shared" si="14"/>
        <v/>
      </c>
      <c r="AU113" s="36" t="s">
        <v>307</v>
      </c>
      <c r="AV113" s="37">
        <v>0.3263888888888889</v>
      </c>
      <c r="AW113" s="37">
        <v>0.5</v>
      </c>
      <c r="AX113" s="21" t="s">
        <v>307</v>
      </c>
      <c r="AY113" s="37">
        <v>0.54166666666666663</v>
      </c>
      <c r="AZ113" s="37">
        <v>0.6875</v>
      </c>
      <c r="BA113" s="39" t="str">
        <f t="shared" si="15"/>
        <v/>
      </c>
      <c r="BB113" s="46" t="s">
        <v>611</v>
      </c>
      <c r="BC113" s="31" t="s">
        <v>341</v>
      </c>
      <c r="BD113" s="16" t="s">
        <v>311</v>
      </c>
      <c r="BE113" s="16" t="s">
        <v>311</v>
      </c>
      <c r="BF113" s="244" t="str">
        <f>T_BilanSocial2[[#This Row],[Nom]]&amp;T_BilanSocial2[[#This Row],[Prénom]]</f>
        <v/>
      </c>
    </row>
    <row r="114" spans="1:58" ht="21.75" hidden="1" customHeight="1" x14ac:dyDescent="0.25">
      <c r="A114" s="90">
        <v>209</v>
      </c>
      <c r="B114" s="126" t="s">
        <v>311</v>
      </c>
      <c r="C114" s="126" t="str">
        <f>VLOOKUP(T_BilanSocial2[[#This Row],[NumL]],T_Commission[#Data],COLUMN(T_Commission[FINAL]),FALSE)</f>
        <v/>
      </c>
      <c r="D114" s="19" t="str">
        <f t="shared" si="8"/>
        <v/>
      </c>
      <c r="E114" s="19" t="str">
        <f t="shared" si="9"/>
        <v/>
      </c>
      <c r="F114" s="242" t="str">
        <f>IFERROR(VLOOKUP(T_BilanSocial2[[#This Row],[Zone_Bilan]],T_P_BilanSocial[#Data],COLUMN(T_P_BilanSocial[[#This Row],[Numero_SIHAM]]),FALSE),"")</f>
        <v/>
      </c>
      <c r="G114" s="242" t="str">
        <f>IFERROR(VLOOKUP(T_BilanSocial2[[#This Row],[Zone_Bilan]],T_P_BilanSocial[#Data],COLUMN(T_P_BilanSocial[[#This Row],[Sexe]]),FALSE),"")</f>
        <v/>
      </c>
      <c r="H114" s="243" t="str">
        <f>IFERROR(VLOOKUP(T_BilanSocial2[[#This Row],[Zone_Bilan]],T_P_BilanSocial[#Data],COLUMN(T_P_BilanSocial[[#This Row],[Categorie]]),FALSE),"")</f>
        <v/>
      </c>
      <c r="I114" s="242" t="str">
        <f>IFERROR(VLOOKUP(T_BilanSocial2[[#This Row],[Zone_Bilan]],T_P_BilanSocial[#Data],COLUMN(T_P_BilanSocial[[#This Row],[Statut]]),FALSE),"")</f>
        <v/>
      </c>
      <c r="J114" s="242" t="str">
        <f>IFERROR(VLOOKUP(T_BilanSocial2[[#This Row],[Zone_Bilan]],T_P_BilanSocial[#Data],COLUMN(T_P_BilanSocial[[#This Row],[Filiere]]),FALSE),"")</f>
        <v/>
      </c>
      <c r="K114" s="78">
        <v>1</v>
      </c>
      <c r="L114" s="213">
        <v>1.5451388888888891</v>
      </c>
      <c r="M114" s="78" t="s">
        <v>210</v>
      </c>
      <c r="N114" s="79" t="str">
        <f>IF((AND(T_BilanSocial2[[#This Row],[Nom]]&lt;&gt;"",T_BilanSocial2[[#This Row],[Reg Ponct]]="R")),(COUNTIF(S114:AX114,"S")+COUNTIF(S114:AX114,"T"))/2,"")</f>
        <v/>
      </c>
      <c r="O114" s="79" t="str">
        <f>IF((AND(T_BilanSocial2[[#This Row],[Nom]]&lt;&gt;"",T_BilanSocial2[[#This Row],[Reg Ponct]]="R")),COUNTIF(S114:AX114,"S")/2,"")</f>
        <v/>
      </c>
      <c r="P114" s="80" t="str">
        <f>IF((AND(T_BilanSocial2[[#This Row],[Nom]]&lt;&gt;"",T_BilanSocial2[[#This Row],[Reg Ponct]]="R")),COUNTIF(S114:AX114,"t")/2,"")</f>
        <v/>
      </c>
      <c r="Q114" s="81" t="str">
        <f t="shared" si="10"/>
        <v/>
      </c>
      <c r="R114" s="82" t="str">
        <f>IF((AND(T_BilanSocial2[[#This Row],[Nom]]&lt;&gt;"",T_BilanSocial2[[#This Row],[Reg Ponct]]="R")),IF(S114="T",U114-T114,0)+IF(V114="T",X114-W114,0)+IF(Z114="T",AB114-AA114,0)+IF(AC114="T",AE114-AD114,0)+IF(AG114="T",AI114-AH114,0)+IF(AJ114="T",AL114-AK114,0)+IF(AN114="T",AP114-AO114,0)+IF(AQ114="T",AS114-AR114,0)+IF(AU114="T",AW114-AV114,0)+IF(AX114="T",AZ114-AY114,0),"")</f>
        <v/>
      </c>
      <c r="S114" s="36" t="s">
        <v>306</v>
      </c>
      <c r="T114" s="37">
        <v>0.34027777777777773</v>
      </c>
      <c r="U114" s="37">
        <v>0.52083333333333337</v>
      </c>
      <c r="V114" s="21" t="s">
        <v>306</v>
      </c>
      <c r="W114" s="37">
        <v>0.5625</v>
      </c>
      <c r="X114" s="37">
        <v>0.70138888888888884</v>
      </c>
      <c r="Y114" s="38" t="str">
        <f t="shared" si="11"/>
        <v/>
      </c>
      <c r="Z114" s="36" t="s">
        <v>306</v>
      </c>
      <c r="AA114" s="37">
        <v>0.34027777777777773</v>
      </c>
      <c r="AB114" s="37">
        <v>0.52083333333333337</v>
      </c>
      <c r="AC114" s="21" t="s">
        <v>306</v>
      </c>
      <c r="AD114" s="37">
        <v>0.5625</v>
      </c>
      <c r="AE114" s="37">
        <v>0.70138888888888884</v>
      </c>
      <c r="AF114" s="38" t="str">
        <f t="shared" si="12"/>
        <v/>
      </c>
      <c r="AG114" s="36" t="s">
        <v>306</v>
      </c>
      <c r="AH114" s="37">
        <v>0.34027777777777773</v>
      </c>
      <c r="AI114" s="37">
        <v>0.52083333333333337</v>
      </c>
      <c r="AJ114" s="21" t="s">
        <v>306</v>
      </c>
      <c r="AK114" s="37">
        <v>0.5625</v>
      </c>
      <c r="AL114" s="37">
        <v>0.70138888888888884</v>
      </c>
      <c r="AM114" s="38" t="str">
        <f t="shared" si="13"/>
        <v/>
      </c>
      <c r="AN114" s="36" t="s">
        <v>306</v>
      </c>
      <c r="AO114" s="37">
        <v>0.34027777777777773</v>
      </c>
      <c r="AP114" s="37">
        <v>0.52083333333333337</v>
      </c>
      <c r="AQ114" s="21" t="s">
        <v>306</v>
      </c>
      <c r="AR114" s="37">
        <v>0.5625</v>
      </c>
      <c r="AS114" s="37">
        <v>0.69791666666666663</v>
      </c>
      <c r="AT114" s="38" t="str">
        <f t="shared" si="14"/>
        <v/>
      </c>
      <c r="AU114" s="36" t="s">
        <v>307</v>
      </c>
      <c r="AV114" s="37">
        <v>0.33333333333333331</v>
      </c>
      <c r="AW114" s="37">
        <v>0.52083333333333337</v>
      </c>
      <c r="AX114" s="21" t="s">
        <v>307</v>
      </c>
      <c r="AY114" s="37">
        <v>0.5625</v>
      </c>
      <c r="AZ114" s="37">
        <v>0.64583333333333337</v>
      </c>
      <c r="BA114" s="39" t="str">
        <f t="shared" si="15"/>
        <v/>
      </c>
      <c r="BB114" s="46" t="s">
        <v>1099</v>
      </c>
      <c r="BC114" s="31" t="s">
        <v>1100</v>
      </c>
      <c r="BD114" s="16" t="s">
        <v>311</v>
      </c>
      <c r="BE114" s="16" t="s">
        <v>311</v>
      </c>
      <c r="BF114" s="244" t="str">
        <f>T_BilanSocial2[[#This Row],[Nom]]&amp;T_BilanSocial2[[#This Row],[Prénom]]</f>
        <v/>
      </c>
    </row>
    <row r="115" spans="1:58" ht="21.75" hidden="1" customHeight="1" x14ac:dyDescent="0.25">
      <c r="A115" s="90">
        <v>162</v>
      </c>
      <c r="B115" s="126" t="s">
        <v>311</v>
      </c>
      <c r="C115" s="126" t="str">
        <f>VLOOKUP(T_BilanSocial2[[#This Row],[NumL]],T_Commission[#Data],COLUMN(T_Commission[FINAL]),FALSE)</f>
        <v/>
      </c>
      <c r="D115" s="19" t="str">
        <f t="shared" si="8"/>
        <v/>
      </c>
      <c r="E115" s="19" t="str">
        <f t="shared" si="9"/>
        <v/>
      </c>
      <c r="F115" s="242" t="str">
        <f>IFERROR(VLOOKUP(T_BilanSocial2[[#This Row],[Zone_Bilan]],T_P_BilanSocial[#Data],COLUMN(T_P_BilanSocial[[#This Row],[Numero_SIHAM]]),FALSE),"")</f>
        <v/>
      </c>
      <c r="G115" s="242" t="str">
        <f>IFERROR(VLOOKUP(T_BilanSocial2[[#This Row],[Zone_Bilan]],T_P_BilanSocial[#Data],COLUMN(T_P_BilanSocial[[#This Row],[Sexe]]),FALSE),"")</f>
        <v/>
      </c>
      <c r="H115" s="243" t="str">
        <f>IFERROR(VLOOKUP(T_BilanSocial2[[#This Row],[Zone_Bilan]],T_P_BilanSocial[#Data],COLUMN(T_P_BilanSocial[[#This Row],[Categorie]]),FALSE),"")</f>
        <v/>
      </c>
      <c r="I115" s="242" t="str">
        <f>IFERROR(VLOOKUP(T_BilanSocial2[[#This Row],[Zone_Bilan]],T_P_BilanSocial[#Data],COLUMN(T_P_BilanSocial[[#This Row],[Statut]]),FALSE),"")</f>
        <v/>
      </c>
      <c r="J115" s="242" t="str">
        <f>IFERROR(VLOOKUP(T_BilanSocial2[[#This Row],[Zone_Bilan]],T_P_BilanSocial[#Data],COLUMN(T_P_BilanSocial[[#This Row],[Filiere]]),FALSE),"")</f>
        <v/>
      </c>
      <c r="K115" s="78">
        <v>0.8</v>
      </c>
      <c r="L115" s="213">
        <v>1.2361111111111112</v>
      </c>
      <c r="M115" s="78" t="s">
        <v>210</v>
      </c>
      <c r="N115" s="79" t="str">
        <f>IF((AND(T_BilanSocial2[[#This Row],[Nom]]&lt;&gt;"",T_BilanSocial2[[#This Row],[Reg Ponct]]="R")),(COUNTIF(S115:AX115,"S")+COUNTIF(S115:AX115,"T"))/2,"")</f>
        <v/>
      </c>
      <c r="O115" s="79" t="str">
        <f>IF((AND(T_BilanSocial2[[#This Row],[Nom]]&lt;&gt;"",T_BilanSocial2[[#This Row],[Reg Ponct]]="R")),COUNTIF(S115:AX115,"S")/2,"")</f>
        <v/>
      </c>
      <c r="P115" s="80" t="str">
        <f>IF((AND(T_BilanSocial2[[#This Row],[Nom]]&lt;&gt;"",T_BilanSocial2[[#This Row],[Reg Ponct]]="R")),COUNTIF(S115:AX115,"t")/2,"")</f>
        <v/>
      </c>
      <c r="Q115" s="81" t="str">
        <f t="shared" si="10"/>
        <v/>
      </c>
      <c r="R115" s="82" t="str">
        <f>IF((AND(T_BilanSocial2[[#This Row],[Nom]]&lt;&gt;"",T_BilanSocial2[[#This Row],[Reg Ponct]]="R")),IF(S115="T",U115-T115,0)+IF(V115="T",X115-W115,0)+IF(Z115="T",AB115-AA115,0)+IF(AC115="T",AE115-AD115,0)+IF(AG115="T",AI115-AH115,0)+IF(AJ115="T",AL115-AK115,0)+IF(AN115="T",AP115-AO115,0)+IF(AQ115="T",AS115-AR115,0)+IF(AU115="T",AW115-AV115,0)+IF(AX115="T",AZ115-AY115,0),"")</f>
        <v/>
      </c>
      <c r="S115" s="36" t="s">
        <v>306</v>
      </c>
      <c r="T115" s="37">
        <v>0.35416666666666669</v>
      </c>
      <c r="U115" s="37">
        <v>0.52083333333333337</v>
      </c>
      <c r="V115" s="21" t="s">
        <v>306</v>
      </c>
      <c r="W115" s="37">
        <v>0.5625</v>
      </c>
      <c r="X115" s="37">
        <v>0.6875</v>
      </c>
      <c r="Y115" s="38" t="str">
        <f t="shared" si="11"/>
        <v/>
      </c>
      <c r="Z115" s="36" t="s">
        <v>306</v>
      </c>
      <c r="AA115" s="37">
        <v>0.33333333333333331</v>
      </c>
      <c r="AB115" s="37">
        <v>0.52083333333333337</v>
      </c>
      <c r="AC115" s="21" t="s">
        <v>306</v>
      </c>
      <c r="AD115" s="37">
        <v>0.5625</v>
      </c>
      <c r="AE115" s="37">
        <v>0.69444444444444453</v>
      </c>
      <c r="AF115" s="38" t="str">
        <f t="shared" si="12"/>
        <v/>
      </c>
      <c r="AG115" s="36" t="s">
        <v>308</v>
      </c>
      <c r="AH115" s="37"/>
      <c r="AI115" s="37"/>
      <c r="AJ115" s="21" t="s">
        <v>308</v>
      </c>
      <c r="AK115" s="37"/>
      <c r="AL115" s="37"/>
      <c r="AM115" s="38" t="str">
        <f t="shared" si="13"/>
        <v/>
      </c>
      <c r="AN115" s="36" t="s">
        <v>306</v>
      </c>
      <c r="AO115" s="37">
        <v>0.33333333333333331</v>
      </c>
      <c r="AP115" s="37">
        <v>0.52083333333333337</v>
      </c>
      <c r="AQ115" s="21" t="s">
        <v>306</v>
      </c>
      <c r="AR115" s="37">
        <v>0.5625</v>
      </c>
      <c r="AS115" s="37">
        <v>0.66666666666666663</v>
      </c>
      <c r="AT115" s="38" t="str">
        <f t="shared" si="14"/>
        <v/>
      </c>
      <c r="AU115" s="36" t="s">
        <v>307</v>
      </c>
      <c r="AV115" s="37">
        <v>0.33333333333333331</v>
      </c>
      <c r="AW115" s="37">
        <v>0.52083333333333337</v>
      </c>
      <c r="AX115" s="21" t="s">
        <v>307</v>
      </c>
      <c r="AY115" s="37">
        <v>0.5625</v>
      </c>
      <c r="AZ115" s="37">
        <v>0.70833333333333337</v>
      </c>
      <c r="BA115" s="39" t="str">
        <f t="shared" si="15"/>
        <v/>
      </c>
      <c r="BB115" s="46" t="s">
        <v>320</v>
      </c>
      <c r="BC115" s="31" t="s">
        <v>321</v>
      </c>
      <c r="BD115" s="16" t="s">
        <v>322</v>
      </c>
      <c r="BE115" s="16" t="s">
        <v>311</v>
      </c>
      <c r="BF115" s="244" t="str">
        <f>T_BilanSocial2[[#This Row],[Nom]]&amp;T_BilanSocial2[[#This Row],[Prénom]]</f>
        <v/>
      </c>
    </row>
    <row r="116" spans="1:58" ht="21.75" hidden="1" customHeight="1" x14ac:dyDescent="0.25">
      <c r="A116" s="90">
        <v>206</v>
      </c>
      <c r="B116" s="126" t="s">
        <v>311</v>
      </c>
      <c r="C116" s="126" t="str">
        <f>VLOOKUP(T_BilanSocial2[[#This Row],[NumL]],T_Commission[#Data],COLUMN(T_Commission[FINAL]),FALSE)</f>
        <v/>
      </c>
      <c r="D116" s="19" t="str">
        <f t="shared" si="8"/>
        <v/>
      </c>
      <c r="E116" s="19" t="str">
        <f t="shared" si="9"/>
        <v/>
      </c>
      <c r="F116" s="242" t="str">
        <f>IFERROR(VLOOKUP(T_BilanSocial2[[#This Row],[Zone_Bilan]],T_P_BilanSocial[#Data],COLUMN(T_P_BilanSocial[[#This Row],[Numero_SIHAM]]),FALSE),"")</f>
        <v/>
      </c>
      <c r="G116" s="242" t="str">
        <f>IFERROR(VLOOKUP(T_BilanSocial2[[#This Row],[Zone_Bilan]],T_P_BilanSocial[#Data],COLUMN(T_P_BilanSocial[[#This Row],[Sexe]]),FALSE),"")</f>
        <v/>
      </c>
      <c r="H116" s="243" t="str">
        <f>IFERROR(VLOOKUP(T_BilanSocial2[[#This Row],[Zone_Bilan]],T_P_BilanSocial[#Data],COLUMN(T_P_BilanSocial[[#This Row],[Categorie]]),FALSE),"")</f>
        <v/>
      </c>
      <c r="I116" s="242" t="str">
        <f>IFERROR(VLOOKUP(T_BilanSocial2[[#This Row],[Zone_Bilan]],T_P_BilanSocial[#Data],COLUMN(T_P_BilanSocial[[#This Row],[Statut]]),FALSE),"")</f>
        <v/>
      </c>
      <c r="J116" s="242" t="str">
        <f>IFERROR(VLOOKUP(T_BilanSocial2[[#This Row],[Zone_Bilan]],T_P_BilanSocial[#Data],COLUMN(T_P_BilanSocial[[#This Row],[Filiere]]),FALSE),"")</f>
        <v/>
      </c>
      <c r="K116" s="78">
        <v>0.8</v>
      </c>
      <c r="L116" s="213">
        <v>1.2361111111111112</v>
      </c>
      <c r="M116" s="78" t="s">
        <v>210</v>
      </c>
      <c r="N116" s="79" t="str">
        <f>IF((AND(T_BilanSocial2[[#This Row],[Nom]]&lt;&gt;"",T_BilanSocial2[[#This Row],[Reg Ponct]]="R")),(COUNTIF(S116:AX116,"S")+COUNTIF(S116:AX116,"T"))/2,"")</f>
        <v/>
      </c>
      <c r="O116" s="79" t="str">
        <f>IF((AND(T_BilanSocial2[[#This Row],[Nom]]&lt;&gt;"",T_BilanSocial2[[#This Row],[Reg Ponct]]="R")),COUNTIF(S116:AX116,"S")/2,"")</f>
        <v/>
      </c>
      <c r="P116" s="80" t="str">
        <f>IF((AND(T_BilanSocial2[[#This Row],[Nom]]&lt;&gt;"",T_BilanSocial2[[#This Row],[Reg Ponct]]="R")),COUNTIF(S116:AX116,"t")/2,"")</f>
        <v/>
      </c>
      <c r="Q116" s="81" t="str">
        <f t="shared" si="10"/>
        <v/>
      </c>
      <c r="R116" s="82" t="str">
        <f>IF((AND(T_BilanSocial2[[#This Row],[Nom]]&lt;&gt;"",T_BilanSocial2[[#This Row],[Reg Ponct]]="R")),IF(S116="T",U116-T116,0)+IF(V116="T",X116-W116,0)+IF(Z116="T",AB116-AA116,0)+IF(AC116="T",AE116-AD116,0)+IF(AG116="T",AI116-AH116,0)+IF(AJ116="T",AL116-AK116,0)+IF(AN116="T",AP116-AO116,0)+IF(AQ116="T",AS116-AR116,0)+IF(AU116="T",AW116-AV116,0)+IF(AX116="T",AZ116-AY116,0),"")</f>
        <v/>
      </c>
      <c r="S116" s="36" t="s">
        <v>306</v>
      </c>
      <c r="T116" s="37">
        <v>0.32291666666666669</v>
      </c>
      <c r="U116" s="37">
        <v>0.5</v>
      </c>
      <c r="V116" s="21" t="s">
        <v>306</v>
      </c>
      <c r="W116" s="37">
        <v>0.54166666666666663</v>
      </c>
      <c r="X116" s="37">
        <v>0.67361111111111116</v>
      </c>
      <c r="Y116" s="38" t="str">
        <f t="shared" si="11"/>
        <v/>
      </c>
      <c r="Z116" s="36" t="s">
        <v>307</v>
      </c>
      <c r="AA116" s="37">
        <v>0.32291666666666669</v>
      </c>
      <c r="AB116" s="37">
        <v>0.5</v>
      </c>
      <c r="AC116" s="21" t="s">
        <v>307</v>
      </c>
      <c r="AD116" s="37">
        <v>0.54166666666666663</v>
      </c>
      <c r="AE116" s="37">
        <v>0.67361111111111116</v>
      </c>
      <c r="AF116" s="38" t="str">
        <f t="shared" si="12"/>
        <v/>
      </c>
      <c r="AG116" s="36" t="s">
        <v>308</v>
      </c>
      <c r="AH116" s="37"/>
      <c r="AI116" s="37"/>
      <c r="AJ116" s="21" t="s">
        <v>308</v>
      </c>
      <c r="AK116" s="37"/>
      <c r="AL116" s="37"/>
      <c r="AM116" s="38" t="str">
        <f t="shared" si="13"/>
        <v/>
      </c>
      <c r="AN116" s="36" t="s">
        <v>306</v>
      </c>
      <c r="AO116" s="37">
        <v>0.32291666666666669</v>
      </c>
      <c r="AP116" s="37">
        <v>0.5</v>
      </c>
      <c r="AQ116" s="21" t="s">
        <v>306</v>
      </c>
      <c r="AR116" s="37">
        <v>0.54166666666666663</v>
      </c>
      <c r="AS116" s="37">
        <v>0.67361111111111116</v>
      </c>
      <c r="AT116" s="38" t="str">
        <f t="shared" si="14"/>
        <v/>
      </c>
      <c r="AU116" s="36" t="s">
        <v>306</v>
      </c>
      <c r="AV116" s="37">
        <v>0.32291666666666669</v>
      </c>
      <c r="AW116" s="37">
        <v>0.5</v>
      </c>
      <c r="AX116" s="21" t="s">
        <v>306</v>
      </c>
      <c r="AY116" s="37">
        <v>0.54166666666666663</v>
      </c>
      <c r="AZ116" s="37">
        <v>0.67361111111111116</v>
      </c>
      <c r="BA116" s="39" t="str">
        <f t="shared" si="15"/>
        <v/>
      </c>
      <c r="BB116" s="46" t="s">
        <v>376</v>
      </c>
      <c r="BC116" s="31" t="s">
        <v>341</v>
      </c>
      <c r="BD116" s="16" t="s">
        <v>311</v>
      </c>
      <c r="BE116" s="16" t="s">
        <v>311</v>
      </c>
      <c r="BF116" s="244" t="str">
        <f>T_BilanSocial2[[#This Row],[Nom]]&amp;T_BilanSocial2[[#This Row],[Prénom]]</f>
        <v/>
      </c>
    </row>
    <row r="117" spans="1:58" ht="21.75" hidden="1" customHeight="1" x14ac:dyDescent="0.25">
      <c r="A117" s="90">
        <v>201</v>
      </c>
      <c r="B117" s="126" t="s">
        <v>311</v>
      </c>
      <c r="C117" s="126" t="str">
        <f>VLOOKUP(T_BilanSocial2[[#This Row],[NumL]],T_Commission[#Data],COLUMN(T_Commission[FINAL]),FALSE)</f>
        <v/>
      </c>
      <c r="D117" s="19" t="str">
        <f t="shared" si="8"/>
        <v/>
      </c>
      <c r="E117" s="19" t="str">
        <f t="shared" si="9"/>
        <v/>
      </c>
      <c r="F117" s="242" t="str">
        <f>IFERROR(VLOOKUP(T_BilanSocial2[[#This Row],[Zone_Bilan]],T_P_BilanSocial[#Data],COLUMN(T_P_BilanSocial[[#This Row],[Numero_SIHAM]]),FALSE),"")</f>
        <v/>
      </c>
      <c r="G117" s="242" t="str">
        <f>IFERROR(VLOOKUP(T_BilanSocial2[[#This Row],[Zone_Bilan]],T_P_BilanSocial[#Data],COLUMN(T_P_BilanSocial[[#This Row],[Sexe]]),FALSE),"")</f>
        <v/>
      </c>
      <c r="H117" s="243" t="str">
        <f>IFERROR(VLOOKUP(T_BilanSocial2[[#This Row],[Zone_Bilan]],T_P_BilanSocial[#Data],COLUMN(T_P_BilanSocial[[#This Row],[Categorie]]),FALSE),"")</f>
        <v/>
      </c>
      <c r="I117" s="242" t="str">
        <f>IFERROR(VLOOKUP(T_BilanSocial2[[#This Row],[Zone_Bilan]],T_P_BilanSocial[#Data],COLUMN(T_P_BilanSocial[[#This Row],[Statut]]),FALSE),"")</f>
        <v/>
      </c>
      <c r="J117" s="242" t="str">
        <f>IFERROR(VLOOKUP(T_BilanSocial2[[#This Row],[Zone_Bilan]],T_P_BilanSocial[#Data],COLUMN(T_P_BilanSocial[[#This Row],[Filiere]]),FALSE),"")</f>
        <v/>
      </c>
      <c r="K117" s="78">
        <v>1</v>
      </c>
      <c r="L117" s="213">
        <v>1.5451388888888891</v>
      </c>
      <c r="M117" s="78" t="s">
        <v>210</v>
      </c>
      <c r="N117" s="79" t="str">
        <f>IF((AND(T_BilanSocial2[[#This Row],[Nom]]&lt;&gt;"",T_BilanSocial2[[#This Row],[Reg Ponct]]="R")),(COUNTIF(S117:AX117,"S")+COUNTIF(S117:AX117,"T"))/2,"")</f>
        <v/>
      </c>
      <c r="O117" s="79" t="str">
        <f>IF((AND(T_BilanSocial2[[#This Row],[Nom]]&lt;&gt;"",T_BilanSocial2[[#This Row],[Reg Ponct]]="R")),COUNTIF(S117:AX117,"S")/2,"")</f>
        <v/>
      </c>
      <c r="P117" s="80" t="str">
        <f>IF((AND(T_BilanSocial2[[#This Row],[Nom]]&lt;&gt;"",T_BilanSocial2[[#This Row],[Reg Ponct]]="R")),COUNTIF(S117:AX117,"t")/2,"")</f>
        <v/>
      </c>
      <c r="Q117" s="81" t="str">
        <f t="shared" si="10"/>
        <v/>
      </c>
      <c r="R117" s="82" t="str">
        <f>IF((AND(T_BilanSocial2[[#This Row],[Nom]]&lt;&gt;"",T_BilanSocial2[[#This Row],[Reg Ponct]]="R")),IF(S117="T",U117-T117,0)+IF(V117="T",X117-W117,0)+IF(Z117="T",AB117-AA117,0)+IF(AC117="T",AE117-AD117,0)+IF(AG117="T",AI117-AH117,0)+IF(AJ117="T",AL117-AK117,0)+IF(AN117="T",AP117-AO117,0)+IF(AQ117="T",AS117-AR117,0)+IF(AU117="T",AW117-AV117,0)+IF(AX117="T",AZ117-AY117,0),"")</f>
        <v/>
      </c>
      <c r="S117" s="36" t="s">
        <v>306</v>
      </c>
      <c r="T117" s="37">
        <v>0.33333333333333331</v>
      </c>
      <c r="U117" s="37">
        <v>0.52083333333333337</v>
      </c>
      <c r="V117" s="21" t="s">
        <v>306</v>
      </c>
      <c r="W117" s="37">
        <v>0.5625</v>
      </c>
      <c r="X117" s="37">
        <v>0.71180555555555547</v>
      </c>
      <c r="Y117" s="38" t="str">
        <f t="shared" si="11"/>
        <v/>
      </c>
      <c r="Z117" s="36" t="s">
        <v>306</v>
      </c>
      <c r="AA117" s="37">
        <v>0.33333333333333331</v>
      </c>
      <c r="AB117" s="37">
        <v>0.52083333333333337</v>
      </c>
      <c r="AC117" s="21" t="s">
        <v>306</v>
      </c>
      <c r="AD117" s="37">
        <v>0.5625</v>
      </c>
      <c r="AE117" s="37">
        <v>0.71875</v>
      </c>
      <c r="AF117" s="38" t="str">
        <f t="shared" si="12"/>
        <v/>
      </c>
      <c r="AG117" s="36" t="s">
        <v>307</v>
      </c>
      <c r="AH117" s="37">
        <v>0.33333333333333331</v>
      </c>
      <c r="AI117" s="37">
        <v>0.52083333333333337</v>
      </c>
      <c r="AJ117" s="21" t="s">
        <v>307</v>
      </c>
      <c r="AK117" s="37">
        <v>0.5625</v>
      </c>
      <c r="AL117" s="37">
        <v>0.70833333333333337</v>
      </c>
      <c r="AM117" s="38" t="str">
        <f t="shared" si="13"/>
        <v/>
      </c>
      <c r="AN117" s="36" t="s">
        <v>306</v>
      </c>
      <c r="AO117" s="37">
        <v>0.33333333333333331</v>
      </c>
      <c r="AP117" s="37">
        <v>0.52083333333333337</v>
      </c>
      <c r="AQ117" s="21" t="s">
        <v>306</v>
      </c>
      <c r="AR117" s="37">
        <v>0.5625</v>
      </c>
      <c r="AS117" s="37">
        <v>0.71180555555555547</v>
      </c>
      <c r="AT117" s="38" t="str">
        <f t="shared" si="14"/>
        <v/>
      </c>
      <c r="AU117" s="36" t="s">
        <v>306</v>
      </c>
      <c r="AV117" s="37">
        <v>0.3263888888888889</v>
      </c>
      <c r="AW117" s="37">
        <v>0.52083333333333337</v>
      </c>
      <c r="AX117" s="21" t="s">
        <v>308</v>
      </c>
      <c r="AY117" s="37"/>
      <c r="AZ117" s="37"/>
      <c r="BA117" s="39" t="str">
        <f t="shared" si="15"/>
        <v/>
      </c>
      <c r="BB117" s="46" t="s">
        <v>611</v>
      </c>
      <c r="BC117" s="31" t="s">
        <v>341</v>
      </c>
      <c r="BD117" s="16" t="s">
        <v>311</v>
      </c>
      <c r="BE117" s="16" t="s">
        <v>311</v>
      </c>
      <c r="BF117" s="244" t="str">
        <f>T_BilanSocial2[[#This Row],[Nom]]&amp;T_BilanSocial2[[#This Row],[Prénom]]</f>
        <v/>
      </c>
    </row>
    <row r="118" spans="1:58" ht="21.75" customHeight="1" x14ac:dyDescent="0.25">
      <c r="A118" s="90">
        <v>109</v>
      </c>
      <c r="B118" s="126" t="s">
        <v>210</v>
      </c>
      <c r="C118" s="126" t="str">
        <f>VLOOKUP(T_BilanSocial2[[#This Row],[NumL]],T_Commission[#Data],COLUMN(T_Commission[FINAL]),FALSE)</f>
        <v/>
      </c>
      <c r="D118" s="19" t="str">
        <f t="shared" si="8"/>
        <v/>
      </c>
      <c r="E118" s="19" t="str">
        <f t="shared" si="9"/>
        <v/>
      </c>
      <c r="F118" s="242" t="str">
        <f>IFERROR(VLOOKUP(T_BilanSocial2[[#This Row],[Zone_Bilan]],T_P_BilanSocial[#Data],COLUMN(T_P_BilanSocial[[#This Row],[Numero_SIHAM]]),FALSE),"")</f>
        <v/>
      </c>
      <c r="G118" s="242" t="str">
        <f>IFERROR(VLOOKUP(T_BilanSocial2[[#This Row],[Zone_Bilan]],T_P_BilanSocial[#Data],COLUMN(T_P_BilanSocial[[#This Row],[Sexe]]),FALSE),"")</f>
        <v/>
      </c>
      <c r="H118" s="243" t="str">
        <f>IFERROR(VLOOKUP(T_BilanSocial2[[#This Row],[Zone_Bilan]],T_P_BilanSocial[#Data],COLUMN(T_P_BilanSocial[[#This Row],[Categorie]]),FALSE),"")</f>
        <v/>
      </c>
      <c r="I118" s="242" t="str">
        <f>IFERROR(VLOOKUP(T_BilanSocial2[[#This Row],[Zone_Bilan]],T_P_BilanSocial[#Data],COLUMN(T_P_BilanSocial[[#This Row],[Statut]]),FALSE),"")</f>
        <v/>
      </c>
      <c r="J118" s="242" t="str">
        <f>IFERROR(VLOOKUP(T_BilanSocial2[[#This Row],[Zone_Bilan]],T_P_BilanSocial[#Data],COLUMN(T_P_BilanSocial[[#This Row],[Filiere]]),FALSE),"")</f>
        <v/>
      </c>
      <c r="K118" s="78">
        <v>1</v>
      </c>
      <c r="L118" s="213">
        <v>1.5451388888888891</v>
      </c>
      <c r="M118" s="78" t="s">
        <v>210</v>
      </c>
      <c r="N118" s="79" t="str">
        <f>IF((AND(T_BilanSocial2[[#This Row],[Nom]]&lt;&gt;"",T_BilanSocial2[[#This Row],[Reg Ponct]]="R")),(COUNTIF(S118:AX118,"S")+COUNTIF(S118:AX118,"T"))/2,"")</f>
        <v/>
      </c>
      <c r="O118" s="79" t="str">
        <f>IF((AND(T_BilanSocial2[[#This Row],[Nom]]&lt;&gt;"",T_BilanSocial2[[#This Row],[Reg Ponct]]="R")),COUNTIF(S118:AX118,"S")/2,"")</f>
        <v/>
      </c>
      <c r="P118" s="80" t="str">
        <f>IF((AND(T_BilanSocial2[[#This Row],[Nom]]&lt;&gt;"",T_BilanSocial2[[#This Row],[Reg Ponct]]="R")),COUNTIF(S118:AX118,"t")/2,"")</f>
        <v/>
      </c>
      <c r="Q118" s="81" t="str">
        <f t="shared" si="10"/>
        <v/>
      </c>
      <c r="R118" s="82" t="str">
        <f>IF((AND(T_BilanSocial2[[#This Row],[Nom]]&lt;&gt;"",T_BilanSocial2[[#This Row],[Reg Ponct]]="R")),IF(S118="T",U118-T118,0)+IF(V118="T",X118-W118,0)+IF(Z118="T",AB118-AA118,0)+IF(AC118="T",AE118-AD118,0)+IF(AG118="T",AI118-AH118,0)+IF(AJ118="T",AL118-AK118,0)+IF(AN118="T",AP118-AO118,0)+IF(AQ118="T",AS118-AR118,0)+IF(AU118="T",AW118-AV118,0)+IF(AX118="T",AZ118-AY118,0),"")</f>
        <v/>
      </c>
      <c r="S118" s="36" t="s">
        <v>307</v>
      </c>
      <c r="T118" s="37">
        <v>0.33333333333333331</v>
      </c>
      <c r="U118" s="37">
        <v>0.5</v>
      </c>
      <c r="V118" s="21" t="s">
        <v>307</v>
      </c>
      <c r="W118" s="37">
        <v>0.54166666666666663</v>
      </c>
      <c r="X118" s="37">
        <v>0.68402777777777779</v>
      </c>
      <c r="Y118" s="38" t="str">
        <f t="shared" si="11"/>
        <v/>
      </c>
      <c r="Z118" s="36" t="s">
        <v>306</v>
      </c>
      <c r="AA118" s="37">
        <v>0.33333333333333331</v>
      </c>
      <c r="AB118" s="37">
        <v>0.5</v>
      </c>
      <c r="AC118" s="21" t="s">
        <v>306</v>
      </c>
      <c r="AD118" s="37">
        <v>0.54166666666666663</v>
      </c>
      <c r="AE118" s="37">
        <v>0.68402777777777779</v>
      </c>
      <c r="AF118" s="38" t="str">
        <f t="shared" si="12"/>
        <v/>
      </c>
      <c r="AG118" s="36" t="s">
        <v>306</v>
      </c>
      <c r="AH118" s="37">
        <v>0.33333333333333331</v>
      </c>
      <c r="AI118" s="37">
        <v>0.5</v>
      </c>
      <c r="AJ118" s="21" t="s">
        <v>306</v>
      </c>
      <c r="AK118" s="37">
        <v>0.54166666666666663</v>
      </c>
      <c r="AL118" s="37">
        <v>0.68402777777777779</v>
      </c>
      <c r="AM118" s="38" t="str">
        <f t="shared" si="13"/>
        <v/>
      </c>
      <c r="AN118" s="36" t="s">
        <v>306</v>
      </c>
      <c r="AO118" s="37">
        <v>0.33333333333333331</v>
      </c>
      <c r="AP118" s="37">
        <v>0.5</v>
      </c>
      <c r="AQ118" s="21" t="s">
        <v>306</v>
      </c>
      <c r="AR118" s="37">
        <v>0.54166666666666663</v>
      </c>
      <c r="AS118" s="37">
        <v>0.68402777777777779</v>
      </c>
      <c r="AT118" s="38" t="str">
        <f t="shared" si="14"/>
        <v/>
      </c>
      <c r="AU118" s="36" t="s">
        <v>307</v>
      </c>
      <c r="AV118" s="37">
        <v>0.33333333333333331</v>
      </c>
      <c r="AW118" s="37">
        <v>0.5</v>
      </c>
      <c r="AX118" s="21" t="s">
        <v>307</v>
      </c>
      <c r="AY118" s="37">
        <v>0.54166666666666663</v>
      </c>
      <c r="AZ118" s="37">
        <v>0.68402777777777779</v>
      </c>
      <c r="BA118" s="39" t="str">
        <f t="shared" si="15"/>
        <v/>
      </c>
      <c r="BB118" s="46" t="s">
        <v>736</v>
      </c>
      <c r="BC118" s="31" t="s">
        <v>737</v>
      </c>
      <c r="BD118" s="16" t="s">
        <v>311</v>
      </c>
      <c r="BE118" s="16" t="s">
        <v>322</v>
      </c>
      <c r="BF118" s="244" t="str">
        <f>T_BilanSocial2[[#This Row],[Nom]]&amp;T_BilanSocial2[[#This Row],[Prénom]]</f>
        <v/>
      </c>
    </row>
    <row r="119" spans="1:58" ht="21.75" hidden="1" customHeight="1" x14ac:dyDescent="0.25">
      <c r="A119" s="90">
        <v>216</v>
      </c>
      <c r="B119" s="126" t="s">
        <v>311</v>
      </c>
      <c r="C119" s="126" t="str">
        <f>VLOOKUP(T_BilanSocial2[[#This Row],[NumL]],T_Commission[#Data],COLUMN(T_Commission[FINAL]),FALSE)</f>
        <v/>
      </c>
      <c r="D119" s="19" t="str">
        <f t="shared" si="8"/>
        <v/>
      </c>
      <c r="E119" s="19" t="str">
        <f t="shared" si="9"/>
        <v/>
      </c>
      <c r="F119" s="242" t="str">
        <f>IFERROR(VLOOKUP(T_BilanSocial2[[#This Row],[Zone_Bilan]],T_P_BilanSocial[#Data],COLUMN(T_P_BilanSocial[[#This Row],[Numero_SIHAM]]),FALSE),"")</f>
        <v/>
      </c>
      <c r="G119" s="242" t="str">
        <f>IFERROR(VLOOKUP(T_BilanSocial2[[#This Row],[Zone_Bilan]],T_P_BilanSocial[#Data],COLUMN(T_P_BilanSocial[[#This Row],[Sexe]]),FALSE),"")</f>
        <v/>
      </c>
      <c r="H119" s="243" t="str">
        <f>IFERROR(VLOOKUP(T_BilanSocial2[[#This Row],[Zone_Bilan]],T_P_BilanSocial[#Data],COLUMN(T_P_BilanSocial[[#This Row],[Categorie]]),FALSE),"")</f>
        <v/>
      </c>
      <c r="I119" s="242" t="str">
        <f>IFERROR(VLOOKUP(T_BilanSocial2[[#This Row],[Zone_Bilan]],T_P_BilanSocial[#Data],COLUMN(T_P_BilanSocial[[#This Row],[Statut]]),FALSE),"")</f>
        <v/>
      </c>
      <c r="J119" s="242" t="str">
        <f>IFERROR(VLOOKUP(T_BilanSocial2[[#This Row],[Zone_Bilan]],T_P_BilanSocial[#Data],COLUMN(T_P_BilanSocial[[#This Row],[Filiere]]),FALSE),"")</f>
        <v/>
      </c>
      <c r="K119" s="78">
        <v>1</v>
      </c>
      <c r="L119" s="213">
        <v>1.5451388888888891</v>
      </c>
      <c r="M119" s="78" t="s">
        <v>211</v>
      </c>
      <c r="N119" s="79" t="str">
        <f>IF((AND(T_BilanSocial2[[#This Row],[Nom]]&lt;&gt;"",T_BilanSocial2[[#This Row],[Reg Ponct]]="R")),(COUNTIF(S119:AX119,"S")+COUNTIF(S119:AX119,"T"))/2,"")</f>
        <v/>
      </c>
      <c r="O119" s="79" t="str">
        <f>IF((AND(T_BilanSocial2[[#This Row],[Nom]]&lt;&gt;"",T_BilanSocial2[[#This Row],[Reg Ponct]]="R")),COUNTIF(S119:AX119,"S")/2,"")</f>
        <v/>
      </c>
      <c r="P119" s="80" t="str">
        <f>IF((AND(T_BilanSocial2[[#This Row],[Nom]]&lt;&gt;"",T_BilanSocial2[[#This Row],[Reg Ponct]]="R")),COUNTIF(S119:AX119,"t")/2,"")</f>
        <v/>
      </c>
      <c r="Q119" s="81" t="str">
        <f t="shared" si="10"/>
        <v/>
      </c>
      <c r="R119" s="82" t="str">
        <f>IF((AND(T_BilanSocial2[[#This Row],[Nom]]&lt;&gt;"",T_BilanSocial2[[#This Row],[Reg Ponct]]="R")),IF(S119="T",U119-T119,0)+IF(V119="T",X119-W119,0)+IF(Z119="T",AB119-AA119,0)+IF(AC119="T",AE119-AD119,0)+IF(AG119="T",AI119-AH119,0)+IF(AJ119="T",AL119-AK119,0)+IF(AN119="T",AP119-AO119,0)+IF(AQ119="T",AS119-AR119,0)+IF(AU119="T",AW119-AV119,0)+IF(AX119="T",AZ119-AY119,0),"")</f>
        <v/>
      </c>
      <c r="S119" s="36"/>
      <c r="T119" s="37"/>
      <c r="U119" s="37"/>
      <c r="V119" s="21"/>
      <c r="W119" s="37"/>
      <c r="X119" s="37"/>
      <c r="Y119" s="38" t="str">
        <f t="shared" si="11"/>
        <v/>
      </c>
      <c r="Z119" s="36"/>
      <c r="AA119" s="37"/>
      <c r="AB119" s="37"/>
      <c r="AC119" s="21"/>
      <c r="AD119" s="37"/>
      <c r="AE119" s="37"/>
      <c r="AF119" s="38" t="str">
        <f t="shared" si="12"/>
        <v/>
      </c>
      <c r="AG119" s="36"/>
      <c r="AH119" s="37"/>
      <c r="AI119" s="37"/>
      <c r="AJ119" s="21"/>
      <c r="AK119" s="37"/>
      <c r="AL119" s="37"/>
      <c r="AM119" s="38" t="str">
        <f t="shared" si="13"/>
        <v/>
      </c>
      <c r="AN119" s="36"/>
      <c r="AO119" s="37"/>
      <c r="AP119" s="37"/>
      <c r="AQ119" s="21"/>
      <c r="AR119" s="37"/>
      <c r="AS119" s="37"/>
      <c r="AT119" s="38" t="str">
        <f t="shared" si="14"/>
        <v/>
      </c>
      <c r="AU119" s="36"/>
      <c r="AV119" s="37"/>
      <c r="AW119" s="37"/>
      <c r="AX119" s="21"/>
      <c r="AY119" s="37"/>
      <c r="AZ119" s="37"/>
      <c r="BA119" s="39" t="str">
        <f t="shared" si="15"/>
        <v/>
      </c>
      <c r="BB119" s="46" t="s">
        <v>353</v>
      </c>
      <c r="BC119" s="31" t="s">
        <v>354</v>
      </c>
      <c r="BD119" s="16" t="s">
        <v>311</v>
      </c>
      <c r="BE119" s="16" t="s">
        <v>311</v>
      </c>
      <c r="BF119" s="244" t="str">
        <f>T_BilanSocial2[[#This Row],[Nom]]&amp;T_BilanSocial2[[#This Row],[Prénom]]</f>
        <v/>
      </c>
    </row>
    <row r="120" spans="1:58" ht="21.75" hidden="1" customHeight="1" x14ac:dyDescent="0.25">
      <c r="A120" s="90">
        <v>188</v>
      </c>
      <c r="B120" s="126" t="s">
        <v>311</v>
      </c>
      <c r="C120" s="126" t="str">
        <f>VLOOKUP(T_BilanSocial2[[#This Row],[NumL]],T_Commission[#Data],COLUMN(T_Commission[FINAL]),FALSE)</f>
        <v/>
      </c>
      <c r="D120" s="19" t="str">
        <f t="shared" si="8"/>
        <v/>
      </c>
      <c r="E120" s="19" t="str">
        <f t="shared" si="9"/>
        <v/>
      </c>
      <c r="F120" s="242" t="str">
        <f>IFERROR(VLOOKUP(T_BilanSocial2[[#This Row],[Zone_Bilan]],T_P_BilanSocial[#Data],COLUMN(T_P_BilanSocial[[#This Row],[Numero_SIHAM]]),FALSE),"")</f>
        <v/>
      </c>
      <c r="G120" s="242" t="str">
        <f>IFERROR(VLOOKUP(T_BilanSocial2[[#This Row],[Zone_Bilan]],T_P_BilanSocial[#Data],COLUMN(T_P_BilanSocial[[#This Row],[Sexe]]),FALSE),"")</f>
        <v/>
      </c>
      <c r="H120" s="243" t="str">
        <f>IFERROR(VLOOKUP(T_BilanSocial2[[#This Row],[Zone_Bilan]],T_P_BilanSocial[#Data],COLUMN(T_P_BilanSocial[[#This Row],[Categorie]]),FALSE),"")</f>
        <v/>
      </c>
      <c r="I120" s="242" t="str">
        <f>IFERROR(VLOOKUP(T_BilanSocial2[[#This Row],[Zone_Bilan]],T_P_BilanSocial[#Data],COLUMN(T_P_BilanSocial[[#This Row],[Statut]]),FALSE),"")</f>
        <v/>
      </c>
      <c r="J120" s="242" t="str">
        <f>IFERROR(VLOOKUP(T_BilanSocial2[[#This Row],[Zone_Bilan]],T_P_BilanSocial[#Data],COLUMN(T_P_BilanSocial[[#This Row],[Filiere]]),FALSE),"")</f>
        <v/>
      </c>
      <c r="K120" s="78">
        <v>1</v>
      </c>
      <c r="L120" s="213">
        <v>1.5451388888888891</v>
      </c>
      <c r="M120" s="78" t="s">
        <v>210</v>
      </c>
      <c r="N120" s="79" t="str">
        <f>IF((AND(T_BilanSocial2[[#This Row],[Nom]]&lt;&gt;"",T_BilanSocial2[[#This Row],[Reg Ponct]]="R")),(COUNTIF(S120:AX120,"S")+COUNTIF(S120:AX120,"T"))/2,"")</f>
        <v/>
      </c>
      <c r="O120" s="79" t="str">
        <f>IF((AND(T_BilanSocial2[[#This Row],[Nom]]&lt;&gt;"",T_BilanSocial2[[#This Row],[Reg Ponct]]="R")),COUNTIF(S120:AX120,"S")/2,"")</f>
        <v/>
      </c>
      <c r="P120" s="80" t="str">
        <f>IF((AND(T_BilanSocial2[[#This Row],[Nom]]&lt;&gt;"",T_BilanSocial2[[#This Row],[Reg Ponct]]="R")),COUNTIF(S120:AX120,"t")/2,"")</f>
        <v/>
      </c>
      <c r="Q120" s="81" t="str">
        <f t="shared" si="10"/>
        <v/>
      </c>
      <c r="R120" s="82" t="str">
        <f>IF((AND(T_BilanSocial2[[#This Row],[Nom]]&lt;&gt;"",T_BilanSocial2[[#This Row],[Reg Ponct]]="R")),IF(S120="T",U120-T120,0)+IF(V120="T",X120-W120,0)+IF(Z120="T",AB120-AA120,0)+IF(AC120="T",AE120-AD120,0)+IF(AG120="T",AI120-AH120,0)+IF(AJ120="T",AL120-AK120,0)+IF(AN120="T",AP120-AO120,0)+IF(AQ120="T",AS120-AR120,0)+IF(AU120="T",AW120-AV120,0)+IF(AX120="T",AZ120-AY120,0),"")</f>
        <v/>
      </c>
      <c r="S120" s="36" t="s">
        <v>306</v>
      </c>
      <c r="T120" s="37">
        <v>0.375</v>
      </c>
      <c r="U120" s="37">
        <v>0.5</v>
      </c>
      <c r="V120" s="21" t="s">
        <v>306</v>
      </c>
      <c r="W120" s="37">
        <v>0.54166666666666663</v>
      </c>
      <c r="X120" s="37">
        <v>0.71527777777777779</v>
      </c>
      <c r="Y120" s="38" t="str">
        <f t="shared" si="11"/>
        <v/>
      </c>
      <c r="Z120" s="36" t="s">
        <v>306</v>
      </c>
      <c r="AA120" s="37">
        <v>0.375</v>
      </c>
      <c r="AB120" s="37">
        <v>0.5</v>
      </c>
      <c r="AC120" s="21" t="s">
        <v>307</v>
      </c>
      <c r="AD120" s="37">
        <v>0.5625</v>
      </c>
      <c r="AE120" s="37">
        <v>0.73611111111111116</v>
      </c>
      <c r="AF120" s="38" t="str">
        <f t="shared" si="12"/>
        <v/>
      </c>
      <c r="AG120" s="36" t="s">
        <v>306</v>
      </c>
      <c r="AH120" s="37">
        <v>0.34375</v>
      </c>
      <c r="AI120" s="37">
        <v>0.5</v>
      </c>
      <c r="AJ120" s="21" t="s">
        <v>306</v>
      </c>
      <c r="AK120" s="37">
        <v>0.54166666666666663</v>
      </c>
      <c r="AL120" s="37">
        <v>0.65972222222222221</v>
      </c>
      <c r="AM120" s="38" t="str">
        <f t="shared" si="13"/>
        <v/>
      </c>
      <c r="AN120" s="36" t="s">
        <v>306</v>
      </c>
      <c r="AO120" s="37">
        <v>0.375</v>
      </c>
      <c r="AP120" s="37">
        <v>0.5</v>
      </c>
      <c r="AQ120" s="21" t="s">
        <v>306</v>
      </c>
      <c r="AR120" s="37">
        <v>0.54166666666666663</v>
      </c>
      <c r="AS120" s="37">
        <v>0.71527777777777779</v>
      </c>
      <c r="AT120" s="38" t="str">
        <f t="shared" si="14"/>
        <v/>
      </c>
      <c r="AU120" s="36" t="s">
        <v>306</v>
      </c>
      <c r="AV120" s="37">
        <v>0.375</v>
      </c>
      <c r="AW120" s="37">
        <v>0.5</v>
      </c>
      <c r="AX120" s="21" t="s">
        <v>306</v>
      </c>
      <c r="AY120" s="37">
        <v>0.54166666666666663</v>
      </c>
      <c r="AZ120" s="37">
        <v>0.79166666666666663</v>
      </c>
      <c r="BA120" s="39" t="str">
        <f t="shared" si="15"/>
        <v/>
      </c>
      <c r="BB120" s="46" t="s">
        <v>320</v>
      </c>
      <c r="BC120" s="31" t="s">
        <v>321</v>
      </c>
      <c r="BD120" s="16" t="s">
        <v>311</v>
      </c>
      <c r="BE120" s="16" t="s">
        <v>311</v>
      </c>
      <c r="BF120" s="244" t="str">
        <f>T_BilanSocial2[[#This Row],[Nom]]&amp;T_BilanSocial2[[#This Row],[Prénom]]</f>
        <v/>
      </c>
    </row>
    <row r="121" spans="1:58" ht="21.75" customHeight="1" x14ac:dyDescent="0.25">
      <c r="A121" s="90">
        <v>148</v>
      </c>
      <c r="B121" s="126" t="s">
        <v>311</v>
      </c>
      <c r="C121" s="126" t="str">
        <f>VLOOKUP(T_BilanSocial2[[#This Row],[NumL]],T_Commission[#Data],COLUMN(T_Commission[FINAL]),FALSE)</f>
        <v/>
      </c>
      <c r="D121" s="19" t="str">
        <f t="shared" si="8"/>
        <v/>
      </c>
      <c r="E121" s="19" t="str">
        <f t="shared" si="9"/>
        <v/>
      </c>
      <c r="F121" s="242" t="str">
        <f>IFERROR(VLOOKUP(T_BilanSocial2[[#This Row],[Zone_Bilan]],T_P_BilanSocial[#Data],COLUMN(T_P_BilanSocial[[#This Row],[Numero_SIHAM]]),FALSE),"")</f>
        <v/>
      </c>
      <c r="G121" s="242" t="str">
        <f>IFERROR(VLOOKUP(T_BilanSocial2[[#This Row],[Zone_Bilan]],T_P_BilanSocial[#Data],COLUMN(T_P_BilanSocial[[#This Row],[Sexe]]),FALSE),"")</f>
        <v/>
      </c>
      <c r="H121" s="243" t="str">
        <f>IFERROR(VLOOKUP(T_BilanSocial2[[#This Row],[Zone_Bilan]],T_P_BilanSocial[#Data],COLUMN(T_P_BilanSocial[[#This Row],[Categorie]]),FALSE),"")</f>
        <v/>
      </c>
      <c r="I121" s="242" t="str">
        <f>IFERROR(VLOOKUP(T_BilanSocial2[[#This Row],[Zone_Bilan]],T_P_BilanSocial[#Data],COLUMN(T_P_BilanSocial[[#This Row],[Statut]]),FALSE),"")</f>
        <v/>
      </c>
      <c r="J121" s="242" t="str">
        <f>IFERROR(VLOOKUP(T_BilanSocial2[[#This Row],[Zone_Bilan]],T_P_BilanSocial[#Data],COLUMN(T_P_BilanSocial[[#This Row],[Filiere]]),FALSE),"")</f>
        <v/>
      </c>
      <c r="K121" s="78">
        <v>1</v>
      </c>
      <c r="L121" s="213">
        <v>1.5451388888888891</v>
      </c>
      <c r="M121" s="78" t="s">
        <v>210</v>
      </c>
      <c r="N121" s="79" t="str">
        <f>IF((AND(T_BilanSocial2[[#This Row],[Nom]]&lt;&gt;"",T_BilanSocial2[[#This Row],[Reg Ponct]]="R")),(COUNTIF(S121:AX121,"S")+COUNTIF(S121:AX121,"T"))/2,"")</f>
        <v/>
      </c>
      <c r="O121" s="79" t="str">
        <f>IF((AND(T_BilanSocial2[[#This Row],[Nom]]&lt;&gt;"",T_BilanSocial2[[#This Row],[Reg Ponct]]="R")),COUNTIF(S121:AX121,"S")/2,"")</f>
        <v/>
      </c>
      <c r="P121" s="80" t="str">
        <f>IF((AND(T_BilanSocial2[[#This Row],[Nom]]&lt;&gt;"",T_BilanSocial2[[#This Row],[Reg Ponct]]="R")),COUNTIF(S121:AX121,"t")/2,"")</f>
        <v/>
      </c>
      <c r="Q121" s="81" t="str">
        <f t="shared" si="10"/>
        <v/>
      </c>
      <c r="R121" s="82" t="str">
        <f>IF((AND(T_BilanSocial2[[#This Row],[Nom]]&lt;&gt;"",T_BilanSocial2[[#This Row],[Reg Ponct]]="R")),IF(S121="T",U121-T121,0)+IF(V121="T",X121-W121,0)+IF(Z121="T",AB121-AA121,0)+IF(AC121="T",AE121-AD121,0)+IF(AG121="T",AI121-AH121,0)+IF(AJ121="T",AL121-AK121,0)+IF(AN121="T",AP121-AO121,0)+IF(AQ121="T",AS121-AR121,0)+IF(AU121="T",AW121-AV121,0)+IF(AX121="T",AZ121-AY121,0),"")</f>
        <v/>
      </c>
      <c r="S121" s="36" t="s">
        <v>306</v>
      </c>
      <c r="T121" s="37">
        <v>0.3125</v>
      </c>
      <c r="U121" s="37">
        <v>0.5</v>
      </c>
      <c r="V121" s="21" t="s">
        <v>306</v>
      </c>
      <c r="W121" s="37">
        <v>0.54166666666666663</v>
      </c>
      <c r="X121" s="37">
        <v>0.69791666666666663</v>
      </c>
      <c r="Y121" s="38" t="str">
        <f t="shared" si="11"/>
        <v/>
      </c>
      <c r="Z121" s="36" t="s">
        <v>306</v>
      </c>
      <c r="AA121" s="37">
        <v>0.3125</v>
      </c>
      <c r="AB121" s="37">
        <v>0.5</v>
      </c>
      <c r="AC121" s="21" t="s">
        <v>306</v>
      </c>
      <c r="AD121" s="37">
        <v>0.54166666666666663</v>
      </c>
      <c r="AE121" s="37">
        <v>0.69791666666666663</v>
      </c>
      <c r="AF121" s="38" t="str">
        <f t="shared" si="12"/>
        <v/>
      </c>
      <c r="AG121" s="36" t="s">
        <v>307</v>
      </c>
      <c r="AH121" s="37">
        <v>0.3125</v>
      </c>
      <c r="AI121" s="37">
        <v>0.5</v>
      </c>
      <c r="AJ121" s="21" t="s">
        <v>307</v>
      </c>
      <c r="AK121" s="37">
        <v>0.54166666666666663</v>
      </c>
      <c r="AL121" s="37">
        <v>0.69444444444444453</v>
      </c>
      <c r="AM121" s="38" t="str">
        <f t="shared" si="13"/>
        <v/>
      </c>
      <c r="AN121" s="36" t="s">
        <v>306</v>
      </c>
      <c r="AO121" s="37">
        <v>0.3125</v>
      </c>
      <c r="AP121" s="37">
        <v>0.5</v>
      </c>
      <c r="AQ121" s="21" t="s">
        <v>306</v>
      </c>
      <c r="AR121" s="37">
        <v>0.54166666666666663</v>
      </c>
      <c r="AS121" s="37">
        <v>0.69791666666666663</v>
      </c>
      <c r="AT121" s="38" t="str">
        <f t="shared" si="14"/>
        <v/>
      </c>
      <c r="AU121" s="36" t="s">
        <v>307</v>
      </c>
      <c r="AV121" s="37">
        <v>0.3125</v>
      </c>
      <c r="AW121" s="37">
        <v>0.4861111111111111</v>
      </c>
      <c r="AX121" s="21" t="s">
        <v>308</v>
      </c>
      <c r="AY121" s="37"/>
      <c r="AZ121" s="37"/>
      <c r="BA121" s="39" t="str">
        <f t="shared" si="15"/>
        <v/>
      </c>
      <c r="BB121" s="46" t="s">
        <v>841</v>
      </c>
      <c r="BC121" s="31" t="s">
        <v>842</v>
      </c>
      <c r="BD121" s="16" t="s">
        <v>311</v>
      </c>
      <c r="BE121" s="16" t="s">
        <v>311</v>
      </c>
      <c r="BF121" s="244" t="str">
        <f>T_BilanSocial2[[#This Row],[Nom]]&amp;T_BilanSocial2[[#This Row],[Prénom]]</f>
        <v/>
      </c>
    </row>
    <row r="122" spans="1:58" ht="21.75" hidden="1" customHeight="1" x14ac:dyDescent="0.25">
      <c r="A122" s="90">
        <v>142</v>
      </c>
      <c r="B122" s="126" t="s">
        <v>311</v>
      </c>
      <c r="C122" s="126" t="str">
        <f>VLOOKUP(T_BilanSocial2[[#This Row],[NumL]],T_Commission[#Data],COLUMN(T_Commission[FINAL]),FALSE)</f>
        <v/>
      </c>
      <c r="D122" s="19" t="str">
        <f t="shared" si="8"/>
        <v/>
      </c>
      <c r="E122" s="19" t="str">
        <f t="shared" si="9"/>
        <v/>
      </c>
      <c r="F122" s="242" t="str">
        <f>IFERROR(VLOOKUP(T_BilanSocial2[[#This Row],[Zone_Bilan]],T_P_BilanSocial[#Data],COLUMN(T_P_BilanSocial[[#This Row],[Numero_SIHAM]]),FALSE),"")</f>
        <v/>
      </c>
      <c r="G122" s="242" t="str">
        <f>IFERROR(VLOOKUP(T_BilanSocial2[[#This Row],[Zone_Bilan]],T_P_BilanSocial[#Data],COLUMN(T_P_BilanSocial[[#This Row],[Sexe]]),FALSE),"")</f>
        <v/>
      </c>
      <c r="H122" s="243" t="str">
        <f>IFERROR(VLOOKUP(T_BilanSocial2[[#This Row],[Zone_Bilan]],T_P_BilanSocial[#Data],COLUMN(T_P_BilanSocial[[#This Row],[Categorie]]),FALSE),"")</f>
        <v/>
      </c>
      <c r="I122" s="242" t="str">
        <f>IFERROR(VLOOKUP(T_BilanSocial2[[#This Row],[Zone_Bilan]],T_P_BilanSocial[#Data],COLUMN(T_P_BilanSocial[[#This Row],[Statut]]),FALSE),"")</f>
        <v/>
      </c>
      <c r="J122" s="242" t="str">
        <f>IFERROR(VLOOKUP(T_BilanSocial2[[#This Row],[Zone_Bilan]],T_P_BilanSocial[#Data],COLUMN(T_P_BilanSocial[[#This Row],[Filiere]]),FALSE),"")</f>
        <v/>
      </c>
      <c r="K122" s="78">
        <v>1</v>
      </c>
      <c r="L122" s="213">
        <v>1.5451388888888891</v>
      </c>
      <c r="M122" s="78" t="s">
        <v>211</v>
      </c>
      <c r="N122" s="79" t="str">
        <f>IF((AND(T_BilanSocial2[[#This Row],[Nom]]&lt;&gt;"",T_BilanSocial2[[#This Row],[Reg Ponct]]="R")),(COUNTIF(S122:AX122,"S")+COUNTIF(S122:AX122,"T"))/2,"")</f>
        <v/>
      </c>
      <c r="O122" s="79" t="str">
        <f>IF((AND(T_BilanSocial2[[#This Row],[Nom]]&lt;&gt;"",T_BilanSocial2[[#This Row],[Reg Ponct]]="R")),COUNTIF(S122:AX122,"S")/2,"")</f>
        <v/>
      </c>
      <c r="P122" s="80" t="str">
        <f>IF((AND(T_BilanSocial2[[#This Row],[Nom]]&lt;&gt;"",T_BilanSocial2[[#This Row],[Reg Ponct]]="R")),COUNTIF(S122:AX122,"t")/2,"")</f>
        <v/>
      </c>
      <c r="Q122" s="81" t="str">
        <f t="shared" si="10"/>
        <v/>
      </c>
      <c r="R122" s="82" t="str">
        <f>IF((AND(T_BilanSocial2[[#This Row],[Nom]]&lt;&gt;"",T_BilanSocial2[[#This Row],[Reg Ponct]]="R")),IF(S122="T",U122-T122,0)+IF(V122="T",X122-W122,0)+IF(Z122="T",AB122-AA122,0)+IF(AC122="T",AE122-AD122,0)+IF(AG122="T",AI122-AH122,0)+IF(AJ122="T",AL122-AK122,0)+IF(AN122="T",AP122-AO122,0)+IF(AQ122="T",AS122-AR122,0)+IF(AU122="T",AW122-AV122,0)+IF(AX122="T",AZ122-AY122,0),"")</f>
        <v/>
      </c>
      <c r="S122" s="36"/>
      <c r="T122" s="37"/>
      <c r="U122" s="37"/>
      <c r="V122" s="21"/>
      <c r="W122" s="37"/>
      <c r="X122" s="37"/>
      <c r="Y122" s="38" t="str">
        <f t="shared" si="11"/>
        <v/>
      </c>
      <c r="Z122" s="36"/>
      <c r="AA122" s="37"/>
      <c r="AB122" s="37"/>
      <c r="AC122" s="21"/>
      <c r="AD122" s="37"/>
      <c r="AE122" s="37"/>
      <c r="AF122" s="38" t="str">
        <f t="shared" si="12"/>
        <v/>
      </c>
      <c r="AG122" s="36"/>
      <c r="AH122" s="37"/>
      <c r="AI122" s="37"/>
      <c r="AJ122" s="21"/>
      <c r="AK122" s="37"/>
      <c r="AL122" s="37"/>
      <c r="AM122" s="38" t="str">
        <f t="shared" si="13"/>
        <v/>
      </c>
      <c r="AN122" s="36"/>
      <c r="AO122" s="37"/>
      <c r="AP122" s="37"/>
      <c r="AQ122" s="21"/>
      <c r="AR122" s="37"/>
      <c r="AS122" s="37"/>
      <c r="AT122" s="38" t="str">
        <f t="shared" si="14"/>
        <v/>
      </c>
      <c r="AU122" s="36"/>
      <c r="AV122" s="37"/>
      <c r="AW122" s="37"/>
      <c r="AX122" s="21"/>
      <c r="AY122" s="37"/>
      <c r="AZ122" s="37"/>
      <c r="BA122" s="39" t="str">
        <f t="shared" si="15"/>
        <v/>
      </c>
      <c r="BB122" s="46" t="s">
        <v>420</v>
      </c>
      <c r="BC122" s="31" t="s">
        <v>421</v>
      </c>
      <c r="BD122" s="16" t="s">
        <v>311</v>
      </c>
      <c r="BE122" s="16" t="s">
        <v>311</v>
      </c>
      <c r="BF122" s="244" t="str">
        <f>T_BilanSocial2[[#This Row],[Nom]]&amp;T_BilanSocial2[[#This Row],[Prénom]]</f>
        <v/>
      </c>
    </row>
    <row r="123" spans="1:58" ht="21.75" hidden="1" customHeight="1" x14ac:dyDescent="0.25">
      <c r="A123" s="90">
        <v>125</v>
      </c>
      <c r="B123" s="126" t="s">
        <v>311</v>
      </c>
      <c r="C123" s="126" t="e">
        <f>VLOOKUP(T_BilanSocial2[[#This Row],[NumL]],T_Commission[#Data],COLUMN(T_Commission[FINAL]),FALSE)</f>
        <v>#N/A</v>
      </c>
      <c r="D123" s="19" t="str">
        <f t="shared" si="8"/>
        <v/>
      </c>
      <c r="E123" s="19" t="str">
        <f t="shared" si="9"/>
        <v/>
      </c>
      <c r="F123" s="242" t="str">
        <f>IFERROR(VLOOKUP(T_BilanSocial2[[#This Row],[Zone_Bilan]],T_P_BilanSocial[#Data],COLUMN(T_P_BilanSocial[[#This Row],[Numero_SIHAM]]),FALSE),"")</f>
        <v/>
      </c>
      <c r="G123" s="242" t="str">
        <f>IFERROR(VLOOKUP(T_BilanSocial2[[#This Row],[Zone_Bilan]],T_P_BilanSocial[#Data],COLUMN(T_P_BilanSocial[[#This Row],[Sexe]]),FALSE),"")</f>
        <v/>
      </c>
      <c r="H123" s="243" t="str">
        <f>IFERROR(VLOOKUP(T_BilanSocial2[[#This Row],[Zone_Bilan]],T_P_BilanSocial[#Data],COLUMN(T_P_BilanSocial[[#This Row],[Categorie]]),FALSE),"")</f>
        <v/>
      </c>
      <c r="I123" s="242" t="str">
        <f>IFERROR(VLOOKUP(T_BilanSocial2[[#This Row],[Zone_Bilan]],T_P_BilanSocial[#Data],COLUMN(T_P_BilanSocial[[#This Row],[Statut]]),FALSE),"")</f>
        <v/>
      </c>
      <c r="J123" s="242" t="str">
        <f>IFERROR(VLOOKUP(T_BilanSocial2[[#This Row],[Zone_Bilan]],T_P_BilanSocial[#Data],COLUMN(T_P_BilanSocial[[#This Row],[Filiere]]),FALSE),"")</f>
        <v/>
      </c>
      <c r="K123" s="78">
        <v>0.8</v>
      </c>
      <c r="L123" s="213">
        <v>1.2361111111111112</v>
      </c>
      <c r="M123" s="78" t="s">
        <v>210</v>
      </c>
      <c r="N123" s="79" t="str">
        <f>IF((AND(T_BilanSocial2[[#This Row],[Nom]]&lt;&gt;"",T_BilanSocial2[[#This Row],[Reg Ponct]]="R")),(COUNTIF(S123:AX123,"S")+COUNTIF(S123:AX123,"T"))/2,"")</f>
        <v/>
      </c>
      <c r="O123" s="79" t="str">
        <f>IF((AND(T_BilanSocial2[[#This Row],[Nom]]&lt;&gt;"",T_BilanSocial2[[#This Row],[Reg Ponct]]="R")),COUNTIF(S123:AX123,"S")/2,"")</f>
        <v/>
      </c>
      <c r="P123" s="80" t="str">
        <f>IF((AND(T_BilanSocial2[[#This Row],[Nom]]&lt;&gt;"",T_BilanSocial2[[#This Row],[Reg Ponct]]="R")),COUNTIF(S123:AX123,"t")/2,"")</f>
        <v/>
      </c>
      <c r="Q123" s="81" t="str">
        <f t="shared" si="10"/>
        <v/>
      </c>
      <c r="R123" s="82" t="str">
        <f>IF((AND(T_BilanSocial2[[#This Row],[Nom]]&lt;&gt;"",T_BilanSocial2[[#This Row],[Reg Ponct]]="R")),IF(S123="T",U123-T123,0)+IF(V123="T",X123-W123,0)+IF(Z123="T",AB123-AA123,0)+IF(AC123="T",AE123-AD123,0)+IF(AG123="T",AI123-AH123,0)+IF(AJ123="T",AL123-AK123,0)+IF(AN123="T",AP123-AO123,0)+IF(AQ123="T",AS123-AR123,0)+IF(AU123="T",AW123-AV123,0)+IF(AX123="T",AZ123-AY123,0),"")</f>
        <v/>
      </c>
      <c r="S123" s="36" t="s">
        <v>306</v>
      </c>
      <c r="T123" s="37">
        <v>0.35416666666666669</v>
      </c>
      <c r="U123" s="37">
        <v>0.5</v>
      </c>
      <c r="V123" s="21" t="s">
        <v>306</v>
      </c>
      <c r="W123" s="37">
        <v>0.55208333333333337</v>
      </c>
      <c r="X123" s="37">
        <v>0.70833333333333337</v>
      </c>
      <c r="Y123" s="38" t="str">
        <f t="shared" si="11"/>
        <v/>
      </c>
      <c r="Z123" s="36" t="s">
        <v>306</v>
      </c>
      <c r="AA123" s="37">
        <v>0.35416666666666669</v>
      </c>
      <c r="AB123" s="37">
        <v>0.5</v>
      </c>
      <c r="AC123" s="21" t="s">
        <v>306</v>
      </c>
      <c r="AD123" s="37">
        <v>0.5625</v>
      </c>
      <c r="AE123" s="37">
        <v>0.70833333333333337</v>
      </c>
      <c r="AF123" s="38" t="str">
        <f t="shared" si="12"/>
        <v/>
      </c>
      <c r="AG123" s="36" t="s">
        <v>306</v>
      </c>
      <c r="AH123" s="37">
        <v>0.35416666666666669</v>
      </c>
      <c r="AI123" s="37">
        <v>0.48958333333333331</v>
      </c>
      <c r="AJ123" s="21" t="s">
        <v>308</v>
      </c>
      <c r="AK123" s="37"/>
      <c r="AL123" s="37"/>
      <c r="AM123" s="38" t="str">
        <f t="shared" si="13"/>
        <v/>
      </c>
      <c r="AN123" s="36" t="s">
        <v>306</v>
      </c>
      <c r="AO123" s="37">
        <v>0.35416666666666669</v>
      </c>
      <c r="AP123" s="37">
        <v>0.5</v>
      </c>
      <c r="AQ123" s="21" t="s">
        <v>306</v>
      </c>
      <c r="AR123" s="37">
        <v>0.55555555555555558</v>
      </c>
      <c r="AS123" s="37">
        <v>0.72916666666666663</v>
      </c>
      <c r="AT123" s="38" t="str">
        <f t="shared" si="14"/>
        <v/>
      </c>
      <c r="AU123" s="36" t="s">
        <v>307</v>
      </c>
      <c r="AV123" s="37">
        <v>0.3125</v>
      </c>
      <c r="AW123" s="37">
        <v>0.5</v>
      </c>
      <c r="AX123" s="21" t="s">
        <v>308</v>
      </c>
      <c r="AY123" s="37"/>
      <c r="AZ123" s="37"/>
      <c r="BA123" s="39" t="str">
        <f t="shared" si="15"/>
        <v/>
      </c>
      <c r="BB123" s="46" t="s">
        <v>376</v>
      </c>
      <c r="BC123" s="31" t="s">
        <v>341</v>
      </c>
      <c r="BD123" s="16" t="s">
        <v>311</v>
      </c>
      <c r="BE123" s="16" t="s">
        <v>311</v>
      </c>
      <c r="BF123" s="244" t="str">
        <f>T_BilanSocial2[[#This Row],[Nom]]&amp;T_BilanSocial2[[#This Row],[Prénom]]</f>
        <v/>
      </c>
    </row>
    <row r="124" spans="1:58" ht="21.75" hidden="1" customHeight="1" x14ac:dyDescent="0.25">
      <c r="A124" s="90">
        <v>229</v>
      </c>
      <c r="B124" s="126" t="s">
        <v>311</v>
      </c>
      <c r="C124" s="126" t="str">
        <f>VLOOKUP(T_BilanSocial2[[#This Row],[NumL]],T_Commission[#Data],COLUMN(T_Commission[FINAL]),FALSE)</f>
        <v/>
      </c>
      <c r="D124" s="19" t="str">
        <f t="shared" si="8"/>
        <v/>
      </c>
      <c r="E124" s="19" t="str">
        <f t="shared" si="9"/>
        <v/>
      </c>
      <c r="F124" s="242" t="str">
        <f>IFERROR(VLOOKUP(T_BilanSocial2[[#This Row],[Zone_Bilan]],T_P_BilanSocial[#Data],COLUMN(T_P_BilanSocial[[#This Row],[Numero_SIHAM]]),FALSE),"")</f>
        <v/>
      </c>
      <c r="G124" s="242" t="str">
        <f>IFERROR(VLOOKUP(T_BilanSocial2[[#This Row],[Zone_Bilan]],T_P_BilanSocial[#Data],COLUMN(T_P_BilanSocial[[#This Row],[Sexe]]),FALSE),"")</f>
        <v/>
      </c>
      <c r="H124" s="243" t="str">
        <f>IFERROR(VLOOKUP(T_BilanSocial2[[#This Row],[Zone_Bilan]],T_P_BilanSocial[#Data],COLUMN(T_P_BilanSocial[[#This Row],[Categorie]]),FALSE),"")</f>
        <v/>
      </c>
      <c r="I124" s="242" t="str">
        <f>IFERROR(VLOOKUP(T_BilanSocial2[[#This Row],[Zone_Bilan]],T_P_BilanSocial[#Data],COLUMN(T_P_BilanSocial[[#This Row],[Statut]]),FALSE),"")</f>
        <v/>
      </c>
      <c r="J124" s="242" t="str">
        <f>IFERROR(VLOOKUP(T_BilanSocial2[[#This Row],[Zone_Bilan]],T_P_BilanSocial[#Data],COLUMN(T_P_BilanSocial[[#This Row],[Filiere]]),FALSE),"")</f>
        <v/>
      </c>
      <c r="K124" s="78">
        <v>1</v>
      </c>
      <c r="L124" s="213">
        <v>1.5451388888888891</v>
      </c>
      <c r="M124" s="78" t="s">
        <v>211</v>
      </c>
      <c r="N124" s="79" t="str">
        <f>IF((AND(T_BilanSocial2[[#This Row],[Nom]]&lt;&gt;"",T_BilanSocial2[[#This Row],[Reg Ponct]]="R")),(COUNTIF(S124:AX124,"S")+COUNTIF(S124:AX124,"T"))/2,"")</f>
        <v/>
      </c>
      <c r="O124" s="79" t="str">
        <f>IF((AND(T_BilanSocial2[[#This Row],[Nom]]&lt;&gt;"",T_BilanSocial2[[#This Row],[Reg Ponct]]="R")),COUNTIF(S124:AX124,"S")/2,"")</f>
        <v/>
      </c>
      <c r="P124" s="80" t="str">
        <f>IF((AND(T_BilanSocial2[[#This Row],[Nom]]&lt;&gt;"",T_BilanSocial2[[#This Row],[Reg Ponct]]="R")),COUNTIF(S124:AX124,"t")/2,"")</f>
        <v/>
      </c>
      <c r="Q124" s="81" t="str">
        <f t="shared" si="10"/>
        <v/>
      </c>
      <c r="R124" s="82" t="str">
        <f>IF((AND(T_BilanSocial2[[#This Row],[Nom]]&lt;&gt;"",T_BilanSocial2[[#This Row],[Reg Ponct]]="R")),IF(S124="T",U124-T124,0)+IF(V124="T",X124-W124,0)+IF(Z124="T",AB124-AA124,0)+IF(AC124="T",AE124-AD124,0)+IF(AG124="T",AI124-AH124,0)+IF(AJ124="T",AL124-AK124,0)+IF(AN124="T",AP124-AO124,0)+IF(AQ124="T",AS124-AR124,0)+IF(AU124="T",AW124-AV124,0)+IF(AX124="T",AZ124-AY124,0),"")</f>
        <v/>
      </c>
      <c r="S124" s="36"/>
      <c r="T124" s="37"/>
      <c r="U124" s="37"/>
      <c r="V124" s="21"/>
      <c r="W124" s="37"/>
      <c r="X124" s="37"/>
      <c r="Y124" s="38" t="str">
        <f t="shared" si="11"/>
        <v/>
      </c>
      <c r="Z124" s="36"/>
      <c r="AA124" s="37"/>
      <c r="AB124" s="37"/>
      <c r="AC124" s="21"/>
      <c r="AD124" s="37"/>
      <c r="AE124" s="37"/>
      <c r="AF124" s="38" t="str">
        <f t="shared" si="12"/>
        <v/>
      </c>
      <c r="AG124" s="36"/>
      <c r="AH124" s="37"/>
      <c r="AI124" s="37"/>
      <c r="AJ124" s="21"/>
      <c r="AK124" s="37"/>
      <c r="AL124" s="37"/>
      <c r="AM124" s="38" t="str">
        <f t="shared" si="13"/>
        <v/>
      </c>
      <c r="AN124" s="36"/>
      <c r="AO124" s="37"/>
      <c r="AP124" s="37"/>
      <c r="AQ124" s="21"/>
      <c r="AR124" s="37"/>
      <c r="AS124" s="37"/>
      <c r="AT124" s="38" t="str">
        <f t="shared" si="14"/>
        <v/>
      </c>
      <c r="AU124" s="36"/>
      <c r="AV124" s="37"/>
      <c r="AW124" s="37"/>
      <c r="AX124" s="21"/>
      <c r="AY124" s="37"/>
      <c r="AZ124" s="37"/>
      <c r="BA124" s="39" t="str">
        <f t="shared" si="15"/>
        <v/>
      </c>
      <c r="BB124" s="46" t="s">
        <v>420</v>
      </c>
      <c r="BC124" s="31" t="s">
        <v>421</v>
      </c>
      <c r="BD124" s="16" t="s">
        <v>311</v>
      </c>
      <c r="BE124" s="16" t="s">
        <v>311</v>
      </c>
      <c r="BF124" s="244" t="str">
        <f>T_BilanSocial2[[#This Row],[Nom]]&amp;T_BilanSocial2[[#This Row],[Prénom]]</f>
        <v/>
      </c>
    </row>
    <row r="125" spans="1:58" ht="21.75" customHeight="1" x14ac:dyDescent="0.25">
      <c r="A125" s="90">
        <v>95</v>
      </c>
      <c r="B125" s="126" t="s">
        <v>210</v>
      </c>
      <c r="C125" s="126" t="str">
        <f>VLOOKUP(T_BilanSocial2[[#This Row],[NumL]],T_Commission[#Data],COLUMN(T_Commission[FINAL]),FALSE)</f>
        <v/>
      </c>
      <c r="D125" s="19" t="str">
        <f t="shared" si="8"/>
        <v/>
      </c>
      <c r="E125" s="19" t="str">
        <f t="shared" si="9"/>
        <v/>
      </c>
      <c r="F125" s="242" t="str">
        <f>IFERROR(VLOOKUP(T_BilanSocial2[[#This Row],[Zone_Bilan]],T_P_BilanSocial[#Data],COLUMN(T_P_BilanSocial[[#This Row],[Numero_SIHAM]]),FALSE),"")</f>
        <v/>
      </c>
      <c r="G125" s="242" t="str">
        <f>IFERROR(VLOOKUP(T_BilanSocial2[[#This Row],[Zone_Bilan]],T_P_BilanSocial[#Data],COLUMN(T_P_BilanSocial[[#This Row],[Sexe]]),FALSE),"")</f>
        <v/>
      </c>
      <c r="H125" s="243" t="str">
        <f>IFERROR(VLOOKUP(T_BilanSocial2[[#This Row],[Zone_Bilan]],T_P_BilanSocial[#Data],COLUMN(T_P_BilanSocial[[#This Row],[Categorie]]),FALSE),"")</f>
        <v/>
      </c>
      <c r="I125" s="242" t="str">
        <f>IFERROR(VLOOKUP(T_BilanSocial2[[#This Row],[Zone_Bilan]],T_P_BilanSocial[#Data],COLUMN(T_P_BilanSocial[[#This Row],[Statut]]),FALSE),"")</f>
        <v/>
      </c>
      <c r="J125" s="242" t="str">
        <f>IFERROR(VLOOKUP(T_BilanSocial2[[#This Row],[Zone_Bilan]],T_P_BilanSocial[#Data],COLUMN(T_P_BilanSocial[[#This Row],[Filiere]]),FALSE),"")</f>
        <v/>
      </c>
      <c r="K125" s="78">
        <v>1</v>
      </c>
      <c r="L125" s="213">
        <v>1.5451388888888891</v>
      </c>
      <c r="M125" s="78" t="s">
        <v>210</v>
      </c>
      <c r="N125" s="79" t="str">
        <f>IF((AND(T_BilanSocial2[[#This Row],[Nom]]&lt;&gt;"",T_BilanSocial2[[#This Row],[Reg Ponct]]="R")),(COUNTIF(S125:AX125,"S")+COUNTIF(S125:AX125,"T"))/2,"")</f>
        <v/>
      </c>
      <c r="O125" s="79" t="str">
        <f>IF((AND(T_BilanSocial2[[#This Row],[Nom]]&lt;&gt;"",T_BilanSocial2[[#This Row],[Reg Ponct]]="R")),COUNTIF(S125:AX125,"S")/2,"")</f>
        <v/>
      </c>
      <c r="P125" s="80" t="str">
        <f>IF((AND(T_BilanSocial2[[#This Row],[Nom]]&lt;&gt;"",T_BilanSocial2[[#This Row],[Reg Ponct]]="R")),COUNTIF(S125:AX125,"t")/2,"")</f>
        <v/>
      </c>
      <c r="Q125" s="81" t="str">
        <f t="shared" si="10"/>
        <v/>
      </c>
      <c r="R125" s="82" t="str">
        <f>IF((AND(T_BilanSocial2[[#This Row],[Nom]]&lt;&gt;"",T_BilanSocial2[[#This Row],[Reg Ponct]]="R")),IF(S125="T",U125-T125,0)+IF(V125="T",X125-W125,0)+IF(Z125="T",AB125-AA125,0)+IF(AC125="T",AE125-AD125,0)+IF(AG125="T",AI125-AH125,0)+IF(AJ125="T",AL125-AK125,0)+IF(AN125="T",AP125-AO125,0)+IF(AQ125="T",AS125-AR125,0)+IF(AU125="T",AW125-AV125,0)+IF(AX125="T",AZ125-AY125,0),"")</f>
        <v/>
      </c>
      <c r="S125" s="36" t="s">
        <v>306</v>
      </c>
      <c r="T125" s="37">
        <v>0.35416666666666669</v>
      </c>
      <c r="U125" s="37">
        <v>0.52083333333333337</v>
      </c>
      <c r="V125" s="21" t="s">
        <v>306</v>
      </c>
      <c r="W125" s="37">
        <v>0.5625</v>
      </c>
      <c r="X125" s="37">
        <v>0.71875</v>
      </c>
      <c r="Y125" s="38" t="str">
        <f t="shared" si="11"/>
        <v/>
      </c>
      <c r="Z125" s="36" t="s">
        <v>306</v>
      </c>
      <c r="AA125" s="37">
        <v>0.35416666666666669</v>
      </c>
      <c r="AB125" s="37">
        <v>0.52083333333333337</v>
      </c>
      <c r="AC125" s="21" t="s">
        <v>306</v>
      </c>
      <c r="AD125" s="37">
        <v>0.5625</v>
      </c>
      <c r="AE125" s="37">
        <v>0.71527777777777779</v>
      </c>
      <c r="AF125" s="38" t="str">
        <f t="shared" si="12"/>
        <v/>
      </c>
      <c r="AG125" s="36" t="s">
        <v>307</v>
      </c>
      <c r="AH125" s="37">
        <v>0.375</v>
      </c>
      <c r="AI125" s="37">
        <v>0.52083333333333337</v>
      </c>
      <c r="AJ125" s="21" t="s">
        <v>307</v>
      </c>
      <c r="AK125" s="37">
        <v>0.5625</v>
      </c>
      <c r="AL125" s="37">
        <v>0.70833333333333337</v>
      </c>
      <c r="AM125" s="38" t="str">
        <f t="shared" si="13"/>
        <v/>
      </c>
      <c r="AN125" s="36" t="s">
        <v>306</v>
      </c>
      <c r="AO125" s="37">
        <v>0.35416666666666669</v>
      </c>
      <c r="AP125" s="37">
        <v>0.52083333333333337</v>
      </c>
      <c r="AQ125" s="21" t="s">
        <v>306</v>
      </c>
      <c r="AR125" s="37">
        <v>0.5625</v>
      </c>
      <c r="AS125" s="37">
        <v>0.71527777777777779</v>
      </c>
      <c r="AT125" s="38" t="str">
        <f t="shared" si="14"/>
        <v/>
      </c>
      <c r="AU125" s="36" t="s">
        <v>307</v>
      </c>
      <c r="AV125" s="37">
        <v>0.375</v>
      </c>
      <c r="AW125" s="37">
        <v>0.52083333333333337</v>
      </c>
      <c r="AX125" s="21" t="s">
        <v>307</v>
      </c>
      <c r="AY125" s="37">
        <v>0.5625</v>
      </c>
      <c r="AZ125" s="37">
        <v>0.70833333333333337</v>
      </c>
      <c r="BA125" s="39" t="str">
        <f t="shared" si="15"/>
        <v/>
      </c>
      <c r="BB125" s="46" t="s">
        <v>697</v>
      </c>
      <c r="BC125" s="31" t="s">
        <v>698</v>
      </c>
      <c r="BD125" s="16" t="s">
        <v>322</v>
      </c>
      <c r="BE125" s="16" t="s">
        <v>322</v>
      </c>
      <c r="BF125" s="244" t="str">
        <f>T_BilanSocial2[[#This Row],[Nom]]&amp;T_BilanSocial2[[#This Row],[Prénom]]</f>
        <v/>
      </c>
    </row>
    <row r="126" spans="1:58" ht="21.75" customHeight="1" x14ac:dyDescent="0.25">
      <c r="A126" s="90">
        <v>65</v>
      </c>
      <c r="B126" s="126" t="s">
        <v>311</v>
      </c>
      <c r="C126" s="126" t="str">
        <f>VLOOKUP(T_BilanSocial2[[#This Row],[NumL]],T_Commission[#Data],COLUMN(T_Commission[FINAL]),FALSE)</f>
        <v/>
      </c>
      <c r="D126" s="19" t="str">
        <f t="shared" si="8"/>
        <v/>
      </c>
      <c r="E126" s="19" t="str">
        <f t="shared" si="9"/>
        <v/>
      </c>
      <c r="F126" s="242" t="str">
        <f>IFERROR(VLOOKUP(T_BilanSocial2[[#This Row],[Zone_Bilan]],T_P_BilanSocial[#Data],COLUMN(T_P_BilanSocial[[#This Row],[Numero_SIHAM]]),FALSE),"")</f>
        <v/>
      </c>
      <c r="G126" s="242" t="str">
        <f>IFERROR(VLOOKUP(T_BilanSocial2[[#This Row],[Zone_Bilan]],T_P_BilanSocial[#Data],COLUMN(T_P_BilanSocial[[#This Row],[Sexe]]),FALSE),"")</f>
        <v/>
      </c>
      <c r="H126" s="243" t="str">
        <f>IFERROR(VLOOKUP(T_BilanSocial2[[#This Row],[Zone_Bilan]],T_P_BilanSocial[#Data],COLUMN(T_P_BilanSocial[[#This Row],[Categorie]]),FALSE),"")</f>
        <v/>
      </c>
      <c r="I126" s="242" t="str">
        <f>IFERROR(VLOOKUP(T_BilanSocial2[[#This Row],[Zone_Bilan]],T_P_BilanSocial[#Data],COLUMN(T_P_BilanSocial[[#This Row],[Statut]]),FALSE),"")</f>
        <v/>
      </c>
      <c r="J126" s="242" t="str">
        <f>IFERROR(VLOOKUP(T_BilanSocial2[[#This Row],[Zone_Bilan]],T_P_BilanSocial[#Data],COLUMN(T_P_BilanSocial[[#This Row],[Filiere]]),FALSE),"")</f>
        <v/>
      </c>
      <c r="K126" s="78">
        <v>1</v>
      </c>
      <c r="L126" s="213">
        <v>1.5451388888888891</v>
      </c>
      <c r="M126" s="78" t="s">
        <v>210</v>
      </c>
      <c r="N126" s="79" t="str">
        <f>IF((AND(T_BilanSocial2[[#This Row],[Nom]]&lt;&gt;"",T_BilanSocial2[[#This Row],[Reg Ponct]]="R")),(COUNTIF(S126:AX126,"S")+COUNTIF(S126:AX126,"T"))/2,"")</f>
        <v/>
      </c>
      <c r="O126" s="79" t="str">
        <f>IF((AND(T_BilanSocial2[[#This Row],[Nom]]&lt;&gt;"",T_BilanSocial2[[#This Row],[Reg Ponct]]="R")),COUNTIF(S126:AX126,"S")/2,"")</f>
        <v/>
      </c>
      <c r="P126" s="80" t="str">
        <f>IF((AND(T_BilanSocial2[[#This Row],[Nom]]&lt;&gt;"",T_BilanSocial2[[#This Row],[Reg Ponct]]="R")),COUNTIF(S126:AX126,"t")/2,"")</f>
        <v/>
      </c>
      <c r="Q126" s="81" t="str">
        <f t="shared" si="10"/>
        <v/>
      </c>
      <c r="R126" s="82" t="str">
        <f>IF((AND(T_BilanSocial2[[#This Row],[Nom]]&lt;&gt;"",T_BilanSocial2[[#This Row],[Reg Ponct]]="R")),IF(S126="T",U126-T126,0)+IF(V126="T",X126-W126,0)+IF(Z126="T",AB126-AA126,0)+IF(AC126="T",AE126-AD126,0)+IF(AG126="T",AI126-AH126,0)+IF(AJ126="T",AL126-AK126,0)+IF(AN126="T",AP126-AO126,0)+IF(AQ126="T",AS126-AR126,0)+IF(AU126="T",AW126-AV126,0)+IF(AX126="T",AZ126-AY126,0),"")</f>
        <v/>
      </c>
      <c r="S126" s="36" t="s">
        <v>307</v>
      </c>
      <c r="T126" s="37">
        <v>0.33333333333333331</v>
      </c>
      <c r="U126" s="37">
        <v>0.5</v>
      </c>
      <c r="V126" s="21" t="s">
        <v>307</v>
      </c>
      <c r="W126" s="37">
        <v>0.54166666666666663</v>
      </c>
      <c r="X126" s="37">
        <v>0.66666666666666663</v>
      </c>
      <c r="Y126" s="38" t="str">
        <f t="shared" si="11"/>
        <v/>
      </c>
      <c r="Z126" s="36" t="s">
        <v>306</v>
      </c>
      <c r="AA126" s="37">
        <v>0.33333333333333331</v>
      </c>
      <c r="AB126" s="37">
        <v>0.5</v>
      </c>
      <c r="AC126" s="21" t="s">
        <v>306</v>
      </c>
      <c r="AD126" s="37">
        <v>0.54166666666666663</v>
      </c>
      <c r="AE126" s="37">
        <v>0.75</v>
      </c>
      <c r="AF126" s="38" t="str">
        <f t="shared" si="12"/>
        <v/>
      </c>
      <c r="AG126" s="36" t="s">
        <v>306</v>
      </c>
      <c r="AH126" s="37">
        <v>0.33333333333333331</v>
      </c>
      <c r="AI126" s="37">
        <v>0.5</v>
      </c>
      <c r="AJ126" s="21" t="s">
        <v>306</v>
      </c>
      <c r="AK126" s="37">
        <v>0.54166666666666663</v>
      </c>
      <c r="AL126" s="37">
        <v>0.73263888888888884</v>
      </c>
      <c r="AM126" s="38" t="str">
        <f t="shared" si="13"/>
        <v/>
      </c>
      <c r="AN126" s="36" t="s">
        <v>306</v>
      </c>
      <c r="AO126" s="37">
        <v>0.33333333333333331</v>
      </c>
      <c r="AP126" s="37">
        <v>0.5</v>
      </c>
      <c r="AQ126" s="21" t="s">
        <v>306</v>
      </c>
      <c r="AR126" s="37">
        <v>0.54166666666666663</v>
      </c>
      <c r="AS126" s="37">
        <v>0.70833333333333337</v>
      </c>
      <c r="AT126" s="38" t="str">
        <f t="shared" si="14"/>
        <v/>
      </c>
      <c r="AU126" s="36" t="s">
        <v>306</v>
      </c>
      <c r="AV126" s="37">
        <v>0.33333333333333331</v>
      </c>
      <c r="AW126" s="37">
        <v>0.52083333333333337</v>
      </c>
      <c r="AX126" s="21" t="s">
        <v>308</v>
      </c>
      <c r="AY126" s="37"/>
      <c r="AZ126" s="37"/>
      <c r="BA126" s="39" t="str">
        <f t="shared" si="15"/>
        <v/>
      </c>
      <c r="BB126" s="46" t="s">
        <v>420</v>
      </c>
      <c r="BC126" s="31" t="s">
        <v>421</v>
      </c>
      <c r="BD126" s="16" t="s">
        <v>311</v>
      </c>
      <c r="BE126" s="16" t="s">
        <v>311</v>
      </c>
      <c r="BF126" s="244" t="str">
        <f>T_BilanSocial2[[#This Row],[Nom]]&amp;T_BilanSocial2[[#This Row],[Prénom]]</f>
        <v/>
      </c>
    </row>
    <row r="127" spans="1:58" ht="21.75" hidden="1" customHeight="1" x14ac:dyDescent="0.25">
      <c r="A127" s="90">
        <v>128</v>
      </c>
      <c r="B127" s="126" t="s">
        <v>311</v>
      </c>
      <c r="C127" s="126" t="str">
        <f>VLOOKUP(T_BilanSocial2[[#This Row],[NumL]],T_Commission[#Data],COLUMN(T_Commission[FINAL]),FALSE)</f>
        <v/>
      </c>
      <c r="D127" s="19" t="str">
        <f t="shared" si="8"/>
        <v/>
      </c>
      <c r="E127" s="19" t="str">
        <f t="shared" si="9"/>
        <v/>
      </c>
      <c r="F127" s="242" t="str">
        <f>IFERROR(VLOOKUP(T_BilanSocial2[[#This Row],[Zone_Bilan]],T_P_BilanSocial[#Data],COLUMN(T_P_BilanSocial[[#This Row],[Numero_SIHAM]]),FALSE),"")</f>
        <v/>
      </c>
      <c r="G127" s="242" t="str">
        <f>IFERROR(VLOOKUP(T_BilanSocial2[[#This Row],[Zone_Bilan]],T_P_BilanSocial[#Data],COLUMN(T_P_BilanSocial[[#This Row],[Sexe]]),FALSE),"")</f>
        <v/>
      </c>
      <c r="H127" s="243" t="str">
        <f>IFERROR(VLOOKUP(T_BilanSocial2[[#This Row],[Zone_Bilan]],T_P_BilanSocial[#Data],COLUMN(T_P_BilanSocial[[#This Row],[Categorie]]),FALSE),"")</f>
        <v/>
      </c>
      <c r="I127" s="242" t="str">
        <f>IFERROR(VLOOKUP(T_BilanSocial2[[#This Row],[Zone_Bilan]],T_P_BilanSocial[#Data],COLUMN(T_P_BilanSocial[[#This Row],[Statut]]),FALSE),"")</f>
        <v/>
      </c>
      <c r="J127" s="242" t="str">
        <f>IFERROR(VLOOKUP(T_BilanSocial2[[#This Row],[Zone_Bilan]],T_P_BilanSocial[#Data],COLUMN(T_P_BilanSocial[[#This Row],[Filiere]]),FALSE),"")</f>
        <v/>
      </c>
      <c r="K127" s="78">
        <v>1</v>
      </c>
      <c r="L127" s="213">
        <v>1.5451388888888891</v>
      </c>
      <c r="M127" s="78" t="s">
        <v>210</v>
      </c>
      <c r="N127" s="79" t="str">
        <f>IF((AND(T_BilanSocial2[[#This Row],[Nom]]&lt;&gt;"",T_BilanSocial2[[#This Row],[Reg Ponct]]="R")),(COUNTIF(S127:AX127,"S")+COUNTIF(S127:AX127,"T"))/2,"")</f>
        <v/>
      </c>
      <c r="O127" s="79" t="str">
        <f>IF((AND(T_BilanSocial2[[#This Row],[Nom]]&lt;&gt;"",T_BilanSocial2[[#This Row],[Reg Ponct]]="R")),COUNTIF(S127:AX127,"S")/2,"")</f>
        <v/>
      </c>
      <c r="P127" s="80" t="str">
        <f>IF((AND(T_BilanSocial2[[#This Row],[Nom]]&lt;&gt;"",T_BilanSocial2[[#This Row],[Reg Ponct]]="R")),COUNTIF(S127:AX127,"t")/2,"")</f>
        <v/>
      </c>
      <c r="Q127" s="81" t="str">
        <f t="shared" si="10"/>
        <v/>
      </c>
      <c r="R127" s="82" t="str">
        <f>IF((AND(T_BilanSocial2[[#This Row],[Nom]]&lt;&gt;"",T_BilanSocial2[[#This Row],[Reg Ponct]]="R")),IF(S127="T",U127-T127,0)+IF(V127="T",X127-W127,0)+IF(Z127="T",AB127-AA127,0)+IF(AC127="T",AE127-AD127,0)+IF(AG127="T",AI127-AH127,0)+IF(AJ127="T",AL127-AK127,0)+IF(AN127="T",AP127-AO127,0)+IF(AQ127="T",AS127-AR127,0)+IF(AU127="T",AW127-AV127,0)+IF(AX127="T",AZ127-AY127,0),"")</f>
        <v/>
      </c>
      <c r="S127" s="36" t="s">
        <v>306</v>
      </c>
      <c r="T127" s="37">
        <v>0.375</v>
      </c>
      <c r="U127" s="37">
        <v>0.52083333333333337</v>
      </c>
      <c r="V127" s="21" t="s">
        <v>306</v>
      </c>
      <c r="W127" s="37">
        <v>0.5625</v>
      </c>
      <c r="X127" s="37">
        <v>0.72916666666666663</v>
      </c>
      <c r="Y127" s="38" t="str">
        <f t="shared" si="11"/>
        <v/>
      </c>
      <c r="Z127" s="36" t="s">
        <v>306</v>
      </c>
      <c r="AA127" s="37">
        <v>0.375</v>
      </c>
      <c r="AB127" s="37">
        <v>0.52083333333333337</v>
      </c>
      <c r="AC127" s="21" t="s">
        <v>306</v>
      </c>
      <c r="AD127" s="37">
        <v>0.5625</v>
      </c>
      <c r="AE127" s="37">
        <v>0.72916666666666663</v>
      </c>
      <c r="AF127" s="38" t="str">
        <f t="shared" si="12"/>
        <v/>
      </c>
      <c r="AG127" s="36" t="s">
        <v>307</v>
      </c>
      <c r="AH127" s="37">
        <v>0.375</v>
      </c>
      <c r="AI127" s="37">
        <v>0.52083333333333337</v>
      </c>
      <c r="AJ127" s="21" t="s">
        <v>307</v>
      </c>
      <c r="AK127" s="37">
        <v>0.5625</v>
      </c>
      <c r="AL127" s="37">
        <v>0.72916666666666663</v>
      </c>
      <c r="AM127" s="38" t="str">
        <f t="shared" si="13"/>
        <v/>
      </c>
      <c r="AN127" s="36" t="s">
        <v>306</v>
      </c>
      <c r="AO127" s="37">
        <v>0.375</v>
      </c>
      <c r="AP127" s="37">
        <v>0.52083333333333337</v>
      </c>
      <c r="AQ127" s="21" t="s">
        <v>306</v>
      </c>
      <c r="AR127" s="37">
        <v>0.5625</v>
      </c>
      <c r="AS127" s="37">
        <v>0.72916666666666663</v>
      </c>
      <c r="AT127" s="38" t="str">
        <f t="shared" si="14"/>
        <v/>
      </c>
      <c r="AU127" s="36" t="s">
        <v>307</v>
      </c>
      <c r="AV127" s="37">
        <v>0.375</v>
      </c>
      <c r="AW127" s="37">
        <v>0.52083333333333337</v>
      </c>
      <c r="AX127" s="21" t="s">
        <v>307</v>
      </c>
      <c r="AY127" s="37">
        <v>0.5625</v>
      </c>
      <c r="AZ127" s="37">
        <v>0.71180555555555547</v>
      </c>
      <c r="BA127" s="39" t="str">
        <f t="shared" si="15"/>
        <v/>
      </c>
      <c r="BB127" s="46" t="s">
        <v>376</v>
      </c>
      <c r="BC127" s="31" t="s">
        <v>341</v>
      </c>
      <c r="BD127" s="16" t="s">
        <v>311</v>
      </c>
      <c r="BE127" s="16" t="s">
        <v>311</v>
      </c>
      <c r="BF127" s="244" t="str">
        <f>T_BilanSocial2[[#This Row],[Nom]]&amp;T_BilanSocial2[[#This Row],[Prénom]]</f>
        <v/>
      </c>
    </row>
    <row r="128" spans="1:58" ht="21.75" hidden="1" customHeight="1" x14ac:dyDescent="0.25">
      <c r="A128" s="90">
        <v>147</v>
      </c>
      <c r="B128" s="126" t="s">
        <v>210</v>
      </c>
      <c r="C128" s="126" t="str">
        <f>VLOOKUP(T_BilanSocial2[[#This Row],[NumL]],T_Commission[#Data],COLUMN(T_Commission[FINAL]),FALSE)</f>
        <v/>
      </c>
      <c r="D128" s="19" t="str">
        <f t="shared" si="8"/>
        <v/>
      </c>
      <c r="E128" s="19" t="str">
        <f t="shared" si="9"/>
        <v/>
      </c>
      <c r="F128" s="242" t="str">
        <f>IFERROR(VLOOKUP(T_BilanSocial2[[#This Row],[Zone_Bilan]],T_P_BilanSocial[#Data],COLUMN(T_P_BilanSocial[[#This Row],[Numero_SIHAM]]),FALSE),"")</f>
        <v/>
      </c>
      <c r="G128" s="242" t="str">
        <f>IFERROR(VLOOKUP(T_BilanSocial2[[#This Row],[Zone_Bilan]],T_P_BilanSocial[#Data],COLUMN(T_P_BilanSocial[[#This Row],[Sexe]]),FALSE),"")</f>
        <v/>
      </c>
      <c r="H128" s="243" t="str">
        <f>IFERROR(VLOOKUP(T_BilanSocial2[[#This Row],[Zone_Bilan]],T_P_BilanSocial[#Data],COLUMN(T_P_BilanSocial[[#This Row],[Categorie]]),FALSE),"")</f>
        <v/>
      </c>
      <c r="I128" s="242" t="str">
        <f>IFERROR(VLOOKUP(T_BilanSocial2[[#This Row],[Zone_Bilan]],T_P_BilanSocial[#Data],COLUMN(T_P_BilanSocial[[#This Row],[Statut]]),FALSE),"")</f>
        <v/>
      </c>
      <c r="J128" s="242" t="str">
        <f>IFERROR(VLOOKUP(T_BilanSocial2[[#This Row],[Zone_Bilan]],T_P_BilanSocial[#Data],COLUMN(T_P_BilanSocial[[#This Row],[Filiere]]),FALSE),"")</f>
        <v/>
      </c>
      <c r="K128" s="78">
        <v>1</v>
      </c>
      <c r="L128" s="213">
        <v>1.5451388888888891</v>
      </c>
      <c r="M128" s="78" t="s">
        <v>210</v>
      </c>
      <c r="N128" s="79" t="str">
        <f>IF((AND(T_BilanSocial2[[#This Row],[Nom]]&lt;&gt;"",T_BilanSocial2[[#This Row],[Reg Ponct]]="R")),(COUNTIF(S128:AX128,"S")+COUNTIF(S128:AX128,"T"))/2,"")</f>
        <v/>
      </c>
      <c r="O128" s="79" t="str">
        <f>IF((AND(T_BilanSocial2[[#This Row],[Nom]]&lt;&gt;"",T_BilanSocial2[[#This Row],[Reg Ponct]]="R")),COUNTIF(S128:AX128,"S")/2,"")</f>
        <v/>
      </c>
      <c r="P128" s="80" t="str">
        <f>IF((AND(T_BilanSocial2[[#This Row],[Nom]]&lt;&gt;"",T_BilanSocial2[[#This Row],[Reg Ponct]]="R")),COUNTIF(S128:AX128,"t")/2,"")</f>
        <v/>
      </c>
      <c r="Q128" s="81" t="str">
        <f t="shared" si="10"/>
        <v/>
      </c>
      <c r="R128" s="82" t="str">
        <f>IF((AND(T_BilanSocial2[[#This Row],[Nom]]&lt;&gt;"",T_BilanSocial2[[#This Row],[Reg Ponct]]="R")),IF(S128="T",U128-T128,0)+IF(V128="T",X128-W128,0)+IF(Z128="T",AB128-AA128,0)+IF(AC128="T",AE128-AD128,0)+IF(AG128="T",AI128-AH128,0)+IF(AJ128="T",AL128-AK128,0)+IF(AN128="T",AP128-AO128,0)+IF(AQ128="T",AS128-AR128,0)+IF(AU128="T",AW128-AV128,0)+IF(AX128="T",AZ128-AY128,0),"")</f>
        <v/>
      </c>
      <c r="S128" s="36" t="s">
        <v>306</v>
      </c>
      <c r="T128" s="37">
        <v>0.35416666666666669</v>
      </c>
      <c r="U128" s="37">
        <v>0.51041666666666663</v>
      </c>
      <c r="V128" s="21" t="s">
        <v>306</v>
      </c>
      <c r="W128" s="37">
        <v>0.55208333333333337</v>
      </c>
      <c r="X128" s="37">
        <v>0.73958333333333337</v>
      </c>
      <c r="Y128" s="38" t="str">
        <f t="shared" si="11"/>
        <v/>
      </c>
      <c r="Z128" s="36" t="s">
        <v>306</v>
      </c>
      <c r="AA128" s="37">
        <v>0.35416666666666669</v>
      </c>
      <c r="AB128" s="37">
        <v>0.51041666666666663</v>
      </c>
      <c r="AC128" s="21" t="s">
        <v>306</v>
      </c>
      <c r="AD128" s="37">
        <v>0.55208333333333337</v>
      </c>
      <c r="AE128" s="37">
        <v>0.73958333333333337</v>
      </c>
      <c r="AF128" s="38" t="str">
        <f t="shared" si="12"/>
        <v/>
      </c>
      <c r="AG128" s="36" t="s">
        <v>307</v>
      </c>
      <c r="AH128" s="37">
        <v>0.35416666666666669</v>
      </c>
      <c r="AI128" s="37">
        <v>0.54166666666666663</v>
      </c>
      <c r="AJ128" s="21" t="s">
        <v>308</v>
      </c>
      <c r="AK128" s="37"/>
      <c r="AL128" s="37"/>
      <c r="AM128" s="38" t="str">
        <f t="shared" si="13"/>
        <v/>
      </c>
      <c r="AN128" s="36" t="s">
        <v>306</v>
      </c>
      <c r="AO128" s="37">
        <v>0.35416666666666669</v>
      </c>
      <c r="AP128" s="37">
        <v>0.51041666666666663</v>
      </c>
      <c r="AQ128" s="21" t="s">
        <v>306</v>
      </c>
      <c r="AR128" s="37">
        <v>0.55208333333333337</v>
      </c>
      <c r="AS128" s="37">
        <v>0.73958333333333337</v>
      </c>
      <c r="AT128" s="38" t="str">
        <f t="shared" si="14"/>
        <v/>
      </c>
      <c r="AU128" s="36" t="s">
        <v>306</v>
      </c>
      <c r="AV128" s="37">
        <v>0.35416666666666669</v>
      </c>
      <c r="AW128" s="37">
        <v>0.51041666666666663</v>
      </c>
      <c r="AX128" s="21" t="s">
        <v>306</v>
      </c>
      <c r="AY128" s="37">
        <v>0.55208333333333337</v>
      </c>
      <c r="AZ128" s="37">
        <v>0.72222222222222221</v>
      </c>
      <c r="BA128" s="39" t="str">
        <f t="shared" si="15"/>
        <v/>
      </c>
      <c r="BB128" s="46" t="s">
        <v>805</v>
      </c>
      <c r="BC128" s="31" t="s">
        <v>806</v>
      </c>
      <c r="BD128" s="16" t="s">
        <v>322</v>
      </c>
      <c r="BE128" s="16" t="s">
        <v>322</v>
      </c>
      <c r="BF128" s="244" t="str">
        <f>T_BilanSocial2[[#This Row],[Nom]]&amp;T_BilanSocial2[[#This Row],[Prénom]]</f>
        <v/>
      </c>
    </row>
    <row r="129" spans="1:58" ht="21.75" hidden="1" customHeight="1" x14ac:dyDescent="0.25">
      <c r="A129" s="90">
        <v>127</v>
      </c>
      <c r="B129" s="126" t="s">
        <v>210</v>
      </c>
      <c r="C129" s="126" t="str">
        <f>VLOOKUP(T_BilanSocial2[[#This Row],[NumL]],T_Commission[#Data],COLUMN(T_Commission[FINAL]),FALSE)</f>
        <v/>
      </c>
      <c r="D129" s="19" t="str">
        <f t="shared" si="8"/>
        <v/>
      </c>
      <c r="E129" s="19" t="str">
        <f t="shared" si="9"/>
        <v/>
      </c>
      <c r="F129" s="242" t="str">
        <f>IFERROR(VLOOKUP(T_BilanSocial2[[#This Row],[Zone_Bilan]],T_P_BilanSocial[#Data],COLUMN(T_P_BilanSocial[[#This Row],[Numero_SIHAM]]),FALSE),"")</f>
        <v/>
      </c>
      <c r="G129" s="242" t="str">
        <f>IFERROR(VLOOKUP(T_BilanSocial2[[#This Row],[Zone_Bilan]],T_P_BilanSocial[#Data],COLUMN(T_P_BilanSocial[[#This Row],[Sexe]]),FALSE),"")</f>
        <v/>
      </c>
      <c r="H129" s="243" t="str">
        <f>IFERROR(VLOOKUP(T_BilanSocial2[[#This Row],[Zone_Bilan]],T_P_BilanSocial[#Data],COLUMN(T_P_BilanSocial[[#This Row],[Categorie]]),FALSE),"")</f>
        <v/>
      </c>
      <c r="I129" s="242" t="str">
        <f>IFERROR(VLOOKUP(T_BilanSocial2[[#This Row],[Zone_Bilan]],T_P_BilanSocial[#Data],COLUMN(T_P_BilanSocial[[#This Row],[Statut]]),FALSE),"")</f>
        <v/>
      </c>
      <c r="J129" s="242" t="str">
        <f>IFERROR(VLOOKUP(T_BilanSocial2[[#This Row],[Zone_Bilan]],T_P_BilanSocial[#Data],COLUMN(T_P_BilanSocial[[#This Row],[Filiere]]),FALSE),"")</f>
        <v/>
      </c>
      <c r="K129" s="78">
        <v>0.8</v>
      </c>
      <c r="L129" s="213">
        <v>1.2361111111111112</v>
      </c>
      <c r="M129" s="78" t="s">
        <v>210</v>
      </c>
      <c r="N129" s="79" t="str">
        <f>IF((AND(T_BilanSocial2[[#This Row],[Nom]]&lt;&gt;"",T_BilanSocial2[[#This Row],[Reg Ponct]]="R")),(COUNTIF(S129:AX129,"S")+COUNTIF(S129:AX129,"T"))/2,"")</f>
        <v/>
      </c>
      <c r="O129" s="79" t="str">
        <f>IF((AND(T_BilanSocial2[[#This Row],[Nom]]&lt;&gt;"",T_BilanSocial2[[#This Row],[Reg Ponct]]="R")),COUNTIF(S129:AX129,"S")/2,"")</f>
        <v/>
      </c>
      <c r="P129" s="80" t="str">
        <f>IF((AND(T_BilanSocial2[[#This Row],[Nom]]&lt;&gt;"",T_BilanSocial2[[#This Row],[Reg Ponct]]="R")),COUNTIF(S129:AX129,"t")/2,"")</f>
        <v/>
      </c>
      <c r="Q129" s="81" t="str">
        <f t="shared" si="10"/>
        <v/>
      </c>
      <c r="R129" s="82" t="str">
        <f>IF((AND(T_BilanSocial2[[#This Row],[Nom]]&lt;&gt;"",T_BilanSocial2[[#This Row],[Reg Ponct]]="R")),IF(S129="T",U129-T129,0)+IF(V129="T",X129-W129,0)+IF(Z129="T",AB129-AA129,0)+IF(AC129="T",AE129-AD129,0)+IF(AG129="T",AI129-AH129,0)+IF(AJ129="T",AL129-AK129,0)+IF(AN129="T",AP129-AO129,0)+IF(AQ129="T",AS129-AR129,0)+IF(AU129="T",AW129-AV129,0)+IF(AX129="T",AZ129-AY129,0),"")</f>
        <v/>
      </c>
      <c r="S129" s="36" t="s">
        <v>306</v>
      </c>
      <c r="T129" s="37">
        <v>0.34722222222222227</v>
      </c>
      <c r="U129" s="37">
        <v>0.5</v>
      </c>
      <c r="V129" s="21" t="s">
        <v>306</v>
      </c>
      <c r="W129" s="37">
        <v>0.54166666666666663</v>
      </c>
      <c r="X129" s="37">
        <v>0.69444444444444453</v>
      </c>
      <c r="Y129" s="38" t="str">
        <f t="shared" si="11"/>
        <v/>
      </c>
      <c r="Z129" s="36" t="s">
        <v>307</v>
      </c>
      <c r="AA129" s="37">
        <v>0.33333333333333331</v>
      </c>
      <c r="AB129" s="37">
        <v>0.52083333333333337</v>
      </c>
      <c r="AC129" s="21" t="s">
        <v>307</v>
      </c>
      <c r="AD129" s="37">
        <v>0.5625</v>
      </c>
      <c r="AE129" s="37">
        <v>0.70833333333333337</v>
      </c>
      <c r="AF129" s="38" t="str">
        <f t="shared" si="12"/>
        <v/>
      </c>
      <c r="AG129" s="36" t="s">
        <v>308</v>
      </c>
      <c r="AH129" s="37"/>
      <c r="AI129" s="37"/>
      <c r="AJ129" s="21" t="s">
        <v>308</v>
      </c>
      <c r="AK129" s="37"/>
      <c r="AL129" s="37"/>
      <c r="AM129" s="38" t="str">
        <f t="shared" si="13"/>
        <v/>
      </c>
      <c r="AN129" s="36" t="s">
        <v>306</v>
      </c>
      <c r="AO129" s="37">
        <v>0.34722222222222227</v>
      </c>
      <c r="AP129" s="37">
        <v>0.52083333333333337</v>
      </c>
      <c r="AQ129" s="21" t="s">
        <v>306</v>
      </c>
      <c r="AR129" s="37">
        <v>0.5625</v>
      </c>
      <c r="AS129" s="37">
        <v>0.68055555555555547</v>
      </c>
      <c r="AT129" s="38" t="str">
        <f t="shared" si="14"/>
        <v/>
      </c>
      <c r="AU129" s="36" t="s">
        <v>306</v>
      </c>
      <c r="AV129" s="37">
        <v>0.34722222222222227</v>
      </c>
      <c r="AW129" s="37">
        <v>0.52083333333333337</v>
      </c>
      <c r="AX129" s="21" t="s">
        <v>306</v>
      </c>
      <c r="AY129" s="37">
        <v>0.5625</v>
      </c>
      <c r="AZ129" s="37">
        <v>0.69444444444444453</v>
      </c>
      <c r="BA129" s="39" t="str">
        <f t="shared" si="15"/>
        <v/>
      </c>
      <c r="BB129" s="46" t="s">
        <v>793</v>
      </c>
      <c r="BC129" s="31" t="s">
        <v>794</v>
      </c>
      <c r="BD129" s="16" t="s">
        <v>311</v>
      </c>
      <c r="BE129" s="16" t="s">
        <v>322</v>
      </c>
      <c r="BF129" s="244" t="str">
        <f>T_BilanSocial2[[#This Row],[Nom]]&amp;T_BilanSocial2[[#This Row],[Prénom]]</f>
        <v/>
      </c>
    </row>
    <row r="130" spans="1:58" ht="21.75" customHeight="1" x14ac:dyDescent="0.25">
      <c r="A130" s="90">
        <v>254</v>
      </c>
      <c r="B130" s="126" t="s">
        <v>311</v>
      </c>
      <c r="C130" s="126" t="str">
        <f>VLOOKUP(T_BilanSocial2[[#This Row],[NumL]],T_Commission[#Data],COLUMN(T_Commission[FINAL]),FALSE)</f>
        <v/>
      </c>
      <c r="D130" s="19" t="str">
        <f t="shared" ref="D130:D193" si="16">IFERROR(IF(VLOOKUP(A130,ListeDI,3,FALSE)&lt;&gt;"",VLOOKUP(A130,ListeDI,3,FALSE),""),"")</f>
        <v/>
      </c>
      <c r="E130" s="19" t="str">
        <f t="shared" ref="E130:E193" si="17">IFERROR(IF(VLOOKUP(A130,ListeDI,4,FALSE)&lt;&gt;"",VLOOKUP(A130,ListeDI,4,FALSE),""),"")</f>
        <v/>
      </c>
      <c r="F130" s="242" t="str">
        <f>IFERROR(VLOOKUP(T_BilanSocial2[[#This Row],[Zone_Bilan]],T_P_BilanSocial[#Data],COLUMN(T_P_BilanSocial[[#This Row],[Numero_SIHAM]]),FALSE),"")</f>
        <v/>
      </c>
      <c r="G130" s="242" t="str">
        <f>IFERROR(VLOOKUP(T_BilanSocial2[[#This Row],[Zone_Bilan]],T_P_BilanSocial[#Data],COLUMN(T_P_BilanSocial[[#This Row],[Sexe]]),FALSE),"")</f>
        <v/>
      </c>
      <c r="H130" s="243" t="str">
        <f>IFERROR(VLOOKUP(T_BilanSocial2[[#This Row],[Zone_Bilan]],T_P_BilanSocial[#Data],COLUMN(T_P_BilanSocial[[#This Row],[Categorie]]),FALSE),"")</f>
        <v/>
      </c>
      <c r="I130" s="242" t="str">
        <f>IFERROR(VLOOKUP(T_BilanSocial2[[#This Row],[Zone_Bilan]],T_P_BilanSocial[#Data],COLUMN(T_P_BilanSocial[[#This Row],[Statut]]),FALSE),"")</f>
        <v/>
      </c>
      <c r="J130" s="242" t="str">
        <f>IFERROR(VLOOKUP(T_BilanSocial2[[#This Row],[Zone_Bilan]],T_P_BilanSocial[#Data],COLUMN(T_P_BilanSocial[[#This Row],[Filiere]]),FALSE),"")</f>
        <v/>
      </c>
      <c r="K130" s="78">
        <v>1</v>
      </c>
      <c r="L130" s="213">
        <v>1.5451388888888891</v>
      </c>
      <c r="M130" s="78" t="s">
        <v>210</v>
      </c>
      <c r="N130" s="79" t="str">
        <f>IF((AND(T_BilanSocial2[[#This Row],[Nom]]&lt;&gt;"",T_BilanSocial2[[#This Row],[Reg Ponct]]="R")),(COUNTIF(S130:AX130,"S")+COUNTIF(S130:AX130,"T"))/2,"")</f>
        <v/>
      </c>
      <c r="O130" s="79" t="str">
        <f>IF((AND(T_BilanSocial2[[#This Row],[Nom]]&lt;&gt;"",T_BilanSocial2[[#This Row],[Reg Ponct]]="R")),COUNTIF(S130:AX130,"S")/2,"")</f>
        <v/>
      </c>
      <c r="P130" s="80" t="str">
        <f>IF((AND(T_BilanSocial2[[#This Row],[Nom]]&lt;&gt;"",T_BilanSocial2[[#This Row],[Reg Ponct]]="R")),COUNTIF(S130:AX130,"t")/2,"")</f>
        <v/>
      </c>
      <c r="Q130" s="81" t="str">
        <f t="shared" ref="Q130:Q193" si="18">IF(D130&lt;&gt;"",Y130+AF130+AM130+AT130+BA130,"")</f>
        <v/>
      </c>
      <c r="R130" s="82" t="str">
        <f>IF((AND(T_BilanSocial2[[#This Row],[Nom]]&lt;&gt;"",T_BilanSocial2[[#This Row],[Reg Ponct]]="R")),IF(S130="T",U130-T130,0)+IF(V130="T",X130-W130,0)+IF(Z130="T",AB130-AA130,0)+IF(AC130="T",AE130-AD130,0)+IF(AG130="T",AI130-AH130,0)+IF(AJ130="T",AL130-AK130,0)+IF(AN130="T",AP130-AO130,0)+IF(AQ130="T",AS130-AR130,0)+IF(AU130="T",AW130-AV130,0)+IF(AX130="T",AZ130-AY130,0),"")</f>
        <v/>
      </c>
      <c r="S130" s="36" t="s">
        <v>306</v>
      </c>
      <c r="T130" s="37">
        <v>0.36458333333333331</v>
      </c>
      <c r="U130" s="37">
        <v>0.54166666666666663</v>
      </c>
      <c r="V130" s="21" t="s">
        <v>306</v>
      </c>
      <c r="W130" s="37">
        <v>0.58333333333333337</v>
      </c>
      <c r="X130" s="37">
        <v>0.78125</v>
      </c>
      <c r="Y130" s="38" t="str">
        <f t="shared" ref="Y130:Y193" si="19">IF(D130&lt;&gt;"",(U130-T130)+(X130-W130),"")</f>
        <v/>
      </c>
      <c r="Z130" s="36" t="s">
        <v>306</v>
      </c>
      <c r="AA130" s="37">
        <v>0.3611111111111111</v>
      </c>
      <c r="AB130" s="37">
        <v>0.5</v>
      </c>
      <c r="AC130" s="21" t="s">
        <v>306</v>
      </c>
      <c r="AD130" s="37">
        <v>0.54166666666666663</v>
      </c>
      <c r="AE130" s="37">
        <v>0.66666666666666663</v>
      </c>
      <c r="AF130" s="38" t="str">
        <f t="shared" ref="AF130:AF193" si="20">IF(D130&lt;&gt;"",(AB130-AA130)+(AE130-AD130),"")</f>
        <v/>
      </c>
      <c r="AG130" s="36" t="s">
        <v>306</v>
      </c>
      <c r="AH130" s="37">
        <v>0.34375</v>
      </c>
      <c r="AI130" s="37">
        <v>0.5</v>
      </c>
      <c r="AJ130" s="21" t="s">
        <v>306</v>
      </c>
      <c r="AK130" s="37">
        <v>0.54166666666666663</v>
      </c>
      <c r="AL130" s="37">
        <v>0.625</v>
      </c>
      <c r="AM130" s="38" t="str">
        <f t="shared" ref="AM130:AM193" si="21">IF(D130&lt;&gt;"",(AI130-AH130)+(AL130-AK130),"")</f>
        <v/>
      </c>
      <c r="AN130" s="36" t="s">
        <v>307</v>
      </c>
      <c r="AO130" s="37">
        <v>0.375</v>
      </c>
      <c r="AP130" s="37">
        <v>0.5</v>
      </c>
      <c r="AQ130" s="21" t="s">
        <v>307</v>
      </c>
      <c r="AR130" s="37">
        <v>0.54166666666666663</v>
      </c>
      <c r="AS130" s="37">
        <v>0.70833333333333337</v>
      </c>
      <c r="AT130" s="38" t="str">
        <f t="shared" ref="AT130:AT193" si="22">IF(D130&lt;&gt;"",(AP130-AO130)+(AS130-AR130),"")</f>
        <v/>
      </c>
      <c r="AU130" s="36" t="s">
        <v>306</v>
      </c>
      <c r="AV130" s="37">
        <v>0.375</v>
      </c>
      <c r="AW130" s="37">
        <v>0.54166666666666663</v>
      </c>
      <c r="AX130" s="21" t="s">
        <v>306</v>
      </c>
      <c r="AY130" s="37">
        <v>0.58333333333333337</v>
      </c>
      <c r="AZ130" s="37">
        <v>0.79166666666666663</v>
      </c>
      <c r="BA130" s="39" t="str">
        <f t="shared" ref="BA130:BA193" si="23">IF(D130&lt;&gt;"",(AW130-AV130)+(AZ130-AY130),"")</f>
        <v/>
      </c>
      <c r="BB130" s="46" t="s">
        <v>1079</v>
      </c>
      <c r="BC130" s="31" t="s">
        <v>1080</v>
      </c>
      <c r="BD130" s="16" t="s">
        <v>311</v>
      </c>
      <c r="BE130" s="16" t="s">
        <v>311</v>
      </c>
      <c r="BF130" s="244" t="str">
        <f>T_BilanSocial2[[#This Row],[Nom]]&amp;T_BilanSocial2[[#This Row],[Prénom]]</f>
        <v/>
      </c>
    </row>
    <row r="131" spans="1:58" ht="21.75" hidden="1" customHeight="1" x14ac:dyDescent="0.25">
      <c r="A131" s="90">
        <v>29</v>
      </c>
      <c r="B131" s="126" t="s">
        <v>311</v>
      </c>
      <c r="C131" s="126" t="str">
        <f>VLOOKUP(T_BilanSocial2[[#This Row],[NumL]],T_Commission[#Data],COLUMN(T_Commission[FINAL]),FALSE)</f>
        <v/>
      </c>
      <c r="D131" s="19" t="str">
        <f t="shared" si="16"/>
        <v/>
      </c>
      <c r="E131" s="19" t="str">
        <f t="shared" si="17"/>
        <v/>
      </c>
      <c r="F131" s="242" t="str">
        <f>IFERROR(VLOOKUP(T_BilanSocial2[[#This Row],[Zone_Bilan]],T_P_BilanSocial[#Data],COLUMN(T_P_BilanSocial[[#This Row],[Numero_SIHAM]]),FALSE),"")</f>
        <v/>
      </c>
      <c r="G131" s="242" t="str">
        <f>IFERROR(VLOOKUP(T_BilanSocial2[[#This Row],[Zone_Bilan]],T_P_BilanSocial[#Data],COLUMN(T_P_BilanSocial[[#This Row],[Sexe]]),FALSE),"")</f>
        <v/>
      </c>
      <c r="H131" s="243" t="str">
        <f>IFERROR(VLOOKUP(T_BilanSocial2[[#This Row],[Zone_Bilan]],T_P_BilanSocial[#Data],COLUMN(T_P_BilanSocial[[#This Row],[Categorie]]),FALSE),"")</f>
        <v/>
      </c>
      <c r="I131" s="242" t="str">
        <f>IFERROR(VLOOKUP(T_BilanSocial2[[#This Row],[Zone_Bilan]],T_P_BilanSocial[#Data],COLUMN(T_P_BilanSocial[[#This Row],[Statut]]),FALSE),"")</f>
        <v/>
      </c>
      <c r="J131" s="242" t="str">
        <f>IFERROR(VLOOKUP(T_BilanSocial2[[#This Row],[Zone_Bilan]],T_P_BilanSocial[#Data],COLUMN(T_P_BilanSocial[[#This Row],[Filiere]]),FALSE),"")</f>
        <v/>
      </c>
      <c r="K131" s="78">
        <v>0.8</v>
      </c>
      <c r="L131" s="213">
        <v>1.2361111111111112</v>
      </c>
      <c r="M131" s="78" t="s">
        <v>210</v>
      </c>
      <c r="N131" s="79" t="str">
        <f>IF((AND(T_BilanSocial2[[#This Row],[Nom]]&lt;&gt;"",T_BilanSocial2[[#This Row],[Reg Ponct]]="R")),(COUNTIF(S131:AX131,"S")+COUNTIF(S131:AX131,"T"))/2,"")</f>
        <v/>
      </c>
      <c r="O131" s="79" t="str">
        <f>IF((AND(T_BilanSocial2[[#This Row],[Nom]]&lt;&gt;"",T_BilanSocial2[[#This Row],[Reg Ponct]]="R")),COUNTIF(S131:AX131,"S")/2,"")</f>
        <v/>
      </c>
      <c r="P131" s="80" t="str">
        <f>IF((AND(T_BilanSocial2[[#This Row],[Nom]]&lt;&gt;"",T_BilanSocial2[[#This Row],[Reg Ponct]]="R")),COUNTIF(S131:AX131,"t")/2,"")</f>
        <v/>
      </c>
      <c r="Q131" s="81" t="str">
        <f t="shared" si="18"/>
        <v/>
      </c>
      <c r="R131" s="82" t="str">
        <f>IF((AND(T_BilanSocial2[[#This Row],[Nom]]&lt;&gt;"",T_BilanSocial2[[#This Row],[Reg Ponct]]="R")),IF(S131="T",U131-T131,0)+IF(V131="T",X131-W131,0)+IF(Z131="T",AB131-AA131,0)+IF(AC131="T",AE131-AD131,0)+IF(AG131="T",AI131-AH131,0)+IF(AJ131="T",AL131-AK131,0)+IF(AN131="T",AP131-AO131,0)+IF(AQ131="T",AS131-AR131,0)+IF(AU131="T",AW131-AV131,0)+IF(AX131="T",AZ131-AY131,0),"")</f>
        <v/>
      </c>
      <c r="S131" s="36" t="s">
        <v>306</v>
      </c>
      <c r="T131" s="37">
        <v>0.35416666666666669</v>
      </c>
      <c r="U131" s="37">
        <v>0.5</v>
      </c>
      <c r="V131" s="21" t="s">
        <v>306</v>
      </c>
      <c r="W131" s="37">
        <v>0.54166666666666663</v>
      </c>
      <c r="X131" s="37">
        <v>0.70833333333333337</v>
      </c>
      <c r="Y131" s="38" t="str">
        <f t="shared" si="19"/>
        <v/>
      </c>
      <c r="Z131" s="36" t="s">
        <v>307</v>
      </c>
      <c r="AA131" s="37">
        <v>0.35416666666666669</v>
      </c>
      <c r="AB131" s="37">
        <v>0.52083333333333337</v>
      </c>
      <c r="AC131" s="21" t="s">
        <v>307</v>
      </c>
      <c r="AD131" s="37">
        <v>0.5625</v>
      </c>
      <c r="AE131" s="37">
        <v>0.70833333333333337</v>
      </c>
      <c r="AF131" s="38" t="str">
        <f t="shared" si="20"/>
        <v/>
      </c>
      <c r="AG131" s="36" t="s">
        <v>308</v>
      </c>
      <c r="AH131" s="37"/>
      <c r="AI131" s="37"/>
      <c r="AJ131" s="21" t="s">
        <v>308</v>
      </c>
      <c r="AK131" s="37"/>
      <c r="AL131" s="37"/>
      <c r="AM131" s="38" t="str">
        <f t="shared" si="21"/>
        <v/>
      </c>
      <c r="AN131" s="36" t="s">
        <v>306</v>
      </c>
      <c r="AO131" s="37">
        <v>0.35416666666666669</v>
      </c>
      <c r="AP131" s="37">
        <v>0.52083333333333337</v>
      </c>
      <c r="AQ131" s="21" t="s">
        <v>306</v>
      </c>
      <c r="AR131" s="37">
        <v>0.5625</v>
      </c>
      <c r="AS131" s="37">
        <v>0.70833333333333337</v>
      </c>
      <c r="AT131" s="38" t="str">
        <f t="shared" si="22"/>
        <v/>
      </c>
      <c r="AU131" s="36" t="s">
        <v>306</v>
      </c>
      <c r="AV131" s="37">
        <v>0.35416666666666669</v>
      </c>
      <c r="AW131" s="37">
        <v>0.52083333333333337</v>
      </c>
      <c r="AX131" s="21" t="s">
        <v>306</v>
      </c>
      <c r="AY131" s="37">
        <v>0.5625</v>
      </c>
      <c r="AZ131" s="37">
        <v>0.69444444444444453</v>
      </c>
      <c r="BA131" s="39" t="str">
        <f t="shared" si="23"/>
        <v/>
      </c>
      <c r="BB131" s="46" t="s">
        <v>376</v>
      </c>
      <c r="BC131" s="31" t="s">
        <v>341</v>
      </c>
      <c r="BD131" s="16" t="s">
        <v>311</v>
      </c>
      <c r="BE131" s="16" t="s">
        <v>311</v>
      </c>
      <c r="BF131" s="244" t="str">
        <f>T_BilanSocial2[[#This Row],[Nom]]&amp;T_BilanSocial2[[#This Row],[Prénom]]</f>
        <v/>
      </c>
    </row>
    <row r="132" spans="1:58" ht="21.75" hidden="1" customHeight="1" x14ac:dyDescent="0.25">
      <c r="A132" s="90">
        <v>265</v>
      </c>
      <c r="B132" s="126" t="s">
        <v>311</v>
      </c>
      <c r="C132" s="126" t="str">
        <f>VLOOKUP(T_BilanSocial2[[#This Row],[NumL]],T_Commission[#Data],COLUMN(T_Commission[FINAL]),FALSE)</f>
        <v/>
      </c>
      <c r="D132" s="19" t="str">
        <f t="shared" si="16"/>
        <v/>
      </c>
      <c r="E132" s="19" t="str">
        <f t="shared" si="17"/>
        <v/>
      </c>
      <c r="F132" s="242" t="str">
        <f>IFERROR(VLOOKUP(T_BilanSocial2[[#This Row],[Zone_Bilan]],T_P_BilanSocial[#Data],COLUMN(T_P_BilanSocial[[#This Row],[Numero_SIHAM]]),FALSE),"")</f>
        <v/>
      </c>
      <c r="G132" s="242" t="str">
        <f>IFERROR(VLOOKUP(T_BilanSocial2[[#This Row],[Zone_Bilan]],T_P_BilanSocial[#Data],COLUMN(T_P_BilanSocial[[#This Row],[Sexe]]),FALSE),"")</f>
        <v/>
      </c>
      <c r="H132" s="243" t="str">
        <f>IFERROR(VLOOKUP(T_BilanSocial2[[#This Row],[Zone_Bilan]],T_P_BilanSocial[#Data],COLUMN(T_P_BilanSocial[[#This Row],[Categorie]]),FALSE),"")</f>
        <v/>
      </c>
      <c r="I132" s="242" t="str">
        <f>IFERROR(VLOOKUP(T_BilanSocial2[[#This Row],[Zone_Bilan]],T_P_BilanSocial[#Data],COLUMN(T_P_BilanSocial[[#This Row],[Statut]]),FALSE),"")</f>
        <v/>
      </c>
      <c r="J132" s="242" t="str">
        <f>IFERROR(VLOOKUP(T_BilanSocial2[[#This Row],[Zone_Bilan]],T_P_BilanSocial[#Data],COLUMN(T_P_BilanSocial[[#This Row],[Filiere]]),FALSE),"")</f>
        <v/>
      </c>
      <c r="K132" s="78">
        <v>1</v>
      </c>
      <c r="L132" s="213">
        <v>1.5451388888888891</v>
      </c>
      <c r="M132" s="78" t="s">
        <v>210</v>
      </c>
      <c r="N132" s="79" t="str">
        <f>IF((AND(T_BilanSocial2[[#This Row],[Nom]]&lt;&gt;"",T_BilanSocial2[[#This Row],[Reg Ponct]]="R")),(COUNTIF(S132:AX132,"S")+COUNTIF(S132:AX132,"T"))/2,"")</f>
        <v/>
      </c>
      <c r="O132" s="79" t="str">
        <f>IF((AND(T_BilanSocial2[[#This Row],[Nom]]&lt;&gt;"",T_BilanSocial2[[#This Row],[Reg Ponct]]="R")),COUNTIF(S132:AX132,"S")/2,"")</f>
        <v/>
      </c>
      <c r="P132" s="80" t="str">
        <f>IF((AND(T_BilanSocial2[[#This Row],[Nom]]&lt;&gt;"",T_BilanSocial2[[#This Row],[Reg Ponct]]="R")),COUNTIF(S132:AX132,"t")/2,"")</f>
        <v/>
      </c>
      <c r="Q132" s="81" t="str">
        <f t="shared" si="18"/>
        <v/>
      </c>
      <c r="R132" s="82" t="str">
        <f>IF((AND(T_BilanSocial2[[#This Row],[Nom]]&lt;&gt;"",T_BilanSocial2[[#This Row],[Reg Ponct]]="R")),IF(S132="T",U132-T132,0)+IF(V132="T",X132-W132,0)+IF(Z132="T",AB132-AA132,0)+IF(AC132="T",AE132-AD132,0)+IF(AG132="T",AI132-AH132,0)+IF(AJ132="T",AL132-AK132,0)+IF(AN132="T",AP132-AO132,0)+IF(AQ132="T",AS132-AR132,0)+IF(AU132="T",AW132-AV132,0)+IF(AX132="T",AZ132-AY132,0),"")</f>
        <v/>
      </c>
      <c r="S132" s="36" t="s">
        <v>306</v>
      </c>
      <c r="T132" s="37">
        <v>0.36458333333333331</v>
      </c>
      <c r="U132" s="37">
        <v>0.52083333333333337</v>
      </c>
      <c r="V132" s="21" t="s">
        <v>306</v>
      </c>
      <c r="W132" s="37">
        <v>0.5625</v>
      </c>
      <c r="X132" s="37">
        <v>0.71875</v>
      </c>
      <c r="Y132" s="38" t="str">
        <f t="shared" si="19"/>
        <v/>
      </c>
      <c r="Z132" s="36" t="s">
        <v>307</v>
      </c>
      <c r="AA132" s="37">
        <v>0.36458333333333331</v>
      </c>
      <c r="AB132" s="37">
        <v>0.52083333333333337</v>
      </c>
      <c r="AC132" s="21" t="s">
        <v>307</v>
      </c>
      <c r="AD132" s="37">
        <v>0.5625</v>
      </c>
      <c r="AE132" s="37">
        <v>0.71875</v>
      </c>
      <c r="AF132" s="38" t="str">
        <f t="shared" si="20"/>
        <v/>
      </c>
      <c r="AG132" s="36" t="s">
        <v>306</v>
      </c>
      <c r="AH132" s="37">
        <v>0.36458333333333331</v>
      </c>
      <c r="AI132" s="37">
        <v>0.52083333333333337</v>
      </c>
      <c r="AJ132" s="21" t="s">
        <v>306</v>
      </c>
      <c r="AK132" s="37">
        <v>0.5625</v>
      </c>
      <c r="AL132" s="37">
        <v>0.71875</v>
      </c>
      <c r="AM132" s="38" t="str">
        <f t="shared" si="21"/>
        <v/>
      </c>
      <c r="AN132" s="36" t="s">
        <v>306</v>
      </c>
      <c r="AO132" s="37">
        <v>0.36458333333333331</v>
      </c>
      <c r="AP132" s="37">
        <v>0.52083333333333337</v>
      </c>
      <c r="AQ132" s="21" t="s">
        <v>306</v>
      </c>
      <c r="AR132" s="37">
        <v>0.5625</v>
      </c>
      <c r="AS132" s="37">
        <v>0.71875</v>
      </c>
      <c r="AT132" s="38" t="str">
        <f t="shared" si="22"/>
        <v/>
      </c>
      <c r="AU132" s="36" t="s">
        <v>306</v>
      </c>
      <c r="AV132" s="37">
        <v>0.36458333333333331</v>
      </c>
      <c r="AW132" s="37">
        <v>0.52083333333333337</v>
      </c>
      <c r="AX132" s="21" t="s">
        <v>306</v>
      </c>
      <c r="AY132" s="37">
        <v>0.5625</v>
      </c>
      <c r="AZ132" s="37">
        <v>0.70138888888888884</v>
      </c>
      <c r="BA132" s="39" t="str">
        <f t="shared" si="23"/>
        <v/>
      </c>
      <c r="BB132" s="46" t="s">
        <v>398</v>
      </c>
      <c r="BC132" s="31" t="s">
        <v>895</v>
      </c>
      <c r="BD132" s="16" t="s">
        <v>311</v>
      </c>
      <c r="BE132" s="16" t="s">
        <v>311</v>
      </c>
      <c r="BF132" s="244" t="str">
        <f>T_BilanSocial2[[#This Row],[Nom]]&amp;T_BilanSocial2[[#This Row],[Prénom]]</f>
        <v/>
      </c>
    </row>
    <row r="133" spans="1:58" ht="21.75" hidden="1" customHeight="1" x14ac:dyDescent="0.25">
      <c r="A133" s="90">
        <v>263</v>
      </c>
      <c r="B133" s="126" t="s">
        <v>311</v>
      </c>
      <c r="C133" s="126" t="str">
        <f>VLOOKUP(T_BilanSocial2[[#This Row],[NumL]],T_Commission[#Data],COLUMN(T_Commission[FINAL]),FALSE)</f>
        <v/>
      </c>
      <c r="D133" s="19" t="str">
        <f t="shared" si="16"/>
        <v/>
      </c>
      <c r="E133" s="19" t="str">
        <f t="shared" si="17"/>
        <v/>
      </c>
      <c r="F133" s="242" t="str">
        <f>IFERROR(VLOOKUP(T_BilanSocial2[[#This Row],[Zone_Bilan]],T_P_BilanSocial[#Data],COLUMN(T_P_BilanSocial[[#This Row],[Numero_SIHAM]]),FALSE),"")</f>
        <v/>
      </c>
      <c r="G133" s="242" t="str">
        <f>IFERROR(VLOOKUP(T_BilanSocial2[[#This Row],[Zone_Bilan]],T_P_BilanSocial[#Data],COLUMN(T_P_BilanSocial[[#This Row],[Sexe]]),FALSE),"")</f>
        <v/>
      </c>
      <c r="H133" s="243" t="str">
        <f>IFERROR(VLOOKUP(T_BilanSocial2[[#This Row],[Zone_Bilan]],T_P_BilanSocial[#Data],COLUMN(T_P_BilanSocial[[#This Row],[Categorie]]),FALSE),"")</f>
        <v/>
      </c>
      <c r="I133" s="242" t="str">
        <f>IFERROR(VLOOKUP(T_BilanSocial2[[#This Row],[Zone_Bilan]],T_P_BilanSocial[#Data],COLUMN(T_P_BilanSocial[[#This Row],[Statut]]),FALSE),"")</f>
        <v/>
      </c>
      <c r="J133" s="242" t="str">
        <f>IFERROR(VLOOKUP(T_BilanSocial2[[#This Row],[Zone_Bilan]],T_P_BilanSocial[#Data],COLUMN(T_P_BilanSocial[[#This Row],[Filiere]]),FALSE),"")</f>
        <v/>
      </c>
      <c r="K133" s="78">
        <v>1</v>
      </c>
      <c r="L133" s="213">
        <v>1.5451388888888891</v>
      </c>
      <c r="M133" s="78" t="s">
        <v>210</v>
      </c>
      <c r="N133" s="79" t="str">
        <f>IF((AND(T_BilanSocial2[[#This Row],[Nom]]&lt;&gt;"",T_BilanSocial2[[#This Row],[Reg Ponct]]="R")),(COUNTIF(S133:AX133,"S")+COUNTIF(S133:AX133,"T"))/2,"")</f>
        <v/>
      </c>
      <c r="O133" s="79" t="str">
        <f>IF((AND(T_BilanSocial2[[#This Row],[Nom]]&lt;&gt;"",T_BilanSocial2[[#This Row],[Reg Ponct]]="R")),COUNTIF(S133:AX133,"S")/2,"")</f>
        <v/>
      </c>
      <c r="P133" s="80" t="str">
        <f>IF((AND(T_BilanSocial2[[#This Row],[Nom]]&lt;&gt;"",T_BilanSocial2[[#This Row],[Reg Ponct]]="R")),COUNTIF(S133:AX133,"t")/2,"")</f>
        <v/>
      </c>
      <c r="Q133" s="81" t="str">
        <f t="shared" si="18"/>
        <v/>
      </c>
      <c r="R133" s="82" t="str">
        <f>IF((AND(T_BilanSocial2[[#This Row],[Nom]]&lt;&gt;"",T_BilanSocial2[[#This Row],[Reg Ponct]]="R")),IF(S133="T",U133-T133,0)+IF(V133="T",X133-W133,0)+IF(Z133="T",AB133-AA133,0)+IF(AC133="T",AE133-AD133,0)+IF(AG133="T",AI133-AH133,0)+IF(AJ133="T",AL133-AK133,0)+IF(AN133="T",AP133-AO133,0)+IF(AQ133="T",AS133-AR133,0)+IF(AU133="T",AW133-AV133,0)+IF(AX133="T",AZ133-AY133,0),"")</f>
        <v/>
      </c>
      <c r="S133" s="36" t="s">
        <v>306</v>
      </c>
      <c r="T133" s="37">
        <v>0.375</v>
      </c>
      <c r="U133" s="37">
        <v>0.5</v>
      </c>
      <c r="V133" s="21" t="s">
        <v>306</v>
      </c>
      <c r="W133" s="37">
        <v>0.54166666666666663</v>
      </c>
      <c r="X133" s="37">
        <v>0.74305555555555547</v>
      </c>
      <c r="Y133" s="38" t="str">
        <f t="shared" si="19"/>
        <v/>
      </c>
      <c r="Z133" s="36" t="s">
        <v>306</v>
      </c>
      <c r="AA133" s="37">
        <v>0.3125</v>
      </c>
      <c r="AB133" s="37">
        <v>0.52083333333333337</v>
      </c>
      <c r="AC133" s="21" t="s">
        <v>306</v>
      </c>
      <c r="AD133" s="37">
        <v>0.5625</v>
      </c>
      <c r="AE133" s="37">
        <v>0.74305555555555547</v>
      </c>
      <c r="AF133" s="38" t="str">
        <f t="shared" si="20"/>
        <v/>
      </c>
      <c r="AG133" s="36" t="s">
        <v>306</v>
      </c>
      <c r="AH133" s="37">
        <v>0.39583333333333331</v>
      </c>
      <c r="AI133" s="37">
        <v>0.52083333333333337</v>
      </c>
      <c r="AJ133" s="21" t="s">
        <v>306</v>
      </c>
      <c r="AK133" s="37">
        <v>0.5625</v>
      </c>
      <c r="AL133" s="37">
        <v>0.70833333333333337</v>
      </c>
      <c r="AM133" s="38" t="str">
        <f t="shared" si="21"/>
        <v/>
      </c>
      <c r="AN133" s="36" t="s">
        <v>307</v>
      </c>
      <c r="AO133" s="37">
        <v>0.3125</v>
      </c>
      <c r="AP133" s="37">
        <v>0.52083333333333337</v>
      </c>
      <c r="AQ133" s="21" t="s">
        <v>307</v>
      </c>
      <c r="AR133" s="37">
        <v>0.5625</v>
      </c>
      <c r="AS133" s="37">
        <v>0.66666666666666663</v>
      </c>
      <c r="AT133" s="38" t="str">
        <f t="shared" si="22"/>
        <v/>
      </c>
      <c r="AU133" s="36" t="s">
        <v>306</v>
      </c>
      <c r="AV133" s="37">
        <v>0.36805555555555558</v>
      </c>
      <c r="AW133" s="37">
        <v>0.52083333333333337</v>
      </c>
      <c r="AX133" s="21" t="s">
        <v>306</v>
      </c>
      <c r="AY133" s="37">
        <v>0.5625</v>
      </c>
      <c r="AZ133" s="37">
        <v>0.65625</v>
      </c>
      <c r="BA133" s="39" t="str">
        <f t="shared" si="23"/>
        <v/>
      </c>
      <c r="BB133" s="46" t="s">
        <v>566</v>
      </c>
      <c r="BC133" s="31" t="s">
        <v>1154</v>
      </c>
      <c r="BD133" s="16" t="s">
        <v>311</v>
      </c>
      <c r="BE133" s="16" t="s">
        <v>311</v>
      </c>
      <c r="BF133" s="244" t="str">
        <f>T_BilanSocial2[[#This Row],[Nom]]&amp;T_BilanSocial2[[#This Row],[Prénom]]</f>
        <v/>
      </c>
    </row>
    <row r="134" spans="1:58" ht="21.75" hidden="1" customHeight="1" x14ac:dyDescent="0.25">
      <c r="A134" s="90">
        <v>215</v>
      </c>
      <c r="B134" s="126" t="s">
        <v>311</v>
      </c>
      <c r="C134" s="126" t="str">
        <f>VLOOKUP(T_BilanSocial2[[#This Row],[NumL]],T_Commission[#Data],COLUMN(T_Commission[FINAL]),FALSE)</f>
        <v/>
      </c>
      <c r="D134" s="19" t="str">
        <f t="shared" si="16"/>
        <v/>
      </c>
      <c r="E134" s="19" t="str">
        <f t="shared" si="17"/>
        <v/>
      </c>
      <c r="F134" s="242" t="str">
        <f>IFERROR(VLOOKUP(T_BilanSocial2[[#This Row],[Zone_Bilan]],T_P_BilanSocial[#Data],COLUMN(T_P_BilanSocial[[#This Row],[Numero_SIHAM]]),FALSE),"")</f>
        <v/>
      </c>
      <c r="G134" s="242" t="str">
        <f>IFERROR(VLOOKUP(T_BilanSocial2[[#This Row],[Zone_Bilan]],T_P_BilanSocial[#Data],COLUMN(T_P_BilanSocial[[#This Row],[Sexe]]),FALSE),"")</f>
        <v/>
      </c>
      <c r="H134" s="243" t="str">
        <f>IFERROR(VLOOKUP(T_BilanSocial2[[#This Row],[Zone_Bilan]],T_P_BilanSocial[#Data],COLUMN(T_P_BilanSocial[[#This Row],[Categorie]]),FALSE),"")</f>
        <v/>
      </c>
      <c r="I134" s="242" t="str">
        <f>IFERROR(VLOOKUP(T_BilanSocial2[[#This Row],[Zone_Bilan]],T_P_BilanSocial[#Data],COLUMN(T_P_BilanSocial[[#This Row],[Statut]]),FALSE),"")</f>
        <v/>
      </c>
      <c r="J134" s="242" t="str">
        <f>IFERROR(VLOOKUP(T_BilanSocial2[[#This Row],[Zone_Bilan]],T_P_BilanSocial[#Data],COLUMN(T_P_BilanSocial[[#This Row],[Filiere]]),FALSE),"")</f>
        <v/>
      </c>
      <c r="K134" s="78">
        <v>1</v>
      </c>
      <c r="L134" s="213">
        <v>1.5451388888888891</v>
      </c>
      <c r="M134" s="78" t="s">
        <v>210</v>
      </c>
      <c r="N134" s="79" t="str">
        <f>IF((AND(T_BilanSocial2[[#This Row],[Nom]]&lt;&gt;"",T_BilanSocial2[[#This Row],[Reg Ponct]]="R")),(COUNTIF(S134:AX134,"S")+COUNTIF(S134:AX134,"T"))/2,"")</f>
        <v/>
      </c>
      <c r="O134" s="79" t="str">
        <f>IF((AND(T_BilanSocial2[[#This Row],[Nom]]&lt;&gt;"",T_BilanSocial2[[#This Row],[Reg Ponct]]="R")),COUNTIF(S134:AX134,"S")/2,"")</f>
        <v/>
      </c>
      <c r="P134" s="80" t="str">
        <f>IF((AND(T_BilanSocial2[[#This Row],[Nom]]&lt;&gt;"",T_BilanSocial2[[#This Row],[Reg Ponct]]="R")),COUNTIF(S134:AX134,"t")/2,"")</f>
        <v/>
      </c>
      <c r="Q134" s="81" t="str">
        <f t="shared" si="18"/>
        <v/>
      </c>
      <c r="R134" s="82" t="str">
        <f>IF((AND(T_BilanSocial2[[#This Row],[Nom]]&lt;&gt;"",T_BilanSocial2[[#This Row],[Reg Ponct]]="R")),IF(S134="T",U134-T134,0)+IF(V134="T",X134-W134,0)+IF(Z134="T",AB134-AA134,0)+IF(AC134="T",AE134-AD134,0)+IF(AG134="T",AI134-AH134,0)+IF(AJ134="T",AL134-AK134,0)+IF(AN134="T",AP134-AO134,0)+IF(AQ134="T",AS134-AR134,0)+IF(AU134="T",AW134-AV134,0)+IF(AX134="T",AZ134-AY134,0),"")</f>
        <v/>
      </c>
      <c r="S134" s="36" t="s">
        <v>306</v>
      </c>
      <c r="T134" s="37">
        <v>0.375</v>
      </c>
      <c r="U134" s="37">
        <v>0.52083333333333337</v>
      </c>
      <c r="V134" s="21" t="s">
        <v>306</v>
      </c>
      <c r="W134" s="37">
        <v>0.5625</v>
      </c>
      <c r="X134" s="37">
        <v>0.72569444444444453</v>
      </c>
      <c r="Y134" s="38" t="str">
        <f t="shared" si="19"/>
        <v/>
      </c>
      <c r="Z134" s="36" t="s">
        <v>306</v>
      </c>
      <c r="AA134" s="37">
        <v>0.375</v>
      </c>
      <c r="AB134" s="37">
        <v>0.52083333333333337</v>
      </c>
      <c r="AC134" s="21" t="s">
        <v>306</v>
      </c>
      <c r="AD134" s="37">
        <v>0.5625</v>
      </c>
      <c r="AE134" s="37">
        <v>0.72569444444444453</v>
      </c>
      <c r="AF134" s="38" t="str">
        <f t="shared" si="20"/>
        <v/>
      </c>
      <c r="AG134" s="36" t="s">
        <v>306</v>
      </c>
      <c r="AH134" s="37">
        <v>0.375</v>
      </c>
      <c r="AI134" s="37">
        <v>0.52083333333333337</v>
      </c>
      <c r="AJ134" s="21" t="s">
        <v>306</v>
      </c>
      <c r="AK134" s="37">
        <v>0.5625</v>
      </c>
      <c r="AL134" s="37">
        <v>0.72569444444444453</v>
      </c>
      <c r="AM134" s="38" t="str">
        <f t="shared" si="21"/>
        <v/>
      </c>
      <c r="AN134" s="36" t="s">
        <v>306</v>
      </c>
      <c r="AO134" s="37">
        <v>0.375</v>
      </c>
      <c r="AP134" s="37">
        <v>0.52083333333333337</v>
      </c>
      <c r="AQ134" s="21" t="s">
        <v>306</v>
      </c>
      <c r="AR134" s="37">
        <v>0.5625</v>
      </c>
      <c r="AS134" s="37">
        <v>0.72569444444444453</v>
      </c>
      <c r="AT134" s="38" t="str">
        <f t="shared" si="22"/>
        <v/>
      </c>
      <c r="AU134" s="36" t="s">
        <v>307</v>
      </c>
      <c r="AV134" s="37">
        <v>0.35416666666666669</v>
      </c>
      <c r="AW134" s="37">
        <v>0.52083333333333337</v>
      </c>
      <c r="AX134" s="21" t="s">
        <v>307</v>
      </c>
      <c r="AY134" s="37">
        <v>0.5625</v>
      </c>
      <c r="AZ134" s="37">
        <v>0.70486111111111116</v>
      </c>
      <c r="BA134" s="39" t="str">
        <f t="shared" si="23"/>
        <v/>
      </c>
      <c r="BB134" s="46" t="s">
        <v>416</v>
      </c>
      <c r="BC134" s="31" t="s">
        <v>1103</v>
      </c>
      <c r="BD134" s="16" t="s">
        <v>311</v>
      </c>
      <c r="BE134" s="16" t="s">
        <v>311</v>
      </c>
      <c r="BF134" s="244" t="str">
        <f>T_BilanSocial2[[#This Row],[Nom]]&amp;T_BilanSocial2[[#This Row],[Prénom]]</f>
        <v/>
      </c>
    </row>
    <row r="135" spans="1:58" ht="21.75" hidden="1" customHeight="1" x14ac:dyDescent="0.25">
      <c r="A135" s="90">
        <v>226</v>
      </c>
      <c r="B135" s="126" t="s">
        <v>311</v>
      </c>
      <c r="C135" s="126" t="e">
        <f>VLOOKUP(T_BilanSocial2[[#This Row],[NumL]],T_Commission[#Data],COLUMN(T_Commission[FINAL]),FALSE)</f>
        <v>#N/A</v>
      </c>
      <c r="D135" s="19" t="str">
        <f t="shared" si="16"/>
        <v/>
      </c>
      <c r="E135" s="19" t="str">
        <f t="shared" si="17"/>
        <v/>
      </c>
      <c r="F135" s="242" t="str">
        <f>IFERROR(VLOOKUP(T_BilanSocial2[[#This Row],[Zone_Bilan]],T_P_BilanSocial[#Data],COLUMN(T_P_BilanSocial[[#This Row],[Numero_SIHAM]]),FALSE),"")</f>
        <v/>
      </c>
      <c r="G135" s="242" t="str">
        <f>IFERROR(VLOOKUP(T_BilanSocial2[[#This Row],[Zone_Bilan]],T_P_BilanSocial[#Data],COLUMN(T_P_BilanSocial[[#This Row],[Sexe]]),FALSE),"")</f>
        <v/>
      </c>
      <c r="H135" s="243" t="str">
        <f>IFERROR(VLOOKUP(T_BilanSocial2[[#This Row],[Zone_Bilan]],T_P_BilanSocial[#Data],COLUMN(T_P_BilanSocial[[#This Row],[Categorie]]),FALSE),"")</f>
        <v/>
      </c>
      <c r="I135" s="242" t="str">
        <f>IFERROR(VLOOKUP(T_BilanSocial2[[#This Row],[Zone_Bilan]],T_P_BilanSocial[#Data],COLUMN(T_P_BilanSocial[[#This Row],[Statut]]),FALSE),"")</f>
        <v/>
      </c>
      <c r="J135" s="242" t="str">
        <f>IFERROR(VLOOKUP(T_BilanSocial2[[#This Row],[Zone_Bilan]],T_P_BilanSocial[#Data],COLUMN(T_P_BilanSocial[[#This Row],[Filiere]]),FALSE),"")</f>
        <v/>
      </c>
      <c r="K135" s="78">
        <v>1</v>
      </c>
      <c r="L135" s="213">
        <v>1.5451388888888891</v>
      </c>
      <c r="M135" s="78" t="s">
        <v>211</v>
      </c>
      <c r="N135" s="79" t="str">
        <f>IF((AND(T_BilanSocial2[[#This Row],[Nom]]&lt;&gt;"",T_BilanSocial2[[#This Row],[Reg Ponct]]="R")),(COUNTIF(S135:AX135,"S")+COUNTIF(S135:AX135,"T"))/2,"")</f>
        <v/>
      </c>
      <c r="O135" s="79" t="str">
        <f>IF((AND(T_BilanSocial2[[#This Row],[Nom]]&lt;&gt;"",T_BilanSocial2[[#This Row],[Reg Ponct]]="R")),COUNTIF(S135:AX135,"S")/2,"")</f>
        <v/>
      </c>
      <c r="P135" s="80" t="str">
        <f>IF((AND(T_BilanSocial2[[#This Row],[Nom]]&lt;&gt;"",T_BilanSocial2[[#This Row],[Reg Ponct]]="R")),COUNTIF(S135:AX135,"t")/2,"")</f>
        <v/>
      </c>
      <c r="Q135" s="81" t="str">
        <f t="shared" si="18"/>
        <v/>
      </c>
      <c r="R135" s="82" t="str">
        <f>IF((AND(T_BilanSocial2[[#This Row],[Nom]]&lt;&gt;"",T_BilanSocial2[[#This Row],[Reg Ponct]]="R")),IF(S135="T",U135-T135,0)+IF(V135="T",X135-W135,0)+IF(Z135="T",AB135-AA135,0)+IF(AC135="T",AE135-AD135,0)+IF(AG135="T",AI135-AH135,0)+IF(AJ135="T",AL135-AK135,0)+IF(AN135="T",AP135-AO135,0)+IF(AQ135="T",AS135-AR135,0)+IF(AU135="T",AW135-AV135,0)+IF(AX135="T",AZ135-AY135,0),"")</f>
        <v/>
      </c>
      <c r="S135" s="36"/>
      <c r="T135" s="37"/>
      <c r="U135" s="37"/>
      <c r="V135" s="21"/>
      <c r="W135" s="37"/>
      <c r="X135" s="37"/>
      <c r="Y135" s="38" t="str">
        <f t="shared" si="19"/>
        <v/>
      </c>
      <c r="Z135" s="36"/>
      <c r="AA135" s="37"/>
      <c r="AB135" s="37"/>
      <c r="AC135" s="21"/>
      <c r="AD135" s="37"/>
      <c r="AE135" s="37"/>
      <c r="AF135" s="38" t="str">
        <f t="shared" si="20"/>
        <v/>
      </c>
      <c r="AG135" s="36"/>
      <c r="AH135" s="37"/>
      <c r="AI135" s="37"/>
      <c r="AJ135" s="21"/>
      <c r="AK135" s="37"/>
      <c r="AL135" s="37"/>
      <c r="AM135" s="38" t="str">
        <f t="shared" si="21"/>
        <v/>
      </c>
      <c r="AN135" s="36"/>
      <c r="AO135" s="37"/>
      <c r="AP135" s="37"/>
      <c r="AQ135" s="21"/>
      <c r="AR135" s="37"/>
      <c r="AS135" s="37"/>
      <c r="AT135" s="38" t="str">
        <f t="shared" si="22"/>
        <v/>
      </c>
      <c r="AU135" s="36"/>
      <c r="AV135" s="37"/>
      <c r="AW135" s="37"/>
      <c r="AX135" s="21"/>
      <c r="AY135" s="37"/>
      <c r="AZ135" s="37"/>
      <c r="BA135" s="39" t="str">
        <f t="shared" si="23"/>
        <v/>
      </c>
      <c r="BB135" s="46" t="s">
        <v>520</v>
      </c>
      <c r="BC135" s="31" t="s">
        <v>341</v>
      </c>
      <c r="BD135" s="16" t="s">
        <v>311</v>
      </c>
      <c r="BE135" s="16" t="s">
        <v>311</v>
      </c>
      <c r="BF135" s="244" t="str">
        <f>T_BilanSocial2[[#This Row],[Nom]]&amp;T_BilanSocial2[[#This Row],[Prénom]]</f>
        <v/>
      </c>
    </row>
    <row r="136" spans="1:58" ht="21.75" customHeight="1" x14ac:dyDescent="0.25">
      <c r="A136" s="90">
        <v>55</v>
      </c>
      <c r="B136" s="126" t="s">
        <v>210</v>
      </c>
      <c r="C136" s="126" t="str">
        <f>VLOOKUP(T_BilanSocial2[[#This Row],[NumL]],T_Commission[#Data],COLUMN(T_Commission[FINAL]),FALSE)</f>
        <v/>
      </c>
      <c r="D136" s="19" t="str">
        <f t="shared" si="16"/>
        <v/>
      </c>
      <c r="E136" s="19" t="str">
        <f t="shared" si="17"/>
        <v/>
      </c>
      <c r="F136" s="242" t="str">
        <f>IFERROR(VLOOKUP(T_BilanSocial2[[#This Row],[Zone_Bilan]],T_P_BilanSocial[#Data],COLUMN(T_P_BilanSocial[[#This Row],[Numero_SIHAM]]),FALSE),"")</f>
        <v/>
      </c>
      <c r="G136" s="242" t="str">
        <f>IFERROR(VLOOKUP(T_BilanSocial2[[#This Row],[Zone_Bilan]],T_P_BilanSocial[#Data],COLUMN(T_P_BilanSocial[[#This Row],[Sexe]]),FALSE),"")</f>
        <v/>
      </c>
      <c r="H136" s="243" t="str">
        <f>IFERROR(VLOOKUP(T_BilanSocial2[[#This Row],[Zone_Bilan]],T_P_BilanSocial[#Data],COLUMN(T_P_BilanSocial[[#This Row],[Categorie]]),FALSE),"")</f>
        <v/>
      </c>
      <c r="I136" s="242" t="str">
        <f>IFERROR(VLOOKUP(T_BilanSocial2[[#This Row],[Zone_Bilan]],T_P_BilanSocial[#Data],COLUMN(T_P_BilanSocial[[#This Row],[Statut]]),FALSE),"")</f>
        <v/>
      </c>
      <c r="J136" s="242" t="str">
        <f>IFERROR(VLOOKUP(T_BilanSocial2[[#This Row],[Zone_Bilan]],T_P_BilanSocial[#Data],COLUMN(T_P_BilanSocial[[#This Row],[Filiere]]),FALSE),"")</f>
        <v/>
      </c>
      <c r="K136" s="78">
        <v>1</v>
      </c>
      <c r="L136" s="213">
        <v>1.5451388888888891</v>
      </c>
      <c r="M136" s="78" t="s">
        <v>210</v>
      </c>
      <c r="N136" s="79" t="str">
        <f>IF((AND(T_BilanSocial2[[#This Row],[Nom]]&lt;&gt;"",T_BilanSocial2[[#This Row],[Reg Ponct]]="R")),(COUNTIF(S136:AX136,"S")+COUNTIF(S136:AX136,"T"))/2,"")</f>
        <v/>
      </c>
      <c r="O136" s="79" t="str">
        <f>IF((AND(T_BilanSocial2[[#This Row],[Nom]]&lt;&gt;"",T_BilanSocial2[[#This Row],[Reg Ponct]]="R")),COUNTIF(S136:AX136,"S")/2,"")</f>
        <v/>
      </c>
      <c r="P136" s="80" t="str">
        <f>IF((AND(T_BilanSocial2[[#This Row],[Nom]]&lt;&gt;"",T_BilanSocial2[[#This Row],[Reg Ponct]]="R")),COUNTIF(S136:AX136,"t")/2,"")</f>
        <v/>
      </c>
      <c r="Q136" s="81" t="str">
        <f t="shared" si="18"/>
        <v/>
      </c>
      <c r="R136" s="82" t="str">
        <f>IF((AND(T_BilanSocial2[[#This Row],[Nom]]&lt;&gt;"",T_BilanSocial2[[#This Row],[Reg Ponct]]="R")),IF(S136="T",U136-T136,0)+IF(V136="T",X136-W136,0)+IF(Z136="T",AB136-AA136,0)+IF(AC136="T",AE136-AD136,0)+IF(AG136="T",AI136-AH136,0)+IF(AJ136="T",AL136-AK136,0)+IF(AN136="T",AP136-AO136,0)+IF(AQ136="T",AS136-AR136,0)+IF(AU136="T",AW136-AV136,0)+IF(AX136="T",AZ136-AY136,0),"")</f>
        <v/>
      </c>
      <c r="S136" s="36" t="s">
        <v>307</v>
      </c>
      <c r="T136" s="37">
        <v>0.35069444444444442</v>
      </c>
      <c r="U136" s="37">
        <v>0.52083333333333337</v>
      </c>
      <c r="V136" s="21" t="s">
        <v>307</v>
      </c>
      <c r="W136" s="37">
        <v>0.5625</v>
      </c>
      <c r="X136" s="37">
        <v>0.72916666666666663</v>
      </c>
      <c r="Y136" s="38" t="str">
        <f t="shared" si="19"/>
        <v/>
      </c>
      <c r="Z136" s="36" t="s">
        <v>306</v>
      </c>
      <c r="AA136" s="37">
        <v>0.35069444444444442</v>
      </c>
      <c r="AB136" s="37">
        <v>0.52083333333333337</v>
      </c>
      <c r="AC136" s="21" t="s">
        <v>306</v>
      </c>
      <c r="AD136" s="37">
        <v>0.5625</v>
      </c>
      <c r="AE136" s="37">
        <v>0.72916666666666663</v>
      </c>
      <c r="AF136" s="38" t="str">
        <f t="shared" si="20"/>
        <v/>
      </c>
      <c r="AG136" s="36" t="s">
        <v>306</v>
      </c>
      <c r="AH136" s="37">
        <v>0.35069444444444442</v>
      </c>
      <c r="AI136" s="37">
        <v>0.52083333333333337</v>
      </c>
      <c r="AJ136" s="21" t="s">
        <v>306</v>
      </c>
      <c r="AK136" s="37">
        <v>0.5625</v>
      </c>
      <c r="AL136" s="37">
        <v>0.72916666666666663</v>
      </c>
      <c r="AM136" s="38" t="str">
        <f t="shared" si="21"/>
        <v/>
      </c>
      <c r="AN136" s="36" t="s">
        <v>306</v>
      </c>
      <c r="AO136" s="37">
        <v>0.35069444444444442</v>
      </c>
      <c r="AP136" s="37">
        <v>0.54861111111111105</v>
      </c>
      <c r="AQ136" s="21" t="s">
        <v>308</v>
      </c>
      <c r="AR136" s="37"/>
      <c r="AS136" s="37"/>
      <c r="AT136" s="38" t="str">
        <f t="shared" si="22"/>
        <v/>
      </c>
      <c r="AU136" s="36" t="s">
        <v>306</v>
      </c>
      <c r="AV136" s="37">
        <v>0.35069444444444442</v>
      </c>
      <c r="AW136" s="37">
        <v>0.52083333333333337</v>
      </c>
      <c r="AX136" s="21" t="s">
        <v>306</v>
      </c>
      <c r="AY136" s="37">
        <v>0.5625</v>
      </c>
      <c r="AZ136" s="37">
        <v>0.72916666666666663</v>
      </c>
      <c r="BA136" s="39" t="str">
        <f t="shared" si="23"/>
        <v/>
      </c>
      <c r="BB136" s="46" t="s">
        <v>559</v>
      </c>
      <c r="BC136" s="31" t="s">
        <v>560</v>
      </c>
      <c r="BD136" s="16" t="s">
        <v>322</v>
      </c>
      <c r="BE136" s="16" t="s">
        <v>322</v>
      </c>
      <c r="BF136" s="244" t="str">
        <f>T_BilanSocial2[[#This Row],[Nom]]&amp;T_BilanSocial2[[#This Row],[Prénom]]</f>
        <v/>
      </c>
    </row>
    <row r="137" spans="1:58" ht="21.75" hidden="1" customHeight="1" x14ac:dyDescent="0.25">
      <c r="A137" s="90">
        <v>48</v>
      </c>
      <c r="B137" s="126" t="s">
        <v>311</v>
      </c>
      <c r="C137" s="126" t="str">
        <f>VLOOKUP(T_BilanSocial2[[#This Row],[NumL]],T_Commission[#Data],COLUMN(T_Commission[FINAL]),FALSE)</f>
        <v/>
      </c>
      <c r="D137" s="19" t="str">
        <f t="shared" si="16"/>
        <v/>
      </c>
      <c r="E137" s="19" t="str">
        <f t="shared" si="17"/>
        <v/>
      </c>
      <c r="F137" s="242" t="str">
        <f>IFERROR(VLOOKUP(T_BilanSocial2[[#This Row],[Zone_Bilan]],T_P_BilanSocial[#Data],COLUMN(T_P_BilanSocial[[#This Row],[Numero_SIHAM]]),FALSE),"")</f>
        <v/>
      </c>
      <c r="G137" s="242" t="str">
        <f>IFERROR(VLOOKUP(T_BilanSocial2[[#This Row],[Zone_Bilan]],T_P_BilanSocial[#Data],COLUMN(T_P_BilanSocial[[#This Row],[Sexe]]),FALSE),"")</f>
        <v/>
      </c>
      <c r="H137" s="243" t="str">
        <f>IFERROR(VLOOKUP(T_BilanSocial2[[#This Row],[Zone_Bilan]],T_P_BilanSocial[#Data],COLUMN(T_P_BilanSocial[[#This Row],[Categorie]]),FALSE),"")</f>
        <v/>
      </c>
      <c r="I137" s="242" t="str">
        <f>IFERROR(VLOOKUP(T_BilanSocial2[[#This Row],[Zone_Bilan]],T_P_BilanSocial[#Data],COLUMN(T_P_BilanSocial[[#This Row],[Statut]]),FALSE),"")</f>
        <v/>
      </c>
      <c r="J137" s="242" t="str">
        <f>IFERROR(VLOOKUP(T_BilanSocial2[[#This Row],[Zone_Bilan]],T_P_BilanSocial[#Data],COLUMN(T_P_BilanSocial[[#This Row],[Filiere]]),FALSE),"")</f>
        <v/>
      </c>
      <c r="K137" s="78">
        <v>1</v>
      </c>
      <c r="L137" s="213">
        <v>1.5451388888888891</v>
      </c>
      <c r="M137" s="78" t="s">
        <v>210</v>
      </c>
      <c r="N137" s="79" t="str">
        <f>IF((AND(T_BilanSocial2[[#This Row],[Nom]]&lt;&gt;"",T_BilanSocial2[[#This Row],[Reg Ponct]]="R")),(COUNTIF(S137:AX137,"S")+COUNTIF(S137:AX137,"T"))/2,"")</f>
        <v/>
      </c>
      <c r="O137" s="79" t="str">
        <f>IF((AND(T_BilanSocial2[[#This Row],[Nom]]&lt;&gt;"",T_BilanSocial2[[#This Row],[Reg Ponct]]="R")),COUNTIF(S137:AX137,"S")/2,"")</f>
        <v/>
      </c>
      <c r="P137" s="80" t="str">
        <f>IF((AND(T_BilanSocial2[[#This Row],[Nom]]&lt;&gt;"",T_BilanSocial2[[#This Row],[Reg Ponct]]="R")),COUNTIF(S137:AX137,"t")/2,"")</f>
        <v/>
      </c>
      <c r="Q137" s="81" t="str">
        <f t="shared" si="18"/>
        <v/>
      </c>
      <c r="R137" s="82" t="str">
        <f>IF((AND(T_BilanSocial2[[#This Row],[Nom]]&lt;&gt;"",T_BilanSocial2[[#This Row],[Reg Ponct]]="R")),IF(S137="T",U137-T137,0)+IF(V137="T",X137-W137,0)+IF(Z137="T",AB137-AA137,0)+IF(AC137="T",AE137-AD137,0)+IF(AG137="T",AI137-AH137,0)+IF(AJ137="T",AL137-AK137,0)+IF(AN137="T",AP137-AO137,0)+IF(AQ137="T",AS137-AR137,0)+IF(AU137="T",AW137-AV137,0)+IF(AX137="T",AZ137-AY137,0),"")</f>
        <v/>
      </c>
      <c r="S137" s="36" t="s">
        <v>307</v>
      </c>
      <c r="T137" s="37">
        <v>0.33333333333333331</v>
      </c>
      <c r="U137" s="37">
        <v>0.51041666666666663</v>
      </c>
      <c r="V137" s="21" t="s">
        <v>307</v>
      </c>
      <c r="W137" s="37">
        <v>0.55208333333333337</v>
      </c>
      <c r="X137" s="37">
        <v>0.71875</v>
      </c>
      <c r="Y137" s="38" t="str">
        <f t="shared" si="19"/>
        <v/>
      </c>
      <c r="Z137" s="36" t="s">
        <v>306</v>
      </c>
      <c r="AA137" s="37">
        <v>0.33333333333333331</v>
      </c>
      <c r="AB137" s="37">
        <v>0.51041666666666663</v>
      </c>
      <c r="AC137" s="21" t="s">
        <v>306</v>
      </c>
      <c r="AD137" s="37">
        <v>0.55208333333333337</v>
      </c>
      <c r="AE137" s="37">
        <v>0.71875</v>
      </c>
      <c r="AF137" s="38" t="str">
        <f t="shared" si="20"/>
        <v/>
      </c>
      <c r="AG137" s="36" t="s">
        <v>306</v>
      </c>
      <c r="AH137" s="37">
        <v>0.33333333333333331</v>
      </c>
      <c r="AI137" s="37">
        <v>0.51041666666666663</v>
      </c>
      <c r="AJ137" s="21" t="s">
        <v>306</v>
      </c>
      <c r="AK137" s="37">
        <v>0.55208333333333337</v>
      </c>
      <c r="AL137" s="37">
        <v>0.71875</v>
      </c>
      <c r="AM137" s="38" t="str">
        <f t="shared" si="21"/>
        <v/>
      </c>
      <c r="AN137" s="36" t="s">
        <v>306</v>
      </c>
      <c r="AO137" s="37">
        <v>0.33333333333333331</v>
      </c>
      <c r="AP137" s="37">
        <v>0.51041666666666663</v>
      </c>
      <c r="AQ137" s="21" t="s">
        <v>306</v>
      </c>
      <c r="AR137" s="37">
        <v>0.55208333333333337</v>
      </c>
      <c r="AS137" s="37">
        <v>0.71875</v>
      </c>
      <c r="AT137" s="38" t="str">
        <f t="shared" si="22"/>
        <v/>
      </c>
      <c r="AU137" s="36" t="s">
        <v>306</v>
      </c>
      <c r="AV137" s="37">
        <v>0.33333333333333331</v>
      </c>
      <c r="AW137" s="37">
        <v>0.50347222222222221</v>
      </c>
      <c r="AX137" s="21" t="s">
        <v>308</v>
      </c>
      <c r="AY137" s="37"/>
      <c r="AZ137" s="37"/>
      <c r="BA137" s="39" t="str">
        <f t="shared" si="23"/>
        <v/>
      </c>
      <c r="BB137" s="46" t="s">
        <v>376</v>
      </c>
      <c r="BC137" s="31" t="s">
        <v>341</v>
      </c>
      <c r="BD137" s="16" t="s">
        <v>311</v>
      </c>
      <c r="BE137" s="16" t="s">
        <v>311</v>
      </c>
      <c r="BF137" s="244" t="str">
        <f>T_BilanSocial2[[#This Row],[Nom]]&amp;T_BilanSocial2[[#This Row],[Prénom]]</f>
        <v/>
      </c>
    </row>
    <row r="138" spans="1:58" ht="21.75" customHeight="1" x14ac:dyDescent="0.25">
      <c r="A138" s="90">
        <v>13</v>
      </c>
      <c r="B138" s="126" t="s">
        <v>210</v>
      </c>
      <c r="C138" s="126" t="str">
        <f>VLOOKUP(T_BilanSocial2[[#This Row],[NumL]],T_Commission[#Data],COLUMN(T_Commission[FINAL]),FALSE)</f>
        <v/>
      </c>
      <c r="D138" s="19" t="str">
        <f t="shared" si="16"/>
        <v/>
      </c>
      <c r="E138" s="19" t="str">
        <f t="shared" si="17"/>
        <v/>
      </c>
      <c r="F138" s="242" t="str">
        <f>IFERROR(VLOOKUP(T_BilanSocial2[[#This Row],[Zone_Bilan]],T_P_BilanSocial[#Data],COLUMN(T_P_BilanSocial[[#This Row],[Numero_SIHAM]]),FALSE),"")</f>
        <v/>
      </c>
      <c r="G138" s="242" t="str">
        <f>IFERROR(VLOOKUP(T_BilanSocial2[[#This Row],[Zone_Bilan]],T_P_BilanSocial[#Data],COLUMN(T_P_BilanSocial[[#This Row],[Sexe]]),FALSE),"")</f>
        <v/>
      </c>
      <c r="H138" s="243" t="str">
        <f>IFERROR(VLOOKUP(T_BilanSocial2[[#This Row],[Zone_Bilan]],T_P_BilanSocial[#Data],COLUMN(T_P_BilanSocial[[#This Row],[Categorie]]),FALSE),"")</f>
        <v/>
      </c>
      <c r="I138" s="242" t="str">
        <f>IFERROR(VLOOKUP(T_BilanSocial2[[#This Row],[Zone_Bilan]],T_P_BilanSocial[#Data],COLUMN(T_P_BilanSocial[[#This Row],[Statut]]),FALSE),"")</f>
        <v/>
      </c>
      <c r="J138" s="242" t="str">
        <f>IFERROR(VLOOKUP(T_BilanSocial2[[#This Row],[Zone_Bilan]],T_P_BilanSocial[#Data],COLUMN(T_P_BilanSocial[[#This Row],[Filiere]]),FALSE),"")</f>
        <v/>
      </c>
      <c r="K138" s="78">
        <v>1</v>
      </c>
      <c r="L138" s="213">
        <v>1.5451388888888891</v>
      </c>
      <c r="M138" s="78" t="s">
        <v>210</v>
      </c>
      <c r="N138" s="79" t="str">
        <f>IF((AND(T_BilanSocial2[[#This Row],[Nom]]&lt;&gt;"",T_BilanSocial2[[#This Row],[Reg Ponct]]="R")),(COUNTIF(S138:AX138,"S")+COUNTIF(S138:AX138,"T"))/2,"")</f>
        <v/>
      </c>
      <c r="O138" s="79" t="str">
        <f>IF((AND(T_BilanSocial2[[#This Row],[Nom]]&lt;&gt;"",T_BilanSocial2[[#This Row],[Reg Ponct]]="R")),COUNTIF(S138:AX138,"S")/2,"")</f>
        <v/>
      </c>
      <c r="P138" s="80" t="str">
        <f>IF((AND(T_BilanSocial2[[#This Row],[Nom]]&lt;&gt;"",T_BilanSocial2[[#This Row],[Reg Ponct]]="R")),COUNTIF(S138:AX138,"t")/2,"")</f>
        <v/>
      </c>
      <c r="Q138" s="81" t="str">
        <f t="shared" si="18"/>
        <v/>
      </c>
      <c r="R138" s="82" t="str">
        <f>IF((AND(T_BilanSocial2[[#This Row],[Nom]]&lt;&gt;"",T_BilanSocial2[[#This Row],[Reg Ponct]]="R")),IF(S138="T",U138-T138,0)+IF(V138="T",X138-W138,0)+IF(Z138="T",AB138-AA138,0)+IF(AC138="T",AE138-AD138,0)+IF(AG138="T",AI138-AH138,0)+IF(AJ138="T",AL138-AK138,0)+IF(AN138="T",AP138-AO138,0)+IF(AQ138="T",AS138-AR138,0)+IF(AU138="T",AW138-AV138,0)+IF(AX138="T",AZ138-AY138,0),"")</f>
        <v/>
      </c>
      <c r="S138" s="36" t="s">
        <v>306</v>
      </c>
      <c r="T138" s="37">
        <v>0.375</v>
      </c>
      <c r="U138" s="37">
        <v>0.5</v>
      </c>
      <c r="V138" s="21" t="s">
        <v>306</v>
      </c>
      <c r="W138" s="37">
        <v>0.54166666666666663</v>
      </c>
      <c r="X138" s="37">
        <v>0.70833333333333337</v>
      </c>
      <c r="Y138" s="38" t="str">
        <f t="shared" si="19"/>
        <v/>
      </c>
      <c r="Z138" s="36" t="s">
        <v>307</v>
      </c>
      <c r="AA138" s="37">
        <v>0.35416666666666669</v>
      </c>
      <c r="AB138" s="37">
        <v>0.5</v>
      </c>
      <c r="AC138" s="21" t="s">
        <v>307</v>
      </c>
      <c r="AD138" s="37">
        <v>0.54166666666666663</v>
      </c>
      <c r="AE138" s="37">
        <v>0.70833333333333337</v>
      </c>
      <c r="AF138" s="38" t="str">
        <f t="shared" si="20"/>
        <v/>
      </c>
      <c r="AG138" s="36" t="s">
        <v>306</v>
      </c>
      <c r="AH138" s="37">
        <v>0.33333333333333331</v>
      </c>
      <c r="AI138" s="37">
        <v>0.5</v>
      </c>
      <c r="AJ138" s="21" t="s">
        <v>306</v>
      </c>
      <c r="AK138" s="37">
        <v>0.54166666666666663</v>
      </c>
      <c r="AL138" s="37">
        <v>0.70833333333333337</v>
      </c>
      <c r="AM138" s="38" t="str">
        <f t="shared" si="21"/>
        <v/>
      </c>
      <c r="AN138" s="36" t="s">
        <v>306</v>
      </c>
      <c r="AO138" s="37">
        <v>0.375</v>
      </c>
      <c r="AP138" s="37">
        <v>0.5</v>
      </c>
      <c r="AQ138" s="21" t="s">
        <v>306</v>
      </c>
      <c r="AR138" s="37">
        <v>0.54166666666666663</v>
      </c>
      <c r="AS138" s="37">
        <v>0.70833333333333337</v>
      </c>
      <c r="AT138" s="38" t="str">
        <f t="shared" si="22"/>
        <v/>
      </c>
      <c r="AU138" s="36" t="s">
        <v>307</v>
      </c>
      <c r="AV138" s="37">
        <v>0.35416666666666669</v>
      </c>
      <c r="AW138" s="37">
        <v>0.5</v>
      </c>
      <c r="AX138" s="21" t="s">
        <v>307</v>
      </c>
      <c r="AY138" s="37">
        <v>0.54166666666666663</v>
      </c>
      <c r="AZ138" s="37">
        <v>0.71180555555555547</v>
      </c>
      <c r="BA138" s="39" t="str">
        <f t="shared" si="23"/>
        <v/>
      </c>
      <c r="BB138" s="46" t="s">
        <v>309</v>
      </c>
      <c r="BC138" s="31" t="s">
        <v>310</v>
      </c>
      <c r="BD138" s="16" t="s">
        <v>322</v>
      </c>
      <c r="BE138" s="16" t="s">
        <v>311</v>
      </c>
      <c r="BF138" s="244" t="str">
        <f>T_BilanSocial2[[#This Row],[Nom]]&amp;T_BilanSocial2[[#This Row],[Prénom]]</f>
        <v/>
      </c>
    </row>
    <row r="139" spans="1:58" ht="21.75" hidden="1" customHeight="1" x14ac:dyDescent="0.25">
      <c r="A139" s="90">
        <v>77</v>
      </c>
      <c r="B139" s="126" t="s">
        <v>311</v>
      </c>
      <c r="C139" s="126" t="str">
        <f>VLOOKUP(T_BilanSocial2[[#This Row],[NumL]],T_Commission[#Data],COLUMN(T_Commission[FINAL]),FALSE)</f>
        <v/>
      </c>
      <c r="D139" s="19" t="str">
        <f t="shared" si="16"/>
        <v/>
      </c>
      <c r="E139" s="19" t="str">
        <f t="shared" si="17"/>
        <v/>
      </c>
      <c r="F139" s="242" t="str">
        <f>IFERROR(VLOOKUP(T_BilanSocial2[[#This Row],[Zone_Bilan]],T_P_BilanSocial[#Data],COLUMN(T_P_BilanSocial[[#This Row],[Numero_SIHAM]]),FALSE),"")</f>
        <v/>
      </c>
      <c r="G139" s="242" t="str">
        <f>IFERROR(VLOOKUP(T_BilanSocial2[[#This Row],[Zone_Bilan]],T_P_BilanSocial[#Data],COLUMN(T_P_BilanSocial[[#This Row],[Sexe]]),FALSE),"")</f>
        <v/>
      </c>
      <c r="H139" s="243" t="str">
        <f>IFERROR(VLOOKUP(T_BilanSocial2[[#This Row],[Zone_Bilan]],T_P_BilanSocial[#Data],COLUMN(T_P_BilanSocial[[#This Row],[Categorie]]),FALSE),"")</f>
        <v/>
      </c>
      <c r="I139" s="242" t="str">
        <f>IFERROR(VLOOKUP(T_BilanSocial2[[#This Row],[Zone_Bilan]],T_P_BilanSocial[#Data],COLUMN(T_P_BilanSocial[[#This Row],[Statut]]),FALSE),"")</f>
        <v/>
      </c>
      <c r="J139" s="242" t="str">
        <f>IFERROR(VLOOKUP(T_BilanSocial2[[#This Row],[Zone_Bilan]],T_P_BilanSocial[#Data],COLUMN(T_P_BilanSocial[[#This Row],[Filiere]]),FALSE),"")</f>
        <v/>
      </c>
      <c r="K139" s="78">
        <v>0.8</v>
      </c>
      <c r="L139" s="213">
        <v>1.2361111111111112</v>
      </c>
      <c r="M139" s="78" t="s">
        <v>210</v>
      </c>
      <c r="N139" s="79" t="str">
        <f>IF((AND(T_BilanSocial2[[#This Row],[Nom]]&lt;&gt;"",T_BilanSocial2[[#This Row],[Reg Ponct]]="R")),(COUNTIF(S139:AX139,"S")+COUNTIF(S139:AX139,"T"))/2,"")</f>
        <v/>
      </c>
      <c r="O139" s="79" t="str">
        <f>IF((AND(T_BilanSocial2[[#This Row],[Nom]]&lt;&gt;"",T_BilanSocial2[[#This Row],[Reg Ponct]]="R")),COUNTIF(S139:AX139,"S")/2,"")</f>
        <v/>
      </c>
      <c r="P139" s="80" t="str">
        <f>IF((AND(T_BilanSocial2[[#This Row],[Nom]]&lt;&gt;"",T_BilanSocial2[[#This Row],[Reg Ponct]]="R")),COUNTIF(S139:AX139,"t")/2,"")</f>
        <v/>
      </c>
      <c r="Q139" s="81" t="str">
        <f t="shared" si="18"/>
        <v/>
      </c>
      <c r="R139" s="82" t="str">
        <f>IF((AND(T_BilanSocial2[[#This Row],[Nom]]&lt;&gt;"",T_BilanSocial2[[#This Row],[Reg Ponct]]="R")),IF(S139="T",U139-T139,0)+IF(V139="T",X139-W139,0)+IF(Z139="T",AB139-AA139,0)+IF(AC139="T",AE139-AD139,0)+IF(AG139="T",AI139-AH139,0)+IF(AJ139="T",AL139-AK139,0)+IF(AN139="T",AP139-AO139,0)+IF(AQ139="T",AS139-AR139,0)+IF(AU139="T",AW139-AV139,0)+IF(AX139="T",AZ139-AY139,0),"")</f>
        <v/>
      </c>
      <c r="S139" s="36" t="s">
        <v>306</v>
      </c>
      <c r="T139" s="37">
        <v>0.41666666666666669</v>
      </c>
      <c r="U139" s="37">
        <v>0.54166666666666663</v>
      </c>
      <c r="V139" s="21" t="s">
        <v>306</v>
      </c>
      <c r="W139" s="37">
        <v>0.58333333333333337</v>
      </c>
      <c r="X139" s="37">
        <v>0.79166666666666663</v>
      </c>
      <c r="Y139" s="38" t="str">
        <f t="shared" si="19"/>
        <v/>
      </c>
      <c r="Z139" s="36" t="s">
        <v>306</v>
      </c>
      <c r="AA139" s="37">
        <v>0.34722222222222227</v>
      </c>
      <c r="AB139" s="37">
        <v>0.5</v>
      </c>
      <c r="AC139" s="21" t="s">
        <v>306</v>
      </c>
      <c r="AD139" s="37">
        <v>0.54166666666666663</v>
      </c>
      <c r="AE139" s="37">
        <v>0.66666666666666663</v>
      </c>
      <c r="AF139" s="38" t="str">
        <f t="shared" si="20"/>
        <v/>
      </c>
      <c r="AG139" s="36" t="s">
        <v>308</v>
      </c>
      <c r="AH139" s="37"/>
      <c r="AI139" s="37"/>
      <c r="AJ139" s="21" t="s">
        <v>308</v>
      </c>
      <c r="AK139" s="37"/>
      <c r="AL139" s="37"/>
      <c r="AM139" s="38" t="str">
        <f t="shared" si="21"/>
        <v/>
      </c>
      <c r="AN139" s="36" t="s">
        <v>306</v>
      </c>
      <c r="AO139" s="37">
        <v>0.33333333333333331</v>
      </c>
      <c r="AP139" s="37">
        <v>0.5</v>
      </c>
      <c r="AQ139" s="21" t="s">
        <v>306</v>
      </c>
      <c r="AR139" s="37">
        <v>0.54166666666666663</v>
      </c>
      <c r="AS139" s="37">
        <v>0.66666666666666663</v>
      </c>
      <c r="AT139" s="38" t="str">
        <f t="shared" si="22"/>
        <v/>
      </c>
      <c r="AU139" s="36" t="s">
        <v>307</v>
      </c>
      <c r="AV139" s="37">
        <v>0.33333333333333331</v>
      </c>
      <c r="AW139" s="37">
        <v>0.5</v>
      </c>
      <c r="AX139" s="21" t="s">
        <v>307</v>
      </c>
      <c r="AY139" s="37">
        <v>0.54166666666666663</v>
      </c>
      <c r="AZ139" s="37">
        <v>0.70833333333333337</v>
      </c>
      <c r="BA139" s="39" t="str">
        <f t="shared" si="23"/>
        <v/>
      </c>
      <c r="BB139" s="46" t="s">
        <v>471</v>
      </c>
      <c r="BC139" s="31" t="s">
        <v>341</v>
      </c>
      <c r="BD139" s="16" t="s">
        <v>311</v>
      </c>
      <c r="BE139" s="16" t="s">
        <v>311</v>
      </c>
      <c r="BF139" s="244" t="str">
        <f>T_BilanSocial2[[#This Row],[Nom]]&amp;T_BilanSocial2[[#This Row],[Prénom]]</f>
        <v/>
      </c>
    </row>
    <row r="140" spans="1:58" ht="21.75" hidden="1" customHeight="1" x14ac:dyDescent="0.25">
      <c r="A140" s="90">
        <v>72</v>
      </c>
      <c r="B140" s="126" t="s">
        <v>311</v>
      </c>
      <c r="C140" s="126" t="str">
        <f>VLOOKUP(T_BilanSocial2[[#This Row],[NumL]],T_Commission[#Data],COLUMN(T_Commission[FINAL]),FALSE)</f>
        <v/>
      </c>
      <c r="D140" s="19" t="str">
        <f t="shared" si="16"/>
        <v/>
      </c>
      <c r="E140" s="19" t="str">
        <f t="shared" si="17"/>
        <v/>
      </c>
      <c r="F140" s="242" t="str">
        <f>IFERROR(VLOOKUP(T_BilanSocial2[[#This Row],[Zone_Bilan]],T_P_BilanSocial[#Data],COLUMN(T_P_BilanSocial[[#This Row],[Numero_SIHAM]]),FALSE),"")</f>
        <v/>
      </c>
      <c r="G140" s="242" t="str">
        <f>IFERROR(VLOOKUP(T_BilanSocial2[[#This Row],[Zone_Bilan]],T_P_BilanSocial[#Data],COLUMN(T_P_BilanSocial[[#This Row],[Sexe]]),FALSE),"")</f>
        <v/>
      </c>
      <c r="H140" s="243" t="str">
        <f>IFERROR(VLOOKUP(T_BilanSocial2[[#This Row],[Zone_Bilan]],T_P_BilanSocial[#Data],COLUMN(T_P_BilanSocial[[#This Row],[Categorie]]),FALSE),"")</f>
        <v/>
      </c>
      <c r="I140" s="242" t="str">
        <f>IFERROR(VLOOKUP(T_BilanSocial2[[#This Row],[Zone_Bilan]],T_P_BilanSocial[#Data],COLUMN(T_P_BilanSocial[[#This Row],[Statut]]),FALSE),"")</f>
        <v/>
      </c>
      <c r="J140" s="242" t="str">
        <f>IFERROR(VLOOKUP(T_BilanSocial2[[#This Row],[Zone_Bilan]],T_P_BilanSocial[#Data],COLUMN(T_P_BilanSocial[[#This Row],[Filiere]]),FALSE),"")</f>
        <v/>
      </c>
      <c r="K140" s="78">
        <v>0.8</v>
      </c>
      <c r="L140" s="213">
        <v>1.2361111111111112</v>
      </c>
      <c r="M140" s="78" t="s">
        <v>211</v>
      </c>
      <c r="N140" s="79" t="str">
        <f>IF((AND(T_BilanSocial2[[#This Row],[Nom]]&lt;&gt;"",T_BilanSocial2[[#This Row],[Reg Ponct]]="R")),(COUNTIF(S140:AX140,"S")+COUNTIF(S140:AX140,"T"))/2,"")</f>
        <v/>
      </c>
      <c r="O140" s="79" t="str">
        <f>IF((AND(T_BilanSocial2[[#This Row],[Nom]]&lt;&gt;"",T_BilanSocial2[[#This Row],[Reg Ponct]]="R")),COUNTIF(S140:AX140,"S")/2,"")</f>
        <v/>
      </c>
      <c r="P140" s="80" t="str">
        <f>IF((AND(T_BilanSocial2[[#This Row],[Nom]]&lt;&gt;"",T_BilanSocial2[[#This Row],[Reg Ponct]]="R")),COUNTIF(S140:AX140,"t")/2,"")</f>
        <v/>
      </c>
      <c r="Q140" s="81" t="str">
        <f t="shared" si="18"/>
        <v/>
      </c>
      <c r="R140" s="82" t="str">
        <f>IF((AND(T_BilanSocial2[[#This Row],[Nom]]&lt;&gt;"",T_BilanSocial2[[#This Row],[Reg Ponct]]="R")),IF(S140="T",U140-T140,0)+IF(V140="T",X140-W140,0)+IF(Z140="T",AB140-AA140,0)+IF(AC140="T",AE140-AD140,0)+IF(AG140="T",AI140-AH140,0)+IF(AJ140="T",AL140-AK140,0)+IF(AN140="T",AP140-AO140,0)+IF(AQ140="T",AS140-AR140,0)+IF(AU140="T",AW140-AV140,0)+IF(AX140="T",AZ140-AY140,0),"")</f>
        <v/>
      </c>
      <c r="S140" s="36"/>
      <c r="T140" s="37"/>
      <c r="U140" s="37"/>
      <c r="V140" s="21"/>
      <c r="W140" s="37"/>
      <c r="X140" s="37"/>
      <c r="Y140" s="38" t="str">
        <f t="shared" si="19"/>
        <v/>
      </c>
      <c r="Z140" s="36"/>
      <c r="AA140" s="37"/>
      <c r="AB140" s="37"/>
      <c r="AC140" s="21"/>
      <c r="AD140" s="37"/>
      <c r="AE140" s="37"/>
      <c r="AF140" s="38" t="str">
        <f t="shared" si="20"/>
        <v/>
      </c>
      <c r="AG140" s="36"/>
      <c r="AH140" s="37"/>
      <c r="AI140" s="37"/>
      <c r="AJ140" s="21"/>
      <c r="AK140" s="37"/>
      <c r="AL140" s="37"/>
      <c r="AM140" s="38" t="str">
        <f t="shared" si="21"/>
        <v/>
      </c>
      <c r="AN140" s="36"/>
      <c r="AO140" s="37"/>
      <c r="AP140" s="37"/>
      <c r="AQ140" s="21"/>
      <c r="AR140" s="37"/>
      <c r="AS140" s="37"/>
      <c r="AT140" s="38" t="str">
        <f t="shared" si="22"/>
        <v/>
      </c>
      <c r="AU140" s="36"/>
      <c r="AV140" s="37"/>
      <c r="AW140" s="37"/>
      <c r="AX140" s="21"/>
      <c r="AY140" s="37"/>
      <c r="AZ140" s="37"/>
      <c r="BA140" s="39" t="str">
        <f t="shared" si="23"/>
        <v/>
      </c>
      <c r="BB140" s="46" t="s">
        <v>320</v>
      </c>
      <c r="BC140" s="31" t="s">
        <v>321</v>
      </c>
      <c r="BD140" s="16" t="s">
        <v>311</v>
      </c>
      <c r="BE140" s="16" t="s">
        <v>311</v>
      </c>
      <c r="BF140" s="244" t="str">
        <f>T_BilanSocial2[[#This Row],[Nom]]&amp;T_BilanSocial2[[#This Row],[Prénom]]</f>
        <v/>
      </c>
    </row>
    <row r="141" spans="1:58" ht="21.75" customHeight="1" x14ac:dyDescent="0.25">
      <c r="A141" s="90">
        <v>161</v>
      </c>
      <c r="B141" s="126" t="s">
        <v>311</v>
      </c>
      <c r="C141" s="126" t="str">
        <f>VLOOKUP(T_BilanSocial2[[#This Row],[NumL]],T_Commission[#Data],COLUMN(T_Commission[FINAL]),FALSE)</f>
        <v/>
      </c>
      <c r="D141" s="19" t="str">
        <f t="shared" si="16"/>
        <v/>
      </c>
      <c r="E141" s="19" t="str">
        <f t="shared" si="17"/>
        <v/>
      </c>
      <c r="F141" s="242" t="str">
        <f>IFERROR(VLOOKUP(T_BilanSocial2[[#This Row],[Zone_Bilan]],T_P_BilanSocial[#Data],COLUMN(T_P_BilanSocial[[#This Row],[Numero_SIHAM]]),FALSE),"")</f>
        <v/>
      </c>
      <c r="G141" s="242" t="str">
        <f>IFERROR(VLOOKUP(T_BilanSocial2[[#This Row],[Zone_Bilan]],T_P_BilanSocial[#Data],COLUMN(T_P_BilanSocial[[#This Row],[Sexe]]),FALSE),"")</f>
        <v/>
      </c>
      <c r="H141" s="243" t="str">
        <f>IFERROR(VLOOKUP(T_BilanSocial2[[#This Row],[Zone_Bilan]],T_P_BilanSocial[#Data],COLUMN(T_P_BilanSocial[[#This Row],[Categorie]]),FALSE),"")</f>
        <v/>
      </c>
      <c r="I141" s="242" t="str">
        <f>IFERROR(VLOOKUP(T_BilanSocial2[[#This Row],[Zone_Bilan]],T_P_BilanSocial[#Data],COLUMN(T_P_BilanSocial[[#This Row],[Statut]]),FALSE),"")</f>
        <v/>
      </c>
      <c r="J141" s="242" t="str">
        <f>IFERROR(VLOOKUP(T_BilanSocial2[[#This Row],[Zone_Bilan]],T_P_BilanSocial[#Data],COLUMN(T_P_BilanSocial[[#This Row],[Filiere]]),FALSE),"")</f>
        <v/>
      </c>
      <c r="K141" s="78">
        <v>1</v>
      </c>
      <c r="L141" s="213">
        <v>1.5451388888888891</v>
      </c>
      <c r="M141" s="78" t="s">
        <v>211</v>
      </c>
      <c r="N141" s="79" t="str">
        <f>IF((AND(T_BilanSocial2[[#This Row],[Nom]]&lt;&gt;"",T_BilanSocial2[[#This Row],[Reg Ponct]]="R")),(COUNTIF(S141:AX141,"S")+COUNTIF(S141:AX141,"T"))/2,"")</f>
        <v/>
      </c>
      <c r="O141" s="79" t="str">
        <f>IF((AND(T_BilanSocial2[[#This Row],[Nom]]&lt;&gt;"",T_BilanSocial2[[#This Row],[Reg Ponct]]="R")),COUNTIF(S141:AX141,"S")/2,"")</f>
        <v/>
      </c>
      <c r="P141" s="80" t="str">
        <f>IF((AND(T_BilanSocial2[[#This Row],[Nom]]&lt;&gt;"",T_BilanSocial2[[#This Row],[Reg Ponct]]="R")),COUNTIF(S141:AX141,"t")/2,"")</f>
        <v/>
      </c>
      <c r="Q141" s="81" t="str">
        <f t="shared" si="18"/>
        <v/>
      </c>
      <c r="R141" s="82" t="str">
        <f>IF((AND(T_BilanSocial2[[#This Row],[Nom]]&lt;&gt;"",T_BilanSocial2[[#This Row],[Reg Ponct]]="R")),IF(S141="T",U141-T141,0)+IF(V141="T",X141-W141,0)+IF(Z141="T",AB141-AA141,0)+IF(AC141="T",AE141-AD141,0)+IF(AG141="T",AI141-AH141,0)+IF(AJ141="T",AL141-AK141,0)+IF(AN141="T",AP141-AO141,0)+IF(AQ141="T",AS141-AR141,0)+IF(AU141="T",AW141-AV141,0)+IF(AX141="T",AZ141-AY141,0),"")</f>
        <v/>
      </c>
      <c r="S141" s="36"/>
      <c r="T141" s="37"/>
      <c r="U141" s="37"/>
      <c r="V141" s="21"/>
      <c r="W141" s="37"/>
      <c r="X141" s="37"/>
      <c r="Y141" s="38" t="str">
        <f t="shared" si="19"/>
        <v/>
      </c>
      <c r="Z141" s="36"/>
      <c r="AA141" s="37"/>
      <c r="AB141" s="37"/>
      <c r="AC141" s="21"/>
      <c r="AD141" s="37"/>
      <c r="AE141" s="37"/>
      <c r="AF141" s="38" t="str">
        <f t="shared" si="20"/>
        <v/>
      </c>
      <c r="AG141" s="36"/>
      <c r="AH141" s="37"/>
      <c r="AI141" s="37"/>
      <c r="AJ141" s="21"/>
      <c r="AK141" s="37"/>
      <c r="AL141" s="37"/>
      <c r="AM141" s="38" t="str">
        <f t="shared" si="21"/>
        <v/>
      </c>
      <c r="AN141" s="36"/>
      <c r="AO141" s="37"/>
      <c r="AP141" s="37"/>
      <c r="AQ141" s="21"/>
      <c r="AR141" s="37"/>
      <c r="AS141" s="37"/>
      <c r="AT141" s="38" t="str">
        <f t="shared" si="22"/>
        <v/>
      </c>
      <c r="AU141" s="36"/>
      <c r="AV141" s="37"/>
      <c r="AW141" s="37"/>
      <c r="AX141" s="21"/>
      <c r="AY141" s="37"/>
      <c r="AZ141" s="37"/>
      <c r="BA141" s="39" t="str">
        <f t="shared" si="23"/>
        <v/>
      </c>
      <c r="BB141" s="46" t="s">
        <v>736</v>
      </c>
      <c r="BC141" s="31" t="s">
        <v>737</v>
      </c>
      <c r="BD141" s="16" t="s">
        <v>322</v>
      </c>
      <c r="BE141" s="16" t="s">
        <v>322</v>
      </c>
      <c r="BF141" s="244" t="str">
        <f>T_BilanSocial2[[#This Row],[Nom]]&amp;T_BilanSocial2[[#This Row],[Prénom]]</f>
        <v/>
      </c>
    </row>
    <row r="142" spans="1:58" ht="21.75" hidden="1" customHeight="1" x14ac:dyDescent="0.25">
      <c r="A142" s="90">
        <v>46</v>
      </c>
      <c r="B142" s="126" t="s">
        <v>311</v>
      </c>
      <c r="C142" s="126" t="e">
        <f>VLOOKUP(T_BilanSocial2[[#This Row],[NumL]],T_Commission[#Data],COLUMN(T_Commission[FINAL]),FALSE)</f>
        <v>#N/A</v>
      </c>
      <c r="D142" s="19" t="str">
        <f t="shared" si="16"/>
        <v/>
      </c>
      <c r="E142" s="19" t="str">
        <f t="shared" si="17"/>
        <v/>
      </c>
      <c r="F142" s="242" t="str">
        <f>IFERROR(VLOOKUP(T_BilanSocial2[[#This Row],[Zone_Bilan]],T_P_BilanSocial[#Data],COLUMN(T_P_BilanSocial[[#This Row],[Numero_SIHAM]]),FALSE),"")</f>
        <v/>
      </c>
      <c r="G142" s="242" t="str">
        <f>IFERROR(VLOOKUP(T_BilanSocial2[[#This Row],[Zone_Bilan]],T_P_BilanSocial[#Data],COLUMN(T_P_BilanSocial[[#This Row],[Sexe]]),FALSE),"")</f>
        <v/>
      </c>
      <c r="H142" s="243" t="str">
        <f>IFERROR(VLOOKUP(T_BilanSocial2[[#This Row],[Zone_Bilan]],T_P_BilanSocial[#Data],COLUMN(T_P_BilanSocial[[#This Row],[Categorie]]),FALSE),"")</f>
        <v/>
      </c>
      <c r="I142" s="242" t="str">
        <f>IFERROR(VLOOKUP(T_BilanSocial2[[#This Row],[Zone_Bilan]],T_P_BilanSocial[#Data],COLUMN(T_P_BilanSocial[[#This Row],[Statut]]),FALSE),"")</f>
        <v/>
      </c>
      <c r="J142" s="242" t="str">
        <f>IFERROR(VLOOKUP(T_BilanSocial2[[#This Row],[Zone_Bilan]],T_P_BilanSocial[#Data],COLUMN(T_P_BilanSocial[[#This Row],[Filiere]]),FALSE),"")</f>
        <v/>
      </c>
      <c r="K142" s="78">
        <v>1</v>
      </c>
      <c r="L142" s="213">
        <v>1.5451388888888891</v>
      </c>
      <c r="M142" s="78" t="s">
        <v>210</v>
      </c>
      <c r="N142" s="79" t="str">
        <f>IF((AND(T_BilanSocial2[[#This Row],[Nom]]&lt;&gt;"",T_BilanSocial2[[#This Row],[Reg Ponct]]="R")),(COUNTIF(S142:AX142,"S")+COUNTIF(S142:AX142,"T"))/2,"")</f>
        <v/>
      </c>
      <c r="O142" s="79" t="str">
        <f>IF((AND(T_BilanSocial2[[#This Row],[Nom]]&lt;&gt;"",T_BilanSocial2[[#This Row],[Reg Ponct]]="R")),COUNTIF(S142:AX142,"S")/2,"")</f>
        <v/>
      </c>
      <c r="P142" s="80" t="str">
        <f>IF((AND(T_BilanSocial2[[#This Row],[Nom]]&lt;&gt;"",T_BilanSocial2[[#This Row],[Reg Ponct]]="R")),COUNTIF(S142:AX142,"t")/2,"")</f>
        <v/>
      </c>
      <c r="Q142" s="81" t="str">
        <f t="shared" si="18"/>
        <v/>
      </c>
      <c r="R142" s="82" t="str">
        <f>IF((AND(T_BilanSocial2[[#This Row],[Nom]]&lt;&gt;"",T_BilanSocial2[[#This Row],[Reg Ponct]]="R")),IF(S142="T",U142-T142,0)+IF(V142="T",X142-W142,0)+IF(Z142="T",AB142-AA142,0)+IF(AC142="T",AE142-AD142,0)+IF(AG142="T",AI142-AH142,0)+IF(AJ142="T",AL142-AK142,0)+IF(AN142="T",AP142-AO142,0)+IF(AQ142="T",AS142-AR142,0)+IF(AU142="T",AW142-AV142,0)+IF(AX142="T",AZ142-AY142,0),"")</f>
        <v/>
      </c>
      <c r="S142" s="36" t="s">
        <v>306</v>
      </c>
      <c r="T142" s="37">
        <v>0.34375</v>
      </c>
      <c r="U142" s="37">
        <v>0.52083333333333337</v>
      </c>
      <c r="V142" s="21" t="s">
        <v>306</v>
      </c>
      <c r="W142" s="37">
        <v>0.5625</v>
      </c>
      <c r="X142" s="37">
        <v>0.70138888888888884</v>
      </c>
      <c r="Y142" s="38" t="str">
        <f t="shared" si="19"/>
        <v/>
      </c>
      <c r="Z142" s="36" t="s">
        <v>306</v>
      </c>
      <c r="AA142" s="37">
        <v>0.34375</v>
      </c>
      <c r="AB142" s="37">
        <v>0.52083333333333337</v>
      </c>
      <c r="AC142" s="21" t="s">
        <v>306</v>
      </c>
      <c r="AD142" s="37">
        <v>0.5625</v>
      </c>
      <c r="AE142" s="37">
        <v>0.70138888888888884</v>
      </c>
      <c r="AF142" s="38" t="str">
        <f t="shared" si="20"/>
        <v/>
      </c>
      <c r="AG142" s="36" t="s">
        <v>306</v>
      </c>
      <c r="AH142" s="37">
        <v>0.34375</v>
      </c>
      <c r="AI142" s="37">
        <v>0.52083333333333337</v>
      </c>
      <c r="AJ142" s="21" t="s">
        <v>306</v>
      </c>
      <c r="AK142" s="37">
        <v>0.5625</v>
      </c>
      <c r="AL142" s="37">
        <v>0.70138888888888884</v>
      </c>
      <c r="AM142" s="38" t="str">
        <f t="shared" si="21"/>
        <v/>
      </c>
      <c r="AN142" s="36" t="s">
        <v>306</v>
      </c>
      <c r="AO142" s="37">
        <v>0.34375</v>
      </c>
      <c r="AP142" s="37">
        <v>0.52083333333333337</v>
      </c>
      <c r="AQ142" s="21" t="s">
        <v>306</v>
      </c>
      <c r="AR142" s="37">
        <v>0.5625</v>
      </c>
      <c r="AS142" s="37">
        <v>0.70138888888888884</v>
      </c>
      <c r="AT142" s="38" t="str">
        <f t="shared" si="22"/>
        <v/>
      </c>
      <c r="AU142" s="36" t="s">
        <v>307</v>
      </c>
      <c r="AV142" s="37">
        <v>0.34375</v>
      </c>
      <c r="AW142" s="37">
        <v>0.52083333333333337</v>
      </c>
      <c r="AX142" s="21" t="s">
        <v>307</v>
      </c>
      <c r="AY142" s="37">
        <v>0.5625</v>
      </c>
      <c r="AZ142" s="37">
        <v>0.66666666666666663</v>
      </c>
      <c r="BA142" s="39" t="str">
        <f t="shared" si="23"/>
        <v/>
      </c>
      <c r="BB142" s="46" t="s">
        <v>340</v>
      </c>
      <c r="BC142" s="31" t="s">
        <v>341</v>
      </c>
      <c r="BD142" s="16" t="s">
        <v>311</v>
      </c>
      <c r="BE142" s="16" t="s">
        <v>311</v>
      </c>
      <c r="BF142" s="244" t="str">
        <f>T_BilanSocial2[[#This Row],[Nom]]&amp;T_BilanSocial2[[#This Row],[Prénom]]</f>
        <v/>
      </c>
    </row>
    <row r="143" spans="1:58" ht="21.75" hidden="1" customHeight="1" x14ac:dyDescent="0.25">
      <c r="A143" s="90">
        <v>141</v>
      </c>
      <c r="B143" s="126" t="s">
        <v>311</v>
      </c>
      <c r="C143" s="126" t="e">
        <f>VLOOKUP(T_BilanSocial2[[#This Row],[NumL]],T_Commission[#Data],COLUMN(T_Commission[FINAL]),FALSE)</f>
        <v>#N/A</v>
      </c>
      <c r="D143" s="19" t="str">
        <f t="shared" si="16"/>
        <v/>
      </c>
      <c r="E143" s="19" t="str">
        <f t="shared" si="17"/>
        <v/>
      </c>
      <c r="F143" s="242" t="str">
        <f>IFERROR(VLOOKUP(T_BilanSocial2[[#This Row],[Zone_Bilan]],T_P_BilanSocial[#Data],COLUMN(T_P_BilanSocial[[#This Row],[Numero_SIHAM]]),FALSE),"")</f>
        <v/>
      </c>
      <c r="G143" s="242" t="str">
        <f>IFERROR(VLOOKUP(T_BilanSocial2[[#This Row],[Zone_Bilan]],T_P_BilanSocial[#Data],COLUMN(T_P_BilanSocial[[#This Row],[Sexe]]),FALSE),"")</f>
        <v/>
      </c>
      <c r="H143" s="243" t="str">
        <f>IFERROR(VLOOKUP(T_BilanSocial2[[#This Row],[Zone_Bilan]],T_P_BilanSocial[#Data],COLUMN(T_P_BilanSocial[[#This Row],[Categorie]]),FALSE),"")</f>
        <v/>
      </c>
      <c r="I143" s="242" t="str">
        <f>IFERROR(VLOOKUP(T_BilanSocial2[[#This Row],[Zone_Bilan]],T_P_BilanSocial[#Data],COLUMN(T_P_BilanSocial[[#This Row],[Statut]]),FALSE),"")</f>
        <v/>
      </c>
      <c r="J143" s="242" t="str">
        <f>IFERROR(VLOOKUP(T_BilanSocial2[[#This Row],[Zone_Bilan]],T_P_BilanSocial[#Data],COLUMN(T_P_BilanSocial[[#This Row],[Filiere]]),FALSE),"")</f>
        <v/>
      </c>
      <c r="K143" s="78">
        <v>0.8</v>
      </c>
      <c r="L143" s="213">
        <v>1.2361111111111112</v>
      </c>
      <c r="M143" s="78" t="s">
        <v>210</v>
      </c>
      <c r="N143" s="79" t="str">
        <f>IF((AND(T_BilanSocial2[[#This Row],[Nom]]&lt;&gt;"",T_BilanSocial2[[#This Row],[Reg Ponct]]="R")),(COUNTIF(S143:AX143,"S")+COUNTIF(S143:AX143,"T"))/2,"")</f>
        <v/>
      </c>
      <c r="O143" s="79" t="str">
        <f>IF((AND(T_BilanSocial2[[#This Row],[Nom]]&lt;&gt;"",T_BilanSocial2[[#This Row],[Reg Ponct]]="R")),COUNTIF(S143:AX143,"S")/2,"")</f>
        <v/>
      </c>
      <c r="P143" s="80" t="str">
        <f>IF((AND(T_BilanSocial2[[#This Row],[Nom]]&lt;&gt;"",T_BilanSocial2[[#This Row],[Reg Ponct]]="R")),COUNTIF(S143:AX143,"t")/2,"")</f>
        <v/>
      </c>
      <c r="Q143" s="81" t="str">
        <f t="shared" si="18"/>
        <v/>
      </c>
      <c r="R143" s="82" t="str">
        <f>IF((AND(T_BilanSocial2[[#This Row],[Nom]]&lt;&gt;"",T_BilanSocial2[[#This Row],[Reg Ponct]]="R")),IF(S143="T",U143-T143,0)+IF(V143="T",X143-W143,0)+IF(Z143="T",AB143-AA143,0)+IF(AC143="T",AE143-AD143,0)+IF(AG143="T",AI143-AH143,0)+IF(AJ143="T",AL143-AK143,0)+IF(AN143="T",AP143-AO143,0)+IF(AQ143="T",AS143-AR143,0)+IF(AU143="T",AW143-AV143,0)+IF(AX143="T",AZ143-AY143,0),"")</f>
        <v/>
      </c>
      <c r="S143" s="36" t="s">
        <v>306</v>
      </c>
      <c r="T143" s="37">
        <v>0.32291666666666669</v>
      </c>
      <c r="U143" s="37">
        <v>0.52083333333333337</v>
      </c>
      <c r="V143" s="21" t="s">
        <v>306</v>
      </c>
      <c r="W143" s="37">
        <v>0.5625</v>
      </c>
      <c r="X143" s="37">
        <v>0.68402777777777779</v>
      </c>
      <c r="Y143" s="38" t="str">
        <f t="shared" si="19"/>
        <v/>
      </c>
      <c r="Z143" s="36" t="s">
        <v>306</v>
      </c>
      <c r="AA143" s="37">
        <v>0.3125</v>
      </c>
      <c r="AB143" s="37">
        <v>0.52083333333333337</v>
      </c>
      <c r="AC143" s="21" t="s">
        <v>306</v>
      </c>
      <c r="AD143" s="37">
        <v>0.5625</v>
      </c>
      <c r="AE143" s="37">
        <v>0.66319444444444442</v>
      </c>
      <c r="AF143" s="38" t="str">
        <f t="shared" si="20"/>
        <v/>
      </c>
      <c r="AG143" s="36" t="s">
        <v>308</v>
      </c>
      <c r="AH143" s="37"/>
      <c r="AI143" s="37"/>
      <c r="AJ143" s="21" t="s">
        <v>308</v>
      </c>
      <c r="AK143" s="37"/>
      <c r="AL143" s="37"/>
      <c r="AM143" s="38" t="str">
        <f t="shared" si="21"/>
        <v/>
      </c>
      <c r="AN143" s="36" t="s">
        <v>306</v>
      </c>
      <c r="AO143" s="37">
        <v>0.32291666666666669</v>
      </c>
      <c r="AP143" s="37">
        <v>0.52083333333333337</v>
      </c>
      <c r="AQ143" s="21" t="s">
        <v>306</v>
      </c>
      <c r="AR143" s="37">
        <v>0.5625</v>
      </c>
      <c r="AS143" s="37">
        <v>0.66319444444444442</v>
      </c>
      <c r="AT143" s="38" t="str">
        <f t="shared" si="22"/>
        <v/>
      </c>
      <c r="AU143" s="36" t="s">
        <v>307</v>
      </c>
      <c r="AV143" s="37">
        <v>0.3125</v>
      </c>
      <c r="AW143" s="37">
        <v>0.52083333333333337</v>
      </c>
      <c r="AX143" s="21" t="s">
        <v>307</v>
      </c>
      <c r="AY143" s="37">
        <v>0.5625</v>
      </c>
      <c r="AZ143" s="37">
        <v>0.66319444444444442</v>
      </c>
      <c r="BA143" s="39" t="str">
        <f t="shared" si="23"/>
        <v/>
      </c>
      <c r="BB143" s="46" t="s">
        <v>309</v>
      </c>
      <c r="BC143" s="31" t="s">
        <v>310</v>
      </c>
      <c r="BD143" s="16" t="s">
        <v>311</v>
      </c>
      <c r="BE143" s="16" t="s">
        <v>311</v>
      </c>
      <c r="BF143" s="244" t="str">
        <f>T_BilanSocial2[[#This Row],[Nom]]&amp;T_BilanSocial2[[#This Row],[Prénom]]</f>
        <v/>
      </c>
    </row>
    <row r="144" spans="1:58" ht="21.75" hidden="1" customHeight="1" x14ac:dyDescent="0.25">
      <c r="A144" s="90">
        <v>17</v>
      </c>
      <c r="B144" s="126" t="s">
        <v>210</v>
      </c>
      <c r="C144" s="126" t="str">
        <f>VLOOKUP(T_BilanSocial2[[#This Row],[NumL]],T_Commission[#Data],COLUMN(T_Commission[FINAL]),FALSE)</f>
        <v/>
      </c>
      <c r="D144" s="19" t="str">
        <f t="shared" si="16"/>
        <v/>
      </c>
      <c r="E144" s="19" t="str">
        <f t="shared" si="17"/>
        <v/>
      </c>
      <c r="F144" s="242" t="str">
        <f>IFERROR(VLOOKUP(T_BilanSocial2[[#This Row],[Zone_Bilan]],T_P_BilanSocial[#Data],COLUMN(T_P_BilanSocial[[#This Row],[Numero_SIHAM]]),FALSE),"")</f>
        <v/>
      </c>
      <c r="G144" s="242" t="str">
        <f>IFERROR(VLOOKUP(T_BilanSocial2[[#This Row],[Zone_Bilan]],T_P_BilanSocial[#Data],COLUMN(T_P_BilanSocial[[#This Row],[Sexe]]),FALSE),"")</f>
        <v/>
      </c>
      <c r="H144" s="243" t="str">
        <f>IFERROR(VLOOKUP(T_BilanSocial2[[#This Row],[Zone_Bilan]],T_P_BilanSocial[#Data],COLUMN(T_P_BilanSocial[[#This Row],[Categorie]]),FALSE),"")</f>
        <v/>
      </c>
      <c r="I144" s="242" t="str">
        <f>IFERROR(VLOOKUP(T_BilanSocial2[[#This Row],[Zone_Bilan]],T_P_BilanSocial[#Data],COLUMN(T_P_BilanSocial[[#This Row],[Statut]]),FALSE),"")</f>
        <v/>
      </c>
      <c r="J144" s="242" t="str">
        <f>IFERROR(VLOOKUP(T_BilanSocial2[[#This Row],[Zone_Bilan]],T_P_BilanSocial[#Data],COLUMN(T_P_BilanSocial[[#This Row],[Filiere]]),FALSE),"")</f>
        <v/>
      </c>
      <c r="K144" s="78">
        <v>1</v>
      </c>
      <c r="L144" s="213">
        <v>1.5451388888888891</v>
      </c>
      <c r="M144" s="78" t="s">
        <v>210</v>
      </c>
      <c r="N144" s="79" t="str">
        <f>IF((AND(T_BilanSocial2[[#This Row],[Nom]]&lt;&gt;"",T_BilanSocial2[[#This Row],[Reg Ponct]]="R")),(COUNTIF(S144:AX144,"S")+COUNTIF(S144:AX144,"T"))/2,"")</f>
        <v/>
      </c>
      <c r="O144" s="79" t="str">
        <f>IF((AND(T_BilanSocial2[[#This Row],[Nom]]&lt;&gt;"",T_BilanSocial2[[#This Row],[Reg Ponct]]="R")),COUNTIF(S144:AX144,"S")/2,"")</f>
        <v/>
      </c>
      <c r="P144" s="80" t="str">
        <f>IF((AND(T_BilanSocial2[[#This Row],[Nom]]&lt;&gt;"",T_BilanSocial2[[#This Row],[Reg Ponct]]="R")),COUNTIF(S144:AX144,"t")/2,"")</f>
        <v/>
      </c>
      <c r="Q144" s="81" t="str">
        <f t="shared" si="18"/>
        <v/>
      </c>
      <c r="R144" s="82" t="str">
        <f>IF((AND(T_BilanSocial2[[#This Row],[Nom]]&lt;&gt;"",T_BilanSocial2[[#This Row],[Reg Ponct]]="R")),IF(S144="T",U144-T144,0)+IF(V144="T",X144-W144,0)+IF(Z144="T",AB144-AA144,0)+IF(AC144="T",AE144-AD144,0)+IF(AG144="T",AI144-AH144,0)+IF(AJ144="T",AL144-AK144,0)+IF(AN144="T",AP144-AO144,0)+IF(AQ144="T",AS144-AR144,0)+IF(AU144="T",AW144-AV144,0)+IF(AX144="T",AZ144-AY144,0),"")</f>
        <v/>
      </c>
      <c r="S144" s="36" t="s">
        <v>307</v>
      </c>
      <c r="T144" s="37">
        <v>0.33333333333333331</v>
      </c>
      <c r="U144" s="37">
        <v>0.5</v>
      </c>
      <c r="V144" s="21" t="s">
        <v>307</v>
      </c>
      <c r="W144" s="37">
        <v>0.54166666666666663</v>
      </c>
      <c r="X144" s="37">
        <v>0.72916666666666663</v>
      </c>
      <c r="Y144" s="38" t="str">
        <f t="shared" si="19"/>
        <v/>
      </c>
      <c r="Z144" s="36" t="s">
        <v>306</v>
      </c>
      <c r="AA144" s="37">
        <v>0.33333333333333331</v>
      </c>
      <c r="AB144" s="37">
        <v>0.5</v>
      </c>
      <c r="AC144" s="21" t="s">
        <v>306</v>
      </c>
      <c r="AD144" s="37">
        <v>0.54166666666666663</v>
      </c>
      <c r="AE144" s="37">
        <v>0.72916666666666663</v>
      </c>
      <c r="AF144" s="38" t="str">
        <f t="shared" si="20"/>
        <v/>
      </c>
      <c r="AG144" s="36" t="s">
        <v>306</v>
      </c>
      <c r="AH144" s="37">
        <v>0.33333333333333331</v>
      </c>
      <c r="AI144" s="37">
        <v>0.5</v>
      </c>
      <c r="AJ144" s="21" t="s">
        <v>306</v>
      </c>
      <c r="AK144" s="37">
        <v>0.54166666666666663</v>
      </c>
      <c r="AL144" s="37">
        <v>0.71180555555555547</v>
      </c>
      <c r="AM144" s="38" t="str">
        <f t="shared" si="21"/>
        <v/>
      </c>
      <c r="AN144" s="36" t="s">
        <v>306</v>
      </c>
      <c r="AO144" s="37">
        <v>0.33333333333333331</v>
      </c>
      <c r="AP144" s="37">
        <v>0.5</v>
      </c>
      <c r="AQ144" s="21" t="s">
        <v>306</v>
      </c>
      <c r="AR144" s="37">
        <v>0.54166666666666663</v>
      </c>
      <c r="AS144" s="37">
        <v>0.70833333333333337</v>
      </c>
      <c r="AT144" s="38" t="str">
        <f t="shared" si="22"/>
        <v/>
      </c>
      <c r="AU144" s="36" t="s">
        <v>307</v>
      </c>
      <c r="AV144" s="37">
        <v>0.33333333333333331</v>
      </c>
      <c r="AW144" s="37">
        <v>0.5</v>
      </c>
      <c r="AX144" s="21" t="s">
        <v>308</v>
      </c>
      <c r="AY144" s="37"/>
      <c r="AZ144" s="37"/>
      <c r="BA144" s="39" t="str">
        <f t="shared" si="23"/>
        <v/>
      </c>
      <c r="BB144" s="46" t="s">
        <v>416</v>
      </c>
      <c r="BC144" s="31" t="s">
        <v>417</v>
      </c>
      <c r="BD144" s="16" t="s">
        <v>311</v>
      </c>
      <c r="BE144" s="16" t="s">
        <v>322</v>
      </c>
      <c r="BF144" s="244" t="str">
        <f>T_BilanSocial2[[#This Row],[Nom]]&amp;T_BilanSocial2[[#This Row],[Prénom]]</f>
        <v/>
      </c>
    </row>
    <row r="145" spans="1:58" ht="21.75" hidden="1" customHeight="1" x14ac:dyDescent="0.25">
      <c r="A145" s="90">
        <v>15</v>
      </c>
      <c r="B145" s="126" t="s">
        <v>210</v>
      </c>
      <c r="C145" s="126" t="e">
        <f>VLOOKUP(T_BilanSocial2[[#This Row],[NumL]],T_Commission[#Data],COLUMN(T_Commission[FINAL]),FALSE)</f>
        <v>#N/A</v>
      </c>
      <c r="D145" s="19" t="str">
        <f t="shared" si="16"/>
        <v/>
      </c>
      <c r="E145" s="19" t="str">
        <f t="shared" si="17"/>
        <v/>
      </c>
      <c r="F145" s="242" t="str">
        <f>IFERROR(VLOOKUP(T_BilanSocial2[[#This Row],[Zone_Bilan]],T_P_BilanSocial[#Data],COLUMN(T_P_BilanSocial[[#This Row],[Numero_SIHAM]]),FALSE),"")</f>
        <v/>
      </c>
      <c r="G145" s="242" t="str">
        <f>IFERROR(VLOOKUP(T_BilanSocial2[[#This Row],[Zone_Bilan]],T_P_BilanSocial[#Data],COLUMN(T_P_BilanSocial[[#This Row],[Sexe]]),FALSE),"")</f>
        <v/>
      </c>
      <c r="H145" s="243" t="str">
        <f>IFERROR(VLOOKUP(T_BilanSocial2[[#This Row],[Zone_Bilan]],T_P_BilanSocial[#Data],COLUMN(T_P_BilanSocial[[#This Row],[Categorie]]),FALSE),"")</f>
        <v/>
      </c>
      <c r="I145" s="242" t="str">
        <f>IFERROR(VLOOKUP(T_BilanSocial2[[#This Row],[Zone_Bilan]],T_P_BilanSocial[#Data],COLUMN(T_P_BilanSocial[[#This Row],[Statut]]),FALSE),"")</f>
        <v/>
      </c>
      <c r="J145" s="242" t="str">
        <f>IFERROR(VLOOKUP(T_BilanSocial2[[#This Row],[Zone_Bilan]],T_P_BilanSocial[#Data],COLUMN(T_P_BilanSocial[[#This Row],[Filiere]]),FALSE),"")</f>
        <v/>
      </c>
      <c r="K145" s="78">
        <v>1</v>
      </c>
      <c r="L145" s="213">
        <v>1.5451388888888891</v>
      </c>
      <c r="M145" s="78" t="s">
        <v>210</v>
      </c>
      <c r="N145" s="79" t="str">
        <f>IF((AND(T_BilanSocial2[[#This Row],[Nom]]&lt;&gt;"",T_BilanSocial2[[#This Row],[Reg Ponct]]="R")),(COUNTIF(S145:AX145,"S")+COUNTIF(S145:AX145,"T"))/2,"")</f>
        <v/>
      </c>
      <c r="O145" s="79" t="str">
        <f>IF((AND(T_BilanSocial2[[#This Row],[Nom]]&lt;&gt;"",T_BilanSocial2[[#This Row],[Reg Ponct]]="R")),COUNTIF(S145:AX145,"S")/2,"")</f>
        <v/>
      </c>
      <c r="P145" s="80" t="str">
        <f>IF((AND(T_BilanSocial2[[#This Row],[Nom]]&lt;&gt;"",T_BilanSocial2[[#This Row],[Reg Ponct]]="R")),COUNTIF(S145:AX145,"t")/2,"")</f>
        <v/>
      </c>
      <c r="Q145" s="81" t="str">
        <f t="shared" si="18"/>
        <v/>
      </c>
      <c r="R145" s="82" t="str">
        <f>IF((AND(T_BilanSocial2[[#This Row],[Nom]]&lt;&gt;"",T_BilanSocial2[[#This Row],[Reg Ponct]]="R")),IF(S145="T",U145-T145,0)+IF(V145="T",X145-W145,0)+IF(Z145="T",AB145-AA145,0)+IF(AC145="T",AE145-AD145,0)+IF(AG145="T",AI145-AH145,0)+IF(AJ145="T",AL145-AK145,0)+IF(AN145="T",AP145-AO145,0)+IF(AQ145="T",AS145-AR145,0)+IF(AU145="T",AW145-AV145,0)+IF(AX145="T",AZ145-AY145,0),"")</f>
        <v/>
      </c>
      <c r="S145" s="36" t="s">
        <v>306</v>
      </c>
      <c r="T145" s="37">
        <v>0.33333333333333331</v>
      </c>
      <c r="U145" s="37">
        <v>0.52083333333333337</v>
      </c>
      <c r="V145" s="21" t="s">
        <v>306</v>
      </c>
      <c r="W145" s="37">
        <v>0.5625</v>
      </c>
      <c r="X145" s="37">
        <v>0.72916666666666663</v>
      </c>
      <c r="Y145" s="38" t="str">
        <f t="shared" si="19"/>
        <v/>
      </c>
      <c r="Z145" s="36" t="s">
        <v>306</v>
      </c>
      <c r="AA145" s="37">
        <v>0.33333333333333331</v>
      </c>
      <c r="AB145" s="37">
        <v>0.52083333333333337</v>
      </c>
      <c r="AC145" s="21" t="s">
        <v>306</v>
      </c>
      <c r="AD145" s="37">
        <v>0.5625</v>
      </c>
      <c r="AE145" s="37">
        <v>0.72916666666666663</v>
      </c>
      <c r="AF145" s="38" t="str">
        <f t="shared" si="20"/>
        <v/>
      </c>
      <c r="AG145" s="36" t="s">
        <v>307</v>
      </c>
      <c r="AH145" s="37">
        <v>0.33333333333333331</v>
      </c>
      <c r="AI145" s="37">
        <v>0.52083333333333337</v>
      </c>
      <c r="AJ145" s="21" t="s">
        <v>308</v>
      </c>
      <c r="AK145" s="37"/>
      <c r="AL145" s="37"/>
      <c r="AM145" s="38" t="str">
        <f t="shared" si="21"/>
        <v/>
      </c>
      <c r="AN145" s="36" t="s">
        <v>306</v>
      </c>
      <c r="AO145" s="37">
        <v>0.33333333333333331</v>
      </c>
      <c r="AP145" s="37">
        <v>0.52083333333333337</v>
      </c>
      <c r="AQ145" s="21" t="s">
        <v>306</v>
      </c>
      <c r="AR145" s="37">
        <v>0.5625</v>
      </c>
      <c r="AS145" s="37">
        <v>0.72916666666666663</v>
      </c>
      <c r="AT145" s="38" t="str">
        <f t="shared" si="22"/>
        <v/>
      </c>
      <c r="AU145" s="36" t="s">
        <v>306</v>
      </c>
      <c r="AV145" s="37">
        <v>0.33333333333333331</v>
      </c>
      <c r="AW145" s="37">
        <v>0.52083333333333337</v>
      </c>
      <c r="AX145" s="21" t="s">
        <v>306</v>
      </c>
      <c r="AY145" s="37">
        <v>0.5625</v>
      </c>
      <c r="AZ145" s="37">
        <v>0.67013888888888884</v>
      </c>
      <c r="BA145" s="39" t="str">
        <f t="shared" si="23"/>
        <v/>
      </c>
      <c r="BB145" s="46" t="s">
        <v>408</v>
      </c>
      <c r="BC145" s="31" t="s">
        <v>409</v>
      </c>
      <c r="BD145" s="16" t="s">
        <v>322</v>
      </c>
      <c r="BE145" s="16" t="s">
        <v>322</v>
      </c>
      <c r="BF145" s="244" t="str">
        <f>T_BilanSocial2[[#This Row],[Nom]]&amp;T_BilanSocial2[[#This Row],[Prénom]]</f>
        <v/>
      </c>
    </row>
    <row r="146" spans="1:58" ht="21.75" hidden="1" customHeight="1" x14ac:dyDescent="0.25">
      <c r="A146" s="90">
        <v>163</v>
      </c>
      <c r="B146" s="126" t="s">
        <v>210</v>
      </c>
      <c r="C146" s="126" t="str">
        <f>VLOOKUP(T_BilanSocial2[[#This Row],[NumL]],T_Commission[#Data],COLUMN(T_Commission[FINAL]),FALSE)</f>
        <v/>
      </c>
      <c r="D146" s="19" t="str">
        <f t="shared" si="16"/>
        <v/>
      </c>
      <c r="E146" s="19" t="str">
        <f t="shared" si="17"/>
        <v/>
      </c>
      <c r="F146" s="242" t="str">
        <f>IFERROR(VLOOKUP(T_BilanSocial2[[#This Row],[Zone_Bilan]],T_P_BilanSocial[#Data],COLUMN(T_P_BilanSocial[[#This Row],[Numero_SIHAM]]),FALSE),"")</f>
        <v/>
      </c>
      <c r="G146" s="242" t="str">
        <f>IFERROR(VLOOKUP(T_BilanSocial2[[#This Row],[Zone_Bilan]],T_P_BilanSocial[#Data],COLUMN(T_P_BilanSocial[[#This Row],[Sexe]]),FALSE),"")</f>
        <v/>
      </c>
      <c r="H146" s="243" t="str">
        <f>IFERROR(VLOOKUP(T_BilanSocial2[[#This Row],[Zone_Bilan]],T_P_BilanSocial[#Data],COLUMN(T_P_BilanSocial[[#This Row],[Categorie]]),FALSE),"")</f>
        <v/>
      </c>
      <c r="I146" s="242" t="str">
        <f>IFERROR(VLOOKUP(T_BilanSocial2[[#This Row],[Zone_Bilan]],T_P_BilanSocial[#Data],COLUMN(T_P_BilanSocial[[#This Row],[Statut]]),FALSE),"")</f>
        <v/>
      </c>
      <c r="J146" s="242" t="str">
        <f>IFERROR(VLOOKUP(T_BilanSocial2[[#This Row],[Zone_Bilan]],T_P_BilanSocial[#Data],COLUMN(T_P_BilanSocial[[#This Row],[Filiere]]),FALSE),"")</f>
        <v/>
      </c>
      <c r="K146" s="78">
        <v>1</v>
      </c>
      <c r="L146" s="213">
        <v>1.5451388888888891</v>
      </c>
      <c r="M146" s="78" t="s">
        <v>210</v>
      </c>
      <c r="N146" s="79" t="str">
        <f>IF((AND(T_BilanSocial2[[#This Row],[Nom]]&lt;&gt;"",T_BilanSocial2[[#This Row],[Reg Ponct]]="R")),(COUNTIF(S146:AX146,"S")+COUNTIF(S146:AX146,"T"))/2,"")</f>
        <v/>
      </c>
      <c r="O146" s="79" t="str">
        <f>IF((AND(T_BilanSocial2[[#This Row],[Nom]]&lt;&gt;"",T_BilanSocial2[[#This Row],[Reg Ponct]]="R")),COUNTIF(S146:AX146,"S")/2,"")</f>
        <v/>
      </c>
      <c r="P146" s="80" t="str">
        <f>IF((AND(T_BilanSocial2[[#This Row],[Nom]]&lt;&gt;"",T_BilanSocial2[[#This Row],[Reg Ponct]]="R")),COUNTIF(S146:AX146,"t")/2,"")</f>
        <v/>
      </c>
      <c r="Q146" s="81" t="str">
        <f t="shared" si="18"/>
        <v/>
      </c>
      <c r="R146" s="82" t="str">
        <f>IF((AND(T_BilanSocial2[[#This Row],[Nom]]&lt;&gt;"",T_BilanSocial2[[#This Row],[Reg Ponct]]="R")),IF(S146="T",U146-T146,0)+IF(V146="T",X146-W146,0)+IF(Z146="T",AB146-AA146,0)+IF(AC146="T",AE146-AD146,0)+IF(AG146="T",AI146-AH146,0)+IF(AJ146="T",AL146-AK146,0)+IF(AN146="T",AP146-AO146,0)+IF(AQ146="T",AS146-AR146,0)+IF(AU146="T",AW146-AV146,0)+IF(AX146="T",AZ146-AY146,0),"")</f>
        <v/>
      </c>
      <c r="S146" s="36" t="s">
        <v>306</v>
      </c>
      <c r="T146" s="37">
        <v>0.375</v>
      </c>
      <c r="U146" s="37">
        <v>0.53125</v>
      </c>
      <c r="V146" s="21" t="s">
        <v>306</v>
      </c>
      <c r="W146" s="37">
        <v>0.57291666666666663</v>
      </c>
      <c r="X146" s="37">
        <v>0.76041666666666663</v>
      </c>
      <c r="Y146" s="38" t="str">
        <f t="shared" si="19"/>
        <v/>
      </c>
      <c r="Z146" s="36" t="s">
        <v>306</v>
      </c>
      <c r="AA146" s="37">
        <v>0.375</v>
      </c>
      <c r="AB146" s="37">
        <v>0.53125</v>
      </c>
      <c r="AC146" s="21" t="s">
        <v>306</v>
      </c>
      <c r="AD146" s="37">
        <v>0.57291666666666663</v>
      </c>
      <c r="AE146" s="37">
        <v>0.76041666666666663</v>
      </c>
      <c r="AF146" s="38" t="str">
        <f t="shared" si="20"/>
        <v/>
      </c>
      <c r="AG146" s="36" t="s">
        <v>306</v>
      </c>
      <c r="AH146" s="37">
        <v>0.375</v>
      </c>
      <c r="AI146" s="37">
        <v>0.54513888888888895</v>
      </c>
      <c r="AJ146" s="21" t="s">
        <v>308</v>
      </c>
      <c r="AK146" s="37"/>
      <c r="AL146" s="37"/>
      <c r="AM146" s="38" t="str">
        <f t="shared" si="21"/>
        <v/>
      </c>
      <c r="AN146" s="36" t="s">
        <v>306</v>
      </c>
      <c r="AO146" s="37">
        <v>0.375</v>
      </c>
      <c r="AP146" s="37">
        <v>0.53125</v>
      </c>
      <c r="AQ146" s="21" t="s">
        <v>306</v>
      </c>
      <c r="AR146" s="37">
        <v>0.57291666666666663</v>
      </c>
      <c r="AS146" s="37">
        <v>0.76041666666666663</v>
      </c>
      <c r="AT146" s="38" t="str">
        <f t="shared" si="22"/>
        <v/>
      </c>
      <c r="AU146" s="36" t="s">
        <v>307</v>
      </c>
      <c r="AV146" s="37">
        <v>0.375</v>
      </c>
      <c r="AW146" s="37">
        <v>0.53125</v>
      </c>
      <c r="AX146" s="21" t="s">
        <v>307</v>
      </c>
      <c r="AY146" s="37">
        <v>0.57291666666666663</v>
      </c>
      <c r="AZ146" s="37">
        <v>0.76041666666666663</v>
      </c>
      <c r="BA146" s="39" t="str">
        <f t="shared" si="23"/>
        <v/>
      </c>
      <c r="BB146" s="46" t="s">
        <v>376</v>
      </c>
      <c r="BC146" s="31" t="s">
        <v>341</v>
      </c>
      <c r="BD146" s="16" t="s">
        <v>322</v>
      </c>
      <c r="BE146" s="16" t="s">
        <v>311</v>
      </c>
      <c r="BF146" s="244" t="str">
        <f>T_BilanSocial2[[#This Row],[Nom]]&amp;T_BilanSocial2[[#This Row],[Prénom]]</f>
        <v/>
      </c>
    </row>
    <row r="147" spans="1:58" ht="21.75" hidden="1" customHeight="1" x14ac:dyDescent="0.25">
      <c r="A147" s="90">
        <v>79</v>
      </c>
      <c r="B147" s="126" t="s">
        <v>210</v>
      </c>
      <c r="C147" s="126" t="str">
        <f>VLOOKUP(T_BilanSocial2[[#This Row],[NumL]],T_Commission[#Data],COLUMN(T_Commission[FINAL]),FALSE)</f>
        <v/>
      </c>
      <c r="D147" s="19" t="str">
        <f t="shared" si="16"/>
        <v/>
      </c>
      <c r="E147" s="19" t="str">
        <f t="shared" si="17"/>
        <v/>
      </c>
      <c r="F147" s="242" t="str">
        <f>IFERROR(VLOOKUP(T_BilanSocial2[[#This Row],[Zone_Bilan]],T_P_BilanSocial[#Data],COLUMN(T_P_BilanSocial[[#This Row],[Numero_SIHAM]]),FALSE),"")</f>
        <v/>
      </c>
      <c r="G147" s="242" t="str">
        <f>IFERROR(VLOOKUP(T_BilanSocial2[[#This Row],[Zone_Bilan]],T_P_BilanSocial[#Data],COLUMN(T_P_BilanSocial[[#This Row],[Sexe]]),FALSE),"")</f>
        <v/>
      </c>
      <c r="H147" s="243" t="str">
        <f>IFERROR(VLOOKUP(T_BilanSocial2[[#This Row],[Zone_Bilan]],T_P_BilanSocial[#Data],COLUMN(T_P_BilanSocial[[#This Row],[Categorie]]),FALSE),"")</f>
        <v/>
      </c>
      <c r="I147" s="242" t="str">
        <f>IFERROR(VLOOKUP(T_BilanSocial2[[#This Row],[Zone_Bilan]],T_P_BilanSocial[#Data],COLUMN(T_P_BilanSocial[[#This Row],[Statut]]),FALSE),"")</f>
        <v/>
      </c>
      <c r="J147" s="242" t="str">
        <f>IFERROR(VLOOKUP(T_BilanSocial2[[#This Row],[Zone_Bilan]],T_P_BilanSocial[#Data],COLUMN(T_P_BilanSocial[[#This Row],[Filiere]]),FALSE),"")</f>
        <v/>
      </c>
      <c r="K147" s="78">
        <v>1</v>
      </c>
      <c r="L147" s="213">
        <v>1.5451388888888891</v>
      </c>
      <c r="M147" s="78" t="s">
        <v>210</v>
      </c>
      <c r="N147" s="79" t="str">
        <f>IF((AND(T_BilanSocial2[[#This Row],[Nom]]&lt;&gt;"",T_BilanSocial2[[#This Row],[Reg Ponct]]="R")),(COUNTIF(S147:AX147,"S")+COUNTIF(S147:AX147,"T"))/2,"")</f>
        <v/>
      </c>
      <c r="O147" s="79" t="str">
        <f>IF((AND(T_BilanSocial2[[#This Row],[Nom]]&lt;&gt;"",T_BilanSocial2[[#This Row],[Reg Ponct]]="R")),COUNTIF(S147:AX147,"S")/2,"")</f>
        <v/>
      </c>
      <c r="P147" s="80" t="str">
        <f>IF((AND(T_BilanSocial2[[#This Row],[Nom]]&lt;&gt;"",T_BilanSocial2[[#This Row],[Reg Ponct]]="R")),COUNTIF(S147:AX147,"t")/2,"")</f>
        <v/>
      </c>
      <c r="Q147" s="81" t="str">
        <f t="shared" si="18"/>
        <v/>
      </c>
      <c r="R147" s="82" t="str">
        <f>IF((AND(T_BilanSocial2[[#This Row],[Nom]]&lt;&gt;"",T_BilanSocial2[[#This Row],[Reg Ponct]]="R")),IF(S147="T",U147-T147,0)+IF(V147="T",X147-W147,0)+IF(Z147="T",AB147-AA147,0)+IF(AC147="T",AE147-AD147,0)+IF(AG147="T",AI147-AH147,0)+IF(AJ147="T",AL147-AK147,0)+IF(AN147="T",AP147-AO147,0)+IF(AQ147="T",AS147-AR147,0)+IF(AU147="T",AW147-AV147,0)+IF(AX147="T",AZ147-AY147,0),"")</f>
        <v/>
      </c>
      <c r="S147" s="36" t="s">
        <v>306</v>
      </c>
      <c r="T147" s="37">
        <v>0.35416666666666669</v>
      </c>
      <c r="U147" s="37">
        <v>0.52083333333333337</v>
      </c>
      <c r="V147" s="21" t="s">
        <v>306</v>
      </c>
      <c r="W147" s="37">
        <v>0.5625</v>
      </c>
      <c r="X147" s="37">
        <v>0.72916666666666663</v>
      </c>
      <c r="Y147" s="38" t="str">
        <f t="shared" si="19"/>
        <v/>
      </c>
      <c r="Z147" s="36" t="s">
        <v>307</v>
      </c>
      <c r="AA147" s="37">
        <v>0.33333333333333331</v>
      </c>
      <c r="AB147" s="37">
        <v>0.5</v>
      </c>
      <c r="AC147" s="21" t="s">
        <v>307</v>
      </c>
      <c r="AD147" s="37">
        <v>0.54166666666666663</v>
      </c>
      <c r="AE147" s="37">
        <v>0.73263888888888884</v>
      </c>
      <c r="AF147" s="38" t="str">
        <f t="shared" si="20"/>
        <v/>
      </c>
      <c r="AG147" s="36" t="s">
        <v>307</v>
      </c>
      <c r="AH147" s="37">
        <v>0.33333333333333331</v>
      </c>
      <c r="AI147" s="37">
        <v>0.52083333333333337</v>
      </c>
      <c r="AJ147" s="21" t="s">
        <v>308</v>
      </c>
      <c r="AK147" s="37"/>
      <c r="AL147" s="37"/>
      <c r="AM147" s="38" t="str">
        <f t="shared" si="21"/>
        <v/>
      </c>
      <c r="AN147" s="36" t="s">
        <v>306</v>
      </c>
      <c r="AO147" s="37">
        <v>0.35416666666666669</v>
      </c>
      <c r="AP147" s="37">
        <v>0.52083333333333337</v>
      </c>
      <c r="AQ147" s="21" t="s">
        <v>306</v>
      </c>
      <c r="AR147" s="37">
        <v>0.5625</v>
      </c>
      <c r="AS147" s="37">
        <v>0.72916666666666663</v>
      </c>
      <c r="AT147" s="38" t="str">
        <f t="shared" si="22"/>
        <v/>
      </c>
      <c r="AU147" s="36" t="s">
        <v>306</v>
      </c>
      <c r="AV147" s="37">
        <v>0.35416666666666669</v>
      </c>
      <c r="AW147" s="37">
        <v>0.52083333333333337</v>
      </c>
      <c r="AX147" s="21" t="s">
        <v>307</v>
      </c>
      <c r="AY147" s="37">
        <v>0.5625</v>
      </c>
      <c r="AZ147" s="37">
        <v>0.72916666666666663</v>
      </c>
      <c r="BA147" s="39" t="str">
        <f t="shared" si="23"/>
        <v/>
      </c>
      <c r="BB147" s="46" t="s">
        <v>639</v>
      </c>
      <c r="BC147" s="31" t="s">
        <v>640</v>
      </c>
      <c r="BD147" s="16" t="s">
        <v>322</v>
      </c>
      <c r="BE147" s="16" t="s">
        <v>322</v>
      </c>
      <c r="BF147" s="244" t="str">
        <f>T_BilanSocial2[[#This Row],[Nom]]&amp;T_BilanSocial2[[#This Row],[Prénom]]</f>
        <v/>
      </c>
    </row>
    <row r="148" spans="1:58" ht="21.75" customHeight="1" x14ac:dyDescent="0.25">
      <c r="A148" s="90">
        <v>204</v>
      </c>
      <c r="B148" s="126" t="s">
        <v>311</v>
      </c>
      <c r="C148" s="126" t="str">
        <f>VLOOKUP(T_BilanSocial2[[#This Row],[NumL]],T_Commission[#Data],COLUMN(T_Commission[FINAL]),FALSE)</f>
        <v/>
      </c>
      <c r="D148" s="19" t="str">
        <f t="shared" si="16"/>
        <v/>
      </c>
      <c r="E148" s="19" t="str">
        <f t="shared" si="17"/>
        <v/>
      </c>
      <c r="F148" s="242" t="str">
        <f>IFERROR(VLOOKUP(T_BilanSocial2[[#This Row],[Zone_Bilan]],T_P_BilanSocial[#Data],COLUMN(T_P_BilanSocial[[#This Row],[Numero_SIHAM]]),FALSE),"")</f>
        <v/>
      </c>
      <c r="G148" s="242" t="str">
        <f>IFERROR(VLOOKUP(T_BilanSocial2[[#This Row],[Zone_Bilan]],T_P_BilanSocial[#Data],COLUMN(T_P_BilanSocial[[#This Row],[Sexe]]),FALSE),"")</f>
        <v/>
      </c>
      <c r="H148" s="243" t="str">
        <f>IFERROR(VLOOKUP(T_BilanSocial2[[#This Row],[Zone_Bilan]],T_P_BilanSocial[#Data],COLUMN(T_P_BilanSocial[[#This Row],[Categorie]]),FALSE),"")</f>
        <v/>
      </c>
      <c r="I148" s="242" t="str">
        <f>IFERROR(VLOOKUP(T_BilanSocial2[[#This Row],[Zone_Bilan]],T_P_BilanSocial[#Data],COLUMN(T_P_BilanSocial[[#This Row],[Statut]]),FALSE),"")</f>
        <v/>
      </c>
      <c r="J148" s="242" t="str">
        <f>IFERROR(VLOOKUP(T_BilanSocial2[[#This Row],[Zone_Bilan]],T_P_BilanSocial[#Data],COLUMN(T_P_BilanSocial[[#This Row],[Filiere]]),FALSE),"")</f>
        <v/>
      </c>
      <c r="K148" s="78">
        <v>1</v>
      </c>
      <c r="L148" s="213">
        <v>1.5451388888888891</v>
      </c>
      <c r="M148" s="78" t="s">
        <v>210</v>
      </c>
      <c r="N148" s="79" t="str">
        <f>IF((AND(T_BilanSocial2[[#This Row],[Nom]]&lt;&gt;"",T_BilanSocial2[[#This Row],[Reg Ponct]]="R")),(COUNTIF(S148:AX148,"S")+COUNTIF(S148:AX148,"T"))/2,"")</f>
        <v/>
      </c>
      <c r="O148" s="79" t="str">
        <f>IF((AND(T_BilanSocial2[[#This Row],[Nom]]&lt;&gt;"",T_BilanSocial2[[#This Row],[Reg Ponct]]="R")),COUNTIF(S148:AX148,"S")/2,"")</f>
        <v/>
      </c>
      <c r="P148" s="80" t="str">
        <f>IF((AND(T_BilanSocial2[[#This Row],[Nom]]&lt;&gt;"",T_BilanSocial2[[#This Row],[Reg Ponct]]="R")),COUNTIF(S148:AX148,"t")/2,"")</f>
        <v/>
      </c>
      <c r="Q148" s="81" t="str">
        <f t="shared" si="18"/>
        <v/>
      </c>
      <c r="R148" s="82" t="str">
        <f>IF((AND(T_BilanSocial2[[#This Row],[Nom]]&lt;&gt;"",T_BilanSocial2[[#This Row],[Reg Ponct]]="R")),IF(S148="T",U148-T148,0)+IF(V148="T",X148-W148,0)+IF(Z148="T",AB148-AA148,0)+IF(AC148="T",AE148-AD148,0)+IF(AG148="T",AI148-AH148,0)+IF(AJ148="T",AL148-AK148,0)+IF(AN148="T",AP148-AO148,0)+IF(AQ148="T",AS148-AR148,0)+IF(AU148="T",AW148-AV148,0)+IF(AX148="T",AZ148-AY148,0),"")</f>
        <v/>
      </c>
      <c r="S148" s="36" t="s">
        <v>306</v>
      </c>
      <c r="T148" s="37">
        <v>0.3125</v>
      </c>
      <c r="U148" s="37">
        <v>0.5</v>
      </c>
      <c r="V148" s="21" t="s">
        <v>306</v>
      </c>
      <c r="W148" s="37">
        <v>0.54166666666666663</v>
      </c>
      <c r="X148" s="37">
        <v>0.67013888888888884</v>
      </c>
      <c r="Y148" s="38" t="str">
        <f t="shared" si="19"/>
        <v/>
      </c>
      <c r="Z148" s="36" t="s">
        <v>306</v>
      </c>
      <c r="AA148" s="37">
        <v>0.3125</v>
      </c>
      <c r="AB148" s="37">
        <v>0.5</v>
      </c>
      <c r="AC148" s="21" t="s">
        <v>306</v>
      </c>
      <c r="AD148" s="37">
        <v>0.54166666666666663</v>
      </c>
      <c r="AE148" s="37">
        <v>0.66666666666666663</v>
      </c>
      <c r="AF148" s="38" t="str">
        <f t="shared" si="20"/>
        <v/>
      </c>
      <c r="AG148" s="36" t="s">
        <v>307</v>
      </c>
      <c r="AH148" s="37">
        <v>0.3125</v>
      </c>
      <c r="AI148" s="37">
        <v>0.5</v>
      </c>
      <c r="AJ148" s="21" t="s">
        <v>307</v>
      </c>
      <c r="AK148" s="37">
        <v>0.54166666666666663</v>
      </c>
      <c r="AL148" s="37">
        <v>0.66666666666666663</v>
      </c>
      <c r="AM148" s="38" t="str">
        <f t="shared" si="21"/>
        <v/>
      </c>
      <c r="AN148" s="36" t="s">
        <v>306</v>
      </c>
      <c r="AO148" s="37">
        <v>0.3125</v>
      </c>
      <c r="AP148" s="37">
        <v>0.5</v>
      </c>
      <c r="AQ148" s="21" t="s">
        <v>306</v>
      </c>
      <c r="AR148" s="37">
        <v>0.54166666666666663</v>
      </c>
      <c r="AS148" s="37">
        <v>0.66666666666666663</v>
      </c>
      <c r="AT148" s="38" t="str">
        <f t="shared" si="22"/>
        <v/>
      </c>
      <c r="AU148" s="36" t="s">
        <v>306</v>
      </c>
      <c r="AV148" s="37">
        <v>0.3125</v>
      </c>
      <c r="AW148" s="37">
        <v>0.5</v>
      </c>
      <c r="AX148" s="21" t="s">
        <v>306</v>
      </c>
      <c r="AY148" s="37">
        <v>0.54166666666666663</v>
      </c>
      <c r="AZ148" s="37">
        <v>0.64583333333333337</v>
      </c>
      <c r="BA148" s="39" t="str">
        <f t="shared" si="23"/>
        <v/>
      </c>
      <c r="BB148" s="46" t="s">
        <v>443</v>
      </c>
      <c r="BC148" s="31" t="s">
        <v>1096</v>
      </c>
      <c r="BD148" s="16" t="s">
        <v>311</v>
      </c>
      <c r="BE148" s="16" t="s">
        <v>311</v>
      </c>
      <c r="BF148" s="244" t="str">
        <f>T_BilanSocial2[[#This Row],[Nom]]&amp;T_BilanSocial2[[#This Row],[Prénom]]</f>
        <v/>
      </c>
    </row>
    <row r="149" spans="1:58" ht="21.75" hidden="1" customHeight="1" x14ac:dyDescent="0.25">
      <c r="A149" s="90">
        <v>42</v>
      </c>
      <c r="B149" s="126" t="s">
        <v>311</v>
      </c>
      <c r="C149" s="126" t="str">
        <f>VLOOKUP(T_BilanSocial2[[#This Row],[NumL]],T_Commission[#Data],COLUMN(T_Commission[FINAL]),FALSE)</f>
        <v/>
      </c>
      <c r="D149" s="19" t="str">
        <f t="shared" si="16"/>
        <v/>
      </c>
      <c r="E149" s="19" t="str">
        <f t="shared" si="17"/>
        <v/>
      </c>
      <c r="F149" s="242" t="str">
        <f>IFERROR(VLOOKUP(T_BilanSocial2[[#This Row],[Zone_Bilan]],T_P_BilanSocial[#Data],COLUMN(T_P_BilanSocial[[#This Row],[Numero_SIHAM]]),FALSE),"")</f>
        <v/>
      </c>
      <c r="G149" s="242" t="str">
        <f>IFERROR(VLOOKUP(T_BilanSocial2[[#This Row],[Zone_Bilan]],T_P_BilanSocial[#Data],COLUMN(T_P_BilanSocial[[#This Row],[Sexe]]),FALSE),"")</f>
        <v/>
      </c>
      <c r="H149" s="243" t="str">
        <f>IFERROR(VLOOKUP(T_BilanSocial2[[#This Row],[Zone_Bilan]],T_P_BilanSocial[#Data],COLUMN(T_P_BilanSocial[[#This Row],[Categorie]]),FALSE),"")</f>
        <v/>
      </c>
      <c r="I149" s="242" t="str">
        <f>IFERROR(VLOOKUP(T_BilanSocial2[[#This Row],[Zone_Bilan]],T_P_BilanSocial[#Data],COLUMN(T_P_BilanSocial[[#This Row],[Statut]]),FALSE),"")</f>
        <v/>
      </c>
      <c r="J149" s="242" t="str">
        <f>IFERROR(VLOOKUP(T_BilanSocial2[[#This Row],[Zone_Bilan]],T_P_BilanSocial[#Data],COLUMN(T_P_BilanSocial[[#This Row],[Filiere]]),FALSE),"")</f>
        <v/>
      </c>
      <c r="K149" s="78">
        <v>0.8</v>
      </c>
      <c r="L149" s="213">
        <v>1.2361111111111112</v>
      </c>
      <c r="M149" s="78" t="s">
        <v>210</v>
      </c>
      <c r="N149" s="79" t="str">
        <f>IF((AND(T_BilanSocial2[[#This Row],[Nom]]&lt;&gt;"",T_BilanSocial2[[#This Row],[Reg Ponct]]="R")),(COUNTIF(S149:AX149,"S")+COUNTIF(S149:AX149,"T"))/2,"")</f>
        <v/>
      </c>
      <c r="O149" s="79" t="str">
        <f>IF((AND(T_BilanSocial2[[#This Row],[Nom]]&lt;&gt;"",T_BilanSocial2[[#This Row],[Reg Ponct]]="R")),COUNTIF(S149:AX149,"S")/2,"")</f>
        <v/>
      </c>
      <c r="P149" s="80" t="str">
        <f>IF((AND(T_BilanSocial2[[#This Row],[Nom]]&lt;&gt;"",T_BilanSocial2[[#This Row],[Reg Ponct]]="R")),COUNTIF(S149:AX149,"t")/2,"")</f>
        <v/>
      </c>
      <c r="Q149" s="81" t="str">
        <f t="shared" si="18"/>
        <v/>
      </c>
      <c r="R149" s="82" t="str">
        <f>IF((AND(T_BilanSocial2[[#This Row],[Nom]]&lt;&gt;"",T_BilanSocial2[[#This Row],[Reg Ponct]]="R")),IF(S149="T",U149-T149,0)+IF(V149="T",X149-W149,0)+IF(Z149="T",AB149-AA149,0)+IF(AC149="T",AE149-AD149,0)+IF(AG149="T",AI149-AH149,0)+IF(AJ149="T",AL149-AK149,0)+IF(AN149="T",AP149-AO149,0)+IF(AQ149="T",AS149-AR149,0)+IF(AU149="T",AW149-AV149,0)+IF(AX149="T",AZ149-AY149,0),"")</f>
        <v/>
      </c>
      <c r="S149" s="36" t="s">
        <v>306</v>
      </c>
      <c r="T149" s="37">
        <v>0.3611111111111111</v>
      </c>
      <c r="U149" s="37">
        <v>0.52083333333333337</v>
      </c>
      <c r="V149" s="21" t="s">
        <v>306</v>
      </c>
      <c r="W149" s="37">
        <v>0.5625</v>
      </c>
      <c r="X149" s="37">
        <v>0.72222222222222221</v>
      </c>
      <c r="Y149" s="38" t="str">
        <f t="shared" si="19"/>
        <v/>
      </c>
      <c r="Z149" s="36" t="s">
        <v>306</v>
      </c>
      <c r="AA149" s="37">
        <v>0.3611111111111111</v>
      </c>
      <c r="AB149" s="37">
        <v>0.52083333333333337</v>
      </c>
      <c r="AC149" s="21" t="s">
        <v>306</v>
      </c>
      <c r="AD149" s="37">
        <v>0.5625</v>
      </c>
      <c r="AE149" s="37">
        <v>0.72222222222222221</v>
      </c>
      <c r="AF149" s="38" t="str">
        <f t="shared" si="20"/>
        <v/>
      </c>
      <c r="AG149" s="36" t="s">
        <v>308</v>
      </c>
      <c r="AH149" s="37"/>
      <c r="AI149" s="37"/>
      <c r="AJ149" s="21" t="s">
        <v>308</v>
      </c>
      <c r="AK149" s="37"/>
      <c r="AL149" s="37"/>
      <c r="AM149" s="38" t="str">
        <f t="shared" si="21"/>
        <v/>
      </c>
      <c r="AN149" s="36" t="s">
        <v>306</v>
      </c>
      <c r="AO149" s="37">
        <v>0.3611111111111111</v>
      </c>
      <c r="AP149" s="37">
        <v>0.52083333333333337</v>
      </c>
      <c r="AQ149" s="21" t="s">
        <v>306</v>
      </c>
      <c r="AR149" s="37">
        <v>0.5625</v>
      </c>
      <c r="AS149" s="37">
        <v>0.72222222222222221</v>
      </c>
      <c r="AT149" s="38" t="str">
        <f t="shared" si="22"/>
        <v/>
      </c>
      <c r="AU149" s="36" t="s">
        <v>307</v>
      </c>
      <c r="AV149" s="37">
        <v>0.3611111111111111</v>
      </c>
      <c r="AW149" s="37">
        <v>0.52083333333333337</v>
      </c>
      <c r="AX149" s="21" t="s">
        <v>307</v>
      </c>
      <c r="AY149" s="37">
        <v>0.5625</v>
      </c>
      <c r="AZ149" s="37">
        <v>0.68055555555555547</v>
      </c>
      <c r="BA149" s="39" t="str">
        <f t="shared" si="23"/>
        <v/>
      </c>
      <c r="BB149" s="46" t="s">
        <v>340</v>
      </c>
      <c r="BC149" s="31" t="s">
        <v>341</v>
      </c>
      <c r="BD149" s="16" t="s">
        <v>322</v>
      </c>
      <c r="BE149" s="16" t="s">
        <v>311</v>
      </c>
      <c r="BF149" s="244" t="str">
        <f>T_BilanSocial2[[#This Row],[Nom]]&amp;T_BilanSocial2[[#This Row],[Prénom]]</f>
        <v/>
      </c>
    </row>
    <row r="150" spans="1:58" ht="21.75" hidden="1" customHeight="1" x14ac:dyDescent="0.25">
      <c r="A150" s="90">
        <v>241</v>
      </c>
      <c r="B150" s="126" t="s">
        <v>311</v>
      </c>
      <c r="C150" s="126" t="str">
        <f>VLOOKUP(T_BilanSocial2[[#This Row],[NumL]],T_Commission[#Data],COLUMN(T_Commission[FINAL]),FALSE)</f>
        <v/>
      </c>
      <c r="D150" s="19" t="str">
        <f t="shared" si="16"/>
        <v/>
      </c>
      <c r="E150" s="19" t="str">
        <f t="shared" si="17"/>
        <v/>
      </c>
      <c r="F150" s="242" t="str">
        <f>IFERROR(VLOOKUP(T_BilanSocial2[[#This Row],[Zone_Bilan]],T_P_BilanSocial[#Data],COLUMN(T_P_BilanSocial[[#This Row],[Numero_SIHAM]]),FALSE),"")</f>
        <v/>
      </c>
      <c r="G150" s="242" t="str">
        <f>IFERROR(VLOOKUP(T_BilanSocial2[[#This Row],[Zone_Bilan]],T_P_BilanSocial[#Data],COLUMN(T_P_BilanSocial[[#This Row],[Sexe]]),FALSE),"")</f>
        <v/>
      </c>
      <c r="H150" s="243" t="str">
        <f>IFERROR(VLOOKUP(T_BilanSocial2[[#This Row],[Zone_Bilan]],T_P_BilanSocial[#Data],COLUMN(T_P_BilanSocial[[#This Row],[Categorie]]),FALSE),"")</f>
        <v/>
      </c>
      <c r="I150" s="242" t="str">
        <f>IFERROR(VLOOKUP(T_BilanSocial2[[#This Row],[Zone_Bilan]],T_P_BilanSocial[#Data],COLUMN(T_P_BilanSocial[[#This Row],[Statut]]),FALSE),"")</f>
        <v/>
      </c>
      <c r="J150" s="242" t="str">
        <f>IFERROR(VLOOKUP(T_BilanSocial2[[#This Row],[Zone_Bilan]],T_P_BilanSocial[#Data],COLUMN(T_P_BilanSocial[[#This Row],[Filiere]]),FALSE),"")</f>
        <v/>
      </c>
      <c r="K150" s="78">
        <v>1</v>
      </c>
      <c r="L150" s="213">
        <v>1.5451388888888891</v>
      </c>
      <c r="M150" s="78" t="s">
        <v>210</v>
      </c>
      <c r="N150" s="79" t="str">
        <f>IF((AND(T_BilanSocial2[[#This Row],[Nom]]&lt;&gt;"",T_BilanSocial2[[#This Row],[Reg Ponct]]="R")),(COUNTIF(S150:AX150,"S")+COUNTIF(S150:AX150,"T"))/2,"")</f>
        <v/>
      </c>
      <c r="O150" s="79" t="str">
        <f>IF((AND(T_BilanSocial2[[#This Row],[Nom]]&lt;&gt;"",T_BilanSocial2[[#This Row],[Reg Ponct]]="R")),COUNTIF(S150:AX150,"S")/2,"")</f>
        <v/>
      </c>
      <c r="P150" s="80" t="str">
        <f>IF((AND(T_BilanSocial2[[#This Row],[Nom]]&lt;&gt;"",T_BilanSocial2[[#This Row],[Reg Ponct]]="R")),COUNTIF(S150:AX150,"t")/2,"")</f>
        <v/>
      </c>
      <c r="Q150" s="81" t="str">
        <f t="shared" si="18"/>
        <v/>
      </c>
      <c r="R150" s="82" t="str">
        <f>IF((AND(T_BilanSocial2[[#This Row],[Nom]]&lt;&gt;"",T_BilanSocial2[[#This Row],[Reg Ponct]]="R")),IF(S150="T",U150-T150,0)+IF(V150="T",X150-W150,0)+IF(Z150="T",AB150-AA150,0)+IF(AC150="T",AE150-AD150,0)+IF(AG150="T",AI150-AH150,0)+IF(AJ150="T",AL150-AK150,0)+IF(AN150="T",AP150-AO150,0)+IF(AQ150="T",AS150-AR150,0)+IF(AU150="T",AW150-AV150,0)+IF(AX150="T",AZ150-AY150,0),"")</f>
        <v/>
      </c>
      <c r="S150" s="36" t="s">
        <v>307</v>
      </c>
      <c r="T150" s="37">
        <v>0.33333333333333331</v>
      </c>
      <c r="U150" s="37">
        <v>0.52083333333333337</v>
      </c>
      <c r="V150" s="21" t="s">
        <v>307</v>
      </c>
      <c r="W150" s="37">
        <v>0.5625</v>
      </c>
      <c r="X150" s="37">
        <v>0.70833333333333337</v>
      </c>
      <c r="Y150" s="38" t="str">
        <f t="shared" si="19"/>
        <v/>
      </c>
      <c r="Z150" s="36" t="s">
        <v>306</v>
      </c>
      <c r="AA150" s="37">
        <v>0.33333333333333331</v>
      </c>
      <c r="AB150" s="37">
        <v>0.52083333333333337</v>
      </c>
      <c r="AC150" s="21" t="s">
        <v>306</v>
      </c>
      <c r="AD150" s="37">
        <v>0.5625</v>
      </c>
      <c r="AE150" s="37">
        <v>0.70833333333333337</v>
      </c>
      <c r="AF150" s="38" t="str">
        <f t="shared" si="20"/>
        <v/>
      </c>
      <c r="AG150" s="36" t="s">
        <v>306</v>
      </c>
      <c r="AH150" s="37">
        <v>0.33333333333333331</v>
      </c>
      <c r="AI150" s="37">
        <v>0.52083333333333337</v>
      </c>
      <c r="AJ150" s="21" t="s">
        <v>306</v>
      </c>
      <c r="AK150" s="37">
        <v>0.5625</v>
      </c>
      <c r="AL150" s="37">
        <v>0.70833333333333337</v>
      </c>
      <c r="AM150" s="38" t="str">
        <f t="shared" si="21"/>
        <v/>
      </c>
      <c r="AN150" s="36" t="s">
        <v>306</v>
      </c>
      <c r="AO150" s="37">
        <v>0.33333333333333331</v>
      </c>
      <c r="AP150" s="37">
        <v>0.54513888888888895</v>
      </c>
      <c r="AQ150" s="21" t="s">
        <v>308</v>
      </c>
      <c r="AR150" s="37"/>
      <c r="AS150" s="37"/>
      <c r="AT150" s="38" t="str">
        <f t="shared" si="22"/>
        <v/>
      </c>
      <c r="AU150" s="36" t="s">
        <v>306</v>
      </c>
      <c r="AV150" s="37">
        <v>0.33333333333333331</v>
      </c>
      <c r="AW150" s="37">
        <v>0.52083333333333337</v>
      </c>
      <c r="AX150" s="21" t="s">
        <v>306</v>
      </c>
      <c r="AY150" s="37">
        <v>0.5625</v>
      </c>
      <c r="AZ150" s="37">
        <v>0.70833333333333337</v>
      </c>
      <c r="BA150" s="39" t="str">
        <f t="shared" si="23"/>
        <v/>
      </c>
      <c r="BB150" s="46" t="s">
        <v>320</v>
      </c>
      <c r="BC150" s="31" t="s">
        <v>321</v>
      </c>
      <c r="BD150" s="16" t="s">
        <v>311</v>
      </c>
      <c r="BE150" s="16" t="s">
        <v>311</v>
      </c>
      <c r="BF150" s="244" t="str">
        <f>T_BilanSocial2[[#This Row],[Nom]]&amp;T_BilanSocial2[[#This Row],[Prénom]]</f>
        <v/>
      </c>
    </row>
    <row r="151" spans="1:58" ht="21.75" hidden="1" customHeight="1" x14ac:dyDescent="0.25">
      <c r="A151" s="90">
        <v>196</v>
      </c>
      <c r="B151" s="126" t="s">
        <v>311</v>
      </c>
      <c r="C151" s="126" t="str">
        <f>VLOOKUP(T_BilanSocial2[[#This Row],[NumL]],T_Commission[#Data],COLUMN(T_Commission[FINAL]),FALSE)</f>
        <v/>
      </c>
      <c r="D151" s="19" t="str">
        <f t="shared" si="16"/>
        <v/>
      </c>
      <c r="E151" s="19" t="str">
        <f t="shared" si="17"/>
        <v/>
      </c>
      <c r="F151" s="242" t="str">
        <f>IFERROR(VLOOKUP(T_BilanSocial2[[#This Row],[Zone_Bilan]],T_P_BilanSocial[#Data],COLUMN(T_P_BilanSocial[[#This Row],[Numero_SIHAM]]),FALSE),"")</f>
        <v/>
      </c>
      <c r="G151" s="242" t="str">
        <f>IFERROR(VLOOKUP(T_BilanSocial2[[#This Row],[Zone_Bilan]],T_P_BilanSocial[#Data],COLUMN(T_P_BilanSocial[[#This Row],[Sexe]]),FALSE),"")</f>
        <v/>
      </c>
      <c r="H151" s="243" t="str">
        <f>IFERROR(VLOOKUP(T_BilanSocial2[[#This Row],[Zone_Bilan]],T_P_BilanSocial[#Data],COLUMN(T_P_BilanSocial[[#This Row],[Categorie]]),FALSE),"")</f>
        <v/>
      </c>
      <c r="I151" s="242" t="str">
        <f>IFERROR(VLOOKUP(T_BilanSocial2[[#This Row],[Zone_Bilan]],T_P_BilanSocial[#Data],COLUMN(T_P_BilanSocial[[#This Row],[Statut]]),FALSE),"")</f>
        <v/>
      </c>
      <c r="J151" s="242" t="str">
        <f>IFERROR(VLOOKUP(T_BilanSocial2[[#This Row],[Zone_Bilan]],T_P_BilanSocial[#Data],COLUMN(T_P_BilanSocial[[#This Row],[Filiere]]),FALSE),"")</f>
        <v/>
      </c>
      <c r="K151" s="78">
        <v>1</v>
      </c>
      <c r="L151" s="213">
        <v>1.5451388888888891</v>
      </c>
      <c r="M151" s="78" t="s">
        <v>210</v>
      </c>
      <c r="N151" s="79" t="str">
        <f>IF((AND(T_BilanSocial2[[#This Row],[Nom]]&lt;&gt;"",T_BilanSocial2[[#This Row],[Reg Ponct]]="R")),(COUNTIF(S151:AX151,"S")+COUNTIF(S151:AX151,"T"))/2,"")</f>
        <v/>
      </c>
      <c r="O151" s="79" t="str">
        <f>IF((AND(T_BilanSocial2[[#This Row],[Nom]]&lt;&gt;"",T_BilanSocial2[[#This Row],[Reg Ponct]]="R")),COUNTIF(S151:AX151,"S")/2,"")</f>
        <v/>
      </c>
      <c r="P151" s="80" t="str">
        <f>IF((AND(T_BilanSocial2[[#This Row],[Nom]]&lt;&gt;"",T_BilanSocial2[[#This Row],[Reg Ponct]]="R")),COUNTIF(S151:AX151,"t")/2,"")</f>
        <v/>
      </c>
      <c r="Q151" s="81" t="str">
        <f t="shared" si="18"/>
        <v/>
      </c>
      <c r="R151" s="82" t="str">
        <f>IF((AND(T_BilanSocial2[[#This Row],[Nom]]&lt;&gt;"",T_BilanSocial2[[#This Row],[Reg Ponct]]="R")),IF(S151="T",U151-T151,0)+IF(V151="T",X151-W151,0)+IF(Z151="T",AB151-AA151,0)+IF(AC151="T",AE151-AD151,0)+IF(AG151="T",AI151-AH151,0)+IF(AJ151="T",AL151-AK151,0)+IF(AN151="T",AP151-AO151,0)+IF(AQ151="T",AS151-AR151,0)+IF(AU151="T",AW151-AV151,0)+IF(AX151="T",AZ151-AY151,0),"")</f>
        <v/>
      </c>
      <c r="S151" s="36" t="s">
        <v>306</v>
      </c>
      <c r="T151" s="37">
        <v>0.35416666666666669</v>
      </c>
      <c r="U151" s="37">
        <v>0.52083333333333337</v>
      </c>
      <c r="V151" s="21" t="s">
        <v>306</v>
      </c>
      <c r="W151" s="37">
        <v>0.5625</v>
      </c>
      <c r="X151" s="37">
        <v>0.73263888888888884</v>
      </c>
      <c r="Y151" s="38" t="str">
        <f t="shared" si="19"/>
        <v/>
      </c>
      <c r="Z151" s="36" t="s">
        <v>306</v>
      </c>
      <c r="AA151" s="37">
        <v>0.35416666666666669</v>
      </c>
      <c r="AB151" s="37">
        <v>0.52083333333333337</v>
      </c>
      <c r="AC151" s="21" t="s">
        <v>306</v>
      </c>
      <c r="AD151" s="37">
        <v>0.5625</v>
      </c>
      <c r="AE151" s="37">
        <v>0.73958333333333337</v>
      </c>
      <c r="AF151" s="38" t="str">
        <f t="shared" si="20"/>
        <v/>
      </c>
      <c r="AG151" s="36" t="s">
        <v>306</v>
      </c>
      <c r="AH151" s="37">
        <v>0.35416666666666669</v>
      </c>
      <c r="AI151" s="37">
        <v>0.52083333333333337</v>
      </c>
      <c r="AJ151" s="21" t="s">
        <v>306</v>
      </c>
      <c r="AK151" s="37">
        <v>0.5625</v>
      </c>
      <c r="AL151" s="37">
        <v>0.73958333333333337</v>
      </c>
      <c r="AM151" s="38" t="str">
        <f t="shared" si="21"/>
        <v/>
      </c>
      <c r="AN151" s="36" t="s">
        <v>307</v>
      </c>
      <c r="AO151" s="37">
        <v>0.33333333333333331</v>
      </c>
      <c r="AP151" s="37">
        <v>0.52083333333333337</v>
      </c>
      <c r="AQ151" s="21" t="s">
        <v>308</v>
      </c>
      <c r="AR151" s="37"/>
      <c r="AS151" s="37"/>
      <c r="AT151" s="38" t="str">
        <f t="shared" si="22"/>
        <v/>
      </c>
      <c r="AU151" s="36" t="s">
        <v>306</v>
      </c>
      <c r="AV151" s="37">
        <v>0.33333333333333331</v>
      </c>
      <c r="AW151" s="37">
        <v>0.52083333333333337</v>
      </c>
      <c r="AX151" s="21" t="s">
        <v>306</v>
      </c>
      <c r="AY151" s="37">
        <v>0.5625</v>
      </c>
      <c r="AZ151" s="37">
        <v>0.70833333333333337</v>
      </c>
      <c r="BA151" s="39" t="str">
        <f t="shared" si="23"/>
        <v/>
      </c>
      <c r="BB151" s="46" t="s">
        <v>477</v>
      </c>
      <c r="BC151" s="31" t="s">
        <v>478</v>
      </c>
      <c r="BD151" s="16" t="s">
        <v>311</v>
      </c>
      <c r="BE151" s="16" t="s">
        <v>311</v>
      </c>
      <c r="BF151" s="244" t="str">
        <f>T_BilanSocial2[[#This Row],[Nom]]&amp;T_BilanSocial2[[#This Row],[Prénom]]</f>
        <v/>
      </c>
    </row>
    <row r="152" spans="1:58" ht="21.75" hidden="1" customHeight="1" x14ac:dyDescent="0.25">
      <c r="A152" s="90">
        <v>47</v>
      </c>
      <c r="B152" s="126" t="s">
        <v>210</v>
      </c>
      <c r="C152" s="126" t="str">
        <f>VLOOKUP(T_BilanSocial2[[#This Row],[NumL]],T_Commission[#Data],COLUMN(T_Commission[FINAL]),FALSE)</f>
        <v/>
      </c>
      <c r="D152" s="19" t="str">
        <f t="shared" si="16"/>
        <v/>
      </c>
      <c r="E152" s="19" t="str">
        <f t="shared" si="17"/>
        <v/>
      </c>
      <c r="F152" s="242" t="str">
        <f>IFERROR(VLOOKUP(T_BilanSocial2[[#This Row],[Zone_Bilan]],T_P_BilanSocial[#Data],COLUMN(T_P_BilanSocial[[#This Row],[Numero_SIHAM]]),FALSE),"")</f>
        <v/>
      </c>
      <c r="G152" s="242" t="str">
        <f>IFERROR(VLOOKUP(T_BilanSocial2[[#This Row],[Zone_Bilan]],T_P_BilanSocial[#Data],COLUMN(T_P_BilanSocial[[#This Row],[Sexe]]),FALSE),"")</f>
        <v/>
      </c>
      <c r="H152" s="243" t="str">
        <f>IFERROR(VLOOKUP(T_BilanSocial2[[#This Row],[Zone_Bilan]],T_P_BilanSocial[#Data],COLUMN(T_P_BilanSocial[[#This Row],[Categorie]]),FALSE),"")</f>
        <v/>
      </c>
      <c r="I152" s="242" t="str">
        <f>IFERROR(VLOOKUP(T_BilanSocial2[[#This Row],[Zone_Bilan]],T_P_BilanSocial[#Data],COLUMN(T_P_BilanSocial[[#This Row],[Statut]]),FALSE),"")</f>
        <v/>
      </c>
      <c r="J152" s="242" t="str">
        <f>IFERROR(VLOOKUP(T_BilanSocial2[[#This Row],[Zone_Bilan]],T_P_BilanSocial[#Data],COLUMN(T_P_BilanSocial[[#This Row],[Filiere]]),FALSE),"")</f>
        <v/>
      </c>
      <c r="K152" s="78">
        <v>0.8</v>
      </c>
      <c r="L152" s="213">
        <v>1.2361111111111112</v>
      </c>
      <c r="M152" s="78" t="s">
        <v>210</v>
      </c>
      <c r="N152" s="79" t="str">
        <f>IF((AND(T_BilanSocial2[[#This Row],[Nom]]&lt;&gt;"",T_BilanSocial2[[#This Row],[Reg Ponct]]="R")),(COUNTIF(S152:AX152,"S")+COUNTIF(S152:AX152,"T"))/2,"")</f>
        <v/>
      </c>
      <c r="O152" s="79" t="str">
        <f>IF((AND(T_BilanSocial2[[#This Row],[Nom]]&lt;&gt;"",T_BilanSocial2[[#This Row],[Reg Ponct]]="R")),COUNTIF(S152:AX152,"S")/2,"")</f>
        <v/>
      </c>
      <c r="P152" s="80" t="str">
        <f>IF((AND(T_BilanSocial2[[#This Row],[Nom]]&lt;&gt;"",T_BilanSocial2[[#This Row],[Reg Ponct]]="R")),COUNTIF(S152:AX152,"t")/2,"")</f>
        <v/>
      </c>
      <c r="Q152" s="81" t="str">
        <f t="shared" si="18"/>
        <v/>
      </c>
      <c r="R152" s="82" t="str">
        <f>IF((AND(T_BilanSocial2[[#This Row],[Nom]]&lt;&gt;"",T_BilanSocial2[[#This Row],[Reg Ponct]]="R")),IF(S152="T",U152-T152,0)+IF(V152="T",X152-W152,0)+IF(Z152="T",AB152-AA152,0)+IF(AC152="T",AE152-AD152,0)+IF(AG152="T",AI152-AH152,0)+IF(AJ152="T",AL152-AK152,0)+IF(AN152="T",AP152-AO152,0)+IF(AQ152="T",AS152-AR152,0)+IF(AU152="T",AW152-AV152,0)+IF(AX152="T",AZ152-AY152,0),"")</f>
        <v/>
      </c>
      <c r="S152" s="36" t="s">
        <v>306</v>
      </c>
      <c r="T152" s="37">
        <v>0.3125</v>
      </c>
      <c r="U152" s="37">
        <v>0.52083333333333337</v>
      </c>
      <c r="V152" s="21" t="s">
        <v>306</v>
      </c>
      <c r="W152" s="37">
        <v>0.5625</v>
      </c>
      <c r="X152" s="37">
        <v>0.65972222222222221</v>
      </c>
      <c r="Y152" s="38" t="str">
        <f t="shared" si="19"/>
        <v/>
      </c>
      <c r="Z152" s="36" t="s">
        <v>306</v>
      </c>
      <c r="AA152" s="37">
        <v>0.3125</v>
      </c>
      <c r="AB152" s="37">
        <v>0.52083333333333337</v>
      </c>
      <c r="AC152" s="21" t="s">
        <v>306</v>
      </c>
      <c r="AD152" s="37">
        <v>0.5625</v>
      </c>
      <c r="AE152" s="37">
        <v>0.65972222222222221</v>
      </c>
      <c r="AF152" s="38" t="str">
        <f t="shared" si="20"/>
        <v/>
      </c>
      <c r="AG152" s="36" t="s">
        <v>308</v>
      </c>
      <c r="AH152" s="37"/>
      <c r="AI152" s="37"/>
      <c r="AJ152" s="21" t="s">
        <v>308</v>
      </c>
      <c r="AK152" s="37"/>
      <c r="AL152" s="37"/>
      <c r="AM152" s="38" t="str">
        <f t="shared" si="21"/>
        <v/>
      </c>
      <c r="AN152" s="36" t="s">
        <v>306</v>
      </c>
      <c r="AO152" s="37">
        <v>0.3125</v>
      </c>
      <c r="AP152" s="37">
        <v>0.52083333333333337</v>
      </c>
      <c r="AQ152" s="21" t="s">
        <v>306</v>
      </c>
      <c r="AR152" s="37">
        <v>0.5625</v>
      </c>
      <c r="AS152" s="37">
        <v>0.65972222222222221</v>
      </c>
      <c r="AT152" s="38" t="str">
        <f t="shared" si="22"/>
        <v/>
      </c>
      <c r="AU152" s="36" t="s">
        <v>307</v>
      </c>
      <c r="AV152" s="37">
        <v>0.3263888888888889</v>
      </c>
      <c r="AW152" s="37">
        <v>0.52083333333333337</v>
      </c>
      <c r="AX152" s="21" t="s">
        <v>307</v>
      </c>
      <c r="AY152" s="37">
        <v>0.5625</v>
      </c>
      <c r="AZ152" s="37">
        <v>0.6875</v>
      </c>
      <c r="BA152" s="39" t="str">
        <f t="shared" si="23"/>
        <v/>
      </c>
      <c r="BB152" s="46" t="s">
        <v>531</v>
      </c>
      <c r="BC152" s="31" t="s">
        <v>532</v>
      </c>
      <c r="BD152" s="16" t="s">
        <v>311</v>
      </c>
      <c r="BE152" s="16" t="s">
        <v>322</v>
      </c>
      <c r="BF152" s="244" t="str">
        <f>T_BilanSocial2[[#This Row],[Nom]]&amp;T_BilanSocial2[[#This Row],[Prénom]]</f>
        <v/>
      </c>
    </row>
    <row r="153" spans="1:58" ht="21.75" hidden="1" customHeight="1" x14ac:dyDescent="0.25">
      <c r="A153" s="90">
        <v>124</v>
      </c>
      <c r="B153" s="126" t="s">
        <v>311</v>
      </c>
      <c r="C153" s="126" t="e">
        <f>VLOOKUP(T_BilanSocial2[[#This Row],[NumL]],T_Commission[#Data],COLUMN(T_Commission[FINAL]),FALSE)</f>
        <v>#N/A</v>
      </c>
      <c r="D153" s="19" t="str">
        <f t="shared" si="16"/>
        <v/>
      </c>
      <c r="E153" s="19" t="str">
        <f t="shared" si="17"/>
        <v/>
      </c>
      <c r="F153" s="242" t="str">
        <f>IFERROR(VLOOKUP(T_BilanSocial2[[#This Row],[Zone_Bilan]],T_P_BilanSocial[#Data],COLUMN(T_P_BilanSocial[[#This Row],[Numero_SIHAM]]),FALSE),"")</f>
        <v/>
      </c>
      <c r="G153" s="242" t="str">
        <f>IFERROR(VLOOKUP(T_BilanSocial2[[#This Row],[Zone_Bilan]],T_P_BilanSocial[#Data],COLUMN(T_P_BilanSocial[[#This Row],[Sexe]]),FALSE),"")</f>
        <v/>
      </c>
      <c r="H153" s="243" t="str">
        <f>IFERROR(VLOOKUP(T_BilanSocial2[[#This Row],[Zone_Bilan]],T_P_BilanSocial[#Data],COLUMN(T_P_BilanSocial[[#This Row],[Categorie]]),FALSE),"")</f>
        <v/>
      </c>
      <c r="I153" s="242" t="str">
        <f>IFERROR(VLOOKUP(T_BilanSocial2[[#This Row],[Zone_Bilan]],T_P_BilanSocial[#Data],COLUMN(T_P_BilanSocial[[#This Row],[Statut]]),FALSE),"")</f>
        <v/>
      </c>
      <c r="J153" s="242" t="str">
        <f>IFERROR(VLOOKUP(T_BilanSocial2[[#This Row],[Zone_Bilan]],T_P_BilanSocial[#Data],COLUMN(T_P_BilanSocial[[#This Row],[Filiere]]),FALSE),"")</f>
        <v/>
      </c>
      <c r="K153" s="78">
        <v>1</v>
      </c>
      <c r="L153" s="213">
        <v>1.5451388888888891</v>
      </c>
      <c r="M153" s="78" t="s">
        <v>210</v>
      </c>
      <c r="N153" s="79" t="str">
        <f>IF((AND(T_BilanSocial2[[#This Row],[Nom]]&lt;&gt;"",T_BilanSocial2[[#This Row],[Reg Ponct]]="R")),(COUNTIF(S153:AX153,"S")+COUNTIF(S153:AX153,"T"))/2,"")</f>
        <v/>
      </c>
      <c r="O153" s="79" t="str">
        <f>IF((AND(T_BilanSocial2[[#This Row],[Nom]]&lt;&gt;"",T_BilanSocial2[[#This Row],[Reg Ponct]]="R")),COUNTIF(S153:AX153,"S")/2,"")</f>
        <v/>
      </c>
      <c r="P153" s="80" t="str">
        <f>IF((AND(T_BilanSocial2[[#This Row],[Nom]]&lt;&gt;"",T_BilanSocial2[[#This Row],[Reg Ponct]]="R")),COUNTIF(S153:AX153,"t")/2,"")</f>
        <v/>
      </c>
      <c r="Q153" s="81" t="str">
        <f t="shared" si="18"/>
        <v/>
      </c>
      <c r="R153" s="82" t="str">
        <f>IF((AND(T_BilanSocial2[[#This Row],[Nom]]&lt;&gt;"",T_BilanSocial2[[#This Row],[Reg Ponct]]="R")),IF(S153="T",U153-T153,0)+IF(V153="T",X153-W153,0)+IF(Z153="T",AB153-AA153,0)+IF(AC153="T",AE153-AD153,0)+IF(AG153="T",AI153-AH153,0)+IF(AJ153="T",AL153-AK153,0)+IF(AN153="T",AP153-AO153,0)+IF(AQ153="T",AS153-AR153,0)+IF(AU153="T",AW153-AV153,0)+IF(AX153="T",AZ153-AY153,0),"")</f>
        <v/>
      </c>
      <c r="S153" s="36" t="s">
        <v>306</v>
      </c>
      <c r="T153" s="37">
        <v>0.33333333333333331</v>
      </c>
      <c r="U153" s="37">
        <v>0.52083333333333337</v>
      </c>
      <c r="V153" s="21" t="s">
        <v>306</v>
      </c>
      <c r="W153" s="37">
        <v>0.5625</v>
      </c>
      <c r="X153" s="37">
        <v>0.71875</v>
      </c>
      <c r="Y153" s="38" t="str">
        <f t="shared" si="19"/>
        <v/>
      </c>
      <c r="Z153" s="36" t="s">
        <v>306</v>
      </c>
      <c r="AA153" s="37">
        <v>0.33333333333333331</v>
      </c>
      <c r="AB153" s="37">
        <v>0.52083333333333337</v>
      </c>
      <c r="AC153" s="21" t="s">
        <v>306</v>
      </c>
      <c r="AD153" s="37">
        <v>0.5625</v>
      </c>
      <c r="AE153" s="37">
        <v>0.71875</v>
      </c>
      <c r="AF153" s="38" t="str">
        <f t="shared" si="20"/>
        <v/>
      </c>
      <c r="AG153" s="36" t="s">
        <v>307</v>
      </c>
      <c r="AH153" s="37">
        <v>0.33333333333333331</v>
      </c>
      <c r="AI153" s="37">
        <v>0.52083333333333337</v>
      </c>
      <c r="AJ153" s="21" t="s">
        <v>308</v>
      </c>
      <c r="AK153" s="37"/>
      <c r="AL153" s="37"/>
      <c r="AM153" s="38" t="str">
        <f t="shared" si="21"/>
        <v/>
      </c>
      <c r="AN153" s="36" t="s">
        <v>306</v>
      </c>
      <c r="AO153" s="37">
        <v>0.33333333333333331</v>
      </c>
      <c r="AP153" s="37">
        <v>0.52083333333333337</v>
      </c>
      <c r="AQ153" s="21" t="s">
        <v>306</v>
      </c>
      <c r="AR153" s="37">
        <v>0.5625</v>
      </c>
      <c r="AS153" s="37">
        <v>0.71875</v>
      </c>
      <c r="AT153" s="38" t="str">
        <f t="shared" si="22"/>
        <v/>
      </c>
      <c r="AU153" s="36" t="s">
        <v>306</v>
      </c>
      <c r="AV153" s="37">
        <v>0.32291666666666669</v>
      </c>
      <c r="AW153" s="37">
        <v>0.52083333333333337</v>
      </c>
      <c r="AX153" s="21" t="s">
        <v>306</v>
      </c>
      <c r="AY153" s="37">
        <v>0.5625</v>
      </c>
      <c r="AZ153" s="37">
        <v>0.69097222222222221</v>
      </c>
      <c r="BA153" s="39" t="str">
        <f t="shared" si="23"/>
        <v/>
      </c>
      <c r="BB153" s="46" t="s">
        <v>618</v>
      </c>
      <c r="BC153" s="31" t="s">
        <v>785</v>
      </c>
      <c r="BD153" s="16" t="s">
        <v>322</v>
      </c>
      <c r="BE153" s="16" t="s">
        <v>311</v>
      </c>
      <c r="BF153" s="244" t="str">
        <f>T_BilanSocial2[[#This Row],[Nom]]&amp;T_BilanSocial2[[#This Row],[Prénom]]</f>
        <v/>
      </c>
    </row>
    <row r="154" spans="1:58" ht="21.75" customHeight="1" x14ac:dyDescent="0.25">
      <c r="A154" s="90">
        <v>112</v>
      </c>
      <c r="B154" s="126" t="s">
        <v>311</v>
      </c>
      <c r="C154" s="126" t="str">
        <f>VLOOKUP(T_BilanSocial2[[#This Row],[NumL]],T_Commission[#Data],COLUMN(T_Commission[FINAL]),FALSE)</f>
        <v/>
      </c>
      <c r="D154" s="19" t="str">
        <f t="shared" si="16"/>
        <v/>
      </c>
      <c r="E154" s="19" t="str">
        <f t="shared" si="17"/>
        <v/>
      </c>
      <c r="F154" s="242" t="str">
        <f>IFERROR(VLOOKUP(T_BilanSocial2[[#This Row],[Zone_Bilan]],T_P_BilanSocial[#Data],COLUMN(T_P_BilanSocial[[#This Row],[Numero_SIHAM]]),FALSE),"")</f>
        <v/>
      </c>
      <c r="G154" s="242" t="str">
        <f>IFERROR(VLOOKUP(T_BilanSocial2[[#This Row],[Zone_Bilan]],T_P_BilanSocial[#Data],COLUMN(T_P_BilanSocial[[#This Row],[Sexe]]),FALSE),"")</f>
        <v/>
      </c>
      <c r="H154" s="243" t="str">
        <f>IFERROR(VLOOKUP(T_BilanSocial2[[#This Row],[Zone_Bilan]],T_P_BilanSocial[#Data],COLUMN(T_P_BilanSocial[[#This Row],[Categorie]]),FALSE),"")</f>
        <v/>
      </c>
      <c r="I154" s="242" t="str">
        <f>IFERROR(VLOOKUP(T_BilanSocial2[[#This Row],[Zone_Bilan]],T_P_BilanSocial[#Data],COLUMN(T_P_BilanSocial[[#This Row],[Statut]]),FALSE),"")</f>
        <v/>
      </c>
      <c r="J154" s="242" t="str">
        <f>IFERROR(VLOOKUP(T_BilanSocial2[[#This Row],[Zone_Bilan]],T_P_BilanSocial[#Data],COLUMN(T_P_BilanSocial[[#This Row],[Filiere]]),FALSE),"")</f>
        <v/>
      </c>
      <c r="K154" s="78">
        <v>1</v>
      </c>
      <c r="L154" s="213">
        <v>1.5451388888888891</v>
      </c>
      <c r="M154" s="78" t="s">
        <v>210</v>
      </c>
      <c r="N154" s="79" t="str">
        <f>IF((AND(T_BilanSocial2[[#This Row],[Nom]]&lt;&gt;"",T_BilanSocial2[[#This Row],[Reg Ponct]]="R")),(COUNTIF(S154:AX154,"S")+COUNTIF(S154:AX154,"T"))/2,"")</f>
        <v/>
      </c>
      <c r="O154" s="79" t="str">
        <f>IF((AND(T_BilanSocial2[[#This Row],[Nom]]&lt;&gt;"",T_BilanSocial2[[#This Row],[Reg Ponct]]="R")),COUNTIF(S154:AX154,"S")/2,"")</f>
        <v/>
      </c>
      <c r="P154" s="80" t="str">
        <f>IF((AND(T_BilanSocial2[[#This Row],[Nom]]&lt;&gt;"",T_BilanSocial2[[#This Row],[Reg Ponct]]="R")),COUNTIF(S154:AX154,"t")/2,"")</f>
        <v/>
      </c>
      <c r="Q154" s="81" t="str">
        <f t="shared" si="18"/>
        <v/>
      </c>
      <c r="R154" s="82" t="str">
        <f>IF((AND(T_BilanSocial2[[#This Row],[Nom]]&lt;&gt;"",T_BilanSocial2[[#This Row],[Reg Ponct]]="R")),IF(S154="T",U154-T154,0)+IF(V154="T",X154-W154,0)+IF(Z154="T",AB154-AA154,0)+IF(AC154="T",AE154-AD154,0)+IF(AG154="T",AI154-AH154,0)+IF(AJ154="T",AL154-AK154,0)+IF(AN154="T",AP154-AO154,0)+IF(AQ154="T",AS154-AR154,0)+IF(AU154="T",AW154-AV154,0)+IF(AX154="T",AZ154-AY154,0),"")</f>
        <v/>
      </c>
      <c r="S154" s="36" t="s">
        <v>306</v>
      </c>
      <c r="T154" s="37">
        <v>0.35416666666666669</v>
      </c>
      <c r="U154" s="37">
        <v>0.52083333333333337</v>
      </c>
      <c r="V154" s="21" t="s">
        <v>306</v>
      </c>
      <c r="W154" s="37">
        <v>0.5625</v>
      </c>
      <c r="X154" s="37">
        <v>0.72916666666666663</v>
      </c>
      <c r="Y154" s="38" t="str">
        <f t="shared" si="19"/>
        <v/>
      </c>
      <c r="Z154" s="36" t="s">
        <v>307</v>
      </c>
      <c r="AA154" s="37">
        <v>0.35416666666666669</v>
      </c>
      <c r="AB154" s="37">
        <v>0.52083333333333337</v>
      </c>
      <c r="AC154" s="21" t="s">
        <v>307</v>
      </c>
      <c r="AD154" s="37">
        <v>0.5625</v>
      </c>
      <c r="AE154" s="37">
        <v>0.72916666666666663</v>
      </c>
      <c r="AF154" s="38" t="str">
        <f t="shared" si="20"/>
        <v/>
      </c>
      <c r="AG154" s="36" t="s">
        <v>306</v>
      </c>
      <c r="AH154" s="37">
        <v>0.35416666666666669</v>
      </c>
      <c r="AI154" s="37">
        <v>0.52083333333333337</v>
      </c>
      <c r="AJ154" s="21" t="s">
        <v>306</v>
      </c>
      <c r="AK154" s="37">
        <v>0.5625</v>
      </c>
      <c r="AL154" s="37">
        <v>0.72916666666666663</v>
      </c>
      <c r="AM154" s="38" t="str">
        <f t="shared" si="21"/>
        <v/>
      </c>
      <c r="AN154" s="36" t="s">
        <v>308</v>
      </c>
      <c r="AO154" s="37"/>
      <c r="AP154" s="37"/>
      <c r="AQ154" s="21" t="s">
        <v>306</v>
      </c>
      <c r="AR154" s="37">
        <v>0.5625</v>
      </c>
      <c r="AS154" s="37">
        <v>0.77083333333333337</v>
      </c>
      <c r="AT154" s="38" t="str">
        <f t="shared" si="22"/>
        <v/>
      </c>
      <c r="AU154" s="36" t="s">
        <v>306</v>
      </c>
      <c r="AV154" s="37">
        <v>0.35416666666666669</v>
      </c>
      <c r="AW154" s="37">
        <v>0.52083333333333337</v>
      </c>
      <c r="AX154" s="21" t="s">
        <v>306</v>
      </c>
      <c r="AY154" s="37">
        <v>0.5625</v>
      </c>
      <c r="AZ154" s="37">
        <v>0.73263888888888884</v>
      </c>
      <c r="BA154" s="39" t="str">
        <f t="shared" si="23"/>
        <v/>
      </c>
      <c r="BB154" s="46" t="s">
        <v>353</v>
      </c>
      <c r="BC154" s="31" t="s">
        <v>354</v>
      </c>
      <c r="BD154" s="16" t="s">
        <v>311</v>
      </c>
      <c r="BE154" s="16" t="s">
        <v>311</v>
      </c>
      <c r="BF154" s="244" t="str">
        <f>T_BilanSocial2[[#This Row],[Nom]]&amp;T_BilanSocial2[[#This Row],[Prénom]]</f>
        <v/>
      </c>
    </row>
    <row r="155" spans="1:58" ht="21.75" hidden="1" customHeight="1" x14ac:dyDescent="0.25">
      <c r="A155" s="90">
        <v>2</v>
      </c>
      <c r="B155" s="126" t="s">
        <v>311</v>
      </c>
      <c r="C155" s="126" t="str">
        <f>VLOOKUP(T_BilanSocial2[[#This Row],[NumL]],T_Commission[#Data],COLUMN(T_Commission[FINAL]),FALSE)</f>
        <v/>
      </c>
      <c r="D155" s="19" t="str">
        <f t="shared" si="16"/>
        <v/>
      </c>
      <c r="E155" s="19" t="str">
        <f t="shared" si="17"/>
        <v/>
      </c>
      <c r="F155" s="242" t="str">
        <f>IFERROR(VLOOKUP(T_BilanSocial2[[#This Row],[Zone_Bilan]],T_P_BilanSocial[#Data],COLUMN(T_P_BilanSocial[[#This Row],[Numero_SIHAM]]),FALSE),"")</f>
        <v/>
      </c>
      <c r="G155" s="242" t="str">
        <f>IFERROR(VLOOKUP(T_BilanSocial2[[#This Row],[Zone_Bilan]],T_P_BilanSocial[#Data],COLUMN(T_P_BilanSocial[[#This Row],[Sexe]]),FALSE),"")</f>
        <v/>
      </c>
      <c r="H155" s="243" t="str">
        <f>IFERROR(VLOOKUP(T_BilanSocial2[[#This Row],[Zone_Bilan]],T_P_BilanSocial[#Data],COLUMN(T_P_BilanSocial[[#This Row],[Categorie]]),FALSE),"")</f>
        <v/>
      </c>
      <c r="I155" s="242" t="str">
        <f>IFERROR(VLOOKUP(T_BilanSocial2[[#This Row],[Zone_Bilan]],T_P_BilanSocial[#Data],COLUMN(T_P_BilanSocial[[#This Row],[Statut]]),FALSE),"")</f>
        <v/>
      </c>
      <c r="J155" s="242" t="str">
        <f>IFERROR(VLOOKUP(T_BilanSocial2[[#This Row],[Zone_Bilan]],T_P_BilanSocial[#Data],COLUMN(T_P_BilanSocial[[#This Row],[Filiere]]),FALSE),"")</f>
        <v/>
      </c>
      <c r="K155" s="78">
        <v>1</v>
      </c>
      <c r="L155" s="213">
        <v>1.5451388888888891</v>
      </c>
      <c r="M155" s="78" t="s">
        <v>210</v>
      </c>
      <c r="N155" s="79" t="str">
        <f>IF((AND(T_BilanSocial2[[#This Row],[Nom]]&lt;&gt;"",T_BilanSocial2[[#This Row],[Reg Ponct]]="R")),(COUNTIF(S155:AX155,"S")+COUNTIF(S155:AX155,"T"))/2,"")</f>
        <v/>
      </c>
      <c r="O155" s="79" t="str">
        <f>IF((AND(T_BilanSocial2[[#This Row],[Nom]]&lt;&gt;"",T_BilanSocial2[[#This Row],[Reg Ponct]]="R")),COUNTIF(S155:AX155,"S")/2,"")</f>
        <v/>
      </c>
      <c r="P155" s="80" t="str">
        <f>IF((AND(T_BilanSocial2[[#This Row],[Nom]]&lt;&gt;"",T_BilanSocial2[[#This Row],[Reg Ponct]]="R")),COUNTIF(S155:AX155,"t")/2,"")</f>
        <v/>
      </c>
      <c r="Q155" s="81" t="str">
        <f t="shared" si="18"/>
        <v/>
      </c>
      <c r="R155" s="82" t="str">
        <f>IF((AND(T_BilanSocial2[[#This Row],[Nom]]&lt;&gt;"",T_BilanSocial2[[#This Row],[Reg Ponct]]="R")),IF(S155="T",U155-T155,0)+IF(V155="T",X155-W155,0)+IF(Z155="T",AB155-AA155,0)+IF(AC155="T",AE155-AD155,0)+IF(AG155="T",AI155-AH155,0)+IF(AJ155="T",AL155-AK155,0)+IF(AN155="T",AP155-AO155,0)+IF(AQ155="T",AS155-AR155,0)+IF(AU155="T",AW155-AV155,0)+IF(AX155="T",AZ155-AY155,0),"")</f>
        <v/>
      </c>
      <c r="S155" s="36" t="s">
        <v>306</v>
      </c>
      <c r="T155" s="37">
        <v>0.35416666666666669</v>
      </c>
      <c r="U155" s="37">
        <v>0.52083333333333337</v>
      </c>
      <c r="V155" s="21" t="s">
        <v>306</v>
      </c>
      <c r="W155" s="37">
        <v>0.5625</v>
      </c>
      <c r="X155" s="37">
        <v>0.72916666666666663</v>
      </c>
      <c r="Y155" s="38" t="str">
        <f t="shared" si="19"/>
        <v/>
      </c>
      <c r="Z155" s="36" t="s">
        <v>307</v>
      </c>
      <c r="AA155" s="37">
        <v>0.35416666666666669</v>
      </c>
      <c r="AB155" s="37">
        <v>0.52083333333333337</v>
      </c>
      <c r="AC155" s="21" t="s">
        <v>307</v>
      </c>
      <c r="AD155" s="37">
        <v>0.5625</v>
      </c>
      <c r="AE155" s="37">
        <v>0.75347222222222221</v>
      </c>
      <c r="AF155" s="38" t="str">
        <f t="shared" si="20"/>
        <v/>
      </c>
      <c r="AG155" s="36" t="s">
        <v>306</v>
      </c>
      <c r="AH155" s="37">
        <v>0.35416666666666669</v>
      </c>
      <c r="AI155" s="37">
        <v>0.52083333333333337</v>
      </c>
      <c r="AJ155" s="21" t="s">
        <v>306</v>
      </c>
      <c r="AK155" s="37">
        <v>0.5625</v>
      </c>
      <c r="AL155" s="37">
        <v>0.72916666666666663</v>
      </c>
      <c r="AM155" s="38" t="str">
        <f t="shared" si="21"/>
        <v/>
      </c>
      <c r="AN155" s="36" t="s">
        <v>306</v>
      </c>
      <c r="AO155" s="37">
        <v>0.35416666666666669</v>
      </c>
      <c r="AP155" s="37">
        <v>0.52083333333333337</v>
      </c>
      <c r="AQ155" s="21" t="s">
        <v>306</v>
      </c>
      <c r="AR155" s="37">
        <v>0.5625</v>
      </c>
      <c r="AS155" s="37">
        <v>0.72916666666666663</v>
      </c>
      <c r="AT155" s="38" t="str">
        <f t="shared" si="22"/>
        <v/>
      </c>
      <c r="AU155" s="36" t="s">
        <v>307</v>
      </c>
      <c r="AV155" s="37">
        <v>0.33333333333333331</v>
      </c>
      <c r="AW155" s="37">
        <v>0.52083333333333337</v>
      </c>
      <c r="AX155" s="21" t="s">
        <v>308</v>
      </c>
      <c r="AY155" s="37"/>
      <c r="AZ155" s="37"/>
      <c r="BA155" s="39" t="str">
        <f t="shared" si="23"/>
        <v/>
      </c>
      <c r="BB155" s="46" t="s">
        <v>320</v>
      </c>
      <c r="BC155" s="31" t="s">
        <v>321</v>
      </c>
      <c r="BD155" s="16" t="s">
        <v>322</v>
      </c>
      <c r="BE155" s="16" t="s">
        <v>322</v>
      </c>
      <c r="BF155" s="244" t="str">
        <f>T_BilanSocial2[[#This Row],[Nom]]&amp;T_BilanSocial2[[#This Row],[Prénom]]</f>
        <v/>
      </c>
    </row>
    <row r="156" spans="1:58" ht="21.75" customHeight="1" x14ac:dyDescent="0.25">
      <c r="A156" s="90">
        <v>88</v>
      </c>
      <c r="B156" s="126" t="s">
        <v>311</v>
      </c>
      <c r="C156" s="126" t="str">
        <f>VLOOKUP(T_BilanSocial2[[#This Row],[NumL]],T_Commission[#Data],COLUMN(T_Commission[FINAL]),FALSE)</f>
        <v/>
      </c>
      <c r="D156" s="19" t="str">
        <f t="shared" si="16"/>
        <v/>
      </c>
      <c r="E156" s="19" t="str">
        <f t="shared" si="17"/>
        <v/>
      </c>
      <c r="F156" s="242" t="str">
        <f>IFERROR(VLOOKUP(T_BilanSocial2[[#This Row],[Zone_Bilan]],T_P_BilanSocial[#Data],COLUMN(T_P_BilanSocial[[#This Row],[Numero_SIHAM]]),FALSE),"")</f>
        <v/>
      </c>
      <c r="G156" s="242" t="str">
        <f>IFERROR(VLOOKUP(T_BilanSocial2[[#This Row],[Zone_Bilan]],T_P_BilanSocial[#Data],COLUMN(T_P_BilanSocial[[#This Row],[Sexe]]),FALSE),"")</f>
        <v/>
      </c>
      <c r="H156" s="243" t="str">
        <f>IFERROR(VLOOKUP(T_BilanSocial2[[#This Row],[Zone_Bilan]],T_P_BilanSocial[#Data],COLUMN(T_P_BilanSocial[[#This Row],[Categorie]]),FALSE),"")</f>
        <v/>
      </c>
      <c r="I156" s="242" t="str">
        <f>IFERROR(VLOOKUP(T_BilanSocial2[[#This Row],[Zone_Bilan]],T_P_BilanSocial[#Data],COLUMN(T_P_BilanSocial[[#This Row],[Statut]]),FALSE),"")</f>
        <v/>
      </c>
      <c r="J156" s="242" t="str">
        <f>IFERROR(VLOOKUP(T_BilanSocial2[[#This Row],[Zone_Bilan]],T_P_BilanSocial[#Data],COLUMN(T_P_BilanSocial[[#This Row],[Filiere]]),FALSE),"")</f>
        <v/>
      </c>
      <c r="K156" s="78">
        <v>1</v>
      </c>
      <c r="L156" s="213">
        <v>1.5451388888888891</v>
      </c>
      <c r="M156" s="78" t="s">
        <v>210</v>
      </c>
      <c r="N156" s="79" t="str">
        <f>IF((AND(T_BilanSocial2[[#This Row],[Nom]]&lt;&gt;"",T_BilanSocial2[[#This Row],[Reg Ponct]]="R")),(COUNTIF(S156:AX156,"S")+COUNTIF(S156:AX156,"T"))/2,"")</f>
        <v/>
      </c>
      <c r="O156" s="79" t="str">
        <f>IF((AND(T_BilanSocial2[[#This Row],[Nom]]&lt;&gt;"",T_BilanSocial2[[#This Row],[Reg Ponct]]="R")),COUNTIF(S156:AX156,"S")/2,"")</f>
        <v/>
      </c>
      <c r="P156" s="80" t="str">
        <f>IF((AND(T_BilanSocial2[[#This Row],[Nom]]&lt;&gt;"",T_BilanSocial2[[#This Row],[Reg Ponct]]="R")),COUNTIF(S156:AX156,"t")/2,"")</f>
        <v/>
      </c>
      <c r="Q156" s="81" t="str">
        <f t="shared" si="18"/>
        <v/>
      </c>
      <c r="R156" s="82" t="str">
        <f>IF((AND(T_BilanSocial2[[#This Row],[Nom]]&lt;&gt;"",T_BilanSocial2[[#This Row],[Reg Ponct]]="R")),IF(S156="T",U156-T156,0)+IF(V156="T",X156-W156,0)+IF(Z156="T",AB156-AA156,0)+IF(AC156="T",AE156-AD156,0)+IF(AG156="T",AI156-AH156,0)+IF(AJ156="T",AL156-AK156,0)+IF(AN156="T",AP156-AO156,0)+IF(AQ156="T",AS156-AR156,0)+IF(AU156="T",AW156-AV156,0)+IF(AX156="T",AZ156-AY156,0),"")</f>
        <v/>
      </c>
      <c r="S156" s="36" t="s">
        <v>307</v>
      </c>
      <c r="T156" s="37">
        <v>0.3125</v>
      </c>
      <c r="U156" s="37">
        <v>0.5</v>
      </c>
      <c r="V156" s="21" t="s">
        <v>307</v>
      </c>
      <c r="W156" s="37">
        <v>0.54166666666666663</v>
      </c>
      <c r="X156" s="37">
        <v>0.70486111111111116</v>
      </c>
      <c r="Y156" s="38" t="str">
        <f t="shared" si="19"/>
        <v/>
      </c>
      <c r="Z156" s="36" t="s">
        <v>306</v>
      </c>
      <c r="AA156" s="37">
        <v>0.3125</v>
      </c>
      <c r="AB156" s="37">
        <v>0.52083333333333337</v>
      </c>
      <c r="AC156" s="21" t="s">
        <v>306</v>
      </c>
      <c r="AD156" s="37">
        <v>0.5625</v>
      </c>
      <c r="AE156" s="37">
        <v>0.69097222222222221</v>
      </c>
      <c r="AF156" s="38" t="str">
        <f t="shared" si="20"/>
        <v/>
      </c>
      <c r="AG156" s="36" t="s">
        <v>307</v>
      </c>
      <c r="AH156" s="37">
        <v>0.3125</v>
      </c>
      <c r="AI156" s="37">
        <v>0.5</v>
      </c>
      <c r="AJ156" s="21" t="s">
        <v>308</v>
      </c>
      <c r="AK156" s="37"/>
      <c r="AL156" s="37"/>
      <c r="AM156" s="38" t="str">
        <f t="shared" si="21"/>
        <v/>
      </c>
      <c r="AN156" s="36" t="s">
        <v>306</v>
      </c>
      <c r="AO156" s="37">
        <v>0.3125</v>
      </c>
      <c r="AP156" s="37">
        <v>0.52083333333333337</v>
      </c>
      <c r="AQ156" s="21" t="s">
        <v>306</v>
      </c>
      <c r="AR156" s="37">
        <v>0.5625</v>
      </c>
      <c r="AS156" s="37">
        <v>0.69097222222222221</v>
      </c>
      <c r="AT156" s="38" t="str">
        <f t="shared" si="22"/>
        <v/>
      </c>
      <c r="AU156" s="36" t="s">
        <v>306</v>
      </c>
      <c r="AV156" s="37">
        <v>0.3125</v>
      </c>
      <c r="AW156" s="37">
        <v>0.52083333333333337</v>
      </c>
      <c r="AX156" s="21" t="s">
        <v>306</v>
      </c>
      <c r="AY156" s="37">
        <v>0.5625</v>
      </c>
      <c r="AZ156" s="37">
        <v>0.6875</v>
      </c>
      <c r="BA156" s="39" t="str">
        <f t="shared" si="23"/>
        <v/>
      </c>
      <c r="BB156" s="46" t="s">
        <v>353</v>
      </c>
      <c r="BC156" s="31" t="s">
        <v>354</v>
      </c>
      <c r="BD156" s="16" t="s">
        <v>311</v>
      </c>
      <c r="BE156" s="16" t="s">
        <v>311</v>
      </c>
      <c r="BF156" s="244" t="str">
        <f>T_BilanSocial2[[#This Row],[Nom]]&amp;T_BilanSocial2[[#This Row],[Prénom]]</f>
        <v/>
      </c>
    </row>
    <row r="157" spans="1:58" ht="21.75" customHeight="1" x14ac:dyDescent="0.25">
      <c r="A157" s="90">
        <v>11</v>
      </c>
      <c r="B157" s="126" t="s">
        <v>210</v>
      </c>
      <c r="C157" s="126" t="str">
        <f>VLOOKUP(T_BilanSocial2[[#This Row],[NumL]],T_Commission[#Data],COLUMN(T_Commission[FINAL]),FALSE)</f>
        <v/>
      </c>
      <c r="D157" s="19" t="str">
        <f t="shared" si="16"/>
        <v/>
      </c>
      <c r="E157" s="19" t="str">
        <f t="shared" si="17"/>
        <v/>
      </c>
      <c r="F157" s="242" t="str">
        <f>IFERROR(VLOOKUP(T_BilanSocial2[[#This Row],[Zone_Bilan]],T_P_BilanSocial[#Data],COLUMN(T_P_BilanSocial[[#This Row],[Numero_SIHAM]]),FALSE),"")</f>
        <v/>
      </c>
      <c r="G157" s="242" t="str">
        <f>IFERROR(VLOOKUP(T_BilanSocial2[[#This Row],[Zone_Bilan]],T_P_BilanSocial[#Data],COLUMN(T_P_BilanSocial[[#This Row],[Sexe]]),FALSE),"")</f>
        <v/>
      </c>
      <c r="H157" s="243" t="str">
        <f>IFERROR(VLOOKUP(T_BilanSocial2[[#This Row],[Zone_Bilan]],T_P_BilanSocial[#Data],COLUMN(T_P_BilanSocial[[#This Row],[Categorie]]),FALSE),"")</f>
        <v/>
      </c>
      <c r="I157" s="242" t="str">
        <f>IFERROR(VLOOKUP(T_BilanSocial2[[#This Row],[Zone_Bilan]],T_P_BilanSocial[#Data],COLUMN(T_P_BilanSocial[[#This Row],[Statut]]),FALSE),"")</f>
        <v/>
      </c>
      <c r="J157" s="242" t="str">
        <f>IFERROR(VLOOKUP(T_BilanSocial2[[#This Row],[Zone_Bilan]],T_P_BilanSocial[#Data],COLUMN(T_P_BilanSocial[[#This Row],[Filiere]]),FALSE),"")</f>
        <v/>
      </c>
      <c r="K157" s="78">
        <v>1</v>
      </c>
      <c r="L157" s="213">
        <v>1.5451388888888891</v>
      </c>
      <c r="M157" s="78" t="s">
        <v>210</v>
      </c>
      <c r="N157" s="79" t="str">
        <f>IF((AND(T_BilanSocial2[[#This Row],[Nom]]&lt;&gt;"",T_BilanSocial2[[#This Row],[Reg Ponct]]="R")),(COUNTIF(S157:AX157,"S")+COUNTIF(S157:AX157,"T"))/2,"")</f>
        <v/>
      </c>
      <c r="O157" s="79" t="str">
        <f>IF((AND(T_BilanSocial2[[#This Row],[Nom]]&lt;&gt;"",T_BilanSocial2[[#This Row],[Reg Ponct]]="R")),COUNTIF(S157:AX157,"S")/2,"")</f>
        <v/>
      </c>
      <c r="P157" s="80" t="str">
        <f>IF((AND(T_BilanSocial2[[#This Row],[Nom]]&lt;&gt;"",T_BilanSocial2[[#This Row],[Reg Ponct]]="R")),COUNTIF(S157:AX157,"t")/2,"")</f>
        <v/>
      </c>
      <c r="Q157" s="81" t="str">
        <f t="shared" si="18"/>
        <v/>
      </c>
      <c r="R157" s="82" t="str">
        <f>IF((AND(T_BilanSocial2[[#This Row],[Nom]]&lt;&gt;"",T_BilanSocial2[[#This Row],[Reg Ponct]]="R")),IF(S157="T",U157-T157,0)+IF(V157="T",X157-W157,0)+IF(Z157="T",AB157-AA157,0)+IF(AC157="T",AE157-AD157,0)+IF(AG157="T",AI157-AH157,0)+IF(AJ157="T",AL157-AK157,0)+IF(AN157="T",AP157-AO157,0)+IF(AQ157="T",AS157-AR157,0)+IF(AU157="T",AW157-AV157,0)+IF(AX157="T",AZ157-AY157,0),"")</f>
        <v/>
      </c>
      <c r="S157" s="36" t="s">
        <v>307</v>
      </c>
      <c r="T157" s="37">
        <v>0.35416666666666669</v>
      </c>
      <c r="U157" s="37">
        <v>0.52083333333333337</v>
      </c>
      <c r="V157" s="21" t="s">
        <v>307</v>
      </c>
      <c r="W157" s="37">
        <v>0.5625</v>
      </c>
      <c r="X157" s="37">
        <v>0.72916666666666663</v>
      </c>
      <c r="Y157" s="38" t="str">
        <f t="shared" si="19"/>
        <v/>
      </c>
      <c r="Z157" s="36" t="s">
        <v>306</v>
      </c>
      <c r="AA157" s="37">
        <v>0.34375</v>
      </c>
      <c r="AB157" s="37">
        <v>0.52083333333333337</v>
      </c>
      <c r="AC157" s="21" t="s">
        <v>306</v>
      </c>
      <c r="AD157" s="37">
        <v>0.5625</v>
      </c>
      <c r="AE157" s="37">
        <v>0.70833333333333337</v>
      </c>
      <c r="AF157" s="38" t="str">
        <f t="shared" si="20"/>
        <v/>
      </c>
      <c r="AG157" s="36" t="s">
        <v>306</v>
      </c>
      <c r="AH157" s="37">
        <v>0.34375</v>
      </c>
      <c r="AI157" s="37">
        <v>0.52083333333333337</v>
      </c>
      <c r="AJ157" s="21" t="s">
        <v>306</v>
      </c>
      <c r="AK157" s="37">
        <v>0.5625</v>
      </c>
      <c r="AL157" s="37">
        <v>0.73611111111111116</v>
      </c>
      <c r="AM157" s="38" t="str">
        <f t="shared" si="21"/>
        <v/>
      </c>
      <c r="AN157" s="36" t="s">
        <v>306</v>
      </c>
      <c r="AO157" s="37">
        <v>0.34375</v>
      </c>
      <c r="AP157" s="37">
        <v>0.52083333333333337</v>
      </c>
      <c r="AQ157" s="21" t="s">
        <v>306</v>
      </c>
      <c r="AR157" s="37">
        <v>0.5625</v>
      </c>
      <c r="AS157" s="37">
        <v>0.73611111111111116</v>
      </c>
      <c r="AT157" s="38" t="str">
        <f t="shared" si="22"/>
        <v/>
      </c>
      <c r="AU157" s="36" t="s">
        <v>307</v>
      </c>
      <c r="AV157" s="37">
        <v>0.3125</v>
      </c>
      <c r="AW157" s="37">
        <v>0.5</v>
      </c>
      <c r="AX157" s="21" t="s">
        <v>308</v>
      </c>
      <c r="AY157" s="37"/>
      <c r="AZ157" s="37"/>
      <c r="BA157" s="39" t="str">
        <f t="shared" si="23"/>
        <v/>
      </c>
      <c r="BB157" s="46" t="s">
        <v>379</v>
      </c>
      <c r="BC157" s="31" t="s">
        <v>380</v>
      </c>
      <c r="BD157" s="16" t="s">
        <v>322</v>
      </c>
      <c r="BE157" s="16" t="s">
        <v>322</v>
      </c>
      <c r="BF157" s="244" t="str">
        <f>T_BilanSocial2[[#This Row],[Nom]]&amp;T_BilanSocial2[[#This Row],[Prénom]]</f>
        <v/>
      </c>
    </row>
    <row r="158" spans="1:58" ht="21.75" hidden="1" customHeight="1" x14ac:dyDescent="0.25">
      <c r="A158" s="90">
        <v>121</v>
      </c>
      <c r="B158" s="126" t="s">
        <v>311</v>
      </c>
      <c r="C158" s="126" t="str">
        <f>VLOOKUP(T_BilanSocial2[[#This Row],[NumL]],T_Commission[#Data],COLUMN(T_Commission[FINAL]),FALSE)</f>
        <v/>
      </c>
      <c r="D158" s="19" t="str">
        <f t="shared" si="16"/>
        <v/>
      </c>
      <c r="E158" s="19" t="str">
        <f t="shared" si="17"/>
        <v/>
      </c>
      <c r="F158" s="242" t="str">
        <f>IFERROR(VLOOKUP(T_BilanSocial2[[#This Row],[Zone_Bilan]],T_P_BilanSocial[#Data],COLUMN(T_P_BilanSocial[[#This Row],[Numero_SIHAM]]),FALSE),"")</f>
        <v/>
      </c>
      <c r="G158" s="242" t="str">
        <f>IFERROR(VLOOKUP(T_BilanSocial2[[#This Row],[Zone_Bilan]],T_P_BilanSocial[#Data],COLUMN(T_P_BilanSocial[[#This Row],[Sexe]]),FALSE),"")</f>
        <v/>
      </c>
      <c r="H158" s="243" t="str">
        <f>IFERROR(VLOOKUP(T_BilanSocial2[[#This Row],[Zone_Bilan]],T_P_BilanSocial[#Data],COLUMN(T_P_BilanSocial[[#This Row],[Categorie]]),FALSE),"")</f>
        <v/>
      </c>
      <c r="I158" s="242" t="str">
        <f>IFERROR(VLOOKUP(T_BilanSocial2[[#This Row],[Zone_Bilan]],T_P_BilanSocial[#Data],COLUMN(T_P_BilanSocial[[#This Row],[Statut]]),FALSE),"")</f>
        <v/>
      </c>
      <c r="J158" s="242" t="str">
        <f>IFERROR(VLOOKUP(T_BilanSocial2[[#This Row],[Zone_Bilan]],T_P_BilanSocial[#Data],COLUMN(T_P_BilanSocial[[#This Row],[Filiere]]),FALSE),"")</f>
        <v/>
      </c>
      <c r="K158" s="78">
        <v>1</v>
      </c>
      <c r="L158" s="213">
        <v>1.5451388888888891</v>
      </c>
      <c r="M158" s="78" t="s">
        <v>210</v>
      </c>
      <c r="N158" s="79" t="str">
        <f>IF((AND(T_BilanSocial2[[#This Row],[Nom]]&lt;&gt;"",T_BilanSocial2[[#This Row],[Reg Ponct]]="R")),(COUNTIF(S158:AX158,"S")+COUNTIF(S158:AX158,"T"))/2,"")</f>
        <v/>
      </c>
      <c r="O158" s="79" t="str">
        <f>IF((AND(T_BilanSocial2[[#This Row],[Nom]]&lt;&gt;"",T_BilanSocial2[[#This Row],[Reg Ponct]]="R")),COUNTIF(S158:AX158,"S")/2,"")</f>
        <v/>
      </c>
      <c r="P158" s="80" t="str">
        <f>IF((AND(T_BilanSocial2[[#This Row],[Nom]]&lt;&gt;"",T_BilanSocial2[[#This Row],[Reg Ponct]]="R")),COUNTIF(S158:AX158,"t")/2,"")</f>
        <v/>
      </c>
      <c r="Q158" s="81" t="str">
        <f t="shared" si="18"/>
        <v/>
      </c>
      <c r="R158" s="82" t="str">
        <f>IF((AND(T_BilanSocial2[[#This Row],[Nom]]&lt;&gt;"",T_BilanSocial2[[#This Row],[Reg Ponct]]="R")),IF(S158="T",U158-T158,0)+IF(V158="T",X158-W158,0)+IF(Z158="T",AB158-AA158,0)+IF(AC158="T",AE158-AD158,0)+IF(AG158="T",AI158-AH158,0)+IF(AJ158="T",AL158-AK158,0)+IF(AN158="T",AP158-AO158,0)+IF(AQ158="T",AS158-AR158,0)+IF(AU158="T",AW158-AV158,0)+IF(AX158="T",AZ158-AY158,0),"")</f>
        <v/>
      </c>
      <c r="S158" s="36" t="s">
        <v>306</v>
      </c>
      <c r="T158" s="37">
        <v>0.3125</v>
      </c>
      <c r="U158" s="37">
        <v>0.5</v>
      </c>
      <c r="V158" s="21" t="s">
        <v>306</v>
      </c>
      <c r="W158" s="37">
        <v>0.5625</v>
      </c>
      <c r="X158" s="37">
        <v>0.73263888888888884</v>
      </c>
      <c r="Y158" s="38" t="str">
        <f t="shared" si="19"/>
        <v/>
      </c>
      <c r="Z158" s="36" t="s">
        <v>306</v>
      </c>
      <c r="AA158" s="37">
        <v>0.3125</v>
      </c>
      <c r="AB158" s="37">
        <v>0.5</v>
      </c>
      <c r="AC158" s="21" t="s">
        <v>306</v>
      </c>
      <c r="AD158" s="37">
        <v>0.5625</v>
      </c>
      <c r="AE158" s="37">
        <v>0.70833333333333337</v>
      </c>
      <c r="AF158" s="38" t="str">
        <f t="shared" si="20"/>
        <v/>
      </c>
      <c r="AG158" s="36" t="s">
        <v>307</v>
      </c>
      <c r="AH158" s="37">
        <v>0.33333333333333331</v>
      </c>
      <c r="AI158" s="37">
        <v>0.5</v>
      </c>
      <c r="AJ158" s="21" t="s">
        <v>307</v>
      </c>
      <c r="AK158" s="37">
        <v>0.54166666666666663</v>
      </c>
      <c r="AL158" s="37">
        <v>0.70833333333333337</v>
      </c>
      <c r="AM158" s="38" t="str">
        <f t="shared" si="21"/>
        <v/>
      </c>
      <c r="AN158" s="36" t="s">
        <v>306</v>
      </c>
      <c r="AO158" s="37">
        <v>0.3125</v>
      </c>
      <c r="AP158" s="37">
        <v>0.5</v>
      </c>
      <c r="AQ158" s="21" t="s">
        <v>306</v>
      </c>
      <c r="AR158" s="37">
        <v>0.5625</v>
      </c>
      <c r="AS158" s="37">
        <v>0.70833333333333337</v>
      </c>
      <c r="AT158" s="38" t="str">
        <f t="shared" si="22"/>
        <v/>
      </c>
      <c r="AU158" s="36" t="s">
        <v>307</v>
      </c>
      <c r="AV158" s="37">
        <v>0.3125</v>
      </c>
      <c r="AW158" s="37">
        <v>0.5</v>
      </c>
      <c r="AX158" s="21" t="s">
        <v>308</v>
      </c>
      <c r="AY158" s="37"/>
      <c r="AZ158" s="37"/>
      <c r="BA158" s="39" t="str">
        <f t="shared" si="23"/>
        <v/>
      </c>
      <c r="BB158" s="46" t="s">
        <v>411</v>
      </c>
      <c r="BC158" s="31" t="s">
        <v>341</v>
      </c>
      <c r="BD158" s="16" t="s">
        <v>311</v>
      </c>
      <c r="BE158" s="16" t="s">
        <v>311</v>
      </c>
      <c r="BF158" s="244" t="str">
        <f>T_BilanSocial2[[#This Row],[Nom]]&amp;T_BilanSocial2[[#This Row],[Prénom]]</f>
        <v/>
      </c>
    </row>
    <row r="159" spans="1:58" ht="21.75" hidden="1" customHeight="1" x14ac:dyDescent="0.25">
      <c r="A159" s="90">
        <v>273</v>
      </c>
      <c r="B159" s="126" t="s">
        <v>311</v>
      </c>
      <c r="C159" s="126" t="str">
        <f>VLOOKUP(T_BilanSocial2[[#This Row],[NumL]],T_Commission[#Data],COLUMN(T_Commission[FINAL]),FALSE)</f>
        <v/>
      </c>
      <c r="D159" s="19" t="str">
        <f t="shared" si="16"/>
        <v/>
      </c>
      <c r="E159" s="19" t="str">
        <f t="shared" si="17"/>
        <v/>
      </c>
      <c r="F159" s="242" t="str">
        <f>IFERROR(VLOOKUP(T_BilanSocial2[[#This Row],[Zone_Bilan]],T_P_BilanSocial[#Data],COLUMN(T_P_BilanSocial[[#This Row],[Numero_SIHAM]]),FALSE),"")</f>
        <v/>
      </c>
      <c r="G159" s="242" t="str">
        <f>IFERROR(VLOOKUP(T_BilanSocial2[[#This Row],[Zone_Bilan]],T_P_BilanSocial[#Data],COLUMN(T_P_BilanSocial[[#This Row],[Sexe]]),FALSE),"")</f>
        <v/>
      </c>
      <c r="H159" s="243" t="str">
        <f>IFERROR(VLOOKUP(T_BilanSocial2[[#This Row],[Zone_Bilan]],T_P_BilanSocial[#Data],COLUMN(T_P_BilanSocial[[#This Row],[Categorie]]),FALSE),"")</f>
        <v/>
      </c>
      <c r="I159" s="242" t="str">
        <f>IFERROR(VLOOKUP(T_BilanSocial2[[#This Row],[Zone_Bilan]],T_P_BilanSocial[#Data],COLUMN(T_P_BilanSocial[[#This Row],[Statut]]),FALSE),"")</f>
        <v/>
      </c>
      <c r="J159" s="242" t="str">
        <f>IFERROR(VLOOKUP(T_BilanSocial2[[#This Row],[Zone_Bilan]],T_P_BilanSocial[#Data],COLUMN(T_P_BilanSocial[[#This Row],[Filiere]]),FALSE),"")</f>
        <v/>
      </c>
      <c r="K159" s="78">
        <v>1</v>
      </c>
      <c r="L159" s="213">
        <v>1.5451388888888891</v>
      </c>
      <c r="M159" s="78" t="s">
        <v>210</v>
      </c>
      <c r="N159" s="79" t="str">
        <f>IF((AND(T_BilanSocial2[[#This Row],[Nom]]&lt;&gt;"",T_BilanSocial2[[#This Row],[Reg Ponct]]="R")),(COUNTIF(S159:AX159,"S")+COUNTIF(S159:AX159,"T"))/2,"")</f>
        <v/>
      </c>
      <c r="O159" s="79" t="str">
        <f>IF((AND(T_BilanSocial2[[#This Row],[Nom]]&lt;&gt;"",T_BilanSocial2[[#This Row],[Reg Ponct]]="R")),COUNTIF(S159:AX159,"S")/2,"")</f>
        <v/>
      </c>
      <c r="P159" s="80" t="str">
        <f>IF((AND(T_BilanSocial2[[#This Row],[Nom]]&lt;&gt;"",T_BilanSocial2[[#This Row],[Reg Ponct]]="R")),COUNTIF(S159:AX159,"t")/2,"")</f>
        <v/>
      </c>
      <c r="Q159" s="81" t="str">
        <f t="shared" si="18"/>
        <v/>
      </c>
      <c r="R159" s="82" t="str">
        <f>IF((AND(T_BilanSocial2[[#This Row],[Nom]]&lt;&gt;"",T_BilanSocial2[[#This Row],[Reg Ponct]]="R")),IF(S159="T",U159-T159,0)+IF(V159="T",X159-W159,0)+IF(Z159="T",AB159-AA159,0)+IF(AC159="T",AE159-AD159,0)+IF(AG159="T",AI159-AH159,0)+IF(AJ159="T",AL159-AK159,0)+IF(AN159="T",AP159-AO159,0)+IF(AQ159="T",AS159-AR159,0)+IF(AU159="T",AW159-AV159,0)+IF(AX159="T",AZ159-AY159,0),"")</f>
        <v/>
      </c>
      <c r="S159" s="36" t="s">
        <v>306</v>
      </c>
      <c r="T159" s="37">
        <v>0.3125</v>
      </c>
      <c r="U159" s="37">
        <v>0.5</v>
      </c>
      <c r="V159" s="21" t="s">
        <v>306</v>
      </c>
      <c r="W159" s="37">
        <v>0.54166666666666663</v>
      </c>
      <c r="X159" s="37">
        <v>0.66666666666666663</v>
      </c>
      <c r="Y159" s="38" t="str">
        <f t="shared" si="19"/>
        <v/>
      </c>
      <c r="Z159" s="36" t="s">
        <v>306</v>
      </c>
      <c r="AA159" s="37">
        <v>0.3125</v>
      </c>
      <c r="AB159" s="37">
        <v>0.5</v>
      </c>
      <c r="AC159" s="21" t="s">
        <v>306</v>
      </c>
      <c r="AD159" s="37">
        <v>0.54166666666666663</v>
      </c>
      <c r="AE159" s="37">
        <v>0.66666666666666663</v>
      </c>
      <c r="AF159" s="38" t="str">
        <f t="shared" si="20"/>
        <v/>
      </c>
      <c r="AG159" s="36" t="s">
        <v>306</v>
      </c>
      <c r="AH159" s="37">
        <v>0.3125</v>
      </c>
      <c r="AI159" s="37">
        <v>0.5</v>
      </c>
      <c r="AJ159" s="21" t="s">
        <v>306</v>
      </c>
      <c r="AK159" s="37">
        <v>0.54166666666666663</v>
      </c>
      <c r="AL159" s="37">
        <v>0.66666666666666663</v>
      </c>
      <c r="AM159" s="38" t="str">
        <f t="shared" si="21"/>
        <v/>
      </c>
      <c r="AN159" s="36" t="s">
        <v>306</v>
      </c>
      <c r="AO159" s="37">
        <v>0.3125</v>
      </c>
      <c r="AP159" s="37">
        <v>0.5</v>
      </c>
      <c r="AQ159" s="21" t="s">
        <v>306</v>
      </c>
      <c r="AR159" s="37">
        <v>0.54166666666666663</v>
      </c>
      <c r="AS159" s="37">
        <v>0.66666666666666663</v>
      </c>
      <c r="AT159" s="38" t="str">
        <f t="shared" si="22"/>
        <v/>
      </c>
      <c r="AU159" s="36" t="s">
        <v>307</v>
      </c>
      <c r="AV159" s="37">
        <v>0.3125</v>
      </c>
      <c r="AW159" s="37">
        <v>0.5</v>
      </c>
      <c r="AX159" s="21" t="s">
        <v>307</v>
      </c>
      <c r="AY159" s="37">
        <v>0.54166666666666663</v>
      </c>
      <c r="AZ159" s="37">
        <v>0.64930555555555558</v>
      </c>
      <c r="BA159" s="39" t="str">
        <f t="shared" si="23"/>
        <v/>
      </c>
      <c r="BB159" s="46" t="s">
        <v>1083</v>
      </c>
      <c r="BC159" s="31" t="s">
        <v>1129</v>
      </c>
      <c r="BD159" s="16" t="s">
        <v>311</v>
      </c>
      <c r="BE159" s="16" t="s">
        <v>311</v>
      </c>
      <c r="BF159" s="244" t="str">
        <f>T_BilanSocial2[[#This Row],[Nom]]&amp;T_BilanSocial2[[#This Row],[Prénom]]</f>
        <v/>
      </c>
    </row>
    <row r="160" spans="1:58" ht="21.75" hidden="1" customHeight="1" x14ac:dyDescent="0.25">
      <c r="A160" s="90">
        <v>211</v>
      </c>
      <c r="B160" s="126" t="s">
        <v>311</v>
      </c>
      <c r="C160" s="126" t="str">
        <f>VLOOKUP(T_BilanSocial2[[#This Row],[NumL]],T_Commission[#Data],COLUMN(T_Commission[FINAL]),FALSE)</f>
        <v/>
      </c>
      <c r="D160" s="19" t="str">
        <f t="shared" si="16"/>
        <v/>
      </c>
      <c r="E160" s="19" t="str">
        <f t="shared" si="17"/>
        <v/>
      </c>
      <c r="F160" s="242" t="str">
        <f>IFERROR(VLOOKUP(T_BilanSocial2[[#This Row],[Zone_Bilan]],T_P_BilanSocial[#Data],COLUMN(T_P_BilanSocial[[#This Row],[Numero_SIHAM]]),FALSE),"")</f>
        <v/>
      </c>
      <c r="G160" s="242" t="str">
        <f>IFERROR(VLOOKUP(T_BilanSocial2[[#This Row],[Zone_Bilan]],T_P_BilanSocial[#Data],COLUMN(T_P_BilanSocial[[#This Row],[Sexe]]),FALSE),"")</f>
        <v/>
      </c>
      <c r="H160" s="243" t="str">
        <f>IFERROR(VLOOKUP(T_BilanSocial2[[#This Row],[Zone_Bilan]],T_P_BilanSocial[#Data],COLUMN(T_P_BilanSocial[[#This Row],[Categorie]]),FALSE),"")</f>
        <v/>
      </c>
      <c r="I160" s="242" t="str">
        <f>IFERROR(VLOOKUP(T_BilanSocial2[[#This Row],[Zone_Bilan]],T_P_BilanSocial[#Data],COLUMN(T_P_BilanSocial[[#This Row],[Statut]]),FALSE),"")</f>
        <v/>
      </c>
      <c r="J160" s="242" t="str">
        <f>IFERROR(VLOOKUP(T_BilanSocial2[[#This Row],[Zone_Bilan]],T_P_BilanSocial[#Data],COLUMN(T_P_BilanSocial[[#This Row],[Filiere]]),FALSE),"")</f>
        <v/>
      </c>
      <c r="K160" s="78">
        <v>1</v>
      </c>
      <c r="L160" s="213">
        <v>1.5451388888888891</v>
      </c>
      <c r="M160" s="78" t="s">
        <v>210</v>
      </c>
      <c r="N160" s="79" t="str">
        <f>IF((AND(T_BilanSocial2[[#This Row],[Nom]]&lt;&gt;"",T_BilanSocial2[[#This Row],[Reg Ponct]]="R")),(COUNTIF(S160:AX160,"S")+COUNTIF(S160:AX160,"T"))/2,"")</f>
        <v/>
      </c>
      <c r="O160" s="79" t="str">
        <f>IF((AND(T_BilanSocial2[[#This Row],[Nom]]&lt;&gt;"",T_BilanSocial2[[#This Row],[Reg Ponct]]="R")),COUNTIF(S160:AX160,"S")/2,"")</f>
        <v/>
      </c>
      <c r="P160" s="80" t="str">
        <f>IF((AND(T_BilanSocial2[[#This Row],[Nom]]&lt;&gt;"",T_BilanSocial2[[#This Row],[Reg Ponct]]="R")),COUNTIF(S160:AX160,"t")/2,"")</f>
        <v/>
      </c>
      <c r="Q160" s="81" t="str">
        <f t="shared" si="18"/>
        <v/>
      </c>
      <c r="R160" s="82" t="str">
        <f>IF((AND(T_BilanSocial2[[#This Row],[Nom]]&lt;&gt;"",T_BilanSocial2[[#This Row],[Reg Ponct]]="R")),IF(S160="T",U160-T160,0)+IF(V160="T",X160-W160,0)+IF(Z160="T",AB160-AA160,0)+IF(AC160="T",AE160-AD160,0)+IF(AG160="T",AI160-AH160,0)+IF(AJ160="T",AL160-AK160,0)+IF(AN160="T",AP160-AO160,0)+IF(AQ160="T",AS160-AR160,0)+IF(AU160="T",AW160-AV160,0)+IF(AX160="T",AZ160-AY160,0),"")</f>
        <v/>
      </c>
      <c r="S160" s="36" t="s">
        <v>307</v>
      </c>
      <c r="T160" s="37">
        <v>0.375</v>
      </c>
      <c r="U160" s="37">
        <v>0.5</v>
      </c>
      <c r="V160" s="21" t="s">
        <v>307</v>
      </c>
      <c r="W160" s="37">
        <v>0.54166666666666663</v>
      </c>
      <c r="X160" s="37">
        <v>0.72916666666666663</v>
      </c>
      <c r="Y160" s="38" t="str">
        <f t="shared" si="19"/>
        <v/>
      </c>
      <c r="Z160" s="36" t="s">
        <v>306</v>
      </c>
      <c r="AA160" s="37">
        <v>0.375</v>
      </c>
      <c r="AB160" s="37">
        <v>0.5</v>
      </c>
      <c r="AC160" s="21" t="s">
        <v>306</v>
      </c>
      <c r="AD160" s="37">
        <v>0.54166666666666663</v>
      </c>
      <c r="AE160" s="37">
        <v>0.72916666666666663</v>
      </c>
      <c r="AF160" s="38" t="str">
        <f t="shared" si="20"/>
        <v/>
      </c>
      <c r="AG160" s="36" t="s">
        <v>306</v>
      </c>
      <c r="AH160" s="37">
        <v>0.375</v>
      </c>
      <c r="AI160" s="37">
        <v>0.5</v>
      </c>
      <c r="AJ160" s="21" t="s">
        <v>306</v>
      </c>
      <c r="AK160" s="37">
        <v>0.54166666666666663</v>
      </c>
      <c r="AL160" s="37">
        <v>0.72916666666666663</v>
      </c>
      <c r="AM160" s="38" t="str">
        <f t="shared" si="21"/>
        <v/>
      </c>
      <c r="AN160" s="36" t="s">
        <v>306</v>
      </c>
      <c r="AO160" s="37">
        <v>0.375</v>
      </c>
      <c r="AP160" s="37">
        <v>0.5</v>
      </c>
      <c r="AQ160" s="21" t="s">
        <v>306</v>
      </c>
      <c r="AR160" s="37">
        <v>0.54166666666666663</v>
      </c>
      <c r="AS160" s="37">
        <v>0.72916666666666663</v>
      </c>
      <c r="AT160" s="38" t="str">
        <f t="shared" si="22"/>
        <v/>
      </c>
      <c r="AU160" s="36" t="s">
        <v>306</v>
      </c>
      <c r="AV160" s="37">
        <v>0.375</v>
      </c>
      <c r="AW160" s="37">
        <v>0.5</v>
      </c>
      <c r="AX160" s="21" t="s">
        <v>306</v>
      </c>
      <c r="AY160" s="37">
        <v>0.54166666666666663</v>
      </c>
      <c r="AZ160" s="37">
        <v>0.71180555555555547</v>
      </c>
      <c r="BA160" s="39" t="str">
        <f t="shared" si="23"/>
        <v/>
      </c>
      <c r="BB160" s="46" t="s">
        <v>775</v>
      </c>
      <c r="BC160" s="31" t="s">
        <v>776</v>
      </c>
      <c r="BD160" s="16" t="s">
        <v>322</v>
      </c>
      <c r="BE160" s="16" t="s">
        <v>322</v>
      </c>
      <c r="BF160" s="244" t="str">
        <f>T_BilanSocial2[[#This Row],[Nom]]&amp;T_BilanSocial2[[#This Row],[Prénom]]</f>
        <v/>
      </c>
    </row>
    <row r="161" spans="1:58" ht="21.75" customHeight="1" x14ac:dyDescent="0.25">
      <c r="A161" s="90">
        <v>186</v>
      </c>
      <c r="B161" s="126" t="s">
        <v>311</v>
      </c>
      <c r="C161" s="126" t="str">
        <f>VLOOKUP(T_BilanSocial2[[#This Row],[NumL]],T_Commission[#Data],COLUMN(T_Commission[FINAL]),FALSE)</f>
        <v/>
      </c>
      <c r="D161" s="19" t="str">
        <f t="shared" si="16"/>
        <v/>
      </c>
      <c r="E161" s="19" t="str">
        <f t="shared" si="17"/>
        <v/>
      </c>
      <c r="F161" s="242" t="str">
        <f>IFERROR(VLOOKUP(T_BilanSocial2[[#This Row],[Zone_Bilan]],T_P_BilanSocial[#Data],COLUMN(T_P_BilanSocial[[#This Row],[Numero_SIHAM]]),FALSE),"")</f>
        <v/>
      </c>
      <c r="G161" s="242" t="str">
        <f>IFERROR(VLOOKUP(T_BilanSocial2[[#This Row],[Zone_Bilan]],T_P_BilanSocial[#Data],COLUMN(T_P_BilanSocial[[#This Row],[Sexe]]),FALSE),"")</f>
        <v/>
      </c>
      <c r="H161" s="243" t="str">
        <f>IFERROR(VLOOKUP(T_BilanSocial2[[#This Row],[Zone_Bilan]],T_P_BilanSocial[#Data],COLUMN(T_P_BilanSocial[[#This Row],[Categorie]]),FALSE),"")</f>
        <v/>
      </c>
      <c r="I161" s="242" t="str">
        <f>IFERROR(VLOOKUP(T_BilanSocial2[[#This Row],[Zone_Bilan]],T_P_BilanSocial[#Data],COLUMN(T_P_BilanSocial[[#This Row],[Statut]]),FALSE),"")</f>
        <v/>
      </c>
      <c r="J161" s="242" t="str">
        <f>IFERROR(VLOOKUP(T_BilanSocial2[[#This Row],[Zone_Bilan]],T_P_BilanSocial[#Data],COLUMN(T_P_BilanSocial[[#This Row],[Filiere]]),FALSE),"")</f>
        <v/>
      </c>
      <c r="K161" s="78">
        <v>1</v>
      </c>
      <c r="L161" s="213">
        <v>1.5451388888888891</v>
      </c>
      <c r="M161" s="78" t="s">
        <v>210</v>
      </c>
      <c r="N161" s="79" t="str">
        <f>IF((AND(T_BilanSocial2[[#This Row],[Nom]]&lt;&gt;"",T_BilanSocial2[[#This Row],[Reg Ponct]]="R")),(COUNTIF(S161:AX161,"S")+COUNTIF(S161:AX161,"T"))/2,"")</f>
        <v/>
      </c>
      <c r="O161" s="79" t="str">
        <f>IF((AND(T_BilanSocial2[[#This Row],[Nom]]&lt;&gt;"",T_BilanSocial2[[#This Row],[Reg Ponct]]="R")),COUNTIF(S161:AX161,"S")/2,"")</f>
        <v/>
      </c>
      <c r="P161" s="80" t="str">
        <f>IF((AND(T_BilanSocial2[[#This Row],[Nom]]&lt;&gt;"",T_BilanSocial2[[#This Row],[Reg Ponct]]="R")),COUNTIF(S161:AX161,"t")/2,"")</f>
        <v/>
      </c>
      <c r="Q161" s="81" t="str">
        <f t="shared" si="18"/>
        <v/>
      </c>
      <c r="R161" s="82" t="str">
        <f>IF((AND(T_BilanSocial2[[#This Row],[Nom]]&lt;&gt;"",T_BilanSocial2[[#This Row],[Reg Ponct]]="R")),IF(S161="T",U161-T161,0)+IF(V161="T",X161-W161,0)+IF(Z161="T",AB161-AA161,0)+IF(AC161="T",AE161-AD161,0)+IF(AG161="T",AI161-AH161,0)+IF(AJ161="T",AL161-AK161,0)+IF(AN161="T",AP161-AO161,0)+IF(AQ161="T",AS161-AR161,0)+IF(AU161="T",AW161-AV161,0)+IF(AX161="T",AZ161-AY161,0),"")</f>
        <v/>
      </c>
      <c r="S161" s="36" t="s">
        <v>306</v>
      </c>
      <c r="T161" s="37">
        <v>0.3263888888888889</v>
      </c>
      <c r="U161" s="37">
        <v>0.52083333333333337</v>
      </c>
      <c r="V161" s="21" t="s">
        <v>306</v>
      </c>
      <c r="W161" s="37">
        <v>0.5625</v>
      </c>
      <c r="X161" s="37">
        <v>0.67708333333333337</v>
      </c>
      <c r="Y161" s="38" t="str">
        <f t="shared" si="19"/>
        <v/>
      </c>
      <c r="Z161" s="36" t="s">
        <v>307</v>
      </c>
      <c r="AA161" s="37">
        <v>0.3263888888888889</v>
      </c>
      <c r="AB161" s="37">
        <v>0.52083333333333337</v>
      </c>
      <c r="AC161" s="21" t="s">
        <v>307</v>
      </c>
      <c r="AD161" s="37">
        <v>0.5625</v>
      </c>
      <c r="AE161" s="37">
        <v>0.67708333333333337</v>
      </c>
      <c r="AF161" s="38" t="str">
        <f t="shared" si="20"/>
        <v/>
      </c>
      <c r="AG161" s="36" t="s">
        <v>306</v>
      </c>
      <c r="AH161" s="37">
        <v>0.3263888888888889</v>
      </c>
      <c r="AI161" s="37">
        <v>0.52083333333333337</v>
      </c>
      <c r="AJ161" s="21" t="s">
        <v>306</v>
      </c>
      <c r="AK161" s="37">
        <v>0.5625</v>
      </c>
      <c r="AL161" s="37">
        <v>0.67708333333333337</v>
      </c>
      <c r="AM161" s="38" t="str">
        <f t="shared" si="21"/>
        <v/>
      </c>
      <c r="AN161" s="36" t="s">
        <v>306</v>
      </c>
      <c r="AO161" s="37">
        <v>0.3263888888888889</v>
      </c>
      <c r="AP161" s="37">
        <v>0.52083333333333337</v>
      </c>
      <c r="AQ161" s="21" t="s">
        <v>306</v>
      </c>
      <c r="AR161" s="37">
        <v>0.5625</v>
      </c>
      <c r="AS161" s="37">
        <v>0.67708333333333337</v>
      </c>
      <c r="AT161" s="38" t="str">
        <f t="shared" si="22"/>
        <v/>
      </c>
      <c r="AU161" s="36" t="s">
        <v>306</v>
      </c>
      <c r="AV161" s="37">
        <v>0.3263888888888889</v>
      </c>
      <c r="AW161" s="37">
        <v>0.52083333333333337</v>
      </c>
      <c r="AX161" s="21" t="s">
        <v>306</v>
      </c>
      <c r="AY161" s="37">
        <v>0.5625</v>
      </c>
      <c r="AZ161" s="37">
        <v>0.67708333333333337</v>
      </c>
      <c r="BA161" s="39" t="str">
        <f t="shared" si="23"/>
        <v/>
      </c>
      <c r="BB161" s="46" t="s">
        <v>552</v>
      </c>
      <c r="BC161" s="31" t="s">
        <v>941</v>
      </c>
      <c r="BD161" s="16" t="s">
        <v>311</v>
      </c>
      <c r="BE161" s="16" t="s">
        <v>311</v>
      </c>
      <c r="BF161" s="244" t="str">
        <f>T_BilanSocial2[[#This Row],[Nom]]&amp;T_BilanSocial2[[#This Row],[Prénom]]</f>
        <v/>
      </c>
    </row>
    <row r="162" spans="1:58" ht="21.75" hidden="1" customHeight="1" x14ac:dyDescent="0.25">
      <c r="A162" s="90">
        <v>10</v>
      </c>
      <c r="B162" s="126" t="s">
        <v>311</v>
      </c>
      <c r="C162" s="126" t="str">
        <f>VLOOKUP(T_BilanSocial2[[#This Row],[NumL]],T_Commission[#Data],COLUMN(T_Commission[FINAL]),FALSE)</f>
        <v/>
      </c>
      <c r="D162" s="19" t="str">
        <f t="shared" si="16"/>
        <v/>
      </c>
      <c r="E162" s="19" t="str">
        <f t="shared" si="17"/>
        <v/>
      </c>
      <c r="F162" s="242" t="str">
        <f>IFERROR(VLOOKUP(T_BilanSocial2[[#This Row],[Zone_Bilan]],T_P_BilanSocial[#Data],COLUMN(T_P_BilanSocial[[#This Row],[Numero_SIHAM]]),FALSE),"")</f>
        <v/>
      </c>
      <c r="G162" s="242" t="str">
        <f>IFERROR(VLOOKUP(T_BilanSocial2[[#This Row],[Zone_Bilan]],T_P_BilanSocial[#Data],COLUMN(T_P_BilanSocial[[#This Row],[Sexe]]),FALSE),"")</f>
        <v/>
      </c>
      <c r="H162" s="243" t="str">
        <f>IFERROR(VLOOKUP(T_BilanSocial2[[#This Row],[Zone_Bilan]],T_P_BilanSocial[#Data],COLUMN(T_P_BilanSocial[[#This Row],[Categorie]]),FALSE),"")</f>
        <v/>
      </c>
      <c r="I162" s="242" t="str">
        <f>IFERROR(VLOOKUP(T_BilanSocial2[[#This Row],[Zone_Bilan]],T_P_BilanSocial[#Data],COLUMN(T_P_BilanSocial[[#This Row],[Statut]]),FALSE),"")</f>
        <v/>
      </c>
      <c r="J162" s="242" t="str">
        <f>IFERROR(VLOOKUP(T_BilanSocial2[[#This Row],[Zone_Bilan]],T_P_BilanSocial[#Data],COLUMN(T_P_BilanSocial[[#This Row],[Filiere]]),FALSE),"")</f>
        <v/>
      </c>
      <c r="K162" s="78">
        <v>1</v>
      </c>
      <c r="L162" s="213">
        <v>1.5451388888888891</v>
      </c>
      <c r="M162" s="78" t="s">
        <v>210</v>
      </c>
      <c r="N162" s="79" t="str">
        <f>IF((AND(T_BilanSocial2[[#This Row],[Nom]]&lt;&gt;"",T_BilanSocial2[[#This Row],[Reg Ponct]]="R")),(COUNTIF(S162:AX162,"S")+COUNTIF(S162:AX162,"T"))/2,"")</f>
        <v/>
      </c>
      <c r="O162" s="79" t="str">
        <f>IF((AND(T_BilanSocial2[[#This Row],[Nom]]&lt;&gt;"",T_BilanSocial2[[#This Row],[Reg Ponct]]="R")),COUNTIF(S162:AX162,"S")/2,"")</f>
        <v/>
      </c>
      <c r="P162" s="80" t="str">
        <f>IF((AND(T_BilanSocial2[[#This Row],[Nom]]&lt;&gt;"",T_BilanSocial2[[#This Row],[Reg Ponct]]="R")),COUNTIF(S162:AX162,"t")/2,"")</f>
        <v/>
      </c>
      <c r="Q162" s="81" t="str">
        <f t="shared" si="18"/>
        <v/>
      </c>
      <c r="R162" s="82" t="str">
        <f>IF((AND(T_BilanSocial2[[#This Row],[Nom]]&lt;&gt;"",T_BilanSocial2[[#This Row],[Reg Ponct]]="R")),IF(S162="T",U162-T162,0)+IF(V162="T",X162-W162,0)+IF(Z162="T",AB162-AA162,0)+IF(AC162="T",AE162-AD162,0)+IF(AG162="T",AI162-AH162,0)+IF(AJ162="T",AL162-AK162,0)+IF(AN162="T",AP162-AO162,0)+IF(AQ162="T",AS162-AR162,0)+IF(AU162="T",AW162-AV162,0)+IF(AX162="T",AZ162-AY162,0),"")</f>
        <v/>
      </c>
      <c r="S162" s="36" t="s">
        <v>307</v>
      </c>
      <c r="T162" s="37">
        <v>0.34375</v>
      </c>
      <c r="U162" s="37">
        <v>0.5</v>
      </c>
      <c r="V162" s="21" t="s">
        <v>307</v>
      </c>
      <c r="W162" s="37">
        <v>0.54166666666666663</v>
      </c>
      <c r="X162" s="37">
        <v>0.75</v>
      </c>
      <c r="Y162" s="38" t="str">
        <f t="shared" si="19"/>
        <v/>
      </c>
      <c r="Z162" s="36" t="s">
        <v>307</v>
      </c>
      <c r="AA162" s="37">
        <v>0.35416666666666669</v>
      </c>
      <c r="AB162" s="37">
        <v>0.5</v>
      </c>
      <c r="AC162" s="21" t="s">
        <v>307</v>
      </c>
      <c r="AD162" s="37">
        <v>0.54166666666666663</v>
      </c>
      <c r="AE162" s="37">
        <v>0.69097222222222221</v>
      </c>
      <c r="AF162" s="38" t="str">
        <f t="shared" si="20"/>
        <v/>
      </c>
      <c r="AG162" s="36" t="s">
        <v>306</v>
      </c>
      <c r="AH162" s="37">
        <v>0.33333333333333331</v>
      </c>
      <c r="AI162" s="37">
        <v>0.54166666666666663</v>
      </c>
      <c r="AJ162" s="21" t="s">
        <v>306</v>
      </c>
      <c r="AK162" s="37">
        <v>0.58333333333333337</v>
      </c>
      <c r="AL162" s="37">
        <v>0.70833333333333337</v>
      </c>
      <c r="AM162" s="38" t="str">
        <f t="shared" si="21"/>
        <v/>
      </c>
      <c r="AN162" s="36" t="s">
        <v>306</v>
      </c>
      <c r="AO162" s="37">
        <v>0.34375</v>
      </c>
      <c r="AP162" s="37">
        <v>0.52083333333333337</v>
      </c>
      <c r="AQ162" s="21" t="s">
        <v>306</v>
      </c>
      <c r="AR162" s="37">
        <v>0.5625</v>
      </c>
      <c r="AS162" s="37">
        <v>0.75</v>
      </c>
      <c r="AT162" s="38" t="str">
        <f t="shared" si="22"/>
        <v/>
      </c>
      <c r="AU162" s="36" t="s">
        <v>306</v>
      </c>
      <c r="AV162" s="37">
        <v>0.33333333333333331</v>
      </c>
      <c r="AW162" s="37">
        <v>0.52083333333333337</v>
      </c>
      <c r="AX162" s="21" t="s">
        <v>308</v>
      </c>
      <c r="AY162" s="37"/>
      <c r="AZ162" s="37"/>
      <c r="BA162" s="39" t="str">
        <f t="shared" si="23"/>
        <v/>
      </c>
      <c r="BB162" s="46" t="s">
        <v>376</v>
      </c>
      <c r="BC162" s="31" t="s">
        <v>341</v>
      </c>
      <c r="BD162" s="16" t="s">
        <v>311</v>
      </c>
      <c r="BE162" s="16" t="s">
        <v>311</v>
      </c>
      <c r="BF162" s="244" t="str">
        <f>T_BilanSocial2[[#This Row],[Nom]]&amp;T_BilanSocial2[[#This Row],[Prénom]]</f>
        <v/>
      </c>
    </row>
    <row r="163" spans="1:58" ht="21.75" customHeight="1" x14ac:dyDescent="0.25">
      <c r="A163" s="90">
        <v>87</v>
      </c>
      <c r="B163" s="126" t="s">
        <v>210</v>
      </c>
      <c r="C163" s="126" t="str">
        <f>VLOOKUP(T_BilanSocial2[[#This Row],[NumL]],T_Commission[#Data],COLUMN(T_Commission[FINAL]),FALSE)</f>
        <v/>
      </c>
      <c r="D163" s="19" t="str">
        <f t="shared" si="16"/>
        <v/>
      </c>
      <c r="E163" s="19" t="str">
        <f t="shared" si="17"/>
        <v/>
      </c>
      <c r="F163" s="242" t="str">
        <f>IFERROR(VLOOKUP(T_BilanSocial2[[#This Row],[Zone_Bilan]],T_P_BilanSocial[#Data],COLUMN(T_P_BilanSocial[[#This Row],[Numero_SIHAM]]),FALSE),"")</f>
        <v/>
      </c>
      <c r="G163" s="242" t="str">
        <f>IFERROR(VLOOKUP(T_BilanSocial2[[#This Row],[Zone_Bilan]],T_P_BilanSocial[#Data],COLUMN(T_P_BilanSocial[[#This Row],[Sexe]]),FALSE),"")</f>
        <v/>
      </c>
      <c r="H163" s="243" t="str">
        <f>IFERROR(VLOOKUP(T_BilanSocial2[[#This Row],[Zone_Bilan]],T_P_BilanSocial[#Data],COLUMN(T_P_BilanSocial[[#This Row],[Categorie]]),FALSE),"")</f>
        <v/>
      </c>
      <c r="I163" s="242" t="str">
        <f>IFERROR(VLOOKUP(T_BilanSocial2[[#This Row],[Zone_Bilan]],T_P_BilanSocial[#Data],COLUMN(T_P_BilanSocial[[#This Row],[Statut]]),FALSE),"")</f>
        <v/>
      </c>
      <c r="J163" s="242" t="str">
        <f>IFERROR(VLOOKUP(T_BilanSocial2[[#This Row],[Zone_Bilan]],T_P_BilanSocial[#Data],COLUMN(T_P_BilanSocial[[#This Row],[Filiere]]),FALSE),"")</f>
        <v/>
      </c>
      <c r="K163" s="78">
        <v>1</v>
      </c>
      <c r="L163" s="213">
        <v>1.5451388888888891</v>
      </c>
      <c r="M163" s="78" t="s">
        <v>210</v>
      </c>
      <c r="N163" s="79" t="str">
        <f>IF((AND(T_BilanSocial2[[#This Row],[Nom]]&lt;&gt;"",T_BilanSocial2[[#This Row],[Reg Ponct]]="R")),(COUNTIF(S163:AX163,"S")+COUNTIF(S163:AX163,"T"))/2,"")</f>
        <v/>
      </c>
      <c r="O163" s="79" t="str">
        <f>IF((AND(T_BilanSocial2[[#This Row],[Nom]]&lt;&gt;"",T_BilanSocial2[[#This Row],[Reg Ponct]]="R")),COUNTIF(S163:AX163,"S")/2,"")</f>
        <v/>
      </c>
      <c r="P163" s="80" t="str">
        <f>IF((AND(T_BilanSocial2[[#This Row],[Nom]]&lt;&gt;"",T_BilanSocial2[[#This Row],[Reg Ponct]]="R")),COUNTIF(S163:AX163,"t")/2,"")</f>
        <v/>
      </c>
      <c r="Q163" s="81" t="str">
        <f t="shared" si="18"/>
        <v/>
      </c>
      <c r="R163" s="82" t="str">
        <f>IF((AND(T_BilanSocial2[[#This Row],[Nom]]&lt;&gt;"",T_BilanSocial2[[#This Row],[Reg Ponct]]="R")),IF(S163="T",U163-T163,0)+IF(V163="T",X163-W163,0)+IF(Z163="T",AB163-AA163,0)+IF(AC163="T",AE163-AD163,0)+IF(AG163="T",AI163-AH163,0)+IF(AJ163="T",AL163-AK163,0)+IF(AN163="T",AP163-AO163,0)+IF(AQ163="T",AS163-AR163,0)+IF(AU163="T",AW163-AV163,0)+IF(AX163="T",AZ163-AY163,0),"")</f>
        <v/>
      </c>
      <c r="S163" s="36" t="s">
        <v>306</v>
      </c>
      <c r="T163" s="37">
        <v>0.33333333333333331</v>
      </c>
      <c r="U163" s="37">
        <v>0.5</v>
      </c>
      <c r="V163" s="21" t="s">
        <v>306</v>
      </c>
      <c r="W163" s="37">
        <v>0.54166666666666663</v>
      </c>
      <c r="X163" s="37">
        <v>0.72916666666666663</v>
      </c>
      <c r="Y163" s="38" t="str">
        <f t="shared" si="19"/>
        <v/>
      </c>
      <c r="Z163" s="36" t="s">
        <v>306</v>
      </c>
      <c r="AA163" s="37">
        <v>0.33333333333333331</v>
      </c>
      <c r="AB163" s="37">
        <v>0.5</v>
      </c>
      <c r="AC163" s="21" t="s">
        <v>306</v>
      </c>
      <c r="AD163" s="37">
        <v>0.54166666666666663</v>
      </c>
      <c r="AE163" s="37">
        <v>0.72916666666666663</v>
      </c>
      <c r="AF163" s="38" t="str">
        <f t="shared" si="20"/>
        <v/>
      </c>
      <c r="AG163" s="36" t="s">
        <v>306</v>
      </c>
      <c r="AH163" s="37">
        <v>0.33333333333333331</v>
      </c>
      <c r="AI163" s="37">
        <v>0.5</v>
      </c>
      <c r="AJ163" s="21" t="s">
        <v>306</v>
      </c>
      <c r="AK163" s="37">
        <v>0.54166666666666663</v>
      </c>
      <c r="AL163" s="37">
        <v>0.70833333333333337</v>
      </c>
      <c r="AM163" s="38" t="str">
        <f t="shared" si="21"/>
        <v/>
      </c>
      <c r="AN163" s="36" t="s">
        <v>306</v>
      </c>
      <c r="AO163" s="37">
        <v>0.33333333333333331</v>
      </c>
      <c r="AP163" s="37">
        <v>0.54166666666666663</v>
      </c>
      <c r="AQ163" s="21" t="s">
        <v>308</v>
      </c>
      <c r="AR163" s="37"/>
      <c r="AS163" s="37"/>
      <c r="AT163" s="38" t="str">
        <f t="shared" si="22"/>
        <v/>
      </c>
      <c r="AU163" s="36" t="s">
        <v>307</v>
      </c>
      <c r="AV163" s="37">
        <v>0.33333333333333331</v>
      </c>
      <c r="AW163" s="37">
        <v>0.5</v>
      </c>
      <c r="AX163" s="21" t="s">
        <v>307</v>
      </c>
      <c r="AY163" s="37">
        <v>0.54166666666666663</v>
      </c>
      <c r="AZ163" s="37">
        <v>0.67013888888888884</v>
      </c>
      <c r="BA163" s="39" t="str">
        <f t="shared" si="23"/>
        <v/>
      </c>
      <c r="BB163" s="46" t="s">
        <v>667</v>
      </c>
      <c r="BC163" s="31" t="s">
        <v>668</v>
      </c>
      <c r="BD163" s="16" t="s">
        <v>311</v>
      </c>
      <c r="BE163" s="16" t="s">
        <v>322</v>
      </c>
      <c r="BF163" s="244" t="str">
        <f>T_BilanSocial2[[#This Row],[Nom]]&amp;T_BilanSocial2[[#This Row],[Prénom]]</f>
        <v/>
      </c>
    </row>
    <row r="164" spans="1:58" ht="21.75" hidden="1" customHeight="1" x14ac:dyDescent="0.25">
      <c r="A164" s="90">
        <v>41</v>
      </c>
      <c r="B164" s="126" t="s">
        <v>311</v>
      </c>
      <c r="C164" s="126" t="str">
        <f>VLOOKUP(T_BilanSocial2[[#This Row],[NumL]],T_Commission[#Data],COLUMN(T_Commission[FINAL]),FALSE)</f>
        <v/>
      </c>
      <c r="D164" s="19" t="str">
        <f t="shared" si="16"/>
        <v/>
      </c>
      <c r="E164" s="19" t="str">
        <f t="shared" si="17"/>
        <v/>
      </c>
      <c r="F164" s="242" t="str">
        <f>IFERROR(VLOOKUP(T_BilanSocial2[[#This Row],[Zone_Bilan]],T_P_BilanSocial[#Data],COLUMN(T_P_BilanSocial[[#This Row],[Numero_SIHAM]]),FALSE),"")</f>
        <v/>
      </c>
      <c r="G164" s="242" t="str">
        <f>IFERROR(VLOOKUP(T_BilanSocial2[[#This Row],[Zone_Bilan]],T_P_BilanSocial[#Data],COLUMN(T_P_BilanSocial[[#This Row],[Sexe]]),FALSE),"")</f>
        <v/>
      </c>
      <c r="H164" s="243" t="str">
        <f>IFERROR(VLOOKUP(T_BilanSocial2[[#This Row],[Zone_Bilan]],T_P_BilanSocial[#Data],COLUMN(T_P_BilanSocial[[#This Row],[Categorie]]),FALSE),"")</f>
        <v/>
      </c>
      <c r="I164" s="242" t="str">
        <f>IFERROR(VLOOKUP(T_BilanSocial2[[#This Row],[Zone_Bilan]],T_P_BilanSocial[#Data],COLUMN(T_P_BilanSocial[[#This Row],[Statut]]),FALSE),"")</f>
        <v/>
      </c>
      <c r="J164" s="242" t="str">
        <f>IFERROR(VLOOKUP(T_BilanSocial2[[#This Row],[Zone_Bilan]],T_P_BilanSocial[#Data],COLUMN(T_P_BilanSocial[[#This Row],[Filiere]]),FALSE),"")</f>
        <v/>
      </c>
      <c r="K164" s="78">
        <v>0.8</v>
      </c>
      <c r="L164" s="213">
        <v>1.2361111111111112</v>
      </c>
      <c r="M164" s="78" t="s">
        <v>210</v>
      </c>
      <c r="N164" s="79" t="str">
        <f>IF((AND(T_BilanSocial2[[#This Row],[Nom]]&lt;&gt;"",T_BilanSocial2[[#This Row],[Reg Ponct]]="R")),(COUNTIF(S164:AX164,"S")+COUNTIF(S164:AX164,"T"))/2,"")</f>
        <v/>
      </c>
      <c r="O164" s="79" t="str">
        <f>IF((AND(T_BilanSocial2[[#This Row],[Nom]]&lt;&gt;"",T_BilanSocial2[[#This Row],[Reg Ponct]]="R")),COUNTIF(S164:AX164,"S")/2,"")</f>
        <v/>
      </c>
      <c r="P164" s="80" t="str">
        <f>IF((AND(T_BilanSocial2[[#This Row],[Nom]]&lt;&gt;"",T_BilanSocial2[[#This Row],[Reg Ponct]]="R")),COUNTIF(S164:AX164,"t")/2,"")</f>
        <v/>
      </c>
      <c r="Q164" s="81" t="str">
        <f t="shared" si="18"/>
        <v/>
      </c>
      <c r="R164" s="82" t="str">
        <f>IF((AND(T_BilanSocial2[[#This Row],[Nom]]&lt;&gt;"",T_BilanSocial2[[#This Row],[Reg Ponct]]="R")),IF(S164="T",U164-T164,0)+IF(V164="T",X164-W164,0)+IF(Z164="T",AB164-AA164,0)+IF(AC164="T",AE164-AD164,0)+IF(AG164="T",AI164-AH164,0)+IF(AJ164="T",AL164-AK164,0)+IF(AN164="T",AP164-AO164,0)+IF(AQ164="T",AS164-AR164,0)+IF(AU164="T",AW164-AV164,0)+IF(AX164="T",AZ164-AY164,0),"")</f>
        <v/>
      </c>
      <c r="S164" s="36" t="s">
        <v>307</v>
      </c>
      <c r="T164" s="37">
        <v>0.33333333333333331</v>
      </c>
      <c r="U164" s="37">
        <v>0.52083333333333337</v>
      </c>
      <c r="V164" s="21" t="s">
        <v>307</v>
      </c>
      <c r="W164" s="37">
        <v>0.5625</v>
      </c>
      <c r="X164" s="37">
        <v>0.70833333333333337</v>
      </c>
      <c r="Y164" s="38" t="str">
        <f t="shared" si="19"/>
        <v/>
      </c>
      <c r="Z164" s="36" t="s">
        <v>306</v>
      </c>
      <c r="AA164" s="37">
        <v>0.33333333333333331</v>
      </c>
      <c r="AB164" s="37">
        <v>0.52083333333333337</v>
      </c>
      <c r="AC164" s="21" t="s">
        <v>306</v>
      </c>
      <c r="AD164" s="37">
        <v>0.5625</v>
      </c>
      <c r="AE164" s="37">
        <v>0.66666666666666663</v>
      </c>
      <c r="AF164" s="38" t="str">
        <f t="shared" si="20"/>
        <v/>
      </c>
      <c r="AG164" s="36" t="s">
        <v>306</v>
      </c>
      <c r="AH164" s="37">
        <v>0.33333333333333331</v>
      </c>
      <c r="AI164" s="37">
        <v>0.49305555555555558</v>
      </c>
      <c r="AJ164" s="21" t="s">
        <v>308</v>
      </c>
      <c r="AK164" s="37"/>
      <c r="AL164" s="37"/>
      <c r="AM164" s="38" t="str">
        <f t="shared" si="21"/>
        <v/>
      </c>
      <c r="AN164" s="36" t="s">
        <v>306</v>
      </c>
      <c r="AO164" s="37">
        <v>0.33333333333333331</v>
      </c>
      <c r="AP164" s="37">
        <v>0.52083333333333337</v>
      </c>
      <c r="AQ164" s="21" t="s">
        <v>306</v>
      </c>
      <c r="AR164" s="37">
        <v>0.5625</v>
      </c>
      <c r="AS164" s="37">
        <v>0.66666666666666663</v>
      </c>
      <c r="AT164" s="38" t="str">
        <f t="shared" si="22"/>
        <v/>
      </c>
      <c r="AU164" s="36" t="s">
        <v>306</v>
      </c>
      <c r="AV164" s="37">
        <v>0.33333333333333331</v>
      </c>
      <c r="AW164" s="37">
        <v>0.49305555555555558</v>
      </c>
      <c r="AX164" s="21" t="s">
        <v>308</v>
      </c>
      <c r="AY164" s="37"/>
      <c r="AZ164" s="37"/>
      <c r="BA164" s="39" t="str">
        <f t="shared" si="23"/>
        <v/>
      </c>
      <c r="BB164" s="46" t="s">
        <v>340</v>
      </c>
      <c r="BC164" s="31" t="s">
        <v>341</v>
      </c>
      <c r="BD164" s="16" t="s">
        <v>311</v>
      </c>
      <c r="BE164" s="16" t="s">
        <v>311</v>
      </c>
      <c r="BF164" s="244" t="str">
        <f>T_BilanSocial2[[#This Row],[Nom]]&amp;T_BilanSocial2[[#This Row],[Prénom]]</f>
        <v/>
      </c>
    </row>
    <row r="165" spans="1:58" ht="21.75" hidden="1" customHeight="1" x14ac:dyDescent="0.25">
      <c r="A165" s="90">
        <v>177</v>
      </c>
      <c r="B165" s="126" t="s">
        <v>311</v>
      </c>
      <c r="C165" s="126" t="str">
        <f>VLOOKUP(T_BilanSocial2[[#This Row],[NumL]],T_Commission[#Data],COLUMN(T_Commission[FINAL]),FALSE)</f>
        <v/>
      </c>
      <c r="D165" s="19" t="str">
        <f t="shared" si="16"/>
        <v/>
      </c>
      <c r="E165" s="19" t="str">
        <f t="shared" si="17"/>
        <v/>
      </c>
      <c r="F165" s="242" t="str">
        <f>IFERROR(VLOOKUP(T_BilanSocial2[[#This Row],[Zone_Bilan]],T_P_BilanSocial[#Data],COLUMN(T_P_BilanSocial[[#This Row],[Numero_SIHAM]]),FALSE),"")</f>
        <v/>
      </c>
      <c r="G165" s="242" t="str">
        <f>IFERROR(VLOOKUP(T_BilanSocial2[[#This Row],[Zone_Bilan]],T_P_BilanSocial[#Data],COLUMN(T_P_BilanSocial[[#This Row],[Sexe]]),FALSE),"")</f>
        <v/>
      </c>
      <c r="H165" s="243" t="str">
        <f>IFERROR(VLOOKUP(T_BilanSocial2[[#This Row],[Zone_Bilan]],T_P_BilanSocial[#Data],COLUMN(T_P_BilanSocial[[#This Row],[Categorie]]),FALSE),"")</f>
        <v/>
      </c>
      <c r="I165" s="242" t="str">
        <f>IFERROR(VLOOKUP(T_BilanSocial2[[#This Row],[Zone_Bilan]],T_P_BilanSocial[#Data],COLUMN(T_P_BilanSocial[[#This Row],[Statut]]),FALSE),"")</f>
        <v/>
      </c>
      <c r="J165" s="242" t="str">
        <f>IFERROR(VLOOKUP(T_BilanSocial2[[#This Row],[Zone_Bilan]],T_P_BilanSocial[#Data],COLUMN(T_P_BilanSocial[[#This Row],[Filiere]]),FALSE),"")</f>
        <v/>
      </c>
      <c r="K165" s="78">
        <v>0.8</v>
      </c>
      <c r="L165" s="213">
        <v>1.2361111111111112</v>
      </c>
      <c r="M165" s="78" t="s">
        <v>211</v>
      </c>
      <c r="N165" s="79" t="str">
        <f>IF((AND(T_BilanSocial2[[#This Row],[Nom]]&lt;&gt;"",T_BilanSocial2[[#This Row],[Reg Ponct]]="R")),(COUNTIF(S165:AX165,"S")+COUNTIF(S165:AX165,"T"))/2,"")</f>
        <v/>
      </c>
      <c r="O165" s="79" t="str">
        <f>IF((AND(T_BilanSocial2[[#This Row],[Nom]]&lt;&gt;"",T_BilanSocial2[[#This Row],[Reg Ponct]]="R")),COUNTIF(S165:AX165,"S")/2,"")</f>
        <v/>
      </c>
      <c r="P165" s="80" t="str">
        <f>IF((AND(T_BilanSocial2[[#This Row],[Nom]]&lt;&gt;"",T_BilanSocial2[[#This Row],[Reg Ponct]]="R")),COUNTIF(S165:AX165,"t")/2,"")</f>
        <v/>
      </c>
      <c r="Q165" s="81" t="str">
        <f t="shared" si="18"/>
        <v/>
      </c>
      <c r="R165" s="82" t="str">
        <f>IF((AND(T_BilanSocial2[[#This Row],[Nom]]&lt;&gt;"",T_BilanSocial2[[#This Row],[Reg Ponct]]="R")),IF(S165="T",U165-T165,0)+IF(V165="T",X165-W165,0)+IF(Z165="T",AB165-AA165,0)+IF(AC165="T",AE165-AD165,0)+IF(AG165="T",AI165-AH165,0)+IF(AJ165="T",AL165-AK165,0)+IF(AN165="T",AP165-AO165,0)+IF(AQ165="T",AS165-AR165,0)+IF(AU165="T",AW165-AV165,0)+IF(AX165="T",AZ165-AY165,0),"")</f>
        <v/>
      </c>
      <c r="S165" s="36"/>
      <c r="T165" s="37"/>
      <c r="U165" s="37"/>
      <c r="V165" s="21"/>
      <c r="W165" s="37"/>
      <c r="X165" s="37"/>
      <c r="Y165" s="38" t="str">
        <f t="shared" si="19"/>
        <v/>
      </c>
      <c r="Z165" s="36"/>
      <c r="AA165" s="37"/>
      <c r="AB165" s="37"/>
      <c r="AC165" s="21"/>
      <c r="AD165" s="37"/>
      <c r="AE165" s="37"/>
      <c r="AF165" s="38" t="str">
        <f t="shared" si="20"/>
        <v/>
      </c>
      <c r="AG165" s="36"/>
      <c r="AH165" s="37"/>
      <c r="AI165" s="37"/>
      <c r="AJ165" s="21"/>
      <c r="AK165" s="37"/>
      <c r="AL165" s="37"/>
      <c r="AM165" s="38" t="str">
        <f t="shared" si="21"/>
        <v/>
      </c>
      <c r="AN165" s="36"/>
      <c r="AO165" s="37"/>
      <c r="AP165" s="37"/>
      <c r="AQ165" s="21"/>
      <c r="AR165" s="37"/>
      <c r="AS165" s="37"/>
      <c r="AT165" s="38" t="str">
        <f t="shared" si="22"/>
        <v/>
      </c>
      <c r="AU165" s="36"/>
      <c r="AV165" s="37"/>
      <c r="AW165" s="37"/>
      <c r="AX165" s="21"/>
      <c r="AY165" s="37"/>
      <c r="AZ165" s="37"/>
      <c r="BA165" s="39" t="str">
        <f t="shared" si="23"/>
        <v/>
      </c>
      <c r="BB165" s="46" t="s">
        <v>353</v>
      </c>
      <c r="BC165" s="31" t="s">
        <v>354</v>
      </c>
      <c r="BD165" s="16" t="s">
        <v>311</v>
      </c>
      <c r="BE165" s="16" t="s">
        <v>311</v>
      </c>
      <c r="BF165" s="244" t="str">
        <f>T_BilanSocial2[[#This Row],[Nom]]&amp;T_BilanSocial2[[#This Row],[Prénom]]</f>
        <v/>
      </c>
    </row>
    <row r="166" spans="1:58" ht="21.75" hidden="1" customHeight="1" x14ac:dyDescent="0.25">
      <c r="A166" s="90">
        <v>82</v>
      </c>
      <c r="B166" s="126" t="s">
        <v>311</v>
      </c>
      <c r="C166" s="126" t="str">
        <f>VLOOKUP(T_BilanSocial2[[#This Row],[NumL]],T_Commission[#Data],COLUMN(T_Commission[FINAL]),FALSE)</f>
        <v/>
      </c>
      <c r="D166" s="19" t="str">
        <f t="shared" si="16"/>
        <v/>
      </c>
      <c r="E166" s="19" t="str">
        <f t="shared" si="17"/>
        <v/>
      </c>
      <c r="F166" s="242" t="str">
        <f>IFERROR(VLOOKUP(T_BilanSocial2[[#This Row],[Zone_Bilan]],T_P_BilanSocial[#Data],COLUMN(T_P_BilanSocial[[#This Row],[Numero_SIHAM]]),FALSE),"")</f>
        <v/>
      </c>
      <c r="G166" s="242" t="str">
        <f>IFERROR(VLOOKUP(T_BilanSocial2[[#This Row],[Zone_Bilan]],T_P_BilanSocial[#Data],COLUMN(T_P_BilanSocial[[#This Row],[Sexe]]),FALSE),"")</f>
        <v/>
      </c>
      <c r="H166" s="243" t="str">
        <f>IFERROR(VLOOKUP(T_BilanSocial2[[#This Row],[Zone_Bilan]],T_P_BilanSocial[#Data],COLUMN(T_P_BilanSocial[[#This Row],[Categorie]]),FALSE),"")</f>
        <v/>
      </c>
      <c r="I166" s="242" t="str">
        <f>IFERROR(VLOOKUP(T_BilanSocial2[[#This Row],[Zone_Bilan]],T_P_BilanSocial[#Data],COLUMN(T_P_BilanSocial[[#This Row],[Statut]]),FALSE),"")</f>
        <v/>
      </c>
      <c r="J166" s="242" t="str">
        <f>IFERROR(VLOOKUP(T_BilanSocial2[[#This Row],[Zone_Bilan]],T_P_BilanSocial[#Data],COLUMN(T_P_BilanSocial[[#This Row],[Filiere]]),FALSE),"")</f>
        <v/>
      </c>
      <c r="K166" s="78">
        <v>1</v>
      </c>
      <c r="L166" s="213">
        <v>1.5451388888888891</v>
      </c>
      <c r="M166" s="78" t="s">
        <v>210</v>
      </c>
      <c r="N166" s="79" t="str">
        <f>IF((AND(T_BilanSocial2[[#This Row],[Nom]]&lt;&gt;"",T_BilanSocial2[[#This Row],[Reg Ponct]]="R")),(COUNTIF(S166:AX166,"S")+COUNTIF(S166:AX166,"T"))/2,"")</f>
        <v/>
      </c>
      <c r="O166" s="79" t="str">
        <f>IF((AND(T_BilanSocial2[[#This Row],[Nom]]&lt;&gt;"",T_BilanSocial2[[#This Row],[Reg Ponct]]="R")),COUNTIF(S166:AX166,"S")/2,"")</f>
        <v/>
      </c>
      <c r="P166" s="80" t="str">
        <f>IF((AND(T_BilanSocial2[[#This Row],[Nom]]&lt;&gt;"",T_BilanSocial2[[#This Row],[Reg Ponct]]="R")),COUNTIF(S166:AX166,"t")/2,"")</f>
        <v/>
      </c>
      <c r="Q166" s="81" t="str">
        <f t="shared" si="18"/>
        <v/>
      </c>
      <c r="R166" s="82" t="str">
        <f>IF((AND(T_BilanSocial2[[#This Row],[Nom]]&lt;&gt;"",T_BilanSocial2[[#This Row],[Reg Ponct]]="R")),IF(S166="T",U166-T166,0)+IF(V166="T",X166-W166,0)+IF(Z166="T",AB166-AA166,0)+IF(AC166="T",AE166-AD166,0)+IF(AG166="T",AI166-AH166,0)+IF(AJ166="T",AL166-AK166,0)+IF(AN166="T",AP166-AO166,0)+IF(AQ166="T",AS166-AR166,0)+IF(AU166="T",AW166-AV166,0)+IF(AX166="T",AZ166-AY166,0),"")</f>
        <v/>
      </c>
      <c r="S166" s="36" t="s">
        <v>306</v>
      </c>
      <c r="T166" s="37">
        <v>0.33333333333333331</v>
      </c>
      <c r="U166" s="37">
        <v>0.52083333333333337</v>
      </c>
      <c r="V166" s="21" t="s">
        <v>306</v>
      </c>
      <c r="W166" s="37">
        <v>0.5625</v>
      </c>
      <c r="X166" s="37">
        <v>0.67708333333333337</v>
      </c>
      <c r="Y166" s="38" t="str">
        <f t="shared" si="19"/>
        <v/>
      </c>
      <c r="Z166" s="36" t="s">
        <v>306</v>
      </c>
      <c r="AA166" s="37">
        <v>0.33333333333333331</v>
      </c>
      <c r="AB166" s="37">
        <v>0.52083333333333337</v>
      </c>
      <c r="AC166" s="21" t="s">
        <v>306</v>
      </c>
      <c r="AD166" s="37">
        <v>0.5625</v>
      </c>
      <c r="AE166" s="37">
        <v>0.67708333333333337</v>
      </c>
      <c r="AF166" s="38" t="str">
        <f t="shared" si="20"/>
        <v/>
      </c>
      <c r="AG166" s="36" t="s">
        <v>307</v>
      </c>
      <c r="AH166" s="37">
        <v>0.3125</v>
      </c>
      <c r="AI166" s="37">
        <v>0.52083333333333337</v>
      </c>
      <c r="AJ166" s="21" t="s">
        <v>307</v>
      </c>
      <c r="AK166" s="37">
        <v>0.5625</v>
      </c>
      <c r="AL166" s="37">
        <v>0.69097222222222221</v>
      </c>
      <c r="AM166" s="38" t="str">
        <f t="shared" si="21"/>
        <v/>
      </c>
      <c r="AN166" s="36" t="s">
        <v>306</v>
      </c>
      <c r="AO166" s="37">
        <v>0.33333333333333331</v>
      </c>
      <c r="AP166" s="37">
        <v>0.52083333333333337</v>
      </c>
      <c r="AQ166" s="21" t="s">
        <v>306</v>
      </c>
      <c r="AR166" s="37">
        <v>0.5625</v>
      </c>
      <c r="AS166" s="37">
        <v>0.67708333333333337</v>
      </c>
      <c r="AT166" s="38" t="str">
        <f t="shared" si="22"/>
        <v/>
      </c>
      <c r="AU166" s="36" t="s">
        <v>306</v>
      </c>
      <c r="AV166" s="37">
        <v>0.33333333333333331</v>
      </c>
      <c r="AW166" s="37">
        <v>0.52083333333333337</v>
      </c>
      <c r="AX166" s="21" t="s">
        <v>307</v>
      </c>
      <c r="AY166" s="37">
        <v>0.5625</v>
      </c>
      <c r="AZ166" s="37">
        <v>0.67708333333333337</v>
      </c>
      <c r="BA166" s="39" t="str">
        <f t="shared" si="23"/>
        <v/>
      </c>
      <c r="BB166" s="46" t="s">
        <v>353</v>
      </c>
      <c r="BC166" s="31" t="s">
        <v>354</v>
      </c>
      <c r="BD166" s="16" t="s">
        <v>311</v>
      </c>
      <c r="BE166" s="16" t="s">
        <v>311</v>
      </c>
      <c r="BF166" s="244" t="str">
        <f>T_BilanSocial2[[#This Row],[Nom]]&amp;T_BilanSocial2[[#This Row],[Prénom]]</f>
        <v/>
      </c>
    </row>
    <row r="167" spans="1:58" ht="21.75" hidden="1" customHeight="1" x14ac:dyDescent="0.25">
      <c r="A167" s="90">
        <v>21</v>
      </c>
      <c r="B167" s="126" t="s">
        <v>210</v>
      </c>
      <c r="C167" s="126" t="str">
        <f>VLOOKUP(T_BilanSocial2[[#This Row],[NumL]],T_Commission[#Data],COLUMN(T_Commission[FINAL]),FALSE)</f>
        <v/>
      </c>
      <c r="D167" s="19" t="str">
        <f t="shared" si="16"/>
        <v/>
      </c>
      <c r="E167" s="19" t="str">
        <f t="shared" si="17"/>
        <v/>
      </c>
      <c r="F167" s="242" t="str">
        <f>IFERROR(VLOOKUP(T_BilanSocial2[[#This Row],[Zone_Bilan]],T_P_BilanSocial[#Data],COLUMN(T_P_BilanSocial[[#This Row],[Numero_SIHAM]]),FALSE),"")</f>
        <v/>
      </c>
      <c r="G167" s="242" t="str">
        <f>IFERROR(VLOOKUP(T_BilanSocial2[[#This Row],[Zone_Bilan]],T_P_BilanSocial[#Data],COLUMN(T_P_BilanSocial[[#This Row],[Sexe]]),FALSE),"")</f>
        <v/>
      </c>
      <c r="H167" s="243" t="str">
        <f>IFERROR(VLOOKUP(T_BilanSocial2[[#This Row],[Zone_Bilan]],T_P_BilanSocial[#Data],COLUMN(T_P_BilanSocial[[#This Row],[Categorie]]),FALSE),"")</f>
        <v/>
      </c>
      <c r="I167" s="242" t="str">
        <f>IFERROR(VLOOKUP(T_BilanSocial2[[#This Row],[Zone_Bilan]],T_P_BilanSocial[#Data],COLUMN(T_P_BilanSocial[[#This Row],[Statut]]),FALSE),"")</f>
        <v/>
      </c>
      <c r="J167" s="242" t="str">
        <f>IFERROR(VLOOKUP(T_BilanSocial2[[#This Row],[Zone_Bilan]],T_P_BilanSocial[#Data],COLUMN(T_P_BilanSocial[[#This Row],[Filiere]]),FALSE),"")</f>
        <v/>
      </c>
      <c r="K167" s="78">
        <v>1</v>
      </c>
      <c r="L167" s="213">
        <v>1.5451388888888891</v>
      </c>
      <c r="M167" s="78" t="s">
        <v>210</v>
      </c>
      <c r="N167" s="79" t="str">
        <f>IF((AND(T_BilanSocial2[[#This Row],[Nom]]&lt;&gt;"",T_BilanSocial2[[#This Row],[Reg Ponct]]="R")),(COUNTIF(S167:AX167,"S")+COUNTIF(S167:AX167,"T"))/2,"")</f>
        <v/>
      </c>
      <c r="O167" s="79" t="str">
        <f>IF((AND(T_BilanSocial2[[#This Row],[Nom]]&lt;&gt;"",T_BilanSocial2[[#This Row],[Reg Ponct]]="R")),COUNTIF(S167:AX167,"S")/2,"")</f>
        <v/>
      </c>
      <c r="P167" s="80" t="str">
        <f>IF((AND(T_BilanSocial2[[#This Row],[Nom]]&lt;&gt;"",T_BilanSocial2[[#This Row],[Reg Ponct]]="R")),COUNTIF(S167:AX167,"t")/2,"")</f>
        <v/>
      </c>
      <c r="Q167" s="81" t="str">
        <f t="shared" si="18"/>
        <v/>
      </c>
      <c r="R167" s="82" t="str">
        <f>IF((AND(T_BilanSocial2[[#This Row],[Nom]]&lt;&gt;"",T_BilanSocial2[[#This Row],[Reg Ponct]]="R")),IF(S167="T",U167-T167,0)+IF(V167="T",X167-W167,0)+IF(Z167="T",AB167-AA167,0)+IF(AC167="T",AE167-AD167,0)+IF(AG167="T",AI167-AH167,0)+IF(AJ167="T",AL167-AK167,0)+IF(AN167="T",AP167-AO167,0)+IF(AQ167="T",AS167-AR167,0)+IF(AU167="T",AW167-AV167,0)+IF(AX167="T",AZ167-AY167,0),"")</f>
        <v/>
      </c>
      <c r="S167" s="36" t="s">
        <v>306</v>
      </c>
      <c r="T167" s="37">
        <v>0.36458333333333331</v>
      </c>
      <c r="U167" s="37">
        <v>0.52083333333333337</v>
      </c>
      <c r="V167" s="21" t="s">
        <v>306</v>
      </c>
      <c r="W167" s="37">
        <v>0.5625</v>
      </c>
      <c r="X167" s="37">
        <v>0.73611111111111116</v>
      </c>
      <c r="Y167" s="38" t="str">
        <f t="shared" si="19"/>
        <v/>
      </c>
      <c r="Z167" s="36" t="s">
        <v>306</v>
      </c>
      <c r="AA167" s="37">
        <v>0.36458333333333331</v>
      </c>
      <c r="AB167" s="37">
        <v>0.52083333333333337</v>
      </c>
      <c r="AC167" s="21" t="s">
        <v>306</v>
      </c>
      <c r="AD167" s="37">
        <v>0.5625</v>
      </c>
      <c r="AE167" s="37">
        <v>0.73263888888888884</v>
      </c>
      <c r="AF167" s="38" t="str">
        <f t="shared" si="20"/>
        <v/>
      </c>
      <c r="AG167" s="36" t="s">
        <v>307</v>
      </c>
      <c r="AH167" s="37">
        <v>0.375</v>
      </c>
      <c r="AI167" s="37">
        <v>0.52083333333333337</v>
      </c>
      <c r="AJ167" s="21" t="s">
        <v>307</v>
      </c>
      <c r="AK167" s="37">
        <v>0.5625</v>
      </c>
      <c r="AL167" s="37">
        <v>0.6875</v>
      </c>
      <c r="AM167" s="38" t="str">
        <f t="shared" si="21"/>
        <v/>
      </c>
      <c r="AN167" s="36" t="s">
        <v>306</v>
      </c>
      <c r="AO167" s="37">
        <v>0.36458333333333331</v>
      </c>
      <c r="AP167" s="37">
        <v>0.52083333333333337</v>
      </c>
      <c r="AQ167" s="21" t="s">
        <v>306</v>
      </c>
      <c r="AR167" s="37">
        <v>0.5625</v>
      </c>
      <c r="AS167" s="37">
        <v>0.73263888888888884</v>
      </c>
      <c r="AT167" s="38" t="str">
        <f t="shared" si="22"/>
        <v/>
      </c>
      <c r="AU167" s="36" t="s">
        <v>307</v>
      </c>
      <c r="AV167" s="37">
        <v>0.35416666666666669</v>
      </c>
      <c r="AW167" s="37">
        <v>0.52083333333333337</v>
      </c>
      <c r="AX167" s="21" t="s">
        <v>307</v>
      </c>
      <c r="AY167" s="37">
        <v>0.5625</v>
      </c>
      <c r="AZ167" s="37">
        <v>0.6875</v>
      </c>
      <c r="BA167" s="39" t="str">
        <f t="shared" si="23"/>
        <v/>
      </c>
      <c r="BB167" s="46" t="s">
        <v>353</v>
      </c>
      <c r="BC167" s="31" t="s">
        <v>354</v>
      </c>
      <c r="BD167" s="16" t="s">
        <v>311</v>
      </c>
      <c r="BE167" s="16" t="s">
        <v>322</v>
      </c>
      <c r="BF167" s="244" t="str">
        <f>T_BilanSocial2[[#This Row],[Nom]]&amp;T_BilanSocial2[[#This Row],[Prénom]]</f>
        <v/>
      </c>
    </row>
    <row r="168" spans="1:58" ht="21.75" hidden="1" customHeight="1" x14ac:dyDescent="0.25">
      <c r="A168" s="90">
        <v>190</v>
      </c>
      <c r="B168" s="126" t="s">
        <v>311</v>
      </c>
      <c r="C168" s="126" t="str">
        <f>VLOOKUP(T_BilanSocial2[[#This Row],[NumL]],T_Commission[#Data],COLUMN(T_Commission[FINAL]),FALSE)</f>
        <v/>
      </c>
      <c r="D168" s="19" t="str">
        <f t="shared" si="16"/>
        <v/>
      </c>
      <c r="E168" s="19" t="str">
        <f t="shared" si="17"/>
        <v/>
      </c>
      <c r="F168" s="242" t="str">
        <f>IFERROR(VLOOKUP(T_BilanSocial2[[#This Row],[Zone_Bilan]],T_P_BilanSocial[#Data],COLUMN(T_P_BilanSocial[[#This Row],[Numero_SIHAM]]),FALSE),"")</f>
        <v/>
      </c>
      <c r="G168" s="242" t="str">
        <f>IFERROR(VLOOKUP(T_BilanSocial2[[#This Row],[Zone_Bilan]],T_P_BilanSocial[#Data],COLUMN(T_P_BilanSocial[[#This Row],[Sexe]]),FALSE),"")</f>
        <v/>
      </c>
      <c r="H168" s="243" t="str">
        <f>IFERROR(VLOOKUP(T_BilanSocial2[[#This Row],[Zone_Bilan]],T_P_BilanSocial[#Data],COLUMN(T_P_BilanSocial[[#This Row],[Categorie]]),FALSE),"")</f>
        <v/>
      </c>
      <c r="I168" s="242" t="str">
        <f>IFERROR(VLOOKUP(T_BilanSocial2[[#This Row],[Zone_Bilan]],T_P_BilanSocial[#Data],COLUMN(T_P_BilanSocial[[#This Row],[Statut]]),FALSE),"")</f>
        <v/>
      </c>
      <c r="J168" s="242" t="str">
        <f>IFERROR(VLOOKUP(T_BilanSocial2[[#This Row],[Zone_Bilan]],T_P_BilanSocial[#Data],COLUMN(T_P_BilanSocial[[#This Row],[Filiere]]),FALSE),"")</f>
        <v/>
      </c>
      <c r="K168" s="78">
        <v>1</v>
      </c>
      <c r="L168" s="213">
        <v>1.5451388888888891</v>
      </c>
      <c r="M168" s="78" t="s">
        <v>210</v>
      </c>
      <c r="N168" s="79" t="str">
        <f>IF((AND(T_BilanSocial2[[#This Row],[Nom]]&lt;&gt;"",T_BilanSocial2[[#This Row],[Reg Ponct]]="R")),(COUNTIF(S168:AX168,"S")+COUNTIF(S168:AX168,"T"))/2,"")</f>
        <v/>
      </c>
      <c r="O168" s="79" t="str">
        <f>IF((AND(T_BilanSocial2[[#This Row],[Nom]]&lt;&gt;"",T_BilanSocial2[[#This Row],[Reg Ponct]]="R")),COUNTIF(S168:AX168,"S")/2,"")</f>
        <v/>
      </c>
      <c r="P168" s="80" t="str">
        <f>IF((AND(T_BilanSocial2[[#This Row],[Nom]]&lt;&gt;"",T_BilanSocial2[[#This Row],[Reg Ponct]]="R")),COUNTIF(S168:AX168,"t")/2,"")</f>
        <v/>
      </c>
      <c r="Q168" s="81" t="str">
        <f t="shared" si="18"/>
        <v/>
      </c>
      <c r="R168" s="82" t="str">
        <f>IF((AND(T_BilanSocial2[[#This Row],[Nom]]&lt;&gt;"",T_BilanSocial2[[#This Row],[Reg Ponct]]="R")),IF(S168="T",U168-T168,0)+IF(V168="T",X168-W168,0)+IF(Z168="T",AB168-AA168,0)+IF(AC168="T",AE168-AD168,0)+IF(AG168="T",AI168-AH168,0)+IF(AJ168="T",AL168-AK168,0)+IF(AN168="T",AP168-AO168,0)+IF(AQ168="T",AS168-AR168,0)+IF(AU168="T",AW168-AV168,0)+IF(AX168="T",AZ168-AY168,0),"")</f>
        <v/>
      </c>
      <c r="S168" s="36" t="s">
        <v>306</v>
      </c>
      <c r="T168" s="37">
        <v>0.33333333333333331</v>
      </c>
      <c r="U168" s="37">
        <v>0.5</v>
      </c>
      <c r="V168" s="21" t="s">
        <v>306</v>
      </c>
      <c r="W168" s="37">
        <v>0.54166666666666663</v>
      </c>
      <c r="X168" s="37">
        <v>0.79166666666666663</v>
      </c>
      <c r="Y168" s="38" t="str">
        <f t="shared" si="19"/>
        <v/>
      </c>
      <c r="Z168" s="36" t="s">
        <v>306</v>
      </c>
      <c r="AA168" s="37">
        <v>0.33333333333333331</v>
      </c>
      <c r="AB168" s="37">
        <v>0.5</v>
      </c>
      <c r="AC168" s="21" t="s">
        <v>306</v>
      </c>
      <c r="AD168" s="37">
        <v>0.54166666666666663</v>
      </c>
      <c r="AE168" s="37">
        <v>0.69791666666666663</v>
      </c>
      <c r="AF168" s="38" t="str">
        <f t="shared" si="20"/>
        <v/>
      </c>
      <c r="AG168" s="36" t="s">
        <v>307</v>
      </c>
      <c r="AH168" s="37">
        <v>0.33333333333333331</v>
      </c>
      <c r="AI168" s="37">
        <v>0.52083333333333337</v>
      </c>
      <c r="AJ168" s="21" t="s">
        <v>308</v>
      </c>
      <c r="AK168" s="37"/>
      <c r="AL168" s="37"/>
      <c r="AM168" s="38" t="str">
        <f t="shared" si="21"/>
        <v/>
      </c>
      <c r="AN168" s="36" t="s">
        <v>306</v>
      </c>
      <c r="AO168" s="37">
        <v>0.33333333333333331</v>
      </c>
      <c r="AP168" s="37">
        <v>0.5</v>
      </c>
      <c r="AQ168" s="21" t="s">
        <v>306</v>
      </c>
      <c r="AR168" s="37">
        <v>0.54166666666666663</v>
      </c>
      <c r="AS168" s="37">
        <v>0.65972222222222221</v>
      </c>
      <c r="AT168" s="38" t="str">
        <f t="shared" si="22"/>
        <v/>
      </c>
      <c r="AU168" s="36" t="s">
        <v>306</v>
      </c>
      <c r="AV168" s="37">
        <v>0.33333333333333331</v>
      </c>
      <c r="AW168" s="37">
        <v>0.54166666666666663</v>
      </c>
      <c r="AX168" s="21" t="s">
        <v>306</v>
      </c>
      <c r="AY168" s="37">
        <v>0.58333333333333337</v>
      </c>
      <c r="AZ168" s="37">
        <v>0.70833333333333337</v>
      </c>
      <c r="BA168" s="39" t="str">
        <f t="shared" si="23"/>
        <v/>
      </c>
      <c r="BB168" s="46" t="s">
        <v>353</v>
      </c>
      <c r="BC168" s="31" t="s">
        <v>354</v>
      </c>
      <c r="BD168" s="16" t="s">
        <v>311</v>
      </c>
      <c r="BE168" s="16" t="s">
        <v>311</v>
      </c>
      <c r="BF168" s="244" t="str">
        <f>T_BilanSocial2[[#This Row],[Nom]]&amp;T_BilanSocial2[[#This Row],[Prénom]]</f>
        <v/>
      </c>
    </row>
    <row r="169" spans="1:58" ht="21.75" hidden="1" customHeight="1" x14ac:dyDescent="0.25">
      <c r="A169" s="90">
        <v>285</v>
      </c>
      <c r="B169" s="126" t="s">
        <v>311</v>
      </c>
      <c r="C169" s="126" t="str">
        <f>VLOOKUP(T_BilanSocial2[[#This Row],[NumL]],T_Commission[#Data],COLUMN(T_Commission[FINAL]),FALSE)</f>
        <v/>
      </c>
      <c r="D169" s="19" t="str">
        <f t="shared" si="16"/>
        <v/>
      </c>
      <c r="E169" s="19" t="str">
        <f t="shared" si="17"/>
        <v/>
      </c>
      <c r="F169" s="242" t="str">
        <f>IFERROR(VLOOKUP(T_BilanSocial2[[#This Row],[Zone_Bilan]],T_P_BilanSocial[#Data],COLUMN(T_P_BilanSocial[[#This Row],[Numero_SIHAM]]),FALSE),"")</f>
        <v/>
      </c>
      <c r="G169" s="242" t="str">
        <f>IFERROR(VLOOKUP(T_BilanSocial2[[#This Row],[Zone_Bilan]],T_P_BilanSocial[#Data],COLUMN(T_P_BilanSocial[[#This Row],[Sexe]]),FALSE),"")</f>
        <v/>
      </c>
      <c r="H169" s="243" t="str">
        <f>IFERROR(VLOOKUP(T_BilanSocial2[[#This Row],[Zone_Bilan]],T_P_BilanSocial[#Data],COLUMN(T_P_BilanSocial[[#This Row],[Categorie]]),FALSE),"")</f>
        <v/>
      </c>
      <c r="I169" s="242" t="str">
        <f>IFERROR(VLOOKUP(T_BilanSocial2[[#This Row],[Zone_Bilan]],T_P_BilanSocial[#Data],COLUMN(T_P_BilanSocial[[#This Row],[Statut]]),FALSE),"")</f>
        <v/>
      </c>
      <c r="J169" s="242" t="str">
        <f>IFERROR(VLOOKUP(T_BilanSocial2[[#This Row],[Zone_Bilan]],T_P_BilanSocial[#Data],COLUMN(T_P_BilanSocial[[#This Row],[Filiere]]),FALSE),"")</f>
        <v/>
      </c>
      <c r="K169" s="78">
        <v>1</v>
      </c>
      <c r="L169" s="213">
        <v>1.5451388888888891</v>
      </c>
      <c r="M169" s="78" t="s">
        <v>210</v>
      </c>
      <c r="N169" s="79" t="str">
        <f>IF((AND(T_BilanSocial2[[#This Row],[Nom]]&lt;&gt;"",T_BilanSocial2[[#This Row],[Reg Ponct]]="R")),(COUNTIF(S169:AX169,"S")+COUNTIF(S169:AX169,"T"))/2,"")</f>
        <v/>
      </c>
      <c r="O169" s="79" t="str">
        <f>IF((AND(T_BilanSocial2[[#This Row],[Nom]]&lt;&gt;"",T_BilanSocial2[[#This Row],[Reg Ponct]]="R")),COUNTIF(S169:AX169,"S")/2,"")</f>
        <v/>
      </c>
      <c r="P169" s="80" t="str">
        <f>IF((AND(T_BilanSocial2[[#This Row],[Nom]]&lt;&gt;"",T_BilanSocial2[[#This Row],[Reg Ponct]]="R")),COUNTIF(S169:AX169,"t")/2,"")</f>
        <v/>
      </c>
      <c r="Q169" s="81" t="str">
        <f t="shared" si="18"/>
        <v/>
      </c>
      <c r="R169" s="82" t="str">
        <f>IF((AND(T_BilanSocial2[[#This Row],[Nom]]&lt;&gt;"",T_BilanSocial2[[#This Row],[Reg Ponct]]="R")),IF(S169="T",U169-T169,0)+IF(V169="T",X169-W169,0)+IF(Z169="T",AB169-AA169,0)+IF(AC169="T",AE169-AD169,0)+IF(AG169="T",AI169-AH169,0)+IF(AJ169="T",AL169-AK169,0)+IF(AN169="T",AP169-AO169,0)+IF(AQ169="T",AS169-AR169,0)+IF(AU169="T",AW169-AV169,0)+IF(AX169="T",AZ169-AY169,0),"")</f>
        <v/>
      </c>
      <c r="S169" s="36" t="s">
        <v>306</v>
      </c>
      <c r="T169" s="37">
        <v>0.33333333333333331</v>
      </c>
      <c r="U169" s="37">
        <v>0.52083333333333337</v>
      </c>
      <c r="V169" s="21" t="s">
        <v>306</v>
      </c>
      <c r="W169" s="37">
        <v>0.5625</v>
      </c>
      <c r="X169" s="37">
        <v>0.70833333333333337</v>
      </c>
      <c r="Y169" s="38" t="str">
        <f t="shared" si="19"/>
        <v/>
      </c>
      <c r="Z169" s="36" t="s">
        <v>306</v>
      </c>
      <c r="AA169" s="37">
        <v>0.33333333333333331</v>
      </c>
      <c r="AB169" s="37">
        <v>0.52083333333333337</v>
      </c>
      <c r="AC169" s="21" t="s">
        <v>306</v>
      </c>
      <c r="AD169" s="37">
        <v>0.5625</v>
      </c>
      <c r="AE169" s="37">
        <v>0.70833333333333337</v>
      </c>
      <c r="AF169" s="38" t="str">
        <f t="shared" si="20"/>
        <v/>
      </c>
      <c r="AG169" s="36" t="s">
        <v>306</v>
      </c>
      <c r="AH169" s="37">
        <v>0.33333333333333331</v>
      </c>
      <c r="AI169" s="37">
        <v>0.52083333333333337</v>
      </c>
      <c r="AJ169" s="21" t="s">
        <v>306</v>
      </c>
      <c r="AK169" s="37">
        <v>0.5625</v>
      </c>
      <c r="AL169" s="37">
        <v>0.70833333333333337</v>
      </c>
      <c r="AM169" s="38" t="str">
        <f t="shared" si="21"/>
        <v/>
      </c>
      <c r="AN169" s="36" t="s">
        <v>307</v>
      </c>
      <c r="AO169" s="37">
        <v>0.33333333333333331</v>
      </c>
      <c r="AP169" s="37">
        <v>0.52083333333333337</v>
      </c>
      <c r="AQ169" s="21" t="s">
        <v>307</v>
      </c>
      <c r="AR169" s="37">
        <v>0.5625</v>
      </c>
      <c r="AS169" s="37">
        <v>0.70833333333333337</v>
      </c>
      <c r="AT169" s="38" t="str">
        <f t="shared" si="22"/>
        <v/>
      </c>
      <c r="AU169" s="36" t="s">
        <v>306</v>
      </c>
      <c r="AV169" s="37">
        <v>0.33333333333333331</v>
      </c>
      <c r="AW169" s="37">
        <v>0.54513888888888895</v>
      </c>
      <c r="AX169" s="21" t="s">
        <v>308</v>
      </c>
      <c r="AY169" s="37"/>
      <c r="AZ169" s="37"/>
      <c r="BA169" s="39" t="str">
        <f t="shared" si="23"/>
        <v/>
      </c>
      <c r="BB169" s="46" t="s">
        <v>1151</v>
      </c>
      <c r="BC169" s="31" t="s">
        <v>1152</v>
      </c>
      <c r="BD169" s="16" t="s">
        <v>311</v>
      </c>
      <c r="BE169" s="16" t="s">
        <v>311</v>
      </c>
      <c r="BF169" s="244" t="str">
        <f>T_BilanSocial2[[#This Row],[Nom]]&amp;T_BilanSocial2[[#This Row],[Prénom]]</f>
        <v/>
      </c>
    </row>
    <row r="170" spans="1:58" ht="21.75" hidden="1" customHeight="1" x14ac:dyDescent="0.25">
      <c r="A170" s="90">
        <v>9</v>
      </c>
      <c r="B170" s="126" t="s">
        <v>210</v>
      </c>
      <c r="C170" s="126" t="str">
        <f>VLOOKUP(T_BilanSocial2[[#This Row],[NumL]],T_Commission[#Data],COLUMN(T_Commission[FINAL]),FALSE)</f>
        <v/>
      </c>
      <c r="D170" s="19" t="str">
        <f t="shared" si="16"/>
        <v/>
      </c>
      <c r="E170" s="19" t="str">
        <f t="shared" si="17"/>
        <v/>
      </c>
      <c r="F170" s="242" t="str">
        <f>IFERROR(VLOOKUP(T_BilanSocial2[[#This Row],[Zone_Bilan]],T_P_BilanSocial[#Data],COLUMN(T_P_BilanSocial[[#This Row],[Numero_SIHAM]]),FALSE),"")</f>
        <v/>
      </c>
      <c r="G170" s="242" t="str">
        <f>IFERROR(VLOOKUP(T_BilanSocial2[[#This Row],[Zone_Bilan]],T_P_BilanSocial[#Data],COLUMN(T_P_BilanSocial[[#This Row],[Sexe]]),FALSE),"")</f>
        <v/>
      </c>
      <c r="H170" s="243" t="str">
        <f>IFERROR(VLOOKUP(T_BilanSocial2[[#This Row],[Zone_Bilan]],T_P_BilanSocial[#Data],COLUMN(T_P_BilanSocial[[#This Row],[Categorie]]),FALSE),"")</f>
        <v/>
      </c>
      <c r="I170" s="242" t="str">
        <f>IFERROR(VLOOKUP(T_BilanSocial2[[#This Row],[Zone_Bilan]],T_P_BilanSocial[#Data],COLUMN(T_P_BilanSocial[[#This Row],[Statut]]),FALSE),"")</f>
        <v/>
      </c>
      <c r="J170" s="242" t="str">
        <f>IFERROR(VLOOKUP(T_BilanSocial2[[#This Row],[Zone_Bilan]],T_P_BilanSocial[#Data],COLUMN(T_P_BilanSocial[[#This Row],[Filiere]]),FALSE),"")</f>
        <v/>
      </c>
      <c r="K170" s="78">
        <v>1</v>
      </c>
      <c r="L170" s="213">
        <v>1.5451388888888891</v>
      </c>
      <c r="M170" s="78" t="s">
        <v>210</v>
      </c>
      <c r="N170" s="79" t="str">
        <f>IF((AND(T_BilanSocial2[[#This Row],[Nom]]&lt;&gt;"",T_BilanSocial2[[#This Row],[Reg Ponct]]="R")),(COUNTIF(S170:AX170,"S")+COUNTIF(S170:AX170,"T"))/2,"")</f>
        <v/>
      </c>
      <c r="O170" s="79" t="str">
        <f>IF((AND(T_BilanSocial2[[#This Row],[Nom]]&lt;&gt;"",T_BilanSocial2[[#This Row],[Reg Ponct]]="R")),COUNTIF(S170:AX170,"S")/2,"")</f>
        <v/>
      </c>
      <c r="P170" s="80" t="str">
        <f>IF((AND(T_BilanSocial2[[#This Row],[Nom]]&lt;&gt;"",T_BilanSocial2[[#This Row],[Reg Ponct]]="R")),COUNTIF(S170:AX170,"t")/2,"")</f>
        <v/>
      </c>
      <c r="Q170" s="81" t="str">
        <f t="shared" si="18"/>
        <v/>
      </c>
      <c r="R170" s="82" t="str">
        <f>IF((AND(T_BilanSocial2[[#This Row],[Nom]]&lt;&gt;"",T_BilanSocial2[[#This Row],[Reg Ponct]]="R")),IF(S170="T",U170-T170,0)+IF(V170="T",X170-W170,0)+IF(Z170="T",AB170-AA170,0)+IF(AC170="T",AE170-AD170,0)+IF(AG170="T",AI170-AH170,0)+IF(AJ170="T",AL170-AK170,0)+IF(AN170="T",AP170-AO170,0)+IF(AQ170="T",AS170-AR170,0)+IF(AU170="T",AW170-AV170,0)+IF(AX170="T",AZ170-AY170,0),"")</f>
        <v/>
      </c>
      <c r="S170" s="36" t="s">
        <v>307</v>
      </c>
      <c r="T170" s="37">
        <v>0.32291666666666669</v>
      </c>
      <c r="U170" s="37">
        <v>0.5</v>
      </c>
      <c r="V170" s="21" t="s">
        <v>307</v>
      </c>
      <c r="W170" s="37">
        <v>0.54166666666666663</v>
      </c>
      <c r="X170" s="37">
        <v>0.70833333333333337</v>
      </c>
      <c r="Y170" s="38" t="str">
        <f t="shared" si="19"/>
        <v/>
      </c>
      <c r="Z170" s="36" t="s">
        <v>306</v>
      </c>
      <c r="AA170" s="37">
        <v>0.32291666666666669</v>
      </c>
      <c r="AB170" s="37">
        <v>0.5</v>
      </c>
      <c r="AC170" s="21" t="s">
        <v>306</v>
      </c>
      <c r="AD170" s="37">
        <v>0.54166666666666663</v>
      </c>
      <c r="AE170" s="37">
        <v>0.70138888888888884</v>
      </c>
      <c r="AF170" s="38" t="str">
        <f t="shared" si="20"/>
        <v/>
      </c>
      <c r="AG170" s="36" t="s">
        <v>307</v>
      </c>
      <c r="AH170" s="37">
        <v>0.3125</v>
      </c>
      <c r="AI170" s="37">
        <v>0.5</v>
      </c>
      <c r="AJ170" s="21" t="s">
        <v>308</v>
      </c>
      <c r="AK170" s="37"/>
      <c r="AL170" s="37"/>
      <c r="AM170" s="38" t="str">
        <f t="shared" si="21"/>
        <v/>
      </c>
      <c r="AN170" s="36" t="s">
        <v>306</v>
      </c>
      <c r="AO170" s="37">
        <v>0.32291666666666669</v>
      </c>
      <c r="AP170" s="37">
        <v>0.5</v>
      </c>
      <c r="AQ170" s="21" t="s">
        <v>306</v>
      </c>
      <c r="AR170" s="37">
        <v>0.54166666666666663</v>
      </c>
      <c r="AS170" s="37">
        <v>0.70833333333333337</v>
      </c>
      <c r="AT170" s="38" t="str">
        <f t="shared" si="22"/>
        <v/>
      </c>
      <c r="AU170" s="36" t="s">
        <v>306</v>
      </c>
      <c r="AV170" s="37">
        <v>0.32291666666666669</v>
      </c>
      <c r="AW170" s="37">
        <v>0.5</v>
      </c>
      <c r="AX170" s="21" t="s">
        <v>306</v>
      </c>
      <c r="AY170" s="37">
        <v>0.54166666666666663</v>
      </c>
      <c r="AZ170" s="37">
        <v>0.69791666666666663</v>
      </c>
      <c r="BA170" s="39" t="str">
        <f t="shared" si="23"/>
        <v/>
      </c>
      <c r="BB170" s="46" t="s">
        <v>329</v>
      </c>
      <c r="BC170" s="31" t="s">
        <v>330</v>
      </c>
      <c r="BD170" s="16" t="s">
        <v>311</v>
      </c>
      <c r="BE170" s="16" t="s">
        <v>322</v>
      </c>
      <c r="BF170" s="244" t="str">
        <f>T_BilanSocial2[[#This Row],[Nom]]&amp;T_BilanSocial2[[#This Row],[Prénom]]</f>
        <v/>
      </c>
    </row>
    <row r="171" spans="1:58" ht="21.75" hidden="1" customHeight="1" x14ac:dyDescent="0.25">
      <c r="A171" s="90">
        <v>267</v>
      </c>
      <c r="B171" s="126" t="s">
        <v>311</v>
      </c>
      <c r="C171" s="126" t="str">
        <f>VLOOKUP(T_BilanSocial2[[#This Row],[NumL]],T_Commission[#Data],COLUMN(T_Commission[FINAL]),FALSE)</f>
        <v/>
      </c>
      <c r="D171" s="19" t="str">
        <f t="shared" si="16"/>
        <v/>
      </c>
      <c r="E171" s="19" t="str">
        <f t="shared" si="17"/>
        <v/>
      </c>
      <c r="F171" s="242" t="str">
        <f>IFERROR(VLOOKUP(T_BilanSocial2[[#This Row],[Zone_Bilan]],T_P_BilanSocial[#Data],COLUMN(T_P_BilanSocial[[#This Row],[Numero_SIHAM]]),FALSE),"")</f>
        <v/>
      </c>
      <c r="G171" s="242" t="str">
        <f>IFERROR(VLOOKUP(T_BilanSocial2[[#This Row],[Zone_Bilan]],T_P_BilanSocial[#Data],COLUMN(T_P_BilanSocial[[#This Row],[Sexe]]),FALSE),"")</f>
        <v/>
      </c>
      <c r="H171" s="243" t="str">
        <f>IFERROR(VLOOKUP(T_BilanSocial2[[#This Row],[Zone_Bilan]],T_P_BilanSocial[#Data],COLUMN(T_P_BilanSocial[[#This Row],[Categorie]]),FALSE),"")</f>
        <v/>
      </c>
      <c r="I171" s="242" t="str">
        <f>IFERROR(VLOOKUP(T_BilanSocial2[[#This Row],[Zone_Bilan]],T_P_BilanSocial[#Data],COLUMN(T_P_BilanSocial[[#This Row],[Statut]]),FALSE),"")</f>
        <v/>
      </c>
      <c r="J171" s="242" t="str">
        <f>IFERROR(VLOOKUP(T_BilanSocial2[[#This Row],[Zone_Bilan]],T_P_BilanSocial[#Data],COLUMN(T_P_BilanSocial[[#This Row],[Filiere]]),FALSE),"")</f>
        <v/>
      </c>
      <c r="K171" s="78">
        <v>1</v>
      </c>
      <c r="L171" s="213">
        <v>1.5451388888888891</v>
      </c>
      <c r="M171" s="78" t="s">
        <v>210</v>
      </c>
      <c r="N171" s="79" t="str">
        <f>IF((AND(T_BilanSocial2[[#This Row],[Nom]]&lt;&gt;"",T_BilanSocial2[[#This Row],[Reg Ponct]]="R")),(COUNTIF(S171:AX171,"S")+COUNTIF(S171:AX171,"T"))/2,"")</f>
        <v/>
      </c>
      <c r="O171" s="79" t="str">
        <f>IF((AND(T_BilanSocial2[[#This Row],[Nom]]&lt;&gt;"",T_BilanSocial2[[#This Row],[Reg Ponct]]="R")),COUNTIF(S171:AX171,"S")/2,"")</f>
        <v/>
      </c>
      <c r="P171" s="80" t="str">
        <f>IF((AND(T_BilanSocial2[[#This Row],[Nom]]&lt;&gt;"",T_BilanSocial2[[#This Row],[Reg Ponct]]="R")),COUNTIF(S171:AX171,"t")/2,"")</f>
        <v/>
      </c>
      <c r="Q171" s="81" t="str">
        <f t="shared" si="18"/>
        <v/>
      </c>
      <c r="R171" s="82" t="str">
        <f>IF((AND(T_BilanSocial2[[#This Row],[Nom]]&lt;&gt;"",T_BilanSocial2[[#This Row],[Reg Ponct]]="R")),IF(S171="T",U171-T171,0)+IF(V171="T",X171-W171,0)+IF(Z171="T",AB171-AA171,0)+IF(AC171="T",AE171-AD171,0)+IF(AG171="T",AI171-AH171,0)+IF(AJ171="T",AL171-AK171,0)+IF(AN171="T",AP171-AO171,0)+IF(AQ171="T",AS171-AR171,0)+IF(AU171="T",AW171-AV171,0)+IF(AX171="T",AZ171-AY171,0),"")</f>
        <v/>
      </c>
      <c r="S171" s="36" t="s">
        <v>306</v>
      </c>
      <c r="T171" s="37">
        <v>0.33333333333333331</v>
      </c>
      <c r="U171" s="37">
        <v>0.52083333333333337</v>
      </c>
      <c r="V171" s="21" t="s">
        <v>306</v>
      </c>
      <c r="W171" s="37">
        <v>0.5625</v>
      </c>
      <c r="X171" s="37">
        <v>0.71875</v>
      </c>
      <c r="Y171" s="38" t="str">
        <f t="shared" si="19"/>
        <v/>
      </c>
      <c r="Z171" s="36" t="s">
        <v>306</v>
      </c>
      <c r="AA171" s="37">
        <v>0.32291666666666669</v>
      </c>
      <c r="AB171" s="37">
        <v>0.52083333333333337</v>
      </c>
      <c r="AC171" s="21" t="s">
        <v>306</v>
      </c>
      <c r="AD171" s="37">
        <v>0.5625</v>
      </c>
      <c r="AE171" s="37">
        <v>0.72916666666666663</v>
      </c>
      <c r="AF171" s="38" t="str">
        <f t="shared" si="20"/>
        <v/>
      </c>
      <c r="AG171" s="36" t="s">
        <v>307</v>
      </c>
      <c r="AH171" s="37">
        <v>0.32291666666666669</v>
      </c>
      <c r="AI171" s="37">
        <v>0.52083333333333337</v>
      </c>
      <c r="AJ171" s="21" t="s">
        <v>307</v>
      </c>
      <c r="AK171" s="37">
        <v>0.5625</v>
      </c>
      <c r="AL171" s="37">
        <v>0.67708333333333337</v>
      </c>
      <c r="AM171" s="38" t="str">
        <f t="shared" si="21"/>
        <v/>
      </c>
      <c r="AN171" s="36" t="s">
        <v>306</v>
      </c>
      <c r="AO171" s="37">
        <v>0.33333333333333331</v>
      </c>
      <c r="AP171" s="37">
        <v>0.52083333333333337</v>
      </c>
      <c r="AQ171" s="21" t="s">
        <v>306</v>
      </c>
      <c r="AR171" s="37">
        <v>0.5625</v>
      </c>
      <c r="AS171" s="37">
        <v>0.70833333333333337</v>
      </c>
      <c r="AT171" s="38" t="str">
        <f t="shared" si="22"/>
        <v/>
      </c>
      <c r="AU171" s="36" t="s">
        <v>306</v>
      </c>
      <c r="AV171" s="37">
        <v>0.33333333333333331</v>
      </c>
      <c r="AW171" s="37">
        <v>0.52430555555555558</v>
      </c>
      <c r="AX171" s="21" t="s">
        <v>308</v>
      </c>
      <c r="AY171" s="37"/>
      <c r="AZ171" s="37"/>
      <c r="BA171" s="39" t="str">
        <f t="shared" si="23"/>
        <v/>
      </c>
      <c r="BB171" s="46" t="s">
        <v>1101</v>
      </c>
      <c r="BC171" s="31" t="s">
        <v>1102</v>
      </c>
      <c r="BD171" s="16" t="s">
        <v>311</v>
      </c>
      <c r="BE171" s="16" t="s">
        <v>311</v>
      </c>
      <c r="BF171" s="244" t="str">
        <f>T_BilanSocial2[[#This Row],[Nom]]&amp;T_BilanSocial2[[#This Row],[Prénom]]</f>
        <v/>
      </c>
    </row>
    <row r="172" spans="1:58" ht="21.75" customHeight="1" x14ac:dyDescent="0.25">
      <c r="A172" s="90">
        <v>182</v>
      </c>
      <c r="B172" s="126" t="s">
        <v>311</v>
      </c>
      <c r="C172" s="126" t="str">
        <f>VLOOKUP(T_BilanSocial2[[#This Row],[NumL]],T_Commission[#Data],COLUMN(T_Commission[FINAL]),FALSE)</f>
        <v/>
      </c>
      <c r="D172" s="19" t="str">
        <f t="shared" si="16"/>
        <v/>
      </c>
      <c r="E172" s="19" t="str">
        <f t="shared" si="17"/>
        <v/>
      </c>
      <c r="F172" s="242" t="str">
        <f>IFERROR(VLOOKUP(T_BilanSocial2[[#This Row],[Zone_Bilan]],T_P_BilanSocial[#Data],COLUMN(T_P_BilanSocial[[#This Row],[Numero_SIHAM]]),FALSE),"")</f>
        <v/>
      </c>
      <c r="G172" s="242" t="str">
        <f>IFERROR(VLOOKUP(T_BilanSocial2[[#This Row],[Zone_Bilan]],T_P_BilanSocial[#Data],COLUMN(T_P_BilanSocial[[#This Row],[Sexe]]),FALSE),"")</f>
        <v/>
      </c>
      <c r="H172" s="243" t="str">
        <f>IFERROR(VLOOKUP(T_BilanSocial2[[#This Row],[Zone_Bilan]],T_P_BilanSocial[#Data],COLUMN(T_P_BilanSocial[[#This Row],[Categorie]]),FALSE),"")</f>
        <v/>
      </c>
      <c r="I172" s="242" t="str">
        <f>IFERROR(VLOOKUP(T_BilanSocial2[[#This Row],[Zone_Bilan]],T_P_BilanSocial[#Data],COLUMN(T_P_BilanSocial[[#This Row],[Statut]]),FALSE),"")</f>
        <v/>
      </c>
      <c r="J172" s="242" t="str">
        <f>IFERROR(VLOOKUP(T_BilanSocial2[[#This Row],[Zone_Bilan]],T_P_BilanSocial[#Data],COLUMN(T_P_BilanSocial[[#This Row],[Filiere]]),FALSE),"")</f>
        <v/>
      </c>
      <c r="K172" s="78">
        <v>1</v>
      </c>
      <c r="L172" s="213">
        <v>1.5451388888888891</v>
      </c>
      <c r="M172" s="78" t="s">
        <v>210</v>
      </c>
      <c r="N172" s="79" t="str">
        <f>IF((AND(T_BilanSocial2[[#This Row],[Nom]]&lt;&gt;"",T_BilanSocial2[[#This Row],[Reg Ponct]]="R")),(COUNTIF(S172:AX172,"S")+COUNTIF(S172:AX172,"T"))/2,"")</f>
        <v/>
      </c>
      <c r="O172" s="79" t="str">
        <f>IF((AND(T_BilanSocial2[[#This Row],[Nom]]&lt;&gt;"",T_BilanSocial2[[#This Row],[Reg Ponct]]="R")),COUNTIF(S172:AX172,"S")/2,"")</f>
        <v/>
      </c>
      <c r="P172" s="80" t="str">
        <f>IF((AND(T_BilanSocial2[[#This Row],[Nom]]&lt;&gt;"",T_BilanSocial2[[#This Row],[Reg Ponct]]="R")),COUNTIF(S172:AX172,"t")/2,"")</f>
        <v/>
      </c>
      <c r="Q172" s="81" t="str">
        <f t="shared" si="18"/>
        <v/>
      </c>
      <c r="R172" s="82" t="str">
        <f>IF((AND(T_BilanSocial2[[#This Row],[Nom]]&lt;&gt;"",T_BilanSocial2[[#This Row],[Reg Ponct]]="R")),IF(S172="T",U172-T172,0)+IF(V172="T",X172-W172,0)+IF(Z172="T",AB172-AA172,0)+IF(AC172="T",AE172-AD172,0)+IF(AG172="T",AI172-AH172,0)+IF(AJ172="T",AL172-AK172,0)+IF(AN172="T",AP172-AO172,0)+IF(AQ172="T",AS172-AR172,0)+IF(AU172="T",AW172-AV172,0)+IF(AX172="T",AZ172-AY172,0),"")</f>
        <v/>
      </c>
      <c r="S172" s="36" t="s">
        <v>306</v>
      </c>
      <c r="T172" s="37">
        <v>0.33333333333333331</v>
      </c>
      <c r="U172" s="37">
        <v>0.5</v>
      </c>
      <c r="V172" s="21" t="s">
        <v>306</v>
      </c>
      <c r="W172" s="37">
        <v>0.54166666666666663</v>
      </c>
      <c r="X172" s="37">
        <v>0.63888888888888895</v>
      </c>
      <c r="Y172" s="38" t="str">
        <f t="shared" si="19"/>
        <v/>
      </c>
      <c r="Z172" s="36" t="s">
        <v>306</v>
      </c>
      <c r="AA172" s="37">
        <v>0.33333333333333331</v>
      </c>
      <c r="AB172" s="37">
        <v>0.5</v>
      </c>
      <c r="AC172" s="21" t="s">
        <v>306</v>
      </c>
      <c r="AD172" s="37">
        <v>0.54166666666666663</v>
      </c>
      <c r="AE172" s="37">
        <v>0.64236111111111105</v>
      </c>
      <c r="AF172" s="38" t="str">
        <f t="shared" si="20"/>
        <v/>
      </c>
      <c r="AG172" s="36" t="s">
        <v>306</v>
      </c>
      <c r="AH172" s="37">
        <v>0.33333333333333331</v>
      </c>
      <c r="AI172" s="37">
        <v>0.54166666666666663</v>
      </c>
      <c r="AJ172" s="21" t="s">
        <v>306</v>
      </c>
      <c r="AK172" s="37">
        <v>0.58333333333333337</v>
      </c>
      <c r="AL172" s="37">
        <v>0.79166666666666663</v>
      </c>
      <c r="AM172" s="38" t="str">
        <f t="shared" si="21"/>
        <v/>
      </c>
      <c r="AN172" s="36" t="s">
        <v>306</v>
      </c>
      <c r="AO172" s="37">
        <v>0.33333333333333331</v>
      </c>
      <c r="AP172" s="37">
        <v>0.5</v>
      </c>
      <c r="AQ172" s="21" t="s">
        <v>306</v>
      </c>
      <c r="AR172" s="37">
        <v>0.54166666666666663</v>
      </c>
      <c r="AS172" s="37">
        <v>0.63888888888888895</v>
      </c>
      <c r="AT172" s="38" t="str">
        <f t="shared" si="22"/>
        <v/>
      </c>
      <c r="AU172" s="36" t="s">
        <v>307</v>
      </c>
      <c r="AV172" s="37">
        <v>0.33333333333333331</v>
      </c>
      <c r="AW172" s="37">
        <v>0.5</v>
      </c>
      <c r="AX172" s="21" t="s">
        <v>307</v>
      </c>
      <c r="AY172" s="37">
        <v>0.54166666666666663</v>
      </c>
      <c r="AZ172" s="37">
        <v>0.70833333333333337</v>
      </c>
      <c r="BA172" s="39" t="str">
        <f t="shared" si="23"/>
        <v/>
      </c>
      <c r="BB172" s="46" t="s">
        <v>398</v>
      </c>
      <c r="BC172" s="31" t="s">
        <v>399</v>
      </c>
      <c r="BD172" s="16" t="s">
        <v>311</v>
      </c>
      <c r="BE172" s="16" t="s">
        <v>322</v>
      </c>
      <c r="BF172" s="244" t="str">
        <f>T_BilanSocial2[[#This Row],[Nom]]&amp;T_BilanSocial2[[#This Row],[Prénom]]</f>
        <v/>
      </c>
    </row>
    <row r="173" spans="1:58" ht="21.75" customHeight="1" x14ac:dyDescent="0.25">
      <c r="A173" s="90">
        <v>275</v>
      </c>
      <c r="B173" s="126" t="s">
        <v>311</v>
      </c>
      <c r="C173" s="126" t="str">
        <f>VLOOKUP(T_BilanSocial2[[#This Row],[NumL]],T_Commission[#Data],COLUMN(T_Commission[FINAL]),FALSE)</f>
        <v/>
      </c>
      <c r="D173" s="19" t="str">
        <f t="shared" si="16"/>
        <v/>
      </c>
      <c r="E173" s="19" t="str">
        <f t="shared" si="17"/>
        <v/>
      </c>
      <c r="F173" s="242" t="str">
        <f>IFERROR(VLOOKUP(T_BilanSocial2[[#This Row],[Zone_Bilan]],T_P_BilanSocial[#Data],COLUMN(T_P_BilanSocial[[#This Row],[Numero_SIHAM]]),FALSE),"")</f>
        <v/>
      </c>
      <c r="G173" s="242" t="str">
        <f>IFERROR(VLOOKUP(T_BilanSocial2[[#This Row],[Zone_Bilan]],T_P_BilanSocial[#Data],COLUMN(T_P_BilanSocial[[#This Row],[Sexe]]),FALSE),"")</f>
        <v/>
      </c>
      <c r="H173" s="243" t="str">
        <f>IFERROR(VLOOKUP(T_BilanSocial2[[#This Row],[Zone_Bilan]],T_P_BilanSocial[#Data],COLUMN(T_P_BilanSocial[[#This Row],[Categorie]]),FALSE),"")</f>
        <v/>
      </c>
      <c r="I173" s="242" t="str">
        <f>IFERROR(VLOOKUP(T_BilanSocial2[[#This Row],[Zone_Bilan]],T_P_BilanSocial[#Data],COLUMN(T_P_BilanSocial[[#This Row],[Statut]]),FALSE),"")</f>
        <v/>
      </c>
      <c r="J173" s="242" t="str">
        <f>IFERROR(VLOOKUP(T_BilanSocial2[[#This Row],[Zone_Bilan]],T_P_BilanSocial[#Data],COLUMN(T_P_BilanSocial[[#This Row],[Filiere]]),FALSE),"")</f>
        <v/>
      </c>
      <c r="K173" s="78">
        <v>1</v>
      </c>
      <c r="L173" s="213">
        <v>1.5451388888888891</v>
      </c>
      <c r="M173" s="78" t="s">
        <v>210</v>
      </c>
      <c r="N173" s="79" t="str">
        <f>IF((AND(T_BilanSocial2[[#This Row],[Nom]]&lt;&gt;"",T_BilanSocial2[[#This Row],[Reg Ponct]]="R")),(COUNTIF(S173:AX173,"S")+COUNTIF(S173:AX173,"T"))/2,"")</f>
        <v/>
      </c>
      <c r="O173" s="79" t="str">
        <f>IF((AND(T_BilanSocial2[[#This Row],[Nom]]&lt;&gt;"",T_BilanSocial2[[#This Row],[Reg Ponct]]="R")),COUNTIF(S173:AX173,"S")/2,"")</f>
        <v/>
      </c>
      <c r="P173" s="80" t="str">
        <f>IF((AND(T_BilanSocial2[[#This Row],[Nom]]&lt;&gt;"",T_BilanSocial2[[#This Row],[Reg Ponct]]="R")),COUNTIF(S173:AX173,"t")/2,"")</f>
        <v/>
      </c>
      <c r="Q173" s="81" t="str">
        <f t="shared" si="18"/>
        <v/>
      </c>
      <c r="R173" s="82" t="str">
        <f>IF((AND(T_BilanSocial2[[#This Row],[Nom]]&lt;&gt;"",T_BilanSocial2[[#This Row],[Reg Ponct]]="R")),IF(S173="T",U173-T173,0)+IF(V173="T",X173-W173,0)+IF(Z173="T",AB173-AA173,0)+IF(AC173="T",AE173-AD173,0)+IF(AG173="T",AI173-AH173,0)+IF(AJ173="T",AL173-AK173,0)+IF(AN173="T",AP173-AO173,0)+IF(AQ173="T",AS173-AR173,0)+IF(AU173="T",AW173-AV173,0)+IF(AX173="T",AZ173-AY173,0),"")</f>
        <v/>
      </c>
      <c r="S173" s="36" t="s">
        <v>306</v>
      </c>
      <c r="T173" s="37">
        <v>0.375</v>
      </c>
      <c r="U173" s="37">
        <v>0.54166666666666663</v>
      </c>
      <c r="V173" s="21" t="s">
        <v>306</v>
      </c>
      <c r="W173" s="37">
        <v>0.58333333333333337</v>
      </c>
      <c r="X173" s="37">
        <v>0.75347222222222221</v>
      </c>
      <c r="Y173" s="38" t="str">
        <f t="shared" si="19"/>
        <v/>
      </c>
      <c r="Z173" s="36" t="s">
        <v>306</v>
      </c>
      <c r="AA173" s="37">
        <v>0.375</v>
      </c>
      <c r="AB173" s="37">
        <v>0.54166666666666663</v>
      </c>
      <c r="AC173" s="21" t="s">
        <v>306</v>
      </c>
      <c r="AD173" s="37">
        <v>0.58333333333333337</v>
      </c>
      <c r="AE173" s="37">
        <v>0.76041666666666663</v>
      </c>
      <c r="AF173" s="38" t="str">
        <f t="shared" si="20"/>
        <v/>
      </c>
      <c r="AG173" s="36" t="s">
        <v>307</v>
      </c>
      <c r="AH173" s="37">
        <v>0.375</v>
      </c>
      <c r="AI173" s="37">
        <v>0.54166666666666663</v>
      </c>
      <c r="AJ173" s="21" t="s">
        <v>307</v>
      </c>
      <c r="AK173" s="37">
        <v>0.58333333333333337</v>
      </c>
      <c r="AL173" s="37">
        <v>0.76041666666666663</v>
      </c>
      <c r="AM173" s="38" t="str">
        <f t="shared" si="21"/>
        <v/>
      </c>
      <c r="AN173" s="36" t="s">
        <v>306</v>
      </c>
      <c r="AO173" s="37">
        <v>0.375</v>
      </c>
      <c r="AP173" s="37">
        <v>0.54166666666666663</v>
      </c>
      <c r="AQ173" s="21" t="s">
        <v>306</v>
      </c>
      <c r="AR173" s="37">
        <v>0.58333333333333337</v>
      </c>
      <c r="AS173" s="37">
        <v>0.625</v>
      </c>
      <c r="AT173" s="38" t="str">
        <f t="shared" si="22"/>
        <v/>
      </c>
      <c r="AU173" s="36" t="s">
        <v>306</v>
      </c>
      <c r="AV173" s="37">
        <v>0.375</v>
      </c>
      <c r="AW173" s="37">
        <v>0.54166666666666663</v>
      </c>
      <c r="AX173" s="21" t="s">
        <v>306</v>
      </c>
      <c r="AY173" s="37">
        <v>0.58333333333333337</v>
      </c>
      <c r="AZ173" s="37">
        <v>0.72916666666666663</v>
      </c>
      <c r="BA173" s="39" t="str">
        <f t="shared" si="23"/>
        <v/>
      </c>
      <c r="BB173" s="46" t="s">
        <v>626</v>
      </c>
      <c r="BC173" s="31" t="s">
        <v>341</v>
      </c>
      <c r="BD173" s="16" t="s">
        <v>322</v>
      </c>
      <c r="BE173" s="16" t="s">
        <v>322</v>
      </c>
      <c r="BF173" s="244" t="str">
        <f>T_BilanSocial2[[#This Row],[Nom]]&amp;T_BilanSocial2[[#This Row],[Prénom]]</f>
        <v/>
      </c>
    </row>
    <row r="174" spans="1:58" ht="21.75" hidden="1" customHeight="1" x14ac:dyDescent="0.25">
      <c r="A174" s="90">
        <v>133</v>
      </c>
      <c r="B174" s="126" t="s">
        <v>210</v>
      </c>
      <c r="C174" s="126" t="str">
        <f>VLOOKUP(T_BilanSocial2[[#This Row],[NumL]],T_Commission[#Data],COLUMN(T_Commission[FINAL]),FALSE)</f>
        <v/>
      </c>
      <c r="D174" s="19" t="str">
        <f t="shared" si="16"/>
        <v/>
      </c>
      <c r="E174" s="19" t="str">
        <f t="shared" si="17"/>
        <v/>
      </c>
      <c r="F174" s="242" t="str">
        <f>IFERROR(VLOOKUP(T_BilanSocial2[[#This Row],[Zone_Bilan]],T_P_BilanSocial[#Data],COLUMN(T_P_BilanSocial[[#This Row],[Numero_SIHAM]]),FALSE),"")</f>
        <v/>
      </c>
      <c r="G174" s="242" t="str">
        <f>IFERROR(VLOOKUP(T_BilanSocial2[[#This Row],[Zone_Bilan]],T_P_BilanSocial[#Data],COLUMN(T_P_BilanSocial[[#This Row],[Sexe]]),FALSE),"")</f>
        <v/>
      </c>
      <c r="H174" s="243" t="str">
        <f>IFERROR(VLOOKUP(T_BilanSocial2[[#This Row],[Zone_Bilan]],T_P_BilanSocial[#Data],COLUMN(T_P_BilanSocial[[#This Row],[Categorie]]),FALSE),"")</f>
        <v/>
      </c>
      <c r="I174" s="242" t="str">
        <f>IFERROR(VLOOKUP(T_BilanSocial2[[#This Row],[Zone_Bilan]],T_P_BilanSocial[#Data],COLUMN(T_P_BilanSocial[[#This Row],[Statut]]),FALSE),"")</f>
        <v/>
      </c>
      <c r="J174" s="242" t="str">
        <f>IFERROR(VLOOKUP(T_BilanSocial2[[#This Row],[Zone_Bilan]],T_P_BilanSocial[#Data],COLUMN(T_P_BilanSocial[[#This Row],[Filiere]]),FALSE),"")</f>
        <v/>
      </c>
      <c r="K174" s="78">
        <v>1</v>
      </c>
      <c r="L174" s="213">
        <v>1.5451388888888891</v>
      </c>
      <c r="M174" s="78" t="s">
        <v>210</v>
      </c>
      <c r="N174" s="79" t="str">
        <f>IF((AND(T_BilanSocial2[[#This Row],[Nom]]&lt;&gt;"",T_BilanSocial2[[#This Row],[Reg Ponct]]="R")),(COUNTIF(S174:AX174,"S")+COUNTIF(S174:AX174,"T"))/2,"")</f>
        <v/>
      </c>
      <c r="O174" s="79" t="str">
        <f>IF((AND(T_BilanSocial2[[#This Row],[Nom]]&lt;&gt;"",T_BilanSocial2[[#This Row],[Reg Ponct]]="R")),COUNTIF(S174:AX174,"S")/2,"")</f>
        <v/>
      </c>
      <c r="P174" s="80" t="str">
        <f>IF((AND(T_BilanSocial2[[#This Row],[Nom]]&lt;&gt;"",T_BilanSocial2[[#This Row],[Reg Ponct]]="R")),COUNTIF(S174:AX174,"t")/2,"")</f>
        <v/>
      </c>
      <c r="Q174" s="81" t="str">
        <f t="shared" si="18"/>
        <v/>
      </c>
      <c r="R174" s="82" t="str">
        <f>IF((AND(T_BilanSocial2[[#This Row],[Nom]]&lt;&gt;"",T_BilanSocial2[[#This Row],[Reg Ponct]]="R")),IF(S174="T",U174-T174,0)+IF(V174="T",X174-W174,0)+IF(Z174="T",AB174-AA174,0)+IF(AC174="T",AE174-AD174,0)+IF(AG174="T",AI174-AH174,0)+IF(AJ174="T",AL174-AK174,0)+IF(AN174="T",AP174-AO174,0)+IF(AQ174="T",AS174-AR174,0)+IF(AU174="T",AW174-AV174,0)+IF(AX174="T",AZ174-AY174,0),"")</f>
        <v/>
      </c>
      <c r="S174" s="36" t="s">
        <v>306</v>
      </c>
      <c r="T174" s="37">
        <v>0.35416666666666669</v>
      </c>
      <c r="U174" s="37">
        <v>0.52083333333333337</v>
      </c>
      <c r="V174" s="21" t="s">
        <v>306</v>
      </c>
      <c r="W174" s="37">
        <v>0.5625</v>
      </c>
      <c r="X174" s="37">
        <v>0.75</v>
      </c>
      <c r="Y174" s="38" t="str">
        <f t="shared" si="19"/>
        <v/>
      </c>
      <c r="Z174" s="36" t="s">
        <v>306</v>
      </c>
      <c r="AA174" s="37">
        <v>0.35416666666666669</v>
      </c>
      <c r="AB174" s="37">
        <v>0.52083333333333337</v>
      </c>
      <c r="AC174" s="21" t="s">
        <v>306</v>
      </c>
      <c r="AD174" s="37">
        <v>0.5625</v>
      </c>
      <c r="AE174" s="37">
        <v>0.75</v>
      </c>
      <c r="AF174" s="38" t="str">
        <f t="shared" si="20"/>
        <v/>
      </c>
      <c r="AG174" s="36" t="s">
        <v>306</v>
      </c>
      <c r="AH174" s="37">
        <v>0.35416666666666669</v>
      </c>
      <c r="AI174" s="37">
        <v>0.52083333333333337</v>
      </c>
      <c r="AJ174" s="21" t="s">
        <v>306</v>
      </c>
      <c r="AK174" s="37">
        <v>0.5625</v>
      </c>
      <c r="AL174" s="37">
        <v>0.73263888888888884</v>
      </c>
      <c r="AM174" s="38" t="str">
        <f t="shared" si="21"/>
        <v/>
      </c>
      <c r="AN174" s="36" t="s">
        <v>306</v>
      </c>
      <c r="AO174" s="37">
        <v>0.35416666666666669</v>
      </c>
      <c r="AP174" s="37">
        <v>0.52083333333333337</v>
      </c>
      <c r="AQ174" s="21" t="s">
        <v>306</v>
      </c>
      <c r="AR174" s="37">
        <v>0.5625</v>
      </c>
      <c r="AS174" s="37">
        <v>0.72916666666666663</v>
      </c>
      <c r="AT174" s="38" t="str">
        <f t="shared" si="22"/>
        <v/>
      </c>
      <c r="AU174" s="36" t="s">
        <v>307</v>
      </c>
      <c r="AV174" s="37">
        <v>0.35416666666666669</v>
      </c>
      <c r="AW174" s="37">
        <v>0.52083333333333337</v>
      </c>
      <c r="AX174" s="21" t="s">
        <v>308</v>
      </c>
      <c r="AY174" s="37"/>
      <c r="AZ174" s="37"/>
      <c r="BA174" s="39" t="str">
        <f t="shared" si="23"/>
        <v/>
      </c>
      <c r="BB174" s="46" t="s">
        <v>411</v>
      </c>
      <c r="BC174" s="31" t="s">
        <v>341</v>
      </c>
      <c r="BD174" s="16" t="s">
        <v>322</v>
      </c>
      <c r="BE174" s="16" t="s">
        <v>322</v>
      </c>
      <c r="BF174" s="244" t="str">
        <f>T_BilanSocial2[[#This Row],[Nom]]&amp;T_BilanSocial2[[#This Row],[Prénom]]</f>
        <v/>
      </c>
    </row>
    <row r="175" spans="1:58" ht="21.75" hidden="1" customHeight="1" x14ac:dyDescent="0.25">
      <c r="A175" s="90">
        <v>272</v>
      </c>
      <c r="B175" s="126" t="s">
        <v>311</v>
      </c>
      <c r="C175" s="126" t="e">
        <f>VLOOKUP(T_BilanSocial2[[#This Row],[NumL]],T_Commission[#Data],COLUMN(T_Commission[FINAL]),FALSE)</f>
        <v>#N/A</v>
      </c>
      <c r="D175" s="19" t="str">
        <f t="shared" si="16"/>
        <v/>
      </c>
      <c r="E175" s="19" t="str">
        <f t="shared" si="17"/>
        <v/>
      </c>
      <c r="F175" s="242" t="str">
        <f>IFERROR(VLOOKUP(T_BilanSocial2[[#This Row],[Zone_Bilan]],T_P_BilanSocial[#Data],COLUMN(T_P_BilanSocial[[#This Row],[Numero_SIHAM]]),FALSE),"")</f>
        <v/>
      </c>
      <c r="G175" s="242" t="str">
        <f>IFERROR(VLOOKUP(T_BilanSocial2[[#This Row],[Zone_Bilan]],T_P_BilanSocial[#Data],COLUMN(T_P_BilanSocial[[#This Row],[Sexe]]),FALSE),"")</f>
        <v/>
      </c>
      <c r="H175" s="243" t="str">
        <f>IFERROR(VLOOKUP(T_BilanSocial2[[#This Row],[Zone_Bilan]],T_P_BilanSocial[#Data],COLUMN(T_P_BilanSocial[[#This Row],[Categorie]]),FALSE),"")</f>
        <v/>
      </c>
      <c r="I175" s="242" t="str">
        <f>IFERROR(VLOOKUP(T_BilanSocial2[[#This Row],[Zone_Bilan]],T_P_BilanSocial[#Data],COLUMN(T_P_BilanSocial[[#This Row],[Statut]]),FALSE),"")</f>
        <v/>
      </c>
      <c r="J175" s="242" t="str">
        <f>IFERROR(VLOOKUP(T_BilanSocial2[[#This Row],[Zone_Bilan]],T_P_BilanSocial[#Data],COLUMN(T_P_BilanSocial[[#This Row],[Filiere]]),FALSE),"")</f>
        <v/>
      </c>
      <c r="K175" s="78">
        <v>0.8</v>
      </c>
      <c r="L175" s="213">
        <v>1.2361111111111112</v>
      </c>
      <c r="M175" s="78" t="s">
        <v>210</v>
      </c>
      <c r="N175" s="79" t="str">
        <f>IF((AND(T_BilanSocial2[[#This Row],[Nom]]&lt;&gt;"",T_BilanSocial2[[#This Row],[Reg Ponct]]="R")),(COUNTIF(S175:AX175,"S")+COUNTIF(S175:AX175,"T"))/2,"")</f>
        <v/>
      </c>
      <c r="O175" s="79" t="str">
        <f>IF((AND(T_BilanSocial2[[#This Row],[Nom]]&lt;&gt;"",T_BilanSocial2[[#This Row],[Reg Ponct]]="R")),COUNTIF(S175:AX175,"S")/2,"")</f>
        <v/>
      </c>
      <c r="P175" s="80" t="str">
        <f>IF((AND(T_BilanSocial2[[#This Row],[Nom]]&lt;&gt;"",T_BilanSocial2[[#This Row],[Reg Ponct]]="R")),COUNTIF(S175:AX175,"t")/2,"")</f>
        <v/>
      </c>
      <c r="Q175" s="81" t="str">
        <f t="shared" si="18"/>
        <v/>
      </c>
      <c r="R175" s="82" t="str">
        <f>IF((AND(T_BilanSocial2[[#This Row],[Nom]]&lt;&gt;"",T_BilanSocial2[[#This Row],[Reg Ponct]]="R")),IF(S175="T",U175-T175,0)+IF(V175="T",X175-W175,0)+IF(Z175="T",AB175-AA175,0)+IF(AC175="T",AE175-AD175,0)+IF(AG175="T",AI175-AH175,0)+IF(AJ175="T",AL175-AK175,0)+IF(AN175="T",AP175-AO175,0)+IF(AQ175="T",AS175-AR175,0)+IF(AU175="T",AW175-AV175,0)+IF(AX175="T",AZ175-AY175,0),"")</f>
        <v/>
      </c>
      <c r="S175" s="36" t="s">
        <v>307</v>
      </c>
      <c r="T175" s="37">
        <v>0.32291666666666669</v>
      </c>
      <c r="U175" s="37">
        <v>0.5</v>
      </c>
      <c r="V175" s="21" t="s">
        <v>307</v>
      </c>
      <c r="W175" s="37">
        <v>0.54166666666666663</v>
      </c>
      <c r="X175" s="37">
        <v>0.70833333333333337</v>
      </c>
      <c r="Y175" s="38" t="str">
        <f t="shared" si="19"/>
        <v/>
      </c>
      <c r="Z175" s="36" t="s">
        <v>306</v>
      </c>
      <c r="AA175" s="37">
        <v>0.32291666666666669</v>
      </c>
      <c r="AB175" s="37">
        <v>0.5</v>
      </c>
      <c r="AC175" s="21" t="s">
        <v>306</v>
      </c>
      <c r="AD175" s="37">
        <v>0.54166666666666663</v>
      </c>
      <c r="AE175" s="37">
        <v>0.6875</v>
      </c>
      <c r="AF175" s="38" t="str">
        <f t="shared" si="20"/>
        <v/>
      </c>
      <c r="AG175" s="36" t="s">
        <v>308</v>
      </c>
      <c r="AH175" s="37"/>
      <c r="AI175" s="37"/>
      <c r="AJ175" s="21" t="s">
        <v>308</v>
      </c>
      <c r="AK175" s="37"/>
      <c r="AL175" s="37"/>
      <c r="AM175" s="38" t="str">
        <f t="shared" si="21"/>
        <v/>
      </c>
      <c r="AN175" s="36" t="s">
        <v>306</v>
      </c>
      <c r="AO175" s="37">
        <v>0.32291666666666669</v>
      </c>
      <c r="AP175" s="37">
        <v>0.5</v>
      </c>
      <c r="AQ175" s="21" t="s">
        <v>306</v>
      </c>
      <c r="AR175" s="37">
        <v>0.54166666666666663</v>
      </c>
      <c r="AS175" s="37">
        <v>0.70833333333333337</v>
      </c>
      <c r="AT175" s="38" t="str">
        <f t="shared" si="22"/>
        <v/>
      </c>
      <c r="AU175" s="36" t="s">
        <v>306</v>
      </c>
      <c r="AV175" s="37">
        <v>0.34375</v>
      </c>
      <c r="AW175" s="37">
        <v>0.5</v>
      </c>
      <c r="AX175" s="21" t="s">
        <v>306</v>
      </c>
      <c r="AY175" s="37">
        <v>0.54166666666666663</v>
      </c>
      <c r="AZ175" s="37">
        <v>0.61111111111111105</v>
      </c>
      <c r="BA175" s="39" t="str">
        <f t="shared" si="23"/>
        <v/>
      </c>
      <c r="BB175" s="46" t="s">
        <v>552</v>
      </c>
      <c r="BC175" s="31" t="s">
        <v>941</v>
      </c>
      <c r="BD175" s="16" t="s">
        <v>311</v>
      </c>
      <c r="BE175" s="16" t="s">
        <v>311</v>
      </c>
      <c r="BF175" s="244" t="str">
        <f>T_BilanSocial2[[#This Row],[Nom]]&amp;T_BilanSocial2[[#This Row],[Prénom]]</f>
        <v/>
      </c>
    </row>
    <row r="176" spans="1:58" ht="21.75" hidden="1" customHeight="1" x14ac:dyDescent="0.25">
      <c r="A176" s="90">
        <v>238</v>
      </c>
      <c r="B176" s="126" t="s">
        <v>311</v>
      </c>
      <c r="C176" s="126" t="str">
        <f>VLOOKUP(T_BilanSocial2[[#This Row],[NumL]],T_Commission[#Data],COLUMN(T_Commission[FINAL]),FALSE)</f>
        <v/>
      </c>
      <c r="D176" s="19" t="str">
        <f t="shared" si="16"/>
        <v/>
      </c>
      <c r="E176" s="19" t="str">
        <f t="shared" si="17"/>
        <v/>
      </c>
      <c r="F176" s="242" t="str">
        <f>IFERROR(VLOOKUP(T_BilanSocial2[[#This Row],[Zone_Bilan]],T_P_BilanSocial[#Data],COLUMN(T_P_BilanSocial[[#This Row],[Numero_SIHAM]]),FALSE),"")</f>
        <v/>
      </c>
      <c r="G176" s="242" t="str">
        <f>IFERROR(VLOOKUP(T_BilanSocial2[[#This Row],[Zone_Bilan]],T_P_BilanSocial[#Data],COLUMN(T_P_BilanSocial[[#This Row],[Sexe]]),FALSE),"")</f>
        <v/>
      </c>
      <c r="H176" s="243" t="str">
        <f>IFERROR(VLOOKUP(T_BilanSocial2[[#This Row],[Zone_Bilan]],T_P_BilanSocial[#Data],COLUMN(T_P_BilanSocial[[#This Row],[Categorie]]),FALSE),"")</f>
        <v/>
      </c>
      <c r="I176" s="242" t="str">
        <f>IFERROR(VLOOKUP(T_BilanSocial2[[#This Row],[Zone_Bilan]],T_P_BilanSocial[#Data],COLUMN(T_P_BilanSocial[[#This Row],[Statut]]),FALSE),"")</f>
        <v/>
      </c>
      <c r="J176" s="242" t="str">
        <f>IFERROR(VLOOKUP(T_BilanSocial2[[#This Row],[Zone_Bilan]],T_P_BilanSocial[#Data],COLUMN(T_P_BilanSocial[[#This Row],[Filiere]]),FALSE),"")</f>
        <v/>
      </c>
      <c r="K176" s="78">
        <v>1</v>
      </c>
      <c r="L176" s="213">
        <v>1.5451388888888891</v>
      </c>
      <c r="M176" s="78" t="s">
        <v>210</v>
      </c>
      <c r="N176" s="79" t="str">
        <f>IF((AND(T_BilanSocial2[[#This Row],[Nom]]&lt;&gt;"",T_BilanSocial2[[#This Row],[Reg Ponct]]="R")),(COUNTIF(S176:AX176,"S")+COUNTIF(S176:AX176,"T"))/2,"")</f>
        <v/>
      </c>
      <c r="O176" s="79" t="str">
        <f>IF((AND(T_BilanSocial2[[#This Row],[Nom]]&lt;&gt;"",T_BilanSocial2[[#This Row],[Reg Ponct]]="R")),COUNTIF(S176:AX176,"S")/2,"")</f>
        <v/>
      </c>
      <c r="P176" s="80" t="str">
        <f>IF((AND(T_BilanSocial2[[#This Row],[Nom]]&lt;&gt;"",T_BilanSocial2[[#This Row],[Reg Ponct]]="R")),COUNTIF(S176:AX176,"t")/2,"")</f>
        <v/>
      </c>
      <c r="Q176" s="81" t="str">
        <f t="shared" si="18"/>
        <v/>
      </c>
      <c r="R176" s="82" t="str">
        <f>IF((AND(T_BilanSocial2[[#This Row],[Nom]]&lt;&gt;"",T_BilanSocial2[[#This Row],[Reg Ponct]]="R")),IF(S176="T",U176-T176,0)+IF(V176="T",X176-W176,0)+IF(Z176="T",AB176-AA176,0)+IF(AC176="T",AE176-AD176,0)+IF(AG176="T",AI176-AH176,0)+IF(AJ176="T",AL176-AK176,0)+IF(AN176="T",AP176-AO176,0)+IF(AQ176="T",AS176-AR176,0)+IF(AU176="T",AW176-AV176,0)+IF(AX176="T",AZ176-AY176,0),"")</f>
        <v/>
      </c>
      <c r="S176" s="36" t="s">
        <v>306</v>
      </c>
      <c r="T176" s="37">
        <v>0.35416666666666669</v>
      </c>
      <c r="U176" s="37">
        <v>0.52083333333333337</v>
      </c>
      <c r="V176" s="21" t="s">
        <v>306</v>
      </c>
      <c r="W176" s="37">
        <v>0.5625</v>
      </c>
      <c r="X176" s="37">
        <v>0.75</v>
      </c>
      <c r="Y176" s="38" t="str">
        <f t="shared" si="19"/>
        <v/>
      </c>
      <c r="Z176" s="36" t="s">
        <v>306</v>
      </c>
      <c r="AA176" s="37">
        <v>0.35416666666666669</v>
      </c>
      <c r="AB176" s="37">
        <v>0.52083333333333337</v>
      </c>
      <c r="AC176" s="21" t="s">
        <v>306</v>
      </c>
      <c r="AD176" s="37">
        <v>0.5625</v>
      </c>
      <c r="AE176" s="37">
        <v>0.75</v>
      </c>
      <c r="AF176" s="38" t="str">
        <f t="shared" si="20"/>
        <v/>
      </c>
      <c r="AG176" s="36" t="s">
        <v>306</v>
      </c>
      <c r="AH176" s="37">
        <v>0.35069444444444442</v>
      </c>
      <c r="AI176" s="37">
        <v>0.54166666666666663</v>
      </c>
      <c r="AJ176" s="21" t="s">
        <v>308</v>
      </c>
      <c r="AK176" s="37"/>
      <c r="AL176" s="37"/>
      <c r="AM176" s="38" t="str">
        <f t="shared" si="21"/>
        <v/>
      </c>
      <c r="AN176" s="36" t="s">
        <v>306</v>
      </c>
      <c r="AO176" s="37">
        <v>0.35416666666666669</v>
      </c>
      <c r="AP176" s="37">
        <v>0.52083333333333337</v>
      </c>
      <c r="AQ176" s="21" t="s">
        <v>306</v>
      </c>
      <c r="AR176" s="37">
        <v>0.5625</v>
      </c>
      <c r="AS176" s="37">
        <v>0.75</v>
      </c>
      <c r="AT176" s="38" t="str">
        <f t="shared" si="22"/>
        <v/>
      </c>
      <c r="AU176" s="36" t="s">
        <v>307</v>
      </c>
      <c r="AV176" s="37">
        <v>0.35416666666666669</v>
      </c>
      <c r="AW176" s="37">
        <v>0.52083333333333337</v>
      </c>
      <c r="AX176" s="21" t="s">
        <v>307</v>
      </c>
      <c r="AY176" s="37">
        <v>0.5625</v>
      </c>
      <c r="AZ176" s="37">
        <v>0.6875</v>
      </c>
      <c r="BA176" s="39" t="str">
        <f t="shared" si="23"/>
        <v/>
      </c>
      <c r="BB176" s="46" t="s">
        <v>340</v>
      </c>
      <c r="BC176" s="31" t="s">
        <v>341</v>
      </c>
      <c r="BD176" s="16" t="s">
        <v>311</v>
      </c>
      <c r="BE176" s="16" t="s">
        <v>311</v>
      </c>
      <c r="BF176" s="244" t="str">
        <f>T_BilanSocial2[[#This Row],[Nom]]&amp;T_BilanSocial2[[#This Row],[Prénom]]</f>
        <v/>
      </c>
    </row>
    <row r="177" spans="1:58" ht="21.75" hidden="1" customHeight="1" x14ac:dyDescent="0.25">
      <c r="A177" s="90">
        <v>34</v>
      </c>
      <c r="B177" s="126" t="s">
        <v>210</v>
      </c>
      <c r="C177" s="126" t="str">
        <f>VLOOKUP(T_BilanSocial2[[#This Row],[NumL]],T_Commission[#Data],COLUMN(T_Commission[FINAL]),FALSE)</f>
        <v/>
      </c>
      <c r="D177" s="19" t="str">
        <f t="shared" si="16"/>
        <v/>
      </c>
      <c r="E177" s="19" t="str">
        <f t="shared" si="17"/>
        <v/>
      </c>
      <c r="F177" s="242" t="str">
        <f>IFERROR(VLOOKUP(T_BilanSocial2[[#This Row],[Zone_Bilan]],T_P_BilanSocial[#Data],COLUMN(T_P_BilanSocial[[#This Row],[Numero_SIHAM]]),FALSE),"")</f>
        <v/>
      </c>
      <c r="G177" s="242" t="str">
        <f>IFERROR(VLOOKUP(T_BilanSocial2[[#This Row],[Zone_Bilan]],T_P_BilanSocial[#Data],COLUMN(T_P_BilanSocial[[#This Row],[Sexe]]),FALSE),"")</f>
        <v/>
      </c>
      <c r="H177" s="243" t="str">
        <f>IFERROR(VLOOKUP(T_BilanSocial2[[#This Row],[Zone_Bilan]],T_P_BilanSocial[#Data],COLUMN(T_P_BilanSocial[[#This Row],[Categorie]]),FALSE),"")</f>
        <v/>
      </c>
      <c r="I177" s="242" t="str">
        <f>IFERROR(VLOOKUP(T_BilanSocial2[[#This Row],[Zone_Bilan]],T_P_BilanSocial[#Data],COLUMN(T_P_BilanSocial[[#This Row],[Statut]]),FALSE),"")</f>
        <v/>
      </c>
      <c r="J177" s="242" t="str">
        <f>IFERROR(VLOOKUP(T_BilanSocial2[[#This Row],[Zone_Bilan]],T_P_BilanSocial[#Data],COLUMN(T_P_BilanSocial[[#This Row],[Filiere]]),FALSE),"")</f>
        <v/>
      </c>
      <c r="K177" s="78">
        <v>1</v>
      </c>
      <c r="L177" s="213">
        <v>1.5451388888888891</v>
      </c>
      <c r="M177" s="78" t="s">
        <v>210</v>
      </c>
      <c r="N177" s="79" t="str">
        <f>IF((AND(T_BilanSocial2[[#This Row],[Nom]]&lt;&gt;"",T_BilanSocial2[[#This Row],[Reg Ponct]]="R")),(COUNTIF(S177:AX177,"S")+COUNTIF(S177:AX177,"T"))/2,"")</f>
        <v/>
      </c>
      <c r="O177" s="79" t="str">
        <f>IF((AND(T_BilanSocial2[[#This Row],[Nom]]&lt;&gt;"",T_BilanSocial2[[#This Row],[Reg Ponct]]="R")),COUNTIF(S177:AX177,"S")/2,"")</f>
        <v/>
      </c>
      <c r="P177" s="80" t="str">
        <f>IF((AND(T_BilanSocial2[[#This Row],[Nom]]&lt;&gt;"",T_BilanSocial2[[#This Row],[Reg Ponct]]="R")),COUNTIF(S177:AX177,"t")/2,"")</f>
        <v/>
      </c>
      <c r="Q177" s="81" t="str">
        <f t="shared" si="18"/>
        <v/>
      </c>
      <c r="R177" s="82" t="str">
        <f>IF((AND(T_BilanSocial2[[#This Row],[Nom]]&lt;&gt;"",T_BilanSocial2[[#This Row],[Reg Ponct]]="R")),IF(S177="T",U177-T177,0)+IF(V177="T",X177-W177,0)+IF(Z177="T",AB177-AA177,0)+IF(AC177="T",AE177-AD177,0)+IF(AG177="T",AI177-AH177,0)+IF(AJ177="T",AL177-AK177,0)+IF(AN177="T",AP177-AO177,0)+IF(AQ177="T",AS177-AR177,0)+IF(AU177="T",AW177-AV177,0)+IF(AX177="T",AZ177-AY177,0),"")</f>
        <v/>
      </c>
      <c r="S177" s="36" t="s">
        <v>307</v>
      </c>
      <c r="T177" s="37">
        <v>0.33333333333333331</v>
      </c>
      <c r="U177" s="37">
        <v>0.52083333333333337</v>
      </c>
      <c r="V177" s="21" t="s">
        <v>307</v>
      </c>
      <c r="W177" s="37">
        <v>0.5625</v>
      </c>
      <c r="X177" s="37">
        <v>0.75</v>
      </c>
      <c r="Y177" s="38" t="str">
        <f t="shared" si="19"/>
        <v/>
      </c>
      <c r="Z177" s="36" t="s">
        <v>306</v>
      </c>
      <c r="AA177" s="37">
        <v>0.34375</v>
      </c>
      <c r="AB177" s="37">
        <v>0.52083333333333337</v>
      </c>
      <c r="AC177" s="21" t="s">
        <v>306</v>
      </c>
      <c r="AD177" s="37">
        <v>0.5625</v>
      </c>
      <c r="AE177" s="37">
        <v>0.75</v>
      </c>
      <c r="AF177" s="38" t="str">
        <f t="shared" si="20"/>
        <v/>
      </c>
      <c r="AG177" s="36" t="s">
        <v>306</v>
      </c>
      <c r="AH177" s="37">
        <v>0.33333333333333331</v>
      </c>
      <c r="AI177" s="37">
        <v>0.54166666666666663</v>
      </c>
      <c r="AJ177" s="21" t="s">
        <v>306</v>
      </c>
      <c r="AK177" s="37">
        <v>0.58333333333333337</v>
      </c>
      <c r="AL177" s="37">
        <v>0.75</v>
      </c>
      <c r="AM177" s="38" t="str">
        <f t="shared" si="21"/>
        <v/>
      </c>
      <c r="AN177" s="36" t="s">
        <v>306</v>
      </c>
      <c r="AO177" s="37">
        <v>0.35416666666666669</v>
      </c>
      <c r="AP177" s="37">
        <v>0.51041666666666663</v>
      </c>
      <c r="AQ177" s="21" t="s">
        <v>308</v>
      </c>
      <c r="AR177" s="37"/>
      <c r="AS177" s="37"/>
      <c r="AT177" s="38" t="str">
        <f t="shared" si="22"/>
        <v/>
      </c>
      <c r="AU177" s="36" t="s">
        <v>306</v>
      </c>
      <c r="AV177" s="37">
        <v>0.35416666666666669</v>
      </c>
      <c r="AW177" s="37">
        <v>0.52083333333333337</v>
      </c>
      <c r="AX177" s="21" t="s">
        <v>306</v>
      </c>
      <c r="AY177" s="37">
        <v>0.5625</v>
      </c>
      <c r="AZ177" s="37">
        <v>0.67013888888888884</v>
      </c>
      <c r="BA177" s="39" t="str">
        <f t="shared" si="23"/>
        <v/>
      </c>
      <c r="BB177" s="46" t="s">
        <v>487</v>
      </c>
      <c r="BC177" s="31" t="s">
        <v>488</v>
      </c>
      <c r="BD177" s="16" t="s">
        <v>311</v>
      </c>
      <c r="BE177" s="16" t="s">
        <v>322</v>
      </c>
      <c r="BF177" s="244" t="str">
        <f>T_BilanSocial2[[#This Row],[Nom]]&amp;T_BilanSocial2[[#This Row],[Prénom]]</f>
        <v/>
      </c>
    </row>
    <row r="178" spans="1:58" ht="21.75" hidden="1" customHeight="1" x14ac:dyDescent="0.25">
      <c r="A178" s="90">
        <v>146</v>
      </c>
      <c r="B178" s="126" t="s">
        <v>311</v>
      </c>
      <c r="C178" s="126" t="e">
        <f>VLOOKUP(T_BilanSocial2[[#This Row],[NumL]],T_Commission[#Data],COLUMN(T_Commission[FINAL]),FALSE)</f>
        <v>#N/A</v>
      </c>
      <c r="D178" s="19" t="str">
        <f t="shared" si="16"/>
        <v/>
      </c>
      <c r="E178" s="19" t="str">
        <f t="shared" si="17"/>
        <v/>
      </c>
      <c r="F178" s="242" t="str">
        <f>IFERROR(VLOOKUP(T_BilanSocial2[[#This Row],[Zone_Bilan]],T_P_BilanSocial[#Data],COLUMN(T_P_BilanSocial[[#This Row],[Numero_SIHAM]]),FALSE),"")</f>
        <v/>
      </c>
      <c r="G178" s="242" t="str">
        <f>IFERROR(VLOOKUP(T_BilanSocial2[[#This Row],[Zone_Bilan]],T_P_BilanSocial[#Data],COLUMN(T_P_BilanSocial[[#This Row],[Sexe]]),FALSE),"")</f>
        <v/>
      </c>
      <c r="H178" s="243" t="str">
        <f>IFERROR(VLOOKUP(T_BilanSocial2[[#This Row],[Zone_Bilan]],T_P_BilanSocial[#Data],COLUMN(T_P_BilanSocial[[#This Row],[Categorie]]),FALSE),"")</f>
        <v/>
      </c>
      <c r="I178" s="242" t="str">
        <f>IFERROR(VLOOKUP(T_BilanSocial2[[#This Row],[Zone_Bilan]],T_P_BilanSocial[#Data],COLUMN(T_P_BilanSocial[[#This Row],[Statut]]),FALSE),"")</f>
        <v/>
      </c>
      <c r="J178" s="242" t="str">
        <f>IFERROR(VLOOKUP(T_BilanSocial2[[#This Row],[Zone_Bilan]],T_P_BilanSocial[#Data],COLUMN(T_P_BilanSocial[[#This Row],[Filiere]]),FALSE),"")</f>
        <v/>
      </c>
      <c r="K178" s="78">
        <v>1</v>
      </c>
      <c r="L178" s="213">
        <v>1.5451388888888891</v>
      </c>
      <c r="M178" s="78" t="s">
        <v>210</v>
      </c>
      <c r="N178" s="79" t="str">
        <f>IF((AND(T_BilanSocial2[[#This Row],[Nom]]&lt;&gt;"",T_BilanSocial2[[#This Row],[Reg Ponct]]="R")),(COUNTIF(S178:AX178,"S")+COUNTIF(S178:AX178,"T"))/2,"")</f>
        <v/>
      </c>
      <c r="O178" s="79" t="str">
        <f>IF((AND(T_BilanSocial2[[#This Row],[Nom]]&lt;&gt;"",T_BilanSocial2[[#This Row],[Reg Ponct]]="R")),COUNTIF(S178:AX178,"S")/2,"")</f>
        <v/>
      </c>
      <c r="P178" s="80" t="str">
        <f>IF((AND(T_BilanSocial2[[#This Row],[Nom]]&lt;&gt;"",T_BilanSocial2[[#This Row],[Reg Ponct]]="R")),COUNTIF(S178:AX178,"t")/2,"")</f>
        <v/>
      </c>
      <c r="Q178" s="81" t="str">
        <f t="shared" si="18"/>
        <v/>
      </c>
      <c r="R178" s="82" t="str">
        <f>IF((AND(T_BilanSocial2[[#This Row],[Nom]]&lt;&gt;"",T_BilanSocial2[[#This Row],[Reg Ponct]]="R")),IF(S178="T",U178-T178,0)+IF(V178="T",X178-W178,0)+IF(Z178="T",AB178-AA178,0)+IF(AC178="T",AE178-AD178,0)+IF(AG178="T",AI178-AH178,0)+IF(AJ178="T",AL178-AK178,0)+IF(AN178="T",AP178-AO178,0)+IF(AQ178="T",AS178-AR178,0)+IF(AU178="T",AW178-AV178,0)+IF(AX178="T",AZ178-AY178,0),"")</f>
        <v/>
      </c>
      <c r="S178" s="36" t="s">
        <v>306</v>
      </c>
      <c r="T178" s="37">
        <v>0.35416666666666669</v>
      </c>
      <c r="U178" s="37">
        <v>0.52083333333333337</v>
      </c>
      <c r="V178" s="21" t="s">
        <v>306</v>
      </c>
      <c r="W178" s="37">
        <v>0.5625</v>
      </c>
      <c r="X178" s="37">
        <v>0.70833333333333337</v>
      </c>
      <c r="Y178" s="38" t="str">
        <f t="shared" si="19"/>
        <v/>
      </c>
      <c r="Z178" s="36" t="s">
        <v>307</v>
      </c>
      <c r="AA178" s="37">
        <v>0.35416666666666669</v>
      </c>
      <c r="AB178" s="37">
        <v>0.52083333333333337</v>
      </c>
      <c r="AC178" s="21" t="s">
        <v>307</v>
      </c>
      <c r="AD178" s="37">
        <v>0.5625</v>
      </c>
      <c r="AE178" s="37">
        <v>0.70833333333333337</v>
      </c>
      <c r="AF178" s="38" t="str">
        <f t="shared" si="20"/>
        <v/>
      </c>
      <c r="AG178" s="36" t="s">
        <v>307</v>
      </c>
      <c r="AH178" s="37">
        <v>0.35416666666666669</v>
      </c>
      <c r="AI178" s="37">
        <v>0.52083333333333337</v>
      </c>
      <c r="AJ178" s="21" t="s">
        <v>307</v>
      </c>
      <c r="AK178" s="37">
        <v>0.5625</v>
      </c>
      <c r="AL178" s="37">
        <v>0.70833333333333337</v>
      </c>
      <c r="AM178" s="38" t="str">
        <f t="shared" si="21"/>
        <v/>
      </c>
      <c r="AN178" s="36" t="s">
        <v>306</v>
      </c>
      <c r="AO178" s="37">
        <v>0.35416666666666669</v>
      </c>
      <c r="AP178" s="37">
        <v>0.52083333333333337</v>
      </c>
      <c r="AQ178" s="21" t="s">
        <v>306</v>
      </c>
      <c r="AR178" s="37">
        <v>0.5625</v>
      </c>
      <c r="AS178" s="37">
        <v>0.70833333333333337</v>
      </c>
      <c r="AT178" s="38" t="str">
        <f t="shared" si="22"/>
        <v/>
      </c>
      <c r="AU178" s="36" t="s">
        <v>306</v>
      </c>
      <c r="AV178" s="37">
        <v>0.35416666666666669</v>
      </c>
      <c r="AW178" s="37">
        <v>0.52083333333333337</v>
      </c>
      <c r="AX178" s="21" t="s">
        <v>306</v>
      </c>
      <c r="AY178" s="37">
        <v>0.5625</v>
      </c>
      <c r="AZ178" s="37">
        <v>0.69097222222222221</v>
      </c>
      <c r="BA178" s="39" t="str">
        <f t="shared" si="23"/>
        <v/>
      </c>
      <c r="BB178" s="46" t="s">
        <v>837</v>
      </c>
      <c r="BC178" s="31" t="s">
        <v>838</v>
      </c>
      <c r="BD178" s="16" t="s">
        <v>311</v>
      </c>
      <c r="BE178" s="16" t="s">
        <v>311</v>
      </c>
      <c r="BF178" s="244" t="str">
        <f>T_BilanSocial2[[#This Row],[Nom]]&amp;T_BilanSocial2[[#This Row],[Prénom]]</f>
        <v/>
      </c>
    </row>
    <row r="179" spans="1:58" ht="21.75" customHeight="1" x14ac:dyDescent="0.25">
      <c r="A179" s="90">
        <v>144</v>
      </c>
      <c r="B179" s="126" t="s">
        <v>311</v>
      </c>
      <c r="C179" s="126" t="str">
        <f>VLOOKUP(T_BilanSocial2[[#This Row],[NumL]],T_Commission[#Data],COLUMN(T_Commission[FINAL]),FALSE)</f>
        <v/>
      </c>
      <c r="D179" s="19" t="str">
        <f t="shared" si="16"/>
        <v/>
      </c>
      <c r="E179" s="19" t="str">
        <f t="shared" si="17"/>
        <v/>
      </c>
      <c r="F179" s="242" t="str">
        <f>IFERROR(VLOOKUP(T_BilanSocial2[[#This Row],[Zone_Bilan]],T_P_BilanSocial[#Data],COLUMN(T_P_BilanSocial[[#This Row],[Numero_SIHAM]]),FALSE),"")</f>
        <v/>
      </c>
      <c r="G179" s="242" t="str">
        <f>IFERROR(VLOOKUP(T_BilanSocial2[[#This Row],[Zone_Bilan]],T_P_BilanSocial[#Data],COLUMN(T_P_BilanSocial[[#This Row],[Sexe]]),FALSE),"")</f>
        <v/>
      </c>
      <c r="H179" s="243" t="str">
        <f>IFERROR(VLOOKUP(T_BilanSocial2[[#This Row],[Zone_Bilan]],T_P_BilanSocial[#Data],COLUMN(T_P_BilanSocial[[#This Row],[Categorie]]),FALSE),"")</f>
        <v/>
      </c>
      <c r="I179" s="242" t="str">
        <f>IFERROR(VLOOKUP(T_BilanSocial2[[#This Row],[Zone_Bilan]],T_P_BilanSocial[#Data],COLUMN(T_P_BilanSocial[[#This Row],[Statut]]),FALSE),"")</f>
        <v/>
      </c>
      <c r="J179" s="242" t="str">
        <f>IFERROR(VLOOKUP(T_BilanSocial2[[#This Row],[Zone_Bilan]],T_P_BilanSocial[#Data],COLUMN(T_P_BilanSocial[[#This Row],[Filiere]]),FALSE),"")</f>
        <v/>
      </c>
      <c r="K179" s="78">
        <v>0.8</v>
      </c>
      <c r="L179" s="213">
        <v>1.2361111111111112</v>
      </c>
      <c r="M179" s="78" t="s">
        <v>211</v>
      </c>
      <c r="N179" s="79" t="str">
        <f>IF((AND(T_BilanSocial2[[#This Row],[Nom]]&lt;&gt;"",T_BilanSocial2[[#This Row],[Reg Ponct]]="R")),(COUNTIF(S179:AX179,"S")+COUNTIF(S179:AX179,"T"))/2,"")</f>
        <v/>
      </c>
      <c r="O179" s="79" t="str">
        <f>IF((AND(T_BilanSocial2[[#This Row],[Nom]]&lt;&gt;"",T_BilanSocial2[[#This Row],[Reg Ponct]]="R")),COUNTIF(S179:AX179,"S")/2,"")</f>
        <v/>
      </c>
      <c r="P179" s="80" t="str">
        <f>IF((AND(T_BilanSocial2[[#This Row],[Nom]]&lt;&gt;"",T_BilanSocial2[[#This Row],[Reg Ponct]]="R")),COUNTIF(S179:AX179,"t")/2,"")</f>
        <v/>
      </c>
      <c r="Q179" s="81" t="str">
        <f t="shared" si="18"/>
        <v/>
      </c>
      <c r="R179" s="82" t="str">
        <f>IF((AND(T_BilanSocial2[[#This Row],[Nom]]&lt;&gt;"",T_BilanSocial2[[#This Row],[Reg Ponct]]="R")),IF(S179="T",U179-T179,0)+IF(V179="T",X179-W179,0)+IF(Z179="T",AB179-AA179,0)+IF(AC179="T",AE179-AD179,0)+IF(AG179="T",AI179-AH179,0)+IF(AJ179="T",AL179-AK179,0)+IF(AN179="T",AP179-AO179,0)+IF(AQ179="T",AS179-AR179,0)+IF(AU179="T",AW179-AV179,0)+IF(AX179="T",AZ179-AY179,0),"")</f>
        <v/>
      </c>
      <c r="S179" s="36"/>
      <c r="T179" s="37"/>
      <c r="U179" s="37"/>
      <c r="V179" s="21"/>
      <c r="W179" s="37"/>
      <c r="X179" s="37"/>
      <c r="Y179" s="38" t="str">
        <f t="shared" si="19"/>
        <v/>
      </c>
      <c r="Z179" s="36"/>
      <c r="AA179" s="37"/>
      <c r="AB179" s="37"/>
      <c r="AC179" s="21"/>
      <c r="AD179" s="37"/>
      <c r="AE179" s="37"/>
      <c r="AF179" s="38" t="str">
        <f t="shared" si="20"/>
        <v/>
      </c>
      <c r="AG179" s="36"/>
      <c r="AH179" s="37"/>
      <c r="AI179" s="37"/>
      <c r="AJ179" s="21"/>
      <c r="AK179" s="37"/>
      <c r="AL179" s="37"/>
      <c r="AM179" s="38" t="str">
        <f t="shared" si="21"/>
        <v/>
      </c>
      <c r="AN179" s="36"/>
      <c r="AO179" s="37"/>
      <c r="AP179" s="37"/>
      <c r="AQ179" s="21"/>
      <c r="AR179" s="37"/>
      <c r="AS179" s="37"/>
      <c r="AT179" s="38" t="str">
        <f t="shared" si="22"/>
        <v/>
      </c>
      <c r="AU179" s="36"/>
      <c r="AV179" s="37"/>
      <c r="AW179" s="37"/>
      <c r="AX179" s="21"/>
      <c r="AY179" s="37"/>
      <c r="AZ179" s="37"/>
      <c r="BA179" s="39" t="str">
        <f t="shared" si="23"/>
        <v/>
      </c>
      <c r="BB179" s="46" t="s">
        <v>411</v>
      </c>
      <c r="BC179" s="31" t="s">
        <v>341</v>
      </c>
      <c r="BD179" s="16" t="s">
        <v>311</v>
      </c>
      <c r="BE179" s="16" t="s">
        <v>311</v>
      </c>
      <c r="BF179" s="244" t="str">
        <f>T_BilanSocial2[[#This Row],[Nom]]&amp;T_BilanSocial2[[#This Row],[Prénom]]</f>
        <v/>
      </c>
    </row>
    <row r="180" spans="1:58" ht="21.75" customHeight="1" x14ac:dyDescent="0.25">
      <c r="A180" s="90">
        <v>101</v>
      </c>
      <c r="B180" s="126" t="s">
        <v>210</v>
      </c>
      <c r="C180" s="126" t="str">
        <f>VLOOKUP(T_BilanSocial2[[#This Row],[NumL]],T_Commission[#Data],COLUMN(T_Commission[FINAL]),FALSE)</f>
        <v/>
      </c>
      <c r="D180" s="19" t="str">
        <f t="shared" si="16"/>
        <v/>
      </c>
      <c r="E180" s="19" t="str">
        <f t="shared" si="17"/>
        <v/>
      </c>
      <c r="F180" s="242" t="str">
        <f>IFERROR(VLOOKUP(T_BilanSocial2[[#This Row],[Zone_Bilan]],T_P_BilanSocial[#Data],COLUMN(T_P_BilanSocial[[#This Row],[Numero_SIHAM]]),FALSE),"")</f>
        <v/>
      </c>
      <c r="G180" s="242" t="str">
        <f>IFERROR(VLOOKUP(T_BilanSocial2[[#This Row],[Zone_Bilan]],T_P_BilanSocial[#Data],COLUMN(T_P_BilanSocial[[#This Row],[Sexe]]),FALSE),"")</f>
        <v/>
      </c>
      <c r="H180" s="243" t="str">
        <f>IFERROR(VLOOKUP(T_BilanSocial2[[#This Row],[Zone_Bilan]],T_P_BilanSocial[#Data],COLUMN(T_P_BilanSocial[[#This Row],[Categorie]]),FALSE),"")</f>
        <v/>
      </c>
      <c r="I180" s="242" t="str">
        <f>IFERROR(VLOOKUP(T_BilanSocial2[[#This Row],[Zone_Bilan]],T_P_BilanSocial[#Data],COLUMN(T_P_BilanSocial[[#This Row],[Statut]]),FALSE),"")</f>
        <v/>
      </c>
      <c r="J180" s="242" t="str">
        <f>IFERROR(VLOOKUP(T_BilanSocial2[[#This Row],[Zone_Bilan]],T_P_BilanSocial[#Data],COLUMN(T_P_BilanSocial[[#This Row],[Filiere]]),FALSE),"")</f>
        <v/>
      </c>
      <c r="K180" s="78">
        <v>1</v>
      </c>
      <c r="L180" s="213">
        <v>1.5451388888888891</v>
      </c>
      <c r="M180" s="78" t="s">
        <v>210</v>
      </c>
      <c r="N180" s="79" t="str">
        <f>IF((AND(T_BilanSocial2[[#This Row],[Nom]]&lt;&gt;"",T_BilanSocial2[[#This Row],[Reg Ponct]]="R")),(COUNTIF(S180:AX180,"S")+COUNTIF(S180:AX180,"T"))/2,"")</f>
        <v/>
      </c>
      <c r="O180" s="79" t="str">
        <f>IF((AND(T_BilanSocial2[[#This Row],[Nom]]&lt;&gt;"",T_BilanSocial2[[#This Row],[Reg Ponct]]="R")),COUNTIF(S180:AX180,"S")/2,"")</f>
        <v/>
      </c>
      <c r="P180" s="80" t="str">
        <f>IF((AND(T_BilanSocial2[[#This Row],[Nom]]&lt;&gt;"",T_BilanSocial2[[#This Row],[Reg Ponct]]="R")),COUNTIF(S180:AX180,"t")/2,"")</f>
        <v/>
      </c>
      <c r="Q180" s="81" t="str">
        <f t="shared" si="18"/>
        <v/>
      </c>
      <c r="R180" s="82" t="str">
        <f>IF((AND(T_BilanSocial2[[#This Row],[Nom]]&lt;&gt;"",T_BilanSocial2[[#This Row],[Reg Ponct]]="R")),IF(S180="T",U180-T180,0)+IF(V180="T",X180-W180,0)+IF(Z180="T",AB180-AA180,0)+IF(AC180="T",AE180-AD180,0)+IF(AG180="T",AI180-AH180,0)+IF(AJ180="T",AL180-AK180,0)+IF(AN180="T",AP180-AO180,0)+IF(AQ180="T",AS180-AR180,0)+IF(AU180="T",AW180-AV180,0)+IF(AX180="T",AZ180-AY180,0),"")</f>
        <v/>
      </c>
      <c r="S180" s="36" t="s">
        <v>307</v>
      </c>
      <c r="T180" s="37">
        <v>0.3576388888888889</v>
      </c>
      <c r="U180" s="37">
        <v>0.5</v>
      </c>
      <c r="V180" s="21" t="s">
        <v>307</v>
      </c>
      <c r="W180" s="37">
        <v>0.54166666666666663</v>
      </c>
      <c r="X180" s="37">
        <v>0.71875</v>
      </c>
      <c r="Y180" s="38" t="str">
        <f t="shared" si="19"/>
        <v/>
      </c>
      <c r="Z180" s="36" t="s">
        <v>306</v>
      </c>
      <c r="AA180" s="37">
        <v>0.36458333333333331</v>
      </c>
      <c r="AB180" s="37">
        <v>0.5</v>
      </c>
      <c r="AC180" s="21" t="s">
        <v>306</v>
      </c>
      <c r="AD180" s="37">
        <v>0.54166666666666663</v>
      </c>
      <c r="AE180" s="37">
        <v>0.69791666666666663</v>
      </c>
      <c r="AF180" s="38" t="str">
        <f t="shared" si="20"/>
        <v/>
      </c>
      <c r="AG180" s="36" t="s">
        <v>307</v>
      </c>
      <c r="AH180" s="37">
        <v>0.33333333333333331</v>
      </c>
      <c r="AI180" s="37">
        <v>0.5</v>
      </c>
      <c r="AJ180" s="21" t="s">
        <v>307</v>
      </c>
      <c r="AK180" s="37">
        <v>0.54166666666666663</v>
      </c>
      <c r="AL180" s="37">
        <v>0.72569444444444453</v>
      </c>
      <c r="AM180" s="38" t="str">
        <f t="shared" si="21"/>
        <v/>
      </c>
      <c r="AN180" s="36" t="s">
        <v>306</v>
      </c>
      <c r="AO180" s="37">
        <v>0.36458333333333331</v>
      </c>
      <c r="AP180" s="37">
        <v>0.5</v>
      </c>
      <c r="AQ180" s="21" t="s">
        <v>306</v>
      </c>
      <c r="AR180" s="37">
        <v>0.54166666666666663</v>
      </c>
      <c r="AS180" s="37">
        <v>0.69791666666666663</v>
      </c>
      <c r="AT180" s="38" t="str">
        <f t="shared" si="22"/>
        <v/>
      </c>
      <c r="AU180" s="36" t="s">
        <v>306</v>
      </c>
      <c r="AV180" s="37">
        <v>0.36458333333333331</v>
      </c>
      <c r="AW180" s="37">
        <v>0.5</v>
      </c>
      <c r="AX180" s="21" t="s">
        <v>306</v>
      </c>
      <c r="AY180" s="37">
        <v>0.54166666666666663</v>
      </c>
      <c r="AZ180" s="37">
        <v>0.69791666666666663</v>
      </c>
      <c r="BA180" s="39" t="str">
        <f t="shared" si="23"/>
        <v/>
      </c>
      <c r="BB180" s="46" t="s">
        <v>471</v>
      </c>
      <c r="BC180" s="31" t="s">
        <v>341</v>
      </c>
      <c r="BD180" s="16" t="s">
        <v>322</v>
      </c>
      <c r="BE180" s="16" t="s">
        <v>311</v>
      </c>
      <c r="BF180" s="244" t="str">
        <f>T_BilanSocial2[[#This Row],[Nom]]&amp;T_BilanSocial2[[#This Row],[Prénom]]</f>
        <v/>
      </c>
    </row>
    <row r="181" spans="1:58" ht="21.75" hidden="1" customHeight="1" x14ac:dyDescent="0.25">
      <c r="A181" s="90">
        <v>67</v>
      </c>
      <c r="B181" s="126" t="s">
        <v>311</v>
      </c>
      <c r="C181" s="126" t="str">
        <f>VLOOKUP(T_BilanSocial2[[#This Row],[NumL]],T_Commission[#Data],COLUMN(T_Commission[FINAL]),FALSE)</f>
        <v/>
      </c>
      <c r="D181" s="19" t="str">
        <f t="shared" si="16"/>
        <v/>
      </c>
      <c r="E181" s="19" t="str">
        <f t="shared" si="17"/>
        <v/>
      </c>
      <c r="F181" s="242" t="str">
        <f>IFERROR(VLOOKUP(T_BilanSocial2[[#This Row],[Zone_Bilan]],T_P_BilanSocial[#Data],COLUMN(T_P_BilanSocial[[#This Row],[Numero_SIHAM]]),FALSE),"")</f>
        <v/>
      </c>
      <c r="G181" s="242" t="str">
        <f>IFERROR(VLOOKUP(T_BilanSocial2[[#This Row],[Zone_Bilan]],T_P_BilanSocial[#Data],COLUMN(T_P_BilanSocial[[#This Row],[Sexe]]),FALSE),"")</f>
        <v/>
      </c>
      <c r="H181" s="243" t="str">
        <f>IFERROR(VLOOKUP(T_BilanSocial2[[#This Row],[Zone_Bilan]],T_P_BilanSocial[#Data],COLUMN(T_P_BilanSocial[[#This Row],[Categorie]]),FALSE),"")</f>
        <v/>
      </c>
      <c r="I181" s="242" t="str">
        <f>IFERROR(VLOOKUP(T_BilanSocial2[[#This Row],[Zone_Bilan]],T_P_BilanSocial[#Data],COLUMN(T_P_BilanSocial[[#This Row],[Statut]]),FALSE),"")</f>
        <v/>
      </c>
      <c r="J181" s="242" t="str">
        <f>IFERROR(VLOOKUP(T_BilanSocial2[[#This Row],[Zone_Bilan]],T_P_BilanSocial[#Data],COLUMN(T_P_BilanSocial[[#This Row],[Filiere]]),FALSE),"")</f>
        <v/>
      </c>
      <c r="K181" s="78">
        <v>1</v>
      </c>
      <c r="L181" s="213">
        <v>1.5451388888888891</v>
      </c>
      <c r="M181" s="78" t="s">
        <v>210</v>
      </c>
      <c r="N181" s="79" t="str">
        <f>IF((AND(T_BilanSocial2[[#This Row],[Nom]]&lt;&gt;"",T_BilanSocial2[[#This Row],[Reg Ponct]]="R")),(COUNTIF(S181:AX181,"S")+COUNTIF(S181:AX181,"T"))/2,"")</f>
        <v/>
      </c>
      <c r="O181" s="79" t="str">
        <f>IF((AND(T_BilanSocial2[[#This Row],[Nom]]&lt;&gt;"",T_BilanSocial2[[#This Row],[Reg Ponct]]="R")),COUNTIF(S181:AX181,"S")/2,"")</f>
        <v/>
      </c>
      <c r="P181" s="80" t="str">
        <f>IF((AND(T_BilanSocial2[[#This Row],[Nom]]&lt;&gt;"",T_BilanSocial2[[#This Row],[Reg Ponct]]="R")),COUNTIF(S181:AX181,"t")/2,"")</f>
        <v/>
      </c>
      <c r="Q181" s="81" t="str">
        <f t="shared" si="18"/>
        <v/>
      </c>
      <c r="R181" s="82" t="str">
        <f>IF((AND(T_BilanSocial2[[#This Row],[Nom]]&lt;&gt;"",T_BilanSocial2[[#This Row],[Reg Ponct]]="R")),IF(S181="T",U181-T181,0)+IF(V181="T",X181-W181,0)+IF(Z181="T",AB181-AA181,0)+IF(AC181="T",AE181-AD181,0)+IF(AG181="T",AI181-AH181,0)+IF(AJ181="T",AL181-AK181,0)+IF(AN181="T",AP181-AO181,0)+IF(AQ181="T",AS181-AR181,0)+IF(AU181="T",AW181-AV181,0)+IF(AX181="T",AZ181-AY181,0),"")</f>
        <v/>
      </c>
      <c r="S181" s="36" t="s">
        <v>306</v>
      </c>
      <c r="T181" s="37">
        <v>0.3125</v>
      </c>
      <c r="U181" s="37">
        <v>0.5</v>
      </c>
      <c r="V181" s="21" t="s">
        <v>306</v>
      </c>
      <c r="W181" s="37">
        <v>0.54166666666666663</v>
      </c>
      <c r="X181" s="37">
        <v>0.69097222222222221</v>
      </c>
      <c r="Y181" s="38" t="str">
        <f t="shared" si="19"/>
        <v/>
      </c>
      <c r="Z181" s="36" t="s">
        <v>307</v>
      </c>
      <c r="AA181" s="37">
        <v>0.3125</v>
      </c>
      <c r="AB181" s="37">
        <v>0.5</v>
      </c>
      <c r="AC181" s="21" t="s">
        <v>307</v>
      </c>
      <c r="AD181" s="37">
        <v>0.54166666666666663</v>
      </c>
      <c r="AE181" s="37">
        <v>0.70833333333333337</v>
      </c>
      <c r="AF181" s="38" t="str">
        <f t="shared" si="20"/>
        <v/>
      </c>
      <c r="AG181" s="36" t="s">
        <v>306</v>
      </c>
      <c r="AH181" s="37">
        <v>0.3125</v>
      </c>
      <c r="AI181" s="37">
        <v>0.5</v>
      </c>
      <c r="AJ181" s="21" t="s">
        <v>307</v>
      </c>
      <c r="AK181" s="37">
        <v>0.54166666666666663</v>
      </c>
      <c r="AL181" s="37">
        <v>0.6875</v>
      </c>
      <c r="AM181" s="38" t="str">
        <f t="shared" si="21"/>
        <v/>
      </c>
      <c r="AN181" s="36" t="s">
        <v>306</v>
      </c>
      <c r="AO181" s="37">
        <v>0.3125</v>
      </c>
      <c r="AP181" s="37">
        <v>0.5</v>
      </c>
      <c r="AQ181" s="21" t="s">
        <v>306</v>
      </c>
      <c r="AR181" s="37">
        <v>0.54166666666666663</v>
      </c>
      <c r="AS181" s="37">
        <v>0.6875</v>
      </c>
      <c r="AT181" s="38" t="str">
        <f t="shared" si="22"/>
        <v/>
      </c>
      <c r="AU181" s="36" t="s">
        <v>307</v>
      </c>
      <c r="AV181" s="37">
        <v>0.3125</v>
      </c>
      <c r="AW181" s="37">
        <v>0.5</v>
      </c>
      <c r="AX181" s="21" t="s">
        <v>308</v>
      </c>
      <c r="AY181" s="37"/>
      <c r="AZ181" s="37"/>
      <c r="BA181" s="39" t="str">
        <f t="shared" si="23"/>
        <v/>
      </c>
      <c r="BB181" s="46" t="s">
        <v>471</v>
      </c>
      <c r="BC181" s="31" t="s">
        <v>341</v>
      </c>
      <c r="BD181" s="16" t="s">
        <v>311</v>
      </c>
      <c r="BE181" s="16" t="s">
        <v>311</v>
      </c>
      <c r="BF181" s="244" t="str">
        <f>T_BilanSocial2[[#This Row],[Nom]]&amp;T_BilanSocial2[[#This Row],[Prénom]]</f>
        <v/>
      </c>
    </row>
    <row r="182" spans="1:58" ht="21.75" hidden="1" customHeight="1" x14ac:dyDescent="0.25">
      <c r="A182" s="90">
        <v>287</v>
      </c>
      <c r="B182" s="126" t="s">
        <v>311</v>
      </c>
      <c r="C182" s="126" t="str">
        <f>VLOOKUP(T_BilanSocial2[[#This Row],[NumL]],T_Commission[#Data],COLUMN(T_Commission[FINAL]),FALSE)</f>
        <v/>
      </c>
      <c r="D182" s="19" t="str">
        <f t="shared" si="16"/>
        <v/>
      </c>
      <c r="E182" s="19" t="str">
        <f t="shared" si="17"/>
        <v/>
      </c>
      <c r="F182" s="242" t="str">
        <f>IFERROR(VLOOKUP(T_BilanSocial2[[#This Row],[Zone_Bilan]],T_P_BilanSocial[#Data],COLUMN(T_P_BilanSocial[[#This Row],[Numero_SIHAM]]),FALSE),"")</f>
        <v/>
      </c>
      <c r="G182" s="242" t="str">
        <f>IFERROR(VLOOKUP(T_BilanSocial2[[#This Row],[Zone_Bilan]],T_P_BilanSocial[#Data],COLUMN(T_P_BilanSocial[[#This Row],[Sexe]]),FALSE),"")</f>
        <v/>
      </c>
      <c r="H182" s="243" t="str">
        <f>IFERROR(VLOOKUP(T_BilanSocial2[[#This Row],[Zone_Bilan]],T_P_BilanSocial[#Data],COLUMN(T_P_BilanSocial[[#This Row],[Categorie]]),FALSE),"")</f>
        <v/>
      </c>
      <c r="I182" s="242" t="str">
        <f>IFERROR(VLOOKUP(T_BilanSocial2[[#This Row],[Zone_Bilan]],T_P_BilanSocial[#Data],COLUMN(T_P_BilanSocial[[#This Row],[Statut]]),FALSE),"")</f>
        <v/>
      </c>
      <c r="J182" s="242" t="str">
        <f>IFERROR(VLOOKUP(T_BilanSocial2[[#This Row],[Zone_Bilan]],T_P_BilanSocial[#Data],COLUMN(T_P_BilanSocial[[#This Row],[Filiere]]),FALSE),"")</f>
        <v/>
      </c>
      <c r="K182" s="78">
        <v>1</v>
      </c>
      <c r="L182" s="213">
        <v>1.5451388888888891</v>
      </c>
      <c r="M182" s="78" t="s">
        <v>211</v>
      </c>
      <c r="N182" s="79" t="str">
        <f>IF((AND(T_BilanSocial2[[#This Row],[Nom]]&lt;&gt;"",T_BilanSocial2[[#This Row],[Reg Ponct]]="R")),(COUNTIF(S182:AX182,"S")+COUNTIF(S182:AX182,"T"))/2,"")</f>
        <v/>
      </c>
      <c r="O182" s="79" t="str">
        <f>IF((AND(T_BilanSocial2[[#This Row],[Nom]]&lt;&gt;"",T_BilanSocial2[[#This Row],[Reg Ponct]]="R")),COUNTIF(S182:AX182,"S")/2,"")</f>
        <v/>
      </c>
      <c r="P182" s="80" t="str">
        <f>IF((AND(T_BilanSocial2[[#This Row],[Nom]]&lt;&gt;"",T_BilanSocial2[[#This Row],[Reg Ponct]]="R")),COUNTIF(S182:AX182,"t")/2,"")</f>
        <v/>
      </c>
      <c r="Q182" s="81" t="str">
        <f t="shared" si="18"/>
        <v/>
      </c>
      <c r="R182" s="82" t="str">
        <f>IF((AND(T_BilanSocial2[[#This Row],[Nom]]&lt;&gt;"",T_BilanSocial2[[#This Row],[Reg Ponct]]="R")),IF(S182="T",U182-T182,0)+IF(V182="T",X182-W182,0)+IF(Z182="T",AB182-AA182,0)+IF(AC182="T",AE182-AD182,0)+IF(AG182="T",AI182-AH182,0)+IF(AJ182="T",AL182-AK182,0)+IF(AN182="T",AP182-AO182,0)+IF(AQ182="T",AS182-AR182,0)+IF(AU182="T",AW182-AV182,0)+IF(AX182="T",AZ182-AY182,0),"")</f>
        <v/>
      </c>
      <c r="S182" s="36"/>
      <c r="T182" s="37"/>
      <c r="U182" s="37"/>
      <c r="V182" s="21"/>
      <c r="W182" s="37"/>
      <c r="X182" s="37"/>
      <c r="Y182" s="38" t="str">
        <f t="shared" si="19"/>
        <v/>
      </c>
      <c r="Z182" s="36"/>
      <c r="AA182" s="37"/>
      <c r="AB182" s="37"/>
      <c r="AC182" s="21"/>
      <c r="AD182" s="37"/>
      <c r="AE182" s="37"/>
      <c r="AF182" s="38" t="str">
        <f t="shared" si="20"/>
        <v/>
      </c>
      <c r="AG182" s="36"/>
      <c r="AH182" s="37"/>
      <c r="AI182" s="37"/>
      <c r="AJ182" s="21"/>
      <c r="AK182" s="37"/>
      <c r="AL182" s="37"/>
      <c r="AM182" s="38" t="str">
        <f t="shared" si="21"/>
        <v/>
      </c>
      <c r="AN182" s="36"/>
      <c r="AO182" s="37"/>
      <c r="AP182" s="37"/>
      <c r="AQ182" s="21"/>
      <c r="AR182" s="37"/>
      <c r="AS182" s="37"/>
      <c r="AT182" s="38" t="str">
        <f t="shared" si="22"/>
        <v/>
      </c>
      <c r="AU182" s="36"/>
      <c r="AV182" s="37"/>
      <c r="AW182" s="37"/>
      <c r="AX182" s="21"/>
      <c r="AY182" s="37"/>
      <c r="AZ182" s="37"/>
      <c r="BA182" s="39" t="str">
        <f t="shared" si="23"/>
        <v/>
      </c>
      <c r="BB182" s="46" t="s">
        <v>471</v>
      </c>
      <c r="BC182" s="31" t="s">
        <v>341</v>
      </c>
      <c r="BD182" s="16" t="s">
        <v>322</v>
      </c>
      <c r="BE182" s="16" t="s">
        <v>311</v>
      </c>
      <c r="BF182" s="244" t="str">
        <f>T_BilanSocial2[[#This Row],[Nom]]&amp;T_BilanSocial2[[#This Row],[Prénom]]</f>
        <v/>
      </c>
    </row>
    <row r="183" spans="1:58" ht="21.75" hidden="1" customHeight="1" x14ac:dyDescent="0.25">
      <c r="A183" s="90">
        <v>224</v>
      </c>
      <c r="B183" s="126" t="s">
        <v>311</v>
      </c>
      <c r="C183" s="126" t="str">
        <f>VLOOKUP(T_BilanSocial2[[#This Row],[NumL]],T_Commission[#Data],COLUMN(T_Commission[FINAL]),FALSE)</f>
        <v/>
      </c>
      <c r="D183" s="19" t="str">
        <f t="shared" si="16"/>
        <v/>
      </c>
      <c r="E183" s="19" t="str">
        <f t="shared" si="17"/>
        <v/>
      </c>
      <c r="F183" s="242" t="str">
        <f>IFERROR(VLOOKUP(T_BilanSocial2[[#This Row],[Zone_Bilan]],T_P_BilanSocial[#Data],COLUMN(T_P_BilanSocial[[#This Row],[Numero_SIHAM]]),FALSE),"")</f>
        <v/>
      </c>
      <c r="G183" s="242" t="str">
        <f>IFERROR(VLOOKUP(T_BilanSocial2[[#This Row],[Zone_Bilan]],T_P_BilanSocial[#Data],COLUMN(T_P_BilanSocial[[#This Row],[Sexe]]),FALSE),"")</f>
        <v/>
      </c>
      <c r="H183" s="243" t="str">
        <f>IFERROR(VLOOKUP(T_BilanSocial2[[#This Row],[Zone_Bilan]],T_P_BilanSocial[#Data],COLUMN(T_P_BilanSocial[[#This Row],[Categorie]]),FALSE),"")</f>
        <v/>
      </c>
      <c r="I183" s="242" t="str">
        <f>IFERROR(VLOOKUP(T_BilanSocial2[[#This Row],[Zone_Bilan]],T_P_BilanSocial[#Data],COLUMN(T_P_BilanSocial[[#This Row],[Statut]]),FALSE),"")</f>
        <v/>
      </c>
      <c r="J183" s="242" t="str">
        <f>IFERROR(VLOOKUP(T_BilanSocial2[[#This Row],[Zone_Bilan]],T_P_BilanSocial[#Data],COLUMN(T_P_BilanSocial[[#This Row],[Filiere]]),FALSE),"")</f>
        <v/>
      </c>
      <c r="K183" s="78">
        <v>1</v>
      </c>
      <c r="L183" s="213">
        <v>1.5451388888888891</v>
      </c>
      <c r="M183" s="78" t="s">
        <v>211</v>
      </c>
      <c r="N183" s="79" t="str">
        <f>IF((AND(T_BilanSocial2[[#This Row],[Nom]]&lt;&gt;"",T_BilanSocial2[[#This Row],[Reg Ponct]]="R")),(COUNTIF(S183:AX183,"S")+COUNTIF(S183:AX183,"T"))/2,"")</f>
        <v/>
      </c>
      <c r="O183" s="79" t="str">
        <f>IF((AND(T_BilanSocial2[[#This Row],[Nom]]&lt;&gt;"",T_BilanSocial2[[#This Row],[Reg Ponct]]="R")),COUNTIF(S183:AX183,"S")/2,"")</f>
        <v/>
      </c>
      <c r="P183" s="80" t="str">
        <f>IF((AND(T_BilanSocial2[[#This Row],[Nom]]&lt;&gt;"",T_BilanSocial2[[#This Row],[Reg Ponct]]="R")),COUNTIF(S183:AX183,"t")/2,"")</f>
        <v/>
      </c>
      <c r="Q183" s="81" t="str">
        <f t="shared" si="18"/>
        <v/>
      </c>
      <c r="R183" s="82" t="str">
        <f>IF((AND(T_BilanSocial2[[#This Row],[Nom]]&lt;&gt;"",T_BilanSocial2[[#This Row],[Reg Ponct]]="R")),IF(S183="T",U183-T183,0)+IF(V183="T",X183-W183,0)+IF(Z183="T",AB183-AA183,0)+IF(AC183="T",AE183-AD183,0)+IF(AG183="T",AI183-AH183,0)+IF(AJ183="T",AL183-AK183,0)+IF(AN183="T",AP183-AO183,0)+IF(AQ183="T",AS183-AR183,0)+IF(AU183="T",AW183-AV183,0)+IF(AX183="T",AZ183-AY183,0),"")</f>
        <v/>
      </c>
      <c r="S183" s="36"/>
      <c r="T183" s="37"/>
      <c r="U183" s="37"/>
      <c r="V183" s="21"/>
      <c r="W183" s="37"/>
      <c r="X183" s="37"/>
      <c r="Y183" s="38" t="str">
        <f t="shared" si="19"/>
        <v/>
      </c>
      <c r="Z183" s="36"/>
      <c r="AA183" s="37"/>
      <c r="AB183" s="37"/>
      <c r="AC183" s="21"/>
      <c r="AD183" s="37"/>
      <c r="AE183" s="37"/>
      <c r="AF183" s="38" t="str">
        <f t="shared" si="20"/>
        <v/>
      </c>
      <c r="AG183" s="36"/>
      <c r="AH183" s="37"/>
      <c r="AI183" s="37"/>
      <c r="AJ183" s="21"/>
      <c r="AK183" s="37"/>
      <c r="AL183" s="37"/>
      <c r="AM183" s="38" t="str">
        <f t="shared" si="21"/>
        <v/>
      </c>
      <c r="AN183" s="36"/>
      <c r="AO183" s="37"/>
      <c r="AP183" s="37"/>
      <c r="AQ183" s="21"/>
      <c r="AR183" s="37"/>
      <c r="AS183" s="37"/>
      <c r="AT183" s="38" t="str">
        <f t="shared" si="22"/>
        <v/>
      </c>
      <c r="AU183" s="36"/>
      <c r="AV183" s="37"/>
      <c r="AW183" s="37"/>
      <c r="AX183" s="21"/>
      <c r="AY183" s="37"/>
      <c r="AZ183" s="37"/>
      <c r="BA183" s="39" t="str">
        <f t="shared" si="23"/>
        <v/>
      </c>
      <c r="BB183" s="46" t="s">
        <v>626</v>
      </c>
      <c r="BC183" s="31" t="s">
        <v>341</v>
      </c>
      <c r="BD183" s="16" t="s">
        <v>322</v>
      </c>
      <c r="BE183" s="16" t="s">
        <v>322</v>
      </c>
      <c r="BF183" s="244" t="str">
        <f>T_BilanSocial2[[#This Row],[Nom]]&amp;T_BilanSocial2[[#This Row],[Prénom]]</f>
        <v/>
      </c>
    </row>
    <row r="184" spans="1:58" ht="21.75" hidden="1" customHeight="1" x14ac:dyDescent="0.25">
      <c r="A184" s="90">
        <v>250</v>
      </c>
      <c r="B184" s="126" t="s">
        <v>311</v>
      </c>
      <c r="C184" s="126" t="str">
        <f>VLOOKUP(T_BilanSocial2[[#This Row],[NumL]],T_Commission[#Data],COLUMN(T_Commission[FINAL]),FALSE)</f>
        <v/>
      </c>
      <c r="D184" s="19" t="str">
        <f t="shared" si="16"/>
        <v/>
      </c>
      <c r="E184" s="19" t="str">
        <f t="shared" si="17"/>
        <v/>
      </c>
      <c r="F184" s="242" t="str">
        <f>IFERROR(VLOOKUP(T_BilanSocial2[[#This Row],[Zone_Bilan]],T_P_BilanSocial[#Data],COLUMN(T_P_BilanSocial[[#This Row],[Numero_SIHAM]]),FALSE),"")</f>
        <v/>
      </c>
      <c r="G184" s="242" t="str">
        <f>IFERROR(VLOOKUP(T_BilanSocial2[[#This Row],[Zone_Bilan]],T_P_BilanSocial[#Data],COLUMN(T_P_BilanSocial[[#This Row],[Sexe]]),FALSE),"")</f>
        <v/>
      </c>
      <c r="H184" s="243" t="str">
        <f>IFERROR(VLOOKUP(T_BilanSocial2[[#This Row],[Zone_Bilan]],T_P_BilanSocial[#Data],COLUMN(T_P_BilanSocial[[#This Row],[Categorie]]),FALSE),"")</f>
        <v/>
      </c>
      <c r="I184" s="242" t="str">
        <f>IFERROR(VLOOKUP(T_BilanSocial2[[#This Row],[Zone_Bilan]],T_P_BilanSocial[#Data],COLUMN(T_P_BilanSocial[[#This Row],[Statut]]),FALSE),"")</f>
        <v/>
      </c>
      <c r="J184" s="242" t="str">
        <f>IFERROR(VLOOKUP(T_BilanSocial2[[#This Row],[Zone_Bilan]],T_P_BilanSocial[#Data],COLUMN(T_P_BilanSocial[[#This Row],[Filiere]]),FALSE),"")</f>
        <v/>
      </c>
      <c r="K184" s="78">
        <v>1</v>
      </c>
      <c r="L184" s="213">
        <v>1.5451388888888891</v>
      </c>
      <c r="M184" s="78" t="s">
        <v>210</v>
      </c>
      <c r="N184" s="79" t="str">
        <f>IF((AND(T_BilanSocial2[[#This Row],[Nom]]&lt;&gt;"",T_BilanSocial2[[#This Row],[Reg Ponct]]="R")),(COUNTIF(S184:AX184,"S")+COUNTIF(S184:AX184,"T"))/2,"")</f>
        <v/>
      </c>
      <c r="O184" s="79" t="str">
        <f>IF((AND(T_BilanSocial2[[#This Row],[Nom]]&lt;&gt;"",T_BilanSocial2[[#This Row],[Reg Ponct]]="R")),COUNTIF(S184:AX184,"S")/2,"")</f>
        <v/>
      </c>
      <c r="P184" s="80" t="str">
        <f>IF((AND(T_BilanSocial2[[#This Row],[Nom]]&lt;&gt;"",T_BilanSocial2[[#This Row],[Reg Ponct]]="R")),COUNTIF(S184:AX184,"t")/2,"")</f>
        <v/>
      </c>
      <c r="Q184" s="81" t="str">
        <f t="shared" si="18"/>
        <v/>
      </c>
      <c r="R184" s="82" t="str">
        <f>IF((AND(T_BilanSocial2[[#This Row],[Nom]]&lt;&gt;"",T_BilanSocial2[[#This Row],[Reg Ponct]]="R")),IF(S184="T",U184-T184,0)+IF(V184="T",X184-W184,0)+IF(Z184="T",AB184-AA184,0)+IF(AC184="T",AE184-AD184,0)+IF(AG184="T",AI184-AH184,0)+IF(AJ184="T",AL184-AK184,0)+IF(AN184="T",AP184-AO184,0)+IF(AQ184="T",AS184-AR184,0)+IF(AU184="T",AW184-AV184,0)+IF(AX184="T",AZ184-AY184,0),"")</f>
        <v/>
      </c>
      <c r="S184" s="36" t="s">
        <v>306</v>
      </c>
      <c r="T184" s="37">
        <v>0.32291666666666669</v>
      </c>
      <c r="U184" s="37">
        <v>0.52083333333333337</v>
      </c>
      <c r="V184" s="21" t="s">
        <v>306</v>
      </c>
      <c r="W184" s="37">
        <v>0.5625</v>
      </c>
      <c r="X184" s="37">
        <v>0.69097222222222221</v>
      </c>
      <c r="Y184" s="38" t="str">
        <f t="shared" si="19"/>
        <v/>
      </c>
      <c r="Z184" s="36" t="s">
        <v>306</v>
      </c>
      <c r="AA184" s="37">
        <v>0.32291666666666669</v>
      </c>
      <c r="AB184" s="37">
        <v>0.52083333333333337</v>
      </c>
      <c r="AC184" s="21" t="s">
        <v>306</v>
      </c>
      <c r="AD184" s="37">
        <v>0.5625</v>
      </c>
      <c r="AE184" s="37">
        <v>0.68402777777777779</v>
      </c>
      <c r="AF184" s="38" t="str">
        <f t="shared" si="20"/>
        <v/>
      </c>
      <c r="AG184" s="36" t="s">
        <v>307</v>
      </c>
      <c r="AH184" s="37">
        <v>0.32291666666666669</v>
      </c>
      <c r="AI184" s="37">
        <v>0.52083333333333337</v>
      </c>
      <c r="AJ184" s="21" t="s">
        <v>307</v>
      </c>
      <c r="AK184" s="37">
        <v>0.5625</v>
      </c>
      <c r="AL184" s="37">
        <v>0.68402777777777779</v>
      </c>
      <c r="AM184" s="38" t="str">
        <f t="shared" si="21"/>
        <v/>
      </c>
      <c r="AN184" s="36" t="s">
        <v>306</v>
      </c>
      <c r="AO184" s="37">
        <v>0.32291666666666669</v>
      </c>
      <c r="AP184" s="37">
        <v>0.52083333333333337</v>
      </c>
      <c r="AQ184" s="21" t="s">
        <v>306</v>
      </c>
      <c r="AR184" s="37">
        <v>0.5625</v>
      </c>
      <c r="AS184" s="37">
        <v>0.68402777777777779</v>
      </c>
      <c r="AT184" s="38" t="str">
        <f t="shared" si="22"/>
        <v/>
      </c>
      <c r="AU184" s="36" t="s">
        <v>306</v>
      </c>
      <c r="AV184" s="37">
        <v>0.32291666666666669</v>
      </c>
      <c r="AW184" s="37">
        <v>0.52083333333333337</v>
      </c>
      <c r="AX184" s="21" t="s">
        <v>306</v>
      </c>
      <c r="AY184" s="37">
        <v>0.5625</v>
      </c>
      <c r="AZ184" s="37">
        <v>0.625</v>
      </c>
      <c r="BA184" s="39" t="str">
        <f t="shared" si="23"/>
        <v/>
      </c>
      <c r="BB184" s="46" t="s">
        <v>340</v>
      </c>
      <c r="BC184" s="31" t="s">
        <v>341</v>
      </c>
      <c r="BD184" s="16" t="s">
        <v>311</v>
      </c>
      <c r="BE184" s="16" t="s">
        <v>311</v>
      </c>
      <c r="BF184" s="244" t="str">
        <f>T_BilanSocial2[[#This Row],[Nom]]&amp;T_BilanSocial2[[#This Row],[Prénom]]</f>
        <v/>
      </c>
    </row>
    <row r="185" spans="1:58" ht="21.75" hidden="1" customHeight="1" x14ac:dyDescent="0.25">
      <c r="A185" s="90">
        <v>81</v>
      </c>
      <c r="B185" s="126" t="s">
        <v>210</v>
      </c>
      <c r="C185" s="126" t="str">
        <f>VLOOKUP(T_BilanSocial2[[#This Row],[NumL]],T_Commission[#Data],COLUMN(T_Commission[FINAL]),FALSE)</f>
        <v/>
      </c>
      <c r="D185" s="19" t="str">
        <f t="shared" si="16"/>
        <v/>
      </c>
      <c r="E185" s="19" t="str">
        <f t="shared" si="17"/>
        <v/>
      </c>
      <c r="F185" s="242" t="str">
        <f>IFERROR(VLOOKUP(T_BilanSocial2[[#This Row],[Zone_Bilan]],T_P_BilanSocial[#Data],COLUMN(T_P_BilanSocial[[#This Row],[Numero_SIHAM]]),FALSE),"")</f>
        <v/>
      </c>
      <c r="G185" s="242" t="str">
        <f>IFERROR(VLOOKUP(T_BilanSocial2[[#This Row],[Zone_Bilan]],T_P_BilanSocial[#Data],COLUMN(T_P_BilanSocial[[#This Row],[Sexe]]),FALSE),"")</f>
        <v/>
      </c>
      <c r="H185" s="243" t="str">
        <f>IFERROR(VLOOKUP(T_BilanSocial2[[#This Row],[Zone_Bilan]],T_P_BilanSocial[#Data],COLUMN(T_P_BilanSocial[[#This Row],[Categorie]]),FALSE),"")</f>
        <v/>
      </c>
      <c r="I185" s="242" t="str">
        <f>IFERROR(VLOOKUP(T_BilanSocial2[[#This Row],[Zone_Bilan]],T_P_BilanSocial[#Data],COLUMN(T_P_BilanSocial[[#This Row],[Statut]]),FALSE),"")</f>
        <v/>
      </c>
      <c r="J185" s="242" t="str">
        <f>IFERROR(VLOOKUP(T_BilanSocial2[[#This Row],[Zone_Bilan]],T_P_BilanSocial[#Data],COLUMN(T_P_BilanSocial[[#This Row],[Filiere]]),FALSE),"")</f>
        <v/>
      </c>
      <c r="K185" s="78">
        <v>0.8</v>
      </c>
      <c r="L185" s="213">
        <v>1.2361111111111112</v>
      </c>
      <c r="M185" s="78" t="s">
        <v>210</v>
      </c>
      <c r="N185" s="79" t="str">
        <f>IF((AND(T_BilanSocial2[[#This Row],[Nom]]&lt;&gt;"",T_BilanSocial2[[#This Row],[Reg Ponct]]="R")),(COUNTIF(S185:AX185,"S")+COUNTIF(S185:AX185,"T"))/2,"")</f>
        <v/>
      </c>
      <c r="O185" s="79" t="str">
        <f>IF((AND(T_BilanSocial2[[#This Row],[Nom]]&lt;&gt;"",T_BilanSocial2[[#This Row],[Reg Ponct]]="R")),COUNTIF(S185:AX185,"S")/2,"")</f>
        <v/>
      </c>
      <c r="P185" s="80" t="str">
        <f>IF((AND(T_BilanSocial2[[#This Row],[Nom]]&lt;&gt;"",T_BilanSocial2[[#This Row],[Reg Ponct]]="R")),COUNTIF(S185:AX185,"t")/2,"")</f>
        <v/>
      </c>
      <c r="Q185" s="81" t="str">
        <f t="shared" si="18"/>
        <v/>
      </c>
      <c r="R185" s="82" t="str">
        <f>IF((AND(T_BilanSocial2[[#This Row],[Nom]]&lt;&gt;"",T_BilanSocial2[[#This Row],[Reg Ponct]]="R")),IF(S185="T",U185-T185,0)+IF(V185="T",X185-W185,0)+IF(Z185="T",AB185-AA185,0)+IF(AC185="T",AE185-AD185,0)+IF(AG185="T",AI185-AH185,0)+IF(AJ185="T",AL185-AK185,0)+IF(AN185="T",AP185-AO185,0)+IF(AQ185="T",AS185-AR185,0)+IF(AU185="T",AW185-AV185,0)+IF(AX185="T",AZ185-AY185,0),"")</f>
        <v/>
      </c>
      <c r="S185" s="36" t="s">
        <v>306</v>
      </c>
      <c r="T185" s="37">
        <v>0.35416666666666669</v>
      </c>
      <c r="U185" s="37">
        <v>0.52083333333333337</v>
      </c>
      <c r="V185" s="21" t="s">
        <v>306</v>
      </c>
      <c r="W185" s="37">
        <v>0.5625</v>
      </c>
      <c r="X185" s="37">
        <v>0.69791666666666663</v>
      </c>
      <c r="Y185" s="38" t="str">
        <f t="shared" si="19"/>
        <v/>
      </c>
      <c r="Z185" s="36" t="s">
        <v>306</v>
      </c>
      <c r="AA185" s="37">
        <v>0.35416666666666669</v>
      </c>
      <c r="AB185" s="37">
        <v>0.52083333333333337</v>
      </c>
      <c r="AC185" s="21" t="s">
        <v>306</v>
      </c>
      <c r="AD185" s="37">
        <v>0.5625</v>
      </c>
      <c r="AE185" s="37">
        <v>0.70833333333333337</v>
      </c>
      <c r="AF185" s="38" t="str">
        <f t="shared" si="20"/>
        <v/>
      </c>
      <c r="AG185" s="36" t="s">
        <v>308</v>
      </c>
      <c r="AH185" s="37"/>
      <c r="AI185" s="37"/>
      <c r="AJ185" s="21" t="s">
        <v>308</v>
      </c>
      <c r="AK185" s="37"/>
      <c r="AL185" s="37"/>
      <c r="AM185" s="38" t="str">
        <f t="shared" si="21"/>
        <v/>
      </c>
      <c r="AN185" s="36" t="s">
        <v>306</v>
      </c>
      <c r="AO185" s="37">
        <v>0.35416666666666669</v>
      </c>
      <c r="AP185" s="37">
        <v>0.52083333333333337</v>
      </c>
      <c r="AQ185" s="21" t="s">
        <v>306</v>
      </c>
      <c r="AR185" s="37">
        <v>0.5625</v>
      </c>
      <c r="AS185" s="37">
        <v>0.69791666666666663</v>
      </c>
      <c r="AT185" s="38" t="str">
        <f t="shared" si="22"/>
        <v/>
      </c>
      <c r="AU185" s="36" t="s">
        <v>307</v>
      </c>
      <c r="AV185" s="37">
        <v>0.34375</v>
      </c>
      <c r="AW185" s="37">
        <v>0.50694444444444442</v>
      </c>
      <c r="AX185" s="21" t="s">
        <v>307</v>
      </c>
      <c r="AY185" s="37">
        <v>0.5625</v>
      </c>
      <c r="AZ185" s="37">
        <v>0.71875</v>
      </c>
      <c r="BA185" s="39" t="str">
        <f t="shared" si="23"/>
        <v/>
      </c>
      <c r="BB185" s="46" t="s">
        <v>420</v>
      </c>
      <c r="BC185" s="31" t="s">
        <v>421</v>
      </c>
      <c r="BD185" s="16" t="s">
        <v>322</v>
      </c>
      <c r="BE185" s="16" t="s">
        <v>322</v>
      </c>
      <c r="BF185" s="244" t="str">
        <f>T_BilanSocial2[[#This Row],[Nom]]&amp;T_BilanSocial2[[#This Row],[Prénom]]</f>
        <v/>
      </c>
    </row>
    <row r="186" spans="1:58" ht="21.75" hidden="1" customHeight="1" x14ac:dyDescent="0.25">
      <c r="A186" s="90">
        <v>195</v>
      </c>
      <c r="B186" s="126" t="s">
        <v>311</v>
      </c>
      <c r="C186" s="126" t="str">
        <f>VLOOKUP(T_BilanSocial2[[#This Row],[NumL]],T_Commission[#Data],COLUMN(T_Commission[FINAL]),FALSE)</f>
        <v/>
      </c>
      <c r="D186" s="19" t="str">
        <f t="shared" si="16"/>
        <v/>
      </c>
      <c r="E186" s="19" t="str">
        <f t="shared" si="17"/>
        <v/>
      </c>
      <c r="F186" s="242" t="str">
        <f>IFERROR(VLOOKUP(T_BilanSocial2[[#This Row],[Zone_Bilan]],T_P_BilanSocial[#Data],COLUMN(T_P_BilanSocial[[#This Row],[Numero_SIHAM]]),FALSE),"")</f>
        <v/>
      </c>
      <c r="G186" s="242" t="str">
        <f>IFERROR(VLOOKUP(T_BilanSocial2[[#This Row],[Zone_Bilan]],T_P_BilanSocial[#Data],COLUMN(T_P_BilanSocial[[#This Row],[Sexe]]),FALSE),"")</f>
        <v/>
      </c>
      <c r="H186" s="243" t="str">
        <f>IFERROR(VLOOKUP(T_BilanSocial2[[#This Row],[Zone_Bilan]],T_P_BilanSocial[#Data],COLUMN(T_P_BilanSocial[[#This Row],[Categorie]]),FALSE),"")</f>
        <v/>
      </c>
      <c r="I186" s="242" t="str">
        <f>IFERROR(VLOOKUP(T_BilanSocial2[[#This Row],[Zone_Bilan]],T_P_BilanSocial[#Data],COLUMN(T_P_BilanSocial[[#This Row],[Statut]]),FALSE),"")</f>
        <v/>
      </c>
      <c r="J186" s="242" t="str">
        <f>IFERROR(VLOOKUP(T_BilanSocial2[[#This Row],[Zone_Bilan]],T_P_BilanSocial[#Data],COLUMN(T_P_BilanSocial[[#This Row],[Filiere]]),FALSE),"")</f>
        <v/>
      </c>
      <c r="K186" s="78">
        <v>1</v>
      </c>
      <c r="L186" s="213">
        <v>1.5451388888888891</v>
      </c>
      <c r="M186" s="78" t="s">
        <v>210</v>
      </c>
      <c r="N186" s="79" t="str">
        <f>IF((AND(T_BilanSocial2[[#This Row],[Nom]]&lt;&gt;"",T_BilanSocial2[[#This Row],[Reg Ponct]]="R")),(COUNTIF(S186:AX186,"S")+COUNTIF(S186:AX186,"T"))/2,"")</f>
        <v/>
      </c>
      <c r="O186" s="79" t="str">
        <f>IF((AND(T_BilanSocial2[[#This Row],[Nom]]&lt;&gt;"",T_BilanSocial2[[#This Row],[Reg Ponct]]="R")),COUNTIF(S186:AX186,"S")/2,"")</f>
        <v/>
      </c>
      <c r="P186" s="80" t="str">
        <f>IF((AND(T_BilanSocial2[[#This Row],[Nom]]&lt;&gt;"",T_BilanSocial2[[#This Row],[Reg Ponct]]="R")),COUNTIF(S186:AX186,"t")/2,"")</f>
        <v/>
      </c>
      <c r="Q186" s="81" t="str">
        <f t="shared" si="18"/>
        <v/>
      </c>
      <c r="R186" s="82" t="str">
        <f>IF((AND(T_BilanSocial2[[#This Row],[Nom]]&lt;&gt;"",T_BilanSocial2[[#This Row],[Reg Ponct]]="R")),IF(S186="T",U186-T186,0)+IF(V186="T",X186-W186,0)+IF(Z186="T",AB186-AA186,0)+IF(AC186="T",AE186-AD186,0)+IF(AG186="T",AI186-AH186,0)+IF(AJ186="T",AL186-AK186,0)+IF(AN186="T",AP186-AO186,0)+IF(AQ186="T",AS186-AR186,0)+IF(AU186="T",AW186-AV186,0)+IF(AX186="T",AZ186-AY186,0),"")</f>
        <v/>
      </c>
      <c r="S186" s="36" t="s">
        <v>307</v>
      </c>
      <c r="T186" s="37">
        <v>0.34375</v>
      </c>
      <c r="U186" s="37">
        <v>0.51041666666666663</v>
      </c>
      <c r="V186" s="21" t="s">
        <v>307</v>
      </c>
      <c r="W186" s="37">
        <v>0.55208333333333337</v>
      </c>
      <c r="X186" s="37">
        <v>0.76041666666666663</v>
      </c>
      <c r="Y186" s="38" t="str">
        <f t="shared" si="19"/>
        <v/>
      </c>
      <c r="Z186" s="36" t="s">
        <v>306</v>
      </c>
      <c r="AA186" s="37">
        <v>0.34375</v>
      </c>
      <c r="AB186" s="37">
        <v>0.52083333333333337</v>
      </c>
      <c r="AC186" s="21" t="s">
        <v>306</v>
      </c>
      <c r="AD186" s="37">
        <v>0.5625</v>
      </c>
      <c r="AE186" s="37">
        <v>0.71875</v>
      </c>
      <c r="AF186" s="38" t="str">
        <f t="shared" si="20"/>
        <v/>
      </c>
      <c r="AG186" s="36" t="s">
        <v>306</v>
      </c>
      <c r="AH186" s="37">
        <v>0.34375</v>
      </c>
      <c r="AI186" s="37">
        <v>0.51388888888888895</v>
      </c>
      <c r="AJ186" s="21" t="s">
        <v>308</v>
      </c>
      <c r="AK186" s="37"/>
      <c r="AL186" s="37"/>
      <c r="AM186" s="38" t="str">
        <f t="shared" si="21"/>
        <v/>
      </c>
      <c r="AN186" s="36" t="s">
        <v>306</v>
      </c>
      <c r="AO186" s="37">
        <v>0.34375</v>
      </c>
      <c r="AP186" s="37">
        <v>0.52083333333333337</v>
      </c>
      <c r="AQ186" s="21" t="s">
        <v>306</v>
      </c>
      <c r="AR186" s="37">
        <v>0.5625</v>
      </c>
      <c r="AS186" s="37">
        <v>0.71875</v>
      </c>
      <c r="AT186" s="38" t="str">
        <f t="shared" si="22"/>
        <v/>
      </c>
      <c r="AU186" s="36" t="s">
        <v>306</v>
      </c>
      <c r="AV186" s="37">
        <v>0.34375</v>
      </c>
      <c r="AW186" s="37">
        <v>0.52083333333333337</v>
      </c>
      <c r="AX186" s="21" t="s">
        <v>306</v>
      </c>
      <c r="AY186" s="37">
        <v>0.5625</v>
      </c>
      <c r="AZ186" s="37">
        <v>0.71875</v>
      </c>
      <c r="BA186" s="39" t="str">
        <f t="shared" si="23"/>
        <v/>
      </c>
      <c r="BB186" s="46" t="s">
        <v>411</v>
      </c>
      <c r="BC186" s="31" t="s">
        <v>341</v>
      </c>
      <c r="BD186" s="16" t="s">
        <v>311</v>
      </c>
      <c r="BE186" s="16" t="s">
        <v>311</v>
      </c>
      <c r="BF186" s="244" t="str">
        <f>T_BilanSocial2[[#This Row],[Nom]]&amp;T_BilanSocial2[[#This Row],[Prénom]]</f>
        <v/>
      </c>
    </row>
    <row r="187" spans="1:58" ht="21.75" customHeight="1" x14ac:dyDescent="0.25">
      <c r="A187" s="90">
        <v>99</v>
      </c>
      <c r="B187" s="126" t="s">
        <v>311</v>
      </c>
      <c r="C187" s="126" t="str">
        <f>VLOOKUP(T_BilanSocial2[[#This Row],[NumL]],T_Commission[#Data],COLUMN(T_Commission[FINAL]),FALSE)</f>
        <v/>
      </c>
      <c r="D187" s="19" t="str">
        <f t="shared" si="16"/>
        <v/>
      </c>
      <c r="E187" s="19" t="str">
        <f t="shared" si="17"/>
        <v/>
      </c>
      <c r="F187" s="242" t="str">
        <f>IFERROR(VLOOKUP(T_BilanSocial2[[#This Row],[Zone_Bilan]],T_P_BilanSocial[#Data],COLUMN(T_P_BilanSocial[[#This Row],[Numero_SIHAM]]),FALSE),"")</f>
        <v/>
      </c>
      <c r="G187" s="242" t="str">
        <f>IFERROR(VLOOKUP(T_BilanSocial2[[#This Row],[Zone_Bilan]],T_P_BilanSocial[#Data],COLUMN(T_P_BilanSocial[[#This Row],[Sexe]]),FALSE),"")</f>
        <v/>
      </c>
      <c r="H187" s="243" t="str">
        <f>IFERROR(VLOOKUP(T_BilanSocial2[[#This Row],[Zone_Bilan]],T_P_BilanSocial[#Data],COLUMN(T_P_BilanSocial[[#This Row],[Categorie]]),FALSE),"")</f>
        <v/>
      </c>
      <c r="I187" s="242" t="str">
        <f>IFERROR(VLOOKUP(T_BilanSocial2[[#This Row],[Zone_Bilan]],T_P_BilanSocial[#Data],COLUMN(T_P_BilanSocial[[#This Row],[Statut]]),FALSE),"")</f>
        <v/>
      </c>
      <c r="J187" s="242" t="str">
        <f>IFERROR(VLOOKUP(T_BilanSocial2[[#This Row],[Zone_Bilan]],T_P_BilanSocial[#Data],COLUMN(T_P_BilanSocial[[#This Row],[Filiere]]),FALSE),"")</f>
        <v/>
      </c>
      <c r="K187" s="78">
        <v>1</v>
      </c>
      <c r="L187" s="213">
        <v>1.5451388888888891</v>
      </c>
      <c r="M187" s="78" t="s">
        <v>210</v>
      </c>
      <c r="N187" s="79" t="str">
        <f>IF((AND(T_BilanSocial2[[#This Row],[Nom]]&lt;&gt;"",T_BilanSocial2[[#This Row],[Reg Ponct]]="R")),(COUNTIF(S187:AX187,"S")+COUNTIF(S187:AX187,"T"))/2,"")</f>
        <v/>
      </c>
      <c r="O187" s="79" t="str">
        <f>IF((AND(T_BilanSocial2[[#This Row],[Nom]]&lt;&gt;"",T_BilanSocial2[[#This Row],[Reg Ponct]]="R")),COUNTIF(S187:AX187,"S")/2,"")</f>
        <v/>
      </c>
      <c r="P187" s="80" t="str">
        <f>IF((AND(T_BilanSocial2[[#This Row],[Nom]]&lt;&gt;"",T_BilanSocial2[[#This Row],[Reg Ponct]]="R")),COUNTIF(S187:AX187,"t")/2,"")</f>
        <v/>
      </c>
      <c r="Q187" s="81" t="str">
        <f t="shared" si="18"/>
        <v/>
      </c>
      <c r="R187" s="82" t="str">
        <f>IF((AND(T_BilanSocial2[[#This Row],[Nom]]&lt;&gt;"",T_BilanSocial2[[#This Row],[Reg Ponct]]="R")),IF(S187="T",U187-T187,0)+IF(V187="T",X187-W187,0)+IF(Z187="T",AB187-AA187,0)+IF(AC187="T",AE187-AD187,0)+IF(AG187="T",AI187-AH187,0)+IF(AJ187="T",AL187-AK187,0)+IF(AN187="T",AP187-AO187,0)+IF(AQ187="T",AS187-AR187,0)+IF(AU187="T",AW187-AV187,0)+IF(AX187="T",AZ187-AY187,0),"")</f>
        <v/>
      </c>
      <c r="S187" s="36" t="s">
        <v>306</v>
      </c>
      <c r="T187" s="37">
        <v>0.35416666666666669</v>
      </c>
      <c r="U187" s="37">
        <v>0.52083333333333337</v>
      </c>
      <c r="V187" s="21" t="s">
        <v>306</v>
      </c>
      <c r="W187" s="37">
        <v>0.5625</v>
      </c>
      <c r="X187" s="37">
        <v>0.70833333333333337</v>
      </c>
      <c r="Y187" s="38" t="str">
        <f t="shared" si="19"/>
        <v/>
      </c>
      <c r="Z187" s="36" t="s">
        <v>307</v>
      </c>
      <c r="AA187" s="37">
        <v>0.35416666666666669</v>
      </c>
      <c r="AB187" s="37">
        <v>0.52083333333333337</v>
      </c>
      <c r="AC187" s="21" t="s">
        <v>307</v>
      </c>
      <c r="AD187" s="37">
        <v>0.5625</v>
      </c>
      <c r="AE187" s="37">
        <v>0.70833333333333337</v>
      </c>
      <c r="AF187" s="38" t="str">
        <f t="shared" si="20"/>
        <v/>
      </c>
      <c r="AG187" s="36" t="s">
        <v>306</v>
      </c>
      <c r="AH187" s="37">
        <v>0.35416666666666669</v>
      </c>
      <c r="AI187" s="37">
        <v>0.52083333333333337</v>
      </c>
      <c r="AJ187" s="21" t="s">
        <v>306</v>
      </c>
      <c r="AK187" s="37">
        <v>0.5625</v>
      </c>
      <c r="AL187" s="37">
        <v>0.70833333333333337</v>
      </c>
      <c r="AM187" s="38" t="str">
        <f t="shared" si="21"/>
        <v/>
      </c>
      <c r="AN187" s="36" t="s">
        <v>306</v>
      </c>
      <c r="AO187" s="37">
        <v>0.35416666666666669</v>
      </c>
      <c r="AP187" s="37">
        <v>0.52083333333333337</v>
      </c>
      <c r="AQ187" s="21" t="s">
        <v>306</v>
      </c>
      <c r="AR187" s="37">
        <v>0.5625</v>
      </c>
      <c r="AS187" s="37">
        <v>0.70833333333333337</v>
      </c>
      <c r="AT187" s="38" t="str">
        <f t="shared" si="22"/>
        <v/>
      </c>
      <c r="AU187" s="36" t="s">
        <v>307</v>
      </c>
      <c r="AV187" s="37">
        <v>0.35416666666666669</v>
      </c>
      <c r="AW187" s="37">
        <v>0.52083333333333337</v>
      </c>
      <c r="AX187" s="21" t="s">
        <v>307</v>
      </c>
      <c r="AY187" s="37">
        <v>0.5625</v>
      </c>
      <c r="AZ187" s="37">
        <v>0.69097222222222221</v>
      </c>
      <c r="BA187" s="39" t="str">
        <f t="shared" si="23"/>
        <v/>
      </c>
      <c r="BB187" s="46" t="s">
        <v>656</v>
      </c>
      <c r="BC187" s="31" t="s">
        <v>657</v>
      </c>
      <c r="BD187" s="16" t="s">
        <v>311</v>
      </c>
      <c r="BE187" s="16" t="s">
        <v>311</v>
      </c>
      <c r="BF187" s="244" t="str">
        <f>T_BilanSocial2[[#This Row],[Nom]]&amp;T_BilanSocial2[[#This Row],[Prénom]]</f>
        <v/>
      </c>
    </row>
    <row r="188" spans="1:58" ht="21.75" hidden="1" customHeight="1" x14ac:dyDescent="0.25">
      <c r="A188" s="90">
        <v>270</v>
      </c>
      <c r="B188" s="126" t="s">
        <v>311</v>
      </c>
      <c r="C188" s="126" t="str">
        <f>VLOOKUP(T_BilanSocial2[[#This Row],[NumL]],T_Commission[#Data],COLUMN(T_Commission[FINAL]),FALSE)</f>
        <v/>
      </c>
      <c r="D188" s="19" t="str">
        <f t="shared" si="16"/>
        <v/>
      </c>
      <c r="E188" s="19" t="str">
        <f t="shared" si="17"/>
        <v/>
      </c>
      <c r="F188" s="242" t="str">
        <f>IFERROR(VLOOKUP(T_BilanSocial2[[#This Row],[Zone_Bilan]],T_P_BilanSocial[#Data],COLUMN(T_P_BilanSocial[[#This Row],[Numero_SIHAM]]),FALSE),"")</f>
        <v/>
      </c>
      <c r="G188" s="242" t="str">
        <f>IFERROR(VLOOKUP(T_BilanSocial2[[#This Row],[Zone_Bilan]],T_P_BilanSocial[#Data],COLUMN(T_P_BilanSocial[[#This Row],[Sexe]]),FALSE),"")</f>
        <v/>
      </c>
      <c r="H188" s="243" t="str">
        <f>IFERROR(VLOOKUP(T_BilanSocial2[[#This Row],[Zone_Bilan]],T_P_BilanSocial[#Data],COLUMN(T_P_BilanSocial[[#This Row],[Categorie]]),FALSE),"")</f>
        <v/>
      </c>
      <c r="I188" s="242" t="str">
        <f>IFERROR(VLOOKUP(T_BilanSocial2[[#This Row],[Zone_Bilan]],T_P_BilanSocial[#Data],COLUMN(T_P_BilanSocial[[#This Row],[Statut]]),FALSE),"")</f>
        <v/>
      </c>
      <c r="J188" s="242" t="str">
        <f>IFERROR(VLOOKUP(T_BilanSocial2[[#This Row],[Zone_Bilan]],T_P_BilanSocial[#Data],COLUMN(T_P_BilanSocial[[#This Row],[Filiere]]),FALSE),"")</f>
        <v/>
      </c>
      <c r="K188" s="78">
        <v>0.8</v>
      </c>
      <c r="L188" s="213">
        <v>1.2361111111111112</v>
      </c>
      <c r="M188" s="78" t="s">
        <v>210</v>
      </c>
      <c r="N188" s="79" t="str">
        <f>IF((AND(T_BilanSocial2[[#This Row],[Nom]]&lt;&gt;"",T_BilanSocial2[[#This Row],[Reg Ponct]]="R")),(COUNTIF(S188:AX188,"S")+COUNTIF(S188:AX188,"T"))/2,"")</f>
        <v/>
      </c>
      <c r="O188" s="79" t="str">
        <f>IF((AND(T_BilanSocial2[[#This Row],[Nom]]&lt;&gt;"",T_BilanSocial2[[#This Row],[Reg Ponct]]="R")),COUNTIF(S188:AX188,"S")/2,"")</f>
        <v/>
      </c>
      <c r="P188" s="80" t="str">
        <f>IF((AND(T_BilanSocial2[[#This Row],[Nom]]&lt;&gt;"",T_BilanSocial2[[#This Row],[Reg Ponct]]="R")),COUNTIF(S188:AX188,"t")/2,"")</f>
        <v/>
      </c>
      <c r="Q188" s="81" t="str">
        <f t="shared" si="18"/>
        <v/>
      </c>
      <c r="R188" s="82" t="str">
        <f>IF((AND(T_BilanSocial2[[#This Row],[Nom]]&lt;&gt;"",T_BilanSocial2[[#This Row],[Reg Ponct]]="R")),IF(S188="T",U188-T188,0)+IF(V188="T",X188-W188,0)+IF(Z188="T",AB188-AA188,0)+IF(AC188="T",AE188-AD188,0)+IF(AG188="T",AI188-AH188,0)+IF(AJ188="T",AL188-AK188,0)+IF(AN188="T",AP188-AO188,0)+IF(AQ188="T",AS188-AR188,0)+IF(AU188="T",AW188-AV188,0)+IF(AX188="T",AZ188-AY188,0),"")</f>
        <v/>
      </c>
      <c r="S188" s="36" t="s">
        <v>308</v>
      </c>
      <c r="T188" s="37"/>
      <c r="U188" s="37"/>
      <c r="V188" s="21" t="s">
        <v>308</v>
      </c>
      <c r="W188" s="37"/>
      <c r="X188" s="37"/>
      <c r="Y188" s="38" t="str">
        <f t="shared" si="19"/>
        <v/>
      </c>
      <c r="Z188" s="36" t="s">
        <v>306</v>
      </c>
      <c r="AA188" s="37">
        <v>0.34722222222222227</v>
      </c>
      <c r="AB188" s="37">
        <v>0.5</v>
      </c>
      <c r="AC188" s="21" t="s">
        <v>306</v>
      </c>
      <c r="AD188" s="37">
        <v>0.54166666666666663</v>
      </c>
      <c r="AE188" s="37">
        <v>0.73958333333333337</v>
      </c>
      <c r="AF188" s="38" t="str">
        <f t="shared" si="20"/>
        <v/>
      </c>
      <c r="AG188" s="36" t="s">
        <v>306</v>
      </c>
      <c r="AH188" s="37">
        <v>0.34722222222222227</v>
      </c>
      <c r="AI188" s="37">
        <v>0.5</v>
      </c>
      <c r="AJ188" s="21" t="s">
        <v>306</v>
      </c>
      <c r="AK188" s="37">
        <v>0.54166666666666663</v>
      </c>
      <c r="AL188" s="37">
        <v>0.70833333333333337</v>
      </c>
      <c r="AM188" s="38" t="str">
        <f t="shared" si="21"/>
        <v/>
      </c>
      <c r="AN188" s="36" t="s">
        <v>306</v>
      </c>
      <c r="AO188" s="37">
        <v>0.34722222222222227</v>
      </c>
      <c r="AP188" s="37">
        <v>0.5</v>
      </c>
      <c r="AQ188" s="21" t="s">
        <v>306</v>
      </c>
      <c r="AR188" s="37">
        <v>0.54166666666666663</v>
      </c>
      <c r="AS188" s="37">
        <v>0.67708333333333337</v>
      </c>
      <c r="AT188" s="38" t="str">
        <f t="shared" si="22"/>
        <v/>
      </c>
      <c r="AU188" s="36" t="s">
        <v>307</v>
      </c>
      <c r="AV188" s="37">
        <v>0.34722222222222227</v>
      </c>
      <c r="AW188" s="37">
        <v>0.5</v>
      </c>
      <c r="AX188" s="21" t="s">
        <v>307</v>
      </c>
      <c r="AY188" s="37">
        <v>0.54166666666666663</v>
      </c>
      <c r="AZ188" s="37">
        <v>0.66666666666666663</v>
      </c>
      <c r="BA188" s="39" t="str">
        <f t="shared" si="23"/>
        <v/>
      </c>
      <c r="BB188" s="46" t="s">
        <v>320</v>
      </c>
      <c r="BC188" s="31" t="s">
        <v>321</v>
      </c>
      <c r="BD188" s="16" t="s">
        <v>311</v>
      </c>
      <c r="BE188" s="16" t="s">
        <v>311</v>
      </c>
      <c r="BF188" s="244" t="str">
        <f>T_BilanSocial2[[#This Row],[Nom]]&amp;T_BilanSocial2[[#This Row],[Prénom]]</f>
        <v/>
      </c>
    </row>
    <row r="189" spans="1:58" ht="21.75" hidden="1" customHeight="1" x14ac:dyDescent="0.25">
      <c r="A189" s="90">
        <v>276</v>
      </c>
      <c r="B189" s="126" t="s">
        <v>311</v>
      </c>
      <c r="C189" s="126" t="str">
        <f>VLOOKUP(T_BilanSocial2[[#This Row],[NumL]],T_Commission[#Data],COLUMN(T_Commission[FINAL]),FALSE)</f>
        <v/>
      </c>
      <c r="D189" s="19" t="str">
        <f t="shared" si="16"/>
        <v/>
      </c>
      <c r="E189" s="19" t="str">
        <f t="shared" si="17"/>
        <v/>
      </c>
      <c r="F189" s="242" t="str">
        <f>IFERROR(VLOOKUP(T_BilanSocial2[[#This Row],[Zone_Bilan]],T_P_BilanSocial[#Data],COLUMN(T_P_BilanSocial[[#This Row],[Numero_SIHAM]]),FALSE),"")</f>
        <v/>
      </c>
      <c r="G189" s="242" t="str">
        <f>IFERROR(VLOOKUP(T_BilanSocial2[[#This Row],[Zone_Bilan]],T_P_BilanSocial[#Data],COLUMN(T_P_BilanSocial[[#This Row],[Sexe]]),FALSE),"")</f>
        <v/>
      </c>
      <c r="H189" s="243" t="str">
        <f>IFERROR(VLOOKUP(T_BilanSocial2[[#This Row],[Zone_Bilan]],T_P_BilanSocial[#Data],COLUMN(T_P_BilanSocial[[#This Row],[Categorie]]),FALSE),"")</f>
        <v/>
      </c>
      <c r="I189" s="242" t="str">
        <f>IFERROR(VLOOKUP(T_BilanSocial2[[#This Row],[Zone_Bilan]],T_P_BilanSocial[#Data],COLUMN(T_P_BilanSocial[[#This Row],[Statut]]),FALSE),"")</f>
        <v/>
      </c>
      <c r="J189" s="242" t="str">
        <f>IFERROR(VLOOKUP(T_BilanSocial2[[#This Row],[Zone_Bilan]],T_P_BilanSocial[#Data],COLUMN(T_P_BilanSocial[[#This Row],[Filiere]]),FALSE),"")</f>
        <v/>
      </c>
      <c r="K189" s="78">
        <v>0.8</v>
      </c>
      <c r="L189" s="213">
        <v>1.2361111111111112</v>
      </c>
      <c r="M189" s="78" t="s">
        <v>211</v>
      </c>
      <c r="N189" s="79" t="str">
        <f>IF((AND(T_BilanSocial2[[#This Row],[Nom]]&lt;&gt;"",T_BilanSocial2[[#This Row],[Reg Ponct]]="R")),(COUNTIF(S189:AX189,"S")+COUNTIF(S189:AX189,"T"))/2,"")</f>
        <v/>
      </c>
      <c r="O189" s="79" t="str">
        <f>IF((AND(T_BilanSocial2[[#This Row],[Nom]]&lt;&gt;"",T_BilanSocial2[[#This Row],[Reg Ponct]]="R")),COUNTIF(S189:AX189,"S")/2,"")</f>
        <v/>
      </c>
      <c r="P189" s="80" t="str">
        <f>IF((AND(T_BilanSocial2[[#This Row],[Nom]]&lt;&gt;"",T_BilanSocial2[[#This Row],[Reg Ponct]]="R")),COUNTIF(S189:AX189,"t")/2,"")</f>
        <v/>
      </c>
      <c r="Q189" s="81" t="str">
        <f t="shared" si="18"/>
        <v/>
      </c>
      <c r="R189" s="82" t="str">
        <f>IF((AND(T_BilanSocial2[[#This Row],[Nom]]&lt;&gt;"",T_BilanSocial2[[#This Row],[Reg Ponct]]="R")),IF(S189="T",U189-T189,0)+IF(V189="T",X189-W189,0)+IF(Z189="T",AB189-AA189,0)+IF(AC189="T",AE189-AD189,0)+IF(AG189="T",AI189-AH189,0)+IF(AJ189="T",AL189-AK189,0)+IF(AN189="T",AP189-AO189,0)+IF(AQ189="T",AS189-AR189,0)+IF(AU189="T",AW189-AV189,0)+IF(AX189="T",AZ189-AY189,0),"")</f>
        <v/>
      </c>
      <c r="S189" s="36"/>
      <c r="T189" s="37"/>
      <c r="U189" s="37"/>
      <c r="V189" s="21"/>
      <c r="W189" s="37"/>
      <c r="X189" s="37"/>
      <c r="Y189" s="38" t="str">
        <f t="shared" si="19"/>
        <v/>
      </c>
      <c r="Z189" s="36"/>
      <c r="AA189" s="37"/>
      <c r="AB189" s="37"/>
      <c r="AC189" s="21"/>
      <c r="AD189" s="37"/>
      <c r="AE189" s="37"/>
      <c r="AF189" s="38" t="str">
        <f t="shared" si="20"/>
        <v/>
      </c>
      <c r="AG189" s="36"/>
      <c r="AH189" s="37"/>
      <c r="AI189" s="37"/>
      <c r="AJ189" s="21"/>
      <c r="AK189" s="37"/>
      <c r="AL189" s="37"/>
      <c r="AM189" s="38" t="str">
        <f t="shared" si="21"/>
        <v/>
      </c>
      <c r="AN189" s="36"/>
      <c r="AO189" s="37"/>
      <c r="AP189" s="37"/>
      <c r="AQ189" s="21"/>
      <c r="AR189" s="37"/>
      <c r="AS189" s="37"/>
      <c r="AT189" s="38" t="str">
        <f t="shared" si="22"/>
        <v/>
      </c>
      <c r="AU189" s="36"/>
      <c r="AV189" s="37"/>
      <c r="AW189" s="37"/>
      <c r="AX189" s="21"/>
      <c r="AY189" s="37"/>
      <c r="AZ189" s="37"/>
      <c r="BA189" s="39" t="str">
        <f t="shared" si="23"/>
        <v/>
      </c>
      <c r="BB189" s="46" t="s">
        <v>1013</v>
      </c>
      <c r="BC189" s="31" t="s">
        <v>1071</v>
      </c>
      <c r="BD189" s="16" t="s">
        <v>311</v>
      </c>
      <c r="BE189" s="16" t="s">
        <v>311</v>
      </c>
      <c r="BF189" s="244" t="str">
        <f>T_BilanSocial2[[#This Row],[Nom]]&amp;T_BilanSocial2[[#This Row],[Prénom]]</f>
        <v/>
      </c>
    </row>
    <row r="190" spans="1:58" ht="21.75" hidden="1" customHeight="1" x14ac:dyDescent="0.25">
      <c r="A190" s="90">
        <v>105</v>
      </c>
      <c r="B190" s="126" t="s">
        <v>210</v>
      </c>
      <c r="C190" s="126" t="str">
        <f>VLOOKUP(T_BilanSocial2[[#This Row],[NumL]],T_Commission[#Data],COLUMN(T_Commission[FINAL]),FALSE)</f>
        <v/>
      </c>
      <c r="D190" s="19" t="str">
        <f t="shared" si="16"/>
        <v/>
      </c>
      <c r="E190" s="19" t="str">
        <f t="shared" si="17"/>
        <v/>
      </c>
      <c r="F190" s="242" t="str">
        <f>IFERROR(VLOOKUP(T_BilanSocial2[[#This Row],[Zone_Bilan]],T_P_BilanSocial[#Data],COLUMN(T_P_BilanSocial[[#This Row],[Numero_SIHAM]]),FALSE),"")</f>
        <v/>
      </c>
      <c r="G190" s="242" t="str">
        <f>IFERROR(VLOOKUP(T_BilanSocial2[[#This Row],[Zone_Bilan]],T_P_BilanSocial[#Data],COLUMN(T_P_BilanSocial[[#This Row],[Sexe]]),FALSE),"")</f>
        <v/>
      </c>
      <c r="H190" s="243" t="str">
        <f>IFERROR(VLOOKUP(T_BilanSocial2[[#This Row],[Zone_Bilan]],T_P_BilanSocial[#Data],COLUMN(T_P_BilanSocial[[#This Row],[Categorie]]),FALSE),"")</f>
        <v/>
      </c>
      <c r="I190" s="242" t="str">
        <f>IFERROR(VLOOKUP(T_BilanSocial2[[#This Row],[Zone_Bilan]],T_P_BilanSocial[#Data],COLUMN(T_P_BilanSocial[[#This Row],[Statut]]),FALSE),"")</f>
        <v/>
      </c>
      <c r="J190" s="242" t="str">
        <f>IFERROR(VLOOKUP(T_BilanSocial2[[#This Row],[Zone_Bilan]],T_P_BilanSocial[#Data],COLUMN(T_P_BilanSocial[[#This Row],[Filiere]]),FALSE),"")</f>
        <v/>
      </c>
      <c r="K190" s="78">
        <v>1</v>
      </c>
      <c r="L190" s="213">
        <v>1.5451388888888891</v>
      </c>
      <c r="M190" s="78" t="s">
        <v>210</v>
      </c>
      <c r="N190" s="79" t="str">
        <f>IF((AND(T_BilanSocial2[[#This Row],[Nom]]&lt;&gt;"",T_BilanSocial2[[#This Row],[Reg Ponct]]="R")),(COUNTIF(S190:AX190,"S")+COUNTIF(S190:AX190,"T"))/2,"")</f>
        <v/>
      </c>
      <c r="O190" s="79" t="str">
        <f>IF((AND(T_BilanSocial2[[#This Row],[Nom]]&lt;&gt;"",T_BilanSocial2[[#This Row],[Reg Ponct]]="R")),COUNTIF(S190:AX190,"S")/2,"")</f>
        <v/>
      </c>
      <c r="P190" s="80" t="str">
        <f>IF((AND(T_BilanSocial2[[#This Row],[Nom]]&lt;&gt;"",T_BilanSocial2[[#This Row],[Reg Ponct]]="R")),COUNTIF(S190:AX190,"t")/2,"")</f>
        <v/>
      </c>
      <c r="Q190" s="81" t="str">
        <f t="shared" si="18"/>
        <v/>
      </c>
      <c r="R190" s="82" t="str">
        <f>IF((AND(T_BilanSocial2[[#This Row],[Nom]]&lt;&gt;"",T_BilanSocial2[[#This Row],[Reg Ponct]]="R")),IF(S190="T",U190-T190,0)+IF(V190="T",X190-W190,0)+IF(Z190="T",AB190-AA190,0)+IF(AC190="T",AE190-AD190,0)+IF(AG190="T",AI190-AH190,0)+IF(AJ190="T",AL190-AK190,0)+IF(AN190="T",AP190-AO190,0)+IF(AQ190="T",AS190-AR190,0)+IF(AU190="T",AW190-AV190,0)+IF(AX190="T",AZ190-AY190,0),"")</f>
        <v/>
      </c>
      <c r="S190" s="36" t="s">
        <v>306</v>
      </c>
      <c r="T190" s="37">
        <v>0.33333333333333331</v>
      </c>
      <c r="U190" s="37">
        <v>0.52083333333333337</v>
      </c>
      <c r="V190" s="21" t="s">
        <v>306</v>
      </c>
      <c r="W190" s="37">
        <v>0.5625</v>
      </c>
      <c r="X190" s="37">
        <v>0.72916666666666663</v>
      </c>
      <c r="Y190" s="38" t="str">
        <f t="shared" si="19"/>
        <v/>
      </c>
      <c r="Z190" s="36" t="s">
        <v>306</v>
      </c>
      <c r="AA190" s="37">
        <v>0.33333333333333331</v>
      </c>
      <c r="AB190" s="37">
        <v>0.52083333333333337</v>
      </c>
      <c r="AC190" s="21" t="s">
        <v>306</v>
      </c>
      <c r="AD190" s="37">
        <v>0.5625</v>
      </c>
      <c r="AE190" s="37">
        <v>0.71875</v>
      </c>
      <c r="AF190" s="38" t="str">
        <f t="shared" si="20"/>
        <v/>
      </c>
      <c r="AG190" s="36" t="s">
        <v>306</v>
      </c>
      <c r="AH190" s="37">
        <v>0.33333333333333331</v>
      </c>
      <c r="AI190" s="37">
        <v>0.52083333333333337</v>
      </c>
      <c r="AJ190" s="21" t="s">
        <v>306</v>
      </c>
      <c r="AK190" s="37">
        <v>0.5625</v>
      </c>
      <c r="AL190" s="37">
        <v>0.71875</v>
      </c>
      <c r="AM190" s="38" t="str">
        <f t="shared" si="21"/>
        <v/>
      </c>
      <c r="AN190" s="36" t="s">
        <v>307</v>
      </c>
      <c r="AO190" s="37">
        <v>0.33333333333333331</v>
      </c>
      <c r="AP190" s="37">
        <v>0.52083333333333337</v>
      </c>
      <c r="AQ190" s="21" t="s">
        <v>307</v>
      </c>
      <c r="AR190" s="37">
        <v>0.5625</v>
      </c>
      <c r="AS190" s="37">
        <v>0.70833333333333337</v>
      </c>
      <c r="AT190" s="38" t="str">
        <f t="shared" si="22"/>
        <v/>
      </c>
      <c r="AU190" s="36" t="s">
        <v>306</v>
      </c>
      <c r="AV190" s="37">
        <v>0.33333333333333331</v>
      </c>
      <c r="AW190" s="37">
        <v>0.50347222222222221</v>
      </c>
      <c r="AX190" s="21" t="s">
        <v>308</v>
      </c>
      <c r="AY190" s="37"/>
      <c r="AZ190" s="37"/>
      <c r="BA190" s="39" t="str">
        <f t="shared" si="23"/>
        <v/>
      </c>
      <c r="BB190" s="46" t="s">
        <v>353</v>
      </c>
      <c r="BC190" s="31" t="s">
        <v>354</v>
      </c>
      <c r="BD190" s="16" t="s">
        <v>322</v>
      </c>
      <c r="BE190" s="16" t="s">
        <v>322</v>
      </c>
      <c r="BF190" s="244" t="str">
        <f>T_BilanSocial2[[#This Row],[Nom]]&amp;T_BilanSocial2[[#This Row],[Prénom]]</f>
        <v/>
      </c>
    </row>
    <row r="191" spans="1:58" ht="21.75" hidden="1" customHeight="1" x14ac:dyDescent="0.25">
      <c r="A191" s="90">
        <v>52</v>
      </c>
      <c r="B191" s="126" t="s">
        <v>311</v>
      </c>
      <c r="C191" s="126" t="str">
        <f>VLOOKUP(T_BilanSocial2[[#This Row],[NumL]],T_Commission[#Data],COLUMN(T_Commission[FINAL]),FALSE)</f>
        <v/>
      </c>
      <c r="D191" s="19" t="str">
        <f t="shared" si="16"/>
        <v/>
      </c>
      <c r="E191" s="19" t="str">
        <f t="shared" si="17"/>
        <v/>
      </c>
      <c r="F191" s="242" t="str">
        <f>IFERROR(VLOOKUP(T_BilanSocial2[[#This Row],[Zone_Bilan]],T_P_BilanSocial[#Data],COLUMN(T_P_BilanSocial[[#This Row],[Numero_SIHAM]]),FALSE),"")</f>
        <v/>
      </c>
      <c r="G191" s="242" t="str">
        <f>IFERROR(VLOOKUP(T_BilanSocial2[[#This Row],[Zone_Bilan]],T_P_BilanSocial[#Data],COLUMN(T_P_BilanSocial[[#This Row],[Sexe]]),FALSE),"")</f>
        <v/>
      </c>
      <c r="H191" s="243" t="str">
        <f>IFERROR(VLOOKUP(T_BilanSocial2[[#This Row],[Zone_Bilan]],T_P_BilanSocial[#Data],COLUMN(T_P_BilanSocial[[#This Row],[Categorie]]),FALSE),"")</f>
        <v/>
      </c>
      <c r="I191" s="242" t="str">
        <f>IFERROR(VLOOKUP(T_BilanSocial2[[#This Row],[Zone_Bilan]],T_P_BilanSocial[#Data],COLUMN(T_P_BilanSocial[[#This Row],[Statut]]),FALSE),"")</f>
        <v/>
      </c>
      <c r="J191" s="242" t="str">
        <f>IFERROR(VLOOKUP(T_BilanSocial2[[#This Row],[Zone_Bilan]],T_P_BilanSocial[#Data],COLUMN(T_P_BilanSocial[[#This Row],[Filiere]]),FALSE),"")</f>
        <v/>
      </c>
      <c r="K191" s="78">
        <v>1</v>
      </c>
      <c r="L191" s="213">
        <v>1.5451388888888891</v>
      </c>
      <c r="M191" s="78" t="s">
        <v>210</v>
      </c>
      <c r="N191" s="79" t="str">
        <f>IF((AND(T_BilanSocial2[[#This Row],[Nom]]&lt;&gt;"",T_BilanSocial2[[#This Row],[Reg Ponct]]="R")),(COUNTIF(S191:AX191,"S")+COUNTIF(S191:AX191,"T"))/2,"")</f>
        <v/>
      </c>
      <c r="O191" s="79" t="str">
        <f>IF((AND(T_BilanSocial2[[#This Row],[Nom]]&lt;&gt;"",T_BilanSocial2[[#This Row],[Reg Ponct]]="R")),COUNTIF(S191:AX191,"S")/2,"")</f>
        <v/>
      </c>
      <c r="P191" s="80" t="str">
        <f>IF((AND(T_BilanSocial2[[#This Row],[Nom]]&lt;&gt;"",T_BilanSocial2[[#This Row],[Reg Ponct]]="R")),COUNTIF(S191:AX191,"t")/2,"")</f>
        <v/>
      </c>
      <c r="Q191" s="81" t="str">
        <f t="shared" si="18"/>
        <v/>
      </c>
      <c r="R191" s="82" t="str">
        <f>IF((AND(T_BilanSocial2[[#This Row],[Nom]]&lt;&gt;"",T_BilanSocial2[[#This Row],[Reg Ponct]]="R")),IF(S191="T",U191-T191,0)+IF(V191="T",X191-W191,0)+IF(Z191="T",AB191-AA191,0)+IF(AC191="T",AE191-AD191,0)+IF(AG191="T",AI191-AH191,0)+IF(AJ191="T",AL191-AK191,0)+IF(AN191="T",AP191-AO191,0)+IF(AQ191="T",AS191-AR191,0)+IF(AU191="T",AW191-AV191,0)+IF(AX191="T",AZ191-AY191,0),"")</f>
        <v/>
      </c>
      <c r="S191" s="36" t="s">
        <v>306</v>
      </c>
      <c r="T191" s="37">
        <v>0.32291666666666669</v>
      </c>
      <c r="U191" s="37">
        <v>0.52083333333333337</v>
      </c>
      <c r="V191" s="21" t="s">
        <v>306</v>
      </c>
      <c r="W191" s="37">
        <v>0.5625</v>
      </c>
      <c r="X191" s="37">
        <v>0.67361111111111116</v>
      </c>
      <c r="Y191" s="38" t="str">
        <f t="shared" si="19"/>
        <v/>
      </c>
      <c r="Z191" s="36" t="s">
        <v>306</v>
      </c>
      <c r="AA191" s="37">
        <v>0.32291666666666669</v>
      </c>
      <c r="AB191" s="37">
        <v>0.52083333333333337</v>
      </c>
      <c r="AC191" s="21" t="s">
        <v>306</v>
      </c>
      <c r="AD191" s="37">
        <v>0.5625</v>
      </c>
      <c r="AE191" s="37">
        <v>0.67361111111111116</v>
      </c>
      <c r="AF191" s="38" t="str">
        <f t="shared" si="20"/>
        <v/>
      </c>
      <c r="AG191" s="36" t="s">
        <v>306</v>
      </c>
      <c r="AH191" s="37">
        <v>0.32291666666666669</v>
      </c>
      <c r="AI191" s="37">
        <v>0.52083333333333337</v>
      </c>
      <c r="AJ191" s="21" t="s">
        <v>306</v>
      </c>
      <c r="AK191" s="37">
        <v>0.5625</v>
      </c>
      <c r="AL191" s="37">
        <v>0.67361111111111116</v>
      </c>
      <c r="AM191" s="38" t="str">
        <f t="shared" si="21"/>
        <v/>
      </c>
      <c r="AN191" s="36" t="s">
        <v>307</v>
      </c>
      <c r="AO191" s="37">
        <v>0.32291666666666669</v>
      </c>
      <c r="AP191" s="37">
        <v>0.52083333333333337</v>
      </c>
      <c r="AQ191" s="21" t="s">
        <v>307</v>
      </c>
      <c r="AR191" s="37">
        <v>0.5625</v>
      </c>
      <c r="AS191" s="37">
        <v>0.67361111111111116</v>
      </c>
      <c r="AT191" s="38" t="str">
        <f t="shared" si="22"/>
        <v/>
      </c>
      <c r="AU191" s="36" t="s">
        <v>306</v>
      </c>
      <c r="AV191" s="37">
        <v>0.32291666666666669</v>
      </c>
      <c r="AW191" s="37">
        <v>0.52083333333333337</v>
      </c>
      <c r="AX191" s="21" t="s">
        <v>306</v>
      </c>
      <c r="AY191" s="37">
        <v>0.5625</v>
      </c>
      <c r="AZ191" s="37">
        <v>0.67361111111111116</v>
      </c>
      <c r="BA191" s="39" t="str">
        <f t="shared" si="23"/>
        <v/>
      </c>
      <c r="BB191" s="46" t="s">
        <v>487</v>
      </c>
      <c r="BC191" s="31" t="s">
        <v>488</v>
      </c>
      <c r="BD191" s="16" t="s">
        <v>311</v>
      </c>
      <c r="BE191" s="16" t="s">
        <v>311</v>
      </c>
      <c r="BF191" s="244" t="str">
        <f>T_BilanSocial2[[#This Row],[Nom]]&amp;T_BilanSocial2[[#This Row],[Prénom]]</f>
        <v/>
      </c>
    </row>
    <row r="192" spans="1:58" ht="21.75" hidden="1" customHeight="1" x14ac:dyDescent="0.25">
      <c r="A192" s="90">
        <v>271</v>
      </c>
      <c r="B192" s="126" t="s">
        <v>311</v>
      </c>
      <c r="C192" s="126" t="e">
        <f>VLOOKUP(T_BilanSocial2[[#This Row],[NumL]],T_Commission[#Data],COLUMN(T_Commission[FINAL]),FALSE)</f>
        <v>#N/A</v>
      </c>
      <c r="D192" s="19" t="str">
        <f t="shared" si="16"/>
        <v/>
      </c>
      <c r="E192" s="19" t="str">
        <f t="shared" si="17"/>
        <v/>
      </c>
      <c r="F192" s="242" t="str">
        <f>IFERROR(VLOOKUP(T_BilanSocial2[[#This Row],[Zone_Bilan]],T_P_BilanSocial[#Data],COLUMN(T_P_BilanSocial[[#This Row],[Numero_SIHAM]]),FALSE),"")</f>
        <v/>
      </c>
      <c r="G192" s="242" t="str">
        <f>IFERROR(VLOOKUP(T_BilanSocial2[[#This Row],[Zone_Bilan]],T_P_BilanSocial[#Data],COLUMN(T_P_BilanSocial[[#This Row],[Sexe]]),FALSE),"")</f>
        <v/>
      </c>
      <c r="H192" s="243" t="str">
        <f>IFERROR(VLOOKUP(T_BilanSocial2[[#This Row],[Zone_Bilan]],T_P_BilanSocial[#Data],COLUMN(T_P_BilanSocial[[#This Row],[Categorie]]),FALSE),"")</f>
        <v/>
      </c>
      <c r="I192" s="242" t="str">
        <f>IFERROR(VLOOKUP(T_BilanSocial2[[#This Row],[Zone_Bilan]],T_P_BilanSocial[#Data],COLUMN(T_P_BilanSocial[[#This Row],[Statut]]),FALSE),"")</f>
        <v/>
      </c>
      <c r="J192" s="242" t="str">
        <f>IFERROR(VLOOKUP(T_BilanSocial2[[#This Row],[Zone_Bilan]],T_P_BilanSocial[#Data],COLUMN(T_P_BilanSocial[[#This Row],[Filiere]]),FALSE),"")</f>
        <v/>
      </c>
      <c r="K192" s="78">
        <v>1</v>
      </c>
      <c r="L192" s="213">
        <v>1.5451388888888891</v>
      </c>
      <c r="M192" s="78" t="s">
        <v>210</v>
      </c>
      <c r="N192" s="79" t="str">
        <f>IF((AND(T_BilanSocial2[[#This Row],[Nom]]&lt;&gt;"",T_BilanSocial2[[#This Row],[Reg Ponct]]="R")),(COUNTIF(S192:AX192,"S")+COUNTIF(S192:AX192,"T"))/2,"")</f>
        <v/>
      </c>
      <c r="O192" s="79" t="str">
        <f>IF((AND(T_BilanSocial2[[#This Row],[Nom]]&lt;&gt;"",T_BilanSocial2[[#This Row],[Reg Ponct]]="R")),COUNTIF(S192:AX192,"S")/2,"")</f>
        <v/>
      </c>
      <c r="P192" s="80" t="str">
        <f>IF((AND(T_BilanSocial2[[#This Row],[Nom]]&lt;&gt;"",T_BilanSocial2[[#This Row],[Reg Ponct]]="R")),COUNTIF(S192:AX192,"t")/2,"")</f>
        <v/>
      </c>
      <c r="Q192" s="81" t="str">
        <f t="shared" si="18"/>
        <v/>
      </c>
      <c r="R192" s="82" t="str">
        <f>IF((AND(T_BilanSocial2[[#This Row],[Nom]]&lt;&gt;"",T_BilanSocial2[[#This Row],[Reg Ponct]]="R")),IF(S192="T",U192-T192,0)+IF(V192="T",X192-W192,0)+IF(Z192="T",AB192-AA192,0)+IF(AC192="T",AE192-AD192,0)+IF(AG192="T",AI192-AH192,0)+IF(AJ192="T",AL192-AK192,0)+IF(AN192="T",AP192-AO192,0)+IF(AQ192="T",AS192-AR192,0)+IF(AU192="T",AW192-AV192,0)+IF(AX192="T",AZ192-AY192,0),"")</f>
        <v/>
      </c>
      <c r="S192" s="36" t="s">
        <v>306</v>
      </c>
      <c r="T192" s="37">
        <v>0.35069444444444442</v>
      </c>
      <c r="U192" s="37">
        <v>0.52083333333333337</v>
      </c>
      <c r="V192" s="21" t="s">
        <v>306</v>
      </c>
      <c r="W192" s="37">
        <v>0.5625</v>
      </c>
      <c r="X192" s="37">
        <v>0.70833333333333337</v>
      </c>
      <c r="Y192" s="38" t="str">
        <f t="shared" si="19"/>
        <v/>
      </c>
      <c r="Z192" s="36" t="s">
        <v>307</v>
      </c>
      <c r="AA192" s="37">
        <v>0.35416666666666669</v>
      </c>
      <c r="AB192" s="37">
        <v>0.52083333333333337</v>
      </c>
      <c r="AC192" s="21" t="s">
        <v>307</v>
      </c>
      <c r="AD192" s="37">
        <v>0.5625</v>
      </c>
      <c r="AE192" s="37">
        <v>0.70833333333333337</v>
      </c>
      <c r="AF192" s="38" t="str">
        <f t="shared" si="20"/>
        <v/>
      </c>
      <c r="AG192" s="36" t="s">
        <v>306</v>
      </c>
      <c r="AH192" s="37">
        <v>0.35416666666666669</v>
      </c>
      <c r="AI192" s="37">
        <v>0.52083333333333337</v>
      </c>
      <c r="AJ192" s="21" t="s">
        <v>306</v>
      </c>
      <c r="AK192" s="37">
        <v>0.5625</v>
      </c>
      <c r="AL192" s="37">
        <v>0.6875</v>
      </c>
      <c r="AM192" s="38" t="str">
        <f t="shared" si="21"/>
        <v/>
      </c>
      <c r="AN192" s="36" t="s">
        <v>306</v>
      </c>
      <c r="AO192" s="37">
        <v>0.35416666666666669</v>
      </c>
      <c r="AP192" s="37">
        <v>0.52083333333333337</v>
      </c>
      <c r="AQ192" s="21" t="s">
        <v>306</v>
      </c>
      <c r="AR192" s="37">
        <v>0.5625</v>
      </c>
      <c r="AS192" s="37">
        <v>0.70833333333333337</v>
      </c>
      <c r="AT192" s="38" t="str">
        <f t="shared" si="22"/>
        <v/>
      </c>
      <c r="AU192" s="36" t="s">
        <v>307</v>
      </c>
      <c r="AV192" s="37">
        <v>0.35416666666666669</v>
      </c>
      <c r="AW192" s="37">
        <v>0.52083333333333337</v>
      </c>
      <c r="AX192" s="21" t="s">
        <v>307</v>
      </c>
      <c r="AY192" s="37">
        <v>0.5625</v>
      </c>
      <c r="AZ192" s="37">
        <v>0.70833333333333337</v>
      </c>
      <c r="BA192" s="39" t="str">
        <f t="shared" si="23"/>
        <v/>
      </c>
      <c r="BB192" s="46" t="s">
        <v>1148</v>
      </c>
      <c r="BC192" s="31" t="s">
        <v>1149</v>
      </c>
      <c r="BD192" s="16" t="s">
        <v>311</v>
      </c>
      <c r="BE192" s="16" t="s">
        <v>311</v>
      </c>
      <c r="BF192" s="244" t="str">
        <f>T_BilanSocial2[[#This Row],[Nom]]&amp;T_BilanSocial2[[#This Row],[Prénom]]</f>
        <v/>
      </c>
    </row>
    <row r="193" spans="1:58" ht="21.75" hidden="1" customHeight="1" x14ac:dyDescent="0.25">
      <c r="A193" s="90">
        <v>35</v>
      </c>
      <c r="B193" s="126" t="s">
        <v>210</v>
      </c>
      <c r="C193" s="126" t="str">
        <f>VLOOKUP(T_BilanSocial2[[#This Row],[NumL]],T_Commission[#Data],COLUMN(T_Commission[FINAL]),FALSE)</f>
        <v/>
      </c>
      <c r="D193" s="19" t="str">
        <f t="shared" si="16"/>
        <v/>
      </c>
      <c r="E193" s="19" t="str">
        <f t="shared" si="17"/>
        <v/>
      </c>
      <c r="F193" s="242" t="str">
        <f>IFERROR(VLOOKUP(T_BilanSocial2[[#This Row],[Zone_Bilan]],T_P_BilanSocial[#Data],COLUMN(T_P_BilanSocial[[#This Row],[Numero_SIHAM]]),FALSE),"")</f>
        <v/>
      </c>
      <c r="G193" s="242" t="str">
        <f>IFERROR(VLOOKUP(T_BilanSocial2[[#This Row],[Zone_Bilan]],T_P_BilanSocial[#Data],COLUMN(T_P_BilanSocial[[#This Row],[Sexe]]),FALSE),"")</f>
        <v/>
      </c>
      <c r="H193" s="243" t="str">
        <f>IFERROR(VLOOKUP(T_BilanSocial2[[#This Row],[Zone_Bilan]],T_P_BilanSocial[#Data],COLUMN(T_P_BilanSocial[[#This Row],[Categorie]]),FALSE),"")</f>
        <v/>
      </c>
      <c r="I193" s="242" t="str">
        <f>IFERROR(VLOOKUP(T_BilanSocial2[[#This Row],[Zone_Bilan]],T_P_BilanSocial[#Data],COLUMN(T_P_BilanSocial[[#This Row],[Statut]]),FALSE),"")</f>
        <v/>
      </c>
      <c r="J193" s="242" t="str">
        <f>IFERROR(VLOOKUP(T_BilanSocial2[[#This Row],[Zone_Bilan]],T_P_BilanSocial[#Data],COLUMN(T_P_BilanSocial[[#This Row],[Filiere]]),FALSE),"")</f>
        <v/>
      </c>
      <c r="K193" s="78">
        <v>1</v>
      </c>
      <c r="L193" s="213">
        <v>1.5451388888888891</v>
      </c>
      <c r="M193" s="78" t="s">
        <v>210</v>
      </c>
      <c r="N193" s="79" t="str">
        <f>IF((AND(T_BilanSocial2[[#This Row],[Nom]]&lt;&gt;"",T_BilanSocial2[[#This Row],[Reg Ponct]]="R")),(COUNTIF(S193:AX193,"S")+COUNTIF(S193:AX193,"T"))/2,"")</f>
        <v/>
      </c>
      <c r="O193" s="79" t="str">
        <f>IF((AND(T_BilanSocial2[[#This Row],[Nom]]&lt;&gt;"",T_BilanSocial2[[#This Row],[Reg Ponct]]="R")),COUNTIF(S193:AX193,"S")/2,"")</f>
        <v/>
      </c>
      <c r="P193" s="80" t="str">
        <f>IF((AND(T_BilanSocial2[[#This Row],[Nom]]&lt;&gt;"",T_BilanSocial2[[#This Row],[Reg Ponct]]="R")),COUNTIF(S193:AX193,"t")/2,"")</f>
        <v/>
      </c>
      <c r="Q193" s="81" t="str">
        <f t="shared" si="18"/>
        <v/>
      </c>
      <c r="R193" s="82" t="str">
        <f>IF((AND(T_BilanSocial2[[#This Row],[Nom]]&lt;&gt;"",T_BilanSocial2[[#This Row],[Reg Ponct]]="R")),IF(S193="T",U193-T193,0)+IF(V193="T",X193-W193,0)+IF(Z193="T",AB193-AA193,0)+IF(AC193="T",AE193-AD193,0)+IF(AG193="T",AI193-AH193,0)+IF(AJ193="T",AL193-AK193,0)+IF(AN193="T",AP193-AO193,0)+IF(AQ193="T",AS193-AR193,0)+IF(AU193="T",AW193-AV193,0)+IF(AX193="T",AZ193-AY193,0),"")</f>
        <v/>
      </c>
      <c r="S193" s="36" t="s">
        <v>307</v>
      </c>
      <c r="T193" s="37">
        <v>0.3125</v>
      </c>
      <c r="U193" s="37">
        <v>0.5</v>
      </c>
      <c r="V193" s="21" t="s">
        <v>307</v>
      </c>
      <c r="W193" s="37">
        <v>0.54166666666666663</v>
      </c>
      <c r="X193" s="37">
        <v>0.70138888888888884</v>
      </c>
      <c r="Y193" s="38" t="str">
        <f t="shared" si="19"/>
        <v/>
      </c>
      <c r="Z193" s="36" t="s">
        <v>306</v>
      </c>
      <c r="AA193" s="37">
        <v>0.33333333333333331</v>
      </c>
      <c r="AB193" s="37">
        <v>0.5</v>
      </c>
      <c r="AC193" s="21" t="s">
        <v>306</v>
      </c>
      <c r="AD193" s="37">
        <v>0.54166666666666663</v>
      </c>
      <c r="AE193" s="37">
        <v>0.71875</v>
      </c>
      <c r="AF193" s="38" t="str">
        <f t="shared" si="20"/>
        <v/>
      </c>
      <c r="AG193" s="36" t="s">
        <v>307</v>
      </c>
      <c r="AH193" s="37">
        <v>0.3125</v>
      </c>
      <c r="AI193" s="37">
        <v>0.47916666666666669</v>
      </c>
      <c r="AJ193" s="21" t="s">
        <v>308</v>
      </c>
      <c r="AK193" s="37"/>
      <c r="AL193" s="37"/>
      <c r="AM193" s="38" t="str">
        <f t="shared" si="21"/>
        <v/>
      </c>
      <c r="AN193" s="36" t="s">
        <v>306</v>
      </c>
      <c r="AO193" s="37">
        <v>0.33333333333333331</v>
      </c>
      <c r="AP193" s="37">
        <v>0.5</v>
      </c>
      <c r="AQ193" s="21" t="s">
        <v>306</v>
      </c>
      <c r="AR193" s="37">
        <v>0.54166666666666663</v>
      </c>
      <c r="AS193" s="37">
        <v>0.71875</v>
      </c>
      <c r="AT193" s="38" t="str">
        <f t="shared" si="22"/>
        <v/>
      </c>
      <c r="AU193" s="36" t="s">
        <v>306</v>
      </c>
      <c r="AV193" s="37">
        <v>0.33333333333333331</v>
      </c>
      <c r="AW193" s="37">
        <v>0.5</v>
      </c>
      <c r="AX193" s="21" t="s">
        <v>306</v>
      </c>
      <c r="AY193" s="37">
        <v>0.54166666666666663</v>
      </c>
      <c r="AZ193" s="37">
        <v>0.71875</v>
      </c>
      <c r="BA193" s="39" t="str">
        <f t="shared" si="23"/>
        <v/>
      </c>
      <c r="BB193" s="46" t="s">
        <v>535</v>
      </c>
      <c r="BC193" s="31" t="s">
        <v>536</v>
      </c>
      <c r="BD193" s="16" t="s">
        <v>322</v>
      </c>
      <c r="BE193" s="16" t="s">
        <v>322</v>
      </c>
      <c r="BF193" s="244" t="str">
        <f>T_BilanSocial2[[#This Row],[Nom]]&amp;T_BilanSocial2[[#This Row],[Prénom]]</f>
        <v/>
      </c>
    </row>
    <row r="194" spans="1:58" ht="21.75" hidden="1" customHeight="1" x14ac:dyDescent="0.25">
      <c r="A194" s="90">
        <v>75</v>
      </c>
      <c r="B194" s="126" t="s">
        <v>210</v>
      </c>
      <c r="C194" s="126" t="str">
        <f>VLOOKUP(T_BilanSocial2[[#This Row],[NumL]],T_Commission[#Data],COLUMN(T_Commission[FINAL]),FALSE)</f>
        <v/>
      </c>
      <c r="D194" s="19" t="str">
        <f t="shared" ref="D194:D257" si="24">IFERROR(IF(VLOOKUP(A194,ListeDI,3,FALSE)&lt;&gt;"",VLOOKUP(A194,ListeDI,3,FALSE),""),"")</f>
        <v/>
      </c>
      <c r="E194" s="19" t="str">
        <f t="shared" ref="E194:E257" si="25">IFERROR(IF(VLOOKUP(A194,ListeDI,4,FALSE)&lt;&gt;"",VLOOKUP(A194,ListeDI,4,FALSE),""),"")</f>
        <v/>
      </c>
      <c r="F194" s="242" t="str">
        <f>IFERROR(VLOOKUP(T_BilanSocial2[[#This Row],[Zone_Bilan]],T_P_BilanSocial[#Data],COLUMN(T_P_BilanSocial[[#This Row],[Numero_SIHAM]]),FALSE),"")</f>
        <v/>
      </c>
      <c r="G194" s="242" t="str">
        <f>IFERROR(VLOOKUP(T_BilanSocial2[[#This Row],[Zone_Bilan]],T_P_BilanSocial[#Data],COLUMN(T_P_BilanSocial[[#This Row],[Sexe]]),FALSE),"")</f>
        <v/>
      </c>
      <c r="H194" s="243" t="str">
        <f>IFERROR(VLOOKUP(T_BilanSocial2[[#This Row],[Zone_Bilan]],T_P_BilanSocial[#Data],COLUMN(T_P_BilanSocial[[#This Row],[Categorie]]),FALSE),"")</f>
        <v/>
      </c>
      <c r="I194" s="242" t="str">
        <f>IFERROR(VLOOKUP(T_BilanSocial2[[#This Row],[Zone_Bilan]],T_P_BilanSocial[#Data],COLUMN(T_P_BilanSocial[[#This Row],[Statut]]),FALSE),"")</f>
        <v/>
      </c>
      <c r="J194" s="242" t="str">
        <f>IFERROR(VLOOKUP(T_BilanSocial2[[#This Row],[Zone_Bilan]],T_P_BilanSocial[#Data],COLUMN(T_P_BilanSocial[[#This Row],[Filiere]]),FALSE),"")</f>
        <v/>
      </c>
      <c r="K194" s="78">
        <v>1</v>
      </c>
      <c r="L194" s="213">
        <v>1.5451388888888891</v>
      </c>
      <c r="M194" s="78" t="s">
        <v>210</v>
      </c>
      <c r="N194" s="79" t="str">
        <f>IF((AND(T_BilanSocial2[[#This Row],[Nom]]&lt;&gt;"",T_BilanSocial2[[#This Row],[Reg Ponct]]="R")),(COUNTIF(S194:AX194,"S")+COUNTIF(S194:AX194,"T"))/2,"")</f>
        <v/>
      </c>
      <c r="O194" s="79" t="str">
        <f>IF((AND(T_BilanSocial2[[#This Row],[Nom]]&lt;&gt;"",T_BilanSocial2[[#This Row],[Reg Ponct]]="R")),COUNTIF(S194:AX194,"S")/2,"")</f>
        <v/>
      </c>
      <c r="P194" s="80" t="str">
        <f>IF((AND(T_BilanSocial2[[#This Row],[Nom]]&lt;&gt;"",T_BilanSocial2[[#This Row],[Reg Ponct]]="R")),COUNTIF(S194:AX194,"t")/2,"")</f>
        <v/>
      </c>
      <c r="Q194" s="81" t="str">
        <f t="shared" ref="Q194:Q257" si="26">IF(D194&lt;&gt;"",Y194+AF194+AM194+AT194+BA194,"")</f>
        <v/>
      </c>
      <c r="R194" s="82" t="str">
        <f>IF((AND(T_BilanSocial2[[#This Row],[Nom]]&lt;&gt;"",T_BilanSocial2[[#This Row],[Reg Ponct]]="R")),IF(S194="T",U194-T194,0)+IF(V194="T",X194-W194,0)+IF(Z194="T",AB194-AA194,0)+IF(AC194="T",AE194-AD194,0)+IF(AG194="T",AI194-AH194,0)+IF(AJ194="T",AL194-AK194,0)+IF(AN194="T",AP194-AO194,0)+IF(AQ194="T",AS194-AR194,0)+IF(AU194="T",AW194-AV194,0)+IF(AX194="T",AZ194-AY194,0),"")</f>
        <v/>
      </c>
      <c r="S194" s="36" t="s">
        <v>306</v>
      </c>
      <c r="T194" s="37">
        <v>0.3125</v>
      </c>
      <c r="U194" s="37">
        <v>0.52083333333333337</v>
      </c>
      <c r="V194" s="21" t="s">
        <v>306</v>
      </c>
      <c r="W194" s="37">
        <v>0.5625</v>
      </c>
      <c r="X194" s="37">
        <v>0.64930555555555558</v>
      </c>
      <c r="Y194" s="38" t="str">
        <f t="shared" ref="Y194:Y257" si="27">IF(D194&lt;&gt;"",(U194-T194)+(X194-W194),"")</f>
        <v/>
      </c>
      <c r="Z194" s="36" t="s">
        <v>307</v>
      </c>
      <c r="AA194" s="37">
        <v>0.375</v>
      </c>
      <c r="AB194" s="37">
        <v>0.52083333333333337</v>
      </c>
      <c r="AC194" s="21" t="s">
        <v>307</v>
      </c>
      <c r="AD194" s="37">
        <v>0.5625</v>
      </c>
      <c r="AE194" s="37">
        <v>0.79166666666666663</v>
      </c>
      <c r="AF194" s="38" t="str">
        <f t="shared" ref="AF194:AF257" si="28">IF(D194&lt;&gt;"",(AB194-AA194)+(AE194-AD194),"")</f>
        <v/>
      </c>
      <c r="AG194" s="36" t="s">
        <v>306</v>
      </c>
      <c r="AH194" s="37">
        <v>0.3125</v>
      </c>
      <c r="AI194" s="37">
        <v>0.5</v>
      </c>
      <c r="AJ194" s="21" t="s">
        <v>308</v>
      </c>
      <c r="AK194" s="37"/>
      <c r="AL194" s="37"/>
      <c r="AM194" s="38" t="str">
        <f t="shared" ref="AM194:AM257" si="29">IF(D194&lt;&gt;"",(AI194-AH194)+(AL194-AK194),"")</f>
        <v/>
      </c>
      <c r="AN194" s="36" t="s">
        <v>306</v>
      </c>
      <c r="AO194" s="37">
        <v>0.375</v>
      </c>
      <c r="AP194" s="37">
        <v>0.52083333333333337</v>
      </c>
      <c r="AQ194" s="21" t="s">
        <v>306</v>
      </c>
      <c r="AR194" s="37">
        <v>0.5625</v>
      </c>
      <c r="AS194" s="37">
        <v>0.79166666666666663</v>
      </c>
      <c r="AT194" s="38" t="str">
        <f t="shared" ref="AT194:AT257" si="30">IF(D194&lt;&gt;"",(AP194-AO194)+(AS194-AR194),"")</f>
        <v/>
      </c>
      <c r="AU194" s="36" t="s">
        <v>307</v>
      </c>
      <c r="AV194" s="37">
        <v>0.3125</v>
      </c>
      <c r="AW194" s="37">
        <v>0.52083333333333337</v>
      </c>
      <c r="AX194" s="21" t="s">
        <v>307</v>
      </c>
      <c r="AY194" s="37">
        <v>0.5625</v>
      </c>
      <c r="AZ194" s="37">
        <v>0.66666666666666663</v>
      </c>
      <c r="BA194" s="39" t="str">
        <f t="shared" ref="BA194:BA257" si="31">IF(D194&lt;&gt;"",(AW194-AV194)+(AZ194-AY194),"")</f>
        <v/>
      </c>
      <c r="BB194" s="46" t="s">
        <v>622</v>
      </c>
      <c r="BC194" s="31" t="s">
        <v>623</v>
      </c>
      <c r="BD194" s="16" t="s">
        <v>322</v>
      </c>
      <c r="BE194" s="16" t="s">
        <v>322</v>
      </c>
      <c r="BF194" s="244" t="str">
        <f>T_BilanSocial2[[#This Row],[Nom]]&amp;T_BilanSocial2[[#This Row],[Prénom]]</f>
        <v/>
      </c>
    </row>
    <row r="195" spans="1:58" ht="21.75" customHeight="1" x14ac:dyDescent="0.25">
      <c r="A195" s="90">
        <v>281</v>
      </c>
      <c r="B195" s="126" t="s">
        <v>311</v>
      </c>
      <c r="C195" s="126" t="str">
        <f>VLOOKUP(T_BilanSocial2[[#This Row],[NumL]],T_Commission[#Data],COLUMN(T_Commission[FINAL]),FALSE)</f>
        <v/>
      </c>
      <c r="D195" s="19" t="str">
        <f t="shared" si="24"/>
        <v/>
      </c>
      <c r="E195" s="19" t="str">
        <f t="shared" si="25"/>
        <v/>
      </c>
      <c r="F195" s="242" t="str">
        <f>IFERROR(VLOOKUP(T_BilanSocial2[[#This Row],[Zone_Bilan]],T_P_BilanSocial[#Data],COLUMN(T_P_BilanSocial[[#This Row],[Numero_SIHAM]]),FALSE),"")</f>
        <v/>
      </c>
      <c r="G195" s="242" t="str">
        <f>IFERROR(VLOOKUP(T_BilanSocial2[[#This Row],[Zone_Bilan]],T_P_BilanSocial[#Data],COLUMN(T_P_BilanSocial[[#This Row],[Sexe]]),FALSE),"")</f>
        <v/>
      </c>
      <c r="H195" s="243" t="str">
        <f>IFERROR(VLOOKUP(T_BilanSocial2[[#This Row],[Zone_Bilan]],T_P_BilanSocial[#Data],COLUMN(T_P_BilanSocial[[#This Row],[Categorie]]),FALSE),"")</f>
        <v/>
      </c>
      <c r="I195" s="242" t="str">
        <f>IFERROR(VLOOKUP(T_BilanSocial2[[#This Row],[Zone_Bilan]],T_P_BilanSocial[#Data],COLUMN(T_P_BilanSocial[[#This Row],[Statut]]),FALSE),"")</f>
        <v/>
      </c>
      <c r="J195" s="242" t="str">
        <f>IFERROR(VLOOKUP(T_BilanSocial2[[#This Row],[Zone_Bilan]],T_P_BilanSocial[#Data],COLUMN(T_P_BilanSocial[[#This Row],[Filiere]]),FALSE),"")</f>
        <v/>
      </c>
      <c r="K195" s="78">
        <v>1</v>
      </c>
      <c r="L195" s="213">
        <v>1.5451388888888891</v>
      </c>
      <c r="M195" s="78" t="s">
        <v>210</v>
      </c>
      <c r="N195" s="79" t="str">
        <f>IF((AND(T_BilanSocial2[[#This Row],[Nom]]&lt;&gt;"",T_BilanSocial2[[#This Row],[Reg Ponct]]="R")),(COUNTIF(S195:AX195,"S")+COUNTIF(S195:AX195,"T"))/2,"")</f>
        <v/>
      </c>
      <c r="O195" s="79" t="str">
        <f>IF((AND(T_BilanSocial2[[#This Row],[Nom]]&lt;&gt;"",T_BilanSocial2[[#This Row],[Reg Ponct]]="R")),COUNTIF(S195:AX195,"S")/2,"")</f>
        <v/>
      </c>
      <c r="P195" s="80" t="str">
        <f>IF((AND(T_BilanSocial2[[#This Row],[Nom]]&lt;&gt;"",T_BilanSocial2[[#This Row],[Reg Ponct]]="R")),COUNTIF(S195:AX195,"t")/2,"")</f>
        <v/>
      </c>
      <c r="Q195" s="81" t="str">
        <f t="shared" si="26"/>
        <v/>
      </c>
      <c r="R195" s="82" t="str">
        <f>IF((AND(T_BilanSocial2[[#This Row],[Nom]]&lt;&gt;"",T_BilanSocial2[[#This Row],[Reg Ponct]]="R")),IF(S195="T",U195-T195,0)+IF(V195="T",X195-W195,0)+IF(Z195="T",AB195-AA195,0)+IF(AC195="T",AE195-AD195,0)+IF(AG195="T",AI195-AH195,0)+IF(AJ195="T",AL195-AK195,0)+IF(AN195="T",AP195-AO195,0)+IF(AQ195="T",AS195-AR195,0)+IF(AU195="T",AW195-AV195,0)+IF(AX195="T",AZ195-AY195,0),"")</f>
        <v/>
      </c>
      <c r="S195" s="36" t="s">
        <v>306</v>
      </c>
      <c r="T195" s="37"/>
      <c r="U195" s="37"/>
      <c r="V195" s="21" t="s">
        <v>306</v>
      </c>
      <c r="W195" s="37"/>
      <c r="X195" s="37"/>
      <c r="Y195" s="38" t="str">
        <f t="shared" si="27"/>
        <v/>
      </c>
      <c r="Z195" s="36" t="s">
        <v>306</v>
      </c>
      <c r="AA195" s="37"/>
      <c r="AB195" s="37"/>
      <c r="AC195" s="21" t="s">
        <v>306</v>
      </c>
      <c r="AD195" s="37"/>
      <c r="AE195" s="37"/>
      <c r="AF195" s="38" t="str">
        <f t="shared" si="28"/>
        <v/>
      </c>
      <c r="AG195" s="36" t="s">
        <v>306</v>
      </c>
      <c r="AH195" s="37"/>
      <c r="AI195" s="37"/>
      <c r="AJ195" s="21" t="s">
        <v>306</v>
      </c>
      <c r="AK195" s="37"/>
      <c r="AL195" s="37"/>
      <c r="AM195" s="38" t="str">
        <f t="shared" si="29"/>
        <v/>
      </c>
      <c r="AN195" s="36" t="s">
        <v>306</v>
      </c>
      <c r="AO195" s="37"/>
      <c r="AP195" s="37"/>
      <c r="AQ195" s="21" t="s">
        <v>306</v>
      </c>
      <c r="AR195" s="37"/>
      <c r="AS195" s="37"/>
      <c r="AT195" s="38" t="str">
        <f t="shared" si="30"/>
        <v/>
      </c>
      <c r="AU195" s="36" t="s">
        <v>307</v>
      </c>
      <c r="AV195" s="37"/>
      <c r="AW195" s="37"/>
      <c r="AX195" s="21" t="s">
        <v>307</v>
      </c>
      <c r="AY195" s="37"/>
      <c r="AZ195" s="37"/>
      <c r="BA195" s="39" t="str">
        <f t="shared" si="31"/>
        <v/>
      </c>
      <c r="BB195" s="46" t="s">
        <v>611</v>
      </c>
      <c r="BC195" s="31" t="s">
        <v>341</v>
      </c>
      <c r="BD195" s="16" t="s">
        <v>311</v>
      </c>
      <c r="BE195" s="16" t="s">
        <v>311</v>
      </c>
      <c r="BF195" s="244" t="str">
        <f>T_BilanSocial2[[#This Row],[Nom]]&amp;T_BilanSocial2[[#This Row],[Prénom]]</f>
        <v/>
      </c>
    </row>
    <row r="196" spans="1:58" ht="21.75" hidden="1" customHeight="1" x14ac:dyDescent="0.25">
      <c r="A196" s="90">
        <v>181</v>
      </c>
      <c r="B196" s="126" t="s">
        <v>311</v>
      </c>
      <c r="C196" s="126" t="str">
        <f>VLOOKUP(T_BilanSocial2[[#This Row],[NumL]],T_Commission[#Data],COLUMN(T_Commission[FINAL]),FALSE)</f>
        <v/>
      </c>
      <c r="D196" s="19" t="str">
        <f t="shared" si="24"/>
        <v/>
      </c>
      <c r="E196" s="19" t="str">
        <f t="shared" si="25"/>
        <v/>
      </c>
      <c r="F196" s="242" t="str">
        <f>IFERROR(VLOOKUP(T_BilanSocial2[[#This Row],[Zone_Bilan]],T_P_BilanSocial[#Data],COLUMN(T_P_BilanSocial[[#This Row],[Numero_SIHAM]]),FALSE),"")</f>
        <v/>
      </c>
      <c r="G196" s="242" t="str">
        <f>IFERROR(VLOOKUP(T_BilanSocial2[[#This Row],[Zone_Bilan]],T_P_BilanSocial[#Data],COLUMN(T_P_BilanSocial[[#This Row],[Sexe]]),FALSE),"")</f>
        <v/>
      </c>
      <c r="H196" s="243" t="str">
        <f>IFERROR(VLOOKUP(T_BilanSocial2[[#This Row],[Zone_Bilan]],T_P_BilanSocial[#Data],COLUMN(T_P_BilanSocial[[#This Row],[Categorie]]),FALSE),"")</f>
        <v/>
      </c>
      <c r="I196" s="242" t="str">
        <f>IFERROR(VLOOKUP(T_BilanSocial2[[#This Row],[Zone_Bilan]],T_P_BilanSocial[#Data],COLUMN(T_P_BilanSocial[[#This Row],[Statut]]),FALSE),"")</f>
        <v/>
      </c>
      <c r="J196" s="242" t="str">
        <f>IFERROR(VLOOKUP(T_BilanSocial2[[#This Row],[Zone_Bilan]],T_P_BilanSocial[#Data],COLUMN(T_P_BilanSocial[[#This Row],[Filiere]]),FALSE),"")</f>
        <v/>
      </c>
      <c r="K196" s="78">
        <v>0.8</v>
      </c>
      <c r="L196" s="213">
        <v>1.2361111111111112</v>
      </c>
      <c r="M196" s="78" t="s">
        <v>210</v>
      </c>
      <c r="N196" s="79" t="str">
        <f>IF((AND(T_BilanSocial2[[#This Row],[Nom]]&lt;&gt;"",T_BilanSocial2[[#This Row],[Reg Ponct]]="R")),(COUNTIF(S196:AX196,"S")+COUNTIF(S196:AX196,"T"))/2,"")</f>
        <v/>
      </c>
      <c r="O196" s="79" t="str">
        <f>IF((AND(T_BilanSocial2[[#This Row],[Nom]]&lt;&gt;"",T_BilanSocial2[[#This Row],[Reg Ponct]]="R")),COUNTIF(S196:AX196,"S")/2,"")</f>
        <v/>
      </c>
      <c r="P196" s="80" t="str">
        <f>IF((AND(T_BilanSocial2[[#This Row],[Nom]]&lt;&gt;"",T_BilanSocial2[[#This Row],[Reg Ponct]]="R")),COUNTIF(S196:AX196,"t")/2,"")</f>
        <v/>
      </c>
      <c r="Q196" s="81" t="str">
        <f t="shared" si="26"/>
        <v/>
      </c>
      <c r="R196" s="82" t="str">
        <f>IF((AND(T_BilanSocial2[[#This Row],[Nom]]&lt;&gt;"",T_BilanSocial2[[#This Row],[Reg Ponct]]="R")),IF(S196="T",U196-T196,0)+IF(V196="T",X196-W196,0)+IF(Z196="T",AB196-AA196,0)+IF(AC196="T",AE196-AD196,0)+IF(AG196="T",AI196-AH196,0)+IF(AJ196="T",AL196-AK196,0)+IF(AN196="T",AP196-AO196,0)+IF(AQ196="T",AS196-AR196,0)+IF(AU196="T",AW196-AV196,0)+IF(AX196="T",AZ196-AY196,0),"")</f>
        <v/>
      </c>
      <c r="S196" s="36" t="s">
        <v>306</v>
      </c>
      <c r="T196" s="37">
        <v>0.36458333333333331</v>
      </c>
      <c r="U196" s="37">
        <v>0.51041666666666663</v>
      </c>
      <c r="V196" s="21" t="s">
        <v>306</v>
      </c>
      <c r="W196" s="37">
        <v>0.55208333333333337</v>
      </c>
      <c r="X196" s="37">
        <v>0.71875</v>
      </c>
      <c r="Y196" s="38" t="str">
        <f t="shared" si="27"/>
        <v/>
      </c>
      <c r="Z196" s="36" t="s">
        <v>306</v>
      </c>
      <c r="AA196" s="37">
        <v>0.34375</v>
      </c>
      <c r="AB196" s="37">
        <v>0.51041666666666663</v>
      </c>
      <c r="AC196" s="21" t="s">
        <v>306</v>
      </c>
      <c r="AD196" s="37">
        <v>0.55208333333333337</v>
      </c>
      <c r="AE196" s="37">
        <v>0.69791666666666663</v>
      </c>
      <c r="AF196" s="38" t="str">
        <f t="shared" si="28"/>
        <v/>
      </c>
      <c r="AG196" s="36" t="s">
        <v>308</v>
      </c>
      <c r="AH196" s="37"/>
      <c r="AI196" s="37"/>
      <c r="AJ196" s="21" t="s">
        <v>308</v>
      </c>
      <c r="AK196" s="37"/>
      <c r="AL196" s="37"/>
      <c r="AM196" s="38" t="str">
        <f t="shared" si="29"/>
        <v/>
      </c>
      <c r="AN196" s="36" t="s">
        <v>306</v>
      </c>
      <c r="AO196" s="37">
        <v>0.36458333333333331</v>
      </c>
      <c r="AP196" s="37">
        <v>0.51041666666666663</v>
      </c>
      <c r="AQ196" s="21" t="s">
        <v>306</v>
      </c>
      <c r="AR196" s="37">
        <v>0.55208333333333337</v>
      </c>
      <c r="AS196" s="37">
        <v>0.69791666666666663</v>
      </c>
      <c r="AT196" s="38" t="str">
        <f t="shared" si="30"/>
        <v/>
      </c>
      <c r="AU196" s="36" t="s">
        <v>307</v>
      </c>
      <c r="AV196" s="37">
        <v>0.34375</v>
      </c>
      <c r="AW196" s="37">
        <v>0.51041666666666663</v>
      </c>
      <c r="AX196" s="21" t="s">
        <v>307</v>
      </c>
      <c r="AY196" s="37">
        <v>0.55208333333333337</v>
      </c>
      <c r="AZ196" s="37">
        <v>0.70486111111111116</v>
      </c>
      <c r="BA196" s="39" t="str">
        <f t="shared" si="31"/>
        <v/>
      </c>
      <c r="BB196" s="46" t="s">
        <v>611</v>
      </c>
      <c r="BC196" s="31" t="s">
        <v>933</v>
      </c>
      <c r="BD196" s="16" t="s">
        <v>311</v>
      </c>
      <c r="BE196" s="16" t="s">
        <v>311</v>
      </c>
      <c r="BF196" s="244" t="str">
        <f>T_BilanSocial2[[#This Row],[Nom]]&amp;T_BilanSocial2[[#This Row],[Prénom]]</f>
        <v/>
      </c>
    </row>
    <row r="197" spans="1:58" ht="21.75" hidden="1" customHeight="1" x14ac:dyDescent="0.25">
      <c r="A197" s="90">
        <v>97</v>
      </c>
      <c r="B197" s="126" t="s">
        <v>311</v>
      </c>
      <c r="C197" s="126" t="str">
        <f>VLOOKUP(T_BilanSocial2[[#This Row],[NumL]],T_Commission[#Data],COLUMN(T_Commission[FINAL]),FALSE)</f>
        <v/>
      </c>
      <c r="D197" s="19" t="str">
        <f t="shared" si="24"/>
        <v/>
      </c>
      <c r="E197" s="19" t="str">
        <f t="shared" si="25"/>
        <v/>
      </c>
      <c r="F197" s="242" t="str">
        <f>IFERROR(VLOOKUP(T_BilanSocial2[[#This Row],[Zone_Bilan]],T_P_BilanSocial[#Data],COLUMN(T_P_BilanSocial[[#This Row],[Numero_SIHAM]]),FALSE),"")</f>
        <v/>
      </c>
      <c r="G197" s="242" t="str">
        <f>IFERROR(VLOOKUP(T_BilanSocial2[[#This Row],[Zone_Bilan]],T_P_BilanSocial[#Data],COLUMN(T_P_BilanSocial[[#This Row],[Sexe]]),FALSE),"")</f>
        <v/>
      </c>
      <c r="H197" s="243" t="str">
        <f>IFERROR(VLOOKUP(T_BilanSocial2[[#This Row],[Zone_Bilan]],T_P_BilanSocial[#Data],COLUMN(T_P_BilanSocial[[#This Row],[Categorie]]),FALSE),"")</f>
        <v/>
      </c>
      <c r="I197" s="242" t="str">
        <f>IFERROR(VLOOKUP(T_BilanSocial2[[#This Row],[Zone_Bilan]],T_P_BilanSocial[#Data],COLUMN(T_P_BilanSocial[[#This Row],[Statut]]),FALSE),"")</f>
        <v/>
      </c>
      <c r="J197" s="242" t="str">
        <f>IFERROR(VLOOKUP(T_BilanSocial2[[#This Row],[Zone_Bilan]],T_P_BilanSocial[#Data],COLUMN(T_P_BilanSocial[[#This Row],[Filiere]]),FALSE),"")</f>
        <v/>
      </c>
      <c r="K197" s="78">
        <v>1</v>
      </c>
      <c r="L197" s="213">
        <v>1.5451388888888891</v>
      </c>
      <c r="M197" s="78" t="s">
        <v>210</v>
      </c>
      <c r="N197" s="79" t="str">
        <f>IF((AND(T_BilanSocial2[[#This Row],[Nom]]&lt;&gt;"",T_BilanSocial2[[#This Row],[Reg Ponct]]="R")),(COUNTIF(S197:AX197,"S")+COUNTIF(S197:AX197,"T"))/2,"")</f>
        <v/>
      </c>
      <c r="O197" s="79" t="str">
        <f>IF((AND(T_BilanSocial2[[#This Row],[Nom]]&lt;&gt;"",T_BilanSocial2[[#This Row],[Reg Ponct]]="R")),COUNTIF(S197:AX197,"S")/2,"")</f>
        <v/>
      </c>
      <c r="P197" s="80" t="str">
        <f>IF((AND(T_BilanSocial2[[#This Row],[Nom]]&lt;&gt;"",T_BilanSocial2[[#This Row],[Reg Ponct]]="R")),COUNTIF(S197:AX197,"t")/2,"")</f>
        <v/>
      </c>
      <c r="Q197" s="81" t="str">
        <f t="shared" si="26"/>
        <v/>
      </c>
      <c r="R197" s="82" t="str">
        <f>IF((AND(T_BilanSocial2[[#This Row],[Nom]]&lt;&gt;"",T_BilanSocial2[[#This Row],[Reg Ponct]]="R")),IF(S197="T",U197-T197,0)+IF(V197="T",X197-W197,0)+IF(Z197="T",AB197-AA197,0)+IF(AC197="T",AE197-AD197,0)+IF(AG197="T",AI197-AH197,0)+IF(AJ197="T",AL197-AK197,0)+IF(AN197="T",AP197-AO197,0)+IF(AQ197="T",AS197-AR197,0)+IF(AU197="T",AW197-AV197,0)+IF(AX197="T",AZ197-AY197,0),"")</f>
        <v/>
      </c>
      <c r="S197" s="36" t="s">
        <v>306</v>
      </c>
      <c r="T197" s="37">
        <v>0.32291666666666669</v>
      </c>
      <c r="U197" s="37">
        <v>0.52083333333333337</v>
      </c>
      <c r="V197" s="21" t="s">
        <v>306</v>
      </c>
      <c r="W197" s="37">
        <v>0.5625</v>
      </c>
      <c r="X197" s="37">
        <v>0.70833333333333337</v>
      </c>
      <c r="Y197" s="38" t="str">
        <f t="shared" si="27"/>
        <v/>
      </c>
      <c r="Z197" s="36" t="s">
        <v>306</v>
      </c>
      <c r="AA197" s="37">
        <v>0.32291666666666669</v>
      </c>
      <c r="AB197" s="37">
        <v>0.52083333333333337</v>
      </c>
      <c r="AC197" s="21" t="s">
        <v>306</v>
      </c>
      <c r="AD197" s="37">
        <v>0.5625</v>
      </c>
      <c r="AE197" s="37">
        <v>0.66666666666666663</v>
      </c>
      <c r="AF197" s="38" t="str">
        <f t="shared" si="28"/>
        <v/>
      </c>
      <c r="AG197" s="36" t="s">
        <v>307</v>
      </c>
      <c r="AH197" s="37">
        <v>0.32291666666666669</v>
      </c>
      <c r="AI197" s="37">
        <v>0.52083333333333337</v>
      </c>
      <c r="AJ197" s="21" t="s">
        <v>307</v>
      </c>
      <c r="AK197" s="37">
        <v>0.5625</v>
      </c>
      <c r="AL197" s="37">
        <v>0.66666666666666663</v>
      </c>
      <c r="AM197" s="38" t="str">
        <f t="shared" si="29"/>
        <v/>
      </c>
      <c r="AN197" s="36" t="s">
        <v>306</v>
      </c>
      <c r="AO197" s="37">
        <v>0.32291666666666669</v>
      </c>
      <c r="AP197" s="37">
        <v>0.51388888888888895</v>
      </c>
      <c r="AQ197" s="21" t="s">
        <v>306</v>
      </c>
      <c r="AR197" s="37">
        <v>0.5625</v>
      </c>
      <c r="AS197" s="37">
        <v>0.66666666666666663</v>
      </c>
      <c r="AT197" s="38" t="str">
        <f t="shared" si="30"/>
        <v/>
      </c>
      <c r="AU197" s="36" t="s">
        <v>306</v>
      </c>
      <c r="AV197" s="37">
        <v>0.32291666666666669</v>
      </c>
      <c r="AW197" s="37">
        <v>0.52083333333333337</v>
      </c>
      <c r="AX197" s="21" t="s">
        <v>306</v>
      </c>
      <c r="AY197" s="37">
        <v>0.5625</v>
      </c>
      <c r="AZ197" s="37">
        <v>0.66666666666666663</v>
      </c>
      <c r="BA197" s="39" t="str">
        <f t="shared" si="31"/>
        <v/>
      </c>
      <c r="BB197" s="46" t="s">
        <v>702</v>
      </c>
      <c r="BC197" s="31" t="s">
        <v>703</v>
      </c>
      <c r="BD197" s="16" t="s">
        <v>311</v>
      </c>
      <c r="BE197" s="16" t="s">
        <v>311</v>
      </c>
      <c r="BF197" s="244" t="str">
        <f>T_BilanSocial2[[#This Row],[Nom]]&amp;T_BilanSocial2[[#This Row],[Prénom]]</f>
        <v/>
      </c>
    </row>
    <row r="198" spans="1:58" ht="21.75" customHeight="1" x14ac:dyDescent="0.25">
      <c r="A198" s="90">
        <v>219</v>
      </c>
      <c r="B198" s="126" t="s">
        <v>311</v>
      </c>
      <c r="C198" s="126" t="str">
        <f>VLOOKUP(T_BilanSocial2[[#This Row],[NumL]],T_Commission[#Data],COLUMN(T_Commission[FINAL]),FALSE)</f>
        <v/>
      </c>
      <c r="D198" s="19" t="str">
        <f t="shared" si="24"/>
        <v/>
      </c>
      <c r="E198" s="19" t="str">
        <f t="shared" si="25"/>
        <v/>
      </c>
      <c r="F198" s="242" t="str">
        <f>IFERROR(VLOOKUP(T_BilanSocial2[[#This Row],[Zone_Bilan]],T_P_BilanSocial[#Data],COLUMN(T_P_BilanSocial[[#This Row],[Numero_SIHAM]]),FALSE),"")</f>
        <v/>
      </c>
      <c r="G198" s="242" t="str">
        <f>IFERROR(VLOOKUP(T_BilanSocial2[[#This Row],[Zone_Bilan]],T_P_BilanSocial[#Data],COLUMN(T_P_BilanSocial[[#This Row],[Sexe]]),FALSE),"")</f>
        <v/>
      </c>
      <c r="H198" s="243" t="str">
        <f>IFERROR(VLOOKUP(T_BilanSocial2[[#This Row],[Zone_Bilan]],T_P_BilanSocial[#Data],COLUMN(T_P_BilanSocial[[#This Row],[Categorie]]),FALSE),"")</f>
        <v/>
      </c>
      <c r="I198" s="242" t="str">
        <f>IFERROR(VLOOKUP(T_BilanSocial2[[#This Row],[Zone_Bilan]],T_P_BilanSocial[#Data],COLUMN(T_P_BilanSocial[[#This Row],[Statut]]),FALSE),"")</f>
        <v/>
      </c>
      <c r="J198" s="242" t="str">
        <f>IFERROR(VLOOKUP(T_BilanSocial2[[#This Row],[Zone_Bilan]],T_P_BilanSocial[#Data],COLUMN(T_P_BilanSocial[[#This Row],[Filiere]]),FALSE),"")</f>
        <v/>
      </c>
      <c r="K198" s="78">
        <v>1</v>
      </c>
      <c r="L198" s="213">
        <v>1.5451388888888891</v>
      </c>
      <c r="M198" s="78" t="s">
        <v>210</v>
      </c>
      <c r="N198" s="79" t="str">
        <f>IF((AND(T_BilanSocial2[[#This Row],[Nom]]&lt;&gt;"",T_BilanSocial2[[#This Row],[Reg Ponct]]="R")),(COUNTIF(S198:AX198,"S")+COUNTIF(S198:AX198,"T"))/2,"")</f>
        <v/>
      </c>
      <c r="O198" s="79" t="str">
        <f>IF((AND(T_BilanSocial2[[#This Row],[Nom]]&lt;&gt;"",T_BilanSocial2[[#This Row],[Reg Ponct]]="R")),COUNTIF(S198:AX198,"S")/2,"")</f>
        <v/>
      </c>
      <c r="P198" s="80" t="str">
        <f>IF((AND(T_BilanSocial2[[#This Row],[Nom]]&lt;&gt;"",T_BilanSocial2[[#This Row],[Reg Ponct]]="R")),COUNTIF(S198:AX198,"t")/2,"")</f>
        <v/>
      </c>
      <c r="Q198" s="81" t="str">
        <f t="shared" si="26"/>
        <v/>
      </c>
      <c r="R198" s="82" t="str">
        <f>IF((AND(T_BilanSocial2[[#This Row],[Nom]]&lt;&gt;"",T_BilanSocial2[[#This Row],[Reg Ponct]]="R")),IF(S198="T",U198-T198,0)+IF(V198="T",X198-W198,0)+IF(Z198="T",AB198-AA198,0)+IF(AC198="T",AE198-AD198,0)+IF(AG198="T",AI198-AH198,0)+IF(AJ198="T",AL198-AK198,0)+IF(AN198="T",AP198-AO198,0)+IF(AQ198="T",AS198-AR198,0)+IF(AU198="T",AW198-AV198,0)+IF(AX198="T",AZ198-AY198,0),"")</f>
        <v/>
      </c>
      <c r="S198" s="36" t="s">
        <v>306</v>
      </c>
      <c r="T198" s="37">
        <v>0.33333333333333331</v>
      </c>
      <c r="U198" s="37">
        <v>0.5</v>
      </c>
      <c r="V198" s="21" t="s">
        <v>306</v>
      </c>
      <c r="W198" s="37">
        <v>0.55902777777777779</v>
      </c>
      <c r="X198" s="37">
        <v>0.70138888888888884</v>
      </c>
      <c r="Y198" s="38" t="str">
        <f t="shared" si="27"/>
        <v/>
      </c>
      <c r="Z198" s="36" t="s">
        <v>306</v>
      </c>
      <c r="AA198" s="37">
        <v>0.33333333333333331</v>
      </c>
      <c r="AB198" s="37">
        <v>0.5</v>
      </c>
      <c r="AC198" s="21" t="s">
        <v>306</v>
      </c>
      <c r="AD198" s="37">
        <v>0.55902777777777779</v>
      </c>
      <c r="AE198" s="37">
        <v>0.70138888888888884</v>
      </c>
      <c r="AF198" s="38" t="str">
        <f t="shared" si="28"/>
        <v/>
      </c>
      <c r="AG198" s="36" t="s">
        <v>306</v>
      </c>
      <c r="AH198" s="37">
        <v>0.33333333333333331</v>
      </c>
      <c r="AI198" s="37">
        <v>0.5</v>
      </c>
      <c r="AJ198" s="21" t="s">
        <v>306</v>
      </c>
      <c r="AK198" s="37">
        <v>0.55902777777777779</v>
      </c>
      <c r="AL198" s="37">
        <v>0.70138888888888884</v>
      </c>
      <c r="AM198" s="38" t="str">
        <f t="shared" si="29"/>
        <v/>
      </c>
      <c r="AN198" s="36" t="s">
        <v>307</v>
      </c>
      <c r="AO198" s="37">
        <v>0.33333333333333331</v>
      </c>
      <c r="AP198" s="37">
        <v>0.5</v>
      </c>
      <c r="AQ198" s="21" t="s">
        <v>307</v>
      </c>
      <c r="AR198" s="37">
        <v>0.55902777777777779</v>
      </c>
      <c r="AS198" s="37">
        <v>0.70138888888888884</v>
      </c>
      <c r="AT198" s="38" t="str">
        <f t="shared" si="30"/>
        <v/>
      </c>
      <c r="AU198" s="36" t="s">
        <v>306</v>
      </c>
      <c r="AV198" s="37">
        <v>0.33333333333333331</v>
      </c>
      <c r="AW198" s="37">
        <v>0.5</v>
      </c>
      <c r="AX198" s="21" t="s">
        <v>306</v>
      </c>
      <c r="AY198" s="37">
        <v>0.55902777777777779</v>
      </c>
      <c r="AZ198" s="37">
        <v>0.70138888888888884</v>
      </c>
      <c r="BA198" s="39" t="str">
        <f t="shared" si="31"/>
        <v/>
      </c>
      <c r="BB198" s="46" t="s">
        <v>1013</v>
      </c>
      <c r="BC198" s="31" t="s">
        <v>1014</v>
      </c>
      <c r="BD198" s="16" t="s">
        <v>311</v>
      </c>
      <c r="BE198" s="16" t="s">
        <v>311</v>
      </c>
      <c r="BF198" s="244" t="str">
        <f>T_BilanSocial2[[#This Row],[Nom]]&amp;T_BilanSocial2[[#This Row],[Prénom]]</f>
        <v/>
      </c>
    </row>
    <row r="199" spans="1:58" ht="21.75" hidden="1" customHeight="1" x14ac:dyDescent="0.25">
      <c r="A199" s="90">
        <v>225</v>
      </c>
      <c r="B199" s="126" t="s">
        <v>311</v>
      </c>
      <c r="C199" s="126" t="str">
        <f>VLOOKUP(T_BilanSocial2[[#This Row],[NumL]],T_Commission[#Data],COLUMN(T_Commission[FINAL]),FALSE)</f>
        <v/>
      </c>
      <c r="D199" s="19" t="str">
        <f t="shared" si="24"/>
        <v/>
      </c>
      <c r="E199" s="19" t="str">
        <f t="shared" si="25"/>
        <v/>
      </c>
      <c r="F199" s="242" t="str">
        <f>IFERROR(VLOOKUP(T_BilanSocial2[[#This Row],[Zone_Bilan]],T_P_BilanSocial[#Data],COLUMN(T_P_BilanSocial[[#This Row],[Numero_SIHAM]]),FALSE),"")</f>
        <v/>
      </c>
      <c r="G199" s="242" t="str">
        <f>IFERROR(VLOOKUP(T_BilanSocial2[[#This Row],[Zone_Bilan]],T_P_BilanSocial[#Data],COLUMN(T_P_BilanSocial[[#This Row],[Sexe]]),FALSE),"")</f>
        <v/>
      </c>
      <c r="H199" s="243" t="str">
        <f>IFERROR(VLOOKUP(T_BilanSocial2[[#This Row],[Zone_Bilan]],T_P_BilanSocial[#Data],COLUMN(T_P_BilanSocial[[#This Row],[Categorie]]),FALSE),"")</f>
        <v/>
      </c>
      <c r="I199" s="242" t="str">
        <f>IFERROR(VLOOKUP(T_BilanSocial2[[#This Row],[Zone_Bilan]],T_P_BilanSocial[#Data],COLUMN(T_P_BilanSocial[[#This Row],[Statut]]),FALSE),"")</f>
        <v/>
      </c>
      <c r="J199" s="242" t="str">
        <f>IFERROR(VLOOKUP(T_BilanSocial2[[#This Row],[Zone_Bilan]],T_P_BilanSocial[#Data],COLUMN(T_P_BilanSocial[[#This Row],[Filiere]]),FALSE),"")</f>
        <v/>
      </c>
      <c r="K199" s="78">
        <v>1</v>
      </c>
      <c r="L199" s="213">
        <v>1.5451388888888891</v>
      </c>
      <c r="M199" s="78" t="s">
        <v>210</v>
      </c>
      <c r="N199" s="79" t="str">
        <f>IF((AND(T_BilanSocial2[[#This Row],[Nom]]&lt;&gt;"",T_BilanSocial2[[#This Row],[Reg Ponct]]="R")),(COUNTIF(S199:AX199,"S")+COUNTIF(S199:AX199,"T"))/2,"")</f>
        <v/>
      </c>
      <c r="O199" s="79" t="str">
        <f>IF((AND(T_BilanSocial2[[#This Row],[Nom]]&lt;&gt;"",T_BilanSocial2[[#This Row],[Reg Ponct]]="R")),COUNTIF(S199:AX199,"S")/2,"")</f>
        <v/>
      </c>
      <c r="P199" s="80" t="str">
        <f>IF((AND(T_BilanSocial2[[#This Row],[Nom]]&lt;&gt;"",T_BilanSocial2[[#This Row],[Reg Ponct]]="R")),COUNTIF(S199:AX199,"t")/2,"")</f>
        <v/>
      </c>
      <c r="Q199" s="81" t="str">
        <f t="shared" si="26"/>
        <v/>
      </c>
      <c r="R199" s="82" t="str">
        <f>IF((AND(T_BilanSocial2[[#This Row],[Nom]]&lt;&gt;"",T_BilanSocial2[[#This Row],[Reg Ponct]]="R")),IF(S199="T",U199-T199,0)+IF(V199="T",X199-W199,0)+IF(Z199="T",AB199-AA199,0)+IF(AC199="T",AE199-AD199,0)+IF(AG199="T",AI199-AH199,0)+IF(AJ199="T",AL199-AK199,0)+IF(AN199="T",AP199-AO199,0)+IF(AQ199="T",AS199-AR199,0)+IF(AU199="T",AW199-AV199,0)+IF(AX199="T",AZ199-AY199,0),"")</f>
        <v/>
      </c>
      <c r="S199" s="36" t="s">
        <v>306</v>
      </c>
      <c r="T199" s="37">
        <v>0.33333333333333331</v>
      </c>
      <c r="U199" s="37">
        <v>0.52083333333333337</v>
      </c>
      <c r="V199" s="21" t="s">
        <v>306</v>
      </c>
      <c r="W199" s="37">
        <v>0.5625</v>
      </c>
      <c r="X199" s="37">
        <v>0.71875</v>
      </c>
      <c r="Y199" s="38" t="str">
        <f t="shared" si="27"/>
        <v/>
      </c>
      <c r="Z199" s="36" t="s">
        <v>306</v>
      </c>
      <c r="AA199" s="37">
        <v>0.33333333333333331</v>
      </c>
      <c r="AB199" s="37">
        <v>0.52083333333333337</v>
      </c>
      <c r="AC199" s="21" t="s">
        <v>306</v>
      </c>
      <c r="AD199" s="37">
        <v>0.5625</v>
      </c>
      <c r="AE199" s="37">
        <v>0.71180555555555547</v>
      </c>
      <c r="AF199" s="38" t="str">
        <f t="shared" si="28"/>
        <v/>
      </c>
      <c r="AG199" s="36" t="s">
        <v>306</v>
      </c>
      <c r="AH199" s="37">
        <v>0.33333333333333331</v>
      </c>
      <c r="AI199" s="37">
        <v>0.52083333333333337</v>
      </c>
      <c r="AJ199" s="21" t="s">
        <v>306</v>
      </c>
      <c r="AK199" s="37">
        <v>0.5625</v>
      </c>
      <c r="AL199" s="37">
        <v>0.70833333333333337</v>
      </c>
      <c r="AM199" s="38" t="str">
        <f t="shared" si="29"/>
        <v/>
      </c>
      <c r="AN199" s="36" t="s">
        <v>307</v>
      </c>
      <c r="AO199" s="37">
        <v>0.33333333333333331</v>
      </c>
      <c r="AP199" s="37">
        <v>0.52083333333333337</v>
      </c>
      <c r="AQ199" s="21" t="s">
        <v>307</v>
      </c>
      <c r="AR199" s="37">
        <v>0.5625</v>
      </c>
      <c r="AS199" s="37">
        <v>0.70833333333333337</v>
      </c>
      <c r="AT199" s="38" t="str">
        <f t="shared" si="30"/>
        <v/>
      </c>
      <c r="AU199" s="36" t="s">
        <v>306</v>
      </c>
      <c r="AV199" s="37">
        <v>0.32291666666666669</v>
      </c>
      <c r="AW199" s="37">
        <v>0.52083333333333337</v>
      </c>
      <c r="AX199" s="21" t="s">
        <v>308</v>
      </c>
      <c r="AY199" s="37"/>
      <c r="AZ199" s="37"/>
      <c r="BA199" s="39" t="str">
        <f t="shared" si="31"/>
        <v/>
      </c>
      <c r="BB199" s="46" t="s">
        <v>320</v>
      </c>
      <c r="BC199" s="31" t="s">
        <v>321</v>
      </c>
      <c r="BD199" s="16" t="s">
        <v>311</v>
      </c>
      <c r="BE199" s="16" t="s">
        <v>311</v>
      </c>
      <c r="BF199" s="244" t="str">
        <f>T_BilanSocial2[[#This Row],[Nom]]&amp;T_BilanSocial2[[#This Row],[Prénom]]</f>
        <v/>
      </c>
    </row>
    <row r="200" spans="1:58" ht="21.75" hidden="1" customHeight="1" x14ac:dyDescent="0.25">
      <c r="A200" s="90">
        <v>242</v>
      </c>
      <c r="B200" s="126" t="s">
        <v>311</v>
      </c>
      <c r="C200" s="126" t="str">
        <f>VLOOKUP(T_BilanSocial2[[#This Row],[NumL]],T_Commission[#Data],COLUMN(T_Commission[FINAL]),FALSE)</f>
        <v/>
      </c>
      <c r="D200" s="19" t="str">
        <f t="shared" si="24"/>
        <v/>
      </c>
      <c r="E200" s="19" t="str">
        <f t="shared" si="25"/>
        <v/>
      </c>
      <c r="F200" s="242" t="str">
        <f>IFERROR(VLOOKUP(T_BilanSocial2[[#This Row],[Zone_Bilan]],T_P_BilanSocial[#Data],COLUMN(T_P_BilanSocial[[#This Row],[Numero_SIHAM]]),FALSE),"")</f>
        <v/>
      </c>
      <c r="G200" s="242" t="str">
        <f>IFERROR(VLOOKUP(T_BilanSocial2[[#This Row],[Zone_Bilan]],T_P_BilanSocial[#Data],COLUMN(T_P_BilanSocial[[#This Row],[Sexe]]),FALSE),"")</f>
        <v/>
      </c>
      <c r="H200" s="243" t="str">
        <f>IFERROR(VLOOKUP(T_BilanSocial2[[#This Row],[Zone_Bilan]],T_P_BilanSocial[#Data],COLUMN(T_P_BilanSocial[[#This Row],[Categorie]]),FALSE),"")</f>
        <v/>
      </c>
      <c r="I200" s="242" t="str">
        <f>IFERROR(VLOOKUP(T_BilanSocial2[[#This Row],[Zone_Bilan]],T_P_BilanSocial[#Data],COLUMN(T_P_BilanSocial[[#This Row],[Statut]]),FALSE),"")</f>
        <v/>
      </c>
      <c r="J200" s="242" t="str">
        <f>IFERROR(VLOOKUP(T_BilanSocial2[[#This Row],[Zone_Bilan]],T_P_BilanSocial[#Data],COLUMN(T_P_BilanSocial[[#This Row],[Filiere]]),FALSE),"")</f>
        <v/>
      </c>
      <c r="K200" s="78">
        <v>0.8</v>
      </c>
      <c r="L200" s="213">
        <v>1.2361111111111112</v>
      </c>
      <c r="M200" s="78" t="s">
        <v>210</v>
      </c>
      <c r="N200" s="79" t="str">
        <f>IF((AND(T_BilanSocial2[[#This Row],[Nom]]&lt;&gt;"",T_BilanSocial2[[#This Row],[Reg Ponct]]="R")),(COUNTIF(S200:AX200,"S")+COUNTIF(S200:AX200,"T"))/2,"")</f>
        <v/>
      </c>
      <c r="O200" s="79" t="str">
        <f>IF((AND(T_BilanSocial2[[#This Row],[Nom]]&lt;&gt;"",T_BilanSocial2[[#This Row],[Reg Ponct]]="R")),COUNTIF(S200:AX200,"S")/2,"")</f>
        <v/>
      </c>
      <c r="P200" s="80" t="str">
        <f>IF((AND(T_BilanSocial2[[#This Row],[Nom]]&lt;&gt;"",T_BilanSocial2[[#This Row],[Reg Ponct]]="R")),COUNTIF(S200:AX200,"t")/2,"")</f>
        <v/>
      </c>
      <c r="Q200" s="81" t="str">
        <f t="shared" si="26"/>
        <v/>
      </c>
      <c r="R200" s="82" t="str">
        <f>IF((AND(T_BilanSocial2[[#This Row],[Nom]]&lt;&gt;"",T_BilanSocial2[[#This Row],[Reg Ponct]]="R")),IF(S200="T",U200-T200,0)+IF(V200="T",X200-W200,0)+IF(Z200="T",AB200-AA200,0)+IF(AC200="T",AE200-AD200,0)+IF(AG200="T",AI200-AH200,0)+IF(AJ200="T",AL200-AK200,0)+IF(AN200="T",AP200-AO200,0)+IF(AQ200="T",AS200-AR200,0)+IF(AU200="T",AW200-AV200,0)+IF(AX200="T",AZ200-AY200,0),"")</f>
        <v/>
      </c>
      <c r="S200" s="36" t="s">
        <v>307</v>
      </c>
      <c r="T200" s="37">
        <v>0.35416666666666669</v>
      </c>
      <c r="U200" s="37">
        <v>0.52083333333333337</v>
      </c>
      <c r="V200" s="21" t="s">
        <v>307</v>
      </c>
      <c r="W200" s="37">
        <v>0.5625</v>
      </c>
      <c r="X200" s="37">
        <v>0.70486111111111116</v>
      </c>
      <c r="Y200" s="38" t="str">
        <f t="shared" si="27"/>
        <v/>
      </c>
      <c r="Z200" s="36" t="s">
        <v>306</v>
      </c>
      <c r="AA200" s="37">
        <v>0.33333333333333331</v>
      </c>
      <c r="AB200" s="37">
        <v>0.52083333333333337</v>
      </c>
      <c r="AC200" s="21" t="s">
        <v>306</v>
      </c>
      <c r="AD200" s="37">
        <v>0.5625</v>
      </c>
      <c r="AE200" s="37">
        <v>0.68402777777777779</v>
      </c>
      <c r="AF200" s="38" t="str">
        <f t="shared" si="28"/>
        <v/>
      </c>
      <c r="AG200" s="36" t="s">
        <v>308</v>
      </c>
      <c r="AH200" s="37"/>
      <c r="AI200" s="37"/>
      <c r="AJ200" s="21" t="s">
        <v>308</v>
      </c>
      <c r="AK200" s="37"/>
      <c r="AL200" s="37"/>
      <c r="AM200" s="38" t="str">
        <f t="shared" si="29"/>
        <v/>
      </c>
      <c r="AN200" s="36" t="s">
        <v>306</v>
      </c>
      <c r="AO200" s="37">
        <v>0.33333333333333331</v>
      </c>
      <c r="AP200" s="37">
        <v>0.52083333333333337</v>
      </c>
      <c r="AQ200" s="21" t="s">
        <v>306</v>
      </c>
      <c r="AR200" s="37">
        <v>0.5625</v>
      </c>
      <c r="AS200" s="37">
        <v>0.68402777777777779</v>
      </c>
      <c r="AT200" s="38" t="str">
        <f t="shared" si="30"/>
        <v/>
      </c>
      <c r="AU200" s="36" t="s">
        <v>306</v>
      </c>
      <c r="AV200" s="37">
        <v>0.33333333333333331</v>
      </c>
      <c r="AW200" s="37">
        <v>0.52083333333333337</v>
      </c>
      <c r="AX200" s="21" t="s">
        <v>306</v>
      </c>
      <c r="AY200" s="37">
        <v>0.5625</v>
      </c>
      <c r="AZ200" s="37">
        <v>0.68402777777777779</v>
      </c>
      <c r="BA200" s="39" t="str">
        <f t="shared" si="31"/>
        <v/>
      </c>
      <c r="BB200" s="46" t="s">
        <v>1013</v>
      </c>
      <c r="BC200" s="31" t="s">
        <v>1016</v>
      </c>
      <c r="BD200" s="16" t="s">
        <v>311</v>
      </c>
      <c r="BE200" s="16" t="s">
        <v>311</v>
      </c>
      <c r="BF200" s="244" t="str">
        <f>T_BilanSocial2[[#This Row],[Nom]]&amp;T_BilanSocial2[[#This Row],[Prénom]]</f>
        <v/>
      </c>
    </row>
    <row r="201" spans="1:58" ht="21.75" customHeight="1" x14ac:dyDescent="0.25">
      <c r="A201" s="90">
        <v>236</v>
      </c>
      <c r="B201" s="126" t="s">
        <v>311</v>
      </c>
      <c r="C201" s="126" t="str">
        <f>VLOOKUP(T_BilanSocial2[[#This Row],[NumL]],T_Commission[#Data],COLUMN(T_Commission[FINAL]),FALSE)</f>
        <v/>
      </c>
      <c r="D201" s="19" t="str">
        <f t="shared" si="24"/>
        <v/>
      </c>
      <c r="E201" s="19" t="str">
        <f t="shared" si="25"/>
        <v/>
      </c>
      <c r="F201" s="242" t="str">
        <f>IFERROR(VLOOKUP(T_BilanSocial2[[#This Row],[Zone_Bilan]],T_P_BilanSocial[#Data],COLUMN(T_P_BilanSocial[[#This Row],[Numero_SIHAM]]),FALSE),"")</f>
        <v/>
      </c>
      <c r="G201" s="242" t="str">
        <f>IFERROR(VLOOKUP(T_BilanSocial2[[#This Row],[Zone_Bilan]],T_P_BilanSocial[#Data],COLUMN(T_P_BilanSocial[[#This Row],[Sexe]]),FALSE),"")</f>
        <v/>
      </c>
      <c r="H201" s="243" t="str">
        <f>IFERROR(VLOOKUP(T_BilanSocial2[[#This Row],[Zone_Bilan]],T_P_BilanSocial[#Data],COLUMN(T_P_BilanSocial[[#This Row],[Categorie]]),FALSE),"")</f>
        <v/>
      </c>
      <c r="I201" s="242" t="str">
        <f>IFERROR(VLOOKUP(T_BilanSocial2[[#This Row],[Zone_Bilan]],T_P_BilanSocial[#Data],COLUMN(T_P_BilanSocial[[#This Row],[Statut]]),FALSE),"")</f>
        <v/>
      </c>
      <c r="J201" s="242" t="str">
        <f>IFERROR(VLOOKUP(T_BilanSocial2[[#This Row],[Zone_Bilan]],T_P_BilanSocial[#Data],COLUMN(T_P_BilanSocial[[#This Row],[Filiere]]),FALSE),"")</f>
        <v/>
      </c>
      <c r="K201" s="78">
        <v>1</v>
      </c>
      <c r="L201" s="213">
        <v>1.5451388888888891</v>
      </c>
      <c r="M201" s="78" t="s">
        <v>210</v>
      </c>
      <c r="N201" s="79" t="str">
        <f>IF((AND(T_BilanSocial2[[#This Row],[Nom]]&lt;&gt;"",T_BilanSocial2[[#This Row],[Reg Ponct]]="R")),(COUNTIF(S201:AX201,"S")+COUNTIF(S201:AX201,"T"))/2,"")</f>
        <v/>
      </c>
      <c r="O201" s="79" t="str">
        <f>IF((AND(T_BilanSocial2[[#This Row],[Nom]]&lt;&gt;"",T_BilanSocial2[[#This Row],[Reg Ponct]]="R")),COUNTIF(S201:AX201,"S")/2,"")</f>
        <v/>
      </c>
      <c r="P201" s="80" t="str">
        <f>IF((AND(T_BilanSocial2[[#This Row],[Nom]]&lt;&gt;"",T_BilanSocial2[[#This Row],[Reg Ponct]]="R")),COUNTIF(S201:AX201,"t")/2,"")</f>
        <v/>
      </c>
      <c r="Q201" s="81" t="str">
        <f t="shared" si="26"/>
        <v/>
      </c>
      <c r="R201" s="82" t="str">
        <f>IF((AND(T_BilanSocial2[[#This Row],[Nom]]&lt;&gt;"",T_BilanSocial2[[#This Row],[Reg Ponct]]="R")),IF(S201="T",U201-T201,0)+IF(V201="T",X201-W201,0)+IF(Z201="T",AB201-AA201,0)+IF(AC201="T",AE201-AD201,0)+IF(AG201="T",AI201-AH201,0)+IF(AJ201="T",AL201-AK201,0)+IF(AN201="T",AP201-AO201,0)+IF(AQ201="T",AS201-AR201,0)+IF(AU201="T",AW201-AV201,0)+IF(AX201="T",AZ201-AY201,0),"")</f>
        <v/>
      </c>
      <c r="S201" s="36" t="s">
        <v>306</v>
      </c>
      <c r="T201" s="37">
        <v>0.35416666666666669</v>
      </c>
      <c r="U201" s="37">
        <v>0.52083333333333337</v>
      </c>
      <c r="V201" s="21" t="s">
        <v>306</v>
      </c>
      <c r="W201" s="37">
        <v>0.5625</v>
      </c>
      <c r="X201" s="37">
        <v>0.75</v>
      </c>
      <c r="Y201" s="38" t="str">
        <f t="shared" si="27"/>
        <v/>
      </c>
      <c r="Z201" s="36" t="s">
        <v>307</v>
      </c>
      <c r="AA201" s="37">
        <v>0.35416666666666669</v>
      </c>
      <c r="AB201" s="37">
        <v>0.52083333333333337</v>
      </c>
      <c r="AC201" s="21" t="s">
        <v>307</v>
      </c>
      <c r="AD201" s="37">
        <v>0.5625</v>
      </c>
      <c r="AE201" s="37">
        <v>0.70833333333333337</v>
      </c>
      <c r="AF201" s="38" t="str">
        <f t="shared" si="28"/>
        <v/>
      </c>
      <c r="AG201" s="36" t="s">
        <v>308</v>
      </c>
      <c r="AH201" s="37"/>
      <c r="AI201" s="37"/>
      <c r="AJ201" s="21" t="s">
        <v>306</v>
      </c>
      <c r="AK201" s="37">
        <v>0.5625</v>
      </c>
      <c r="AL201" s="37">
        <v>0.75</v>
      </c>
      <c r="AM201" s="38" t="str">
        <f t="shared" si="29"/>
        <v/>
      </c>
      <c r="AN201" s="36" t="s">
        <v>306</v>
      </c>
      <c r="AO201" s="37">
        <v>0.35416666666666669</v>
      </c>
      <c r="AP201" s="37">
        <v>0.52083333333333337</v>
      </c>
      <c r="AQ201" s="21" t="s">
        <v>306</v>
      </c>
      <c r="AR201" s="37">
        <v>0.5625</v>
      </c>
      <c r="AS201" s="37">
        <v>0.75</v>
      </c>
      <c r="AT201" s="38" t="str">
        <f t="shared" si="30"/>
        <v/>
      </c>
      <c r="AU201" s="36" t="s">
        <v>306</v>
      </c>
      <c r="AV201" s="37">
        <v>0.35416666666666669</v>
      </c>
      <c r="AW201" s="37">
        <v>0.52083333333333337</v>
      </c>
      <c r="AX201" s="21" t="s">
        <v>306</v>
      </c>
      <c r="AY201" s="37">
        <v>0.5625</v>
      </c>
      <c r="AZ201" s="37">
        <v>0.73263888888888884</v>
      </c>
      <c r="BA201" s="39" t="str">
        <f t="shared" si="31"/>
        <v/>
      </c>
      <c r="BB201" s="46" t="s">
        <v>420</v>
      </c>
      <c r="BC201" s="31" t="s">
        <v>421</v>
      </c>
      <c r="BD201" s="16" t="s">
        <v>311</v>
      </c>
      <c r="BE201" s="16" t="s">
        <v>311</v>
      </c>
      <c r="BF201" s="244" t="str">
        <f>T_BilanSocial2[[#This Row],[Nom]]&amp;T_BilanSocial2[[#This Row],[Prénom]]</f>
        <v/>
      </c>
    </row>
    <row r="202" spans="1:58" ht="21.75" hidden="1" customHeight="1" x14ac:dyDescent="0.25">
      <c r="A202" s="90">
        <v>74</v>
      </c>
      <c r="B202" s="126" t="s">
        <v>311</v>
      </c>
      <c r="C202" s="126" t="str">
        <f>VLOOKUP(T_BilanSocial2[[#This Row],[NumL]],T_Commission[#Data],COLUMN(T_Commission[FINAL]),FALSE)</f>
        <v/>
      </c>
      <c r="D202" s="19" t="str">
        <f t="shared" si="24"/>
        <v/>
      </c>
      <c r="E202" s="19" t="str">
        <f t="shared" si="25"/>
        <v/>
      </c>
      <c r="F202" s="242" t="str">
        <f>IFERROR(VLOOKUP(T_BilanSocial2[[#This Row],[Zone_Bilan]],T_P_BilanSocial[#Data],COLUMN(T_P_BilanSocial[[#This Row],[Numero_SIHAM]]),FALSE),"")</f>
        <v/>
      </c>
      <c r="G202" s="242" t="str">
        <f>IFERROR(VLOOKUP(T_BilanSocial2[[#This Row],[Zone_Bilan]],T_P_BilanSocial[#Data],COLUMN(T_P_BilanSocial[[#This Row],[Sexe]]),FALSE),"")</f>
        <v/>
      </c>
      <c r="H202" s="243" t="str">
        <f>IFERROR(VLOOKUP(T_BilanSocial2[[#This Row],[Zone_Bilan]],T_P_BilanSocial[#Data],COLUMN(T_P_BilanSocial[[#This Row],[Categorie]]),FALSE),"")</f>
        <v/>
      </c>
      <c r="I202" s="242" t="str">
        <f>IFERROR(VLOOKUP(T_BilanSocial2[[#This Row],[Zone_Bilan]],T_P_BilanSocial[#Data],COLUMN(T_P_BilanSocial[[#This Row],[Statut]]),FALSE),"")</f>
        <v/>
      </c>
      <c r="J202" s="242" t="str">
        <f>IFERROR(VLOOKUP(T_BilanSocial2[[#This Row],[Zone_Bilan]],T_P_BilanSocial[#Data],COLUMN(T_P_BilanSocial[[#This Row],[Filiere]]),FALSE),"")</f>
        <v/>
      </c>
      <c r="K202" s="78">
        <v>0.8</v>
      </c>
      <c r="L202" s="213">
        <v>1.2361111111111112</v>
      </c>
      <c r="M202" s="78" t="s">
        <v>211</v>
      </c>
      <c r="N202" s="79" t="str">
        <f>IF((AND(T_BilanSocial2[[#This Row],[Nom]]&lt;&gt;"",T_BilanSocial2[[#This Row],[Reg Ponct]]="R")),(COUNTIF(S202:AX202,"S")+COUNTIF(S202:AX202,"T"))/2,"")</f>
        <v/>
      </c>
      <c r="O202" s="79" t="str">
        <f>IF((AND(T_BilanSocial2[[#This Row],[Nom]]&lt;&gt;"",T_BilanSocial2[[#This Row],[Reg Ponct]]="R")),COUNTIF(S202:AX202,"S")/2,"")</f>
        <v/>
      </c>
      <c r="P202" s="80" t="str">
        <f>IF((AND(T_BilanSocial2[[#This Row],[Nom]]&lt;&gt;"",T_BilanSocial2[[#This Row],[Reg Ponct]]="R")),COUNTIF(S202:AX202,"t")/2,"")</f>
        <v/>
      </c>
      <c r="Q202" s="81" t="str">
        <f t="shared" si="26"/>
        <v/>
      </c>
      <c r="R202" s="82" t="str">
        <f>IF((AND(T_BilanSocial2[[#This Row],[Nom]]&lt;&gt;"",T_BilanSocial2[[#This Row],[Reg Ponct]]="R")),IF(S202="T",U202-T202,0)+IF(V202="T",X202-W202,0)+IF(Z202="T",AB202-AA202,0)+IF(AC202="T",AE202-AD202,0)+IF(AG202="T",AI202-AH202,0)+IF(AJ202="T",AL202-AK202,0)+IF(AN202="T",AP202-AO202,0)+IF(AQ202="T",AS202-AR202,0)+IF(AU202="T",AW202-AV202,0)+IF(AX202="T",AZ202-AY202,0),"")</f>
        <v/>
      </c>
      <c r="S202" s="36"/>
      <c r="T202" s="37"/>
      <c r="U202" s="37"/>
      <c r="V202" s="21"/>
      <c r="W202" s="37"/>
      <c r="X202" s="37"/>
      <c r="Y202" s="38" t="str">
        <f t="shared" si="27"/>
        <v/>
      </c>
      <c r="Z202" s="36"/>
      <c r="AA202" s="37"/>
      <c r="AB202" s="37"/>
      <c r="AC202" s="21"/>
      <c r="AD202" s="37"/>
      <c r="AE202" s="37"/>
      <c r="AF202" s="38" t="str">
        <f t="shared" si="28"/>
        <v/>
      </c>
      <c r="AG202" s="36"/>
      <c r="AH202" s="37"/>
      <c r="AI202" s="37"/>
      <c r="AJ202" s="21"/>
      <c r="AK202" s="37"/>
      <c r="AL202" s="37"/>
      <c r="AM202" s="38" t="str">
        <f t="shared" si="29"/>
        <v/>
      </c>
      <c r="AN202" s="36"/>
      <c r="AO202" s="37"/>
      <c r="AP202" s="37"/>
      <c r="AQ202" s="21"/>
      <c r="AR202" s="37"/>
      <c r="AS202" s="37"/>
      <c r="AT202" s="38" t="str">
        <f t="shared" si="30"/>
        <v/>
      </c>
      <c r="AU202" s="36"/>
      <c r="AV202" s="37"/>
      <c r="AW202" s="37"/>
      <c r="AX202" s="21"/>
      <c r="AY202" s="37"/>
      <c r="AZ202" s="37"/>
      <c r="BA202" s="39" t="str">
        <f t="shared" si="31"/>
        <v/>
      </c>
      <c r="BB202" s="46" t="s">
        <v>320</v>
      </c>
      <c r="BC202" s="31" t="s">
        <v>321</v>
      </c>
      <c r="BD202" s="16" t="s">
        <v>311</v>
      </c>
      <c r="BE202" s="16" t="s">
        <v>311</v>
      </c>
      <c r="BF202" s="244" t="str">
        <f>T_BilanSocial2[[#This Row],[Nom]]&amp;T_BilanSocial2[[#This Row],[Prénom]]</f>
        <v/>
      </c>
    </row>
    <row r="203" spans="1:58" ht="21.75" customHeight="1" x14ac:dyDescent="0.25">
      <c r="A203" s="90">
        <v>256</v>
      </c>
      <c r="B203" s="126" t="s">
        <v>210</v>
      </c>
      <c r="C203" s="126" t="str">
        <f>VLOOKUP(T_BilanSocial2[[#This Row],[NumL]],T_Commission[#Data],COLUMN(T_Commission[FINAL]),FALSE)</f>
        <v/>
      </c>
      <c r="D203" s="19" t="str">
        <f t="shared" si="24"/>
        <v/>
      </c>
      <c r="E203" s="19" t="str">
        <f t="shared" si="25"/>
        <v/>
      </c>
      <c r="F203" s="242" t="str">
        <f>IFERROR(VLOOKUP(T_BilanSocial2[[#This Row],[Zone_Bilan]],T_P_BilanSocial[#Data],COLUMN(T_P_BilanSocial[[#This Row],[Numero_SIHAM]]),FALSE),"")</f>
        <v/>
      </c>
      <c r="G203" s="242" t="str">
        <f>IFERROR(VLOOKUP(T_BilanSocial2[[#This Row],[Zone_Bilan]],T_P_BilanSocial[#Data],COLUMN(T_P_BilanSocial[[#This Row],[Sexe]]),FALSE),"")</f>
        <v/>
      </c>
      <c r="H203" s="243" t="str">
        <f>IFERROR(VLOOKUP(T_BilanSocial2[[#This Row],[Zone_Bilan]],T_P_BilanSocial[#Data],COLUMN(T_P_BilanSocial[[#This Row],[Categorie]]),FALSE),"")</f>
        <v/>
      </c>
      <c r="I203" s="242" t="str">
        <f>IFERROR(VLOOKUP(T_BilanSocial2[[#This Row],[Zone_Bilan]],T_P_BilanSocial[#Data],COLUMN(T_P_BilanSocial[[#This Row],[Statut]]),FALSE),"")</f>
        <v/>
      </c>
      <c r="J203" s="242" t="str">
        <f>IFERROR(VLOOKUP(T_BilanSocial2[[#This Row],[Zone_Bilan]],T_P_BilanSocial[#Data],COLUMN(T_P_BilanSocial[[#This Row],[Filiere]]),FALSE),"")</f>
        <v/>
      </c>
      <c r="K203" s="78">
        <v>1</v>
      </c>
      <c r="L203" s="213">
        <v>1.5451388888888891</v>
      </c>
      <c r="M203" s="78" t="s">
        <v>210</v>
      </c>
      <c r="N203" s="79" t="str">
        <f>IF((AND(T_BilanSocial2[[#This Row],[Nom]]&lt;&gt;"",T_BilanSocial2[[#This Row],[Reg Ponct]]="R")),(COUNTIF(S203:AX203,"S")+COUNTIF(S203:AX203,"T"))/2,"")</f>
        <v/>
      </c>
      <c r="O203" s="79" t="str">
        <f>IF((AND(T_BilanSocial2[[#This Row],[Nom]]&lt;&gt;"",T_BilanSocial2[[#This Row],[Reg Ponct]]="R")),COUNTIF(S203:AX203,"S")/2,"")</f>
        <v/>
      </c>
      <c r="P203" s="80" t="str">
        <f>IF((AND(T_BilanSocial2[[#This Row],[Nom]]&lt;&gt;"",T_BilanSocial2[[#This Row],[Reg Ponct]]="R")),COUNTIF(S203:AX203,"t")/2,"")</f>
        <v/>
      </c>
      <c r="Q203" s="81" t="str">
        <f t="shared" si="26"/>
        <v/>
      </c>
      <c r="R203" s="82" t="str">
        <f>IF((AND(T_BilanSocial2[[#This Row],[Nom]]&lt;&gt;"",T_BilanSocial2[[#This Row],[Reg Ponct]]="R")),IF(S203="T",U203-T203,0)+IF(V203="T",X203-W203,0)+IF(Z203="T",AB203-AA203,0)+IF(AC203="T",AE203-AD203,0)+IF(AG203="T",AI203-AH203,0)+IF(AJ203="T",AL203-AK203,0)+IF(AN203="T",AP203-AO203,0)+IF(AQ203="T",AS203-AR203,0)+IF(AU203="T",AW203-AV203,0)+IF(AX203="T",AZ203-AY203,0),"")</f>
        <v/>
      </c>
      <c r="S203" s="36" t="s">
        <v>306</v>
      </c>
      <c r="T203" s="37">
        <v>0.375</v>
      </c>
      <c r="U203" s="37">
        <v>0.5</v>
      </c>
      <c r="V203" s="21" t="s">
        <v>306</v>
      </c>
      <c r="W203" s="37">
        <v>0.54166666666666663</v>
      </c>
      <c r="X203" s="37">
        <v>0.71875</v>
      </c>
      <c r="Y203" s="38" t="str">
        <f t="shared" si="27"/>
        <v/>
      </c>
      <c r="Z203" s="36" t="s">
        <v>306</v>
      </c>
      <c r="AA203" s="37">
        <v>0.34375</v>
      </c>
      <c r="AB203" s="37">
        <v>0.5</v>
      </c>
      <c r="AC203" s="21" t="s">
        <v>306</v>
      </c>
      <c r="AD203" s="37">
        <v>0.54166666666666663</v>
      </c>
      <c r="AE203" s="37">
        <v>0.69444444444444453</v>
      </c>
      <c r="AF203" s="38" t="str">
        <f t="shared" si="28"/>
        <v/>
      </c>
      <c r="AG203" s="36" t="s">
        <v>307</v>
      </c>
      <c r="AH203" s="37">
        <v>0.35416666666666669</v>
      </c>
      <c r="AI203" s="37">
        <v>0.5</v>
      </c>
      <c r="AJ203" s="21" t="s">
        <v>307</v>
      </c>
      <c r="AK203" s="37">
        <v>0.54166666666666663</v>
      </c>
      <c r="AL203" s="37">
        <v>0.70138888888888884</v>
      </c>
      <c r="AM203" s="38" t="str">
        <f t="shared" si="29"/>
        <v/>
      </c>
      <c r="AN203" s="36" t="s">
        <v>306</v>
      </c>
      <c r="AO203" s="37">
        <v>0.375</v>
      </c>
      <c r="AP203" s="37">
        <v>0.5</v>
      </c>
      <c r="AQ203" s="21" t="s">
        <v>306</v>
      </c>
      <c r="AR203" s="37">
        <v>0.54166666666666663</v>
      </c>
      <c r="AS203" s="37">
        <v>0.71875</v>
      </c>
      <c r="AT203" s="38" t="str">
        <f t="shared" si="30"/>
        <v/>
      </c>
      <c r="AU203" s="36" t="s">
        <v>307</v>
      </c>
      <c r="AV203" s="37">
        <v>0.35416666666666669</v>
      </c>
      <c r="AW203" s="37">
        <v>0.5</v>
      </c>
      <c r="AX203" s="21" t="s">
        <v>307</v>
      </c>
      <c r="AY203" s="37">
        <v>0.54166666666666663</v>
      </c>
      <c r="AZ203" s="37">
        <v>0.72222222222222221</v>
      </c>
      <c r="BA203" s="39" t="str">
        <f t="shared" si="31"/>
        <v/>
      </c>
      <c r="BB203" s="46" t="s">
        <v>531</v>
      </c>
      <c r="BC203" s="31" t="s">
        <v>532</v>
      </c>
      <c r="BD203" s="16" t="s">
        <v>311</v>
      </c>
      <c r="BE203" s="16" t="s">
        <v>322</v>
      </c>
      <c r="BF203" s="244" t="str">
        <f>T_BilanSocial2[[#This Row],[Nom]]&amp;T_BilanSocial2[[#This Row],[Prénom]]</f>
        <v/>
      </c>
    </row>
    <row r="204" spans="1:58" ht="21.75" hidden="1" customHeight="1" x14ac:dyDescent="0.25">
      <c r="A204" s="90">
        <v>252</v>
      </c>
      <c r="B204" s="126" t="s">
        <v>311</v>
      </c>
      <c r="C204" s="126" t="e">
        <f>VLOOKUP(T_BilanSocial2[[#This Row],[NumL]],T_Commission[#Data],COLUMN(T_Commission[FINAL]),FALSE)</f>
        <v>#N/A</v>
      </c>
      <c r="D204" s="19" t="str">
        <f t="shared" si="24"/>
        <v/>
      </c>
      <c r="E204" s="19" t="str">
        <f t="shared" si="25"/>
        <v/>
      </c>
      <c r="F204" s="242" t="str">
        <f>IFERROR(VLOOKUP(T_BilanSocial2[[#This Row],[Zone_Bilan]],T_P_BilanSocial[#Data],COLUMN(T_P_BilanSocial[[#This Row],[Numero_SIHAM]]),FALSE),"")</f>
        <v/>
      </c>
      <c r="G204" s="242" t="str">
        <f>IFERROR(VLOOKUP(T_BilanSocial2[[#This Row],[Zone_Bilan]],T_P_BilanSocial[#Data],COLUMN(T_P_BilanSocial[[#This Row],[Sexe]]),FALSE),"")</f>
        <v/>
      </c>
      <c r="H204" s="243" t="str">
        <f>IFERROR(VLOOKUP(T_BilanSocial2[[#This Row],[Zone_Bilan]],T_P_BilanSocial[#Data],COLUMN(T_P_BilanSocial[[#This Row],[Categorie]]),FALSE),"")</f>
        <v/>
      </c>
      <c r="I204" s="242" t="str">
        <f>IFERROR(VLOOKUP(T_BilanSocial2[[#This Row],[Zone_Bilan]],T_P_BilanSocial[#Data],COLUMN(T_P_BilanSocial[[#This Row],[Statut]]),FALSE),"")</f>
        <v/>
      </c>
      <c r="J204" s="242" t="str">
        <f>IFERROR(VLOOKUP(T_BilanSocial2[[#This Row],[Zone_Bilan]],T_P_BilanSocial[#Data],COLUMN(T_P_BilanSocial[[#This Row],[Filiere]]),FALSE),"")</f>
        <v/>
      </c>
      <c r="K204" s="78">
        <v>1</v>
      </c>
      <c r="L204" s="213">
        <v>1.5451388888888891</v>
      </c>
      <c r="M204" s="78" t="s">
        <v>210</v>
      </c>
      <c r="N204" s="79" t="str">
        <f>IF((AND(T_BilanSocial2[[#This Row],[Nom]]&lt;&gt;"",T_BilanSocial2[[#This Row],[Reg Ponct]]="R")),(COUNTIF(S204:AX204,"S")+COUNTIF(S204:AX204,"T"))/2,"")</f>
        <v/>
      </c>
      <c r="O204" s="79" t="str">
        <f>IF((AND(T_BilanSocial2[[#This Row],[Nom]]&lt;&gt;"",T_BilanSocial2[[#This Row],[Reg Ponct]]="R")),COUNTIF(S204:AX204,"S")/2,"")</f>
        <v/>
      </c>
      <c r="P204" s="80" t="str">
        <f>IF((AND(T_BilanSocial2[[#This Row],[Nom]]&lt;&gt;"",T_BilanSocial2[[#This Row],[Reg Ponct]]="R")),COUNTIF(S204:AX204,"t")/2,"")</f>
        <v/>
      </c>
      <c r="Q204" s="81" t="str">
        <f t="shared" si="26"/>
        <v/>
      </c>
      <c r="R204" s="82" t="str">
        <f>IF((AND(T_BilanSocial2[[#This Row],[Nom]]&lt;&gt;"",T_BilanSocial2[[#This Row],[Reg Ponct]]="R")),IF(S204="T",U204-T204,0)+IF(V204="T",X204-W204,0)+IF(Z204="T",AB204-AA204,0)+IF(AC204="T",AE204-AD204,0)+IF(AG204="T",AI204-AH204,0)+IF(AJ204="T",AL204-AK204,0)+IF(AN204="T",AP204-AO204,0)+IF(AQ204="T",AS204-AR204,0)+IF(AU204="T",AW204-AV204,0)+IF(AX204="T",AZ204-AY204,0),"")</f>
        <v/>
      </c>
      <c r="S204" s="36" t="s">
        <v>306</v>
      </c>
      <c r="T204" s="37">
        <v>0.375</v>
      </c>
      <c r="U204" s="37">
        <v>0.54166666666666663</v>
      </c>
      <c r="V204" s="21" t="s">
        <v>306</v>
      </c>
      <c r="W204" s="37">
        <v>0.58333333333333337</v>
      </c>
      <c r="X204" s="37">
        <v>0.76041666666666663</v>
      </c>
      <c r="Y204" s="38" t="str">
        <f t="shared" si="27"/>
        <v/>
      </c>
      <c r="Z204" s="36" t="s">
        <v>307</v>
      </c>
      <c r="AA204" s="37">
        <v>0.375</v>
      </c>
      <c r="AB204" s="37">
        <v>0.54166666666666663</v>
      </c>
      <c r="AC204" s="21" t="s">
        <v>307</v>
      </c>
      <c r="AD204" s="37">
        <v>0.58333333333333337</v>
      </c>
      <c r="AE204" s="37">
        <v>0.76041666666666663</v>
      </c>
      <c r="AF204" s="38" t="str">
        <f t="shared" si="28"/>
        <v/>
      </c>
      <c r="AG204" s="36" t="s">
        <v>306</v>
      </c>
      <c r="AH204" s="37">
        <v>0.375</v>
      </c>
      <c r="AI204" s="37">
        <v>0.54166666666666663</v>
      </c>
      <c r="AJ204" s="21" t="s">
        <v>306</v>
      </c>
      <c r="AK204" s="37">
        <v>0.58333333333333337</v>
      </c>
      <c r="AL204" s="37">
        <v>0.76041666666666663</v>
      </c>
      <c r="AM204" s="38" t="str">
        <f t="shared" si="29"/>
        <v/>
      </c>
      <c r="AN204" s="36" t="s">
        <v>307</v>
      </c>
      <c r="AO204" s="37">
        <v>0.375</v>
      </c>
      <c r="AP204" s="37">
        <v>0.54166666666666663</v>
      </c>
      <c r="AQ204" s="21" t="s">
        <v>307</v>
      </c>
      <c r="AR204" s="37">
        <v>0.58333333333333337</v>
      </c>
      <c r="AS204" s="37">
        <v>0.76388888888888884</v>
      </c>
      <c r="AT204" s="38" t="str">
        <f t="shared" si="30"/>
        <v/>
      </c>
      <c r="AU204" s="36" t="s">
        <v>306</v>
      </c>
      <c r="AV204" s="37">
        <v>0.375</v>
      </c>
      <c r="AW204" s="37">
        <v>0.54166666666666663</v>
      </c>
      <c r="AX204" s="21" t="s">
        <v>308</v>
      </c>
      <c r="AY204" s="37"/>
      <c r="AZ204" s="37"/>
      <c r="BA204" s="39" t="str">
        <f t="shared" si="31"/>
        <v/>
      </c>
      <c r="BB204" s="46" t="s">
        <v>376</v>
      </c>
      <c r="BC204" s="31" t="s">
        <v>341</v>
      </c>
      <c r="BD204" s="16" t="s">
        <v>311</v>
      </c>
      <c r="BE204" s="16" t="s">
        <v>311</v>
      </c>
      <c r="BF204" s="244" t="str">
        <f>T_BilanSocial2[[#This Row],[Nom]]&amp;T_BilanSocial2[[#This Row],[Prénom]]</f>
        <v/>
      </c>
    </row>
    <row r="205" spans="1:58" ht="21.75" customHeight="1" x14ac:dyDescent="0.25">
      <c r="A205" s="90">
        <v>165</v>
      </c>
      <c r="B205" s="126" t="s">
        <v>210</v>
      </c>
      <c r="C205" s="126" t="str">
        <f>VLOOKUP(T_BilanSocial2[[#This Row],[NumL]],T_Commission[#Data],COLUMN(T_Commission[FINAL]),FALSE)</f>
        <v/>
      </c>
      <c r="D205" s="19" t="str">
        <f t="shared" si="24"/>
        <v/>
      </c>
      <c r="E205" s="19" t="str">
        <f t="shared" si="25"/>
        <v/>
      </c>
      <c r="F205" s="242" t="str">
        <f>IFERROR(VLOOKUP(T_BilanSocial2[[#This Row],[Zone_Bilan]],T_P_BilanSocial[#Data],COLUMN(T_P_BilanSocial[[#This Row],[Numero_SIHAM]]),FALSE),"")</f>
        <v/>
      </c>
      <c r="G205" s="242" t="str">
        <f>IFERROR(VLOOKUP(T_BilanSocial2[[#This Row],[Zone_Bilan]],T_P_BilanSocial[#Data],COLUMN(T_P_BilanSocial[[#This Row],[Sexe]]),FALSE),"")</f>
        <v/>
      </c>
      <c r="H205" s="243" t="str">
        <f>IFERROR(VLOOKUP(T_BilanSocial2[[#This Row],[Zone_Bilan]],T_P_BilanSocial[#Data],COLUMN(T_P_BilanSocial[[#This Row],[Categorie]]),FALSE),"")</f>
        <v/>
      </c>
      <c r="I205" s="242" t="str">
        <f>IFERROR(VLOOKUP(T_BilanSocial2[[#This Row],[Zone_Bilan]],T_P_BilanSocial[#Data],COLUMN(T_P_BilanSocial[[#This Row],[Statut]]),FALSE),"")</f>
        <v/>
      </c>
      <c r="J205" s="242" t="str">
        <f>IFERROR(VLOOKUP(T_BilanSocial2[[#This Row],[Zone_Bilan]],T_P_BilanSocial[#Data],COLUMN(T_P_BilanSocial[[#This Row],[Filiere]]),FALSE),"")</f>
        <v/>
      </c>
      <c r="K205" s="78">
        <v>1</v>
      </c>
      <c r="L205" s="213">
        <v>1.5451388888888891</v>
      </c>
      <c r="M205" s="78" t="s">
        <v>210</v>
      </c>
      <c r="N205" s="79" t="str">
        <f>IF((AND(T_BilanSocial2[[#This Row],[Nom]]&lt;&gt;"",T_BilanSocial2[[#This Row],[Reg Ponct]]="R")),(COUNTIF(S205:AX205,"S")+COUNTIF(S205:AX205,"T"))/2,"")</f>
        <v/>
      </c>
      <c r="O205" s="79" t="str">
        <f>IF((AND(T_BilanSocial2[[#This Row],[Nom]]&lt;&gt;"",T_BilanSocial2[[#This Row],[Reg Ponct]]="R")),COUNTIF(S205:AX205,"S")/2,"")</f>
        <v/>
      </c>
      <c r="P205" s="80" t="str">
        <f>IF((AND(T_BilanSocial2[[#This Row],[Nom]]&lt;&gt;"",T_BilanSocial2[[#This Row],[Reg Ponct]]="R")),COUNTIF(S205:AX205,"t")/2,"")</f>
        <v/>
      </c>
      <c r="Q205" s="81" t="str">
        <f t="shared" si="26"/>
        <v/>
      </c>
      <c r="R205" s="82" t="str">
        <f>IF((AND(T_BilanSocial2[[#This Row],[Nom]]&lt;&gt;"",T_BilanSocial2[[#This Row],[Reg Ponct]]="R")),IF(S205="T",U205-T205,0)+IF(V205="T",X205-W205,0)+IF(Z205="T",AB205-AA205,0)+IF(AC205="T",AE205-AD205,0)+IF(AG205="T",AI205-AH205,0)+IF(AJ205="T",AL205-AK205,0)+IF(AN205="T",AP205-AO205,0)+IF(AQ205="T",AS205-AR205,0)+IF(AU205="T",AW205-AV205,0)+IF(AX205="T",AZ205-AY205,0),"")</f>
        <v/>
      </c>
      <c r="S205" s="36" t="s">
        <v>306</v>
      </c>
      <c r="T205" s="37">
        <v>0.375</v>
      </c>
      <c r="U205" s="37">
        <v>0.5</v>
      </c>
      <c r="V205" s="21" t="s">
        <v>306</v>
      </c>
      <c r="W205" s="37">
        <v>0.54166666666666663</v>
      </c>
      <c r="X205" s="37">
        <v>0.73263888888888884</v>
      </c>
      <c r="Y205" s="38" t="str">
        <f t="shared" si="27"/>
        <v/>
      </c>
      <c r="Z205" s="36" t="s">
        <v>306</v>
      </c>
      <c r="AA205" s="37">
        <v>0.33333333333333331</v>
      </c>
      <c r="AB205" s="37">
        <v>0.5</v>
      </c>
      <c r="AC205" s="21" t="s">
        <v>306</v>
      </c>
      <c r="AD205" s="37">
        <v>0.54166666666666663</v>
      </c>
      <c r="AE205" s="37">
        <v>0.70833333333333337</v>
      </c>
      <c r="AF205" s="38" t="str">
        <f t="shared" si="28"/>
        <v/>
      </c>
      <c r="AG205" s="36" t="s">
        <v>307</v>
      </c>
      <c r="AH205" s="37">
        <v>0.33333333333333331</v>
      </c>
      <c r="AI205" s="37">
        <v>0.52083333333333337</v>
      </c>
      <c r="AJ205" s="21" t="s">
        <v>308</v>
      </c>
      <c r="AK205" s="37"/>
      <c r="AL205" s="37"/>
      <c r="AM205" s="38" t="str">
        <f t="shared" si="29"/>
        <v/>
      </c>
      <c r="AN205" s="36" t="s">
        <v>306</v>
      </c>
      <c r="AO205" s="37">
        <v>0.375</v>
      </c>
      <c r="AP205" s="37">
        <v>0.5</v>
      </c>
      <c r="AQ205" s="21" t="s">
        <v>306</v>
      </c>
      <c r="AR205" s="37">
        <v>0.54166666666666663</v>
      </c>
      <c r="AS205" s="37">
        <v>0.79166666666666663</v>
      </c>
      <c r="AT205" s="38" t="str">
        <f t="shared" si="30"/>
        <v/>
      </c>
      <c r="AU205" s="36" t="s">
        <v>306</v>
      </c>
      <c r="AV205" s="37">
        <v>0.33333333333333331</v>
      </c>
      <c r="AW205" s="37">
        <v>0.5</v>
      </c>
      <c r="AX205" s="21" t="s">
        <v>306</v>
      </c>
      <c r="AY205" s="37">
        <v>0.54166666666666663</v>
      </c>
      <c r="AZ205" s="37">
        <v>0.70833333333333337</v>
      </c>
      <c r="BA205" s="39" t="str">
        <f t="shared" si="31"/>
        <v/>
      </c>
      <c r="BB205" s="46" t="s">
        <v>398</v>
      </c>
      <c r="BC205" s="31" t="s">
        <v>399</v>
      </c>
      <c r="BD205" s="16" t="s">
        <v>311</v>
      </c>
      <c r="BE205" s="16" t="s">
        <v>311</v>
      </c>
      <c r="BF205" s="244" t="str">
        <f>T_BilanSocial2[[#This Row],[Nom]]&amp;T_BilanSocial2[[#This Row],[Prénom]]</f>
        <v/>
      </c>
    </row>
    <row r="206" spans="1:58" ht="21.75" customHeight="1" x14ac:dyDescent="0.25">
      <c r="A206" s="90">
        <v>122</v>
      </c>
      <c r="B206" s="126" t="s">
        <v>311</v>
      </c>
      <c r="C206" s="126" t="str">
        <f>VLOOKUP(T_BilanSocial2[[#This Row],[NumL]],T_Commission[#Data],COLUMN(T_Commission[FINAL]),FALSE)</f>
        <v/>
      </c>
      <c r="D206" s="19" t="str">
        <f t="shared" si="24"/>
        <v/>
      </c>
      <c r="E206" s="19" t="str">
        <f t="shared" si="25"/>
        <v/>
      </c>
      <c r="F206" s="242" t="str">
        <f>IFERROR(VLOOKUP(T_BilanSocial2[[#This Row],[Zone_Bilan]],T_P_BilanSocial[#Data],COLUMN(T_P_BilanSocial[[#This Row],[Numero_SIHAM]]),FALSE),"")</f>
        <v/>
      </c>
      <c r="G206" s="242" t="str">
        <f>IFERROR(VLOOKUP(T_BilanSocial2[[#This Row],[Zone_Bilan]],T_P_BilanSocial[#Data],COLUMN(T_P_BilanSocial[[#This Row],[Sexe]]),FALSE),"")</f>
        <v/>
      </c>
      <c r="H206" s="243" t="str">
        <f>IFERROR(VLOOKUP(T_BilanSocial2[[#This Row],[Zone_Bilan]],T_P_BilanSocial[#Data],COLUMN(T_P_BilanSocial[[#This Row],[Categorie]]),FALSE),"")</f>
        <v/>
      </c>
      <c r="I206" s="242" t="str">
        <f>IFERROR(VLOOKUP(T_BilanSocial2[[#This Row],[Zone_Bilan]],T_P_BilanSocial[#Data],COLUMN(T_P_BilanSocial[[#This Row],[Statut]]),FALSE),"")</f>
        <v/>
      </c>
      <c r="J206" s="242" t="str">
        <f>IFERROR(VLOOKUP(T_BilanSocial2[[#This Row],[Zone_Bilan]],T_P_BilanSocial[#Data],COLUMN(T_P_BilanSocial[[#This Row],[Filiere]]),FALSE),"")</f>
        <v/>
      </c>
      <c r="K206" s="78">
        <v>1</v>
      </c>
      <c r="L206" s="213">
        <v>1.5451388888888891</v>
      </c>
      <c r="M206" s="78" t="s">
        <v>210</v>
      </c>
      <c r="N206" s="79" t="str">
        <f>IF((AND(T_BilanSocial2[[#This Row],[Nom]]&lt;&gt;"",T_BilanSocial2[[#This Row],[Reg Ponct]]="R")),(COUNTIF(S206:AX206,"S")+COUNTIF(S206:AX206,"T"))/2,"")</f>
        <v/>
      </c>
      <c r="O206" s="79" t="str">
        <f>IF((AND(T_BilanSocial2[[#This Row],[Nom]]&lt;&gt;"",T_BilanSocial2[[#This Row],[Reg Ponct]]="R")),COUNTIF(S206:AX206,"S")/2,"")</f>
        <v/>
      </c>
      <c r="P206" s="80" t="str">
        <f>IF((AND(T_BilanSocial2[[#This Row],[Nom]]&lt;&gt;"",T_BilanSocial2[[#This Row],[Reg Ponct]]="R")),COUNTIF(S206:AX206,"t")/2,"")</f>
        <v/>
      </c>
      <c r="Q206" s="81" t="str">
        <f t="shared" si="26"/>
        <v/>
      </c>
      <c r="R206" s="82" t="str">
        <f>IF((AND(T_BilanSocial2[[#This Row],[Nom]]&lt;&gt;"",T_BilanSocial2[[#This Row],[Reg Ponct]]="R")),IF(S206="T",U206-T206,0)+IF(V206="T",X206-W206,0)+IF(Z206="T",AB206-AA206,0)+IF(AC206="T",AE206-AD206,0)+IF(AG206="T",AI206-AH206,0)+IF(AJ206="T",AL206-AK206,0)+IF(AN206="T",AP206-AO206,0)+IF(AQ206="T",AS206-AR206,0)+IF(AU206="T",AW206-AV206,0)+IF(AX206="T",AZ206-AY206,0),"")</f>
        <v/>
      </c>
      <c r="S206" s="36" t="s">
        <v>306</v>
      </c>
      <c r="T206" s="37">
        <v>0.3125</v>
      </c>
      <c r="U206" s="37">
        <v>0.52083333333333337</v>
      </c>
      <c r="V206" s="21" t="s">
        <v>306</v>
      </c>
      <c r="W206" s="37">
        <v>0.5625</v>
      </c>
      <c r="X206" s="37">
        <v>0.64583333333333337</v>
      </c>
      <c r="Y206" s="38" t="str">
        <f t="shared" si="27"/>
        <v/>
      </c>
      <c r="Z206" s="36" t="s">
        <v>307</v>
      </c>
      <c r="AA206" s="37">
        <v>0.3125</v>
      </c>
      <c r="AB206" s="37">
        <v>0.52083333333333337</v>
      </c>
      <c r="AC206" s="21" t="s">
        <v>307</v>
      </c>
      <c r="AD206" s="37">
        <v>0.5625</v>
      </c>
      <c r="AE206" s="37">
        <v>0.70833333333333337</v>
      </c>
      <c r="AF206" s="38" t="str">
        <f t="shared" si="28"/>
        <v/>
      </c>
      <c r="AG206" s="36" t="s">
        <v>306</v>
      </c>
      <c r="AH206" s="37">
        <v>0.3125</v>
      </c>
      <c r="AI206" s="37">
        <v>0.52083333333333337</v>
      </c>
      <c r="AJ206" s="21" t="s">
        <v>306</v>
      </c>
      <c r="AK206" s="37">
        <v>0.5625</v>
      </c>
      <c r="AL206" s="37">
        <v>0.64583333333333337</v>
      </c>
      <c r="AM206" s="38" t="str">
        <f t="shared" si="29"/>
        <v/>
      </c>
      <c r="AN206" s="36" t="s">
        <v>307</v>
      </c>
      <c r="AO206" s="37">
        <v>0.3125</v>
      </c>
      <c r="AP206" s="37">
        <v>0.52083333333333337</v>
      </c>
      <c r="AQ206" s="21" t="s">
        <v>307</v>
      </c>
      <c r="AR206" s="37">
        <v>0.5625</v>
      </c>
      <c r="AS206" s="37">
        <v>0.6875</v>
      </c>
      <c r="AT206" s="38" t="str">
        <f t="shared" si="30"/>
        <v/>
      </c>
      <c r="AU206" s="36" t="s">
        <v>306</v>
      </c>
      <c r="AV206" s="37">
        <v>0.3125</v>
      </c>
      <c r="AW206" s="37">
        <v>0.52083333333333337</v>
      </c>
      <c r="AX206" s="21" t="s">
        <v>306</v>
      </c>
      <c r="AY206" s="37">
        <v>0.5625</v>
      </c>
      <c r="AZ206" s="37">
        <v>0.62847222222222221</v>
      </c>
      <c r="BA206" s="39" t="str">
        <f t="shared" si="31"/>
        <v/>
      </c>
      <c r="BB206" s="46" t="s">
        <v>775</v>
      </c>
      <c r="BC206" s="31" t="s">
        <v>776</v>
      </c>
      <c r="BD206" s="16" t="s">
        <v>311</v>
      </c>
      <c r="BE206" s="16" t="s">
        <v>311</v>
      </c>
      <c r="BF206" s="244" t="str">
        <f>T_BilanSocial2[[#This Row],[Nom]]&amp;T_BilanSocial2[[#This Row],[Prénom]]</f>
        <v/>
      </c>
    </row>
    <row r="207" spans="1:58" ht="21.75" hidden="1" customHeight="1" x14ac:dyDescent="0.25">
      <c r="A207" s="90">
        <v>38</v>
      </c>
      <c r="B207" s="126" t="s">
        <v>311</v>
      </c>
      <c r="C207" s="126" t="str">
        <f>VLOOKUP(T_BilanSocial2[[#This Row],[NumL]],T_Commission[#Data],COLUMN(T_Commission[FINAL]),FALSE)</f>
        <v/>
      </c>
      <c r="D207" s="19" t="str">
        <f t="shared" si="24"/>
        <v/>
      </c>
      <c r="E207" s="19" t="str">
        <f t="shared" si="25"/>
        <v/>
      </c>
      <c r="F207" s="242" t="str">
        <f>IFERROR(VLOOKUP(T_BilanSocial2[[#This Row],[Zone_Bilan]],T_P_BilanSocial[#Data],COLUMN(T_P_BilanSocial[[#This Row],[Numero_SIHAM]]),FALSE),"")</f>
        <v/>
      </c>
      <c r="G207" s="242" t="str">
        <f>IFERROR(VLOOKUP(T_BilanSocial2[[#This Row],[Zone_Bilan]],T_P_BilanSocial[#Data],COLUMN(T_P_BilanSocial[[#This Row],[Sexe]]),FALSE),"")</f>
        <v/>
      </c>
      <c r="H207" s="243" t="str">
        <f>IFERROR(VLOOKUP(T_BilanSocial2[[#This Row],[Zone_Bilan]],T_P_BilanSocial[#Data],COLUMN(T_P_BilanSocial[[#This Row],[Categorie]]),FALSE),"")</f>
        <v/>
      </c>
      <c r="I207" s="242" t="str">
        <f>IFERROR(VLOOKUP(T_BilanSocial2[[#This Row],[Zone_Bilan]],T_P_BilanSocial[#Data],COLUMN(T_P_BilanSocial[[#This Row],[Statut]]),FALSE),"")</f>
        <v/>
      </c>
      <c r="J207" s="242" t="str">
        <f>IFERROR(VLOOKUP(T_BilanSocial2[[#This Row],[Zone_Bilan]],T_P_BilanSocial[#Data],COLUMN(T_P_BilanSocial[[#This Row],[Filiere]]),FALSE),"")</f>
        <v/>
      </c>
      <c r="K207" s="78">
        <v>1</v>
      </c>
      <c r="L207" s="213">
        <v>1.5451388888888891</v>
      </c>
      <c r="M207" s="78" t="s">
        <v>210</v>
      </c>
      <c r="N207" s="79" t="str">
        <f>IF((AND(T_BilanSocial2[[#This Row],[Nom]]&lt;&gt;"",T_BilanSocial2[[#This Row],[Reg Ponct]]="R")),(COUNTIF(S207:AX207,"S")+COUNTIF(S207:AX207,"T"))/2,"")</f>
        <v/>
      </c>
      <c r="O207" s="79" t="str">
        <f>IF((AND(T_BilanSocial2[[#This Row],[Nom]]&lt;&gt;"",T_BilanSocial2[[#This Row],[Reg Ponct]]="R")),COUNTIF(S207:AX207,"S")/2,"")</f>
        <v/>
      </c>
      <c r="P207" s="80" t="str">
        <f>IF((AND(T_BilanSocial2[[#This Row],[Nom]]&lt;&gt;"",T_BilanSocial2[[#This Row],[Reg Ponct]]="R")),COUNTIF(S207:AX207,"t")/2,"")</f>
        <v/>
      </c>
      <c r="Q207" s="81" t="str">
        <f t="shared" si="26"/>
        <v/>
      </c>
      <c r="R207" s="82" t="str">
        <f>IF((AND(T_BilanSocial2[[#This Row],[Nom]]&lt;&gt;"",T_BilanSocial2[[#This Row],[Reg Ponct]]="R")),IF(S207="T",U207-T207,0)+IF(V207="T",X207-W207,0)+IF(Z207="T",AB207-AA207,0)+IF(AC207="T",AE207-AD207,0)+IF(AG207="T",AI207-AH207,0)+IF(AJ207="T",AL207-AK207,0)+IF(AN207="T",AP207-AO207,0)+IF(AQ207="T",AS207-AR207,0)+IF(AU207="T",AW207-AV207,0)+IF(AX207="T",AZ207-AY207,0),"")</f>
        <v/>
      </c>
      <c r="S207" s="36" t="s">
        <v>306</v>
      </c>
      <c r="T207" s="37">
        <v>0.375</v>
      </c>
      <c r="U207" s="37">
        <v>0.52083333333333337</v>
      </c>
      <c r="V207" s="21" t="s">
        <v>306</v>
      </c>
      <c r="W207" s="37">
        <v>0.5625</v>
      </c>
      <c r="X207" s="37">
        <v>0.75</v>
      </c>
      <c r="Y207" s="38" t="str">
        <f t="shared" si="27"/>
        <v/>
      </c>
      <c r="Z207" s="36" t="s">
        <v>306</v>
      </c>
      <c r="AA207" s="37">
        <v>0.375</v>
      </c>
      <c r="AB207" s="37">
        <v>0.52083333333333337</v>
      </c>
      <c r="AC207" s="21" t="s">
        <v>306</v>
      </c>
      <c r="AD207" s="37">
        <v>0.5625</v>
      </c>
      <c r="AE207" s="37">
        <v>0.71180555555555547</v>
      </c>
      <c r="AF207" s="38" t="str">
        <f t="shared" si="28"/>
        <v/>
      </c>
      <c r="AG207" s="36" t="s">
        <v>306</v>
      </c>
      <c r="AH207" s="37">
        <v>0.375</v>
      </c>
      <c r="AI207" s="37">
        <v>0.52083333333333337</v>
      </c>
      <c r="AJ207" s="21" t="s">
        <v>306</v>
      </c>
      <c r="AK207" s="37">
        <v>0.5625</v>
      </c>
      <c r="AL207" s="37">
        <v>0.72916666666666663</v>
      </c>
      <c r="AM207" s="38" t="str">
        <f t="shared" si="29"/>
        <v/>
      </c>
      <c r="AN207" s="36" t="s">
        <v>306</v>
      </c>
      <c r="AO207" s="37">
        <v>0.375</v>
      </c>
      <c r="AP207" s="37">
        <v>0.52083333333333337</v>
      </c>
      <c r="AQ207" s="21" t="s">
        <v>306</v>
      </c>
      <c r="AR207" s="37">
        <v>0.5625</v>
      </c>
      <c r="AS207" s="37">
        <v>0.72916666666666663</v>
      </c>
      <c r="AT207" s="38" t="str">
        <f t="shared" si="30"/>
        <v/>
      </c>
      <c r="AU207" s="36" t="s">
        <v>307</v>
      </c>
      <c r="AV207" s="37">
        <v>0.375</v>
      </c>
      <c r="AW207" s="37">
        <v>0.52083333333333337</v>
      </c>
      <c r="AX207" s="21" t="s">
        <v>307</v>
      </c>
      <c r="AY207" s="37">
        <v>0.5625</v>
      </c>
      <c r="AZ207" s="37">
        <v>0.70833333333333337</v>
      </c>
      <c r="BA207" s="39" t="str">
        <f t="shared" si="31"/>
        <v/>
      </c>
      <c r="BB207" s="46" t="s">
        <v>329</v>
      </c>
      <c r="BC207" s="31" t="s">
        <v>501</v>
      </c>
      <c r="BD207" s="16" t="s">
        <v>311</v>
      </c>
      <c r="BE207" s="16" t="s">
        <v>311</v>
      </c>
      <c r="BF207" s="244" t="str">
        <f>T_BilanSocial2[[#This Row],[Nom]]&amp;T_BilanSocial2[[#This Row],[Prénom]]</f>
        <v/>
      </c>
    </row>
    <row r="208" spans="1:58" ht="21.75" hidden="1" customHeight="1" x14ac:dyDescent="0.25">
      <c r="A208" s="90">
        <v>26</v>
      </c>
      <c r="B208" s="126" t="s">
        <v>210</v>
      </c>
      <c r="C208" s="126" t="e">
        <f>VLOOKUP(T_BilanSocial2[[#This Row],[NumL]],T_Commission[#Data],COLUMN(T_Commission[FINAL]),FALSE)</f>
        <v>#N/A</v>
      </c>
      <c r="D208" s="19" t="str">
        <f t="shared" si="24"/>
        <v/>
      </c>
      <c r="E208" s="19" t="str">
        <f t="shared" si="25"/>
        <v/>
      </c>
      <c r="F208" s="242" t="str">
        <f>IFERROR(VLOOKUP(T_BilanSocial2[[#This Row],[Zone_Bilan]],T_P_BilanSocial[#Data],COLUMN(T_P_BilanSocial[[#This Row],[Numero_SIHAM]]),FALSE),"")</f>
        <v/>
      </c>
      <c r="G208" s="242" t="str">
        <f>IFERROR(VLOOKUP(T_BilanSocial2[[#This Row],[Zone_Bilan]],T_P_BilanSocial[#Data],COLUMN(T_P_BilanSocial[[#This Row],[Sexe]]),FALSE),"")</f>
        <v/>
      </c>
      <c r="H208" s="243" t="str">
        <f>IFERROR(VLOOKUP(T_BilanSocial2[[#This Row],[Zone_Bilan]],T_P_BilanSocial[#Data],COLUMN(T_P_BilanSocial[[#This Row],[Categorie]]),FALSE),"")</f>
        <v/>
      </c>
      <c r="I208" s="242" t="str">
        <f>IFERROR(VLOOKUP(T_BilanSocial2[[#This Row],[Zone_Bilan]],T_P_BilanSocial[#Data],COLUMN(T_P_BilanSocial[[#This Row],[Statut]]),FALSE),"")</f>
        <v/>
      </c>
      <c r="J208" s="242" t="str">
        <f>IFERROR(VLOOKUP(T_BilanSocial2[[#This Row],[Zone_Bilan]],T_P_BilanSocial[#Data],COLUMN(T_P_BilanSocial[[#This Row],[Filiere]]),FALSE),"")</f>
        <v/>
      </c>
      <c r="K208" s="78">
        <v>1</v>
      </c>
      <c r="L208" s="213">
        <v>1.5451388888888891</v>
      </c>
      <c r="M208" s="78" t="s">
        <v>210</v>
      </c>
      <c r="N208" s="79" t="str">
        <f>IF((AND(T_BilanSocial2[[#This Row],[Nom]]&lt;&gt;"",T_BilanSocial2[[#This Row],[Reg Ponct]]="R")),(COUNTIF(S208:AX208,"S")+COUNTIF(S208:AX208,"T"))/2,"")</f>
        <v/>
      </c>
      <c r="O208" s="79" t="str">
        <f>IF((AND(T_BilanSocial2[[#This Row],[Nom]]&lt;&gt;"",T_BilanSocial2[[#This Row],[Reg Ponct]]="R")),COUNTIF(S208:AX208,"S")/2,"")</f>
        <v/>
      </c>
      <c r="P208" s="80" t="str">
        <f>IF((AND(T_BilanSocial2[[#This Row],[Nom]]&lt;&gt;"",T_BilanSocial2[[#This Row],[Reg Ponct]]="R")),COUNTIF(S208:AX208,"t")/2,"")</f>
        <v/>
      </c>
      <c r="Q208" s="81" t="str">
        <f t="shared" si="26"/>
        <v/>
      </c>
      <c r="R208" s="82" t="str">
        <f>IF((AND(T_BilanSocial2[[#This Row],[Nom]]&lt;&gt;"",T_BilanSocial2[[#This Row],[Reg Ponct]]="R")),IF(S208="T",U208-T208,0)+IF(V208="T",X208-W208,0)+IF(Z208="T",AB208-AA208,0)+IF(AC208="T",AE208-AD208,0)+IF(AG208="T",AI208-AH208,0)+IF(AJ208="T",AL208-AK208,0)+IF(AN208="T",AP208-AO208,0)+IF(AQ208="T",AS208-AR208,0)+IF(AU208="T",AW208-AV208,0)+IF(AX208="T",AZ208-AY208,0),"")</f>
        <v/>
      </c>
      <c r="S208" s="36" t="s">
        <v>306</v>
      </c>
      <c r="T208" s="37">
        <v>0.375</v>
      </c>
      <c r="U208" s="37">
        <v>0.52083333333333337</v>
      </c>
      <c r="V208" s="21" t="s">
        <v>306</v>
      </c>
      <c r="W208" s="37">
        <v>0.5625</v>
      </c>
      <c r="X208" s="37">
        <v>0.72916666666666663</v>
      </c>
      <c r="Y208" s="38" t="str">
        <f t="shared" si="27"/>
        <v/>
      </c>
      <c r="Z208" s="36" t="s">
        <v>307</v>
      </c>
      <c r="AA208" s="37">
        <v>0.375</v>
      </c>
      <c r="AB208" s="37">
        <v>0.52083333333333337</v>
      </c>
      <c r="AC208" s="21" t="s">
        <v>307</v>
      </c>
      <c r="AD208" s="37">
        <v>0.5625</v>
      </c>
      <c r="AE208" s="37">
        <v>0.71180555555555547</v>
      </c>
      <c r="AF208" s="38" t="str">
        <f t="shared" si="28"/>
        <v/>
      </c>
      <c r="AG208" s="36" t="s">
        <v>306</v>
      </c>
      <c r="AH208" s="37">
        <v>0.375</v>
      </c>
      <c r="AI208" s="37">
        <v>0.52083333333333337</v>
      </c>
      <c r="AJ208" s="21" t="s">
        <v>306</v>
      </c>
      <c r="AK208" s="37">
        <v>0.5625</v>
      </c>
      <c r="AL208" s="37">
        <v>0.72916666666666663</v>
      </c>
      <c r="AM208" s="38" t="str">
        <f t="shared" si="29"/>
        <v/>
      </c>
      <c r="AN208" s="36" t="s">
        <v>307</v>
      </c>
      <c r="AO208" s="37">
        <v>0.375</v>
      </c>
      <c r="AP208" s="37">
        <v>0.52083333333333337</v>
      </c>
      <c r="AQ208" s="21" t="s">
        <v>307</v>
      </c>
      <c r="AR208" s="37">
        <v>0.5625</v>
      </c>
      <c r="AS208" s="37">
        <v>0.72916666666666663</v>
      </c>
      <c r="AT208" s="38" t="str">
        <f t="shared" si="30"/>
        <v/>
      </c>
      <c r="AU208" s="36" t="s">
        <v>306</v>
      </c>
      <c r="AV208" s="37">
        <v>0.375</v>
      </c>
      <c r="AW208" s="37">
        <v>0.52083333333333337</v>
      </c>
      <c r="AX208" s="21" t="s">
        <v>306</v>
      </c>
      <c r="AY208" s="37">
        <v>0.5625</v>
      </c>
      <c r="AZ208" s="37">
        <v>0.72916666666666663</v>
      </c>
      <c r="BA208" s="39" t="str">
        <f t="shared" si="31"/>
        <v/>
      </c>
      <c r="BB208" s="46" t="s">
        <v>329</v>
      </c>
      <c r="BC208" s="31" t="s">
        <v>330</v>
      </c>
      <c r="BD208" s="16" t="s">
        <v>322</v>
      </c>
      <c r="BE208" s="16" t="s">
        <v>322</v>
      </c>
      <c r="BF208" s="244" t="str">
        <f>T_BilanSocial2[[#This Row],[Nom]]&amp;T_BilanSocial2[[#This Row],[Prénom]]</f>
        <v/>
      </c>
    </row>
    <row r="209" spans="1:58" ht="21.75" hidden="1" customHeight="1" x14ac:dyDescent="0.25">
      <c r="A209" s="90">
        <v>5</v>
      </c>
      <c r="B209" s="126" t="s">
        <v>210</v>
      </c>
      <c r="C209" s="126" t="e">
        <f>VLOOKUP(T_BilanSocial2[[#This Row],[NumL]],T_Commission[#Data],COLUMN(T_Commission[FINAL]),FALSE)</f>
        <v>#N/A</v>
      </c>
      <c r="D209" s="19" t="str">
        <f t="shared" si="24"/>
        <v/>
      </c>
      <c r="E209" s="19" t="str">
        <f t="shared" si="25"/>
        <v/>
      </c>
      <c r="F209" s="242" t="str">
        <f>IFERROR(VLOOKUP(T_BilanSocial2[[#This Row],[Zone_Bilan]],T_P_BilanSocial[#Data],COLUMN(T_P_BilanSocial[[#This Row],[Numero_SIHAM]]),FALSE),"")</f>
        <v/>
      </c>
      <c r="G209" s="242" t="str">
        <f>IFERROR(VLOOKUP(T_BilanSocial2[[#This Row],[Zone_Bilan]],T_P_BilanSocial[#Data],COLUMN(T_P_BilanSocial[[#This Row],[Sexe]]),FALSE),"")</f>
        <v/>
      </c>
      <c r="H209" s="243" t="str">
        <f>IFERROR(VLOOKUP(T_BilanSocial2[[#This Row],[Zone_Bilan]],T_P_BilanSocial[#Data],COLUMN(T_P_BilanSocial[[#This Row],[Categorie]]),FALSE),"")</f>
        <v/>
      </c>
      <c r="I209" s="242" t="str">
        <f>IFERROR(VLOOKUP(T_BilanSocial2[[#This Row],[Zone_Bilan]],T_P_BilanSocial[#Data],COLUMN(T_P_BilanSocial[[#This Row],[Statut]]),FALSE),"")</f>
        <v/>
      </c>
      <c r="J209" s="242" t="str">
        <f>IFERROR(VLOOKUP(T_BilanSocial2[[#This Row],[Zone_Bilan]],T_P_BilanSocial[#Data],COLUMN(T_P_BilanSocial[[#This Row],[Filiere]]),FALSE),"")</f>
        <v/>
      </c>
      <c r="K209" s="78">
        <v>1</v>
      </c>
      <c r="L209" s="213">
        <v>1.5451388888888891</v>
      </c>
      <c r="M209" s="78" t="s">
        <v>210</v>
      </c>
      <c r="N209" s="79" t="str">
        <f>IF((AND(T_BilanSocial2[[#This Row],[Nom]]&lt;&gt;"",T_BilanSocial2[[#This Row],[Reg Ponct]]="R")),(COUNTIF(S209:AX209,"S")+COUNTIF(S209:AX209,"T"))/2,"")</f>
        <v/>
      </c>
      <c r="O209" s="79" t="str">
        <f>IF((AND(T_BilanSocial2[[#This Row],[Nom]]&lt;&gt;"",T_BilanSocial2[[#This Row],[Reg Ponct]]="R")),COUNTIF(S209:AX209,"S")/2,"")</f>
        <v/>
      </c>
      <c r="P209" s="80" t="str">
        <f>IF((AND(T_BilanSocial2[[#This Row],[Nom]]&lt;&gt;"",T_BilanSocial2[[#This Row],[Reg Ponct]]="R")),COUNTIF(S209:AX209,"t")/2,"")</f>
        <v/>
      </c>
      <c r="Q209" s="81" t="str">
        <f t="shared" si="26"/>
        <v/>
      </c>
      <c r="R209" s="82" t="str">
        <f>IF((AND(T_BilanSocial2[[#This Row],[Nom]]&lt;&gt;"",T_BilanSocial2[[#This Row],[Reg Ponct]]="R")),IF(S209="T",U209-T209,0)+IF(V209="T",X209-W209,0)+IF(Z209="T",AB209-AA209,0)+IF(AC209="T",AE209-AD209,0)+IF(AG209="T",AI209-AH209,0)+IF(AJ209="T",AL209-AK209,0)+IF(AN209="T",AP209-AO209,0)+IF(AQ209="T",AS209-AR209,0)+IF(AU209="T",AW209-AV209,0)+IF(AX209="T",AZ209-AY209,0),"")</f>
        <v/>
      </c>
      <c r="S209" s="36" t="s">
        <v>306</v>
      </c>
      <c r="T209" s="37">
        <v>0.33333333333333331</v>
      </c>
      <c r="U209" s="37">
        <v>0.51041666666666663</v>
      </c>
      <c r="V209" s="21" t="s">
        <v>306</v>
      </c>
      <c r="W209" s="37">
        <v>0.55208333333333337</v>
      </c>
      <c r="X209" s="37">
        <v>0.71875</v>
      </c>
      <c r="Y209" s="38" t="str">
        <f t="shared" si="27"/>
        <v/>
      </c>
      <c r="Z209" s="36" t="s">
        <v>306</v>
      </c>
      <c r="AA209" s="37">
        <v>0.33333333333333331</v>
      </c>
      <c r="AB209" s="37">
        <v>0.51041666666666663</v>
      </c>
      <c r="AC209" s="21" t="s">
        <v>306</v>
      </c>
      <c r="AD209" s="37">
        <v>0.55208333333333337</v>
      </c>
      <c r="AE209" s="37">
        <v>0.71875</v>
      </c>
      <c r="AF209" s="38" t="str">
        <f t="shared" si="28"/>
        <v/>
      </c>
      <c r="AG209" s="36" t="s">
        <v>306</v>
      </c>
      <c r="AH209" s="37">
        <v>0.33333333333333331</v>
      </c>
      <c r="AI209" s="37">
        <v>0.51041666666666663</v>
      </c>
      <c r="AJ209" s="21" t="s">
        <v>306</v>
      </c>
      <c r="AK209" s="37">
        <v>0.55208333333333337</v>
      </c>
      <c r="AL209" s="37">
        <v>0.71875</v>
      </c>
      <c r="AM209" s="38" t="str">
        <f t="shared" si="29"/>
        <v/>
      </c>
      <c r="AN209" s="36" t="s">
        <v>307</v>
      </c>
      <c r="AO209" s="37">
        <v>0.33333333333333331</v>
      </c>
      <c r="AP209" s="37">
        <v>0.50347222222222221</v>
      </c>
      <c r="AQ209" s="21" t="s">
        <v>308</v>
      </c>
      <c r="AR209" s="37"/>
      <c r="AS209" s="37"/>
      <c r="AT209" s="38" t="str">
        <f t="shared" si="30"/>
        <v/>
      </c>
      <c r="AU209" s="36" t="s">
        <v>307</v>
      </c>
      <c r="AV209" s="37">
        <v>0.33333333333333331</v>
      </c>
      <c r="AW209" s="37">
        <v>0.51041666666666663</v>
      </c>
      <c r="AX209" s="21" t="s">
        <v>307</v>
      </c>
      <c r="AY209" s="37">
        <v>0.55208333333333337</v>
      </c>
      <c r="AZ209" s="37">
        <v>0.71875</v>
      </c>
      <c r="BA209" s="39" t="str">
        <f t="shared" si="31"/>
        <v/>
      </c>
      <c r="BB209" s="46" t="s">
        <v>320</v>
      </c>
      <c r="BC209" s="31" t="s">
        <v>321</v>
      </c>
      <c r="BD209" s="16" t="s">
        <v>322</v>
      </c>
      <c r="BE209" s="16" t="s">
        <v>322</v>
      </c>
      <c r="BF209" s="244" t="str">
        <f>T_BilanSocial2[[#This Row],[Nom]]&amp;T_BilanSocial2[[#This Row],[Prénom]]</f>
        <v/>
      </c>
    </row>
    <row r="210" spans="1:58" ht="21.75" hidden="1" customHeight="1" x14ac:dyDescent="0.25">
      <c r="A210" s="90">
        <v>110</v>
      </c>
      <c r="B210" s="126" t="s">
        <v>311</v>
      </c>
      <c r="C210" s="126" t="str">
        <f>VLOOKUP(T_BilanSocial2[[#This Row],[NumL]],T_Commission[#Data],COLUMN(T_Commission[FINAL]),FALSE)</f>
        <v/>
      </c>
      <c r="D210" s="19" t="str">
        <f t="shared" si="24"/>
        <v/>
      </c>
      <c r="E210" s="19" t="str">
        <f t="shared" si="25"/>
        <v/>
      </c>
      <c r="F210" s="242" t="str">
        <f>IFERROR(VLOOKUP(T_BilanSocial2[[#This Row],[Zone_Bilan]],T_P_BilanSocial[#Data],COLUMN(T_P_BilanSocial[[#This Row],[Numero_SIHAM]]),FALSE),"")</f>
        <v/>
      </c>
      <c r="G210" s="242" t="str">
        <f>IFERROR(VLOOKUP(T_BilanSocial2[[#This Row],[Zone_Bilan]],T_P_BilanSocial[#Data],COLUMN(T_P_BilanSocial[[#This Row],[Sexe]]),FALSE),"")</f>
        <v/>
      </c>
      <c r="H210" s="243" t="str">
        <f>IFERROR(VLOOKUP(T_BilanSocial2[[#This Row],[Zone_Bilan]],T_P_BilanSocial[#Data],COLUMN(T_P_BilanSocial[[#This Row],[Categorie]]),FALSE),"")</f>
        <v/>
      </c>
      <c r="I210" s="242" t="str">
        <f>IFERROR(VLOOKUP(T_BilanSocial2[[#This Row],[Zone_Bilan]],T_P_BilanSocial[#Data],COLUMN(T_P_BilanSocial[[#This Row],[Statut]]),FALSE),"")</f>
        <v/>
      </c>
      <c r="J210" s="242" t="str">
        <f>IFERROR(VLOOKUP(T_BilanSocial2[[#This Row],[Zone_Bilan]],T_P_BilanSocial[#Data],COLUMN(T_P_BilanSocial[[#This Row],[Filiere]]),FALSE),"")</f>
        <v/>
      </c>
      <c r="K210" s="78">
        <v>0.8</v>
      </c>
      <c r="L210" s="213">
        <v>1.2361111111111112</v>
      </c>
      <c r="M210" s="78" t="s">
        <v>210</v>
      </c>
      <c r="N210" s="79" t="str">
        <f>IF((AND(T_BilanSocial2[[#This Row],[Nom]]&lt;&gt;"",T_BilanSocial2[[#This Row],[Reg Ponct]]="R")),(COUNTIF(S210:AX210,"S")+COUNTIF(S210:AX210,"T"))/2,"")</f>
        <v/>
      </c>
      <c r="O210" s="79" t="str">
        <f>IF((AND(T_BilanSocial2[[#This Row],[Nom]]&lt;&gt;"",T_BilanSocial2[[#This Row],[Reg Ponct]]="R")),COUNTIF(S210:AX210,"S")/2,"")</f>
        <v/>
      </c>
      <c r="P210" s="80" t="str">
        <f>IF((AND(T_BilanSocial2[[#This Row],[Nom]]&lt;&gt;"",T_BilanSocial2[[#This Row],[Reg Ponct]]="R")),COUNTIF(S210:AX210,"t")/2,"")</f>
        <v/>
      </c>
      <c r="Q210" s="81" t="str">
        <f t="shared" si="26"/>
        <v/>
      </c>
      <c r="R210" s="82" t="str">
        <f>IF((AND(T_BilanSocial2[[#This Row],[Nom]]&lt;&gt;"",T_BilanSocial2[[#This Row],[Reg Ponct]]="R")),IF(S210="T",U210-T210,0)+IF(V210="T",X210-W210,0)+IF(Z210="T",AB210-AA210,0)+IF(AC210="T",AE210-AD210,0)+IF(AG210="T",AI210-AH210,0)+IF(AJ210="T",AL210-AK210,0)+IF(AN210="T",AP210-AO210,0)+IF(AQ210="T",AS210-AR210,0)+IF(AU210="T",AW210-AV210,0)+IF(AX210="T",AZ210-AY210,0),"")</f>
        <v/>
      </c>
      <c r="S210" s="36" t="s">
        <v>307</v>
      </c>
      <c r="T210" s="37">
        <v>0.375</v>
      </c>
      <c r="U210" s="37">
        <v>0.52083333333333337</v>
      </c>
      <c r="V210" s="21" t="s">
        <v>307</v>
      </c>
      <c r="W210" s="37">
        <v>0.5625</v>
      </c>
      <c r="X210" s="37">
        <v>0.72916666666666663</v>
      </c>
      <c r="Y210" s="38" t="str">
        <f t="shared" si="27"/>
        <v/>
      </c>
      <c r="Z210" s="36" t="s">
        <v>306</v>
      </c>
      <c r="AA210" s="37">
        <v>0.375</v>
      </c>
      <c r="AB210" s="37">
        <v>0.52083333333333337</v>
      </c>
      <c r="AC210" s="21" t="s">
        <v>306</v>
      </c>
      <c r="AD210" s="37">
        <v>0.5625</v>
      </c>
      <c r="AE210" s="37">
        <v>0.72916666666666663</v>
      </c>
      <c r="AF210" s="38" t="str">
        <f t="shared" si="28"/>
        <v/>
      </c>
      <c r="AG210" s="36" t="s">
        <v>308</v>
      </c>
      <c r="AH210" s="37"/>
      <c r="AI210" s="37"/>
      <c r="AJ210" s="21" t="s">
        <v>308</v>
      </c>
      <c r="AK210" s="37"/>
      <c r="AL210" s="37"/>
      <c r="AM210" s="38" t="str">
        <f t="shared" si="29"/>
        <v/>
      </c>
      <c r="AN210" s="36" t="s">
        <v>306</v>
      </c>
      <c r="AO210" s="37">
        <v>0.375</v>
      </c>
      <c r="AP210" s="37">
        <v>0.52083333333333337</v>
      </c>
      <c r="AQ210" s="21" t="s">
        <v>306</v>
      </c>
      <c r="AR210" s="37">
        <v>0.5625</v>
      </c>
      <c r="AS210" s="37">
        <v>0.72916666666666663</v>
      </c>
      <c r="AT210" s="38" t="str">
        <f t="shared" si="30"/>
        <v/>
      </c>
      <c r="AU210" s="36" t="s">
        <v>306</v>
      </c>
      <c r="AV210" s="37">
        <v>0.375</v>
      </c>
      <c r="AW210" s="37">
        <v>0.52083333333333337</v>
      </c>
      <c r="AX210" s="21" t="s">
        <v>306</v>
      </c>
      <c r="AY210" s="37">
        <v>0.5625</v>
      </c>
      <c r="AZ210" s="37">
        <v>0.71527777777777779</v>
      </c>
      <c r="BA210" s="39" t="str">
        <f t="shared" si="31"/>
        <v/>
      </c>
      <c r="BB210" s="46" t="s">
        <v>742</v>
      </c>
      <c r="BC210" s="31" t="s">
        <v>444</v>
      </c>
      <c r="BD210" s="16" t="s">
        <v>311</v>
      </c>
      <c r="BE210" s="16" t="s">
        <v>311</v>
      </c>
      <c r="BF210" s="244" t="str">
        <f>T_BilanSocial2[[#This Row],[Nom]]&amp;T_BilanSocial2[[#This Row],[Prénom]]</f>
        <v/>
      </c>
    </row>
    <row r="211" spans="1:58" ht="21.75" hidden="1" customHeight="1" x14ac:dyDescent="0.25">
      <c r="A211" s="90">
        <v>16</v>
      </c>
      <c r="B211" s="126" t="s">
        <v>210</v>
      </c>
      <c r="C211" s="126" t="str">
        <f>VLOOKUP(T_BilanSocial2[[#This Row],[NumL]],T_Commission[#Data],COLUMN(T_Commission[FINAL]),FALSE)</f>
        <v/>
      </c>
      <c r="D211" s="19" t="str">
        <f t="shared" si="24"/>
        <v/>
      </c>
      <c r="E211" s="19" t="str">
        <f t="shared" si="25"/>
        <v/>
      </c>
      <c r="F211" s="242" t="str">
        <f>IFERROR(VLOOKUP(T_BilanSocial2[[#This Row],[Zone_Bilan]],T_P_BilanSocial[#Data],COLUMN(T_P_BilanSocial[[#This Row],[Numero_SIHAM]]),FALSE),"")</f>
        <v/>
      </c>
      <c r="G211" s="242" t="str">
        <f>IFERROR(VLOOKUP(T_BilanSocial2[[#This Row],[Zone_Bilan]],T_P_BilanSocial[#Data],COLUMN(T_P_BilanSocial[[#This Row],[Sexe]]),FALSE),"")</f>
        <v/>
      </c>
      <c r="H211" s="243" t="str">
        <f>IFERROR(VLOOKUP(T_BilanSocial2[[#This Row],[Zone_Bilan]],T_P_BilanSocial[#Data],COLUMN(T_P_BilanSocial[[#This Row],[Categorie]]),FALSE),"")</f>
        <v/>
      </c>
      <c r="I211" s="242" t="str">
        <f>IFERROR(VLOOKUP(T_BilanSocial2[[#This Row],[Zone_Bilan]],T_P_BilanSocial[#Data],COLUMN(T_P_BilanSocial[[#This Row],[Statut]]),FALSE),"")</f>
        <v/>
      </c>
      <c r="J211" s="242" t="str">
        <f>IFERROR(VLOOKUP(T_BilanSocial2[[#This Row],[Zone_Bilan]],T_P_BilanSocial[#Data],COLUMN(T_P_BilanSocial[[#This Row],[Filiere]]),FALSE),"")</f>
        <v/>
      </c>
      <c r="K211" s="78">
        <v>1</v>
      </c>
      <c r="L211" s="213">
        <v>1.5451388888888891</v>
      </c>
      <c r="M211" s="78" t="s">
        <v>210</v>
      </c>
      <c r="N211" s="79" t="str">
        <f>IF((AND(T_BilanSocial2[[#This Row],[Nom]]&lt;&gt;"",T_BilanSocial2[[#This Row],[Reg Ponct]]="R")),(COUNTIF(S211:AX211,"S")+COUNTIF(S211:AX211,"T"))/2,"")</f>
        <v/>
      </c>
      <c r="O211" s="79" t="str">
        <f>IF((AND(T_BilanSocial2[[#This Row],[Nom]]&lt;&gt;"",T_BilanSocial2[[#This Row],[Reg Ponct]]="R")),COUNTIF(S211:AX211,"S")/2,"")</f>
        <v/>
      </c>
      <c r="P211" s="80" t="str">
        <f>IF((AND(T_BilanSocial2[[#This Row],[Nom]]&lt;&gt;"",T_BilanSocial2[[#This Row],[Reg Ponct]]="R")),COUNTIF(S211:AX211,"t")/2,"")</f>
        <v/>
      </c>
      <c r="Q211" s="81" t="str">
        <f t="shared" si="26"/>
        <v/>
      </c>
      <c r="R211" s="82" t="str">
        <f>IF((AND(T_BilanSocial2[[#This Row],[Nom]]&lt;&gt;"",T_BilanSocial2[[#This Row],[Reg Ponct]]="R")),IF(S211="T",U211-T211,0)+IF(V211="T",X211-W211,0)+IF(Z211="T",AB211-AA211,0)+IF(AC211="T",AE211-AD211,0)+IF(AG211="T",AI211-AH211,0)+IF(AJ211="T",AL211-AK211,0)+IF(AN211="T",AP211-AO211,0)+IF(AQ211="T",AS211-AR211,0)+IF(AU211="T",AW211-AV211,0)+IF(AX211="T",AZ211-AY211,0),"")</f>
        <v/>
      </c>
      <c r="S211" s="36" t="s">
        <v>306</v>
      </c>
      <c r="T211" s="37">
        <v>0.34722222222222227</v>
      </c>
      <c r="U211" s="37">
        <v>0.52083333333333337</v>
      </c>
      <c r="V211" s="21" t="s">
        <v>306</v>
      </c>
      <c r="W211" s="37">
        <v>0.5625</v>
      </c>
      <c r="X211" s="37">
        <v>0.71527777777777779</v>
      </c>
      <c r="Y211" s="38" t="str">
        <f t="shared" si="27"/>
        <v/>
      </c>
      <c r="Z211" s="36" t="s">
        <v>306</v>
      </c>
      <c r="AA211" s="37">
        <v>0.34722222222222227</v>
      </c>
      <c r="AB211" s="37">
        <v>0.52083333333333337</v>
      </c>
      <c r="AC211" s="21" t="s">
        <v>306</v>
      </c>
      <c r="AD211" s="37">
        <v>0.5625</v>
      </c>
      <c r="AE211" s="37">
        <v>0.71527777777777779</v>
      </c>
      <c r="AF211" s="38" t="str">
        <f t="shared" si="28"/>
        <v/>
      </c>
      <c r="AG211" s="36" t="s">
        <v>307</v>
      </c>
      <c r="AH211" s="37">
        <v>0.3611111111111111</v>
      </c>
      <c r="AI211" s="37">
        <v>0.49305555555555558</v>
      </c>
      <c r="AJ211" s="21" t="s">
        <v>307</v>
      </c>
      <c r="AK211" s="37">
        <v>0.54166666666666663</v>
      </c>
      <c r="AL211" s="37">
        <v>0.6875</v>
      </c>
      <c r="AM211" s="38" t="str">
        <f t="shared" si="29"/>
        <v/>
      </c>
      <c r="AN211" s="36" t="s">
        <v>306</v>
      </c>
      <c r="AO211" s="37">
        <v>0.34722222222222227</v>
      </c>
      <c r="AP211" s="37">
        <v>0.52083333333333337</v>
      </c>
      <c r="AQ211" s="21" t="s">
        <v>306</v>
      </c>
      <c r="AR211" s="37">
        <v>0.5625</v>
      </c>
      <c r="AS211" s="37">
        <v>0.71527777777777779</v>
      </c>
      <c r="AT211" s="38" t="str">
        <f t="shared" si="30"/>
        <v/>
      </c>
      <c r="AU211" s="36" t="s">
        <v>306</v>
      </c>
      <c r="AV211" s="37">
        <v>0.34722222222222227</v>
      </c>
      <c r="AW211" s="37">
        <v>0.52083333333333337</v>
      </c>
      <c r="AX211" s="21" t="s">
        <v>306</v>
      </c>
      <c r="AY211" s="37">
        <v>0.5625</v>
      </c>
      <c r="AZ211" s="37">
        <v>0.67708333333333337</v>
      </c>
      <c r="BA211" s="39" t="str">
        <f t="shared" si="31"/>
        <v/>
      </c>
      <c r="BB211" s="46" t="s">
        <v>411</v>
      </c>
      <c r="BC211" s="31" t="s">
        <v>341</v>
      </c>
      <c r="BD211" s="16" t="s">
        <v>322</v>
      </c>
      <c r="BE211" s="16" t="s">
        <v>322</v>
      </c>
      <c r="BF211" s="244" t="str">
        <f>T_BilanSocial2[[#This Row],[Nom]]&amp;T_BilanSocial2[[#This Row],[Prénom]]</f>
        <v/>
      </c>
    </row>
    <row r="212" spans="1:58" ht="21.75" customHeight="1" x14ac:dyDescent="0.25">
      <c r="A212" s="90">
        <v>179</v>
      </c>
      <c r="B212" s="126" t="s">
        <v>311</v>
      </c>
      <c r="C212" s="126" t="str">
        <f>VLOOKUP(T_BilanSocial2[[#This Row],[NumL]],T_Commission[#Data],COLUMN(T_Commission[FINAL]),FALSE)</f>
        <v/>
      </c>
      <c r="D212" s="19" t="str">
        <f t="shared" si="24"/>
        <v/>
      </c>
      <c r="E212" s="19" t="str">
        <f t="shared" si="25"/>
        <v/>
      </c>
      <c r="F212" s="242" t="str">
        <f>IFERROR(VLOOKUP(T_BilanSocial2[[#This Row],[Zone_Bilan]],T_P_BilanSocial[#Data],COLUMN(T_P_BilanSocial[[#This Row],[Numero_SIHAM]]),FALSE),"")</f>
        <v/>
      </c>
      <c r="G212" s="242" t="str">
        <f>IFERROR(VLOOKUP(T_BilanSocial2[[#This Row],[Zone_Bilan]],T_P_BilanSocial[#Data],COLUMN(T_P_BilanSocial[[#This Row],[Sexe]]),FALSE),"")</f>
        <v/>
      </c>
      <c r="H212" s="243" t="str">
        <f>IFERROR(VLOOKUP(T_BilanSocial2[[#This Row],[Zone_Bilan]],T_P_BilanSocial[#Data],COLUMN(T_P_BilanSocial[[#This Row],[Categorie]]),FALSE),"")</f>
        <v/>
      </c>
      <c r="I212" s="242" t="str">
        <f>IFERROR(VLOOKUP(T_BilanSocial2[[#This Row],[Zone_Bilan]],T_P_BilanSocial[#Data],COLUMN(T_P_BilanSocial[[#This Row],[Statut]]),FALSE),"")</f>
        <v/>
      </c>
      <c r="J212" s="242" t="str">
        <f>IFERROR(VLOOKUP(T_BilanSocial2[[#This Row],[Zone_Bilan]],T_P_BilanSocial[#Data],COLUMN(T_P_BilanSocial[[#This Row],[Filiere]]),FALSE),"")</f>
        <v/>
      </c>
      <c r="K212" s="78">
        <v>1</v>
      </c>
      <c r="L212" s="213">
        <v>1.5451388888888891</v>
      </c>
      <c r="M212" s="78" t="s">
        <v>210</v>
      </c>
      <c r="N212" s="79" t="str">
        <f>IF((AND(T_BilanSocial2[[#This Row],[Nom]]&lt;&gt;"",T_BilanSocial2[[#This Row],[Reg Ponct]]="R")),(COUNTIF(S212:AX212,"S")+COUNTIF(S212:AX212,"T"))/2,"")</f>
        <v/>
      </c>
      <c r="O212" s="79" t="str">
        <f>IF((AND(T_BilanSocial2[[#This Row],[Nom]]&lt;&gt;"",T_BilanSocial2[[#This Row],[Reg Ponct]]="R")),COUNTIF(S212:AX212,"S")/2,"")</f>
        <v/>
      </c>
      <c r="P212" s="80" t="str">
        <f>IF((AND(T_BilanSocial2[[#This Row],[Nom]]&lt;&gt;"",T_BilanSocial2[[#This Row],[Reg Ponct]]="R")),COUNTIF(S212:AX212,"t")/2,"")</f>
        <v/>
      </c>
      <c r="Q212" s="81" t="str">
        <f t="shared" si="26"/>
        <v/>
      </c>
      <c r="R212" s="82" t="str">
        <f>IF((AND(T_BilanSocial2[[#This Row],[Nom]]&lt;&gt;"",T_BilanSocial2[[#This Row],[Reg Ponct]]="R")),IF(S212="T",U212-T212,0)+IF(V212="T",X212-W212,0)+IF(Z212="T",AB212-AA212,0)+IF(AC212="T",AE212-AD212,0)+IF(AG212="T",AI212-AH212,0)+IF(AJ212="T",AL212-AK212,0)+IF(AN212="T",AP212-AO212,0)+IF(AQ212="T",AS212-AR212,0)+IF(AU212="T",AW212-AV212,0)+IF(AX212="T",AZ212-AY212,0),"")</f>
        <v/>
      </c>
      <c r="S212" s="36" t="s">
        <v>306</v>
      </c>
      <c r="T212" s="37">
        <v>0.32291666666666669</v>
      </c>
      <c r="U212" s="37">
        <v>0.5</v>
      </c>
      <c r="V212" s="21" t="s">
        <v>306</v>
      </c>
      <c r="W212" s="37">
        <v>0.55208333333333337</v>
      </c>
      <c r="X212" s="37">
        <v>0.71180555555555547</v>
      </c>
      <c r="Y212" s="38" t="str">
        <f t="shared" si="27"/>
        <v/>
      </c>
      <c r="Z212" s="36" t="s">
        <v>306</v>
      </c>
      <c r="AA212" s="37">
        <v>0.32291666666666669</v>
      </c>
      <c r="AB212" s="37">
        <v>0.5</v>
      </c>
      <c r="AC212" s="21" t="s">
        <v>306</v>
      </c>
      <c r="AD212" s="37">
        <v>0.55208333333333337</v>
      </c>
      <c r="AE212" s="37">
        <v>0.66666666666666663</v>
      </c>
      <c r="AF212" s="38" t="str">
        <f t="shared" si="28"/>
        <v/>
      </c>
      <c r="AG212" s="36" t="s">
        <v>307</v>
      </c>
      <c r="AH212" s="37">
        <v>0.32291666666666669</v>
      </c>
      <c r="AI212" s="37">
        <v>0.5</v>
      </c>
      <c r="AJ212" s="21" t="s">
        <v>307</v>
      </c>
      <c r="AK212" s="37">
        <v>0.55208333333333337</v>
      </c>
      <c r="AL212" s="37">
        <v>0.70833333333333337</v>
      </c>
      <c r="AM212" s="38" t="str">
        <f t="shared" si="29"/>
        <v/>
      </c>
      <c r="AN212" s="36" t="s">
        <v>306</v>
      </c>
      <c r="AO212" s="37">
        <v>0.32291666666666669</v>
      </c>
      <c r="AP212" s="37">
        <v>0.5</v>
      </c>
      <c r="AQ212" s="21" t="s">
        <v>306</v>
      </c>
      <c r="AR212" s="37">
        <v>0.55208333333333337</v>
      </c>
      <c r="AS212" s="37">
        <v>0.66666666666666663</v>
      </c>
      <c r="AT212" s="38" t="str">
        <f t="shared" si="30"/>
        <v/>
      </c>
      <c r="AU212" s="36" t="s">
        <v>307</v>
      </c>
      <c r="AV212" s="37">
        <v>0.32291666666666669</v>
      </c>
      <c r="AW212" s="37">
        <v>0.5</v>
      </c>
      <c r="AX212" s="21" t="s">
        <v>307</v>
      </c>
      <c r="AY212" s="37">
        <v>0.55208333333333337</v>
      </c>
      <c r="AZ212" s="37">
        <v>0.66666666666666663</v>
      </c>
      <c r="BA212" s="39" t="str">
        <f t="shared" si="31"/>
        <v/>
      </c>
      <c r="BB212" s="46" t="s">
        <v>892</v>
      </c>
      <c r="BC212" s="31" t="s">
        <v>893</v>
      </c>
      <c r="BD212" s="16" t="s">
        <v>311</v>
      </c>
      <c r="BE212" s="16" t="s">
        <v>311</v>
      </c>
      <c r="BF212" s="244" t="str">
        <f>T_BilanSocial2[[#This Row],[Nom]]&amp;T_BilanSocial2[[#This Row],[Prénom]]</f>
        <v/>
      </c>
    </row>
    <row r="213" spans="1:58" ht="21.75" hidden="1" customHeight="1" x14ac:dyDescent="0.25">
      <c r="A213" s="90">
        <v>33</v>
      </c>
      <c r="B213" s="126" t="s">
        <v>311</v>
      </c>
      <c r="C213" s="126" t="str">
        <f>VLOOKUP(T_BilanSocial2[[#This Row],[NumL]],T_Commission[#Data],COLUMN(T_Commission[FINAL]),FALSE)</f>
        <v/>
      </c>
      <c r="D213" s="19" t="str">
        <f t="shared" si="24"/>
        <v/>
      </c>
      <c r="E213" s="19" t="str">
        <f t="shared" si="25"/>
        <v/>
      </c>
      <c r="F213" s="242" t="str">
        <f>IFERROR(VLOOKUP(T_BilanSocial2[[#This Row],[Zone_Bilan]],T_P_BilanSocial[#Data],COLUMN(T_P_BilanSocial[[#This Row],[Numero_SIHAM]]),FALSE),"")</f>
        <v/>
      </c>
      <c r="G213" s="242" t="str">
        <f>IFERROR(VLOOKUP(T_BilanSocial2[[#This Row],[Zone_Bilan]],T_P_BilanSocial[#Data],COLUMN(T_P_BilanSocial[[#This Row],[Sexe]]),FALSE),"")</f>
        <v/>
      </c>
      <c r="H213" s="243" t="str">
        <f>IFERROR(VLOOKUP(T_BilanSocial2[[#This Row],[Zone_Bilan]],T_P_BilanSocial[#Data],COLUMN(T_P_BilanSocial[[#This Row],[Categorie]]),FALSE),"")</f>
        <v/>
      </c>
      <c r="I213" s="242" t="str">
        <f>IFERROR(VLOOKUP(T_BilanSocial2[[#This Row],[Zone_Bilan]],T_P_BilanSocial[#Data],COLUMN(T_P_BilanSocial[[#This Row],[Statut]]),FALSE),"")</f>
        <v/>
      </c>
      <c r="J213" s="242" t="str">
        <f>IFERROR(VLOOKUP(T_BilanSocial2[[#This Row],[Zone_Bilan]],T_P_BilanSocial[#Data],COLUMN(T_P_BilanSocial[[#This Row],[Filiere]]),FALSE),"")</f>
        <v/>
      </c>
      <c r="K213" s="78">
        <v>1</v>
      </c>
      <c r="L213" s="213">
        <v>1.5451388888888891</v>
      </c>
      <c r="M213" s="78" t="s">
        <v>210</v>
      </c>
      <c r="N213" s="79" t="str">
        <f>IF((AND(T_BilanSocial2[[#This Row],[Nom]]&lt;&gt;"",T_BilanSocial2[[#This Row],[Reg Ponct]]="R")),(COUNTIF(S213:AX213,"S")+COUNTIF(S213:AX213,"T"))/2,"")</f>
        <v/>
      </c>
      <c r="O213" s="79" t="str">
        <f>IF((AND(T_BilanSocial2[[#This Row],[Nom]]&lt;&gt;"",T_BilanSocial2[[#This Row],[Reg Ponct]]="R")),COUNTIF(S213:AX213,"S")/2,"")</f>
        <v/>
      </c>
      <c r="P213" s="80" t="str">
        <f>IF((AND(T_BilanSocial2[[#This Row],[Nom]]&lt;&gt;"",T_BilanSocial2[[#This Row],[Reg Ponct]]="R")),COUNTIF(S213:AX213,"t")/2,"")</f>
        <v/>
      </c>
      <c r="Q213" s="81" t="str">
        <f t="shared" si="26"/>
        <v/>
      </c>
      <c r="R213" s="82" t="str">
        <f>IF((AND(T_BilanSocial2[[#This Row],[Nom]]&lt;&gt;"",T_BilanSocial2[[#This Row],[Reg Ponct]]="R")),IF(S213="T",U213-T213,0)+IF(V213="T",X213-W213,0)+IF(Z213="T",AB213-AA213,0)+IF(AC213="T",AE213-AD213,0)+IF(AG213="T",AI213-AH213,0)+IF(AJ213="T",AL213-AK213,0)+IF(AN213="T",AP213-AO213,0)+IF(AQ213="T",AS213-AR213,0)+IF(AU213="T",AW213-AV213,0)+IF(AX213="T",AZ213-AY213,0),"")</f>
        <v/>
      </c>
      <c r="S213" s="36" t="s">
        <v>306</v>
      </c>
      <c r="T213" s="37">
        <v>0.34027777777777773</v>
      </c>
      <c r="U213" s="37">
        <v>0.52083333333333337</v>
      </c>
      <c r="V213" s="21" t="s">
        <v>306</v>
      </c>
      <c r="W213" s="37">
        <v>0.5625</v>
      </c>
      <c r="X213" s="37">
        <v>0.71875</v>
      </c>
      <c r="Y213" s="38" t="str">
        <f t="shared" si="27"/>
        <v/>
      </c>
      <c r="Z213" s="36" t="s">
        <v>306</v>
      </c>
      <c r="AA213" s="37">
        <v>0.34027777777777773</v>
      </c>
      <c r="AB213" s="37">
        <v>0.52083333333333337</v>
      </c>
      <c r="AC213" s="21" t="s">
        <v>307</v>
      </c>
      <c r="AD213" s="37">
        <v>0.5625</v>
      </c>
      <c r="AE213" s="37">
        <v>0.71875</v>
      </c>
      <c r="AF213" s="38" t="str">
        <f t="shared" si="28"/>
        <v/>
      </c>
      <c r="AG213" s="36" t="s">
        <v>306</v>
      </c>
      <c r="AH213" s="37">
        <v>0.34027777777777773</v>
      </c>
      <c r="AI213" s="37">
        <v>0.52083333333333337</v>
      </c>
      <c r="AJ213" s="21" t="s">
        <v>306</v>
      </c>
      <c r="AK213" s="37">
        <v>0.5625</v>
      </c>
      <c r="AL213" s="37">
        <v>0.73263888888888884</v>
      </c>
      <c r="AM213" s="38" t="str">
        <f t="shared" si="29"/>
        <v/>
      </c>
      <c r="AN213" s="36" t="s">
        <v>307</v>
      </c>
      <c r="AO213" s="37">
        <v>0.34027777777777773</v>
      </c>
      <c r="AP213" s="37">
        <v>0.52083333333333337</v>
      </c>
      <c r="AQ213" s="21" t="s">
        <v>307</v>
      </c>
      <c r="AR213" s="37">
        <v>0.5625</v>
      </c>
      <c r="AS213" s="37">
        <v>0.71875</v>
      </c>
      <c r="AT213" s="38" t="str">
        <f t="shared" si="30"/>
        <v/>
      </c>
      <c r="AU213" s="36" t="s">
        <v>306</v>
      </c>
      <c r="AV213" s="37">
        <v>0.34375</v>
      </c>
      <c r="AW213" s="37">
        <v>0.52777777777777779</v>
      </c>
      <c r="AX213" s="21" t="s">
        <v>308</v>
      </c>
      <c r="AY213" s="37"/>
      <c r="AZ213" s="37"/>
      <c r="BA213" s="39" t="str">
        <f t="shared" si="31"/>
        <v/>
      </c>
      <c r="BB213" s="46" t="s">
        <v>376</v>
      </c>
      <c r="BC213" s="31" t="s">
        <v>341</v>
      </c>
      <c r="BD213" s="16" t="s">
        <v>311</v>
      </c>
      <c r="BE213" s="16" t="s">
        <v>311</v>
      </c>
      <c r="BF213" s="244" t="str">
        <f>T_BilanSocial2[[#This Row],[Nom]]&amp;T_BilanSocial2[[#This Row],[Prénom]]</f>
        <v/>
      </c>
    </row>
    <row r="214" spans="1:58" ht="21.75" hidden="1" customHeight="1" x14ac:dyDescent="0.25">
      <c r="A214" s="90">
        <v>143</v>
      </c>
      <c r="B214" s="126" t="s">
        <v>311</v>
      </c>
      <c r="C214" s="126" t="str">
        <f>VLOOKUP(T_BilanSocial2[[#This Row],[NumL]],T_Commission[#Data],COLUMN(T_Commission[FINAL]),FALSE)</f>
        <v/>
      </c>
      <c r="D214" s="19" t="str">
        <f t="shared" si="24"/>
        <v/>
      </c>
      <c r="E214" s="19" t="str">
        <f t="shared" si="25"/>
        <v/>
      </c>
      <c r="F214" s="242" t="str">
        <f>IFERROR(VLOOKUP(T_BilanSocial2[[#This Row],[Zone_Bilan]],T_P_BilanSocial[#Data],COLUMN(T_P_BilanSocial[[#This Row],[Numero_SIHAM]]),FALSE),"")</f>
        <v/>
      </c>
      <c r="G214" s="242" t="str">
        <f>IFERROR(VLOOKUP(T_BilanSocial2[[#This Row],[Zone_Bilan]],T_P_BilanSocial[#Data],COLUMN(T_P_BilanSocial[[#This Row],[Sexe]]),FALSE),"")</f>
        <v/>
      </c>
      <c r="H214" s="243" t="str">
        <f>IFERROR(VLOOKUP(T_BilanSocial2[[#This Row],[Zone_Bilan]],T_P_BilanSocial[#Data],COLUMN(T_P_BilanSocial[[#This Row],[Categorie]]),FALSE),"")</f>
        <v/>
      </c>
      <c r="I214" s="242" t="str">
        <f>IFERROR(VLOOKUP(T_BilanSocial2[[#This Row],[Zone_Bilan]],T_P_BilanSocial[#Data],COLUMN(T_P_BilanSocial[[#This Row],[Statut]]),FALSE),"")</f>
        <v/>
      </c>
      <c r="J214" s="242" t="str">
        <f>IFERROR(VLOOKUP(T_BilanSocial2[[#This Row],[Zone_Bilan]],T_P_BilanSocial[#Data],COLUMN(T_P_BilanSocial[[#This Row],[Filiere]]),FALSE),"")</f>
        <v/>
      </c>
      <c r="K214" s="78">
        <v>1</v>
      </c>
      <c r="L214" s="213">
        <v>1.5451388888888891</v>
      </c>
      <c r="M214" s="78" t="s">
        <v>211</v>
      </c>
      <c r="N214" s="79" t="str">
        <f>IF((AND(T_BilanSocial2[[#This Row],[Nom]]&lt;&gt;"",T_BilanSocial2[[#This Row],[Reg Ponct]]="R")),(COUNTIF(S214:AX214,"S")+COUNTIF(S214:AX214,"T"))/2,"")</f>
        <v/>
      </c>
      <c r="O214" s="79" t="str">
        <f>IF((AND(T_BilanSocial2[[#This Row],[Nom]]&lt;&gt;"",T_BilanSocial2[[#This Row],[Reg Ponct]]="R")),COUNTIF(S214:AX214,"S")/2,"")</f>
        <v/>
      </c>
      <c r="P214" s="80" t="str">
        <f>IF((AND(T_BilanSocial2[[#This Row],[Nom]]&lt;&gt;"",T_BilanSocial2[[#This Row],[Reg Ponct]]="R")),COUNTIF(S214:AX214,"t")/2,"")</f>
        <v/>
      </c>
      <c r="Q214" s="81" t="str">
        <f t="shared" si="26"/>
        <v/>
      </c>
      <c r="R214" s="82" t="str">
        <f>IF((AND(T_BilanSocial2[[#This Row],[Nom]]&lt;&gt;"",T_BilanSocial2[[#This Row],[Reg Ponct]]="R")),IF(S214="T",U214-T214,0)+IF(V214="T",X214-W214,0)+IF(Z214="T",AB214-AA214,0)+IF(AC214="T",AE214-AD214,0)+IF(AG214="T",AI214-AH214,0)+IF(AJ214="T",AL214-AK214,0)+IF(AN214="T",AP214-AO214,0)+IF(AQ214="T",AS214-AR214,0)+IF(AU214="T",AW214-AV214,0)+IF(AX214="T",AZ214-AY214,0),"")</f>
        <v/>
      </c>
      <c r="S214" s="36"/>
      <c r="T214" s="37"/>
      <c r="U214" s="37"/>
      <c r="V214" s="21"/>
      <c r="W214" s="37"/>
      <c r="X214" s="37"/>
      <c r="Y214" s="38" t="str">
        <f t="shared" si="27"/>
        <v/>
      </c>
      <c r="Z214" s="36"/>
      <c r="AA214" s="37"/>
      <c r="AB214" s="37"/>
      <c r="AC214" s="21"/>
      <c r="AD214" s="37"/>
      <c r="AE214" s="37"/>
      <c r="AF214" s="38" t="str">
        <f t="shared" si="28"/>
        <v/>
      </c>
      <c r="AG214" s="36"/>
      <c r="AH214" s="37"/>
      <c r="AI214" s="37"/>
      <c r="AJ214" s="21"/>
      <c r="AK214" s="37"/>
      <c r="AL214" s="37"/>
      <c r="AM214" s="38" t="str">
        <f t="shared" si="29"/>
        <v/>
      </c>
      <c r="AN214" s="36"/>
      <c r="AO214" s="37"/>
      <c r="AP214" s="37"/>
      <c r="AQ214" s="21"/>
      <c r="AR214" s="37"/>
      <c r="AS214" s="37"/>
      <c r="AT214" s="38" t="str">
        <f t="shared" si="30"/>
        <v/>
      </c>
      <c r="AU214" s="36"/>
      <c r="AV214" s="37"/>
      <c r="AW214" s="37"/>
      <c r="AX214" s="21"/>
      <c r="AY214" s="37"/>
      <c r="AZ214" s="37"/>
      <c r="BA214" s="39" t="str">
        <f t="shared" si="31"/>
        <v/>
      </c>
      <c r="BB214" s="46" t="s">
        <v>566</v>
      </c>
      <c r="BC214" s="31" t="s">
        <v>831</v>
      </c>
      <c r="BD214" s="16" t="s">
        <v>311</v>
      </c>
      <c r="BE214" s="16" t="s">
        <v>311</v>
      </c>
      <c r="BF214" s="244" t="str">
        <f>T_BilanSocial2[[#This Row],[Nom]]&amp;T_BilanSocial2[[#This Row],[Prénom]]</f>
        <v/>
      </c>
    </row>
    <row r="215" spans="1:58" ht="21.75" hidden="1" customHeight="1" x14ac:dyDescent="0.25">
      <c r="A215" s="90">
        <v>169</v>
      </c>
      <c r="B215" s="126" t="s">
        <v>311</v>
      </c>
      <c r="C215" s="126" t="str">
        <f>VLOOKUP(T_BilanSocial2[[#This Row],[NumL]],T_Commission[#Data],COLUMN(T_Commission[FINAL]),FALSE)</f>
        <v/>
      </c>
      <c r="D215" s="19" t="str">
        <f t="shared" si="24"/>
        <v/>
      </c>
      <c r="E215" s="19" t="str">
        <f t="shared" si="25"/>
        <v/>
      </c>
      <c r="F215" s="242" t="str">
        <f>IFERROR(VLOOKUP(T_BilanSocial2[[#This Row],[Zone_Bilan]],T_P_BilanSocial[#Data],COLUMN(T_P_BilanSocial[[#This Row],[Numero_SIHAM]]),FALSE),"")</f>
        <v/>
      </c>
      <c r="G215" s="242" t="str">
        <f>IFERROR(VLOOKUP(T_BilanSocial2[[#This Row],[Zone_Bilan]],T_P_BilanSocial[#Data],COLUMN(T_P_BilanSocial[[#This Row],[Sexe]]),FALSE),"")</f>
        <v/>
      </c>
      <c r="H215" s="243" t="str">
        <f>IFERROR(VLOOKUP(T_BilanSocial2[[#This Row],[Zone_Bilan]],T_P_BilanSocial[#Data],COLUMN(T_P_BilanSocial[[#This Row],[Categorie]]),FALSE),"")</f>
        <v/>
      </c>
      <c r="I215" s="242" t="str">
        <f>IFERROR(VLOOKUP(T_BilanSocial2[[#This Row],[Zone_Bilan]],T_P_BilanSocial[#Data],COLUMN(T_P_BilanSocial[[#This Row],[Statut]]),FALSE),"")</f>
        <v/>
      </c>
      <c r="J215" s="242" t="str">
        <f>IFERROR(VLOOKUP(T_BilanSocial2[[#This Row],[Zone_Bilan]],T_P_BilanSocial[#Data],COLUMN(T_P_BilanSocial[[#This Row],[Filiere]]),FALSE),"")</f>
        <v/>
      </c>
      <c r="K215" s="78">
        <v>1</v>
      </c>
      <c r="L215" s="213">
        <v>1.5451388888888891</v>
      </c>
      <c r="M215" s="78" t="s">
        <v>210</v>
      </c>
      <c r="N215" s="79" t="str">
        <f>IF((AND(T_BilanSocial2[[#This Row],[Nom]]&lt;&gt;"",T_BilanSocial2[[#This Row],[Reg Ponct]]="R")),(COUNTIF(S215:AX215,"S")+COUNTIF(S215:AX215,"T"))/2,"")</f>
        <v/>
      </c>
      <c r="O215" s="79" t="str">
        <f>IF((AND(T_BilanSocial2[[#This Row],[Nom]]&lt;&gt;"",T_BilanSocial2[[#This Row],[Reg Ponct]]="R")),COUNTIF(S215:AX215,"S")/2,"")</f>
        <v/>
      </c>
      <c r="P215" s="80" t="str">
        <f>IF((AND(T_BilanSocial2[[#This Row],[Nom]]&lt;&gt;"",T_BilanSocial2[[#This Row],[Reg Ponct]]="R")),COUNTIF(S215:AX215,"t")/2,"")</f>
        <v/>
      </c>
      <c r="Q215" s="81" t="str">
        <f t="shared" si="26"/>
        <v/>
      </c>
      <c r="R215" s="82" t="str">
        <f>IF((AND(T_BilanSocial2[[#This Row],[Nom]]&lt;&gt;"",T_BilanSocial2[[#This Row],[Reg Ponct]]="R")),IF(S215="T",U215-T215,0)+IF(V215="T",X215-W215,0)+IF(Z215="T",AB215-AA215,0)+IF(AC215="T",AE215-AD215,0)+IF(AG215="T",AI215-AH215,0)+IF(AJ215="T",AL215-AK215,0)+IF(AN215="T",AP215-AO215,0)+IF(AQ215="T",AS215-AR215,0)+IF(AU215="T",AW215-AV215,0)+IF(AX215="T",AZ215-AY215,0),"")</f>
        <v/>
      </c>
      <c r="S215" s="36" t="s">
        <v>306</v>
      </c>
      <c r="T215" s="37">
        <v>0.3125</v>
      </c>
      <c r="U215" s="37">
        <v>0.52083333333333337</v>
      </c>
      <c r="V215" s="21" t="s">
        <v>306</v>
      </c>
      <c r="W215" s="37">
        <v>0.5625</v>
      </c>
      <c r="X215" s="37">
        <v>0.69097222222222221</v>
      </c>
      <c r="Y215" s="38" t="str">
        <f t="shared" si="27"/>
        <v/>
      </c>
      <c r="Z215" s="36" t="s">
        <v>306</v>
      </c>
      <c r="AA215" s="37">
        <v>0.3125</v>
      </c>
      <c r="AB215" s="37">
        <v>0.52083333333333337</v>
      </c>
      <c r="AC215" s="21" t="s">
        <v>306</v>
      </c>
      <c r="AD215" s="37">
        <v>0.5625</v>
      </c>
      <c r="AE215" s="37">
        <v>0.69097222222222221</v>
      </c>
      <c r="AF215" s="38" t="str">
        <f t="shared" si="28"/>
        <v/>
      </c>
      <c r="AG215" s="36" t="s">
        <v>306</v>
      </c>
      <c r="AH215" s="37">
        <v>0.3125</v>
      </c>
      <c r="AI215" s="37">
        <v>0.52083333333333337</v>
      </c>
      <c r="AJ215" s="21" t="s">
        <v>306</v>
      </c>
      <c r="AK215" s="37">
        <v>0.5625</v>
      </c>
      <c r="AL215" s="37">
        <v>0.69097222222222221</v>
      </c>
      <c r="AM215" s="38" t="str">
        <f t="shared" si="29"/>
        <v/>
      </c>
      <c r="AN215" s="36" t="s">
        <v>307</v>
      </c>
      <c r="AO215" s="37">
        <v>0.3125</v>
      </c>
      <c r="AP215" s="37">
        <v>0.52083333333333337</v>
      </c>
      <c r="AQ215" s="21" t="s">
        <v>307</v>
      </c>
      <c r="AR215" s="37">
        <v>0.5625</v>
      </c>
      <c r="AS215" s="37">
        <v>0.69097222222222221</v>
      </c>
      <c r="AT215" s="38" t="str">
        <f t="shared" si="30"/>
        <v/>
      </c>
      <c r="AU215" s="36" t="s">
        <v>306</v>
      </c>
      <c r="AV215" s="37">
        <v>0.3125</v>
      </c>
      <c r="AW215" s="37">
        <v>0.51041666666666663</v>
      </c>
      <c r="AX215" s="21" t="s">
        <v>308</v>
      </c>
      <c r="AY215" s="37"/>
      <c r="AZ215" s="37"/>
      <c r="BA215" s="39" t="str">
        <f t="shared" si="31"/>
        <v/>
      </c>
      <c r="BB215" s="46" t="s">
        <v>892</v>
      </c>
      <c r="BC215" s="31" t="s">
        <v>893</v>
      </c>
      <c r="BD215" s="16" t="s">
        <v>311</v>
      </c>
      <c r="BE215" s="16" t="s">
        <v>311</v>
      </c>
      <c r="BF215" s="244" t="str">
        <f>T_BilanSocial2[[#This Row],[Nom]]&amp;T_BilanSocial2[[#This Row],[Prénom]]</f>
        <v/>
      </c>
    </row>
    <row r="216" spans="1:58" ht="21.75" hidden="1" customHeight="1" x14ac:dyDescent="0.25">
      <c r="A216" s="90">
        <v>208</v>
      </c>
      <c r="B216" s="126" t="s">
        <v>311</v>
      </c>
      <c r="C216" s="126" t="str">
        <f>VLOOKUP(T_BilanSocial2[[#This Row],[NumL]],T_Commission[#Data],COLUMN(T_Commission[FINAL]),FALSE)</f>
        <v/>
      </c>
      <c r="D216" s="19" t="str">
        <f t="shared" si="24"/>
        <v/>
      </c>
      <c r="E216" s="19" t="str">
        <f t="shared" si="25"/>
        <v/>
      </c>
      <c r="F216" s="242" t="str">
        <f>IFERROR(VLOOKUP(T_BilanSocial2[[#This Row],[Zone_Bilan]],T_P_BilanSocial[#Data],COLUMN(T_P_BilanSocial[[#This Row],[Numero_SIHAM]]),FALSE),"")</f>
        <v/>
      </c>
      <c r="G216" s="242" t="str">
        <f>IFERROR(VLOOKUP(T_BilanSocial2[[#This Row],[Zone_Bilan]],T_P_BilanSocial[#Data],COLUMN(T_P_BilanSocial[[#This Row],[Sexe]]),FALSE),"")</f>
        <v/>
      </c>
      <c r="H216" s="243" t="str">
        <f>IFERROR(VLOOKUP(T_BilanSocial2[[#This Row],[Zone_Bilan]],T_P_BilanSocial[#Data],COLUMN(T_P_BilanSocial[[#This Row],[Categorie]]),FALSE),"")</f>
        <v/>
      </c>
      <c r="I216" s="242" t="str">
        <f>IFERROR(VLOOKUP(T_BilanSocial2[[#This Row],[Zone_Bilan]],T_P_BilanSocial[#Data],COLUMN(T_P_BilanSocial[[#This Row],[Statut]]),FALSE),"")</f>
        <v/>
      </c>
      <c r="J216" s="242" t="str">
        <f>IFERROR(VLOOKUP(T_BilanSocial2[[#This Row],[Zone_Bilan]],T_P_BilanSocial[#Data],COLUMN(T_P_BilanSocial[[#This Row],[Filiere]]),FALSE),"")</f>
        <v/>
      </c>
      <c r="K216" s="78">
        <v>1</v>
      </c>
      <c r="L216" s="213">
        <v>1.5451388888888891</v>
      </c>
      <c r="M216" s="78" t="s">
        <v>210</v>
      </c>
      <c r="N216" s="79" t="str">
        <f>IF((AND(T_BilanSocial2[[#This Row],[Nom]]&lt;&gt;"",T_BilanSocial2[[#This Row],[Reg Ponct]]="R")),(COUNTIF(S216:AX216,"S")+COUNTIF(S216:AX216,"T"))/2,"")</f>
        <v/>
      </c>
      <c r="O216" s="79" t="str">
        <f>IF((AND(T_BilanSocial2[[#This Row],[Nom]]&lt;&gt;"",T_BilanSocial2[[#This Row],[Reg Ponct]]="R")),COUNTIF(S216:AX216,"S")/2,"")</f>
        <v/>
      </c>
      <c r="P216" s="80" t="str">
        <f>IF((AND(T_BilanSocial2[[#This Row],[Nom]]&lt;&gt;"",T_BilanSocial2[[#This Row],[Reg Ponct]]="R")),COUNTIF(S216:AX216,"t")/2,"")</f>
        <v/>
      </c>
      <c r="Q216" s="81" t="str">
        <f t="shared" si="26"/>
        <v/>
      </c>
      <c r="R216" s="82" t="str">
        <f>IF((AND(T_BilanSocial2[[#This Row],[Nom]]&lt;&gt;"",T_BilanSocial2[[#This Row],[Reg Ponct]]="R")),IF(S216="T",U216-T216,0)+IF(V216="T",X216-W216,0)+IF(Z216="T",AB216-AA216,0)+IF(AC216="T",AE216-AD216,0)+IF(AG216="T",AI216-AH216,0)+IF(AJ216="T",AL216-AK216,0)+IF(AN216="T",AP216-AO216,0)+IF(AQ216="T",AS216-AR216,0)+IF(AU216="T",AW216-AV216,0)+IF(AX216="T",AZ216-AY216,0),"")</f>
        <v/>
      </c>
      <c r="S216" s="36" t="s">
        <v>306</v>
      </c>
      <c r="T216" s="37">
        <v>0.38541666666666669</v>
      </c>
      <c r="U216" s="37">
        <v>0.54166666666666663</v>
      </c>
      <c r="V216" s="21" t="s">
        <v>306</v>
      </c>
      <c r="W216" s="37">
        <v>0.58333333333333337</v>
      </c>
      <c r="X216" s="37">
        <v>0.77083333333333337</v>
      </c>
      <c r="Y216" s="38" t="str">
        <f t="shared" si="27"/>
        <v/>
      </c>
      <c r="Z216" s="36" t="s">
        <v>306</v>
      </c>
      <c r="AA216" s="37">
        <v>0.38541666666666669</v>
      </c>
      <c r="AB216" s="37">
        <v>0.54166666666666663</v>
      </c>
      <c r="AC216" s="21" t="s">
        <v>306</v>
      </c>
      <c r="AD216" s="37">
        <v>0.58333333333333337</v>
      </c>
      <c r="AE216" s="37">
        <v>0.77083333333333337</v>
      </c>
      <c r="AF216" s="38" t="str">
        <f t="shared" si="28"/>
        <v/>
      </c>
      <c r="AG216" s="36" t="s">
        <v>306</v>
      </c>
      <c r="AH216" s="37">
        <v>0.38541666666666669</v>
      </c>
      <c r="AI216" s="37">
        <v>0.54166666666666663</v>
      </c>
      <c r="AJ216" s="21" t="s">
        <v>306</v>
      </c>
      <c r="AK216" s="37">
        <v>0.58333333333333337</v>
      </c>
      <c r="AL216" s="37">
        <v>0.77083333333333337</v>
      </c>
      <c r="AM216" s="38" t="str">
        <f t="shared" si="29"/>
        <v/>
      </c>
      <c r="AN216" s="36" t="s">
        <v>306</v>
      </c>
      <c r="AO216" s="37">
        <v>0.38541666666666669</v>
      </c>
      <c r="AP216" s="37">
        <v>0.54166666666666663</v>
      </c>
      <c r="AQ216" s="21" t="s">
        <v>306</v>
      </c>
      <c r="AR216" s="37">
        <v>0.58333333333333337</v>
      </c>
      <c r="AS216" s="37">
        <v>0.77083333333333337</v>
      </c>
      <c r="AT216" s="38" t="str">
        <f t="shared" si="30"/>
        <v/>
      </c>
      <c r="AU216" s="36" t="s">
        <v>307</v>
      </c>
      <c r="AV216" s="37">
        <v>0.375</v>
      </c>
      <c r="AW216" s="37">
        <v>0.54513888888888895</v>
      </c>
      <c r="AX216" s="21" t="s">
        <v>308</v>
      </c>
      <c r="AY216" s="37"/>
      <c r="AZ216" s="37"/>
      <c r="BA216" s="39" t="str">
        <f t="shared" si="31"/>
        <v/>
      </c>
      <c r="BB216" s="46" t="s">
        <v>340</v>
      </c>
      <c r="BC216" s="31" t="s">
        <v>341</v>
      </c>
      <c r="BD216" s="16" t="s">
        <v>311</v>
      </c>
      <c r="BE216" s="16" t="s">
        <v>311</v>
      </c>
      <c r="BF216" s="244" t="str">
        <f>T_BilanSocial2[[#This Row],[Nom]]&amp;T_BilanSocial2[[#This Row],[Prénom]]</f>
        <v/>
      </c>
    </row>
    <row r="217" spans="1:58" ht="21.75" hidden="1" customHeight="1" x14ac:dyDescent="0.25">
      <c r="A217" s="90">
        <v>198</v>
      </c>
      <c r="B217" s="126" t="s">
        <v>210</v>
      </c>
      <c r="C217" s="126" t="str">
        <f>VLOOKUP(T_BilanSocial2[[#This Row],[NumL]],T_Commission[#Data],COLUMN(T_Commission[FINAL]),FALSE)</f>
        <v/>
      </c>
      <c r="D217" s="19" t="str">
        <f t="shared" si="24"/>
        <v/>
      </c>
      <c r="E217" s="19" t="str">
        <f t="shared" si="25"/>
        <v/>
      </c>
      <c r="F217" s="242" t="str">
        <f>IFERROR(VLOOKUP(T_BilanSocial2[[#This Row],[Zone_Bilan]],T_P_BilanSocial[#Data],COLUMN(T_P_BilanSocial[[#This Row],[Numero_SIHAM]]),FALSE),"")</f>
        <v/>
      </c>
      <c r="G217" s="242" t="str">
        <f>IFERROR(VLOOKUP(T_BilanSocial2[[#This Row],[Zone_Bilan]],T_P_BilanSocial[#Data],COLUMN(T_P_BilanSocial[[#This Row],[Sexe]]),FALSE),"")</f>
        <v/>
      </c>
      <c r="H217" s="243" t="str">
        <f>IFERROR(VLOOKUP(T_BilanSocial2[[#This Row],[Zone_Bilan]],T_P_BilanSocial[#Data],COLUMN(T_P_BilanSocial[[#This Row],[Categorie]]),FALSE),"")</f>
        <v/>
      </c>
      <c r="I217" s="242" t="str">
        <f>IFERROR(VLOOKUP(T_BilanSocial2[[#This Row],[Zone_Bilan]],T_P_BilanSocial[#Data],COLUMN(T_P_BilanSocial[[#This Row],[Statut]]),FALSE),"")</f>
        <v/>
      </c>
      <c r="J217" s="242" t="str">
        <f>IFERROR(VLOOKUP(T_BilanSocial2[[#This Row],[Zone_Bilan]],T_P_BilanSocial[#Data],COLUMN(T_P_BilanSocial[[#This Row],[Filiere]]),FALSE),"")</f>
        <v/>
      </c>
      <c r="K217" s="78">
        <v>1</v>
      </c>
      <c r="L217" s="213">
        <v>1.5451388888888891</v>
      </c>
      <c r="M217" s="78" t="s">
        <v>210</v>
      </c>
      <c r="N217" s="79" t="str">
        <f>IF((AND(T_BilanSocial2[[#This Row],[Nom]]&lt;&gt;"",T_BilanSocial2[[#This Row],[Reg Ponct]]="R")),(COUNTIF(S217:AX217,"S")+COUNTIF(S217:AX217,"T"))/2,"")</f>
        <v/>
      </c>
      <c r="O217" s="79" t="str">
        <f>IF((AND(T_BilanSocial2[[#This Row],[Nom]]&lt;&gt;"",T_BilanSocial2[[#This Row],[Reg Ponct]]="R")),COUNTIF(S217:AX217,"S")/2,"")</f>
        <v/>
      </c>
      <c r="P217" s="80" t="str">
        <f>IF((AND(T_BilanSocial2[[#This Row],[Nom]]&lt;&gt;"",T_BilanSocial2[[#This Row],[Reg Ponct]]="R")),COUNTIF(S217:AX217,"t")/2,"")</f>
        <v/>
      </c>
      <c r="Q217" s="81" t="str">
        <f t="shared" si="26"/>
        <v/>
      </c>
      <c r="R217" s="82" t="str">
        <f>IF((AND(T_BilanSocial2[[#This Row],[Nom]]&lt;&gt;"",T_BilanSocial2[[#This Row],[Reg Ponct]]="R")),IF(S217="T",U217-T217,0)+IF(V217="T",X217-W217,0)+IF(Z217="T",AB217-AA217,0)+IF(AC217="T",AE217-AD217,0)+IF(AG217="T",AI217-AH217,0)+IF(AJ217="T",AL217-AK217,0)+IF(AN217="T",AP217-AO217,0)+IF(AQ217="T",AS217-AR217,0)+IF(AU217="T",AW217-AV217,0)+IF(AX217="T",AZ217-AY217,0),"")</f>
        <v/>
      </c>
      <c r="S217" s="36" t="s">
        <v>306</v>
      </c>
      <c r="T217" s="37">
        <v>0.36458333333333331</v>
      </c>
      <c r="U217" s="37">
        <v>0.53125</v>
      </c>
      <c r="V217" s="21" t="s">
        <v>306</v>
      </c>
      <c r="W217" s="37">
        <v>0.57291666666666663</v>
      </c>
      <c r="X217" s="37">
        <v>0.75</v>
      </c>
      <c r="Y217" s="38" t="str">
        <f t="shared" si="27"/>
        <v/>
      </c>
      <c r="Z217" s="36" t="s">
        <v>306</v>
      </c>
      <c r="AA217" s="37">
        <v>0.36458333333333331</v>
      </c>
      <c r="AB217" s="37">
        <v>0.53125</v>
      </c>
      <c r="AC217" s="21" t="s">
        <v>306</v>
      </c>
      <c r="AD217" s="37">
        <v>0.57291666666666663</v>
      </c>
      <c r="AE217" s="37">
        <v>0.76041666666666663</v>
      </c>
      <c r="AF217" s="38" t="str">
        <f t="shared" si="28"/>
        <v/>
      </c>
      <c r="AG217" s="36" t="s">
        <v>307</v>
      </c>
      <c r="AH217" s="37">
        <v>0.36458333333333331</v>
      </c>
      <c r="AI217" s="37">
        <v>0.53125</v>
      </c>
      <c r="AJ217" s="21" t="s">
        <v>307</v>
      </c>
      <c r="AK217" s="37">
        <v>0.58333333333333337</v>
      </c>
      <c r="AL217" s="37">
        <v>0.76041666666666663</v>
      </c>
      <c r="AM217" s="38" t="str">
        <f t="shared" si="29"/>
        <v/>
      </c>
      <c r="AN217" s="36" t="s">
        <v>306</v>
      </c>
      <c r="AO217" s="37">
        <v>0.36458333333333331</v>
      </c>
      <c r="AP217" s="37">
        <v>0.53125</v>
      </c>
      <c r="AQ217" s="21" t="s">
        <v>306</v>
      </c>
      <c r="AR217" s="37">
        <v>0.57291666666666663</v>
      </c>
      <c r="AS217" s="37">
        <v>0.75</v>
      </c>
      <c r="AT217" s="38" t="str">
        <f t="shared" si="30"/>
        <v/>
      </c>
      <c r="AU217" s="36" t="s">
        <v>306</v>
      </c>
      <c r="AV217" s="37">
        <v>0.36458333333333331</v>
      </c>
      <c r="AW217" s="37">
        <v>0.52430555555555558</v>
      </c>
      <c r="AX217" s="21" t="s">
        <v>308</v>
      </c>
      <c r="AY217" s="37"/>
      <c r="AZ217" s="37"/>
      <c r="BA217" s="39" t="str">
        <f t="shared" si="31"/>
        <v/>
      </c>
      <c r="BB217" s="46" t="s">
        <v>520</v>
      </c>
      <c r="BC217" s="31" t="s">
        <v>341</v>
      </c>
      <c r="BD217" s="16" t="s">
        <v>322</v>
      </c>
      <c r="BE217" s="16" t="s">
        <v>322</v>
      </c>
      <c r="BF217" s="244" t="str">
        <f>T_BilanSocial2[[#This Row],[Nom]]&amp;T_BilanSocial2[[#This Row],[Prénom]]</f>
        <v/>
      </c>
    </row>
    <row r="218" spans="1:58" ht="21.75" hidden="1" customHeight="1" x14ac:dyDescent="0.25">
      <c r="A218" s="90">
        <v>191</v>
      </c>
      <c r="B218" s="126" t="s">
        <v>311</v>
      </c>
      <c r="C218" s="126" t="e">
        <f>VLOOKUP(T_BilanSocial2[[#This Row],[NumL]],T_Commission[#Data],COLUMN(T_Commission[FINAL]),FALSE)</f>
        <v>#N/A</v>
      </c>
      <c r="D218" s="19" t="str">
        <f t="shared" si="24"/>
        <v/>
      </c>
      <c r="E218" s="19" t="str">
        <f t="shared" si="25"/>
        <v/>
      </c>
      <c r="F218" s="242" t="str">
        <f>IFERROR(VLOOKUP(T_BilanSocial2[[#This Row],[Zone_Bilan]],T_P_BilanSocial[#Data],COLUMN(T_P_BilanSocial[[#This Row],[Numero_SIHAM]]),FALSE),"")</f>
        <v/>
      </c>
      <c r="G218" s="242" t="str">
        <f>IFERROR(VLOOKUP(T_BilanSocial2[[#This Row],[Zone_Bilan]],T_P_BilanSocial[#Data],COLUMN(T_P_BilanSocial[[#This Row],[Sexe]]),FALSE),"")</f>
        <v/>
      </c>
      <c r="H218" s="243" t="str">
        <f>IFERROR(VLOOKUP(T_BilanSocial2[[#This Row],[Zone_Bilan]],T_P_BilanSocial[#Data],COLUMN(T_P_BilanSocial[[#This Row],[Categorie]]),FALSE),"")</f>
        <v/>
      </c>
      <c r="I218" s="242" t="str">
        <f>IFERROR(VLOOKUP(T_BilanSocial2[[#This Row],[Zone_Bilan]],T_P_BilanSocial[#Data],COLUMN(T_P_BilanSocial[[#This Row],[Statut]]),FALSE),"")</f>
        <v/>
      </c>
      <c r="J218" s="242" t="str">
        <f>IFERROR(VLOOKUP(T_BilanSocial2[[#This Row],[Zone_Bilan]],T_P_BilanSocial[#Data],COLUMN(T_P_BilanSocial[[#This Row],[Filiere]]),FALSE),"")</f>
        <v/>
      </c>
      <c r="K218" s="78">
        <v>1</v>
      </c>
      <c r="L218" s="213">
        <v>1.5451388888888891</v>
      </c>
      <c r="M218" s="78" t="s">
        <v>210</v>
      </c>
      <c r="N218" s="79" t="str">
        <f>IF((AND(T_BilanSocial2[[#This Row],[Nom]]&lt;&gt;"",T_BilanSocial2[[#This Row],[Reg Ponct]]="R")),(COUNTIF(S218:AX218,"S")+COUNTIF(S218:AX218,"T"))/2,"")</f>
        <v/>
      </c>
      <c r="O218" s="79" t="str">
        <f>IF((AND(T_BilanSocial2[[#This Row],[Nom]]&lt;&gt;"",T_BilanSocial2[[#This Row],[Reg Ponct]]="R")),COUNTIF(S218:AX218,"S")/2,"")</f>
        <v/>
      </c>
      <c r="P218" s="80" t="str">
        <f>IF((AND(T_BilanSocial2[[#This Row],[Nom]]&lt;&gt;"",T_BilanSocial2[[#This Row],[Reg Ponct]]="R")),COUNTIF(S218:AX218,"t")/2,"")</f>
        <v/>
      </c>
      <c r="Q218" s="81" t="str">
        <f t="shared" si="26"/>
        <v/>
      </c>
      <c r="R218" s="82" t="str">
        <f>IF((AND(T_BilanSocial2[[#This Row],[Nom]]&lt;&gt;"",T_BilanSocial2[[#This Row],[Reg Ponct]]="R")),IF(S218="T",U218-T218,0)+IF(V218="T",X218-W218,0)+IF(Z218="T",AB218-AA218,0)+IF(AC218="T",AE218-AD218,0)+IF(AG218="T",AI218-AH218,0)+IF(AJ218="T",AL218-AK218,0)+IF(AN218="T",AP218-AO218,0)+IF(AQ218="T",AS218-AR218,0)+IF(AU218="T",AW218-AV218,0)+IF(AX218="T",AZ218-AY218,0),"")</f>
        <v/>
      </c>
      <c r="S218" s="36" t="s">
        <v>307</v>
      </c>
      <c r="T218" s="37">
        <v>0.35416666666666669</v>
      </c>
      <c r="U218" s="37">
        <v>0.5</v>
      </c>
      <c r="V218" s="21" t="s">
        <v>307</v>
      </c>
      <c r="W218" s="37">
        <v>0.54166666666666663</v>
      </c>
      <c r="X218" s="37">
        <v>0.70833333333333337</v>
      </c>
      <c r="Y218" s="38" t="str">
        <f t="shared" si="27"/>
        <v/>
      </c>
      <c r="Z218" s="36" t="s">
        <v>307</v>
      </c>
      <c r="AA218" s="37">
        <v>0.35416666666666669</v>
      </c>
      <c r="AB218" s="37">
        <v>0.5</v>
      </c>
      <c r="AC218" s="21" t="s">
        <v>307</v>
      </c>
      <c r="AD218" s="37">
        <v>0.54166666666666663</v>
      </c>
      <c r="AE218" s="37">
        <v>0.70833333333333337</v>
      </c>
      <c r="AF218" s="38" t="str">
        <f t="shared" si="28"/>
        <v/>
      </c>
      <c r="AG218" s="36" t="s">
        <v>306</v>
      </c>
      <c r="AH218" s="37">
        <v>0.35416666666666669</v>
      </c>
      <c r="AI218" s="37">
        <v>0.5</v>
      </c>
      <c r="AJ218" s="21" t="s">
        <v>306</v>
      </c>
      <c r="AK218" s="37">
        <v>0.54166666666666663</v>
      </c>
      <c r="AL218" s="37">
        <v>0.70833333333333337</v>
      </c>
      <c r="AM218" s="38" t="str">
        <f t="shared" si="29"/>
        <v/>
      </c>
      <c r="AN218" s="36" t="s">
        <v>306</v>
      </c>
      <c r="AO218" s="37">
        <v>0.35416666666666669</v>
      </c>
      <c r="AP218" s="37">
        <v>0.5</v>
      </c>
      <c r="AQ218" s="21" t="s">
        <v>306</v>
      </c>
      <c r="AR218" s="37">
        <v>0.54166666666666663</v>
      </c>
      <c r="AS218" s="37">
        <v>0.70833333333333337</v>
      </c>
      <c r="AT218" s="38" t="str">
        <f t="shared" si="30"/>
        <v/>
      </c>
      <c r="AU218" s="36" t="s">
        <v>306</v>
      </c>
      <c r="AV218" s="37">
        <v>0.3298611111111111</v>
      </c>
      <c r="AW218" s="37">
        <v>0.5</v>
      </c>
      <c r="AX218" s="21" t="s">
        <v>306</v>
      </c>
      <c r="AY218" s="37">
        <v>0.54166666666666663</v>
      </c>
      <c r="AZ218" s="37">
        <v>0.66666666666666663</v>
      </c>
      <c r="BA218" s="39" t="str">
        <f t="shared" si="31"/>
        <v/>
      </c>
      <c r="BB218" s="46" t="s">
        <v>376</v>
      </c>
      <c r="BC218" s="31" t="s">
        <v>341</v>
      </c>
      <c r="BD218" s="16" t="s">
        <v>322</v>
      </c>
      <c r="BE218" s="16" t="s">
        <v>311</v>
      </c>
      <c r="BF218" s="244" t="str">
        <f>T_BilanSocial2[[#This Row],[Nom]]&amp;T_BilanSocial2[[#This Row],[Prénom]]</f>
        <v/>
      </c>
    </row>
    <row r="219" spans="1:58" ht="21.75" hidden="1" customHeight="1" x14ac:dyDescent="0.25">
      <c r="A219" s="90">
        <v>19</v>
      </c>
      <c r="B219" s="126" t="s">
        <v>210</v>
      </c>
      <c r="C219" s="126" t="str">
        <f>VLOOKUP(T_BilanSocial2[[#This Row],[NumL]],T_Commission[#Data],COLUMN(T_Commission[FINAL]),FALSE)</f>
        <v/>
      </c>
      <c r="D219" s="19" t="str">
        <f t="shared" si="24"/>
        <v/>
      </c>
      <c r="E219" s="19" t="str">
        <f t="shared" si="25"/>
        <v/>
      </c>
      <c r="F219" s="242" t="str">
        <f>IFERROR(VLOOKUP(T_BilanSocial2[[#This Row],[Zone_Bilan]],T_P_BilanSocial[#Data],COLUMN(T_P_BilanSocial[[#This Row],[Numero_SIHAM]]),FALSE),"")</f>
        <v/>
      </c>
      <c r="G219" s="242" t="str">
        <f>IFERROR(VLOOKUP(T_BilanSocial2[[#This Row],[Zone_Bilan]],T_P_BilanSocial[#Data],COLUMN(T_P_BilanSocial[[#This Row],[Sexe]]),FALSE),"")</f>
        <v/>
      </c>
      <c r="H219" s="243" t="str">
        <f>IFERROR(VLOOKUP(T_BilanSocial2[[#This Row],[Zone_Bilan]],T_P_BilanSocial[#Data],COLUMN(T_P_BilanSocial[[#This Row],[Categorie]]),FALSE),"")</f>
        <v/>
      </c>
      <c r="I219" s="242" t="str">
        <f>IFERROR(VLOOKUP(T_BilanSocial2[[#This Row],[Zone_Bilan]],T_P_BilanSocial[#Data],COLUMN(T_P_BilanSocial[[#This Row],[Statut]]),FALSE),"")</f>
        <v/>
      </c>
      <c r="J219" s="242" t="str">
        <f>IFERROR(VLOOKUP(T_BilanSocial2[[#This Row],[Zone_Bilan]],T_P_BilanSocial[#Data],COLUMN(T_P_BilanSocial[[#This Row],[Filiere]]),FALSE),"")</f>
        <v/>
      </c>
      <c r="K219" s="78">
        <v>1</v>
      </c>
      <c r="L219" s="213">
        <v>1.5451388888888891</v>
      </c>
      <c r="M219" s="78" t="s">
        <v>210</v>
      </c>
      <c r="N219" s="79" t="str">
        <f>IF((AND(T_BilanSocial2[[#This Row],[Nom]]&lt;&gt;"",T_BilanSocial2[[#This Row],[Reg Ponct]]="R")),(COUNTIF(S219:AX219,"S")+COUNTIF(S219:AX219,"T"))/2,"")</f>
        <v/>
      </c>
      <c r="O219" s="79" t="str">
        <f>IF((AND(T_BilanSocial2[[#This Row],[Nom]]&lt;&gt;"",T_BilanSocial2[[#This Row],[Reg Ponct]]="R")),COUNTIF(S219:AX219,"S")/2,"")</f>
        <v/>
      </c>
      <c r="P219" s="80" t="str">
        <f>IF((AND(T_BilanSocial2[[#This Row],[Nom]]&lt;&gt;"",T_BilanSocial2[[#This Row],[Reg Ponct]]="R")),COUNTIF(S219:AX219,"t")/2,"")</f>
        <v/>
      </c>
      <c r="Q219" s="81" t="str">
        <f t="shared" si="26"/>
        <v/>
      </c>
      <c r="R219" s="82" t="str">
        <f>IF((AND(T_BilanSocial2[[#This Row],[Nom]]&lt;&gt;"",T_BilanSocial2[[#This Row],[Reg Ponct]]="R")),IF(S219="T",U219-T219,0)+IF(V219="T",X219-W219,0)+IF(Z219="T",AB219-AA219,0)+IF(AC219="T",AE219-AD219,0)+IF(AG219="T",AI219-AH219,0)+IF(AJ219="T",AL219-AK219,0)+IF(AN219="T",AP219-AO219,0)+IF(AQ219="T",AS219-AR219,0)+IF(AU219="T",AW219-AV219,0)+IF(AX219="T",AZ219-AY219,0),"")</f>
        <v/>
      </c>
      <c r="S219" s="36" t="s">
        <v>307</v>
      </c>
      <c r="T219" s="37">
        <v>0.31597222222222221</v>
      </c>
      <c r="U219" s="37">
        <v>0.52083333333333337</v>
      </c>
      <c r="V219" s="21" t="s">
        <v>307</v>
      </c>
      <c r="W219" s="37">
        <v>0.5625</v>
      </c>
      <c r="X219" s="37">
        <v>0.66666666666666663</v>
      </c>
      <c r="Y219" s="38" t="str">
        <f t="shared" si="27"/>
        <v/>
      </c>
      <c r="Z219" s="36" t="s">
        <v>306</v>
      </c>
      <c r="AA219" s="37">
        <v>0.31597222222222221</v>
      </c>
      <c r="AB219" s="37">
        <v>0.52083333333333337</v>
      </c>
      <c r="AC219" s="21" t="s">
        <v>306</v>
      </c>
      <c r="AD219" s="37">
        <v>0.5625</v>
      </c>
      <c r="AE219" s="37">
        <v>0.66666666666666663</v>
      </c>
      <c r="AF219" s="38" t="str">
        <f t="shared" si="28"/>
        <v/>
      </c>
      <c r="AG219" s="36" t="s">
        <v>306</v>
      </c>
      <c r="AH219" s="37">
        <v>0.31597222222222221</v>
      </c>
      <c r="AI219" s="37">
        <v>0.52083333333333337</v>
      </c>
      <c r="AJ219" s="21" t="s">
        <v>306</v>
      </c>
      <c r="AK219" s="37">
        <v>0.5625</v>
      </c>
      <c r="AL219" s="37">
        <v>0.66666666666666663</v>
      </c>
      <c r="AM219" s="38" t="str">
        <f t="shared" si="29"/>
        <v/>
      </c>
      <c r="AN219" s="36" t="s">
        <v>306</v>
      </c>
      <c r="AO219" s="37">
        <v>0.31597222222222221</v>
      </c>
      <c r="AP219" s="37">
        <v>0.52083333333333337</v>
      </c>
      <c r="AQ219" s="21" t="s">
        <v>306</v>
      </c>
      <c r="AR219" s="37">
        <v>0.5625</v>
      </c>
      <c r="AS219" s="37">
        <v>0.66666666666666663</v>
      </c>
      <c r="AT219" s="38" t="str">
        <f t="shared" si="30"/>
        <v/>
      </c>
      <c r="AU219" s="36" t="s">
        <v>307</v>
      </c>
      <c r="AV219" s="37">
        <v>0.31597222222222221</v>
      </c>
      <c r="AW219" s="37">
        <v>0.52083333333333337</v>
      </c>
      <c r="AX219" s="21" t="s">
        <v>307</v>
      </c>
      <c r="AY219" s="37">
        <v>0.5625</v>
      </c>
      <c r="AZ219" s="37">
        <v>0.66666666666666663</v>
      </c>
      <c r="BA219" s="39" t="str">
        <f t="shared" si="31"/>
        <v/>
      </c>
      <c r="BB219" s="46" t="s">
        <v>423</v>
      </c>
      <c r="BC219" s="31" t="s">
        <v>424</v>
      </c>
      <c r="BD219" s="16" t="s">
        <v>322</v>
      </c>
      <c r="BE219" s="16" t="s">
        <v>322</v>
      </c>
      <c r="BF219" s="244" t="str">
        <f>T_BilanSocial2[[#This Row],[Nom]]&amp;T_BilanSocial2[[#This Row],[Prénom]]</f>
        <v/>
      </c>
    </row>
    <row r="220" spans="1:58" ht="21.75" hidden="1" customHeight="1" x14ac:dyDescent="0.25">
      <c r="A220" s="90">
        <v>210</v>
      </c>
      <c r="B220" s="126" t="s">
        <v>311</v>
      </c>
      <c r="C220" s="126" t="str">
        <f>VLOOKUP(T_BilanSocial2[[#This Row],[NumL]],T_Commission[#Data],COLUMN(T_Commission[FINAL]),FALSE)</f>
        <v/>
      </c>
      <c r="D220" s="19" t="str">
        <f t="shared" si="24"/>
        <v/>
      </c>
      <c r="E220" s="19" t="str">
        <f t="shared" si="25"/>
        <v/>
      </c>
      <c r="F220" s="242" t="str">
        <f>IFERROR(VLOOKUP(T_BilanSocial2[[#This Row],[Zone_Bilan]],T_P_BilanSocial[#Data],COLUMN(T_P_BilanSocial[[#This Row],[Numero_SIHAM]]),FALSE),"")</f>
        <v/>
      </c>
      <c r="G220" s="242" t="str">
        <f>IFERROR(VLOOKUP(T_BilanSocial2[[#This Row],[Zone_Bilan]],T_P_BilanSocial[#Data],COLUMN(T_P_BilanSocial[[#This Row],[Sexe]]),FALSE),"")</f>
        <v/>
      </c>
      <c r="H220" s="243" t="str">
        <f>IFERROR(VLOOKUP(T_BilanSocial2[[#This Row],[Zone_Bilan]],T_P_BilanSocial[#Data],COLUMN(T_P_BilanSocial[[#This Row],[Categorie]]),FALSE),"")</f>
        <v/>
      </c>
      <c r="I220" s="242" t="str">
        <f>IFERROR(VLOOKUP(T_BilanSocial2[[#This Row],[Zone_Bilan]],T_P_BilanSocial[#Data],COLUMN(T_P_BilanSocial[[#This Row],[Statut]]),FALSE),"")</f>
        <v/>
      </c>
      <c r="J220" s="242" t="str">
        <f>IFERROR(VLOOKUP(T_BilanSocial2[[#This Row],[Zone_Bilan]],T_P_BilanSocial[#Data],COLUMN(T_P_BilanSocial[[#This Row],[Filiere]]),FALSE),"")</f>
        <v/>
      </c>
      <c r="K220" s="78">
        <v>1</v>
      </c>
      <c r="L220" s="213">
        <v>1.5451388888888891</v>
      </c>
      <c r="M220" s="78" t="s">
        <v>210</v>
      </c>
      <c r="N220" s="79" t="str">
        <f>IF((AND(T_BilanSocial2[[#This Row],[Nom]]&lt;&gt;"",T_BilanSocial2[[#This Row],[Reg Ponct]]="R")),(COUNTIF(S220:AX220,"S")+COUNTIF(S220:AX220,"T"))/2,"")</f>
        <v/>
      </c>
      <c r="O220" s="79" t="str">
        <f>IF((AND(T_BilanSocial2[[#This Row],[Nom]]&lt;&gt;"",T_BilanSocial2[[#This Row],[Reg Ponct]]="R")),COUNTIF(S220:AX220,"S")/2,"")</f>
        <v/>
      </c>
      <c r="P220" s="80" t="str">
        <f>IF((AND(T_BilanSocial2[[#This Row],[Nom]]&lt;&gt;"",T_BilanSocial2[[#This Row],[Reg Ponct]]="R")),COUNTIF(S220:AX220,"t")/2,"")</f>
        <v/>
      </c>
      <c r="Q220" s="81" t="str">
        <f t="shared" si="26"/>
        <v/>
      </c>
      <c r="R220" s="82" t="str">
        <f>IF((AND(T_BilanSocial2[[#This Row],[Nom]]&lt;&gt;"",T_BilanSocial2[[#This Row],[Reg Ponct]]="R")),IF(S220="T",U220-T220,0)+IF(V220="T",X220-W220,0)+IF(Z220="T",AB220-AA220,0)+IF(AC220="T",AE220-AD220,0)+IF(AG220="T",AI220-AH220,0)+IF(AJ220="T",AL220-AK220,0)+IF(AN220="T",AP220-AO220,0)+IF(AQ220="T",AS220-AR220,0)+IF(AU220="T",AW220-AV220,0)+IF(AX220="T",AZ220-AY220,0),"")</f>
        <v/>
      </c>
      <c r="S220" s="36" t="s">
        <v>306</v>
      </c>
      <c r="T220" s="37">
        <v>0.35416666666666669</v>
      </c>
      <c r="U220" s="37">
        <v>0.52083333333333337</v>
      </c>
      <c r="V220" s="21" t="s">
        <v>306</v>
      </c>
      <c r="W220" s="37">
        <v>0.5625</v>
      </c>
      <c r="X220" s="37">
        <v>0.70833333333333337</v>
      </c>
      <c r="Y220" s="38" t="str">
        <f t="shared" si="27"/>
        <v/>
      </c>
      <c r="Z220" s="36" t="s">
        <v>306</v>
      </c>
      <c r="AA220" s="37">
        <v>0.35416666666666669</v>
      </c>
      <c r="AB220" s="37">
        <v>0.52083333333333337</v>
      </c>
      <c r="AC220" s="21" t="s">
        <v>306</v>
      </c>
      <c r="AD220" s="37">
        <v>0.5625</v>
      </c>
      <c r="AE220" s="37">
        <v>0.70833333333333337</v>
      </c>
      <c r="AF220" s="38" t="str">
        <f t="shared" si="28"/>
        <v/>
      </c>
      <c r="AG220" s="36" t="s">
        <v>306</v>
      </c>
      <c r="AH220" s="37">
        <v>0.35416666666666669</v>
      </c>
      <c r="AI220" s="37">
        <v>0.52083333333333337</v>
      </c>
      <c r="AJ220" s="21" t="s">
        <v>306</v>
      </c>
      <c r="AK220" s="37">
        <v>0.5625</v>
      </c>
      <c r="AL220" s="37">
        <v>0.70833333333333337</v>
      </c>
      <c r="AM220" s="38" t="str">
        <f t="shared" si="29"/>
        <v/>
      </c>
      <c r="AN220" s="36" t="s">
        <v>306</v>
      </c>
      <c r="AO220" s="37">
        <v>0.35416666666666669</v>
      </c>
      <c r="AP220" s="37">
        <v>0.52083333333333337</v>
      </c>
      <c r="AQ220" s="21" t="s">
        <v>306</v>
      </c>
      <c r="AR220" s="37">
        <v>0.5625</v>
      </c>
      <c r="AS220" s="37">
        <v>0.70833333333333337</v>
      </c>
      <c r="AT220" s="38" t="str">
        <f t="shared" si="30"/>
        <v/>
      </c>
      <c r="AU220" s="36" t="s">
        <v>306</v>
      </c>
      <c r="AV220" s="37">
        <v>0.35416666666666669</v>
      </c>
      <c r="AW220" s="37">
        <v>0.52083333333333337</v>
      </c>
      <c r="AX220" s="21" t="s">
        <v>307</v>
      </c>
      <c r="AY220" s="37">
        <v>0.5625</v>
      </c>
      <c r="AZ220" s="37">
        <v>0.69097222222222221</v>
      </c>
      <c r="BA220" s="39" t="str">
        <f t="shared" si="31"/>
        <v/>
      </c>
      <c r="BB220" s="46" t="s">
        <v>684</v>
      </c>
      <c r="BC220" s="31" t="s">
        <v>341</v>
      </c>
      <c r="BD220" s="16" t="s">
        <v>311</v>
      </c>
      <c r="BE220" s="16" t="s">
        <v>311</v>
      </c>
      <c r="BF220" s="244" t="str">
        <f>T_BilanSocial2[[#This Row],[Nom]]&amp;T_BilanSocial2[[#This Row],[Prénom]]</f>
        <v/>
      </c>
    </row>
    <row r="221" spans="1:58" ht="21.75" hidden="1" customHeight="1" x14ac:dyDescent="0.25">
      <c r="A221" s="90">
        <v>136</v>
      </c>
      <c r="B221" s="126" t="s">
        <v>311</v>
      </c>
      <c r="C221" s="126" t="str">
        <f>VLOOKUP(T_BilanSocial2[[#This Row],[NumL]],T_Commission[#Data],COLUMN(T_Commission[FINAL]),FALSE)</f>
        <v/>
      </c>
      <c r="D221" s="19" t="str">
        <f t="shared" si="24"/>
        <v/>
      </c>
      <c r="E221" s="19" t="str">
        <f t="shared" si="25"/>
        <v/>
      </c>
      <c r="F221" s="242" t="str">
        <f>IFERROR(VLOOKUP(T_BilanSocial2[[#This Row],[Zone_Bilan]],T_P_BilanSocial[#Data],COLUMN(T_P_BilanSocial[[#This Row],[Numero_SIHAM]]),FALSE),"")</f>
        <v/>
      </c>
      <c r="G221" s="242" t="str">
        <f>IFERROR(VLOOKUP(T_BilanSocial2[[#This Row],[Zone_Bilan]],T_P_BilanSocial[#Data],COLUMN(T_P_BilanSocial[[#This Row],[Sexe]]),FALSE),"")</f>
        <v/>
      </c>
      <c r="H221" s="243" t="str">
        <f>IFERROR(VLOOKUP(T_BilanSocial2[[#This Row],[Zone_Bilan]],T_P_BilanSocial[#Data],COLUMN(T_P_BilanSocial[[#This Row],[Categorie]]),FALSE),"")</f>
        <v/>
      </c>
      <c r="I221" s="242" t="str">
        <f>IFERROR(VLOOKUP(T_BilanSocial2[[#This Row],[Zone_Bilan]],T_P_BilanSocial[#Data],COLUMN(T_P_BilanSocial[[#This Row],[Statut]]),FALSE),"")</f>
        <v/>
      </c>
      <c r="J221" s="242" t="str">
        <f>IFERROR(VLOOKUP(T_BilanSocial2[[#This Row],[Zone_Bilan]],T_P_BilanSocial[#Data],COLUMN(T_P_BilanSocial[[#This Row],[Filiere]]),FALSE),"")</f>
        <v/>
      </c>
      <c r="K221" s="78">
        <v>1</v>
      </c>
      <c r="L221" s="213">
        <v>1.5451388888888891</v>
      </c>
      <c r="M221" s="78" t="s">
        <v>210</v>
      </c>
      <c r="N221" s="79" t="str">
        <f>IF((AND(T_BilanSocial2[[#This Row],[Nom]]&lt;&gt;"",T_BilanSocial2[[#This Row],[Reg Ponct]]="R")),(COUNTIF(S221:AX221,"S")+COUNTIF(S221:AX221,"T"))/2,"")</f>
        <v/>
      </c>
      <c r="O221" s="79" t="str">
        <f>IF((AND(T_BilanSocial2[[#This Row],[Nom]]&lt;&gt;"",T_BilanSocial2[[#This Row],[Reg Ponct]]="R")),COUNTIF(S221:AX221,"S")/2,"")</f>
        <v/>
      </c>
      <c r="P221" s="80" t="str">
        <f>IF((AND(T_BilanSocial2[[#This Row],[Nom]]&lt;&gt;"",T_BilanSocial2[[#This Row],[Reg Ponct]]="R")),COUNTIF(S221:AX221,"t")/2,"")</f>
        <v/>
      </c>
      <c r="Q221" s="81" t="str">
        <f t="shared" si="26"/>
        <v/>
      </c>
      <c r="R221" s="82" t="str">
        <f>IF((AND(T_BilanSocial2[[#This Row],[Nom]]&lt;&gt;"",T_BilanSocial2[[#This Row],[Reg Ponct]]="R")),IF(S221="T",U221-T221,0)+IF(V221="T",X221-W221,0)+IF(Z221="T",AB221-AA221,0)+IF(AC221="T",AE221-AD221,0)+IF(AG221="T",AI221-AH221,0)+IF(AJ221="T",AL221-AK221,0)+IF(AN221="T",AP221-AO221,0)+IF(AQ221="T",AS221-AR221,0)+IF(AU221="T",AW221-AV221,0)+IF(AX221="T",AZ221-AY221,0),"")</f>
        <v/>
      </c>
      <c r="S221" s="36" t="s">
        <v>307</v>
      </c>
      <c r="T221" s="37">
        <v>0.35416666666666669</v>
      </c>
      <c r="U221" s="37">
        <v>0.52083333333333337</v>
      </c>
      <c r="V221" s="21" t="s">
        <v>307</v>
      </c>
      <c r="W221" s="37">
        <v>0.5625</v>
      </c>
      <c r="X221" s="37">
        <v>0.72916666666666663</v>
      </c>
      <c r="Y221" s="38" t="str">
        <f t="shared" si="27"/>
        <v/>
      </c>
      <c r="Z221" s="36" t="s">
        <v>306</v>
      </c>
      <c r="AA221" s="37">
        <v>0.35416666666666669</v>
      </c>
      <c r="AB221" s="37">
        <v>0.52083333333333337</v>
      </c>
      <c r="AC221" s="21" t="s">
        <v>306</v>
      </c>
      <c r="AD221" s="37">
        <v>0.5625</v>
      </c>
      <c r="AE221" s="37">
        <v>0.72916666666666663</v>
      </c>
      <c r="AF221" s="38" t="str">
        <f t="shared" si="28"/>
        <v/>
      </c>
      <c r="AG221" s="36" t="s">
        <v>306</v>
      </c>
      <c r="AH221" s="37">
        <v>0.3125</v>
      </c>
      <c r="AI221" s="37">
        <v>0.52430555555555558</v>
      </c>
      <c r="AJ221" s="21" t="s">
        <v>308</v>
      </c>
      <c r="AK221" s="37"/>
      <c r="AL221" s="37"/>
      <c r="AM221" s="38" t="str">
        <f t="shared" si="29"/>
        <v/>
      </c>
      <c r="AN221" s="36" t="s">
        <v>306</v>
      </c>
      <c r="AO221" s="37">
        <v>0.35416666666666669</v>
      </c>
      <c r="AP221" s="37">
        <v>0.52083333333333337</v>
      </c>
      <c r="AQ221" s="21" t="s">
        <v>306</v>
      </c>
      <c r="AR221" s="37">
        <v>0.5625</v>
      </c>
      <c r="AS221" s="37">
        <v>0.72916666666666663</v>
      </c>
      <c r="AT221" s="38" t="str">
        <f t="shared" si="30"/>
        <v/>
      </c>
      <c r="AU221" s="36" t="s">
        <v>306</v>
      </c>
      <c r="AV221" s="37">
        <v>0.35416666666666669</v>
      </c>
      <c r="AW221" s="37">
        <v>0.52083333333333337</v>
      </c>
      <c r="AX221" s="21" t="s">
        <v>306</v>
      </c>
      <c r="AY221" s="37">
        <v>0.5625</v>
      </c>
      <c r="AZ221" s="37">
        <v>0.72916666666666663</v>
      </c>
      <c r="BA221" s="39" t="str">
        <f t="shared" si="31"/>
        <v/>
      </c>
      <c r="BB221" s="46" t="s">
        <v>411</v>
      </c>
      <c r="BC221" s="31" t="s">
        <v>341</v>
      </c>
      <c r="BD221" s="16" t="s">
        <v>311</v>
      </c>
      <c r="BE221" s="16" t="s">
        <v>311</v>
      </c>
      <c r="BF221" s="244" t="str">
        <f>T_BilanSocial2[[#This Row],[Nom]]&amp;T_BilanSocial2[[#This Row],[Prénom]]</f>
        <v/>
      </c>
    </row>
    <row r="222" spans="1:58" ht="21.75" hidden="1" customHeight="1" x14ac:dyDescent="0.25">
      <c r="A222" s="90">
        <v>103</v>
      </c>
      <c r="B222" s="126" t="s">
        <v>311</v>
      </c>
      <c r="C222" s="126" t="e">
        <f>VLOOKUP(T_BilanSocial2[[#This Row],[NumL]],T_Commission[#Data],COLUMN(T_Commission[FINAL]),FALSE)</f>
        <v>#N/A</v>
      </c>
      <c r="D222" s="19" t="str">
        <f t="shared" si="24"/>
        <v/>
      </c>
      <c r="E222" s="19" t="str">
        <f t="shared" si="25"/>
        <v/>
      </c>
      <c r="F222" s="242" t="str">
        <f>IFERROR(VLOOKUP(T_BilanSocial2[[#This Row],[Zone_Bilan]],T_P_BilanSocial[#Data],COLUMN(T_P_BilanSocial[[#This Row],[Numero_SIHAM]]),FALSE),"")</f>
        <v/>
      </c>
      <c r="G222" s="242" t="str">
        <f>IFERROR(VLOOKUP(T_BilanSocial2[[#This Row],[Zone_Bilan]],T_P_BilanSocial[#Data],COLUMN(T_P_BilanSocial[[#This Row],[Sexe]]),FALSE),"")</f>
        <v/>
      </c>
      <c r="H222" s="243" t="str">
        <f>IFERROR(VLOOKUP(T_BilanSocial2[[#This Row],[Zone_Bilan]],T_P_BilanSocial[#Data],COLUMN(T_P_BilanSocial[[#This Row],[Categorie]]),FALSE),"")</f>
        <v/>
      </c>
      <c r="I222" s="242" t="str">
        <f>IFERROR(VLOOKUP(T_BilanSocial2[[#This Row],[Zone_Bilan]],T_P_BilanSocial[#Data],COLUMN(T_P_BilanSocial[[#This Row],[Statut]]),FALSE),"")</f>
        <v/>
      </c>
      <c r="J222" s="242" t="str">
        <f>IFERROR(VLOOKUP(T_BilanSocial2[[#This Row],[Zone_Bilan]],T_P_BilanSocial[#Data],COLUMN(T_P_BilanSocial[[#This Row],[Filiere]]),FALSE),"")</f>
        <v/>
      </c>
      <c r="K222" s="78">
        <v>1</v>
      </c>
      <c r="L222" s="213">
        <v>1.5451388888888891</v>
      </c>
      <c r="M222" s="78" t="s">
        <v>210</v>
      </c>
      <c r="N222" s="79" t="str">
        <f>IF((AND(T_BilanSocial2[[#This Row],[Nom]]&lt;&gt;"",T_BilanSocial2[[#This Row],[Reg Ponct]]="R")),(COUNTIF(S222:AX222,"S")+COUNTIF(S222:AX222,"T"))/2,"")</f>
        <v/>
      </c>
      <c r="O222" s="79" t="str">
        <f>IF((AND(T_BilanSocial2[[#This Row],[Nom]]&lt;&gt;"",T_BilanSocial2[[#This Row],[Reg Ponct]]="R")),COUNTIF(S222:AX222,"S")/2,"")</f>
        <v/>
      </c>
      <c r="P222" s="80" t="str">
        <f>IF((AND(T_BilanSocial2[[#This Row],[Nom]]&lt;&gt;"",T_BilanSocial2[[#This Row],[Reg Ponct]]="R")),COUNTIF(S222:AX222,"t")/2,"")</f>
        <v/>
      </c>
      <c r="Q222" s="81" t="str">
        <f t="shared" si="26"/>
        <v/>
      </c>
      <c r="R222" s="82" t="str">
        <f>IF((AND(T_BilanSocial2[[#This Row],[Nom]]&lt;&gt;"",T_BilanSocial2[[#This Row],[Reg Ponct]]="R")),IF(S222="T",U222-T222,0)+IF(V222="T",X222-W222,0)+IF(Z222="T",AB222-AA222,0)+IF(AC222="T",AE222-AD222,0)+IF(AG222="T",AI222-AH222,0)+IF(AJ222="T",AL222-AK222,0)+IF(AN222="T",AP222-AO222,0)+IF(AQ222="T",AS222-AR222,0)+IF(AU222="T",AW222-AV222,0)+IF(AX222="T",AZ222-AY222,0),"")</f>
        <v/>
      </c>
      <c r="S222" s="36" t="s">
        <v>306</v>
      </c>
      <c r="T222" s="37">
        <v>0.3125</v>
      </c>
      <c r="U222" s="37">
        <v>0.52083333333333337</v>
      </c>
      <c r="V222" s="21" t="s">
        <v>306</v>
      </c>
      <c r="W222" s="37">
        <v>0.5625</v>
      </c>
      <c r="X222" s="37">
        <v>0.69791666666666663</v>
      </c>
      <c r="Y222" s="38" t="str">
        <f t="shared" si="27"/>
        <v/>
      </c>
      <c r="Z222" s="36" t="s">
        <v>306</v>
      </c>
      <c r="AA222" s="37">
        <v>0.3125</v>
      </c>
      <c r="AB222" s="37">
        <v>0.52083333333333337</v>
      </c>
      <c r="AC222" s="21" t="s">
        <v>306</v>
      </c>
      <c r="AD222" s="37">
        <v>0.5625</v>
      </c>
      <c r="AE222" s="37">
        <v>0.69791666666666663</v>
      </c>
      <c r="AF222" s="38" t="str">
        <f t="shared" si="28"/>
        <v/>
      </c>
      <c r="AG222" s="36" t="s">
        <v>306</v>
      </c>
      <c r="AH222" s="37">
        <v>0.3125</v>
      </c>
      <c r="AI222" s="37">
        <v>0.52083333333333337</v>
      </c>
      <c r="AJ222" s="21" t="s">
        <v>306</v>
      </c>
      <c r="AK222" s="37">
        <v>0.5625</v>
      </c>
      <c r="AL222" s="37">
        <v>0.69791666666666663</v>
      </c>
      <c r="AM222" s="38" t="str">
        <f t="shared" si="29"/>
        <v/>
      </c>
      <c r="AN222" s="36" t="s">
        <v>306</v>
      </c>
      <c r="AO222" s="37">
        <v>0.3125</v>
      </c>
      <c r="AP222" s="37">
        <v>0.52083333333333337</v>
      </c>
      <c r="AQ222" s="21" t="s">
        <v>306</v>
      </c>
      <c r="AR222" s="37">
        <v>0.5625</v>
      </c>
      <c r="AS222" s="37">
        <v>0.69791666666666663</v>
      </c>
      <c r="AT222" s="38" t="str">
        <f t="shared" si="30"/>
        <v/>
      </c>
      <c r="AU222" s="36" t="s">
        <v>307</v>
      </c>
      <c r="AV222" s="37">
        <v>0.3125</v>
      </c>
      <c r="AW222" s="37">
        <v>0.4826388888888889</v>
      </c>
      <c r="AX222" s="21" t="s">
        <v>308</v>
      </c>
      <c r="AY222" s="37"/>
      <c r="AZ222" s="37"/>
      <c r="BA222" s="39" t="str">
        <f t="shared" si="31"/>
        <v/>
      </c>
      <c r="BB222" s="46" t="s">
        <v>717</v>
      </c>
      <c r="BC222" s="31" t="s">
        <v>718</v>
      </c>
      <c r="BD222" s="16" t="s">
        <v>311</v>
      </c>
      <c r="BE222" s="16" t="s">
        <v>311</v>
      </c>
      <c r="BF222" s="244" t="str">
        <f>T_BilanSocial2[[#This Row],[Nom]]&amp;T_BilanSocial2[[#This Row],[Prénom]]</f>
        <v/>
      </c>
    </row>
    <row r="223" spans="1:58" ht="21.75" hidden="1" customHeight="1" x14ac:dyDescent="0.25">
      <c r="A223" s="90">
        <v>167</v>
      </c>
      <c r="B223" s="126" t="s">
        <v>311</v>
      </c>
      <c r="C223" s="126" t="str">
        <f>VLOOKUP(T_BilanSocial2[[#This Row],[NumL]],T_Commission[#Data],COLUMN(T_Commission[FINAL]),FALSE)</f>
        <v/>
      </c>
      <c r="D223" s="19" t="str">
        <f t="shared" si="24"/>
        <v/>
      </c>
      <c r="E223" s="19" t="str">
        <f t="shared" si="25"/>
        <v/>
      </c>
      <c r="F223" s="242" t="str">
        <f>IFERROR(VLOOKUP(T_BilanSocial2[[#This Row],[Zone_Bilan]],T_P_BilanSocial[#Data],COLUMN(T_P_BilanSocial[[#This Row],[Numero_SIHAM]]),FALSE),"")</f>
        <v/>
      </c>
      <c r="G223" s="242" t="str">
        <f>IFERROR(VLOOKUP(T_BilanSocial2[[#This Row],[Zone_Bilan]],T_P_BilanSocial[#Data],COLUMN(T_P_BilanSocial[[#This Row],[Sexe]]),FALSE),"")</f>
        <v/>
      </c>
      <c r="H223" s="243" t="str">
        <f>IFERROR(VLOOKUP(T_BilanSocial2[[#This Row],[Zone_Bilan]],T_P_BilanSocial[#Data],COLUMN(T_P_BilanSocial[[#This Row],[Categorie]]),FALSE),"")</f>
        <v/>
      </c>
      <c r="I223" s="242" t="str">
        <f>IFERROR(VLOOKUP(T_BilanSocial2[[#This Row],[Zone_Bilan]],T_P_BilanSocial[#Data],COLUMN(T_P_BilanSocial[[#This Row],[Statut]]),FALSE),"")</f>
        <v/>
      </c>
      <c r="J223" s="242" t="str">
        <f>IFERROR(VLOOKUP(T_BilanSocial2[[#This Row],[Zone_Bilan]],T_P_BilanSocial[#Data],COLUMN(T_P_BilanSocial[[#This Row],[Filiere]]),FALSE),"")</f>
        <v/>
      </c>
      <c r="K223" s="78">
        <v>1</v>
      </c>
      <c r="L223" s="213">
        <v>1.5451388888888891</v>
      </c>
      <c r="M223" s="78" t="s">
        <v>210</v>
      </c>
      <c r="N223" s="79" t="str">
        <f>IF((AND(T_BilanSocial2[[#This Row],[Nom]]&lt;&gt;"",T_BilanSocial2[[#This Row],[Reg Ponct]]="R")),(COUNTIF(S223:AX223,"S")+COUNTIF(S223:AX223,"T"))/2,"")</f>
        <v/>
      </c>
      <c r="O223" s="79" t="str">
        <f>IF((AND(T_BilanSocial2[[#This Row],[Nom]]&lt;&gt;"",T_BilanSocial2[[#This Row],[Reg Ponct]]="R")),COUNTIF(S223:AX223,"S")/2,"")</f>
        <v/>
      </c>
      <c r="P223" s="80" t="str">
        <f>IF((AND(T_BilanSocial2[[#This Row],[Nom]]&lt;&gt;"",T_BilanSocial2[[#This Row],[Reg Ponct]]="R")),COUNTIF(S223:AX223,"t")/2,"")</f>
        <v/>
      </c>
      <c r="Q223" s="81" t="str">
        <f t="shared" si="26"/>
        <v/>
      </c>
      <c r="R223" s="82" t="str">
        <f>IF((AND(T_BilanSocial2[[#This Row],[Nom]]&lt;&gt;"",T_BilanSocial2[[#This Row],[Reg Ponct]]="R")),IF(S223="T",U223-T223,0)+IF(V223="T",X223-W223,0)+IF(Z223="T",AB223-AA223,0)+IF(AC223="T",AE223-AD223,0)+IF(AG223="T",AI223-AH223,0)+IF(AJ223="T",AL223-AK223,0)+IF(AN223="T",AP223-AO223,0)+IF(AQ223="T",AS223-AR223,0)+IF(AU223="T",AW223-AV223,0)+IF(AX223="T",AZ223-AY223,0),"")</f>
        <v/>
      </c>
      <c r="S223" s="36" t="s">
        <v>306</v>
      </c>
      <c r="T223" s="37">
        <v>0.36458333333333331</v>
      </c>
      <c r="U223" s="37">
        <v>0.52083333333333337</v>
      </c>
      <c r="V223" s="21" t="s">
        <v>306</v>
      </c>
      <c r="W223" s="37">
        <v>0.5625</v>
      </c>
      <c r="X223" s="37">
        <v>0.71875</v>
      </c>
      <c r="Y223" s="38" t="str">
        <f t="shared" si="27"/>
        <v/>
      </c>
      <c r="Z223" s="36" t="s">
        <v>306</v>
      </c>
      <c r="AA223" s="37">
        <v>0.36458333333333331</v>
      </c>
      <c r="AB223" s="37">
        <v>0.52083333333333337</v>
      </c>
      <c r="AC223" s="21" t="s">
        <v>306</v>
      </c>
      <c r="AD223" s="37">
        <v>0.5625</v>
      </c>
      <c r="AE223" s="37">
        <v>0.71875</v>
      </c>
      <c r="AF223" s="38" t="str">
        <f t="shared" si="28"/>
        <v/>
      </c>
      <c r="AG223" s="36" t="s">
        <v>306</v>
      </c>
      <c r="AH223" s="37">
        <v>0.36458333333333331</v>
      </c>
      <c r="AI223" s="37">
        <v>0.52083333333333337</v>
      </c>
      <c r="AJ223" s="21" t="s">
        <v>306</v>
      </c>
      <c r="AK223" s="37">
        <v>0.5625</v>
      </c>
      <c r="AL223" s="37">
        <v>0.71875</v>
      </c>
      <c r="AM223" s="38" t="str">
        <f t="shared" si="29"/>
        <v/>
      </c>
      <c r="AN223" s="36" t="s">
        <v>306</v>
      </c>
      <c r="AO223" s="37">
        <v>0.36458333333333331</v>
      </c>
      <c r="AP223" s="37">
        <v>0.52083333333333337</v>
      </c>
      <c r="AQ223" s="21" t="s">
        <v>306</v>
      </c>
      <c r="AR223" s="37">
        <v>0.5625</v>
      </c>
      <c r="AS223" s="37">
        <v>0.71875</v>
      </c>
      <c r="AT223" s="38" t="str">
        <f t="shared" si="30"/>
        <v/>
      </c>
      <c r="AU223" s="36" t="s">
        <v>307</v>
      </c>
      <c r="AV223" s="37">
        <v>0.36458333333333331</v>
      </c>
      <c r="AW223" s="37">
        <v>0.52083333333333337</v>
      </c>
      <c r="AX223" s="21" t="s">
        <v>307</v>
      </c>
      <c r="AY223" s="37">
        <v>0.5625</v>
      </c>
      <c r="AZ223" s="37">
        <v>0.70138888888888884</v>
      </c>
      <c r="BA223" s="39" t="str">
        <f t="shared" si="31"/>
        <v/>
      </c>
      <c r="BB223" s="46" t="s">
        <v>883</v>
      </c>
      <c r="BC223" s="31" t="s">
        <v>884</v>
      </c>
      <c r="BD223" s="16" t="s">
        <v>311</v>
      </c>
      <c r="BE223" s="16" t="s">
        <v>311</v>
      </c>
      <c r="BF223" s="244" t="str">
        <f>T_BilanSocial2[[#This Row],[Nom]]&amp;T_BilanSocial2[[#This Row],[Prénom]]</f>
        <v/>
      </c>
    </row>
    <row r="224" spans="1:58" ht="21.75" customHeight="1" x14ac:dyDescent="0.25">
      <c r="A224" s="90">
        <v>155</v>
      </c>
      <c r="B224" s="126" t="s">
        <v>311</v>
      </c>
      <c r="C224" s="126" t="str">
        <f>VLOOKUP(T_BilanSocial2[[#This Row],[NumL]],T_Commission[#Data],COLUMN(T_Commission[FINAL]),FALSE)</f>
        <v/>
      </c>
      <c r="D224" s="19" t="str">
        <f t="shared" si="24"/>
        <v/>
      </c>
      <c r="E224" s="19" t="str">
        <f t="shared" si="25"/>
        <v/>
      </c>
      <c r="F224" s="242" t="str">
        <f>IFERROR(VLOOKUP(T_BilanSocial2[[#This Row],[Zone_Bilan]],T_P_BilanSocial[#Data],COLUMN(T_P_BilanSocial[[#This Row],[Numero_SIHAM]]),FALSE),"")</f>
        <v/>
      </c>
      <c r="G224" s="242" t="str">
        <f>IFERROR(VLOOKUP(T_BilanSocial2[[#This Row],[Zone_Bilan]],T_P_BilanSocial[#Data],COLUMN(T_P_BilanSocial[[#This Row],[Sexe]]),FALSE),"")</f>
        <v/>
      </c>
      <c r="H224" s="243" t="str">
        <f>IFERROR(VLOOKUP(T_BilanSocial2[[#This Row],[Zone_Bilan]],T_P_BilanSocial[#Data],COLUMN(T_P_BilanSocial[[#This Row],[Categorie]]),FALSE),"")</f>
        <v/>
      </c>
      <c r="I224" s="242" t="str">
        <f>IFERROR(VLOOKUP(T_BilanSocial2[[#This Row],[Zone_Bilan]],T_P_BilanSocial[#Data],COLUMN(T_P_BilanSocial[[#This Row],[Statut]]),FALSE),"")</f>
        <v/>
      </c>
      <c r="J224" s="242" t="str">
        <f>IFERROR(VLOOKUP(T_BilanSocial2[[#This Row],[Zone_Bilan]],T_P_BilanSocial[#Data],COLUMN(T_P_BilanSocial[[#This Row],[Filiere]]),FALSE),"")</f>
        <v/>
      </c>
      <c r="K224" s="78">
        <v>1</v>
      </c>
      <c r="L224" s="213">
        <v>1.5451388888888891</v>
      </c>
      <c r="M224" s="78" t="s">
        <v>210</v>
      </c>
      <c r="N224" s="79" t="str">
        <f>IF((AND(T_BilanSocial2[[#This Row],[Nom]]&lt;&gt;"",T_BilanSocial2[[#This Row],[Reg Ponct]]="R")),(COUNTIF(S224:AX224,"S")+COUNTIF(S224:AX224,"T"))/2,"")</f>
        <v/>
      </c>
      <c r="O224" s="79" t="str">
        <f>IF((AND(T_BilanSocial2[[#This Row],[Nom]]&lt;&gt;"",T_BilanSocial2[[#This Row],[Reg Ponct]]="R")),COUNTIF(S224:AX224,"S")/2,"")</f>
        <v/>
      </c>
      <c r="P224" s="80" t="str">
        <f>IF((AND(T_BilanSocial2[[#This Row],[Nom]]&lt;&gt;"",T_BilanSocial2[[#This Row],[Reg Ponct]]="R")),COUNTIF(S224:AX224,"t")/2,"")</f>
        <v/>
      </c>
      <c r="Q224" s="81" t="str">
        <f t="shared" si="26"/>
        <v/>
      </c>
      <c r="R224" s="82" t="str">
        <f>IF((AND(T_BilanSocial2[[#This Row],[Nom]]&lt;&gt;"",T_BilanSocial2[[#This Row],[Reg Ponct]]="R")),IF(S224="T",U224-T224,0)+IF(V224="T",X224-W224,0)+IF(Z224="T",AB224-AA224,0)+IF(AC224="T",AE224-AD224,0)+IF(AG224="T",AI224-AH224,0)+IF(AJ224="T",AL224-AK224,0)+IF(AN224="T",AP224-AO224,0)+IF(AQ224="T",AS224-AR224,0)+IF(AU224="T",AW224-AV224,0)+IF(AX224="T",AZ224-AY224,0),"")</f>
        <v/>
      </c>
      <c r="S224" s="36" t="s">
        <v>307</v>
      </c>
      <c r="T224" s="37">
        <v>0.3125</v>
      </c>
      <c r="U224" s="37">
        <v>0.52083333333333337</v>
      </c>
      <c r="V224" s="21" t="s">
        <v>307</v>
      </c>
      <c r="W224" s="37">
        <v>0.5625</v>
      </c>
      <c r="X224" s="37">
        <v>0.72916666666666663</v>
      </c>
      <c r="Y224" s="38" t="str">
        <f t="shared" si="27"/>
        <v/>
      </c>
      <c r="Z224" s="36" t="s">
        <v>306</v>
      </c>
      <c r="AA224" s="37">
        <v>0.38541666666666669</v>
      </c>
      <c r="AB224" s="37">
        <v>0.52083333333333337</v>
      </c>
      <c r="AC224" s="21" t="s">
        <v>306</v>
      </c>
      <c r="AD224" s="37">
        <v>0.5625</v>
      </c>
      <c r="AE224" s="37">
        <v>0.77083333333333337</v>
      </c>
      <c r="AF224" s="38" t="str">
        <f t="shared" si="28"/>
        <v/>
      </c>
      <c r="AG224" s="36" t="s">
        <v>307</v>
      </c>
      <c r="AH224" s="37">
        <v>0.3125</v>
      </c>
      <c r="AI224" s="37">
        <v>0.5</v>
      </c>
      <c r="AJ224" s="21" t="s">
        <v>308</v>
      </c>
      <c r="AK224" s="37"/>
      <c r="AL224" s="37"/>
      <c r="AM224" s="38" t="str">
        <f t="shared" si="29"/>
        <v/>
      </c>
      <c r="AN224" s="36" t="s">
        <v>306</v>
      </c>
      <c r="AO224" s="37">
        <v>0.38541666666666669</v>
      </c>
      <c r="AP224" s="37">
        <v>0.52083333333333337</v>
      </c>
      <c r="AQ224" s="21" t="s">
        <v>306</v>
      </c>
      <c r="AR224" s="37">
        <v>0.5625</v>
      </c>
      <c r="AS224" s="37">
        <v>0.77083333333333337</v>
      </c>
      <c r="AT224" s="38" t="str">
        <f t="shared" si="30"/>
        <v/>
      </c>
      <c r="AU224" s="36" t="s">
        <v>306</v>
      </c>
      <c r="AV224" s="37">
        <v>0.38541666666666669</v>
      </c>
      <c r="AW224" s="37">
        <v>0.52083333333333337</v>
      </c>
      <c r="AX224" s="21" t="s">
        <v>306</v>
      </c>
      <c r="AY224" s="37">
        <v>0.5625</v>
      </c>
      <c r="AZ224" s="37">
        <v>0.72222222222222221</v>
      </c>
      <c r="BA224" s="39" t="str">
        <f t="shared" si="31"/>
        <v/>
      </c>
      <c r="BB224" s="46" t="s">
        <v>611</v>
      </c>
      <c r="BC224" s="31" t="s">
        <v>341</v>
      </c>
      <c r="BD224" s="16" t="s">
        <v>311</v>
      </c>
      <c r="BE224" s="16" t="s">
        <v>311</v>
      </c>
      <c r="BF224" s="244" t="str">
        <f>T_BilanSocial2[[#This Row],[Nom]]&amp;T_BilanSocial2[[#This Row],[Prénom]]</f>
        <v/>
      </c>
    </row>
    <row r="225" spans="1:58" ht="21.75" hidden="1" customHeight="1" x14ac:dyDescent="0.25">
      <c r="A225" s="90">
        <v>139</v>
      </c>
      <c r="B225" s="126" t="s">
        <v>311</v>
      </c>
      <c r="C225" s="126" t="str">
        <f>VLOOKUP(T_BilanSocial2[[#This Row],[NumL]],T_Commission[#Data],COLUMN(T_Commission[FINAL]),FALSE)</f>
        <v/>
      </c>
      <c r="D225" s="19" t="str">
        <f t="shared" si="24"/>
        <v/>
      </c>
      <c r="E225" s="19" t="str">
        <f t="shared" si="25"/>
        <v/>
      </c>
      <c r="F225" s="242" t="str">
        <f>IFERROR(VLOOKUP(T_BilanSocial2[[#This Row],[Zone_Bilan]],T_P_BilanSocial[#Data],COLUMN(T_P_BilanSocial[[#This Row],[Numero_SIHAM]]),FALSE),"")</f>
        <v/>
      </c>
      <c r="G225" s="242" t="str">
        <f>IFERROR(VLOOKUP(T_BilanSocial2[[#This Row],[Zone_Bilan]],T_P_BilanSocial[#Data],COLUMN(T_P_BilanSocial[[#This Row],[Sexe]]),FALSE),"")</f>
        <v/>
      </c>
      <c r="H225" s="243" t="str">
        <f>IFERROR(VLOOKUP(T_BilanSocial2[[#This Row],[Zone_Bilan]],T_P_BilanSocial[#Data],COLUMN(T_P_BilanSocial[[#This Row],[Categorie]]),FALSE),"")</f>
        <v/>
      </c>
      <c r="I225" s="242" t="str">
        <f>IFERROR(VLOOKUP(T_BilanSocial2[[#This Row],[Zone_Bilan]],T_P_BilanSocial[#Data],COLUMN(T_P_BilanSocial[[#This Row],[Statut]]),FALSE),"")</f>
        <v/>
      </c>
      <c r="J225" s="242" t="str">
        <f>IFERROR(VLOOKUP(T_BilanSocial2[[#This Row],[Zone_Bilan]],T_P_BilanSocial[#Data],COLUMN(T_P_BilanSocial[[#This Row],[Filiere]]),FALSE),"")</f>
        <v/>
      </c>
      <c r="K225" s="78">
        <v>1</v>
      </c>
      <c r="L225" s="213">
        <v>1.5451388888888891</v>
      </c>
      <c r="M225" s="78" t="s">
        <v>210</v>
      </c>
      <c r="N225" s="79" t="str">
        <f>IF((AND(T_BilanSocial2[[#This Row],[Nom]]&lt;&gt;"",T_BilanSocial2[[#This Row],[Reg Ponct]]="R")),(COUNTIF(S225:AX225,"S")+COUNTIF(S225:AX225,"T"))/2,"")</f>
        <v/>
      </c>
      <c r="O225" s="79" t="str">
        <f>IF((AND(T_BilanSocial2[[#This Row],[Nom]]&lt;&gt;"",T_BilanSocial2[[#This Row],[Reg Ponct]]="R")),COUNTIF(S225:AX225,"S")/2,"")</f>
        <v/>
      </c>
      <c r="P225" s="80" t="str">
        <f>IF((AND(T_BilanSocial2[[#This Row],[Nom]]&lt;&gt;"",T_BilanSocial2[[#This Row],[Reg Ponct]]="R")),COUNTIF(S225:AX225,"t")/2,"")</f>
        <v/>
      </c>
      <c r="Q225" s="81" t="str">
        <f t="shared" si="26"/>
        <v/>
      </c>
      <c r="R225" s="82" t="str">
        <f>IF((AND(T_BilanSocial2[[#This Row],[Nom]]&lt;&gt;"",T_BilanSocial2[[#This Row],[Reg Ponct]]="R")),IF(S225="T",U225-T225,0)+IF(V225="T",X225-W225,0)+IF(Z225="T",AB225-AA225,0)+IF(AC225="T",AE225-AD225,0)+IF(AG225="T",AI225-AH225,0)+IF(AJ225="T",AL225-AK225,0)+IF(AN225="T",AP225-AO225,0)+IF(AQ225="T",AS225-AR225,0)+IF(AU225="T",AW225-AV225,0)+IF(AX225="T",AZ225-AY225,0),"")</f>
        <v/>
      </c>
      <c r="S225" s="36" t="s">
        <v>306</v>
      </c>
      <c r="T225" s="37">
        <v>0.32291666666666669</v>
      </c>
      <c r="U225" s="37">
        <v>0.53125</v>
      </c>
      <c r="V225" s="21" t="s">
        <v>306</v>
      </c>
      <c r="W225" s="37">
        <v>0.57291666666666663</v>
      </c>
      <c r="X225" s="37">
        <v>0.70486111111111116</v>
      </c>
      <c r="Y225" s="38" t="str">
        <f t="shared" si="27"/>
        <v/>
      </c>
      <c r="Z225" s="36" t="s">
        <v>306</v>
      </c>
      <c r="AA225" s="37">
        <v>0.32291666666666669</v>
      </c>
      <c r="AB225" s="37">
        <v>0.53125</v>
      </c>
      <c r="AC225" s="21" t="s">
        <v>306</v>
      </c>
      <c r="AD225" s="37">
        <v>0.57291666666666663</v>
      </c>
      <c r="AE225" s="37">
        <v>0.70486111111111116</v>
      </c>
      <c r="AF225" s="38" t="str">
        <f t="shared" si="28"/>
        <v/>
      </c>
      <c r="AG225" s="36" t="s">
        <v>307</v>
      </c>
      <c r="AH225" s="37">
        <v>0.32291666666666669</v>
      </c>
      <c r="AI225" s="37">
        <v>0.51041666666666663</v>
      </c>
      <c r="AJ225" s="21" t="s">
        <v>308</v>
      </c>
      <c r="AK225" s="37"/>
      <c r="AL225" s="37"/>
      <c r="AM225" s="38" t="str">
        <f t="shared" si="29"/>
        <v/>
      </c>
      <c r="AN225" s="36" t="s">
        <v>306</v>
      </c>
      <c r="AO225" s="37">
        <v>0.32291666666666669</v>
      </c>
      <c r="AP225" s="37">
        <v>0.53125</v>
      </c>
      <c r="AQ225" s="21" t="s">
        <v>306</v>
      </c>
      <c r="AR225" s="37">
        <v>0.57291666666666663</v>
      </c>
      <c r="AS225" s="37">
        <v>0.70486111111111116</v>
      </c>
      <c r="AT225" s="38" t="str">
        <f t="shared" si="30"/>
        <v/>
      </c>
      <c r="AU225" s="36" t="s">
        <v>306</v>
      </c>
      <c r="AV225" s="37">
        <v>0.32291666666666669</v>
      </c>
      <c r="AW225" s="37">
        <v>0.53125</v>
      </c>
      <c r="AX225" s="21" t="s">
        <v>306</v>
      </c>
      <c r="AY225" s="37">
        <v>0.57291666666666663</v>
      </c>
      <c r="AZ225" s="37">
        <v>0.70138888888888884</v>
      </c>
      <c r="BA225" s="39" t="str">
        <f t="shared" si="31"/>
        <v/>
      </c>
      <c r="BB225" s="46" t="s">
        <v>340</v>
      </c>
      <c r="BC225" s="31" t="s">
        <v>341</v>
      </c>
      <c r="BD225" s="16" t="s">
        <v>311</v>
      </c>
      <c r="BE225" s="16" t="s">
        <v>311</v>
      </c>
      <c r="BF225" s="244" t="str">
        <f>T_BilanSocial2[[#This Row],[Nom]]&amp;T_BilanSocial2[[#This Row],[Prénom]]</f>
        <v/>
      </c>
    </row>
    <row r="226" spans="1:58" ht="21.75" hidden="1" customHeight="1" x14ac:dyDescent="0.25">
      <c r="A226" s="90">
        <v>129</v>
      </c>
      <c r="B226" s="126" t="s">
        <v>210</v>
      </c>
      <c r="C226" s="126" t="str">
        <f>VLOOKUP(T_BilanSocial2[[#This Row],[NumL]],T_Commission[#Data],COLUMN(T_Commission[FINAL]),FALSE)</f>
        <v/>
      </c>
      <c r="D226" s="19" t="str">
        <f t="shared" si="24"/>
        <v/>
      </c>
      <c r="E226" s="19" t="str">
        <f t="shared" si="25"/>
        <v/>
      </c>
      <c r="F226" s="242" t="str">
        <f>IFERROR(VLOOKUP(T_BilanSocial2[[#This Row],[Zone_Bilan]],T_P_BilanSocial[#Data],COLUMN(T_P_BilanSocial[[#This Row],[Numero_SIHAM]]),FALSE),"")</f>
        <v/>
      </c>
      <c r="G226" s="242" t="str">
        <f>IFERROR(VLOOKUP(T_BilanSocial2[[#This Row],[Zone_Bilan]],T_P_BilanSocial[#Data],COLUMN(T_P_BilanSocial[[#This Row],[Sexe]]),FALSE),"")</f>
        <v/>
      </c>
      <c r="H226" s="243" t="str">
        <f>IFERROR(VLOOKUP(T_BilanSocial2[[#This Row],[Zone_Bilan]],T_P_BilanSocial[#Data],COLUMN(T_P_BilanSocial[[#This Row],[Categorie]]),FALSE),"")</f>
        <v/>
      </c>
      <c r="I226" s="242" t="str">
        <f>IFERROR(VLOOKUP(T_BilanSocial2[[#This Row],[Zone_Bilan]],T_P_BilanSocial[#Data],COLUMN(T_P_BilanSocial[[#This Row],[Statut]]),FALSE),"")</f>
        <v/>
      </c>
      <c r="J226" s="242" t="str">
        <f>IFERROR(VLOOKUP(T_BilanSocial2[[#This Row],[Zone_Bilan]],T_P_BilanSocial[#Data],COLUMN(T_P_BilanSocial[[#This Row],[Filiere]]),FALSE),"")</f>
        <v/>
      </c>
      <c r="K226" s="78">
        <v>1</v>
      </c>
      <c r="L226" s="213">
        <v>1.5451388888888891</v>
      </c>
      <c r="M226" s="78" t="s">
        <v>210</v>
      </c>
      <c r="N226" s="79" t="str">
        <f>IF((AND(T_BilanSocial2[[#This Row],[Nom]]&lt;&gt;"",T_BilanSocial2[[#This Row],[Reg Ponct]]="R")),(COUNTIF(S226:AX226,"S")+COUNTIF(S226:AX226,"T"))/2,"")</f>
        <v/>
      </c>
      <c r="O226" s="79" t="str">
        <f>IF((AND(T_BilanSocial2[[#This Row],[Nom]]&lt;&gt;"",T_BilanSocial2[[#This Row],[Reg Ponct]]="R")),COUNTIF(S226:AX226,"S")/2,"")</f>
        <v/>
      </c>
      <c r="P226" s="80" t="str">
        <f>IF((AND(T_BilanSocial2[[#This Row],[Nom]]&lt;&gt;"",T_BilanSocial2[[#This Row],[Reg Ponct]]="R")),COUNTIF(S226:AX226,"t")/2,"")</f>
        <v/>
      </c>
      <c r="Q226" s="81" t="str">
        <f t="shared" si="26"/>
        <v/>
      </c>
      <c r="R226" s="82" t="str">
        <f>IF((AND(T_BilanSocial2[[#This Row],[Nom]]&lt;&gt;"",T_BilanSocial2[[#This Row],[Reg Ponct]]="R")),IF(S226="T",U226-T226,0)+IF(V226="T",X226-W226,0)+IF(Z226="T",AB226-AA226,0)+IF(AC226="T",AE226-AD226,0)+IF(AG226="T",AI226-AH226,0)+IF(AJ226="T",AL226-AK226,0)+IF(AN226="T",AP226-AO226,0)+IF(AQ226="T",AS226-AR226,0)+IF(AU226="T",AW226-AV226,0)+IF(AX226="T",AZ226-AY226,0),"")</f>
        <v/>
      </c>
      <c r="S226" s="36" t="s">
        <v>306</v>
      </c>
      <c r="T226" s="37">
        <v>0.35416666666666669</v>
      </c>
      <c r="U226" s="37">
        <v>0.52083333333333337</v>
      </c>
      <c r="V226" s="21" t="s">
        <v>306</v>
      </c>
      <c r="W226" s="37">
        <v>0.5625</v>
      </c>
      <c r="X226" s="37">
        <v>0.75</v>
      </c>
      <c r="Y226" s="38" t="str">
        <f t="shared" si="27"/>
        <v/>
      </c>
      <c r="Z226" s="36" t="s">
        <v>306</v>
      </c>
      <c r="AA226" s="37">
        <v>0.375</v>
      </c>
      <c r="AB226" s="37">
        <v>0.52083333333333337</v>
      </c>
      <c r="AC226" s="21" t="s">
        <v>306</v>
      </c>
      <c r="AD226" s="37">
        <v>0.5625</v>
      </c>
      <c r="AE226" s="37">
        <v>0.75</v>
      </c>
      <c r="AF226" s="38" t="str">
        <f t="shared" si="28"/>
        <v/>
      </c>
      <c r="AG226" s="36" t="s">
        <v>307</v>
      </c>
      <c r="AH226" s="37">
        <v>0.35416666666666669</v>
      </c>
      <c r="AI226" s="37">
        <v>0.52430555555555558</v>
      </c>
      <c r="AJ226" s="21" t="s">
        <v>308</v>
      </c>
      <c r="AK226" s="37"/>
      <c r="AL226" s="37"/>
      <c r="AM226" s="38" t="str">
        <f t="shared" si="29"/>
        <v/>
      </c>
      <c r="AN226" s="36" t="s">
        <v>306</v>
      </c>
      <c r="AO226" s="37">
        <v>0.375</v>
      </c>
      <c r="AP226" s="37">
        <v>0.52083333333333337</v>
      </c>
      <c r="AQ226" s="21" t="s">
        <v>306</v>
      </c>
      <c r="AR226" s="37">
        <v>0.5625</v>
      </c>
      <c r="AS226" s="37">
        <v>0.75</v>
      </c>
      <c r="AT226" s="38" t="str">
        <f t="shared" si="30"/>
        <v/>
      </c>
      <c r="AU226" s="36" t="s">
        <v>307</v>
      </c>
      <c r="AV226" s="37">
        <v>0.35416666666666669</v>
      </c>
      <c r="AW226" s="37">
        <v>0.52083333333333337</v>
      </c>
      <c r="AX226" s="21" t="s">
        <v>307</v>
      </c>
      <c r="AY226" s="37">
        <v>0.5625</v>
      </c>
      <c r="AZ226" s="37">
        <v>0.75</v>
      </c>
      <c r="BA226" s="39" t="str">
        <f t="shared" si="31"/>
        <v/>
      </c>
      <c r="BB226" s="46" t="s">
        <v>665</v>
      </c>
      <c r="BC226" s="31" t="s">
        <v>666</v>
      </c>
      <c r="BD226" s="16" t="s">
        <v>322</v>
      </c>
      <c r="BE226" s="16" t="s">
        <v>322</v>
      </c>
      <c r="BF226" s="244" t="str">
        <f>T_BilanSocial2[[#This Row],[Nom]]&amp;T_BilanSocial2[[#This Row],[Prénom]]</f>
        <v/>
      </c>
    </row>
    <row r="227" spans="1:58" ht="21.75" customHeight="1" x14ac:dyDescent="0.25">
      <c r="A227" s="90">
        <v>18</v>
      </c>
      <c r="B227" s="126" t="s">
        <v>210</v>
      </c>
      <c r="C227" s="126" t="str">
        <f>VLOOKUP(T_BilanSocial2[[#This Row],[NumL]],T_Commission[#Data],COLUMN(T_Commission[FINAL]),FALSE)</f>
        <v/>
      </c>
      <c r="D227" s="19" t="str">
        <f t="shared" si="24"/>
        <v/>
      </c>
      <c r="E227" s="19" t="str">
        <f t="shared" si="25"/>
        <v/>
      </c>
      <c r="F227" s="242" t="str">
        <f>IFERROR(VLOOKUP(T_BilanSocial2[[#This Row],[Zone_Bilan]],T_P_BilanSocial[#Data],COLUMN(T_P_BilanSocial[[#This Row],[Numero_SIHAM]]),FALSE),"")</f>
        <v/>
      </c>
      <c r="G227" s="242" t="str">
        <f>IFERROR(VLOOKUP(T_BilanSocial2[[#This Row],[Zone_Bilan]],T_P_BilanSocial[#Data],COLUMN(T_P_BilanSocial[[#This Row],[Sexe]]),FALSE),"")</f>
        <v/>
      </c>
      <c r="H227" s="243" t="str">
        <f>IFERROR(VLOOKUP(T_BilanSocial2[[#This Row],[Zone_Bilan]],T_P_BilanSocial[#Data],COLUMN(T_P_BilanSocial[[#This Row],[Categorie]]),FALSE),"")</f>
        <v/>
      </c>
      <c r="I227" s="242" t="str">
        <f>IFERROR(VLOOKUP(T_BilanSocial2[[#This Row],[Zone_Bilan]],T_P_BilanSocial[#Data],COLUMN(T_P_BilanSocial[[#This Row],[Statut]]),FALSE),"")</f>
        <v/>
      </c>
      <c r="J227" s="242" t="str">
        <f>IFERROR(VLOOKUP(T_BilanSocial2[[#This Row],[Zone_Bilan]],T_P_BilanSocial[#Data],COLUMN(T_P_BilanSocial[[#This Row],[Filiere]]),FALSE),"")</f>
        <v/>
      </c>
      <c r="K227" s="78">
        <v>1</v>
      </c>
      <c r="L227" s="213">
        <v>1.5451388888888891</v>
      </c>
      <c r="M227" s="78" t="s">
        <v>210</v>
      </c>
      <c r="N227" s="79" t="str">
        <f>IF((AND(T_BilanSocial2[[#This Row],[Nom]]&lt;&gt;"",T_BilanSocial2[[#This Row],[Reg Ponct]]="R")),(COUNTIF(S227:AX227,"S")+COUNTIF(S227:AX227,"T"))/2,"")</f>
        <v/>
      </c>
      <c r="O227" s="79" t="str">
        <f>IF((AND(T_BilanSocial2[[#This Row],[Nom]]&lt;&gt;"",T_BilanSocial2[[#This Row],[Reg Ponct]]="R")),COUNTIF(S227:AX227,"S")/2,"")</f>
        <v/>
      </c>
      <c r="P227" s="80" t="str">
        <f>IF((AND(T_BilanSocial2[[#This Row],[Nom]]&lt;&gt;"",T_BilanSocial2[[#This Row],[Reg Ponct]]="R")),COUNTIF(S227:AX227,"t")/2,"")</f>
        <v/>
      </c>
      <c r="Q227" s="81" t="str">
        <f t="shared" si="26"/>
        <v/>
      </c>
      <c r="R227" s="82" t="str">
        <f>IF((AND(T_BilanSocial2[[#This Row],[Nom]]&lt;&gt;"",T_BilanSocial2[[#This Row],[Reg Ponct]]="R")),IF(S227="T",U227-T227,0)+IF(V227="T",X227-W227,0)+IF(Z227="T",AB227-AA227,0)+IF(AC227="T",AE227-AD227,0)+IF(AG227="T",AI227-AH227,0)+IF(AJ227="T",AL227-AK227,0)+IF(AN227="T",AP227-AO227,0)+IF(AQ227="T",AS227-AR227,0)+IF(AU227="T",AW227-AV227,0)+IF(AX227="T",AZ227-AY227,0),"")</f>
        <v/>
      </c>
      <c r="S227" s="36" t="s">
        <v>306</v>
      </c>
      <c r="T227" s="37">
        <v>0.33333333333333331</v>
      </c>
      <c r="U227" s="37">
        <v>0.5</v>
      </c>
      <c r="V227" s="21" t="s">
        <v>306</v>
      </c>
      <c r="W227" s="37">
        <v>0.54166666666666663</v>
      </c>
      <c r="X227" s="37">
        <v>0.71527777777777779</v>
      </c>
      <c r="Y227" s="38" t="str">
        <f t="shared" si="27"/>
        <v/>
      </c>
      <c r="Z227" s="36" t="s">
        <v>307</v>
      </c>
      <c r="AA227" s="37">
        <v>0.33333333333333331</v>
      </c>
      <c r="AB227" s="37">
        <v>0.5</v>
      </c>
      <c r="AC227" s="21" t="s">
        <v>307</v>
      </c>
      <c r="AD227" s="37">
        <v>0.54166666666666663</v>
      </c>
      <c r="AE227" s="37">
        <v>0.71527777777777779</v>
      </c>
      <c r="AF227" s="38" t="str">
        <f t="shared" si="28"/>
        <v/>
      </c>
      <c r="AG227" s="36" t="s">
        <v>307</v>
      </c>
      <c r="AH227" s="37">
        <v>0.33333333333333331</v>
      </c>
      <c r="AI227" s="37">
        <v>0.51736111111111105</v>
      </c>
      <c r="AJ227" s="21" t="s">
        <v>308</v>
      </c>
      <c r="AK227" s="37"/>
      <c r="AL227" s="37"/>
      <c r="AM227" s="38" t="str">
        <f t="shared" si="29"/>
        <v/>
      </c>
      <c r="AN227" s="36" t="s">
        <v>306</v>
      </c>
      <c r="AO227" s="37">
        <v>0.33333333333333331</v>
      </c>
      <c r="AP227" s="37">
        <v>0.5</v>
      </c>
      <c r="AQ227" s="21" t="s">
        <v>306</v>
      </c>
      <c r="AR227" s="37">
        <v>0.54166666666666663</v>
      </c>
      <c r="AS227" s="37">
        <v>0.71527777777777779</v>
      </c>
      <c r="AT227" s="38" t="str">
        <f t="shared" si="30"/>
        <v/>
      </c>
      <c r="AU227" s="36" t="s">
        <v>306</v>
      </c>
      <c r="AV227" s="37">
        <v>0.33333333333333331</v>
      </c>
      <c r="AW227" s="37">
        <v>0.5</v>
      </c>
      <c r="AX227" s="21" t="s">
        <v>306</v>
      </c>
      <c r="AY227" s="37">
        <v>0.54166666666666663</v>
      </c>
      <c r="AZ227" s="37">
        <v>0.71527777777777779</v>
      </c>
      <c r="BA227" s="39" t="str">
        <f t="shared" si="31"/>
        <v/>
      </c>
      <c r="BB227" s="46" t="s">
        <v>420</v>
      </c>
      <c r="BC227" s="31" t="s">
        <v>421</v>
      </c>
      <c r="BD227" s="16" t="s">
        <v>311</v>
      </c>
      <c r="BE227" s="16" t="s">
        <v>311</v>
      </c>
      <c r="BF227" s="244" t="str">
        <f>T_BilanSocial2[[#This Row],[Nom]]&amp;T_BilanSocial2[[#This Row],[Prénom]]</f>
        <v/>
      </c>
    </row>
    <row r="228" spans="1:58" ht="21.75" hidden="1" customHeight="1" x14ac:dyDescent="0.25">
      <c r="A228" s="90">
        <v>243</v>
      </c>
      <c r="B228" s="126" t="s">
        <v>210</v>
      </c>
      <c r="C228" s="126" t="str">
        <f>VLOOKUP(T_BilanSocial2[[#This Row],[NumL]],T_Commission[#Data],COLUMN(T_Commission[FINAL]),FALSE)</f>
        <v/>
      </c>
      <c r="D228" s="19" t="str">
        <f t="shared" si="24"/>
        <v/>
      </c>
      <c r="E228" s="19" t="str">
        <f t="shared" si="25"/>
        <v/>
      </c>
      <c r="F228" s="242" t="str">
        <f>IFERROR(VLOOKUP(T_BilanSocial2[[#This Row],[Zone_Bilan]],T_P_BilanSocial[#Data],COLUMN(T_P_BilanSocial[[#This Row],[Numero_SIHAM]]),FALSE),"")</f>
        <v/>
      </c>
      <c r="G228" s="242" t="str">
        <f>IFERROR(VLOOKUP(T_BilanSocial2[[#This Row],[Zone_Bilan]],T_P_BilanSocial[#Data],COLUMN(T_P_BilanSocial[[#This Row],[Sexe]]),FALSE),"")</f>
        <v/>
      </c>
      <c r="H228" s="243" t="str">
        <f>IFERROR(VLOOKUP(T_BilanSocial2[[#This Row],[Zone_Bilan]],T_P_BilanSocial[#Data],COLUMN(T_P_BilanSocial[[#This Row],[Categorie]]),FALSE),"")</f>
        <v/>
      </c>
      <c r="I228" s="242" t="str">
        <f>IFERROR(VLOOKUP(T_BilanSocial2[[#This Row],[Zone_Bilan]],T_P_BilanSocial[#Data],COLUMN(T_P_BilanSocial[[#This Row],[Statut]]),FALSE),"")</f>
        <v/>
      </c>
      <c r="J228" s="242" t="str">
        <f>IFERROR(VLOOKUP(T_BilanSocial2[[#This Row],[Zone_Bilan]],T_P_BilanSocial[#Data],COLUMN(T_P_BilanSocial[[#This Row],[Filiere]]),FALSE),"")</f>
        <v/>
      </c>
      <c r="K228" s="78">
        <v>0.8</v>
      </c>
      <c r="L228" s="213">
        <v>1.2361111111111112</v>
      </c>
      <c r="M228" s="78" t="s">
        <v>210</v>
      </c>
      <c r="N228" s="79" t="str">
        <f>IF((AND(T_BilanSocial2[[#This Row],[Nom]]&lt;&gt;"",T_BilanSocial2[[#This Row],[Reg Ponct]]="R")),(COUNTIF(S228:AX228,"S")+COUNTIF(S228:AX228,"T"))/2,"")</f>
        <v/>
      </c>
      <c r="O228" s="79" t="str">
        <f>IF((AND(T_BilanSocial2[[#This Row],[Nom]]&lt;&gt;"",T_BilanSocial2[[#This Row],[Reg Ponct]]="R")),COUNTIF(S228:AX228,"S")/2,"")</f>
        <v/>
      </c>
      <c r="P228" s="80" t="str">
        <f>IF((AND(T_BilanSocial2[[#This Row],[Nom]]&lt;&gt;"",T_BilanSocial2[[#This Row],[Reg Ponct]]="R")),COUNTIF(S228:AX228,"t")/2,"")</f>
        <v/>
      </c>
      <c r="Q228" s="81" t="str">
        <f t="shared" si="26"/>
        <v/>
      </c>
      <c r="R228" s="82" t="str">
        <f>IF((AND(T_BilanSocial2[[#This Row],[Nom]]&lt;&gt;"",T_BilanSocial2[[#This Row],[Reg Ponct]]="R")),IF(S228="T",U228-T228,0)+IF(V228="T",X228-W228,0)+IF(Z228="T",AB228-AA228,0)+IF(AC228="T",AE228-AD228,0)+IF(AG228="T",AI228-AH228,0)+IF(AJ228="T",AL228-AK228,0)+IF(AN228="T",AP228-AO228,0)+IF(AQ228="T",AS228-AR228,0)+IF(AU228="T",AW228-AV228,0)+IF(AX228="T",AZ228-AY228,0),"")</f>
        <v/>
      </c>
      <c r="S228" s="36" t="s">
        <v>306</v>
      </c>
      <c r="T228" s="37">
        <v>0.32291666666666669</v>
      </c>
      <c r="U228" s="37">
        <v>0.52083333333333337</v>
      </c>
      <c r="V228" s="21" t="s">
        <v>306</v>
      </c>
      <c r="W228" s="37">
        <v>0.5625</v>
      </c>
      <c r="X228" s="37">
        <v>0.6875</v>
      </c>
      <c r="Y228" s="38" t="str">
        <f t="shared" si="27"/>
        <v/>
      </c>
      <c r="Z228" s="36" t="s">
        <v>306</v>
      </c>
      <c r="AA228" s="37">
        <v>0.32291666666666669</v>
      </c>
      <c r="AB228" s="37">
        <v>0.52083333333333337</v>
      </c>
      <c r="AC228" s="21" t="s">
        <v>306</v>
      </c>
      <c r="AD228" s="37">
        <v>0.5625</v>
      </c>
      <c r="AE228" s="37">
        <v>0.6875</v>
      </c>
      <c r="AF228" s="38" t="str">
        <f t="shared" si="28"/>
        <v/>
      </c>
      <c r="AG228" s="36" t="s">
        <v>308</v>
      </c>
      <c r="AH228" s="37"/>
      <c r="AI228" s="37"/>
      <c r="AJ228" s="21" t="s">
        <v>308</v>
      </c>
      <c r="AK228" s="37"/>
      <c r="AL228" s="37"/>
      <c r="AM228" s="38" t="str">
        <f t="shared" si="29"/>
        <v/>
      </c>
      <c r="AN228" s="36" t="s">
        <v>306</v>
      </c>
      <c r="AO228" s="37">
        <v>0.32291666666666669</v>
      </c>
      <c r="AP228" s="37">
        <v>0.52083333333333337</v>
      </c>
      <c r="AQ228" s="21" t="s">
        <v>306</v>
      </c>
      <c r="AR228" s="37">
        <v>0.5625</v>
      </c>
      <c r="AS228" s="37">
        <v>0.6875</v>
      </c>
      <c r="AT228" s="38" t="str">
        <f t="shared" si="30"/>
        <v/>
      </c>
      <c r="AU228" s="36" t="s">
        <v>307</v>
      </c>
      <c r="AV228" s="37">
        <v>0.31597222222222221</v>
      </c>
      <c r="AW228" s="37">
        <v>0.52083333333333337</v>
      </c>
      <c r="AX228" s="21" t="s">
        <v>307</v>
      </c>
      <c r="AY228" s="37">
        <v>0.5625</v>
      </c>
      <c r="AZ228" s="37">
        <v>0.625</v>
      </c>
      <c r="BA228" s="39" t="str">
        <f t="shared" si="31"/>
        <v/>
      </c>
      <c r="BB228" s="46" t="s">
        <v>498</v>
      </c>
      <c r="BC228" s="31" t="s">
        <v>499</v>
      </c>
      <c r="BD228" s="16" t="s">
        <v>311</v>
      </c>
      <c r="BE228" s="16" t="s">
        <v>322</v>
      </c>
      <c r="BF228" s="244" t="str">
        <f>T_BilanSocial2[[#This Row],[Nom]]&amp;T_BilanSocial2[[#This Row],[Prénom]]</f>
        <v/>
      </c>
    </row>
    <row r="229" spans="1:58" ht="21.75" hidden="1" customHeight="1" x14ac:dyDescent="0.25">
      <c r="A229" s="90">
        <v>43</v>
      </c>
      <c r="B229" s="126" t="s">
        <v>311</v>
      </c>
      <c r="C229" s="126" t="str">
        <f>VLOOKUP(T_BilanSocial2[[#This Row],[NumL]],T_Commission[#Data],COLUMN(T_Commission[FINAL]),FALSE)</f>
        <v/>
      </c>
      <c r="D229" s="19" t="str">
        <f t="shared" si="24"/>
        <v/>
      </c>
      <c r="E229" s="19" t="str">
        <f t="shared" si="25"/>
        <v/>
      </c>
      <c r="F229" s="242" t="str">
        <f>IFERROR(VLOOKUP(T_BilanSocial2[[#This Row],[Zone_Bilan]],T_P_BilanSocial[#Data],COLUMN(T_P_BilanSocial[[#This Row],[Numero_SIHAM]]),FALSE),"")</f>
        <v/>
      </c>
      <c r="G229" s="242" t="str">
        <f>IFERROR(VLOOKUP(T_BilanSocial2[[#This Row],[Zone_Bilan]],T_P_BilanSocial[#Data],COLUMN(T_P_BilanSocial[[#This Row],[Sexe]]),FALSE),"")</f>
        <v/>
      </c>
      <c r="H229" s="243" t="str">
        <f>IFERROR(VLOOKUP(T_BilanSocial2[[#This Row],[Zone_Bilan]],T_P_BilanSocial[#Data],COLUMN(T_P_BilanSocial[[#This Row],[Categorie]]),FALSE),"")</f>
        <v/>
      </c>
      <c r="I229" s="242" t="str">
        <f>IFERROR(VLOOKUP(T_BilanSocial2[[#This Row],[Zone_Bilan]],T_P_BilanSocial[#Data],COLUMN(T_P_BilanSocial[[#This Row],[Statut]]),FALSE),"")</f>
        <v/>
      </c>
      <c r="J229" s="242" t="str">
        <f>IFERROR(VLOOKUP(T_BilanSocial2[[#This Row],[Zone_Bilan]],T_P_BilanSocial[#Data],COLUMN(T_P_BilanSocial[[#This Row],[Filiere]]),FALSE),"")</f>
        <v/>
      </c>
      <c r="K229" s="78">
        <v>1</v>
      </c>
      <c r="L229" s="213">
        <v>1.5451388888888891</v>
      </c>
      <c r="M229" s="78" t="s">
        <v>211</v>
      </c>
      <c r="N229" s="79" t="str">
        <f>IF((AND(T_BilanSocial2[[#This Row],[Nom]]&lt;&gt;"",T_BilanSocial2[[#This Row],[Reg Ponct]]="R")),(COUNTIF(S229:AX229,"S")+COUNTIF(S229:AX229,"T"))/2,"")</f>
        <v/>
      </c>
      <c r="O229" s="79" t="str">
        <f>IF((AND(T_BilanSocial2[[#This Row],[Nom]]&lt;&gt;"",T_BilanSocial2[[#This Row],[Reg Ponct]]="R")),COUNTIF(S229:AX229,"S")/2,"")</f>
        <v/>
      </c>
      <c r="P229" s="80" t="str">
        <f>IF((AND(T_BilanSocial2[[#This Row],[Nom]]&lt;&gt;"",T_BilanSocial2[[#This Row],[Reg Ponct]]="R")),COUNTIF(S229:AX229,"t")/2,"")</f>
        <v/>
      </c>
      <c r="Q229" s="81" t="str">
        <f t="shared" si="26"/>
        <v/>
      </c>
      <c r="R229" s="82" t="str">
        <f>IF((AND(T_BilanSocial2[[#This Row],[Nom]]&lt;&gt;"",T_BilanSocial2[[#This Row],[Reg Ponct]]="R")),IF(S229="T",U229-T229,0)+IF(V229="T",X229-W229,0)+IF(Z229="T",AB229-AA229,0)+IF(AC229="T",AE229-AD229,0)+IF(AG229="T",AI229-AH229,0)+IF(AJ229="T",AL229-AK229,0)+IF(AN229="T",AP229-AO229,0)+IF(AQ229="T",AS229-AR229,0)+IF(AU229="T",AW229-AV229,0)+IF(AX229="T",AZ229-AY229,0),"")</f>
        <v/>
      </c>
      <c r="S229" s="36"/>
      <c r="T229" s="37"/>
      <c r="U229" s="37"/>
      <c r="V229" s="21"/>
      <c r="W229" s="37"/>
      <c r="X229" s="37"/>
      <c r="Y229" s="38" t="str">
        <f t="shared" si="27"/>
        <v/>
      </c>
      <c r="Z229" s="36"/>
      <c r="AA229" s="37"/>
      <c r="AB229" s="37"/>
      <c r="AC229" s="21"/>
      <c r="AD229" s="37"/>
      <c r="AE229" s="37"/>
      <c r="AF229" s="38" t="str">
        <f t="shared" si="28"/>
        <v/>
      </c>
      <c r="AG229" s="36"/>
      <c r="AH229" s="37"/>
      <c r="AI229" s="37"/>
      <c r="AJ229" s="21"/>
      <c r="AK229" s="37"/>
      <c r="AL229" s="37"/>
      <c r="AM229" s="38" t="str">
        <f t="shared" si="29"/>
        <v/>
      </c>
      <c r="AN229" s="36"/>
      <c r="AO229" s="37"/>
      <c r="AP229" s="37"/>
      <c r="AQ229" s="21"/>
      <c r="AR229" s="37"/>
      <c r="AS229" s="37"/>
      <c r="AT229" s="38" t="str">
        <f t="shared" si="30"/>
        <v/>
      </c>
      <c r="AU229" s="36"/>
      <c r="AV229" s="37"/>
      <c r="AW229" s="37"/>
      <c r="AX229" s="21"/>
      <c r="AY229" s="37"/>
      <c r="AZ229" s="37"/>
      <c r="BA229" s="39" t="str">
        <f t="shared" si="31"/>
        <v/>
      </c>
      <c r="BB229" s="46" t="s">
        <v>376</v>
      </c>
      <c r="BC229" s="31" t="s">
        <v>341</v>
      </c>
      <c r="BD229" s="16" t="s">
        <v>311</v>
      </c>
      <c r="BE229" s="16" t="s">
        <v>311</v>
      </c>
      <c r="BF229" s="244" t="str">
        <f>T_BilanSocial2[[#This Row],[Nom]]&amp;T_BilanSocial2[[#This Row],[Prénom]]</f>
        <v/>
      </c>
    </row>
    <row r="230" spans="1:58" ht="21.75" customHeight="1" x14ac:dyDescent="0.25">
      <c r="A230" s="90">
        <v>115</v>
      </c>
      <c r="B230" s="126" t="s">
        <v>311</v>
      </c>
      <c r="C230" s="126" t="e">
        <f>VLOOKUP(T_BilanSocial2[[#This Row],[NumL]],T_Commission[#Data],COLUMN(T_Commission[FINAL]),FALSE)</f>
        <v>#N/A</v>
      </c>
      <c r="D230" s="19" t="str">
        <f t="shared" si="24"/>
        <v/>
      </c>
      <c r="E230" s="19" t="str">
        <f t="shared" si="25"/>
        <v/>
      </c>
      <c r="F230" s="242" t="str">
        <f>IFERROR(VLOOKUP(T_BilanSocial2[[#This Row],[Zone_Bilan]],T_P_BilanSocial[#Data],COLUMN(T_P_BilanSocial[[#This Row],[Numero_SIHAM]]),FALSE),"")</f>
        <v/>
      </c>
      <c r="G230" s="242" t="str">
        <f>IFERROR(VLOOKUP(T_BilanSocial2[[#This Row],[Zone_Bilan]],T_P_BilanSocial[#Data],COLUMN(T_P_BilanSocial[[#This Row],[Sexe]]),FALSE),"")</f>
        <v/>
      </c>
      <c r="H230" s="243" t="str">
        <f>IFERROR(VLOOKUP(T_BilanSocial2[[#This Row],[Zone_Bilan]],T_P_BilanSocial[#Data],COLUMN(T_P_BilanSocial[[#This Row],[Categorie]]),FALSE),"")</f>
        <v/>
      </c>
      <c r="I230" s="242" t="str">
        <f>IFERROR(VLOOKUP(T_BilanSocial2[[#This Row],[Zone_Bilan]],T_P_BilanSocial[#Data],COLUMN(T_P_BilanSocial[[#This Row],[Statut]]),FALSE),"")</f>
        <v/>
      </c>
      <c r="J230" s="242" t="str">
        <f>IFERROR(VLOOKUP(T_BilanSocial2[[#This Row],[Zone_Bilan]],T_P_BilanSocial[#Data],COLUMN(T_P_BilanSocial[[#This Row],[Filiere]]),FALSE),"")</f>
        <v/>
      </c>
      <c r="K230" s="78">
        <v>1</v>
      </c>
      <c r="L230" s="213">
        <v>1.5451388888888891</v>
      </c>
      <c r="M230" s="78" t="s">
        <v>210</v>
      </c>
      <c r="N230" s="79" t="str">
        <f>IF((AND(T_BilanSocial2[[#This Row],[Nom]]&lt;&gt;"",T_BilanSocial2[[#This Row],[Reg Ponct]]="R")),(COUNTIF(S230:AX230,"S")+COUNTIF(S230:AX230,"T"))/2,"")</f>
        <v/>
      </c>
      <c r="O230" s="79" t="str">
        <f>IF((AND(T_BilanSocial2[[#This Row],[Nom]]&lt;&gt;"",T_BilanSocial2[[#This Row],[Reg Ponct]]="R")),COUNTIF(S230:AX230,"S")/2,"")</f>
        <v/>
      </c>
      <c r="P230" s="80" t="str">
        <f>IF((AND(T_BilanSocial2[[#This Row],[Nom]]&lt;&gt;"",T_BilanSocial2[[#This Row],[Reg Ponct]]="R")),COUNTIF(S230:AX230,"t")/2,"")</f>
        <v/>
      </c>
      <c r="Q230" s="81" t="str">
        <f t="shared" si="26"/>
        <v/>
      </c>
      <c r="R230" s="82" t="str">
        <f>IF((AND(T_BilanSocial2[[#This Row],[Nom]]&lt;&gt;"",T_BilanSocial2[[#This Row],[Reg Ponct]]="R")),IF(S230="T",U230-T230,0)+IF(V230="T",X230-W230,0)+IF(Z230="T",AB230-AA230,0)+IF(AC230="T",AE230-AD230,0)+IF(AG230="T",AI230-AH230,0)+IF(AJ230="T",AL230-AK230,0)+IF(AN230="T",AP230-AO230,0)+IF(AQ230="T",AS230-AR230,0)+IF(AU230="T",AW230-AV230,0)+IF(AX230="T",AZ230-AY230,0),"")</f>
        <v/>
      </c>
      <c r="S230" s="36" t="s">
        <v>306</v>
      </c>
      <c r="T230" s="37">
        <v>0.3125</v>
      </c>
      <c r="U230" s="37">
        <v>0.52083333333333337</v>
      </c>
      <c r="V230" s="21" t="s">
        <v>306</v>
      </c>
      <c r="W230" s="37">
        <v>0.5625</v>
      </c>
      <c r="X230" s="37">
        <v>0.6875</v>
      </c>
      <c r="Y230" s="38" t="str">
        <f t="shared" si="27"/>
        <v/>
      </c>
      <c r="Z230" s="36" t="s">
        <v>306</v>
      </c>
      <c r="AA230" s="37">
        <v>0.3125</v>
      </c>
      <c r="AB230" s="37">
        <v>0.52083333333333337</v>
      </c>
      <c r="AC230" s="21" t="s">
        <v>306</v>
      </c>
      <c r="AD230" s="37">
        <v>0.5625</v>
      </c>
      <c r="AE230" s="37">
        <v>0.70833333333333337</v>
      </c>
      <c r="AF230" s="38" t="str">
        <f t="shared" si="28"/>
        <v/>
      </c>
      <c r="AG230" s="36" t="s">
        <v>306</v>
      </c>
      <c r="AH230" s="37">
        <v>0.3125</v>
      </c>
      <c r="AI230" s="37">
        <v>0.52083333333333337</v>
      </c>
      <c r="AJ230" s="21" t="s">
        <v>306</v>
      </c>
      <c r="AK230" s="37">
        <v>0.5625</v>
      </c>
      <c r="AL230" s="37">
        <v>0.70833333333333337</v>
      </c>
      <c r="AM230" s="38" t="str">
        <f t="shared" si="29"/>
        <v/>
      </c>
      <c r="AN230" s="36" t="s">
        <v>306</v>
      </c>
      <c r="AO230" s="37">
        <v>0.3125</v>
      </c>
      <c r="AP230" s="37">
        <v>0.52083333333333337</v>
      </c>
      <c r="AQ230" s="21" t="s">
        <v>306</v>
      </c>
      <c r="AR230" s="37">
        <v>0.5625</v>
      </c>
      <c r="AS230" s="37">
        <v>0.67013888888888884</v>
      </c>
      <c r="AT230" s="38" t="str">
        <f t="shared" si="30"/>
        <v/>
      </c>
      <c r="AU230" s="36" t="s">
        <v>307</v>
      </c>
      <c r="AV230" s="37">
        <v>0.3125</v>
      </c>
      <c r="AW230" s="37">
        <v>0.5</v>
      </c>
      <c r="AX230" s="21" t="s">
        <v>308</v>
      </c>
      <c r="AY230" s="37"/>
      <c r="AZ230" s="37"/>
      <c r="BA230" s="39" t="str">
        <f t="shared" si="31"/>
        <v/>
      </c>
      <c r="BB230" s="46" t="s">
        <v>420</v>
      </c>
      <c r="BC230" s="31" t="s">
        <v>421</v>
      </c>
      <c r="BD230" s="16" t="s">
        <v>322</v>
      </c>
      <c r="BE230" s="16" t="s">
        <v>311</v>
      </c>
      <c r="BF230" s="244" t="str">
        <f>T_BilanSocial2[[#This Row],[Nom]]&amp;T_BilanSocial2[[#This Row],[Prénom]]</f>
        <v/>
      </c>
    </row>
    <row r="231" spans="1:58" ht="21.75" customHeight="1" x14ac:dyDescent="0.25">
      <c r="A231" s="90">
        <v>239</v>
      </c>
      <c r="B231" s="126" t="s">
        <v>311</v>
      </c>
      <c r="C231" s="126" t="str">
        <f>VLOOKUP(T_BilanSocial2[[#This Row],[NumL]],T_Commission[#Data],COLUMN(T_Commission[FINAL]),FALSE)</f>
        <v/>
      </c>
      <c r="D231" s="19" t="str">
        <f t="shared" si="24"/>
        <v/>
      </c>
      <c r="E231" s="19" t="str">
        <f t="shared" si="25"/>
        <v/>
      </c>
      <c r="F231" s="242" t="str">
        <f>IFERROR(VLOOKUP(T_BilanSocial2[[#This Row],[Zone_Bilan]],T_P_BilanSocial[#Data],COLUMN(T_P_BilanSocial[[#This Row],[Numero_SIHAM]]),FALSE),"")</f>
        <v/>
      </c>
      <c r="G231" s="242" t="str">
        <f>IFERROR(VLOOKUP(T_BilanSocial2[[#This Row],[Zone_Bilan]],T_P_BilanSocial[#Data],COLUMN(T_P_BilanSocial[[#This Row],[Sexe]]),FALSE),"")</f>
        <v/>
      </c>
      <c r="H231" s="243" t="str">
        <f>IFERROR(VLOOKUP(T_BilanSocial2[[#This Row],[Zone_Bilan]],T_P_BilanSocial[#Data],COLUMN(T_P_BilanSocial[[#This Row],[Categorie]]),FALSE),"")</f>
        <v/>
      </c>
      <c r="I231" s="242" t="str">
        <f>IFERROR(VLOOKUP(T_BilanSocial2[[#This Row],[Zone_Bilan]],T_P_BilanSocial[#Data],COLUMN(T_P_BilanSocial[[#This Row],[Statut]]),FALSE),"")</f>
        <v/>
      </c>
      <c r="J231" s="242" t="str">
        <f>IFERROR(VLOOKUP(T_BilanSocial2[[#This Row],[Zone_Bilan]],T_P_BilanSocial[#Data],COLUMN(T_P_BilanSocial[[#This Row],[Filiere]]),FALSE),"")</f>
        <v/>
      </c>
      <c r="K231" s="78">
        <v>1</v>
      </c>
      <c r="L231" s="213">
        <v>1.5451388888888891</v>
      </c>
      <c r="M231" s="78" t="s">
        <v>210</v>
      </c>
      <c r="N231" s="79" t="str">
        <f>IF((AND(T_BilanSocial2[[#This Row],[Nom]]&lt;&gt;"",T_BilanSocial2[[#This Row],[Reg Ponct]]="R")),(COUNTIF(S231:AX231,"S")+COUNTIF(S231:AX231,"T"))/2,"")</f>
        <v/>
      </c>
      <c r="O231" s="79" t="str">
        <f>IF((AND(T_BilanSocial2[[#This Row],[Nom]]&lt;&gt;"",T_BilanSocial2[[#This Row],[Reg Ponct]]="R")),COUNTIF(S231:AX231,"S")/2,"")</f>
        <v/>
      </c>
      <c r="P231" s="80" t="str">
        <f>IF((AND(T_BilanSocial2[[#This Row],[Nom]]&lt;&gt;"",T_BilanSocial2[[#This Row],[Reg Ponct]]="R")),COUNTIF(S231:AX231,"t")/2,"")</f>
        <v/>
      </c>
      <c r="Q231" s="81" t="str">
        <f t="shared" si="26"/>
        <v/>
      </c>
      <c r="R231" s="82" t="str">
        <f>IF((AND(T_BilanSocial2[[#This Row],[Nom]]&lt;&gt;"",T_BilanSocial2[[#This Row],[Reg Ponct]]="R")),IF(S231="T",U231-T231,0)+IF(V231="T",X231-W231,0)+IF(Z231="T",AB231-AA231,0)+IF(AC231="T",AE231-AD231,0)+IF(AG231="T",AI231-AH231,0)+IF(AJ231="T",AL231-AK231,0)+IF(AN231="T",AP231-AO231,0)+IF(AQ231="T",AS231-AR231,0)+IF(AU231="T",AW231-AV231,0)+IF(AX231="T",AZ231-AY231,0),"")</f>
        <v/>
      </c>
      <c r="S231" s="36" t="s">
        <v>306</v>
      </c>
      <c r="T231" s="37">
        <v>0.35416666666666669</v>
      </c>
      <c r="U231" s="37">
        <v>0.52083333333333337</v>
      </c>
      <c r="V231" s="21" t="s">
        <v>306</v>
      </c>
      <c r="W231" s="37">
        <v>0.57291666666666663</v>
      </c>
      <c r="X231" s="37">
        <v>0.75</v>
      </c>
      <c r="Y231" s="38" t="str">
        <f t="shared" si="27"/>
        <v/>
      </c>
      <c r="Z231" s="36" t="s">
        <v>306</v>
      </c>
      <c r="AA231" s="37">
        <v>0.35416666666666669</v>
      </c>
      <c r="AB231" s="37">
        <v>0.52083333333333337</v>
      </c>
      <c r="AC231" s="21" t="s">
        <v>306</v>
      </c>
      <c r="AD231" s="37">
        <v>0.5625</v>
      </c>
      <c r="AE231" s="37">
        <v>0.75</v>
      </c>
      <c r="AF231" s="38" t="str">
        <f t="shared" si="28"/>
        <v/>
      </c>
      <c r="AG231" s="36" t="s">
        <v>307</v>
      </c>
      <c r="AH231" s="37">
        <v>0.35416666666666669</v>
      </c>
      <c r="AI231" s="37">
        <v>0.52083333333333337</v>
      </c>
      <c r="AJ231" s="21" t="s">
        <v>307</v>
      </c>
      <c r="AK231" s="37">
        <v>0.5625</v>
      </c>
      <c r="AL231" s="37">
        <v>0.72916666666666663</v>
      </c>
      <c r="AM231" s="38" t="str">
        <f t="shared" si="29"/>
        <v/>
      </c>
      <c r="AN231" s="36" t="s">
        <v>306</v>
      </c>
      <c r="AO231" s="37">
        <v>0.35416666666666669</v>
      </c>
      <c r="AP231" s="37">
        <v>0.52083333333333337</v>
      </c>
      <c r="AQ231" s="21" t="s">
        <v>306</v>
      </c>
      <c r="AR231" s="37">
        <v>0.5625</v>
      </c>
      <c r="AS231" s="37">
        <v>0.73958333333333337</v>
      </c>
      <c r="AT231" s="38" t="str">
        <f t="shared" si="30"/>
        <v/>
      </c>
      <c r="AU231" s="36" t="s">
        <v>306</v>
      </c>
      <c r="AV231" s="37">
        <v>0.35416666666666669</v>
      </c>
      <c r="AW231" s="37">
        <v>0.52430555555555558</v>
      </c>
      <c r="AX231" s="21" t="s">
        <v>308</v>
      </c>
      <c r="AY231" s="37"/>
      <c r="AZ231" s="37"/>
      <c r="BA231" s="39" t="str">
        <f t="shared" si="31"/>
        <v/>
      </c>
      <c r="BB231" s="46" t="s">
        <v>353</v>
      </c>
      <c r="BC231" s="31" t="s">
        <v>354</v>
      </c>
      <c r="BD231" s="16" t="s">
        <v>311</v>
      </c>
      <c r="BE231" s="16" t="s">
        <v>311</v>
      </c>
      <c r="BF231" s="244" t="str">
        <f>T_BilanSocial2[[#This Row],[Nom]]&amp;T_BilanSocial2[[#This Row],[Prénom]]</f>
        <v/>
      </c>
    </row>
    <row r="232" spans="1:58" ht="21.75" hidden="1" customHeight="1" x14ac:dyDescent="0.25">
      <c r="A232" s="90">
        <v>4</v>
      </c>
      <c r="B232" s="126" t="s">
        <v>311</v>
      </c>
      <c r="C232" s="126" t="str">
        <f>VLOOKUP(T_BilanSocial2[[#This Row],[NumL]],T_Commission[#Data],COLUMN(T_Commission[FINAL]),FALSE)</f>
        <v/>
      </c>
      <c r="D232" s="19" t="str">
        <f t="shared" si="24"/>
        <v/>
      </c>
      <c r="E232" s="19" t="str">
        <f t="shared" si="25"/>
        <v/>
      </c>
      <c r="F232" s="242" t="str">
        <f>IFERROR(VLOOKUP(T_BilanSocial2[[#This Row],[Zone_Bilan]],T_P_BilanSocial[#Data],COLUMN(T_P_BilanSocial[[#This Row],[Numero_SIHAM]]),FALSE),"")</f>
        <v/>
      </c>
      <c r="G232" s="242" t="str">
        <f>IFERROR(VLOOKUP(T_BilanSocial2[[#This Row],[Zone_Bilan]],T_P_BilanSocial[#Data],COLUMN(T_P_BilanSocial[[#This Row],[Sexe]]),FALSE),"")</f>
        <v/>
      </c>
      <c r="H232" s="243" t="str">
        <f>IFERROR(VLOOKUP(T_BilanSocial2[[#This Row],[Zone_Bilan]],T_P_BilanSocial[#Data],COLUMN(T_P_BilanSocial[[#This Row],[Categorie]]),FALSE),"")</f>
        <v/>
      </c>
      <c r="I232" s="242" t="str">
        <f>IFERROR(VLOOKUP(T_BilanSocial2[[#This Row],[Zone_Bilan]],T_P_BilanSocial[#Data],COLUMN(T_P_BilanSocial[[#This Row],[Statut]]),FALSE),"")</f>
        <v/>
      </c>
      <c r="J232" s="242" t="str">
        <f>IFERROR(VLOOKUP(T_BilanSocial2[[#This Row],[Zone_Bilan]],T_P_BilanSocial[#Data],COLUMN(T_P_BilanSocial[[#This Row],[Filiere]]),FALSE),"")</f>
        <v/>
      </c>
      <c r="K232" s="78">
        <v>1</v>
      </c>
      <c r="L232" s="213">
        <v>1.5451388888888891</v>
      </c>
      <c r="M232" s="78" t="s">
        <v>210</v>
      </c>
      <c r="N232" s="79" t="str">
        <f>IF((AND(T_BilanSocial2[[#This Row],[Nom]]&lt;&gt;"",T_BilanSocial2[[#This Row],[Reg Ponct]]="R")),(COUNTIF(S232:AX232,"S")+COUNTIF(S232:AX232,"T"))/2,"")</f>
        <v/>
      </c>
      <c r="O232" s="79" t="str">
        <f>IF((AND(T_BilanSocial2[[#This Row],[Nom]]&lt;&gt;"",T_BilanSocial2[[#This Row],[Reg Ponct]]="R")),COUNTIF(S232:AX232,"S")/2,"")</f>
        <v/>
      </c>
      <c r="P232" s="80" t="str">
        <f>IF((AND(T_BilanSocial2[[#This Row],[Nom]]&lt;&gt;"",T_BilanSocial2[[#This Row],[Reg Ponct]]="R")),COUNTIF(S232:AX232,"t")/2,"")</f>
        <v/>
      </c>
      <c r="Q232" s="81" t="str">
        <f t="shared" si="26"/>
        <v/>
      </c>
      <c r="R232" s="82" t="str">
        <f>IF((AND(T_BilanSocial2[[#This Row],[Nom]]&lt;&gt;"",T_BilanSocial2[[#This Row],[Reg Ponct]]="R")),IF(S232="T",U232-T232,0)+IF(V232="T",X232-W232,0)+IF(Z232="T",AB232-AA232,0)+IF(AC232="T",AE232-AD232,0)+IF(AG232="T",AI232-AH232,0)+IF(AJ232="T",AL232-AK232,0)+IF(AN232="T",AP232-AO232,0)+IF(AQ232="T",AS232-AR232,0)+IF(AU232="T",AW232-AV232,0)+IF(AX232="T",AZ232-AY232,0),"")</f>
        <v/>
      </c>
      <c r="S232" s="36" t="s">
        <v>306</v>
      </c>
      <c r="T232" s="37">
        <v>0.33333333333333331</v>
      </c>
      <c r="U232" s="37">
        <v>0.5</v>
      </c>
      <c r="V232" s="21" t="s">
        <v>306</v>
      </c>
      <c r="W232" s="37">
        <v>0.54166666666666663</v>
      </c>
      <c r="X232" s="37">
        <v>0.71875</v>
      </c>
      <c r="Y232" s="38" t="str">
        <f t="shared" si="27"/>
        <v/>
      </c>
      <c r="Z232" s="36" t="s">
        <v>306</v>
      </c>
      <c r="AA232" s="37">
        <v>0.33333333333333331</v>
      </c>
      <c r="AB232" s="37">
        <v>0.5</v>
      </c>
      <c r="AC232" s="21" t="s">
        <v>306</v>
      </c>
      <c r="AD232" s="37">
        <v>0.54166666666666663</v>
      </c>
      <c r="AE232" s="37">
        <v>0.71875</v>
      </c>
      <c r="AF232" s="38" t="str">
        <f t="shared" si="28"/>
        <v/>
      </c>
      <c r="AG232" s="36" t="s">
        <v>306</v>
      </c>
      <c r="AH232" s="37">
        <v>0.33333333333333331</v>
      </c>
      <c r="AI232" s="37">
        <v>0.5</v>
      </c>
      <c r="AJ232" s="21" t="s">
        <v>306</v>
      </c>
      <c r="AK232" s="37">
        <v>0.54166666666666663</v>
      </c>
      <c r="AL232" s="37">
        <v>0.71875</v>
      </c>
      <c r="AM232" s="38" t="str">
        <f t="shared" si="29"/>
        <v/>
      </c>
      <c r="AN232" s="36" t="s">
        <v>307</v>
      </c>
      <c r="AO232" s="37">
        <v>0.33333333333333331</v>
      </c>
      <c r="AP232" s="37">
        <v>0.5</v>
      </c>
      <c r="AQ232" s="21" t="s">
        <v>307</v>
      </c>
      <c r="AR232" s="37">
        <v>0.54166666666666663</v>
      </c>
      <c r="AS232" s="37">
        <v>0.71875</v>
      </c>
      <c r="AT232" s="38" t="str">
        <f t="shared" si="30"/>
        <v/>
      </c>
      <c r="AU232" s="36" t="s">
        <v>306</v>
      </c>
      <c r="AV232" s="37">
        <v>0.33333333333333331</v>
      </c>
      <c r="AW232" s="37">
        <v>0.50347222222222221</v>
      </c>
      <c r="AX232" s="21" t="s">
        <v>308</v>
      </c>
      <c r="AY232" s="37"/>
      <c r="AZ232" s="37"/>
      <c r="BA232" s="39" t="str">
        <f t="shared" si="31"/>
        <v/>
      </c>
      <c r="BB232" s="46" t="s">
        <v>340</v>
      </c>
      <c r="BC232" s="31" t="s">
        <v>341</v>
      </c>
      <c r="BD232" s="16" t="s">
        <v>311</v>
      </c>
      <c r="BE232" s="16" t="s">
        <v>311</v>
      </c>
      <c r="BF232" s="244" t="str">
        <f>T_BilanSocial2[[#This Row],[Nom]]&amp;T_BilanSocial2[[#This Row],[Prénom]]</f>
        <v/>
      </c>
    </row>
    <row r="233" spans="1:58" ht="21.75" hidden="1" customHeight="1" x14ac:dyDescent="0.25">
      <c r="A233" s="90">
        <v>37</v>
      </c>
      <c r="B233" s="126" t="s">
        <v>210</v>
      </c>
      <c r="C233" s="126" t="str">
        <f>VLOOKUP(T_BilanSocial2[[#This Row],[NumL]],T_Commission[#Data],COLUMN(T_Commission[FINAL]),FALSE)</f>
        <v/>
      </c>
      <c r="D233" s="19" t="str">
        <f t="shared" si="24"/>
        <v/>
      </c>
      <c r="E233" s="19" t="str">
        <f t="shared" si="25"/>
        <v/>
      </c>
      <c r="F233" s="242" t="str">
        <f>IFERROR(VLOOKUP(T_BilanSocial2[[#This Row],[Zone_Bilan]],T_P_BilanSocial[#Data],COLUMN(T_P_BilanSocial[[#This Row],[Numero_SIHAM]]),FALSE),"")</f>
        <v/>
      </c>
      <c r="G233" s="242" t="str">
        <f>IFERROR(VLOOKUP(T_BilanSocial2[[#This Row],[Zone_Bilan]],T_P_BilanSocial[#Data],COLUMN(T_P_BilanSocial[[#This Row],[Sexe]]),FALSE),"")</f>
        <v/>
      </c>
      <c r="H233" s="243" t="str">
        <f>IFERROR(VLOOKUP(T_BilanSocial2[[#This Row],[Zone_Bilan]],T_P_BilanSocial[#Data],COLUMN(T_P_BilanSocial[[#This Row],[Categorie]]),FALSE),"")</f>
        <v/>
      </c>
      <c r="I233" s="242" t="str">
        <f>IFERROR(VLOOKUP(T_BilanSocial2[[#This Row],[Zone_Bilan]],T_P_BilanSocial[#Data],COLUMN(T_P_BilanSocial[[#This Row],[Statut]]),FALSE),"")</f>
        <v/>
      </c>
      <c r="J233" s="242" t="str">
        <f>IFERROR(VLOOKUP(T_BilanSocial2[[#This Row],[Zone_Bilan]],T_P_BilanSocial[#Data],COLUMN(T_P_BilanSocial[[#This Row],[Filiere]]),FALSE),"")</f>
        <v/>
      </c>
      <c r="K233" s="78">
        <v>0.8</v>
      </c>
      <c r="L233" s="213">
        <v>1.2361111111111112</v>
      </c>
      <c r="M233" s="78" t="s">
        <v>210</v>
      </c>
      <c r="N233" s="79" t="str">
        <f>IF((AND(T_BilanSocial2[[#This Row],[Nom]]&lt;&gt;"",T_BilanSocial2[[#This Row],[Reg Ponct]]="R")),(COUNTIF(S233:AX233,"S")+COUNTIF(S233:AX233,"T"))/2,"")</f>
        <v/>
      </c>
      <c r="O233" s="79" t="str">
        <f>IF((AND(T_BilanSocial2[[#This Row],[Nom]]&lt;&gt;"",T_BilanSocial2[[#This Row],[Reg Ponct]]="R")),COUNTIF(S233:AX233,"S")/2,"")</f>
        <v/>
      </c>
      <c r="P233" s="80" t="str">
        <f>IF((AND(T_BilanSocial2[[#This Row],[Nom]]&lt;&gt;"",T_BilanSocial2[[#This Row],[Reg Ponct]]="R")),COUNTIF(S233:AX233,"t")/2,"")</f>
        <v/>
      </c>
      <c r="Q233" s="81" t="str">
        <f t="shared" si="26"/>
        <v/>
      </c>
      <c r="R233" s="82" t="str">
        <f>IF((AND(T_BilanSocial2[[#This Row],[Nom]]&lt;&gt;"",T_BilanSocial2[[#This Row],[Reg Ponct]]="R")),IF(S233="T",U233-T233,0)+IF(V233="T",X233-W233,0)+IF(Z233="T",AB233-AA233,0)+IF(AC233="T",AE233-AD233,0)+IF(AG233="T",AI233-AH233,0)+IF(AJ233="T",AL233-AK233,0)+IF(AN233="T",AP233-AO233,0)+IF(AQ233="T",AS233-AR233,0)+IF(AU233="T",AW233-AV233,0)+IF(AX233="T",AZ233-AY233,0),"")</f>
        <v/>
      </c>
      <c r="S233" s="36" t="s">
        <v>306</v>
      </c>
      <c r="T233" s="37">
        <v>0.35416666666666669</v>
      </c>
      <c r="U233" s="37">
        <v>0.52083333333333337</v>
      </c>
      <c r="V233" s="21" t="s">
        <v>306</v>
      </c>
      <c r="W233" s="37">
        <v>0.5625</v>
      </c>
      <c r="X233" s="37">
        <v>0.70833333333333337</v>
      </c>
      <c r="Y233" s="38" t="str">
        <f t="shared" si="27"/>
        <v/>
      </c>
      <c r="Z233" s="36" t="s">
        <v>307</v>
      </c>
      <c r="AA233" s="37">
        <v>0.33333333333333331</v>
      </c>
      <c r="AB233" s="37">
        <v>0.5</v>
      </c>
      <c r="AC233" s="21" t="s">
        <v>307</v>
      </c>
      <c r="AD233" s="37">
        <v>0.54166666666666663</v>
      </c>
      <c r="AE233" s="37">
        <v>0.70833333333333337</v>
      </c>
      <c r="AF233" s="38" t="str">
        <f t="shared" si="28"/>
        <v/>
      </c>
      <c r="AG233" s="36" t="s">
        <v>306</v>
      </c>
      <c r="AH233" s="37">
        <v>0.35416666666666669</v>
      </c>
      <c r="AI233" s="37">
        <v>0.52083333333333337</v>
      </c>
      <c r="AJ233" s="21" t="s">
        <v>306</v>
      </c>
      <c r="AK233" s="37">
        <v>0.5625</v>
      </c>
      <c r="AL233" s="37">
        <v>0.70833333333333337</v>
      </c>
      <c r="AM233" s="38" t="str">
        <f t="shared" si="29"/>
        <v/>
      </c>
      <c r="AN233" s="36" t="s">
        <v>306</v>
      </c>
      <c r="AO233" s="37">
        <v>0.35416666666666669</v>
      </c>
      <c r="AP233" s="37">
        <v>0.52083333333333337</v>
      </c>
      <c r="AQ233" s="21" t="s">
        <v>306</v>
      </c>
      <c r="AR233" s="37">
        <v>0.5625</v>
      </c>
      <c r="AS233" s="37">
        <v>0.67361111111111116</v>
      </c>
      <c r="AT233" s="38" t="str">
        <f t="shared" si="30"/>
        <v/>
      </c>
      <c r="AU233" s="36" t="s">
        <v>308</v>
      </c>
      <c r="AV233" s="37"/>
      <c r="AW233" s="37"/>
      <c r="AX233" s="21" t="s">
        <v>308</v>
      </c>
      <c r="AY233" s="37"/>
      <c r="AZ233" s="37"/>
      <c r="BA233" s="39" t="str">
        <f t="shared" si="31"/>
        <v/>
      </c>
      <c r="BB233" s="46" t="s">
        <v>498</v>
      </c>
      <c r="BC233" s="31" t="s">
        <v>499</v>
      </c>
      <c r="BD233" s="16" t="s">
        <v>322</v>
      </c>
      <c r="BE233" s="16" t="s">
        <v>322</v>
      </c>
      <c r="BF233" s="244" t="str">
        <f>T_BilanSocial2[[#This Row],[Nom]]&amp;T_BilanSocial2[[#This Row],[Prénom]]</f>
        <v/>
      </c>
    </row>
    <row r="234" spans="1:58" ht="21.75" customHeight="1" x14ac:dyDescent="0.25">
      <c r="A234" s="90">
        <v>268</v>
      </c>
      <c r="B234" s="126" t="s">
        <v>311</v>
      </c>
      <c r="C234" s="126" t="str">
        <f>VLOOKUP(T_BilanSocial2[[#This Row],[NumL]],T_Commission[#Data],COLUMN(T_Commission[FINAL]),FALSE)</f>
        <v/>
      </c>
      <c r="D234" s="19" t="str">
        <f t="shared" si="24"/>
        <v/>
      </c>
      <c r="E234" s="19" t="str">
        <f t="shared" si="25"/>
        <v/>
      </c>
      <c r="F234" s="242" t="str">
        <f>IFERROR(VLOOKUP(T_BilanSocial2[[#This Row],[Zone_Bilan]],T_P_BilanSocial[#Data],COLUMN(T_P_BilanSocial[[#This Row],[Numero_SIHAM]]),FALSE),"")</f>
        <v/>
      </c>
      <c r="G234" s="242" t="str">
        <f>IFERROR(VLOOKUP(T_BilanSocial2[[#This Row],[Zone_Bilan]],T_P_BilanSocial[#Data],COLUMN(T_P_BilanSocial[[#This Row],[Sexe]]),FALSE),"")</f>
        <v/>
      </c>
      <c r="H234" s="243" t="str">
        <f>IFERROR(VLOOKUP(T_BilanSocial2[[#This Row],[Zone_Bilan]],T_P_BilanSocial[#Data],COLUMN(T_P_BilanSocial[[#This Row],[Categorie]]),FALSE),"")</f>
        <v/>
      </c>
      <c r="I234" s="242" t="str">
        <f>IFERROR(VLOOKUP(T_BilanSocial2[[#This Row],[Zone_Bilan]],T_P_BilanSocial[#Data],COLUMN(T_P_BilanSocial[[#This Row],[Statut]]),FALSE),"")</f>
        <v/>
      </c>
      <c r="J234" s="242" t="str">
        <f>IFERROR(VLOOKUP(T_BilanSocial2[[#This Row],[Zone_Bilan]],T_P_BilanSocial[#Data],COLUMN(T_P_BilanSocial[[#This Row],[Filiere]]),FALSE),"")</f>
        <v/>
      </c>
      <c r="K234" s="78">
        <v>1</v>
      </c>
      <c r="L234" s="213">
        <v>1.5451388888888891</v>
      </c>
      <c r="M234" s="78" t="s">
        <v>210</v>
      </c>
      <c r="N234" s="79" t="str">
        <f>IF((AND(T_BilanSocial2[[#This Row],[Nom]]&lt;&gt;"",T_BilanSocial2[[#This Row],[Reg Ponct]]="R")),(COUNTIF(S234:AX234,"S")+COUNTIF(S234:AX234,"T"))/2,"")</f>
        <v/>
      </c>
      <c r="O234" s="79" t="str">
        <f>IF((AND(T_BilanSocial2[[#This Row],[Nom]]&lt;&gt;"",T_BilanSocial2[[#This Row],[Reg Ponct]]="R")),COUNTIF(S234:AX234,"S")/2,"")</f>
        <v/>
      </c>
      <c r="P234" s="80" t="str">
        <f>IF((AND(T_BilanSocial2[[#This Row],[Nom]]&lt;&gt;"",T_BilanSocial2[[#This Row],[Reg Ponct]]="R")),COUNTIF(S234:AX234,"t")/2,"")</f>
        <v/>
      </c>
      <c r="Q234" s="81" t="str">
        <f t="shared" si="26"/>
        <v/>
      </c>
      <c r="R234" s="82" t="str">
        <f>IF((AND(T_BilanSocial2[[#This Row],[Nom]]&lt;&gt;"",T_BilanSocial2[[#This Row],[Reg Ponct]]="R")),IF(S234="T",U234-T234,0)+IF(V234="T",X234-W234,0)+IF(Z234="T",AB234-AA234,0)+IF(AC234="T",AE234-AD234,0)+IF(AG234="T",AI234-AH234,0)+IF(AJ234="T",AL234-AK234,0)+IF(AN234="T",AP234-AO234,0)+IF(AQ234="T",AS234-AR234,0)+IF(AU234="T",AW234-AV234,0)+IF(AX234="T",AZ234-AY234,0),"")</f>
        <v/>
      </c>
      <c r="S234" s="36" t="s">
        <v>306</v>
      </c>
      <c r="T234" s="37">
        <v>0.39583333333333331</v>
      </c>
      <c r="U234" s="37">
        <v>0.52083333333333337</v>
      </c>
      <c r="V234" s="21" t="s">
        <v>306</v>
      </c>
      <c r="W234" s="37">
        <v>0.5625</v>
      </c>
      <c r="X234" s="37">
        <v>0.79166666666666663</v>
      </c>
      <c r="Y234" s="38" t="str">
        <f t="shared" si="27"/>
        <v/>
      </c>
      <c r="Z234" s="36" t="s">
        <v>306</v>
      </c>
      <c r="AA234" s="37">
        <v>0.39583333333333331</v>
      </c>
      <c r="AB234" s="37">
        <v>0.52083333333333337</v>
      </c>
      <c r="AC234" s="21" t="s">
        <v>306</v>
      </c>
      <c r="AD234" s="37">
        <v>0.5625</v>
      </c>
      <c r="AE234" s="37">
        <v>0.79166666666666663</v>
      </c>
      <c r="AF234" s="38" t="str">
        <f t="shared" si="28"/>
        <v/>
      </c>
      <c r="AG234" s="36" t="s">
        <v>307</v>
      </c>
      <c r="AH234" s="37">
        <v>0.39583333333333331</v>
      </c>
      <c r="AI234" s="37">
        <v>0.5</v>
      </c>
      <c r="AJ234" s="21" t="s">
        <v>307</v>
      </c>
      <c r="AK234" s="37">
        <v>0.58333333333333337</v>
      </c>
      <c r="AL234" s="37">
        <v>0.77083333333333337</v>
      </c>
      <c r="AM234" s="38" t="str">
        <f t="shared" si="29"/>
        <v/>
      </c>
      <c r="AN234" s="36" t="s">
        <v>306</v>
      </c>
      <c r="AO234" s="37">
        <v>0.39583333333333331</v>
      </c>
      <c r="AP234" s="37">
        <v>0.52083333333333337</v>
      </c>
      <c r="AQ234" s="21" t="s">
        <v>306</v>
      </c>
      <c r="AR234" s="37">
        <v>0.5625</v>
      </c>
      <c r="AS234" s="37">
        <v>0.75</v>
      </c>
      <c r="AT234" s="38" t="str">
        <f t="shared" si="30"/>
        <v/>
      </c>
      <c r="AU234" s="36" t="s">
        <v>307</v>
      </c>
      <c r="AV234" s="37">
        <v>0.39583333333333331</v>
      </c>
      <c r="AW234" s="37">
        <v>0.52083333333333337</v>
      </c>
      <c r="AX234" s="21" t="s">
        <v>307</v>
      </c>
      <c r="AY234" s="37">
        <v>0.5625</v>
      </c>
      <c r="AZ234" s="37">
        <v>0.67013888888888884</v>
      </c>
      <c r="BA234" s="39" t="str">
        <f t="shared" si="31"/>
        <v/>
      </c>
      <c r="BB234" s="46" t="s">
        <v>376</v>
      </c>
      <c r="BC234" s="31" t="s">
        <v>341</v>
      </c>
      <c r="BD234" s="16" t="s">
        <v>311</v>
      </c>
      <c r="BE234" s="16" t="s">
        <v>311</v>
      </c>
      <c r="BF234" s="244" t="str">
        <f>T_BilanSocial2[[#This Row],[Nom]]&amp;T_BilanSocial2[[#This Row],[Prénom]]</f>
        <v/>
      </c>
    </row>
    <row r="235" spans="1:58" ht="21.75" hidden="1" customHeight="1" x14ac:dyDescent="0.25">
      <c r="A235" s="90">
        <v>207</v>
      </c>
      <c r="B235" s="126" t="s">
        <v>311</v>
      </c>
      <c r="C235" s="126" t="str">
        <f>VLOOKUP(T_BilanSocial2[[#This Row],[NumL]],T_Commission[#Data],COLUMN(T_Commission[FINAL]),FALSE)</f>
        <v/>
      </c>
      <c r="D235" s="19" t="str">
        <f t="shared" si="24"/>
        <v/>
      </c>
      <c r="E235" s="19" t="str">
        <f t="shared" si="25"/>
        <v/>
      </c>
      <c r="F235" s="242" t="str">
        <f>IFERROR(VLOOKUP(T_BilanSocial2[[#This Row],[Zone_Bilan]],T_P_BilanSocial[#Data],COLUMN(T_P_BilanSocial[[#This Row],[Numero_SIHAM]]),FALSE),"")</f>
        <v/>
      </c>
      <c r="G235" s="242" t="str">
        <f>IFERROR(VLOOKUP(T_BilanSocial2[[#This Row],[Zone_Bilan]],T_P_BilanSocial[#Data],COLUMN(T_P_BilanSocial[[#This Row],[Sexe]]),FALSE),"")</f>
        <v/>
      </c>
      <c r="H235" s="243" t="str">
        <f>IFERROR(VLOOKUP(T_BilanSocial2[[#This Row],[Zone_Bilan]],T_P_BilanSocial[#Data],COLUMN(T_P_BilanSocial[[#This Row],[Categorie]]),FALSE),"")</f>
        <v/>
      </c>
      <c r="I235" s="242" t="str">
        <f>IFERROR(VLOOKUP(T_BilanSocial2[[#This Row],[Zone_Bilan]],T_P_BilanSocial[#Data],COLUMN(T_P_BilanSocial[[#This Row],[Statut]]),FALSE),"")</f>
        <v/>
      </c>
      <c r="J235" s="242" t="str">
        <f>IFERROR(VLOOKUP(T_BilanSocial2[[#This Row],[Zone_Bilan]],T_P_BilanSocial[#Data],COLUMN(T_P_BilanSocial[[#This Row],[Filiere]]),FALSE),"")</f>
        <v/>
      </c>
      <c r="K235" s="78">
        <v>1</v>
      </c>
      <c r="L235" s="213">
        <v>1.5451388888888891</v>
      </c>
      <c r="M235" s="78" t="s">
        <v>210</v>
      </c>
      <c r="N235" s="79" t="str">
        <f>IF((AND(T_BilanSocial2[[#This Row],[Nom]]&lt;&gt;"",T_BilanSocial2[[#This Row],[Reg Ponct]]="R")),(COUNTIF(S235:AX235,"S")+COUNTIF(S235:AX235,"T"))/2,"")</f>
        <v/>
      </c>
      <c r="O235" s="79" t="str">
        <f>IF((AND(T_BilanSocial2[[#This Row],[Nom]]&lt;&gt;"",T_BilanSocial2[[#This Row],[Reg Ponct]]="R")),COUNTIF(S235:AX235,"S")/2,"")</f>
        <v/>
      </c>
      <c r="P235" s="80" t="str">
        <f>IF((AND(T_BilanSocial2[[#This Row],[Nom]]&lt;&gt;"",T_BilanSocial2[[#This Row],[Reg Ponct]]="R")),COUNTIF(S235:AX235,"t")/2,"")</f>
        <v/>
      </c>
      <c r="Q235" s="81" t="str">
        <f t="shared" si="26"/>
        <v/>
      </c>
      <c r="R235" s="82" t="str">
        <f>IF((AND(T_BilanSocial2[[#This Row],[Nom]]&lt;&gt;"",T_BilanSocial2[[#This Row],[Reg Ponct]]="R")),IF(S235="T",U235-T235,0)+IF(V235="T",X235-W235,0)+IF(Z235="T",AB235-AA235,0)+IF(AC235="T",AE235-AD235,0)+IF(AG235="T",AI235-AH235,0)+IF(AJ235="T",AL235-AK235,0)+IF(AN235="T",AP235-AO235,0)+IF(AQ235="T",AS235-AR235,0)+IF(AU235="T",AW235-AV235,0)+IF(AX235="T",AZ235-AY235,0),"")</f>
        <v/>
      </c>
      <c r="S235" s="36" t="s">
        <v>306</v>
      </c>
      <c r="T235" s="37">
        <v>0.33333333333333331</v>
      </c>
      <c r="U235" s="37">
        <v>0.5</v>
      </c>
      <c r="V235" s="21" t="s">
        <v>306</v>
      </c>
      <c r="W235" s="37">
        <v>0.5625</v>
      </c>
      <c r="X235" s="37">
        <v>0.70486111111111116</v>
      </c>
      <c r="Y235" s="38" t="str">
        <f t="shared" si="27"/>
        <v/>
      </c>
      <c r="Z235" s="36" t="s">
        <v>306</v>
      </c>
      <c r="AA235" s="37">
        <v>0.33333333333333331</v>
      </c>
      <c r="AB235" s="37">
        <v>0.5</v>
      </c>
      <c r="AC235" s="21" t="s">
        <v>306</v>
      </c>
      <c r="AD235" s="37">
        <v>0.5625</v>
      </c>
      <c r="AE235" s="37">
        <v>0.70486111111111116</v>
      </c>
      <c r="AF235" s="38" t="str">
        <f t="shared" si="28"/>
        <v/>
      </c>
      <c r="AG235" s="36" t="s">
        <v>306</v>
      </c>
      <c r="AH235" s="37">
        <v>0.33333333333333331</v>
      </c>
      <c r="AI235" s="37">
        <v>0.5</v>
      </c>
      <c r="AJ235" s="21" t="s">
        <v>306</v>
      </c>
      <c r="AK235" s="37">
        <v>0.5625</v>
      </c>
      <c r="AL235" s="37">
        <v>0.70486111111111116</v>
      </c>
      <c r="AM235" s="38" t="str">
        <f t="shared" si="29"/>
        <v/>
      </c>
      <c r="AN235" s="36" t="s">
        <v>306</v>
      </c>
      <c r="AO235" s="37">
        <v>0.33333333333333331</v>
      </c>
      <c r="AP235" s="37">
        <v>0.5</v>
      </c>
      <c r="AQ235" s="21" t="s">
        <v>306</v>
      </c>
      <c r="AR235" s="37">
        <v>0.5625</v>
      </c>
      <c r="AS235" s="37">
        <v>0.70486111111111116</v>
      </c>
      <c r="AT235" s="38" t="str">
        <f t="shared" si="30"/>
        <v/>
      </c>
      <c r="AU235" s="36" t="s">
        <v>307</v>
      </c>
      <c r="AV235" s="37">
        <v>0.33333333333333331</v>
      </c>
      <c r="AW235" s="37">
        <v>0.5</v>
      </c>
      <c r="AX235" s="21" t="s">
        <v>307</v>
      </c>
      <c r="AY235" s="37">
        <v>0.5625</v>
      </c>
      <c r="AZ235" s="37">
        <v>0.70486111111111116</v>
      </c>
      <c r="BA235" s="39" t="str">
        <f t="shared" si="31"/>
        <v/>
      </c>
      <c r="BB235" s="46" t="s">
        <v>376</v>
      </c>
      <c r="BC235" s="31" t="s">
        <v>341</v>
      </c>
      <c r="BD235" s="16" t="s">
        <v>322</v>
      </c>
      <c r="BE235" s="16" t="s">
        <v>322</v>
      </c>
      <c r="BF235" s="244" t="str">
        <f>T_BilanSocial2[[#This Row],[Nom]]&amp;T_BilanSocial2[[#This Row],[Prénom]]</f>
        <v/>
      </c>
    </row>
    <row r="236" spans="1:58" ht="21.75" hidden="1" customHeight="1" x14ac:dyDescent="0.25">
      <c r="A236" s="90">
        <v>31</v>
      </c>
      <c r="B236" s="126" t="s">
        <v>311</v>
      </c>
      <c r="C236" s="126" t="str">
        <f>VLOOKUP(T_BilanSocial2[[#This Row],[NumL]],T_Commission[#Data],COLUMN(T_Commission[FINAL]),FALSE)</f>
        <v/>
      </c>
      <c r="D236" s="19" t="str">
        <f t="shared" si="24"/>
        <v/>
      </c>
      <c r="E236" s="19" t="str">
        <f t="shared" si="25"/>
        <v/>
      </c>
      <c r="F236" s="242" t="str">
        <f>IFERROR(VLOOKUP(T_BilanSocial2[[#This Row],[Zone_Bilan]],T_P_BilanSocial[#Data],COLUMN(T_P_BilanSocial[[#This Row],[Numero_SIHAM]]),FALSE),"")</f>
        <v/>
      </c>
      <c r="G236" s="242" t="str">
        <f>IFERROR(VLOOKUP(T_BilanSocial2[[#This Row],[Zone_Bilan]],T_P_BilanSocial[#Data],COLUMN(T_P_BilanSocial[[#This Row],[Sexe]]),FALSE),"")</f>
        <v/>
      </c>
      <c r="H236" s="243" t="str">
        <f>IFERROR(VLOOKUP(T_BilanSocial2[[#This Row],[Zone_Bilan]],T_P_BilanSocial[#Data],COLUMN(T_P_BilanSocial[[#This Row],[Categorie]]),FALSE),"")</f>
        <v/>
      </c>
      <c r="I236" s="242" t="str">
        <f>IFERROR(VLOOKUP(T_BilanSocial2[[#This Row],[Zone_Bilan]],T_P_BilanSocial[#Data],COLUMN(T_P_BilanSocial[[#This Row],[Statut]]),FALSE),"")</f>
        <v/>
      </c>
      <c r="J236" s="242" t="str">
        <f>IFERROR(VLOOKUP(T_BilanSocial2[[#This Row],[Zone_Bilan]],T_P_BilanSocial[#Data],COLUMN(T_P_BilanSocial[[#This Row],[Filiere]]),FALSE),"")</f>
        <v/>
      </c>
      <c r="K236" s="78">
        <v>0.8</v>
      </c>
      <c r="L236" s="213">
        <v>1.2361111111111112</v>
      </c>
      <c r="M236" s="78" t="s">
        <v>210</v>
      </c>
      <c r="N236" s="79" t="str">
        <f>IF((AND(T_BilanSocial2[[#This Row],[Nom]]&lt;&gt;"",T_BilanSocial2[[#This Row],[Reg Ponct]]="R")),(COUNTIF(S236:AX236,"S")+COUNTIF(S236:AX236,"T"))/2,"")</f>
        <v/>
      </c>
      <c r="O236" s="79" t="str">
        <f>IF((AND(T_BilanSocial2[[#This Row],[Nom]]&lt;&gt;"",T_BilanSocial2[[#This Row],[Reg Ponct]]="R")),COUNTIF(S236:AX236,"S")/2,"")</f>
        <v/>
      </c>
      <c r="P236" s="80" t="str">
        <f>IF((AND(T_BilanSocial2[[#This Row],[Nom]]&lt;&gt;"",T_BilanSocial2[[#This Row],[Reg Ponct]]="R")),COUNTIF(S236:AX236,"t")/2,"")</f>
        <v/>
      </c>
      <c r="Q236" s="81" t="str">
        <f t="shared" si="26"/>
        <v/>
      </c>
      <c r="R236" s="82" t="str">
        <f>IF((AND(T_BilanSocial2[[#This Row],[Nom]]&lt;&gt;"",T_BilanSocial2[[#This Row],[Reg Ponct]]="R")),IF(S236="T",U236-T236,0)+IF(V236="T",X236-W236,0)+IF(Z236="T",AB236-AA236,0)+IF(AC236="T",AE236-AD236,0)+IF(AG236="T",AI236-AH236,0)+IF(AJ236="T",AL236-AK236,0)+IF(AN236="T",AP236-AO236,0)+IF(AQ236="T",AS236-AR236,0)+IF(AU236="T",AW236-AV236,0)+IF(AX236="T",AZ236-AY236,0),"")</f>
        <v/>
      </c>
      <c r="S236" s="36" t="s">
        <v>306</v>
      </c>
      <c r="T236" s="37">
        <v>0.33333333333333331</v>
      </c>
      <c r="U236" s="37">
        <v>0.5</v>
      </c>
      <c r="V236" s="21" t="s">
        <v>306</v>
      </c>
      <c r="W236" s="37">
        <v>0.54166666666666663</v>
      </c>
      <c r="X236" s="37">
        <v>0.6875</v>
      </c>
      <c r="Y236" s="38" t="str">
        <f t="shared" si="27"/>
        <v/>
      </c>
      <c r="Z236" s="36" t="s">
        <v>306</v>
      </c>
      <c r="AA236" s="37">
        <v>0.33333333333333331</v>
      </c>
      <c r="AB236" s="37">
        <v>0.5</v>
      </c>
      <c r="AC236" s="21" t="s">
        <v>306</v>
      </c>
      <c r="AD236" s="37">
        <v>0.54166666666666663</v>
      </c>
      <c r="AE236" s="37">
        <v>0.6875</v>
      </c>
      <c r="AF236" s="38" t="str">
        <f t="shared" si="28"/>
        <v/>
      </c>
      <c r="AG236" s="36" t="s">
        <v>307</v>
      </c>
      <c r="AH236" s="37">
        <v>0.33333333333333331</v>
      </c>
      <c r="AI236" s="37">
        <v>0.5</v>
      </c>
      <c r="AJ236" s="21" t="s">
        <v>307</v>
      </c>
      <c r="AK236" s="37">
        <v>0.54166666666666663</v>
      </c>
      <c r="AL236" s="37">
        <v>0.67361111111111116</v>
      </c>
      <c r="AM236" s="38" t="str">
        <f t="shared" si="29"/>
        <v/>
      </c>
      <c r="AN236" s="36" t="s">
        <v>306</v>
      </c>
      <c r="AO236" s="37">
        <v>0.33333333333333331</v>
      </c>
      <c r="AP236" s="37">
        <v>0.5</v>
      </c>
      <c r="AQ236" s="21" t="s">
        <v>306</v>
      </c>
      <c r="AR236" s="37">
        <v>0.54166666666666663</v>
      </c>
      <c r="AS236" s="37">
        <v>0.6875</v>
      </c>
      <c r="AT236" s="38" t="str">
        <f t="shared" si="30"/>
        <v/>
      </c>
      <c r="AU236" s="36" t="s">
        <v>308</v>
      </c>
      <c r="AV236" s="37"/>
      <c r="AW236" s="37"/>
      <c r="AX236" s="21" t="s">
        <v>308</v>
      </c>
      <c r="AY236" s="37"/>
      <c r="AZ236" s="37"/>
      <c r="BA236" s="39" t="str">
        <f t="shared" si="31"/>
        <v/>
      </c>
      <c r="BB236" s="46" t="s">
        <v>481</v>
      </c>
      <c r="BC236" s="31" t="s">
        <v>341</v>
      </c>
      <c r="BD236" s="16" t="s">
        <v>311</v>
      </c>
      <c r="BE236" s="16" t="s">
        <v>311</v>
      </c>
      <c r="BF236" s="244" t="str">
        <f>T_BilanSocial2[[#This Row],[Nom]]&amp;T_BilanSocial2[[#This Row],[Prénom]]</f>
        <v/>
      </c>
    </row>
    <row r="237" spans="1:58" ht="21.75" hidden="1" customHeight="1" x14ac:dyDescent="0.25">
      <c r="A237" s="90">
        <v>3</v>
      </c>
      <c r="B237" s="126" t="s">
        <v>311</v>
      </c>
      <c r="C237" s="126" t="str">
        <f>VLOOKUP(T_BilanSocial2[[#This Row],[NumL]],T_Commission[#Data],COLUMN(T_Commission[FINAL]),FALSE)</f>
        <v/>
      </c>
      <c r="D237" s="19" t="str">
        <f t="shared" si="24"/>
        <v/>
      </c>
      <c r="E237" s="19" t="str">
        <f t="shared" si="25"/>
        <v/>
      </c>
      <c r="F237" s="242" t="str">
        <f>IFERROR(VLOOKUP(T_BilanSocial2[[#This Row],[Zone_Bilan]],T_P_BilanSocial[#Data],COLUMN(T_P_BilanSocial[[#This Row],[Numero_SIHAM]]),FALSE),"")</f>
        <v/>
      </c>
      <c r="G237" s="242" t="str">
        <f>IFERROR(VLOOKUP(T_BilanSocial2[[#This Row],[Zone_Bilan]],T_P_BilanSocial[#Data],COLUMN(T_P_BilanSocial[[#This Row],[Sexe]]),FALSE),"")</f>
        <v/>
      </c>
      <c r="H237" s="243" t="str">
        <f>IFERROR(VLOOKUP(T_BilanSocial2[[#This Row],[Zone_Bilan]],T_P_BilanSocial[#Data],COLUMN(T_P_BilanSocial[[#This Row],[Categorie]]),FALSE),"")</f>
        <v/>
      </c>
      <c r="I237" s="242" t="str">
        <f>IFERROR(VLOOKUP(T_BilanSocial2[[#This Row],[Zone_Bilan]],T_P_BilanSocial[#Data],COLUMN(T_P_BilanSocial[[#This Row],[Statut]]),FALSE),"")</f>
        <v/>
      </c>
      <c r="J237" s="242" t="str">
        <f>IFERROR(VLOOKUP(T_BilanSocial2[[#This Row],[Zone_Bilan]],T_P_BilanSocial[#Data],COLUMN(T_P_BilanSocial[[#This Row],[Filiere]]),FALSE),"")</f>
        <v/>
      </c>
      <c r="K237" s="78">
        <v>1</v>
      </c>
      <c r="L237" s="213">
        <v>1.5451388888888891</v>
      </c>
      <c r="M237" s="78" t="s">
        <v>211</v>
      </c>
      <c r="N237" s="79" t="str">
        <f>IF((AND(T_BilanSocial2[[#This Row],[Nom]]&lt;&gt;"",T_BilanSocial2[[#This Row],[Reg Ponct]]="R")),(COUNTIF(S237:AX237,"S")+COUNTIF(S237:AX237,"T"))/2,"")</f>
        <v/>
      </c>
      <c r="O237" s="79" t="str">
        <f>IF((AND(T_BilanSocial2[[#This Row],[Nom]]&lt;&gt;"",T_BilanSocial2[[#This Row],[Reg Ponct]]="R")),COUNTIF(S237:AX237,"S")/2,"")</f>
        <v/>
      </c>
      <c r="P237" s="80" t="str">
        <f>IF((AND(T_BilanSocial2[[#This Row],[Nom]]&lt;&gt;"",T_BilanSocial2[[#This Row],[Reg Ponct]]="R")),COUNTIF(S237:AX237,"t")/2,"")</f>
        <v/>
      </c>
      <c r="Q237" s="81" t="str">
        <f t="shared" si="26"/>
        <v/>
      </c>
      <c r="R237" s="82" t="str">
        <f>IF((AND(T_BilanSocial2[[#This Row],[Nom]]&lt;&gt;"",T_BilanSocial2[[#This Row],[Reg Ponct]]="R")),IF(S237="T",U237-T237,0)+IF(V237="T",X237-W237,0)+IF(Z237="T",AB237-AA237,0)+IF(AC237="T",AE237-AD237,0)+IF(AG237="T",AI237-AH237,0)+IF(AJ237="T",AL237-AK237,0)+IF(AN237="T",AP237-AO237,0)+IF(AQ237="T",AS237-AR237,0)+IF(AU237="T",AW237-AV237,0)+IF(AX237="T",AZ237-AY237,0),"")</f>
        <v/>
      </c>
      <c r="S237" s="36"/>
      <c r="T237" s="37"/>
      <c r="U237" s="37"/>
      <c r="V237" s="21"/>
      <c r="W237" s="37"/>
      <c r="X237" s="37"/>
      <c r="Y237" s="38" t="str">
        <f t="shared" si="27"/>
        <v/>
      </c>
      <c r="Z237" s="36"/>
      <c r="AA237" s="37"/>
      <c r="AB237" s="37"/>
      <c r="AC237" s="21"/>
      <c r="AD237" s="37"/>
      <c r="AE237" s="37"/>
      <c r="AF237" s="38" t="str">
        <f t="shared" si="28"/>
        <v/>
      </c>
      <c r="AG237" s="36"/>
      <c r="AH237" s="37"/>
      <c r="AI237" s="37"/>
      <c r="AJ237" s="21"/>
      <c r="AK237" s="37"/>
      <c r="AL237" s="37"/>
      <c r="AM237" s="38" t="str">
        <f t="shared" si="29"/>
        <v/>
      </c>
      <c r="AN237" s="36"/>
      <c r="AO237" s="37"/>
      <c r="AP237" s="37"/>
      <c r="AQ237" s="21"/>
      <c r="AR237" s="37"/>
      <c r="AS237" s="37"/>
      <c r="AT237" s="38" t="str">
        <f t="shared" si="30"/>
        <v/>
      </c>
      <c r="AU237" s="36"/>
      <c r="AV237" s="37"/>
      <c r="AW237" s="37"/>
      <c r="AX237" s="21"/>
      <c r="AY237" s="37"/>
      <c r="AZ237" s="37"/>
      <c r="BA237" s="39" t="str">
        <f t="shared" si="31"/>
        <v/>
      </c>
      <c r="BB237" s="46" t="s">
        <v>329</v>
      </c>
      <c r="BC237" s="31" t="s">
        <v>330</v>
      </c>
      <c r="BD237" s="16" t="s">
        <v>322</v>
      </c>
      <c r="BE237" s="16" t="s">
        <v>311</v>
      </c>
      <c r="BF237" s="244" t="str">
        <f>T_BilanSocial2[[#This Row],[Nom]]&amp;T_BilanSocial2[[#This Row],[Prénom]]</f>
        <v/>
      </c>
    </row>
    <row r="238" spans="1:58" ht="21.75" hidden="1" customHeight="1" x14ac:dyDescent="0.25">
      <c r="A238" s="90">
        <v>98</v>
      </c>
      <c r="B238" s="126" t="s">
        <v>311</v>
      </c>
      <c r="C238" s="126" t="str">
        <f>VLOOKUP(T_BilanSocial2[[#This Row],[NumL]],T_Commission[#Data],COLUMN(T_Commission[FINAL]),FALSE)</f>
        <v/>
      </c>
      <c r="D238" s="19" t="str">
        <f t="shared" si="24"/>
        <v/>
      </c>
      <c r="E238" s="19" t="str">
        <f t="shared" si="25"/>
        <v/>
      </c>
      <c r="F238" s="242" t="str">
        <f>IFERROR(VLOOKUP(T_BilanSocial2[[#This Row],[Zone_Bilan]],T_P_BilanSocial[#Data],COLUMN(T_P_BilanSocial[[#This Row],[Numero_SIHAM]]),FALSE),"")</f>
        <v/>
      </c>
      <c r="G238" s="242" t="str">
        <f>IFERROR(VLOOKUP(T_BilanSocial2[[#This Row],[Zone_Bilan]],T_P_BilanSocial[#Data],COLUMN(T_P_BilanSocial[[#This Row],[Sexe]]),FALSE),"")</f>
        <v/>
      </c>
      <c r="H238" s="243" t="str">
        <f>IFERROR(VLOOKUP(T_BilanSocial2[[#This Row],[Zone_Bilan]],T_P_BilanSocial[#Data],COLUMN(T_P_BilanSocial[[#This Row],[Categorie]]),FALSE),"")</f>
        <v/>
      </c>
      <c r="I238" s="242" t="str">
        <f>IFERROR(VLOOKUP(T_BilanSocial2[[#This Row],[Zone_Bilan]],T_P_BilanSocial[#Data],COLUMN(T_P_BilanSocial[[#This Row],[Statut]]),FALSE),"")</f>
        <v/>
      </c>
      <c r="J238" s="242" t="str">
        <f>IFERROR(VLOOKUP(T_BilanSocial2[[#This Row],[Zone_Bilan]],T_P_BilanSocial[#Data],COLUMN(T_P_BilanSocial[[#This Row],[Filiere]]),FALSE),"")</f>
        <v/>
      </c>
      <c r="K238" s="78">
        <v>1</v>
      </c>
      <c r="L238" s="213">
        <v>1.5451388888888891</v>
      </c>
      <c r="M238" s="78" t="s">
        <v>210</v>
      </c>
      <c r="N238" s="79" t="str">
        <f>IF((AND(T_BilanSocial2[[#This Row],[Nom]]&lt;&gt;"",T_BilanSocial2[[#This Row],[Reg Ponct]]="R")),(COUNTIF(S238:AX238,"S")+COUNTIF(S238:AX238,"T"))/2,"")</f>
        <v/>
      </c>
      <c r="O238" s="79" t="str">
        <f>IF((AND(T_BilanSocial2[[#This Row],[Nom]]&lt;&gt;"",T_BilanSocial2[[#This Row],[Reg Ponct]]="R")),COUNTIF(S238:AX238,"S")/2,"")</f>
        <v/>
      </c>
      <c r="P238" s="80" t="str">
        <f>IF((AND(T_BilanSocial2[[#This Row],[Nom]]&lt;&gt;"",T_BilanSocial2[[#This Row],[Reg Ponct]]="R")),COUNTIF(S238:AX238,"t")/2,"")</f>
        <v/>
      </c>
      <c r="Q238" s="81" t="str">
        <f t="shared" si="26"/>
        <v/>
      </c>
      <c r="R238" s="82" t="str">
        <f>IF((AND(T_BilanSocial2[[#This Row],[Nom]]&lt;&gt;"",T_BilanSocial2[[#This Row],[Reg Ponct]]="R")),IF(S238="T",U238-T238,0)+IF(V238="T",X238-W238,0)+IF(Z238="T",AB238-AA238,0)+IF(AC238="T",AE238-AD238,0)+IF(AG238="T",AI238-AH238,0)+IF(AJ238="T",AL238-AK238,0)+IF(AN238="T",AP238-AO238,0)+IF(AQ238="T",AS238-AR238,0)+IF(AU238="T",AW238-AV238,0)+IF(AX238="T",AZ238-AY238,0),"")</f>
        <v/>
      </c>
      <c r="S238" s="36" t="s">
        <v>306</v>
      </c>
      <c r="T238" s="37">
        <v>0.33333333333333331</v>
      </c>
      <c r="U238" s="37">
        <v>0.52083333333333337</v>
      </c>
      <c r="V238" s="21" t="s">
        <v>306</v>
      </c>
      <c r="W238" s="37">
        <v>0.5625</v>
      </c>
      <c r="X238" s="37">
        <v>0.71180555555555547</v>
      </c>
      <c r="Y238" s="38" t="str">
        <f t="shared" si="27"/>
        <v/>
      </c>
      <c r="Z238" s="36" t="s">
        <v>306</v>
      </c>
      <c r="AA238" s="37">
        <v>0.33333333333333331</v>
      </c>
      <c r="AB238" s="37">
        <v>0.52083333333333337</v>
      </c>
      <c r="AC238" s="21" t="s">
        <v>306</v>
      </c>
      <c r="AD238" s="37">
        <v>0.5625</v>
      </c>
      <c r="AE238" s="37">
        <v>0.71527777777777779</v>
      </c>
      <c r="AF238" s="38" t="str">
        <f t="shared" si="28"/>
        <v/>
      </c>
      <c r="AG238" s="36" t="s">
        <v>306</v>
      </c>
      <c r="AH238" s="37">
        <v>0.33333333333333331</v>
      </c>
      <c r="AI238" s="37">
        <v>0.52083333333333337</v>
      </c>
      <c r="AJ238" s="21" t="s">
        <v>306</v>
      </c>
      <c r="AK238" s="37">
        <v>0.5625</v>
      </c>
      <c r="AL238" s="37">
        <v>0.71527777777777779</v>
      </c>
      <c r="AM238" s="38" t="str">
        <f t="shared" si="29"/>
        <v/>
      </c>
      <c r="AN238" s="36" t="s">
        <v>306</v>
      </c>
      <c r="AO238" s="37">
        <v>0.33333333333333331</v>
      </c>
      <c r="AP238" s="37">
        <v>0.52083333333333337</v>
      </c>
      <c r="AQ238" s="21" t="s">
        <v>306</v>
      </c>
      <c r="AR238" s="37">
        <v>0.5625</v>
      </c>
      <c r="AS238" s="37">
        <v>0.71527777777777779</v>
      </c>
      <c r="AT238" s="38" t="str">
        <f t="shared" si="30"/>
        <v/>
      </c>
      <c r="AU238" s="36" t="s">
        <v>307</v>
      </c>
      <c r="AV238" s="37">
        <v>0.33333333333333331</v>
      </c>
      <c r="AW238" s="37">
        <v>0.52083333333333337</v>
      </c>
      <c r="AX238" s="21" t="s">
        <v>308</v>
      </c>
      <c r="AY238" s="37"/>
      <c r="AZ238" s="37"/>
      <c r="BA238" s="39" t="str">
        <f t="shared" si="31"/>
        <v/>
      </c>
      <c r="BB238" s="46" t="s">
        <v>705</v>
      </c>
      <c r="BC238" s="31" t="s">
        <v>706</v>
      </c>
      <c r="BD238" s="16" t="s">
        <v>311</v>
      </c>
      <c r="BE238" s="16" t="s">
        <v>311</v>
      </c>
      <c r="BF238" s="244" t="str">
        <f>T_BilanSocial2[[#This Row],[Nom]]&amp;T_BilanSocial2[[#This Row],[Prénom]]</f>
        <v/>
      </c>
    </row>
    <row r="239" spans="1:58" ht="21.75" hidden="1" customHeight="1" x14ac:dyDescent="0.25">
      <c r="A239" s="90">
        <v>106</v>
      </c>
      <c r="B239" s="126" t="s">
        <v>311</v>
      </c>
      <c r="C239" s="126" t="str">
        <f>VLOOKUP(T_BilanSocial2[[#This Row],[NumL]],T_Commission[#Data],COLUMN(T_Commission[FINAL]),FALSE)</f>
        <v/>
      </c>
      <c r="D239" s="19" t="str">
        <f t="shared" si="24"/>
        <v/>
      </c>
      <c r="E239" s="19" t="str">
        <f t="shared" si="25"/>
        <v/>
      </c>
      <c r="F239" s="242" t="str">
        <f>IFERROR(VLOOKUP(T_BilanSocial2[[#This Row],[Zone_Bilan]],T_P_BilanSocial[#Data],COLUMN(T_P_BilanSocial[[#This Row],[Numero_SIHAM]]),FALSE),"")</f>
        <v/>
      </c>
      <c r="G239" s="242" t="str">
        <f>IFERROR(VLOOKUP(T_BilanSocial2[[#This Row],[Zone_Bilan]],T_P_BilanSocial[#Data],COLUMN(T_P_BilanSocial[[#This Row],[Sexe]]),FALSE),"")</f>
        <v/>
      </c>
      <c r="H239" s="243" t="str">
        <f>IFERROR(VLOOKUP(T_BilanSocial2[[#This Row],[Zone_Bilan]],T_P_BilanSocial[#Data],COLUMN(T_P_BilanSocial[[#This Row],[Categorie]]),FALSE),"")</f>
        <v/>
      </c>
      <c r="I239" s="242" t="str">
        <f>IFERROR(VLOOKUP(T_BilanSocial2[[#This Row],[Zone_Bilan]],T_P_BilanSocial[#Data],COLUMN(T_P_BilanSocial[[#This Row],[Statut]]),FALSE),"")</f>
        <v/>
      </c>
      <c r="J239" s="242" t="str">
        <f>IFERROR(VLOOKUP(T_BilanSocial2[[#This Row],[Zone_Bilan]],T_P_BilanSocial[#Data],COLUMN(T_P_BilanSocial[[#This Row],[Filiere]]),FALSE),"")</f>
        <v/>
      </c>
      <c r="K239" s="78">
        <v>1</v>
      </c>
      <c r="L239" s="213">
        <v>1.5451388888888891</v>
      </c>
      <c r="M239" s="78" t="s">
        <v>210</v>
      </c>
      <c r="N239" s="79" t="str">
        <f>IF((AND(T_BilanSocial2[[#This Row],[Nom]]&lt;&gt;"",T_BilanSocial2[[#This Row],[Reg Ponct]]="R")),(COUNTIF(S239:AX239,"S")+COUNTIF(S239:AX239,"T"))/2,"")</f>
        <v/>
      </c>
      <c r="O239" s="79" t="str">
        <f>IF((AND(T_BilanSocial2[[#This Row],[Nom]]&lt;&gt;"",T_BilanSocial2[[#This Row],[Reg Ponct]]="R")),COUNTIF(S239:AX239,"S")/2,"")</f>
        <v/>
      </c>
      <c r="P239" s="80" t="str">
        <f>IF((AND(T_BilanSocial2[[#This Row],[Nom]]&lt;&gt;"",T_BilanSocial2[[#This Row],[Reg Ponct]]="R")),COUNTIF(S239:AX239,"t")/2,"")</f>
        <v/>
      </c>
      <c r="Q239" s="81" t="str">
        <f t="shared" si="26"/>
        <v/>
      </c>
      <c r="R239" s="82" t="str">
        <f>IF((AND(T_BilanSocial2[[#This Row],[Nom]]&lt;&gt;"",T_BilanSocial2[[#This Row],[Reg Ponct]]="R")),IF(S239="T",U239-T239,0)+IF(V239="T",X239-W239,0)+IF(Z239="T",AB239-AA239,0)+IF(AC239="T",AE239-AD239,0)+IF(AG239="T",AI239-AH239,0)+IF(AJ239="T",AL239-AK239,0)+IF(AN239="T",AP239-AO239,0)+IF(AQ239="T",AS239-AR239,0)+IF(AU239="T",AW239-AV239,0)+IF(AX239="T",AZ239-AY239,0),"")</f>
        <v/>
      </c>
      <c r="S239" s="36" t="s">
        <v>306</v>
      </c>
      <c r="T239" s="37">
        <v>0.375</v>
      </c>
      <c r="U239" s="37">
        <v>0.5</v>
      </c>
      <c r="V239" s="21" t="s">
        <v>306</v>
      </c>
      <c r="W239" s="37">
        <v>0.5625</v>
      </c>
      <c r="X239" s="37">
        <v>0.73263888888888884</v>
      </c>
      <c r="Y239" s="38" t="str">
        <f t="shared" si="27"/>
        <v/>
      </c>
      <c r="Z239" s="36" t="s">
        <v>307</v>
      </c>
      <c r="AA239" s="37">
        <v>0.35416666666666669</v>
      </c>
      <c r="AB239" s="37">
        <v>0.5</v>
      </c>
      <c r="AC239" s="21" t="s">
        <v>307</v>
      </c>
      <c r="AD239" s="37">
        <v>0.54166666666666663</v>
      </c>
      <c r="AE239" s="37">
        <v>0.72916666666666663</v>
      </c>
      <c r="AF239" s="38" t="str">
        <f t="shared" si="28"/>
        <v/>
      </c>
      <c r="AG239" s="36" t="s">
        <v>306</v>
      </c>
      <c r="AH239" s="37">
        <v>0.35416666666666669</v>
      </c>
      <c r="AI239" s="37">
        <v>0.52083333333333337</v>
      </c>
      <c r="AJ239" s="21" t="s">
        <v>306</v>
      </c>
      <c r="AK239" s="37">
        <v>0.5625</v>
      </c>
      <c r="AL239" s="37">
        <v>0.75</v>
      </c>
      <c r="AM239" s="38" t="str">
        <f t="shared" si="29"/>
        <v/>
      </c>
      <c r="AN239" s="36" t="s">
        <v>306</v>
      </c>
      <c r="AO239" s="37">
        <v>0.375</v>
      </c>
      <c r="AP239" s="37">
        <v>0.5</v>
      </c>
      <c r="AQ239" s="21" t="s">
        <v>306</v>
      </c>
      <c r="AR239" s="37">
        <v>0.5625</v>
      </c>
      <c r="AS239" s="37">
        <v>0.70833333333333337</v>
      </c>
      <c r="AT239" s="38" t="str">
        <f t="shared" si="30"/>
        <v/>
      </c>
      <c r="AU239" s="36" t="s">
        <v>306</v>
      </c>
      <c r="AV239" s="37">
        <v>0.35416666666666669</v>
      </c>
      <c r="AW239" s="37">
        <v>0.52083333333333337</v>
      </c>
      <c r="AX239" s="21" t="s">
        <v>306</v>
      </c>
      <c r="AY239" s="37">
        <v>0.5625</v>
      </c>
      <c r="AZ239" s="37">
        <v>0.6875</v>
      </c>
      <c r="BA239" s="39" t="str">
        <f t="shared" si="31"/>
        <v/>
      </c>
      <c r="BB239" s="46" t="s">
        <v>340</v>
      </c>
      <c r="BC239" s="31" t="s">
        <v>341</v>
      </c>
      <c r="BD239" s="16" t="s">
        <v>311</v>
      </c>
      <c r="BE239" s="16" t="s">
        <v>311</v>
      </c>
      <c r="BF239" s="244" t="str">
        <f>T_BilanSocial2[[#This Row],[Nom]]&amp;T_BilanSocial2[[#This Row],[Prénom]]</f>
        <v/>
      </c>
    </row>
    <row r="240" spans="1:58" ht="21.75" customHeight="1" x14ac:dyDescent="0.25">
      <c r="A240" s="90">
        <v>284</v>
      </c>
      <c r="B240" s="126" t="s">
        <v>311</v>
      </c>
      <c r="C240" s="126" t="e">
        <f>VLOOKUP(T_BilanSocial2[[#This Row],[NumL]],T_Commission[#Data],COLUMN(T_Commission[FINAL]),FALSE)</f>
        <v>#N/A</v>
      </c>
      <c r="D240" s="19" t="str">
        <f t="shared" si="24"/>
        <v/>
      </c>
      <c r="E240" s="19" t="str">
        <f t="shared" si="25"/>
        <v/>
      </c>
      <c r="F240" s="242" t="str">
        <f>IFERROR(VLOOKUP(T_BilanSocial2[[#This Row],[Zone_Bilan]],T_P_BilanSocial[#Data],COLUMN(T_P_BilanSocial[[#This Row],[Numero_SIHAM]]),FALSE),"")</f>
        <v/>
      </c>
      <c r="G240" s="242" t="str">
        <f>IFERROR(VLOOKUP(T_BilanSocial2[[#This Row],[Zone_Bilan]],T_P_BilanSocial[#Data],COLUMN(T_P_BilanSocial[[#This Row],[Sexe]]),FALSE),"")</f>
        <v/>
      </c>
      <c r="H240" s="243" t="str">
        <f>IFERROR(VLOOKUP(T_BilanSocial2[[#This Row],[Zone_Bilan]],T_P_BilanSocial[#Data],COLUMN(T_P_BilanSocial[[#This Row],[Categorie]]),FALSE),"")</f>
        <v/>
      </c>
      <c r="I240" s="242" t="str">
        <f>IFERROR(VLOOKUP(T_BilanSocial2[[#This Row],[Zone_Bilan]],T_P_BilanSocial[#Data],COLUMN(T_P_BilanSocial[[#This Row],[Statut]]),FALSE),"")</f>
        <v/>
      </c>
      <c r="J240" s="242" t="str">
        <f>IFERROR(VLOOKUP(T_BilanSocial2[[#This Row],[Zone_Bilan]],T_P_BilanSocial[#Data],COLUMN(T_P_BilanSocial[[#This Row],[Filiere]]),FALSE),"")</f>
        <v/>
      </c>
      <c r="K240" s="78">
        <v>1</v>
      </c>
      <c r="L240" s="213">
        <v>1.5451388888888891</v>
      </c>
      <c r="M240" s="78" t="s">
        <v>210</v>
      </c>
      <c r="N240" s="79" t="str">
        <f>IF((AND(T_BilanSocial2[[#This Row],[Nom]]&lt;&gt;"",T_BilanSocial2[[#This Row],[Reg Ponct]]="R")),(COUNTIF(S240:AX240,"S")+COUNTIF(S240:AX240,"T"))/2,"")</f>
        <v/>
      </c>
      <c r="O240" s="79" t="str">
        <f>IF((AND(T_BilanSocial2[[#This Row],[Nom]]&lt;&gt;"",T_BilanSocial2[[#This Row],[Reg Ponct]]="R")),COUNTIF(S240:AX240,"S")/2,"")</f>
        <v/>
      </c>
      <c r="P240" s="80" t="str">
        <f>IF((AND(T_BilanSocial2[[#This Row],[Nom]]&lt;&gt;"",T_BilanSocial2[[#This Row],[Reg Ponct]]="R")),COUNTIF(S240:AX240,"t")/2,"")</f>
        <v/>
      </c>
      <c r="Q240" s="81" t="str">
        <f t="shared" si="26"/>
        <v/>
      </c>
      <c r="R240" s="82" t="str">
        <f>IF((AND(T_BilanSocial2[[#This Row],[Nom]]&lt;&gt;"",T_BilanSocial2[[#This Row],[Reg Ponct]]="R")),IF(S240="T",U240-T240,0)+IF(V240="T",X240-W240,0)+IF(Z240="T",AB240-AA240,0)+IF(AC240="T",AE240-AD240,0)+IF(AG240="T",AI240-AH240,0)+IF(AJ240="T",AL240-AK240,0)+IF(AN240="T",AP240-AO240,0)+IF(AQ240="T",AS240-AR240,0)+IF(AU240="T",AW240-AV240,0)+IF(AX240="T",AZ240-AY240,0),"")</f>
        <v/>
      </c>
      <c r="S240" s="36" t="s">
        <v>306</v>
      </c>
      <c r="T240" s="37">
        <v>0.34375</v>
      </c>
      <c r="U240" s="37">
        <v>0.5</v>
      </c>
      <c r="V240" s="21" t="s">
        <v>306</v>
      </c>
      <c r="W240" s="37">
        <v>0.54166666666666663</v>
      </c>
      <c r="X240" s="37">
        <v>0.67708333333333337</v>
      </c>
      <c r="Y240" s="38" t="str">
        <f t="shared" si="27"/>
        <v/>
      </c>
      <c r="Z240" s="36" t="s">
        <v>306</v>
      </c>
      <c r="AA240" s="37">
        <v>0.35416666666666669</v>
      </c>
      <c r="AB240" s="37">
        <v>0.5</v>
      </c>
      <c r="AC240" s="21" t="s">
        <v>306</v>
      </c>
      <c r="AD240" s="37">
        <v>0.54166666666666663</v>
      </c>
      <c r="AE240" s="37">
        <v>0.6875</v>
      </c>
      <c r="AF240" s="38" t="str">
        <f t="shared" si="28"/>
        <v/>
      </c>
      <c r="AG240" s="36" t="s">
        <v>306</v>
      </c>
      <c r="AH240" s="37">
        <v>0.38541666666666669</v>
      </c>
      <c r="AI240" s="37">
        <v>0.54166666666666663</v>
      </c>
      <c r="AJ240" s="21" t="s">
        <v>306</v>
      </c>
      <c r="AK240" s="37">
        <v>0.58333333333333337</v>
      </c>
      <c r="AL240" s="37">
        <v>0.79166666666666663</v>
      </c>
      <c r="AM240" s="38" t="str">
        <f t="shared" si="29"/>
        <v/>
      </c>
      <c r="AN240" s="36" t="s">
        <v>306</v>
      </c>
      <c r="AO240" s="37">
        <v>0.35416666666666669</v>
      </c>
      <c r="AP240" s="37">
        <v>0.5</v>
      </c>
      <c r="AQ240" s="21" t="s">
        <v>306</v>
      </c>
      <c r="AR240" s="37">
        <v>0.54166666666666663</v>
      </c>
      <c r="AS240" s="37">
        <v>0.71180555555555547</v>
      </c>
      <c r="AT240" s="38" t="str">
        <f t="shared" si="30"/>
        <v/>
      </c>
      <c r="AU240" s="36" t="s">
        <v>307</v>
      </c>
      <c r="AV240" s="37">
        <v>0.38541666666666669</v>
      </c>
      <c r="AW240" s="37">
        <v>0.5</v>
      </c>
      <c r="AX240" s="21" t="s">
        <v>307</v>
      </c>
      <c r="AY240" s="37">
        <v>0.54166666666666663</v>
      </c>
      <c r="AZ240" s="37">
        <v>0.70833333333333337</v>
      </c>
      <c r="BA240" s="39" t="str">
        <f t="shared" si="31"/>
        <v/>
      </c>
      <c r="BB240" s="46" t="s">
        <v>353</v>
      </c>
      <c r="BC240" s="31" t="s">
        <v>354</v>
      </c>
      <c r="BD240" s="16" t="s">
        <v>311</v>
      </c>
      <c r="BE240" s="16" t="s">
        <v>311</v>
      </c>
      <c r="BF240" s="244" t="str">
        <f>T_BilanSocial2[[#This Row],[Nom]]&amp;T_BilanSocial2[[#This Row],[Prénom]]</f>
        <v/>
      </c>
    </row>
    <row r="241" spans="1:58" ht="21.75" hidden="1" customHeight="1" x14ac:dyDescent="0.25">
      <c r="A241" s="90">
        <v>44</v>
      </c>
      <c r="B241" s="126" t="s">
        <v>311</v>
      </c>
      <c r="C241" s="126" t="str">
        <f>VLOOKUP(T_BilanSocial2[[#This Row],[NumL]],T_Commission[#Data],COLUMN(T_Commission[FINAL]),FALSE)</f>
        <v/>
      </c>
      <c r="D241" s="19" t="str">
        <f t="shared" si="24"/>
        <v/>
      </c>
      <c r="E241" s="19" t="str">
        <f t="shared" si="25"/>
        <v/>
      </c>
      <c r="F241" s="242" t="str">
        <f>IFERROR(VLOOKUP(T_BilanSocial2[[#This Row],[Zone_Bilan]],T_P_BilanSocial[#Data],COLUMN(T_P_BilanSocial[[#This Row],[Numero_SIHAM]]),FALSE),"")</f>
        <v/>
      </c>
      <c r="G241" s="242" t="str">
        <f>IFERROR(VLOOKUP(T_BilanSocial2[[#This Row],[Zone_Bilan]],T_P_BilanSocial[#Data],COLUMN(T_P_BilanSocial[[#This Row],[Sexe]]),FALSE),"")</f>
        <v/>
      </c>
      <c r="H241" s="243" t="str">
        <f>IFERROR(VLOOKUP(T_BilanSocial2[[#This Row],[Zone_Bilan]],T_P_BilanSocial[#Data],COLUMN(T_P_BilanSocial[[#This Row],[Categorie]]),FALSE),"")</f>
        <v/>
      </c>
      <c r="I241" s="242" t="str">
        <f>IFERROR(VLOOKUP(T_BilanSocial2[[#This Row],[Zone_Bilan]],T_P_BilanSocial[#Data],COLUMN(T_P_BilanSocial[[#This Row],[Statut]]),FALSE),"")</f>
        <v/>
      </c>
      <c r="J241" s="242" t="str">
        <f>IFERROR(VLOOKUP(T_BilanSocial2[[#This Row],[Zone_Bilan]],T_P_BilanSocial[#Data],COLUMN(T_P_BilanSocial[[#This Row],[Filiere]]),FALSE),"")</f>
        <v/>
      </c>
      <c r="K241" s="78">
        <v>1</v>
      </c>
      <c r="L241" s="213">
        <v>1.5451388888888891</v>
      </c>
      <c r="M241" s="78" t="s">
        <v>210</v>
      </c>
      <c r="N241" s="79" t="str">
        <f>IF((AND(T_BilanSocial2[[#This Row],[Nom]]&lt;&gt;"",T_BilanSocial2[[#This Row],[Reg Ponct]]="R")),(COUNTIF(S241:AX241,"S")+COUNTIF(S241:AX241,"T"))/2,"")</f>
        <v/>
      </c>
      <c r="O241" s="79" t="str">
        <f>IF((AND(T_BilanSocial2[[#This Row],[Nom]]&lt;&gt;"",T_BilanSocial2[[#This Row],[Reg Ponct]]="R")),COUNTIF(S241:AX241,"S")/2,"")</f>
        <v/>
      </c>
      <c r="P241" s="80" t="str">
        <f>IF((AND(T_BilanSocial2[[#This Row],[Nom]]&lt;&gt;"",T_BilanSocial2[[#This Row],[Reg Ponct]]="R")),COUNTIF(S241:AX241,"t")/2,"")</f>
        <v/>
      </c>
      <c r="Q241" s="81" t="str">
        <f t="shared" si="26"/>
        <v/>
      </c>
      <c r="R241" s="82" t="str">
        <f>IF((AND(T_BilanSocial2[[#This Row],[Nom]]&lt;&gt;"",T_BilanSocial2[[#This Row],[Reg Ponct]]="R")),IF(S241="T",U241-T241,0)+IF(V241="T",X241-W241,0)+IF(Z241="T",AB241-AA241,0)+IF(AC241="T",AE241-AD241,0)+IF(AG241="T",AI241-AH241,0)+IF(AJ241="T",AL241-AK241,0)+IF(AN241="T",AP241-AO241,0)+IF(AQ241="T",AS241-AR241,0)+IF(AU241="T",AW241-AV241,0)+IF(AX241="T",AZ241-AY241,0),"")</f>
        <v/>
      </c>
      <c r="S241" s="36" t="s">
        <v>306</v>
      </c>
      <c r="T241" s="37">
        <v>0.33333333333333331</v>
      </c>
      <c r="U241" s="37">
        <v>0.52083333333333337</v>
      </c>
      <c r="V241" s="21" t="s">
        <v>306</v>
      </c>
      <c r="W241" s="37">
        <v>0.5625</v>
      </c>
      <c r="X241" s="37">
        <v>0.71875</v>
      </c>
      <c r="Y241" s="38" t="str">
        <f t="shared" si="27"/>
        <v/>
      </c>
      <c r="Z241" s="36" t="s">
        <v>306</v>
      </c>
      <c r="AA241" s="37">
        <v>0.33333333333333331</v>
      </c>
      <c r="AB241" s="37">
        <v>0.52083333333333337</v>
      </c>
      <c r="AC241" s="21" t="s">
        <v>306</v>
      </c>
      <c r="AD241" s="37">
        <v>0.5625</v>
      </c>
      <c r="AE241" s="37">
        <v>0.71875</v>
      </c>
      <c r="AF241" s="38" t="str">
        <f t="shared" si="28"/>
        <v/>
      </c>
      <c r="AG241" s="36" t="s">
        <v>306</v>
      </c>
      <c r="AH241" s="37">
        <v>0.33333333333333331</v>
      </c>
      <c r="AI241" s="37">
        <v>0.50347222222222221</v>
      </c>
      <c r="AJ241" s="21" t="s">
        <v>308</v>
      </c>
      <c r="AK241" s="37"/>
      <c r="AL241" s="37"/>
      <c r="AM241" s="38" t="str">
        <f t="shared" si="29"/>
        <v/>
      </c>
      <c r="AN241" s="36" t="s">
        <v>307</v>
      </c>
      <c r="AO241" s="37">
        <v>0.33333333333333331</v>
      </c>
      <c r="AP241" s="37">
        <v>0.52083333333333337</v>
      </c>
      <c r="AQ241" s="21" t="s">
        <v>307</v>
      </c>
      <c r="AR241" s="37">
        <v>0.5625</v>
      </c>
      <c r="AS241" s="37">
        <v>0.71875</v>
      </c>
      <c r="AT241" s="38" t="str">
        <f t="shared" si="30"/>
        <v/>
      </c>
      <c r="AU241" s="36" t="s">
        <v>306</v>
      </c>
      <c r="AV241" s="37">
        <v>0.33333333333333331</v>
      </c>
      <c r="AW241" s="37">
        <v>0.52083333333333337</v>
      </c>
      <c r="AX241" s="21" t="s">
        <v>306</v>
      </c>
      <c r="AY241" s="37">
        <v>0.5625</v>
      </c>
      <c r="AZ241" s="37">
        <v>0.71875</v>
      </c>
      <c r="BA241" s="39" t="str">
        <f t="shared" si="31"/>
        <v/>
      </c>
      <c r="BB241" s="46" t="s">
        <v>520</v>
      </c>
      <c r="BC241" s="31" t="s">
        <v>341</v>
      </c>
      <c r="BD241" s="16" t="s">
        <v>311</v>
      </c>
      <c r="BE241" s="16" t="s">
        <v>311</v>
      </c>
      <c r="BF241" s="244" t="str">
        <f>T_BilanSocial2[[#This Row],[Nom]]&amp;T_BilanSocial2[[#This Row],[Prénom]]</f>
        <v/>
      </c>
    </row>
    <row r="242" spans="1:58" ht="21.75" hidden="1" customHeight="1" x14ac:dyDescent="0.25">
      <c r="A242" s="90">
        <v>154</v>
      </c>
      <c r="B242" s="126" t="s">
        <v>311</v>
      </c>
      <c r="C242" s="126" t="str">
        <f>VLOOKUP(T_BilanSocial2[[#This Row],[NumL]],T_Commission[#Data],COLUMN(T_Commission[FINAL]),FALSE)</f>
        <v/>
      </c>
      <c r="D242" s="19" t="str">
        <f t="shared" si="24"/>
        <v/>
      </c>
      <c r="E242" s="19" t="str">
        <f t="shared" si="25"/>
        <v/>
      </c>
      <c r="F242" s="242" t="str">
        <f>IFERROR(VLOOKUP(T_BilanSocial2[[#This Row],[Zone_Bilan]],T_P_BilanSocial[#Data],COLUMN(T_P_BilanSocial[[#This Row],[Numero_SIHAM]]),FALSE),"")</f>
        <v/>
      </c>
      <c r="G242" s="242" t="str">
        <f>IFERROR(VLOOKUP(T_BilanSocial2[[#This Row],[Zone_Bilan]],T_P_BilanSocial[#Data],COLUMN(T_P_BilanSocial[[#This Row],[Sexe]]),FALSE),"")</f>
        <v/>
      </c>
      <c r="H242" s="243" t="str">
        <f>IFERROR(VLOOKUP(T_BilanSocial2[[#This Row],[Zone_Bilan]],T_P_BilanSocial[#Data],COLUMN(T_P_BilanSocial[[#This Row],[Categorie]]),FALSE),"")</f>
        <v/>
      </c>
      <c r="I242" s="242" t="str">
        <f>IFERROR(VLOOKUP(T_BilanSocial2[[#This Row],[Zone_Bilan]],T_P_BilanSocial[#Data],COLUMN(T_P_BilanSocial[[#This Row],[Statut]]),FALSE),"")</f>
        <v/>
      </c>
      <c r="J242" s="242" t="str">
        <f>IFERROR(VLOOKUP(T_BilanSocial2[[#This Row],[Zone_Bilan]],T_P_BilanSocial[#Data],COLUMN(T_P_BilanSocial[[#This Row],[Filiere]]),FALSE),"")</f>
        <v/>
      </c>
      <c r="K242" s="78">
        <v>1</v>
      </c>
      <c r="L242" s="213">
        <v>1.5451388888888891</v>
      </c>
      <c r="M242" s="78" t="s">
        <v>210</v>
      </c>
      <c r="N242" s="79" t="str">
        <f>IF((AND(T_BilanSocial2[[#This Row],[Nom]]&lt;&gt;"",T_BilanSocial2[[#This Row],[Reg Ponct]]="R")),(COUNTIF(S242:AX242,"S")+COUNTIF(S242:AX242,"T"))/2,"")</f>
        <v/>
      </c>
      <c r="O242" s="79" t="str">
        <f>IF((AND(T_BilanSocial2[[#This Row],[Nom]]&lt;&gt;"",T_BilanSocial2[[#This Row],[Reg Ponct]]="R")),COUNTIF(S242:AX242,"S")/2,"")</f>
        <v/>
      </c>
      <c r="P242" s="80" t="str">
        <f>IF((AND(T_BilanSocial2[[#This Row],[Nom]]&lt;&gt;"",T_BilanSocial2[[#This Row],[Reg Ponct]]="R")),COUNTIF(S242:AX242,"t")/2,"")</f>
        <v/>
      </c>
      <c r="Q242" s="81" t="str">
        <f t="shared" si="26"/>
        <v/>
      </c>
      <c r="R242" s="82" t="str">
        <f>IF((AND(T_BilanSocial2[[#This Row],[Nom]]&lt;&gt;"",T_BilanSocial2[[#This Row],[Reg Ponct]]="R")),IF(S242="T",U242-T242,0)+IF(V242="T",X242-W242,0)+IF(Z242="T",AB242-AA242,0)+IF(AC242="T",AE242-AD242,0)+IF(AG242="T",AI242-AH242,0)+IF(AJ242="T",AL242-AK242,0)+IF(AN242="T",AP242-AO242,0)+IF(AQ242="T",AS242-AR242,0)+IF(AU242="T",AW242-AV242,0)+IF(AX242="T",AZ242-AY242,0),"")</f>
        <v/>
      </c>
      <c r="S242" s="36" t="s">
        <v>307</v>
      </c>
      <c r="T242" s="37">
        <v>0.34722222222222227</v>
      </c>
      <c r="U242" s="37">
        <v>0.53125</v>
      </c>
      <c r="V242" s="21" t="s">
        <v>307</v>
      </c>
      <c r="W242" s="37">
        <v>0.57291666666666663</v>
      </c>
      <c r="X242" s="37">
        <v>0.74305555555555547</v>
      </c>
      <c r="Y242" s="38" t="str">
        <f t="shared" si="27"/>
        <v/>
      </c>
      <c r="Z242" s="36" t="s">
        <v>306</v>
      </c>
      <c r="AA242" s="37">
        <v>0.34722222222222227</v>
      </c>
      <c r="AB242" s="37">
        <v>0.53125</v>
      </c>
      <c r="AC242" s="21" t="s">
        <v>306</v>
      </c>
      <c r="AD242" s="37">
        <v>0.57291666666666663</v>
      </c>
      <c r="AE242" s="37">
        <v>0.74305555555555547</v>
      </c>
      <c r="AF242" s="38" t="str">
        <f t="shared" si="28"/>
        <v/>
      </c>
      <c r="AG242" s="36" t="s">
        <v>306</v>
      </c>
      <c r="AH242" s="37">
        <v>0.34722222222222227</v>
      </c>
      <c r="AI242" s="37">
        <v>0.5</v>
      </c>
      <c r="AJ242" s="21" t="s">
        <v>308</v>
      </c>
      <c r="AK242" s="37"/>
      <c r="AL242" s="37"/>
      <c r="AM242" s="38" t="str">
        <f t="shared" si="29"/>
        <v/>
      </c>
      <c r="AN242" s="36" t="s">
        <v>306</v>
      </c>
      <c r="AO242" s="37">
        <v>0.34722222222222227</v>
      </c>
      <c r="AP242" s="37">
        <v>0.53125</v>
      </c>
      <c r="AQ242" s="21" t="s">
        <v>306</v>
      </c>
      <c r="AR242" s="37">
        <v>0.57291666666666663</v>
      </c>
      <c r="AS242" s="37">
        <v>0.74652777777777779</v>
      </c>
      <c r="AT242" s="38" t="str">
        <f t="shared" si="30"/>
        <v/>
      </c>
      <c r="AU242" s="36" t="s">
        <v>306</v>
      </c>
      <c r="AV242" s="37">
        <v>0.34722222222222227</v>
      </c>
      <c r="AW242" s="37">
        <v>0.53125</v>
      </c>
      <c r="AX242" s="21" t="s">
        <v>306</v>
      </c>
      <c r="AY242" s="37">
        <v>0.57291666666666663</v>
      </c>
      <c r="AZ242" s="37">
        <v>0.71527777777777779</v>
      </c>
      <c r="BA242" s="39" t="str">
        <f t="shared" si="31"/>
        <v/>
      </c>
      <c r="BB242" s="46" t="s">
        <v>411</v>
      </c>
      <c r="BC242" s="31" t="s">
        <v>341</v>
      </c>
      <c r="BD242" s="16" t="s">
        <v>311</v>
      </c>
      <c r="BE242" s="16" t="s">
        <v>311</v>
      </c>
      <c r="BF242" s="244" t="str">
        <f>T_BilanSocial2[[#This Row],[Nom]]&amp;T_BilanSocial2[[#This Row],[Prénom]]</f>
        <v/>
      </c>
    </row>
    <row r="243" spans="1:58" ht="21.75" customHeight="1" x14ac:dyDescent="0.25">
      <c r="A243" s="90">
        <v>171</v>
      </c>
      <c r="B243" s="126" t="s">
        <v>311</v>
      </c>
      <c r="C243" s="126" t="str">
        <f>VLOOKUP(T_BilanSocial2[[#This Row],[NumL]],T_Commission[#Data],COLUMN(T_Commission[FINAL]),FALSE)</f>
        <v/>
      </c>
      <c r="D243" s="19" t="str">
        <f t="shared" si="24"/>
        <v/>
      </c>
      <c r="E243" s="19" t="str">
        <f t="shared" si="25"/>
        <v/>
      </c>
      <c r="F243" s="242" t="str">
        <f>IFERROR(VLOOKUP(T_BilanSocial2[[#This Row],[Zone_Bilan]],T_P_BilanSocial[#Data],COLUMN(T_P_BilanSocial[[#This Row],[Numero_SIHAM]]),FALSE),"")</f>
        <v/>
      </c>
      <c r="G243" s="242" t="str">
        <f>IFERROR(VLOOKUP(T_BilanSocial2[[#This Row],[Zone_Bilan]],T_P_BilanSocial[#Data],COLUMN(T_P_BilanSocial[[#This Row],[Sexe]]),FALSE),"")</f>
        <v/>
      </c>
      <c r="H243" s="243" t="str">
        <f>IFERROR(VLOOKUP(T_BilanSocial2[[#This Row],[Zone_Bilan]],T_P_BilanSocial[#Data],COLUMN(T_P_BilanSocial[[#This Row],[Categorie]]),FALSE),"")</f>
        <v/>
      </c>
      <c r="I243" s="242" t="str">
        <f>IFERROR(VLOOKUP(T_BilanSocial2[[#This Row],[Zone_Bilan]],T_P_BilanSocial[#Data],COLUMN(T_P_BilanSocial[[#This Row],[Statut]]),FALSE),"")</f>
        <v/>
      </c>
      <c r="J243" s="242" t="str">
        <f>IFERROR(VLOOKUP(T_BilanSocial2[[#This Row],[Zone_Bilan]],T_P_BilanSocial[#Data],COLUMN(T_P_BilanSocial[[#This Row],[Filiere]]),FALSE),"")</f>
        <v/>
      </c>
      <c r="K243" s="78">
        <v>1</v>
      </c>
      <c r="L243" s="213">
        <v>1.5451388888888891</v>
      </c>
      <c r="M243" s="78" t="s">
        <v>210</v>
      </c>
      <c r="N243" s="79" t="str">
        <f>IF((AND(T_BilanSocial2[[#This Row],[Nom]]&lt;&gt;"",T_BilanSocial2[[#This Row],[Reg Ponct]]="R")),(COUNTIF(S243:AX243,"S")+COUNTIF(S243:AX243,"T"))/2,"")</f>
        <v/>
      </c>
      <c r="O243" s="79" t="str">
        <f>IF((AND(T_BilanSocial2[[#This Row],[Nom]]&lt;&gt;"",T_BilanSocial2[[#This Row],[Reg Ponct]]="R")),COUNTIF(S243:AX243,"S")/2,"")</f>
        <v/>
      </c>
      <c r="P243" s="80" t="str">
        <f>IF((AND(T_BilanSocial2[[#This Row],[Nom]]&lt;&gt;"",T_BilanSocial2[[#This Row],[Reg Ponct]]="R")),COUNTIF(S243:AX243,"t")/2,"")</f>
        <v/>
      </c>
      <c r="Q243" s="81" t="str">
        <f t="shared" si="26"/>
        <v/>
      </c>
      <c r="R243" s="82" t="str">
        <f>IF((AND(T_BilanSocial2[[#This Row],[Nom]]&lt;&gt;"",T_BilanSocial2[[#This Row],[Reg Ponct]]="R")),IF(S243="T",U243-T243,0)+IF(V243="T",X243-W243,0)+IF(Z243="T",AB243-AA243,0)+IF(AC243="T",AE243-AD243,0)+IF(AG243="T",AI243-AH243,0)+IF(AJ243="T",AL243-AK243,0)+IF(AN243="T",AP243-AO243,0)+IF(AQ243="T",AS243-AR243,0)+IF(AU243="T",AW243-AV243,0)+IF(AX243="T",AZ243-AY243,0),"")</f>
        <v/>
      </c>
      <c r="S243" s="36" t="s">
        <v>306</v>
      </c>
      <c r="T243" s="37">
        <v>0.375</v>
      </c>
      <c r="U243" s="37">
        <v>0.52083333333333337</v>
      </c>
      <c r="V243" s="21" t="s">
        <v>306</v>
      </c>
      <c r="W243" s="37">
        <v>0.5625</v>
      </c>
      <c r="X243" s="37">
        <v>0.72916666666666663</v>
      </c>
      <c r="Y243" s="38" t="str">
        <f t="shared" si="27"/>
        <v/>
      </c>
      <c r="Z243" s="36" t="s">
        <v>307</v>
      </c>
      <c r="AA243" s="37">
        <v>0.375</v>
      </c>
      <c r="AB243" s="37">
        <v>0.52083333333333337</v>
      </c>
      <c r="AC243" s="21" t="s">
        <v>307</v>
      </c>
      <c r="AD243" s="37">
        <v>0.5625</v>
      </c>
      <c r="AE243" s="37">
        <v>0.72916666666666663</v>
      </c>
      <c r="AF243" s="38" t="str">
        <f t="shared" si="28"/>
        <v/>
      </c>
      <c r="AG243" s="36" t="s">
        <v>306</v>
      </c>
      <c r="AH243" s="37">
        <v>0.35416666666666669</v>
      </c>
      <c r="AI243" s="37">
        <v>0.52083333333333337</v>
      </c>
      <c r="AJ243" s="21" t="s">
        <v>306</v>
      </c>
      <c r="AK243" s="37">
        <v>0.5625</v>
      </c>
      <c r="AL243" s="37">
        <v>0.70833333333333337</v>
      </c>
      <c r="AM243" s="38" t="str">
        <f t="shared" si="29"/>
        <v/>
      </c>
      <c r="AN243" s="36" t="s">
        <v>307</v>
      </c>
      <c r="AO243" s="37">
        <v>0.375</v>
      </c>
      <c r="AP243" s="37">
        <v>0.52083333333333337</v>
      </c>
      <c r="AQ243" s="21" t="s">
        <v>307</v>
      </c>
      <c r="AR243" s="37">
        <v>0.5625</v>
      </c>
      <c r="AS243" s="37">
        <v>0.72916666666666663</v>
      </c>
      <c r="AT243" s="38" t="str">
        <f t="shared" si="30"/>
        <v/>
      </c>
      <c r="AU243" s="36" t="s">
        <v>306</v>
      </c>
      <c r="AV243" s="37">
        <v>0.35416666666666669</v>
      </c>
      <c r="AW243" s="37">
        <v>0.52083333333333337</v>
      </c>
      <c r="AX243" s="21" t="s">
        <v>306</v>
      </c>
      <c r="AY243" s="37">
        <v>0.5625</v>
      </c>
      <c r="AZ243" s="37">
        <v>0.69097222222222221</v>
      </c>
      <c r="BA243" s="39" t="str">
        <f t="shared" si="31"/>
        <v/>
      </c>
      <c r="BB243" s="46" t="s">
        <v>320</v>
      </c>
      <c r="BC243" s="31" t="s">
        <v>321</v>
      </c>
      <c r="BD243" s="16" t="s">
        <v>322</v>
      </c>
      <c r="BE243" s="16" t="s">
        <v>311</v>
      </c>
      <c r="BF243" s="244" t="str">
        <f>T_BilanSocial2[[#This Row],[Nom]]&amp;T_BilanSocial2[[#This Row],[Prénom]]</f>
        <v/>
      </c>
    </row>
    <row r="244" spans="1:58" ht="21.75" customHeight="1" x14ac:dyDescent="0.25">
      <c r="A244" s="90">
        <v>149</v>
      </c>
      <c r="B244" s="126" t="s">
        <v>311</v>
      </c>
      <c r="C244" s="126" t="str">
        <f>VLOOKUP(T_BilanSocial2[[#This Row],[NumL]],T_Commission[#Data],COLUMN(T_Commission[FINAL]),FALSE)</f>
        <v/>
      </c>
      <c r="D244" s="19" t="str">
        <f t="shared" si="24"/>
        <v/>
      </c>
      <c r="E244" s="19" t="str">
        <f t="shared" si="25"/>
        <v/>
      </c>
      <c r="F244" s="242" t="str">
        <f>IFERROR(VLOOKUP(T_BilanSocial2[[#This Row],[Zone_Bilan]],T_P_BilanSocial[#Data],COLUMN(T_P_BilanSocial[[#This Row],[Numero_SIHAM]]),FALSE),"")</f>
        <v/>
      </c>
      <c r="G244" s="242" t="str">
        <f>IFERROR(VLOOKUP(T_BilanSocial2[[#This Row],[Zone_Bilan]],T_P_BilanSocial[#Data],COLUMN(T_P_BilanSocial[[#This Row],[Sexe]]),FALSE),"")</f>
        <v/>
      </c>
      <c r="H244" s="243" t="str">
        <f>IFERROR(VLOOKUP(T_BilanSocial2[[#This Row],[Zone_Bilan]],T_P_BilanSocial[#Data],COLUMN(T_P_BilanSocial[[#This Row],[Categorie]]),FALSE),"")</f>
        <v/>
      </c>
      <c r="I244" s="242" t="str">
        <f>IFERROR(VLOOKUP(T_BilanSocial2[[#This Row],[Zone_Bilan]],T_P_BilanSocial[#Data],COLUMN(T_P_BilanSocial[[#This Row],[Statut]]),FALSE),"")</f>
        <v/>
      </c>
      <c r="J244" s="242" t="str">
        <f>IFERROR(VLOOKUP(T_BilanSocial2[[#This Row],[Zone_Bilan]],T_P_BilanSocial[#Data],COLUMN(T_P_BilanSocial[[#This Row],[Filiere]]),FALSE),"")</f>
        <v/>
      </c>
      <c r="K244" s="78">
        <v>1</v>
      </c>
      <c r="L244" s="213">
        <v>1.5451388888888891</v>
      </c>
      <c r="M244" s="78" t="s">
        <v>210</v>
      </c>
      <c r="N244" s="79" t="str">
        <f>IF((AND(T_BilanSocial2[[#This Row],[Nom]]&lt;&gt;"",T_BilanSocial2[[#This Row],[Reg Ponct]]="R")),(COUNTIF(S244:AX244,"S")+COUNTIF(S244:AX244,"T"))/2,"")</f>
        <v/>
      </c>
      <c r="O244" s="79" t="str">
        <f>IF((AND(T_BilanSocial2[[#This Row],[Nom]]&lt;&gt;"",T_BilanSocial2[[#This Row],[Reg Ponct]]="R")),COUNTIF(S244:AX244,"S")/2,"")</f>
        <v/>
      </c>
      <c r="P244" s="80" t="str">
        <f>IF((AND(T_BilanSocial2[[#This Row],[Nom]]&lt;&gt;"",T_BilanSocial2[[#This Row],[Reg Ponct]]="R")),COUNTIF(S244:AX244,"t")/2,"")</f>
        <v/>
      </c>
      <c r="Q244" s="81" t="str">
        <f t="shared" si="26"/>
        <v/>
      </c>
      <c r="R244" s="82" t="str">
        <f>IF((AND(T_BilanSocial2[[#This Row],[Nom]]&lt;&gt;"",T_BilanSocial2[[#This Row],[Reg Ponct]]="R")),IF(S244="T",U244-T244,0)+IF(V244="T",X244-W244,0)+IF(Z244="T",AB244-AA244,0)+IF(AC244="T",AE244-AD244,0)+IF(AG244="T",AI244-AH244,0)+IF(AJ244="T",AL244-AK244,0)+IF(AN244="T",AP244-AO244,0)+IF(AQ244="T",AS244-AR244,0)+IF(AU244="T",AW244-AV244,0)+IF(AX244="T",AZ244-AY244,0),"")</f>
        <v/>
      </c>
      <c r="S244" s="36" t="s">
        <v>306</v>
      </c>
      <c r="T244" s="37">
        <v>0.35416666666666669</v>
      </c>
      <c r="U244" s="37">
        <v>0.52083333333333337</v>
      </c>
      <c r="V244" s="21" t="s">
        <v>306</v>
      </c>
      <c r="W244" s="37">
        <v>0.5625</v>
      </c>
      <c r="X244" s="37">
        <v>0.70833333333333337</v>
      </c>
      <c r="Y244" s="38" t="str">
        <f t="shared" si="27"/>
        <v/>
      </c>
      <c r="Z244" s="36" t="s">
        <v>306</v>
      </c>
      <c r="AA244" s="37">
        <v>0.35416666666666669</v>
      </c>
      <c r="AB244" s="37">
        <v>0.52083333333333337</v>
      </c>
      <c r="AC244" s="21" t="s">
        <v>306</v>
      </c>
      <c r="AD244" s="37">
        <v>0.5625</v>
      </c>
      <c r="AE244" s="37">
        <v>0.70833333333333337</v>
      </c>
      <c r="AF244" s="38" t="str">
        <f t="shared" si="28"/>
        <v/>
      </c>
      <c r="AG244" s="36" t="s">
        <v>306</v>
      </c>
      <c r="AH244" s="37">
        <v>0.35416666666666669</v>
      </c>
      <c r="AI244" s="37">
        <v>0.52083333333333337</v>
      </c>
      <c r="AJ244" s="21" t="s">
        <v>306</v>
      </c>
      <c r="AK244" s="37">
        <v>0.5625</v>
      </c>
      <c r="AL244" s="37">
        <v>0.70833333333333337</v>
      </c>
      <c r="AM244" s="38" t="str">
        <f t="shared" si="29"/>
        <v/>
      </c>
      <c r="AN244" s="36" t="s">
        <v>306</v>
      </c>
      <c r="AO244" s="37">
        <v>0.35416666666666669</v>
      </c>
      <c r="AP244" s="37">
        <v>0.52083333333333337</v>
      </c>
      <c r="AQ244" s="21" t="s">
        <v>306</v>
      </c>
      <c r="AR244" s="37">
        <v>0.5625</v>
      </c>
      <c r="AS244" s="37">
        <v>0.70833333333333337</v>
      </c>
      <c r="AT244" s="38" t="str">
        <f t="shared" si="30"/>
        <v/>
      </c>
      <c r="AU244" s="36" t="s">
        <v>307</v>
      </c>
      <c r="AV244" s="37">
        <v>0.35416666666666669</v>
      </c>
      <c r="AW244" s="37">
        <v>0.52083333333333337</v>
      </c>
      <c r="AX244" s="21" t="s">
        <v>307</v>
      </c>
      <c r="AY244" s="37">
        <v>0.5625</v>
      </c>
      <c r="AZ244" s="37">
        <v>0.69097222222222221</v>
      </c>
      <c r="BA244" s="39" t="str">
        <f t="shared" si="31"/>
        <v/>
      </c>
      <c r="BB244" s="46" t="s">
        <v>843</v>
      </c>
      <c r="BC244" s="31" t="s">
        <v>844</v>
      </c>
      <c r="BD244" s="16" t="s">
        <v>322</v>
      </c>
      <c r="BE244" s="16" t="s">
        <v>311</v>
      </c>
      <c r="BF244" s="244" t="str">
        <f>T_BilanSocial2[[#This Row],[Nom]]&amp;T_BilanSocial2[[#This Row],[Prénom]]</f>
        <v/>
      </c>
    </row>
    <row r="245" spans="1:58" ht="21.75" hidden="1" customHeight="1" x14ac:dyDescent="0.25">
      <c r="A245" s="90">
        <v>45</v>
      </c>
      <c r="B245" s="126" t="s">
        <v>210</v>
      </c>
      <c r="C245" s="126" t="e">
        <f>VLOOKUP(T_BilanSocial2[[#This Row],[NumL]],T_Commission[#Data],COLUMN(T_Commission[FINAL]),FALSE)</f>
        <v>#N/A</v>
      </c>
      <c r="D245" s="19" t="str">
        <f t="shared" si="24"/>
        <v/>
      </c>
      <c r="E245" s="19" t="str">
        <f t="shared" si="25"/>
        <v/>
      </c>
      <c r="F245" s="242" t="str">
        <f>IFERROR(VLOOKUP(T_BilanSocial2[[#This Row],[Zone_Bilan]],T_P_BilanSocial[#Data],COLUMN(T_P_BilanSocial[[#This Row],[Numero_SIHAM]]),FALSE),"")</f>
        <v/>
      </c>
      <c r="G245" s="242" t="str">
        <f>IFERROR(VLOOKUP(T_BilanSocial2[[#This Row],[Zone_Bilan]],T_P_BilanSocial[#Data],COLUMN(T_P_BilanSocial[[#This Row],[Sexe]]),FALSE),"")</f>
        <v/>
      </c>
      <c r="H245" s="243" t="str">
        <f>IFERROR(VLOOKUP(T_BilanSocial2[[#This Row],[Zone_Bilan]],T_P_BilanSocial[#Data],COLUMN(T_P_BilanSocial[[#This Row],[Categorie]]),FALSE),"")</f>
        <v/>
      </c>
      <c r="I245" s="242" t="str">
        <f>IFERROR(VLOOKUP(T_BilanSocial2[[#This Row],[Zone_Bilan]],T_P_BilanSocial[#Data],COLUMN(T_P_BilanSocial[[#This Row],[Statut]]),FALSE),"")</f>
        <v/>
      </c>
      <c r="J245" s="242" t="str">
        <f>IFERROR(VLOOKUP(T_BilanSocial2[[#This Row],[Zone_Bilan]],T_P_BilanSocial[#Data],COLUMN(T_P_BilanSocial[[#This Row],[Filiere]]),FALSE),"")</f>
        <v/>
      </c>
      <c r="K245" s="78">
        <v>1</v>
      </c>
      <c r="L245" s="213">
        <v>1.5451388888888891</v>
      </c>
      <c r="M245" s="78" t="s">
        <v>210</v>
      </c>
      <c r="N245" s="79" t="str">
        <f>IF((AND(T_BilanSocial2[[#This Row],[Nom]]&lt;&gt;"",T_BilanSocial2[[#This Row],[Reg Ponct]]="R")),(COUNTIF(S245:AX245,"S")+COUNTIF(S245:AX245,"T"))/2,"")</f>
        <v/>
      </c>
      <c r="O245" s="79" t="str">
        <f>IF((AND(T_BilanSocial2[[#This Row],[Nom]]&lt;&gt;"",T_BilanSocial2[[#This Row],[Reg Ponct]]="R")),COUNTIF(S245:AX245,"S")/2,"")</f>
        <v/>
      </c>
      <c r="P245" s="80" t="str">
        <f>IF((AND(T_BilanSocial2[[#This Row],[Nom]]&lt;&gt;"",T_BilanSocial2[[#This Row],[Reg Ponct]]="R")),COUNTIF(S245:AX245,"t")/2,"")</f>
        <v/>
      </c>
      <c r="Q245" s="81" t="str">
        <f t="shared" si="26"/>
        <v/>
      </c>
      <c r="R245" s="82" t="str">
        <f>IF((AND(T_BilanSocial2[[#This Row],[Nom]]&lt;&gt;"",T_BilanSocial2[[#This Row],[Reg Ponct]]="R")),IF(S245="T",U245-T245,0)+IF(V245="T",X245-W245,0)+IF(Z245="T",AB245-AA245,0)+IF(AC245="T",AE245-AD245,0)+IF(AG245="T",AI245-AH245,0)+IF(AJ245="T",AL245-AK245,0)+IF(AN245="T",AP245-AO245,0)+IF(AQ245="T",AS245-AR245,0)+IF(AU245="T",AW245-AV245,0)+IF(AX245="T",AZ245-AY245,0),"")</f>
        <v/>
      </c>
      <c r="S245" s="36" t="s">
        <v>306</v>
      </c>
      <c r="T245" s="37">
        <v>0.33333333333333331</v>
      </c>
      <c r="U245" s="37">
        <v>0.5</v>
      </c>
      <c r="V245" s="21" t="s">
        <v>306</v>
      </c>
      <c r="W245" s="37">
        <v>0.54166666666666663</v>
      </c>
      <c r="X245" s="37">
        <v>0.68402777777777779</v>
      </c>
      <c r="Y245" s="38" t="str">
        <f t="shared" si="27"/>
        <v/>
      </c>
      <c r="Z245" s="36" t="s">
        <v>306</v>
      </c>
      <c r="AA245" s="37">
        <v>0.33333333333333331</v>
      </c>
      <c r="AB245" s="37">
        <v>0.5</v>
      </c>
      <c r="AC245" s="21" t="s">
        <v>306</v>
      </c>
      <c r="AD245" s="37">
        <v>0.54166666666666663</v>
      </c>
      <c r="AE245" s="37">
        <v>0.68402777777777779</v>
      </c>
      <c r="AF245" s="38" t="str">
        <f t="shared" si="28"/>
        <v/>
      </c>
      <c r="AG245" s="36" t="s">
        <v>306</v>
      </c>
      <c r="AH245" s="37">
        <v>0.33333333333333331</v>
      </c>
      <c r="AI245" s="37">
        <v>0.5</v>
      </c>
      <c r="AJ245" s="21" t="s">
        <v>306</v>
      </c>
      <c r="AK245" s="37">
        <v>0.54166666666666663</v>
      </c>
      <c r="AL245" s="37">
        <v>0.68402777777777779</v>
      </c>
      <c r="AM245" s="38" t="str">
        <f t="shared" si="29"/>
        <v/>
      </c>
      <c r="AN245" s="36" t="s">
        <v>306</v>
      </c>
      <c r="AO245" s="37">
        <v>0.31597222222222221</v>
      </c>
      <c r="AP245" s="37">
        <v>0.5</v>
      </c>
      <c r="AQ245" s="21" t="s">
        <v>306</v>
      </c>
      <c r="AR245" s="37">
        <v>0.54166666666666663</v>
      </c>
      <c r="AS245" s="37">
        <v>0.66666666666666663</v>
      </c>
      <c r="AT245" s="38" t="str">
        <f t="shared" si="30"/>
        <v/>
      </c>
      <c r="AU245" s="36" t="s">
        <v>307</v>
      </c>
      <c r="AV245" s="37">
        <v>0.33333333333333331</v>
      </c>
      <c r="AW245" s="37">
        <v>0.5</v>
      </c>
      <c r="AX245" s="21" t="s">
        <v>307</v>
      </c>
      <c r="AY245" s="37">
        <v>0.54166666666666663</v>
      </c>
      <c r="AZ245" s="37">
        <v>0.68402777777777779</v>
      </c>
      <c r="BA245" s="39" t="str">
        <f t="shared" si="31"/>
        <v/>
      </c>
      <c r="BB245" s="46" t="s">
        <v>524</v>
      </c>
      <c r="BC245" s="31" t="s">
        <v>525</v>
      </c>
      <c r="BD245" s="16" t="s">
        <v>311</v>
      </c>
      <c r="BE245" s="16" t="s">
        <v>322</v>
      </c>
      <c r="BF245" s="244" t="str">
        <f>T_BilanSocial2[[#This Row],[Nom]]&amp;T_BilanSocial2[[#This Row],[Prénom]]</f>
        <v/>
      </c>
    </row>
    <row r="246" spans="1:58" ht="21.75" customHeight="1" x14ac:dyDescent="0.25">
      <c r="A246" s="90">
        <v>14</v>
      </c>
      <c r="B246" s="126" t="s">
        <v>311</v>
      </c>
      <c r="C246" s="126" t="str">
        <f>VLOOKUP(T_BilanSocial2[[#This Row],[NumL]],T_Commission[#Data],COLUMN(T_Commission[FINAL]),FALSE)</f>
        <v/>
      </c>
      <c r="D246" s="19" t="str">
        <f t="shared" si="24"/>
        <v/>
      </c>
      <c r="E246" s="19" t="str">
        <f t="shared" si="25"/>
        <v/>
      </c>
      <c r="F246" s="242" t="str">
        <f>IFERROR(VLOOKUP(T_BilanSocial2[[#This Row],[Zone_Bilan]],T_P_BilanSocial[#Data],COLUMN(T_P_BilanSocial[[#This Row],[Numero_SIHAM]]),FALSE),"")</f>
        <v/>
      </c>
      <c r="G246" s="242" t="str">
        <f>IFERROR(VLOOKUP(T_BilanSocial2[[#This Row],[Zone_Bilan]],T_P_BilanSocial[#Data],COLUMN(T_P_BilanSocial[[#This Row],[Sexe]]),FALSE),"")</f>
        <v/>
      </c>
      <c r="H246" s="243" t="str">
        <f>IFERROR(VLOOKUP(T_BilanSocial2[[#This Row],[Zone_Bilan]],T_P_BilanSocial[#Data],COLUMN(T_P_BilanSocial[[#This Row],[Categorie]]),FALSE),"")</f>
        <v/>
      </c>
      <c r="I246" s="242" t="str">
        <f>IFERROR(VLOOKUP(T_BilanSocial2[[#This Row],[Zone_Bilan]],T_P_BilanSocial[#Data],COLUMN(T_P_BilanSocial[[#This Row],[Statut]]),FALSE),"")</f>
        <v/>
      </c>
      <c r="J246" s="242" t="str">
        <f>IFERROR(VLOOKUP(T_BilanSocial2[[#This Row],[Zone_Bilan]],T_P_BilanSocial[#Data],COLUMN(T_P_BilanSocial[[#This Row],[Filiere]]),FALSE),"")</f>
        <v/>
      </c>
      <c r="K246" s="78">
        <v>1</v>
      </c>
      <c r="L246" s="213">
        <v>1.5451388888888891</v>
      </c>
      <c r="M246" s="78" t="s">
        <v>210</v>
      </c>
      <c r="N246" s="79" t="str">
        <f>IF((AND(T_BilanSocial2[[#This Row],[Nom]]&lt;&gt;"",T_BilanSocial2[[#This Row],[Reg Ponct]]="R")),(COUNTIF(S246:AX246,"S")+COUNTIF(S246:AX246,"T"))/2,"")</f>
        <v/>
      </c>
      <c r="O246" s="79" t="str">
        <f>IF((AND(T_BilanSocial2[[#This Row],[Nom]]&lt;&gt;"",T_BilanSocial2[[#This Row],[Reg Ponct]]="R")),COUNTIF(S246:AX246,"S")/2,"")</f>
        <v/>
      </c>
      <c r="P246" s="80" t="str">
        <f>IF((AND(T_BilanSocial2[[#This Row],[Nom]]&lt;&gt;"",T_BilanSocial2[[#This Row],[Reg Ponct]]="R")),COUNTIF(S246:AX246,"t")/2,"")</f>
        <v/>
      </c>
      <c r="Q246" s="81" t="str">
        <f t="shared" si="26"/>
        <v/>
      </c>
      <c r="R246" s="82" t="str">
        <f>IF((AND(T_BilanSocial2[[#This Row],[Nom]]&lt;&gt;"",T_BilanSocial2[[#This Row],[Reg Ponct]]="R")),IF(S246="T",U246-T246,0)+IF(V246="T",X246-W246,0)+IF(Z246="T",AB246-AA246,0)+IF(AC246="T",AE246-AD246,0)+IF(AG246="T",AI246-AH246,0)+IF(AJ246="T",AL246-AK246,0)+IF(AN246="T",AP246-AO246,0)+IF(AQ246="T",AS246-AR246,0)+IF(AU246="T",AW246-AV246,0)+IF(AX246="T",AZ246-AY246,0),"")</f>
        <v/>
      </c>
      <c r="S246" s="36" t="s">
        <v>307</v>
      </c>
      <c r="T246" s="37">
        <v>0.375</v>
      </c>
      <c r="U246" s="37">
        <v>0.5</v>
      </c>
      <c r="V246" s="21" t="s">
        <v>307</v>
      </c>
      <c r="W246" s="37">
        <v>0.54166666666666663</v>
      </c>
      <c r="X246" s="37">
        <v>0.72916666666666663</v>
      </c>
      <c r="Y246" s="38" t="str">
        <f t="shared" si="27"/>
        <v/>
      </c>
      <c r="Z246" s="36" t="s">
        <v>306</v>
      </c>
      <c r="AA246" s="37">
        <v>0.375</v>
      </c>
      <c r="AB246" s="37">
        <v>0.5</v>
      </c>
      <c r="AC246" s="21" t="s">
        <v>306</v>
      </c>
      <c r="AD246" s="37">
        <v>0.54166666666666663</v>
      </c>
      <c r="AE246" s="37">
        <v>0.72916666666666663</v>
      </c>
      <c r="AF246" s="38" t="str">
        <f t="shared" si="28"/>
        <v/>
      </c>
      <c r="AG246" s="36" t="s">
        <v>306</v>
      </c>
      <c r="AH246" s="37">
        <v>0.375</v>
      </c>
      <c r="AI246" s="37">
        <v>0.5</v>
      </c>
      <c r="AJ246" s="21" t="s">
        <v>306</v>
      </c>
      <c r="AK246" s="37">
        <v>0.54166666666666663</v>
      </c>
      <c r="AL246" s="37">
        <v>0.72916666666666663</v>
      </c>
      <c r="AM246" s="38" t="str">
        <f t="shared" si="29"/>
        <v/>
      </c>
      <c r="AN246" s="36" t="s">
        <v>306</v>
      </c>
      <c r="AO246" s="37">
        <v>0.375</v>
      </c>
      <c r="AP246" s="37">
        <v>0.5</v>
      </c>
      <c r="AQ246" s="21" t="s">
        <v>306</v>
      </c>
      <c r="AR246" s="37">
        <v>0.54166666666666663</v>
      </c>
      <c r="AS246" s="37">
        <v>0.72916666666666663</v>
      </c>
      <c r="AT246" s="38" t="str">
        <f t="shared" si="30"/>
        <v/>
      </c>
      <c r="AU246" s="36" t="s">
        <v>307</v>
      </c>
      <c r="AV246" s="37">
        <v>0.375</v>
      </c>
      <c r="AW246" s="37">
        <v>0.5</v>
      </c>
      <c r="AX246" s="21" t="s">
        <v>307</v>
      </c>
      <c r="AY246" s="37">
        <v>0.54166666666666663</v>
      </c>
      <c r="AZ246" s="37">
        <v>0.71180555555555547</v>
      </c>
      <c r="BA246" s="39" t="str">
        <f t="shared" si="31"/>
        <v/>
      </c>
      <c r="BB246" s="46" t="s">
        <v>398</v>
      </c>
      <c r="BC246" s="31" t="s">
        <v>399</v>
      </c>
      <c r="BD246" s="16" t="s">
        <v>311</v>
      </c>
      <c r="BE246" s="16" t="s">
        <v>311</v>
      </c>
      <c r="BF246" s="244" t="str">
        <f>T_BilanSocial2[[#This Row],[Nom]]&amp;T_BilanSocial2[[#This Row],[Prénom]]</f>
        <v/>
      </c>
    </row>
    <row r="247" spans="1:58" ht="21.75" hidden="1" customHeight="1" x14ac:dyDescent="0.25">
      <c r="A247" s="90">
        <v>135</v>
      </c>
      <c r="B247" s="126" t="s">
        <v>311</v>
      </c>
      <c r="C247" s="126" t="str">
        <f>VLOOKUP(T_BilanSocial2[[#This Row],[NumL]],T_Commission[#Data],COLUMN(T_Commission[FINAL]),FALSE)</f>
        <v/>
      </c>
      <c r="D247" s="19" t="str">
        <f t="shared" si="24"/>
        <v/>
      </c>
      <c r="E247" s="19" t="str">
        <f t="shared" si="25"/>
        <v/>
      </c>
      <c r="F247" s="242" t="str">
        <f>IFERROR(VLOOKUP(T_BilanSocial2[[#This Row],[Zone_Bilan]],T_P_BilanSocial[#Data],COLUMN(T_P_BilanSocial[[#This Row],[Numero_SIHAM]]),FALSE),"")</f>
        <v/>
      </c>
      <c r="G247" s="242" t="str">
        <f>IFERROR(VLOOKUP(T_BilanSocial2[[#This Row],[Zone_Bilan]],T_P_BilanSocial[#Data],COLUMN(T_P_BilanSocial[[#This Row],[Sexe]]),FALSE),"")</f>
        <v/>
      </c>
      <c r="H247" s="243" t="str">
        <f>IFERROR(VLOOKUP(T_BilanSocial2[[#This Row],[Zone_Bilan]],T_P_BilanSocial[#Data],COLUMN(T_P_BilanSocial[[#This Row],[Categorie]]),FALSE),"")</f>
        <v/>
      </c>
      <c r="I247" s="242" t="str">
        <f>IFERROR(VLOOKUP(T_BilanSocial2[[#This Row],[Zone_Bilan]],T_P_BilanSocial[#Data],COLUMN(T_P_BilanSocial[[#This Row],[Statut]]),FALSE),"")</f>
        <v/>
      </c>
      <c r="J247" s="242" t="str">
        <f>IFERROR(VLOOKUP(T_BilanSocial2[[#This Row],[Zone_Bilan]],T_P_BilanSocial[#Data],COLUMN(T_P_BilanSocial[[#This Row],[Filiere]]),FALSE),"")</f>
        <v/>
      </c>
      <c r="K247" s="78">
        <v>0.8</v>
      </c>
      <c r="L247" s="213">
        <v>1.2361111111111112</v>
      </c>
      <c r="M247" s="78" t="s">
        <v>211</v>
      </c>
      <c r="N247" s="79" t="str">
        <f>IF((AND(T_BilanSocial2[[#This Row],[Nom]]&lt;&gt;"",T_BilanSocial2[[#This Row],[Reg Ponct]]="R")),(COUNTIF(S247:AX247,"S")+COUNTIF(S247:AX247,"T"))/2,"")</f>
        <v/>
      </c>
      <c r="O247" s="79" t="str">
        <f>IF((AND(T_BilanSocial2[[#This Row],[Nom]]&lt;&gt;"",T_BilanSocial2[[#This Row],[Reg Ponct]]="R")),COUNTIF(S247:AX247,"S")/2,"")</f>
        <v/>
      </c>
      <c r="P247" s="80" t="str">
        <f>IF((AND(T_BilanSocial2[[#This Row],[Nom]]&lt;&gt;"",T_BilanSocial2[[#This Row],[Reg Ponct]]="R")),COUNTIF(S247:AX247,"t")/2,"")</f>
        <v/>
      </c>
      <c r="Q247" s="81" t="str">
        <f t="shared" si="26"/>
        <v/>
      </c>
      <c r="R247" s="82" t="str">
        <f>IF((AND(T_BilanSocial2[[#This Row],[Nom]]&lt;&gt;"",T_BilanSocial2[[#This Row],[Reg Ponct]]="R")),IF(S247="T",U247-T247,0)+IF(V247="T",X247-W247,0)+IF(Z247="T",AB247-AA247,0)+IF(AC247="T",AE247-AD247,0)+IF(AG247="T",AI247-AH247,0)+IF(AJ247="T",AL247-AK247,0)+IF(AN247="T",AP247-AO247,0)+IF(AQ247="T",AS247-AR247,0)+IF(AU247="T",AW247-AV247,0)+IF(AX247="T",AZ247-AY247,0),"")</f>
        <v/>
      </c>
      <c r="S247" s="36"/>
      <c r="T247" s="37"/>
      <c r="U247" s="37"/>
      <c r="V247" s="21"/>
      <c r="W247" s="37"/>
      <c r="X247" s="37"/>
      <c r="Y247" s="38" t="str">
        <f t="shared" si="27"/>
        <v/>
      </c>
      <c r="Z247" s="36"/>
      <c r="AA247" s="37"/>
      <c r="AB247" s="37"/>
      <c r="AC247" s="21"/>
      <c r="AD247" s="37"/>
      <c r="AE247" s="37"/>
      <c r="AF247" s="38" t="str">
        <f t="shared" si="28"/>
        <v/>
      </c>
      <c r="AG247" s="36"/>
      <c r="AH247" s="37"/>
      <c r="AI247" s="37"/>
      <c r="AJ247" s="21"/>
      <c r="AK247" s="37"/>
      <c r="AL247" s="37"/>
      <c r="AM247" s="38" t="str">
        <f t="shared" si="29"/>
        <v/>
      </c>
      <c r="AN247" s="36"/>
      <c r="AO247" s="37"/>
      <c r="AP247" s="37"/>
      <c r="AQ247" s="21"/>
      <c r="AR247" s="37"/>
      <c r="AS247" s="37"/>
      <c r="AT247" s="38" t="str">
        <f t="shared" si="30"/>
        <v/>
      </c>
      <c r="AU247" s="36"/>
      <c r="AV247" s="37"/>
      <c r="AW247" s="37"/>
      <c r="AX247" s="21"/>
      <c r="AY247" s="37"/>
      <c r="AZ247" s="37"/>
      <c r="BA247" s="39" t="str">
        <f t="shared" si="31"/>
        <v/>
      </c>
      <c r="BB247" s="46" t="s">
        <v>376</v>
      </c>
      <c r="BC247" s="31" t="s">
        <v>341</v>
      </c>
      <c r="BD247" s="16" t="s">
        <v>311</v>
      </c>
      <c r="BE247" s="16" t="s">
        <v>311</v>
      </c>
      <c r="BF247" s="244" t="str">
        <f>T_BilanSocial2[[#This Row],[Nom]]&amp;T_BilanSocial2[[#This Row],[Prénom]]</f>
        <v/>
      </c>
    </row>
    <row r="248" spans="1:58" ht="21.75" hidden="1" customHeight="1" x14ac:dyDescent="0.25">
      <c r="A248" s="90">
        <v>108</v>
      </c>
      <c r="B248" s="126" t="s">
        <v>311</v>
      </c>
      <c r="C248" s="126" t="str">
        <f>VLOOKUP(T_BilanSocial2[[#This Row],[NumL]],T_Commission[#Data],COLUMN(T_Commission[FINAL]),FALSE)</f>
        <v/>
      </c>
      <c r="D248" s="19" t="str">
        <f t="shared" si="24"/>
        <v/>
      </c>
      <c r="E248" s="19" t="str">
        <f t="shared" si="25"/>
        <v/>
      </c>
      <c r="F248" s="242" t="str">
        <f>IFERROR(VLOOKUP(T_BilanSocial2[[#This Row],[Zone_Bilan]],T_P_BilanSocial[#Data],COLUMN(T_P_BilanSocial[[#This Row],[Numero_SIHAM]]),FALSE),"")</f>
        <v/>
      </c>
      <c r="G248" s="242" t="str">
        <f>IFERROR(VLOOKUP(T_BilanSocial2[[#This Row],[Zone_Bilan]],T_P_BilanSocial[#Data],COLUMN(T_P_BilanSocial[[#This Row],[Sexe]]),FALSE),"")</f>
        <v/>
      </c>
      <c r="H248" s="243" t="str">
        <f>IFERROR(VLOOKUP(T_BilanSocial2[[#This Row],[Zone_Bilan]],T_P_BilanSocial[#Data],COLUMN(T_P_BilanSocial[[#This Row],[Categorie]]),FALSE),"")</f>
        <v/>
      </c>
      <c r="I248" s="242" t="str">
        <f>IFERROR(VLOOKUP(T_BilanSocial2[[#This Row],[Zone_Bilan]],T_P_BilanSocial[#Data],COLUMN(T_P_BilanSocial[[#This Row],[Statut]]),FALSE),"")</f>
        <v/>
      </c>
      <c r="J248" s="242" t="str">
        <f>IFERROR(VLOOKUP(T_BilanSocial2[[#This Row],[Zone_Bilan]],T_P_BilanSocial[#Data],COLUMN(T_P_BilanSocial[[#This Row],[Filiere]]),FALSE),"")</f>
        <v/>
      </c>
      <c r="K248" s="78">
        <v>1</v>
      </c>
      <c r="L248" s="213">
        <v>1.5451388888888891</v>
      </c>
      <c r="M248" s="78" t="s">
        <v>210</v>
      </c>
      <c r="N248" s="79" t="str">
        <f>IF((AND(T_BilanSocial2[[#This Row],[Nom]]&lt;&gt;"",T_BilanSocial2[[#This Row],[Reg Ponct]]="R")),(COUNTIF(S248:AX248,"S")+COUNTIF(S248:AX248,"T"))/2,"")</f>
        <v/>
      </c>
      <c r="O248" s="79" t="str">
        <f>IF((AND(T_BilanSocial2[[#This Row],[Nom]]&lt;&gt;"",T_BilanSocial2[[#This Row],[Reg Ponct]]="R")),COUNTIF(S248:AX248,"S")/2,"")</f>
        <v/>
      </c>
      <c r="P248" s="80" t="str">
        <f>IF((AND(T_BilanSocial2[[#This Row],[Nom]]&lt;&gt;"",T_BilanSocial2[[#This Row],[Reg Ponct]]="R")),COUNTIF(S248:AX248,"t")/2,"")</f>
        <v/>
      </c>
      <c r="Q248" s="81" t="str">
        <f t="shared" si="26"/>
        <v/>
      </c>
      <c r="R248" s="82" t="str">
        <f>IF((AND(T_BilanSocial2[[#This Row],[Nom]]&lt;&gt;"",T_BilanSocial2[[#This Row],[Reg Ponct]]="R")),IF(S248="T",U248-T248,0)+IF(V248="T",X248-W248,0)+IF(Z248="T",AB248-AA248,0)+IF(AC248="T",AE248-AD248,0)+IF(AG248="T",AI248-AH248,0)+IF(AJ248="T",AL248-AK248,0)+IF(AN248="T",AP248-AO248,0)+IF(AQ248="T",AS248-AR248,0)+IF(AU248="T",AW248-AV248,0)+IF(AX248="T",AZ248-AY248,0),"")</f>
        <v/>
      </c>
      <c r="S248" s="36" t="s">
        <v>306</v>
      </c>
      <c r="T248" s="37">
        <v>0.375</v>
      </c>
      <c r="U248" s="37">
        <v>0.52083333333333337</v>
      </c>
      <c r="V248" s="21" t="s">
        <v>306</v>
      </c>
      <c r="W248" s="37">
        <v>0.5625</v>
      </c>
      <c r="X248" s="37">
        <v>0.75</v>
      </c>
      <c r="Y248" s="38" t="str">
        <f t="shared" si="27"/>
        <v/>
      </c>
      <c r="Z248" s="36" t="s">
        <v>306</v>
      </c>
      <c r="AA248" s="37">
        <v>0.36458333333333331</v>
      </c>
      <c r="AB248" s="37">
        <v>0.52083333333333337</v>
      </c>
      <c r="AC248" s="21" t="s">
        <v>306</v>
      </c>
      <c r="AD248" s="37">
        <v>0.5625</v>
      </c>
      <c r="AE248" s="37">
        <v>0.75</v>
      </c>
      <c r="AF248" s="38" t="str">
        <f t="shared" si="28"/>
        <v/>
      </c>
      <c r="AG248" s="36" t="s">
        <v>306</v>
      </c>
      <c r="AH248" s="37">
        <v>0.36458333333333331</v>
      </c>
      <c r="AI248" s="37">
        <v>0.52083333333333337</v>
      </c>
      <c r="AJ248" s="21" t="s">
        <v>306</v>
      </c>
      <c r="AK248" s="37">
        <v>0.5625</v>
      </c>
      <c r="AL248" s="37">
        <v>0.75</v>
      </c>
      <c r="AM248" s="38" t="str">
        <f t="shared" si="29"/>
        <v/>
      </c>
      <c r="AN248" s="36" t="s">
        <v>306</v>
      </c>
      <c r="AO248" s="37">
        <v>0.37152777777777773</v>
      </c>
      <c r="AP248" s="37">
        <v>0.52083333333333337</v>
      </c>
      <c r="AQ248" s="21" t="s">
        <v>306</v>
      </c>
      <c r="AR248" s="37">
        <v>0.5625</v>
      </c>
      <c r="AS248" s="37">
        <v>0.75</v>
      </c>
      <c r="AT248" s="38" t="str">
        <f t="shared" si="30"/>
        <v/>
      </c>
      <c r="AU248" s="36" t="s">
        <v>307</v>
      </c>
      <c r="AV248" s="37">
        <v>0.375</v>
      </c>
      <c r="AW248" s="37">
        <v>0.5625</v>
      </c>
      <c r="AX248" s="21" t="s">
        <v>308</v>
      </c>
      <c r="AY248" s="37"/>
      <c r="AZ248" s="37"/>
      <c r="BA248" s="39" t="str">
        <f t="shared" si="31"/>
        <v/>
      </c>
      <c r="BB248" s="46" t="s">
        <v>340</v>
      </c>
      <c r="BC248" s="31" t="s">
        <v>341</v>
      </c>
      <c r="BD248" s="16" t="s">
        <v>311</v>
      </c>
      <c r="BE248" s="16" t="s">
        <v>311</v>
      </c>
      <c r="BF248" s="244" t="str">
        <f>T_BilanSocial2[[#This Row],[Nom]]&amp;T_BilanSocial2[[#This Row],[Prénom]]</f>
        <v/>
      </c>
    </row>
    <row r="249" spans="1:58" ht="21.75" hidden="1" customHeight="1" x14ac:dyDescent="0.25">
      <c r="A249" s="90">
        <v>49</v>
      </c>
      <c r="B249" s="126" t="s">
        <v>210</v>
      </c>
      <c r="C249" s="126" t="str">
        <f>VLOOKUP(T_BilanSocial2[[#This Row],[NumL]],T_Commission[#Data],COLUMN(T_Commission[FINAL]),FALSE)</f>
        <v/>
      </c>
      <c r="D249" s="19" t="str">
        <f t="shared" si="24"/>
        <v/>
      </c>
      <c r="E249" s="19" t="str">
        <f t="shared" si="25"/>
        <v/>
      </c>
      <c r="F249" s="242" t="str">
        <f>IFERROR(VLOOKUP(T_BilanSocial2[[#This Row],[Zone_Bilan]],T_P_BilanSocial[#Data],COLUMN(T_P_BilanSocial[[#This Row],[Numero_SIHAM]]),FALSE),"")</f>
        <v/>
      </c>
      <c r="G249" s="242" t="str">
        <f>IFERROR(VLOOKUP(T_BilanSocial2[[#This Row],[Zone_Bilan]],T_P_BilanSocial[#Data],COLUMN(T_P_BilanSocial[[#This Row],[Sexe]]),FALSE),"")</f>
        <v/>
      </c>
      <c r="H249" s="243" t="str">
        <f>IFERROR(VLOOKUP(T_BilanSocial2[[#This Row],[Zone_Bilan]],T_P_BilanSocial[#Data],COLUMN(T_P_BilanSocial[[#This Row],[Categorie]]),FALSE),"")</f>
        <v/>
      </c>
      <c r="I249" s="242" t="str">
        <f>IFERROR(VLOOKUP(T_BilanSocial2[[#This Row],[Zone_Bilan]],T_P_BilanSocial[#Data],COLUMN(T_P_BilanSocial[[#This Row],[Statut]]),FALSE),"")</f>
        <v/>
      </c>
      <c r="J249" s="242" t="str">
        <f>IFERROR(VLOOKUP(T_BilanSocial2[[#This Row],[Zone_Bilan]],T_P_BilanSocial[#Data],COLUMN(T_P_BilanSocial[[#This Row],[Filiere]]),FALSE),"")</f>
        <v/>
      </c>
      <c r="K249" s="78">
        <v>0.8</v>
      </c>
      <c r="L249" s="213">
        <v>1.2361111111111112</v>
      </c>
      <c r="M249" s="78" t="s">
        <v>210</v>
      </c>
      <c r="N249" s="79" t="str">
        <f>IF((AND(T_BilanSocial2[[#This Row],[Nom]]&lt;&gt;"",T_BilanSocial2[[#This Row],[Reg Ponct]]="R")),(COUNTIF(S249:AX249,"S")+COUNTIF(S249:AX249,"T"))/2,"")</f>
        <v/>
      </c>
      <c r="O249" s="79" t="str">
        <f>IF((AND(T_BilanSocial2[[#This Row],[Nom]]&lt;&gt;"",T_BilanSocial2[[#This Row],[Reg Ponct]]="R")),COUNTIF(S249:AX249,"S")/2,"")</f>
        <v/>
      </c>
      <c r="P249" s="80" t="str">
        <f>IF((AND(T_BilanSocial2[[#This Row],[Nom]]&lt;&gt;"",T_BilanSocial2[[#This Row],[Reg Ponct]]="R")),COUNTIF(S249:AX249,"t")/2,"")</f>
        <v/>
      </c>
      <c r="Q249" s="81" t="str">
        <f t="shared" si="26"/>
        <v/>
      </c>
      <c r="R249" s="82" t="str">
        <f>IF((AND(T_BilanSocial2[[#This Row],[Nom]]&lt;&gt;"",T_BilanSocial2[[#This Row],[Reg Ponct]]="R")),IF(S249="T",U249-T249,0)+IF(V249="T",X249-W249,0)+IF(Z249="T",AB249-AA249,0)+IF(AC249="T",AE249-AD249,0)+IF(AG249="T",AI249-AH249,0)+IF(AJ249="T",AL249-AK249,0)+IF(AN249="T",AP249-AO249,0)+IF(AQ249="T",AS249-AR249,0)+IF(AU249="T",AW249-AV249,0)+IF(AX249="T",AZ249-AY249,0),"")</f>
        <v/>
      </c>
      <c r="S249" s="36" t="s">
        <v>306</v>
      </c>
      <c r="T249" s="37">
        <v>0.34375</v>
      </c>
      <c r="U249" s="37">
        <v>0.53125</v>
      </c>
      <c r="V249" s="21" t="s">
        <v>306</v>
      </c>
      <c r="W249" s="37">
        <v>0.57291666666666663</v>
      </c>
      <c r="X249" s="37">
        <v>0.69097222222222221</v>
      </c>
      <c r="Y249" s="38" t="str">
        <f t="shared" si="27"/>
        <v/>
      </c>
      <c r="Z249" s="36" t="s">
        <v>306</v>
      </c>
      <c r="AA249" s="37">
        <v>0.34375</v>
      </c>
      <c r="AB249" s="37">
        <v>0.53125</v>
      </c>
      <c r="AC249" s="21" t="s">
        <v>306</v>
      </c>
      <c r="AD249" s="37">
        <v>0.57291666666666663</v>
      </c>
      <c r="AE249" s="37">
        <v>0.69097222222222221</v>
      </c>
      <c r="AF249" s="38" t="str">
        <f t="shared" si="28"/>
        <v/>
      </c>
      <c r="AG249" s="36" t="s">
        <v>308</v>
      </c>
      <c r="AH249" s="37"/>
      <c r="AI249" s="37"/>
      <c r="AJ249" s="21" t="s">
        <v>308</v>
      </c>
      <c r="AK249" s="37"/>
      <c r="AL249" s="37"/>
      <c r="AM249" s="38" t="str">
        <f t="shared" si="29"/>
        <v/>
      </c>
      <c r="AN249" s="36" t="s">
        <v>306</v>
      </c>
      <c r="AO249" s="37">
        <v>0.34375</v>
      </c>
      <c r="AP249" s="37">
        <v>0.53125</v>
      </c>
      <c r="AQ249" s="21" t="s">
        <v>307</v>
      </c>
      <c r="AR249" s="37">
        <v>0.57291666666666663</v>
      </c>
      <c r="AS249" s="37">
        <v>0.69791666666666663</v>
      </c>
      <c r="AT249" s="38" t="str">
        <f t="shared" si="30"/>
        <v/>
      </c>
      <c r="AU249" s="36" t="s">
        <v>306</v>
      </c>
      <c r="AV249" s="37">
        <v>0.34375</v>
      </c>
      <c r="AW249" s="37">
        <v>0.53125</v>
      </c>
      <c r="AX249" s="21" t="s">
        <v>307</v>
      </c>
      <c r="AY249" s="37">
        <v>0.57291666666666663</v>
      </c>
      <c r="AZ249" s="37">
        <v>0.69791666666666663</v>
      </c>
      <c r="BA249" s="39" t="str">
        <f t="shared" si="31"/>
        <v/>
      </c>
      <c r="BB249" s="46" t="s">
        <v>320</v>
      </c>
      <c r="BC249" s="31" t="s">
        <v>321</v>
      </c>
      <c r="BD249" s="16" t="s">
        <v>311</v>
      </c>
      <c r="BE249" s="16" t="s">
        <v>322</v>
      </c>
      <c r="BF249" s="244" t="str">
        <f>T_BilanSocial2[[#This Row],[Nom]]&amp;T_BilanSocial2[[#This Row],[Prénom]]</f>
        <v/>
      </c>
    </row>
    <row r="250" spans="1:58" ht="21.75" customHeight="1" x14ac:dyDescent="0.25">
      <c r="A250" s="90">
        <v>246</v>
      </c>
      <c r="B250" s="126" t="s">
        <v>311</v>
      </c>
      <c r="C250" s="126" t="str">
        <f>VLOOKUP(T_BilanSocial2[[#This Row],[NumL]],T_Commission[#Data],COLUMN(T_Commission[FINAL]),FALSE)</f>
        <v/>
      </c>
      <c r="D250" s="19" t="str">
        <f t="shared" si="24"/>
        <v/>
      </c>
      <c r="E250" s="19" t="str">
        <f t="shared" si="25"/>
        <v/>
      </c>
      <c r="F250" s="242" t="str">
        <f>IFERROR(VLOOKUP(T_BilanSocial2[[#This Row],[Zone_Bilan]],T_P_BilanSocial[#Data],COLUMN(T_P_BilanSocial[[#This Row],[Numero_SIHAM]]),FALSE),"")</f>
        <v/>
      </c>
      <c r="G250" s="242" t="str">
        <f>IFERROR(VLOOKUP(T_BilanSocial2[[#This Row],[Zone_Bilan]],T_P_BilanSocial[#Data],COLUMN(T_P_BilanSocial[[#This Row],[Sexe]]),FALSE),"")</f>
        <v/>
      </c>
      <c r="H250" s="243" t="str">
        <f>IFERROR(VLOOKUP(T_BilanSocial2[[#This Row],[Zone_Bilan]],T_P_BilanSocial[#Data],COLUMN(T_P_BilanSocial[[#This Row],[Categorie]]),FALSE),"")</f>
        <v/>
      </c>
      <c r="I250" s="242" t="str">
        <f>IFERROR(VLOOKUP(T_BilanSocial2[[#This Row],[Zone_Bilan]],T_P_BilanSocial[#Data],COLUMN(T_P_BilanSocial[[#This Row],[Statut]]),FALSE),"")</f>
        <v/>
      </c>
      <c r="J250" s="242" t="str">
        <f>IFERROR(VLOOKUP(T_BilanSocial2[[#This Row],[Zone_Bilan]],T_P_BilanSocial[#Data],COLUMN(T_P_BilanSocial[[#This Row],[Filiere]]),FALSE),"")</f>
        <v/>
      </c>
      <c r="K250" s="78">
        <v>1</v>
      </c>
      <c r="L250" s="213">
        <v>1.5451388888888891</v>
      </c>
      <c r="M250" s="78" t="s">
        <v>210</v>
      </c>
      <c r="N250" s="79" t="str">
        <f>IF((AND(T_BilanSocial2[[#This Row],[Nom]]&lt;&gt;"",T_BilanSocial2[[#This Row],[Reg Ponct]]="R")),(COUNTIF(S250:AX250,"S")+COUNTIF(S250:AX250,"T"))/2,"")</f>
        <v/>
      </c>
      <c r="O250" s="79" t="str">
        <f>IF((AND(T_BilanSocial2[[#This Row],[Nom]]&lt;&gt;"",T_BilanSocial2[[#This Row],[Reg Ponct]]="R")),COUNTIF(S250:AX250,"S")/2,"")</f>
        <v/>
      </c>
      <c r="P250" s="80" t="str">
        <f>IF((AND(T_BilanSocial2[[#This Row],[Nom]]&lt;&gt;"",T_BilanSocial2[[#This Row],[Reg Ponct]]="R")),COUNTIF(S250:AX250,"t")/2,"")</f>
        <v/>
      </c>
      <c r="Q250" s="81" t="str">
        <f t="shared" si="26"/>
        <v/>
      </c>
      <c r="R250" s="82" t="str">
        <f>IF((AND(T_BilanSocial2[[#This Row],[Nom]]&lt;&gt;"",T_BilanSocial2[[#This Row],[Reg Ponct]]="R")),IF(S250="T",U250-T250,0)+IF(V250="T",X250-W250,0)+IF(Z250="T",AB250-AA250,0)+IF(AC250="T",AE250-AD250,0)+IF(AG250="T",AI250-AH250,0)+IF(AJ250="T",AL250-AK250,0)+IF(AN250="T",AP250-AO250,0)+IF(AQ250="T",AS250-AR250,0)+IF(AU250="T",AW250-AV250,0)+IF(AX250="T",AZ250-AY250,0),"")</f>
        <v/>
      </c>
      <c r="S250" s="36" t="s">
        <v>306</v>
      </c>
      <c r="T250" s="37">
        <v>0.41666666666666669</v>
      </c>
      <c r="U250" s="37">
        <v>0.54166666666666663</v>
      </c>
      <c r="V250" s="21" t="s">
        <v>306</v>
      </c>
      <c r="W250" s="37">
        <v>0.58333333333333337</v>
      </c>
      <c r="X250" s="37">
        <v>0.79166666666666663</v>
      </c>
      <c r="Y250" s="38" t="str">
        <f t="shared" si="27"/>
        <v/>
      </c>
      <c r="Z250" s="36" t="s">
        <v>307</v>
      </c>
      <c r="AA250" s="37">
        <v>0.375</v>
      </c>
      <c r="AB250" s="37">
        <v>0.54166666666666663</v>
      </c>
      <c r="AC250" s="21" t="s">
        <v>307</v>
      </c>
      <c r="AD250" s="37">
        <v>0.58333333333333337</v>
      </c>
      <c r="AE250" s="37">
        <v>0.70833333333333337</v>
      </c>
      <c r="AF250" s="38" t="str">
        <f t="shared" si="28"/>
        <v/>
      </c>
      <c r="AG250" s="36" t="s">
        <v>306</v>
      </c>
      <c r="AH250" s="37">
        <v>0.41666666666666669</v>
      </c>
      <c r="AI250" s="37">
        <v>0.54166666666666663</v>
      </c>
      <c r="AJ250" s="21" t="s">
        <v>306</v>
      </c>
      <c r="AK250" s="37">
        <v>0.58333333333333337</v>
      </c>
      <c r="AL250" s="37">
        <v>0.79166666666666663</v>
      </c>
      <c r="AM250" s="38" t="str">
        <f t="shared" si="29"/>
        <v/>
      </c>
      <c r="AN250" s="36" t="s">
        <v>306</v>
      </c>
      <c r="AO250" s="37">
        <v>0.375</v>
      </c>
      <c r="AP250" s="37">
        <v>0.54166666666666663</v>
      </c>
      <c r="AQ250" s="21" t="s">
        <v>306</v>
      </c>
      <c r="AR250" s="37">
        <v>0.58333333333333337</v>
      </c>
      <c r="AS250" s="37">
        <v>0.71180555555555547</v>
      </c>
      <c r="AT250" s="38" t="str">
        <f t="shared" si="30"/>
        <v/>
      </c>
      <c r="AU250" s="36" t="s">
        <v>306</v>
      </c>
      <c r="AV250" s="37">
        <v>0.375</v>
      </c>
      <c r="AW250" s="37">
        <v>0.54166666666666663</v>
      </c>
      <c r="AX250" s="21" t="s">
        <v>306</v>
      </c>
      <c r="AY250" s="37">
        <v>0.58333333333333337</v>
      </c>
      <c r="AZ250" s="37">
        <v>0.70833333333333337</v>
      </c>
      <c r="BA250" s="39" t="str">
        <f t="shared" si="31"/>
        <v/>
      </c>
      <c r="BB250" s="46" t="s">
        <v>520</v>
      </c>
      <c r="BC250" s="31" t="s">
        <v>341</v>
      </c>
      <c r="BD250" s="16" t="s">
        <v>311</v>
      </c>
      <c r="BE250" s="16" t="s">
        <v>311</v>
      </c>
      <c r="BF250" s="244" t="str">
        <f>T_BilanSocial2[[#This Row],[Nom]]&amp;T_BilanSocial2[[#This Row],[Prénom]]</f>
        <v/>
      </c>
    </row>
    <row r="251" spans="1:58" ht="21.75" hidden="1" customHeight="1" x14ac:dyDescent="0.25">
      <c r="A251" s="90">
        <v>138</v>
      </c>
      <c r="B251" s="126" t="s">
        <v>311</v>
      </c>
      <c r="C251" s="126" t="str">
        <f>VLOOKUP(T_BilanSocial2[[#This Row],[NumL]],T_Commission[#Data],COLUMN(T_Commission[FINAL]),FALSE)</f>
        <v/>
      </c>
      <c r="D251" s="19" t="str">
        <f t="shared" si="24"/>
        <v/>
      </c>
      <c r="E251" s="19" t="str">
        <f t="shared" si="25"/>
        <v/>
      </c>
      <c r="F251" s="242" t="str">
        <f>IFERROR(VLOOKUP(T_BilanSocial2[[#This Row],[Zone_Bilan]],T_P_BilanSocial[#Data],COLUMN(T_P_BilanSocial[[#This Row],[Numero_SIHAM]]),FALSE),"")</f>
        <v/>
      </c>
      <c r="G251" s="242" t="str">
        <f>IFERROR(VLOOKUP(T_BilanSocial2[[#This Row],[Zone_Bilan]],T_P_BilanSocial[#Data],COLUMN(T_P_BilanSocial[[#This Row],[Sexe]]),FALSE),"")</f>
        <v/>
      </c>
      <c r="H251" s="243" t="str">
        <f>IFERROR(VLOOKUP(T_BilanSocial2[[#This Row],[Zone_Bilan]],T_P_BilanSocial[#Data],COLUMN(T_P_BilanSocial[[#This Row],[Categorie]]),FALSE),"")</f>
        <v/>
      </c>
      <c r="I251" s="242" t="str">
        <f>IFERROR(VLOOKUP(T_BilanSocial2[[#This Row],[Zone_Bilan]],T_P_BilanSocial[#Data],COLUMN(T_P_BilanSocial[[#This Row],[Statut]]),FALSE),"")</f>
        <v/>
      </c>
      <c r="J251" s="242" t="str">
        <f>IFERROR(VLOOKUP(T_BilanSocial2[[#This Row],[Zone_Bilan]],T_P_BilanSocial[#Data],COLUMN(T_P_BilanSocial[[#This Row],[Filiere]]),FALSE),"")</f>
        <v/>
      </c>
      <c r="K251" s="78">
        <v>1</v>
      </c>
      <c r="L251" s="213">
        <v>1.5451388888888891</v>
      </c>
      <c r="M251" s="78" t="s">
        <v>210</v>
      </c>
      <c r="N251" s="79" t="str">
        <f>IF((AND(T_BilanSocial2[[#This Row],[Nom]]&lt;&gt;"",T_BilanSocial2[[#This Row],[Reg Ponct]]="R")),(COUNTIF(S251:AX251,"S")+COUNTIF(S251:AX251,"T"))/2,"")</f>
        <v/>
      </c>
      <c r="O251" s="79" t="str">
        <f>IF((AND(T_BilanSocial2[[#This Row],[Nom]]&lt;&gt;"",T_BilanSocial2[[#This Row],[Reg Ponct]]="R")),COUNTIF(S251:AX251,"S")/2,"")</f>
        <v/>
      </c>
      <c r="P251" s="80" t="str">
        <f>IF((AND(T_BilanSocial2[[#This Row],[Nom]]&lt;&gt;"",T_BilanSocial2[[#This Row],[Reg Ponct]]="R")),COUNTIF(S251:AX251,"t")/2,"")</f>
        <v/>
      </c>
      <c r="Q251" s="81" t="str">
        <f t="shared" si="26"/>
        <v/>
      </c>
      <c r="R251" s="82" t="str">
        <f>IF((AND(T_BilanSocial2[[#This Row],[Nom]]&lt;&gt;"",T_BilanSocial2[[#This Row],[Reg Ponct]]="R")),IF(S251="T",U251-T251,0)+IF(V251="T",X251-W251,0)+IF(Z251="T",AB251-AA251,0)+IF(AC251="T",AE251-AD251,0)+IF(AG251="T",AI251-AH251,0)+IF(AJ251="T",AL251-AK251,0)+IF(AN251="T",AP251-AO251,0)+IF(AQ251="T",AS251-AR251,0)+IF(AU251="T",AW251-AV251,0)+IF(AX251="T",AZ251-AY251,0),"")</f>
        <v/>
      </c>
      <c r="S251" s="36" t="s">
        <v>306</v>
      </c>
      <c r="T251" s="37">
        <v>0.36458333333333331</v>
      </c>
      <c r="U251" s="37">
        <v>0.53125</v>
      </c>
      <c r="V251" s="21" t="s">
        <v>306</v>
      </c>
      <c r="W251" s="37">
        <v>0.57291666666666663</v>
      </c>
      <c r="X251" s="37">
        <v>0.73958333333333337</v>
      </c>
      <c r="Y251" s="38" t="str">
        <f t="shared" si="27"/>
        <v/>
      </c>
      <c r="Z251" s="36" t="s">
        <v>306</v>
      </c>
      <c r="AA251" s="37">
        <v>0.36458333333333331</v>
      </c>
      <c r="AB251" s="37">
        <v>0.53125</v>
      </c>
      <c r="AC251" s="21" t="s">
        <v>306</v>
      </c>
      <c r="AD251" s="37">
        <v>0.57291666666666663</v>
      </c>
      <c r="AE251" s="37">
        <v>0.73958333333333337</v>
      </c>
      <c r="AF251" s="38" t="str">
        <f t="shared" si="28"/>
        <v/>
      </c>
      <c r="AG251" s="36" t="s">
        <v>307</v>
      </c>
      <c r="AH251" s="37">
        <v>0.32291666666666669</v>
      </c>
      <c r="AI251" s="37">
        <v>0.53125</v>
      </c>
      <c r="AJ251" s="21" t="s">
        <v>307</v>
      </c>
      <c r="AK251" s="37">
        <v>0.57291666666666663</v>
      </c>
      <c r="AL251" s="37">
        <v>0.72222222222222221</v>
      </c>
      <c r="AM251" s="38" t="str">
        <f t="shared" si="29"/>
        <v/>
      </c>
      <c r="AN251" s="36" t="s">
        <v>306</v>
      </c>
      <c r="AO251" s="37">
        <v>0.36458333333333331</v>
      </c>
      <c r="AP251" s="37">
        <v>0.53125</v>
      </c>
      <c r="AQ251" s="21" t="s">
        <v>306</v>
      </c>
      <c r="AR251" s="37">
        <v>0.57291666666666663</v>
      </c>
      <c r="AS251" s="37">
        <v>0.73958333333333337</v>
      </c>
      <c r="AT251" s="38" t="str">
        <f t="shared" si="30"/>
        <v/>
      </c>
      <c r="AU251" s="36" t="s">
        <v>307</v>
      </c>
      <c r="AV251" s="37">
        <v>0.33333333333333331</v>
      </c>
      <c r="AW251" s="37">
        <v>0.52083333333333337</v>
      </c>
      <c r="AX251" s="21" t="s">
        <v>308</v>
      </c>
      <c r="AY251" s="37"/>
      <c r="AZ251" s="37"/>
      <c r="BA251" s="39" t="str">
        <f t="shared" si="31"/>
        <v/>
      </c>
      <c r="BB251" s="46" t="s">
        <v>481</v>
      </c>
      <c r="BC251" s="31" t="s">
        <v>341</v>
      </c>
      <c r="BD251" s="16" t="s">
        <v>311</v>
      </c>
      <c r="BE251" s="16" t="s">
        <v>311</v>
      </c>
      <c r="BF251" s="244" t="str">
        <f>T_BilanSocial2[[#This Row],[Nom]]&amp;T_BilanSocial2[[#This Row],[Prénom]]</f>
        <v/>
      </c>
    </row>
    <row r="252" spans="1:58" ht="21.75" hidden="1" customHeight="1" x14ac:dyDescent="0.25">
      <c r="A252" s="90">
        <v>85</v>
      </c>
      <c r="B252" s="126" t="s">
        <v>311</v>
      </c>
      <c r="C252" s="126" t="str">
        <f>VLOOKUP(T_BilanSocial2[[#This Row],[NumL]],T_Commission[#Data],COLUMN(T_Commission[FINAL]),FALSE)</f>
        <v/>
      </c>
      <c r="D252" s="19" t="str">
        <f t="shared" si="24"/>
        <v/>
      </c>
      <c r="E252" s="19" t="str">
        <f t="shared" si="25"/>
        <v/>
      </c>
      <c r="F252" s="242" t="str">
        <f>IFERROR(VLOOKUP(T_BilanSocial2[[#This Row],[Zone_Bilan]],T_P_BilanSocial[#Data],COLUMN(T_P_BilanSocial[[#This Row],[Numero_SIHAM]]),FALSE),"")</f>
        <v/>
      </c>
      <c r="G252" s="242" t="str">
        <f>IFERROR(VLOOKUP(T_BilanSocial2[[#This Row],[Zone_Bilan]],T_P_BilanSocial[#Data],COLUMN(T_P_BilanSocial[[#This Row],[Sexe]]),FALSE),"")</f>
        <v/>
      </c>
      <c r="H252" s="243" t="str">
        <f>IFERROR(VLOOKUP(T_BilanSocial2[[#This Row],[Zone_Bilan]],T_P_BilanSocial[#Data],COLUMN(T_P_BilanSocial[[#This Row],[Categorie]]),FALSE),"")</f>
        <v/>
      </c>
      <c r="I252" s="242" t="str">
        <f>IFERROR(VLOOKUP(T_BilanSocial2[[#This Row],[Zone_Bilan]],T_P_BilanSocial[#Data],COLUMN(T_P_BilanSocial[[#This Row],[Statut]]),FALSE),"")</f>
        <v/>
      </c>
      <c r="J252" s="242" t="str">
        <f>IFERROR(VLOOKUP(T_BilanSocial2[[#This Row],[Zone_Bilan]],T_P_BilanSocial[#Data],COLUMN(T_P_BilanSocial[[#This Row],[Filiere]]),FALSE),"")</f>
        <v/>
      </c>
      <c r="K252" s="78">
        <v>0.9</v>
      </c>
      <c r="L252" s="213">
        <v>1.3923611111111109</v>
      </c>
      <c r="M252" s="78" t="s">
        <v>210</v>
      </c>
      <c r="N252" s="79" t="str">
        <f>IF((AND(T_BilanSocial2[[#This Row],[Nom]]&lt;&gt;"",T_BilanSocial2[[#This Row],[Reg Ponct]]="R")),(COUNTIF(S252:AX252,"S")+COUNTIF(S252:AX252,"T"))/2,"")</f>
        <v/>
      </c>
      <c r="O252" s="79" t="str">
        <f>IF((AND(T_BilanSocial2[[#This Row],[Nom]]&lt;&gt;"",T_BilanSocial2[[#This Row],[Reg Ponct]]="R")),COUNTIF(S252:AX252,"S")/2,"")</f>
        <v/>
      </c>
      <c r="P252" s="80" t="str">
        <f>IF((AND(T_BilanSocial2[[#This Row],[Nom]]&lt;&gt;"",T_BilanSocial2[[#This Row],[Reg Ponct]]="R")),COUNTIF(S252:AX252,"t")/2,"")</f>
        <v/>
      </c>
      <c r="Q252" s="81" t="str">
        <f t="shared" si="26"/>
        <v/>
      </c>
      <c r="R252" s="82" t="str">
        <f>IF((AND(T_BilanSocial2[[#This Row],[Nom]]&lt;&gt;"",T_BilanSocial2[[#This Row],[Reg Ponct]]="R")),IF(S252="T",U252-T252,0)+IF(V252="T",X252-W252,0)+IF(Z252="T",AB252-AA252,0)+IF(AC252="T",AE252-AD252,0)+IF(AG252="T",AI252-AH252,0)+IF(AJ252="T",AL252-AK252,0)+IF(AN252="T",AP252-AO252,0)+IF(AQ252="T",AS252-AR252,0)+IF(AU252="T",AW252-AV252,0)+IF(AX252="T",AZ252-AY252,0),"")</f>
        <v/>
      </c>
      <c r="S252" s="36" t="s">
        <v>306</v>
      </c>
      <c r="T252" s="37">
        <v>0.35416666666666669</v>
      </c>
      <c r="U252" s="37">
        <v>0.52083333333333337</v>
      </c>
      <c r="V252" s="21" t="s">
        <v>306</v>
      </c>
      <c r="W252" s="37">
        <v>0.5625</v>
      </c>
      <c r="X252" s="37">
        <v>0.70486111111111116</v>
      </c>
      <c r="Y252" s="38" t="str">
        <f t="shared" si="27"/>
        <v/>
      </c>
      <c r="Z252" s="36" t="s">
        <v>306</v>
      </c>
      <c r="AA252" s="37">
        <v>0.35416666666666669</v>
      </c>
      <c r="AB252" s="37">
        <v>0.52083333333333337</v>
      </c>
      <c r="AC252" s="21" t="s">
        <v>306</v>
      </c>
      <c r="AD252" s="37">
        <v>0.5625</v>
      </c>
      <c r="AE252" s="37">
        <v>0.6875</v>
      </c>
      <c r="AF252" s="38" t="str">
        <f t="shared" si="28"/>
        <v/>
      </c>
      <c r="AG252" s="36" t="s">
        <v>306</v>
      </c>
      <c r="AH252" s="37">
        <v>0.375</v>
      </c>
      <c r="AI252" s="37">
        <v>0.52083333333333337</v>
      </c>
      <c r="AJ252" s="21" t="s">
        <v>306</v>
      </c>
      <c r="AK252" s="37">
        <v>0.5625</v>
      </c>
      <c r="AL252" s="37">
        <v>0.72916666666666663</v>
      </c>
      <c r="AM252" s="38" t="str">
        <f t="shared" si="29"/>
        <v/>
      </c>
      <c r="AN252" s="36" t="s">
        <v>307</v>
      </c>
      <c r="AO252" s="37">
        <v>0.375</v>
      </c>
      <c r="AP252" s="37">
        <v>0.52083333333333337</v>
      </c>
      <c r="AQ252" s="21" t="s">
        <v>307</v>
      </c>
      <c r="AR252" s="37">
        <v>0.5625</v>
      </c>
      <c r="AS252" s="37">
        <v>0.72916666666666663</v>
      </c>
      <c r="AT252" s="38" t="str">
        <f t="shared" si="30"/>
        <v/>
      </c>
      <c r="AU252" s="36" t="s">
        <v>306</v>
      </c>
      <c r="AV252" s="37">
        <v>0.35416666666666669</v>
      </c>
      <c r="AW252" s="37">
        <v>0.52083333333333337</v>
      </c>
      <c r="AX252" s="21" t="s">
        <v>308</v>
      </c>
      <c r="AY252" s="37"/>
      <c r="AZ252" s="37"/>
      <c r="BA252" s="39" t="str">
        <f t="shared" si="31"/>
        <v/>
      </c>
      <c r="BB252" s="46" t="s">
        <v>656</v>
      </c>
      <c r="BC252" s="31" t="s">
        <v>657</v>
      </c>
      <c r="BD252" s="16" t="s">
        <v>311</v>
      </c>
      <c r="BE252" s="16" t="s">
        <v>311</v>
      </c>
      <c r="BF252" s="244" t="str">
        <f>T_BilanSocial2[[#This Row],[Nom]]&amp;T_BilanSocial2[[#This Row],[Prénom]]</f>
        <v/>
      </c>
    </row>
    <row r="253" spans="1:58" ht="21.75" hidden="1" customHeight="1" x14ac:dyDescent="0.25">
      <c r="A253" s="90">
        <v>203</v>
      </c>
      <c r="B253" s="126" t="s">
        <v>311</v>
      </c>
      <c r="C253" s="126" t="str">
        <f>VLOOKUP(T_BilanSocial2[[#This Row],[NumL]],T_Commission[#Data],COLUMN(T_Commission[FINAL]),FALSE)</f>
        <v/>
      </c>
      <c r="D253" s="19" t="str">
        <f t="shared" si="24"/>
        <v/>
      </c>
      <c r="E253" s="19" t="str">
        <f t="shared" si="25"/>
        <v/>
      </c>
      <c r="F253" s="242" t="str">
        <f>IFERROR(VLOOKUP(T_BilanSocial2[[#This Row],[Zone_Bilan]],T_P_BilanSocial[#Data],COLUMN(T_P_BilanSocial[[#This Row],[Numero_SIHAM]]),FALSE),"")</f>
        <v/>
      </c>
      <c r="G253" s="242" t="str">
        <f>IFERROR(VLOOKUP(T_BilanSocial2[[#This Row],[Zone_Bilan]],T_P_BilanSocial[#Data],COLUMN(T_P_BilanSocial[[#This Row],[Sexe]]),FALSE),"")</f>
        <v/>
      </c>
      <c r="H253" s="243" t="str">
        <f>IFERROR(VLOOKUP(T_BilanSocial2[[#This Row],[Zone_Bilan]],T_P_BilanSocial[#Data],COLUMN(T_P_BilanSocial[[#This Row],[Categorie]]),FALSE),"")</f>
        <v/>
      </c>
      <c r="I253" s="242" t="str">
        <f>IFERROR(VLOOKUP(T_BilanSocial2[[#This Row],[Zone_Bilan]],T_P_BilanSocial[#Data],COLUMN(T_P_BilanSocial[[#This Row],[Statut]]),FALSE),"")</f>
        <v/>
      </c>
      <c r="J253" s="242" t="str">
        <f>IFERROR(VLOOKUP(T_BilanSocial2[[#This Row],[Zone_Bilan]],T_P_BilanSocial[#Data],COLUMN(T_P_BilanSocial[[#This Row],[Filiere]]),FALSE),"")</f>
        <v/>
      </c>
      <c r="K253" s="78">
        <v>1</v>
      </c>
      <c r="L253" s="213">
        <v>1.5451388888888891</v>
      </c>
      <c r="M253" s="78" t="s">
        <v>210</v>
      </c>
      <c r="N253" s="79" t="str">
        <f>IF((AND(T_BilanSocial2[[#This Row],[Nom]]&lt;&gt;"",T_BilanSocial2[[#This Row],[Reg Ponct]]="R")),(COUNTIF(S253:AX253,"S")+COUNTIF(S253:AX253,"T"))/2,"")</f>
        <v/>
      </c>
      <c r="O253" s="79" t="str">
        <f>IF((AND(T_BilanSocial2[[#This Row],[Nom]]&lt;&gt;"",T_BilanSocial2[[#This Row],[Reg Ponct]]="R")),COUNTIF(S253:AX253,"S")/2,"")</f>
        <v/>
      </c>
      <c r="P253" s="80" t="str">
        <f>IF((AND(T_BilanSocial2[[#This Row],[Nom]]&lt;&gt;"",T_BilanSocial2[[#This Row],[Reg Ponct]]="R")),COUNTIF(S253:AX253,"t")/2,"")</f>
        <v/>
      </c>
      <c r="Q253" s="81" t="str">
        <f t="shared" si="26"/>
        <v/>
      </c>
      <c r="R253" s="82" t="str">
        <f>IF((AND(T_BilanSocial2[[#This Row],[Nom]]&lt;&gt;"",T_BilanSocial2[[#This Row],[Reg Ponct]]="R")),IF(S253="T",U253-T253,0)+IF(V253="T",X253-W253,0)+IF(Z253="T",AB253-AA253,0)+IF(AC253="T",AE253-AD253,0)+IF(AG253="T",AI253-AH253,0)+IF(AJ253="T",AL253-AK253,0)+IF(AN253="T",AP253-AO253,0)+IF(AQ253="T",AS253-AR253,0)+IF(AU253="T",AW253-AV253,0)+IF(AX253="T",AZ253-AY253,0),"")</f>
        <v/>
      </c>
      <c r="S253" s="36" t="s">
        <v>306</v>
      </c>
      <c r="T253" s="37">
        <v>0.36458333333333331</v>
      </c>
      <c r="U253" s="37">
        <v>0.52083333333333337</v>
      </c>
      <c r="V253" s="21" t="s">
        <v>306</v>
      </c>
      <c r="W253" s="37">
        <v>0.5625</v>
      </c>
      <c r="X253" s="37">
        <v>0.73958333333333337</v>
      </c>
      <c r="Y253" s="38" t="str">
        <f t="shared" si="27"/>
        <v/>
      </c>
      <c r="Z253" s="36" t="s">
        <v>307</v>
      </c>
      <c r="AA253" s="37">
        <v>0.36458333333333331</v>
      </c>
      <c r="AB253" s="37">
        <v>0.52083333333333337</v>
      </c>
      <c r="AC253" s="21" t="s">
        <v>307</v>
      </c>
      <c r="AD253" s="37">
        <v>0.5625</v>
      </c>
      <c r="AE253" s="37">
        <v>0.73958333333333337</v>
      </c>
      <c r="AF253" s="38" t="str">
        <f t="shared" si="28"/>
        <v/>
      </c>
      <c r="AG253" s="36" t="s">
        <v>306</v>
      </c>
      <c r="AH253" s="37">
        <v>0.36458333333333331</v>
      </c>
      <c r="AI253" s="37">
        <v>0.52083333333333337</v>
      </c>
      <c r="AJ253" s="21" t="s">
        <v>306</v>
      </c>
      <c r="AK253" s="37">
        <v>0.5625</v>
      </c>
      <c r="AL253" s="37">
        <v>0.71180555555555547</v>
      </c>
      <c r="AM253" s="38" t="str">
        <f t="shared" si="29"/>
        <v/>
      </c>
      <c r="AN253" s="36" t="s">
        <v>306</v>
      </c>
      <c r="AO253" s="37">
        <v>0.36458333333333331</v>
      </c>
      <c r="AP253" s="37">
        <v>0.52083333333333337</v>
      </c>
      <c r="AQ253" s="21" t="s">
        <v>306</v>
      </c>
      <c r="AR253" s="37">
        <v>0.5625</v>
      </c>
      <c r="AS253" s="37">
        <v>0.71875</v>
      </c>
      <c r="AT253" s="38" t="str">
        <f t="shared" si="30"/>
        <v/>
      </c>
      <c r="AU253" s="36" t="s">
        <v>306</v>
      </c>
      <c r="AV253" s="37">
        <v>0.36458333333333331</v>
      </c>
      <c r="AW253" s="37">
        <v>0.52083333333333337</v>
      </c>
      <c r="AX253" s="21" t="s">
        <v>306</v>
      </c>
      <c r="AY253" s="37">
        <v>0.5625</v>
      </c>
      <c r="AZ253" s="37">
        <v>0.66666666666666663</v>
      </c>
      <c r="BA253" s="39" t="str">
        <f t="shared" si="31"/>
        <v/>
      </c>
      <c r="BB253" s="46" t="s">
        <v>481</v>
      </c>
      <c r="BC253" s="31" t="s">
        <v>341</v>
      </c>
      <c r="BD253" s="16" t="s">
        <v>311</v>
      </c>
      <c r="BE253" s="16" t="s">
        <v>311</v>
      </c>
      <c r="BF253" s="244" t="str">
        <f>T_BilanSocial2[[#This Row],[Nom]]&amp;T_BilanSocial2[[#This Row],[Prénom]]</f>
        <v/>
      </c>
    </row>
    <row r="254" spans="1:58" ht="21.75" hidden="1" customHeight="1" x14ac:dyDescent="0.25">
      <c r="A254" s="90">
        <v>233</v>
      </c>
      <c r="B254" s="126" t="s">
        <v>311</v>
      </c>
      <c r="C254" s="126" t="e">
        <f>VLOOKUP(T_BilanSocial2[[#This Row],[NumL]],T_Commission[#Data],COLUMN(T_Commission[FINAL]),FALSE)</f>
        <v>#N/A</v>
      </c>
      <c r="D254" s="19" t="str">
        <f t="shared" si="24"/>
        <v/>
      </c>
      <c r="E254" s="19" t="str">
        <f t="shared" si="25"/>
        <v/>
      </c>
      <c r="F254" s="242" t="str">
        <f>IFERROR(VLOOKUP(T_BilanSocial2[[#This Row],[Zone_Bilan]],T_P_BilanSocial[#Data],COLUMN(T_P_BilanSocial[[#This Row],[Numero_SIHAM]]),FALSE),"")</f>
        <v/>
      </c>
      <c r="G254" s="242" t="str">
        <f>IFERROR(VLOOKUP(T_BilanSocial2[[#This Row],[Zone_Bilan]],T_P_BilanSocial[#Data],COLUMN(T_P_BilanSocial[[#This Row],[Sexe]]),FALSE),"")</f>
        <v/>
      </c>
      <c r="H254" s="243" t="str">
        <f>IFERROR(VLOOKUP(T_BilanSocial2[[#This Row],[Zone_Bilan]],T_P_BilanSocial[#Data],COLUMN(T_P_BilanSocial[[#This Row],[Categorie]]),FALSE),"")</f>
        <v/>
      </c>
      <c r="I254" s="242" t="str">
        <f>IFERROR(VLOOKUP(T_BilanSocial2[[#This Row],[Zone_Bilan]],T_P_BilanSocial[#Data],COLUMN(T_P_BilanSocial[[#This Row],[Statut]]),FALSE),"")</f>
        <v/>
      </c>
      <c r="J254" s="242" t="str">
        <f>IFERROR(VLOOKUP(T_BilanSocial2[[#This Row],[Zone_Bilan]],T_P_BilanSocial[#Data],COLUMN(T_P_BilanSocial[[#This Row],[Filiere]]),FALSE),"")</f>
        <v/>
      </c>
      <c r="K254" s="78">
        <v>1</v>
      </c>
      <c r="L254" s="213">
        <v>1.5451388888888891</v>
      </c>
      <c r="M254" s="78" t="s">
        <v>210</v>
      </c>
      <c r="N254" s="79" t="str">
        <f>IF((AND(T_BilanSocial2[[#This Row],[Nom]]&lt;&gt;"",T_BilanSocial2[[#This Row],[Reg Ponct]]="R")),(COUNTIF(S254:AX254,"S")+COUNTIF(S254:AX254,"T"))/2,"")</f>
        <v/>
      </c>
      <c r="O254" s="79" t="str">
        <f>IF((AND(T_BilanSocial2[[#This Row],[Nom]]&lt;&gt;"",T_BilanSocial2[[#This Row],[Reg Ponct]]="R")),COUNTIF(S254:AX254,"S")/2,"")</f>
        <v/>
      </c>
      <c r="P254" s="80" t="str">
        <f>IF((AND(T_BilanSocial2[[#This Row],[Nom]]&lt;&gt;"",T_BilanSocial2[[#This Row],[Reg Ponct]]="R")),COUNTIF(S254:AX254,"t")/2,"")</f>
        <v/>
      </c>
      <c r="Q254" s="81" t="str">
        <f t="shared" si="26"/>
        <v/>
      </c>
      <c r="R254" s="82" t="str">
        <f>IF((AND(T_BilanSocial2[[#This Row],[Nom]]&lt;&gt;"",T_BilanSocial2[[#This Row],[Reg Ponct]]="R")),IF(S254="T",U254-T254,0)+IF(V254="T",X254-W254,0)+IF(Z254="T",AB254-AA254,0)+IF(AC254="T",AE254-AD254,0)+IF(AG254="T",AI254-AH254,0)+IF(AJ254="T",AL254-AK254,0)+IF(AN254="T",AP254-AO254,0)+IF(AQ254="T",AS254-AR254,0)+IF(AU254="T",AW254-AV254,0)+IF(AX254="T",AZ254-AY254,0),"")</f>
        <v/>
      </c>
      <c r="S254" s="36" t="s">
        <v>306</v>
      </c>
      <c r="T254" s="37">
        <v>0.33333333333333331</v>
      </c>
      <c r="U254" s="37">
        <v>0.52083333333333337</v>
      </c>
      <c r="V254" s="21" t="s">
        <v>306</v>
      </c>
      <c r="W254" s="37">
        <v>0.5625</v>
      </c>
      <c r="X254" s="37">
        <v>0.70138888888888884</v>
      </c>
      <c r="Y254" s="38" t="str">
        <f t="shared" si="27"/>
        <v/>
      </c>
      <c r="Z254" s="36" t="s">
        <v>306</v>
      </c>
      <c r="AA254" s="37">
        <v>0.33333333333333331</v>
      </c>
      <c r="AB254" s="37">
        <v>0.52083333333333337</v>
      </c>
      <c r="AC254" s="21" t="s">
        <v>306</v>
      </c>
      <c r="AD254" s="37">
        <v>0.5625</v>
      </c>
      <c r="AE254" s="37">
        <v>0.71875</v>
      </c>
      <c r="AF254" s="38" t="str">
        <f t="shared" si="28"/>
        <v/>
      </c>
      <c r="AG254" s="36" t="s">
        <v>306</v>
      </c>
      <c r="AH254" s="37">
        <v>0.33333333333333331</v>
      </c>
      <c r="AI254" s="37">
        <v>0.52083333333333337</v>
      </c>
      <c r="AJ254" s="21" t="s">
        <v>306</v>
      </c>
      <c r="AK254" s="37">
        <v>0.5625</v>
      </c>
      <c r="AL254" s="37">
        <v>0.70833333333333337</v>
      </c>
      <c r="AM254" s="38" t="str">
        <f t="shared" si="29"/>
        <v/>
      </c>
      <c r="AN254" s="36" t="s">
        <v>307</v>
      </c>
      <c r="AO254" s="37">
        <v>0.33333333333333331</v>
      </c>
      <c r="AP254" s="37">
        <v>0.52083333333333337</v>
      </c>
      <c r="AQ254" s="21" t="s">
        <v>307</v>
      </c>
      <c r="AR254" s="37">
        <v>0.5625</v>
      </c>
      <c r="AS254" s="37">
        <v>0.71875</v>
      </c>
      <c r="AT254" s="38" t="str">
        <f t="shared" si="30"/>
        <v/>
      </c>
      <c r="AU254" s="36" t="s">
        <v>306</v>
      </c>
      <c r="AV254" s="37">
        <v>0.32291666666666669</v>
      </c>
      <c r="AW254" s="37">
        <v>0.52083333333333337</v>
      </c>
      <c r="AX254" s="21" t="s">
        <v>308</v>
      </c>
      <c r="AY254" s="37"/>
      <c r="AZ254" s="37"/>
      <c r="BA254" s="39" t="str">
        <f t="shared" si="31"/>
        <v/>
      </c>
      <c r="BB254" s="46" t="s">
        <v>815</v>
      </c>
      <c r="BC254" s="31" t="s">
        <v>794</v>
      </c>
      <c r="BD254" s="16" t="s">
        <v>311</v>
      </c>
      <c r="BE254" s="16" t="s">
        <v>311</v>
      </c>
      <c r="BF254" s="244" t="str">
        <f>T_BilanSocial2[[#This Row],[Nom]]&amp;T_BilanSocial2[[#This Row],[Prénom]]</f>
        <v/>
      </c>
    </row>
    <row r="255" spans="1:58" ht="21.75" hidden="1" customHeight="1" x14ac:dyDescent="0.25">
      <c r="A255" s="90">
        <v>63</v>
      </c>
      <c r="B255" s="126" t="s">
        <v>210</v>
      </c>
      <c r="C255" s="126" t="e">
        <f>VLOOKUP(T_BilanSocial2[[#This Row],[NumL]],T_Commission[#Data],COLUMN(T_Commission[FINAL]),FALSE)</f>
        <v>#N/A</v>
      </c>
      <c r="D255" s="19" t="str">
        <f t="shared" si="24"/>
        <v/>
      </c>
      <c r="E255" s="19" t="str">
        <f t="shared" si="25"/>
        <v/>
      </c>
      <c r="F255" s="242" t="str">
        <f>IFERROR(VLOOKUP(T_BilanSocial2[[#This Row],[Zone_Bilan]],T_P_BilanSocial[#Data],COLUMN(T_P_BilanSocial[[#This Row],[Numero_SIHAM]]),FALSE),"")</f>
        <v/>
      </c>
      <c r="G255" s="242" t="str">
        <f>IFERROR(VLOOKUP(T_BilanSocial2[[#This Row],[Zone_Bilan]],T_P_BilanSocial[#Data],COLUMN(T_P_BilanSocial[[#This Row],[Sexe]]),FALSE),"")</f>
        <v/>
      </c>
      <c r="H255" s="243" t="str">
        <f>IFERROR(VLOOKUP(T_BilanSocial2[[#This Row],[Zone_Bilan]],T_P_BilanSocial[#Data],COLUMN(T_P_BilanSocial[[#This Row],[Categorie]]),FALSE),"")</f>
        <v/>
      </c>
      <c r="I255" s="242" t="str">
        <f>IFERROR(VLOOKUP(T_BilanSocial2[[#This Row],[Zone_Bilan]],T_P_BilanSocial[#Data],COLUMN(T_P_BilanSocial[[#This Row],[Statut]]),FALSE),"")</f>
        <v/>
      </c>
      <c r="J255" s="242" t="str">
        <f>IFERROR(VLOOKUP(T_BilanSocial2[[#This Row],[Zone_Bilan]],T_P_BilanSocial[#Data],COLUMN(T_P_BilanSocial[[#This Row],[Filiere]]),FALSE),"")</f>
        <v/>
      </c>
      <c r="K255" s="78">
        <v>0.8</v>
      </c>
      <c r="L255" s="213">
        <v>1.2361111111111112</v>
      </c>
      <c r="M255" s="78" t="s">
        <v>210</v>
      </c>
      <c r="N255" s="79" t="str">
        <f>IF((AND(T_BilanSocial2[[#This Row],[Nom]]&lt;&gt;"",T_BilanSocial2[[#This Row],[Reg Ponct]]="R")),(COUNTIF(S255:AX255,"S")+COUNTIF(S255:AX255,"T"))/2,"")</f>
        <v/>
      </c>
      <c r="O255" s="79" t="str">
        <f>IF((AND(T_BilanSocial2[[#This Row],[Nom]]&lt;&gt;"",T_BilanSocial2[[#This Row],[Reg Ponct]]="R")),COUNTIF(S255:AX255,"S")/2,"")</f>
        <v/>
      </c>
      <c r="P255" s="80" t="str">
        <f>IF((AND(T_BilanSocial2[[#This Row],[Nom]]&lt;&gt;"",T_BilanSocial2[[#This Row],[Reg Ponct]]="R")),COUNTIF(S255:AX255,"t")/2,"")</f>
        <v/>
      </c>
      <c r="Q255" s="81" t="str">
        <f t="shared" si="26"/>
        <v/>
      </c>
      <c r="R255" s="82" t="str">
        <f>IF((AND(T_BilanSocial2[[#This Row],[Nom]]&lt;&gt;"",T_BilanSocial2[[#This Row],[Reg Ponct]]="R")),IF(S255="T",U255-T255,0)+IF(V255="T",X255-W255,0)+IF(Z255="T",AB255-AA255,0)+IF(AC255="T",AE255-AD255,0)+IF(AG255="T",AI255-AH255,0)+IF(AJ255="T",AL255-AK255,0)+IF(AN255="T",AP255-AO255,0)+IF(AQ255="T",AS255-AR255,0)+IF(AU255="T",AW255-AV255,0)+IF(AX255="T",AZ255-AY255,0),"")</f>
        <v/>
      </c>
      <c r="S255" s="36" t="s">
        <v>306</v>
      </c>
      <c r="T255" s="37">
        <v>0.35416666666666669</v>
      </c>
      <c r="U255" s="37">
        <v>0.52083333333333337</v>
      </c>
      <c r="V255" s="21" t="s">
        <v>306</v>
      </c>
      <c r="W255" s="37">
        <v>0.5625</v>
      </c>
      <c r="X255" s="37">
        <v>0.68402777777777779</v>
      </c>
      <c r="Y255" s="38" t="str">
        <f t="shared" si="27"/>
        <v/>
      </c>
      <c r="Z255" s="36" t="s">
        <v>306</v>
      </c>
      <c r="AA255" s="37">
        <v>0.35416666666666669</v>
      </c>
      <c r="AB255" s="37">
        <v>0.52083333333333337</v>
      </c>
      <c r="AC255" s="21" t="s">
        <v>306</v>
      </c>
      <c r="AD255" s="37">
        <v>0.5625</v>
      </c>
      <c r="AE255" s="37">
        <v>0.72222222222222221</v>
      </c>
      <c r="AF255" s="38" t="str">
        <f t="shared" si="28"/>
        <v/>
      </c>
      <c r="AG255" s="36" t="s">
        <v>308</v>
      </c>
      <c r="AH255" s="37"/>
      <c r="AI255" s="37"/>
      <c r="AJ255" s="21" t="s">
        <v>308</v>
      </c>
      <c r="AK255" s="37"/>
      <c r="AL255" s="37"/>
      <c r="AM255" s="38" t="str">
        <f t="shared" si="29"/>
        <v/>
      </c>
      <c r="AN255" s="36" t="s">
        <v>306</v>
      </c>
      <c r="AO255" s="37">
        <v>0.35416666666666669</v>
      </c>
      <c r="AP255" s="37">
        <v>0.52083333333333337</v>
      </c>
      <c r="AQ255" s="21" t="s">
        <v>306</v>
      </c>
      <c r="AR255" s="37">
        <v>0.5625</v>
      </c>
      <c r="AS255" s="37">
        <v>0.68402777777777779</v>
      </c>
      <c r="AT255" s="38" t="str">
        <f t="shared" si="30"/>
        <v/>
      </c>
      <c r="AU255" s="36" t="s">
        <v>307</v>
      </c>
      <c r="AV255" s="37">
        <v>0.35416666666666669</v>
      </c>
      <c r="AW255" s="37">
        <v>0.52083333333333337</v>
      </c>
      <c r="AX255" s="21" t="s">
        <v>307</v>
      </c>
      <c r="AY255" s="37">
        <v>0.5625</v>
      </c>
      <c r="AZ255" s="37">
        <v>0.72916666666666663</v>
      </c>
      <c r="BA255" s="39" t="str">
        <f t="shared" si="31"/>
        <v/>
      </c>
      <c r="BB255" s="46" t="s">
        <v>537</v>
      </c>
      <c r="BC255" s="31" t="s">
        <v>602</v>
      </c>
      <c r="BD255" s="16" t="s">
        <v>311</v>
      </c>
      <c r="BE255" s="16" t="s">
        <v>322</v>
      </c>
      <c r="BF255" s="244" t="str">
        <f>T_BilanSocial2[[#This Row],[Nom]]&amp;T_BilanSocial2[[#This Row],[Prénom]]</f>
        <v/>
      </c>
    </row>
    <row r="256" spans="1:58" ht="21.75" hidden="1" customHeight="1" x14ac:dyDescent="0.25">
      <c r="A256" s="90">
        <v>274</v>
      </c>
      <c r="B256" s="126" t="s">
        <v>311</v>
      </c>
      <c r="C256" s="126" t="str">
        <f>VLOOKUP(T_BilanSocial2[[#This Row],[NumL]],T_Commission[#Data],COLUMN(T_Commission[FINAL]),FALSE)</f>
        <v/>
      </c>
      <c r="D256" s="19" t="str">
        <f t="shared" si="24"/>
        <v/>
      </c>
      <c r="E256" s="19" t="str">
        <f t="shared" si="25"/>
        <v/>
      </c>
      <c r="F256" s="242" t="str">
        <f>IFERROR(VLOOKUP(T_BilanSocial2[[#This Row],[Zone_Bilan]],T_P_BilanSocial[#Data],COLUMN(T_P_BilanSocial[[#This Row],[Numero_SIHAM]]),FALSE),"")</f>
        <v/>
      </c>
      <c r="G256" s="242" t="str">
        <f>IFERROR(VLOOKUP(T_BilanSocial2[[#This Row],[Zone_Bilan]],T_P_BilanSocial[#Data],COLUMN(T_P_BilanSocial[[#This Row],[Sexe]]),FALSE),"")</f>
        <v/>
      </c>
      <c r="H256" s="243" t="str">
        <f>IFERROR(VLOOKUP(T_BilanSocial2[[#This Row],[Zone_Bilan]],T_P_BilanSocial[#Data],COLUMN(T_P_BilanSocial[[#This Row],[Categorie]]),FALSE),"")</f>
        <v/>
      </c>
      <c r="I256" s="242" t="str">
        <f>IFERROR(VLOOKUP(T_BilanSocial2[[#This Row],[Zone_Bilan]],T_P_BilanSocial[#Data],COLUMN(T_P_BilanSocial[[#This Row],[Statut]]),FALSE),"")</f>
        <v/>
      </c>
      <c r="J256" s="242" t="str">
        <f>IFERROR(VLOOKUP(T_BilanSocial2[[#This Row],[Zone_Bilan]],T_P_BilanSocial[#Data],COLUMN(T_P_BilanSocial[[#This Row],[Filiere]]),FALSE),"")</f>
        <v/>
      </c>
      <c r="K256" s="78">
        <v>0.8</v>
      </c>
      <c r="L256" s="213">
        <v>1.2361111111111112</v>
      </c>
      <c r="M256" s="78" t="s">
        <v>210</v>
      </c>
      <c r="N256" s="79" t="str">
        <f>IF((AND(T_BilanSocial2[[#This Row],[Nom]]&lt;&gt;"",T_BilanSocial2[[#This Row],[Reg Ponct]]="R")),(COUNTIF(S256:AX256,"S")+COUNTIF(S256:AX256,"T"))/2,"")</f>
        <v/>
      </c>
      <c r="O256" s="79" t="str">
        <f>IF((AND(T_BilanSocial2[[#This Row],[Nom]]&lt;&gt;"",T_BilanSocial2[[#This Row],[Reg Ponct]]="R")),COUNTIF(S256:AX256,"S")/2,"")</f>
        <v/>
      </c>
      <c r="P256" s="80" t="str">
        <f>IF((AND(T_BilanSocial2[[#This Row],[Nom]]&lt;&gt;"",T_BilanSocial2[[#This Row],[Reg Ponct]]="R")),COUNTIF(S256:AX256,"t")/2,"")</f>
        <v/>
      </c>
      <c r="Q256" s="81" t="str">
        <f t="shared" si="26"/>
        <v/>
      </c>
      <c r="R256" s="82" t="str">
        <f>IF((AND(T_BilanSocial2[[#This Row],[Nom]]&lt;&gt;"",T_BilanSocial2[[#This Row],[Reg Ponct]]="R")),IF(S256="T",U256-T256,0)+IF(V256="T",X256-W256,0)+IF(Z256="T",AB256-AA256,0)+IF(AC256="T",AE256-AD256,0)+IF(AG256="T",AI256-AH256,0)+IF(AJ256="T",AL256-AK256,0)+IF(AN256="T",AP256-AO256,0)+IF(AQ256="T",AS256-AR256,0)+IF(AU256="T",AW256-AV256,0)+IF(AX256="T",AZ256-AY256,0),"")</f>
        <v/>
      </c>
      <c r="S256" s="36" t="s">
        <v>307</v>
      </c>
      <c r="T256" s="37">
        <v>0.34375</v>
      </c>
      <c r="U256" s="37">
        <v>0.52083333333333337</v>
      </c>
      <c r="V256" s="21" t="s">
        <v>307</v>
      </c>
      <c r="W256" s="37">
        <v>0.5625</v>
      </c>
      <c r="X256" s="37">
        <v>0.70486111111111116</v>
      </c>
      <c r="Y256" s="38" t="str">
        <f t="shared" si="27"/>
        <v/>
      </c>
      <c r="Z256" s="36" t="s">
        <v>306</v>
      </c>
      <c r="AA256" s="37">
        <v>0.34375</v>
      </c>
      <c r="AB256" s="37">
        <v>0.52083333333333337</v>
      </c>
      <c r="AC256" s="21" t="s">
        <v>306</v>
      </c>
      <c r="AD256" s="37">
        <v>0.5625</v>
      </c>
      <c r="AE256" s="37">
        <v>0.69791666666666663</v>
      </c>
      <c r="AF256" s="38" t="str">
        <f t="shared" si="28"/>
        <v/>
      </c>
      <c r="AG256" s="36" t="s">
        <v>308</v>
      </c>
      <c r="AH256" s="37"/>
      <c r="AI256" s="37"/>
      <c r="AJ256" s="21" t="s">
        <v>308</v>
      </c>
      <c r="AK256" s="37"/>
      <c r="AL256" s="37"/>
      <c r="AM256" s="38" t="str">
        <f t="shared" si="29"/>
        <v/>
      </c>
      <c r="AN256" s="36" t="s">
        <v>306</v>
      </c>
      <c r="AO256" s="37">
        <v>0.34375</v>
      </c>
      <c r="AP256" s="37">
        <v>0.52083333333333337</v>
      </c>
      <c r="AQ256" s="21" t="s">
        <v>306</v>
      </c>
      <c r="AR256" s="37">
        <v>0.5625</v>
      </c>
      <c r="AS256" s="37">
        <v>0.70833333333333337</v>
      </c>
      <c r="AT256" s="38" t="str">
        <f t="shared" si="30"/>
        <v/>
      </c>
      <c r="AU256" s="36" t="s">
        <v>306</v>
      </c>
      <c r="AV256" s="37">
        <v>0.34375</v>
      </c>
      <c r="AW256" s="37">
        <v>0.52083333333333337</v>
      </c>
      <c r="AX256" s="21" t="s">
        <v>306</v>
      </c>
      <c r="AY256" s="37">
        <v>0.5625</v>
      </c>
      <c r="AZ256" s="37">
        <v>0.66666666666666663</v>
      </c>
      <c r="BA256" s="39" t="str">
        <f t="shared" si="31"/>
        <v/>
      </c>
      <c r="BB256" s="46" t="s">
        <v>1099</v>
      </c>
      <c r="BC256" s="31" t="s">
        <v>1167</v>
      </c>
      <c r="BD256" s="16" t="s">
        <v>311</v>
      </c>
      <c r="BE256" s="16" t="s">
        <v>311</v>
      </c>
      <c r="BF256" s="244" t="str">
        <f>T_BilanSocial2[[#This Row],[Nom]]&amp;T_BilanSocial2[[#This Row],[Prénom]]</f>
        <v/>
      </c>
    </row>
    <row r="257" spans="1:58" ht="21.75" hidden="1" customHeight="1" x14ac:dyDescent="0.25">
      <c r="A257" s="90">
        <v>40</v>
      </c>
      <c r="B257" s="126" t="s">
        <v>210</v>
      </c>
      <c r="C257" s="126" t="str">
        <f>VLOOKUP(T_BilanSocial2[[#This Row],[NumL]],T_Commission[#Data],COLUMN(T_Commission[FINAL]),FALSE)</f>
        <v/>
      </c>
      <c r="D257" s="19" t="str">
        <f t="shared" si="24"/>
        <v/>
      </c>
      <c r="E257" s="19" t="str">
        <f t="shared" si="25"/>
        <v/>
      </c>
      <c r="F257" s="242" t="str">
        <f>IFERROR(VLOOKUP(T_BilanSocial2[[#This Row],[Zone_Bilan]],T_P_BilanSocial[#Data],COLUMN(T_P_BilanSocial[[#This Row],[Numero_SIHAM]]),FALSE),"")</f>
        <v/>
      </c>
      <c r="G257" s="242" t="str">
        <f>IFERROR(VLOOKUP(T_BilanSocial2[[#This Row],[Zone_Bilan]],T_P_BilanSocial[#Data],COLUMN(T_P_BilanSocial[[#This Row],[Sexe]]),FALSE),"")</f>
        <v/>
      </c>
      <c r="H257" s="243" t="str">
        <f>IFERROR(VLOOKUP(T_BilanSocial2[[#This Row],[Zone_Bilan]],T_P_BilanSocial[#Data],COLUMN(T_P_BilanSocial[[#This Row],[Categorie]]),FALSE),"")</f>
        <v/>
      </c>
      <c r="I257" s="242" t="str">
        <f>IFERROR(VLOOKUP(T_BilanSocial2[[#This Row],[Zone_Bilan]],T_P_BilanSocial[#Data],COLUMN(T_P_BilanSocial[[#This Row],[Statut]]),FALSE),"")</f>
        <v/>
      </c>
      <c r="J257" s="242" t="str">
        <f>IFERROR(VLOOKUP(T_BilanSocial2[[#This Row],[Zone_Bilan]],T_P_BilanSocial[#Data],COLUMN(T_P_BilanSocial[[#This Row],[Filiere]]),FALSE),"")</f>
        <v/>
      </c>
      <c r="K257" s="78">
        <v>1</v>
      </c>
      <c r="L257" s="213">
        <v>1.5451388888888891</v>
      </c>
      <c r="M257" s="78" t="s">
        <v>210</v>
      </c>
      <c r="N257" s="79" t="str">
        <f>IF((AND(T_BilanSocial2[[#This Row],[Nom]]&lt;&gt;"",T_BilanSocial2[[#This Row],[Reg Ponct]]="R")),(COUNTIF(S257:AX257,"S")+COUNTIF(S257:AX257,"T"))/2,"")</f>
        <v/>
      </c>
      <c r="O257" s="79" t="str">
        <f>IF((AND(T_BilanSocial2[[#This Row],[Nom]]&lt;&gt;"",T_BilanSocial2[[#This Row],[Reg Ponct]]="R")),COUNTIF(S257:AX257,"S")/2,"")</f>
        <v/>
      </c>
      <c r="P257" s="80" t="str">
        <f>IF((AND(T_BilanSocial2[[#This Row],[Nom]]&lt;&gt;"",T_BilanSocial2[[#This Row],[Reg Ponct]]="R")),COUNTIF(S257:AX257,"t")/2,"")</f>
        <v/>
      </c>
      <c r="Q257" s="81" t="str">
        <f t="shared" si="26"/>
        <v/>
      </c>
      <c r="R257" s="82" t="str">
        <f>IF((AND(T_BilanSocial2[[#This Row],[Nom]]&lt;&gt;"",T_BilanSocial2[[#This Row],[Reg Ponct]]="R")),IF(S257="T",U257-T257,0)+IF(V257="T",X257-W257,0)+IF(Z257="T",AB257-AA257,0)+IF(AC257="T",AE257-AD257,0)+IF(AG257="T",AI257-AH257,0)+IF(AJ257="T",AL257-AK257,0)+IF(AN257="T",AP257-AO257,0)+IF(AQ257="T",AS257-AR257,0)+IF(AU257="T",AW257-AV257,0)+IF(AX257="T",AZ257-AY257,0),"")</f>
        <v/>
      </c>
      <c r="S257" s="36" t="s">
        <v>306</v>
      </c>
      <c r="T257" s="37">
        <v>0.3125</v>
      </c>
      <c r="U257" s="37">
        <v>0.5</v>
      </c>
      <c r="V257" s="21" t="s">
        <v>306</v>
      </c>
      <c r="W257" s="37">
        <v>0.54166666666666663</v>
      </c>
      <c r="X257" s="37">
        <v>0.66319444444444442</v>
      </c>
      <c r="Y257" s="38" t="str">
        <f t="shared" si="27"/>
        <v/>
      </c>
      <c r="Z257" s="36" t="s">
        <v>306</v>
      </c>
      <c r="AA257" s="37">
        <v>0.3125</v>
      </c>
      <c r="AB257" s="37">
        <v>0.5</v>
      </c>
      <c r="AC257" s="21" t="s">
        <v>306</v>
      </c>
      <c r="AD257" s="37">
        <v>0.54166666666666663</v>
      </c>
      <c r="AE257" s="37">
        <v>0.66319444444444442</v>
      </c>
      <c r="AF257" s="38" t="str">
        <f t="shared" si="28"/>
        <v/>
      </c>
      <c r="AG257" s="36" t="s">
        <v>307</v>
      </c>
      <c r="AH257" s="37">
        <v>0.3125</v>
      </c>
      <c r="AI257" s="37">
        <v>0.5</v>
      </c>
      <c r="AJ257" s="21" t="s">
        <v>307</v>
      </c>
      <c r="AK257" s="37">
        <v>0.54166666666666663</v>
      </c>
      <c r="AL257" s="37">
        <v>0.66319444444444442</v>
      </c>
      <c r="AM257" s="38" t="str">
        <f t="shared" si="29"/>
        <v/>
      </c>
      <c r="AN257" s="36" t="s">
        <v>306</v>
      </c>
      <c r="AO257" s="37">
        <v>0.3125</v>
      </c>
      <c r="AP257" s="37">
        <v>0.5</v>
      </c>
      <c r="AQ257" s="21" t="s">
        <v>306</v>
      </c>
      <c r="AR257" s="37">
        <v>0.54166666666666663</v>
      </c>
      <c r="AS257" s="37">
        <v>0.66319444444444442</v>
      </c>
      <c r="AT257" s="38" t="str">
        <f t="shared" si="30"/>
        <v/>
      </c>
      <c r="AU257" s="36" t="s">
        <v>307</v>
      </c>
      <c r="AV257" s="37">
        <v>0.3125</v>
      </c>
      <c r="AW257" s="37">
        <v>0.5</v>
      </c>
      <c r="AX257" s="21" t="s">
        <v>307</v>
      </c>
      <c r="AY257" s="37">
        <v>0.54166666666666663</v>
      </c>
      <c r="AZ257" s="37">
        <v>0.66319444444444442</v>
      </c>
      <c r="BA257" s="39" t="str">
        <f t="shared" si="31"/>
        <v/>
      </c>
      <c r="BB257" s="46" t="s">
        <v>508</v>
      </c>
      <c r="BC257" s="31" t="s">
        <v>509</v>
      </c>
      <c r="BD257" s="16" t="s">
        <v>322</v>
      </c>
      <c r="BE257" s="16" t="s">
        <v>322</v>
      </c>
      <c r="BF257" s="244" t="str">
        <f>T_BilanSocial2[[#This Row],[Nom]]&amp;T_BilanSocial2[[#This Row],[Prénom]]</f>
        <v/>
      </c>
    </row>
    <row r="258" spans="1:58" ht="21.75" customHeight="1" x14ac:dyDescent="0.25">
      <c r="A258" s="90">
        <v>20</v>
      </c>
      <c r="B258" s="126" t="s">
        <v>210</v>
      </c>
      <c r="C258" s="126" t="str">
        <f>VLOOKUP(T_BilanSocial2[[#This Row],[NumL]],T_Commission[#Data],COLUMN(T_Commission[FINAL]),FALSE)</f>
        <v/>
      </c>
      <c r="D258" s="19" t="str">
        <f t="shared" ref="D258:D289" si="32">IFERROR(IF(VLOOKUP(A258,ListeDI,3,FALSE)&lt;&gt;"",VLOOKUP(A258,ListeDI,3,FALSE),""),"")</f>
        <v/>
      </c>
      <c r="E258" s="19" t="str">
        <f t="shared" ref="E258:E289" si="33">IFERROR(IF(VLOOKUP(A258,ListeDI,4,FALSE)&lt;&gt;"",VLOOKUP(A258,ListeDI,4,FALSE),""),"")</f>
        <v/>
      </c>
      <c r="F258" s="242" t="str">
        <f>IFERROR(VLOOKUP(T_BilanSocial2[[#This Row],[Zone_Bilan]],T_P_BilanSocial[#Data],COLUMN(T_P_BilanSocial[[#This Row],[Numero_SIHAM]]),FALSE),"")</f>
        <v/>
      </c>
      <c r="G258" s="242" t="str">
        <f>IFERROR(VLOOKUP(T_BilanSocial2[[#This Row],[Zone_Bilan]],T_P_BilanSocial[#Data],COLUMN(T_P_BilanSocial[[#This Row],[Sexe]]),FALSE),"")</f>
        <v/>
      </c>
      <c r="H258" s="243" t="str">
        <f>IFERROR(VLOOKUP(T_BilanSocial2[[#This Row],[Zone_Bilan]],T_P_BilanSocial[#Data],COLUMN(T_P_BilanSocial[[#This Row],[Categorie]]),FALSE),"")</f>
        <v/>
      </c>
      <c r="I258" s="242" t="str">
        <f>IFERROR(VLOOKUP(T_BilanSocial2[[#This Row],[Zone_Bilan]],T_P_BilanSocial[#Data],COLUMN(T_P_BilanSocial[[#This Row],[Statut]]),FALSE),"")</f>
        <v/>
      </c>
      <c r="J258" s="242" t="str">
        <f>IFERROR(VLOOKUP(T_BilanSocial2[[#This Row],[Zone_Bilan]],T_P_BilanSocial[#Data],COLUMN(T_P_BilanSocial[[#This Row],[Filiere]]),FALSE),"")</f>
        <v/>
      </c>
      <c r="K258" s="78">
        <v>1</v>
      </c>
      <c r="L258" s="213">
        <v>1.5451388888888891</v>
      </c>
      <c r="M258" s="78" t="s">
        <v>210</v>
      </c>
      <c r="N258" s="79" t="str">
        <f>IF((AND(T_BilanSocial2[[#This Row],[Nom]]&lt;&gt;"",T_BilanSocial2[[#This Row],[Reg Ponct]]="R")),(COUNTIF(S258:AX258,"S")+COUNTIF(S258:AX258,"T"))/2,"")</f>
        <v/>
      </c>
      <c r="O258" s="79" t="str">
        <f>IF((AND(T_BilanSocial2[[#This Row],[Nom]]&lt;&gt;"",T_BilanSocial2[[#This Row],[Reg Ponct]]="R")),COUNTIF(S258:AX258,"S")/2,"")</f>
        <v/>
      </c>
      <c r="P258" s="80" t="str">
        <f>IF((AND(T_BilanSocial2[[#This Row],[Nom]]&lt;&gt;"",T_BilanSocial2[[#This Row],[Reg Ponct]]="R")),COUNTIF(S258:AX258,"t")/2,"")</f>
        <v/>
      </c>
      <c r="Q258" s="81" t="str">
        <f t="shared" ref="Q258:Q289" si="34">IF(D258&lt;&gt;"",Y258+AF258+AM258+AT258+BA258,"")</f>
        <v/>
      </c>
      <c r="R258" s="82" t="str">
        <f>IF((AND(T_BilanSocial2[[#This Row],[Nom]]&lt;&gt;"",T_BilanSocial2[[#This Row],[Reg Ponct]]="R")),IF(S258="T",U258-T258,0)+IF(V258="T",X258-W258,0)+IF(Z258="T",AB258-AA258,0)+IF(AC258="T",AE258-AD258,0)+IF(AG258="T",AI258-AH258,0)+IF(AJ258="T",AL258-AK258,0)+IF(AN258="T",AP258-AO258,0)+IF(AQ258="T",AS258-AR258,0)+IF(AU258="T",AW258-AV258,0)+IF(AX258="T",AZ258-AY258,0),"")</f>
        <v/>
      </c>
      <c r="S258" s="36" t="s">
        <v>307</v>
      </c>
      <c r="T258" s="37">
        <v>0.35069444444444442</v>
      </c>
      <c r="U258" s="37">
        <v>0.5</v>
      </c>
      <c r="V258" s="21" t="s">
        <v>307</v>
      </c>
      <c r="W258" s="37">
        <v>0.54166666666666663</v>
      </c>
      <c r="X258" s="37">
        <v>0.71875</v>
      </c>
      <c r="Y258" s="38" t="str">
        <f t="shared" ref="Y258:Y289" si="35">IF(D258&lt;&gt;"",(U258-T258)+(X258-W258),"")</f>
        <v/>
      </c>
      <c r="Z258" s="36" t="s">
        <v>306</v>
      </c>
      <c r="AA258" s="37">
        <v>0.36458333333333331</v>
      </c>
      <c r="AB258" s="37">
        <v>0.5</v>
      </c>
      <c r="AC258" s="21" t="s">
        <v>306</v>
      </c>
      <c r="AD258" s="37">
        <v>0.54166666666666663</v>
      </c>
      <c r="AE258" s="37">
        <v>0.71875</v>
      </c>
      <c r="AF258" s="38" t="str">
        <f t="shared" ref="AF258:AF289" si="36">IF(D258&lt;&gt;"",(AB258-AA258)+(AE258-AD258),"")</f>
        <v/>
      </c>
      <c r="AG258" s="36" t="s">
        <v>306</v>
      </c>
      <c r="AH258" s="37">
        <v>0.36458333333333331</v>
      </c>
      <c r="AI258" s="37">
        <v>0.5</v>
      </c>
      <c r="AJ258" s="21" t="s">
        <v>306</v>
      </c>
      <c r="AK258" s="37">
        <v>0.54166666666666663</v>
      </c>
      <c r="AL258" s="37">
        <v>0.71875</v>
      </c>
      <c r="AM258" s="38" t="str">
        <f t="shared" ref="AM258:AM289" si="37">IF(D258&lt;&gt;"",(AI258-AH258)+(AL258-AK258),"")</f>
        <v/>
      </c>
      <c r="AN258" s="36" t="s">
        <v>306</v>
      </c>
      <c r="AO258" s="37">
        <v>0.36458333333333331</v>
      </c>
      <c r="AP258" s="37">
        <v>0.5</v>
      </c>
      <c r="AQ258" s="21" t="s">
        <v>306</v>
      </c>
      <c r="AR258" s="37">
        <v>0.54166666666666663</v>
      </c>
      <c r="AS258" s="37">
        <v>0.72916666666666663</v>
      </c>
      <c r="AT258" s="38" t="str">
        <f t="shared" ref="AT258:AT289" si="38">IF(D258&lt;&gt;"",(AP258-AO258)+(AS258-AR258),"")</f>
        <v/>
      </c>
      <c r="AU258" s="36" t="s">
        <v>306</v>
      </c>
      <c r="AV258" s="37">
        <v>0.36458333333333331</v>
      </c>
      <c r="AW258" s="37">
        <v>0.5</v>
      </c>
      <c r="AX258" s="21" t="s">
        <v>306</v>
      </c>
      <c r="AY258" s="37">
        <v>0.54166666666666663</v>
      </c>
      <c r="AZ258" s="37">
        <v>0.67708333333333337</v>
      </c>
      <c r="BA258" s="39" t="str">
        <f t="shared" ref="BA258:BA289" si="39">IF(D258&lt;&gt;"",(AW258-AV258)+(AZ258-AY258),"")</f>
        <v/>
      </c>
      <c r="BB258" s="46" t="s">
        <v>320</v>
      </c>
      <c r="BC258" s="31" t="s">
        <v>321</v>
      </c>
      <c r="BD258" s="16" t="s">
        <v>322</v>
      </c>
      <c r="BE258" s="16" t="s">
        <v>322</v>
      </c>
      <c r="BF258" s="244" t="str">
        <f>T_BilanSocial2[[#This Row],[Nom]]&amp;T_BilanSocial2[[#This Row],[Prénom]]</f>
        <v/>
      </c>
    </row>
    <row r="259" spans="1:58" ht="21.75" hidden="1" customHeight="1" x14ac:dyDescent="0.25">
      <c r="A259" s="90">
        <v>102</v>
      </c>
      <c r="B259" s="126" t="s">
        <v>311</v>
      </c>
      <c r="C259" s="126" t="str">
        <f>VLOOKUP(T_BilanSocial2[[#This Row],[NumL]],T_Commission[#Data],COLUMN(T_Commission[FINAL]),FALSE)</f>
        <v/>
      </c>
      <c r="D259" s="19" t="str">
        <f t="shared" si="32"/>
        <v/>
      </c>
      <c r="E259" s="19" t="str">
        <f t="shared" si="33"/>
        <v/>
      </c>
      <c r="F259" s="242" t="str">
        <f>IFERROR(VLOOKUP(T_BilanSocial2[[#This Row],[Zone_Bilan]],T_P_BilanSocial[#Data],COLUMN(T_P_BilanSocial[[#This Row],[Numero_SIHAM]]),FALSE),"")</f>
        <v/>
      </c>
      <c r="G259" s="242" t="str">
        <f>IFERROR(VLOOKUP(T_BilanSocial2[[#This Row],[Zone_Bilan]],T_P_BilanSocial[#Data],COLUMN(T_P_BilanSocial[[#This Row],[Sexe]]),FALSE),"")</f>
        <v/>
      </c>
      <c r="H259" s="243" t="str">
        <f>IFERROR(VLOOKUP(T_BilanSocial2[[#This Row],[Zone_Bilan]],T_P_BilanSocial[#Data],COLUMN(T_P_BilanSocial[[#This Row],[Categorie]]),FALSE),"")</f>
        <v/>
      </c>
      <c r="I259" s="242" t="str">
        <f>IFERROR(VLOOKUP(T_BilanSocial2[[#This Row],[Zone_Bilan]],T_P_BilanSocial[#Data],COLUMN(T_P_BilanSocial[[#This Row],[Statut]]),FALSE),"")</f>
        <v/>
      </c>
      <c r="J259" s="242" t="str">
        <f>IFERROR(VLOOKUP(T_BilanSocial2[[#This Row],[Zone_Bilan]],T_P_BilanSocial[#Data],COLUMN(T_P_BilanSocial[[#This Row],[Filiere]]),FALSE),"")</f>
        <v/>
      </c>
      <c r="K259" s="78">
        <v>1</v>
      </c>
      <c r="L259" s="213">
        <v>1.5451388888888891</v>
      </c>
      <c r="M259" s="78" t="s">
        <v>210</v>
      </c>
      <c r="N259" s="79" t="str">
        <f>IF((AND(T_BilanSocial2[[#This Row],[Nom]]&lt;&gt;"",T_BilanSocial2[[#This Row],[Reg Ponct]]="R")),(COUNTIF(S259:AX259,"S")+COUNTIF(S259:AX259,"T"))/2,"")</f>
        <v/>
      </c>
      <c r="O259" s="79" t="str">
        <f>IF((AND(T_BilanSocial2[[#This Row],[Nom]]&lt;&gt;"",T_BilanSocial2[[#This Row],[Reg Ponct]]="R")),COUNTIF(S259:AX259,"S")/2,"")</f>
        <v/>
      </c>
      <c r="P259" s="80" t="str">
        <f>IF((AND(T_BilanSocial2[[#This Row],[Nom]]&lt;&gt;"",T_BilanSocial2[[#This Row],[Reg Ponct]]="R")),COUNTIF(S259:AX259,"t")/2,"")</f>
        <v/>
      </c>
      <c r="Q259" s="81" t="str">
        <f t="shared" si="34"/>
        <v/>
      </c>
      <c r="R259" s="82" t="str">
        <f>IF((AND(T_BilanSocial2[[#This Row],[Nom]]&lt;&gt;"",T_BilanSocial2[[#This Row],[Reg Ponct]]="R")),IF(S259="T",U259-T259,0)+IF(V259="T",X259-W259,0)+IF(Z259="T",AB259-AA259,0)+IF(AC259="T",AE259-AD259,0)+IF(AG259="T",AI259-AH259,0)+IF(AJ259="T",AL259-AK259,0)+IF(AN259="T",AP259-AO259,0)+IF(AQ259="T",AS259-AR259,0)+IF(AU259="T",AW259-AV259,0)+IF(AX259="T",AZ259-AY259,0),"")</f>
        <v/>
      </c>
      <c r="S259" s="36" t="s">
        <v>306</v>
      </c>
      <c r="T259" s="37">
        <v>0.32291666666666669</v>
      </c>
      <c r="U259" s="37">
        <v>0.5</v>
      </c>
      <c r="V259" s="21" t="s">
        <v>306</v>
      </c>
      <c r="W259" s="37">
        <v>0.54166666666666663</v>
      </c>
      <c r="X259" s="37">
        <v>0.70833333333333337</v>
      </c>
      <c r="Y259" s="38" t="str">
        <f t="shared" si="35"/>
        <v/>
      </c>
      <c r="Z259" s="36" t="s">
        <v>306</v>
      </c>
      <c r="AA259" s="37">
        <v>0.32291666666666669</v>
      </c>
      <c r="AB259" s="37">
        <v>0.5</v>
      </c>
      <c r="AC259" s="21" t="s">
        <v>306</v>
      </c>
      <c r="AD259" s="37">
        <v>0.54166666666666663</v>
      </c>
      <c r="AE259" s="37">
        <v>0.70833333333333337</v>
      </c>
      <c r="AF259" s="38" t="str">
        <f t="shared" si="36"/>
        <v/>
      </c>
      <c r="AG259" s="36" t="s">
        <v>306</v>
      </c>
      <c r="AH259" s="37">
        <v>0.32291666666666669</v>
      </c>
      <c r="AI259" s="37">
        <v>0.5</v>
      </c>
      <c r="AJ259" s="21" t="s">
        <v>306</v>
      </c>
      <c r="AK259" s="37">
        <v>0.54166666666666663</v>
      </c>
      <c r="AL259" s="37">
        <v>0.70833333333333337</v>
      </c>
      <c r="AM259" s="38" t="str">
        <f t="shared" si="37"/>
        <v/>
      </c>
      <c r="AN259" s="36" t="s">
        <v>307</v>
      </c>
      <c r="AO259" s="37">
        <v>0.32291666666666669</v>
      </c>
      <c r="AP259" s="37">
        <v>0.5</v>
      </c>
      <c r="AQ259" s="21" t="s">
        <v>307</v>
      </c>
      <c r="AR259" s="37">
        <v>0.54166666666666663</v>
      </c>
      <c r="AS259" s="37">
        <v>0.70833333333333337</v>
      </c>
      <c r="AT259" s="38" t="str">
        <f t="shared" si="38"/>
        <v/>
      </c>
      <c r="AU259" s="36" t="s">
        <v>306</v>
      </c>
      <c r="AV259" s="37">
        <v>0.32291666666666669</v>
      </c>
      <c r="AW259" s="37">
        <v>0.49305555555555558</v>
      </c>
      <c r="AX259" s="21" t="s">
        <v>308</v>
      </c>
      <c r="AY259" s="37"/>
      <c r="AZ259" s="37"/>
      <c r="BA259" s="39" t="str">
        <f t="shared" si="39"/>
        <v/>
      </c>
      <c r="BB259" s="46" t="s">
        <v>552</v>
      </c>
      <c r="BC259" s="31" t="s">
        <v>712</v>
      </c>
      <c r="BD259" s="16" t="s">
        <v>311</v>
      </c>
      <c r="BE259" s="16" t="s">
        <v>311</v>
      </c>
      <c r="BF259" s="244" t="str">
        <f>T_BilanSocial2[[#This Row],[Nom]]&amp;T_BilanSocial2[[#This Row],[Prénom]]</f>
        <v/>
      </c>
    </row>
    <row r="260" spans="1:58" ht="21.75" hidden="1" customHeight="1" x14ac:dyDescent="0.25">
      <c r="A260" s="90">
        <v>104</v>
      </c>
      <c r="B260" s="126" t="s">
        <v>311</v>
      </c>
      <c r="C260" s="126" t="str">
        <f>VLOOKUP(T_BilanSocial2[[#This Row],[NumL]],T_Commission[#Data],COLUMN(T_Commission[FINAL]),FALSE)</f>
        <v/>
      </c>
      <c r="D260" s="19" t="str">
        <f t="shared" si="32"/>
        <v/>
      </c>
      <c r="E260" s="19" t="str">
        <f t="shared" si="33"/>
        <v/>
      </c>
      <c r="F260" s="242" t="str">
        <f>IFERROR(VLOOKUP(T_BilanSocial2[[#This Row],[Zone_Bilan]],T_P_BilanSocial[#Data],COLUMN(T_P_BilanSocial[[#This Row],[Numero_SIHAM]]),FALSE),"")</f>
        <v/>
      </c>
      <c r="G260" s="242" t="str">
        <f>IFERROR(VLOOKUP(T_BilanSocial2[[#This Row],[Zone_Bilan]],T_P_BilanSocial[#Data],COLUMN(T_P_BilanSocial[[#This Row],[Sexe]]),FALSE),"")</f>
        <v/>
      </c>
      <c r="H260" s="243" t="str">
        <f>IFERROR(VLOOKUP(T_BilanSocial2[[#This Row],[Zone_Bilan]],T_P_BilanSocial[#Data],COLUMN(T_P_BilanSocial[[#This Row],[Categorie]]),FALSE),"")</f>
        <v/>
      </c>
      <c r="I260" s="242" t="str">
        <f>IFERROR(VLOOKUP(T_BilanSocial2[[#This Row],[Zone_Bilan]],T_P_BilanSocial[#Data],COLUMN(T_P_BilanSocial[[#This Row],[Statut]]),FALSE),"")</f>
        <v/>
      </c>
      <c r="J260" s="242" t="str">
        <f>IFERROR(VLOOKUP(T_BilanSocial2[[#This Row],[Zone_Bilan]],T_P_BilanSocial[#Data],COLUMN(T_P_BilanSocial[[#This Row],[Filiere]]),FALSE),"")</f>
        <v/>
      </c>
      <c r="K260" s="78">
        <v>0.8</v>
      </c>
      <c r="L260" s="213">
        <v>1.2361111111111112</v>
      </c>
      <c r="M260" s="78" t="s">
        <v>210</v>
      </c>
      <c r="N260" s="79" t="str">
        <f>IF((AND(T_BilanSocial2[[#This Row],[Nom]]&lt;&gt;"",T_BilanSocial2[[#This Row],[Reg Ponct]]="R")),(COUNTIF(S260:AX260,"S")+COUNTIF(S260:AX260,"T"))/2,"")</f>
        <v/>
      </c>
      <c r="O260" s="79" t="str">
        <f>IF((AND(T_BilanSocial2[[#This Row],[Nom]]&lt;&gt;"",T_BilanSocial2[[#This Row],[Reg Ponct]]="R")),COUNTIF(S260:AX260,"S")/2,"")</f>
        <v/>
      </c>
      <c r="P260" s="80" t="str">
        <f>IF((AND(T_BilanSocial2[[#This Row],[Nom]]&lt;&gt;"",T_BilanSocial2[[#This Row],[Reg Ponct]]="R")),COUNTIF(S260:AX260,"t")/2,"")</f>
        <v/>
      </c>
      <c r="Q260" s="81" t="str">
        <f t="shared" si="34"/>
        <v/>
      </c>
      <c r="R260" s="82" t="str">
        <f>IF((AND(T_BilanSocial2[[#This Row],[Nom]]&lt;&gt;"",T_BilanSocial2[[#This Row],[Reg Ponct]]="R")),IF(S260="T",U260-T260,0)+IF(V260="T",X260-W260,0)+IF(Z260="T",AB260-AA260,0)+IF(AC260="T",AE260-AD260,0)+IF(AG260="T",AI260-AH260,0)+IF(AJ260="T",AL260-AK260,0)+IF(AN260="T",AP260-AO260,0)+IF(AQ260="T",AS260-AR260,0)+IF(AU260="T",AW260-AV260,0)+IF(AX260="T",AZ260-AY260,0),"")</f>
        <v/>
      </c>
      <c r="S260" s="36" t="s">
        <v>306</v>
      </c>
      <c r="T260" s="37">
        <v>0.33333333333333331</v>
      </c>
      <c r="U260" s="37">
        <v>0.52083333333333337</v>
      </c>
      <c r="V260" s="21" t="s">
        <v>306</v>
      </c>
      <c r="W260" s="37">
        <v>0.5625</v>
      </c>
      <c r="X260" s="37">
        <v>0.6875</v>
      </c>
      <c r="Y260" s="38" t="str">
        <f t="shared" si="35"/>
        <v/>
      </c>
      <c r="Z260" s="36" t="s">
        <v>306</v>
      </c>
      <c r="AA260" s="37">
        <v>0.3125</v>
      </c>
      <c r="AB260" s="37">
        <v>0.52083333333333337</v>
      </c>
      <c r="AC260" s="21" t="s">
        <v>306</v>
      </c>
      <c r="AD260" s="37">
        <v>0.5625</v>
      </c>
      <c r="AE260" s="37">
        <v>0.66319444444444442</v>
      </c>
      <c r="AF260" s="38" t="str">
        <f t="shared" si="36"/>
        <v/>
      </c>
      <c r="AG260" s="36" t="s">
        <v>308</v>
      </c>
      <c r="AH260" s="37"/>
      <c r="AI260" s="37"/>
      <c r="AJ260" s="21" t="s">
        <v>308</v>
      </c>
      <c r="AK260" s="37"/>
      <c r="AL260" s="37"/>
      <c r="AM260" s="38" t="str">
        <f t="shared" si="37"/>
        <v/>
      </c>
      <c r="AN260" s="36" t="s">
        <v>306</v>
      </c>
      <c r="AO260" s="37">
        <v>0.3125</v>
      </c>
      <c r="AP260" s="37">
        <v>0.52083333333333337</v>
      </c>
      <c r="AQ260" s="21" t="s">
        <v>306</v>
      </c>
      <c r="AR260" s="37">
        <v>0.5625</v>
      </c>
      <c r="AS260" s="37">
        <v>0.65625</v>
      </c>
      <c r="AT260" s="38" t="str">
        <f t="shared" si="38"/>
        <v/>
      </c>
      <c r="AU260" s="36" t="s">
        <v>307</v>
      </c>
      <c r="AV260" s="37">
        <v>0.33333333333333331</v>
      </c>
      <c r="AW260" s="37">
        <v>0.52083333333333337</v>
      </c>
      <c r="AX260" s="21" t="s">
        <v>307</v>
      </c>
      <c r="AY260" s="37">
        <v>0.5625</v>
      </c>
      <c r="AZ260" s="37">
        <v>0.6875</v>
      </c>
      <c r="BA260" s="39" t="str">
        <f t="shared" si="39"/>
        <v/>
      </c>
      <c r="BB260" s="46" t="s">
        <v>665</v>
      </c>
      <c r="BC260" s="31" t="s">
        <v>720</v>
      </c>
      <c r="BD260" s="16" t="s">
        <v>311</v>
      </c>
      <c r="BE260" s="16" t="s">
        <v>311</v>
      </c>
      <c r="BF260" s="244" t="str">
        <f>T_BilanSocial2[[#This Row],[Nom]]&amp;T_BilanSocial2[[#This Row],[Prénom]]</f>
        <v/>
      </c>
    </row>
    <row r="261" spans="1:58" ht="21.75" hidden="1" customHeight="1" x14ac:dyDescent="0.25">
      <c r="A261" s="90">
        <v>269</v>
      </c>
      <c r="B261" s="126" t="s">
        <v>311</v>
      </c>
      <c r="C261" s="126" t="str">
        <f>VLOOKUP(T_BilanSocial2[[#This Row],[NumL]],T_Commission[#Data],COLUMN(T_Commission[FINAL]),FALSE)</f>
        <v/>
      </c>
      <c r="D261" s="19" t="str">
        <f t="shared" si="32"/>
        <v/>
      </c>
      <c r="E261" s="19" t="str">
        <f t="shared" si="33"/>
        <v/>
      </c>
      <c r="F261" s="242" t="str">
        <f>IFERROR(VLOOKUP(T_BilanSocial2[[#This Row],[Zone_Bilan]],T_P_BilanSocial[#Data],COLUMN(T_P_BilanSocial[[#This Row],[Numero_SIHAM]]),FALSE),"")</f>
        <v/>
      </c>
      <c r="G261" s="242" t="str">
        <f>IFERROR(VLOOKUP(T_BilanSocial2[[#This Row],[Zone_Bilan]],T_P_BilanSocial[#Data],COLUMN(T_P_BilanSocial[[#This Row],[Sexe]]),FALSE),"")</f>
        <v/>
      </c>
      <c r="H261" s="243" t="str">
        <f>IFERROR(VLOOKUP(T_BilanSocial2[[#This Row],[Zone_Bilan]],T_P_BilanSocial[#Data],COLUMN(T_P_BilanSocial[[#This Row],[Categorie]]),FALSE),"")</f>
        <v/>
      </c>
      <c r="I261" s="242" t="str">
        <f>IFERROR(VLOOKUP(T_BilanSocial2[[#This Row],[Zone_Bilan]],T_P_BilanSocial[#Data],COLUMN(T_P_BilanSocial[[#This Row],[Statut]]),FALSE),"")</f>
        <v/>
      </c>
      <c r="J261" s="242" t="str">
        <f>IFERROR(VLOOKUP(T_BilanSocial2[[#This Row],[Zone_Bilan]],T_P_BilanSocial[#Data],COLUMN(T_P_BilanSocial[[#This Row],[Filiere]]),FALSE),"")</f>
        <v/>
      </c>
      <c r="K261" s="78">
        <v>1</v>
      </c>
      <c r="L261" s="213">
        <v>1.5451388888888891</v>
      </c>
      <c r="M261" s="78" t="s">
        <v>210</v>
      </c>
      <c r="N261" s="79" t="str">
        <f>IF((AND(T_BilanSocial2[[#This Row],[Nom]]&lt;&gt;"",T_BilanSocial2[[#This Row],[Reg Ponct]]="R")),(COUNTIF(S261:AX261,"S")+COUNTIF(S261:AX261,"T"))/2,"")</f>
        <v/>
      </c>
      <c r="O261" s="79" t="str">
        <f>IF((AND(T_BilanSocial2[[#This Row],[Nom]]&lt;&gt;"",T_BilanSocial2[[#This Row],[Reg Ponct]]="R")),COUNTIF(S261:AX261,"S")/2,"")</f>
        <v/>
      </c>
      <c r="P261" s="80" t="str">
        <f>IF((AND(T_BilanSocial2[[#This Row],[Nom]]&lt;&gt;"",T_BilanSocial2[[#This Row],[Reg Ponct]]="R")),COUNTIF(S261:AX261,"t")/2,"")</f>
        <v/>
      </c>
      <c r="Q261" s="81" t="str">
        <f t="shared" si="34"/>
        <v/>
      </c>
      <c r="R261" s="82" t="str">
        <f>IF((AND(T_BilanSocial2[[#This Row],[Nom]]&lt;&gt;"",T_BilanSocial2[[#This Row],[Reg Ponct]]="R")),IF(S261="T",U261-T261,0)+IF(V261="T",X261-W261,0)+IF(Z261="T",AB261-AA261,0)+IF(AC261="T",AE261-AD261,0)+IF(AG261="T",AI261-AH261,0)+IF(AJ261="T",AL261-AK261,0)+IF(AN261="T",AP261-AO261,0)+IF(AQ261="T",AS261-AR261,0)+IF(AU261="T",AW261-AV261,0)+IF(AX261="T",AZ261-AY261,0),"")</f>
        <v/>
      </c>
      <c r="S261" s="36" t="s">
        <v>306</v>
      </c>
      <c r="T261" s="37">
        <v>0.38541666666666669</v>
      </c>
      <c r="U261" s="37">
        <v>0.5</v>
      </c>
      <c r="V261" s="21" t="s">
        <v>306</v>
      </c>
      <c r="W261" s="37">
        <v>0.55208333333333337</v>
      </c>
      <c r="X261" s="37">
        <v>0.75</v>
      </c>
      <c r="Y261" s="38" t="str">
        <f t="shared" si="35"/>
        <v/>
      </c>
      <c r="Z261" s="36" t="s">
        <v>306</v>
      </c>
      <c r="AA261" s="37">
        <v>0.38541666666666669</v>
      </c>
      <c r="AB261" s="37">
        <v>0.5</v>
      </c>
      <c r="AC261" s="21" t="s">
        <v>306</v>
      </c>
      <c r="AD261" s="37">
        <v>0.55208333333333337</v>
      </c>
      <c r="AE261" s="37">
        <v>0.74305555555555547</v>
      </c>
      <c r="AF261" s="38" t="str">
        <f t="shared" si="36"/>
        <v/>
      </c>
      <c r="AG261" s="36" t="s">
        <v>307</v>
      </c>
      <c r="AH261" s="37">
        <v>0.36458333333333331</v>
      </c>
      <c r="AI261" s="37">
        <v>0.5</v>
      </c>
      <c r="AJ261" s="21" t="s">
        <v>307</v>
      </c>
      <c r="AK261" s="37">
        <v>0.54166666666666663</v>
      </c>
      <c r="AL261" s="37">
        <v>0.71875</v>
      </c>
      <c r="AM261" s="38" t="str">
        <f t="shared" si="37"/>
        <v/>
      </c>
      <c r="AN261" s="36" t="s">
        <v>306</v>
      </c>
      <c r="AO261" s="37">
        <v>0.38541666666666669</v>
      </c>
      <c r="AP261" s="37">
        <v>0.5</v>
      </c>
      <c r="AQ261" s="21" t="s">
        <v>306</v>
      </c>
      <c r="AR261" s="37">
        <v>0.55208333333333337</v>
      </c>
      <c r="AS261" s="37">
        <v>0.73958333333333337</v>
      </c>
      <c r="AT261" s="38" t="str">
        <f t="shared" si="38"/>
        <v/>
      </c>
      <c r="AU261" s="36" t="s">
        <v>307</v>
      </c>
      <c r="AV261" s="37">
        <v>0.36458333333333331</v>
      </c>
      <c r="AW261" s="37">
        <v>0.5</v>
      </c>
      <c r="AX261" s="21" t="s">
        <v>307</v>
      </c>
      <c r="AY261" s="37">
        <v>0.54166666666666663</v>
      </c>
      <c r="AZ261" s="37">
        <v>0.71875</v>
      </c>
      <c r="BA261" s="39" t="str">
        <f t="shared" si="39"/>
        <v/>
      </c>
      <c r="BB261" s="46" t="s">
        <v>665</v>
      </c>
      <c r="BC261" s="31" t="s">
        <v>720</v>
      </c>
      <c r="BD261" s="16" t="s">
        <v>311</v>
      </c>
      <c r="BE261" s="16" t="s">
        <v>311</v>
      </c>
      <c r="BF261" s="244" t="str">
        <f>T_BilanSocial2[[#This Row],[Nom]]&amp;T_BilanSocial2[[#This Row],[Prénom]]</f>
        <v/>
      </c>
    </row>
    <row r="262" spans="1:58" ht="21.75" customHeight="1" x14ac:dyDescent="0.25">
      <c r="A262" s="90">
        <v>249</v>
      </c>
      <c r="B262" s="126" t="s">
        <v>311</v>
      </c>
      <c r="C262" s="126" t="str">
        <f>VLOOKUP(T_BilanSocial2[[#This Row],[NumL]],T_Commission[#Data],COLUMN(T_Commission[FINAL]),FALSE)</f>
        <v/>
      </c>
      <c r="D262" s="19" t="str">
        <f t="shared" si="32"/>
        <v/>
      </c>
      <c r="E262" s="19" t="str">
        <f t="shared" si="33"/>
        <v/>
      </c>
      <c r="F262" s="242" t="str">
        <f>IFERROR(VLOOKUP(T_BilanSocial2[[#This Row],[Zone_Bilan]],T_P_BilanSocial[#Data],COLUMN(T_P_BilanSocial[[#This Row],[Numero_SIHAM]]),FALSE),"")</f>
        <v/>
      </c>
      <c r="G262" s="242" t="str">
        <f>IFERROR(VLOOKUP(T_BilanSocial2[[#This Row],[Zone_Bilan]],T_P_BilanSocial[#Data],COLUMN(T_P_BilanSocial[[#This Row],[Sexe]]),FALSE),"")</f>
        <v/>
      </c>
      <c r="H262" s="243" t="str">
        <f>IFERROR(VLOOKUP(T_BilanSocial2[[#This Row],[Zone_Bilan]],T_P_BilanSocial[#Data],COLUMN(T_P_BilanSocial[[#This Row],[Categorie]]),FALSE),"")</f>
        <v/>
      </c>
      <c r="I262" s="242" t="str">
        <f>IFERROR(VLOOKUP(T_BilanSocial2[[#This Row],[Zone_Bilan]],T_P_BilanSocial[#Data],COLUMN(T_P_BilanSocial[[#This Row],[Statut]]),FALSE),"")</f>
        <v/>
      </c>
      <c r="J262" s="242" t="str">
        <f>IFERROR(VLOOKUP(T_BilanSocial2[[#This Row],[Zone_Bilan]],T_P_BilanSocial[#Data],COLUMN(T_P_BilanSocial[[#This Row],[Filiere]]),FALSE),"")</f>
        <v/>
      </c>
      <c r="K262" s="78">
        <v>1</v>
      </c>
      <c r="L262" s="213">
        <v>1.5451388888888891</v>
      </c>
      <c r="M262" s="78" t="s">
        <v>211</v>
      </c>
      <c r="N262" s="79" t="str">
        <f>IF((AND(T_BilanSocial2[[#This Row],[Nom]]&lt;&gt;"",T_BilanSocial2[[#This Row],[Reg Ponct]]="R")),(COUNTIF(S262:AX262,"S")+COUNTIF(S262:AX262,"T"))/2,"")</f>
        <v/>
      </c>
      <c r="O262" s="79" t="str">
        <f>IF((AND(T_BilanSocial2[[#This Row],[Nom]]&lt;&gt;"",T_BilanSocial2[[#This Row],[Reg Ponct]]="R")),COUNTIF(S262:AX262,"S")/2,"")</f>
        <v/>
      </c>
      <c r="P262" s="80" t="str">
        <f>IF((AND(T_BilanSocial2[[#This Row],[Nom]]&lt;&gt;"",T_BilanSocial2[[#This Row],[Reg Ponct]]="R")),COUNTIF(S262:AX262,"t")/2,"")</f>
        <v/>
      </c>
      <c r="Q262" s="81" t="str">
        <f t="shared" si="34"/>
        <v/>
      </c>
      <c r="R262" s="82" t="str">
        <f>IF((AND(T_BilanSocial2[[#This Row],[Nom]]&lt;&gt;"",T_BilanSocial2[[#This Row],[Reg Ponct]]="R")),IF(S262="T",U262-T262,0)+IF(V262="T",X262-W262,0)+IF(Z262="T",AB262-AA262,0)+IF(AC262="T",AE262-AD262,0)+IF(AG262="T",AI262-AH262,0)+IF(AJ262="T",AL262-AK262,0)+IF(AN262="T",AP262-AO262,0)+IF(AQ262="T",AS262-AR262,0)+IF(AU262="T",AW262-AV262,0)+IF(AX262="T",AZ262-AY262,0),"")</f>
        <v/>
      </c>
      <c r="S262" s="36"/>
      <c r="T262" s="37"/>
      <c r="U262" s="37"/>
      <c r="V262" s="21"/>
      <c r="W262" s="37"/>
      <c r="X262" s="37"/>
      <c r="Y262" s="38" t="str">
        <f t="shared" si="35"/>
        <v/>
      </c>
      <c r="Z262" s="36"/>
      <c r="AA262" s="37"/>
      <c r="AB262" s="37"/>
      <c r="AC262" s="21"/>
      <c r="AD262" s="37"/>
      <c r="AE262" s="37"/>
      <c r="AF262" s="38" t="str">
        <f t="shared" si="36"/>
        <v/>
      </c>
      <c r="AG262" s="36"/>
      <c r="AH262" s="37"/>
      <c r="AI262" s="37"/>
      <c r="AJ262" s="21"/>
      <c r="AK262" s="37"/>
      <c r="AL262" s="37"/>
      <c r="AM262" s="38" t="str">
        <f t="shared" si="37"/>
        <v/>
      </c>
      <c r="AN262" s="36"/>
      <c r="AO262" s="37"/>
      <c r="AP262" s="37"/>
      <c r="AQ262" s="21"/>
      <c r="AR262" s="37"/>
      <c r="AS262" s="37"/>
      <c r="AT262" s="38" t="str">
        <f t="shared" si="38"/>
        <v/>
      </c>
      <c r="AU262" s="36"/>
      <c r="AV262" s="37"/>
      <c r="AW262" s="37"/>
      <c r="AX262" s="21"/>
      <c r="AY262" s="37"/>
      <c r="AZ262" s="37"/>
      <c r="BA262" s="39" t="str">
        <f t="shared" si="39"/>
        <v/>
      </c>
      <c r="BB262" s="46" t="s">
        <v>411</v>
      </c>
      <c r="BC262" s="31" t="s">
        <v>341</v>
      </c>
      <c r="BD262" s="16" t="s">
        <v>311</v>
      </c>
      <c r="BE262" s="16" t="s">
        <v>311</v>
      </c>
      <c r="BF262" s="244" t="str">
        <f>T_BilanSocial2[[#This Row],[Nom]]&amp;T_BilanSocial2[[#This Row],[Prénom]]</f>
        <v/>
      </c>
    </row>
    <row r="263" spans="1:58" ht="21.75" hidden="1" customHeight="1" x14ac:dyDescent="0.25">
      <c r="A263" s="90">
        <v>25</v>
      </c>
      <c r="B263" s="126" t="s">
        <v>210</v>
      </c>
      <c r="C263" s="126" t="str">
        <f>VLOOKUP(T_BilanSocial2[[#This Row],[NumL]],T_Commission[#Data],COLUMN(T_Commission[FINAL]),FALSE)</f>
        <v/>
      </c>
      <c r="D263" s="19" t="str">
        <f t="shared" si="32"/>
        <v/>
      </c>
      <c r="E263" s="19" t="str">
        <f t="shared" si="33"/>
        <v/>
      </c>
      <c r="F263" s="242" t="str">
        <f>IFERROR(VLOOKUP(T_BilanSocial2[[#This Row],[Zone_Bilan]],T_P_BilanSocial[#Data],COLUMN(T_P_BilanSocial[[#This Row],[Numero_SIHAM]]),FALSE),"")</f>
        <v/>
      </c>
      <c r="G263" s="242" t="str">
        <f>IFERROR(VLOOKUP(T_BilanSocial2[[#This Row],[Zone_Bilan]],T_P_BilanSocial[#Data],COLUMN(T_P_BilanSocial[[#This Row],[Sexe]]),FALSE),"")</f>
        <v/>
      </c>
      <c r="H263" s="243" t="str">
        <f>IFERROR(VLOOKUP(T_BilanSocial2[[#This Row],[Zone_Bilan]],T_P_BilanSocial[#Data],COLUMN(T_P_BilanSocial[[#This Row],[Categorie]]),FALSE),"")</f>
        <v/>
      </c>
      <c r="I263" s="242" t="str">
        <f>IFERROR(VLOOKUP(T_BilanSocial2[[#This Row],[Zone_Bilan]],T_P_BilanSocial[#Data],COLUMN(T_P_BilanSocial[[#This Row],[Statut]]),FALSE),"")</f>
        <v/>
      </c>
      <c r="J263" s="242" t="str">
        <f>IFERROR(VLOOKUP(T_BilanSocial2[[#This Row],[Zone_Bilan]],T_P_BilanSocial[#Data],COLUMN(T_P_BilanSocial[[#This Row],[Filiere]]),FALSE),"")</f>
        <v/>
      </c>
      <c r="K263" s="78">
        <v>1</v>
      </c>
      <c r="L263" s="213">
        <v>1.5451388888888891</v>
      </c>
      <c r="M263" s="78" t="s">
        <v>210</v>
      </c>
      <c r="N263" s="79" t="str">
        <f>IF((AND(T_BilanSocial2[[#This Row],[Nom]]&lt;&gt;"",T_BilanSocial2[[#This Row],[Reg Ponct]]="R")),(COUNTIF(S263:AX263,"S")+COUNTIF(S263:AX263,"T"))/2,"")</f>
        <v/>
      </c>
      <c r="O263" s="79" t="str">
        <f>IF((AND(T_BilanSocial2[[#This Row],[Nom]]&lt;&gt;"",T_BilanSocial2[[#This Row],[Reg Ponct]]="R")),COUNTIF(S263:AX263,"S")/2,"")</f>
        <v/>
      </c>
      <c r="P263" s="80" t="str">
        <f>IF((AND(T_BilanSocial2[[#This Row],[Nom]]&lt;&gt;"",T_BilanSocial2[[#This Row],[Reg Ponct]]="R")),COUNTIF(S263:AX263,"t")/2,"")</f>
        <v/>
      </c>
      <c r="Q263" s="81" t="str">
        <f t="shared" si="34"/>
        <v/>
      </c>
      <c r="R263" s="82" t="str">
        <f>IF((AND(T_BilanSocial2[[#This Row],[Nom]]&lt;&gt;"",T_BilanSocial2[[#This Row],[Reg Ponct]]="R")),IF(S263="T",U263-T263,0)+IF(V263="T",X263-W263,0)+IF(Z263="T",AB263-AA263,0)+IF(AC263="T",AE263-AD263,0)+IF(AG263="T",AI263-AH263,0)+IF(AJ263="T",AL263-AK263,0)+IF(AN263="T",AP263-AO263,0)+IF(AQ263="T",AS263-AR263,0)+IF(AU263="T",AW263-AV263,0)+IF(AX263="T",AZ263-AY263,0),"")</f>
        <v/>
      </c>
      <c r="S263" s="36" t="s">
        <v>306</v>
      </c>
      <c r="T263" s="37">
        <v>0.375</v>
      </c>
      <c r="U263" s="37">
        <v>0.54166666666666663</v>
      </c>
      <c r="V263" s="21" t="s">
        <v>306</v>
      </c>
      <c r="W263" s="37">
        <v>0.58333333333333337</v>
      </c>
      <c r="X263" s="37">
        <v>0.75</v>
      </c>
      <c r="Y263" s="38" t="str">
        <f t="shared" si="35"/>
        <v/>
      </c>
      <c r="Z263" s="36" t="s">
        <v>307</v>
      </c>
      <c r="AA263" s="37">
        <v>0.3125</v>
      </c>
      <c r="AB263" s="37">
        <v>0.5</v>
      </c>
      <c r="AC263" s="21" t="s">
        <v>307</v>
      </c>
      <c r="AD263" s="37">
        <v>0.54166666666666663</v>
      </c>
      <c r="AE263" s="37">
        <v>0.6875</v>
      </c>
      <c r="AF263" s="38" t="str">
        <f t="shared" si="36"/>
        <v/>
      </c>
      <c r="AG263" s="36" t="s">
        <v>307</v>
      </c>
      <c r="AH263" s="37">
        <v>0.3125</v>
      </c>
      <c r="AI263" s="37">
        <v>0.5</v>
      </c>
      <c r="AJ263" s="21" t="s">
        <v>308</v>
      </c>
      <c r="AK263" s="37"/>
      <c r="AL263" s="37"/>
      <c r="AM263" s="38" t="str">
        <f t="shared" si="37"/>
        <v/>
      </c>
      <c r="AN263" s="36" t="s">
        <v>306</v>
      </c>
      <c r="AO263" s="37">
        <v>0.3125</v>
      </c>
      <c r="AP263" s="37">
        <v>0.5</v>
      </c>
      <c r="AQ263" s="21" t="s">
        <v>306</v>
      </c>
      <c r="AR263" s="37">
        <v>0.54166666666666663</v>
      </c>
      <c r="AS263" s="37">
        <v>0.70833333333333337</v>
      </c>
      <c r="AT263" s="38" t="str">
        <f t="shared" si="38"/>
        <v/>
      </c>
      <c r="AU263" s="36" t="s">
        <v>306</v>
      </c>
      <c r="AV263" s="37">
        <v>0.3125</v>
      </c>
      <c r="AW263" s="37">
        <v>0.5</v>
      </c>
      <c r="AX263" s="21" t="s">
        <v>306</v>
      </c>
      <c r="AY263" s="37">
        <v>0.54166666666666663</v>
      </c>
      <c r="AZ263" s="37">
        <v>0.69097222222222221</v>
      </c>
      <c r="BA263" s="39" t="str">
        <f t="shared" si="39"/>
        <v/>
      </c>
      <c r="BB263" s="46" t="s">
        <v>443</v>
      </c>
      <c r="BC263" s="31" t="s">
        <v>444</v>
      </c>
      <c r="BD263" s="16" t="s">
        <v>311</v>
      </c>
      <c r="BE263" s="16" t="s">
        <v>311</v>
      </c>
      <c r="BF263" s="244" t="str">
        <f>T_BilanSocial2[[#This Row],[Nom]]&amp;T_BilanSocial2[[#This Row],[Prénom]]</f>
        <v/>
      </c>
    </row>
    <row r="264" spans="1:58" ht="21.75" hidden="1" customHeight="1" x14ac:dyDescent="0.25">
      <c r="A264" s="90">
        <v>180</v>
      </c>
      <c r="B264" s="126" t="s">
        <v>311</v>
      </c>
      <c r="C264" s="126" t="str">
        <f>VLOOKUP(T_BilanSocial2[[#This Row],[NumL]],T_Commission[#Data],COLUMN(T_Commission[FINAL]),FALSE)</f>
        <v/>
      </c>
      <c r="D264" s="19" t="str">
        <f t="shared" si="32"/>
        <v/>
      </c>
      <c r="E264" s="19" t="str">
        <f t="shared" si="33"/>
        <v/>
      </c>
      <c r="F264" s="242" t="str">
        <f>IFERROR(VLOOKUP(T_BilanSocial2[[#This Row],[Zone_Bilan]],T_P_BilanSocial[#Data],COLUMN(T_P_BilanSocial[[#This Row],[Numero_SIHAM]]),FALSE),"")</f>
        <v/>
      </c>
      <c r="G264" s="242" t="str">
        <f>IFERROR(VLOOKUP(T_BilanSocial2[[#This Row],[Zone_Bilan]],T_P_BilanSocial[#Data],COLUMN(T_P_BilanSocial[[#This Row],[Sexe]]),FALSE),"")</f>
        <v/>
      </c>
      <c r="H264" s="243" t="str">
        <f>IFERROR(VLOOKUP(T_BilanSocial2[[#This Row],[Zone_Bilan]],T_P_BilanSocial[#Data],COLUMN(T_P_BilanSocial[[#This Row],[Categorie]]),FALSE),"")</f>
        <v/>
      </c>
      <c r="I264" s="242" t="str">
        <f>IFERROR(VLOOKUP(T_BilanSocial2[[#This Row],[Zone_Bilan]],T_P_BilanSocial[#Data],COLUMN(T_P_BilanSocial[[#This Row],[Statut]]),FALSE),"")</f>
        <v/>
      </c>
      <c r="J264" s="242" t="str">
        <f>IFERROR(VLOOKUP(T_BilanSocial2[[#This Row],[Zone_Bilan]],T_P_BilanSocial[#Data],COLUMN(T_P_BilanSocial[[#This Row],[Filiere]]),FALSE),"")</f>
        <v/>
      </c>
      <c r="K264" s="78">
        <v>0.8</v>
      </c>
      <c r="L264" s="213">
        <v>1.2361111111111112</v>
      </c>
      <c r="M264" s="78" t="s">
        <v>210</v>
      </c>
      <c r="N264" s="79" t="str">
        <f>IF((AND(T_BilanSocial2[[#This Row],[Nom]]&lt;&gt;"",T_BilanSocial2[[#This Row],[Reg Ponct]]="R")),(COUNTIF(S264:AX264,"S")+COUNTIF(S264:AX264,"T"))/2,"")</f>
        <v/>
      </c>
      <c r="O264" s="79" t="str">
        <f>IF((AND(T_BilanSocial2[[#This Row],[Nom]]&lt;&gt;"",T_BilanSocial2[[#This Row],[Reg Ponct]]="R")),COUNTIF(S264:AX264,"S")/2,"")</f>
        <v/>
      </c>
      <c r="P264" s="80" t="str">
        <f>IF((AND(T_BilanSocial2[[#This Row],[Nom]]&lt;&gt;"",T_BilanSocial2[[#This Row],[Reg Ponct]]="R")),COUNTIF(S264:AX264,"t")/2,"")</f>
        <v/>
      </c>
      <c r="Q264" s="81" t="str">
        <f t="shared" si="34"/>
        <v/>
      </c>
      <c r="R264" s="82" t="str">
        <f>IF((AND(T_BilanSocial2[[#This Row],[Nom]]&lt;&gt;"",T_BilanSocial2[[#This Row],[Reg Ponct]]="R")),IF(S264="T",U264-T264,0)+IF(V264="T",X264-W264,0)+IF(Z264="T",AB264-AA264,0)+IF(AC264="T",AE264-AD264,0)+IF(AG264="T",AI264-AH264,0)+IF(AJ264="T",AL264-AK264,0)+IF(AN264="T",AP264-AO264,0)+IF(AQ264="T",AS264-AR264,0)+IF(AU264="T",AW264-AV264,0)+IF(AX264="T",AZ264-AY264,0),"")</f>
        <v/>
      </c>
      <c r="S264" s="36" t="s">
        <v>306</v>
      </c>
      <c r="T264" s="37">
        <v>0.3125</v>
      </c>
      <c r="U264" s="37">
        <v>0.51041666666666663</v>
      </c>
      <c r="V264" s="21" t="s">
        <v>306</v>
      </c>
      <c r="W264" s="37">
        <v>0.55208333333333337</v>
      </c>
      <c r="X264" s="37">
        <v>0.67013888888888884</v>
      </c>
      <c r="Y264" s="38" t="str">
        <f t="shared" si="35"/>
        <v/>
      </c>
      <c r="Z264" s="36" t="s">
        <v>307</v>
      </c>
      <c r="AA264" s="37">
        <v>0.3125</v>
      </c>
      <c r="AB264" s="37">
        <v>0.51041666666666663</v>
      </c>
      <c r="AC264" s="21" t="s">
        <v>307</v>
      </c>
      <c r="AD264" s="37">
        <v>0.55208333333333337</v>
      </c>
      <c r="AE264" s="37">
        <v>0.67013888888888884</v>
      </c>
      <c r="AF264" s="38" t="str">
        <f t="shared" si="36"/>
        <v/>
      </c>
      <c r="AG264" s="36" t="s">
        <v>308</v>
      </c>
      <c r="AH264" s="37"/>
      <c r="AI264" s="37"/>
      <c r="AJ264" s="21" t="s">
        <v>308</v>
      </c>
      <c r="AK264" s="37"/>
      <c r="AL264" s="37"/>
      <c r="AM264" s="38" t="str">
        <f t="shared" si="37"/>
        <v/>
      </c>
      <c r="AN264" s="36" t="s">
        <v>306</v>
      </c>
      <c r="AO264" s="37">
        <v>0.3125</v>
      </c>
      <c r="AP264" s="37">
        <v>0.51041666666666663</v>
      </c>
      <c r="AQ264" s="21" t="s">
        <v>306</v>
      </c>
      <c r="AR264" s="37">
        <v>0.55208333333333337</v>
      </c>
      <c r="AS264" s="37">
        <v>0.67013888888888884</v>
      </c>
      <c r="AT264" s="38" t="str">
        <f t="shared" si="38"/>
        <v/>
      </c>
      <c r="AU264" s="36" t="s">
        <v>306</v>
      </c>
      <c r="AV264" s="37">
        <v>0.3125</v>
      </c>
      <c r="AW264" s="37">
        <v>0.5</v>
      </c>
      <c r="AX264" s="21" t="s">
        <v>306</v>
      </c>
      <c r="AY264" s="37">
        <v>0.54166666666666663</v>
      </c>
      <c r="AZ264" s="37">
        <v>0.64236111111111105</v>
      </c>
      <c r="BA264" s="39" t="str">
        <f t="shared" si="39"/>
        <v/>
      </c>
      <c r="BB264" s="46" t="s">
        <v>930</v>
      </c>
      <c r="BC264" s="31" t="s">
        <v>931</v>
      </c>
      <c r="BD264" s="16" t="s">
        <v>311</v>
      </c>
      <c r="BE264" s="16" t="s">
        <v>311</v>
      </c>
      <c r="BF264" s="244" t="str">
        <f>T_BilanSocial2[[#This Row],[Nom]]&amp;T_BilanSocial2[[#This Row],[Prénom]]</f>
        <v/>
      </c>
    </row>
    <row r="265" spans="1:58" ht="21.75" hidden="1" customHeight="1" x14ac:dyDescent="0.25">
      <c r="A265" s="90">
        <v>117</v>
      </c>
      <c r="B265" s="126" t="s">
        <v>311</v>
      </c>
      <c r="C265" s="126" t="str">
        <f>VLOOKUP(T_BilanSocial2[[#This Row],[NumL]],T_Commission[#Data],COLUMN(T_Commission[FINAL]),FALSE)</f>
        <v/>
      </c>
      <c r="D265" s="19" t="str">
        <f t="shared" si="32"/>
        <v/>
      </c>
      <c r="E265" s="19" t="str">
        <f t="shared" si="33"/>
        <v/>
      </c>
      <c r="F265" s="242" t="str">
        <f>IFERROR(VLOOKUP(T_BilanSocial2[[#This Row],[Zone_Bilan]],T_P_BilanSocial[#Data],COLUMN(T_P_BilanSocial[[#This Row],[Numero_SIHAM]]),FALSE),"")</f>
        <v/>
      </c>
      <c r="G265" s="242" t="str">
        <f>IFERROR(VLOOKUP(T_BilanSocial2[[#This Row],[Zone_Bilan]],T_P_BilanSocial[#Data],COLUMN(T_P_BilanSocial[[#This Row],[Sexe]]),FALSE),"")</f>
        <v/>
      </c>
      <c r="H265" s="243" t="str">
        <f>IFERROR(VLOOKUP(T_BilanSocial2[[#This Row],[Zone_Bilan]],T_P_BilanSocial[#Data],COLUMN(T_P_BilanSocial[[#This Row],[Categorie]]),FALSE),"")</f>
        <v/>
      </c>
      <c r="I265" s="242" t="str">
        <f>IFERROR(VLOOKUP(T_BilanSocial2[[#This Row],[Zone_Bilan]],T_P_BilanSocial[#Data],COLUMN(T_P_BilanSocial[[#This Row],[Statut]]),FALSE),"")</f>
        <v/>
      </c>
      <c r="J265" s="242" t="str">
        <f>IFERROR(VLOOKUP(T_BilanSocial2[[#This Row],[Zone_Bilan]],T_P_BilanSocial[#Data],COLUMN(T_P_BilanSocial[[#This Row],[Filiere]]),FALSE),"")</f>
        <v/>
      </c>
      <c r="K265" s="78">
        <v>1</v>
      </c>
      <c r="L265" s="213">
        <v>1.5451388888888891</v>
      </c>
      <c r="M265" s="78" t="s">
        <v>210</v>
      </c>
      <c r="N265" s="79" t="str">
        <f>IF((AND(T_BilanSocial2[[#This Row],[Nom]]&lt;&gt;"",T_BilanSocial2[[#This Row],[Reg Ponct]]="R")),(COUNTIF(S265:AX265,"S")+COUNTIF(S265:AX265,"T"))/2,"")</f>
        <v/>
      </c>
      <c r="O265" s="79" t="str">
        <f>IF((AND(T_BilanSocial2[[#This Row],[Nom]]&lt;&gt;"",T_BilanSocial2[[#This Row],[Reg Ponct]]="R")),COUNTIF(S265:AX265,"S")/2,"")</f>
        <v/>
      </c>
      <c r="P265" s="80" t="str">
        <f>IF((AND(T_BilanSocial2[[#This Row],[Nom]]&lt;&gt;"",T_BilanSocial2[[#This Row],[Reg Ponct]]="R")),COUNTIF(S265:AX265,"t")/2,"")</f>
        <v/>
      </c>
      <c r="Q265" s="81" t="str">
        <f t="shared" si="34"/>
        <v/>
      </c>
      <c r="R265" s="82" t="str">
        <f>IF((AND(T_BilanSocial2[[#This Row],[Nom]]&lt;&gt;"",T_BilanSocial2[[#This Row],[Reg Ponct]]="R")),IF(S265="T",U265-T265,0)+IF(V265="T",X265-W265,0)+IF(Z265="T",AB265-AA265,0)+IF(AC265="T",AE265-AD265,0)+IF(AG265="T",AI265-AH265,0)+IF(AJ265="T",AL265-AK265,0)+IF(AN265="T",AP265-AO265,0)+IF(AQ265="T",AS265-AR265,0)+IF(AU265="T",AW265-AV265,0)+IF(AX265="T",AZ265-AY265,0),"")</f>
        <v/>
      </c>
      <c r="S265" s="36" t="s">
        <v>306</v>
      </c>
      <c r="T265" s="37">
        <v>0.32291666666666669</v>
      </c>
      <c r="U265" s="37">
        <v>0.52083333333333337</v>
      </c>
      <c r="V265" s="21" t="s">
        <v>306</v>
      </c>
      <c r="W265" s="37">
        <v>0.5625</v>
      </c>
      <c r="X265" s="37">
        <v>0.72916666666666663</v>
      </c>
      <c r="Y265" s="38" t="str">
        <f t="shared" si="35"/>
        <v/>
      </c>
      <c r="Z265" s="36" t="s">
        <v>307</v>
      </c>
      <c r="AA265" s="37">
        <v>0.35069444444444442</v>
      </c>
      <c r="AB265" s="37">
        <v>0.52083333333333337</v>
      </c>
      <c r="AC265" s="21" t="s">
        <v>307</v>
      </c>
      <c r="AD265" s="37">
        <v>0.5625</v>
      </c>
      <c r="AE265" s="37">
        <v>0.70833333333333337</v>
      </c>
      <c r="AF265" s="38" t="str">
        <f t="shared" si="36"/>
        <v/>
      </c>
      <c r="AG265" s="36" t="s">
        <v>306</v>
      </c>
      <c r="AH265" s="37">
        <v>0.35069444444444442</v>
      </c>
      <c r="AI265" s="37">
        <v>0.52083333333333337</v>
      </c>
      <c r="AJ265" s="21" t="s">
        <v>306</v>
      </c>
      <c r="AK265" s="37">
        <v>0.5625</v>
      </c>
      <c r="AL265" s="37">
        <v>0.66666666666666663</v>
      </c>
      <c r="AM265" s="38" t="str">
        <f t="shared" si="37"/>
        <v/>
      </c>
      <c r="AN265" s="36" t="s">
        <v>306</v>
      </c>
      <c r="AO265" s="37">
        <v>0.35069444444444442</v>
      </c>
      <c r="AP265" s="37">
        <v>0.52083333333333337</v>
      </c>
      <c r="AQ265" s="21" t="s">
        <v>306</v>
      </c>
      <c r="AR265" s="37">
        <v>0.5625</v>
      </c>
      <c r="AS265" s="37">
        <v>0.70833333333333337</v>
      </c>
      <c r="AT265" s="38" t="str">
        <f t="shared" si="38"/>
        <v/>
      </c>
      <c r="AU265" s="36" t="s">
        <v>306</v>
      </c>
      <c r="AV265" s="37">
        <v>0.35069444444444442</v>
      </c>
      <c r="AW265" s="37">
        <v>0.52083333333333337</v>
      </c>
      <c r="AX265" s="21" t="s">
        <v>306</v>
      </c>
      <c r="AY265" s="37">
        <v>0.5625</v>
      </c>
      <c r="AZ265" s="37">
        <v>0.66666666666666663</v>
      </c>
      <c r="BA265" s="39" t="str">
        <f t="shared" si="39"/>
        <v/>
      </c>
      <c r="BB265" s="46" t="s">
        <v>535</v>
      </c>
      <c r="BC265" s="31" t="s">
        <v>536</v>
      </c>
      <c r="BD265" s="16" t="s">
        <v>311</v>
      </c>
      <c r="BE265" s="16" t="s">
        <v>311</v>
      </c>
      <c r="BF265" s="244" t="str">
        <f>T_BilanSocial2[[#This Row],[Nom]]&amp;T_BilanSocial2[[#This Row],[Prénom]]</f>
        <v/>
      </c>
    </row>
    <row r="266" spans="1:58" ht="21.75" hidden="1" customHeight="1" x14ac:dyDescent="0.25">
      <c r="A266" s="90">
        <v>253</v>
      </c>
      <c r="B266" s="126" t="s">
        <v>311</v>
      </c>
      <c r="C266" s="126" t="str">
        <f>VLOOKUP(T_BilanSocial2[[#This Row],[NumL]],T_Commission[#Data],COLUMN(T_Commission[FINAL]),FALSE)</f>
        <v/>
      </c>
      <c r="D266" s="19" t="str">
        <f t="shared" si="32"/>
        <v/>
      </c>
      <c r="E266" s="19" t="str">
        <f t="shared" si="33"/>
        <v/>
      </c>
      <c r="F266" s="242" t="str">
        <f>IFERROR(VLOOKUP(T_BilanSocial2[[#This Row],[Zone_Bilan]],T_P_BilanSocial[#Data],COLUMN(T_P_BilanSocial[[#This Row],[Numero_SIHAM]]),FALSE),"")</f>
        <v/>
      </c>
      <c r="G266" s="242" t="str">
        <f>IFERROR(VLOOKUP(T_BilanSocial2[[#This Row],[Zone_Bilan]],T_P_BilanSocial[#Data],COLUMN(T_P_BilanSocial[[#This Row],[Sexe]]),FALSE),"")</f>
        <v/>
      </c>
      <c r="H266" s="243" t="str">
        <f>IFERROR(VLOOKUP(T_BilanSocial2[[#This Row],[Zone_Bilan]],T_P_BilanSocial[#Data],COLUMN(T_P_BilanSocial[[#This Row],[Categorie]]),FALSE),"")</f>
        <v/>
      </c>
      <c r="I266" s="242" t="str">
        <f>IFERROR(VLOOKUP(T_BilanSocial2[[#This Row],[Zone_Bilan]],T_P_BilanSocial[#Data],COLUMN(T_P_BilanSocial[[#This Row],[Statut]]),FALSE),"")</f>
        <v/>
      </c>
      <c r="J266" s="242" t="str">
        <f>IFERROR(VLOOKUP(T_BilanSocial2[[#This Row],[Zone_Bilan]],T_P_BilanSocial[#Data],COLUMN(T_P_BilanSocial[[#This Row],[Filiere]]),FALSE),"")</f>
        <v/>
      </c>
      <c r="K266" s="78">
        <v>1</v>
      </c>
      <c r="L266" s="213">
        <v>1.5451388888888891</v>
      </c>
      <c r="M266" s="78" t="s">
        <v>210</v>
      </c>
      <c r="N266" s="79" t="str">
        <f>IF((AND(T_BilanSocial2[[#This Row],[Nom]]&lt;&gt;"",T_BilanSocial2[[#This Row],[Reg Ponct]]="R")),(COUNTIF(S266:AX266,"S")+COUNTIF(S266:AX266,"T"))/2,"")</f>
        <v/>
      </c>
      <c r="O266" s="79" t="str">
        <f>IF((AND(T_BilanSocial2[[#This Row],[Nom]]&lt;&gt;"",T_BilanSocial2[[#This Row],[Reg Ponct]]="R")),COUNTIF(S266:AX266,"S")/2,"")</f>
        <v/>
      </c>
      <c r="P266" s="80" t="str">
        <f>IF((AND(T_BilanSocial2[[#This Row],[Nom]]&lt;&gt;"",T_BilanSocial2[[#This Row],[Reg Ponct]]="R")),COUNTIF(S266:AX266,"t")/2,"")</f>
        <v/>
      </c>
      <c r="Q266" s="81" t="str">
        <f t="shared" si="34"/>
        <v/>
      </c>
      <c r="R266" s="82" t="str">
        <f>IF((AND(T_BilanSocial2[[#This Row],[Nom]]&lt;&gt;"",T_BilanSocial2[[#This Row],[Reg Ponct]]="R")),IF(S266="T",U266-T266,0)+IF(V266="T",X266-W266,0)+IF(Z266="T",AB266-AA266,0)+IF(AC266="T",AE266-AD266,0)+IF(AG266="T",AI266-AH266,0)+IF(AJ266="T",AL266-AK266,0)+IF(AN266="T",AP266-AO266,0)+IF(AQ266="T",AS266-AR266,0)+IF(AU266="T",AW266-AV266,0)+IF(AX266="T",AZ266-AY266,0),"")</f>
        <v/>
      </c>
      <c r="S266" s="36" t="s">
        <v>306</v>
      </c>
      <c r="T266" s="37">
        <v>0.31944444444444448</v>
      </c>
      <c r="U266" s="37">
        <v>0.52083333333333337</v>
      </c>
      <c r="V266" s="21" t="s">
        <v>306</v>
      </c>
      <c r="W266" s="37">
        <v>0.5625</v>
      </c>
      <c r="X266" s="37">
        <v>0.70833333333333337</v>
      </c>
      <c r="Y266" s="38" t="str">
        <f t="shared" si="35"/>
        <v/>
      </c>
      <c r="Z266" s="36" t="s">
        <v>307</v>
      </c>
      <c r="AA266" s="37">
        <v>0.31944444444444448</v>
      </c>
      <c r="AB266" s="37">
        <v>0.5</v>
      </c>
      <c r="AC266" s="21" t="s">
        <v>307</v>
      </c>
      <c r="AD266" s="37">
        <v>0.54166666666666663</v>
      </c>
      <c r="AE266" s="37">
        <v>0.70833333333333337</v>
      </c>
      <c r="AF266" s="38" t="str">
        <f t="shared" si="36"/>
        <v/>
      </c>
      <c r="AG266" s="36" t="s">
        <v>306</v>
      </c>
      <c r="AH266" s="37">
        <v>0.31944444444444448</v>
      </c>
      <c r="AI266" s="37">
        <v>0.52083333333333337</v>
      </c>
      <c r="AJ266" s="21" t="s">
        <v>306</v>
      </c>
      <c r="AK266" s="37">
        <v>0.5625</v>
      </c>
      <c r="AL266" s="37">
        <v>0.70833333333333337</v>
      </c>
      <c r="AM266" s="38" t="str">
        <f t="shared" si="37"/>
        <v/>
      </c>
      <c r="AN266" s="36" t="s">
        <v>307</v>
      </c>
      <c r="AO266" s="37">
        <v>0.31944444444444448</v>
      </c>
      <c r="AP266" s="37">
        <v>0.50694444444444442</v>
      </c>
      <c r="AQ266" s="21" t="s">
        <v>308</v>
      </c>
      <c r="AR266" s="37"/>
      <c r="AS266" s="37"/>
      <c r="AT266" s="38" t="str">
        <f t="shared" si="38"/>
        <v/>
      </c>
      <c r="AU266" s="36" t="s">
        <v>306</v>
      </c>
      <c r="AV266" s="37">
        <v>0.3125</v>
      </c>
      <c r="AW266" s="37">
        <v>0.52083333333333337</v>
      </c>
      <c r="AX266" s="21" t="s">
        <v>306</v>
      </c>
      <c r="AY266" s="37">
        <v>0.5625</v>
      </c>
      <c r="AZ266" s="37">
        <v>0.67013888888888884</v>
      </c>
      <c r="BA266" s="39" t="str">
        <f t="shared" si="39"/>
        <v/>
      </c>
      <c r="BB266" s="46" t="s">
        <v>611</v>
      </c>
      <c r="BC266" s="31" t="s">
        <v>341</v>
      </c>
      <c r="BD266" s="16" t="s">
        <v>311</v>
      </c>
      <c r="BE266" s="16" t="s">
        <v>311</v>
      </c>
      <c r="BF266" s="244" t="str">
        <f>T_BilanSocial2[[#This Row],[Nom]]&amp;T_BilanSocial2[[#This Row],[Prénom]]</f>
        <v/>
      </c>
    </row>
    <row r="267" spans="1:58" ht="21.75" customHeight="1" x14ac:dyDescent="0.25">
      <c r="A267" s="90">
        <v>30</v>
      </c>
      <c r="B267" s="126" t="s">
        <v>210</v>
      </c>
      <c r="C267" s="126" t="str">
        <f>VLOOKUP(T_BilanSocial2[[#This Row],[NumL]],T_Commission[#Data],COLUMN(T_Commission[FINAL]),FALSE)</f>
        <v/>
      </c>
      <c r="D267" s="19" t="str">
        <f t="shared" si="32"/>
        <v/>
      </c>
      <c r="E267" s="19" t="str">
        <f t="shared" si="33"/>
        <v/>
      </c>
      <c r="F267" s="242" t="str">
        <f>IFERROR(VLOOKUP(T_BilanSocial2[[#This Row],[Zone_Bilan]],T_P_BilanSocial[#Data],COLUMN(T_P_BilanSocial[[#This Row],[Numero_SIHAM]]),FALSE),"")</f>
        <v/>
      </c>
      <c r="G267" s="242" t="str">
        <f>IFERROR(VLOOKUP(T_BilanSocial2[[#This Row],[Zone_Bilan]],T_P_BilanSocial[#Data],COLUMN(T_P_BilanSocial[[#This Row],[Sexe]]),FALSE),"")</f>
        <v/>
      </c>
      <c r="H267" s="243" t="str">
        <f>IFERROR(VLOOKUP(T_BilanSocial2[[#This Row],[Zone_Bilan]],T_P_BilanSocial[#Data],COLUMN(T_P_BilanSocial[[#This Row],[Categorie]]),FALSE),"")</f>
        <v/>
      </c>
      <c r="I267" s="242" t="str">
        <f>IFERROR(VLOOKUP(T_BilanSocial2[[#This Row],[Zone_Bilan]],T_P_BilanSocial[#Data],COLUMN(T_P_BilanSocial[[#This Row],[Statut]]),FALSE),"")</f>
        <v/>
      </c>
      <c r="J267" s="242" t="str">
        <f>IFERROR(VLOOKUP(T_BilanSocial2[[#This Row],[Zone_Bilan]],T_P_BilanSocial[#Data],COLUMN(T_P_BilanSocial[[#This Row],[Filiere]]),FALSE),"")</f>
        <v/>
      </c>
      <c r="K267" s="78">
        <v>1</v>
      </c>
      <c r="L267" s="213">
        <v>1.5451388888888891</v>
      </c>
      <c r="M267" s="78" t="s">
        <v>210</v>
      </c>
      <c r="N267" s="79" t="str">
        <f>IF((AND(T_BilanSocial2[[#This Row],[Nom]]&lt;&gt;"",T_BilanSocial2[[#This Row],[Reg Ponct]]="R")),(COUNTIF(S267:AX267,"S")+COUNTIF(S267:AX267,"T"))/2,"")</f>
        <v/>
      </c>
      <c r="O267" s="79" t="str">
        <f>IF((AND(T_BilanSocial2[[#This Row],[Nom]]&lt;&gt;"",T_BilanSocial2[[#This Row],[Reg Ponct]]="R")),COUNTIF(S267:AX267,"S")/2,"")</f>
        <v/>
      </c>
      <c r="P267" s="80" t="str">
        <f>IF((AND(T_BilanSocial2[[#This Row],[Nom]]&lt;&gt;"",T_BilanSocial2[[#This Row],[Reg Ponct]]="R")),COUNTIF(S267:AX267,"t")/2,"")</f>
        <v/>
      </c>
      <c r="Q267" s="81" t="str">
        <f t="shared" si="34"/>
        <v/>
      </c>
      <c r="R267" s="82" t="str">
        <f>IF((AND(T_BilanSocial2[[#This Row],[Nom]]&lt;&gt;"",T_BilanSocial2[[#This Row],[Reg Ponct]]="R")),IF(S267="T",U267-T267,0)+IF(V267="T",X267-W267,0)+IF(Z267="T",AB267-AA267,0)+IF(AC267="T",AE267-AD267,0)+IF(AG267="T",AI267-AH267,0)+IF(AJ267="T",AL267-AK267,0)+IF(AN267="T",AP267-AO267,0)+IF(AQ267="T",AS267-AR267,0)+IF(AU267="T",AW267-AV267,0)+IF(AX267="T",AZ267-AY267,0),"")</f>
        <v/>
      </c>
      <c r="S267" s="36" t="s">
        <v>306</v>
      </c>
      <c r="T267" s="37">
        <v>0.35416666666666669</v>
      </c>
      <c r="U267" s="37">
        <v>0.52083333333333337</v>
      </c>
      <c r="V267" s="21" t="s">
        <v>306</v>
      </c>
      <c r="W267" s="37">
        <v>0.5625</v>
      </c>
      <c r="X267" s="37">
        <v>0.70486111111111116</v>
      </c>
      <c r="Y267" s="38" t="str">
        <f t="shared" si="35"/>
        <v/>
      </c>
      <c r="Z267" s="36" t="s">
        <v>307</v>
      </c>
      <c r="AA267" s="37">
        <v>0.35416666666666669</v>
      </c>
      <c r="AB267" s="37">
        <v>0.52083333333333337</v>
      </c>
      <c r="AC267" s="21" t="s">
        <v>307</v>
      </c>
      <c r="AD267" s="37">
        <v>0.5625</v>
      </c>
      <c r="AE267" s="37">
        <v>0.70486111111111116</v>
      </c>
      <c r="AF267" s="38" t="str">
        <f t="shared" si="36"/>
        <v/>
      </c>
      <c r="AG267" s="36" t="s">
        <v>306</v>
      </c>
      <c r="AH267" s="37">
        <v>0.35416666666666669</v>
      </c>
      <c r="AI267" s="37">
        <v>0.52083333333333337</v>
      </c>
      <c r="AJ267" s="21" t="s">
        <v>306</v>
      </c>
      <c r="AK267" s="37">
        <v>0.5625</v>
      </c>
      <c r="AL267" s="37">
        <v>0.70486111111111116</v>
      </c>
      <c r="AM267" s="38" t="str">
        <f t="shared" si="37"/>
        <v/>
      </c>
      <c r="AN267" s="36" t="s">
        <v>306</v>
      </c>
      <c r="AO267" s="37">
        <v>0.35416666666666669</v>
      </c>
      <c r="AP267" s="37">
        <v>0.52083333333333337</v>
      </c>
      <c r="AQ267" s="21" t="s">
        <v>306</v>
      </c>
      <c r="AR267" s="37">
        <v>0.5625</v>
      </c>
      <c r="AS267" s="37">
        <v>0.70486111111111116</v>
      </c>
      <c r="AT267" s="38" t="str">
        <f t="shared" si="38"/>
        <v/>
      </c>
      <c r="AU267" s="36" t="s">
        <v>307</v>
      </c>
      <c r="AV267" s="37">
        <v>0.35416666666666669</v>
      </c>
      <c r="AW267" s="37">
        <v>0.52083333333333337</v>
      </c>
      <c r="AX267" s="21" t="s">
        <v>307</v>
      </c>
      <c r="AY267" s="37">
        <v>0.5625</v>
      </c>
      <c r="AZ267" s="37">
        <v>0.70486111111111116</v>
      </c>
      <c r="BA267" s="39" t="str">
        <f t="shared" si="39"/>
        <v/>
      </c>
      <c r="BB267" s="46" t="s">
        <v>477</v>
      </c>
      <c r="BC267" s="31" t="s">
        <v>478</v>
      </c>
      <c r="BD267" s="16" t="s">
        <v>311</v>
      </c>
      <c r="BE267" s="16" t="s">
        <v>322</v>
      </c>
      <c r="BF267" s="244" t="str">
        <f>T_BilanSocial2[[#This Row],[Nom]]&amp;T_BilanSocial2[[#This Row],[Prénom]]</f>
        <v/>
      </c>
    </row>
    <row r="268" spans="1:58" ht="21.75" hidden="1" customHeight="1" x14ac:dyDescent="0.25">
      <c r="A268" s="90">
        <v>223</v>
      </c>
      <c r="B268" s="126" t="s">
        <v>311</v>
      </c>
      <c r="C268" s="126" t="str">
        <f>VLOOKUP(T_BilanSocial2[[#This Row],[NumL]],T_Commission[#Data],COLUMN(T_Commission[FINAL]),FALSE)</f>
        <v/>
      </c>
      <c r="D268" s="19" t="str">
        <f t="shared" si="32"/>
        <v/>
      </c>
      <c r="E268" s="19" t="str">
        <f t="shared" si="33"/>
        <v/>
      </c>
      <c r="F268" s="242" t="str">
        <f>IFERROR(VLOOKUP(T_BilanSocial2[[#This Row],[Zone_Bilan]],T_P_BilanSocial[#Data],COLUMN(T_P_BilanSocial[[#This Row],[Numero_SIHAM]]),FALSE),"")</f>
        <v/>
      </c>
      <c r="G268" s="242" t="str">
        <f>IFERROR(VLOOKUP(T_BilanSocial2[[#This Row],[Zone_Bilan]],T_P_BilanSocial[#Data],COLUMN(T_P_BilanSocial[[#This Row],[Sexe]]),FALSE),"")</f>
        <v/>
      </c>
      <c r="H268" s="243" t="str">
        <f>IFERROR(VLOOKUP(T_BilanSocial2[[#This Row],[Zone_Bilan]],T_P_BilanSocial[#Data],COLUMN(T_P_BilanSocial[[#This Row],[Categorie]]),FALSE),"")</f>
        <v/>
      </c>
      <c r="I268" s="242" t="str">
        <f>IFERROR(VLOOKUP(T_BilanSocial2[[#This Row],[Zone_Bilan]],T_P_BilanSocial[#Data],COLUMN(T_P_BilanSocial[[#This Row],[Statut]]),FALSE),"")</f>
        <v/>
      </c>
      <c r="J268" s="242" t="str">
        <f>IFERROR(VLOOKUP(T_BilanSocial2[[#This Row],[Zone_Bilan]],T_P_BilanSocial[#Data],COLUMN(T_P_BilanSocial[[#This Row],[Filiere]]),FALSE),"")</f>
        <v/>
      </c>
      <c r="K268" s="78">
        <v>1</v>
      </c>
      <c r="L268" s="213">
        <v>1.5451388888888891</v>
      </c>
      <c r="M268" s="78" t="s">
        <v>211</v>
      </c>
      <c r="N268" s="79" t="str">
        <f>IF((AND(T_BilanSocial2[[#This Row],[Nom]]&lt;&gt;"",T_BilanSocial2[[#This Row],[Reg Ponct]]="R")),(COUNTIF(S268:AX268,"S")+COUNTIF(S268:AX268,"T"))/2,"")</f>
        <v/>
      </c>
      <c r="O268" s="79" t="str">
        <f>IF((AND(T_BilanSocial2[[#This Row],[Nom]]&lt;&gt;"",T_BilanSocial2[[#This Row],[Reg Ponct]]="R")),COUNTIF(S268:AX268,"S")/2,"")</f>
        <v/>
      </c>
      <c r="P268" s="80" t="str">
        <f>IF((AND(T_BilanSocial2[[#This Row],[Nom]]&lt;&gt;"",T_BilanSocial2[[#This Row],[Reg Ponct]]="R")),COUNTIF(S268:AX268,"t")/2,"")</f>
        <v/>
      </c>
      <c r="Q268" s="81" t="str">
        <f t="shared" si="34"/>
        <v/>
      </c>
      <c r="R268" s="82" t="str">
        <f>IF((AND(T_BilanSocial2[[#This Row],[Nom]]&lt;&gt;"",T_BilanSocial2[[#This Row],[Reg Ponct]]="R")),IF(S268="T",U268-T268,0)+IF(V268="T",X268-W268,0)+IF(Z268="T",AB268-AA268,0)+IF(AC268="T",AE268-AD268,0)+IF(AG268="T",AI268-AH268,0)+IF(AJ268="T",AL268-AK268,0)+IF(AN268="T",AP268-AO268,0)+IF(AQ268="T",AS268-AR268,0)+IF(AU268="T",AW268-AV268,0)+IF(AX268="T",AZ268-AY268,0),"")</f>
        <v/>
      </c>
      <c r="S268" s="36"/>
      <c r="T268" s="37"/>
      <c r="U268" s="37"/>
      <c r="V268" s="21"/>
      <c r="W268" s="37"/>
      <c r="X268" s="37"/>
      <c r="Y268" s="38" t="str">
        <f t="shared" si="35"/>
        <v/>
      </c>
      <c r="Z268" s="36"/>
      <c r="AA268" s="37"/>
      <c r="AB268" s="37"/>
      <c r="AC268" s="21"/>
      <c r="AD268" s="37"/>
      <c r="AE268" s="37"/>
      <c r="AF268" s="38" t="str">
        <f t="shared" si="36"/>
        <v/>
      </c>
      <c r="AG268" s="36"/>
      <c r="AH268" s="37"/>
      <c r="AI268" s="37"/>
      <c r="AJ268" s="21"/>
      <c r="AK268" s="37"/>
      <c r="AL268" s="37"/>
      <c r="AM268" s="38" t="str">
        <f t="shared" si="37"/>
        <v/>
      </c>
      <c r="AN268" s="36"/>
      <c r="AO268" s="37"/>
      <c r="AP268" s="37"/>
      <c r="AQ268" s="21"/>
      <c r="AR268" s="37"/>
      <c r="AS268" s="37"/>
      <c r="AT268" s="38" t="str">
        <f t="shared" si="38"/>
        <v/>
      </c>
      <c r="AU268" s="36"/>
      <c r="AV268" s="37"/>
      <c r="AW268" s="37"/>
      <c r="AX268" s="21"/>
      <c r="AY268" s="37"/>
      <c r="AZ268" s="37"/>
      <c r="BA268" s="39" t="str">
        <f t="shared" si="39"/>
        <v/>
      </c>
      <c r="BB268" s="46" t="s">
        <v>340</v>
      </c>
      <c r="BC268" s="31" t="s">
        <v>341</v>
      </c>
      <c r="BD268" s="16" t="s">
        <v>311</v>
      </c>
      <c r="BE268" s="16" t="s">
        <v>311</v>
      </c>
      <c r="BF268" s="244" t="str">
        <f>T_BilanSocial2[[#This Row],[Nom]]&amp;T_BilanSocial2[[#This Row],[Prénom]]</f>
        <v/>
      </c>
    </row>
    <row r="269" spans="1:58" ht="21.75" hidden="1" customHeight="1" x14ac:dyDescent="0.25">
      <c r="A269" s="90">
        <v>73</v>
      </c>
      <c r="B269" s="126" t="s">
        <v>311</v>
      </c>
      <c r="C269" s="126" t="str">
        <f>VLOOKUP(T_BilanSocial2[[#This Row],[NumL]],T_Commission[#Data],COLUMN(T_Commission[FINAL]),FALSE)</f>
        <v/>
      </c>
      <c r="D269" s="19" t="str">
        <f t="shared" si="32"/>
        <v/>
      </c>
      <c r="E269" s="19" t="str">
        <f t="shared" si="33"/>
        <v/>
      </c>
      <c r="F269" s="242" t="str">
        <f>IFERROR(VLOOKUP(T_BilanSocial2[[#This Row],[Zone_Bilan]],T_P_BilanSocial[#Data],COLUMN(T_P_BilanSocial[[#This Row],[Numero_SIHAM]]),FALSE),"")</f>
        <v/>
      </c>
      <c r="G269" s="242" t="str">
        <f>IFERROR(VLOOKUP(T_BilanSocial2[[#This Row],[Zone_Bilan]],T_P_BilanSocial[#Data],COLUMN(T_P_BilanSocial[[#This Row],[Sexe]]),FALSE),"")</f>
        <v/>
      </c>
      <c r="H269" s="243" t="str">
        <f>IFERROR(VLOOKUP(T_BilanSocial2[[#This Row],[Zone_Bilan]],T_P_BilanSocial[#Data],COLUMN(T_P_BilanSocial[[#This Row],[Categorie]]),FALSE),"")</f>
        <v/>
      </c>
      <c r="I269" s="242" t="str">
        <f>IFERROR(VLOOKUP(T_BilanSocial2[[#This Row],[Zone_Bilan]],T_P_BilanSocial[#Data],COLUMN(T_P_BilanSocial[[#This Row],[Statut]]),FALSE),"")</f>
        <v/>
      </c>
      <c r="J269" s="242" t="str">
        <f>IFERROR(VLOOKUP(T_BilanSocial2[[#This Row],[Zone_Bilan]],T_P_BilanSocial[#Data],COLUMN(T_P_BilanSocial[[#This Row],[Filiere]]),FALSE),"")</f>
        <v/>
      </c>
      <c r="K269" s="78">
        <v>1</v>
      </c>
      <c r="L269" s="213">
        <v>1.5451388888888891</v>
      </c>
      <c r="M269" s="78" t="s">
        <v>210</v>
      </c>
      <c r="N269" s="79" t="str">
        <f>IF((AND(T_BilanSocial2[[#This Row],[Nom]]&lt;&gt;"",T_BilanSocial2[[#This Row],[Reg Ponct]]="R")),(COUNTIF(S269:AX269,"S")+COUNTIF(S269:AX269,"T"))/2,"")</f>
        <v/>
      </c>
      <c r="O269" s="79" t="str">
        <f>IF((AND(T_BilanSocial2[[#This Row],[Nom]]&lt;&gt;"",T_BilanSocial2[[#This Row],[Reg Ponct]]="R")),COUNTIF(S269:AX269,"S")/2,"")</f>
        <v/>
      </c>
      <c r="P269" s="80" t="str">
        <f>IF((AND(T_BilanSocial2[[#This Row],[Nom]]&lt;&gt;"",T_BilanSocial2[[#This Row],[Reg Ponct]]="R")),COUNTIF(S269:AX269,"t")/2,"")</f>
        <v/>
      </c>
      <c r="Q269" s="81" t="str">
        <f t="shared" si="34"/>
        <v/>
      </c>
      <c r="R269" s="82" t="str">
        <f>IF((AND(T_BilanSocial2[[#This Row],[Nom]]&lt;&gt;"",T_BilanSocial2[[#This Row],[Reg Ponct]]="R")),IF(S269="T",U269-T269,0)+IF(V269="T",X269-W269,0)+IF(Z269="T",AB269-AA269,0)+IF(AC269="T",AE269-AD269,0)+IF(AG269="T",AI269-AH269,0)+IF(AJ269="T",AL269-AK269,0)+IF(AN269="T",AP269-AO269,0)+IF(AQ269="T",AS269-AR269,0)+IF(AU269="T",AW269-AV269,0)+IF(AX269="T",AZ269-AY269,0),"")</f>
        <v/>
      </c>
      <c r="S269" s="36" t="s">
        <v>307</v>
      </c>
      <c r="T269" s="37">
        <v>0.35416666666666669</v>
      </c>
      <c r="U269" s="37">
        <v>0.52083333333333337</v>
      </c>
      <c r="V269" s="21" t="s">
        <v>307</v>
      </c>
      <c r="W269" s="37">
        <v>0.5625</v>
      </c>
      <c r="X269" s="37">
        <v>0.70833333333333337</v>
      </c>
      <c r="Y269" s="38" t="str">
        <f t="shared" si="35"/>
        <v/>
      </c>
      <c r="Z269" s="36" t="s">
        <v>306</v>
      </c>
      <c r="AA269" s="37">
        <v>0.35416666666666669</v>
      </c>
      <c r="AB269" s="37">
        <v>0.52083333333333337</v>
      </c>
      <c r="AC269" s="21" t="s">
        <v>306</v>
      </c>
      <c r="AD269" s="37">
        <v>0.5625</v>
      </c>
      <c r="AE269" s="37">
        <v>0.70833333333333337</v>
      </c>
      <c r="AF269" s="38" t="str">
        <f t="shared" si="36"/>
        <v/>
      </c>
      <c r="AG269" s="36" t="s">
        <v>306</v>
      </c>
      <c r="AH269" s="37">
        <v>0.35416666666666669</v>
      </c>
      <c r="AI269" s="37">
        <v>0.52083333333333337</v>
      </c>
      <c r="AJ269" s="21" t="s">
        <v>306</v>
      </c>
      <c r="AK269" s="37">
        <v>0.5625</v>
      </c>
      <c r="AL269" s="37">
        <v>0.70833333333333337</v>
      </c>
      <c r="AM269" s="38" t="str">
        <f t="shared" si="37"/>
        <v/>
      </c>
      <c r="AN269" s="36" t="s">
        <v>306</v>
      </c>
      <c r="AO269" s="37">
        <v>0.35416666666666669</v>
      </c>
      <c r="AP269" s="37">
        <v>0.52083333333333337</v>
      </c>
      <c r="AQ269" s="21" t="s">
        <v>306</v>
      </c>
      <c r="AR269" s="37">
        <v>0.5625</v>
      </c>
      <c r="AS269" s="37">
        <v>0.70833333333333337</v>
      </c>
      <c r="AT269" s="38" t="str">
        <f t="shared" si="38"/>
        <v/>
      </c>
      <c r="AU269" s="36" t="s">
        <v>306</v>
      </c>
      <c r="AV269" s="37">
        <v>0.35416666666666669</v>
      </c>
      <c r="AW269" s="37">
        <v>0.52083333333333337</v>
      </c>
      <c r="AX269" s="21" t="s">
        <v>306</v>
      </c>
      <c r="AY269" s="37">
        <v>0.5625</v>
      </c>
      <c r="AZ269" s="37">
        <v>0.69097222222222221</v>
      </c>
      <c r="BA269" s="39" t="str">
        <f t="shared" si="39"/>
        <v/>
      </c>
      <c r="BB269" s="46" t="s">
        <v>618</v>
      </c>
      <c r="BC269" s="31" t="s">
        <v>619</v>
      </c>
      <c r="BD269" s="16" t="s">
        <v>311</v>
      </c>
      <c r="BE269" s="16" t="s">
        <v>311</v>
      </c>
      <c r="BF269" s="244" t="str">
        <f>T_BilanSocial2[[#This Row],[Nom]]&amp;T_BilanSocial2[[#This Row],[Prénom]]</f>
        <v/>
      </c>
    </row>
    <row r="270" spans="1:58" ht="21.75" hidden="1" customHeight="1" x14ac:dyDescent="0.25">
      <c r="A270" s="90">
        <v>232</v>
      </c>
      <c r="B270" s="126" t="s">
        <v>210</v>
      </c>
      <c r="C270" s="126" t="str">
        <f>VLOOKUP(T_BilanSocial2[[#This Row],[NumL]],T_Commission[#Data],COLUMN(T_Commission[FINAL]),FALSE)</f>
        <v/>
      </c>
      <c r="D270" s="19" t="str">
        <f t="shared" si="32"/>
        <v/>
      </c>
      <c r="E270" s="19" t="str">
        <f t="shared" si="33"/>
        <v/>
      </c>
      <c r="F270" s="242" t="str">
        <f>IFERROR(VLOOKUP(T_BilanSocial2[[#This Row],[Zone_Bilan]],T_P_BilanSocial[#Data],COLUMN(T_P_BilanSocial[[#This Row],[Numero_SIHAM]]),FALSE),"")</f>
        <v/>
      </c>
      <c r="G270" s="242" t="str">
        <f>IFERROR(VLOOKUP(T_BilanSocial2[[#This Row],[Zone_Bilan]],T_P_BilanSocial[#Data],COLUMN(T_P_BilanSocial[[#This Row],[Sexe]]),FALSE),"")</f>
        <v/>
      </c>
      <c r="H270" s="243" t="str">
        <f>IFERROR(VLOOKUP(T_BilanSocial2[[#This Row],[Zone_Bilan]],T_P_BilanSocial[#Data],COLUMN(T_P_BilanSocial[[#This Row],[Categorie]]),FALSE),"")</f>
        <v/>
      </c>
      <c r="I270" s="242" t="str">
        <f>IFERROR(VLOOKUP(T_BilanSocial2[[#This Row],[Zone_Bilan]],T_P_BilanSocial[#Data],COLUMN(T_P_BilanSocial[[#This Row],[Statut]]),FALSE),"")</f>
        <v/>
      </c>
      <c r="J270" s="242" t="str">
        <f>IFERROR(VLOOKUP(T_BilanSocial2[[#This Row],[Zone_Bilan]],T_P_BilanSocial[#Data],COLUMN(T_P_BilanSocial[[#This Row],[Filiere]]),FALSE),"")</f>
        <v/>
      </c>
      <c r="K270" s="78">
        <v>1</v>
      </c>
      <c r="L270" s="213">
        <v>1.5451388888888891</v>
      </c>
      <c r="M270" s="78" t="s">
        <v>210</v>
      </c>
      <c r="N270" s="79" t="str">
        <f>IF((AND(T_BilanSocial2[[#This Row],[Nom]]&lt;&gt;"",T_BilanSocial2[[#This Row],[Reg Ponct]]="R")),(COUNTIF(S270:AX270,"S")+COUNTIF(S270:AX270,"T"))/2,"")</f>
        <v/>
      </c>
      <c r="O270" s="79" t="str">
        <f>IF((AND(T_BilanSocial2[[#This Row],[Nom]]&lt;&gt;"",T_BilanSocial2[[#This Row],[Reg Ponct]]="R")),COUNTIF(S270:AX270,"S")/2,"")</f>
        <v/>
      </c>
      <c r="P270" s="80" t="str">
        <f>IF((AND(T_BilanSocial2[[#This Row],[Nom]]&lt;&gt;"",T_BilanSocial2[[#This Row],[Reg Ponct]]="R")),COUNTIF(S270:AX270,"t")/2,"")</f>
        <v/>
      </c>
      <c r="Q270" s="81" t="str">
        <f t="shared" si="34"/>
        <v/>
      </c>
      <c r="R270" s="82" t="str">
        <f>IF((AND(T_BilanSocial2[[#This Row],[Nom]]&lt;&gt;"",T_BilanSocial2[[#This Row],[Reg Ponct]]="R")),IF(S270="T",U270-T270,0)+IF(V270="T",X270-W270,0)+IF(Z270="T",AB270-AA270,0)+IF(AC270="T",AE270-AD270,0)+IF(AG270="T",AI270-AH270,0)+IF(AJ270="T",AL270-AK270,0)+IF(AN270="T",AP270-AO270,0)+IF(AQ270="T",AS270-AR270,0)+IF(AU270="T",AW270-AV270,0)+IF(AX270="T",AZ270-AY270,0),"")</f>
        <v/>
      </c>
      <c r="S270" s="36" t="s">
        <v>306</v>
      </c>
      <c r="T270" s="37">
        <v>0.35416666666666669</v>
      </c>
      <c r="U270" s="37">
        <v>0.5</v>
      </c>
      <c r="V270" s="21" t="s">
        <v>306</v>
      </c>
      <c r="W270" s="37">
        <v>0.54166666666666663</v>
      </c>
      <c r="X270" s="37">
        <v>0.71875</v>
      </c>
      <c r="Y270" s="38" t="str">
        <f t="shared" si="35"/>
        <v/>
      </c>
      <c r="Z270" s="36" t="s">
        <v>306</v>
      </c>
      <c r="AA270" s="37">
        <v>0.35416666666666669</v>
      </c>
      <c r="AB270" s="37">
        <v>0.5</v>
      </c>
      <c r="AC270" s="21" t="s">
        <v>306</v>
      </c>
      <c r="AD270" s="37">
        <v>0.54166666666666663</v>
      </c>
      <c r="AE270" s="37">
        <v>0.72916666666666663</v>
      </c>
      <c r="AF270" s="38" t="str">
        <f t="shared" si="36"/>
        <v/>
      </c>
      <c r="AG270" s="36" t="s">
        <v>306</v>
      </c>
      <c r="AH270" s="37">
        <v>0.35069444444444442</v>
      </c>
      <c r="AI270" s="37">
        <v>0.5</v>
      </c>
      <c r="AJ270" s="21" t="s">
        <v>306</v>
      </c>
      <c r="AK270" s="37">
        <v>0.54166666666666663</v>
      </c>
      <c r="AL270" s="37">
        <v>0.71875</v>
      </c>
      <c r="AM270" s="38" t="str">
        <f t="shared" si="37"/>
        <v/>
      </c>
      <c r="AN270" s="36" t="s">
        <v>307</v>
      </c>
      <c r="AO270" s="37">
        <v>0.3298611111111111</v>
      </c>
      <c r="AP270" s="37">
        <v>0.5</v>
      </c>
      <c r="AQ270" s="21" t="s">
        <v>307</v>
      </c>
      <c r="AR270" s="37">
        <v>0.54166666666666663</v>
      </c>
      <c r="AS270" s="37">
        <v>0.74652777777777779</v>
      </c>
      <c r="AT270" s="38" t="str">
        <f t="shared" si="38"/>
        <v/>
      </c>
      <c r="AU270" s="36" t="s">
        <v>307</v>
      </c>
      <c r="AV270" s="37">
        <v>0.3263888888888889</v>
      </c>
      <c r="AW270" s="37">
        <v>0.51388888888888895</v>
      </c>
      <c r="AX270" s="21" t="s">
        <v>308</v>
      </c>
      <c r="AY270" s="37"/>
      <c r="AZ270" s="37"/>
      <c r="BA270" s="39" t="str">
        <f t="shared" si="39"/>
        <v/>
      </c>
      <c r="BB270" s="46" t="s">
        <v>503</v>
      </c>
      <c r="BC270" s="31" t="s">
        <v>1114</v>
      </c>
      <c r="BD270" s="16" t="s">
        <v>311</v>
      </c>
      <c r="BE270" s="16" t="s">
        <v>311</v>
      </c>
      <c r="BF270" s="244" t="str">
        <f>T_BilanSocial2[[#This Row],[Nom]]&amp;T_BilanSocial2[[#This Row],[Prénom]]</f>
        <v/>
      </c>
    </row>
    <row r="271" spans="1:58" ht="21.75" hidden="1" customHeight="1" x14ac:dyDescent="0.25">
      <c r="A271" s="90">
        <v>58</v>
      </c>
      <c r="B271" s="126" t="s">
        <v>210</v>
      </c>
      <c r="C271" s="126" t="str">
        <f>VLOOKUP(T_BilanSocial2[[#This Row],[NumL]],T_Commission[#Data],COLUMN(T_Commission[FINAL]),FALSE)</f>
        <v/>
      </c>
      <c r="D271" s="19" t="str">
        <f t="shared" si="32"/>
        <v/>
      </c>
      <c r="E271" s="19" t="str">
        <f t="shared" si="33"/>
        <v/>
      </c>
      <c r="F271" s="242" t="str">
        <f>IFERROR(VLOOKUP(T_BilanSocial2[[#This Row],[Zone_Bilan]],T_P_BilanSocial[#Data],COLUMN(T_P_BilanSocial[[#This Row],[Numero_SIHAM]]),FALSE),"")</f>
        <v/>
      </c>
      <c r="G271" s="242" t="str">
        <f>IFERROR(VLOOKUP(T_BilanSocial2[[#This Row],[Zone_Bilan]],T_P_BilanSocial[#Data],COLUMN(T_P_BilanSocial[[#This Row],[Sexe]]),FALSE),"")</f>
        <v/>
      </c>
      <c r="H271" s="243" t="str">
        <f>IFERROR(VLOOKUP(T_BilanSocial2[[#This Row],[Zone_Bilan]],T_P_BilanSocial[#Data],COLUMN(T_P_BilanSocial[[#This Row],[Categorie]]),FALSE),"")</f>
        <v/>
      </c>
      <c r="I271" s="242" t="str">
        <f>IFERROR(VLOOKUP(T_BilanSocial2[[#This Row],[Zone_Bilan]],T_P_BilanSocial[#Data],COLUMN(T_P_BilanSocial[[#This Row],[Statut]]),FALSE),"")</f>
        <v/>
      </c>
      <c r="J271" s="242" t="str">
        <f>IFERROR(VLOOKUP(T_BilanSocial2[[#This Row],[Zone_Bilan]],T_P_BilanSocial[#Data],COLUMN(T_P_BilanSocial[[#This Row],[Filiere]]),FALSE),"")</f>
        <v/>
      </c>
      <c r="K271" s="78">
        <v>1</v>
      </c>
      <c r="L271" s="213">
        <v>1.5451388888888891</v>
      </c>
      <c r="M271" s="78" t="s">
        <v>210</v>
      </c>
      <c r="N271" s="79" t="str">
        <f>IF((AND(T_BilanSocial2[[#This Row],[Nom]]&lt;&gt;"",T_BilanSocial2[[#This Row],[Reg Ponct]]="R")),(COUNTIF(S271:AX271,"S")+COUNTIF(S271:AX271,"T"))/2,"")</f>
        <v/>
      </c>
      <c r="O271" s="79" t="str">
        <f>IF((AND(T_BilanSocial2[[#This Row],[Nom]]&lt;&gt;"",T_BilanSocial2[[#This Row],[Reg Ponct]]="R")),COUNTIF(S271:AX271,"S")/2,"")</f>
        <v/>
      </c>
      <c r="P271" s="80" t="str">
        <f>IF((AND(T_BilanSocial2[[#This Row],[Nom]]&lt;&gt;"",T_BilanSocial2[[#This Row],[Reg Ponct]]="R")),COUNTIF(S271:AX271,"t")/2,"")</f>
        <v/>
      </c>
      <c r="Q271" s="81" t="str">
        <f t="shared" si="34"/>
        <v/>
      </c>
      <c r="R271" s="82" t="str">
        <f>IF((AND(T_BilanSocial2[[#This Row],[Nom]]&lt;&gt;"",T_BilanSocial2[[#This Row],[Reg Ponct]]="R")),IF(S271="T",U271-T271,0)+IF(V271="T",X271-W271,0)+IF(Z271="T",AB271-AA271,0)+IF(AC271="T",AE271-AD271,0)+IF(AG271="T",AI271-AH271,0)+IF(AJ271="T",AL271-AK271,0)+IF(AN271="T",AP271-AO271,0)+IF(AQ271="T",AS271-AR271,0)+IF(AU271="T",AW271-AV271,0)+IF(AX271="T",AZ271-AY271,0),"")</f>
        <v/>
      </c>
      <c r="S271" s="36" t="s">
        <v>307</v>
      </c>
      <c r="T271" s="37">
        <v>0.375</v>
      </c>
      <c r="U271" s="37">
        <v>0.52083333333333337</v>
      </c>
      <c r="V271" s="21" t="s">
        <v>307</v>
      </c>
      <c r="W271" s="37">
        <v>0.5625</v>
      </c>
      <c r="X271" s="37">
        <v>0.72916666666666663</v>
      </c>
      <c r="Y271" s="38" t="str">
        <f t="shared" si="35"/>
        <v/>
      </c>
      <c r="Z271" s="36" t="s">
        <v>306</v>
      </c>
      <c r="AA271" s="37">
        <v>0.375</v>
      </c>
      <c r="AB271" s="37">
        <v>0.52083333333333337</v>
      </c>
      <c r="AC271" s="21" t="s">
        <v>306</v>
      </c>
      <c r="AD271" s="37">
        <v>0.5625</v>
      </c>
      <c r="AE271" s="37">
        <v>0.72916666666666663</v>
      </c>
      <c r="AF271" s="38" t="str">
        <f t="shared" si="36"/>
        <v/>
      </c>
      <c r="AG271" s="36" t="s">
        <v>306</v>
      </c>
      <c r="AH271" s="37">
        <v>0.375</v>
      </c>
      <c r="AI271" s="37">
        <v>0.52083333333333337</v>
      </c>
      <c r="AJ271" s="21" t="s">
        <v>306</v>
      </c>
      <c r="AK271" s="37">
        <v>0.5625</v>
      </c>
      <c r="AL271" s="37">
        <v>0.71180555555555547</v>
      </c>
      <c r="AM271" s="38" t="str">
        <f t="shared" si="37"/>
        <v/>
      </c>
      <c r="AN271" s="36" t="s">
        <v>306</v>
      </c>
      <c r="AO271" s="37">
        <v>0.375</v>
      </c>
      <c r="AP271" s="37">
        <v>0.52083333333333337</v>
      </c>
      <c r="AQ271" s="21" t="s">
        <v>306</v>
      </c>
      <c r="AR271" s="37">
        <v>0.5625</v>
      </c>
      <c r="AS271" s="37">
        <v>0.72916666666666663</v>
      </c>
      <c r="AT271" s="38" t="str">
        <f t="shared" si="38"/>
        <v/>
      </c>
      <c r="AU271" s="36" t="s">
        <v>307</v>
      </c>
      <c r="AV271" s="37">
        <v>0.375</v>
      </c>
      <c r="AW271" s="37">
        <v>0.52083333333333337</v>
      </c>
      <c r="AX271" s="21" t="s">
        <v>307</v>
      </c>
      <c r="AY271" s="37">
        <v>0.5625</v>
      </c>
      <c r="AZ271" s="37">
        <v>0.72916666666666663</v>
      </c>
      <c r="BA271" s="39" t="str">
        <f t="shared" si="39"/>
        <v/>
      </c>
      <c r="BB271" s="46" t="s">
        <v>390</v>
      </c>
      <c r="BC271" s="31" t="s">
        <v>391</v>
      </c>
      <c r="BD271" s="16" t="s">
        <v>322</v>
      </c>
      <c r="BE271" s="16" t="s">
        <v>322</v>
      </c>
      <c r="BF271" s="244" t="str">
        <f>T_BilanSocial2[[#This Row],[Nom]]&amp;T_BilanSocial2[[#This Row],[Prénom]]</f>
        <v/>
      </c>
    </row>
    <row r="272" spans="1:58" ht="21.75" hidden="1" customHeight="1" x14ac:dyDescent="0.25">
      <c r="A272" s="90">
        <v>116</v>
      </c>
      <c r="B272" s="126" t="s">
        <v>311</v>
      </c>
      <c r="C272" s="126" t="str">
        <f>VLOOKUP(T_BilanSocial2[[#This Row],[NumL]],T_Commission[#Data],COLUMN(T_Commission[FINAL]),FALSE)</f>
        <v/>
      </c>
      <c r="D272" s="19" t="str">
        <f t="shared" si="32"/>
        <v/>
      </c>
      <c r="E272" s="19" t="str">
        <f t="shared" si="33"/>
        <v/>
      </c>
      <c r="F272" s="242" t="str">
        <f>IFERROR(VLOOKUP(T_BilanSocial2[[#This Row],[Zone_Bilan]],T_P_BilanSocial[#Data],COLUMN(T_P_BilanSocial[[#This Row],[Numero_SIHAM]]),FALSE),"")</f>
        <v/>
      </c>
      <c r="G272" s="242" t="str">
        <f>IFERROR(VLOOKUP(T_BilanSocial2[[#This Row],[Zone_Bilan]],T_P_BilanSocial[#Data],COLUMN(T_P_BilanSocial[[#This Row],[Sexe]]),FALSE),"")</f>
        <v/>
      </c>
      <c r="H272" s="243" t="str">
        <f>IFERROR(VLOOKUP(T_BilanSocial2[[#This Row],[Zone_Bilan]],T_P_BilanSocial[#Data],COLUMN(T_P_BilanSocial[[#This Row],[Categorie]]),FALSE),"")</f>
        <v/>
      </c>
      <c r="I272" s="242" t="str">
        <f>IFERROR(VLOOKUP(T_BilanSocial2[[#This Row],[Zone_Bilan]],T_P_BilanSocial[#Data],COLUMN(T_P_BilanSocial[[#This Row],[Statut]]),FALSE),"")</f>
        <v/>
      </c>
      <c r="J272" s="242" t="str">
        <f>IFERROR(VLOOKUP(T_BilanSocial2[[#This Row],[Zone_Bilan]],T_P_BilanSocial[#Data],COLUMN(T_P_BilanSocial[[#This Row],[Filiere]]),FALSE),"")</f>
        <v/>
      </c>
      <c r="K272" s="78">
        <v>1</v>
      </c>
      <c r="L272" s="213">
        <v>1.5451388888888891</v>
      </c>
      <c r="M272" s="78" t="s">
        <v>210</v>
      </c>
      <c r="N272" s="79" t="str">
        <f>IF((AND(T_BilanSocial2[[#This Row],[Nom]]&lt;&gt;"",T_BilanSocial2[[#This Row],[Reg Ponct]]="R")),(COUNTIF(S272:AX272,"S")+COUNTIF(S272:AX272,"T"))/2,"")</f>
        <v/>
      </c>
      <c r="O272" s="79" t="str">
        <f>IF((AND(T_BilanSocial2[[#This Row],[Nom]]&lt;&gt;"",T_BilanSocial2[[#This Row],[Reg Ponct]]="R")),COUNTIF(S272:AX272,"S")/2,"")</f>
        <v/>
      </c>
      <c r="P272" s="80" t="str">
        <f>IF((AND(T_BilanSocial2[[#This Row],[Nom]]&lt;&gt;"",T_BilanSocial2[[#This Row],[Reg Ponct]]="R")),COUNTIF(S272:AX272,"t")/2,"")</f>
        <v/>
      </c>
      <c r="Q272" s="81" t="str">
        <f t="shared" si="34"/>
        <v/>
      </c>
      <c r="R272" s="82" t="str">
        <f>IF((AND(T_BilanSocial2[[#This Row],[Nom]]&lt;&gt;"",T_BilanSocial2[[#This Row],[Reg Ponct]]="R")),IF(S272="T",U272-T272,0)+IF(V272="T",X272-W272,0)+IF(Z272="T",AB272-AA272,0)+IF(AC272="T",AE272-AD272,0)+IF(AG272="T",AI272-AH272,0)+IF(AJ272="T",AL272-AK272,0)+IF(AN272="T",AP272-AO272,0)+IF(AQ272="T",AS272-AR272,0)+IF(AU272="T",AW272-AV272,0)+IF(AX272="T",AZ272-AY272,0),"")</f>
        <v/>
      </c>
      <c r="S272" s="36" t="s">
        <v>306</v>
      </c>
      <c r="T272" s="37">
        <v>0.375</v>
      </c>
      <c r="U272" s="37">
        <v>0.54166666666666663</v>
      </c>
      <c r="V272" s="21" t="s">
        <v>306</v>
      </c>
      <c r="W272" s="37">
        <v>0.58333333333333337</v>
      </c>
      <c r="X272" s="37">
        <v>0.72916666666666663</v>
      </c>
      <c r="Y272" s="38" t="str">
        <f t="shared" si="35"/>
        <v/>
      </c>
      <c r="Z272" s="36" t="s">
        <v>307</v>
      </c>
      <c r="AA272" s="37">
        <v>0.375</v>
      </c>
      <c r="AB272" s="37">
        <v>0.54166666666666663</v>
      </c>
      <c r="AC272" s="21" t="s">
        <v>307</v>
      </c>
      <c r="AD272" s="37">
        <v>0.58333333333333337</v>
      </c>
      <c r="AE272" s="37">
        <v>0.72916666666666663</v>
      </c>
      <c r="AF272" s="38" t="str">
        <f t="shared" si="36"/>
        <v/>
      </c>
      <c r="AG272" s="36" t="s">
        <v>306</v>
      </c>
      <c r="AH272" s="37">
        <v>0.375</v>
      </c>
      <c r="AI272" s="37">
        <v>0.54166666666666663</v>
      </c>
      <c r="AJ272" s="21" t="s">
        <v>306</v>
      </c>
      <c r="AK272" s="37">
        <v>0.58333333333333337</v>
      </c>
      <c r="AL272" s="37">
        <v>0.72916666666666663</v>
      </c>
      <c r="AM272" s="38" t="str">
        <f t="shared" si="37"/>
        <v/>
      </c>
      <c r="AN272" s="36" t="s">
        <v>306</v>
      </c>
      <c r="AO272" s="37">
        <v>0.375</v>
      </c>
      <c r="AP272" s="37">
        <v>0.54166666666666663</v>
      </c>
      <c r="AQ272" s="21" t="s">
        <v>306</v>
      </c>
      <c r="AR272" s="37">
        <v>0.58333333333333337</v>
      </c>
      <c r="AS272" s="37">
        <v>0.72916666666666663</v>
      </c>
      <c r="AT272" s="38" t="str">
        <f t="shared" si="38"/>
        <v/>
      </c>
      <c r="AU272" s="36" t="s">
        <v>307</v>
      </c>
      <c r="AV272" s="37">
        <v>0.375</v>
      </c>
      <c r="AW272" s="37">
        <v>0.54166666666666663</v>
      </c>
      <c r="AX272" s="21" t="s">
        <v>307</v>
      </c>
      <c r="AY272" s="37">
        <v>0.58333333333333337</v>
      </c>
      <c r="AZ272" s="37">
        <v>0.71180555555555547</v>
      </c>
      <c r="BA272" s="39" t="str">
        <f t="shared" si="39"/>
        <v/>
      </c>
      <c r="BB272" s="46" t="s">
        <v>376</v>
      </c>
      <c r="BC272" s="31" t="s">
        <v>341</v>
      </c>
      <c r="BD272" s="16" t="s">
        <v>311</v>
      </c>
      <c r="BE272" s="16" t="s">
        <v>311</v>
      </c>
      <c r="BF272" s="244" t="str">
        <f>T_BilanSocial2[[#This Row],[Nom]]&amp;T_BilanSocial2[[#This Row],[Prénom]]</f>
        <v/>
      </c>
    </row>
    <row r="273" spans="1:58" ht="21.75" hidden="1" customHeight="1" x14ac:dyDescent="0.25">
      <c r="A273" s="90">
        <v>199</v>
      </c>
      <c r="B273" s="126" t="s">
        <v>311</v>
      </c>
      <c r="C273" s="126" t="e">
        <f>VLOOKUP(T_BilanSocial2[[#This Row],[NumL]],T_Commission[#Data],COLUMN(T_Commission[FINAL]),FALSE)</f>
        <v>#N/A</v>
      </c>
      <c r="D273" s="19" t="str">
        <f t="shared" si="32"/>
        <v/>
      </c>
      <c r="E273" s="19" t="str">
        <f t="shared" si="33"/>
        <v/>
      </c>
      <c r="F273" s="242" t="str">
        <f>IFERROR(VLOOKUP(T_BilanSocial2[[#This Row],[Zone_Bilan]],T_P_BilanSocial[#Data],COLUMN(T_P_BilanSocial[[#This Row],[Numero_SIHAM]]),FALSE),"")</f>
        <v/>
      </c>
      <c r="G273" s="242" t="str">
        <f>IFERROR(VLOOKUP(T_BilanSocial2[[#This Row],[Zone_Bilan]],T_P_BilanSocial[#Data],COLUMN(T_P_BilanSocial[[#This Row],[Sexe]]),FALSE),"")</f>
        <v/>
      </c>
      <c r="H273" s="243" t="str">
        <f>IFERROR(VLOOKUP(T_BilanSocial2[[#This Row],[Zone_Bilan]],T_P_BilanSocial[#Data],COLUMN(T_P_BilanSocial[[#This Row],[Categorie]]),FALSE),"")</f>
        <v/>
      </c>
      <c r="I273" s="242" t="str">
        <f>IFERROR(VLOOKUP(T_BilanSocial2[[#This Row],[Zone_Bilan]],T_P_BilanSocial[#Data],COLUMN(T_P_BilanSocial[[#This Row],[Statut]]),FALSE),"")</f>
        <v/>
      </c>
      <c r="J273" s="242" t="str">
        <f>IFERROR(VLOOKUP(T_BilanSocial2[[#This Row],[Zone_Bilan]],T_P_BilanSocial[#Data],COLUMN(T_P_BilanSocial[[#This Row],[Filiere]]),FALSE),"")</f>
        <v/>
      </c>
      <c r="K273" s="78">
        <v>1</v>
      </c>
      <c r="L273" s="213">
        <v>1.5451388888888891</v>
      </c>
      <c r="M273" s="78" t="s">
        <v>210</v>
      </c>
      <c r="N273" s="79" t="str">
        <f>IF((AND(T_BilanSocial2[[#This Row],[Nom]]&lt;&gt;"",T_BilanSocial2[[#This Row],[Reg Ponct]]="R")),(COUNTIF(S273:AX273,"S")+COUNTIF(S273:AX273,"T"))/2,"")</f>
        <v/>
      </c>
      <c r="O273" s="79" t="str">
        <f>IF((AND(T_BilanSocial2[[#This Row],[Nom]]&lt;&gt;"",T_BilanSocial2[[#This Row],[Reg Ponct]]="R")),COUNTIF(S273:AX273,"S")/2,"")</f>
        <v/>
      </c>
      <c r="P273" s="80" t="str">
        <f>IF((AND(T_BilanSocial2[[#This Row],[Nom]]&lt;&gt;"",T_BilanSocial2[[#This Row],[Reg Ponct]]="R")),COUNTIF(S273:AX273,"t")/2,"")</f>
        <v/>
      </c>
      <c r="Q273" s="81" t="str">
        <f t="shared" si="34"/>
        <v/>
      </c>
      <c r="R273" s="82" t="str">
        <f>IF((AND(T_BilanSocial2[[#This Row],[Nom]]&lt;&gt;"",T_BilanSocial2[[#This Row],[Reg Ponct]]="R")),IF(S273="T",U273-T273,0)+IF(V273="T",X273-W273,0)+IF(Z273="T",AB273-AA273,0)+IF(AC273="T",AE273-AD273,0)+IF(AG273="T",AI273-AH273,0)+IF(AJ273="T",AL273-AK273,0)+IF(AN273="T",AP273-AO273,0)+IF(AQ273="T",AS273-AR273,0)+IF(AU273="T",AW273-AV273,0)+IF(AX273="T",AZ273-AY273,0),"")</f>
        <v/>
      </c>
      <c r="S273" s="36" t="s">
        <v>306</v>
      </c>
      <c r="T273" s="37">
        <v>0.375</v>
      </c>
      <c r="U273" s="37">
        <v>0.52083333333333337</v>
      </c>
      <c r="V273" s="21" t="s">
        <v>306</v>
      </c>
      <c r="W273" s="37">
        <v>0.5625</v>
      </c>
      <c r="X273" s="37">
        <v>0.66666666666666663</v>
      </c>
      <c r="Y273" s="38" t="str">
        <f t="shared" si="35"/>
        <v/>
      </c>
      <c r="Z273" s="36" t="s">
        <v>307</v>
      </c>
      <c r="AA273" s="37">
        <v>0.375</v>
      </c>
      <c r="AB273" s="37">
        <v>0.52083333333333337</v>
      </c>
      <c r="AC273" s="21" t="s">
        <v>307</v>
      </c>
      <c r="AD273" s="37">
        <v>0.5625</v>
      </c>
      <c r="AE273" s="37">
        <v>0.68402777777777779</v>
      </c>
      <c r="AF273" s="38" t="str">
        <f t="shared" si="36"/>
        <v/>
      </c>
      <c r="AG273" s="36" t="s">
        <v>306</v>
      </c>
      <c r="AH273" s="37">
        <v>0.375</v>
      </c>
      <c r="AI273" s="37">
        <v>0.52083333333333337</v>
      </c>
      <c r="AJ273" s="21" t="s">
        <v>306</v>
      </c>
      <c r="AK273" s="37">
        <v>0.5625</v>
      </c>
      <c r="AL273" s="37">
        <v>0.79166666666666663</v>
      </c>
      <c r="AM273" s="38" t="str">
        <f t="shared" si="37"/>
        <v/>
      </c>
      <c r="AN273" s="36" t="s">
        <v>307</v>
      </c>
      <c r="AO273" s="37">
        <v>0.375</v>
      </c>
      <c r="AP273" s="37">
        <v>0.52083333333333337</v>
      </c>
      <c r="AQ273" s="21" t="s">
        <v>307</v>
      </c>
      <c r="AR273" s="37">
        <v>0.5625</v>
      </c>
      <c r="AS273" s="37">
        <v>0.76388888888888884</v>
      </c>
      <c r="AT273" s="38" t="str">
        <f t="shared" si="38"/>
        <v/>
      </c>
      <c r="AU273" s="36" t="s">
        <v>306</v>
      </c>
      <c r="AV273" s="37">
        <v>0.375</v>
      </c>
      <c r="AW273" s="37">
        <v>0.52083333333333337</v>
      </c>
      <c r="AX273" s="21" t="s">
        <v>306</v>
      </c>
      <c r="AY273" s="37">
        <v>0.5625</v>
      </c>
      <c r="AZ273" s="37">
        <v>0.72222222222222221</v>
      </c>
      <c r="BA273" s="39" t="str">
        <f t="shared" si="39"/>
        <v/>
      </c>
      <c r="BB273" s="46" t="s">
        <v>1076</v>
      </c>
      <c r="BC273" s="31" t="s">
        <v>1077</v>
      </c>
      <c r="BD273" s="16" t="s">
        <v>311</v>
      </c>
      <c r="BE273" s="16" t="s">
        <v>311</v>
      </c>
      <c r="BF273" s="244" t="str">
        <f>T_BilanSocial2[[#This Row],[Nom]]&amp;T_BilanSocial2[[#This Row],[Prénom]]</f>
        <v/>
      </c>
    </row>
    <row r="274" spans="1:58" ht="21.75" customHeight="1" x14ac:dyDescent="0.25">
      <c r="A274" s="90">
        <v>111</v>
      </c>
      <c r="B274" s="126" t="s">
        <v>311</v>
      </c>
      <c r="C274" s="126" t="str">
        <f>VLOOKUP(T_BilanSocial2[[#This Row],[NumL]],T_Commission[#Data],COLUMN(T_Commission[FINAL]),FALSE)</f>
        <v/>
      </c>
      <c r="D274" s="19" t="str">
        <f t="shared" si="32"/>
        <v/>
      </c>
      <c r="E274" s="19" t="str">
        <f t="shared" si="33"/>
        <v/>
      </c>
      <c r="F274" s="242" t="str">
        <f>IFERROR(VLOOKUP(T_BilanSocial2[[#This Row],[Zone_Bilan]],T_P_BilanSocial[#Data],COLUMN(T_P_BilanSocial[[#This Row],[Numero_SIHAM]]),FALSE),"")</f>
        <v/>
      </c>
      <c r="G274" s="242" t="str">
        <f>IFERROR(VLOOKUP(T_BilanSocial2[[#This Row],[Zone_Bilan]],T_P_BilanSocial[#Data],COLUMN(T_P_BilanSocial[[#This Row],[Sexe]]),FALSE),"")</f>
        <v/>
      </c>
      <c r="H274" s="243" t="str">
        <f>IFERROR(VLOOKUP(T_BilanSocial2[[#This Row],[Zone_Bilan]],T_P_BilanSocial[#Data],COLUMN(T_P_BilanSocial[[#This Row],[Categorie]]),FALSE),"")</f>
        <v/>
      </c>
      <c r="I274" s="242" t="str">
        <f>IFERROR(VLOOKUP(T_BilanSocial2[[#This Row],[Zone_Bilan]],T_P_BilanSocial[#Data],COLUMN(T_P_BilanSocial[[#This Row],[Statut]]),FALSE),"")</f>
        <v/>
      </c>
      <c r="J274" s="242" t="str">
        <f>IFERROR(VLOOKUP(T_BilanSocial2[[#This Row],[Zone_Bilan]],T_P_BilanSocial[#Data],COLUMN(T_P_BilanSocial[[#This Row],[Filiere]]),FALSE),"")</f>
        <v/>
      </c>
      <c r="K274" s="78">
        <v>1</v>
      </c>
      <c r="L274" s="213">
        <v>1.5451388888888891</v>
      </c>
      <c r="M274" s="78" t="s">
        <v>210</v>
      </c>
      <c r="N274" s="79" t="str">
        <f>IF((AND(T_BilanSocial2[[#This Row],[Nom]]&lt;&gt;"",T_BilanSocial2[[#This Row],[Reg Ponct]]="R")),(COUNTIF(S274:AX274,"S")+COUNTIF(S274:AX274,"T"))/2,"")</f>
        <v/>
      </c>
      <c r="O274" s="79" t="str">
        <f>IF((AND(T_BilanSocial2[[#This Row],[Nom]]&lt;&gt;"",T_BilanSocial2[[#This Row],[Reg Ponct]]="R")),COUNTIF(S274:AX274,"S")/2,"")</f>
        <v/>
      </c>
      <c r="P274" s="80" t="str">
        <f>IF((AND(T_BilanSocial2[[#This Row],[Nom]]&lt;&gt;"",T_BilanSocial2[[#This Row],[Reg Ponct]]="R")),COUNTIF(S274:AX274,"t")/2,"")</f>
        <v/>
      </c>
      <c r="Q274" s="81" t="str">
        <f t="shared" si="34"/>
        <v/>
      </c>
      <c r="R274" s="82" t="str">
        <f>IF((AND(T_BilanSocial2[[#This Row],[Nom]]&lt;&gt;"",T_BilanSocial2[[#This Row],[Reg Ponct]]="R")),IF(S274="T",U274-T274,0)+IF(V274="T",X274-W274,0)+IF(Z274="T",AB274-AA274,0)+IF(AC274="T",AE274-AD274,0)+IF(AG274="T",AI274-AH274,0)+IF(AJ274="T",AL274-AK274,0)+IF(AN274="T",AP274-AO274,0)+IF(AQ274="T",AS274-AR274,0)+IF(AU274="T",AW274-AV274,0)+IF(AX274="T",AZ274-AY274,0),"")</f>
        <v/>
      </c>
      <c r="S274" s="36" t="s">
        <v>307</v>
      </c>
      <c r="T274" s="37">
        <v>0.34375</v>
      </c>
      <c r="U274" s="37">
        <v>0.48958333333333331</v>
      </c>
      <c r="V274" s="21" t="s">
        <v>307</v>
      </c>
      <c r="W274" s="37">
        <v>0.53125</v>
      </c>
      <c r="X274" s="37">
        <v>0.69444444444444453</v>
      </c>
      <c r="Y274" s="38" t="str">
        <f t="shared" si="35"/>
        <v/>
      </c>
      <c r="Z274" s="36" t="s">
        <v>306</v>
      </c>
      <c r="AA274" s="37">
        <v>0.34375</v>
      </c>
      <c r="AB274" s="37">
        <v>0.48958333333333331</v>
      </c>
      <c r="AC274" s="21" t="s">
        <v>306</v>
      </c>
      <c r="AD274" s="37">
        <v>0.53125</v>
      </c>
      <c r="AE274" s="37">
        <v>0.67361111111111116</v>
      </c>
      <c r="AF274" s="38" t="str">
        <f t="shared" si="36"/>
        <v/>
      </c>
      <c r="AG274" s="36" t="s">
        <v>306</v>
      </c>
      <c r="AH274" s="37">
        <v>0.34375</v>
      </c>
      <c r="AI274" s="37">
        <v>0.48958333333333331</v>
      </c>
      <c r="AJ274" s="21" t="s">
        <v>306</v>
      </c>
      <c r="AK274" s="37">
        <v>0.53125</v>
      </c>
      <c r="AL274" s="37">
        <v>0.74305555555555547</v>
      </c>
      <c r="AM274" s="38" t="str">
        <f t="shared" si="37"/>
        <v/>
      </c>
      <c r="AN274" s="36" t="s">
        <v>306</v>
      </c>
      <c r="AO274" s="37">
        <v>0.34375</v>
      </c>
      <c r="AP274" s="37">
        <v>0.48958333333333331</v>
      </c>
      <c r="AQ274" s="21" t="s">
        <v>306</v>
      </c>
      <c r="AR274" s="37">
        <v>0.53125</v>
      </c>
      <c r="AS274" s="37">
        <v>0.69444444444444453</v>
      </c>
      <c r="AT274" s="38" t="str">
        <f t="shared" si="38"/>
        <v/>
      </c>
      <c r="AU274" s="36" t="s">
        <v>307</v>
      </c>
      <c r="AV274" s="37">
        <v>0.34375</v>
      </c>
      <c r="AW274" s="37">
        <v>0.48958333333333331</v>
      </c>
      <c r="AX274" s="21" t="s">
        <v>307</v>
      </c>
      <c r="AY274" s="37">
        <v>0.53125</v>
      </c>
      <c r="AZ274" s="37">
        <v>0.66666666666666663</v>
      </c>
      <c r="BA274" s="39" t="str">
        <f t="shared" si="39"/>
        <v/>
      </c>
      <c r="BB274" s="46" t="s">
        <v>340</v>
      </c>
      <c r="BC274" s="31" t="s">
        <v>341</v>
      </c>
      <c r="BD274" s="16" t="s">
        <v>311</v>
      </c>
      <c r="BE274" s="16" t="s">
        <v>311</v>
      </c>
      <c r="BF274" s="244" t="str">
        <f>T_BilanSocial2[[#This Row],[Nom]]&amp;T_BilanSocial2[[#This Row],[Prénom]]</f>
        <v/>
      </c>
    </row>
    <row r="275" spans="1:58" ht="21.75" hidden="1" customHeight="1" x14ac:dyDescent="0.25">
      <c r="A275" s="90">
        <v>183</v>
      </c>
      <c r="B275" s="126" t="s">
        <v>311</v>
      </c>
      <c r="C275" s="126" t="str">
        <f>VLOOKUP(T_BilanSocial2[[#This Row],[NumL]],T_Commission[#Data],COLUMN(T_Commission[FINAL]),FALSE)</f>
        <v/>
      </c>
      <c r="D275" s="19" t="str">
        <f t="shared" si="32"/>
        <v/>
      </c>
      <c r="E275" s="19" t="str">
        <f t="shared" si="33"/>
        <v/>
      </c>
      <c r="F275" s="242" t="str">
        <f>IFERROR(VLOOKUP(T_BilanSocial2[[#This Row],[Zone_Bilan]],T_P_BilanSocial[#Data],COLUMN(T_P_BilanSocial[[#This Row],[Numero_SIHAM]]),FALSE),"")</f>
        <v/>
      </c>
      <c r="G275" s="242" t="str">
        <f>IFERROR(VLOOKUP(T_BilanSocial2[[#This Row],[Zone_Bilan]],T_P_BilanSocial[#Data],COLUMN(T_P_BilanSocial[[#This Row],[Sexe]]),FALSE),"")</f>
        <v/>
      </c>
      <c r="H275" s="243" t="str">
        <f>IFERROR(VLOOKUP(T_BilanSocial2[[#This Row],[Zone_Bilan]],T_P_BilanSocial[#Data],COLUMN(T_P_BilanSocial[[#This Row],[Categorie]]),FALSE),"")</f>
        <v/>
      </c>
      <c r="I275" s="242" t="str">
        <f>IFERROR(VLOOKUP(T_BilanSocial2[[#This Row],[Zone_Bilan]],T_P_BilanSocial[#Data],COLUMN(T_P_BilanSocial[[#This Row],[Statut]]),FALSE),"")</f>
        <v/>
      </c>
      <c r="J275" s="242" t="str">
        <f>IFERROR(VLOOKUP(T_BilanSocial2[[#This Row],[Zone_Bilan]],T_P_BilanSocial[#Data],COLUMN(T_P_BilanSocial[[#This Row],[Filiere]]),FALSE),"")</f>
        <v/>
      </c>
      <c r="K275" s="78">
        <v>0.8</v>
      </c>
      <c r="L275" s="213">
        <v>1.2361111111111112</v>
      </c>
      <c r="M275" s="78" t="s">
        <v>210</v>
      </c>
      <c r="N275" s="79" t="str">
        <f>IF((AND(T_BilanSocial2[[#This Row],[Nom]]&lt;&gt;"",T_BilanSocial2[[#This Row],[Reg Ponct]]="R")),(COUNTIF(S275:AX275,"S")+COUNTIF(S275:AX275,"T"))/2,"")</f>
        <v/>
      </c>
      <c r="O275" s="79" t="str">
        <f>IF((AND(T_BilanSocial2[[#This Row],[Nom]]&lt;&gt;"",T_BilanSocial2[[#This Row],[Reg Ponct]]="R")),COUNTIF(S275:AX275,"S")/2,"")</f>
        <v/>
      </c>
      <c r="P275" s="80" t="str">
        <f>IF((AND(T_BilanSocial2[[#This Row],[Nom]]&lt;&gt;"",T_BilanSocial2[[#This Row],[Reg Ponct]]="R")),COUNTIF(S275:AX275,"t")/2,"")</f>
        <v/>
      </c>
      <c r="Q275" s="81" t="str">
        <f t="shared" si="34"/>
        <v/>
      </c>
      <c r="R275" s="82" t="str">
        <f>IF((AND(T_BilanSocial2[[#This Row],[Nom]]&lt;&gt;"",T_BilanSocial2[[#This Row],[Reg Ponct]]="R")),IF(S275="T",U275-T275,0)+IF(V275="T",X275-W275,0)+IF(Z275="T",AB275-AA275,0)+IF(AC275="T",AE275-AD275,0)+IF(AG275="T",AI275-AH275,0)+IF(AJ275="T",AL275-AK275,0)+IF(AN275="T",AP275-AO275,0)+IF(AQ275="T",AS275-AR275,0)+IF(AU275="T",AW275-AV275,0)+IF(AX275="T",AZ275-AY275,0),"")</f>
        <v/>
      </c>
      <c r="S275" s="36" t="s">
        <v>306</v>
      </c>
      <c r="T275" s="37">
        <v>0.3923611111111111</v>
      </c>
      <c r="U275" s="37">
        <v>0.52083333333333337</v>
      </c>
      <c r="V275" s="21" t="s">
        <v>306</v>
      </c>
      <c r="W275" s="37">
        <v>0.5625</v>
      </c>
      <c r="X275" s="37">
        <v>0.75</v>
      </c>
      <c r="Y275" s="38" t="str">
        <f t="shared" si="35"/>
        <v/>
      </c>
      <c r="Z275" s="36" t="s">
        <v>307</v>
      </c>
      <c r="AA275" s="37">
        <v>0.38541666666666669</v>
      </c>
      <c r="AB275" s="37">
        <v>0.52083333333333337</v>
      </c>
      <c r="AC275" s="21" t="s">
        <v>307</v>
      </c>
      <c r="AD275" s="37">
        <v>0.5625</v>
      </c>
      <c r="AE275" s="37">
        <v>0.73611111111111116</v>
      </c>
      <c r="AF275" s="38" t="str">
        <f t="shared" si="36"/>
        <v/>
      </c>
      <c r="AG275" s="36" t="s">
        <v>306</v>
      </c>
      <c r="AH275" s="37">
        <v>0.38541666666666669</v>
      </c>
      <c r="AI275" s="37">
        <v>0.52083333333333337</v>
      </c>
      <c r="AJ275" s="21" t="s">
        <v>306</v>
      </c>
      <c r="AK275" s="37">
        <v>0.5625</v>
      </c>
      <c r="AL275" s="37">
        <v>0.73263888888888884</v>
      </c>
      <c r="AM275" s="38" t="str">
        <f t="shared" si="37"/>
        <v/>
      </c>
      <c r="AN275" s="36" t="s">
        <v>306</v>
      </c>
      <c r="AO275" s="37">
        <v>0.38541666666666669</v>
      </c>
      <c r="AP275" s="37">
        <v>0.52083333333333337</v>
      </c>
      <c r="AQ275" s="21" t="s">
        <v>306</v>
      </c>
      <c r="AR275" s="37">
        <v>0.5625</v>
      </c>
      <c r="AS275" s="37">
        <v>0.73263888888888884</v>
      </c>
      <c r="AT275" s="38" t="str">
        <f t="shared" si="38"/>
        <v/>
      </c>
      <c r="AU275" s="36" t="s">
        <v>308</v>
      </c>
      <c r="AV275" s="37"/>
      <c r="AW275" s="37"/>
      <c r="AX275" s="21" t="s">
        <v>308</v>
      </c>
      <c r="AY275" s="37"/>
      <c r="AZ275" s="37"/>
      <c r="BA275" s="39" t="str">
        <f t="shared" si="39"/>
        <v/>
      </c>
      <c r="BB275" s="46" t="s">
        <v>398</v>
      </c>
      <c r="BC275" s="31" t="s">
        <v>895</v>
      </c>
      <c r="BD275" s="16" t="s">
        <v>311</v>
      </c>
      <c r="BE275" s="16" t="s">
        <v>311</v>
      </c>
      <c r="BF275" s="244" t="str">
        <f>T_BilanSocial2[[#This Row],[Nom]]&amp;T_BilanSocial2[[#This Row],[Prénom]]</f>
        <v/>
      </c>
    </row>
    <row r="276" spans="1:58" ht="21.75" customHeight="1" x14ac:dyDescent="0.25">
      <c r="A276" s="90">
        <v>120</v>
      </c>
      <c r="B276" s="126" t="s">
        <v>210</v>
      </c>
      <c r="C276" s="126" t="str">
        <f>VLOOKUP(T_BilanSocial2[[#This Row],[NumL]],T_Commission[#Data],COLUMN(T_Commission[FINAL]),FALSE)</f>
        <v/>
      </c>
      <c r="D276" s="19" t="str">
        <f t="shared" si="32"/>
        <v/>
      </c>
      <c r="E276" s="19" t="str">
        <f t="shared" si="33"/>
        <v/>
      </c>
      <c r="F276" s="242" t="str">
        <f>IFERROR(VLOOKUP(T_BilanSocial2[[#This Row],[Zone_Bilan]],T_P_BilanSocial[#Data],COLUMN(T_P_BilanSocial[[#This Row],[Numero_SIHAM]]),FALSE),"")</f>
        <v/>
      </c>
      <c r="G276" s="242" t="str">
        <f>IFERROR(VLOOKUP(T_BilanSocial2[[#This Row],[Zone_Bilan]],T_P_BilanSocial[#Data],COLUMN(T_P_BilanSocial[[#This Row],[Sexe]]),FALSE),"")</f>
        <v/>
      </c>
      <c r="H276" s="243" t="str">
        <f>IFERROR(VLOOKUP(T_BilanSocial2[[#This Row],[Zone_Bilan]],T_P_BilanSocial[#Data],COLUMN(T_P_BilanSocial[[#This Row],[Categorie]]),FALSE),"")</f>
        <v/>
      </c>
      <c r="I276" s="242" t="str">
        <f>IFERROR(VLOOKUP(T_BilanSocial2[[#This Row],[Zone_Bilan]],T_P_BilanSocial[#Data],COLUMN(T_P_BilanSocial[[#This Row],[Statut]]),FALSE),"")</f>
        <v/>
      </c>
      <c r="J276" s="242" t="str">
        <f>IFERROR(VLOOKUP(T_BilanSocial2[[#This Row],[Zone_Bilan]],T_P_BilanSocial[#Data],COLUMN(T_P_BilanSocial[[#This Row],[Filiere]]),FALSE),"")</f>
        <v/>
      </c>
      <c r="K276" s="78">
        <v>1</v>
      </c>
      <c r="L276" s="213">
        <v>1.5451388888888891</v>
      </c>
      <c r="M276" s="78" t="s">
        <v>210</v>
      </c>
      <c r="N276" s="79" t="str">
        <f>IF((AND(T_BilanSocial2[[#This Row],[Nom]]&lt;&gt;"",T_BilanSocial2[[#This Row],[Reg Ponct]]="R")),(COUNTIF(S276:AX276,"S")+COUNTIF(S276:AX276,"T"))/2,"")</f>
        <v/>
      </c>
      <c r="O276" s="79" t="str">
        <f>IF((AND(T_BilanSocial2[[#This Row],[Nom]]&lt;&gt;"",T_BilanSocial2[[#This Row],[Reg Ponct]]="R")),COUNTIF(S276:AX276,"S")/2,"")</f>
        <v/>
      </c>
      <c r="P276" s="80" t="str">
        <f>IF((AND(T_BilanSocial2[[#This Row],[Nom]]&lt;&gt;"",T_BilanSocial2[[#This Row],[Reg Ponct]]="R")),COUNTIF(S276:AX276,"t")/2,"")</f>
        <v/>
      </c>
      <c r="Q276" s="81" t="str">
        <f t="shared" si="34"/>
        <v/>
      </c>
      <c r="R276" s="82" t="str">
        <f>IF((AND(T_BilanSocial2[[#This Row],[Nom]]&lt;&gt;"",T_BilanSocial2[[#This Row],[Reg Ponct]]="R")),IF(S276="T",U276-T276,0)+IF(V276="T",X276-W276,0)+IF(Z276="T",AB276-AA276,0)+IF(AC276="T",AE276-AD276,0)+IF(AG276="T",AI276-AH276,0)+IF(AJ276="T",AL276-AK276,0)+IF(AN276="T",AP276-AO276,0)+IF(AQ276="T",AS276-AR276,0)+IF(AU276="T",AW276-AV276,0)+IF(AX276="T",AZ276-AY276,0),"")</f>
        <v/>
      </c>
      <c r="S276" s="36" t="s">
        <v>306</v>
      </c>
      <c r="T276" s="37">
        <v>0.35416666666666669</v>
      </c>
      <c r="U276" s="37">
        <v>0.51041666666666663</v>
      </c>
      <c r="V276" s="21" t="s">
        <v>306</v>
      </c>
      <c r="W276" s="37">
        <v>0.55208333333333337</v>
      </c>
      <c r="X276" s="37">
        <v>0.75</v>
      </c>
      <c r="Y276" s="38" t="str">
        <f t="shared" si="35"/>
        <v/>
      </c>
      <c r="Z276" s="36" t="s">
        <v>307</v>
      </c>
      <c r="AA276" s="37">
        <v>0.35416666666666669</v>
      </c>
      <c r="AB276" s="37">
        <v>0.51041666666666663</v>
      </c>
      <c r="AC276" s="21" t="s">
        <v>307</v>
      </c>
      <c r="AD276" s="37">
        <v>0.55208333333333337</v>
      </c>
      <c r="AE276" s="37">
        <v>0.75</v>
      </c>
      <c r="AF276" s="38" t="str">
        <f t="shared" si="36"/>
        <v/>
      </c>
      <c r="AG276" s="36" t="s">
        <v>306</v>
      </c>
      <c r="AH276" s="37">
        <v>0.35416666666666669</v>
      </c>
      <c r="AI276" s="37">
        <v>0.51041666666666663</v>
      </c>
      <c r="AJ276" s="21" t="s">
        <v>306</v>
      </c>
      <c r="AK276" s="37">
        <v>0.55208333333333337</v>
      </c>
      <c r="AL276" s="37">
        <v>0.75</v>
      </c>
      <c r="AM276" s="38" t="str">
        <f t="shared" si="37"/>
        <v/>
      </c>
      <c r="AN276" s="36" t="s">
        <v>306</v>
      </c>
      <c r="AO276" s="37">
        <v>0.35416666666666669</v>
      </c>
      <c r="AP276" s="37">
        <v>0.51041666666666663</v>
      </c>
      <c r="AQ276" s="21" t="s">
        <v>306</v>
      </c>
      <c r="AR276" s="37">
        <v>0.55208333333333337</v>
      </c>
      <c r="AS276" s="37">
        <v>0.75</v>
      </c>
      <c r="AT276" s="38" t="str">
        <f t="shared" si="38"/>
        <v/>
      </c>
      <c r="AU276" s="36" t="s">
        <v>307</v>
      </c>
      <c r="AV276" s="37">
        <v>0.35416666666666669</v>
      </c>
      <c r="AW276" s="37">
        <v>0.4826388888888889</v>
      </c>
      <c r="AX276" s="21" t="s">
        <v>308</v>
      </c>
      <c r="AY276" s="37"/>
      <c r="AZ276" s="37"/>
      <c r="BA276" s="39" t="str">
        <f t="shared" si="39"/>
        <v/>
      </c>
      <c r="BB276" s="46" t="s">
        <v>762</v>
      </c>
      <c r="BC276" s="31" t="s">
        <v>763</v>
      </c>
      <c r="BD276" s="16" t="s">
        <v>322</v>
      </c>
      <c r="BE276" s="16" t="s">
        <v>322</v>
      </c>
      <c r="BF276" s="244" t="str">
        <f>T_BilanSocial2[[#This Row],[Nom]]&amp;T_BilanSocial2[[#This Row],[Prénom]]</f>
        <v/>
      </c>
    </row>
    <row r="277" spans="1:58" ht="21.75" hidden="1" customHeight="1" x14ac:dyDescent="0.25">
      <c r="A277" s="90">
        <v>53</v>
      </c>
      <c r="B277" s="126" t="s">
        <v>210</v>
      </c>
      <c r="C277" s="126" t="str">
        <f>VLOOKUP(T_BilanSocial2[[#This Row],[NumL]],T_Commission[#Data],COLUMN(T_Commission[FINAL]),FALSE)</f>
        <v/>
      </c>
      <c r="D277" s="19" t="str">
        <f t="shared" si="32"/>
        <v/>
      </c>
      <c r="E277" s="19" t="str">
        <f t="shared" si="33"/>
        <v/>
      </c>
      <c r="F277" s="242" t="str">
        <f>IFERROR(VLOOKUP(T_BilanSocial2[[#This Row],[Zone_Bilan]],T_P_BilanSocial[#Data],COLUMN(T_P_BilanSocial[[#This Row],[Numero_SIHAM]]),FALSE),"")</f>
        <v/>
      </c>
      <c r="G277" s="242" t="str">
        <f>IFERROR(VLOOKUP(T_BilanSocial2[[#This Row],[Zone_Bilan]],T_P_BilanSocial[#Data],COLUMN(T_P_BilanSocial[[#This Row],[Sexe]]),FALSE),"")</f>
        <v/>
      </c>
      <c r="H277" s="243" t="str">
        <f>IFERROR(VLOOKUP(T_BilanSocial2[[#This Row],[Zone_Bilan]],T_P_BilanSocial[#Data],COLUMN(T_P_BilanSocial[[#This Row],[Categorie]]),FALSE),"")</f>
        <v/>
      </c>
      <c r="I277" s="242" t="str">
        <f>IFERROR(VLOOKUP(T_BilanSocial2[[#This Row],[Zone_Bilan]],T_P_BilanSocial[#Data],COLUMN(T_P_BilanSocial[[#This Row],[Statut]]),FALSE),"")</f>
        <v/>
      </c>
      <c r="J277" s="242" t="str">
        <f>IFERROR(VLOOKUP(T_BilanSocial2[[#This Row],[Zone_Bilan]],T_P_BilanSocial[#Data],COLUMN(T_P_BilanSocial[[#This Row],[Filiere]]),FALSE),"")</f>
        <v/>
      </c>
      <c r="K277" s="78">
        <v>1</v>
      </c>
      <c r="L277" s="213">
        <v>1.5451388888888891</v>
      </c>
      <c r="M277" s="78" t="s">
        <v>210</v>
      </c>
      <c r="N277" s="79" t="str">
        <f>IF((AND(T_BilanSocial2[[#This Row],[Nom]]&lt;&gt;"",T_BilanSocial2[[#This Row],[Reg Ponct]]="R")),(COUNTIF(S277:AX277,"S")+COUNTIF(S277:AX277,"T"))/2,"")</f>
        <v/>
      </c>
      <c r="O277" s="79" t="str">
        <f>IF((AND(T_BilanSocial2[[#This Row],[Nom]]&lt;&gt;"",T_BilanSocial2[[#This Row],[Reg Ponct]]="R")),COUNTIF(S277:AX277,"S")/2,"")</f>
        <v/>
      </c>
      <c r="P277" s="80" t="str">
        <f>IF((AND(T_BilanSocial2[[#This Row],[Nom]]&lt;&gt;"",T_BilanSocial2[[#This Row],[Reg Ponct]]="R")),COUNTIF(S277:AX277,"t")/2,"")</f>
        <v/>
      </c>
      <c r="Q277" s="81" t="str">
        <f t="shared" si="34"/>
        <v/>
      </c>
      <c r="R277" s="82" t="str">
        <f>IF((AND(T_BilanSocial2[[#This Row],[Nom]]&lt;&gt;"",T_BilanSocial2[[#This Row],[Reg Ponct]]="R")),IF(S277="T",U277-T277,0)+IF(V277="T",X277-W277,0)+IF(Z277="T",AB277-AA277,0)+IF(AC277="T",AE277-AD277,0)+IF(AG277="T",AI277-AH277,0)+IF(AJ277="T",AL277-AK277,0)+IF(AN277="T",AP277-AO277,0)+IF(AQ277="T",AS277-AR277,0)+IF(AU277="T",AW277-AV277,0)+IF(AX277="T",AZ277-AY277,0),"")</f>
        <v/>
      </c>
      <c r="S277" s="36" t="s">
        <v>306</v>
      </c>
      <c r="T277" s="37">
        <v>0.32291666666666669</v>
      </c>
      <c r="U277" s="37">
        <v>0.52083333333333337</v>
      </c>
      <c r="V277" s="21" t="s">
        <v>306</v>
      </c>
      <c r="W277" s="37">
        <v>0.5625</v>
      </c>
      <c r="X277" s="37">
        <v>0.69791666666666663</v>
      </c>
      <c r="Y277" s="38" t="str">
        <f t="shared" si="35"/>
        <v/>
      </c>
      <c r="Z277" s="36" t="s">
        <v>306</v>
      </c>
      <c r="AA277" s="37">
        <v>0.32291666666666669</v>
      </c>
      <c r="AB277" s="37">
        <v>0.52083333333333337</v>
      </c>
      <c r="AC277" s="21" t="s">
        <v>306</v>
      </c>
      <c r="AD277" s="37">
        <v>0.5625</v>
      </c>
      <c r="AE277" s="37">
        <v>0.67361111111111116</v>
      </c>
      <c r="AF277" s="38" t="str">
        <f t="shared" si="36"/>
        <v/>
      </c>
      <c r="AG277" s="36" t="s">
        <v>307</v>
      </c>
      <c r="AH277" s="37">
        <v>0.32291666666666669</v>
      </c>
      <c r="AI277" s="37">
        <v>0.52083333333333337</v>
      </c>
      <c r="AJ277" s="21" t="s">
        <v>307</v>
      </c>
      <c r="AK277" s="37">
        <v>0.5625</v>
      </c>
      <c r="AL277" s="37">
        <v>0.68402777777777779</v>
      </c>
      <c r="AM277" s="38" t="str">
        <f t="shared" si="37"/>
        <v/>
      </c>
      <c r="AN277" s="36" t="s">
        <v>306</v>
      </c>
      <c r="AO277" s="37">
        <v>0.32291666666666669</v>
      </c>
      <c r="AP277" s="37">
        <v>0.52083333333333337</v>
      </c>
      <c r="AQ277" s="21" t="s">
        <v>306</v>
      </c>
      <c r="AR277" s="37">
        <v>0.5625</v>
      </c>
      <c r="AS277" s="37">
        <v>0.65625</v>
      </c>
      <c r="AT277" s="38" t="str">
        <f t="shared" si="38"/>
        <v/>
      </c>
      <c r="AU277" s="36" t="s">
        <v>306</v>
      </c>
      <c r="AV277" s="37">
        <v>0.32291666666666669</v>
      </c>
      <c r="AW277" s="37">
        <v>0.52083333333333337</v>
      </c>
      <c r="AX277" s="21" t="s">
        <v>306</v>
      </c>
      <c r="AY277" s="37">
        <v>0.5625</v>
      </c>
      <c r="AZ277" s="37">
        <v>0.65625</v>
      </c>
      <c r="BA277" s="39" t="str">
        <f t="shared" si="39"/>
        <v/>
      </c>
      <c r="BB277" s="46" t="s">
        <v>552</v>
      </c>
      <c r="BC277" s="31" t="s">
        <v>553</v>
      </c>
      <c r="BD277" s="16" t="s">
        <v>311</v>
      </c>
      <c r="BE277" s="16" t="s">
        <v>322</v>
      </c>
      <c r="BF277" s="244" t="str">
        <f>T_BilanSocial2[[#This Row],[Nom]]&amp;T_BilanSocial2[[#This Row],[Prénom]]</f>
        <v/>
      </c>
    </row>
    <row r="278" spans="1:58" ht="21.75" hidden="1" customHeight="1" x14ac:dyDescent="0.25">
      <c r="A278" s="90">
        <v>200</v>
      </c>
      <c r="B278" s="126" t="s">
        <v>311</v>
      </c>
      <c r="C278" s="126" t="str">
        <f>VLOOKUP(T_BilanSocial2[[#This Row],[NumL]],T_Commission[#Data],COLUMN(T_Commission[FINAL]),FALSE)</f>
        <v/>
      </c>
      <c r="D278" s="19" t="str">
        <f t="shared" si="32"/>
        <v/>
      </c>
      <c r="E278" s="19" t="str">
        <f t="shared" si="33"/>
        <v/>
      </c>
      <c r="F278" s="242" t="str">
        <f>IFERROR(VLOOKUP(T_BilanSocial2[[#This Row],[Zone_Bilan]],T_P_BilanSocial[#Data],COLUMN(T_P_BilanSocial[[#This Row],[Numero_SIHAM]]),FALSE),"")</f>
        <v/>
      </c>
      <c r="G278" s="242" t="str">
        <f>IFERROR(VLOOKUP(T_BilanSocial2[[#This Row],[Zone_Bilan]],T_P_BilanSocial[#Data],COLUMN(T_P_BilanSocial[[#This Row],[Sexe]]),FALSE),"")</f>
        <v/>
      </c>
      <c r="H278" s="243" t="str">
        <f>IFERROR(VLOOKUP(T_BilanSocial2[[#This Row],[Zone_Bilan]],T_P_BilanSocial[#Data],COLUMN(T_P_BilanSocial[[#This Row],[Categorie]]),FALSE),"")</f>
        <v/>
      </c>
      <c r="I278" s="242" t="str">
        <f>IFERROR(VLOOKUP(T_BilanSocial2[[#This Row],[Zone_Bilan]],T_P_BilanSocial[#Data],COLUMN(T_P_BilanSocial[[#This Row],[Statut]]),FALSE),"")</f>
        <v/>
      </c>
      <c r="J278" s="242" t="str">
        <f>IFERROR(VLOOKUP(T_BilanSocial2[[#This Row],[Zone_Bilan]],T_P_BilanSocial[#Data],COLUMN(T_P_BilanSocial[[#This Row],[Filiere]]),FALSE),"")</f>
        <v/>
      </c>
      <c r="K278" s="78">
        <v>1</v>
      </c>
      <c r="L278" s="213">
        <v>1.5451388888888891</v>
      </c>
      <c r="M278" s="78" t="s">
        <v>211</v>
      </c>
      <c r="N278" s="79" t="str">
        <f>IF((AND(T_BilanSocial2[[#This Row],[Nom]]&lt;&gt;"",T_BilanSocial2[[#This Row],[Reg Ponct]]="R")),(COUNTIF(S278:AX278,"S")+COUNTIF(S278:AX278,"T"))/2,"")</f>
        <v/>
      </c>
      <c r="O278" s="79" t="str">
        <f>IF((AND(T_BilanSocial2[[#This Row],[Nom]]&lt;&gt;"",T_BilanSocial2[[#This Row],[Reg Ponct]]="R")),COUNTIF(S278:AX278,"S")/2,"")</f>
        <v/>
      </c>
      <c r="P278" s="80" t="str">
        <f>IF((AND(T_BilanSocial2[[#This Row],[Nom]]&lt;&gt;"",T_BilanSocial2[[#This Row],[Reg Ponct]]="R")),COUNTIF(S278:AX278,"t")/2,"")</f>
        <v/>
      </c>
      <c r="Q278" s="81" t="str">
        <f t="shared" si="34"/>
        <v/>
      </c>
      <c r="R278" s="82" t="str">
        <f>IF((AND(T_BilanSocial2[[#This Row],[Nom]]&lt;&gt;"",T_BilanSocial2[[#This Row],[Reg Ponct]]="R")),IF(S278="T",U278-T278,0)+IF(V278="T",X278-W278,0)+IF(Z278="T",AB278-AA278,0)+IF(AC278="T",AE278-AD278,0)+IF(AG278="T",AI278-AH278,0)+IF(AJ278="T",AL278-AK278,0)+IF(AN278="T",AP278-AO278,0)+IF(AQ278="T",AS278-AR278,0)+IF(AU278="T",AW278-AV278,0)+IF(AX278="T",AZ278-AY278,0),"")</f>
        <v/>
      </c>
      <c r="S278" s="36"/>
      <c r="T278" s="37"/>
      <c r="U278" s="37"/>
      <c r="V278" s="21"/>
      <c r="W278" s="37"/>
      <c r="X278" s="37"/>
      <c r="Y278" s="38" t="str">
        <f t="shared" si="35"/>
        <v/>
      </c>
      <c r="Z278" s="36"/>
      <c r="AA278" s="37"/>
      <c r="AB278" s="37"/>
      <c r="AC278" s="21"/>
      <c r="AD278" s="37"/>
      <c r="AE278" s="37"/>
      <c r="AF278" s="38" t="str">
        <f t="shared" si="36"/>
        <v/>
      </c>
      <c r="AG278" s="36"/>
      <c r="AH278" s="37"/>
      <c r="AI278" s="37"/>
      <c r="AJ278" s="21"/>
      <c r="AK278" s="37"/>
      <c r="AL278" s="37"/>
      <c r="AM278" s="38" t="str">
        <f t="shared" si="37"/>
        <v/>
      </c>
      <c r="AN278" s="36"/>
      <c r="AO278" s="37"/>
      <c r="AP278" s="37"/>
      <c r="AQ278" s="21"/>
      <c r="AR278" s="37"/>
      <c r="AS278" s="37"/>
      <c r="AT278" s="38" t="str">
        <f t="shared" si="38"/>
        <v/>
      </c>
      <c r="AU278" s="36"/>
      <c r="AV278" s="37"/>
      <c r="AW278" s="37"/>
      <c r="AX278" s="21"/>
      <c r="AY278" s="37"/>
      <c r="AZ278" s="37"/>
      <c r="BA278" s="39" t="str">
        <f t="shared" si="39"/>
        <v/>
      </c>
      <c r="BB278" s="46" t="s">
        <v>481</v>
      </c>
      <c r="BC278" s="31" t="s">
        <v>341</v>
      </c>
      <c r="BD278" s="16" t="s">
        <v>311</v>
      </c>
      <c r="BE278" s="16" t="s">
        <v>311</v>
      </c>
      <c r="BF278" s="244" t="str">
        <f>T_BilanSocial2[[#This Row],[Nom]]&amp;T_BilanSocial2[[#This Row],[Prénom]]</f>
        <v/>
      </c>
    </row>
    <row r="279" spans="1:58" ht="21.75" hidden="1" customHeight="1" x14ac:dyDescent="0.25">
      <c r="A279" s="90">
        <v>192</v>
      </c>
      <c r="B279" s="126" t="s">
        <v>210</v>
      </c>
      <c r="C279" s="126" t="str">
        <f>VLOOKUP(T_BilanSocial2[[#This Row],[NumL]],T_Commission[#Data],COLUMN(T_Commission[FINAL]),FALSE)</f>
        <v/>
      </c>
      <c r="D279" s="19" t="str">
        <f t="shared" si="32"/>
        <v/>
      </c>
      <c r="E279" s="19" t="str">
        <f t="shared" si="33"/>
        <v/>
      </c>
      <c r="F279" s="242" t="str">
        <f>IFERROR(VLOOKUP(T_BilanSocial2[[#This Row],[Zone_Bilan]],T_P_BilanSocial[#Data],COLUMN(T_P_BilanSocial[[#This Row],[Numero_SIHAM]]),FALSE),"")</f>
        <v/>
      </c>
      <c r="G279" s="242" t="str">
        <f>IFERROR(VLOOKUP(T_BilanSocial2[[#This Row],[Zone_Bilan]],T_P_BilanSocial[#Data],COLUMN(T_P_BilanSocial[[#This Row],[Sexe]]),FALSE),"")</f>
        <v/>
      </c>
      <c r="H279" s="243" t="str">
        <f>IFERROR(VLOOKUP(T_BilanSocial2[[#This Row],[Zone_Bilan]],T_P_BilanSocial[#Data],COLUMN(T_P_BilanSocial[[#This Row],[Categorie]]),FALSE),"")</f>
        <v/>
      </c>
      <c r="I279" s="242" t="str">
        <f>IFERROR(VLOOKUP(T_BilanSocial2[[#This Row],[Zone_Bilan]],T_P_BilanSocial[#Data],COLUMN(T_P_BilanSocial[[#This Row],[Statut]]),FALSE),"")</f>
        <v/>
      </c>
      <c r="J279" s="242" t="str">
        <f>IFERROR(VLOOKUP(T_BilanSocial2[[#This Row],[Zone_Bilan]],T_P_BilanSocial[#Data],COLUMN(T_P_BilanSocial[[#This Row],[Filiere]]),FALSE),"")</f>
        <v/>
      </c>
      <c r="K279" s="78">
        <v>1</v>
      </c>
      <c r="L279" s="213">
        <v>1.5451388888888891</v>
      </c>
      <c r="M279" s="78" t="s">
        <v>210</v>
      </c>
      <c r="N279" s="79" t="str">
        <f>IF((AND(T_BilanSocial2[[#This Row],[Nom]]&lt;&gt;"",T_BilanSocial2[[#This Row],[Reg Ponct]]="R")),(COUNTIF(S279:AX279,"S")+COUNTIF(S279:AX279,"T"))/2,"")</f>
        <v/>
      </c>
      <c r="O279" s="79" t="str">
        <f>IF((AND(T_BilanSocial2[[#This Row],[Nom]]&lt;&gt;"",T_BilanSocial2[[#This Row],[Reg Ponct]]="R")),COUNTIF(S279:AX279,"S")/2,"")</f>
        <v/>
      </c>
      <c r="P279" s="80" t="str">
        <f>IF((AND(T_BilanSocial2[[#This Row],[Nom]]&lt;&gt;"",T_BilanSocial2[[#This Row],[Reg Ponct]]="R")),COUNTIF(S279:AX279,"t")/2,"")</f>
        <v/>
      </c>
      <c r="Q279" s="81" t="str">
        <f t="shared" si="34"/>
        <v/>
      </c>
      <c r="R279" s="82" t="str">
        <f>IF((AND(T_BilanSocial2[[#This Row],[Nom]]&lt;&gt;"",T_BilanSocial2[[#This Row],[Reg Ponct]]="R")),IF(S279="T",U279-T279,0)+IF(V279="T",X279-W279,0)+IF(Z279="T",AB279-AA279,0)+IF(AC279="T",AE279-AD279,0)+IF(AG279="T",AI279-AH279,0)+IF(AJ279="T",AL279-AK279,0)+IF(AN279="T",AP279-AO279,0)+IF(AQ279="T",AS279-AR279,0)+IF(AU279="T",AW279-AV279,0)+IF(AX279="T",AZ279-AY279,0),"")</f>
        <v/>
      </c>
      <c r="S279" s="36" t="s">
        <v>306</v>
      </c>
      <c r="T279" s="37">
        <v>0.33333333333333331</v>
      </c>
      <c r="U279" s="37">
        <v>0.5</v>
      </c>
      <c r="V279" s="21" t="s">
        <v>306</v>
      </c>
      <c r="W279" s="37">
        <v>0.54166666666666663</v>
      </c>
      <c r="X279" s="37">
        <v>0.70833333333333337</v>
      </c>
      <c r="Y279" s="38" t="str">
        <f t="shared" si="35"/>
        <v/>
      </c>
      <c r="Z279" s="36" t="s">
        <v>306</v>
      </c>
      <c r="AA279" s="37">
        <v>0.33333333333333331</v>
      </c>
      <c r="AB279" s="37">
        <v>0.5</v>
      </c>
      <c r="AC279" s="21" t="s">
        <v>306</v>
      </c>
      <c r="AD279" s="37">
        <v>0.54166666666666663</v>
      </c>
      <c r="AE279" s="37">
        <v>0.79166666666666663</v>
      </c>
      <c r="AF279" s="38" t="str">
        <f t="shared" si="36"/>
        <v/>
      </c>
      <c r="AG279" s="36" t="s">
        <v>306</v>
      </c>
      <c r="AH279" s="37">
        <v>0.33333333333333331</v>
      </c>
      <c r="AI279" s="37">
        <v>0.54166666666666663</v>
      </c>
      <c r="AJ279" s="21" t="s">
        <v>308</v>
      </c>
      <c r="AK279" s="37"/>
      <c r="AL279" s="37"/>
      <c r="AM279" s="38" t="str">
        <f t="shared" si="37"/>
        <v/>
      </c>
      <c r="AN279" s="36" t="s">
        <v>306</v>
      </c>
      <c r="AO279" s="37">
        <v>0.33333333333333331</v>
      </c>
      <c r="AP279" s="37">
        <v>0.5</v>
      </c>
      <c r="AQ279" s="21" t="s">
        <v>306</v>
      </c>
      <c r="AR279" s="37">
        <v>0.54166666666666663</v>
      </c>
      <c r="AS279" s="37">
        <v>0.625</v>
      </c>
      <c r="AT279" s="38" t="str">
        <f t="shared" si="38"/>
        <v/>
      </c>
      <c r="AU279" s="36" t="s">
        <v>307</v>
      </c>
      <c r="AV279" s="37">
        <v>0.33333333333333331</v>
      </c>
      <c r="AW279" s="37">
        <v>0.47916666666666669</v>
      </c>
      <c r="AX279" s="21" t="s">
        <v>307</v>
      </c>
      <c r="AY279" s="37">
        <v>0.52083333333333337</v>
      </c>
      <c r="AZ279" s="37">
        <v>0.71180555555555547</v>
      </c>
      <c r="BA279" s="39" t="str">
        <f t="shared" si="39"/>
        <v/>
      </c>
      <c r="BB279" s="46" t="s">
        <v>705</v>
      </c>
      <c r="BC279" s="31" t="s">
        <v>706</v>
      </c>
      <c r="BD279" s="16" t="s">
        <v>322</v>
      </c>
      <c r="BE279" s="16" t="s">
        <v>322</v>
      </c>
      <c r="BF279" s="244" t="str">
        <f>T_BilanSocial2[[#This Row],[Nom]]&amp;T_BilanSocial2[[#This Row],[Prénom]]</f>
        <v/>
      </c>
    </row>
    <row r="280" spans="1:58" ht="21.75" hidden="1" customHeight="1" x14ac:dyDescent="0.25">
      <c r="A280" s="90">
        <v>214</v>
      </c>
      <c r="B280" s="126" t="s">
        <v>311</v>
      </c>
      <c r="C280" s="126" t="str">
        <f>VLOOKUP(T_BilanSocial2[[#This Row],[NumL]],T_Commission[#Data],COLUMN(T_Commission[FINAL]),FALSE)</f>
        <v/>
      </c>
      <c r="D280" s="19" t="str">
        <f t="shared" si="32"/>
        <v/>
      </c>
      <c r="E280" s="19" t="str">
        <f t="shared" si="33"/>
        <v/>
      </c>
      <c r="F280" s="242" t="str">
        <f>IFERROR(VLOOKUP(T_BilanSocial2[[#This Row],[Zone_Bilan]],T_P_BilanSocial[#Data],COLUMN(T_P_BilanSocial[[#This Row],[Numero_SIHAM]]),FALSE),"")</f>
        <v/>
      </c>
      <c r="G280" s="242" t="str">
        <f>IFERROR(VLOOKUP(T_BilanSocial2[[#This Row],[Zone_Bilan]],T_P_BilanSocial[#Data],COLUMN(T_P_BilanSocial[[#This Row],[Sexe]]),FALSE),"")</f>
        <v/>
      </c>
      <c r="H280" s="243" t="str">
        <f>IFERROR(VLOOKUP(T_BilanSocial2[[#This Row],[Zone_Bilan]],T_P_BilanSocial[#Data],COLUMN(T_P_BilanSocial[[#This Row],[Categorie]]),FALSE),"")</f>
        <v/>
      </c>
      <c r="I280" s="242" t="str">
        <f>IFERROR(VLOOKUP(T_BilanSocial2[[#This Row],[Zone_Bilan]],T_P_BilanSocial[#Data],COLUMN(T_P_BilanSocial[[#This Row],[Statut]]),FALSE),"")</f>
        <v/>
      </c>
      <c r="J280" s="242" t="str">
        <f>IFERROR(VLOOKUP(T_BilanSocial2[[#This Row],[Zone_Bilan]],T_P_BilanSocial[#Data],COLUMN(T_P_BilanSocial[[#This Row],[Filiere]]),FALSE),"")</f>
        <v/>
      </c>
      <c r="K280" s="78">
        <v>1</v>
      </c>
      <c r="L280" s="213">
        <v>1.5451388888888891</v>
      </c>
      <c r="M280" s="78" t="s">
        <v>210</v>
      </c>
      <c r="N280" s="79" t="str">
        <f>IF((AND(T_BilanSocial2[[#This Row],[Nom]]&lt;&gt;"",T_BilanSocial2[[#This Row],[Reg Ponct]]="R")),(COUNTIF(S280:AX280,"S")+COUNTIF(S280:AX280,"T"))/2,"")</f>
        <v/>
      </c>
      <c r="O280" s="79" t="str">
        <f>IF((AND(T_BilanSocial2[[#This Row],[Nom]]&lt;&gt;"",T_BilanSocial2[[#This Row],[Reg Ponct]]="R")),COUNTIF(S280:AX280,"S")/2,"")</f>
        <v/>
      </c>
      <c r="P280" s="80" t="str">
        <f>IF((AND(T_BilanSocial2[[#This Row],[Nom]]&lt;&gt;"",T_BilanSocial2[[#This Row],[Reg Ponct]]="R")),COUNTIF(S280:AX280,"t")/2,"")</f>
        <v/>
      </c>
      <c r="Q280" s="81" t="str">
        <f t="shared" si="34"/>
        <v/>
      </c>
      <c r="R280" s="82" t="str">
        <f>IF((AND(T_BilanSocial2[[#This Row],[Nom]]&lt;&gt;"",T_BilanSocial2[[#This Row],[Reg Ponct]]="R")),IF(S280="T",U280-T280,0)+IF(V280="T",X280-W280,0)+IF(Z280="T",AB280-AA280,0)+IF(AC280="T",AE280-AD280,0)+IF(AG280="T",AI280-AH280,0)+IF(AJ280="T",AL280-AK280,0)+IF(AN280="T",AP280-AO280,0)+IF(AQ280="T",AS280-AR280,0)+IF(AU280="T",AW280-AV280,0)+IF(AX280="T",AZ280-AY280,0),"")</f>
        <v/>
      </c>
      <c r="S280" s="36" t="s">
        <v>306</v>
      </c>
      <c r="T280" s="37">
        <v>0.35416666666666669</v>
      </c>
      <c r="U280" s="37">
        <v>0.52083333333333337</v>
      </c>
      <c r="V280" s="21" t="s">
        <v>306</v>
      </c>
      <c r="W280" s="37">
        <v>0.5625</v>
      </c>
      <c r="X280" s="37">
        <v>0.73611111111111116</v>
      </c>
      <c r="Y280" s="38" t="str">
        <f t="shared" si="35"/>
        <v/>
      </c>
      <c r="Z280" s="36" t="s">
        <v>306</v>
      </c>
      <c r="AA280" s="37">
        <v>0.35416666666666669</v>
      </c>
      <c r="AB280" s="37">
        <v>0.52083333333333337</v>
      </c>
      <c r="AC280" s="21" t="s">
        <v>306</v>
      </c>
      <c r="AD280" s="37">
        <v>0.5625</v>
      </c>
      <c r="AE280" s="37">
        <v>0.73611111111111116</v>
      </c>
      <c r="AF280" s="38" t="str">
        <f t="shared" si="36"/>
        <v/>
      </c>
      <c r="AG280" s="36" t="s">
        <v>306</v>
      </c>
      <c r="AH280" s="37">
        <v>0.35416666666666669</v>
      </c>
      <c r="AI280" s="37">
        <v>0.52083333333333337</v>
      </c>
      <c r="AJ280" s="21" t="s">
        <v>306</v>
      </c>
      <c r="AK280" s="37">
        <v>0.5625</v>
      </c>
      <c r="AL280" s="37">
        <v>0.73611111111111116</v>
      </c>
      <c r="AM280" s="38" t="str">
        <f t="shared" si="37"/>
        <v/>
      </c>
      <c r="AN280" s="36" t="s">
        <v>306</v>
      </c>
      <c r="AO280" s="37">
        <v>0.35416666666666669</v>
      </c>
      <c r="AP280" s="37">
        <v>0.52083333333333337</v>
      </c>
      <c r="AQ280" s="21" t="s">
        <v>306</v>
      </c>
      <c r="AR280" s="37">
        <v>0.5625</v>
      </c>
      <c r="AS280" s="37">
        <v>0.73263888888888884</v>
      </c>
      <c r="AT280" s="38" t="str">
        <f t="shared" si="38"/>
        <v/>
      </c>
      <c r="AU280" s="36" t="s">
        <v>307</v>
      </c>
      <c r="AV280" s="37">
        <v>0.35416666666666669</v>
      </c>
      <c r="AW280" s="37">
        <v>0.54166666666666663</v>
      </c>
      <c r="AX280" s="21" t="s">
        <v>307</v>
      </c>
      <c r="AY280" s="37"/>
      <c r="AZ280" s="37"/>
      <c r="BA280" s="39" t="str">
        <f t="shared" si="39"/>
        <v/>
      </c>
      <c r="BB280" s="46" t="s">
        <v>611</v>
      </c>
      <c r="BC280" s="31" t="s">
        <v>341</v>
      </c>
      <c r="BD280" s="16" t="s">
        <v>311</v>
      </c>
      <c r="BE280" s="16" t="s">
        <v>311</v>
      </c>
      <c r="BF280" s="244" t="str">
        <f>T_BilanSocial2[[#This Row],[Nom]]&amp;T_BilanSocial2[[#This Row],[Prénom]]</f>
        <v/>
      </c>
    </row>
    <row r="281" spans="1:58" ht="21.75" customHeight="1" x14ac:dyDescent="0.25">
      <c r="A281" s="90">
        <v>50</v>
      </c>
      <c r="B281" s="126" t="s">
        <v>210</v>
      </c>
      <c r="C281" s="126" t="str">
        <f>VLOOKUP(T_BilanSocial2[[#This Row],[NumL]],T_Commission[#Data],COLUMN(T_Commission[FINAL]),FALSE)</f>
        <v/>
      </c>
      <c r="D281" s="19" t="str">
        <f t="shared" si="32"/>
        <v/>
      </c>
      <c r="E281" s="19" t="str">
        <f t="shared" si="33"/>
        <v/>
      </c>
      <c r="F281" s="242" t="str">
        <f>IFERROR(VLOOKUP(T_BilanSocial2[[#This Row],[Zone_Bilan]],T_P_BilanSocial[#Data],COLUMN(T_P_BilanSocial[[#This Row],[Numero_SIHAM]]),FALSE),"")</f>
        <v/>
      </c>
      <c r="G281" s="242" t="str">
        <f>IFERROR(VLOOKUP(T_BilanSocial2[[#This Row],[Zone_Bilan]],T_P_BilanSocial[#Data],COLUMN(T_P_BilanSocial[[#This Row],[Sexe]]),FALSE),"")</f>
        <v/>
      </c>
      <c r="H281" s="243" t="str">
        <f>IFERROR(VLOOKUP(T_BilanSocial2[[#This Row],[Zone_Bilan]],T_P_BilanSocial[#Data],COLUMN(T_P_BilanSocial[[#This Row],[Categorie]]),FALSE),"")</f>
        <v/>
      </c>
      <c r="I281" s="242" t="str">
        <f>IFERROR(VLOOKUP(T_BilanSocial2[[#This Row],[Zone_Bilan]],T_P_BilanSocial[#Data],COLUMN(T_P_BilanSocial[[#This Row],[Statut]]),FALSE),"")</f>
        <v/>
      </c>
      <c r="J281" s="242" t="str">
        <f>IFERROR(VLOOKUP(T_BilanSocial2[[#This Row],[Zone_Bilan]],T_P_BilanSocial[#Data],COLUMN(T_P_BilanSocial[[#This Row],[Filiere]]),FALSE),"")</f>
        <v/>
      </c>
      <c r="K281" s="78">
        <v>1</v>
      </c>
      <c r="L281" s="213">
        <v>1.5451388888888891</v>
      </c>
      <c r="M281" s="78" t="s">
        <v>210</v>
      </c>
      <c r="N281" s="79" t="str">
        <f>IF((AND(T_BilanSocial2[[#This Row],[Nom]]&lt;&gt;"",T_BilanSocial2[[#This Row],[Reg Ponct]]="R")),(COUNTIF(S281:AX281,"S")+COUNTIF(S281:AX281,"T"))/2,"")</f>
        <v/>
      </c>
      <c r="O281" s="79" t="str">
        <f>IF((AND(T_BilanSocial2[[#This Row],[Nom]]&lt;&gt;"",T_BilanSocial2[[#This Row],[Reg Ponct]]="R")),COUNTIF(S281:AX281,"S")/2,"")</f>
        <v/>
      </c>
      <c r="P281" s="80" t="str">
        <f>IF((AND(T_BilanSocial2[[#This Row],[Nom]]&lt;&gt;"",T_BilanSocial2[[#This Row],[Reg Ponct]]="R")),COUNTIF(S281:AX281,"t")/2,"")</f>
        <v/>
      </c>
      <c r="Q281" s="81" t="str">
        <f t="shared" si="34"/>
        <v/>
      </c>
      <c r="R281" s="82" t="str">
        <f>IF((AND(T_BilanSocial2[[#This Row],[Nom]]&lt;&gt;"",T_BilanSocial2[[#This Row],[Reg Ponct]]="R")),IF(S281="T",U281-T281,0)+IF(V281="T",X281-W281,0)+IF(Z281="T",AB281-AA281,0)+IF(AC281="T",AE281-AD281,0)+IF(AG281="T",AI281-AH281,0)+IF(AJ281="T",AL281-AK281,0)+IF(AN281="T",AP281-AO281,0)+IF(AQ281="T",AS281-AR281,0)+IF(AU281="T",AW281-AV281,0)+IF(AX281="T",AZ281-AY281,0),"")</f>
        <v/>
      </c>
      <c r="S281" s="36" t="s">
        <v>306</v>
      </c>
      <c r="T281" s="37">
        <v>0.35416666666666669</v>
      </c>
      <c r="U281" s="37">
        <v>0.5</v>
      </c>
      <c r="V281" s="21" t="s">
        <v>306</v>
      </c>
      <c r="W281" s="37">
        <v>0.54166666666666663</v>
      </c>
      <c r="X281" s="37">
        <v>0.69097222222222221</v>
      </c>
      <c r="Y281" s="38" t="str">
        <f t="shared" si="35"/>
        <v/>
      </c>
      <c r="Z281" s="36" t="s">
        <v>307</v>
      </c>
      <c r="AA281" s="37">
        <v>0.33333333333333331</v>
      </c>
      <c r="AB281" s="37">
        <v>0.5</v>
      </c>
      <c r="AC281" s="21" t="s">
        <v>307</v>
      </c>
      <c r="AD281" s="37">
        <v>0.54166666666666663</v>
      </c>
      <c r="AE281" s="37">
        <v>0.70833333333333337</v>
      </c>
      <c r="AF281" s="38" t="str">
        <f t="shared" si="36"/>
        <v/>
      </c>
      <c r="AG281" s="36" t="s">
        <v>306</v>
      </c>
      <c r="AH281" s="37">
        <v>0.35416666666666669</v>
      </c>
      <c r="AI281" s="37">
        <v>0.5</v>
      </c>
      <c r="AJ281" s="21" t="s">
        <v>306</v>
      </c>
      <c r="AK281" s="37">
        <v>0.54166666666666663</v>
      </c>
      <c r="AL281" s="37">
        <v>0.6875</v>
      </c>
      <c r="AM281" s="38" t="str">
        <f t="shared" si="37"/>
        <v/>
      </c>
      <c r="AN281" s="36" t="s">
        <v>306</v>
      </c>
      <c r="AO281" s="37">
        <v>0.35416666666666669</v>
      </c>
      <c r="AP281" s="37">
        <v>0.5</v>
      </c>
      <c r="AQ281" s="21" t="s">
        <v>306</v>
      </c>
      <c r="AR281" s="37">
        <v>0.54166666666666663</v>
      </c>
      <c r="AS281" s="37">
        <v>0.6875</v>
      </c>
      <c r="AT281" s="38" t="str">
        <f t="shared" si="38"/>
        <v/>
      </c>
      <c r="AU281" s="36" t="s">
        <v>307</v>
      </c>
      <c r="AV281" s="37">
        <v>0.33333333333333331</v>
      </c>
      <c r="AW281" s="37">
        <v>0.5</v>
      </c>
      <c r="AX281" s="21" t="s">
        <v>307</v>
      </c>
      <c r="AY281" s="37">
        <v>0.54166666666666663</v>
      </c>
      <c r="AZ281" s="37">
        <v>0.70833333333333337</v>
      </c>
      <c r="BA281" s="39" t="str">
        <f t="shared" si="39"/>
        <v/>
      </c>
      <c r="BB281" s="46" t="s">
        <v>498</v>
      </c>
      <c r="BC281" s="31" t="s">
        <v>543</v>
      </c>
      <c r="BD281" s="16" t="s">
        <v>322</v>
      </c>
      <c r="BE281" s="16" t="s">
        <v>311</v>
      </c>
      <c r="BF281" s="244" t="str">
        <f>T_BilanSocial2[[#This Row],[Nom]]&amp;T_BilanSocial2[[#This Row],[Prénom]]</f>
        <v/>
      </c>
    </row>
    <row r="282" spans="1:58" ht="21.75" customHeight="1" x14ac:dyDescent="0.25">
      <c r="A282" s="90">
        <v>262</v>
      </c>
      <c r="B282" s="126" t="s">
        <v>311</v>
      </c>
      <c r="C282" s="126" t="str">
        <f>VLOOKUP(T_BilanSocial2[[#This Row],[NumL]],T_Commission[#Data],COLUMN(T_Commission[FINAL]),FALSE)</f>
        <v/>
      </c>
      <c r="D282" s="19" t="str">
        <f t="shared" si="32"/>
        <v/>
      </c>
      <c r="E282" s="19" t="str">
        <f t="shared" si="33"/>
        <v/>
      </c>
      <c r="F282" s="242" t="str">
        <f>IFERROR(VLOOKUP(T_BilanSocial2[[#This Row],[Zone_Bilan]],T_P_BilanSocial[#Data],COLUMN(T_P_BilanSocial[[#This Row],[Numero_SIHAM]]),FALSE),"")</f>
        <v/>
      </c>
      <c r="G282" s="242" t="str">
        <f>IFERROR(VLOOKUP(T_BilanSocial2[[#This Row],[Zone_Bilan]],T_P_BilanSocial[#Data],COLUMN(T_P_BilanSocial[[#This Row],[Sexe]]),FALSE),"")</f>
        <v/>
      </c>
      <c r="H282" s="243" t="str">
        <f>IFERROR(VLOOKUP(T_BilanSocial2[[#This Row],[Zone_Bilan]],T_P_BilanSocial[#Data],COLUMN(T_P_BilanSocial[[#This Row],[Categorie]]),FALSE),"")</f>
        <v/>
      </c>
      <c r="I282" s="242" t="str">
        <f>IFERROR(VLOOKUP(T_BilanSocial2[[#This Row],[Zone_Bilan]],T_P_BilanSocial[#Data],COLUMN(T_P_BilanSocial[[#This Row],[Statut]]),FALSE),"")</f>
        <v/>
      </c>
      <c r="J282" s="242" t="str">
        <f>IFERROR(VLOOKUP(T_BilanSocial2[[#This Row],[Zone_Bilan]],T_P_BilanSocial[#Data],COLUMN(T_P_BilanSocial[[#This Row],[Filiere]]),FALSE),"")</f>
        <v/>
      </c>
      <c r="K282" s="78">
        <v>1</v>
      </c>
      <c r="L282" s="213">
        <v>1.5451388888888891</v>
      </c>
      <c r="M282" s="78" t="s">
        <v>211</v>
      </c>
      <c r="N282" s="79" t="str">
        <f>IF((AND(T_BilanSocial2[[#This Row],[Nom]]&lt;&gt;"",T_BilanSocial2[[#This Row],[Reg Ponct]]="R")),(COUNTIF(S282:AX282,"S")+COUNTIF(S282:AX282,"T"))/2,"")</f>
        <v/>
      </c>
      <c r="O282" s="79" t="str">
        <f>IF((AND(T_BilanSocial2[[#This Row],[Nom]]&lt;&gt;"",T_BilanSocial2[[#This Row],[Reg Ponct]]="R")),COUNTIF(S282:AX282,"S")/2,"")</f>
        <v/>
      </c>
      <c r="P282" s="80" t="str">
        <f>IF((AND(T_BilanSocial2[[#This Row],[Nom]]&lt;&gt;"",T_BilanSocial2[[#This Row],[Reg Ponct]]="R")),COUNTIF(S282:AX282,"t")/2,"")</f>
        <v/>
      </c>
      <c r="Q282" s="81" t="str">
        <f t="shared" si="34"/>
        <v/>
      </c>
      <c r="R282" s="82" t="str">
        <f>IF((AND(T_BilanSocial2[[#This Row],[Nom]]&lt;&gt;"",T_BilanSocial2[[#This Row],[Reg Ponct]]="R")),IF(S282="T",U282-T282,0)+IF(V282="T",X282-W282,0)+IF(Z282="T",AB282-AA282,0)+IF(AC282="T",AE282-AD282,0)+IF(AG282="T",AI282-AH282,0)+IF(AJ282="T",AL282-AK282,0)+IF(AN282="T",AP282-AO282,0)+IF(AQ282="T",AS282-AR282,0)+IF(AU282="T",AW282-AV282,0)+IF(AX282="T",AZ282-AY282,0),"")</f>
        <v/>
      </c>
      <c r="S282" s="36"/>
      <c r="T282" s="37"/>
      <c r="U282" s="37"/>
      <c r="V282" s="21"/>
      <c r="W282" s="37"/>
      <c r="X282" s="37"/>
      <c r="Y282" s="38" t="str">
        <f t="shared" si="35"/>
        <v/>
      </c>
      <c r="Z282" s="36"/>
      <c r="AA282" s="37"/>
      <c r="AB282" s="37"/>
      <c r="AC282" s="21"/>
      <c r="AD282" s="37"/>
      <c r="AE282" s="37"/>
      <c r="AF282" s="38" t="str">
        <f t="shared" si="36"/>
        <v/>
      </c>
      <c r="AG282" s="36"/>
      <c r="AH282" s="37"/>
      <c r="AI282" s="37"/>
      <c r="AJ282" s="21"/>
      <c r="AK282" s="37"/>
      <c r="AL282" s="37"/>
      <c r="AM282" s="38" t="str">
        <f t="shared" si="37"/>
        <v/>
      </c>
      <c r="AN282" s="36"/>
      <c r="AO282" s="37"/>
      <c r="AP282" s="37"/>
      <c r="AQ282" s="21"/>
      <c r="AR282" s="37"/>
      <c r="AS282" s="37"/>
      <c r="AT282" s="38" t="str">
        <f t="shared" si="38"/>
        <v/>
      </c>
      <c r="AU282" s="36"/>
      <c r="AV282" s="37"/>
      <c r="AW282" s="37"/>
      <c r="AX282" s="21"/>
      <c r="AY282" s="37"/>
      <c r="AZ282" s="37"/>
      <c r="BA282" s="39" t="str">
        <f t="shared" si="39"/>
        <v/>
      </c>
      <c r="BB282" s="46" t="s">
        <v>340</v>
      </c>
      <c r="BC282" s="31" t="s">
        <v>341</v>
      </c>
      <c r="BD282" s="16" t="s">
        <v>311</v>
      </c>
      <c r="BE282" s="16" t="s">
        <v>311</v>
      </c>
      <c r="BF282" s="244" t="str">
        <f>T_BilanSocial2[[#This Row],[Nom]]&amp;T_BilanSocial2[[#This Row],[Prénom]]</f>
        <v/>
      </c>
    </row>
    <row r="283" spans="1:58" ht="21.75" hidden="1" customHeight="1" x14ac:dyDescent="0.25">
      <c r="A283" s="90">
        <v>132</v>
      </c>
      <c r="B283" s="126" t="s">
        <v>311</v>
      </c>
      <c r="C283" s="126" t="str">
        <f>VLOOKUP(T_BilanSocial2[[#This Row],[NumL]],T_Commission[#Data],COLUMN(T_Commission[FINAL]),FALSE)</f>
        <v/>
      </c>
      <c r="D283" s="19" t="str">
        <f t="shared" si="32"/>
        <v/>
      </c>
      <c r="E283" s="19" t="str">
        <f t="shared" si="33"/>
        <v/>
      </c>
      <c r="F283" s="242" t="str">
        <f>IFERROR(VLOOKUP(T_BilanSocial2[[#This Row],[Zone_Bilan]],T_P_BilanSocial[#Data],COLUMN(T_P_BilanSocial[[#This Row],[Numero_SIHAM]]),FALSE),"")</f>
        <v/>
      </c>
      <c r="G283" s="242" t="str">
        <f>IFERROR(VLOOKUP(T_BilanSocial2[[#This Row],[Zone_Bilan]],T_P_BilanSocial[#Data],COLUMN(T_P_BilanSocial[[#This Row],[Sexe]]),FALSE),"")</f>
        <v/>
      </c>
      <c r="H283" s="243" t="str">
        <f>IFERROR(VLOOKUP(T_BilanSocial2[[#This Row],[Zone_Bilan]],T_P_BilanSocial[#Data],COLUMN(T_P_BilanSocial[[#This Row],[Categorie]]),FALSE),"")</f>
        <v/>
      </c>
      <c r="I283" s="242" t="str">
        <f>IFERROR(VLOOKUP(T_BilanSocial2[[#This Row],[Zone_Bilan]],T_P_BilanSocial[#Data],COLUMN(T_P_BilanSocial[[#This Row],[Statut]]),FALSE),"")</f>
        <v/>
      </c>
      <c r="J283" s="242" t="str">
        <f>IFERROR(VLOOKUP(T_BilanSocial2[[#This Row],[Zone_Bilan]],T_P_BilanSocial[#Data],COLUMN(T_P_BilanSocial[[#This Row],[Filiere]]),FALSE),"")</f>
        <v/>
      </c>
      <c r="K283" s="78">
        <v>1</v>
      </c>
      <c r="L283" s="213">
        <v>1.5451388888888891</v>
      </c>
      <c r="M283" s="78" t="s">
        <v>211</v>
      </c>
      <c r="N283" s="79" t="str">
        <f>IF((AND(T_BilanSocial2[[#This Row],[Nom]]&lt;&gt;"",T_BilanSocial2[[#This Row],[Reg Ponct]]="R")),(COUNTIF(S283:AX283,"S")+COUNTIF(S283:AX283,"T"))/2,"")</f>
        <v/>
      </c>
      <c r="O283" s="79" t="str">
        <f>IF((AND(T_BilanSocial2[[#This Row],[Nom]]&lt;&gt;"",T_BilanSocial2[[#This Row],[Reg Ponct]]="R")),COUNTIF(S283:AX283,"S")/2,"")</f>
        <v/>
      </c>
      <c r="P283" s="80" t="str">
        <f>IF((AND(T_BilanSocial2[[#This Row],[Nom]]&lt;&gt;"",T_BilanSocial2[[#This Row],[Reg Ponct]]="R")),COUNTIF(S283:AX283,"t")/2,"")</f>
        <v/>
      </c>
      <c r="Q283" s="81" t="str">
        <f t="shared" si="34"/>
        <v/>
      </c>
      <c r="R283" s="82" t="str">
        <f>IF((AND(T_BilanSocial2[[#This Row],[Nom]]&lt;&gt;"",T_BilanSocial2[[#This Row],[Reg Ponct]]="R")),IF(S283="T",U283-T283,0)+IF(V283="T",X283-W283,0)+IF(Z283="T",AB283-AA283,0)+IF(AC283="T",AE283-AD283,0)+IF(AG283="T",AI283-AH283,0)+IF(AJ283="T",AL283-AK283,0)+IF(AN283="T",AP283-AO283,0)+IF(AQ283="T",AS283-AR283,0)+IF(AU283="T",AW283-AV283,0)+IF(AX283="T",AZ283-AY283,0),"")</f>
        <v/>
      </c>
      <c r="S283" s="36"/>
      <c r="T283" s="37"/>
      <c r="U283" s="37"/>
      <c r="V283" s="21"/>
      <c r="W283" s="37"/>
      <c r="X283" s="37"/>
      <c r="Y283" s="38" t="str">
        <f t="shared" si="35"/>
        <v/>
      </c>
      <c r="Z283" s="36"/>
      <c r="AA283" s="37"/>
      <c r="AB283" s="37"/>
      <c r="AC283" s="21"/>
      <c r="AD283" s="37"/>
      <c r="AE283" s="37"/>
      <c r="AF283" s="38" t="str">
        <f t="shared" si="36"/>
        <v/>
      </c>
      <c r="AG283" s="36"/>
      <c r="AH283" s="37"/>
      <c r="AI283" s="37"/>
      <c r="AJ283" s="21"/>
      <c r="AK283" s="37"/>
      <c r="AL283" s="37"/>
      <c r="AM283" s="38" t="str">
        <f t="shared" si="37"/>
        <v/>
      </c>
      <c r="AN283" s="36"/>
      <c r="AO283" s="37"/>
      <c r="AP283" s="37"/>
      <c r="AQ283" s="21"/>
      <c r="AR283" s="37"/>
      <c r="AS283" s="37"/>
      <c r="AT283" s="38" t="str">
        <f t="shared" si="38"/>
        <v/>
      </c>
      <c r="AU283" s="36"/>
      <c r="AV283" s="37"/>
      <c r="AW283" s="37"/>
      <c r="AX283" s="21"/>
      <c r="AY283" s="37"/>
      <c r="AZ283" s="37"/>
      <c r="BA283" s="39" t="str">
        <f t="shared" si="39"/>
        <v/>
      </c>
      <c r="BB283" s="46" t="s">
        <v>340</v>
      </c>
      <c r="BC283" s="31" t="s">
        <v>341</v>
      </c>
      <c r="BD283" s="16" t="s">
        <v>311</v>
      </c>
      <c r="BE283" s="16" t="s">
        <v>311</v>
      </c>
      <c r="BF283" s="244" t="str">
        <f>T_BilanSocial2[[#This Row],[Nom]]&amp;T_BilanSocial2[[#This Row],[Prénom]]</f>
        <v/>
      </c>
    </row>
    <row r="284" spans="1:58" ht="21.75" hidden="1" customHeight="1" x14ac:dyDescent="0.25">
      <c r="A284" s="90">
        <v>166</v>
      </c>
      <c r="B284" s="126" t="s">
        <v>210</v>
      </c>
      <c r="C284" s="126" t="str">
        <f>VLOOKUP(T_BilanSocial2[[#This Row],[NumL]],T_Commission[#Data],COLUMN(T_Commission[FINAL]),FALSE)</f>
        <v/>
      </c>
      <c r="D284" s="19" t="str">
        <f t="shared" si="32"/>
        <v/>
      </c>
      <c r="E284" s="19" t="str">
        <f t="shared" si="33"/>
        <v/>
      </c>
      <c r="F284" s="242" t="str">
        <f>IFERROR(VLOOKUP(T_BilanSocial2[[#This Row],[Zone_Bilan]],T_P_BilanSocial[#Data],COLUMN(T_P_BilanSocial[[#This Row],[Numero_SIHAM]]),FALSE),"")</f>
        <v/>
      </c>
      <c r="G284" s="242" t="str">
        <f>IFERROR(VLOOKUP(T_BilanSocial2[[#This Row],[Zone_Bilan]],T_P_BilanSocial[#Data],COLUMN(T_P_BilanSocial[[#This Row],[Sexe]]),FALSE),"")</f>
        <v/>
      </c>
      <c r="H284" s="243" t="str">
        <f>IFERROR(VLOOKUP(T_BilanSocial2[[#This Row],[Zone_Bilan]],T_P_BilanSocial[#Data],COLUMN(T_P_BilanSocial[[#This Row],[Categorie]]),FALSE),"")</f>
        <v/>
      </c>
      <c r="I284" s="242" t="str">
        <f>IFERROR(VLOOKUP(T_BilanSocial2[[#This Row],[Zone_Bilan]],T_P_BilanSocial[#Data],COLUMN(T_P_BilanSocial[[#This Row],[Statut]]),FALSE),"")</f>
        <v/>
      </c>
      <c r="J284" s="242" t="str">
        <f>IFERROR(VLOOKUP(T_BilanSocial2[[#This Row],[Zone_Bilan]],T_P_BilanSocial[#Data],COLUMN(T_P_BilanSocial[[#This Row],[Filiere]]),FALSE),"")</f>
        <v/>
      </c>
      <c r="K284" s="78">
        <v>0.8</v>
      </c>
      <c r="L284" s="213">
        <v>1.2361111111111112</v>
      </c>
      <c r="M284" s="78" t="s">
        <v>210</v>
      </c>
      <c r="N284" s="79" t="str">
        <f>IF((AND(T_BilanSocial2[[#This Row],[Nom]]&lt;&gt;"",T_BilanSocial2[[#This Row],[Reg Ponct]]="R")),(COUNTIF(S284:AX284,"S")+COUNTIF(S284:AX284,"T"))/2,"")</f>
        <v/>
      </c>
      <c r="O284" s="79" t="str">
        <f>IF((AND(T_BilanSocial2[[#This Row],[Nom]]&lt;&gt;"",T_BilanSocial2[[#This Row],[Reg Ponct]]="R")),COUNTIF(S284:AX284,"S")/2,"")</f>
        <v/>
      </c>
      <c r="P284" s="80" t="str">
        <f>IF((AND(T_BilanSocial2[[#This Row],[Nom]]&lt;&gt;"",T_BilanSocial2[[#This Row],[Reg Ponct]]="R")),COUNTIF(S284:AX284,"t")/2,"")</f>
        <v/>
      </c>
      <c r="Q284" s="81" t="str">
        <f t="shared" si="34"/>
        <v/>
      </c>
      <c r="R284" s="82" t="str">
        <f>IF((AND(T_BilanSocial2[[#This Row],[Nom]]&lt;&gt;"",T_BilanSocial2[[#This Row],[Reg Ponct]]="R")),IF(S284="T",U284-T284,0)+IF(V284="T",X284-W284,0)+IF(Z284="T",AB284-AA284,0)+IF(AC284="T",AE284-AD284,0)+IF(AG284="T",AI284-AH284,0)+IF(AJ284="T",AL284-AK284,0)+IF(AN284="T",AP284-AO284,0)+IF(AQ284="T",AS284-AR284,0)+IF(AU284="T",AW284-AV284,0)+IF(AX284="T",AZ284-AY284,0),"")</f>
        <v/>
      </c>
      <c r="S284" s="36" t="s">
        <v>306</v>
      </c>
      <c r="T284" s="37">
        <v>0.3125</v>
      </c>
      <c r="U284" s="37">
        <v>0.51041666666666663</v>
      </c>
      <c r="V284" s="21" t="s">
        <v>306</v>
      </c>
      <c r="W284" s="37">
        <v>0.55208333333333337</v>
      </c>
      <c r="X284" s="37">
        <v>0.64583333333333337</v>
      </c>
      <c r="Y284" s="38" t="str">
        <f t="shared" si="35"/>
        <v/>
      </c>
      <c r="Z284" s="36" t="s">
        <v>306</v>
      </c>
      <c r="AA284" s="37">
        <v>0.3125</v>
      </c>
      <c r="AB284" s="37">
        <v>0.51041666666666663</v>
      </c>
      <c r="AC284" s="21" t="s">
        <v>306</v>
      </c>
      <c r="AD284" s="37">
        <v>0.55208333333333337</v>
      </c>
      <c r="AE284" s="37">
        <v>0.69791666666666663</v>
      </c>
      <c r="AF284" s="38" t="str">
        <f t="shared" si="36"/>
        <v/>
      </c>
      <c r="AG284" s="36" t="s">
        <v>308</v>
      </c>
      <c r="AH284" s="37"/>
      <c r="AI284" s="37"/>
      <c r="AJ284" s="21" t="s">
        <v>308</v>
      </c>
      <c r="AK284" s="37"/>
      <c r="AL284" s="37"/>
      <c r="AM284" s="38" t="str">
        <f t="shared" si="37"/>
        <v/>
      </c>
      <c r="AN284" s="36" t="s">
        <v>306</v>
      </c>
      <c r="AO284" s="37">
        <v>0.3125</v>
      </c>
      <c r="AP284" s="37">
        <v>0.51041666666666663</v>
      </c>
      <c r="AQ284" s="21" t="s">
        <v>306</v>
      </c>
      <c r="AR284" s="37">
        <v>0.55208333333333337</v>
      </c>
      <c r="AS284" s="37">
        <v>0.64583333333333337</v>
      </c>
      <c r="AT284" s="38" t="str">
        <f t="shared" si="38"/>
        <v/>
      </c>
      <c r="AU284" s="36" t="s">
        <v>307</v>
      </c>
      <c r="AV284" s="37">
        <v>0.3125</v>
      </c>
      <c r="AW284" s="37">
        <v>0.52083333333333337</v>
      </c>
      <c r="AX284" s="21" t="s">
        <v>307</v>
      </c>
      <c r="AY284" s="37">
        <v>0.5625</v>
      </c>
      <c r="AZ284" s="37">
        <v>0.66319444444444442</v>
      </c>
      <c r="BA284" s="39" t="str">
        <f t="shared" si="39"/>
        <v/>
      </c>
      <c r="BB284" s="46" t="s">
        <v>805</v>
      </c>
      <c r="BC284" s="31" t="s">
        <v>806</v>
      </c>
      <c r="BD284" s="16" t="s">
        <v>311</v>
      </c>
      <c r="BE284" s="16" t="s">
        <v>322</v>
      </c>
      <c r="BF284" s="244" t="str">
        <f>T_BilanSocial2[[#This Row],[Nom]]&amp;T_BilanSocial2[[#This Row],[Prénom]]</f>
        <v/>
      </c>
    </row>
    <row r="285" spans="1:58" ht="27" hidden="1" customHeight="1" x14ac:dyDescent="0.25">
      <c r="A285" s="90">
        <v>175</v>
      </c>
      <c r="B285" s="126" t="s">
        <v>311</v>
      </c>
      <c r="C285" s="126" t="str">
        <f>VLOOKUP(T_BilanSocial2[[#This Row],[NumL]],T_Commission[#Data],COLUMN(T_Commission[FINAL]),FALSE)</f>
        <v/>
      </c>
      <c r="D285" s="19" t="str">
        <f t="shared" si="32"/>
        <v/>
      </c>
      <c r="E285" s="19" t="str">
        <f t="shared" si="33"/>
        <v/>
      </c>
      <c r="F285" s="242" t="str">
        <f>IFERROR(VLOOKUP(T_BilanSocial2[[#This Row],[Zone_Bilan]],T_P_BilanSocial[#Data],COLUMN(T_P_BilanSocial[[#This Row],[Numero_SIHAM]]),FALSE),"")</f>
        <v/>
      </c>
      <c r="G285" s="242" t="str">
        <f>IFERROR(VLOOKUP(T_BilanSocial2[[#This Row],[Zone_Bilan]],T_P_BilanSocial[#Data],COLUMN(T_P_BilanSocial[[#This Row],[Sexe]]),FALSE),"")</f>
        <v/>
      </c>
      <c r="H285" s="243" t="str">
        <f>IFERROR(VLOOKUP(T_BilanSocial2[[#This Row],[Zone_Bilan]],T_P_BilanSocial[#Data],COLUMN(T_P_BilanSocial[[#This Row],[Categorie]]),FALSE),"")</f>
        <v/>
      </c>
      <c r="I285" s="242" t="str">
        <f>IFERROR(VLOOKUP(T_BilanSocial2[[#This Row],[Zone_Bilan]],T_P_BilanSocial[#Data],COLUMN(T_P_BilanSocial[[#This Row],[Statut]]),FALSE),"")</f>
        <v/>
      </c>
      <c r="J285" s="242" t="str">
        <f>IFERROR(VLOOKUP(T_BilanSocial2[[#This Row],[Zone_Bilan]],T_P_BilanSocial[#Data],COLUMN(T_P_BilanSocial[[#This Row],[Filiere]]),FALSE),"")</f>
        <v/>
      </c>
      <c r="K285" s="78">
        <v>1</v>
      </c>
      <c r="L285" s="213">
        <v>1.5451388888888891</v>
      </c>
      <c r="M285" s="78" t="s">
        <v>211</v>
      </c>
      <c r="N285" s="79" t="str">
        <f>IF((AND(T_BilanSocial2[[#This Row],[Nom]]&lt;&gt;"",T_BilanSocial2[[#This Row],[Reg Ponct]]="R")),(COUNTIF(S285:AX285,"S")+COUNTIF(S285:AX285,"T"))/2,"")</f>
        <v/>
      </c>
      <c r="O285" s="79" t="str">
        <f>IF((AND(T_BilanSocial2[[#This Row],[Nom]]&lt;&gt;"",T_BilanSocial2[[#This Row],[Reg Ponct]]="R")),COUNTIF(S285:AX285,"S")/2,"")</f>
        <v/>
      </c>
      <c r="P285" s="80" t="str">
        <f>IF((AND(T_BilanSocial2[[#This Row],[Nom]]&lt;&gt;"",T_BilanSocial2[[#This Row],[Reg Ponct]]="R")),COUNTIF(S285:AX285,"t")/2,"")</f>
        <v/>
      </c>
      <c r="Q285" s="81" t="str">
        <f t="shared" si="34"/>
        <v/>
      </c>
      <c r="R285" s="82" t="str">
        <f>IF((AND(T_BilanSocial2[[#This Row],[Nom]]&lt;&gt;"",T_BilanSocial2[[#This Row],[Reg Ponct]]="R")),IF(S285="T",U285-T285,0)+IF(V285="T",X285-W285,0)+IF(Z285="T",AB285-AA285,0)+IF(AC285="T",AE285-AD285,0)+IF(AG285="T",AI285-AH285,0)+IF(AJ285="T",AL285-AK285,0)+IF(AN285="T",AP285-AO285,0)+IF(AQ285="T",AS285-AR285,0)+IF(AU285="T",AW285-AV285,0)+IF(AX285="T",AZ285-AY285,0),"")</f>
        <v/>
      </c>
      <c r="S285" s="36"/>
      <c r="T285" s="37"/>
      <c r="U285" s="37"/>
      <c r="V285" s="21"/>
      <c r="W285" s="37"/>
      <c r="X285" s="37"/>
      <c r="Y285" s="38" t="str">
        <f t="shared" si="35"/>
        <v/>
      </c>
      <c r="Z285" s="36"/>
      <c r="AA285" s="37"/>
      <c r="AB285" s="37"/>
      <c r="AC285" s="21"/>
      <c r="AD285" s="37"/>
      <c r="AE285" s="37"/>
      <c r="AF285" s="38" t="str">
        <f t="shared" si="36"/>
        <v/>
      </c>
      <c r="AG285" s="36"/>
      <c r="AH285" s="37"/>
      <c r="AI285" s="37"/>
      <c r="AJ285" s="21"/>
      <c r="AK285" s="37"/>
      <c r="AL285" s="37"/>
      <c r="AM285" s="38" t="str">
        <f t="shared" si="37"/>
        <v/>
      </c>
      <c r="AN285" s="36"/>
      <c r="AO285" s="37"/>
      <c r="AP285" s="37"/>
      <c r="AQ285" s="21"/>
      <c r="AR285" s="37"/>
      <c r="AS285" s="37"/>
      <c r="AT285" s="38" t="str">
        <f t="shared" si="38"/>
        <v/>
      </c>
      <c r="AU285" s="36"/>
      <c r="AV285" s="37"/>
      <c r="AW285" s="37"/>
      <c r="AX285" s="21"/>
      <c r="AY285" s="37"/>
      <c r="AZ285" s="37"/>
      <c r="BA285" s="39" t="str">
        <f t="shared" si="39"/>
        <v/>
      </c>
      <c r="BB285" s="46" t="s">
        <v>471</v>
      </c>
      <c r="BC285" s="31" t="s">
        <v>341</v>
      </c>
      <c r="BD285" s="16" t="s">
        <v>311</v>
      </c>
      <c r="BE285" s="16" t="s">
        <v>311</v>
      </c>
      <c r="BF285" s="244" t="str">
        <f>T_BilanSocial2[[#This Row],[Nom]]&amp;T_BilanSocial2[[#This Row],[Prénom]]</f>
        <v/>
      </c>
    </row>
    <row r="286" spans="1:58" ht="21.75" hidden="1" customHeight="1" x14ac:dyDescent="0.25">
      <c r="A286" s="90">
        <v>230</v>
      </c>
      <c r="B286" s="126" t="s">
        <v>210</v>
      </c>
      <c r="C286" s="126" t="str">
        <f>VLOOKUP(T_BilanSocial2[[#This Row],[NumL]],T_Commission[#Data],COLUMN(T_Commission[FINAL]),FALSE)</f>
        <v/>
      </c>
      <c r="D286" s="19" t="str">
        <f t="shared" si="32"/>
        <v/>
      </c>
      <c r="E286" s="19" t="str">
        <f t="shared" si="33"/>
        <v/>
      </c>
      <c r="F286" s="242" t="str">
        <f>IFERROR(VLOOKUP(T_BilanSocial2[[#This Row],[Zone_Bilan]],T_P_BilanSocial[#Data],COLUMN(T_P_BilanSocial[[#This Row],[Numero_SIHAM]]),FALSE),"")</f>
        <v/>
      </c>
      <c r="G286" s="242" t="str">
        <f>IFERROR(VLOOKUP(T_BilanSocial2[[#This Row],[Zone_Bilan]],T_P_BilanSocial[#Data],COLUMN(T_P_BilanSocial[[#This Row],[Sexe]]),FALSE),"")</f>
        <v/>
      </c>
      <c r="H286" s="243" t="str">
        <f>IFERROR(VLOOKUP(T_BilanSocial2[[#This Row],[Zone_Bilan]],T_P_BilanSocial[#Data],COLUMN(T_P_BilanSocial[[#This Row],[Categorie]]),FALSE),"")</f>
        <v/>
      </c>
      <c r="I286" s="242" t="str">
        <f>IFERROR(VLOOKUP(T_BilanSocial2[[#This Row],[Zone_Bilan]],T_P_BilanSocial[#Data],COLUMN(T_P_BilanSocial[[#This Row],[Statut]]),FALSE),"")</f>
        <v/>
      </c>
      <c r="J286" s="242" t="str">
        <f>IFERROR(VLOOKUP(T_BilanSocial2[[#This Row],[Zone_Bilan]],T_P_BilanSocial[#Data],COLUMN(T_P_BilanSocial[[#This Row],[Filiere]]),FALSE),"")</f>
        <v/>
      </c>
      <c r="K286" s="78">
        <v>1</v>
      </c>
      <c r="L286" s="213">
        <v>1.5451388888888891</v>
      </c>
      <c r="M286" s="78" t="s">
        <v>210</v>
      </c>
      <c r="N286" s="79" t="str">
        <f>IF((AND(T_BilanSocial2[[#This Row],[Nom]]&lt;&gt;"",T_BilanSocial2[[#This Row],[Reg Ponct]]="R")),(COUNTIF(S286:AX286,"S")+COUNTIF(S286:AX286,"T"))/2,"")</f>
        <v/>
      </c>
      <c r="O286" s="79" t="str">
        <f>IF((AND(T_BilanSocial2[[#This Row],[Nom]]&lt;&gt;"",T_BilanSocial2[[#This Row],[Reg Ponct]]="R")),COUNTIF(S286:AX286,"S")/2,"")</f>
        <v/>
      </c>
      <c r="P286" s="80" t="str">
        <f>IF((AND(T_BilanSocial2[[#This Row],[Nom]]&lt;&gt;"",T_BilanSocial2[[#This Row],[Reg Ponct]]="R")),COUNTIF(S286:AX286,"t")/2,"")</f>
        <v/>
      </c>
      <c r="Q286" s="81" t="str">
        <f t="shared" si="34"/>
        <v/>
      </c>
      <c r="R286" s="82" t="str">
        <f>IF((AND(T_BilanSocial2[[#This Row],[Nom]]&lt;&gt;"",T_BilanSocial2[[#This Row],[Reg Ponct]]="R")),IF(S286="T",U286-T286,0)+IF(V286="T",X286-W286,0)+IF(Z286="T",AB286-AA286,0)+IF(AC286="T",AE286-AD286,0)+IF(AG286="T",AI286-AH286,0)+IF(AJ286="T",AL286-AK286,0)+IF(AN286="T",AP286-AO286,0)+IF(AQ286="T",AS286-AR286,0)+IF(AU286="T",AW286-AV286,0)+IF(AX286="T",AZ286-AY286,0),"")</f>
        <v/>
      </c>
      <c r="S286" s="36" t="s">
        <v>306</v>
      </c>
      <c r="T286" s="37">
        <v>0.375</v>
      </c>
      <c r="U286" s="37">
        <v>0.52430555555555558</v>
      </c>
      <c r="V286" s="21" t="s">
        <v>306</v>
      </c>
      <c r="W286" s="37">
        <v>0.5625</v>
      </c>
      <c r="X286" s="37">
        <v>0.76388888888888884</v>
      </c>
      <c r="Y286" s="38" t="str">
        <f t="shared" si="35"/>
        <v/>
      </c>
      <c r="Z286" s="36" t="s">
        <v>307</v>
      </c>
      <c r="AA286" s="37">
        <v>0.375</v>
      </c>
      <c r="AB286" s="37">
        <v>0.52430555555555558</v>
      </c>
      <c r="AC286" s="21" t="s">
        <v>307</v>
      </c>
      <c r="AD286" s="37">
        <v>0.5625</v>
      </c>
      <c r="AE286" s="37">
        <v>0.76388888888888884</v>
      </c>
      <c r="AF286" s="38" t="str">
        <f t="shared" si="36"/>
        <v/>
      </c>
      <c r="AG286" s="36" t="s">
        <v>306</v>
      </c>
      <c r="AH286" s="37">
        <v>0.375</v>
      </c>
      <c r="AI286" s="37">
        <v>0.52430555555555558</v>
      </c>
      <c r="AJ286" s="21" t="s">
        <v>306</v>
      </c>
      <c r="AK286" s="37">
        <v>0.5625</v>
      </c>
      <c r="AL286" s="37">
        <v>0.76388888888888884</v>
      </c>
      <c r="AM286" s="38" t="str">
        <f t="shared" si="37"/>
        <v/>
      </c>
      <c r="AN286" s="36" t="s">
        <v>306</v>
      </c>
      <c r="AO286" s="37">
        <v>0.375</v>
      </c>
      <c r="AP286" s="37">
        <v>0.52430555555555558</v>
      </c>
      <c r="AQ286" s="21" t="s">
        <v>306</v>
      </c>
      <c r="AR286" s="37">
        <v>0.5625</v>
      </c>
      <c r="AS286" s="37">
        <v>0.76388888888888884</v>
      </c>
      <c r="AT286" s="38" t="str">
        <f t="shared" si="38"/>
        <v/>
      </c>
      <c r="AU286" s="36" t="s">
        <v>307</v>
      </c>
      <c r="AV286" s="37">
        <v>0.375</v>
      </c>
      <c r="AW286" s="37">
        <v>0.51736111111111105</v>
      </c>
      <c r="AX286" s="21" t="s">
        <v>308</v>
      </c>
      <c r="AY286" s="37"/>
      <c r="AZ286" s="37"/>
      <c r="BA286" s="39" t="str">
        <f t="shared" si="39"/>
        <v/>
      </c>
      <c r="BB286" s="46" t="s">
        <v>1072</v>
      </c>
      <c r="BC286" s="31" t="s">
        <v>1073</v>
      </c>
      <c r="BD286" s="16" t="s">
        <v>322</v>
      </c>
      <c r="BE286" s="16" t="s">
        <v>322</v>
      </c>
      <c r="BF286" s="244" t="str">
        <f>T_BilanSocial2[[#This Row],[Nom]]&amp;T_BilanSocial2[[#This Row],[Prénom]]</f>
        <v/>
      </c>
    </row>
    <row r="287" spans="1:58" ht="21.75" hidden="1" customHeight="1" x14ac:dyDescent="0.25">
      <c r="A287" s="90">
        <v>153</v>
      </c>
      <c r="B287" s="126" t="s">
        <v>210</v>
      </c>
      <c r="C287" s="126" t="e">
        <f>VLOOKUP(T_BilanSocial2[[#This Row],[NumL]],T_Commission[#Data],COLUMN(T_Commission[FINAL]),FALSE)</f>
        <v>#N/A</v>
      </c>
      <c r="D287" s="19" t="str">
        <f t="shared" si="32"/>
        <v/>
      </c>
      <c r="E287" s="19" t="str">
        <f t="shared" si="33"/>
        <v/>
      </c>
      <c r="F287" s="242" t="str">
        <f>IFERROR(VLOOKUP(T_BilanSocial2[[#This Row],[Zone_Bilan]],T_P_BilanSocial[#Data],COLUMN(T_P_BilanSocial[[#This Row],[Numero_SIHAM]]),FALSE),"")</f>
        <v/>
      </c>
      <c r="G287" s="242" t="str">
        <f>IFERROR(VLOOKUP(T_BilanSocial2[[#This Row],[Zone_Bilan]],T_P_BilanSocial[#Data],COLUMN(T_P_BilanSocial[[#This Row],[Sexe]]),FALSE),"")</f>
        <v/>
      </c>
      <c r="H287" s="243" t="str">
        <f>IFERROR(VLOOKUP(T_BilanSocial2[[#This Row],[Zone_Bilan]],T_P_BilanSocial[#Data],COLUMN(T_P_BilanSocial[[#This Row],[Categorie]]),FALSE),"")</f>
        <v/>
      </c>
      <c r="I287" s="242" t="str">
        <f>IFERROR(VLOOKUP(T_BilanSocial2[[#This Row],[Zone_Bilan]],T_P_BilanSocial[#Data],COLUMN(T_P_BilanSocial[[#This Row],[Statut]]),FALSE),"")</f>
        <v/>
      </c>
      <c r="J287" s="242" t="str">
        <f>IFERROR(VLOOKUP(T_BilanSocial2[[#This Row],[Zone_Bilan]],T_P_BilanSocial[#Data],COLUMN(T_P_BilanSocial[[#This Row],[Filiere]]),FALSE),"")</f>
        <v/>
      </c>
      <c r="K287" s="78">
        <v>0.8</v>
      </c>
      <c r="L287" s="213">
        <v>1.2361111111111112</v>
      </c>
      <c r="M287" s="78" t="s">
        <v>210</v>
      </c>
      <c r="N287" s="79" t="str">
        <f>IF((AND(T_BilanSocial2[[#This Row],[Nom]]&lt;&gt;"",T_BilanSocial2[[#This Row],[Reg Ponct]]="R")),(COUNTIF(S287:AX287,"S")+COUNTIF(S287:AX287,"T"))/2,"")</f>
        <v/>
      </c>
      <c r="O287" s="79" t="str">
        <f>IF((AND(T_BilanSocial2[[#This Row],[Nom]]&lt;&gt;"",T_BilanSocial2[[#This Row],[Reg Ponct]]="R")),COUNTIF(S287:AX287,"S")/2,"")</f>
        <v/>
      </c>
      <c r="P287" s="80" t="str">
        <f>IF((AND(T_BilanSocial2[[#This Row],[Nom]]&lt;&gt;"",T_BilanSocial2[[#This Row],[Reg Ponct]]="R")),COUNTIF(S287:AX287,"t")/2,"")</f>
        <v/>
      </c>
      <c r="Q287" s="81" t="str">
        <f t="shared" si="34"/>
        <v/>
      </c>
      <c r="R287" s="82" t="str">
        <f>IF((AND(T_BilanSocial2[[#This Row],[Nom]]&lt;&gt;"",T_BilanSocial2[[#This Row],[Reg Ponct]]="R")),IF(S287="T",U287-T287,0)+IF(V287="T",X287-W287,0)+IF(Z287="T",AB287-AA287,0)+IF(AC287="T",AE287-AD287,0)+IF(AG287="T",AI287-AH287,0)+IF(AJ287="T",AL287-AK287,0)+IF(AN287="T",AP287-AO287,0)+IF(AQ287="T",AS287-AR287,0)+IF(AU287="T",AW287-AV287,0)+IF(AX287="T",AZ287-AY287,0),"")</f>
        <v/>
      </c>
      <c r="S287" s="36" t="s">
        <v>306</v>
      </c>
      <c r="T287" s="37">
        <v>0.31597222222222221</v>
      </c>
      <c r="U287" s="37">
        <v>0.51041666666666663</v>
      </c>
      <c r="V287" s="21" t="s">
        <v>306</v>
      </c>
      <c r="W287" s="37">
        <v>0.5625</v>
      </c>
      <c r="X287" s="37">
        <v>0.71875</v>
      </c>
      <c r="Y287" s="38" t="str">
        <f t="shared" si="35"/>
        <v/>
      </c>
      <c r="Z287" s="36" t="s">
        <v>306</v>
      </c>
      <c r="AA287" s="37">
        <v>0.39583333333333331</v>
      </c>
      <c r="AB287" s="37">
        <v>0.51041666666666663</v>
      </c>
      <c r="AC287" s="21" t="s">
        <v>306</v>
      </c>
      <c r="AD287" s="37">
        <v>0.5625</v>
      </c>
      <c r="AE287" s="37">
        <v>0.71875</v>
      </c>
      <c r="AF287" s="38" t="str">
        <f t="shared" si="36"/>
        <v/>
      </c>
      <c r="AG287" s="36" t="s">
        <v>308</v>
      </c>
      <c r="AH287" s="37"/>
      <c r="AI287" s="37"/>
      <c r="AJ287" s="21" t="s">
        <v>308</v>
      </c>
      <c r="AK287" s="37"/>
      <c r="AL287" s="37"/>
      <c r="AM287" s="38" t="str">
        <f t="shared" si="37"/>
        <v/>
      </c>
      <c r="AN287" s="36" t="s">
        <v>306</v>
      </c>
      <c r="AO287" s="37">
        <v>0.3125</v>
      </c>
      <c r="AP287" s="37">
        <v>0.51041666666666663</v>
      </c>
      <c r="AQ287" s="21" t="s">
        <v>306</v>
      </c>
      <c r="AR287" s="37">
        <v>0.5625</v>
      </c>
      <c r="AS287" s="37">
        <v>0.71875</v>
      </c>
      <c r="AT287" s="38" t="str">
        <f t="shared" si="38"/>
        <v/>
      </c>
      <c r="AU287" s="36" t="s">
        <v>307</v>
      </c>
      <c r="AV287" s="37">
        <v>0.36458333333333331</v>
      </c>
      <c r="AW287" s="37">
        <v>0.51041666666666663</v>
      </c>
      <c r="AX287" s="21" t="s">
        <v>307</v>
      </c>
      <c r="AY287" s="37">
        <v>0.5625</v>
      </c>
      <c r="AZ287" s="37">
        <v>0.67708333333333337</v>
      </c>
      <c r="BA287" s="39" t="str">
        <f t="shared" si="39"/>
        <v/>
      </c>
      <c r="BB287" s="46" t="s">
        <v>622</v>
      </c>
      <c r="BC287" s="31" t="s">
        <v>623</v>
      </c>
      <c r="BD287" s="16" t="s">
        <v>322</v>
      </c>
      <c r="BE287" s="16" t="s">
        <v>322</v>
      </c>
      <c r="BF287" s="244" t="str">
        <f>T_BilanSocial2[[#This Row],[Nom]]&amp;T_BilanSocial2[[#This Row],[Prénom]]</f>
        <v/>
      </c>
    </row>
    <row r="288" spans="1:58" ht="21.75" customHeight="1" x14ac:dyDescent="0.25">
      <c r="A288" s="90">
        <v>123</v>
      </c>
      <c r="B288" s="126" t="s">
        <v>311</v>
      </c>
      <c r="C288" s="126" t="str">
        <f>VLOOKUP(T_BilanSocial2[[#This Row],[NumL]],T_Commission[#Data],COLUMN(T_Commission[FINAL]),FALSE)</f>
        <v/>
      </c>
      <c r="D288" s="19" t="str">
        <f t="shared" si="32"/>
        <v/>
      </c>
      <c r="E288" s="19" t="str">
        <f t="shared" si="33"/>
        <v/>
      </c>
      <c r="F288" s="242" t="str">
        <f>IFERROR(VLOOKUP(T_BilanSocial2[[#This Row],[Zone_Bilan]],T_P_BilanSocial[#Data],COLUMN(T_P_BilanSocial[[#This Row],[Numero_SIHAM]]),FALSE),"")</f>
        <v/>
      </c>
      <c r="G288" s="242" t="str">
        <f>IFERROR(VLOOKUP(T_BilanSocial2[[#This Row],[Zone_Bilan]],T_P_BilanSocial[#Data],COLUMN(T_P_BilanSocial[[#This Row],[Sexe]]),FALSE),"")</f>
        <v/>
      </c>
      <c r="H288" s="243" t="str">
        <f>IFERROR(VLOOKUP(T_BilanSocial2[[#This Row],[Zone_Bilan]],T_P_BilanSocial[#Data],COLUMN(T_P_BilanSocial[[#This Row],[Categorie]]),FALSE),"")</f>
        <v/>
      </c>
      <c r="I288" s="242" t="str">
        <f>IFERROR(VLOOKUP(T_BilanSocial2[[#This Row],[Zone_Bilan]],T_P_BilanSocial[#Data],COLUMN(T_P_BilanSocial[[#This Row],[Statut]]),FALSE),"")</f>
        <v/>
      </c>
      <c r="J288" s="242" t="str">
        <f>IFERROR(VLOOKUP(T_BilanSocial2[[#This Row],[Zone_Bilan]],T_P_BilanSocial[#Data],COLUMN(T_P_BilanSocial[[#This Row],[Filiere]]),FALSE),"")</f>
        <v/>
      </c>
      <c r="K288" s="78">
        <v>1</v>
      </c>
      <c r="L288" s="213">
        <v>1.5451388888888891</v>
      </c>
      <c r="M288" s="78" t="s">
        <v>210</v>
      </c>
      <c r="N288" s="79" t="str">
        <f>IF((AND(T_BilanSocial2[[#This Row],[Nom]]&lt;&gt;"",T_BilanSocial2[[#This Row],[Reg Ponct]]="R")),(COUNTIF(S288:AX288,"S")+COUNTIF(S288:AX288,"T"))/2,"")</f>
        <v/>
      </c>
      <c r="O288" s="79" t="str">
        <f>IF((AND(T_BilanSocial2[[#This Row],[Nom]]&lt;&gt;"",T_BilanSocial2[[#This Row],[Reg Ponct]]="R")),COUNTIF(S288:AX288,"S")/2,"")</f>
        <v/>
      </c>
      <c r="P288" s="80" t="str">
        <f>IF((AND(T_BilanSocial2[[#This Row],[Nom]]&lt;&gt;"",T_BilanSocial2[[#This Row],[Reg Ponct]]="R")),COUNTIF(S288:AX288,"t")/2,"")</f>
        <v/>
      </c>
      <c r="Q288" s="81" t="str">
        <f t="shared" si="34"/>
        <v/>
      </c>
      <c r="R288" s="82" t="str">
        <f>IF((AND(T_BilanSocial2[[#This Row],[Nom]]&lt;&gt;"",T_BilanSocial2[[#This Row],[Reg Ponct]]="R")),IF(S288="T",U288-T288,0)+IF(V288="T",X288-W288,0)+IF(Z288="T",AB288-AA288,0)+IF(AC288="T",AE288-AD288,0)+IF(AG288="T",AI288-AH288,0)+IF(AJ288="T",AL288-AK288,0)+IF(AN288="T",AP288-AO288,0)+IF(AQ288="T",AS288-AR288,0)+IF(AU288="T",AW288-AV288,0)+IF(AX288="T",AZ288-AY288,0),"")</f>
        <v/>
      </c>
      <c r="S288" s="36" t="s">
        <v>306</v>
      </c>
      <c r="T288" s="37">
        <v>0.33333333333333331</v>
      </c>
      <c r="U288" s="37">
        <v>0.5</v>
      </c>
      <c r="V288" s="21" t="s">
        <v>306</v>
      </c>
      <c r="W288" s="37">
        <v>0.54166666666666663</v>
      </c>
      <c r="X288" s="37">
        <v>0.6875</v>
      </c>
      <c r="Y288" s="38" t="str">
        <f t="shared" si="35"/>
        <v/>
      </c>
      <c r="Z288" s="36" t="s">
        <v>306</v>
      </c>
      <c r="AA288" s="37">
        <v>0.33333333333333331</v>
      </c>
      <c r="AB288" s="37">
        <v>0.5</v>
      </c>
      <c r="AC288" s="21" t="s">
        <v>306</v>
      </c>
      <c r="AD288" s="37">
        <v>0.54166666666666663</v>
      </c>
      <c r="AE288" s="37">
        <v>0.6875</v>
      </c>
      <c r="AF288" s="38" t="str">
        <f t="shared" si="36"/>
        <v/>
      </c>
      <c r="AG288" s="36" t="s">
        <v>306</v>
      </c>
      <c r="AH288" s="37">
        <v>0.33333333333333331</v>
      </c>
      <c r="AI288" s="37">
        <v>0.5</v>
      </c>
      <c r="AJ288" s="21" t="s">
        <v>306</v>
      </c>
      <c r="AK288" s="37">
        <v>0.54166666666666663</v>
      </c>
      <c r="AL288" s="37">
        <v>0.6875</v>
      </c>
      <c r="AM288" s="38" t="str">
        <f t="shared" si="37"/>
        <v/>
      </c>
      <c r="AN288" s="36" t="s">
        <v>307</v>
      </c>
      <c r="AO288" s="37">
        <v>0.33333333333333331</v>
      </c>
      <c r="AP288" s="37">
        <v>0.5</v>
      </c>
      <c r="AQ288" s="21" t="s">
        <v>307</v>
      </c>
      <c r="AR288" s="37">
        <v>0.54166666666666663</v>
      </c>
      <c r="AS288" s="37">
        <v>0.6875</v>
      </c>
      <c r="AT288" s="38" t="str">
        <f t="shared" si="38"/>
        <v/>
      </c>
      <c r="AU288" s="36" t="s">
        <v>306</v>
      </c>
      <c r="AV288" s="37">
        <v>0.33333333333333331</v>
      </c>
      <c r="AW288" s="37">
        <v>0.5</v>
      </c>
      <c r="AX288" s="21" t="s">
        <v>306</v>
      </c>
      <c r="AY288" s="37">
        <v>0.54166666666666663</v>
      </c>
      <c r="AZ288" s="37">
        <v>0.67013888888888884</v>
      </c>
      <c r="BA288" s="39" t="str">
        <f t="shared" si="39"/>
        <v/>
      </c>
      <c r="BB288" s="46" t="s">
        <v>780</v>
      </c>
      <c r="BC288" s="31" t="s">
        <v>781</v>
      </c>
      <c r="BD288" s="16" t="s">
        <v>311</v>
      </c>
      <c r="BE288" s="16" t="s">
        <v>311</v>
      </c>
      <c r="BF288" s="244" t="str">
        <f>T_BilanSocial2[[#This Row],[Nom]]&amp;T_BilanSocial2[[#This Row],[Prénom]]</f>
        <v/>
      </c>
    </row>
    <row r="289" spans="1:58" ht="21.75" hidden="1" customHeight="1" x14ac:dyDescent="0.25">
      <c r="A289" s="90">
        <v>217</v>
      </c>
      <c r="B289" s="126" t="s">
        <v>311</v>
      </c>
      <c r="C289" s="126" t="e">
        <f>VLOOKUP(T_BilanSocial2[[#This Row],[NumL]],T_Commission[#Data],COLUMN(T_Commission[FINAL]),FALSE)</f>
        <v>#N/A</v>
      </c>
      <c r="D289" s="19" t="str">
        <f t="shared" si="32"/>
        <v/>
      </c>
      <c r="E289" s="19" t="str">
        <f t="shared" si="33"/>
        <v/>
      </c>
      <c r="F289" s="242" t="str">
        <f>IFERROR(VLOOKUP(T_BilanSocial2[[#This Row],[Zone_Bilan]],T_P_BilanSocial[#Data],COLUMN(T_P_BilanSocial[[#This Row],[Numero_SIHAM]]),FALSE),"")</f>
        <v/>
      </c>
      <c r="G289" s="242" t="str">
        <f>IFERROR(VLOOKUP(T_BilanSocial2[[#This Row],[Zone_Bilan]],T_P_BilanSocial[#Data],COLUMN(T_P_BilanSocial[[#This Row],[Sexe]]),FALSE),"")</f>
        <v/>
      </c>
      <c r="H289" s="243" t="str">
        <f>IFERROR(VLOOKUP(T_BilanSocial2[[#This Row],[Zone_Bilan]],T_P_BilanSocial[#Data],COLUMN(T_P_BilanSocial[[#This Row],[Categorie]]),FALSE),"")</f>
        <v/>
      </c>
      <c r="I289" s="242" t="str">
        <f>IFERROR(VLOOKUP(T_BilanSocial2[[#This Row],[Zone_Bilan]],T_P_BilanSocial[#Data],COLUMN(T_P_BilanSocial[[#This Row],[Statut]]),FALSE),"")</f>
        <v/>
      </c>
      <c r="J289" s="242" t="str">
        <f>IFERROR(VLOOKUP(T_BilanSocial2[[#This Row],[Zone_Bilan]],T_P_BilanSocial[#Data],COLUMN(T_P_BilanSocial[[#This Row],[Filiere]]),FALSE),"")</f>
        <v/>
      </c>
      <c r="K289" s="83">
        <v>1</v>
      </c>
      <c r="L289" s="213">
        <v>1.5451388888888891</v>
      </c>
      <c r="M289" s="78" t="s">
        <v>211</v>
      </c>
      <c r="N289" s="79" t="str">
        <f>IF((AND(T_BilanSocial2[[#This Row],[Nom]]&lt;&gt;"",T_BilanSocial2[[#This Row],[Reg Ponct]]="R")),(COUNTIF(S289:AX289,"S")+COUNTIF(S289:AX289,"T"))/2,"")</f>
        <v/>
      </c>
      <c r="O289" s="79" t="str">
        <f>IF((AND(T_BilanSocial2[[#This Row],[Nom]]&lt;&gt;"",T_BilanSocial2[[#This Row],[Reg Ponct]]="R")),COUNTIF(S289:AX289,"S")/2,"")</f>
        <v/>
      </c>
      <c r="P289" s="80" t="str">
        <f>IF((AND(T_BilanSocial2[[#This Row],[Nom]]&lt;&gt;"",T_BilanSocial2[[#This Row],[Reg Ponct]]="R")),COUNTIF(S289:AX289,"t")/2,"")</f>
        <v/>
      </c>
      <c r="Q289" s="81" t="str">
        <f t="shared" si="34"/>
        <v/>
      </c>
      <c r="R289" s="82" t="str">
        <f>IF((AND(T_BilanSocial2[[#This Row],[Nom]]&lt;&gt;"",T_BilanSocial2[[#This Row],[Reg Ponct]]="R")),IF(S289="T",U289-T289,0)+IF(V289="T",X289-W289,0)+IF(Z289="T",AB289-AA289,0)+IF(AC289="T",AE289-AD289,0)+IF(AG289="T",AI289-AH289,0)+IF(AJ289="T",AL289-AK289,0)+IF(AN289="T",AP289-AO289,0)+IF(AQ289="T",AS289-AR289,0)+IF(AU289="T",AW289-AV289,0)+IF(AX289="T",AZ289-AY289,0),"")</f>
        <v/>
      </c>
      <c r="S289" s="36"/>
      <c r="T289" s="37"/>
      <c r="U289" s="37"/>
      <c r="V289" s="21"/>
      <c r="W289" s="37"/>
      <c r="X289" s="37"/>
      <c r="Y289" s="38" t="str">
        <f t="shared" si="35"/>
        <v/>
      </c>
      <c r="Z289" s="36"/>
      <c r="AA289" s="37"/>
      <c r="AB289" s="37"/>
      <c r="AC289" s="21"/>
      <c r="AD289" s="37"/>
      <c r="AE289" s="37"/>
      <c r="AF289" s="38" t="str">
        <f t="shared" si="36"/>
        <v/>
      </c>
      <c r="AG289" s="36"/>
      <c r="AH289" s="37"/>
      <c r="AI289" s="37"/>
      <c r="AJ289" s="21"/>
      <c r="AK289" s="37"/>
      <c r="AL289" s="37"/>
      <c r="AM289" s="38" t="str">
        <f t="shared" si="37"/>
        <v/>
      </c>
      <c r="AN289" s="36"/>
      <c r="AO289" s="37"/>
      <c r="AP289" s="37"/>
      <c r="AQ289" s="21"/>
      <c r="AR289" s="37"/>
      <c r="AS289" s="37"/>
      <c r="AT289" s="38" t="str">
        <f t="shared" si="38"/>
        <v/>
      </c>
      <c r="AU289" s="36"/>
      <c r="AV289" s="37"/>
      <c r="AW289" s="37"/>
      <c r="AX289" s="21"/>
      <c r="AY289" s="37"/>
      <c r="AZ289" s="37"/>
      <c r="BA289" s="39" t="str">
        <f t="shared" si="39"/>
        <v/>
      </c>
      <c r="BB289" s="46" t="s">
        <v>376</v>
      </c>
      <c r="BC289" s="31" t="s">
        <v>341</v>
      </c>
      <c r="BD289" s="16" t="s">
        <v>311</v>
      </c>
      <c r="BE289" s="16" t="s">
        <v>311</v>
      </c>
      <c r="BF289" s="244" t="str">
        <f>T_BilanSocial2[[#This Row],[Nom]]&amp;T_BilanSocial2[[#This Row],[Prénom]]</f>
        <v/>
      </c>
    </row>
    <row r="292" spans="1:58" ht="21.75" customHeight="1" x14ac:dyDescent="0.2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row>
    <row r="293" spans="1:58" ht="21.75" customHeight="1" x14ac:dyDescent="0.2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5" spans="1:58" ht="21.75" customHeight="1" x14ac:dyDescent="0.25">
      <c r="J295" s="193"/>
    </row>
    <row r="296" spans="1:58" ht="21.75" customHeight="1" x14ac:dyDescent="0.25">
      <c r="J296" s="193"/>
    </row>
  </sheetData>
  <sheetProtection sort="0" autoFilter="0"/>
  <conditionalFormatting sqref="D2:D289">
    <cfRule type="expression" dxfId="211" priority="2">
      <formula>$B2="N"</formula>
    </cfRule>
  </conditionalFormatting>
  <conditionalFormatting sqref="D280:D289">
    <cfRule type="expression" dxfId="210" priority="1">
      <formula>$B280="N"</formula>
    </cfRule>
  </conditionalFormatting>
  <dataValidations count="16">
    <dataValidation allowBlank="1" showInputMessage="1" showErrorMessage="1" promptTitle="Contrôle" prompt="Vérifiez que le nombre de jours travaillés correspond bien à celui indiqué sur le formulaire de demande. _x000a__x000a_En cas de non correspondance, vérifiez la saisie et contactez demandeur et encadrant le cas échéant pour précision. " sqref="N1" xr:uid="{49ADEE32-6952-45C5-8A0F-66CE1B4BB0D1}"/>
    <dataValidation allowBlank="1" showInputMessage="1" showErrorMessage="1" promptTitle="Contrôle" prompt="Vérifiez que le nombre de jours sur site correspond bien à celui indiqué sur le formulaire de demande. _x000a__x000a_En cas de non correspondance, vérifiez la saisie et contactez demandeur et encadrant le cas échéant pour précision. " sqref="O1" xr:uid="{FFC93DFD-DBED-434D-A3EB-7331557AF7FD}"/>
    <dataValidation allowBlank="1" showInputMessage="1" showErrorMessage="1" promptTitle="Contrôle" prompt="Vérifiez que le nombre de jours télétravaillés correspond bien à celui indiqué sur le formulaire de demande. _x000a__x000a_En cas de non correspondance, vérifiez la saisie et contactez demandeur et encadrant le cas échéant pour précision. " sqref="P1" xr:uid="{8686D02A-76AE-451F-889C-313D0327DFFF}"/>
    <dataValidation allowBlank="1" showInputMessage="1" showErrorMessage="1" promptTitle="Contrôle" prompt="Vérifiez que le temps de travail hebdo correspond bien à celui indiqué sur le formulaire de demande et est en accord avec la quotité. _x000a__x000a_En cas de non correspondance, vérifiez la saisie et contactez demandeur et encadrant le cas échéant pour précision. " sqref="Q1" xr:uid="{918CFA49-63DB-4EF2-9640-EDF019C82FB3}"/>
    <dataValidation allowBlank="1" showInputMessage="1" showErrorMessage="1" promptTitle="Contrôle" prompt="Vérifiez que le temps de télétravail hebdo correspond bien à celui indiqué sur le formulaire de demande _x000a__x000a_En cas de non correspondance, vérifiez la saisie et contactez demandeur et encadrant le cas échéant pour précision. " sqref="R1" xr:uid="{D99C9870-8186-483D-84E3-DEAC6EF1AA6D}"/>
    <dataValidation allowBlank="1" showInputMessage="1" showErrorMessage="1" promptTitle="Contrôle" prompt="Vérifiez que l'amplitude journalière correspond bien à celle indiquée sur le formulaire de demande. _x000a__x000a_En cas de non correspondance, vérifiez la saisie et contactez demandeur et encadrant le cas échéant pour précision. " sqref="AF1 AM1 AT1 BA1 Y1" xr:uid="{21261073-1732-444D-848F-0CB5440F2EE6}"/>
    <dataValidation type="list" allowBlank="1" showInputMessage="1" showErrorMessage="1" sqref="AX284:AX289 AQ284:AQ289 AC284:AC289 AN284:AN289 AJ284:AJ289 AG284:AG289 Z284:Z289 AU284:AU289 AU2:AU282 AX2:AX282 AQ2:AQ282 AN2:AN282 AG2:AG282 AJ2:AJ282 Z2:Z282 AC2:AC282" xr:uid="{2C8D1B3A-AF93-41AE-AC10-5F99AD03B09E}">
      <formula1>"S,T,A"</formula1>
    </dataValidation>
    <dataValidation type="list" allowBlank="1" showInputMessage="1" showErrorMessage="1" promptTitle="Aide à la saisie" prompt="Indiquez le type de demi journée : _x000a_T =&gt; Télétravaillée_x000a_S =&gt; Sur site_x000a_A =&gt; Absent" sqref="Z283 AC283 AG283 AJ283 AN283 AQ283 AU283 AX283 V2:V289 S2:S289" xr:uid="{09F52317-AB48-4FF8-9FCE-9B43C46B064E}">
      <formula1>"S,T,A"</formula1>
    </dataValidation>
    <dataValidation allowBlank="1" showInputMessage="1" showErrorMessage="1" promptTitle="Aide à la saisie" prompt="Indiquez les horaires de travail au format hh:mm_x000a__x000a_Laissez vide si absent_x000a_" sqref="AA283:AB283 AD283:AE283 AH283:AI283 AK283:AL283 AO283:AP283 AR283:AS283 AV283:AW283 AY283:AZ283 W2:X289 T2:U289" xr:uid="{88684311-E846-49B8-8D22-FF842EAA7FD7}"/>
    <dataValidation type="list" allowBlank="1" showInputMessage="1" showErrorMessage="1" promptTitle="Aide à la saisie" prompt="Utilisez le menu déroulant pour préciser la quotité demandée à partir du démarrage effectif de télétravail" sqref="K2:K289" xr:uid="{D0CB860C-6773-4E10-A62F-D7350C375BF1}">
      <formula1>ListeQuotité</formula1>
    </dataValidation>
    <dataValidation type="list" allowBlank="1" showInputMessage="1" showErrorMessage="1" promptTitle="Aide à la saisie" prompt="Utilisez le menu déroulant pour préciser si le demandeur a déjà suivi une formation de télétravail. " sqref="BE2:BE289" xr:uid="{764E5A70-E37D-45EF-921E-E029280E4309}">
      <formula1>"O,N"</formula1>
    </dataValidation>
    <dataValidation type="list" allowBlank="1" showInputMessage="1" showErrorMessage="1" promptTitle="Aide à la saisie" prompt="Utilisez le menu déroulant pour préciser si le demandeur a déjà une expérience de télétravail" sqref="BD2:BD289" xr:uid="{F797EC6D-A51E-41C5-964A-0744C0DB4FD7}">
      <formula1>"O,N"</formula1>
    </dataValidation>
    <dataValidation type="list" allowBlank="1" showInputMessage="1" showErrorMessage="1" prompt="R: Renouvellement_x000a_N: Nouveau télétravailleur" sqref="B2:B289 C2" xr:uid="{EEB38B5D-FB57-410D-97C7-1338605876D4}">
      <formula1>"R,N"</formula1>
    </dataValidation>
    <dataValidation type="list" allowBlank="1" showInputMessage="1" showErrorMessage="1" promptTitle="Aide à la saisie" prompt="P:Télétravailleur ponctuel_x000a_R: Télétravailleru régulier" sqref="M2:M289" xr:uid="{53AA178C-B227-4010-8A33-AB9BDA71DCEB}">
      <formula1>"R,P"</formula1>
    </dataValidation>
    <dataValidation type="list" allowBlank="1" showInputMessage="1" showErrorMessage="1" promptTitle="Aide à la saisie" sqref="L2:L289" xr:uid="{C5916261-D443-4A9D-B90F-CF80CCBA0996}">
      <formula1>Hebdo_théorique</formula1>
    </dataValidation>
    <dataValidation allowBlank="1" showInputMessage="1" showErrorMessage="1" prompt="R: Renouvellement_x000a_N: Nouveau télétravailleur" sqref="C3:C289" xr:uid="{A938062B-F759-46B1-85C2-3C2BC6638BC5}"/>
  </dataValidation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4"/>
    <pageSetUpPr fitToPage="1"/>
  </sheetPr>
  <dimension ref="A1:W321"/>
  <sheetViews>
    <sheetView showGridLines="0" zoomScaleNormal="100" workbookViewId="0">
      <pane xSplit="3" ySplit="2" topLeftCell="D3" activePane="bottomRight" state="frozen"/>
      <selection pane="topRight" activeCell="D1" sqref="D1"/>
      <selection pane="bottomLeft" activeCell="A3" sqref="A3"/>
      <selection pane="bottomRight" activeCell="A5" sqref="A5:W321"/>
    </sheetView>
  </sheetViews>
  <sheetFormatPr baseColWidth="10" defaultRowHeight="24" customHeight="1" x14ac:dyDescent="0.25"/>
  <cols>
    <col min="1" max="1" width="4.85546875" style="15" customWidth="1"/>
    <col min="2" max="3" width="14.85546875" style="1" customWidth="1"/>
    <col min="4" max="4" width="28.85546875" style="1" bestFit="1" customWidth="1"/>
    <col min="5" max="5" width="20" style="1" bestFit="1" customWidth="1"/>
    <col min="6" max="6" width="22.7109375" style="1" bestFit="1" customWidth="1"/>
    <col min="7" max="7" width="28.85546875" style="1" bestFit="1" customWidth="1"/>
    <col min="8" max="8" width="14.85546875" style="2" customWidth="1"/>
    <col min="9" max="9" width="16.85546875" style="2" customWidth="1"/>
    <col min="10" max="10" width="6.5703125" style="103" customWidth="1"/>
    <col min="11" max="11" width="14.85546875" style="7" customWidth="1"/>
    <col min="12" max="12" width="16.140625" style="7" customWidth="1"/>
    <col min="13" max="13" width="10.42578125" style="103" customWidth="1"/>
    <col min="14" max="14" width="13.42578125" style="7" customWidth="1"/>
    <col min="15" max="15" width="11.42578125" style="7" customWidth="1"/>
    <col min="16" max="16" width="11" style="7" customWidth="1"/>
    <col min="17" max="17" width="14.85546875" style="7" customWidth="1"/>
    <col min="18" max="18" width="17.140625" style="7" customWidth="1"/>
    <col min="19" max="19" width="13.85546875" style="103" customWidth="1"/>
    <col min="20" max="20" width="13.140625" style="7" customWidth="1"/>
    <col min="21" max="21" width="12" style="7" customWidth="1"/>
    <col min="22" max="22" width="12.42578125" style="7" customWidth="1"/>
    <col min="23" max="23" width="111.140625" style="6" customWidth="1"/>
  </cols>
  <sheetData>
    <row r="1" spans="1:23" ht="24" customHeight="1" x14ac:dyDescent="0.25">
      <c r="A1" s="13"/>
      <c r="B1" s="412" t="s">
        <v>76</v>
      </c>
      <c r="C1" s="412"/>
      <c r="D1" s="412"/>
      <c r="E1" s="98"/>
      <c r="F1" s="98"/>
      <c r="G1" s="98"/>
      <c r="H1" s="413" t="s">
        <v>176</v>
      </c>
      <c r="I1" s="413"/>
      <c r="J1" s="102"/>
      <c r="K1" s="407" t="s">
        <v>177</v>
      </c>
      <c r="L1" s="407"/>
      <c r="M1" s="407"/>
      <c r="N1" s="407"/>
      <c r="O1" s="407"/>
      <c r="P1" s="407"/>
      <c r="Q1" s="414" t="s">
        <v>178</v>
      </c>
      <c r="R1" s="414"/>
      <c r="S1" s="414"/>
      <c r="T1" s="414"/>
      <c r="U1" s="414"/>
      <c r="V1" s="48"/>
      <c r="W1" s="48"/>
    </row>
    <row r="2" spans="1:23" s="93" customFormat="1" ht="24" customHeight="1" x14ac:dyDescent="0.25">
      <c r="A2" s="157" t="s">
        <v>236</v>
      </c>
      <c r="B2" s="127" t="s">
        <v>0</v>
      </c>
      <c r="C2" s="127" t="s">
        <v>1</v>
      </c>
      <c r="D2" s="127" t="s">
        <v>2</v>
      </c>
      <c r="E2" s="127" t="s">
        <v>111</v>
      </c>
      <c r="F2" s="127" t="s">
        <v>112</v>
      </c>
      <c r="G2" s="127" t="s">
        <v>113</v>
      </c>
      <c r="H2" s="127" t="s">
        <v>174</v>
      </c>
      <c r="I2" s="127" t="s">
        <v>175</v>
      </c>
      <c r="J2" s="154" t="s">
        <v>276</v>
      </c>
      <c r="K2" s="127" t="s">
        <v>179</v>
      </c>
      <c r="L2" s="127" t="s">
        <v>10</v>
      </c>
      <c r="M2" s="273" t="s">
        <v>237</v>
      </c>
      <c r="N2" s="127" t="s">
        <v>187</v>
      </c>
      <c r="O2" s="127" t="s">
        <v>188</v>
      </c>
      <c r="P2" s="127" t="s">
        <v>180</v>
      </c>
      <c r="Q2" s="127" t="s">
        <v>185</v>
      </c>
      <c r="R2" s="127" t="s">
        <v>282</v>
      </c>
      <c r="S2" s="273" t="s">
        <v>239</v>
      </c>
      <c r="T2" s="127" t="s">
        <v>186</v>
      </c>
      <c r="U2" s="127" t="s">
        <v>181</v>
      </c>
      <c r="V2" s="127" t="s">
        <v>182</v>
      </c>
      <c r="W2" s="138" t="s">
        <v>15</v>
      </c>
    </row>
    <row r="3" spans="1:23" ht="24" hidden="1" customHeight="1" x14ac:dyDescent="0.25">
      <c r="A3" s="90">
        <v>0</v>
      </c>
      <c r="B3" s="139" t="str">
        <f>IFERROR(IF(VLOOKUP(T_SuiviTw[[#This Row],[NumL]],T_suiviDi[#Data],COLUMN(T_suiviDi[[#This Row],[Nom]]),FALSE)&lt;&gt;"",VLOOKUP(T_SuiviTw[[#This Row],[NumL]],T_suiviDi[#Data],COLUMN(T_suiviDi[[#This Row],[Nom]]),FALSE),""),"")</f>
        <v/>
      </c>
      <c r="C3" s="139" t="str">
        <f>IFERROR(IF(VLOOKUP(T_SuiviTw[[#This Row],[NumL]],T_suiviDi[#Data],COLUMN(T_suiviDi[[#This Row],[Prénom]]),FALSE)&lt;&gt;"",VLOOKUP(T_SuiviTw[[#This Row],[NumL]],T_suiviDi[#Data],COLUMN(T_suiviDi[[#This Row],[Prénom]]),FALSE),""),"")</f>
        <v/>
      </c>
      <c r="D3" s="140" t="str">
        <f>IFERROR(IF(VLOOKUP(T_SuiviTw[[#This Row],[NumL]],T_suiviDi[#Data],COLUMN(T_suiviDi[[#This Row],[Email]]),FALSE)&lt;&gt;"",VLOOKUP(T_SuiviTw[[#This Row],[NumL]],T_suiviDi[#Data],COLUMN(T_suiviDi[[#This Row],[Email]]),FALSE),""),"")</f>
        <v/>
      </c>
      <c r="E3" s="141" t="str">
        <f>IFERROR(IF(VLOOKUP(T_SuiviTw[[#This Row],[NumL]],T_suiviDi[#Data],COLUMN(T_suiviDi[[#This Row],[Nom1]]),FALSE)&lt;&gt;"",VLOOKUP(T_SuiviTw[[#This Row],[NumL]],T_suiviDi[#Data],COLUMN(T_suiviDi[[#This Row],[Nom1]]),FALSE),""),"")</f>
        <v/>
      </c>
      <c r="F3" s="141" t="str">
        <f>IFERROR(IF(VLOOKUP(T_SuiviTw[[#This Row],[NumL]],T_suiviDi[#Data],COLUMN(T_suiviDi[[#This Row],[Prénom1]]),FALSE)&lt;&gt;"",VLOOKUP(T_SuiviTw[[#This Row],[NumL]],T_suiviDi[#Data],COLUMN(T_suiviDi[[#This Row],[Prénom1]]),FALSE),""),"")</f>
        <v/>
      </c>
      <c r="G3" s="141" t="str">
        <f>IFERROR(IF(VLOOKUP(T_SuiviTw[[#This Row],[NumL]],T_suiviDi[#Data],COLUMN(T_suiviDi[[#This Row],[Email1]]),FALSE)&lt;&gt;"",VLOOKUP(T_SuiviTw[[#This Row],[NumL]],T_suiviDi[#Data],COLUMN(T_suiviDi[[#This Row],[Email1]]),FALSE),""),"")</f>
        <v/>
      </c>
      <c r="H3" s="155" t="str">
        <f t="shared" ref="H3" si="0">IF(B3&lt;&gt;"",DateEdition,"")</f>
        <v/>
      </c>
      <c r="I3" s="100"/>
      <c r="J3" s="156" t="str">
        <f t="shared" ref="J3" si="1">IF(AND(I3="",K3=""),"",IF(AND(I3&lt;&gt;"",H3&lt;&gt;""),1,3))</f>
        <v/>
      </c>
      <c r="K3" s="155" t="str">
        <f t="shared" ref="K3" si="2">IF(B3&lt;&gt;"",DateFinadapt,"")</f>
        <v/>
      </c>
      <c r="L3" s="100"/>
      <c r="M3" s="156" t="str">
        <f t="shared" ref="M3" ca="1" si="3">IF(OR(K3="",TODAY()&lt;K3),"",IF(L3&lt;&gt;"",1,3))</f>
        <v/>
      </c>
      <c r="N3" s="49"/>
      <c r="O3" s="49"/>
      <c r="P3" s="105" t="str">
        <f t="shared" ref="P3" si="4">IF(AND(N3&lt;&gt;"",O3&lt;&gt;""),IF(MAX(N3,O3)=1,1,4),IF(OR(N3&lt;&gt;"",O3&lt;&gt;""),"?",""))</f>
        <v/>
      </c>
      <c r="Q3" s="155" t="str">
        <f t="shared" ref="Q3" si="5">IF(AND(F3&lt;&gt;"",P3=1),Datebilan2,"")</f>
        <v/>
      </c>
      <c r="R3" s="100"/>
      <c r="S3" s="156" t="str">
        <f t="shared" ref="S3" ca="1" si="6">IF(OR(B3="",P3&gt;1),"",IF(R3&lt;&gt;"",1,IF(Q3&lt;=TODAY(),3,IF(Q3&lt;=TODAY()+10,2,""))))</f>
        <v/>
      </c>
      <c r="T3" s="101"/>
      <c r="U3" s="101"/>
      <c r="V3" s="101"/>
      <c r="W3" s="144"/>
    </row>
    <row r="4" spans="1:23" ht="24" hidden="1" customHeight="1" x14ac:dyDescent="0.25">
      <c r="A4" s="90">
        <v>345</v>
      </c>
      <c r="B4" s="139" t="str">
        <f>IFERROR(IF(VLOOKUP(T_SuiviTw[[#This Row],[NumL]],T_suiviDi[#Data],COLUMN(T_suiviDi[[#This Row],[Nom]]),FALSE)&lt;&gt;"",VLOOKUP(T_SuiviTw[[#This Row],[NumL]],T_suiviDi[#Data],COLUMN(T_suiviDi[[#This Row],[Nom]]),FALSE),""),"")</f>
        <v/>
      </c>
      <c r="C4" s="139" t="str">
        <f>IFERROR(IF(VLOOKUP(T_SuiviTw[[#This Row],[NumL]],T_suiviDi[#Data],COLUMN(T_suiviDi[[#This Row],[Prénom]]),FALSE)&lt;&gt;"",VLOOKUP(T_SuiviTw[[#This Row],[NumL]],T_suiviDi[#Data],COLUMN(T_suiviDi[[#This Row],[Prénom]]),FALSE),""),"")</f>
        <v/>
      </c>
      <c r="D4" s="140" t="str">
        <f>IFERROR(IF(VLOOKUP(T_SuiviTw[[#This Row],[NumL]],T_suiviDi[#Data],COLUMN(T_suiviDi[[#This Row],[Email]]),FALSE)&lt;&gt;"",VLOOKUP(T_SuiviTw[[#This Row],[NumL]],T_suiviDi[#Data],COLUMN(T_suiviDi[[#This Row],[Email]]),FALSE),""),"")</f>
        <v/>
      </c>
      <c r="E4" s="141" t="str">
        <f>IFERROR(IF(VLOOKUP(T_SuiviTw[[#This Row],[NumL]],T_suiviDi[#Data],COLUMN(T_suiviDi[[#This Row],[Nom1]]),FALSE)&lt;&gt;"",VLOOKUP(T_SuiviTw[[#This Row],[NumL]],T_suiviDi[#Data],COLUMN(T_suiviDi[[#This Row],[Nom1]]),FALSE),""),"")</f>
        <v/>
      </c>
      <c r="F4" s="141" t="str">
        <f>IFERROR(IF(VLOOKUP(T_SuiviTw[[#This Row],[NumL]],T_suiviDi[#Data],COLUMN(T_suiviDi[[#This Row],[Prénom1]]),FALSE)&lt;&gt;"",VLOOKUP(T_SuiviTw[[#This Row],[NumL]],T_suiviDi[#Data],COLUMN(T_suiviDi[[#This Row],[Prénom1]]),FALSE),""),"")</f>
        <v/>
      </c>
      <c r="G4" s="141" t="str">
        <f>IFERROR(IF(VLOOKUP(T_SuiviTw[[#This Row],[NumL]],T_suiviDi[#Data],COLUMN(T_suiviDi[[#This Row],[Email1]]),FALSE)&lt;&gt;"",VLOOKUP(T_SuiviTw[[#This Row],[NumL]],T_suiviDi[#Data],COLUMN(T_suiviDi[[#This Row],[Email1]]),FALSE),""),"")</f>
        <v/>
      </c>
      <c r="H4" s="155" t="str">
        <f t="shared" ref="H4" si="7">IF(B4&lt;&gt;"",DateEdition,"")</f>
        <v/>
      </c>
      <c r="I4" s="100"/>
      <c r="J4" s="156" t="str">
        <f t="shared" ref="J4" si="8">IF(AND(I4="",K4=""),"",IF(AND(I4&lt;&gt;"",H4&lt;&gt;""),1,3))</f>
        <v/>
      </c>
      <c r="K4" s="155" t="str">
        <f t="shared" ref="K4" si="9">IF(B4&lt;&gt;"",DateFinadapt,"")</f>
        <v/>
      </c>
      <c r="L4" s="100"/>
      <c r="M4" s="156" t="str">
        <f t="shared" ref="M4" ca="1" si="10">IF(OR(K4="",TODAY()&lt;K4),"",IF(L4&lt;&gt;"",1,3))</f>
        <v/>
      </c>
      <c r="N4" s="49"/>
      <c r="O4" s="49"/>
      <c r="P4" s="105" t="str">
        <f t="shared" ref="P4" si="11">IF(AND(N4&lt;&gt;"",O4&lt;&gt;""),IF(MAX(N4,O4)=1,1,4),IF(OR(N4&lt;&gt;"",O4&lt;&gt;""),"?",""))</f>
        <v/>
      </c>
      <c r="Q4" s="155" t="str">
        <f t="shared" ref="Q4" si="12">IF(AND(F4&lt;&gt;"",P4=1),Datebilan2,"")</f>
        <v/>
      </c>
      <c r="R4" s="100"/>
      <c r="S4" s="156" t="str">
        <f t="shared" ref="S4" ca="1" si="13">IF(OR(B4="",P4&gt;1),"",IF(R4&lt;&gt;"",1,IF(Q4&lt;=TODAY(),3,IF(Q4&lt;=TODAY()+10,2,""))))</f>
        <v/>
      </c>
      <c r="T4" s="101"/>
      <c r="U4" s="101"/>
      <c r="V4" s="101"/>
      <c r="W4" s="144"/>
    </row>
    <row r="5" spans="1:23" ht="24" customHeight="1" x14ac:dyDescent="0.25">
      <c r="A5" s="90">
        <v>278</v>
      </c>
      <c r="B5" s="19" t="str">
        <f>IFERROR(IF(VLOOKUP(T_SuiviTw[[#This Row],[NumL]],T_suiviDi[#Data],COLUMN(T_suiviDi[[#This Row],[Nom]]),FALSE)&lt;&gt;"",VLOOKUP(T_SuiviTw[[#This Row],[NumL]],T_suiviDi[#Data],COLUMN(T_suiviDi[[#This Row],[Nom]]),FALSE),""),"")</f>
        <v/>
      </c>
      <c r="C5" s="19" t="str">
        <f>IFERROR(IF(VLOOKUP(T_SuiviTw[[#This Row],[NumL]],T_suiviDi[#Data],COLUMN(T_suiviDi[[#This Row],[Prénom]]),FALSE)&lt;&gt;"",VLOOKUP(T_SuiviTw[[#This Row],[NumL]],T_suiviDi[#Data],COLUMN(T_suiviDi[[#This Row],[Prénom]]),FALSE),""),"")</f>
        <v/>
      </c>
      <c r="D5" s="20" t="str">
        <f>IFERROR(IF(VLOOKUP(T_SuiviTw[[#This Row],[NumL]],T_suiviDi[#Data],COLUMN(T_suiviDi[[#This Row],[Email]]),FALSE)&lt;&gt;"",VLOOKUP(T_SuiviTw[[#This Row],[NumL]],T_suiviDi[#Data],COLUMN(T_suiviDi[[#This Row],[Email]]),FALSE),""),"")</f>
        <v/>
      </c>
      <c r="E5" s="274" t="str">
        <f>IFERROR(IF(VLOOKUP(T_SuiviTw[[#This Row],[NumL]],T_suiviDi[#Data],COLUMN(T_suiviDi[[#This Row],[Nom1]]),FALSE)&lt;&gt;"",VLOOKUP(T_SuiviTw[[#This Row],[NumL]],T_suiviDi[#Data],COLUMN(T_suiviDi[[#This Row],[Nom1]]),FALSE),""),"")</f>
        <v/>
      </c>
      <c r="F5" s="274" t="str">
        <f>IFERROR(IF(VLOOKUP(T_SuiviTw[[#This Row],[NumL]],T_suiviDi[#Data],COLUMN(T_suiviDi[[#This Row],[Prénom1]]),FALSE)&lt;&gt;"",VLOOKUP(T_SuiviTw[[#This Row],[NumL]],T_suiviDi[#Data],COLUMN(T_suiviDi[[#This Row],[Prénom1]]),FALSE),""),"")</f>
        <v/>
      </c>
      <c r="G5" s="274" t="str">
        <f>IFERROR(IF(VLOOKUP(T_SuiviTw[[#This Row],[NumL]],T_suiviDi[#Data],COLUMN(T_suiviDi[[#This Row],[Email1]]),FALSE)&lt;&gt;"",VLOOKUP(T_SuiviTw[[#This Row],[NumL]],T_suiviDi[#Data],COLUMN(T_suiviDi[[#This Row],[Email1]]),FALSE),""),"")</f>
        <v/>
      </c>
      <c r="H5" s="275" t="str">
        <f t="shared" ref="H5:H68" si="14">IF(B5&lt;&gt;"",DateEdition,"")</f>
        <v/>
      </c>
      <c r="I5" s="100"/>
      <c r="J5" s="156" t="str">
        <f t="shared" ref="J5:J68" si="15">IF(AND(I5="",K5=""),"",IF(AND(I5&lt;&gt;"",H5&lt;&gt;""),1,3))</f>
        <v/>
      </c>
      <c r="K5" s="155" t="str">
        <f t="shared" ref="K5:K68" si="16">IF(B5&lt;&gt;"",DateFinadapt,"")</f>
        <v/>
      </c>
      <c r="L5" s="100"/>
      <c r="M5" s="156" t="str">
        <f t="shared" ref="M5:M68" ca="1" si="17">IF(OR(K5="",TODAY()&lt;K5),"",IF(L5&lt;&gt;"",1,3))</f>
        <v/>
      </c>
      <c r="N5" s="49"/>
      <c r="O5" s="49"/>
      <c r="P5" s="105" t="str">
        <f t="shared" ref="P5:P68" si="18">IF(AND(N5&lt;&gt;"",O5&lt;&gt;""),IF(MAX(N5,O5)=1,1,4),IF(OR(N5&lt;&gt;"",O5&lt;&gt;""),"?",""))</f>
        <v/>
      </c>
      <c r="Q5" s="155" t="str">
        <f t="shared" ref="Q5:Q68" si="19">IF(AND(F5&lt;&gt;"",P5=1),Datebilan2,"")</f>
        <v/>
      </c>
      <c r="R5" s="100"/>
      <c r="S5" s="156" t="str">
        <f t="shared" ref="S5:S68" ca="1" si="20">IF(OR(B5="",P5&gt;1),"",IF(R5&lt;&gt;"",1,IF(Q5&lt;=TODAY(),3,IF(Q5&lt;=TODAY()+10,2,""))))</f>
        <v/>
      </c>
      <c r="T5" s="101"/>
      <c r="U5" s="101"/>
      <c r="V5" s="101"/>
      <c r="W5" s="144"/>
    </row>
    <row r="6" spans="1:23" ht="24" customHeight="1" x14ac:dyDescent="0.25">
      <c r="A6" s="90">
        <v>68</v>
      </c>
      <c r="B6" s="19" t="str">
        <f>IFERROR(IF(VLOOKUP(T_SuiviTw[[#This Row],[NumL]],T_suiviDi[#Data],COLUMN(T_suiviDi[[#This Row],[Nom]]),FALSE)&lt;&gt;"",VLOOKUP(T_SuiviTw[[#This Row],[NumL]],T_suiviDi[#Data],COLUMN(T_suiviDi[[#This Row],[Nom]]),FALSE),""),"")</f>
        <v/>
      </c>
      <c r="C6" s="19" t="str">
        <f>IFERROR(IF(VLOOKUP(T_SuiviTw[[#This Row],[NumL]],T_suiviDi[#Data],COLUMN(T_suiviDi[[#This Row],[Prénom]]),FALSE)&lt;&gt;"",VLOOKUP(T_SuiviTw[[#This Row],[NumL]],T_suiviDi[#Data],COLUMN(T_suiviDi[[#This Row],[Prénom]]),FALSE),""),"")</f>
        <v/>
      </c>
      <c r="D6" s="20" t="str">
        <f>IFERROR(IF(VLOOKUP(T_SuiviTw[[#This Row],[NumL]],T_suiviDi[#Data],COLUMN(T_suiviDi[[#This Row],[Email]]),FALSE)&lt;&gt;"",VLOOKUP(T_SuiviTw[[#This Row],[NumL]],T_suiviDi[#Data],COLUMN(T_suiviDi[[#This Row],[Email]]),FALSE),""),"")</f>
        <v/>
      </c>
      <c r="E6" s="274" t="str">
        <f>IFERROR(IF(VLOOKUP(T_SuiviTw[[#This Row],[NumL]],T_suiviDi[#Data],COLUMN(T_suiviDi[[#This Row],[Nom1]]),FALSE)&lt;&gt;"",VLOOKUP(T_SuiviTw[[#This Row],[NumL]],T_suiviDi[#Data],COLUMN(T_suiviDi[[#This Row],[Nom1]]),FALSE),""),"")</f>
        <v/>
      </c>
      <c r="F6" s="274" t="str">
        <f>IFERROR(IF(VLOOKUP(T_SuiviTw[[#This Row],[NumL]],T_suiviDi[#Data],COLUMN(T_suiviDi[[#This Row],[Prénom1]]),FALSE)&lt;&gt;"",VLOOKUP(T_SuiviTw[[#This Row],[NumL]],T_suiviDi[#Data],COLUMN(T_suiviDi[[#This Row],[Prénom1]]),FALSE),""),"")</f>
        <v/>
      </c>
      <c r="G6" s="274" t="str">
        <f>IFERROR(IF(VLOOKUP(T_SuiviTw[[#This Row],[NumL]],T_suiviDi[#Data],COLUMN(T_suiviDi[[#This Row],[Email1]]),FALSE)&lt;&gt;"",VLOOKUP(T_SuiviTw[[#This Row],[NumL]],T_suiviDi[#Data],COLUMN(T_suiviDi[[#This Row],[Email1]]),FALSE),""),"")</f>
        <v/>
      </c>
      <c r="H6" s="275" t="str">
        <f t="shared" si="14"/>
        <v/>
      </c>
      <c r="I6" s="100"/>
      <c r="J6" s="156" t="str">
        <f t="shared" si="15"/>
        <v/>
      </c>
      <c r="K6" s="155" t="str">
        <f t="shared" si="16"/>
        <v/>
      </c>
      <c r="L6" s="100"/>
      <c r="M6" s="156" t="str">
        <f t="shared" ca="1" si="17"/>
        <v/>
      </c>
      <c r="N6" s="49"/>
      <c r="O6" s="49"/>
      <c r="P6" s="105" t="str">
        <f t="shared" si="18"/>
        <v/>
      </c>
      <c r="Q6" s="155" t="str">
        <f t="shared" si="19"/>
        <v/>
      </c>
      <c r="R6" s="100"/>
      <c r="S6" s="156" t="str">
        <f t="shared" ca="1" si="20"/>
        <v/>
      </c>
      <c r="T6" s="101"/>
      <c r="U6" s="101"/>
      <c r="V6" s="101"/>
      <c r="W6" s="144"/>
    </row>
    <row r="7" spans="1:23" ht="24" customHeight="1" x14ac:dyDescent="0.25">
      <c r="A7" s="90">
        <v>251</v>
      </c>
      <c r="B7" s="19" t="str">
        <f>IFERROR(IF(VLOOKUP(T_SuiviTw[[#This Row],[NumL]],T_suiviDi[#Data],COLUMN(T_suiviDi[[#This Row],[Nom]]),FALSE)&lt;&gt;"",VLOOKUP(T_SuiviTw[[#This Row],[NumL]],T_suiviDi[#Data],COLUMN(T_suiviDi[[#This Row],[Nom]]),FALSE),""),"")</f>
        <v/>
      </c>
      <c r="C7" s="19" t="str">
        <f>IFERROR(IF(VLOOKUP(T_SuiviTw[[#This Row],[NumL]],T_suiviDi[#Data],COLUMN(T_suiviDi[[#This Row],[Prénom]]),FALSE)&lt;&gt;"",VLOOKUP(T_SuiviTw[[#This Row],[NumL]],T_suiviDi[#Data],COLUMN(T_suiviDi[[#This Row],[Prénom]]),FALSE),""),"")</f>
        <v/>
      </c>
      <c r="D7" s="20" t="str">
        <f>IFERROR(IF(VLOOKUP(T_SuiviTw[[#This Row],[NumL]],T_suiviDi[#Data],COLUMN(T_suiviDi[[#This Row],[Email]]),FALSE)&lt;&gt;"",VLOOKUP(T_SuiviTw[[#This Row],[NumL]],T_suiviDi[#Data],COLUMN(T_suiviDi[[#This Row],[Email]]),FALSE),""),"")</f>
        <v/>
      </c>
      <c r="E7" s="274" t="str">
        <f>IFERROR(IF(VLOOKUP(T_SuiviTw[[#This Row],[NumL]],T_suiviDi[#Data],COLUMN(T_suiviDi[[#This Row],[Nom1]]),FALSE)&lt;&gt;"",VLOOKUP(T_SuiviTw[[#This Row],[NumL]],T_suiviDi[#Data],COLUMN(T_suiviDi[[#This Row],[Nom1]]),FALSE),""),"")</f>
        <v/>
      </c>
      <c r="F7" s="274" t="str">
        <f>IFERROR(IF(VLOOKUP(T_SuiviTw[[#This Row],[NumL]],T_suiviDi[#Data],COLUMN(T_suiviDi[[#This Row],[Prénom1]]),FALSE)&lt;&gt;"",VLOOKUP(T_SuiviTw[[#This Row],[NumL]],T_suiviDi[#Data],COLUMN(T_suiviDi[[#This Row],[Prénom1]]),FALSE),""),"")</f>
        <v/>
      </c>
      <c r="G7" s="274" t="str">
        <f>IFERROR(IF(VLOOKUP(T_SuiviTw[[#This Row],[NumL]],T_suiviDi[#Data],COLUMN(T_suiviDi[[#This Row],[Email1]]),FALSE)&lt;&gt;"",VLOOKUP(T_SuiviTw[[#This Row],[NumL]],T_suiviDi[#Data],COLUMN(T_suiviDi[[#This Row],[Email1]]),FALSE),""),"")</f>
        <v/>
      </c>
      <c r="H7" s="275" t="str">
        <f t="shared" si="14"/>
        <v/>
      </c>
      <c r="I7" s="100"/>
      <c r="J7" s="156" t="str">
        <f t="shared" si="15"/>
        <v/>
      </c>
      <c r="K7" s="155" t="str">
        <f t="shared" si="16"/>
        <v/>
      </c>
      <c r="L7" s="100"/>
      <c r="M7" s="156" t="str">
        <f t="shared" ca="1" si="17"/>
        <v/>
      </c>
      <c r="N7" s="49"/>
      <c r="O7" s="49"/>
      <c r="P7" s="105" t="str">
        <f t="shared" si="18"/>
        <v/>
      </c>
      <c r="Q7" s="155" t="str">
        <f t="shared" si="19"/>
        <v/>
      </c>
      <c r="R7" s="100"/>
      <c r="S7" s="156" t="str">
        <f t="shared" ca="1" si="20"/>
        <v/>
      </c>
      <c r="T7" s="101"/>
      <c r="U7" s="101"/>
      <c r="V7" s="101"/>
      <c r="W7" s="144"/>
    </row>
    <row r="8" spans="1:23" ht="24" customHeight="1" x14ac:dyDescent="0.25">
      <c r="A8" s="90">
        <v>170</v>
      </c>
      <c r="B8" s="19" t="str">
        <f>IFERROR(IF(VLOOKUP(T_SuiviTw[[#This Row],[NumL]],T_suiviDi[#Data],COLUMN(T_suiviDi[[#This Row],[Nom]]),FALSE)&lt;&gt;"",VLOOKUP(T_SuiviTw[[#This Row],[NumL]],T_suiviDi[#Data],COLUMN(T_suiviDi[[#This Row],[Nom]]),FALSE),""),"")</f>
        <v/>
      </c>
      <c r="C8" s="19" t="str">
        <f>IFERROR(IF(VLOOKUP(T_SuiviTw[[#This Row],[NumL]],T_suiviDi[#Data],COLUMN(T_suiviDi[[#This Row],[Prénom]]),FALSE)&lt;&gt;"",VLOOKUP(T_SuiviTw[[#This Row],[NumL]],T_suiviDi[#Data],COLUMN(T_suiviDi[[#This Row],[Prénom]]),FALSE),""),"")</f>
        <v/>
      </c>
      <c r="D8" s="20" t="str">
        <f>IFERROR(IF(VLOOKUP(T_SuiviTw[[#This Row],[NumL]],T_suiviDi[#Data],COLUMN(T_suiviDi[[#This Row],[Email]]),FALSE)&lt;&gt;"",VLOOKUP(T_SuiviTw[[#This Row],[NumL]],T_suiviDi[#Data],COLUMN(T_suiviDi[[#This Row],[Email]]),FALSE),""),"")</f>
        <v/>
      </c>
      <c r="E8" s="274" t="str">
        <f>IFERROR(IF(VLOOKUP(T_SuiviTw[[#This Row],[NumL]],T_suiviDi[#Data],COLUMN(T_suiviDi[[#This Row],[Nom1]]),FALSE)&lt;&gt;"",VLOOKUP(T_SuiviTw[[#This Row],[NumL]],T_suiviDi[#Data],COLUMN(T_suiviDi[[#This Row],[Nom1]]),FALSE),""),"")</f>
        <v/>
      </c>
      <c r="F8" s="274" t="str">
        <f>IFERROR(IF(VLOOKUP(T_SuiviTw[[#This Row],[NumL]],T_suiviDi[#Data],COLUMN(T_suiviDi[[#This Row],[Prénom1]]),FALSE)&lt;&gt;"",VLOOKUP(T_SuiviTw[[#This Row],[NumL]],T_suiviDi[#Data],COLUMN(T_suiviDi[[#This Row],[Prénom1]]),FALSE),""),"")</f>
        <v/>
      </c>
      <c r="G8" s="274" t="str">
        <f>IFERROR(IF(VLOOKUP(T_SuiviTw[[#This Row],[NumL]],T_suiviDi[#Data],COLUMN(T_suiviDi[[#This Row],[Email1]]),FALSE)&lt;&gt;"",VLOOKUP(T_SuiviTw[[#This Row],[NumL]],T_suiviDi[#Data],COLUMN(T_suiviDi[[#This Row],[Email1]]),FALSE),""),"")</f>
        <v/>
      </c>
      <c r="H8" s="275" t="str">
        <f t="shared" si="14"/>
        <v/>
      </c>
      <c r="I8" s="100"/>
      <c r="J8" s="156" t="str">
        <f t="shared" si="15"/>
        <v/>
      </c>
      <c r="K8" s="155" t="str">
        <f t="shared" si="16"/>
        <v/>
      </c>
      <c r="L8" s="100"/>
      <c r="M8" s="156" t="str">
        <f t="shared" ca="1" si="17"/>
        <v/>
      </c>
      <c r="N8" s="49"/>
      <c r="O8" s="49"/>
      <c r="P8" s="105" t="str">
        <f t="shared" si="18"/>
        <v/>
      </c>
      <c r="Q8" s="155" t="str">
        <f t="shared" si="19"/>
        <v/>
      </c>
      <c r="R8" s="100"/>
      <c r="S8" s="156" t="str">
        <f t="shared" ca="1" si="20"/>
        <v/>
      </c>
      <c r="T8" s="101"/>
      <c r="U8" s="101"/>
      <c r="V8" s="101"/>
      <c r="W8" s="144"/>
    </row>
    <row r="9" spans="1:23" ht="24" customHeight="1" x14ac:dyDescent="0.25">
      <c r="A9" s="90">
        <v>213</v>
      </c>
      <c r="B9" s="19" t="str">
        <f>IFERROR(IF(VLOOKUP(T_SuiviTw[[#This Row],[NumL]],T_suiviDi[#Data],COLUMN(T_suiviDi[[#This Row],[Nom]]),FALSE)&lt;&gt;"",VLOOKUP(T_SuiviTw[[#This Row],[NumL]],T_suiviDi[#Data],COLUMN(T_suiviDi[[#This Row],[Nom]]),FALSE),""),"")</f>
        <v/>
      </c>
      <c r="C9" s="19" t="str">
        <f>IFERROR(IF(VLOOKUP(T_SuiviTw[[#This Row],[NumL]],T_suiviDi[#Data],COLUMN(T_suiviDi[[#This Row],[Prénom]]),FALSE)&lt;&gt;"",VLOOKUP(T_SuiviTw[[#This Row],[NumL]],T_suiviDi[#Data],COLUMN(T_suiviDi[[#This Row],[Prénom]]),FALSE),""),"")</f>
        <v/>
      </c>
      <c r="D9" s="20" t="str">
        <f>IFERROR(IF(VLOOKUP(T_SuiviTw[[#This Row],[NumL]],T_suiviDi[#Data],COLUMN(T_suiviDi[[#This Row],[Email]]),FALSE)&lt;&gt;"",VLOOKUP(T_SuiviTw[[#This Row],[NumL]],T_suiviDi[#Data],COLUMN(T_suiviDi[[#This Row],[Email]]),FALSE),""),"")</f>
        <v/>
      </c>
      <c r="E9" s="274" t="str">
        <f>IFERROR(IF(VLOOKUP(T_SuiviTw[[#This Row],[NumL]],T_suiviDi[#Data],COLUMN(T_suiviDi[[#This Row],[Nom1]]),FALSE)&lt;&gt;"",VLOOKUP(T_SuiviTw[[#This Row],[NumL]],T_suiviDi[#Data],COLUMN(T_suiviDi[[#This Row],[Nom1]]),FALSE),""),"")</f>
        <v/>
      </c>
      <c r="F9" s="274" t="str">
        <f>IFERROR(IF(VLOOKUP(T_SuiviTw[[#This Row],[NumL]],T_suiviDi[#Data],COLUMN(T_suiviDi[[#This Row],[Prénom1]]),FALSE)&lt;&gt;"",VLOOKUP(T_SuiviTw[[#This Row],[NumL]],T_suiviDi[#Data],COLUMN(T_suiviDi[[#This Row],[Prénom1]]),FALSE),""),"")</f>
        <v/>
      </c>
      <c r="G9" s="274" t="str">
        <f>IFERROR(IF(VLOOKUP(T_SuiviTw[[#This Row],[NumL]],T_suiviDi[#Data],COLUMN(T_suiviDi[[#This Row],[Email1]]),FALSE)&lt;&gt;"",VLOOKUP(T_SuiviTw[[#This Row],[NumL]],T_suiviDi[#Data],COLUMN(T_suiviDi[[#This Row],[Email1]]),FALSE),""),"")</f>
        <v/>
      </c>
      <c r="H9" s="275" t="str">
        <f t="shared" si="14"/>
        <v/>
      </c>
      <c r="I9" s="100"/>
      <c r="J9" s="156" t="str">
        <f t="shared" si="15"/>
        <v/>
      </c>
      <c r="K9" s="155" t="str">
        <f t="shared" si="16"/>
        <v/>
      </c>
      <c r="L9" s="100"/>
      <c r="M9" s="156" t="str">
        <f t="shared" ca="1" si="17"/>
        <v/>
      </c>
      <c r="N9" s="49"/>
      <c r="O9" s="49"/>
      <c r="P9" s="105" t="str">
        <f t="shared" si="18"/>
        <v/>
      </c>
      <c r="Q9" s="155" t="str">
        <f t="shared" si="19"/>
        <v/>
      </c>
      <c r="R9" s="100"/>
      <c r="S9" s="156" t="str">
        <f t="shared" ca="1" si="20"/>
        <v/>
      </c>
      <c r="T9" s="101"/>
      <c r="U9" s="101"/>
      <c r="V9" s="101"/>
      <c r="W9" s="144"/>
    </row>
    <row r="10" spans="1:23" ht="24" customHeight="1" x14ac:dyDescent="0.25">
      <c r="A10" s="90">
        <v>140</v>
      </c>
      <c r="B10" s="19" t="str">
        <f>IFERROR(IF(VLOOKUP(T_SuiviTw[[#This Row],[NumL]],T_suiviDi[#Data],COLUMN(T_suiviDi[[#This Row],[Nom]]),FALSE)&lt;&gt;"",VLOOKUP(T_SuiviTw[[#This Row],[NumL]],T_suiviDi[#Data],COLUMN(T_suiviDi[[#This Row],[Nom]]),FALSE),""),"")</f>
        <v/>
      </c>
      <c r="C10" s="19" t="str">
        <f>IFERROR(IF(VLOOKUP(T_SuiviTw[[#This Row],[NumL]],T_suiviDi[#Data],COLUMN(T_suiviDi[[#This Row],[Prénom]]),FALSE)&lt;&gt;"",VLOOKUP(T_SuiviTw[[#This Row],[NumL]],T_suiviDi[#Data],COLUMN(T_suiviDi[[#This Row],[Prénom]]),FALSE),""),"")</f>
        <v/>
      </c>
      <c r="D10" s="20" t="str">
        <f>IFERROR(IF(VLOOKUP(T_SuiviTw[[#This Row],[NumL]],T_suiviDi[#Data],COLUMN(T_suiviDi[[#This Row],[Email]]),FALSE)&lt;&gt;"",VLOOKUP(T_SuiviTw[[#This Row],[NumL]],T_suiviDi[#Data],COLUMN(T_suiviDi[[#This Row],[Email]]),FALSE),""),"")</f>
        <v/>
      </c>
      <c r="E10" s="274" t="str">
        <f>IFERROR(IF(VLOOKUP(T_SuiviTw[[#This Row],[NumL]],T_suiviDi[#Data],COLUMN(T_suiviDi[[#This Row],[Nom1]]),FALSE)&lt;&gt;"",VLOOKUP(T_SuiviTw[[#This Row],[NumL]],T_suiviDi[#Data],COLUMN(T_suiviDi[[#This Row],[Nom1]]),FALSE),""),"")</f>
        <v/>
      </c>
      <c r="F10" s="274" t="str">
        <f>IFERROR(IF(VLOOKUP(T_SuiviTw[[#This Row],[NumL]],T_suiviDi[#Data],COLUMN(T_suiviDi[[#This Row],[Prénom1]]),FALSE)&lt;&gt;"",VLOOKUP(T_SuiviTw[[#This Row],[NumL]],T_suiviDi[#Data],COLUMN(T_suiviDi[[#This Row],[Prénom1]]),FALSE),""),"")</f>
        <v/>
      </c>
      <c r="G10" s="274" t="str">
        <f>IFERROR(IF(VLOOKUP(T_SuiviTw[[#This Row],[NumL]],T_suiviDi[#Data],COLUMN(T_suiviDi[[#This Row],[Email1]]),FALSE)&lt;&gt;"",VLOOKUP(T_SuiviTw[[#This Row],[NumL]],T_suiviDi[#Data],COLUMN(T_suiviDi[[#This Row],[Email1]]),FALSE),""),"")</f>
        <v/>
      </c>
      <c r="H10" s="275" t="str">
        <f t="shared" si="14"/>
        <v/>
      </c>
      <c r="I10" s="100"/>
      <c r="J10" s="156" t="str">
        <f t="shared" si="15"/>
        <v/>
      </c>
      <c r="K10" s="155" t="str">
        <f t="shared" si="16"/>
        <v/>
      </c>
      <c r="L10" s="100"/>
      <c r="M10" s="156" t="str">
        <f t="shared" ca="1" si="17"/>
        <v/>
      </c>
      <c r="N10" s="49"/>
      <c r="O10" s="49"/>
      <c r="P10" s="105" t="str">
        <f t="shared" si="18"/>
        <v/>
      </c>
      <c r="Q10" s="155" t="str">
        <f t="shared" si="19"/>
        <v/>
      </c>
      <c r="R10" s="100"/>
      <c r="S10" s="156" t="str">
        <f t="shared" ca="1" si="20"/>
        <v/>
      </c>
      <c r="T10" s="101"/>
      <c r="U10" s="101"/>
      <c r="V10" s="101"/>
      <c r="W10" s="144"/>
    </row>
    <row r="11" spans="1:23" ht="24" customHeight="1" x14ac:dyDescent="0.25">
      <c r="A11" s="90">
        <v>185</v>
      </c>
      <c r="B11" s="19" t="str">
        <f>IFERROR(IF(VLOOKUP(T_SuiviTw[[#This Row],[NumL]],T_suiviDi[#Data],COLUMN(T_suiviDi[[#This Row],[Nom]]),FALSE)&lt;&gt;"",VLOOKUP(T_SuiviTw[[#This Row],[NumL]],T_suiviDi[#Data],COLUMN(T_suiviDi[[#This Row],[Nom]]),FALSE),""),"")</f>
        <v/>
      </c>
      <c r="C11" s="19" t="str">
        <f>IFERROR(IF(VLOOKUP(T_SuiviTw[[#This Row],[NumL]],T_suiviDi[#Data],COLUMN(T_suiviDi[[#This Row],[Prénom]]),FALSE)&lt;&gt;"",VLOOKUP(T_SuiviTw[[#This Row],[NumL]],T_suiviDi[#Data],COLUMN(T_suiviDi[[#This Row],[Prénom]]),FALSE),""),"")</f>
        <v/>
      </c>
      <c r="D11" s="20" t="str">
        <f>IFERROR(IF(VLOOKUP(T_SuiviTw[[#This Row],[NumL]],T_suiviDi[#Data],COLUMN(T_suiviDi[[#This Row],[Email]]),FALSE)&lt;&gt;"",VLOOKUP(T_SuiviTw[[#This Row],[NumL]],T_suiviDi[#Data],COLUMN(T_suiviDi[[#This Row],[Email]]),FALSE),""),"")</f>
        <v/>
      </c>
      <c r="E11" s="274" t="str">
        <f>IFERROR(IF(VLOOKUP(T_SuiviTw[[#This Row],[NumL]],T_suiviDi[#Data],COLUMN(T_suiviDi[[#This Row],[Nom1]]),FALSE)&lt;&gt;"",VLOOKUP(T_SuiviTw[[#This Row],[NumL]],T_suiviDi[#Data],COLUMN(T_suiviDi[[#This Row],[Nom1]]),FALSE),""),"")</f>
        <v/>
      </c>
      <c r="F11" s="274" t="str">
        <f>IFERROR(IF(VLOOKUP(T_SuiviTw[[#This Row],[NumL]],T_suiviDi[#Data],COLUMN(T_suiviDi[[#This Row],[Prénom1]]),FALSE)&lt;&gt;"",VLOOKUP(T_SuiviTw[[#This Row],[NumL]],T_suiviDi[#Data],COLUMN(T_suiviDi[[#This Row],[Prénom1]]),FALSE),""),"")</f>
        <v/>
      </c>
      <c r="G11" s="274" t="str">
        <f>IFERROR(IF(VLOOKUP(T_SuiviTw[[#This Row],[NumL]],T_suiviDi[#Data],COLUMN(T_suiviDi[[#This Row],[Email1]]),FALSE)&lt;&gt;"",VLOOKUP(T_SuiviTw[[#This Row],[NumL]],T_suiviDi[#Data],COLUMN(T_suiviDi[[#This Row],[Email1]]),FALSE),""),"")</f>
        <v/>
      </c>
      <c r="H11" s="275" t="str">
        <f t="shared" si="14"/>
        <v/>
      </c>
      <c r="I11" s="100"/>
      <c r="J11" s="156" t="str">
        <f t="shared" si="15"/>
        <v/>
      </c>
      <c r="K11" s="155" t="str">
        <f t="shared" si="16"/>
        <v/>
      </c>
      <c r="L11" s="100"/>
      <c r="M11" s="156" t="str">
        <f t="shared" ca="1" si="17"/>
        <v/>
      </c>
      <c r="N11" s="49"/>
      <c r="O11" s="49"/>
      <c r="P11" s="105" t="str">
        <f t="shared" si="18"/>
        <v/>
      </c>
      <c r="Q11" s="155" t="str">
        <f t="shared" si="19"/>
        <v/>
      </c>
      <c r="R11" s="100"/>
      <c r="S11" s="156" t="str">
        <f t="shared" ca="1" si="20"/>
        <v/>
      </c>
      <c r="T11" s="101"/>
      <c r="U11" s="101"/>
      <c r="V11" s="101"/>
      <c r="W11" s="144"/>
    </row>
    <row r="12" spans="1:23" ht="24" customHeight="1" x14ac:dyDescent="0.25">
      <c r="A12" s="90">
        <v>89</v>
      </c>
      <c r="B12" s="19" t="str">
        <f>IFERROR(IF(VLOOKUP(T_SuiviTw[[#This Row],[NumL]],T_suiviDi[#Data],COLUMN(T_suiviDi[[#This Row],[Nom]]),FALSE)&lt;&gt;"",VLOOKUP(T_SuiviTw[[#This Row],[NumL]],T_suiviDi[#Data],COLUMN(T_suiviDi[[#This Row],[Nom]]),FALSE),""),"")</f>
        <v/>
      </c>
      <c r="C12" s="19" t="str">
        <f>IFERROR(IF(VLOOKUP(T_SuiviTw[[#This Row],[NumL]],T_suiviDi[#Data],COLUMN(T_suiviDi[[#This Row],[Prénom]]),FALSE)&lt;&gt;"",VLOOKUP(T_SuiviTw[[#This Row],[NumL]],T_suiviDi[#Data],COLUMN(T_suiviDi[[#This Row],[Prénom]]),FALSE),""),"")</f>
        <v/>
      </c>
      <c r="D12" s="20" t="str">
        <f>IFERROR(IF(VLOOKUP(T_SuiviTw[[#This Row],[NumL]],T_suiviDi[#Data],COLUMN(T_suiviDi[[#This Row],[Email]]),FALSE)&lt;&gt;"",VLOOKUP(T_SuiviTw[[#This Row],[NumL]],T_suiviDi[#Data],COLUMN(T_suiviDi[[#This Row],[Email]]),FALSE),""),"")</f>
        <v/>
      </c>
      <c r="E12" s="274" t="str">
        <f>IFERROR(IF(VLOOKUP(T_SuiviTw[[#This Row],[NumL]],T_suiviDi[#Data],COLUMN(T_suiviDi[[#This Row],[Nom1]]),FALSE)&lt;&gt;"",VLOOKUP(T_SuiviTw[[#This Row],[NumL]],T_suiviDi[#Data],COLUMN(T_suiviDi[[#This Row],[Nom1]]),FALSE),""),"")</f>
        <v/>
      </c>
      <c r="F12" s="274" t="str">
        <f>IFERROR(IF(VLOOKUP(T_SuiviTw[[#This Row],[NumL]],T_suiviDi[#Data],COLUMN(T_suiviDi[[#This Row],[Prénom1]]),FALSE)&lt;&gt;"",VLOOKUP(T_SuiviTw[[#This Row],[NumL]],T_suiviDi[#Data],COLUMN(T_suiviDi[[#This Row],[Prénom1]]),FALSE),""),"")</f>
        <v/>
      </c>
      <c r="G12" s="274" t="str">
        <f>IFERROR(IF(VLOOKUP(T_SuiviTw[[#This Row],[NumL]],T_suiviDi[#Data],COLUMN(T_suiviDi[[#This Row],[Email1]]),FALSE)&lt;&gt;"",VLOOKUP(T_SuiviTw[[#This Row],[NumL]],T_suiviDi[#Data],COLUMN(T_suiviDi[[#This Row],[Email1]]),FALSE),""),"")</f>
        <v/>
      </c>
      <c r="H12" s="275" t="str">
        <f t="shared" si="14"/>
        <v/>
      </c>
      <c r="I12" s="100"/>
      <c r="J12" s="156" t="str">
        <f t="shared" si="15"/>
        <v/>
      </c>
      <c r="K12" s="155" t="str">
        <f t="shared" si="16"/>
        <v/>
      </c>
      <c r="L12" s="100"/>
      <c r="M12" s="156" t="str">
        <f t="shared" ca="1" si="17"/>
        <v/>
      </c>
      <c r="N12" s="49"/>
      <c r="O12" s="49"/>
      <c r="P12" s="105" t="str">
        <f t="shared" si="18"/>
        <v/>
      </c>
      <c r="Q12" s="155" t="str">
        <f t="shared" si="19"/>
        <v/>
      </c>
      <c r="R12" s="100"/>
      <c r="S12" s="156" t="str">
        <f t="shared" ca="1" si="20"/>
        <v/>
      </c>
      <c r="T12" s="101"/>
      <c r="U12" s="101"/>
      <c r="V12" s="101"/>
      <c r="W12" s="144"/>
    </row>
    <row r="13" spans="1:23" ht="24" customHeight="1" x14ac:dyDescent="0.25">
      <c r="A13" s="90">
        <v>235</v>
      </c>
      <c r="B13" s="19" t="str">
        <f>IFERROR(IF(VLOOKUP(T_SuiviTw[[#This Row],[NumL]],T_suiviDi[#Data],COLUMN(T_suiviDi[[#This Row],[Nom]]),FALSE)&lt;&gt;"",VLOOKUP(T_SuiviTw[[#This Row],[NumL]],T_suiviDi[#Data],COLUMN(T_suiviDi[[#This Row],[Nom]]),FALSE),""),"")</f>
        <v/>
      </c>
      <c r="C13" s="19" t="str">
        <f>IFERROR(IF(VLOOKUP(T_SuiviTw[[#This Row],[NumL]],T_suiviDi[#Data],COLUMN(T_suiviDi[[#This Row],[Prénom]]),FALSE)&lt;&gt;"",VLOOKUP(T_SuiviTw[[#This Row],[NumL]],T_suiviDi[#Data],COLUMN(T_suiviDi[[#This Row],[Prénom]]),FALSE),""),"")</f>
        <v/>
      </c>
      <c r="D13" s="20" t="str">
        <f>IFERROR(IF(VLOOKUP(T_SuiviTw[[#This Row],[NumL]],T_suiviDi[#Data],COLUMN(T_suiviDi[[#This Row],[Email]]),FALSE)&lt;&gt;"",VLOOKUP(T_SuiviTw[[#This Row],[NumL]],T_suiviDi[#Data],COLUMN(T_suiviDi[[#This Row],[Email]]),FALSE),""),"")</f>
        <v/>
      </c>
      <c r="E13" s="274" t="str">
        <f>IFERROR(IF(VLOOKUP(T_SuiviTw[[#This Row],[NumL]],T_suiviDi[#Data],COLUMN(T_suiviDi[[#This Row],[Nom1]]),FALSE)&lt;&gt;"",VLOOKUP(T_SuiviTw[[#This Row],[NumL]],T_suiviDi[#Data],COLUMN(T_suiviDi[[#This Row],[Nom1]]),FALSE),""),"")</f>
        <v/>
      </c>
      <c r="F13" s="274" t="str">
        <f>IFERROR(IF(VLOOKUP(T_SuiviTw[[#This Row],[NumL]],T_suiviDi[#Data],COLUMN(T_suiviDi[[#This Row],[Prénom1]]),FALSE)&lt;&gt;"",VLOOKUP(T_SuiviTw[[#This Row],[NumL]],T_suiviDi[#Data],COLUMN(T_suiviDi[[#This Row],[Prénom1]]),FALSE),""),"")</f>
        <v/>
      </c>
      <c r="G13" s="274" t="str">
        <f>IFERROR(IF(VLOOKUP(T_SuiviTw[[#This Row],[NumL]],T_suiviDi[#Data],COLUMN(T_suiviDi[[#This Row],[Email1]]),FALSE)&lt;&gt;"",VLOOKUP(T_SuiviTw[[#This Row],[NumL]],T_suiviDi[#Data],COLUMN(T_suiviDi[[#This Row],[Email1]]),FALSE),""),"")</f>
        <v/>
      </c>
      <c r="H13" s="275" t="str">
        <f t="shared" si="14"/>
        <v/>
      </c>
      <c r="I13" s="100"/>
      <c r="J13" s="156" t="str">
        <f t="shared" si="15"/>
        <v/>
      </c>
      <c r="K13" s="155" t="str">
        <f t="shared" si="16"/>
        <v/>
      </c>
      <c r="L13" s="100"/>
      <c r="M13" s="156" t="str">
        <f t="shared" ca="1" si="17"/>
        <v/>
      </c>
      <c r="N13" s="49"/>
      <c r="O13" s="49"/>
      <c r="P13" s="105" t="str">
        <f t="shared" si="18"/>
        <v/>
      </c>
      <c r="Q13" s="155" t="str">
        <f t="shared" si="19"/>
        <v/>
      </c>
      <c r="R13" s="100"/>
      <c r="S13" s="156" t="str">
        <f t="shared" ca="1" si="20"/>
        <v/>
      </c>
      <c r="T13" s="101"/>
      <c r="U13" s="101"/>
      <c r="V13" s="101"/>
      <c r="W13" s="144"/>
    </row>
    <row r="14" spans="1:23" ht="24" customHeight="1" x14ac:dyDescent="0.25">
      <c r="A14" s="90">
        <v>70</v>
      </c>
      <c r="B14" s="19" t="str">
        <f>IFERROR(IF(VLOOKUP(T_SuiviTw[[#This Row],[NumL]],T_suiviDi[#Data],COLUMN(T_suiviDi[[#This Row],[Nom]]),FALSE)&lt;&gt;"",VLOOKUP(T_SuiviTw[[#This Row],[NumL]],T_suiviDi[#Data],COLUMN(T_suiviDi[[#This Row],[Nom]]),FALSE),""),"")</f>
        <v/>
      </c>
      <c r="C14" s="19" t="str">
        <f>IFERROR(IF(VLOOKUP(T_SuiviTw[[#This Row],[NumL]],T_suiviDi[#Data],COLUMN(T_suiviDi[[#This Row],[Prénom]]),FALSE)&lt;&gt;"",VLOOKUP(T_SuiviTw[[#This Row],[NumL]],T_suiviDi[#Data],COLUMN(T_suiviDi[[#This Row],[Prénom]]),FALSE),""),"")</f>
        <v/>
      </c>
      <c r="D14" s="20" t="str">
        <f>IFERROR(IF(VLOOKUP(T_SuiviTw[[#This Row],[NumL]],T_suiviDi[#Data],COLUMN(T_suiviDi[[#This Row],[Email]]),FALSE)&lt;&gt;"",VLOOKUP(T_SuiviTw[[#This Row],[NumL]],T_suiviDi[#Data],COLUMN(T_suiviDi[[#This Row],[Email]]),FALSE),""),"")</f>
        <v/>
      </c>
      <c r="E14" s="274" t="str">
        <f>IFERROR(IF(VLOOKUP(T_SuiviTw[[#This Row],[NumL]],T_suiviDi[#Data],COLUMN(T_suiviDi[[#This Row],[Nom1]]),FALSE)&lt;&gt;"",VLOOKUP(T_SuiviTw[[#This Row],[NumL]],T_suiviDi[#Data],COLUMN(T_suiviDi[[#This Row],[Nom1]]),FALSE),""),"")</f>
        <v/>
      </c>
      <c r="F14" s="274" t="str">
        <f>IFERROR(IF(VLOOKUP(T_SuiviTw[[#This Row],[NumL]],T_suiviDi[#Data],COLUMN(T_suiviDi[[#This Row],[Prénom1]]),FALSE)&lt;&gt;"",VLOOKUP(T_SuiviTw[[#This Row],[NumL]],T_suiviDi[#Data],COLUMN(T_suiviDi[[#This Row],[Prénom1]]),FALSE),""),"")</f>
        <v/>
      </c>
      <c r="G14" s="274" t="str">
        <f>IFERROR(IF(VLOOKUP(T_SuiviTw[[#This Row],[NumL]],T_suiviDi[#Data],COLUMN(T_suiviDi[[#This Row],[Email1]]),FALSE)&lt;&gt;"",VLOOKUP(T_SuiviTw[[#This Row],[NumL]],T_suiviDi[#Data],COLUMN(T_suiviDi[[#This Row],[Email1]]),FALSE),""),"")</f>
        <v/>
      </c>
      <c r="H14" s="275" t="str">
        <f t="shared" si="14"/>
        <v/>
      </c>
      <c r="I14" s="100"/>
      <c r="J14" s="156" t="str">
        <f t="shared" si="15"/>
        <v/>
      </c>
      <c r="K14" s="155" t="str">
        <f t="shared" si="16"/>
        <v/>
      </c>
      <c r="L14" s="100"/>
      <c r="M14" s="156" t="str">
        <f t="shared" ca="1" si="17"/>
        <v/>
      </c>
      <c r="N14" s="49"/>
      <c r="O14" s="49"/>
      <c r="P14" s="105" t="str">
        <f t="shared" si="18"/>
        <v/>
      </c>
      <c r="Q14" s="155" t="str">
        <f t="shared" si="19"/>
        <v/>
      </c>
      <c r="R14" s="100"/>
      <c r="S14" s="156" t="str">
        <f t="shared" ca="1" si="20"/>
        <v/>
      </c>
      <c r="T14" s="101"/>
      <c r="U14" s="101"/>
      <c r="V14" s="101"/>
      <c r="W14" s="144"/>
    </row>
    <row r="15" spans="1:23" ht="24" customHeight="1" x14ac:dyDescent="0.25">
      <c r="A15" s="90">
        <v>94</v>
      </c>
      <c r="B15" s="19" t="str">
        <f>IFERROR(IF(VLOOKUP(T_SuiviTw[[#This Row],[NumL]],T_suiviDi[#Data],COLUMN(T_suiviDi[[#This Row],[Nom]]),FALSE)&lt;&gt;"",VLOOKUP(T_SuiviTw[[#This Row],[NumL]],T_suiviDi[#Data],COLUMN(T_suiviDi[[#This Row],[Nom]]),FALSE),""),"")</f>
        <v/>
      </c>
      <c r="C15" s="19" t="str">
        <f>IFERROR(IF(VLOOKUP(T_SuiviTw[[#This Row],[NumL]],T_suiviDi[#Data],COLUMN(T_suiviDi[[#This Row],[Prénom]]),FALSE)&lt;&gt;"",VLOOKUP(T_SuiviTw[[#This Row],[NumL]],T_suiviDi[#Data],COLUMN(T_suiviDi[[#This Row],[Prénom]]),FALSE),""),"")</f>
        <v/>
      </c>
      <c r="D15" s="20" t="str">
        <f>IFERROR(IF(VLOOKUP(T_SuiviTw[[#This Row],[NumL]],T_suiviDi[#Data],COLUMN(T_suiviDi[[#This Row],[Email]]),FALSE)&lt;&gt;"",VLOOKUP(T_SuiviTw[[#This Row],[NumL]],T_suiviDi[#Data],COLUMN(T_suiviDi[[#This Row],[Email]]),FALSE),""),"")</f>
        <v/>
      </c>
      <c r="E15" s="274" t="str">
        <f>IFERROR(IF(VLOOKUP(T_SuiviTw[[#This Row],[NumL]],T_suiviDi[#Data],COLUMN(T_suiviDi[[#This Row],[Nom1]]),FALSE)&lt;&gt;"",VLOOKUP(T_SuiviTw[[#This Row],[NumL]],T_suiviDi[#Data],COLUMN(T_suiviDi[[#This Row],[Nom1]]),FALSE),""),"")</f>
        <v/>
      </c>
      <c r="F15" s="274" t="str">
        <f>IFERROR(IF(VLOOKUP(T_SuiviTw[[#This Row],[NumL]],T_suiviDi[#Data],COLUMN(T_suiviDi[[#This Row],[Prénom1]]),FALSE)&lt;&gt;"",VLOOKUP(T_SuiviTw[[#This Row],[NumL]],T_suiviDi[#Data],COLUMN(T_suiviDi[[#This Row],[Prénom1]]),FALSE),""),"")</f>
        <v/>
      </c>
      <c r="G15" s="274" t="str">
        <f>IFERROR(IF(VLOOKUP(T_SuiviTw[[#This Row],[NumL]],T_suiviDi[#Data],COLUMN(T_suiviDi[[#This Row],[Email1]]),FALSE)&lt;&gt;"",VLOOKUP(T_SuiviTw[[#This Row],[NumL]],T_suiviDi[#Data],COLUMN(T_suiviDi[[#This Row],[Email1]]),FALSE),""),"")</f>
        <v/>
      </c>
      <c r="H15" s="275" t="str">
        <f t="shared" si="14"/>
        <v/>
      </c>
      <c r="I15" s="100"/>
      <c r="J15" s="156" t="str">
        <f t="shared" si="15"/>
        <v/>
      </c>
      <c r="K15" s="155" t="str">
        <f t="shared" si="16"/>
        <v/>
      </c>
      <c r="L15" s="100"/>
      <c r="M15" s="156" t="str">
        <f t="shared" ca="1" si="17"/>
        <v/>
      </c>
      <c r="N15" s="49"/>
      <c r="O15" s="49"/>
      <c r="P15" s="105" t="str">
        <f t="shared" si="18"/>
        <v/>
      </c>
      <c r="Q15" s="155" t="str">
        <f t="shared" si="19"/>
        <v/>
      </c>
      <c r="R15" s="100"/>
      <c r="S15" s="156" t="str">
        <f t="shared" ca="1" si="20"/>
        <v/>
      </c>
      <c r="T15" s="101"/>
      <c r="U15" s="101"/>
      <c r="V15" s="101"/>
      <c r="W15" s="144"/>
    </row>
    <row r="16" spans="1:23" ht="24" customHeight="1" x14ac:dyDescent="0.25">
      <c r="A16" s="90">
        <v>7</v>
      </c>
      <c r="B16" s="19" t="str">
        <f>IFERROR(IF(VLOOKUP(T_SuiviTw[[#This Row],[NumL]],T_suiviDi[#Data],COLUMN(T_suiviDi[[#This Row],[Nom]]),FALSE)&lt;&gt;"",VLOOKUP(T_SuiviTw[[#This Row],[NumL]],T_suiviDi[#Data],COLUMN(T_suiviDi[[#This Row],[Nom]]),FALSE),""),"")</f>
        <v/>
      </c>
      <c r="C16" s="19" t="str">
        <f>IFERROR(IF(VLOOKUP(T_SuiviTw[[#This Row],[NumL]],T_suiviDi[#Data],COLUMN(T_suiviDi[[#This Row],[Prénom]]),FALSE)&lt;&gt;"",VLOOKUP(T_SuiviTw[[#This Row],[NumL]],T_suiviDi[#Data],COLUMN(T_suiviDi[[#This Row],[Prénom]]),FALSE),""),"")</f>
        <v/>
      </c>
      <c r="D16" s="20" t="str">
        <f>IFERROR(IF(VLOOKUP(T_SuiviTw[[#This Row],[NumL]],T_suiviDi[#Data],COLUMN(T_suiviDi[[#This Row],[Email]]),FALSE)&lt;&gt;"",VLOOKUP(T_SuiviTw[[#This Row],[NumL]],T_suiviDi[#Data],COLUMN(T_suiviDi[[#This Row],[Email]]),FALSE),""),"")</f>
        <v/>
      </c>
      <c r="E16" s="274" t="str">
        <f>IFERROR(IF(VLOOKUP(T_SuiviTw[[#This Row],[NumL]],T_suiviDi[#Data],COLUMN(T_suiviDi[[#This Row],[Nom1]]),FALSE)&lt;&gt;"",VLOOKUP(T_SuiviTw[[#This Row],[NumL]],T_suiviDi[#Data],COLUMN(T_suiviDi[[#This Row],[Nom1]]),FALSE),""),"")</f>
        <v/>
      </c>
      <c r="F16" s="274" t="str">
        <f>IFERROR(IF(VLOOKUP(T_SuiviTw[[#This Row],[NumL]],T_suiviDi[#Data],COLUMN(T_suiviDi[[#This Row],[Prénom1]]),FALSE)&lt;&gt;"",VLOOKUP(T_SuiviTw[[#This Row],[NumL]],T_suiviDi[#Data],COLUMN(T_suiviDi[[#This Row],[Prénom1]]),FALSE),""),"")</f>
        <v/>
      </c>
      <c r="G16" s="274" t="str">
        <f>IFERROR(IF(VLOOKUP(T_SuiviTw[[#This Row],[NumL]],T_suiviDi[#Data],COLUMN(T_suiviDi[[#This Row],[Email1]]),FALSE)&lt;&gt;"",VLOOKUP(T_SuiviTw[[#This Row],[NumL]],T_suiviDi[#Data],COLUMN(T_suiviDi[[#This Row],[Email1]]),FALSE),""),"")</f>
        <v/>
      </c>
      <c r="H16" s="275" t="str">
        <f t="shared" si="14"/>
        <v/>
      </c>
      <c r="I16" s="100"/>
      <c r="J16" s="156" t="str">
        <f t="shared" si="15"/>
        <v/>
      </c>
      <c r="K16" s="155" t="str">
        <f t="shared" si="16"/>
        <v/>
      </c>
      <c r="L16" s="100"/>
      <c r="M16" s="156" t="str">
        <f t="shared" ca="1" si="17"/>
        <v/>
      </c>
      <c r="N16" s="49"/>
      <c r="O16" s="49"/>
      <c r="P16" s="105" t="str">
        <f t="shared" si="18"/>
        <v/>
      </c>
      <c r="Q16" s="155" t="str">
        <f t="shared" si="19"/>
        <v/>
      </c>
      <c r="R16" s="100"/>
      <c r="S16" s="156" t="str">
        <f t="shared" ca="1" si="20"/>
        <v/>
      </c>
      <c r="T16" s="101"/>
      <c r="U16" s="101"/>
      <c r="V16" s="101"/>
      <c r="W16" s="144"/>
    </row>
    <row r="17" spans="1:23" ht="24" customHeight="1" x14ac:dyDescent="0.25">
      <c r="A17" s="90">
        <v>316</v>
      </c>
      <c r="B17" s="139" t="str">
        <f>IFERROR(IF(VLOOKUP(T_SuiviTw[[#This Row],[NumL]],T_suiviDi[#Data],COLUMN(T_suiviDi[[#This Row],[Nom]]),FALSE)&lt;&gt;"",VLOOKUP(T_SuiviTw[[#This Row],[NumL]],T_suiviDi[#Data],COLUMN(T_suiviDi[[#This Row],[Nom]]),FALSE),""),"")</f>
        <v/>
      </c>
      <c r="C17" s="139" t="str">
        <f>IFERROR(IF(VLOOKUP(T_SuiviTw[[#This Row],[NumL]],T_suiviDi[#Data],COLUMN(T_suiviDi[[#This Row],[Prénom]]),FALSE)&lt;&gt;"",VLOOKUP(T_SuiviTw[[#This Row],[NumL]],T_suiviDi[#Data],COLUMN(T_suiviDi[[#This Row],[Prénom]]),FALSE),""),"")</f>
        <v/>
      </c>
      <c r="D17" s="140" t="str">
        <f>IFERROR(IF(VLOOKUP(T_SuiviTw[[#This Row],[NumL]],T_suiviDi[#Data],COLUMN(T_suiviDi[[#This Row],[Email]]),FALSE)&lt;&gt;"",VLOOKUP(T_SuiviTw[[#This Row],[NumL]],T_suiviDi[#Data],COLUMN(T_suiviDi[[#This Row],[Email]]),FALSE),""),"")</f>
        <v/>
      </c>
      <c r="E17" s="141" t="str">
        <f>IFERROR(IF(VLOOKUP(T_SuiviTw[[#This Row],[NumL]],T_suiviDi[#Data],COLUMN(T_suiviDi[[#This Row],[Nom1]]),FALSE)&lt;&gt;"",VLOOKUP(T_SuiviTw[[#This Row],[NumL]],T_suiviDi[#Data],COLUMN(T_suiviDi[[#This Row],[Nom1]]),FALSE),""),"")</f>
        <v/>
      </c>
      <c r="F17" s="141" t="str">
        <f>IFERROR(IF(VLOOKUP(T_SuiviTw[[#This Row],[NumL]],T_suiviDi[#Data],COLUMN(T_suiviDi[[#This Row],[Prénom1]]),FALSE)&lt;&gt;"",VLOOKUP(T_SuiviTw[[#This Row],[NumL]],T_suiviDi[#Data],COLUMN(T_suiviDi[[#This Row],[Prénom1]]),FALSE),""),"")</f>
        <v/>
      </c>
      <c r="G17" s="141" t="str">
        <f>IFERROR(IF(VLOOKUP(T_SuiviTw[[#This Row],[NumL]],T_suiviDi[#Data],COLUMN(T_suiviDi[[#This Row],[Email1]]),FALSE)&lt;&gt;"",VLOOKUP(T_SuiviTw[[#This Row],[NumL]],T_suiviDi[#Data],COLUMN(T_suiviDi[[#This Row],[Email1]]),FALSE),""),"")</f>
        <v/>
      </c>
      <c r="H17" s="155" t="str">
        <f t="shared" si="14"/>
        <v/>
      </c>
      <c r="I17" s="100"/>
      <c r="J17" s="156" t="str">
        <f t="shared" si="15"/>
        <v/>
      </c>
      <c r="K17" s="155" t="str">
        <f t="shared" si="16"/>
        <v/>
      </c>
      <c r="L17" s="100"/>
      <c r="M17" s="156" t="str">
        <f t="shared" ca="1" si="17"/>
        <v/>
      </c>
      <c r="N17" s="49"/>
      <c r="O17" s="49"/>
      <c r="P17" s="105" t="str">
        <f t="shared" si="18"/>
        <v/>
      </c>
      <c r="Q17" s="155" t="str">
        <f t="shared" si="19"/>
        <v/>
      </c>
      <c r="R17" s="100"/>
      <c r="S17" s="156" t="str">
        <f t="shared" ca="1" si="20"/>
        <v/>
      </c>
      <c r="T17" s="101"/>
      <c r="U17" s="101"/>
      <c r="V17" s="101"/>
      <c r="W17" s="144"/>
    </row>
    <row r="18" spans="1:23" ht="24" customHeight="1" x14ac:dyDescent="0.25">
      <c r="A18" s="90">
        <v>150</v>
      </c>
      <c r="B18" s="19" t="str">
        <f>IFERROR(IF(VLOOKUP(T_SuiviTw[[#This Row],[NumL]],T_suiviDi[#Data],COLUMN(T_suiviDi[[#This Row],[Nom]]),FALSE)&lt;&gt;"",VLOOKUP(T_SuiviTw[[#This Row],[NumL]],T_suiviDi[#Data],COLUMN(T_suiviDi[[#This Row],[Nom]]),FALSE),""),"")</f>
        <v/>
      </c>
      <c r="C18" s="19" t="str">
        <f>IFERROR(IF(VLOOKUP(T_SuiviTw[[#This Row],[NumL]],T_suiviDi[#Data],COLUMN(T_suiviDi[[#This Row],[Prénom]]),FALSE)&lt;&gt;"",VLOOKUP(T_SuiviTw[[#This Row],[NumL]],T_suiviDi[#Data],COLUMN(T_suiviDi[[#This Row],[Prénom]]),FALSE),""),"")</f>
        <v/>
      </c>
      <c r="D18" s="20" t="str">
        <f>IFERROR(IF(VLOOKUP(T_SuiviTw[[#This Row],[NumL]],T_suiviDi[#Data],COLUMN(T_suiviDi[[#This Row],[Email]]),FALSE)&lt;&gt;"",VLOOKUP(T_SuiviTw[[#This Row],[NumL]],T_suiviDi[#Data],COLUMN(T_suiviDi[[#This Row],[Email]]),FALSE),""),"")</f>
        <v/>
      </c>
      <c r="E18" s="274" t="str">
        <f>IFERROR(IF(VLOOKUP(T_SuiviTw[[#This Row],[NumL]],T_suiviDi[#Data],COLUMN(T_suiviDi[[#This Row],[Nom1]]),FALSE)&lt;&gt;"",VLOOKUP(T_SuiviTw[[#This Row],[NumL]],T_suiviDi[#Data],COLUMN(T_suiviDi[[#This Row],[Nom1]]),FALSE),""),"")</f>
        <v/>
      </c>
      <c r="F18" s="274" t="str">
        <f>IFERROR(IF(VLOOKUP(T_SuiviTw[[#This Row],[NumL]],T_suiviDi[#Data],COLUMN(T_suiviDi[[#This Row],[Prénom1]]),FALSE)&lt;&gt;"",VLOOKUP(T_SuiviTw[[#This Row],[NumL]],T_suiviDi[#Data],COLUMN(T_suiviDi[[#This Row],[Prénom1]]),FALSE),""),"")</f>
        <v/>
      </c>
      <c r="G18" s="274" t="str">
        <f>IFERROR(IF(VLOOKUP(T_SuiviTw[[#This Row],[NumL]],T_suiviDi[#Data],COLUMN(T_suiviDi[[#This Row],[Email1]]),FALSE)&lt;&gt;"",VLOOKUP(T_SuiviTw[[#This Row],[NumL]],T_suiviDi[#Data],COLUMN(T_suiviDi[[#This Row],[Email1]]),FALSE),""),"")</f>
        <v/>
      </c>
      <c r="H18" s="275" t="str">
        <f t="shared" si="14"/>
        <v/>
      </c>
      <c r="I18" s="100"/>
      <c r="J18" s="156" t="str">
        <f t="shared" si="15"/>
        <v/>
      </c>
      <c r="K18" s="155" t="str">
        <f t="shared" si="16"/>
        <v/>
      </c>
      <c r="L18" s="100"/>
      <c r="M18" s="156" t="str">
        <f t="shared" ca="1" si="17"/>
        <v/>
      </c>
      <c r="N18" s="49"/>
      <c r="O18" s="49"/>
      <c r="P18" s="105" t="str">
        <f t="shared" si="18"/>
        <v/>
      </c>
      <c r="Q18" s="155" t="str">
        <f t="shared" si="19"/>
        <v/>
      </c>
      <c r="R18" s="100"/>
      <c r="S18" s="156" t="str">
        <f t="shared" ca="1" si="20"/>
        <v/>
      </c>
      <c r="T18" s="101"/>
      <c r="U18" s="101"/>
      <c r="V18" s="101"/>
      <c r="W18" s="144"/>
    </row>
    <row r="19" spans="1:23" ht="24" customHeight="1" x14ac:dyDescent="0.25">
      <c r="A19" s="90">
        <v>23</v>
      </c>
      <c r="B19" s="19" t="str">
        <f>IFERROR(IF(VLOOKUP(T_SuiviTw[[#This Row],[NumL]],T_suiviDi[#Data],COLUMN(T_suiviDi[[#This Row],[Nom]]),FALSE)&lt;&gt;"",VLOOKUP(T_SuiviTw[[#This Row],[NumL]],T_suiviDi[#Data],COLUMN(T_suiviDi[[#This Row],[Nom]]),FALSE),""),"")</f>
        <v/>
      </c>
      <c r="C19" s="19" t="str">
        <f>IFERROR(IF(VLOOKUP(T_SuiviTw[[#This Row],[NumL]],T_suiviDi[#Data],COLUMN(T_suiviDi[[#This Row],[Prénom]]),FALSE)&lt;&gt;"",VLOOKUP(T_SuiviTw[[#This Row],[NumL]],T_suiviDi[#Data],COLUMN(T_suiviDi[[#This Row],[Prénom]]),FALSE),""),"")</f>
        <v/>
      </c>
      <c r="D19" s="20" t="str">
        <f>IFERROR(IF(VLOOKUP(T_SuiviTw[[#This Row],[NumL]],T_suiviDi[#Data],COLUMN(T_suiviDi[[#This Row],[Email]]),FALSE)&lt;&gt;"",VLOOKUP(T_SuiviTw[[#This Row],[NumL]],T_suiviDi[#Data],COLUMN(T_suiviDi[[#This Row],[Email]]),FALSE),""),"")</f>
        <v/>
      </c>
      <c r="E19" s="274" t="str">
        <f>IFERROR(IF(VLOOKUP(T_SuiviTw[[#This Row],[NumL]],T_suiviDi[#Data],COLUMN(T_suiviDi[[#This Row],[Nom1]]),FALSE)&lt;&gt;"",VLOOKUP(T_SuiviTw[[#This Row],[NumL]],T_suiviDi[#Data],COLUMN(T_suiviDi[[#This Row],[Nom1]]),FALSE),""),"")</f>
        <v/>
      </c>
      <c r="F19" s="274" t="str">
        <f>IFERROR(IF(VLOOKUP(T_SuiviTw[[#This Row],[NumL]],T_suiviDi[#Data],COLUMN(T_suiviDi[[#This Row],[Prénom1]]),FALSE)&lt;&gt;"",VLOOKUP(T_SuiviTw[[#This Row],[NumL]],T_suiviDi[#Data],COLUMN(T_suiviDi[[#This Row],[Prénom1]]),FALSE),""),"")</f>
        <v/>
      </c>
      <c r="G19" s="274" t="str">
        <f>IFERROR(IF(VLOOKUP(T_SuiviTw[[#This Row],[NumL]],T_suiviDi[#Data],COLUMN(T_suiviDi[[#This Row],[Email1]]),FALSE)&lt;&gt;"",VLOOKUP(T_SuiviTw[[#This Row],[NumL]],T_suiviDi[#Data],COLUMN(T_suiviDi[[#This Row],[Email1]]),FALSE),""),"")</f>
        <v/>
      </c>
      <c r="H19" s="275" t="str">
        <f t="shared" si="14"/>
        <v/>
      </c>
      <c r="I19" s="100"/>
      <c r="J19" s="156" t="str">
        <f t="shared" si="15"/>
        <v/>
      </c>
      <c r="K19" s="155" t="str">
        <f t="shared" si="16"/>
        <v/>
      </c>
      <c r="L19" s="100"/>
      <c r="M19" s="156" t="str">
        <f t="shared" ca="1" si="17"/>
        <v/>
      </c>
      <c r="N19" s="49"/>
      <c r="O19" s="49"/>
      <c r="P19" s="105" t="str">
        <f t="shared" si="18"/>
        <v/>
      </c>
      <c r="Q19" s="155" t="str">
        <f t="shared" si="19"/>
        <v/>
      </c>
      <c r="R19" s="100"/>
      <c r="S19" s="156" t="str">
        <f t="shared" ca="1" si="20"/>
        <v/>
      </c>
      <c r="T19" s="101"/>
      <c r="U19" s="101"/>
      <c r="V19" s="101"/>
      <c r="W19" s="144"/>
    </row>
    <row r="20" spans="1:23" ht="24" customHeight="1" x14ac:dyDescent="0.25">
      <c r="A20" s="90">
        <v>336</v>
      </c>
      <c r="B20" s="139" t="str">
        <f>IFERROR(IF(VLOOKUP(T_SuiviTw[[#This Row],[NumL]],T_suiviDi[#Data],COLUMN(T_suiviDi[[#This Row],[Nom]]),FALSE)&lt;&gt;"",VLOOKUP(T_SuiviTw[[#This Row],[NumL]],T_suiviDi[#Data],COLUMN(T_suiviDi[[#This Row],[Nom]]),FALSE),""),"")</f>
        <v/>
      </c>
      <c r="C20" s="139" t="str">
        <f>IFERROR(IF(VLOOKUP(T_SuiviTw[[#This Row],[NumL]],T_suiviDi[#Data],COLUMN(T_suiviDi[[#This Row],[Prénom]]),FALSE)&lt;&gt;"",VLOOKUP(T_SuiviTw[[#This Row],[NumL]],T_suiviDi[#Data],COLUMN(T_suiviDi[[#This Row],[Prénom]]),FALSE),""),"")</f>
        <v/>
      </c>
      <c r="D20" s="140" t="str">
        <f>IFERROR(IF(VLOOKUP(T_SuiviTw[[#This Row],[NumL]],T_suiviDi[#Data],COLUMN(T_suiviDi[[#This Row],[Email]]),FALSE)&lt;&gt;"",VLOOKUP(T_SuiviTw[[#This Row],[NumL]],T_suiviDi[#Data],COLUMN(T_suiviDi[[#This Row],[Email]]),FALSE),""),"")</f>
        <v/>
      </c>
      <c r="E20" s="141" t="str">
        <f>IFERROR(IF(VLOOKUP(T_SuiviTw[[#This Row],[NumL]],T_suiviDi[#Data],COLUMN(T_suiviDi[[#This Row],[Nom1]]),FALSE)&lt;&gt;"",VLOOKUP(T_SuiviTw[[#This Row],[NumL]],T_suiviDi[#Data],COLUMN(T_suiviDi[[#This Row],[Nom1]]),FALSE),""),"")</f>
        <v/>
      </c>
      <c r="F20" s="141" t="str">
        <f>IFERROR(IF(VLOOKUP(T_SuiviTw[[#This Row],[NumL]],T_suiviDi[#Data],COLUMN(T_suiviDi[[#This Row],[Prénom1]]),FALSE)&lt;&gt;"",VLOOKUP(T_SuiviTw[[#This Row],[NumL]],T_suiviDi[#Data],COLUMN(T_suiviDi[[#This Row],[Prénom1]]),FALSE),""),"")</f>
        <v/>
      </c>
      <c r="G20" s="141" t="str">
        <f>IFERROR(IF(VLOOKUP(T_SuiviTw[[#This Row],[NumL]],T_suiviDi[#Data],COLUMN(T_suiviDi[[#This Row],[Email1]]),FALSE)&lt;&gt;"",VLOOKUP(T_SuiviTw[[#This Row],[NumL]],T_suiviDi[#Data],COLUMN(T_suiviDi[[#This Row],[Email1]]),FALSE),""),"")</f>
        <v/>
      </c>
      <c r="H20" s="155" t="str">
        <f t="shared" si="14"/>
        <v/>
      </c>
      <c r="I20" s="100"/>
      <c r="J20" s="156" t="str">
        <f t="shared" si="15"/>
        <v/>
      </c>
      <c r="K20" s="155" t="str">
        <f t="shared" si="16"/>
        <v/>
      </c>
      <c r="L20" s="100"/>
      <c r="M20" s="156" t="str">
        <f t="shared" ca="1" si="17"/>
        <v/>
      </c>
      <c r="N20" s="49"/>
      <c r="O20" s="49"/>
      <c r="P20" s="105" t="str">
        <f t="shared" si="18"/>
        <v/>
      </c>
      <c r="Q20" s="155" t="str">
        <f t="shared" si="19"/>
        <v/>
      </c>
      <c r="R20" s="100"/>
      <c r="S20" s="156" t="str">
        <f t="shared" ca="1" si="20"/>
        <v/>
      </c>
      <c r="T20" s="101"/>
      <c r="U20" s="101"/>
      <c r="V20" s="101"/>
      <c r="W20" s="144"/>
    </row>
    <row r="21" spans="1:23" ht="24" customHeight="1" x14ac:dyDescent="0.25">
      <c r="A21" s="90">
        <v>202</v>
      </c>
      <c r="B21" s="19" t="str">
        <f>IFERROR(IF(VLOOKUP(T_SuiviTw[[#This Row],[NumL]],T_suiviDi[#Data],COLUMN(T_suiviDi[[#This Row],[Nom]]),FALSE)&lt;&gt;"",VLOOKUP(T_SuiviTw[[#This Row],[NumL]],T_suiviDi[#Data],COLUMN(T_suiviDi[[#This Row],[Nom]]),FALSE),""),"")</f>
        <v/>
      </c>
      <c r="C21" s="19" t="str">
        <f>IFERROR(IF(VLOOKUP(T_SuiviTw[[#This Row],[NumL]],T_suiviDi[#Data],COLUMN(T_suiviDi[[#This Row],[Prénom]]),FALSE)&lt;&gt;"",VLOOKUP(T_SuiviTw[[#This Row],[NumL]],T_suiviDi[#Data],COLUMN(T_suiviDi[[#This Row],[Prénom]]),FALSE),""),"")</f>
        <v/>
      </c>
      <c r="D21" s="20" t="str">
        <f>IFERROR(IF(VLOOKUP(T_SuiviTw[[#This Row],[NumL]],T_suiviDi[#Data],COLUMN(T_suiviDi[[#This Row],[Email]]),FALSE)&lt;&gt;"",VLOOKUP(T_SuiviTw[[#This Row],[NumL]],T_suiviDi[#Data],COLUMN(T_suiviDi[[#This Row],[Email]]),FALSE),""),"")</f>
        <v/>
      </c>
      <c r="E21" s="274" t="str">
        <f>IFERROR(IF(VLOOKUP(T_SuiviTw[[#This Row],[NumL]],T_suiviDi[#Data],COLUMN(T_suiviDi[[#This Row],[Nom1]]),FALSE)&lt;&gt;"",VLOOKUP(T_SuiviTw[[#This Row],[NumL]],T_suiviDi[#Data],COLUMN(T_suiviDi[[#This Row],[Nom1]]),FALSE),""),"")</f>
        <v/>
      </c>
      <c r="F21" s="274" t="str">
        <f>IFERROR(IF(VLOOKUP(T_SuiviTw[[#This Row],[NumL]],T_suiviDi[#Data],COLUMN(T_suiviDi[[#This Row],[Prénom1]]),FALSE)&lt;&gt;"",VLOOKUP(T_SuiviTw[[#This Row],[NumL]],T_suiviDi[#Data],COLUMN(T_suiviDi[[#This Row],[Prénom1]]),FALSE),""),"")</f>
        <v/>
      </c>
      <c r="G21" s="274" t="str">
        <f>IFERROR(IF(VLOOKUP(T_SuiviTw[[#This Row],[NumL]],T_suiviDi[#Data],COLUMN(T_suiviDi[[#This Row],[Email1]]),FALSE)&lt;&gt;"",VLOOKUP(T_SuiviTw[[#This Row],[NumL]],T_suiviDi[#Data],COLUMN(T_suiviDi[[#This Row],[Email1]]),FALSE),""),"")</f>
        <v/>
      </c>
      <c r="H21" s="275" t="str">
        <f t="shared" si="14"/>
        <v/>
      </c>
      <c r="I21" s="100"/>
      <c r="J21" s="156" t="str">
        <f t="shared" si="15"/>
        <v/>
      </c>
      <c r="K21" s="155" t="str">
        <f t="shared" si="16"/>
        <v/>
      </c>
      <c r="L21" s="100"/>
      <c r="M21" s="156" t="str">
        <f t="shared" ca="1" si="17"/>
        <v/>
      </c>
      <c r="N21" s="49"/>
      <c r="O21" s="49"/>
      <c r="P21" s="105" t="str">
        <f t="shared" si="18"/>
        <v/>
      </c>
      <c r="Q21" s="155" t="str">
        <f t="shared" si="19"/>
        <v/>
      </c>
      <c r="R21" s="100"/>
      <c r="S21" s="156" t="str">
        <f t="shared" ca="1" si="20"/>
        <v/>
      </c>
      <c r="T21" s="101"/>
      <c r="U21" s="101"/>
      <c r="V21" s="101"/>
      <c r="W21" s="144"/>
    </row>
    <row r="22" spans="1:23" ht="24" customHeight="1" x14ac:dyDescent="0.25">
      <c r="A22" s="90">
        <v>66</v>
      </c>
      <c r="B22" s="19" t="str">
        <f>IFERROR(IF(VLOOKUP(T_SuiviTw[[#This Row],[NumL]],T_suiviDi[#Data],COLUMN(T_suiviDi[[#This Row],[Nom]]),FALSE)&lt;&gt;"",VLOOKUP(T_SuiviTw[[#This Row],[NumL]],T_suiviDi[#Data],COLUMN(T_suiviDi[[#This Row],[Nom]]),FALSE),""),"")</f>
        <v/>
      </c>
      <c r="C22" s="19" t="str">
        <f>IFERROR(IF(VLOOKUP(T_SuiviTw[[#This Row],[NumL]],T_suiviDi[#Data],COLUMN(T_suiviDi[[#This Row],[Prénom]]),FALSE)&lt;&gt;"",VLOOKUP(T_SuiviTw[[#This Row],[NumL]],T_suiviDi[#Data],COLUMN(T_suiviDi[[#This Row],[Prénom]]),FALSE),""),"")</f>
        <v/>
      </c>
      <c r="D22" s="20" t="str">
        <f>IFERROR(IF(VLOOKUP(T_SuiviTw[[#This Row],[NumL]],T_suiviDi[#Data],COLUMN(T_suiviDi[[#This Row],[Email]]),FALSE)&lt;&gt;"",VLOOKUP(T_SuiviTw[[#This Row],[NumL]],T_suiviDi[#Data],COLUMN(T_suiviDi[[#This Row],[Email]]),FALSE),""),"")</f>
        <v/>
      </c>
      <c r="E22" s="274" t="str">
        <f>IFERROR(IF(VLOOKUP(T_SuiviTw[[#This Row],[NumL]],T_suiviDi[#Data],COLUMN(T_suiviDi[[#This Row],[Nom1]]),FALSE)&lt;&gt;"",VLOOKUP(T_SuiviTw[[#This Row],[NumL]],T_suiviDi[#Data],COLUMN(T_suiviDi[[#This Row],[Nom1]]),FALSE),""),"")</f>
        <v/>
      </c>
      <c r="F22" s="274" t="str">
        <f>IFERROR(IF(VLOOKUP(T_SuiviTw[[#This Row],[NumL]],T_suiviDi[#Data],COLUMN(T_suiviDi[[#This Row],[Prénom1]]),FALSE)&lt;&gt;"",VLOOKUP(T_SuiviTw[[#This Row],[NumL]],T_suiviDi[#Data],COLUMN(T_suiviDi[[#This Row],[Prénom1]]),FALSE),""),"")</f>
        <v/>
      </c>
      <c r="G22" s="274" t="str">
        <f>IFERROR(IF(VLOOKUP(T_SuiviTw[[#This Row],[NumL]],T_suiviDi[#Data],COLUMN(T_suiviDi[[#This Row],[Email1]]),FALSE)&lt;&gt;"",VLOOKUP(T_SuiviTw[[#This Row],[NumL]],T_suiviDi[#Data],COLUMN(T_suiviDi[[#This Row],[Email1]]),FALSE),""),"")</f>
        <v/>
      </c>
      <c r="H22" s="275" t="str">
        <f t="shared" si="14"/>
        <v/>
      </c>
      <c r="I22" s="100"/>
      <c r="J22" s="156" t="str">
        <f t="shared" si="15"/>
        <v/>
      </c>
      <c r="K22" s="155" t="str">
        <f t="shared" si="16"/>
        <v/>
      </c>
      <c r="L22" s="100"/>
      <c r="M22" s="156" t="str">
        <f t="shared" ca="1" si="17"/>
        <v/>
      </c>
      <c r="N22" s="49"/>
      <c r="O22" s="49"/>
      <c r="P22" s="105" t="str">
        <f t="shared" si="18"/>
        <v/>
      </c>
      <c r="Q22" s="155" t="str">
        <f t="shared" si="19"/>
        <v/>
      </c>
      <c r="R22" s="100"/>
      <c r="S22" s="156" t="str">
        <f t="shared" ca="1" si="20"/>
        <v/>
      </c>
      <c r="T22" s="101"/>
      <c r="U22" s="101"/>
      <c r="V22" s="101"/>
      <c r="W22" s="144"/>
    </row>
    <row r="23" spans="1:23" ht="24" customHeight="1" x14ac:dyDescent="0.25">
      <c r="A23" s="90">
        <v>36</v>
      </c>
      <c r="B23" s="19" t="str">
        <f>IFERROR(IF(VLOOKUP(T_SuiviTw[[#This Row],[NumL]],T_suiviDi[#Data],COLUMN(T_suiviDi[[#This Row],[Nom]]),FALSE)&lt;&gt;"",VLOOKUP(T_SuiviTw[[#This Row],[NumL]],T_suiviDi[#Data],COLUMN(T_suiviDi[[#This Row],[Nom]]),FALSE),""),"")</f>
        <v/>
      </c>
      <c r="C23" s="19" t="str">
        <f>IFERROR(IF(VLOOKUP(T_SuiviTw[[#This Row],[NumL]],T_suiviDi[#Data],COLUMN(T_suiviDi[[#This Row],[Prénom]]),FALSE)&lt;&gt;"",VLOOKUP(T_SuiviTw[[#This Row],[NumL]],T_suiviDi[#Data],COLUMN(T_suiviDi[[#This Row],[Prénom]]),FALSE),""),"")</f>
        <v/>
      </c>
      <c r="D23" s="20" t="str">
        <f>IFERROR(IF(VLOOKUP(T_SuiviTw[[#This Row],[NumL]],T_suiviDi[#Data],COLUMN(T_suiviDi[[#This Row],[Email]]),FALSE)&lt;&gt;"",VLOOKUP(T_SuiviTw[[#This Row],[NumL]],T_suiviDi[#Data],COLUMN(T_suiviDi[[#This Row],[Email]]),FALSE),""),"")</f>
        <v/>
      </c>
      <c r="E23" s="274" t="str">
        <f>IFERROR(IF(VLOOKUP(T_SuiviTw[[#This Row],[NumL]],T_suiviDi[#Data],COLUMN(T_suiviDi[[#This Row],[Nom1]]),FALSE)&lt;&gt;"",VLOOKUP(T_SuiviTw[[#This Row],[NumL]],T_suiviDi[#Data],COLUMN(T_suiviDi[[#This Row],[Nom1]]),FALSE),""),"")</f>
        <v/>
      </c>
      <c r="F23" s="274" t="str">
        <f>IFERROR(IF(VLOOKUP(T_SuiviTw[[#This Row],[NumL]],T_suiviDi[#Data],COLUMN(T_suiviDi[[#This Row],[Prénom1]]),FALSE)&lt;&gt;"",VLOOKUP(T_SuiviTw[[#This Row],[NumL]],T_suiviDi[#Data],COLUMN(T_suiviDi[[#This Row],[Prénom1]]),FALSE),""),"")</f>
        <v/>
      </c>
      <c r="G23" s="274" t="str">
        <f>IFERROR(IF(VLOOKUP(T_SuiviTw[[#This Row],[NumL]],T_suiviDi[#Data],COLUMN(T_suiviDi[[#This Row],[Email1]]),FALSE)&lt;&gt;"",VLOOKUP(T_SuiviTw[[#This Row],[NumL]],T_suiviDi[#Data],COLUMN(T_suiviDi[[#This Row],[Email1]]),FALSE),""),"")</f>
        <v/>
      </c>
      <c r="H23" s="275" t="str">
        <f t="shared" si="14"/>
        <v/>
      </c>
      <c r="I23" s="100"/>
      <c r="J23" s="156" t="str">
        <f t="shared" si="15"/>
        <v/>
      </c>
      <c r="K23" s="155" t="str">
        <f t="shared" si="16"/>
        <v/>
      </c>
      <c r="L23" s="100"/>
      <c r="M23" s="156" t="str">
        <f t="shared" ca="1" si="17"/>
        <v/>
      </c>
      <c r="N23" s="49"/>
      <c r="O23" s="49"/>
      <c r="P23" s="105" t="str">
        <f t="shared" si="18"/>
        <v/>
      </c>
      <c r="Q23" s="155" t="str">
        <f t="shared" si="19"/>
        <v/>
      </c>
      <c r="R23" s="100"/>
      <c r="S23" s="156" t="str">
        <f t="shared" ca="1" si="20"/>
        <v/>
      </c>
      <c r="T23" s="101"/>
      <c r="U23" s="101"/>
      <c r="V23" s="101"/>
      <c r="W23" s="144"/>
    </row>
    <row r="24" spans="1:23" ht="24" customHeight="1" x14ac:dyDescent="0.25">
      <c r="A24" s="90">
        <v>315</v>
      </c>
      <c r="B24" s="139" t="str">
        <f>IFERROR(IF(VLOOKUP(T_SuiviTw[[#This Row],[NumL]],T_suiviDi[#Data],COLUMN(T_suiviDi[[#This Row],[Nom]]),FALSE)&lt;&gt;"",VLOOKUP(T_SuiviTw[[#This Row],[NumL]],T_suiviDi[#Data],COLUMN(T_suiviDi[[#This Row],[Nom]]),FALSE),""),"")</f>
        <v/>
      </c>
      <c r="C24" s="139" t="str">
        <f>IFERROR(IF(VLOOKUP(T_SuiviTw[[#This Row],[NumL]],T_suiviDi[#Data],COLUMN(T_suiviDi[[#This Row],[Prénom]]),FALSE)&lt;&gt;"",VLOOKUP(T_SuiviTw[[#This Row],[NumL]],T_suiviDi[#Data],COLUMN(T_suiviDi[[#This Row],[Prénom]]),FALSE),""),"")</f>
        <v/>
      </c>
      <c r="D24" s="140" t="str">
        <f>IFERROR(IF(VLOOKUP(T_SuiviTw[[#This Row],[NumL]],T_suiviDi[#Data],COLUMN(T_suiviDi[[#This Row],[Email]]),FALSE)&lt;&gt;"",VLOOKUP(T_SuiviTw[[#This Row],[NumL]],T_suiviDi[#Data],COLUMN(T_suiviDi[[#This Row],[Email]]),FALSE),""),"")</f>
        <v/>
      </c>
      <c r="E24" s="141" t="str">
        <f>IFERROR(IF(VLOOKUP(T_SuiviTw[[#This Row],[NumL]],T_suiviDi[#Data],COLUMN(T_suiviDi[[#This Row],[Nom1]]),FALSE)&lt;&gt;"",VLOOKUP(T_SuiviTw[[#This Row],[NumL]],T_suiviDi[#Data],COLUMN(T_suiviDi[[#This Row],[Nom1]]),FALSE),""),"")</f>
        <v/>
      </c>
      <c r="F24" s="141" t="str">
        <f>IFERROR(IF(VLOOKUP(T_SuiviTw[[#This Row],[NumL]],T_suiviDi[#Data],COLUMN(T_suiviDi[[#This Row],[Prénom1]]),FALSE)&lt;&gt;"",VLOOKUP(T_SuiviTw[[#This Row],[NumL]],T_suiviDi[#Data],COLUMN(T_suiviDi[[#This Row],[Prénom1]]),FALSE),""),"")</f>
        <v/>
      </c>
      <c r="G24" s="141" t="str">
        <f>IFERROR(IF(VLOOKUP(T_SuiviTw[[#This Row],[NumL]],T_suiviDi[#Data],COLUMN(T_suiviDi[[#This Row],[Email1]]),FALSE)&lt;&gt;"",VLOOKUP(T_SuiviTw[[#This Row],[NumL]],T_suiviDi[#Data],COLUMN(T_suiviDi[[#This Row],[Email1]]),FALSE),""),"")</f>
        <v/>
      </c>
      <c r="H24" s="155" t="str">
        <f t="shared" si="14"/>
        <v/>
      </c>
      <c r="I24" s="100"/>
      <c r="J24" s="156" t="str">
        <f t="shared" si="15"/>
        <v/>
      </c>
      <c r="K24" s="155" t="str">
        <f t="shared" si="16"/>
        <v/>
      </c>
      <c r="L24" s="100"/>
      <c r="M24" s="156" t="str">
        <f t="shared" ca="1" si="17"/>
        <v/>
      </c>
      <c r="N24" s="49"/>
      <c r="O24" s="49"/>
      <c r="P24" s="105" t="str">
        <f t="shared" si="18"/>
        <v/>
      </c>
      <c r="Q24" s="155" t="str">
        <f t="shared" si="19"/>
        <v/>
      </c>
      <c r="R24" s="100"/>
      <c r="S24" s="156" t="str">
        <f t="shared" ca="1" si="20"/>
        <v/>
      </c>
      <c r="T24" s="101"/>
      <c r="U24" s="101"/>
      <c r="V24" s="101"/>
      <c r="W24" s="144"/>
    </row>
    <row r="25" spans="1:23" ht="24" customHeight="1" x14ac:dyDescent="0.25">
      <c r="A25" s="90">
        <v>168</v>
      </c>
      <c r="B25" s="19" t="str">
        <f>IFERROR(IF(VLOOKUP(T_SuiviTw[[#This Row],[NumL]],T_suiviDi[#Data],COLUMN(T_suiviDi[[#This Row],[Nom]]),FALSE)&lt;&gt;"",VLOOKUP(T_SuiviTw[[#This Row],[NumL]],T_suiviDi[#Data],COLUMN(T_suiviDi[[#This Row],[Nom]]),FALSE),""),"")</f>
        <v/>
      </c>
      <c r="C25" s="19" t="str">
        <f>IFERROR(IF(VLOOKUP(T_SuiviTw[[#This Row],[NumL]],T_suiviDi[#Data],COLUMN(T_suiviDi[[#This Row],[Prénom]]),FALSE)&lt;&gt;"",VLOOKUP(T_SuiviTw[[#This Row],[NumL]],T_suiviDi[#Data],COLUMN(T_suiviDi[[#This Row],[Prénom]]),FALSE),""),"")</f>
        <v/>
      </c>
      <c r="D25" s="20" t="str">
        <f>IFERROR(IF(VLOOKUP(T_SuiviTw[[#This Row],[NumL]],T_suiviDi[#Data],COLUMN(T_suiviDi[[#This Row],[Email]]),FALSE)&lt;&gt;"",VLOOKUP(T_SuiviTw[[#This Row],[NumL]],T_suiviDi[#Data],COLUMN(T_suiviDi[[#This Row],[Email]]),FALSE),""),"")</f>
        <v/>
      </c>
      <c r="E25" s="274" t="str">
        <f>IFERROR(IF(VLOOKUP(T_SuiviTw[[#This Row],[NumL]],T_suiviDi[#Data],COLUMN(T_suiviDi[[#This Row],[Nom1]]),FALSE)&lt;&gt;"",VLOOKUP(T_SuiviTw[[#This Row],[NumL]],T_suiviDi[#Data],COLUMN(T_suiviDi[[#This Row],[Nom1]]),FALSE),""),"")</f>
        <v/>
      </c>
      <c r="F25" s="274" t="str">
        <f>IFERROR(IF(VLOOKUP(T_SuiviTw[[#This Row],[NumL]],T_suiviDi[#Data],COLUMN(T_suiviDi[[#This Row],[Prénom1]]),FALSE)&lt;&gt;"",VLOOKUP(T_SuiviTw[[#This Row],[NumL]],T_suiviDi[#Data],COLUMN(T_suiviDi[[#This Row],[Prénom1]]),FALSE),""),"")</f>
        <v/>
      </c>
      <c r="G25" s="274" t="str">
        <f>IFERROR(IF(VLOOKUP(T_SuiviTw[[#This Row],[NumL]],T_suiviDi[#Data],COLUMN(T_suiviDi[[#This Row],[Email1]]),FALSE)&lt;&gt;"",VLOOKUP(T_SuiviTw[[#This Row],[NumL]],T_suiviDi[#Data],COLUMN(T_suiviDi[[#This Row],[Email1]]),FALSE),""),"")</f>
        <v/>
      </c>
      <c r="H25" s="275" t="str">
        <f t="shared" si="14"/>
        <v/>
      </c>
      <c r="I25" s="100"/>
      <c r="J25" s="156" t="str">
        <f t="shared" si="15"/>
        <v/>
      </c>
      <c r="K25" s="155" t="str">
        <f t="shared" si="16"/>
        <v/>
      </c>
      <c r="L25" s="100"/>
      <c r="M25" s="156" t="str">
        <f t="shared" ca="1" si="17"/>
        <v/>
      </c>
      <c r="N25" s="49"/>
      <c r="O25" s="49"/>
      <c r="P25" s="105" t="str">
        <f t="shared" si="18"/>
        <v/>
      </c>
      <c r="Q25" s="155" t="str">
        <f t="shared" si="19"/>
        <v/>
      </c>
      <c r="R25" s="100"/>
      <c r="S25" s="156" t="str">
        <f t="shared" ca="1" si="20"/>
        <v/>
      </c>
      <c r="T25" s="101"/>
      <c r="U25" s="101"/>
      <c r="V25" s="101"/>
      <c r="W25" s="144"/>
    </row>
    <row r="26" spans="1:23" ht="24" customHeight="1" x14ac:dyDescent="0.25">
      <c r="A26" s="90">
        <v>21</v>
      </c>
      <c r="B26" s="19" t="str">
        <f>IFERROR(IF(VLOOKUP(T_SuiviTw[[#This Row],[NumL]],T_suiviDi[#Data],COLUMN(T_suiviDi[[#This Row],[Nom]]),FALSE)&lt;&gt;"",VLOOKUP(T_SuiviTw[[#This Row],[NumL]],T_suiviDi[#Data],COLUMN(T_suiviDi[[#This Row],[Nom]]),FALSE),""),"")</f>
        <v/>
      </c>
      <c r="C26" s="19" t="str">
        <f>IFERROR(IF(VLOOKUP(T_SuiviTw[[#This Row],[NumL]],T_suiviDi[#Data],COLUMN(T_suiviDi[[#This Row],[Prénom]]),FALSE)&lt;&gt;"",VLOOKUP(T_SuiviTw[[#This Row],[NumL]],T_suiviDi[#Data],COLUMN(T_suiviDi[[#This Row],[Prénom]]),FALSE),""),"")</f>
        <v/>
      </c>
      <c r="D26" s="20" t="str">
        <f>IFERROR(IF(VLOOKUP(T_SuiviTw[[#This Row],[NumL]],T_suiviDi[#Data],COLUMN(T_suiviDi[[#This Row],[Email]]),FALSE)&lt;&gt;"",VLOOKUP(T_SuiviTw[[#This Row],[NumL]],T_suiviDi[#Data],COLUMN(T_suiviDi[[#This Row],[Email]]),FALSE),""),"")</f>
        <v/>
      </c>
      <c r="E26" s="274" t="str">
        <f>IFERROR(IF(VLOOKUP(T_SuiviTw[[#This Row],[NumL]],T_suiviDi[#Data],COLUMN(T_suiviDi[[#This Row],[Nom1]]),FALSE)&lt;&gt;"",VLOOKUP(T_SuiviTw[[#This Row],[NumL]],T_suiviDi[#Data],COLUMN(T_suiviDi[[#This Row],[Nom1]]),FALSE),""),"")</f>
        <v/>
      </c>
      <c r="F26" s="274" t="str">
        <f>IFERROR(IF(VLOOKUP(T_SuiviTw[[#This Row],[NumL]],T_suiviDi[#Data],COLUMN(T_suiviDi[[#This Row],[Prénom1]]),FALSE)&lt;&gt;"",VLOOKUP(T_SuiviTw[[#This Row],[NumL]],T_suiviDi[#Data],COLUMN(T_suiviDi[[#This Row],[Prénom1]]),FALSE),""),"")</f>
        <v/>
      </c>
      <c r="G26" s="274" t="str">
        <f>IFERROR(IF(VLOOKUP(T_SuiviTw[[#This Row],[NumL]],T_suiviDi[#Data],COLUMN(T_suiviDi[[#This Row],[Email1]]),FALSE)&lt;&gt;"",VLOOKUP(T_SuiviTw[[#This Row],[NumL]],T_suiviDi[#Data],COLUMN(T_suiviDi[[#This Row],[Email1]]),FALSE),""),"")</f>
        <v/>
      </c>
      <c r="H26" s="275" t="str">
        <f t="shared" si="14"/>
        <v/>
      </c>
      <c r="I26" s="100"/>
      <c r="J26" s="156" t="str">
        <f t="shared" si="15"/>
        <v/>
      </c>
      <c r="K26" s="155" t="str">
        <f t="shared" si="16"/>
        <v/>
      </c>
      <c r="L26" s="100"/>
      <c r="M26" s="156" t="str">
        <f t="shared" ca="1" si="17"/>
        <v/>
      </c>
      <c r="N26" s="49"/>
      <c r="O26" s="49"/>
      <c r="P26" s="105" t="str">
        <f t="shared" si="18"/>
        <v/>
      </c>
      <c r="Q26" s="155" t="str">
        <f t="shared" si="19"/>
        <v/>
      </c>
      <c r="R26" s="100"/>
      <c r="S26" s="156" t="str">
        <f t="shared" ca="1" si="20"/>
        <v/>
      </c>
      <c r="T26" s="101"/>
      <c r="U26" s="101"/>
      <c r="V26" s="101"/>
      <c r="W26" s="144"/>
    </row>
    <row r="27" spans="1:23" ht="24" customHeight="1" x14ac:dyDescent="0.25">
      <c r="A27" s="90">
        <v>187</v>
      </c>
      <c r="B27" s="19" t="str">
        <f>IFERROR(IF(VLOOKUP(T_SuiviTw[[#This Row],[NumL]],T_suiviDi[#Data],COLUMN(T_suiviDi[[#This Row],[Nom]]),FALSE)&lt;&gt;"",VLOOKUP(T_SuiviTw[[#This Row],[NumL]],T_suiviDi[#Data],COLUMN(T_suiviDi[[#This Row],[Nom]]),FALSE),""),"")</f>
        <v/>
      </c>
      <c r="C27" s="19" t="str">
        <f>IFERROR(IF(VLOOKUP(T_SuiviTw[[#This Row],[NumL]],T_suiviDi[#Data],COLUMN(T_suiviDi[[#This Row],[Prénom]]),FALSE)&lt;&gt;"",VLOOKUP(T_SuiviTw[[#This Row],[NumL]],T_suiviDi[#Data],COLUMN(T_suiviDi[[#This Row],[Prénom]]),FALSE),""),"")</f>
        <v/>
      </c>
      <c r="D27" s="20" t="str">
        <f>IFERROR(IF(VLOOKUP(T_SuiviTw[[#This Row],[NumL]],T_suiviDi[#Data],COLUMN(T_suiviDi[[#This Row],[Email]]),FALSE)&lt;&gt;"",VLOOKUP(T_SuiviTw[[#This Row],[NumL]],T_suiviDi[#Data],COLUMN(T_suiviDi[[#This Row],[Email]]),FALSE),""),"")</f>
        <v/>
      </c>
      <c r="E27" s="274" t="str">
        <f>IFERROR(IF(VLOOKUP(T_SuiviTw[[#This Row],[NumL]],T_suiviDi[#Data],COLUMN(T_suiviDi[[#This Row],[Nom1]]),FALSE)&lt;&gt;"",VLOOKUP(T_SuiviTw[[#This Row],[NumL]],T_suiviDi[#Data],COLUMN(T_suiviDi[[#This Row],[Nom1]]),FALSE),""),"")</f>
        <v/>
      </c>
      <c r="F27" s="274" t="str">
        <f>IFERROR(IF(VLOOKUP(T_SuiviTw[[#This Row],[NumL]],T_suiviDi[#Data],COLUMN(T_suiviDi[[#This Row],[Prénom1]]),FALSE)&lt;&gt;"",VLOOKUP(T_SuiviTw[[#This Row],[NumL]],T_suiviDi[#Data],COLUMN(T_suiviDi[[#This Row],[Prénom1]]),FALSE),""),"")</f>
        <v/>
      </c>
      <c r="G27" s="274" t="str">
        <f>IFERROR(IF(VLOOKUP(T_SuiviTw[[#This Row],[NumL]],T_suiviDi[#Data],COLUMN(T_suiviDi[[#This Row],[Email1]]),FALSE)&lt;&gt;"",VLOOKUP(T_SuiviTw[[#This Row],[NumL]],T_suiviDi[#Data],COLUMN(T_suiviDi[[#This Row],[Email1]]),FALSE),""),"")</f>
        <v/>
      </c>
      <c r="H27" s="275" t="str">
        <f t="shared" si="14"/>
        <v/>
      </c>
      <c r="I27" s="100"/>
      <c r="J27" s="156" t="str">
        <f t="shared" si="15"/>
        <v/>
      </c>
      <c r="K27" s="155" t="str">
        <f t="shared" si="16"/>
        <v/>
      </c>
      <c r="L27" s="100"/>
      <c r="M27" s="156" t="str">
        <f t="shared" ca="1" si="17"/>
        <v/>
      </c>
      <c r="N27" s="49"/>
      <c r="O27" s="49"/>
      <c r="P27" s="105" t="str">
        <f t="shared" si="18"/>
        <v/>
      </c>
      <c r="Q27" s="155" t="str">
        <f t="shared" si="19"/>
        <v/>
      </c>
      <c r="R27" s="100"/>
      <c r="S27" s="156" t="str">
        <f t="shared" ca="1" si="20"/>
        <v/>
      </c>
      <c r="T27" s="101"/>
      <c r="U27" s="101"/>
      <c r="V27" s="101"/>
      <c r="W27" s="144"/>
    </row>
    <row r="28" spans="1:23" ht="24" customHeight="1" x14ac:dyDescent="0.25">
      <c r="A28" s="90">
        <v>173</v>
      </c>
      <c r="B28" s="19" t="str">
        <f>IFERROR(IF(VLOOKUP(T_SuiviTw[[#This Row],[NumL]],T_suiviDi[#Data],COLUMN(T_suiviDi[[#This Row],[Nom]]),FALSE)&lt;&gt;"",VLOOKUP(T_SuiviTw[[#This Row],[NumL]],T_suiviDi[#Data],COLUMN(T_suiviDi[[#This Row],[Nom]]),FALSE),""),"")</f>
        <v/>
      </c>
      <c r="C28" s="19" t="str">
        <f>IFERROR(IF(VLOOKUP(T_SuiviTw[[#This Row],[NumL]],T_suiviDi[#Data],COLUMN(T_suiviDi[[#This Row],[Prénom]]),FALSE)&lt;&gt;"",VLOOKUP(T_SuiviTw[[#This Row],[NumL]],T_suiviDi[#Data],COLUMN(T_suiviDi[[#This Row],[Prénom]]),FALSE),""),"")</f>
        <v/>
      </c>
      <c r="D28" s="20" t="str">
        <f>IFERROR(IF(VLOOKUP(T_SuiviTw[[#This Row],[NumL]],T_suiviDi[#Data],COLUMN(T_suiviDi[[#This Row],[Email]]),FALSE)&lt;&gt;"",VLOOKUP(T_SuiviTw[[#This Row],[NumL]],T_suiviDi[#Data],COLUMN(T_suiviDi[[#This Row],[Email]]),FALSE),""),"")</f>
        <v/>
      </c>
      <c r="E28" s="274" t="str">
        <f>IFERROR(IF(VLOOKUP(T_SuiviTw[[#This Row],[NumL]],T_suiviDi[#Data],COLUMN(T_suiviDi[[#This Row],[Nom1]]),FALSE)&lt;&gt;"",VLOOKUP(T_SuiviTw[[#This Row],[NumL]],T_suiviDi[#Data],COLUMN(T_suiviDi[[#This Row],[Nom1]]),FALSE),""),"")</f>
        <v/>
      </c>
      <c r="F28" s="274" t="str">
        <f>IFERROR(IF(VLOOKUP(T_SuiviTw[[#This Row],[NumL]],T_suiviDi[#Data],COLUMN(T_suiviDi[[#This Row],[Prénom1]]),FALSE)&lt;&gt;"",VLOOKUP(T_SuiviTw[[#This Row],[NumL]],T_suiviDi[#Data],COLUMN(T_suiviDi[[#This Row],[Prénom1]]),FALSE),""),"")</f>
        <v/>
      </c>
      <c r="G28" s="274" t="str">
        <f>IFERROR(IF(VLOOKUP(T_SuiviTw[[#This Row],[NumL]],T_suiviDi[#Data],COLUMN(T_suiviDi[[#This Row],[Email1]]),FALSE)&lt;&gt;"",VLOOKUP(T_SuiviTw[[#This Row],[NumL]],T_suiviDi[#Data],COLUMN(T_suiviDi[[#This Row],[Email1]]),FALSE),""),"")</f>
        <v/>
      </c>
      <c r="H28" s="275" t="str">
        <f t="shared" si="14"/>
        <v/>
      </c>
      <c r="I28" s="100"/>
      <c r="J28" s="156" t="str">
        <f t="shared" si="15"/>
        <v/>
      </c>
      <c r="K28" s="155" t="str">
        <f t="shared" si="16"/>
        <v/>
      </c>
      <c r="L28" s="100"/>
      <c r="M28" s="156" t="str">
        <f t="shared" ca="1" si="17"/>
        <v/>
      </c>
      <c r="N28" s="49"/>
      <c r="O28" s="49"/>
      <c r="P28" s="105" t="str">
        <f t="shared" si="18"/>
        <v/>
      </c>
      <c r="Q28" s="155" t="str">
        <f t="shared" si="19"/>
        <v/>
      </c>
      <c r="R28" s="100"/>
      <c r="S28" s="156" t="str">
        <f t="shared" ca="1" si="20"/>
        <v/>
      </c>
      <c r="T28" s="101"/>
      <c r="U28" s="101"/>
      <c r="V28" s="101"/>
      <c r="W28" s="144"/>
    </row>
    <row r="29" spans="1:23" ht="24" customHeight="1" x14ac:dyDescent="0.25">
      <c r="A29" s="90">
        <v>184</v>
      </c>
      <c r="B29" s="19" t="str">
        <f>IFERROR(IF(VLOOKUP(T_SuiviTw[[#This Row],[NumL]],T_suiviDi[#Data],COLUMN(T_suiviDi[[#This Row],[Nom]]),FALSE)&lt;&gt;"",VLOOKUP(T_SuiviTw[[#This Row],[NumL]],T_suiviDi[#Data],COLUMN(T_suiviDi[[#This Row],[Nom]]),FALSE),""),"")</f>
        <v/>
      </c>
      <c r="C29" s="19" t="str">
        <f>IFERROR(IF(VLOOKUP(T_SuiviTw[[#This Row],[NumL]],T_suiviDi[#Data],COLUMN(T_suiviDi[[#This Row],[Prénom]]),FALSE)&lt;&gt;"",VLOOKUP(T_SuiviTw[[#This Row],[NumL]],T_suiviDi[#Data],COLUMN(T_suiviDi[[#This Row],[Prénom]]),FALSE),""),"")</f>
        <v/>
      </c>
      <c r="D29" s="20" t="str">
        <f>IFERROR(IF(VLOOKUP(T_SuiviTw[[#This Row],[NumL]],T_suiviDi[#Data],COLUMN(T_suiviDi[[#This Row],[Email]]),FALSE)&lt;&gt;"",VLOOKUP(T_SuiviTw[[#This Row],[NumL]],T_suiviDi[#Data],COLUMN(T_suiviDi[[#This Row],[Email]]),FALSE),""),"")</f>
        <v/>
      </c>
      <c r="E29" s="274" t="str">
        <f>IFERROR(IF(VLOOKUP(T_SuiviTw[[#This Row],[NumL]],T_suiviDi[#Data],COLUMN(T_suiviDi[[#This Row],[Nom1]]),FALSE)&lt;&gt;"",VLOOKUP(T_SuiviTw[[#This Row],[NumL]],T_suiviDi[#Data],COLUMN(T_suiviDi[[#This Row],[Nom1]]),FALSE),""),"")</f>
        <v/>
      </c>
      <c r="F29" s="274" t="str">
        <f>IFERROR(IF(VLOOKUP(T_SuiviTw[[#This Row],[NumL]],T_suiviDi[#Data],COLUMN(T_suiviDi[[#This Row],[Prénom1]]),FALSE)&lt;&gt;"",VLOOKUP(T_SuiviTw[[#This Row],[NumL]],T_suiviDi[#Data],COLUMN(T_suiviDi[[#This Row],[Prénom1]]),FALSE),""),"")</f>
        <v/>
      </c>
      <c r="G29" s="274" t="str">
        <f>IFERROR(IF(VLOOKUP(T_SuiviTw[[#This Row],[NumL]],T_suiviDi[#Data],COLUMN(T_suiviDi[[#This Row],[Email1]]),FALSE)&lt;&gt;"",VLOOKUP(T_SuiviTw[[#This Row],[NumL]],T_suiviDi[#Data],COLUMN(T_suiviDi[[#This Row],[Email1]]),FALSE),""),"")</f>
        <v/>
      </c>
      <c r="H29" s="275" t="str">
        <f t="shared" si="14"/>
        <v/>
      </c>
      <c r="I29" s="100"/>
      <c r="J29" s="156" t="str">
        <f t="shared" si="15"/>
        <v/>
      </c>
      <c r="K29" s="155" t="str">
        <f t="shared" si="16"/>
        <v/>
      </c>
      <c r="L29" s="100"/>
      <c r="M29" s="156" t="str">
        <f t="shared" ca="1" si="17"/>
        <v/>
      </c>
      <c r="N29" s="49"/>
      <c r="O29" s="49"/>
      <c r="P29" s="105" t="str">
        <f t="shared" si="18"/>
        <v/>
      </c>
      <c r="Q29" s="155" t="str">
        <f t="shared" si="19"/>
        <v/>
      </c>
      <c r="R29" s="100"/>
      <c r="S29" s="156" t="str">
        <f t="shared" ca="1" si="20"/>
        <v/>
      </c>
      <c r="T29" s="101"/>
      <c r="U29" s="101"/>
      <c r="V29" s="101"/>
      <c r="W29" s="144"/>
    </row>
    <row r="30" spans="1:23" ht="24" customHeight="1" x14ac:dyDescent="0.25">
      <c r="A30" s="90">
        <v>56</v>
      </c>
      <c r="B30" s="19" t="str">
        <f>IFERROR(IF(VLOOKUP(T_SuiviTw[[#This Row],[NumL]],T_suiviDi[#Data],COLUMN(T_suiviDi[[#This Row],[Nom]]),FALSE)&lt;&gt;"",VLOOKUP(T_SuiviTw[[#This Row],[NumL]],T_suiviDi[#Data],COLUMN(T_suiviDi[[#This Row],[Nom]]),FALSE),""),"")</f>
        <v/>
      </c>
      <c r="C30" s="19" t="str">
        <f>IFERROR(IF(VLOOKUP(T_SuiviTw[[#This Row],[NumL]],T_suiviDi[#Data],COLUMN(T_suiviDi[[#This Row],[Prénom]]),FALSE)&lt;&gt;"",VLOOKUP(T_SuiviTw[[#This Row],[NumL]],T_suiviDi[#Data],COLUMN(T_suiviDi[[#This Row],[Prénom]]),FALSE),""),"")</f>
        <v/>
      </c>
      <c r="D30" s="20" t="str">
        <f>IFERROR(IF(VLOOKUP(T_SuiviTw[[#This Row],[NumL]],T_suiviDi[#Data],COLUMN(T_suiviDi[[#This Row],[Email]]),FALSE)&lt;&gt;"",VLOOKUP(T_SuiviTw[[#This Row],[NumL]],T_suiviDi[#Data],COLUMN(T_suiviDi[[#This Row],[Email]]),FALSE),""),"")</f>
        <v/>
      </c>
      <c r="E30" s="274" t="str">
        <f>IFERROR(IF(VLOOKUP(T_SuiviTw[[#This Row],[NumL]],T_suiviDi[#Data],COLUMN(T_suiviDi[[#This Row],[Nom1]]),FALSE)&lt;&gt;"",VLOOKUP(T_SuiviTw[[#This Row],[NumL]],T_suiviDi[#Data],COLUMN(T_suiviDi[[#This Row],[Nom1]]),FALSE),""),"")</f>
        <v/>
      </c>
      <c r="F30" s="274" t="str">
        <f>IFERROR(IF(VLOOKUP(T_SuiviTw[[#This Row],[NumL]],T_suiviDi[#Data],COLUMN(T_suiviDi[[#This Row],[Prénom1]]),FALSE)&lt;&gt;"",VLOOKUP(T_SuiviTw[[#This Row],[NumL]],T_suiviDi[#Data],COLUMN(T_suiviDi[[#This Row],[Prénom1]]),FALSE),""),"")</f>
        <v/>
      </c>
      <c r="G30" s="274" t="str">
        <f>IFERROR(IF(VLOOKUP(T_SuiviTw[[#This Row],[NumL]],T_suiviDi[#Data],COLUMN(T_suiviDi[[#This Row],[Email1]]),FALSE)&lt;&gt;"",VLOOKUP(T_SuiviTw[[#This Row],[NumL]],T_suiviDi[#Data],COLUMN(T_suiviDi[[#This Row],[Email1]]),FALSE),""),"")</f>
        <v/>
      </c>
      <c r="H30" s="275" t="str">
        <f t="shared" si="14"/>
        <v/>
      </c>
      <c r="I30" s="100"/>
      <c r="J30" s="156" t="str">
        <f t="shared" si="15"/>
        <v/>
      </c>
      <c r="K30" s="155" t="str">
        <f t="shared" si="16"/>
        <v/>
      </c>
      <c r="L30" s="100"/>
      <c r="M30" s="156" t="str">
        <f t="shared" ca="1" si="17"/>
        <v/>
      </c>
      <c r="N30" s="49"/>
      <c r="O30" s="49"/>
      <c r="P30" s="105" t="str">
        <f t="shared" si="18"/>
        <v/>
      </c>
      <c r="Q30" s="155" t="str">
        <f t="shared" si="19"/>
        <v/>
      </c>
      <c r="R30" s="100"/>
      <c r="S30" s="156" t="str">
        <f t="shared" ca="1" si="20"/>
        <v/>
      </c>
      <c r="T30" s="101"/>
      <c r="U30" s="101"/>
      <c r="V30" s="101"/>
      <c r="W30" s="144"/>
    </row>
    <row r="31" spans="1:23" ht="24" customHeight="1" x14ac:dyDescent="0.25">
      <c r="A31" s="90">
        <v>257</v>
      </c>
      <c r="B31" s="19" t="str">
        <f>IFERROR(IF(VLOOKUP(T_SuiviTw[[#This Row],[NumL]],T_suiviDi[#Data],COLUMN(T_suiviDi[[#This Row],[Nom]]),FALSE)&lt;&gt;"",VLOOKUP(T_SuiviTw[[#This Row],[NumL]],T_suiviDi[#Data],COLUMN(T_suiviDi[[#This Row],[Nom]]),FALSE),""),"")</f>
        <v/>
      </c>
      <c r="C31" s="19" t="str">
        <f>IFERROR(IF(VLOOKUP(T_SuiviTw[[#This Row],[NumL]],T_suiviDi[#Data],COLUMN(T_suiviDi[[#This Row],[Prénom]]),FALSE)&lt;&gt;"",VLOOKUP(T_SuiviTw[[#This Row],[NumL]],T_suiviDi[#Data],COLUMN(T_suiviDi[[#This Row],[Prénom]]),FALSE),""),"")</f>
        <v/>
      </c>
      <c r="D31" s="20" t="str">
        <f>IFERROR(IF(VLOOKUP(T_SuiviTw[[#This Row],[NumL]],T_suiviDi[#Data],COLUMN(T_suiviDi[[#This Row],[Email]]),FALSE)&lt;&gt;"",VLOOKUP(T_SuiviTw[[#This Row],[NumL]],T_suiviDi[#Data],COLUMN(T_suiviDi[[#This Row],[Email]]),FALSE),""),"")</f>
        <v/>
      </c>
      <c r="E31" s="274" t="str">
        <f>IFERROR(IF(VLOOKUP(T_SuiviTw[[#This Row],[NumL]],T_suiviDi[#Data],COLUMN(T_suiviDi[[#This Row],[Nom1]]),FALSE)&lt;&gt;"",VLOOKUP(T_SuiviTw[[#This Row],[NumL]],T_suiviDi[#Data],COLUMN(T_suiviDi[[#This Row],[Nom1]]),FALSE),""),"")</f>
        <v/>
      </c>
      <c r="F31" s="274" t="str">
        <f>IFERROR(IF(VLOOKUP(T_SuiviTw[[#This Row],[NumL]],T_suiviDi[#Data],COLUMN(T_suiviDi[[#This Row],[Prénom1]]),FALSE)&lt;&gt;"",VLOOKUP(T_SuiviTw[[#This Row],[NumL]],T_suiviDi[#Data],COLUMN(T_suiviDi[[#This Row],[Prénom1]]),FALSE),""),"")</f>
        <v/>
      </c>
      <c r="G31" s="274" t="str">
        <f>IFERROR(IF(VLOOKUP(T_SuiviTw[[#This Row],[NumL]],T_suiviDi[#Data],COLUMN(T_suiviDi[[#This Row],[Email1]]),FALSE)&lt;&gt;"",VLOOKUP(T_SuiviTw[[#This Row],[NumL]],T_suiviDi[#Data],COLUMN(T_suiviDi[[#This Row],[Email1]]),FALSE),""),"")</f>
        <v/>
      </c>
      <c r="H31" s="275" t="str">
        <f t="shared" si="14"/>
        <v/>
      </c>
      <c r="I31" s="100"/>
      <c r="J31" s="156" t="str">
        <f t="shared" si="15"/>
        <v/>
      </c>
      <c r="K31" s="155" t="str">
        <f t="shared" si="16"/>
        <v/>
      </c>
      <c r="L31" s="100"/>
      <c r="M31" s="156" t="str">
        <f t="shared" ca="1" si="17"/>
        <v/>
      </c>
      <c r="N31" s="49"/>
      <c r="O31" s="49"/>
      <c r="P31" s="105" t="str">
        <f t="shared" si="18"/>
        <v/>
      </c>
      <c r="Q31" s="155" t="str">
        <f t="shared" si="19"/>
        <v/>
      </c>
      <c r="R31" s="100"/>
      <c r="S31" s="156" t="str">
        <f t="shared" ca="1" si="20"/>
        <v/>
      </c>
      <c r="T31" s="101"/>
      <c r="U31" s="101"/>
      <c r="V31" s="101"/>
      <c r="W31" s="144"/>
    </row>
    <row r="32" spans="1:23" ht="24" customHeight="1" x14ac:dyDescent="0.25">
      <c r="A32" s="90">
        <v>32</v>
      </c>
      <c r="B32" s="19" t="str">
        <f>IFERROR(IF(VLOOKUP(T_SuiviTw[[#This Row],[NumL]],T_suiviDi[#Data],COLUMN(T_suiviDi[[#This Row],[Nom]]),FALSE)&lt;&gt;"",VLOOKUP(T_SuiviTw[[#This Row],[NumL]],T_suiviDi[#Data],COLUMN(T_suiviDi[[#This Row],[Nom]]),FALSE),""),"")</f>
        <v/>
      </c>
      <c r="C32" s="19" t="str">
        <f>IFERROR(IF(VLOOKUP(T_SuiviTw[[#This Row],[NumL]],T_suiviDi[#Data],COLUMN(T_suiviDi[[#This Row],[Prénom]]),FALSE)&lt;&gt;"",VLOOKUP(T_SuiviTw[[#This Row],[NumL]],T_suiviDi[#Data],COLUMN(T_suiviDi[[#This Row],[Prénom]]),FALSE),""),"")</f>
        <v/>
      </c>
      <c r="D32" s="20" t="str">
        <f>IFERROR(IF(VLOOKUP(T_SuiviTw[[#This Row],[NumL]],T_suiviDi[#Data],COLUMN(T_suiviDi[[#This Row],[Email]]),FALSE)&lt;&gt;"",VLOOKUP(T_SuiviTw[[#This Row],[NumL]],T_suiviDi[#Data],COLUMN(T_suiviDi[[#This Row],[Email]]),FALSE),""),"")</f>
        <v/>
      </c>
      <c r="E32" s="274" t="str">
        <f>IFERROR(IF(VLOOKUP(T_SuiviTw[[#This Row],[NumL]],T_suiviDi[#Data],COLUMN(T_suiviDi[[#This Row],[Nom1]]),FALSE)&lt;&gt;"",VLOOKUP(T_SuiviTw[[#This Row],[NumL]],T_suiviDi[#Data],COLUMN(T_suiviDi[[#This Row],[Nom1]]),FALSE),""),"")</f>
        <v/>
      </c>
      <c r="F32" s="274" t="str">
        <f>IFERROR(IF(VLOOKUP(T_SuiviTw[[#This Row],[NumL]],T_suiviDi[#Data],COLUMN(T_suiviDi[[#This Row],[Prénom1]]),FALSE)&lt;&gt;"",VLOOKUP(T_SuiviTw[[#This Row],[NumL]],T_suiviDi[#Data],COLUMN(T_suiviDi[[#This Row],[Prénom1]]),FALSE),""),"")</f>
        <v/>
      </c>
      <c r="G32" s="274" t="str">
        <f>IFERROR(IF(VLOOKUP(T_SuiviTw[[#This Row],[NumL]],T_suiviDi[#Data],COLUMN(T_suiviDi[[#This Row],[Email1]]),FALSE)&lt;&gt;"",VLOOKUP(T_SuiviTw[[#This Row],[NumL]],T_suiviDi[#Data],COLUMN(T_suiviDi[[#This Row],[Email1]]),FALSE),""),"")</f>
        <v/>
      </c>
      <c r="H32" s="275" t="str">
        <f t="shared" si="14"/>
        <v/>
      </c>
      <c r="I32" s="100"/>
      <c r="J32" s="156" t="str">
        <f t="shared" si="15"/>
        <v/>
      </c>
      <c r="K32" s="155" t="str">
        <f t="shared" si="16"/>
        <v/>
      </c>
      <c r="L32" s="100"/>
      <c r="M32" s="156" t="str">
        <f t="shared" ca="1" si="17"/>
        <v/>
      </c>
      <c r="N32" s="49"/>
      <c r="O32" s="49"/>
      <c r="P32" s="105" t="str">
        <f t="shared" si="18"/>
        <v/>
      </c>
      <c r="Q32" s="155" t="str">
        <f t="shared" si="19"/>
        <v/>
      </c>
      <c r="R32" s="100"/>
      <c r="S32" s="156" t="str">
        <f t="shared" ca="1" si="20"/>
        <v/>
      </c>
      <c r="T32" s="101"/>
      <c r="U32" s="101"/>
      <c r="V32" s="101"/>
      <c r="W32" s="144"/>
    </row>
    <row r="33" spans="1:23" ht="24" customHeight="1" x14ac:dyDescent="0.25">
      <c r="A33" s="90">
        <v>130</v>
      </c>
      <c r="B33" s="19" t="str">
        <f>IFERROR(IF(VLOOKUP(T_SuiviTw[[#This Row],[NumL]],T_suiviDi[#Data],COLUMN(T_suiviDi[[#This Row],[Nom]]),FALSE)&lt;&gt;"",VLOOKUP(T_SuiviTw[[#This Row],[NumL]],T_suiviDi[#Data],COLUMN(T_suiviDi[[#This Row],[Nom]]),FALSE),""),"")</f>
        <v/>
      </c>
      <c r="C33" s="19" t="str">
        <f>IFERROR(IF(VLOOKUP(T_SuiviTw[[#This Row],[NumL]],T_suiviDi[#Data],COLUMN(T_suiviDi[[#This Row],[Prénom]]),FALSE)&lt;&gt;"",VLOOKUP(T_SuiviTw[[#This Row],[NumL]],T_suiviDi[#Data],COLUMN(T_suiviDi[[#This Row],[Prénom]]),FALSE),""),"")</f>
        <v/>
      </c>
      <c r="D33" s="20" t="str">
        <f>IFERROR(IF(VLOOKUP(T_SuiviTw[[#This Row],[NumL]],T_suiviDi[#Data],COLUMN(T_suiviDi[[#This Row],[Email]]),FALSE)&lt;&gt;"",VLOOKUP(T_SuiviTw[[#This Row],[NumL]],T_suiviDi[#Data],COLUMN(T_suiviDi[[#This Row],[Email]]),FALSE),""),"")</f>
        <v/>
      </c>
      <c r="E33" s="274" t="str">
        <f>IFERROR(IF(VLOOKUP(T_SuiviTw[[#This Row],[NumL]],T_suiviDi[#Data],COLUMN(T_suiviDi[[#This Row],[Nom1]]),FALSE)&lt;&gt;"",VLOOKUP(T_SuiviTw[[#This Row],[NumL]],T_suiviDi[#Data],COLUMN(T_suiviDi[[#This Row],[Nom1]]),FALSE),""),"")</f>
        <v/>
      </c>
      <c r="F33" s="274" t="str">
        <f>IFERROR(IF(VLOOKUP(T_SuiviTw[[#This Row],[NumL]],T_suiviDi[#Data],COLUMN(T_suiviDi[[#This Row],[Prénom1]]),FALSE)&lt;&gt;"",VLOOKUP(T_SuiviTw[[#This Row],[NumL]],T_suiviDi[#Data],COLUMN(T_suiviDi[[#This Row],[Prénom1]]),FALSE),""),"")</f>
        <v/>
      </c>
      <c r="G33" s="274" t="str">
        <f>IFERROR(IF(VLOOKUP(T_SuiviTw[[#This Row],[NumL]],T_suiviDi[#Data],COLUMN(T_suiviDi[[#This Row],[Email1]]),FALSE)&lt;&gt;"",VLOOKUP(T_SuiviTw[[#This Row],[NumL]],T_suiviDi[#Data],COLUMN(T_suiviDi[[#This Row],[Email1]]),FALSE),""),"")</f>
        <v/>
      </c>
      <c r="H33" s="275" t="str">
        <f t="shared" si="14"/>
        <v/>
      </c>
      <c r="I33" s="100"/>
      <c r="J33" s="156" t="str">
        <f t="shared" si="15"/>
        <v/>
      </c>
      <c r="K33" s="155" t="str">
        <f t="shared" si="16"/>
        <v/>
      </c>
      <c r="L33" s="100"/>
      <c r="M33" s="156" t="str">
        <f t="shared" ca="1" si="17"/>
        <v/>
      </c>
      <c r="N33" s="49"/>
      <c r="O33" s="49"/>
      <c r="P33" s="105" t="str">
        <f t="shared" si="18"/>
        <v/>
      </c>
      <c r="Q33" s="155" t="str">
        <f t="shared" si="19"/>
        <v/>
      </c>
      <c r="R33" s="100"/>
      <c r="S33" s="156" t="str">
        <f t="shared" ca="1" si="20"/>
        <v/>
      </c>
      <c r="T33" s="101"/>
      <c r="U33" s="101"/>
      <c r="V33" s="101"/>
      <c r="W33" s="144"/>
    </row>
    <row r="34" spans="1:23" ht="24" customHeight="1" x14ac:dyDescent="0.25">
      <c r="A34" s="90">
        <v>329</v>
      </c>
      <c r="B34" s="139" t="str">
        <f>IFERROR(IF(VLOOKUP(T_SuiviTw[[#This Row],[NumL]],T_suiviDi[#Data],COLUMN(T_suiviDi[[#This Row],[Nom]]),FALSE)&lt;&gt;"",VLOOKUP(T_SuiviTw[[#This Row],[NumL]],T_suiviDi[#Data],COLUMN(T_suiviDi[[#This Row],[Nom]]),FALSE),""),"")</f>
        <v/>
      </c>
      <c r="C34" s="139" t="str">
        <f>IFERROR(IF(VLOOKUP(T_SuiviTw[[#This Row],[NumL]],T_suiviDi[#Data],COLUMN(T_suiviDi[[#This Row],[Prénom]]),FALSE)&lt;&gt;"",VLOOKUP(T_SuiviTw[[#This Row],[NumL]],T_suiviDi[#Data],COLUMN(T_suiviDi[[#This Row],[Prénom]]),FALSE),""),"")</f>
        <v/>
      </c>
      <c r="D34" s="140" t="str">
        <f>IFERROR(IF(VLOOKUP(T_SuiviTw[[#This Row],[NumL]],T_suiviDi[#Data],COLUMN(T_suiviDi[[#This Row],[Email]]),FALSE)&lt;&gt;"",VLOOKUP(T_SuiviTw[[#This Row],[NumL]],T_suiviDi[#Data],COLUMN(T_suiviDi[[#This Row],[Email]]),FALSE),""),"")</f>
        <v/>
      </c>
      <c r="E34" s="141" t="str">
        <f>IFERROR(IF(VLOOKUP(T_SuiviTw[[#This Row],[NumL]],T_suiviDi[#Data],COLUMN(T_suiviDi[[#This Row],[Nom1]]),FALSE)&lt;&gt;"",VLOOKUP(T_SuiviTw[[#This Row],[NumL]],T_suiviDi[#Data],COLUMN(T_suiviDi[[#This Row],[Nom1]]),FALSE),""),"")</f>
        <v/>
      </c>
      <c r="F34" s="141" t="str">
        <f>IFERROR(IF(VLOOKUP(T_SuiviTw[[#This Row],[NumL]],T_suiviDi[#Data],COLUMN(T_suiviDi[[#This Row],[Prénom1]]),FALSE)&lt;&gt;"",VLOOKUP(T_SuiviTw[[#This Row],[NumL]],T_suiviDi[#Data],COLUMN(T_suiviDi[[#This Row],[Prénom1]]),FALSE),""),"")</f>
        <v/>
      </c>
      <c r="G34" s="141" t="str">
        <f>IFERROR(IF(VLOOKUP(T_SuiviTw[[#This Row],[NumL]],T_suiviDi[#Data],COLUMN(T_suiviDi[[#This Row],[Email1]]),FALSE)&lt;&gt;"",VLOOKUP(T_SuiviTw[[#This Row],[NumL]],T_suiviDi[#Data],COLUMN(T_suiviDi[[#This Row],[Email1]]),FALSE),""),"")</f>
        <v/>
      </c>
      <c r="H34" s="155" t="str">
        <f t="shared" si="14"/>
        <v/>
      </c>
      <c r="I34" s="100"/>
      <c r="J34" s="156" t="str">
        <f t="shared" si="15"/>
        <v/>
      </c>
      <c r="K34" s="155" t="str">
        <f t="shared" si="16"/>
        <v/>
      </c>
      <c r="L34" s="100"/>
      <c r="M34" s="156" t="str">
        <f t="shared" ca="1" si="17"/>
        <v/>
      </c>
      <c r="N34" s="49"/>
      <c r="O34" s="49"/>
      <c r="P34" s="105" t="str">
        <f t="shared" si="18"/>
        <v/>
      </c>
      <c r="Q34" s="155" t="str">
        <f t="shared" si="19"/>
        <v/>
      </c>
      <c r="R34" s="100"/>
      <c r="S34" s="156" t="str">
        <f t="shared" ca="1" si="20"/>
        <v/>
      </c>
      <c r="T34" s="101"/>
      <c r="U34" s="101"/>
      <c r="V34" s="101"/>
      <c r="W34" s="144"/>
    </row>
    <row r="35" spans="1:23" ht="24" customHeight="1" x14ac:dyDescent="0.25">
      <c r="A35" s="90">
        <v>258</v>
      </c>
      <c r="B35" s="19" t="str">
        <f>IFERROR(IF(VLOOKUP(T_SuiviTw[[#This Row],[NumL]],T_suiviDi[#Data],COLUMN(T_suiviDi[[#This Row],[Nom]]),FALSE)&lt;&gt;"",VLOOKUP(T_SuiviTw[[#This Row],[NumL]],T_suiviDi[#Data],COLUMN(T_suiviDi[[#This Row],[Nom]]),FALSE),""),"")</f>
        <v/>
      </c>
      <c r="C35" s="19" t="str">
        <f>IFERROR(IF(VLOOKUP(T_SuiviTw[[#This Row],[NumL]],T_suiviDi[#Data],COLUMN(T_suiviDi[[#This Row],[Prénom]]),FALSE)&lt;&gt;"",VLOOKUP(T_SuiviTw[[#This Row],[NumL]],T_suiviDi[#Data],COLUMN(T_suiviDi[[#This Row],[Prénom]]),FALSE),""),"")</f>
        <v/>
      </c>
      <c r="D35" s="20" t="str">
        <f>IFERROR(IF(VLOOKUP(T_SuiviTw[[#This Row],[NumL]],T_suiviDi[#Data],COLUMN(T_suiviDi[[#This Row],[Email]]),FALSE)&lt;&gt;"",VLOOKUP(T_SuiviTw[[#This Row],[NumL]],T_suiviDi[#Data],COLUMN(T_suiviDi[[#This Row],[Email]]),FALSE),""),"")</f>
        <v/>
      </c>
      <c r="E35" s="274" t="str">
        <f>IFERROR(IF(VLOOKUP(T_SuiviTw[[#This Row],[NumL]],T_suiviDi[#Data],COLUMN(T_suiviDi[[#This Row],[Nom1]]),FALSE)&lt;&gt;"",VLOOKUP(T_SuiviTw[[#This Row],[NumL]],T_suiviDi[#Data],COLUMN(T_suiviDi[[#This Row],[Nom1]]),FALSE),""),"")</f>
        <v/>
      </c>
      <c r="F35" s="274" t="str">
        <f>IFERROR(IF(VLOOKUP(T_SuiviTw[[#This Row],[NumL]],T_suiviDi[#Data],COLUMN(T_suiviDi[[#This Row],[Prénom1]]),FALSE)&lt;&gt;"",VLOOKUP(T_SuiviTw[[#This Row],[NumL]],T_suiviDi[#Data],COLUMN(T_suiviDi[[#This Row],[Prénom1]]),FALSE),""),"")</f>
        <v/>
      </c>
      <c r="G35" s="274" t="str">
        <f>IFERROR(IF(VLOOKUP(T_SuiviTw[[#This Row],[NumL]],T_suiviDi[#Data],COLUMN(T_suiviDi[[#This Row],[Email1]]),FALSE)&lt;&gt;"",VLOOKUP(T_SuiviTw[[#This Row],[NumL]],T_suiviDi[#Data],COLUMN(T_suiviDi[[#This Row],[Email1]]),FALSE),""),"")</f>
        <v/>
      </c>
      <c r="H35" s="275" t="str">
        <f t="shared" si="14"/>
        <v/>
      </c>
      <c r="I35" s="100"/>
      <c r="J35" s="156" t="str">
        <f t="shared" si="15"/>
        <v/>
      </c>
      <c r="K35" s="155" t="str">
        <f t="shared" si="16"/>
        <v/>
      </c>
      <c r="L35" s="100"/>
      <c r="M35" s="156" t="str">
        <f t="shared" ca="1" si="17"/>
        <v/>
      </c>
      <c r="N35" s="49"/>
      <c r="O35" s="49"/>
      <c r="P35" s="105" t="str">
        <f t="shared" si="18"/>
        <v/>
      </c>
      <c r="Q35" s="155" t="str">
        <f t="shared" si="19"/>
        <v/>
      </c>
      <c r="R35" s="100"/>
      <c r="S35" s="156" t="str">
        <f t="shared" ca="1" si="20"/>
        <v/>
      </c>
      <c r="T35" s="101"/>
      <c r="U35" s="101"/>
      <c r="V35" s="101"/>
      <c r="W35" s="144"/>
    </row>
    <row r="36" spans="1:23" ht="24" customHeight="1" x14ac:dyDescent="0.25">
      <c r="A36" s="90">
        <v>295</v>
      </c>
      <c r="B36" s="139" t="str">
        <f>IFERROR(IF(VLOOKUP(T_SuiviTw[[#This Row],[NumL]],T_suiviDi[#Data],COLUMN(T_suiviDi[[#This Row],[Nom]]),FALSE)&lt;&gt;"",VLOOKUP(T_SuiviTw[[#This Row],[NumL]],T_suiviDi[#Data],COLUMN(T_suiviDi[[#This Row],[Nom]]),FALSE),""),"")</f>
        <v/>
      </c>
      <c r="C36" s="139" t="str">
        <f>IFERROR(IF(VLOOKUP(T_SuiviTw[[#This Row],[NumL]],T_suiviDi[#Data],COLUMN(T_suiviDi[[#This Row],[Prénom]]),FALSE)&lt;&gt;"",VLOOKUP(T_SuiviTw[[#This Row],[NumL]],T_suiviDi[#Data],COLUMN(T_suiviDi[[#This Row],[Prénom]]),FALSE),""),"")</f>
        <v/>
      </c>
      <c r="D36" s="140" t="str">
        <f>IFERROR(IF(VLOOKUP(T_SuiviTw[[#This Row],[NumL]],T_suiviDi[#Data],COLUMN(T_suiviDi[[#This Row],[Email]]),FALSE)&lt;&gt;"",VLOOKUP(T_SuiviTw[[#This Row],[NumL]],T_suiviDi[#Data],COLUMN(T_suiviDi[[#This Row],[Email]]),FALSE),""),"")</f>
        <v/>
      </c>
      <c r="E36" s="141" t="str">
        <f>IFERROR(IF(VLOOKUP(T_SuiviTw[[#This Row],[NumL]],T_suiviDi[#Data],COLUMN(T_suiviDi[[#This Row],[Nom1]]),FALSE)&lt;&gt;"",VLOOKUP(T_SuiviTw[[#This Row],[NumL]],T_suiviDi[#Data],COLUMN(T_suiviDi[[#This Row],[Nom1]]),FALSE),""),"")</f>
        <v/>
      </c>
      <c r="F36" s="141" t="str">
        <f>IFERROR(IF(VLOOKUP(T_SuiviTw[[#This Row],[NumL]],T_suiviDi[#Data],COLUMN(T_suiviDi[[#This Row],[Prénom1]]),FALSE)&lt;&gt;"",VLOOKUP(T_SuiviTw[[#This Row],[NumL]],T_suiviDi[#Data],COLUMN(T_suiviDi[[#This Row],[Prénom1]]),FALSE),""),"")</f>
        <v/>
      </c>
      <c r="G36" s="141" t="str">
        <f>IFERROR(IF(VLOOKUP(T_SuiviTw[[#This Row],[NumL]],T_suiviDi[#Data],COLUMN(T_suiviDi[[#This Row],[Email1]]),FALSE)&lt;&gt;"",VLOOKUP(T_SuiviTw[[#This Row],[NumL]],T_suiviDi[#Data],COLUMN(T_suiviDi[[#This Row],[Email1]]),FALSE),""),"")</f>
        <v/>
      </c>
      <c r="H36" s="155" t="str">
        <f t="shared" si="14"/>
        <v/>
      </c>
      <c r="I36" s="100"/>
      <c r="J36" s="156" t="str">
        <f t="shared" si="15"/>
        <v/>
      </c>
      <c r="K36" s="155" t="str">
        <f t="shared" si="16"/>
        <v/>
      </c>
      <c r="L36" s="100"/>
      <c r="M36" s="156" t="str">
        <f t="shared" ca="1" si="17"/>
        <v/>
      </c>
      <c r="N36" s="49"/>
      <c r="O36" s="49"/>
      <c r="P36" s="105" t="str">
        <f t="shared" si="18"/>
        <v/>
      </c>
      <c r="Q36" s="155" t="str">
        <f t="shared" si="19"/>
        <v/>
      </c>
      <c r="R36" s="100"/>
      <c r="S36" s="156" t="str">
        <f t="shared" ca="1" si="20"/>
        <v/>
      </c>
      <c r="T36" s="101"/>
      <c r="U36" s="101"/>
      <c r="V36" s="101"/>
      <c r="W36" s="144"/>
    </row>
    <row r="37" spans="1:23" ht="24" customHeight="1" x14ac:dyDescent="0.25">
      <c r="A37" s="90">
        <v>71</v>
      </c>
      <c r="B37" s="19" t="str">
        <f>IFERROR(IF(VLOOKUP(T_SuiviTw[[#This Row],[NumL]],T_suiviDi[#Data],COLUMN(T_suiviDi[[#This Row],[Nom]]),FALSE)&lt;&gt;"",VLOOKUP(T_SuiviTw[[#This Row],[NumL]],T_suiviDi[#Data],COLUMN(T_suiviDi[[#This Row],[Nom]]),FALSE),""),"")</f>
        <v/>
      </c>
      <c r="C37" s="19" t="str">
        <f>IFERROR(IF(VLOOKUP(T_SuiviTw[[#This Row],[NumL]],T_suiviDi[#Data],COLUMN(T_suiviDi[[#This Row],[Prénom]]),FALSE)&lt;&gt;"",VLOOKUP(T_SuiviTw[[#This Row],[NumL]],T_suiviDi[#Data],COLUMN(T_suiviDi[[#This Row],[Prénom]]),FALSE),""),"")</f>
        <v/>
      </c>
      <c r="D37" s="20" t="str">
        <f>IFERROR(IF(VLOOKUP(T_SuiviTw[[#This Row],[NumL]],T_suiviDi[#Data],COLUMN(T_suiviDi[[#This Row],[Email]]),FALSE)&lt;&gt;"",VLOOKUP(T_SuiviTw[[#This Row],[NumL]],T_suiviDi[#Data],COLUMN(T_suiviDi[[#This Row],[Email]]),FALSE),""),"")</f>
        <v/>
      </c>
      <c r="E37" s="274" t="str">
        <f>IFERROR(IF(VLOOKUP(T_SuiviTw[[#This Row],[NumL]],T_suiviDi[#Data],COLUMN(T_suiviDi[[#This Row],[Nom1]]),FALSE)&lt;&gt;"",VLOOKUP(T_SuiviTw[[#This Row],[NumL]],T_suiviDi[#Data],COLUMN(T_suiviDi[[#This Row],[Nom1]]),FALSE),""),"")</f>
        <v/>
      </c>
      <c r="F37" s="274" t="str">
        <f>IFERROR(IF(VLOOKUP(T_SuiviTw[[#This Row],[NumL]],T_suiviDi[#Data],COLUMN(T_suiviDi[[#This Row],[Prénom1]]),FALSE)&lt;&gt;"",VLOOKUP(T_SuiviTw[[#This Row],[NumL]],T_suiviDi[#Data],COLUMN(T_suiviDi[[#This Row],[Prénom1]]),FALSE),""),"")</f>
        <v/>
      </c>
      <c r="G37" s="274" t="str">
        <f>IFERROR(IF(VLOOKUP(T_SuiviTw[[#This Row],[NumL]],T_suiviDi[#Data],COLUMN(T_suiviDi[[#This Row],[Email1]]),FALSE)&lt;&gt;"",VLOOKUP(T_SuiviTw[[#This Row],[NumL]],T_suiviDi[#Data],COLUMN(T_suiviDi[[#This Row],[Email1]]),FALSE),""),"")</f>
        <v/>
      </c>
      <c r="H37" s="275" t="str">
        <f t="shared" si="14"/>
        <v/>
      </c>
      <c r="I37" s="100"/>
      <c r="J37" s="156" t="str">
        <f t="shared" si="15"/>
        <v/>
      </c>
      <c r="K37" s="155" t="str">
        <f t="shared" si="16"/>
        <v/>
      </c>
      <c r="L37" s="100"/>
      <c r="M37" s="156" t="str">
        <f t="shared" ca="1" si="17"/>
        <v/>
      </c>
      <c r="N37" s="49"/>
      <c r="O37" s="49"/>
      <c r="P37" s="105" t="str">
        <f t="shared" si="18"/>
        <v/>
      </c>
      <c r="Q37" s="155" t="str">
        <f t="shared" si="19"/>
        <v/>
      </c>
      <c r="R37" s="100"/>
      <c r="S37" s="156" t="str">
        <f t="shared" ca="1" si="20"/>
        <v/>
      </c>
      <c r="T37" s="101"/>
      <c r="U37" s="101"/>
      <c r="V37" s="101"/>
      <c r="W37" s="144"/>
    </row>
    <row r="38" spans="1:23" ht="24" customHeight="1" x14ac:dyDescent="0.25">
      <c r="A38" s="90">
        <v>126</v>
      </c>
      <c r="B38" s="19" t="str">
        <f>IFERROR(IF(VLOOKUP(T_SuiviTw[[#This Row],[NumL]],T_suiviDi[#Data],COLUMN(T_suiviDi[[#This Row],[Nom]]),FALSE)&lt;&gt;"",VLOOKUP(T_SuiviTw[[#This Row],[NumL]],T_suiviDi[#Data],COLUMN(T_suiviDi[[#This Row],[Nom]]),FALSE),""),"")</f>
        <v/>
      </c>
      <c r="C38" s="19" t="str">
        <f>IFERROR(IF(VLOOKUP(T_SuiviTw[[#This Row],[NumL]],T_suiviDi[#Data],COLUMN(T_suiviDi[[#This Row],[Prénom]]),FALSE)&lt;&gt;"",VLOOKUP(T_SuiviTw[[#This Row],[NumL]],T_suiviDi[#Data],COLUMN(T_suiviDi[[#This Row],[Prénom]]),FALSE),""),"")</f>
        <v/>
      </c>
      <c r="D38" s="20" t="str">
        <f>IFERROR(IF(VLOOKUP(T_SuiviTw[[#This Row],[NumL]],T_suiviDi[#Data],COLUMN(T_suiviDi[[#This Row],[Email]]),FALSE)&lt;&gt;"",VLOOKUP(T_SuiviTw[[#This Row],[NumL]],T_suiviDi[#Data],COLUMN(T_suiviDi[[#This Row],[Email]]),FALSE),""),"")</f>
        <v/>
      </c>
      <c r="E38" s="274" t="str">
        <f>IFERROR(IF(VLOOKUP(T_SuiviTw[[#This Row],[NumL]],T_suiviDi[#Data],COLUMN(T_suiviDi[[#This Row],[Nom1]]),FALSE)&lt;&gt;"",VLOOKUP(T_SuiviTw[[#This Row],[NumL]],T_suiviDi[#Data],COLUMN(T_suiviDi[[#This Row],[Nom1]]),FALSE),""),"")</f>
        <v/>
      </c>
      <c r="F38" s="274" t="str">
        <f>IFERROR(IF(VLOOKUP(T_SuiviTw[[#This Row],[NumL]],T_suiviDi[#Data],COLUMN(T_suiviDi[[#This Row],[Prénom1]]),FALSE)&lt;&gt;"",VLOOKUP(T_SuiviTw[[#This Row],[NumL]],T_suiviDi[#Data],COLUMN(T_suiviDi[[#This Row],[Prénom1]]),FALSE),""),"")</f>
        <v/>
      </c>
      <c r="G38" s="274" t="str">
        <f>IFERROR(IF(VLOOKUP(T_SuiviTw[[#This Row],[NumL]],T_suiviDi[#Data],COLUMN(T_suiviDi[[#This Row],[Email1]]),FALSE)&lt;&gt;"",VLOOKUP(T_SuiviTw[[#This Row],[NumL]],T_suiviDi[#Data],COLUMN(T_suiviDi[[#This Row],[Email1]]),FALSE),""),"")</f>
        <v/>
      </c>
      <c r="H38" s="275" t="str">
        <f t="shared" si="14"/>
        <v/>
      </c>
      <c r="I38" s="100"/>
      <c r="J38" s="156" t="str">
        <f t="shared" si="15"/>
        <v/>
      </c>
      <c r="K38" s="155" t="str">
        <f t="shared" si="16"/>
        <v/>
      </c>
      <c r="L38" s="100"/>
      <c r="M38" s="156" t="str">
        <f t="shared" ca="1" si="17"/>
        <v/>
      </c>
      <c r="N38" s="49"/>
      <c r="O38" s="49"/>
      <c r="P38" s="105" t="str">
        <f t="shared" si="18"/>
        <v/>
      </c>
      <c r="Q38" s="155" t="str">
        <f t="shared" si="19"/>
        <v/>
      </c>
      <c r="R38" s="100"/>
      <c r="S38" s="156" t="str">
        <f t="shared" ca="1" si="20"/>
        <v/>
      </c>
      <c r="T38" s="101"/>
      <c r="U38" s="101"/>
      <c r="V38" s="101"/>
      <c r="W38" s="144"/>
    </row>
    <row r="39" spans="1:23" ht="24" customHeight="1" x14ac:dyDescent="0.25">
      <c r="A39" s="90">
        <v>350</v>
      </c>
      <c r="B39" s="139" t="str">
        <f>IFERROR(IF(VLOOKUP(T_SuiviTw[[#This Row],[NumL]],T_suiviDi[#Data],COLUMN(T_suiviDi[[#This Row],[Nom]]),FALSE)&lt;&gt;"",VLOOKUP(T_SuiviTw[[#This Row],[NumL]],T_suiviDi[#Data],COLUMN(T_suiviDi[[#This Row],[Nom]]),FALSE),""),"")</f>
        <v/>
      </c>
      <c r="C39" s="139" t="str">
        <f>IFERROR(IF(VLOOKUP(T_SuiviTw[[#This Row],[NumL]],T_suiviDi[#Data],COLUMN(T_suiviDi[[#This Row],[Prénom]]),FALSE)&lt;&gt;"",VLOOKUP(T_SuiviTw[[#This Row],[NumL]],T_suiviDi[#Data],COLUMN(T_suiviDi[[#This Row],[Prénom]]),FALSE),""),"")</f>
        <v/>
      </c>
      <c r="D39" s="140" t="str">
        <f>IFERROR(IF(VLOOKUP(T_SuiviTw[[#This Row],[NumL]],T_suiviDi[#Data],COLUMN(T_suiviDi[[#This Row],[Email]]),FALSE)&lt;&gt;"",VLOOKUP(T_SuiviTw[[#This Row],[NumL]],T_suiviDi[#Data],COLUMN(T_suiviDi[[#This Row],[Email]]),FALSE),""),"")</f>
        <v/>
      </c>
      <c r="E39" s="141" t="str">
        <f>IFERROR(IF(VLOOKUP(T_SuiviTw[[#This Row],[NumL]],T_suiviDi[#Data],COLUMN(T_suiviDi[[#This Row],[Nom1]]),FALSE)&lt;&gt;"",VLOOKUP(T_SuiviTw[[#This Row],[NumL]],T_suiviDi[#Data],COLUMN(T_suiviDi[[#This Row],[Nom1]]),FALSE),""),"")</f>
        <v/>
      </c>
      <c r="F39" s="141" t="str">
        <f>IFERROR(IF(VLOOKUP(T_SuiviTw[[#This Row],[NumL]],T_suiviDi[#Data],COLUMN(T_suiviDi[[#This Row],[Prénom1]]),FALSE)&lt;&gt;"",VLOOKUP(T_SuiviTw[[#This Row],[NumL]],T_suiviDi[#Data],COLUMN(T_suiviDi[[#This Row],[Prénom1]]),FALSE),""),"")</f>
        <v/>
      </c>
      <c r="G39" s="141" t="str">
        <f>IFERROR(IF(VLOOKUP(T_SuiviTw[[#This Row],[NumL]],T_suiviDi[#Data],COLUMN(T_suiviDi[[#This Row],[Email1]]),FALSE)&lt;&gt;"",VLOOKUP(T_SuiviTw[[#This Row],[NumL]],T_suiviDi[#Data],COLUMN(T_suiviDi[[#This Row],[Email1]]),FALSE),""),"")</f>
        <v/>
      </c>
      <c r="H39" s="155" t="str">
        <f t="shared" si="14"/>
        <v/>
      </c>
      <c r="I39" s="100"/>
      <c r="J39" s="156" t="str">
        <f t="shared" si="15"/>
        <v/>
      </c>
      <c r="K39" s="155" t="str">
        <f t="shared" si="16"/>
        <v/>
      </c>
      <c r="L39" s="100"/>
      <c r="M39" s="156" t="str">
        <f t="shared" ca="1" si="17"/>
        <v/>
      </c>
      <c r="N39" s="49"/>
      <c r="O39" s="49"/>
      <c r="P39" s="105" t="str">
        <f t="shared" si="18"/>
        <v/>
      </c>
      <c r="Q39" s="155" t="str">
        <f t="shared" si="19"/>
        <v/>
      </c>
      <c r="R39" s="100"/>
      <c r="S39" s="156" t="str">
        <f t="shared" ca="1" si="20"/>
        <v/>
      </c>
      <c r="T39" s="101"/>
      <c r="U39" s="101"/>
      <c r="V39" s="101"/>
      <c r="W39" s="144"/>
    </row>
    <row r="40" spans="1:23" ht="24" customHeight="1" x14ac:dyDescent="0.25">
      <c r="A40" s="90">
        <v>205</v>
      </c>
      <c r="B40" s="19" t="str">
        <f>IFERROR(IF(VLOOKUP(T_SuiviTw[[#This Row],[NumL]],T_suiviDi[#Data],COLUMN(T_suiviDi[[#This Row],[Nom]]),FALSE)&lt;&gt;"",VLOOKUP(T_SuiviTw[[#This Row],[NumL]],T_suiviDi[#Data],COLUMN(T_suiviDi[[#This Row],[Nom]]),FALSE),""),"")</f>
        <v/>
      </c>
      <c r="C40" s="19" t="str">
        <f>IFERROR(IF(VLOOKUP(T_SuiviTw[[#This Row],[NumL]],T_suiviDi[#Data],COLUMN(T_suiviDi[[#This Row],[Prénom]]),FALSE)&lt;&gt;"",VLOOKUP(T_SuiviTw[[#This Row],[NumL]],T_suiviDi[#Data],COLUMN(T_suiviDi[[#This Row],[Prénom]]),FALSE),""),"")</f>
        <v/>
      </c>
      <c r="D40" s="20" t="str">
        <f>IFERROR(IF(VLOOKUP(T_SuiviTw[[#This Row],[NumL]],T_suiviDi[#Data],COLUMN(T_suiviDi[[#This Row],[Email]]),FALSE)&lt;&gt;"",VLOOKUP(T_SuiviTw[[#This Row],[NumL]],T_suiviDi[#Data],COLUMN(T_suiviDi[[#This Row],[Email]]),FALSE),""),"")</f>
        <v/>
      </c>
      <c r="E40" s="274" t="str">
        <f>IFERROR(IF(VLOOKUP(T_SuiviTw[[#This Row],[NumL]],T_suiviDi[#Data],COLUMN(T_suiviDi[[#This Row],[Nom1]]),FALSE)&lt;&gt;"",VLOOKUP(T_SuiviTw[[#This Row],[NumL]],T_suiviDi[#Data],COLUMN(T_suiviDi[[#This Row],[Nom1]]),FALSE),""),"")</f>
        <v/>
      </c>
      <c r="F40" s="274" t="str">
        <f>IFERROR(IF(VLOOKUP(T_SuiviTw[[#This Row],[NumL]],T_suiviDi[#Data],COLUMN(T_suiviDi[[#This Row],[Prénom1]]),FALSE)&lt;&gt;"",VLOOKUP(T_SuiviTw[[#This Row],[NumL]],T_suiviDi[#Data],COLUMN(T_suiviDi[[#This Row],[Prénom1]]),FALSE),""),"")</f>
        <v/>
      </c>
      <c r="G40" s="274" t="str">
        <f>IFERROR(IF(VLOOKUP(T_SuiviTw[[#This Row],[NumL]],T_suiviDi[#Data],COLUMN(T_suiviDi[[#This Row],[Email1]]),FALSE)&lt;&gt;"",VLOOKUP(T_SuiviTw[[#This Row],[NumL]],T_suiviDi[#Data],COLUMN(T_suiviDi[[#This Row],[Email1]]),FALSE),""),"")</f>
        <v/>
      </c>
      <c r="H40" s="275" t="str">
        <f t="shared" si="14"/>
        <v/>
      </c>
      <c r="I40" s="100"/>
      <c r="J40" s="156" t="str">
        <f t="shared" si="15"/>
        <v/>
      </c>
      <c r="K40" s="155" t="str">
        <f t="shared" si="16"/>
        <v/>
      </c>
      <c r="L40" s="100"/>
      <c r="M40" s="156" t="str">
        <f t="shared" ca="1" si="17"/>
        <v/>
      </c>
      <c r="N40" s="49"/>
      <c r="O40" s="49"/>
      <c r="P40" s="105" t="str">
        <f t="shared" si="18"/>
        <v/>
      </c>
      <c r="Q40" s="155" t="str">
        <f t="shared" si="19"/>
        <v/>
      </c>
      <c r="R40" s="100"/>
      <c r="S40" s="156" t="str">
        <f t="shared" ca="1" si="20"/>
        <v/>
      </c>
      <c r="T40" s="101"/>
      <c r="U40" s="101"/>
      <c r="V40" s="101"/>
      <c r="W40" s="144"/>
    </row>
    <row r="41" spans="1:23" ht="24" customHeight="1" x14ac:dyDescent="0.25">
      <c r="A41" s="90">
        <v>145</v>
      </c>
      <c r="B41" s="19" t="str">
        <f>IFERROR(IF(VLOOKUP(T_SuiviTw[[#This Row],[NumL]],T_suiviDi[#Data],COLUMN(T_suiviDi[[#This Row],[Nom]]),FALSE)&lt;&gt;"",VLOOKUP(T_SuiviTw[[#This Row],[NumL]],T_suiviDi[#Data],COLUMN(T_suiviDi[[#This Row],[Nom]]),FALSE),""),"")</f>
        <v/>
      </c>
      <c r="C41" s="19" t="str">
        <f>IFERROR(IF(VLOOKUP(T_SuiviTw[[#This Row],[NumL]],T_suiviDi[#Data],COLUMN(T_suiviDi[[#This Row],[Prénom]]),FALSE)&lt;&gt;"",VLOOKUP(T_SuiviTw[[#This Row],[NumL]],T_suiviDi[#Data],COLUMN(T_suiviDi[[#This Row],[Prénom]]),FALSE),""),"")</f>
        <v/>
      </c>
      <c r="D41" s="20" t="str">
        <f>IFERROR(IF(VLOOKUP(T_SuiviTw[[#This Row],[NumL]],T_suiviDi[#Data],COLUMN(T_suiviDi[[#This Row],[Email]]),FALSE)&lt;&gt;"",VLOOKUP(T_SuiviTw[[#This Row],[NumL]],T_suiviDi[#Data],COLUMN(T_suiviDi[[#This Row],[Email]]),FALSE),""),"")</f>
        <v/>
      </c>
      <c r="E41" s="274" t="str">
        <f>IFERROR(IF(VLOOKUP(T_SuiviTw[[#This Row],[NumL]],T_suiviDi[#Data],COLUMN(T_suiviDi[[#This Row],[Nom1]]),FALSE)&lt;&gt;"",VLOOKUP(T_SuiviTw[[#This Row],[NumL]],T_suiviDi[#Data],COLUMN(T_suiviDi[[#This Row],[Nom1]]),FALSE),""),"")</f>
        <v/>
      </c>
      <c r="F41" s="274" t="str">
        <f>IFERROR(IF(VLOOKUP(T_SuiviTw[[#This Row],[NumL]],T_suiviDi[#Data],COLUMN(T_suiviDi[[#This Row],[Prénom1]]),FALSE)&lt;&gt;"",VLOOKUP(T_SuiviTw[[#This Row],[NumL]],T_suiviDi[#Data],COLUMN(T_suiviDi[[#This Row],[Prénom1]]),FALSE),""),"")</f>
        <v/>
      </c>
      <c r="G41" s="274" t="str">
        <f>IFERROR(IF(VLOOKUP(T_SuiviTw[[#This Row],[NumL]],T_suiviDi[#Data],COLUMN(T_suiviDi[[#This Row],[Email1]]),FALSE)&lt;&gt;"",VLOOKUP(T_SuiviTw[[#This Row],[NumL]],T_suiviDi[#Data],COLUMN(T_suiviDi[[#This Row],[Email1]]),FALSE),""),"")</f>
        <v/>
      </c>
      <c r="H41" s="275" t="str">
        <f t="shared" si="14"/>
        <v/>
      </c>
      <c r="I41" s="100"/>
      <c r="J41" s="156" t="str">
        <f t="shared" si="15"/>
        <v/>
      </c>
      <c r="K41" s="155" t="str">
        <f t="shared" si="16"/>
        <v/>
      </c>
      <c r="L41" s="100"/>
      <c r="M41" s="156" t="str">
        <f t="shared" ca="1" si="17"/>
        <v/>
      </c>
      <c r="N41" s="49"/>
      <c r="O41" s="49"/>
      <c r="P41" s="105" t="str">
        <f t="shared" si="18"/>
        <v/>
      </c>
      <c r="Q41" s="155" t="str">
        <f t="shared" si="19"/>
        <v/>
      </c>
      <c r="R41" s="100"/>
      <c r="S41" s="156" t="str">
        <f t="shared" ca="1" si="20"/>
        <v/>
      </c>
      <c r="T41" s="101"/>
      <c r="U41" s="101"/>
      <c r="V41" s="101"/>
      <c r="W41" s="144"/>
    </row>
    <row r="42" spans="1:23" ht="24" customHeight="1" x14ac:dyDescent="0.25">
      <c r="A42" s="90">
        <v>231</v>
      </c>
      <c r="B42" s="19" t="str">
        <f>IFERROR(IF(VLOOKUP(T_SuiviTw[[#This Row],[NumL]],T_suiviDi[#Data],COLUMN(T_suiviDi[[#This Row],[Nom]]),FALSE)&lt;&gt;"",VLOOKUP(T_SuiviTw[[#This Row],[NumL]],T_suiviDi[#Data],COLUMN(T_suiviDi[[#This Row],[Nom]]),FALSE),""),"")</f>
        <v/>
      </c>
      <c r="C42" s="19" t="str">
        <f>IFERROR(IF(VLOOKUP(T_SuiviTw[[#This Row],[NumL]],T_suiviDi[#Data],COLUMN(T_suiviDi[[#This Row],[Prénom]]),FALSE)&lt;&gt;"",VLOOKUP(T_SuiviTw[[#This Row],[NumL]],T_suiviDi[#Data],COLUMN(T_suiviDi[[#This Row],[Prénom]]),FALSE),""),"")</f>
        <v/>
      </c>
      <c r="D42" s="20" t="str">
        <f>IFERROR(IF(VLOOKUP(T_SuiviTw[[#This Row],[NumL]],T_suiviDi[#Data],COLUMN(T_suiviDi[[#This Row],[Email]]),FALSE)&lt;&gt;"",VLOOKUP(T_SuiviTw[[#This Row],[NumL]],T_suiviDi[#Data],COLUMN(T_suiviDi[[#This Row],[Email]]),FALSE),""),"")</f>
        <v/>
      </c>
      <c r="E42" s="274" t="str">
        <f>IFERROR(IF(VLOOKUP(T_SuiviTw[[#This Row],[NumL]],T_suiviDi[#Data],COLUMN(T_suiviDi[[#This Row],[Nom1]]),FALSE)&lt;&gt;"",VLOOKUP(T_SuiviTw[[#This Row],[NumL]],T_suiviDi[#Data],COLUMN(T_suiviDi[[#This Row],[Nom1]]),FALSE),""),"")</f>
        <v/>
      </c>
      <c r="F42" s="274" t="str">
        <f>IFERROR(IF(VLOOKUP(T_SuiviTw[[#This Row],[NumL]],T_suiviDi[#Data],COLUMN(T_suiviDi[[#This Row],[Prénom1]]),FALSE)&lt;&gt;"",VLOOKUP(T_SuiviTw[[#This Row],[NumL]],T_suiviDi[#Data],COLUMN(T_suiviDi[[#This Row],[Prénom1]]),FALSE),""),"")</f>
        <v/>
      </c>
      <c r="G42" s="274" t="str">
        <f>IFERROR(IF(VLOOKUP(T_SuiviTw[[#This Row],[NumL]],T_suiviDi[#Data],COLUMN(T_suiviDi[[#This Row],[Email1]]),FALSE)&lt;&gt;"",VLOOKUP(T_SuiviTw[[#This Row],[NumL]],T_suiviDi[#Data],COLUMN(T_suiviDi[[#This Row],[Email1]]),FALSE),""),"")</f>
        <v/>
      </c>
      <c r="H42" s="275" t="str">
        <f t="shared" si="14"/>
        <v/>
      </c>
      <c r="I42" s="100"/>
      <c r="J42" s="156" t="str">
        <f t="shared" si="15"/>
        <v/>
      </c>
      <c r="K42" s="155" t="str">
        <f t="shared" si="16"/>
        <v/>
      </c>
      <c r="L42" s="100"/>
      <c r="M42" s="156" t="str">
        <f t="shared" ca="1" si="17"/>
        <v/>
      </c>
      <c r="N42" s="49"/>
      <c r="O42" s="49"/>
      <c r="P42" s="105" t="str">
        <f t="shared" si="18"/>
        <v/>
      </c>
      <c r="Q42" s="155" t="str">
        <f t="shared" si="19"/>
        <v/>
      </c>
      <c r="R42" s="100"/>
      <c r="S42" s="156" t="str">
        <f t="shared" ca="1" si="20"/>
        <v/>
      </c>
      <c r="T42" s="101"/>
      <c r="U42" s="101"/>
      <c r="V42" s="101"/>
      <c r="W42" s="144"/>
    </row>
    <row r="43" spans="1:23" ht="24" customHeight="1" x14ac:dyDescent="0.25">
      <c r="A43" s="90">
        <v>247</v>
      </c>
      <c r="B43" s="19" t="str">
        <f>IFERROR(IF(VLOOKUP(T_SuiviTw[[#This Row],[NumL]],T_suiviDi[#Data],COLUMN(T_suiviDi[[#This Row],[Nom]]),FALSE)&lt;&gt;"",VLOOKUP(T_SuiviTw[[#This Row],[NumL]],T_suiviDi[#Data],COLUMN(T_suiviDi[[#This Row],[Nom]]),FALSE),""),"")</f>
        <v/>
      </c>
      <c r="C43" s="19" t="str">
        <f>IFERROR(IF(VLOOKUP(T_SuiviTw[[#This Row],[NumL]],T_suiviDi[#Data],COLUMN(T_suiviDi[[#This Row],[Prénom]]),FALSE)&lt;&gt;"",VLOOKUP(T_SuiviTw[[#This Row],[NumL]],T_suiviDi[#Data],COLUMN(T_suiviDi[[#This Row],[Prénom]]),FALSE),""),"")</f>
        <v/>
      </c>
      <c r="D43" s="20" t="str">
        <f>IFERROR(IF(VLOOKUP(T_SuiviTw[[#This Row],[NumL]],T_suiviDi[#Data],COLUMN(T_suiviDi[[#This Row],[Email]]),FALSE)&lt;&gt;"",VLOOKUP(T_SuiviTw[[#This Row],[NumL]],T_suiviDi[#Data],COLUMN(T_suiviDi[[#This Row],[Email]]),FALSE),""),"")</f>
        <v/>
      </c>
      <c r="E43" s="274" t="str">
        <f>IFERROR(IF(VLOOKUP(T_SuiviTw[[#This Row],[NumL]],T_suiviDi[#Data],COLUMN(T_suiviDi[[#This Row],[Nom1]]),FALSE)&lt;&gt;"",VLOOKUP(T_SuiviTw[[#This Row],[NumL]],T_suiviDi[#Data],COLUMN(T_suiviDi[[#This Row],[Nom1]]),FALSE),""),"")</f>
        <v/>
      </c>
      <c r="F43" s="274" t="str">
        <f>IFERROR(IF(VLOOKUP(T_SuiviTw[[#This Row],[NumL]],T_suiviDi[#Data],COLUMN(T_suiviDi[[#This Row],[Prénom1]]),FALSE)&lt;&gt;"",VLOOKUP(T_SuiviTw[[#This Row],[NumL]],T_suiviDi[#Data],COLUMN(T_suiviDi[[#This Row],[Prénom1]]),FALSE),""),"")</f>
        <v/>
      </c>
      <c r="G43" s="274" t="str">
        <f>IFERROR(IF(VLOOKUP(T_SuiviTw[[#This Row],[NumL]],T_suiviDi[#Data],COLUMN(T_suiviDi[[#This Row],[Email1]]),FALSE)&lt;&gt;"",VLOOKUP(T_SuiviTw[[#This Row],[NumL]],T_suiviDi[#Data],COLUMN(T_suiviDi[[#This Row],[Email1]]),FALSE),""),"")</f>
        <v/>
      </c>
      <c r="H43" s="275" t="str">
        <f t="shared" si="14"/>
        <v/>
      </c>
      <c r="I43" s="100"/>
      <c r="J43" s="156" t="str">
        <f t="shared" si="15"/>
        <v/>
      </c>
      <c r="K43" s="155" t="str">
        <f t="shared" si="16"/>
        <v/>
      </c>
      <c r="L43" s="100"/>
      <c r="M43" s="156" t="str">
        <f t="shared" ca="1" si="17"/>
        <v/>
      </c>
      <c r="N43" s="49"/>
      <c r="O43" s="49"/>
      <c r="P43" s="105" t="str">
        <f t="shared" si="18"/>
        <v/>
      </c>
      <c r="Q43" s="155" t="str">
        <f t="shared" si="19"/>
        <v/>
      </c>
      <c r="R43" s="100"/>
      <c r="S43" s="156" t="str">
        <f t="shared" ca="1" si="20"/>
        <v/>
      </c>
      <c r="T43" s="101"/>
      <c r="U43" s="101"/>
      <c r="V43" s="101"/>
      <c r="W43" s="144"/>
    </row>
    <row r="44" spans="1:23" ht="24" customHeight="1" x14ac:dyDescent="0.25">
      <c r="A44" s="90">
        <v>84</v>
      </c>
      <c r="B44" s="19" t="str">
        <f>IFERROR(IF(VLOOKUP(T_SuiviTw[[#This Row],[NumL]],T_suiviDi[#Data],COLUMN(T_suiviDi[[#This Row],[Nom]]),FALSE)&lt;&gt;"",VLOOKUP(T_SuiviTw[[#This Row],[NumL]],T_suiviDi[#Data],COLUMN(T_suiviDi[[#This Row],[Nom]]),FALSE),""),"")</f>
        <v/>
      </c>
      <c r="C44" s="19" t="str">
        <f>IFERROR(IF(VLOOKUP(T_SuiviTw[[#This Row],[NumL]],T_suiviDi[#Data],COLUMN(T_suiviDi[[#This Row],[Prénom]]),FALSE)&lt;&gt;"",VLOOKUP(T_SuiviTw[[#This Row],[NumL]],T_suiviDi[#Data],COLUMN(T_suiviDi[[#This Row],[Prénom]]),FALSE),""),"")</f>
        <v/>
      </c>
      <c r="D44" s="20" t="str">
        <f>IFERROR(IF(VLOOKUP(T_SuiviTw[[#This Row],[NumL]],T_suiviDi[#Data],COLUMN(T_suiviDi[[#This Row],[Email]]),FALSE)&lt;&gt;"",VLOOKUP(T_SuiviTw[[#This Row],[NumL]],T_suiviDi[#Data],COLUMN(T_suiviDi[[#This Row],[Email]]),FALSE),""),"")</f>
        <v/>
      </c>
      <c r="E44" s="274" t="str">
        <f>IFERROR(IF(VLOOKUP(T_SuiviTw[[#This Row],[NumL]],T_suiviDi[#Data],COLUMN(T_suiviDi[[#This Row],[Nom1]]),FALSE)&lt;&gt;"",VLOOKUP(T_SuiviTw[[#This Row],[NumL]],T_suiviDi[#Data],COLUMN(T_suiviDi[[#This Row],[Nom1]]),FALSE),""),"")</f>
        <v/>
      </c>
      <c r="F44" s="274" t="str">
        <f>IFERROR(IF(VLOOKUP(T_SuiviTw[[#This Row],[NumL]],T_suiviDi[#Data],COLUMN(T_suiviDi[[#This Row],[Prénom1]]),FALSE)&lt;&gt;"",VLOOKUP(T_SuiviTw[[#This Row],[NumL]],T_suiviDi[#Data],COLUMN(T_suiviDi[[#This Row],[Prénom1]]),FALSE),""),"")</f>
        <v/>
      </c>
      <c r="G44" s="274" t="str">
        <f>IFERROR(IF(VLOOKUP(T_SuiviTw[[#This Row],[NumL]],T_suiviDi[#Data],COLUMN(T_suiviDi[[#This Row],[Email1]]),FALSE)&lt;&gt;"",VLOOKUP(T_SuiviTw[[#This Row],[NumL]],T_suiviDi[#Data],COLUMN(T_suiviDi[[#This Row],[Email1]]),FALSE),""),"")</f>
        <v/>
      </c>
      <c r="H44" s="275" t="str">
        <f t="shared" si="14"/>
        <v/>
      </c>
      <c r="I44" s="100"/>
      <c r="J44" s="156" t="str">
        <f t="shared" si="15"/>
        <v/>
      </c>
      <c r="K44" s="155" t="str">
        <f t="shared" si="16"/>
        <v/>
      </c>
      <c r="L44" s="100"/>
      <c r="M44" s="156" t="str">
        <f t="shared" ca="1" si="17"/>
        <v/>
      </c>
      <c r="N44" s="49"/>
      <c r="O44" s="49"/>
      <c r="P44" s="105" t="str">
        <f t="shared" si="18"/>
        <v/>
      </c>
      <c r="Q44" s="155" t="str">
        <f t="shared" si="19"/>
        <v/>
      </c>
      <c r="R44" s="100"/>
      <c r="S44" s="156" t="str">
        <f t="shared" ca="1" si="20"/>
        <v/>
      </c>
      <c r="T44" s="101"/>
      <c r="U44" s="101"/>
      <c r="V44" s="101"/>
      <c r="W44" s="144"/>
    </row>
    <row r="45" spans="1:23" ht="24" customHeight="1" x14ac:dyDescent="0.25">
      <c r="A45" s="90">
        <v>69</v>
      </c>
      <c r="B45" s="19" t="str">
        <f>IFERROR(IF(VLOOKUP(T_SuiviTw[[#This Row],[NumL]],T_suiviDi[#Data],COLUMN(T_suiviDi[[#This Row],[Nom]]),FALSE)&lt;&gt;"",VLOOKUP(T_SuiviTw[[#This Row],[NumL]],T_suiviDi[#Data],COLUMN(T_suiviDi[[#This Row],[Nom]]),FALSE),""),"")</f>
        <v/>
      </c>
      <c r="C45" s="19" t="str">
        <f>IFERROR(IF(VLOOKUP(T_SuiviTw[[#This Row],[NumL]],T_suiviDi[#Data],COLUMN(T_suiviDi[[#This Row],[Prénom]]),FALSE)&lt;&gt;"",VLOOKUP(T_SuiviTw[[#This Row],[NumL]],T_suiviDi[#Data],COLUMN(T_suiviDi[[#This Row],[Prénom]]),FALSE),""),"")</f>
        <v/>
      </c>
      <c r="D45" s="20" t="str">
        <f>IFERROR(IF(VLOOKUP(T_SuiviTw[[#This Row],[NumL]],T_suiviDi[#Data],COLUMN(T_suiviDi[[#This Row],[Email]]),FALSE)&lt;&gt;"",VLOOKUP(T_SuiviTw[[#This Row],[NumL]],T_suiviDi[#Data],COLUMN(T_suiviDi[[#This Row],[Email]]),FALSE),""),"")</f>
        <v/>
      </c>
      <c r="E45" s="274" t="str">
        <f>IFERROR(IF(VLOOKUP(T_SuiviTw[[#This Row],[NumL]],T_suiviDi[#Data],COLUMN(T_suiviDi[[#This Row],[Nom1]]),FALSE)&lt;&gt;"",VLOOKUP(T_SuiviTw[[#This Row],[NumL]],T_suiviDi[#Data],COLUMN(T_suiviDi[[#This Row],[Nom1]]),FALSE),""),"")</f>
        <v/>
      </c>
      <c r="F45" s="274" t="str">
        <f>IFERROR(IF(VLOOKUP(T_SuiviTw[[#This Row],[NumL]],T_suiviDi[#Data],COLUMN(T_suiviDi[[#This Row],[Prénom1]]),FALSE)&lt;&gt;"",VLOOKUP(T_SuiviTw[[#This Row],[NumL]],T_suiviDi[#Data],COLUMN(T_suiviDi[[#This Row],[Prénom1]]),FALSE),""),"")</f>
        <v/>
      </c>
      <c r="G45" s="274" t="str">
        <f>IFERROR(IF(VLOOKUP(T_SuiviTw[[#This Row],[NumL]],T_suiviDi[#Data],COLUMN(T_suiviDi[[#This Row],[Email1]]),FALSE)&lt;&gt;"",VLOOKUP(T_SuiviTw[[#This Row],[NumL]],T_suiviDi[#Data],COLUMN(T_suiviDi[[#This Row],[Email1]]),FALSE),""),"")</f>
        <v/>
      </c>
      <c r="H45" s="275" t="str">
        <f t="shared" si="14"/>
        <v/>
      </c>
      <c r="I45" s="100"/>
      <c r="J45" s="156" t="str">
        <f t="shared" si="15"/>
        <v/>
      </c>
      <c r="K45" s="155" t="str">
        <f t="shared" si="16"/>
        <v/>
      </c>
      <c r="L45" s="100"/>
      <c r="M45" s="156" t="str">
        <f t="shared" ca="1" si="17"/>
        <v/>
      </c>
      <c r="N45" s="49"/>
      <c r="O45" s="49"/>
      <c r="P45" s="105" t="str">
        <f t="shared" si="18"/>
        <v/>
      </c>
      <c r="Q45" s="155" t="str">
        <f t="shared" si="19"/>
        <v/>
      </c>
      <c r="R45" s="100"/>
      <c r="S45" s="156" t="str">
        <f t="shared" ca="1" si="20"/>
        <v/>
      </c>
      <c r="T45" s="101"/>
      <c r="U45" s="101"/>
      <c r="V45" s="101"/>
      <c r="W45" s="144"/>
    </row>
    <row r="46" spans="1:23" ht="24" customHeight="1" x14ac:dyDescent="0.25">
      <c r="A46" s="90">
        <v>64</v>
      </c>
      <c r="B46" s="19" t="str">
        <f>IFERROR(IF(VLOOKUP(T_SuiviTw[[#This Row],[NumL]],T_suiviDi[#Data],COLUMN(T_suiviDi[[#This Row],[Nom]]),FALSE)&lt;&gt;"",VLOOKUP(T_SuiviTw[[#This Row],[NumL]],T_suiviDi[#Data],COLUMN(T_suiviDi[[#This Row],[Nom]]),FALSE),""),"")</f>
        <v/>
      </c>
      <c r="C46" s="19" t="str">
        <f>IFERROR(IF(VLOOKUP(T_SuiviTw[[#This Row],[NumL]],T_suiviDi[#Data],COLUMN(T_suiviDi[[#This Row],[Prénom]]),FALSE)&lt;&gt;"",VLOOKUP(T_SuiviTw[[#This Row],[NumL]],T_suiviDi[#Data],COLUMN(T_suiviDi[[#This Row],[Prénom]]),FALSE),""),"")</f>
        <v/>
      </c>
      <c r="D46" s="20" t="str">
        <f>IFERROR(IF(VLOOKUP(T_SuiviTw[[#This Row],[NumL]],T_suiviDi[#Data],COLUMN(T_suiviDi[[#This Row],[Email]]),FALSE)&lt;&gt;"",VLOOKUP(T_SuiviTw[[#This Row],[NumL]],T_suiviDi[#Data],COLUMN(T_suiviDi[[#This Row],[Email]]),FALSE),""),"")</f>
        <v/>
      </c>
      <c r="E46" s="274" t="str">
        <f>IFERROR(IF(VLOOKUP(T_SuiviTw[[#This Row],[NumL]],T_suiviDi[#Data],COLUMN(T_suiviDi[[#This Row],[Nom1]]),FALSE)&lt;&gt;"",VLOOKUP(T_SuiviTw[[#This Row],[NumL]],T_suiviDi[#Data],COLUMN(T_suiviDi[[#This Row],[Nom1]]),FALSE),""),"")</f>
        <v/>
      </c>
      <c r="F46" s="274" t="str">
        <f>IFERROR(IF(VLOOKUP(T_SuiviTw[[#This Row],[NumL]],T_suiviDi[#Data],COLUMN(T_suiviDi[[#This Row],[Prénom1]]),FALSE)&lt;&gt;"",VLOOKUP(T_SuiviTw[[#This Row],[NumL]],T_suiviDi[#Data],COLUMN(T_suiviDi[[#This Row],[Prénom1]]),FALSE),""),"")</f>
        <v/>
      </c>
      <c r="G46" s="274" t="str">
        <f>IFERROR(IF(VLOOKUP(T_SuiviTw[[#This Row],[NumL]],T_suiviDi[#Data],COLUMN(T_suiviDi[[#This Row],[Email1]]),FALSE)&lt;&gt;"",VLOOKUP(T_SuiviTw[[#This Row],[NumL]],T_suiviDi[#Data],COLUMN(T_suiviDi[[#This Row],[Email1]]),FALSE),""),"")</f>
        <v/>
      </c>
      <c r="H46" s="275" t="str">
        <f t="shared" si="14"/>
        <v/>
      </c>
      <c r="I46" s="100"/>
      <c r="J46" s="156" t="str">
        <f t="shared" si="15"/>
        <v/>
      </c>
      <c r="K46" s="155" t="str">
        <f t="shared" si="16"/>
        <v/>
      </c>
      <c r="L46" s="100"/>
      <c r="M46" s="156" t="str">
        <f t="shared" ca="1" si="17"/>
        <v/>
      </c>
      <c r="N46" s="49"/>
      <c r="O46" s="49"/>
      <c r="P46" s="105" t="str">
        <f t="shared" si="18"/>
        <v/>
      </c>
      <c r="Q46" s="155" t="str">
        <f t="shared" si="19"/>
        <v/>
      </c>
      <c r="R46" s="100"/>
      <c r="S46" s="156" t="str">
        <f t="shared" ca="1" si="20"/>
        <v/>
      </c>
      <c r="T46" s="101"/>
      <c r="U46" s="101"/>
      <c r="V46" s="101"/>
      <c r="W46" s="144"/>
    </row>
    <row r="47" spans="1:23" ht="24" customHeight="1" x14ac:dyDescent="0.25">
      <c r="A47" s="90">
        <v>22</v>
      </c>
      <c r="B47" s="19" t="str">
        <f>IFERROR(IF(VLOOKUP(T_SuiviTw[[#This Row],[NumL]],T_suiviDi[#Data],COLUMN(T_suiviDi[[#This Row],[Nom]]),FALSE)&lt;&gt;"",VLOOKUP(T_SuiviTw[[#This Row],[NumL]],T_suiviDi[#Data],COLUMN(T_suiviDi[[#This Row],[Nom]]),FALSE),""),"")</f>
        <v/>
      </c>
      <c r="C47" s="19" t="str">
        <f>IFERROR(IF(VLOOKUP(T_SuiviTw[[#This Row],[NumL]],T_suiviDi[#Data],COLUMN(T_suiviDi[[#This Row],[Prénom]]),FALSE)&lt;&gt;"",VLOOKUP(T_SuiviTw[[#This Row],[NumL]],T_suiviDi[#Data],COLUMN(T_suiviDi[[#This Row],[Prénom]]),FALSE),""),"")</f>
        <v/>
      </c>
      <c r="D47" s="20" t="str">
        <f>IFERROR(IF(VLOOKUP(T_SuiviTw[[#This Row],[NumL]],T_suiviDi[#Data],COLUMN(T_suiviDi[[#This Row],[Email]]),FALSE)&lt;&gt;"",VLOOKUP(T_SuiviTw[[#This Row],[NumL]],T_suiviDi[#Data],COLUMN(T_suiviDi[[#This Row],[Email]]),FALSE),""),"")</f>
        <v/>
      </c>
      <c r="E47" s="274" t="str">
        <f>IFERROR(IF(VLOOKUP(T_SuiviTw[[#This Row],[NumL]],T_suiviDi[#Data],COLUMN(T_suiviDi[[#This Row],[Nom1]]),FALSE)&lt;&gt;"",VLOOKUP(T_SuiviTw[[#This Row],[NumL]],T_suiviDi[#Data],COLUMN(T_suiviDi[[#This Row],[Nom1]]),FALSE),""),"")</f>
        <v/>
      </c>
      <c r="F47" s="274" t="str">
        <f>IFERROR(IF(VLOOKUP(T_SuiviTw[[#This Row],[NumL]],T_suiviDi[#Data],COLUMN(T_suiviDi[[#This Row],[Prénom1]]),FALSE)&lt;&gt;"",VLOOKUP(T_SuiviTw[[#This Row],[NumL]],T_suiviDi[#Data],COLUMN(T_suiviDi[[#This Row],[Prénom1]]),FALSE),""),"")</f>
        <v/>
      </c>
      <c r="G47" s="274" t="str">
        <f>IFERROR(IF(VLOOKUP(T_SuiviTw[[#This Row],[NumL]],T_suiviDi[#Data],COLUMN(T_suiviDi[[#This Row],[Email1]]),FALSE)&lt;&gt;"",VLOOKUP(T_SuiviTw[[#This Row],[NumL]],T_suiviDi[#Data],COLUMN(T_suiviDi[[#This Row],[Email1]]),FALSE),""),"")</f>
        <v/>
      </c>
      <c r="H47" s="275" t="str">
        <f t="shared" si="14"/>
        <v/>
      </c>
      <c r="I47" s="100"/>
      <c r="J47" s="156" t="str">
        <f t="shared" si="15"/>
        <v/>
      </c>
      <c r="K47" s="155" t="str">
        <f t="shared" si="16"/>
        <v/>
      </c>
      <c r="L47" s="100"/>
      <c r="M47" s="156" t="str">
        <f t="shared" ca="1" si="17"/>
        <v/>
      </c>
      <c r="N47" s="49"/>
      <c r="O47" s="49"/>
      <c r="P47" s="105" t="str">
        <f t="shared" si="18"/>
        <v/>
      </c>
      <c r="Q47" s="155" t="str">
        <f t="shared" si="19"/>
        <v/>
      </c>
      <c r="R47" s="100"/>
      <c r="S47" s="156" t="str">
        <f t="shared" ca="1" si="20"/>
        <v/>
      </c>
      <c r="T47" s="101"/>
      <c r="U47" s="101"/>
      <c r="V47" s="101"/>
      <c r="W47" s="144"/>
    </row>
    <row r="48" spans="1:23" ht="24" customHeight="1" x14ac:dyDescent="0.25">
      <c r="A48" s="90">
        <v>277</v>
      </c>
      <c r="B48" s="19" t="str">
        <f>IFERROR(IF(VLOOKUP(T_SuiviTw[[#This Row],[NumL]],T_suiviDi[#Data],COLUMN(T_suiviDi[[#This Row],[Nom]]),FALSE)&lt;&gt;"",VLOOKUP(T_SuiviTw[[#This Row],[NumL]],T_suiviDi[#Data],COLUMN(T_suiviDi[[#This Row],[Nom]]),FALSE),""),"")</f>
        <v/>
      </c>
      <c r="C48" s="19" t="str">
        <f>IFERROR(IF(VLOOKUP(T_SuiviTw[[#This Row],[NumL]],T_suiviDi[#Data],COLUMN(T_suiviDi[[#This Row],[Prénom]]),FALSE)&lt;&gt;"",VLOOKUP(T_SuiviTw[[#This Row],[NumL]],T_suiviDi[#Data],COLUMN(T_suiviDi[[#This Row],[Prénom]]),FALSE),""),"")</f>
        <v/>
      </c>
      <c r="D48" s="20" t="str">
        <f>IFERROR(IF(VLOOKUP(T_SuiviTw[[#This Row],[NumL]],T_suiviDi[#Data],COLUMN(T_suiviDi[[#This Row],[Email]]),FALSE)&lt;&gt;"",VLOOKUP(T_SuiviTw[[#This Row],[NumL]],T_suiviDi[#Data],COLUMN(T_suiviDi[[#This Row],[Email]]),FALSE),""),"")</f>
        <v/>
      </c>
      <c r="E48" s="274" t="str">
        <f>IFERROR(IF(VLOOKUP(T_SuiviTw[[#This Row],[NumL]],T_suiviDi[#Data],COLUMN(T_suiviDi[[#This Row],[Nom1]]),FALSE)&lt;&gt;"",VLOOKUP(T_SuiviTw[[#This Row],[NumL]],T_suiviDi[#Data],COLUMN(T_suiviDi[[#This Row],[Nom1]]),FALSE),""),"")</f>
        <v/>
      </c>
      <c r="F48" s="274" t="str">
        <f>IFERROR(IF(VLOOKUP(T_SuiviTw[[#This Row],[NumL]],T_suiviDi[#Data],COLUMN(T_suiviDi[[#This Row],[Prénom1]]),FALSE)&lt;&gt;"",VLOOKUP(T_SuiviTw[[#This Row],[NumL]],T_suiviDi[#Data],COLUMN(T_suiviDi[[#This Row],[Prénom1]]),FALSE),""),"")</f>
        <v/>
      </c>
      <c r="G48" s="274" t="str">
        <f>IFERROR(IF(VLOOKUP(T_SuiviTw[[#This Row],[NumL]],T_suiviDi[#Data],COLUMN(T_suiviDi[[#This Row],[Email1]]),FALSE)&lt;&gt;"",VLOOKUP(T_SuiviTw[[#This Row],[NumL]],T_suiviDi[#Data],COLUMN(T_suiviDi[[#This Row],[Email1]]),FALSE),""),"")</f>
        <v/>
      </c>
      <c r="H48" s="275" t="str">
        <f t="shared" si="14"/>
        <v/>
      </c>
      <c r="I48" s="100"/>
      <c r="J48" s="156" t="str">
        <f t="shared" si="15"/>
        <v/>
      </c>
      <c r="K48" s="155" t="str">
        <f t="shared" si="16"/>
        <v/>
      </c>
      <c r="L48" s="100"/>
      <c r="M48" s="156" t="str">
        <f t="shared" ca="1" si="17"/>
        <v/>
      </c>
      <c r="N48" s="49"/>
      <c r="O48" s="49"/>
      <c r="P48" s="105" t="str">
        <f t="shared" si="18"/>
        <v/>
      </c>
      <c r="Q48" s="155" t="str">
        <f t="shared" si="19"/>
        <v/>
      </c>
      <c r="R48" s="100"/>
      <c r="S48" s="156" t="str">
        <f t="shared" ca="1" si="20"/>
        <v/>
      </c>
      <c r="T48" s="101"/>
      <c r="U48" s="101"/>
      <c r="V48" s="101"/>
      <c r="W48" s="144"/>
    </row>
    <row r="49" spans="1:23" ht="24" customHeight="1" x14ac:dyDescent="0.25">
      <c r="A49" s="90">
        <v>240</v>
      </c>
      <c r="B49" s="19" t="str">
        <f>IFERROR(IF(VLOOKUP(T_SuiviTw[[#This Row],[NumL]],T_suiviDi[#Data],COLUMN(T_suiviDi[[#This Row],[Nom]]),FALSE)&lt;&gt;"",VLOOKUP(T_SuiviTw[[#This Row],[NumL]],T_suiviDi[#Data],COLUMN(T_suiviDi[[#This Row],[Nom]]),FALSE),""),"")</f>
        <v/>
      </c>
      <c r="C49" s="19" t="str">
        <f>IFERROR(IF(VLOOKUP(T_SuiviTw[[#This Row],[NumL]],T_suiviDi[#Data],COLUMN(T_suiviDi[[#This Row],[Prénom]]),FALSE)&lt;&gt;"",VLOOKUP(T_SuiviTw[[#This Row],[NumL]],T_suiviDi[#Data],COLUMN(T_suiviDi[[#This Row],[Prénom]]),FALSE),""),"")</f>
        <v/>
      </c>
      <c r="D49" s="20" t="str">
        <f>IFERROR(IF(VLOOKUP(T_SuiviTw[[#This Row],[NumL]],T_suiviDi[#Data],COLUMN(T_suiviDi[[#This Row],[Email]]),FALSE)&lt;&gt;"",VLOOKUP(T_SuiviTw[[#This Row],[NumL]],T_suiviDi[#Data],COLUMN(T_suiviDi[[#This Row],[Email]]),FALSE),""),"")</f>
        <v/>
      </c>
      <c r="E49" s="274" t="str">
        <f>IFERROR(IF(VLOOKUP(T_SuiviTw[[#This Row],[NumL]],T_suiviDi[#Data],COLUMN(T_suiviDi[[#This Row],[Nom1]]),FALSE)&lt;&gt;"",VLOOKUP(T_SuiviTw[[#This Row],[NumL]],T_suiviDi[#Data],COLUMN(T_suiviDi[[#This Row],[Nom1]]),FALSE),""),"")</f>
        <v/>
      </c>
      <c r="F49" s="274" t="str">
        <f>IFERROR(IF(VLOOKUP(T_SuiviTw[[#This Row],[NumL]],T_suiviDi[#Data],COLUMN(T_suiviDi[[#This Row],[Prénom1]]),FALSE)&lt;&gt;"",VLOOKUP(T_SuiviTw[[#This Row],[NumL]],T_suiviDi[#Data],COLUMN(T_suiviDi[[#This Row],[Prénom1]]),FALSE),""),"")</f>
        <v/>
      </c>
      <c r="G49" s="274" t="str">
        <f>IFERROR(IF(VLOOKUP(T_SuiviTw[[#This Row],[NumL]],T_suiviDi[#Data],COLUMN(T_suiviDi[[#This Row],[Email1]]),FALSE)&lt;&gt;"",VLOOKUP(T_SuiviTw[[#This Row],[NumL]],T_suiviDi[#Data],COLUMN(T_suiviDi[[#This Row],[Email1]]),FALSE),""),"")</f>
        <v/>
      </c>
      <c r="H49" s="275" t="str">
        <f t="shared" si="14"/>
        <v/>
      </c>
      <c r="I49" s="100"/>
      <c r="J49" s="156" t="str">
        <f t="shared" si="15"/>
        <v/>
      </c>
      <c r="K49" s="155" t="str">
        <f t="shared" si="16"/>
        <v/>
      </c>
      <c r="L49" s="100"/>
      <c r="M49" s="156" t="str">
        <f t="shared" ca="1" si="17"/>
        <v/>
      </c>
      <c r="N49" s="49"/>
      <c r="O49" s="49"/>
      <c r="P49" s="105" t="str">
        <f t="shared" si="18"/>
        <v/>
      </c>
      <c r="Q49" s="155" t="str">
        <f t="shared" si="19"/>
        <v/>
      </c>
      <c r="R49" s="100"/>
      <c r="S49" s="156" t="str">
        <f t="shared" ca="1" si="20"/>
        <v/>
      </c>
      <c r="T49" s="101"/>
      <c r="U49" s="101"/>
      <c r="V49" s="101"/>
      <c r="W49" s="144"/>
    </row>
    <row r="50" spans="1:23" ht="24" customHeight="1" x14ac:dyDescent="0.25">
      <c r="A50" s="90">
        <v>131</v>
      </c>
      <c r="B50" s="19" t="str">
        <f>IFERROR(IF(VLOOKUP(T_SuiviTw[[#This Row],[NumL]],T_suiviDi[#Data],COLUMN(T_suiviDi[[#This Row],[Nom]]),FALSE)&lt;&gt;"",VLOOKUP(T_SuiviTw[[#This Row],[NumL]],T_suiviDi[#Data],COLUMN(T_suiviDi[[#This Row],[Nom]]),FALSE),""),"")</f>
        <v/>
      </c>
      <c r="C50" s="19" t="str">
        <f>IFERROR(IF(VLOOKUP(T_SuiviTw[[#This Row],[NumL]],T_suiviDi[#Data],COLUMN(T_suiviDi[[#This Row],[Prénom]]),FALSE)&lt;&gt;"",VLOOKUP(T_SuiviTw[[#This Row],[NumL]],T_suiviDi[#Data],COLUMN(T_suiviDi[[#This Row],[Prénom]]),FALSE),""),"")</f>
        <v/>
      </c>
      <c r="D50" s="20" t="str">
        <f>IFERROR(IF(VLOOKUP(T_SuiviTw[[#This Row],[NumL]],T_suiviDi[#Data],COLUMN(T_suiviDi[[#This Row],[Email]]),FALSE)&lt;&gt;"",VLOOKUP(T_SuiviTw[[#This Row],[NumL]],T_suiviDi[#Data],COLUMN(T_suiviDi[[#This Row],[Email]]),FALSE),""),"")</f>
        <v/>
      </c>
      <c r="E50" s="274" t="str">
        <f>IFERROR(IF(VLOOKUP(T_SuiviTw[[#This Row],[NumL]],T_suiviDi[#Data],COLUMN(T_suiviDi[[#This Row],[Nom1]]),FALSE)&lt;&gt;"",VLOOKUP(T_SuiviTw[[#This Row],[NumL]],T_suiviDi[#Data],COLUMN(T_suiviDi[[#This Row],[Nom1]]),FALSE),""),"")</f>
        <v/>
      </c>
      <c r="F50" s="274" t="str">
        <f>IFERROR(IF(VLOOKUP(T_SuiviTw[[#This Row],[NumL]],T_suiviDi[#Data],COLUMN(T_suiviDi[[#This Row],[Prénom1]]),FALSE)&lt;&gt;"",VLOOKUP(T_SuiviTw[[#This Row],[NumL]],T_suiviDi[#Data],COLUMN(T_suiviDi[[#This Row],[Prénom1]]),FALSE),""),"")</f>
        <v/>
      </c>
      <c r="G50" s="274" t="str">
        <f>IFERROR(IF(VLOOKUP(T_SuiviTw[[#This Row],[NumL]],T_suiviDi[#Data],COLUMN(T_suiviDi[[#This Row],[Email1]]),FALSE)&lt;&gt;"",VLOOKUP(T_SuiviTw[[#This Row],[NumL]],T_suiviDi[#Data],COLUMN(T_suiviDi[[#This Row],[Email1]]),FALSE),""),"")</f>
        <v/>
      </c>
      <c r="H50" s="275" t="str">
        <f t="shared" si="14"/>
        <v/>
      </c>
      <c r="I50" s="100"/>
      <c r="J50" s="156" t="str">
        <f t="shared" si="15"/>
        <v/>
      </c>
      <c r="K50" s="155" t="str">
        <f t="shared" si="16"/>
        <v/>
      </c>
      <c r="L50" s="100"/>
      <c r="M50" s="156" t="str">
        <f t="shared" ca="1" si="17"/>
        <v/>
      </c>
      <c r="N50" s="49"/>
      <c r="O50" s="49"/>
      <c r="P50" s="105" t="str">
        <f t="shared" si="18"/>
        <v/>
      </c>
      <c r="Q50" s="155" t="str">
        <f t="shared" si="19"/>
        <v/>
      </c>
      <c r="R50" s="100"/>
      <c r="S50" s="156" t="str">
        <f t="shared" ca="1" si="20"/>
        <v/>
      </c>
      <c r="T50" s="101"/>
      <c r="U50" s="101"/>
      <c r="V50" s="101"/>
      <c r="W50" s="144"/>
    </row>
    <row r="51" spans="1:23" ht="24" customHeight="1" x14ac:dyDescent="0.25">
      <c r="A51" s="90">
        <v>347</v>
      </c>
      <c r="B51" s="139" t="str">
        <f>IFERROR(IF(VLOOKUP(T_SuiviTw[[#This Row],[NumL]],T_suiviDi[#Data],COLUMN(T_suiviDi[[#This Row],[Nom]]),FALSE)&lt;&gt;"",VLOOKUP(T_SuiviTw[[#This Row],[NumL]],T_suiviDi[#Data],COLUMN(T_suiviDi[[#This Row],[Nom]]),FALSE),""),"")</f>
        <v/>
      </c>
      <c r="C51" s="139" t="str">
        <f>IFERROR(IF(VLOOKUP(T_SuiviTw[[#This Row],[NumL]],T_suiviDi[#Data],COLUMN(T_suiviDi[[#This Row],[Prénom]]),FALSE)&lt;&gt;"",VLOOKUP(T_SuiviTw[[#This Row],[NumL]],T_suiviDi[#Data],COLUMN(T_suiviDi[[#This Row],[Prénom]]),FALSE),""),"")</f>
        <v/>
      </c>
      <c r="D51" s="140" t="str">
        <f>IFERROR(IF(VLOOKUP(T_SuiviTw[[#This Row],[NumL]],T_suiviDi[#Data],COLUMN(T_suiviDi[[#This Row],[Email]]),FALSE)&lt;&gt;"",VLOOKUP(T_SuiviTw[[#This Row],[NumL]],T_suiviDi[#Data],COLUMN(T_suiviDi[[#This Row],[Email]]),FALSE),""),"")</f>
        <v/>
      </c>
      <c r="E51" s="141" t="str">
        <f>IFERROR(IF(VLOOKUP(T_SuiviTw[[#This Row],[NumL]],T_suiviDi[#Data],COLUMN(T_suiviDi[[#This Row],[Nom1]]),FALSE)&lt;&gt;"",VLOOKUP(T_SuiviTw[[#This Row],[NumL]],T_suiviDi[#Data],COLUMN(T_suiviDi[[#This Row],[Nom1]]),FALSE),""),"")</f>
        <v/>
      </c>
      <c r="F51" s="141" t="str">
        <f>IFERROR(IF(VLOOKUP(T_SuiviTw[[#This Row],[NumL]],T_suiviDi[#Data],COLUMN(T_suiviDi[[#This Row],[Prénom1]]),FALSE)&lt;&gt;"",VLOOKUP(T_SuiviTw[[#This Row],[NumL]],T_suiviDi[#Data],COLUMN(T_suiviDi[[#This Row],[Prénom1]]),FALSE),""),"")</f>
        <v/>
      </c>
      <c r="G51" s="141" t="str">
        <f>IFERROR(IF(VLOOKUP(T_SuiviTw[[#This Row],[NumL]],T_suiviDi[#Data],COLUMN(T_suiviDi[[#This Row],[Email1]]),FALSE)&lt;&gt;"",VLOOKUP(T_SuiviTw[[#This Row],[NumL]],T_suiviDi[#Data],COLUMN(T_suiviDi[[#This Row],[Email1]]),FALSE),""),"")</f>
        <v/>
      </c>
      <c r="H51" s="155" t="str">
        <f t="shared" si="14"/>
        <v/>
      </c>
      <c r="I51" s="100"/>
      <c r="J51" s="156" t="str">
        <f t="shared" si="15"/>
        <v/>
      </c>
      <c r="K51" s="155" t="str">
        <f t="shared" si="16"/>
        <v/>
      </c>
      <c r="L51" s="100"/>
      <c r="M51" s="156" t="str">
        <f t="shared" ca="1" si="17"/>
        <v/>
      </c>
      <c r="N51" s="49"/>
      <c r="O51" s="49"/>
      <c r="P51" s="105" t="str">
        <f t="shared" si="18"/>
        <v/>
      </c>
      <c r="Q51" s="155" t="str">
        <f t="shared" si="19"/>
        <v/>
      </c>
      <c r="R51" s="100"/>
      <c r="S51" s="156" t="str">
        <f t="shared" ca="1" si="20"/>
        <v/>
      </c>
      <c r="T51" s="101"/>
      <c r="U51" s="101"/>
      <c r="V51" s="101"/>
      <c r="W51" s="144"/>
    </row>
    <row r="52" spans="1:23" ht="24" customHeight="1" x14ac:dyDescent="0.25">
      <c r="A52" s="90">
        <v>299</v>
      </c>
      <c r="B52" s="139" t="str">
        <f>IFERROR(IF(VLOOKUP(T_SuiviTw[[#This Row],[NumL]],T_suiviDi[#Data],COLUMN(T_suiviDi[[#This Row],[Nom]]),FALSE)&lt;&gt;"",VLOOKUP(T_SuiviTw[[#This Row],[NumL]],T_suiviDi[#Data],COLUMN(T_suiviDi[[#This Row],[Nom]]),FALSE),""),"")</f>
        <v/>
      </c>
      <c r="C52" s="139" t="str">
        <f>IFERROR(IF(VLOOKUP(T_SuiviTw[[#This Row],[NumL]],T_suiviDi[#Data],COLUMN(T_suiviDi[[#This Row],[Prénom]]),FALSE)&lt;&gt;"",VLOOKUP(T_SuiviTw[[#This Row],[NumL]],T_suiviDi[#Data],COLUMN(T_suiviDi[[#This Row],[Prénom]]),FALSE),""),"")</f>
        <v/>
      </c>
      <c r="D52" s="140" t="str">
        <f>IFERROR(IF(VLOOKUP(T_SuiviTw[[#This Row],[NumL]],T_suiviDi[#Data],COLUMN(T_suiviDi[[#This Row],[Email]]),FALSE)&lt;&gt;"",VLOOKUP(T_SuiviTw[[#This Row],[NumL]],T_suiviDi[#Data],COLUMN(T_suiviDi[[#This Row],[Email]]),FALSE),""),"")</f>
        <v/>
      </c>
      <c r="E52" s="141" t="str">
        <f>IFERROR(IF(VLOOKUP(T_SuiviTw[[#This Row],[NumL]],T_suiviDi[#Data],COLUMN(T_suiviDi[[#This Row],[Nom1]]),FALSE)&lt;&gt;"",VLOOKUP(T_SuiviTw[[#This Row],[NumL]],T_suiviDi[#Data],COLUMN(T_suiviDi[[#This Row],[Nom1]]),FALSE),""),"")</f>
        <v/>
      </c>
      <c r="F52" s="141" t="str">
        <f>IFERROR(IF(VLOOKUP(T_SuiviTw[[#This Row],[NumL]],T_suiviDi[#Data],COLUMN(T_suiviDi[[#This Row],[Prénom1]]),FALSE)&lt;&gt;"",VLOOKUP(T_SuiviTw[[#This Row],[NumL]],T_suiviDi[#Data],COLUMN(T_suiviDi[[#This Row],[Prénom1]]),FALSE),""),"")</f>
        <v/>
      </c>
      <c r="G52" s="141" t="str">
        <f>IFERROR(IF(VLOOKUP(T_SuiviTw[[#This Row],[NumL]],T_suiviDi[#Data],COLUMN(T_suiviDi[[#This Row],[Email1]]),FALSE)&lt;&gt;"",VLOOKUP(T_SuiviTw[[#This Row],[NumL]],T_suiviDi[#Data],COLUMN(T_suiviDi[[#This Row],[Email1]]),FALSE),""),"")</f>
        <v/>
      </c>
      <c r="H52" s="155" t="str">
        <f t="shared" si="14"/>
        <v/>
      </c>
      <c r="I52" s="100"/>
      <c r="J52" s="156" t="str">
        <f t="shared" si="15"/>
        <v/>
      </c>
      <c r="K52" s="155" t="str">
        <f t="shared" si="16"/>
        <v/>
      </c>
      <c r="L52" s="100"/>
      <c r="M52" s="156" t="str">
        <f t="shared" ca="1" si="17"/>
        <v/>
      </c>
      <c r="N52" s="49"/>
      <c r="O52" s="49"/>
      <c r="P52" s="105" t="str">
        <f t="shared" si="18"/>
        <v/>
      </c>
      <c r="Q52" s="155" t="str">
        <f t="shared" si="19"/>
        <v/>
      </c>
      <c r="R52" s="100"/>
      <c r="S52" s="156" t="str">
        <f t="shared" ca="1" si="20"/>
        <v/>
      </c>
      <c r="T52" s="101"/>
      <c r="U52" s="101"/>
      <c r="V52" s="101"/>
      <c r="W52" s="144"/>
    </row>
    <row r="53" spans="1:23" ht="24" customHeight="1" x14ac:dyDescent="0.25">
      <c r="A53" s="90">
        <v>261</v>
      </c>
      <c r="B53" s="19" t="str">
        <f>IFERROR(IF(VLOOKUP(T_SuiviTw[[#This Row],[NumL]],T_suiviDi[#Data],COLUMN(T_suiviDi[[#This Row],[Nom]]),FALSE)&lt;&gt;"",VLOOKUP(T_SuiviTw[[#This Row],[NumL]],T_suiviDi[#Data],COLUMN(T_suiviDi[[#This Row],[Nom]]),FALSE),""),"")</f>
        <v/>
      </c>
      <c r="C53" s="19" t="str">
        <f>IFERROR(IF(VLOOKUP(T_SuiviTw[[#This Row],[NumL]],T_suiviDi[#Data],COLUMN(T_suiviDi[[#This Row],[Prénom]]),FALSE)&lt;&gt;"",VLOOKUP(T_SuiviTw[[#This Row],[NumL]],T_suiviDi[#Data],COLUMN(T_suiviDi[[#This Row],[Prénom]]),FALSE),""),"")</f>
        <v/>
      </c>
      <c r="D53" s="20" t="str">
        <f>IFERROR(IF(VLOOKUP(T_SuiviTw[[#This Row],[NumL]],T_suiviDi[#Data],COLUMN(T_suiviDi[[#This Row],[Email]]),FALSE)&lt;&gt;"",VLOOKUP(T_SuiviTw[[#This Row],[NumL]],T_suiviDi[#Data],COLUMN(T_suiviDi[[#This Row],[Email]]),FALSE),""),"")</f>
        <v/>
      </c>
      <c r="E53" s="274" t="str">
        <f>IFERROR(IF(VLOOKUP(T_SuiviTw[[#This Row],[NumL]],T_suiviDi[#Data],COLUMN(T_suiviDi[[#This Row],[Nom1]]),FALSE)&lt;&gt;"",VLOOKUP(T_SuiviTw[[#This Row],[NumL]],T_suiviDi[#Data],COLUMN(T_suiviDi[[#This Row],[Nom1]]),FALSE),""),"")</f>
        <v/>
      </c>
      <c r="F53" s="274" t="str">
        <f>IFERROR(IF(VLOOKUP(T_SuiviTw[[#This Row],[NumL]],T_suiviDi[#Data],COLUMN(T_suiviDi[[#This Row],[Prénom1]]),FALSE)&lt;&gt;"",VLOOKUP(T_SuiviTw[[#This Row],[NumL]],T_suiviDi[#Data],COLUMN(T_suiviDi[[#This Row],[Prénom1]]),FALSE),""),"")</f>
        <v/>
      </c>
      <c r="G53" s="274" t="str">
        <f>IFERROR(IF(VLOOKUP(T_SuiviTw[[#This Row],[NumL]],T_suiviDi[#Data],COLUMN(T_suiviDi[[#This Row],[Email1]]),FALSE)&lt;&gt;"",VLOOKUP(T_SuiviTw[[#This Row],[NumL]],T_suiviDi[#Data],COLUMN(T_suiviDi[[#This Row],[Email1]]),FALSE),""),"")</f>
        <v/>
      </c>
      <c r="H53" s="275" t="str">
        <f t="shared" si="14"/>
        <v/>
      </c>
      <c r="I53" s="100"/>
      <c r="J53" s="156" t="str">
        <f t="shared" si="15"/>
        <v/>
      </c>
      <c r="K53" s="155" t="str">
        <f t="shared" si="16"/>
        <v/>
      </c>
      <c r="L53" s="100"/>
      <c r="M53" s="156" t="str">
        <f t="shared" ca="1" si="17"/>
        <v/>
      </c>
      <c r="N53" s="49"/>
      <c r="O53" s="49"/>
      <c r="P53" s="105" t="str">
        <f t="shared" si="18"/>
        <v/>
      </c>
      <c r="Q53" s="155" t="str">
        <f t="shared" si="19"/>
        <v/>
      </c>
      <c r="R53" s="100"/>
      <c r="S53" s="156" t="str">
        <f t="shared" ca="1" si="20"/>
        <v/>
      </c>
      <c r="T53" s="101"/>
      <c r="U53" s="101"/>
      <c r="V53" s="101"/>
      <c r="W53" s="144"/>
    </row>
    <row r="54" spans="1:23" ht="24" customHeight="1" x14ac:dyDescent="0.25">
      <c r="A54" s="90">
        <v>331</v>
      </c>
      <c r="B54" s="139" t="str">
        <f>IFERROR(IF(VLOOKUP(T_SuiviTw[[#This Row],[NumL]],T_suiviDi[#Data],COLUMN(T_suiviDi[[#This Row],[Nom]]),FALSE)&lt;&gt;"",VLOOKUP(T_SuiviTw[[#This Row],[NumL]],T_suiviDi[#Data],COLUMN(T_suiviDi[[#This Row],[Nom]]),FALSE),""),"")</f>
        <v/>
      </c>
      <c r="C54" s="139" t="str">
        <f>IFERROR(IF(VLOOKUP(T_SuiviTw[[#This Row],[NumL]],T_suiviDi[#Data],COLUMN(T_suiviDi[[#This Row],[Prénom]]),FALSE)&lt;&gt;"",VLOOKUP(T_SuiviTw[[#This Row],[NumL]],T_suiviDi[#Data],COLUMN(T_suiviDi[[#This Row],[Prénom]]),FALSE),""),"")</f>
        <v/>
      </c>
      <c r="D54" s="140" t="str">
        <f>IFERROR(IF(VLOOKUP(T_SuiviTw[[#This Row],[NumL]],T_suiviDi[#Data],COLUMN(T_suiviDi[[#This Row],[Email]]),FALSE)&lt;&gt;"",VLOOKUP(T_SuiviTw[[#This Row],[NumL]],T_suiviDi[#Data],COLUMN(T_suiviDi[[#This Row],[Email]]),FALSE),""),"")</f>
        <v/>
      </c>
      <c r="E54" s="141" t="str">
        <f>IFERROR(IF(VLOOKUP(T_SuiviTw[[#This Row],[NumL]],T_suiviDi[#Data],COLUMN(T_suiviDi[[#This Row],[Nom1]]),FALSE)&lt;&gt;"",VLOOKUP(T_SuiviTw[[#This Row],[NumL]],T_suiviDi[#Data],COLUMN(T_suiviDi[[#This Row],[Nom1]]),FALSE),""),"")</f>
        <v/>
      </c>
      <c r="F54" s="141" t="str">
        <f>IFERROR(IF(VLOOKUP(T_SuiviTw[[#This Row],[NumL]],T_suiviDi[#Data],COLUMN(T_suiviDi[[#This Row],[Prénom1]]),FALSE)&lt;&gt;"",VLOOKUP(T_SuiviTw[[#This Row],[NumL]],T_suiviDi[#Data],COLUMN(T_suiviDi[[#This Row],[Prénom1]]),FALSE),""),"")</f>
        <v/>
      </c>
      <c r="G54" s="141" t="str">
        <f>IFERROR(IF(VLOOKUP(T_SuiviTw[[#This Row],[NumL]],T_suiviDi[#Data],COLUMN(T_suiviDi[[#This Row],[Email1]]),FALSE)&lt;&gt;"",VLOOKUP(T_SuiviTw[[#This Row],[NumL]],T_suiviDi[#Data],COLUMN(T_suiviDi[[#This Row],[Email1]]),FALSE),""),"")</f>
        <v/>
      </c>
      <c r="H54" s="155" t="str">
        <f t="shared" si="14"/>
        <v/>
      </c>
      <c r="I54" s="100"/>
      <c r="J54" s="156" t="str">
        <f t="shared" si="15"/>
        <v/>
      </c>
      <c r="K54" s="155" t="str">
        <f t="shared" si="16"/>
        <v/>
      </c>
      <c r="L54" s="100"/>
      <c r="M54" s="156" t="str">
        <f t="shared" ca="1" si="17"/>
        <v/>
      </c>
      <c r="N54" s="49"/>
      <c r="O54" s="49"/>
      <c r="P54" s="105" t="str">
        <f t="shared" si="18"/>
        <v/>
      </c>
      <c r="Q54" s="155" t="str">
        <f t="shared" si="19"/>
        <v/>
      </c>
      <c r="R54" s="100"/>
      <c r="S54" s="156" t="str">
        <f t="shared" ca="1" si="20"/>
        <v/>
      </c>
      <c r="T54" s="101"/>
      <c r="U54" s="101"/>
      <c r="V54" s="101"/>
      <c r="W54" s="144"/>
    </row>
    <row r="55" spans="1:23" ht="24" customHeight="1" x14ac:dyDescent="0.25">
      <c r="A55" s="90">
        <v>302</v>
      </c>
      <c r="B55" s="139" t="str">
        <f>IFERROR(IF(VLOOKUP(T_SuiviTw[[#This Row],[NumL]],T_suiviDi[#Data],COLUMN(T_suiviDi[[#This Row],[Nom]]),FALSE)&lt;&gt;"",VLOOKUP(T_SuiviTw[[#This Row],[NumL]],T_suiviDi[#Data],COLUMN(T_suiviDi[[#This Row],[Nom]]),FALSE),""),"")</f>
        <v/>
      </c>
      <c r="C55" s="139" t="str">
        <f>IFERROR(IF(VLOOKUP(T_SuiviTw[[#This Row],[NumL]],T_suiviDi[#Data],COLUMN(T_suiviDi[[#This Row],[Prénom]]),FALSE)&lt;&gt;"",VLOOKUP(T_SuiviTw[[#This Row],[NumL]],T_suiviDi[#Data],COLUMN(T_suiviDi[[#This Row],[Prénom]]),FALSE),""),"")</f>
        <v/>
      </c>
      <c r="D55" s="140" t="str">
        <f>IFERROR(IF(VLOOKUP(T_SuiviTw[[#This Row],[NumL]],T_suiviDi[#Data],COLUMN(T_suiviDi[[#This Row],[Email]]),FALSE)&lt;&gt;"",VLOOKUP(T_SuiviTw[[#This Row],[NumL]],T_suiviDi[#Data],COLUMN(T_suiviDi[[#This Row],[Email]]),FALSE),""),"")</f>
        <v/>
      </c>
      <c r="E55" s="141" t="str">
        <f>IFERROR(IF(VLOOKUP(T_SuiviTw[[#This Row],[NumL]],T_suiviDi[#Data],COLUMN(T_suiviDi[[#This Row],[Nom1]]),FALSE)&lt;&gt;"",VLOOKUP(T_SuiviTw[[#This Row],[NumL]],T_suiviDi[#Data],COLUMN(T_suiviDi[[#This Row],[Nom1]]),FALSE),""),"")</f>
        <v/>
      </c>
      <c r="F55" s="141" t="str">
        <f>IFERROR(IF(VLOOKUP(T_SuiviTw[[#This Row],[NumL]],T_suiviDi[#Data],COLUMN(T_suiviDi[[#This Row],[Prénom1]]),FALSE)&lt;&gt;"",VLOOKUP(T_SuiviTw[[#This Row],[NumL]],T_suiviDi[#Data],COLUMN(T_suiviDi[[#This Row],[Prénom1]]),FALSE),""),"")</f>
        <v/>
      </c>
      <c r="G55" s="141" t="str">
        <f>IFERROR(IF(VLOOKUP(T_SuiviTw[[#This Row],[NumL]],T_suiviDi[#Data],COLUMN(T_suiviDi[[#This Row],[Email1]]),FALSE)&lt;&gt;"",VLOOKUP(T_SuiviTw[[#This Row],[NumL]],T_suiviDi[#Data],COLUMN(T_suiviDi[[#This Row],[Email1]]),FALSE),""),"")</f>
        <v/>
      </c>
      <c r="H55" s="155" t="str">
        <f t="shared" si="14"/>
        <v/>
      </c>
      <c r="I55" s="100"/>
      <c r="J55" s="156" t="str">
        <f t="shared" si="15"/>
        <v/>
      </c>
      <c r="K55" s="155" t="str">
        <f t="shared" si="16"/>
        <v/>
      </c>
      <c r="L55" s="100"/>
      <c r="M55" s="156" t="str">
        <f t="shared" ca="1" si="17"/>
        <v/>
      </c>
      <c r="N55" s="49"/>
      <c r="O55" s="49"/>
      <c r="P55" s="105" t="str">
        <f t="shared" si="18"/>
        <v/>
      </c>
      <c r="Q55" s="155" t="str">
        <f t="shared" si="19"/>
        <v/>
      </c>
      <c r="R55" s="100"/>
      <c r="S55" s="156" t="str">
        <f t="shared" ca="1" si="20"/>
        <v/>
      </c>
      <c r="T55" s="101"/>
      <c r="U55" s="101"/>
      <c r="V55" s="101"/>
      <c r="W55" s="144"/>
    </row>
    <row r="56" spans="1:23" ht="24" customHeight="1" x14ac:dyDescent="0.25">
      <c r="A56" s="90">
        <v>194</v>
      </c>
      <c r="B56" s="19" t="str">
        <f>IFERROR(IF(VLOOKUP(T_SuiviTw[[#This Row],[NumL]],T_suiviDi[#Data],COLUMN(T_suiviDi[[#This Row],[Nom]]),FALSE)&lt;&gt;"",VLOOKUP(T_SuiviTw[[#This Row],[NumL]],T_suiviDi[#Data],COLUMN(T_suiviDi[[#This Row],[Nom]]),FALSE),""),"")</f>
        <v/>
      </c>
      <c r="C56" s="19" t="str">
        <f>IFERROR(IF(VLOOKUP(T_SuiviTw[[#This Row],[NumL]],T_suiviDi[#Data],COLUMN(T_suiviDi[[#This Row],[Prénom]]),FALSE)&lt;&gt;"",VLOOKUP(T_SuiviTw[[#This Row],[NumL]],T_suiviDi[#Data],COLUMN(T_suiviDi[[#This Row],[Prénom]]),FALSE),""),"")</f>
        <v/>
      </c>
      <c r="D56" s="20" t="str">
        <f>IFERROR(IF(VLOOKUP(T_SuiviTw[[#This Row],[NumL]],T_suiviDi[#Data],COLUMN(T_suiviDi[[#This Row],[Email]]),FALSE)&lt;&gt;"",VLOOKUP(T_SuiviTw[[#This Row],[NumL]],T_suiviDi[#Data],COLUMN(T_suiviDi[[#This Row],[Email]]),FALSE),""),"")</f>
        <v/>
      </c>
      <c r="E56" s="274" t="str">
        <f>IFERROR(IF(VLOOKUP(T_SuiviTw[[#This Row],[NumL]],T_suiviDi[#Data],COLUMN(T_suiviDi[[#This Row],[Nom1]]),FALSE)&lt;&gt;"",VLOOKUP(T_SuiviTw[[#This Row],[NumL]],T_suiviDi[#Data],COLUMN(T_suiviDi[[#This Row],[Nom1]]),FALSE),""),"")</f>
        <v/>
      </c>
      <c r="F56" s="274" t="str">
        <f>IFERROR(IF(VLOOKUP(T_SuiviTw[[#This Row],[NumL]],T_suiviDi[#Data],COLUMN(T_suiviDi[[#This Row],[Prénom1]]),FALSE)&lt;&gt;"",VLOOKUP(T_SuiviTw[[#This Row],[NumL]],T_suiviDi[#Data],COLUMN(T_suiviDi[[#This Row],[Prénom1]]),FALSE),""),"")</f>
        <v/>
      </c>
      <c r="G56" s="274" t="str">
        <f>IFERROR(IF(VLOOKUP(T_SuiviTw[[#This Row],[NumL]],T_suiviDi[#Data],COLUMN(T_suiviDi[[#This Row],[Email1]]),FALSE)&lt;&gt;"",VLOOKUP(T_SuiviTw[[#This Row],[NumL]],T_suiviDi[#Data],COLUMN(T_suiviDi[[#This Row],[Email1]]),FALSE),""),"")</f>
        <v/>
      </c>
      <c r="H56" s="275" t="str">
        <f t="shared" si="14"/>
        <v/>
      </c>
      <c r="I56" s="100"/>
      <c r="J56" s="156" t="str">
        <f t="shared" si="15"/>
        <v/>
      </c>
      <c r="K56" s="155" t="str">
        <f t="shared" si="16"/>
        <v/>
      </c>
      <c r="L56" s="100"/>
      <c r="M56" s="156" t="str">
        <f t="shared" ca="1" si="17"/>
        <v/>
      </c>
      <c r="N56" s="49"/>
      <c r="O56" s="49"/>
      <c r="P56" s="105" t="str">
        <f t="shared" si="18"/>
        <v/>
      </c>
      <c r="Q56" s="155" t="str">
        <f t="shared" si="19"/>
        <v/>
      </c>
      <c r="R56" s="100"/>
      <c r="S56" s="156" t="str">
        <f t="shared" ca="1" si="20"/>
        <v/>
      </c>
      <c r="T56" s="101"/>
      <c r="U56" s="101"/>
      <c r="V56" s="101"/>
      <c r="W56" s="144"/>
    </row>
    <row r="57" spans="1:23" ht="24" customHeight="1" x14ac:dyDescent="0.25">
      <c r="A57" s="90">
        <v>100</v>
      </c>
      <c r="B57" s="19" t="str">
        <f>IFERROR(IF(VLOOKUP(T_SuiviTw[[#This Row],[NumL]],T_suiviDi[#Data],COLUMN(T_suiviDi[[#This Row],[Nom]]),FALSE)&lt;&gt;"",VLOOKUP(T_SuiviTw[[#This Row],[NumL]],T_suiviDi[#Data],COLUMN(T_suiviDi[[#This Row],[Nom]]),FALSE),""),"")</f>
        <v/>
      </c>
      <c r="C57" s="19" t="str">
        <f>IFERROR(IF(VLOOKUP(T_SuiviTw[[#This Row],[NumL]],T_suiviDi[#Data],COLUMN(T_suiviDi[[#This Row],[Prénom]]),FALSE)&lt;&gt;"",VLOOKUP(T_SuiviTw[[#This Row],[NumL]],T_suiviDi[#Data],COLUMN(T_suiviDi[[#This Row],[Prénom]]),FALSE),""),"")</f>
        <v/>
      </c>
      <c r="D57" s="20" t="str">
        <f>IFERROR(IF(VLOOKUP(T_SuiviTw[[#This Row],[NumL]],T_suiviDi[#Data],COLUMN(T_suiviDi[[#This Row],[Email]]),FALSE)&lt;&gt;"",VLOOKUP(T_SuiviTw[[#This Row],[NumL]],T_suiviDi[#Data],COLUMN(T_suiviDi[[#This Row],[Email]]),FALSE),""),"")</f>
        <v/>
      </c>
      <c r="E57" s="274" t="str">
        <f>IFERROR(IF(VLOOKUP(T_SuiviTw[[#This Row],[NumL]],T_suiviDi[#Data],COLUMN(T_suiviDi[[#This Row],[Nom1]]),FALSE)&lt;&gt;"",VLOOKUP(T_SuiviTw[[#This Row],[NumL]],T_suiviDi[#Data],COLUMN(T_suiviDi[[#This Row],[Nom1]]),FALSE),""),"")</f>
        <v/>
      </c>
      <c r="F57" s="274" t="str">
        <f>IFERROR(IF(VLOOKUP(T_SuiviTw[[#This Row],[NumL]],T_suiviDi[#Data],COLUMN(T_suiviDi[[#This Row],[Prénom1]]),FALSE)&lt;&gt;"",VLOOKUP(T_SuiviTw[[#This Row],[NumL]],T_suiviDi[#Data],COLUMN(T_suiviDi[[#This Row],[Prénom1]]),FALSE),""),"")</f>
        <v/>
      </c>
      <c r="G57" s="274" t="str">
        <f>IFERROR(IF(VLOOKUP(T_SuiviTw[[#This Row],[NumL]],T_suiviDi[#Data],COLUMN(T_suiviDi[[#This Row],[Email1]]),FALSE)&lt;&gt;"",VLOOKUP(T_SuiviTw[[#This Row],[NumL]],T_suiviDi[#Data],COLUMN(T_suiviDi[[#This Row],[Email1]]),FALSE),""),"")</f>
        <v/>
      </c>
      <c r="H57" s="275" t="str">
        <f t="shared" si="14"/>
        <v/>
      </c>
      <c r="I57" s="100"/>
      <c r="J57" s="156" t="str">
        <f t="shared" si="15"/>
        <v/>
      </c>
      <c r="K57" s="155" t="str">
        <f t="shared" si="16"/>
        <v/>
      </c>
      <c r="L57" s="100"/>
      <c r="M57" s="156" t="str">
        <f t="shared" ca="1" si="17"/>
        <v/>
      </c>
      <c r="N57" s="49"/>
      <c r="O57" s="49"/>
      <c r="P57" s="105" t="str">
        <f t="shared" si="18"/>
        <v/>
      </c>
      <c r="Q57" s="155" t="str">
        <f t="shared" si="19"/>
        <v/>
      </c>
      <c r="R57" s="100"/>
      <c r="S57" s="156" t="str">
        <f t="shared" ca="1" si="20"/>
        <v/>
      </c>
      <c r="T57" s="101"/>
      <c r="U57" s="101"/>
      <c r="V57" s="101"/>
      <c r="W57" s="144"/>
    </row>
    <row r="58" spans="1:23" ht="24" customHeight="1" x14ac:dyDescent="0.25">
      <c r="A58" s="90">
        <v>151</v>
      </c>
      <c r="B58" s="19" t="str">
        <f>IFERROR(IF(VLOOKUP(T_SuiviTw[[#This Row],[NumL]],T_suiviDi[#Data],COLUMN(T_suiviDi[[#This Row],[Nom]]),FALSE)&lt;&gt;"",VLOOKUP(T_SuiviTw[[#This Row],[NumL]],T_suiviDi[#Data],COLUMN(T_suiviDi[[#This Row],[Nom]]),FALSE),""),"")</f>
        <v/>
      </c>
      <c r="C58" s="19" t="str">
        <f>IFERROR(IF(VLOOKUP(T_SuiviTw[[#This Row],[NumL]],T_suiviDi[#Data],COLUMN(T_suiviDi[[#This Row],[Prénom]]),FALSE)&lt;&gt;"",VLOOKUP(T_SuiviTw[[#This Row],[NumL]],T_suiviDi[#Data],COLUMN(T_suiviDi[[#This Row],[Prénom]]),FALSE),""),"")</f>
        <v/>
      </c>
      <c r="D58" s="20" t="str">
        <f>IFERROR(IF(VLOOKUP(T_SuiviTw[[#This Row],[NumL]],T_suiviDi[#Data],COLUMN(T_suiviDi[[#This Row],[Email]]),FALSE)&lt;&gt;"",VLOOKUP(T_SuiviTw[[#This Row],[NumL]],T_suiviDi[#Data],COLUMN(T_suiviDi[[#This Row],[Email]]),FALSE),""),"")</f>
        <v/>
      </c>
      <c r="E58" s="274" t="str">
        <f>IFERROR(IF(VLOOKUP(T_SuiviTw[[#This Row],[NumL]],T_suiviDi[#Data],COLUMN(T_suiviDi[[#This Row],[Nom1]]),FALSE)&lt;&gt;"",VLOOKUP(T_SuiviTw[[#This Row],[NumL]],T_suiviDi[#Data],COLUMN(T_suiviDi[[#This Row],[Nom1]]),FALSE),""),"")</f>
        <v/>
      </c>
      <c r="F58" s="274" t="str">
        <f>IFERROR(IF(VLOOKUP(T_SuiviTw[[#This Row],[NumL]],T_suiviDi[#Data],COLUMN(T_suiviDi[[#This Row],[Prénom1]]),FALSE)&lt;&gt;"",VLOOKUP(T_SuiviTw[[#This Row],[NumL]],T_suiviDi[#Data],COLUMN(T_suiviDi[[#This Row],[Prénom1]]),FALSE),""),"")</f>
        <v/>
      </c>
      <c r="G58" s="274" t="str">
        <f>IFERROR(IF(VLOOKUP(T_SuiviTw[[#This Row],[NumL]],T_suiviDi[#Data],COLUMN(T_suiviDi[[#This Row],[Email1]]),FALSE)&lt;&gt;"",VLOOKUP(T_SuiviTw[[#This Row],[NumL]],T_suiviDi[#Data],COLUMN(T_suiviDi[[#This Row],[Email1]]),FALSE),""),"")</f>
        <v/>
      </c>
      <c r="H58" s="275" t="str">
        <f t="shared" si="14"/>
        <v/>
      </c>
      <c r="I58" s="100"/>
      <c r="J58" s="156" t="str">
        <f t="shared" si="15"/>
        <v/>
      </c>
      <c r="K58" s="155" t="str">
        <f t="shared" si="16"/>
        <v/>
      </c>
      <c r="L58" s="100"/>
      <c r="M58" s="156" t="str">
        <f t="shared" ca="1" si="17"/>
        <v/>
      </c>
      <c r="N58" s="49"/>
      <c r="O58" s="49"/>
      <c r="P58" s="105" t="str">
        <f t="shared" si="18"/>
        <v/>
      </c>
      <c r="Q58" s="155" t="str">
        <f t="shared" si="19"/>
        <v/>
      </c>
      <c r="R58" s="100"/>
      <c r="S58" s="156" t="str">
        <f t="shared" ca="1" si="20"/>
        <v/>
      </c>
      <c r="T58" s="101"/>
      <c r="U58" s="101"/>
      <c r="V58" s="101"/>
      <c r="W58" s="144"/>
    </row>
    <row r="59" spans="1:23" ht="24" customHeight="1" x14ac:dyDescent="0.25">
      <c r="A59" s="90">
        <v>157</v>
      </c>
      <c r="B59" s="19" t="str">
        <f>IFERROR(IF(VLOOKUP(T_SuiviTw[[#This Row],[NumL]],T_suiviDi[#Data],COLUMN(T_suiviDi[[#This Row],[Nom]]),FALSE)&lt;&gt;"",VLOOKUP(T_SuiviTw[[#This Row],[NumL]],T_suiviDi[#Data],COLUMN(T_suiviDi[[#This Row],[Nom]]),FALSE),""),"")</f>
        <v/>
      </c>
      <c r="C59" s="19" t="str">
        <f>IFERROR(IF(VLOOKUP(T_SuiviTw[[#This Row],[NumL]],T_suiviDi[#Data],COLUMN(T_suiviDi[[#This Row],[Prénom]]),FALSE)&lt;&gt;"",VLOOKUP(T_SuiviTw[[#This Row],[NumL]],T_suiviDi[#Data],COLUMN(T_suiviDi[[#This Row],[Prénom]]),FALSE),""),"")</f>
        <v/>
      </c>
      <c r="D59" s="20" t="str">
        <f>IFERROR(IF(VLOOKUP(T_SuiviTw[[#This Row],[NumL]],T_suiviDi[#Data],COLUMN(T_suiviDi[[#This Row],[Email]]),FALSE)&lt;&gt;"",VLOOKUP(T_SuiviTw[[#This Row],[NumL]],T_suiviDi[#Data],COLUMN(T_suiviDi[[#This Row],[Email]]),FALSE),""),"")</f>
        <v/>
      </c>
      <c r="E59" s="274" t="str">
        <f>IFERROR(IF(VLOOKUP(T_SuiviTw[[#This Row],[NumL]],T_suiviDi[#Data],COLUMN(T_suiviDi[[#This Row],[Nom1]]),FALSE)&lt;&gt;"",VLOOKUP(T_SuiviTw[[#This Row],[NumL]],T_suiviDi[#Data],COLUMN(T_suiviDi[[#This Row],[Nom1]]),FALSE),""),"")</f>
        <v/>
      </c>
      <c r="F59" s="274" t="str">
        <f>IFERROR(IF(VLOOKUP(T_SuiviTw[[#This Row],[NumL]],T_suiviDi[#Data],COLUMN(T_suiviDi[[#This Row],[Prénom1]]),FALSE)&lt;&gt;"",VLOOKUP(T_SuiviTw[[#This Row],[NumL]],T_suiviDi[#Data],COLUMN(T_suiviDi[[#This Row],[Prénom1]]),FALSE),""),"")</f>
        <v/>
      </c>
      <c r="G59" s="274" t="str">
        <f>IFERROR(IF(VLOOKUP(T_SuiviTw[[#This Row],[NumL]],T_suiviDi[#Data],COLUMN(T_suiviDi[[#This Row],[Email1]]),FALSE)&lt;&gt;"",VLOOKUP(T_SuiviTw[[#This Row],[NumL]],T_suiviDi[#Data],COLUMN(T_suiviDi[[#This Row],[Email1]]),FALSE),""),"")</f>
        <v/>
      </c>
      <c r="H59" s="275" t="str">
        <f t="shared" si="14"/>
        <v/>
      </c>
      <c r="I59" s="100"/>
      <c r="J59" s="156" t="str">
        <f t="shared" si="15"/>
        <v/>
      </c>
      <c r="K59" s="155" t="str">
        <f t="shared" si="16"/>
        <v/>
      </c>
      <c r="L59" s="100"/>
      <c r="M59" s="156" t="str">
        <f t="shared" ca="1" si="17"/>
        <v/>
      </c>
      <c r="N59" s="49"/>
      <c r="O59" s="49"/>
      <c r="P59" s="105" t="str">
        <f t="shared" si="18"/>
        <v/>
      </c>
      <c r="Q59" s="155" t="str">
        <f t="shared" si="19"/>
        <v/>
      </c>
      <c r="R59" s="100"/>
      <c r="S59" s="156" t="str">
        <f t="shared" ca="1" si="20"/>
        <v/>
      </c>
      <c r="T59" s="101"/>
      <c r="U59" s="101"/>
      <c r="V59" s="101"/>
      <c r="W59" s="144"/>
    </row>
    <row r="60" spans="1:23" ht="24" customHeight="1" x14ac:dyDescent="0.25">
      <c r="A60" s="90">
        <v>39</v>
      </c>
      <c r="B60" s="19" t="str">
        <f>IFERROR(IF(VLOOKUP(T_SuiviTw[[#This Row],[NumL]],T_suiviDi[#Data],COLUMN(T_suiviDi[[#This Row],[Nom]]),FALSE)&lt;&gt;"",VLOOKUP(T_SuiviTw[[#This Row],[NumL]],T_suiviDi[#Data],COLUMN(T_suiviDi[[#This Row],[Nom]]),FALSE),""),"")</f>
        <v/>
      </c>
      <c r="C60" s="19" t="str">
        <f>IFERROR(IF(VLOOKUP(T_SuiviTw[[#This Row],[NumL]],T_suiviDi[#Data],COLUMN(T_suiviDi[[#This Row],[Prénom]]),FALSE)&lt;&gt;"",VLOOKUP(T_SuiviTw[[#This Row],[NumL]],T_suiviDi[#Data],COLUMN(T_suiviDi[[#This Row],[Prénom]]),FALSE),""),"")</f>
        <v/>
      </c>
      <c r="D60" s="20" t="str">
        <f>IFERROR(IF(VLOOKUP(T_SuiviTw[[#This Row],[NumL]],T_suiviDi[#Data],COLUMN(T_suiviDi[[#This Row],[Email]]),FALSE)&lt;&gt;"",VLOOKUP(T_SuiviTw[[#This Row],[NumL]],T_suiviDi[#Data],COLUMN(T_suiviDi[[#This Row],[Email]]),FALSE),""),"")</f>
        <v/>
      </c>
      <c r="E60" s="274" t="str">
        <f>IFERROR(IF(VLOOKUP(T_SuiviTw[[#This Row],[NumL]],T_suiviDi[#Data],COLUMN(T_suiviDi[[#This Row],[Nom1]]),FALSE)&lt;&gt;"",VLOOKUP(T_SuiviTw[[#This Row],[NumL]],T_suiviDi[#Data],COLUMN(T_suiviDi[[#This Row],[Nom1]]),FALSE),""),"")</f>
        <v/>
      </c>
      <c r="F60" s="274" t="str">
        <f>IFERROR(IF(VLOOKUP(T_SuiviTw[[#This Row],[NumL]],T_suiviDi[#Data],COLUMN(T_suiviDi[[#This Row],[Prénom1]]),FALSE)&lt;&gt;"",VLOOKUP(T_SuiviTw[[#This Row],[NumL]],T_suiviDi[#Data],COLUMN(T_suiviDi[[#This Row],[Prénom1]]),FALSE),""),"")</f>
        <v/>
      </c>
      <c r="G60" s="274" t="str">
        <f>IFERROR(IF(VLOOKUP(T_SuiviTw[[#This Row],[NumL]],T_suiviDi[#Data],COLUMN(T_suiviDi[[#This Row],[Email1]]),FALSE)&lt;&gt;"",VLOOKUP(T_SuiviTw[[#This Row],[NumL]],T_suiviDi[#Data],COLUMN(T_suiviDi[[#This Row],[Email1]]),FALSE),""),"")</f>
        <v/>
      </c>
      <c r="H60" s="275" t="str">
        <f t="shared" si="14"/>
        <v/>
      </c>
      <c r="I60" s="100"/>
      <c r="J60" s="156" t="str">
        <f t="shared" si="15"/>
        <v/>
      </c>
      <c r="K60" s="155" t="str">
        <f t="shared" si="16"/>
        <v/>
      </c>
      <c r="L60" s="100"/>
      <c r="M60" s="156" t="str">
        <f t="shared" ca="1" si="17"/>
        <v/>
      </c>
      <c r="N60" s="49"/>
      <c r="O60" s="49"/>
      <c r="P60" s="105" t="str">
        <f t="shared" si="18"/>
        <v/>
      </c>
      <c r="Q60" s="155" t="str">
        <f t="shared" si="19"/>
        <v/>
      </c>
      <c r="R60" s="100"/>
      <c r="S60" s="156" t="str">
        <f t="shared" ca="1" si="20"/>
        <v/>
      </c>
      <c r="T60" s="101"/>
      <c r="U60" s="101"/>
      <c r="V60" s="101"/>
      <c r="W60" s="144"/>
    </row>
    <row r="61" spans="1:23" ht="24" customHeight="1" x14ac:dyDescent="0.25">
      <c r="A61" s="90">
        <v>279</v>
      </c>
      <c r="B61" s="19" t="str">
        <f>IFERROR(IF(VLOOKUP(T_SuiviTw[[#This Row],[NumL]],T_suiviDi[#Data],COLUMN(T_suiviDi[[#This Row],[Nom]]),FALSE)&lt;&gt;"",VLOOKUP(T_SuiviTw[[#This Row],[NumL]],T_suiviDi[#Data],COLUMN(T_suiviDi[[#This Row],[Nom]]),FALSE),""),"")</f>
        <v/>
      </c>
      <c r="C61" s="19" t="str">
        <f>IFERROR(IF(VLOOKUP(T_SuiviTw[[#This Row],[NumL]],T_suiviDi[#Data],COLUMN(T_suiviDi[[#This Row],[Prénom]]),FALSE)&lt;&gt;"",VLOOKUP(T_SuiviTw[[#This Row],[NumL]],T_suiviDi[#Data],COLUMN(T_suiviDi[[#This Row],[Prénom]]),FALSE),""),"")</f>
        <v/>
      </c>
      <c r="D61" s="20" t="str">
        <f>IFERROR(IF(VLOOKUP(T_SuiviTw[[#This Row],[NumL]],T_suiviDi[#Data],COLUMN(T_suiviDi[[#This Row],[Email]]),FALSE)&lt;&gt;"",VLOOKUP(T_SuiviTw[[#This Row],[NumL]],T_suiviDi[#Data],COLUMN(T_suiviDi[[#This Row],[Email]]),FALSE),""),"")</f>
        <v/>
      </c>
      <c r="E61" s="274" t="str">
        <f>IFERROR(IF(VLOOKUP(T_SuiviTw[[#This Row],[NumL]],T_suiviDi[#Data],COLUMN(T_suiviDi[[#This Row],[Nom1]]),FALSE)&lt;&gt;"",VLOOKUP(T_SuiviTw[[#This Row],[NumL]],T_suiviDi[#Data],COLUMN(T_suiviDi[[#This Row],[Nom1]]),FALSE),""),"")</f>
        <v/>
      </c>
      <c r="F61" s="274" t="str">
        <f>IFERROR(IF(VLOOKUP(T_SuiviTw[[#This Row],[NumL]],T_suiviDi[#Data],COLUMN(T_suiviDi[[#This Row],[Prénom1]]),FALSE)&lt;&gt;"",VLOOKUP(T_SuiviTw[[#This Row],[NumL]],T_suiviDi[#Data],COLUMN(T_suiviDi[[#This Row],[Prénom1]]),FALSE),""),"")</f>
        <v/>
      </c>
      <c r="G61" s="274" t="str">
        <f>IFERROR(IF(VLOOKUP(T_SuiviTw[[#This Row],[NumL]],T_suiviDi[#Data],COLUMN(T_suiviDi[[#This Row],[Email1]]),FALSE)&lt;&gt;"",VLOOKUP(T_SuiviTw[[#This Row],[NumL]],T_suiviDi[#Data],COLUMN(T_suiviDi[[#This Row],[Email1]]),FALSE),""),"")</f>
        <v/>
      </c>
      <c r="H61" s="275" t="str">
        <f t="shared" si="14"/>
        <v/>
      </c>
      <c r="I61" s="100"/>
      <c r="J61" s="156" t="str">
        <f t="shared" si="15"/>
        <v/>
      </c>
      <c r="K61" s="155" t="str">
        <f t="shared" si="16"/>
        <v/>
      </c>
      <c r="L61" s="100"/>
      <c r="M61" s="156" t="str">
        <f t="shared" ca="1" si="17"/>
        <v/>
      </c>
      <c r="N61" s="49"/>
      <c r="O61" s="49"/>
      <c r="P61" s="105" t="str">
        <f t="shared" si="18"/>
        <v/>
      </c>
      <c r="Q61" s="155" t="str">
        <f t="shared" si="19"/>
        <v/>
      </c>
      <c r="R61" s="100"/>
      <c r="S61" s="156" t="str">
        <f t="shared" ca="1" si="20"/>
        <v/>
      </c>
      <c r="T61" s="101"/>
      <c r="U61" s="101"/>
      <c r="V61" s="101"/>
      <c r="W61" s="144"/>
    </row>
    <row r="62" spans="1:23" ht="24" customHeight="1" x14ac:dyDescent="0.25">
      <c r="A62" s="90">
        <v>290</v>
      </c>
      <c r="B62" s="19" t="str">
        <f>IFERROR(IF(VLOOKUP(T_SuiviTw[[#This Row],[NumL]],T_suiviDi[#Data],COLUMN(T_suiviDi[[#This Row],[Nom]]),FALSE)&lt;&gt;"",VLOOKUP(T_SuiviTw[[#This Row],[NumL]],T_suiviDi[#Data],COLUMN(T_suiviDi[[#This Row],[Nom]]),FALSE),""),"")</f>
        <v/>
      </c>
      <c r="C62" s="19" t="str">
        <f>IFERROR(IF(VLOOKUP(T_SuiviTw[[#This Row],[NumL]],T_suiviDi[#Data],COLUMN(T_suiviDi[[#This Row],[Prénom]]),FALSE)&lt;&gt;"",VLOOKUP(T_SuiviTw[[#This Row],[NumL]],T_suiviDi[#Data],COLUMN(T_suiviDi[[#This Row],[Prénom]]),FALSE),""),"")</f>
        <v/>
      </c>
      <c r="D62" s="20" t="str">
        <f>IFERROR(IF(VLOOKUP(T_SuiviTw[[#This Row],[NumL]],T_suiviDi[#Data],COLUMN(T_suiviDi[[#This Row],[Email]]),FALSE)&lt;&gt;"",VLOOKUP(T_SuiviTw[[#This Row],[NumL]],T_suiviDi[#Data],COLUMN(T_suiviDi[[#This Row],[Email]]),FALSE),""),"")</f>
        <v/>
      </c>
      <c r="E62" s="274" t="str">
        <f>IFERROR(IF(VLOOKUP(T_SuiviTw[[#This Row],[NumL]],T_suiviDi[#Data],COLUMN(T_suiviDi[[#This Row],[Nom1]]),FALSE)&lt;&gt;"",VLOOKUP(T_SuiviTw[[#This Row],[NumL]],T_suiviDi[#Data],COLUMN(T_suiviDi[[#This Row],[Nom1]]),FALSE),""),"")</f>
        <v/>
      </c>
      <c r="F62" s="274" t="str">
        <f>IFERROR(IF(VLOOKUP(T_SuiviTw[[#This Row],[NumL]],T_suiviDi[#Data],COLUMN(T_suiviDi[[#This Row],[Prénom1]]),FALSE)&lt;&gt;"",VLOOKUP(T_SuiviTw[[#This Row],[NumL]],T_suiviDi[#Data],COLUMN(T_suiviDi[[#This Row],[Prénom1]]),FALSE),""),"")</f>
        <v/>
      </c>
      <c r="G62" s="274" t="str">
        <f>IFERROR(IF(VLOOKUP(T_SuiviTw[[#This Row],[NumL]],T_suiviDi[#Data],COLUMN(T_suiviDi[[#This Row],[Email1]]),FALSE)&lt;&gt;"",VLOOKUP(T_SuiviTw[[#This Row],[NumL]],T_suiviDi[#Data],COLUMN(T_suiviDi[[#This Row],[Email1]]),FALSE),""),"")</f>
        <v/>
      </c>
      <c r="H62" s="275" t="str">
        <f t="shared" si="14"/>
        <v/>
      </c>
      <c r="I62" s="100"/>
      <c r="J62" s="156" t="str">
        <f t="shared" si="15"/>
        <v/>
      </c>
      <c r="K62" s="155" t="str">
        <f t="shared" si="16"/>
        <v/>
      </c>
      <c r="L62" s="100"/>
      <c r="M62" s="156" t="str">
        <f t="shared" ca="1" si="17"/>
        <v/>
      </c>
      <c r="N62" s="49"/>
      <c r="O62" s="49"/>
      <c r="P62" s="105" t="str">
        <f t="shared" si="18"/>
        <v/>
      </c>
      <c r="Q62" s="155" t="str">
        <f t="shared" si="19"/>
        <v/>
      </c>
      <c r="R62" s="100"/>
      <c r="S62" s="156" t="str">
        <f t="shared" ca="1" si="20"/>
        <v/>
      </c>
      <c r="T62" s="101"/>
      <c r="U62" s="101"/>
      <c r="V62" s="101"/>
      <c r="W62" s="144"/>
    </row>
    <row r="63" spans="1:23" ht="24" customHeight="1" x14ac:dyDescent="0.25">
      <c r="A63" s="90">
        <v>286</v>
      </c>
      <c r="B63" s="19" t="str">
        <f>IFERROR(IF(VLOOKUP(T_SuiviTw[[#This Row],[NumL]],T_suiviDi[#Data],COLUMN(T_suiviDi[[#This Row],[Nom]]),FALSE)&lt;&gt;"",VLOOKUP(T_SuiviTw[[#This Row],[NumL]],T_suiviDi[#Data],COLUMN(T_suiviDi[[#This Row],[Nom]]),FALSE),""),"")</f>
        <v/>
      </c>
      <c r="C63" s="19" t="str">
        <f>IFERROR(IF(VLOOKUP(T_SuiviTw[[#This Row],[NumL]],T_suiviDi[#Data],COLUMN(T_suiviDi[[#This Row],[Prénom]]),FALSE)&lt;&gt;"",VLOOKUP(T_SuiviTw[[#This Row],[NumL]],T_suiviDi[#Data],COLUMN(T_suiviDi[[#This Row],[Prénom]]),FALSE),""),"")</f>
        <v/>
      </c>
      <c r="D63" s="20" t="str">
        <f>IFERROR(IF(VLOOKUP(T_SuiviTw[[#This Row],[NumL]],T_suiviDi[#Data],COLUMN(T_suiviDi[[#This Row],[Email]]),FALSE)&lt;&gt;"",VLOOKUP(T_SuiviTw[[#This Row],[NumL]],T_suiviDi[#Data],COLUMN(T_suiviDi[[#This Row],[Email]]),FALSE),""),"")</f>
        <v/>
      </c>
      <c r="E63" s="274" t="str">
        <f>IFERROR(IF(VLOOKUP(T_SuiviTw[[#This Row],[NumL]],T_suiviDi[#Data],COLUMN(T_suiviDi[[#This Row],[Nom1]]),FALSE)&lt;&gt;"",VLOOKUP(T_SuiviTw[[#This Row],[NumL]],T_suiviDi[#Data],COLUMN(T_suiviDi[[#This Row],[Nom1]]),FALSE),""),"")</f>
        <v/>
      </c>
      <c r="F63" s="274" t="str">
        <f>IFERROR(IF(VLOOKUP(T_SuiviTw[[#This Row],[NumL]],T_suiviDi[#Data],COLUMN(T_suiviDi[[#This Row],[Prénom1]]),FALSE)&lt;&gt;"",VLOOKUP(T_SuiviTw[[#This Row],[NumL]],T_suiviDi[#Data],COLUMN(T_suiviDi[[#This Row],[Prénom1]]),FALSE),""),"")</f>
        <v/>
      </c>
      <c r="G63" s="274" t="str">
        <f>IFERROR(IF(VLOOKUP(T_SuiviTw[[#This Row],[NumL]],T_suiviDi[#Data],COLUMN(T_suiviDi[[#This Row],[Email1]]),FALSE)&lt;&gt;"",VLOOKUP(T_SuiviTw[[#This Row],[NumL]],T_suiviDi[#Data],COLUMN(T_suiviDi[[#This Row],[Email1]]),FALSE),""),"")</f>
        <v/>
      </c>
      <c r="H63" s="275" t="str">
        <f t="shared" si="14"/>
        <v/>
      </c>
      <c r="I63" s="100"/>
      <c r="J63" s="156" t="str">
        <f t="shared" si="15"/>
        <v/>
      </c>
      <c r="K63" s="155" t="str">
        <f t="shared" si="16"/>
        <v/>
      </c>
      <c r="L63" s="100"/>
      <c r="M63" s="156" t="str">
        <f t="shared" ca="1" si="17"/>
        <v/>
      </c>
      <c r="N63" s="49"/>
      <c r="O63" s="49"/>
      <c r="P63" s="105" t="str">
        <f t="shared" si="18"/>
        <v/>
      </c>
      <c r="Q63" s="155" t="str">
        <f t="shared" si="19"/>
        <v/>
      </c>
      <c r="R63" s="100"/>
      <c r="S63" s="156" t="str">
        <f t="shared" ca="1" si="20"/>
        <v/>
      </c>
      <c r="T63" s="101"/>
      <c r="U63" s="101"/>
      <c r="V63" s="101"/>
      <c r="W63" s="144"/>
    </row>
    <row r="64" spans="1:23" ht="24" customHeight="1" x14ac:dyDescent="0.25">
      <c r="A64" s="90">
        <v>313</v>
      </c>
      <c r="B64" s="139" t="str">
        <f>IFERROR(IF(VLOOKUP(T_SuiviTw[[#This Row],[NumL]],T_suiviDi[#Data],COLUMN(T_suiviDi[[#This Row],[Nom]]),FALSE)&lt;&gt;"",VLOOKUP(T_SuiviTw[[#This Row],[NumL]],T_suiviDi[#Data],COLUMN(T_suiviDi[[#This Row],[Nom]]),FALSE),""),"")</f>
        <v/>
      </c>
      <c r="C64" s="139" t="str">
        <f>IFERROR(IF(VLOOKUP(T_SuiviTw[[#This Row],[NumL]],T_suiviDi[#Data],COLUMN(T_suiviDi[[#This Row],[Prénom]]),FALSE)&lt;&gt;"",VLOOKUP(T_SuiviTw[[#This Row],[NumL]],T_suiviDi[#Data],COLUMN(T_suiviDi[[#This Row],[Prénom]]),FALSE),""),"")</f>
        <v/>
      </c>
      <c r="D64" s="140" t="str">
        <f>IFERROR(IF(VLOOKUP(T_SuiviTw[[#This Row],[NumL]],T_suiviDi[#Data],COLUMN(T_suiviDi[[#This Row],[Email]]),FALSE)&lt;&gt;"",VLOOKUP(T_SuiviTw[[#This Row],[NumL]],T_suiviDi[#Data],COLUMN(T_suiviDi[[#This Row],[Email]]),FALSE),""),"")</f>
        <v/>
      </c>
      <c r="E64" s="141" t="str">
        <f>IFERROR(IF(VLOOKUP(T_SuiviTw[[#This Row],[NumL]],T_suiviDi[#Data],COLUMN(T_suiviDi[[#This Row],[Nom1]]),FALSE)&lt;&gt;"",VLOOKUP(T_SuiviTw[[#This Row],[NumL]],T_suiviDi[#Data],COLUMN(T_suiviDi[[#This Row],[Nom1]]),FALSE),""),"")</f>
        <v/>
      </c>
      <c r="F64" s="141" t="str">
        <f>IFERROR(IF(VLOOKUP(T_SuiviTw[[#This Row],[NumL]],T_suiviDi[#Data],COLUMN(T_suiviDi[[#This Row],[Prénom1]]),FALSE)&lt;&gt;"",VLOOKUP(T_SuiviTw[[#This Row],[NumL]],T_suiviDi[#Data],COLUMN(T_suiviDi[[#This Row],[Prénom1]]),FALSE),""),"")</f>
        <v/>
      </c>
      <c r="G64" s="141" t="str">
        <f>IFERROR(IF(VLOOKUP(T_SuiviTw[[#This Row],[NumL]],T_suiviDi[#Data],COLUMN(T_suiviDi[[#This Row],[Email1]]),FALSE)&lt;&gt;"",VLOOKUP(T_SuiviTw[[#This Row],[NumL]],T_suiviDi[#Data],COLUMN(T_suiviDi[[#This Row],[Email1]]),FALSE),""),"")</f>
        <v/>
      </c>
      <c r="H64" s="155" t="str">
        <f t="shared" si="14"/>
        <v/>
      </c>
      <c r="I64" s="100"/>
      <c r="J64" s="156" t="str">
        <f t="shared" si="15"/>
        <v/>
      </c>
      <c r="K64" s="155" t="str">
        <f t="shared" si="16"/>
        <v/>
      </c>
      <c r="L64" s="100"/>
      <c r="M64" s="156" t="str">
        <f t="shared" ca="1" si="17"/>
        <v/>
      </c>
      <c r="N64" s="49"/>
      <c r="O64" s="49"/>
      <c r="P64" s="105" t="str">
        <f t="shared" si="18"/>
        <v/>
      </c>
      <c r="Q64" s="155" t="str">
        <f t="shared" si="19"/>
        <v/>
      </c>
      <c r="R64" s="100"/>
      <c r="S64" s="156" t="str">
        <f t="shared" ca="1" si="20"/>
        <v/>
      </c>
      <c r="T64" s="101"/>
      <c r="U64" s="101"/>
      <c r="V64" s="101"/>
      <c r="W64" s="144"/>
    </row>
    <row r="65" spans="1:23" ht="24" customHeight="1" x14ac:dyDescent="0.25">
      <c r="A65" s="90">
        <v>96</v>
      </c>
      <c r="B65" s="19" t="str">
        <f>IFERROR(IF(VLOOKUP(T_SuiviTw[[#This Row],[NumL]],T_suiviDi[#Data],COLUMN(T_suiviDi[[#This Row],[Nom]]),FALSE)&lt;&gt;"",VLOOKUP(T_SuiviTw[[#This Row],[NumL]],T_suiviDi[#Data],COLUMN(T_suiviDi[[#This Row],[Nom]]),FALSE),""),"")</f>
        <v/>
      </c>
      <c r="C65" s="19" t="str">
        <f>IFERROR(IF(VLOOKUP(T_SuiviTw[[#This Row],[NumL]],T_suiviDi[#Data],COLUMN(T_suiviDi[[#This Row],[Prénom]]),FALSE)&lt;&gt;"",VLOOKUP(T_SuiviTw[[#This Row],[NumL]],T_suiviDi[#Data],COLUMN(T_suiviDi[[#This Row],[Prénom]]),FALSE),""),"")</f>
        <v/>
      </c>
      <c r="D65" s="20" t="str">
        <f>IFERROR(IF(VLOOKUP(T_SuiviTw[[#This Row],[NumL]],T_suiviDi[#Data],COLUMN(T_suiviDi[[#This Row],[Email]]),FALSE)&lt;&gt;"",VLOOKUP(T_SuiviTw[[#This Row],[NumL]],T_suiviDi[#Data],COLUMN(T_suiviDi[[#This Row],[Email]]),FALSE),""),"")</f>
        <v/>
      </c>
      <c r="E65" s="274" t="str">
        <f>IFERROR(IF(VLOOKUP(T_SuiviTw[[#This Row],[NumL]],T_suiviDi[#Data],COLUMN(T_suiviDi[[#This Row],[Nom1]]),FALSE)&lt;&gt;"",VLOOKUP(T_SuiviTw[[#This Row],[NumL]],T_suiviDi[#Data],COLUMN(T_suiviDi[[#This Row],[Nom1]]),FALSE),""),"")</f>
        <v/>
      </c>
      <c r="F65" s="274" t="str">
        <f>IFERROR(IF(VLOOKUP(T_SuiviTw[[#This Row],[NumL]],T_suiviDi[#Data],COLUMN(T_suiviDi[[#This Row],[Prénom1]]),FALSE)&lt;&gt;"",VLOOKUP(T_SuiviTw[[#This Row],[NumL]],T_suiviDi[#Data],COLUMN(T_suiviDi[[#This Row],[Prénom1]]),FALSE),""),"")</f>
        <v/>
      </c>
      <c r="G65" s="274" t="str">
        <f>IFERROR(IF(VLOOKUP(T_SuiviTw[[#This Row],[NumL]],T_suiviDi[#Data],COLUMN(T_suiviDi[[#This Row],[Email1]]),FALSE)&lt;&gt;"",VLOOKUP(T_SuiviTw[[#This Row],[NumL]],T_suiviDi[#Data],COLUMN(T_suiviDi[[#This Row],[Email1]]),FALSE),""),"")</f>
        <v/>
      </c>
      <c r="H65" s="275" t="str">
        <f t="shared" si="14"/>
        <v/>
      </c>
      <c r="I65" s="100"/>
      <c r="J65" s="156" t="str">
        <f t="shared" si="15"/>
        <v/>
      </c>
      <c r="K65" s="155" t="str">
        <f t="shared" si="16"/>
        <v/>
      </c>
      <c r="L65" s="100"/>
      <c r="M65" s="156" t="str">
        <f t="shared" ca="1" si="17"/>
        <v/>
      </c>
      <c r="N65" s="49"/>
      <c r="O65" s="49"/>
      <c r="P65" s="105" t="str">
        <f t="shared" si="18"/>
        <v/>
      </c>
      <c r="Q65" s="155" t="str">
        <f t="shared" si="19"/>
        <v/>
      </c>
      <c r="R65" s="100"/>
      <c r="S65" s="156" t="str">
        <f t="shared" ca="1" si="20"/>
        <v/>
      </c>
      <c r="T65" s="101"/>
      <c r="U65" s="101"/>
      <c r="V65" s="101"/>
      <c r="W65" s="144"/>
    </row>
    <row r="66" spans="1:23" ht="24" customHeight="1" x14ac:dyDescent="0.25">
      <c r="A66" s="90">
        <v>24</v>
      </c>
      <c r="B66" s="19" t="str">
        <f>IFERROR(IF(VLOOKUP(T_SuiviTw[[#This Row],[NumL]],T_suiviDi[#Data],COLUMN(T_suiviDi[[#This Row],[Nom]]),FALSE)&lt;&gt;"",VLOOKUP(T_SuiviTw[[#This Row],[NumL]],T_suiviDi[#Data],COLUMN(T_suiviDi[[#This Row],[Nom]]),FALSE),""),"")</f>
        <v/>
      </c>
      <c r="C66" s="19" t="str">
        <f>IFERROR(IF(VLOOKUP(T_SuiviTw[[#This Row],[NumL]],T_suiviDi[#Data],COLUMN(T_suiviDi[[#This Row],[Prénom]]),FALSE)&lt;&gt;"",VLOOKUP(T_SuiviTw[[#This Row],[NumL]],T_suiviDi[#Data],COLUMN(T_suiviDi[[#This Row],[Prénom]]),FALSE),""),"")</f>
        <v/>
      </c>
      <c r="D66" s="20" t="str">
        <f>IFERROR(IF(VLOOKUP(T_SuiviTw[[#This Row],[NumL]],T_suiviDi[#Data],COLUMN(T_suiviDi[[#This Row],[Email]]),FALSE)&lt;&gt;"",VLOOKUP(T_SuiviTw[[#This Row],[NumL]],T_suiviDi[#Data],COLUMN(T_suiviDi[[#This Row],[Email]]),FALSE),""),"")</f>
        <v/>
      </c>
      <c r="E66" s="274" t="str">
        <f>IFERROR(IF(VLOOKUP(T_SuiviTw[[#This Row],[NumL]],T_suiviDi[#Data],COLUMN(T_suiviDi[[#This Row],[Nom1]]),FALSE)&lt;&gt;"",VLOOKUP(T_SuiviTw[[#This Row],[NumL]],T_suiviDi[#Data],COLUMN(T_suiviDi[[#This Row],[Nom1]]),FALSE),""),"")</f>
        <v/>
      </c>
      <c r="F66" s="274" t="str">
        <f>IFERROR(IF(VLOOKUP(T_SuiviTw[[#This Row],[NumL]],T_suiviDi[#Data],COLUMN(T_suiviDi[[#This Row],[Prénom1]]),FALSE)&lt;&gt;"",VLOOKUP(T_SuiviTw[[#This Row],[NumL]],T_suiviDi[#Data],COLUMN(T_suiviDi[[#This Row],[Prénom1]]),FALSE),""),"")</f>
        <v/>
      </c>
      <c r="G66" s="274" t="str">
        <f>IFERROR(IF(VLOOKUP(T_SuiviTw[[#This Row],[NumL]],T_suiviDi[#Data],COLUMN(T_suiviDi[[#This Row],[Email1]]),FALSE)&lt;&gt;"",VLOOKUP(T_SuiviTw[[#This Row],[NumL]],T_suiviDi[#Data],COLUMN(T_suiviDi[[#This Row],[Email1]]),FALSE),""),"")</f>
        <v/>
      </c>
      <c r="H66" s="275" t="str">
        <f t="shared" si="14"/>
        <v/>
      </c>
      <c r="I66" s="100"/>
      <c r="J66" s="156" t="str">
        <f t="shared" si="15"/>
        <v/>
      </c>
      <c r="K66" s="155" t="str">
        <f t="shared" si="16"/>
        <v/>
      </c>
      <c r="L66" s="100"/>
      <c r="M66" s="156" t="str">
        <f t="shared" ca="1" si="17"/>
        <v/>
      </c>
      <c r="N66" s="49"/>
      <c r="O66" s="49"/>
      <c r="P66" s="105" t="str">
        <f t="shared" si="18"/>
        <v/>
      </c>
      <c r="Q66" s="155" t="str">
        <f t="shared" si="19"/>
        <v/>
      </c>
      <c r="R66" s="100"/>
      <c r="S66" s="156" t="str">
        <f t="shared" ca="1" si="20"/>
        <v/>
      </c>
      <c r="T66" s="101"/>
      <c r="U66" s="101"/>
      <c r="V66" s="101"/>
      <c r="W66" s="144"/>
    </row>
    <row r="67" spans="1:23" ht="24" customHeight="1" x14ac:dyDescent="0.25">
      <c r="A67" s="90">
        <v>227</v>
      </c>
      <c r="B67" s="19" t="str">
        <f>IFERROR(IF(VLOOKUP(T_SuiviTw[[#This Row],[NumL]],T_suiviDi[#Data],COLUMN(T_suiviDi[[#This Row],[Nom]]),FALSE)&lt;&gt;"",VLOOKUP(T_SuiviTw[[#This Row],[NumL]],T_suiviDi[#Data],COLUMN(T_suiviDi[[#This Row],[Nom]]),FALSE),""),"")</f>
        <v/>
      </c>
      <c r="C67" s="19" t="str">
        <f>IFERROR(IF(VLOOKUP(T_SuiviTw[[#This Row],[NumL]],T_suiviDi[#Data],COLUMN(T_suiviDi[[#This Row],[Prénom]]),FALSE)&lt;&gt;"",VLOOKUP(T_SuiviTw[[#This Row],[NumL]],T_suiviDi[#Data],COLUMN(T_suiviDi[[#This Row],[Prénom]]),FALSE),""),"")</f>
        <v/>
      </c>
      <c r="D67" s="20" t="str">
        <f>IFERROR(IF(VLOOKUP(T_SuiviTw[[#This Row],[NumL]],T_suiviDi[#Data],COLUMN(T_suiviDi[[#This Row],[Email]]),FALSE)&lt;&gt;"",VLOOKUP(T_SuiviTw[[#This Row],[NumL]],T_suiviDi[#Data],COLUMN(T_suiviDi[[#This Row],[Email]]),FALSE),""),"")</f>
        <v/>
      </c>
      <c r="E67" s="274" t="str">
        <f>IFERROR(IF(VLOOKUP(T_SuiviTw[[#This Row],[NumL]],T_suiviDi[#Data],COLUMN(T_suiviDi[[#This Row],[Nom1]]),FALSE)&lt;&gt;"",VLOOKUP(T_SuiviTw[[#This Row],[NumL]],T_suiviDi[#Data],COLUMN(T_suiviDi[[#This Row],[Nom1]]),FALSE),""),"")</f>
        <v/>
      </c>
      <c r="F67" s="274" t="str">
        <f>IFERROR(IF(VLOOKUP(T_SuiviTw[[#This Row],[NumL]],T_suiviDi[#Data],COLUMN(T_suiviDi[[#This Row],[Prénom1]]),FALSE)&lt;&gt;"",VLOOKUP(T_SuiviTw[[#This Row],[NumL]],T_suiviDi[#Data],COLUMN(T_suiviDi[[#This Row],[Prénom1]]),FALSE),""),"")</f>
        <v/>
      </c>
      <c r="G67" s="274" t="str">
        <f>IFERROR(IF(VLOOKUP(T_SuiviTw[[#This Row],[NumL]],T_suiviDi[#Data],COLUMN(T_suiviDi[[#This Row],[Email1]]),FALSE)&lt;&gt;"",VLOOKUP(T_SuiviTw[[#This Row],[NumL]],T_suiviDi[#Data],COLUMN(T_suiviDi[[#This Row],[Email1]]),FALSE),""),"")</f>
        <v/>
      </c>
      <c r="H67" s="275" t="str">
        <f t="shared" si="14"/>
        <v/>
      </c>
      <c r="I67" s="100"/>
      <c r="J67" s="156" t="str">
        <f t="shared" si="15"/>
        <v/>
      </c>
      <c r="K67" s="155" t="str">
        <f t="shared" si="16"/>
        <v/>
      </c>
      <c r="L67" s="100"/>
      <c r="M67" s="156" t="str">
        <f t="shared" ca="1" si="17"/>
        <v/>
      </c>
      <c r="N67" s="49"/>
      <c r="O67" s="49"/>
      <c r="P67" s="105" t="str">
        <f t="shared" si="18"/>
        <v/>
      </c>
      <c r="Q67" s="155" t="str">
        <f t="shared" si="19"/>
        <v/>
      </c>
      <c r="R67" s="100"/>
      <c r="S67" s="156" t="str">
        <f t="shared" ca="1" si="20"/>
        <v/>
      </c>
      <c r="T67" s="101"/>
      <c r="U67" s="101"/>
      <c r="V67" s="101"/>
      <c r="W67" s="144"/>
    </row>
    <row r="68" spans="1:23" ht="24" customHeight="1" x14ac:dyDescent="0.25">
      <c r="A68" s="90">
        <v>228</v>
      </c>
      <c r="B68" s="19" t="str">
        <f>IFERROR(IF(VLOOKUP(T_SuiviTw[[#This Row],[NumL]],T_suiviDi[#Data],COLUMN(T_suiviDi[[#This Row],[Nom]]),FALSE)&lt;&gt;"",VLOOKUP(T_SuiviTw[[#This Row],[NumL]],T_suiviDi[#Data],COLUMN(T_suiviDi[[#This Row],[Nom]]),FALSE),""),"")</f>
        <v/>
      </c>
      <c r="C68" s="19" t="str">
        <f>IFERROR(IF(VLOOKUP(T_SuiviTw[[#This Row],[NumL]],T_suiviDi[#Data],COLUMN(T_suiviDi[[#This Row],[Prénom]]),FALSE)&lt;&gt;"",VLOOKUP(T_SuiviTw[[#This Row],[NumL]],T_suiviDi[#Data],COLUMN(T_suiviDi[[#This Row],[Prénom]]),FALSE),""),"")</f>
        <v/>
      </c>
      <c r="D68" s="20" t="str">
        <f>IFERROR(IF(VLOOKUP(T_SuiviTw[[#This Row],[NumL]],T_suiviDi[#Data],COLUMN(T_suiviDi[[#This Row],[Email]]),FALSE)&lt;&gt;"",VLOOKUP(T_SuiviTw[[#This Row],[NumL]],T_suiviDi[#Data],COLUMN(T_suiviDi[[#This Row],[Email]]),FALSE),""),"")</f>
        <v/>
      </c>
      <c r="E68" s="274" t="str">
        <f>IFERROR(IF(VLOOKUP(T_SuiviTw[[#This Row],[NumL]],T_suiviDi[#Data],COLUMN(T_suiviDi[[#This Row],[Nom1]]),FALSE)&lt;&gt;"",VLOOKUP(T_SuiviTw[[#This Row],[NumL]],T_suiviDi[#Data],COLUMN(T_suiviDi[[#This Row],[Nom1]]),FALSE),""),"")</f>
        <v/>
      </c>
      <c r="F68" s="274" t="str">
        <f>IFERROR(IF(VLOOKUP(T_SuiviTw[[#This Row],[NumL]],T_suiviDi[#Data],COLUMN(T_suiviDi[[#This Row],[Prénom1]]),FALSE)&lt;&gt;"",VLOOKUP(T_SuiviTw[[#This Row],[NumL]],T_suiviDi[#Data],COLUMN(T_suiviDi[[#This Row],[Prénom1]]),FALSE),""),"")</f>
        <v/>
      </c>
      <c r="G68" s="274" t="str">
        <f>IFERROR(IF(VLOOKUP(T_SuiviTw[[#This Row],[NumL]],T_suiviDi[#Data],COLUMN(T_suiviDi[[#This Row],[Email1]]),FALSE)&lt;&gt;"",VLOOKUP(T_SuiviTw[[#This Row],[NumL]],T_suiviDi[#Data],COLUMN(T_suiviDi[[#This Row],[Email1]]),FALSE),""),"")</f>
        <v/>
      </c>
      <c r="H68" s="275" t="str">
        <f t="shared" si="14"/>
        <v/>
      </c>
      <c r="I68" s="100"/>
      <c r="J68" s="156" t="str">
        <f t="shared" si="15"/>
        <v/>
      </c>
      <c r="K68" s="155" t="str">
        <f t="shared" si="16"/>
        <v/>
      </c>
      <c r="L68" s="100"/>
      <c r="M68" s="156" t="str">
        <f t="shared" ca="1" si="17"/>
        <v/>
      </c>
      <c r="N68" s="49"/>
      <c r="O68" s="49"/>
      <c r="P68" s="105" t="str">
        <f t="shared" si="18"/>
        <v/>
      </c>
      <c r="Q68" s="155" t="str">
        <f t="shared" si="19"/>
        <v/>
      </c>
      <c r="R68" s="100"/>
      <c r="S68" s="156" t="str">
        <f t="shared" ca="1" si="20"/>
        <v/>
      </c>
      <c r="T68" s="101"/>
      <c r="U68" s="101"/>
      <c r="V68" s="101"/>
      <c r="W68" s="144"/>
    </row>
    <row r="69" spans="1:23" ht="24" customHeight="1" x14ac:dyDescent="0.25">
      <c r="A69" s="90">
        <v>255</v>
      </c>
      <c r="B69" s="19" t="str">
        <f>IFERROR(IF(VLOOKUP(T_SuiviTw[[#This Row],[NumL]],T_suiviDi[#Data],COLUMN(T_suiviDi[[#This Row],[Nom]]),FALSE)&lt;&gt;"",VLOOKUP(T_SuiviTw[[#This Row],[NumL]],T_suiviDi[#Data],COLUMN(T_suiviDi[[#This Row],[Nom]]),FALSE),""),"")</f>
        <v/>
      </c>
      <c r="C69" s="19" t="str">
        <f>IFERROR(IF(VLOOKUP(T_SuiviTw[[#This Row],[NumL]],T_suiviDi[#Data],COLUMN(T_suiviDi[[#This Row],[Prénom]]),FALSE)&lt;&gt;"",VLOOKUP(T_SuiviTw[[#This Row],[NumL]],T_suiviDi[#Data],COLUMN(T_suiviDi[[#This Row],[Prénom]]),FALSE),""),"")</f>
        <v/>
      </c>
      <c r="D69" s="20" t="str">
        <f>IFERROR(IF(VLOOKUP(T_SuiviTw[[#This Row],[NumL]],T_suiviDi[#Data],COLUMN(T_suiviDi[[#This Row],[Email]]),FALSE)&lt;&gt;"",VLOOKUP(T_SuiviTw[[#This Row],[NumL]],T_suiviDi[#Data],COLUMN(T_suiviDi[[#This Row],[Email]]),FALSE),""),"")</f>
        <v/>
      </c>
      <c r="E69" s="274" t="str">
        <f>IFERROR(IF(VLOOKUP(T_SuiviTw[[#This Row],[NumL]],T_suiviDi[#Data],COLUMN(T_suiviDi[[#This Row],[Nom1]]),FALSE)&lt;&gt;"",VLOOKUP(T_SuiviTw[[#This Row],[NumL]],T_suiviDi[#Data],COLUMN(T_suiviDi[[#This Row],[Nom1]]),FALSE),""),"")</f>
        <v/>
      </c>
      <c r="F69" s="274" t="str">
        <f>IFERROR(IF(VLOOKUP(T_SuiviTw[[#This Row],[NumL]],T_suiviDi[#Data],COLUMN(T_suiviDi[[#This Row],[Prénom1]]),FALSE)&lt;&gt;"",VLOOKUP(T_SuiviTw[[#This Row],[NumL]],T_suiviDi[#Data],COLUMN(T_suiviDi[[#This Row],[Prénom1]]),FALSE),""),"")</f>
        <v/>
      </c>
      <c r="G69" s="274" t="str">
        <f>IFERROR(IF(VLOOKUP(T_SuiviTw[[#This Row],[NumL]],T_suiviDi[#Data],COLUMN(T_suiviDi[[#This Row],[Email1]]),FALSE)&lt;&gt;"",VLOOKUP(T_SuiviTw[[#This Row],[NumL]],T_suiviDi[#Data],COLUMN(T_suiviDi[[#This Row],[Email1]]),FALSE),""),"")</f>
        <v/>
      </c>
      <c r="H69" s="275" t="str">
        <f t="shared" ref="H69:H132" si="21">IF(B69&lt;&gt;"",DateEdition,"")</f>
        <v/>
      </c>
      <c r="I69" s="100"/>
      <c r="J69" s="156" t="str">
        <f t="shared" ref="J69:J132" si="22">IF(AND(I69="",K69=""),"",IF(AND(I69&lt;&gt;"",H69&lt;&gt;""),1,3))</f>
        <v/>
      </c>
      <c r="K69" s="155" t="str">
        <f t="shared" ref="K69:K132" si="23">IF(B69&lt;&gt;"",DateFinadapt,"")</f>
        <v/>
      </c>
      <c r="L69" s="100"/>
      <c r="M69" s="156" t="str">
        <f t="shared" ref="M69:M132" ca="1" si="24">IF(OR(K69="",TODAY()&lt;K69),"",IF(L69&lt;&gt;"",1,3))</f>
        <v/>
      </c>
      <c r="N69" s="49"/>
      <c r="O69" s="49"/>
      <c r="P69" s="105" t="str">
        <f t="shared" ref="P69:P132" si="25">IF(AND(N69&lt;&gt;"",O69&lt;&gt;""),IF(MAX(N69,O69)=1,1,4),IF(OR(N69&lt;&gt;"",O69&lt;&gt;""),"?",""))</f>
        <v/>
      </c>
      <c r="Q69" s="155" t="str">
        <f t="shared" ref="Q69:Q132" si="26">IF(AND(F69&lt;&gt;"",P69=1),Datebilan2,"")</f>
        <v/>
      </c>
      <c r="R69" s="100"/>
      <c r="S69" s="156" t="str">
        <f t="shared" ref="S69:S132" ca="1" si="27">IF(OR(B69="",P69&gt;1),"",IF(R69&lt;&gt;"",1,IF(Q69&lt;=TODAY(),3,IF(Q69&lt;=TODAY()+10,2,""))))</f>
        <v/>
      </c>
      <c r="T69" s="101"/>
      <c r="U69" s="101"/>
      <c r="V69" s="101"/>
      <c r="W69" s="144"/>
    </row>
    <row r="70" spans="1:23" ht="24" customHeight="1" x14ac:dyDescent="0.25">
      <c r="A70" s="90">
        <v>260</v>
      </c>
      <c r="B70" s="19" t="str">
        <f>IFERROR(IF(VLOOKUP(T_SuiviTw[[#This Row],[NumL]],T_suiviDi[#Data],COLUMN(T_suiviDi[[#This Row],[Nom]]),FALSE)&lt;&gt;"",VLOOKUP(T_SuiviTw[[#This Row],[NumL]],T_suiviDi[#Data],COLUMN(T_suiviDi[[#This Row],[Nom]]),FALSE),""),"")</f>
        <v/>
      </c>
      <c r="C70" s="19" t="str">
        <f>IFERROR(IF(VLOOKUP(T_SuiviTw[[#This Row],[NumL]],T_suiviDi[#Data],COLUMN(T_suiviDi[[#This Row],[Prénom]]),FALSE)&lt;&gt;"",VLOOKUP(T_SuiviTw[[#This Row],[NumL]],T_suiviDi[#Data],COLUMN(T_suiviDi[[#This Row],[Prénom]]),FALSE),""),"")</f>
        <v/>
      </c>
      <c r="D70" s="20" t="str">
        <f>IFERROR(IF(VLOOKUP(T_SuiviTw[[#This Row],[NumL]],T_suiviDi[#Data],COLUMN(T_suiviDi[[#This Row],[Email]]),FALSE)&lt;&gt;"",VLOOKUP(T_SuiviTw[[#This Row],[NumL]],T_suiviDi[#Data],COLUMN(T_suiviDi[[#This Row],[Email]]),FALSE),""),"")</f>
        <v/>
      </c>
      <c r="E70" s="274" t="str">
        <f>IFERROR(IF(VLOOKUP(T_SuiviTw[[#This Row],[NumL]],T_suiviDi[#Data],COLUMN(T_suiviDi[[#This Row],[Nom1]]),FALSE)&lt;&gt;"",VLOOKUP(T_SuiviTw[[#This Row],[NumL]],T_suiviDi[#Data],COLUMN(T_suiviDi[[#This Row],[Nom1]]),FALSE),""),"")</f>
        <v/>
      </c>
      <c r="F70" s="274" t="str">
        <f>IFERROR(IF(VLOOKUP(T_SuiviTw[[#This Row],[NumL]],T_suiviDi[#Data],COLUMN(T_suiviDi[[#This Row],[Prénom1]]),FALSE)&lt;&gt;"",VLOOKUP(T_SuiviTw[[#This Row],[NumL]],T_suiviDi[#Data],COLUMN(T_suiviDi[[#This Row],[Prénom1]]),FALSE),""),"")</f>
        <v/>
      </c>
      <c r="G70" s="274" t="str">
        <f>IFERROR(IF(VLOOKUP(T_SuiviTw[[#This Row],[NumL]],T_suiviDi[#Data],COLUMN(T_suiviDi[[#This Row],[Email1]]),FALSE)&lt;&gt;"",VLOOKUP(T_SuiviTw[[#This Row],[NumL]],T_suiviDi[#Data],COLUMN(T_suiviDi[[#This Row],[Email1]]),FALSE),""),"")</f>
        <v/>
      </c>
      <c r="H70" s="275" t="str">
        <f t="shared" si="21"/>
        <v/>
      </c>
      <c r="I70" s="100"/>
      <c r="J70" s="156" t="str">
        <f t="shared" si="22"/>
        <v/>
      </c>
      <c r="K70" s="155" t="str">
        <f t="shared" si="23"/>
        <v/>
      </c>
      <c r="L70" s="100"/>
      <c r="M70" s="156" t="str">
        <f t="shared" ca="1" si="24"/>
        <v/>
      </c>
      <c r="N70" s="49"/>
      <c r="O70" s="49"/>
      <c r="P70" s="105" t="str">
        <f t="shared" si="25"/>
        <v/>
      </c>
      <c r="Q70" s="155" t="str">
        <f t="shared" si="26"/>
        <v/>
      </c>
      <c r="R70" s="100"/>
      <c r="S70" s="156" t="str">
        <f t="shared" ca="1" si="27"/>
        <v/>
      </c>
      <c r="T70" s="101"/>
      <c r="U70" s="101"/>
      <c r="V70" s="101"/>
      <c r="W70" s="144"/>
    </row>
    <row r="71" spans="1:23" ht="24" customHeight="1" x14ac:dyDescent="0.25">
      <c r="A71" s="90">
        <v>93</v>
      </c>
      <c r="B71" s="19" t="str">
        <f>IFERROR(IF(VLOOKUP(T_SuiviTw[[#This Row],[NumL]],T_suiviDi[#Data],COLUMN(T_suiviDi[[#This Row],[Nom]]),FALSE)&lt;&gt;"",VLOOKUP(T_SuiviTw[[#This Row],[NumL]],T_suiviDi[#Data],COLUMN(T_suiviDi[[#This Row],[Nom]]),FALSE),""),"")</f>
        <v/>
      </c>
      <c r="C71" s="19" t="str">
        <f>IFERROR(IF(VLOOKUP(T_SuiviTw[[#This Row],[NumL]],T_suiviDi[#Data],COLUMN(T_suiviDi[[#This Row],[Prénom]]),FALSE)&lt;&gt;"",VLOOKUP(T_SuiviTw[[#This Row],[NumL]],T_suiviDi[#Data],COLUMN(T_suiviDi[[#This Row],[Prénom]]),FALSE),""),"")</f>
        <v/>
      </c>
      <c r="D71" s="20" t="str">
        <f>IFERROR(IF(VLOOKUP(T_SuiviTw[[#This Row],[NumL]],T_suiviDi[#Data],COLUMN(T_suiviDi[[#This Row],[Email]]),FALSE)&lt;&gt;"",VLOOKUP(T_SuiviTw[[#This Row],[NumL]],T_suiviDi[#Data],COLUMN(T_suiviDi[[#This Row],[Email]]),FALSE),""),"")</f>
        <v/>
      </c>
      <c r="E71" s="274" t="str">
        <f>IFERROR(IF(VLOOKUP(T_SuiviTw[[#This Row],[NumL]],T_suiviDi[#Data],COLUMN(T_suiviDi[[#This Row],[Nom1]]),FALSE)&lt;&gt;"",VLOOKUP(T_SuiviTw[[#This Row],[NumL]],T_suiviDi[#Data],COLUMN(T_suiviDi[[#This Row],[Nom1]]),FALSE),""),"")</f>
        <v/>
      </c>
      <c r="F71" s="274" t="str">
        <f>IFERROR(IF(VLOOKUP(T_SuiviTw[[#This Row],[NumL]],T_suiviDi[#Data],COLUMN(T_suiviDi[[#This Row],[Prénom1]]),FALSE)&lt;&gt;"",VLOOKUP(T_SuiviTw[[#This Row],[NumL]],T_suiviDi[#Data],COLUMN(T_suiviDi[[#This Row],[Prénom1]]),FALSE),""),"")</f>
        <v/>
      </c>
      <c r="G71" s="274" t="str">
        <f>IFERROR(IF(VLOOKUP(T_SuiviTw[[#This Row],[NumL]],T_suiviDi[#Data],COLUMN(T_suiviDi[[#This Row],[Email1]]),FALSE)&lt;&gt;"",VLOOKUP(T_SuiviTw[[#This Row],[NumL]],T_suiviDi[#Data],COLUMN(T_suiviDi[[#This Row],[Email1]]),FALSE),""),"")</f>
        <v/>
      </c>
      <c r="H71" s="275" t="str">
        <f t="shared" si="21"/>
        <v/>
      </c>
      <c r="I71" s="100"/>
      <c r="J71" s="156" t="str">
        <f t="shared" si="22"/>
        <v/>
      </c>
      <c r="K71" s="155" t="str">
        <f t="shared" si="23"/>
        <v/>
      </c>
      <c r="L71" s="100"/>
      <c r="M71" s="156" t="str">
        <f t="shared" ca="1" si="24"/>
        <v/>
      </c>
      <c r="N71" s="49"/>
      <c r="O71" s="49"/>
      <c r="P71" s="105" t="str">
        <f t="shared" si="25"/>
        <v/>
      </c>
      <c r="Q71" s="155" t="str">
        <f t="shared" si="26"/>
        <v/>
      </c>
      <c r="R71" s="100"/>
      <c r="S71" s="156" t="str">
        <f t="shared" ca="1" si="27"/>
        <v/>
      </c>
      <c r="T71" s="101"/>
      <c r="U71" s="101"/>
      <c r="V71" s="101"/>
      <c r="W71" s="144"/>
    </row>
    <row r="72" spans="1:23" ht="24" customHeight="1" x14ac:dyDescent="0.25">
      <c r="A72" s="90">
        <v>220</v>
      </c>
      <c r="B72" s="19" t="str">
        <f>IFERROR(IF(VLOOKUP(T_SuiviTw[[#This Row],[NumL]],T_suiviDi[#Data],COLUMN(T_suiviDi[[#This Row],[Nom]]),FALSE)&lt;&gt;"",VLOOKUP(T_SuiviTw[[#This Row],[NumL]],T_suiviDi[#Data],COLUMN(T_suiviDi[[#This Row],[Nom]]),FALSE),""),"")</f>
        <v/>
      </c>
      <c r="C72" s="19" t="str">
        <f>IFERROR(IF(VLOOKUP(T_SuiviTw[[#This Row],[NumL]],T_suiviDi[#Data],COLUMN(T_suiviDi[[#This Row],[Prénom]]),FALSE)&lt;&gt;"",VLOOKUP(T_SuiviTw[[#This Row],[NumL]],T_suiviDi[#Data],COLUMN(T_suiviDi[[#This Row],[Prénom]]),FALSE),""),"")</f>
        <v/>
      </c>
      <c r="D72" s="20" t="str">
        <f>IFERROR(IF(VLOOKUP(T_SuiviTw[[#This Row],[NumL]],T_suiviDi[#Data],COLUMN(T_suiviDi[[#This Row],[Email]]),FALSE)&lt;&gt;"",VLOOKUP(T_SuiviTw[[#This Row],[NumL]],T_suiviDi[#Data],COLUMN(T_suiviDi[[#This Row],[Email]]),FALSE),""),"")</f>
        <v/>
      </c>
      <c r="E72" s="274" t="str">
        <f>IFERROR(IF(VLOOKUP(T_SuiviTw[[#This Row],[NumL]],T_suiviDi[#Data],COLUMN(T_suiviDi[[#This Row],[Nom1]]),FALSE)&lt;&gt;"",VLOOKUP(T_SuiviTw[[#This Row],[NumL]],T_suiviDi[#Data],COLUMN(T_suiviDi[[#This Row],[Nom1]]),FALSE),""),"")</f>
        <v/>
      </c>
      <c r="F72" s="274" t="str">
        <f>IFERROR(IF(VLOOKUP(T_SuiviTw[[#This Row],[NumL]],T_suiviDi[#Data],COLUMN(T_suiviDi[[#This Row],[Prénom1]]),FALSE)&lt;&gt;"",VLOOKUP(T_SuiviTw[[#This Row],[NumL]],T_suiviDi[#Data],COLUMN(T_suiviDi[[#This Row],[Prénom1]]),FALSE),""),"")</f>
        <v/>
      </c>
      <c r="G72" s="274" t="str">
        <f>IFERROR(IF(VLOOKUP(T_SuiviTw[[#This Row],[NumL]],T_suiviDi[#Data],COLUMN(T_suiviDi[[#This Row],[Email1]]),FALSE)&lt;&gt;"",VLOOKUP(T_SuiviTw[[#This Row],[NumL]],T_suiviDi[#Data],COLUMN(T_suiviDi[[#This Row],[Email1]]),FALSE),""),"")</f>
        <v/>
      </c>
      <c r="H72" s="275" t="str">
        <f t="shared" si="21"/>
        <v/>
      </c>
      <c r="I72" s="100"/>
      <c r="J72" s="156" t="str">
        <f t="shared" si="22"/>
        <v/>
      </c>
      <c r="K72" s="155" t="str">
        <f t="shared" si="23"/>
        <v/>
      </c>
      <c r="L72" s="100"/>
      <c r="M72" s="156" t="str">
        <f t="shared" ca="1" si="24"/>
        <v/>
      </c>
      <c r="N72" s="49"/>
      <c r="O72" s="49"/>
      <c r="P72" s="105" t="str">
        <f t="shared" si="25"/>
        <v/>
      </c>
      <c r="Q72" s="155" t="str">
        <f t="shared" si="26"/>
        <v/>
      </c>
      <c r="R72" s="100"/>
      <c r="S72" s="156" t="str">
        <f t="shared" ca="1" si="27"/>
        <v/>
      </c>
      <c r="T72" s="101"/>
      <c r="U72" s="101"/>
      <c r="V72" s="101"/>
      <c r="W72" s="144"/>
    </row>
    <row r="73" spans="1:23" ht="24" customHeight="1" x14ac:dyDescent="0.25">
      <c r="A73" s="90">
        <v>244</v>
      </c>
      <c r="B73" s="19" t="str">
        <f>IFERROR(IF(VLOOKUP(T_SuiviTw[[#This Row],[NumL]],T_suiviDi[#Data],COLUMN(T_suiviDi[[#This Row],[Nom]]),FALSE)&lt;&gt;"",VLOOKUP(T_SuiviTw[[#This Row],[NumL]],T_suiviDi[#Data],COLUMN(T_suiviDi[[#This Row],[Nom]]),FALSE),""),"")</f>
        <v/>
      </c>
      <c r="C73" s="19" t="str">
        <f>IFERROR(IF(VLOOKUP(T_SuiviTw[[#This Row],[NumL]],T_suiviDi[#Data],COLUMN(T_suiviDi[[#This Row],[Prénom]]),FALSE)&lt;&gt;"",VLOOKUP(T_SuiviTw[[#This Row],[NumL]],T_suiviDi[#Data],COLUMN(T_suiviDi[[#This Row],[Prénom]]),FALSE),""),"")</f>
        <v/>
      </c>
      <c r="D73" s="20" t="str">
        <f>IFERROR(IF(VLOOKUP(T_SuiviTw[[#This Row],[NumL]],T_suiviDi[#Data],COLUMN(T_suiviDi[[#This Row],[Email]]),FALSE)&lt;&gt;"",VLOOKUP(T_SuiviTw[[#This Row],[NumL]],T_suiviDi[#Data],COLUMN(T_suiviDi[[#This Row],[Email]]),FALSE),""),"")</f>
        <v/>
      </c>
      <c r="E73" s="274" t="str">
        <f>IFERROR(IF(VLOOKUP(T_SuiviTw[[#This Row],[NumL]],T_suiviDi[#Data],COLUMN(T_suiviDi[[#This Row],[Nom1]]),FALSE)&lt;&gt;"",VLOOKUP(T_SuiviTw[[#This Row],[NumL]],T_suiviDi[#Data],COLUMN(T_suiviDi[[#This Row],[Nom1]]),FALSE),""),"")</f>
        <v/>
      </c>
      <c r="F73" s="274" t="str">
        <f>IFERROR(IF(VLOOKUP(T_SuiviTw[[#This Row],[NumL]],T_suiviDi[#Data],COLUMN(T_suiviDi[[#This Row],[Prénom1]]),FALSE)&lt;&gt;"",VLOOKUP(T_SuiviTw[[#This Row],[NumL]],T_suiviDi[#Data],COLUMN(T_suiviDi[[#This Row],[Prénom1]]),FALSE),""),"")</f>
        <v/>
      </c>
      <c r="G73" s="274" t="str">
        <f>IFERROR(IF(VLOOKUP(T_SuiviTw[[#This Row],[NumL]],T_suiviDi[#Data],COLUMN(T_suiviDi[[#This Row],[Email1]]),FALSE)&lt;&gt;"",VLOOKUP(T_SuiviTw[[#This Row],[NumL]],T_suiviDi[#Data],COLUMN(T_suiviDi[[#This Row],[Email1]]),FALSE),""),"")</f>
        <v/>
      </c>
      <c r="H73" s="275" t="str">
        <f t="shared" si="21"/>
        <v/>
      </c>
      <c r="I73" s="100"/>
      <c r="J73" s="156" t="str">
        <f t="shared" si="22"/>
        <v/>
      </c>
      <c r="K73" s="155" t="str">
        <f t="shared" si="23"/>
        <v/>
      </c>
      <c r="L73" s="100"/>
      <c r="M73" s="156" t="str">
        <f t="shared" ca="1" si="24"/>
        <v/>
      </c>
      <c r="N73" s="49"/>
      <c r="O73" s="49"/>
      <c r="P73" s="105" t="str">
        <f t="shared" si="25"/>
        <v/>
      </c>
      <c r="Q73" s="155" t="str">
        <f t="shared" si="26"/>
        <v/>
      </c>
      <c r="R73" s="100"/>
      <c r="S73" s="156" t="str">
        <f t="shared" ca="1" si="27"/>
        <v/>
      </c>
      <c r="T73" s="101"/>
      <c r="U73" s="101"/>
      <c r="V73" s="101"/>
      <c r="W73" s="144"/>
    </row>
    <row r="74" spans="1:23" ht="24" customHeight="1" x14ac:dyDescent="0.25">
      <c r="A74" s="90">
        <v>312</v>
      </c>
      <c r="B74" s="139" t="str">
        <f>IFERROR(IF(VLOOKUP(T_SuiviTw[[#This Row],[NumL]],T_suiviDi[#Data],COLUMN(T_suiviDi[[#This Row],[Nom]]),FALSE)&lt;&gt;"",VLOOKUP(T_SuiviTw[[#This Row],[NumL]],T_suiviDi[#Data],COLUMN(T_suiviDi[[#This Row],[Nom]]),FALSE),""),"")</f>
        <v/>
      </c>
      <c r="C74" s="139" t="str">
        <f>IFERROR(IF(VLOOKUP(T_SuiviTw[[#This Row],[NumL]],T_suiviDi[#Data],COLUMN(T_suiviDi[[#This Row],[Prénom]]),FALSE)&lt;&gt;"",VLOOKUP(T_SuiviTw[[#This Row],[NumL]],T_suiviDi[#Data],COLUMN(T_suiviDi[[#This Row],[Prénom]]),FALSE),""),"")</f>
        <v/>
      </c>
      <c r="D74" s="140" t="str">
        <f>IFERROR(IF(VLOOKUP(T_SuiviTw[[#This Row],[NumL]],T_suiviDi[#Data],COLUMN(T_suiviDi[[#This Row],[Email]]),FALSE)&lt;&gt;"",VLOOKUP(T_SuiviTw[[#This Row],[NumL]],T_suiviDi[#Data],COLUMN(T_suiviDi[[#This Row],[Email]]),FALSE),""),"")</f>
        <v/>
      </c>
      <c r="E74" s="141" t="str">
        <f>IFERROR(IF(VLOOKUP(T_SuiviTw[[#This Row],[NumL]],T_suiviDi[#Data],COLUMN(T_suiviDi[[#This Row],[Nom1]]),FALSE)&lt;&gt;"",VLOOKUP(T_SuiviTw[[#This Row],[NumL]],T_suiviDi[#Data],COLUMN(T_suiviDi[[#This Row],[Nom1]]),FALSE),""),"")</f>
        <v/>
      </c>
      <c r="F74" s="141" t="str">
        <f>IFERROR(IF(VLOOKUP(T_SuiviTw[[#This Row],[NumL]],T_suiviDi[#Data],COLUMN(T_suiviDi[[#This Row],[Prénom1]]),FALSE)&lt;&gt;"",VLOOKUP(T_SuiviTw[[#This Row],[NumL]],T_suiviDi[#Data],COLUMN(T_suiviDi[[#This Row],[Prénom1]]),FALSE),""),"")</f>
        <v/>
      </c>
      <c r="G74" s="141" t="str">
        <f>IFERROR(IF(VLOOKUP(T_SuiviTw[[#This Row],[NumL]],T_suiviDi[#Data],COLUMN(T_suiviDi[[#This Row],[Email1]]),FALSE)&lt;&gt;"",VLOOKUP(T_SuiviTw[[#This Row],[NumL]],T_suiviDi[#Data],COLUMN(T_suiviDi[[#This Row],[Email1]]),FALSE),""),"")</f>
        <v/>
      </c>
      <c r="H74" s="155" t="str">
        <f t="shared" si="21"/>
        <v/>
      </c>
      <c r="I74" s="100"/>
      <c r="J74" s="156" t="str">
        <f t="shared" si="22"/>
        <v/>
      </c>
      <c r="K74" s="155" t="str">
        <f t="shared" si="23"/>
        <v/>
      </c>
      <c r="L74" s="100"/>
      <c r="M74" s="156" t="str">
        <f t="shared" ca="1" si="24"/>
        <v/>
      </c>
      <c r="N74" s="49"/>
      <c r="O74" s="49"/>
      <c r="P74" s="105" t="str">
        <f t="shared" si="25"/>
        <v/>
      </c>
      <c r="Q74" s="155" t="str">
        <f t="shared" si="26"/>
        <v/>
      </c>
      <c r="R74" s="100"/>
      <c r="S74" s="156" t="str">
        <f t="shared" ca="1" si="27"/>
        <v/>
      </c>
      <c r="T74" s="101"/>
      <c r="U74" s="101"/>
      <c r="V74" s="101"/>
      <c r="W74" s="144"/>
    </row>
    <row r="75" spans="1:23" ht="24" customHeight="1" x14ac:dyDescent="0.25">
      <c r="A75" s="90">
        <v>119</v>
      </c>
      <c r="B75" s="19" t="str">
        <f>IFERROR(IF(VLOOKUP(T_SuiviTw[[#This Row],[NumL]],T_suiviDi[#Data],COLUMN(T_suiviDi[[#This Row],[Nom]]),FALSE)&lt;&gt;"",VLOOKUP(T_SuiviTw[[#This Row],[NumL]],T_suiviDi[#Data],COLUMN(T_suiviDi[[#This Row],[Nom]]),FALSE),""),"")</f>
        <v/>
      </c>
      <c r="C75" s="19" t="str">
        <f>IFERROR(IF(VLOOKUP(T_SuiviTw[[#This Row],[NumL]],T_suiviDi[#Data],COLUMN(T_suiviDi[[#This Row],[Prénom]]),FALSE)&lt;&gt;"",VLOOKUP(T_SuiviTw[[#This Row],[NumL]],T_suiviDi[#Data],COLUMN(T_suiviDi[[#This Row],[Prénom]]),FALSE),""),"")</f>
        <v/>
      </c>
      <c r="D75" s="20" t="str">
        <f>IFERROR(IF(VLOOKUP(T_SuiviTw[[#This Row],[NumL]],T_suiviDi[#Data],COLUMN(T_suiviDi[[#This Row],[Email]]),FALSE)&lt;&gt;"",VLOOKUP(T_SuiviTw[[#This Row],[NumL]],T_suiviDi[#Data],COLUMN(T_suiviDi[[#This Row],[Email]]),FALSE),""),"")</f>
        <v/>
      </c>
      <c r="E75" s="274" t="str">
        <f>IFERROR(IF(VLOOKUP(T_SuiviTw[[#This Row],[NumL]],T_suiviDi[#Data],COLUMN(T_suiviDi[[#This Row],[Nom1]]),FALSE)&lt;&gt;"",VLOOKUP(T_SuiviTw[[#This Row],[NumL]],T_suiviDi[#Data],COLUMN(T_suiviDi[[#This Row],[Nom1]]),FALSE),""),"")</f>
        <v/>
      </c>
      <c r="F75" s="274" t="str">
        <f>IFERROR(IF(VLOOKUP(T_SuiviTw[[#This Row],[NumL]],T_suiviDi[#Data],COLUMN(T_suiviDi[[#This Row],[Prénom1]]),FALSE)&lt;&gt;"",VLOOKUP(T_SuiviTw[[#This Row],[NumL]],T_suiviDi[#Data],COLUMN(T_suiviDi[[#This Row],[Prénom1]]),FALSE),""),"")</f>
        <v/>
      </c>
      <c r="G75" s="274" t="str">
        <f>IFERROR(IF(VLOOKUP(T_SuiviTw[[#This Row],[NumL]],T_suiviDi[#Data],COLUMN(T_suiviDi[[#This Row],[Email1]]),FALSE)&lt;&gt;"",VLOOKUP(T_SuiviTw[[#This Row],[NumL]],T_suiviDi[#Data],COLUMN(T_suiviDi[[#This Row],[Email1]]),FALSE),""),"")</f>
        <v/>
      </c>
      <c r="H75" s="275" t="str">
        <f t="shared" si="21"/>
        <v/>
      </c>
      <c r="I75" s="100"/>
      <c r="J75" s="156" t="str">
        <f t="shared" si="22"/>
        <v/>
      </c>
      <c r="K75" s="155" t="str">
        <f t="shared" si="23"/>
        <v/>
      </c>
      <c r="L75" s="100"/>
      <c r="M75" s="156" t="str">
        <f t="shared" ca="1" si="24"/>
        <v/>
      </c>
      <c r="N75" s="49"/>
      <c r="O75" s="49"/>
      <c r="P75" s="105" t="str">
        <f t="shared" si="25"/>
        <v/>
      </c>
      <c r="Q75" s="155" t="str">
        <f t="shared" si="26"/>
        <v/>
      </c>
      <c r="R75" s="100"/>
      <c r="S75" s="156" t="str">
        <f t="shared" ca="1" si="27"/>
        <v/>
      </c>
      <c r="T75" s="101"/>
      <c r="U75" s="101"/>
      <c r="V75" s="101"/>
      <c r="W75" s="144"/>
    </row>
    <row r="76" spans="1:23" ht="24" customHeight="1" x14ac:dyDescent="0.25">
      <c r="A76" s="90">
        <v>113</v>
      </c>
      <c r="B76" s="19" t="str">
        <f>IFERROR(IF(VLOOKUP(T_SuiviTw[[#This Row],[NumL]],T_suiviDi[#Data],COLUMN(T_suiviDi[[#This Row],[Nom]]),FALSE)&lt;&gt;"",VLOOKUP(T_SuiviTw[[#This Row],[NumL]],T_suiviDi[#Data],COLUMN(T_suiviDi[[#This Row],[Nom]]),FALSE),""),"")</f>
        <v/>
      </c>
      <c r="C76" s="19" t="str">
        <f>IFERROR(IF(VLOOKUP(T_SuiviTw[[#This Row],[NumL]],T_suiviDi[#Data],COLUMN(T_suiviDi[[#This Row],[Prénom]]),FALSE)&lt;&gt;"",VLOOKUP(T_SuiviTw[[#This Row],[NumL]],T_suiviDi[#Data],COLUMN(T_suiviDi[[#This Row],[Prénom]]),FALSE),""),"")</f>
        <v/>
      </c>
      <c r="D76" s="20" t="str">
        <f>IFERROR(IF(VLOOKUP(T_SuiviTw[[#This Row],[NumL]],T_suiviDi[#Data],COLUMN(T_suiviDi[[#This Row],[Email]]),FALSE)&lt;&gt;"",VLOOKUP(T_SuiviTw[[#This Row],[NumL]],T_suiviDi[#Data],COLUMN(T_suiviDi[[#This Row],[Email]]),FALSE),""),"")</f>
        <v/>
      </c>
      <c r="E76" s="274" t="str">
        <f>IFERROR(IF(VLOOKUP(T_SuiviTw[[#This Row],[NumL]],T_suiviDi[#Data],COLUMN(T_suiviDi[[#This Row],[Nom1]]),FALSE)&lt;&gt;"",VLOOKUP(T_SuiviTw[[#This Row],[NumL]],T_suiviDi[#Data],COLUMN(T_suiviDi[[#This Row],[Nom1]]),FALSE),""),"")</f>
        <v/>
      </c>
      <c r="F76" s="274" t="str">
        <f>IFERROR(IF(VLOOKUP(T_SuiviTw[[#This Row],[NumL]],T_suiviDi[#Data],COLUMN(T_suiviDi[[#This Row],[Prénom1]]),FALSE)&lt;&gt;"",VLOOKUP(T_SuiviTw[[#This Row],[NumL]],T_suiviDi[#Data],COLUMN(T_suiviDi[[#This Row],[Prénom1]]),FALSE),""),"")</f>
        <v/>
      </c>
      <c r="G76" s="274" t="str">
        <f>IFERROR(IF(VLOOKUP(T_SuiviTw[[#This Row],[NumL]],T_suiviDi[#Data],COLUMN(T_suiviDi[[#This Row],[Email1]]),FALSE)&lt;&gt;"",VLOOKUP(T_SuiviTw[[#This Row],[NumL]],T_suiviDi[#Data],COLUMN(T_suiviDi[[#This Row],[Email1]]),FALSE),""),"")</f>
        <v/>
      </c>
      <c r="H76" s="275" t="str">
        <f t="shared" si="21"/>
        <v/>
      </c>
      <c r="I76" s="100"/>
      <c r="J76" s="156" t="str">
        <f t="shared" si="22"/>
        <v/>
      </c>
      <c r="K76" s="155" t="str">
        <f t="shared" si="23"/>
        <v/>
      </c>
      <c r="L76" s="100"/>
      <c r="M76" s="156" t="str">
        <f t="shared" ca="1" si="24"/>
        <v/>
      </c>
      <c r="N76" s="49"/>
      <c r="O76" s="49"/>
      <c r="P76" s="105" t="str">
        <f t="shared" si="25"/>
        <v/>
      </c>
      <c r="Q76" s="155" t="str">
        <f t="shared" si="26"/>
        <v/>
      </c>
      <c r="R76" s="100"/>
      <c r="S76" s="156" t="str">
        <f t="shared" ca="1" si="27"/>
        <v/>
      </c>
      <c r="T76" s="101"/>
      <c r="U76" s="101"/>
      <c r="V76" s="101"/>
      <c r="W76" s="144"/>
    </row>
    <row r="77" spans="1:23" ht="24" customHeight="1" x14ac:dyDescent="0.25">
      <c r="A77" s="90">
        <v>158</v>
      </c>
      <c r="B77" s="19" t="str">
        <f>IFERROR(IF(VLOOKUP(T_SuiviTw[[#This Row],[NumL]],T_suiviDi[#Data],COLUMN(T_suiviDi[[#This Row],[Nom]]),FALSE)&lt;&gt;"",VLOOKUP(T_SuiviTw[[#This Row],[NumL]],T_suiviDi[#Data],COLUMN(T_suiviDi[[#This Row],[Nom]]),FALSE),""),"")</f>
        <v/>
      </c>
      <c r="C77" s="19" t="str">
        <f>IFERROR(IF(VLOOKUP(T_SuiviTw[[#This Row],[NumL]],T_suiviDi[#Data],COLUMN(T_suiviDi[[#This Row],[Prénom]]),FALSE)&lt;&gt;"",VLOOKUP(T_SuiviTw[[#This Row],[NumL]],T_suiviDi[#Data],COLUMN(T_suiviDi[[#This Row],[Prénom]]),FALSE),""),"")</f>
        <v/>
      </c>
      <c r="D77" s="20" t="str">
        <f>IFERROR(IF(VLOOKUP(T_SuiviTw[[#This Row],[NumL]],T_suiviDi[#Data],COLUMN(T_suiviDi[[#This Row],[Email]]),FALSE)&lt;&gt;"",VLOOKUP(T_SuiviTw[[#This Row],[NumL]],T_suiviDi[#Data],COLUMN(T_suiviDi[[#This Row],[Email]]),FALSE),""),"")</f>
        <v/>
      </c>
      <c r="E77" s="274" t="str">
        <f>IFERROR(IF(VLOOKUP(T_SuiviTw[[#This Row],[NumL]],T_suiviDi[#Data],COLUMN(T_suiviDi[[#This Row],[Nom1]]),FALSE)&lt;&gt;"",VLOOKUP(T_SuiviTw[[#This Row],[NumL]],T_suiviDi[#Data],COLUMN(T_suiviDi[[#This Row],[Nom1]]),FALSE),""),"")</f>
        <v/>
      </c>
      <c r="F77" s="274" t="str">
        <f>IFERROR(IF(VLOOKUP(T_SuiviTw[[#This Row],[NumL]],T_suiviDi[#Data],COLUMN(T_suiviDi[[#This Row],[Prénom1]]),FALSE)&lt;&gt;"",VLOOKUP(T_SuiviTw[[#This Row],[NumL]],T_suiviDi[#Data],COLUMN(T_suiviDi[[#This Row],[Prénom1]]),FALSE),""),"")</f>
        <v/>
      </c>
      <c r="G77" s="274" t="str">
        <f>IFERROR(IF(VLOOKUP(T_SuiviTw[[#This Row],[NumL]],T_suiviDi[#Data],COLUMN(T_suiviDi[[#This Row],[Email1]]),FALSE)&lt;&gt;"",VLOOKUP(T_SuiviTw[[#This Row],[NumL]],T_suiviDi[#Data],COLUMN(T_suiviDi[[#This Row],[Email1]]),FALSE),""),"")</f>
        <v/>
      </c>
      <c r="H77" s="275" t="str">
        <f t="shared" si="21"/>
        <v/>
      </c>
      <c r="I77" s="100"/>
      <c r="J77" s="156" t="str">
        <f t="shared" si="22"/>
        <v/>
      </c>
      <c r="K77" s="155" t="str">
        <f t="shared" si="23"/>
        <v/>
      </c>
      <c r="L77" s="100"/>
      <c r="M77" s="156" t="str">
        <f t="shared" ca="1" si="24"/>
        <v/>
      </c>
      <c r="N77" s="49"/>
      <c r="O77" s="49"/>
      <c r="P77" s="105" t="str">
        <f t="shared" si="25"/>
        <v/>
      </c>
      <c r="Q77" s="155" t="str">
        <f t="shared" si="26"/>
        <v/>
      </c>
      <c r="R77" s="100"/>
      <c r="S77" s="156" t="str">
        <f t="shared" ca="1" si="27"/>
        <v/>
      </c>
      <c r="T77" s="101"/>
      <c r="U77" s="101"/>
      <c r="V77" s="101"/>
      <c r="W77" s="144"/>
    </row>
    <row r="78" spans="1:23" ht="24" customHeight="1" x14ac:dyDescent="0.25">
      <c r="A78" s="90">
        <v>303</v>
      </c>
      <c r="B78" s="139" t="str">
        <f>IFERROR(IF(VLOOKUP(T_SuiviTw[[#This Row],[NumL]],T_suiviDi[#Data],COLUMN(T_suiviDi[[#This Row],[Nom]]),FALSE)&lt;&gt;"",VLOOKUP(T_SuiviTw[[#This Row],[NumL]],T_suiviDi[#Data],COLUMN(T_suiviDi[[#This Row],[Nom]]),FALSE),""),"")</f>
        <v/>
      </c>
      <c r="C78" s="139" t="str">
        <f>IFERROR(IF(VLOOKUP(T_SuiviTw[[#This Row],[NumL]],T_suiviDi[#Data],COLUMN(T_suiviDi[[#This Row],[Prénom]]),FALSE)&lt;&gt;"",VLOOKUP(T_SuiviTw[[#This Row],[NumL]],T_suiviDi[#Data],COLUMN(T_suiviDi[[#This Row],[Prénom]]),FALSE),""),"")</f>
        <v/>
      </c>
      <c r="D78" s="140" t="str">
        <f>IFERROR(IF(VLOOKUP(T_SuiviTw[[#This Row],[NumL]],T_suiviDi[#Data],COLUMN(T_suiviDi[[#This Row],[Email]]),FALSE)&lt;&gt;"",VLOOKUP(T_SuiviTw[[#This Row],[NumL]],T_suiviDi[#Data],COLUMN(T_suiviDi[[#This Row],[Email]]),FALSE),""),"")</f>
        <v/>
      </c>
      <c r="E78" s="141" t="str">
        <f>IFERROR(IF(VLOOKUP(T_SuiviTw[[#This Row],[NumL]],T_suiviDi[#Data],COLUMN(T_suiviDi[[#This Row],[Nom1]]),FALSE)&lt;&gt;"",VLOOKUP(T_SuiviTw[[#This Row],[NumL]],T_suiviDi[#Data],COLUMN(T_suiviDi[[#This Row],[Nom1]]),FALSE),""),"")</f>
        <v/>
      </c>
      <c r="F78" s="141" t="str">
        <f>IFERROR(IF(VLOOKUP(T_SuiviTw[[#This Row],[NumL]],T_suiviDi[#Data],COLUMN(T_suiviDi[[#This Row],[Prénom1]]),FALSE)&lt;&gt;"",VLOOKUP(T_SuiviTw[[#This Row],[NumL]],T_suiviDi[#Data],COLUMN(T_suiviDi[[#This Row],[Prénom1]]),FALSE),""),"")</f>
        <v/>
      </c>
      <c r="G78" s="141" t="str">
        <f>IFERROR(IF(VLOOKUP(T_SuiviTw[[#This Row],[NumL]],T_suiviDi[#Data],COLUMN(T_suiviDi[[#This Row],[Email1]]),FALSE)&lt;&gt;"",VLOOKUP(T_SuiviTw[[#This Row],[NumL]],T_suiviDi[#Data],COLUMN(T_suiviDi[[#This Row],[Email1]]),FALSE),""),"")</f>
        <v/>
      </c>
      <c r="H78" s="155" t="str">
        <f t="shared" si="21"/>
        <v/>
      </c>
      <c r="I78" s="100"/>
      <c r="J78" s="156" t="str">
        <f t="shared" si="22"/>
        <v/>
      </c>
      <c r="K78" s="155" t="str">
        <f t="shared" si="23"/>
        <v/>
      </c>
      <c r="L78" s="100"/>
      <c r="M78" s="156" t="str">
        <f t="shared" ca="1" si="24"/>
        <v/>
      </c>
      <c r="N78" s="49"/>
      <c r="O78" s="49"/>
      <c r="P78" s="105" t="str">
        <f t="shared" si="25"/>
        <v/>
      </c>
      <c r="Q78" s="155" t="str">
        <f t="shared" si="26"/>
        <v/>
      </c>
      <c r="R78" s="100"/>
      <c r="S78" s="156" t="str">
        <f t="shared" ca="1" si="27"/>
        <v/>
      </c>
      <c r="T78" s="101"/>
      <c r="U78" s="101"/>
      <c r="V78" s="101"/>
      <c r="W78" s="144"/>
    </row>
    <row r="79" spans="1:23" ht="24" customHeight="1" x14ac:dyDescent="0.25">
      <c r="A79" s="90">
        <v>160</v>
      </c>
      <c r="B79" s="19" t="str">
        <f>IFERROR(IF(VLOOKUP(T_SuiviTw[[#This Row],[NumL]],T_suiviDi[#Data],COLUMN(T_suiviDi[[#This Row],[Nom]]),FALSE)&lt;&gt;"",VLOOKUP(T_SuiviTw[[#This Row],[NumL]],T_suiviDi[#Data],COLUMN(T_suiviDi[[#This Row],[Nom]]),FALSE),""),"")</f>
        <v/>
      </c>
      <c r="C79" s="19" t="str">
        <f>IFERROR(IF(VLOOKUP(T_SuiviTw[[#This Row],[NumL]],T_suiviDi[#Data],COLUMN(T_suiviDi[[#This Row],[Prénom]]),FALSE)&lt;&gt;"",VLOOKUP(T_SuiviTw[[#This Row],[NumL]],T_suiviDi[#Data],COLUMN(T_suiviDi[[#This Row],[Prénom]]),FALSE),""),"")</f>
        <v/>
      </c>
      <c r="D79" s="20" t="str">
        <f>IFERROR(IF(VLOOKUP(T_SuiviTw[[#This Row],[NumL]],T_suiviDi[#Data],COLUMN(T_suiviDi[[#This Row],[Email]]),FALSE)&lt;&gt;"",VLOOKUP(T_SuiviTw[[#This Row],[NumL]],T_suiviDi[#Data],COLUMN(T_suiviDi[[#This Row],[Email]]),FALSE),""),"")</f>
        <v/>
      </c>
      <c r="E79" s="274" t="str">
        <f>IFERROR(IF(VLOOKUP(T_SuiviTw[[#This Row],[NumL]],T_suiviDi[#Data],COLUMN(T_suiviDi[[#This Row],[Nom1]]),FALSE)&lt;&gt;"",VLOOKUP(T_SuiviTw[[#This Row],[NumL]],T_suiviDi[#Data],COLUMN(T_suiviDi[[#This Row],[Nom1]]),FALSE),""),"")</f>
        <v/>
      </c>
      <c r="F79" s="274" t="str">
        <f>IFERROR(IF(VLOOKUP(T_SuiviTw[[#This Row],[NumL]],T_suiviDi[#Data],COLUMN(T_suiviDi[[#This Row],[Prénom1]]),FALSE)&lt;&gt;"",VLOOKUP(T_SuiviTw[[#This Row],[NumL]],T_suiviDi[#Data],COLUMN(T_suiviDi[[#This Row],[Prénom1]]),FALSE),""),"")</f>
        <v/>
      </c>
      <c r="G79" s="274" t="str">
        <f>IFERROR(IF(VLOOKUP(T_SuiviTw[[#This Row],[NumL]],T_suiviDi[#Data],COLUMN(T_suiviDi[[#This Row],[Email1]]),FALSE)&lt;&gt;"",VLOOKUP(T_SuiviTw[[#This Row],[NumL]],T_suiviDi[#Data],COLUMN(T_suiviDi[[#This Row],[Email1]]),FALSE),""),"")</f>
        <v/>
      </c>
      <c r="H79" s="275" t="str">
        <f t="shared" si="21"/>
        <v/>
      </c>
      <c r="I79" s="100"/>
      <c r="J79" s="156" t="str">
        <f t="shared" si="22"/>
        <v/>
      </c>
      <c r="K79" s="155" t="str">
        <f t="shared" si="23"/>
        <v/>
      </c>
      <c r="L79" s="100"/>
      <c r="M79" s="156" t="str">
        <f t="shared" ca="1" si="24"/>
        <v/>
      </c>
      <c r="N79" s="49"/>
      <c r="O79" s="49"/>
      <c r="P79" s="105" t="str">
        <f t="shared" si="25"/>
        <v/>
      </c>
      <c r="Q79" s="155" t="str">
        <f t="shared" si="26"/>
        <v/>
      </c>
      <c r="R79" s="100"/>
      <c r="S79" s="156" t="str">
        <f t="shared" ca="1" si="27"/>
        <v/>
      </c>
      <c r="T79" s="101"/>
      <c r="U79" s="101"/>
      <c r="V79" s="101"/>
      <c r="W79" s="144"/>
    </row>
    <row r="80" spans="1:23" ht="24" customHeight="1" x14ac:dyDescent="0.25">
      <c r="A80" s="90">
        <v>118</v>
      </c>
      <c r="B80" s="19" t="str">
        <f>IFERROR(IF(VLOOKUP(T_SuiviTw[[#This Row],[NumL]],T_suiviDi[#Data],COLUMN(T_suiviDi[[#This Row],[Nom]]),FALSE)&lt;&gt;"",VLOOKUP(T_SuiviTw[[#This Row],[NumL]],T_suiviDi[#Data],COLUMN(T_suiviDi[[#This Row],[Nom]]),FALSE),""),"")</f>
        <v/>
      </c>
      <c r="C80" s="19" t="str">
        <f>IFERROR(IF(VLOOKUP(T_SuiviTw[[#This Row],[NumL]],T_suiviDi[#Data],COLUMN(T_suiviDi[[#This Row],[Prénom]]),FALSE)&lt;&gt;"",VLOOKUP(T_SuiviTw[[#This Row],[NumL]],T_suiviDi[#Data],COLUMN(T_suiviDi[[#This Row],[Prénom]]),FALSE),""),"")</f>
        <v/>
      </c>
      <c r="D80" s="20" t="str">
        <f>IFERROR(IF(VLOOKUP(T_SuiviTw[[#This Row],[NumL]],T_suiviDi[#Data],COLUMN(T_suiviDi[[#This Row],[Email]]),FALSE)&lt;&gt;"",VLOOKUP(T_SuiviTw[[#This Row],[NumL]],T_suiviDi[#Data],COLUMN(T_suiviDi[[#This Row],[Email]]),FALSE),""),"")</f>
        <v/>
      </c>
      <c r="E80" s="274" t="str">
        <f>IFERROR(IF(VLOOKUP(T_SuiviTw[[#This Row],[NumL]],T_suiviDi[#Data],COLUMN(T_suiviDi[[#This Row],[Nom1]]),FALSE)&lt;&gt;"",VLOOKUP(T_SuiviTw[[#This Row],[NumL]],T_suiviDi[#Data],COLUMN(T_suiviDi[[#This Row],[Nom1]]),FALSE),""),"")</f>
        <v/>
      </c>
      <c r="F80" s="274" t="str">
        <f>IFERROR(IF(VLOOKUP(T_SuiviTw[[#This Row],[NumL]],T_suiviDi[#Data],COLUMN(T_suiviDi[[#This Row],[Prénom1]]),FALSE)&lt;&gt;"",VLOOKUP(T_SuiviTw[[#This Row],[NumL]],T_suiviDi[#Data],COLUMN(T_suiviDi[[#This Row],[Prénom1]]),FALSE),""),"")</f>
        <v/>
      </c>
      <c r="G80" s="274" t="str">
        <f>IFERROR(IF(VLOOKUP(T_SuiviTw[[#This Row],[NumL]],T_suiviDi[#Data],COLUMN(T_suiviDi[[#This Row],[Email1]]),FALSE)&lt;&gt;"",VLOOKUP(T_SuiviTw[[#This Row],[NumL]],T_suiviDi[#Data],COLUMN(T_suiviDi[[#This Row],[Email1]]),FALSE),""),"")</f>
        <v/>
      </c>
      <c r="H80" s="275" t="str">
        <f t="shared" si="21"/>
        <v/>
      </c>
      <c r="I80" s="100"/>
      <c r="J80" s="156" t="str">
        <f t="shared" si="22"/>
        <v/>
      </c>
      <c r="K80" s="155" t="str">
        <f t="shared" si="23"/>
        <v/>
      </c>
      <c r="L80" s="100"/>
      <c r="M80" s="156" t="str">
        <f t="shared" ca="1" si="24"/>
        <v/>
      </c>
      <c r="N80" s="49"/>
      <c r="O80" s="49"/>
      <c r="P80" s="105" t="str">
        <f t="shared" si="25"/>
        <v/>
      </c>
      <c r="Q80" s="155" t="str">
        <f t="shared" si="26"/>
        <v/>
      </c>
      <c r="R80" s="100"/>
      <c r="S80" s="156" t="str">
        <f t="shared" ca="1" si="27"/>
        <v/>
      </c>
      <c r="T80" s="101"/>
      <c r="U80" s="101"/>
      <c r="V80" s="101"/>
      <c r="W80" s="144"/>
    </row>
    <row r="81" spans="1:23" ht="24" customHeight="1" x14ac:dyDescent="0.25">
      <c r="A81" s="90">
        <v>294</v>
      </c>
      <c r="B81" s="139" t="str">
        <f>IFERROR(IF(VLOOKUP(T_SuiviTw[[#This Row],[NumL]],T_suiviDi[#Data],COLUMN(T_suiviDi[[#This Row],[Nom]]),FALSE)&lt;&gt;"",VLOOKUP(T_SuiviTw[[#This Row],[NumL]],T_suiviDi[#Data],COLUMN(T_suiviDi[[#This Row],[Nom]]),FALSE),""),"")</f>
        <v/>
      </c>
      <c r="C81" s="139" t="str">
        <f>IFERROR(IF(VLOOKUP(T_SuiviTw[[#This Row],[NumL]],T_suiviDi[#Data],COLUMN(T_suiviDi[[#This Row],[Prénom]]),FALSE)&lt;&gt;"",VLOOKUP(T_SuiviTw[[#This Row],[NumL]],T_suiviDi[#Data],COLUMN(T_suiviDi[[#This Row],[Prénom]]),FALSE),""),"")</f>
        <v/>
      </c>
      <c r="D81" s="140" t="str">
        <f>IFERROR(IF(VLOOKUP(T_SuiviTw[[#This Row],[NumL]],T_suiviDi[#Data],COLUMN(T_suiviDi[[#This Row],[Email]]),FALSE)&lt;&gt;"",VLOOKUP(T_SuiviTw[[#This Row],[NumL]],T_suiviDi[#Data],COLUMN(T_suiviDi[[#This Row],[Email]]),FALSE),""),"")</f>
        <v/>
      </c>
      <c r="E81" s="141" t="str">
        <f>IFERROR(IF(VLOOKUP(T_SuiviTw[[#This Row],[NumL]],T_suiviDi[#Data],COLUMN(T_suiviDi[[#This Row],[Nom1]]),FALSE)&lt;&gt;"",VLOOKUP(T_SuiviTw[[#This Row],[NumL]],T_suiviDi[#Data],COLUMN(T_suiviDi[[#This Row],[Nom1]]),FALSE),""),"")</f>
        <v/>
      </c>
      <c r="F81" s="141" t="str">
        <f>IFERROR(IF(VLOOKUP(T_SuiviTw[[#This Row],[NumL]],T_suiviDi[#Data],COLUMN(T_suiviDi[[#This Row],[Prénom1]]),FALSE)&lt;&gt;"",VLOOKUP(T_SuiviTw[[#This Row],[NumL]],T_suiviDi[#Data],COLUMN(T_suiviDi[[#This Row],[Prénom1]]),FALSE),""),"")</f>
        <v/>
      </c>
      <c r="G81" s="141" t="str">
        <f>IFERROR(IF(VLOOKUP(T_SuiviTw[[#This Row],[NumL]],T_suiviDi[#Data],COLUMN(T_suiviDi[[#This Row],[Email1]]),FALSE)&lt;&gt;"",VLOOKUP(T_SuiviTw[[#This Row],[NumL]],T_suiviDi[#Data],COLUMN(T_suiviDi[[#This Row],[Email1]]),FALSE),""),"")</f>
        <v/>
      </c>
      <c r="H81" s="155" t="str">
        <f t="shared" si="21"/>
        <v/>
      </c>
      <c r="I81" s="100"/>
      <c r="J81" s="156" t="str">
        <f t="shared" si="22"/>
        <v/>
      </c>
      <c r="K81" s="155" t="str">
        <f t="shared" si="23"/>
        <v/>
      </c>
      <c r="L81" s="100"/>
      <c r="M81" s="156" t="str">
        <f t="shared" ca="1" si="24"/>
        <v/>
      </c>
      <c r="N81" s="49"/>
      <c r="O81" s="49"/>
      <c r="P81" s="105" t="str">
        <f t="shared" si="25"/>
        <v/>
      </c>
      <c r="Q81" s="155" t="str">
        <f t="shared" si="26"/>
        <v/>
      </c>
      <c r="R81" s="100"/>
      <c r="S81" s="156" t="str">
        <f t="shared" ca="1" si="27"/>
        <v/>
      </c>
      <c r="T81" s="101"/>
      <c r="U81" s="101"/>
      <c r="V81" s="101"/>
      <c r="W81" s="144"/>
    </row>
    <row r="82" spans="1:23" ht="24" customHeight="1" x14ac:dyDescent="0.25">
      <c r="A82" s="90">
        <v>189</v>
      </c>
      <c r="B82" s="19" t="str">
        <f>IFERROR(IF(VLOOKUP(T_SuiviTw[[#This Row],[NumL]],T_suiviDi[#Data],COLUMN(T_suiviDi[[#This Row],[Nom]]),FALSE)&lt;&gt;"",VLOOKUP(T_SuiviTw[[#This Row],[NumL]],T_suiviDi[#Data],COLUMN(T_suiviDi[[#This Row],[Nom]]),FALSE),""),"")</f>
        <v/>
      </c>
      <c r="C82" s="19" t="str">
        <f>IFERROR(IF(VLOOKUP(T_SuiviTw[[#This Row],[NumL]],T_suiviDi[#Data],COLUMN(T_suiviDi[[#This Row],[Prénom]]),FALSE)&lt;&gt;"",VLOOKUP(T_SuiviTw[[#This Row],[NumL]],T_suiviDi[#Data],COLUMN(T_suiviDi[[#This Row],[Prénom]]),FALSE),""),"")</f>
        <v/>
      </c>
      <c r="D82" s="20" t="str">
        <f>IFERROR(IF(VLOOKUP(T_SuiviTw[[#This Row],[NumL]],T_suiviDi[#Data],COLUMN(T_suiviDi[[#This Row],[Email]]),FALSE)&lt;&gt;"",VLOOKUP(T_SuiviTw[[#This Row],[NumL]],T_suiviDi[#Data],COLUMN(T_suiviDi[[#This Row],[Email]]),FALSE),""),"")</f>
        <v/>
      </c>
      <c r="E82" s="274" t="str">
        <f>IFERROR(IF(VLOOKUP(T_SuiviTw[[#This Row],[NumL]],T_suiviDi[#Data],COLUMN(T_suiviDi[[#This Row],[Nom1]]),FALSE)&lt;&gt;"",VLOOKUP(T_SuiviTw[[#This Row],[NumL]],T_suiviDi[#Data],COLUMN(T_suiviDi[[#This Row],[Nom1]]),FALSE),""),"")</f>
        <v/>
      </c>
      <c r="F82" s="274" t="str">
        <f>IFERROR(IF(VLOOKUP(T_SuiviTw[[#This Row],[NumL]],T_suiviDi[#Data],COLUMN(T_suiviDi[[#This Row],[Prénom1]]),FALSE)&lt;&gt;"",VLOOKUP(T_SuiviTw[[#This Row],[NumL]],T_suiviDi[#Data],COLUMN(T_suiviDi[[#This Row],[Prénom1]]),FALSE),""),"")</f>
        <v/>
      </c>
      <c r="G82" s="274" t="str">
        <f>IFERROR(IF(VLOOKUP(T_SuiviTw[[#This Row],[NumL]],T_suiviDi[#Data],COLUMN(T_suiviDi[[#This Row],[Email1]]),FALSE)&lt;&gt;"",VLOOKUP(T_SuiviTw[[#This Row],[NumL]],T_suiviDi[#Data],COLUMN(T_suiviDi[[#This Row],[Email1]]),FALSE),""),"")</f>
        <v/>
      </c>
      <c r="H82" s="275" t="str">
        <f t="shared" si="21"/>
        <v/>
      </c>
      <c r="I82" s="100"/>
      <c r="J82" s="156" t="str">
        <f t="shared" si="22"/>
        <v/>
      </c>
      <c r="K82" s="155" t="str">
        <f t="shared" si="23"/>
        <v/>
      </c>
      <c r="L82" s="100"/>
      <c r="M82" s="156" t="str">
        <f t="shared" ca="1" si="24"/>
        <v/>
      </c>
      <c r="N82" s="49"/>
      <c r="O82" s="49"/>
      <c r="P82" s="105" t="str">
        <f t="shared" si="25"/>
        <v/>
      </c>
      <c r="Q82" s="155" t="str">
        <f t="shared" si="26"/>
        <v/>
      </c>
      <c r="R82" s="100"/>
      <c r="S82" s="156" t="str">
        <f t="shared" ca="1" si="27"/>
        <v/>
      </c>
      <c r="T82" s="101"/>
      <c r="U82" s="101"/>
      <c r="V82" s="101"/>
      <c r="W82" s="144"/>
    </row>
    <row r="83" spans="1:23" ht="24" customHeight="1" x14ac:dyDescent="0.25">
      <c r="A83" s="90">
        <v>28</v>
      </c>
      <c r="B83" s="19" t="str">
        <f>IFERROR(IF(VLOOKUP(T_SuiviTw[[#This Row],[NumL]],T_suiviDi[#Data],COLUMN(T_suiviDi[[#This Row],[Nom]]),FALSE)&lt;&gt;"",VLOOKUP(T_SuiviTw[[#This Row],[NumL]],T_suiviDi[#Data],COLUMN(T_suiviDi[[#This Row],[Nom]]),FALSE),""),"")</f>
        <v/>
      </c>
      <c r="C83" s="19" t="str">
        <f>IFERROR(IF(VLOOKUP(T_SuiviTw[[#This Row],[NumL]],T_suiviDi[#Data],COLUMN(T_suiviDi[[#This Row],[Prénom]]),FALSE)&lt;&gt;"",VLOOKUP(T_SuiviTw[[#This Row],[NumL]],T_suiviDi[#Data],COLUMN(T_suiviDi[[#This Row],[Prénom]]),FALSE),""),"")</f>
        <v/>
      </c>
      <c r="D83" s="20" t="str">
        <f>IFERROR(IF(VLOOKUP(T_SuiviTw[[#This Row],[NumL]],T_suiviDi[#Data],COLUMN(T_suiviDi[[#This Row],[Email]]),FALSE)&lt;&gt;"",VLOOKUP(T_SuiviTw[[#This Row],[NumL]],T_suiviDi[#Data],COLUMN(T_suiviDi[[#This Row],[Email]]),FALSE),""),"")</f>
        <v/>
      </c>
      <c r="E83" s="274" t="str">
        <f>IFERROR(IF(VLOOKUP(T_SuiviTw[[#This Row],[NumL]],T_suiviDi[#Data],COLUMN(T_suiviDi[[#This Row],[Nom1]]),FALSE)&lt;&gt;"",VLOOKUP(T_SuiviTw[[#This Row],[NumL]],T_suiviDi[#Data],COLUMN(T_suiviDi[[#This Row],[Nom1]]),FALSE),""),"")</f>
        <v/>
      </c>
      <c r="F83" s="274" t="str">
        <f>IFERROR(IF(VLOOKUP(T_SuiviTw[[#This Row],[NumL]],T_suiviDi[#Data],COLUMN(T_suiviDi[[#This Row],[Prénom1]]),FALSE)&lt;&gt;"",VLOOKUP(T_SuiviTw[[#This Row],[NumL]],T_suiviDi[#Data],COLUMN(T_suiviDi[[#This Row],[Prénom1]]),FALSE),""),"")</f>
        <v/>
      </c>
      <c r="G83" s="274" t="str">
        <f>IFERROR(IF(VLOOKUP(T_SuiviTw[[#This Row],[NumL]],T_suiviDi[#Data],COLUMN(T_suiviDi[[#This Row],[Email1]]),FALSE)&lt;&gt;"",VLOOKUP(T_SuiviTw[[#This Row],[NumL]],T_suiviDi[#Data],COLUMN(T_suiviDi[[#This Row],[Email1]]),FALSE),""),"")</f>
        <v/>
      </c>
      <c r="H83" s="275" t="str">
        <f t="shared" si="21"/>
        <v/>
      </c>
      <c r="I83" s="100"/>
      <c r="J83" s="156" t="str">
        <f t="shared" si="22"/>
        <v/>
      </c>
      <c r="K83" s="155" t="str">
        <f t="shared" si="23"/>
        <v/>
      </c>
      <c r="L83" s="100"/>
      <c r="M83" s="156" t="str">
        <f t="shared" ca="1" si="24"/>
        <v/>
      </c>
      <c r="N83" s="49"/>
      <c r="O83" s="49"/>
      <c r="P83" s="105" t="str">
        <f t="shared" si="25"/>
        <v/>
      </c>
      <c r="Q83" s="155" t="str">
        <f t="shared" si="26"/>
        <v/>
      </c>
      <c r="R83" s="100"/>
      <c r="S83" s="156" t="str">
        <f t="shared" ca="1" si="27"/>
        <v/>
      </c>
      <c r="T83" s="101"/>
      <c r="U83" s="101"/>
      <c r="V83" s="101"/>
      <c r="W83" s="144"/>
    </row>
    <row r="84" spans="1:23" ht="24" customHeight="1" x14ac:dyDescent="0.25">
      <c r="A84" s="90">
        <v>222</v>
      </c>
      <c r="B84" s="19" t="str">
        <f>IFERROR(IF(VLOOKUP(T_SuiviTw[[#This Row],[NumL]],T_suiviDi[#Data],COLUMN(T_suiviDi[[#This Row],[Nom]]),FALSE)&lt;&gt;"",VLOOKUP(T_SuiviTw[[#This Row],[NumL]],T_suiviDi[#Data],COLUMN(T_suiviDi[[#This Row],[Nom]]),FALSE),""),"")</f>
        <v/>
      </c>
      <c r="C84" s="19" t="str">
        <f>IFERROR(IF(VLOOKUP(T_SuiviTw[[#This Row],[NumL]],T_suiviDi[#Data],COLUMN(T_suiviDi[[#This Row],[Prénom]]),FALSE)&lt;&gt;"",VLOOKUP(T_SuiviTw[[#This Row],[NumL]],T_suiviDi[#Data],COLUMN(T_suiviDi[[#This Row],[Prénom]]),FALSE),""),"")</f>
        <v/>
      </c>
      <c r="D84" s="20" t="str">
        <f>IFERROR(IF(VLOOKUP(T_SuiviTw[[#This Row],[NumL]],T_suiviDi[#Data],COLUMN(T_suiviDi[[#This Row],[Email]]),FALSE)&lt;&gt;"",VLOOKUP(T_SuiviTw[[#This Row],[NumL]],T_suiviDi[#Data],COLUMN(T_suiviDi[[#This Row],[Email]]),FALSE),""),"")</f>
        <v/>
      </c>
      <c r="E84" s="274" t="str">
        <f>IFERROR(IF(VLOOKUP(T_SuiviTw[[#This Row],[NumL]],T_suiviDi[#Data],COLUMN(T_suiviDi[[#This Row],[Nom1]]),FALSE)&lt;&gt;"",VLOOKUP(T_SuiviTw[[#This Row],[NumL]],T_suiviDi[#Data],COLUMN(T_suiviDi[[#This Row],[Nom1]]),FALSE),""),"")</f>
        <v/>
      </c>
      <c r="F84" s="274" t="str">
        <f>IFERROR(IF(VLOOKUP(T_SuiviTw[[#This Row],[NumL]],T_suiviDi[#Data],COLUMN(T_suiviDi[[#This Row],[Prénom1]]),FALSE)&lt;&gt;"",VLOOKUP(T_SuiviTw[[#This Row],[NumL]],T_suiviDi[#Data],COLUMN(T_suiviDi[[#This Row],[Prénom1]]),FALSE),""),"")</f>
        <v/>
      </c>
      <c r="G84" s="274" t="str">
        <f>IFERROR(IF(VLOOKUP(T_SuiviTw[[#This Row],[NumL]],T_suiviDi[#Data],COLUMN(T_suiviDi[[#This Row],[Email1]]),FALSE)&lt;&gt;"",VLOOKUP(T_SuiviTw[[#This Row],[NumL]],T_suiviDi[#Data],COLUMN(T_suiviDi[[#This Row],[Email1]]),FALSE),""),"")</f>
        <v/>
      </c>
      <c r="H84" s="275" t="str">
        <f t="shared" si="21"/>
        <v/>
      </c>
      <c r="I84" s="100"/>
      <c r="J84" s="156" t="str">
        <f t="shared" si="22"/>
        <v/>
      </c>
      <c r="K84" s="155" t="str">
        <f t="shared" si="23"/>
        <v/>
      </c>
      <c r="L84" s="100"/>
      <c r="M84" s="156" t="str">
        <f t="shared" ca="1" si="24"/>
        <v/>
      </c>
      <c r="N84" s="49"/>
      <c r="O84" s="49"/>
      <c r="P84" s="105" t="str">
        <f t="shared" si="25"/>
        <v/>
      </c>
      <c r="Q84" s="155" t="str">
        <f t="shared" si="26"/>
        <v/>
      </c>
      <c r="R84" s="100"/>
      <c r="S84" s="156" t="str">
        <f t="shared" ca="1" si="27"/>
        <v/>
      </c>
      <c r="T84" s="101"/>
      <c r="U84" s="101"/>
      <c r="V84" s="101"/>
      <c r="W84" s="144"/>
    </row>
    <row r="85" spans="1:23" ht="24" customHeight="1" x14ac:dyDescent="0.25">
      <c r="A85" s="90">
        <v>352</v>
      </c>
      <c r="B85" s="139" t="str">
        <f>IFERROR(IF(VLOOKUP(T_SuiviTw[[#This Row],[NumL]],T_suiviDi[#Data],COLUMN(T_suiviDi[[#This Row],[Nom]]),FALSE)&lt;&gt;"",VLOOKUP(T_SuiviTw[[#This Row],[NumL]],T_suiviDi[#Data],COLUMN(T_suiviDi[[#This Row],[Nom]]),FALSE),""),"")</f>
        <v/>
      </c>
      <c r="C85" s="139" t="str">
        <f>IFERROR(IF(VLOOKUP(T_SuiviTw[[#This Row],[NumL]],T_suiviDi[#Data],COLUMN(T_suiviDi[[#This Row],[Prénom]]),FALSE)&lt;&gt;"",VLOOKUP(T_SuiviTw[[#This Row],[NumL]],T_suiviDi[#Data],COLUMN(T_suiviDi[[#This Row],[Prénom]]),FALSE),""),"")</f>
        <v/>
      </c>
      <c r="D85" s="140" t="str">
        <f>IFERROR(IF(VLOOKUP(T_SuiviTw[[#This Row],[NumL]],T_suiviDi[#Data],COLUMN(T_suiviDi[[#This Row],[Email]]),FALSE)&lt;&gt;"",VLOOKUP(T_SuiviTw[[#This Row],[NumL]],T_suiviDi[#Data],COLUMN(T_suiviDi[[#This Row],[Email]]),FALSE),""),"")</f>
        <v/>
      </c>
      <c r="E85" s="141" t="str">
        <f>IFERROR(IF(VLOOKUP(T_SuiviTw[[#This Row],[NumL]],T_suiviDi[#Data],COLUMN(T_suiviDi[[#This Row],[Nom1]]),FALSE)&lt;&gt;"",VLOOKUP(T_SuiviTw[[#This Row],[NumL]],T_suiviDi[#Data],COLUMN(T_suiviDi[[#This Row],[Nom1]]),FALSE),""),"")</f>
        <v/>
      </c>
      <c r="F85" s="141" t="str">
        <f>IFERROR(IF(VLOOKUP(T_SuiviTw[[#This Row],[NumL]],T_suiviDi[#Data],COLUMN(T_suiviDi[[#This Row],[Prénom1]]),FALSE)&lt;&gt;"",VLOOKUP(T_SuiviTw[[#This Row],[NumL]],T_suiviDi[#Data],COLUMN(T_suiviDi[[#This Row],[Prénom1]]),FALSE),""),"")</f>
        <v/>
      </c>
      <c r="G85" s="141" t="str">
        <f>IFERROR(IF(VLOOKUP(T_SuiviTw[[#This Row],[NumL]],T_suiviDi[#Data],COLUMN(T_suiviDi[[#This Row],[Email1]]),FALSE)&lt;&gt;"",VLOOKUP(T_SuiviTw[[#This Row],[NumL]],T_suiviDi[#Data],COLUMN(T_suiviDi[[#This Row],[Email1]]),FALSE),""),"")</f>
        <v/>
      </c>
      <c r="H85" s="155" t="str">
        <f t="shared" si="21"/>
        <v/>
      </c>
      <c r="I85" s="100"/>
      <c r="J85" s="156" t="str">
        <f t="shared" si="22"/>
        <v/>
      </c>
      <c r="K85" s="155" t="str">
        <f t="shared" si="23"/>
        <v/>
      </c>
      <c r="L85" s="100"/>
      <c r="M85" s="156" t="str">
        <f t="shared" ca="1" si="24"/>
        <v/>
      </c>
      <c r="N85" s="49"/>
      <c r="O85" s="49"/>
      <c r="P85" s="105" t="str">
        <f t="shared" si="25"/>
        <v/>
      </c>
      <c r="Q85" s="155" t="str">
        <f t="shared" si="26"/>
        <v/>
      </c>
      <c r="R85" s="100"/>
      <c r="S85" s="156" t="str">
        <f t="shared" ca="1" si="27"/>
        <v/>
      </c>
      <c r="T85" s="101"/>
      <c r="U85" s="101"/>
      <c r="V85" s="101"/>
      <c r="W85" s="144"/>
    </row>
    <row r="86" spans="1:23" ht="24" customHeight="1" x14ac:dyDescent="0.25">
      <c r="A86" s="90">
        <v>283</v>
      </c>
      <c r="B86" s="19" t="str">
        <f>IFERROR(IF(VLOOKUP(T_SuiviTw[[#This Row],[NumL]],T_suiviDi[#Data],COLUMN(T_suiviDi[[#This Row],[Nom]]),FALSE)&lt;&gt;"",VLOOKUP(T_SuiviTw[[#This Row],[NumL]],T_suiviDi[#Data],COLUMN(T_suiviDi[[#This Row],[Nom]]),FALSE),""),"")</f>
        <v/>
      </c>
      <c r="C86" s="19" t="str">
        <f>IFERROR(IF(VLOOKUP(T_SuiviTw[[#This Row],[NumL]],T_suiviDi[#Data],COLUMN(T_suiviDi[[#This Row],[Prénom]]),FALSE)&lt;&gt;"",VLOOKUP(T_SuiviTw[[#This Row],[NumL]],T_suiviDi[#Data],COLUMN(T_suiviDi[[#This Row],[Prénom]]),FALSE),""),"")</f>
        <v/>
      </c>
      <c r="D86" s="20" t="str">
        <f>IFERROR(IF(VLOOKUP(T_SuiviTw[[#This Row],[NumL]],T_suiviDi[#Data],COLUMN(T_suiviDi[[#This Row],[Email]]),FALSE)&lt;&gt;"",VLOOKUP(T_SuiviTw[[#This Row],[NumL]],T_suiviDi[#Data],COLUMN(T_suiviDi[[#This Row],[Email]]),FALSE),""),"")</f>
        <v/>
      </c>
      <c r="E86" s="274" t="str">
        <f>IFERROR(IF(VLOOKUP(T_SuiviTw[[#This Row],[NumL]],T_suiviDi[#Data],COLUMN(T_suiviDi[[#This Row],[Nom1]]),FALSE)&lt;&gt;"",VLOOKUP(T_SuiviTw[[#This Row],[NumL]],T_suiviDi[#Data],COLUMN(T_suiviDi[[#This Row],[Nom1]]),FALSE),""),"")</f>
        <v/>
      </c>
      <c r="F86" s="274" t="str">
        <f>IFERROR(IF(VLOOKUP(T_SuiviTw[[#This Row],[NumL]],T_suiviDi[#Data],COLUMN(T_suiviDi[[#This Row],[Prénom1]]),FALSE)&lt;&gt;"",VLOOKUP(T_SuiviTw[[#This Row],[NumL]],T_suiviDi[#Data],COLUMN(T_suiviDi[[#This Row],[Prénom1]]),FALSE),""),"")</f>
        <v/>
      </c>
      <c r="G86" s="274" t="str">
        <f>IFERROR(IF(VLOOKUP(T_SuiviTw[[#This Row],[NumL]],T_suiviDi[#Data],COLUMN(T_suiviDi[[#This Row],[Email1]]),FALSE)&lt;&gt;"",VLOOKUP(T_SuiviTw[[#This Row],[NumL]],T_suiviDi[#Data],COLUMN(T_suiviDi[[#This Row],[Email1]]),FALSE),""),"")</f>
        <v/>
      </c>
      <c r="H86" s="275" t="str">
        <f t="shared" si="21"/>
        <v/>
      </c>
      <c r="I86" s="100"/>
      <c r="J86" s="156" t="str">
        <f t="shared" si="22"/>
        <v/>
      </c>
      <c r="K86" s="155" t="str">
        <f t="shared" si="23"/>
        <v/>
      </c>
      <c r="L86" s="100"/>
      <c r="M86" s="156" t="str">
        <f t="shared" ca="1" si="24"/>
        <v/>
      </c>
      <c r="N86" s="49"/>
      <c r="O86" s="49"/>
      <c r="P86" s="105" t="str">
        <f t="shared" si="25"/>
        <v/>
      </c>
      <c r="Q86" s="155" t="str">
        <f t="shared" si="26"/>
        <v/>
      </c>
      <c r="R86" s="100"/>
      <c r="S86" s="156" t="str">
        <f t="shared" ca="1" si="27"/>
        <v/>
      </c>
      <c r="T86" s="101"/>
      <c r="U86" s="101"/>
      <c r="V86" s="101"/>
      <c r="W86" s="144"/>
    </row>
    <row r="87" spans="1:23" ht="24" customHeight="1" x14ac:dyDescent="0.25">
      <c r="A87" s="90">
        <v>60</v>
      </c>
      <c r="B87" s="19" t="str">
        <f>IFERROR(IF(VLOOKUP(T_SuiviTw[[#This Row],[NumL]],T_suiviDi[#Data],COLUMN(T_suiviDi[[#This Row],[Nom]]),FALSE)&lt;&gt;"",VLOOKUP(T_SuiviTw[[#This Row],[NumL]],T_suiviDi[#Data],COLUMN(T_suiviDi[[#This Row],[Nom]]),FALSE),""),"")</f>
        <v/>
      </c>
      <c r="C87" s="19" t="str">
        <f>IFERROR(IF(VLOOKUP(T_SuiviTw[[#This Row],[NumL]],T_suiviDi[#Data],COLUMN(T_suiviDi[[#This Row],[Prénom]]),FALSE)&lt;&gt;"",VLOOKUP(T_SuiviTw[[#This Row],[NumL]],T_suiviDi[#Data],COLUMN(T_suiviDi[[#This Row],[Prénom]]),FALSE),""),"")</f>
        <v/>
      </c>
      <c r="D87" s="20" t="str">
        <f>IFERROR(IF(VLOOKUP(T_SuiviTw[[#This Row],[NumL]],T_suiviDi[#Data],COLUMN(T_suiviDi[[#This Row],[Email]]),FALSE)&lt;&gt;"",VLOOKUP(T_SuiviTw[[#This Row],[NumL]],T_suiviDi[#Data],COLUMN(T_suiviDi[[#This Row],[Email]]),FALSE),""),"")</f>
        <v/>
      </c>
      <c r="E87" s="274" t="str">
        <f>IFERROR(IF(VLOOKUP(T_SuiviTw[[#This Row],[NumL]],T_suiviDi[#Data],COLUMN(T_suiviDi[[#This Row],[Nom1]]),FALSE)&lt;&gt;"",VLOOKUP(T_SuiviTw[[#This Row],[NumL]],T_suiviDi[#Data],COLUMN(T_suiviDi[[#This Row],[Nom1]]),FALSE),""),"")</f>
        <v/>
      </c>
      <c r="F87" s="274" t="str">
        <f>IFERROR(IF(VLOOKUP(T_SuiviTw[[#This Row],[NumL]],T_suiviDi[#Data],COLUMN(T_suiviDi[[#This Row],[Prénom1]]),FALSE)&lt;&gt;"",VLOOKUP(T_SuiviTw[[#This Row],[NumL]],T_suiviDi[#Data],COLUMN(T_suiviDi[[#This Row],[Prénom1]]),FALSE),""),"")</f>
        <v/>
      </c>
      <c r="G87" s="274" t="str">
        <f>IFERROR(IF(VLOOKUP(T_SuiviTw[[#This Row],[NumL]],T_suiviDi[#Data],COLUMN(T_suiviDi[[#This Row],[Email1]]),FALSE)&lt;&gt;"",VLOOKUP(T_SuiviTw[[#This Row],[NumL]],T_suiviDi[#Data],COLUMN(T_suiviDi[[#This Row],[Email1]]),FALSE),""),"")</f>
        <v/>
      </c>
      <c r="H87" s="275" t="str">
        <f t="shared" si="21"/>
        <v/>
      </c>
      <c r="I87" s="100"/>
      <c r="J87" s="156" t="str">
        <f t="shared" si="22"/>
        <v/>
      </c>
      <c r="K87" s="155" t="str">
        <f t="shared" si="23"/>
        <v/>
      </c>
      <c r="L87" s="100"/>
      <c r="M87" s="156" t="str">
        <f t="shared" ca="1" si="24"/>
        <v/>
      </c>
      <c r="N87" s="49"/>
      <c r="O87" s="49"/>
      <c r="P87" s="105" t="str">
        <f t="shared" si="25"/>
        <v/>
      </c>
      <c r="Q87" s="155" t="str">
        <f t="shared" si="26"/>
        <v/>
      </c>
      <c r="R87" s="100"/>
      <c r="S87" s="156" t="str">
        <f t="shared" ca="1" si="27"/>
        <v/>
      </c>
      <c r="T87" s="101"/>
      <c r="U87" s="101"/>
      <c r="V87" s="101"/>
      <c r="W87" s="144"/>
    </row>
    <row r="88" spans="1:23" ht="24" customHeight="1" x14ac:dyDescent="0.25">
      <c r="A88" s="90">
        <v>172</v>
      </c>
      <c r="B88" s="19" t="str">
        <f>IFERROR(IF(VLOOKUP(T_SuiviTw[[#This Row],[NumL]],T_suiviDi[#Data],COLUMN(T_suiviDi[[#This Row],[Nom]]),FALSE)&lt;&gt;"",VLOOKUP(T_SuiviTw[[#This Row],[NumL]],T_suiviDi[#Data],COLUMN(T_suiviDi[[#This Row],[Nom]]),FALSE),""),"")</f>
        <v/>
      </c>
      <c r="C88" s="19" t="str">
        <f>IFERROR(IF(VLOOKUP(T_SuiviTw[[#This Row],[NumL]],T_suiviDi[#Data],COLUMN(T_suiviDi[[#This Row],[Prénom]]),FALSE)&lt;&gt;"",VLOOKUP(T_SuiviTw[[#This Row],[NumL]],T_suiviDi[#Data],COLUMN(T_suiviDi[[#This Row],[Prénom]]),FALSE),""),"")</f>
        <v/>
      </c>
      <c r="D88" s="20" t="str">
        <f>IFERROR(IF(VLOOKUP(T_SuiviTw[[#This Row],[NumL]],T_suiviDi[#Data],COLUMN(T_suiviDi[[#This Row],[Email]]),FALSE)&lt;&gt;"",VLOOKUP(T_SuiviTw[[#This Row],[NumL]],T_suiviDi[#Data],COLUMN(T_suiviDi[[#This Row],[Email]]),FALSE),""),"")</f>
        <v/>
      </c>
      <c r="E88" s="274" t="str">
        <f>IFERROR(IF(VLOOKUP(T_SuiviTw[[#This Row],[NumL]],T_suiviDi[#Data],COLUMN(T_suiviDi[[#This Row],[Nom1]]),FALSE)&lt;&gt;"",VLOOKUP(T_SuiviTw[[#This Row],[NumL]],T_suiviDi[#Data],COLUMN(T_suiviDi[[#This Row],[Nom1]]),FALSE),""),"")</f>
        <v/>
      </c>
      <c r="F88" s="274" t="str">
        <f>IFERROR(IF(VLOOKUP(T_SuiviTw[[#This Row],[NumL]],T_suiviDi[#Data],COLUMN(T_suiviDi[[#This Row],[Prénom1]]),FALSE)&lt;&gt;"",VLOOKUP(T_SuiviTw[[#This Row],[NumL]],T_suiviDi[#Data],COLUMN(T_suiviDi[[#This Row],[Prénom1]]),FALSE),""),"")</f>
        <v/>
      </c>
      <c r="G88" s="274" t="str">
        <f>IFERROR(IF(VLOOKUP(T_SuiviTw[[#This Row],[NumL]],T_suiviDi[#Data],COLUMN(T_suiviDi[[#This Row],[Email1]]),FALSE)&lt;&gt;"",VLOOKUP(T_SuiviTw[[#This Row],[NumL]],T_suiviDi[#Data],COLUMN(T_suiviDi[[#This Row],[Email1]]),FALSE),""),"")</f>
        <v/>
      </c>
      <c r="H88" s="275" t="str">
        <f t="shared" si="21"/>
        <v/>
      </c>
      <c r="I88" s="100"/>
      <c r="J88" s="156" t="str">
        <f t="shared" si="22"/>
        <v/>
      </c>
      <c r="K88" s="155" t="str">
        <f t="shared" si="23"/>
        <v/>
      </c>
      <c r="L88" s="100"/>
      <c r="M88" s="156" t="str">
        <f t="shared" ca="1" si="24"/>
        <v/>
      </c>
      <c r="N88" s="49"/>
      <c r="O88" s="49"/>
      <c r="P88" s="105" t="str">
        <f t="shared" si="25"/>
        <v/>
      </c>
      <c r="Q88" s="155" t="str">
        <f t="shared" si="26"/>
        <v/>
      </c>
      <c r="R88" s="100"/>
      <c r="S88" s="156" t="str">
        <f t="shared" ca="1" si="27"/>
        <v/>
      </c>
      <c r="T88" s="101"/>
      <c r="U88" s="101"/>
      <c r="V88" s="101"/>
      <c r="W88" s="144"/>
    </row>
    <row r="89" spans="1:23" ht="24" customHeight="1" x14ac:dyDescent="0.25">
      <c r="A89" s="90">
        <v>114</v>
      </c>
      <c r="B89" s="19" t="str">
        <f>IFERROR(IF(VLOOKUP(T_SuiviTw[[#This Row],[NumL]],T_suiviDi[#Data],COLUMN(T_suiviDi[[#This Row],[Nom]]),FALSE)&lt;&gt;"",VLOOKUP(T_SuiviTw[[#This Row],[NumL]],T_suiviDi[#Data],COLUMN(T_suiviDi[[#This Row],[Nom]]),FALSE),""),"")</f>
        <v/>
      </c>
      <c r="C89" s="19" t="str">
        <f>IFERROR(IF(VLOOKUP(T_SuiviTw[[#This Row],[NumL]],T_suiviDi[#Data],COLUMN(T_suiviDi[[#This Row],[Prénom]]),FALSE)&lt;&gt;"",VLOOKUP(T_SuiviTw[[#This Row],[NumL]],T_suiviDi[#Data],COLUMN(T_suiviDi[[#This Row],[Prénom]]),FALSE),""),"")</f>
        <v/>
      </c>
      <c r="D89" s="20" t="str">
        <f>IFERROR(IF(VLOOKUP(T_SuiviTw[[#This Row],[NumL]],T_suiviDi[#Data],COLUMN(T_suiviDi[[#This Row],[Email]]),FALSE)&lt;&gt;"",VLOOKUP(T_SuiviTw[[#This Row],[NumL]],T_suiviDi[#Data],COLUMN(T_suiviDi[[#This Row],[Email]]),FALSE),""),"")</f>
        <v/>
      </c>
      <c r="E89" s="274" t="str">
        <f>IFERROR(IF(VLOOKUP(T_SuiviTw[[#This Row],[NumL]],T_suiviDi[#Data],COLUMN(T_suiviDi[[#This Row],[Nom1]]),FALSE)&lt;&gt;"",VLOOKUP(T_SuiviTw[[#This Row],[NumL]],T_suiviDi[#Data],COLUMN(T_suiviDi[[#This Row],[Nom1]]),FALSE),""),"")</f>
        <v/>
      </c>
      <c r="F89" s="274" t="str">
        <f>IFERROR(IF(VLOOKUP(T_SuiviTw[[#This Row],[NumL]],T_suiviDi[#Data],COLUMN(T_suiviDi[[#This Row],[Prénom1]]),FALSE)&lt;&gt;"",VLOOKUP(T_SuiviTw[[#This Row],[NumL]],T_suiviDi[#Data],COLUMN(T_suiviDi[[#This Row],[Prénom1]]),FALSE),""),"")</f>
        <v/>
      </c>
      <c r="G89" s="274" t="str">
        <f>IFERROR(IF(VLOOKUP(T_SuiviTw[[#This Row],[NumL]],T_suiviDi[#Data],COLUMN(T_suiviDi[[#This Row],[Email1]]),FALSE)&lt;&gt;"",VLOOKUP(T_SuiviTw[[#This Row],[NumL]],T_suiviDi[#Data],COLUMN(T_suiviDi[[#This Row],[Email1]]),FALSE),""),"")</f>
        <v/>
      </c>
      <c r="H89" s="275" t="str">
        <f t="shared" si="21"/>
        <v/>
      </c>
      <c r="I89" s="100"/>
      <c r="J89" s="156" t="str">
        <f t="shared" si="22"/>
        <v/>
      </c>
      <c r="K89" s="155" t="str">
        <f t="shared" si="23"/>
        <v/>
      </c>
      <c r="L89" s="100"/>
      <c r="M89" s="156" t="str">
        <f t="shared" ca="1" si="24"/>
        <v/>
      </c>
      <c r="N89" s="49"/>
      <c r="O89" s="49"/>
      <c r="P89" s="105" t="str">
        <f t="shared" si="25"/>
        <v/>
      </c>
      <c r="Q89" s="155" t="str">
        <f t="shared" si="26"/>
        <v/>
      </c>
      <c r="R89" s="100"/>
      <c r="S89" s="156" t="str">
        <f t="shared" ca="1" si="27"/>
        <v/>
      </c>
      <c r="T89" s="101"/>
      <c r="U89" s="101"/>
      <c r="V89" s="101"/>
      <c r="W89" s="144"/>
    </row>
    <row r="90" spans="1:23" ht="24" customHeight="1" x14ac:dyDescent="0.25">
      <c r="A90" s="90">
        <v>8</v>
      </c>
      <c r="B90" s="19" t="str">
        <f>IFERROR(IF(VLOOKUP(T_SuiviTw[[#This Row],[NumL]],T_suiviDi[#Data],COLUMN(T_suiviDi[[#This Row],[Nom]]),FALSE)&lt;&gt;"",VLOOKUP(T_SuiviTw[[#This Row],[NumL]],T_suiviDi[#Data],COLUMN(T_suiviDi[[#This Row],[Nom]]),FALSE),""),"")</f>
        <v/>
      </c>
      <c r="C90" s="19" t="str">
        <f>IFERROR(IF(VLOOKUP(T_SuiviTw[[#This Row],[NumL]],T_suiviDi[#Data],COLUMN(T_suiviDi[[#This Row],[Prénom]]),FALSE)&lt;&gt;"",VLOOKUP(T_SuiviTw[[#This Row],[NumL]],T_suiviDi[#Data],COLUMN(T_suiviDi[[#This Row],[Prénom]]),FALSE),""),"")</f>
        <v/>
      </c>
      <c r="D90" s="20" t="str">
        <f>IFERROR(IF(VLOOKUP(T_SuiviTw[[#This Row],[NumL]],T_suiviDi[#Data],COLUMN(T_suiviDi[[#This Row],[Email]]),FALSE)&lt;&gt;"",VLOOKUP(T_SuiviTw[[#This Row],[NumL]],T_suiviDi[#Data],COLUMN(T_suiviDi[[#This Row],[Email]]),FALSE),""),"")</f>
        <v/>
      </c>
      <c r="E90" s="274" t="str">
        <f>IFERROR(IF(VLOOKUP(T_SuiviTw[[#This Row],[NumL]],T_suiviDi[#Data],COLUMN(T_suiviDi[[#This Row],[Nom1]]),FALSE)&lt;&gt;"",VLOOKUP(T_SuiviTw[[#This Row],[NumL]],T_suiviDi[#Data],COLUMN(T_suiviDi[[#This Row],[Nom1]]),FALSE),""),"")</f>
        <v/>
      </c>
      <c r="F90" s="274" t="str">
        <f>IFERROR(IF(VLOOKUP(T_SuiviTw[[#This Row],[NumL]],T_suiviDi[#Data],COLUMN(T_suiviDi[[#This Row],[Prénom1]]),FALSE)&lt;&gt;"",VLOOKUP(T_SuiviTw[[#This Row],[NumL]],T_suiviDi[#Data],COLUMN(T_suiviDi[[#This Row],[Prénom1]]),FALSE),""),"")</f>
        <v/>
      </c>
      <c r="G90" s="274" t="str">
        <f>IFERROR(IF(VLOOKUP(T_SuiviTw[[#This Row],[NumL]],T_suiviDi[#Data],COLUMN(T_suiviDi[[#This Row],[Email1]]),FALSE)&lt;&gt;"",VLOOKUP(T_SuiviTw[[#This Row],[NumL]],T_suiviDi[#Data],COLUMN(T_suiviDi[[#This Row],[Email1]]),FALSE),""),"")</f>
        <v/>
      </c>
      <c r="H90" s="275" t="str">
        <f t="shared" si="21"/>
        <v/>
      </c>
      <c r="I90" s="100"/>
      <c r="J90" s="156" t="str">
        <f t="shared" si="22"/>
        <v/>
      </c>
      <c r="K90" s="155" t="str">
        <f t="shared" si="23"/>
        <v/>
      </c>
      <c r="L90" s="100"/>
      <c r="M90" s="156" t="str">
        <f t="shared" ca="1" si="24"/>
        <v/>
      </c>
      <c r="N90" s="49"/>
      <c r="O90" s="49"/>
      <c r="P90" s="105" t="str">
        <f t="shared" si="25"/>
        <v/>
      </c>
      <c r="Q90" s="155" t="str">
        <f t="shared" si="26"/>
        <v/>
      </c>
      <c r="R90" s="100"/>
      <c r="S90" s="156" t="str">
        <f t="shared" ca="1" si="27"/>
        <v/>
      </c>
      <c r="T90" s="101"/>
      <c r="U90" s="101"/>
      <c r="V90" s="101"/>
      <c r="W90" s="144"/>
    </row>
    <row r="91" spans="1:23" ht="24" customHeight="1" x14ac:dyDescent="0.25">
      <c r="A91" s="90">
        <v>51</v>
      </c>
      <c r="B91" s="19" t="str">
        <f>IFERROR(IF(VLOOKUP(T_SuiviTw[[#This Row],[NumL]],T_suiviDi[#Data],COLUMN(T_suiviDi[[#This Row],[Nom]]),FALSE)&lt;&gt;"",VLOOKUP(T_SuiviTw[[#This Row],[NumL]],T_suiviDi[#Data],COLUMN(T_suiviDi[[#This Row],[Nom]]),FALSE),""),"")</f>
        <v/>
      </c>
      <c r="C91" s="19" t="str">
        <f>IFERROR(IF(VLOOKUP(T_SuiviTw[[#This Row],[NumL]],T_suiviDi[#Data],COLUMN(T_suiviDi[[#This Row],[Prénom]]),FALSE)&lt;&gt;"",VLOOKUP(T_SuiviTw[[#This Row],[NumL]],T_suiviDi[#Data],COLUMN(T_suiviDi[[#This Row],[Prénom]]),FALSE),""),"")</f>
        <v/>
      </c>
      <c r="D91" s="20" t="str">
        <f>IFERROR(IF(VLOOKUP(T_SuiviTw[[#This Row],[NumL]],T_suiviDi[#Data],COLUMN(T_suiviDi[[#This Row],[Email]]),FALSE)&lt;&gt;"",VLOOKUP(T_SuiviTw[[#This Row],[NumL]],T_suiviDi[#Data],COLUMN(T_suiviDi[[#This Row],[Email]]),FALSE),""),"")</f>
        <v/>
      </c>
      <c r="E91" s="274" t="str">
        <f>IFERROR(IF(VLOOKUP(T_SuiviTw[[#This Row],[NumL]],T_suiviDi[#Data],COLUMN(T_suiviDi[[#This Row],[Nom1]]),FALSE)&lt;&gt;"",VLOOKUP(T_SuiviTw[[#This Row],[NumL]],T_suiviDi[#Data],COLUMN(T_suiviDi[[#This Row],[Nom1]]),FALSE),""),"")</f>
        <v/>
      </c>
      <c r="F91" s="274" t="str">
        <f>IFERROR(IF(VLOOKUP(T_SuiviTw[[#This Row],[NumL]],T_suiviDi[#Data],COLUMN(T_suiviDi[[#This Row],[Prénom1]]),FALSE)&lt;&gt;"",VLOOKUP(T_SuiviTw[[#This Row],[NumL]],T_suiviDi[#Data],COLUMN(T_suiviDi[[#This Row],[Prénom1]]),FALSE),""),"")</f>
        <v/>
      </c>
      <c r="G91" s="274" t="str">
        <f>IFERROR(IF(VLOOKUP(T_SuiviTw[[#This Row],[NumL]],T_suiviDi[#Data],COLUMN(T_suiviDi[[#This Row],[Email1]]),FALSE)&lt;&gt;"",VLOOKUP(T_SuiviTw[[#This Row],[NumL]],T_suiviDi[#Data],COLUMN(T_suiviDi[[#This Row],[Email1]]),FALSE),""),"")</f>
        <v/>
      </c>
      <c r="H91" s="275" t="str">
        <f t="shared" si="21"/>
        <v/>
      </c>
      <c r="I91" s="100"/>
      <c r="J91" s="156" t="str">
        <f t="shared" si="22"/>
        <v/>
      </c>
      <c r="K91" s="155" t="str">
        <f t="shared" si="23"/>
        <v/>
      </c>
      <c r="L91" s="100"/>
      <c r="M91" s="156" t="str">
        <f t="shared" ca="1" si="24"/>
        <v/>
      </c>
      <c r="N91" s="49"/>
      <c r="O91" s="49"/>
      <c r="P91" s="105" t="str">
        <f t="shared" si="25"/>
        <v/>
      </c>
      <c r="Q91" s="155" t="str">
        <f t="shared" si="26"/>
        <v/>
      </c>
      <c r="R91" s="100"/>
      <c r="S91" s="156" t="str">
        <f t="shared" ca="1" si="27"/>
        <v/>
      </c>
      <c r="T91" s="101"/>
      <c r="U91" s="101"/>
      <c r="V91" s="101"/>
      <c r="W91" s="144"/>
    </row>
    <row r="92" spans="1:23" ht="24" customHeight="1" x14ac:dyDescent="0.25">
      <c r="A92" s="90">
        <v>342</v>
      </c>
      <c r="B92" s="139" t="str">
        <f>IFERROR(IF(VLOOKUP(T_SuiviTw[[#This Row],[NumL]],T_suiviDi[#Data],COLUMN(T_suiviDi[[#This Row],[Nom]]),FALSE)&lt;&gt;"",VLOOKUP(T_SuiviTw[[#This Row],[NumL]],T_suiviDi[#Data],COLUMN(T_suiviDi[[#This Row],[Nom]]),FALSE),""),"")</f>
        <v/>
      </c>
      <c r="C92" s="139" t="str">
        <f>IFERROR(IF(VLOOKUP(T_SuiviTw[[#This Row],[NumL]],T_suiviDi[#Data],COLUMN(T_suiviDi[[#This Row],[Prénom]]),FALSE)&lt;&gt;"",VLOOKUP(T_SuiviTw[[#This Row],[NumL]],T_suiviDi[#Data],COLUMN(T_suiviDi[[#This Row],[Prénom]]),FALSE),""),"")</f>
        <v/>
      </c>
      <c r="D92" s="140" t="str">
        <f>IFERROR(IF(VLOOKUP(T_SuiviTw[[#This Row],[NumL]],T_suiviDi[#Data],COLUMN(T_suiviDi[[#This Row],[Email]]),FALSE)&lt;&gt;"",VLOOKUP(T_SuiviTw[[#This Row],[NumL]],T_suiviDi[#Data],COLUMN(T_suiviDi[[#This Row],[Email]]),FALSE),""),"")</f>
        <v/>
      </c>
      <c r="E92" s="141" t="str">
        <f>IFERROR(IF(VLOOKUP(T_SuiviTw[[#This Row],[NumL]],T_suiviDi[#Data],COLUMN(T_suiviDi[[#This Row],[Nom1]]),FALSE)&lt;&gt;"",VLOOKUP(T_SuiviTw[[#This Row],[NumL]],T_suiviDi[#Data],COLUMN(T_suiviDi[[#This Row],[Nom1]]),FALSE),""),"")</f>
        <v/>
      </c>
      <c r="F92" s="141" t="str">
        <f>IFERROR(IF(VLOOKUP(T_SuiviTw[[#This Row],[NumL]],T_suiviDi[#Data],COLUMN(T_suiviDi[[#This Row],[Prénom1]]),FALSE)&lt;&gt;"",VLOOKUP(T_SuiviTw[[#This Row],[NumL]],T_suiviDi[#Data],COLUMN(T_suiviDi[[#This Row],[Prénom1]]),FALSE),""),"")</f>
        <v/>
      </c>
      <c r="G92" s="141" t="str">
        <f>IFERROR(IF(VLOOKUP(T_SuiviTw[[#This Row],[NumL]],T_suiviDi[#Data],COLUMN(T_suiviDi[[#This Row],[Email1]]),FALSE)&lt;&gt;"",VLOOKUP(T_SuiviTw[[#This Row],[NumL]],T_suiviDi[#Data],COLUMN(T_suiviDi[[#This Row],[Email1]]),FALSE),""),"")</f>
        <v/>
      </c>
      <c r="H92" s="155" t="str">
        <f t="shared" si="21"/>
        <v/>
      </c>
      <c r="I92" s="100"/>
      <c r="J92" s="156" t="str">
        <f t="shared" si="22"/>
        <v/>
      </c>
      <c r="K92" s="155" t="str">
        <f t="shared" si="23"/>
        <v/>
      </c>
      <c r="L92" s="100"/>
      <c r="M92" s="156" t="str">
        <f t="shared" ca="1" si="24"/>
        <v/>
      </c>
      <c r="N92" s="49"/>
      <c r="O92" s="49"/>
      <c r="P92" s="105" t="str">
        <f t="shared" si="25"/>
        <v/>
      </c>
      <c r="Q92" s="155" t="str">
        <f t="shared" si="26"/>
        <v/>
      </c>
      <c r="R92" s="100"/>
      <c r="S92" s="156" t="str">
        <f t="shared" ca="1" si="27"/>
        <v/>
      </c>
      <c r="T92" s="101"/>
      <c r="U92" s="101"/>
      <c r="V92" s="101"/>
      <c r="W92" s="144"/>
    </row>
    <row r="93" spans="1:23" ht="24" customHeight="1" x14ac:dyDescent="0.25">
      <c r="A93" s="90">
        <v>164</v>
      </c>
      <c r="B93" s="19" t="str">
        <f>IFERROR(IF(VLOOKUP(T_SuiviTw[[#This Row],[NumL]],T_suiviDi[#Data],COLUMN(T_suiviDi[[#This Row],[Nom]]),FALSE)&lt;&gt;"",VLOOKUP(T_SuiviTw[[#This Row],[NumL]],T_suiviDi[#Data],COLUMN(T_suiviDi[[#This Row],[Nom]]),FALSE),""),"")</f>
        <v/>
      </c>
      <c r="C93" s="19" t="str">
        <f>IFERROR(IF(VLOOKUP(T_SuiviTw[[#This Row],[NumL]],T_suiviDi[#Data],COLUMN(T_suiviDi[[#This Row],[Prénom]]),FALSE)&lt;&gt;"",VLOOKUP(T_SuiviTw[[#This Row],[NumL]],T_suiviDi[#Data],COLUMN(T_suiviDi[[#This Row],[Prénom]]),FALSE),""),"")</f>
        <v/>
      </c>
      <c r="D93" s="20" t="str">
        <f>IFERROR(IF(VLOOKUP(T_SuiviTw[[#This Row],[NumL]],T_suiviDi[#Data],COLUMN(T_suiviDi[[#This Row],[Email]]),FALSE)&lt;&gt;"",VLOOKUP(T_SuiviTw[[#This Row],[NumL]],T_suiviDi[#Data],COLUMN(T_suiviDi[[#This Row],[Email]]),FALSE),""),"")</f>
        <v/>
      </c>
      <c r="E93" s="274" t="str">
        <f>IFERROR(IF(VLOOKUP(T_SuiviTw[[#This Row],[NumL]],T_suiviDi[#Data],COLUMN(T_suiviDi[[#This Row],[Nom1]]),FALSE)&lt;&gt;"",VLOOKUP(T_SuiviTw[[#This Row],[NumL]],T_suiviDi[#Data],COLUMN(T_suiviDi[[#This Row],[Nom1]]),FALSE),""),"")</f>
        <v/>
      </c>
      <c r="F93" s="274" t="str">
        <f>IFERROR(IF(VLOOKUP(T_SuiviTw[[#This Row],[NumL]],T_suiviDi[#Data],COLUMN(T_suiviDi[[#This Row],[Prénom1]]),FALSE)&lt;&gt;"",VLOOKUP(T_SuiviTw[[#This Row],[NumL]],T_suiviDi[#Data],COLUMN(T_suiviDi[[#This Row],[Prénom1]]),FALSE),""),"")</f>
        <v/>
      </c>
      <c r="G93" s="274" t="str">
        <f>IFERROR(IF(VLOOKUP(T_SuiviTw[[#This Row],[NumL]],T_suiviDi[#Data],COLUMN(T_suiviDi[[#This Row],[Email1]]),FALSE)&lt;&gt;"",VLOOKUP(T_SuiviTw[[#This Row],[NumL]],T_suiviDi[#Data],COLUMN(T_suiviDi[[#This Row],[Email1]]),FALSE),""),"")</f>
        <v/>
      </c>
      <c r="H93" s="275" t="str">
        <f t="shared" si="21"/>
        <v/>
      </c>
      <c r="I93" s="100"/>
      <c r="J93" s="156" t="str">
        <f t="shared" si="22"/>
        <v/>
      </c>
      <c r="K93" s="155" t="str">
        <f t="shared" si="23"/>
        <v/>
      </c>
      <c r="L93" s="100"/>
      <c r="M93" s="156" t="str">
        <f t="shared" ca="1" si="24"/>
        <v/>
      </c>
      <c r="N93" s="49"/>
      <c r="O93" s="49"/>
      <c r="P93" s="105" t="str">
        <f t="shared" si="25"/>
        <v/>
      </c>
      <c r="Q93" s="155" t="str">
        <f t="shared" si="26"/>
        <v/>
      </c>
      <c r="R93" s="100"/>
      <c r="S93" s="156" t="str">
        <f t="shared" ca="1" si="27"/>
        <v/>
      </c>
      <c r="T93" s="101"/>
      <c r="U93" s="101"/>
      <c r="V93" s="101"/>
      <c r="W93" s="144"/>
    </row>
    <row r="94" spans="1:23" ht="24" customHeight="1" x14ac:dyDescent="0.25">
      <c r="A94" s="90">
        <v>248</v>
      </c>
      <c r="B94" s="19" t="str">
        <f>IFERROR(IF(VLOOKUP(T_SuiviTw[[#This Row],[NumL]],T_suiviDi[#Data],COLUMN(T_suiviDi[[#This Row],[Nom]]),FALSE)&lt;&gt;"",VLOOKUP(T_SuiviTw[[#This Row],[NumL]],T_suiviDi[#Data],COLUMN(T_suiviDi[[#This Row],[Nom]]),FALSE),""),"")</f>
        <v/>
      </c>
      <c r="C94" s="19" t="str">
        <f>IFERROR(IF(VLOOKUP(T_SuiviTw[[#This Row],[NumL]],T_suiviDi[#Data],COLUMN(T_suiviDi[[#This Row],[Prénom]]),FALSE)&lt;&gt;"",VLOOKUP(T_SuiviTw[[#This Row],[NumL]],T_suiviDi[#Data],COLUMN(T_suiviDi[[#This Row],[Prénom]]),FALSE),""),"")</f>
        <v/>
      </c>
      <c r="D94" s="20" t="str">
        <f>IFERROR(IF(VLOOKUP(T_SuiviTw[[#This Row],[NumL]],T_suiviDi[#Data],COLUMN(T_suiviDi[[#This Row],[Email]]),FALSE)&lt;&gt;"",VLOOKUP(T_SuiviTw[[#This Row],[NumL]],T_suiviDi[#Data],COLUMN(T_suiviDi[[#This Row],[Email]]),FALSE),""),"")</f>
        <v/>
      </c>
      <c r="E94" s="274" t="str">
        <f>IFERROR(IF(VLOOKUP(T_SuiviTw[[#This Row],[NumL]],T_suiviDi[#Data],COLUMN(T_suiviDi[[#This Row],[Nom1]]),FALSE)&lt;&gt;"",VLOOKUP(T_SuiviTw[[#This Row],[NumL]],T_suiviDi[#Data],COLUMN(T_suiviDi[[#This Row],[Nom1]]),FALSE),""),"")</f>
        <v/>
      </c>
      <c r="F94" s="274" t="str">
        <f>IFERROR(IF(VLOOKUP(T_SuiviTw[[#This Row],[NumL]],T_suiviDi[#Data],COLUMN(T_suiviDi[[#This Row],[Prénom1]]),FALSE)&lt;&gt;"",VLOOKUP(T_SuiviTw[[#This Row],[NumL]],T_suiviDi[#Data],COLUMN(T_suiviDi[[#This Row],[Prénom1]]),FALSE),""),"")</f>
        <v/>
      </c>
      <c r="G94" s="274" t="str">
        <f>IFERROR(IF(VLOOKUP(T_SuiviTw[[#This Row],[NumL]],T_suiviDi[#Data],COLUMN(T_suiviDi[[#This Row],[Email1]]),FALSE)&lt;&gt;"",VLOOKUP(T_SuiviTw[[#This Row],[NumL]],T_suiviDi[#Data],COLUMN(T_suiviDi[[#This Row],[Email1]]),FALSE),""),"")</f>
        <v/>
      </c>
      <c r="H94" s="275" t="str">
        <f t="shared" si="21"/>
        <v/>
      </c>
      <c r="I94" s="100"/>
      <c r="J94" s="156" t="str">
        <f t="shared" si="22"/>
        <v/>
      </c>
      <c r="K94" s="155" t="str">
        <f t="shared" si="23"/>
        <v/>
      </c>
      <c r="L94" s="100"/>
      <c r="M94" s="156" t="str">
        <f t="shared" ca="1" si="24"/>
        <v/>
      </c>
      <c r="N94" s="49"/>
      <c r="O94" s="49"/>
      <c r="P94" s="105" t="str">
        <f t="shared" si="25"/>
        <v/>
      </c>
      <c r="Q94" s="155" t="str">
        <f t="shared" si="26"/>
        <v/>
      </c>
      <c r="R94" s="100"/>
      <c r="S94" s="156" t="str">
        <f t="shared" ca="1" si="27"/>
        <v/>
      </c>
      <c r="T94" s="101"/>
      <c r="U94" s="101"/>
      <c r="V94" s="101"/>
      <c r="W94" s="144"/>
    </row>
    <row r="95" spans="1:23" ht="24" customHeight="1" x14ac:dyDescent="0.25">
      <c r="A95" s="90">
        <v>266</v>
      </c>
      <c r="B95" s="19" t="str">
        <f>IFERROR(IF(VLOOKUP(T_SuiviTw[[#This Row],[NumL]],T_suiviDi[#Data],COLUMN(T_suiviDi[[#This Row],[Nom]]),FALSE)&lt;&gt;"",VLOOKUP(T_SuiviTw[[#This Row],[NumL]],T_suiviDi[#Data],COLUMN(T_suiviDi[[#This Row],[Nom]]),FALSE),""),"")</f>
        <v/>
      </c>
      <c r="C95" s="19" t="str">
        <f>IFERROR(IF(VLOOKUP(T_SuiviTw[[#This Row],[NumL]],T_suiviDi[#Data],COLUMN(T_suiviDi[[#This Row],[Prénom]]),FALSE)&lt;&gt;"",VLOOKUP(T_SuiviTw[[#This Row],[NumL]],T_suiviDi[#Data],COLUMN(T_suiviDi[[#This Row],[Prénom]]),FALSE),""),"")</f>
        <v/>
      </c>
      <c r="D95" s="20" t="str">
        <f>IFERROR(IF(VLOOKUP(T_SuiviTw[[#This Row],[NumL]],T_suiviDi[#Data],COLUMN(T_suiviDi[[#This Row],[Email]]),FALSE)&lt;&gt;"",VLOOKUP(T_SuiviTw[[#This Row],[NumL]],T_suiviDi[#Data],COLUMN(T_suiviDi[[#This Row],[Email]]),FALSE),""),"")</f>
        <v/>
      </c>
      <c r="E95" s="274" t="str">
        <f>IFERROR(IF(VLOOKUP(T_SuiviTw[[#This Row],[NumL]],T_suiviDi[#Data],COLUMN(T_suiviDi[[#This Row],[Nom1]]),FALSE)&lt;&gt;"",VLOOKUP(T_SuiviTw[[#This Row],[NumL]],T_suiviDi[#Data],COLUMN(T_suiviDi[[#This Row],[Nom1]]),FALSE),""),"")</f>
        <v/>
      </c>
      <c r="F95" s="274" t="str">
        <f>IFERROR(IF(VLOOKUP(T_SuiviTw[[#This Row],[NumL]],T_suiviDi[#Data],COLUMN(T_suiviDi[[#This Row],[Prénom1]]),FALSE)&lt;&gt;"",VLOOKUP(T_SuiviTw[[#This Row],[NumL]],T_suiviDi[#Data],COLUMN(T_suiviDi[[#This Row],[Prénom1]]),FALSE),""),"")</f>
        <v/>
      </c>
      <c r="G95" s="274" t="str">
        <f>IFERROR(IF(VLOOKUP(T_SuiviTw[[#This Row],[NumL]],T_suiviDi[#Data],COLUMN(T_suiviDi[[#This Row],[Email1]]),FALSE)&lt;&gt;"",VLOOKUP(T_SuiviTw[[#This Row],[NumL]],T_suiviDi[#Data],COLUMN(T_suiviDi[[#This Row],[Email1]]),FALSE),""),"")</f>
        <v/>
      </c>
      <c r="H95" s="275" t="str">
        <f t="shared" si="21"/>
        <v/>
      </c>
      <c r="I95" s="100"/>
      <c r="J95" s="156" t="str">
        <f t="shared" si="22"/>
        <v/>
      </c>
      <c r="K95" s="155" t="str">
        <f t="shared" si="23"/>
        <v/>
      </c>
      <c r="L95" s="100"/>
      <c r="M95" s="156" t="str">
        <f t="shared" ca="1" si="24"/>
        <v/>
      </c>
      <c r="N95" s="49"/>
      <c r="O95" s="49"/>
      <c r="P95" s="105" t="str">
        <f t="shared" si="25"/>
        <v/>
      </c>
      <c r="Q95" s="155" t="str">
        <f t="shared" si="26"/>
        <v/>
      </c>
      <c r="R95" s="100"/>
      <c r="S95" s="156" t="str">
        <f t="shared" ca="1" si="27"/>
        <v/>
      </c>
      <c r="T95" s="101"/>
      <c r="U95" s="101"/>
      <c r="V95" s="101"/>
      <c r="W95" s="144"/>
    </row>
    <row r="96" spans="1:23" ht="24" customHeight="1" x14ac:dyDescent="0.25">
      <c r="A96" s="90">
        <v>323</v>
      </c>
      <c r="B96" s="139" t="str">
        <f>IFERROR(IF(VLOOKUP(T_SuiviTw[[#This Row],[NumL]],T_suiviDi[#Data],COLUMN(T_suiviDi[[#This Row],[Nom]]),FALSE)&lt;&gt;"",VLOOKUP(T_SuiviTw[[#This Row],[NumL]],T_suiviDi[#Data],COLUMN(T_suiviDi[[#This Row],[Nom]]),FALSE),""),"")</f>
        <v/>
      </c>
      <c r="C96" s="139" t="str">
        <f>IFERROR(IF(VLOOKUP(T_SuiviTw[[#This Row],[NumL]],T_suiviDi[#Data],COLUMN(T_suiviDi[[#This Row],[Prénom]]),FALSE)&lt;&gt;"",VLOOKUP(T_SuiviTw[[#This Row],[NumL]],T_suiviDi[#Data],COLUMN(T_suiviDi[[#This Row],[Prénom]]),FALSE),""),"")</f>
        <v/>
      </c>
      <c r="D96" s="140" t="str">
        <f>IFERROR(IF(VLOOKUP(T_SuiviTw[[#This Row],[NumL]],T_suiviDi[#Data],COLUMN(T_suiviDi[[#This Row],[Email]]),FALSE)&lt;&gt;"",VLOOKUP(T_SuiviTw[[#This Row],[NumL]],T_suiviDi[#Data],COLUMN(T_suiviDi[[#This Row],[Email]]),FALSE),""),"")</f>
        <v/>
      </c>
      <c r="E96" s="141" t="str">
        <f>IFERROR(IF(VLOOKUP(T_SuiviTw[[#This Row],[NumL]],T_suiviDi[#Data],COLUMN(T_suiviDi[[#This Row],[Nom1]]),FALSE)&lt;&gt;"",VLOOKUP(T_SuiviTw[[#This Row],[NumL]],T_suiviDi[#Data],COLUMN(T_suiviDi[[#This Row],[Nom1]]),FALSE),""),"")</f>
        <v/>
      </c>
      <c r="F96" s="141" t="str">
        <f>IFERROR(IF(VLOOKUP(T_SuiviTw[[#This Row],[NumL]],T_suiviDi[#Data],COLUMN(T_suiviDi[[#This Row],[Prénom1]]),FALSE)&lt;&gt;"",VLOOKUP(T_SuiviTw[[#This Row],[NumL]],T_suiviDi[#Data],COLUMN(T_suiviDi[[#This Row],[Prénom1]]),FALSE),""),"")</f>
        <v/>
      </c>
      <c r="G96" s="141" t="str">
        <f>IFERROR(IF(VLOOKUP(T_SuiviTw[[#This Row],[NumL]],T_suiviDi[#Data],COLUMN(T_suiviDi[[#This Row],[Email1]]),FALSE)&lt;&gt;"",VLOOKUP(T_SuiviTw[[#This Row],[NumL]],T_suiviDi[#Data],COLUMN(T_suiviDi[[#This Row],[Email1]]),FALSE),""),"")</f>
        <v/>
      </c>
      <c r="H96" s="155" t="str">
        <f t="shared" si="21"/>
        <v/>
      </c>
      <c r="I96" s="100"/>
      <c r="J96" s="156" t="str">
        <f t="shared" si="22"/>
        <v/>
      </c>
      <c r="K96" s="155" t="str">
        <f t="shared" si="23"/>
        <v/>
      </c>
      <c r="L96" s="100"/>
      <c r="M96" s="156" t="str">
        <f t="shared" ca="1" si="24"/>
        <v/>
      </c>
      <c r="N96" s="49"/>
      <c r="O96" s="49"/>
      <c r="P96" s="105" t="str">
        <f t="shared" si="25"/>
        <v/>
      </c>
      <c r="Q96" s="155" t="str">
        <f t="shared" si="26"/>
        <v/>
      </c>
      <c r="R96" s="100"/>
      <c r="S96" s="156" t="str">
        <f t="shared" ca="1" si="27"/>
        <v/>
      </c>
      <c r="T96" s="101"/>
      <c r="U96" s="101"/>
      <c r="V96" s="101"/>
      <c r="W96" s="144"/>
    </row>
    <row r="97" spans="1:23" ht="24" customHeight="1" x14ac:dyDescent="0.25">
      <c r="A97" s="90">
        <v>90</v>
      </c>
      <c r="B97" s="19" t="str">
        <f>IFERROR(IF(VLOOKUP(T_SuiviTw[[#This Row],[NumL]],T_suiviDi[#Data],COLUMN(T_suiviDi[[#This Row],[Nom]]),FALSE)&lt;&gt;"",VLOOKUP(T_SuiviTw[[#This Row],[NumL]],T_suiviDi[#Data],COLUMN(T_suiviDi[[#This Row],[Nom]]),FALSE),""),"")</f>
        <v/>
      </c>
      <c r="C97" s="19" t="str">
        <f>IFERROR(IF(VLOOKUP(T_SuiviTw[[#This Row],[NumL]],T_suiviDi[#Data],COLUMN(T_suiviDi[[#This Row],[Prénom]]),FALSE)&lt;&gt;"",VLOOKUP(T_SuiviTw[[#This Row],[NumL]],T_suiviDi[#Data],COLUMN(T_suiviDi[[#This Row],[Prénom]]),FALSE),""),"")</f>
        <v/>
      </c>
      <c r="D97" s="20" t="str">
        <f>IFERROR(IF(VLOOKUP(T_SuiviTw[[#This Row],[NumL]],T_suiviDi[#Data],COLUMN(T_suiviDi[[#This Row],[Email]]),FALSE)&lt;&gt;"",VLOOKUP(T_SuiviTw[[#This Row],[NumL]],T_suiviDi[#Data],COLUMN(T_suiviDi[[#This Row],[Email]]),FALSE),""),"")</f>
        <v/>
      </c>
      <c r="E97" s="274" t="str">
        <f>IFERROR(IF(VLOOKUP(T_SuiviTw[[#This Row],[NumL]],T_suiviDi[#Data],COLUMN(T_suiviDi[[#This Row],[Nom1]]),FALSE)&lt;&gt;"",VLOOKUP(T_SuiviTw[[#This Row],[NumL]],T_suiviDi[#Data],COLUMN(T_suiviDi[[#This Row],[Nom1]]),FALSE),""),"")</f>
        <v/>
      </c>
      <c r="F97" s="274" t="str">
        <f>IFERROR(IF(VLOOKUP(T_SuiviTw[[#This Row],[NumL]],T_suiviDi[#Data],COLUMN(T_suiviDi[[#This Row],[Prénom1]]),FALSE)&lt;&gt;"",VLOOKUP(T_SuiviTw[[#This Row],[NumL]],T_suiviDi[#Data],COLUMN(T_suiviDi[[#This Row],[Prénom1]]),FALSE),""),"")</f>
        <v/>
      </c>
      <c r="G97" s="274" t="str">
        <f>IFERROR(IF(VLOOKUP(T_SuiviTw[[#This Row],[NumL]],T_suiviDi[#Data],COLUMN(T_suiviDi[[#This Row],[Email1]]),FALSE)&lt;&gt;"",VLOOKUP(T_SuiviTw[[#This Row],[NumL]],T_suiviDi[#Data],COLUMN(T_suiviDi[[#This Row],[Email1]]),FALSE),""),"")</f>
        <v/>
      </c>
      <c r="H97" s="275" t="str">
        <f t="shared" si="21"/>
        <v/>
      </c>
      <c r="I97" s="100"/>
      <c r="J97" s="156" t="str">
        <f t="shared" si="22"/>
        <v/>
      </c>
      <c r="K97" s="155" t="str">
        <f t="shared" si="23"/>
        <v/>
      </c>
      <c r="L97" s="100"/>
      <c r="M97" s="156" t="str">
        <f t="shared" ca="1" si="24"/>
        <v/>
      </c>
      <c r="N97" s="49"/>
      <c r="O97" s="49"/>
      <c r="P97" s="105" t="str">
        <f t="shared" si="25"/>
        <v/>
      </c>
      <c r="Q97" s="155" t="str">
        <f t="shared" si="26"/>
        <v/>
      </c>
      <c r="R97" s="100"/>
      <c r="S97" s="156" t="str">
        <f t="shared" ca="1" si="27"/>
        <v/>
      </c>
      <c r="T97" s="101"/>
      <c r="U97" s="101"/>
      <c r="V97" s="101"/>
      <c r="W97" s="144"/>
    </row>
    <row r="98" spans="1:23" ht="24" customHeight="1" x14ac:dyDescent="0.25">
      <c r="A98" s="90">
        <v>54</v>
      </c>
      <c r="B98" s="19" t="str">
        <f>IFERROR(IF(VLOOKUP(T_SuiviTw[[#This Row],[NumL]],T_suiviDi[#Data],COLUMN(T_suiviDi[[#This Row],[Nom]]),FALSE)&lt;&gt;"",VLOOKUP(T_SuiviTw[[#This Row],[NumL]],T_suiviDi[#Data],COLUMN(T_suiviDi[[#This Row],[Nom]]),FALSE),""),"")</f>
        <v/>
      </c>
      <c r="C98" s="19" t="str">
        <f>IFERROR(IF(VLOOKUP(T_SuiviTw[[#This Row],[NumL]],T_suiviDi[#Data],COLUMN(T_suiviDi[[#This Row],[Prénom]]),FALSE)&lt;&gt;"",VLOOKUP(T_SuiviTw[[#This Row],[NumL]],T_suiviDi[#Data],COLUMN(T_suiviDi[[#This Row],[Prénom]]),FALSE),""),"")</f>
        <v/>
      </c>
      <c r="D98" s="20" t="str">
        <f>IFERROR(IF(VLOOKUP(T_SuiviTw[[#This Row],[NumL]],T_suiviDi[#Data],COLUMN(T_suiviDi[[#This Row],[Email]]),FALSE)&lt;&gt;"",VLOOKUP(T_SuiviTw[[#This Row],[NumL]],T_suiviDi[#Data],COLUMN(T_suiviDi[[#This Row],[Email]]),FALSE),""),"")</f>
        <v/>
      </c>
      <c r="E98" s="274" t="str">
        <f>IFERROR(IF(VLOOKUP(T_SuiviTw[[#This Row],[NumL]],T_suiviDi[#Data],COLUMN(T_suiviDi[[#This Row],[Nom1]]),FALSE)&lt;&gt;"",VLOOKUP(T_SuiviTw[[#This Row],[NumL]],T_suiviDi[#Data],COLUMN(T_suiviDi[[#This Row],[Nom1]]),FALSE),""),"")</f>
        <v/>
      </c>
      <c r="F98" s="274" t="str">
        <f>IFERROR(IF(VLOOKUP(T_SuiviTw[[#This Row],[NumL]],T_suiviDi[#Data],COLUMN(T_suiviDi[[#This Row],[Prénom1]]),FALSE)&lt;&gt;"",VLOOKUP(T_SuiviTw[[#This Row],[NumL]],T_suiviDi[#Data],COLUMN(T_suiviDi[[#This Row],[Prénom1]]),FALSE),""),"")</f>
        <v/>
      </c>
      <c r="G98" s="274" t="str">
        <f>IFERROR(IF(VLOOKUP(T_SuiviTw[[#This Row],[NumL]],T_suiviDi[#Data],COLUMN(T_suiviDi[[#This Row],[Email1]]),FALSE)&lt;&gt;"",VLOOKUP(T_SuiviTw[[#This Row],[NumL]],T_suiviDi[#Data],COLUMN(T_suiviDi[[#This Row],[Email1]]),FALSE),""),"")</f>
        <v/>
      </c>
      <c r="H98" s="275" t="str">
        <f t="shared" si="21"/>
        <v/>
      </c>
      <c r="I98" s="100"/>
      <c r="J98" s="156" t="str">
        <f t="shared" si="22"/>
        <v/>
      </c>
      <c r="K98" s="155" t="str">
        <f t="shared" si="23"/>
        <v/>
      </c>
      <c r="L98" s="100"/>
      <c r="M98" s="156" t="str">
        <f t="shared" ca="1" si="24"/>
        <v/>
      </c>
      <c r="N98" s="49"/>
      <c r="O98" s="49"/>
      <c r="P98" s="105" t="str">
        <f t="shared" si="25"/>
        <v/>
      </c>
      <c r="Q98" s="155" t="str">
        <f t="shared" si="26"/>
        <v/>
      </c>
      <c r="R98" s="100"/>
      <c r="S98" s="156" t="str">
        <f t="shared" ca="1" si="27"/>
        <v/>
      </c>
      <c r="T98" s="101"/>
      <c r="U98" s="101"/>
      <c r="V98" s="101"/>
      <c r="W98" s="144"/>
    </row>
    <row r="99" spans="1:23" ht="24" customHeight="1" x14ac:dyDescent="0.25">
      <c r="A99" s="90">
        <v>218</v>
      </c>
      <c r="B99" s="19" t="str">
        <f>IFERROR(IF(VLOOKUP(T_SuiviTw[[#This Row],[NumL]],T_suiviDi[#Data],COLUMN(T_suiviDi[[#This Row],[Nom]]),FALSE)&lt;&gt;"",VLOOKUP(T_SuiviTw[[#This Row],[NumL]],T_suiviDi[#Data],COLUMN(T_suiviDi[[#This Row],[Nom]]),FALSE),""),"")</f>
        <v/>
      </c>
      <c r="C99" s="19" t="str">
        <f>IFERROR(IF(VLOOKUP(T_SuiviTw[[#This Row],[NumL]],T_suiviDi[#Data],COLUMN(T_suiviDi[[#This Row],[Prénom]]),FALSE)&lt;&gt;"",VLOOKUP(T_SuiviTw[[#This Row],[NumL]],T_suiviDi[#Data],COLUMN(T_suiviDi[[#This Row],[Prénom]]),FALSE),""),"")</f>
        <v/>
      </c>
      <c r="D99" s="20" t="str">
        <f>IFERROR(IF(VLOOKUP(T_SuiviTw[[#This Row],[NumL]],T_suiviDi[#Data],COLUMN(T_suiviDi[[#This Row],[Email]]),FALSE)&lt;&gt;"",VLOOKUP(T_SuiviTw[[#This Row],[NumL]],T_suiviDi[#Data],COLUMN(T_suiviDi[[#This Row],[Email]]),FALSE),""),"")</f>
        <v/>
      </c>
      <c r="E99" s="274" t="str">
        <f>IFERROR(IF(VLOOKUP(T_SuiviTw[[#This Row],[NumL]],T_suiviDi[#Data],COLUMN(T_suiviDi[[#This Row],[Nom1]]),FALSE)&lt;&gt;"",VLOOKUP(T_SuiviTw[[#This Row],[NumL]],T_suiviDi[#Data],COLUMN(T_suiviDi[[#This Row],[Nom1]]),FALSE),""),"")</f>
        <v/>
      </c>
      <c r="F99" s="274" t="str">
        <f>IFERROR(IF(VLOOKUP(T_SuiviTw[[#This Row],[NumL]],T_suiviDi[#Data],COLUMN(T_suiviDi[[#This Row],[Prénom1]]),FALSE)&lt;&gt;"",VLOOKUP(T_SuiviTw[[#This Row],[NumL]],T_suiviDi[#Data],COLUMN(T_suiviDi[[#This Row],[Prénom1]]),FALSE),""),"")</f>
        <v/>
      </c>
      <c r="G99" s="274" t="str">
        <f>IFERROR(IF(VLOOKUP(T_SuiviTw[[#This Row],[NumL]],T_suiviDi[#Data],COLUMN(T_suiviDi[[#This Row],[Email1]]),FALSE)&lt;&gt;"",VLOOKUP(T_SuiviTw[[#This Row],[NumL]],T_suiviDi[#Data],COLUMN(T_suiviDi[[#This Row],[Email1]]),FALSE),""),"")</f>
        <v/>
      </c>
      <c r="H99" s="275" t="str">
        <f t="shared" si="21"/>
        <v/>
      </c>
      <c r="I99" s="100"/>
      <c r="J99" s="156" t="str">
        <f t="shared" si="22"/>
        <v/>
      </c>
      <c r="K99" s="155" t="str">
        <f t="shared" si="23"/>
        <v/>
      </c>
      <c r="L99" s="100"/>
      <c r="M99" s="156" t="str">
        <f t="shared" ca="1" si="24"/>
        <v/>
      </c>
      <c r="N99" s="49"/>
      <c r="O99" s="49"/>
      <c r="P99" s="105" t="str">
        <f t="shared" si="25"/>
        <v/>
      </c>
      <c r="Q99" s="155" t="str">
        <f t="shared" si="26"/>
        <v/>
      </c>
      <c r="R99" s="100"/>
      <c r="S99" s="156" t="str">
        <f t="shared" ca="1" si="27"/>
        <v/>
      </c>
      <c r="T99" s="101"/>
      <c r="U99" s="101"/>
      <c r="V99" s="101"/>
      <c r="W99" s="144"/>
    </row>
    <row r="100" spans="1:23" ht="24" customHeight="1" x14ac:dyDescent="0.25">
      <c r="A100" s="90">
        <v>83</v>
      </c>
      <c r="B100" s="19" t="str">
        <f>IFERROR(IF(VLOOKUP(T_SuiviTw[[#This Row],[NumL]],T_suiviDi[#Data],COLUMN(T_suiviDi[[#This Row],[Nom]]),FALSE)&lt;&gt;"",VLOOKUP(T_SuiviTw[[#This Row],[NumL]],T_suiviDi[#Data],COLUMN(T_suiviDi[[#This Row],[Nom]]),FALSE),""),"")</f>
        <v/>
      </c>
      <c r="C100" s="19" t="str">
        <f>IFERROR(IF(VLOOKUP(T_SuiviTw[[#This Row],[NumL]],T_suiviDi[#Data],COLUMN(T_suiviDi[[#This Row],[Prénom]]),FALSE)&lt;&gt;"",VLOOKUP(T_SuiviTw[[#This Row],[NumL]],T_suiviDi[#Data],COLUMN(T_suiviDi[[#This Row],[Prénom]]),FALSE),""),"")</f>
        <v/>
      </c>
      <c r="D100" s="20" t="str">
        <f>IFERROR(IF(VLOOKUP(T_SuiviTw[[#This Row],[NumL]],T_suiviDi[#Data],COLUMN(T_suiviDi[[#This Row],[Email]]),FALSE)&lt;&gt;"",VLOOKUP(T_SuiviTw[[#This Row],[NumL]],T_suiviDi[#Data],COLUMN(T_suiviDi[[#This Row],[Email]]),FALSE),""),"")</f>
        <v/>
      </c>
      <c r="E100" s="274" t="str">
        <f>IFERROR(IF(VLOOKUP(T_SuiviTw[[#This Row],[NumL]],T_suiviDi[#Data],COLUMN(T_suiviDi[[#This Row],[Nom1]]),FALSE)&lt;&gt;"",VLOOKUP(T_SuiviTw[[#This Row],[NumL]],T_suiviDi[#Data],COLUMN(T_suiviDi[[#This Row],[Nom1]]),FALSE),""),"")</f>
        <v/>
      </c>
      <c r="F100" s="274" t="str">
        <f>IFERROR(IF(VLOOKUP(T_SuiviTw[[#This Row],[NumL]],T_suiviDi[#Data],COLUMN(T_suiviDi[[#This Row],[Prénom1]]),FALSE)&lt;&gt;"",VLOOKUP(T_SuiviTw[[#This Row],[NumL]],T_suiviDi[#Data],COLUMN(T_suiviDi[[#This Row],[Prénom1]]),FALSE),""),"")</f>
        <v/>
      </c>
      <c r="G100" s="274" t="str">
        <f>IFERROR(IF(VLOOKUP(T_SuiviTw[[#This Row],[NumL]],T_suiviDi[#Data],COLUMN(T_suiviDi[[#This Row],[Email1]]),FALSE)&lt;&gt;"",VLOOKUP(T_SuiviTw[[#This Row],[NumL]],T_suiviDi[#Data],COLUMN(T_suiviDi[[#This Row],[Email1]]),FALSE),""),"")</f>
        <v/>
      </c>
      <c r="H100" s="275" t="str">
        <f t="shared" si="21"/>
        <v/>
      </c>
      <c r="I100" s="100"/>
      <c r="J100" s="156" t="str">
        <f t="shared" si="22"/>
        <v/>
      </c>
      <c r="K100" s="155" t="str">
        <f t="shared" si="23"/>
        <v/>
      </c>
      <c r="L100" s="100"/>
      <c r="M100" s="156" t="str">
        <f t="shared" ca="1" si="24"/>
        <v/>
      </c>
      <c r="N100" s="49"/>
      <c r="O100" s="49"/>
      <c r="P100" s="105" t="str">
        <f t="shared" si="25"/>
        <v/>
      </c>
      <c r="Q100" s="155" t="str">
        <f t="shared" si="26"/>
        <v/>
      </c>
      <c r="R100" s="100"/>
      <c r="S100" s="156" t="str">
        <f t="shared" ca="1" si="27"/>
        <v/>
      </c>
      <c r="T100" s="101"/>
      <c r="U100" s="101"/>
      <c r="V100" s="101"/>
      <c r="W100" s="144"/>
    </row>
    <row r="101" spans="1:23" ht="24" customHeight="1" x14ac:dyDescent="0.25">
      <c r="A101" s="90">
        <v>209</v>
      </c>
      <c r="B101" s="19" t="str">
        <f>IFERROR(IF(VLOOKUP(T_SuiviTw[[#This Row],[NumL]],T_suiviDi[#Data],COLUMN(T_suiviDi[[#This Row],[Nom]]),FALSE)&lt;&gt;"",VLOOKUP(T_SuiviTw[[#This Row],[NumL]],T_suiviDi[#Data],COLUMN(T_suiviDi[[#This Row],[Nom]]),FALSE),""),"")</f>
        <v/>
      </c>
      <c r="C101" s="19" t="str">
        <f>IFERROR(IF(VLOOKUP(T_SuiviTw[[#This Row],[NumL]],T_suiviDi[#Data],COLUMN(T_suiviDi[[#This Row],[Prénom]]),FALSE)&lt;&gt;"",VLOOKUP(T_SuiviTw[[#This Row],[NumL]],T_suiviDi[#Data],COLUMN(T_suiviDi[[#This Row],[Prénom]]),FALSE),""),"")</f>
        <v/>
      </c>
      <c r="D101" s="20" t="str">
        <f>IFERROR(IF(VLOOKUP(T_SuiviTw[[#This Row],[NumL]],T_suiviDi[#Data],COLUMN(T_suiviDi[[#This Row],[Email]]),FALSE)&lt;&gt;"",VLOOKUP(T_SuiviTw[[#This Row],[NumL]],T_suiviDi[#Data],COLUMN(T_suiviDi[[#This Row],[Email]]),FALSE),""),"")</f>
        <v/>
      </c>
      <c r="E101" s="274" t="str">
        <f>IFERROR(IF(VLOOKUP(T_SuiviTw[[#This Row],[NumL]],T_suiviDi[#Data],COLUMN(T_suiviDi[[#This Row],[Nom1]]),FALSE)&lt;&gt;"",VLOOKUP(T_SuiviTw[[#This Row],[NumL]],T_suiviDi[#Data],COLUMN(T_suiviDi[[#This Row],[Nom1]]),FALSE),""),"")</f>
        <v/>
      </c>
      <c r="F101" s="274" t="str">
        <f>IFERROR(IF(VLOOKUP(T_SuiviTw[[#This Row],[NumL]],T_suiviDi[#Data],COLUMN(T_suiviDi[[#This Row],[Prénom1]]),FALSE)&lt;&gt;"",VLOOKUP(T_SuiviTw[[#This Row],[NumL]],T_suiviDi[#Data],COLUMN(T_suiviDi[[#This Row],[Prénom1]]),FALSE),""),"")</f>
        <v/>
      </c>
      <c r="G101" s="274" t="str">
        <f>IFERROR(IF(VLOOKUP(T_SuiviTw[[#This Row],[NumL]],T_suiviDi[#Data],COLUMN(T_suiviDi[[#This Row],[Email1]]),FALSE)&lt;&gt;"",VLOOKUP(T_SuiviTw[[#This Row],[NumL]],T_suiviDi[#Data],COLUMN(T_suiviDi[[#This Row],[Email1]]),FALSE),""),"")</f>
        <v/>
      </c>
      <c r="H101" s="275" t="str">
        <f t="shared" si="21"/>
        <v/>
      </c>
      <c r="I101" s="100"/>
      <c r="J101" s="156" t="str">
        <f t="shared" si="22"/>
        <v/>
      </c>
      <c r="K101" s="155" t="str">
        <f t="shared" si="23"/>
        <v/>
      </c>
      <c r="L101" s="100"/>
      <c r="M101" s="156" t="str">
        <f t="shared" ca="1" si="24"/>
        <v/>
      </c>
      <c r="N101" s="49"/>
      <c r="O101" s="49"/>
      <c r="P101" s="105" t="str">
        <f t="shared" si="25"/>
        <v/>
      </c>
      <c r="Q101" s="155" t="str">
        <f t="shared" si="26"/>
        <v/>
      </c>
      <c r="R101" s="100"/>
      <c r="S101" s="156" t="str">
        <f t="shared" ca="1" si="27"/>
        <v/>
      </c>
      <c r="T101" s="101"/>
      <c r="U101" s="101"/>
      <c r="V101" s="101"/>
      <c r="W101" s="144"/>
    </row>
    <row r="102" spans="1:23" ht="24" customHeight="1" x14ac:dyDescent="0.25">
      <c r="A102" s="90">
        <v>162</v>
      </c>
      <c r="B102" s="19" t="str">
        <f>IFERROR(IF(VLOOKUP(T_SuiviTw[[#This Row],[NumL]],T_suiviDi[#Data],COLUMN(T_suiviDi[[#This Row],[Nom]]),FALSE)&lt;&gt;"",VLOOKUP(T_SuiviTw[[#This Row],[NumL]],T_suiviDi[#Data],COLUMN(T_suiviDi[[#This Row],[Nom]]),FALSE),""),"")</f>
        <v/>
      </c>
      <c r="C102" s="19" t="str">
        <f>IFERROR(IF(VLOOKUP(T_SuiviTw[[#This Row],[NumL]],T_suiviDi[#Data],COLUMN(T_suiviDi[[#This Row],[Prénom]]),FALSE)&lt;&gt;"",VLOOKUP(T_SuiviTw[[#This Row],[NumL]],T_suiviDi[#Data],COLUMN(T_suiviDi[[#This Row],[Prénom]]),FALSE),""),"")</f>
        <v/>
      </c>
      <c r="D102" s="20" t="str">
        <f>IFERROR(IF(VLOOKUP(T_SuiviTw[[#This Row],[NumL]],T_suiviDi[#Data],COLUMN(T_suiviDi[[#This Row],[Email]]),FALSE)&lt;&gt;"",VLOOKUP(T_SuiviTw[[#This Row],[NumL]],T_suiviDi[#Data],COLUMN(T_suiviDi[[#This Row],[Email]]),FALSE),""),"")</f>
        <v/>
      </c>
      <c r="E102" s="274" t="str">
        <f>IFERROR(IF(VLOOKUP(T_SuiviTw[[#This Row],[NumL]],T_suiviDi[#Data],COLUMN(T_suiviDi[[#This Row],[Nom1]]),FALSE)&lt;&gt;"",VLOOKUP(T_SuiviTw[[#This Row],[NumL]],T_suiviDi[#Data],COLUMN(T_suiviDi[[#This Row],[Nom1]]),FALSE),""),"")</f>
        <v/>
      </c>
      <c r="F102" s="274" t="str">
        <f>IFERROR(IF(VLOOKUP(T_SuiviTw[[#This Row],[NumL]],T_suiviDi[#Data],COLUMN(T_suiviDi[[#This Row],[Prénom1]]),FALSE)&lt;&gt;"",VLOOKUP(T_SuiviTw[[#This Row],[NumL]],T_suiviDi[#Data],COLUMN(T_suiviDi[[#This Row],[Prénom1]]),FALSE),""),"")</f>
        <v/>
      </c>
      <c r="G102" s="274" t="str">
        <f>IFERROR(IF(VLOOKUP(T_SuiviTw[[#This Row],[NumL]],T_suiviDi[#Data],COLUMN(T_suiviDi[[#This Row],[Email1]]),FALSE)&lt;&gt;"",VLOOKUP(T_SuiviTw[[#This Row],[NumL]],T_suiviDi[#Data],COLUMN(T_suiviDi[[#This Row],[Email1]]),FALSE),""),"")</f>
        <v/>
      </c>
      <c r="H102" s="275" t="str">
        <f t="shared" si="21"/>
        <v/>
      </c>
      <c r="I102" s="100"/>
      <c r="J102" s="156" t="str">
        <f t="shared" si="22"/>
        <v/>
      </c>
      <c r="K102" s="155" t="str">
        <f t="shared" si="23"/>
        <v/>
      </c>
      <c r="L102" s="100"/>
      <c r="M102" s="156" t="str">
        <f t="shared" ca="1" si="24"/>
        <v/>
      </c>
      <c r="N102" s="49"/>
      <c r="O102" s="49"/>
      <c r="P102" s="105" t="str">
        <f t="shared" si="25"/>
        <v/>
      </c>
      <c r="Q102" s="155" t="str">
        <f t="shared" si="26"/>
        <v/>
      </c>
      <c r="R102" s="100"/>
      <c r="S102" s="156" t="str">
        <f t="shared" ca="1" si="27"/>
        <v/>
      </c>
      <c r="T102" s="101"/>
      <c r="U102" s="101"/>
      <c r="V102" s="101"/>
      <c r="W102" s="144"/>
    </row>
    <row r="103" spans="1:23" ht="24" customHeight="1" x14ac:dyDescent="0.25">
      <c r="A103" s="90">
        <v>206</v>
      </c>
      <c r="B103" s="19" t="str">
        <f>IFERROR(IF(VLOOKUP(T_SuiviTw[[#This Row],[NumL]],T_suiviDi[#Data],COLUMN(T_suiviDi[[#This Row],[Nom]]),FALSE)&lt;&gt;"",VLOOKUP(T_SuiviTw[[#This Row],[NumL]],T_suiviDi[#Data],COLUMN(T_suiviDi[[#This Row],[Nom]]),FALSE),""),"")</f>
        <v/>
      </c>
      <c r="C103" s="19" t="str">
        <f>IFERROR(IF(VLOOKUP(T_SuiviTw[[#This Row],[NumL]],T_suiviDi[#Data],COLUMN(T_suiviDi[[#This Row],[Prénom]]),FALSE)&lt;&gt;"",VLOOKUP(T_SuiviTw[[#This Row],[NumL]],T_suiviDi[#Data],COLUMN(T_suiviDi[[#This Row],[Prénom]]),FALSE),""),"")</f>
        <v/>
      </c>
      <c r="D103" s="20" t="str">
        <f>IFERROR(IF(VLOOKUP(T_SuiviTw[[#This Row],[NumL]],T_suiviDi[#Data],COLUMN(T_suiviDi[[#This Row],[Email]]),FALSE)&lt;&gt;"",VLOOKUP(T_SuiviTw[[#This Row],[NumL]],T_suiviDi[#Data],COLUMN(T_suiviDi[[#This Row],[Email]]),FALSE),""),"")</f>
        <v/>
      </c>
      <c r="E103" s="274" t="str">
        <f>IFERROR(IF(VLOOKUP(T_SuiviTw[[#This Row],[NumL]],T_suiviDi[#Data],COLUMN(T_suiviDi[[#This Row],[Nom1]]),FALSE)&lt;&gt;"",VLOOKUP(T_SuiviTw[[#This Row],[NumL]],T_suiviDi[#Data],COLUMN(T_suiviDi[[#This Row],[Nom1]]),FALSE),""),"")</f>
        <v/>
      </c>
      <c r="F103" s="274" t="str">
        <f>IFERROR(IF(VLOOKUP(T_SuiviTw[[#This Row],[NumL]],T_suiviDi[#Data],COLUMN(T_suiviDi[[#This Row],[Prénom1]]),FALSE)&lt;&gt;"",VLOOKUP(T_SuiviTw[[#This Row],[NumL]],T_suiviDi[#Data],COLUMN(T_suiviDi[[#This Row],[Prénom1]]),FALSE),""),"")</f>
        <v/>
      </c>
      <c r="G103" s="274" t="str">
        <f>IFERROR(IF(VLOOKUP(T_SuiviTw[[#This Row],[NumL]],T_suiviDi[#Data],COLUMN(T_suiviDi[[#This Row],[Email1]]),FALSE)&lt;&gt;"",VLOOKUP(T_SuiviTw[[#This Row],[NumL]],T_suiviDi[#Data],COLUMN(T_suiviDi[[#This Row],[Email1]]),FALSE),""),"")</f>
        <v/>
      </c>
      <c r="H103" s="275" t="str">
        <f t="shared" si="21"/>
        <v/>
      </c>
      <c r="I103" s="100"/>
      <c r="J103" s="156" t="str">
        <f t="shared" si="22"/>
        <v/>
      </c>
      <c r="K103" s="155" t="str">
        <f t="shared" si="23"/>
        <v/>
      </c>
      <c r="L103" s="100"/>
      <c r="M103" s="156" t="str">
        <f t="shared" ca="1" si="24"/>
        <v/>
      </c>
      <c r="N103" s="49"/>
      <c r="O103" s="49"/>
      <c r="P103" s="105" t="str">
        <f t="shared" si="25"/>
        <v/>
      </c>
      <c r="Q103" s="155" t="str">
        <f t="shared" si="26"/>
        <v/>
      </c>
      <c r="R103" s="100"/>
      <c r="S103" s="156" t="str">
        <f t="shared" ca="1" si="27"/>
        <v/>
      </c>
      <c r="T103" s="101"/>
      <c r="U103" s="101"/>
      <c r="V103" s="101"/>
      <c r="W103" s="144"/>
    </row>
    <row r="104" spans="1:23" ht="24" customHeight="1" x14ac:dyDescent="0.25">
      <c r="A104" s="90">
        <v>201</v>
      </c>
      <c r="B104" s="19" t="str">
        <f>IFERROR(IF(VLOOKUP(T_SuiviTw[[#This Row],[NumL]],T_suiviDi[#Data],COLUMN(T_suiviDi[[#This Row],[Nom]]),FALSE)&lt;&gt;"",VLOOKUP(T_SuiviTw[[#This Row],[NumL]],T_suiviDi[#Data],COLUMN(T_suiviDi[[#This Row],[Nom]]),FALSE),""),"")</f>
        <v/>
      </c>
      <c r="C104" s="19" t="str">
        <f>IFERROR(IF(VLOOKUP(T_SuiviTw[[#This Row],[NumL]],T_suiviDi[#Data],COLUMN(T_suiviDi[[#This Row],[Prénom]]),FALSE)&lt;&gt;"",VLOOKUP(T_SuiviTw[[#This Row],[NumL]],T_suiviDi[#Data],COLUMN(T_suiviDi[[#This Row],[Prénom]]),FALSE),""),"")</f>
        <v/>
      </c>
      <c r="D104" s="20" t="str">
        <f>IFERROR(IF(VLOOKUP(T_SuiviTw[[#This Row],[NumL]],T_suiviDi[#Data],COLUMN(T_suiviDi[[#This Row],[Email]]),FALSE)&lt;&gt;"",VLOOKUP(T_SuiviTw[[#This Row],[NumL]],T_suiviDi[#Data],COLUMN(T_suiviDi[[#This Row],[Email]]),FALSE),""),"")</f>
        <v/>
      </c>
      <c r="E104" s="274" t="str">
        <f>IFERROR(IF(VLOOKUP(T_SuiviTw[[#This Row],[NumL]],T_suiviDi[#Data],COLUMN(T_suiviDi[[#This Row],[Nom1]]),FALSE)&lt;&gt;"",VLOOKUP(T_SuiviTw[[#This Row],[NumL]],T_suiviDi[#Data],COLUMN(T_suiviDi[[#This Row],[Nom1]]),FALSE),""),"")</f>
        <v/>
      </c>
      <c r="F104" s="274" t="str">
        <f>IFERROR(IF(VLOOKUP(T_SuiviTw[[#This Row],[NumL]],T_suiviDi[#Data],COLUMN(T_suiviDi[[#This Row],[Prénom1]]),FALSE)&lt;&gt;"",VLOOKUP(T_SuiviTw[[#This Row],[NumL]],T_suiviDi[#Data],COLUMN(T_suiviDi[[#This Row],[Prénom1]]),FALSE),""),"")</f>
        <v/>
      </c>
      <c r="G104" s="274" t="str">
        <f>IFERROR(IF(VLOOKUP(T_SuiviTw[[#This Row],[NumL]],T_suiviDi[#Data],COLUMN(T_suiviDi[[#This Row],[Email1]]),FALSE)&lt;&gt;"",VLOOKUP(T_SuiviTw[[#This Row],[NumL]],T_suiviDi[#Data],COLUMN(T_suiviDi[[#This Row],[Email1]]),FALSE),""),"")</f>
        <v/>
      </c>
      <c r="H104" s="275" t="str">
        <f t="shared" si="21"/>
        <v/>
      </c>
      <c r="I104" s="100"/>
      <c r="J104" s="156" t="str">
        <f t="shared" si="22"/>
        <v/>
      </c>
      <c r="K104" s="155" t="str">
        <f t="shared" si="23"/>
        <v/>
      </c>
      <c r="L104" s="100"/>
      <c r="M104" s="156" t="str">
        <f t="shared" ca="1" si="24"/>
        <v/>
      </c>
      <c r="N104" s="49"/>
      <c r="O104" s="49"/>
      <c r="P104" s="105" t="str">
        <f t="shared" si="25"/>
        <v/>
      </c>
      <c r="Q104" s="155" t="str">
        <f t="shared" si="26"/>
        <v/>
      </c>
      <c r="R104" s="100"/>
      <c r="S104" s="156" t="str">
        <f t="shared" ca="1" si="27"/>
        <v/>
      </c>
      <c r="T104" s="101"/>
      <c r="U104" s="101"/>
      <c r="V104" s="101"/>
      <c r="W104" s="144"/>
    </row>
    <row r="105" spans="1:23" ht="24" customHeight="1" x14ac:dyDescent="0.25">
      <c r="A105" s="90">
        <v>109</v>
      </c>
      <c r="B105" s="19" t="str">
        <f>IFERROR(IF(VLOOKUP(T_SuiviTw[[#This Row],[NumL]],T_suiviDi[#Data],COLUMN(T_suiviDi[[#This Row],[Nom]]),FALSE)&lt;&gt;"",VLOOKUP(T_SuiviTw[[#This Row],[NumL]],T_suiviDi[#Data],COLUMN(T_suiviDi[[#This Row],[Nom]]),FALSE),""),"")</f>
        <v/>
      </c>
      <c r="C105" s="19" t="str">
        <f>IFERROR(IF(VLOOKUP(T_SuiviTw[[#This Row],[NumL]],T_suiviDi[#Data],COLUMN(T_suiviDi[[#This Row],[Prénom]]),FALSE)&lt;&gt;"",VLOOKUP(T_SuiviTw[[#This Row],[NumL]],T_suiviDi[#Data],COLUMN(T_suiviDi[[#This Row],[Prénom]]),FALSE),""),"")</f>
        <v/>
      </c>
      <c r="D105" s="20" t="str">
        <f>IFERROR(IF(VLOOKUP(T_SuiviTw[[#This Row],[NumL]],T_suiviDi[#Data],COLUMN(T_suiviDi[[#This Row],[Email]]),FALSE)&lt;&gt;"",VLOOKUP(T_SuiviTw[[#This Row],[NumL]],T_suiviDi[#Data],COLUMN(T_suiviDi[[#This Row],[Email]]),FALSE),""),"")</f>
        <v/>
      </c>
      <c r="E105" s="274" t="str">
        <f>IFERROR(IF(VLOOKUP(T_SuiviTw[[#This Row],[NumL]],T_suiviDi[#Data],COLUMN(T_suiviDi[[#This Row],[Nom1]]),FALSE)&lt;&gt;"",VLOOKUP(T_SuiviTw[[#This Row],[NumL]],T_suiviDi[#Data],COLUMN(T_suiviDi[[#This Row],[Nom1]]),FALSE),""),"")</f>
        <v/>
      </c>
      <c r="F105" s="274" t="str">
        <f>IFERROR(IF(VLOOKUP(T_SuiviTw[[#This Row],[NumL]],T_suiviDi[#Data],COLUMN(T_suiviDi[[#This Row],[Prénom1]]),FALSE)&lt;&gt;"",VLOOKUP(T_SuiviTw[[#This Row],[NumL]],T_suiviDi[#Data],COLUMN(T_suiviDi[[#This Row],[Prénom1]]),FALSE),""),"")</f>
        <v/>
      </c>
      <c r="G105" s="274" t="str">
        <f>IFERROR(IF(VLOOKUP(T_SuiviTw[[#This Row],[NumL]],T_suiviDi[#Data],COLUMN(T_suiviDi[[#This Row],[Email1]]),FALSE)&lt;&gt;"",VLOOKUP(T_SuiviTw[[#This Row],[NumL]],T_suiviDi[#Data],COLUMN(T_suiviDi[[#This Row],[Email1]]),FALSE),""),"")</f>
        <v/>
      </c>
      <c r="H105" s="275" t="str">
        <f t="shared" si="21"/>
        <v/>
      </c>
      <c r="I105" s="100"/>
      <c r="J105" s="156" t="str">
        <f t="shared" si="22"/>
        <v/>
      </c>
      <c r="K105" s="155" t="str">
        <f t="shared" si="23"/>
        <v/>
      </c>
      <c r="L105" s="100"/>
      <c r="M105" s="156" t="str">
        <f t="shared" ca="1" si="24"/>
        <v/>
      </c>
      <c r="N105" s="49"/>
      <c r="O105" s="49"/>
      <c r="P105" s="105" t="str">
        <f t="shared" si="25"/>
        <v/>
      </c>
      <c r="Q105" s="155" t="str">
        <f t="shared" si="26"/>
        <v/>
      </c>
      <c r="R105" s="100"/>
      <c r="S105" s="156" t="str">
        <f t="shared" ca="1" si="27"/>
        <v/>
      </c>
      <c r="T105" s="101"/>
      <c r="U105" s="101"/>
      <c r="V105" s="101"/>
      <c r="W105" s="144"/>
    </row>
    <row r="106" spans="1:23" ht="24" customHeight="1" x14ac:dyDescent="0.25">
      <c r="A106" s="90">
        <v>216</v>
      </c>
      <c r="B106" s="19" t="str">
        <f>IFERROR(IF(VLOOKUP(T_SuiviTw[[#This Row],[NumL]],T_suiviDi[#Data],COLUMN(T_suiviDi[[#This Row],[Nom]]),FALSE)&lt;&gt;"",VLOOKUP(T_SuiviTw[[#This Row],[NumL]],T_suiviDi[#Data],COLUMN(T_suiviDi[[#This Row],[Nom]]),FALSE),""),"")</f>
        <v/>
      </c>
      <c r="C106" s="19" t="str">
        <f>IFERROR(IF(VLOOKUP(T_SuiviTw[[#This Row],[NumL]],T_suiviDi[#Data],COLUMN(T_suiviDi[[#This Row],[Prénom]]),FALSE)&lt;&gt;"",VLOOKUP(T_SuiviTw[[#This Row],[NumL]],T_suiviDi[#Data],COLUMN(T_suiviDi[[#This Row],[Prénom]]),FALSE),""),"")</f>
        <v/>
      </c>
      <c r="D106" s="20" t="str">
        <f>IFERROR(IF(VLOOKUP(T_SuiviTw[[#This Row],[NumL]],T_suiviDi[#Data],COLUMN(T_suiviDi[[#This Row],[Email]]),FALSE)&lt;&gt;"",VLOOKUP(T_SuiviTw[[#This Row],[NumL]],T_suiviDi[#Data],COLUMN(T_suiviDi[[#This Row],[Email]]),FALSE),""),"")</f>
        <v/>
      </c>
      <c r="E106" s="274" t="str">
        <f>IFERROR(IF(VLOOKUP(T_SuiviTw[[#This Row],[NumL]],T_suiviDi[#Data],COLUMN(T_suiviDi[[#This Row],[Nom1]]),FALSE)&lt;&gt;"",VLOOKUP(T_SuiviTw[[#This Row],[NumL]],T_suiviDi[#Data],COLUMN(T_suiviDi[[#This Row],[Nom1]]),FALSE),""),"")</f>
        <v/>
      </c>
      <c r="F106" s="274" t="str">
        <f>IFERROR(IF(VLOOKUP(T_SuiviTw[[#This Row],[NumL]],T_suiviDi[#Data],COLUMN(T_suiviDi[[#This Row],[Prénom1]]),FALSE)&lt;&gt;"",VLOOKUP(T_SuiviTw[[#This Row],[NumL]],T_suiviDi[#Data],COLUMN(T_suiviDi[[#This Row],[Prénom1]]),FALSE),""),"")</f>
        <v/>
      </c>
      <c r="G106" s="274" t="str">
        <f>IFERROR(IF(VLOOKUP(T_SuiviTw[[#This Row],[NumL]],T_suiviDi[#Data],COLUMN(T_suiviDi[[#This Row],[Email1]]),FALSE)&lt;&gt;"",VLOOKUP(T_SuiviTw[[#This Row],[NumL]],T_suiviDi[#Data],COLUMN(T_suiviDi[[#This Row],[Email1]]),FALSE),""),"")</f>
        <v/>
      </c>
      <c r="H106" s="275" t="str">
        <f t="shared" si="21"/>
        <v/>
      </c>
      <c r="I106" s="100"/>
      <c r="J106" s="156" t="str">
        <f t="shared" si="22"/>
        <v/>
      </c>
      <c r="K106" s="155" t="str">
        <f t="shared" si="23"/>
        <v/>
      </c>
      <c r="L106" s="100"/>
      <c r="M106" s="156" t="str">
        <f t="shared" ca="1" si="24"/>
        <v/>
      </c>
      <c r="N106" s="49"/>
      <c r="O106" s="49"/>
      <c r="P106" s="105" t="str">
        <f t="shared" si="25"/>
        <v/>
      </c>
      <c r="Q106" s="155" t="str">
        <f t="shared" si="26"/>
        <v/>
      </c>
      <c r="R106" s="100"/>
      <c r="S106" s="156" t="str">
        <f t="shared" ca="1" si="27"/>
        <v/>
      </c>
      <c r="T106" s="101"/>
      <c r="U106" s="101"/>
      <c r="V106" s="101"/>
      <c r="W106" s="144"/>
    </row>
    <row r="107" spans="1:23" ht="24" customHeight="1" x14ac:dyDescent="0.25">
      <c r="A107" s="90">
        <v>188</v>
      </c>
      <c r="B107" s="19" t="str">
        <f>IFERROR(IF(VLOOKUP(T_SuiviTw[[#This Row],[NumL]],T_suiviDi[#Data],COLUMN(T_suiviDi[[#This Row],[Nom]]),FALSE)&lt;&gt;"",VLOOKUP(T_SuiviTw[[#This Row],[NumL]],T_suiviDi[#Data],COLUMN(T_suiviDi[[#This Row],[Nom]]),FALSE),""),"")</f>
        <v/>
      </c>
      <c r="C107" s="19" t="str">
        <f>IFERROR(IF(VLOOKUP(T_SuiviTw[[#This Row],[NumL]],T_suiviDi[#Data],COLUMN(T_suiviDi[[#This Row],[Prénom]]),FALSE)&lt;&gt;"",VLOOKUP(T_SuiviTw[[#This Row],[NumL]],T_suiviDi[#Data],COLUMN(T_suiviDi[[#This Row],[Prénom]]),FALSE),""),"")</f>
        <v/>
      </c>
      <c r="D107" s="20" t="str">
        <f>IFERROR(IF(VLOOKUP(T_SuiviTw[[#This Row],[NumL]],T_suiviDi[#Data],COLUMN(T_suiviDi[[#This Row],[Email]]),FALSE)&lt;&gt;"",VLOOKUP(T_SuiviTw[[#This Row],[NumL]],T_suiviDi[#Data],COLUMN(T_suiviDi[[#This Row],[Email]]),FALSE),""),"")</f>
        <v/>
      </c>
      <c r="E107" s="274" t="str">
        <f>IFERROR(IF(VLOOKUP(T_SuiviTw[[#This Row],[NumL]],T_suiviDi[#Data],COLUMN(T_suiviDi[[#This Row],[Nom1]]),FALSE)&lt;&gt;"",VLOOKUP(T_SuiviTw[[#This Row],[NumL]],T_suiviDi[#Data],COLUMN(T_suiviDi[[#This Row],[Nom1]]),FALSE),""),"")</f>
        <v/>
      </c>
      <c r="F107" s="274" t="str">
        <f>IFERROR(IF(VLOOKUP(T_SuiviTw[[#This Row],[NumL]],T_suiviDi[#Data],COLUMN(T_suiviDi[[#This Row],[Prénom1]]),FALSE)&lt;&gt;"",VLOOKUP(T_SuiviTw[[#This Row],[NumL]],T_suiviDi[#Data],COLUMN(T_suiviDi[[#This Row],[Prénom1]]),FALSE),""),"")</f>
        <v/>
      </c>
      <c r="G107" s="274" t="str">
        <f>IFERROR(IF(VLOOKUP(T_SuiviTw[[#This Row],[NumL]],T_suiviDi[#Data],COLUMN(T_suiviDi[[#This Row],[Email1]]),FALSE)&lt;&gt;"",VLOOKUP(T_SuiviTw[[#This Row],[NumL]],T_suiviDi[#Data],COLUMN(T_suiviDi[[#This Row],[Email1]]),FALSE),""),"")</f>
        <v/>
      </c>
      <c r="H107" s="275" t="str">
        <f t="shared" si="21"/>
        <v/>
      </c>
      <c r="I107" s="100"/>
      <c r="J107" s="156" t="str">
        <f t="shared" si="22"/>
        <v/>
      </c>
      <c r="K107" s="155" t="str">
        <f t="shared" si="23"/>
        <v/>
      </c>
      <c r="L107" s="100"/>
      <c r="M107" s="156" t="str">
        <f t="shared" ca="1" si="24"/>
        <v/>
      </c>
      <c r="N107" s="49"/>
      <c r="O107" s="49"/>
      <c r="P107" s="105" t="str">
        <f t="shared" si="25"/>
        <v/>
      </c>
      <c r="Q107" s="155" t="str">
        <f t="shared" si="26"/>
        <v/>
      </c>
      <c r="R107" s="100"/>
      <c r="S107" s="156" t="str">
        <f t="shared" ca="1" si="27"/>
        <v/>
      </c>
      <c r="T107" s="101"/>
      <c r="U107" s="101"/>
      <c r="V107" s="101"/>
      <c r="W107" s="144"/>
    </row>
    <row r="108" spans="1:23" ht="24" customHeight="1" x14ac:dyDescent="0.25">
      <c r="A108" s="90">
        <v>306</v>
      </c>
      <c r="B108" s="139" t="str">
        <f>IFERROR(IF(VLOOKUP(T_SuiviTw[[#This Row],[NumL]],T_suiviDi[#Data],COLUMN(T_suiviDi[[#This Row],[Nom]]),FALSE)&lt;&gt;"",VLOOKUP(T_SuiviTw[[#This Row],[NumL]],T_suiviDi[#Data],COLUMN(T_suiviDi[[#This Row],[Nom]]),FALSE),""),"")</f>
        <v/>
      </c>
      <c r="C108" s="139" t="str">
        <f>IFERROR(IF(VLOOKUP(T_SuiviTw[[#This Row],[NumL]],T_suiviDi[#Data],COLUMN(T_suiviDi[[#This Row],[Prénom]]),FALSE)&lt;&gt;"",VLOOKUP(T_SuiviTw[[#This Row],[NumL]],T_suiviDi[#Data],COLUMN(T_suiviDi[[#This Row],[Prénom]]),FALSE),""),"")</f>
        <v/>
      </c>
      <c r="D108" s="140" t="str">
        <f>IFERROR(IF(VLOOKUP(T_SuiviTw[[#This Row],[NumL]],T_suiviDi[#Data],COLUMN(T_suiviDi[[#This Row],[Email]]),FALSE)&lt;&gt;"",VLOOKUP(T_SuiviTw[[#This Row],[NumL]],T_suiviDi[#Data],COLUMN(T_suiviDi[[#This Row],[Email]]),FALSE),""),"")</f>
        <v/>
      </c>
      <c r="E108" s="141" t="str">
        <f>IFERROR(IF(VLOOKUP(T_SuiviTw[[#This Row],[NumL]],T_suiviDi[#Data],COLUMN(T_suiviDi[[#This Row],[Nom1]]),FALSE)&lt;&gt;"",VLOOKUP(T_SuiviTw[[#This Row],[NumL]],T_suiviDi[#Data],COLUMN(T_suiviDi[[#This Row],[Nom1]]),FALSE),""),"")</f>
        <v/>
      </c>
      <c r="F108" s="141" t="str">
        <f>IFERROR(IF(VLOOKUP(T_SuiviTw[[#This Row],[NumL]],T_suiviDi[#Data],COLUMN(T_suiviDi[[#This Row],[Prénom1]]),FALSE)&lt;&gt;"",VLOOKUP(T_SuiviTw[[#This Row],[NumL]],T_suiviDi[#Data],COLUMN(T_suiviDi[[#This Row],[Prénom1]]),FALSE),""),"")</f>
        <v/>
      </c>
      <c r="G108" s="141" t="str">
        <f>IFERROR(IF(VLOOKUP(T_SuiviTw[[#This Row],[NumL]],T_suiviDi[#Data],COLUMN(T_suiviDi[[#This Row],[Email1]]),FALSE)&lt;&gt;"",VLOOKUP(T_SuiviTw[[#This Row],[NumL]],T_suiviDi[#Data],COLUMN(T_suiviDi[[#This Row],[Email1]]),FALSE),""),"")</f>
        <v/>
      </c>
      <c r="H108" s="155" t="str">
        <f t="shared" si="21"/>
        <v/>
      </c>
      <c r="I108" s="100"/>
      <c r="J108" s="156" t="str">
        <f t="shared" si="22"/>
        <v/>
      </c>
      <c r="K108" s="155" t="str">
        <f t="shared" si="23"/>
        <v/>
      </c>
      <c r="L108" s="100"/>
      <c r="M108" s="156" t="str">
        <f t="shared" ca="1" si="24"/>
        <v/>
      </c>
      <c r="N108" s="49"/>
      <c r="O108" s="49"/>
      <c r="P108" s="105" t="str">
        <f t="shared" si="25"/>
        <v/>
      </c>
      <c r="Q108" s="155" t="str">
        <f t="shared" si="26"/>
        <v/>
      </c>
      <c r="R108" s="100"/>
      <c r="S108" s="156" t="str">
        <f t="shared" ca="1" si="27"/>
        <v/>
      </c>
      <c r="T108" s="101"/>
      <c r="U108" s="101"/>
      <c r="V108" s="101"/>
      <c r="W108" s="144"/>
    </row>
    <row r="109" spans="1:23" ht="24" customHeight="1" x14ac:dyDescent="0.25">
      <c r="A109" s="90">
        <v>148</v>
      </c>
      <c r="B109" s="19" t="str">
        <f>IFERROR(IF(VLOOKUP(T_SuiviTw[[#This Row],[NumL]],T_suiviDi[#Data],COLUMN(T_suiviDi[[#This Row],[Nom]]),FALSE)&lt;&gt;"",VLOOKUP(T_SuiviTw[[#This Row],[NumL]],T_suiviDi[#Data],COLUMN(T_suiviDi[[#This Row],[Nom]]),FALSE),""),"")</f>
        <v/>
      </c>
      <c r="C109" s="19" t="str">
        <f>IFERROR(IF(VLOOKUP(T_SuiviTw[[#This Row],[NumL]],T_suiviDi[#Data],COLUMN(T_suiviDi[[#This Row],[Prénom]]),FALSE)&lt;&gt;"",VLOOKUP(T_SuiviTw[[#This Row],[NumL]],T_suiviDi[#Data],COLUMN(T_suiviDi[[#This Row],[Prénom]]),FALSE),""),"")</f>
        <v/>
      </c>
      <c r="D109" s="20" t="str">
        <f>IFERROR(IF(VLOOKUP(T_SuiviTw[[#This Row],[NumL]],T_suiviDi[#Data],COLUMN(T_suiviDi[[#This Row],[Email]]),FALSE)&lt;&gt;"",VLOOKUP(T_SuiviTw[[#This Row],[NumL]],T_suiviDi[#Data],COLUMN(T_suiviDi[[#This Row],[Email]]),FALSE),""),"")</f>
        <v/>
      </c>
      <c r="E109" s="274" t="str">
        <f>IFERROR(IF(VLOOKUP(T_SuiviTw[[#This Row],[NumL]],T_suiviDi[#Data],COLUMN(T_suiviDi[[#This Row],[Nom1]]),FALSE)&lt;&gt;"",VLOOKUP(T_SuiviTw[[#This Row],[NumL]],T_suiviDi[#Data],COLUMN(T_suiviDi[[#This Row],[Nom1]]),FALSE),""),"")</f>
        <v/>
      </c>
      <c r="F109" s="274" t="str">
        <f>IFERROR(IF(VLOOKUP(T_SuiviTw[[#This Row],[NumL]],T_suiviDi[#Data],COLUMN(T_suiviDi[[#This Row],[Prénom1]]),FALSE)&lt;&gt;"",VLOOKUP(T_SuiviTw[[#This Row],[NumL]],T_suiviDi[#Data],COLUMN(T_suiviDi[[#This Row],[Prénom1]]),FALSE),""),"")</f>
        <v/>
      </c>
      <c r="G109" s="274" t="str">
        <f>IFERROR(IF(VLOOKUP(T_SuiviTw[[#This Row],[NumL]],T_suiviDi[#Data],COLUMN(T_suiviDi[[#This Row],[Email1]]),FALSE)&lt;&gt;"",VLOOKUP(T_SuiviTw[[#This Row],[NumL]],T_suiviDi[#Data],COLUMN(T_suiviDi[[#This Row],[Email1]]),FALSE),""),"")</f>
        <v/>
      </c>
      <c r="H109" s="275" t="str">
        <f t="shared" si="21"/>
        <v/>
      </c>
      <c r="I109" s="100"/>
      <c r="J109" s="156" t="str">
        <f t="shared" si="22"/>
        <v/>
      </c>
      <c r="K109" s="155" t="str">
        <f t="shared" si="23"/>
        <v/>
      </c>
      <c r="L109" s="100"/>
      <c r="M109" s="156" t="str">
        <f t="shared" ca="1" si="24"/>
        <v/>
      </c>
      <c r="N109" s="49"/>
      <c r="O109" s="49"/>
      <c r="P109" s="105" t="str">
        <f t="shared" si="25"/>
        <v/>
      </c>
      <c r="Q109" s="155" t="str">
        <f t="shared" si="26"/>
        <v/>
      </c>
      <c r="R109" s="100"/>
      <c r="S109" s="156" t="str">
        <f t="shared" ca="1" si="27"/>
        <v/>
      </c>
      <c r="T109" s="101"/>
      <c r="U109" s="101"/>
      <c r="V109" s="101"/>
      <c r="W109" s="144"/>
    </row>
    <row r="110" spans="1:23" ht="24" customHeight="1" x14ac:dyDescent="0.25">
      <c r="A110" s="90">
        <v>142</v>
      </c>
      <c r="B110" s="19" t="str">
        <f>IFERROR(IF(VLOOKUP(T_SuiviTw[[#This Row],[NumL]],T_suiviDi[#Data],COLUMN(T_suiviDi[[#This Row],[Nom]]),FALSE)&lt;&gt;"",VLOOKUP(T_SuiviTw[[#This Row],[NumL]],T_suiviDi[#Data],COLUMN(T_suiviDi[[#This Row],[Nom]]),FALSE),""),"")</f>
        <v/>
      </c>
      <c r="C110" s="19" t="str">
        <f>IFERROR(IF(VLOOKUP(T_SuiviTw[[#This Row],[NumL]],T_suiviDi[#Data],COLUMN(T_suiviDi[[#This Row],[Prénom]]),FALSE)&lt;&gt;"",VLOOKUP(T_SuiviTw[[#This Row],[NumL]],T_suiviDi[#Data],COLUMN(T_suiviDi[[#This Row],[Prénom]]),FALSE),""),"")</f>
        <v/>
      </c>
      <c r="D110" s="20" t="str">
        <f>IFERROR(IF(VLOOKUP(T_SuiviTw[[#This Row],[NumL]],T_suiviDi[#Data],COLUMN(T_suiviDi[[#This Row],[Email]]),FALSE)&lt;&gt;"",VLOOKUP(T_SuiviTw[[#This Row],[NumL]],T_suiviDi[#Data],COLUMN(T_suiviDi[[#This Row],[Email]]),FALSE),""),"")</f>
        <v/>
      </c>
      <c r="E110" s="274" t="str">
        <f>IFERROR(IF(VLOOKUP(T_SuiviTw[[#This Row],[NumL]],T_suiviDi[#Data],COLUMN(T_suiviDi[[#This Row],[Nom1]]),FALSE)&lt;&gt;"",VLOOKUP(T_SuiviTw[[#This Row],[NumL]],T_suiviDi[#Data],COLUMN(T_suiviDi[[#This Row],[Nom1]]),FALSE),""),"")</f>
        <v/>
      </c>
      <c r="F110" s="274" t="str">
        <f>IFERROR(IF(VLOOKUP(T_SuiviTw[[#This Row],[NumL]],T_suiviDi[#Data],COLUMN(T_suiviDi[[#This Row],[Prénom1]]),FALSE)&lt;&gt;"",VLOOKUP(T_SuiviTw[[#This Row],[NumL]],T_suiviDi[#Data],COLUMN(T_suiviDi[[#This Row],[Prénom1]]),FALSE),""),"")</f>
        <v/>
      </c>
      <c r="G110" s="274" t="str">
        <f>IFERROR(IF(VLOOKUP(T_SuiviTw[[#This Row],[NumL]],T_suiviDi[#Data],COLUMN(T_suiviDi[[#This Row],[Email1]]),FALSE)&lt;&gt;"",VLOOKUP(T_SuiviTw[[#This Row],[NumL]],T_suiviDi[#Data],COLUMN(T_suiviDi[[#This Row],[Email1]]),FALSE),""),"")</f>
        <v/>
      </c>
      <c r="H110" s="275" t="str">
        <f t="shared" si="21"/>
        <v/>
      </c>
      <c r="I110" s="100"/>
      <c r="J110" s="156" t="str">
        <f t="shared" si="22"/>
        <v/>
      </c>
      <c r="K110" s="155" t="str">
        <f t="shared" si="23"/>
        <v/>
      </c>
      <c r="L110" s="100"/>
      <c r="M110" s="156" t="str">
        <f t="shared" ca="1" si="24"/>
        <v/>
      </c>
      <c r="N110" s="49"/>
      <c r="O110" s="49"/>
      <c r="P110" s="105" t="str">
        <f t="shared" si="25"/>
        <v/>
      </c>
      <c r="Q110" s="155" t="str">
        <f t="shared" si="26"/>
        <v/>
      </c>
      <c r="R110" s="100"/>
      <c r="S110" s="156" t="str">
        <f t="shared" ca="1" si="27"/>
        <v/>
      </c>
      <c r="T110" s="101"/>
      <c r="U110" s="101"/>
      <c r="V110" s="101"/>
      <c r="W110" s="144"/>
    </row>
    <row r="111" spans="1:23" ht="24" customHeight="1" x14ac:dyDescent="0.25">
      <c r="A111" s="90">
        <v>229</v>
      </c>
      <c r="B111" s="19" t="str">
        <f>IFERROR(IF(VLOOKUP(T_SuiviTw[[#This Row],[NumL]],T_suiviDi[#Data],COLUMN(T_suiviDi[[#This Row],[Nom]]),FALSE)&lt;&gt;"",VLOOKUP(T_SuiviTw[[#This Row],[NumL]],T_suiviDi[#Data],COLUMN(T_suiviDi[[#This Row],[Nom]]),FALSE),""),"")</f>
        <v/>
      </c>
      <c r="C111" s="19" t="str">
        <f>IFERROR(IF(VLOOKUP(T_SuiviTw[[#This Row],[NumL]],T_suiviDi[#Data],COLUMN(T_suiviDi[[#This Row],[Prénom]]),FALSE)&lt;&gt;"",VLOOKUP(T_SuiviTw[[#This Row],[NumL]],T_suiviDi[#Data],COLUMN(T_suiviDi[[#This Row],[Prénom]]),FALSE),""),"")</f>
        <v/>
      </c>
      <c r="D111" s="20" t="str">
        <f>IFERROR(IF(VLOOKUP(T_SuiviTw[[#This Row],[NumL]],T_suiviDi[#Data],COLUMN(T_suiviDi[[#This Row],[Email]]),FALSE)&lt;&gt;"",VLOOKUP(T_SuiviTw[[#This Row],[NumL]],T_suiviDi[#Data],COLUMN(T_suiviDi[[#This Row],[Email]]),FALSE),""),"")</f>
        <v/>
      </c>
      <c r="E111" s="274" t="str">
        <f>IFERROR(IF(VLOOKUP(T_SuiviTw[[#This Row],[NumL]],T_suiviDi[#Data],COLUMN(T_suiviDi[[#This Row],[Nom1]]),FALSE)&lt;&gt;"",VLOOKUP(T_SuiviTw[[#This Row],[NumL]],T_suiviDi[#Data],COLUMN(T_suiviDi[[#This Row],[Nom1]]),FALSE),""),"")</f>
        <v/>
      </c>
      <c r="F111" s="274" t="str">
        <f>IFERROR(IF(VLOOKUP(T_SuiviTw[[#This Row],[NumL]],T_suiviDi[#Data],COLUMN(T_suiviDi[[#This Row],[Prénom1]]),FALSE)&lt;&gt;"",VLOOKUP(T_SuiviTw[[#This Row],[NumL]],T_suiviDi[#Data],COLUMN(T_suiviDi[[#This Row],[Prénom1]]),FALSE),""),"")</f>
        <v/>
      </c>
      <c r="G111" s="274" t="str">
        <f>IFERROR(IF(VLOOKUP(T_SuiviTw[[#This Row],[NumL]],T_suiviDi[#Data],COLUMN(T_suiviDi[[#This Row],[Email1]]),FALSE)&lt;&gt;"",VLOOKUP(T_SuiviTw[[#This Row],[NumL]],T_suiviDi[#Data],COLUMN(T_suiviDi[[#This Row],[Email1]]),FALSE),""),"")</f>
        <v/>
      </c>
      <c r="H111" s="275" t="str">
        <f t="shared" si="21"/>
        <v/>
      </c>
      <c r="I111" s="100"/>
      <c r="J111" s="156" t="str">
        <f t="shared" si="22"/>
        <v/>
      </c>
      <c r="K111" s="155" t="str">
        <f t="shared" si="23"/>
        <v/>
      </c>
      <c r="L111" s="100"/>
      <c r="M111" s="156" t="str">
        <f t="shared" ca="1" si="24"/>
        <v/>
      </c>
      <c r="N111" s="49"/>
      <c r="O111" s="49"/>
      <c r="P111" s="105" t="str">
        <f t="shared" si="25"/>
        <v/>
      </c>
      <c r="Q111" s="155" t="str">
        <f t="shared" si="26"/>
        <v/>
      </c>
      <c r="R111" s="100"/>
      <c r="S111" s="156" t="str">
        <f t="shared" ca="1" si="27"/>
        <v/>
      </c>
      <c r="T111" s="101"/>
      <c r="U111" s="101"/>
      <c r="V111" s="101"/>
      <c r="W111" s="144"/>
    </row>
    <row r="112" spans="1:23" ht="24" customHeight="1" x14ac:dyDescent="0.25">
      <c r="A112" s="90">
        <v>95</v>
      </c>
      <c r="B112" s="19" t="str">
        <f>IFERROR(IF(VLOOKUP(T_SuiviTw[[#This Row],[NumL]],T_suiviDi[#Data],COLUMN(T_suiviDi[[#This Row],[Nom]]),FALSE)&lt;&gt;"",VLOOKUP(T_SuiviTw[[#This Row],[NumL]],T_suiviDi[#Data],COLUMN(T_suiviDi[[#This Row],[Nom]]),FALSE),""),"")</f>
        <v/>
      </c>
      <c r="C112" s="19" t="str">
        <f>IFERROR(IF(VLOOKUP(T_SuiviTw[[#This Row],[NumL]],T_suiviDi[#Data],COLUMN(T_suiviDi[[#This Row],[Prénom]]),FALSE)&lt;&gt;"",VLOOKUP(T_SuiviTw[[#This Row],[NumL]],T_suiviDi[#Data],COLUMN(T_suiviDi[[#This Row],[Prénom]]),FALSE),""),"")</f>
        <v/>
      </c>
      <c r="D112" s="20" t="str">
        <f>IFERROR(IF(VLOOKUP(T_SuiviTw[[#This Row],[NumL]],T_suiviDi[#Data],COLUMN(T_suiviDi[[#This Row],[Email]]),FALSE)&lt;&gt;"",VLOOKUP(T_SuiviTw[[#This Row],[NumL]],T_suiviDi[#Data],COLUMN(T_suiviDi[[#This Row],[Email]]),FALSE),""),"")</f>
        <v/>
      </c>
      <c r="E112" s="274" t="str">
        <f>IFERROR(IF(VLOOKUP(T_SuiviTw[[#This Row],[NumL]],T_suiviDi[#Data],COLUMN(T_suiviDi[[#This Row],[Nom1]]),FALSE)&lt;&gt;"",VLOOKUP(T_SuiviTw[[#This Row],[NumL]],T_suiviDi[#Data],COLUMN(T_suiviDi[[#This Row],[Nom1]]),FALSE),""),"")</f>
        <v/>
      </c>
      <c r="F112" s="274" t="str">
        <f>IFERROR(IF(VLOOKUP(T_SuiviTw[[#This Row],[NumL]],T_suiviDi[#Data],COLUMN(T_suiviDi[[#This Row],[Prénom1]]),FALSE)&lt;&gt;"",VLOOKUP(T_SuiviTw[[#This Row],[NumL]],T_suiviDi[#Data],COLUMN(T_suiviDi[[#This Row],[Prénom1]]),FALSE),""),"")</f>
        <v/>
      </c>
      <c r="G112" s="274" t="str">
        <f>IFERROR(IF(VLOOKUP(T_SuiviTw[[#This Row],[NumL]],T_suiviDi[#Data],COLUMN(T_suiviDi[[#This Row],[Email1]]),FALSE)&lt;&gt;"",VLOOKUP(T_SuiviTw[[#This Row],[NumL]],T_suiviDi[#Data],COLUMN(T_suiviDi[[#This Row],[Email1]]),FALSE),""),"")</f>
        <v/>
      </c>
      <c r="H112" s="275" t="str">
        <f t="shared" si="21"/>
        <v/>
      </c>
      <c r="I112" s="100"/>
      <c r="J112" s="156" t="str">
        <f t="shared" si="22"/>
        <v/>
      </c>
      <c r="K112" s="155" t="str">
        <f t="shared" si="23"/>
        <v/>
      </c>
      <c r="L112" s="100"/>
      <c r="M112" s="156" t="str">
        <f t="shared" ca="1" si="24"/>
        <v/>
      </c>
      <c r="N112" s="49"/>
      <c r="O112" s="49"/>
      <c r="P112" s="105" t="str">
        <f t="shared" si="25"/>
        <v/>
      </c>
      <c r="Q112" s="155" t="str">
        <f t="shared" si="26"/>
        <v/>
      </c>
      <c r="R112" s="100"/>
      <c r="S112" s="156" t="str">
        <f t="shared" ca="1" si="27"/>
        <v/>
      </c>
      <c r="T112" s="101"/>
      <c r="U112" s="101"/>
      <c r="V112" s="101"/>
      <c r="W112" s="144"/>
    </row>
    <row r="113" spans="1:23" ht="24" customHeight="1" x14ac:dyDescent="0.25">
      <c r="A113" s="90">
        <v>65</v>
      </c>
      <c r="B113" s="19" t="str">
        <f>IFERROR(IF(VLOOKUP(T_SuiviTw[[#This Row],[NumL]],T_suiviDi[#Data],COLUMN(T_suiviDi[[#This Row],[Nom]]),FALSE)&lt;&gt;"",VLOOKUP(T_SuiviTw[[#This Row],[NumL]],T_suiviDi[#Data],COLUMN(T_suiviDi[[#This Row],[Nom]]),FALSE),""),"")</f>
        <v/>
      </c>
      <c r="C113" s="19" t="str">
        <f>IFERROR(IF(VLOOKUP(T_SuiviTw[[#This Row],[NumL]],T_suiviDi[#Data],COLUMN(T_suiviDi[[#This Row],[Prénom]]),FALSE)&lt;&gt;"",VLOOKUP(T_SuiviTw[[#This Row],[NumL]],T_suiviDi[#Data],COLUMN(T_suiviDi[[#This Row],[Prénom]]),FALSE),""),"")</f>
        <v/>
      </c>
      <c r="D113" s="20" t="str">
        <f>IFERROR(IF(VLOOKUP(T_SuiviTw[[#This Row],[NumL]],T_suiviDi[#Data],COLUMN(T_suiviDi[[#This Row],[Email]]),FALSE)&lt;&gt;"",VLOOKUP(T_SuiviTw[[#This Row],[NumL]],T_suiviDi[#Data],COLUMN(T_suiviDi[[#This Row],[Email]]),FALSE),""),"")</f>
        <v/>
      </c>
      <c r="E113" s="274" t="str">
        <f>IFERROR(IF(VLOOKUP(T_SuiviTw[[#This Row],[NumL]],T_suiviDi[#Data],COLUMN(T_suiviDi[[#This Row],[Nom1]]),FALSE)&lt;&gt;"",VLOOKUP(T_SuiviTw[[#This Row],[NumL]],T_suiviDi[#Data],COLUMN(T_suiviDi[[#This Row],[Nom1]]),FALSE),""),"")</f>
        <v/>
      </c>
      <c r="F113" s="274" t="str">
        <f>IFERROR(IF(VLOOKUP(T_SuiviTw[[#This Row],[NumL]],T_suiviDi[#Data],COLUMN(T_suiviDi[[#This Row],[Prénom1]]),FALSE)&lt;&gt;"",VLOOKUP(T_SuiviTw[[#This Row],[NumL]],T_suiviDi[#Data],COLUMN(T_suiviDi[[#This Row],[Prénom1]]),FALSE),""),"")</f>
        <v/>
      </c>
      <c r="G113" s="274" t="str">
        <f>IFERROR(IF(VLOOKUP(T_SuiviTw[[#This Row],[NumL]],T_suiviDi[#Data],COLUMN(T_suiviDi[[#This Row],[Email1]]),FALSE)&lt;&gt;"",VLOOKUP(T_SuiviTw[[#This Row],[NumL]],T_suiviDi[#Data],COLUMN(T_suiviDi[[#This Row],[Email1]]),FALSE),""),"")</f>
        <v/>
      </c>
      <c r="H113" s="275" t="str">
        <f t="shared" si="21"/>
        <v/>
      </c>
      <c r="I113" s="100"/>
      <c r="J113" s="156" t="str">
        <f t="shared" si="22"/>
        <v/>
      </c>
      <c r="K113" s="155" t="str">
        <f t="shared" si="23"/>
        <v/>
      </c>
      <c r="L113" s="100"/>
      <c r="M113" s="156" t="str">
        <f t="shared" ca="1" si="24"/>
        <v/>
      </c>
      <c r="N113" s="49"/>
      <c r="O113" s="49"/>
      <c r="P113" s="105" t="str">
        <f t="shared" si="25"/>
        <v/>
      </c>
      <c r="Q113" s="155" t="str">
        <f t="shared" si="26"/>
        <v/>
      </c>
      <c r="R113" s="100"/>
      <c r="S113" s="156" t="str">
        <f t="shared" ca="1" si="27"/>
        <v/>
      </c>
      <c r="T113" s="101"/>
      <c r="U113" s="101"/>
      <c r="V113" s="101"/>
      <c r="W113" s="144"/>
    </row>
    <row r="114" spans="1:23" ht="24" customHeight="1" x14ac:dyDescent="0.25">
      <c r="A114" s="90">
        <v>128</v>
      </c>
      <c r="B114" s="19" t="str">
        <f>IFERROR(IF(VLOOKUP(T_SuiviTw[[#This Row],[NumL]],T_suiviDi[#Data],COLUMN(T_suiviDi[[#This Row],[Nom]]),FALSE)&lt;&gt;"",VLOOKUP(T_SuiviTw[[#This Row],[NumL]],T_suiviDi[#Data],COLUMN(T_suiviDi[[#This Row],[Nom]]),FALSE),""),"")</f>
        <v/>
      </c>
      <c r="C114" s="19" t="str">
        <f>IFERROR(IF(VLOOKUP(T_SuiviTw[[#This Row],[NumL]],T_suiviDi[#Data],COLUMN(T_suiviDi[[#This Row],[Prénom]]),FALSE)&lt;&gt;"",VLOOKUP(T_SuiviTw[[#This Row],[NumL]],T_suiviDi[#Data],COLUMN(T_suiviDi[[#This Row],[Prénom]]),FALSE),""),"")</f>
        <v/>
      </c>
      <c r="D114" s="20" t="str">
        <f>IFERROR(IF(VLOOKUP(T_SuiviTw[[#This Row],[NumL]],T_suiviDi[#Data],COLUMN(T_suiviDi[[#This Row],[Email]]),FALSE)&lt;&gt;"",VLOOKUP(T_SuiviTw[[#This Row],[NumL]],T_suiviDi[#Data],COLUMN(T_suiviDi[[#This Row],[Email]]),FALSE),""),"")</f>
        <v/>
      </c>
      <c r="E114" s="274" t="str">
        <f>IFERROR(IF(VLOOKUP(T_SuiviTw[[#This Row],[NumL]],T_suiviDi[#Data],COLUMN(T_suiviDi[[#This Row],[Nom1]]),FALSE)&lt;&gt;"",VLOOKUP(T_SuiviTw[[#This Row],[NumL]],T_suiviDi[#Data],COLUMN(T_suiviDi[[#This Row],[Nom1]]),FALSE),""),"")</f>
        <v/>
      </c>
      <c r="F114" s="274" t="str">
        <f>IFERROR(IF(VLOOKUP(T_SuiviTw[[#This Row],[NumL]],T_suiviDi[#Data],COLUMN(T_suiviDi[[#This Row],[Prénom1]]),FALSE)&lt;&gt;"",VLOOKUP(T_SuiviTw[[#This Row],[NumL]],T_suiviDi[#Data],COLUMN(T_suiviDi[[#This Row],[Prénom1]]),FALSE),""),"")</f>
        <v/>
      </c>
      <c r="G114" s="274" t="str">
        <f>IFERROR(IF(VLOOKUP(T_SuiviTw[[#This Row],[NumL]],T_suiviDi[#Data],COLUMN(T_suiviDi[[#This Row],[Email1]]),FALSE)&lt;&gt;"",VLOOKUP(T_SuiviTw[[#This Row],[NumL]],T_suiviDi[#Data],COLUMN(T_suiviDi[[#This Row],[Email1]]),FALSE),""),"")</f>
        <v/>
      </c>
      <c r="H114" s="275" t="str">
        <f t="shared" si="21"/>
        <v/>
      </c>
      <c r="I114" s="100"/>
      <c r="J114" s="156" t="str">
        <f t="shared" si="22"/>
        <v/>
      </c>
      <c r="K114" s="155" t="str">
        <f t="shared" si="23"/>
        <v/>
      </c>
      <c r="L114" s="100"/>
      <c r="M114" s="156" t="str">
        <f t="shared" ca="1" si="24"/>
        <v/>
      </c>
      <c r="N114" s="49"/>
      <c r="O114" s="49"/>
      <c r="P114" s="105" t="str">
        <f t="shared" si="25"/>
        <v/>
      </c>
      <c r="Q114" s="155" t="str">
        <f t="shared" si="26"/>
        <v/>
      </c>
      <c r="R114" s="100"/>
      <c r="S114" s="156" t="str">
        <f t="shared" ca="1" si="27"/>
        <v/>
      </c>
      <c r="T114" s="101"/>
      <c r="U114" s="101"/>
      <c r="V114" s="101"/>
      <c r="W114" s="144"/>
    </row>
    <row r="115" spans="1:23" ht="24" customHeight="1" x14ac:dyDescent="0.25">
      <c r="A115" s="90">
        <v>147</v>
      </c>
      <c r="B115" s="19" t="str">
        <f>IFERROR(IF(VLOOKUP(T_SuiviTw[[#This Row],[NumL]],T_suiviDi[#Data],COLUMN(T_suiviDi[[#This Row],[Nom]]),FALSE)&lt;&gt;"",VLOOKUP(T_SuiviTw[[#This Row],[NumL]],T_suiviDi[#Data],COLUMN(T_suiviDi[[#This Row],[Nom]]),FALSE),""),"")</f>
        <v/>
      </c>
      <c r="C115" s="19" t="str">
        <f>IFERROR(IF(VLOOKUP(T_SuiviTw[[#This Row],[NumL]],T_suiviDi[#Data],COLUMN(T_suiviDi[[#This Row],[Prénom]]),FALSE)&lt;&gt;"",VLOOKUP(T_SuiviTw[[#This Row],[NumL]],T_suiviDi[#Data],COLUMN(T_suiviDi[[#This Row],[Prénom]]),FALSE),""),"")</f>
        <v/>
      </c>
      <c r="D115" s="20" t="str">
        <f>IFERROR(IF(VLOOKUP(T_SuiviTw[[#This Row],[NumL]],T_suiviDi[#Data],COLUMN(T_suiviDi[[#This Row],[Email]]),FALSE)&lt;&gt;"",VLOOKUP(T_SuiviTw[[#This Row],[NumL]],T_suiviDi[#Data],COLUMN(T_suiviDi[[#This Row],[Email]]),FALSE),""),"")</f>
        <v/>
      </c>
      <c r="E115" s="274" t="str">
        <f>IFERROR(IF(VLOOKUP(T_SuiviTw[[#This Row],[NumL]],T_suiviDi[#Data],COLUMN(T_suiviDi[[#This Row],[Nom1]]),FALSE)&lt;&gt;"",VLOOKUP(T_SuiviTw[[#This Row],[NumL]],T_suiviDi[#Data],COLUMN(T_suiviDi[[#This Row],[Nom1]]),FALSE),""),"")</f>
        <v/>
      </c>
      <c r="F115" s="274" t="str">
        <f>IFERROR(IF(VLOOKUP(T_SuiviTw[[#This Row],[NumL]],T_suiviDi[#Data],COLUMN(T_suiviDi[[#This Row],[Prénom1]]),FALSE)&lt;&gt;"",VLOOKUP(T_SuiviTw[[#This Row],[NumL]],T_suiviDi[#Data],COLUMN(T_suiviDi[[#This Row],[Prénom1]]),FALSE),""),"")</f>
        <v/>
      </c>
      <c r="G115" s="274" t="str">
        <f>IFERROR(IF(VLOOKUP(T_SuiviTw[[#This Row],[NumL]],T_suiviDi[#Data],COLUMN(T_suiviDi[[#This Row],[Email1]]),FALSE)&lt;&gt;"",VLOOKUP(T_SuiviTw[[#This Row],[NumL]],T_suiviDi[#Data],COLUMN(T_suiviDi[[#This Row],[Email1]]),FALSE),""),"")</f>
        <v/>
      </c>
      <c r="H115" s="275" t="str">
        <f t="shared" si="21"/>
        <v/>
      </c>
      <c r="I115" s="100"/>
      <c r="J115" s="156" t="str">
        <f t="shared" si="22"/>
        <v/>
      </c>
      <c r="K115" s="155" t="str">
        <f t="shared" si="23"/>
        <v/>
      </c>
      <c r="L115" s="100"/>
      <c r="M115" s="156" t="str">
        <f t="shared" ca="1" si="24"/>
        <v/>
      </c>
      <c r="N115" s="49"/>
      <c r="O115" s="49"/>
      <c r="P115" s="105" t="str">
        <f t="shared" si="25"/>
        <v/>
      </c>
      <c r="Q115" s="155" t="str">
        <f t="shared" si="26"/>
        <v/>
      </c>
      <c r="R115" s="100"/>
      <c r="S115" s="156" t="str">
        <f t="shared" ca="1" si="27"/>
        <v/>
      </c>
      <c r="T115" s="101"/>
      <c r="U115" s="101"/>
      <c r="V115" s="101"/>
      <c r="W115" s="144"/>
    </row>
    <row r="116" spans="1:23" ht="24" customHeight="1" x14ac:dyDescent="0.25">
      <c r="A116" s="90">
        <v>333</v>
      </c>
      <c r="B116" s="139" t="str">
        <f>IFERROR(IF(VLOOKUP(T_SuiviTw[[#This Row],[NumL]],T_suiviDi[#Data],COLUMN(T_suiviDi[[#This Row],[Nom]]),FALSE)&lt;&gt;"",VLOOKUP(T_SuiviTw[[#This Row],[NumL]],T_suiviDi[#Data],COLUMN(T_suiviDi[[#This Row],[Nom]]),FALSE),""),"")</f>
        <v/>
      </c>
      <c r="C116" s="139" t="str">
        <f>IFERROR(IF(VLOOKUP(T_SuiviTw[[#This Row],[NumL]],T_suiviDi[#Data],COLUMN(T_suiviDi[[#This Row],[Prénom]]),FALSE)&lt;&gt;"",VLOOKUP(T_SuiviTw[[#This Row],[NumL]],T_suiviDi[#Data],COLUMN(T_suiviDi[[#This Row],[Prénom]]),FALSE),""),"")</f>
        <v/>
      </c>
      <c r="D116" s="140" t="str">
        <f>IFERROR(IF(VLOOKUP(T_SuiviTw[[#This Row],[NumL]],T_suiviDi[#Data],COLUMN(T_suiviDi[[#This Row],[Email]]),FALSE)&lt;&gt;"",VLOOKUP(T_SuiviTw[[#This Row],[NumL]],T_suiviDi[#Data],COLUMN(T_suiviDi[[#This Row],[Email]]),FALSE),""),"")</f>
        <v/>
      </c>
      <c r="E116" s="141" t="str">
        <f>IFERROR(IF(VLOOKUP(T_SuiviTw[[#This Row],[NumL]],T_suiviDi[#Data],COLUMN(T_suiviDi[[#This Row],[Nom1]]),FALSE)&lt;&gt;"",VLOOKUP(T_SuiviTw[[#This Row],[NumL]],T_suiviDi[#Data],COLUMN(T_suiviDi[[#This Row],[Nom1]]),FALSE),""),"")</f>
        <v/>
      </c>
      <c r="F116" s="141" t="str">
        <f>IFERROR(IF(VLOOKUP(T_SuiviTw[[#This Row],[NumL]],T_suiviDi[#Data],COLUMN(T_suiviDi[[#This Row],[Prénom1]]),FALSE)&lt;&gt;"",VLOOKUP(T_SuiviTw[[#This Row],[NumL]],T_suiviDi[#Data],COLUMN(T_suiviDi[[#This Row],[Prénom1]]),FALSE),""),"")</f>
        <v/>
      </c>
      <c r="G116" s="141" t="str">
        <f>IFERROR(IF(VLOOKUP(T_SuiviTw[[#This Row],[NumL]],T_suiviDi[#Data],COLUMN(T_suiviDi[[#This Row],[Email1]]),FALSE)&lt;&gt;"",VLOOKUP(T_SuiviTw[[#This Row],[NumL]],T_suiviDi[#Data],COLUMN(T_suiviDi[[#This Row],[Email1]]),FALSE),""),"")</f>
        <v/>
      </c>
      <c r="H116" s="155" t="str">
        <f t="shared" si="21"/>
        <v/>
      </c>
      <c r="I116" s="100"/>
      <c r="J116" s="156" t="str">
        <f t="shared" si="22"/>
        <v/>
      </c>
      <c r="K116" s="155" t="str">
        <f t="shared" si="23"/>
        <v/>
      </c>
      <c r="L116" s="100"/>
      <c r="M116" s="156" t="str">
        <f t="shared" ca="1" si="24"/>
        <v/>
      </c>
      <c r="N116" s="49"/>
      <c r="O116" s="49"/>
      <c r="P116" s="105" t="str">
        <f t="shared" si="25"/>
        <v/>
      </c>
      <c r="Q116" s="155" t="str">
        <f t="shared" si="26"/>
        <v/>
      </c>
      <c r="R116" s="100"/>
      <c r="S116" s="156" t="str">
        <f t="shared" ca="1" si="27"/>
        <v/>
      </c>
      <c r="T116" s="101"/>
      <c r="U116" s="101"/>
      <c r="V116" s="101"/>
      <c r="W116" s="144"/>
    </row>
    <row r="117" spans="1:23" ht="24" customHeight="1" x14ac:dyDescent="0.25">
      <c r="A117" s="90">
        <v>127</v>
      </c>
      <c r="B117" s="19" t="str">
        <f>IFERROR(IF(VLOOKUP(T_SuiviTw[[#This Row],[NumL]],T_suiviDi[#Data],COLUMN(T_suiviDi[[#This Row],[Nom]]),FALSE)&lt;&gt;"",VLOOKUP(T_SuiviTw[[#This Row],[NumL]],T_suiviDi[#Data],COLUMN(T_suiviDi[[#This Row],[Nom]]),FALSE),""),"")</f>
        <v/>
      </c>
      <c r="C117" s="19" t="str">
        <f>IFERROR(IF(VLOOKUP(T_SuiviTw[[#This Row],[NumL]],T_suiviDi[#Data],COLUMN(T_suiviDi[[#This Row],[Prénom]]),FALSE)&lt;&gt;"",VLOOKUP(T_SuiviTw[[#This Row],[NumL]],T_suiviDi[#Data],COLUMN(T_suiviDi[[#This Row],[Prénom]]),FALSE),""),"")</f>
        <v/>
      </c>
      <c r="D117" s="20" t="str">
        <f>IFERROR(IF(VLOOKUP(T_SuiviTw[[#This Row],[NumL]],T_suiviDi[#Data],COLUMN(T_suiviDi[[#This Row],[Email]]),FALSE)&lt;&gt;"",VLOOKUP(T_SuiviTw[[#This Row],[NumL]],T_suiviDi[#Data],COLUMN(T_suiviDi[[#This Row],[Email]]),FALSE),""),"")</f>
        <v/>
      </c>
      <c r="E117" s="274" t="str">
        <f>IFERROR(IF(VLOOKUP(T_SuiviTw[[#This Row],[NumL]],T_suiviDi[#Data],COLUMN(T_suiviDi[[#This Row],[Nom1]]),FALSE)&lt;&gt;"",VLOOKUP(T_SuiviTw[[#This Row],[NumL]],T_suiviDi[#Data],COLUMN(T_suiviDi[[#This Row],[Nom1]]),FALSE),""),"")</f>
        <v/>
      </c>
      <c r="F117" s="274" t="str">
        <f>IFERROR(IF(VLOOKUP(T_SuiviTw[[#This Row],[NumL]],T_suiviDi[#Data],COLUMN(T_suiviDi[[#This Row],[Prénom1]]),FALSE)&lt;&gt;"",VLOOKUP(T_SuiviTw[[#This Row],[NumL]],T_suiviDi[#Data],COLUMN(T_suiviDi[[#This Row],[Prénom1]]),FALSE),""),"")</f>
        <v/>
      </c>
      <c r="G117" s="274" t="str">
        <f>IFERROR(IF(VLOOKUP(T_SuiviTw[[#This Row],[NumL]],T_suiviDi[#Data],COLUMN(T_suiviDi[[#This Row],[Email1]]),FALSE)&lt;&gt;"",VLOOKUP(T_SuiviTw[[#This Row],[NumL]],T_suiviDi[#Data],COLUMN(T_suiviDi[[#This Row],[Email1]]),FALSE),""),"")</f>
        <v/>
      </c>
      <c r="H117" s="275" t="str">
        <f t="shared" si="21"/>
        <v/>
      </c>
      <c r="I117" s="100"/>
      <c r="J117" s="156" t="str">
        <f t="shared" si="22"/>
        <v/>
      </c>
      <c r="K117" s="155" t="str">
        <f t="shared" si="23"/>
        <v/>
      </c>
      <c r="L117" s="100"/>
      <c r="M117" s="156" t="str">
        <f t="shared" ca="1" si="24"/>
        <v/>
      </c>
      <c r="N117" s="49"/>
      <c r="O117" s="49"/>
      <c r="P117" s="105" t="str">
        <f t="shared" si="25"/>
        <v/>
      </c>
      <c r="Q117" s="155" t="str">
        <f t="shared" si="26"/>
        <v/>
      </c>
      <c r="R117" s="100"/>
      <c r="S117" s="156" t="str">
        <f t="shared" ca="1" si="27"/>
        <v/>
      </c>
      <c r="T117" s="101"/>
      <c r="U117" s="101"/>
      <c r="V117" s="101"/>
      <c r="W117" s="144"/>
    </row>
    <row r="118" spans="1:23" ht="24" customHeight="1" x14ac:dyDescent="0.25">
      <c r="A118" s="90">
        <v>254</v>
      </c>
      <c r="B118" s="19" t="str">
        <f>IFERROR(IF(VLOOKUP(T_SuiviTw[[#This Row],[NumL]],T_suiviDi[#Data],COLUMN(T_suiviDi[[#This Row],[Nom]]),FALSE)&lt;&gt;"",VLOOKUP(T_SuiviTw[[#This Row],[NumL]],T_suiviDi[#Data],COLUMN(T_suiviDi[[#This Row],[Nom]]),FALSE),""),"")</f>
        <v/>
      </c>
      <c r="C118" s="19" t="str">
        <f>IFERROR(IF(VLOOKUP(T_SuiviTw[[#This Row],[NumL]],T_suiviDi[#Data],COLUMN(T_suiviDi[[#This Row],[Prénom]]),FALSE)&lt;&gt;"",VLOOKUP(T_SuiviTw[[#This Row],[NumL]],T_suiviDi[#Data],COLUMN(T_suiviDi[[#This Row],[Prénom]]),FALSE),""),"")</f>
        <v/>
      </c>
      <c r="D118" s="20" t="str">
        <f>IFERROR(IF(VLOOKUP(T_SuiviTw[[#This Row],[NumL]],T_suiviDi[#Data],COLUMN(T_suiviDi[[#This Row],[Email]]),FALSE)&lt;&gt;"",VLOOKUP(T_SuiviTw[[#This Row],[NumL]],T_suiviDi[#Data],COLUMN(T_suiviDi[[#This Row],[Email]]),FALSE),""),"")</f>
        <v/>
      </c>
      <c r="E118" s="274" t="str">
        <f>IFERROR(IF(VLOOKUP(T_SuiviTw[[#This Row],[NumL]],T_suiviDi[#Data],COLUMN(T_suiviDi[[#This Row],[Nom1]]),FALSE)&lt;&gt;"",VLOOKUP(T_SuiviTw[[#This Row],[NumL]],T_suiviDi[#Data],COLUMN(T_suiviDi[[#This Row],[Nom1]]),FALSE),""),"")</f>
        <v/>
      </c>
      <c r="F118" s="274" t="str">
        <f>IFERROR(IF(VLOOKUP(T_SuiviTw[[#This Row],[NumL]],T_suiviDi[#Data],COLUMN(T_suiviDi[[#This Row],[Prénom1]]),FALSE)&lt;&gt;"",VLOOKUP(T_SuiviTw[[#This Row],[NumL]],T_suiviDi[#Data],COLUMN(T_suiviDi[[#This Row],[Prénom1]]),FALSE),""),"")</f>
        <v/>
      </c>
      <c r="G118" s="274" t="str">
        <f>IFERROR(IF(VLOOKUP(T_SuiviTw[[#This Row],[NumL]],T_suiviDi[#Data],COLUMN(T_suiviDi[[#This Row],[Email1]]),FALSE)&lt;&gt;"",VLOOKUP(T_SuiviTw[[#This Row],[NumL]],T_suiviDi[#Data],COLUMN(T_suiviDi[[#This Row],[Email1]]),FALSE),""),"")</f>
        <v/>
      </c>
      <c r="H118" s="275" t="str">
        <f t="shared" si="21"/>
        <v/>
      </c>
      <c r="I118" s="100"/>
      <c r="J118" s="156" t="str">
        <f t="shared" si="22"/>
        <v/>
      </c>
      <c r="K118" s="155" t="str">
        <f t="shared" si="23"/>
        <v/>
      </c>
      <c r="L118" s="100"/>
      <c r="M118" s="156" t="str">
        <f t="shared" ca="1" si="24"/>
        <v/>
      </c>
      <c r="N118" s="49"/>
      <c r="O118" s="49"/>
      <c r="P118" s="105" t="str">
        <f t="shared" si="25"/>
        <v/>
      </c>
      <c r="Q118" s="155" t="str">
        <f t="shared" si="26"/>
        <v/>
      </c>
      <c r="R118" s="100"/>
      <c r="S118" s="156" t="str">
        <f t="shared" ca="1" si="27"/>
        <v/>
      </c>
      <c r="T118" s="101"/>
      <c r="U118" s="101"/>
      <c r="V118" s="101"/>
      <c r="W118" s="144"/>
    </row>
    <row r="119" spans="1:23" ht="24" customHeight="1" x14ac:dyDescent="0.25">
      <c r="A119" s="90">
        <v>305</v>
      </c>
      <c r="B119" s="139" t="str">
        <f>IFERROR(IF(VLOOKUP(T_SuiviTw[[#This Row],[NumL]],T_suiviDi[#Data],COLUMN(T_suiviDi[[#This Row],[Nom]]),FALSE)&lt;&gt;"",VLOOKUP(T_SuiviTw[[#This Row],[NumL]],T_suiviDi[#Data],COLUMN(T_suiviDi[[#This Row],[Nom]]),FALSE),""),"")</f>
        <v/>
      </c>
      <c r="C119" s="139" t="str">
        <f>IFERROR(IF(VLOOKUP(T_SuiviTw[[#This Row],[NumL]],T_suiviDi[#Data],COLUMN(T_suiviDi[[#This Row],[Prénom]]),FALSE)&lt;&gt;"",VLOOKUP(T_SuiviTw[[#This Row],[NumL]],T_suiviDi[#Data],COLUMN(T_suiviDi[[#This Row],[Prénom]]),FALSE),""),"")</f>
        <v/>
      </c>
      <c r="D119" s="140" t="str">
        <f>IFERROR(IF(VLOOKUP(T_SuiviTw[[#This Row],[NumL]],T_suiviDi[#Data],COLUMN(T_suiviDi[[#This Row],[Email]]),FALSE)&lt;&gt;"",VLOOKUP(T_SuiviTw[[#This Row],[NumL]],T_suiviDi[#Data],COLUMN(T_suiviDi[[#This Row],[Email]]),FALSE),""),"")</f>
        <v/>
      </c>
      <c r="E119" s="141" t="str">
        <f>IFERROR(IF(VLOOKUP(T_SuiviTw[[#This Row],[NumL]],T_suiviDi[#Data],COLUMN(T_suiviDi[[#This Row],[Nom1]]),FALSE)&lt;&gt;"",VLOOKUP(T_SuiviTw[[#This Row],[NumL]],T_suiviDi[#Data],COLUMN(T_suiviDi[[#This Row],[Nom1]]),FALSE),""),"")</f>
        <v/>
      </c>
      <c r="F119" s="141" t="str">
        <f>IFERROR(IF(VLOOKUP(T_SuiviTw[[#This Row],[NumL]],T_suiviDi[#Data],COLUMN(T_suiviDi[[#This Row],[Prénom1]]),FALSE)&lt;&gt;"",VLOOKUP(T_SuiviTw[[#This Row],[NumL]],T_suiviDi[#Data],COLUMN(T_suiviDi[[#This Row],[Prénom1]]),FALSE),""),"")</f>
        <v/>
      </c>
      <c r="G119" s="141" t="str">
        <f>IFERROR(IF(VLOOKUP(T_SuiviTw[[#This Row],[NumL]],T_suiviDi[#Data],COLUMN(T_suiviDi[[#This Row],[Email1]]),FALSE)&lt;&gt;"",VLOOKUP(T_SuiviTw[[#This Row],[NumL]],T_suiviDi[#Data],COLUMN(T_suiviDi[[#This Row],[Email1]]),FALSE),""),"")</f>
        <v/>
      </c>
      <c r="H119" s="155" t="str">
        <f t="shared" si="21"/>
        <v/>
      </c>
      <c r="I119" s="100"/>
      <c r="J119" s="156" t="str">
        <f t="shared" si="22"/>
        <v/>
      </c>
      <c r="K119" s="155" t="str">
        <f t="shared" si="23"/>
        <v/>
      </c>
      <c r="L119" s="100"/>
      <c r="M119" s="156" t="str">
        <f t="shared" ca="1" si="24"/>
        <v/>
      </c>
      <c r="N119" s="49"/>
      <c r="O119" s="49"/>
      <c r="P119" s="105" t="str">
        <f t="shared" si="25"/>
        <v/>
      </c>
      <c r="Q119" s="155" t="str">
        <f t="shared" si="26"/>
        <v/>
      </c>
      <c r="R119" s="100"/>
      <c r="S119" s="156" t="str">
        <f t="shared" ca="1" si="27"/>
        <v/>
      </c>
      <c r="T119" s="101"/>
      <c r="U119" s="101"/>
      <c r="V119" s="101"/>
      <c r="W119" s="144"/>
    </row>
    <row r="120" spans="1:23" ht="24" customHeight="1" x14ac:dyDescent="0.25">
      <c r="A120" s="90">
        <v>326</v>
      </c>
      <c r="B120" s="139" t="str">
        <f>IFERROR(IF(VLOOKUP(T_SuiviTw[[#This Row],[NumL]],T_suiviDi[#Data],COLUMN(T_suiviDi[[#This Row],[Nom]]),FALSE)&lt;&gt;"",VLOOKUP(T_SuiviTw[[#This Row],[NumL]],T_suiviDi[#Data],COLUMN(T_suiviDi[[#This Row],[Nom]]),FALSE),""),"")</f>
        <v/>
      </c>
      <c r="C120" s="139" t="str">
        <f>IFERROR(IF(VLOOKUP(T_SuiviTw[[#This Row],[NumL]],T_suiviDi[#Data],COLUMN(T_suiviDi[[#This Row],[Prénom]]),FALSE)&lt;&gt;"",VLOOKUP(T_SuiviTw[[#This Row],[NumL]],T_suiviDi[#Data],COLUMN(T_suiviDi[[#This Row],[Prénom]]),FALSE),""),"")</f>
        <v/>
      </c>
      <c r="D120" s="140" t="str">
        <f>IFERROR(IF(VLOOKUP(T_SuiviTw[[#This Row],[NumL]],T_suiviDi[#Data],COLUMN(T_suiviDi[[#This Row],[Email]]),FALSE)&lt;&gt;"",VLOOKUP(T_SuiviTw[[#This Row],[NumL]],T_suiviDi[#Data],COLUMN(T_suiviDi[[#This Row],[Email]]),FALSE),""),"")</f>
        <v/>
      </c>
      <c r="E120" s="141" t="str">
        <f>IFERROR(IF(VLOOKUP(T_SuiviTw[[#This Row],[NumL]],T_suiviDi[#Data],COLUMN(T_suiviDi[[#This Row],[Nom1]]),FALSE)&lt;&gt;"",VLOOKUP(T_SuiviTw[[#This Row],[NumL]],T_suiviDi[#Data],COLUMN(T_suiviDi[[#This Row],[Nom1]]),FALSE),""),"")</f>
        <v/>
      </c>
      <c r="F120" s="141" t="str">
        <f>IFERROR(IF(VLOOKUP(T_SuiviTw[[#This Row],[NumL]],T_suiviDi[#Data],COLUMN(T_suiviDi[[#This Row],[Prénom1]]),FALSE)&lt;&gt;"",VLOOKUP(T_SuiviTw[[#This Row],[NumL]],T_suiviDi[#Data],COLUMN(T_suiviDi[[#This Row],[Prénom1]]),FALSE),""),"")</f>
        <v/>
      </c>
      <c r="G120" s="141" t="str">
        <f>IFERROR(IF(VLOOKUP(T_SuiviTw[[#This Row],[NumL]],T_suiviDi[#Data],COLUMN(T_suiviDi[[#This Row],[Email1]]),FALSE)&lt;&gt;"",VLOOKUP(T_SuiviTw[[#This Row],[NumL]],T_suiviDi[#Data],COLUMN(T_suiviDi[[#This Row],[Email1]]),FALSE),""),"")</f>
        <v/>
      </c>
      <c r="H120" s="155" t="str">
        <f t="shared" si="21"/>
        <v/>
      </c>
      <c r="I120" s="100"/>
      <c r="J120" s="156" t="str">
        <f t="shared" si="22"/>
        <v/>
      </c>
      <c r="K120" s="155" t="str">
        <f t="shared" si="23"/>
        <v/>
      </c>
      <c r="L120" s="100"/>
      <c r="M120" s="156" t="str">
        <f t="shared" ca="1" si="24"/>
        <v/>
      </c>
      <c r="N120" s="49"/>
      <c r="O120" s="49"/>
      <c r="P120" s="105" t="str">
        <f t="shared" si="25"/>
        <v/>
      </c>
      <c r="Q120" s="155" t="str">
        <f t="shared" si="26"/>
        <v/>
      </c>
      <c r="R120" s="100"/>
      <c r="S120" s="156" t="str">
        <f t="shared" ca="1" si="27"/>
        <v/>
      </c>
      <c r="T120" s="101"/>
      <c r="U120" s="101"/>
      <c r="V120" s="101"/>
      <c r="W120" s="144"/>
    </row>
    <row r="121" spans="1:23" ht="24" customHeight="1" x14ac:dyDescent="0.25">
      <c r="A121" s="90">
        <v>343</v>
      </c>
      <c r="B121" s="139" t="str">
        <f>IFERROR(IF(VLOOKUP(T_SuiviTw[[#This Row],[NumL]],T_suiviDi[#Data],COLUMN(T_suiviDi[[#This Row],[Nom]]),FALSE)&lt;&gt;"",VLOOKUP(T_SuiviTw[[#This Row],[NumL]],T_suiviDi[#Data],COLUMN(T_suiviDi[[#This Row],[Nom]]),FALSE),""),"")</f>
        <v/>
      </c>
      <c r="C121" s="139" t="str">
        <f>IFERROR(IF(VLOOKUP(T_SuiviTw[[#This Row],[NumL]],T_suiviDi[#Data],COLUMN(T_suiviDi[[#This Row],[Prénom]]),FALSE)&lt;&gt;"",VLOOKUP(T_SuiviTw[[#This Row],[NumL]],T_suiviDi[#Data],COLUMN(T_suiviDi[[#This Row],[Prénom]]),FALSE),""),"")</f>
        <v/>
      </c>
      <c r="D121" s="140" t="str">
        <f>IFERROR(IF(VLOOKUP(T_SuiviTw[[#This Row],[NumL]],T_suiviDi[#Data],COLUMN(T_suiviDi[[#This Row],[Email]]),FALSE)&lt;&gt;"",VLOOKUP(T_SuiviTw[[#This Row],[NumL]],T_suiviDi[#Data],COLUMN(T_suiviDi[[#This Row],[Email]]),FALSE),""),"")</f>
        <v/>
      </c>
      <c r="E121" s="141" t="str">
        <f>IFERROR(IF(VLOOKUP(T_SuiviTw[[#This Row],[NumL]],T_suiviDi[#Data],COLUMN(T_suiviDi[[#This Row],[Nom1]]),FALSE)&lt;&gt;"",VLOOKUP(T_SuiviTw[[#This Row],[NumL]],T_suiviDi[#Data],COLUMN(T_suiviDi[[#This Row],[Nom1]]),FALSE),""),"")</f>
        <v/>
      </c>
      <c r="F121" s="141" t="str">
        <f>IFERROR(IF(VLOOKUP(T_SuiviTw[[#This Row],[NumL]],T_suiviDi[#Data],COLUMN(T_suiviDi[[#This Row],[Prénom1]]),FALSE)&lt;&gt;"",VLOOKUP(T_SuiviTw[[#This Row],[NumL]],T_suiviDi[#Data],COLUMN(T_suiviDi[[#This Row],[Prénom1]]),FALSE),""),"")</f>
        <v/>
      </c>
      <c r="G121" s="141" t="str">
        <f>IFERROR(IF(VLOOKUP(T_SuiviTw[[#This Row],[NumL]],T_suiviDi[#Data],COLUMN(T_suiviDi[[#This Row],[Email1]]),FALSE)&lt;&gt;"",VLOOKUP(T_SuiviTw[[#This Row],[NumL]],T_suiviDi[#Data],COLUMN(T_suiviDi[[#This Row],[Email1]]),FALSE),""),"")</f>
        <v/>
      </c>
      <c r="H121" s="155" t="str">
        <f t="shared" si="21"/>
        <v/>
      </c>
      <c r="I121" s="100"/>
      <c r="J121" s="156" t="str">
        <f t="shared" si="22"/>
        <v/>
      </c>
      <c r="K121" s="155" t="str">
        <f t="shared" si="23"/>
        <v/>
      </c>
      <c r="L121" s="100"/>
      <c r="M121" s="156" t="str">
        <f t="shared" ca="1" si="24"/>
        <v/>
      </c>
      <c r="N121" s="49"/>
      <c r="O121" s="49"/>
      <c r="P121" s="105" t="str">
        <f t="shared" si="25"/>
        <v/>
      </c>
      <c r="Q121" s="155" t="str">
        <f t="shared" si="26"/>
        <v/>
      </c>
      <c r="R121" s="100"/>
      <c r="S121" s="156" t="str">
        <f t="shared" ca="1" si="27"/>
        <v/>
      </c>
      <c r="T121" s="101"/>
      <c r="U121" s="101"/>
      <c r="V121" s="101"/>
      <c r="W121" s="144"/>
    </row>
    <row r="122" spans="1:23" ht="24" customHeight="1" x14ac:dyDescent="0.25">
      <c r="A122" s="90">
        <v>29</v>
      </c>
      <c r="B122" s="19" t="str">
        <f>IFERROR(IF(VLOOKUP(T_SuiviTw[[#This Row],[NumL]],T_suiviDi[#Data],COLUMN(T_suiviDi[[#This Row],[Nom]]),FALSE)&lt;&gt;"",VLOOKUP(T_SuiviTw[[#This Row],[NumL]],T_suiviDi[#Data],COLUMN(T_suiviDi[[#This Row],[Nom]]),FALSE),""),"")</f>
        <v/>
      </c>
      <c r="C122" s="19" t="str">
        <f>IFERROR(IF(VLOOKUP(T_SuiviTw[[#This Row],[NumL]],T_suiviDi[#Data],COLUMN(T_suiviDi[[#This Row],[Prénom]]),FALSE)&lt;&gt;"",VLOOKUP(T_SuiviTw[[#This Row],[NumL]],T_suiviDi[#Data],COLUMN(T_suiviDi[[#This Row],[Prénom]]),FALSE),""),"")</f>
        <v/>
      </c>
      <c r="D122" s="20" t="str">
        <f>IFERROR(IF(VLOOKUP(T_SuiviTw[[#This Row],[NumL]],T_suiviDi[#Data],COLUMN(T_suiviDi[[#This Row],[Email]]),FALSE)&lt;&gt;"",VLOOKUP(T_SuiviTw[[#This Row],[NumL]],T_suiviDi[#Data],COLUMN(T_suiviDi[[#This Row],[Email]]),FALSE),""),"")</f>
        <v/>
      </c>
      <c r="E122" s="274" t="str">
        <f>IFERROR(IF(VLOOKUP(T_SuiviTw[[#This Row],[NumL]],T_suiviDi[#Data],COLUMN(T_suiviDi[[#This Row],[Nom1]]),FALSE)&lt;&gt;"",VLOOKUP(T_SuiviTw[[#This Row],[NumL]],T_suiviDi[#Data],COLUMN(T_suiviDi[[#This Row],[Nom1]]),FALSE),""),"")</f>
        <v/>
      </c>
      <c r="F122" s="274" t="str">
        <f>IFERROR(IF(VLOOKUP(T_SuiviTw[[#This Row],[NumL]],T_suiviDi[#Data],COLUMN(T_suiviDi[[#This Row],[Prénom1]]),FALSE)&lt;&gt;"",VLOOKUP(T_SuiviTw[[#This Row],[NumL]],T_suiviDi[#Data],COLUMN(T_suiviDi[[#This Row],[Prénom1]]),FALSE),""),"")</f>
        <v/>
      </c>
      <c r="G122" s="274" t="str">
        <f>IFERROR(IF(VLOOKUP(T_SuiviTw[[#This Row],[NumL]],T_suiviDi[#Data],COLUMN(T_suiviDi[[#This Row],[Email1]]),FALSE)&lt;&gt;"",VLOOKUP(T_SuiviTw[[#This Row],[NumL]],T_suiviDi[#Data],COLUMN(T_suiviDi[[#This Row],[Email1]]),FALSE),""),"")</f>
        <v/>
      </c>
      <c r="H122" s="275" t="str">
        <f t="shared" si="21"/>
        <v/>
      </c>
      <c r="I122" s="100"/>
      <c r="J122" s="156" t="str">
        <f t="shared" si="22"/>
        <v/>
      </c>
      <c r="K122" s="155" t="str">
        <f t="shared" si="23"/>
        <v/>
      </c>
      <c r="L122" s="100"/>
      <c r="M122" s="156" t="str">
        <f t="shared" ca="1" si="24"/>
        <v/>
      </c>
      <c r="N122" s="49"/>
      <c r="O122" s="49"/>
      <c r="P122" s="105" t="str">
        <f t="shared" si="25"/>
        <v/>
      </c>
      <c r="Q122" s="155" t="str">
        <f t="shared" si="26"/>
        <v/>
      </c>
      <c r="R122" s="100"/>
      <c r="S122" s="156" t="str">
        <f t="shared" ca="1" si="27"/>
        <v/>
      </c>
      <c r="T122" s="101"/>
      <c r="U122" s="101"/>
      <c r="V122" s="101"/>
      <c r="W122" s="144"/>
    </row>
    <row r="123" spans="1:23" ht="24" customHeight="1" x14ac:dyDescent="0.25">
      <c r="A123" s="90">
        <v>348</v>
      </c>
      <c r="B123" s="139" t="str">
        <f>IFERROR(IF(VLOOKUP(T_SuiviTw[[#This Row],[NumL]],T_suiviDi[#Data],COLUMN(T_suiviDi[[#This Row],[Nom]]),FALSE)&lt;&gt;"",VLOOKUP(T_SuiviTw[[#This Row],[NumL]],T_suiviDi[#Data],COLUMN(T_suiviDi[[#This Row],[Nom]]),FALSE),""),"")</f>
        <v/>
      </c>
      <c r="C123" s="139" t="str">
        <f>IFERROR(IF(VLOOKUP(T_SuiviTw[[#This Row],[NumL]],T_suiviDi[#Data],COLUMN(T_suiviDi[[#This Row],[Prénom]]),FALSE)&lt;&gt;"",VLOOKUP(T_SuiviTw[[#This Row],[NumL]],T_suiviDi[#Data],COLUMN(T_suiviDi[[#This Row],[Prénom]]),FALSE),""),"")</f>
        <v/>
      </c>
      <c r="D123" s="140" t="str">
        <f>IFERROR(IF(VLOOKUP(T_SuiviTw[[#This Row],[NumL]],T_suiviDi[#Data],COLUMN(T_suiviDi[[#This Row],[Email]]),FALSE)&lt;&gt;"",VLOOKUP(T_SuiviTw[[#This Row],[NumL]],T_suiviDi[#Data],COLUMN(T_suiviDi[[#This Row],[Email]]),FALSE),""),"")</f>
        <v/>
      </c>
      <c r="E123" s="141" t="str">
        <f>IFERROR(IF(VLOOKUP(T_SuiviTw[[#This Row],[NumL]],T_suiviDi[#Data],COLUMN(T_suiviDi[[#This Row],[Nom1]]),FALSE)&lt;&gt;"",VLOOKUP(T_SuiviTw[[#This Row],[NumL]],T_suiviDi[#Data],COLUMN(T_suiviDi[[#This Row],[Nom1]]),FALSE),""),"")</f>
        <v/>
      </c>
      <c r="F123" s="141" t="str">
        <f>IFERROR(IF(VLOOKUP(T_SuiviTw[[#This Row],[NumL]],T_suiviDi[#Data],COLUMN(T_suiviDi[[#This Row],[Prénom1]]),FALSE)&lt;&gt;"",VLOOKUP(T_SuiviTw[[#This Row],[NumL]],T_suiviDi[#Data],COLUMN(T_suiviDi[[#This Row],[Prénom1]]),FALSE),""),"")</f>
        <v/>
      </c>
      <c r="G123" s="141" t="str">
        <f>IFERROR(IF(VLOOKUP(T_SuiviTw[[#This Row],[NumL]],T_suiviDi[#Data],COLUMN(T_suiviDi[[#This Row],[Email1]]),FALSE)&lt;&gt;"",VLOOKUP(T_SuiviTw[[#This Row],[NumL]],T_suiviDi[#Data],COLUMN(T_suiviDi[[#This Row],[Email1]]),FALSE),""),"")</f>
        <v/>
      </c>
      <c r="H123" s="155" t="str">
        <f t="shared" si="21"/>
        <v/>
      </c>
      <c r="I123" s="100"/>
      <c r="J123" s="156" t="str">
        <f t="shared" si="22"/>
        <v/>
      </c>
      <c r="K123" s="155" t="str">
        <f t="shared" si="23"/>
        <v/>
      </c>
      <c r="L123" s="100"/>
      <c r="M123" s="156" t="str">
        <f t="shared" ca="1" si="24"/>
        <v/>
      </c>
      <c r="N123" s="49"/>
      <c r="O123" s="49"/>
      <c r="P123" s="105" t="str">
        <f t="shared" si="25"/>
        <v/>
      </c>
      <c r="Q123" s="155" t="str">
        <f t="shared" si="26"/>
        <v/>
      </c>
      <c r="R123" s="100"/>
      <c r="S123" s="156" t="str">
        <f t="shared" ca="1" si="27"/>
        <v/>
      </c>
      <c r="T123" s="101"/>
      <c r="U123" s="101"/>
      <c r="V123" s="101"/>
      <c r="W123" s="144"/>
    </row>
    <row r="124" spans="1:23" ht="24" customHeight="1" x14ac:dyDescent="0.25">
      <c r="A124" s="90">
        <v>265</v>
      </c>
      <c r="B124" s="19" t="str">
        <f>IFERROR(IF(VLOOKUP(T_SuiviTw[[#This Row],[NumL]],T_suiviDi[#Data],COLUMN(T_suiviDi[[#This Row],[Nom]]),FALSE)&lt;&gt;"",VLOOKUP(T_SuiviTw[[#This Row],[NumL]],T_suiviDi[#Data],COLUMN(T_suiviDi[[#This Row],[Nom]]),FALSE),""),"")</f>
        <v/>
      </c>
      <c r="C124" s="19" t="str">
        <f>IFERROR(IF(VLOOKUP(T_SuiviTw[[#This Row],[NumL]],T_suiviDi[#Data],COLUMN(T_suiviDi[[#This Row],[Prénom]]),FALSE)&lt;&gt;"",VLOOKUP(T_SuiviTw[[#This Row],[NumL]],T_suiviDi[#Data],COLUMN(T_suiviDi[[#This Row],[Prénom]]),FALSE),""),"")</f>
        <v/>
      </c>
      <c r="D124" s="20" t="str">
        <f>IFERROR(IF(VLOOKUP(T_SuiviTw[[#This Row],[NumL]],T_suiviDi[#Data],COLUMN(T_suiviDi[[#This Row],[Email]]),FALSE)&lt;&gt;"",VLOOKUP(T_SuiviTw[[#This Row],[NumL]],T_suiviDi[#Data],COLUMN(T_suiviDi[[#This Row],[Email]]),FALSE),""),"")</f>
        <v/>
      </c>
      <c r="E124" s="274" t="str">
        <f>IFERROR(IF(VLOOKUP(T_SuiviTw[[#This Row],[NumL]],T_suiviDi[#Data],COLUMN(T_suiviDi[[#This Row],[Nom1]]),FALSE)&lt;&gt;"",VLOOKUP(T_SuiviTw[[#This Row],[NumL]],T_suiviDi[#Data],COLUMN(T_suiviDi[[#This Row],[Nom1]]),FALSE),""),"")</f>
        <v/>
      </c>
      <c r="F124" s="274" t="str">
        <f>IFERROR(IF(VLOOKUP(T_SuiviTw[[#This Row],[NumL]],T_suiviDi[#Data],COLUMN(T_suiviDi[[#This Row],[Prénom1]]),FALSE)&lt;&gt;"",VLOOKUP(T_SuiviTw[[#This Row],[NumL]],T_suiviDi[#Data],COLUMN(T_suiviDi[[#This Row],[Prénom1]]),FALSE),""),"")</f>
        <v/>
      </c>
      <c r="G124" s="274" t="str">
        <f>IFERROR(IF(VLOOKUP(T_SuiviTw[[#This Row],[NumL]],T_suiviDi[#Data],COLUMN(T_suiviDi[[#This Row],[Email1]]),FALSE)&lt;&gt;"",VLOOKUP(T_SuiviTw[[#This Row],[NumL]],T_suiviDi[#Data],COLUMN(T_suiviDi[[#This Row],[Email1]]),FALSE),""),"")</f>
        <v/>
      </c>
      <c r="H124" s="275" t="str">
        <f t="shared" si="21"/>
        <v/>
      </c>
      <c r="I124" s="100"/>
      <c r="J124" s="156" t="str">
        <f t="shared" si="22"/>
        <v/>
      </c>
      <c r="K124" s="155" t="str">
        <f t="shared" si="23"/>
        <v/>
      </c>
      <c r="L124" s="100"/>
      <c r="M124" s="156" t="str">
        <f t="shared" ca="1" si="24"/>
        <v/>
      </c>
      <c r="N124" s="49"/>
      <c r="O124" s="49"/>
      <c r="P124" s="105" t="str">
        <f t="shared" si="25"/>
        <v/>
      </c>
      <c r="Q124" s="155" t="str">
        <f t="shared" si="26"/>
        <v/>
      </c>
      <c r="R124" s="100"/>
      <c r="S124" s="156" t="str">
        <f t="shared" ca="1" si="27"/>
        <v/>
      </c>
      <c r="T124" s="101"/>
      <c r="U124" s="101"/>
      <c r="V124" s="101"/>
      <c r="W124" s="144"/>
    </row>
    <row r="125" spans="1:23" ht="24" customHeight="1" x14ac:dyDescent="0.25">
      <c r="A125" s="90">
        <v>263</v>
      </c>
      <c r="B125" s="19" t="str">
        <f>IFERROR(IF(VLOOKUP(T_SuiviTw[[#This Row],[NumL]],T_suiviDi[#Data],COLUMN(T_suiviDi[[#This Row],[Nom]]),FALSE)&lt;&gt;"",VLOOKUP(T_SuiviTw[[#This Row],[NumL]],T_suiviDi[#Data],COLUMN(T_suiviDi[[#This Row],[Nom]]),FALSE),""),"")</f>
        <v/>
      </c>
      <c r="C125" s="19" t="str">
        <f>IFERROR(IF(VLOOKUP(T_SuiviTw[[#This Row],[NumL]],T_suiviDi[#Data],COLUMN(T_suiviDi[[#This Row],[Prénom]]),FALSE)&lt;&gt;"",VLOOKUP(T_SuiviTw[[#This Row],[NumL]],T_suiviDi[#Data],COLUMN(T_suiviDi[[#This Row],[Prénom]]),FALSE),""),"")</f>
        <v/>
      </c>
      <c r="D125" s="20" t="str">
        <f>IFERROR(IF(VLOOKUP(T_SuiviTw[[#This Row],[NumL]],T_suiviDi[#Data],COLUMN(T_suiviDi[[#This Row],[Email]]),FALSE)&lt;&gt;"",VLOOKUP(T_SuiviTw[[#This Row],[NumL]],T_suiviDi[#Data],COLUMN(T_suiviDi[[#This Row],[Email]]),FALSE),""),"")</f>
        <v/>
      </c>
      <c r="E125" s="274" t="str">
        <f>IFERROR(IF(VLOOKUP(T_SuiviTw[[#This Row],[NumL]],T_suiviDi[#Data],COLUMN(T_suiviDi[[#This Row],[Nom1]]),FALSE)&lt;&gt;"",VLOOKUP(T_SuiviTw[[#This Row],[NumL]],T_suiviDi[#Data],COLUMN(T_suiviDi[[#This Row],[Nom1]]),FALSE),""),"")</f>
        <v/>
      </c>
      <c r="F125" s="274" t="str">
        <f>IFERROR(IF(VLOOKUP(T_SuiviTw[[#This Row],[NumL]],T_suiviDi[#Data],COLUMN(T_suiviDi[[#This Row],[Prénom1]]),FALSE)&lt;&gt;"",VLOOKUP(T_SuiviTw[[#This Row],[NumL]],T_suiviDi[#Data],COLUMN(T_suiviDi[[#This Row],[Prénom1]]),FALSE),""),"")</f>
        <v/>
      </c>
      <c r="G125" s="274" t="str">
        <f>IFERROR(IF(VLOOKUP(T_SuiviTw[[#This Row],[NumL]],T_suiviDi[#Data],COLUMN(T_suiviDi[[#This Row],[Email1]]),FALSE)&lt;&gt;"",VLOOKUP(T_SuiviTw[[#This Row],[NumL]],T_suiviDi[#Data],COLUMN(T_suiviDi[[#This Row],[Email1]]),FALSE),""),"")</f>
        <v/>
      </c>
      <c r="H125" s="275" t="str">
        <f t="shared" si="21"/>
        <v/>
      </c>
      <c r="I125" s="100"/>
      <c r="J125" s="156" t="str">
        <f t="shared" si="22"/>
        <v/>
      </c>
      <c r="K125" s="155" t="str">
        <f t="shared" si="23"/>
        <v/>
      </c>
      <c r="L125" s="100"/>
      <c r="M125" s="156" t="str">
        <f t="shared" ca="1" si="24"/>
        <v/>
      </c>
      <c r="N125" s="49"/>
      <c r="O125" s="49"/>
      <c r="P125" s="105" t="str">
        <f t="shared" si="25"/>
        <v/>
      </c>
      <c r="Q125" s="155" t="str">
        <f t="shared" si="26"/>
        <v/>
      </c>
      <c r="R125" s="100"/>
      <c r="S125" s="156" t="str">
        <f t="shared" ca="1" si="27"/>
        <v/>
      </c>
      <c r="T125" s="101"/>
      <c r="U125" s="101"/>
      <c r="V125" s="101"/>
      <c r="W125" s="144"/>
    </row>
    <row r="126" spans="1:23" ht="24" customHeight="1" x14ac:dyDescent="0.25">
      <c r="A126" s="90">
        <v>215</v>
      </c>
      <c r="B126" s="19" t="str">
        <f>IFERROR(IF(VLOOKUP(T_SuiviTw[[#This Row],[NumL]],T_suiviDi[#Data],COLUMN(T_suiviDi[[#This Row],[Nom]]),FALSE)&lt;&gt;"",VLOOKUP(T_SuiviTw[[#This Row],[NumL]],T_suiviDi[#Data],COLUMN(T_suiviDi[[#This Row],[Nom]]),FALSE),""),"")</f>
        <v/>
      </c>
      <c r="C126" s="19" t="str">
        <f>IFERROR(IF(VLOOKUP(T_SuiviTw[[#This Row],[NumL]],T_suiviDi[#Data],COLUMN(T_suiviDi[[#This Row],[Prénom]]),FALSE)&lt;&gt;"",VLOOKUP(T_SuiviTw[[#This Row],[NumL]],T_suiviDi[#Data],COLUMN(T_suiviDi[[#This Row],[Prénom]]),FALSE),""),"")</f>
        <v/>
      </c>
      <c r="D126" s="20" t="str">
        <f>IFERROR(IF(VLOOKUP(T_SuiviTw[[#This Row],[NumL]],T_suiviDi[#Data],COLUMN(T_suiviDi[[#This Row],[Email]]),FALSE)&lt;&gt;"",VLOOKUP(T_SuiviTw[[#This Row],[NumL]],T_suiviDi[#Data],COLUMN(T_suiviDi[[#This Row],[Email]]),FALSE),""),"")</f>
        <v/>
      </c>
      <c r="E126" s="274" t="str">
        <f>IFERROR(IF(VLOOKUP(T_SuiviTw[[#This Row],[NumL]],T_suiviDi[#Data],COLUMN(T_suiviDi[[#This Row],[Nom1]]),FALSE)&lt;&gt;"",VLOOKUP(T_SuiviTw[[#This Row],[NumL]],T_suiviDi[#Data],COLUMN(T_suiviDi[[#This Row],[Nom1]]),FALSE),""),"")</f>
        <v/>
      </c>
      <c r="F126" s="274" t="str">
        <f>IFERROR(IF(VLOOKUP(T_SuiviTw[[#This Row],[NumL]],T_suiviDi[#Data],COLUMN(T_suiviDi[[#This Row],[Prénom1]]),FALSE)&lt;&gt;"",VLOOKUP(T_SuiviTw[[#This Row],[NumL]],T_suiviDi[#Data],COLUMN(T_suiviDi[[#This Row],[Prénom1]]),FALSE),""),"")</f>
        <v/>
      </c>
      <c r="G126" s="274" t="str">
        <f>IFERROR(IF(VLOOKUP(T_SuiviTw[[#This Row],[NumL]],T_suiviDi[#Data],COLUMN(T_suiviDi[[#This Row],[Email1]]),FALSE)&lt;&gt;"",VLOOKUP(T_SuiviTw[[#This Row],[NumL]],T_suiviDi[#Data],COLUMN(T_suiviDi[[#This Row],[Email1]]),FALSE),""),"")</f>
        <v/>
      </c>
      <c r="H126" s="275" t="str">
        <f t="shared" si="21"/>
        <v/>
      </c>
      <c r="I126" s="100"/>
      <c r="J126" s="156" t="str">
        <f t="shared" si="22"/>
        <v/>
      </c>
      <c r="K126" s="155" t="str">
        <f t="shared" si="23"/>
        <v/>
      </c>
      <c r="L126" s="100"/>
      <c r="M126" s="156" t="str">
        <f t="shared" ca="1" si="24"/>
        <v/>
      </c>
      <c r="N126" s="49"/>
      <c r="O126" s="49"/>
      <c r="P126" s="105" t="str">
        <f t="shared" si="25"/>
        <v/>
      </c>
      <c r="Q126" s="155" t="str">
        <f t="shared" si="26"/>
        <v/>
      </c>
      <c r="R126" s="100"/>
      <c r="S126" s="156" t="str">
        <f t="shared" ca="1" si="27"/>
        <v/>
      </c>
      <c r="T126" s="101"/>
      <c r="U126" s="101"/>
      <c r="V126" s="101"/>
      <c r="W126" s="144"/>
    </row>
    <row r="127" spans="1:23" ht="24" customHeight="1" x14ac:dyDescent="0.25">
      <c r="A127" s="90">
        <v>55</v>
      </c>
      <c r="B127" s="19" t="str">
        <f>IFERROR(IF(VLOOKUP(T_SuiviTw[[#This Row],[NumL]],T_suiviDi[#Data],COLUMN(T_suiviDi[[#This Row],[Nom]]),FALSE)&lt;&gt;"",VLOOKUP(T_SuiviTw[[#This Row],[NumL]],T_suiviDi[#Data],COLUMN(T_suiviDi[[#This Row],[Nom]]),FALSE),""),"")</f>
        <v/>
      </c>
      <c r="C127" s="19" t="str">
        <f>IFERROR(IF(VLOOKUP(T_SuiviTw[[#This Row],[NumL]],T_suiviDi[#Data],COLUMN(T_suiviDi[[#This Row],[Prénom]]),FALSE)&lt;&gt;"",VLOOKUP(T_SuiviTw[[#This Row],[NumL]],T_suiviDi[#Data],COLUMN(T_suiviDi[[#This Row],[Prénom]]),FALSE),""),"")</f>
        <v/>
      </c>
      <c r="D127" s="20" t="str">
        <f>IFERROR(IF(VLOOKUP(T_SuiviTw[[#This Row],[NumL]],T_suiviDi[#Data],COLUMN(T_suiviDi[[#This Row],[Email]]),FALSE)&lt;&gt;"",VLOOKUP(T_SuiviTw[[#This Row],[NumL]],T_suiviDi[#Data],COLUMN(T_suiviDi[[#This Row],[Email]]),FALSE),""),"")</f>
        <v/>
      </c>
      <c r="E127" s="274" t="str">
        <f>IFERROR(IF(VLOOKUP(T_SuiviTw[[#This Row],[NumL]],T_suiviDi[#Data],COLUMN(T_suiviDi[[#This Row],[Nom1]]),FALSE)&lt;&gt;"",VLOOKUP(T_SuiviTw[[#This Row],[NumL]],T_suiviDi[#Data],COLUMN(T_suiviDi[[#This Row],[Nom1]]),FALSE),""),"")</f>
        <v/>
      </c>
      <c r="F127" s="274" t="str">
        <f>IFERROR(IF(VLOOKUP(T_SuiviTw[[#This Row],[NumL]],T_suiviDi[#Data],COLUMN(T_suiviDi[[#This Row],[Prénom1]]),FALSE)&lt;&gt;"",VLOOKUP(T_SuiviTw[[#This Row],[NumL]],T_suiviDi[#Data],COLUMN(T_suiviDi[[#This Row],[Prénom1]]),FALSE),""),"")</f>
        <v/>
      </c>
      <c r="G127" s="274" t="str">
        <f>IFERROR(IF(VLOOKUP(T_SuiviTw[[#This Row],[NumL]],T_suiviDi[#Data],COLUMN(T_suiviDi[[#This Row],[Email1]]),FALSE)&lt;&gt;"",VLOOKUP(T_SuiviTw[[#This Row],[NumL]],T_suiviDi[#Data],COLUMN(T_suiviDi[[#This Row],[Email1]]),FALSE),""),"")</f>
        <v/>
      </c>
      <c r="H127" s="275" t="str">
        <f t="shared" si="21"/>
        <v/>
      </c>
      <c r="I127" s="100"/>
      <c r="J127" s="156" t="str">
        <f t="shared" si="22"/>
        <v/>
      </c>
      <c r="K127" s="155" t="str">
        <f t="shared" si="23"/>
        <v/>
      </c>
      <c r="L127" s="100"/>
      <c r="M127" s="156" t="str">
        <f t="shared" ca="1" si="24"/>
        <v/>
      </c>
      <c r="N127" s="49"/>
      <c r="O127" s="49"/>
      <c r="P127" s="105" t="str">
        <f t="shared" si="25"/>
        <v/>
      </c>
      <c r="Q127" s="155" t="str">
        <f t="shared" si="26"/>
        <v/>
      </c>
      <c r="R127" s="100"/>
      <c r="S127" s="156" t="str">
        <f t="shared" ca="1" si="27"/>
        <v/>
      </c>
      <c r="T127" s="101"/>
      <c r="U127" s="101"/>
      <c r="V127" s="101"/>
      <c r="W127" s="144"/>
    </row>
    <row r="128" spans="1:23" ht="24" customHeight="1" x14ac:dyDescent="0.25">
      <c r="A128" s="90">
        <v>48</v>
      </c>
      <c r="B128" s="19" t="str">
        <f>IFERROR(IF(VLOOKUP(T_SuiviTw[[#This Row],[NumL]],T_suiviDi[#Data],COLUMN(T_suiviDi[[#This Row],[Nom]]),FALSE)&lt;&gt;"",VLOOKUP(T_SuiviTw[[#This Row],[NumL]],T_suiviDi[#Data],COLUMN(T_suiviDi[[#This Row],[Nom]]),FALSE),""),"")</f>
        <v/>
      </c>
      <c r="C128" s="19" t="str">
        <f>IFERROR(IF(VLOOKUP(T_SuiviTw[[#This Row],[NumL]],T_suiviDi[#Data],COLUMN(T_suiviDi[[#This Row],[Prénom]]),FALSE)&lt;&gt;"",VLOOKUP(T_SuiviTw[[#This Row],[NumL]],T_suiviDi[#Data],COLUMN(T_suiviDi[[#This Row],[Prénom]]),FALSE),""),"")</f>
        <v/>
      </c>
      <c r="D128" s="20" t="str">
        <f>IFERROR(IF(VLOOKUP(T_SuiviTw[[#This Row],[NumL]],T_suiviDi[#Data],COLUMN(T_suiviDi[[#This Row],[Email]]),FALSE)&lt;&gt;"",VLOOKUP(T_SuiviTw[[#This Row],[NumL]],T_suiviDi[#Data],COLUMN(T_suiviDi[[#This Row],[Email]]),FALSE),""),"")</f>
        <v/>
      </c>
      <c r="E128" s="274" t="str">
        <f>IFERROR(IF(VLOOKUP(T_SuiviTw[[#This Row],[NumL]],T_suiviDi[#Data],COLUMN(T_suiviDi[[#This Row],[Nom1]]),FALSE)&lt;&gt;"",VLOOKUP(T_SuiviTw[[#This Row],[NumL]],T_suiviDi[#Data],COLUMN(T_suiviDi[[#This Row],[Nom1]]),FALSE),""),"")</f>
        <v/>
      </c>
      <c r="F128" s="274" t="str">
        <f>IFERROR(IF(VLOOKUP(T_SuiviTw[[#This Row],[NumL]],T_suiviDi[#Data],COLUMN(T_suiviDi[[#This Row],[Prénom1]]),FALSE)&lt;&gt;"",VLOOKUP(T_SuiviTw[[#This Row],[NumL]],T_suiviDi[#Data],COLUMN(T_suiviDi[[#This Row],[Prénom1]]),FALSE),""),"")</f>
        <v/>
      </c>
      <c r="G128" s="274" t="str">
        <f>IFERROR(IF(VLOOKUP(T_SuiviTw[[#This Row],[NumL]],T_suiviDi[#Data],COLUMN(T_suiviDi[[#This Row],[Email1]]),FALSE)&lt;&gt;"",VLOOKUP(T_SuiviTw[[#This Row],[NumL]],T_suiviDi[#Data],COLUMN(T_suiviDi[[#This Row],[Email1]]),FALSE),""),"")</f>
        <v/>
      </c>
      <c r="H128" s="275" t="str">
        <f t="shared" si="21"/>
        <v/>
      </c>
      <c r="I128" s="100"/>
      <c r="J128" s="156" t="str">
        <f t="shared" si="22"/>
        <v/>
      </c>
      <c r="K128" s="155" t="str">
        <f t="shared" si="23"/>
        <v/>
      </c>
      <c r="L128" s="100"/>
      <c r="M128" s="156" t="str">
        <f t="shared" ca="1" si="24"/>
        <v/>
      </c>
      <c r="N128" s="49"/>
      <c r="O128" s="49"/>
      <c r="P128" s="105" t="str">
        <f t="shared" si="25"/>
        <v/>
      </c>
      <c r="Q128" s="155" t="str">
        <f t="shared" si="26"/>
        <v/>
      </c>
      <c r="R128" s="100"/>
      <c r="S128" s="156" t="str">
        <f t="shared" ca="1" si="27"/>
        <v/>
      </c>
      <c r="T128" s="101"/>
      <c r="U128" s="101"/>
      <c r="V128" s="101"/>
      <c r="W128" s="144"/>
    </row>
    <row r="129" spans="1:23" ht="24" customHeight="1" x14ac:dyDescent="0.25">
      <c r="A129" s="90">
        <v>13</v>
      </c>
      <c r="B129" s="19" t="str">
        <f>IFERROR(IF(VLOOKUP(T_SuiviTw[[#This Row],[NumL]],T_suiviDi[#Data],COLUMN(T_suiviDi[[#This Row],[Nom]]),FALSE)&lt;&gt;"",VLOOKUP(T_SuiviTw[[#This Row],[NumL]],T_suiviDi[#Data],COLUMN(T_suiviDi[[#This Row],[Nom]]),FALSE),""),"")</f>
        <v/>
      </c>
      <c r="C129" s="19" t="str">
        <f>IFERROR(IF(VLOOKUP(T_SuiviTw[[#This Row],[NumL]],T_suiviDi[#Data],COLUMN(T_suiviDi[[#This Row],[Prénom]]),FALSE)&lt;&gt;"",VLOOKUP(T_SuiviTw[[#This Row],[NumL]],T_suiviDi[#Data],COLUMN(T_suiviDi[[#This Row],[Prénom]]),FALSE),""),"")</f>
        <v/>
      </c>
      <c r="D129" s="20" t="str">
        <f>IFERROR(IF(VLOOKUP(T_SuiviTw[[#This Row],[NumL]],T_suiviDi[#Data],COLUMN(T_suiviDi[[#This Row],[Email]]),FALSE)&lt;&gt;"",VLOOKUP(T_SuiviTw[[#This Row],[NumL]],T_suiviDi[#Data],COLUMN(T_suiviDi[[#This Row],[Email]]),FALSE),""),"")</f>
        <v/>
      </c>
      <c r="E129" s="274" t="str">
        <f>IFERROR(IF(VLOOKUP(T_SuiviTw[[#This Row],[NumL]],T_suiviDi[#Data],COLUMN(T_suiviDi[[#This Row],[Nom1]]),FALSE)&lt;&gt;"",VLOOKUP(T_SuiviTw[[#This Row],[NumL]],T_suiviDi[#Data],COLUMN(T_suiviDi[[#This Row],[Nom1]]),FALSE),""),"")</f>
        <v/>
      </c>
      <c r="F129" s="274" t="str">
        <f>IFERROR(IF(VLOOKUP(T_SuiviTw[[#This Row],[NumL]],T_suiviDi[#Data],COLUMN(T_suiviDi[[#This Row],[Prénom1]]),FALSE)&lt;&gt;"",VLOOKUP(T_SuiviTw[[#This Row],[NumL]],T_suiviDi[#Data],COLUMN(T_suiviDi[[#This Row],[Prénom1]]),FALSE),""),"")</f>
        <v/>
      </c>
      <c r="G129" s="274" t="str">
        <f>IFERROR(IF(VLOOKUP(T_SuiviTw[[#This Row],[NumL]],T_suiviDi[#Data],COLUMN(T_suiviDi[[#This Row],[Email1]]),FALSE)&lt;&gt;"",VLOOKUP(T_SuiviTw[[#This Row],[NumL]],T_suiviDi[#Data],COLUMN(T_suiviDi[[#This Row],[Email1]]),FALSE),""),"")</f>
        <v/>
      </c>
      <c r="H129" s="275" t="str">
        <f t="shared" si="21"/>
        <v/>
      </c>
      <c r="I129" s="100"/>
      <c r="J129" s="156" t="str">
        <f t="shared" si="22"/>
        <v/>
      </c>
      <c r="K129" s="155" t="str">
        <f t="shared" si="23"/>
        <v/>
      </c>
      <c r="L129" s="100"/>
      <c r="M129" s="156" t="str">
        <f t="shared" ca="1" si="24"/>
        <v/>
      </c>
      <c r="N129" s="49"/>
      <c r="O129" s="49"/>
      <c r="P129" s="105" t="str">
        <f t="shared" si="25"/>
        <v/>
      </c>
      <c r="Q129" s="155" t="str">
        <f t="shared" si="26"/>
        <v/>
      </c>
      <c r="R129" s="100"/>
      <c r="S129" s="156" t="str">
        <f t="shared" ca="1" si="27"/>
        <v/>
      </c>
      <c r="T129" s="101"/>
      <c r="U129" s="101"/>
      <c r="V129" s="101"/>
      <c r="W129" s="144"/>
    </row>
    <row r="130" spans="1:23" ht="24" customHeight="1" x14ac:dyDescent="0.25">
      <c r="A130" s="90">
        <v>77</v>
      </c>
      <c r="B130" s="19" t="str">
        <f>IFERROR(IF(VLOOKUP(T_SuiviTw[[#This Row],[NumL]],T_suiviDi[#Data],COLUMN(T_suiviDi[[#This Row],[Nom]]),FALSE)&lt;&gt;"",VLOOKUP(T_SuiviTw[[#This Row],[NumL]],T_suiviDi[#Data],COLUMN(T_suiviDi[[#This Row],[Nom]]),FALSE),""),"")</f>
        <v/>
      </c>
      <c r="C130" s="19" t="str">
        <f>IFERROR(IF(VLOOKUP(T_SuiviTw[[#This Row],[NumL]],T_suiviDi[#Data],COLUMN(T_suiviDi[[#This Row],[Prénom]]),FALSE)&lt;&gt;"",VLOOKUP(T_SuiviTw[[#This Row],[NumL]],T_suiviDi[#Data],COLUMN(T_suiviDi[[#This Row],[Prénom]]),FALSE),""),"")</f>
        <v/>
      </c>
      <c r="D130" s="20" t="str">
        <f>IFERROR(IF(VLOOKUP(T_SuiviTw[[#This Row],[NumL]],T_suiviDi[#Data],COLUMN(T_suiviDi[[#This Row],[Email]]),FALSE)&lt;&gt;"",VLOOKUP(T_SuiviTw[[#This Row],[NumL]],T_suiviDi[#Data],COLUMN(T_suiviDi[[#This Row],[Email]]),FALSE),""),"")</f>
        <v/>
      </c>
      <c r="E130" s="274" t="str">
        <f>IFERROR(IF(VLOOKUP(T_SuiviTw[[#This Row],[NumL]],T_suiviDi[#Data],COLUMN(T_suiviDi[[#This Row],[Nom1]]),FALSE)&lt;&gt;"",VLOOKUP(T_SuiviTw[[#This Row],[NumL]],T_suiviDi[#Data],COLUMN(T_suiviDi[[#This Row],[Nom1]]),FALSE),""),"")</f>
        <v/>
      </c>
      <c r="F130" s="274" t="str">
        <f>IFERROR(IF(VLOOKUP(T_SuiviTw[[#This Row],[NumL]],T_suiviDi[#Data],COLUMN(T_suiviDi[[#This Row],[Prénom1]]),FALSE)&lt;&gt;"",VLOOKUP(T_SuiviTw[[#This Row],[NumL]],T_suiviDi[#Data],COLUMN(T_suiviDi[[#This Row],[Prénom1]]),FALSE),""),"")</f>
        <v/>
      </c>
      <c r="G130" s="274" t="str">
        <f>IFERROR(IF(VLOOKUP(T_SuiviTw[[#This Row],[NumL]],T_suiviDi[#Data],COLUMN(T_suiviDi[[#This Row],[Email1]]),FALSE)&lt;&gt;"",VLOOKUP(T_SuiviTw[[#This Row],[NumL]],T_suiviDi[#Data],COLUMN(T_suiviDi[[#This Row],[Email1]]),FALSE),""),"")</f>
        <v/>
      </c>
      <c r="H130" s="275" t="str">
        <f t="shared" si="21"/>
        <v/>
      </c>
      <c r="I130" s="100"/>
      <c r="J130" s="156" t="str">
        <f t="shared" si="22"/>
        <v/>
      </c>
      <c r="K130" s="155" t="str">
        <f t="shared" si="23"/>
        <v/>
      </c>
      <c r="L130" s="100"/>
      <c r="M130" s="156" t="str">
        <f t="shared" ca="1" si="24"/>
        <v/>
      </c>
      <c r="N130" s="49"/>
      <c r="O130" s="49"/>
      <c r="P130" s="105" t="str">
        <f t="shared" si="25"/>
        <v/>
      </c>
      <c r="Q130" s="155" t="str">
        <f t="shared" si="26"/>
        <v/>
      </c>
      <c r="R130" s="100"/>
      <c r="S130" s="156" t="str">
        <f t="shared" ca="1" si="27"/>
        <v/>
      </c>
      <c r="T130" s="101"/>
      <c r="U130" s="101"/>
      <c r="V130" s="101"/>
      <c r="W130" s="144"/>
    </row>
    <row r="131" spans="1:23" ht="24" customHeight="1" x14ac:dyDescent="0.25">
      <c r="A131" s="90">
        <v>72</v>
      </c>
      <c r="B131" s="19" t="str">
        <f>IFERROR(IF(VLOOKUP(T_SuiviTw[[#This Row],[NumL]],T_suiviDi[#Data],COLUMN(T_suiviDi[[#This Row],[Nom]]),FALSE)&lt;&gt;"",VLOOKUP(T_SuiviTw[[#This Row],[NumL]],T_suiviDi[#Data],COLUMN(T_suiviDi[[#This Row],[Nom]]),FALSE),""),"")</f>
        <v/>
      </c>
      <c r="C131" s="19" t="str">
        <f>IFERROR(IF(VLOOKUP(T_SuiviTw[[#This Row],[NumL]],T_suiviDi[#Data],COLUMN(T_suiviDi[[#This Row],[Prénom]]),FALSE)&lt;&gt;"",VLOOKUP(T_SuiviTw[[#This Row],[NumL]],T_suiviDi[#Data],COLUMN(T_suiviDi[[#This Row],[Prénom]]),FALSE),""),"")</f>
        <v/>
      </c>
      <c r="D131" s="20" t="str">
        <f>IFERROR(IF(VLOOKUP(T_SuiviTw[[#This Row],[NumL]],T_suiviDi[#Data],COLUMN(T_suiviDi[[#This Row],[Email]]),FALSE)&lt;&gt;"",VLOOKUP(T_SuiviTw[[#This Row],[NumL]],T_suiviDi[#Data],COLUMN(T_suiviDi[[#This Row],[Email]]),FALSE),""),"")</f>
        <v/>
      </c>
      <c r="E131" s="274" t="str">
        <f>IFERROR(IF(VLOOKUP(T_SuiviTw[[#This Row],[NumL]],T_suiviDi[#Data],COLUMN(T_suiviDi[[#This Row],[Nom1]]),FALSE)&lt;&gt;"",VLOOKUP(T_SuiviTw[[#This Row],[NumL]],T_suiviDi[#Data],COLUMN(T_suiviDi[[#This Row],[Nom1]]),FALSE),""),"")</f>
        <v/>
      </c>
      <c r="F131" s="274" t="str">
        <f>IFERROR(IF(VLOOKUP(T_SuiviTw[[#This Row],[NumL]],T_suiviDi[#Data],COLUMN(T_suiviDi[[#This Row],[Prénom1]]),FALSE)&lt;&gt;"",VLOOKUP(T_SuiviTw[[#This Row],[NumL]],T_suiviDi[#Data],COLUMN(T_suiviDi[[#This Row],[Prénom1]]),FALSE),""),"")</f>
        <v/>
      </c>
      <c r="G131" s="274" t="str">
        <f>IFERROR(IF(VLOOKUP(T_SuiviTw[[#This Row],[NumL]],T_suiviDi[#Data],COLUMN(T_suiviDi[[#This Row],[Email1]]),FALSE)&lt;&gt;"",VLOOKUP(T_SuiviTw[[#This Row],[NumL]],T_suiviDi[#Data],COLUMN(T_suiviDi[[#This Row],[Email1]]),FALSE),""),"")</f>
        <v/>
      </c>
      <c r="H131" s="275" t="str">
        <f t="shared" si="21"/>
        <v/>
      </c>
      <c r="I131" s="100"/>
      <c r="J131" s="156" t="str">
        <f t="shared" si="22"/>
        <v/>
      </c>
      <c r="K131" s="155" t="str">
        <f t="shared" si="23"/>
        <v/>
      </c>
      <c r="L131" s="100"/>
      <c r="M131" s="156" t="str">
        <f t="shared" ca="1" si="24"/>
        <v/>
      </c>
      <c r="N131" s="49"/>
      <c r="O131" s="49"/>
      <c r="P131" s="105" t="str">
        <f t="shared" si="25"/>
        <v/>
      </c>
      <c r="Q131" s="155" t="str">
        <f t="shared" si="26"/>
        <v/>
      </c>
      <c r="R131" s="100"/>
      <c r="S131" s="156" t="str">
        <f t="shared" ca="1" si="27"/>
        <v/>
      </c>
      <c r="T131" s="101"/>
      <c r="U131" s="101"/>
      <c r="V131" s="101"/>
      <c r="W131" s="144"/>
    </row>
    <row r="132" spans="1:23" ht="24" customHeight="1" x14ac:dyDescent="0.25">
      <c r="A132" s="90">
        <v>161</v>
      </c>
      <c r="B132" s="19" t="str">
        <f>IFERROR(IF(VLOOKUP(T_SuiviTw[[#This Row],[NumL]],T_suiviDi[#Data],COLUMN(T_suiviDi[[#This Row],[Nom]]),FALSE)&lt;&gt;"",VLOOKUP(T_SuiviTw[[#This Row],[NumL]],T_suiviDi[#Data],COLUMN(T_suiviDi[[#This Row],[Nom]]),FALSE),""),"")</f>
        <v/>
      </c>
      <c r="C132" s="19" t="str">
        <f>IFERROR(IF(VLOOKUP(T_SuiviTw[[#This Row],[NumL]],T_suiviDi[#Data],COLUMN(T_suiviDi[[#This Row],[Prénom]]),FALSE)&lt;&gt;"",VLOOKUP(T_SuiviTw[[#This Row],[NumL]],T_suiviDi[#Data],COLUMN(T_suiviDi[[#This Row],[Prénom]]),FALSE),""),"")</f>
        <v/>
      </c>
      <c r="D132" s="20" t="str">
        <f>IFERROR(IF(VLOOKUP(T_SuiviTw[[#This Row],[NumL]],T_suiviDi[#Data],COLUMN(T_suiviDi[[#This Row],[Email]]),FALSE)&lt;&gt;"",VLOOKUP(T_SuiviTw[[#This Row],[NumL]],T_suiviDi[#Data],COLUMN(T_suiviDi[[#This Row],[Email]]),FALSE),""),"")</f>
        <v/>
      </c>
      <c r="E132" s="274" t="str">
        <f>IFERROR(IF(VLOOKUP(T_SuiviTw[[#This Row],[NumL]],T_suiviDi[#Data],COLUMN(T_suiviDi[[#This Row],[Nom1]]),FALSE)&lt;&gt;"",VLOOKUP(T_SuiviTw[[#This Row],[NumL]],T_suiviDi[#Data],COLUMN(T_suiviDi[[#This Row],[Nom1]]),FALSE),""),"")</f>
        <v/>
      </c>
      <c r="F132" s="274" t="str">
        <f>IFERROR(IF(VLOOKUP(T_SuiviTw[[#This Row],[NumL]],T_suiviDi[#Data],COLUMN(T_suiviDi[[#This Row],[Prénom1]]),FALSE)&lt;&gt;"",VLOOKUP(T_SuiviTw[[#This Row],[NumL]],T_suiviDi[#Data],COLUMN(T_suiviDi[[#This Row],[Prénom1]]),FALSE),""),"")</f>
        <v/>
      </c>
      <c r="G132" s="274" t="str">
        <f>IFERROR(IF(VLOOKUP(T_SuiviTw[[#This Row],[NumL]],T_suiviDi[#Data],COLUMN(T_suiviDi[[#This Row],[Email1]]),FALSE)&lt;&gt;"",VLOOKUP(T_SuiviTw[[#This Row],[NumL]],T_suiviDi[#Data],COLUMN(T_suiviDi[[#This Row],[Email1]]),FALSE),""),"")</f>
        <v/>
      </c>
      <c r="H132" s="275" t="str">
        <f t="shared" si="21"/>
        <v/>
      </c>
      <c r="I132" s="100"/>
      <c r="J132" s="156" t="str">
        <f t="shared" si="22"/>
        <v/>
      </c>
      <c r="K132" s="155" t="str">
        <f t="shared" si="23"/>
        <v/>
      </c>
      <c r="L132" s="100"/>
      <c r="M132" s="156" t="str">
        <f t="shared" ca="1" si="24"/>
        <v/>
      </c>
      <c r="N132" s="49"/>
      <c r="O132" s="49"/>
      <c r="P132" s="105" t="str">
        <f t="shared" si="25"/>
        <v/>
      </c>
      <c r="Q132" s="155" t="str">
        <f t="shared" si="26"/>
        <v/>
      </c>
      <c r="R132" s="100"/>
      <c r="S132" s="156" t="str">
        <f t="shared" ca="1" si="27"/>
        <v/>
      </c>
      <c r="T132" s="101"/>
      <c r="U132" s="101"/>
      <c r="V132" s="101"/>
      <c r="W132" s="144"/>
    </row>
    <row r="133" spans="1:23" ht="24" customHeight="1" x14ac:dyDescent="0.25">
      <c r="A133" s="90">
        <v>324</v>
      </c>
      <c r="B133" s="139" t="str">
        <f>IFERROR(IF(VLOOKUP(T_SuiviTw[[#This Row],[NumL]],T_suiviDi[#Data],COLUMN(T_suiviDi[[#This Row],[Nom]]),FALSE)&lt;&gt;"",VLOOKUP(T_SuiviTw[[#This Row],[NumL]],T_suiviDi[#Data],COLUMN(T_suiviDi[[#This Row],[Nom]]),FALSE),""),"")</f>
        <v/>
      </c>
      <c r="C133" s="139" t="str">
        <f>IFERROR(IF(VLOOKUP(T_SuiviTw[[#This Row],[NumL]],T_suiviDi[#Data],COLUMN(T_suiviDi[[#This Row],[Prénom]]),FALSE)&lt;&gt;"",VLOOKUP(T_SuiviTw[[#This Row],[NumL]],T_suiviDi[#Data],COLUMN(T_suiviDi[[#This Row],[Prénom]]),FALSE),""),"")</f>
        <v/>
      </c>
      <c r="D133" s="140" t="str">
        <f>IFERROR(IF(VLOOKUP(T_SuiviTw[[#This Row],[NumL]],T_suiviDi[#Data],COLUMN(T_suiviDi[[#This Row],[Email]]),FALSE)&lt;&gt;"",VLOOKUP(T_SuiviTw[[#This Row],[NumL]],T_suiviDi[#Data],COLUMN(T_suiviDi[[#This Row],[Email]]),FALSE),""),"")</f>
        <v/>
      </c>
      <c r="E133" s="141" t="str">
        <f>IFERROR(IF(VLOOKUP(T_SuiviTw[[#This Row],[NumL]],T_suiviDi[#Data],COLUMN(T_suiviDi[[#This Row],[Nom1]]),FALSE)&lt;&gt;"",VLOOKUP(T_SuiviTw[[#This Row],[NumL]],T_suiviDi[#Data],COLUMN(T_suiviDi[[#This Row],[Nom1]]),FALSE),""),"")</f>
        <v/>
      </c>
      <c r="F133" s="141" t="str">
        <f>IFERROR(IF(VLOOKUP(T_SuiviTw[[#This Row],[NumL]],T_suiviDi[#Data],COLUMN(T_suiviDi[[#This Row],[Prénom1]]),FALSE)&lt;&gt;"",VLOOKUP(T_SuiviTw[[#This Row],[NumL]],T_suiviDi[#Data],COLUMN(T_suiviDi[[#This Row],[Prénom1]]),FALSE),""),"")</f>
        <v/>
      </c>
      <c r="G133" s="141" t="str">
        <f>IFERROR(IF(VLOOKUP(T_SuiviTw[[#This Row],[NumL]],T_suiviDi[#Data],COLUMN(T_suiviDi[[#This Row],[Email1]]),FALSE)&lt;&gt;"",VLOOKUP(T_SuiviTw[[#This Row],[NumL]],T_suiviDi[#Data],COLUMN(T_suiviDi[[#This Row],[Email1]]),FALSE),""),"")</f>
        <v/>
      </c>
      <c r="H133" s="155" t="str">
        <f t="shared" ref="H133:H196" si="28">IF(B133&lt;&gt;"",DateEdition,"")</f>
        <v/>
      </c>
      <c r="I133" s="100"/>
      <c r="J133" s="156" t="str">
        <f t="shared" ref="J133:J196" si="29">IF(AND(I133="",K133=""),"",IF(AND(I133&lt;&gt;"",H133&lt;&gt;""),1,3))</f>
        <v/>
      </c>
      <c r="K133" s="155" t="str">
        <f t="shared" ref="K133:K196" si="30">IF(B133&lt;&gt;"",DateFinadapt,"")</f>
        <v/>
      </c>
      <c r="L133" s="100"/>
      <c r="M133" s="156" t="str">
        <f t="shared" ref="M133:M196" ca="1" si="31">IF(OR(K133="",TODAY()&lt;K133),"",IF(L133&lt;&gt;"",1,3))</f>
        <v/>
      </c>
      <c r="N133" s="49"/>
      <c r="O133" s="49"/>
      <c r="P133" s="105" t="str">
        <f t="shared" ref="P133:P196" si="32">IF(AND(N133&lt;&gt;"",O133&lt;&gt;""),IF(MAX(N133,O133)=1,1,4),IF(OR(N133&lt;&gt;"",O133&lt;&gt;""),"?",""))</f>
        <v/>
      </c>
      <c r="Q133" s="155" t="str">
        <f t="shared" ref="Q133:Q196" si="33">IF(AND(F133&lt;&gt;"",P133=1),Datebilan2,"")</f>
        <v/>
      </c>
      <c r="R133" s="100"/>
      <c r="S133" s="156" t="str">
        <f t="shared" ref="S133:S196" ca="1" si="34">IF(OR(B133="",P133&gt;1),"",IF(R133&lt;&gt;"",1,IF(Q133&lt;=TODAY(),3,IF(Q133&lt;=TODAY()+10,2,""))))</f>
        <v/>
      </c>
      <c r="T133" s="101"/>
      <c r="U133" s="101"/>
      <c r="V133" s="101"/>
      <c r="W133" s="144"/>
    </row>
    <row r="134" spans="1:23" ht="24" customHeight="1" x14ac:dyDescent="0.25">
      <c r="A134" s="90">
        <v>322</v>
      </c>
      <c r="B134" s="139" t="str">
        <f>IFERROR(IF(VLOOKUP(T_SuiviTw[[#This Row],[NumL]],T_suiviDi[#Data],COLUMN(T_suiviDi[[#This Row],[Nom]]),FALSE)&lt;&gt;"",VLOOKUP(T_SuiviTw[[#This Row],[NumL]],T_suiviDi[#Data],COLUMN(T_suiviDi[[#This Row],[Nom]]),FALSE),""),"")</f>
        <v/>
      </c>
      <c r="C134" s="139" t="str">
        <f>IFERROR(IF(VLOOKUP(T_SuiviTw[[#This Row],[NumL]],T_suiviDi[#Data],COLUMN(T_suiviDi[[#This Row],[Prénom]]),FALSE)&lt;&gt;"",VLOOKUP(T_SuiviTw[[#This Row],[NumL]],T_suiviDi[#Data],COLUMN(T_suiviDi[[#This Row],[Prénom]]),FALSE),""),"")</f>
        <v/>
      </c>
      <c r="D134" s="140" t="str">
        <f>IFERROR(IF(VLOOKUP(T_SuiviTw[[#This Row],[NumL]],T_suiviDi[#Data],COLUMN(T_suiviDi[[#This Row],[Email]]),FALSE)&lt;&gt;"",VLOOKUP(T_SuiviTw[[#This Row],[NumL]],T_suiviDi[#Data],COLUMN(T_suiviDi[[#This Row],[Email]]),FALSE),""),"")</f>
        <v/>
      </c>
      <c r="E134" s="141" t="str">
        <f>IFERROR(IF(VLOOKUP(T_SuiviTw[[#This Row],[NumL]],T_suiviDi[#Data],COLUMN(T_suiviDi[[#This Row],[Nom1]]),FALSE)&lt;&gt;"",VLOOKUP(T_SuiviTw[[#This Row],[NumL]],T_suiviDi[#Data],COLUMN(T_suiviDi[[#This Row],[Nom1]]),FALSE),""),"")</f>
        <v/>
      </c>
      <c r="F134" s="141" t="str">
        <f>IFERROR(IF(VLOOKUP(T_SuiviTw[[#This Row],[NumL]],T_suiviDi[#Data],COLUMN(T_suiviDi[[#This Row],[Prénom1]]),FALSE)&lt;&gt;"",VLOOKUP(T_SuiviTw[[#This Row],[NumL]],T_suiviDi[#Data],COLUMN(T_suiviDi[[#This Row],[Prénom1]]),FALSE),""),"")</f>
        <v/>
      </c>
      <c r="G134" s="141" t="str">
        <f>IFERROR(IF(VLOOKUP(T_SuiviTw[[#This Row],[NumL]],T_suiviDi[#Data],COLUMN(T_suiviDi[[#This Row],[Email1]]),FALSE)&lt;&gt;"",VLOOKUP(T_SuiviTw[[#This Row],[NumL]],T_suiviDi[#Data],COLUMN(T_suiviDi[[#This Row],[Email1]]),FALSE),""),"")</f>
        <v/>
      </c>
      <c r="H134" s="155" t="str">
        <f t="shared" si="28"/>
        <v/>
      </c>
      <c r="I134" s="100"/>
      <c r="J134" s="156" t="str">
        <f t="shared" si="29"/>
        <v/>
      </c>
      <c r="K134" s="155" t="str">
        <f t="shared" si="30"/>
        <v/>
      </c>
      <c r="L134" s="100"/>
      <c r="M134" s="156" t="str">
        <f t="shared" ca="1" si="31"/>
        <v/>
      </c>
      <c r="N134" s="49"/>
      <c r="O134" s="49"/>
      <c r="P134" s="105" t="str">
        <f t="shared" si="32"/>
        <v/>
      </c>
      <c r="Q134" s="155" t="str">
        <f t="shared" si="33"/>
        <v/>
      </c>
      <c r="R134" s="100"/>
      <c r="S134" s="156" t="str">
        <f t="shared" ca="1" si="34"/>
        <v/>
      </c>
      <c r="T134" s="101"/>
      <c r="U134" s="101"/>
      <c r="V134" s="101"/>
      <c r="W134" s="144"/>
    </row>
    <row r="135" spans="1:23" ht="24" customHeight="1" x14ac:dyDescent="0.25">
      <c r="A135" s="90">
        <v>337</v>
      </c>
      <c r="B135" s="139" t="str">
        <f>IFERROR(IF(VLOOKUP(T_SuiviTw[[#This Row],[NumL]],T_suiviDi[#Data],COLUMN(T_suiviDi[[#This Row],[Nom]]),FALSE)&lt;&gt;"",VLOOKUP(T_SuiviTw[[#This Row],[NumL]],T_suiviDi[#Data],COLUMN(T_suiviDi[[#This Row],[Nom]]),FALSE),""),"")</f>
        <v/>
      </c>
      <c r="C135" s="139" t="str">
        <f>IFERROR(IF(VLOOKUP(T_SuiviTw[[#This Row],[NumL]],T_suiviDi[#Data],COLUMN(T_suiviDi[[#This Row],[Prénom]]),FALSE)&lt;&gt;"",VLOOKUP(T_SuiviTw[[#This Row],[NumL]],T_suiviDi[#Data],COLUMN(T_suiviDi[[#This Row],[Prénom]]),FALSE),""),"")</f>
        <v/>
      </c>
      <c r="D135" s="140" t="str">
        <f>IFERROR(IF(VLOOKUP(T_SuiviTw[[#This Row],[NumL]],T_suiviDi[#Data],COLUMN(T_suiviDi[[#This Row],[Email]]),FALSE)&lt;&gt;"",VLOOKUP(T_SuiviTw[[#This Row],[NumL]],T_suiviDi[#Data],COLUMN(T_suiviDi[[#This Row],[Email]]),FALSE),""),"")</f>
        <v/>
      </c>
      <c r="E135" s="141" t="str">
        <f>IFERROR(IF(VLOOKUP(T_SuiviTw[[#This Row],[NumL]],T_suiviDi[#Data],COLUMN(T_suiviDi[[#This Row],[Nom1]]),FALSE)&lt;&gt;"",VLOOKUP(T_SuiviTw[[#This Row],[NumL]],T_suiviDi[#Data],COLUMN(T_suiviDi[[#This Row],[Nom1]]),FALSE),""),"")</f>
        <v/>
      </c>
      <c r="F135" s="141" t="str">
        <f>IFERROR(IF(VLOOKUP(T_SuiviTw[[#This Row],[NumL]],T_suiviDi[#Data],COLUMN(T_suiviDi[[#This Row],[Prénom1]]),FALSE)&lt;&gt;"",VLOOKUP(T_SuiviTw[[#This Row],[NumL]],T_suiviDi[#Data],COLUMN(T_suiviDi[[#This Row],[Prénom1]]),FALSE),""),"")</f>
        <v/>
      </c>
      <c r="G135" s="141" t="str">
        <f>IFERROR(IF(VLOOKUP(T_SuiviTw[[#This Row],[NumL]],T_suiviDi[#Data],COLUMN(T_suiviDi[[#This Row],[Email1]]),FALSE)&lt;&gt;"",VLOOKUP(T_SuiviTw[[#This Row],[NumL]],T_suiviDi[#Data],COLUMN(T_suiviDi[[#This Row],[Email1]]),FALSE),""),"")</f>
        <v/>
      </c>
      <c r="H135" s="155" t="str">
        <f t="shared" si="28"/>
        <v/>
      </c>
      <c r="I135" s="100"/>
      <c r="J135" s="156" t="str">
        <f t="shared" si="29"/>
        <v/>
      </c>
      <c r="K135" s="155" t="str">
        <f t="shared" si="30"/>
        <v/>
      </c>
      <c r="L135" s="100"/>
      <c r="M135" s="156" t="str">
        <f t="shared" ca="1" si="31"/>
        <v/>
      </c>
      <c r="N135" s="49"/>
      <c r="O135" s="49"/>
      <c r="P135" s="105" t="str">
        <f t="shared" si="32"/>
        <v/>
      </c>
      <c r="Q135" s="155" t="str">
        <f t="shared" si="33"/>
        <v/>
      </c>
      <c r="R135" s="100"/>
      <c r="S135" s="156" t="str">
        <f t="shared" ca="1" si="34"/>
        <v/>
      </c>
      <c r="T135" s="101"/>
      <c r="U135" s="101"/>
      <c r="V135" s="101"/>
      <c r="W135" s="144"/>
    </row>
    <row r="136" spans="1:23" ht="24" customHeight="1" x14ac:dyDescent="0.25">
      <c r="A136" s="90">
        <v>17</v>
      </c>
      <c r="B136" s="19" t="str">
        <f>IFERROR(IF(VLOOKUP(T_SuiviTw[[#This Row],[NumL]],T_suiviDi[#Data],COLUMN(T_suiviDi[[#This Row],[Nom]]),FALSE)&lt;&gt;"",VLOOKUP(T_SuiviTw[[#This Row],[NumL]],T_suiviDi[#Data],COLUMN(T_suiviDi[[#This Row],[Nom]]),FALSE),""),"")</f>
        <v/>
      </c>
      <c r="C136" s="19" t="str">
        <f>IFERROR(IF(VLOOKUP(T_SuiviTw[[#This Row],[NumL]],T_suiviDi[#Data],COLUMN(T_suiviDi[[#This Row],[Prénom]]),FALSE)&lt;&gt;"",VLOOKUP(T_SuiviTw[[#This Row],[NumL]],T_suiviDi[#Data],COLUMN(T_suiviDi[[#This Row],[Prénom]]),FALSE),""),"")</f>
        <v/>
      </c>
      <c r="D136" s="20" t="str">
        <f>IFERROR(IF(VLOOKUP(T_SuiviTw[[#This Row],[NumL]],T_suiviDi[#Data],COLUMN(T_suiviDi[[#This Row],[Email]]),FALSE)&lt;&gt;"",VLOOKUP(T_SuiviTw[[#This Row],[NumL]],T_suiviDi[#Data],COLUMN(T_suiviDi[[#This Row],[Email]]),FALSE),""),"")</f>
        <v/>
      </c>
      <c r="E136" s="274" t="str">
        <f>IFERROR(IF(VLOOKUP(T_SuiviTw[[#This Row],[NumL]],T_suiviDi[#Data],COLUMN(T_suiviDi[[#This Row],[Nom1]]),FALSE)&lt;&gt;"",VLOOKUP(T_SuiviTw[[#This Row],[NumL]],T_suiviDi[#Data],COLUMN(T_suiviDi[[#This Row],[Nom1]]),FALSE),""),"")</f>
        <v/>
      </c>
      <c r="F136" s="274" t="str">
        <f>IFERROR(IF(VLOOKUP(T_SuiviTw[[#This Row],[NumL]],T_suiviDi[#Data],COLUMN(T_suiviDi[[#This Row],[Prénom1]]),FALSE)&lt;&gt;"",VLOOKUP(T_SuiviTw[[#This Row],[NumL]],T_suiviDi[#Data],COLUMN(T_suiviDi[[#This Row],[Prénom1]]),FALSE),""),"")</f>
        <v/>
      </c>
      <c r="G136" s="274" t="str">
        <f>IFERROR(IF(VLOOKUP(T_SuiviTw[[#This Row],[NumL]],T_suiviDi[#Data],COLUMN(T_suiviDi[[#This Row],[Email1]]),FALSE)&lt;&gt;"",VLOOKUP(T_SuiviTw[[#This Row],[NumL]],T_suiviDi[#Data],COLUMN(T_suiviDi[[#This Row],[Email1]]),FALSE),""),"")</f>
        <v/>
      </c>
      <c r="H136" s="275" t="str">
        <f t="shared" si="28"/>
        <v/>
      </c>
      <c r="I136" s="100"/>
      <c r="J136" s="156" t="str">
        <f t="shared" si="29"/>
        <v/>
      </c>
      <c r="K136" s="155" t="str">
        <f t="shared" si="30"/>
        <v/>
      </c>
      <c r="L136" s="100"/>
      <c r="M136" s="156" t="str">
        <f t="shared" ca="1" si="31"/>
        <v/>
      </c>
      <c r="N136" s="49"/>
      <c r="O136" s="49"/>
      <c r="P136" s="105" t="str">
        <f t="shared" si="32"/>
        <v/>
      </c>
      <c r="Q136" s="155" t="str">
        <f t="shared" si="33"/>
        <v/>
      </c>
      <c r="R136" s="100"/>
      <c r="S136" s="156" t="str">
        <f t="shared" ca="1" si="34"/>
        <v/>
      </c>
      <c r="T136" s="101"/>
      <c r="U136" s="101"/>
      <c r="V136" s="101"/>
      <c r="W136" s="144"/>
    </row>
    <row r="137" spans="1:23" ht="24" customHeight="1" x14ac:dyDescent="0.25">
      <c r="A137" s="90">
        <v>163</v>
      </c>
      <c r="B137" s="19" t="str">
        <f>IFERROR(IF(VLOOKUP(T_SuiviTw[[#This Row],[NumL]],T_suiviDi[#Data],COLUMN(T_suiviDi[[#This Row],[Nom]]),FALSE)&lt;&gt;"",VLOOKUP(T_SuiviTw[[#This Row],[NumL]],T_suiviDi[#Data],COLUMN(T_suiviDi[[#This Row],[Nom]]),FALSE),""),"")</f>
        <v/>
      </c>
      <c r="C137" s="19" t="str">
        <f>IFERROR(IF(VLOOKUP(T_SuiviTw[[#This Row],[NumL]],T_suiviDi[#Data],COLUMN(T_suiviDi[[#This Row],[Prénom]]),FALSE)&lt;&gt;"",VLOOKUP(T_SuiviTw[[#This Row],[NumL]],T_suiviDi[#Data],COLUMN(T_suiviDi[[#This Row],[Prénom]]),FALSE),""),"")</f>
        <v/>
      </c>
      <c r="D137" s="20" t="str">
        <f>IFERROR(IF(VLOOKUP(T_SuiviTw[[#This Row],[NumL]],T_suiviDi[#Data],COLUMN(T_suiviDi[[#This Row],[Email]]),FALSE)&lt;&gt;"",VLOOKUP(T_SuiviTw[[#This Row],[NumL]],T_suiviDi[#Data],COLUMN(T_suiviDi[[#This Row],[Email]]),FALSE),""),"")</f>
        <v/>
      </c>
      <c r="E137" s="274" t="str">
        <f>IFERROR(IF(VLOOKUP(T_SuiviTw[[#This Row],[NumL]],T_suiviDi[#Data],COLUMN(T_suiviDi[[#This Row],[Nom1]]),FALSE)&lt;&gt;"",VLOOKUP(T_SuiviTw[[#This Row],[NumL]],T_suiviDi[#Data],COLUMN(T_suiviDi[[#This Row],[Nom1]]),FALSE),""),"")</f>
        <v/>
      </c>
      <c r="F137" s="274" t="str">
        <f>IFERROR(IF(VLOOKUP(T_SuiviTw[[#This Row],[NumL]],T_suiviDi[#Data],COLUMN(T_suiviDi[[#This Row],[Prénom1]]),FALSE)&lt;&gt;"",VLOOKUP(T_SuiviTw[[#This Row],[NumL]],T_suiviDi[#Data],COLUMN(T_suiviDi[[#This Row],[Prénom1]]),FALSE),""),"")</f>
        <v/>
      </c>
      <c r="G137" s="274" t="str">
        <f>IFERROR(IF(VLOOKUP(T_SuiviTw[[#This Row],[NumL]],T_suiviDi[#Data],COLUMN(T_suiviDi[[#This Row],[Email1]]),FALSE)&lt;&gt;"",VLOOKUP(T_SuiviTw[[#This Row],[NumL]],T_suiviDi[#Data],COLUMN(T_suiviDi[[#This Row],[Email1]]),FALSE),""),"")</f>
        <v/>
      </c>
      <c r="H137" s="275" t="str">
        <f t="shared" si="28"/>
        <v/>
      </c>
      <c r="I137" s="100"/>
      <c r="J137" s="156" t="str">
        <f t="shared" si="29"/>
        <v/>
      </c>
      <c r="K137" s="155" t="str">
        <f t="shared" si="30"/>
        <v/>
      </c>
      <c r="L137" s="100"/>
      <c r="M137" s="156" t="str">
        <f t="shared" ca="1" si="31"/>
        <v/>
      </c>
      <c r="N137" s="49"/>
      <c r="O137" s="49"/>
      <c r="P137" s="105" t="str">
        <f t="shared" si="32"/>
        <v/>
      </c>
      <c r="Q137" s="155" t="str">
        <f t="shared" si="33"/>
        <v/>
      </c>
      <c r="R137" s="100"/>
      <c r="S137" s="156" t="str">
        <f t="shared" ca="1" si="34"/>
        <v/>
      </c>
      <c r="T137" s="101"/>
      <c r="U137" s="101"/>
      <c r="V137" s="101"/>
      <c r="W137" s="144"/>
    </row>
    <row r="138" spans="1:23" ht="24" customHeight="1" x14ac:dyDescent="0.25">
      <c r="A138" s="90">
        <v>79</v>
      </c>
      <c r="B138" s="19" t="str">
        <f>IFERROR(IF(VLOOKUP(T_SuiviTw[[#This Row],[NumL]],T_suiviDi[#Data],COLUMN(T_suiviDi[[#This Row],[Nom]]),FALSE)&lt;&gt;"",VLOOKUP(T_SuiviTw[[#This Row],[NumL]],T_suiviDi[#Data],COLUMN(T_suiviDi[[#This Row],[Nom]]),FALSE),""),"")</f>
        <v/>
      </c>
      <c r="C138" s="19" t="str">
        <f>IFERROR(IF(VLOOKUP(T_SuiviTw[[#This Row],[NumL]],T_suiviDi[#Data],COLUMN(T_suiviDi[[#This Row],[Prénom]]),FALSE)&lt;&gt;"",VLOOKUP(T_SuiviTw[[#This Row],[NumL]],T_suiviDi[#Data],COLUMN(T_suiviDi[[#This Row],[Prénom]]),FALSE),""),"")</f>
        <v/>
      </c>
      <c r="D138" s="20" t="str">
        <f>IFERROR(IF(VLOOKUP(T_SuiviTw[[#This Row],[NumL]],T_suiviDi[#Data],COLUMN(T_suiviDi[[#This Row],[Email]]),FALSE)&lt;&gt;"",VLOOKUP(T_SuiviTw[[#This Row],[NumL]],T_suiviDi[#Data],COLUMN(T_suiviDi[[#This Row],[Email]]),FALSE),""),"")</f>
        <v/>
      </c>
      <c r="E138" s="274" t="str">
        <f>IFERROR(IF(VLOOKUP(T_SuiviTw[[#This Row],[NumL]],T_suiviDi[#Data],COLUMN(T_suiviDi[[#This Row],[Nom1]]),FALSE)&lt;&gt;"",VLOOKUP(T_SuiviTw[[#This Row],[NumL]],T_suiviDi[#Data],COLUMN(T_suiviDi[[#This Row],[Nom1]]),FALSE),""),"")</f>
        <v/>
      </c>
      <c r="F138" s="274" t="str">
        <f>IFERROR(IF(VLOOKUP(T_SuiviTw[[#This Row],[NumL]],T_suiviDi[#Data],COLUMN(T_suiviDi[[#This Row],[Prénom1]]),FALSE)&lt;&gt;"",VLOOKUP(T_SuiviTw[[#This Row],[NumL]],T_suiviDi[#Data],COLUMN(T_suiviDi[[#This Row],[Prénom1]]),FALSE),""),"")</f>
        <v/>
      </c>
      <c r="G138" s="274" t="str">
        <f>IFERROR(IF(VLOOKUP(T_SuiviTw[[#This Row],[NumL]],T_suiviDi[#Data],COLUMN(T_suiviDi[[#This Row],[Email1]]),FALSE)&lt;&gt;"",VLOOKUP(T_SuiviTw[[#This Row],[NumL]],T_suiviDi[#Data],COLUMN(T_suiviDi[[#This Row],[Email1]]),FALSE),""),"")</f>
        <v/>
      </c>
      <c r="H138" s="275" t="str">
        <f t="shared" si="28"/>
        <v/>
      </c>
      <c r="I138" s="100"/>
      <c r="J138" s="156" t="str">
        <f t="shared" si="29"/>
        <v/>
      </c>
      <c r="K138" s="155" t="str">
        <f t="shared" si="30"/>
        <v/>
      </c>
      <c r="L138" s="100"/>
      <c r="M138" s="156" t="str">
        <f t="shared" ca="1" si="31"/>
        <v/>
      </c>
      <c r="N138" s="49"/>
      <c r="O138" s="49"/>
      <c r="P138" s="105" t="str">
        <f t="shared" si="32"/>
        <v/>
      </c>
      <c r="Q138" s="155" t="str">
        <f t="shared" si="33"/>
        <v/>
      </c>
      <c r="R138" s="100"/>
      <c r="S138" s="156" t="str">
        <f t="shared" ca="1" si="34"/>
        <v/>
      </c>
      <c r="T138" s="101"/>
      <c r="U138" s="101"/>
      <c r="V138" s="101"/>
      <c r="W138" s="144"/>
    </row>
    <row r="139" spans="1:23" ht="24" customHeight="1" x14ac:dyDescent="0.25">
      <c r="A139" s="90">
        <v>304</v>
      </c>
      <c r="B139" s="139" t="str">
        <f>IFERROR(IF(VLOOKUP(T_SuiviTw[[#This Row],[NumL]],T_suiviDi[#Data],COLUMN(T_suiviDi[[#This Row],[Nom]]),FALSE)&lt;&gt;"",VLOOKUP(T_SuiviTw[[#This Row],[NumL]],T_suiviDi[#Data],COLUMN(T_suiviDi[[#This Row],[Nom]]),FALSE),""),"")</f>
        <v/>
      </c>
      <c r="C139" s="139" t="str">
        <f>IFERROR(IF(VLOOKUP(T_SuiviTw[[#This Row],[NumL]],T_suiviDi[#Data],COLUMN(T_suiviDi[[#This Row],[Prénom]]),FALSE)&lt;&gt;"",VLOOKUP(T_SuiviTw[[#This Row],[NumL]],T_suiviDi[#Data],COLUMN(T_suiviDi[[#This Row],[Prénom]]),FALSE),""),"")</f>
        <v/>
      </c>
      <c r="D139" s="140" t="str">
        <f>IFERROR(IF(VLOOKUP(T_SuiviTw[[#This Row],[NumL]],T_suiviDi[#Data],COLUMN(T_suiviDi[[#This Row],[Email]]),FALSE)&lt;&gt;"",VLOOKUP(T_SuiviTw[[#This Row],[NumL]],T_suiviDi[#Data],COLUMN(T_suiviDi[[#This Row],[Email]]),FALSE),""),"")</f>
        <v/>
      </c>
      <c r="E139" s="141" t="str">
        <f>IFERROR(IF(VLOOKUP(T_SuiviTw[[#This Row],[NumL]],T_suiviDi[#Data],COLUMN(T_suiviDi[[#This Row],[Nom1]]),FALSE)&lt;&gt;"",VLOOKUP(T_SuiviTw[[#This Row],[NumL]],T_suiviDi[#Data],COLUMN(T_suiviDi[[#This Row],[Nom1]]),FALSE),""),"")</f>
        <v/>
      </c>
      <c r="F139" s="141" t="str">
        <f>IFERROR(IF(VLOOKUP(T_SuiviTw[[#This Row],[NumL]],T_suiviDi[#Data],COLUMN(T_suiviDi[[#This Row],[Prénom1]]),FALSE)&lt;&gt;"",VLOOKUP(T_SuiviTw[[#This Row],[NumL]],T_suiviDi[#Data],COLUMN(T_suiviDi[[#This Row],[Prénom1]]),FALSE),""),"")</f>
        <v/>
      </c>
      <c r="G139" s="141" t="str">
        <f>IFERROR(IF(VLOOKUP(T_SuiviTw[[#This Row],[NumL]],T_suiviDi[#Data],COLUMN(T_suiviDi[[#This Row],[Email1]]),FALSE)&lt;&gt;"",VLOOKUP(T_SuiviTw[[#This Row],[NumL]],T_suiviDi[#Data],COLUMN(T_suiviDi[[#This Row],[Email1]]),FALSE),""),"")</f>
        <v/>
      </c>
      <c r="H139" s="155" t="str">
        <f t="shared" si="28"/>
        <v/>
      </c>
      <c r="I139" s="100"/>
      <c r="J139" s="156" t="str">
        <f t="shared" si="29"/>
        <v/>
      </c>
      <c r="K139" s="155" t="str">
        <f t="shared" si="30"/>
        <v/>
      </c>
      <c r="L139" s="100"/>
      <c r="M139" s="156" t="str">
        <f t="shared" ca="1" si="31"/>
        <v/>
      </c>
      <c r="N139" s="49"/>
      <c r="O139" s="49"/>
      <c r="P139" s="105" t="str">
        <f t="shared" si="32"/>
        <v/>
      </c>
      <c r="Q139" s="155" t="str">
        <f t="shared" si="33"/>
        <v/>
      </c>
      <c r="R139" s="100"/>
      <c r="S139" s="156" t="str">
        <f t="shared" ca="1" si="34"/>
        <v/>
      </c>
      <c r="T139" s="101"/>
      <c r="U139" s="101"/>
      <c r="V139" s="101"/>
      <c r="W139" s="144"/>
    </row>
    <row r="140" spans="1:23" ht="24" customHeight="1" x14ac:dyDescent="0.25">
      <c r="A140" s="90">
        <v>204</v>
      </c>
      <c r="B140" s="19" t="str">
        <f>IFERROR(IF(VLOOKUP(T_SuiviTw[[#This Row],[NumL]],T_suiviDi[#Data],COLUMN(T_suiviDi[[#This Row],[Nom]]),FALSE)&lt;&gt;"",VLOOKUP(T_SuiviTw[[#This Row],[NumL]],T_suiviDi[#Data],COLUMN(T_suiviDi[[#This Row],[Nom]]),FALSE),""),"")</f>
        <v/>
      </c>
      <c r="C140" s="19" t="str">
        <f>IFERROR(IF(VLOOKUP(T_SuiviTw[[#This Row],[NumL]],T_suiviDi[#Data],COLUMN(T_suiviDi[[#This Row],[Prénom]]),FALSE)&lt;&gt;"",VLOOKUP(T_SuiviTw[[#This Row],[NumL]],T_suiviDi[#Data],COLUMN(T_suiviDi[[#This Row],[Prénom]]),FALSE),""),"")</f>
        <v/>
      </c>
      <c r="D140" s="20" t="str">
        <f>IFERROR(IF(VLOOKUP(T_SuiviTw[[#This Row],[NumL]],T_suiviDi[#Data],COLUMN(T_suiviDi[[#This Row],[Email]]),FALSE)&lt;&gt;"",VLOOKUP(T_SuiviTw[[#This Row],[NumL]],T_suiviDi[#Data],COLUMN(T_suiviDi[[#This Row],[Email]]),FALSE),""),"")</f>
        <v/>
      </c>
      <c r="E140" s="274" t="str">
        <f>IFERROR(IF(VLOOKUP(T_SuiviTw[[#This Row],[NumL]],T_suiviDi[#Data],COLUMN(T_suiviDi[[#This Row],[Nom1]]),FALSE)&lt;&gt;"",VLOOKUP(T_SuiviTw[[#This Row],[NumL]],T_suiviDi[#Data],COLUMN(T_suiviDi[[#This Row],[Nom1]]),FALSE),""),"")</f>
        <v/>
      </c>
      <c r="F140" s="274" t="str">
        <f>IFERROR(IF(VLOOKUP(T_SuiviTw[[#This Row],[NumL]],T_suiviDi[#Data],COLUMN(T_suiviDi[[#This Row],[Prénom1]]),FALSE)&lt;&gt;"",VLOOKUP(T_SuiviTw[[#This Row],[NumL]],T_suiviDi[#Data],COLUMN(T_suiviDi[[#This Row],[Prénom1]]),FALSE),""),"")</f>
        <v/>
      </c>
      <c r="G140" s="274" t="str">
        <f>IFERROR(IF(VLOOKUP(T_SuiviTw[[#This Row],[NumL]],T_suiviDi[#Data],COLUMN(T_suiviDi[[#This Row],[Email1]]),FALSE)&lt;&gt;"",VLOOKUP(T_SuiviTw[[#This Row],[NumL]],T_suiviDi[#Data],COLUMN(T_suiviDi[[#This Row],[Email1]]),FALSE),""),"")</f>
        <v/>
      </c>
      <c r="H140" s="275" t="str">
        <f t="shared" si="28"/>
        <v/>
      </c>
      <c r="I140" s="100"/>
      <c r="J140" s="156" t="str">
        <f t="shared" si="29"/>
        <v/>
      </c>
      <c r="K140" s="155" t="str">
        <f t="shared" si="30"/>
        <v/>
      </c>
      <c r="L140" s="100"/>
      <c r="M140" s="156" t="str">
        <f t="shared" ca="1" si="31"/>
        <v/>
      </c>
      <c r="N140" s="49"/>
      <c r="O140" s="49"/>
      <c r="P140" s="105" t="str">
        <f t="shared" si="32"/>
        <v/>
      </c>
      <c r="Q140" s="155" t="str">
        <f t="shared" si="33"/>
        <v/>
      </c>
      <c r="R140" s="100"/>
      <c r="S140" s="156" t="str">
        <f t="shared" ca="1" si="34"/>
        <v/>
      </c>
      <c r="T140" s="101"/>
      <c r="U140" s="101"/>
      <c r="V140" s="101"/>
      <c r="W140" s="144"/>
    </row>
    <row r="141" spans="1:23" ht="24" customHeight="1" x14ac:dyDescent="0.25">
      <c r="A141" s="90">
        <v>42</v>
      </c>
      <c r="B141" s="19" t="str">
        <f>IFERROR(IF(VLOOKUP(T_SuiviTw[[#This Row],[NumL]],T_suiviDi[#Data],COLUMN(T_suiviDi[[#This Row],[Nom]]),FALSE)&lt;&gt;"",VLOOKUP(T_SuiviTw[[#This Row],[NumL]],T_suiviDi[#Data],COLUMN(T_suiviDi[[#This Row],[Nom]]),FALSE),""),"")</f>
        <v/>
      </c>
      <c r="C141" s="19" t="str">
        <f>IFERROR(IF(VLOOKUP(T_SuiviTw[[#This Row],[NumL]],T_suiviDi[#Data],COLUMN(T_suiviDi[[#This Row],[Prénom]]),FALSE)&lt;&gt;"",VLOOKUP(T_SuiviTw[[#This Row],[NumL]],T_suiviDi[#Data],COLUMN(T_suiviDi[[#This Row],[Prénom]]),FALSE),""),"")</f>
        <v/>
      </c>
      <c r="D141" s="20" t="str">
        <f>IFERROR(IF(VLOOKUP(T_SuiviTw[[#This Row],[NumL]],T_suiviDi[#Data],COLUMN(T_suiviDi[[#This Row],[Email]]),FALSE)&lt;&gt;"",VLOOKUP(T_SuiviTw[[#This Row],[NumL]],T_suiviDi[#Data],COLUMN(T_suiviDi[[#This Row],[Email]]),FALSE),""),"")</f>
        <v/>
      </c>
      <c r="E141" s="274" t="str">
        <f>IFERROR(IF(VLOOKUP(T_SuiviTw[[#This Row],[NumL]],T_suiviDi[#Data],COLUMN(T_suiviDi[[#This Row],[Nom1]]),FALSE)&lt;&gt;"",VLOOKUP(T_SuiviTw[[#This Row],[NumL]],T_suiviDi[#Data],COLUMN(T_suiviDi[[#This Row],[Nom1]]),FALSE),""),"")</f>
        <v/>
      </c>
      <c r="F141" s="274" t="str">
        <f>IFERROR(IF(VLOOKUP(T_SuiviTw[[#This Row],[NumL]],T_suiviDi[#Data],COLUMN(T_suiviDi[[#This Row],[Prénom1]]),FALSE)&lt;&gt;"",VLOOKUP(T_SuiviTw[[#This Row],[NumL]],T_suiviDi[#Data],COLUMN(T_suiviDi[[#This Row],[Prénom1]]),FALSE),""),"")</f>
        <v/>
      </c>
      <c r="G141" s="274" t="str">
        <f>IFERROR(IF(VLOOKUP(T_SuiviTw[[#This Row],[NumL]],T_suiviDi[#Data],COLUMN(T_suiviDi[[#This Row],[Email1]]),FALSE)&lt;&gt;"",VLOOKUP(T_SuiviTw[[#This Row],[NumL]],T_suiviDi[#Data],COLUMN(T_suiviDi[[#This Row],[Email1]]),FALSE),""),"")</f>
        <v/>
      </c>
      <c r="H141" s="275" t="str">
        <f t="shared" si="28"/>
        <v/>
      </c>
      <c r="I141" s="100"/>
      <c r="J141" s="156" t="str">
        <f t="shared" si="29"/>
        <v/>
      </c>
      <c r="K141" s="155" t="str">
        <f t="shared" si="30"/>
        <v/>
      </c>
      <c r="L141" s="100"/>
      <c r="M141" s="156" t="str">
        <f t="shared" ca="1" si="31"/>
        <v/>
      </c>
      <c r="N141" s="49"/>
      <c r="O141" s="49"/>
      <c r="P141" s="105" t="str">
        <f t="shared" si="32"/>
        <v/>
      </c>
      <c r="Q141" s="155" t="str">
        <f t="shared" si="33"/>
        <v/>
      </c>
      <c r="R141" s="100"/>
      <c r="S141" s="156" t="str">
        <f t="shared" ca="1" si="34"/>
        <v/>
      </c>
      <c r="T141" s="101"/>
      <c r="U141" s="101"/>
      <c r="V141" s="101"/>
      <c r="W141" s="144"/>
    </row>
    <row r="142" spans="1:23" ht="24" customHeight="1" x14ac:dyDescent="0.25">
      <c r="A142" s="90">
        <v>241</v>
      </c>
      <c r="B142" s="19" t="str">
        <f>IFERROR(IF(VLOOKUP(T_SuiviTw[[#This Row],[NumL]],T_suiviDi[#Data],COLUMN(T_suiviDi[[#This Row],[Nom]]),FALSE)&lt;&gt;"",VLOOKUP(T_SuiviTw[[#This Row],[NumL]],T_suiviDi[#Data],COLUMN(T_suiviDi[[#This Row],[Nom]]),FALSE),""),"")</f>
        <v/>
      </c>
      <c r="C142" s="19" t="str">
        <f>IFERROR(IF(VLOOKUP(T_SuiviTw[[#This Row],[NumL]],T_suiviDi[#Data],COLUMN(T_suiviDi[[#This Row],[Prénom]]),FALSE)&lt;&gt;"",VLOOKUP(T_SuiviTw[[#This Row],[NumL]],T_suiviDi[#Data],COLUMN(T_suiviDi[[#This Row],[Prénom]]),FALSE),""),"")</f>
        <v/>
      </c>
      <c r="D142" s="20" t="str">
        <f>IFERROR(IF(VLOOKUP(T_SuiviTw[[#This Row],[NumL]],T_suiviDi[#Data],COLUMN(T_suiviDi[[#This Row],[Email]]),FALSE)&lt;&gt;"",VLOOKUP(T_SuiviTw[[#This Row],[NumL]],T_suiviDi[#Data],COLUMN(T_suiviDi[[#This Row],[Email]]),FALSE),""),"")</f>
        <v/>
      </c>
      <c r="E142" s="274" t="str">
        <f>IFERROR(IF(VLOOKUP(T_SuiviTw[[#This Row],[NumL]],T_suiviDi[#Data],COLUMN(T_suiviDi[[#This Row],[Nom1]]),FALSE)&lt;&gt;"",VLOOKUP(T_SuiviTw[[#This Row],[NumL]],T_suiviDi[#Data],COLUMN(T_suiviDi[[#This Row],[Nom1]]),FALSE),""),"")</f>
        <v/>
      </c>
      <c r="F142" s="274" t="str">
        <f>IFERROR(IF(VLOOKUP(T_SuiviTw[[#This Row],[NumL]],T_suiviDi[#Data],COLUMN(T_suiviDi[[#This Row],[Prénom1]]),FALSE)&lt;&gt;"",VLOOKUP(T_SuiviTw[[#This Row],[NumL]],T_suiviDi[#Data],COLUMN(T_suiviDi[[#This Row],[Prénom1]]),FALSE),""),"")</f>
        <v/>
      </c>
      <c r="G142" s="274" t="str">
        <f>IFERROR(IF(VLOOKUP(T_SuiviTw[[#This Row],[NumL]],T_suiviDi[#Data],COLUMN(T_suiviDi[[#This Row],[Email1]]),FALSE)&lt;&gt;"",VLOOKUP(T_SuiviTw[[#This Row],[NumL]],T_suiviDi[#Data],COLUMN(T_suiviDi[[#This Row],[Email1]]),FALSE),""),"")</f>
        <v/>
      </c>
      <c r="H142" s="275" t="str">
        <f t="shared" si="28"/>
        <v/>
      </c>
      <c r="I142" s="100"/>
      <c r="J142" s="156" t="str">
        <f t="shared" si="29"/>
        <v/>
      </c>
      <c r="K142" s="155" t="str">
        <f t="shared" si="30"/>
        <v/>
      </c>
      <c r="L142" s="100"/>
      <c r="M142" s="156" t="str">
        <f t="shared" ca="1" si="31"/>
        <v/>
      </c>
      <c r="N142" s="49"/>
      <c r="O142" s="49"/>
      <c r="P142" s="105" t="str">
        <f t="shared" si="32"/>
        <v/>
      </c>
      <c r="Q142" s="155" t="str">
        <f t="shared" si="33"/>
        <v/>
      </c>
      <c r="R142" s="100"/>
      <c r="S142" s="156" t="str">
        <f t="shared" ca="1" si="34"/>
        <v/>
      </c>
      <c r="T142" s="101"/>
      <c r="U142" s="101"/>
      <c r="V142" s="101"/>
      <c r="W142" s="144"/>
    </row>
    <row r="143" spans="1:23" ht="24" customHeight="1" x14ac:dyDescent="0.25">
      <c r="A143" s="90">
        <v>196</v>
      </c>
      <c r="B143" s="19" t="str">
        <f>IFERROR(IF(VLOOKUP(T_SuiviTw[[#This Row],[NumL]],T_suiviDi[#Data],COLUMN(T_suiviDi[[#This Row],[Nom]]),FALSE)&lt;&gt;"",VLOOKUP(T_SuiviTw[[#This Row],[NumL]],T_suiviDi[#Data],COLUMN(T_suiviDi[[#This Row],[Nom]]),FALSE),""),"")</f>
        <v/>
      </c>
      <c r="C143" s="19" t="str">
        <f>IFERROR(IF(VLOOKUP(T_SuiviTw[[#This Row],[NumL]],T_suiviDi[#Data],COLUMN(T_suiviDi[[#This Row],[Prénom]]),FALSE)&lt;&gt;"",VLOOKUP(T_SuiviTw[[#This Row],[NumL]],T_suiviDi[#Data],COLUMN(T_suiviDi[[#This Row],[Prénom]]),FALSE),""),"")</f>
        <v/>
      </c>
      <c r="D143" s="20" t="str">
        <f>IFERROR(IF(VLOOKUP(T_SuiviTw[[#This Row],[NumL]],T_suiviDi[#Data],COLUMN(T_suiviDi[[#This Row],[Email]]),FALSE)&lt;&gt;"",VLOOKUP(T_SuiviTw[[#This Row],[NumL]],T_suiviDi[#Data],COLUMN(T_suiviDi[[#This Row],[Email]]),FALSE),""),"")</f>
        <v/>
      </c>
      <c r="E143" s="274" t="str">
        <f>IFERROR(IF(VLOOKUP(T_SuiviTw[[#This Row],[NumL]],T_suiviDi[#Data],COLUMN(T_suiviDi[[#This Row],[Nom1]]),FALSE)&lt;&gt;"",VLOOKUP(T_SuiviTw[[#This Row],[NumL]],T_suiviDi[#Data],COLUMN(T_suiviDi[[#This Row],[Nom1]]),FALSE),""),"")</f>
        <v/>
      </c>
      <c r="F143" s="274" t="str">
        <f>IFERROR(IF(VLOOKUP(T_SuiviTw[[#This Row],[NumL]],T_suiviDi[#Data],COLUMN(T_suiviDi[[#This Row],[Prénom1]]),FALSE)&lt;&gt;"",VLOOKUP(T_SuiviTw[[#This Row],[NumL]],T_suiviDi[#Data],COLUMN(T_suiviDi[[#This Row],[Prénom1]]),FALSE),""),"")</f>
        <v/>
      </c>
      <c r="G143" s="274" t="str">
        <f>IFERROR(IF(VLOOKUP(T_SuiviTw[[#This Row],[NumL]],T_suiviDi[#Data],COLUMN(T_suiviDi[[#This Row],[Email1]]),FALSE)&lt;&gt;"",VLOOKUP(T_SuiviTw[[#This Row],[NumL]],T_suiviDi[#Data],COLUMN(T_suiviDi[[#This Row],[Email1]]),FALSE),""),"")</f>
        <v/>
      </c>
      <c r="H143" s="275" t="str">
        <f t="shared" si="28"/>
        <v/>
      </c>
      <c r="I143" s="100"/>
      <c r="J143" s="156" t="str">
        <f t="shared" si="29"/>
        <v/>
      </c>
      <c r="K143" s="155" t="str">
        <f t="shared" si="30"/>
        <v/>
      </c>
      <c r="L143" s="100"/>
      <c r="M143" s="156" t="str">
        <f t="shared" ca="1" si="31"/>
        <v/>
      </c>
      <c r="N143" s="49"/>
      <c r="O143" s="49"/>
      <c r="P143" s="105" t="str">
        <f t="shared" si="32"/>
        <v/>
      </c>
      <c r="Q143" s="155" t="str">
        <f t="shared" si="33"/>
        <v/>
      </c>
      <c r="R143" s="100"/>
      <c r="S143" s="156" t="str">
        <f t="shared" ca="1" si="34"/>
        <v/>
      </c>
      <c r="T143" s="101"/>
      <c r="U143" s="101"/>
      <c r="V143" s="101"/>
      <c r="W143" s="144"/>
    </row>
    <row r="144" spans="1:23" ht="24" customHeight="1" x14ac:dyDescent="0.25">
      <c r="A144" s="90">
        <v>47</v>
      </c>
      <c r="B144" s="19" t="str">
        <f>IFERROR(IF(VLOOKUP(T_SuiviTw[[#This Row],[NumL]],T_suiviDi[#Data],COLUMN(T_suiviDi[[#This Row],[Nom]]),FALSE)&lt;&gt;"",VLOOKUP(T_SuiviTw[[#This Row],[NumL]],T_suiviDi[#Data],COLUMN(T_suiviDi[[#This Row],[Nom]]),FALSE),""),"")</f>
        <v/>
      </c>
      <c r="C144" s="19" t="str">
        <f>IFERROR(IF(VLOOKUP(T_SuiviTw[[#This Row],[NumL]],T_suiviDi[#Data],COLUMN(T_suiviDi[[#This Row],[Prénom]]),FALSE)&lt;&gt;"",VLOOKUP(T_SuiviTw[[#This Row],[NumL]],T_suiviDi[#Data],COLUMN(T_suiviDi[[#This Row],[Prénom]]),FALSE),""),"")</f>
        <v/>
      </c>
      <c r="D144" s="20" t="str">
        <f>IFERROR(IF(VLOOKUP(T_SuiviTw[[#This Row],[NumL]],T_suiviDi[#Data],COLUMN(T_suiviDi[[#This Row],[Email]]),FALSE)&lt;&gt;"",VLOOKUP(T_SuiviTw[[#This Row],[NumL]],T_suiviDi[#Data],COLUMN(T_suiviDi[[#This Row],[Email]]),FALSE),""),"")</f>
        <v/>
      </c>
      <c r="E144" s="274" t="str">
        <f>IFERROR(IF(VLOOKUP(T_SuiviTw[[#This Row],[NumL]],T_suiviDi[#Data],COLUMN(T_suiviDi[[#This Row],[Nom1]]),FALSE)&lt;&gt;"",VLOOKUP(T_SuiviTw[[#This Row],[NumL]],T_suiviDi[#Data],COLUMN(T_suiviDi[[#This Row],[Nom1]]),FALSE),""),"")</f>
        <v/>
      </c>
      <c r="F144" s="274" t="str">
        <f>IFERROR(IF(VLOOKUP(T_SuiviTw[[#This Row],[NumL]],T_suiviDi[#Data],COLUMN(T_suiviDi[[#This Row],[Prénom1]]),FALSE)&lt;&gt;"",VLOOKUP(T_SuiviTw[[#This Row],[NumL]],T_suiviDi[#Data],COLUMN(T_suiviDi[[#This Row],[Prénom1]]),FALSE),""),"")</f>
        <v/>
      </c>
      <c r="G144" s="274" t="str">
        <f>IFERROR(IF(VLOOKUP(T_SuiviTw[[#This Row],[NumL]],T_suiviDi[#Data],COLUMN(T_suiviDi[[#This Row],[Email1]]),FALSE)&lt;&gt;"",VLOOKUP(T_SuiviTw[[#This Row],[NumL]],T_suiviDi[#Data],COLUMN(T_suiviDi[[#This Row],[Email1]]),FALSE),""),"")</f>
        <v/>
      </c>
      <c r="H144" s="275" t="str">
        <f t="shared" si="28"/>
        <v/>
      </c>
      <c r="I144" s="100"/>
      <c r="J144" s="156" t="str">
        <f t="shared" si="29"/>
        <v/>
      </c>
      <c r="K144" s="155" t="str">
        <f t="shared" si="30"/>
        <v/>
      </c>
      <c r="L144" s="100"/>
      <c r="M144" s="156" t="str">
        <f t="shared" ca="1" si="31"/>
        <v/>
      </c>
      <c r="N144" s="49"/>
      <c r="O144" s="49"/>
      <c r="P144" s="105" t="str">
        <f t="shared" si="32"/>
        <v/>
      </c>
      <c r="Q144" s="155" t="str">
        <f t="shared" si="33"/>
        <v/>
      </c>
      <c r="R144" s="100"/>
      <c r="S144" s="156" t="str">
        <f t="shared" ca="1" si="34"/>
        <v/>
      </c>
      <c r="T144" s="101"/>
      <c r="U144" s="101"/>
      <c r="V144" s="101"/>
      <c r="W144" s="144"/>
    </row>
    <row r="145" spans="1:23" ht="24" customHeight="1" x14ac:dyDescent="0.25">
      <c r="A145" s="90">
        <v>112</v>
      </c>
      <c r="B145" s="19" t="str">
        <f>IFERROR(IF(VLOOKUP(T_SuiviTw[[#This Row],[NumL]],T_suiviDi[#Data],COLUMN(T_suiviDi[[#This Row],[Nom]]),FALSE)&lt;&gt;"",VLOOKUP(T_SuiviTw[[#This Row],[NumL]],T_suiviDi[#Data],COLUMN(T_suiviDi[[#This Row],[Nom]]),FALSE),""),"")</f>
        <v/>
      </c>
      <c r="C145" s="19" t="str">
        <f>IFERROR(IF(VLOOKUP(T_SuiviTw[[#This Row],[NumL]],T_suiviDi[#Data],COLUMN(T_suiviDi[[#This Row],[Prénom]]),FALSE)&lt;&gt;"",VLOOKUP(T_SuiviTw[[#This Row],[NumL]],T_suiviDi[#Data],COLUMN(T_suiviDi[[#This Row],[Prénom]]),FALSE),""),"")</f>
        <v/>
      </c>
      <c r="D145" s="20" t="str">
        <f>IFERROR(IF(VLOOKUP(T_SuiviTw[[#This Row],[NumL]],T_suiviDi[#Data],COLUMN(T_suiviDi[[#This Row],[Email]]),FALSE)&lt;&gt;"",VLOOKUP(T_SuiviTw[[#This Row],[NumL]],T_suiviDi[#Data],COLUMN(T_suiviDi[[#This Row],[Email]]),FALSE),""),"")</f>
        <v/>
      </c>
      <c r="E145" s="274" t="str">
        <f>IFERROR(IF(VLOOKUP(T_SuiviTw[[#This Row],[NumL]],T_suiviDi[#Data],COLUMN(T_suiviDi[[#This Row],[Nom1]]),FALSE)&lt;&gt;"",VLOOKUP(T_SuiviTw[[#This Row],[NumL]],T_suiviDi[#Data],COLUMN(T_suiviDi[[#This Row],[Nom1]]),FALSE),""),"")</f>
        <v/>
      </c>
      <c r="F145" s="274" t="str">
        <f>IFERROR(IF(VLOOKUP(T_SuiviTw[[#This Row],[NumL]],T_suiviDi[#Data],COLUMN(T_suiviDi[[#This Row],[Prénom1]]),FALSE)&lt;&gt;"",VLOOKUP(T_SuiviTw[[#This Row],[NumL]],T_suiviDi[#Data],COLUMN(T_suiviDi[[#This Row],[Prénom1]]),FALSE),""),"")</f>
        <v/>
      </c>
      <c r="G145" s="274" t="str">
        <f>IFERROR(IF(VLOOKUP(T_SuiviTw[[#This Row],[NumL]],T_suiviDi[#Data],COLUMN(T_suiviDi[[#This Row],[Email1]]),FALSE)&lt;&gt;"",VLOOKUP(T_SuiviTw[[#This Row],[NumL]],T_suiviDi[#Data],COLUMN(T_suiviDi[[#This Row],[Email1]]),FALSE),""),"")</f>
        <v/>
      </c>
      <c r="H145" s="275" t="str">
        <f t="shared" si="28"/>
        <v/>
      </c>
      <c r="I145" s="100"/>
      <c r="J145" s="156" t="str">
        <f t="shared" si="29"/>
        <v/>
      </c>
      <c r="K145" s="155" t="str">
        <f t="shared" si="30"/>
        <v/>
      </c>
      <c r="L145" s="100"/>
      <c r="M145" s="156" t="str">
        <f t="shared" ca="1" si="31"/>
        <v/>
      </c>
      <c r="N145" s="49"/>
      <c r="O145" s="49"/>
      <c r="P145" s="105" t="str">
        <f t="shared" si="32"/>
        <v/>
      </c>
      <c r="Q145" s="155" t="str">
        <f t="shared" si="33"/>
        <v/>
      </c>
      <c r="R145" s="100"/>
      <c r="S145" s="156" t="str">
        <f t="shared" ca="1" si="34"/>
        <v/>
      </c>
      <c r="T145" s="101"/>
      <c r="U145" s="101"/>
      <c r="V145" s="101"/>
      <c r="W145" s="144"/>
    </row>
    <row r="146" spans="1:23" ht="24" customHeight="1" x14ac:dyDescent="0.25">
      <c r="A146" s="90">
        <v>88</v>
      </c>
      <c r="B146" s="19" t="str">
        <f>IFERROR(IF(VLOOKUP(T_SuiviTw[[#This Row],[NumL]],T_suiviDi[#Data],COLUMN(T_suiviDi[[#This Row],[Nom]]),FALSE)&lt;&gt;"",VLOOKUP(T_SuiviTw[[#This Row],[NumL]],T_suiviDi[#Data],COLUMN(T_suiviDi[[#This Row],[Nom]]),FALSE),""),"")</f>
        <v/>
      </c>
      <c r="C146" s="19" t="str">
        <f>IFERROR(IF(VLOOKUP(T_SuiviTw[[#This Row],[NumL]],T_suiviDi[#Data],COLUMN(T_suiviDi[[#This Row],[Prénom]]),FALSE)&lt;&gt;"",VLOOKUP(T_SuiviTw[[#This Row],[NumL]],T_suiviDi[#Data],COLUMN(T_suiviDi[[#This Row],[Prénom]]),FALSE),""),"")</f>
        <v/>
      </c>
      <c r="D146" s="20" t="str">
        <f>IFERROR(IF(VLOOKUP(T_SuiviTw[[#This Row],[NumL]],T_suiviDi[#Data],COLUMN(T_suiviDi[[#This Row],[Email]]),FALSE)&lt;&gt;"",VLOOKUP(T_SuiviTw[[#This Row],[NumL]],T_suiviDi[#Data],COLUMN(T_suiviDi[[#This Row],[Email]]),FALSE),""),"")</f>
        <v/>
      </c>
      <c r="E146" s="274" t="str">
        <f>IFERROR(IF(VLOOKUP(T_SuiviTw[[#This Row],[NumL]],T_suiviDi[#Data],COLUMN(T_suiviDi[[#This Row],[Nom1]]),FALSE)&lt;&gt;"",VLOOKUP(T_SuiviTw[[#This Row],[NumL]],T_suiviDi[#Data],COLUMN(T_suiviDi[[#This Row],[Nom1]]),FALSE),""),"")</f>
        <v/>
      </c>
      <c r="F146" s="274" t="str">
        <f>IFERROR(IF(VLOOKUP(T_SuiviTw[[#This Row],[NumL]],T_suiviDi[#Data],COLUMN(T_suiviDi[[#This Row],[Prénom1]]),FALSE)&lt;&gt;"",VLOOKUP(T_SuiviTw[[#This Row],[NumL]],T_suiviDi[#Data],COLUMN(T_suiviDi[[#This Row],[Prénom1]]),FALSE),""),"")</f>
        <v/>
      </c>
      <c r="G146" s="274" t="str">
        <f>IFERROR(IF(VLOOKUP(T_SuiviTw[[#This Row],[NumL]],T_suiviDi[#Data],COLUMN(T_suiviDi[[#This Row],[Email1]]),FALSE)&lt;&gt;"",VLOOKUP(T_SuiviTw[[#This Row],[NumL]],T_suiviDi[#Data],COLUMN(T_suiviDi[[#This Row],[Email1]]),FALSE),""),"")</f>
        <v/>
      </c>
      <c r="H146" s="275" t="str">
        <f t="shared" si="28"/>
        <v/>
      </c>
      <c r="I146" s="100"/>
      <c r="J146" s="156" t="str">
        <f t="shared" si="29"/>
        <v/>
      </c>
      <c r="K146" s="155" t="str">
        <f t="shared" si="30"/>
        <v/>
      </c>
      <c r="L146" s="100"/>
      <c r="M146" s="156" t="str">
        <f t="shared" ca="1" si="31"/>
        <v/>
      </c>
      <c r="N146" s="49"/>
      <c r="O146" s="49"/>
      <c r="P146" s="105" t="str">
        <f t="shared" si="32"/>
        <v/>
      </c>
      <c r="Q146" s="155" t="str">
        <f t="shared" si="33"/>
        <v/>
      </c>
      <c r="R146" s="100"/>
      <c r="S146" s="156" t="str">
        <f t="shared" ca="1" si="34"/>
        <v/>
      </c>
      <c r="T146" s="101"/>
      <c r="U146" s="101"/>
      <c r="V146" s="101"/>
      <c r="W146" s="144"/>
    </row>
    <row r="147" spans="1:23" ht="24" customHeight="1" x14ac:dyDescent="0.25">
      <c r="A147" s="90">
        <v>11</v>
      </c>
      <c r="B147" s="19" t="str">
        <f>IFERROR(IF(VLOOKUP(T_SuiviTw[[#This Row],[NumL]],T_suiviDi[#Data],COLUMN(T_suiviDi[[#This Row],[Nom]]),FALSE)&lt;&gt;"",VLOOKUP(T_SuiviTw[[#This Row],[NumL]],T_suiviDi[#Data],COLUMN(T_suiviDi[[#This Row],[Nom]]),FALSE),""),"")</f>
        <v/>
      </c>
      <c r="C147" s="19" t="str">
        <f>IFERROR(IF(VLOOKUP(T_SuiviTw[[#This Row],[NumL]],T_suiviDi[#Data],COLUMN(T_suiviDi[[#This Row],[Prénom]]),FALSE)&lt;&gt;"",VLOOKUP(T_SuiviTw[[#This Row],[NumL]],T_suiviDi[#Data],COLUMN(T_suiviDi[[#This Row],[Prénom]]),FALSE),""),"")</f>
        <v/>
      </c>
      <c r="D147" s="20" t="str">
        <f>IFERROR(IF(VLOOKUP(T_SuiviTw[[#This Row],[NumL]],T_suiviDi[#Data],COLUMN(T_suiviDi[[#This Row],[Email]]),FALSE)&lt;&gt;"",VLOOKUP(T_SuiviTw[[#This Row],[NumL]],T_suiviDi[#Data],COLUMN(T_suiviDi[[#This Row],[Email]]),FALSE),""),"")</f>
        <v/>
      </c>
      <c r="E147" s="274" t="str">
        <f>IFERROR(IF(VLOOKUP(T_SuiviTw[[#This Row],[NumL]],T_suiviDi[#Data],COLUMN(T_suiviDi[[#This Row],[Nom1]]),FALSE)&lt;&gt;"",VLOOKUP(T_SuiviTw[[#This Row],[NumL]],T_suiviDi[#Data],COLUMN(T_suiviDi[[#This Row],[Nom1]]),FALSE),""),"")</f>
        <v/>
      </c>
      <c r="F147" s="274" t="str">
        <f>IFERROR(IF(VLOOKUP(T_SuiviTw[[#This Row],[NumL]],T_suiviDi[#Data],COLUMN(T_suiviDi[[#This Row],[Prénom1]]),FALSE)&lt;&gt;"",VLOOKUP(T_SuiviTw[[#This Row],[NumL]],T_suiviDi[#Data],COLUMN(T_suiviDi[[#This Row],[Prénom1]]),FALSE),""),"")</f>
        <v/>
      </c>
      <c r="G147" s="274" t="str">
        <f>IFERROR(IF(VLOOKUP(T_SuiviTw[[#This Row],[NumL]],T_suiviDi[#Data],COLUMN(T_suiviDi[[#This Row],[Email1]]),FALSE)&lt;&gt;"",VLOOKUP(T_SuiviTw[[#This Row],[NumL]],T_suiviDi[#Data],COLUMN(T_suiviDi[[#This Row],[Email1]]),FALSE),""),"")</f>
        <v/>
      </c>
      <c r="H147" s="275" t="str">
        <f t="shared" si="28"/>
        <v/>
      </c>
      <c r="I147" s="100"/>
      <c r="J147" s="156" t="str">
        <f t="shared" si="29"/>
        <v/>
      </c>
      <c r="K147" s="155" t="str">
        <f t="shared" si="30"/>
        <v/>
      </c>
      <c r="L147" s="100"/>
      <c r="M147" s="156" t="str">
        <f t="shared" ca="1" si="31"/>
        <v/>
      </c>
      <c r="N147" s="49"/>
      <c r="O147" s="49"/>
      <c r="P147" s="105" t="str">
        <f t="shared" si="32"/>
        <v/>
      </c>
      <c r="Q147" s="155" t="str">
        <f t="shared" si="33"/>
        <v/>
      </c>
      <c r="R147" s="100"/>
      <c r="S147" s="156" t="str">
        <f t="shared" ca="1" si="34"/>
        <v/>
      </c>
      <c r="T147" s="101"/>
      <c r="U147" s="101"/>
      <c r="V147" s="101"/>
      <c r="W147" s="144"/>
    </row>
    <row r="148" spans="1:23" ht="24" customHeight="1" x14ac:dyDescent="0.25">
      <c r="A148" s="90">
        <v>121</v>
      </c>
      <c r="B148" s="19" t="str">
        <f>IFERROR(IF(VLOOKUP(T_SuiviTw[[#This Row],[NumL]],T_suiviDi[#Data],COLUMN(T_suiviDi[[#This Row],[Nom]]),FALSE)&lt;&gt;"",VLOOKUP(T_SuiviTw[[#This Row],[NumL]],T_suiviDi[#Data],COLUMN(T_suiviDi[[#This Row],[Nom]]),FALSE),""),"")</f>
        <v/>
      </c>
      <c r="C148" s="19" t="str">
        <f>IFERROR(IF(VLOOKUP(T_SuiviTw[[#This Row],[NumL]],T_suiviDi[#Data],COLUMN(T_suiviDi[[#This Row],[Prénom]]),FALSE)&lt;&gt;"",VLOOKUP(T_SuiviTw[[#This Row],[NumL]],T_suiviDi[#Data],COLUMN(T_suiviDi[[#This Row],[Prénom]]),FALSE),""),"")</f>
        <v/>
      </c>
      <c r="D148" s="20" t="str">
        <f>IFERROR(IF(VLOOKUP(T_SuiviTw[[#This Row],[NumL]],T_suiviDi[#Data],COLUMN(T_suiviDi[[#This Row],[Email]]),FALSE)&lt;&gt;"",VLOOKUP(T_SuiviTw[[#This Row],[NumL]],T_suiviDi[#Data],COLUMN(T_suiviDi[[#This Row],[Email]]),FALSE),""),"")</f>
        <v/>
      </c>
      <c r="E148" s="274" t="str">
        <f>IFERROR(IF(VLOOKUP(T_SuiviTw[[#This Row],[NumL]],T_suiviDi[#Data],COLUMN(T_suiviDi[[#This Row],[Nom1]]),FALSE)&lt;&gt;"",VLOOKUP(T_SuiviTw[[#This Row],[NumL]],T_suiviDi[#Data],COLUMN(T_suiviDi[[#This Row],[Nom1]]),FALSE),""),"")</f>
        <v/>
      </c>
      <c r="F148" s="274" t="str">
        <f>IFERROR(IF(VLOOKUP(T_SuiviTw[[#This Row],[NumL]],T_suiviDi[#Data],COLUMN(T_suiviDi[[#This Row],[Prénom1]]),FALSE)&lt;&gt;"",VLOOKUP(T_SuiviTw[[#This Row],[NumL]],T_suiviDi[#Data],COLUMN(T_suiviDi[[#This Row],[Prénom1]]),FALSE),""),"")</f>
        <v/>
      </c>
      <c r="G148" s="274" t="str">
        <f>IFERROR(IF(VLOOKUP(T_SuiviTw[[#This Row],[NumL]],T_suiviDi[#Data],COLUMN(T_suiviDi[[#This Row],[Email1]]),FALSE)&lt;&gt;"",VLOOKUP(T_SuiviTw[[#This Row],[NumL]],T_suiviDi[#Data],COLUMN(T_suiviDi[[#This Row],[Email1]]),FALSE),""),"")</f>
        <v/>
      </c>
      <c r="H148" s="275" t="str">
        <f t="shared" si="28"/>
        <v/>
      </c>
      <c r="I148" s="100"/>
      <c r="J148" s="156" t="str">
        <f t="shared" si="29"/>
        <v/>
      </c>
      <c r="K148" s="155" t="str">
        <f t="shared" si="30"/>
        <v/>
      </c>
      <c r="L148" s="100"/>
      <c r="M148" s="156" t="str">
        <f t="shared" ca="1" si="31"/>
        <v/>
      </c>
      <c r="N148" s="49"/>
      <c r="O148" s="49"/>
      <c r="P148" s="105" t="str">
        <f t="shared" si="32"/>
        <v/>
      </c>
      <c r="Q148" s="155" t="str">
        <f t="shared" si="33"/>
        <v/>
      </c>
      <c r="R148" s="100"/>
      <c r="S148" s="156" t="str">
        <f t="shared" ca="1" si="34"/>
        <v/>
      </c>
      <c r="T148" s="101"/>
      <c r="U148" s="101"/>
      <c r="V148" s="101"/>
      <c r="W148" s="144"/>
    </row>
    <row r="149" spans="1:23" ht="24" customHeight="1" x14ac:dyDescent="0.25">
      <c r="A149" s="90">
        <v>273</v>
      </c>
      <c r="B149" s="19" t="str">
        <f>IFERROR(IF(VLOOKUP(T_SuiviTw[[#This Row],[NumL]],T_suiviDi[#Data],COLUMN(T_suiviDi[[#This Row],[Nom]]),FALSE)&lt;&gt;"",VLOOKUP(T_SuiviTw[[#This Row],[NumL]],T_suiviDi[#Data],COLUMN(T_suiviDi[[#This Row],[Nom]]),FALSE),""),"")</f>
        <v/>
      </c>
      <c r="C149" s="19" t="str">
        <f>IFERROR(IF(VLOOKUP(T_SuiviTw[[#This Row],[NumL]],T_suiviDi[#Data],COLUMN(T_suiviDi[[#This Row],[Prénom]]),FALSE)&lt;&gt;"",VLOOKUP(T_SuiviTw[[#This Row],[NumL]],T_suiviDi[#Data],COLUMN(T_suiviDi[[#This Row],[Prénom]]),FALSE),""),"")</f>
        <v/>
      </c>
      <c r="D149" s="20" t="str">
        <f>IFERROR(IF(VLOOKUP(T_SuiviTw[[#This Row],[NumL]],T_suiviDi[#Data],COLUMN(T_suiviDi[[#This Row],[Email]]),FALSE)&lt;&gt;"",VLOOKUP(T_SuiviTw[[#This Row],[NumL]],T_suiviDi[#Data],COLUMN(T_suiviDi[[#This Row],[Email]]),FALSE),""),"")</f>
        <v/>
      </c>
      <c r="E149" s="274" t="str">
        <f>IFERROR(IF(VLOOKUP(T_SuiviTw[[#This Row],[NumL]],T_suiviDi[#Data],COLUMN(T_suiviDi[[#This Row],[Nom1]]),FALSE)&lt;&gt;"",VLOOKUP(T_SuiviTw[[#This Row],[NumL]],T_suiviDi[#Data],COLUMN(T_suiviDi[[#This Row],[Nom1]]),FALSE),""),"")</f>
        <v/>
      </c>
      <c r="F149" s="274" t="str">
        <f>IFERROR(IF(VLOOKUP(T_SuiviTw[[#This Row],[NumL]],T_suiviDi[#Data],COLUMN(T_suiviDi[[#This Row],[Prénom1]]),FALSE)&lt;&gt;"",VLOOKUP(T_SuiviTw[[#This Row],[NumL]],T_suiviDi[#Data],COLUMN(T_suiviDi[[#This Row],[Prénom1]]),FALSE),""),"")</f>
        <v/>
      </c>
      <c r="G149" s="274" t="str">
        <f>IFERROR(IF(VLOOKUP(T_SuiviTw[[#This Row],[NumL]],T_suiviDi[#Data],COLUMN(T_suiviDi[[#This Row],[Email1]]),FALSE)&lt;&gt;"",VLOOKUP(T_SuiviTw[[#This Row],[NumL]],T_suiviDi[#Data],COLUMN(T_suiviDi[[#This Row],[Email1]]),FALSE),""),"")</f>
        <v/>
      </c>
      <c r="H149" s="275" t="str">
        <f t="shared" si="28"/>
        <v/>
      </c>
      <c r="I149" s="100"/>
      <c r="J149" s="156" t="str">
        <f t="shared" si="29"/>
        <v/>
      </c>
      <c r="K149" s="155" t="str">
        <f t="shared" si="30"/>
        <v/>
      </c>
      <c r="L149" s="100"/>
      <c r="M149" s="156" t="str">
        <f t="shared" ca="1" si="31"/>
        <v/>
      </c>
      <c r="N149" s="49"/>
      <c r="O149" s="49"/>
      <c r="P149" s="105" t="str">
        <f t="shared" si="32"/>
        <v/>
      </c>
      <c r="Q149" s="155" t="str">
        <f t="shared" si="33"/>
        <v/>
      </c>
      <c r="R149" s="100"/>
      <c r="S149" s="156" t="str">
        <f t="shared" ca="1" si="34"/>
        <v/>
      </c>
      <c r="T149" s="101"/>
      <c r="U149" s="101"/>
      <c r="V149" s="101"/>
      <c r="W149" s="144"/>
    </row>
    <row r="150" spans="1:23" ht="24" customHeight="1" x14ac:dyDescent="0.25">
      <c r="A150" s="90">
        <v>211</v>
      </c>
      <c r="B150" s="19" t="str">
        <f>IFERROR(IF(VLOOKUP(T_SuiviTw[[#This Row],[NumL]],T_suiviDi[#Data],COLUMN(T_suiviDi[[#This Row],[Nom]]),FALSE)&lt;&gt;"",VLOOKUP(T_SuiviTw[[#This Row],[NumL]],T_suiviDi[#Data],COLUMN(T_suiviDi[[#This Row],[Nom]]),FALSE),""),"")</f>
        <v/>
      </c>
      <c r="C150" s="19" t="str">
        <f>IFERROR(IF(VLOOKUP(T_SuiviTw[[#This Row],[NumL]],T_suiviDi[#Data],COLUMN(T_suiviDi[[#This Row],[Prénom]]),FALSE)&lt;&gt;"",VLOOKUP(T_SuiviTw[[#This Row],[NumL]],T_suiviDi[#Data],COLUMN(T_suiviDi[[#This Row],[Prénom]]),FALSE),""),"")</f>
        <v/>
      </c>
      <c r="D150" s="20" t="str">
        <f>IFERROR(IF(VLOOKUP(T_SuiviTw[[#This Row],[NumL]],T_suiviDi[#Data],COLUMN(T_suiviDi[[#This Row],[Email]]),FALSE)&lt;&gt;"",VLOOKUP(T_SuiviTw[[#This Row],[NumL]],T_suiviDi[#Data],COLUMN(T_suiviDi[[#This Row],[Email]]),FALSE),""),"")</f>
        <v/>
      </c>
      <c r="E150" s="274" t="str">
        <f>IFERROR(IF(VLOOKUP(T_SuiviTw[[#This Row],[NumL]],T_suiviDi[#Data],COLUMN(T_suiviDi[[#This Row],[Nom1]]),FALSE)&lt;&gt;"",VLOOKUP(T_SuiviTw[[#This Row],[NumL]],T_suiviDi[#Data],COLUMN(T_suiviDi[[#This Row],[Nom1]]),FALSE),""),"")</f>
        <v/>
      </c>
      <c r="F150" s="274" t="str">
        <f>IFERROR(IF(VLOOKUP(T_SuiviTw[[#This Row],[NumL]],T_suiviDi[#Data],COLUMN(T_suiviDi[[#This Row],[Prénom1]]),FALSE)&lt;&gt;"",VLOOKUP(T_SuiviTw[[#This Row],[NumL]],T_suiviDi[#Data],COLUMN(T_suiviDi[[#This Row],[Prénom1]]),FALSE),""),"")</f>
        <v/>
      </c>
      <c r="G150" s="274" t="str">
        <f>IFERROR(IF(VLOOKUP(T_SuiviTw[[#This Row],[NumL]],T_suiviDi[#Data],COLUMN(T_suiviDi[[#This Row],[Email1]]),FALSE)&lt;&gt;"",VLOOKUP(T_SuiviTw[[#This Row],[NumL]],T_suiviDi[#Data],COLUMN(T_suiviDi[[#This Row],[Email1]]),FALSE),""),"")</f>
        <v/>
      </c>
      <c r="H150" s="275" t="str">
        <f t="shared" si="28"/>
        <v/>
      </c>
      <c r="I150" s="100"/>
      <c r="J150" s="156" t="str">
        <f t="shared" si="29"/>
        <v/>
      </c>
      <c r="K150" s="155" t="str">
        <f t="shared" si="30"/>
        <v/>
      </c>
      <c r="L150" s="100"/>
      <c r="M150" s="156" t="str">
        <f t="shared" ca="1" si="31"/>
        <v/>
      </c>
      <c r="N150" s="49"/>
      <c r="O150" s="49"/>
      <c r="P150" s="105" t="str">
        <f t="shared" si="32"/>
        <v/>
      </c>
      <c r="Q150" s="155" t="str">
        <f t="shared" si="33"/>
        <v/>
      </c>
      <c r="R150" s="100"/>
      <c r="S150" s="156" t="str">
        <f t="shared" ca="1" si="34"/>
        <v/>
      </c>
      <c r="T150" s="101"/>
      <c r="U150" s="101"/>
      <c r="V150" s="101"/>
      <c r="W150" s="144"/>
    </row>
    <row r="151" spans="1:23" ht="24" customHeight="1" x14ac:dyDescent="0.25">
      <c r="A151" s="90">
        <v>186</v>
      </c>
      <c r="B151" s="19" t="str">
        <f>IFERROR(IF(VLOOKUP(T_SuiviTw[[#This Row],[NumL]],T_suiviDi[#Data],COLUMN(T_suiviDi[[#This Row],[Nom]]),FALSE)&lt;&gt;"",VLOOKUP(T_SuiviTw[[#This Row],[NumL]],T_suiviDi[#Data],COLUMN(T_suiviDi[[#This Row],[Nom]]),FALSE),""),"")</f>
        <v/>
      </c>
      <c r="C151" s="19" t="str">
        <f>IFERROR(IF(VLOOKUP(T_SuiviTw[[#This Row],[NumL]],T_suiviDi[#Data],COLUMN(T_suiviDi[[#This Row],[Prénom]]),FALSE)&lt;&gt;"",VLOOKUP(T_SuiviTw[[#This Row],[NumL]],T_suiviDi[#Data],COLUMN(T_suiviDi[[#This Row],[Prénom]]),FALSE),""),"")</f>
        <v/>
      </c>
      <c r="D151" s="20" t="str">
        <f>IFERROR(IF(VLOOKUP(T_SuiviTw[[#This Row],[NumL]],T_suiviDi[#Data],COLUMN(T_suiviDi[[#This Row],[Email]]),FALSE)&lt;&gt;"",VLOOKUP(T_SuiviTw[[#This Row],[NumL]],T_suiviDi[#Data],COLUMN(T_suiviDi[[#This Row],[Email]]),FALSE),""),"")</f>
        <v/>
      </c>
      <c r="E151" s="274" t="str">
        <f>IFERROR(IF(VLOOKUP(T_SuiviTw[[#This Row],[NumL]],T_suiviDi[#Data],COLUMN(T_suiviDi[[#This Row],[Nom1]]),FALSE)&lt;&gt;"",VLOOKUP(T_SuiviTw[[#This Row],[NumL]],T_suiviDi[#Data],COLUMN(T_suiviDi[[#This Row],[Nom1]]),FALSE),""),"")</f>
        <v/>
      </c>
      <c r="F151" s="274" t="str">
        <f>IFERROR(IF(VLOOKUP(T_SuiviTw[[#This Row],[NumL]],T_suiviDi[#Data],COLUMN(T_suiviDi[[#This Row],[Prénom1]]),FALSE)&lt;&gt;"",VLOOKUP(T_SuiviTw[[#This Row],[NumL]],T_suiviDi[#Data],COLUMN(T_suiviDi[[#This Row],[Prénom1]]),FALSE),""),"")</f>
        <v/>
      </c>
      <c r="G151" s="274" t="str">
        <f>IFERROR(IF(VLOOKUP(T_SuiviTw[[#This Row],[NumL]],T_suiviDi[#Data],COLUMN(T_suiviDi[[#This Row],[Email1]]),FALSE)&lt;&gt;"",VLOOKUP(T_SuiviTw[[#This Row],[NumL]],T_suiviDi[#Data],COLUMN(T_suiviDi[[#This Row],[Email1]]),FALSE),""),"")</f>
        <v/>
      </c>
      <c r="H151" s="275" t="str">
        <f t="shared" si="28"/>
        <v/>
      </c>
      <c r="I151" s="100"/>
      <c r="J151" s="156" t="str">
        <f t="shared" si="29"/>
        <v/>
      </c>
      <c r="K151" s="155" t="str">
        <f t="shared" si="30"/>
        <v/>
      </c>
      <c r="L151" s="100"/>
      <c r="M151" s="156" t="str">
        <f t="shared" ca="1" si="31"/>
        <v/>
      </c>
      <c r="N151" s="49"/>
      <c r="O151" s="49"/>
      <c r="P151" s="105" t="str">
        <f t="shared" si="32"/>
        <v/>
      </c>
      <c r="Q151" s="155" t="str">
        <f t="shared" si="33"/>
        <v/>
      </c>
      <c r="R151" s="100"/>
      <c r="S151" s="156" t="str">
        <f t="shared" ca="1" si="34"/>
        <v/>
      </c>
      <c r="T151" s="101"/>
      <c r="U151" s="101"/>
      <c r="V151" s="101"/>
      <c r="W151" s="144"/>
    </row>
    <row r="152" spans="1:23" ht="24" customHeight="1" x14ac:dyDescent="0.25">
      <c r="A152" s="90">
        <v>355</v>
      </c>
      <c r="B152" s="139" t="str">
        <f>IFERROR(IF(VLOOKUP(T_SuiviTw[[#This Row],[NumL]],T_suiviDi[#Data],COLUMN(T_suiviDi[[#This Row],[Nom]]),FALSE)&lt;&gt;"",VLOOKUP(T_SuiviTw[[#This Row],[NumL]],T_suiviDi[#Data],COLUMN(T_suiviDi[[#This Row],[Nom]]),FALSE),""),"")</f>
        <v/>
      </c>
      <c r="C152" s="139" t="str">
        <f>IFERROR(IF(VLOOKUP(T_SuiviTw[[#This Row],[NumL]],T_suiviDi[#Data],COLUMN(T_suiviDi[[#This Row],[Prénom]]),FALSE)&lt;&gt;"",VLOOKUP(T_SuiviTw[[#This Row],[NumL]],T_suiviDi[#Data],COLUMN(T_suiviDi[[#This Row],[Prénom]]),FALSE),""),"")</f>
        <v/>
      </c>
      <c r="D152" s="140" t="str">
        <f>IFERROR(IF(VLOOKUP(T_SuiviTw[[#This Row],[NumL]],T_suiviDi[#Data],COLUMN(T_suiviDi[[#This Row],[Email]]),FALSE)&lt;&gt;"",VLOOKUP(T_SuiviTw[[#This Row],[NumL]],T_suiviDi[#Data],COLUMN(T_suiviDi[[#This Row],[Email]]),FALSE),""),"")</f>
        <v/>
      </c>
      <c r="E152" s="141" t="str">
        <f>IFERROR(IF(VLOOKUP(T_SuiviTw[[#This Row],[NumL]],T_suiviDi[#Data],COLUMN(T_suiviDi[[#This Row],[Nom1]]),FALSE)&lt;&gt;"",VLOOKUP(T_SuiviTw[[#This Row],[NumL]],T_suiviDi[#Data],COLUMN(T_suiviDi[[#This Row],[Nom1]]),FALSE),""),"")</f>
        <v/>
      </c>
      <c r="F152" s="141" t="str">
        <f>IFERROR(IF(VLOOKUP(T_SuiviTw[[#This Row],[NumL]],T_suiviDi[#Data],COLUMN(T_suiviDi[[#This Row],[Prénom1]]),FALSE)&lt;&gt;"",VLOOKUP(T_SuiviTw[[#This Row],[NumL]],T_suiviDi[#Data],COLUMN(T_suiviDi[[#This Row],[Prénom1]]),FALSE),""),"")</f>
        <v/>
      </c>
      <c r="G152" s="141" t="str">
        <f>IFERROR(IF(VLOOKUP(T_SuiviTw[[#This Row],[NumL]],T_suiviDi[#Data],COLUMN(T_suiviDi[[#This Row],[Email1]]),FALSE)&lt;&gt;"",VLOOKUP(T_SuiviTw[[#This Row],[NumL]],T_suiviDi[#Data],COLUMN(T_suiviDi[[#This Row],[Email1]]),FALSE),""),"")</f>
        <v/>
      </c>
      <c r="H152" s="155" t="str">
        <f t="shared" si="28"/>
        <v/>
      </c>
      <c r="I152" s="100"/>
      <c r="J152" s="156" t="str">
        <f t="shared" si="29"/>
        <v/>
      </c>
      <c r="K152" s="155" t="str">
        <f t="shared" si="30"/>
        <v/>
      </c>
      <c r="L152" s="100"/>
      <c r="M152" s="156" t="str">
        <f t="shared" ca="1" si="31"/>
        <v/>
      </c>
      <c r="N152" s="49"/>
      <c r="O152" s="49"/>
      <c r="P152" s="105" t="str">
        <f t="shared" si="32"/>
        <v/>
      </c>
      <c r="Q152" s="155" t="str">
        <f t="shared" si="33"/>
        <v/>
      </c>
      <c r="R152" s="100"/>
      <c r="S152" s="156" t="str">
        <f t="shared" ca="1" si="34"/>
        <v/>
      </c>
      <c r="T152" s="101"/>
      <c r="U152" s="101"/>
      <c r="V152" s="101"/>
      <c r="W152" s="144"/>
    </row>
    <row r="153" spans="1:23" ht="24" customHeight="1" x14ac:dyDescent="0.25">
      <c r="A153" s="90">
        <v>10</v>
      </c>
      <c r="B153" s="19" t="str">
        <f>IFERROR(IF(VLOOKUP(T_SuiviTw[[#This Row],[NumL]],T_suiviDi[#Data],COLUMN(T_suiviDi[[#This Row],[Nom]]),FALSE)&lt;&gt;"",VLOOKUP(T_SuiviTw[[#This Row],[NumL]],T_suiviDi[#Data],COLUMN(T_suiviDi[[#This Row],[Nom]]),FALSE),""),"")</f>
        <v/>
      </c>
      <c r="C153" s="19" t="str">
        <f>IFERROR(IF(VLOOKUP(T_SuiviTw[[#This Row],[NumL]],T_suiviDi[#Data],COLUMN(T_suiviDi[[#This Row],[Prénom]]),FALSE)&lt;&gt;"",VLOOKUP(T_SuiviTw[[#This Row],[NumL]],T_suiviDi[#Data],COLUMN(T_suiviDi[[#This Row],[Prénom]]),FALSE),""),"")</f>
        <v/>
      </c>
      <c r="D153" s="20" t="str">
        <f>IFERROR(IF(VLOOKUP(T_SuiviTw[[#This Row],[NumL]],T_suiviDi[#Data],COLUMN(T_suiviDi[[#This Row],[Email]]),FALSE)&lt;&gt;"",VLOOKUP(T_SuiviTw[[#This Row],[NumL]],T_suiviDi[#Data],COLUMN(T_suiviDi[[#This Row],[Email]]),FALSE),""),"")</f>
        <v/>
      </c>
      <c r="E153" s="274" t="str">
        <f>IFERROR(IF(VLOOKUP(T_SuiviTw[[#This Row],[NumL]],T_suiviDi[#Data],COLUMN(T_suiviDi[[#This Row],[Nom1]]),FALSE)&lt;&gt;"",VLOOKUP(T_SuiviTw[[#This Row],[NumL]],T_suiviDi[#Data],COLUMN(T_suiviDi[[#This Row],[Nom1]]),FALSE),""),"")</f>
        <v/>
      </c>
      <c r="F153" s="274" t="str">
        <f>IFERROR(IF(VLOOKUP(T_SuiviTw[[#This Row],[NumL]],T_suiviDi[#Data],COLUMN(T_suiviDi[[#This Row],[Prénom1]]),FALSE)&lt;&gt;"",VLOOKUP(T_SuiviTw[[#This Row],[NumL]],T_suiviDi[#Data],COLUMN(T_suiviDi[[#This Row],[Prénom1]]),FALSE),""),"")</f>
        <v/>
      </c>
      <c r="G153" s="274" t="str">
        <f>IFERROR(IF(VLOOKUP(T_SuiviTw[[#This Row],[NumL]],T_suiviDi[#Data],COLUMN(T_suiviDi[[#This Row],[Email1]]),FALSE)&lt;&gt;"",VLOOKUP(T_SuiviTw[[#This Row],[NumL]],T_suiviDi[#Data],COLUMN(T_suiviDi[[#This Row],[Email1]]),FALSE),""),"")</f>
        <v/>
      </c>
      <c r="H153" s="275" t="str">
        <f t="shared" si="28"/>
        <v/>
      </c>
      <c r="I153" s="100"/>
      <c r="J153" s="156" t="str">
        <f t="shared" si="29"/>
        <v/>
      </c>
      <c r="K153" s="155" t="str">
        <f t="shared" si="30"/>
        <v/>
      </c>
      <c r="L153" s="100"/>
      <c r="M153" s="156" t="str">
        <f t="shared" ca="1" si="31"/>
        <v/>
      </c>
      <c r="N153" s="49"/>
      <c r="O153" s="49"/>
      <c r="P153" s="105" t="str">
        <f t="shared" si="32"/>
        <v/>
      </c>
      <c r="Q153" s="155" t="str">
        <f t="shared" si="33"/>
        <v/>
      </c>
      <c r="R153" s="100"/>
      <c r="S153" s="156" t="str">
        <f t="shared" ca="1" si="34"/>
        <v/>
      </c>
      <c r="T153" s="101"/>
      <c r="U153" s="101"/>
      <c r="V153" s="101"/>
      <c r="W153" s="144"/>
    </row>
    <row r="154" spans="1:23" ht="24" customHeight="1" x14ac:dyDescent="0.25">
      <c r="A154" s="90">
        <v>87</v>
      </c>
      <c r="B154" s="19" t="str">
        <f>IFERROR(IF(VLOOKUP(T_SuiviTw[[#This Row],[NumL]],T_suiviDi[#Data],COLUMN(T_suiviDi[[#This Row],[Nom]]),FALSE)&lt;&gt;"",VLOOKUP(T_SuiviTw[[#This Row],[NumL]],T_suiviDi[#Data],COLUMN(T_suiviDi[[#This Row],[Nom]]),FALSE),""),"")</f>
        <v/>
      </c>
      <c r="C154" s="19" t="str">
        <f>IFERROR(IF(VLOOKUP(T_SuiviTw[[#This Row],[NumL]],T_suiviDi[#Data],COLUMN(T_suiviDi[[#This Row],[Prénom]]),FALSE)&lt;&gt;"",VLOOKUP(T_SuiviTw[[#This Row],[NumL]],T_suiviDi[#Data],COLUMN(T_suiviDi[[#This Row],[Prénom]]),FALSE),""),"")</f>
        <v/>
      </c>
      <c r="D154" s="20" t="str">
        <f>IFERROR(IF(VLOOKUP(T_SuiviTw[[#This Row],[NumL]],T_suiviDi[#Data],COLUMN(T_suiviDi[[#This Row],[Email]]),FALSE)&lt;&gt;"",VLOOKUP(T_SuiviTw[[#This Row],[NumL]],T_suiviDi[#Data],COLUMN(T_suiviDi[[#This Row],[Email]]),FALSE),""),"")</f>
        <v/>
      </c>
      <c r="E154" s="274" t="str">
        <f>IFERROR(IF(VLOOKUP(T_SuiviTw[[#This Row],[NumL]],T_suiviDi[#Data],COLUMN(T_suiviDi[[#This Row],[Nom1]]),FALSE)&lt;&gt;"",VLOOKUP(T_SuiviTw[[#This Row],[NumL]],T_suiviDi[#Data],COLUMN(T_suiviDi[[#This Row],[Nom1]]),FALSE),""),"")</f>
        <v/>
      </c>
      <c r="F154" s="274" t="str">
        <f>IFERROR(IF(VLOOKUP(T_SuiviTw[[#This Row],[NumL]],T_suiviDi[#Data],COLUMN(T_suiviDi[[#This Row],[Prénom1]]),FALSE)&lt;&gt;"",VLOOKUP(T_SuiviTw[[#This Row],[NumL]],T_suiviDi[#Data],COLUMN(T_suiviDi[[#This Row],[Prénom1]]),FALSE),""),"")</f>
        <v/>
      </c>
      <c r="G154" s="274" t="str">
        <f>IFERROR(IF(VLOOKUP(T_SuiviTw[[#This Row],[NumL]],T_suiviDi[#Data],COLUMN(T_suiviDi[[#This Row],[Email1]]),FALSE)&lt;&gt;"",VLOOKUP(T_SuiviTw[[#This Row],[NumL]],T_suiviDi[#Data],COLUMN(T_suiviDi[[#This Row],[Email1]]),FALSE),""),"")</f>
        <v/>
      </c>
      <c r="H154" s="275" t="str">
        <f t="shared" si="28"/>
        <v/>
      </c>
      <c r="I154" s="100"/>
      <c r="J154" s="156" t="str">
        <f t="shared" si="29"/>
        <v/>
      </c>
      <c r="K154" s="155" t="str">
        <f t="shared" si="30"/>
        <v/>
      </c>
      <c r="L154" s="100"/>
      <c r="M154" s="156" t="str">
        <f t="shared" ca="1" si="31"/>
        <v/>
      </c>
      <c r="N154" s="49"/>
      <c r="O154" s="49"/>
      <c r="P154" s="105" t="str">
        <f t="shared" si="32"/>
        <v/>
      </c>
      <c r="Q154" s="155" t="str">
        <f t="shared" si="33"/>
        <v/>
      </c>
      <c r="R154" s="100"/>
      <c r="S154" s="156" t="str">
        <f t="shared" ca="1" si="34"/>
        <v/>
      </c>
      <c r="T154" s="101"/>
      <c r="U154" s="101"/>
      <c r="V154" s="101"/>
      <c r="W154" s="144"/>
    </row>
    <row r="155" spans="1:23" ht="24" customHeight="1" x14ac:dyDescent="0.25">
      <c r="A155" s="90">
        <v>41</v>
      </c>
      <c r="B155" s="19" t="str">
        <f>IFERROR(IF(VLOOKUP(T_SuiviTw[[#This Row],[NumL]],T_suiviDi[#Data],COLUMN(T_suiviDi[[#This Row],[Nom]]),FALSE)&lt;&gt;"",VLOOKUP(T_SuiviTw[[#This Row],[NumL]],T_suiviDi[#Data],COLUMN(T_suiviDi[[#This Row],[Nom]]),FALSE),""),"")</f>
        <v/>
      </c>
      <c r="C155" s="19" t="str">
        <f>IFERROR(IF(VLOOKUP(T_SuiviTw[[#This Row],[NumL]],T_suiviDi[#Data],COLUMN(T_suiviDi[[#This Row],[Prénom]]),FALSE)&lt;&gt;"",VLOOKUP(T_SuiviTw[[#This Row],[NumL]],T_suiviDi[#Data],COLUMN(T_suiviDi[[#This Row],[Prénom]]),FALSE),""),"")</f>
        <v/>
      </c>
      <c r="D155" s="20" t="str">
        <f>IFERROR(IF(VLOOKUP(T_SuiviTw[[#This Row],[NumL]],T_suiviDi[#Data],COLUMN(T_suiviDi[[#This Row],[Email]]),FALSE)&lt;&gt;"",VLOOKUP(T_SuiviTw[[#This Row],[NumL]],T_suiviDi[#Data],COLUMN(T_suiviDi[[#This Row],[Email]]),FALSE),""),"")</f>
        <v/>
      </c>
      <c r="E155" s="274" t="str">
        <f>IFERROR(IF(VLOOKUP(T_SuiviTw[[#This Row],[NumL]],T_suiviDi[#Data],COLUMN(T_suiviDi[[#This Row],[Nom1]]),FALSE)&lt;&gt;"",VLOOKUP(T_SuiviTw[[#This Row],[NumL]],T_suiviDi[#Data],COLUMN(T_suiviDi[[#This Row],[Nom1]]),FALSE),""),"")</f>
        <v/>
      </c>
      <c r="F155" s="274" t="str">
        <f>IFERROR(IF(VLOOKUP(T_SuiviTw[[#This Row],[NumL]],T_suiviDi[#Data],COLUMN(T_suiviDi[[#This Row],[Prénom1]]),FALSE)&lt;&gt;"",VLOOKUP(T_SuiviTw[[#This Row],[NumL]],T_suiviDi[#Data],COLUMN(T_suiviDi[[#This Row],[Prénom1]]),FALSE),""),"")</f>
        <v/>
      </c>
      <c r="G155" s="274" t="str">
        <f>IFERROR(IF(VLOOKUP(T_SuiviTw[[#This Row],[NumL]],T_suiviDi[#Data],COLUMN(T_suiviDi[[#This Row],[Email1]]),FALSE)&lt;&gt;"",VLOOKUP(T_SuiviTw[[#This Row],[NumL]],T_suiviDi[#Data],COLUMN(T_suiviDi[[#This Row],[Email1]]),FALSE),""),"")</f>
        <v/>
      </c>
      <c r="H155" s="275" t="str">
        <f t="shared" si="28"/>
        <v/>
      </c>
      <c r="I155" s="100"/>
      <c r="J155" s="156" t="str">
        <f t="shared" si="29"/>
        <v/>
      </c>
      <c r="K155" s="155" t="str">
        <f t="shared" si="30"/>
        <v/>
      </c>
      <c r="L155" s="100"/>
      <c r="M155" s="156" t="str">
        <f t="shared" ca="1" si="31"/>
        <v/>
      </c>
      <c r="N155" s="49"/>
      <c r="O155" s="49"/>
      <c r="P155" s="105" t="str">
        <f t="shared" si="32"/>
        <v/>
      </c>
      <c r="Q155" s="155" t="str">
        <f t="shared" si="33"/>
        <v/>
      </c>
      <c r="R155" s="100"/>
      <c r="S155" s="156" t="str">
        <f t="shared" ca="1" si="34"/>
        <v/>
      </c>
      <c r="T155" s="101"/>
      <c r="U155" s="101"/>
      <c r="V155" s="101"/>
      <c r="W155" s="144"/>
    </row>
    <row r="156" spans="1:23" ht="24" customHeight="1" x14ac:dyDescent="0.25">
      <c r="A156" s="90">
        <v>177</v>
      </c>
      <c r="B156" s="19" t="str">
        <f>IFERROR(IF(VLOOKUP(T_SuiviTw[[#This Row],[NumL]],T_suiviDi[#Data],COLUMN(T_suiviDi[[#This Row],[Nom]]),FALSE)&lt;&gt;"",VLOOKUP(T_SuiviTw[[#This Row],[NumL]],T_suiviDi[#Data],COLUMN(T_suiviDi[[#This Row],[Nom]]),FALSE),""),"")</f>
        <v/>
      </c>
      <c r="C156" s="19" t="str">
        <f>IFERROR(IF(VLOOKUP(T_SuiviTw[[#This Row],[NumL]],T_suiviDi[#Data],COLUMN(T_suiviDi[[#This Row],[Prénom]]),FALSE)&lt;&gt;"",VLOOKUP(T_SuiviTw[[#This Row],[NumL]],T_suiviDi[#Data],COLUMN(T_suiviDi[[#This Row],[Prénom]]),FALSE),""),"")</f>
        <v/>
      </c>
      <c r="D156" s="20" t="str">
        <f>IFERROR(IF(VLOOKUP(T_SuiviTw[[#This Row],[NumL]],T_suiviDi[#Data],COLUMN(T_suiviDi[[#This Row],[Email]]),FALSE)&lt;&gt;"",VLOOKUP(T_SuiviTw[[#This Row],[NumL]],T_suiviDi[#Data],COLUMN(T_suiviDi[[#This Row],[Email]]),FALSE),""),"")</f>
        <v/>
      </c>
      <c r="E156" s="274" t="str">
        <f>IFERROR(IF(VLOOKUP(T_SuiviTw[[#This Row],[NumL]],T_suiviDi[#Data],COLUMN(T_suiviDi[[#This Row],[Nom1]]),FALSE)&lt;&gt;"",VLOOKUP(T_SuiviTw[[#This Row],[NumL]],T_suiviDi[#Data],COLUMN(T_suiviDi[[#This Row],[Nom1]]),FALSE),""),"")</f>
        <v/>
      </c>
      <c r="F156" s="274" t="str">
        <f>IFERROR(IF(VLOOKUP(T_SuiviTw[[#This Row],[NumL]],T_suiviDi[#Data],COLUMN(T_suiviDi[[#This Row],[Prénom1]]),FALSE)&lt;&gt;"",VLOOKUP(T_SuiviTw[[#This Row],[NumL]],T_suiviDi[#Data],COLUMN(T_suiviDi[[#This Row],[Prénom1]]),FALSE),""),"")</f>
        <v/>
      </c>
      <c r="G156" s="274" t="str">
        <f>IFERROR(IF(VLOOKUP(T_SuiviTw[[#This Row],[NumL]],T_suiviDi[#Data],COLUMN(T_suiviDi[[#This Row],[Email1]]),FALSE)&lt;&gt;"",VLOOKUP(T_SuiviTw[[#This Row],[NumL]],T_suiviDi[#Data],COLUMN(T_suiviDi[[#This Row],[Email1]]),FALSE),""),"")</f>
        <v/>
      </c>
      <c r="H156" s="275" t="str">
        <f t="shared" si="28"/>
        <v/>
      </c>
      <c r="I156" s="100"/>
      <c r="J156" s="156" t="str">
        <f t="shared" si="29"/>
        <v/>
      </c>
      <c r="K156" s="155" t="str">
        <f t="shared" si="30"/>
        <v/>
      </c>
      <c r="L156" s="100"/>
      <c r="M156" s="156" t="str">
        <f t="shared" ca="1" si="31"/>
        <v/>
      </c>
      <c r="N156" s="49"/>
      <c r="O156" s="49"/>
      <c r="P156" s="105" t="str">
        <f t="shared" si="32"/>
        <v/>
      </c>
      <c r="Q156" s="155" t="str">
        <f t="shared" si="33"/>
        <v/>
      </c>
      <c r="R156" s="100"/>
      <c r="S156" s="156" t="str">
        <f t="shared" ca="1" si="34"/>
        <v/>
      </c>
      <c r="T156" s="101"/>
      <c r="U156" s="101"/>
      <c r="V156" s="101"/>
      <c r="W156" s="144"/>
    </row>
    <row r="157" spans="1:23" ht="24" customHeight="1" x14ac:dyDescent="0.25">
      <c r="A157" s="90">
        <v>82</v>
      </c>
      <c r="B157" s="19" t="str">
        <f>IFERROR(IF(VLOOKUP(T_SuiviTw[[#This Row],[NumL]],T_suiviDi[#Data],COLUMN(T_suiviDi[[#This Row],[Nom]]),FALSE)&lt;&gt;"",VLOOKUP(T_SuiviTw[[#This Row],[NumL]],T_suiviDi[#Data],COLUMN(T_suiviDi[[#This Row],[Nom]]),FALSE),""),"")</f>
        <v/>
      </c>
      <c r="C157" s="19" t="str">
        <f>IFERROR(IF(VLOOKUP(T_SuiviTw[[#This Row],[NumL]],T_suiviDi[#Data],COLUMN(T_suiviDi[[#This Row],[Prénom]]),FALSE)&lt;&gt;"",VLOOKUP(T_SuiviTw[[#This Row],[NumL]],T_suiviDi[#Data],COLUMN(T_suiviDi[[#This Row],[Prénom]]),FALSE),""),"")</f>
        <v/>
      </c>
      <c r="D157" s="20" t="str">
        <f>IFERROR(IF(VLOOKUP(T_SuiviTw[[#This Row],[NumL]],T_suiviDi[#Data],COLUMN(T_suiviDi[[#This Row],[Email]]),FALSE)&lt;&gt;"",VLOOKUP(T_SuiviTw[[#This Row],[NumL]],T_suiviDi[#Data],COLUMN(T_suiviDi[[#This Row],[Email]]),FALSE),""),"")</f>
        <v/>
      </c>
      <c r="E157" s="274" t="str">
        <f>IFERROR(IF(VLOOKUP(T_SuiviTw[[#This Row],[NumL]],T_suiviDi[#Data],COLUMN(T_suiviDi[[#This Row],[Nom1]]),FALSE)&lt;&gt;"",VLOOKUP(T_SuiviTw[[#This Row],[NumL]],T_suiviDi[#Data],COLUMN(T_suiviDi[[#This Row],[Nom1]]),FALSE),""),"")</f>
        <v/>
      </c>
      <c r="F157" s="274" t="str">
        <f>IFERROR(IF(VLOOKUP(T_SuiviTw[[#This Row],[NumL]],T_suiviDi[#Data],COLUMN(T_suiviDi[[#This Row],[Prénom1]]),FALSE)&lt;&gt;"",VLOOKUP(T_SuiviTw[[#This Row],[NumL]],T_suiviDi[#Data],COLUMN(T_suiviDi[[#This Row],[Prénom1]]),FALSE),""),"")</f>
        <v/>
      </c>
      <c r="G157" s="274" t="str">
        <f>IFERROR(IF(VLOOKUP(T_SuiviTw[[#This Row],[NumL]],T_suiviDi[#Data],COLUMN(T_suiviDi[[#This Row],[Email1]]),FALSE)&lt;&gt;"",VLOOKUP(T_SuiviTw[[#This Row],[NumL]],T_suiviDi[#Data],COLUMN(T_suiviDi[[#This Row],[Email1]]),FALSE),""),"")</f>
        <v/>
      </c>
      <c r="H157" s="275" t="str">
        <f t="shared" si="28"/>
        <v/>
      </c>
      <c r="I157" s="100"/>
      <c r="J157" s="156" t="str">
        <f t="shared" si="29"/>
        <v/>
      </c>
      <c r="K157" s="155" t="str">
        <f t="shared" si="30"/>
        <v/>
      </c>
      <c r="L157" s="100"/>
      <c r="M157" s="156" t="str">
        <f t="shared" ca="1" si="31"/>
        <v/>
      </c>
      <c r="N157" s="49"/>
      <c r="O157" s="49"/>
      <c r="P157" s="105" t="str">
        <f t="shared" si="32"/>
        <v/>
      </c>
      <c r="Q157" s="155" t="str">
        <f t="shared" si="33"/>
        <v/>
      </c>
      <c r="R157" s="100"/>
      <c r="S157" s="156" t="str">
        <f t="shared" ca="1" si="34"/>
        <v/>
      </c>
      <c r="T157" s="101"/>
      <c r="U157" s="101"/>
      <c r="V157" s="101"/>
      <c r="W157" s="144"/>
    </row>
    <row r="158" spans="1:23" ht="24" customHeight="1" x14ac:dyDescent="0.25">
      <c r="A158" s="90">
        <v>338</v>
      </c>
      <c r="B158" s="139" t="str">
        <f>IFERROR(IF(VLOOKUP(T_SuiviTw[[#This Row],[NumL]],T_suiviDi[#Data],COLUMN(T_suiviDi[[#This Row],[Nom]]),FALSE)&lt;&gt;"",VLOOKUP(T_SuiviTw[[#This Row],[NumL]],T_suiviDi[#Data],COLUMN(T_suiviDi[[#This Row],[Nom]]),FALSE),""),"")</f>
        <v/>
      </c>
      <c r="C158" s="139" t="str">
        <f>IFERROR(IF(VLOOKUP(T_SuiviTw[[#This Row],[NumL]],T_suiviDi[#Data],COLUMN(T_suiviDi[[#This Row],[Prénom]]),FALSE)&lt;&gt;"",VLOOKUP(T_SuiviTw[[#This Row],[NumL]],T_suiviDi[#Data],COLUMN(T_suiviDi[[#This Row],[Prénom]]),FALSE),""),"")</f>
        <v/>
      </c>
      <c r="D158" s="140" t="str">
        <f>IFERROR(IF(VLOOKUP(T_SuiviTw[[#This Row],[NumL]],T_suiviDi[#Data],COLUMN(T_suiviDi[[#This Row],[Email]]),FALSE)&lt;&gt;"",VLOOKUP(T_SuiviTw[[#This Row],[NumL]],T_suiviDi[#Data],COLUMN(T_suiviDi[[#This Row],[Email]]),FALSE),""),"")</f>
        <v/>
      </c>
      <c r="E158" s="141" t="str">
        <f>IFERROR(IF(VLOOKUP(T_SuiviTw[[#This Row],[NumL]],T_suiviDi[#Data],COLUMN(T_suiviDi[[#This Row],[Nom1]]),FALSE)&lt;&gt;"",VLOOKUP(T_SuiviTw[[#This Row],[NumL]],T_suiviDi[#Data],COLUMN(T_suiviDi[[#This Row],[Nom1]]),FALSE),""),"")</f>
        <v/>
      </c>
      <c r="F158" s="141" t="str">
        <f>IFERROR(IF(VLOOKUP(T_SuiviTw[[#This Row],[NumL]],T_suiviDi[#Data],COLUMN(T_suiviDi[[#This Row],[Prénom1]]),FALSE)&lt;&gt;"",VLOOKUP(T_SuiviTw[[#This Row],[NumL]],T_suiviDi[#Data],COLUMN(T_suiviDi[[#This Row],[Prénom1]]),FALSE),""),"")</f>
        <v/>
      </c>
      <c r="G158" s="141" t="str">
        <f>IFERROR(IF(VLOOKUP(T_SuiviTw[[#This Row],[NumL]],T_suiviDi[#Data],COLUMN(T_suiviDi[[#This Row],[Email1]]),FALSE)&lt;&gt;"",VLOOKUP(T_SuiviTw[[#This Row],[NumL]],T_suiviDi[#Data],COLUMN(T_suiviDi[[#This Row],[Email1]]),FALSE),""),"")</f>
        <v/>
      </c>
      <c r="H158" s="155" t="str">
        <f t="shared" si="28"/>
        <v/>
      </c>
      <c r="I158" s="100"/>
      <c r="J158" s="156" t="str">
        <f t="shared" si="29"/>
        <v/>
      </c>
      <c r="K158" s="155" t="str">
        <f t="shared" si="30"/>
        <v/>
      </c>
      <c r="L158" s="100"/>
      <c r="M158" s="156" t="str">
        <f t="shared" ca="1" si="31"/>
        <v/>
      </c>
      <c r="N158" s="49"/>
      <c r="O158" s="49"/>
      <c r="P158" s="105" t="str">
        <f t="shared" si="32"/>
        <v/>
      </c>
      <c r="Q158" s="155" t="str">
        <f t="shared" si="33"/>
        <v/>
      </c>
      <c r="R158" s="100"/>
      <c r="S158" s="156" t="str">
        <f t="shared" ca="1" si="34"/>
        <v/>
      </c>
      <c r="T158" s="101"/>
      <c r="U158" s="101"/>
      <c r="V158" s="101"/>
      <c r="W158" s="144"/>
    </row>
    <row r="159" spans="1:23" ht="24" customHeight="1" x14ac:dyDescent="0.25">
      <c r="A159" s="90">
        <v>190</v>
      </c>
      <c r="B159" s="19" t="str">
        <f>IFERROR(IF(VLOOKUP(T_SuiviTw[[#This Row],[NumL]],T_suiviDi[#Data],COLUMN(T_suiviDi[[#This Row],[Nom]]),FALSE)&lt;&gt;"",VLOOKUP(T_SuiviTw[[#This Row],[NumL]],T_suiviDi[#Data],COLUMN(T_suiviDi[[#This Row],[Nom]]),FALSE),""),"")</f>
        <v/>
      </c>
      <c r="C159" s="19" t="str">
        <f>IFERROR(IF(VLOOKUP(T_SuiviTw[[#This Row],[NumL]],T_suiviDi[#Data],COLUMN(T_suiviDi[[#This Row],[Prénom]]),FALSE)&lt;&gt;"",VLOOKUP(T_SuiviTw[[#This Row],[NumL]],T_suiviDi[#Data],COLUMN(T_suiviDi[[#This Row],[Prénom]]),FALSE),""),"")</f>
        <v/>
      </c>
      <c r="D159" s="20" t="str">
        <f>IFERROR(IF(VLOOKUP(T_SuiviTw[[#This Row],[NumL]],T_suiviDi[#Data],COLUMN(T_suiviDi[[#This Row],[Email]]),FALSE)&lt;&gt;"",VLOOKUP(T_SuiviTw[[#This Row],[NumL]],T_suiviDi[#Data],COLUMN(T_suiviDi[[#This Row],[Email]]),FALSE),""),"")</f>
        <v/>
      </c>
      <c r="E159" s="274" t="str">
        <f>IFERROR(IF(VLOOKUP(T_SuiviTw[[#This Row],[NumL]],T_suiviDi[#Data],COLUMN(T_suiviDi[[#This Row],[Nom1]]),FALSE)&lt;&gt;"",VLOOKUP(T_SuiviTw[[#This Row],[NumL]],T_suiviDi[#Data],COLUMN(T_suiviDi[[#This Row],[Nom1]]),FALSE),""),"")</f>
        <v/>
      </c>
      <c r="F159" s="274" t="str">
        <f>IFERROR(IF(VLOOKUP(T_SuiviTw[[#This Row],[NumL]],T_suiviDi[#Data],COLUMN(T_suiviDi[[#This Row],[Prénom1]]),FALSE)&lt;&gt;"",VLOOKUP(T_SuiviTw[[#This Row],[NumL]],T_suiviDi[#Data],COLUMN(T_suiviDi[[#This Row],[Prénom1]]),FALSE),""),"")</f>
        <v/>
      </c>
      <c r="G159" s="274" t="str">
        <f>IFERROR(IF(VLOOKUP(T_SuiviTw[[#This Row],[NumL]],T_suiviDi[#Data],COLUMN(T_suiviDi[[#This Row],[Email1]]),FALSE)&lt;&gt;"",VLOOKUP(T_SuiviTw[[#This Row],[NumL]],T_suiviDi[#Data],COLUMN(T_suiviDi[[#This Row],[Email1]]),FALSE),""),"")</f>
        <v/>
      </c>
      <c r="H159" s="275" t="str">
        <f t="shared" si="28"/>
        <v/>
      </c>
      <c r="I159" s="100"/>
      <c r="J159" s="156" t="str">
        <f t="shared" si="29"/>
        <v/>
      </c>
      <c r="K159" s="155" t="str">
        <f t="shared" si="30"/>
        <v/>
      </c>
      <c r="L159" s="100"/>
      <c r="M159" s="156" t="str">
        <f t="shared" ca="1" si="31"/>
        <v/>
      </c>
      <c r="N159" s="49"/>
      <c r="O159" s="49"/>
      <c r="P159" s="105" t="str">
        <f t="shared" si="32"/>
        <v/>
      </c>
      <c r="Q159" s="155" t="str">
        <f t="shared" si="33"/>
        <v/>
      </c>
      <c r="R159" s="100"/>
      <c r="S159" s="156" t="str">
        <f t="shared" ca="1" si="34"/>
        <v/>
      </c>
      <c r="T159" s="101"/>
      <c r="U159" s="101"/>
      <c r="V159" s="101"/>
      <c r="W159" s="144"/>
    </row>
    <row r="160" spans="1:23" ht="24" customHeight="1" x14ac:dyDescent="0.25">
      <c r="A160" s="90">
        <v>285</v>
      </c>
      <c r="B160" s="19" t="str">
        <f>IFERROR(IF(VLOOKUP(T_SuiviTw[[#This Row],[NumL]],T_suiviDi[#Data],COLUMN(T_suiviDi[[#This Row],[Nom]]),FALSE)&lt;&gt;"",VLOOKUP(T_SuiviTw[[#This Row],[NumL]],T_suiviDi[#Data],COLUMN(T_suiviDi[[#This Row],[Nom]]),FALSE),""),"")</f>
        <v/>
      </c>
      <c r="C160" s="19" t="str">
        <f>IFERROR(IF(VLOOKUP(T_SuiviTw[[#This Row],[NumL]],T_suiviDi[#Data],COLUMN(T_suiviDi[[#This Row],[Prénom]]),FALSE)&lt;&gt;"",VLOOKUP(T_SuiviTw[[#This Row],[NumL]],T_suiviDi[#Data],COLUMN(T_suiviDi[[#This Row],[Prénom]]),FALSE),""),"")</f>
        <v/>
      </c>
      <c r="D160" s="20" t="str">
        <f>IFERROR(IF(VLOOKUP(T_SuiviTw[[#This Row],[NumL]],T_suiviDi[#Data],COLUMN(T_suiviDi[[#This Row],[Email]]),FALSE)&lt;&gt;"",VLOOKUP(T_SuiviTw[[#This Row],[NumL]],T_suiviDi[#Data],COLUMN(T_suiviDi[[#This Row],[Email]]),FALSE),""),"")</f>
        <v/>
      </c>
      <c r="E160" s="274" t="str">
        <f>IFERROR(IF(VLOOKUP(T_SuiviTw[[#This Row],[NumL]],T_suiviDi[#Data],COLUMN(T_suiviDi[[#This Row],[Nom1]]),FALSE)&lt;&gt;"",VLOOKUP(T_SuiviTw[[#This Row],[NumL]],T_suiviDi[#Data],COLUMN(T_suiviDi[[#This Row],[Nom1]]),FALSE),""),"")</f>
        <v/>
      </c>
      <c r="F160" s="274" t="str">
        <f>IFERROR(IF(VLOOKUP(T_SuiviTw[[#This Row],[NumL]],T_suiviDi[#Data],COLUMN(T_suiviDi[[#This Row],[Prénom1]]),FALSE)&lt;&gt;"",VLOOKUP(T_SuiviTw[[#This Row],[NumL]],T_suiviDi[#Data],COLUMN(T_suiviDi[[#This Row],[Prénom1]]),FALSE),""),"")</f>
        <v/>
      </c>
      <c r="G160" s="274" t="str">
        <f>IFERROR(IF(VLOOKUP(T_SuiviTw[[#This Row],[NumL]],T_suiviDi[#Data],COLUMN(T_suiviDi[[#This Row],[Email1]]),FALSE)&lt;&gt;"",VLOOKUP(T_SuiviTw[[#This Row],[NumL]],T_suiviDi[#Data],COLUMN(T_suiviDi[[#This Row],[Email1]]),FALSE),""),"")</f>
        <v/>
      </c>
      <c r="H160" s="275" t="str">
        <f t="shared" si="28"/>
        <v/>
      </c>
      <c r="I160" s="100"/>
      <c r="J160" s="156" t="str">
        <f t="shared" si="29"/>
        <v/>
      </c>
      <c r="K160" s="155" t="str">
        <f t="shared" si="30"/>
        <v/>
      </c>
      <c r="L160" s="100"/>
      <c r="M160" s="156" t="str">
        <f t="shared" ca="1" si="31"/>
        <v/>
      </c>
      <c r="N160" s="49"/>
      <c r="O160" s="49"/>
      <c r="P160" s="105" t="str">
        <f t="shared" si="32"/>
        <v/>
      </c>
      <c r="Q160" s="155" t="str">
        <f t="shared" si="33"/>
        <v/>
      </c>
      <c r="R160" s="100"/>
      <c r="S160" s="156" t="str">
        <f t="shared" ca="1" si="34"/>
        <v/>
      </c>
      <c r="T160" s="101"/>
      <c r="U160" s="101"/>
      <c r="V160" s="101"/>
      <c r="W160" s="144"/>
    </row>
    <row r="161" spans="1:23" ht="24" customHeight="1" x14ac:dyDescent="0.25">
      <c r="A161" s="90">
        <v>9</v>
      </c>
      <c r="B161" s="19" t="str">
        <f>IFERROR(IF(VLOOKUP(T_SuiviTw[[#This Row],[NumL]],T_suiviDi[#Data],COLUMN(T_suiviDi[[#This Row],[Nom]]),FALSE)&lt;&gt;"",VLOOKUP(T_SuiviTw[[#This Row],[NumL]],T_suiviDi[#Data],COLUMN(T_suiviDi[[#This Row],[Nom]]),FALSE),""),"")</f>
        <v/>
      </c>
      <c r="C161" s="19" t="str">
        <f>IFERROR(IF(VLOOKUP(T_SuiviTw[[#This Row],[NumL]],T_suiviDi[#Data],COLUMN(T_suiviDi[[#This Row],[Prénom]]),FALSE)&lt;&gt;"",VLOOKUP(T_SuiviTw[[#This Row],[NumL]],T_suiviDi[#Data],COLUMN(T_suiviDi[[#This Row],[Prénom]]),FALSE),""),"")</f>
        <v/>
      </c>
      <c r="D161" s="20" t="str">
        <f>IFERROR(IF(VLOOKUP(T_SuiviTw[[#This Row],[NumL]],T_suiviDi[#Data],COLUMN(T_suiviDi[[#This Row],[Email]]),FALSE)&lt;&gt;"",VLOOKUP(T_SuiviTw[[#This Row],[NumL]],T_suiviDi[#Data],COLUMN(T_suiviDi[[#This Row],[Email]]),FALSE),""),"")</f>
        <v/>
      </c>
      <c r="E161" s="274" t="str">
        <f>IFERROR(IF(VLOOKUP(T_SuiviTw[[#This Row],[NumL]],T_suiviDi[#Data],COLUMN(T_suiviDi[[#This Row],[Nom1]]),FALSE)&lt;&gt;"",VLOOKUP(T_SuiviTw[[#This Row],[NumL]],T_suiviDi[#Data],COLUMN(T_suiviDi[[#This Row],[Nom1]]),FALSE),""),"")</f>
        <v/>
      </c>
      <c r="F161" s="274" t="str">
        <f>IFERROR(IF(VLOOKUP(T_SuiviTw[[#This Row],[NumL]],T_suiviDi[#Data],COLUMN(T_suiviDi[[#This Row],[Prénom1]]),FALSE)&lt;&gt;"",VLOOKUP(T_SuiviTw[[#This Row],[NumL]],T_suiviDi[#Data],COLUMN(T_suiviDi[[#This Row],[Prénom1]]),FALSE),""),"")</f>
        <v/>
      </c>
      <c r="G161" s="274" t="str">
        <f>IFERROR(IF(VLOOKUP(T_SuiviTw[[#This Row],[NumL]],T_suiviDi[#Data],COLUMN(T_suiviDi[[#This Row],[Email1]]),FALSE)&lt;&gt;"",VLOOKUP(T_SuiviTw[[#This Row],[NumL]],T_suiviDi[#Data],COLUMN(T_suiviDi[[#This Row],[Email1]]),FALSE),""),"")</f>
        <v/>
      </c>
      <c r="H161" s="275" t="str">
        <f t="shared" si="28"/>
        <v/>
      </c>
      <c r="I161" s="100"/>
      <c r="J161" s="156" t="str">
        <f t="shared" si="29"/>
        <v/>
      </c>
      <c r="K161" s="155" t="str">
        <f t="shared" si="30"/>
        <v/>
      </c>
      <c r="L161" s="100"/>
      <c r="M161" s="156" t="str">
        <f t="shared" ca="1" si="31"/>
        <v/>
      </c>
      <c r="N161" s="49"/>
      <c r="O161" s="49"/>
      <c r="P161" s="105" t="str">
        <f t="shared" si="32"/>
        <v/>
      </c>
      <c r="Q161" s="155" t="str">
        <f t="shared" si="33"/>
        <v/>
      </c>
      <c r="R161" s="100"/>
      <c r="S161" s="156" t="str">
        <f t="shared" ca="1" si="34"/>
        <v/>
      </c>
      <c r="T161" s="101"/>
      <c r="U161" s="101"/>
      <c r="V161" s="101"/>
      <c r="W161" s="144"/>
    </row>
    <row r="162" spans="1:23" ht="24" customHeight="1" x14ac:dyDescent="0.25">
      <c r="A162" s="90">
        <v>267</v>
      </c>
      <c r="B162" s="19" t="str">
        <f>IFERROR(IF(VLOOKUP(T_SuiviTw[[#This Row],[NumL]],T_suiviDi[#Data],COLUMN(T_suiviDi[[#This Row],[Nom]]),FALSE)&lt;&gt;"",VLOOKUP(T_SuiviTw[[#This Row],[NumL]],T_suiviDi[#Data],COLUMN(T_suiviDi[[#This Row],[Nom]]),FALSE),""),"")</f>
        <v/>
      </c>
      <c r="C162" s="19" t="str">
        <f>IFERROR(IF(VLOOKUP(T_SuiviTw[[#This Row],[NumL]],T_suiviDi[#Data],COLUMN(T_suiviDi[[#This Row],[Prénom]]),FALSE)&lt;&gt;"",VLOOKUP(T_SuiviTw[[#This Row],[NumL]],T_suiviDi[#Data],COLUMN(T_suiviDi[[#This Row],[Prénom]]),FALSE),""),"")</f>
        <v/>
      </c>
      <c r="D162" s="20" t="str">
        <f>IFERROR(IF(VLOOKUP(T_SuiviTw[[#This Row],[NumL]],T_suiviDi[#Data],COLUMN(T_suiviDi[[#This Row],[Email]]),FALSE)&lt;&gt;"",VLOOKUP(T_SuiviTw[[#This Row],[NumL]],T_suiviDi[#Data],COLUMN(T_suiviDi[[#This Row],[Email]]),FALSE),""),"")</f>
        <v/>
      </c>
      <c r="E162" s="274" t="str">
        <f>IFERROR(IF(VLOOKUP(T_SuiviTw[[#This Row],[NumL]],T_suiviDi[#Data],COLUMN(T_suiviDi[[#This Row],[Nom1]]),FALSE)&lt;&gt;"",VLOOKUP(T_SuiviTw[[#This Row],[NumL]],T_suiviDi[#Data],COLUMN(T_suiviDi[[#This Row],[Nom1]]),FALSE),""),"")</f>
        <v/>
      </c>
      <c r="F162" s="274" t="str">
        <f>IFERROR(IF(VLOOKUP(T_SuiviTw[[#This Row],[NumL]],T_suiviDi[#Data],COLUMN(T_suiviDi[[#This Row],[Prénom1]]),FALSE)&lt;&gt;"",VLOOKUP(T_SuiviTw[[#This Row],[NumL]],T_suiviDi[#Data],COLUMN(T_suiviDi[[#This Row],[Prénom1]]),FALSE),""),"")</f>
        <v/>
      </c>
      <c r="G162" s="274" t="str">
        <f>IFERROR(IF(VLOOKUP(T_SuiviTw[[#This Row],[NumL]],T_suiviDi[#Data],COLUMN(T_suiviDi[[#This Row],[Email1]]),FALSE)&lt;&gt;"",VLOOKUP(T_SuiviTw[[#This Row],[NumL]],T_suiviDi[#Data],COLUMN(T_suiviDi[[#This Row],[Email1]]),FALSE),""),"")</f>
        <v/>
      </c>
      <c r="H162" s="275" t="str">
        <f t="shared" si="28"/>
        <v/>
      </c>
      <c r="I162" s="100"/>
      <c r="J162" s="156" t="str">
        <f t="shared" si="29"/>
        <v/>
      </c>
      <c r="K162" s="155" t="str">
        <f t="shared" si="30"/>
        <v/>
      </c>
      <c r="L162" s="100"/>
      <c r="M162" s="156" t="str">
        <f t="shared" ca="1" si="31"/>
        <v/>
      </c>
      <c r="N162" s="49"/>
      <c r="O162" s="49"/>
      <c r="P162" s="105" t="str">
        <f t="shared" si="32"/>
        <v/>
      </c>
      <c r="Q162" s="155" t="str">
        <f t="shared" si="33"/>
        <v/>
      </c>
      <c r="R162" s="100"/>
      <c r="S162" s="156" t="str">
        <f t="shared" ca="1" si="34"/>
        <v/>
      </c>
      <c r="T162" s="101"/>
      <c r="U162" s="101"/>
      <c r="V162" s="101"/>
      <c r="W162" s="144"/>
    </row>
    <row r="163" spans="1:23" ht="24" customHeight="1" x14ac:dyDescent="0.25">
      <c r="A163" s="90">
        <v>182</v>
      </c>
      <c r="B163" s="19" t="str">
        <f>IFERROR(IF(VLOOKUP(T_SuiviTw[[#This Row],[NumL]],T_suiviDi[#Data],COLUMN(T_suiviDi[[#This Row],[Nom]]),FALSE)&lt;&gt;"",VLOOKUP(T_SuiviTw[[#This Row],[NumL]],T_suiviDi[#Data],COLUMN(T_suiviDi[[#This Row],[Nom]]),FALSE),""),"")</f>
        <v/>
      </c>
      <c r="C163" s="19" t="str">
        <f>IFERROR(IF(VLOOKUP(T_SuiviTw[[#This Row],[NumL]],T_suiviDi[#Data],COLUMN(T_suiviDi[[#This Row],[Prénom]]),FALSE)&lt;&gt;"",VLOOKUP(T_SuiviTw[[#This Row],[NumL]],T_suiviDi[#Data],COLUMN(T_suiviDi[[#This Row],[Prénom]]),FALSE),""),"")</f>
        <v/>
      </c>
      <c r="D163" s="20" t="str">
        <f>IFERROR(IF(VLOOKUP(T_SuiviTw[[#This Row],[NumL]],T_suiviDi[#Data],COLUMN(T_suiviDi[[#This Row],[Email]]),FALSE)&lt;&gt;"",VLOOKUP(T_SuiviTw[[#This Row],[NumL]],T_suiviDi[#Data],COLUMN(T_suiviDi[[#This Row],[Email]]),FALSE),""),"")</f>
        <v/>
      </c>
      <c r="E163" s="274" t="str">
        <f>IFERROR(IF(VLOOKUP(T_SuiviTw[[#This Row],[NumL]],T_suiviDi[#Data],COLUMN(T_suiviDi[[#This Row],[Nom1]]),FALSE)&lt;&gt;"",VLOOKUP(T_SuiviTw[[#This Row],[NumL]],T_suiviDi[#Data],COLUMN(T_suiviDi[[#This Row],[Nom1]]),FALSE),""),"")</f>
        <v/>
      </c>
      <c r="F163" s="274" t="str">
        <f>IFERROR(IF(VLOOKUP(T_SuiviTw[[#This Row],[NumL]],T_suiviDi[#Data],COLUMN(T_suiviDi[[#This Row],[Prénom1]]),FALSE)&lt;&gt;"",VLOOKUP(T_SuiviTw[[#This Row],[NumL]],T_suiviDi[#Data],COLUMN(T_suiviDi[[#This Row],[Prénom1]]),FALSE),""),"")</f>
        <v/>
      </c>
      <c r="G163" s="274" t="str">
        <f>IFERROR(IF(VLOOKUP(T_SuiviTw[[#This Row],[NumL]],T_suiviDi[#Data],COLUMN(T_suiviDi[[#This Row],[Email1]]),FALSE)&lt;&gt;"",VLOOKUP(T_SuiviTw[[#This Row],[NumL]],T_suiviDi[#Data],COLUMN(T_suiviDi[[#This Row],[Email1]]),FALSE),""),"")</f>
        <v/>
      </c>
      <c r="H163" s="275" t="str">
        <f t="shared" si="28"/>
        <v/>
      </c>
      <c r="I163" s="100"/>
      <c r="J163" s="156" t="str">
        <f t="shared" si="29"/>
        <v/>
      </c>
      <c r="K163" s="155" t="str">
        <f t="shared" si="30"/>
        <v/>
      </c>
      <c r="L163" s="100"/>
      <c r="M163" s="156" t="str">
        <f t="shared" ca="1" si="31"/>
        <v/>
      </c>
      <c r="N163" s="49"/>
      <c r="O163" s="49"/>
      <c r="P163" s="105" t="str">
        <f t="shared" si="32"/>
        <v/>
      </c>
      <c r="Q163" s="155" t="str">
        <f t="shared" si="33"/>
        <v/>
      </c>
      <c r="R163" s="100"/>
      <c r="S163" s="156" t="str">
        <f t="shared" ca="1" si="34"/>
        <v/>
      </c>
      <c r="T163" s="101"/>
      <c r="U163" s="101"/>
      <c r="V163" s="101"/>
      <c r="W163" s="144"/>
    </row>
    <row r="164" spans="1:23" ht="24" customHeight="1" x14ac:dyDescent="0.25">
      <c r="A164" s="90">
        <v>275</v>
      </c>
      <c r="B164" s="19" t="str">
        <f>IFERROR(IF(VLOOKUP(T_SuiviTw[[#This Row],[NumL]],T_suiviDi[#Data],COLUMN(T_suiviDi[[#This Row],[Nom]]),FALSE)&lt;&gt;"",VLOOKUP(T_SuiviTw[[#This Row],[NumL]],T_suiviDi[#Data],COLUMN(T_suiviDi[[#This Row],[Nom]]),FALSE),""),"")</f>
        <v/>
      </c>
      <c r="C164" s="19" t="str">
        <f>IFERROR(IF(VLOOKUP(T_SuiviTw[[#This Row],[NumL]],T_suiviDi[#Data],COLUMN(T_suiviDi[[#This Row],[Prénom]]),FALSE)&lt;&gt;"",VLOOKUP(T_SuiviTw[[#This Row],[NumL]],T_suiviDi[#Data],COLUMN(T_suiviDi[[#This Row],[Prénom]]),FALSE),""),"")</f>
        <v/>
      </c>
      <c r="D164" s="20" t="str">
        <f>IFERROR(IF(VLOOKUP(T_SuiviTw[[#This Row],[NumL]],T_suiviDi[#Data],COLUMN(T_suiviDi[[#This Row],[Email]]),FALSE)&lt;&gt;"",VLOOKUP(T_SuiviTw[[#This Row],[NumL]],T_suiviDi[#Data],COLUMN(T_suiviDi[[#This Row],[Email]]),FALSE),""),"")</f>
        <v/>
      </c>
      <c r="E164" s="274" t="str">
        <f>IFERROR(IF(VLOOKUP(T_SuiviTw[[#This Row],[NumL]],T_suiviDi[#Data],COLUMN(T_suiviDi[[#This Row],[Nom1]]),FALSE)&lt;&gt;"",VLOOKUP(T_SuiviTw[[#This Row],[NumL]],T_suiviDi[#Data],COLUMN(T_suiviDi[[#This Row],[Nom1]]),FALSE),""),"")</f>
        <v/>
      </c>
      <c r="F164" s="274" t="str">
        <f>IFERROR(IF(VLOOKUP(T_SuiviTw[[#This Row],[NumL]],T_suiviDi[#Data],COLUMN(T_suiviDi[[#This Row],[Prénom1]]),FALSE)&lt;&gt;"",VLOOKUP(T_SuiviTw[[#This Row],[NumL]],T_suiviDi[#Data],COLUMN(T_suiviDi[[#This Row],[Prénom1]]),FALSE),""),"")</f>
        <v/>
      </c>
      <c r="G164" s="274" t="str">
        <f>IFERROR(IF(VLOOKUP(T_SuiviTw[[#This Row],[NumL]],T_suiviDi[#Data],COLUMN(T_suiviDi[[#This Row],[Email1]]),FALSE)&lt;&gt;"",VLOOKUP(T_SuiviTw[[#This Row],[NumL]],T_suiviDi[#Data],COLUMN(T_suiviDi[[#This Row],[Email1]]),FALSE),""),"")</f>
        <v/>
      </c>
      <c r="H164" s="275" t="str">
        <f t="shared" si="28"/>
        <v/>
      </c>
      <c r="I164" s="100"/>
      <c r="J164" s="156" t="str">
        <f t="shared" si="29"/>
        <v/>
      </c>
      <c r="K164" s="155" t="str">
        <f t="shared" si="30"/>
        <v/>
      </c>
      <c r="L164" s="100"/>
      <c r="M164" s="156" t="str">
        <f t="shared" ca="1" si="31"/>
        <v/>
      </c>
      <c r="N164" s="49"/>
      <c r="O164" s="49"/>
      <c r="P164" s="105" t="str">
        <f t="shared" si="32"/>
        <v/>
      </c>
      <c r="Q164" s="155" t="str">
        <f t="shared" si="33"/>
        <v/>
      </c>
      <c r="R164" s="100"/>
      <c r="S164" s="156" t="str">
        <f t="shared" ca="1" si="34"/>
        <v/>
      </c>
      <c r="T164" s="101"/>
      <c r="U164" s="101"/>
      <c r="V164" s="101"/>
      <c r="W164" s="144"/>
    </row>
    <row r="165" spans="1:23" ht="24" customHeight="1" x14ac:dyDescent="0.25">
      <c r="A165" s="90">
        <v>133</v>
      </c>
      <c r="B165" s="19" t="str">
        <f>IFERROR(IF(VLOOKUP(T_SuiviTw[[#This Row],[NumL]],T_suiviDi[#Data],COLUMN(T_suiviDi[[#This Row],[Nom]]),FALSE)&lt;&gt;"",VLOOKUP(T_SuiviTw[[#This Row],[NumL]],T_suiviDi[#Data],COLUMN(T_suiviDi[[#This Row],[Nom]]),FALSE),""),"")</f>
        <v/>
      </c>
      <c r="C165" s="19" t="str">
        <f>IFERROR(IF(VLOOKUP(T_SuiviTw[[#This Row],[NumL]],T_suiviDi[#Data],COLUMN(T_suiviDi[[#This Row],[Prénom]]),FALSE)&lt;&gt;"",VLOOKUP(T_SuiviTw[[#This Row],[NumL]],T_suiviDi[#Data],COLUMN(T_suiviDi[[#This Row],[Prénom]]),FALSE),""),"")</f>
        <v/>
      </c>
      <c r="D165" s="20" t="str">
        <f>IFERROR(IF(VLOOKUP(T_SuiviTw[[#This Row],[NumL]],T_suiviDi[#Data],COLUMN(T_suiviDi[[#This Row],[Email]]),FALSE)&lt;&gt;"",VLOOKUP(T_SuiviTw[[#This Row],[NumL]],T_suiviDi[#Data],COLUMN(T_suiviDi[[#This Row],[Email]]),FALSE),""),"")</f>
        <v/>
      </c>
      <c r="E165" s="274" t="str">
        <f>IFERROR(IF(VLOOKUP(T_SuiviTw[[#This Row],[NumL]],T_suiviDi[#Data],COLUMN(T_suiviDi[[#This Row],[Nom1]]),FALSE)&lt;&gt;"",VLOOKUP(T_SuiviTw[[#This Row],[NumL]],T_suiviDi[#Data],COLUMN(T_suiviDi[[#This Row],[Nom1]]),FALSE),""),"")</f>
        <v/>
      </c>
      <c r="F165" s="274" t="str">
        <f>IFERROR(IF(VLOOKUP(T_SuiviTw[[#This Row],[NumL]],T_suiviDi[#Data],COLUMN(T_suiviDi[[#This Row],[Prénom1]]),FALSE)&lt;&gt;"",VLOOKUP(T_SuiviTw[[#This Row],[NumL]],T_suiviDi[#Data],COLUMN(T_suiviDi[[#This Row],[Prénom1]]),FALSE),""),"")</f>
        <v/>
      </c>
      <c r="G165" s="274" t="str">
        <f>IFERROR(IF(VLOOKUP(T_SuiviTw[[#This Row],[NumL]],T_suiviDi[#Data],COLUMN(T_suiviDi[[#This Row],[Email1]]),FALSE)&lt;&gt;"",VLOOKUP(T_SuiviTw[[#This Row],[NumL]],T_suiviDi[#Data],COLUMN(T_suiviDi[[#This Row],[Email1]]),FALSE),""),"")</f>
        <v/>
      </c>
      <c r="H165" s="275" t="str">
        <f t="shared" si="28"/>
        <v/>
      </c>
      <c r="I165" s="100"/>
      <c r="J165" s="156" t="str">
        <f t="shared" si="29"/>
        <v/>
      </c>
      <c r="K165" s="155" t="str">
        <f t="shared" si="30"/>
        <v/>
      </c>
      <c r="L165" s="100"/>
      <c r="M165" s="156" t="str">
        <f t="shared" ca="1" si="31"/>
        <v/>
      </c>
      <c r="N165" s="49"/>
      <c r="O165" s="49"/>
      <c r="P165" s="105" t="str">
        <f t="shared" si="32"/>
        <v/>
      </c>
      <c r="Q165" s="155" t="str">
        <f t="shared" si="33"/>
        <v/>
      </c>
      <c r="R165" s="100"/>
      <c r="S165" s="156" t="str">
        <f t="shared" ca="1" si="34"/>
        <v/>
      </c>
      <c r="T165" s="101"/>
      <c r="U165" s="101"/>
      <c r="V165" s="101"/>
      <c r="W165" s="144"/>
    </row>
    <row r="166" spans="1:23" ht="24" customHeight="1" x14ac:dyDescent="0.25">
      <c r="A166" s="90">
        <v>321</v>
      </c>
      <c r="B166" s="139" t="str">
        <f>IFERROR(IF(VLOOKUP(T_SuiviTw[[#This Row],[NumL]],T_suiviDi[#Data],COLUMN(T_suiviDi[[#This Row],[Nom]]),FALSE)&lt;&gt;"",VLOOKUP(T_SuiviTw[[#This Row],[NumL]],T_suiviDi[#Data],COLUMN(T_suiviDi[[#This Row],[Nom]]),FALSE),""),"")</f>
        <v/>
      </c>
      <c r="C166" s="139" t="str">
        <f>IFERROR(IF(VLOOKUP(T_SuiviTw[[#This Row],[NumL]],T_suiviDi[#Data],COLUMN(T_suiviDi[[#This Row],[Prénom]]),FALSE)&lt;&gt;"",VLOOKUP(T_SuiviTw[[#This Row],[NumL]],T_suiviDi[#Data],COLUMN(T_suiviDi[[#This Row],[Prénom]]),FALSE),""),"")</f>
        <v/>
      </c>
      <c r="D166" s="140" t="str">
        <f>IFERROR(IF(VLOOKUP(T_SuiviTw[[#This Row],[NumL]],T_suiviDi[#Data],COLUMN(T_suiviDi[[#This Row],[Email]]),FALSE)&lt;&gt;"",VLOOKUP(T_SuiviTw[[#This Row],[NumL]],T_suiviDi[#Data],COLUMN(T_suiviDi[[#This Row],[Email]]),FALSE),""),"")</f>
        <v/>
      </c>
      <c r="E166" s="141" t="str">
        <f>IFERROR(IF(VLOOKUP(T_SuiviTw[[#This Row],[NumL]],T_suiviDi[#Data],COLUMN(T_suiviDi[[#This Row],[Nom1]]),FALSE)&lt;&gt;"",VLOOKUP(T_SuiviTw[[#This Row],[NumL]],T_suiviDi[#Data],COLUMN(T_suiviDi[[#This Row],[Nom1]]),FALSE),""),"")</f>
        <v/>
      </c>
      <c r="F166" s="141" t="str">
        <f>IFERROR(IF(VLOOKUP(T_SuiviTw[[#This Row],[NumL]],T_suiviDi[#Data],COLUMN(T_suiviDi[[#This Row],[Prénom1]]),FALSE)&lt;&gt;"",VLOOKUP(T_SuiviTw[[#This Row],[NumL]],T_suiviDi[#Data],COLUMN(T_suiviDi[[#This Row],[Prénom1]]),FALSE),""),"")</f>
        <v/>
      </c>
      <c r="G166" s="141" t="str">
        <f>IFERROR(IF(VLOOKUP(T_SuiviTw[[#This Row],[NumL]],T_suiviDi[#Data],COLUMN(T_suiviDi[[#This Row],[Email1]]),FALSE)&lt;&gt;"",VLOOKUP(T_SuiviTw[[#This Row],[NumL]],T_suiviDi[#Data],COLUMN(T_suiviDi[[#This Row],[Email1]]),FALSE),""),"")</f>
        <v/>
      </c>
      <c r="H166" s="155" t="str">
        <f t="shared" si="28"/>
        <v/>
      </c>
      <c r="I166" s="100"/>
      <c r="J166" s="156" t="str">
        <f t="shared" si="29"/>
        <v/>
      </c>
      <c r="K166" s="155" t="str">
        <f t="shared" si="30"/>
        <v/>
      </c>
      <c r="L166" s="100"/>
      <c r="M166" s="156" t="str">
        <f t="shared" ca="1" si="31"/>
        <v/>
      </c>
      <c r="N166" s="49"/>
      <c r="O166" s="49"/>
      <c r="P166" s="105" t="str">
        <f t="shared" si="32"/>
        <v/>
      </c>
      <c r="Q166" s="155" t="str">
        <f t="shared" si="33"/>
        <v/>
      </c>
      <c r="R166" s="100"/>
      <c r="S166" s="156" t="str">
        <f t="shared" ca="1" si="34"/>
        <v/>
      </c>
      <c r="T166" s="101"/>
      <c r="U166" s="101"/>
      <c r="V166" s="101"/>
      <c r="W166" s="144"/>
    </row>
    <row r="167" spans="1:23" ht="24" customHeight="1" x14ac:dyDescent="0.25">
      <c r="A167" s="90">
        <v>238</v>
      </c>
      <c r="B167" s="19" t="str">
        <f>IFERROR(IF(VLOOKUP(T_SuiviTw[[#This Row],[NumL]],T_suiviDi[#Data],COLUMN(T_suiviDi[[#This Row],[Nom]]),FALSE)&lt;&gt;"",VLOOKUP(T_SuiviTw[[#This Row],[NumL]],T_suiviDi[#Data],COLUMN(T_suiviDi[[#This Row],[Nom]]),FALSE),""),"")</f>
        <v/>
      </c>
      <c r="C167" s="19" t="str">
        <f>IFERROR(IF(VLOOKUP(T_SuiviTw[[#This Row],[NumL]],T_suiviDi[#Data],COLUMN(T_suiviDi[[#This Row],[Prénom]]),FALSE)&lt;&gt;"",VLOOKUP(T_SuiviTw[[#This Row],[NumL]],T_suiviDi[#Data],COLUMN(T_suiviDi[[#This Row],[Prénom]]),FALSE),""),"")</f>
        <v/>
      </c>
      <c r="D167" s="20" t="str">
        <f>IFERROR(IF(VLOOKUP(T_SuiviTw[[#This Row],[NumL]],T_suiviDi[#Data],COLUMN(T_suiviDi[[#This Row],[Email]]),FALSE)&lt;&gt;"",VLOOKUP(T_SuiviTw[[#This Row],[NumL]],T_suiviDi[#Data],COLUMN(T_suiviDi[[#This Row],[Email]]),FALSE),""),"")</f>
        <v/>
      </c>
      <c r="E167" s="274" t="str">
        <f>IFERROR(IF(VLOOKUP(T_SuiviTw[[#This Row],[NumL]],T_suiviDi[#Data],COLUMN(T_suiviDi[[#This Row],[Nom1]]),FALSE)&lt;&gt;"",VLOOKUP(T_SuiviTw[[#This Row],[NumL]],T_suiviDi[#Data],COLUMN(T_suiviDi[[#This Row],[Nom1]]),FALSE),""),"")</f>
        <v/>
      </c>
      <c r="F167" s="274" t="str">
        <f>IFERROR(IF(VLOOKUP(T_SuiviTw[[#This Row],[NumL]],T_suiviDi[#Data],COLUMN(T_suiviDi[[#This Row],[Prénom1]]),FALSE)&lt;&gt;"",VLOOKUP(T_SuiviTw[[#This Row],[NumL]],T_suiviDi[#Data],COLUMN(T_suiviDi[[#This Row],[Prénom1]]),FALSE),""),"")</f>
        <v/>
      </c>
      <c r="G167" s="274" t="str">
        <f>IFERROR(IF(VLOOKUP(T_SuiviTw[[#This Row],[NumL]],T_suiviDi[#Data],COLUMN(T_suiviDi[[#This Row],[Email1]]),FALSE)&lt;&gt;"",VLOOKUP(T_SuiviTw[[#This Row],[NumL]],T_suiviDi[#Data],COLUMN(T_suiviDi[[#This Row],[Email1]]),FALSE),""),"")</f>
        <v/>
      </c>
      <c r="H167" s="275" t="str">
        <f t="shared" si="28"/>
        <v/>
      </c>
      <c r="I167" s="100"/>
      <c r="J167" s="156" t="str">
        <f t="shared" si="29"/>
        <v/>
      </c>
      <c r="K167" s="155" t="str">
        <f t="shared" si="30"/>
        <v/>
      </c>
      <c r="L167" s="100"/>
      <c r="M167" s="156" t="str">
        <f t="shared" ca="1" si="31"/>
        <v/>
      </c>
      <c r="N167" s="49"/>
      <c r="O167" s="49"/>
      <c r="P167" s="105" t="str">
        <f t="shared" si="32"/>
        <v/>
      </c>
      <c r="Q167" s="155" t="str">
        <f t="shared" si="33"/>
        <v/>
      </c>
      <c r="R167" s="100"/>
      <c r="S167" s="156" t="str">
        <f t="shared" ca="1" si="34"/>
        <v/>
      </c>
      <c r="T167" s="101"/>
      <c r="U167" s="101"/>
      <c r="V167" s="101"/>
      <c r="W167" s="144"/>
    </row>
    <row r="168" spans="1:23" ht="24" customHeight="1" x14ac:dyDescent="0.25">
      <c r="A168" s="90">
        <v>34</v>
      </c>
      <c r="B168" s="19" t="str">
        <f>IFERROR(IF(VLOOKUP(T_SuiviTw[[#This Row],[NumL]],T_suiviDi[#Data],COLUMN(T_suiviDi[[#This Row],[Nom]]),FALSE)&lt;&gt;"",VLOOKUP(T_SuiviTw[[#This Row],[NumL]],T_suiviDi[#Data],COLUMN(T_suiviDi[[#This Row],[Nom]]),FALSE),""),"")</f>
        <v/>
      </c>
      <c r="C168" s="19" t="str">
        <f>IFERROR(IF(VLOOKUP(T_SuiviTw[[#This Row],[NumL]],T_suiviDi[#Data],COLUMN(T_suiviDi[[#This Row],[Prénom]]),FALSE)&lt;&gt;"",VLOOKUP(T_SuiviTw[[#This Row],[NumL]],T_suiviDi[#Data],COLUMN(T_suiviDi[[#This Row],[Prénom]]),FALSE),""),"")</f>
        <v/>
      </c>
      <c r="D168" s="20" t="str">
        <f>IFERROR(IF(VLOOKUP(T_SuiviTw[[#This Row],[NumL]],T_suiviDi[#Data],COLUMN(T_suiviDi[[#This Row],[Email]]),FALSE)&lt;&gt;"",VLOOKUP(T_SuiviTw[[#This Row],[NumL]],T_suiviDi[#Data],COLUMN(T_suiviDi[[#This Row],[Email]]),FALSE),""),"")</f>
        <v/>
      </c>
      <c r="E168" s="274" t="str">
        <f>IFERROR(IF(VLOOKUP(T_SuiviTw[[#This Row],[NumL]],T_suiviDi[#Data],COLUMN(T_suiviDi[[#This Row],[Nom1]]),FALSE)&lt;&gt;"",VLOOKUP(T_SuiviTw[[#This Row],[NumL]],T_suiviDi[#Data],COLUMN(T_suiviDi[[#This Row],[Nom1]]),FALSE),""),"")</f>
        <v/>
      </c>
      <c r="F168" s="274" t="str">
        <f>IFERROR(IF(VLOOKUP(T_SuiviTw[[#This Row],[NumL]],T_suiviDi[#Data],COLUMN(T_suiviDi[[#This Row],[Prénom1]]),FALSE)&lt;&gt;"",VLOOKUP(T_SuiviTw[[#This Row],[NumL]],T_suiviDi[#Data],COLUMN(T_suiviDi[[#This Row],[Prénom1]]),FALSE),""),"")</f>
        <v/>
      </c>
      <c r="G168" s="274" t="str">
        <f>IFERROR(IF(VLOOKUP(T_SuiviTw[[#This Row],[NumL]],T_suiviDi[#Data],COLUMN(T_suiviDi[[#This Row],[Email1]]),FALSE)&lt;&gt;"",VLOOKUP(T_SuiviTw[[#This Row],[NumL]],T_suiviDi[#Data],COLUMN(T_suiviDi[[#This Row],[Email1]]),FALSE),""),"")</f>
        <v/>
      </c>
      <c r="H168" s="275" t="str">
        <f t="shared" si="28"/>
        <v/>
      </c>
      <c r="I168" s="100"/>
      <c r="J168" s="156" t="str">
        <f t="shared" si="29"/>
        <v/>
      </c>
      <c r="K168" s="155" t="str">
        <f t="shared" si="30"/>
        <v/>
      </c>
      <c r="L168" s="100"/>
      <c r="M168" s="156" t="str">
        <f t="shared" ca="1" si="31"/>
        <v/>
      </c>
      <c r="N168" s="49"/>
      <c r="O168" s="49"/>
      <c r="P168" s="105" t="str">
        <f t="shared" si="32"/>
        <v/>
      </c>
      <c r="Q168" s="155" t="str">
        <f t="shared" si="33"/>
        <v/>
      </c>
      <c r="R168" s="100"/>
      <c r="S168" s="156" t="str">
        <f t="shared" ca="1" si="34"/>
        <v/>
      </c>
      <c r="T168" s="101"/>
      <c r="U168" s="101"/>
      <c r="V168" s="101"/>
      <c r="W168" s="144"/>
    </row>
    <row r="169" spans="1:23" ht="24" customHeight="1" x14ac:dyDescent="0.25">
      <c r="A169" s="90">
        <v>144</v>
      </c>
      <c r="B169" s="19" t="str">
        <f>IFERROR(IF(VLOOKUP(T_SuiviTw[[#This Row],[NumL]],T_suiviDi[#Data],COLUMN(T_suiviDi[[#This Row],[Nom]]),FALSE)&lt;&gt;"",VLOOKUP(T_SuiviTw[[#This Row],[NumL]],T_suiviDi[#Data],COLUMN(T_suiviDi[[#This Row],[Nom]]),FALSE),""),"")</f>
        <v/>
      </c>
      <c r="C169" s="19" t="str">
        <f>IFERROR(IF(VLOOKUP(T_SuiviTw[[#This Row],[NumL]],T_suiviDi[#Data],COLUMN(T_suiviDi[[#This Row],[Prénom]]),FALSE)&lt;&gt;"",VLOOKUP(T_SuiviTw[[#This Row],[NumL]],T_suiviDi[#Data],COLUMN(T_suiviDi[[#This Row],[Prénom]]),FALSE),""),"")</f>
        <v/>
      </c>
      <c r="D169" s="20" t="str">
        <f>IFERROR(IF(VLOOKUP(T_SuiviTw[[#This Row],[NumL]],T_suiviDi[#Data],COLUMN(T_suiviDi[[#This Row],[Email]]),FALSE)&lt;&gt;"",VLOOKUP(T_SuiviTw[[#This Row],[NumL]],T_suiviDi[#Data],COLUMN(T_suiviDi[[#This Row],[Email]]),FALSE),""),"")</f>
        <v/>
      </c>
      <c r="E169" s="274" t="str">
        <f>IFERROR(IF(VLOOKUP(T_SuiviTw[[#This Row],[NumL]],T_suiviDi[#Data],COLUMN(T_suiviDi[[#This Row],[Nom1]]),FALSE)&lt;&gt;"",VLOOKUP(T_SuiviTw[[#This Row],[NumL]],T_suiviDi[#Data],COLUMN(T_suiviDi[[#This Row],[Nom1]]),FALSE),""),"")</f>
        <v/>
      </c>
      <c r="F169" s="274" t="str">
        <f>IFERROR(IF(VLOOKUP(T_SuiviTw[[#This Row],[NumL]],T_suiviDi[#Data],COLUMN(T_suiviDi[[#This Row],[Prénom1]]),FALSE)&lt;&gt;"",VLOOKUP(T_SuiviTw[[#This Row],[NumL]],T_suiviDi[#Data],COLUMN(T_suiviDi[[#This Row],[Prénom1]]),FALSE),""),"")</f>
        <v/>
      </c>
      <c r="G169" s="274" t="str">
        <f>IFERROR(IF(VLOOKUP(T_SuiviTw[[#This Row],[NumL]],T_suiviDi[#Data],COLUMN(T_suiviDi[[#This Row],[Email1]]),FALSE)&lt;&gt;"",VLOOKUP(T_SuiviTw[[#This Row],[NumL]],T_suiviDi[#Data],COLUMN(T_suiviDi[[#This Row],[Email1]]),FALSE),""),"")</f>
        <v/>
      </c>
      <c r="H169" s="275" t="str">
        <f t="shared" si="28"/>
        <v/>
      </c>
      <c r="I169" s="100"/>
      <c r="J169" s="156" t="str">
        <f t="shared" si="29"/>
        <v/>
      </c>
      <c r="K169" s="155" t="str">
        <f t="shared" si="30"/>
        <v/>
      </c>
      <c r="L169" s="100"/>
      <c r="M169" s="156" t="str">
        <f t="shared" ca="1" si="31"/>
        <v/>
      </c>
      <c r="N169" s="49"/>
      <c r="O169" s="49"/>
      <c r="P169" s="105" t="str">
        <f t="shared" si="32"/>
        <v/>
      </c>
      <c r="Q169" s="155" t="str">
        <f t="shared" si="33"/>
        <v/>
      </c>
      <c r="R169" s="100"/>
      <c r="S169" s="156" t="str">
        <f t="shared" ca="1" si="34"/>
        <v/>
      </c>
      <c r="T169" s="101"/>
      <c r="U169" s="101"/>
      <c r="V169" s="101"/>
      <c r="W169" s="144"/>
    </row>
    <row r="170" spans="1:23" ht="24" customHeight="1" x14ac:dyDescent="0.25">
      <c r="A170" s="90">
        <v>101</v>
      </c>
      <c r="B170" s="19" t="str">
        <f>IFERROR(IF(VLOOKUP(T_SuiviTw[[#This Row],[NumL]],T_suiviDi[#Data],COLUMN(T_suiviDi[[#This Row],[Nom]]),FALSE)&lt;&gt;"",VLOOKUP(T_SuiviTw[[#This Row],[NumL]],T_suiviDi[#Data],COLUMN(T_suiviDi[[#This Row],[Nom]]),FALSE),""),"")</f>
        <v/>
      </c>
      <c r="C170" s="19" t="str">
        <f>IFERROR(IF(VLOOKUP(T_SuiviTw[[#This Row],[NumL]],T_suiviDi[#Data],COLUMN(T_suiviDi[[#This Row],[Prénom]]),FALSE)&lt;&gt;"",VLOOKUP(T_SuiviTw[[#This Row],[NumL]],T_suiviDi[#Data],COLUMN(T_suiviDi[[#This Row],[Prénom]]),FALSE),""),"")</f>
        <v/>
      </c>
      <c r="D170" s="20" t="str">
        <f>IFERROR(IF(VLOOKUP(T_SuiviTw[[#This Row],[NumL]],T_suiviDi[#Data],COLUMN(T_suiviDi[[#This Row],[Email]]),FALSE)&lt;&gt;"",VLOOKUP(T_SuiviTw[[#This Row],[NumL]],T_suiviDi[#Data],COLUMN(T_suiviDi[[#This Row],[Email]]),FALSE),""),"")</f>
        <v/>
      </c>
      <c r="E170" s="274" t="str">
        <f>IFERROR(IF(VLOOKUP(T_SuiviTw[[#This Row],[NumL]],T_suiviDi[#Data],COLUMN(T_suiviDi[[#This Row],[Nom1]]),FALSE)&lt;&gt;"",VLOOKUP(T_SuiviTw[[#This Row],[NumL]],T_suiviDi[#Data],COLUMN(T_suiviDi[[#This Row],[Nom1]]),FALSE),""),"")</f>
        <v/>
      </c>
      <c r="F170" s="274" t="str">
        <f>IFERROR(IF(VLOOKUP(T_SuiviTw[[#This Row],[NumL]],T_suiviDi[#Data],COLUMN(T_suiviDi[[#This Row],[Prénom1]]),FALSE)&lt;&gt;"",VLOOKUP(T_SuiviTw[[#This Row],[NumL]],T_suiviDi[#Data],COLUMN(T_suiviDi[[#This Row],[Prénom1]]),FALSE),""),"")</f>
        <v/>
      </c>
      <c r="G170" s="274" t="str">
        <f>IFERROR(IF(VLOOKUP(T_SuiviTw[[#This Row],[NumL]],T_suiviDi[#Data],COLUMN(T_suiviDi[[#This Row],[Email1]]),FALSE)&lt;&gt;"",VLOOKUP(T_SuiviTw[[#This Row],[NumL]],T_suiviDi[#Data],COLUMN(T_suiviDi[[#This Row],[Email1]]),FALSE),""),"")</f>
        <v/>
      </c>
      <c r="H170" s="275" t="str">
        <f t="shared" si="28"/>
        <v/>
      </c>
      <c r="I170" s="100"/>
      <c r="J170" s="156" t="str">
        <f t="shared" si="29"/>
        <v/>
      </c>
      <c r="K170" s="155" t="str">
        <f t="shared" si="30"/>
        <v/>
      </c>
      <c r="L170" s="100"/>
      <c r="M170" s="156" t="str">
        <f t="shared" ca="1" si="31"/>
        <v/>
      </c>
      <c r="N170" s="49"/>
      <c r="O170" s="49"/>
      <c r="P170" s="105" t="str">
        <f t="shared" si="32"/>
        <v/>
      </c>
      <c r="Q170" s="155" t="str">
        <f t="shared" si="33"/>
        <v/>
      </c>
      <c r="R170" s="100"/>
      <c r="S170" s="156" t="str">
        <f t="shared" ca="1" si="34"/>
        <v/>
      </c>
      <c r="T170" s="101"/>
      <c r="U170" s="101"/>
      <c r="V170" s="101"/>
      <c r="W170" s="144"/>
    </row>
    <row r="171" spans="1:23" ht="24" customHeight="1" x14ac:dyDescent="0.25">
      <c r="A171" s="90">
        <v>67</v>
      </c>
      <c r="B171" s="19" t="str">
        <f>IFERROR(IF(VLOOKUP(T_SuiviTw[[#This Row],[NumL]],T_suiviDi[#Data],COLUMN(T_suiviDi[[#This Row],[Nom]]),FALSE)&lt;&gt;"",VLOOKUP(T_SuiviTw[[#This Row],[NumL]],T_suiviDi[#Data],COLUMN(T_suiviDi[[#This Row],[Nom]]),FALSE),""),"")</f>
        <v/>
      </c>
      <c r="C171" s="19" t="str">
        <f>IFERROR(IF(VLOOKUP(T_SuiviTw[[#This Row],[NumL]],T_suiviDi[#Data],COLUMN(T_suiviDi[[#This Row],[Prénom]]),FALSE)&lt;&gt;"",VLOOKUP(T_SuiviTw[[#This Row],[NumL]],T_suiviDi[#Data],COLUMN(T_suiviDi[[#This Row],[Prénom]]),FALSE),""),"")</f>
        <v/>
      </c>
      <c r="D171" s="20" t="str">
        <f>IFERROR(IF(VLOOKUP(T_SuiviTw[[#This Row],[NumL]],T_suiviDi[#Data],COLUMN(T_suiviDi[[#This Row],[Email]]),FALSE)&lt;&gt;"",VLOOKUP(T_SuiviTw[[#This Row],[NumL]],T_suiviDi[#Data],COLUMN(T_suiviDi[[#This Row],[Email]]),FALSE),""),"")</f>
        <v/>
      </c>
      <c r="E171" s="274" t="str">
        <f>IFERROR(IF(VLOOKUP(T_SuiviTw[[#This Row],[NumL]],T_suiviDi[#Data],COLUMN(T_suiviDi[[#This Row],[Nom1]]),FALSE)&lt;&gt;"",VLOOKUP(T_SuiviTw[[#This Row],[NumL]],T_suiviDi[#Data],COLUMN(T_suiviDi[[#This Row],[Nom1]]),FALSE),""),"")</f>
        <v/>
      </c>
      <c r="F171" s="274" t="str">
        <f>IFERROR(IF(VLOOKUP(T_SuiviTw[[#This Row],[NumL]],T_suiviDi[#Data],COLUMN(T_suiviDi[[#This Row],[Prénom1]]),FALSE)&lt;&gt;"",VLOOKUP(T_SuiviTw[[#This Row],[NumL]],T_suiviDi[#Data],COLUMN(T_suiviDi[[#This Row],[Prénom1]]),FALSE),""),"")</f>
        <v/>
      </c>
      <c r="G171" s="274" t="str">
        <f>IFERROR(IF(VLOOKUP(T_SuiviTw[[#This Row],[NumL]],T_suiviDi[#Data],COLUMN(T_suiviDi[[#This Row],[Email1]]),FALSE)&lt;&gt;"",VLOOKUP(T_SuiviTw[[#This Row],[NumL]],T_suiviDi[#Data],COLUMN(T_suiviDi[[#This Row],[Email1]]),FALSE),""),"")</f>
        <v/>
      </c>
      <c r="H171" s="275" t="str">
        <f t="shared" si="28"/>
        <v/>
      </c>
      <c r="I171" s="100"/>
      <c r="J171" s="156" t="str">
        <f t="shared" si="29"/>
        <v/>
      </c>
      <c r="K171" s="155" t="str">
        <f t="shared" si="30"/>
        <v/>
      </c>
      <c r="L171" s="100"/>
      <c r="M171" s="156" t="str">
        <f t="shared" ca="1" si="31"/>
        <v/>
      </c>
      <c r="N171" s="49"/>
      <c r="O171" s="49"/>
      <c r="P171" s="105" t="str">
        <f t="shared" si="32"/>
        <v/>
      </c>
      <c r="Q171" s="155" t="str">
        <f t="shared" si="33"/>
        <v/>
      </c>
      <c r="R171" s="100"/>
      <c r="S171" s="156" t="str">
        <f t="shared" ca="1" si="34"/>
        <v/>
      </c>
      <c r="T171" s="101"/>
      <c r="U171" s="101"/>
      <c r="V171" s="101"/>
      <c r="W171" s="144"/>
    </row>
    <row r="172" spans="1:23" ht="24" customHeight="1" x14ac:dyDescent="0.25">
      <c r="A172" s="90">
        <v>339</v>
      </c>
      <c r="B172" s="139" t="str">
        <f>IFERROR(IF(VLOOKUP(T_SuiviTw[[#This Row],[NumL]],T_suiviDi[#Data],COLUMN(T_suiviDi[[#This Row],[Nom]]),FALSE)&lt;&gt;"",VLOOKUP(T_SuiviTw[[#This Row],[NumL]],T_suiviDi[#Data],COLUMN(T_suiviDi[[#This Row],[Nom]]),FALSE),""),"")</f>
        <v/>
      </c>
      <c r="C172" s="139" t="str">
        <f>IFERROR(IF(VLOOKUP(T_SuiviTw[[#This Row],[NumL]],T_suiviDi[#Data],COLUMN(T_suiviDi[[#This Row],[Prénom]]),FALSE)&lt;&gt;"",VLOOKUP(T_SuiviTw[[#This Row],[NumL]],T_suiviDi[#Data],COLUMN(T_suiviDi[[#This Row],[Prénom]]),FALSE),""),"")</f>
        <v/>
      </c>
      <c r="D172" s="140" t="str">
        <f>IFERROR(IF(VLOOKUP(T_SuiviTw[[#This Row],[NumL]],T_suiviDi[#Data],COLUMN(T_suiviDi[[#This Row],[Email]]),FALSE)&lt;&gt;"",VLOOKUP(T_SuiviTw[[#This Row],[NumL]],T_suiviDi[#Data],COLUMN(T_suiviDi[[#This Row],[Email]]),FALSE),""),"")</f>
        <v/>
      </c>
      <c r="E172" s="141" t="str">
        <f>IFERROR(IF(VLOOKUP(T_SuiviTw[[#This Row],[NumL]],T_suiviDi[#Data],COLUMN(T_suiviDi[[#This Row],[Nom1]]),FALSE)&lt;&gt;"",VLOOKUP(T_SuiviTw[[#This Row],[NumL]],T_suiviDi[#Data],COLUMN(T_suiviDi[[#This Row],[Nom1]]),FALSE),""),"")</f>
        <v/>
      </c>
      <c r="F172" s="141" t="str">
        <f>IFERROR(IF(VLOOKUP(T_SuiviTw[[#This Row],[NumL]],T_suiviDi[#Data],COLUMN(T_suiviDi[[#This Row],[Prénom1]]),FALSE)&lt;&gt;"",VLOOKUP(T_SuiviTw[[#This Row],[NumL]],T_suiviDi[#Data],COLUMN(T_suiviDi[[#This Row],[Prénom1]]),FALSE),""),"")</f>
        <v/>
      </c>
      <c r="G172" s="141" t="str">
        <f>IFERROR(IF(VLOOKUP(T_SuiviTw[[#This Row],[NumL]],T_suiviDi[#Data],COLUMN(T_suiviDi[[#This Row],[Email1]]),FALSE)&lt;&gt;"",VLOOKUP(T_SuiviTw[[#This Row],[NumL]],T_suiviDi[#Data],COLUMN(T_suiviDi[[#This Row],[Email1]]),FALSE),""),"")</f>
        <v/>
      </c>
      <c r="H172" s="155" t="str">
        <f t="shared" si="28"/>
        <v/>
      </c>
      <c r="I172" s="100"/>
      <c r="J172" s="156" t="str">
        <f t="shared" si="29"/>
        <v/>
      </c>
      <c r="K172" s="155" t="str">
        <f t="shared" si="30"/>
        <v/>
      </c>
      <c r="L172" s="100"/>
      <c r="M172" s="156" t="str">
        <f t="shared" ca="1" si="31"/>
        <v/>
      </c>
      <c r="N172" s="49"/>
      <c r="O172" s="49"/>
      <c r="P172" s="105" t="str">
        <f t="shared" si="32"/>
        <v/>
      </c>
      <c r="Q172" s="155" t="str">
        <f t="shared" si="33"/>
        <v/>
      </c>
      <c r="R172" s="100"/>
      <c r="S172" s="156" t="str">
        <f t="shared" ca="1" si="34"/>
        <v/>
      </c>
      <c r="T172" s="101"/>
      <c r="U172" s="101"/>
      <c r="V172" s="101"/>
      <c r="W172" s="144"/>
    </row>
    <row r="173" spans="1:23" ht="24" customHeight="1" x14ac:dyDescent="0.25">
      <c r="A173" s="90">
        <v>287</v>
      </c>
      <c r="B173" s="19" t="str">
        <f>IFERROR(IF(VLOOKUP(T_SuiviTw[[#This Row],[NumL]],T_suiviDi[#Data],COLUMN(T_suiviDi[[#This Row],[Nom]]),FALSE)&lt;&gt;"",VLOOKUP(T_SuiviTw[[#This Row],[NumL]],T_suiviDi[#Data],COLUMN(T_suiviDi[[#This Row],[Nom]]),FALSE),""),"")</f>
        <v/>
      </c>
      <c r="C173" s="19" t="str">
        <f>IFERROR(IF(VLOOKUP(T_SuiviTw[[#This Row],[NumL]],T_suiviDi[#Data],COLUMN(T_suiviDi[[#This Row],[Prénom]]),FALSE)&lt;&gt;"",VLOOKUP(T_SuiviTw[[#This Row],[NumL]],T_suiviDi[#Data],COLUMN(T_suiviDi[[#This Row],[Prénom]]),FALSE),""),"")</f>
        <v/>
      </c>
      <c r="D173" s="20" t="str">
        <f>IFERROR(IF(VLOOKUP(T_SuiviTw[[#This Row],[NumL]],T_suiviDi[#Data],COLUMN(T_suiviDi[[#This Row],[Email]]),FALSE)&lt;&gt;"",VLOOKUP(T_SuiviTw[[#This Row],[NumL]],T_suiviDi[#Data],COLUMN(T_suiviDi[[#This Row],[Email]]),FALSE),""),"")</f>
        <v/>
      </c>
      <c r="E173" s="274" t="str">
        <f>IFERROR(IF(VLOOKUP(T_SuiviTw[[#This Row],[NumL]],T_suiviDi[#Data],COLUMN(T_suiviDi[[#This Row],[Nom1]]),FALSE)&lt;&gt;"",VLOOKUP(T_SuiviTw[[#This Row],[NumL]],T_suiviDi[#Data],COLUMN(T_suiviDi[[#This Row],[Nom1]]),FALSE),""),"")</f>
        <v/>
      </c>
      <c r="F173" s="274" t="str">
        <f>IFERROR(IF(VLOOKUP(T_SuiviTw[[#This Row],[NumL]],T_suiviDi[#Data],COLUMN(T_suiviDi[[#This Row],[Prénom1]]),FALSE)&lt;&gt;"",VLOOKUP(T_SuiviTw[[#This Row],[NumL]],T_suiviDi[#Data],COLUMN(T_suiviDi[[#This Row],[Prénom1]]),FALSE),""),"")</f>
        <v/>
      </c>
      <c r="G173" s="274" t="str">
        <f>IFERROR(IF(VLOOKUP(T_SuiviTw[[#This Row],[NumL]],T_suiviDi[#Data],COLUMN(T_suiviDi[[#This Row],[Email1]]),FALSE)&lt;&gt;"",VLOOKUP(T_SuiviTw[[#This Row],[NumL]],T_suiviDi[#Data],COLUMN(T_suiviDi[[#This Row],[Email1]]),FALSE),""),"")</f>
        <v/>
      </c>
      <c r="H173" s="275" t="str">
        <f t="shared" si="28"/>
        <v/>
      </c>
      <c r="I173" s="100"/>
      <c r="J173" s="156" t="str">
        <f t="shared" si="29"/>
        <v/>
      </c>
      <c r="K173" s="155" t="str">
        <f t="shared" si="30"/>
        <v/>
      </c>
      <c r="L173" s="100"/>
      <c r="M173" s="156" t="str">
        <f t="shared" ca="1" si="31"/>
        <v/>
      </c>
      <c r="N173" s="49"/>
      <c r="O173" s="49"/>
      <c r="P173" s="105" t="str">
        <f t="shared" si="32"/>
        <v/>
      </c>
      <c r="Q173" s="155" t="str">
        <f t="shared" si="33"/>
        <v/>
      </c>
      <c r="R173" s="100"/>
      <c r="S173" s="156" t="str">
        <f t="shared" ca="1" si="34"/>
        <v/>
      </c>
      <c r="T173" s="101"/>
      <c r="U173" s="101"/>
      <c r="V173" s="101"/>
      <c r="W173" s="144"/>
    </row>
    <row r="174" spans="1:23" ht="24" customHeight="1" x14ac:dyDescent="0.25">
      <c r="A174" s="90">
        <v>224</v>
      </c>
      <c r="B174" s="19" t="str">
        <f>IFERROR(IF(VLOOKUP(T_SuiviTw[[#This Row],[NumL]],T_suiviDi[#Data],COLUMN(T_suiviDi[[#This Row],[Nom]]),FALSE)&lt;&gt;"",VLOOKUP(T_SuiviTw[[#This Row],[NumL]],T_suiviDi[#Data],COLUMN(T_suiviDi[[#This Row],[Nom]]),FALSE),""),"")</f>
        <v/>
      </c>
      <c r="C174" s="19" t="str">
        <f>IFERROR(IF(VLOOKUP(T_SuiviTw[[#This Row],[NumL]],T_suiviDi[#Data],COLUMN(T_suiviDi[[#This Row],[Prénom]]),FALSE)&lt;&gt;"",VLOOKUP(T_SuiviTw[[#This Row],[NumL]],T_suiviDi[#Data],COLUMN(T_suiviDi[[#This Row],[Prénom]]),FALSE),""),"")</f>
        <v/>
      </c>
      <c r="D174" s="20" t="str">
        <f>IFERROR(IF(VLOOKUP(T_SuiviTw[[#This Row],[NumL]],T_suiviDi[#Data],COLUMN(T_suiviDi[[#This Row],[Email]]),FALSE)&lt;&gt;"",VLOOKUP(T_SuiviTw[[#This Row],[NumL]],T_suiviDi[#Data],COLUMN(T_suiviDi[[#This Row],[Email]]),FALSE),""),"")</f>
        <v/>
      </c>
      <c r="E174" s="274" t="str">
        <f>IFERROR(IF(VLOOKUP(T_SuiviTw[[#This Row],[NumL]],T_suiviDi[#Data],COLUMN(T_suiviDi[[#This Row],[Nom1]]),FALSE)&lt;&gt;"",VLOOKUP(T_SuiviTw[[#This Row],[NumL]],T_suiviDi[#Data],COLUMN(T_suiviDi[[#This Row],[Nom1]]),FALSE),""),"")</f>
        <v/>
      </c>
      <c r="F174" s="274" t="str">
        <f>IFERROR(IF(VLOOKUP(T_SuiviTw[[#This Row],[NumL]],T_suiviDi[#Data],COLUMN(T_suiviDi[[#This Row],[Prénom1]]),FALSE)&lt;&gt;"",VLOOKUP(T_SuiviTw[[#This Row],[NumL]],T_suiviDi[#Data],COLUMN(T_suiviDi[[#This Row],[Prénom1]]),FALSE),""),"")</f>
        <v/>
      </c>
      <c r="G174" s="274" t="str">
        <f>IFERROR(IF(VLOOKUP(T_SuiviTw[[#This Row],[NumL]],T_suiviDi[#Data],COLUMN(T_suiviDi[[#This Row],[Email1]]),FALSE)&lt;&gt;"",VLOOKUP(T_SuiviTw[[#This Row],[NumL]],T_suiviDi[#Data],COLUMN(T_suiviDi[[#This Row],[Email1]]),FALSE),""),"")</f>
        <v/>
      </c>
      <c r="H174" s="275" t="str">
        <f t="shared" si="28"/>
        <v/>
      </c>
      <c r="I174" s="100"/>
      <c r="J174" s="156" t="str">
        <f t="shared" si="29"/>
        <v/>
      </c>
      <c r="K174" s="155" t="str">
        <f t="shared" si="30"/>
        <v/>
      </c>
      <c r="L174" s="100"/>
      <c r="M174" s="156" t="str">
        <f t="shared" ca="1" si="31"/>
        <v/>
      </c>
      <c r="N174" s="49"/>
      <c r="O174" s="49"/>
      <c r="P174" s="105" t="str">
        <f t="shared" si="32"/>
        <v/>
      </c>
      <c r="Q174" s="155" t="str">
        <f t="shared" si="33"/>
        <v/>
      </c>
      <c r="R174" s="100"/>
      <c r="S174" s="156" t="str">
        <f t="shared" ca="1" si="34"/>
        <v/>
      </c>
      <c r="T174" s="101"/>
      <c r="U174" s="101"/>
      <c r="V174" s="101"/>
      <c r="W174" s="144"/>
    </row>
    <row r="175" spans="1:23" ht="24" customHeight="1" x14ac:dyDescent="0.25">
      <c r="A175" s="90">
        <v>250</v>
      </c>
      <c r="B175" s="19" t="str">
        <f>IFERROR(IF(VLOOKUP(T_SuiviTw[[#This Row],[NumL]],T_suiviDi[#Data],COLUMN(T_suiviDi[[#This Row],[Nom]]),FALSE)&lt;&gt;"",VLOOKUP(T_SuiviTw[[#This Row],[NumL]],T_suiviDi[#Data],COLUMN(T_suiviDi[[#This Row],[Nom]]),FALSE),""),"")</f>
        <v/>
      </c>
      <c r="C175" s="19" t="str">
        <f>IFERROR(IF(VLOOKUP(T_SuiviTw[[#This Row],[NumL]],T_suiviDi[#Data],COLUMN(T_suiviDi[[#This Row],[Prénom]]),FALSE)&lt;&gt;"",VLOOKUP(T_SuiviTw[[#This Row],[NumL]],T_suiviDi[#Data],COLUMN(T_suiviDi[[#This Row],[Prénom]]),FALSE),""),"")</f>
        <v/>
      </c>
      <c r="D175" s="20" t="str">
        <f>IFERROR(IF(VLOOKUP(T_SuiviTw[[#This Row],[NumL]],T_suiviDi[#Data],COLUMN(T_suiviDi[[#This Row],[Email]]),FALSE)&lt;&gt;"",VLOOKUP(T_SuiviTw[[#This Row],[NumL]],T_suiviDi[#Data],COLUMN(T_suiviDi[[#This Row],[Email]]),FALSE),""),"")</f>
        <v/>
      </c>
      <c r="E175" s="274" t="str">
        <f>IFERROR(IF(VLOOKUP(T_SuiviTw[[#This Row],[NumL]],T_suiviDi[#Data],COLUMN(T_suiviDi[[#This Row],[Nom1]]),FALSE)&lt;&gt;"",VLOOKUP(T_SuiviTw[[#This Row],[NumL]],T_suiviDi[#Data],COLUMN(T_suiviDi[[#This Row],[Nom1]]),FALSE),""),"")</f>
        <v/>
      </c>
      <c r="F175" s="274" t="str">
        <f>IFERROR(IF(VLOOKUP(T_SuiviTw[[#This Row],[NumL]],T_suiviDi[#Data],COLUMN(T_suiviDi[[#This Row],[Prénom1]]),FALSE)&lt;&gt;"",VLOOKUP(T_SuiviTw[[#This Row],[NumL]],T_suiviDi[#Data],COLUMN(T_suiviDi[[#This Row],[Prénom1]]),FALSE),""),"")</f>
        <v/>
      </c>
      <c r="G175" s="274" t="str">
        <f>IFERROR(IF(VLOOKUP(T_SuiviTw[[#This Row],[NumL]],T_suiviDi[#Data],COLUMN(T_suiviDi[[#This Row],[Email1]]),FALSE)&lt;&gt;"",VLOOKUP(T_SuiviTw[[#This Row],[NumL]],T_suiviDi[#Data],COLUMN(T_suiviDi[[#This Row],[Email1]]),FALSE),""),"")</f>
        <v/>
      </c>
      <c r="H175" s="275" t="str">
        <f t="shared" si="28"/>
        <v/>
      </c>
      <c r="I175" s="100"/>
      <c r="J175" s="156" t="str">
        <f t="shared" si="29"/>
        <v/>
      </c>
      <c r="K175" s="155" t="str">
        <f t="shared" si="30"/>
        <v/>
      </c>
      <c r="L175" s="100"/>
      <c r="M175" s="156" t="str">
        <f t="shared" ca="1" si="31"/>
        <v/>
      </c>
      <c r="N175" s="49"/>
      <c r="O175" s="49"/>
      <c r="P175" s="105" t="str">
        <f t="shared" si="32"/>
        <v/>
      </c>
      <c r="Q175" s="155" t="str">
        <f t="shared" si="33"/>
        <v/>
      </c>
      <c r="R175" s="100"/>
      <c r="S175" s="156" t="str">
        <f t="shared" ca="1" si="34"/>
        <v/>
      </c>
      <c r="T175" s="101"/>
      <c r="U175" s="101"/>
      <c r="V175" s="101"/>
      <c r="W175" s="144"/>
    </row>
    <row r="176" spans="1:23" ht="24" customHeight="1" x14ac:dyDescent="0.25">
      <c r="A176" s="90">
        <v>81</v>
      </c>
      <c r="B176" s="19" t="str">
        <f>IFERROR(IF(VLOOKUP(T_SuiviTw[[#This Row],[NumL]],T_suiviDi[#Data],COLUMN(T_suiviDi[[#This Row],[Nom]]),FALSE)&lt;&gt;"",VLOOKUP(T_SuiviTw[[#This Row],[NumL]],T_suiviDi[#Data],COLUMN(T_suiviDi[[#This Row],[Nom]]),FALSE),""),"")</f>
        <v/>
      </c>
      <c r="C176" s="19" t="str">
        <f>IFERROR(IF(VLOOKUP(T_SuiviTw[[#This Row],[NumL]],T_suiviDi[#Data],COLUMN(T_suiviDi[[#This Row],[Prénom]]),FALSE)&lt;&gt;"",VLOOKUP(T_SuiviTw[[#This Row],[NumL]],T_suiviDi[#Data],COLUMN(T_suiviDi[[#This Row],[Prénom]]),FALSE),""),"")</f>
        <v/>
      </c>
      <c r="D176" s="20" t="str">
        <f>IFERROR(IF(VLOOKUP(T_SuiviTw[[#This Row],[NumL]],T_suiviDi[#Data],COLUMN(T_suiviDi[[#This Row],[Email]]),FALSE)&lt;&gt;"",VLOOKUP(T_SuiviTw[[#This Row],[NumL]],T_suiviDi[#Data],COLUMN(T_suiviDi[[#This Row],[Email]]),FALSE),""),"")</f>
        <v/>
      </c>
      <c r="E176" s="274" t="str">
        <f>IFERROR(IF(VLOOKUP(T_SuiviTw[[#This Row],[NumL]],T_suiviDi[#Data],COLUMN(T_suiviDi[[#This Row],[Nom1]]),FALSE)&lt;&gt;"",VLOOKUP(T_SuiviTw[[#This Row],[NumL]],T_suiviDi[#Data],COLUMN(T_suiviDi[[#This Row],[Nom1]]),FALSE),""),"")</f>
        <v/>
      </c>
      <c r="F176" s="274" t="str">
        <f>IFERROR(IF(VLOOKUP(T_SuiviTw[[#This Row],[NumL]],T_suiviDi[#Data],COLUMN(T_suiviDi[[#This Row],[Prénom1]]),FALSE)&lt;&gt;"",VLOOKUP(T_SuiviTw[[#This Row],[NumL]],T_suiviDi[#Data],COLUMN(T_suiviDi[[#This Row],[Prénom1]]),FALSE),""),"")</f>
        <v/>
      </c>
      <c r="G176" s="274" t="str">
        <f>IFERROR(IF(VLOOKUP(T_SuiviTw[[#This Row],[NumL]],T_suiviDi[#Data],COLUMN(T_suiviDi[[#This Row],[Email1]]),FALSE)&lt;&gt;"",VLOOKUP(T_SuiviTw[[#This Row],[NumL]],T_suiviDi[#Data],COLUMN(T_suiviDi[[#This Row],[Email1]]),FALSE),""),"")</f>
        <v/>
      </c>
      <c r="H176" s="275" t="str">
        <f t="shared" si="28"/>
        <v/>
      </c>
      <c r="I176" s="100"/>
      <c r="J176" s="156" t="str">
        <f t="shared" si="29"/>
        <v/>
      </c>
      <c r="K176" s="155" t="str">
        <f t="shared" si="30"/>
        <v/>
      </c>
      <c r="L176" s="100"/>
      <c r="M176" s="156" t="str">
        <f t="shared" ca="1" si="31"/>
        <v/>
      </c>
      <c r="N176" s="49"/>
      <c r="O176" s="49"/>
      <c r="P176" s="105" t="str">
        <f t="shared" si="32"/>
        <v/>
      </c>
      <c r="Q176" s="155" t="str">
        <f t="shared" si="33"/>
        <v/>
      </c>
      <c r="R176" s="100"/>
      <c r="S176" s="156" t="str">
        <f t="shared" ca="1" si="34"/>
        <v/>
      </c>
      <c r="T176" s="101"/>
      <c r="U176" s="101"/>
      <c r="V176" s="101"/>
      <c r="W176" s="144"/>
    </row>
    <row r="177" spans="1:23" ht="24" customHeight="1" x14ac:dyDescent="0.25">
      <c r="A177" s="90">
        <v>195</v>
      </c>
      <c r="B177" s="19" t="str">
        <f>IFERROR(IF(VLOOKUP(T_SuiviTw[[#This Row],[NumL]],T_suiviDi[#Data],COLUMN(T_suiviDi[[#This Row],[Nom]]),FALSE)&lt;&gt;"",VLOOKUP(T_SuiviTw[[#This Row],[NumL]],T_suiviDi[#Data],COLUMN(T_suiviDi[[#This Row],[Nom]]),FALSE),""),"")</f>
        <v/>
      </c>
      <c r="C177" s="19" t="str">
        <f>IFERROR(IF(VLOOKUP(T_SuiviTw[[#This Row],[NumL]],T_suiviDi[#Data],COLUMN(T_suiviDi[[#This Row],[Prénom]]),FALSE)&lt;&gt;"",VLOOKUP(T_SuiviTw[[#This Row],[NumL]],T_suiviDi[#Data],COLUMN(T_suiviDi[[#This Row],[Prénom]]),FALSE),""),"")</f>
        <v/>
      </c>
      <c r="D177" s="20" t="str">
        <f>IFERROR(IF(VLOOKUP(T_SuiviTw[[#This Row],[NumL]],T_suiviDi[#Data],COLUMN(T_suiviDi[[#This Row],[Email]]),FALSE)&lt;&gt;"",VLOOKUP(T_SuiviTw[[#This Row],[NumL]],T_suiviDi[#Data],COLUMN(T_suiviDi[[#This Row],[Email]]),FALSE),""),"")</f>
        <v/>
      </c>
      <c r="E177" s="274" t="str">
        <f>IFERROR(IF(VLOOKUP(T_SuiviTw[[#This Row],[NumL]],T_suiviDi[#Data],COLUMN(T_suiviDi[[#This Row],[Nom1]]),FALSE)&lt;&gt;"",VLOOKUP(T_SuiviTw[[#This Row],[NumL]],T_suiviDi[#Data],COLUMN(T_suiviDi[[#This Row],[Nom1]]),FALSE),""),"")</f>
        <v/>
      </c>
      <c r="F177" s="274" t="str">
        <f>IFERROR(IF(VLOOKUP(T_SuiviTw[[#This Row],[NumL]],T_suiviDi[#Data],COLUMN(T_suiviDi[[#This Row],[Prénom1]]),FALSE)&lt;&gt;"",VLOOKUP(T_SuiviTw[[#This Row],[NumL]],T_suiviDi[#Data],COLUMN(T_suiviDi[[#This Row],[Prénom1]]),FALSE),""),"")</f>
        <v/>
      </c>
      <c r="G177" s="274" t="str">
        <f>IFERROR(IF(VLOOKUP(T_SuiviTw[[#This Row],[NumL]],T_suiviDi[#Data],COLUMN(T_suiviDi[[#This Row],[Email1]]),FALSE)&lt;&gt;"",VLOOKUP(T_SuiviTw[[#This Row],[NumL]],T_suiviDi[#Data],COLUMN(T_suiviDi[[#This Row],[Email1]]),FALSE),""),"")</f>
        <v/>
      </c>
      <c r="H177" s="275" t="str">
        <f t="shared" si="28"/>
        <v/>
      </c>
      <c r="I177" s="100"/>
      <c r="J177" s="156" t="str">
        <f t="shared" si="29"/>
        <v/>
      </c>
      <c r="K177" s="155" t="str">
        <f t="shared" si="30"/>
        <v/>
      </c>
      <c r="L177" s="100"/>
      <c r="M177" s="156" t="str">
        <f t="shared" ca="1" si="31"/>
        <v/>
      </c>
      <c r="N177" s="49"/>
      <c r="O177" s="49"/>
      <c r="P177" s="105" t="str">
        <f t="shared" si="32"/>
        <v/>
      </c>
      <c r="Q177" s="155" t="str">
        <f t="shared" si="33"/>
        <v/>
      </c>
      <c r="R177" s="100"/>
      <c r="S177" s="156" t="str">
        <f t="shared" ca="1" si="34"/>
        <v/>
      </c>
      <c r="T177" s="101"/>
      <c r="U177" s="101"/>
      <c r="V177" s="101"/>
      <c r="W177" s="144"/>
    </row>
    <row r="178" spans="1:23" ht="24" customHeight="1" x14ac:dyDescent="0.25">
      <c r="A178" s="90">
        <v>289</v>
      </c>
      <c r="B178" s="19" t="str">
        <f>IFERROR(IF(VLOOKUP(T_SuiviTw[[#This Row],[NumL]],T_suiviDi[#Data],COLUMN(T_suiviDi[[#This Row],[Nom]]),FALSE)&lt;&gt;"",VLOOKUP(T_SuiviTw[[#This Row],[NumL]],T_suiviDi[#Data],COLUMN(T_suiviDi[[#This Row],[Nom]]),FALSE),""),"")</f>
        <v/>
      </c>
      <c r="C178" s="19" t="str">
        <f>IFERROR(IF(VLOOKUP(T_SuiviTw[[#This Row],[NumL]],T_suiviDi[#Data],COLUMN(T_suiviDi[[#This Row],[Prénom]]),FALSE)&lt;&gt;"",VLOOKUP(T_SuiviTw[[#This Row],[NumL]],T_suiviDi[#Data],COLUMN(T_suiviDi[[#This Row],[Prénom]]),FALSE),""),"")</f>
        <v/>
      </c>
      <c r="D178" s="20" t="str">
        <f>IFERROR(IF(VLOOKUP(T_SuiviTw[[#This Row],[NumL]],T_suiviDi[#Data],COLUMN(T_suiviDi[[#This Row],[Email]]),FALSE)&lt;&gt;"",VLOOKUP(T_SuiviTw[[#This Row],[NumL]],T_suiviDi[#Data],COLUMN(T_suiviDi[[#This Row],[Email]]),FALSE),""),"")</f>
        <v/>
      </c>
      <c r="E178" s="274" t="str">
        <f>IFERROR(IF(VLOOKUP(T_SuiviTw[[#This Row],[NumL]],T_suiviDi[#Data],COLUMN(T_suiviDi[[#This Row],[Nom1]]),FALSE)&lt;&gt;"",VLOOKUP(T_SuiviTw[[#This Row],[NumL]],T_suiviDi[#Data],COLUMN(T_suiviDi[[#This Row],[Nom1]]),FALSE),""),"")</f>
        <v/>
      </c>
      <c r="F178" s="274" t="str">
        <f>IFERROR(IF(VLOOKUP(T_SuiviTw[[#This Row],[NumL]],T_suiviDi[#Data],COLUMN(T_suiviDi[[#This Row],[Prénom1]]),FALSE)&lt;&gt;"",VLOOKUP(T_SuiviTw[[#This Row],[NumL]],T_suiviDi[#Data],COLUMN(T_suiviDi[[#This Row],[Prénom1]]),FALSE),""),"")</f>
        <v/>
      </c>
      <c r="G178" s="274" t="str">
        <f>IFERROR(IF(VLOOKUP(T_SuiviTw[[#This Row],[NumL]],T_suiviDi[#Data],COLUMN(T_suiviDi[[#This Row],[Email1]]),FALSE)&lt;&gt;"",VLOOKUP(T_SuiviTw[[#This Row],[NumL]],T_suiviDi[#Data],COLUMN(T_suiviDi[[#This Row],[Email1]]),FALSE),""),"")</f>
        <v/>
      </c>
      <c r="H178" s="275" t="str">
        <f t="shared" si="28"/>
        <v/>
      </c>
      <c r="I178" s="100"/>
      <c r="J178" s="156" t="str">
        <f t="shared" si="29"/>
        <v/>
      </c>
      <c r="K178" s="155" t="str">
        <f t="shared" si="30"/>
        <v/>
      </c>
      <c r="L178" s="100"/>
      <c r="M178" s="156" t="str">
        <f t="shared" ca="1" si="31"/>
        <v/>
      </c>
      <c r="N178" s="49"/>
      <c r="O178" s="49"/>
      <c r="P178" s="105" t="str">
        <f t="shared" si="32"/>
        <v/>
      </c>
      <c r="Q178" s="155" t="str">
        <f t="shared" si="33"/>
        <v/>
      </c>
      <c r="R178" s="100"/>
      <c r="S178" s="156" t="str">
        <f t="shared" ca="1" si="34"/>
        <v/>
      </c>
      <c r="T178" s="101"/>
      <c r="U178" s="101"/>
      <c r="V178" s="101"/>
      <c r="W178" s="144"/>
    </row>
    <row r="179" spans="1:23" ht="24" customHeight="1" x14ac:dyDescent="0.25">
      <c r="A179" s="90">
        <v>1</v>
      </c>
      <c r="B179" s="19" t="str">
        <f>IFERROR(IF(VLOOKUP(A179,ListeDI,3,FALSE)&lt;&gt;"",VLOOKUP(A179,ListeDI,3,FALSE),""),"")</f>
        <v/>
      </c>
      <c r="C179" s="19" t="str">
        <f>IFERROR(IF(VLOOKUP(A179,ListeDI,4,FALSE)&lt;&gt;"",VLOOKUP(A179,ListeDI,4,FALSE),""),"")</f>
        <v/>
      </c>
      <c r="D179" s="20" t="str">
        <f>IFERROR(IF(VLOOKUP(A179,ListeDI,5,FALSE)&lt;&gt;"",VLOOKUP(A179,ListeDI,5,FALSE),""),"")</f>
        <v/>
      </c>
      <c r="E179" s="274" t="str">
        <f>IFERROR(IF(VLOOKUP(A179,ListeDI,10,FALSE)&lt;&gt;"",VLOOKUP(A179,ListeDI,10,FALSE),""),"")</f>
        <v/>
      </c>
      <c r="F179" s="274" t="str">
        <f>IFERROR(IF(VLOOKUP(A179,ListeDI,11,FALSE)&lt;&gt;"",VLOOKUP(A179,ListeDI,11,FALSE),""),"")</f>
        <v/>
      </c>
      <c r="G179" s="274" t="str">
        <f>IFERROR(IF(VLOOKUP(A179,ListeDI,12,FALSE)&lt;&gt;"",VLOOKUP(A179,ListeDI,12,FALSE),""),"")</f>
        <v/>
      </c>
      <c r="H179" s="275" t="str">
        <f t="shared" si="28"/>
        <v/>
      </c>
      <c r="I179" s="100"/>
      <c r="J179" s="104" t="str">
        <f t="shared" si="29"/>
        <v/>
      </c>
      <c r="K179" s="99" t="str">
        <f t="shared" si="30"/>
        <v/>
      </c>
      <c r="L179" s="100"/>
      <c r="M179" s="104" t="str">
        <f t="shared" ca="1" si="31"/>
        <v/>
      </c>
      <c r="N179" s="49"/>
      <c r="O179" s="49"/>
      <c r="P179" s="105" t="str">
        <f t="shared" si="32"/>
        <v/>
      </c>
      <c r="Q179" s="99" t="str">
        <f t="shared" si="33"/>
        <v/>
      </c>
      <c r="R179" s="100"/>
      <c r="S179" s="104" t="str">
        <f t="shared" ca="1" si="34"/>
        <v/>
      </c>
      <c r="T179" s="101"/>
      <c r="U179" s="101"/>
      <c r="V179" s="101"/>
      <c r="W179" s="144"/>
    </row>
    <row r="180" spans="1:23" ht="24" customHeight="1" x14ac:dyDescent="0.25">
      <c r="A180" s="90">
        <v>99</v>
      </c>
      <c r="B180" s="19" t="str">
        <f>IFERROR(IF(VLOOKUP(T_SuiviTw[[#This Row],[NumL]],T_suiviDi[#Data],COLUMN(T_suiviDi[[#This Row],[Nom]]),FALSE)&lt;&gt;"",VLOOKUP(T_SuiviTw[[#This Row],[NumL]],T_suiviDi[#Data],COLUMN(T_suiviDi[[#This Row],[Nom]]),FALSE),""),"")</f>
        <v/>
      </c>
      <c r="C180" s="19" t="str">
        <f>IFERROR(IF(VLOOKUP(T_SuiviTw[[#This Row],[NumL]],T_suiviDi[#Data],COLUMN(T_suiviDi[[#This Row],[Prénom]]),FALSE)&lt;&gt;"",VLOOKUP(T_SuiviTw[[#This Row],[NumL]],T_suiviDi[#Data],COLUMN(T_suiviDi[[#This Row],[Prénom]]),FALSE),""),"")</f>
        <v/>
      </c>
      <c r="D180" s="20" t="str">
        <f>IFERROR(IF(VLOOKUP(T_SuiviTw[[#This Row],[NumL]],T_suiviDi[#Data],COLUMN(T_suiviDi[[#This Row],[Email]]),FALSE)&lt;&gt;"",VLOOKUP(T_SuiviTw[[#This Row],[NumL]],T_suiviDi[#Data],COLUMN(T_suiviDi[[#This Row],[Email]]),FALSE),""),"")</f>
        <v/>
      </c>
      <c r="E180" s="274" t="str">
        <f>IFERROR(IF(VLOOKUP(T_SuiviTw[[#This Row],[NumL]],T_suiviDi[#Data],COLUMN(T_suiviDi[[#This Row],[Nom1]]),FALSE)&lt;&gt;"",VLOOKUP(T_SuiviTw[[#This Row],[NumL]],T_suiviDi[#Data],COLUMN(T_suiviDi[[#This Row],[Nom1]]),FALSE),""),"")</f>
        <v/>
      </c>
      <c r="F180" s="274" t="str">
        <f>IFERROR(IF(VLOOKUP(T_SuiviTw[[#This Row],[NumL]],T_suiviDi[#Data],COLUMN(T_suiviDi[[#This Row],[Prénom1]]),FALSE)&lt;&gt;"",VLOOKUP(T_SuiviTw[[#This Row],[NumL]],T_suiviDi[#Data],COLUMN(T_suiviDi[[#This Row],[Prénom1]]),FALSE),""),"")</f>
        <v/>
      </c>
      <c r="G180" s="274" t="str">
        <f>IFERROR(IF(VLOOKUP(T_SuiviTw[[#This Row],[NumL]],T_suiviDi[#Data],COLUMN(T_suiviDi[[#This Row],[Email1]]),FALSE)&lt;&gt;"",VLOOKUP(T_SuiviTw[[#This Row],[NumL]],T_suiviDi[#Data],COLUMN(T_suiviDi[[#This Row],[Email1]]),FALSE),""),"")</f>
        <v/>
      </c>
      <c r="H180" s="275" t="str">
        <f t="shared" si="28"/>
        <v/>
      </c>
      <c r="I180" s="100"/>
      <c r="J180" s="156" t="str">
        <f t="shared" si="29"/>
        <v/>
      </c>
      <c r="K180" s="155" t="str">
        <f t="shared" si="30"/>
        <v/>
      </c>
      <c r="L180" s="100"/>
      <c r="M180" s="156" t="str">
        <f t="shared" ca="1" si="31"/>
        <v/>
      </c>
      <c r="N180" s="49"/>
      <c r="O180" s="49"/>
      <c r="P180" s="105" t="str">
        <f t="shared" si="32"/>
        <v/>
      </c>
      <c r="Q180" s="155" t="str">
        <f t="shared" si="33"/>
        <v/>
      </c>
      <c r="R180" s="100"/>
      <c r="S180" s="156" t="str">
        <f t="shared" ca="1" si="34"/>
        <v/>
      </c>
      <c r="T180" s="101"/>
      <c r="U180" s="101"/>
      <c r="V180" s="101"/>
      <c r="W180" s="144"/>
    </row>
    <row r="181" spans="1:23" ht="24" customHeight="1" x14ac:dyDescent="0.25">
      <c r="A181" s="90">
        <v>270</v>
      </c>
      <c r="B181" s="19" t="str">
        <f>IFERROR(IF(VLOOKUP(T_SuiviTw[[#This Row],[NumL]],T_suiviDi[#Data],COLUMN(T_suiviDi[[#This Row],[Nom]]),FALSE)&lt;&gt;"",VLOOKUP(T_SuiviTw[[#This Row],[NumL]],T_suiviDi[#Data],COLUMN(T_suiviDi[[#This Row],[Nom]]),FALSE),""),"")</f>
        <v/>
      </c>
      <c r="C181" s="19" t="str">
        <f>IFERROR(IF(VLOOKUP(T_SuiviTw[[#This Row],[NumL]],T_suiviDi[#Data],COLUMN(T_suiviDi[[#This Row],[Prénom]]),FALSE)&lt;&gt;"",VLOOKUP(T_SuiviTw[[#This Row],[NumL]],T_suiviDi[#Data],COLUMN(T_suiviDi[[#This Row],[Prénom]]),FALSE),""),"")</f>
        <v/>
      </c>
      <c r="D181" s="20" t="str">
        <f>IFERROR(IF(VLOOKUP(T_SuiviTw[[#This Row],[NumL]],T_suiviDi[#Data],COLUMN(T_suiviDi[[#This Row],[Email]]),FALSE)&lt;&gt;"",VLOOKUP(T_SuiviTw[[#This Row],[NumL]],T_suiviDi[#Data],COLUMN(T_suiviDi[[#This Row],[Email]]),FALSE),""),"")</f>
        <v/>
      </c>
      <c r="E181" s="274" t="str">
        <f>IFERROR(IF(VLOOKUP(T_SuiviTw[[#This Row],[NumL]],T_suiviDi[#Data],COLUMN(T_suiviDi[[#This Row],[Nom1]]),FALSE)&lt;&gt;"",VLOOKUP(T_SuiviTw[[#This Row],[NumL]],T_suiviDi[#Data],COLUMN(T_suiviDi[[#This Row],[Nom1]]),FALSE),""),"")</f>
        <v/>
      </c>
      <c r="F181" s="274" t="str">
        <f>IFERROR(IF(VLOOKUP(T_SuiviTw[[#This Row],[NumL]],T_suiviDi[#Data],COLUMN(T_suiviDi[[#This Row],[Prénom1]]),FALSE)&lt;&gt;"",VLOOKUP(T_SuiviTw[[#This Row],[NumL]],T_suiviDi[#Data],COLUMN(T_suiviDi[[#This Row],[Prénom1]]),FALSE),""),"")</f>
        <v/>
      </c>
      <c r="G181" s="274" t="str">
        <f>IFERROR(IF(VLOOKUP(T_SuiviTw[[#This Row],[NumL]],T_suiviDi[#Data],COLUMN(T_suiviDi[[#This Row],[Email1]]),FALSE)&lt;&gt;"",VLOOKUP(T_SuiviTw[[#This Row],[NumL]],T_suiviDi[#Data],COLUMN(T_suiviDi[[#This Row],[Email1]]),FALSE),""),"")</f>
        <v/>
      </c>
      <c r="H181" s="275" t="str">
        <f t="shared" si="28"/>
        <v/>
      </c>
      <c r="I181" s="100"/>
      <c r="J181" s="156" t="str">
        <f t="shared" si="29"/>
        <v/>
      </c>
      <c r="K181" s="155" t="str">
        <f t="shared" si="30"/>
        <v/>
      </c>
      <c r="L181" s="100"/>
      <c r="M181" s="156" t="str">
        <f t="shared" ca="1" si="31"/>
        <v/>
      </c>
      <c r="N181" s="49"/>
      <c r="O181" s="49"/>
      <c r="P181" s="105" t="str">
        <f t="shared" si="32"/>
        <v/>
      </c>
      <c r="Q181" s="155" t="str">
        <f t="shared" si="33"/>
        <v/>
      </c>
      <c r="R181" s="100"/>
      <c r="S181" s="156" t="str">
        <f t="shared" ca="1" si="34"/>
        <v/>
      </c>
      <c r="T181" s="101"/>
      <c r="U181" s="101"/>
      <c r="V181" s="101"/>
      <c r="W181" s="144"/>
    </row>
    <row r="182" spans="1:23" ht="24" customHeight="1" x14ac:dyDescent="0.25">
      <c r="A182" s="90">
        <v>276</v>
      </c>
      <c r="B182" s="19" t="str">
        <f>IFERROR(IF(VLOOKUP(T_SuiviTw[[#This Row],[NumL]],T_suiviDi[#Data],COLUMN(T_suiviDi[[#This Row],[Nom]]),FALSE)&lt;&gt;"",VLOOKUP(T_SuiviTw[[#This Row],[NumL]],T_suiviDi[#Data],COLUMN(T_suiviDi[[#This Row],[Nom]]),FALSE),""),"")</f>
        <v/>
      </c>
      <c r="C182" s="19" t="str">
        <f>IFERROR(IF(VLOOKUP(T_SuiviTw[[#This Row],[NumL]],T_suiviDi[#Data],COLUMN(T_suiviDi[[#This Row],[Prénom]]),FALSE)&lt;&gt;"",VLOOKUP(T_SuiviTw[[#This Row],[NumL]],T_suiviDi[#Data],COLUMN(T_suiviDi[[#This Row],[Prénom]]),FALSE),""),"")</f>
        <v/>
      </c>
      <c r="D182" s="20" t="str">
        <f>IFERROR(IF(VLOOKUP(T_SuiviTw[[#This Row],[NumL]],T_suiviDi[#Data],COLUMN(T_suiviDi[[#This Row],[Email]]),FALSE)&lt;&gt;"",VLOOKUP(T_SuiviTw[[#This Row],[NumL]],T_suiviDi[#Data],COLUMN(T_suiviDi[[#This Row],[Email]]),FALSE),""),"")</f>
        <v/>
      </c>
      <c r="E182" s="274" t="str">
        <f>IFERROR(IF(VLOOKUP(T_SuiviTw[[#This Row],[NumL]],T_suiviDi[#Data],COLUMN(T_suiviDi[[#This Row],[Nom1]]),FALSE)&lt;&gt;"",VLOOKUP(T_SuiviTw[[#This Row],[NumL]],T_suiviDi[#Data],COLUMN(T_suiviDi[[#This Row],[Nom1]]),FALSE),""),"")</f>
        <v/>
      </c>
      <c r="F182" s="274" t="str">
        <f>IFERROR(IF(VLOOKUP(T_SuiviTw[[#This Row],[NumL]],T_suiviDi[#Data],COLUMN(T_suiviDi[[#This Row],[Prénom1]]),FALSE)&lt;&gt;"",VLOOKUP(T_SuiviTw[[#This Row],[NumL]],T_suiviDi[#Data],COLUMN(T_suiviDi[[#This Row],[Prénom1]]),FALSE),""),"")</f>
        <v/>
      </c>
      <c r="G182" s="274" t="str">
        <f>IFERROR(IF(VLOOKUP(T_SuiviTw[[#This Row],[NumL]],T_suiviDi[#Data],COLUMN(T_suiviDi[[#This Row],[Email1]]),FALSE)&lt;&gt;"",VLOOKUP(T_SuiviTw[[#This Row],[NumL]],T_suiviDi[#Data],COLUMN(T_suiviDi[[#This Row],[Email1]]),FALSE),""),"")</f>
        <v/>
      </c>
      <c r="H182" s="275" t="str">
        <f t="shared" si="28"/>
        <v/>
      </c>
      <c r="I182" s="100"/>
      <c r="J182" s="156" t="str">
        <f t="shared" si="29"/>
        <v/>
      </c>
      <c r="K182" s="155" t="str">
        <f t="shared" si="30"/>
        <v/>
      </c>
      <c r="L182" s="100"/>
      <c r="M182" s="156" t="str">
        <f t="shared" ca="1" si="31"/>
        <v/>
      </c>
      <c r="N182" s="49"/>
      <c r="O182" s="49"/>
      <c r="P182" s="105" t="str">
        <f t="shared" si="32"/>
        <v/>
      </c>
      <c r="Q182" s="155" t="str">
        <f t="shared" si="33"/>
        <v/>
      </c>
      <c r="R182" s="100"/>
      <c r="S182" s="156" t="str">
        <f t="shared" ca="1" si="34"/>
        <v/>
      </c>
      <c r="T182" s="101"/>
      <c r="U182" s="101"/>
      <c r="V182" s="101"/>
      <c r="W182" s="144"/>
    </row>
    <row r="183" spans="1:23" ht="24" customHeight="1" x14ac:dyDescent="0.25">
      <c r="A183" s="90">
        <v>105</v>
      </c>
      <c r="B183" s="19" t="str">
        <f>IFERROR(IF(VLOOKUP(T_SuiviTw[[#This Row],[NumL]],T_suiviDi[#Data],COLUMN(T_suiviDi[[#This Row],[Nom]]),FALSE)&lt;&gt;"",VLOOKUP(T_SuiviTw[[#This Row],[NumL]],T_suiviDi[#Data],COLUMN(T_suiviDi[[#This Row],[Nom]]),FALSE),""),"")</f>
        <v/>
      </c>
      <c r="C183" s="19" t="str">
        <f>IFERROR(IF(VLOOKUP(T_SuiviTw[[#This Row],[NumL]],T_suiviDi[#Data],COLUMN(T_suiviDi[[#This Row],[Prénom]]),FALSE)&lt;&gt;"",VLOOKUP(T_SuiviTw[[#This Row],[NumL]],T_suiviDi[#Data],COLUMN(T_suiviDi[[#This Row],[Prénom]]),FALSE),""),"")</f>
        <v/>
      </c>
      <c r="D183" s="20" t="str">
        <f>IFERROR(IF(VLOOKUP(T_SuiviTw[[#This Row],[NumL]],T_suiviDi[#Data],COLUMN(T_suiviDi[[#This Row],[Email]]),FALSE)&lt;&gt;"",VLOOKUP(T_SuiviTw[[#This Row],[NumL]],T_suiviDi[#Data],COLUMN(T_suiviDi[[#This Row],[Email]]),FALSE),""),"")</f>
        <v/>
      </c>
      <c r="E183" s="274" t="str">
        <f>IFERROR(IF(VLOOKUP(T_SuiviTw[[#This Row],[NumL]],T_suiviDi[#Data],COLUMN(T_suiviDi[[#This Row],[Nom1]]),FALSE)&lt;&gt;"",VLOOKUP(T_SuiviTw[[#This Row],[NumL]],T_suiviDi[#Data],COLUMN(T_suiviDi[[#This Row],[Nom1]]),FALSE),""),"")</f>
        <v/>
      </c>
      <c r="F183" s="274" t="str">
        <f>IFERROR(IF(VLOOKUP(T_SuiviTw[[#This Row],[NumL]],T_suiviDi[#Data],COLUMN(T_suiviDi[[#This Row],[Prénom1]]),FALSE)&lt;&gt;"",VLOOKUP(T_SuiviTw[[#This Row],[NumL]],T_suiviDi[#Data],COLUMN(T_suiviDi[[#This Row],[Prénom1]]),FALSE),""),"")</f>
        <v/>
      </c>
      <c r="G183" s="274" t="str">
        <f>IFERROR(IF(VLOOKUP(T_SuiviTw[[#This Row],[NumL]],T_suiviDi[#Data],COLUMN(T_suiviDi[[#This Row],[Email1]]),FALSE)&lt;&gt;"",VLOOKUP(T_SuiviTw[[#This Row],[NumL]],T_suiviDi[#Data],COLUMN(T_suiviDi[[#This Row],[Email1]]),FALSE),""),"")</f>
        <v/>
      </c>
      <c r="H183" s="275" t="str">
        <f t="shared" si="28"/>
        <v/>
      </c>
      <c r="I183" s="100"/>
      <c r="J183" s="156" t="str">
        <f t="shared" si="29"/>
        <v/>
      </c>
      <c r="K183" s="155" t="str">
        <f t="shared" si="30"/>
        <v/>
      </c>
      <c r="L183" s="100"/>
      <c r="M183" s="156" t="str">
        <f t="shared" ca="1" si="31"/>
        <v/>
      </c>
      <c r="N183" s="49"/>
      <c r="O183" s="49"/>
      <c r="P183" s="105" t="str">
        <f t="shared" si="32"/>
        <v/>
      </c>
      <c r="Q183" s="155" t="str">
        <f t="shared" si="33"/>
        <v/>
      </c>
      <c r="R183" s="100"/>
      <c r="S183" s="156" t="str">
        <f t="shared" ca="1" si="34"/>
        <v/>
      </c>
      <c r="T183" s="101"/>
      <c r="U183" s="101"/>
      <c r="V183" s="101"/>
      <c r="W183" s="144"/>
    </row>
    <row r="184" spans="1:23" ht="24" customHeight="1" x14ac:dyDescent="0.25">
      <c r="A184" s="90">
        <v>356</v>
      </c>
      <c r="B184" s="139" t="str">
        <f>IFERROR(IF(VLOOKUP(T_SuiviTw[[#This Row],[NumL]],T_suiviDi[#Data],COLUMN(T_suiviDi[[#This Row],[Nom]]),FALSE)&lt;&gt;"",VLOOKUP(T_SuiviTw[[#This Row],[NumL]],T_suiviDi[#Data],COLUMN(T_suiviDi[[#This Row],[Nom]]),FALSE),""),"")</f>
        <v/>
      </c>
      <c r="C184" s="139" t="str">
        <f>IFERROR(IF(VLOOKUP(T_SuiviTw[[#This Row],[NumL]],T_suiviDi[#Data],COLUMN(T_suiviDi[[#This Row],[Prénom]]),FALSE)&lt;&gt;"",VLOOKUP(T_SuiviTw[[#This Row],[NumL]],T_suiviDi[#Data],COLUMN(T_suiviDi[[#This Row],[Prénom]]),FALSE),""),"")</f>
        <v/>
      </c>
      <c r="D184" s="140" t="str">
        <f>IFERROR(IF(VLOOKUP(T_SuiviTw[[#This Row],[NumL]],T_suiviDi[#Data],COLUMN(T_suiviDi[[#This Row],[Email]]),FALSE)&lt;&gt;"",VLOOKUP(T_SuiviTw[[#This Row],[NumL]],T_suiviDi[#Data],COLUMN(T_suiviDi[[#This Row],[Email]]),FALSE),""),"")</f>
        <v/>
      </c>
      <c r="E184" s="141" t="str">
        <f>IFERROR(IF(VLOOKUP(T_SuiviTw[[#This Row],[NumL]],T_suiviDi[#Data],COLUMN(T_suiviDi[[#This Row],[Nom1]]),FALSE)&lt;&gt;"",VLOOKUP(T_SuiviTw[[#This Row],[NumL]],T_suiviDi[#Data],COLUMN(T_suiviDi[[#This Row],[Nom1]]),FALSE),""),"")</f>
        <v/>
      </c>
      <c r="F184" s="141" t="str">
        <f>IFERROR(IF(VLOOKUP(T_SuiviTw[[#This Row],[NumL]],T_suiviDi[#Data],COLUMN(T_suiviDi[[#This Row],[Prénom1]]),FALSE)&lt;&gt;"",VLOOKUP(T_SuiviTw[[#This Row],[NumL]],T_suiviDi[#Data],COLUMN(T_suiviDi[[#This Row],[Prénom1]]),FALSE),""),"")</f>
        <v/>
      </c>
      <c r="G184" s="141" t="str">
        <f>IFERROR(IF(VLOOKUP(T_SuiviTw[[#This Row],[NumL]],T_suiviDi[#Data],COLUMN(T_suiviDi[[#This Row],[Email1]]),FALSE)&lt;&gt;"",VLOOKUP(T_SuiviTw[[#This Row],[NumL]],T_suiviDi[#Data],COLUMN(T_suiviDi[[#This Row],[Email1]]),FALSE),""),"")</f>
        <v/>
      </c>
      <c r="H184" s="155" t="str">
        <f t="shared" si="28"/>
        <v/>
      </c>
      <c r="I184" s="100"/>
      <c r="J184" s="156" t="str">
        <f t="shared" si="29"/>
        <v/>
      </c>
      <c r="K184" s="155" t="str">
        <f t="shared" si="30"/>
        <v/>
      </c>
      <c r="L184" s="100"/>
      <c r="M184" s="156" t="str">
        <f t="shared" ca="1" si="31"/>
        <v/>
      </c>
      <c r="N184" s="49"/>
      <c r="O184" s="49"/>
      <c r="P184" s="105" t="str">
        <f t="shared" si="32"/>
        <v/>
      </c>
      <c r="Q184" s="155" t="str">
        <f t="shared" si="33"/>
        <v/>
      </c>
      <c r="R184" s="100"/>
      <c r="S184" s="156" t="str">
        <f t="shared" ca="1" si="34"/>
        <v/>
      </c>
      <c r="T184" s="101"/>
      <c r="U184" s="101"/>
      <c r="V184" s="101"/>
      <c r="W184" s="144"/>
    </row>
    <row r="185" spans="1:23" ht="24" customHeight="1" x14ac:dyDescent="0.25">
      <c r="A185" s="90">
        <v>52</v>
      </c>
      <c r="B185" s="19" t="str">
        <f>IFERROR(IF(VLOOKUP(T_SuiviTw[[#This Row],[NumL]],T_suiviDi[#Data],COLUMN(T_suiviDi[[#This Row],[Nom]]),FALSE)&lt;&gt;"",VLOOKUP(T_SuiviTw[[#This Row],[NumL]],T_suiviDi[#Data],COLUMN(T_suiviDi[[#This Row],[Nom]]),FALSE),""),"")</f>
        <v/>
      </c>
      <c r="C185" s="19" t="str">
        <f>IFERROR(IF(VLOOKUP(T_SuiviTw[[#This Row],[NumL]],T_suiviDi[#Data],COLUMN(T_suiviDi[[#This Row],[Prénom]]),FALSE)&lt;&gt;"",VLOOKUP(T_SuiviTw[[#This Row],[NumL]],T_suiviDi[#Data],COLUMN(T_suiviDi[[#This Row],[Prénom]]),FALSE),""),"")</f>
        <v/>
      </c>
      <c r="D185" s="20" t="str">
        <f>IFERROR(IF(VLOOKUP(T_SuiviTw[[#This Row],[NumL]],T_suiviDi[#Data],COLUMN(T_suiviDi[[#This Row],[Email]]),FALSE)&lt;&gt;"",VLOOKUP(T_SuiviTw[[#This Row],[NumL]],T_suiviDi[#Data],COLUMN(T_suiviDi[[#This Row],[Email]]),FALSE),""),"")</f>
        <v/>
      </c>
      <c r="E185" s="274" t="str">
        <f>IFERROR(IF(VLOOKUP(T_SuiviTw[[#This Row],[NumL]],T_suiviDi[#Data],COLUMN(T_suiviDi[[#This Row],[Nom1]]),FALSE)&lt;&gt;"",VLOOKUP(T_SuiviTw[[#This Row],[NumL]],T_suiviDi[#Data],COLUMN(T_suiviDi[[#This Row],[Nom1]]),FALSE),""),"")</f>
        <v/>
      </c>
      <c r="F185" s="274" t="str">
        <f>IFERROR(IF(VLOOKUP(T_SuiviTw[[#This Row],[NumL]],T_suiviDi[#Data],COLUMN(T_suiviDi[[#This Row],[Prénom1]]),FALSE)&lt;&gt;"",VLOOKUP(T_SuiviTw[[#This Row],[NumL]],T_suiviDi[#Data],COLUMN(T_suiviDi[[#This Row],[Prénom1]]),FALSE),""),"")</f>
        <v/>
      </c>
      <c r="G185" s="274" t="str">
        <f>IFERROR(IF(VLOOKUP(T_SuiviTw[[#This Row],[NumL]],T_suiviDi[#Data],COLUMN(T_suiviDi[[#This Row],[Email1]]),FALSE)&lt;&gt;"",VLOOKUP(T_SuiviTw[[#This Row],[NumL]],T_suiviDi[#Data],COLUMN(T_suiviDi[[#This Row],[Email1]]),FALSE),""),"")</f>
        <v/>
      </c>
      <c r="H185" s="275" t="str">
        <f t="shared" si="28"/>
        <v/>
      </c>
      <c r="I185" s="100"/>
      <c r="J185" s="156" t="str">
        <f t="shared" si="29"/>
        <v/>
      </c>
      <c r="K185" s="155" t="str">
        <f t="shared" si="30"/>
        <v/>
      </c>
      <c r="L185" s="100"/>
      <c r="M185" s="156" t="str">
        <f t="shared" ca="1" si="31"/>
        <v/>
      </c>
      <c r="N185" s="49"/>
      <c r="O185" s="49"/>
      <c r="P185" s="105" t="str">
        <f t="shared" si="32"/>
        <v/>
      </c>
      <c r="Q185" s="155" t="str">
        <f t="shared" si="33"/>
        <v/>
      </c>
      <c r="R185" s="100"/>
      <c r="S185" s="156" t="str">
        <f t="shared" ca="1" si="34"/>
        <v/>
      </c>
      <c r="T185" s="101"/>
      <c r="U185" s="101"/>
      <c r="V185" s="101"/>
      <c r="W185" s="144"/>
    </row>
    <row r="186" spans="1:23" ht="24" customHeight="1" x14ac:dyDescent="0.25">
      <c r="A186" s="90">
        <v>309</v>
      </c>
      <c r="B186" s="139" t="str">
        <f>IFERROR(IF(VLOOKUP(T_SuiviTw[[#This Row],[NumL]],T_suiviDi[#Data],COLUMN(T_suiviDi[[#This Row],[Nom]]),FALSE)&lt;&gt;"",VLOOKUP(T_SuiviTw[[#This Row],[NumL]],T_suiviDi[#Data],COLUMN(T_suiviDi[[#This Row],[Nom]]),FALSE),""),"")</f>
        <v/>
      </c>
      <c r="C186" s="139" t="str">
        <f>IFERROR(IF(VLOOKUP(T_SuiviTw[[#This Row],[NumL]],T_suiviDi[#Data],COLUMN(T_suiviDi[[#This Row],[Prénom]]),FALSE)&lt;&gt;"",VLOOKUP(T_SuiviTw[[#This Row],[NumL]],T_suiviDi[#Data],COLUMN(T_suiviDi[[#This Row],[Prénom]]),FALSE),""),"")</f>
        <v/>
      </c>
      <c r="D186" s="140" t="str">
        <f>IFERROR(IF(VLOOKUP(T_SuiviTw[[#This Row],[NumL]],T_suiviDi[#Data],COLUMN(T_suiviDi[[#This Row],[Email]]),FALSE)&lt;&gt;"",VLOOKUP(T_SuiviTw[[#This Row],[NumL]],T_suiviDi[#Data],COLUMN(T_suiviDi[[#This Row],[Email]]),FALSE),""),"")</f>
        <v/>
      </c>
      <c r="E186" s="141" t="str">
        <f>IFERROR(IF(VLOOKUP(T_SuiviTw[[#This Row],[NumL]],T_suiviDi[#Data],COLUMN(T_suiviDi[[#This Row],[Nom1]]),FALSE)&lt;&gt;"",VLOOKUP(T_SuiviTw[[#This Row],[NumL]],T_suiviDi[#Data],COLUMN(T_suiviDi[[#This Row],[Nom1]]),FALSE),""),"")</f>
        <v/>
      </c>
      <c r="F186" s="141" t="str">
        <f>IFERROR(IF(VLOOKUP(T_SuiviTw[[#This Row],[NumL]],T_suiviDi[#Data],COLUMN(T_suiviDi[[#This Row],[Prénom1]]),FALSE)&lt;&gt;"",VLOOKUP(T_SuiviTw[[#This Row],[NumL]],T_suiviDi[#Data],COLUMN(T_suiviDi[[#This Row],[Prénom1]]),FALSE),""),"")</f>
        <v/>
      </c>
      <c r="G186" s="141" t="str">
        <f>IFERROR(IF(VLOOKUP(T_SuiviTw[[#This Row],[NumL]],T_suiviDi[#Data],COLUMN(T_suiviDi[[#This Row],[Email1]]),FALSE)&lt;&gt;"",VLOOKUP(T_SuiviTw[[#This Row],[NumL]],T_suiviDi[#Data],COLUMN(T_suiviDi[[#This Row],[Email1]]),FALSE),""),"")</f>
        <v/>
      </c>
      <c r="H186" s="155" t="str">
        <f t="shared" si="28"/>
        <v/>
      </c>
      <c r="I186" s="100"/>
      <c r="J186" s="156" t="str">
        <f t="shared" si="29"/>
        <v/>
      </c>
      <c r="K186" s="155" t="str">
        <f t="shared" si="30"/>
        <v/>
      </c>
      <c r="L186" s="100"/>
      <c r="M186" s="156" t="str">
        <f t="shared" ca="1" si="31"/>
        <v/>
      </c>
      <c r="N186" s="49"/>
      <c r="O186" s="49"/>
      <c r="P186" s="105" t="str">
        <f t="shared" si="32"/>
        <v/>
      </c>
      <c r="Q186" s="155" t="str">
        <f t="shared" si="33"/>
        <v/>
      </c>
      <c r="R186" s="100"/>
      <c r="S186" s="156" t="str">
        <f t="shared" ca="1" si="34"/>
        <v/>
      </c>
      <c r="T186" s="101"/>
      <c r="U186" s="101"/>
      <c r="V186" s="101"/>
      <c r="W186" s="144"/>
    </row>
    <row r="187" spans="1:23" ht="24" customHeight="1" x14ac:dyDescent="0.25">
      <c r="A187" s="90">
        <v>35</v>
      </c>
      <c r="B187" s="19" t="str">
        <f>IFERROR(IF(VLOOKUP(T_SuiviTw[[#This Row],[NumL]],T_suiviDi[#Data],COLUMN(T_suiviDi[[#This Row],[Nom]]),FALSE)&lt;&gt;"",VLOOKUP(T_SuiviTw[[#This Row],[NumL]],T_suiviDi[#Data],COLUMN(T_suiviDi[[#This Row],[Nom]]),FALSE),""),"")</f>
        <v/>
      </c>
      <c r="C187" s="19" t="str">
        <f>IFERROR(IF(VLOOKUP(T_SuiviTw[[#This Row],[NumL]],T_suiviDi[#Data],COLUMN(T_suiviDi[[#This Row],[Prénom]]),FALSE)&lt;&gt;"",VLOOKUP(T_SuiviTw[[#This Row],[NumL]],T_suiviDi[#Data],COLUMN(T_suiviDi[[#This Row],[Prénom]]),FALSE),""),"")</f>
        <v/>
      </c>
      <c r="D187" s="20" t="str">
        <f>IFERROR(IF(VLOOKUP(T_SuiviTw[[#This Row],[NumL]],T_suiviDi[#Data],COLUMN(T_suiviDi[[#This Row],[Email]]),FALSE)&lt;&gt;"",VLOOKUP(T_SuiviTw[[#This Row],[NumL]],T_suiviDi[#Data],COLUMN(T_suiviDi[[#This Row],[Email]]),FALSE),""),"")</f>
        <v/>
      </c>
      <c r="E187" s="274" t="str">
        <f>IFERROR(IF(VLOOKUP(T_SuiviTw[[#This Row],[NumL]],T_suiviDi[#Data],COLUMN(T_suiviDi[[#This Row],[Nom1]]),FALSE)&lt;&gt;"",VLOOKUP(T_SuiviTw[[#This Row],[NumL]],T_suiviDi[#Data],COLUMN(T_suiviDi[[#This Row],[Nom1]]),FALSE),""),"")</f>
        <v/>
      </c>
      <c r="F187" s="274" t="str">
        <f>IFERROR(IF(VLOOKUP(T_SuiviTw[[#This Row],[NumL]],T_suiviDi[#Data],COLUMN(T_suiviDi[[#This Row],[Prénom1]]),FALSE)&lt;&gt;"",VLOOKUP(T_SuiviTw[[#This Row],[NumL]],T_suiviDi[#Data],COLUMN(T_suiviDi[[#This Row],[Prénom1]]),FALSE),""),"")</f>
        <v/>
      </c>
      <c r="G187" s="274" t="str">
        <f>IFERROR(IF(VLOOKUP(T_SuiviTw[[#This Row],[NumL]],T_suiviDi[#Data],COLUMN(T_suiviDi[[#This Row],[Email1]]),FALSE)&lt;&gt;"",VLOOKUP(T_SuiviTw[[#This Row],[NumL]],T_suiviDi[#Data],COLUMN(T_suiviDi[[#This Row],[Email1]]),FALSE),""),"")</f>
        <v/>
      </c>
      <c r="H187" s="275" t="str">
        <f t="shared" si="28"/>
        <v/>
      </c>
      <c r="I187" s="100"/>
      <c r="J187" s="156" t="str">
        <f t="shared" si="29"/>
        <v/>
      </c>
      <c r="K187" s="155" t="str">
        <f t="shared" si="30"/>
        <v/>
      </c>
      <c r="L187" s="100"/>
      <c r="M187" s="156" t="str">
        <f t="shared" ca="1" si="31"/>
        <v/>
      </c>
      <c r="N187" s="49"/>
      <c r="O187" s="49"/>
      <c r="P187" s="105" t="str">
        <f t="shared" si="32"/>
        <v/>
      </c>
      <c r="Q187" s="155" t="str">
        <f t="shared" si="33"/>
        <v/>
      </c>
      <c r="R187" s="100"/>
      <c r="S187" s="156" t="str">
        <f t="shared" ca="1" si="34"/>
        <v/>
      </c>
      <c r="T187" s="101"/>
      <c r="U187" s="101"/>
      <c r="V187" s="101"/>
      <c r="W187" s="144"/>
    </row>
    <row r="188" spans="1:23" ht="24" customHeight="1" x14ac:dyDescent="0.25">
      <c r="A188" s="90">
        <v>75</v>
      </c>
      <c r="B188" s="19" t="str">
        <f>IFERROR(IF(VLOOKUP(T_SuiviTw[[#This Row],[NumL]],T_suiviDi[#Data],COLUMN(T_suiviDi[[#This Row],[Nom]]),FALSE)&lt;&gt;"",VLOOKUP(T_SuiviTw[[#This Row],[NumL]],T_suiviDi[#Data],COLUMN(T_suiviDi[[#This Row],[Nom]]),FALSE),""),"")</f>
        <v/>
      </c>
      <c r="C188" s="19" t="str">
        <f>IFERROR(IF(VLOOKUP(T_SuiviTw[[#This Row],[NumL]],T_suiviDi[#Data],COLUMN(T_suiviDi[[#This Row],[Prénom]]),FALSE)&lt;&gt;"",VLOOKUP(T_SuiviTw[[#This Row],[NumL]],T_suiviDi[#Data],COLUMN(T_suiviDi[[#This Row],[Prénom]]),FALSE),""),"")</f>
        <v/>
      </c>
      <c r="D188" s="20" t="str">
        <f>IFERROR(IF(VLOOKUP(T_SuiviTw[[#This Row],[NumL]],T_suiviDi[#Data],COLUMN(T_suiviDi[[#This Row],[Email]]),FALSE)&lt;&gt;"",VLOOKUP(T_SuiviTw[[#This Row],[NumL]],T_suiviDi[#Data],COLUMN(T_suiviDi[[#This Row],[Email]]),FALSE),""),"")</f>
        <v/>
      </c>
      <c r="E188" s="274" t="str">
        <f>IFERROR(IF(VLOOKUP(T_SuiviTw[[#This Row],[NumL]],T_suiviDi[#Data],COLUMN(T_suiviDi[[#This Row],[Nom1]]),FALSE)&lt;&gt;"",VLOOKUP(T_SuiviTw[[#This Row],[NumL]],T_suiviDi[#Data],COLUMN(T_suiviDi[[#This Row],[Nom1]]),FALSE),""),"")</f>
        <v/>
      </c>
      <c r="F188" s="274" t="str">
        <f>IFERROR(IF(VLOOKUP(T_SuiviTw[[#This Row],[NumL]],T_suiviDi[#Data],COLUMN(T_suiviDi[[#This Row],[Prénom1]]),FALSE)&lt;&gt;"",VLOOKUP(T_SuiviTw[[#This Row],[NumL]],T_suiviDi[#Data],COLUMN(T_suiviDi[[#This Row],[Prénom1]]),FALSE),""),"")</f>
        <v/>
      </c>
      <c r="G188" s="274" t="str">
        <f>IFERROR(IF(VLOOKUP(T_SuiviTw[[#This Row],[NumL]],T_suiviDi[#Data],COLUMN(T_suiviDi[[#This Row],[Email1]]),FALSE)&lt;&gt;"",VLOOKUP(T_SuiviTw[[#This Row],[NumL]],T_suiviDi[#Data],COLUMN(T_suiviDi[[#This Row],[Email1]]),FALSE),""),"")</f>
        <v/>
      </c>
      <c r="H188" s="275" t="str">
        <f t="shared" si="28"/>
        <v/>
      </c>
      <c r="I188" s="100"/>
      <c r="J188" s="156" t="str">
        <f t="shared" si="29"/>
        <v/>
      </c>
      <c r="K188" s="155" t="str">
        <f t="shared" si="30"/>
        <v/>
      </c>
      <c r="L188" s="100"/>
      <c r="M188" s="156" t="str">
        <f t="shared" ca="1" si="31"/>
        <v/>
      </c>
      <c r="N188" s="49"/>
      <c r="O188" s="49"/>
      <c r="P188" s="105" t="str">
        <f t="shared" si="32"/>
        <v/>
      </c>
      <c r="Q188" s="155" t="str">
        <f t="shared" si="33"/>
        <v/>
      </c>
      <c r="R188" s="100"/>
      <c r="S188" s="156" t="str">
        <f t="shared" ca="1" si="34"/>
        <v/>
      </c>
      <c r="T188" s="101"/>
      <c r="U188" s="101"/>
      <c r="V188" s="101"/>
      <c r="W188" s="144"/>
    </row>
    <row r="189" spans="1:23" ht="24" customHeight="1" x14ac:dyDescent="0.25">
      <c r="A189" s="90">
        <v>281</v>
      </c>
      <c r="B189" s="19" t="str">
        <f>IFERROR(IF(VLOOKUP(T_SuiviTw[[#This Row],[NumL]],T_suiviDi[#Data],COLUMN(T_suiviDi[[#This Row],[Nom]]),FALSE)&lt;&gt;"",VLOOKUP(T_SuiviTw[[#This Row],[NumL]],T_suiviDi[#Data],COLUMN(T_suiviDi[[#This Row],[Nom]]),FALSE),""),"")</f>
        <v/>
      </c>
      <c r="C189" s="19" t="str">
        <f>IFERROR(IF(VLOOKUP(T_SuiviTw[[#This Row],[NumL]],T_suiviDi[#Data],COLUMN(T_suiviDi[[#This Row],[Prénom]]),FALSE)&lt;&gt;"",VLOOKUP(T_SuiviTw[[#This Row],[NumL]],T_suiviDi[#Data],COLUMN(T_suiviDi[[#This Row],[Prénom]]),FALSE),""),"")</f>
        <v/>
      </c>
      <c r="D189" s="20" t="str">
        <f>IFERROR(IF(VLOOKUP(T_SuiviTw[[#This Row],[NumL]],T_suiviDi[#Data],COLUMN(T_suiviDi[[#This Row],[Email]]),FALSE)&lt;&gt;"",VLOOKUP(T_SuiviTw[[#This Row],[NumL]],T_suiviDi[#Data],COLUMN(T_suiviDi[[#This Row],[Email]]),FALSE),""),"")</f>
        <v/>
      </c>
      <c r="E189" s="274" t="str">
        <f>IFERROR(IF(VLOOKUP(T_SuiviTw[[#This Row],[NumL]],T_suiviDi[#Data],COLUMN(T_suiviDi[[#This Row],[Nom1]]),FALSE)&lt;&gt;"",VLOOKUP(T_SuiviTw[[#This Row],[NumL]],T_suiviDi[#Data],COLUMN(T_suiviDi[[#This Row],[Nom1]]),FALSE),""),"")</f>
        <v/>
      </c>
      <c r="F189" s="274" t="str">
        <f>IFERROR(IF(VLOOKUP(T_SuiviTw[[#This Row],[NumL]],T_suiviDi[#Data],COLUMN(T_suiviDi[[#This Row],[Prénom1]]),FALSE)&lt;&gt;"",VLOOKUP(T_SuiviTw[[#This Row],[NumL]],T_suiviDi[#Data],COLUMN(T_suiviDi[[#This Row],[Prénom1]]),FALSE),""),"")</f>
        <v/>
      </c>
      <c r="G189" s="274" t="str">
        <f>IFERROR(IF(VLOOKUP(T_SuiviTw[[#This Row],[NumL]],T_suiviDi[#Data],COLUMN(T_suiviDi[[#This Row],[Email1]]),FALSE)&lt;&gt;"",VLOOKUP(T_SuiviTw[[#This Row],[NumL]],T_suiviDi[#Data],COLUMN(T_suiviDi[[#This Row],[Email1]]),FALSE),""),"")</f>
        <v/>
      </c>
      <c r="H189" s="275" t="str">
        <f t="shared" si="28"/>
        <v/>
      </c>
      <c r="I189" s="100"/>
      <c r="J189" s="156" t="str">
        <f t="shared" si="29"/>
        <v/>
      </c>
      <c r="K189" s="155" t="str">
        <f t="shared" si="30"/>
        <v/>
      </c>
      <c r="L189" s="100"/>
      <c r="M189" s="156" t="str">
        <f t="shared" ca="1" si="31"/>
        <v/>
      </c>
      <c r="N189" s="49"/>
      <c r="O189" s="49"/>
      <c r="P189" s="105" t="str">
        <f t="shared" si="32"/>
        <v/>
      </c>
      <c r="Q189" s="155" t="str">
        <f t="shared" si="33"/>
        <v/>
      </c>
      <c r="R189" s="100"/>
      <c r="S189" s="156" t="str">
        <f t="shared" ca="1" si="34"/>
        <v/>
      </c>
      <c r="T189" s="101"/>
      <c r="U189" s="101"/>
      <c r="V189" s="101"/>
      <c r="W189" s="144"/>
    </row>
    <row r="190" spans="1:23" ht="24" customHeight="1" x14ac:dyDescent="0.25">
      <c r="A190" s="90">
        <v>181</v>
      </c>
      <c r="B190" s="19" t="str">
        <f>IFERROR(IF(VLOOKUP(T_SuiviTw[[#This Row],[NumL]],T_suiviDi[#Data],COLUMN(T_suiviDi[[#This Row],[Nom]]),FALSE)&lt;&gt;"",VLOOKUP(T_SuiviTw[[#This Row],[NumL]],T_suiviDi[#Data],COLUMN(T_suiviDi[[#This Row],[Nom]]),FALSE),""),"")</f>
        <v/>
      </c>
      <c r="C190" s="19" t="str">
        <f>IFERROR(IF(VLOOKUP(T_SuiviTw[[#This Row],[NumL]],T_suiviDi[#Data],COLUMN(T_suiviDi[[#This Row],[Prénom]]),FALSE)&lt;&gt;"",VLOOKUP(T_SuiviTw[[#This Row],[NumL]],T_suiviDi[#Data],COLUMN(T_suiviDi[[#This Row],[Prénom]]),FALSE),""),"")</f>
        <v/>
      </c>
      <c r="D190" s="20" t="str">
        <f>IFERROR(IF(VLOOKUP(T_SuiviTw[[#This Row],[NumL]],T_suiviDi[#Data],COLUMN(T_suiviDi[[#This Row],[Email]]),FALSE)&lt;&gt;"",VLOOKUP(T_SuiviTw[[#This Row],[NumL]],T_suiviDi[#Data],COLUMN(T_suiviDi[[#This Row],[Email]]),FALSE),""),"")</f>
        <v/>
      </c>
      <c r="E190" s="274" t="str">
        <f>IFERROR(IF(VLOOKUP(T_SuiviTw[[#This Row],[NumL]],T_suiviDi[#Data],COLUMN(T_suiviDi[[#This Row],[Nom1]]),FALSE)&lt;&gt;"",VLOOKUP(T_SuiviTw[[#This Row],[NumL]],T_suiviDi[#Data],COLUMN(T_suiviDi[[#This Row],[Nom1]]),FALSE),""),"")</f>
        <v/>
      </c>
      <c r="F190" s="274" t="str">
        <f>IFERROR(IF(VLOOKUP(T_SuiviTw[[#This Row],[NumL]],T_suiviDi[#Data],COLUMN(T_suiviDi[[#This Row],[Prénom1]]),FALSE)&lt;&gt;"",VLOOKUP(T_SuiviTw[[#This Row],[NumL]],T_suiviDi[#Data],COLUMN(T_suiviDi[[#This Row],[Prénom1]]),FALSE),""),"")</f>
        <v/>
      </c>
      <c r="G190" s="274" t="str">
        <f>IFERROR(IF(VLOOKUP(T_SuiviTw[[#This Row],[NumL]],T_suiviDi[#Data],COLUMN(T_suiviDi[[#This Row],[Email1]]),FALSE)&lt;&gt;"",VLOOKUP(T_SuiviTw[[#This Row],[NumL]],T_suiviDi[#Data],COLUMN(T_suiviDi[[#This Row],[Email1]]),FALSE),""),"")</f>
        <v/>
      </c>
      <c r="H190" s="275" t="str">
        <f t="shared" si="28"/>
        <v/>
      </c>
      <c r="I190" s="100"/>
      <c r="J190" s="156" t="str">
        <f t="shared" si="29"/>
        <v/>
      </c>
      <c r="K190" s="155" t="str">
        <f t="shared" si="30"/>
        <v/>
      </c>
      <c r="L190" s="100"/>
      <c r="M190" s="156" t="str">
        <f t="shared" ca="1" si="31"/>
        <v/>
      </c>
      <c r="N190" s="49"/>
      <c r="O190" s="49"/>
      <c r="P190" s="105" t="str">
        <f t="shared" si="32"/>
        <v/>
      </c>
      <c r="Q190" s="155" t="str">
        <f t="shared" si="33"/>
        <v/>
      </c>
      <c r="R190" s="100"/>
      <c r="S190" s="156" t="str">
        <f t="shared" ca="1" si="34"/>
        <v/>
      </c>
      <c r="T190" s="101"/>
      <c r="U190" s="101"/>
      <c r="V190" s="101"/>
      <c r="W190" s="144"/>
    </row>
    <row r="191" spans="1:23" ht="24" customHeight="1" x14ac:dyDescent="0.25">
      <c r="A191" s="90">
        <v>97</v>
      </c>
      <c r="B191" s="19" t="str">
        <f>IFERROR(IF(VLOOKUP(T_SuiviTw[[#This Row],[NumL]],T_suiviDi[#Data],COLUMN(T_suiviDi[[#This Row],[Nom]]),FALSE)&lt;&gt;"",VLOOKUP(T_SuiviTw[[#This Row],[NumL]],T_suiviDi[#Data],COLUMN(T_suiviDi[[#This Row],[Nom]]),FALSE),""),"")</f>
        <v/>
      </c>
      <c r="C191" s="19" t="str">
        <f>IFERROR(IF(VLOOKUP(T_SuiviTw[[#This Row],[NumL]],T_suiviDi[#Data],COLUMN(T_suiviDi[[#This Row],[Prénom]]),FALSE)&lt;&gt;"",VLOOKUP(T_SuiviTw[[#This Row],[NumL]],T_suiviDi[#Data],COLUMN(T_suiviDi[[#This Row],[Prénom]]),FALSE),""),"")</f>
        <v/>
      </c>
      <c r="D191" s="20" t="str">
        <f>IFERROR(IF(VLOOKUP(T_SuiviTw[[#This Row],[NumL]],T_suiviDi[#Data],COLUMN(T_suiviDi[[#This Row],[Email]]),FALSE)&lt;&gt;"",VLOOKUP(T_SuiviTw[[#This Row],[NumL]],T_suiviDi[#Data],COLUMN(T_suiviDi[[#This Row],[Email]]),FALSE),""),"")</f>
        <v/>
      </c>
      <c r="E191" s="274" t="str">
        <f>IFERROR(IF(VLOOKUP(T_SuiviTw[[#This Row],[NumL]],T_suiviDi[#Data],COLUMN(T_suiviDi[[#This Row],[Nom1]]),FALSE)&lt;&gt;"",VLOOKUP(T_SuiviTw[[#This Row],[NumL]],T_suiviDi[#Data],COLUMN(T_suiviDi[[#This Row],[Nom1]]),FALSE),""),"")</f>
        <v/>
      </c>
      <c r="F191" s="274" t="str">
        <f>IFERROR(IF(VLOOKUP(T_SuiviTw[[#This Row],[NumL]],T_suiviDi[#Data],COLUMN(T_suiviDi[[#This Row],[Prénom1]]),FALSE)&lt;&gt;"",VLOOKUP(T_SuiviTw[[#This Row],[NumL]],T_suiviDi[#Data],COLUMN(T_suiviDi[[#This Row],[Prénom1]]),FALSE),""),"")</f>
        <v/>
      </c>
      <c r="G191" s="274" t="str">
        <f>IFERROR(IF(VLOOKUP(T_SuiviTw[[#This Row],[NumL]],T_suiviDi[#Data],COLUMN(T_suiviDi[[#This Row],[Email1]]),FALSE)&lt;&gt;"",VLOOKUP(T_SuiviTw[[#This Row],[NumL]],T_suiviDi[#Data],COLUMN(T_suiviDi[[#This Row],[Email1]]),FALSE),""),"")</f>
        <v/>
      </c>
      <c r="H191" s="275" t="str">
        <f t="shared" si="28"/>
        <v/>
      </c>
      <c r="I191" s="100"/>
      <c r="J191" s="156" t="str">
        <f t="shared" si="29"/>
        <v/>
      </c>
      <c r="K191" s="155" t="str">
        <f t="shared" si="30"/>
        <v/>
      </c>
      <c r="L191" s="100"/>
      <c r="M191" s="156" t="str">
        <f t="shared" ca="1" si="31"/>
        <v/>
      </c>
      <c r="N191" s="49"/>
      <c r="O191" s="49"/>
      <c r="P191" s="105" t="str">
        <f t="shared" si="32"/>
        <v/>
      </c>
      <c r="Q191" s="155" t="str">
        <f t="shared" si="33"/>
        <v/>
      </c>
      <c r="R191" s="100"/>
      <c r="S191" s="156" t="str">
        <f t="shared" ca="1" si="34"/>
        <v/>
      </c>
      <c r="T191" s="101"/>
      <c r="U191" s="101"/>
      <c r="V191" s="101"/>
      <c r="W191" s="144"/>
    </row>
    <row r="192" spans="1:23" ht="24" customHeight="1" x14ac:dyDescent="0.25">
      <c r="A192" s="90">
        <v>219</v>
      </c>
      <c r="B192" s="19" t="str">
        <f>IFERROR(IF(VLOOKUP(T_SuiviTw[[#This Row],[NumL]],T_suiviDi[#Data],COLUMN(T_suiviDi[[#This Row],[Nom]]),FALSE)&lt;&gt;"",VLOOKUP(T_SuiviTw[[#This Row],[NumL]],T_suiviDi[#Data],COLUMN(T_suiviDi[[#This Row],[Nom]]),FALSE),""),"")</f>
        <v/>
      </c>
      <c r="C192" s="19" t="str">
        <f>IFERROR(IF(VLOOKUP(T_SuiviTw[[#This Row],[NumL]],T_suiviDi[#Data],COLUMN(T_suiviDi[[#This Row],[Prénom]]),FALSE)&lt;&gt;"",VLOOKUP(T_SuiviTw[[#This Row],[NumL]],T_suiviDi[#Data],COLUMN(T_suiviDi[[#This Row],[Prénom]]),FALSE),""),"")</f>
        <v/>
      </c>
      <c r="D192" s="20" t="str">
        <f>IFERROR(IF(VLOOKUP(T_SuiviTw[[#This Row],[NumL]],T_suiviDi[#Data],COLUMN(T_suiviDi[[#This Row],[Email]]),FALSE)&lt;&gt;"",VLOOKUP(T_SuiviTw[[#This Row],[NumL]],T_suiviDi[#Data],COLUMN(T_suiviDi[[#This Row],[Email]]),FALSE),""),"")</f>
        <v/>
      </c>
      <c r="E192" s="274" t="str">
        <f>IFERROR(IF(VLOOKUP(T_SuiviTw[[#This Row],[NumL]],T_suiviDi[#Data],COLUMN(T_suiviDi[[#This Row],[Nom1]]),FALSE)&lt;&gt;"",VLOOKUP(T_SuiviTw[[#This Row],[NumL]],T_suiviDi[#Data],COLUMN(T_suiviDi[[#This Row],[Nom1]]),FALSE),""),"")</f>
        <v/>
      </c>
      <c r="F192" s="274" t="str">
        <f>IFERROR(IF(VLOOKUP(T_SuiviTw[[#This Row],[NumL]],T_suiviDi[#Data],COLUMN(T_suiviDi[[#This Row],[Prénom1]]),FALSE)&lt;&gt;"",VLOOKUP(T_SuiviTw[[#This Row],[NumL]],T_suiviDi[#Data],COLUMN(T_suiviDi[[#This Row],[Prénom1]]),FALSE),""),"")</f>
        <v/>
      </c>
      <c r="G192" s="274" t="str">
        <f>IFERROR(IF(VLOOKUP(T_SuiviTw[[#This Row],[NumL]],T_suiviDi[#Data],COLUMN(T_suiviDi[[#This Row],[Email1]]),FALSE)&lt;&gt;"",VLOOKUP(T_SuiviTw[[#This Row],[NumL]],T_suiviDi[#Data],COLUMN(T_suiviDi[[#This Row],[Email1]]),FALSE),""),"")</f>
        <v/>
      </c>
      <c r="H192" s="275" t="str">
        <f t="shared" si="28"/>
        <v/>
      </c>
      <c r="I192" s="100"/>
      <c r="J192" s="156" t="str">
        <f t="shared" si="29"/>
        <v/>
      </c>
      <c r="K192" s="155" t="str">
        <f t="shared" si="30"/>
        <v/>
      </c>
      <c r="L192" s="100"/>
      <c r="M192" s="156" t="str">
        <f t="shared" ca="1" si="31"/>
        <v/>
      </c>
      <c r="N192" s="49"/>
      <c r="O192" s="49"/>
      <c r="P192" s="105" t="str">
        <f t="shared" si="32"/>
        <v/>
      </c>
      <c r="Q192" s="155" t="str">
        <f t="shared" si="33"/>
        <v/>
      </c>
      <c r="R192" s="100"/>
      <c r="S192" s="156" t="str">
        <f t="shared" ca="1" si="34"/>
        <v/>
      </c>
      <c r="T192" s="101"/>
      <c r="U192" s="101"/>
      <c r="V192" s="101"/>
      <c r="W192" s="144"/>
    </row>
    <row r="193" spans="1:23" ht="24" customHeight="1" x14ac:dyDescent="0.25">
      <c r="A193" s="90">
        <v>225</v>
      </c>
      <c r="B193" s="19" t="str">
        <f>IFERROR(IF(VLOOKUP(T_SuiviTw[[#This Row],[NumL]],T_suiviDi[#Data],COLUMN(T_suiviDi[[#This Row],[Nom]]),FALSE)&lt;&gt;"",VLOOKUP(T_SuiviTw[[#This Row],[NumL]],T_suiviDi[#Data],COLUMN(T_suiviDi[[#This Row],[Nom]]),FALSE),""),"")</f>
        <v/>
      </c>
      <c r="C193" s="19" t="str">
        <f>IFERROR(IF(VLOOKUP(T_SuiviTw[[#This Row],[NumL]],T_suiviDi[#Data],COLUMN(T_suiviDi[[#This Row],[Prénom]]),FALSE)&lt;&gt;"",VLOOKUP(T_SuiviTw[[#This Row],[NumL]],T_suiviDi[#Data],COLUMN(T_suiviDi[[#This Row],[Prénom]]),FALSE),""),"")</f>
        <v/>
      </c>
      <c r="D193" s="20" t="str">
        <f>IFERROR(IF(VLOOKUP(T_SuiviTw[[#This Row],[NumL]],T_suiviDi[#Data],COLUMN(T_suiviDi[[#This Row],[Email]]),FALSE)&lt;&gt;"",VLOOKUP(T_SuiviTw[[#This Row],[NumL]],T_suiviDi[#Data],COLUMN(T_suiviDi[[#This Row],[Email]]),FALSE),""),"")</f>
        <v/>
      </c>
      <c r="E193" s="274" t="str">
        <f>IFERROR(IF(VLOOKUP(T_SuiviTw[[#This Row],[NumL]],T_suiviDi[#Data],COLUMN(T_suiviDi[[#This Row],[Nom1]]),FALSE)&lt;&gt;"",VLOOKUP(T_SuiviTw[[#This Row],[NumL]],T_suiviDi[#Data],COLUMN(T_suiviDi[[#This Row],[Nom1]]),FALSE),""),"")</f>
        <v/>
      </c>
      <c r="F193" s="274" t="str">
        <f>IFERROR(IF(VLOOKUP(T_SuiviTw[[#This Row],[NumL]],T_suiviDi[#Data],COLUMN(T_suiviDi[[#This Row],[Prénom1]]),FALSE)&lt;&gt;"",VLOOKUP(T_SuiviTw[[#This Row],[NumL]],T_suiviDi[#Data],COLUMN(T_suiviDi[[#This Row],[Prénom1]]),FALSE),""),"")</f>
        <v/>
      </c>
      <c r="G193" s="274" t="str">
        <f>IFERROR(IF(VLOOKUP(T_SuiviTw[[#This Row],[NumL]],T_suiviDi[#Data],COLUMN(T_suiviDi[[#This Row],[Email1]]),FALSE)&lt;&gt;"",VLOOKUP(T_SuiviTw[[#This Row],[NumL]],T_suiviDi[#Data],COLUMN(T_suiviDi[[#This Row],[Email1]]),FALSE),""),"")</f>
        <v/>
      </c>
      <c r="H193" s="275" t="str">
        <f t="shared" si="28"/>
        <v/>
      </c>
      <c r="I193" s="100"/>
      <c r="J193" s="156" t="str">
        <f t="shared" si="29"/>
        <v/>
      </c>
      <c r="K193" s="155" t="str">
        <f t="shared" si="30"/>
        <v/>
      </c>
      <c r="L193" s="100"/>
      <c r="M193" s="156" t="str">
        <f t="shared" ca="1" si="31"/>
        <v/>
      </c>
      <c r="N193" s="49"/>
      <c r="O193" s="49"/>
      <c r="P193" s="105" t="str">
        <f t="shared" si="32"/>
        <v/>
      </c>
      <c r="Q193" s="155" t="str">
        <f t="shared" si="33"/>
        <v/>
      </c>
      <c r="R193" s="100"/>
      <c r="S193" s="156" t="str">
        <f t="shared" ca="1" si="34"/>
        <v/>
      </c>
      <c r="T193" s="101"/>
      <c r="U193" s="101"/>
      <c r="V193" s="101"/>
      <c r="W193" s="144"/>
    </row>
    <row r="194" spans="1:23" ht="24" customHeight="1" x14ac:dyDescent="0.25">
      <c r="A194" s="90">
        <v>242</v>
      </c>
      <c r="B194" s="19" t="str">
        <f>IFERROR(IF(VLOOKUP(T_SuiviTw[[#This Row],[NumL]],T_suiviDi[#Data],COLUMN(T_suiviDi[[#This Row],[Nom]]),FALSE)&lt;&gt;"",VLOOKUP(T_SuiviTw[[#This Row],[NumL]],T_suiviDi[#Data],COLUMN(T_suiviDi[[#This Row],[Nom]]),FALSE),""),"")</f>
        <v/>
      </c>
      <c r="C194" s="19" t="str">
        <f>IFERROR(IF(VLOOKUP(T_SuiviTw[[#This Row],[NumL]],T_suiviDi[#Data],COLUMN(T_suiviDi[[#This Row],[Prénom]]),FALSE)&lt;&gt;"",VLOOKUP(T_SuiviTw[[#This Row],[NumL]],T_suiviDi[#Data],COLUMN(T_suiviDi[[#This Row],[Prénom]]),FALSE),""),"")</f>
        <v/>
      </c>
      <c r="D194" s="20" t="str">
        <f>IFERROR(IF(VLOOKUP(T_SuiviTw[[#This Row],[NumL]],T_suiviDi[#Data],COLUMN(T_suiviDi[[#This Row],[Email]]),FALSE)&lt;&gt;"",VLOOKUP(T_SuiviTw[[#This Row],[NumL]],T_suiviDi[#Data],COLUMN(T_suiviDi[[#This Row],[Email]]),FALSE),""),"")</f>
        <v/>
      </c>
      <c r="E194" s="274" t="str">
        <f>IFERROR(IF(VLOOKUP(T_SuiviTw[[#This Row],[NumL]],T_suiviDi[#Data],COLUMN(T_suiviDi[[#This Row],[Nom1]]),FALSE)&lt;&gt;"",VLOOKUP(T_SuiviTw[[#This Row],[NumL]],T_suiviDi[#Data],COLUMN(T_suiviDi[[#This Row],[Nom1]]),FALSE),""),"")</f>
        <v/>
      </c>
      <c r="F194" s="274" t="str">
        <f>IFERROR(IF(VLOOKUP(T_SuiviTw[[#This Row],[NumL]],T_suiviDi[#Data],COLUMN(T_suiviDi[[#This Row],[Prénom1]]),FALSE)&lt;&gt;"",VLOOKUP(T_SuiviTw[[#This Row],[NumL]],T_suiviDi[#Data],COLUMN(T_suiviDi[[#This Row],[Prénom1]]),FALSE),""),"")</f>
        <v/>
      </c>
      <c r="G194" s="274" t="str">
        <f>IFERROR(IF(VLOOKUP(T_SuiviTw[[#This Row],[NumL]],T_suiviDi[#Data],COLUMN(T_suiviDi[[#This Row],[Email1]]),FALSE)&lt;&gt;"",VLOOKUP(T_SuiviTw[[#This Row],[NumL]],T_suiviDi[#Data],COLUMN(T_suiviDi[[#This Row],[Email1]]),FALSE),""),"")</f>
        <v/>
      </c>
      <c r="H194" s="275" t="str">
        <f t="shared" si="28"/>
        <v/>
      </c>
      <c r="I194" s="100"/>
      <c r="J194" s="156" t="str">
        <f t="shared" si="29"/>
        <v/>
      </c>
      <c r="K194" s="155" t="str">
        <f t="shared" si="30"/>
        <v/>
      </c>
      <c r="L194" s="100"/>
      <c r="M194" s="156" t="str">
        <f t="shared" ca="1" si="31"/>
        <v/>
      </c>
      <c r="N194" s="49"/>
      <c r="O194" s="49"/>
      <c r="P194" s="105" t="str">
        <f t="shared" si="32"/>
        <v/>
      </c>
      <c r="Q194" s="155" t="str">
        <f t="shared" si="33"/>
        <v/>
      </c>
      <c r="R194" s="100"/>
      <c r="S194" s="156" t="str">
        <f t="shared" ca="1" si="34"/>
        <v/>
      </c>
      <c r="T194" s="101"/>
      <c r="U194" s="101"/>
      <c r="V194" s="101"/>
      <c r="W194" s="144"/>
    </row>
    <row r="195" spans="1:23" ht="24" customHeight="1" x14ac:dyDescent="0.25">
      <c r="A195" s="90">
        <v>236</v>
      </c>
      <c r="B195" s="19" t="str">
        <f>IFERROR(IF(VLOOKUP(T_SuiviTw[[#This Row],[NumL]],T_suiviDi[#Data],COLUMN(T_suiviDi[[#This Row],[Nom]]),FALSE)&lt;&gt;"",VLOOKUP(T_SuiviTw[[#This Row],[NumL]],T_suiviDi[#Data],COLUMN(T_suiviDi[[#This Row],[Nom]]),FALSE),""),"")</f>
        <v/>
      </c>
      <c r="C195" s="19" t="str">
        <f>IFERROR(IF(VLOOKUP(T_SuiviTw[[#This Row],[NumL]],T_suiviDi[#Data],COLUMN(T_suiviDi[[#This Row],[Prénom]]),FALSE)&lt;&gt;"",VLOOKUP(T_SuiviTw[[#This Row],[NumL]],T_suiviDi[#Data],COLUMN(T_suiviDi[[#This Row],[Prénom]]),FALSE),""),"")</f>
        <v/>
      </c>
      <c r="D195" s="20" t="str">
        <f>IFERROR(IF(VLOOKUP(T_SuiviTw[[#This Row],[NumL]],T_suiviDi[#Data],COLUMN(T_suiviDi[[#This Row],[Email]]),FALSE)&lt;&gt;"",VLOOKUP(T_SuiviTw[[#This Row],[NumL]],T_suiviDi[#Data],COLUMN(T_suiviDi[[#This Row],[Email]]),FALSE),""),"")</f>
        <v/>
      </c>
      <c r="E195" s="274" t="str">
        <f>IFERROR(IF(VLOOKUP(T_SuiviTw[[#This Row],[NumL]],T_suiviDi[#Data],COLUMN(T_suiviDi[[#This Row],[Nom1]]),FALSE)&lt;&gt;"",VLOOKUP(T_SuiviTw[[#This Row],[NumL]],T_suiviDi[#Data],COLUMN(T_suiviDi[[#This Row],[Nom1]]),FALSE),""),"")</f>
        <v/>
      </c>
      <c r="F195" s="274" t="str">
        <f>IFERROR(IF(VLOOKUP(T_SuiviTw[[#This Row],[NumL]],T_suiviDi[#Data],COLUMN(T_suiviDi[[#This Row],[Prénom1]]),FALSE)&lt;&gt;"",VLOOKUP(T_SuiviTw[[#This Row],[NumL]],T_suiviDi[#Data],COLUMN(T_suiviDi[[#This Row],[Prénom1]]),FALSE),""),"")</f>
        <v/>
      </c>
      <c r="G195" s="274" t="str">
        <f>IFERROR(IF(VLOOKUP(T_SuiviTw[[#This Row],[NumL]],T_suiviDi[#Data],COLUMN(T_suiviDi[[#This Row],[Email1]]),FALSE)&lt;&gt;"",VLOOKUP(T_SuiviTw[[#This Row],[NumL]],T_suiviDi[#Data],COLUMN(T_suiviDi[[#This Row],[Email1]]),FALSE),""),"")</f>
        <v/>
      </c>
      <c r="H195" s="275" t="str">
        <f t="shared" si="28"/>
        <v/>
      </c>
      <c r="I195" s="100"/>
      <c r="J195" s="156" t="str">
        <f t="shared" si="29"/>
        <v/>
      </c>
      <c r="K195" s="155" t="str">
        <f t="shared" si="30"/>
        <v/>
      </c>
      <c r="L195" s="100"/>
      <c r="M195" s="156" t="str">
        <f t="shared" ca="1" si="31"/>
        <v/>
      </c>
      <c r="N195" s="49"/>
      <c r="O195" s="49"/>
      <c r="P195" s="105" t="str">
        <f t="shared" si="32"/>
        <v/>
      </c>
      <c r="Q195" s="155" t="str">
        <f t="shared" si="33"/>
        <v/>
      </c>
      <c r="R195" s="100"/>
      <c r="S195" s="156" t="str">
        <f t="shared" ca="1" si="34"/>
        <v/>
      </c>
      <c r="T195" s="101"/>
      <c r="U195" s="101"/>
      <c r="V195" s="101"/>
      <c r="W195" s="144"/>
    </row>
    <row r="196" spans="1:23" ht="24" customHeight="1" x14ac:dyDescent="0.25">
      <c r="A196" s="90">
        <v>74</v>
      </c>
      <c r="B196" s="19" t="str">
        <f>IFERROR(IF(VLOOKUP(T_SuiviTw[[#This Row],[NumL]],T_suiviDi[#Data],COLUMN(T_suiviDi[[#This Row],[Nom]]),FALSE)&lt;&gt;"",VLOOKUP(T_SuiviTw[[#This Row],[NumL]],T_suiviDi[#Data],COLUMN(T_suiviDi[[#This Row],[Nom]]),FALSE),""),"")</f>
        <v/>
      </c>
      <c r="C196" s="19" t="str">
        <f>IFERROR(IF(VLOOKUP(T_SuiviTw[[#This Row],[NumL]],T_suiviDi[#Data],COLUMN(T_suiviDi[[#This Row],[Prénom]]),FALSE)&lt;&gt;"",VLOOKUP(T_SuiviTw[[#This Row],[NumL]],T_suiviDi[#Data],COLUMN(T_suiviDi[[#This Row],[Prénom]]),FALSE),""),"")</f>
        <v/>
      </c>
      <c r="D196" s="20" t="str">
        <f>IFERROR(IF(VLOOKUP(T_SuiviTw[[#This Row],[NumL]],T_suiviDi[#Data],COLUMN(T_suiviDi[[#This Row],[Email]]),FALSE)&lt;&gt;"",VLOOKUP(T_SuiviTw[[#This Row],[NumL]],T_suiviDi[#Data],COLUMN(T_suiviDi[[#This Row],[Email]]),FALSE),""),"")</f>
        <v/>
      </c>
      <c r="E196" s="274" t="str">
        <f>IFERROR(IF(VLOOKUP(T_SuiviTw[[#This Row],[NumL]],T_suiviDi[#Data],COLUMN(T_suiviDi[[#This Row],[Nom1]]),FALSE)&lt;&gt;"",VLOOKUP(T_SuiviTw[[#This Row],[NumL]],T_suiviDi[#Data],COLUMN(T_suiviDi[[#This Row],[Nom1]]),FALSE),""),"")</f>
        <v/>
      </c>
      <c r="F196" s="274" t="str">
        <f>IFERROR(IF(VLOOKUP(T_SuiviTw[[#This Row],[NumL]],T_suiviDi[#Data],COLUMN(T_suiviDi[[#This Row],[Prénom1]]),FALSE)&lt;&gt;"",VLOOKUP(T_SuiviTw[[#This Row],[NumL]],T_suiviDi[#Data],COLUMN(T_suiviDi[[#This Row],[Prénom1]]),FALSE),""),"")</f>
        <v/>
      </c>
      <c r="G196" s="274" t="str">
        <f>IFERROR(IF(VLOOKUP(T_SuiviTw[[#This Row],[NumL]],T_suiviDi[#Data],COLUMN(T_suiviDi[[#This Row],[Email1]]),FALSE)&lt;&gt;"",VLOOKUP(T_SuiviTw[[#This Row],[NumL]],T_suiviDi[#Data],COLUMN(T_suiviDi[[#This Row],[Email1]]),FALSE),""),"")</f>
        <v/>
      </c>
      <c r="H196" s="275" t="str">
        <f t="shared" si="28"/>
        <v/>
      </c>
      <c r="I196" s="100"/>
      <c r="J196" s="156" t="str">
        <f t="shared" si="29"/>
        <v/>
      </c>
      <c r="K196" s="155" t="str">
        <f t="shared" si="30"/>
        <v/>
      </c>
      <c r="L196" s="100"/>
      <c r="M196" s="156" t="str">
        <f t="shared" ca="1" si="31"/>
        <v/>
      </c>
      <c r="N196" s="49"/>
      <c r="O196" s="49"/>
      <c r="P196" s="105" t="str">
        <f t="shared" si="32"/>
        <v/>
      </c>
      <c r="Q196" s="155" t="str">
        <f t="shared" si="33"/>
        <v/>
      </c>
      <c r="R196" s="100"/>
      <c r="S196" s="156" t="str">
        <f t="shared" ca="1" si="34"/>
        <v/>
      </c>
      <c r="T196" s="101"/>
      <c r="U196" s="101"/>
      <c r="V196" s="101"/>
      <c r="W196" s="144"/>
    </row>
    <row r="197" spans="1:23" ht="24" customHeight="1" x14ac:dyDescent="0.25">
      <c r="A197" s="90">
        <v>256</v>
      </c>
      <c r="B197" s="19" t="str">
        <f>IFERROR(IF(VLOOKUP(T_SuiviTw[[#This Row],[NumL]],T_suiviDi[#Data],COLUMN(T_suiviDi[[#This Row],[Nom]]),FALSE)&lt;&gt;"",VLOOKUP(T_SuiviTw[[#This Row],[NumL]],T_suiviDi[#Data],COLUMN(T_suiviDi[[#This Row],[Nom]]),FALSE),""),"")</f>
        <v/>
      </c>
      <c r="C197" s="19" t="str">
        <f>IFERROR(IF(VLOOKUP(T_SuiviTw[[#This Row],[NumL]],T_suiviDi[#Data],COLUMN(T_suiviDi[[#This Row],[Prénom]]),FALSE)&lt;&gt;"",VLOOKUP(T_SuiviTw[[#This Row],[NumL]],T_suiviDi[#Data],COLUMN(T_suiviDi[[#This Row],[Prénom]]),FALSE),""),"")</f>
        <v/>
      </c>
      <c r="D197" s="20" t="str">
        <f>IFERROR(IF(VLOOKUP(T_SuiviTw[[#This Row],[NumL]],T_suiviDi[#Data],COLUMN(T_suiviDi[[#This Row],[Email]]),FALSE)&lt;&gt;"",VLOOKUP(T_SuiviTw[[#This Row],[NumL]],T_suiviDi[#Data],COLUMN(T_suiviDi[[#This Row],[Email]]),FALSE),""),"")</f>
        <v/>
      </c>
      <c r="E197" s="274" t="str">
        <f>IFERROR(IF(VLOOKUP(T_SuiviTw[[#This Row],[NumL]],T_suiviDi[#Data],COLUMN(T_suiviDi[[#This Row],[Nom1]]),FALSE)&lt;&gt;"",VLOOKUP(T_SuiviTw[[#This Row],[NumL]],T_suiviDi[#Data],COLUMN(T_suiviDi[[#This Row],[Nom1]]),FALSE),""),"")</f>
        <v/>
      </c>
      <c r="F197" s="274" t="str">
        <f>IFERROR(IF(VLOOKUP(T_SuiviTw[[#This Row],[NumL]],T_suiviDi[#Data],COLUMN(T_suiviDi[[#This Row],[Prénom1]]),FALSE)&lt;&gt;"",VLOOKUP(T_SuiviTw[[#This Row],[NumL]],T_suiviDi[#Data],COLUMN(T_suiviDi[[#This Row],[Prénom1]]),FALSE),""),"")</f>
        <v/>
      </c>
      <c r="G197" s="274" t="str">
        <f>IFERROR(IF(VLOOKUP(T_SuiviTw[[#This Row],[NumL]],T_suiviDi[#Data],COLUMN(T_suiviDi[[#This Row],[Email1]]),FALSE)&lt;&gt;"",VLOOKUP(T_SuiviTw[[#This Row],[NumL]],T_suiviDi[#Data],COLUMN(T_suiviDi[[#This Row],[Email1]]),FALSE),""),"")</f>
        <v/>
      </c>
      <c r="H197" s="275" t="str">
        <f t="shared" ref="H197:H260" si="35">IF(B197&lt;&gt;"",DateEdition,"")</f>
        <v/>
      </c>
      <c r="I197" s="100"/>
      <c r="J197" s="156" t="str">
        <f t="shared" ref="J197:J260" si="36">IF(AND(I197="",K197=""),"",IF(AND(I197&lt;&gt;"",H197&lt;&gt;""),1,3))</f>
        <v/>
      </c>
      <c r="K197" s="155" t="str">
        <f t="shared" ref="K197:K260" si="37">IF(B197&lt;&gt;"",DateFinadapt,"")</f>
        <v/>
      </c>
      <c r="L197" s="100"/>
      <c r="M197" s="156" t="str">
        <f t="shared" ref="M197:M260" ca="1" si="38">IF(OR(K197="",TODAY()&lt;K197),"",IF(L197&lt;&gt;"",1,3))</f>
        <v/>
      </c>
      <c r="N197" s="49"/>
      <c r="O197" s="49"/>
      <c r="P197" s="105" t="str">
        <f t="shared" ref="P197:P260" si="39">IF(AND(N197&lt;&gt;"",O197&lt;&gt;""),IF(MAX(N197,O197)=1,1,4),IF(OR(N197&lt;&gt;"",O197&lt;&gt;""),"?",""))</f>
        <v/>
      </c>
      <c r="Q197" s="155" t="str">
        <f t="shared" ref="Q197:Q260" si="40">IF(AND(F197&lt;&gt;"",P197=1),Datebilan2,"")</f>
        <v/>
      </c>
      <c r="R197" s="100"/>
      <c r="S197" s="156" t="str">
        <f t="shared" ref="S197:S260" ca="1" si="41">IF(OR(B197="",P197&gt;1),"",IF(R197&lt;&gt;"",1,IF(Q197&lt;=TODAY(),3,IF(Q197&lt;=TODAY()+10,2,""))))</f>
        <v/>
      </c>
      <c r="T197" s="101"/>
      <c r="U197" s="101"/>
      <c r="V197" s="101"/>
      <c r="W197" s="144"/>
    </row>
    <row r="198" spans="1:23" ht="24" customHeight="1" x14ac:dyDescent="0.25">
      <c r="A198" s="90">
        <v>307</v>
      </c>
      <c r="B198" s="139" t="str">
        <f>IFERROR(IF(VLOOKUP(T_SuiviTw[[#This Row],[NumL]],T_suiviDi[#Data],COLUMN(T_suiviDi[[#This Row],[Nom]]),FALSE)&lt;&gt;"",VLOOKUP(T_SuiviTw[[#This Row],[NumL]],T_suiviDi[#Data],COLUMN(T_suiviDi[[#This Row],[Nom]]),FALSE),""),"")</f>
        <v/>
      </c>
      <c r="C198" s="139" t="str">
        <f>IFERROR(IF(VLOOKUP(T_SuiviTw[[#This Row],[NumL]],T_suiviDi[#Data],COLUMN(T_suiviDi[[#This Row],[Prénom]]),FALSE)&lt;&gt;"",VLOOKUP(T_SuiviTw[[#This Row],[NumL]],T_suiviDi[#Data],COLUMN(T_suiviDi[[#This Row],[Prénom]]),FALSE),""),"")</f>
        <v/>
      </c>
      <c r="D198" s="140" t="str">
        <f>IFERROR(IF(VLOOKUP(T_SuiviTw[[#This Row],[NumL]],T_suiviDi[#Data],COLUMN(T_suiviDi[[#This Row],[Email]]),FALSE)&lt;&gt;"",VLOOKUP(T_SuiviTw[[#This Row],[NumL]],T_suiviDi[#Data],COLUMN(T_suiviDi[[#This Row],[Email]]),FALSE),""),"")</f>
        <v/>
      </c>
      <c r="E198" s="141" t="str">
        <f>IFERROR(IF(VLOOKUP(T_SuiviTw[[#This Row],[NumL]],T_suiviDi[#Data],COLUMN(T_suiviDi[[#This Row],[Nom1]]),FALSE)&lt;&gt;"",VLOOKUP(T_SuiviTw[[#This Row],[NumL]],T_suiviDi[#Data],COLUMN(T_suiviDi[[#This Row],[Nom1]]),FALSE),""),"")</f>
        <v/>
      </c>
      <c r="F198" s="141" t="str">
        <f>IFERROR(IF(VLOOKUP(T_SuiviTw[[#This Row],[NumL]],T_suiviDi[#Data],COLUMN(T_suiviDi[[#This Row],[Prénom1]]),FALSE)&lt;&gt;"",VLOOKUP(T_SuiviTw[[#This Row],[NumL]],T_suiviDi[#Data],COLUMN(T_suiviDi[[#This Row],[Prénom1]]),FALSE),""),"")</f>
        <v/>
      </c>
      <c r="G198" s="141" t="str">
        <f>IFERROR(IF(VLOOKUP(T_SuiviTw[[#This Row],[NumL]],T_suiviDi[#Data],COLUMN(T_suiviDi[[#This Row],[Email1]]),FALSE)&lt;&gt;"",VLOOKUP(T_SuiviTw[[#This Row],[NumL]],T_suiviDi[#Data],COLUMN(T_suiviDi[[#This Row],[Email1]]),FALSE),""),"")</f>
        <v/>
      </c>
      <c r="H198" s="155" t="str">
        <f t="shared" si="35"/>
        <v/>
      </c>
      <c r="I198" s="100"/>
      <c r="J198" s="156" t="str">
        <f t="shared" si="36"/>
        <v/>
      </c>
      <c r="K198" s="155" t="str">
        <f t="shared" si="37"/>
        <v/>
      </c>
      <c r="L198" s="100"/>
      <c r="M198" s="156" t="str">
        <f t="shared" ca="1" si="38"/>
        <v/>
      </c>
      <c r="N198" s="49"/>
      <c r="O198" s="49"/>
      <c r="P198" s="105" t="str">
        <f t="shared" si="39"/>
        <v/>
      </c>
      <c r="Q198" s="155" t="str">
        <f t="shared" si="40"/>
        <v/>
      </c>
      <c r="R198" s="100"/>
      <c r="S198" s="156" t="str">
        <f t="shared" ca="1" si="41"/>
        <v/>
      </c>
      <c r="T198" s="101"/>
      <c r="U198" s="101"/>
      <c r="V198" s="101"/>
      <c r="W198" s="144"/>
    </row>
    <row r="199" spans="1:23" ht="24" customHeight="1" x14ac:dyDescent="0.25">
      <c r="A199" s="90">
        <v>330</v>
      </c>
      <c r="B199" s="139" t="str">
        <f>IFERROR(IF(VLOOKUP(T_SuiviTw[[#This Row],[NumL]],T_suiviDi[#Data],COLUMN(T_suiviDi[[#This Row],[Nom]]),FALSE)&lt;&gt;"",VLOOKUP(T_SuiviTw[[#This Row],[NumL]],T_suiviDi[#Data],COLUMN(T_suiviDi[[#This Row],[Nom]]),FALSE),""),"")</f>
        <v/>
      </c>
      <c r="C199" s="139" t="str">
        <f>IFERROR(IF(VLOOKUP(T_SuiviTw[[#This Row],[NumL]],T_suiviDi[#Data],COLUMN(T_suiviDi[[#This Row],[Prénom]]),FALSE)&lt;&gt;"",VLOOKUP(T_SuiviTw[[#This Row],[NumL]],T_suiviDi[#Data],COLUMN(T_suiviDi[[#This Row],[Prénom]]),FALSE),""),"")</f>
        <v/>
      </c>
      <c r="D199" s="140" t="str">
        <f>IFERROR(IF(VLOOKUP(T_SuiviTw[[#This Row],[NumL]],T_suiviDi[#Data],COLUMN(T_suiviDi[[#This Row],[Email]]),FALSE)&lt;&gt;"",VLOOKUP(T_SuiviTw[[#This Row],[NumL]],T_suiviDi[#Data],COLUMN(T_suiviDi[[#This Row],[Email]]),FALSE),""),"")</f>
        <v/>
      </c>
      <c r="E199" s="141" t="str">
        <f>IFERROR(IF(VLOOKUP(T_SuiviTw[[#This Row],[NumL]],T_suiviDi[#Data],COLUMN(T_suiviDi[[#This Row],[Nom1]]),FALSE)&lt;&gt;"",VLOOKUP(T_SuiviTw[[#This Row],[NumL]],T_suiviDi[#Data],COLUMN(T_suiviDi[[#This Row],[Nom1]]),FALSE),""),"")</f>
        <v/>
      </c>
      <c r="F199" s="141" t="str">
        <f>IFERROR(IF(VLOOKUP(T_SuiviTw[[#This Row],[NumL]],T_suiviDi[#Data],COLUMN(T_suiviDi[[#This Row],[Prénom1]]),FALSE)&lt;&gt;"",VLOOKUP(T_SuiviTw[[#This Row],[NumL]],T_suiviDi[#Data],COLUMN(T_suiviDi[[#This Row],[Prénom1]]),FALSE),""),"")</f>
        <v/>
      </c>
      <c r="G199" s="141" t="str">
        <f>IFERROR(IF(VLOOKUP(T_SuiviTw[[#This Row],[NumL]],T_suiviDi[#Data],COLUMN(T_suiviDi[[#This Row],[Email1]]),FALSE)&lt;&gt;"",VLOOKUP(T_SuiviTw[[#This Row],[NumL]],T_suiviDi[#Data],COLUMN(T_suiviDi[[#This Row],[Email1]]),FALSE),""),"")</f>
        <v/>
      </c>
      <c r="H199" s="155" t="str">
        <f t="shared" si="35"/>
        <v/>
      </c>
      <c r="I199" s="100"/>
      <c r="J199" s="156" t="str">
        <f t="shared" si="36"/>
        <v/>
      </c>
      <c r="K199" s="155" t="str">
        <f t="shared" si="37"/>
        <v/>
      </c>
      <c r="L199" s="100"/>
      <c r="M199" s="156" t="str">
        <f t="shared" ca="1" si="38"/>
        <v/>
      </c>
      <c r="N199" s="49"/>
      <c r="O199" s="49"/>
      <c r="P199" s="105" t="str">
        <f t="shared" si="39"/>
        <v/>
      </c>
      <c r="Q199" s="155" t="str">
        <f t="shared" si="40"/>
        <v/>
      </c>
      <c r="R199" s="100"/>
      <c r="S199" s="156" t="str">
        <f t="shared" ca="1" si="41"/>
        <v/>
      </c>
      <c r="T199" s="101"/>
      <c r="U199" s="101"/>
      <c r="V199" s="101"/>
      <c r="W199" s="144"/>
    </row>
    <row r="200" spans="1:23" ht="24" customHeight="1" x14ac:dyDescent="0.25">
      <c r="A200" s="90">
        <v>165</v>
      </c>
      <c r="B200" s="19" t="str">
        <f>IFERROR(IF(VLOOKUP(T_SuiviTw[[#This Row],[NumL]],T_suiviDi[#Data],COLUMN(T_suiviDi[[#This Row],[Nom]]),FALSE)&lt;&gt;"",VLOOKUP(T_SuiviTw[[#This Row],[NumL]],T_suiviDi[#Data],COLUMN(T_suiviDi[[#This Row],[Nom]]),FALSE),""),"")</f>
        <v/>
      </c>
      <c r="C200" s="19" t="str">
        <f>IFERROR(IF(VLOOKUP(T_SuiviTw[[#This Row],[NumL]],T_suiviDi[#Data],COLUMN(T_suiviDi[[#This Row],[Prénom]]),FALSE)&lt;&gt;"",VLOOKUP(T_SuiviTw[[#This Row],[NumL]],T_suiviDi[#Data],COLUMN(T_suiviDi[[#This Row],[Prénom]]),FALSE),""),"")</f>
        <v/>
      </c>
      <c r="D200" s="20" t="str">
        <f>IFERROR(IF(VLOOKUP(T_SuiviTw[[#This Row],[NumL]],T_suiviDi[#Data],COLUMN(T_suiviDi[[#This Row],[Email]]),FALSE)&lt;&gt;"",VLOOKUP(T_SuiviTw[[#This Row],[NumL]],T_suiviDi[#Data],COLUMN(T_suiviDi[[#This Row],[Email]]),FALSE),""),"")</f>
        <v/>
      </c>
      <c r="E200" s="274" t="str">
        <f>IFERROR(IF(VLOOKUP(T_SuiviTw[[#This Row],[NumL]],T_suiviDi[#Data],COLUMN(T_suiviDi[[#This Row],[Nom1]]),FALSE)&lt;&gt;"",VLOOKUP(T_SuiviTw[[#This Row],[NumL]],T_suiviDi[#Data],COLUMN(T_suiviDi[[#This Row],[Nom1]]),FALSE),""),"")</f>
        <v/>
      </c>
      <c r="F200" s="274" t="str">
        <f>IFERROR(IF(VLOOKUP(T_SuiviTw[[#This Row],[NumL]],T_suiviDi[#Data],COLUMN(T_suiviDi[[#This Row],[Prénom1]]),FALSE)&lt;&gt;"",VLOOKUP(T_SuiviTw[[#This Row],[NumL]],T_suiviDi[#Data],COLUMN(T_suiviDi[[#This Row],[Prénom1]]),FALSE),""),"")</f>
        <v/>
      </c>
      <c r="G200" s="274" t="str">
        <f>IFERROR(IF(VLOOKUP(T_SuiviTw[[#This Row],[NumL]],T_suiviDi[#Data],COLUMN(T_suiviDi[[#This Row],[Email1]]),FALSE)&lt;&gt;"",VLOOKUP(T_SuiviTw[[#This Row],[NumL]],T_suiviDi[#Data],COLUMN(T_suiviDi[[#This Row],[Email1]]),FALSE),""),"")</f>
        <v/>
      </c>
      <c r="H200" s="275" t="str">
        <f t="shared" si="35"/>
        <v/>
      </c>
      <c r="I200" s="100"/>
      <c r="J200" s="156" t="str">
        <f t="shared" si="36"/>
        <v/>
      </c>
      <c r="K200" s="155" t="str">
        <f t="shared" si="37"/>
        <v/>
      </c>
      <c r="L200" s="100"/>
      <c r="M200" s="156" t="str">
        <f t="shared" ca="1" si="38"/>
        <v/>
      </c>
      <c r="N200" s="49"/>
      <c r="O200" s="49"/>
      <c r="P200" s="105" t="str">
        <f t="shared" si="39"/>
        <v/>
      </c>
      <c r="Q200" s="155" t="str">
        <f t="shared" si="40"/>
        <v/>
      </c>
      <c r="R200" s="100"/>
      <c r="S200" s="156" t="str">
        <f t="shared" ca="1" si="41"/>
        <v/>
      </c>
      <c r="T200" s="101"/>
      <c r="U200" s="101"/>
      <c r="V200" s="101"/>
      <c r="W200" s="144"/>
    </row>
    <row r="201" spans="1:23" ht="24" customHeight="1" x14ac:dyDescent="0.25">
      <c r="A201" s="90">
        <v>122</v>
      </c>
      <c r="B201" s="19" t="str">
        <f>IFERROR(IF(VLOOKUP(T_SuiviTw[[#This Row],[NumL]],T_suiviDi[#Data],COLUMN(T_suiviDi[[#This Row],[Nom]]),FALSE)&lt;&gt;"",VLOOKUP(T_SuiviTw[[#This Row],[NumL]],T_suiviDi[#Data],COLUMN(T_suiviDi[[#This Row],[Nom]]),FALSE),""),"")</f>
        <v/>
      </c>
      <c r="C201" s="19" t="str">
        <f>IFERROR(IF(VLOOKUP(T_SuiviTw[[#This Row],[NumL]],T_suiviDi[#Data],COLUMN(T_suiviDi[[#This Row],[Prénom]]),FALSE)&lt;&gt;"",VLOOKUP(T_SuiviTw[[#This Row],[NumL]],T_suiviDi[#Data],COLUMN(T_suiviDi[[#This Row],[Prénom]]),FALSE),""),"")</f>
        <v/>
      </c>
      <c r="D201" s="20" t="str">
        <f>IFERROR(IF(VLOOKUP(T_SuiviTw[[#This Row],[NumL]],T_suiviDi[#Data],COLUMN(T_suiviDi[[#This Row],[Email]]),FALSE)&lt;&gt;"",VLOOKUP(T_SuiviTw[[#This Row],[NumL]],T_suiviDi[#Data],COLUMN(T_suiviDi[[#This Row],[Email]]),FALSE),""),"")</f>
        <v/>
      </c>
      <c r="E201" s="274" t="str">
        <f>IFERROR(IF(VLOOKUP(T_SuiviTw[[#This Row],[NumL]],T_suiviDi[#Data],COLUMN(T_suiviDi[[#This Row],[Nom1]]),FALSE)&lt;&gt;"",VLOOKUP(T_SuiviTw[[#This Row],[NumL]],T_suiviDi[#Data],COLUMN(T_suiviDi[[#This Row],[Nom1]]),FALSE),""),"")</f>
        <v/>
      </c>
      <c r="F201" s="274" t="str">
        <f>IFERROR(IF(VLOOKUP(T_SuiviTw[[#This Row],[NumL]],T_suiviDi[#Data],COLUMN(T_suiviDi[[#This Row],[Prénom1]]),FALSE)&lt;&gt;"",VLOOKUP(T_SuiviTw[[#This Row],[NumL]],T_suiviDi[#Data],COLUMN(T_suiviDi[[#This Row],[Prénom1]]),FALSE),""),"")</f>
        <v/>
      </c>
      <c r="G201" s="274" t="str">
        <f>IFERROR(IF(VLOOKUP(T_SuiviTw[[#This Row],[NumL]],T_suiviDi[#Data],COLUMN(T_suiviDi[[#This Row],[Email1]]),FALSE)&lt;&gt;"",VLOOKUP(T_SuiviTw[[#This Row],[NumL]],T_suiviDi[#Data],COLUMN(T_suiviDi[[#This Row],[Email1]]),FALSE),""),"")</f>
        <v/>
      </c>
      <c r="H201" s="275" t="str">
        <f t="shared" si="35"/>
        <v/>
      </c>
      <c r="I201" s="100"/>
      <c r="J201" s="156" t="str">
        <f t="shared" si="36"/>
        <v/>
      </c>
      <c r="K201" s="155" t="str">
        <f t="shared" si="37"/>
        <v/>
      </c>
      <c r="L201" s="100"/>
      <c r="M201" s="156" t="str">
        <f t="shared" ca="1" si="38"/>
        <v/>
      </c>
      <c r="N201" s="49"/>
      <c r="O201" s="49"/>
      <c r="P201" s="105" t="str">
        <f t="shared" si="39"/>
        <v/>
      </c>
      <c r="Q201" s="155" t="str">
        <f t="shared" si="40"/>
        <v/>
      </c>
      <c r="R201" s="100"/>
      <c r="S201" s="156" t="str">
        <f t="shared" ca="1" si="41"/>
        <v/>
      </c>
      <c r="T201" s="101"/>
      <c r="U201" s="101"/>
      <c r="V201" s="101"/>
      <c r="W201" s="144"/>
    </row>
    <row r="202" spans="1:23" ht="24" customHeight="1" x14ac:dyDescent="0.25">
      <c r="A202" s="90">
        <v>6</v>
      </c>
      <c r="B202" s="19" t="str">
        <f>IFERROR(IF(VLOOKUP(A202,ListeDI,3,FALSE)&lt;&gt;"",VLOOKUP(A202,ListeDI,3,FALSE),""),"")</f>
        <v/>
      </c>
      <c r="C202" s="19" t="str">
        <f>IFERROR(IF(VLOOKUP(A202,ListeDI,4,FALSE)&lt;&gt;"",VLOOKUP(A202,ListeDI,4,FALSE),""),"")</f>
        <v/>
      </c>
      <c r="D202" s="20" t="str">
        <f>IFERROR(IF(VLOOKUP(A202,ListeDI,5,FALSE)&lt;&gt;"",VLOOKUP(A202,ListeDI,5,FALSE),""),"")</f>
        <v/>
      </c>
      <c r="E202" s="274" t="str">
        <f>IFERROR(IF(VLOOKUP(A202,ListeDI,10,FALSE)&lt;&gt;"",VLOOKUP(A202,ListeDI,10,FALSE),""),"")</f>
        <v/>
      </c>
      <c r="F202" s="274" t="str">
        <f>IFERROR(IF(VLOOKUP(A202,ListeDI,11,FALSE)&lt;&gt;"",VLOOKUP(A202,ListeDI,11,FALSE),""),"")</f>
        <v/>
      </c>
      <c r="G202" s="274" t="str">
        <f>IFERROR(IF(VLOOKUP(A202,ListeDI,12,FALSE)&lt;&gt;"",VLOOKUP(A202,ListeDI,12,FALSE),""),"")</f>
        <v/>
      </c>
      <c r="H202" s="275" t="str">
        <f t="shared" si="35"/>
        <v/>
      </c>
      <c r="I202" s="100"/>
      <c r="J202" s="104" t="str">
        <f t="shared" si="36"/>
        <v/>
      </c>
      <c r="K202" s="99" t="str">
        <f t="shared" si="37"/>
        <v/>
      </c>
      <c r="L202" s="100"/>
      <c r="M202" s="104" t="str">
        <f t="shared" ca="1" si="38"/>
        <v/>
      </c>
      <c r="N202" s="49"/>
      <c r="O202" s="49"/>
      <c r="P202" s="105" t="str">
        <f t="shared" si="39"/>
        <v/>
      </c>
      <c r="Q202" s="99" t="str">
        <f t="shared" si="40"/>
        <v/>
      </c>
      <c r="R202" s="100"/>
      <c r="S202" s="104" t="str">
        <f t="shared" ca="1" si="41"/>
        <v/>
      </c>
      <c r="T202" s="101"/>
      <c r="U202" s="101"/>
      <c r="V202" s="101"/>
      <c r="W202" s="144"/>
    </row>
    <row r="203" spans="1:23" ht="24" customHeight="1" x14ac:dyDescent="0.25">
      <c r="A203" s="90">
        <v>2</v>
      </c>
      <c r="B203" s="19" t="str">
        <f>IFERROR(IF(VLOOKUP(A203,ListeDI,3,FALSE)&lt;&gt;"",VLOOKUP(A203,ListeDI,3,FALSE),""),"")</f>
        <v/>
      </c>
      <c r="C203" s="19" t="str">
        <f>IFERROR(IF(VLOOKUP(A203,ListeDI,4,FALSE)&lt;&gt;"",VLOOKUP(A203,ListeDI,4,FALSE),""),"")</f>
        <v/>
      </c>
      <c r="D203" s="20" t="str">
        <f>IFERROR(IF(VLOOKUP(A203,ListeDI,5,FALSE)&lt;&gt;"",VLOOKUP(A203,ListeDI,5,FALSE),""),"")</f>
        <v/>
      </c>
      <c r="E203" s="274" t="str">
        <f>IFERROR(IF(VLOOKUP(A203,ListeDI,10,FALSE)&lt;&gt;"",VLOOKUP(A203,ListeDI,10,FALSE),""),"")</f>
        <v/>
      </c>
      <c r="F203" s="274" t="str">
        <f>IFERROR(IF(VLOOKUP(A203,ListeDI,11,FALSE)&lt;&gt;"",VLOOKUP(A203,ListeDI,11,FALSE),""),"")</f>
        <v/>
      </c>
      <c r="G203" s="274" t="str">
        <f>IFERROR(IF(VLOOKUP(A203,ListeDI,12,FALSE)&lt;&gt;"",VLOOKUP(A203,ListeDI,12,FALSE),""),"")</f>
        <v/>
      </c>
      <c r="H203" s="275" t="str">
        <f t="shared" si="35"/>
        <v/>
      </c>
      <c r="I203" s="100"/>
      <c r="J203" s="104" t="str">
        <f t="shared" si="36"/>
        <v/>
      </c>
      <c r="K203" s="99" t="str">
        <f t="shared" si="37"/>
        <v/>
      </c>
      <c r="L203" s="100"/>
      <c r="M203" s="104" t="str">
        <f t="shared" ca="1" si="38"/>
        <v/>
      </c>
      <c r="N203" s="49"/>
      <c r="O203" s="49"/>
      <c r="P203" s="105" t="str">
        <f t="shared" si="39"/>
        <v/>
      </c>
      <c r="Q203" s="99" t="str">
        <f t="shared" si="40"/>
        <v/>
      </c>
      <c r="R203" s="100"/>
      <c r="S203" s="104" t="str">
        <f t="shared" ca="1" si="41"/>
        <v/>
      </c>
      <c r="T203" s="101"/>
      <c r="U203" s="101"/>
      <c r="V203" s="101"/>
      <c r="W203" s="144"/>
    </row>
    <row r="204" spans="1:23" ht="24" customHeight="1" x14ac:dyDescent="0.25">
      <c r="A204" s="90">
        <v>4</v>
      </c>
      <c r="B204" s="19" t="str">
        <f>IFERROR(IF(VLOOKUP(A204,ListeDI,3,FALSE)&lt;&gt;"",VLOOKUP(A204,ListeDI,3,FALSE),""),"")</f>
        <v/>
      </c>
      <c r="C204" s="19" t="str">
        <f>IFERROR(IF(VLOOKUP(A204,ListeDI,4,FALSE)&lt;&gt;"",VLOOKUP(A204,ListeDI,4,FALSE),""),"")</f>
        <v/>
      </c>
      <c r="D204" s="20" t="str">
        <f>IFERROR(IF(VLOOKUP(A204,ListeDI,5,FALSE)&lt;&gt;"",VLOOKUP(A204,ListeDI,5,FALSE),""),"")</f>
        <v/>
      </c>
      <c r="E204" s="274" t="str">
        <f>IFERROR(IF(VLOOKUP(A204,ListeDI,10,FALSE)&lt;&gt;"",VLOOKUP(A204,ListeDI,10,FALSE),""),"")</f>
        <v/>
      </c>
      <c r="F204" s="274" t="str">
        <f>IFERROR(IF(VLOOKUP(A204,ListeDI,11,FALSE)&lt;&gt;"",VLOOKUP(A204,ListeDI,11,FALSE),""),"")</f>
        <v/>
      </c>
      <c r="G204" s="274" t="str">
        <f>IFERROR(IF(VLOOKUP(A204,ListeDI,12,FALSE)&lt;&gt;"",VLOOKUP(A204,ListeDI,12,FALSE),""),"")</f>
        <v/>
      </c>
      <c r="H204" s="275" t="str">
        <f t="shared" si="35"/>
        <v/>
      </c>
      <c r="I204" s="100"/>
      <c r="J204" s="104" t="str">
        <f t="shared" si="36"/>
        <v/>
      </c>
      <c r="K204" s="99" t="str">
        <f t="shared" si="37"/>
        <v/>
      </c>
      <c r="L204" s="100"/>
      <c r="M204" s="104" t="str">
        <f t="shared" ca="1" si="38"/>
        <v/>
      </c>
      <c r="N204" s="49"/>
      <c r="O204" s="49"/>
      <c r="P204" s="105" t="str">
        <f t="shared" si="39"/>
        <v/>
      </c>
      <c r="Q204" s="99" t="str">
        <f t="shared" si="40"/>
        <v/>
      </c>
      <c r="R204" s="100"/>
      <c r="S204" s="104" t="str">
        <f t="shared" ca="1" si="41"/>
        <v/>
      </c>
      <c r="T204" s="101"/>
      <c r="U204" s="101"/>
      <c r="V204" s="101"/>
      <c r="W204" s="144"/>
    </row>
    <row r="205" spans="1:23" ht="24" customHeight="1" x14ac:dyDescent="0.25">
      <c r="A205" s="90">
        <v>3</v>
      </c>
      <c r="B205" s="19" t="str">
        <f>IFERROR(IF(VLOOKUP(A205,ListeDI,3,FALSE)&lt;&gt;"",VLOOKUP(A205,ListeDI,3,FALSE),""),"")</f>
        <v/>
      </c>
      <c r="C205" s="19" t="str">
        <f>IFERROR(IF(VLOOKUP(A205,ListeDI,4,FALSE)&lt;&gt;"",VLOOKUP(A205,ListeDI,4,FALSE),""),"")</f>
        <v/>
      </c>
      <c r="D205" s="20" t="str">
        <f>IFERROR(IF(VLOOKUP(A205,ListeDI,5,FALSE)&lt;&gt;"",VLOOKUP(A205,ListeDI,5,FALSE),""),"")</f>
        <v/>
      </c>
      <c r="E205" s="274" t="str">
        <f>IFERROR(IF(VLOOKUP(A205,ListeDI,10,FALSE)&lt;&gt;"",VLOOKUP(A205,ListeDI,10,FALSE),""),"")</f>
        <v/>
      </c>
      <c r="F205" s="274" t="str">
        <f>IFERROR(IF(VLOOKUP(A205,ListeDI,11,FALSE)&lt;&gt;"",VLOOKUP(A205,ListeDI,11,FALSE),""),"")</f>
        <v/>
      </c>
      <c r="G205" s="274" t="str">
        <f>IFERROR(IF(VLOOKUP(A205,ListeDI,12,FALSE)&lt;&gt;"",VLOOKUP(A205,ListeDI,12,FALSE),""),"")</f>
        <v/>
      </c>
      <c r="H205" s="275" t="str">
        <f t="shared" si="35"/>
        <v/>
      </c>
      <c r="I205" s="100"/>
      <c r="J205" s="104" t="str">
        <f t="shared" si="36"/>
        <v/>
      </c>
      <c r="K205" s="99" t="str">
        <f t="shared" si="37"/>
        <v/>
      </c>
      <c r="L205" s="100"/>
      <c r="M205" s="104" t="str">
        <f t="shared" ca="1" si="38"/>
        <v/>
      </c>
      <c r="N205" s="49"/>
      <c r="O205" s="49"/>
      <c r="P205" s="105" t="str">
        <f t="shared" si="39"/>
        <v/>
      </c>
      <c r="Q205" s="99" t="str">
        <f t="shared" si="40"/>
        <v/>
      </c>
      <c r="R205" s="100"/>
      <c r="S205" s="104" t="str">
        <f t="shared" ca="1" si="41"/>
        <v/>
      </c>
      <c r="T205" s="101"/>
      <c r="U205" s="101"/>
      <c r="V205" s="101"/>
      <c r="W205" s="144"/>
    </row>
    <row r="206" spans="1:23" ht="24" customHeight="1" x14ac:dyDescent="0.25">
      <c r="A206" s="90">
        <v>38</v>
      </c>
      <c r="B206" s="19" t="str">
        <f>IFERROR(IF(VLOOKUP(T_SuiviTw[[#This Row],[NumL]],T_suiviDi[#Data],COLUMN(T_suiviDi[[#This Row],[Nom]]),FALSE)&lt;&gt;"",VLOOKUP(T_SuiviTw[[#This Row],[NumL]],T_suiviDi[#Data],COLUMN(T_suiviDi[[#This Row],[Nom]]),FALSE),""),"")</f>
        <v/>
      </c>
      <c r="C206" s="19" t="str">
        <f>IFERROR(IF(VLOOKUP(T_SuiviTw[[#This Row],[NumL]],T_suiviDi[#Data],COLUMN(T_suiviDi[[#This Row],[Prénom]]),FALSE)&lt;&gt;"",VLOOKUP(T_SuiviTw[[#This Row],[NumL]],T_suiviDi[#Data],COLUMN(T_suiviDi[[#This Row],[Prénom]]),FALSE),""),"")</f>
        <v/>
      </c>
      <c r="D206" s="20" t="str">
        <f>IFERROR(IF(VLOOKUP(T_SuiviTw[[#This Row],[NumL]],T_suiviDi[#Data],COLUMN(T_suiviDi[[#This Row],[Email]]),FALSE)&lt;&gt;"",VLOOKUP(T_SuiviTw[[#This Row],[NumL]],T_suiviDi[#Data],COLUMN(T_suiviDi[[#This Row],[Email]]),FALSE),""),"")</f>
        <v/>
      </c>
      <c r="E206" s="274" t="str">
        <f>IFERROR(IF(VLOOKUP(T_SuiviTw[[#This Row],[NumL]],T_suiviDi[#Data],COLUMN(T_suiviDi[[#This Row],[Nom1]]),FALSE)&lt;&gt;"",VLOOKUP(T_SuiviTw[[#This Row],[NumL]],T_suiviDi[#Data],COLUMN(T_suiviDi[[#This Row],[Nom1]]),FALSE),""),"")</f>
        <v/>
      </c>
      <c r="F206" s="274" t="str">
        <f>IFERROR(IF(VLOOKUP(T_SuiviTw[[#This Row],[NumL]],T_suiviDi[#Data],COLUMN(T_suiviDi[[#This Row],[Prénom1]]),FALSE)&lt;&gt;"",VLOOKUP(T_SuiviTw[[#This Row],[NumL]],T_suiviDi[#Data],COLUMN(T_suiviDi[[#This Row],[Prénom1]]),FALSE),""),"")</f>
        <v/>
      </c>
      <c r="G206" s="274" t="str">
        <f>IFERROR(IF(VLOOKUP(T_SuiviTw[[#This Row],[NumL]],T_suiviDi[#Data],COLUMN(T_suiviDi[[#This Row],[Email1]]),FALSE)&lt;&gt;"",VLOOKUP(T_SuiviTw[[#This Row],[NumL]],T_suiviDi[#Data],COLUMN(T_suiviDi[[#This Row],[Email1]]),FALSE),""),"")</f>
        <v/>
      </c>
      <c r="H206" s="275" t="str">
        <f t="shared" si="35"/>
        <v/>
      </c>
      <c r="I206" s="100"/>
      <c r="J206" s="156" t="str">
        <f t="shared" si="36"/>
        <v/>
      </c>
      <c r="K206" s="155" t="str">
        <f t="shared" si="37"/>
        <v/>
      </c>
      <c r="L206" s="100"/>
      <c r="M206" s="156" t="str">
        <f t="shared" ca="1" si="38"/>
        <v/>
      </c>
      <c r="N206" s="49"/>
      <c r="O206" s="49"/>
      <c r="P206" s="105" t="str">
        <f t="shared" si="39"/>
        <v/>
      </c>
      <c r="Q206" s="155" t="str">
        <f t="shared" si="40"/>
        <v/>
      </c>
      <c r="R206" s="100"/>
      <c r="S206" s="156" t="str">
        <f t="shared" ca="1" si="41"/>
        <v/>
      </c>
      <c r="T206" s="101"/>
      <c r="U206" s="101"/>
      <c r="V206" s="101"/>
      <c r="W206" s="144"/>
    </row>
    <row r="207" spans="1:23" ht="24" customHeight="1" x14ac:dyDescent="0.25">
      <c r="A207" s="90">
        <v>110</v>
      </c>
      <c r="B207" s="19" t="str">
        <f>IFERROR(IF(VLOOKUP(T_SuiviTw[[#This Row],[NumL]],T_suiviDi[#Data],COLUMN(T_suiviDi[[#This Row],[Nom]]),FALSE)&lt;&gt;"",VLOOKUP(T_SuiviTw[[#This Row],[NumL]],T_suiviDi[#Data],COLUMN(T_suiviDi[[#This Row],[Nom]]),FALSE),""),"")</f>
        <v/>
      </c>
      <c r="C207" s="19" t="str">
        <f>IFERROR(IF(VLOOKUP(T_SuiviTw[[#This Row],[NumL]],T_suiviDi[#Data],COLUMN(T_suiviDi[[#This Row],[Prénom]]),FALSE)&lt;&gt;"",VLOOKUP(T_SuiviTw[[#This Row],[NumL]],T_suiviDi[#Data],COLUMN(T_suiviDi[[#This Row],[Prénom]]),FALSE),""),"")</f>
        <v/>
      </c>
      <c r="D207" s="20" t="str">
        <f>IFERROR(IF(VLOOKUP(T_SuiviTw[[#This Row],[NumL]],T_suiviDi[#Data],COLUMN(T_suiviDi[[#This Row],[Email]]),FALSE)&lt;&gt;"",VLOOKUP(T_SuiviTw[[#This Row],[NumL]],T_suiviDi[#Data],COLUMN(T_suiviDi[[#This Row],[Email]]),FALSE),""),"")</f>
        <v/>
      </c>
      <c r="E207" s="274" t="str">
        <f>IFERROR(IF(VLOOKUP(T_SuiviTw[[#This Row],[NumL]],T_suiviDi[#Data],COLUMN(T_suiviDi[[#This Row],[Nom1]]),FALSE)&lt;&gt;"",VLOOKUP(T_SuiviTw[[#This Row],[NumL]],T_suiviDi[#Data],COLUMN(T_suiviDi[[#This Row],[Nom1]]),FALSE),""),"")</f>
        <v/>
      </c>
      <c r="F207" s="274" t="str">
        <f>IFERROR(IF(VLOOKUP(T_SuiviTw[[#This Row],[NumL]],T_suiviDi[#Data],COLUMN(T_suiviDi[[#This Row],[Prénom1]]),FALSE)&lt;&gt;"",VLOOKUP(T_SuiviTw[[#This Row],[NumL]],T_suiviDi[#Data],COLUMN(T_suiviDi[[#This Row],[Prénom1]]),FALSE),""),"")</f>
        <v/>
      </c>
      <c r="G207" s="274" t="str">
        <f>IFERROR(IF(VLOOKUP(T_SuiviTw[[#This Row],[NumL]],T_suiviDi[#Data],COLUMN(T_suiviDi[[#This Row],[Email1]]),FALSE)&lt;&gt;"",VLOOKUP(T_SuiviTw[[#This Row],[NumL]],T_suiviDi[#Data],COLUMN(T_suiviDi[[#This Row],[Email1]]),FALSE),""),"")</f>
        <v/>
      </c>
      <c r="H207" s="275" t="str">
        <f t="shared" si="35"/>
        <v/>
      </c>
      <c r="I207" s="100"/>
      <c r="J207" s="156" t="str">
        <f t="shared" si="36"/>
        <v/>
      </c>
      <c r="K207" s="155" t="str">
        <f t="shared" si="37"/>
        <v/>
      </c>
      <c r="L207" s="100"/>
      <c r="M207" s="156" t="str">
        <f t="shared" ca="1" si="38"/>
        <v/>
      </c>
      <c r="N207" s="49"/>
      <c r="O207" s="49"/>
      <c r="P207" s="105" t="str">
        <f t="shared" si="39"/>
        <v/>
      </c>
      <c r="Q207" s="155" t="str">
        <f t="shared" si="40"/>
        <v/>
      </c>
      <c r="R207" s="100"/>
      <c r="S207" s="156" t="str">
        <f t="shared" ca="1" si="41"/>
        <v/>
      </c>
      <c r="T207" s="101"/>
      <c r="U207" s="101"/>
      <c r="V207" s="101"/>
      <c r="W207" s="144"/>
    </row>
    <row r="208" spans="1:23" ht="24" customHeight="1" x14ac:dyDescent="0.25">
      <c r="A208" s="90">
        <v>16</v>
      </c>
      <c r="B208" s="19" t="str">
        <f>IFERROR(IF(VLOOKUP(T_SuiviTw[[#This Row],[NumL]],T_suiviDi[#Data],COLUMN(T_suiviDi[[#This Row],[Nom]]),FALSE)&lt;&gt;"",VLOOKUP(T_SuiviTw[[#This Row],[NumL]],T_suiviDi[#Data],COLUMN(T_suiviDi[[#This Row],[Nom]]),FALSE),""),"")</f>
        <v/>
      </c>
      <c r="C208" s="19" t="str">
        <f>IFERROR(IF(VLOOKUP(T_SuiviTw[[#This Row],[NumL]],T_suiviDi[#Data],COLUMN(T_suiviDi[[#This Row],[Prénom]]),FALSE)&lt;&gt;"",VLOOKUP(T_SuiviTw[[#This Row],[NumL]],T_suiviDi[#Data],COLUMN(T_suiviDi[[#This Row],[Prénom]]),FALSE),""),"")</f>
        <v/>
      </c>
      <c r="D208" s="20" t="str">
        <f>IFERROR(IF(VLOOKUP(T_SuiviTw[[#This Row],[NumL]],T_suiviDi[#Data],COLUMN(T_suiviDi[[#This Row],[Email]]),FALSE)&lt;&gt;"",VLOOKUP(T_SuiviTw[[#This Row],[NumL]],T_suiviDi[#Data],COLUMN(T_suiviDi[[#This Row],[Email]]),FALSE),""),"")</f>
        <v/>
      </c>
      <c r="E208" s="274" t="str">
        <f>IFERROR(IF(VLOOKUP(T_SuiviTw[[#This Row],[NumL]],T_suiviDi[#Data],COLUMN(T_suiviDi[[#This Row],[Nom1]]),FALSE)&lt;&gt;"",VLOOKUP(T_SuiviTw[[#This Row],[NumL]],T_suiviDi[#Data],COLUMN(T_suiviDi[[#This Row],[Nom1]]),FALSE),""),"")</f>
        <v/>
      </c>
      <c r="F208" s="274" t="str">
        <f>IFERROR(IF(VLOOKUP(T_SuiviTw[[#This Row],[NumL]],T_suiviDi[#Data],COLUMN(T_suiviDi[[#This Row],[Prénom1]]),FALSE)&lt;&gt;"",VLOOKUP(T_SuiviTw[[#This Row],[NumL]],T_suiviDi[#Data],COLUMN(T_suiviDi[[#This Row],[Prénom1]]),FALSE),""),"")</f>
        <v/>
      </c>
      <c r="G208" s="274" t="str">
        <f>IFERROR(IF(VLOOKUP(T_SuiviTw[[#This Row],[NumL]],T_suiviDi[#Data],COLUMN(T_suiviDi[[#This Row],[Email1]]),FALSE)&lt;&gt;"",VLOOKUP(T_SuiviTw[[#This Row],[NumL]],T_suiviDi[#Data],COLUMN(T_suiviDi[[#This Row],[Email1]]),FALSE),""),"")</f>
        <v/>
      </c>
      <c r="H208" s="275" t="str">
        <f t="shared" si="35"/>
        <v/>
      </c>
      <c r="I208" s="100"/>
      <c r="J208" s="156" t="str">
        <f t="shared" si="36"/>
        <v/>
      </c>
      <c r="K208" s="155" t="str">
        <f t="shared" si="37"/>
        <v/>
      </c>
      <c r="L208" s="100"/>
      <c r="M208" s="156" t="str">
        <f t="shared" ca="1" si="38"/>
        <v/>
      </c>
      <c r="N208" s="49"/>
      <c r="O208" s="49"/>
      <c r="P208" s="105" t="str">
        <f t="shared" si="39"/>
        <v/>
      </c>
      <c r="Q208" s="155" t="str">
        <f t="shared" si="40"/>
        <v/>
      </c>
      <c r="R208" s="100"/>
      <c r="S208" s="156" t="str">
        <f t="shared" ca="1" si="41"/>
        <v/>
      </c>
      <c r="T208" s="101"/>
      <c r="U208" s="101"/>
      <c r="V208" s="101"/>
      <c r="W208" s="144"/>
    </row>
    <row r="209" spans="1:23" ht="24" customHeight="1" x14ac:dyDescent="0.25">
      <c r="A209" s="90">
        <v>335</v>
      </c>
      <c r="B209" s="139" t="str">
        <f>IFERROR(IF(VLOOKUP(T_SuiviTw[[#This Row],[NumL]],T_suiviDi[#Data],COLUMN(T_suiviDi[[#This Row],[Nom]]),FALSE)&lt;&gt;"",VLOOKUP(T_SuiviTw[[#This Row],[NumL]],T_suiviDi[#Data],COLUMN(T_suiviDi[[#This Row],[Nom]]),FALSE),""),"")</f>
        <v/>
      </c>
      <c r="C209" s="139" t="str">
        <f>IFERROR(IF(VLOOKUP(T_SuiviTw[[#This Row],[NumL]],T_suiviDi[#Data],COLUMN(T_suiviDi[[#This Row],[Prénom]]),FALSE)&lt;&gt;"",VLOOKUP(T_SuiviTw[[#This Row],[NumL]],T_suiviDi[#Data],COLUMN(T_suiviDi[[#This Row],[Prénom]]),FALSE),""),"")</f>
        <v/>
      </c>
      <c r="D209" s="140" t="str">
        <f>IFERROR(IF(VLOOKUP(T_SuiviTw[[#This Row],[NumL]],T_suiviDi[#Data],COLUMN(T_suiviDi[[#This Row],[Email]]),FALSE)&lt;&gt;"",VLOOKUP(T_SuiviTw[[#This Row],[NumL]],T_suiviDi[#Data],COLUMN(T_suiviDi[[#This Row],[Email]]),FALSE),""),"")</f>
        <v/>
      </c>
      <c r="E209" s="141" t="str">
        <f>IFERROR(IF(VLOOKUP(T_SuiviTw[[#This Row],[NumL]],T_suiviDi[#Data],COLUMN(T_suiviDi[[#This Row],[Nom1]]),FALSE)&lt;&gt;"",VLOOKUP(T_SuiviTw[[#This Row],[NumL]],T_suiviDi[#Data],COLUMN(T_suiviDi[[#This Row],[Nom1]]),FALSE),""),"")</f>
        <v/>
      </c>
      <c r="F209" s="141" t="str">
        <f>IFERROR(IF(VLOOKUP(T_SuiviTw[[#This Row],[NumL]],T_suiviDi[#Data],COLUMN(T_suiviDi[[#This Row],[Prénom1]]),FALSE)&lt;&gt;"",VLOOKUP(T_SuiviTw[[#This Row],[NumL]],T_suiviDi[#Data],COLUMN(T_suiviDi[[#This Row],[Prénom1]]),FALSE),""),"")</f>
        <v/>
      </c>
      <c r="G209" s="141" t="str">
        <f>IFERROR(IF(VLOOKUP(T_SuiviTw[[#This Row],[NumL]],T_suiviDi[#Data],COLUMN(T_suiviDi[[#This Row],[Email1]]),FALSE)&lt;&gt;"",VLOOKUP(T_SuiviTw[[#This Row],[NumL]],T_suiviDi[#Data],COLUMN(T_suiviDi[[#This Row],[Email1]]),FALSE),""),"")</f>
        <v/>
      </c>
      <c r="H209" s="155" t="str">
        <f t="shared" si="35"/>
        <v/>
      </c>
      <c r="I209" s="100"/>
      <c r="J209" s="156" t="str">
        <f t="shared" si="36"/>
        <v/>
      </c>
      <c r="K209" s="155" t="str">
        <f t="shared" si="37"/>
        <v/>
      </c>
      <c r="L209" s="100"/>
      <c r="M209" s="156" t="str">
        <f t="shared" ca="1" si="38"/>
        <v/>
      </c>
      <c r="N209" s="49"/>
      <c r="O209" s="49"/>
      <c r="P209" s="105" t="str">
        <f t="shared" si="39"/>
        <v/>
      </c>
      <c r="Q209" s="155" t="str">
        <f t="shared" si="40"/>
        <v/>
      </c>
      <c r="R209" s="100"/>
      <c r="S209" s="156" t="str">
        <f t="shared" ca="1" si="41"/>
        <v/>
      </c>
      <c r="T209" s="101"/>
      <c r="U209" s="101"/>
      <c r="V209" s="101"/>
      <c r="W209" s="144"/>
    </row>
    <row r="210" spans="1:23" ht="24" customHeight="1" x14ac:dyDescent="0.25">
      <c r="A210" s="90">
        <v>179</v>
      </c>
      <c r="B210" s="19" t="str">
        <f>IFERROR(IF(VLOOKUP(T_SuiviTw[[#This Row],[NumL]],T_suiviDi[#Data],COLUMN(T_suiviDi[[#This Row],[Nom]]),FALSE)&lt;&gt;"",VLOOKUP(T_SuiviTw[[#This Row],[NumL]],T_suiviDi[#Data],COLUMN(T_suiviDi[[#This Row],[Nom]]),FALSE),""),"")</f>
        <v/>
      </c>
      <c r="C210" s="19" t="str">
        <f>IFERROR(IF(VLOOKUP(T_SuiviTw[[#This Row],[NumL]],T_suiviDi[#Data],COLUMN(T_suiviDi[[#This Row],[Prénom]]),FALSE)&lt;&gt;"",VLOOKUP(T_SuiviTw[[#This Row],[NumL]],T_suiviDi[#Data],COLUMN(T_suiviDi[[#This Row],[Prénom]]),FALSE),""),"")</f>
        <v/>
      </c>
      <c r="D210" s="20" t="str">
        <f>IFERROR(IF(VLOOKUP(T_SuiviTw[[#This Row],[NumL]],T_suiviDi[#Data],COLUMN(T_suiviDi[[#This Row],[Email]]),FALSE)&lt;&gt;"",VLOOKUP(T_SuiviTw[[#This Row],[NumL]],T_suiviDi[#Data],COLUMN(T_suiviDi[[#This Row],[Email]]),FALSE),""),"")</f>
        <v/>
      </c>
      <c r="E210" s="274" t="str">
        <f>IFERROR(IF(VLOOKUP(T_SuiviTw[[#This Row],[NumL]],T_suiviDi[#Data],COLUMN(T_suiviDi[[#This Row],[Nom1]]),FALSE)&lt;&gt;"",VLOOKUP(T_SuiviTw[[#This Row],[NumL]],T_suiviDi[#Data],COLUMN(T_suiviDi[[#This Row],[Nom1]]),FALSE),""),"")</f>
        <v/>
      </c>
      <c r="F210" s="274" t="str">
        <f>IFERROR(IF(VLOOKUP(T_SuiviTw[[#This Row],[NumL]],T_suiviDi[#Data],COLUMN(T_suiviDi[[#This Row],[Prénom1]]),FALSE)&lt;&gt;"",VLOOKUP(T_SuiviTw[[#This Row],[NumL]],T_suiviDi[#Data],COLUMN(T_suiviDi[[#This Row],[Prénom1]]),FALSE),""),"")</f>
        <v/>
      </c>
      <c r="G210" s="274" t="str">
        <f>IFERROR(IF(VLOOKUP(T_SuiviTw[[#This Row],[NumL]],T_suiviDi[#Data],COLUMN(T_suiviDi[[#This Row],[Email1]]),FALSE)&lt;&gt;"",VLOOKUP(T_SuiviTw[[#This Row],[NumL]],T_suiviDi[#Data],COLUMN(T_suiviDi[[#This Row],[Email1]]),FALSE),""),"")</f>
        <v/>
      </c>
      <c r="H210" s="275" t="str">
        <f t="shared" si="35"/>
        <v/>
      </c>
      <c r="I210" s="100"/>
      <c r="J210" s="156" t="str">
        <f t="shared" si="36"/>
        <v/>
      </c>
      <c r="K210" s="155" t="str">
        <f t="shared" si="37"/>
        <v/>
      </c>
      <c r="L210" s="100"/>
      <c r="M210" s="156" t="str">
        <f t="shared" ca="1" si="38"/>
        <v/>
      </c>
      <c r="N210" s="49"/>
      <c r="O210" s="49"/>
      <c r="P210" s="105" t="str">
        <f t="shared" si="39"/>
        <v/>
      </c>
      <c r="Q210" s="155" t="str">
        <f t="shared" si="40"/>
        <v/>
      </c>
      <c r="R210" s="100"/>
      <c r="S210" s="156" t="str">
        <f t="shared" ca="1" si="41"/>
        <v/>
      </c>
      <c r="T210" s="101"/>
      <c r="U210" s="101"/>
      <c r="V210" s="101"/>
      <c r="W210" s="144"/>
    </row>
    <row r="211" spans="1:23" ht="24" customHeight="1" x14ac:dyDescent="0.25">
      <c r="A211" s="90">
        <v>33</v>
      </c>
      <c r="B211" s="19" t="str">
        <f>IFERROR(IF(VLOOKUP(T_SuiviTw[[#This Row],[NumL]],T_suiviDi[#Data],COLUMN(T_suiviDi[[#This Row],[Nom]]),FALSE)&lt;&gt;"",VLOOKUP(T_SuiviTw[[#This Row],[NumL]],T_suiviDi[#Data],COLUMN(T_suiviDi[[#This Row],[Nom]]),FALSE),""),"")</f>
        <v/>
      </c>
      <c r="C211" s="19" t="str">
        <f>IFERROR(IF(VLOOKUP(T_SuiviTw[[#This Row],[NumL]],T_suiviDi[#Data],COLUMN(T_suiviDi[[#This Row],[Prénom]]),FALSE)&lt;&gt;"",VLOOKUP(T_SuiviTw[[#This Row],[NumL]],T_suiviDi[#Data],COLUMN(T_suiviDi[[#This Row],[Prénom]]),FALSE),""),"")</f>
        <v/>
      </c>
      <c r="D211" s="20" t="str">
        <f>IFERROR(IF(VLOOKUP(T_SuiviTw[[#This Row],[NumL]],T_suiviDi[#Data],COLUMN(T_suiviDi[[#This Row],[Email]]),FALSE)&lt;&gt;"",VLOOKUP(T_SuiviTw[[#This Row],[NumL]],T_suiviDi[#Data],COLUMN(T_suiviDi[[#This Row],[Email]]),FALSE),""),"")</f>
        <v/>
      </c>
      <c r="E211" s="274" t="str">
        <f>IFERROR(IF(VLOOKUP(T_SuiviTw[[#This Row],[NumL]],T_suiviDi[#Data],COLUMN(T_suiviDi[[#This Row],[Nom1]]),FALSE)&lt;&gt;"",VLOOKUP(T_SuiviTw[[#This Row],[NumL]],T_suiviDi[#Data],COLUMN(T_suiviDi[[#This Row],[Nom1]]),FALSE),""),"")</f>
        <v/>
      </c>
      <c r="F211" s="274" t="str">
        <f>IFERROR(IF(VLOOKUP(T_SuiviTw[[#This Row],[NumL]],T_suiviDi[#Data],COLUMN(T_suiviDi[[#This Row],[Prénom1]]),FALSE)&lt;&gt;"",VLOOKUP(T_SuiviTw[[#This Row],[NumL]],T_suiviDi[#Data],COLUMN(T_suiviDi[[#This Row],[Prénom1]]),FALSE),""),"")</f>
        <v/>
      </c>
      <c r="G211" s="274" t="str">
        <f>IFERROR(IF(VLOOKUP(T_SuiviTw[[#This Row],[NumL]],T_suiviDi[#Data],COLUMN(T_suiviDi[[#This Row],[Email1]]),FALSE)&lt;&gt;"",VLOOKUP(T_SuiviTw[[#This Row],[NumL]],T_suiviDi[#Data],COLUMN(T_suiviDi[[#This Row],[Email1]]),FALSE),""),"")</f>
        <v/>
      </c>
      <c r="H211" s="275" t="str">
        <f t="shared" si="35"/>
        <v/>
      </c>
      <c r="I211" s="100"/>
      <c r="J211" s="156" t="str">
        <f t="shared" si="36"/>
        <v/>
      </c>
      <c r="K211" s="155" t="str">
        <f t="shared" si="37"/>
        <v/>
      </c>
      <c r="L211" s="100"/>
      <c r="M211" s="156" t="str">
        <f t="shared" ca="1" si="38"/>
        <v/>
      </c>
      <c r="N211" s="49"/>
      <c r="O211" s="49"/>
      <c r="P211" s="105" t="str">
        <f t="shared" si="39"/>
        <v/>
      </c>
      <c r="Q211" s="155" t="str">
        <f t="shared" si="40"/>
        <v/>
      </c>
      <c r="R211" s="100"/>
      <c r="S211" s="156" t="str">
        <f t="shared" ca="1" si="41"/>
        <v/>
      </c>
      <c r="T211" s="101"/>
      <c r="U211" s="101"/>
      <c r="V211" s="101"/>
      <c r="W211" s="144"/>
    </row>
    <row r="212" spans="1:23" ht="24" customHeight="1" x14ac:dyDescent="0.25">
      <c r="A212" s="90">
        <v>143</v>
      </c>
      <c r="B212" s="19" t="str">
        <f>IFERROR(IF(VLOOKUP(T_SuiviTw[[#This Row],[NumL]],T_suiviDi[#Data],COLUMN(T_suiviDi[[#This Row],[Nom]]),FALSE)&lt;&gt;"",VLOOKUP(T_SuiviTw[[#This Row],[NumL]],T_suiviDi[#Data],COLUMN(T_suiviDi[[#This Row],[Nom]]),FALSE),""),"")</f>
        <v/>
      </c>
      <c r="C212" s="19" t="str">
        <f>IFERROR(IF(VLOOKUP(T_SuiviTw[[#This Row],[NumL]],T_suiviDi[#Data],COLUMN(T_suiviDi[[#This Row],[Prénom]]),FALSE)&lt;&gt;"",VLOOKUP(T_SuiviTw[[#This Row],[NumL]],T_suiviDi[#Data],COLUMN(T_suiviDi[[#This Row],[Prénom]]),FALSE),""),"")</f>
        <v/>
      </c>
      <c r="D212" s="20" t="str">
        <f>IFERROR(IF(VLOOKUP(T_SuiviTw[[#This Row],[NumL]],T_suiviDi[#Data],COLUMN(T_suiviDi[[#This Row],[Email]]),FALSE)&lt;&gt;"",VLOOKUP(T_SuiviTw[[#This Row],[NumL]],T_suiviDi[#Data],COLUMN(T_suiviDi[[#This Row],[Email]]),FALSE),""),"")</f>
        <v/>
      </c>
      <c r="E212" s="274" t="str">
        <f>IFERROR(IF(VLOOKUP(T_SuiviTw[[#This Row],[NumL]],T_suiviDi[#Data],COLUMN(T_suiviDi[[#This Row],[Nom1]]),FALSE)&lt;&gt;"",VLOOKUP(T_SuiviTw[[#This Row],[NumL]],T_suiviDi[#Data],COLUMN(T_suiviDi[[#This Row],[Nom1]]),FALSE),""),"")</f>
        <v/>
      </c>
      <c r="F212" s="274" t="str">
        <f>IFERROR(IF(VLOOKUP(T_SuiviTw[[#This Row],[NumL]],T_suiviDi[#Data],COLUMN(T_suiviDi[[#This Row],[Prénom1]]),FALSE)&lt;&gt;"",VLOOKUP(T_SuiviTw[[#This Row],[NumL]],T_suiviDi[#Data],COLUMN(T_suiviDi[[#This Row],[Prénom1]]),FALSE),""),"")</f>
        <v/>
      </c>
      <c r="G212" s="274" t="str">
        <f>IFERROR(IF(VLOOKUP(T_SuiviTw[[#This Row],[NumL]],T_suiviDi[#Data],COLUMN(T_suiviDi[[#This Row],[Email1]]),FALSE)&lt;&gt;"",VLOOKUP(T_SuiviTw[[#This Row],[NumL]],T_suiviDi[#Data],COLUMN(T_suiviDi[[#This Row],[Email1]]),FALSE),""),"")</f>
        <v/>
      </c>
      <c r="H212" s="275" t="str">
        <f t="shared" si="35"/>
        <v/>
      </c>
      <c r="I212" s="100"/>
      <c r="J212" s="156" t="str">
        <f t="shared" si="36"/>
        <v/>
      </c>
      <c r="K212" s="155" t="str">
        <f t="shared" si="37"/>
        <v/>
      </c>
      <c r="L212" s="100"/>
      <c r="M212" s="156" t="str">
        <f t="shared" ca="1" si="38"/>
        <v/>
      </c>
      <c r="N212" s="49"/>
      <c r="O212" s="49"/>
      <c r="P212" s="105" t="str">
        <f t="shared" si="39"/>
        <v/>
      </c>
      <c r="Q212" s="155" t="str">
        <f t="shared" si="40"/>
        <v/>
      </c>
      <c r="R212" s="100"/>
      <c r="S212" s="156" t="str">
        <f t="shared" ca="1" si="41"/>
        <v/>
      </c>
      <c r="T212" s="101"/>
      <c r="U212" s="101"/>
      <c r="V212" s="101"/>
      <c r="W212" s="144"/>
    </row>
    <row r="213" spans="1:23" ht="24" customHeight="1" x14ac:dyDescent="0.25">
      <c r="A213" s="90">
        <v>169</v>
      </c>
      <c r="B213" s="19" t="str">
        <f>IFERROR(IF(VLOOKUP(T_SuiviTw[[#This Row],[NumL]],T_suiviDi[#Data],COLUMN(T_suiviDi[[#This Row],[Nom]]),FALSE)&lt;&gt;"",VLOOKUP(T_SuiviTw[[#This Row],[NumL]],T_suiviDi[#Data],COLUMN(T_suiviDi[[#This Row],[Nom]]),FALSE),""),"")</f>
        <v/>
      </c>
      <c r="C213" s="19" t="str">
        <f>IFERROR(IF(VLOOKUP(T_SuiviTw[[#This Row],[NumL]],T_suiviDi[#Data],COLUMN(T_suiviDi[[#This Row],[Prénom]]),FALSE)&lt;&gt;"",VLOOKUP(T_SuiviTw[[#This Row],[NumL]],T_suiviDi[#Data],COLUMN(T_suiviDi[[#This Row],[Prénom]]),FALSE),""),"")</f>
        <v/>
      </c>
      <c r="D213" s="20" t="str">
        <f>IFERROR(IF(VLOOKUP(T_SuiviTw[[#This Row],[NumL]],T_suiviDi[#Data],COLUMN(T_suiviDi[[#This Row],[Email]]),FALSE)&lt;&gt;"",VLOOKUP(T_SuiviTw[[#This Row],[NumL]],T_suiviDi[#Data],COLUMN(T_suiviDi[[#This Row],[Email]]),FALSE),""),"")</f>
        <v/>
      </c>
      <c r="E213" s="274" t="str">
        <f>IFERROR(IF(VLOOKUP(T_SuiviTw[[#This Row],[NumL]],T_suiviDi[#Data],COLUMN(T_suiviDi[[#This Row],[Nom1]]),FALSE)&lt;&gt;"",VLOOKUP(T_SuiviTw[[#This Row],[NumL]],T_suiviDi[#Data],COLUMN(T_suiviDi[[#This Row],[Nom1]]),FALSE),""),"")</f>
        <v/>
      </c>
      <c r="F213" s="274" t="str">
        <f>IFERROR(IF(VLOOKUP(T_SuiviTw[[#This Row],[NumL]],T_suiviDi[#Data],COLUMN(T_suiviDi[[#This Row],[Prénom1]]),FALSE)&lt;&gt;"",VLOOKUP(T_SuiviTw[[#This Row],[NumL]],T_suiviDi[#Data],COLUMN(T_suiviDi[[#This Row],[Prénom1]]),FALSE),""),"")</f>
        <v/>
      </c>
      <c r="G213" s="274" t="str">
        <f>IFERROR(IF(VLOOKUP(T_SuiviTw[[#This Row],[NumL]],T_suiviDi[#Data],COLUMN(T_suiviDi[[#This Row],[Email1]]),FALSE)&lt;&gt;"",VLOOKUP(T_SuiviTw[[#This Row],[NumL]],T_suiviDi[#Data],COLUMN(T_suiviDi[[#This Row],[Email1]]),FALSE),""),"")</f>
        <v/>
      </c>
      <c r="H213" s="275" t="str">
        <f t="shared" si="35"/>
        <v/>
      </c>
      <c r="I213" s="100"/>
      <c r="J213" s="156" t="str">
        <f t="shared" si="36"/>
        <v/>
      </c>
      <c r="K213" s="155" t="str">
        <f t="shared" si="37"/>
        <v/>
      </c>
      <c r="L213" s="100"/>
      <c r="M213" s="156" t="str">
        <f t="shared" ca="1" si="38"/>
        <v/>
      </c>
      <c r="N213" s="49"/>
      <c r="O213" s="49"/>
      <c r="P213" s="105" t="str">
        <f t="shared" si="39"/>
        <v/>
      </c>
      <c r="Q213" s="155" t="str">
        <f t="shared" si="40"/>
        <v/>
      </c>
      <c r="R213" s="100"/>
      <c r="S213" s="156" t="str">
        <f t="shared" ca="1" si="41"/>
        <v/>
      </c>
      <c r="T213" s="101"/>
      <c r="U213" s="101"/>
      <c r="V213" s="101"/>
      <c r="W213" s="144"/>
    </row>
    <row r="214" spans="1:23" ht="24" customHeight="1" x14ac:dyDescent="0.25">
      <c r="A214" s="90">
        <v>208</v>
      </c>
      <c r="B214" s="19" t="str">
        <f>IFERROR(IF(VLOOKUP(T_SuiviTw[[#This Row],[NumL]],T_suiviDi[#Data],COLUMN(T_suiviDi[[#This Row],[Nom]]),FALSE)&lt;&gt;"",VLOOKUP(T_SuiviTw[[#This Row],[NumL]],T_suiviDi[#Data],COLUMN(T_suiviDi[[#This Row],[Nom]]),FALSE),""),"")</f>
        <v/>
      </c>
      <c r="C214" s="19" t="str">
        <f>IFERROR(IF(VLOOKUP(T_SuiviTw[[#This Row],[NumL]],T_suiviDi[#Data],COLUMN(T_suiviDi[[#This Row],[Prénom]]),FALSE)&lt;&gt;"",VLOOKUP(T_SuiviTw[[#This Row],[NumL]],T_suiviDi[#Data],COLUMN(T_suiviDi[[#This Row],[Prénom]]),FALSE),""),"")</f>
        <v/>
      </c>
      <c r="D214" s="20" t="str">
        <f>IFERROR(IF(VLOOKUP(T_SuiviTw[[#This Row],[NumL]],T_suiviDi[#Data],COLUMN(T_suiviDi[[#This Row],[Email]]),FALSE)&lt;&gt;"",VLOOKUP(T_SuiviTw[[#This Row],[NumL]],T_suiviDi[#Data],COLUMN(T_suiviDi[[#This Row],[Email]]),FALSE),""),"")</f>
        <v/>
      </c>
      <c r="E214" s="274" t="str">
        <f>IFERROR(IF(VLOOKUP(T_SuiviTw[[#This Row],[NumL]],T_suiviDi[#Data],COLUMN(T_suiviDi[[#This Row],[Nom1]]),FALSE)&lt;&gt;"",VLOOKUP(T_SuiviTw[[#This Row],[NumL]],T_suiviDi[#Data],COLUMN(T_suiviDi[[#This Row],[Nom1]]),FALSE),""),"")</f>
        <v/>
      </c>
      <c r="F214" s="274" t="str">
        <f>IFERROR(IF(VLOOKUP(T_SuiviTw[[#This Row],[NumL]],T_suiviDi[#Data],COLUMN(T_suiviDi[[#This Row],[Prénom1]]),FALSE)&lt;&gt;"",VLOOKUP(T_SuiviTw[[#This Row],[NumL]],T_suiviDi[#Data],COLUMN(T_suiviDi[[#This Row],[Prénom1]]),FALSE),""),"")</f>
        <v/>
      </c>
      <c r="G214" s="274" t="str">
        <f>IFERROR(IF(VLOOKUP(T_SuiviTw[[#This Row],[NumL]],T_suiviDi[#Data],COLUMN(T_suiviDi[[#This Row],[Email1]]),FALSE)&lt;&gt;"",VLOOKUP(T_SuiviTw[[#This Row],[NumL]],T_suiviDi[#Data],COLUMN(T_suiviDi[[#This Row],[Email1]]),FALSE),""),"")</f>
        <v/>
      </c>
      <c r="H214" s="275" t="str">
        <f t="shared" si="35"/>
        <v/>
      </c>
      <c r="I214" s="100"/>
      <c r="J214" s="156" t="str">
        <f t="shared" si="36"/>
        <v/>
      </c>
      <c r="K214" s="155" t="str">
        <f t="shared" si="37"/>
        <v/>
      </c>
      <c r="L214" s="100"/>
      <c r="M214" s="156" t="str">
        <f t="shared" ca="1" si="38"/>
        <v/>
      </c>
      <c r="N214" s="49"/>
      <c r="O214" s="49"/>
      <c r="P214" s="105" t="str">
        <f t="shared" si="39"/>
        <v/>
      </c>
      <c r="Q214" s="155" t="str">
        <f t="shared" si="40"/>
        <v/>
      </c>
      <c r="R214" s="100"/>
      <c r="S214" s="156" t="str">
        <f t="shared" ca="1" si="41"/>
        <v/>
      </c>
      <c r="T214" s="101"/>
      <c r="U214" s="101"/>
      <c r="V214" s="101"/>
      <c r="W214" s="144"/>
    </row>
    <row r="215" spans="1:23" ht="24" customHeight="1" x14ac:dyDescent="0.25">
      <c r="A215" s="90">
        <v>198</v>
      </c>
      <c r="B215" s="19" t="str">
        <f>IFERROR(IF(VLOOKUP(T_SuiviTw[[#This Row],[NumL]],T_suiviDi[#Data],COLUMN(T_suiviDi[[#This Row],[Nom]]),FALSE)&lt;&gt;"",VLOOKUP(T_SuiviTw[[#This Row],[NumL]],T_suiviDi[#Data],COLUMN(T_suiviDi[[#This Row],[Nom]]),FALSE),""),"")</f>
        <v/>
      </c>
      <c r="C215" s="19" t="str">
        <f>IFERROR(IF(VLOOKUP(T_SuiviTw[[#This Row],[NumL]],T_suiviDi[#Data],COLUMN(T_suiviDi[[#This Row],[Prénom]]),FALSE)&lt;&gt;"",VLOOKUP(T_SuiviTw[[#This Row],[NumL]],T_suiviDi[#Data],COLUMN(T_suiviDi[[#This Row],[Prénom]]),FALSE),""),"")</f>
        <v/>
      </c>
      <c r="D215" s="20" t="str">
        <f>IFERROR(IF(VLOOKUP(T_SuiviTw[[#This Row],[NumL]],T_suiviDi[#Data],COLUMN(T_suiviDi[[#This Row],[Email]]),FALSE)&lt;&gt;"",VLOOKUP(T_SuiviTw[[#This Row],[NumL]],T_suiviDi[#Data],COLUMN(T_suiviDi[[#This Row],[Email]]),FALSE),""),"")</f>
        <v/>
      </c>
      <c r="E215" s="274" t="str">
        <f>IFERROR(IF(VLOOKUP(T_SuiviTw[[#This Row],[NumL]],T_suiviDi[#Data],COLUMN(T_suiviDi[[#This Row],[Nom1]]),FALSE)&lt;&gt;"",VLOOKUP(T_SuiviTw[[#This Row],[NumL]],T_suiviDi[#Data],COLUMN(T_suiviDi[[#This Row],[Nom1]]),FALSE),""),"")</f>
        <v/>
      </c>
      <c r="F215" s="274" t="str">
        <f>IFERROR(IF(VLOOKUP(T_SuiviTw[[#This Row],[NumL]],T_suiviDi[#Data],COLUMN(T_suiviDi[[#This Row],[Prénom1]]),FALSE)&lt;&gt;"",VLOOKUP(T_SuiviTw[[#This Row],[NumL]],T_suiviDi[#Data],COLUMN(T_suiviDi[[#This Row],[Prénom1]]),FALSE),""),"")</f>
        <v/>
      </c>
      <c r="G215" s="274" t="str">
        <f>IFERROR(IF(VLOOKUP(T_SuiviTw[[#This Row],[NumL]],T_suiviDi[#Data],COLUMN(T_suiviDi[[#This Row],[Email1]]),FALSE)&lt;&gt;"",VLOOKUP(T_SuiviTw[[#This Row],[NumL]],T_suiviDi[#Data],COLUMN(T_suiviDi[[#This Row],[Email1]]),FALSE),""),"")</f>
        <v/>
      </c>
      <c r="H215" s="275" t="str">
        <f t="shared" si="35"/>
        <v/>
      </c>
      <c r="I215" s="100"/>
      <c r="J215" s="156" t="str">
        <f t="shared" si="36"/>
        <v/>
      </c>
      <c r="K215" s="155" t="str">
        <f t="shared" si="37"/>
        <v/>
      </c>
      <c r="L215" s="100"/>
      <c r="M215" s="156" t="str">
        <f t="shared" ca="1" si="38"/>
        <v/>
      </c>
      <c r="N215" s="49"/>
      <c r="O215" s="49"/>
      <c r="P215" s="105" t="str">
        <f t="shared" si="39"/>
        <v/>
      </c>
      <c r="Q215" s="155" t="str">
        <f t="shared" si="40"/>
        <v/>
      </c>
      <c r="R215" s="100"/>
      <c r="S215" s="156" t="str">
        <f t="shared" ca="1" si="41"/>
        <v/>
      </c>
      <c r="T215" s="101"/>
      <c r="U215" s="101"/>
      <c r="V215" s="101"/>
      <c r="W215" s="144"/>
    </row>
    <row r="216" spans="1:23" ht="24" customHeight="1" x14ac:dyDescent="0.25">
      <c r="A216" s="90">
        <v>349</v>
      </c>
      <c r="B216" s="139" t="str">
        <f>IFERROR(IF(VLOOKUP(T_SuiviTw[[#This Row],[NumL]],T_suiviDi[#Data],COLUMN(T_suiviDi[[#This Row],[Nom]]),FALSE)&lt;&gt;"",VLOOKUP(T_SuiviTw[[#This Row],[NumL]],T_suiviDi[#Data],COLUMN(T_suiviDi[[#This Row],[Nom]]),FALSE),""),"")</f>
        <v/>
      </c>
      <c r="C216" s="139" t="str">
        <f>IFERROR(IF(VLOOKUP(T_SuiviTw[[#This Row],[NumL]],T_suiviDi[#Data],COLUMN(T_suiviDi[[#This Row],[Prénom]]),FALSE)&lt;&gt;"",VLOOKUP(T_SuiviTw[[#This Row],[NumL]],T_suiviDi[#Data],COLUMN(T_suiviDi[[#This Row],[Prénom]]),FALSE),""),"")</f>
        <v/>
      </c>
      <c r="D216" s="140" t="str">
        <f>IFERROR(IF(VLOOKUP(T_SuiviTw[[#This Row],[NumL]],T_suiviDi[#Data],COLUMN(T_suiviDi[[#This Row],[Email]]),FALSE)&lt;&gt;"",VLOOKUP(T_SuiviTw[[#This Row],[NumL]],T_suiviDi[#Data],COLUMN(T_suiviDi[[#This Row],[Email]]),FALSE),""),"")</f>
        <v/>
      </c>
      <c r="E216" s="141" t="str">
        <f>IFERROR(IF(VLOOKUP(T_SuiviTw[[#This Row],[NumL]],T_suiviDi[#Data],COLUMN(T_suiviDi[[#This Row],[Nom1]]),FALSE)&lt;&gt;"",VLOOKUP(T_SuiviTw[[#This Row],[NumL]],T_suiviDi[#Data],COLUMN(T_suiviDi[[#This Row],[Nom1]]),FALSE),""),"")</f>
        <v/>
      </c>
      <c r="F216" s="141" t="str">
        <f>IFERROR(IF(VLOOKUP(T_SuiviTw[[#This Row],[NumL]],T_suiviDi[#Data],COLUMN(T_suiviDi[[#This Row],[Prénom1]]),FALSE)&lt;&gt;"",VLOOKUP(T_SuiviTw[[#This Row],[NumL]],T_suiviDi[#Data],COLUMN(T_suiviDi[[#This Row],[Prénom1]]),FALSE),""),"")</f>
        <v/>
      </c>
      <c r="G216" s="141" t="str">
        <f>IFERROR(IF(VLOOKUP(T_SuiviTw[[#This Row],[NumL]],T_suiviDi[#Data],COLUMN(T_suiviDi[[#This Row],[Email1]]),FALSE)&lt;&gt;"",VLOOKUP(T_SuiviTw[[#This Row],[NumL]],T_suiviDi[#Data],COLUMN(T_suiviDi[[#This Row],[Email1]]),FALSE),""),"")</f>
        <v/>
      </c>
      <c r="H216" s="155" t="str">
        <f t="shared" si="35"/>
        <v/>
      </c>
      <c r="I216" s="100"/>
      <c r="J216" s="156" t="str">
        <f t="shared" si="36"/>
        <v/>
      </c>
      <c r="K216" s="155" t="str">
        <f t="shared" si="37"/>
        <v/>
      </c>
      <c r="L216" s="100"/>
      <c r="M216" s="156" t="str">
        <f t="shared" ca="1" si="38"/>
        <v/>
      </c>
      <c r="N216" s="49"/>
      <c r="O216" s="49"/>
      <c r="P216" s="105" t="str">
        <f t="shared" si="39"/>
        <v/>
      </c>
      <c r="Q216" s="155" t="str">
        <f t="shared" si="40"/>
        <v/>
      </c>
      <c r="R216" s="100"/>
      <c r="S216" s="156" t="str">
        <f t="shared" ca="1" si="41"/>
        <v/>
      </c>
      <c r="T216" s="101"/>
      <c r="U216" s="101"/>
      <c r="V216" s="101"/>
      <c r="W216" s="144"/>
    </row>
    <row r="217" spans="1:23" ht="24" customHeight="1" x14ac:dyDescent="0.25">
      <c r="A217" s="90">
        <v>332</v>
      </c>
      <c r="B217" s="139" t="str">
        <f>IFERROR(IF(VLOOKUP(T_SuiviTw[[#This Row],[NumL]],T_suiviDi[#Data],COLUMN(T_suiviDi[[#This Row],[Nom]]),FALSE)&lt;&gt;"",VLOOKUP(T_SuiviTw[[#This Row],[NumL]],T_suiviDi[#Data],COLUMN(T_suiviDi[[#This Row],[Nom]]),FALSE),""),"")</f>
        <v/>
      </c>
      <c r="C217" s="139" t="str">
        <f>IFERROR(IF(VLOOKUP(T_SuiviTw[[#This Row],[NumL]],T_suiviDi[#Data],COLUMN(T_suiviDi[[#This Row],[Prénom]]),FALSE)&lt;&gt;"",VLOOKUP(T_SuiviTw[[#This Row],[NumL]],T_suiviDi[#Data],COLUMN(T_suiviDi[[#This Row],[Prénom]]),FALSE),""),"")</f>
        <v/>
      </c>
      <c r="D217" s="140" t="str">
        <f>IFERROR(IF(VLOOKUP(T_SuiviTw[[#This Row],[NumL]],T_suiviDi[#Data],COLUMN(T_suiviDi[[#This Row],[Email]]),FALSE)&lt;&gt;"",VLOOKUP(T_SuiviTw[[#This Row],[NumL]],T_suiviDi[#Data],COLUMN(T_suiviDi[[#This Row],[Email]]),FALSE),""),"")</f>
        <v/>
      </c>
      <c r="E217" s="141" t="str">
        <f>IFERROR(IF(VLOOKUP(T_SuiviTw[[#This Row],[NumL]],T_suiviDi[#Data],COLUMN(T_suiviDi[[#This Row],[Nom1]]),FALSE)&lt;&gt;"",VLOOKUP(T_SuiviTw[[#This Row],[NumL]],T_suiviDi[#Data],COLUMN(T_suiviDi[[#This Row],[Nom1]]),FALSE),""),"")</f>
        <v/>
      </c>
      <c r="F217" s="141" t="str">
        <f>IFERROR(IF(VLOOKUP(T_SuiviTw[[#This Row],[NumL]],T_suiviDi[#Data],COLUMN(T_suiviDi[[#This Row],[Prénom1]]),FALSE)&lt;&gt;"",VLOOKUP(T_SuiviTw[[#This Row],[NumL]],T_suiviDi[#Data],COLUMN(T_suiviDi[[#This Row],[Prénom1]]),FALSE),""),"")</f>
        <v/>
      </c>
      <c r="G217" s="141" t="str">
        <f>IFERROR(IF(VLOOKUP(T_SuiviTw[[#This Row],[NumL]],T_suiviDi[#Data],COLUMN(T_suiviDi[[#This Row],[Email1]]),FALSE)&lt;&gt;"",VLOOKUP(T_SuiviTw[[#This Row],[NumL]],T_suiviDi[#Data],COLUMN(T_suiviDi[[#This Row],[Email1]]),FALSE),""),"")</f>
        <v/>
      </c>
      <c r="H217" s="155" t="str">
        <f t="shared" si="35"/>
        <v/>
      </c>
      <c r="I217" s="100"/>
      <c r="J217" s="156" t="str">
        <f t="shared" si="36"/>
        <v/>
      </c>
      <c r="K217" s="155" t="str">
        <f t="shared" si="37"/>
        <v/>
      </c>
      <c r="L217" s="100"/>
      <c r="M217" s="156" t="str">
        <f t="shared" ca="1" si="38"/>
        <v/>
      </c>
      <c r="N217" s="49"/>
      <c r="O217" s="49"/>
      <c r="P217" s="105" t="str">
        <f t="shared" si="39"/>
        <v/>
      </c>
      <c r="Q217" s="155" t="str">
        <f t="shared" si="40"/>
        <v/>
      </c>
      <c r="R217" s="100"/>
      <c r="S217" s="156" t="str">
        <f t="shared" ca="1" si="41"/>
        <v/>
      </c>
      <c r="T217" s="101"/>
      <c r="U217" s="101"/>
      <c r="V217" s="101"/>
      <c r="W217" s="144"/>
    </row>
    <row r="218" spans="1:23" ht="24" customHeight="1" x14ac:dyDescent="0.25">
      <c r="A218" s="90">
        <v>351</v>
      </c>
      <c r="B218" s="139" t="str">
        <f>IFERROR(IF(VLOOKUP(T_SuiviTw[[#This Row],[NumL]],T_suiviDi[#Data],COLUMN(T_suiviDi[[#This Row],[Nom]]),FALSE)&lt;&gt;"",VLOOKUP(T_SuiviTw[[#This Row],[NumL]],T_suiviDi[#Data],COLUMN(T_suiviDi[[#This Row],[Nom]]),FALSE),""),"")</f>
        <v/>
      </c>
      <c r="C218" s="139" t="str">
        <f>IFERROR(IF(VLOOKUP(T_SuiviTw[[#This Row],[NumL]],T_suiviDi[#Data],COLUMN(T_suiviDi[[#This Row],[Prénom]]),FALSE)&lt;&gt;"",VLOOKUP(T_SuiviTw[[#This Row],[NumL]],T_suiviDi[#Data],COLUMN(T_suiviDi[[#This Row],[Prénom]]),FALSE),""),"")</f>
        <v/>
      </c>
      <c r="D218" s="140" t="str">
        <f>IFERROR(IF(VLOOKUP(T_SuiviTw[[#This Row],[NumL]],T_suiviDi[#Data],COLUMN(T_suiviDi[[#This Row],[Email]]),FALSE)&lt;&gt;"",VLOOKUP(T_SuiviTw[[#This Row],[NumL]],T_suiviDi[#Data],COLUMN(T_suiviDi[[#This Row],[Email]]),FALSE),""),"")</f>
        <v/>
      </c>
      <c r="E218" s="141" t="str">
        <f>IFERROR(IF(VLOOKUP(T_SuiviTw[[#This Row],[NumL]],T_suiviDi[#Data],COLUMN(T_suiviDi[[#This Row],[Nom1]]),FALSE)&lt;&gt;"",VLOOKUP(T_SuiviTw[[#This Row],[NumL]],T_suiviDi[#Data],COLUMN(T_suiviDi[[#This Row],[Nom1]]),FALSE),""),"")</f>
        <v/>
      </c>
      <c r="F218" s="141" t="str">
        <f>IFERROR(IF(VLOOKUP(T_SuiviTw[[#This Row],[NumL]],T_suiviDi[#Data],COLUMN(T_suiviDi[[#This Row],[Prénom1]]),FALSE)&lt;&gt;"",VLOOKUP(T_SuiviTw[[#This Row],[NumL]],T_suiviDi[#Data],COLUMN(T_suiviDi[[#This Row],[Prénom1]]),FALSE),""),"")</f>
        <v/>
      </c>
      <c r="G218" s="141" t="str">
        <f>IFERROR(IF(VLOOKUP(T_SuiviTw[[#This Row],[NumL]],T_suiviDi[#Data],COLUMN(T_suiviDi[[#This Row],[Email1]]),FALSE)&lt;&gt;"",VLOOKUP(T_SuiviTw[[#This Row],[NumL]],T_suiviDi[#Data],COLUMN(T_suiviDi[[#This Row],[Email1]]),FALSE),""),"")</f>
        <v/>
      </c>
      <c r="H218" s="155" t="str">
        <f t="shared" si="35"/>
        <v/>
      </c>
      <c r="I218" s="100"/>
      <c r="J218" s="156" t="str">
        <f t="shared" si="36"/>
        <v/>
      </c>
      <c r="K218" s="155" t="str">
        <f t="shared" si="37"/>
        <v/>
      </c>
      <c r="L218" s="100"/>
      <c r="M218" s="156" t="str">
        <f t="shared" ca="1" si="38"/>
        <v/>
      </c>
      <c r="N218" s="49"/>
      <c r="O218" s="49"/>
      <c r="P218" s="105" t="str">
        <f t="shared" si="39"/>
        <v/>
      </c>
      <c r="Q218" s="155" t="str">
        <f t="shared" si="40"/>
        <v/>
      </c>
      <c r="R218" s="100"/>
      <c r="S218" s="156" t="str">
        <f t="shared" ca="1" si="41"/>
        <v/>
      </c>
      <c r="T218" s="101"/>
      <c r="U218" s="101"/>
      <c r="V218" s="101"/>
      <c r="W218" s="144"/>
    </row>
    <row r="219" spans="1:23" ht="24" customHeight="1" x14ac:dyDescent="0.25">
      <c r="A219" s="90">
        <v>19</v>
      </c>
      <c r="B219" s="19" t="str">
        <f>IFERROR(IF(VLOOKUP(T_SuiviTw[[#This Row],[NumL]],T_suiviDi[#Data],COLUMN(T_suiviDi[[#This Row],[Nom]]),FALSE)&lt;&gt;"",VLOOKUP(T_SuiviTw[[#This Row],[NumL]],T_suiviDi[#Data],COLUMN(T_suiviDi[[#This Row],[Nom]]),FALSE),""),"")</f>
        <v/>
      </c>
      <c r="C219" s="19" t="str">
        <f>IFERROR(IF(VLOOKUP(T_SuiviTw[[#This Row],[NumL]],T_suiviDi[#Data],COLUMN(T_suiviDi[[#This Row],[Prénom]]),FALSE)&lt;&gt;"",VLOOKUP(T_SuiviTw[[#This Row],[NumL]],T_suiviDi[#Data],COLUMN(T_suiviDi[[#This Row],[Prénom]]),FALSE),""),"")</f>
        <v/>
      </c>
      <c r="D219" s="20" t="str">
        <f>IFERROR(IF(VLOOKUP(T_SuiviTw[[#This Row],[NumL]],T_suiviDi[#Data],COLUMN(T_suiviDi[[#This Row],[Email]]),FALSE)&lt;&gt;"",VLOOKUP(T_SuiviTw[[#This Row],[NumL]],T_suiviDi[#Data],COLUMN(T_suiviDi[[#This Row],[Email]]),FALSE),""),"")</f>
        <v/>
      </c>
      <c r="E219" s="274" t="str">
        <f>IFERROR(IF(VLOOKUP(T_SuiviTw[[#This Row],[NumL]],T_suiviDi[#Data],COLUMN(T_suiviDi[[#This Row],[Nom1]]),FALSE)&lt;&gt;"",VLOOKUP(T_SuiviTw[[#This Row],[NumL]],T_suiviDi[#Data],COLUMN(T_suiviDi[[#This Row],[Nom1]]),FALSE),""),"")</f>
        <v/>
      </c>
      <c r="F219" s="274" t="str">
        <f>IFERROR(IF(VLOOKUP(T_SuiviTw[[#This Row],[NumL]],T_suiviDi[#Data],COLUMN(T_suiviDi[[#This Row],[Prénom1]]),FALSE)&lt;&gt;"",VLOOKUP(T_SuiviTw[[#This Row],[NumL]],T_suiviDi[#Data],COLUMN(T_suiviDi[[#This Row],[Prénom1]]),FALSE),""),"")</f>
        <v/>
      </c>
      <c r="G219" s="274" t="str">
        <f>IFERROR(IF(VLOOKUP(T_SuiviTw[[#This Row],[NumL]],T_suiviDi[#Data],COLUMN(T_suiviDi[[#This Row],[Email1]]),FALSE)&lt;&gt;"",VLOOKUP(T_SuiviTw[[#This Row],[NumL]],T_suiviDi[#Data],COLUMN(T_suiviDi[[#This Row],[Email1]]),FALSE),""),"")</f>
        <v/>
      </c>
      <c r="H219" s="275" t="str">
        <f t="shared" si="35"/>
        <v/>
      </c>
      <c r="I219" s="100"/>
      <c r="J219" s="156" t="str">
        <f t="shared" si="36"/>
        <v/>
      </c>
      <c r="K219" s="155" t="str">
        <f t="shared" si="37"/>
        <v/>
      </c>
      <c r="L219" s="100"/>
      <c r="M219" s="156" t="str">
        <f t="shared" ca="1" si="38"/>
        <v/>
      </c>
      <c r="N219" s="49"/>
      <c r="O219" s="49"/>
      <c r="P219" s="105" t="str">
        <f t="shared" si="39"/>
        <v/>
      </c>
      <c r="Q219" s="155" t="str">
        <f t="shared" si="40"/>
        <v/>
      </c>
      <c r="R219" s="100"/>
      <c r="S219" s="156" t="str">
        <f t="shared" ca="1" si="41"/>
        <v/>
      </c>
      <c r="T219" s="101"/>
      <c r="U219" s="101"/>
      <c r="V219" s="101"/>
      <c r="W219" s="144"/>
    </row>
    <row r="220" spans="1:23" ht="24" customHeight="1" x14ac:dyDescent="0.25">
      <c r="A220" s="90">
        <v>210</v>
      </c>
      <c r="B220" s="19" t="str">
        <f>IFERROR(IF(VLOOKUP(T_SuiviTw[[#This Row],[NumL]],T_suiviDi[#Data],COLUMN(T_suiviDi[[#This Row],[Nom]]),FALSE)&lt;&gt;"",VLOOKUP(T_SuiviTw[[#This Row],[NumL]],T_suiviDi[#Data],COLUMN(T_suiviDi[[#This Row],[Nom]]),FALSE),""),"")</f>
        <v/>
      </c>
      <c r="C220" s="19" t="str">
        <f>IFERROR(IF(VLOOKUP(T_SuiviTw[[#This Row],[NumL]],T_suiviDi[#Data],COLUMN(T_suiviDi[[#This Row],[Prénom]]),FALSE)&lt;&gt;"",VLOOKUP(T_SuiviTw[[#This Row],[NumL]],T_suiviDi[#Data],COLUMN(T_suiviDi[[#This Row],[Prénom]]),FALSE),""),"")</f>
        <v/>
      </c>
      <c r="D220" s="20" t="str">
        <f>IFERROR(IF(VLOOKUP(T_SuiviTw[[#This Row],[NumL]],T_suiviDi[#Data],COLUMN(T_suiviDi[[#This Row],[Email]]),FALSE)&lt;&gt;"",VLOOKUP(T_SuiviTw[[#This Row],[NumL]],T_suiviDi[#Data],COLUMN(T_suiviDi[[#This Row],[Email]]),FALSE),""),"")</f>
        <v/>
      </c>
      <c r="E220" s="274" t="str">
        <f>IFERROR(IF(VLOOKUP(T_SuiviTw[[#This Row],[NumL]],T_suiviDi[#Data],COLUMN(T_suiviDi[[#This Row],[Nom1]]),FALSE)&lt;&gt;"",VLOOKUP(T_SuiviTw[[#This Row],[NumL]],T_suiviDi[#Data],COLUMN(T_suiviDi[[#This Row],[Nom1]]),FALSE),""),"")</f>
        <v/>
      </c>
      <c r="F220" s="274" t="str">
        <f>IFERROR(IF(VLOOKUP(T_SuiviTw[[#This Row],[NumL]],T_suiviDi[#Data],COLUMN(T_suiviDi[[#This Row],[Prénom1]]),FALSE)&lt;&gt;"",VLOOKUP(T_SuiviTw[[#This Row],[NumL]],T_suiviDi[#Data],COLUMN(T_suiviDi[[#This Row],[Prénom1]]),FALSE),""),"")</f>
        <v/>
      </c>
      <c r="G220" s="274" t="str">
        <f>IFERROR(IF(VLOOKUP(T_SuiviTw[[#This Row],[NumL]],T_suiviDi[#Data],COLUMN(T_suiviDi[[#This Row],[Email1]]),FALSE)&lt;&gt;"",VLOOKUP(T_SuiviTw[[#This Row],[NumL]],T_suiviDi[#Data],COLUMN(T_suiviDi[[#This Row],[Email1]]),FALSE),""),"")</f>
        <v/>
      </c>
      <c r="H220" s="275" t="str">
        <f t="shared" si="35"/>
        <v/>
      </c>
      <c r="I220" s="100"/>
      <c r="J220" s="156" t="str">
        <f t="shared" si="36"/>
        <v/>
      </c>
      <c r="K220" s="155" t="str">
        <f t="shared" si="37"/>
        <v/>
      </c>
      <c r="L220" s="100"/>
      <c r="M220" s="156" t="str">
        <f t="shared" ca="1" si="38"/>
        <v/>
      </c>
      <c r="N220" s="49"/>
      <c r="O220" s="49"/>
      <c r="P220" s="105" t="str">
        <f t="shared" si="39"/>
        <v/>
      </c>
      <c r="Q220" s="155" t="str">
        <f t="shared" si="40"/>
        <v/>
      </c>
      <c r="R220" s="100"/>
      <c r="S220" s="156" t="str">
        <f t="shared" ca="1" si="41"/>
        <v/>
      </c>
      <c r="T220" s="101"/>
      <c r="U220" s="101"/>
      <c r="V220" s="101"/>
      <c r="W220" s="144"/>
    </row>
    <row r="221" spans="1:23" ht="24" customHeight="1" x14ac:dyDescent="0.25">
      <c r="A221" s="90">
        <v>136</v>
      </c>
      <c r="B221" s="19" t="str">
        <f>IFERROR(IF(VLOOKUP(T_SuiviTw[[#This Row],[NumL]],T_suiviDi[#Data],COLUMN(T_suiviDi[[#This Row],[Nom]]),FALSE)&lt;&gt;"",VLOOKUP(T_SuiviTw[[#This Row],[NumL]],T_suiviDi[#Data],COLUMN(T_suiviDi[[#This Row],[Nom]]),FALSE),""),"")</f>
        <v/>
      </c>
      <c r="C221" s="19" t="str">
        <f>IFERROR(IF(VLOOKUP(T_SuiviTw[[#This Row],[NumL]],T_suiviDi[#Data],COLUMN(T_suiviDi[[#This Row],[Prénom]]),FALSE)&lt;&gt;"",VLOOKUP(T_SuiviTw[[#This Row],[NumL]],T_suiviDi[#Data],COLUMN(T_suiviDi[[#This Row],[Prénom]]),FALSE),""),"")</f>
        <v/>
      </c>
      <c r="D221" s="20" t="str">
        <f>IFERROR(IF(VLOOKUP(T_SuiviTw[[#This Row],[NumL]],T_suiviDi[#Data],COLUMN(T_suiviDi[[#This Row],[Email]]),FALSE)&lt;&gt;"",VLOOKUP(T_SuiviTw[[#This Row],[NumL]],T_suiviDi[#Data],COLUMN(T_suiviDi[[#This Row],[Email]]),FALSE),""),"")</f>
        <v/>
      </c>
      <c r="E221" s="274" t="str">
        <f>IFERROR(IF(VLOOKUP(T_SuiviTw[[#This Row],[NumL]],T_suiviDi[#Data],COLUMN(T_suiviDi[[#This Row],[Nom1]]),FALSE)&lt;&gt;"",VLOOKUP(T_SuiviTw[[#This Row],[NumL]],T_suiviDi[#Data],COLUMN(T_suiviDi[[#This Row],[Nom1]]),FALSE),""),"")</f>
        <v/>
      </c>
      <c r="F221" s="274" t="str">
        <f>IFERROR(IF(VLOOKUP(T_SuiviTw[[#This Row],[NumL]],T_suiviDi[#Data],COLUMN(T_suiviDi[[#This Row],[Prénom1]]),FALSE)&lt;&gt;"",VLOOKUP(T_SuiviTw[[#This Row],[NumL]],T_suiviDi[#Data],COLUMN(T_suiviDi[[#This Row],[Prénom1]]),FALSE),""),"")</f>
        <v/>
      </c>
      <c r="G221" s="274" t="str">
        <f>IFERROR(IF(VLOOKUP(T_SuiviTw[[#This Row],[NumL]],T_suiviDi[#Data],COLUMN(T_suiviDi[[#This Row],[Email1]]),FALSE)&lt;&gt;"",VLOOKUP(T_SuiviTw[[#This Row],[NumL]],T_suiviDi[#Data],COLUMN(T_suiviDi[[#This Row],[Email1]]),FALSE),""),"")</f>
        <v/>
      </c>
      <c r="H221" s="275" t="str">
        <f t="shared" si="35"/>
        <v/>
      </c>
      <c r="I221" s="100"/>
      <c r="J221" s="156" t="str">
        <f t="shared" si="36"/>
        <v/>
      </c>
      <c r="K221" s="155" t="str">
        <f t="shared" si="37"/>
        <v/>
      </c>
      <c r="L221" s="100"/>
      <c r="M221" s="156" t="str">
        <f t="shared" ca="1" si="38"/>
        <v/>
      </c>
      <c r="N221" s="49"/>
      <c r="O221" s="49"/>
      <c r="P221" s="105" t="str">
        <f t="shared" si="39"/>
        <v/>
      </c>
      <c r="Q221" s="155" t="str">
        <f t="shared" si="40"/>
        <v/>
      </c>
      <c r="R221" s="100"/>
      <c r="S221" s="156" t="str">
        <f t="shared" ca="1" si="41"/>
        <v/>
      </c>
      <c r="T221" s="101"/>
      <c r="U221" s="101"/>
      <c r="V221" s="101"/>
      <c r="W221" s="144"/>
    </row>
    <row r="222" spans="1:23" ht="24" customHeight="1" x14ac:dyDescent="0.25">
      <c r="A222" s="90">
        <v>167</v>
      </c>
      <c r="B222" s="19" t="str">
        <f>IFERROR(IF(VLOOKUP(T_SuiviTw[[#This Row],[NumL]],T_suiviDi[#Data],COLUMN(T_suiviDi[[#This Row],[Nom]]),FALSE)&lt;&gt;"",VLOOKUP(T_SuiviTw[[#This Row],[NumL]],T_suiviDi[#Data],COLUMN(T_suiviDi[[#This Row],[Nom]]),FALSE),""),"")</f>
        <v/>
      </c>
      <c r="C222" s="19" t="str">
        <f>IFERROR(IF(VLOOKUP(T_SuiviTw[[#This Row],[NumL]],T_suiviDi[#Data],COLUMN(T_suiviDi[[#This Row],[Prénom]]),FALSE)&lt;&gt;"",VLOOKUP(T_SuiviTw[[#This Row],[NumL]],T_suiviDi[#Data],COLUMN(T_suiviDi[[#This Row],[Prénom]]),FALSE),""),"")</f>
        <v/>
      </c>
      <c r="D222" s="20" t="str">
        <f>IFERROR(IF(VLOOKUP(T_SuiviTw[[#This Row],[NumL]],T_suiviDi[#Data],COLUMN(T_suiviDi[[#This Row],[Email]]),FALSE)&lt;&gt;"",VLOOKUP(T_SuiviTw[[#This Row],[NumL]],T_suiviDi[#Data],COLUMN(T_suiviDi[[#This Row],[Email]]),FALSE),""),"")</f>
        <v/>
      </c>
      <c r="E222" s="274" t="str">
        <f>IFERROR(IF(VLOOKUP(T_SuiviTw[[#This Row],[NumL]],T_suiviDi[#Data],COLUMN(T_suiviDi[[#This Row],[Nom1]]),FALSE)&lt;&gt;"",VLOOKUP(T_SuiviTw[[#This Row],[NumL]],T_suiviDi[#Data],COLUMN(T_suiviDi[[#This Row],[Nom1]]),FALSE),""),"")</f>
        <v/>
      </c>
      <c r="F222" s="274" t="str">
        <f>IFERROR(IF(VLOOKUP(T_SuiviTw[[#This Row],[NumL]],T_suiviDi[#Data],COLUMN(T_suiviDi[[#This Row],[Prénom1]]),FALSE)&lt;&gt;"",VLOOKUP(T_SuiviTw[[#This Row],[NumL]],T_suiviDi[#Data],COLUMN(T_suiviDi[[#This Row],[Prénom1]]),FALSE),""),"")</f>
        <v/>
      </c>
      <c r="G222" s="274" t="str">
        <f>IFERROR(IF(VLOOKUP(T_SuiviTw[[#This Row],[NumL]],T_suiviDi[#Data],COLUMN(T_suiviDi[[#This Row],[Email1]]),FALSE)&lt;&gt;"",VLOOKUP(T_SuiviTw[[#This Row],[NumL]],T_suiviDi[#Data],COLUMN(T_suiviDi[[#This Row],[Email1]]),FALSE),""),"")</f>
        <v/>
      </c>
      <c r="H222" s="275" t="str">
        <f t="shared" si="35"/>
        <v/>
      </c>
      <c r="I222" s="100"/>
      <c r="J222" s="156" t="str">
        <f t="shared" si="36"/>
        <v/>
      </c>
      <c r="K222" s="155" t="str">
        <f t="shared" si="37"/>
        <v/>
      </c>
      <c r="L222" s="100"/>
      <c r="M222" s="156" t="str">
        <f t="shared" ca="1" si="38"/>
        <v/>
      </c>
      <c r="N222" s="49"/>
      <c r="O222" s="49"/>
      <c r="P222" s="105" t="str">
        <f t="shared" si="39"/>
        <v/>
      </c>
      <c r="Q222" s="155" t="str">
        <f t="shared" si="40"/>
        <v/>
      </c>
      <c r="R222" s="100"/>
      <c r="S222" s="156" t="str">
        <f t="shared" ca="1" si="41"/>
        <v/>
      </c>
      <c r="T222" s="101"/>
      <c r="U222" s="101"/>
      <c r="V222" s="101"/>
      <c r="W222" s="144"/>
    </row>
    <row r="223" spans="1:23" ht="24" customHeight="1" x14ac:dyDescent="0.25">
      <c r="A223" s="90">
        <v>155</v>
      </c>
      <c r="B223" s="19" t="str">
        <f>IFERROR(IF(VLOOKUP(T_SuiviTw[[#This Row],[NumL]],T_suiviDi[#Data],COLUMN(T_suiviDi[[#This Row],[Nom]]),FALSE)&lt;&gt;"",VLOOKUP(T_SuiviTw[[#This Row],[NumL]],T_suiviDi[#Data],COLUMN(T_suiviDi[[#This Row],[Nom]]),FALSE),""),"")</f>
        <v/>
      </c>
      <c r="C223" s="19" t="str">
        <f>IFERROR(IF(VLOOKUP(T_SuiviTw[[#This Row],[NumL]],T_suiviDi[#Data],COLUMN(T_suiviDi[[#This Row],[Prénom]]),FALSE)&lt;&gt;"",VLOOKUP(T_SuiviTw[[#This Row],[NumL]],T_suiviDi[#Data],COLUMN(T_suiviDi[[#This Row],[Prénom]]),FALSE),""),"")</f>
        <v/>
      </c>
      <c r="D223" s="20" t="str">
        <f>IFERROR(IF(VLOOKUP(T_SuiviTw[[#This Row],[NumL]],T_suiviDi[#Data],COLUMN(T_suiviDi[[#This Row],[Email]]),FALSE)&lt;&gt;"",VLOOKUP(T_SuiviTw[[#This Row],[NumL]],T_suiviDi[#Data],COLUMN(T_suiviDi[[#This Row],[Email]]),FALSE),""),"")</f>
        <v/>
      </c>
      <c r="E223" s="274" t="str">
        <f>IFERROR(IF(VLOOKUP(T_SuiviTw[[#This Row],[NumL]],T_suiviDi[#Data],COLUMN(T_suiviDi[[#This Row],[Nom1]]),FALSE)&lt;&gt;"",VLOOKUP(T_SuiviTw[[#This Row],[NumL]],T_suiviDi[#Data],COLUMN(T_suiviDi[[#This Row],[Nom1]]),FALSE),""),"")</f>
        <v/>
      </c>
      <c r="F223" s="274" t="str">
        <f>IFERROR(IF(VLOOKUP(T_SuiviTw[[#This Row],[NumL]],T_suiviDi[#Data],COLUMN(T_suiviDi[[#This Row],[Prénom1]]),FALSE)&lt;&gt;"",VLOOKUP(T_SuiviTw[[#This Row],[NumL]],T_suiviDi[#Data],COLUMN(T_suiviDi[[#This Row],[Prénom1]]),FALSE),""),"")</f>
        <v/>
      </c>
      <c r="G223" s="274" t="str">
        <f>IFERROR(IF(VLOOKUP(T_SuiviTw[[#This Row],[NumL]],T_suiviDi[#Data],COLUMN(T_suiviDi[[#This Row],[Email1]]),FALSE)&lt;&gt;"",VLOOKUP(T_SuiviTw[[#This Row],[NumL]],T_suiviDi[#Data],COLUMN(T_suiviDi[[#This Row],[Email1]]),FALSE),""),"")</f>
        <v/>
      </c>
      <c r="H223" s="275" t="str">
        <f t="shared" si="35"/>
        <v/>
      </c>
      <c r="I223" s="100"/>
      <c r="J223" s="156" t="str">
        <f t="shared" si="36"/>
        <v/>
      </c>
      <c r="K223" s="155" t="str">
        <f t="shared" si="37"/>
        <v/>
      </c>
      <c r="L223" s="100"/>
      <c r="M223" s="156" t="str">
        <f t="shared" ca="1" si="38"/>
        <v/>
      </c>
      <c r="N223" s="49"/>
      <c r="O223" s="49"/>
      <c r="P223" s="105" t="str">
        <f t="shared" si="39"/>
        <v/>
      </c>
      <c r="Q223" s="155" t="str">
        <f t="shared" si="40"/>
        <v/>
      </c>
      <c r="R223" s="100"/>
      <c r="S223" s="156" t="str">
        <f t="shared" ca="1" si="41"/>
        <v/>
      </c>
      <c r="T223" s="101"/>
      <c r="U223" s="101"/>
      <c r="V223" s="101"/>
      <c r="W223" s="144"/>
    </row>
    <row r="224" spans="1:23" ht="24" customHeight="1" x14ac:dyDescent="0.25">
      <c r="A224" s="90">
        <v>139</v>
      </c>
      <c r="B224" s="19" t="str">
        <f>IFERROR(IF(VLOOKUP(T_SuiviTw[[#This Row],[NumL]],T_suiviDi[#Data],COLUMN(T_suiviDi[[#This Row],[Nom]]),FALSE)&lt;&gt;"",VLOOKUP(T_SuiviTw[[#This Row],[NumL]],T_suiviDi[#Data],COLUMN(T_suiviDi[[#This Row],[Nom]]),FALSE),""),"")</f>
        <v/>
      </c>
      <c r="C224" s="19" t="str">
        <f>IFERROR(IF(VLOOKUP(T_SuiviTw[[#This Row],[NumL]],T_suiviDi[#Data],COLUMN(T_suiviDi[[#This Row],[Prénom]]),FALSE)&lt;&gt;"",VLOOKUP(T_SuiviTw[[#This Row],[NumL]],T_suiviDi[#Data],COLUMN(T_suiviDi[[#This Row],[Prénom]]),FALSE),""),"")</f>
        <v/>
      </c>
      <c r="D224" s="20" t="str">
        <f>IFERROR(IF(VLOOKUP(T_SuiviTw[[#This Row],[NumL]],T_suiviDi[#Data],COLUMN(T_suiviDi[[#This Row],[Email]]),FALSE)&lt;&gt;"",VLOOKUP(T_SuiviTw[[#This Row],[NumL]],T_suiviDi[#Data],COLUMN(T_suiviDi[[#This Row],[Email]]),FALSE),""),"")</f>
        <v/>
      </c>
      <c r="E224" s="274" t="str">
        <f>IFERROR(IF(VLOOKUP(T_SuiviTw[[#This Row],[NumL]],T_suiviDi[#Data],COLUMN(T_suiviDi[[#This Row],[Nom1]]),FALSE)&lt;&gt;"",VLOOKUP(T_SuiviTw[[#This Row],[NumL]],T_suiviDi[#Data],COLUMN(T_suiviDi[[#This Row],[Nom1]]),FALSE),""),"")</f>
        <v/>
      </c>
      <c r="F224" s="274" t="str">
        <f>IFERROR(IF(VLOOKUP(T_SuiviTw[[#This Row],[NumL]],T_suiviDi[#Data],COLUMN(T_suiviDi[[#This Row],[Prénom1]]),FALSE)&lt;&gt;"",VLOOKUP(T_SuiviTw[[#This Row],[NumL]],T_suiviDi[#Data],COLUMN(T_suiviDi[[#This Row],[Prénom1]]),FALSE),""),"")</f>
        <v/>
      </c>
      <c r="G224" s="274" t="str">
        <f>IFERROR(IF(VLOOKUP(T_SuiviTw[[#This Row],[NumL]],T_suiviDi[#Data],COLUMN(T_suiviDi[[#This Row],[Email1]]),FALSE)&lt;&gt;"",VLOOKUP(T_SuiviTw[[#This Row],[NumL]],T_suiviDi[#Data],COLUMN(T_suiviDi[[#This Row],[Email1]]),FALSE),""),"")</f>
        <v/>
      </c>
      <c r="H224" s="275" t="str">
        <f t="shared" si="35"/>
        <v/>
      </c>
      <c r="I224" s="100"/>
      <c r="J224" s="156" t="str">
        <f t="shared" si="36"/>
        <v/>
      </c>
      <c r="K224" s="155" t="str">
        <f t="shared" si="37"/>
        <v/>
      </c>
      <c r="L224" s="100"/>
      <c r="M224" s="156" t="str">
        <f t="shared" ca="1" si="38"/>
        <v/>
      </c>
      <c r="N224" s="49"/>
      <c r="O224" s="49"/>
      <c r="P224" s="105" t="str">
        <f t="shared" si="39"/>
        <v/>
      </c>
      <c r="Q224" s="155" t="str">
        <f t="shared" si="40"/>
        <v/>
      </c>
      <c r="R224" s="100"/>
      <c r="S224" s="156" t="str">
        <f t="shared" ca="1" si="41"/>
        <v/>
      </c>
      <c r="T224" s="101"/>
      <c r="U224" s="101"/>
      <c r="V224" s="101"/>
      <c r="W224" s="144"/>
    </row>
    <row r="225" spans="1:23" ht="24" customHeight="1" x14ac:dyDescent="0.25">
      <c r="A225" s="90">
        <v>317</v>
      </c>
      <c r="B225" s="139" t="str">
        <f>IFERROR(IF(VLOOKUP(T_SuiviTw[[#This Row],[NumL]],T_suiviDi[#Data],COLUMN(T_suiviDi[[#This Row],[Nom]]),FALSE)&lt;&gt;"",VLOOKUP(T_SuiviTw[[#This Row],[NumL]],T_suiviDi[#Data],COLUMN(T_suiviDi[[#This Row],[Nom]]),FALSE),""),"")</f>
        <v/>
      </c>
      <c r="C225" s="139" t="str">
        <f>IFERROR(IF(VLOOKUP(T_SuiviTw[[#This Row],[NumL]],T_suiviDi[#Data],COLUMN(T_suiviDi[[#This Row],[Prénom]]),FALSE)&lt;&gt;"",VLOOKUP(T_SuiviTw[[#This Row],[NumL]],T_suiviDi[#Data],COLUMN(T_suiviDi[[#This Row],[Prénom]]),FALSE),""),"")</f>
        <v/>
      </c>
      <c r="D225" s="140" t="str">
        <f>IFERROR(IF(VLOOKUP(T_SuiviTw[[#This Row],[NumL]],T_suiviDi[#Data],COLUMN(T_suiviDi[[#This Row],[Email]]),FALSE)&lt;&gt;"",VLOOKUP(T_SuiviTw[[#This Row],[NumL]],T_suiviDi[#Data],COLUMN(T_suiviDi[[#This Row],[Email]]),FALSE),""),"")</f>
        <v/>
      </c>
      <c r="E225" s="141" t="str">
        <f>IFERROR(IF(VLOOKUP(T_SuiviTw[[#This Row],[NumL]],T_suiviDi[#Data],COLUMN(T_suiviDi[[#This Row],[Nom1]]),FALSE)&lt;&gt;"",VLOOKUP(T_SuiviTw[[#This Row],[NumL]],T_suiviDi[#Data],COLUMN(T_suiviDi[[#This Row],[Nom1]]),FALSE),""),"")</f>
        <v/>
      </c>
      <c r="F225" s="141" t="str">
        <f>IFERROR(IF(VLOOKUP(T_SuiviTw[[#This Row],[NumL]],T_suiviDi[#Data],COLUMN(T_suiviDi[[#This Row],[Prénom1]]),FALSE)&lt;&gt;"",VLOOKUP(T_SuiviTw[[#This Row],[NumL]],T_suiviDi[#Data],COLUMN(T_suiviDi[[#This Row],[Prénom1]]),FALSE),""),"")</f>
        <v/>
      </c>
      <c r="G225" s="141" t="str">
        <f>IFERROR(IF(VLOOKUP(T_SuiviTw[[#This Row],[NumL]],T_suiviDi[#Data],COLUMN(T_suiviDi[[#This Row],[Email1]]),FALSE)&lt;&gt;"",VLOOKUP(T_SuiviTw[[#This Row],[NumL]],T_suiviDi[#Data],COLUMN(T_suiviDi[[#This Row],[Email1]]),FALSE),""),"")</f>
        <v/>
      </c>
      <c r="H225" s="155" t="str">
        <f t="shared" si="35"/>
        <v/>
      </c>
      <c r="I225" s="100"/>
      <c r="J225" s="156" t="str">
        <f t="shared" si="36"/>
        <v/>
      </c>
      <c r="K225" s="155" t="str">
        <f t="shared" si="37"/>
        <v/>
      </c>
      <c r="L225" s="100"/>
      <c r="M225" s="156" t="str">
        <f t="shared" ca="1" si="38"/>
        <v/>
      </c>
      <c r="N225" s="49"/>
      <c r="O225" s="49"/>
      <c r="P225" s="105" t="str">
        <f t="shared" si="39"/>
        <v/>
      </c>
      <c r="Q225" s="155" t="str">
        <f t="shared" si="40"/>
        <v/>
      </c>
      <c r="R225" s="100"/>
      <c r="S225" s="156" t="str">
        <f t="shared" ca="1" si="41"/>
        <v/>
      </c>
      <c r="T225" s="101"/>
      <c r="U225" s="101"/>
      <c r="V225" s="101"/>
      <c r="W225" s="144"/>
    </row>
    <row r="226" spans="1:23" ht="24" customHeight="1" x14ac:dyDescent="0.25">
      <c r="A226" s="90">
        <v>129</v>
      </c>
      <c r="B226" s="19" t="str">
        <f>IFERROR(IF(VLOOKUP(T_SuiviTw[[#This Row],[NumL]],T_suiviDi[#Data],COLUMN(T_suiviDi[[#This Row],[Nom]]),FALSE)&lt;&gt;"",VLOOKUP(T_SuiviTw[[#This Row],[NumL]],T_suiviDi[#Data],COLUMN(T_suiviDi[[#This Row],[Nom]]),FALSE),""),"")</f>
        <v/>
      </c>
      <c r="C226" s="19" t="str">
        <f>IFERROR(IF(VLOOKUP(T_SuiviTw[[#This Row],[NumL]],T_suiviDi[#Data],COLUMN(T_suiviDi[[#This Row],[Prénom]]),FALSE)&lt;&gt;"",VLOOKUP(T_SuiviTw[[#This Row],[NumL]],T_suiviDi[#Data],COLUMN(T_suiviDi[[#This Row],[Prénom]]),FALSE),""),"")</f>
        <v/>
      </c>
      <c r="D226" s="20" t="str">
        <f>IFERROR(IF(VLOOKUP(T_SuiviTw[[#This Row],[NumL]],T_suiviDi[#Data],COLUMN(T_suiviDi[[#This Row],[Email]]),FALSE)&lt;&gt;"",VLOOKUP(T_SuiviTw[[#This Row],[NumL]],T_suiviDi[#Data],COLUMN(T_suiviDi[[#This Row],[Email]]),FALSE),""),"")</f>
        <v/>
      </c>
      <c r="E226" s="274" t="str">
        <f>IFERROR(IF(VLOOKUP(T_SuiviTw[[#This Row],[NumL]],T_suiviDi[#Data],COLUMN(T_suiviDi[[#This Row],[Nom1]]),FALSE)&lt;&gt;"",VLOOKUP(T_SuiviTw[[#This Row],[NumL]],T_suiviDi[#Data],COLUMN(T_suiviDi[[#This Row],[Nom1]]),FALSE),""),"")</f>
        <v/>
      </c>
      <c r="F226" s="274" t="str">
        <f>IFERROR(IF(VLOOKUP(T_SuiviTw[[#This Row],[NumL]],T_suiviDi[#Data],COLUMN(T_suiviDi[[#This Row],[Prénom1]]),FALSE)&lt;&gt;"",VLOOKUP(T_SuiviTw[[#This Row],[NumL]],T_suiviDi[#Data],COLUMN(T_suiviDi[[#This Row],[Prénom1]]),FALSE),""),"")</f>
        <v/>
      </c>
      <c r="G226" s="274" t="str">
        <f>IFERROR(IF(VLOOKUP(T_SuiviTw[[#This Row],[NumL]],T_suiviDi[#Data],COLUMN(T_suiviDi[[#This Row],[Email1]]),FALSE)&lt;&gt;"",VLOOKUP(T_SuiviTw[[#This Row],[NumL]],T_suiviDi[#Data],COLUMN(T_suiviDi[[#This Row],[Email1]]),FALSE),""),"")</f>
        <v/>
      </c>
      <c r="H226" s="275" t="str">
        <f t="shared" si="35"/>
        <v/>
      </c>
      <c r="I226" s="100"/>
      <c r="J226" s="156" t="str">
        <f t="shared" si="36"/>
        <v/>
      </c>
      <c r="K226" s="155" t="str">
        <f t="shared" si="37"/>
        <v/>
      </c>
      <c r="L226" s="100"/>
      <c r="M226" s="156" t="str">
        <f t="shared" ca="1" si="38"/>
        <v/>
      </c>
      <c r="N226" s="49"/>
      <c r="O226" s="49"/>
      <c r="P226" s="105" t="str">
        <f t="shared" si="39"/>
        <v/>
      </c>
      <c r="Q226" s="155" t="str">
        <f t="shared" si="40"/>
        <v/>
      </c>
      <c r="R226" s="100"/>
      <c r="S226" s="156" t="str">
        <f t="shared" ca="1" si="41"/>
        <v/>
      </c>
      <c r="T226" s="101"/>
      <c r="U226" s="101"/>
      <c r="V226" s="101"/>
      <c r="W226" s="144"/>
    </row>
    <row r="227" spans="1:23" ht="24" customHeight="1" x14ac:dyDescent="0.25">
      <c r="A227" s="90">
        <v>18</v>
      </c>
      <c r="B227" s="19" t="str">
        <f>IFERROR(IF(VLOOKUP(T_SuiviTw[[#This Row],[NumL]],T_suiviDi[#Data],COLUMN(T_suiviDi[[#This Row],[Nom]]),FALSE)&lt;&gt;"",VLOOKUP(T_SuiviTw[[#This Row],[NumL]],T_suiviDi[#Data],COLUMN(T_suiviDi[[#This Row],[Nom]]),FALSE),""),"")</f>
        <v/>
      </c>
      <c r="C227" s="19" t="str">
        <f>IFERROR(IF(VLOOKUP(T_SuiviTw[[#This Row],[NumL]],T_suiviDi[#Data],COLUMN(T_suiviDi[[#This Row],[Prénom]]),FALSE)&lt;&gt;"",VLOOKUP(T_SuiviTw[[#This Row],[NumL]],T_suiviDi[#Data],COLUMN(T_suiviDi[[#This Row],[Prénom]]),FALSE),""),"")</f>
        <v/>
      </c>
      <c r="D227" s="20" t="str">
        <f>IFERROR(IF(VLOOKUP(T_SuiviTw[[#This Row],[NumL]],T_suiviDi[#Data],COLUMN(T_suiviDi[[#This Row],[Email]]),FALSE)&lt;&gt;"",VLOOKUP(T_SuiviTw[[#This Row],[NumL]],T_suiviDi[#Data],COLUMN(T_suiviDi[[#This Row],[Email]]),FALSE),""),"")</f>
        <v/>
      </c>
      <c r="E227" s="274" t="str">
        <f>IFERROR(IF(VLOOKUP(T_SuiviTw[[#This Row],[NumL]],T_suiviDi[#Data],COLUMN(T_suiviDi[[#This Row],[Nom1]]),FALSE)&lt;&gt;"",VLOOKUP(T_SuiviTw[[#This Row],[NumL]],T_suiviDi[#Data],COLUMN(T_suiviDi[[#This Row],[Nom1]]),FALSE),""),"")</f>
        <v/>
      </c>
      <c r="F227" s="274" t="str">
        <f>IFERROR(IF(VLOOKUP(T_SuiviTw[[#This Row],[NumL]],T_suiviDi[#Data],COLUMN(T_suiviDi[[#This Row],[Prénom1]]),FALSE)&lt;&gt;"",VLOOKUP(T_SuiviTw[[#This Row],[NumL]],T_suiviDi[#Data],COLUMN(T_suiviDi[[#This Row],[Prénom1]]),FALSE),""),"")</f>
        <v/>
      </c>
      <c r="G227" s="274" t="str">
        <f>IFERROR(IF(VLOOKUP(T_SuiviTw[[#This Row],[NumL]],T_suiviDi[#Data],COLUMN(T_suiviDi[[#This Row],[Email1]]),FALSE)&lt;&gt;"",VLOOKUP(T_SuiviTw[[#This Row],[NumL]],T_suiviDi[#Data],COLUMN(T_suiviDi[[#This Row],[Email1]]),FALSE),""),"")</f>
        <v/>
      </c>
      <c r="H227" s="275" t="str">
        <f t="shared" si="35"/>
        <v/>
      </c>
      <c r="I227" s="100"/>
      <c r="J227" s="156" t="str">
        <f t="shared" si="36"/>
        <v/>
      </c>
      <c r="K227" s="155" t="str">
        <f t="shared" si="37"/>
        <v/>
      </c>
      <c r="L227" s="100"/>
      <c r="M227" s="156" t="str">
        <f t="shared" ca="1" si="38"/>
        <v/>
      </c>
      <c r="N227" s="49"/>
      <c r="O227" s="49"/>
      <c r="P227" s="105" t="str">
        <f t="shared" si="39"/>
        <v/>
      </c>
      <c r="Q227" s="155" t="str">
        <f t="shared" si="40"/>
        <v/>
      </c>
      <c r="R227" s="100"/>
      <c r="S227" s="156" t="str">
        <f t="shared" ca="1" si="41"/>
        <v/>
      </c>
      <c r="T227" s="101"/>
      <c r="U227" s="101"/>
      <c r="V227" s="101"/>
      <c r="W227" s="144"/>
    </row>
    <row r="228" spans="1:23" ht="24" customHeight="1" x14ac:dyDescent="0.25">
      <c r="A228" s="90">
        <v>243</v>
      </c>
      <c r="B228" s="19" t="str">
        <f>IFERROR(IF(VLOOKUP(T_SuiviTw[[#This Row],[NumL]],T_suiviDi[#Data],COLUMN(T_suiviDi[[#This Row],[Nom]]),FALSE)&lt;&gt;"",VLOOKUP(T_SuiviTw[[#This Row],[NumL]],T_suiviDi[#Data],COLUMN(T_suiviDi[[#This Row],[Nom]]),FALSE),""),"")</f>
        <v/>
      </c>
      <c r="C228" s="19" t="str">
        <f>IFERROR(IF(VLOOKUP(T_SuiviTw[[#This Row],[NumL]],T_suiviDi[#Data],COLUMN(T_suiviDi[[#This Row],[Prénom]]),FALSE)&lt;&gt;"",VLOOKUP(T_SuiviTw[[#This Row],[NumL]],T_suiviDi[#Data],COLUMN(T_suiviDi[[#This Row],[Prénom]]),FALSE),""),"")</f>
        <v/>
      </c>
      <c r="D228" s="20" t="str">
        <f>IFERROR(IF(VLOOKUP(T_SuiviTw[[#This Row],[NumL]],T_suiviDi[#Data],COLUMN(T_suiviDi[[#This Row],[Email]]),FALSE)&lt;&gt;"",VLOOKUP(T_SuiviTw[[#This Row],[NumL]],T_suiviDi[#Data],COLUMN(T_suiviDi[[#This Row],[Email]]),FALSE),""),"")</f>
        <v/>
      </c>
      <c r="E228" s="274" t="str">
        <f>IFERROR(IF(VLOOKUP(T_SuiviTw[[#This Row],[NumL]],T_suiviDi[#Data],COLUMN(T_suiviDi[[#This Row],[Nom1]]),FALSE)&lt;&gt;"",VLOOKUP(T_SuiviTw[[#This Row],[NumL]],T_suiviDi[#Data],COLUMN(T_suiviDi[[#This Row],[Nom1]]),FALSE),""),"")</f>
        <v/>
      </c>
      <c r="F228" s="274" t="str">
        <f>IFERROR(IF(VLOOKUP(T_SuiviTw[[#This Row],[NumL]],T_suiviDi[#Data],COLUMN(T_suiviDi[[#This Row],[Prénom1]]),FALSE)&lt;&gt;"",VLOOKUP(T_SuiviTw[[#This Row],[NumL]],T_suiviDi[#Data],COLUMN(T_suiviDi[[#This Row],[Prénom1]]),FALSE),""),"")</f>
        <v/>
      </c>
      <c r="G228" s="274" t="str">
        <f>IFERROR(IF(VLOOKUP(T_SuiviTw[[#This Row],[NumL]],T_suiviDi[#Data],COLUMN(T_suiviDi[[#This Row],[Email1]]),FALSE)&lt;&gt;"",VLOOKUP(T_SuiviTw[[#This Row],[NumL]],T_suiviDi[#Data],COLUMN(T_suiviDi[[#This Row],[Email1]]),FALSE),""),"")</f>
        <v/>
      </c>
      <c r="H228" s="275" t="str">
        <f t="shared" si="35"/>
        <v/>
      </c>
      <c r="I228" s="100"/>
      <c r="J228" s="156" t="str">
        <f t="shared" si="36"/>
        <v/>
      </c>
      <c r="K228" s="155" t="str">
        <f t="shared" si="37"/>
        <v/>
      </c>
      <c r="L228" s="100"/>
      <c r="M228" s="156" t="str">
        <f t="shared" ca="1" si="38"/>
        <v/>
      </c>
      <c r="N228" s="49"/>
      <c r="O228" s="49"/>
      <c r="P228" s="105" t="str">
        <f t="shared" si="39"/>
        <v/>
      </c>
      <c r="Q228" s="155" t="str">
        <f t="shared" si="40"/>
        <v/>
      </c>
      <c r="R228" s="100"/>
      <c r="S228" s="156" t="str">
        <f t="shared" ca="1" si="41"/>
        <v/>
      </c>
      <c r="T228" s="101"/>
      <c r="U228" s="101"/>
      <c r="V228" s="101"/>
      <c r="W228" s="144"/>
    </row>
    <row r="229" spans="1:23" ht="24" customHeight="1" x14ac:dyDescent="0.25">
      <c r="A229" s="90">
        <v>43</v>
      </c>
      <c r="B229" s="19" t="str">
        <f>IFERROR(IF(VLOOKUP(T_SuiviTw[[#This Row],[NumL]],T_suiviDi[#Data],COLUMN(T_suiviDi[[#This Row],[Nom]]),FALSE)&lt;&gt;"",VLOOKUP(T_SuiviTw[[#This Row],[NumL]],T_suiviDi[#Data],COLUMN(T_suiviDi[[#This Row],[Nom]]),FALSE),""),"")</f>
        <v/>
      </c>
      <c r="C229" s="19" t="str">
        <f>IFERROR(IF(VLOOKUP(T_SuiviTw[[#This Row],[NumL]],T_suiviDi[#Data],COLUMN(T_suiviDi[[#This Row],[Prénom]]),FALSE)&lt;&gt;"",VLOOKUP(T_SuiviTw[[#This Row],[NumL]],T_suiviDi[#Data],COLUMN(T_suiviDi[[#This Row],[Prénom]]),FALSE),""),"")</f>
        <v/>
      </c>
      <c r="D229" s="20" t="str">
        <f>IFERROR(IF(VLOOKUP(T_SuiviTw[[#This Row],[NumL]],T_suiviDi[#Data],COLUMN(T_suiviDi[[#This Row],[Email]]),FALSE)&lt;&gt;"",VLOOKUP(T_SuiviTw[[#This Row],[NumL]],T_suiviDi[#Data],COLUMN(T_suiviDi[[#This Row],[Email]]),FALSE),""),"")</f>
        <v/>
      </c>
      <c r="E229" s="274" t="str">
        <f>IFERROR(IF(VLOOKUP(T_SuiviTw[[#This Row],[NumL]],T_suiviDi[#Data],COLUMN(T_suiviDi[[#This Row],[Nom1]]),FALSE)&lt;&gt;"",VLOOKUP(T_SuiviTw[[#This Row],[NumL]],T_suiviDi[#Data],COLUMN(T_suiviDi[[#This Row],[Nom1]]),FALSE),""),"")</f>
        <v/>
      </c>
      <c r="F229" s="274" t="str">
        <f>IFERROR(IF(VLOOKUP(T_SuiviTw[[#This Row],[NumL]],T_suiviDi[#Data],COLUMN(T_suiviDi[[#This Row],[Prénom1]]),FALSE)&lt;&gt;"",VLOOKUP(T_SuiviTw[[#This Row],[NumL]],T_suiviDi[#Data],COLUMN(T_suiviDi[[#This Row],[Prénom1]]),FALSE),""),"")</f>
        <v/>
      </c>
      <c r="G229" s="274" t="str">
        <f>IFERROR(IF(VLOOKUP(T_SuiviTw[[#This Row],[NumL]],T_suiviDi[#Data],COLUMN(T_suiviDi[[#This Row],[Email1]]),FALSE)&lt;&gt;"",VLOOKUP(T_SuiviTw[[#This Row],[NumL]],T_suiviDi[#Data],COLUMN(T_suiviDi[[#This Row],[Email1]]),FALSE),""),"")</f>
        <v/>
      </c>
      <c r="H229" s="275" t="str">
        <f t="shared" si="35"/>
        <v/>
      </c>
      <c r="I229" s="100"/>
      <c r="J229" s="156" t="str">
        <f t="shared" si="36"/>
        <v/>
      </c>
      <c r="K229" s="155" t="str">
        <f t="shared" si="37"/>
        <v/>
      </c>
      <c r="L229" s="100"/>
      <c r="M229" s="156" t="str">
        <f t="shared" ca="1" si="38"/>
        <v/>
      </c>
      <c r="N229" s="49"/>
      <c r="O229" s="49"/>
      <c r="P229" s="105" t="str">
        <f t="shared" si="39"/>
        <v/>
      </c>
      <c r="Q229" s="155" t="str">
        <f t="shared" si="40"/>
        <v/>
      </c>
      <c r="R229" s="100"/>
      <c r="S229" s="156" t="str">
        <f t="shared" ca="1" si="41"/>
        <v/>
      </c>
      <c r="T229" s="101"/>
      <c r="U229" s="101"/>
      <c r="V229" s="101"/>
      <c r="W229" s="144"/>
    </row>
    <row r="230" spans="1:23" ht="24" customHeight="1" x14ac:dyDescent="0.25">
      <c r="A230" s="90">
        <v>354</v>
      </c>
      <c r="B230" s="139" t="str">
        <f>IFERROR(IF(VLOOKUP(T_SuiviTw[[#This Row],[NumL]],T_suiviDi[#Data],COLUMN(T_suiviDi[[#This Row],[Nom]]),FALSE)&lt;&gt;"",VLOOKUP(T_SuiviTw[[#This Row],[NumL]],T_suiviDi[#Data],COLUMN(T_suiviDi[[#This Row],[Nom]]),FALSE),""),"")</f>
        <v/>
      </c>
      <c r="C230" s="139" t="str">
        <f>IFERROR(IF(VLOOKUP(T_SuiviTw[[#This Row],[NumL]],T_suiviDi[#Data],COLUMN(T_suiviDi[[#This Row],[Prénom]]),FALSE)&lt;&gt;"",VLOOKUP(T_SuiviTw[[#This Row],[NumL]],T_suiviDi[#Data],COLUMN(T_suiviDi[[#This Row],[Prénom]]),FALSE),""),"")</f>
        <v/>
      </c>
      <c r="D230" s="140" t="str">
        <f>IFERROR(IF(VLOOKUP(T_SuiviTw[[#This Row],[NumL]],T_suiviDi[#Data],COLUMN(T_suiviDi[[#This Row],[Email]]),FALSE)&lt;&gt;"",VLOOKUP(T_SuiviTw[[#This Row],[NumL]],T_suiviDi[#Data],COLUMN(T_suiviDi[[#This Row],[Email]]),FALSE),""),"")</f>
        <v/>
      </c>
      <c r="E230" s="141" t="str">
        <f>IFERROR(IF(VLOOKUP(T_SuiviTw[[#This Row],[NumL]],T_suiviDi[#Data],COLUMN(T_suiviDi[[#This Row],[Nom1]]),FALSE)&lt;&gt;"",VLOOKUP(T_SuiviTw[[#This Row],[NumL]],T_suiviDi[#Data],COLUMN(T_suiviDi[[#This Row],[Nom1]]),FALSE),""),"")</f>
        <v/>
      </c>
      <c r="F230" s="141" t="str">
        <f>IFERROR(IF(VLOOKUP(T_SuiviTw[[#This Row],[NumL]],T_suiviDi[#Data],COLUMN(T_suiviDi[[#This Row],[Prénom1]]),FALSE)&lt;&gt;"",VLOOKUP(T_SuiviTw[[#This Row],[NumL]],T_suiviDi[#Data],COLUMN(T_suiviDi[[#This Row],[Prénom1]]),FALSE),""),"")</f>
        <v/>
      </c>
      <c r="G230" s="141" t="str">
        <f>IFERROR(IF(VLOOKUP(T_SuiviTw[[#This Row],[NumL]],T_suiviDi[#Data],COLUMN(T_suiviDi[[#This Row],[Email1]]),FALSE)&lt;&gt;"",VLOOKUP(T_SuiviTw[[#This Row],[NumL]],T_suiviDi[#Data],COLUMN(T_suiviDi[[#This Row],[Email1]]),FALSE),""),"")</f>
        <v/>
      </c>
      <c r="H230" s="155" t="str">
        <f t="shared" si="35"/>
        <v/>
      </c>
      <c r="I230" s="100"/>
      <c r="J230" s="156" t="str">
        <f t="shared" si="36"/>
        <v/>
      </c>
      <c r="K230" s="155" t="str">
        <f t="shared" si="37"/>
        <v/>
      </c>
      <c r="L230" s="100"/>
      <c r="M230" s="156" t="str">
        <f t="shared" ca="1" si="38"/>
        <v/>
      </c>
      <c r="N230" s="49"/>
      <c r="O230" s="49"/>
      <c r="P230" s="105" t="str">
        <f t="shared" si="39"/>
        <v/>
      </c>
      <c r="Q230" s="155" t="str">
        <f t="shared" si="40"/>
        <v/>
      </c>
      <c r="R230" s="100"/>
      <c r="S230" s="156" t="str">
        <f t="shared" ca="1" si="41"/>
        <v/>
      </c>
      <c r="T230" s="101"/>
      <c r="U230" s="101"/>
      <c r="V230" s="101"/>
      <c r="W230" s="144"/>
    </row>
    <row r="231" spans="1:23" ht="24" customHeight="1" x14ac:dyDescent="0.25">
      <c r="A231" s="90">
        <v>300</v>
      </c>
      <c r="B231" s="139" t="str">
        <f>IFERROR(IF(VLOOKUP(T_SuiviTw[[#This Row],[NumL]],T_suiviDi[#Data],COLUMN(T_suiviDi[[#This Row],[Nom]]),FALSE)&lt;&gt;"",VLOOKUP(T_SuiviTw[[#This Row],[NumL]],T_suiviDi[#Data],COLUMN(T_suiviDi[[#This Row],[Nom]]),FALSE),""),"")</f>
        <v/>
      </c>
      <c r="C231" s="139" t="str">
        <f>IFERROR(IF(VLOOKUP(T_SuiviTw[[#This Row],[NumL]],T_suiviDi[#Data],COLUMN(T_suiviDi[[#This Row],[Prénom]]),FALSE)&lt;&gt;"",VLOOKUP(T_SuiviTw[[#This Row],[NumL]],T_suiviDi[#Data],COLUMN(T_suiviDi[[#This Row],[Prénom]]),FALSE),""),"")</f>
        <v/>
      </c>
      <c r="D231" s="140" t="str">
        <f>IFERROR(IF(VLOOKUP(T_SuiviTw[[#This Row],[NumL]],T_suiviDi[#Data],COLUMN(T_suiviDi[[#This Row],[Email]]),FALSE)&lt;&gt;"",VLOOKUP(T_SuiviTw[[#This Row],[NumL]],T_suiviDi[#Data],COLUMN(T_suiviDi[[#This Row],[Email]]),FALSE),""),"")</f>
        <v/>
      </c>
      <c r="E231" s="141" t="str">
        <f>IFERROR(IF(VLOOKUP(T_SuiviTw[[#This Row],[NumL]],T_suiviDi[#Data],COLUMN(T_suiviDi[[#This Row],[Nom1]]),FALSE)&lt;&gt;"",VLOOKUP(T_SuiviTw[[#This Row],[NumL]],T_suiviDi[#Data],COLUMN(T_suiviDi[[#This Row],[Nom1]]),FALSE),""),"")</f>
        <v/>
      </c>
      <c r="F231" s="141" t="str">
        <f>IFERROR(IF(VLOOKUP(T_SuiviTw[[#This Row],[NumL]],T_suiviDi[#Data],COLUMN(T_suiviDi[[#This Row],[Prénom1]]),FALSE)&lt;&gt;"",VLOOKUP(T_SuiviTw[[#This Row],[NumL]],T_suiviDi[#Data],COLUMN(T_suiviDi[[#This Row],[Prénom1]]),FALSE),""),"")</f>
        <v/>
      </c>
      <c r="G231" s="141" t="str">
        <f>IFERROR(IF(VLOOKUP(T_SuiviTw[[#This Row],[NumL]],T_suiviDi[#Data],COLUMN(T_suiviDi[[#This Row],[Email1]]),FALSE)&lt;&gt;"",VLOOKUP(T_SuiviTw[[#This Row],[NumL]],T_suiviDi[#Data],COLUMN(T_suiviDi[[#This Row],[Email1]]),FALSE),""),"")</f>
        <v/>
      </c>
      <c r="H231" s="155" t="str">
        <f t="shared" si="35"/>
        <v/>
      </c>
      <c r="I231" s="100"/>
      <c r="J231" s="156" t="str">
        <f t="shared" si="36"/>
        <v/>
      </c>
      <c r="K231" s="155" t="str">
        <f t="shared" si="37"/>
        <v/>
      </c>
      <c r="L231" s="100"/>
      <c r="M231" s="156" t="str">
        <f t="shared" ca="1" si="38"/>
        <v/>
      </c>
      <c r="N231" s="49"/>
      <c r="O231" s="49"/>
      <c r="P231" s="105" t="str">
        <f t="shared" si="39"/>
        <v/>
      </c>
      <c r="Q231" s="155" t="str">
        <f t="shared" si="40"/>
        <v/>
      </c>
      <c r="R231" s="100"/>
      <c r="S231" s="156" t="str">
        <f t="shared" ca="1" si="41"/>
        <v/>
      </c>
      <c r="T231" s="101"/>
      <c r="U231" s="101"/>
      <c r="V231" s="101"/>
      <c r="W231" s="144"/>
    </row>
    <row r="232" spans="1:23" ht="24" customHeight="1" x14ac:dyDescent="0.25">
      <c r="A232" s="90">
        <v>239</v>
      </c>
      <c r="B232" s="19" t="str">
        <f>IFERROR(IF(VLOOKUP(T_SuiviTw[[#This Row],[NumL]],T_suiviDi[#Data],COLUMN(T_suiviDi[[#This Row],[Nom]]),FALSE)&lt;&gt;"",VLOOKUP(T_SuiviTw[[#This Row],[NumL]],T_suiviDi[#Data],COLUMN(T_suiviDi[[#This Row],[Nom]]),FALSE),""),"")</f>
        <v/>
      </c>
      <c r="C232" s="19" t="str">
        <f>IFERROR(IF(VLOOKUP(T_SuiviTw[[#This Row],[NumL]],T_suiviDi[#Data],COLUMN(T_suiviDi[[#This Row],[Prénom]]),FALSE)&lt;&gt;"",VLOOKUP(T_SuiviTw[[#This Row],[NumL]],T_suiviDi[#Data],COLUMN(T_suiviDi[[#This Row],[Prénom]]),FALSE),""),"")</f>
        <v/>
      </c>
      <c r="D232" s="20" t="str">
        <f>IFERROR(IF(VLOOKUP(T_SuiviTw[[#This Row],[NumL]],T_suiviDi[#Data],COLUMN(T_suiviDi[[#This Row],[Email]]),FALSE)&lt;&gt;"",VLOOKUP(T_SuiviTw[[#This Row],[NumL]],T_suiviDi[#Data],COLUMN(T_suiviDi[[#This Row],[Email]]),FALSE),""),"")</f>
        <v/>
      </c>
      <c r="E232" s="274" t="str">
        <f>IFERROR(IF(VLOOKUP(T_SuiviTw[[#This Row],[NumL]],T_suiviDi[#Data],COLUMN(T_suiviDi[[#This Row],[Nom1]]),FALSE)&lt;&gt;"",VLOOKUP(T_SuiviTw[[#This Row],[NumL]],T_suiviDi[#Data],COLUMN(T_suiviDi[[#This Row],[Nom1]]),FALSE),""),"")</f>
        <v/>
      </c>
      <c r="F232" s="274" t="str">
        <f>IFERROR(IF(VLOOKUP(T_SuiviTw[[#This Row],[NumL]],T_suiviDi[#Data],COLUMN(T_suiviDi[[#This Row],[Prénom1]]),FALSE)&lt;&gt;"",VLOOKUP(T_SuiviTw[[#This Row],[NumL]],T_suiviDi[#Data],COLUMN(T_suiviDi[[#This Row],[Prénom1]]),FALSE),""),"")</f>
        <v/>
      </c>
      <c r="G232" s="274" t="str">
        <f>IFERROR(IF(VLOOKUP(T_SuiviTw[[#This Row],[NumL]],T_suiviDi[#Data],COLUMN(T_suiviDi[[#This Row],[Email1]]),FALSE)&lt;&gt;"",VLOOKUP(T_SuiviTw[[#This Row],[NumL]],T_suiviDi[#Data],COLUMN(T_suiviDi[[#This Row],[Email1]]),FALSE),""),"")</f>
        <v/>
      </c>
      <c r="H232" s="275" t="str">
        <f t="shared" si="35"/>
        <v/>
      </c>
      <c r="I232" s="100"/>
      <c r="J232" s="156" t="str">
        <f t="shared" si="36"/>
        <v/>
      </c>
      <c r="K232" s="155" t="str">
        <f t="shared" si="37"/>
        <v/>
      </c>
      <c r="L232" s="100"/>
      <c r="M232" s="156" t="str">
        <f t="shared" ca="1" si="38"/>
        <v/>
      </c>
      <c r="N232" s="49"/>
      <c r="O232" s="49"/>
      <c r="P232" s="105" t="str">
        <f t="shared" si="39"/>
        <v/>
      </c>
      <c r="Q232" s="155" t="str">
        <f t="shared" si="40"/>
        <v/>
      </c>
      <c r="R232" s="100"/>
      <c r="S232" s="156" t="str">
        <f t="shared" ca="1" si="41"/>
        <v/>
      </c>
      <c r="T232" s="101"/>
      <c r="U232" s="101"/>
      <c r="V232" s="101"/>
      <c r="W232" s="144"/>
    </row>
    <row r="233" spans="1:23" ht="24" customHeight="1" x14ac:dyDescent="0.25">
      <c r="A233" s="90">
        <v>37</v>
      </c>
      <c r="B233" s="19" t="str">
        <f>IFERROR(IF(VLOOKUP(T_SuiviTw[[#This Row],[NumL]],T_suiviDi[#Data],COLUMN(T_suiviDi[[#This Row],[Nom]]),FALSE)&lt;&gt;"",VLOOKUP(T_SuiviTw[[#This Row],[NumL]],T_suiviDi[#Data],COLUMN(T_suiviDi[[#This Row],[Nom]]),FALSE),""),"")</f>
        <v/>
      </c>
      <c r="C233" s="19" t="str">
        <f>IFERROR(IF(VLOOKUP(T_SuiviTw[[#This Row],[NumL]],T_suiviDi[#Data],COLUMN(T_suiviDi[[#This Row],[Prénom]]),FALSE)&lt;&gt;"",VLOOKUP(T_SuiviTw[[#This Row],[NumL]],T_suiviDi[#Data],COLUMN(T_suiviDi[[#This Row],[Prénom]]),FALSE),""),"")</f>
        <v/>
      </c>
      <c r="D233" s="20" t="str">
        <f>IFERROR(IF(VLOOKUP(T_SuiviTw[[#This Row],[NumL]],T_suiviDi[#Data],COLUMN(T_suiviDi[[#This Row],[Email]]),FALSE)&lt;&gt;"",VLOOKUP(T_SuiviTw[[#This Row],[NumL]],T_suiviDi[#Data],COLUMN(T_suiviDi[[#This Row],[Email]]),FALSE),""),"")</f>
        <v/>
      </c>
      <c r="E233" s="274" t="str">
        <f>IFERROR(IF(VLOOKUP(T_SuiviTw[[#This Row],[NumL]],T_suiviDi[#Data],COLUMN(T_suiviDi[[#This Row],[Nom1]]),FALSE)&lt;&gt;"",VLOOKUP(T_SuiviTw[[#This Row],[NumL]],T_suiviDi[#Data],COLUMN(T_suiviDi[[#This Row],[Nom1]]),FALSE),""),"")</f>
        <v/>
      </c>
      <c r="F233" s="274" t="str">
        <f>IFERROR(IF(VLOOKUP(T_SuiviTw[[#This Row],[NumL]],T_suiviDi[#Data],COLUMN(T_suiviDi[[#This Row],[Prénom1]]),FALSE)&lt;&gt;"",VLOOKUP(T_SuiviTw[[#This Row],[NumL]],T_suiviDi[#Data],COLUMN(T_suiviDi[[#This Row],[Prénom1]]),FALSE),""),"")</f>
        <v/>
      </c>
      <c r="G233" s="274" t="str">
        <f>IFERROR(IF(VLOOKUP(T_SuiviTw[[#This Row],[NumL]],T_suiviDi[#Data],COLUMN(T_suiviDi[[#This Row],[Email1]]),FALSE)&lt;&gt;"",VLOOKUP(T_SuiviTw[[#This Row],[NumL]],T_suiviDi[#Data],COLUMN(T_suiviDi[[#This Row],[Email1]]),FALSE),""),"")</f>
        <v/>
      </c>
      <c r="H233" s="275" t="str">
        <f t="shared" si="35"/>
        <v/>
      </c>
      <c r="I233" s="100"/>
      <c r="J233" s="156" t="str">
        <f t="shared" si="36"/>
        <v/>
      </c>
      <c r="K233" s="155" t="str">
        <f t="shared" si="37"/>
        <v/>
      </c>
      <c r="L233" s="100"/>
      <c r="M233" s="156" t="str">
        <f t="shared" ca="1" si="38"/>
        <v/>
      </c>
      <c r="N233" s="49"/>
      <c r="O233" s="49"/>
      <c r="P233" s="105" t="str">
        <f t="shared" si="39"/>
        <v/>
      </c>
      <c r="Q233" s="155" t="str">
        <f t="shared" si="40"/>
        <v/>
      </c>
      <c r="R233" s="100"/>
      <c r="S233" s="156" t="str">
        <f t="shared" ca="1" si="41"/>
        <v/>
      </c>
      <c r="T233" s="101"/>
      <c r="U233" s="101"/>
      <c r="V233" s="101"/>
      <c r="W233" s="144"/>
    </row>
    <row r="234" spans="1:23" ht="24" customHeight="1" x14ac:dyDescent="0.25">
      <c r="A234" s="90">
        <v>328</v>
      </c>
      <c r="B234" s="139" t="str">
        <f>IFERROR(IF(VLOOKUP(T_SuiviTw[[#This Row],[NumL]],T_suiviDi[#Data],COLUMN(T_suiviDi[[#This Row],[Nom]]),FALSE)&lt;&gt;"",VLOOKUP(T_SuiviTw[[#This Row],[NumL]],T_suiviDi[#Data],COLUMN(T_suiviDi[[#This Row],[Nom]]),FALSE),""),"")</f>
        <v/>
      </c>
      <c r="C234" s="139" t="str">
        <f>IFERROR(IF(VLOOKUP(T_SuiviTw[[#This Row],[NumL]],T_suiviDi[#Data],COLUMN(T_suiviDi[[#This Row],[Prénom]]),FALSE)&lt;&gt;"",VLOOKUP(T_SuiviTw[[#This Row],[NumL]],T_suiviDi[#Data],COLUMN(T_suiviDi[[#This Row],[Prénom]]),FALSE),""),"")</f>
        <v/>
      </c>
      <c r="D234" s="140" t="str">
        <f>IFERROR(IF(VLOOKUP(T_SuiviTw[[#This Row],[NumL]],T_suiviDi[#Data],COLUMN(T_suiviDi[[#This Row],[Email]]),FALSE)&lt;&gt;"",VLOOKUP(T_SuiviTw[[#This Row],[NumL]],T_suiviDi[#Data],COLUMN(T_suiviDi[[#This Row],[Email]]),FALSE),""),"")</f>
        <v/>
      </c>
      <c r="E234" s="141" t="str">
        <f>IFERROR(IF(VLOOKUP(T_SuiviTw[[#This Row],[NumL]],T_suiviDi[#Data],COLUMN(T_suiviDi[[#This Row],[Nom1]]),FALSE)&lt;&gt;"",VLOOKUP(T_SuiviTw[[#This Row],[NumL]],T_suiviDi[#Data],COLUMN(T_suiviDi[[#This Row],[Nom1]]),FALSE),""),"")</f>
        <v/>
      </c>
      <c r="F234" s="141" t="str">
        <f>IFERROR(IF(VLOOKUP(T_SuiviTw[[#This Row],[NumL]],T_suiviDi[#Data],COLUMN(T_suiviDi[[#This Row],[Prénom1]]),FALSE)&lt;&gt;"",VLOOKUP(T_SuiviTw[[#This Row],[NumL]],T_suiviDi[#Data],COLUMN(T_suiviDi[[#This Row],[Prénom1]]),FALSE),""),"")</f>
        <v/>
      </c>
      <c r="G234" s="141" t="str">
        <f>IFERROR(IF(VLOOKUP(T_SuiviTw[[#This Row],[NumL]],T_suiviDi[#Data],COLUMN(T_suiviDi[[#This Row],[Email1]]),FALSE)&lt;&gt;"",VLOOKUP(T_SuiviTw[[#This Row],[NumL]],T_suiviDi[#Data],COLUMN(T_suiviDi[[#This Row],[Email1]]),FALSE),""),"")</f>
        <v/>
      </c>
      <c r="H234" s="155" t="str">
        <f t="shared" si="35"/>
        <v/>
      </c>
      <c r="I234" s="100"/>
      <c r="J234" s="156" t="str">
        <f t="shared" si="36"/>
        <v/>
      </c>
      <c r="K234" s="155" t="str">
        <f t="shared" si="37"/>
        <v/>
      </c>
      <c r="L234" s="100"/>
      <c r="M234" s="156" t="str">
        <f t="shared" ca="1" si="38"/>
        <v/>
      </c>
      <c r="N234" s="49"/>
      <c r="O234" s="49"/>
      <c r="P234" s="105" t="str">
        <f t="shared" si="39"/>
        <v/>
      </c>
      <c r="Q234" s="155" t="str">
        <f t="shared" si="40"/>
        <v/>
      </c>
      <c r="R234" s="100"/>
      <c r="S234" s="156" t="str">
        <f t="shared" ca="1" si="41"/>
        <v/>
      </c>
      <c r="T234" s="101"/>
      <c r="U234" s="101"/>
      <c r="V234" s="101"/>
      <c r="W234" s="144"/>
    </row>
    <row r="235" spans="1:23" ht="24" customHeight="1" x14ac:dyDescent="0.25">
      <c r="A235" s="90">
        <v>268</v>
      </c>
      <c r="B235" s="19" t="str">
        <f>IFERROR(IF(VLOOKUP(T_SuiviTw[[#This Row],[NumL]],T_suiviDi[#Data],COLUMN(T_suiviDi[[#This Row],[Nom]]),FALSE)&lt;&gt;"",VLOOKUP(T_SuiviTw[[#This Row],[NumL]],T_suiviDi[#Data],COLUMN(T_suiviDi[[#This Row],[Nom]]),FALSE),""),"")</f>
        <v/>
      </c>
      <c r="C235" s="19" t="str">
        <f>IFERROR(IF(VLOOKUP(T_SuiviTw[[#This Row],[NumL]],T_suiviDi[#Data],COLUMN(T_suiviDi[[#This Row],[Prénom]]),FALSE)&lt;&gt;"",VLOOKUP(T_SuiviTw[[#This Row],[NumL]],T_suiviDi[#Data],COLUMN(T_suiviDi[[#This Row],[Prénom]]),FALSE),""),"")</f>
        <v/>
      </c>
      <c r="D235" s="20" t="str">
        <f>IFERROR(IF(VLOOKUP(T_SuiviTw[[#This Row],[NumL]],T_suiviDi[#Data],COLUMN(T_suiviDi[[#This Row],[Email]]),FALSE)&lt;&gt;"",VLOOKUP(T_SuiviTw[[#This Row],[NumL]],T_suiviDi[#Data],COLUMN(T_suiviDi[[#This Row],[Email]]),FALSE),""),"")</f>
        <v/>
      </c>
      <c r="E235" s="274" t="str">
        <f>IFERROR(IF(VLOOKUP(T_SuiviTw[[#This Row],[NumL]],T_suiviDi[#Data],COLUMN(T_suiviDi[[#This Row],[Nom1]]),FALSE)&lt;&gt;"",VLOOKUP(T_SuiviTw[[#This Row],[NumL]],T_suiviDi[#Data],COLUMN(T_suiviDi[[#This Row],[Nom1]]),FALSE),""),"")</f>
        <v/>
      </c>
      <c r="F235" s="274" t="str">
        <f>IFERROR(IF(VLOOKUP(T_SuiviTw[[#This Row],[NumL]],T_suiviDi[#Data],COLUMN(T_suiviDi[[#This Row],[Prénom1]]),FALSE)&lt;&gt;"",VLOOKUP(T_SuiviTw[[#This Row],[NumL]],T_suiviDi[#Data],COLUMN(T_suiviDi[[#This Row],[Prénom1]]),FALSE),""),"")</f>
        <v/>
      </c>
      <c r="G235" s="274" t="str">
        <f>IFERROR(IF(VLOOKUP(T_SuiviTw[[#This Row],[NumL]],T_suiviDi[#Data],COLUMN(T_suiviDi[[#This Row],[Email1]]),FALSE)&lt;&gt;"",VLOOKUP(T_SuiviTw[[#This Row],[NumL]],T_suiviDi[#Data],COLUMN(T_suiviDi[[#This Row],[Email1]]),FALSE),""),"")</f>
        <v/>
      </c>
      <c r="H235" s="275" t="str">
        <f t="shared" si="35"/>
        <v/>
      </c>
      <c r="I235" s="100"/>
      <c r="J235" s="156" t="str">
        <f t="shared" si="36"/>
        <v/>
      </c>
      <c r="K235" s="155" t="str">
        <f t="shared" si="37"/>
        <v/>
      </c>
      <c r="L235" s="100"/>
      <c r="M235" s="156" t="str">
        <f t="shared" ca="1" si="38"/>
        <v/>
      </c>
      <c r="N235" s="49"/>
      <c r="O235" s="49"/>
      <c r="P235" s="105" t="str">
        <f t="shared" si="39"/>
        <v/>
      </c>
      <c r="Q235" s="155" t="str">
        <f t="shared" si="40"/>
        <v/>
      </c>
      <c r="R235" s="100"/>
      <c r="S235" s="156" t="str">
        <f t="shared" ca="1" si="41"/>
        <v/>
      </c>
      <c r="T235" s="101"/>
      <c r="U235" s="101"/>
      <c r="V235" s="101"/>
      <c r="W235" s="144"/>
    </row>
    <row r="236" spans="1:23" ht="24" customHeight="1" x14ac:dyDescent="0.25">
      <c r="A236" s="90">
        <v>207</v>
      </c>
      <c r="B236" s="19" t="str">
        <f>IFERROR(IF(VLOOKUP(T_SuiviTw[[#This Row],[NumL]],T_suiviDi[#Data],COLUMN(T_suiviDi[[#This Row],[Nom]]),FALSE)&lt;&gt;"",VLOOKUP(T_SuiviTw[[#This Row],[NumL]],T_suiviDi[#Data],COLUMN(T_suiviDi[[#This Row],[Nom]]),FALSE),""),"")</f>
        <v/>
      </c>
      <c r="C236" s="19" t="str">
        <f>IFERROR(IF(VLOOKUP(T_SuiviTw[[#This Row],[NumL]],T_suiviDi[#Data],COLUMN(T_suiviDi[[#This Row],[Prénom]]),FALSE)&lt;&gt;"",VLOOKUP(T_SuiviTw[[#This Row],[NumL]],T_suiviDi[#Data],COLUMN(T_suiviDi[[#This Row],[Prénom]]),FALSE),""),"")</f>
        <v/>
      </c>
      <c r="D236" s="20" t="str">
        <f>IFERROR(IF(VLOOKUP(T_SuiviTw[[#This Row],[NumL]],T_suiviDi[#Data],COLUMN(T_suiviDi[[#This Row],[Email]]),FALSE)&lt;&gt;"",VLOOKUP(T_SuiviTw[[#This Row],[NumL]],T_suiviDi[#Data],COLUMN(T_suiviDi[[#This Row],[Email]]),FALSE),""),"")</f>
        <v/>
      </c>
      <c r="E236" s="274" t="str">
        <f>IFERROR(IF(VLOOKUP(T_SuiviTw[[#This Row],[NumL]],T_suiviDi[#Data],COLUMN(T_suiviDi[[#This Row],[Nom1]]),FALSE)&lt;&gt;"",VLOOKUP(T_SuiviTw[[#This Row],[NumL]],T_suiviDi[#Data],COLUMN(T_suiviDi[[#This Row],[Nom1]]),FALSE),""),"")</f>
        <v/>
      </c>
      <c r="F236" s="274" t="str">
        <f>IFERROR(IF(VLOOKUP(T_SuiviTw[[#This Row],[NumL]],T_suiviDi[#Data],COLUMN(T_suiviDi[[#This Row],[Prénom1]]),FALSE)&lt;&gt;"",VLOOKUP(T_SuiviTw[[#This Row],[NumL]],T_suiviDi[#Data],COLUMN(T_suiviDi[[#This Row],[Prénom1]]),FALSE),""),"")</f>
        <v/>
      </c>
      <c r="G236" s="274" t="str">
        <f>IFERROR(IF(VLOOKUP(T_SuiviTw[[#This Row],[NumL]],T_suiviDi[#Data],COLUMN(T_suiviDi[[#This Row],[Email1]]),FALSE)&lt;&gt;"",VLOOKUP(T_SuiviTw[[#This Row],[NumL]],T_suiviDi[#Data],COLUMN(T_suiviDi[[#This Row],[Email1]]),FALSE),""),"")</f>
        <v/>
      </c>
      <c r="H236" s="275" t="str">
        <f t="shared" si="35"/>
        <v/>
      </c>
      <c r="I236" s="100"/>
      <c r="J236" s="156" t="str">
        <f t="shared" si="36"/>
        <v/>
      </c>
      <c r="K236" s="155" t="str">
        <f t="shared" si="37"/>
        <v/>
      </c>
      <c r="L236" s="100"/>
      <c r="M236" s="156" t="str">
        <f t="shared" ca="1" si="38"/>
        <v/>
      </c>
      <c r="N236" s="49"/>
      <c r="O236" s="49"/>
      <c r="P236" s="105" t="str">
        <f t="shared" si="39"/>
        <v/>
      </c>
      <c r="Q236" s="155" t="str">
        <f t="shared" si="40"/>
        <v/>
      </c>
      <c r="R236" s="100"/>
      <c r="S236" s="156" t="str">
        <f t="shared" ca="1" si="41"/>
        <v/>
      </c>
      <c r="T236" s="101"/>
      <c r="U236" s="101"/>
      <c r="V236" s="101"/>
      <c r="W236" s="144"/>
    </row>
    <row r="237" spans="1:23" ht="24" customHeight="1" x14ac:dyDescent="0.25">
      <c r="A237" s="90">
        <v>31</v>
      </c>
      <c r="B237" s="19" t="str">
        <f>IFERROR(IF(VLOOKUP(T_SuiviTw[[#This Row],[NumL]],T_suiviDi[#Data],COLUMN(T_suiviDi[[#This Row],[Nom]]),FALSE)&lt;&gt;"",VLOOKUP(T_SuiviTw[[#This Row],[NumL]],T_suiviDi[#Data],COLUMN(T_suiviDi[[#This Row],[Nom]]),FALSE),""),"")</f>
        <v/>
      </c>
      <c r="C237" s="19" t="str">
        <f>IFERROR(IF(VLOOKUP(T_SuiviTw[[#This Row],[NumL]],T_suiviDi[#Data],COLUMN(T_suiviDi[[#This Row],[Prénom]]),FALSE)&lt;&gt;"",VLOOKUP(T_SuiviTw[[#This Row],[NumL]],T_suiviDi[#Data],COLUMN(T_suiviDi[[#This Row],[Prénom]]),FALSE),""),"")</f>
        <v/>
      </c>
      <c r="D237" s="20" t="str">
        <f>IFERROR(IF(VLOOKUP(T_SuiviTw[[#This Row],[NumL]],T_suiviDi[#Data],COLUMN(T_suiviDi[[#This Row],[Email]]),FALSE)&lt;&gt;"",VLOOKUP(T_SuiviTw[[#This Row],[NumL]],T_suiviDi[#Data],COLUMN(T_suiviDi[[#This Row],[Email]]),FALSE),""),"")</f>
        <v/>
      </c>
      <c r="E237" s="274" t="str">
        <f>IFERROR(IF(VLOOKUP(T_SuiviTw[[#This Row],[NumL]],T_suiviDi[#Data],COLUMN(T_suiviDi[[#This Row],[Nom1]]),FALSE)&lt;&gt;"",VLOOKUP(T_SuiviTw[[#This Row],[NumL]],T_suiviDi[#Data],COLUMN(T_suiviDi[[#This Row],[Nom1]]),FALSE),""),"")</f>
        <v/>
      </c>
      <c r="F237" s="274" t="str">
        <f>IFERROR(IF(VLOOKUP(T_SuiviTw[[#This Row],[NumL]],T_suiviDi[#Data],COLUMN(T_suiviDi[[#This Row],[Prénom1]]),FALSE)&lt;&gt;"",VLOOKUP(T_SuiviTw[[#This Row],[NumL]],T_suiviDi[#Data],COLUMN(T_suiviDi[[#This Row],[Prénom1]]),FALSE),""),"")</f>
        <v/>
      </c>
      <c r="G237" s="274" t="str">
        <f>IFERROR(IF(VLOOKUP(T_SuiviTw[[#This Row],[NumL]],T_suiviDi[#Data],COLUMN(T_suiviDi[[#This Row],[Email1]]),FALSE)&lt;&gt;"",VLOOKUP(T_SuiviTw[[#This Row],[NumL]],T_suiviDi[#Data],COLUMN(T_suiviDi[[#This Row],[Email1]]),FALSE),""),"")</f>
        <v/>
      </c>
      <c r="H237" s="275" t="str">
        <f t="shared" si="35"/>
        <v/>
      </c>
      <c r="I237" s="100"/>
      <c r="J237" s="156" t="str">
        <f t="shared" si="36"/>
        <v/>
      </c>
      <c r="K237" s="155" t="str">
        <f t="shared" si="37"/>
        <v/>
      </c>
      <c r="L237" s="100"/>
      <c r="M237" s="156" t="str">
        <f t="shared" ca="1" si="38"/>
        <v/>
      </c>
      <c r="N237" s="49"/>
      <c r="O237" s="49"/>
      <c r="P237" s="105" t="str">
        <f t="shared" si="39"/>
        <v/>
      </c>
      <c r="Q237" s="155" t="str">
        <f t="shared" si="40"/>
        <v/>
      </c>
      <c r="R237" s="100"/>
      <c r="S237" s="156" t="str">
        <f t="shared" ca="1" si="41"/>
        <v/>
      </c>
      <c r="T237" s="101"/>
      <c r="U237" s="101"/>
      <c r="V237" s="101"/>
      <c r="W237" s="144"/>
    </row>
    <row r="238" spans="1:23" ht="24" customHeight="1" x14ac:dyDescent="0.25">
      <c r="A238" s="90">
        <v>98</v>
      </c>
      <c r="B238" s="19" t="str">
        <f>IFERROR(IF(VLOOKUP(T_SuiviTw[[#This Row],[NumL]],T_suiviDi[#Data],COLUMN(T_suiviDi[[#This Row],[Nom]]),FALSE)&lt;&gt;"",VLOOKUP(T_SuiviTw[[#This Row],[NumL]],T_suiviDi[#Data],COLUMN(T_suiviDi[[#This Row],[Nom]]),FALSE),""),"")</f>
        <v/>
      </c>
      <c r="C238" s="19" t="str">
        <f>IFERROR(IF(VLOOKUP(T_SuiviTw[[#This Row],[NumL]],T_suiviDi[#Data],COLUMN(T_suiviDi[[#This Row],[Prénom]]),FALSE)&lt;&gt;"",VLOOKUP(T_SuiviTw[[#This Row],[NumL]],T_suiviDi[#Data],COLUMN(T_suiviDi[[#This Row],[Prénom]]),FALSE),""),"")</f>
        <v/>
      </c>
      <c r="D238" s="20" t="str">
        <f>IFERROR(IF(VLOOKUP(T_SuiviTw[[#This Row],[NumL]],T_suiviDi[#Data],COLUMN(T_suiviDi[[#This Row],[Email]]),FALSE)&lt;&gt;"",VLOOKUP(T_SuiviTw[[#This Row],[NumL]],T_suiviDi[#Data],COLUMN(T_suiviDi[[#This Row],[Email]]),FALSE),""),"")</f>
        <v/>
      </c>
      <c r="E238" s="274" t="str">
        <f>IFERROR(IF(VLOOKUP(T_SuiviTw[[#This Row],[NumL]],T_suiviDi[#Data],COLUMN(T_suiviDi[[#This Row],[Nom1]]),FALSE)&lt;&gt;"",VLOOKUP(T_SuiviTw[[#This Row],[NumL]],T_suiviDi[#Data],COLUMN(T_suiviDi[[#This Row],[Nom1]]),FALSE),""),"")</f>
        <v/>
      </c>
      <c r="F238" s="274" t="str">
        <f>IFERROR(IF(VLOOKUP(T_SuiviTw[[#This Row],[NumL]],T_suiviDi[#Data],COLUMN(T_suiviDi[[#This Row],[Prénom1]]),FALSE)&lt;&gt;"",VLOOKUP(T_SuiviTw[[#This Row],[NumL]],T_suiviDi[#Data],COLUMN(T_suiviDi[[#This Row],[Prénom1]]),FALSE),""),"")</f>
        <v/>
      </c>
      <c r="G238" s="274" t="str">
        <f>IFERROR(IF(VLOOKUP(T_SuiviTw[[#This Row],[NumL]],T_suiviDi[#Data],COLUMN(T_suiviDi[[#This Row],[Email1]]),FALSE)&lt;&gt;"",VLOOKUP(T_SuiviTw[[#This Row],[NumL]],T_suiviDi[#Data],COLUMN(T_suiviDi[[#This Row],[Email1]]),FALSE),""),"")</f>
        <v/>
      </c>
      <c r="H238" s="275" t="str">
        <f t="shared" si="35"/>
        <v/>
      </c>
      <c r="I238" s="100"/>
      <c r="J238" s="156" t="str">
        <f t="shared" si="36"/>
        <v/>
      </c>
      <c r="K238" s="155" t="str">
        <f t="shared" si="37"/>
        <v/>
      </c>
      <c r="L238" s="100"/>
      <c r="M238" s="156" t="str">
        <f t="shared" ca="1" si="38"/>
        <v/>
      </c>
      <c r="N238" s="49"/>
      <c r="O238" s="49"/>
      <c r="P238" s="105" t="str">
        <f t="shared" si="39"/>
        <v/>
      </c>
      <c r="Q238" s="155" t="str">
        <f t="shared" si="40"/>
        <v/>
      </c>
      <c r="R238" s="100"/>
      <c r="S238" s="156" t="str">
        <f t="shared" ca="1" si="41"/>
        <v/>
      </c>
      <c r="T238" s="101"/>
      <c r="U238" s="101"/>
      <c r="V238" s="101"/>
      <c r="W238" s="144"/>
    </row>
    <row r="239" spans="1:23" ht="24" customHeight="1" x14ac:dyDescent="0.25">
      <c r="A239" s="90">
        <v>106</v>
      </c>
      <c r="B239" s="19" t="str">
        <f>IFERROR(IF(VLOOKUP(T_SuiviTw[[#This Row],[NumL]],T_suiviDi[#Data],COLUMN(T_suiviDi[[#This Row],[Nom]]),FALSE)&lt;&gt;"",VLOOKUP(T_SuiviTw[[#This Row],[NumL]],T_suiviDi[#Data],COLUMN(T_suiviDi[[#This Row],[Nom]]),FALSE),""),"")</f>
        <v/>
      </c>
      <c r="C239" s="19" t="str">
        <f>IFERROR(IF(VLOOKUP(T_SuiviTw[[#This Row],[NumL]],T_suiviDi[#Data],COLUMN(T_suiviDi[[#This Row],[Prénom]]),FALSE)&lt;&gt;"",VLOOKUP(T_SuiviTw[[#This Row],[NumL]],T_suiviDi[#Data],COLUMN(T_suiviDi[[#This Row],[Prénom]]),FALSE),""),"")</f>
        <v/>
      </c>
      <c r="D239" s="20" t="str">
        <f>IFERROR(IF(VLOOKUP(T_SuiviTw[[#This Row],[NumL]],T_suiviDi[#Data],COLUMN(T_suiviDi[[#This Row],[Email]]),FALSE)&lt;&gt;"",VLOOKUP(T_SuiviTw[[#This Row],[NumL]],T_suiviDi[#Data],COLUMN(T_suiviDi[[#This Row],[Email]]),FALSE),""),"")</f>
        <v/>
      </c>
      <c r="E239" s="274" t="str">
        <f>IFERROR(IF(VLOOKUP(T_SuiviTw[[#This Row],[NumL]],T_suiviDi[#Data],COLUMN(T_suiviDi[[#This Row],[Nom1]]),FALSE)&lt;&gt;"",VLOOKUP(T_SuiviTw[[#This Row],[NumL]],T_suiviDi[#Data],COLUMN(T_suiviDi[[#This Row],[Nom1]]),FALSE),""),"")</f>
        <v/>
      </c>
      <c r="F239" s="274" t="str">
        <f>IFERROR(IF(VLOOKUP(T_SuiviTw[[#This Row],[NumL]],T_suiviDi[#Data],COLUMN(T_suiviDi[[#This Row],[Prénom1]]),FALSE)&lt;&gt;"",VLOOKUP(T_SuiviTw[[#This Row],[NumL]],T_suiviDi[#Data],COLUMN(T_suiviDi[[#This Row],[Prénom1]]),FALSE),""),"")</f>
        <v/>
      </c>
      <c r="G239" s="274" t="str">
        <f>IFERROR(IF(VLOOKUP(T_SuiviTw[[#This Row],[NumL]],T_suiviDi[#Data],COLUMN(T_suiviDi[[#This Row],[Email1]]),FALSE)&lt;&gt;"",VLOOKUP(T_SuiviTw[[#This Row],[NumL]],T_suiviDi[#Data],COLUMN(T_suiviDi[[#This Row],[Email1]]),FALSE),""),"")</f>
        <v/>
      </c>
      <c r="H239" s="275" t="str">
        <f t="shared" si="35"/>
        <v/>
      </c>
      <c r="I239" s="100"/>
      <c r="J239" s="156" t="str">
        <f t="shared" si="36"/>
        <v/>
      </c>
      <c r="K239" s="155" t="str">
        <f t="shared" si="37"/>
        <v/>
      </c>
      <c r="L239" s="100"/>
      <c r="M239" s="156" t="str">
        <f t="shared" ca="1" si="38"/>
        <v/>
      </c>
      <c r="N239" s="49"/>
      <c r="O239" s="49"/>
      <c r="P239" s="105" t="str">
        <f t="shared" si="39"/>
        <v/>
      </c>
      <c r="Q239" s="155" t="str">
        <f t="shared" si="40"/>
        <v/>
      </c>
      <c r="R239" s="100"/>
      <c r="S239" s="156" t="str">
        <f t="shared" ca="1" si="41"/>
        <v/>
      </c>
      <c r="T239" s="101"/>
      <c r="U239" s="101"/>
      <c r="V239" s="101"/>
      <c r="W239" s="144"/>
    </row>
    <row r="240" spans="1:23" ht="24" customHeight="1" x14ac:dyDescent="0.25">
      <c r="A240" s="90">
        <v>44</v>
      </c>
      <c r="B240" s="19" t="str">
        <f>IFERROR(IF(VLOOKUP(T_SuiviTw[[#This Row],[NumL]],T_suiviDi[#Data],COLUMN(T_suiviDi[[#This Row],[Nom]]),FALSE)&lt;&gt;"",VLOOKUP(T_SuiviTw[[#This Row],[NumL]],T_suiviDi[#Data],COLUMN(T_suiviDi[[#This Row],[Nom]]),FALSE),""),"")</f>
        <v/>
      </c>
      <c r="C240" s="19" t="str">
        <f>IFERROR(IF(VLOOKUP(T_SuiviTw[[#This Row],[NumL]],T_suiviDi[#Data],COLUMN(T_suiviDi[[#This Row],[Prénom]]),FALSE)&lt;&gt;"",VLOOKUP(T_SuiviTw[[#This Row],[NumL]],T_suiviDi[#Data],COLUMN(T_suiviDi[[#This Row],[Prénom]]),FALSE),""),"")</f>
        <v/>
      </c>
      <c r="D240" s="20" t="str">
        <f>IFERROR(IF(VLOOKUP(T_SuiviTw[[#This Row],[NumL]],T_suiviDi[#Data],COLUMN(T_suiviDi[[#This Row],[Email]]),FALSE)&lt;&gt;"",VLOOKUP(T_SuiviTw[[#This Row],[NumL]],T_suiviDi[#Data],COLUMN(T_suiviDi[[#This Row],[Email]]),FALSE),""),"")</f>
        <v/>
      </c>
      <c r="E240" s="274" t="str">
        <f>IFERROR(IF(VLOOKUP(T_SuiviTw[[#This Row],[NumL]],T_suiviDi[#Data],COLUMN(T_suiviDi[[#This Row],[Nom1]]),FALSE)&lt;&gt;"",VLOOKUP(T_SuiviTw[[#This Row],[NumL]],T_suiviDi[#Data],COLUMN(T_suiviDi[[#This Row],[Nom1]]),FALSE),""),"")</f>
        <v/>
      </c>
      <c r="F240" s="274" t="str">
        <f>IFERROR(IF(VLOOKUP(T_SuiviTw[[#This Row],[NumL]],T_suiviDi[#Data],COLUMN(T_suiviDi[[#This Row],[Prénom1]]),FALSE)&lt;&gt;"",VLOOKUP(T_SuiviTw[[#This Row],[NumL]],T_suiviDi[#Data],COLUMN(T_suiviDi[[#This Row],[Prénom1]]),FALSE),""),"")</f>
        <v/>
      </c>
      <c r="G240" s="274" t="str">
        <f>IFERROR(IF(VLOOKUP(T_SuiviTw[[#This Row],[NumL]],T_suiviDi[#Data],COLUMN(T_suiviDi[[#This Row],[Email1]]),FALSE)&lt;&gt;"",VLOOKUP(T_SuiviTw[[#This Row],[NumL]],T_suiviDi[#Data],COLUMN(T_suiviDi[[#This Row],[Email1]]),FALSE),""),"")</f>
        <v/>
      </c>
      <c r="H240" s="275" t="str">
        <f t="shared" si="35"/>
        <v/>
      </c>
      <c r="I240" s="100"/>
      <c r="J240" s="156" t="str">
        <f t="shared" si="36"/>
        <v/>
      </c>
      <c r="K240" s="155" t="str">
        <f t="shared" si="37"/>
        <v/>
      </c>
      <c r="L240" s="100"/>
      <c r="M240" s="156" t="str">
        <f t="shared" ca="1" si="38"/>
        <v/>
      </c>
      <c r="N240" s="49"/>
      <c r="O240" s="49"/>
      <c r="P240" s="105" t="str">
        <f t="shared" si="39"/>
        <v/>
      </c>
      <c r="Q240" s="155" t="str">
        <f t="shared" si="40"/>
        <v/>
      </c>
      <c r="R240" s="100"/>
      <c r="S240" s="156" t="str">
        <f t="shared" ca="1" si="41"/>
        <v/>
      </c>
      <c r="T240" s="101"/>
      <c r="U240" s="101"/>
      <c r="V240" s="101"/>
      <c r="W240" s="144"/>
    </row>
    <row r="241" spans="1:23" ht="24" customHeight="1" x14ac:dyDescent="0.25">
      <c r="A241" s="90">
        <v>154</v>
      </c>
      <c r="B241" s="19" t="str">
        <f>IFERROR(IF(VLOOKUP(T_SuiviTw[[#This Row],[NumL]],T_suiviDi[#Data],COLUMN(T_suiviDi[[#This Row],[Nom]]),FALSE)&lt;&gt;"",VLOOKUP(T_SuiviTw[[#This Row],[NumL]],T_suiviDi[#Data],COLUMN(T_suiviDi[[#This Row],[Nom]]),FALSE),""),"")</f>
        <v/>
      </c>
      <c r="C241" s="19" t="str">
        <f>IFERROR(IF(VLOOKUP(T_SuiviTw[[#This Row],[NumL]],T_suiviDi[#Data],COLUMN(T_suiviDi[[#This Row],[Prénom]]),FALSE)&lt;&gt;"",VLOOKUP(T_SuiviTw[[#This Row],[NumL]],T_suiviDi[#Data],COLUMN(T_suiviDi[[#This Row],[Prénom]]),FALSE),""),"")</f>
        <v/>
      </c>
      <c r="D241" s="20" t="str">
        <f>IFERROR(IF(VLOOKUP(T_SuiviTw[[#This Row],[NumL]],T_suiviDi[#Data],COLUMN(T_suiviDi[[#This Row],[Email]]),FALSE)&lt;&gt;"",VLOOKUP(T_SuiviTw[[#This Row],[NumL]],T_suiviDi[#Data],COLUMN(T_suiviDi[[#This Row],[Email]]),FALSE),""),"")</f>
        <v/>
      </c>
      <c r="E241" s="274" t="str">
        <f>IFERROR(IF(VLOOKUP(T_SuiviTw[[#This Row],[NumL]],T_suiviDi[#Data],COLUMN(T_suiviDi[[#This Row],[Nom1]]),FALSE)&lt;&gt;"",VLOOKUP(T_SuiviTw[[#This Row],[NumL]],T_suiviDi[#Data],COLUMN(T_suiviDi[[#This Row],[Nom1]]),FALSE),""),"")</f>
        <v/>
      </c>
      <c r="F241" s="274" t="str">
        <f>IFERROR(IF(VLOOKUP(T_SuiviTw[[#This Row],[NumL]],T_suiviDi[#Data],COLUMN(T_suiviDi[[#This Row],[Prénom1]]),FALSE)&lt;&gt;"",VLOOKUP(T_SuiviTw[[#This Row],[NumL]],T_suiviDi[#Data],COLUMN(T_suiviDi[[#This Row],[Prénom1]]),FALSE),""),"")</f>
        <v/>
      </c>
      <c r="G241" s="274" t="str">
        <f>IFERROR(IF(VLOOKUP(T_SuiviTw[[#This Row],[NumL]],T_suiviDi[#Data],COLUMN(T_suiviDi[[#This Row],[Email1]]),FALSE)&lt;&gt;"",VLOOKUP(T_SuiviTw[[#This Row],[NumL]],T_suiviDi[#Data],COLUMN(T_suiviDi[[#This Row],[Email1]]),FALSE),""),"")</f>
        <v/>
      </c>
      <c r="H241" s="275" t="str">
        <f t="shared" si="35"/>
        <v/>
      </c>
      <c r="I241" s="100"/>
      <c r="J241" s="156" t="str">
        <f t="shared" si="36"/>
        <v/>
      </c>
      <c r="K241" s="155" t="str">
        <f t="shared" si="37"/>
        <v/>
      </c>
      <c r="L241" s="100"/>
      <c r="M241" s="156" t="str">
        <f t="shared" ca="1" si="38"/>
        <v/>
      </c>
      <c r="N241" s="49"/>
      <c r="O241" s="49"/>
      <c r="P241" s="105" t="str">
        <f t="shared" si="39"/>
        <v/>
      </c>
      <c r="Q241" s="155" t="str">
        <f t="shared" si="40"/>
        <v/>
      </c>
      <c r="R241" s="100"/>
      <c r="S241" s="156" t="str">
        <f t="shared" ca="1" si="41"/>
        <v/>
      </c>
      <c r="T241" s="101"/>
      <c r="U241" s="101"/>
      <c r="V241" s="101"/>
      <c r="W241" s="144"/>
    </row>
    <row r="242" spans="1:23" ht="24" customHeight="1" x14ac:dyDescent="0.25">
      <c r="A242" s="90">
        <v>171</v>
      </c>
      <c r="B242" s="19" t="str">
        <f>IFERROR(IF(VLOOKUP(T_SuiviTw[[#This Row],[NumL]],T_suiviDi[#Data],COLUMN(T_suiviDi[[#This Row],[Nom]]),FALSE)&lt;&gt;"",VLOOKUP(T_SuiviTw[[#This Row],[NumL]],T_suiviDi[#Data],COLUMN(T_suiviDi[[#This Row],[Nom]]),FALSE),""),"")</f>
        <v/>
      </c>
      <c r="C242" s="19" t="str">
        <f>IFERROR(IF(VLOOKUP(T_SuiviTw[[#This Row],[NumL]],T_suiviDi[#Data],COLUMN(T_suiviDi[[#This Row],[Prénom]]),FALSE)&lt;&gt;"",VLOOKUP(T_SuiviTw[[#This Row],[NumL]],T_suiviDi[#Data],COLUMN(T_suiviDi[[#This Row],[Prénom]]),FALSE),""),"")</f>
        <v/>
      </c>
      <c r="D242" s="20" t="str">
        <f>IFERROR(IF(VLOOKUP(T_SuiviTw[[#This Row],[NumL]],T_suiviDi[#Data],COLUMN(T_suiviDi[[#This Row],[Email]]),FALSE)&lt;&gt;"",VLOOKUP(T_SuiviTw[[#This Row],[NumL]],T_suiviDi[#Data],COLUMN(T_suiviDi[[#This Row],[Email]]),FALSE),""),"")</f>
        <v/>
      </c>
      <c r="E242" s="274" t="str">
        <f>IFERROR(IF(VLOOKUP(T_SuiviTw[[#This Row],[NumL]],T_suiviDi[#Data],COLUMN(T_suiviDi[[#This Row],[Nom1]]),FALSE)&lt;&gt;"",VLOOKUP(T_SuiviTw[[#This Row],[NumL]],T_suiviDi[#Data],COLUMN(T_suiviDi[[#This Row],[Nom1]]),FALSE),""),"")</f>
        <v/>
      </c>
      <c r="F242" s="274" t="str">
        <f>IFERROR(IF(VLOOKUP(T_SuiviTw[[#This Row],[NumL]],T_suiviDi[#Data],COLUMN(T_suiviDi[[#This Row],[Prénom1]]),FALSE)&lt;&gt;"",VLOOKUP(T_SuiviTw[[#This Row],[NumL]],T_suiviDi[#Data],COLUMN(T_suiviDi[[#This Row],[Prénom1]]),FALSE),""),"")</f>
        <v/>
      </c>
      <c r="G242" s="274" t="str">
        <f>IFERROR(IF(VLOOKUP(T_SuiviTw[[#This Row],[NumL]],T_suiviDi[#Data],COLUMN(T_suiviDi[[#This Row],[Email1]]),FALSE)&lt;&gt;"",VLOOKUP(T_SuiviTw[[#This Row],[NumL]],T_suiviDi[#Data],COLUMN(T_suiviDi[[#This Row],[Email1]]),FALSE),""),"")</f>
        <v/>
      </c>
      <c r="H242" s="275" t="str">
        <f t="shared" si="35"/>
        <v/>
      </c>
      <c r="I242" s="100"/>
      <c r="J242" s="156" t="str">
        <f t="shared" si="36"/>
        <v/>
      </c>
      <c r="K242" s="155" t="str">
        <f t="shared" si="37"/>
        <v/>
      </c>
      <c r="L242" s="100"/>
      <c r="M242" s="156" t="str">
        <f t="shared" ca="1" si="38"/>
        <v/>
      </c>
      <c r="N242" s="49"/>
      <c r="O242" s="49"/>
      <c r="P242" s="105" t="str">
        <f t="shared" si="39"/>
        <v/>
      </c>
      <c r="Q242" s="155" t="str">
        <f t="shared" si="40"/>
        <v/>
      </c>
      <c r="R242" s="100"/>
      <c r="S242" s="156" t="str">
        <f t="shared" ca="1" si="41"/>
        <v/>
      </c>
      <c r="T242" s="101"/>
      <c r="U242" s="101"/>
      <c r="V242" s="101"/>
      <c r="W242" s="144"/>
    </row>
    <row r="243" spans="1:23" ht="24" customHeight="1" x14ac:dyDescent="0.25">
      <c r="A243" s="90">
        <v>149</v>
      </c>
      <c r="B243" s="19" t="str">
        <f>IFERROR(IF(VLOOKUP(T_SuiviTw[[#This Row],[NumL]],T_suiviDi[#Data],COLUMN(T_suiviDi[[#This Row],[Nom]]),FALSE)&lt;&gt;"",VLOOKUP(T_SuiviTw[[#This Row],[NumL]],T_suiviDi[#Data],COLUMN(T_suiviDi[[#This Row],[Nom]]),FALSE),""),"")</f>
        <v/>
      </c>
      <c r="C243" s="19" t="str">
        <f>IFERROR(IF(VLOOKUP(T_SuiviTw[[#This Row],[NumL]],T_suiviDi[#Data],COLUMN(T_suiviDi[[#This Row],[Prénom]]),FALSE)&lt;&gt;"",VLOOKUP(T_SuiviTw[[#This Row],[NumL]],T_suiviDi[#Data],COLUMN(T_suiviDi[[#This Row],[Prénom]]),FALSE),""),"")</f>
        <v/>
      </c>
      <c r="D243" s="20" t="str">
        <f>IFERROR(IF(VLOOKUP(T_SuiviTw[[#This Row],[NumL]],T_suiviDi[#Data],COLUMN(T_suiviDi[[#This Row],[Email]]),FALSE)&lt;&gt;"",VLOOKUP(T_SuiviTw[[#This Row],[NumL]],T_suiviDi[#Data],COLUMN(T_suiviDi[[#This Row],[Email]]),FALSE),""),"")</f>
        <v/>
      </c>
      <c r="E243" s="274" t="str">
        <f>IFERROR(IF(VLOOKUP(T_SuiviTw[[#This Row],[NumL]],T_suiviDi[#Data],COLUMN(T_suiviDi[[#This Row],[Nom1]]),FALSE)&lt;&gt;"",VLOOKUP(T_SuiviTw[[#This Row],[NumL]],T_suiviDi[#Data],COLUMN(T_suiviDi[[#This Row],[Nom1]]),FALSE),""),"")</f>
        <v/>
      </c>
      <c r="F243" s="274" t="str">
        <f>IFERROR(IF(VLOOKUP(T_SuiviTw[[#This Row],[NumL]],T_suiviDi[#Data],COLUMN(T_suiviDi[[#This Row],[Prénom1]]),FALSE)&lt;&gt;"",VLOOKUP(T_SuiviTw[[#This Row],[NumL]],T_suiviDi[#Data],COLUMN(T_suiviDi[[#This Row],[Prénom1]]),FALSE),""),"")</f>
        <v/>
      </c>
      <c r="G243" s="274" t="str">
        <f>IFERROR(IF(VLOOKUP(T_SuiviTw[[#This Row],[NumL]],T_suiviDi[#Data],COLUMN(T_suiviDi[[#This Row],[Email1]]),FALSE)&lt;&gt;"",VLOOKUP(T_SuiviTw[[#This Row],[NumL]],T_suiviDi[#Data],COLUMN(T_suiviDi[[#This Row],[Email1]]),FALSE),""),"")</f>
        <v/>
      </c>
      <c r="H243" s="275" t="str">
        <f t="shared" si="35"/>
        <v/>
      </c>
      <c r="I243" s="100"/>
      <c r="J243" s="156" t="str">
        <f t="shared" si="36"/>
        <v/>
      </c>
      <c r="K243" s="155" t="str">
        <f t="shared" si="37"/>
        <v/>
      </c>
      <c r="L243" s="100"/>
      <c r="M243" s="156" t="str">
        <f t="shared" ca="1" si="38"/>
        <v/>
      </c>
      <c r="N243" s="49"/>
      <c r="O243" s="49"/>
      <c r="P243" s="105" t="str">
        <f t="shared" si="39"/>
        <v/>
      </c>
      <c r="Q243" s="155" t="str">
        <f t="shared" si="40"/>
        <v/>
      </c>
      <c r="R243" s="100"/>
      <c r="S243" s="156" t="str">
        <f t="shared" ca="1" si="41"/>
        <v/>
      </c>
      <c r="T243" s="101"/>
      <c r="U243" s="101"/>
      <c r="V243" s="101"/>
      <c r="W243" s="144"/>
    </row>
    <row r="244" spans="1:23" ht="24" customHeight="1" x14ac:dyDescent="0.25">
      <c r="A244" s="90">
        <v>14</v>
      </c>
      <c r="B244" s="19" t="str">
        <f>IFERROR(IF(VLOOKUP(T_SuiviTw[[#This Row],[NumL]],T_suiviDi[#Data],COLUMN(T_suiviDi[[#This Row],[Nom]]),FALSE)&lt;&gt;"",VLOOKUP(T_SuiviTw[[#This Row],[NumL]],T_suiviDi[#Data],COLUMN(T_suiviDi[[#This Row],[Nom]]),FALSE),""),"")</f>
        <v/>
      </c>
      <c r="C244" s="19" t="str">
        <f>IFERROR(IF(VLOOKUP(T_SuiviTw[[#This Row],[NumL]],T_suiviDi[#Data],COLUMN(T_suiviDi[[#This Row],[Prénom]]),FALSE)&lt;&gt;"",VLOOKUP(T_SuiviTw[[#This Row],[NumL]],T_suiviDi[#Data],COLUMN(T_suiviDi[[#This Row],[Prénom]]),FALSE),""),"")</f>
        <v/>
      </c>
      <c r="D244" s="20" t="str">
        <f>IFERROR(IF(VLOOKUP(T_SuiviTw[[#This Row],[NumL]],T_suiviDi[#Data],COLUMN(T_suiviDi[[#This Row],[Email]]),FALSE)&lt;&gt;"",VLOOKUP(T_SuiviTw[[#This Row],[NumL]],T_suiviDi[#Data],COLUMN(T_suiviDi[[#This Row],[Email]]),FALSE),""),"")</f>
        <v/>
      </c>
      <c r="E244" s="274" t="str">
        <f>IFERROR(IF(VLOOKUP(T_SuiviTw[[#This Row],[NumL]],T_suiviDi[#Data],COLUMN(T_suiviDi[[#This Row],[Nom1]]),FALSE)&lt;&gt;"",VLOOKUP(T_SuiviTw[[#This Row],[NumL]],T_suiviDi[#Data],COLUMN(T_suiviDi[[#This Row],[Nom1]]),FALSE),""),"")</f>
        <v/>
      </c>
      <c r="F244" s="274" t="str">
        <f>IFERROR(IF(VLOOKUP(T_SuiviTw[[#This Row],[NumL]],T_suiviDi[#Data],COLUMN(T_suiviDi[[#This Row],[Prénom1]]),FALSE)&lt;&gt;"",VLOOKUP(T_SuiviTw[[#This Row],[NumL]],T_suiviDi[#Data],COLUMN(T_suiviDi[[#This Row],[Prénom1]]),FALSE),""),"")</f>
        <v/>
      </c>
      <c r="G244" s="274" t="str">
        <f>IFERROR(IF(VLOOKUP(T_SuiviTw[[#This Row],[NumL]],T_suiviDi[#Data],COLUMN(T_suiviDi[[#This Row],[Email1]]),FALSE)&lt;&gt;"",VLOOKUP(T_SuiviTw[[#This Row],[NumL]],T_suiviDi[#Data],COLUMN(T_suiviDi[[#This Row],[Email1]]),FALSE),""),"")</f>
        <v/>
      </c>
      <c r="H244" s="275" t="str">
        <f t="shared" si="35"/>
        <v/>
      </c>
      <c r="I244" s="100"/>
      <c r="J244" s="156" t="str">
        <f t="shared" si="36"/>
        <v/>
      </c>
      <c r="K244" s="155" t="str">
        <f t="shared" si="37"/>
        <v/>
      </c>
      <c r="L244" s="100"/>
      <c r="M244" s="156" t="str">
        <f t="shared" ca="1" si="38"/>
        <v/>
      </c>
      <c r="N244" s="49"/>
      <c r="O244" s="49"/>
      <c r="P244" s="105" t="str">
        <f t="shared" si="39"/>
        <v/>
      </c>
      <c r="Q244" s="155" t="str">
        <f t="shared" si="40"/>
        <v/>
      </c>
      <c r="R244" s="100"/>
      <c r="S244" s="156" t="str">
        <f t="shared" ca="1" si="41"/>
        <v/>
      </c>
      <c r="T244" s="101"/>
      <c r="U244" s="101"/>
      <c r="V244" s="101"/>
      <c r="W244" s="144"/>
    </row>
    <row r="245" spans="1:23" ht="24" customHeight="1" x14ac:dyDescent="0.25">
      <c r="A245" s="90">
        <v>135</v>
      </c>
      <c r="B245" s="19" t="str">
        <f>IFERROR(IF(VLOOKUP(T_SuiviTw[[#This Row],[NumL]],T_suiviDi[#Data],COLUMN(T_suiviDi[[#This Row],[Nom]]),FALSE)&lt;&gt;"",VLOOKUP(T_SuiviTw[[#This Row],[NumL]],T_suiviDi[#Data],COLUMN(T_suiviDi[[#This Row],[Nom]]),FALSE),""),"")</f>
        <v/>
      </c>
      <c r="C245" s="19" t="str">
        <f>IFERROR(IF(VLOOKUP(T_SuiviTw[[#This Row],[NumL]],T_suiviDi[#Data],COLUMN(T_suiviDi[[#This Row],[Prénom]]),FALSE)&lt;&gt;"",VLOOKUP(T_SuiviTw[[#This Row],[NumL]],T_suiviDi[#Data],COLUMN(T_suiviDi[[#This Row],[Prénom]]),FALSE),""),"")</f>
        <v/>
      </c>
      <c r="D245" s="20" t="str">
        <f>IFERROR(IF(VLOOKUP(T_SuiviTw[[#This Row],[NumL]],T_suiviDi[#Data],COLUMN(T_suiviDi[[#This Row],[Email]]),FALSE)&lt;&gt;"",VLOOKUP(T_SuiviTw[[#This Row],[NumL]],T_suiviDi[#Data],COLUMN(T_suiviDi[[#This Row],[Email]]),FALSE),""),"")</f>
        <v/>
      </c>
      <c r="E245" s="274" t="str">
        <f>IFERROR(IF(VLOOKUP(T_SuiviTw[[#This Row],[NumL]],T_suiviDi[#Data],COLUMN(T_suiviDi[[#This Row],[Nom1]]),FALSE)&lt;&gt;"",VLOOKUP(T_SuiviTw[[#This Row],[NumL]],T_suiviDi[#Data],COLUMN(T_suiviDi[[#This Row],[Nom1]]),FALSE),""),"")</f>
        <v/>
      </c>
      <c r="F245" s="274" t="str">
        <f>IFERROR(IF(VLOOKUP(T_SuiviTw[[#This Row],[NumL]],T_suiviDi[#Data],COLUMN(T_suiviDi[[#This Row],[Prénom1]]),FALSE)&lt;&gt;"",VLOOKUP(T_SuiviTw[[#This Row],[NumL]],T_suiviDi[#Data],COLUMN(T_suiviDi[[#This Row],[Prénom1]]),FALSE),""),"")</f>
        <v/>
      </c>
      <c r="G245" s="274" t="str">
        <f>IFERROR(IF(VLOOKUP(T_SuiviTw[[#This Row],[NumL]],T_suiviDi[#Data],COLUMN(T_suiviDi[[#This Row],[Email1]]),FALSE)&lt;&gt;"",VLOOKUP(T_SuiviTw[[#This Row],[NumL]],T_suiviDi[#Data],COLUMN(T_suiviDi[[#This Row],[Email1]]),FALSE),""),"")</f>
        <v/>
      </c>
      <c r="H245" s="275" t="str">
        <f t="shared" si="35"/>
        <v/>
      </c>
      <c r="I245" s="100"/>
      <c r="J245" s="156" t="str">
        <f t="shared" si="36"/>
        <v/>
      </c>
      <c r="K245" s="155" t="str">
        <f t="shared" si="37"/>
        <v/>
      </c>
      <c r="L245" s="100"/>
      <c r="M245" s="156" t="str">
        <f t="shared" ca="1" si="38"/>
        <v/>
      </c>
      <c r="N245" s="49"/>
      <c r="O245" s="49"/>
      <c r="P245" s="105" t="str">
        <f t="shared" si="39"/>
        <v/>
      </c>
      <c r="Q245" s="155" t="str">
        <f t="shared" si="40"/>
        <v/>
      </c>
      <c r="R245" s="100"/>
      <c r="S245" s="156" t="str">
        <f t="shared" ca="1" si="41"/>
        <v/>
      </c>
      <c r="T245" s="101"/>
      <c r="U245" s="101"/>
      <c r="V245" s="101"/>
      <c r="W245" s="144"/>
    </row>
    <row r="246" spans="1:23" ht="24" customHeight="1" x14ac:dyDescent="0.25">
      <c r="A246" s="90">
        <v>108</v>
      </c>
      <c r="B246" s="19" t="str">
        <f>IFERROR(IF(VLOOKUP(T_SuiviTw[[#This Row],[NumL]],T_suiviDi[#Data],COLUMN(T_suiviDi[[#This Row],[Nom]]),FALSE)&lt;&gt;"",VLOOKUP(T_SuiviTw[[#This Row],[NumL]],T_suiviDi[#Data],COLUMN(T_suiviDi[[#This Row],[Nom]]),FALSE),""),"")</f>
        <v/>
      </c>
      <c r="C246" s="19" t="str">
        <f>IFERROR(IF(VLOOKUP(T_SuiviTw[[#This Row],[NumL]],T_suiviDi[#Data],COLUMN(T_suiviDi[[#This Row],[Prénom]]),FALSE)&lt;&gt;"",VLOOKUP(T_SuiviTw[[#This Row],[NumL]],T_suiviDi[#Data],COLUMN(T_suiviDi[[#This Row],[Prénom]]),FALSE),""),"")</f>
        <v/>
      </c>
      <c r="D246" s="20" t="str">
        <f>IFERROR(IF(VLOOKUP(T_SuiviTw[[#This Row],[NumL]],T_suiviDi[#Data],COLUMN(T_suiviDi[[#This Row],[Email]]),FALSE)&lt;&gt;"",VLOOKUP(T_SuiviTw[[#This Row],[NumL]],T_suiviDi[#Data],COLUMN(T_suiviDi[[#This Row],[Email]]),FALSE),""),"")</f>
        <v/>
      </c>
      <c r="E246" s="274" t="str">
        <f>IFERROR(IF(VLOOKUP(T_SuiviTw[[#This Row],[NumL]],T_suiviDi[#Data],COLUMN(T_suiviDi[[#This Row],[Nom1]]),FALSE)&lt;&gt;"",VLOOKUP(T_SuiviTw[[#This Row],[NumL]],T_suiviDi[#Data],COLUMN(T_suiviDi[[#This Row],[Nom1]]),FALSE),""),"")</f>
        <v/>
      </c>
      <c r="F246" s="274" t="str">
        <f>IFERROR(IF(VLOOKUP(T_SuiviTw[[#This Row],[NumL]],T_suiviDi[#Data],COLUMN(T_suiviDi[[#This Row],[Prénom1]]),FALSE)&lt;&gt;"",VLOOKUP(T_SuiviTw[[#This Row],[NumL]],T_suiviDi[#Data],COLUMN(T_suiviDi[[#This Row],[Prénom1]]),FALSE),""),"")</f>
        <v/>
      </c>
      <c r="G246" s="274" t="str">
        <f>IFERROR(IF(VLOOKUP(T_SuiviTw[[#This Row],[NumL]],T_suiviDi[#Data],COLUMN(T_suiviDi[[#This Row],[Email1]]),FALSE)&lt;&gt;"",VLOOKUP(T_SuiviTw[[#This Row],[NumL]],T_suiviDi[#Data],COLUMN(T_suiviDi[[#This Row],[Email1]]),FALSE),""),"")</f>
        <v/>
      </c>
      <c r="H246" s="275" t="str">
        <f t="shared" si="35"/>
        <v/>
      </c>
      <c r="I246" s="100"/>
      <c r="J246" s="156" t="str">
        <f t="shared" si="36"/>
        <v/>
      </c>
      <c r="K246" s="155" t="str">
        <f t="shared" si="37"/>
        <v/>
      </c>
      <c r="L246" s="100"/>
      <c r="M246" s="156" t="str">
        <f t="shared" ca="1" si="38"/>
        <v/>
      </c>
      <c r="N246" s="49"/>
      <c r="O246" s="49"/>
      <c r="P246" s="105" t="str">
        <f t="shared" si="39"/>
        <v/>
      </c>
      <c r="Q246" s="155" t="str">
        <f t="shared" si="40"/>
        <v/>
      </c>
      <c r="R246" s="100"/>
      <c r="S246" s="156" t="str">
        <f t="shared" ca="1" si="41"/>
        <v/>
      </c>
      <c r="T246" s="101"/>
      <c r="U246" s="101"/>
      <c r="V246" s="101"/>
      <c r="W246" s="144"/>
    </row>
    <row r="247" spans="1:23" ht="24" customHeight="1" x14ac:dyDescent="0.25">
      <c r="A247" s="90">
        <v>311</v>
      </c>
      <c r="B247" s="139" t="str">
        <f>IFERROR(IF(VLOOKUP(T_SuiviTw[[#This Row],[NumL]],T_suiviDi[#Data],COLUMN(T_suiviDi[[#This Row],[Nom]]),FALSE)&lt;&gt;"",VLOOKUP(T_SuiviTw[[#This Row],[NumL]],T_suiviDi[#Data],COLUMN(T_suiviDi[[#This Row],[Nom]]),FALSE),""),"")</f>
        <v/>
      </c>
      <c r="C247" s="139" t="str">
        <f>IFERROR(IF(VLOOKUP(T_SuiviTw[[#This Row],[NumL]],T_suiviDi[#Data],COLUMN(T_suiviDi[[#This Row],[Prénom]]),FALSE)&lt;&gt;"",VLOOKUP(T_SuiviTw[[#This Row],[NumL]],T_suiviDi[#Data],COLUMN(T_suiviDi[[#This Row],[Prénom]]),FALSE),""),"")</f>
        <v/>
      </c>
      <c r="D247" s="140" t="str">
        <f>IFERROR(IF(VLOOKUP(T_SuiviTw[[#This Row],[NumL]],T_suiviDi[#Data],COLUMN(T_suiviDi[[#This Row],[Email]]),FALSE)&lt;&gt;"",VLOOKUP(T_SuiviTw[[#This Row],[NumL]],T_suiviDi[#Data],COLUMN(T_suiviDi[[#This Row],[Email]]),FALSE),""),"")</f>
        <v/>
      </c>
      <c r="E247" s="141" t="str">
        <f>IFERROR(IF(VLOOKUP(T_SuiviTw[[#This Row],[NumL]],T_suiviDi[#Data],COLUMN(T_suiviDi[[#This Row],[Nom1]]),FALSE)&lt;&gt;"",VLOOKUP(T_SuiviTw[[#This Row],[NumL]],T_suiviDi[#Data],COLUMN(T_suiviDi[[#This Row],[Nom1]]),FALSE),""),"")</f>
        <v/>
      </c>
      <c r="F247" s="141" t="str">
        <f>IFERROR(IF(VLOOKUP(T_SuiviTw[[#This Row],[NumL]],T_suiviDi[#Data],COLUMN(T_suiviDi[[#This Row],[Prénom1]]),FALSE)&lt;&gt;"",VLOOKUP(T_SuiviTw[[#This Row],[NumL]],T_suiviDi[#Data],COLUMN(T_suiviDi[[#This Row],[Prénom1]]),FALSE),""),"")</f>
        <v/>
      </c>
      <c r="G247" s="141" t="str">
        <f>IFERROR(IF(VLOOKUP(T_SuiviTw[[#This Row],[NumL]],T_suiviDi[#Data],COLUMN(T_suiviDi[[#This Row],[Email1]]),FALSE)&lt;&gt;"",VLOOKUP(T_SuiviTw[[#This Row],[NumL]],T_suiviDi[#Data],COLUMN(T_suiviDi[[#This Row],[Email1]]),FALSE),""),"")</f>
        <v/>
      </c>
      <c r="H247" s="155" t="str">
        <f t="shared" si="35"/>
        <v/>
      </c>
      <c r="I247" s="100"/>
      <c r="J247" s="156" t="str">
        <f t="shared" si="36"/>
        <v/>
      </c>
      <c r="K247" s="155" t="str">
        <f t="shared" si="37"/>
        <v/>
      </c>
      <c r="L247" s="100"/>
      <c r="M247" s="156" t="str">
        <f t="shared" ca="1" si="38"/>
        <v/>
      </c>
      <c r="N247" s="49"/>
      <c r="O247" s="49"/>
      <c r="P247" s="105" t="str">
        <f t="shared" si="39"/>
        <v/>
      </c>
      <c r="Q247" s="155" t="str">
        <f t="shared" si="40"/>
        <v/>
      </c>
      <c r="R247" s="100"/>
      <c r="S247" s="156" t="str">
        <f t="shared" ca="1" si="41"/>
        <v/>
      </c>
      <c r="T247" s="101"/>
      <c r="U247" s="101"/>
      <c r="V247" s="101"/>
      <c r="W247" s="144"/>
    </row>
    <row r="248" spans="1:23" ht="24" customHeight="1" x14ac:dyDescent="0.25">
      <c r="A248" s="90">
        <v>174</v>
      </c>
      <c r="B248" s="19" t="str">
        <f>IFERROR(IF(VLOOKUP(T_SuiviTw[[#This Row],[NumL]],T_suiviDi[#Data],COLUMN(T_suiviDi[[#This Row],[Nom]]),FALSE)&lt;&gt;"",VLOOKUP(T_SuiviTw[[#This Row],[NumL]],T_suiviDi[#Data],COLUMN(T_suiviDi[[#This Row],[Nom]]),FALSE),""),"")</f>
        <v/>
      </c>
      <c r="C248" s="19" t="str">
        <f>IFERROR(IF(VLOOKUP(T_SuiviTw[[#This Row],[NumL]],T_suiviDi[#Data],COLUMN(T_suiviDi[[#This Row],[Prénom]]),FALSE)&lt;&gt;"",VLOOKUP(T_SuiviTw[[#This Row],[NumL]],T_suiviDi[#Data],COLUMN(T_suiviDi[[#This Row],[Prénom]]),FALSE),""),"")</f>
        <v/>
      </c>
      <c r="D248" s="20" t="str">
        <f>IFERROR(IF(VLOOKUP(T_SuiviTw[[#This Row],[NumL]],T_suiviDi[#Data],COLUMN(T_suiviDi[[#This Row],[Email]]),FALSE)&lt;&gt;"",VLOOKUP(T_SuiviTw[[#This Row],[NumL]],T_suiviDi[#Data],COLUMN(T_suiviDi[[#This Row],[Email]]),FALSE),""),"")</f>
        <v/>
      </c>
      <c r="E248" s="274" t="str">
        <f>IFERROR(IF(VLOOKUP(T_SuiviTw[[#This Row],[NumL]],T_suiviDi[#Data],COLUMN(T_suiviDi[[#This Row],[Nom1]]),FALSE)&lt;&gt;"",VLOOKUP(T_SuiviTw[[#This Row],[NumL]],T_suiviDi[#Data],COLUMN(T_suiviDi[[#This Row],[Nom1]]),FALSE),""),"")</f>
        <v/>
      </c>
      <c r="F248" s="274" t="str">
        <f>IFERROR(IF(VLOOKUP(T_SuiviTw[[#This Row],[NumL]],T_suiviDi[#Data],COLUMN(T_suiviDi[[#This Row],[Prénom1]]),FALSE)&lt;&gt;"",VLOOKUP(T_SuiviTw[[#This Row],[NumL]],T_suiviDi[#Data],COLUMN(T_suiviDi[[#This Row],[Prénom1]]),FALSE),""),"")</f>
        <v/>
      </c>
      <c r="G248" s="274" t="str">
        <f>IFERROR(IF(VLOOKUP(T_SuiviTw[[#This Row],[NumL]],T_suiviDi[#Data],COLUMN(T_suiviDi[[#This Row],[Email1]]),FALSE)&lt;&gt;"",VLOOKUP(T_SuiviTw[[#This Row],[NumL]],T_suiviDi[#Data],COLUMN(T_suiviDi[[#This Row],[Email1]]),FALSE),""),"")</f>
        <v/>
      </c>
      <c r="H248" s="275" t="str">
        <f t="shared" si="35"/>
        <v/>
      </c>
      <c r="I248" s="100"/>
      <c r="J248" s="156" t="str">
        <f t="shared" si="36"/>
        <v/>
      </c>
      <c r="K248" s="155" t="str">
        <f t="shared" si="37"/>
        <v/>
      </c>
      <c r="L248" s="100"/>
      <c r="M248" s="156" t="str">
        <f t="shared" ca="1" si="38"/>
        <v/>
      </c>
      <c r="N248" s="49"/>
      <c r="O248" s="49"/>
      <c r="P248" s="105" t="str">
        <f t="shared" si="39"/>
        <v/>
      </c>
      <c r="Q248" s="155" t="str">
        <f t="shared" si="40"/>
        <v/>
      </c>
      <c r="R248" s="100"/>
      <c r="S248" s="156" t="str">
        <f t="shared" ca="1" si="41"/>
        <v/>
      </c>
      <c r="T248" s="101"/>
      <c r="U248" s="101"/>
      <c r="V248" s="101"/>
      <c r="W248" s="144"/>
    </row>
    <row r="249" spans="1:23" ht="24" customHeight="1" x14ac:dyDescent="0.25">
      <c r="A249" s="90">
        <v>49</v>
      </c>
      <c r="B249" s="19" t="str">
        <f>IFERROR(IF(VLOOKUP(T_SuiviTw[[#This Row],[NumL]],T_suiviDi[#Data],COLUMN(T_suiviDi[[#This Row],[Nom]]),FALSE)&lt;&gt;"",VLOOKUP(T_SuiviTw[[#This Row],[NumL]],T_suiviDi[#Data],COLUMN(T_suiviDi[[#This Row],[Nom]]),FALSE),""),"")</f>
        <v/>
      </c>
      <c r="C249" s="19" t="str">
        <f>IFERROR(IF(VLOOKUP(T_SuiviTw[[#This Row],[NumL]],T_suiviDi[#Data],COLUMN(T_suiviDi[[#This Row],[Prénom]]),FALSE)&lt;&gt;"",VLOOKUP(T_SuiviTw[[#This Row],[NumL]],T_suiviDi[#Data],COLUMN(T_suiviDi[[#This Row],[Prénom]]),FALSE),""),"")</f>
        <v/>
      </c>
      <c r="D249" s="20" t="str">
        <f>IFERROR(IF(VLOOKUP(T_SuiviTw[[#This Row],[NumL]],T_suiviDi[#Data],COLUMN(T_suiviDi[[#This Row],[Email]]),FALSE)&lt;&gt;"",VLOOKUP(T_SuiviTw[[#This Row],[NumL]],T_suiviDi[#Data],COLUMN(T_suiviDi[[#This Row],[Email]]),FALSE),""),"")</f>
        <v/>
      </c>
      <c r="E249" s="274" t="str">
        <f>IFERROR(IF(VLOOKUP(T_SuiviTw[[#This Row],[NumL]],T_suiviDi[#Data],COLUMN(T_suiviDi[[#This Row],[Nom1]]),FALSE)&lt;&gt;"",VLOOKUP(T_SuiviTw[[#This Row],[NumL]],T_suiviDi[#Data],COLUMN(T_suiviDi[[#This Row],[Nom1]]),FALSE),""),"")</f>
        <v/>
      </c>
      <c r="F249" s="274" t="str">
        <f>IFERROR(IF(VLOOKUP(T_SuiviTw[[#This Row],[NumL]],T_suiviDi[#Data],COLUMN(T_suiviDi[[#This Row],[Prénom1]]),FALSE)&lt;&gt;"",VLOOKUP(T_SuiviTw[[#This Row],[NumL]],T_suiviDi[#Data],COLUMN(T_suiviDi[[#This Row],[Prénom1]]),FALSE),""),"")</f>
        <v/>
      </c>
      <c r="G249" s="274" t="str">
        <f>IFERROR(IF(VLOOKUP(T_SuiviTw[[#This Row],[NumL]],T_suiviDi[#Data],COLUMN(T_suiviDi[[#This Row],[Email1]]),FALSE)&lt;&gt;"",VLOOKUP(T_SuiviTw[[#This Row],[NumL]],T_suiviDi[#Data],COLUMN(T_suiviDi[[#This Row],[Email1]]),FALSE),""),"")</f>
        <v/>
      </c>
      <c r="H249" s="275" t="str">
        <f t="shared" si="35"/>
        <v/>
      </c>
      <c r="I249" s="100"/>
      <c r="J249" s="156" t="str">
        <f t="shared" si="36"/>
        <v/>
      </c>
      <c r="K249" s="155" t="str">
        <f t="shared" si="37"/>
        <v/>
      </c>
      <c r="L249" s="100"/>
      <c r="M249" s="156" t="str">
        <f t="shared" ca="1" si="38"/>
        <v/>
      </c>
      <c r="N249" s="49"/>
      <c r="O249" s="49"/>
      <c r="P249" s="105" t="str">
        <f t="shared" si="39"/>
        <v/>
      </c>
      <c r="Q249" s="155" t="str">
        <f t="shared" si="40"/>
        <v/>
      </c>
      <c r="R249" s="100"/>
      <c r="S249" s="156" t="str">
        <f t="shared" ca="1" si="41"/>
        <v/>
      </c>
      <c r="T249" s="101"/>
      <c r="U249" s="101"/>
      <c r="V249" s="101"/>
      <c r="W249" s="144"/>
    </row>
    <row r="250" spans="1:23" ht="24" customHeight="1" x14ac:dyDescent="0.25">
      <c r="A250" s="90">
        <v>246</v>
      </c>
      <c r="B250" s="19" t="str">
        <f>IFERROR(IF(VLOOKUP(T_SuiviTw[[#This Row],[NumL]],T_suiviDi[#Data],COLUMN(T_suiviDi[[#This Row],[Nom]]),FALSE)&lt;&gt;"",VLOOKUP(T_SuiviTw[[#This Row],[NumL]],T_suiviDi[#Data],COLUMN(T_suiviDi[[#This Row],[Nom]]),FALSE),""),"")</f>
        <v/>
      </c>
      <c r="C250" s="19" t="str">
        <f>IFERROR(IF(VLOOKUP(T_SuiviTw[[#This Row],[NumL]],T_suiviDi[#Data],COLUMN(T_suiviDi[[#This Row],[Prénom]]),FALSE)&lt;&gt;"",VLOOKUP(T_SuiviTw[[#This Row],[NumL]],T_suiviDi[#Data],COLUMN(T_suiviDi[[#This Row],[Prénom]]),FALSE),""),"")</f>
        <v/>
      </c>
      <c r="D250" s="20" t="str">
        <f>IFERROR(IF(VLOOKUP(T_SuiviTw[[#This Row],[NumL]],T_suiviDi[#Data],COLUMN(T_suiviDi[[#This Row],[Email]]),FALSE)&lt;&gt;"",VLOOKUP(T_SuiviTw[[#This Row],[NumL]],T_suiviDi[#Data],COLUMN(T_suiviDi[[#This Row],[Email]]),FALSE),""),"")</f>
        <v/>
      </c>
      <c r="E250" s="274" t="str">
        <f>IFERROR(IF(VLOOKUP(T_SuiviTw[[#This Row],[NumL]],T_suiviDi[#Data],COLUMN(T_suiviDi[[#This Row],[Nom1]]),FALSE)&lt;&gt;"",VLOOKUP(T_SuiviTw[[#This Row],[NumL]],T_suiviDi[#Data],COLUMN(T_suiviDi[[#This Row],[Nom1]]),FALSE),""),"")</f>
        <v/>
      </c>
      <c r="F250" s="274" t="str">
        <f>IFERROR(IF(VLOOKUP(T_SuiviTw[[#This Row],[NumL]],T_suiviDi[#Data],COLUMN(T_suiviDi[[#This Row],[Prénom1]]),FALSE)&lt;&gt;"",VLOOKUP(T_SuiviTw[[#This Row],[NumL]],T_suiviDi[#Data],COLUMN(T_suiviDi[[#This Row],[Prénom1]]),FALSE),""),"")</f>
        <v/>
      </c>
      <c r="G250" s="274" t="str">
        <f>IFERROR(IF(VLOOKUP(T_SuiviTw[[#This Row],[NumL]],T_suiviDi[#Data],COLUMN(T_suiviDi[[#This Row],[Email1]]),FALSE)&lt;&gt;"",VLOOKUP(T_SuiviTw[[#This Row],[NumL]],T_suiviDi[#Data],COLUMN(T_suiviDi[[#This Row],[Email1]]),FALSE),""),"")</f>
        <v/>
      </c>
      <c r="H250" s="275" t="str">
        <f t="shared" si="35"/>
        <v/>
      </c>
      <c r="I250" s="100"/>
      <c r="J250" s="156" t="str">
        <f t="shared" si="36"/>
        <v/>
      </c>
      <c r="K250" s="155" t="str">
        <f t="shared" si="37"/>
        <v/>
      </c>
      <c r="L250" s="100"/>
      <c r="M250" s="156" t="str">
        <f t="shared" ca="1" si="38"/>
        <v/>
      </c>
      <c r="N250" s="49"/>
      <c r="O250" s="49"/>
      <c r="P250" s="105" t="str">
        <f t="shared" si="39"/>
        <v/>
      </c>
      <c r="Q250" s="155" t="str">
        <f t="shared" si="40"/>
        <v/>
      </c>
      <c r="R250" s="100"/>
      <c r="S250" s="156" t="str">
        <f t="shared" ca="1" si="41"/>
        <v/>
      </c>
      <c r="T250" s="101"/>
      <c r="U250" s="101"/>
      <c r="V250" s="101"/>
      <c r="W250" s="144"/>
    </row>
    <row r="251" spans="1:23" ht="24" customHeight="1" x14ac:dyDescent="0.25">
      <c r="A251" s="90">
        <v>138</v>
      </c>
      <c r="B251" s="19" t="str">
        <f>IFERROR(IF(VLOOKUP(T_SuiviTw[[#This Row],[NumL]],T_suiviDi[#Data],COLUMN(T_suiviDi[[#This Row],[Nom]]),FALSE)&lt;&gt;"",VLOOKUP(T_SuiviTw[[#This Row],[NumL]],T_suiviDi[#Data],COLUMN(T_suiviDi[[#This Row],[Nom]]),FALSE),""),"")</f>
        <v/>
      </c>
      <c r="C251" s="19" t="str">
        <f>IFERROR(IF(VLOOKUP(T_SuiviTw[[#This Row],[NumL]],T_suiviDi[#Data],COLUMN(T_suiviDi[[#This Row],[Prénom]]),FALSE)&lt;&gt;"",VLOOKUP(T_SuiviTw[[#This Row],[NumL]],T_suiviDi[#Data],COLUMN(T_suiviDi[[#This Row],[Prénom]]),FALSE),""),"")</f>
        <v/>
      </c>
      <c r="D251" s="20" t="str">
        <f>IFERROR(IF(VLOOKUP(T_SuiviTw[[#This Row],[NumL]],T_suiviDi[#Data],COLUMN(T_suiviDi[[#This Row],[Email]]),FALSE)&lt;&gt;"",VLOOKUP(T_SuiviTw[[#This Row],[NumL]],T_suiviDi[#Data],COLUMN(T_suiviDi[[#This Row],[Email]]),FALSE),""),"")</f>
        <v/>
      </c>
      <c r="E251" s="274" t="str">
        <f>IFERROR(IF(VLOOKUP(T_SuiviTw[[#This Row],[NumL]],T_suiviDi[#Data],COLUMN(T_suiviDi[[#This Row],[Nom1]]),FALSE)&lt;&gt;"",VLOOKUP(T_SuiviTw[[#This Row],[NumL]],T_suiviDi[#Data],COLUMN(T_suiviDi[[#This Row],[Nom1]]),FALSE),""),"")</f>
        <v/>
      </c>
      <c r="F251" s="274" t="str">
        <f>IFERROR(IF(VLOOKUP(T_SuiviTw[[#This Row],[NumL]],T_suiviDi[#Data],COLUMN(T_suiviDi[[#This Row],[Prénom1]]),FALSE)&lt;&gt;"",VLOOKUP(T_SuiviTw[[#This Row],[NumL]],T_suiviDi[#Data],COLUMN(T_suiviDi[[#This Row],[Prénom1]]),FALSE),""),"")</f>
        <v/>
      </c>
      <c r="G251" s="274" t="str">
        <f>IFERROR(IF(VLOOKUP(T_SuiviTw[[#This Row],[NumL]],T_suiviDi[#Data],COLUMN(T_suiviDi[[#This Row],[Email1]]),FALSE)&lt;&gt;"",VLOOKUP(T_SuiviTw[[#This Row],[NumL]],T_suiviDi[#Data],COLUMN(T_suiviDi[[#This Row],[Email1]]),FALSE),""),"")</f>
        <v/>
      </c>
      <c r="H251" s="275" t="str">
        <f t="shared" si="35"/>
        <v/>
      </c>
      <c r="I251" s="100"/>
      <c r="J251" s="156" t="str">
        <f t="shared" si="36"/>
        <v/>
      </c>
      <c r="K251" s="155" t="str">
        <f t="shared" si="37"/>
        <v/>
      </c>
      <c r="L251" s="100"/>
      <c r="M251" s="156" t="str">
        <f t="shared" ca="1" si="38"/>
        <v/>
      </c>
      <c r="N251" s="49"/>
      <c r="O251" s="49"/>
      <c r="P251" s="105" t="str">
        <f t="shared" si="39"/>
        <v/>
      </c>
      <c r="Q251" s="155" t="str">
        <f t="shared" si="40"/>
        <v/>
      </c>
      <c r="R251" s="100"/>
      <c r="S251" s="156" t="str">
        <f t="shared" ca="1" si="41"/>
        <v/>
      </c>
      <c r="T251" s="101"/>
      <c r="U251" s="101"/>
      <c r="V251" s="101"/>
      <c r="W251" s="144"/>
    </row>
    <row r="252" spans="1:23" ht="24" customHeight="1" x14ac:dyDescent="0.25">
      <c r="A252" s="90">
        <v>85</v>
      </c>
      <c r="B252" s="19" t="str">
        <f>IFERROR(IF(VLOOKUP(T_SuiviTw[[#This Row],[NumL]],T_suiviDi[#Data],COLUMN(T_suiviDi[[#This Row],[Nom]]),FALSE)&lt;&gt;"",VLOOKUP(T_SuiviTw[[#This Row],[NumL]],T_suiviDi[#Data],COLUMN(T_suiviDi[[#This Row],[Nom]]),FALSE),""),"")</f>
        <v/>
      </c>
      <c r="C252" s="19" t="str">
        <f>IFERROR(IF(VLOOKUP(T_SuiviTw[[#This Row],[NumL]],T_suiviDi[#Data],COLUMN(T_suiviDi[[#This Row],[Prénom]]),FALSE)&lt;&gt;"",VLOOKUP(T_SuiviTw[[#This Row],[NumL]],T_suiviDi[#Data],COLUMN(T_suiviDi[[#This Row],[Prénom]]),FALSE),""),"")</f>
        <v/>
      </c>
      <c r="D252" s="20" t="str">
        <f>IFERROR(IF(VLOOKUP(T_SuiviTw[[#This Row],[NumL]],T_suiviDi[#Data],COLUMN(T_suiviDi[[#This Row],[Email]]),FALSE)&lt;&gt;"",VLOOKUP(T_SuiviTw[[#This Row],[NumL]],T_suiviDi[#Data],COLUMN(T_suiviDi[[#This Row],[Email]]),FALSE),""),"")</f>
        <v/>
      </c>
      <c r="E252" s="274" t="str">
        <f>IFERROR(IF(VLOOKUP(T_SuiviTw[[#This Row],[NumL]],T_suiviDi[#Data],COLUMN(T_suiviDi[[#This Row],[Nom1]]),FALSE)&lt;&gt;"",VLOOKUP(T_SuiviTw[[#This Row],[NumL]],T_suiviDi[#Data],COLUMN(T_suiviDi[[#This Row],[Nom1]]),FALSE),""),"")</f>
        <v/>
      </c>
      <c r="F252" s="274" t="str">
        <f>IFERROR(IF(VLOOKUP(T_SuiviTw[[#This Row],[NumL]],T_suiviDi[#Data],COLUMN(T_suiviDi[[#This Row],[Prénom1]]),FALSE)&lt;&gt;"",VLOOKUP(T_SuiviTw[[#This Row],[NumL]],T_suiviDi[#Data],COLUMN(T_suiviDi[[#This Row],[Prénom1]]),FALSE),""),"")</f>
        <v/>
      </c>
      <c r="G252" s="274" t="str">
        <f>IFERROR(IF(VLOOKUP(T_SuiviTw[[#This Row],[NumL]],T_suiviDi[#Data],COLUMN(T_suiviDi[[#This Row],[Email1]]),FALSE)&lt;&gt;"",VLOOKUP(T_SuiviTw[[#This Row],[NumL]],T_suiviDi[#Data],COLUMN(T_suiviDi[[#This Row],[Email1]]),FALSE),""),"")</f>
        <v/>
      </c>
      <c r="H252" s="275" t="str">
        <f t="shared" si="35"/>
        <v/>
      </c>
      <c r="I252" s="100"/>
      <c r="J252" s="156" t="str">
        <f t="shared" si="36"/>
        <v/>
      </c>
      <c r="K252" s="155" t="str">
        <f t="shared" si="37"/>
        <v/>
      </c>
      <c r="L252" s="100"/>
      <c r="M252" s="156" t="str">
        <f t="shared" ca="1" si="38"/>
        <v/>
      </c>
      <c r="N252" s="49"/>
      <c r="O252" s="49"/>
      <c r="P252" s="105" t="str">
        <f t="shared" si="39"/>
        <v/>
      </c>
      <c r="Q252" s="155" t="str">
        <f t="shared" si="40"/>
        <v/>
      </c>
      <c r="R252" s="100"/>
      <c r="S252" s="156" t="str">
        <f t="shared" ca="1" si="41"/>
        <v/>
      </c>
      <c r="T252" s="101"/>
      <c r="U252" s="101"/>
      <c r="V252" s="101"/>
      <c r="W252" s="144"/>
    </row>
    <row r="253" spans="1:23" ht="24" customHeight="1" x14ac:dyDescent="0.25">
      <c r="A253" s="90">
        <v>203</v>
      </c>
      <c r="B253" s="19" t="str">
        <f>IFERROR(IF(VLOOKUP(T_SuiviTw[[#This Row],[NumL]],T_suiviDi[#Data],COLUMN(T_suiviDi[[#This Row],[Nom]]),FALSE)&lt;&gt;"",VLOOKUP(T_SuiviTw[[#This Row],[NumL]],T_suiviDi[#Data],COLUMN(T_suiviDi[[#This Row],[Nom]]),FALSE),""),"")</f>
        <v/>
      </c>
      <c r="C253" s="19" t="str">
        <f>IFERROR(IF(VLOOKUP(T_SuiviTw[[#This Row],[NumL]],T_suiviDi[#Data],COLUMN(T_suiviDi[[#This Row],[Prénom]]),FALSE)&lt;&gt;"",VLOOKUP(T_SuiviTw[[#This Row],[NumL]],T_suiviDi[#Data],COLUMN(T_suiviDi[[#This Row],[Prénom]]),FALSE),""),"")</f>
        <v/>
      </c>
      <c r="D253" s="20" t="str">
        <f>IFERROR(IF(VLOOKUP(T_SuiviTw[[#This Row],[NumL]],T_suiviDi[#Data],COLUMN(T_suiviDi[[#This Row],[Email]]),FALSE)&lt;&gt;"",VLOOKUP(T_SuiviTw[[#This Row],[NumL]],T_suiviDi[#Data],COLUMN(T_suiviDi[[#This Row],[Email]]),FALSE),""),"")</f>
        <v/>
      </c>
      <c r="E253" s="274" t="str">
        <f>IFERROR(IF(VLOOKUP(T_SuiviTw[[#This Row],[NumL]],T_suiviDi[#Data],COLUMN(T_suiviDi[[#This Row],[Nom1]]),FALSE)&lt;&gt;"",VLOOKUP(T_SuiviTw[[#This Row],[NumL]],T_suiviDi[#Data],COLUMN(T_suiviDi[[#This Row],[Nom1]]),FALSE),""),"")</f>
        <v/>
      </c>
      <c r="F253" s="274" t="str">
        <f>IFERROR(IF(VLOOKUP(T_SuiviTw[[#This Row],[NumL]],T_suiviDi[#Data],COLUMN(T_suiviDi[[#This Row],[Prénom1]]),FALSE)&lt;&gt;"",VLOOKUP(T_SuiviTw[[#This Row],[NumL]],T_suiviDi[#Data],COLUMN(T_suiviDi[[#This Row],[Prénom1]]),FALSE),""),"")</f>
        <v/>
      </c>
      <c r="G253" s="274" t="str">
        <f>IFERROR(IF(VLOOKUP(T_SuiviTw[[#This Row],[NumL]],T_suiviDi[#Data],COLUMN(T_suiviDi[[#This Row],[Email1]]),FALSE)&lt;&gt;"",VLOOKUP(T_SuiviTw[[#This Row],[NumL]],T_suiviDi[#Data],COLUMN(T_suiviDi[[#This Row],[Email1]]),FALSE),""),"")</f>
        <v/>
      </c>
      <c r="H253" s="275" t="str">
        <f t="shared" si="35"/>
        <v/>
      </c>
      <c r="I253" s="100"/>
      <c r="J253" s="156" t="str">
        <f t="shared" si="36"/>
        <v/>
      </c>
      <c r="K253" s="155" t="str">
        <f t="shared" si="37"/>
        <v/>
      </c>
      <c r="L253" s="100"/>
      <c r="M253" s="156" t="str">
        <f t="shared" ca="1" si="38"/>
        <v/>
      </c>
      <c r="N253" s="49"/>
      <c r="O253" s="49"/>
      <c r="P253" s="105" t="str">
        <f t="shared" si="39"/>
        <v/>
      </c>
      <c r="Q253" s="155" t="str">
        <f t="shared" si="40"/>
        <v/>
      </c>
      <c r="R253" s="100"/>
      <c r="S253" s="156" t="str">
        <f t="shared" ca="1" si="41"/>
        <v/>
      </c>
      <c r="T253" s="101"/>
      <c r="U253" s="101"/>
      <c r="V253" s="101"/>
      <c r="W253" s="144"/>
    </row>
    <row r="254" spans="1:23" ht="24" customHeight="1" x14ac:dyDescent="0.25">
      <c r="A254" s="90">
        <v>308</v>
      </c>
      <c r="B254" s="139" t="str">
        <f>IFERROR(IF(VLOOKUP(T_SuiviTw[[#This Row],[NumL]],T_suiviDi[#Data],COLUMN(T_suiviDi[[#This Row],[Nom]]),FALSE)&lt;&gt;"",VLOOKUP(T_SuiviTw[[#This Row],[NumL]],T_suiviDi[#Data],COLUMN(T_suiviDi[[#This Row],[Nom]]),FALSE),""),"")</f>
        <v/>
      </c>
      <c r="C254" s="139" t="str">
        <f>IFERROR(IF(VLOOKUP(T_SuiviTw[[#This Row],[NumL]],T_suiviDi[#Data],COLUMN(T_suiviDi[[#This Row],[Prénom]]),FALSE)&lt;&gt;"",VLOOKUP(T_SuiviTw[[#This Row],[NumL]],T_suiviDi[#Data],COLUMN(T_suiviDi[[#This Row],[Prénom]]),FALSE),""),"")</f>
        <v/>
      </c>
      <c r="D254" s="140" t="str">
        <f>IFERROR(IF(VLOOKUP(T_SuiviTw[[#This Row],[NumL]],T_suiviDi[#Data],COLUMN(T_suiviDi[[#This Row],[Email]]),FALSE)&lt;&gt;"",VLOOKUP(T_SuiviTw[[#This Row],[NumL]],T_suiviDi[#Data],COLUMN(T_suiviDi[[#This Row],[Email]]),FALSE),""),"")</f>
        <v/>
      </c>
      <c r="E254" s="141" t="str">
        <f>IFERROR(IF(VLOOKUP(T_SuiviTw[[#This Row],[NumL]],T_suiviDi[#Data],COLUMN(T_suiviDi[[#This Row],[Nom1]]),FALSE)&lt;&gt;"",VLOOKUP(T_SuiviTw[[#This Row],[NumL]],T_suiviDi[#Data],COLUMN(T_suiviDi[[#This Row],[Nom1]]),FALSE),""),"")</f>
        <v/>
      </c>
      <c r="F254" s="141" t="str">
        <f>IFERROR(IF(VLOOKUP(T_SuiviTw[[#This Row],[NumL]],T_suiviDi[#Data],COLUMN(T_suiviDi[[#This Row],[Prénom1]]),FALSE)&lt;&gt;"",VLOOKUP(T_SuiviTw[[#This Row],[NumL]],T_suiviDi[#Data],COLUMN(T_suiviDi[[#This Row],[Prénom1]]),FALSE),""),"")</f>
        <v/>
      </c>
      <c r="G254" s="141" t="str">
        <f>IFERROR(IF(VLOOKUP(T_SuiviTw[[#This Row],[NumL]],T_suiviDi[#Data],COLUMN(T_suiviDi[[#This Row],[Email1]]),FALSE)&lt;&gt;"",VLOOKUP(T_SuiviTw[[#This Row],[NumL]],T_suiviDi[#Data],COLUMN(T_suiviDi[[#This Row],[Email1]]),FALSE),""),"")</f>
        <v/>
      </c>
      <c r="H254" s="155" t="str">
        <f t="shared" si="35"/>
        <v/>
      </c>
      <c r="I254" s="100"/>
      <c r="J254" s="156" t="str">
        <f t="shared" si="36"/>
        <v/>
      </c>
      <c r="K254" s="155" t="str">
        <f t="shared" si="37"/>
        <v/>
      </c>
      <c r="L254" s="100"/>
      <c r="M254" s="156" t="str">
        <f t="shared" ca="1" si="38"/>
        <v/>
      </c>
      <c r="N254" s="49"/>
      <c r="O254" s="49"/>
      <c r="P254" s="105" t="str">
        <f t="shared" si="39"/>
        <v/>
      </c>
      <c r="Q254" s="155" t="str">
        <f t="shared" si="40"/>
        <v/>
      </c>
      <c r="R254" s="100"/>
      <c r="S254" s="156" t="str">
        <f t="shared" ca="1" si="41"/>
        <v/>
      </c>
      <c r="T254" s="101"/>
      <c r="U254" s="101"/>
      <c r="V254" s="101"/>
      <c r="W254" s="144"/>
    </row>
    <row r="255" spans="1:23" ht="24" customHeight="1" x14ac:dyDescent="0.25">
      <c r="A255" s="90">
        <v>320</v>
      </c>
      <c r="B255" s="139" t="str">
        <f>IFERROR(IF(VLOOKUP(T_SuiviTw[[#This Row],[NumL]],T_suiviDi[#Data],COLUMN(T_suiviDi[[#This Row],[Nom]]),FALSE)&lt;&gt;"",VLOOKUP(T_SuiviTw[[#This Row],[NumL]],T_suiviDi[#Data],COLUMN(T_suiviDi[[#This Row],[Nom]]),FALSE),""),"")</f>
        <v/>
      </c>
      <c r="C255" s="139" t="str">
        <f>IFERROR(IF(VLOOKUP(T_SuiviTw[[#This Row],[NumL]],T_suiviDi[#Data],COLUMN(T_suiviDi[[#This Row],[Prénom]]),FALSE)&lt;&gt;"",VLOOKUP(T_SuiviTw[[#This Row],[NumL]],T_suiviDi[#Data],COLUMN(T_suiviDi[[#This Row],[Prénom]]),FALSE),""),"")</f>
        <v/>
      </c>
      <c r="D255" s="140" t="str">
        <f>IFERROR(IF(VLOOKUP(T_SuiviTw[[#This Row],[NumL]],T_suiviDi[#Data],COLUMN(T_suiviDi[[#This Row],[Email]]),FALSE)&lt;&gt;"",VLOOKUP(T_SuiviTw[[#This Row],[NumL]],T_suiviDi[#Data],COLUMN(T_suiviDi[[#This Row],[Email]]),FALSE),""),"")</f>
        <v/>
      </c>
      <c r="E255" s="141" t="str">
        <f>IFERROR(IF(VLOOKUP(T_SuiviTw[[#This Row],[NumL]],T_suiviDi[#Data],COLUMN(T_suiviDi[[#This Row],[Nom1]]),FALSE)&lt;&gt;"",VLOOKUP(T_SuiviTw[[#This Row],[NumL]],T_suiviDi[#Data],COLUMN(T_suiviDi[[#This Row],[Nom1]]),FALSE),""),"")</f>
        <v/>
      </c>
      <c r="F255" s="141" t="str">
        <f>IFERROR(IF(VLOOKUP(T_SuiviTw[[#This Row],[NumL]],T_suiviDi[#Data],COLUMN(T_suiviDi[[#This Row],[Prénom1]]),FALSE)&lt;&gt;"",VLOOKUP(T_SuiviTw[[#This Row],[NumL]],T_suiviDi[#Data],COLUMN(T_suiviDi[[#This Row],[Prénom1]]),FALSE),""),"")</f>
        <v/>
      </c>
      <c r="G255" s="141" t="str">
        <f>IFERROR(IF(VLOOKUP(T_SuiviTw[[#This Row],[NumL]],T_suiviDi[#Data],COLUMN(T_suiviDi[[#This Row],[Email1]]),FALSE)&lt;&gt;"",VLOOKUP(T_SuiviTw[[#This Row],[NumL]],T_suiviDi[#Data],COLUMN(T_suiviDi[[#This Row],[Email1]]),FALSE),""),"")</f>
        <v/>
      </c>
      <c r="H255" s="155" t="str">
        <f t="shared" si="35"/>
        <v/>
      </c>
      <c r="I255" s="100"/>
      <c r="J255" s="156" t="str">
        <f t="shared" si="36"/>
        <v/>
      </c>
      <c r="K255" s="155" t="str">
        <f t="shared" si="37"/>
        <v/>
      </c>
      <c r="L255" s="100"/>
      <c r="M255" s="156" t="str">
        <f t="shared" ca="1" si="38"/>
        <v/>
      </c>
      <c r="N255" s="49"/>
      <c r="O255" s="49"/>
      <c r="P255" s="105" t="str">
        <f t="shared" si="39"/>
        <v/>
      </c>
      <c r="Q255" s="155" t="str">
        <f t="shared" si="40"/>
        <v/>
      </c>
      <c r="R255" s="100"/>
      <c r="S255" s="156" t="str">
        <f t="shared" ca="1" si="41"/>
        <v/>
      </c>
      <c r="T255" s="101"/>
      <c r="U255" s="101"/>
      <c r="V255" s="101"/>
      <c r="W255" s="144"/>
    </row>
    <row r="256" spans="1:23" ht="24" customHeight="1" x14ac:dyDescent="0.25">
      <c r="A256" s="90">
        <v>274</v>
      </c>
      <c r="B256" s="19" t="str">
        <f>IFERROR(IF(VLOOKUP(T_SuiviTw[[#This Row],[NumL]],T_suiviDi[#Data],COLUMN(T_suiviDi[[#This Row],[Nom]]),FALSE)&lt;&gt;"",VLOOKUP(T_SuiviTw[[#This Row],[NumL]],T_suiviDi[#Data],COLUMN(T_suiviDi[[#This Row],[Nom]]),FALSE),""),"")</f>
        <v/>
      </c>
      <c r="C256" s="19" t="str">
        <f>IFERROR(IF(VLOOKUP(T_SuiviTw[[#This Row],[NumL]],T_suiviDi[#Data],COLUMN(T_suiviDi[[#This Row],[Prénom]]),FALSE)&lt;&gt;"",VLOOKUP(T_SuiviTw[[#This Row],[NumL]],T_suiviDi[#Data],COLUMN(T_suiviDi[[#This Row],[Prénom]]),FALSE),""),"")</f>
        <v/>
      </c>
      <c r="D256" s="20" t="str">
        <f>IFERROR(IF(VLOOKUP(T_SuiviTw[[#This Row],[NumL]],T_suiviDi[#Data],COLUMN(T_suiviDi[[#This Row],[Email]]),FALSE)&lt;&gt;"",VLOOKUP(T_SuiviTw[[#This Row],[NumL]],T_suiviDi[#Data],COLUMN(T_suiviDi[[#This Row],[Email]]),FALSE),""),"")</f>
        <v/>
      </c>
      <c r="E256" s="274" t="str">
        <f>IFERROR(IF(VLOOKUP(T_SuiviTw[[#This Row],[NumL]],T_suiviDi[#Data],COLUMN(T_suiviDi[[#This Row],[Nom1]]),FALSE)&lt;&gt;"",VLOOKUP(T_SuiviTw[[#This Row],[NumL]],T_suiviDi[#Data],COLUMN(T_suiviDi[[#This Row],[Nom1]]),FALSE),""),"")</f>
        <v/>
      </c>
      <c r="F256" s="274" t="str">
        <f>IFERROR(IF(VLOOKUP(T_SuiviTw[[#This Row],[NumL]],T_suiviDi[#Data],COLUMN(T_suiviDi[[#This Row],[Prénom1]]),FALSE)&lt;&gt;"",VLOOKUP(T_SuiviTw[[#This Row],[NumL]],T_suiviDi[#Data],COLUMN(T_suiviDi[[#This Row],[Prénom1]]),FALSE),""),"")</f>
        <v/>
      </c>
      <c r="G256" s="274" t="str">
        <f>IFERROR(IF(VLOOKUP(T_SuiviTw[[#This Row],[NumL]],T_suiviDi[#Data],COLUMN(T_suiviDi[[#This Row],[Email1]]),FALSE)&lt;&gt;"",VLOOKUP(T_SuiviTw[[#This Row],[NumL]],T_suiviDi[#Data],COLUMN(T_suiviDi[[#This Row],[Email1]]),FALSE),""),"")</f>
        <v/>
      </c>
      <c r="H256" s="275" t="str">
        <f t="shared" si="35"/>
        <v/>
      </c>
      <c r="I256" s="100"/>
      <c r="J256" s="156" t="str">
        <f t="shared" si="36"/>
        <v/>
      </c>
      <c r="K256" s="155" t="str">
        <f t="shared" si="37"/>
        <v/>
      </c>
      <c r="L256" s="100"/>
      <c r="M256" s="156" t="str">
        <f t="shared" ca="1" si="38"/>
        <v/>
      </c>
      <c r="N256" s="49"/>
      <c r="O256" s="49"/>
      <c r="P256" s="105" t="str">
        <f t="shared" si="39"/>
        <v/>
      </c>
      <c r="Q256" s="155" t="str">
        <f t="shared" si="40"/>
        <v/>
      </c>
      <c r="R256" s="100"/>
      <c r="S256" s="156" t="str">
        <f t="shared" ca="1" si="41"/>
        <v/>
      </c>
      <c r="T256" s="101"/>
      <c r="U256" s="101"/>
      <c r="V256" s="101"/>
      <c r="W256" s="144"/>
    </row>
    <row r="257" spans="1:23" ht="24" customHeight="1" x14ac:dyDescent="0.25">
      <c r="A257" s="90">
        <v>40</v>
      </c>
      <c r="B257" s="19" t="str">
        <f>IFERROR(IF(VLOOKUP(T_SuiviTw[[#This Row],[NumL]],T_suiviDi[#Data],COLUMN(T_suiviDi[[#This Row],[Nom]]),FALSE)&lt;&gt;"",VLOOKUP(T_SuiviTw[[#This Row],[NumL]],T_suiviDi[#Data],COLUMN(T_suiviDi[[#This Row],[Nom]]),FALSE),""),"")</f>
        <v/>
      </c>
      <c r="C257" s="19" t="str">
        <f>IFERROR(IF(VLOOKUP(T_SuiviTw[[#This Row],[NumL]],T_suiviDi[#Data],COLUMN(T_suiviDi[[#This Row],[Prénom]]),FALSE)&lt;&gt;"",VLOOKUP(T_SuiviTw[[#This Row],[NumL]],T_suiviDi[#Data],COLUMN(T_suiviDi[[#This Row],[Prénom]]),FALSE),""),"")</f>
        <v/>
      </c>
      <c r="D257" s="20" t="str">
        <f>IFERROR(IF(VLOOKUP(T_SuiviTw[[#This Row],[NumL]],T_suiviDi[#Data],COLUMN(T_suiviDi[[#This Row],[Email]]),FALSE)&lt;&gt;"",VLOOKUP(T_SuiviTw[[#This Row],[NumL]],T_suiviDi[#Data],COLUMN(T_suiviDi[[#This Row],[Email]]),FALSE),""),"")</f>
        <v/>
      </c>
      <c r="E257" s="274" t="str">
        <f>IFERROR(IF(VLOOKUP(T_SuiviTw[[#This Row],[NumL]],T_suiviDi[#Data],COLUMN(T_suiviDi[[#This Row],[Nom1]]),FALSE)&lt;&gt;"",VLOOKUP(T_SuiviTw[[#This Row],[NumL]],T_suiviDi[#Data],COLUMN(T_suiviDi[[#This Row],[Nom1]]),FALSE),""),"")</f>
        <v/>
      </c>
      <c r="F257" s="274" t="str">
        <f>IFERROR(IF(VLOOKUP(T_SuiviTw[[#This Row],[NumL]],T_suiviDi[#Data],COLUMN(T_suiviDi[[#This Row],[Prénom1]]),FALSE)&lt;&gt;"",VLOOKUP(T_SuiviTw[[#This Row],[NumL]],T_suiviDi[#Data],COLUMN(T_suiviDi[[#This Row],[Prénom1]]),FALSE),""),"")</f>
        <v/>
      </c>
      <c r="G257" s="274" t="str">
        <f>IFERROR(IF(VLOOKUP(T_SuiviTw[[#This Row],[NumL]],T_suiviDi[#Data],COLUMN(T_suiviDi[[#This Row],[Email1]]),FALSE)&lt;&gt;"",VLOOKUP(T_SuiviTw[[#This Row],[NumL]],T_suiviDi[#Data],COLUMN(T_suiviDi[[#This Row],[Email1]]),FALSE),""),"")</f>
        <v/>
      </c>
      <c r="H257" s="275" t="str">
        <f t="shared" si="35"/>
        <v/>
      </c>
      <c r="I257" s="100"/>
      <c r="J257" s="156" t="str">
        <f t="shared" si="36"/>
        <v/>
      </c>
      <c r="K257" s="155" t="str">
        <f t="shared" si="37"/>
        <v/>
      </c>
      <c r="L257" s="100"/>
      <c r="M257" s="156" t="str">
        <f t="shared" ca="1" si="38"/>
        <v/>
      </c>
      <c r="N257" s="49"/>
      <c r="O257" s="49"/>
      <c r="P257" s="105" t="str">
        <f t="shared" si="39"/>
        <v/>
      </c>
      <c r="Q257" s="155" t="str">
        <f t="shared" si="40"/>
        <v/>
      </c>
      <c r="R257" s="100"/>
      <c r="S257" s="156" t="str">
        <f t="shared" ca="1" si="41"/>
        <v/>
      </c>
      <c r="T257" s="101"/>
      <c r="U257" s="101"/>
      <c r="V257" s="101"/>
      <c r="W257" s="144"/>
    </row>
    <row r="258" spans="1:23" ht="24" customHeight="1" x14ac:dyDescent="0.25">
      <c r="A258" s="90">
        <v>318</v>
      </c>
      <c r="B258" s="139" t="str">
        <f>IFERROR(IF(VLOOKUP(T_SuiviTw[[#This Row],[NumL]],T_suiviDi[#Data],COLUMN(T_suiviDi[[#This Row],[Nom]]),FALSE)&lt;&gt;"",VLOOKUP(T_SuiviTw[[#This Row],[NumL]],T_suiviDi[#Data],COLUMN(T_suiviDi[[#This Row],[Nom]]),FALSE),""),"")</f>
        <v/>
      </c>
      <c r="C258" s="139" t="str">
        <f>IFERROR(IF(VLOOKUP(T_SuiviTw[[#This Row],[NumL]],T_suiviDi[#Data],COLUMN(T_suiviDi[[#This Row],[Prénom]]),FALSE)&lt;&gt;"",VLOOKUP(T_SuiviTw[[#This Row],[NumL]],T_suiviDi[#Data],COLUMN(T_suiviDi[[#This Row],[Prénom]]),FALSE),""),"")</f>
        <v/>
      </c>
      <c r="D258" s="140" t="str">
        <f>IFERROR(IF(VLOOKUP(T_SuiviTw[[#This Row],[NumL]],T_suiviDi[#Data],COLUMN(T_suiviDi[[#This Row],[Email]]),FALSE)&lt;&gt;"",VLOOKUP(T_SuiviTw[[#This Row],[NumL]],T_suiviDi[#Data],COLUMN(T_suiviDi[[#This Row],[Email]]),FALSE),""),"")</f>
        <v/>
      </c>
      <c r="E258" s="141" t="str">
        <f>IFERROR(IF(VLOOKUP(T_SuiviTw[[#This Row],[NumL]],T_suiviDi[#Data],COLUMN(T_suiviDi[[#This Row],[Nom1]]),FALSE)&lt;&gt;"",VLOOKUP(T_SuiviTw[[#This Row],[NumL]],T_suiviDi[#Data],COLUMN(T_suiviDi[[#This Row],[Nom1]]),FALSE),""),"")</f>
        <v/>
      </c>
      <c r="F258" s="141" t="str">
        <f>IFERROR(IF(VLOOKUP(T_SuiviTw[[#This Row],[NumL]],T_suiviDi[#Data],COLUMN(T_suiviDi[[#This Row],[Prénom1]]),FALSE)&lt;&gt;"",VLOOKUP(T_SuiviTw[[#This Row],[NumL]],T_suiviDi[#Data],COLUMN(T_suiviDi[[#This Row],[Prénom1]]),FALSE),""),"")</f>
        <v/>
      </c>
      <c r="G258" s="141" t="str">
        <f>IFERROR(IF(VLOOKUP(T_SuiviTw[[#This Row],[NumL]],T_suiviDi[#Data],COLUMN(T_suiviDi[[#This Row],[Email1]]),FALSE)&lt;&gt;"",VLOOKUP(T_SuiviTw[[#This Row],[NumL]],T_suiviDi[#Data],COLUMN(T_suiviDi[[#This Row],[Email1]]),FALSE),""),"")</f>
        <v/>
      </c>
      <c r="H258" s="155" t="str">
        <f t="shared" si="35"/>
        <v/>
      </c>
      <c r="I258" s="100"/>
      <c r="J258" s="156" t="str">
        <f t="shared" si="36"/>
        <v/>
      </c>
      <c r="K258" s="155" t="str">
        <f t="shared" si="37"/>
        <v/>
      </c>
      <c r="L258" s="100"/>
      <c r="M258" s="156" t="str">
        <f t="shared" ca="1" si="38"/>
        <v/>
      </c>
      <c r="N258" s="49"/>
      <c r="O258" s="49"/>
      <c r="P258" s="105" t="str">
        <f t="shared" si="39"/>
        <v/>
      </c>
      <c r="Q258" s="155" t="str">
        <f t="shared" si="40"/>
        <v/>
      </c>
      <c r="R258" s="100"/>
      <c r="S258" s="156" t="str">
        <f t="shared" ca="1" si="41"/>
        <v/>
      </c>
      <c r="T258" s="101"/>
      <c r="U258" s="101"/>
      <c r="V258" s="101"/>
      <c r="W258" s="144"/>
    </row>
    <row r="259" spans="1:23" ht="24" customHeight="1" x14ac:dyDescent="0.25">
      <c r="A259" s="90">
        <v>292</v>
      </c>
      <c r="B259" s="139" t="str">
        <f>IFERROR(IF(VLOOKUP(T_SuiviTw[[#This Row],[NumL]],T_suiviDi[#Data],COLUMN(T_suiviDi[[#This Row],[Nom]]),FALSE)&lt;&gt;"",VLOOKUP(T_SuiviTw[[#This Row],[NumL]],T_suiviDi[#Data],COLUMN(T_suiviDi[[#This Row],[Nom]]),FALSE),""),"")</f>
        <v/>
      </c>
      <c r="C259" s="139" t="str">
        <f>IFERROR(IF(VLOOKUP(T_SuiviTw[[#This Row],[NumL]],T_suiviDi[#Data],COLUMN(T_suiviDi[[#This Row],[Prénom]]),FALSE)&lt;&gt;"",VLOOKUP(T_SuiviTw[[#This Row],[NumL]],T_suiviDi[#Data],COLUMN(T_suiviDi[[#This Row],[Prénom]]),FALSE),""),"")</f>
        <v/>
      </c>
      <c r="D259" s="140" t="str">
        <f>IFERROR(IF(VLOOKUP(T_SuiviTw[[#This Row],[NumL]],T_suiviDi[#Data],COLUMN(T_suiviDi[[#This Row],[Email]]),FALSE)&lt;&gt;"",VLOOKUP(T_SuiviTw[[#This Row],[NumL]],T_suiviDi[#Data],COLUMN(T_suiviDi[[#This Row],[Email]]),FALSE),""),"")</f>
        <v/>
      </c>
      <c r="E259" s="141" t="str">
        <f>IFERROR(IF(VLOOKUP(T_SuiviTw[[#This Row],[NumL]],T_suiviDi[#Data],COLUMN(T_suiviDi[[#This Row],[Nom1]]),FALSE)&lt;&gt;"",VLOOKUP(T_SuiviTw[[#This Row],[NumL]],T_suiviDi[#Data],COLUMN(T_suiviDi[[#This Row],[Nom1]]),FALSE),""),"")</f>
        <v/>
      </c>
      <c r="F259" s="141" t="str">
        <f>IFERROR(IF(VLOOKUP(T_SuiviTw[[#This Row],[NumL]],T_suiviDi[#Data],COLUMN(T_suiviDi[[#This Row],[Prénom1]]),FALSE)&lt;&gt;"",VLOOKUP(T_SuiviTw[[#This Row],[NumL]],T_suiviDi[#Data],COLUMN(T_suiviDi[[#This Row],[Prénom1]]),FALSE),""),"")</f>
        <v/>
      </c>
      <c r="G259" s="141" t="str">
        <f>IFERROR(IF(VLOOKUP(T_SuiviTw[[#This Row],[NumL]],T_suiviDi[#Data],COLUMN(T_suiviDi[[#This Row],[Email1]]),FALSE)&lt;&gt;"",VLOOKUP(T_SuiviTw[[#This Row],[NumL]],T_suiviDi[#Data],COLUMN(T_suiviDi[[#This Row],[Email1]]),FALSE),""),"")</f>
        <v/>
      </c>
      <c r="H259" s="155" t="str">
        <f t="shared" si="35"/>
        <v/>
      </c>
      <c r="I259" s="100"/>
      <c r="J259" s="156" t="str">
        <f t="shared" si="36"/>
        <v/>
      </c>
      <c r="K259" s="155" t="str">
        <f t="shared" si="37"/>
        <v/>
      </c>
      <c r="L259" s="100"/>
      <c r="M259" s="156" t="str">
        <f t="shared" ca="1" si="38"/>
        <v/>
      </c>
      <c r="N259" s="49"/>
      <c r="O259" s="49"/>
      <c r="P259" s="105" t="str">
        <f t="shared" si="39"/>
        <v/>
      </c>
      <c r="Q259" s="155" t="str">
        <f t="shared" si="40"/>
        <v/>
      </c>
      <c r="R259" s="100"/>
      <c r="S259" s="156" t="str">
        <f t="shared" ca="1" si="41"/>
        <v/>
      </c>
      <c r="T259" s="101"/>
      <c r="U259" s="101"/>
      <c r="V259" s="101"/>
      <c r="W259" s="144"/>
    </row>
    <row r="260" spans="1:23" ht="24" customHeight="1" x14ac:dyDescent="0.25">
      <c r="A260" s="90">
        <v>20</v>
      </c>
      <c r="B260" s="19" t="str">
        <f>IFERROR(IF(VLOOKUP(T_SuiviTw[[#This Row],[NumL]],T_suiviDi[#Data],COLUMN(T_suiviDi[[#This Row],[Nom]]),FALSE)&lt;&gt;"",VLOOKUP(T_SuiviTw[[#This Row],[NumL]],T_suiviDi[#Data],COLUMN(T_suiviDi[[#This Row],[Nom]]),FALSE),""),"")</f>
        <v/>
      </c>
      <c r="C260" s="19" t="str">
        <f>IFERROR(IF(VLOOKUP(T_SuiviTw[[#This Row],[NumL]],T_suiviDi[#Data],COLUMN(T_suiviDi[[#This Row],[Prénom]]),FALSE)&lt;&gt;"",VLOOKUP(T_SuiviTw[[#This Row],[NumL]],T_suiviDi[#Data],COLUMN(T_suiviDi[[#This Row],[Prénom]]),FALSE),""),"")</f>
        <v/>
      </c>
      <c r="D260" s="20" t="str">
        <f>IFERROR(IF(VLOOKUP(T_SuiviTw[[#This Row],[NumL]],T_suiviDi[#Data],COLUMN(T_suiviDi[[#This Row],[Email]]),FALSE)&lt;&gt;"",VLOOKUP(T_SuiviTw[[#This Row],[NumL]],T_suiviDi[#Data],COLUMN(T_suiviDi[[#This Row],[Email]]),FALSE),""),"")</f>
        <v/>
      </c>
      <c r="E260" s="274" t="str">
        <f>IFERROR(IF(VLOOKUP(T_SuiviTw[[#This Row],[NumL]],T_suiviDi[#Data],COLUMN(T_suiviDi[[#This Row],[Nom1]]),FALSE)&lt;&gt;"",VLOOKUP(T_SuiviTw[[#This Row],[NumL]],T_suiviDi[#Data],COLUMN(T_suiviDi[[#This Row],[Nom1]]),FALSE),""),"")</f>
        <v/>
      </c>
      <c r="F260" s="274" t="str">
        <f>IFERROR(IF(VLOOKUP(T_SuiviTw[[#This Row],[NumL]],T_suiviDi[#Data],COLUMN(T_suiviDi[[#This Row],[Prénom1]]),FALSE)&lt;&gt;"",VLOOKUP(T_SuiviTw[[#This Row],[NumL]],T_suiviDi[#Data],COLUMN(T_suiviDi[[#This Row],[Prénom1]]),FALSE),""),"")</f>
        <v/>
      </c>
      <c r="G260" s="274" t="str">
        <f>IFERROR(IF(VLOOKUP(T_SuiviTw[[#This Row],[NumL]],T_suiviDi[#Data],COLUMN(T_suiviDi[[#This Row],[Email1]]),FALSE)&lt;&gt;"",VLOOKUP(T_SuiviTw[[#This Row],[NumL]],T_suiviDi[#Data],COLUMN(T_suiviDi[[#This Row],[Email1]]),FALSE),""),"")</f>
        <v/>
      </c>
      <c r="H260" s="275" t="str">
        <f t="shared" si="35"/>
        <v/>
      </c>
      <c r="I260" s="100"/>
      <c r="J260" s="156" t="str">
        <f t="shared" si="36"/>
        <v/>
      </c>
      <c r="K260" s="155" t="str">
        <f t="shared" si="37"/>
        <v/>
      </c>
      <c r="L260" s="100"/>
      <c r="M260" s="156" t="str">
        <f t="shared" ca="1" si="38"/>
        <v/>
      </c>
      <c r="N260" s="49"/>
      <c r="O260" s="49"/>
      <c r="P260" s="105" t="str">
        <f t="shared" si="39"/>
        <v/>
      </c>
      <c r="Q260" s="155" t="str">
        <f t="shared" si="40"/>
        <v/>
      </c>
      <c r="R260" s="100"/>
      <c r="S260" s="156" t="str">
        <f t="shared" ca="1" si="41"/>
        <v/>
      </c>
      <c r="T260" s="101"/>
      <c r="U260" s="101"/>
      <c r="V260" s="101"/>
      <c r="W260" s="144"/>
    </row>
    <row r="261" spans="1:23" ht="24" customHeight="1" x14ac:dyDescent="0.25">
      <c r="A261" s="90">
        <v>102</v>
      </c>
      <c r="B261" s="19" t="str">
        <f>IFERROR(IF(VLOOKUP(T_SuiviTw[[#This Row],[NumL]],T_suiviDi[#Data],COLUMN(T_suiviDi[[#This Row],[Nom]]),FALSE)&lt;&gt;"",VLOOKUP(T_SuiviTw[[#This Row],[NumL]],T_suiviDi[#Data],COLUMN(T_suiviDi[[#This Row],[Nom]]),FALSE),""),"")</f>
        <v/>
      </c>
      <c r="C261" s="19" t="str">
        <f>IFERROR(IF(VLOOKUP(T_SuiviTw[[#This Row],[NumL]],T_suiviDi[#Data],COLUMN(T_suiviDi[[#This Row],[Prénom]]),FALSE)&lt;&gt;"",VLOOKUP(T_SuiviTw[[#This Row],[NumL]],T_suiviDi[#Data],COLUMN(T_suiviDi[[#This Row],[Prénom]]),FALSE),""),"")</f>
        <v/>
      </c>
      <c r="D261" s="20" t="str">
        <f>IFERROR(IF(VLOOKUP(T_SuiviTw[[#This Row],[NumL]],T_suiviDi[#Data],COLUMN(T_suiviDi[[#This Row],[Email]]),FALSE)&lt;&gt;"",VLOOKUP(T_SuiviTw[[#This Row],[NumL]],T_suiviDi[#Data],COLUMN(T_suiviDi[[#This Row],[Email]]),FALSE),""),"")</f>
        <v/>
      </c>
      <c r="E261" s="274" t="str">
        <f>IFERROR(IF(VLOOKUP(T_SuiviTw[[#This Row],[NumL]],T_suiviDi[#Data],COLUMN(T_suiviDi[[#This Row],[Nom1]]),FALSE)&lt;&gt;"",VLOOKUP(T_SuiviTw[[#This Row],[NumL]],T_suiviDi[#Data],COLUMN(T_suiviDi[[#This Row],[Nom1]]),FALSE),""),"")</f>
        <v/>
      </c>
      <c r="F261" s="274" t="str">
        <f>IFERROR(IF(VLOOKUP(T_SuiviTw[[#This Row],[NumL]],T_suiviDi[#Data],COLUMN(T_suiviDi[[#This Row],[Prénom1]]),FALSE)&lt;&gt;"",VLOOKUP(T_SuiviTw[[#This Row],[NumL]],T_suiviDi[#Data],COLUMN(T_suiviDi[[#This Row],[Prénom1]]),FALSE),""),"")</f>
        <v/>
      </c>
      <c r="G261" s="274" t="str">
        <f>IFERROR(IF(VLOOKUP(T_SuiviTw[[#This Row],[NumL]],T_suiviDi[#Data],COLUMN(T_suiviDi[[#This Row],[Email1]]),FALSE)&lt;&gt;"",VLOOKUP(T_SuiviTw[[#This Row],[NumL]],T_suiviDi[#Data],COLUMN(T_suiviDi[[#This Row],[Email1]]),FALSE),""),"")</f>
        <v/>
      </c>
      <c r="H261" s="275" t="str">
        <f t="shared" ref="H261:H321" si="42">IF(B261&lt;&gt;"",DateEdition,"")</f>
        <v/>
      </c>
      <c r="I261" s="100"/>
      <c r="J261" s="156" t="str">
        <f t="shared" ref="J261:J321" si="43">IF(AND(I261="",K261=""),"",IF(AND(I261&lt;&gt;"",H261&lt;&gt;""),1,3))</f>
        <v/>
      </c>
      <c r="K261" s="155" t="str">
        <f t="shared" ref="K261:K321" si="44">IF(B261&lt;&gt;"",DateFinadapt,"")</f>
        <v/>
      </c>
      <c r="L261" s="100"/>
      <c r="M261" s="156" t="str">
        <f t="shared" ref="M261:M321" ca="1" si="45">IF(OR(K261="",TODAY()&lt;K261),"",IF(L261&lt;&gt;"",1,3))</f>
        <v/>
      </c>
      <c r="N261" s="49"/>
      <c r="O261" s="49"/>
      <c r="P261" s="105" t="str">
        <f t="shared" ref="P261:P321" si="46">IF(AND(N261&lt;&gt;"",O261&lt;&gt;""),IF(MAX(N261,O261)=1,1,4),IF(OR(N261&lt;&gt;"",O261&lt;&gt;""),"?",""))</f>
        <v/>
      </c>
      <c r="Q261" s="155" t="str">
        <f t="shared" ref="Q261:Q321" si="47">IF(AND(F261&lt;&gt;"",P261=1),Datebilan2,"")</f>
        <v/>
      </c>
      <c r="R261" s="100"/>
      <c r="S261" s="156" t="str">
        <f t="shared" ref="S261:S321" ca="1" si="48">IF(OR(B261="",P261&gt;1),"",IF(R261&lt;&gt;"",1,IF(Q261&lt;=TODAY(),3,IF(Q261&lt;=TODAY()+10,2,""))))</f>
        <v/>
      </c>
      <c r="T261" s="101"/>
      <c r="U261" s="101"/>
      <c r="V261" s="101"/>
      <c r="W261" s="144"/>
    </row>
    <row r="262" spans="1:23" ht="24" customHeight="1" x14ac:dyDescent="0.25">
      <c r="A262" s="90">
        <v>104</v>
      </c>
      <c r="B262" s="19" t="str">
        <f>IFERROR(IF(VLOOKUP(T_SuiviTw[[#This Row],[NumL]],T_suiviDi[#Data],COLUMN(T_suiviDi[[#This Row],[Nom]]),FALSE)&lt;&gt;"",VLOOKUP(T_SuiviTw[[#This Row],[NumL]],T_suiviDi[#Data],COLUMN(T_suiviDi[[#This Row],[Nom]]),FALSE),""),"")</f>
        <v/>
      </c>
      <c r="C262" s="19" t="str">
        <f>IFERROR(IF(VLOOKUP(T_SuiviTw[[#This Row],[NumL]],T_suiviDi[#Data],COLUMN(T_suiviDi[[#This Row],[Prénom]]),FALSE)&lt;&gt;"",VLOOKUP(T_SuiviTw[[#This Row],[NumL]],T_suiviDi[#Data],COLUMN(T_suiviDi[[#This Row],[Prénom]]),FALSE),""),"")</f>
        <v/>
      </c>
      <c r="D262" s="20" t="str">
        <f>IFERROR(IF(VLOOKUP(T_SuiviTw[[#This Row],[NumL]],T_suiviDi[#Data],COLUMN(T_suiviDi[[#This Row],[Email]]),FALSE)&lt;&gt;"",VLOOKUP(T_SuiviTw[[#This Row],[NumL]],T_suiviDi[#Data],COLUMN(T_suiviDi[[#This Row],[Email]]),FALSE),""),"")</f>
        <v/>
      </c>
      <c r="E262" s="274" t="str">
        <f>IFERROR(IF(VLOOKUP(T_SuiviTw[[#This Row],[NumL]],T_suiviDi[#Data],COLUMN(T_suiviDi[[#This Row],[Nom1]]),FALSE)&lt;&gt;"",VLOOKUP(T_SuiviTw[[#This Row],[NumL]],T_suiviDi[#Data],COLUMN(T_suiviDi[[#This Row],[Nom1]]),FALSE),""),"")</f>
        <v/>
      </c>
      <c r="F262" s="274" t="str">
        <f>IFERROR(IF(VLOOKUP(T_SuiviTw[[#This Row],[NumL]],T_suiviDi[#Data],COLUMN(T_suiviDi[[#This Row],[Prénom1]]),FALSE)&lt;&gt;"",VLOOKUP(T_SuiviTw[[#This Row],[NumL]],T_suiviDi[#Data],COLUMN(T_suiviDi[[#This Row],[Prénom1]]),FALSE),""),"")</f>
        <v/>
      </c>
      <c r="G262" s="274" t="str">
        <f>IFERROR(IF(VLOOKUP(T_SuiviTw[[#This Row],[NumL]],T_suiviDi[#Data],COLUMN(T_suiviDi[[#This Row],[Email1]]),FALSE)&lt;&gt;"",VLOOKUP(T_SuiviTw[[#This Row],[NumL]],T_suiviDi[#Data],COLUMN(T_suiviDi[[#This Row],[Email1]]),FALSE),""),"")</f>
        <v/>
      </c>
      <c r="H262" s="275" t="str">
        <f t="shared" si="42"/>
        <v/>
      </c>
      <c r="I262" s="100"/>
      <c r="J262" s="156" t="str">
        <f t="shared" si="43"/>
        <v/>
      </c>
      <c r="K262" s="155" t="str">
        <f t="shared" si="44"/>
        <v/>
      </c>
      <c r="L262" s="100"/>
      <c r="M262" s="156" t="str">
        <f t="shared" ca="1" si="45"/>
        <v/>
      </c>
      <c r="N262" s="49"/>
      <c r="O262" s="49"/>
      <c r="P262" s="105" t="str">
        <f t="shared" si="46"/>
        <v/>
      </c>
      <c r="Q262" s="155" t="str">
        <f t="shared" si="47"/>
        <v/>
      </c>
      <c r="R262" s="100"/>
      <c r="S262" s="156" t="str">
        <f t="shared" ca="1" si="48"/>
        <v/>
      </c>
      <c r="T262" s="101"/>
      <c r="U262" s="101"/>
      <c r="V262" s="101"/>
      <c r="W262" s="144"/>
    </row>
    <row r="263" spans="1:23" ht="24" customHeight="1" x14ac:dyDescent="0.25">
      <c r="A263" s="90">
        <v>269</v>
      </c>
      <c r="B263" s="19" t="str">
        <f>IFERROR(IF(VLOOKUP(T_SuiviTw[[#This Row],[NumL]],T_suiviDi[#Data],COLUMN(T_suiviDi[[#This Row],[Nom]]),FALSE)&lt;&gt;"",VLOOKUP(T_SuiviTw[[#This Row],[NumL]],T_suiviDi[#Data],COLUMN(T_suiviDi[[#This Row],[Nom]]),FALSE),""),"")</f>
        <v/>
      </c>
      <c r="C263" s="19" t="str">
        <f>IFERROR(IF(VLOOKUP(T_SuiviTw[[#This Row],[NumL]],T_suiviDi[#Data],COLUMN(T_suiviDi[[#This Row],[Prénom]]),FALSE)&lt;&gt;"",VLOOKUP(T_SuiviTw[[#This Row],[NumL]],T_suiviDi[#Data],COLUMN(T_suiviDi[[#This Row],[Prénom]]),FALSE),""),"")</f>
        <v/>
      </c>
      <c r="D263" s="20" t="str">
        <f>IFERROR(IF(VLOOKUP(T_SuiviTw[[#This Row],[NumL]],T_suiviDi[#Data],COLUMN(T_suiviDi[[#This Row],[Email]]),FALSE)&lt;&gt;"",VLOOKUP(T_SuiviTw[[#This Row],[NumL]],T_suiviDi[#Data],COLUMN(T_suiviDi[[#This Row],[Email]]),FALSE),""),"")</f>
        <v/>
      </c>
      <c r="E263" s="274" t="str">
        <f>IFERROR(IF(VLOOKUP(T_SuiviTw[[#This Row],[NumL]],T_suiviDi[#Data],COLUMN(T_suiviDi[[#This Row],[Nom1]]),FALSE)&lt;&gt;"",VLOOKUP(T_SuiviTw[[#This Row],[NumL]],T_suiviDi[#Data],COLUMN(T_suiviDi[[#This Row],[Nom1]]),FALSE),""),"")</f>
        <v/>
      </c>
      <c r="F263" s="274" t="str">
        <f>IFERROR(IF(VLOOKUP(T_SuiviTw[[#This Row],[NumL]],T_suiviDi[#Data],COLUMN(T_suiviDi[[#This Row],[Prénom1]]),FALSE)&lt;&gt;"",VLOOKUP(T_SuiviTw[[#This Row],[NumL]],T_suiviDi[#Data],COLUMN(T_suiviDi[[#This Row],[Prénom1]]),FALSE),""),"")</f>
        <v/>
      </c>
      <c r="G263" s="274" t="str">
        <f>IFERROR(IF(VLOOKUP(T_SuiviTw[[#This Row],[NumL]],T_suiviDi[#Data],COLUMN(T_suiviDi[[#This Row],[Email1]]),FALSE)&lt;&gt;"",VLOOKUP(T_SuiviTw[[#This Row],[NumL]],T_suiviDi[#Data],COLUMN(T_suiviDi[[#This Row],[Email1]]),FALSE),""),"")</f>
        <v/>
      </c>
      <c r="H263" s="275" t="str">
        <f t="shared" si="42"/>
        <v/>
      </c>
      <c r="I263" s="100"/>
      <c r="J263" s="156" t="str">
        <f t="shared" si="43"/>
        <v/>
      </c>
      <c r="K263" s="155" t="str">
        <f t="shared" si="44"/>
        <v/>
      </c>
      <c r="L263" s="100"/>
      <c r="M263" s="156" t="str">
        <f t="shared" ca="1" si="45"/>
        <v/>
      </c>
      <c r="N263" s="49"/>
      <c r="O263" s="49"/>
      <c r="P263" s="105" t="str">
        <f t="shared" si="46"/>
        <v/>
      </c>
      <c r="Q263" s="155" t="str">
        <f t="shared" si="47"/>
        <v/>
      </c>
      <c r="R263" s="100"/>
      <c r="S263" s="156" t="str">
        <f t="shared" ca="1" si="48"/>
        <v/>
      </c>
      <c r="T263" s="101"/>
      <c r="U263" s="101"/>
      <c r="V263" s="101"/>
      <c r="W263" s="144"/>
    </row>
    <row r="264" spans="1:23" ht="24" customHeight="1" x14ac:dyDescent="0.25">
      <c r="A264" s="90">
        <v>249</v>
      </c>
      <c r="B264" s="19" t="str">
        <f>IFERROR(IF(VLOOKUP(T_SuiviTw[[#This Row],[NumL]],T_suiviDi[#Data],COLUMN(T_suiviDi[[#This Row],[Nom]]),FALSE)&lt;&gt;"",VLOOKUP(T_SuiviTw[[#This Row],[NumL]],T_suiviDi[#Data],COLUMN(T_suiviDi[[#This Row],[Nom]]),FALSE),""),"")</f>
        <v/>
      </c>
      <c r="C264" s="19" t="str">
        <f>IFERROR(IF(VLOOKUP(T_SuiviTw[[#This Row],[NumL]],T_suiviDi[#Data],COLUMN(T_suiviDi[[#This Row],[Prénom]]),FALSE)&lt;&gt;"",VLOOKUP(T_SuiviTw[[#This Row],[NumL]],T_suiviDi[#Data],COLUMN(T_suiviDi[[#This Row],[Prénom]]),FALSE),""),"")</f>
        <v/>
      </c>
      <c r="D264" s="20" t="str">
        <f>IFERROR(IF(VLOOKUP(T_SuiviTw[[#This Row],[NumL]],T_suiviDi[#Data],COLUMN(T_suiviDi[[#This Row],[Email]]),FALSE)&lt;&gt;"",VLOOKUP(T_SuiviTw[[#This Row],[NumL]],T_suiviDi[#Data],COLUMN(T_suiviDi[[#This Row],[Email]]),FALSE),""),"")</f>
        <v/>
      </c>
      <c r="E264" s="274" t="str">
        <f>IFERROR(IF(VLOOKUP(T_SuiviTw[[#This Row],[NumL]],T_suiviDi[#Data],COLUMN(T_suiviDi[[#This Row],[Nom1]]),FALSE)&lt;&gt;"",VLOOKUP(T_SuiviTw[[#This Row],[NumL]],T_suiviDi[#Data],COLUMN(T_suiviDi[[#This Row],[Nom1]]),FALSE),""),"")</f>
        <v/>
      </c>
      <c r="F264" s="274" t="str">
        <f>IFERROR(IF(VLOOKUP(T_SuiviTw[[#This Row],[NumL]],T_suiviDi[#Data],COLUMN(T_suiviDi[[#This Row],[Prénom1]]),FALSE)&lt;&gt;"",VLOOKUP(T_SuiviTw[[#This Row],[NumL]],T_suiviDi[#Data],COLUMN(T_suiviDi[[#This Row],[Prénom1]]),FALSE),""),"")</f>
        <v/>
      </c>
      <c r="G264" s="274" t="str">
        <f>IFERROR(IF(VLOOKUP(T_SuiviTw[[#This Row],[NumL]],T_suiviDi[#Data],COLUMN(T_suiviDi[[#This Row],[Email1]]),FALSE)&lt;&gt;"",VLOOKUP(T_SuiviTw[[#This Row],[NumL]],T_suiviDi[#Data],COLUMN(T_suiviDi[[#This Row],[Email1]]),FALSE),""),"")</f>
        <v/>
      </c>
      <c r="H264" s="275" t="str">
        <f t="shared" si="42"/>
        <v/>
      </c>
      <c r="I264" s="100"/>
      <c r="J264" s="156" t="str">
        <f t="shared" si="43"/>
        <v/>
      </c>
      <c r="K264" s="155" t="str">
        <f t="shared" si="44"/>
        <v/>
      </c>
      <c r="L264" s="100"/>
      <c r="M264" s="156" t="str">
        <f t="shared" ca="1" si="45"/>
        <v/>
      </c>
      <c r="N264" s="49"/>
      <c r="O264" s="49"/>
      <c r="P264" s="105" t="str">
        <f t="shared" si="46"/>
        <v/>
      </c>
      <c r="Q264" s="155" t="str">
        <f t="shared" si="47"/>
        <v/>
      </c>
      <c r="R264" s="100"/>
      <c r="S264" s="156" t="str">
        <f t="shared" ca="1" si="48"/>
        <v/>
      </c>
      <c r="T264" s="101"/>
      <c r="U264" s="101"/>
      <c r="V264" s="101"/>
      <c r="W264" s="144"/>
    </row>
    <row r="265" spans="1:23" ht="24" customHeight="1" x14ac:dyDescent="0.25">
      <c r="A265" s="90">
        <v>293</v>
      </c>
      <c r="B265" s="139" t="str">
        <f>IFERROR(IF(VLOOKUP(T_SuiviTw[[#This Row],[NumL]],T_suiviDi[#Data],COLUMN(T_suiviDi[[#This Row],[Nom]]),FALSE)&lt;&gt;"",VLOOKUP(T_SuiviTw[[#This Row],[NumL]],T_suiviDi[#Data],COLUMN(T_suiviDi[[#This Row],[Nom]]),FALSE),""),"")</f>
        <v/>
      </c>
      <c r="C265" s="139" t="str">
        <f>IFERROR(IF(VLOOKUP(T_SuiviTw[[#This Row],[NumL]],T_suiviDi[#Data],COLUMN(T_suiviDi[[#This Row],[Prénom]]),FALSE)&lt;&gt;"",VLOOKUP(T_SuiviTw[[#This Row],[NumL]],T_suiviDi[#Data],COLUMN(T_suiviDi[[#This Row],[Prénom]]),FALSE),""),"")</f>
        <v/>
      </c>
      <c r="D265" s="140" t="str">
        <f>IFERROR(IF(VLOOKUP(T_SuiviTw[[#This Row],[NumL]],T_suiviDi[#Data],COLUMN(T_suiviDi[[#This Row],[Email]]),FALSE)&lt;&gt;"",VLOOKUP(T_SuiviTw[[#This Row],[NumL]],T_suiviDi[#Data],COLUMN(T_suiviDi[[#This Row],[Email]]),FALSE),""),"")</f>
        <v/>
      </c>
      <c r="E265" s="141" t="str">
        <f>IFERROR(IF(VLOOKUP(T_SuiviTw[[#This Row],[NumL]],T_suiviDi[#Data],COLUMN(T_suiviDi[[#This Row],[Nom1]]),FALSE)&lt;&gt;"",VLOOKUP(T_SuiviTw[[#This Row],[NumL]],T_suiviDi[#Data],COLUMN(T_suiviDi[[#This Row],[Nom1]]),FALSE),""),"")</f>
        <v/>
      </c>
      <c r="F265" s="141" t="str">
        <f>IFERROR(IF(VLOOKUP(T_SuiviTw[[#This Row],[NumL]],T_suiviDi[#Data],COLUMN(T_suiviDi[[#This Row],[Prénom1]]),FALSE)&lt;&gt;"",VLOOKUP(T_SuiviTw[[#This Row],[NumL]],T_suiviDi[#Data],COLUMN(T_suiviDi[[#This Row],[Prénom1]]),FALSE),""),"")</f>
        <v/>
      </c>
      <c r="G265" s="141" t="str">
        <f>IFERROR(IF(VLOOKUP(T_SuiviTw[[#This Row],[NumL]],T_suiviDi[#Data],COLUMN(T_suiviDi[[#This Row],[Email1]]),FALSE)&lt;&gt;"",VLOOKUP(T_SuiviTw[[#This Row],[NumL]],T_suiviDi[#Data],COLUMN(T_suiviDi[[#This Row],[Email1]]),FALSE),""),"")</f>
        <v/>
      </c>
      <c r="H265" s="155" t="str">
        <f t="shared" si="42"/>
        <v/>
      </c>
      <c r="I265" s="100"/>
      <c r="J265" s="156" t="str">
        <f t="shared" si="43"/>
        <v/>
      </c>
      <c r="K265" s="155" t="str">
        <f t="shared" si="44"/>
        <v/>
      </c>
      <c r="L265" s="100"/>
      <c r="M265" s="156" t="str">
        <f t="shared" ca="1" si="45"/>
        <v/>
      </c>
      <c r="N265" s="49"/>
      <c r="O265" s="49"/>
      <c r="P265" s="105" t="str">
        <f t="shared" si="46"/>
        <v/>
      </c>
      <c r="Q265" s="155" t="str">
        <f t="shared" si="47"/>
        <v/>
      </c>
      <c r="R265" s="100"/>
      <c r="S265" s="156" t="str">
        <f t="shared" ca="1" si="48"/>
        <v/>
      </c>
      <c r="T265" s="101"/>
      <c r="U265" s="101"/>
      <c r="V265" s="101"/>
      <c r="W265" s="144"/>
    </row>
    <row r="266" spans="1:23" ht="24" customHeight="1" x14ac:dyDescent="0.25">
      <c r="A266" s="90">
        <v>25</v>
      </c>
      <c r="B266" s="19" t="str">
        <f>IFERROR(IF(VLOOKUP(T_SuiviTw[[#This Row],[NumL]],T_suiviDi[#Data],COLUMN(T_suiviDi[[#This Row],[Nom]]),FALSE)&lt;&gt;"",VLOOKUP(T_SuiviTw[[#This Row],[NumL]],T_suiviDi[#Data],COLUMN(T_suiviDi[[#This Row],[Nom]]),FALSE),""),"")</f>
        <v/>
      </c>
      <c r="C266" s="19" t="str">
        <f>IFERROR(IF(VLOOKUP(T_SuiviTw[[#This Row],[NumL]],T_suiviDi[#Data],COLUMN(T_suiviDi[[#This Row],[Prénom]]),FALSE)&lt;&gt;"",VLOOKUP(T_SuiviTw[[#This Row],[NumL]],T_suiviDi[#Data],COLUMN(T_suiviDi[[#This Row],[Prénom]]),FALSE),""),"")</f>
        <v/>
      </c>
      <c r="D266" s="20" t="str">
        <f>IFERROR(IF(VLOOKUP(T_SuiviTw[[#This Row],[NumL]],T_suiviDi[#Data],COLUMN(T_suiviDi[[#This Row],[Email]]),FALSE)&lt;&gt;"",VLOOKUP(T_SuiviTw[[#This Row],[NumL]],T_suiviDi[#Data],COLUMN(T_suiviDi[[#This Row],[Email]]),FALSE),""),"")</f>
        <v/>
      </c>
      <c r="E266" s="274" t="str">
        <f>IFERROR(IF(VLOOKUP(T_SuiviTw[[#This Row],[NumL]],T_suiviDi[#Data],COLUMN(T_suiviDi[[#This Row],[Nom1]]),FALSE)&lt;&gt;"",VLOOKUP(T_SuiviTw[[#This Row],[NumL]],T_suiviDi[#Data],COLUMN(T_suiviDi[[#This Row],[Nom1]]),FALSE),""),"")</f>
        <v/>
      </c>
      <c r="F266" s="274" t="str">
        <f>IFERROR(IF(VLOOKUP(T_SuiviTw[[#This Row],[NumL]],T_suiviDi[#Data],COLUMN(T_suiviDi[[#This Row],[Prénom1]]),FALSE)&lt;&gt;"",VLOOKUP(T_SuiviTw[[#This Row],[NumL]],T_suiviDi[#Data],COLUMN(T_suiviDi[[#This Row],[Prénom1]]),FALSE),""),"")</f>
        <v/>
      </c>
      <c r="G266" s="274" t="str">
        <f>IFERROR(IF(VLOOKUP(T_SuiviTw[[#This Row],[NumL]],T_suiviDi[#Data],COLUMN(T_suiviDi[[#This Row],[Email1]]),FALSE)&lt;&gt;"",VLOOKUP(T_SuiviTw[[#This Row],[NumL]],T_suiviDi[#Data],COLUMN(T_suiviDi[[#This Row],[Email1]]),FALSE),""),"")</f>
        <v/>
      </c>
      <c r="H266" s="275" t="str">
        <f t="shared" si="42"/>
        <v/>
      </c>
      <c r="I266" s="100"/>
      <c r="J266" s="156" t="str">
        <f t="shared" si="43"/>
        <v/>
      </c>
      <c r="K266" s="155" t="str">
        <f t="shared" si="44"/>
        <v/>
      </c>
      <c r="L266" s="100"/>
      <c r="M266" s="156" t="str">
        <f t="shared" ca="1" si="45"/>
        <v/>
      </c>
      <c r="N266" s="49"/>
      <c r="O266" s="49"/>
      <c r="P266" s="105" t="str">
        <f t="shared" si="46"/>
        <v/>
      </c>
      <c r="Q266" s="155" t="str">
        <f t="shared" si="47"/>
        <v/>
      </c>
      <c r="R266" s="100"/>
      <c r="S266" s="156" t="str">
        <f t="shared" ca="1" si="48"/>
        <v/>
      </c>
      <c r="T266" s="101"/>
      <c r="U266" s="101"/>
      <c r="V266" s="101"/>
      <c r="W266" s="144"/>
    </row>
    <row r="267" spans="1:23" ht="24" customHeight="1" x14ac:dyDescent="0.25">
      <c r="A267" s="90">
        <v>180</v>
      </c>
      <c r="B267" s="19" t="str">
        <f>IFERROR(IF(VLOOKUP(T_SuiviTw[[#This Row],[NumL]],T_suiviDi[#Data],COLUMN(T_suiviDi[[#This Row],[Nom]]),FALSE)&lt;&gt;"",VLOOKUP(T_SuiviTw[[#This Row],[NumL]],T_suiviDi[#Data],COLUMN(T_suiviDi[[#This Row],[Nom]]),FALSE),""),"")</f>
        <v/>
      </c>
      <c r="C267" s="19" t="str">
        <f>IFERROR(IF(VLOOKUP(T_SuiviTw[[#This Row],[NumL]],T_suiviDi[#Data],COLUMN(T_suiviDi[[#This Row],[Prénom]]),FALSE)&lt;&gt;"",VLOOKUP(T_SuiviTw[[#This Row],[NumL]],T_suiviDi[#Data],COLUMN(T_suiviDi[[#This Row],[Prénom]]),FALSE),""),"")</f>
        <v/>
      </c>
      <c r="D267" s="20" t="str">
        <f>IFERROR(IF(VLOOKUP(T_SuiviTw[[#This Row],[NumL]],T_suiviDi[#Data],COLUMN(T_suiviDi[[#This Row],[Email]]),FALSE)&lt;&gt;"",VLOOKUP(T_SuiviTw[[#This Row],[NumL]],T_suiviDi[#Data],COLUMN(T_suiviDi[[#This Row],[Email]]),FALSE),""),"")</f>
        <v/>
      </c>
      <c r="E267" s="274" t="str">
        <f>IFERROR(IF(VLOOKUP(T_SuiviTw[[#This Row],[NumL]],T_suiviDi[#Data],COLUMN(T_suiviDi[[#This Row],[Nom1]]),FALSE)&lt;&gt;"",VLOOKUP(T_SuiviTw[[#This Row],[NumL]],T_suiviDi[#Data],COLUMN(T_suiviDi[[#This Row],[Nom1]]),FALSE),""),"")</f>
        <v/>
      </c>
      <c r="F267" s="274" t="str">
        <f>IFERROR(IF(VLOOKUP(T_SuiviTw[[#This Row],[NumL]],T_suiviDi[#Data],COLUMN(T_suiviDi[[#This Row],[Prénom1]]),FALSE)&lt;&gt;"",VLOOKUP(T_SuiviTw[[#This Row],[NumL]],T_suiviDi[#Data],COLUMN(T_suiviDi[[#This Row],[Prénom1]]),FALSE),""),"")</f>
        <v/>
      </c>
      <c r="G267" s="274" t="str">
        <f>IFERROR(IF(VLOOKUP(T_SuiviTw[[#This Row],[NumL]],T_suiviDi[#Data],COLUMN(T_suiviDi[[#This Row],[Email1]]),FALSE)&lt;&gt;"",VLOOKUP(T_SuiviTw[[#This Row],[NumL]],T_suiviDi[#Data],COLUMN(T_suiviDi[[#This Row],[Email1]]),FALSE),""),"")</f>
        <v/>
      </c>
      <c r="H267" s="275" t="str">
        <f t="shared" si="42"/>
        <v/>
      </c>
      <c r="I267" s="100"/>
      <c r="J267" s="156" t="str">
        <f t="shared" si="43"/>
        <v/>
      </c>
      <c r="K267" s="155" t="str">
        <f t="shared" si="44"/>
        <v/>
      </c>
      <c r="L267" s="100"/>
      <c r="M267" s="156" t="str">
        <f t="shared" ca="1" si="45"/>
        <v/>
      </c>
      <c r="N267" s="49"/>
      <c r="O267" s="49"/>
      <c r="P267" s="105" t="str">
        <f t="shared" si="46"/>
        <v/>
      </c>
      <c r="Q267" s="155" t="str">
        <f t="shared" si="47"/>
        <v/>
      </c>
      <c r="R267" s="100"/>
      <c r="S267" s="156" t="str">
        <f t="shared" ca="1" si="48"/>
        <v/>
      </c>
      <c r="T267" s="101"/>
      <c r="U267" s="101"/>
      <c r="V267" s="101"/>
      <c r="W267" s="144"/>
    </row>
    <row r="268" spans="1:23" ht="24" customHeight="1" x14ac:dyDescent="0.25">
      <c r="A268" s="90">
        <v>117</v>
      </c>
      <c r="B268" s="19" t="str">
        <f>IFERROR(IF(VLOOKUP(T_SuiviTw[[#This Row],[NumL]],T_suiviDi[#Data],COLUMN(T_suiviDi[[#This Row],[Nom]]),FALSE)&lt;&gt;"",VLOOKUP(T_SuiviTw[[#This Row],[NumL]],T_suiviDi[#Data],COLUMN(T_suiviDi[[#This Row],[Nom]]),FALSE),""),"")</f>
        <v/>
      </c>
      <c r="C268" s="19" t="str">
        <f>IFERROR(IF(VLOOKUP(T_SuiviTw[[#This Row],[NumL]],T_suiviDi[#Data],COLUMN(T_suiviDi[[#This Row],[Prénom]]),FALSE)&lt;&gt;"",VLOOKUP(T_SuiviTw[[#This Row],[NumL]],T_suiviDi[#Data],COLUMN(T_suiviDi[[#This Row],[Prénom]]),FALSE),""),"")</f>
        <v/>
      </c>
      <c r="D268" s="20" t="str">
        <f>IFERROR(IF(VLOOKUP(T_SuiviTw[[#This Row],[NumL]],T_suiviDi[#Data],COLUMN(T_suiviDi[[#This Row],[Email]]),FALSE)&lt;&gt;"",VLOOKUP(T_SuiviTw[[#This Row],[NumL]],T_suiviDi[#Data],COLUMN(T_suiviDi[[#This Row],[Email]]),FALSE),""),"")</f>
        <v/>
      </c>
      <c r="E268" s="274" t="str">
        <f>IFERROR(IF(VLOOKUP(T_SuiviTw[[#This Row],[NumL]],T_suiviDi[#Data],COLUMN(T_suiviDi[[#This Row],[Nom1]]),FALSE)&lt;&gt;"",VLOOKUP(T_SuiviTw[[#This Row],[NumL]],T_suiviDi[#Data],COLUMN(T_suiviDi[[#This Row],[Nom1]]),FALSE),""),"")</f>
        <v/>
      </c>
      <c r="F268" s="274" t="str">
        <f>IFERROR(IF(VLOOKUP(T_SuiviTw[[#This Row],[NumL]],T_suiviDi[#Data],COLUMN(T_suiviDi[[#This Row],[Prénom1]]),FALSE)&lt;&gt;"",VLOOKUP(T_SuiviTw[[#This Row],[NumL]],T_suiviDi[#Data],COLUMN(T_suiviDi[[#This Row],[Prénom1]]),FALSE),""),"")</f>
        <v/>
      </c>
      <c r="G268" s="274" t="str">
        <f>IFERROR(IF(VLOOKUP(T_SuiviTw[[#This Row],[NumL]],T_suiviDi[#Data],COLUMN(T_suiviDi[[#This Row],[Email1]]),FALSE)&lt;&gt;"",VLOOKUP(T_SuiviTw[[#This Row],[NumL]],T_suiviDi[#Data],COLUMN(T_suiviDi[[#This Row],[Email1]]),FALSE),""),"")</f>
        <v/>
      </c>
      <c r="H268" s="275" t="str">
        <f t="shared" si="42"/>
        <v/>
      </c>
      <c r="I268" s="100"/>
      <c r="J268" s="156" t="str">
        <f t="shared" si="43"/>
        <v/>
      </c>
      <c r="K268" s="155" t="str">
        <f t="shared" si="44"/>
        <v/>
      </c>
      <c r="L268" s="100"/>
      <c r="M268" s="156" t="str">
        <f t="shared" ca="1" si="45"/>
        <v/>
      </c>
      <c r="N268" s="49"/>
      <c r="O268" s="49"/>
      <c r="P268" s="105" t="str">
        <f t="shared" si="46"/>
        <v/>
      </c>
      <c r="Q268" s="155" t="str">
        <f t="shared" si="47"/>
        <v/>
      </c>
      <c r="R268" s="100"/>
      <c r="S268" s="156" t="str">
        <f t="shared" ca="1" si="48"/>
        <v/>
      </c>
      <c r="T268" s="101"/>
      <c r="U268" s="101"/>
      <c r="V268" s="101"/>
      <c r="W268" s="144"/>
    </row>
    <row r="269" spans="1:23" ht="24" customHeight="1" x14ac:dyDescent="0.25">
      <c r="A269" s="90">
        <v>253</v>
      </c>
      <c r="B269" s="19" t="str">
        <f>IFERROR(IF(VLOOKUP(T_SuiviTw[[#This Row],[NumL]],T_suiviDi[#Data],COLUMN(T_suiviDi[[#This Row],[Nom]]),FALSE)&lt;&gt;"",VLOOKUP(T_SuiviTw[[#This Row],[NumL]],T_suiviDi[#Data],COLUMN(T_suiviDi[[#This Row],[Nom]]),FALSE),""),"")</f>
        <v/>
      </c>
      <c r="C269" s="19" t="str">
        <f>IFERROR(IF(VLOOKUP(T_SuiviTw[[#This Row],[NumL]],T_suiviDi[#Data],COLUMN(T_suiviDi[[#This Row],[Prénom]]),FALSE)&lt;&gt;"",VLOOKUP(T_SuiviTw[[#This Row],[NumL]],T_suiviDi[#Data],COLUMN(T_suiviDi[[#This Row],[Prénom]]),FALSE),""),"")</f>
        <v/>
      </c>
      <c r="D269" s="20" t="str">
        <f>IFERROR(IF(VLOOKUP(T_SuiviTw[[#This Row],[NumL]],T_suiviDi[#Data],COLUMN(T_suiviDi[[#This Row],[Email]]),FALSE)&lt;&gt;"",VLOOKUP(T_SuiviTw[[#This Row],[NumL]],T_suiviDi[#Data],COLUMN(T_suiviDi[[#This Row],[Email]]),FALSE),""),"")</f>
        <v/>
      </c>
      <c r="E269" s="274" t="str">
        <f>IFERROR(IF(VLOOKUP(T_SuiviTw[[#This Row],[NumL]],T_suiviDi[#Data],COLUMN(T_suiviDi[[#This Row],[Nom1]]),FALSE)&lt;&gt;"",VLOOKUP(T_SuiviTw[[#This Row],[NumL]],T_suiviDi[#Data],COLUMN(T_suiviDi[[#This Row],[Nom1]]),FALSE),""),"")</f>
        <v/>
      </c>
      <c r="F269" s="274" t="str">
        <f>IFERROR(IF(VLOOKUP(T_SuiviTw[[#This Row],[NumL]],T_suiviDi[#Data],COLUMN(T_suiviDi[[#This Row],[Prénom1]]),FALSE)&lt;&gt;"",VLOOKUP(T_SuiviTw[[#This Row],[NumL]],T_suiviDi[#Data],COLUMN(T_suiviDi[[#This Row],[Prénom1]]),FALSE),""),"")</f>
        <v/>
      </c>
      <c r="G269" s="274" t="str">
        <f>IFERROR(IF(VLOOKUP(T_SuiviTw[[#This Row],[NumL]],T_suiviDi[#Data],COLUMN(T_suiviDi[[#This Row],[Email1]]),FALSE)&lt;&gt;"",VLOOKUP(T_SuiviTw[[#This Row],[NumL]],T_suiviDi[#Data],COLUMN(T_suiviDi[[#This Row],[Email1]]),FALSE),""),"")</f>
        <v/>
      </c>
      <c r="H269" s="275" t="str">
        <f t="shared" si="42"/>
        <v/>
      </c>
      <c r="I269" s="100"/>
      <c r="J269" s="156" t="str">
        <f t="shared" si="43"/>
        <v/>
      </c>
      <c r="K269" s="155" t="str">
        <f t="shared" si="44"/>
        <v/>
      </c>
      <c r="L269" s="100"/>
      <c r="M269" s="156" t="str">
        <f t="shared" ca="1" si="45"/>
        <v/>
      </c>
      <c r="N269" s="49"/>
      <c r="O269" s="49"/>
      <c r="P269" s="105" t="str">
        <f t="shared" si="46"/>
        <v/>
      </c>
      <c r="Q269" s="155" t="str">
        <f t="shared" si="47"/>
        <v/>
      </c>
      <c r="R269" s="100"/>
      <c r="S269" s="156" t="str">
        <f t="shared" ca="1" si="48"/>
        <v/>
      </c>
      <c r="T269" s="101"/>
      <c r="U269" s="101"/>
      <c r="V269" s="101"/>
      <c r="W269" s="144"/>
    </row>
    <row r="270" spans="1:23" ht="24" customHeight="1" x14ac:dyDescent="0.25">
      <c r="A270" s="90">
        <v>30</v>
      </c>
      <c r="B270" s="19" t="str">
        <f>IFERROR(IF(VLOOKUP(T_SuiviTw[[#This Row],[NumL]],T_suiviDi[#Data],COLUMN(T_suiviDi[[#This Row],[Nom]]),FALSE)&lt;&gt;"",VLOOKUP(T_SuiviTw[[#This Row],[NumL]],T_suiviDi[#Data],COLUMN(T_suiviDi[[#This Row],[Nom]]),FALSE),""),"")</f>
        <v/>
      </c>
      <c r="C270" s="19" t="str">
        <f>IFERROR(IF(VLOOKUP(T_SuiviTw[[#This Row],[NumL]],T_suiviDi[#Data],COLUMN(T_suiviDi[[#This Row],[Prénom]]),FALSE)&lt;&gt;"",VLOOKUP(T_SuiviTw[[#This Row],[NumL]],T_suiviDi[#Data],COLUMN(T_suiviDi[[#This Row],[Prénom]]),FALSE),""),"")</f>
        <v/>
      </c>
      <c r="D270" s="20" t="str">
        <f>IFERROR(IF(VLOOKUP(T_SuiviTw[[#This Row],[NumL]],T_suiviDi[#Data],COLUMN(T_suiviDi[[#This Row],[Email]]),FALSE)&lt;&gt;"",VLOOKUP(T_SuiviTw[[#This Row],[NumL]],T_suiviDi[#Data],COLUMN(T_suiviDi[[#This Row],[Email]]),FALSE),""),"")</f>
        <v/>
      </c>
      <c r="E270" s="274" t="str">
        <f>IFERROR(IF(VLOOKUP(T_SuiviTw[[#This Row],[NumL]],T_suiviDi[#Data],COLUMN(T_suiviDi[[#This Row],[Nom1]]),FALSE)&lt;&gt;"",VLOOKUP(T_SuiviTw[[#This Row],[NumL]],T_suiviDi[#Data],COLUMN(T_suiviDi[[#This Row],[Nom1]]),FALSE),""),"")</f>
        <v/>
      </c>
      <c r="F270" s="274" t="str">
        <f>IFERROR(IF(VLOOKUP(T_SuiviTw[[#This Row],[NumL]],T_suiviDi[#Data],COLUMN(T_suiviDi[[#This Row],[Prénom1]]),FALSE)&lt;&gt;"",VLOOKUP(T_SuiviTw[[#This Row],[NumL]],T_suiviDi[#Data],COLUMN(T_suiviDi[[#This Row],[Prénom1]]),FALSE),""),"")</f>
        <v/>
      </c>
      <c r="G270" s="274" t="str">
        <f>IFERROR(IF(VLOOKUP(T_SuiviTw[[#This Row],[NumL]],T_suiviDi[#Data],COLUMN(T_suiviDi[[#This Row],[Email1]]),FALSE)&lt;&gt;"",VLOOKUP(T_SuiviTw[[#This Row],[NumL]],T_suiviDi[#Data],COLUMN(T_suiviDi[[#This Row],[Email1]]),FALSE),""),"")</f>
        <v/>
      </c>
      <c r="H270" s="275" t="str">
        <f t="shared" si="42"/>
        <v/>
      </c>
      <c r="I270" s="100"/>
      <c r="J270" s="156" t="str">
        <f t="shared" si="43"/>
        <v/>
      </c>
      <c r="K270" s="155" t="str">
        <f t="shared" si="44"/>
        <v/>
      </c>
      <c r="L270" s="100"/>
      <c r="M270" s="156" t="str">
        <f t="shared" ca="1" si="45"/>
        <v/>
      </c>
      <c r="N270" s="49"/>
      <c r="O270" s="49"/>
      <c r="P270" s="105" t="str">
        <f t="shared" si="46"/>
        <v/>
      </c>
      <c r="Q270" s="155" t="str">
        <f t="shared" si="47"/>
        <v/>
      </c>
      <c r="R270" s="100"/>
      <c r="S270" s="156" t="str">
        <f t="shared" ca="1" si="48"/>
        <v/>
      </c>
      <c r="T270" s="101"/>
      <c r="U270" s="101"/>
      <c r="V270" s="101"/>
      <c r="W270" s="144"/>
    </row>
    <row r="271" spans="1:23" ht="24" customHeight="1" x14ac:dyDescent="0.25">
      <c r="A271" s="90">
        <v>223</v>
      </c>
      <c r="B271" s="19" t="str">
        <f>IFERROR(IF(VLOOKUP(T_SuiviTw[[#This Row],[NumL]],T_suiviDi[#Data],COLUMN(T_suiviDi[[#This Row],[Nom]]),FALSE)&lt;&gt;"",VLOOKUP(T_SuiviTw[[#This Row],[NumL]],T_suiviDi[#Data],COLUMN(T_suiviDi[[#This Row],[Nom]]),FALSE),""),"")</f>
        <v/>
      </c>
      <c r="C271" s="19" t="str">
        <f>IFERROR(IF(VLOOKUP(T_SuiviTw[[#This Row],[NumL]],T_suiviDi[#Data],COLUMN(T_suiviDi[[#This Row],[Prénom]]),FALSE)&lt;&gt;"",VLOOKUP(T_SuiviTw[[#This Row],[NumL]],T_suiviDi[#Data],COLUMN(T_suiviDi[[#This Row],[Prénom]]),FALSE),""),"")</f>
        <v/>
      </c>
      <c r="D271" s="20" t="str">
        <f>IFERROR(IF(VLOOKUP(T_SuiviTw[[#This Row],[NumL]],T_suiviDi[#Data],COLUMN(T_suiviDi[[#This Row],[Email]]),FALSE)&lt;&gt;"",VLOOKUP(T_SuiviTw[[#This Row],[NumL]],T_suiviDi[#Data],COLUMN(T_suiviDi[[#This Row],[Email]]),FALSE),""),"")</f>
        <v/>
      </c>
      <c r="E271" s="274" t="str">
        <f>IFERROR(IF(VLOOKUP(T_SuiviTw[[#This Row],[NumL]],T_suiviDi[#Data],COLUMN(T_suiviDi[[#This Row],[Nom1]]),FALSE)&lt;&gt;"",VLOOKUP(T_SuiviTw[[#This Row],[NumL]],T_suiviDi[#Data],COLUMN(T_suiviDi[[#This Row],[Nom1]]),FALSE),""),"")</f>
        <v/>
      </c>
      <c r="F271" s="274" t="str">
        <f>IFERROR(IF(VLOOKUP(T_SuiviTw[[#This Row],[NumL]],T_suiviDi[#Data],COLUMN(T_suiviDi[[#This Row],[Prénom1]]),FALSE)&lt;&gt;"",VLOOKUP(T_SuiviTw[[#This Row],[NumL]],T_suiviDi[#Data],COLUMN(T_suiviDi[[#This Row],[Prénom1]]),FALSE),""),"")</f>
        <v/>
      </c>
      <c r="G271" s="274" t="str">
        <f>IFERROR(IF(VLOOKUP(T_SuiviTw[[#This Row],[NumL]],T_suiviDi[#Data],COLUMN(T_suiviDi[[#This Row],[Email1]]),FALSE)&lt;&gt;"",VLOOKUP(T_SuiviTw[[#This Row],[NumL]],T_suiviDi[#Data],COLUMN(T_suiviDi[[#This Row],[Email1]]),FALSE),""),"")</f>
        <v/>
      </c>
      <c r="H271" s="275" t="str">
        <f t="shared" si="42"/>
        <v/>
      </c>
      <c r="I271" s="100"/>
      <c r="J271" s="156" t="str">
        <f t="shared" si="43"/>
        <v/>
      </c>
      <c r="K271" s="155" t="str">
        <f t="shared" si="44"/>
        <v/>
      </c>
      <c r="L271" s="100"/>
      <c r="M271" s="156" t="str">
        <f t="shared" ca="1" si="45"/>
        <v/>
      </c>
      <c r="N271" s="49"/>
      <c r="O271" s="49"/>
      <c r="P271" s="105" t="str">
        <f t="shared" si="46"/>
        <v/>
      </c>
      <c r="Q271" s="155" t="str">
        <f t="shared" si="47"/>
        <v/>
      </c>
      <c r="R271" s="100"/>
      <c r="S271" s="156" t="str">
        <f t="shared" ca="1" si="48"/>
        <v/>
      </c>
      <c r="T271" s="101"/>
      <c r="U271" s="101"/>
      <c r="V271" s="101"/>
      <c r="W271" s="144"/>
    </row>
    <row r="272" spans="1:23" ht="24" customHeight="1" x14ac:dyDescent="0.25">
      <c r="A272" s="90">
        <v>73</v>
      </c>
      <c r="B272" s="19" t="str">
        <f>IFERROR(IF(VLOOKUP(T_SuiviTw[[#This Row],[NumL]],T_suiviDi[#Data],COLUMN(T_suiviDi[[#This Row],[Nom]]),FALSE)&lt;&gt;"",VLOOKUP(T_SuiviTw[[#This Row],[NumL]],T_suiviDi[#Data],COLUMN(T_suiviDi[[#This Row],[Nom]]),FALSE),""),"")</f>
        <v/>
      </c>
      <c r="C272" s="19" t="str">
        <f>IFERROR(IF(VLOOKUP(T_SuiviTw[[#This Row],[NumL]],T_suiviDi[#Data],COLUMN(T_suiviDi[[#This Row],[Prénom]]),FALSE)&lt;&gt;"",VLOOKUP(T_SuiviTw[[#This Row],[NumL]],T_suiviDi[#Data],COLUMN(T_suiviDi[[#This Row],[Prénom]]),FALSE),""),"")</f>
        <v/>
      </c>
      <c r="D272" s="20" t="str">
        <f>IFERROR(IF(VLOOKUP(T_SuiviTw[[#This Row],[NumL]],T_suiviDi[#Data],COLUMN(T_suiviDi[[#This Row],[Email]]),FALSE)&lt;&gt;"",VLOOKUP(T_SuiviTw[[#This Row],[NumL]],T_suiviDi[#Data],COLUMN(T_suiviDi[[#This Row],[Email]]),FALSE),""),"")</f>
        <v/>
      </c>
      <c r="E272" s="274" t="str">
        <f>IFERROR(IF(VLOOKUP(T_SuiviTw[[#This Row],[NumL]],T_suiviDi[#Data],COLUMN(T_suiviDi[[#This Row],[Nom1]]),FALSE)&lt;&gt;"",VLOOKUP(T_SuiviTw[[#This Row],[NumL]],T_suiviDi[#Data],COLUMN(T_suiviDi[[#This Row],[Nom1]]),FALSE),""),"")</f>
        <v/>
      </c>
      <c r="F272" s="274" t="str">
        <f>IFERROR(IF(VLOOKUP(T_SuiviTw[[#This Row],[NumL]],T_suiviDi[#Data],COLUMN(T_suiviDi[[#This Row],[Prénom1]]),FALSE)&lt;&gt;"",VLOOKUP(T_SuiviTw[[#This Row],[NumL]],T_suiviDi[#Data],COLUMN(T_suiviDi[[#This Row],[Prénom1]]),FALSE),""),"")</f>
        <v/>
      </c>
      <c r="G272" s="274" t="str">
        <f>IFERROR(IF(VLOOKUP(T_SuiviTw[[#This Row],[NumL]],T_suiviDi[#Data],COLUMN(T_suiviDi[[#This Row],[Email1]]),FALSE)&lt;&gt;"",VLOOKUP(T_SuiviTw[[#This Row],[NumL]],T_suiviDi[#Data],COLUMN(T_suiviDi[[#This Row],[Email1]]),FALSE),""),"")</f>
        <v/>
      </c>
      <c r="H272" s="275" t="str">
        <f t="shared" si="42"/>
        <v/>
      </c>
      <c r="I272" s="100"/>
      <c r="J272" s="156" t="str">
        <f t="shared" si="43"/>
        <v/>
      </c>
      <c r="K272" s="155" t="str">
        <f t="shared" si="44"/>
        <v/>
      </c>
      <c r="L272" s="100"/>
      <c r="M272" s="156" t="str">
        <f t="shared" ca="1" si="45"/>
        <v/>
      </c>
      <c r="N272" s="49"/>
      <c r="O272" s="49"/>
      <c r="P272" s="105" t="str">
        <f t="shared" si="46"/>
        <v/>
      </c>
      <c r="Q272" s="155" t="str">
        <f t="shared" si="47"/>
        <v/>
      </c>
      <c r="R272" s="100"/>
      <c r="S272" s="156" t="str">
        <f t="shared" ca="1" si="48"/>
        <v/>
      </c>
      <c r="T272" s="101"/>
      <c r="U272" s="101"/>
      <c r="V272" s="101"/>
      <c r="W272" s="144"/>
    </row>
    <row r="273" spans="1:23" ht="24" customHeight="1" x14ac:dyDescent="0.25">
      <c r="A273" s="90">
        <v>232</v>
      </c>
      <c r="B273" s="19" t="str">
        <f>IFERROR(IF(VLOOKUP(T_SuiviTw[[#This Row],[NumL]],T_suiviDi[#Data],COLUMN(T_suiviDi[[#This Row],[Nom]]),FALSE)&lt;&gt;"",VLOOKUP(T_SuiviTw[[#This Row],[NumL]],T_suiviDi[#Data],COLUMN(T_suiviDi[[#This Row],[Nom]]),FALSE),""),"")</f>
        <v/>
      </c>
      <c r="C273" s="19" t="str">
        <f>IFERROR(IF(VLOOKUP(T_SuiviTw[[#This Row],[NumL]],T_suiviDi[#Data],COLUMN(T_suiviDi[[#This Row],[Prénom]]),FALSE)&lt;&gt;"",VLOOKUP(T_SuiviTw[[#This Row],[NumL]],T_suiviDi[#Data],COLUMN(T_suiviDi[[#This Row],[Prénom]]),FALSE),""),"")</f>
        <v/>
      </c>
      <c r="D273" s="20" t="str">
        <f>IFERROR(IF(VLOOKUP(T_SuiviTw[[#This Row],[NumL]],T_suiviDi[#Data],COLUMN(T_suiviDi[[#This Row],[Email]]),FALSE)&lt;&gt;"",VLOOKUP(T_SuiviTw[[#This Row],[NumL]],T_suiviDi[#Data],COLUMN(T_suiviDi[[#This Row],[Email]]),FALSE),""),"")</f>
        <v/>
      </c>
      <c r="E273" s="274" t="str">
        <f>IFERROR(IF(VLOOKUP(T_SuiviTw[[#This Row],[NumL]],T_suiviDi[#Data],COLUMN(T_suiviDi[[#This Row],[Nom1]]),FALSE)&lt;&gt;"",VLOOKUP(T_SuiviTw[[#This Row],[NumL]],T_suiviDi[#Data],COLUMN(T_suiviDi[[#This Row],[Nom1]]),FALSE),""),"")</f>
        <v/>
      </c>
      <c r="F273" s="274" t="str">
        <f>IFERROR(IF(VLOOKUP(T_SuiviTw[[#This Row],[NumL]],T_suiviDi[#Data],COLUMN(T_suiviDi[[#This Row],[Prénom1]]),FALSE)&lt;&gt;"",VLOOKUP(T_SuiviTw[[#This Row],[NumL]],T_suiviDi[#Data],COLUMN(T_suiviDi[[#This Row],[Prénom1]]),FALSE),""),"")</f>
        <v/>
      </c>
      <c r="G273" s="274" t="str">
        <f>IFERROR(IF(VLOOKUP(T_SuiviTw[[#This Row],[NumL]],T_suiviDi[#Data],COLUMN(T_suiviDi[[#This Row],[Email1]]),FALSE)&lt;&gt;"",VLOOKUP(T_SuiviTw[[#This Row],[NumL]],T_suiviDi[#Data],COLUMN(T_suiviDi[[#This Row],[Email1]]),FALSE),""),"")</f>
        <v/>
      </c>
      <c r="H273" s="275" t="str">
        <f t="shared" si="42"/>
        <v/>
      </c>
      <c r="I273" s="100"/>
      <c r="J273" s="156" t="str">
        <f t="shared" si="43"/>
        <v/>
      </c>
      <c r="K273" s="155" t="str">
        <f t="shared" si="44"/>
        <v/>
      </c>
      <c r="L273" s="100"/>
      <c r="M273" s="156" t="str">
        <f t="shared" ca="1" si="45"/>
        <v/>
      </c>
      <c r="N273" s="49"/>
      <c r="O273" s="49"/>
      <c r="P273" s="105" t="str">
        <f t="shared" si="46"/>
        <v/>
      </c>
      <c r="Q273" s="155" t="str">
        <f t="shared" si="47"/>
        <v/>
      </c>
      <c r="R273" s="100"/>
      <c r="S273" s="156" t="str">
        <f t="shared" ca="1" si="48"/>
        <v/>
      </c>
      <c r="T273" s="101"/>
      <c r="U273" s="101"/>
      <c r="V273" s="101"/>
      <c r="W273" s="144"/>
    </row>
    <row r="274" spans="1:23" ht="24" customHeight="1" x14ac:dyDescent="0.25">
      <c r="A274" s="90">
        <v>58</v>
      </c>
      <c r="B274" s="19" t="str">
        <f>IFERROR(IF(VLOOKUP(T_SuiviTw[[#This Row],[NumL]],T_suiviDi[#Data],COLUMN(T_suiviDi[[#This Row],[Nom]]),FALSE)&lt;&gt;"",VLOOKUP(T_SuiviTw[[#This Row],[NumL]],T_suiviDi[#Data],COLUMN(T_suiviDi[[#This Row],[Nom]]),FALSE),""),"")</f>
        <v/>
      </c>
      <c r="C274" s="19" t="str">
        <f>IFERROR(IF(VLOOKUP(T_SuiviTw[[#This Row],[NumL]],T_suiviDi[#Data],COLUMN(T_suiviDi[[#This Row],[Prénom]]),FALSE)&lt;&gt;"",VLOOKUP(T_SuiviTw[[#This Row],[NumL]],T_suiviDi[#Data],COLUMN(T_suiviDi[[#This Row],[Prénom]]),FALSE),""),"")</f>
        <v/>
      </c>
      <c r="D274" s="20" t="str">
        <f>IFERROR(IF(VLOOKUP(T_SuiviTw[[#This Row],[NumL]],T_suiviDi[#Data],COLUMN(T_suiviDi[[#This Row],[Email]]),FALSE)&lt;&gt;"",VLOOKUP(T_SuiviTw[[#This Row],[NumL]],T_suiviDi[#Data],COLUMN(T_suiviDi[[#This Row],[Email]]),FALSE),""),"")</f>
        <v/>
      </c>
      <c r="E274" s="274" t="str">
        <f>IFERROR(IF(VLOOKUP(T_SuiviTw[[#This Row],[NumL]],T_suiviDi[#Data],COLUMN(T_suiviDi[[#This Row],[Nom1]]),FALSE)&lt;&gt;"",VLOOKUP(T_SuiviTw[[#This Row],[NumL]],T_suiviDi[#Data],COLUMN(T_suiviDi[[#This Row],[Nom1]]),FALSE),""),"")</f>
        <v/>
      </c>
      <c r="F274" s="274" t="str">
        <f>IFERROR(IF(VLOOKUP(T_SuiviTw[[#This Row],[NumL]],T_suiviDi[#Data],COLUMN(T_suiviDi[[#This Row],[Prénom1]]),FALSE)&lt;&gt;"",VLOOKUP(T_SuiviTw[[#This Row],[NumL]],T_suiviDi[#Data],COLUMN(T_suiviDi[[#This Row],[Prénom1]]),FALSE),""),"")</f>
        <v/>
      </c>
      <c r="G274" s="274" t="str">
        <f>IFERROR(IF(VLOOKUP(T_SuiviTw[[#This Row],[NumL]],T_suiviDi[#Data],COLUMN(T_suiviDi[[#This Row],[Email1]]),FALSE)&lt;&gt;"",VLOOKUP(T_SuiviTw[[#This Row],[NumL]],T_suiviDi[#Data],COLUMN(T_suiviDi[[#This Row],[Email1]]),FALSE),""),"")</f>
        <v/>
      </c>
      <c r="H274" s="275" t="str">
        <f t="shared" si="42"/>
        <v/>
      </c>
      <c r="I274" s="100"/>
      <c r="J274" s="156" t="str">
        <f t="shared" si="43"/>
        <v/>
      </c>
      <c r="K274" s="155" t="str">
        <f t="shared" si="44"/>
        <v/>
      </c>
      <c r="L274" s="100"/>
      <c r="M274" s="156" t="str">
        <f t="shared" ca="1" si="45"/>
        <v/>
      </c>
      <c r="N274" s="49"/>
      <c r="O274" s="49"/>
      <c r="P274" s="105" t="str">
        <f t="shared" si="46"/>
        <v/>
      </c>
      <c r="Q274" s="155" t="str">
        <f t="shared" si="47"/>
        <v/>
      </c>
      <c r="R274" s="100"/>
      <c r="S274" s="156" t="str">
        <f t="shared" ca="1" si="48"/>
        <v/>
      </c>
      <c r="T274" s="101"/>
      <c r="U274" s="101"/>
      <c r="V274" s="101"/>
      <c r="W274" s="144"/>
    </row>
    <row r="275" spans="1:23" ht="24" customHeight="1" x14ac:dyDescent="0.25">
      <c r="A275" s="90">
        <v>116</v>
      </c>
      <c r="B275" s="19" t="str">
        <f>IFERROR(IF(VLOOKUP(T_SuiviTw[[#This Row],[NumL]],T_suiviDi[#Data],COLUMN(T_suiviDi[[#This Row],[Nom]]),FALSE)&lt;&gt;"",VLOOKUP(T_SuiviTw[[#This Row],[NumL]],T_suiviDi[#Data],COLUMN(T_suiviDi[[#This Row],[Nom]]),FALSE),""),"")</f>
        <v/>
      </c>
      <c r="C275" s="19" t="str">
        <f>IFERROR(IF(VLOOKUP(T_SuiviTw[[#This Row],[NumL]],T_suiviDi[#Data],COLUMN(T_suiviDi[[#This Row],[Prénom]]),FALSE)&lt;&gt;"",VLOOKUP(T_SuiviTw[[#This Row],[NumL]],T_suiviDi[#Data],COLUMN(T_suiviDi[[#This Row],[Prénom]]),FALSE),""),"")</f>
        <v/>
      </c>
      <c r="D275" s="20" t="str">
        <f>IFERROR(IF(VLOOKUP(T_SuiviTw[[#This Row],[NumL]],T_suiviDi[#Data],COLUMN(T_suiviDi[[#This Row],[Email]]),FALSE)&lt;&gt;"",VLOOKUP(T_SuiviTw[[#This Row],[NumL]],T_suiviDi[#Data],COLUMN(T_suiviDi[[#This Row],[Email]]),FALSE),""),"")</f>
        <v/>
      </c>
      <c r="E275" s="274" t="str">
        <f>IFERROR(IF(VLOOKUP(T_SuiviTw[[#This Row],[NumL]],T_suiviDi[#Data],COLUMN(T_suiviDi[[#This Row],[Nom1]]),FALSE)&lt;&gt;"",VLOOKUP(T_SuiviTw[[#This Row],[NumL]],T_suiviDi[#Data],COLUMN(T_suiviDi[[#This Row],[Nom1]]),FALSE),""),"")</f>
        <v/>
      </c>
      <c r="F275" s="274" t="str">
        <f>IFERROR(IF(VLOOKUP(T_SuiviTw[[#This Row],[NumL]],T_suiviDi[#Data],COLUMN(T_suiviDi[[#This Row],[Prénom1]]),FALSE)&lt;&gt;"",VLOOKUP(T_SuiviTw[[#This Row],[NumL]],T_suiviDi[#Data],COLUMN(T_suiviDi[[#This Row],[Prénom1]]),FALSE),""),"")</f>
        <v/>
      </c>
      <c r="G275" s="274" t="str">
        <f>IFERROR(IF(VLOOKUP(T_SuiviTw[[#This Row],[NumL]],T_suiviDi[#Data],COLUMN(T_suiviDi[[#This Row],[Email1]]),FALSE)&lt;&gt;"",VLOOKUP(T_SuiviTw[[#This Row],[NumL]],T_suiviDi[#Data],COLUMN(T_suiviDi[[#This Row],[Email1]]),FALSE),""),"")</f>
        <v/>
      </c>
      <c r="H275" s="275" t="str">
        <f t="shared" si="42"/>
        <v/>
      </c>
      <c r="I275" s="100"/>
      <c r="J275" s="156" t="str">
        <f t="shared" si="43"/>
        <v/>
      </c>
      <c r="K275" s="155" t="str">
        <f t="shared" si="44"/>
        <v/>
      </c>
      <c r="L275" s="100"/>
      <c r="M275" s="156" t="str">
        <f t="shared" ca="1" si="45"/>
        <v/>
      </c>
      <c r="N275" s="49"/>
      <c r="O275" s="49"/>
      <c r="P275" s="105" t="str">
        <f t="shared" si="46"/>
        <v/>
      </c>
      <c r="Q275" s="155" t="str">
        <f t="shared" si="47"/>
        <v/>
      </c>
      <c r="R275" s="100"/>
      <c r="S275" s="156" t="str">
        <f t="shared" ca="1" si="48"/>
        <v/>
      </c>
      <c r="T275" s="101"/>
      <c r="U275" s="101"/>
      <c r="V275" s="101"/>
      <c r="W275" s="144"/>
    </row>
    <row r="276" spans="1:23" ht="24" customHeight="1" x14ac:dyDescent="0.25">
      <c r="A276" s="90">
        <v>111</v>
      </c>
      <c r="B276" s="19" t="str">
        <f>IFERROR(IF(VLOOKUP(T_SuiviTw[[#This Row],[NumL]],T_suiviDi[#Data],COLUMN(T_suiviDi[[#This Row],[Nom]]),FALSE)&lt;&gt;"",VLOOKUP(T_SuiviTw[[#This Row],[NumL]],T_suiviDi[#Data],COLUMN(T_suiviDi[[#This Row],[Nom]]),FALSE),""),"")</f>
        <v/>
      </c>
      <c r="C276" s="19" t="str">
        <f>IFERROR(IF(VLOOKUP(T_SuiviTw[[#This Row],[NumL]],T_suiviDi[#Data],COLUMN(T_suiviDi[[#This Row],[Prénom]]),FALSE)&lt;&gt;"",VLOOKUP(T_SuiviTw[[#This Row],[NumL]],T_suiviDi[#Data],COLUMN(T_suiviDi[[#This Row],[Prénom]]),FALSE),""),"")</f>
        <v/>
      </c>
      <c r="D276" s="20" t="str">
        <f>IFERROR(IF(VLOOKUP(T_SuiviTw[[#This Row],[NumL]],T_suiviDi[#Data],COLUMN(T_suiviDi[[#This Row],[Email]]),FALSE)&lt;&gt;"",VLOOKUP(T_SuiviTw[[#This Row],[NumL]],T_suiviDi[#Data],COLUMN(T_suiviDi[[#This Row],[Email]]),FALSE),""),"")</f>
        <v/>
      </c>
      <c r="E276" s="274" t="str">
        <f>IFERROR(IF(VLOOKUP(T_SuiviTw[[#This Row],[NumL]],T_suiviDi[#Data],COLUMN(T_suiviDi[[#This Row],[Nom1]]),FALSE)&lt;&gt;"",VLOOKUP(T_SuiviTw[[#This Row],[NumL]],T_suiviDi[#Data],COLUMN(T_suiviDi[[#This Row],[Nom1]]),FALSE),""),"")</f>
        <v/>
      </c>
      <c r="F276" s="274" t="str">
        <f>IFERROR(IF(VLOOKUP(T_SuiviTw[[#This Row],[NumL]],T_suiviDi[#Data],COLUMN(T_suiviDi[[#This Row],[Prénom1]]),FALSE)&lt;&gt;"",VLOOKUP(T_SuiviTw[[#This Row],[NumL]],T_suiviDi[#Data],COLUMN(T_suiviDi[[#This Row],[Prénom1]]),FALSE),""),"")</f>
        <v/>
      </c>
      <c r="G276" s="274" t="str">
        <f>IFERROR(IF(VLOOKUP(T_SuiviTw[[#This Row],[NumL]],T_suiviDi[#Data],COLUMN(T_suiviDi[[#This Row],[Email1]]),FALSE)&lt;&gt;"",VLOOKUP(T_SuiviTw[[#This Row],[NumL]],T_suiviDi[#Data],COLUMN(T_suiviDi[[#This Row],[Email1]]),FALSE),""),"")</f>
        <v/>
      </c>
      <c r="H276" s="275" t="str">
        <f t="shared" si="42"/>
        <v/>
      </c>
      <c r="I276" s="100"/>
      <c r="J276" s="156" t="str">
        <f t="shared" si="43"/>
        <v/>
      </c>
      <c r="K276" s="155" t="str">
        <f t="shared" si="44"/>
        <v/>
      </c>
      <c r="L276" s="100"/>
      <c r="M276" s="156" t="str">
        <f t="shared" ca="1" si="45"/>
        <v/>
      </c>
      <c r="N276" s="49"/>
      <c r="O276" s="49"/>
      <c r="P276" s="105" t="str">
        <f t="shared" si="46"/>
        <v/>
      </c>
      <c r="Q276" s="155" t="str">
        <f t="shared" si="47"/>
        <v/>
      </c>
      <c r="R276" s="100"/>
      <c r="S276" s="156" t="str">
        <f t="shared" ca="1" si="48"/>
        <v/>
      </c>
      <c r="T276" s="101"/>
      <c r="U276" s="101"/>
      <c r="V276" s="101"/>
      <c r="W276" s="144"/>
    </row>
    <row r="277" spans="1:23" ht="24" customHeight="1" x14ac:dyDescent="0.25">
      <c r="A277" s="90">
        <v>183</v>
      </c>
      <c r="B277" s="19" t="str">
        <f>IFERROR(IF(VLOOKUP(T_SuiviTw[[#This Row],[NumL]],T_suiviDi[#Data],COLUMN(T_suiviDi[[#This Row],[Nom]]),FALSE)&lt;&gt;"",VLOOKUP(T_SuiviTw[[#This Row],[NumL]],T_suiviDi[#Data],COLUMN(T_suiviDi[[#This Row],[Nom]]),FALSE),""),"")</f>
        <v/>
      </c>
      <c r="C277" s="19" t="str">
        <f>IFERROR(IF(VLOOKUP(T_SuiviTw[[#This Row],[NumL]],T_suiviDi[#Data],COLUMN(T_suiviDi[[#This Row],[Prénom]]),FALSE)&lt;&gt;"",VLOOKUP(T_SuiviTw[[#This Row],[NumL]],T_suiviDi[#Data],COLUMN(T_suiviDi[[#This Row],[Prénom]]),FALSE),""),"")</f>
        <v/>
      </c>
      <c r="D277" s="20" t="str">
        <f>IFERROR(IF(VLOOKUP(T_SuiviTw[[#This Row],[NumL]],T_suiviDi[#Data],COLUMN(T_suiviDi[[#This Row],[Email]]),FALSE)&lt;&gt;"",VLOOKUP(T_SuiviTw[[#This Row],[NumL]],T_suiviDi[#Data],COLUMN(T_suiviDi[[#This Row],[Email]]),FALSE),""),"")</f>
        <v/>
      </c>
      <c r="E277" s="274" t="str">
        <f>IFERROR(IF(VLOOKUP(T_SuiviTw[[#This Row],[NumL]],T_suiviDi[#Data],COLUMN(T_suiviDi[[#This Row],[Nom1]]),FALSE)&lt;&gt;"",VLOOKUP(T_SuiviTw[[#This Row],[NumL]],T_suiviDi[#Data],COLUMN(T_suiviDi[[#This Row],[Nom1]]),FALSE),""),"")</f>
        <v/>
      </c>
      <c r="F277" s="274" t="str">
        <f>IFERROR(IF(VLOOKUP(T_SuiviTw[[#This Row],[NumL]],T_suiviDi[#Data],COLUMN(T_suiviDi[[#This Row],[Prénom1]]),FALSE)&lt;&gt;"",VLOOKUP(T_SuiviTw[[#This Row],[NumL]],T_suiviDi[#Data],COLUMN(T_suiviDi[[#This Row],[Prénom1]]),FALSE),""),"")</f>
        <v/>
      </c>
      <c r="G277" s="274" t="str">
        <f>IFERROR(IF(VLOOKUP(T_SuiviTw[[#This Row],[NumL]],T_suiviDi[#Data],COLUMN(T_suiviDi[[#This Row],[Email1]]),FALSE)&lt;&gt;"",VLOOKUP(T_SuiviTw[[#This Row],[NumL]],T_suiviDi[#Data],COLUMN(T_suiviDi[[#This Row],[Email1]]),FALSE),""),"")</f>
        <v/>
      </c>
      <c r="H277" s="275" t="str">
        <f t="shared" si="42"/>
        <v/>
      </c>
      <c r="I277" s="100"/>
      <c r="J277" s="156" t="str">
        <f t="shared" si="43"/>
        <v/>
      </c>
      <c r="K277" s="155" t="str">
        <f t="shared" si="44"/>
        <v/>
      </c>
      <c r="L277" s="100"/>
      <c r="M277" s="156" t="str">
        <f t="shared" ca="1" si="45"/>
        <v/>
      </c>
      <c r="N277" s="49"/>
      <c r="O277" s="49"/>
      <c r="P277" s="105" t="str">
        <f t="shared" si="46"/>
        <v/>
      </c>
      <c r="Q277" s="155" t="str">
        <f t="shared" si="47"/>
        <v/>
      </c>
      <c r="R277" s="100"/>
      <c r="S277" s="156" t="str">
        <f t="shared" ca="1" si="48"/>
        <v/>
      </c>
      <c r="T277" s="101"/>
      <c r="U277" s="101"/>
      <c r="V277" s="101"/>
      <c r="W277" s="144"/>
    </row>
    <row r="278" spans="1:23" ht="24" customHeight="1" x14ac:dyDescent="0.25">
      <c r="A278" s="90">
        <v>319</v>
      </c>
      <c r="B278" s="139" t="str">
        <f>IFERROR(IF(VLOOKUP(T_SuiviTw[[#This Row],[NumL]],T_suiviDi[#Data],COLUMN(T_suiviDi[[#This Row],[Nom]]),FALSE)&lt;&gt;"",VLOOKUP(T_SuiviTw[[#This Row],[NumL]],T_suiviDi[#Data],COLUMN(T_suiviDi[[#This Row],[Nom]]),FALSE),""),"")</f>
        <v/>
      </c>
      <c r="C278" s="139" t="str">
        <f>IFERROR(IF(VLOOKUP(T_SuiviTw[[#This Row],[NumL]],T_suiviDi[#Data],COLUMN(T_suiviDi[[#This Row],[Prénom]]),FALSE)&lt;&gt;"",VLOOKUP(T_SuiviTw[[#This Row],[NumL]],T_suiviDi[#Data],COLUMN(T_suiviDi[[#This Row],[Prénom]]),FALSE),""),"")</f>
        <v/>
      </c>
      <c r="D278" s="140" t="str">
        <f>IFERROR(IF(VLOOKUP(T_SuiviTw[[#This Row],[NumL]],T_suiviDi[#Data],COLUMN(T_suiviDi[[#This Row],[Email]]),FALSE)&lt;&gt;"",VLOOKUP(T_SuiviTw[[#This Row],[NumL]],T_suiviDi[#Data],COLUMN(T_suiviDi[[#This Row],[Email]]),FALSE),""),"")</f>
        <v/>
      </c>
      <c r="E278" s="141" t="str">
        <f>IFERROR(IF(VLOOKUP(T_SuiviTw[[#This Row],[NumL]],T_suiviDi[#Data],COLUMN(T_suiviDi[[#This Row],[Nom1]]),FALSE)&lt;&gt;"",VLOOKUP(T_SuiviTw[[#This Row],[NumL]],T_suiviDi[#Data],COLUMN(T_suiviDi[[#This Row],[Nom1]]),FALSE),""),"")</f>
        <v/>
      </c>
      <c r="F278" s="141" t="str">
        <f>IFERROR(IF(VLOOKUP(T_SuiviTw[[#This Row],[NumL]],T_suiviDi[#Data],COLUMN(T_suiviDi[[#This Row],[Prénom1]]),FALSE)&lt;&gt;"",VLOOKUP(T_SuiviTw[[#This Row],[NumL]],T_suiviDi[#Data],COLUMN(T_suiviDi[[#This Row],[Prénom1]]),FALSE),""),"")</f>
        <v/>
      </c>
      <c r="G278" s="141" t="str">
        <f>IFERROR(IF(VLOOKUP(T_SuiviTw[[#This Row],[NumL]],T_suiviDi[#Data],COLUMN(T_suiviDi[[#This Row],[Email1]]),FALSE)&lt;&gt;"",VLOOKUP(T_SuiviTw[[#This Row],[NumL]],T_suiviDi[#Data],COLUMN(T_suiviDi[[#This Row],[Email1]]),FALSE),""),"")</f>
        <v/>
      </c>
      <c r="H278" s="155" t="str">
        <f t="shared" si="42"/>
        <v/>
      </c>
      <c r="I278" s="100"/>
      <c r="J278" s="156" t="str">
        <f t="shared" si="43"/>
        <v/>
      </c>
      <c r="K278" s="155" t="str">
        <f t="shared" si="44"/>
        <v/>
      </c>
      <c r="L278" s="100"/>
      <c r="M278" s="156" t="str">
        <f t="shared" ca="1" si="45"/>
        <v/>
      </c>
      <c r="N278" s="49"/>
      <c r="O278" s="49"/>
      <c r="P278" s="105" t="str">
        <f t="shared" si="46"/>
        <v/>
      </c>
      <c r="Q278" s="155" t="str">
        <f t="shared" si="47"/>
        <v/>
      </c>
      <c r="R278" s="100"/>
      <c r="S278" s="156" t="str">
        <f t="shared" ca="1" si="48"/>
        <v/>
      </c>
      <c r="T278" s="101"/>
      <c r="U278" s="101"/>
      <c r="V278" s="101"/>
      <c r="W278" s="144"/>
    </row>
    <row r="279" spans="1:23" ht="24" customHeight="1" x14ac:dyDescent="0.25">
      <c r="A279" s="90">
        <v>120</v>
      </c>
      <c r="B279" s="19" t="str">
        <f>IFERROR(IF(VLOOKUP(T_SuiviTw[[#This Row],[NumL]],T_suiviDi[#Data],COLUMN(T_suiviDi[[#This Row],[Nom]]),FALSE)&lt;&gt;"",VLOOKUP(T_SuiviTw[[#This Row],[NumL]],T_suiviDi[#Data],COLUMN(T_suiviDi[[#This Row],[Nom]]),FALSE),""),"")</f>
        <v/>
      </c>
      <c r="C279" s="19" t="str">
        <f>IFERROR(IF(VLOOKUP(T_SuiviTw[[#This Row],[NumL]],T_suiviDi[#Data],COLUMN(T_suiviDi[[#This Row],[Prénom]]),FALSE)&lt;&gt;"",VLOOKUP(T_SuiviTw[[#This Row],[NumL]],T_suiviDi[#Data],COLUMN(T_suiviDi[[#This Row],[Prénom]]),FALSE),""),"")</f>
        <v/>
      </c>
      <c r="D279" s="20" t="str">
        <f>IFERROR(IF(VLOOKUP(T_SuiviTw[[#This Row],[NumL]],T_suiviDi[#Data],COLUMN(T_suiviDi[[#This Row],[Email]]),FALSE)&lt;&gt;"",VLOOKUP(T_SuiviTw[[#This Row],[NumL]],T_suiviDi[#Data],COLUMN(T_suiviDi[[#This Row],[Email]]),FALSE),""),"")</f>
        <v/>
      </c>
      <c r="E279" s="274" t="str">
        <f>IFERROR(IF(VLOOKUP(T_SuiviTw[[#This Row],[NumL]],T_suiviDi[#Data],COLUMN(T_suiviDi[[#This Row],[Nom1]]),FALSE)&lt;&gt;"",VLOOKUP(T_SuiviTw[[#This Row],[NumL]],T_suiviDi[#Data],COLUMN(T_suiviDi[[#This Row],[Nom1]]),FALSE),""),"")</f>
        <v/>
      </c>
      <c r="F279" s="274" t="str">
        <f>IFERROR(IF(VLOOKUP(T_SuiviTw[[#This Row],[NumL]],T_suiviDi[#Data],COLUMN(T_suiviDi[[#This Row],[Prénom1]]),FALSE)&lt;&gt;"",VLOOKUP(T_SuiviTw[[#This Row],[NumL]],T_suiviDi[#Data],COLUMN(T_suiviDi[[#This Row],[Prénom1]]),FALSE),""),"")</f>
        <v/>
      </c>
      <c r="G279" s="274" t="str">
        <f>IFERROR(IF(VLOOKUP(T_SuiviTw[[#This Row],[NumL]],T_suiviDi[#Data],COLUMN(T_suiviDi[[#This Row],[Email1]]),FALSE)&lt;&gt;"",VLOOKUP(T_SuiviTw[[#This Row],[NumL]],T_suiviDi[#Data],COLUMN(T_suiviDi[[#This Row],[Email1]]),FALSE),""),"")</f>
        <v/>
      </c>
      <c r="H279" s="275" t="str">
        <f t="shared" si="42"/>
        <v/>
      </c>
      <c r="I279" s="100"/>
      <c r="J279" s="156" t="str">
        <f t="shared" si="43"/>
        <v/>
      </c>
      <c r="K279" s="155" t="str">
        <f t="shared" si="44"/>
        <v/>
      </c>
      <c r="L279" s="100"/>
      <c r="M279" s="156" t="str">
        <f t="shared" ca="1" si="45"/>
        <v/>
      </c>
      <c r="N279" s="49"/>
      <c r="O279" s="49"/>
      <c r="P279" s="105" t="str">
        <f t="shared" si="46"/>
        <v/>
      </c>
      <c r="Q279" s="155" t="str">
        <f t="shared" si="47"/>
        <v/>
      </c>
      <c r="R279" s="100"/>
      <c r="S279" s="156" t="str">
        <f t="shared" ca="1" si="48"/>
        <v/>
      </c>
      <c r="T279" s="101"/>
      <c r="U279" s="101"/>
      <c r="V279" s="101"/>
      <c r="W279" s="144"/>
    </row>
    <row r="280" spans="1:23" ht="24" customHeight="1" x14ac:dyDescent="0.25">
      <c r="A280" s="90">
        <v>53</v>
      </c>
      <c r="B280" s="19" t="str">
        <f>IFERROR(IF(VLOOKUP(T_SuiviTw[[#This Row],[NumL]],T_suiviDi[#Data],COLUMN(T_suiviDi[[#This Row],[Nom]]),FALSE)&lt;&gt;"",VLOOKUP(T_SuiviTw[[#This Row],[NumL]],T_suiviDi[#Data],COLUMN(T_suiviDi[[#This Row],[Nom]]),FALSE),""),"")</f>
        <v/>
      </c>
      <c r="C280" s="19" t="str">
        <f>IFERROR(IF(VLOOKUP(T_SuiviTw[[#This Row],[NumL]],T_suiviDi[#Data],COLUMN(T_suiviDi[[#This Row],[Prénom]]),FALSE)&lt;&gt;"",VLOOKUP(T_SuiviTw[[#This Row],[NumL]],T_suiviDi[#Data],COLUMN(T_suiviDi[[#This Row],[Prénom]]),FALSE),""),"")</f>
        <v/>
      </c>
      <c r="D280" s="20" t="str">
        <f>IFERROR(IF(VLOOKUP(T_SuiviTw[[#This Row],[NumL]],T_suiviDi[#Data],COLUMN(T_suiviDi[[#This Row],[Email]]),FALSE)&lt;&gt;"",VLOOKUP(T_SuiviTw[[#This Row],[NumL]],T_suiviDi[#Data],COLUMN(T_suiviDi[[#This Row],[Email]]),FALSE),""),"")</f>
        <v/>
      </c>
      <c r="E280" s="274" t="str">
        <f>IFERROR(IF(VLOOKUP(T_SuiviTw[[#This Row],[NumL]],T_suiviDi[#Data],COLUMN(T_suiviDi[[#This Row],[Nom1]]),FALSE)&lt;&gt;"",VLOOKUP(T_SuiviTw[[#This Row],[NumL]],T_suiviDi[#Data],COLUMN(T_suiviDi[[#This Row],[Nom1]]),FALSE),""),"")</f>
        <v/>
      </c>
      <c r="F280" s="274" t="str">
        <f>IFERROR(IF(VLOOKUP(T_SuiviTw[[#This Row],[NumL]],T_suiviDi[#Data],COLUMN(T_suiviDi[[#This Row],[Prénom1]]),FALSE)&lt;&gt;"",VLOOKUP(T_SuiviTw[[#This Row],[NumL]],T_suiviDi[#Data],COLUMN(T_suiviDi[[#This Row],[Prénom1]]),FALSE),""),"")</f>
        <v/>
      </c>
      <c r="G280" s="274" t="str">
        <f>IFERROR(IF(VLOOKUP(T_SuiviTw[[#This Row],[NumL]],T_suiviDi[#Data],COLUMN(T_suiviDi[[#This Row],[Email1]]),FALSE)&lt;&gt;"",VLOOKUP(T_SuiviTw[[#This Row],[NumL]],T_suiviDi[#Data],COLUMN(T_suiviDi[[#This Row],[Email1]]),FALSE),""),"")</f>
        <v/>
      </c>
      <c r="H280" s="275" t="str">
        <f t="shared" si="42"/>
        <v/>
      </c>
      <c r="I280" s="100"/>
      <c r="J280" s="156" t="str">
        <f t="shared" si="43"/>
        <v/>
      </c>
      <c r="K280" s="155" t="str">
        <f t="shared" si="44"/>
        <v/>
      </c>
      <c r="L280" s="100"/>
      <c r="M280" s="156" t="str">
        <f t="shared" ca="1" si="45"/>
        <v/>
      </c>
      <c r="N280" s="49"/>
      <c r="O280" s="49"/>
      <c r="P280" s="105" t="str">
        <f t="shared" si="46"/>
        <v/>
      </c>
      <c r="Q280" s="155" t="str">
        <f t="shared" si="47"/>
        <v/>
      </c>
      <c r="R280" s="100"/>
      <c r="S280" s="156" t="str">
        <f t="shared" ca="1" si="48"/>
        <v/>
      </c>
      <c r="T280" s="101"/>
      <c r="U280" s="101"/>
      <c r="V280" s="101"/>
      <c r="W280" s="144"/>
    </row>
    <row r="281" spans="1:23" ht="24" customHeight="1" x14ac:dyDescent="0.25">
      <c r="A281" s="90">
        <v>301</v>
      </c>
      <c r="B281" s="139" t="str">
        <f>IFERROR(IF(VLOOKUP(T_SuiviTw[[#This Row],[NumL]],T_suiviDi[#Data],COLUMN(T_suiviDi[[#This Row],[Nom]]),FALSE)&lt;&gt;"",VLOOKUP(T_SuiviTw[[#This Row],[NumL]],T_suiviDi[#Data],COLUMN(T_suiviDi[[#This Row],[Nom]]),FALSE),""),"")</f>
        <v/>
      </c>
      <c r="C281" s="139" t="str">
        <f>IFERROR(IF(VLOOKUP(T_SuiviTw[[#This Row],[NumL]],T_suiviDi[#Data],COLUMN(T_suiviDi[[#This Row],[Prénom]]),FALSE)&lt;&gt;"",VLOOKUP(T_SuiviTw[[#This Row],[NumL]],T_suiviDi[#Data],COLUMN(T_suiviDi[[#This Row],[Prénom]]),FALSE),""),"")</f>
        <v/>
      </c>
      <c r="D281" s="140" t="str">
        <f>IFERROR(IF(VLOOKUP(T_SuiviTw[[#This Row],[NumL]],T_suiviDi[#Data],COLUMN(T_suiviDi[[#This Row],[Email]]),FALSE)&lt;&gt;"",VLOOKUP(T_SuiviTw[[#This Row],[NumL]],T_suiviDi[#Data],COLUMN(T_suiviDi[[#This Row],[Email]]),FALSE),""),"")</f>
        <v/>
      </c>
      <c r="E281" s="141" t="str">
        <f>IFERROR(IF(VLOOKUP(T_SuiviTw[[#This Row],[NumL]],T_suiviDi[#Data],COLUMN(T_suiviDi[[#This Row],[Nom1]]),FALSE)&lt;&gt;"",VLOOKUP(T_SuiviTw[[#This Row],[NumL]],T_suiviDi[#Data],COLUMN(T_suiviDi[[#This Row],[Nom1]]),FALSE),""),"")</f>
        <v/>
      </c>
      <c r="F281" s="141" t="str">
        <f>IFERROR(IF(VLOOKUP(T_SuiviTw[[#This Row],[NumL]],T_suiviDi[#Data],COLUMN(T_suiviDi[[#This Row],[Prénom1]]),FALSE)&lt;&gt;"",VLOOKUP(T_SuiviTw[[#This Row],[NumL]],T_suiviDi[#Data],COLUMN(T_suiviDi[[#This Row],[Prénom1]]),FALSE),""),"")</f>
        <v/>
      </c>
      <c r="G281" s="141" t="str">
        <f>IFERROR(IF(VLOOKUP(T_SuiviTw[[#This Row],[NumL]],T_suiviDi[#Data],COLUMN(T_suiviDi[[#This Row],[Email1]]),FALSE)&lt;&gt;"",VLOOKUP(T_SuiviTw[[#This Row],[NumL]],T_suiviDi[#Data],COLUMN(T_suiviDi[[#This Row],[Email1]]),FALSE),""),"")</f>
        <v/>
      </c>
      <c r="H281" s="155" t="str">
        <f t="shared" si="42"/>
        <v/>
      </c>
      <c r="I281" s="100"/>
      <c r="J281" s="156" t="str">
        <f t="shared" si="43"/>
        <v/>
      </c>
      <c r="K281" s="155" t="str">
        <f t="shared" si="44"/>
        <v/>
      </c>
      <c r="L281" s="100"/>
      <c r="M281" s="156" t="str">
        <f t="shared" ca="1" si="45"/>
        <v/>
      </c>
      <c r="N281" s="49"/>
      <c r="O281" s="49"/>
      <c r="P281" s="105" t="str">
        <f t="shared" si="46"/>
        <v/>
      </c>
      <c r="Q281" s="155" t="str">
        <f t="shared" si="47"/>
        <v/>
      </c>
      <c r="R281" s="100"/>
      <c r="S281" s="156" t="str">
        <f t="shared" ca="1" si="48"/>
        <v/>
      </c>
      <c r="T281" s="101"/>
      <c r="U281" s="101"/>
      <c r="V281" s="101"/>
      <c r="W281" s="144"/>
    </row>
    <row r="282" spans="1:23" ht="24" customHeight="1" x14ac:dyDescent="0.25">
      <c r="A282" s="90">
        <v>200</v>
      </c>
      <c r="B282" s="19" t="str">
        <f>IFERROR(IF(VLOOKUP(T_SuiviTw[[#This Row],[NumL]],T_suiviDi[#Data],COLUMN(T_suiviDi[[#This Row],[Nom]]),FALSE)&lt;&gt;"",VLOOKUP(T_SuiviTw[[#This Row],[NumL]],T_suiviDi[#Data],COLUMN(T_suiviDi[[#This Row],[Nom]]),FALSE),""),"")</f>
        <v/>
      </c>
      <c r="C282" s="19" t="str">
        <f>IFERROR(IF(VLOOKUP(T_SuiviTw[[#This Row],[NumL]],T_suiviDi[#Data],COLUMN(T_suiviDi[[#This Row],[Prénom]]),FALSE)&lt;&gt;"",VLOOKUP(T_SuiviTw[[#This Row],[NumL]],T_suiviDi[#Data],COLUMN(T_suiviDi[[#This Row],[Prénom]]),FALSE),""),"")</f>
        <v/>
      </c>
      <c r="D282" s="20" t="str">
        <f>IFERROR(IF(VLOOKUP(T_SuiviTw[[#This Row],[NumL]],T_suiviDi[#Data],COLUMN(T_suiviDi[[#This Row],[Email]]),FALSE)&lt;&gt;"",VLOOKUP(T_SuiviTw[[#This Row],[NumL]],T_suiviDi[#Data],COLUMN(T_suiviDi[[#This Row],[Email]]),FALSE),""),"")</f>
        <v/>
      </c>
      <c r="E282" s="274" t="str">
        <f>IFERROR(IF(VLOOKUP(T_SuiviTw[[#This Row],[NumL]],T_suiviDi[#Data],COLUMN(T_suiviDi[[#This Row],[Nom1]]),FALSE)&lt;&gt;"",VLOOKUP(T_SuiviTw[[#This Row],[NumL]],T_suiviDi[#Data],COLUMN(T_suiviDi[[#This Row],[Nom1]]),FALSE),""),"")</f>
        <v/>
      </c>
      <c r="F282" s="274" t="str">
        <f>IFERROR(IF(VLOOKUP(T_SuiviTw[[#This Row],[NumL]],T_suiviDi[#Data],COLUMN(T_suiviDi[[#This Row],[Prénom1]]),FALSE)&lt;&gt;"",VLOOKUP(T_SuiviTw[[#This Row],[NumL]],T_suiviDi[#Data],COLUMN(T_suiviDi[[#This Row],[Prénom1]]),FALSE),""),"")</f>
        <v/>
      </c>
      <c r="G282" s="274" t="str">
        <f>IFERROR(IF(VLOOKUP(T_SuiviTw[[#This Row],[NumL]],T_suiviDi[#Data],COLUMN(T_suiviDi[[#This Row],[Email1]]),FALSE)&lt;&gt;"",VLOOKUP(T_SuiviTw[[#This Row],[NumL]],T_suiviDi[#Data],COLUMN(T_suiviDi[[#This Row],[Email1]]),FALSE),""),"")</f>
        <v/>
      </c>
      <c r="H282" s="275" t="str">
        <f t="shared" si="42"/>
        <v/>
      </c>
      <c r="I282" s="100"/>
      <c r="J282" s="156" t="str">
        <f t="shared" si="43"/>
        <v/>
      </c>
      <c r="K282" s="155" t="str">
        <f t="shared" si="44"/>
        <v/>
      </c>
      <c r="L282" s="100"/>
      <c r="M282" s="156" t="str">
        <f t="shared" ca="1" si="45"/>
        <v/>
      </c>
      <c r="N282" s="49"/>
      <c r="O282" s="49"/>
      <c r="P282" s="105" t="str">
        <f t="shared" si="46"/>
        <v/>
      </c>
      <c r="Q282" s="155" t="str">
        <f t="shared" si="47"/>
        <v/>
      </c>
      <c r="R282" s="100"/>
      <c r="S282" s="156" t="str">
        <f t="shared" ca="1" si="48"/>
        <v/>
      </c>
      <c r="T282" s="101"/>
      <c r="U282" s="101"/>
      <c r="V282" s="101"/>
      <c r="W282" s="144"/>
    </row>
    <row r="283" spans="1:23" ht="24" customHeight="1" x14ac:dyDescent="0.25">
      <c r="A283" s="90">
        <v>353</v>
      </c>
      <c r="B283" s="139" t="str">
        <f>IFERROR(IF(VLOOKUP(T_SuiviTw[[#This Row],[NumL]],T_suiviDi[#Data],COLUMN(T_suiviDi[[#This Row],[Nom]]),FALSE)&lt;&gt;"",VLOOKUP(T_SuiviTw[[#This Row],[NumL]],T_suiviDi[#Data],COLUMN(T_suiviDi[[#This Row],[Nom]]),FALSE),""),"")</f>
        <v/>
      </c>
      <c r="C283" s="139" t="str">
        <f>IFERROR(IF(VLOOKUP(T_SuiviTw[[#This Row],[NumL]],T_suiviDi[#Data],COLUMN(T_suiviDi[[#This Row],[Prénom]]),FALSE)&lt;&gt;"",VLOOKUP(T_SuiviTw[[#This Row],[NumL]],T_suiviDi[#Data],COLUMN(T_suiviDi[[#This Row],[Prénom]]),FALSE),""),"")</f>
        <v/>
      </c>
      <c r="D283" s="140" t="str">
        <f>IFERROR(IF(VLOOKUP(T_SuiviTw[[#This Row],[NumL]],T_suiviDi[#Data],COLUMN(T_suiviDi[[#This Row],[Email]]),FALSE)&lt;&gt;"",VLOOKUP(T_SuiviTw[[#This Row],[NumL]],T_suiviDi[#Data],COLUMN(T_suiviDi[[#This Row],[Email]]),FALSE),""),"")</f>
        <v/>
      </c>
      <c r="E283" s="141" t="str">
        <f>IFERROR(IF(VLOOKUP(T_SuiviTw[[#This Row],[NumL]],T_suiviDi[#Data],COLUMN(T_suiviDi[[#This Row],[Nom1]]),FALSE)&lt;&gt;"",VLOOKUP(T_SuiviTw[[#This Row],[NumL]],T_suiviDi[#Data],COLUMN(T_suiviDi[[#This Row],[Nom1]]),FALSE),""),"")</f>
        <v/>
      </c>
      <c r="F283" s="141" t="str">
        <f>IFERROR(IF(VLOOKUP(T_SuiviTw[[#This Row],[NumL]],T_suiviDi[#Data],COLUMN(T_suiviDi[[#This Row],[Prénom1]]),FALSE)&lt;&gt;"",VLOOKUP(T_SuiviTw[[#This Row],[NumL]],T_suiviDi[#Data],COLUMN(T_suiviDi[[#This Row],[Prénom1]]),FALSE),""),"")</f>
        <v/>
      </c>
      <c r="G283" s="141" t="str">
        <f>IFERROR(IF(VLOOKUP(T_SuiviTw[[#This Row],[NumL]],T_suiviDi[#Data],COLUMN(T_suiviDi[[#This Row],[Email1]]),FALSE)&lt;&gt;"",VLOOKUP(T_SuiviTw[[#This Row],[NumL]],T_suiviDi[#Data],COLUMN(T_suiviDi[[#This Row],[Email1]]),FALSE),""),"")</f>
        <v/>
      </c>
      <c r="H283" s="155" t="str">
        <f t="shared" si="42"/>
        <v/>
      </c>
      <c r="I283" s="100"/>
      <c r="J283" s="156" t="str">
        <f t="shared" si="43"/>
        <v/>
      </c>
      <c r="K283" s="155" t="str">
        <f t="shared" si="44"/>
        <v/>
      </c>
      <c r="L283" s="100"/>
      <c r="M283" s="156" t="str">
        <f t="shared" ca="1" si="45"/>
        <v/>
      </c>
      <c r="N283" s="49"/>
      <c r="O283" s="49"/>
      <c r="P283" s="105" t="str">
        <f t="shared" si="46"/>
        <v/>
      </c>
      <c r="Q283" s="155" t="str">
        <f t="shared" si="47"/>
        <v/>
      </c>
      <c r="R283" s="100"/>
      <c r="S283" s="156" t="str">
        <f t="shared" ca="1" si="48"/>
        <v/>
      </c>
      <c r="T283" s="101"/>
      <c r="U283" s="101"/>
      <c r="V283" s="101"/>
      <c r="W283" s="144"/>
    </row>
    <row r="284" spans="1:23" ht="24" customHeight="1" x14ac:dyDescent="0.25">
      <c r="A284" s="90">
        <v>192</v>
      </c>
      <c r="B284" s="19" t="str">
        <f>IFERROR(IF(VLOOKUP(T_SuiviTw[[#This Row],[NumL]],T_suiviDi[#Data],COLUMN(T_suiviDi[[#This Row],[Nom]]),FALSE)&lt;&gt;"",VLOOKUP(T_SuiviTw[[#This Row],[NumL]],T_suiviDi[#Data],COLUMN(T_suiviDi[[#This Row],[Nom]]),FALSE),""),"")</f>
        <v/>
      </c>
      <c r="C284" s="19" t="str">
        <f>IFERROR(IF(VLOOKUP(T_SuiviTw[[#This Row],[NumL]],T_suiviDi[#Data],COLUMN(T_suiviDi[[#This Row],[Prénom]]),FALSE)&lt;&gt;"",VLOOKUP(T_SuiviTw[[#This Row],[NumL]],T_suiviDi[#Data],COLUMN(T_suiviDi[[#This Row],[Prénom]]),FALSE),""),"")</f>
        <v/>
      </c>
      <c r="D284" s="20" t="str">
        <f>IFERROR(IF(VLOOKUP(T_SuiviTw[[#This Row],[NumL]],T_suiviDi[#Data],COLUMN(T_suiviDi[[#This Row],[Email]]),FALSE)&lt;&gt;"",VLOOKUP(T_SuiviTw[[#This Row],[NumL]],T_suiviDi[#Data],COLUMN(T_suiviDi[[#This Row],[Email]]),FALSE),""),"")</f>
        <v/>
      </c>
      <c r="E284" s="274" t="str">
        <f>IFERROR(IF(VLOOKUP(T_SuiviTw[[#This Row],[NumL]],T_suiviDi[#Data],COLUMN(T_suiviDi[[#This Row],[Nom1]]),FALSE)&lt;&gt;"",VLOOKUP(T_SuiviTw[[#This Row],[NumL]],T_suiviDi[#Data],COLUMN(T_suiviDi[[#This Row],[Nom1]]),FALSE),""),"")</f>
        <v/>
      </c>
      <c r="F284" s="274" t="str">
        <f>IFERROR(IF(VLOOKUP(T_SuiviTw[[#This Row],[NumL]],T_suiviDi[#Data],COLUMN(T_suiviDi[[#This Row],[Prénom1]]),FALSE)&lt;&gt;"",VLOOKUP(T_SuiviTw[[#This Row],[NumL]],T_suiviDi[#Data],COLUMN(T_suiviDi[[#This Row],[Prénom1]]),FALSE),""),"")</f>
        <v/>
      </c>
      <c r="G284" s="274" t="str">
        <f>IFERROR(IF(VLOOKUP(T_SuiviTw[[#This Row],[NumL]],T_suiviDi[#Data],COLUMN(T_suiviDi[[#This Row],[Email1]]),FALSE)&lt;&gt;"",VLOOKUP(T_SuiviTw[[#This Row],[NumL]],T_suiviDi[#Data],COLUMN(T_suiviDi[[#This Row],[Email1]]),FALSE),""),"")</f>
        <v/>
      </c>
      <c r="H284" s="275" t="str">
        <f t="shared" si="42"/>
        <v/>
      </c>
      <c r="I284" s="100"/>
      <c r="J284" s="156" t="str">
        <f t="shared" si="43"/>
        <v/>
      </c>
      <c r="K284" s="155" t="str">
        <f t="shared" si="44"/>
        <v/>
      </c>
      <c r="L284" s="100"/>
      <c r="M284" s="156" t="str">
        <f t="shared" ca="1" si="45"/>
        <v/>
      </c>
      <c r="N284" s="49"/>
      <c r="O284" s="49"/>
      <c r="P284" s="105" t="str">
        <f t="shared" si="46"/>
        <v/>
      </c>
      <c r="Q284" s="155" t="str">
        <f t="shared" si="47"/>
        <v/>
      </c>
      <c r="R284" s="100"/>
      <c r="S284" s="156" t="str">
        <f t="shared" ca="1" si="48"/>
        <v/>
      </c>
      <c r="T284" s="101"/>
      <c r="U284" s="101"/>
      <c r="V284" s="101"/>
      <c r="W284" s="144"/>
    </row>
    <row r="285" spans="1:23" ht="24" customHeight="1" x14ac:dyDescent="0.25">
      <c r="A285" s="90">
        <v>214</v>
      </c>
      <c r="B285" s="19" t="str">
        <f>IFERROR(IF(VLOOKUP(T_SuiviTw[[#This Row],[NumL]],T_suiviDi[#Data],COLUMN(T_suiviDi[[#This Row],[Nom]]),FALSE)&lt;&gt;"",VLOOKUP(T_SuiviTw[[#This Row],[NumL]],T_suiviDi[#Data],COLUMN(T_suiviDi[[#This Row],[Nom]]),FALSE),""),"")</f>
        <v/>
      </c>
      <c r="C285" s="19" t="str">
        <f>IFERROR(IF(VLOOKUP(T_SuiviTw[[#This Row],[NumL]],T_suiviDi[#Data],COLUMN(T_suiviDi[[#This Row],[Prénom]]),FALSE)&lt;&gt;"",VLOOKUP(T_SuiviTw[[#This Row],[NumL]],T_suiviDi[#Data],COLUMN(T_suiviDi[[#This Row],[Prénom]]),FALSE),""),"")</f>
        <v/>
      </c>
      <c r="D285" s="20" t="str">
        <f>IFERROR(IF(VLOOKUP(T_SuiviTw[[#This Row],[NumL]],T_suiviDi[#Data],COLUMN(T_suiviDi[[#This Row],[Email]]),FALSE)&lt;&gt;"",VLOOKUP(T_SuiviTw[[#This Row],[NumL]],T_suiviDi[#Data],COLUMN(T_suiviDi[[#This Row],[Email]]),FALSE),""),"")</f>
        <v/>
      </c>
      <c r="E285" s="274" t="str">
        <f>IFERROR(IF(VLOOKUP(T_SuiviTw[[#This Row],[NumL]],T_suiviDi[#Data],COLUMN(T_suiviDi[[#This Row],[Nom1]]),FALSE)&lt;&gt;"",VLOOKUP(T_SuiviTw[[#This Row],[NumL]],T_suiviDi[#Data],COLUMN(T_suiviDi[[#This Row],[Nom1]]),FALSE),""),"")</f>
        <v/>
      </c>
      <c r="F285" s="274" t="str">
        <f>IFERROR(IF(VLOOKUP(T_SuiviTw[[#This Row],[NumL]],T_suiviDi[#Data],COLUMN(T_suiviDi[[#This Row],[Prénom1]]),FALSE)&lt;&gt;"",VLOOKUP(T_SuiviTw[[#This Row],[NumL]],T_suiviDi[#Data],COLUMN(T_suiviDi[[#This Row],[Prénom1]]),FALSE),""),"")</f>
        <v/>
      </c>
      <c r="G285" s="274" t="str">
        <f>IFERROR(IF(VLOOKUP(T_SuiviTw[[#This Row],[NumL]],T_suiviDi[#Data],COLUMN(T_suiviDi[[#This Row],[Email1]]),FALSE)&lt;&gt;"",VLOOKUP(T_SuiviTw[[#This Row],[NumL]],T_suiviDi[#Data],COLUMN(T_suiviDi[[#This Row],[Email1]]),FALSE),""),"")</f>
        <v/>
      </c>
      <c r="H285" s="275" t="str">
        <f t="shared" si="42"/>
        <v/>
      </c>
      <c r="I285" s="100"/>
      <c r="J285" s="156" t="str">
        <f t="shared" si="43"/>
        <v/>
      </c>
      <c r="K285" s="155" t="str">
        <f t="shared" si="44"/>
        <v/>
      </c>
      <c r="L285" s="100"/>
      <c r="M285" s="156" t="str">
        <f t="shared" ca="1" si="45"/>
        <v/>
      </c>
      <c r="N285" s="49"/>
      <c r="O285" s="49"/>
      <c r="P285" s="105" t="str">
        <f t="shared" si="46"/>
        <v/>
      </c>
      <c r="Q285" s="155" t="str">
        <f t="shared" si="47"/>
        <v/>
      </c>
      <c r="R285" s="100"/>
      <c r="S285" s="156" t="str">
        <f t="shared" ca="1" si="48"/>
        <v/>
      </c>
      <c r="T285" s="101"/>
      <c r="U285" s="101"/>
      <c r="V285" s="101"/>
      <c r="W285" s="144"/>
    </row>
    <row r="286" spans="1:23" ht="24" customHeight="1" x14ac:dyDescent="0.25">
      <c r="A286" s="90">
        <v>50</v>
      </c>
      <c r="B286" s="19" t="str">
        <f>IFERROR(IF(VLOOKUP(T_SuiviTw[[#This Row],[NumL]],T_suiviDi[#Data],COLUMN(T_suiviDi[[#This Row],[Nom]]),FALSE)&lt;&gt;"",VLOOKUP(T_SuiviTw[[#This Row],[NumL]],T_suiviDi[#Data],COLUMN(T_suiviDi[[#This Row],[Nom]]),FALSE),""),"")</f>
        <v/>
      </c>
      <c r="C286" s="19" t="str">
        <f>IFERROR(IF(VLOOKUP(T_SuiviTw[[#This Row],[NumL]],T_suiviDi[#Data],COLUMN(T_suiviDi[[#This Row],[Prénom]]),FALSE)&lt;&gt;"",VLOOKUP(T_SuiviTw[[#This Row],[NumL]],T_suiviDi[#Data],COLUMN(T_suiviDi[[#This Row],[Prénom]]),FALSE),""),"")</f>
        <v/>
      </c>
      <c r="D286" s="20" t="str">
        <f>IFERROR(IF(VLOOKUP(T_SuiviTw[[#This Row],[NumL]],T_suiviDi[#Data],COLUMN(T_suiviDi[[#This Row],[Email]]),FALSE)&lt;&gt;"",VLOOKUP(T_SuiviTw[[#This Row],[NumL]],T_suiviDi[#Data],COLUMN(T_suiviDi[[#This Row],[Email]]),FALSE),""),"")</f>
        <v/>
      </c>
      <c r="E286" s="274" t="str">
        <f>IFERROR(IF(VLOOKUP(T_SuiviTw[[#This Row],[NumL]],T_suiviDi[#Data],COLUMN(T_suiviDi[[#This Row],[Nom1]]),FALSE)&lt;&gt;"",VLOOKUP(T_SuiviTw[[#This Row],[NumL]],T_suiviDi[#Data],COLUMN(T_suiviDi[[#This Row],[Nom1]]),FALSE),""),"")</f>
        <v/>
      </c>
      <c r="F286" s="274" t="str">
        <f>IFERROR(IF(VLOOKUP(T_SuiviTw[[#This Row],[NumL]],T_suiviDi[#Data],COLUMN(T_suiviDi[[#This Row],[Prénom1]]),FALSE)&lt;&gt;"",VLOOKUP(T_SuiviTw[[#This Row],[NumL]],T_suiviDi[#Data],COLUMN(T_suiviDi[[#This Row],[Prénom1]]),FALSE),""),"")</f>
        <v/>
      </c>
      <c r="G286" s="274" t="str">
        <f>IFERROR(IF(VLOOKUP(T_SuiviTw[[#This Row],[NumL]],T_suiviDi[#Data],COLUMN(T_suiviDi[[#This Row],[Email1]]),FALSE)&lt;&gt;"",VLOOKUP(T_SuiviTw[[#This Row],[NumL]],T_suiviDi[#Data],COLUMN(T_suiviDi[[#This Row],[Email1]]),FALSE),""),"")</f>
        <v/>
      </c>
      <c r="H286" s="275" t="str">
        <f t="shared" si="42"/>
        <v/>
      </c>
      <c r="I286" s="100"/>
      <c r="J286" s="156" t="str">
        <f t="shared" si="43"/>
        <v/>
      </c>
      <c r="K286" s="155" t="str">
        <f t="shared" si="44"/>
        <v/>
      </c>
      <c r="L286" s="100"/>
      <c r="M286" s="156" t="str">
        <f t="shared" ca="1" si="45"/>
        <v/>
      </c>
      <c r="N286" s="49"/>
      <c r="O286" s="49"/>
      <c r="P286" s="105" t="str">
        <f t="shared" si="46"/>
        <v/>
      </c>
      <c r="Q286" s="155" t="str">
        <f t="shared" si="47"/>
        <v/>
      </c>
      <c r="R286" s="100"/>
      <c r="S286" s="156" t="str">
        <f t="shared" ca="1" si="48"/>
        <v/>
      </c>
      <c r="T286" s="101"/>
      <c r="U286" s="101"/>
      <c r="V286" s="101"/>
      <c r="W286" s="144"/>
    </row>
    <row r="287" spans="1:23" ht="24" customHeight="1" x14ac:dyDescent="0.25">
      <c r="A287" s="90">
        <v>262</v>
      </c>
      <c r="B287" s="19" t="str">
        <f>IFERROR(IF(VLOOKUP(T_SuiviTw[[#This Row],[NumL]],T_suiviDi[#Data],COLUMN(T_suiviDi[[#This Row],[Nom]]),FALSE)&lt;&gt;"",VLOOKUP(T_SuiviTw[[#This Row],[NumL]],T_suiviDi[#Data],COLUMN(T_suiviDi[[#This Row],[Nom]]),FALSE),""),"")</f>
        <v/>
      </c>
      <c r="C287" s="19" t="str">
        <f>IFERROR(IF(VLOOKUP(T_SuiviTw[[#This Row],[NumL]],T_suiviDi[#Data],COLUMN(T_suiviDi[[#This Row],[Prénom]]),FALSE)&lt;&gt;"",VLOOKUP(T_SuiviTw[[#This Row],[NumL]],T_suiviDi[#Data],COLUMN(T_suiviDi[[#This Row],[Prénom]]),FALSE),""),"")</f>
        <v/>
      </c>
      <c r="D287" s="20" t="str">
        <f>IFERROR(IF(VLOOKUP(T_SuiviTw[[#This Row],[NumL]],T_suiviDi[#Data],COLUMN(T_suiviDi[[#This Row],[Email]]),FALSE)&lt;&gt;"",VLOOKUP(T_SuiviTw[[#This Row],[NumL]],T_suiviDi[#Data],COLUMN(T_suiviDi[[#This Row],[Email]]),FALSE),""),"")</f>
        <v/>
      </c>
      <c r="E287" s="274" t="str">
        <f>IFERROR(IF(VLOOKUP(T_SuiviTw[[#This Row],[NumL]],T_suiviDi[#Data],COLUMN(T_suiviDi[[#This Row],[Nom1]]),FALSE)&lt;&gt;"",VLOOKUP(T_SuiviTw[[#This Row],[NumL]],T_suiviDi[#Data],COLUMN(T_suiviDi[[#This Row],[Nom1]]),FALSE),""),"")</f>
        <v/>
      </c>
      <c r="F287" s="274" t="str">
        <f>IFERROR(IF(VLOOKUP(T_SuiviTw[[#This Row],[NumL]],T_suiviDi[#Data],COLUMN(T_suiviDi[[#This Row],[Prénom1]]),FALSE)&lt;&gt;"",VLOOKUP(T_SuiviTw[[#This Row],[NumL]],T_suiviDi[#Data],COLUMN(T_suiviDi[[#This Row],[Prénom1]]),FALSE),""),"")</f>
        <v/>
      </c>
      <c r="G287" s="274" t="str">
        <f>IFERROR(IF(VLOOKUP(T_SuiviTw[[#This Row],[NumL]],T_suiviDi[#Data],COLUMN(T_suiviDi[[#This Row],[Email1]]),FALSE)&lt;&gt;"",VLOOKUP(T_SuiviTw[[#This Row],[NumL]],T_suiviDi[#Data],COLUMN(T_suiviDi[[#This Row],[Email1]]),FALSE),""),"")</f>
        <v/>
      </c>
      <c r="H287" s="275" t="str">
        <f t="shared" si="42"/>
        <v/>
      </c>
      <c r="I287" s="100"/>
      <c r="J287" s="156" t="str">
        <f t="shared" si="43"/>
        <v/>
      </c>
      <c r="K287" s="155" t="str">
        <f t="shared" si="44"/>
        <v/>
      </c>
      <c r="L287" s="100"/>
      <c r="M287" s="156" t="str">
        <f t="shared" ca="1" si="45"/>
        <v/>
      </c>
      <c r="N287" s="49"/>
      <c r="O287" s="49"/>
      <c r="P287" s="105" t="str">
        <f t="shared" si="46"/>
        <v/>
      </c>
      <c r="Q287" s="155" t="str">
        <f t="shared" si="47"/>
        <v/>
      </c>
      <c r="R287" s="100"/>
      <c r="S287" s="156" t="str">
        <f t="shared" ca="1" si="48"/>
        <v/>
      </c>
      <c r="T287" s="101"/>
      <c r="U287" s="101"/>
      <c r="V287" s="101"/>
      <c r="W287" s="144"/>
    </row>
    <row r="288" spans="1:23" ht="24" customHeight="1" x14ac:dyDescent="0.25">
      <c r="A288" s="90">
        <v>132</v>
      </c>
      <c r="B288" s="19" t="str">
        <f>IFERROR(IF(VLOOKUP(T_SuiviTw[[#This Row],[NumL]],T_suiviDi[#Data],COLUMN(T_suiviDi[[#This Row],[Nom]]),FALSE)&lt;&gt;"",VLOOKUP(T_SuiviTw[[#This Row],[NumL]],T_suiviDi[#Data],COLUMN(T_suiviDi[[#This Row],[Nom]]),FALSE),""),"")</f>
        <v/>
      </c>
      <c r="C288" s="19" t="str">
        <f>IFERROR(IF(VLOOKUP(T_SuiviTw[[#This Row],[NumL]],T_suiviDi[#Data],COLUMN(T_suiviDi[[#This Row],[Prénom]]),FALSE)&lt;&gt;"",VLOOKUP(T_SuiviTw[[#This Row],[NumL]],T_suiviDi[#Data],COLUMN(T_suiviDi[[#This Row],[Prénom]]),FALSE),""),"")</f>
        <v/>
      </c>
      <c r="D288" s="20" t="str">
        <f>IFERROR(IF(VLOOKUP(T_SuiviTw[[#This Row],[NumL]],T_suiviDi[#Data],COLUMN(T_suiviDi[[#This Row],[Email]]),FALSE)&lt;&gt;"",VLOOKUP(T_SuiviTw[[#This Row],[NumL]],T_suiviDi[#Data],COLUMN(T_suiviDi[[#This Row],[Email]]),FALSE),""),"")</f>
        <v/>
      </c>
      <c r="E288" s="274" t="str">
        <f>IFERROR(IF(VLOOKUP(T_SuiviTw[[#This Row],[NumL]],T_suiviDi[#Data],COLUMN(T_suiviDi[[#This Row],[Nom1]]),FALSE)&lt;&gt;"",VLOOKUP(T_SuiviTw[[#This Row],[NumL]],T_suiviDi[#Data],COLUMN(T_suiviDi[[#This Row],[Nom1]]),FALSE),""),"")</f>
        <v/>
      </c>
      <c r="F288" s="274" t="str">
        <f>IFERROR(IF(VLOOKUP(T_SuiviTw[[#This Row],[NumL]],T_suiviDi[#Data],COLUMN(T_suiviDi[[#This Row],[Prénom1]]),FALSE)&lt;&gt;"",VLOOKUP(T_SuiviTw[[#This Row],[NumL]],T_suiviDi[#Data],COLUMN(T_suiviDi[[#This Row],[Prénom1]]),FALSE),""),"")</f>
        <v/>
      </c>
      <c r="G288" s="274" t="str">
        <f>IFERROR(IF(VLOOKUP(T_SuiviTw[[#This Row],[NumL]],T_suiviDi[#Data],COLUMN(T_suiviDi[[#This Row],[Email1]]),FALSE)&lt;&gt;"",VLOOKUP(T_SuiviTw[[#This Row],[NumL]],T_suiviDi[#Data],COLUMN(T_suiviDi[[#This Row],[Email1]]),FALSE),""),"")</f>
        <v/>
      </c>
      <c r="H288" s="275" t="str">
        <f t="shared" si="42"/>
        <v/>
      </c>
      <c r="I288" s="100"/>
      <c r="J288" s="156" t="str">
        <f t="shared" si="43"/>
        <v/>
      </c>
      <c r="K288" s="155" t="str">
        <f t="shared" si="44"/>
        <v/>
      </c>
      <c r="L288" s="100"/>
      <c r="M288" s="156" t="str">
        <f t="shared" ca="1" si="45"/>
        <v/>
      </c>
      <c r="N288" s="49"/>
      <c r="O288" s="49"/>
      <c r="P288" s="105" t="str">
        <f t="shared" si="46"/>
        <v/>
      </c>
      <c r="Q288" s="155" t="str">
        <f t="shared" si="47"/>
        <v/>
      </c>
      <c r="R288" s="100"/>
      <c r="S288" s="156" t="str">
        <f t="shared" ca="1" si="48"/>
        <v/>
      </c>
      <c r="T288" s="101"/>
      <c r="U288" s="101"/>
      <c r="V288" s="101"/>
      <c r="W288" s="144"/>
    </row>
    <row r="289" spans="1:23" ht="24" customHeight="1" x14ac:dyDescent="0.25">
      <c r="A289" s="90">
        <v>166</v>
      </c>
      <c r="B289" s="19" t="str">
        <f>IFERROR(IF(VLOOKUP(T_SuiviTw[[#This Row],[NumL]],T_suiviDi[#Data],COLUMN(T_suiviDi[[#This Row],[Nom]]),FALSE)&lt;&gt;"",VLOOKUP(T_SuiviTw[[#This Row],[NumL]],T_suiviDi[#Data],COLUMN(T_suiviDi[[#This Row],[Nom]]),FALSE),""),"")</f>
        <v/>
      </c>
      <c r="C289" s="19" t="str">
        <f>IFERROR(IF(VLOOKUP(T_SuiviTw[[#This Row],[NumL]],T_suiviDi[#Data],COLUMN(T_suiviDi[[#This Row],[Prénom]]),FALSE)&lt;&gt;"",VLOOKUP(T_SuiviTw[[#This Row],[NumL]],T_suiviDi[#Data],COLUMN(T_suiviDi[[#This Row],[Prénom]]),FALSE),""),"")</f>
        <v/>
      </c>
      <c r="D289" s="20" t="str">
        <f>IFERROR(IF(VLOOKUP(T_SuiviTw[[#This Row],[NumL]],T_suiviDi[#Data],COLUMN(T_suiviDi[[#This Row],[Email]]),FALSE)&lt;&gt;"",VLOOKUP(T_SuiviTw[[#This Row],[NumL]],T_suiviDi[#Data],COLUMN(T_suiviDi[[#This Row],[Email]]),FALSE),""),"")</f>
        <v/>
      </c>
      <c r="E289" s="274" t="str">
        <f>IFERROR(IF(VLOOKUP(T_SuiviTw[[#This Row],[NumL]],T_suiviDi[#Data],COLUMN(T_suiviDi[[#This Row],[Nom1]]),FALSE)&lt;&gt;"",VLOOKUP(T_SuiviTw[[#This Row],[NumL]],T_suiviDi[#Data],COLUMN(T_suiviDi[[#This Row],[Nom1]]),FALSE),""),"")</f>
        <v/>
      </c>
      <c r="F289" s="274" t="str">
        <f>IFERROR(IF(VLOOKUP(T_SuiviTw[[#This Row],[NumL]],T_suiviDi[#Data],COLUMN(T_suiviDi[[#This Row],[Prénom1]]),FALSE)&lt;&gt;"",VLOOKUP(T_SuiviTw[[#This Row],[NumL]],T_suiviDi[#Data],COLUMN(T_suiviDi[[#This Row],[Prénom1]]),FALSE),""),"")</f>
        <v/>
      </c>
      <c r="G289" s="274" t="str">
        <f>IFERROR(IF(VLOOKUP(T_SuiviTw[[#This Row],[NumL]],T_suiviDi[#Data],COLUMN(T_suiviDi[[#This Row],[Email1]]),FALSE)&lt;&gt;"",VLOOKUP(T_SuiviTw[[#This Row],[NumL]],T_suiviDi[#Data],COLUMN(T_suiviDi[[#This Row],[Email1]]),FALSE),""),"")</f>
        <v/>
      </c>
      <c r="H289" s="275" t="str">
        <f t="shared" si="42"/>
        <v/>
      </c>
      <c r="I289" s="100"/>
      <c r="J289" s="156" t="str">
        <f t="shared" si="43"/>
        <v/>
      </c>
      <c r="K289" s="155" t="str">
        <f t="shared" si="44"/>
        <v/>
      </c>
      <c r="L289" s="100"/>
      <c r="M289" s="156" t="str">
        <f t="shared" ca="1" si="45"/>
        <v/>
      </c>
      <c r="N289" s="49"/>
      <c r="O289" s="49"/>
      <c r="P289" s="105" t="str">
        <f t="shared" si="46"/>
        <v/>
      </c>
      <c r="Q289" s="155" t="str">
        <f t="shared" si="47"/>
        <v/>
      </c>
      <c r="R289" s="100"/>
      <c r="S289" s="156" t="str">
        <f t="shared" ca="1" si="48"/>
        <v/>
      </c>
      <c r="T289" s="101"/>
      <c r="U289" s="101"/>
      <c r="V289" s="101"/>
      <c r="W289" s="144"/>
    </row>
    <row r="290" spans="1:23" ht="24" customHeight="1" x14ac:dyDescent="0.25">
      <c r="A290" s="90">
        <v>325</v>
      </c>
      <c r="B290" s="139" t="str">
        <f>IFERROR(IF(VLOOKUP(T_SuiviTw[[#This Row],[NumL]],T_suiviDi[#Data],COLUMN(T_suiviDi[[#This Row],[Nom]]),FALSE)&lt;&gt;"",VLOOKUP(T_SuiviTw[[#This Row],[NumL]],T_suiviDi[#Data],COLUMN(T_suiviDi[[#This Row],[Nom]]),FALSE),""),"")</f>
        <v/>
      </c>
      <c r="C290" s="139" t="str">
        <f>IFERROR(IF(VLOOKUP(T_SuiviTw[[#This Row],[NumL]],T_suiviDi[#Data],COLUMN(T_suiviDi[[#This Row],[Prénom]]),FALSE)&lt;&gt;"",VLOOKUP(T_SuiviTw[[#This Row],[NumL]],T_suiviDi[#Data],COLUMN(T_suiviDi[[#This Row],[Prénom]]),FALSE),""),"")</f>
        <v/>
      </c>
      <c r="D290" s="140" t="str">
        <f>IFERROR(IF(VLOOKUP(T_SuiviTw[[#This Row],[NumL]],T_suiviDi[#Data],COLUMN(T_suiviDi[[#This Row],[Email]]),FALSE)&lt;&gt;"",VLOOKUP(T_SuiviTw[[#This Row],[NumL]],T_suiviDi[#Data],COLUMN(T_suiviDi[[#This Row],[Email]]),FALSE),""),"")</f>
        <v/>
      </c>
      <c r="E290" s="141" t="str">
        <f>IFERROR(IF(VLOOKUP(T_SuiviTw[[#This Row],[NumL]],T_suiviDi[#Data],COLUMN(T_suiviDi[[#This Row],[Nom1]]),FALSE)&lt;&gt;"",VLOOKUP(T_SuiviTw[[#This Row],[NumL]],T_suiviDi[#Data],COLUMN(T_suiviDi[[#This Row],[Nom1]]),FALSE),""),"")</f>
        <v/>
      </c>
      <c r="F290" s="141" t="str">
        <f>IFERROR(IF(VLOOKUP(T_SuiviTw[[#This Row],[NumL]],T_suiviDi[#Data],COLUMN(T_suiviDi[[#This Row],[Prénom1]]),FALSE)&lt;&gt;"",VLOOKUP(T_SuiviTw[[#This Row],[NumL]],T_suiviDi[#Data],COLUMN(T_suiviDi[[#This Row],[Prénom1]]),FALSE),""),"")</f>
        <v/>
      </c>
      <c r="G290" s="141" t="str">
        <f>IFERROR(IF(VLOOKUP(T_SuiviTw[[#This Row],[NumL]],T_suiviDi[#Data],COLUMN(T_suiviDi[[#This Row],[Email1]]),FALSE)&lt;&gt;"",VLOOKUP(T_SuiviTw[[#This Row],[NumL]],T_suiviDi[#Data],COLUMN(T_suiviDi[[#This Row],[Email1]]),FALSE),""),"")</f>
        <v/>
      </c>
      <c r="H290" s="155" t="str">
        <f t="shared" si="42"/>
        <v/>
      </c>
      <c r="I290" s="100"/>
      <c r="J290" s="156" t="str">
        <f t="shared" si="43"/>
        <v/>
      </c>
      <c r="K290" s="155" t="str">
        <f t="shared" si="44"/>
        <v/>
      </c>
      <c r="L290" s="100"/>
      <c r="M290" s="156" t="str">
        <f t="shared" ca="1" si="45"/>
        <v/>
      </c>
      <c r="N290" s="49"/>
      <c r="O290" s="49"/>
      <c r="P290" s="105" t="str">
        <f t="shared" si="46"/>
        <v/>
      </c>
      <c r="Q290" s="155" t="str">
        <f t="shared" si="47"/>
        <v/>
      </c>
      <c r="R290" s="100"/>
      <c r="S290" s="156" t="str">
        <f t="shared" ca="1" si="48"/>
        <v/>
      </c>
      <c r="T290" s="101"/>
      <c r="U290" s="101"/>
      <c r="V290" s="101"/>
      <c r="W290" s="144"/>
    </row>
    <row r="291" spans="1:23" ht="24" customHeight="1" x14ac:dyDescent="0.25">
      <c r="A291" s="90">
        <v>175</v>
      </c>
      <c r="B291" s="19" t="str">
        <f>IFERROR(IF(VLOOKUP(T_SuiviTw[[#This Row],[NumL]],T_suiviDi[#Data],COLUMN(T_suiviDi[[#This Row],[Nom]]),FALSE)&lt;&gt;"",VLOOKUP(T_SuiviTw[[#This Row],[NumL]],T_suiviDi[#Data],COLUMN(T_suiviDi[[#This Row],[Nom]]),FALSE),""),"")</f>
        <v/>
      </c>
      <c r="C291" s="19" t="str">
        <f>IFERROR(IF(VLOOKUP(T_SuiviTw[[#This Row],[NumL]],T_suiviDi[#Data],COLUMN(T_suiviDi[[#This Row],[Prénom]]),FALSE)&lt;&gt;"",VLOOKUP(T_SuiviTw[[#This Row],[NumL]],T_suiviDi[#Data],COLUMN(T_suiviDi[[#This Row],[Prénom]]),FALSE),""),"")</f>
        <v/>
      </c>
      <c r="D291" s="20" t="str">
        <f>IFERROR(IF(VLOOKUP(T_SuiviTw[[#This Row],[NumL]],T_suiviDi[#Data],COLUMN(T_suiviDi[[#This Row],[Email]]),FALSE)&lt;&gt;"",VLOOKUP(T_SuiviTw[[#This Row],[NumL]],T_suiviDi[#Data],COLUMN(T_suiviDi[[#This Row],[Email]]),FALSE),""),"")</f>
        <v/>
      </c>
      <c r="E291" s="274" t="str">
        <f>IFERROR(IF(VLOOKUP(T_SuiviTw[[#This Row],[NumL]],T_suiviDi[#Data],COLUMN(T_suiviDi[[#This Row],[Nom1]]),FALSE)&lt;&gt;"",VLOOKUP(T_SuiviTw[[#This Row],[NumL]],T_suiviDi[#Data],COLUMN(T_suiviDi[[#This Row],[Nom1]]),FALSE),""),"")</f>
        <v/>
      </c>
      <c r="F291" s="274" t="str">
        <f>IFERROR(IF(VLOOKUP(T_SuiviTw[[#This Row],[NumL]],T_suiviDi[#Data],COLUMN(T_suiviDi[[#This Row],[Prénom1]]),FALSE)&lt;&gt;"",VLOOKUP(T_SuiviTw[[#This Row],[NumL]],T_suiviDi[#Data],COLUMN(T_suiviDi[[#This Row],[Prénom1]]),FALSE),""),"")</f>
        <v/>
      </c>
      <c r="G291" s="274" t="str">
        <f>IFERROR(IF(VLOOKUP(T_SuiviTw[[#This Row],[NumL]],T_suiviDi[#Data],COLUMN(T_suiviDi[[#This Row],[Email1]]),FALSE)&lt;&gt;"",VLOOKUP(T_SuiviTw[[#This Row],[NumL]],T_suiviDi[#Data],COLUMN(T_suiviDi[[#This Row],[Email1]]),FALSE),""),"")</f>
        <v/>
      </c>
      <c r="H291" s="275" t="str">
        <f t="shared" si="42"/>
        <v/>
      </c>
      <c r="I291" s="100"/>
      <c r="J291" s="156" t="str">
        <f t="shared" si="43"/>
        <v/>
      </c>
      <c r="K291" s="155" t="str">
        <f t="shared" si="44"/>
        <v/>
      </c>
      <c r="L291" s="100"/>
      <c r="M291" s="156" t="str">
        <f t="shared" ca="1" si="45"/>
        <v/>
      </c>
      <c r="N291" s="49"/>
      <c r="O291" s="49"/>
      <c r="P291" s="105" t="str">
        <f t="shared" si="46"/>
        <v/>
      </c>
      <c r="Q291" s="155" t="str">
        <f t="shared" si="47"/>
        <v/>
      </c>
      <c r="R291" s="100"/>
      <c r="S291" s="156" t="str">
        <f t="shared" ca="1" si="48"/>
        <v/>
      </c>
      <c r="T291" s="101"/>
      <c r="U291" s="101"/>
      <c r="V291" s="101"/>
      <c r="W291" s="144"/>
    </row>
    <row r="292" spans="1:23" ht="24" customHeight="1" x14ac:dyDescent="0.25">
      <c r="A292" s="90">
        <v>230</v>
      </c>
      <c r="B292" s="19" t="str">
        <f>IFERROR(IF(VLOOKUP(T_SuiviTw[[#This Row],[NumL]],T_suiviDi[#Data],COLUMN(T_suiviDi[[#This Row],[Nom]]),FALSE)&lt;&gt;"",VLOOKUP(T_SuiviTw[[#This Row],[NumL]],T_suiviDi[#Data],COLUMN(T_suiviDi[[#This Row],[Nom]]),FALSE),""),"")</f>
        <v/>
      </c>
      <c r="C292" s="19" t="str">
        <f>IFERROR(IF(VLOOKUP(T_SuiviTw[[#This Row],[NumL]],T_suiviDi[#Data],COLUMN(T_suiviDi[[#This Row],[Prénom]]),FALSE)&lt;&gt;"",VLOOKUP(T_SuiviTw[[#This Row],[NumL]],T_suiviDi[#Data],COLUMN(T_suiviDi[[#This Row],[Prénom]]),FALSE),""),"")</f>
        <v/>
      </c>
      <c r="D292" s="20" t="str">
        <f>IFERROR(IF(VLOOKUP(T_SuiviTw[[#This Row],[NumL]],T_suiviDi[#Data],COLUMN(T_suiviDi[[#This Row],[Email]]),FALSE)&lt;&gt;"",VLOOKUP(T_SuiviTw[[#This Row],[NumL]],T_suiviDi[#Data],COLUMN(T_suiviDi[[#This Row],[Email]]),FALSE),""),"")</f>
        <v/>
      </c>
      <c r="E292" s="274" t="str">
        <f>IFERROR(IF(VLOOKUP(T_SuiviTw[[#This Row],[NumL]],T_suiviDi[#Data],COLUMN(T_suiviDi[[#This Row],[Nom1]]),FALSE)&lt;&gt;"",VLOOKUP(T_SuiviTw[[#This Row],[NumL]],T_suiviDi[#Data],COLUMN(T_suiviDi[[#This Row],[Nom1]]),FALSE),""),"")</f>
        <v/>
      </c>
      <c r="F292" s="274" t="str">
        <f>IFERROR(IF(VLOOKUP(T_SuiviTw[[#This Row],[NumL]],T_suiviDi[#Data],COLUMN(T_suiviDi[[#This Row],[Prénom1]]),FALSE)&lt;&gt;"",VLOOKUP(T_SuiviTw[[#This Row],[NumL]],T_suiviDi[#Data],COLUMN(T_suiviDi[[#This Row],[Prénom1]]),FALSE),""),"")</f>
        <v/>
      </c>
      <c r="G292" s="274" t="str">
        <f>IFERROR(IF(VLOOKUP(T_SuiviTw[[#This Row],[NumL]],T_suiviDi[#Data],COLUMN(T_suiviDi[[#This Row],[Email1]]),FALSE)&lt;&gt;"",VLOOKUP(T_SuiviTw[[#This Row],[NumL]],T_suiviDi[#Data],COLUMN(T_suiviDi[[#This Row],[Email1]]),FALSE),""),"")</f>
        <v/>
      </c>
      <c r="H292" s="275" t="str">
        <f t="shared" si="42"/>
        <v/>
      </c>
      <c r="I292" s="100"/>
      <c r="J292" s="156" t="str">
        <f t="shared" si="43"/>
        <v/>
      </c>
      <c r="K292" s="155" t="str">
        <f t="shared" si="44"/>
        <v/>
      </c>
      <c r="L292" s="100"/>
      <c r="M292" s="156" t="str">
        <f t="shared" ca="1" si="45"/>
        <v/>
      </c>
      <c r="N292" s="49"/>
      <c r="O292" s="49"/>
      <c r="P292" s="105" t="str">
        <f t="shared" si="46"/>
        <v/>
      </c>
      <c r="Q292" s="155" t="str">
        <f t="shared" si="47"/>
        <v/>
      </c>
      <c r="R292" s="100"/>
      <c r="S292" s="156" t="str">
        <f t="shared" ca="1" si="48"/>
        <v/>
      </c>
      <c r="T292" s="101"/>
      <c r="U292" s="101"/>
      <c r="V292" s="101"/>
      <c r="W292" s="144"/>
    </row>
    <row r="293" spans="1:23" ht="24" customHeight="1" x14ac:dyDescent="0.25">
      <c r="A293" s="90">
        <v>344</v>
      </c>
      <c r="B293" s="139" t="str">
        <f>IFERROR(IF(VLOOKUP(T_SuiviTw[[#This Row],[NumL]],T_suiviDi[#Data],COLUMN(T_suiviDi[[#This Row],[Nom]]),FALSE)&lt;&gt;"",VLOOKUP(T_SuiviTw[[#This Row],[NumL]],T_suiviDi[#Data],COLUMN(T_suiviDi[[#This Row],[Nom]]),FALSE),""),"")</f>
        <v/>
      </c>
      <c r="C293" s="139" t="str">
        <f>IFERROR(IF(VLOOKUP(T_SuiviTw[[#This Row],[NumL]],T_suiviDi[#Data],COLUMN(T_suiviDi[[#This Row],[Prénom]]),FALSE)&lt;&gt;"",VLOOKUP(T_SuiviTw[[#This Row],[NumL]],T_suiviDi[#Data],COLUMN(T_suiviDi[[#This Row],[Prénom]]),FALSE),""),"")</f>
        <v/>
      </c>
      <c r="D293" s="140" t="str">
        <f>IFERROR(IF(VLOOKUP(T_SuiviTw[[#This Row],[NumL]],T_suiviDi[#Data],COLUMN(T_suiviDi[[#This Row],[Email]]),FALSE)&lt;&gt;"",VLOOKUP(T_SuiviTw[[#This Row],[NumL]],T_suiviDi[#Data],COLUMN(T_suiviDi[[#This Row],[Email]]),FALSE),""),"")</f>
        <v/>
      </c>
      <c r="E293" s="141" t="str">
        <f>IFERROR(IF(VLOOKUP(T_SuiviTw[[#This Row],[NumL]],T_suiviDi[#Data],COLUMN(T_suiviDi[[#This Row],[Nom1]]),FALSE)&lt;&gt;"",VLOOKUP(T_SuiviTw[[#This Row],[NumL]],T_suiviDi[#Data],COLUMN(T_suiviDi[[#This Row],[Nom1]]),FALSE),""),"")</f>
        <v/>
      </c>
      <c r="F293" s="141" t="str">
        <f>IFERROR(IF(VLOOKUP(T_SuiviTw[[#This Row],[NumL]],T_suiviDi[#Data],COLUMN(T_suiviDi[[#This Row],[Prénom1]]),FALSE)&lt;&gt;"",VLOOKUP(T_SuiviTw[[#This Row],[NumL]],T_suiviDi[#Data],COLUMN(T_suiviDi[[#This Row],[Prénom1]]),FALSE),""),"")</f>
        <v/>
      </c>
      <c r="G293" s="141" t="str">
        <f>IFERROR(IF(VLOOKUP(T_SuiviTw[[#This Row],[NumL]],T_suiviDi[#Data],COLUMN(T_suiviDi[[#This Row],[Email1]]),FALSE)&lt;&gt;"",VLOOKUP(T_SuiviTw[[#This Row],[NumL]],T_suiviDi[#Data],COLUMN(T_suiviDi[[#This Row],[Email1]]),FALSE),""),"")</f>
        <v/>
      </c>
      <c r="H293" s="155" t="str">
        <f t="shared" si="42"/>
        <v/>
      </c>
      <c r="I293" s="100"/>
      <c r="J293" s="156" t="str">
        <f t="shared" si="43"/>
        <v/>
      </c>
      <c r="K293" s="155" t="str">
        <f t="shared" si="44"/>
        <v/>
      </c>
      <c r="L293" s="100"/>
      <c r="M293" s="156" t="str">
        <f t="shared" ca="1" si="45"/>
        <v/>
      </c>
      <c r="N293" s="49"/>
      <c r="O293" s="49"/>
      <c r="P293" s="105" t="str">
        <f t="shared" si="46"/>
        <v/>
      </c>
      <c r="Q293" s="155" t="str">
        <f t="shared" si="47"/>
        <v/>
      </c>
      <c r="R293" s="100"/>
      <c r="S293" s="156" t="str">
        <f t="shared" ca="1" si="48"/>
        <v/>
      </c>
      <c r="T293" s="101"/>
      <c r="U293" s="101"/>
      <c r="V293" s="101"/>
      <c r="W293" s="144"/>
    </row>
    <row r="294" spans="1:23" ht="24" customHeight="1" x14ac:dyDescent="0.25">
      <c r="A294" s="90">
        <v>123</v>
      </c>
      <c r="B294" s="19" t="str">
        <f>IFERROR(IF(VLOOKUP(T_SuiviTw[[#This Row],[NumL]],T_suiviDi[#Data],COLUMN(T_suiviDi[[#This Row],[Nom]]),FALSE)&lt;&gt;"",VLOOKUP(T_SuiviTw[[#This Row],[NumL]],T_suiviDi[#Data],COLUMN(T_suiviDi[[#This Row],[Nom]]),FALSE),""),"")</f>
        <v/>
      </c>
      <c r="C294" s="19" t="str">
        <f>IFERROR(IF(VLOOKUP(T_SuiviTw[[#This Row],[NumL]],T_suiviDi[#Data],COLUMN(T_suiviDi[[#This Row],[Prénom]]),FALSE)&lt;&gt;"",VLOOKUP(T_SuiviTw[[#This Row],[NumL]],T_suiviDi[#Data],COLUMN(T_suiviDi[[#This Row],[Prénom]]),FALSE),""),"")</f>
        <v/>
      </c>
      <c r="D294" s="20" t="str">
        <f>IFERROR(IF(VLOOKUP(T_SuiviTw[[#This Row],[NumL]],T_suiviDi[#Data],COLUMN(T_suiviDi[[#This Row],[Email]]),FALSE)&lt;&gt;"",VLOOKUP(T_SuiviTw[[#This Row],[NumL]],T_suiviDi[#Data],COLUMN(T_suiviDi[[#This Row],[Email]]),FALSE),""),"")</f>
        <v/>
      </c>
      <c r="E294" s="274" t="str">
        <f>IFERROR(IF(VLOOKUP(T_SuiviTw[[#This Row],[NumL]],T_suiviDi[#Data],COLUMN(T_suiviDi[[#This Row],[Nom1]]),FALSE)&lt;&gt;"",VLOOKUP(T_SuiviTw[[#This Row],[NumL]],T_suiviDi[#Data],COLUMN(T_suiviDi[[#This Row],[Nom1]]),FALSE),""),"")</f>
        <v/>
      </c>
      <c r="F294" s="274" t="str">
        <f>IFERROR(IF(VLOOKUP(T_SuiviTw[[#This Row],[NumL]],T_suiviDi[#Data],COLUMN(T_suiviDi[[#This Row],[Prénom1]]),FALSE)&lt;&gt;"",VLOOKUP(T_SuiviTw[[#This Row],[NumL]],T_suiviDi[#Data],COLUMN(T_suiviDi[[#This Row],[Prénom1]]),FALSE),""),"")</f>
        <v/>
      </c>
      <c r="G294" s="274" t="str">
        <f>IFERROR(IF(VLOOKUP(T_SuiviTw[[#This Row],[NumL]],T_suiviDi[#Data],COLUMN(T_suiviDi[[#This Row],[Email1]]),FALSE)&lt;&gt;"",VLOOKUP(T_SuiviTw[[#This Row],[NumL]],T_suiviDi[#Data],COLUMN(T_suiviDi[[#This Row],[Email1]]),FALSE),""),"")</f>
        <v/>
      </c>
      <c r="H294" s="275" t="str">
        <f t="shared" si="42"/>
        <v/>
      </c>
      <c r="I294" s="100"/>
      <c r="J294" s="156" t="str">
        <f t="shared" si="43"/>
        <v/>
      </c>
      <c r="K294" s="155" t="str">
        <f t="shared" si="44"/>
        <v/>
      </c>
      <c r="L294" s="100"/>
      <c r="M294" s="156" t="str">
        <f t="shared" ca="1" si="45"/>
        <v/>
      </c>
      <c r="N294" s="49"/>
      <c r="O294" s="49"/>
      <c r="P294" s="105" t="str">
        <f t="shared" si="46"/>
        <v/>
      </c>
      <c r="Q294" s="155" t="str">
        <f t="shared" si="47"/>
        <v/>
      </c>
      <c r="R294" s="100"/>
      <c r="S294" s="156" t="str">
        <f t="shared" ca="1" si="48"/>
        <v/>
      </c>
      <c r="T294" s="101"/>
      <c r="U294" s="101"/>
      <c r="V294" s="101"/>
      <c r="W294" s="144"/>
    </row>
    <row r="295" spans="1:23" ht="24" customHeight="1" x14ac:dyDescent="0.25">
      <c r="A295" s="90">
        <v>107</v>
      </c>
      <c r="B295" s="19" t="str">
        <f>IFERROR(IF(VLOOKUP(T_SuiviTw[[#This Row],[NumL]],T_suiviDi[#Data],COLUMN(T_suiviDi[Nom]),FALSE)&lt;&gt;"",VLOOKUP(T_SuiviTw[[#This Row],[NumL]],T_suiviDi[#Data],COLUMN(T_suiviDi[Nom]),FALSE),""),"")</f>
        <v>A</v>
      </c>
      <c r="C295" s="19" t="str">
        <f>IFERROR(IF(VLOOKUP(T_SuiviTw[[#This Row],[NumL]],T_suiviDi[#Data],COLUMN(T_suiviDi[Prénom]),FALSE)&lt;&gt;"",VLOOKUP(T_SuiviTw[[#This Row],[NumL]],T_suiviDi[#Data],COLUMN(T_suiviDi[Prénom]),FALSE),""),"")</f>
        <v>Cécile</v>
      </c>
      <c r="D295" s="20" t="str">
        <f>IFERROR(IF(VLOOKUP(T_SuiviTw[[#This Row],[NumL]],T_suiviDi[#Data],COLUMN(T_suiviDi[[#This Row],[Email]]),FALSE)&lt;&gt;"",VLOOKUP(T_SuiviTw[[#This Row],[NumL]],T_suiviDi[#Data],COLUMN(T_suiviDi[[#This Row],[Email]]),FALSE),""),"")</f>
        <v/>
      </c>
      <c r="E295" s="274" t="str">
        <f>IFERROR(IF(VLOOKUP(T_SuiviTw[[#This Row],[NumL]],T_suiviDi[#Data],COLUMN(T_suiviDi[Nom1]),FALSE)&lt;&gt;"",VLOOKUP(T_SuiviTw[[#This Row],[NumL]],T_suiviDi[#Data],COLUMN(T_suiviDi[Nom1]),FALSE),""),"")</f>
        <v>B</v>
      </c>
      <c r="F295" s="274" t="str">
        <f>IFERROR(IF(VLOOKUP(T_SuiviTw[[#This Row],[NumL]],T_suiviDi[#Data],COLUMN(T_suiviDi[Prénom1]),FALSE)&lt;&gt;"",VLOOKUP(T_SuiviTw[[#This Row],[NumL]],T_suiviDi[#Data],COLUMN(T_suiviDi[Prénom1]),FALSE),""),"")</f>
        <v>Anne-Sophie</v>
      </c>
      <c r="G295" s="274" t="str">
        <f>IFERROR(IF(VLOOKUP(T_SuiviTw[[#This Row],[NumL]],T_suiviDi[#Data],COLUMN(T_suiviDi[Email1]),FALSE)&lt;&gt;"",VLOOKUP(T_SuiviTw[[#This Row],[NumL]],T_suiviDi[#Data],COLUMN(T_suiviDi[Email1]),FALSE),""),"")</f>
        <v/>
      </c>
      <c r="H295" s="275">
        <f t="shared" si="42"/>
        <v>44208</v>
      </c>
      <c r="I295" s="100"/>
      <c r="J295" s="156">
        <f t="shared" si="43"/>
        <v>3</v>
      </c>
      <c r="K295" s="155">
        <f t="shared" si="44"/>
        <v>44530</v>
      </c>
      <c r="L295" s="100"/>
      <c r="M295" s="156" t="str">
        <f t="shared" ca="1" si="45"/>
        <v/>
      </c>
      <c r="N295" s="49"/>
      <c r="O295" s="49"/>
      <c r="P295" s="105" t="str">
        <f t="shared" si="46"/>
        <v/>
      </c>
      <c r="Q295" s="155" t="str">
        <f t="shared" si="47"/>
        <v/>
      </c>
      <c r="R295" s="100"/>
      <c r="S295" s="156" t="str">
        <f t="shared" ca="1" si="48"/>
        <v/>
      </c>
      <c r="T295" s="101"/>
      <c r="U295" s="101"/>
      <c r="V295" s="101"/>
      <c r="W295" s="144"/>
    </row>
    <row r="296" spans="1:23" ht="24" customHeight="1" x14ac:dyDescent="0.25">
      <c r="A296" s="90">
        <v>264</v>
      </c>
      <c r="B296" s="19" t="str">
        <f>IFERROR(IF(VLOOKUP(T_SuiviTw[[#This Row],[NumL]],T_suiviDi[#Data],COLUMN(T_suiviDi[[#This Row],[Nom]]),FALSE)&lt;&gt;"",VLOOKUP(T_SuiviTw[[#This Row],[NumL]],T_suiviDi[#Data],COLUMN(T_suiviDi[[#This Row],[Nom]]),FALSE),""),"")</f>
        <v/>
      </c>
      <c r="C296" s="19" t="str">
        <f>IFERROR(IF(VLOOKUP(T_SuiviTw[[#This Row],[NumL]],T_suiviDi[#Data],COLUMN(T_suiviDi[[#This Row],[Prénom]]),FALSE)&lt;&gt;"",VLOOKUP(T_SuiviTw[[#This Row],[NumL]],T_suiviDi[#Data],COLUMN(T_suiviDi[[#This Row],[Prénom]]),FALSE),""),"")</f>
        <v/>
      </c>
      <c r="D296" s="20" t="str">
        <f>IFERROR(IF(VLOOKUP(T_SuiviTw[[#This Row],[NumL]],T_suiviDi[#Data],COLUMN(T_suiviDi[[#This Row],[Email]]),FALSE)&lt;&gt;"",VLOOKUP(T_SuiviTw[[#This Row],[NumL]],T_suiviDi[#Data],COLUMN(T_suiviDi[[#This Row],[Email]]),FALSE),""),"")</f>
        <v/>
      </c>
      <c r="E296" s="274" t="str">
        <f>IFERROR(IF(VLOOKUP(T_SuiviTw[[#This Row],[NumL]],T_suiviDi[#Data],COLUMN(T_suiviDi[[#This Row],[Nom1]]),FALSE)&lt;&gt;"",VLOOKUP(T_SuiviTw[[#This Row],[NumL]],T_suiviDi[#Data],COLUMN(T_suiviDi[[#This Row],[Nom1]]),FALSE),""),"")</f>
        <v/>
      </c>
      <c r="F296" s="274" t="str">
        <f>IFERROR(IF(VLOOKUP(T_SuiviTw[[#This Row],[NumL]],T_suiviDi[#Data],COLUMN(T_suiviDi[[#This Row],[Prénom1]]),FALSE)&lt;&gt;"",VLOOKUP(T_SuiviTw[[#This Row],[NumL]],T_suiviDi[#Data],COLUMN(T_suiviDi[[#This Row],[Prénom1]]),FALSE),""),"")</f>
        <v/>
      </c>
      <c r="G296" s="274" t="str">
        <f>IFERROR(IF(VLOOKUP(T_SuiviTw[[#This Row],[NumL]],T_suiviDi[#Data],COLUMN(T_suiviDi[[#This Row],[Email1]]),FALSE)&lt;&gt;"",VLOOKUP(T_SuiviTw[[#This Row],[NumL]],T_suiviDi[#Data],COLUMN(T_suiviDi[[#This Row],[Email1]]),FALSE),""),"")</f>
        <v/>
      </c>
      <c r="H296" s="275" t="str">
        <f t="shared" si="42"/>
        <v/>
      </c>
      <c r="I296" s="100"/>
      <c r="J296" s="156" t="str">
        <f t="shared" si="43"/>
        <v/>
      </c>
      <c r="K296" s="155" t="str">
        <f t="shared" si="44"/>
        <v/>
      </c>
      <c r="L296" s="100"/>
      <c r="M296" s="156" t="str">
        <f t="shared" ca="1" si="45"/>
        <v/>
      </c>
      <c r="N296" s="49"/>
      <c r="O296" s="49"/>
      <c r="P296" s="105" t="str">
        <f t="shared" si="46"/>
        <v/>
      </c>
      <c r="Q296" s="155" t="str">
        <f t="shared" si="47"/>
        <v/>
      </c>
      <c r="R296" s="100"/>
      <c r="S296" s="156" t="str">
        <f t="shared" ca="1" si="48"/>
        <v/>
      </c>
      <c r="T296" s="101"/>
      <c r="U296" s="101"/>
      <c r="V296" s="101"/>
      <c r="W296" s="144"/>
    </row>
    <row r="297" spans="1:23" ht="24" customHeight="1" x14ac:dyDescent="0.25">
      <c r="A297" s="90">
        <v>346</v>
      </c>
      <c r="B297" s="139" t="str">
        <f>IFERROR(IF(VLOOKUP(T_SuiviTw[[#This Row],[NumL]],T_suiviDi[#Data],COLUMN(T_suiviDi[[#This Row],[Nom]]),FALSE)&lt;&gt;"",VLOOKUP(T_SuiviTw[[#This Row],[NumL]],T_suiviDi[#Data],COLUMN(T_suiviDi[[#This Row],[Nom]]),FALSE),""),"")</f>
        <v/>
      </c>
      <c r="C297" s="139" t="str">
        <f>IFERROR(IF(VLOOKUP(T_SuiviTw[[#This Row],[NumL]],T_suiviDi[#Data],COLUMN(T_suiviDi[[#This Row],[Prénom]]),FALSE)&lt;&gt;"",VLOOKUP(T_SuiviTw[[#This Row],[NumL]],T_suiviDi[#Data],COLUMN(T_suiviDi[[#This Row],[Prénom]]),FALSE),""),"")</f>
        <v/>
      </c>
      <c r="D297" s="140" t="str">
        <f>IFERROR(IF(VLOOKUP(T_SuiviTw[[#This Row],[NumL]],T_suiviDi[#Data],COLUMN(T_suiviDi[[#This Row],[Email]]),FALSE)&lt;&gt;"",VLOOKUP(T_SuiviTw[[#This Row],[NumL]],T_suiviDi[#Data],COLUMN(T_suiviDi[[#This Row],[Email]]),FALSE),""),"")</f>
        <v/>
      </c>
      <c r="E297" s="141" t="str">
        <f>IFERROR(IF(VLOOKUP(T_SuiviTw[[#This Row],[NumL]],T_suiviDi[#Data],COLUMN(T_suiviDi[[#This Row],[Nom1]]),FALSE)&lt;&gt;"",VLOOKUP(T_SuiviTw[[#This Row],[NumL]],T_suiviDi[#Data],COLUMN(T_suiviDi[[#This Row],[Nom1]]),FALSE),""),"")</f>
        <v/>
      </c>
      <c r="F297" s="141" t="str">
        <f>IFERROR(IF(VLOOKUP(T_SuiviTw[[#This Row],[NumL]],T_suiviDi[#Data],COLUMN(T_suiviDi[[#This Row],[Prénom1]]),FALSE)&lt;&gt;"",VLOOKUP(T_SuiviTw[[#This Row],[NumL]],T_suiviDi[#Data],COLUMN(T_suiviDi[[#This Row],[Prénom1]]),FALSE),""),"")</f>
        <v/>
      </c>
      <c r="G297" s="141" t="str">
        <f>IFERROR(IF(VLOOKUP(T_SuiviTw[[#This Row],[NumL]],T_suiviDi[#Data],COLUMN(T_suiviDi[[#This Row],[Email1]]),FALSE)&lt;&gt;"",VLOOKUP(T_SuiviTw[[#This Row],[NumL]],T_suiviDi[#Data],COLUMN(T_suiviDi[[#This Row],[Email1]]),FALSE),""),"")</f>
        <v/>
      </c>
      <c r="H297" s="155" t="str">
        <f t="shared" si="42"/>
        <v/>
      </c>
      <c r="I297" s="100"/>
      <c r="J297" s="156" t="str">
        <f t="shared" si="43"/>
        <v/>
      </c>
      <c r="K297" s="155" t="str">
        <f t="shared" si="44"/>
        <v/>
      </c>
      <c r="L297" s="100"/>
      <c r="M297" s="156" t="str">
        <f t="shared" ca="1" si="45"/>
        <v/>
      </c>
      <c r="N297" s="49"/>
      <c r="O297" s="49"/>
      <c r="P297" s="105" t="str">
        <f t="shared" si="46"/>
        <v/>
      </c>
      <c r="Q297" s="155" t="str">
        <f t="shared" si="47"/>
        <v/>
      </c>
      <c r="R297" s="100"/>
      <c r="S297" s="156" t="str">
        <f t="shared" ca="1" si="48"/>
        <v/>
      </c>
      <c r="T297" s="101"/>
      <c r="U297" s="101"/>
      <c r="V297" s="101"/>
      <c r="W297" s="144"/>
    </row>
    <row r="298" spans="1:23" ht="24" customHeight="1" x14ac:dyDescent="0.25">
      <c r="A298" s="90">
        <v>221</v>
      </c>
      <c r="B298" s="19" t="str">
        <f>IFERROR(IF(VLOOKUP(T_SuiviTw[[#This Row],[NumL]],T_suiviDi[#Data],COLUMN(T_suiviDi[[#This Row],[Nom]]),FALSE)&lt;&gt;"",VLOOKUP(T_SuiviTw[[#This Row],[NumL]],T_suiviDi[#Data],COLUMN(T_suiviDi[[#This Row],[Nom]]),FALSE),""),"")</f>
        <v/>
      </c>
      <c r="C298" s="19" t="str">
        <f>IFERROR(IF(VLOOKUP(T_SuiviTw[[#This Row],[NumL]],T_suiviDi[#Data],COLUMN(T_suiviDi[[#This Row],[Prénom]]),FALSE)&lt;&gt;"",VLOOKUP(T_SuiviTw[[#This Row],[NumL]],T_suiviDi[#Data],COLUMN(T_suiviDi[[#This Row],[Prénom]]),FALSE),""),"")</f>
        <v/>
      </c>
      <c r="D298" s="20" t="str">
        <f>IFERROR(IF(VLOOKUP(T_SuiviTw[[#This Row],[NumL]],T_suiviDi[#Data],COLUMN(T_suiviDi[[#This Row],[Email]]),FALSE)&lt;&gt;"",VLOOKUP(T_SuiviTw[[#This Row],[NumL]],T_suiviDi[#Data],COLUMN(T_suiviDi[[#This Row],[Email]]),FALSE),""),"")</f>
        <v/>
      </c>
      <c r="E298" s="274" t="str">
        <f>IFERROR(IF(VLOOKUP(T_SuiviTw[[#This Row],[NumL]],T_suiviDi[#Data],COLUMN(T_suiviDi[[#This Row],[Nom1]]),FALSE)&lt;&gt;"",VLOOKUP(T_SuiviTw[[#This Row],[NumL]],T_suiviDi[#Data],COLUMN(T_suiviDi[[#This Row],[Nom1]]),FALSE),""),"")</f>
        <v/>
      </c>
      <c r="F298" s="274" t="str">
        <f>IFERROR(IF(VLOOKUP(T_SuiviTw[[#This Row],[NumL]],T_suiviDi[#Data],COLUMN(T_suiviDi[[#This Row],[Prénom1]]),FALSE)&lt;&gt;"",VLOOKUP(T_SuiviTw[[#This Row],[NumL]],T_suiviDi[#Data],COLUMN(T_suiviDi[[#This Row],[Prénom1]]),FALSE),""),"")</f>
        <v/>
      </c>
      <c r="G298" s="274" t="str">
        <f>IFERROR(IF(VLOOKUP(T_SuiviTw[[#This Row],[NumL]],T_suiviDi[#Data],COLUMN(T_suiviDi[[#This Row],[Email1]]),FALSE)&lt;&gt;"",VLOOKUP(T_SuiviTw[[#This Row],[NumL]],T_suiviDi[#Data],COLUMN(T_suiviDi[[#This Row],[Email1]]),FALSE),""),"")</f>
        <v/>
      </c>
      <c r="H298" s="275" t="str">
        <f t="shared" si="42"/>
        <v/>
      </c>
      <c r="I298" s="100"/>
      <c r="J298" s="156" t="str">
        <f t="shared" si="43"/>
        <v/>
      </c>
      <c r="K298" s="155" t="str">
        <f t="shared" si="44"/>
        <v/>
      </c>
      <c r="L298" s="100"/>
      <c r="M298" s="156" t="str">
        <f t="shared" ca="1" si="45"/>
        <v/>
      </c>
      <c r="N298" s="49"/>
      <c r="O298" s="49"/>
      <c r="P298" s="105" t="str">
        <f t="shared" si="46"/>
        <v/>
      </c>
      <c r="Q298" s="155" t="str">
        <f t="shared" si="47"/>
        <v/>
      </c>
      <c r="R298" s="100"/>
      <c r="S298" s="156" t="str">
        <f t="shared" ca="1" si="48"/>
        <v/>
      </c>
      <c r="T298" s="101"/>
      <c r="U298" s="101"/>
      <c r="V298" s="101"/>
      <c r="W298" s="144"/>
    </row>
    <row r="299" spans="1:23" ht="24" customHeight="1" x14ac:dyDescent="0.25">
      <c r="A299" s="90">
        <v>340</v>
      </c>
      <c r="B299" s="139" t="str">
        <f>IFERROR(IF(VLOOKUP(T_SuiviTw[[#This Row],[NumL]],T_suiviDi[#Data],COLUMN(T_suiviDi[[#This Row],[Nom]]),FALSE)&lt;&gt;"",VLOOKUP(T_SuiviTw[[#This Row],[NumL]],T_suiviDi[#Data],COLUMN(T_suiviDi[[#This Row],[Nom]]),FALSE),""),"")</f>
        <v/>
      </c>
      <c r="C299" s="139" t="str">
        <f>IFERROR(IF(VLOOKUP(T_SuiviTw[[#This Row],[NumL]],T_suiviDi[#Data],COLUMN(T_suiviDi[[#This Row],[Prénom]]),FALSE)&lt;&gt;"",VLOOKUP(T_SuiviTw[[#This Row],[NumL]],T_suiviDi[#Data],COLUMN(T_suiviDi[[#This Row],[Prénom]]),FALSE),""),"")</f>
        <v/>
      </c>
      <c r="D299" s="140" t="str">
        <f>IFERROR(IF(VLOOKUP(T_SuiviTw[[#This Row],[NumL]],T_suiviDi[#Data],COLUMN(T_suiviDi[[#This Row],[Email]]),FALSE)&lt;&gt;"",VLOOKUP(T_SuiviTw[[#This Row],[NumL]],T_suiviDi[#Data],COLUMN(T_suiviDi[[#This Row],[Email]]),FALSE),""),"")</f>
        <v/>
      </c>
      <c r="E299" s="141" t="str">
        <f>IFERROR(IF(VLOOKUP(T_SuiviTw[[#This Row],[NumL]],T_suiviDi[#Data],COLUMN(T_suiviDi[[#This Row],[Nom1]]),FALSE)&lt;&gt;"",VLOOKUP(T_SuiviTw[[#This Row],[NumL]],T_suiviDi[#Data],COLUMN(T_suiviDi[[#This Row],[Nom1]]),FALSE),""),"")</f>
        <v/>
      </c>
      <c r="F299" s="141" t="str">
        <f>IFERROR(IF(VLOOKUP(T_SuiviTw[[#This Row],[NumL]],T_suiviDi[#Data],COLUMN(T_suiviDi[[#This Row],[Prénom1]]),FALSE)&lt;&gt;"",VLOOKUP(T_SuiviTw[[#This Row],[NumL]],T_suiviDi[#Data],COLUMN(T_suiviDi[[#This Row],[Prénom1]]),FALSE),""),"")</f>
        <v/>
      </c>
      <c r="G299" s="141" t="str">
        <f>IFERROR(IF(VLOOKUP(T_SuiviTw[[#This Row],[NumL]],T_suiviDi[#Data],COLUMN(T_suiviDi[[#This Row],[Email1]]),FALSE)&lt;&gt;"",VLOOKUP(T_SuiviTw[[#This Row],[NumL]],T_suiviDi[#Data],COLUMN(T_suiviDi[[#This Row],[Email1]]),FALSE),""),"")</f>
        <v/>
      </c>
      <c r="H299" s="155" t="str">
        <f t="shared" si="42"/>
        <v/>
      </c>
      <c r="I299" s="100"/>
      <c r="J299" s="156" t="str">
        <f t="shared" si="43"/>
        <v/>
      </c>
      <c r="K299" s="155" t="str">
        <f t="shared" si="44"/>
        <v/>
      </c>
      <c r="L299" s="100"/>
      <c r="M299" s="156" t="str">
        <f t="shared" ca="1" si="45"/>
        <v/>
      </c>
      <c r="N299" s="49"/>
      <c r="O299" s="49"/>
      <c r="P299" s="105" t="str">
        <f t="shared" si="46"/>
        <v/>
      </c>
      <c r="Q299" s="155" t="str">
        <f t="shared" si="47"/>
        <v/>
      </c>
      <c r="R299" s="100"/>
      <c r="S299" s="156" t="str">
        <f t="shared" ca="1" si="48"/>
        <v/>
      </c>
      <c r="T299" s="101"/>
      <c r="U299" s="101"/>
      <c r="V299" s="101"/>
      <c r="W299" s="144"/>
    </row>
    <row r="300" spans="1:23" ht="24" customHeight="1" x14ac:dyDescent="0.25">
      <c r="A300" s="90">
        <v>12</v>
      </c>
      <c r="B300" s="19" t="str">
        <f>IFERROR(IF(VLOOKUP(T_SuiviTw[[#This Row],[NumL]],T_suiviDi[#Data],COLUMN(T_suiviDi[[#This Row],[Nom]]),FALSE)&lt;&gt;"",VLOOKUP(T_SuiviTw[[#This Row],[NumL]],T_suiviDi[#Data],COLUMN(T_suiviDi[[#This Row],[Nom]]),FALSE),""),"")</f>
        <v/>
      </c>
      <c r="C300" s="19" t="str">
        <f>IFERROR(IF(VLOOKUP(T_SuiviTw[[#This Row],[NumL]],T_suiviDi[#Data],COLUMN(T_suiviDi[[#This Row],[Prénom]]),FALSE)&lt;&gt;"",VLOOKUP(T_SuiviTw[[#This Row],[NumL]],T_suiviDi[#Data],COLUMN(T_suiviDi[[#This Row],[Prénom]]),FALSE),""),"")</f>
        <v/>
      </c>
      <c r="D300" s="20" t="str">
        <f>IFERROR(IF(VLOOKUP(T_SuiviTw[[#This Row],[NumL]],T_suiviDi[#Data],COLUMN(T_suiviDi[[#This Row],[Email]]),FALSE)&lt;&gt;"",VLOOKUP(T_SuiviTw[[#This Row],[NumL]],T_suiviDi[#Data],COLUMN(T_suiviDi[[#This Row],[Email]]),FALSE),""),"")</f>
        <v/>
      </c>
      <c r="E300" s="274" t="str">
        <f>IFERROR(IF(VLOOKUP(T_SuiviTw[[#This Row],[NumL]],T_suiviDi[#Data],COLUMN(T_suiviDi[[#This Row],[Nom1]]),FALSE)&lt;&gt;"",VLOOKUP(T_SuiviTw[[#This Row],[NumL]],T_suiviDi[#Data],COLUMN(T_suiviDi[[#This Row],[Nom1]]),FALSE),""),"")</f>
        <v/>
      </c>
      <c r="F300" s="274" t="str">
        <f>IFERROR(IF(VLOOKUP(T_SuiviTw[[#This Row],[NumL]],T_suiviDi[#Data],COLUMN(T_suiviDi[[#This Row],[Prénom1]]),FALSE)&lt;&gt;"",VLOOKUP(T_SuiviTw[[#This Row],[NumL]],T_suiviDi[#Data],COLUMN(T_suiviDi[[#This Row],[Prénom1]]),FALSE),""),"")</f>
        <v/>
      </c>
      <c r="G300" s="274" t="str">
        <f>IFERROR(IF(VLOOKUP(T_SuiviTw[[#This Row],[NumL]],T_suiviDi[#Data],COLUMN(T_suiviDi[[#This Row],[Email1]]),FALSE)&lt;&gt;"",VLOOKUP(T_SuiviTw[[#This Row],[NumL]],T_suiviDi[#Data],COLUMN(T_suiviDi[[#This Row],[Email1]]),FALSE),""),"")</f>
        <v/>
      </c>
      <c r="H300" s="275" t="str">
        <f t="shared" si="42"/>
        <v/>
      </c>
      <c r="I300" s="100"/>
      <c r="J300" s="156" t="str">
        <f t="shared" si="43"/>
        <v/>
      </c>
      <c r="K300" s="155" t="str">
        <f t="shared" si="44"/>
        <v/>
      </c>
      <c r="L300" s="100"/>
      <c r="M300" s="156" t="str">
        <f t="shared" ca="1" si="45"/>
        <v/>
      </c>
      <c r="N300" s="49"/>
      <c r="O300" s="49"/>
      <c r="P300" s="105" t="str">
        <f t="shared" si="46"/>
        <v/>
      </c>
      <c r="Q300" s="155" t="str">
        <f t="shared" si="47"/>
        <v/>
      </c>
      <c r="R300" s="100"/>
      <c r="S300" s="156" t="str">
        <f t="shared" ca="1" si="48"/>
        <v/>
      </c>
      <c r="T300" s="101"/>
      <c r="U300" s="101"/>
      <c r="V300" s="101"/>
      <c r="W300" s="144"/>
    </row>
    <row r="301" spans="1:23" ht="24" customHeight="1" x14ac:dyDescent="0.25">
      <c r="A301" s="90">
        <v>298</v>
      </c>
      <c r="B301" s="139" t="str">
        <f>IFERROR(IF(VLOOKUP(T_SuiviTw[[#This Row],[NumL]],T_suiviDi[#Data],COLUMN(T_suiviDi[[#This Row],[Nom]]),FALSE)&lt;&gt;"",VLOOKUP(T_SuiviTw[[#This Row],[NumL]],T_suiviDi[#Data],COLUMN(T_suiviDi[[#This Row],[Nom]]),FALSE),""),"")</f>
        <v/>
      </c>
      <c r="C301" s="139" t="str">
        <f>IFERROR(IF(VLOOKUP(T_SuiviTw[[#This Row],[NumL]],T_suiviDi[#Data],COLUMN(T_suiviDi[[#This Row],[Prénom]]),FALSE)&lt;&gt;"",VLOOKUP(T_SuiviTw[[#This Row],[NumL]],T_suiviDi[#Data],COLUMN(T_suiviDi[[#This Row],[Prénom]]),FALSE),""),"")</f>
        <v/>
      </c>
      <c r="D301" s="140" t="str">
        <f>IFERROR(IF(VLOOKUP(T_SuiviTw[[#This Row],[NumL]],T_suiviDi[#Data],COLUMN(T_suiviDi[[#This Row],[Email]]),FALSE)&lt;&gt;"",VLOOKUP(T_SuiviTw[[#This Row],[NumL]],T_suiviDi[#Data],COLUMN(T_suiviDi[[#This Row],[Email]]),FALSE),""),"")</f>
        <v/>
      </c>
      <c r="E301" s="141" t="str">
        <f>IFERROR(IF(VLOOKUP(T_SuiviTw[[#This Row],[NumL]],T_suiviDi[#Data],COLUMN(T_suiviDi[[#This Row],[Nom1]]),FALSE)&lt;&gt;"",VLOOKUP(T_SuiviTw[[#This Row],[NumL]],T_suiviDi[#Data],COLUMN(T_suiviDi[[#This Row],[Nom1]]),FALSE),""),"")</f>
        <v/>
      </c>
      <c r="F301" s="141" t="str">
        <f>IFERROR(IF(VLOOKUP(T_SuiviTw[[#This Row],[NumL]],T_suiviDi[#Data],COLUMN(T_suiviDi[[#This Row],[Prénom1]]),FALSE)&lt;&gt;"",VLOOKUP(T_SuiviTw[[#This Row],[NumL]],T_suiviDi[#Data],COLUMN(T_suiviDi[[#This Row],[Prénom1]]),FALSE),""),"")</f>
        <v/>
      </c>
      <c r="G301" s="141" t="str">
        <f>IFERROR(IF(VLOOKUP(T_SuiviTw[[#This Row],[NumL]],T_suiviDi[#Data],COLUMN(T_suiviDi[[#This Row],[Email1]]),FALSE)&lt;&gt;"",VLOOKUP(T_SuiviTw[[#This Row],[NumL]],T_suiviDi[#Data],COLUMN(T_suiviDi[[#This Row],[Email1]]),FALSE),""),"")</f>
        <v/>
      </c>
      <c r="H301" s="155" t="str">
        <f t="shared" si="42"/>
        <v/>
      </c>
      <c r="I301" s="100"/>
      <c r="J301" s="156" t="str">
        <f t="shared" si="43"/>
        <v/>
      </c>
      <c r="K301" s="155" t="str">
        <f t="shared" si="44"/>
        <v/>
      </c>
      <c r="L301" s="100"/>
      <c r="M301" s="156" t="str">
        <f t="shared" ca="1" si="45"/>
        <v/>
      </c>
      <c r="N301" s="49"/>
      <c r="O301" s="49"/>
      <c r="P301" s="105" t="str">
        <f t="shared" si="46"/>
        <v/>
      </c>
      <c r="Q301" s="155" t="str">
        <f t="shared" si="47"/>
        <v/>
      </c>
      <c r="R301" s="100"/>
      <c r="S301" s="156" t="str">
        <f t="shared" ca="1" si="48"/>
        <v/>
      </c>
      <c r="T301" s="101"/>
      <c r="U301" s="101"/>
      <c r="V301" s="101"/>
      <c r="W301" s="144"/>
    </row>
    <row r="302" spans="1:23" ht="24" customHeight="1" x14ac:dyDescent="0.25">
      <c r="A302" s="90">
        <v>291</v>
      </c>
      <c r="B302" s="139" t="str">
        <f>IFERROR(IF(VLOOKUP(T_SuiviTw[[#This Row],[NumL]],T_suiviDi[#Data],COLUMN(T_suiviDi[[#This Row],[Nom]]),FALSE)&lt;&gt;"",VLOOKUP(T_SuiviTw[[#This Row],[NumL]],T_suiviDi[#Data],COLUMN(T_suiviDi[[#This Row],[Nom]]),FALSE),""),"")</f>
        <v/>
      </c>
      <c r="C302" s="139" t="str">
        <f>IFERROR(IF(VLOOKUP(T_SuiviTw[[#This Row],[NumL]],T_suiviDi[#Data],COLUMN(T_suiviDi[[#This Row],[Prénom]]),FALSE)&lt;&gt;"",VLOOKUP(T_SuiviTw[[#This Row],[NumL]],T_suiviDi[#Data],COLUMN(T_suiviDi[[#This Row],[Prénom]]),FALSE),""),"")</f>
        <v/>
      </c>
      <c r="D302" s="140" t="str">
        <f>IFERROR(IF(VLOOKUP(T_SuiviTw[[#This Row],[NumL]],T_suiviDi[#Data],COLUMN(T_suiviDi[[#This Row],[Email]]),FALSE)&lt;&gt;"",VLOOKUP(T_SuiviTw[[#This Row],[NumL]],T_suiviDi[#Data],COLUMN(T_suiviDi[[#This Row],[Email]]),FALSE),""),"")</f>
        <v/>
      </c>
      <c r="E302" s="141" t="str">
        <f>IFERROR(IF(VLOOKUP(T_SuiviTw[[#This Row],[NumL]],T_suiviDi[#Data],COLUMN(T_suiviDi[[#This Row],[Nom1]]),FALSE)&lt;&gt;"",VLOOKUP(T_SuiviTw[[#This Row],[NumL]],T_suiviDi[#Data],COLUMN(T_suiviDi[[#This Row],[Nom1]]),FALSE),""),"")</f>
        <v/>
      </c>
      <c r="F302" s="141" t="str">
        <f>IFERROR(IF(VLOOKUP(T_SuiviTw[[#This Row],[NumL]],T_suiviDi[#Data],COLUMN(T_suiviDi[[#This Row],[Prénom1]]),FALSE)&lt;&gt;"",VLOOKUP(T_SuiviTw[[#This Row],[NumL]],T_suiviDi[#Data],COLUMN(T_suiviDi[[#This Row],[Prénom1]]),FALSE),""),"")</f>
        <v/>
      </c>
      <c r="G302" s="141" t="str">
        <f>IFERROR(IF(VLOOKUP(T_SuiviTw[[#This Row],[NumL]],T_suiviDi[#Data],COLUMN(T_suiviDi[[#This Row],[Email1]]),FALSE)&lt;&gt;"",VLOOKUP(T_SuiviTw[[#This Row],[NumL]],T_suiviDi[#Data],COLUMN(T_suiviDi[[#This Row],[Email1]]),FALSE),""),"")</f>
        <v/>
      </c>
      <c r="H302" s="155" t="str">
        <f t="shared" si="42"/>
        <v/>
      </c>
      <c r="I302" s="100"/>
      <c r="J302" s="156" t="str">
        <f t="shared" si="43"/>
        <v/>
      </c>
      <c r="K302" s="155" t="str">
        <f t="shared" si="44"/>
        <v/>
      </c>
      <c r="L302" s="100"/>
      <c r="M302" s="156" t="str">
        <f t="shared" ca="1" si="45"/>
        <v/>
      </c>
      <c r="N302" s="49"/>
      <c r="O302" s="49"/>
      <c r="P302" s="105" t="str">
        <f t="shared" si="46"/>
        <v/>
      </c>
      <c r="Q302" s="155" t="str">
        <f t="shared" si="47"/>
        <v/>
      </c>
      <c r="R302" s="100"/>
      <c r="S302" s="156" t="str">
        <f t="shared" ca="1" si="48"/>
        <v/>
      </c>
      <c r="T302" s="101"/>
      <c r="U302" s="101"/>
      <c r="V302" s="101"/>
      <c r="W302" s="144"/>
    </row>
    <row r="303" spans="1:23" ht="24" customHeight="1" x14ac:dyDescent="0.25">
      <c r="A303" s="90">
        <v>234</v>
      </c>
      <c r="B303" s="19" t="str">
        <f>IFERROR(IF(VLOOKUP(T_SuiviTw[[#This Row],[NumL]],T_suiviDi[#Data],COLUMN(T_suiviDi[[#This Row],[Nom]]),FALSE)&lt;&gt;"",VLOOKUP(T_SuiviTw[[#This Row],[NumL]],T_suiviDi[#Data],COLUMN(T_suiviDi[[#This Row],[Nom]]),FALSE),""),"")</f>
        <v/>
      </c>
      <c r="C303" s="19" t="str">
        <f>IFERROR(IF(VLOOKUP(T_SuiviTw[[#This Row],[NumL]],T_suiviDi[#Data],COLUMN(T_suiviDi[[#This Row],[Prénom]]),FALSE)&lt;&gt;"",VLOOKUP(T_SuiviTw[[#This Row],[NumL]],T_suiviDi[#Data],COLUMN(T_suiviDi[[#This Row],[Prénom]]),FALSE),""),"")</f>
        <v/>
      </c>
      <c r="D303" s="20" t="str">
        <f>IFERROR(IF(VLOOKUP(T_SuiviTw[[#This Row],[NumL]],T_suiviDi[#Data],COLUMN(T_suiviDi[[#This Row],[Email]]),FALSE)&lt;&gt;"",VLOOKUP(T_SuiviTw[[#This Row],[NumL]],T_suiviDi[#Data],COLUMN(T_suiviDi[[#This Row],[Email]]),FALSE),""),"")</f>
        <v/>
      </c>
      <c r="E303" s="274" t="str">
        <f>IFERROR(IF(VLOOKUP(T_SuiviTw[[#This Row],[NumL]],T_suiviDi[#Data],COLUMN(T_suiviDi[[#This Row],[Nom1]]),FALSE)&lt;&gt;"",VLOOKUP(T_SuiviTw[[#This Row],[NumL]],T_suiviDi[#Data],COLUMN(T_suiviDi[[#This Row],[Nom1]]),FALSE),""),"")</f>
        <v/>
      </c>
      <c r="F303" s="274" t="str">
        <f>IFERROR(IF(VLOOKUP(T_SuiviTw[[#This Row],[NumL]],T_suiviDi[#Data],COLUMN(T_suiviDi[[#This Row],[Prénom1]]),FALSE)&lt;&gt;"",VLOOKUP(T_SuiviTw[[#This Row],[NumL]],T_suiviDi[#Data],COLUMN(T_suiviDi[[#This Row],[Prénom1]]),FALSE),""),"")</f>
        <v/>
      </c>
      <c r="G303" s="274" t="str">
        <f>IFERROR(IF(VLOOKUP(T_SuiviTw[[#This Row],[NumL]],T_suiviDi[#Data],COLUMN(T_suiviDi[[#This Row],[Email1]]),FALSE)&lt;&gt;"",VLOOKUP(T_SuiviTw[[#This Row],[NumL]],T_suiviDi[#Data],COLUMN(T_suiviDi[[#This Row],[Email1]]),FALSE),""),"")</f>
        <v/>
      </c>
      <c r="H303" s="275" t="str">
        <f t="shared" si="42"/>
        <v/>
      </c>
      <c r="I303" s="100"/>
      <c r="J303" s="156" t="str">
        <f t="shared" si="43"/>
        <v/>
      </c>
      <c r="K303" s="155" t="str">
        <f t="shared" si="44"/>
        <v/>
      </c>
      <c r="L303" s="100"/>
      <c r="M303" s="156" t="str">
        <f t="shared" ca="1" si="45"/>
        <v/>
      </c>
      <c r="N303" s="49"/>
      <c r="O303" s="49"/>
      <c r="P303" s="105" t="str">
        <f t="shared" si="46"/>
        <v/>
      </c>
      <c r="Q303" s="155" t="str">
        <f t="shared" si="47"/>
        <v/>
      </c>
      <c r="R303" s="100"/>
      <c r="S303" s="156" t="str">
        <f t="shared" ca="1" si="48"/>
        <v/>
      </c>
      <c r="T303" s="101"/>
      <c r="U303" s="101"/>
      <c r="V303" s="101"/>
      <c r="W303" s="144"/>
    </row>
    <row r="304" spans="1:23" ht="24" customHeight="1" x14ac:dyDescent="0.25">
      <c r="A304" s="90">
        <v>62</v>
      </c>
      <c r="B304" s="19" t="str">
        <f>IFERROR(IF(VLOOKUP(T_SuiviTw[[#This Row],[NumL]],T_suiviDi[#Data],COLUMN(T_suiviDi[[#This Row],[Nom]]),FALSE)&lt;&gt;"",VLOOKUP(T_SuiviTw[[#This Row],[NumL]],T_suiviDi[#Data],COLUMN(T_suiviDi[[#This Row],[Nom]]),FALSE),""),"")</f>
        <v/>
      </c>
      <c r="C304" s="19" t="str">
        <f>IFERROR(IF(VLOOKUP(T_SuiviTw[[#This Row],[NumL]],T_suiviDi[#Data],COLUMN(T_suiviDi[[#This Row],[Prénom]]),FALSE)&lt;&gt;"",VLOOKUP(T_SuiviTw[[#This Row],[NumL]],T_suiviDi[#Data],COLUMN(T_suiviDi[[#This Row],[Prénom]]),FALSE),""),"")</f>
        <v/>
      </c>
      <c r="D304" s="20" t="str">
        <f>IFERROR(IF(VLOOKUP(T_SuiviTw[[#This Row],[NumL]],T_suiviDi[#Data],COLUMN(T_suiviDi[[#This Row],[Email]]),FALSE)&lt;&gt;"",VLOOKUP(T_SuiviTw[[#This Row],[NumL]],T_suiviDi[#Data],COLUMN(T_suiviDi[[#This Row],[Email]]),FALSE),""),"")</f>
        <v/>
      </c>
      <c r="E304" s="274" t="str">
        <f>IFERROR(IF(VLOOKUP(T_SuiviTw[[#This Row],[NumL]],T_suiviDi[#Data],COLUMN(T_suiviDi[[#This Row],[Nom1]]),FALSE)&lt;&gt;"",VLOOKUP(T_SuiviTw[[#This Row],[NumL]],T_suiviDi[#Data],COLUMN(T_suiviDi[[#This Row],[Nom1]]),FALSE),""),"")</f>
        <v/>
      </c>
      <c r="F304" s="274" t="str">
        <f>IFERROR(IF(VLOOKUP(T_SuiviTw[[#This Row],[NumL]],T_suiviDi[#Data],COLUMN(T_suiviDi[[#This Row],[Prénom1]]),FALSE)&lt;&gt;"",VLOOKUP(T_SuiviTw[[#This Row],[NumL]],T_suiviDi[#Data],COLUMN(T_suiviDi[[#This Row],[Prénom1]]),FALSE),""),"")</f>
        <v/>
      </c>
      <c r="G304" s="274" t="str">
        <f>IFERROR(IF(VLOOKUP(T_SuiviTw[[#This Row],[NumL]],T_suiviDi[#Data],COLUMN(T_suiviDi[[#This Row],[Email1]]),FALSE)&lt;&gt;"",VLOOKUP(T_SuiviTw[[#This Row],[NumL]],T_suiviDi[#Data],COLUMN(T_suiviDi[[#This Row],[Email1]]),FALSE),""),"")</f>
        <v/>
      </c>
      <c r="H304" s="275" t="str">
        <f t="shared" si="42"/>
        <v/>
      </c>
      <c r="I304" s="100"/>
      <c r="J304" s="156" t="str">
        <f t="shared" si="43"/>
        <v/>
      </c>
      <c r="K304" s="155" t="str">
        <f t="shared" si="44"/>
        <v/>
      </c>
      <c r="L304" s="100"/>
      <c r="M304" s="156" t="str">
        <f t="shared" ca="1" si="45"/>
        <v/>
      </c>
      <c r="N304" s="49"/>
      <c r="O304" s="49"/>
      <c r="P304" s="105" t="str">
        <f t="shared" si="46"/>
        <v/>
      </c>
      <c r="Q304" s="155" t="str">
        <f t="shared" si="47"/>
        <v/>
      </c>
      <c r="R304" s="100"/>
      <c r="S304" s="156" t="str">
        <f t="shared" ca="1" si="48"/>
        <v/>
      </c>
      <c r="T304" s="101"/>
      <c r="U304" s="101"/>
      <c r="V304" s="101"/>
      <c r="W304" s="144"/>
    </row>
    <row r="305" spans="1:23" ht="24" customHeight="1" x14ac:dyDescent="0.25">
      <c r="A305" s="90">
        <v>176</v>
      </c>
      <c r="B305" s="19" t="str">
        <f>IFERROR(IF(VLOOKUP(T_SuiviTw[[#This Row],[NumL]],T_suiviDi[#Data],COLUMN(T_suiviDi[[#This Row],[Nom]]),FALSE)&lt;&gt;"",VLOOKUP(T_SuiviTw[[#This Row],[NumL]],T_suiviDi[#Data],COLUMN(T_suiviDi[[#This Row],[Nom]]),FALSE),""),"")</f>
        <v/>
      </c>
      <c r="C305" s="19" t="str">
        <f>IFERROR(IF(VLOOKUP(T_SuiviTw[[#This Row],[NumL]],T_suiviDi[#Data],COLUMN(T_suiviDi[[#This Row],[Prénom]]),FALSE)&lt;&gt;"",VLOOKUP(T_SuiviTw[[#This Row],[NumL]],T_suiviDi[#Data],COLUMN(T_suiviDi[[#This Row],[Prénom]]),FALSE),""),"")</f>
        <v/>
      </c>
      <c r="D305" s="20" t="str">
        <f>IFERROR(IF(VLOOKUP(T_SuiviTw[[#This Row],[NumL]],T_suiviDi[#Data],COLUMN(T_suiviDi[[#This Row],[Email]]),FALSE)&lt;&gt;"",VLOOKUP(T_SuiviTw[[#This Row],[NumL]],T_suiviDi[#Data],COLUMN(T_suiviDi[[#This Row],[Email]]),FALSE),""),"")</f>
        <v/>
      </c>
      <c r="E305" s="274" t="str">
        <f>IFERROR(IF(VLOOKUP(T_SuiviTw[[#This Row],[NumL]],T_suiviDi[#Data],COLUMN(T_suiviDi[[#This Row],[Nom1]]),FALSE)&lt;&gt;"",VLOOKUP(T_SuiviTw[[#This Row],[NumL]],T_suiviDi[#Data],COLUMN(T_suiviDi[[#This Row],[Nom1]]),FALSE),""),"")</f>
        <v/>
      </c>
      <c r="F305" s="274" t="str">
        <f>IFERROR(IF(VLOOKUP(T_SuiviTw[[#This Row],[NumL]],T_suiviDi[#Data],COLUMN(T_suiviDi[[#This Row],[Prénom1]]),FALSE)&lt;&gt;"",VLOOKUP(T_SuiviTw[[#This Row],[NumL]],T_suiviDi[#Data],COLUMN(T_suiviDi[[#This Row],[Prénom1]]),FALSE),""),"")</f>
        <v/>
      </c>
      <c r="G305" s="274" t="str">
        <f>IFERROR(IF(VLOOKUP(T_SuiviTw[[#This Row],[NumL]],T_suiviDi[#Data],COLUMN(T_suiviDi[[#This Row],[Email1]]),FALSE)&lt;&gt;"",VLOOKUP(T_SuiviTw[[#This Row],[NumL]],T_suiviDi[#Data],COLUMN(T_suiviDi[[#This Row],[Email1]]),FALSE),""),"")</f>
        <v/>
      </c>
      <c r="H305" s="275" t="str">
        <f t="shared" si="42"/>
        <v/>
      </c>
      <c r="I305" s="100"/>
      <c r="J305" s="156" t="str">
        <f t="shared" si="43"/>
        <v/>
      </c>
      <c r="K305" s="155" t="str">
        <f t="shared" si="44"/>
        <v/>
      </c>
      <c r="L305" s="100"/>
      <c r="M305" s="156" t="str">
        <f t="shared" ca="1" si="45"/>
        <v/>
      </c>
      <c r="N305" s="49"/>
      <c r="O305" s="49"/>
      <c r="P305" s="105" t="str">
        <f t="shared" si="46"/>
        <v/>
      </c>
      <c r="Q305" s="155" t="str">
        <f t="shared" si="47"/>
        <v/>
      </c>
      <c r="R305" s="100"/>
      <c r="S305" s="156" t="str">
        <f t="shared" ca="1" si="48"/>
        <v/>
      </c>
      <c r="T305" s="101"/>
      <c r="U305" s="101"/>
      <c r="V305" s="101"/>
      <c r="W305" s="144"/>
    </row>
    <row r="306" spans="1:23" ht="24" customHeight="1" x14ac:dyDescent="0.25">
      <c r="A306" s="90">
        <v>57</v>
      </c>
      <c r="B306" s="19" t="str">
        <f>IFERROR(IF(VLOOKUP(T_SuiviTw[[#This Row],[NumL]],T_suiviDi[#Data],COLUMN(T_suiviDi[[#This Row],[Nom]]),FALSE)&lt;&gt;"",VLOOKUP(T_SuiviTw[[#This Row],[NumL]],T_suiviDi[#Data],COLUMN(T_suiviDi[[#This Row],[Nom]]),FALSE),""),"")</f>
        <v/>
      </c>
      <c r="C306" s="19" t="str">
        <f>IFERROR(IF(VLOOKUP(T_SuiviTw[[#This Row],[NumL]],T_suiviDi[#Data],COLUMN(T_suiviDi[[#This Row],[Prénom]]),FALSE)&lt;&gt;"",VLOOKUP(T_SuiviTw[[#This Row],[NumL]],T_suiviDi[#Data],COLUMN(T_suiviDi[[#This Row],[Prénom]]),FALSE),""),"")</f>
        <v/>
      </c>
      <c r="D306" s="20" t="str">
        <f>IFERROR(IF(VLOOKUP(T_SuiviTw[[#This Row],[NumL]],T_suiviDi[#Data],COLUMN(T_suiviDi[[#This Row],[Email]]),FALSE)&lt;&gt;"",VLOOKUP(T_SuiviTw[[#This Row],[NumL]],T_suiviDi[#Data],COLUMN(T_suiviDi[[#This Row],[Email]]),FALSE),""),"")</f>
        <v/>
      </c>
      <c r="E306" s="274" t="str">
        <f>IFERROR(IF(VLOOKUP(T_SuiviTw[[#This Row],[NumL]],T_suiviDi[#Data],COLUMN(T_suiviDi[[#This Row],[Nom1]]),FALSE)&lt;&gt;"",VLOOKUP(T_SuiviTw[[#This Row],[NumL]],T_suiviDi[#Data],COLUMN(T_suiviDi[[#This Row],[Nom1]]),FALSE),""),"")</f>
        <v/>
      </c>
      <c r="F306" s="274" t="str">
        <f>IFERROR(IF(VLOOKUP(T_SuiviTw[[#This Row],[NumL]],T_suiviDi[#Data],COLUMN(T_suiviDi[[#This Row],[Prénom1]]),FALSE)&lt;&gt;"",VLOOKUP(T_SuiviTw[[#This Row],[NumL]],T_suiviDi[#Data],COLUMN(T_suiviDi[[#This Row],[Prénom1]]),FALSE),""),"")</f>
        <v/>
      </c>
      <c r="G306" s="274" t="str">
        <f>IFERROR(IF(VLOOKUP(T_SuiviTw[[#This Row],[NumL]],T_suiviDi[#Data],COLUMN(T_suiviDi[[#This Row],[Email1]]),FALSE)&lt;&gt;"",VLOOKUP(T_SuiviTw[[#This Row],[NumL]],T_suiviDi[#Data],COLUMN(T_suiviDi[[#This Row],[Email1]]),FALSE),""),"")</f>
        <v/>
      </c>
      <c r="H306" s="275" t="str">
        <f t="shared" si="42"/>
        <v/>
      </c>
      <c r="I306" s="100"/>
      <c r="J306" s="156" t="str">
        <f t="shared" si="43"/>
        <v/>
      </c>
      <c r="K306" s="155" t="str">
        <f t="shared" si="44"/>
        <v/>
      </c>
      <c r="L306" s="100"/>
      <c r="M306" s="156" t="str">
        <f t="shared" ca="1" si="45"/>
        <v/>
      </c>
      <c r="N306" s="49"/>
      <c r="O306" s="49"/>
      <c r="P306" s="105" t="str">
        <f t="shared" si="46"/>
        <v/>
      </c>
      <c r="Q306" s="155" t="str">
        <f t="shared" si="47"/>
        <v/>
      </c>
      <c r="R306" s="100"/>
      <c r="S306" s="156" t="str">
        <f t="shared" ca="1" si="48"/>
        <v/>
      </c>
      <c r="T306" s="101"/>
      <c r="U306" s="101"/>
      <c r="V306" s="101"/>
      <c r="W306" s="144"/>
    </row>
    <row r="307" spans="1:23" ht="24" customHeight="1" x14ac:dyDescent="0.25">
      <c r="A307" s="90">
        <v>310</v>
      </c>
      <c r="B307" s="139" t="str">
        <f>IFERROR(IF(VLOOKUP(T_SuiviTw[[#This Row],[NumL]],T_suiviDi[#Data],COLUMN(T_suiviDi[[#This Row],[Nom]]),FALSE)&lt;&gt;"",VLOOKUP(T_SuiviTw[[#This Row],[NumL]],T_suiviDi[#Data],COLUMN(T_suiviDi[[#This Row],[Nom]]),FALSE),""),"")</f>
        <v/>
      </c>
      <c r="C307" s="139" t="str">
        <f>IFERROR(IF(VLOOKUP(T_SuiviTw[[#This Row],[NumL]],T_suiviDi[#Data],COLUMN(T_suiviDi[[#This Row],[Prénom]]),FALSE)&lt;&gt;"",VLOOKUP(T_SuiviTw[[#This Row],[NumL]],T_suiviDi[#Data],COLUMN(T_suiviDi[[#This Row],[Prénom]]),FALSE),""),"")</f>
        <v/>
      </c>
      <c r="D307" s="140" t="str">
        <f>IFERROR(IF(VLOOKUP(T_SuiviTw[[#This Row],[NumL]],T_suiviDi[#Data],COLUMN(T_suiviDi[[#This Row],[Email]]),FALSE)&lt;&gt;"",VLOOKUP(T_SuiviTw[[#This Row],[NumL]],T_suiviDi[#Data],COLUMN(T_suiviDi[[#This Row],[Email]]),FALSE),""),"")</f>
        <v/>
      </c>
      <c r="E307" s="141" t="str">
        <f>IFERROR(IF(VLOOKUP(T_SuiviTw[[#This Row],[NumL]],T_suiviDi[#Data],COLUMN(T_suiviDi[[#This Row],[Nom1]]),FALSE)&lt;&gt;"",VLOOKUP(T_SuiviTw[[#This Row],[NumL]],T_suiviDi[#Data],COLUMN(T_suiviDi[[#This Row],[Nom1]]),FALSE),""),"")</f>
        <v/>
      </c>
      <c r="F307" s="141" t="str">
        <f>IFERROR(IF(VLOOKUP(T_SuiviTw[[#This Row],[NumL]],T_suiviDi[#Data],COLUMN(T_suiviDi[[#This Row],[Prénom1]]),FALSE)&lt;&gt;"",VLOOKUP(T_SuiviTw[[#This Row],[NumL]],T_suiviDi[#Data],COLUMN(T_suiviDi[[#This Row],[Prénom1]]),FALSE),""),"")</f>
        <v/>
      </c>
      <c r="G307" s="141" t="str">
        <f>IFERROR(IF(VLOOKUP(T_SuiviTw[[#This Row],[NumL]],T_suiviDi[#Data],COLUMN(T_suiviDi[[#This Row],[Email1]]),FALSE)&lt;&gt;"",VLOOKUP(T_SuiviTw[[#This Row],[NumL]],T_suiviDi[#Data],COLUMN(T_suiviDi[[#This Row],[Email1]]),FALSE),""),"")</f>
        <v/>
      </c>
      <c r="H307" s="155" t="str">
        <f t="shared" si="42"/>
        <v/>
      </c>
      <c r="I307" s="100"/>
      <c r="J307" s="156" t="str">
        <f t="shared" si="43"/>
        <v/>
      </c>
      <c r="K307" s="155" t="str">
        <f t="shared" si="44"/>
        <v/>
      </c>
      <c r="L307" s="100"/>
      <c r="M307" s="156" t="str">
        <f t="shared" ca="1" si="45"/>
        <v/>
      </c>
      <c r="N307" s="49"/>
      <c r="O307" s="49"/>
      <c r="P307" s="105" t="str">
        <f t="shared" si="46"/>
        <v/>
      </c>
      <c r="Q307" s="155" t="str">
        <f t="shared" si="47"/>
        <v/>
      </c>
      <c r="R307" s="100"/>
      <c r="S307" s="156" t="str">
        <f t="shared" ca="1" si="48"/>
        <v/>
      </c>
      <c r="T307" s="101"/>
      <c r="U307" s="101"/>
      <c r="V307" s="101"/>
      <c r="W307" s="144"/>
    </row>
    <row r="308" spans="1:23" ht="24" customHeight="1" x14ac:dyDescent="0.25">
      <c r="A308" s="90">
        <v>245</v>
      </c>
      <c r="B308" s="19" t="str">
        <f>IFERROR(IF(VLOOKUP(T_SuiviTw[[#This Row],[NumL]],T_suiviDi[#Data],COLUMN(T_suiviDi[[#This Row],[Nom]]),FALSE)&lt;&gt;"",VLOOKUP(T_SuiviTw[[#This Row],[NumL]],T_suiviDi[#Data],COLUMN(T_suiviDi[[#This Row],[Nom]]),FALSE),""),"")</f>
        <v/>
      </c>
      <c r="C308" s="19" t="str">
        <f>IFERROR(IF(VLOOKUP(T_SuiviTw[[#This Row],[NumL]],T_suiviDi[#Data],COLUMN(T_suiviDi[[#This Row],[Prénom]]),FALSE)&lt;&gt;"",VLOOKUP(T_SuiviTw[[#This Row],[NumL]],T_suiviDi[#Data],COLUMN(T_suiviDi[[#This Row],[Prénom]]),FALSE),""),"")</f>
        <v/>
      </c>
      <c r="D308" s="20" t="str">
        <f>IFERROR(IF(VLOOKUP(T_SuiviTw[[#This Row],[NumL]],T_suiviDi[#Data],COLUMN(T_suiviDi[[#This Row],[Email]]),FALSE)&lt;&gt;"",VLOOKUP(T_SuiviTw[[#This Row],[NumL]],T_suiviDi[#Data],COLUMN(T_suiviDi[[#This Row],[Email]]),FALSE),""),"")</f>
        <v/>
      </c>
      <c r="E308" s="274" t="str">
        <f>IFERROR(IF(VLOOKUP(T_SuiviTw[[#This Row],[NumL]],T_suiviDi[#Data],COLUMN(T_suiviDi[[#This Row],[Nom1]]),FALSE)&lt;&gt;"",VLOOKUP(T_SuiviTw[[#This Row],[NumL]],T_suiviDi[#Data],COLUMN(T_suiviDi[[#This Row],[Nom1]]),FALSE),""),"")</f>
        <v/>
      </c>
      <c r="F308" s="274" t="str">
        <f>IFERROR(IF(VLOOKUP(T_SuiviTw[[#This Row],[NumL]],T_suiviDi[#Data],COLUMN(T_suiviDi[[#This Row],[Prénom1]]),FALSE)&lt;&gt;"",VLOOKUP(T_SuiviTw[[#This Row],[NumL]],T_suiviDi[#Data],COLUMN(T_suiviDi[[#This Row],[Prénom1]]),FALSE),""),"")</f>
        <v/>
      </c>
      <c r="G308" s="274" t="str">
        <f>IFERROR(IF(VLOOKUP(T_SuiviTw[[#This Row],[NumL]],T_suiviDi[#Data],COLUMN(T_suiviDi[[#This Row],[Email1]]),FALSE)&lt;&gt;"",VLOOKUP(T_SuiviTw[[#This Row],[NumL]],T_suiviDi[#Data],COLUMN(T_suiviDi[[#This Row],[Email1]]),FALSE),""),"")</f>
        <v/>
      </c>
      <c r="H308" s="275" t="str">
        <f t="shared" si="42"/>
        <v/>
      </c>
      <c r="I308" s="100"/>
      <c r="J308" s="156" t="str">
        <f t="shared" si="43"/>
        <v/>
      </c>
      <c r="K308" s="155" t="str">
        <f t="shared" si="44"/>
        <v/>
      </c>
      <c r="L308" s="100"/>
      <c r="M308" s="156" t="str">
        <f t="shared" ca="1" si="45"/>
        <v/>
      </c>
      <c r="N308" s="49"/>
      <c r="O308" s="49"/>
      <c r="P308" s="105" t="str">
        <f t="shared" si="46"/>
        <v/>
      </c>
      <c r="Q308" s="155" t="str">
        <f t="shared" si="47"/>
        <v/>
      </c>
      <c r="R308" s="100"/>
      <c r="S308" s="156" t="str">
        <f t="shared" ca="1" si="48"/>
        <v/>
      </c>
      <c r="T308" s="101"/>
      <c r="U308" s="101"/>
      <c r="V308" s="101"/>
      <c r="W308" s="144"/>
    </row>
    <row r="309" spans="1:23" ht="24" customHeight="1" x14ac:dyDescent="0.25">
      <c r="A309" s="90">
        <v>137</v>
      </c>
      <c r="B309" s="19" t="str">
        <f>IFERROR(IF(VLOOKUP(T_SuiviTw[[#This Row],[NumL]],T_suiviDi[#Data],COLUMN(T_suiviDi[[#This Row],[Nom]]),FALSE)&lt;&gt;"",VLOOKUP(T_SuiviTw[[#This Row],[NumL]],T_suiviDi[#Data],COLUMN(T_suiviDi[[#This Row],[Nom]]),FALSE),""),"")</f>
        <v/>
      </c>
      <c r="C309" s="19" t="str">
        <f>IFERROR(IF(VLOOKUP(T_SuiviTw[[#This Row],[NumL]],T_suiviDi[#Data],COLUMN(T_suiviDi[[#This Row],[Prénom]]),FALSE)&lt;&gt;"",VLOOKUP(T_SuiviTw[[#This Row],[NumL]],T_suiviDi[#Data],COLUMN(T_suiviDi[[#This Row],[Prénom]]),FALSE),""),"")</f>
        <v/>
      </c>
      <c r="D309" s="20" t="str">
        <f>IFERROR(IF(VLOOKUP(T_SuiviTw[[#This Row],[NumL]],T_suiviDi[#Data],COLUMN(T_suiviDi[[#This Row],[Email]]),FALSE)&lt;&gt;"",VLOOKUP(T_SuiviTw[[#This Row],[NumL]],T_suiviDi[#Data],COLUMN(T_suiviDi[[#This Row],[Email]]),FALSE),""),"")</f>
        <v/>
      </c>
      <c r="E309" s="274" t="str">
        <f>IFERROR(IF(VLOOKUP(T_SuiviTw[[#This Row],[NumL]],T_suiviDi[#Data],COLUMN(T_suiviDi[[#This Row],[Nom1]]),FALSE)&lt;&gt;"",VLOOKUP(T_SuiviTw[[#This Row],[NumL]],T_suiviDi[#Data],COLUMN(T_suiviDi[[#This Row],[Nom1]]),FALSE),""),"")</f>
        <v/>
      </c>
      <c r="F309" s="274" t="str">
        <f>IFERROR(IF(VLOOKUP(T_SuiviTw[[#This Row],[NumL]],T_suiviDi[#Data],COLUMN(T_suiviDi[[#This Row],[Prénom1]]),FALSE)&lt;&gt;"",VLOOKUP(T_SuiviTw[[#This Row],[NumL]],T_suiviDi[#Data],COLUMN(T_suiviDi[[#This Row],[Prénom1]]),FALSE),""),"")</f>
        <v/>
      </c>
      <c r="G309" s="274" t="str">
        <f>IFERROR(IF(VLOOKUP(T_SuiviTw[[#This Row],[NumL]],T_suiviDi[#Data],COLUMN(T_suiviDi[[#This Row],[Email1]]),FALSE)&lt;&gt;"",VLOOKUP(T_SuiviTw[[#This Row],[NumL]],T_suiviDi[#Data],COLUMN(T_suiviDi[[#This Row],[Email1]]),FALSE),""),"")</f>
        <v/>
      </c>
      <c r="H309" s="275" t="str">
        <f t="shared" si="42"/>
        <v/>
      </c>
      <c r="I309" s="100"/>
      <c r="J309" s="156" t="str">
        <f t="shared" si="43"/>
        <v/>
      </c>
      <c r="K309" s="155" t="str">
        <f t="shared" si="44"/>
        <v/>
      </c>
      <c r="L309" s="100"/>
      <c r="M309" s="156" t="str">
        <f t="shared" ca="1" si="45"/>
        <v/>
      </c>
      <c r="N309" s="49"/>
      <c r="O309" s="49"/>
      <c r="P309" s="105" t="str">
        <f t="shared" si="46"/>
        <v/>
      </c>
      <c r="Q309" s="155" t="str">
        <f t="shared" si="47"/>
        <v/>
      </c>
      <c r="R309" s="100"/>
      <c r="S309" s="156" t="str">
        <f t="shared" ca="1" si="48"/>
        <v/>
      </c>
      <c r="T309" s="101"/>
      <c r="U309" s="101"/>
      <c r="V309" s="101"/>
      <c r="W309" s="144"/>
    </row>
    <row r="310" spans="1:23" ht="24" customHeight="1" x14ac:dyDescent="0.25">
      <c r="A310" s="90">
        <v>288</v>
      </c>
      <c r="B310" s="19" t="str">
        <f>IFERROR(IF(VLOOKUP(T_SuiviTw[[#This Row],[NumL]],T_suiviDi[#Data],COLUMN(T_suiviDi[[#This Row],[Nom]]),FALSE)&lt;&gt;"",VLOOKUP(T_SuiviTw[[#This Row],[NumL]],T_suiviDi[#Data],COLUMN(T_suiviDi[[#This Row],[Nom]]),FALSE),""),"")</f>
        <v/>
      </c>
      <c r="C310" s="19" t="str">
        <f>IFERROR(IF(VLOOKUP(T_SuiviTw[[#This Row],[NumL]],T_suiviDi[#Data],COLUMN(T_suiviDi[[#This Row],[Prénom]]),FALSE)&lt;&gt;"",VLOOKUP(T_SuiviTw[[#This Row],[NumL]],T_suiviDi[#Data],COLUMN(T_suiviDi[[#This Row],[Prénom]]),FALSE),""),"")</f>
        <v/>
      </c>
      <c r="D310" s="20" t="str">
        <f>IFERROR(IF(VLOOKUP(T_SuiviTw[[#This Row],[NumL]],T_suiviDi[#Data],COLUMN(T_suiviDi[[#This Row],[Email]]),FALSE)&lt;&gt;"",VLOOKUP(T_SuiviTw[[#This Row],[NumL]],T_suiviDi[#Data],COLUMN(T_suiviDi[[#This Row],[Email]]),FALSE),""),"")</f>
        <v/>
      </c>
      <c r="E310" s="274" t="str">
        <f>IFERROR(IF(VLOOKUP(T_SuiviTw[[#This Row],[NumL]],T_suiviDi[#Data],COLUMN(T_suiviDi[[#This Row],[Nom1]]),FALSE)&lt;&gt;"",VLOOKUP(T_SuiviTw[[#This Row],[NumL]],T_suiviDi[#Data],COLUMN(T_suiviDi[[#This Row],[Nom1]]),FALSE),""),"")</f>
        <v/>
      </c>
      <c r="F310" s="274" t="str">
        <f>IFERROR(IF(VLOOKUP(T_SuiviTw[[#This Row],[NumL]],T_suiviDi[#Data],COLUMN(T_suiviDi[[#This Row],[Prénom1]]),FALSE)&lt;&gt;"",VLOOKUP(T_SuiviTw[[#This Row],[NumL]],T_suiviDi[#Data],COLUMN(T_suiviDi[[#This Row],[Prénom1]]),FALSE),""),"")</f>
        <v/>
      </c>
      <c r="G310" s="274" t="str">
        <f>IFERROR(IF(VLOOKUP(T_SuiviTw[[#This Row],[NumL]],T_suiviDi[#Data],COLUMN(T_suiviDi[[#This Row],[Email1]]),FALSE)&lt;&gt;"",VLOOKUP(T_SuiviTw[[#This Row],[NumL]],T_suiviDi[#Data],COLUMN(T_suiviDi[[#This Row],[Email1]]),FALSE),""),"")</f>
        <v/>
      </c>
      <c r="H310" s="275" t="str">
        <f t="shared" si="42"/>
        <v/>
      </c>
      <c r="I310" s="100"/>
      <c r="J310" s="156" t="str">
        <f t="shared" si="43"/>
        <v/>
      </c>
      <c r="K310" s="155" t="str">
        <f t="shared" si="44"/>
        <v/>
      </c>
      <c r="L310" s="100"/>
      <c r="M310" s="156" t="str">
        <f t="shared" ca="1" si="45"/>
        <v/>
      </c>
      <c r="N310" s="49"/>
      <c r="O310" s="49"/>
      <c r="P310" s="105" t="str">
        <f t="shared" si="46"/>
        <v/>
      </c>
      <c r="Q310" s="155" t="str">
        <f t="shared" si="47"/>
        <v/>
      </c>
      <c r="R310" s="100"/>
      <c r="S310" s="156" t="str">
        <f t="shared" ca="1" si="48"/>
        <v/>
      </c>
      <c r="T310" s="101"/>
      <c r="U310" s="101"/>
      <c r="V310" s="101"/>
      <c r="W310" s="144"/>
    </row>
    <row r="311" spans="1:23" ht="24" customHeight="1" x14ac:dyDescent="0.25">
      <c r="A311" s="90">
        <v>259</v>
      </c>
      <c r="B311" s="19" t="str">
        <f>IFERROR(IF(VLOOKUP(T_SuiviTw[[#This Row],[NumL]],T_suiviDi[#Data],COLUMN(T_suiviDi[[#This Row],[Nom]]),FALSE)&lt;&gt;"",VLOOKUP(T_SuiviTw[[#This Row],[NumL]],T_suiviDi[#Data],COLUMN(T_suiviDi[[#This Row],[Nom]]),FALSE),""),"")</f>
        <v/>
      </c>
      <c r="C311" s="19" t="str">
        <f>IFERROR(IF(VLOOKUP(T_SuiviTw[[#This Row],[NumL]],T_suiviDi[#Data],COLUMN(T_suiviDi[[#This Row],[Prénom]]),FALSE)&lt;&gt;"",VLOOKUP(T_SuiviTw[[#This Row],[NumL]],T_suiviDi[#Data],COLUMN(T_suiviDi[[#This Row],[Prénom]]),FALSE),""),"")</f>
        <v/>
      </c>
      <c r="D311" s="20" t="str">
        <f>IFERROR(IF(VLOOKUP(T_SuiviTw[[#This Row],[NumL]],T_suiviDi[#Data],COLUMN(T_suiviDi[[#This Row],[Email]]),FALSE)&lt;&gt;"",VLOOKUP(T_SuiviTw[[#This Row],[NumL]],T_suiviDi[#Data],COLUMN(T_suiviDi[[#This Row],[Email]]),FALSE),""),"")</f>
        <v/>
      </c>
      <c r="E311" s="274" t="str">
        <f>IFERROR(IF(VLOOKUP(T_SuiviTw[[#This Row],[NumL]],T_suiviDi[#Data],COLUMN(T_suiviDi[[#This Row],[Nom1]]),FALSE)&lt;&gt;"",VLOOKUP(T_SuiviTw[[#This Row],[NumL]],T_suiviDi[#Data],COLUMN(T_suiviDi[[#This Row],[Nom1]]),FALSE),""),"")</f>
        <v/>
      </c>
      <c r="F311" s="274" t="str">
        <f>IFERROR(IF(VLOOKUP(T_SuiviTw[[#This Row],[NumL]],T_suiviDi[#Data],COLUMN(T_suiviDi[[#This Row],[Prénom1]]),FALSE)&lt;&gt;"",VLOOKUP(T_SuiviTw[[#This Row],[NumL]],T_suiviDi[#Data],COLUMN(T_suiviDi[[#This Row],[Prénom1]]),FALSE),""),"")</f>
        <v/>
      </c>
      <c r="G311" s="274" t="str">
        <f>IFERROR(IF(VLOOKUP(T_SuiviTw[[#This Row],[NumL]],T_suiviDi[#Data],COLUMN(T_suiviDi[[#This Row],[Email1]]),FALSE)&lt;&gt;"",VLOOKUP(T_SuiviTw[[#This Row],[NumL]],T_suiviDi[#Data],COLUMN(T_suiviDi[[#This Row],[Email1]]),FALSE),""),"")</f>
        <v/>
      </c>
      <c r="H311" s="275" t="str">
        <f t="shared" si="42"/>
        <v/>
      </c>
      <c r="I311" s="100"/>
      <c r="J311" s="156" t="str">
        <f t="shared" si="43"/>
        <v/>
      </c>
      <c r="K311" s="155" t="str">
        <f t="shared" si="44"/>
        <v/>
      </c>
      <c r="L311" s="100"/>
      <c r="M311" s="156" t="str">
        <f t="shared" ca="1" si="45"/>
        <v/>
      </c>
      <c r="N311" s="49"/>
      <c r="O311" s="49"/>
      <c r="P311" s="105" t="str">
        <f t="shared" si="46"/>
        <v/>
      </c>
      <c r="Q311" s="155" t="str">
        <f t="shared" si="47"/>
        <v/>
      </c>
      <c r="R311" s="100"/>
      <c r="S311" s="156" t="str">
        <f t="shared" ca="1" si="48"/>
        <v/>
      </c>
      <c r="T311" s="101"/>
      <c r="U311" s="101"/>
      <c r="V311" s="101"/>
      <c r="W311" s="144"/>
    </row>
    <row r="312" spans="1:23" ht="24" customHeight="1" x14ac:dyDescent="0.25">
      <c r="A312" s="90">
        <v>78</v>
      </c>
      <c r="B312" s="19" t="str">
        <f>IFERROR(IF(VLOOKUP(T_SuiviTw[[#This Row],[NumL]],T_suiviDi[#Data],COLUMN(T_suiviDi[[#This Row],[Nom]]),FALSE)&lt;&gt;"",VLOOKUP(T_SuiviTw[[#This Row],[NumL]],T_suiviDi[#Data],COLUMN(T_suiviDi[[#This Row],[Nom]]),FALSE),""),"")</f>
        <v/>
      </c>
      <c r="C312" s="19" t="str">
        <f>IFERROR(IF(VLOOKUP(T_SuiviTw[[#This Row],[NumL]],T_suiviDi[#Data],COLUMN(T_suiviDi[[#This Row],[Prénom]]),FALSE)&lt;&gt;"",VLOOKUP(T_SuiviTw[[#This Row],[NumL]],T_suiviDi[#Data],COLUMN(T_suiviDi[[#This Row],[Prénom]]),FALSE),""),"")</f>
        <v/>
      </c>
      <c r="D312" s="20" t="str">
        <f>IFERROR(IF(VLOOKUP(T_SuiviTw[[#This Row],[NumL]],T_suiviDi[#Data],COLUMN(T_suiviDi[[#This Row],[Email]]),FALSE)&lt;&gt;"",VLOOKUP(T_SuiviTw[[#This Row],[NumL]],T_suiviDi[#Data],COLUMN(T_suiviDi[[#This Row],[Email]]),FALSE),""),"")</f>
        <v/>
      </c>
      <c r="E312" s="274" t="str">
        <f>IFERROR(IF(VLOOKUP(T_SuiviTw[[#This Row],[NumL]],T_suiviDi[#Data],COLUMN(T_suiviDi[[#This Row],[Nom1]]),FALSE)&lt;&gt;"",VLOOKUP(T_SuiviTw[[#This Row],[NumL]],T_suiviDi[#Data],COLUMN(T_suiviDi[[#This Row],[Nom1]]),FALSE),""),"")</f>
        <v/>
      </c>
      <c r="F312" s="274" t="str">
        <f>IFERROR(IF(VLOOKUP(T_SuiviTw[[#This Row],[NumL]],T_suiviDi[#Data],COLUMN(T_suiviDi[[#This Row],[Prénom1]]),FALSE)&lt;&gt;"",VLOOKUP(T_SuiviTw[[#This Row],[NumL]],T_suiviDi[#Data],COLUMN(T_suiviDi[[#This Row],[Prénom1]]),FALSE),""),"")</f>
        <v/>
      </c>
      <c r="G312" s="274" t="str">
        <f>IFERROR(IF(VLOOKUP(T_SuiviTw[[#This Row],[NumL]],T_suiviDi[#Data],COLUMN(T_suiviDi[[#This Row],[Email1]]),FALSE)&lt;&gt;"",VLOOKUP(T_SuiviTw[[#This Row],[NumL]],T_suiviDi[#Data],COLUMN(T_suiviDi[[#This Row],[Email1]]),FALSE),""),"")</f>
        <v/>
      </c>
      <c r="H312" s="275" t="str">
        <f t="shared" si="42"/>
        <v/>
      </c>
      <c r="I312" s="100"/>
      <c r="J312" s="156" t="str">
        <f t="shared" si="43"/>
        <v/>
      </c>
      <c r="K312" s="155" t="str">
        <f t="shared" si="44"/>
        <v/>
      </c>
      <c r="L312" s="100"/>
      <c r="M312" s="156" t="str">
        <f t="shared" ca="1" si="45"/>
        <v/>
      </c>
      <c r="N312" s="49"/>
      <c r="O312" s="49"/>
      <c r="P312" s="105" t="str">
        <f t="shared" si="46"/>
        <v/>
      </c>
      <c r="Q312" s="155" t="str">
        <f t="shared" si="47"/>
        <v/>
      </c>
      <c r="R312" s="100"/>
      <c r="S312" s="156" t="str">
        <f t="shared" ca="1" si="48"/>
        <v/>
      </c>
      <c r="T312" s="101"/>
      <c r="U312" s="101"/>
      <c r="V312" s="101"/>
      <c r="W312" s="144"/>
    </row>
    <row r="313" spans="1:23" ht="24" customHeight="1" x14ac:dyDescent="0.25">
      <c r="A313" s="90">
        <v>296</v>
      </c>
      <c r="B313" s="139" t="str">
        <f>IFERROR(IF(VLOOKUP(T_SuiviTw[[#This Row],[NumL]],T_suiviDi[#Data],COLUMN(T_suiviDi[[#This Row],[Nom]]),FALSE)&lt;&gt;"",VLOOKUP(T_SuiviTw[[#This Row],[NumL]],T_suiviDi[#Data],COLUMN(T_suiviDi[[#This Row],[Nom]]),FALSE),""),"")</f>
        <v/>
      </c>
      <c r="C313" s="139" t="str">
        <f>IFERROR(IF(VLOOKUP(T_SuiviTw[[#This Row],[NumL]],T_suiviDi[#Data],COLUMN(T_suiviDi[[#This Row],[Prénom]]),FALSE)&lt;&gt;"",VLOOKUP(T_SuiviTw[[#This Row],[NumL]],T_suiviDi[#Data],COLUMN(T_suiviDi[[#This Row],[Prénom]]),FALSE),""),"")</f>
        <v/>
      </c>
      <c r="D313" s="140" t="str">
        <f>IFERROR(IF(VLOOKUP(T_SuiviTw[[#This Row],[NumL]],T_suiviDi[#Data],COLUMN(T_suiviDi[[#This Row],[Email]]),FALSE)&lt;&gt;"",VLOOKUP(T_SuiviTw[[#This Row],[NumL]],T_suiviDi[#Data],COLUMN(T_suiviDi[[#This Row],[Email]]),FALSE),""),"")</f>
        <v/>
      </c>
      <c r="E313" s="141" t="str">
        <f>IFERROR(IF(VLOOKUP(T_SuiviTw[[#This Row],[NumL]],T_suiviDi[#Data],COLUMN(T_suiviDi[[#This Row],[Nom1]]),FALSE)&lt;&gt;"",VLOOKUP(T_SuiviTw[[#This Row],[NumL]],T_suiviDi[#Data],COLUMN(T_suiviDi[[#This Row],[Nom1]]),FALSE),""),"")</f>
        <v/>
      </c>
      <c r="F313" s="141" t="str">
        <f>IFERROR(IF(VLOOKUP(T_SuiviTw[[#This Row],[NumL]],T_suiviDi[#Data],COLUMN(T_suiviDi[[#This Row],[Prénom1]]),FALSE)&lt;&gt;"",VLOOKUP(T_SuiviTw[[#This Row],[NumL]],T_suiviDi[#Data],COLUMN(T_suiviDi[[#This Row],[Prénom1]]),FALSE),""),"")</f>
        <v/>
      </c>
      <c r="G313" s="141" t="str">
        <f>IFERROR(IF(VLOOKUP(T_SuiviTw[[#This Row],[NumL]],T_suiviDi[#Data],COLUMN(T_suiviDi[[#This Row],[Email1]]),FALSE)&lt;&gt;"",VLOOKUP(T_SuiviTw[[#This Row],[NumL]],T_suiviDi[#Data],COLUMN(T_suiviDi[[#This Row],[Email1]]),FALSE),""),"")</f>
        <v/>
      </c>
      <c r="H313" s="155" t="str">
        <f t="shared" si="42"/>
        <v/>
      </c>
      <c r="I313" s="100"/>
      <c r="J313" s="156" t="str">
        <f t="shared" si="43"/>
        <v/>
      </c>
      <c r="K313" s="155" t="str">
        <f t="shared" si="44"/>
        <v/>
      </c>
      <c r="L313" s="100"/>
      <c r="M313" s="156" t="str">
        <f t="shared" ca="1" si="45"/>
        <v/>
      </c>
      <c r="N313" s="49"/>
      <c r="O313" s="49"/>
      <c r="P313" s="105" t="str">
        <f t="shared" si="46"/>
        <v/>
      </c>
      <c r="Q313" s="155" t="str">
        <f t="shared" si="47"/>
        <v/>
      </c>
      <c r="R313" s="100"/>
      <c r="S313" s="156" t="str">
        <f t="shared" ca="1" si="48"/>
        <v/>
      </c>
      <c r="T313" s="101"/>
      <c r="U313" s="101"/>
      <c r="V313" s="101"/>
      <c r="W313" s="144"/>
    </row>
    <row r="314" spans="1:23" ht="24" customHeight="1" x14ac:dyDescent="0.25">
      <c r="A314" s="90">
        <v>80</v>
      </c>
      <c r="B314" s="19" t="str">
        <f>IFERROR(IF(VLOOKUP(T_SuiviTw[[#This Row],[NumL]],T_suiviDi[#Data],COLUMN(T_suiviDi[[#This Row],[Nom]]),FALSE)&lt;&gt;"",VLOOKUP(T_SuiviTw[[#This Row],[NumL]],T_suiviDi[#Data],COLUMN(T_suiviDi[[#This Row],[Nom]]),FALSE),""),"")</f>
        <v/>
      </c>
      <c r="C314" s="19" t="str">
        <f>IFERROR(IF(VLOOKUP(T_SuiviTw[[#This Row],[NumL]],T_suiviDi[#Data],COLUMN(T_suiviDi[[#This Row],[Prénom]]),FALSE)&lt;&gt;"",VLOOKUP(T_SuiviTw[[#This Row],[NumL]],T_suiviDi[#Data],COLUMN(T_suiviDi[[#This Row],[Prénom]]),FALSE),""),"")</f>
        <v/>
      </c>
      <c r="D314" s="20" t="str">
        <f>IFERROR(IF(VLOOKUP(T_SuiviTw[[#This Row],[NumL]],T_suiviDi[#Data],COLUMN(T_suiviDi[[#This Row],[Email]]),FALSE)&lt;&gt;"",VLOOKUP(T_SuiviTw[[#This Row],[NumL]],T_suiviDi[#Data],COLUMN(T_suiviDi[[#This Row],[Email]]),FALSE),""),"")</f>
        <v/>
      </c>
      <c r="E314" s="274" t="str">
        <f>IFERROR(IF(VLOOKUP(T_SuiviTw[[#This Row],[NumL]],T_suiviDi[#Data],COLUMN(T_suiviDi[[#This Row],[Nom1]]),FALSE)&lt;&gt;"",VLOOKUP(T_SuiviTw[[#This Row],[NumL]],T_suiviDi[#Data],COLUMN(T_suiviDi[[#This Row],[Nom1]]),FALSE),""),"")</f>
        <v/>
      </c>
      <c r="F314" s="274" t="str">
        <f>IFERROR(IF(VLOOKUP(T_SuiviTw[[#This Row],[NumL]],T_suiviDi[#Data],COLUMN(T_suiviDi[[#This Row],[Prénom1]]),FALSE)&lt;&gt;"",VLOOKUP(T_SuiviTw[[#This Row],[NumL]],T_suiviDi[#Data],COLUMN(T_suiviDi[[#This Row],[Prénom1]]),FALSE),""),"")</f>
        <v/>
      </c>
      <c r="G314" s="274" t="str">
        <f>IFERROR(IF(VLOOKUP(T_SuiviTw[[#This Row],[NumL]],T_suiviDi[#Data],COLUMN(T_suiviDi[[#This Row],[Email1]]),FALSE)&lt;&gt;"",VLOOKUP(T_SuiviTw[[#This Row],[NumL]],T_suiviDi[#Data],COLUMN(T_suiviDi[[#This Row],[Email1]]),FALSE),""),"")</f>
        <v/>
      </c>
      <c r="H314" s="275" t="str">
        <f t="shared" si="42"/>
        <v/>
      </c>
      <c r="I314" s="100"/>
      <c r="J314" s="156" t="str">
        <f t="shared" si="43"/>
        <v/>
      </c>
      <c r="K314" s="155" t="str">
        <f t="shared" si="44"/>
        <v/>
      </c>
      <c r="L314" s="100"/>
      <c r="M314" s="156" t="str">
        <f t="shared" ca="1" si="45"/>
        <v/>
      </c>
      <c r="N314" s="49"/>
      <c r="O314" s="49"/>
      <c r="P314" s="105" t="str">
        <f t="shared" si="46"/>
        <v/>
      </c>
      <c r="Q314" s="155" t="str">
        <f t="shared" si="47"/>
        <v/>
      </c>
      <c r="R314" s="100"/>
      <c r="S314" s="156" t="str">
        <f t="shared" ca="1" si="48"/>
        <v/>
      </c>
      <c r="T314" s="101"/>
      <c r="U314" s="101"/>
      <c r="V314" s="101"/>
      <c r="W314" s="144"/>
    </row>
    <row r="315" spans="1:23" ht="24" customHeight="1" x14ac:dyDescent="0.25">
      <c r="A315" s="90">
        <v>280</v>
      </c>
      <c r="B315" s="19" t="str">
        <f>IFERROR(IF(VLOOKUP(T_SuiviTw[[#This Row],[NumL]],T_suiviDi[#Data],COLUMN(T_suiviDi[[#This Row],[Nom]]),FALSE)&lt;&gt;"",VLOOKUP(T_SuiviTw[[#This Row],[NumL]],T_suiviDi[#Data],COLUMN(T_suiviDi[[#This Row],[Nom]]),FALSE),""),"")</f>
        <v/>
      </c>
      <c r="C315" s="19" t="str">
        <f>IFERROR(IF(VLOOKUP(T_SuiviTw[[#This Row],[NumL]],T_suiviDi[#Data],COLUMN(T_suiviDi[[#This Row],[Prénom]]),FALSE)&lt;&gt;"",VLOOKUP(T_SuiviTw[[#This Row],[NumL]],T_suiviDi[#Data],COLUMN(T_suiviDi[[#This Row],[Prénom]]),FALSE),""),"")</f>
        <v/>
      </c>
      <c r="D315" s="20" t="str">
        <f>IFERROR(IF(VLOOKUP(T_SuiviTw[[#This Row],[NumL]],T_suiviDi[#Data],COLUMN(T_suiviDi[[#This Row],[Email]]),FALSE)&lt;&gt;"",VLOOKUP(T_SuiviTw[[#This Row],[NumL]],T_suiviDi[#Data],COLUMN(T_suiviDi[[#This Row],[Email]]),FALSE),""),"")</f>
        <v/>
      </c>
      <c r="E315" s="274" t="str">
        <f>IFERROR(IF(VLOOKUP(T_SuiviTw[[#This Row],[NumL]],T_suiviDi[#Data],COLUMN(T_suiviDi[[#This Row],[Nom1]]),FALSE)&lt;&gt;"",VLOOKUP(T_SuiviTw[[#This Row],[NumL]],T_suiviDi[#Data],COLUMN(T_suiviDi[[#This Row],[Nom1]]),FALSE),""),"")</f>
        <v/>
      </c>
      <c r="F315" s="274" t="str">
        <f>IFERROR(IF(VLOOKUP(T_SuiviTw[[#This Row],[NumL]],T_suiviDi[#Data],COLUMN(T_suiviDi[[#This Row],[Prénom1]]),FALSE)&lt;&gt;"",VLOOKUP(T_SuiviTw[[#This Row],[NumL]],T_suiviDi[#Data],COLUMN(T_suiviDi[[#This Row],[Prénom1]]),FALSE),""),"")</f>
        <v/>
      </c>
      <c r="G315" s="274" t="str">
        <f>IFERROR(IF(VLOOKUP(T_SuiviTw[[#This Row],[NumL]],T_suiviDi[#Data],COLUMN(T_suiviDi[[#This Row],[Email1]]),FALSE)&lt;&gt;"",VLOOKUP(T_SuiviTw[[#This Row],[NumL]],T_suiviDi[#Data],COLUMN(T_suiviDi[[#This Row],[Email1]]),FALSE),""),"")</f>
        <v/>
      </c>
      <c r="H315" s="275" t="str">
        <f t="shared" si="42"/>
        <v/>
      </c>
      <c r="I315" s="100"/>
      <c r="J315" s="156" t="str">
        <f t="shared" si="43"/>
        <v/>
      </c>
      <c r="K315" s="155" t="str">
        <f t="shared" si="44"/>
        <v/>
      </c>
      <c r="L315" s="100"/>
      <c r="M315" s="156" t="str">
        <f t="shared" ca="1" si="45"/>
        <v/>
      </c>
      <c r="N315" s="49"/>
      <c r="O315" s="49"/>
      <c r="P315" s="105" t="str">
        <f t="shared" si="46"/>
        <v/>
      </c>
      <c r="Q315" s="155" t="str">
        <f t="shared" si="47"/>
        <v/>
      </c>
      <c r="R315" s="100"/>
      <c r="S315" s="156" t="str">
        <f t="shared" ca="1" si="48"/>
        <v/>
      </c>
      <c r="T315" s="101"/>
      <c r="U315" s="101"/>
      <c r="V315" s="101"/>
      <c r="W315" s="144"/>
    </row>
    <row r="316" spans="1:23" ht="24" customHeight="1" x14ac:dyDescent="0.25">
      <c r="A316" s="90">
        <v>152</v>
      </c>
      <c r="B316" s="19" t="str">
        <f>IFERROR(IF(VLOOKUP(T_SuiviTw[[#This Row],[NumL]],T_suiviDi[#Data],COLUMN(T_suiviDi[[#This Row],[Nom]]),FALSE)&lt;&gt;"",VLOOKUP(T_SuiviTw[[#This Row],[NumL]],T_suiviDi[#Data],COLUMN(T_suiviDi[[#This Row],[Nom]]),FALSE),""),"")</f>
        <v/>
      </c>
      <c r="C316" s="19" t="str">
        <f>IFERROR(IF(VLOOKUP(T_SuiviTw[[#This Row],[NumL]],T_suiviDi[#Data],COLUMN(T_suiviDi[[#This Row],[Prénom]]),FALSE)&lt;&gt;"",VLOOKUP(T_SuiviTw[[#This Row],[NumL]],T_suiviDi[#Data],COLUMN(T_suiviDi[[#This Row],[Prénom]]),FALSE),""),"")</f>
        <v/>
      </c>
      <c r="D316" s="20" t="str">
        <f>IFERROR(IF(VLOOKUP(T_SuiviTw[[#This Row],[NumL]],T_suiviDi[#Data],COLUMN(T_suiviDi[[#This Row],[Email]]),FALSE)&lt;&gt;"",VLOOKUP(T_SuiviTw[[#This Row],[NumL]],T_suiviDi[#Data],COLUMN(T_suiviDi[[#This Row],[Email]]),FALSE),""),"")</f>
        <v/>
      </c>
      <c r="E316" s="274" t="str">
        <f>IFERROR(IF(VLOOKUP(T_SuiviTw[[#This Row],[NumL]],T_suiviDi[#Data],COLUMN(T_suiviDi[[#This Row],[Nom1]]),FALSE)&lt;&gt;"",VLOOKUP(T_SuiviTw[[#This Row],[NumL]],T_suiviDi[#Data],COLUMN(T_suiviDi[[#This Row],[Nom1]]),FALSE),""),"")</f>
        <v/>
      </c>
      <c r="F316" s="274" t="str">
        <f>IFERROR(IF(VLOOKUP(T_SuiviTw[[#This Row],[NumL]],T_suiviDi[#Data],COLUMN(T_suiviDi[[#This Row],[Prénom1]]),FALSE)&lt;&gt;"",VLOOKUP(T_SuiviTw[[#This Row],[NumL]],T_suiviDi[#Data],COLUMN(T_suiviDi[[#This Row],[Prénom1]]),FALSE),""),"")</f>
        <v/>
      </c>
      <c r="G316" s="274" t="str">
        <f>IFERROR(IF(VLOOKUP(T_SuiviTw[[#This Row],[NumL]],T_suiviDi[#Data],COLUMN(T_suiviDi[[#This Row],[Email1]]),FALSE)&lt;&gt;"",VLOOKUP(T_SuiviTw[[#This Row],[NumL]],T_suiviDi[#Data],COLUMN(T_suiviDi[[#This Row],[Email1]]),FALSE),""),"")</f>
        <v/>
      </c>
      <c r="H316" s="275" t="str">
        <f t="shared" si="42"/>
        <v/>
      </c>
      <c r="I316" s="100"/>
      <c r="J316" s="156" t="str">
        <f t="shared" si="43"/>
        <v/>
      </c>
      <c r="K316" s="155" t="str">
        <f t="shared" si="44"/>
        <v/>
      </c>
      <c r="L316" s="100"/>
      <c r="M316" s="156" t="str">
        <f t="shared" ca="1" si="45"/>
        <v/>
      </c>
      <c r="N316" s="49"/>
      <c r="O316" s="49"/>
      <c r="P316" s="105" t="str">
        <f t="shared" si="46"/>
        <v/>
      </c>
      <c r="Q316" s="155" t="str">
        <f t="shared" si="47"/>
        <v/>
      </c>
      <c r="R316" s="100"/>
      <c r="S316" s="156" t="str">
        <f t="shared" ca="1" si="48"/>
        <v/>
      </c>
      <c r="T316" s="101"/>
      <c r="U316" s="101"/>
      <c r="V316" s="101"/>
      <c r="W316" s="144"/>
    </row>
    <row r="317" spans="1:23" ht="24" customHeight="1" x14ac:dyDescent="0.25">
      <c r="A317" s="90">
        <v>178</v>
      </c>
      <c r="B317" s="19" t="str">
        <f>IFERROR(IF(VLOOKUP(T_SuiviTw[[#This Row],[NumL]],T_suiviDi[#Data],COLUMN(T_suiviDi[[#This Row],[Nom]]),FALSE)&lt;&gt;"",VLOOKUP(T_SuiviTw[[#This Row],[NumL]],T_suiviDi[#Data],COLUMN(T_suiviDi[[#This Row],[Nom]]),FALSE),""),"")</f>
        <v/>
      </c>
      <c r="C317" s="19" t="str">
        <f>IFERROR(IF(VLOOKUP(T_SuiviTw[[#This Row],[NumL]],T_suiviDi[#Data],COLUMN(T_suiviDi[[#This Row],[Prénom]]),FALSE)&lt;&gt;"",VLOOKUP(T_SuiviTw[[#This Row],[NumL]],T_suiviDi[#Data],COLUMN(T_suiviDi[[#This Row],[Prénom]]),FALSE),""),"")</f>
        <v/>
      </c>
      <c r="D317" s="20" t="str">
        <f>IFERROR(IF(VLOOKUP(T_SuiviTw[[#This Row],[NumL]],T_suiviDi[#Data],COLUMN(T_suiviDi[[#This Row],[Email]]),FALSE)&lt;&gt;"",VLOOKUP(T_SuiviTw[[#This Row],[NumL]],T_suiviDi[#Data],COLUMN(T_suiviDi[[#This Row],[Email]]),FALSE),""),"")</f>
        <v/>
      </c>
      <c r="E317" s="274" t="str">
        <f>IFERROR(IF(VLOOKUP(T_SuiviTw[[#This Row],[NumL]],T_suiviDi[#Data],COLUMN(T_suiviDi[[#This Row],[Nom1]]),FALSE)&lt;&gt;"",VLOOKUP(T_SuiviTw[[#This Row],[NumL]],T_suiviDi[#Data],COLUMN(T_suiviDi[[#This Row],[Nom1]]),FALSE),""),"")</f>
        <v/>
      </c>
      <c r="F317" s="274" t="str">
        <f>IFERROR(IF(VLOOKUP(T_SuiviTw[[#This Row],[NumL]],T_suiviDi[#Data],COLUMN(T_suiviDi[[#This Row],[Prénom1]]),FALSE)&lt;&gt;"",VLOOKUP(T_SuiviTw[[#This Row],[NumL]],T_suiviDi[#Data],COLUMN(T_suiviDi[[#This Row],[Prénom1]]),FALSE),""),"")</f>
        <v/>
      </c>
      <c r="G317" s="274" t="str">
        <f>IFERROR(IF(VLOOKUP(T_SuiviTw[[#This Row],[NumL]],T_suiviDi[#Data],COLUMN(T_suiviDi[[#This Row],[Email1]]),FALSE)&lt;&gt;"",VLOOKUP(T_SuiviTw[[#This Row],[NumL]],T_suiviDi[#Data],COLUMN(T_suiviDi[[#This Row],[Email1]]),FALSE),""),"")</f>
        <v/>
      </c>
      <c r="H317" s="275" t="str">
        <f t="shared" si="42"/>
        <v/>
      </c>
      <c r="I317" s="100"/>
      <c r="J317" s="156" t="str">
        <f t="shared" si="43"/>
        <v/>
      </c>
      <c r="K317" s="155" t="str">
        <f t="shared" si="44"/>
        <v/>
      </c>
      <c r="L317" s="100"/>
      <c r="M317" s="156" t="str">
        <f t="shared" ca="1" si="45"/>
        <v/>
      </c>
      <c r="N317" s="49"/>
      <c r="O317" s="49"/>
      <c r="P317" s="105" t="str">
        <f t="shared" si="46"/>
        <v/>
      </c>
      <c r="Q317" s="155" t="str">
        <f t="shared" si="47"/>
        <v/>
      </c>
      <c r="R317" s="100"/>
      <c r="S317" s="156" t="str">
        <f t="shared" ca="1" si="48"/>
        <v/>
      </c>
      <c r="T317" s="101"/>
      <c r="U317" s="101"/>
      <c r="V317" s="101"/>
      <c r="W317" s="144"/>
    </row>
    <row r="318" spans="1:23" ht="24" customHeight="1" x14ac:dyDescent="0.25">
      <c r="A318" s="90">
        <v>134</v>
      </c>
      <c r="B318" s="19" t="str">
        <f>IFERROR(IF(VLOOKUP(T_SuiviTw[[#This Row],[NumL]],T_suiviDi[#Data],COLUMN(T_suiviDi[[#This Row],[Nom]]),FALSE)&lt;&gt;"",VLOOKUP(T_SuiviTw[[#This Row],[NumL]],T_suiviDi[#Data],COLUMN(T_suiviDi[[#This Row],[Nom]]),FALSE),""),"")</f>
        <v/>
      </c>
      <c r="C318" s="19" t="str">
        <f>IFERROR(IF(VLOOKUP(T_SuiviTw[[#This Row],[NumL]],T_suiviDi[#Data],COLUMN(T_suiviDi[[#This Row],[Prénom]]),FALSE)&lt;&gt;"",VLOOKUP(T_SuiviTw[[#This Row],[NumL]],T_suiviDi[#Data],COLUMN(T_suiviDi[[#This Row],[Prénom]]),FALSE),""),"")</f>
        <v/>
      </c>
      <c r="D318" s="20" t="str">
        <f>IFERROR(IF(VLOOKUP(T_SuiviTw[[#This Row],[NumL]],T_suiviDi[#Data],COLUMN(T_suiviDi[[#This Row],[Email]]),FALSE)&lt;&gt;"",VLOOKUP(T_SuiviTw[[#This Row],[NumL]],T_suiviDi[#Data],COLUMN(T_suiviDi[[#This Row],[Email]]),FALSE),""),"")</f>
        <v/>
      </c>
      <c r="E318" s="274" t="str">
        <f>IFERROR(IF(VLOOKUP(T_SuiviTw[[#This Row],[NumL]],T_suiviDi[#Data],COLUMN(T_suiviDi[[#This Row],[Nom1]]),FALSE)&lt;&gt;"",VLOOKUP(T_SuiviTw[[#This Row],[NumL]],T_suiviDi[#Data],COLUMN(T_suiviDi[[#This Row],[Nom1]]),FALSE),""),"")</f>
        <v/>
      </c>
      <c r="F318" s="274" t="str">
        <f>IFERROR(IF(VLOOKUP(T_SuiviTw[[#This Row],[NumL]],T_suiviDi[#Data],COLUMN(T_suiviDi[[#This Row],[Prénom1]]),FALSE)&lt;&gt;"",VLOOKUP(T_SuiviTw[[#This Row],[NumL]],T_suiviDi[#Data],COLUMN(T_suiviDi[[#This Row],[Prénom1]]),FALSE),""),"")</f>
        <v/>
      </c>
      <c r="G318" s="274" t="str">
        <f>IFERROR(IF(VLOOKUP(T_SuiviTw[[#This Row],[NumL]],T_suiviDi[#Data],COLUMN(T_suiviDi[[#This Row],[Email1]]),FALSE)&lt;&gt;"",VLOOKUP(T_SuiviTw[[#This Row],[NumL]],T_suiviDi[#Data],COLUMN(T_suiviDi[[#This Row],[Email1]]),FALSE),""),"")</f>
        <v/>
      </c>
      <c r="H318" s="275" t="str">
        <f t="shared" si="42"/>
        <v/>
      </c>
      <c r="I318" s="100"/>
      <c r="J318" s="156" t="str">
        <f t="shared" si="43"/>
        <v/>
      </c>
      <c r="K318" s="155" t="str">
        <f t="shared" si="44"/>
        <v/>
      </c>
      <c r="L318" s="100"/>
      <c r="M318" s="156" t="str">
        <f t="shared" ca="1" si="45"/>
        <v/>
      </c>
      <c r="N318" s="49"/>
      <c r="O318" s="49"/>
      <c r="P318" s="105" t="str">
        <f t="shared" si="46"/>
        <v/>
      </c>
      <c r="Q318" s="155" t="str">
        <f t="shared" si="47"/>
        <v/>
      </c>
      <c r="R318" s="100"/>
      <c r="S318" s="156" t="str">
        <f t="shared" ca="1" si="48"/>
        <v/>
      </c>
      <c r="T318" s="101"/>
      <c r="U318" s="101"/>
      <c r="V318" s="101"/>
      <c r="W318" s="144"/>
    </row>
    <row r="319" spans="1:23" ht="24" customHeight="1" x14ac:dyDescent="0.25">
      <c r="A319" s="90">
        <v>212</v>
      </c>
      <c r="B319" s="19" t="str">
        <f>IFERROR(IF(VLOOKUP(T_SuiviTw[[#This Row],[NumL]],T_suiviDi[#Data],COLUMN(T_suiviDi[[#This Row],[Nom]]),FALSE)&lt;&gt;"",VLOOKUP(T_SuiviTw[[#This Row],[NumL]],T_suiviDi[#Data],COLUMN(T_suiviDi[[#This Row],[Nom]]),FALSE),""),"")</f>
        <v/>
      </c>
      <c r="C319" s="19" t="str">
        <f>IFERROR(IF(VLOOKUP(T_SuiviTw[[#This Row],[NumL]],T_suiviDi[#Data],COLUMN(T_suiviDi[[#This Row],[Prénom]]),FALSE)&lt;&gt;"",VLOOKUP(T_SuiviTw[[#This Row],[NumL]],T_suiviDi[#Data],COLUMN(T_suiviDi[[#This Row],[Prénom]]),FALSE),""),"")</f>
        <v/>
      </c>
      <c r="D319" s="20" t="str">
        <f>IFERROR(IF(VLOOKUP(T_SuiviTw[[#This Row],[NumL]],T_suiviDi[#Data],COLUMN(T_suiviDi[[#This Row],[Email]]),FALSE)&lt;&gt;"",VLOOKUP(T_SuiviTw[[#This Row],[NumL]],T_suiviDi[#Data],COLUMN(T_suiviDi[[#This Row],[Email]]),FALSE),""),"")</f>
        <v/>
      </c>
      <c r="E319" s="274" t="str">
        <f>IFERROR(IF(VLOOKUP(T_SuiviTw[[#This Row],[NumL]],T_suiviDi[#Data],COLUMN(T_suiviDi[[#This Row],[Nom1]]),FALSE)&lt;&gt;"",VLOOKUP(T_SuiviTw[[#This Row],[NumL]],T_suiviDi[#Data],COLUMN(T_suiviDi[[#This Row],[Nom1]]),FALSE),""),"")</f>
        <v/>
      </c>
      <c r="F319" s="274" t="str">
        <f>IFERROR(IF(VLOOKUP(T_SuiviTw[[#This Row],[NumL]],T_suiviDi[#Data],COLUMN(T_suiviDi[[#This Row],[Prénom1]]),FALSE)&lt;&gt;"",VLOOKUP(T_SuiviTw[[#This Row],[NumL]],T_suiviDi[#Data],COLUMN(T_suiviDi[[#This Row],[Prénom1]]),FALSE),""),"")</f>
        <v/>
      </c>
      <c r="G319" s="274" t="str">
        <f>IFERROR(IF(VLOOKUP(T_SuiviTw[[#This Row],[NumL]],T_suiviDi[#Data],COLUMN(T_suiviDi[[#This Row],[Email1]]),FALSE)&lt;&gt;"",VLOOKUP(T_SuiviTw[[#This Row],[NumL]],T_suiviDi[#Data],COLUMN(T_suiviDi[[#This Row],[Email1]]),FALSE),""),"")</f>
        <v/>
      </c>
      <c r="H319" s="275" t="str">
        <f t="shared" si="42"/>
        <v/>
      </c>
      <c r="I319" s="100"/>
      <c r="J319" s="156" t="str">
        <f t="shared" si="43"/>
        <v/>
      </c>
      <c r="K319" s="155" t="str">
        <f t="shared" si="44"/>
        <v/>
      </c>
      <c r="L319" s="100"/>
      <c r="M319" s="156" t="str">
        <f t="shared" ca="1" si="45"/>
        <v/>
      </c>
      <c r="N319" s="49"/>
      <c r="O319" s="49"/>
      <c r="P319" s="105" t="str">
        <f t="shared" si="46"/>
        <v/>
      </c>
      <c r="Q319" s="155" t="str">
        <f t="shared" si="47"/>
        <v/>
      </c>
      <c r="R319" s="100"/>
      <c r="S319" s="156" t="str">
        <f t="shared" ca="1" si="48"/>
        <v/>
      </c>
      <c r="T319" s="101"/>
      <c r="U319" s="101"/>
      <c r="V319" s="101"/>
      <c r="W319" s="144"/>
    </row>
    <row r="320" spans="1:23" ht="24" customHeight="1" x14ac:dyDescent="0.25">
      <c r="A320" s="90">
        <v>314</v>
      </c>
      <c r="B320" s="139" t="str">
        <f>IFERROR(IF(VLOOKUP(T_SuiviTw[[#This Row],[NumL]],T_suiviDi[#Data],COLUMN(T_suiviDi[[#This Row],[Nom]]),FALSE)&lt;&gt;"",VLOOKUP(T_SuiviTw[[#This Row],[NumL]],T_suiviDi[#Data],COLUMN(T_suiviDi[[#This Row],[Nom]]),FALSE),""),"")</f>
        <v/>
      </c>
      <c r="C320" s="139" t="str">
        <f>IFERROR(IF(VLOOKUP(T_SuiviTw[[#This Row],[NumL]],T_suiviDi[#Data],COLUMN(T_suiviDi[[#This Row],[Prénom]]),FALSE)&lt;&gt;"",VLOOKUP(T_SuiviTw[[#This Row],[NumL]],T_suiviDi[#Data],COLUMN(T_suiviDi[[#This Row],[Prénom]]),FALSE),""),"")</f>
        <v/>
      </c>
      <c r="D320" s="140" t="str">
        <f>IFERROR(IF(VLOOKUP(T_SuiviTw[[#This Row],[NumL]],T_suiviDi[#Data],COLUMN(T_suiviDi[[#This Row],[Email]]),FALSE)&lt;&gt;"",VLOOKUP(T_SuiviTw[[#This Row],[NumL]],T_suiviDi[#Data],COLUMN(T_suiviDi[[#This Row],[Email]]),FALSE),""),"")</f>
        <v/>
      </c>
      <c r="E320" s="141" t="str">
        <f>IFERROR(IF(VLOOKUP(T_SuiviTw[[#This Row],[NumL]],T_suiviDi[#Data],COLUMN(T_suiviDi[[#This Row],[Nom1]]),FALSE)&lt;&gt;"",VLOOKUP(T_SuiviTw[[#This Row],[NumL]],T_suiviDi[#Data],COLUMN(T_suiviDi[[#This Row],[Nom1]]),FALSE),""),"")</f>
        <v/>
      </c>
      <c r="F320" s="141" t="str">
        <f>IFERROR(IF(VLOOKUP(T_SuiviTw[[#This Row],[NumL]],T_suiviDi[#Data],COLUMN(T_suiviDi[[#This Row],[Prénom1]]),FALSE)&lt;&gt;"",VLOOKUP(T_SuiviTw[[#This Row],[NumL]],T_suiviDi[#Data],COLUMN(T_suiviDi[[#This Row],[Prénom1]]),FALSE),""),"")</f>
        <v/>
      </c>
      <c r="G320" s="141" t="str">
        <f>IFERROR(IF(VLOOKUP(T_SuiviTw[[#This Row],[NumL]],T_suiviDi[#Data],COLUMN(T_suiviDi[[#This Row],[Email1]]),FALSE)&lt;&gt;"",VLOOKUP(T_SuiviTw[[#This Row],[NumL]],T_suiviDi[#Data],COLUMN(T_suiviDi[[#This Row],[Email1]]),FALSE),""),"")</f>
        <v/>
      </c>
      <c r="H320" s="155" t="str">
        <f t="shared" si="42"/>
        <v/>
      </c>
      <c r="I320" s="100"/>
      <c r="J320" s="156" t="str">
        <f t="shared" si="43"/>
        <v/>
      </c>
      <c r="K320" s="155" t="str">
        <f t="shared" si="44"/>
        <v/>
      </c>
      <c r="L320" s="100"/>
      <c r="M320" s="156" t="str">
        <f t="shared" ca="1" si="45"/>
        <v/>
      </c>
      <c r="N320" s="49"/>
      <c r="O320" s="49"/>
      <c r="P320" s="105" t="str">
        <f t="shared" si="46"/>
        <v/>
      </c>
      <c r="Q320" s="155" t="str">
        <f t="shared" si="47"/>
        <v/>
      </c>
      <c r="R320" s="100"/>
      <c r="S320" s="156" t="str">
        <f t="shared" ca="1" si="48"/>
        <v/>
      </c>
      <c r="T320" s="101"/>
      <c r="U320" s="101"/>
      <c r="V320" s="101"/>
      <c r="W320" s="144"/>
    </row>
    <row r="321" spans="1:23" ht="24" customHeight="1" x14ac:dyDescent="0.25">
      <c r="A321" s="136">
        <v>76</v>
      </c>
      <c r="B321" s="276" t="str">
        <f>IFERROR(IF(VLOOKUP(T_SuiviTw[[#This Row],[NumL]],T_suiviDi[#Data],COLUMN(T_suiviDi[[#This Row],[Nom]]),FALSE)&lt;&gt;"",VLOOKUP(T_SuiviTw[[#This Row],[NumL]],T_suiviDi[#Data],COLUMN(T_suiviDi[[#This Row],[Nom]]),FALSE),""),"")</f>
        <v/>
      </c>
      <c r="C321" s="276" t="str">
        <f>IFERROR(IF(VLOOKUP(T_SuiviTw[[#This Row],[NumL]],T_suiviDi[#Data],COLUMN(T_suiviDi[[#This Row],[Prénom]]),FALSE)&lt;&gt;"",VLOOKUP(T_SuiviTw[[#This Row],[NumL]],T_suiviDi[#Data],COLUMN(T_suiviDi[[#This Row],[Prénom]]),FALSE),""),"")</f>
        <v/>
      </c>
      <c r="D321" s="277" t="str">
        <f>IFERROR(IF(VLOOKUP(T_SuiviTw[[#This Row],[NumL]],T_suiviDi[#Data],COLUMN(T_suiviDi[[#This Row],[Email]]),FALSE)&lt;&gt;"",VLOOKUP(T_SuiviTw[[#This Row],[NumL]],T_suiviDi[#Data],COLUMN(T_suiviDi[[#This Row],[Email]]),FALSE),""),"")</f>
        <v/>
      </c>
      <c r="E321" s="278" t="str">
        <f>IFERROR(IF(VLOOKUP(T_SuiviTw[[#This Row],[NumL]],T_suiviDi[#Data],COLUMN(T_suiviDi[[#This Row],[Nom1]]),FALSE)&lt;&gt;"",VLOOKUP(T_SuiviTw[[#This Row],[NumL]],T_suiviDi[#Data],COLUMN(T_suiviDi[[#This Row],[Nom1]]),FALSE),""),"")</f>
        <v/>
      </c>
      <c r="F321" s="278" t="str">
        <f>IFERROR(IF(VLOOKUP(T_SuiviTw[[#This Row],[NumL]],T_suiviDi[#Data],COLUMN(T_suiviDi[[#This Row],[Prénom1]]),FALSE)&lt;&gt;"",VLOOKUP(T_SuiviTw[[#This Row],[NumL]],T_suiviDi[#Data],COLUMN(T_suiviDi[[#This Row],[Prénom1]]),FALSE),""),"")</f>
        <v/>
      </c>
      <c r="G321" s="278" t="str">
        <f>IFERROR(IF(VLOOKUP(T_SuiviTw[[#This Row],[NumL]],T_suiviDi[#Data],COLUMN(T_suiviDi[[#This Row],[Email1]]),FALSE)&lt;&gt;"",VLOOKUP(T_SuiviTw[[#This Row],[NumL]],T_suiviDi[#Data],COLUMN(T_suiviDi[[#This Row],[Email1]]),FALSE),""),"")</f>
        <v/>
      </c>
      <c r="H321" s="279" t="str">
        <f t="shared" si="42"/>
        <v/>
      </c>
      <c r="I321" s="151"/>
      <c r="J321" s="190" t="str">
        <f t="shared" si="43"/>
        <v/>
      </c>
      <c r="K321" s="189" t="str">
        <f t="shared" si="44"/>
        <v/>
      </c>
      <c r="L321" s="151"/>
      <c r="M321" s="190" t="str">
        <f t="shared" ca="1" si="45"/>
        <v/>
      </c>
      <c r="N321" s="137"/>
      <c r="O321" s="137"/>
      <c r="P321" s="152" t="str">
        <f t="shared" si="46"/>
        <v/>
      </c>
      <c r="Q321" s="189" t="str">
        <f t="shared" si="47"/>
        <v/>
      </c>
      <c r="R321" s="151"/>
      <c r="S321" s="190" t="str">
        <f t="shared" ca="1" si="48"/>
        <v/>
      </c>
      <c r="T321" s="153"/>
      <c r="U321" s="153"/>
      <c r="V321" s="153"/>
      <c r="W321" s="191"/>
    </row>
  </sheetData>
  <sheetProtection sheet="1" scenarios="1" sort="0" autoFilter="0"/>
  <mergeCells count="4">
    <mergeCell ref="B1:D1"/>
    <mergeCell ref="K1:P1"/>
    <mergeCell ref="H1:I1"/>
    <mergeCell ref="Q1:U1"/>
  </mergeCells>
  <conditionalFormatting sqref="P3:P321">
    <cfRule type="iconSet" priority="12608">
      <iconSet showValue="0" reverse="1">
        <cfvo type="percent" val="0"/>
        <cfvo type="num" val="2"/>
        <cfvo type="num" val="3"/>
      </iconSet>
    </cfRule>
  </conditionalFormatting>
  <conditionalFormatting sqref="U3:U321">
    <cfRule type="iconSet" priority="12610">
      <iconSet showValue="0" reverse="1">
        <cfvo type="percent" val="0"/>
        <cfvo type="num" val="2"/>
        <cfvo type="num" val="3"/>
      </iconSet>
    </cfRule>
  </conditionalFormatting>
  <conditionalFormatting sqref="V3:V321">
    <cfRule type="iconSet" priority="12612">
      <iconSet showValue="0" reverse="1">
        <cfvo type="percent" val="0"/>
        <cfvo type="num" val="2"/>
        <cfvo type="num" val="3"/>
      </iconSet>
    </cfRule>
  </conditionalFormatting>
  <conditionalFormatting sqref="J3:J321">
    <cfRule type="iconSet" priority="12614">
      <iconSet iconSet="3Flags" showValue="0" reverse="1">
        <cfvo type="percent" val="0"/>
        <cfvo type="num" val="2"/>
        <cfvo type="num" val="3"/>
      </iconSet>
    </cfRule>
  </conditionalFormatting>
  <conditionalFormatting sqref="M3:M321">
    <cfRule type="iconSet" priority="12616">
      <iconSet iconSet="3Flags" showValue="0" reverse="1">
        <cfvo type="percent" val="0"/>
        <cfvo type="num" val="2"/>
        <cfvo type="num" val="3"/>
      </iconSet>
    </cfRule>
  </conditionalFormatting>
  <conditionalFormatting sqref="S3:S321">
    <cfRule type="iconSet" priority="12618">
      <iconSet iconSet="3Flags" showValue="0" reverse="1">
        <cfvo type="percent" val="0"/>
        <cfvo type="num" val="2"/>
        <cfvo type="num" val="3"/>
      </iconSet>
    </cfRule>
  </conditionalFormatting>
  <conditionalFormatting sqref="T3:T321">
    <cfRule type="iconSet" priority="12620">
      <iconSet showValue="0" reverse="1">
        <cfvo type="percent" val="0"/>
        <cfvo type="num" val="2"/>
        <cfvo type="num" val="3"/>
      </iconSet>
    </cfRule>
  </conditionalFormatting>
  <conditionalFormatting sqref="N3:N321">
    <cfRule type="iconSet" priority="12622">
      <iconSet showValue="0" reverse="1">
        <cfvo type="percent" val="0"/>
        <cfvo type="num" val="2"/>
        <cfvo type="num" val="3"/>
      </iconSet>
    </cfRule>
  </conditionalFormatting>
  <conditionalFormatting sqref="O3:O321">
    <cfRule type="iconSet" priority="12624">
      <iconSet showValue="0" reverse="1">
        <cfvo type="percent" val="0"/>
        <cfvo type="num" val="2"/>
        <cfvo type="num" val="3"/>
      </iconSet>
    </cfRule>
  </conditionalFormatting>
  <dataValidations count="19">
    <dataValidation allowBlank="1" showErrorMessage="1" sqref="M317:M321 Q317:Q321 J317:K321 H317:H321 S317:S321" xr:uid="{00000000-0002-0000-0600-000005000000}"/>
    <dataValidation allowBlank="1" showInputMessage="1" showErrorMessage="1" promptTitle="Aide à la saisie" prompt="Indiquer la date de réception de la convention signée par l'agent et l'encadrant " sqref="I317:I321" xr:uid="{00000000-0002-0000-0600-000007000000}"/>
    <dataValidation allowBlank="1" showInputMessage="1" showErrorMessage="1" promptTitle="Aide à la saisie" prompt="Date de l'entretien de fin de période d'adaptation entre l'agent et l'encadrant. " sqref="L317:L321" xr:uid="{00000000-0002-0000-0600-00000B000000}"/>
    <dataValidation allowBlank="1" showInputMessage="1" showErrorMessage="1" promptTitle="Aide à la saisie" prompt="Indiquez l'avis de l'encadrant. _x000a_1 =&gt; Favorable_x000a_2 =&gt; Sous réserve_x000a_3 =&gt; Défavorable_x000a__x000a_Note : la valeur est automatiquement transformée en indicateur visuel. " sqref="O317:O321 U317:U321" xr:uid="{00000000-0002-0000-0600-00000D000000}"/>
    <dataValidation allowBlank="1" showInputMessage="1" showErrorMessage="1" promptTitle="Aide à la saisie" prompt="Avis final de la commission _x000a_1 =&gt; Favorable_x000a_2 =&gt; Sous réserve_x000a_3 =&gt; Refusé_x000a_4 =&gt; Demande annulée_x000a__x000a_Note : la valeur saisie est automatiquement transformée en indicateur visuel. " sqref="V317:V321" xr:uid="{00000000-0002-0000-0600-00000E000000}"/>
    <dataValidation allowBlank="1" showInputMessage="1" showErrorMessage="1" promptTitle="Aide à la saisie" prompt="Date de l'entretien de bilan réalisé entre l'agent et l'encadrant_x000a_" sqref="R317:R321" xr:uid="{00000000-0002-0000-0600-00000F000000}"/>
    <dataValidation allowBlank="1" showInputMessage="1" showErrorMessage="1" promptTitle="Aide à la saisie" prompt="Indiquez l'avis de l'agent. _x000a_1 =&gt; Favorable_x000a_2 =&gt; Sous réserve_x000a_3 =&gt; Défavorable_x000a__x000a_Note : la valeur est automatiquement transformée en indicateur visuel. " sqref="T317:T321" xr:uid="{00000000-0002-0000-0600-000010000000}"/>
    <dataValidation allowBlank="1" showInputMessage="1" showErrorMessage="1" promptTitle="Aide à la saisie" prompt="Indiquez l'avis de l'agent _x000a_1 =&gt; Favorable_x000a_2 =&gt; Sous réserve_x000a_3 =&gt; Défavorable_x000a__x000a_Note : la valeur est automatiquement transformée en indicateur visuel. " sqref="N317:N321" xr:uid="{00000000-0002-0000-0600-000011000000}"/>
    <dataValidation allowBlank="1" showErrorMessage="1" promptTitle="Précision d'affichage" prompt="Avis de l'encadrant n+2_x000a_Vert =&gt; Favorable_x000a_Jaune =&gt; Sous réserve_x000a_Rouge =&gt; Défavorable_x000a_Vide =&gt; Non renseigné_x000a_" sqref="N2:O316 T2:V316" xr:uid="{00000000-0002-0000-0600-000001000000}"/>
    <dataValidation allowBlank="1" showInputMessage="1" showErrorMessage="1" promptTitle="Précision d'affichage" prompt="Avis de l'encadrant n+1_x000a_Vert =&gt; Favorable_x000a_Jaune =&gt; Sous réserve_x000a_Rouge =&gt; Défavorable_x000a__x000a_" sqref="Q2:Q316" xr:uid="{00000000-0002-0000-0600-000002000000}"/>
    <dataValidation allowBlank="1" showErrorMessage="1" promptTitle="Précision d'affichage" prompt="Vert =&gt; Les contrôles de base n'ont relevé aucune anomalies_x000a_Rouge =&gt; Des anomalies ont été identifiées ou les informations saisies ne permettent pas d'effectuer tous les contrôles. " sqref="I2:I316" xr:uid="{00000000-0002-0000-0600-000003000000}"/>
    <dataValidation allowBlank="1" showInputMessage="1" showErrorMessage="1" promptTitle="Précision d'affichage" prompt="Vert =&gt; Le dossier comporte l'ensemble des PJ spécifiées dans l'onglet #2_x000a_Rouge =&gt; Le dossier est incomplet. _x000a__x000a_L'information est réccupérée automatiquement. Ne rien saisir." sqref="S2:S316" xr:uid="{00000000-0002-0000-0600-000004000000}"/>
    <dataValidation allowBlank="1" showInputMessage="1" showErrorMessage="1" promptTitle="Précision d'affichage" prompt="Date d'édition de la convention indiquée dans les paramètres_x000a__x000a_L'information est réccupérée automatiquement. Ne rien saisir." sqref="H2:H316" xr:uid="{00000000-0002-0000-0600-000006000000}"/>
    <dataValidation allowBlank="1" showInputMessage="1" showErrorMessage="1" promptTitle="Précision d'affichage" prompt="Rouge =&gt; Convention non reçue_x000a_Vert =&gt; Convention reçue à archiver" sqref="J2:J316" xr:uid="{00000000-0002-0000-0600-000008000000}"/>
    <dataValidation allowBlank="1" showInputMessage="1" showErrorMessage="1" promptTitle="Précision d'affichage" prompt="Date de fin de la période d'adaptation donnée dans les paramètres_x000a__x000a_" sqref="K2:K316" xr:uid="{00000000-0002-0000-0600-000009000000}"/>
    <dataValidation allowBlank="1" showErrorMessage="1" promptTitle="Précision d'affichage" prompt="Avis de l'encadrant n+1_x000a_Vert =&gt; Favorable_x000a_Jaune =&gt; Sous réserve_x000a_Rouge =&gt; Défavorable_x000a__x000a_" sqref="R2:R316 L2:L316" xr:uid="{00000000-0002-0000-0600-00000A000000}"/>
    <dataValidation allowBlank="1" showInputMessage="1" showErrorMessage="1" promptTitle="Précision d'affichage" prompt="Rouge =&gt; Entretien non réalisé_x000a_Vert =&gt; Entretien réalisé" sqref="M2:M316" xr:uid="{00000000-0002-0000-0600-00000C000000}"/>
    <dataValidation allowBlank="1" showInputMessage="1" showErrorMessage="1" promptTitle="Précision d'affichage" prompt="Engagement sur la durée_x000a_Vert =&gt; Oui_x000a_Rouge =&gt; Non_x000a__x000a_" sqref="P2:P316" xr:uid="{00000000-0002-0000-0600-000012000000}"/>
    <dataValidation allowBlank="1" showInputMessage="1" showErrorMessage="1" promptTitle="Aide à la saisie" prompt="Le champ commentaire est intégré à la notification de décision à la suite d'une commission. Il peut servir à demander des pièces supplémentaires ou à justifier un refu. " sqref="W3:W321" xr:uid="{00000000-0002-0000-0600-000000000000}"/>
  </dataValidations>
  <pageMargins left="0.23622047244094491" right="0.23622047244094491" top="0.74803149606299213" bottom="0.74803149606299213" header="0.31496062992125984" footer="0.31496062992125984"/>
  <pageSetup paperSize="8" scale="14" fitToHeight="2" orientation="landscape" horizontalDpi="4294967293"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37</vt:i4>
      </vt:variant>
    </vt:vector>
  </HeadingPairs>
  <TitlesOfParts>
    <vt:vector size="50" baseType="lpstr">
      <vt:lpstr>1- Suivi des DI &amp; avis n+1</vt:lpstr>
      <vt:lpstr>2- Traitement des DI</vt:lpstr>
      <vt:lpstr>3- Avis commission &amp; notif</vt:lpstr>
      <vt:lpstr>4- Equipement et formations</vt:lpstr>
      <vt:lpstr>5- Edition convention</vt:lpstr>
      <vt:lpstr>TW_BilanSocial3</vt:lpstr>
      <vt:lpstr>P_Données Bilan Social</vt:lpstr>
      <vt:lpstr>TW_BilanSocial 2</vt:lpstr>
      <vt:lpstr>6- Suivi télétravail</vt:lpstr>
      <vt:lpstr>7-TW supprimés</vt:lpstr>
      <vt:lpstr>Mail_Avis_Comm</vt:lpstr>
      <vt:lpstr>PARAM 2</vt:lpstr>
      <vt:lpstr>PARAM</vt:lpstr>
      <vt:lpstr>Adresse_Envoi</vt:lpstr>
      <vt:lpstr>Amplitude_max</vt:lpstr>
      <vt:lpstr>'4- Equipement et formations'!ComDI</vt:lpstr>
      <vt:lpstr>'6- Suivi télétravail'!ComDI</vt:lpstr>
      <vt:lpstr>ComDI</vt:lpstr>
      <vt:lpstr>Contrôle</vt:lpstr>
      <vt:lpstr>Date_com1</vt:lpstr>
      <vt:lpstr>Date_commission2</vt:lpstr>
      <vt:lpstr>Datebilan</vt:lpstr>
      <vt:lpstr>Datebilan2</vt:lpstr>
      <vt:lpstr>DateEdition</vt:lpstr>
      <vt:lpstr>Dateeffet</vt:lpstr>
      <vt:lpstr>DateFinadapt</vt:lpstr>
      <vt:lpstr>Daterenduavis</vt:lpstr>
      <vt:lpstr>Daterendudossier</vt:lpstr>
      <vt:lpstr>Ech_Rendu_dossier</vt:lpstr>
      <vt:lpstr>Entité</vt:lpstr>
      <vt:lpstr>Entite_convention</vt:lpstr>
      <vt:lpstr>Etatmailing1</vt:lpstr>
      <vt:lpstr>Etatmailing2</vt:lpstr>
      <vt:lpstr>EtatMailing3</vt:lpstr>
      <vt:lpstr>Hebdo_théorique</vt:lpstr>
      <vt:lpstr>'1- Suivi des DI &amp; avis n+1'!Impression_des_titres</vt:lpstr>
      <vt:lpstr>'2- Traitement des DI'!Impression_des_titres</vt:lpstr>
      <vt:lpstr>'3- Avis commission &amp; notif'!Impression_des_titres</vt:lpstr>
      <vt:lpstr>'6- Suivi télétravail'!Impression_des_titres</vt:lpstr>
      <vt:lpstr>L_Grade</vt:lpstr>
      <vt:lpstr>ListeDI</vt:lpstr>
      <vt:lpstr>ListeQuotité</vt:lpstr>
      <vt:lpstr>Nbjoursite</vt:lpstr>
      <vt:lpstr>nom_campagne</vt:lpstr>
      <vt:lpstr>Quotite</vt:lpstr>
      <vt:lpstr>Quotité</vt:lpstr>
      <vt:lpstr>QuotitéMin</vt:lpstr>
      <vt:lpstr>TraitementDI</vt:lpstr>
      <vt:lpstr>TypeTW</vt:lpstr>
      <vt:lpstr>'2- Traitement des DI'!Zone_d_impression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MARSAN Frederique</dc:creator>
  <cp:lastModifiedBy>Administrateur</cp:lastModifiedBy>
  <cp:lastPrinted>2021-08-31T08:39:16Z</cp:lastPrinted>
  <dcterms:created xsi:type="dcterms:W3CDTF">2006-09-16T00:00:00Z</dcterms:created>
  <dcterms:modified xsi:type="dcterms:W3CDTF">2021-09-09T11:19:24Z</dcterms:modified>
</cp:coreProperties>
</file>